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drawings/drawing2.xml" ContentType="application/vnd.openxmlformats-officedocument.drawing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/>
  <mc:AlternateContent xmlns:mc="http://schemas.openxmlformats.org/markup-compatibility/2006">
    <mc:Choice Requires="x15">
      <x15ac:absPath xmlns:x15ac="http://schemas.microsoft.com/office/spreadsheetml/2010/11/ac" url="https://o365khu-my.sharepoint.com/personal/2023315001_office_khu_ac_kr/Documents/논문쓰기/Headed bars jointtype/"/>
    </mc:Choice>
  </mc:AlternateContent>
  <xr:revisionPtr revIDLastSave="166" documentId="8_{A4F9125A-4591-4C02-9D81-AE8546312A74}" xr6:coauthVersionLast="47" xr6:coauthVersionMax="47" xr10:uidLastSave="{F81AF4B5-8B0B-4D5B-8514-00466C4A267B}"/>
  <bookViews>
    <workbookView xWindow="-19065" yWindow="0" windowWidth="19170" windowHeight="15585" activeTab="1" xr2:uid="{00000000-000D-0000-FFFF-FFFF00000000}"/>
  </bookViews>
  <sheets>
    <sheet name="headed (2)" sheetId="20" r:id="rId1"/>
    <sheet name="Sheet1" sheetId="22" r:id="rId2"/>
    <sheet name="headed" sheetId="5" r:id="rId3"/>
    <sheet name="headed_backup" sheetId="21" r:id="rId4"/>
  </sheets>
  <definedNames>
    <definedName name="_xlnm._FilterDatabase" localSheetId="0" hidden="1">'headed (2)'!$A$19:$GN$456</definedName>
    <definedName name="_xlnm._FilterDatabase" localSheetId="3" hidden="1">headed_backup!$A$18:$GF$449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G116" i="22" l="1"/>
  <c r="DO116" i="22"/>
  <c r="CN116" i="22"/>
  <c r="CM116" i="22"/>
  <c r="CK116" i="22"/>
  <c r="CL116" i="22" s="1"/>
  <c r="BL116" i="22"/>
  <c r="BH116" i="22"/>
  <c r="AZ116" i="22"/>
  <c r="AR116" i="22"/>
  <c r="AQ116" i="22" s="1"/>
  <c r="AP116" i="22"/>
  <c r="EH116" i="22" s="1"/>
  <c r="AI116" i="22"/>
  <c r="AG116" i="22"/>
  <c r="AD116" i="22"/>
  <c r="AE116" i="22" s="1"/>
  <c r="ES116" i="22" s="1"/>
  <c r="ER116" i="22" s="1"/>
  <c r="AC116" i="22"/>
  <c r="X116" i="22"/>
  <c r="V116" i="22"/>
  <c r="GF116" i="22" s="1"/>
  <c r="T116" i="22"/>
  <c r="EF116" i="22" s="1"/>
  <c r="S116" i="22"/>
  <c r="R116" i="22"/>
  <c r="AB116" i="22" s="1"/>
  <c r="J116" i="22"/>
  <c r="K116" i="22" s="1"/>
  <c r="BE116" i="22" s="1"/>
  <c r="H116" i="22"/>
  <c r="GG115" i="22"/>
  <c r="EH115" i="22"/>
  <c r="DS115" i="22"/>
  <c r="DO115" i="22"/>
  <c r="CN115" i="22"/>
  <c r="CM115" i="22"/>
  <c r="CK115" i="22"/>
  <c r="CL115" i="22" s="1"/>
  <c r="CH115" i="22"/>
  <c r="BH115" i="22"/>
  <c r="AZ115" i="22"/>
  <c r="AR115" i="22"/>
  <c r="AP115" i="22"/>
  <c r="AI115" i="22"/>
  <c r="AG115" i="22"/>
  <c r="AD115" i="22"/>
  <c r="AC115" i="22"/>
  <c r="X115" i="22"/>
  <c r="V115" i="22"/>
  <c r="U115" i="22" s="1"/>
  <c r="T115" i="22"/>
  <c r="EF115" i="22" s="1"/>
  <c r="R115" i="22"/>
  <c r="GE115" i="22" s="1"/>
  <c r="Q115" i="22"/>
  <c r="P115" i="22"/>
  <c r="EL115" i="22" s="1"/>
  <c r="N115" i="22"/>
  <c r="J115" i="22"/>
  <c r="H115" i="22"/>
  <c r="GG114" i="22"/>
  <c r="DO114" i="22"/>
  <c r="CN114" i="22"/>
  <c r="CM114" i="22"/>
  <c r="CO114" i="22" s="1"/>
  <c r="CK114" i="22"/>
  <c r="CL114" i="22" s="1"/>
  <c r="BH114" i="22"/>
  <c r="AZ114" i="22"/>
  <c r="AP114" i="22"/>
  <c r="EH114" i="22" s="1"/>
  <c r="AI114" i="22"/>
  <c r="AG114" i="22"/>
  <c r="AE114" i="22"/>
  <c r="ES114" i="22" s="1"/>
  <c r="ER114" i="22" s="1"/>
  <c r="AD114" i="22"/>
  <c r="AC114" i="22"/>
  <c r="X114" i="22"/>
  <c r="V114" i="22"/>
  <c r="GF114" i="22" s="1"/>
  <c r="T114" i="22"/>
  <c r="S114" i="22" s="1"/>
  <c r="R114" i="22"/>
  <c r="AB114" i="22" s="1"/>
  <c r="J114" i="22"/>
  <c r="H114" i="22"/>
  <c r="GG113" i="22"/>
  <c r="DO113" i="22"/>
  <c r="CN113" i="22"/>
  <c r="CM113" i="22"/>
  <c r="CO113" i="22" s="1"/>
  <c r="CK113" i="22"/>
  <c r="CL113" i="22" s="1"/>
  <c r="BH113" i="22"/>
  <c r="AZ113" i="22"/>
  <c r="AP113" i="22"/>
  <c r="EH113" i="22" s="1"/>
  <c r="AI113" i="22"/>
  <c r="AG113" i="22"/>
  <c r="BP113" i="22" s="1"/>
  <c r="AF113" i="22"/>
  <c r="EA113" i="22" s="1"/>
  <c r="AE113" i="22"/>
  <c r="ES113" i="22" s="1"/>
  <c r="ER113" i="22" s="1"/>
  <c r="AD113" i="22"/>
  <c r="AC113" i="22"/>
  <c r="Z113" i="22"/>
  <c r="Y113" i="22" s="1"/>
  <c r="X113" i="22"/>
  <c r="V113" i="22"/>
  <c r="U113" i="22" s="1"/>
  <c r="T113" i="22"/>
  <c r="EF113" i="22" s="1"/>
  <c r="R113" i="22"/>
  <c r="Q113" i="22" s="1"/>
  <c r="P113" i="22"/>
  <c r="J113" i="22"/>
  <c r="H113" i="22"/>
  <c r="GG112" i="22"/>
  <c r="EH112" i="22"/>
  <c r="DO112" i="22"/>
  <c r="CN112" i="22"/>
  <c r="CM112" i="22"/>
  <c r="CO112" i="22" s="1"/>
  <c r="BH112" i="22"/>
  <c r="AZ112" i="22"/>
  <c r="AI112" i="22"/>
  <c r="AG112" i="22"/>
  <c r="AD112" i="22"/>
  <c r="AE112" i="22" s="1"/>
  <c r="AF112" i="22" s="1"/>
  <c r="AC112" i="22"/>
  <c r="X112" i="22"/>
  <c r="V112" i="22"/>
  <c r="U112" i="22" s="1"/>
  <c r="T112" i="22"/>
  <c r="EF112" i="22" s="1"/>
  <c r="S112" i="22"/>
  <c r="R112" i="22"/>
  <c r="AB112" i="22" s="1"/>
  <c r="J112" i="22"/>
  <c r="H112" i="22"/>
  <c r="GG111" i="22"/>
  <c r="GE111" i="22"/>
  <c r="EH111" i="22"/>
  <c r="DO111" i="22"/>
  <c r="CN111" i="22"/>
  <c r="CM111" i="22"/>
  <c r="CO111" i="22" s="1"/>
  <c r="CH111" i="22"/>
  <c r="CG111" i="22"/>
  <c r="CI111" i="22" s="1"/>
  <c r="BY111" i="22"/>
  <c r="EG111" i="22" s="1"/>
  <c r="EI111" i="22" s="1"/>
  <c r="BH111" i="22"/>
  <c r="AZ111" i="22"/>
  <c r="AI111" i="22"/>
  <c r="AG111" i="22"/>
  <c r="AD111" i="22"/>
  <c r="AE111" i="22" s="1"/>
  <c r="ES111" i="22" s="1"/>
  <c r="ER111" i="22" s="1"/>
  <c r="AC111" i="22"/>
  <c r="AB111" i="22"/>
  <c r="AA111" i="22"/>
  <c r="Z111" i="22"/>
  <c r="Y111" i="22" s="1"/>
  <c r="X111" i="22"/>
  <c r="V111" i="22"/>
  <c r="U111" i="22" s="1"/>
  <c r="T111" i="22"/>
  <c r="EF111" i="22" s="1"/>
  <c r="R111" i="22"/>
  <c r="Q111" i="22" s="1"/>
  <c r="P111" i="22"/>
  <c r="EL111" i="22" s="1"/>
  <c r="J111" i="22"/>
  <c r="AR111" i="22" s="1"/>
  <c r="AQ111" i="22" s="1"/>
  <c r="H111" i="22"/>
  <c r="GG110" i="22"/>
  <c r="ES110" i="22"/>
  <c r="ER110" i="22" s="1"/>
  <c r="EH110" i="22"/>
  <c r="DO110" i="22"/>
  <c r="CN110" i="22"/>
  <c r="CO110" i="22" s="1"/>
  <c r="CM110" i="22"/>
  <c r="AZ110" i="22"/>
  <c r="AT110" i="22"/>
  <c r="AR110" i="22"/>
  <c r="AI110" i="22"/>
  <c r="AG110" i="22"/>
  <c r="AE110" i="22"/>
  <c r="AF110" i="22" s="1"/>
  <c r="EA110" i="22" s="1"/>
  <c r="AD110" i="22"/>
  <c r="BH110" i="22" s="1"/>
  <c r="BI110" i="22" s="1"/>
  <c r="AC110" i="22"/>
  <c r="X110" i="22"/>
  <c r="V110" i="22"/>
  <c r="U110" i="22" s="1"/>
  <c r="T110" i="22"/>
  <c r="S110" i="22" s="1"/>
  <c r="R110" i="22"/>
  <c r="AB110" i="22" s="1"/>
  <c r="O110" i="22"/>
  <c r="N110" i="22"/>
  <c r="K110" i="22"/>
  <c r="BE110" i="22" s="1"/>
  <c r="J110" i="22"/>
  <c r="DS110" i="22" s="1"/>
  <c r="H110" i="22"/>
  <c r="GG109" i="22"/>
  <c r="EH109" i="22"/>
  <c r="DO109" i="22"/>
  <c r="CN109" i="22"/>
  <c r="CM109" i="22"/>
  <c r="CO109" i="22" s="1"/>
  <c r="AZ109" i="22"/>
  <c r="AW109" i="22"/>
  <c r="AI109" i="22"/>
  <c r="AG109" i="22"/>
  <c r="BP109" i="22" s="1"/>
  <c r="AE109" i="22"/>
  <c r="AF109" i="22" s="1"/>
  <c r="EA109" i="22" s="1"/>
  <c r="AD109" i="22"/>
  <c r="BH109" i="22" s="1"/>
  <c r="BI109" i="22" s="1"/>
  <c r="AC109" i="22"/>
  <c r="X109" i="22"/>
  <c r="V109" i="22"/>
  <c r="U109" i="22"/>
  <c r="T109" i="22"/>
  <c r="EF109" i="22" s="1"/>
  <c r="R109" i="22"/>
  <c r="Q109" i="22" s="1"/>
  <c r="K109" i="22"/>
  <c r="DP109" i="22" s="1"/>
  <c r="J109" i="22"/>
  <c r="AT109" i="22" s="1"/>
  <c r="H109" i="22"/>
  <c r="GG104" i="22"/>
  <c r="EH104" i="22"/>
  <c r="DS104" i="22"/>
  <c r="DO104" i="22"/>
  <c r="CO104" i="22"/>
  <c r="CN104" i="22"/>
  <c r="CM104" i="22"/>
  <c r="AZ104" i="22"/>
  <c r="AI104" i="22"/>
  <c r="AG104" i="22"/>
  <c r="AE104" i="22"/>
  <c r="AF104" i="22" s="1"/>
  <c r="AD104" i="22"/>
  <c r="BH104" i="22" s="1"/>
  <c r="AC104" i="22"/>
  <c r="X104" i="22"/>
  <c r="R104" i="22"/>
  <c r="AB104" i="22" s="1"/>
  <c r="J104" i="22"/>
  <c r="K104" i="22" s="1"/>
  <c r="H104" i="22"/>
  <c r="GG103" i="22"/>
  <c r="GE103" i="22"/>
  <c r="EH103" i="22"/>
  <c r="DS103" i="22"/>
  <c r="DO103" i="22"/>
  <c r="CN103" i="22"/>
  <c r="CM103" i="22"/>
  <c r="CO103" i="22" s="1"/>
  <c r="AZ103" i="22"/>
  <c r="AI103" i="22"/>
  <c r="AG103" i="22"/>
  <c r="AE103" i="22"/>
  <c r="ES103" i="22" s="1"/>
  <c r="ER103" i="22" s="1"/>
  <c r="AD103" i="22"/>
  <c r="BH103" i="22" s="1"/>
  <c r="BI103" i="22" s="1"/>
  <c r="AC103" i="22"/>
  <c r="Z103" i="22"/>
  <c r="Y103" i="22"/>
  <c r="X103" i="22"/>
  <c r="R103" i="22"/>
  <c r="V103" i="22" s="1"/>
  <c r="K103" i="22"/>
  <c r="T103" i="22" s="1"/>
  <c r="J103" i="22"/>
  <c r="AR103" i="22" s="1"/>
  <c r="AQ103" i="22" s="1"/>
  <c r="H103" i="22"/>
  <c r="GG102" i="22"/>
  <c r="EH102" i="22"/>
  <c r="DS102" i="22"/>
  <c r="DO102" i="22"/>
  <c r="CN102" i="22"/>
  <c r="CM102" i="22"/>
  <c r="AZ102" i="22"/>
  <c r="AT102" i="22"/>
  <c r="AI102" i="22"/>
  <c r="AG102" i="22"/>
  <c r="AD102" i="22"/>
  <c r="BH102" i="22" s="1"/>
  <c r="AC102" i="22"/>
  <c r="X102" i="22"/>
  <c r="R102" i="22"/>
  <c r="AB102" i="22" s="1"/>
  <c r="J102" i="22"/>
  <c r="N102" i="22" s="1"/>
  <c r="H102" i="22"/>
  <c r="GG101" i="22"/>
  <c r="GE101" i="22"/>
  <c r="EH101" i="22"/>
  <c r="DO101" i="22"/>
  <c r="CN101" i="22"/>
  <c r="CM101" i="22"/>
  <c r="CO101" i="22" s="1"/>
  <c r="BH101" i="22"/>
  <c r="AZ101" i="22"/>
  <c r="AI101" i="22"/>
  <c r="AG101" i="22"/>
  <c r="AD101" i="22"/>
  <c r="AE101" i="22" s="1"/>
  <c r="AC101" i="22"/>
  <c r="X101" i="22"/>
  <c r="R101" i="22"/>
  <c r="Q101" i="22" s="1"/>
  <c r="J101" i="22"/>
  <c r="AT101" i="22" s="1"/>
  <c r="H101" i="22"/>
  <c r="GG100" i="22"/>
  <c r="EH100" i="22"/>
  <c r="EF100" i="22"/>
  <c r="DO100" i="22"/>
  <c r="CN100" i="22"/>
  <c r="CM100" i="22"/>
  <c r="CO100" i="22" s="1"/>
  <c r="CK100" i="22"/>
  <c r="CL100" i="22" s="1"/>
  <c r="BL100" i="22"/>
  <c r="BH100" i="22"/>
  <c r="AZ100" i="22"/>
  <c r="AT100" i="22"/>
  <c r="AP100" i="22"/>
  <c r="AI100" i="22"/>
  <c r="AG100" i="22"/>
  <c r="AE100" i="22"/>
  <c r="AF100" i="22" s="1"/>
  <c r="AD100" i="22"/>
  <c r="AC100" i="22"/>
  <c r="X100" i="22"/>
  <c r="V100" i="22"/>
  <c r="GF100" i="22" s="1"/>
  <c r="T100" i="22"/>
  <c r="S100" i="22" s="1"/>
  <c r="R100" i="22"/>
  <c r="AB100" i="22" s="1"/>
  <c r="N100" i="22"/>
  <c r="J100" i="22"/>
  <c r="DS100" i="22" s="1"/>
  <c r="H100" i="22"/>
  <c r="GG99" i="22"/>
  <c r="GE99" i="22"/>
  <c r="EH99" i="22"/>
  <c r="DO99" i="22"/>
  <c r="CN99" i="22"/>
  <c r="CM99" i="22"/>
  <c r="CO99" i="22" s="1"/>
  <c r="BH99" i="22"/>
  <c r="BI99" i="22" s="1"/>
  <c r="BE99" i="22"/>
  <c r="AZ99" i="22"/>
  <c r="AI99" i="22"/>
  <c r="AG99" i="22"/>
  <c r="AD99" i="22"/>
  <c r="AE99" i="22" s="1"/>
  <c r="AC99" i="22"/>
  <c r="X99" i="22"/>
  <c r="V99" i="22"/>
  <c r="U99" i="22"/>
  <c r="T99" i="22"/>
  <c r="EF99" i="22" s="1"/>
  <c r="R99" i="22"/>
  <c r="Q99" i="22" s="1"/>
  <c r="K99" i="22"/>
  <c r="O99" i="22" s="1"/>
  <c r="J99" i="22"/>
  <c r="AT99" i="22" s="1"/>
  <c r="H99" i="22"/>
  <c r="GG98" i="22"/>
  <c r="EH98" i="22"/>
  <c r="DO98" i="22"/>
  <c r="CN98" i="22"/>
  <c r="CO98" i="22" s="1"/>
  <c r="CM98" i="22"/>
  <c r="AZ98" i="22"/>
  <c r="AI98" i="22"/>
  <c r="AG98" i="22"/>
  <c r="AD98" i="22"/>
  <c r="BH98" i="22" s="1"/>
  <c r="AC98" i="22"/>
  <c r="X98" i="22"/>
  <c r="V98" i="22"/>
  <c r="U98" i="22" s="1"/>
  <c r="T98" i="22"/>
  <c r="EF98" i="22" s="1"/>
  <c r="S98" i="22"/>
  <c r="R98" i="22"/>
  <c r="AB98" i="22" s="1"/>
  <c r="J98" i="22"/>
  <c r="AT98" i="22" s="1"/>
  <c r="H98" i="22"/>
  <c r="GG97" i="22"/>
  <c r="DO97" i="22"/>
  <c r="CN97" i="22"/>
  <c r="CM97" i="22"/>
  <c r="CO97" i="22" s="1"/>
  <c r="CL97" i="22"/>
  <c r="CK97" i="22"/>
  <c r="AZ97" i="22"/>
  <c r="AP97" i="22"/>
  <c r="EH97" i="22" s="1"/>
  <c r="AI97" i="22"/>
  <c r="AG97" i="22"/>
  <c r="AE97" i="22"/>
  <c r="ES97" i="22" s="1"/>
  <c r="ER97" i="22" s="1"/>
  <c r="AD97" i="22"/>
  <c r="AC97" i="22"/>
  <c r="AB97" i="22"/>
  <c r="X97" i="22"/>
  <c r="V97" i="22"/>
  <c r="GF97" i="22" s="1"/>
  <c r="U97" i="22"/>
  <c r="T97" i="22"/>
  <c r="EF97" i="22" s="1"/>
  <c r="R97" i="22"/>
  <c r="Q97" i="22" s="1"/>
  <c r="J97" i="22"/>
  <c r="AT97" i="22" s="1"/>
  <c r="H97" i="22"/>
  <c r="GG96" i="22"/>
  <c r="EH96" i="22"/>
  <c r="DO96" i="22"/>
  <c r="CN96" i="22"/>
  <c r="CM96" i="22"/>
  <c r="CO96" i="22" s="1"/>
  <c r="BH96" i="22"/>
  <c r="AZ96" i="22"/>
  <c r="AI96" i="22"/>
  <c r="AG96" i="22"/>
  <c r="AE96" i="22"/>
  <c r="AF96" i="22" s="1"/>
  <c r="AD96" i="22"/>
  <c r="AC96" i="22"/>
  <c r="X96" i="22"/>
  <c r="V96" i="22"/>
  <c r="P96" i="22" s="1"/>
  <c r="EL96" i="22" s="1"/>
  <c r="T96" i="22"/>
  <c r="EF96" i="22" s="1"/>
  <c r="R96" i="22"/>
  <c r="AB96" i="22" s="1"/>
  <c r="J96" i="22"/>
  <c r="H96" i="22"/>
  <c r="GG95" i="22"/>
  <c r="GF95" i="22"/>
  <c r="EH95" i="22"/>
  <c r="DO95" i="22"/>
  <c r="CN95" i="22"/>
  <c r="CM95" i="22"/>
  <c r="CK95" i="22"/>
  <c r="CL95" i="22" s="1"/>
  <c r="AZ95" i="22"/>
  <c r="AP95" i="22"/>
  <c r="AI95" i="22"/>
  <c r="AG95" i="22"/>
  <c r="AD95" i="22"/>
  <c r="BH95" i="22" s="1"/>
  <c r="AC95" i="22"/>
  <c r="Z95" i="22"/>
  <c r="Y95" i="22" s="1"/>
  <c r="X95" i="22"/>
  <c r="V95" i="22"/>
  <c r="U95" i="22"/>
  <c r="T95" i="22"/>
  <c r="EF95" i="22" s="1"/>
  <c r="R95" i="22"/>
  <c r="Q95" i="22" s="1"/>
  <c r="J95" i="22"/>
  <c r="H95" i="22"/>
  <c r="GG94" i="22"/>
  <c r="GE94" i="22"/>
  <c r="EH94" i="22"/>
  <c r="DO94" i="22"/>
  <c r="CN94" i="22"/>
  <c r="CO94" i="22" s="1"/>
  <c r="CM94" i="22"/>
  <c r="AZ94" i="22"/>
  <c r="AW94" i="22"/>
  <c r="AW96" i="22" s="1"/>
  <c r="AW97" i="22" s="1"/>
  <c r="AI94" i="22"/>
  <c r="AG94" i="22"/>
  <c r="AD94" i="22"/>
  <c r="BH94" i="22" s="1"/>
  <c r="AC94" i="22"/>
  <c r="X94" i="22"/>
  <c r="V94" i="22"/>
  <c r="U94" i="22" s="1"/>
  <c r="T94" i="22"/>
  <c r="S94" i="22" s="1"/>
  <c r="R94" i="22"/>
  <c r="Q94" i="22" s="1"/>
  <c r="N94" i="22"/>
  <c r="J94" i="22"/>
  <c r="AR94" i="22" s="1"/>
  <c r="AQ94" i="22" s="1"/>
  <c r="H94" i="22"/>
  <c r="GG93" i="22"/>
  <c r="EH93" i="22"/>
  <c r="DO93" i="22"/>
  <c r="CN93" i="22"/>
  <c r="CM93" i="22"/>
  <c r="CO93" i="22" s="1"/>
  <c r="AZ93" i="22"/>
  <c r="AW93" i="22"/>
  <c r="AW95" i="22" s="1"/>
  <c r="AI93" i="22"/>
  <c r="AG93" i="22"/>
  <c r="AD93" i="22"/>
  <c r="BH93" i="22" s="1"/>
  <c r="AC93" i="22"/>
  <c r="X93" i="22"/>
  <c r="R93" i="22"/>
  <c r="AB93" i="22" s="1"/>
  <c r="J93" i="22"/>
  <c r="H93" i="22"/>
  <c r="GG92" i="22"/>
  <c r="GE92" i="22"/>
  <c r="EH92" i="22"/>
  <c r="DO92" i="22"/>
  <c r="CN92" i="22"/>
  <c r="CM92" i="22"/>
  <c r="CO92" i="22" s="1"/>
  <c r="BH92" i="22"/>
  <c r="AZ92" i="22"/>
  <c r="AI92" i="22"/>
  <c r="AG92" i="22"/>
  <c r="AD92" i="22"/>
  <c r="AC92" i="22"/>
  <c r="X92" i="22"/>
  <c r="R92" i="22"/>
  <c r="V92" i="22" s="1"/>
  <c r="Q92" i="22"/>
  <c r="J92" i="22"/>
  <c r="H92" i="22"/>
  <c r="GG91" i="22"/>
  <c r="EH91" i="22"/>
  <c r="DO91" i="22"/>
  <c r="CN91" i="22"/>
  <c r="CM91" i="22"/>
  <c r="AZ91" i="22"/>
  <c r="AT91" i="22"/>
  <c r="AI91" i="22"/>
  <c r="AG91" i="22"/>
  <c r="AD91" i="22"/>
  <c r="AC91" i="22"/>
  <c r="AB91" i="22"/>
  <c r="X91" i="22"/>
  <c r="R91" i="22"/>
  <c r="GE91" i="22" s="1"/>
  <c r="Q91" i="22"/>
  <c r="N91" i="22"/>
  <c r="J91" i="22"/>
  <c r="H91" i="22"/>
  <c r="GG90" i="22"/>
  <c r="EH90" i="22"/>
  <c r="DO90" i="22"/>
  <c r="CN90" i="22"/>
  <c r="CM90" i="22"/>
  <c r="AZ90" i="22"/>
  <c r="AI90" i="22"/>
  <c r="AG90" i="22"/>
  <c r="AD90" i="22"/>
  <c r="AE90" i="22" s="1"/>
  <c r="AC90" i="22"/>
  <c r="AB90" i="22"/>
  <c r="X90" i="22"/>
  <c r="R90" i="22"/>
  <c r="J90" i="22"/>
  <c r="Z90" i="22" s="1"/>
  <c r="Y90" i="22" s="1"/>
  <c r="H90" i="22"/>
  <c r="GG89" i="22"/>
  <c r="EH89" i="22"/>
  <c r="DO89" i="22"/>
  <c r="CN89" i="22"/>
  <c r="CM89" i="22"/>
  <c r="AZ89" i="22"/>
  <c r="AI89" i="22"/>
  <c r="AG89" i="22"/>
  <c r="AD89" i="22"/>
  <c r="BH89" i="22" s="1"/>
  <c r="AC89" i="22"/>
  <c r="X89" i="22"/>
  <c r="R89" i="22"/>
  <c r="AB89" i="22" s="1"/>
  <c r="Q89" i="22"/>
  <c r="J89" i="22"/>
  <c r="Z89" i="22" s="1"/>
  <c r="Y89" i="22" s="1"/>
  <c r="H89" i="22"/>
  <c r="GG88" i="22"/>
  <c r="GE88" i="22"/>
  <c r="EH88" i="22"/>
  <c r="DO88" i="22"/>
  <c r="CN88" i="22"/>
  <c r="CM88" i="22"/>
  <c r="AZ88" i="22"/>
  <c r="AI88" i="22"/>
  <c r="AG88" i="22"/>
  <c r="AE88" i="22"/>
  <c r="ES88" i="22" s="1"/>
  <c r="ER88" i="22" s="1"/>
  <c r="AD88" i="22"/>
  <c r="BH88" i="22" s="1"/>
  <c r="AC88" i="22"/>
  <c r="X88" i="22"/>
  <c r="R88" i="22"/>
  <c r="V88" i="22" s="1"/>
  <c r="J88" i="22"/>
  <c r="H88" i="22"/>
  <c r="GG87" i="22"/>
  <c r="EL87" i="22"/>
  <c r="EH87" i="22"/>
  <c r="DO87" i="22"/>
  <c r="CN87" i="22"/>
  <c r="CM87" i="22"/>
  <c r="CO87" i="22" s="1"/>
  <c r="CL87" i="22"/>
  <c r="CK87" i="22"/>
  <c r="BL87" i="22"/>
  <c r="AZ87" i="22"/>
  <c r="AT87" i="22"/>
  <c r="AP87" i="22"/>
  <c r="AI87" i="22"/>
  <c r="AG87" i="22"/>
  <c r="AD87" i="22"/>
  <c r="AC87" i="22"/>
  <c r="Z87" i="22"/>
  <c r="Y87" i="22" s="1"/>
  <c r="X87" i="22"/>
  <c r="R87" i="22"/>
  <c r="Q87" i="22"/>
  <c r="N87" i="22"/>
  <c r="J87" i="22"/>
  <c r="DS87" i="22" s="1"/>
  <c r="H87" i="22"/>
  <c r="GG86" i="22"/>
  <c r="DO86" i="22"/>
  <c r="CN86" i="22"/>
  <c r="CM86" i="22"/>
  <c r="CO86" i="22" s="1"/>
  <c r="CK86" i="22"/>
  <c r="CL86" i="22" s="1"/>
  <c r="BH86" i="22"/>
  <c r="AZ86" i="22"/>
  <c r="AP86" i="22"/>
  <c r="EH86" i="22" s="1"/>
  <c r="AI86" i="22"/>
  <c r="AG86" i="22"/>
  <c r="AD86" i="22"/>
  <c r="AE86" i="22" s="1"/>
  <c r="ES86" i="22" s="1"/>
  <c r="ER86" i="22" s="1"/>
  <c r="AC86" i="22"/>
  <c r="X86" i="22"/>
  <c r="R86" i="22"/>
  <c r="BL86" i="22" s="1"/>
  <c r="J86" i="22"/>
  <c r="DS86" i="22" s="1"/>
  <c r="H86" i="22"/>
  <c r="GG85" i="22"/>
  <c r="EH85" i="22"/>
  <c r="DO85" i="22"/>
  <c r="CN85" i="22"/>
  <c r="CM85" i="22"/>
  <c r="CO85" i="22" s="1"/>
  <c r="CH85" i="22"/>
  <c r="CG85" i="22"/>
  <c r="CI85" i="22" s="1"/>
  <c r="BY85" i="22"/>
  <c r="EG85" i="22" s="1"/>
  <c r="EI85" i="22" s="1"/>
  <c r="BH85" i="22"/>
  <c r="AZ85" i="22"/>
  <c r="AW85" i="22"/>
  <c r="AW86" i="22" s="1"/>
  <c r="AW87" i="22" s="1"/>
  <c r="AW88" i="22" s="1"/>
  <c r="AI85" i="22"/>
  <c r="AG85" i="22"/>
  <c r="AE85" i="22"/>
  <c r="ES85" i="22" s="1"/>
  <c r="ER85" i="22" s="1"/>
  <c r="AD85" i="22"/>
  <c r="AC85" i="22"/>
  <c r="X85" i="22"/>
  <c r="V85" i="22"/>
  <c r="U85" i="22" s="1"/>
  <c r="T85" i="22"/>
  <c r="EF85" i="22" s="1"/>
  <c r="S85" i="22"/>
  <c r="R85" i="22"/>
  <c r="AB85" i="22" s="1"/>
  <c r="P85" i="22"/>
  <c r="J85" i="22"/>
  <c r="H85" i="22"/>
  <c r="GG84" i="22"/>
  <c r="GE84" i="22"/>
  <c r="EH84" i="22"/>
  <c r="DO84" i="22"/>
  <c r="CN84" i="22"/>
  <c r="CM84" i="22"/>
  <c r="CH84" i="22"/>
  <c r="CG84" i="22"/>
  <c r="BY84" i="22"/>
  <c r="EG84" i="22" s="1"/>
  <c r="EI84" i="22" s="1"/>
  <c r="BH84" i="22"/>
  <c r="AZ84" i="22"/>
  <c r="AI84" i="22"/>
  <c r="AG84" i="22"/>
  <c r="AE84" i="22"/>
  <c r="ES84" i="22" s="1"/>
  <c r="ER84" i="22" s="1"/>
  <c r="AD84" i="22"/>
  <c r="AC84" i="22"/>
  <c r="AB84" i="22"/>
  <c r="BF84" i="22" s="1"/>
  <c r="X84" i="22"/>
  <c r="V84" i="22"/>
  <c r="AA84" i="22" s="1"/>
  <c r="U84" i="22"/>
  <c r="T84" i="22"/>
  <c r="EF84" i="22" s="1"/>
  <c r="R84" i="22"/>
  <c r="Q84" i="22"/>
  <c r="P84" i="22"/>
  <c r="EL84" i="22" s="1"/>
  <c r="J84" i="22"/>
  <c r="Z84" i="22" s="1"/>
  <c r="Y84" i="22" s="1"/>
  <c r="H84" i="22"/>
  <c r="GG83" i="22"/>
  <c r="EH83" i="22"/>
  <c r="DO83" i="22"/>
  <c r="CN83" i="22"/>
  <c r="CO83" i="22" s="1"/>
  <c r="CM83" i="22"/>
  <c r="CK83" i="22"/>
  <c r="CL83" i="22" s="1"/>
  <c r="BH83" i="22"/>
  <c r="AZ83" i="22"/>
  <c r="AP83" i="22"/>
  <c r="AI83" i="22"/>
  <c r="AG83" i="22"/>
  <c r="AE83" i="22"/>
  <c r="ES83" i="22" s="1"/>
  <c r="ER83" i="22" s="1"/>
  <c r="AD83" i="22"/>
  <c r="AC83" i="22"/>
  <c r="X83" i="22"/>
  <c r="V83" i="22"/>
  <c r="U83" i="22"/>
  <c r="T83" i="22"/>
  <c r="EF83" i="22" s="1"/>
  <c r="R83" i="22"/>
  <c r="Q83" i="22" s="1"/>
  <c r="J83" i="22"/>
  <c r="AT83" i="22" s="1"/>
  <c r="H83" i="22"/>
  <c r="GG82" i="22"/>
  <c r="EH82" i="22"/>
  <c r="DO82" i="22"/>
  <c r="CN82" i="22"/>
  <c r="CM82" i="22"/>
  <c r="AZ82" i="22"/>
  <c r="AI82" i="22"/>
  <c r="AG82" i="22"/>
  <c r="AD82" i="22"/>
  <c r="BH82" i="22" s="1"/>
  <c r="AC82" i="22"/>
  <c r="X82" i="22"/>
  <c r="V82" i="22"/>
  <c r="U82" i="22"/>
  <c r="T82" i="22"/>
  <c r="EF82" i="22" s="1"/>
  <c r="S82" i="22"/>
  <c r="R82" i="22"/>
  <c r="AB82" i="22" s="1"/>
  <c r="J82" i="22"/>
  <c r="H82" i="22"/>
  <c r="GG81" i="22"/>
  <c r="GE81" i="22"/>
  <c r="EH81" i="22"/>
  <c r="DO81" i="22"/>
  <c r="CN81" i="22"/>
  <c r="CM81" i="22"/>
  <c r="CO81" i="22" s="1"/>
  <c r="AZ81" i="22"/>
  <c r="AI81" i="22"/>
  <c r="AG81" i="22"/>
  <c r="AD81" i="22"/>
  <c r="AE81" i="22" s="1"/>
  <c r="ES81" i="22" s="1"/>
  <c r="ER81" i="22" s="1"/>
  <c r="AC81" i="22"/>
  <c r="Z81" i="22"/>
  <c r="Y81" i="22" s="1"/>
  <c r="X81" i="22"/>
  <c r="V81" i="22"/>
  <c r="AA81" i="22" s="1"/>
  <c r="U81" i="22"/>
  <c r="T81" i="22"/>
  <c r="EF81" i="22" s="1"/>
  <c r="R81" i="22"/>
  <c r="AB81" i="22" s="1"/>
  <c r="J81" i="22"/>
  <c r="AT81" i="22" s="1"/>
  <c r="H81" i="22"/>
  <c r="GG80" i="22"/>
  <c r="GE80" i="22"/>
  <c r="DO80" i="22"/>
  <c r="CN80" i="22"/>
  <c r="CM80" i="22"/>
  <c r="CO80" i="22" s="1"/>
  <c r="CK80" i="22"/>
  <c r="CL80" i="22" s="1"/>
  <c r="CH80" i="22"/>
  <c r="BY80" i="22"/>
  <c r="EG80" i="22" s="1"/>
  <c r="BL80" i="22"/>
  <c r="AZ80" i="22"/>
  <c r="AP80" i="22"/>
  <c r="EH80" i="22" s="1"/>
  <c r="AI80" i="22"/>
  <c r="AG80" i="22"/>
  <c r="AE80" i="22"/>
  <c r="ES80" i="22" s="1"/>
  <c r="ER80" i="22" s="1"/>
  <c r="AD80" i="22"/>
  <c r="BH80" i="22" s="1"/>
  <c r="AC80" i="22"/>
  <c r="X80" i="22"/>
  <c r="V80" i="22"/>
  <c r="U80" i="22"/>
  <c r="T80" i="22"/>
  <c r="S80" i="22" s="1"/>
  <c r="R80" i="22"/>
  <c r="Q80" i="22" s="1"/>
  <c r="J80" i="22"/>
  <c r="H80" i="22"/>
  <c r="GG79" i="22"/>
  <c r="GE79" i="22"/>
  <c r="EH79" i="22"/>
  <c r="DO79" i="22"/>
  <c r="CN79" i="22"/>
  <c r="CM79" i="22"/>
  <c r="CO79" i="22" s="1"/>
  <c r="AZ79" i="22"/>
  <c r="AI79" i="22"/>
  <c r="AG79" i="22"/>
  <c r="AE79" i="22"/>
  <c r="ES79" i="22" s="1"/>
  <c r="ER79" i="22" s="1"/>
  <c r="AD79" i="22"/>
  <c r="BH79" i="22" s="1"/>
  <c r="AC79" i="22"/>
  <c r="X79" i="22"/>
  <c r="V79" i="22"/>
  <c r="AA79" i="22" s="1"/>
  <c r="T79" i="22"/>
  <c r="EF79" i="22" s="1"/>
  <c r="R79" i="22"/>
  <c r="AB79" i="22" s="1"/>
  <c r="J79" i="22"/>
  <c r="H79" i="22"/>
  <c r="GG78" i="22"/>
  <c r="EF78" i="22"/>
  <c r="DO78" i="22"/>
  <c r="CN78" i="22"/>
  <c r="CM78" i="22"/>
  <c r="CO78" i="22" s="1"/>
  <c r="CK78" i="22"/>
  <c r="CL78" i="22" s="1"/>
  <c r="BL78" i="22"/>
  <c r="AZ78" i="22"/>
  <c r="AP78" i="22"/>
  <c r="EH78" i="22" s="1"/>
  <c r="AI78" i="22"/>
  <c r="AG78" i="22"/>
  <c r="AD78" i="22"/>
  <c r="AC78" i="22"/>
  <c r="X78" i="22"/>
  <c r="V78" i="22"/>
  <c r="U78" i="22" s="1"/>
  <c r="T78" i="22"/>
  <c r="S78" i="22" s="1"/>
  <c r="R78" i="22"/>
  <c r="Q78" i="22" s="1"/>
  <c r="J78" i="22"/>
  <c r="AT78" i="22" s="1"/>
  <c r="H78" i="22"/>
  <c r="GG77" i="22"/>
  <c r="EH77" i="22"/>
  <c r="DO77" i="22"/>
  <c r="CN77" i="22"/>
  <c r="CM77" i="22"/>
  <c r="CO77" i="22" s="1"/>
  <c r="AZ77" i="22"/>
  <c r="AI77" i="22"/>
  <c r="AG77" i="22"/>
  <c r="AD77" i="22"/>
  <c r="BH77" i="22" s="1"/>
  <c r="AC77" i="22"/>
  <c r="X77" i="22"/>
  <c r="V77" i="22"/>
  <c r="U77" i="22" s="1"/>
  <c r="T77" i="22"/>
  <c r="S77" i="22" s="1"/>
  <c r="R77" i="22"/>
  <c r="Q77" i="22" s="1"/>
  <c r="P77" i="22"/>
  <c r="EL77" i="22" s="1"/>
  <c r="J77" i="22"/>
  <c r="H77" i="22"/>
  <c r="GG76" i="22"/>
  <c r="DO76" i="22"/>
  <c r="CN76" i="22"/>
  <c r="CM76" i="22"/>
  <c r="CO76" i="22" s="1"/>
  <c r="CK76" i="22"/>
  <c r="CL76" i="22" s="1"/>
  <c r="AZ76" i="22"/>
  <c r="AP76" i="22"/>
  <c r="EH76" i="22" s="1"/>
  <c r="AI76" i="22"/>
  <c r="AG76" i="22"/>
  <c r="AE76" i="22"/>
  <c r="AF76" i="22" s="1"/>
  <c r="AD76" i="22"/>
  <c r="BH76" i="22" s="1"/>
  <c r="AC76" i="22"/>
  <c r="X76" i="22"/>
  <c r="V76" i="22"/>
  <c r="BY76" i="22" s="1"/>
  <c r="EG76" i="22" s="1"/>
  <c r="EI76" i="22" s="1"/>
  <c r="T76" i="22"/>
  <c r="S76" i="22" s="1"/>
  <c r="R76" i="22"/>
  <c r="AB76" i="22" s="1"/>
  <c r="P76" i="22"/>
  <c r="J76" i="22"/>
  <c r="H76" i="22"/>
  <c r="GG75" i="22"/>
  <c r="GF75" i="22" s="1"/>
  <c r="DO75" i="22"/>
  <c r="CN75" i="22"/>
  <c r="CM75" i="22"/>
  <c r="CK75" i="22"/>
  <c r="CL75" i="22" s="1"/>
  <c r="BH75" i="22"/>
  <c r="AZ75" i="22"/>
  <c r="AP75" i="22"/>
  <c r="EH75" i="22" s="1"/>
  <c r="AI75" i="22"/>
  <c r="AG75" i="22"/>
  <c r="AD75" i="22"/>
  <c r="AE75" i="22" s="1"/>
  <c r="AC75" i="22"/>
  <c r="X75" i="22"/>
  <c r="V75" i="22"/>
  <c r="U75" i="22" s="1"/>
  <c r="T75" i="22"/>
  <c r="EF75" i="22" s="1"/>
  <c r="S75" i="22"/>
  <c r="R75" i="22"/>
  <c r="Q75" i="22" s="1"/>
  <c r="N75" i="22"/>
  <c r="K75" i="22"/>
  <c r="DP75" i="22" s="1"/>
  <c r="J75" i="22"/>
  <c r="AT75" i="22" s="1"/>
  <c r="H75" i="22"/>
  <c r="GG74" i="22"/>
  <c r="EH74" i="22"/>
  <c r="DS74" i="22"/>
  <c r="DO74" i="22"/>
  <c r="CN74" i="22"/>
  <c r="CM74" i="22"/>
  <c r="CO74" i="22" s="1"/>
  <c r="BH74" i="22"/>
  <c r="AZ74" i="22"/>
  <c r="AR74" i="22"/>
  <c r="AI74" i="22"/>
  <c r="AG74" i="22"/>
  <c r="AD74" i="22"/>
  <c r="AE74" i="22" s="1"/>
  <c r="ES74" i="22" s="1"/>
  <c r="ER74" i="22" s="1"/>
  <c r="AC74" i="22"/>
  <c r="AB74" i="22"/>
  <c r="X74" i="22"/>
  <c r="V74" i="22"/>
  <c r="P74" i="22" s="1"/>
  <c r="T74" i="22"/>
  <c r="S74" i="22" s="1"/>
  <c r="R74" i="22"/>
  <c r="Q74" i="22" s="1"/>
  <c r="J74" i="22"/>
  <c r="N74" i="22" s="1"/>
  <c r="H74" i="22"/>
  <c r="GG73" i="22"/>
  <c r="GE73" i="22"/>
  <c r="EH73" i="22"/>
  <c r="DO73" i="22"/>
  <c r="CN73" i="22"/>
  <c r="CM73" i="22"/>
  <c r="CO73" i="22" s="1"/>
  <c r="AZ73" i="22"/>
  <c r="AT73" i="22"/>
  <c r="AI73" i="22"/>
  <c r="AG73" i="22"/>
  <c r="AD73" i="22"/>
  <c r="AE73" i="22" s="1"/>
  <c r="AC73" i="22"/>
  <c r="AB73" i="22"/>
  <c r="BF73" i="22" s="1"/>
  <c r="AA73" i="22"/>
  <c r="X73" i="22"/>
  <c r="V73" i="22"/>
  <c r="CH73" i="22" s="1"/>
  <c r="U73" i="22"/>
  <c r="T73" i="22"/>
  <c r="EF73" i="22" s="1"/>
  <c r="R73" i="22"/>
  <c r="Q73" i="22"/>
  <c r="P73" i="22"/>
  <c r="EL73" i="22" s="1"/>
  <c r="J73" i="22"/>
  <c r="DS73" i="22" s="1"/>
  <c r="H73" i="22"/>
  <c r="FH72" i="22"/>
  <c r="EH72" i="22"/>
  <c r="EF72" i="22"/>
  <c r="DA72" i="22"/>
  <c r="AP72" i="22"/>
  <c r="AN72" i="22"/>
  <c r="AL72" i="22"/>
  <c r="AI72" i="22"/>
  <c r="AD72" i="22"/>
  <c r="AE72" i="22" s="1"/>
  <c r="Z72" i="22"/>
  <c r="Y72" i="22"/>
  <c r="X72" i="22"/>
  <c r="T72" i="22"/>
  <c r="S72" i="22"/>
  <c r="R72" i="22"/>
  <c r="BL72" i="22" s="1"/>
  <c r="P72" i="22"/>
  <c r="M72" i="22"/>
  <c r="CM72" i="22" s="1"/>
  <c r="CO72" i="22" s="1"/>
  <c r="L72" i="22"/>
  <c r="AZ72" i="22" s="1"/>
  <c r="J72" i="22"/>
  <c r="AR72" i="22" s="1"/>
  <c r="I72" i="22"/>
  <c r="CN72" i="22" s="1"/>
  <c r="H72" i="22"/>
  <c r="GG71" i="22"/>
  <c r="FH71" i="22"/>
  <c r="EH71" i="22"/>
  <c r="DA71" i="22"/>
  <c r="AI71" i="22"/>
  <c r="AD71" i="22"/>
  <c r="AE71" i="22" s="1"/>
  <c r="Z71" i="22"/>
  <c r="Y71" i="22"/>
  <c r="X71" i="22"/>
  <c r="T71" i="22"/>
  <c r="R71" i="22"/>
  <c r="AB71" i="22" s="1"/>
  <c r="Q71" i="22"/>
  <c r="P71" i="22"/>
  <c r="M71" i="22"/>
  <c r="CM71" i="22" s="1"/>
  <c r="L71" i="22"/>
  <c r="AZ71" i="22" s="1"/>
  <c r="J71" i="22"/>
  <c r="I71" i="22"/>
  <c r="CN71" i="22" s="1"/>
  <c r="H71" i="22"/>
  <c r="GG70" i="22"/>
  <c r="FH70" i="22"/>
  <c r="EF70" i="22"/>
  <c r="DA70" i="22"/>
  <c r="CN70" i="22"/>
  <c r="AI70" i="22"/>
  <c r="AD70" i="22"/>
  <c r="BH70" i="22" s="1"/>
  <c r="Z70" i="22"/>
  <c r="X70" i="22"/>
  <c r="T70" i="22"/>
  <c r="R70" i="22"/>
  <c r="P70" i="22"/>
  <c r="M70" i="22"/>
  <c r="EH70" i="22" s="1"/>
  <c r="L70" i="22"/>
  <c r="H70" i="22" s="1"/>
  <c r="J70" i="22"/>
  <c r="N70" i="22" s="1"/>
  <c r="I70" i="22"/>
  <c r="GG69" i="22"/>
  <c r="FH69" i="22"/>
  <c r="EH69" i="22"/>
  <c r="DS69" i="22"/>
  <c r="DA69" i="22"/>
  <c r="CM69" i="22"/>
  <c r="CJ69" i="22"/>
  <c r="AP69" i="22"/>
  <c r="AN69" i="22"/>
  <c r="AL69" i="22"/>
  <c r="AI69" i="22"/>
  <c r="AD69" i="22"/>
  <c r="BH69" i="22" s="1"/>
  <c r="Z69" i="22"/>
  <c r="X69" i="22"/>
  <c r="T69" i="22"/>
  <c r="EF69" i="22" s="1"/>
  <c r="R69" i="22"/>
  <c r="AB69" i="22" s="1"/>
  <c r="P69" i="22"/>
  <c r="M69" i="22"/>
  <c r="N69" i="22" s="1"/>
  <c r="L69" i="22"/>
  <c r="AZ69" i="22" s="1"/>
  <c r="J69" i="22"/>
  <c r="AR69" i="22" s="1"/>
  <c r="I69" i="22"/>
  <c r="CN69" i="22" s="1"/>
  <c r="H69" i="22"/>
  <c r="DA68" i="22"/>
  <c r="CM68" i="22"/>
  <c r="AN68" i="22"/>
  <c r="AL68" i="22"/>
  <c r="AI68" i="22"/>
  <c r="AD68" i="22"/>
  <c r="BH68" i="22" s="1"/>
  <c r="Z68" i="22"/>
  <c r="Y68" i="22" s="1"/>
  <c r="X68" i="22"/>
  <c r="T68" i="22"/>
  <c r="R68" i="22"/>
  <c r="Q68" i="22"/>
  <c r="P68" i="22"/>
  <c r="M68" i="22"/>
  <c r="L68" i="22"/>
  <c r="AZ68" i="22" s="1"/>
  <c r="J68" i="22"/>
  <c r="I68" i="22"/>
  <c r="CN68" i="22" s="1"/>
  <c r="H68" i="22"/>
  <c r="GG67" i="22"/>
  <c r="DA67" i="22"/>
  <c r="CN67" i="22"/>
  <c r="AI67" i="22"/>
  <c r="AD67" i="22"/>
  <c r="BH67" i="22" s="1"/>
  <c r="Z67" i="22"/>
  <c r="X67" i="22"/>
  <c r="T67" i="22"/>
  <c r="S67" i="22" s="1"/>
  <c r="R67" i="22"/>
  <c r="AB67" i="22" s="1"/>
  <c r="P67" i="22"/>
  <c r="M67" i="22"/>
  <c r="EH67" i="22" s="1"/>
  <c r="L67" i="22"/>
  <c r="EL67" i="22" s="1"/>
  <c r="J67" i="22"/>
  <c r="N67" i="22" s="1"/>
  <c r="I67" i="22"/>
  <c r="GG66" i="22"/>
  <c r="EH66" i="22"/>
  <c r="DA66" i="22"/>
  <c r="CN66" i="22"/>
  <c r="CM66" i="22"/>
  <c r="CK66" i="22"/>
  <c r="AZ66" i="22"/>
  <c r="AR66" i="22"/>
  <c r="AN66" i="22"/>
  <c r="CJ66" i="22" s="1"/>
  <c r="AL66" i="22"/>
  <c r="AI66" i="22"/>
  <c r="AD66" i="22"/>
  <c r="AE66" i="22" s="1"/>
  <c r="Z66" i="22"/>
  <c r="Y66" i="22" s="1"/>
  <c r="X66" i="22"/>
  <c r="T66" i="22"/>
  <c r="EF66" i="22" s="1"/>
  <c r="S66" i="22"/>
  <c r="R66" i="22"/>
  <c r="BL66" i="22" s="1"/>
  <c r="P66" i="22"/>
  <c r="V66" i="22" s="1"/>
  <c r="M66" i="22"/>
  <c r="L66" i="22"/>
  <c r="J66" i="22"/>
  <c r="N66" i="22" s="1"/>
  <c r="I66" i="22"/>
  <c r="GE65" i="22"/>
  <c r="EF65" i="22"/>
  <c r="DA65" i="22"/>
  <c r="CN65" i="22"/>
  <c r="AP65" i="22"/>
  <c r="AN65" i="22"/>
  <c r="CJ65" i="22" s="1"/>
  <c r="AL65" i="22"/>
  <c r="CK65" i="22" s="1"/>
  <c r="AI65" i="22"/>
  <c r="AD65" i="22"/>
  <c r="AE65" i="22" s="1"/>
  <c r="AB65" i="22"/>
  <c r="Z65" i="22"/>
  <c r="X65" i="22"/>
  <c r="T65" i="22"/>
  <c r="S65" i="22" s="1"/>
  <c r="R65" i="22"/>
  <c r="Q65" i="22"/>
  <c r="P65" i="22"/>
  <c r="V65" i="22" s="1"/>
  <c r="M65" i="22"/>
  <c r="Y65" i="22" s="1"/>
  <c r="L65" i="22"/>
  <c r="DS65" i="22" s="1"/>
  <c r="K65" i="22"/>
  <c r="BE65" i="22" s="1"/>
  <c r="J65" i="22"/>
  <c r="I65" i="22"/>
  <c r="DA64" i="22"/>
  <c r="AI64" i="22"/>
  <c r="AD64" i="22"/>
  <c r="BH64" i="22" s="1"/>
  <c r="Z64" i="22"/>
  <c r="Y64" i="22" s="1"/>
  <c r="X64" i="22"/>
  <c r="T64" i="22"/>
  <c r="R64" i="22"/>
  <c r="GE64" i="22" s="1"/>
  <c r="P64" i="22"/>
  <c r="M64" i="22"/>
  <c r="EH64" i="22" s="1"/>
  <c r="L64" i="22"/>
  <c r="AZ64" i="22" s="1"/>
  <c r="J64" i="22"/>
  <c r="I64" i="22"/>
  <c r="CN64" i="22" s="1"/>
  <c r="GE63" i="22"/>
  <c r="DA63" i="22"/>
  <c r="AP63" i="22"/>
  <c r="AN63" i="22"/>
  <c r="AL63" i="22"/>
  <c r="GG63" i="22" s="1"/>
  <c r="AI63" i="22"/>
  <c r="AD63" i="22"/>
  <c r="AE63" i="22" s="1"/>
  <c r="ES63" i="22" s="1"/>
  <c r="ER63" i="22" s="1"/>
  <c r="AB63" i="22"/>
  <c r="Z63" i="22"/>
  <c r="X63" i="22"/>
  <c r="T63" i="22"/>
  <c r="S63" i="22" s="1"/>
  <c r="R63" i="22"/>
  <c r="BL63" i="22" s="1"/>
  <c r="P63" i="22"/>
  <c r="EL63" i="22" s="1"/>
  <c r="M63" i="22"/>
  <c r="AF63" i="22" s="1"/>
  <c r="L63" i="22"/>
  <c r="J63" i="22"/>
  <c r="I63" i="22"/>
  <c r="CN63" i="22" s="1"/>
  <c r="H63" i="22"/>
  <c r="EF62" i="22"/>
  <c r="DA62" i="22"/>
  <c r="BL62" i="22"/>
  <c r="BH62" i="22"/>
  <c r="AN62" i="22"/>
  <c r="AL62" i="22"/>
  <c r="AI62" i="22"/>
  <c r="AD62" i="22"/>
  <c r="AE62" i="22" s="1"/>
  <c r="ES62" i="22" s="1"/>
  <c r="ER62" i="22" s="1"/>
  <c r="Z62" i="22"/>
  <c r="X62" i="22"/>
  <c r="T62" i="22"/>
  <c r="R62" i="22"/>
  <c r="P62" i="22"/>
  <c r="M62" i="22"/>
  <c r="L62" i="22"/>
  <c r="AZ62" i="22" s="1"/>
  <c r="J62" i="22"/>
  <c r="I62" i="22"/>
  <c r="CN62" i="22" s="1"/>
  <c r="EF61" i="22"/>
  <c r="DA61" i="22"/>
  <c r="AI61" i="22"/>
  <c r="AD61" i="22"/>
  <c r="BH61" i="22" s="1"/>
  <c r="AB61" i="22"/>
  <c r="Z61" i="22"/>
  <c r="X61" i="22"/>
  <c r="V61" i="22"/>
  <c r="U61" i="22" s="1"/>
  <c r="T61" i="22"/>
  <c r="S61" i="22" s="1"/>
  <c r="R61" i="22"/>
  <c r="GE61" i="22" s="1"/>
  <c r="P61" i="22"/>
  <c r="EL61" i="22" s="1"/>
  <c r="M61" i="22"/>
  <c r="EH61" i="22" s="1"/>
  <c r="L61" i="22"/>
  <c r="J61" i="22"/>
  <c r="N61" i="22" s="1"/>
  <c r="I61" i="22"/>
  <c r="CN61" i="22" s="1"/>
  <c r="H61" i="22"/>
  <c r="DA60" i="22"/>
  <c r="AI60" i="22"/>
  <c r="AD60" i="22"/>
  <c r="BH60" i="22" s="1"/>
  <c r="Z60" i="22"/>
  <c r="Y60" i="22" s="1"/>
  <c r="X60" i="22"/>
  <c r="V60" i="22"/>
  <c r="U60" i="22" s="1"/>
  <c r="T60" i="22"/>
  <c r="EF60" i="22" s="1"/>
  <c r="R60" i="22"/>
  <c r="Q60" i="22" s="1"/>
  <c r="P60" i="22"/>
  <c r="EL60" i="22" s="1"/>
  <c r="M60" i="22"/>
  <c r="GG60" i="22" s="1"/>
  <c r="L60" i="22"/>
  <c r="AZ60" i="22" s="1"/>
  <c r="J60" i="22"/>
  <c r="I60" i="22"/>
  <c r="CN60" i="22" s="1"/>
  <c r="DA59" i="22"/>
  <c r="CM59" i="22"/>
  <c r="CO59" i="22" s="1"/>
  <c r="AI59" i="22"/>
  <c r="AD59" i="22"/>
  <c r="BH59" i="22" s="1"/>
  <c r="Z59" i="22"/>
  <c r="X59" i="22"/>
  <c r="T59" i="22"/>
  <c r="EF59" i="22" s="1"/>
  <c r="S59" i="22"/>
  <c r="R59" i="22"/>
  <c r="GE59" i="22" s="1"/>
  <c r="P59" i="22"/>
  <c r="V59" i="22" s="1"/>
  <c r="N59" i="22"/>
  <c r="M59" i="22"/>
  <c r="EH59" i="22" s="1"/>
  <c r="L59" i="22"/>
  <c r="J59" i="22"/>
  <c r="I59" i="22"/>
  <c r="CN59" i="22" s="1"/>
  <c r="DA58" i="22"/>
  <c r="CJ58" i="22"/>
  <c r="AP58" i="22"/>
  <c r="AN58" i="22"/>
  <c r="AL58" i="22"/>
  <c r="AI58" i="22"/>
  <c r="AD58" i="22"/>
  <c r="AE58" i="22" s="1"/>
  <c r="ES58" i="22" s="1"/>
  <c r="Z58" i="22"/>
  <c r="X58" i="22"/>
  <c r="T58" i="22"/>
  <c r="R58" i="22"/>
  <c r="P58" i="22"/>
  <c r="M58" i="22"/>
  <c r="L58" i="22"/>
  <c r="AZ58" i="22" s="1"/>
  <c r="J58" i="22"/>
  <c r="I58" i="22"/>
  <c r="CN58" i="22" s="1"/>
  <c r="DA57" i="22"/>
  <c r="AP57" i="22"/>
  <c r="AN57" i="22"/>
  <c r="CJ57" i="22" s="1"/>
  <c r="AL57" i="22"/>
  <c r="AI57" i="22"/>
  <c r="AD57" i="22"/>
  <c r="AE57" i="22" s="1"/>
  <c r="Z57" i="22"/>
  <c r="Y57" i="22" s="1"/>
  <c r="X57" i="22"/>
  <c r="T57" i="22"/>
  <c r="EF57" i="22" s="1"/>
  <c r="R57" i="22"/>
  <c r="AB57" i="22" s="1"/>
  <c r="Q57" i="22"/>
  <c r="P57" i="22"/>
  <c r="N57" i="22"/>
  <c r="M57" i="22"/>
  <c r="GG57" i="22" s="1"/>
  <c r="L57" i="22"/>
  <c r="AZ57" i="22" s="1"/>
  <c r="J57" i="22"/>
  <c r="AR57" i="22" s="1"/>
  <c r="I57" i="22"/>
  <c r="CN57" i="22" s="1"/>
  <c r="GG56" i="22"/>
  <c r="DO56" i="22"/>
  <c r="CN56" i="22"/>
  <c r="CM56" i="22"/>
  <c r="CO56" i="22" s="1"/>
  <c r="CK56" i="22"/>
  <c r="CL56" i="22" s="1"/>
  <c r="BL56" i="22"/>
  <c r="BH56" i="22"/>
  <c r="AZ56" i="22"/>
  <c r="AP56" i="22"/>
  <c r="EH56" i="22" s="1"/>
  <c r="AI56" i="22"/>
  <c r="AG56" i="22"/>
  <c r="AD56" i="22"/>
  <c r="AE56" i="22" s="1"/>
  <c r="ES56" i="22" s="1"/>
  <c r="ER56" i="22" s="1"/>
  <c r="AC56" i="22"/>
  <c r="X56" i="22"/>
  <c r="R56" i="22"/>
  <c r="AB56" i="22" s="1"/>
  <c r="J56" i="22"/>
  <c r="H56" i="22" s="1"/>
  <c r="GG55" i="22"/>
  <c r="EL55" i="22"/>
  <c r="EH55" i="22"/>
  <c r="DO55" i="22"/>
  <c r="CN55" i="22"/>
  <c r="CM55" i="22"/>
  <c r="CO55" i="22" s="1"/>
  <c r="CK55" i="22"/>
  <c r="CL55" i="22" s="1"/>
  <c r="BH55" i="22"/>
  <c r="AZ55" i="22"/>
  <c r="AT55" i="22"/>
  <c r="AP55" i="22"/>
  <c r="AI55" i="22"/>
  <c r="AG55" i="22"/>
  <c r="AD55" i="22"/>
  <c r="AC55" i="22"/>
  <c r="X55" i="22"/>
  <c r="R55" i="22"/>
  <c r="V55" i="22" s="1"/>
  <c r="J55" i="22"/>
  <c r="GG54" i="22"/>
  <c r="DO54" i="22"/>
  <c r="CN54" i="22"/>
  <c r="CM54" i="22"/>
  <c r="CO54" i="22" s="1"/>
  <c r="CK54" i="22"/>
  <c r="CL54" i="22" s="1"/>
  <c r="AZ54" i="22"/>
  <c r="AP54" i="22"/>
  <c r="EH54" i="22" s="1"/>
  <c r="AI54" i="22"/>
  <c r="AG54" i="22"/>
  <c r="AE54" i="22"/>
  <c r="ES54" i="22" s="1"/>
  <c r="ER54" i="22" s="1"/>
  <c r="AD54" i="22"/>
  <c r="BH54" i="22" s="1"/>
  <c r="AC54" i="22"/>
  <c r="X54" i="22"/>
  <c r="R54" i="22"/>
  <c r="V54" i="22" s="1"/>
  <c r="J54" i="22"/>
  <c r="K54" i="22" s="1"/>
  <c r="GG53" i="22"/>
  <c r="DO53" i="22"/>
  <c r="CN53" i="22"/>
  <c r="CO53" i="22" s="1"/>
  <c r="CM53" i="22"/>
  <c r="CK53" i="22"/>
  <c r="CL53" i="22" s="1"/>
  <c r="AZ53" i="22"/>
  <c r="AP53" i="22"/>
  <c r="EH53" i="22" s="1"/>
  <c r="AI53" i="22"/>
  <c r="AG53" i="22"/>
  <c r="AD53" i="22"/>
  <c r="AC53" i="22"/>
  <c r="AB53" i="22"/>
  <c r="X53" i="22"/>
  <c r="R53" i="22"/>
  <c r="V53" i="22" s="1"/>
  <c r="J53" i="22"/>
  <c r="K53" i="22" s="1"/>
  <c r="T53" i="22" s="1"/>
  <c r="GG52" i="22"/>
  <c r="EH52" i="22"/>
  <c r="DO52" i="22"/>
  <c r="CN52" i="22"/>
  <c r="CM52" i="22"/>
  <c r="CO52" i="22" s="1"/>
  <c r="BH52" i="22"/>
  <c r="BI52" i="22" s="1"/>
  <c r="AZ52" i="22"/>
  <c r="AI52" i="22"/>
  <c r="AG52" i="22"/>
  <c r="AD52" i="22"/>
  <c r="AE52" i="22" s="1"/>
  <c r="ES52" i="22" s="1"/>
  <c r="ER52" i="22" s="1"/>
  <c r="AC52" i="22"/>
  <c r="X52" i="22"/>
  <c r="T52" i="22"/>
  <c r="EF52" i="22" s="1"/>
  <c r="R52" i="22"/>
  <c r="AB52" i="22" s="1"/>
  <c r="O52" i="22"/>
  <c r="K52" i="22"/>
  <c r="BE52" i="22" s="1"/>
  <c r="J52" i="22"/>
  <c r="H52" i="22" s="1"/>
  <c r="GG51" i="22"/>
  <c r="EH51" i="22"/>
  <c r="DO51" i="22"/>
  <c r="CN51" i="22"/>
  <c r="CO51" i="22" s="1"/>
  <c r="CM51" i="22"/>
  <c r="AZ51" i="22"/>
  <c r="AI51" i="22"/>
  <c r="AG51" i="22"/>
  <c r="AD51" i="22"/>
  <c r="AC51" i="22"/>
  <c r="AB51" i="22"/>
  <c r="X51" i="22"/>
  <c r="R51" i="22"/>
  <c r="V51" i="22" s="1"/>
  <c r="Q51" i="22"/>
  <c r="J51" i="22"/>
  <c r="H51" i="22"/>
  <c r="GG50" i="22"/>
  <c r="EH50" i="22"/>
  <c r="DO50" i="22"/>
  <c r="CN50" i="22"/>
  <c r="CM50" i="22"/>
  <c r="CO50" i="22" s="1"/>
  <c r="AZ50" i="22"/>
  <c r="AI50" i="22"/>
  <c r="AG50" i="22"/>
  <c r="AD50" i="22"/>
  <c r="AE50" i="22" s="1"/>
  <c r="ES50" i="22" s="1"/>
  <c r="ER50" i="22" s="1"/>
  <c r="AC50" i="22"/>
  <c r="X50" i="22"/>
  <c r="R50" i="22"/>
  <c r="Q50" i="22" s="1"/>
  <c r="K50" i="22"/>
  <c r="O50" i="22" s="1"/>
  <c r="J50" i="22"/>
  <c r="AT50" i="22" s="1"/>
  <c r="GG49" i="22"/>
  <c r="EH49" i="22"/>
  <c r="DO49" i="22"/>
  <c r="CN49" i="22"/>
  <c r="CM49" i="22"/>
  <c r="CO49" i="22" s="1"/>
  <c r="AZ49" i="22"/>
  <c r="AI49" i="22"/>
  <c r="AG49" i="22"/>
  <c r="AD49" i="22"/>
  <c r="BH49" i="22" s="1"/>
  <c r="AC49" i="22"/>
  <c r="X49" i="22"/>
  <c r="R49" i="22"/>
  <c r="V49" i="22" s="1"/>
  <c r="AA49" i="22" s="1"/>
  <c r="Q49" i="22"/>
  <c r="J49" i="22"/>
  <c r="Z49" i="22" s="1"/>
  <c r="Y49" i="22" s="1"/>
  <c r="H49" i="22"/>
  <c r="GG48" i="22"/>
  <c r="EH48" i="22"/>
  <c r="DS48" i="22"/>
  <c r="DO48" i="22"/>
  <c r="CN48" i="22"/>
  <c r="CM48" i="22"/>
  <c r="BH48" i="22"/>
  <c r="AZ48" i="22"/>
  <c r="AI48" i="22"/>
  <c r="AG48" i="22"/>
  <c r="AE48" i="22"/>
  <c r="ES48" i="22" s="1"/>
  <c r="ER48" i="22" s="1"/>
  <c r="AD48" i="22"/>
  <c r="AC48" i="22"/>
  <c r="X48" i="22"/>
  <c r="R48" i="22"/>
  <c r="V48" i="22" s="1"/>
  <c r="J48" i="22"/>
  <c r="K48" i="22" s="1"/>
  <c r="H48" i="22"/>
  <c r="GG47" i="22"/>
  <c r="GE47" i="22"/>
  <c r="EH47" i="22"/>
  <c r="DO47" i="22"/>
  <c r="CO47" i="22"/>
  <c r="CN47" i="22"/>
  <c r="CM47" i="22"/>
  <c r="AZ47" i="22"/>
  <c r="AI47" i="22"/>
  <c r="AG47" i="22"/>
  <c r="AD47" i="22"/>
  <c r="AC47" i="22"/>
  <c r="X47" i="22"/>
  <c r="R47" i="22"/>
  <c r="V47" i="22" s="1"/>
  <c r="J47" i="22"/>
  <c r="DS47" i="22" s="1"/>
  <c r="GG46" i="22"/>
  <c r="EH46" i="22"/>
  <c r="DO46" i="22"/>
  <c r="CN46" i="22"/>
  <c r="CM46" i="22"/>
  <c r="CO46" i="22" s="1"/>
  <c r="BH46" i="22"/>
  <c r="AZ46" i="22"/>
  <c r="AI46" i="22"/>
  <c r="AG46" i="22"/>
  <c r="AE46" i="22"/>
  <c r="ES46" i="22" s="1"/>
  <c r="ER46" i="22" s="1"/>
  <c r="AD46" i="22"/>
  <c r="AC46" i="22"/>
  <c r="X46" i="22"/>
  <c r="R46" i="22"/>
  <c r="AB46" i="22" s="1"/>
  <c r="J46" i="22"/>
  <c r="H46" i="22"/>
  <c r="GG45" i="22"/>
  <c r="EL45" i="22"/>
  <c r="EH45" i="22"/>
  <c r="DO45" i="22"/>
  <c r="CN45" i="22"/>
  <c r="CM45" i="22"/>
  <c r="CO45" i="22" s="1"/>
  <c r="BH45" i="22"/>
  <c r="AZ45" i="22"/>
  <c r="AI45" i="22"/>
  <c r="AG45" i="22"/>
  <c r="AD45" i="22"/>
  <c r="AE45" i="22" s="1"/>
  <c r="ES45" i="22" s="1"/>
  <c r="ER45" i="22" s="1"/>
  <c r="AC45" i="22"/>
  <c r="X45" i="22"/>
  <c r="V45" i="22"/>
  <c r="U45" i="22" s="1"/>
  <c r="R45" i="22"/>
  <c r="Q45" i="22" s="1"/>
  <c r="J45" i="22"/>
  <c r="AT45" i="22" s="1"/>
  <c r="GG44" i="22"/>
  <c r="EH44" i="22"/>
  <c r="DO44" i="22"/>
  <c r="CN44" i="22"/>
  <c r="CM44" i="22"/>
  <c r="CO44" i="22" s="1"/>
  <c r="AZ44" i="22"/>
  <c r="AI44" i="22"/>
  <c r="AG44" i="22"/>
  <c r="AD44" i="22"/>
  <c r="AE44" i="22" s="1"/>
  <c r="AC44" i="22"/>
  <c r="Z44" i="22"/>
  <c r="Y44" i="22" s="1"/>
  <c r="X44" i="22"/>
  <c r="R44" i="22"/>
  <c r="Q44" i="22" s="1"/>
  <c r="J44" i="22"/>
  <c r="AT44" i="22" s="1"/>
  <c r="GG43" i="22"/>
  <c r="GE43" i="22"/>
  <c r="EH43" i="22"/>
  <c r="DO43" i="22"/>
  <c r="CN43" i="22"/>
  <c r="CM43" i="22"/>
  <c r="CO43" i="22" s="1"/>
  <c r="AZ43" i="22"/>
  <c r="AI43" i="22"/>
  <c r="AG43" i="22"/>
  <c r="AD43" i="22"/>
  <c r="BH43" i="22" s="1"/>
  <c r="AC43" i="22"/>
  <c r="X43" i="22"/>
  <c r="R43" i="22"/>
  <c r="J43" i="22"/>
  <c r="H43" i="22" s="1"/>
  <c r="GG42" i="22"/>
  <c r="EH42" i="22"/>
  <c r="DO42" i="22"/>
  <c r="CN42" i="22"/>
  <c r="CM42" i="22"/>
  <c r="CO42" i="22" s="1"/>
  <c r="BH42" i="22"/>
  <c r="AZ42" i="22"/>
  <c r="AI42" i="22"/>
  <c r="AG42" i="22"/>
  <c r="AD42" i="22"/>
  <c r="AE42" i="22" s="1"/>
  <c r="ES42" i="22" s="1"/>
  <c r="ER42" i="22" s="1"/>
  <c r="AC42" i="22"/>
  <c r="X42" i="22"/>
  <c r="R42" i="22"/>
  <c r="AB42" i="22" s="1"/>
  <c r="J42" i="22"/>
  <c r="H42" i="22" s="1"/>
  <c r="GG41" i="22"/>
  <c r="EH41" i="22"/>
  <c r="DS41" i="22"/>
  <c r="DO41" i="22"/>
  <c r="CN41" i="22"/>
  <c r="CM41" i="22"/>
  <c r="CO41" i="22" s="1"/>
  <c r="BH41" i="22"/>
  <c r="AZ41" i="22"/>
  <c r="AI41" i="22"/>
  <c r="AG41" i="22"/>
  <c r="AD41" i="22"/>
  <c r="AE41" i="22" s="1"/>
  <c r="ES41" i="22" s="1"/>
  <c r="ER41" i="22" s="1"/>
  <c r="AC41" i="22"/>
  <c r="X41" i="22"/>
  <c r="R41" i="22"/>
  <c r="AB41" i="22" s="1"/>
  <c r="K41" i="22"/>
  <c r="T41" i="22" s="1"/>
  <c r="J41" i="22"/>
  <c r="AT41" i="22" s="1"/>
  <c r="DA40" i="22"/>
  <c r="AI40" i="22"/>
  <c r="AD40" i="22"/>
  <c r="BH40" i="22" s="1"/>
  <c r="Z40" i="22"/>
  <c r="X40" i="22"/>
  <c r="T40" i="22"/>
  <c r="R40" i="22"/>
  <c r="P40" i="22"/>
  <c r="M40" i="22"/>
  <c r="GG40" i="22" s="1"/>
  <c r="L40" i="22"/>
  <c r="AZ40" i="22" s="1"/>
  <c r="J40" i="22"/>
  <c r="H40" i="22" s="1"/>
  <c r="I40" i="22"/>
  <c r="CN40" i="22" s="1"/>
  <c r="DA39" i="22"/>
  <c r="AI39" i="22"/>
  <c r="AD39" i="22"/>
  <c r="BH39" i="22" s="1"/>
  <c r="Z39" i="22"/>
  <c r="X39" i="22"/>
  <c r="T39" i="22"/>
  <c r="EF39" i="22" s="1"/>
  <c r="R39" i="22"/>
  <c r="GE39" i="22" s="1"/>
  <c r="P39" i="22"/>
  <c r="M39" i="22"/>
  <c r="EH39" i="22" s="1"/>
  <c r="L39" i="22"/>
  <c r="AZ39" i="22" s="1"/>
  <c r="J39" i="22"/>
  <c r="AR39" i="22" s="1"/>
  <c r="I39" i="22"/>
  <c r="CN39" i="22" s="1"/>
  <c r="GE38" i="22"/>
  <c r="DA38" i="22"/>
  <c r="AI38" i="22"/>
  <c r="AD38" i="22"/>
  <c r="BH38" i="22" s="1"/>
  <c r="Z38" i="22"/>
  <c r="X38" i="22"/>
  <c r="T38" i="22"/>
  <c r="R38" i="22"/>
  <c r="P38" i="22"/>
  <c r="V38" i="22" s="1"/>
  <c r="M38" i="22"/>
  <c r="EF38" i="22" s="1"/>
  <c r="L38" i="22"/>
  <c r="AZ38" i="22" s="1"/>
  <c r="J38" i="22"/>
  <c r="AR38" i="22" s="1"/>
  <c r="I38" i="22"/>
  <c r="CN38" i="22" s="1"/>
  <c r="DA37" i="22"/>
  <c r="AI37" i="22"/>
  <c r="AD37" i="22"/>
  <c r="BH37" i="22" s="1"/>
  <c r="Z37" i="22"/>
  <c r="X37" i="22"/>
  <c r="T37" i="22"/>
  <c r="R37" i="22"/>
  <c r="GE37" i="22" s="1"/>
  <c r="P37" i="22"/>
  <c r="M37" i="22"/>
  <c r="L37" i="22"/>
  <c r="J37" i="22"/>
  <c r="DS37" i="22" s="1"/>
  <c r="I37" i="22"/>
  <c r="CN37" i="22" s="1"/>
  <c r="GG36" i="22"/>
  <c r="GE36" i="22"/>
  <c r="EH36" i="22"/>
  <c r="EF36" i="22"/>
  <c r="DO36" i="22"/>
  <c r="CN36" i="22"/>
  <c r="CM36" i="22"/>
  <c r="AZ36" i="22"/>
  <c r="AI36" i="22"/>
  <c r="AG36" i="22"/>
  <c r="AD36" i="22"/>
  <c r="BH36" i="22" s="1"/>
  <c r="AC36" i="22"/>
  <c r="AB36" i="22"/>
  <c r="Z36" i="22"/>
  <c r="X36" i="22"/>
  <c r="V36" i="22"/>
  <c r="CH36" i="22" s="1"/>
  <c r="S36" i="22"/>
  <c r="Q36" i="22"/>
  <c r="J36" i="22"/>
  <c r="N36" i="22" s="1"/>
  <c r="GG35" i="22"/>
  <c r="GE35" i="22"/>
  <c r="EL35" i="22"/>
  <c r="EH35" i="22"/>
  <c r="EF35" i="22"/>
  <c r="DO35" i="22"/>
  <c r="CN35" i="22"/>
  <c r="CO35" i="22" s="1"/>
  <c r="CM35" i="22"/>
  <c r="AZ35" i="22"/>
  <c r="AI35" i="22"/>
  <c r="AG35" i="22"/>
  <c r="AD35" i="22"/>
  <c r="BH35" i="22" s="1"/>
  <c r="AC35" i="22"/>
  <c r="AB35" i="22"/>
  <c r="AA35" i="22"/>
  <c r="Z35" i="22"/>
  <c r="Y35" i="22" s="1"/>
  <c r="X35" i="22"/>
  <c r="V35" i="22"/>
  <c r="U35" i="22" s="1"/>
  <c r="S35" i="22"/>
  <c r="Q35" i="22"/>
  <c r="J35" i="22"/>
  <c r="N35" i="22" s="1"/>
  <c r="GG34" i="22"/>
  <c r="GE34" i="22"/>
  <c r="EH34" i="22"/>
  <c r="EF34" i="22"/>
  <c r="DO34" i="22"/>
  <c r="CN34" i="22"/>
  <c r="CM34" i="22"/>
  <c r="AZ34" i="22"/>
  <c r="AI34" i="22"/>
  <c r="AG34" i="22"/>
  <c r="AD34" i="22"/>
  <c r="BH34" i="22" s="1"/>
  <c r="AC34" i="22"/>
  <c r="AB34" i="22"/>
  <c r="Z34" i="22"/>
  <c r="AU34" i="22" s="1"/>
  <c r="Y34" i="22"/>
  <c r="X34" i="22"/>
  <c r="V34" i="22"/>
  <c r="AA34" i="22" s="1"/>
  <c r="S34" i="22"/>
  <c r="Q34" i="22"/>
  <c r="N34" i="22"/>
  <c r="J34" i="22"/>
  <c r="AT34" i="22" s="1"/>
  <c r="GG33" i="22"/>
  <c r="EH33" i="22"/>
  <c r="DO33" i="22"/>
  <c r="CN33" i="22"/>
  <c r="CM33" i="22"/>
  <c r="CO33" i="22" s="1"/>
  <c r="AZ33" i="22"/>
  <c r="AI33" i="22"/>
  <c r="AG33" i="22"/>
  <c r="AD33" i="22"/>
  <c r="BH33" i="22" s="1"/>
  <c r="AC33" i="22"/>
  <c r="X33" i="22"/>
  <c r="V33" i="22"/>
  <c r="CH33" i="22" s="1"/>
  <c r="T33" i="22"/>
  <c r="EF33" i="22" s="1"/>
  <c r="R33" i="22"/>
  <c r="AB33" i="22" s="1"/>
  <c r="P33" i="22"/>
  <c r="J33" i="22"/>
  <c r="H33" i="22" s="1"/>
  <c r="GG32" i="22"/>
  <c r="EH32" i="22"/>
  <c r="DO32" i="22"/>
  <c r="CN32" i="22"/>
  <c r="CM32" i="22"/>
  <c r="CO32" i="22" s="1"/>
  <c r="AZ32" i="22"/>
  <c r="AI32" i="22"/>
  <c r="AG32" i="22"/>
  <c r="AD32" i="22"/>
  <c r="AC32" i="22"/>
  <c r="X32" i="22"/>
  <c r="V32" i="22"/>
  <c r="U32" i="22"/>
  <c r="T32" i="22"/>
  <c r="EF32" i="22" s="1"/>
  <c r="R32" i="22"/>
  <c r="Q32" i="22" s="1"/>
  <c r="J32" i="22"/>
  <c r="DS32" i="22" s="1"/>
  <c r="GG31" i="22"/>
  <c r="DO31" i="22"/>
  <c r="CN31" i="22"/>
  <c r="CM31" i="22"/>
  <c r="CO31" i="22" s="1"/>
  <c r="CK31" i="22"/>
  <c r="CL31" i="22" s="1"/>
  <c r="AZ31" i="22"/>
  <c r="AP31" i="22"/>
  <c r="EH31" i="22" s="1"/>
  <c r="AI31" i="22"/>
  <c r="AG31" i="22"/>
  <c r="AD31" i="22"/>
  <c r="BH31" i="22" s="1"/>
  <c r="AC31" i="22"/>
  <c r="X31" i="22"/>
  <c r="V31" i="22"/>
  <c r="U31" i="22" s="1"/>
  <c r="T31" i="22"/>
  <c r="S31" i="22" s="1"/>
  <c r="R31" i="22"/>
  <c r="Q31" i="22" s="1"/>
  <c r="K31" i="22"/>
  <c r="O31" i="22" s="1"/>
  <c r="J31" i="22"/>
  <c r="AT31" i="22" s="1"/>
  <c r="GG30" i="22"/>
  <c r="EH30" i="22"/>
  <c r="DO30" i="22"/>
  <c r="CN30" i="22"/>
  <c r="CM30" i="22"/>
  <c r="CO30" i="22" s="1"/>
  <c r="AZ30" i="22"/>
  <c r="AI30" i="22"/>
  <c r="AG30" i="22"/>
  <c r="AD30" i="22"/>
  <c r="AC30" i="22"/>
  <c r="X30" i="22"/>
  <c r="V30" i="22"/>
  <c r="CH30" i="22" s="1"/>
  <c r="T30" i="22"/>
  <c r="EF30" i="22" s="1"/>
  <c r="R30" i="22"/>
  <c r="J30" i="22"/>
  <c r="Z30" i="22" s="1"/>
  <c r="GG29" i="22"/>
  <c r="EF29" i="22"/>
  <c r="DO29" i="22"/>
  <c r="CN29" i="22"/>
  <c r="CM29" i="22"/>
  <c r="CK29" i="22"/>
  <c r="CL29" i="22" s="1"/>
  <c r="AZ29" i="22"/>
  <c r="AP29" i="22"/>
  <c r="EH29" i="22" s="1"/>
  <c r="AI29" i="22"/>
  <c r="AG29" i="22"/>
  <c r="AD29" i="22"/>
  <c r="BH29" i="22" s="1"/>
  <c r="AC29" i="22"/>
  <c r="X29" i="22"/>
  <c r="V29" i="22"/>
  <c r="U29" i="22" s="1"/>
  <c r="T29" i="22"/>
  <c r="S29" i="22" s="1"/>
  <c r="R29" i="22"/>
  <c r="BL29" i="22" s="1"/>
  <c r="J29" i="22"/>
  <c r="H29" i="22"/>
  <c r="GG28" i="22"/>
  <c r="EH28" i="22"/>
  <c r="DO28" i="22"/>
  <c r="CN28" i="22"/>
  <c r="CM28" i="22"/>
  <c r="AZ28" i="22"/>
  <c r="AI28" i="22"/>
  <c r="AG28" i="22"/>
  <c r="AD28" i="22"/>
  <c r="BH28" i="22" s="1"/>
  <c r="AC28" i="22"/>
  <c r="X28" i="22"/>
  <c r="V28" i="22"/>
  <c r="U28" i="22" s="1"/>
  <c r="T28" i="22"/>
  <c r="EF28" i="22" s="1"/>
  <c r="S28" i="22"/>
  <c r="R28" i="22"/>
  <c r="AB28" i="22" s="1"/>
  <c r="J28" i="22"/>
  <c r="AT28" i="22" s="1"/>
  <c r="H28" i="22"/>
  <c r="GG27" i="22"/>
  <c r="EH27" i="22"/>
  <c r="DO27" i="22"/>
  <c r="CN27" i="22"/>
  <c r="CO27" i="22" s="1"/>
  <c r="CM27" i="22"/>
  <c r="AZ27" i="22"/>
  <c r="AI27" i="22"/>
  <c r="AG27" i="22"/>
  <c r="AD27" i="22"/>
  <c r="BH27" i="22" s="1"/>
  <c r="AC27" i="22"/>
  <c r="X27" i="22"/>
  <c r="R27" i="22"/>
  <c r="AB27" i="22" s="1"/>
  <c r="J27" i="22"/>
  <c r="H27" i="22" s="1"/>
  <c r="GG26" i="22"/>
  <c r="EH26" i="22"/>
  <c r="DO26" i="22"/>
  <c r="CN26" i="22"/>
  <c r="CM26" i="22"/>
  <c r="AZ26" i="22"/>
  <c r="AW26" i="22"/>
  <c r="AW28" i="22" s="1"/>
  <c r="AW30" i="22" s="1"/>
  <c r="AW32" i="22" s="1"/>
  <c r="AI26" i="22"/>
  <c r="AG26" i="22"/>
  <c r="AD26" i="22"/>
  <c r="AE26" i="22" s="1"/>
  <c r="ES26" i="22" s="1"/>
  <c r="ER26" i="22" s="1"/>
  <c r="AC26" i="22"/>
  <c r="X26" i="22"/>
  <c r="R26" i="22"/>
  <c r="V26" i="22" s="1"/>
  <c r="J26" i="22"/>
  <c r="K26" i="22" s="1"/>
  <c r="AF44" i="22" l="1"/>
  <c r="ES44" i="22"/>
  <c r="ER44" i="22" s="1"/>
  <c r="ES101" i="22"/>
  <c r="ER101" i="22" s="1"/>
  <c r="AF101" i="22"/>
  <c r="BE104" i="22"/>
  <c r="CT104" i="22" s="1"/>
  <c r="T104" i="22"/>
  <c r="EF104" i="22" s="1"/>
  <c r="BE54" i="22"/>
  <c r="CT54" i="22" s="1"/>
  <c r="T54" i="22"/>
  <c r="EF54" i="22" s="1"/>
  <c r="O54" i="22"/>
  <c r="BI104" i="22"/>
  <c r="BI43" i="22"/>
  <c r="BE48" i="22"/>
  <c r="CT48" i="22" s="1"/>
  <c r="FN48" i="22" s="1"/>
  <c r="O48" i="22"/>
  <c r="T48" i="22"/>
  <c r="BI54" i="22"/>
  <c r="ES75" i="22"/>
  <c r="ER75" i="22" s="1"/>
  <c r="AF75" i="22"/>
  <c r="EA75" i="22" s="1"/>
  <c r="BO84" i="22"/>
  <c r="U47" i="22"/>
  <c r="CH47" i="22"/>
  <c r="BY47" i="22"/>
  <c r="EG47" i="22" s="1"/>
  <c r="EI47" i="22" s="1"/>
  <c r="CO71" i="22"/>
  <c r="BI102" i="22"/>
  <c r="GE27" i="22"/>
  <c r="AE36" i="22"/>
  <c r="Q41" i="22"/>
  <c r="K43" i="22"/>
  <c r="AN43" i="22" s="1"/>
  <c r="BL43" i="22" s="1"/>
  <c r="GE45" i="22"/>
  <c r="AA47" i="22"/>
  <c r="CK57" i="22"/>
  <c r="CK58" i="22"/>
  <c r="AE64" i="22"/>
  <c r="ES64" i="22" s="1"/>
  <c r="ER64" i="22" s="1"/>
  <c r="BL68" i="22"/>
  <c r="CG74" i="22"/>
  <c r="BP75" i="22"/>
  <c r="AE77" i="22"/>
  <c r="ES77" i="22" s="1"/>
  <c r="ER77" i="22" s="1"/>
  <c r="AE82" i="22"/>
  <c r="ES82" i="22" s="1"/>
  <c r="ER82" i="22" s="1"/>
  <c r="EL85" i="22"/>
  <c r="K86" i="22"/>
  <c r="AA95" i="22"/>
  <c r="EO96" i="22"/>
  <c r="DT96" i="22" s="1"/>
  <c r="AQ110" i="22"/>
  <c r="BL114" i="22"/>
  <c r="AR31" i="22"/>
  <c r="AQ31" i="22" s="1"/>
  <c r="GE32" i="22"/>
  <c r="EL41" i="22"/>
  <c r="AB47" i="22"/>
  <c r="AN50" i="22"/>
  <c r="CK50" i="22" s="1"/>
  <c r="CL50" i="22" s="1"/>
  <c r="GE55" i="22"/>
  <c r="EL59" i="22"/>
  <c r="EL62" i="22"/>
  <c r="Y63" i="22"/>
  <c r="CT65" i="22"/>
  <c r="Q66" i="22"/>
  <c r="EF68" i="22"/>
  <c r="EF71" i="22"/>
  <c r="CH74" i="22"/>
  <c r="Z78" i="22"/>
  <c r="Y78" i="22" s="1"/>
  <c r="AU87" i="22"/>
  <c r="AE93" i="22"/>
  <c r="ES93" i="22" s="1"/>
  <c r="ER93" i="22" s="1"/>
  <c r="AE94" i="22"/>
  <c r="ES94" i="22" s="1"/>
  <c r="ER94" i="22" s="1"/>
  <c r="AB95" i="22"/>
  <c r="U96" i="22"/>
  <c r="V101" i="22"/>
  <c r="S113" i="22"/>
  <c r="CG29" i="22"/>
  <c r="V41" i="22"/>
  <c r="GE41" i="22"/>
  <c r="Z45" i="22"/>
  <c r="GE53" i="22"/>
  <c r="N55" i="22"/>
  <c r="GG59" i="22"/>
  <c r="BG61" i="22"/>
  <c r="AB62" i="22"/>
  <c r="V68" i="22"/>
  <c r="U68" i="22" s="1"/>
  <c r="Y69" i="22"/>
  <c r="EL70" i="22"/>
  <c r="AA78" i="22"/>
  <c r="BH81" i="22"/>
  <c r="AB88" i="22"/>
  <c r="AT89" i="22"/>
  <c r="AQ115" i="22"/>
  <c r="BP44" i="22"/>
  <c r="AA45" i="22"/>
  <c r="BE50" i="22"/>
  <c r="CT50" i="22" s="1"/>
  <c r="DS52" i="22"/>
  <c r="Q55" i="22"/>
  <c r="H60" i="22"/>
  <c r="S62" i="22"/>
  <c r="CL65" i="22"/>
  <c r="Q67" i="22"/>
  <c r="Q70" i="22"/>
  <c r="Z73" i="22"/>
  <c r="Y73" i="22" s="1"/>
  <c r="AR75" i="22"/>
  <c r="AQ75" i="22" s="1"/>
  <c r="AB78" i="22"/>
  <c r="GE78" i="22"/>
  <c r="GH78" i="22" s="1"/>
  <c r="CZ78" i="22" s="1"/>
  <c r="DK78" i="22" s="1"/>
  <c r="BY81" i="22"/>
  <c r="EG81" i="22" s="1"/>
  <c r="EI81" i="22" s="1"/>
  <c r="EO81" i="22" s="1"/>
  <c r="DT81" i="22" s="1"/>
  <c r="EO85" i="22"/>
  <c r="Z86" i="22"/>
  <c r="Y86" i="22" s="1"/>
  <c r="Z99" i="22"/>
  <c r="Y99" i="22" s="1"/>
  <c r="AA101" i="22"/>
  <c r="K102" i="22"/>
  <c r="AS115" i="22"/>
  <c r="P28" i="22"/>
  <c r="EL28" i="22" s="1"/>
  <c r="BY36" i="22"/>
  <c r="EG36" i="22" s="1"/>
  <c r="EI36" i="22" s="1"/>
  <c r="AE39" i="22"/>
  <c r="ES39" i="22" s="1"/>
  <c r="ER39" i="22" s="1"/>
  <c r="AB45" i="22"/>
  <c r="BF45" i="22" s="1"/>
  <c r="BG45" i="22" s="1"/>
  <c r="BH50" i="22"/>
  <c r="BI50" i="22" s="1"/>
  <c r="H54" i="22"/>
  <c r="EH65" i="22"/>
  <c r="AB70" i="22"/>
  <c r="GG72" i="22"/>
  <c r="GF72" i="22" s="1"/>
  <c r="GF78" i="22"/>
  <c r="CG81" i="22"/>
  <c r="CI81" i="22" s="1"/>
  <c r="AB86" i="22"/>
  <c r="AB87" i="22"/>
  <c r="CO89" i="22"/>
  <c r="AU91" i="22"/>
  <c r="AE95" i="22"/>
  <c r="ES95" i="22" s="1"/>
  <c r="ER95" i="22" s="1"/>
  <c r="Z98" i="22"/>
  <c r="Y98" i="22" s="1"/>
  <c r="AA99" i="22"/>
  <c r="AB101" i="22"/>
  <c r="BF101" i="22" s="1"/>
  <c r="BO101" i="22" s="1"/>
  <c r="GE113" i="22"/>
  <c r="BH26" i="22"/>
  <c r="AR30" i="22"/>
  <c r="AQ30" i="22" s="1"/>
  <c r="CG36" i="22"/>
  <c r="Z41" i="22"/>
  <c r="BH57" i="22"/>
  <c r="Y62" i="22"/>
  <c r="AT65" i="22"/>
  <c r="CK69" i="22"/>
  <c r="S70" i="22"/>
  <c r="CH81" i="22"/>
  <c r="CO82" i="22"/>
  <c r="AB92" i="22"/>
  <c r="DS109" i="22"/>
  <c r="GF113" i="22"/>
  <c r="EF114" i="22"/>
  <c r="CO26" i="22"/>
  <c r="CO36" i="22"/>
  <c r="AA41" i="22"/>
  <c r="H53" i="22"/>
  <c r="BL57" i="22"/>
  <c r="EF67" i="22"/>
  <c r="BI75" i="22"/>
  <c r="BY77" i="22"/>
  <c r="EG77" i="22" s="1"/>
  <c r="EI77" i="22" s="1"/>
  <c r="BL83" i="22"/>
  <c r="AA113" i="22"/>
  <c r="N38" i="22"/>
  <c r="GE51" i="22"/>
  <c r="Z55" i="22"/>
  <c r="Y55" i="22" s="1"/>
  <c r="EH58" i="22"/>
  <c r="AZ65" i="22"/>
  <c r="AE68" i="22"/>
  <c r="ES68" i="22" s="1"/>
  <c r="ER68" i="22" s="1"/>
  <c r="P80" i="22"/>
  <c r="EL80" i="22" s="1"/>
  <c r="N81" i="22"/>
  <c r="AE98" i="22"/>
  <c r="N103" i="22"/>
  <c r="N109" i="22"/>
  <c r="ES109" i="22"/>
  <c r="ER109" i="22" s="1"/>
  <c r="AB113" i="22"/>
  <c r="GE31" i="22"/>
  <c r="BI48" i="22"/>
  <c r="AB55" i="22"/>
  <c r="H65" i="22"/>
  <c r="Y67" i="22"/>
  <c r="K74" i="22"/>
  <c r="O74" i="22" s="1"/>
  <c r="GE74" i="22"/>
  <c r="P79" i="22"/>
  <c r="EL79" i="22" s="1"/>
  <c r="P81" i="22"/>
  <c r="AS81" i="22" s="1"/>
  <c r="EL89" i="22"/>
  <c r="Q103" i="22"/>
  <c r="O109" i="22"/>
  <c r="AU115" i="22"/>
  <c r="BL115" i="22"/>
  <c r="CO48" i="22"/>
  <c r="Q53" i="22"/>
  <c r="EH57" i="22"/>
  <c r="DS59" i="22"/>
  <c r="GG62" i="22"/>
  <c r="GF62" i="22" s="1"/>
  <c r="BH63" i="22"/>
  <c r="BH65" i="22"/>
  <c r="BI65" i="22" s="1"/>
  <c r="AT69" i="22"/>
  <c r="BH72" i="22"/>
  <c r="CO75" i="22"/>
  <c r="AR78" i="22"/>
  <c r="AQ78" i="22" s="1"/>
  <c r="BF79" i="22"/>
  <c r="BO79" i="22" s="1"/>
  <c r="AB80" i="22"/>
  <c r="Q81" i="22"/>
  <c r="DS81" i="22"/>
  <c r="AR99" i="22"/>
  <c r="AQ99" i="22" s="1"/>
  <c r="Q104" i="22"/>
  <c r="P114" i="22"/>
  <c r="EL114" i="22" s="1"/>
  <c r="K115" i="22"/>
  <c r="BY115" i="22"/>
  <c r="EG115" i="22" s="1"/>
  <c r="EI115" i="22" s="1"/>
  <c r="EO115" i="22" s="1"/>
  <c r="DT115" i="22" s="1"/>
  <c r="GE26" i="22"/>
  <c r="CH29" i="22"/>
  <c r="AS45" i="22"/>
  <c r="GE49" i="22"/>
  <c r="AU57" i="22"/>
  <c r="GE57" i="22"/>
  <c r="GH57" i="22" s="1"/>
  <c r="CZ57" i="22" s="1"/>
  <c r="AA61" i="22"/>
  <c r="AS65" i="22"/>
  <c r="CL66" i="22"/>
  <c r="GG68" i="22"/>
  <c r="AU69" i="22"/>
  <c r="EF76" i="22"/>
  <c r="EO76" i="22" s="1"/>
  <c r="CO88" i="22"/>
  <c r="Z91" i="22"/>
  <c r="Y91" i="22" s="1"/>
  <c r="S109" i="22"/>
  <c r="EF110" i="22"/>
  <c r="Q114" i="22"/>
  <c r="CG115" i="22"/>
  <c r="CI115" i="22" s="1"/>
  <c r="CP115" i="22" s="1"/>
  <c r="DS50" i="22"/>
  <c r="S60" i="22"/>
  <c r="BF61" i="22"/>
  <c r="O65" i="22"/>
  <c r="CM65" i="22"/>
  <c r="CO65" i="22" s="1"/>
  <c r="AZ70" i="22"/>
  <c r="AR73" i="22"/>
  <c r="AQ73" i="22" s="1"/>
  <c r="ES76" i="22"/>
  <c r="ER76" i="22" s="1"/>
  <c r="S81" i="22"/>
  <c r="CT110" i="22"/>
  <c r="DB110" i="22" s="1"/>
  <c r="CO29" i="22"/>
  <c r="DS43" i="22"/>
  <c r="AZ67" i="22"/>
  <c r="GE77" i="22"/>
  <c r="GE83" i="22"/>
  <c r="CI84" i="22"/>
  <c r="CO95" i="22"/>
  <c r="BY96" i="22"/>
  <c r="EG96" i="22" s="1"/>
  <c r="EI96" i="22" s="1"/>
  <c r="AE102" i="22"/>
  <c r="DS44" i="22"/>
  <c r="DS58" i="22"/>
  <c r="AE61" i="22"/>
  <c r="AF61" i="22" s="1"/>
  <c r="DS64" i="22"/>
  <c r="CG96" i="22"/>
  <c r="S52" i="22"/>
  <c r="V57" i="22"/>
  <c r="K58" i="22"/>
  <c r="K64" i="22"/>
  <c r="O64" i="22" s="1"/>
  <c r="N65" i="22"/>
  <c r="CO66" i="22"/>
  <c r="AA74" i="22"/>
  <c r="O75" i="22"/>
  <c r="S83" i="22"/>
  <c r="CO84" i="22"/>
  <c r="K94" i="22"/>
  <c r="O94" i="22" s="1"/>
  <c r="CH96" i="22"/>
  <c r="CG99" i="22"/>
  <c r="S115" i="22"/>
  <c r="CO115" i="22"/>
  <c r="AU78" i="22"/>
  <c r="BY78" i="22"/>
  <c r="EG78" i="22" s="1"/>
  <c r="EI78" i="22" s="1"/>
  <c r="EO78" i="22" s="1"/>
  <c r="AU111" i="22"/>
  <c r="BY45" i="22"/>
  <c r="EG45" i="22" s="1"/>
  <c r="EI45" i="22" s="1"/>
  <c r="BI41" i="22"/>
  <c r="CH45" i="22"/>
  <c r="T50" i="22"/>
  <c r="EL76" i="22"/>
  <c r="K78" i="22"/>
  <c r="CG78" i="22"/>
  <c r="AU95" i="22"/>
  <c r="GE95" i="22"/>
  <c r="K111" i="22"/>
  <c r="BI116" i="22"/>
  <c r="AU84" i="22"/>
  <c r="H30" i="22"/>
  <c r="AE40" i="22"/>
  <c r="ES40" i="22" s="1"/>
  <c r="ER40" i="22" s="1"/>
  <c r="K44" i="22"/>
  <c r="V58" i="22"/>
  <c r="AE60" i="22"/>
  <c r="AF60" i="22" s="1"/>
  <c r="BP60" i="22" s="1"/>
  <c r="EL64" i="22"/>
  <c r="BL65" i="22"/>
  <c r="GG65" i="22"/>
  <c r="GF65" i="22" s="1"/>
  <c r="GH65" i="22" s="1"/>
  <c r="CZ65" i="22" s="1"/>
  <c r="AT72" i="22"/>
  <c r="CH78" i="22"/>
  <c r="P83" i="22"/>
  <c r="EL83" i="22" s="1"/>
  <c r="AF40" i="22"/>
  <c r="BP40" i="22" s="1"/>
  <c r="H45" i="22"/>
  <c r="H47" i="22"/>
  <c r="Q58" i="22"/>
  <c r="Y59" i="22"/>
  <c r="Q64" i="22"/>
  <c r="EL66" i="22"/>
  <c r="GE69" i="22"/>
  <c r="K73" i="22"/>
  <c r="P78" i="22"/>
  <c r="EL78" i="22" s="1"/>
  <c r="N89" i="22"/>
  <c r="CO91" i="22"/>
  <c r="S95" i="22"/>
  <c r="AT103" i="22"/>
  <c r="BL113" i="22"/>
  <c r="Z115" i="22"/>
  <c r="Y115" i="22" s="1"/>
  <c r="N30" i="22"/>
  <c r="Z31" i="22"/>
  <c r="Y31" i="22" s="1"/>
  <c r="GE33" i="22"/>
  <c r="K39" i="22"/>
  <c r="BE39" i="22" s="1"/>
  <c r="CT39" i="22" s="1"/>
  <c r="Z50" i="22"/>
  <c r="Y50" i="22" s="1"/>
  <c r="EF58" i="22"/>
  <c r="AB59" i="22"/>
  <c r="GG61" i="22"/>
  <c r="S64" i="22"/>
  <c r="EL72" i="22"/>
  <c r="GF76" i="22"/>
  <c r="CH77" i="22"/>
  <c r="Z83" i="22"/>
  <c r="AU83" i="22" s="1"/>
  <c r="P94" i="22"/>
  <c r="S111" i="22"/>
  <c r="BY113" i="22"/>
  <c r="EG113" i="22" s="1"/>
  <c r="EI113" i="22" s="1"/>
  <c r="EO113" i="22" s="1"/>
  <c r="DT113" i="22" s="1"/>
  <c r="AA115" i="22"/>
  <c r="BG115" i="22" s="1"/>
  <c r="CO116" i="22"/>
  <c r="AU36" i="22"/>
  <c r="K45" i="22"/>
  <c r="O45" i="22" s="1"/>
  <c r="Q47" i="22"/>
  <c r="BL53" i="22"/>
  <c r="H62" i="22"/>
  <c r="K66" i="22"/>
  <c r="AT71" i="22"/>
  <c r="P82" i="22"/>
  <c r="EL82" i="22" s="1"/>
  <c r="AB83" i="22"/>
  <c r="CG113" i="22"/>
  <c r="AB115" i="22"/>
  <c r="BF115" i="22" s="1"/>
  <c r="BO115" i="22" s="1"/>
  <c r="Z26" i="22"/>
  <c r="Y26" i="22" s="1"/>
  <c r="AS29" i="22"/>
  <c r="S30" i="22"/>
  <c r="H41" i="22"/>
  <c r="DS45" i="22"/>
  <c r="Y58" i="22"/>
  <c r="AT66" i="22"/>
  <c r="DS67" i="22"/>
  <c r="AQ74" i="22"/>
  <c r="AB77" i="22"/>
  <c r="BH90" i="22"/>
  <c r="Z94" i="22"/>
  <c r="Y94" i="22" s="1"/>
  <c r="BE103" i="22"/>
  <c r="CT103" i="22" s="1"/>
  <c r="AR109" i="22"/>
  <c r="AQ109" i="22" s="1"/>
  <c r="CH113" i="22"/>
  <c r="AB26" i="22"/>
  <c r="P29" i="22"/>
  <c r="Y37" i="22"/>
  <c r="ER58" i="22"/>
  <c r="N62" i="22"/>
  <c r="AU66" i="22"/>
  <c r="K67" i="22"/>
  <c r="O67" i="22" s="1"/>
  <c r="EL68" i="22"/>
  <c r="EL71" i="22"/>
  <c r="CO90" i="22"/>
  <c r="EL91" i="22"/>
  <c r="AB94" i="22"/>
  <c r="Q96" i="22"/>
  <c r="Q98" i="22"/>
  <c r="S99" i="22"/>
  <c r="CO102" i="22"/>
  <c r="BP110" i="22"/>
  <c r="AU113" i="22"/>
  <c r="GF115" i="22"/>
  <c r="GH115" i="22" s="1"/>
  <c r="CZ115" i="22" s="1"/>
  <c r="AF116" i="22"/>
  <c r="AE115" i="22"/>
  <c r="BY116" i="22"/>
  <c r="EG116" i="22" s="1"/>
  <c r="EI116" i="22" s="1"/>
  <c r="EO116" i="22" s="1"/>
  <c r="CG116" i="22"/>
  <c r="DP116" i="22"/>
  <c r="N116" i="22"/>
  <c r="CH116" i="22"/>
  <c r="DS116" i="22"/>
  <c r="O116" i="22"/>
  <c r="BM116" i="22" s="1"/>
  <c r="CV116" i="22" s="1"/>
  <c r="AT116" i="22"/>
  <c r="P116" i="22"/>
  <c r="EL116" i="22" s="1"/>
  <c r="Q116" i="22"/>
  <c r="DP115" i="22"/>
  <c r="AT115" i="22"/>
  <c r="U116" i="22"/>
  <c r="CT116" i="22"/>
  <c r="Z116" i="22"/>
  <c r="Y116" i="22" s="1"/>
  <c r="AA116" i="22"/>
  <c r="GE116" i="22"/>
  <c r="GH116" i="22" s="1"/>
  <c r="CZ116" i="22" s="1"/>
  <c r="BI114" i="22"/>
  <c r="AF114" i="22"/>
  <c r="EL113" i="22"/>
  <c r="GH113" i="22"/>
  <c r="CZ113" i="22" s="1"/>
  <c r="BY114" i="22"/>
  <c r="EG114" i="22" s="1"/>
  <c r="EI114" i="22" s="1"/>
  <c r="EO114" i="22" s="1"/>
  <c r="K114" i="22"/>
  <c r="AR114" i="22"/>
  <c r="AQ114" i="22" s="1"/>
  <c r="CG114" i="22"/>
  <c r="N114" i="22"/>
  <c r="AS114" i="22"/>
  <c r="CH114" i="22"/>
  <c r="DS114" i="22"/>
  <c r="AT114" i="22"/>
  <c r="K113" i="22"/>
  <c r="AR113" i="22"/>
  <c r="AQ113" i="22" s="1"/>
  <c r="N113" i="22"/>
  <c r="AS113" i="22"/>
  <c r="DS113" i="22"/>
  <c r="AT113" i="22"/>
  <c r="U114" i="22"/>
  <c r="Z114" i="22"/>
  <c r="AA114" i="22"/>
  <c r="GE114" i="22"/>
  <c r="GH114" i="22" s="1"/>
  <c r="CZ114" i="22" s="1"/>
  <c r="BP112" i="22"/>
  <c r="EA112" i="22"/>
  <c r="EO111" i="22"/>
  <c r="ES112" i="22"/>
  <c r="ER112" i="22" s="1"/>
  <c r="BF111" i="22"/>
  <c r="BO111" i="22" s="1"/>
  <c r="AF111" i="22"/>
  <c r="BY112" i="22"/>
  <c r="EG112" i="22" s="1"/>
  <c r="EI112" i="22" s="1"/>
  <c r="EO112" i="22" s="1"/>
  <c r="K112" i="22"/>
  <c r="AR112" i="22"/>
  <c r="AQ112" i="22" s="1"/>
  <c r="CG112" i="22"/>
  <c r="CI112" i="22" s="1"/>
  <c r="N112" i="22"/>
  <c r="CH112" i="22"/>
  <c r="DS112" i="22"/>
  <c r="AT112" i="22"/>
  <c r="P112" i="22"/>
  <c r="EL112" i="22" s="1"/>
  <c r="Q112" i="22"/>
  <c r="N111" i="22"/>
  <c r="AS111" i="22"/>
  <c r="DS111" i="22"/>
  <c r="AT111" i="22"/>
  <c r="Z112" i="22"/>
  <c r="Y112" i="22" s="1"/>
  <c r="AA112" i="22"/>
  <c r="GE112" i="22"/>
  <c r="FA109" i="22"/>
  <c r="FB109" i="22" s="1"/>
  <c r="FC109" i="22" s="1"/>
  <c r="FN110" i="22"/>
  <c r="Z109" i="22"/>
  <c r="Y109" i="22" s="1"/>
  <c r="BE109" i="22"/>
  <c r="CT109" i="22" s="1"/>
  <c r="AA109" i="22"/>
  <c r="GE109" i="22"/>
  <c r="BL110" i="22"/>
  <c r="BM110" i="22" s="1"/>
  <c r="CV110" i="22" s="1"/>
  <c r="AB109" i="22"/>
  <c r="AN110" i="22"/>
  <c r="BY110" i="22"/>
  <c r="EG110" i="22" s="1"/>
  <c r="EI110" i="22" s="1"/>
  <c r="CG110" i="22"/>
  <c r="DP110" i="22"/>
  <c r="CH110" i="22"/>
  <c r="AN109" i="22"/>
  <c r="BL109" i="22" s="1"/>
  <c r="BM109" i="22" s="1"/>
  <c r="CV109" i="22" s="1"/>
  <c r="P110" i="22"/>
  <c r="EL110" i="22" s="1"/>
  <c r="BY109" i="22"/>
  <c r="EG109" i="22" s="1"/>
  <c r="EI109" i="22" s="1"/>
  <c r="EO109" i="22" s="1"/>
  <c r="Q110" i="22"/>
  <c r="AW110" i="22"/>
  <c r="AW111" i="22" s="1"/>
  <c r="CG109" i="22"/>
  <c r="CH109" i="22"/>
  <c r="P109" i="22"/>
  <c r="AU109" i="22"/>
  <c r="Z110" i="22"/>
  <c r="Y110" i="22" s="1"/>
  <c r="AA110" i="22"/>
  <c r="GE110" i="22"/>
  <c r="S103" i="22"/>
  <c r="EF103" i="22"/>
  <c r="DB104" i="22"/>
  <c r="FN104" i="22"/>
  <c r="U103" i="22"/>
  <c r="CH103" i="22"/>
  <c r="AS103" i="22"/>
  <c r="CG103" i="22"/>
  <c r="BY103" i="22"/>
  <c r="EG103" i="22" s="1"/>
  <c r="EI103" i="22" s="1"/>
  <c r="AA103" i="22"/>
  <c r="BF104" i="22"/>
  <c r="EA104" i="22"/>
  <c r="BP104" i="22"/>
  <c r="ES104" i="22"/>
  <c r="ER104" i="22" s="1"/>
  <c r="AB103" i="22"/>
  <c r="EL103" i="22"/>
  <c r="AN104" i="22"/>
  <c r="AF103" i="22"/>
  <c r="BP103" i="22" s="1"/>
  <c r="AR104" i="22"/>
  <c r="DP104" i="22"/>
  <c r="N104" i="22"/>
  <c r="AT104" i="22"/>
  <c r="O104" i="22"/>
  <c r="AN103" i="22"/>
  <c r="DP103" i="22"/>
  <c r="O103" i="22"/>
  <c r="AU103" i="22"/>
  <c r="V104" i="22"/>
  <c r="Z104" i="22"/>
  <c r="Y104" i="22" s="1"/>
  <c r="AA104" i="22"/>
  <c r="GE104" i="22"/>
  <c r="EL104" i="22"/>
  <c r="N101" i="22"/>
  <c r="K101" i="22"/>
  <c r="Z101" i="22"/>
  <c r="Y101" i="22" s="1"/>
  <c r="BL102" i="22"/>
  <c r="EL101" i="22"/>
  <c r="AN102" i="22"/>
  <c r="AR102" i="22"/>
  <c r="DP102" i="22"/>
  <c r="AR101" i="22"/>
  <c r="AS101" i="22"/>
  <c r="Q102" i="22"/>
  <c r="V102" i="22"/>
  <c r="Z102" i="22"/>
  <c r="Y102" i="22" s="1"/>
  <c r="AA102" i="22"/>
  <c r="BF102" i="22" s="1"/>
  <c r="GE102" i="22"/>
  <c r="DS101" i="22"/>
  <c r="EL102" i="22"/>
  <c r="ES99" i="22"/>
  <c r="ER99" i="22" s="1"/>
  <c r="AF99" i="22"/>
  <c r="EA100" i="22"/>
  <c r="BP100" i="22"/>
  <c r="AB99" i="22"/>
  <c r="ES100" i="22"/>
  <c r="ER100" i="22" s="1"/>
  <c r="BL99" i="22"/>
  <c r="BM99" i="22" s="1"/>
  <c r="CV99" i="22" s="1"/>
  <c r="BY100" i="22"/>
  <c r="EG100" i="22" s="1"/>
  <c r="EI100" i="22" s="1"/>
  <c r="EO100" i="22" s="1"/>
  <c r="K100" i="22"/>
  <c r="BI100" i="22" s="1"/>
  <c r="AR100" i="22"/>
  <c r="AQ100" i="22" s="1"/>
  <c r="CG100" i="22"/>
  <c r="CH100" i="22"/>
  <c r="AN99" i="22"/>
  <c r="P100" i="22"/>
  <c r="EL100" i="22" s="1"/>
  <c r="AU100" i="22"/>
  <c r="BY99" i="22"/>
  <c r="EG99" i="22" s="1"/>
  <c r="EI99" i="22" s="1"/>
  <c r="EO99" i="22" s="1"/>
  <c r="Q100" i="22"/>
  <c r="AW100" i="22"/>
  <c r="DP99" i="22"/>
  <c r="N99" i="22"/>
  <c r="CH99" i="22"/>
  <c r="DS99" i="22"/>
  <c r="P99" i="22"/>
  <c r="EL99" i="22" s="1"/>
  <c r="AU99" i="22"/>
  <c r="U100" i="22"/>
  <c r="Z100" i="22"/>
  <c r="Y100" i="22" s="1"/>
  <c r="AA100" i="22"/>
  <c r="GE100" i="22"/>
  <c r="GH100" i="22" s="1"/>
  <c r="CZ100" i="22" s="1"/>
  <c r="CT99" i="22"/>
  <c r="BI98" i="22"/>
  <c r="Z97" i="22"/>
  <c r="Y97" i="22" s="1"/>
  <c r="AA97" i="22"/>
  <c r="GE97" i="22"/>
  <c r="GH97" i="22" s="1"/>
  <c r="CZ97" i="22" s="1"/>
  <c r="BH97" i="22"/>
  <c r="BI97" i="22" s="1"/>
  <c r="AF97" i="22"/>
  <c r="BL97" i="22"/>
  <c r="BY98" i="22"/>
  <c r="EG98" i="22" s="1"/>
  <c r="EI98" i="22" s="1"/>
  <c r="EO98" i="22" s="1"/>
  <c r="K98" i="22"/>
  <c r="AR98" i="22"/>
  <c r="AQ98" i="22" s="1"/>
  <c r="CG98" i="22"/>
  <c r="CI98" i="22" s="1"/>
  <c r="N98" i="22"/>
  <c r="CH98" i="22"/>
  <c r="DS98" i="22"/>
  <c r="P98" i="22"/>
  <c r="EL98" i="22" s="1"/>
  <c r="BY97" i="22"/>
  <c r="EG97" i="22" s="1"/>
  <c r="EI97" i="22" s="1"/>
  <c r="EO97" i="22" s="1"/>
  <c r="AW98" i="22"/>
  <c r="AW99" i="22" s="1"/>
  <c r="K97" i="22"/>
  <c r="AR97" i="22"/>
  <c r="AQ97" i="22" s="1"/>
  <c r="CG97" i="22"/>
  <c r="N97" i="22"/>
  <c r="CH97" i="22"/>
  <c r="DS97" i="22"/>
  <c r="P97" i="22"/>
  <c r="EL97" i="22" s="1"/>
  <c r="AU97" i="22"/>
  <c r="S97" i="22"/>
  <c r="AA98" i="22"/>
  <c r="GE98" i="22"/>
  <c r="BP95" i="22"/>
  <c r="EA96" i="22"/>
  <c r="BP96" i="22"/>
  <c r="BI96" i="22"/>
  <c r="BA94" i="22"/>
  <c r="EB94" i="22" s="1"/>
  <c r="EL94" i="22"/>
  <c r="ES96" i="22"/>
  <c r="ER96" i="22" s="1"/>
  <c r="EF94" i="22"/>
  <c r="GH95" i="22"/>
  <c r="CZ95" i="22" s="1"/>
  <c r="BE94" i="22"/>
  <c r="CT94" i="22" s="1"/>
  <c r="AA94" i="22"/>
  <c r="AF95" i="22"/>
  <c r="BL95" i="22"/>
  <c r="K96" i="22"/>
  <c r="AR96" i="22"/>
  <c r="AQ96" i="22" s="1"/>
  <c r="N96" i="22"/>
  <c r="AS96" i="22"/>
  <c r="DS96" i="22"/>
  <c r="AT96" i="22"/>
  <c r="AU96" i="22"/>
  <c r="AF94" i="22"/>
  <c r="BY95" i="22"/>
  <c r="EG95" i="22" s="1"/>
  <c r="EI95" i="22" s="1"/>
  <c r="EO95" i="22" s="1"/>
  <c r="K95" i="22"/>
  <c r="AR95" i="22"/>
  <c r="AQ95" i="22" s="1"/>
  <c r="CG95" i="22"/>
  <c r="N95" i="22"/>
  <c r="AS95" i="22"/>
  <c r="AX95" i="22" s="1"/>
  <c r="CH95" i="22"/>
  <c r="DS95" i="22"/>
  <c r="S96" i="22"/>
  <c r="AT95" i="22"/>
  <c r="AN94" i="22"/>
  <c r="P95" i="22"/>
  <c r="EL95" i="22" s="1"/>
  <c r="BY94" i="22"/>
  <c r="EG94" i="22" s="1"/>
  <c r="EI94" i="22" s="1"/>
  <c r="CG94" i="22"/>
  <c r="DP94" i="22"/>
  <c r="AS94" i="22"/>
  <c r="CH94" i="22"/>
  <c r="DS94" i="22"/>
  <c r="AT94" i="22"/>
  <c r="Z96" i="22"/>
  <c r="Y96" i="22" s="1"/>
  <c r="AA96" i="22"/>
  <c r="GE96" i="22"/>
  <c r="ES90" i="22"/>
  <c r="ER90" i="22" s="1"/>
  <c r="AF90" i="22"/>
  <c r="U88" i="22"/>
  <c r="CH88" i="22"/>
  <c r="BY88" i="22"/>
  <c r="EG88" i="22" s="1"/>
  <c r="EI88" i="22" s="1"/>
  <c r="AA88" i="22"/>
  <c r="U92" i="22"/>
  <c r="CH92" i="22"/>
  <c r="BY92" i="22"/>
  <c r="EG92" i="22" s="1"/>
  <c r="EI92" i="22" s="1"/>
  <c r="AA92" i="22"/>
  <c r="BP88" i="22"/>
  <c r="AW89" i="22"/>
  <c r="AE89" i="22"/>
  <c r="AR86" i="22"/>
  <c r="DP86" i="22"/>
  <c r="Z88" i="22"/>
  <c r="Y88" i="22" s="1"/>
  <c r="AR90" i="22"/>
  <c r="AQ90" i="22" s="1"/>
  <c r="Z92" i="22"/>
  <c r="Y92" i="22" s="1"/>
  <c r="K90" i="22"/>
  <c r="AS90" i="22"/>
  <c r="DS90" i="22"/>
  <c r="N86" i="22"/>
  <c r="AT86" i="22"/>
  <c r="N90" i="22"/>
  <c r="AT90" i="22"/>
  <c r="O86" i="22"/>
  <c r="BM86" i="22" s="1"/>
  <c r="CV86" i="22" s="1"/>
  <c r="V87" i="22"/>
  <c r="AS87" i="22" s="1"/>
  <c r="AX87" i="22" s="1"/>
  <c r="AU90" i="22"/>
  <c r="V91" i="22"/>
  <c r="AA91" i="22" s="1"/>
  <c r="EL92" i="22"/>
  <c r="Q86" i="22"/>
  <c r="EL88" i="22"/>
  <c r="Q90" i="22"/>
  <c r="AE92" i="22"/>
  <c r="AR93" i="22"/>
  <c r="AF88" i="22"/>
  <c r="AR89" i="22"/>
  <c r="K93" i="22"/>
  <c r="BI93" i="22" s="1"/>
  <c r="DS93" i="22"/>
  <c r="AA87" i="22"/>
  <c r="GE87" i="22"/>
  <c r="K89" i="22"/>
  <c r="BI89" i="22" s="1"/>
  <c r="DS89" i="22"/>
  <c r="N93" i="22"/>
  <c r="AT93" i="22"/>
  <c r="V86" i="22"/>
  <c r="AA86" i="22" s="1"/>
  <c r="BH87" i="22"/>
  <c r="BI87" i="22" s="1"/>
  <c r="AU89" i="22"/>
  <c r="V90" i="22"/>
  <c r="BH91" i="22"/>
  <c r="BI91" i="22" s="1"/>
  <c r="Q93" i="22"/>
  <c r="AE87" i="22"/>
  <c r="AE91" i="22"/>
  <c r="AR88" i="22"/>
  <c r="AQ88" i="22" s="1"/>
  <c r="AR92" i="22"/>
  <c r="DS92" i="22"/>
  <c r="GE86" i="22"/>
  <c r="K88" i="22"/>
  <c r="BI88" i="22" s="1"/>
  <c r="AS88" i="22"/>
  <c r="DS88" i="22"/>
  <c r="AA90" i="22"/>
  <c r="GE90" i="22"/>
  <c r="K92" i="22"/>
  <c r="AS92" i="22"/>
  <c r="N88" i="22"/>
  <c r="AT88" i="22"/>
  <c r="N92" i="22"/>
  <c r="AT92" i="22"/>
  <c r="V93" i="22"/>
  <c r="AA93" i="22" s="1"/>
  <c r="V89" i="22"/>
  <c r="AS89" i="22" s="1"/>
  <c r="AX89" i="22" s="1"/>
  <c r="EL86" i="22"/>
  <c r="Q88" i="22"/>
  <c r="EL90" i="22"/>
  <c r="Z93" i="22"/>
  <c r="Y93" i="22" s="1"/>
  <c r="AF86" i="22"/>
  <c r="AR87" i="22"/>
  <c r="AR91" i="22"/>
  <c r="GE93" i="22"/>
  <c r="K87" i="22"/>
  <c r="AA89" i="22"/>
  <c r="GE89" i="22"/>
  <c r="K91" i="22"/>
  <c r="DS91" i="22"/>
  <c r="EL93" i="22"/>
  <c r="DT85" i="22"/>
  <c r="BA85" i="22"/>
  <c r="EB85" i="22" s="1"/>
  <c r="GH83" i="22"/>
  <c r="CZ83" i="22" s="1"/>
  <c r="EO84" i="22"/>
  <c r="EO83" i="22"/>
  <c r="Y83" i="22"/>
  <c r="AA83" i="22"/>
  <c r="AF84" i="22"/>
  <c r="BP84" i="22" s="1"/>
  <c r="BQ84" i="22" s="1"/>
  <c r="K85" i="22"/>
  <c r="BI85" i="22" s="1"/>
  <c r="AR85" i="22"/>
  <c r="AQ85" i="22" s="1"/>
  <c r="BG84" i="22"/>
  <c r="GF83" i="22"/>
  <c r="N85" i="22"/>
  <c r="AS85" i="22"/>
  <c r="DS85" i="22"/>
  <c r="AT85" i="22"/>
  <c r="AU85" i="22"/>
  <c r="Q85" i="22"/>
  <c r="AF83" i="22"/>
  <c r="BP83" i="22" s="1"/>
  <c r="K84" i="22"/>
  <c r="AR84" i="22"/>
  <c r="DS84" i="22"/>
  <c r="N84" i="22"/>
  <c r="AS84" i="22"/>
  <c r="AF85" i="22"/>
  <c r="BP85" i="22" s="1"/>
  <c r="AT84" i="22"/>
  <c r="BY83" i="22"/>
  <c r="EG83" i="22" s="1"/>
  <c r="EI83" i="22" s="1"/>
  <c r="K83" i="22"/>
  <c r="BI83" i="22" s="1"/>
  <c r="AR83" i="22"/>
  <c r="CG83" i="22"/>
  <c r="N83" i="22"/>
  <c r="AS83" i="22"/>
  <c r="CH83" i="22"/>
  <c r="DS83" i="22"/>
  <c r="S84" i="22"/>
  <c r="Z85" i="22"/>
  <c r="Y85" i="22" s="1"/>
  <c r="AA85" i="22"/>
  <c r="GE85" i="22"/>
  <c r="BP80" i="22"/>
  <c r="EI80" i="22"/>
  <c r="BP82" i="22"/>
  <c r="AU80" i="22"/>
  <c r="BI82" i="22"/>
  <c r="BF81" i="22"/>
  <c r="BO81" i="22" s="1"/>
  <c r="AF82" i="22"/>
  <c r="EF80" i="22"/>
  <c r="EL81" i="22"/>
  <c r="Z80" i="22"/>
  <c r="Y80" i="22" s="1"/>
  <c r="AA80" i="22"/>
  <c r="AF81" i="22"/>
  <c r="BP81" i="22" s="1"/>
  <c r="BQ81" i="22" s="1"/>
  <c r="BY82" i="22"/>
  <c r="EG82" i="22" s="1"/>
  <c r="EI82" i="22" s="1"/>
  <c r="EO82" i="22" s="1"/>
  <c r="GF80" i="22"/>
  <c r="GH80" i="22" s="1"/>
  <c r="CZ80" i="22" s="1"/>
  <c r="K82" i="22"/>
  <c r="AR82" i="22"/>
  <c r="AQ82" i="22" s="1"/>
  <c r="CG82" i="22"/>
  <c r="N82" i="22"/>
  <c r="CH82" i="22"/>
  <c r="DS82" i="22"/>
  <c r="AT82" i="22"/>
  <c r="AF80" i="22"/>
  <c r="Q82" i="22"/>
  <c r="K81" i="22"/>
  <c r="BI81" i="22" s="1"/>
  <c r="AR81" i="22"/>
  <c r="AQ81" i="22" s="1"/>
  <c r="AU81" i="22"/>
  <c r="K80" i="22"/>
  <c r="BI80" i="22" s="1"/>
  <c r="AR80" i="22"/>
  <c r="CG80" i="22"/>
  <c r="CI80" i="22" s="1"/>
  <c r="CP80" i="22" s="1"/>
  <c r="N80" i="22"/>
  <c r="AS80" i="22"/>
  <c r="DS80" i="22"/>
  <c r="AT80" i="22"/>
  <c r="Z82" i="22"/>
  <c r="Y82" i="22" s="1"/>
  <c r="AA82" i="22"/>
  <c r="GE82" i="22"/>
  <c r="FP78" i="22"/>
  <c r="BG79" i="22"/>
  <c r="BF78" i="22"/>
  <c r="BG78" i="22" s="1"/>
  <c r="AF79" i="22"/>
  <c r="BH78" i="22"/>
  <c r="BI78" i="22" s="1"/>
  <c r="EF77" i="22"/>
  <c r="EO77" i="22" s="1"/>
  <c r="Z77" i="22"/>
  <c r="Y77" i="22" s="1"/>
  <c r="AE78" i="22"/>
  <c r="AA77" i="22"/>
  <c r="BY79" i="22"/>
  <c r="EG79" i="22" s="1"/>
  <c r="EI79" i="22" s="1"/>
  <c r="EO79" i="22" s="1"/>
  <c r="K79" i="22"/>
  <c r="BI79" i="22" s="1"/>
  <c r="AR79" i="22"/>
  <c r="AQ79" i="22" s="1"/>
  <c r="CG79" i="22"/>
  <c r="N79" i="22"/>
  <c r="AS79" i="22"/>
  <c r="CH79" i="22"/>
  <c r="DS79" i="22"/>
  <c r="AT79" i="22"/>
  <c r="AF77" i="22"/>
  <c r="Q79" i="22"/>
  <c r="N78" i="22"/>
  <c r="DS78" i="22"/>
  <c r="S79" i="22"/>
  <c r="U79" i="22"/>
  <c r="K77" i="22"/>
  <c r="BI77" i="22" s="1"/>
  <c r="AR77" i="22"/>
  <c r="CG77" i="22"/>
  <c r="CI77" i="22" s="1"/>
  <c r="N77" i="22"/>
  <c r="AS77" i="22"/>
  <c r="DS77" i="22"/>
  <c r="AT77" i="22"/>
  <c r="Z79" i="22"/>
  <c r="EA76" i="22"/>
  <c r="BP76" i="22"/>
  <c r="BI76" i="22"/>
  <c r="BO73" i="22"/>
  <c r="BG73" i="22"/>
  <c r="ES73" i="22"/>
  <c r="ER73" i="22" s="1"/>
  <c r="AF73" i="22"/>
  <c r="BP73" i="22"/>
  <c r="BQ73" i="22" s="1"/>
  <c r="AU75" i="22"/>
  <c r="AS74" i="22"/>
  <c r="EL74" i="22"/>
  <c r="FB75" i="22"/>
  <c r="FC75" i="22" s="1"/>
  <c r="FA75" i="22"/>
  <c r="Z75" i="22"/>
  <c r="Y75" i="22" s="1"/>
  <c r="BE75" i="22"/>
  <c r="CT75" i="22" s="1"/>
  <c r="U74" i="22"/>
  <c r="AA75" i="22"/>
  <c r="GE75" i="22"/>
  <c r="GH75" i="22" s="1"/>
  <c r="CZ75" i="22" s="1"/>
  <c r="BL76" i="22"/>
  <c r="AB75" i="22"/>
  <c r="S73" i="22"/>
  <c r="EF74" i="22"/>
  <c r="Z74" i="22"/>
  <c r="Y74" i="22" s="1"/>
  <c r="BL75" i="22"/>
  <c r="K76" i="22"/>
  <c r="AR76" i="22"/>
  <c r="AQ76" i="22" s="1"/>
  <c r="CG76" i="22"/>
  <c r="BF74" i="22"/>
  <c r="BG74" i="22" s="1"/>
  <c r="N76" i="22"/>
  <c r="AS76" i="22"/>
  <c r="CH76" i="22"/>
  <c r="DS76" i="22"/>
  <c r="AT76" i="22"/>
  <c r="AF74" i="22"/>
  <c r="BY75" i="22"/>
  <c r="EG75" i="22" s="1"/>
  <c r="EI75" i="22" s="1"/>
  <c r="EO75" i="22" s="1"/>
  <c r="Q76" i="22"/>
  <c r="CG75" i="22"/>
  <c r="BH73" i="22"/>
  <c r="BI73" i="22" s="1"/>
  <c r="CH75" i="22"/>
  <c r="DS75" i="22"/>
  <c r="P75" i="22"/>
  <c r="U76" i="22"/>
  <c r="BY74" i="22"/>
  <c r="EG74" i="22" s="1"/>
  <c r="EI74" i="22" s="1"/>
  <c r="AT74" i="22"/>
  <c r="Z76" i="22"/>
  <c r="Y76" i="22" s="1"/>
  <c r="AA76" i="22"/>
  <c r="GE76" i="22"/>
  <c r="GH76" i="22" s="1"/>
  <c r="CZ76" i="22" s="1"/>
  <c r="BY73" i="22"/>
  <c r="EG73" i="22" s="1"/>
  <c r="EI73" i="22" s="1"/>
  <c r="EO73" i="22" s="1"/>
  <c r="CG73" i="22"/>
  <c r="CI73" i="22" s="1"/>
  <c r="N73" i="22"/>
  <c r="AS73" i="22"/>
  <c r="AF72" i="22"/>
  <c r="ES72" i="22"/>
  <c r="ER72" i="22" s="1"/>
  <c r="AF71" i="22"/>
  <c r="ES71" i="22"/>
  <c r="ER71" i="22" s="1"/>
  <c r="CL69" i="22"/>
  <c r="CO69" i="22"/>
  <c r="BI72" i="22"/>
  <c r="AE69" i="22"/>
  <c r="EL69" i="22"/>
  <c r="AE70" i="22"/>
  <c r="BL69" i="22"/>
  <c r="K72" i="22"/>
  <c r="AR71" i="22"/>
  <c r="K71" i="22"/>
  <c r="AS72" i="22"/>
  <c r="AR70" i="22"/>
  <c r="DS71" i="22"/>
  <c r="N72" i="22"/>
  <c r="DS72" i="22"/>
  <c r="K69" i="22"/>
  <c r="BI69" i="22" s="1"/>
  <c r="K70" i="22"/>
  <c r="AU71" i="22"/>
  <c r="AU72" i="22"/>
  <c r="CJ72" i="22"/>
  <c r="AT70" i="22"/>
  <c r="DS70" i="22"/>
  <c r="N71" i="22"/>
  <c r="CK72" i="22"/>
  <c r="AU70" i="22"/>
  <c r="Q72" i="22"/>
  <c r="CM70" i="22"/>
  <c r="CO70" i="22" s="1"/>
  <c r="Q69" i="22"/>
  <c r="S71" i="22"/>
  <c r="V72" i="22"/>
  <c r="S69" i="22"/>
  <c r="V71" i="22"/>
  <c r="AS71" i="22" s="1"/>
  <c r="V70" i="22"/>
  <c r="BH71" i="22"/>
  <c r="BI71" i="22" s="1"/>
  <c r="AB72" i="22"/>
  <c r="Y70" i="22"/>
  <c r="AA71" i="22"/>
  <c r="BF71" i="22" s="1"/>
  <c r="GE71" i="22"/>
  <c r="GE72" i="22"/>
  <c r="GE70" i="22"/>
  <c r="V69" i="22"/>
  <c r="BF65" i="22"/>
  <c r="U66" i="22"/>
  <c r="CH66" i="22"/>
  <c r="AS66" i="22"/>
  <c r="CG66" i="22"/>
  <c r="CI66" i="22" s="1"/>
  <c r="CP66" i="22" s="1"/>
  <c r="BY66" i="22"/>
  <c r="EG66" i="22" s="1"/>
  <c r="EI66" i="22" s="1"/>
  <c r="EO66" i="22" s="1"/>
  <c r="GF66" i="22"/>
  <c r="ES65" i="22"/>
  <c r="ER65" i="22" s="1"/>
  <c r="AF65" i="22"/>
  <c r="FN65" i="22"/>
  <c r="DH65" i="22"/>
  <c r="ES66" i="22"/>
  <c r="ER66" i="22" s="1"/>
  <c r="AF66" i="22"/>
  <c r="BM65" i="22"/>
  <c r="CV65" i="22" s="1"/>
  <c r="GF68" i="22"/>
  <c r="CO68" i="22"/>
  <c r="BM64" i="22"/>
  <c r="U65" i="22"/>
  <c r="CH65" i="22"/>
  <c r="CG65" i="22"/>
  <c r="BY65" i="22"/>
  <c r="EG65" i="22" s="1"/>
  <c r="V64" i="22"/>
  <c r="BE64" i="22"/>
  <c r="CT64" i="22" s="1"/>
  <c r="EF64" i="22"/>
  <c r="AA66" i="22"/>
  <c r="BO66" i="22" s="1"/>
  <c r="BH66" i="22"/>
  <c r="BI66" i="22" s="1"/>
  <c r="GE66" i="22"/>
  <c r="CV64" i="22"/>
  <c r="AA65" i="22"/>
  <c r="AB66" i="22"/>
  <c r="BF66" i="22" s="1"/>
  <c r="AE67" i="22"/>
  <c r="EL65" i="22"/>
  <c r="H67" i="22"/>
  <c r="K68" i="22"/>
  <c r="AR68" i="22"/>
  <c r="CG68" i="22"/>
  <c r="AB64" i="22"/>
  <c r="GG64" i="22"/>
  <c r="AN67" i="22"/>
  <c r="BL64" i="22"/>
  <c r="H66" i="22"/>
  <c r="AR67" i="22"/>
  <c r="AT68" i="22"/>
  <c r="DS68" i="22"/>
  <c r="DP67" i="22"/>
  <c r="N68" i="22"/>
  <c r="AU68" i="22"/>
  <c r="CJ68" i="22"/>
  <c r="AF64" i="22"/>
  <c r="AT67" i="22"/>
  <c r="CK68" i="22"/>
  <c r="AU67" i="22"/>
  <c r="H64" i="22"/>
  <c r="DP66" i="22"/>
  <c r="AN64" i="22"/>
  <c r="AR65" i="22"/>
  <c r="DS66" i="22"/>
  <c r="AR64" i="22"/>
  <c r="DP65" i="22"/>
  <c r="CM67" i="22"/>
  <c r="CO67" i="22" s="1"/>
  <c r="S68" i="22"/>
  <c r="DP64" i="22"/>
  <c r="AT64" i="22"/>
  <c r="AU65" i="22"/>
  <c r="AU64" i="22"/>
  <c r="N64" i="22"/>
  <c r="CK64" i="22"/>
  <c r="CM64" i="22"/>
  <c r="CO64" i="22" s="1"/>
  <c r="V67" i="22"/>
  <c r="AA67" i="22" s="1"/>
  <c r="BE67" i="22"/>
  <c r="CT67" i="22" s="1"/>
  <c r="EH68" i="22"/>
  <c r="GE68" i="22"/>
  <c r="AB68" i="22"/>
  <c r="GE67" i="22"/>
  <c r="EA61" i="22"/>
  <c r="BP61" i="22"/>
  <c r="EA63" i="22"/>
  <c r="BP63" i="22"/>
  <c r="AA62" i="22"/>
  <c r="BO61" i="22"/>
  <c r="AF62" i="22"/>
  <c r="ES61" i="22"/>
  <c r="ER61" i="22" s="1"/>
  <c r="AR63" i="22"/>
  <c r="K62" i="22"/>
  <c r="AR62" i="22"/>
  <c r="BY61" i="22"/>
  <c r="EG61" i="22" s="1"/>
  <c r="EI61" i="22" s="1"/>
  <c r="AS62" i="22"/>
  <c r="N63" i="22"/>
  <c r="AT63" i="22"/>
  <c r="DS63" i="22"/>
  <c r="AR61" i="22"/>
  <c r="CG61" i="22"/>
  <c r="AT62" i="22"/>
  <c r="DS62" i="22"/>
  <c r="AU63" i="22"/>
  <c r="CJ63" i="22"/>
  <c r="CL63" i="22" s="1"/>
  <c r="K61" i="22"/>
  <c r="AS61" i="22"/>
  <c r="CH61" i="22"/>
  <c r="AU62" i="22"/>
  <c r="CJ62" i="22"/>
  <c r="CL62" i="22" s="1"/>
  <c r="CK63" i="22"/>
  <c r="AT61" i="22"/>
  <c r="DS61" i="22"/>
  <c r="CK62" i="22"/>
  <c r="Q63" i="22"/>
  <c r="AU61" i="22"/>
  <c r="CM63" i="22"/>
  <c r="CO63" i="22" s="1"/>
  <c r="Q62" i="22"/>
  <c r="CM62" i="22"/>
  <c r="CO62" i="22" s="1"/>
  <c r="AZ63" i="22"/>
  <c r="CM61" i="22"/>
  <c r="CO61" i="22" s="1"/>
  <c r="Q61" i="22"/>
  <c r="AZ61" i="22"/>
  <c r="V63" i="22"/>
  <c r="K63" i="22"/>
  <c r="BI63" i="22" s="1"/>
  <c r="V62" i="22"/>
  <c r="EF63" i="22"/>
  <c r="EH63" i="22"/>
  <c r="EH62" i="22"/>
  <c r="GE62" i="22"/>
  <c r="Y61" i="22"/>
  <c r="CL58" i="22"/>
  <c r="CL57" i="22"/>
  <c r="U59" i="22"/>
  <c r="AA59" i="22"/>
  <c r="CH59" i="22"/>
  <c r="CG59" i="22"/>
  <c r="CI59" i="22" s="1"/>
  <c r="BY59" i="22"/>
  <c r="EG59" i="22" s="1"/>
  <c r="EI59" i="22" s="1"/>
  <c r="EN59" i="22" s="1"/>
  <c r="U58" i="22"/>
  <c r="CH58" i="22"/>
  <c r="AS58" i="22"/>
  <c r="CG58" i="22"/>
  <c r="BY58" i="22"/>
  <c r="EG58" i="22" s="1"/>
  <c r="EI58" i="22" s="1"/>
  <c r="EN58" i="22" s="1"/>
  <c r="AA58" i="22"/>
  <c r="EA60" i="22"/>
  <c r="U57" i="22"/>
  <c r="CG57" i="22"/>
  <c r="CH57" i="22"/>
  <c r="BY57" i="22"/>
  <c r="EG57" i="22" s="1"/>
  <c r="GF57" i="22"/>
  <c r="AA57" i="22"/>
  <c r="BF57" i="22" s="1"/>
  <c r="ES57" i="22"/>
  <c r="ER57" i="22" s="1"/>
  <c r="AF57" i="22"/>
  <c r="AB58" i="22"/>
  <c r="BH58" i="22"/>
  <c r="GE58" i="22"/>
  <c r="AE59" i="22"/>
  <c r="EL58" i="22"/>
  <c r="GG58" i="22"/>
  <c r="GF58" i="22" s="1"/>
  <c r="GH58" i="22" s="1"/>
  <c r="CZ58" i="22" s="1"/>
  <c r="BY60" i="22"/>
  <c r="EG60" i="22" s="1"/>
  <c r="EL57" i="22"/>
  <c r="AF58" i="22"/>
  <c r="BL58" i="22"/>
  <c r="AR60" i="22"/>
  <c r="CG60" i="22"/>
  <c r="H59" i="22"/>
  <c r="K60" i="22"/>
  <c r="AS60" i="22"/>
  <c r="CH60" i="22"/>
  <c r="H58" i="22"/>
  <c r="AT60" i="22"/>
  <c r="DS60" i="22"/>
  <c r="H57" i="22"/>
  <c r="AR59" i="22"/>
  <c r="AU60" i="22"/>
  <c r="K59" i="22"/>
  <c r="BI59" i="22" s="1"/>
  <c r="AS59" i="22"/>
  <c r="N60" i="22"/>
  <c r="AT59" i="22"/>
  <c r="K57" i="22"/>
  <c r="AR58" i="22"/>
  <c r="AU59" i="22"/>
  <c r="CM60" i="22"/>
  <c r="CO60" i="22" s="1"/>
  <c r="AS57" i="22"/>
  <c r="N58" i="22"/>
  <c r="AT58" i="22"/>
  <c r="AT57" i="22"/>
  <c r="DS57" i="22"/>
  <c r="AU58" i="22"/>
  <c r="Q59" i="22"/>
  <c r="AZ59" i="22"/>
  <c r="CM58" i="22"/>
  <c r="CO58" i="22" s="1"/>
  <c r="CM57" i="22"/>
  <c r="CO57" i="22" s="1"/>
  <c r="S58" i="22"/>
  <c r="S57" i="22"/>
  <c r="EH60" i="22"/>
  <c r="GE60" i="22"/>
  <c r="AA60" i="22"/>
  <c r="AB60" i="22"/>
  <c r="U55" i="22"/>
  <c r="CH55" i="22"/>
  <c r="BY55" i="22"/>
  <c r="EG55" i="22" s="1"/>
  <c r="EI55" i="22" s="1"/>
  <c r="GF55" i="22"/>
  <c r="GH55" i="22" s="1"/>
  <c r="CZ55" i="22" s="1"/>
  <c r="AA55" i="22"/>
  <c r="BF55" i="22" s="1"/>
  <c r="AF56" i="22"/>
  <c r="AE55" i="22"/>
  <c r="BL55" i="22"/>
  <c r="AR56" i="22"/>
  <c r="K56" i="22"/>
  <c r="DS56" i="22"/>
  <c r="N56" i="22"/>
  <c r="AT56" i="22"/>
  <c r="Q56" i="22"/>
  <c r="H55" i="22"/>
  <c r="AR55" i="22"/>
  <c r="AQ55" i="22" s="1"/>
  <c r="K55" i="22"/>
  <c r="BI55" i="22" s="1"/>
  <c r="AS55" i="22"/>
  <c r="DS55" i="22"/>
  <c r="V56" i="22"/>
  <c r="AS56" i="22" s="1"/>
  <c r="Z56" i="22"/>
  <c r="Y56" i="22" s="1"/>
  <c r="AA56" i="22"/>
  <c r="BF56" i="22" s="1"/>
  <c r="GE56" i="22"/>
  <c r="EL56" i="22"/>
  <c r="GH54" i="22"/>
  <c r="CZ54" i="22" s="1"/>
  <c r="S53" i="22"/>
  <c r="EF53" i="22"/>
  <c r="GF54" i="22"/>
  <c r="U54" i="22"/>
  <c r="CH54" i="22"/>
  <c r="AS54" i="22"/>
  <c r="CG54" i="22"/>
  <c r="CI54" i="22" s="1"/>
  <c r="CP54" i="22" s="1"/>
  <c r="CR54" i="22" s="1"/>
  <c r="CW54" i="22" s="1"/>
  <c r="BY54" i="22"/>
  <c r="EG54" i="22" s="1"/>
  <c r="EI54" i="22" s="1"/>
  <c r="EO54" i="22" s="1"/>
  <c r="BY53" i="22"/>
  <c r="EG53" i="22" s="1"/>
  <c r="EI53" i="22" s="1"/>
  <c r="CH53" i="22"/>
  <c r="U53" i="22"/>
  <c r="CG53" i="22"/>
  <c r="GF53" i="22"/>
  <c r="GH53" i="22" s="1"/>
  <c r="CZ53" i="22" s="1"/>
  <c r="AA53" i="22"/>
  <c r="BP54" i="22"/>
  <c r="CT53" i="22"/>
  <c r="Z53" i="22"/>
  <c r="Y53" i="22" s="1"/>
  <c r="BE53" i="22"/>
  <c r="AF54" i="22"/>
  <c r="BL54" i="22"/>
  <c r="BM54" i="22" s="1"/>
  <c r="CV54" i="22" s="1"/>
  <c r="BH53" i="22"/>
  <c r="BI53" i="22" s="1"/>
  <c r="EL53" i="22"/>
  <c r="AE53" i="22"/>
  <c r="AR54" i="22"/>
  <c r="AQ54" i="22" s="1"/>
  <c r="DP54" i="22"/>
  <c r="DS54" i="22"/>
  <c r="N54" i="22"/>
  <c r="AT54" i="22"/>
  <c r="Q54" i="22"/>
  <c r="AR53" i="22"/>
  <c r="AQ53" i="22" s="1"/>
  <c r="DP53" i="22"/>
  <c r="S54" i="22"/>
  <c r="AS53" i="22"/>
  <c r="DS53" i="22"/>
  <c r="N53" i="22"/>
  <c r="AT53" i="22"/>
  <c r="O53" i="22"/>
  <c r="BM53" i="22" s="1"/>
  <c r="CV53" i="22" s="1"/>
  <c r="Z54" i="22"/>
  <c r="AA54" i="22"/>
  <c r="GE54" i="22"/>
  <c r="AB54" i="22"/>
  <c r="EL54" i="22"/>
  <c r="AU51" i="22"/>
  <c r="U51" i="22"/>
  <c r="CH51" i="22"/>
  <c r="BY51" i="22"/>
  <c r="EG51" i="22" s="1"/>
  <c r="EI51" i="22" s="1"/>
  <c r="AA51" i="22"/>
  <c r="U48" i="22"/>
  <c r="CH48" i="22"/>
  <c r="AS48" i="22"/>
  <c r="CG48" i="22"/>
  <c r="BY48" i="22"/>
  <c r="EG48" i="22" s="1"/>
  <c r="EI48" i="22" s="1"/>
  <c r="BP52" i="22"/>
  <c r="BI49" i="22"/>
  <c r="Z47" i="22"/>
  <c r="Y47" i="22" s="1"/>
  <c r="AF48" i="22"/>
  <c r="AR49" i="22"/>
  <c r="AQ49" i="22" s="1"/>
  <c r="Z51" i="22"/>
  <c r="Y51" i="22" s="1"/>
  <c r="AF52" i="22"/>
  <c r="K49" i="22"/>
  <c r="AS49" i="22"/>
  <c r="CH49" i="22"/>
  <c r="DS49" i="22"/>
  <c r="N49" i="22"/>
  <c r="AT49" i="22"/>
  <c r="BH47" i="22"/>
  <c r="AU49" i="22"/>
  <c r="V50" i="22"/>
  <c r="BH51" i="22"/>
  <c r="EL47" i="22"/>
  <c r="AN48" i="22"/>
  <c r="BL48" i="22" s="1"/>
  <c r="BM48" i="22" s="1"/>
  <c r="CV48" i="22" s="1"/>
  <c r="EL51" i="22"/>
  <c r="AN52" i="22"/>
  <c r="AE47" i="22"/>
  <c r="AE51" i="22"/>
  <c r="BF47" i="22"/>
  <c r="BG47" i="22" s="1"/>
  <c r="AR48" i="22"/>
  <c r="AQ48" i="22" s="1"/>
  <c r="DP48" i="22"/>
  <c r="AR52" i="22"/>
  <c r="DP52" i="22"/>
  <c r="GE50" i="22"/>
  <c r="BY49" i="22"/>
  <c r="EG49" i="22" s="1"/>
  <c r="EI49" i="22" s="1"/>
  <c r="N48" i="22"/>
  <c r="AT48" i="22"/>
  <c r="U49" i="22"/>
  <c r="AB50" i="22"/>
  <c r="N52" i="22"/>
  <c r="AT52" i="22"/>
  <c r="Q48" i="22"/>
  <c r="EL50" i="22"/>
  <c r="Q52" i="22"/>
  <c r="AR47" i="22"/>
  <c r="AQ47" i="22" s="1"/>
  <c r="AF50" i="22"/>
  <c r="AR51" i="22"/>
  <c r="AQ51" i="22" s="1"/>
  <c r="AS47" i="22"/>
  <c r="K47" i="22"/>
  <c r="K51" i="22"/>
  <c r="AS51" i="22"/>
  <c r="DS51" i="22"/>
  <c r="N47" i="22"/>
  <c r="AT47" i="22"/>
  <c r="AB49" i="22"/>
  <c r="BF49" i="22" s="1"/>
  <c r="BO49" i="22" s="1"/>
  <c r="N51" i="22"/>
  <c r="AT51" i="22"/>
  <c r="EL49" i="22"/>
  <c r="CT52" i="22"/>
  <c r="AE49" i="22"/>
  <c r="H50" i="22"/>
  <c r="Z48" i="22"/>
  <c r="AR50" i="22"/>
  <c r="DP50" i="22"/>
  <c r="Z52" i="22"/>
  <c r="V52" i="22"/>
  <c r="AA52" i="22" s="1"/>
  <c r="AA48" i="22"/>
  <c r="GE48" i="22"/>
  <c r="GE52" i="22"/>
  <c r="AB48" i="22"/>
  <c r="N50" i="22"/>
  <c r="EL48" i="22"/>
  <c r="EL52" i="22"/>
  <c r="S41" i="22"/>
  <c r="CG41" i="22"/>
  <c r="EF41" i="22"/>
  <c r="EA44" i="22"/>
  <c r="CT41" i="22"/>
  <c r="BE41" i="22"/>
  <c r="AF42" i="22"/>
  <c r="AR43" i="22"/>
  <c r="DP43" i="22"/>
  <c r="AF46" i="22"/>
  <c r="N43" i="22"/>
  <c r="AT43" i="22"/>
  <c r="O43" i="22"/>
  <c r="V44" i="22"/>
  <c r="BF41" i="22"/>
  <c r="BG41" i="22" s="1"/>
  <c r="Q43" i="22"/>
  <c r="AF41" i="22"/>
  <c r="AR42" i="22"/>
  <c r="AF45" i="22"/>
  <c r="AR46" i="22"/>
  <c r="K42" i="22"/>
  <c r="DS42" i="22"/>
  <c r="T43" i="22"/>
  <c r="GE44" i="22"/>
  <c r="K46" i="22"/>
  <c r="AS46" i="22"/>
  <c r="DS46" i="22"/>
  <c r="N42" i="22"/>
  <c r="AT42" i="22"/>
  <c r="AB44" i="22"/>
  <c r="N46" i="22"/>
  <c r="AT46" i="22"/>
  <c r="V43" i="22"/>
  <c r="BH44" i="22"/>
  <c r="BI44" i="22" s="1"/>
  <c r="AN41" i="22"/>
  <c r="Q42" i="22"/>
  <c r="EL44" i="22"/>
  <c r="AN45" i="22"/>
  <c r="Q46" i="22"/>
  <c r="AR41" i="22"/>
  <c r="AQ41" i="22" s="1"/>
  <c r="DP41" i="22"/>
  <c r="Z43" i="22"/>
  <c r="Y43" i="22" s="1"/>
  <c r="BE43" i="22"/>
  <c r="CT43" i="22" s="1"/>
  <c r="AR45" i="22"/>
  <c r="AQ45" i="22" s="1"/>
  <c r="DP45" i="22"/>
  <c r="N41" i="22"/>
  <c r="AB43" i="22"/>
  <c r="N45" i="22"/>
  <c r="EL43" i="22"/>
  <c r="AE43" i="22"/>
  <c r="H44" i="22"/>
  <c r="O41" i="22"/>
  <c r="V42" i="22"/>
  <c r="AS42" i="22" s="1"/>
  <c r="Z42" i="22"/>
  <c r="Y42" i="22" s="1"/>
  <c r="AR44" i="22"/>
  <c r="Z46" i="22"/>
  <c r="Y46" i="22" s="1"/>
  <c r="GE42" i="22"/>
  <c r="T45" i="22"/>
  <c r="GE46" i="22"/>
  <c r="V46" i="22"/>
  <c r="N44" i="22"/>
  <c r="AU44" i="22"/>
  <c r="EL42" i="22"/>
  <c r="EL46" i="22"/>
  <c r="Y30" i="22"/>
  <c r="AU30" i="22"/>
  <c r="BI37" i="22"/>
  <c r="K40" i="22"/>
  <c r="EL29" i="22"/>
  <c r="P32" i="22"/>
  <c r="EL32" i="22" s="1"/>
  <c r="AE37" i="22"/>
  <c r="ES37" i="22" s="1"/>
  <c r="ER37" i="22" s="1"/>
  <c r="N29" i="22"/>
  <c r="P31" i="22"/>
  <c r="EL31" i="22" s="1"/>
  <c r="EL33" i="22"/>
  <c r="DS29" i="22"/>
  <c r="AT30" i="22"/>
  <c r="S32" i="22"/>
  <c r="Q33" i="22"/>
  <c r="K34" i="22"/>
  <c r="N40" i="22"/>
  <c r="EO29" i="22"/>
  <c r="DT29" i="22" s="1"/>
  <c r="EO32" i="22"/>
  <c r="DT32" i="22" s="1"/>
  <c r="EO33" i="22"/>
  <c r="DT33" i="22" s="1"/>
  <c r="N39" i="22"/>
  <c r="EL40" i="22"/>
  <c r="GF29" i="22"/>
  <c r="AB31" i="22"/>
  <c r="BF31" i="22" s="1"/>
  <c r="U33" i="22"/>
  <c r="K36" i="22"/>
  <c r="BI36" i="22" s="1"/>
  <c r="O39" i="22"/>
  <c r="V39" i="22"/>
  <c r="U39" i="22" s="1"/>
  <c r="S40" i="22"/>
  <c r="CO34" i="22"/>
  <c r="Q26" i="22"/>
  <c r="Q27" i="22"/>
  <c r="Z28" i="22"/>
  <c r="Y28" i="22" s="1"/>
  <c r="Z29" i="22"/>
  <c r="Y29" i="22" s="1"/>
  <c r="Z32" i="22"/>
  <c r="Y32" i="22" s="1"/>
  <c r="U34" i="22"/>
  <c r="K38" i="22"/>
  <c r="BE38" i="22" s="1"/>
  <c r="Q39" i="22"/>
  <c r="AB29" i="22"/>
  <c r="AA32" i="22"/>
  <c r="AA33" i="22"/>
  <c r="Y40" i="22"/>
  <c r="K30" i="22"/>
  <c r="EL36" i="22"/>
  <c r="S39" i="22"/>
  <c r="AE33" i="22"/>
  <c r="AF33" i="22" s="1"/>
  <c r="AE29" i="22"/>
  <c r="ES29" i="22" s="1"/>
  <c r="ER29" i="22" s="1"/>
  <c r="AE27" i="22"/>
  <c r="AF27" i="22" s="1"/>
  <c r="BP27" i="22" s="1"/>
  <c r="AU28" i="22"/>
  <c r="P30" i="22"/>
  <c r="EL30" i="22" s="1"/>
  <c r="AU31" i="22"/>
  <c r="Y39" i="22"/>
  <c r="DS30" i="22"/>
  <c r="AT32" i="22"/>
  <c r="BI39" i="22"/>
  <c r="BL31" i="22"/>
  <c r="BM31" i="22" s="1"/>
  <c r="CV31" i="22" s="1"/>
  <c r="BY32" i="22"/>
  <c r="EG32" i="22" s="1"/>
  <c r="EI32" i="22" s="1"/>
  <c r="AE34" i="22"/>
  <c r="ES34" i="22" s="1"/>
  <c r="ER34" i="22" s="1"/>
  <c r="K37" i="22"/>
  <c r="O37" i="22" s="1"/>
  <c r="CM40" i="22"/>
  <c r="CO40" i="22" s="1"/>
  <c r="CO28" i="22"/>
  <c r="BY33" i="22"/>
  <c r="EG33" i="22" s="1"/>
  <c r="EI33" i="22" s="1"/>
  <c r="AT37" i="22"/>
  <c r="BI38" i="22"/>
  <c r="GE30" i="22"/>
  <c r="AR35" i="22"/>
  <c r="AQ35" i="22" s="1"/>
  <c r="AE38" i="22"/>
  <c r="ES38" i="22" s="1"/>
  <c r="ER38" i="22" s="1"/>
  <c r="CM39" i="22"/>
  <c r="CO39" i="22" s="1"/>
  <c r="AR26" i="22"/>
  <c r="BI31" i="22"/>
  <c r="BY29" i="22"/>
  <c r="EG29" i="22" s="1"/>
  <c r="EI29" i="22" s="1"/>
  <c r="AA30" i="22"/>
  <c r="H31" i="22"/>
  <c r="Q37" i="22"/>
  <c r="AR36" i="22"/>
  <c r="AQ36" i="22" s="1"/>
  <c r="S37" i="22"/>
  <c r="EA40" i="22"/>
  <c r="EO36" i="22"/>
  <c r="EN36" i="22"/>
  <c r="CI36" i="22"/>
  <c r="CG39" i="22"/>
  <c r="BF34" i="22"/>
  <c r="BG34" i="22" s="1"/>
  <c r="U38" i="22"/>
  <c r="CH38" i="22"/>
  <c r="AS38" i="22"/>
  <c r="CG38" i="22"/>
  <c r="CI38" i="22" s="1"/>
  <c r="BY38" i="22"/>
  <c r="EG38" i="22" s="1"/>
  <c r="EL34" i="22"/>
  <c r="BY35" i="22"/>
  <c r="EG35" i="22" s="1"/>
  <c r="EI35" i="22" s="1"/>
  <c r="EN35" i="22" s="1"/>
  <c r="CM38" i="22"/>
  <c r="CO38" i="22" s="1"/>
  <c r="CG35" i="22"/>
  <c r="CI35" i="22" s="1"/>
  <c r="Y38" i="22"/>
  <c r="AB39" i="22"/>
  <c r="EL39" i="22"/>
  <c r="GG39" i="22"/>
  <c r="EH38" i="22"/>
  <c r="AF34" i="22"/>
  <c r="BP34" i="22" s="1"/>
  <c r="H35" i="22"/>
  <c r="AS35" i="22"/>
  <c r="CH35" i="22"/>
  <c r="DS35" i="22"/>
  <c r="U36" i="22"/>
  <c r="V37" i="22"/>
  <c r="AA37" i="22" s="1"/>
  <c r="BE37" i="22"/>
  <c r="CT37" i="22" s="1"/>
  <c r="EF37" i="22"/>
  <c r="AA38" i="22"/>
  <c r="EF40" i="22"/>
  <c r="AT35" i="22"/>
  <c r="K35" i="22"/>
  <c r="AU35" i="22"/>
  <c r="EH37" i="22"/>
  <c r="AB38" i="22"/>
  <c r="BF38" i="22" s="1"/>
  <c r="EL38" i="22"/>
  <c r="GG38" i="22"/>
  <c r="AF39" i="22"/>
  <c r="AN40" i="22"/>
  <c r="BL40" i="22" s="1"/>
  <c r="Y36" i="22"/>
  <c r="AR40" i="22"/>
  <c r="H39" i="22"/>
  <c r="BY34" i="22"/>
  <c r="EG34" i="22" s="1"/>
  <c r="EI34" i="22" s="1"/>
  <c r="AA36" i="22"/>
  <c r="AB37" i="22"/>
  <c r="EL37" i="22"/>
  <c r="GG37" i="22"/>
  <c r="AN39" i="22"/>
  <c r="BL39" i="22" s="1"/>
  <c r="BM39" i="22" s="1"/>
  <c r="CV39" i="22" s="1"/>
  <c r="AT40" i="22"/>
  <c r="DS40" i="22"/>
  <c r="AR34" i="22"/>
  <c r="AQ34" i="22" s="1"/>
  <c r="CG34" i="22"/>
  <c r="DP34" i="22"/>
  <c r="AU40" i="22"/>
  <c r="H34" i="22"/>
  <c r="AS34" i="22"/>
  <c r="CH34" i="22"/>
  <c r="DS34" i="22"/>
  <c r="H38" i="22"/>
  <c r="DP39" i="22"/>
  <c r="AT39" i="22"/>
  <c r="DS39" i="22"/>
  <c r="AU39" i="22"/>
  <c r="H37" i="22"/>
  <c r="DP38" i="22"/>
  <c r="Q40" i="22"/>
  <c r="AT38" i="22"/>
  <c r="DS38" i="22"/>
  <c r="BF35" i="22"/>
  <c r="BG35" i="22" s="1"/>
  <c r="AR37" i="22"/>
  <c r="AU38" i="22"/>
  <c r="AU37" i="22"/>
  <c r="N37" i="22"/>
  <c r="H36" i="22"/>
  <c r="AS36" i="22"/>
  <c r="DS36" i="22"/>
  <c r="EH40" i="22"/>
  <c r="AT36" i="22"/>
  <c r="CM37" i="22"/>
  <c r="CO37" i="22" s="1"/>
  <c r="S38" i="22"/>
  <c r="GE40" i="22"/>
  <c r="AZ37" i="22"/>
  <c r="AE35" i="22"/>
  <c r="CT38" i="22"/>
  <c r="AB40" i="22"/>
  <c r="V40" i="22"/>
  <c r="AA40" i="22" s="1"/>
  <c r="Q38" i="22"/>
  <c r="EA33" i="22"/>
  <c r="BP33" i="22"/>
  <c r="Q30" i="22"/>
  <c r="AB32" i="22"/>
  <c r="ES33" i="22"/>
  <c r="ER33" i="22" s="1"/>
  <c r="K29" i="22"/>
  <c r="BI29" i="22" s="1"/>
  <c r="AR29" i="22"/>
  <c r="BH32" i="22"/>
  <c r="AT29" i="22"/>
  <c r="BE31" i="22"/>
  <c r="CT31" i="22" s="1"/>
  <c r="AE32" i="22"/>
  <c r="U30" i="22"/>
  <c r="AA31" i="22"/>
  <c r="BY28" i="22"/>
  <c r="EG28" i="22" s="1"/>
  <c r="EI28" i="22" s="1"/>
  <c r="EO28" i="22" s="1"/>
  <c r="Q29" i="22"/>
  <c r="GF31" i="22"/>
  <c r="GH31" i="22" s="1"/>
  <c r="CZ31" i="22" s="1"/>
  <c r="K33" i="22"/>
  <c r="BI33" i="22" s="1"/>
  <c r="AR33" i="22"/>
  <c r="AQ33" i="22" s="1"/>
  <c r="CG33" i="22"/>
  <c r="CI33" i="22" s="1"/>
  <c r="AE28" i="22"/>
  <c r="AR28" i="22"/>
  <c r="AQ28" i="22" s="1"/>
  <c r="N33" i="22"/>
  <c r="AS33" i="22"/>
  <c r="DS33" i="22"/>
  <c r="EF31" i="22"/>
  <c r="N28" i="22"/>
  <c r="AS28" i="22"/>
  <c r="AX28" i="22" s="1"/>
  <c r="CH28" i="22"/>
  <c r="DS28" i="22"/>
  <c r="AT33" i="22"/>
  <c r="K28" i="22"/>
  <c r="BI28" i="22" s="1"/>
  <c r="CG28" i="22"/>
  <c r="AE31" i="22"/>
  <c r="H32" i="22"/>
  <c r="Q28" i="22"/>
  <c r="AB30" i="22"/>
  <c r="K32" i="22"/>
  <c r="AR32" i="22"/>
  <c r="AQ32" i="22" s="1"/>
  <c r="CG32" i="22"/>
  <c r="BH30" i="22"/>
  <c r="N32" i="22"/>
  <c r="AS32" i="22"/>
  <c r="CH32" i="22"/>
  <c r="S33" i="22"/>
  <c r="AE30" i="22"/>
  <c r="AA29" i="22"/>
  <c r="GE29" i="22"/>
  <c r="BY31" i="22"/>
  <c r="EG31" i="22" s="1"/>
  <c r="EI31" i="22" s="1"/>
  <c r="DP31" i="22"/>
  <c r="N31" i="22"/>
  <c r="AS31" i="22"/>
  <c r="AX31" i="22" s="1"/>
  <c r="CH31" i="22"/>
  <c r="DS31" i="22"/>
  <c r="AU32" i="22"/>
  <c r="CG31" i="22"/>
  <c r="Z33" i="22"/>
  <c r="Y33" i="22" s="1"/>
  <c r="AA28" i="22"/>
  <c r="GE28" i="22"/>
  <c r="BY30" i="22"/>
  <c r="EG30" i="22" s="1"/>
  <c r="EI30" i="22" s="1"/>
  <c r="EO30" i="22" s="1"/>
  <c r="CG30" i="22"/>
  <c r="CI30" i="22" s="1"/>
  <c r="EA27" i="22"/>
  <c r="U26" i="22"/>
  <c r="CH26" i="22"/>
  <c r="BY26" i="22"/>
  <c r="EG26" i="22" s="1"/>
  <c r="EI26" i="22" s="1"/>
  <c r="AA26" i="22"/>
  <c r="T26" i="22"/>
  <c r="DP26" i="22"/>
  <c r="O26" i="22"/>
  <c r="AN26" i="22"/>
  <c r="BE26" i="22"/>
  <c r="CT26" i="22" s="1"/>
  <c r="AQ26" i="22"/>
  <c r="BI26" i="22"/>
  <c r="ES27" i="22"/>
  <c r="ER27" i="22" s="1"/>
  <c r="EL26" i="22"/>
  <c r="AF26" i="22"/>
  <c r="AR27" i="22"/>
  <c r="K27" i="22"/>
  <c r="BI27" i="22" s="1"/>
  <c r="DS27" i="22"/>
  <c r="N27" i="22"/>
  <c r="AT27" i="22"/>
  <c r="AW27" i="22"/>
  <c r="AW29" i="22" s="1"/>
  <c r="AW31" i="22" s="1"/>
  <c r="AW33" i="22" s="1"/>
  <c r="AW34" i="22" s="1"/>
  <c r="AW35" i="22" s="1"/>
  <c r="H26" i="22"/>
  <c r="N26" i="22"/>
  <c r="AT26" i="22"/>
  <c r="V27" i="22"/>
  <c r="AS26" i="22"/>
  <c r="DS26" i="22"/>
  <c r="Z27" i="22"/>
  <c r="EL27" i="22"/>
  <c r="FN103" i="22" l="1"/>
  <c r="DB103" i="22"/>
  <c r="FN50" i="22"/>
  <c r="DB50" i="22"/>
  <c r="O111" i="22"/>
  <c r="BE111" i="22"/>
  <c r="CT111" i="22" s="1"/>
  <c r="BI111" i="22"/>
  <c r="BJ111" i="22" s="1"/>
  <c r="CU111" i="22" s="1"/>
  <c r="CI58" i="22"/>
  <c r="CP58" i="22" s="1"/>
  <c r="CR58" i="22" s="1"/>
  <c r="CW58" i="22" s="1"/>
  <c r="DJ58" i="22" s="1"/>
  <c r="GH66" i="22"/>
  <c r="CZ66" i="22" s="1"/>
  <c r="FP66" i="22" s="1"/>
  <c r="BF75" i="22"/>
  <c r="AU98" i="22"/>
  <c r="DP73" i="22"/>
  <c r="O73" i="22"/>
  <c r="BE73" i="22"/>
  <c r="CT73" i="22" s="1"/>
  <c r="AN73" i="22"/>
  <c r="BF95" i="22"/>
  <c r="CI99" i="22"/>
  <c r="DP111" i="22"/>
  <c r="BO45" i="22"/>
  <c r="T86" i="22"/>
  <c r="BE86" i="22"/>
  <c r="CT86" i="22" s="1"/>
  <c r="BG33" i="22"/>
  <c r="BJ33" i="22" s="1"/>
  <c r="CU33" i="22" s="1"/>
  <c r="AS110" i="22"/>
  <c r="AS30" i="22"/>
  <c r="AX30" i="22" s="1"/>
  <c r="AU47" i="22"/>
  <c r="BF54" i="22"/>
  <c r="BO74" i="22"/>
  <c r="AU86" i="22"/>
  <c r="AX113" i="22"/>
  <c r="DP78" i="22"/>
  <c r="O78" i="22"/>
  <c r="BM78" i="22" s="1"/>
  <c r="CV78" i="22" s="1"/>
  <c r="BE78" i="22"/>
  <c r="CT78" i="22" s="1"/>
  <c r="AF68" i="22"/>
  <c r="CI78" i="22"/>
  <c r="CP78" i="22" s="1"/>
  <c r="BF30" i="22"/>
  <c r="BO30" i="22" s="1"/>
  <c r="BA26" i="22"/>
  <c r="EB26" i="22" s="1"/>
  <c r="ET26" i="22" s="1"/>
  <c r="EW26" i="22" s="1"/>
  <c r="EX26" i="22" s="1"/>
  <c r="DU94" i="22"/>
  <c r="BA100" i="22"/>
  <c r="EB100" i="22" s="1"/>
  <c r="DU100" i="22" s="1"/>
  <c r="AW101" i="22"/>
  <c r="AW102" i="22" s="1"/>
  <c r="CI110" i="22"/>
  <c r="AN111" i="22"/>
  <c r="GF111" i="22" s="1"/>
  <c r="GH111" i="22" s="1"/>
  <c r="CZ111" i="22" s="1"/>
  <c r="BO41" i="22"/>
  <c r="AU76" i="22"/>
  <c r="AU73" i="22"/>
  <c r="EO110" i="22"/>
  <c r="EF50" i="22"/>
  <c r="S50" i="22"/>
  <c r="BI45" i="22"/>
  <c r="BJ45" i="22" s="1"/>
  <c r="CU45" i="22" s="1"/>
  <c r="BL50" i="22"/>
  <c r="BM50" i="22" s="1"/>
  <c r="CV50" i="22" s="1"/>
  <c r="BE58" i="22"/>
  <c r="CT58" i="22" s="1"/>
  <c r="FN58" i="22" s="1"/>
  <c r="DP58" i="22"/>
  <c r="BA30" i="22"/>
  <c r="EB30" i="22" s="1"/>
  <c r="DU30" i="22" s="1"/>
  <c r="CH68" i="22"/>
  <c r="CI68" i="22" s="1"/>
  <c r="EI65" i="22"/>
  <c r="EN65" i="22" s="1"/>
  <c r="BG81" i="22"/>
  <c r="CI95" i="22"/>
  <c r="CP95" i="22" s="1"/>
  <c r="AU101" i="22"/>
  <c r="S104" i="22"/>
  <c r="CI96" i="22"/>
  <c r="O115" i="22"/>
  <c r="BM115" i="22" s="1"/>
  <c r="CV115" i="22" s="1"/>
  <c r="BE115" i="22"/>
  <c r="CT115" i="22" s="1"/>
  <c r="AU41" i="22"/>
  <c r="Y41" i="22"/>
  <c r="CI74" i="22"/>
  <c r="AA39" i="22"/>
  <c r="CK43" i="22"/>
  <c r="CL43" i="22" s="1"/>
  <c r="ES60" i="22"/>
  <c r="ER60" i="22" s="1"/>
  <c r="AS68" i="22"/>
  <c r="CI65" i="22"/>
  <c r="CP65" i="22" s="1"/>
  <c r="CR65" i="22" s="1"/>
  <c r="CW65" i="22" s="1"/>
  <c r="CL72" i="22"/>
  <c r="AU94" i="22"/>
  <c r="BE102" i="22"/>
  <c r="CT102" i="22" s="1"/>
  <c r="FN102" i="22" s="1"/>
  <c r="T102" i="22"/>
  <c r="CG102" i="22" s="1"/>
  <c r="O102" i="22"/>
  <c r="BM102" i="22" s="1"/>
  <c r="CV102" i="22" s="1"/>
  <c r="BI94" i="22"/>
  <c r="AN38" i="22"/>
  <c r="BL38" i="22" s="1"/>
  <c r="CI28" i="22"/>
  <c r="EO41" i="22"/>
  <c r="AU102" i="22"/>
  <c r="EF48" i="22"/>
  <c r="S48" i="22"/>
  <c r="CI31" i="22"/>
  <c r="CP31" i="22" s="1"/>
  <c r="CR31" i="22" s="1"/>
  <c r="CW31" i="22" s="1"/>
  <c r="BF33" i="22"/>
  <c r="BO33" i="22" s="1"/>
  <c r="CI41" i="22"/>
  <c r="BI58" i="22"/>
  <c r="AU104" i="22"/>
  <c r="BF62" i="22"/>
  <c r="GH72" i="22"/>
  <c r="CZ72" i="22" s="1"/>
  <c r="BQ101" i="22"/>
  <c r="BF32" i="22"/>
  <c r="BO32" i="22" s="1"/>
  <c r="AU50" i="22"/>
  <c r="CI53" i="22"/>
  <c r="CP53" i="22" s="1"/>
  <c r="CR53" i="22" s="1"/>
  <c r="CW53" i="22" s="1"/>
  <c r="CI113" i="22"/>
  <c r="CP113" i="22" s="1"/>
  <c r="AF102" i="22"/>
  <c r="ES102" i="22"/>
  <c r="ER102" i="22" s="1"/>
  <c r="O38" i="22"/>
  <c r="BM43" i="22"/>
  <c r="CV43" i="22" s="1"/>
  <c r="AA42" i="22"/>
  <c r="BF42" i="22" s="1"/>
  <c r="AU46" i="22"/>
  <c r="CI76" i="22"/>
  <c r="CP76" i="22" s="1"/>
  <c r="AS93" i="22"/>
  <c r="AQ104" i="22"/>
  <c r="AU55" i="22"/>
  <c r="AF36" i="22"/>
  <c r="ES36" i="22"/>
  <c r="ER36" i="22" s="1"/>
  <c r="GH29" i="22"/>
  <c r="CZ29" i="22" s="1"/>
  <c r="AF38" i="22"/>
  <c r="BG49" i="22"/>
  <c r="BJ49" i="22" s="1"/>
  <c r="CU49" i="22" s="1"/>
  <c r="BY68" i="22"/>
  <c r="EG68" i="22" s="1"/>
  <c r="EI68" i="22" s="1"/>
  <c r="EN66" i="22"/>
  <c r="DP74" i="22"/>
  <c r="FA74" i="22" s="1"/>
  <c r="AS78" i="22"/>
  <c r="AF93" i="22"/>
  <c r="BF99" i="22"/>
  <c r="BO99" i="22" s="1"/>
  <c r="BE66" i="22"/>
  <c r="CT66" i="22" s="1"/>
  <c r="O66" i="22"/>
  <c r="BM66" i="22" s="1"/>
  <c r="CV66" i="22" s="1"/>
  <c r="BI115" i="22"/>
  <c r="AU45" i="22"/>
  <c r="Y45" i="22"/>
  <c r="BI74" i="22"/>
  <c r="GH68" i="22"/>
  <c r="CZ68" i="22" s="1"/>
  <c r="BM75" i="22"/>
  <c r="CV75" i="22" s="1"/>
  <c r="AU77" i="22"/>
  <c r="AS82" i="22"/>
  <c r="DP44" i="22"/>
  <c r="FA44" i="22" s="1"/>
  <c r="FB44" i="22" s="1"/>
  <c r="FC44" i="22" s="1"/>
  <c r="T44" i="22"/>
  <c r="O44" i="22"/>
  <c r="BE44" i="22"/>
  <c r="CT44" i="22" s="1"/>
  <c r="AN44" i="22"/>
  <c r="BI86" i="22"/>
  <c r="BF113" i="22"/>
  <c r="BG113" i="22" s="1"/>
  <c r="EA101" i="22"/>
  <c r="BP101" i="22"/>
  <c r="AQ44" i="22"/>
  <c r="EI57" i="22"/>
  <c r="BF29" i="22"/>
  <c r="AN37" i="22"/>
  <c r="BE45" i="22"/>
  <c r="CT45" i="22" s="1"/>
  <c r="DB48" i="22"/>
  <c r="AQ56" i="22"/>
  <c r="O58" i="22"/>
  <c r="AA68" i="22"/>
  <c r="BE74" i="22"/>
  <c r="CT74" i="22" s="1"/>
  <c r="BG111" i="22"/>
  <c r="BC111" i="22" s="1"/>
  <c r="BD111" i="22" s="1"/>
  <c r="BI67" i="22"/>
  <c r="U41" i="22"/>
  <c r="CH41" i="22"/>
  <c r="BY41" i="22"/>
  <c r="EG41" i="22" s="1"/>
  <c r="EI41" i="22" s="1"/>
  <c r="AS41" i="22"/>
  <c r="AQ91" i="22"/>
  <c r="BA111" i="22"/>
  <c r="EB111" i="22" s="1"/>
  <c r="ET111" i="22" s="1"/>
  <c r="EW111" i="22" s="1"/>
  <c r="EX111" i="22" s="1"/>
  <c r="AW112" i="22"/>
  <c r="AW113" i="22" s="1"/>
  <c r="CI29" i="22"/>
  <c r="CP29" i="22" s="1"/>
  <c r="BI64" i="22"/>
  <c r="EO48" i="22"/>
  <c r="DT48" i="22" s="1"/>
  <c r="AN74" i="22"/>
  <c r="BL74" i="22" s="1"/>
  <c r="BM74" i="22" s="1"/>
  <c r="CV74" i="22" s="1"/>
  <c r="AU26" i="22"/>
  <c r="BG101" i="22"/>
  <c r="BC101" i="22" s="1"/>
  <c r="BD101" i="22" s="1"/>
  <c r="AF98" i="22"/>
  <c r="ES98" i="22"/>
  <c r="ER98" i="22" s="1"/>
  <c r="U101" i="22"/>
  <c r="CH101" i="22"/>
  <c r="BY101" i="22"/>
  <c r="EG101" i="22" s="1"/>
  <c r="EI101" i="22" s="1"/>
  <c r="FP116" i="22"/>
  <c r="DK116" i="22"/>
  <c r="EA116" i="22"/>
  <c r="BJ115" i="22"/>
  <c r="CU115" i="22" s="1"/>
  <c r="FP115" i="22"/>
  <c r="DK115" i="22"/>
  <c r="FN116" i="22"/>
  <c r="DH116" i="22"/>
  <c r="EK115" i="22"/>
  <c r="CY115" i="22" s="1"/>
  <c r="FN115" i="22"/>
  <c r="DH115" i="22"/>
  <c r="FA115" i="22"/>
  <c r="FB115" i="22" s="1"/>
  <c r="FC115" i="22" s="1"/>
  <c r="AU116" i="22"/>
  <c r="BP116" i="22"/>
  <c r="ES115" i="22"/>
  <c r="ER115" i="22" s="1"/>
  <c r="AF115" i="22"/>
  <c r="DT116" i="22"/>
  <c r="AS116" i="22"/>
  <c r="BF116" i="22"/>
  <c r="BG116" i="22" s="1"/>
  <c r="FA116" i="22"/>
  <c r="FB116" i="22" s="1"/>
  <c r="FC116" i="22" s="1"/>
  <c r="CI116" i="22"/>
  <c r="CP116" i="22" s="1"/>
  <c r="CR116" i="22" s="1"/>
  <c r="CW116" i="22" s="1"/>
  <c r="FP113" i="22"/>
  <c r="DK113" i="22"/>
  <c r="FP114" i="22"/>
  <c r="DK114" i="22"/>
  <c r="EA114" i="22"/>
  <c r="Y114" i="22"/>
  <c r="AU114" i="22"/>
  <c r="EK113" i="22"/>
  <c r="CY113" i="22" s="1"/>
  <c r="AY113" i="22"/>
  <c r="BP114" i="22"/>
  <c r="O113" i="22"/>
  <c r="DP113" i="22"/>
  <c r="BE113" i="22"/>
  <c r="CT113" i="22" s="1"/>
  <c r="BI113" i="22"/>
  <c r="BA113" i="22"/>
  <c r="CI114" i="22"/>
  <c r="CP114" i="22" s="1"/>
  <c r="BE114" i="22"/>
  <c r="CT114" i="22" s="1"/>
  <c r="O114" i="22"/>
  <c r="BM114" i="22" s="1"/>
  <c r="CV114" i="22" s="1"/>
  <c r="DP114" i="22"/>
  <c r="BF114" i="22"/>
  <c r="BG114" i="22" s="1"/>
  <c r="DT114" i="22"/>
  <c r="FN111" i="22"/>
  <c r="DB111" i="22"/>
  <c r="BE112" i="22"/>
  <c r="CT112" i="22" s="1"/>
  <c r="O112" i="22"/>
  <c r="DP112" i="22"/>
  <c r="AN112" i="22"/>
  <c r="DT111" i="22"/>
  <c r="EZ111" i="22"/>
  <c r="EY111" i="22"/>
  <c r="BI112" i="22"/>
  <c r="EA111" i="22"/>
  <c r="AX111" i="22"/>
  <c r="BO112" i="22"/>
  <c r="BQ112" i="22" s="1"/>
  <c r="FA111" i="22"/>
  <c r="FB111" i="22" s="1"/>
  <c r="FC111" i="22" s="1"/>
  <c r="BA112" i="22"/>
  <c r="EB112" i="22" s="1"/>
  <c r="DU112" i="22" s="1"/>
  <c r="AU112" i="22"/>
  <c r="DU111" i="22"/>
  <c r="BP111" i="22"/>
  <c r="BQ111" i="22" s="1"/>
  <c r="DT112" i="22"/>
  <c r="AS112" i="22"/>
  <c r="BF112" i="22"/>
  <c r="BG112" i="22" s="1"/>
  <c r="CK111" i="22"/>
  <c r="CL111" i="22" s="1"/>
  <c r="CP111" i="22" s="1"/>
  <c r="CR111" i="22" s="1"/>
  <c r="CW111" i="22" s="1"/>
  <c r="DT109" i="22"/>
  <c r="DT110" i="22"/>
  <c r="FN109" i="22"/>
  <c r="DB109" i="22"/>
  <c r="AS109" i="22"/>
  <c r="AX109" i="22" s="1"/>
  <c r="EL109" i="22"/>
  <c r="CI109" i="22"/>
  <c r="BA110" i="22"/>
  <c r="EB110" i="22" s="1"/>
  <c r="AU110" i="22"/>
  <c r="CK109" i="22"/>
  <c r="CL109" i="22" s="1"/>
  <c r="GF109" i="22"/>
  <c r="GH109" i="22" s="1"/>
  <c r="CZ109" i="22" s="1"/>
  <c r="AX110" i="22"/>
  <c r="FA110" i="22"/>
  <c r="FB110" i="22" s="1"/>
  <c r="FC110" i="22" s="1"/>
  <c r="GF110" i="22"/>
  <c r="GH110" i="22" s="1"/>
  <c r="CZ110" i="22" s="1"/>
  <c r="CK110" i="22"/>
  <c r="CL110" i="22" s="1"/>
  <c r="CP110" i="22" s="1"/>
  <c r="CR110" i="22" s="1"/>
  <c r="CW110" i="22" s="1"/>
  <c r="BA109" i="22"/>
  <c r="EB109" i="22" s="1"/>
  <c r="BF109" i="22"/>
  <c r="BO109" i="22" s="1"/>
  <c r="BQ109" i="22" s="1"/>
  <c r="BF110" i="22"/>
  <c r="BG110" i="22" s="1"/>
  <c r="BG104" i="22"/>
  <c r="BO104" i="22"/>
  <c r="BQ104" i="22" s="1"/>
  <c r="CK103" i="22"/>
  <c r="CL103" i="22" s="1"/>
  <c r="GF103" i="22"/>
  <c r="GH103" i="22" s="1"/>
  <c r="CZ103" i="22" s="1"/>
  <c r="U104" i="22"/>
  <c r="CH104" i="22"/>
  <c r="AS104" i="22"/>
  <c r="CG104" i="22"/>
  <c r="CI104" i="22" s="1"/>
  <c r="CP104" i="22" s="1"/>
  <c r="CR104" i="22" s="1"/>
  <c r="CW104" i="22" s="1"/>
  <c r="BY104" i="22"/>
  <c r="EG104" i="22" s="1"/>
  <c r="EI104" i="22" s="1"/>
  <c r="EO104" i="22" s="1"/>
  <c r="FA103" i="22"/>
  <c r="FB103" i="22" s="1"/>
  <c r="FC103" i="22" s="1"/>
  <c r="BM104" i="22"/>
  <c r="CV104" i="22" s="1"/>
  <c r="CI103" i="22"/>
  <c r="CP103" i="22" s="1"/>
  <c r="CR103" i="22" s="1"/>
  <c r="CW103" i="22" s="1"/>
  <c r="BL103" i="22"/>
  <c r="BM103" i="22" s="1"/>
  <c r="CV103" i="22" s="1"/>
  <c r="EA103" i="22"/>
  <c r="GF104" i="22"/>
  <c r="GH104" i="22" s="1"/>
  <c r="CZ104" i="22" s="1"/>
  <c r="CK104" i="22"/>
  <c r="CL104" i="22" s="1"/>
  <c r="BL104" i="22"/>
  <c r="FA104" i="22"/>
  <c r="FB104" i="22" s="1"/>
  <c r="FC104" i="22" s="1"/>
  <c r="EO103" i="22"/>
  <c r="BF103" i="22"/>
  <c r="BO103" i="22" s="1"/>
  <c r="BQ103" i="22" s="1"/>
  <c r="BG102" i="22"/>
  <c r="BO102" i="22"/>
  <c r="T101" i="22"/>
  <c r="O101" i="22"/>
  <c r="DP101" i="22"/>
  <c r="AN101" i="22"/>
  <c r="BE101" i="22"/>
  <c r="CT101" i="22" s="1"/>
  <c r="DB102" i="22"/>
  <c r="U102" i="22"/>
  <c r="CH102" i="22"/>
  <c r="AS102" i="22"/>
  <c r="AX102" i="22" s="1"/>
  <c r="BY102" i="22"/>
  <c r="EG102" i="22" s="1"/>
  <c r="EI102" i="22" s="1"/>
  <c r="BA101" i="22"/>
  <c r="EB101" i="22" s="1"/>
  <c r="AQ101" i="22"/>
  <c r="BI101" i="22"/>
  <c r="AX101" i="22"/>
  <c r="FA102" i="22"/>
  <c r="FB102" i="22" s="1"/>
  <c r="FC102" i="22" s="1"/>
  <c r="AQ102" i="22"/>
  <c r="GF102" i="22"/>
  <c r="GH102" i="22" s="1"/>
  <c r="CZ102" i="22" s="1"/>
  <c r="CK102" i="22"/>
  <c r="CL102" i="22" s="1"/>
  <c r="FP100" i="22"/>
  <c r="DK100" i="22"/>
  <c r="DT100" i="22"/>
  <c r="BG99" i="22"/>
  <c r="DT99" i="22"/>
  <c r="AS99" i="22"/>
  <c r="AX99" i="22" s="1"/>
  <c r="BA99" i="22"/>
  <c r="EB99" i="22" s="1"/>
  <c r="DU99" i="22" s="1"/>
  <c r="FN99" i="22"/>
  <c r="DB99" i="22"/>
  <c r="FA99" i="22"/>
  <c r="FB99" i="22" s="1"/>
  <c r="FC99" i="22" s="1"/>
  <c r="BE100" i="22"/>
  <c r="CT100" i="22" s="1"/>
  <c r="O100" i="22"/>
  <c r="BM100" i="22" s="1"/>
  <c r="CV100" i="22" s="1"/>
  <c r="DP100" i="22"/>
  <c r="CK99" i="22"/>
  <c r="CL99" i="22" s="1"/>
  <c r="CP99" i="22" s="1"/>
  <c r="CR99" i="22" s="1"/>
  <c r="CW99" i="22" s="1"/>
  <c r="GF99" i="22"/>
  <c r="GH99" i="22" s="1"/>
  <c r="CZ99" i="22" s="1"/>
  <c r="EA99" i="22"/>
  <c r="BP99" i="22"/>
  <c r="BQ99" i="22" s="1"/>
  <c r="AS100" i="22"/>
  <c r="AX100" i="22" s="1"/>
  <c r="CI100" i="22"/>
  <c r="CP100" i="22" s="1"/>
  <c r="BF100" i="22"/>
  <c r="BO100" i="22" s="1"/>
  <c r="BQ100" i="22" s="1"/>
  <c r="DT97" i="22"/>
  <c r="DT98" i="22"/>
  <c r="BE98" i="22"/>
  <c r="CT98" i="22" s="1"/>
  <c r="O98" i="22"/>
  <c r="DP98" i="22"/>
  <c r="AN98" i="22"/>
  <c r="EA97" i="22"/>
  <c r="BP97" i="22"/>
  <c r="FP97" i="22"/>
  <c r="DK97" i="22"/>
  <c r="AS97" i="22"/>
  <c r="AX97" i="22" s="1"/>
  <c r="BA97" i="22"/>
  <c r="EB97" i="22" s="1"/>
  <c r="CI97" i="22"/>
  <c r="CP97" i="22" s="1"/>
  <c r="CR97" i="22" s="1"/>
  <c r="CW97" i="22" s="1"/>
  <c r="O97" i="22"/>
  <c r="BM97" i="22" s="1"/>
  <c r="CV97" i="22" s="1"/>
  <c r="DP97" i="22"/>
  <c r="BE97" i="22"/>
  <c r="CT97" i="22" s="1"/>
  <c r="BA98" i="22"/>
  <c r="EB98" i="22" s="1"/>
  <c r="BF97" i="22"/>
  <c r="BG97" i="22" s="1"/>
  <c r="BF98" i="22"/>
  <c r="BG98" i="22" s="1"/>
  <c r="AS98" i="22"/>
  <c r="DT95" i="22"/>
  <c r="O95" i="22"/>
  <c r="BM95" i="22" s="1"/>
  <c r="CV95" i="22" s="1"/>
  <c r="DP95" i="22"/>
  <c r="BE95" i="22"/>
  <c r="CT95" i="22" s="1"/>
  <c r="AY95" i="22"/>
  <c r="EA94" i="22"/>
  <c r="BI95" i="22"/>
  <c r="BA96" i="22"/>
  <c r="EB96" i="22" s="1"/>
  <c r="DU96" i="22" s="1"/>
  <c r="DW96" i="22" s="1"/>
  <c r="BA95" i="22"/>
  <c r="EB95" i="22" s="1"/>
  <c r="AX96" i="22"/>
  <c r="AX94" i="22"/>
  <c r="BE96" i="22"/>
  <c r="CT96" i="22" s="1"/>
  <c r="O96" i="22"/>
  <c r="DP96" i="22"/>
  <c r="AN96" i="22"/>
  <c r="FA94" i="22"/>
  <c r="FB94" i="22" s="1"/>
  <c r="FC94" i="22" s="1"/>
  <c r="CI94" i="22"/>
  <c r="EA95" i="22"/>
  <c r="BP94" i="22"/>
  <c r="CK94" i="22"/>
  <c r="CL94" i="22" s="1"/>
  <c r="BL94" i="22"/>
  <c r="BM94" i="22" s="1"/>
  <c r="CV94" i="22" s="1"/>
  <c r="GF94" i="22"/>
  <c r="GH94" i="22" s="1"/>
  <c r="CZ94" i="22" s="1"/>
  <c r="FP95" i="22"/>
  <c r="DK95" i="22"/>
  <c r="EK96" i="22"/>
  <c r="CY96" i="22" s="1"/>
  <c r="BO94" i="22"/>
  <c r="BF94" i="22"/>
  <c r="BG94" i="22" s="1"/>
  <c r="EO94" i="22"/>
  <c r="ET96" i="22"/>
  <c r="EW96" i="22" s="1"/>
  <c r="EX96" i="22" s="1"/>
  <c r="ET94" i="22"/>
  <c r="EW94" i="22" s="1"/>
  <c r="EX94" i="22" s="1"/>
  <c r="FN94" i="22"/>
  <c r="DB94" i="22"/>
  <c r="BF96" i="22"/>
  <c r="BG96" i="22" s="1"/>
  <c r="AY87" i="22"/>
  <c r="GF86" i="22"/>
  <c r="GH86" i="22" s="1"/>
  <c r="CZ86" i="22" s="1"/>
  <c r="U86" i="22"/>
  <c r="CH86" i="22"/>
  <c r="AS86" i="22"/>
  <c r="CG86" i="22"/>
  <c r="BY86" i="22"/>
  <c r="EG86" i="22" s="1"/>
  <c r="EI86" i="22" s="1"/>
  <c r="AU93" i="22"/>
  <c r="AX93" i="22" s="1"/>
  <c r="BE90" i="22"/>
  <c r="CT90" i="22" s="1"/>
  <c r="T90" i="22"/>
  <c r="O90" i="22"/>
  <c r="AN90" i="22"/>
  <c r="DP90" i="22"/>
  <c r="O87" i="22"/>
  <c r="BM87" i="22" s="1"/>
  <c r="CV87" i="22" s="1"/>
  <c r="DP87" i="22"/>
  <c r="BE87" i="22"/>
  <c r="CT87" i="22" s="1"/>
  <c r="T87" i="22"/>
  <c r="T92" i="22"/>
  <c r="O92" i="22"/>
  <c r="DP92" i="22"/>
  <c r="AN92" i="22"/>
  <c r="BE92" i="22"/>
  <c r="CT92" i="22" s="1"/>
  <c r="BG91" i="22"/>
  <c r="BO90" i="22"/>
  <c r="BG90" i="22"/>
  <c r="AY89" i="22"/>
  <c r="AU88" i="22"/>
  <c r="AX88" i="22" s="1"/>
  <c r="AQ87" i="22"/>
  <c r="BE89" i="22"/>
  <c r="CT89" i="22" s="1"/>
  <c r="T89" i="22"/>
  <c r="O89" i="22"/>
  <c r="DP89" i="22"/>
  <c r="AN89" i="22"/>
  <c r="CH91" i="22"/>
  <c r="CG91" i="22"/>
  <c r="BY91" i="22"/>
  <c r="EG91" i="22" s="1"/>
  <c r="EI91" i="22" s="1"/>
  <c r="U91" i="22"/>
  <c r="BP86" i="22"/>
  <c r="EA86" i="22"/>
  <c r="FA86" i="22"/>
  <c r="FB86" i="22" s="1"/>
  <c r="FC86" i="22" s="1"/>
  <c r="BF93" i="22"/>
  <c r="BG93" i="22" s="1"/>
  <c r="T88" i="22"/>
  <c r="O88" i="22"/>
  <c r="DP88" i="22"/>
  <c r="AN88" i="22"/>
  <c r="BE88" i="22"/>
  <c r="CT88" i="22" s="1"/>
  <c r="BA86" i="22"/>
  <c r="EB86" i="22" s="1"/>
  <c r="AQ86" i="22"/>
  <c r="BA93" i="22"/>
  <c r="EB93" i="22" s="1"/>
  <c r="BI90" i="22"/>
  <c r="CH87" i="22"/>
  <c r="BY87" i="22"/>
  <c r="EG87" i="22" s="1"/>
  <c r="EI87" i="22" s="1"/>
  <c r="GF87" i="22"/>
  <c r="GH87" i="22" s="1"/>
  <c r="CZ87" i="22" s="1"/>
  <c r="U87" i="22"/>
  <c r="BF86" i="22"/>
  <c r="BO86" i="22" s="1"/>
  <c r="EA93" i="22"/>
  <c r="BF89" i="22"/>
  <c r="BG89" i="22" s="1"/>
  <c r="BO92" i="22"/>
  <c r="BF92" i="22"/>
  <c r="BG92" i="22" s="1"/>
  <c r="BA92" i="22"/>
  <c r="EB92" i="22" s="1"/>
  <c r="AQ92" i="22"/>
  <c r="AQ89" i="22"/>
  <c r="BI92" i="22"/>
  <c r="BP90" i="22"/>
  <c r="BQ90" i="22" s="1"/>
  <c r="EA90" i="22"/>
  <c r="ES91" i="22"/>
  <c r="ER91" i="22" s="1"/>
  <c r="AF91" i="22"/>
  <c r="EA88" i="22"/>
  <c r="BF91" i="22"/>
  <c r="BO91" i="22" s="1"/>
  <c r="BF90" i="22"/>
  <c r="BE93" i="22"/>
  <c r="CT93" i="22" s="1"/>
  <c r="T93" i="22"/>
  <c r="CG93" i="22" s="1"/>
  <c r="CI93" i="22" s="1"/>
  <c r="O93" i="22"/>
  <c r="DP93" i="22"/>
  <c r="AN93" i="22"/>
  <c r="ES87" i="22"/>
  <c r="ER87" i="22" s="1"/>
  <c r="AF87" i="22"/>
  <c r="BP93" i="22"/>
  <c r="AQ93" i="22"/>
  <c r="BA87" i="22"/>
  <c r="EB87" i="22" s="1"/>
  <c r="BA89" i="22"/>
  <c r="EB89" i="22" s="1"/>
  <c r="AW90" i="22"/>
  <c r="ES89" i="22"/>
  <c r="ER89" i="22" s="1"/>
  <c r="AF89" i="22"/>
  <c r="AS91" i="22"/>
  <c r="U89" i="22"/>
  <c r="CH89" i="22"/>
  <c r="CG89" i="22"/>
  <c r="CI89" i="22" s="1"/>
  <c r="BY89" i="22"/>
  <c r="EG89" i="22" s="1"/>
  <c r="EI89" i="22" s="1"/>
  <c r="ES92" i="22"/>
  <c r="ER92" i="22" s="1"/>
  <c r="ET92" i="22" s="1"/>
  <c r="EW92" i="22" s="1"/>
  <c r="EX92" i="22" s="1"/>
  <c r="AF92" i="22"/>
  <c r="BA88" i="22"/>
  <c r="EB88" i="22" s="1"/>
  <c r="AU92" i="22"/>
  <c r="AX92" i="22" s="1"/>
  <c r="O91" i="22"/>
  <c r="DP91" i="22"/>
  <c r="AN91" i="22"/>
  <c r="BE91" i="22"/>
  <c r="CT91" i="22" s="1"/>
  <c r="T91" i="22"/>
  <c r="U90" i="22"/>
  <c r="CH90" i="22"/>
  <c r="CG90" i="22"/>
  <c r="CI90" i="22" s="1"/>
  <c r="BY90" i="22"/>
  <c r="EG90" i="22" s="1"/>
  <c r="EI90" i="22" s="1"/>
  <c r="BF87" i="22"/>
  <c r="BO87" i="22" s="1"/>
  <c r="U93" i="22"/>
  <c r="CH93" i="22"/>
  <c r="BY93" i="22"/>
  <c r="EG93" i="22" s="1"/>
  <c r="EI93" i="22" s="1"/>
  <c r="BF88" i="22"/>
  <c r="BO88" i="22" s="1"/>
  <c r="BQ88" i="22" s="1"/>
  <c r="DT83" i="22"/>
  <c r="DT84" i="22"/>
  <c r="DK83" i="22"/>
  <c r="FP83" i="22"/>
  <c r="DU85" i="22"/>
  <c r="DW85" i="22" s="1"/>
  <c r="BA84" i="22"/>
  <c r="EB84" i="22" s="1"/>
  <c r="AQ84" i="22"/>
  <c r="O84" i="22"/>
  <c r="DP84" i="22"/>
  <c r="AN84" i="22"/>
  <c r="BE84" i="22"/>
  <c r="CT84" i="22" s="1"/>
  <c r="EA83" i="22"/>
  <c r="BI84" i="22"/>
  <c r="BJ84" i="22" s="1"/>
  <c r="CU84" i="22" s="1"/>
  <c r="AX84" i="22"/>
  <c r="ET85" i="22"/>
  <c r="EW85" i="22" s="1"/>
  <c r="EX85" i="22" s="1"/>
  <c r="EA85" i="22"/>
  <c r="AX85" i="22"/>
  <c r="O83" i="22"/>
  <c r="BM83" i="22" s="1"/>
  <c r="CV83" i="22" s="1"/>
  <c r="DP83" i="22"/>
  <c r="BE83" i="22"/>
  <c r="CT83" i="22" s="1"/>
  <c r="BE85" i="22"/>
  <c r="CT85" i="22" s="1"/>
  <c r="O85" i="22"/>
  <c r="DP85" i="22"/>
  <c r="AN85" i="22"/>
  <c r="EK85" i="22"/>
  <c r="CY85" i="22" s="1"/>
  <c r="DV85" i="22"/>
  <c r="CI83" i="22"/>
  <c r="CP83" i="22" s="1"/>
  <c r="CR83" i="22" s="1"/>
  <c r="CW83" i="22" s="1"/>
  <c r="BO83" i="22"/>
  <c r="BQ83" i="22" s="1"/>
  <c r="BG83" i="22"/>
  <c r="BF83" i="22"/>
  <c r="EA84" i="22"/>
  <c r="AQ83" i="22"/>
  <c r="BF85" i="22"/>
  <c r="BG85" i="22" s="1"/>
  <c r="DK80" i="22"/>
  <c r="FP80" i="22"/>
  <c r="CI82" i="22"/>
  <c r="BE82" i="22"/>
  <c r="CT82" i="22" s="1"/>
  <c r="O82" i="22"/>
  <c r="DP82" i="22"/>
  <c r="AN82" i="22"/>
  <c r="EA81" i="22"/>
  <c r="BF80" i="22"/>
  <c r="BO80" i="22" s="1"/>
  <c r="BQ80" i="22" s="1"/>
  <c r="DT82" i="22"/>
  <c r="AQ80" i="22"/>
  <c r="O80" i="22"/>
  <c r="BM80" i="22" s="1"/>
  <c r="CV80" i="22" s="1"/>
  <c r="DP80" i="22"/>
  <c r="BE80" i="22"/>
  <c r="CT80" i="22" s="1"/>
  <c r="BF82" i="22"/>
  <c r="BG82" i="22" s="1"/>
  <c r="EO80" i="22"/>
  <c r="BJ81" i="22"/>
  <c r="CU81" i="22" s="1"/>
  <c r="EA80" i="22"/>
  <c r="EA82" i="22"/>
  <c r="O81" i="22"/>
  <c r="DP81" i="22"/>
  <c r="AN81" i="22"/>
  <c r="BE81" i="22"/>
  <c r="CT81" i="22" s="1"/>
  <c r="AU82" i="22"/>
  <c r="EK81" i="22"/>
  <c r="CY81" i="22" s="1"/>
  <c r="DT79" i="22"/>
  <c r="BJ78" i="22"/>
  <c r="CU78" i="22" s="1"/>
  <c r="DT78" i="22"/>
  <c r="BP77" i="22"/>
  <c r="EA77" i="22"/>
  <c r="Y79" i="22"/>
  <c r="AU79" i="22"/>
  <c r="CI79" i="22"/>
  <c r="FN78" i="22"/>
  <c r="DH78" i="22"/>
  <c r="BJ79" i="22"/>
  <c r="CU79" i="22" s="1"/>
  <c r="BE79" i="22"/>
  <c r="CT79" i="22" s="1"/>
  <c r="O79" i="22"/>
  <c r="DP79" i="22"/>
  <c r="AN79" i="22"/>
  <c r="BF77" i="22"/>
  <c r="BO77" i="22" s="1"/>
  <c r="ES78" i="22"/>
  <c r="ER78" i="22" s="1"/>
  <c r="AF78" i="22"/>
  <c r="DT77" i="22"/>
  <c r="AQ77" i="22"/>
  <c r="BO78" i="22"/>
  <c r="O77" i="22"/>
  <c r="DP77" i="22"/>
  <c r="AN77" i="22"/>
  <c r="BE77" i="22"/>
  <c r="CT77" i="22" s="1"/>
  <c r="EA79" i="22"/>
  <c r="BP79" i="22"/>
  <c r="BQ79" i="22" s="1"/>
  <c r="DT73" i="22"/>
  <c r="DH75" i="22"/>
  <c r="FN75" i="22"/>
  <c r="FP76" i="22"/>
  <c r="DK76" i="22"/>
  <c r="FP75" i="22"/>
  <c r="DK75" i="22"/>
  <c r="BJ73" i="22"/>
  <c r="CU73" i="22" s="1"/>
  <c r="BO75" i="22"/>
  <c r="BQ75" i="22" s="1"/>
  <c r="BG75" i="22"/>
  <c r="DB73" i="22"/>
  <c r="FN73" i="22"/>
  <c r="FN74" i="22"/>
  <c r="DB74" i="22"/>
  <c r="AS75" i="22"/>
  <c r="EL75" i="22"/>
  <c r="CR76" i="22"/>
  <c r="CW76" i="22" s="1"/>
  <c r="BE76" i="22"/>
  <c r="CT76" i="22" s="1"/>
  <c r="O76" i="22"/>
  <c r="BM76" i="22" s="1"/>
  <c r="CV76" i="22" s="1"/>
  <c r="DP76" i="22"/>
  <c r="BJ74" i="22"/>
  <c r="CU74" i="22" s="1"/>
  <c r="CI75" i="22"/>
  <c r="CP75" i="22" s="1"/>
  <c r="CR75" i="22" s="1"/>
  <c r="CW75" i="22" s="1"/>
  <c r="FB73" i="22"/>
  <c r="FC73" i="22" s="1"/>
  <c r="DT76" i="22"/>
  <c r="FA73" i="22"/>
  <c r="BP74" i="22"/>
  <c r="BQ74" i="22" s="1"/>
  <c r="EA74" i="22"/>
  <c r="AU74" i="22"/>
  <c r="EO74" i="22"/>
  <c r="EA73" i="22"/>
  <c r="BF76" i="22"/>
  <c r="BG76" i="22" s="1"/>
  <c r="DT75" i="22"/>
  <c r="FP72" i="22"/>
  <c r="DK72" i="22"/>
  <c r="U70" i="22"/>
  <c r="CH70" i="22"/>
  <c r="CG70" i="22"/>
  <c r="BY70" i="22"/>
  <c r="EG70" i="22" s="1"/>
  <c r="EI70" i="22" s="1"/>
  <c r="U69" i="22"/>
  <c r="CH69" i="22"/>
  <c r="CG69" i="22"/>
  <c r="CI69" i="22" s="1"/>
  <c r="CP69" i="22" s="1"/>
  <c r="CR69" i="22" s="1"/>
  <c r="CW69" i="22" s="1"/>
  <c r="BY69" i="22"/>
  <c r="EG69" i="22" s="1"/>
  <c r="EI69" i="22" s="1"/>
  <c r="GF69" i="22"/>
  <c r="GH69" i="22" s="1"/>
  <c r="CZ69" i="22" s="1"/>
  <c r="U72" i="22"/>
  <c r="CH72" i="22"/>
  <c r="CG72" i="22"/>
  <c r="CI72" i="22" s="1"/>
  <c r="CP72" i="22" s="1"/>
  <c r="BY72" i="22"/>
  <c r="EG72" i="22" s="1"/>
  <c r="EI72" i="22" s="1"/>
  <c r="BE71" i="22"/>
  <c r="CT71" i="22" s="1"/>
  <c r="O71" i="22"/>
  <c r="DP71" i="22"/>
  <c r="AN71" i="22"/>
  <c r="EA71" i="22"/>
  <c r="BP71" i="22"/>
  <c r="AA70" i="22"/>
  <c r="U71" i="22"/>
  <c r="CH71" i="22"/>
  <c r="CG71" i="22"/>
  <c r="CI71" i="22" s="1"/>
  <c r="BY71" i="22"/>
  <c r="EG71" i="22" s="1"/>
  <c r="EI71" i="22" s="1"/>
  <c r="AA69" i="22"/>
  <c r="BE72" i="22"/>
  <c r="CT72" i="22" s="1"/>
  <c r="O72" i="22"/>
  <c r="BM72" i="22" s="1"/>
  <c r="CV72" i="22" s="1"/>
  <c r="DP72" i="22"/>
  <c r="EA72" i="22"/>
  <c r="BP72" i="22"/>
  <c r="BG71" i="22"/>
  <c r="BO71" i="22"/>
  <c r="ES70" i="22"/>
  <c r="ER70" i="22" s="1"/>
  <c r="AF70" i="22"/>
  <c r="AS70" i="22"/>
  <c r="BF72" i="22"/>
  <c r="ES69" i="22"/>
  <c r="ER69" i="22" s="1"/>
  <c r="AF69" i="22"/>
  <c r="BE70" i="22"/>
  <c r="CT70" i="22" s="1"/>
  <c r="O70" i="22"/>
  <c r="DP70" i="22"/>
  <c r="AN70" i="22"/>
  <c r="BE69" i="22"/>
  <c r="CT69" i="22" s="1"/>
  <c r="O69" i="22"/>
  <c r="BM69" i="22" s="1"/>
  <c r="CV69" i="22" s="1"/>
  <c r="DP69" i="22"/>
  <c r="AS69" i="22"/>
  <c r="AA72" i="22"/>
  <c r="BI70" i="22"/>
  <c r="FP68" i="22"/>
  <c r="DK68" i="22"/>
  <c r="FP65" i="22"/>
  <c r="DK65" i="22"/>
  <c r="BF67" i="22"/>
  <c r="BO67" i="22" s="1"/>
  <c r="DK66" i="22"/>
  <c r="DT66" i="22"/>
  <c r="BE68" i="22"/>
  <c r="CT68" i="22" s="1"/>
  <c r="O68" i="22"/>
  <c r="BM68" i="22" s="1"/>
  <c r="CV68" i="22" s="1"/>
  <c r="DP68" i="22"/>
  <c r="CH64" i="22"/>
  <c r="AS64" i="22"/>
  <c r="CG64" i="22"/>
  <c r="BY64" i="22"/>
  <c r="EG64" i="22" s="1"/>
  <c r="EI64" i="22" s="1"/>
  <c r="EO64" i="22" s="1"/>
  <c r="U64" i="22"/>
  <c r="FN64" i="22"/>
  <c r="DB64" i="22"/>
  <c r="FN67" i="22"/>
  <c r="DB67" i="22"/>
  <c r="EA64" i="22"/>
  <c r="BP64" i="22"/>
  <c r="EO65" i="22"/>
  <c r="FQ65" i="22"/>
  <c r="DJ65" i="22"/>
  <c r="CL68" i="22"/>
  <c r="FA67" i="22"/>
  <c r="AA64" i="22"/>
  <c r="BF64" i="22" s="1"/>
  <c r="U67" i="22"/>
  <c r="CH67" i="22"/>
  <c r="AS67" i="22"/>
  <c r="CG67" i="22"/>
  <c r="CI67" i="22" s="1"/>
  <c r="BY67" i="22"/>
  <c r="EG67" i="22" s="1"/>
  <c r="EI67" i="22" s="1"/>
  <c r="EA65" i="22"/>
  <c r="BP65" i="22"/>
  <c r="BF68" i="22"/>
  <c r="BG68" i="22" s="1"/>
  <c r="FA64" i="22"/>
  <c r="FB64" i="22" s="1"/>
  <c r="FC64" i="22" s="1"/>
  <c r="FA65" i="22"/>
  <c r="FB65" i="22" s="1"/>
  <c r="FC65" i="22" s="1"/>
  <c r="FN66" i="22"/>
  <c r="DH66" i="22"/>
  <c r="ES67" i="22"/>
  <c r="ER67" i="22" s="1"/>
  <c r="AF67" i="22"/>
  <c r="BO65" i="22"/>
  <c r="BG65" i="22"/>
  <c r="GF67" i="22"/>
  <c r="GH67" i="22" s="1"/>
  <c r="CZ67" i="22" s="1"/>
  <c r="CJ67" i="22"/>
  <c r="CL67" i="22" s="1"/>
  <c r="CJ64" i="22"/>
  <c r="CL64" i="22" s="1"/>
  <c r="GF64" i="22"/>
  <c r="GH64" i="22" s="1"/>
  <c r="CZ64" i="22" s="1"/>
  <c r="EA66" i="22"/>
  <c r="BP66" i="22"/>
  <c r="BQ66" i="22" s="1"/>
  <c r="CK67" i="22"/>
  <c r="BL67" i="22"/>
  <c r="BM67" i="22" s="1"/>
  <c r="CV67" i="22" s="1"/>
  <c r="FA66" i="22"/>
  <c r="FB66" i="22" s="1"/>
  <c r="FC66" i="22" s="1"/>
  <c r="BG66" i="22"/>
  <c r="BI68" i="22"/>
  <c r="BY63" i="22"/>
  <c r="EG63" i="22" s="1"/>
  <c r="EI63" i="22" s="1"/>
  <c r="U63" i="22"/>
  <c r="CH63" i="22"/>
  <c r="CG63" i="22"/>
  <c r="CI63" i="22" s="1"/>
  <c r="CP63" i="22" s="1"/>
  <c r="CR63" i="22" s="1"/>
  <c r="CW63" i="22" s="1"/>
  <c r="BE61" i="22"/>
  <c r="CT61" i="22" s="1"/>
  <c r="O61" i="22"/>
  <c r="DP61" i="22"/>
  <c r="AN61" i="22"/>
  <c r="BE63" i="22"/>
  <c r="CT63" i="22" s="1"/>
  <c r="O63" i="22"/>
  <c r="BM63" i="22" s="1"/>
  <c r="CV63" i="22" s="1"/>
  <c r="DP63" i="22"/>
  <c r="GF63" i="22"/>
  <c r="GH63" i="22" s="1"/>
  <c r="CZ63" i="22" s="1"/>
  <c r="GH62" i="22"/>
  <c r="CZ62" i="22" s="1"/>
  <c r="CI61" i="22"/>
  <c r="BG62" i="22"/>
  <c r="BO62" i="22"/>
  <c r="AA63" i="22"/>
  <c r="EO61" i="22"/>
  <c r="EN61" i="22"/>
  <c r="AS63" i="22"/>
  <c r="BE62" i="22"/>
  <c r="CT62" i="22" s="1"/>
  <c r="O62" i="22"/>
  <c r="BM62" i="22" s="1"/>
  <c r="CV62" i="22" s="1"/>
  <c r="DP62" i="22"/>
  <c r="BQ61" i="22"/>
  <c r="EN63" i="22"/>
  <c r="EO63" i="22"/>
  <c r="EA62" i="22"/>
  <c r="BP62" i="22"/>
  <c r="BI62" i="22"/>
  <c r="U62" i="22"/>
  <c r="CH62" i="22"/>
  <c r="CG62" i="22"/>
  <c r="BY62" i="22"/>
  <c r="EG62" i="22" s="1"/>
  <c r="EI62" i="22" s="1"/>
  <c r="BI61" i="22"/>
  <c r="BJ61" i="22" s="1"/>
  <c r="CU61" i="22" s="1"/>
  <c r="FP58" i="22"/>
  <c r="DK58" i="22"/>
  <c r="EA57" i="22"/>
  <c r="BP57" i="22"/>
  <c r="BO60" i="22"/>
  <c r="BQ60" i="22" s="1"/>
  <c r="BE60" i="22"/>
  <c r="CT60" i="22" s="1"/>
  <c r="O60" i="22"/>
  <c r="DP60" i="22"/>
  <c r="AN60" i="22"/>
  <c r="EO58" i="22"/>
  <c r="FP57" i="22"/>
  <c r="DK57" i="22"/>
  <c r="O57" i="22"/>
  <c r="BM57" i="22" s="1"/>
  <c r="CV57" i="22" s="1"/>
  <c r="DP57" i="22"/>
  <c r="BE57" i="22"/>
  <c r="CT57" i="22" s="1"/>
  <c r="CI60" i="22"/>
  <c r="CI57" i="22"/>
  <c r="CP57" i="22" s="1"/>
  <c r="CR57" i="22" s="1"/>
  <c r="CW57" i="22" s="1"/>
  <c r="BO58" i="22"/>
  <c r="EA58" i="22"/>
  <c r="BP58" i="22"/>
  <c r="BI60" i="22"/>
  <c r="EI60" i="22"/>
  <c r="BF59" i="22"/>
  <c r="BG59" i="22" s="1"/>
  <c r="BG60" i="22"/>
  <c r="ES59" i="22"/>
  <c r="ER59" i="22" s="1"/>
  <c r="AF59" i="22"/>
  <c r="BE59" i="22"/>
  <c r="CT59" i="22" s="1"/>
  <c r="O59" i="22"/>
  <c r="DP59" i="22"/>
  <c r="AN59" i="22"/>
  <c r="BI57" i="22"/>
  <c r="BO57" i="22"/>
  <c r="EO59" i="22"/>
  <c r="BF60" i="22"/>
  <c r="BF58" i="22"/>
  <c r="BG58" i="22" s="1"/>
  <c r="BM58" i="22"/>
  <c r="CV58" i="22" s="1"/>
  <c r="BG57" i="22"/>
  <c r="ES55" i="22"/>
  <c r="ER55" i="22" s="1"/>
  <c r="AF55" i="22"/>
  <c r="BE56" i="22"/>
  <c r="CT56" i="22" s="1"/>
  <c r="T56" i="22"/>
  <c r="O56" i="22"/>
  <c r="BM56" i="22" s="1"/>
  <c r="CV56" i="22" s="1"/>
  <c r="DP56" i="22"/>
  <c r="EA56" i="22"/>
  <c r="BP56" i="22"/>
  <c r="BG56" i="22"/>
  <c r="BO56" i="22"/>
  <c r="BI56" i="22"/>
  <c r="GF56" i="22"/>
  <c r="GH56" i="22" s="1"/>
  <c r="CZ56" i="22" s="1"/>
  <c r="U56" i="22"/>
  <c r="CH56" i="22"/>
  <c r="CG56" i="22"/>
  <c r="BY56" i="22"/>
  <c r="EG56" i="22" s="1"/>
  <c r="EI56" i="22" s="1"/>
  <c r="FP55" i="22"/>
  <c r="DK55" i="22"/>
  <c r="BG55" i="22"/>
  <c r="BO55" i="22"/>
  <c r="T55" i="22"/>
  <c r="O55" i="22"/>
  <c r="BM55" i="22" s="1"/>
  <c r="CV55" i="22" s="1"/>
  <c r="DP55" i="22"/>
  <c r="BE55" i="22"/>
  <c r="CT55" i="22" s="1"/>
  <c r="AU56" i="22"/>
  <c r="DT54" i="22"/>
  <c r="FQ54" i="22"/>
  <c r="DJ54" i="22"/>
  <c r="FN53" i="22"/>
  <c r="DH53" i="22"/>
  <c r="BQ54" i="22"/>
  <c r="BG53" i="22"/>
  <c r="BF53" i="22"/>
  <c r="BO53" i="22" s="1"/>
  <c r="FA53" i="22"/>
  <c r="FB53" i="22"/>
  <c r="FC53" i="22" s="1"/>
  <c r="FP54" i="22"/>
  <c r="DK54" i="22"/>
  <c r="FN54" i="22"/>
  <c r="DH54" i="22"/>
  <c r="FA54" i="22"/>
  <c r="FB54" i="22" s="1"/>
  <c r="FC54" i="22" s="1"/>
  <c r="EO53" i="22"/>
  <c r="ES53" i="22"/>
  <c r="ER53" i="22" s="1"/>
  <c r="AF53" i="22"/>
  <c r="BG54" i="22"/>
  <c r="BO54" i="22"/>
  <c r="EA54" i="22"/>
  <c r="FP53" i="22"/>
  <c r="DK53" i="22"/>
  <c r="Y54" i="22"/>
  <c r="AU54" i="22"/>
  <c r="AU53" i="22"/>
  <c r="GH48" i="22"/>
  <c r="CZ48" i="22" s="1"/>
  <c r="DP47" i="22"/>
  <c r="T47" i="22"/>
  <c r="O47" i="22"/>
  <c r="AN47" i="22"/>
  <c r="BE47" i="22"/>
  <c r="CT47" i="22" s="1"/>
  <c r="ES47" i="22"/>
  <c r="ER47" i="22" s="1"/>
  <c r="AF47" i="22"/>
  <c r="GF52" i="22"/>
  <c r="GH52" i="22" s="1"/>
  <c r="CZ52" i="22" s="1"/>
  <c r="CK52" i="22"/>
  <c r="CL52" i="22" s="1"/>
  <c r="EA48" i="22"/>
  <c r="U52" i="22"/>
  <c r="CH52" i="22"/>
  <c r="AS52" i="22"/>
  <c r="CG52" i="22"/>
  <c r="BY52" i="22"/>
  <c r="EG52" i="22" s="1"/>
  <c r="EI52" i="22" s="1"/>
  <c r="EO52" i="22" s="1"/>
  <c r="EA50" i="22"/>
  <c r="Y52" i="22"/>
  <c r="AU52" i="22"/>
  <c r="ES51" i="22"/>
  <c r="ER51" i="22" s="1"/>
  <c r="AF51" i="22"/>
  <c r="FA50" i="22"/>
  <c r="FB50" i="22" s="1"/>
  <c r="FC50" i="22" s="1"/>
  <c r="GF48" i="22"/>
  <c r="CK48" i="22"/>
  <c r="CL48" i="22" s="1"/>
  <c r="AQ50" i="22"/>
  <c r="BP48" i="22"/>
  <c r="BF51" i="22"/>
  <c r="BG51" i="22" s="1"/>
  <c r="O51" i="22"/>
  <c r="T51" i="22"/>
  <c r="DP51" i="22"/>
  <c r="AN51" i="22"/>
  <c r="BE51" i="22"/>
  <c r="CT51" i="22" s="1"/>
  <c r="AU48" i="22"/>
  <c r="Y48" i="22"/>
  <c r="BI51" i="22"/>
  <c r="CH50" i="22"/>
  <c r="AS50" i="22"/>
  <c r="CG50" i="22"/>
  <c r="BY50" i="22"/>
  <c r="EG50" i="22" s="1"/>
  <c r="EI50" i="22" s="1"/>
  <c r="EO50" i="22" s="1"/>
  <c r="U50" i="22"/>
  <c r="GF50" i="22"/>
  <c r="GH50" i="22" s="1"/>
  <c r="CZ50" i="22" s="1"/>
  <c r="ES49" i="22"/>
  <c r="ER49" i="22" s="1"/>
  <c r="AF49" i="22"/>
  <c r="BI47" i="22"/>
  <c r="BJ47" i="22" s="1"/>
  <c r="CU47" i="22" s="1"/>
  <c r="BO47" i="22"/>
  <c r="FN52" i="22"/>
  <c r="DB52" i="22"/>
  <c r="AA50" i="22"/>
  <c r="BF50" i="22" s="1"/>
  <c r="BP50" i="22"/>
  <c r="BF52" i="22"/>
  <c r="BG52" i="22" s="1"/>
  <c r="FA52" i="22"/>
  <c r="FB52" i="22" s="1"/>
  <c r="FC52" i="22" s="1"/>
  <c r="AN49" i="22"/>
  <c r="T49" i="22"/>
  <c r="O49" i="22"/>
  <c r="BE49" i="22"/>
  <c r="CT49" i="22" s="1"/>
  <c r="DP49" i="22"/>
  <c r="AQ52" i="22"/>
  <c r="BL52" i="22"/>
  <c r="BM52" i="22" s="1"/>
  <c r="CV52" i="22" s="1"/>
  <c r="BF48" i="22"/>
  <c r="BG48" i="22" s="1"/>
  <c r="FA48" i="22"/>
  <c r="FB48" i="22" s="1"/>
  <c r="FC48" i="22" s="1"/>
  <c r="EA52" i="22"/>
  <c r="CI48" i="22"/>
  <c r="FN45" i="22"/>
  <c r="DB45" i="22"/>
  <c r="EA46" i="22"/>
  <c r="FA45" i="22"/>
  <c r="FB45" i="22" s="1"/>
  <c r="FC45" i="22" s="1"/>
  <c r="BE46" i="22"/>
  <c r="CT46" i="22" s="1"/>
  <c r="T46" i="22"/>
  <c r="CG46" i="22" s="1"/>
  <c r="CI46" i="22" s="1"/>
  <c r="O46" i="22"/>
  <c r="DP46" i="22"/>
  <c r="AN46" i="22"/>
  <c r="U46" i="22"/>
  <c r="CH46" i="22"/>
  <c r="BY46" i="22"/>
  <c r="EG46" i="22" s="1"/>
  <c r="EI46" i="22" s="1"/>
  <c r="FA43" i="22"/>
  <c r="FB43" i="22"/>
  <c r="FC43" i="22" s="1"/>
  <c r="AA44" i="22"/>
  <c r="AQ43" i="22"/>
  <c r="DB43" i="22"/>
  <c r="FN43" i="22"/>
  <c r="EF43" i="22"/>
  <c r="S43" i="22"/>
  <c r="AA46" i="22"/>
  <c r="EA42" i="22"/>
  <c r="S45" i="22"/>
  <c r="CG45" i="22"/>
  <c r="CI45" i="22" s="1"/>
  <c r="EF45" i="22"/>
  <c r="EO45" i="22" s="1"/>
  <c r="FA41" i="22"/>
  <c r="FB41" i="22" s="1"/>
  <c r="FC41" i="22" s="1"/>
  <c r="BE42" i="22"/>
  <c r="CT42" i="22" s="1"/>
  <c r="T42" i="22"/>
  <c r="O42" i="22"/>
  <c r="DP42" i="22"/>
  <c r="AN42" i="22"/>
  <c r="AQ46" i="22"/>
  <c r="BG42" i="22"/>
  <c r="BO42" i="22"/>
  <c r="EA45" i="22"/>
  <c r="BP45" i="22"/>
  <c r="BQ45" i="22" s="1"/>
  <c r="BI46" i="22"/>
  <c r="AQ42" i="22"/>
  <c r="CK45" i="22"/>
  <c r="CL45" i="22" s="1"/>
  <c r="BL45" i="22"/>
  <c r="BM45" i="22" s="1"/>
  <c r="CV45" i="22" s="1"/>
  <c r="GF45" i="22"/>
  <c r="GH45" i="22" s="1"/>
  <c r="CZ45" i="22" s="1"/>
  <c r="EA41" i="22"/>
  <c r="BP41" i="22"/>
  <c r="BQ41" i="22" s="1"/>
  <c r="BI42" i="22"/>
  <c r="BJ41" i="22"/>
  <c r="CU41" i="22" s="1"/>
  <c r="FN41" i="22"/>
  <c r="DB41" i="22"/>
  <c r="AA43" i="22"/>
  <c r="U43" i="22"/>
  <c r="BY43" i="22"/>
  <c r="EG43" i="22" s="1"/>
  <c r="EI43" i="22" s="1"/>
  <c r="AS43" i="22"/>
  <c r="CH43" i="22"/>
  <c r="CG43" i="22"/>
  <c r="CI43" i="22" s="1"/>
  <c r="CP43" i="22" s="1"/>
  <c r="CR43" i="22" s="1"/>
  <c r="CW43" i="22" s="1"/>
  <c r="GF43" i="22"/>
  <c r="GH43" i="22" s="1"/>
  <c r="CZ43" i="22" s="1"/>
  <c r="AU42" i="22"/>
  <c r="AU43" i="22"/>
  <c r="CK41" i="22"/>
  <c r="CL41" i="22" s="1"/>
  <c r="CP41" i="22" s="1"/>
  <c r="CR41" i="22" s="1"/>
  <c r="CW41" i="22" s="1"/>
  <c r="BL41" i="22"/>
  <c r="BM41" i="22" s="1"/>
  <c r="CV41" i="22" s="1"/>
  <c r="GF41" i="22"/>
  <c r="GH41" i="22" s="1"/>
  <c r="CZ41" i="22" s="1"/>
  <c r="U42" i="22"/>
  <c r="CH42" i="22"/>
  <c r="BY42" i="22"/>
  <c r="EG42" i="22" s="1"/>
  <c r="EI42" i="22" s="1"/>
  <c r="BP46" i="22"/>
  <c r="ES43" i="22"/>
  <c r="ER43" i="22" s="1"/>
  <c r="AF43" i="22"/>
  <c r="BP42" i="22"/>
  <c r="CH44" i="22"/>
  <c r="AS44" i="22"/>
  <c r="CG44" i="22"/>
  <c r="BY44" i="22"/>
  <c r="EG44" i="22" s="1"/>
  <c r="EI44" i="22" s="1"/>
  <c r="U44" i="22"/>
  <c r="DT41" i="22"/>
  <c r="BE34" i="22"/>
  <c r="CT34" i="22" s="1"/>
  <c r="O34" i="22"/>
  <c r="BM38" i="22"/>
  <c r="CV38" i="22" s="1"/>
  <c r="BO38" i="22"/>
  <c r="BO35" i="22"/>
  <c r="AX26" i="22"/>
  <c r="BB26" i="22" s="1"/>
  <c r="BA28" i="22"/>
  <c r="EB28" i="22" s="1"/>
  <c r="BI34" i="22"/>
  <c r="BA31" i="22"/>
  <c r="EB31" i="22" s="1"/>
  <c r="AF37" i="22"/>
  <c r="BI30" i="22"/>
  <c r="AN34" i="22"/>
  <c r="CI32" i="22"/>
  <c r="BQ33" i="22"/>
  <c r="BO34" i="22"/>
  <c r="DP40" i="22"/>
  <c r="FA40" i="22" s="1"/>
  <c r="FB40" i="22" s="1"/>
  <c r="FC40" i="22" s="1"/>
  <c r="BE40" i="22"/>
  <c r="CT40" i="22" s="1"/>
  <c r="O40" i="22"/>
  <c r="BM40" i="22" s="1"/>
  <c r="CV40" i="22" s="1"/>
  <c r="DP30" i="22"/>
  <c r="O30" i="22"/>
  <c r="BE30" i="22"/>
  <c r="CT30" i="22" s="1"/>
  <c r="AN30" i="22"/>
  <c r="O36" i="22"/>
  <c r="AN36" i="22"/>
  <c r="DP36" i="22"/>
  <c r="BE36" i="22"/>
  <c r="CT36" i="22" s="1"/>
  <c r="DB36" i="22" s="1"/>
  <c r="BY39" i="22"/>
  <c r="EG39" i="22" s="1"/>
  <c r="EI39" i="22" s="1"/>
  <c r="AF29" i="22"/>
  <c r="EA29" i="22" s="1"/>
  <c r="AX34" i="22"/>
  <c r="AY34" i="22" s="1"/>
  <c r="AS39" i="22"/>
  <c r="BQ34" i="22"/>
  <c r="AU29" i="22"/>
  <c r="AX29" i="22" s="1"/>
  <c r="EO35" i="22"/>
  <c r="DT35" i="22" s="1"/>
  <c r="DP37" i="22"/>
  <c r="FA37" i="22" s="1"/>
  <c r="FB37" i="22" s="1"/>
  <c r="FC37" i="22" s="1"/>
  <c r="CH39" i="22"/>
  <c r="CI39" i="22" s="1"/>
  <c r="BI40" i="22"/>
  <c r="DU26" i="22"/>
  <c r="BJ34" i="22"/>
  <c r="CU34" i="22" s="1"/>
  <c r="EO34" i="22"/>
  <c r="EN34" i="22"/>
  <c r="EA34" i="22"/>
  <c r="ES35" i="22"/>
  <c r="ER35" i="22" s="1"/>
  <c r="AF35" i="22"/>
  <c r="AN35" i="22"/>
  <c r="BE35" i="22"/>
  <c r="CT35" i="22" s="1"/>
  <c r="O35" i="22"/>
  <c r="DP35" i="22"/>
  <c r="BF39" i="22"/>
  <c r="BG39" i="22" s="1"/>
  <c r="BG38" i="22"/>
  <c r="GF34" i="22"/>
  <c r="GH34" i="22" s="1"/>
  <c r="CZ34" i="22" s="1"/>
  <c r="CK34" i="22"/>
  <c r="CL34" i="22" s="1"/>
  <c r="BL34" i="22"/>
  <c r="FN37" i="22"/>
  <c r="DB37" i="22"/>
  <c r="EI38" i="22"/>
  <c r="CJ37" i="22"/>
  <c r="GF37" i="22"/>
  <c r="GH37" i="22" s="1"/>
  <c r="CZ37" i="22" s="1"/>
  <c r="FA38" i="22"/>
  <c r="FB38" i="22" s="1"/>
  <c r="FC38" i="22" s="1"/>
  <c r="FA34" i="22"/>
  <c r="FB34" i="22" s="1"/>
  <c r="FC34" i="22" s="1"/>
  <c r="CI34" i="22"/>
  <c r="BF36" i="22"/>
  <c r="BO36" i="22" s="1"/>
  <c r="AW36" i="22"/>
  <c r="BA35" i="22"/>
  <c r="EB35" i="22" s="1"/>
  <c r="CK39" i="22"/>
  <c r="CJ39" i="22"/>
  <c r="GF39" i="22"/>
  <c r="GH39" i="22" s="1"/>
  <c r="CZ39" i="22" s="1"/>
  <c r="GF40" i="22"/>
  <c r="GH40" i="22" s="1"/>
  <c r="CZ40" i="22" s="1"/>
  <c r="CK40" i="22"/>
  <c r="CJ40" i="22"/>
  <c r="CL40" i="22" s="1"/>
  <c r="AS37" i="22"/>
  <c r="CG37" i="22"/>
  <c r="BY37" i="22"/>
  <c r="EG37" i="22" s="1"/>
  <c r="EI37" i="22" s="1"/>
  <c r="EO37" i="22" s="1"/>
  <c r="CH37" i="22"/>
  <c r="U37" i="22"/>
  <c r="BG40" i="22"/>
  <c r="U40" i="22"/>
  <c r="CH40" i="22"/>
  <c r="AS40" i="22"/>
  <c r="CG40" i="22"/>
  <c r="CI40" i="22" s="1"/>
  <c r="BY40" i="22"/>
  <c r="EG40" i="22" s="1"/>
  <c r="EI40" i="22" s="1"/>
  <c r="EO40" i="22" s="1"/>
  <c r="FN39" i="22"/>
  <c r="DB39" i="22"/>
  <c r="CJ38" i="22"/>
  <c r="GF38" i="22"/>
  <c r="GH38" i="22" s="1"/>
  <c r="CZ38" i="22" s="1"/>
  <c r="CK38" i="22"/>
  <c r="EA38" i="22"/>
  <c r="BP38" i="22"/>
  <c r="BI35" i="22"/>
  <c r="BJ35" i="22"/>
  <c r="CU35" i="22" s="1"/>
  <c r="BF40" i="22"/>
  <c r="BO40" i="22" s="1"/>
  <c r="BQ40" i="22" s="1"/>
  <c r="EA39" i="22"/>
  <c r="BP39" i="22"/>
  <c r="BA34" i="22"/>
  <c r="EB34" i="22" s="1"/>
  <c r="DT36" i="22"/>
  <c r="BP37" i="22"/>
  <c r="EA37" i="22"/>
  <c r="FN38" i="22"/>
  <c r="DB38" i="22"/>
  <c r="FA39" i="22"/>
  <c r="FB39" i="22" s="1"/>
  <c r="FC39" i="22" s="1"/>
  <c r="BF37" i="22"/>
  <c r="BG37" i="22" s="1"/>
  <c r="AX35" i="22"/>
  <c r="DK29" i="22"/>
  <c r="FP29" i="22"/>
  <c r="DK31" i="22"/>
  <c r="FP31" i="22"/>
  <c r="AY29" i="22"/>
  <c r="DT28" i="22"/>
  <c r="BG30" i="22"/>
  <c r="AU33" i="22"/>
  <c r="AX33" i="22" s="1"/>
  <c r="BO31" i="22"/>
  <c r="BG31" i="22"/>
  <c r="AF31" i="22"/>
  <c r="ES31" i="22"/>
  <c r="ER31" i="22" s="1"/>
  <c r="ET31" i="22" s="1"/>
  <c r="EW31" i="22" s="1"/>
  <c r="EX31" i="22" s="1"/>
  <c r="O32" i="22"/>
  <c r="DP32" i="22"/>
  <c r="AN32" i="22"/>
  <c r="BE32" i="22"/>
  <c r="CT32" i="22" s="1"/>
  <c r="AY31" i="22"/>
  <c r="BE28" i="22"/>
  <c r="CT28" i="22" s="1"/>
  <c r="O28" i="22"/>
  <c r="DP28" i="22"/>
  <c r="AN28" i="22"/>
  <c r="ES32" i="22"/>
  <c r="ER32" i="22" s="1"/>
  <c r="AF32" i="22"/>
  <c r="FN31" i="22"/>
  <c r="DH31" i="22"/>
  <c r="DT30" i="22"/>
  <c r="AY30" i="22"/>
  <c r="BI32" i="22"/>
  <c r="EK32" i="22"/>
  <c r="CY32" i="22" s="1"/>
  <c r="BF28" i="22"/>
  <c r="BG28" i="22" s="1"/>
  <c r="AY28" i="22"/>
  <c r="BE29" i="22"/>
  <c r="CT29" i="22" s="1"/>
  <c r="O29" i="22"/>
  <c r="DP29" i="22"/>
  <c r="DJ31" i="22"/>
  <c r="FQ31" i="22"/>
  <c r="ES30" i="22"/>
  <c r="ER30" i="22" s="1"/>
  <c r="AF30" i="22"/>
  <c r="BE33" i="22"/>
  <c r="CT33" i="22" s="1"/>
  <c r="O33" i="22"/>
  <c r="DP33" i="22"/>
  <c r="AN33" i="22"/>
  <c r="BA29" i="22"/>
  <c r="EB29" i="22" s="1"/>
  <c r="AQ29" i="22"/>
  <c r="EO31" i="22"/>
  <c r="ES28" i="22"/>
  <c r="ER28" i="22" s="1"/>
  <c r="AF28" i="22"/>
  <c r="DU28" i="22" s="1"/>
  <c r="BA32" i="22"/>
  <c r="EB32" i="22" s="1"/>
  <c r="DU32" i="22" s="1"/>
  <c r="DW32" i="22" s="1"/>
  <c r="EK29" i="22"/>
  <c r="CY29" i="22" s="1"/>
  <c r="BO29" i="22"/>
  <c r="BG29" i="22"/>
  <c r="BA33" i="22"/>
  <c r="EB33" i="22" s="1"/>
  <c r="DU33" i="22" s="1"/>
  <c r="DV33" i="22" s="1"/>
  <c r="AX32" i="22"/>
  <c r="EK33" i="22"/>
  <c r="CY33" i="22" s="1"/>
  <c r="FN26" i="22"/>
  <c r="DB26" i="22"/>
  <c r="Y27" i="22"/>
  <c r="AU27" i="22"/>
  <c r="CK26" i="22"/>
  <c r="CL26" i="22" s="1"/>
  <c r="BL26" i="22"/>
  <c r="GF26" i="22"/>
  <c r="GH26" i="22" s="1"/>
  <c r="CZ26" i="22" s="1"/>
  <c r="AA27" i="22"/>
  <c r="U27" i="22"/>
  <c r="CH27" i="22"/>
  <c r="BY27" i="22"/>
  <c r="EG27" i="22" s="1"/>
  <c r="EI27" i="22" s="1"/>
  <c r="BM26" i="22"/>
  <c r="CV26" i="22" s="1"/>
  <c r="S26" i="22"/>
  <c r="EF26" i="22"/>
  <c r="EO26" i="22" s="1"/>
  <c r="FA26" i="22"/>
  <c r="FB26" i="22" s="1"/>
  <c r="FC26" i="22" s="1"/>
  <c r="BF26" i="22"/>
  <c r="BG26" i="22" s="1"/>
  <c r="EA26" i="22"/>
  <c r="BP26" i="22"/>
  <c r="AS27" i="22"/>
  <c r="BA27" i="22"/>
  <c r="EB27" i="22" s="1"/>
  <c r="DU27" i="22" s="1"/>
  <c r="CG26" i="22"/>
  <c r="CI26" i="22" s="1"/>
  <c r="T27" i="22"/>
  <c r="CG27" i="22" s="1"/>
  <c r="CI27" i="22" s="1"/>
  <c r="BE27" i="22"/>
  <c r="CT27" i="22" s="1"/>
  <c r="O27" i="22"/>
  <c r="DP27" i="22"/>
  <c r="AN27" i="22"/>
  <c r="AQ27" i="22"/>
  <c r="ET28" i="22" l="1"/>
  <c r="EW28" i="22" s="1"/>
  <c r="EX28" i="22" s="1"/>
  <c r="EZ28" i="22" s="1"/>
  <c r="BO51" i="22"/>
  <c r="CK74" i="22"/>
  <c r="CL74" i="22" s="1"/>
  <c r="CP74" i="22" s="1"/>
  <c r="CR74" i="22" s="1"/>
  <c r="CW74" i="22" s="1"/>
  <c r="DD74" i="22" s="1"/>
  <c r="DH86" i="22"/>
  <c r="FN86" i="22"/>
  <c r="BP29" i="22"/>
  <c r="BB30" i="22"/>
  <c r="BO39" i="22"/>
  <c r="DH58" i="22"/>
  <c r="BJ101" i="22"/>
  <c r="CU101" i="22" s="1"/>
  <c r="EF86" i="22"/>
  <c r="EO86" i="22" s="1"/>
  <c r="S86" i="22"/>
  <c r="AX98" i="22"/>
  <c r="AW103" i="22"/>
  <c r="BA102" i="22"/>
  <c r="EB102" i="22" s="1"/>
  <c r="CP45" i="22"/>
  <c r="CR45" i="22" s="1"/>
  <c r="CW45" i="22" s="1"/>
  <c r="FQ45" i="22" s="1"/>
  <c r="BO52" i="22"/>
  <c r="BQ52" i="22" s="1"/>
  <c r="BG87" i="22"/>
  <c r="CP40" i="22"/>
  <c r="CR40" i="22" s="1"/>
  <c r="CW40" i="22" s="1"/>
  <c r="CI64" i="22"/>
  <c r="CP64" i="22" s="1"/>
  <c r="CR64" i="22" s="1"/>
  <c r="CW64" i="22" s="1"/>
  <c r="BO95" i="22"/>
  <c r="BQ95" i="22" s="1"/>
  <c r="BG95" i="22"/>
  <c r="BC95" i="22" s="1"/>
  <c r="BD95" i="22" s="1"/>
  <c r="GF74" i="22"/>
  <c r="GH74" i="22" s="1"/>
  <c r="CZ74" i="22" s="1"/>
  <c r="BO68" i="22"/>
  <c r="AX86" i="22"/>
  <c r="CK73" i="22"/>
  <c r="CL73" i="22" s="1"/>
  <c r="CP73" i="22" s="1"/>
  <c r="CR73" i="22" s="1"/>
  <c r="CW73" i="22" s="1"/>
  <c r="BL73" i="22"/>
  <c r="BM73" i="22" s="1"/>
  <c r="CV73" i="22" s="1"/>
  <c r="GF73" i="22"/>
  <c r="GH73" i="22" s="1"/>
  <c r="CZ73" i="22" s="1"/>
  <c r="AY26" i="22"/>
  <c r="BL37" i="22"/>
  <c r="BM37" i="22" s="1"/>
  <c r="CV37" i="22" s="1"/>
  <c r="CK37" i="22"/>
  <c r="CL37" i="22" s="1"/>
  <c r="EN68" i="22"/>
  <c r="EO68" i="22"/>
  <c r="DT68" i="22" s="1"/>
  <c r="EN37" i="22"/>
  <c r="BM34" i="22"/>
  <c r="CV34" i="22" s="1"/>
  <c r="CP48" i="22"/>
  <c r="CR48" i="22" s="1"/>
  <c r="CW48" i="22" s="1"/>
  <c r="CI56" i="22"/>
  <c r="CP56" i="22" s="1"/>
  <c r="CR56" i="22" s="1"/>
  <c r="CW56" i="22" s="1"/>
  <c r="FB74" i="22"/>
  <c r="FC74" i="22" s="1"/>
  <c r="EO102" i="22"/>
  <c r="BJ113" i="22"/>
  <c r="CU113" i="22" s="1"/>
  <c r="FO113" i="22" s="1"/>
  <c r="EA102" i="22"/>
  <c r="BP102" i="22"/>
  <c r="BQ102" i="22" s="1"/>
  <c r="CR78" i="22"/>
  <c r="CW78" i="22" s="1"/>
  <c r="FD111" i="22"/>
  <c r="EA98" i="22"/>
  <c r="BP98" i="22"/>
  <c r="EO57" i="22"/>
  <c r="EN57" i="22"/>
  <c r="CR66" i="22"/>
  <c r="CW66" i="22" s="1"/>
  <c r="EA68" i="22"/>
  <c r="BP68" i="22"/>
  <c r="BG32" i="22"/>
  <c r="BJ32" i="22" s="1"/>
  <c r="CU32" i="22" s="1"/>
  <c r="FA58" i="22"/>
  <c r="FB58" i="22"/>
  <c r="FC58" i="22" s="1"/>
  <c r="EF102" i="22"/>
  <c r="S102" i="22"/>
  <c r="BG86" i="22"/>
  <c r="BC86" i="22" s="1"/>
  <c r="BD86" i="22" s="1"/>
  <c r="FQ58" i="22"/>
  <c r="BO98" i="22"/>
  <c r="BQ98" i="22" s="1"/>
  <c r="AW114" i="22"/>
  <c r="AW115" i="22"/>
  <c r="FN44" i="22"/>
  <c r="DB44" i="22"/>
  <c r="CR115" i="22"/>
  <c r="CW115" i="22" s="1"/>
  <c r="CR80" i="22"/>
  <c r="CW80" i="22" s="1"/>
  <c r="BQ57" i="22"/>
  <c r="BO82" i="22"/>
  <c r="BQ82" i="22" s="1"/>
  <c r="ET100" i="22"/>
  <c r="EW100" i="22" s="1"/>
  <c r="EX100" i="22" s="1"/>
  <c r="EZ100" i="22" s="1"/>
  <c r="BO113" i="22"/>
  <c r="BQ113" i="22" s="1"/>
  <c r="CK44" i="22"/>
  <c r="CL44" i="22" s="1"/>
  <c r="BL44" i="22"/>
  <c r="BM44" i="22" s="1"/>
  <c r="CV44" i="22" s="1"/>
  <c r="BC35" i="22"/>
  <c r="BD35" i="22" s="1"/>
  <c r="CI52" i="22"/>
  <c r="BG100" i="22"/>
  <c r="BC100" i="22" s="1"/>
  <c r="BD100" i="22" s="1"/>
  <c r="EF44" i="22"/>
  <c r="EO44" i="22" s="1"/>
  <c r="DT44" i="22" s="1"/>
  <c r="S44" i="22"/>
  <c r="GF44" i="22"/>
  <c r="GH44" i="22" s="1"/>
  <c r="CZ44" i="22" s="1"/>
  <c r="BB28" i="22"/>
  <c r="FN36" i="22"/>
  <c r="BO96" i="22"/>
  <c r="BQ96" i="22" s="1"/>
  <c r="BO114" i="22"/>
  <c r="BQ38" i="22"/>
  <c r="CI44" i="22"/>
  <c r="CP44" i="22" s="1"/>
  <c r="CR44" i="22" s="1"/>
  <c r="CW44" i="22" s="1"/>
  <c r="DU89" i="22"/>
  <c r="DV96" i="22"/>
  <c r="DX96" i="22" s="1"/>
  <c r="DY96" i="22" s="1"/>
  <c r="BL111" i="22"/>
  <c r="BM111" i="22" s="1"/>
  <c r="CV111" i="22" s="1"/>
  <c r="EA36" i="22"/>
  <c r="BP36" i="22"/>
  <c r="BQ36" i="22" s="1"/>
  <c r="CP68" i="22"/>
  <c r="CR68" i="22" s="1"/>
  <c r="CW68" i="22" s="1"/>
  <c r="BO116" i="22"/>
  <c r="BQ116" i="22" s="1"/>
  <c r="BJ116" i="22"/>
  <c r="CU116" i="22" s="1"/>
  <c r="FS115" i="22"/>
  <c r="DM115" i="22"/>
  <c r="FQ116" i="22"/>
  <c r="DJ116" i="22"/>
  <c r="EK116" i="22"/>
  <c r="CY116" i="22" s="1"/>
  <c r="FO115" i="22"/>
  <c r="DI115" i="22"/>
  <c r="EA115" i="22"/>
  <c r="BP115" i="22"/>
  <c r="BQ115" i="22" s="1"/>
  <c r="BJ114" i="22"/>
  <c r="CU114" i="22" s="1"/>
  <c r="EB113" i="22"/>
  <c r="BC113" i="22"/>
  <c r="BD113" i="22" s="1"/>
  <c r="FA113" i="22"/>
  <c r="FB113" i="22" s="1"/>
  <c r="FC113" i="22" s="1"/>
  <c r="FN113" i="22"/>
  <c r="DH113" i="22"/>
  <c r="BM113" i="22"/>
  <c r="CV113" i="22" s="1"/>
  <c r="CR113" i="22"/>
  <c r="CW113" i="22" s="1"/>
  <c r="BQ114" i="22"/>
  <c r="BB113" i="22"/>
  <c r="FS113" i="22"/>
  <c r="DM113" i="22"/>
  <c r="EK114" i="22"/>
  <c r="CY114" i="22" s="1"/>
  <c r="FA114" i="22"/>
  <c r="FB114" i="22" s="1"/>
  <c r="FC114" i="22" s="1"/>
  <c r="FN114" i="22"/>
  <c r="DH114" i="22"/>
  <c r="CR114" i="22"/>
  <c r="CW114" i="22" s="1"/>
  <c r="BJ112" i="22"/>
  <c r="CU112" i="22" s="1"/>
  <c r="BC112" i="22"/>
  <c r="BD112" i="22" s="1"/>
  <c r="BB111" i="22"/>
  <c r="AY111" i="22"/>
  <c r="FP111" i="22"/>
  <c r="DE111" i="22"/>
  <c r="FQ111" i="22"/>
  <c r="DD111" i="22"/>
  <c r="DW111" i="22"/>
  <c r="DV111" i="22"/>
  <c r="EK111" i="22"/>
  <c r="CY111" i="22" s="1"/>
  <c r="FE111" i="22"/>
  <c r="AX112" i="22"/>
  <c r="ET112" i="22"/>
  <c r="EW112" i="22" s="1"/>
  <c r="EX112" i="22" s="1"/>
  <c r="BL112" i="22"/>
  <c r="GF112" i="22"/>
  <c r="GH112" i="22" s="1"/>
  <c r="CZ112" i="22" s="1"/>
  <c r="CK112" i="22"/>
  <c r="CL112" i="22" s="1"/>
  <c r="CP112" i="22" s="1"/>
  <c r="CR112" i="22" s="1"/>
  <c r="CW112" i="22" s="1"/>
  <c r="FA112" i="22"/>
  <c r="FB112" i="22" s="1"/>
  <c r="FC112" i="22" s="1"/>
  <c r="FN112" i="22"/>
  <c r="DB112" i="22"/>
  <c r="BM112" i="22"/>
  <c r="CV112" i="22" s="1"/>
  <c r="EK112" i="22"/>
  <c r="CY112" i="22" s="1"/>
  <c r="DW112" i="22"/>
  <c r="DV112" i="22"/>
  <c r="FO111" i="22"/>
  <c r="DC111" i="22"/>
  <c r="BC110" i="22"/>
  <c r="BD110" i="22" s="1"/>
  <c r="BJ110" i="22"/>
  <c r="CU110" i="22" s="1"/>
  <c r="FP109" i="22"/>
  <c r="DE109" i="22"/>
  <c r="BB110" i="22"/>
  <c r="AY110" i="22"/>
  <c r="DU110" i="22"/>
  <c r="DW110" i="22" s="1"/>
  <c r="ET110" i="22"/>
  <c r="EW110" i="22" s="1"/>
  <c r="EX110" i="22" s="1"/>
  <c r="CP109" i="22"/>
  <c r="CR109" i="22" s="1"/>
  <c r="CW109" i="22" s="1"/>
  <c r="BB109" i="22"/>
  <c r="AY109" i="22"/>
  <c r="BG109" i="22"/>
  <c r="BO110" i="22"/>
  <c r="BQ110" i="22" s="1"/>
  <c r="EK110" i="22"/>
  <c r="CY110" i="22" s="1"/>
  <c r="DU109" i="22"/>
  <c r="ET109" i="22"/>
  <c r="EW109" i="22" s="1"/>
  <c r="EX109" i="22" s="1"/>
  <c r="DV109" i="22"/>
  <c r="DW109" i="22"/>
  <c r="EK109" i="22"/>
  <c r="CY109" i="22" s="1"/>
  <c r="FQ110" i="22"/>
  <c r="DD110" i="22"/>
  <c r="FP110" i="22"/>
  <c r="DE110" i="22"/>
  <c r="FP104" i="22"/>
  <c r="DE104" i="22"/>
  <c r="FQ103" i="22"/>
  <c r="DD103" i="22"/>
  <c r="BG103" i="22"/>
  <c r="DT104" i="22"/>
  <c r="FQ104" i="22"/>
  <c r="DD104" i="22"/>
  <c r="FP103" i="22"/>
  <c r="DE103" i="22"/>
  <c r="BJ104" i="22"/>
  <c r="CU104" i="22" s="1"/>
  <c r="DT103" i="22"/>
  <c r="FP102" i="22"/>
  <c r="DE102" i="22"/>
  <c r="BB101" i="22"/>
  <c r="AY101" i="22"/>
  <c r="FO101" i="22"/>
  <c r="DC101" i="22"/>
  <c r="DU101" i="22"/>
  <c r="ET101" i="22"/>
  <c r="EW101" i="22" s="1"/>
  <c r="EX101" i="22" s="1"/>
  <c r="DT102" i="22"/>
  <c r="CI102" i="22"/>
  <c r="CP102" i="22" s="1"/>
  <c r="CR102" i="22" s="1"/>
  <c r="CW102" i="22" s="1"/>
  <c r="BB102" i="22"/>
  <c r="AY102" i="22"/>
  <c r="FN101" i="22"/>
  <c r="DB101" i="22"/>
  <c r="FA101" i="22"/>
  <c r="FB101" i="22" s="1"/>
  <c r="FC101" i="22" s="1"/>
  <c r="BM101" i="22"/>
  <c r="CV101" i="22" s="1"/>
  <c r="S101" i="22"/>
  <c r="CG101" i="22"/>
  <c r="CI101" i="22" s="1"/>
  <c r="EF101" i="22"/>
  <c r="EO101" i="22" s="1"/>
  <c r="CK101" i="22"/>
  <c r="CL101" i="22" s="1"/>
  <c r="BL101" i="22"/>
  <c r="GF101" i="22"/>
  <c r="GH101" i="22" s="1"/>
  <c r="CZ101" i="22" s="1"/>
  <c r="BJ102" i="22"/>
  <c r="CU102" i="22" s="1"/>
  <c r="FQ99" i="22"/>
  <c r="DD99" i="22"/>
  <c r="DH100" i="22"/>
  <c r="FN100" i="22"/>
  <c r="BB99" i="22"/>
  <c r="AY99" i="22"/>
  <c r="DW99" i="22"/>
  <c r="DV99" i="22"/>
  <c r="EK99" i="22"/>
  <c r="CY99" i="22" s="1"/>
  <c r="BC99" i="22"/>
  <c r="BD99" i="22" s="1"/>
  <c r="BJ99" i="22"/>
  <c r="CU99" i="22" s="1"/>
  <c r="CR100" i="22"/>
  <c r="CW100" i="22" s="1"/>
  <c r="ET99" i="22"/>
  <c r="EW99" i="22" s="1"/>
  <c r="EX99" i="22" s="1"/>
  <c r="EK100" i="22"/>
  <c r="CY100" i="22" s="1"/>
  <c r="DW100" i="22"/>
  <c r="DV100" i="22"/>
  <c r="FP99" i="22"/>
  <c r="DE99" i="22"/>
  <c r="BJ100" i="22"/>
  <c r="CU100" i="22" s="1"/>
  <c r="BB100" i="22"/>
  <c r="AY100" i="22"/>
  <c r="FA100" i="22"/>
  <c r="FB100" i="22" s="1"/>
  <c r="FC100" i="22" s="1"/>
  <c r="BC97" i="22"/>
  <c r="BD97" i="22" s="1"/>
  <c r="BJ97" i="22"/>
  <c r="CU97" i="22" s="1"/>
  <c r="BO97" i="22"/>
  <c r="BQ97" i="22" s="1"/>
  <c r="BC98" i="22"/>
  <c r="BD98" i="22" s="1"/>
  <c r="BJ98" i="22"/>
  <c r="CU98" i="22" s="1"/>
  <c r="GF98" i="22"/>
  <c r="GH98" i="22" s="1"/>
  <c r="CZ98" i="22" s="1"/>
  <c r="CK98" i="22"/>
  <c r="CL98" i="22" s="1"/>
  <c r="CP98" i="22" s="1"/>
  <c r="CR98" i="22" s="1"/>
  <c r="CW98" i="22" s="1"/>
  <c r="BL98" i="22"/>
  <c r="BM98" i="22" s="1"/>
  <c r="CV98" i="22" s="1"/>
  <c r="BB97" i="22"/>
  <c r="AY97" i="22"/>
  <c r="FA98" i="22"/>
  <c r="FB98" i="22" s="1"/>
  <c r="FC98" i="22" s="1"/>
  <c r="BB98" i="22"/>
  <c r="AY98" i="22"/>
  <c r="FN98" i="22"/>
  <c r="DB98" i="22"/>
  <c r="DU98" i="22"/>
  <c r="DW98" i="22" s="1"/>
  <c r="ET98" i="22"/>
  <c r="EW98" i="22" s="1"/>
  <c r="EX98" i="22" s="1"/>
  <c r="FN97" i="22"/>
  <c r="DH97" i="22"/>
  <c r="FA97" i="22"/>
  <c r="FB97" i="22" s="1"/>
  <c r="FC97" i="22" s="1"/>
  <c r="DU97" i="22"/>
  <c r="ET97" i="22"/>
  <c r="EW97" i="22" s="1"/>
  <c r="EX97" i="22" s="1"/>
  <c r="DW97" i="22"/>
  <c r="DV97" i="22"/>
  <c r="EK97" i="22"/>
  <c r="CY97" i="22" s="1"/>
  <c r="EK98" i="22"/>
  <c r="CY98" i="22" s="1"/>
  <c r="DV98" i="22"/>
  <c r="FQ97" i="22"/>
  <c r="DJ97" i="22"/>
  <c r="BJ94" i="22"/>
  <c r="CU94" i="22" s="1"/>
  <c r="BC94" i="22"/>
  <c r="BD94" i="22" s="1"/>
  <c r="EZ96" i="22"/>
  <c r="EY96" i="22"/>
  <c r="DB96" i="22"/>
  <c r="FN96" i="22"/>
  <c r="DT94" i="22"/>
  <c r="EZ94" i="22"/>
  <c r="EY94" i="22"/>
  <c r="AY94" i="22"/>
  <c r="BB94" i="22"/>
  <c r="FA96" i="22"/>
  <c r="FB96" i="22" s="1"/>
  <c r="FC96" i="22" s="1"/>
  <c r="BB96" i="22"/>
  <c r="AY96" i="22"/>
  <c r="DU95" i="22"/>
  <c r="DW95" i="22" s="1"/>
  <c r="ET95" i="22"/>
  <c r="EW95" i="22" s="1"/>
  <c r="EX95" i="22" s="1"/>
  <c r="FS96" i="22"/>
  <c r="DG96" i="22"/>
  <c r="BJ96" i="22"/>
  <c r="CU96" i="22" s="1"/>
  <c r="BC96" i="22"/>
  <c r="BD96" i="22" s="1"/>
  <c r="DE94" i="22"/>
  <c r="FP94" i="22"/>
  <c r="BB95" i="22"/>
  <c r="FN95" i="22"/>
  <c r="DH95" i="22"/>
  <c r="BQ94" i="22"/>
  <c r="FA95" i="22"/>
  <c r="FB95" i="22" s="1"/>
  <c r="FC95" i="22" s="1"/>
  <c r="CP94" i="22"/>
  <c r="CR94" i="22" s="1"/>
  <c r="CW94" i="22" s="1"/>
  <c r="CR95" i="22"/>
  <c r="CW95" i="22" s="1"/>
  <c r="EK95" i="22"/>
  <c r="CY95" i="22" s="1"/>
  <c r="GF96" i="22"/>
  <c r="GH96" i="22" s="1"/>
  <c r="CZ96" i="22" s="1"/>
  <c r="CK96" i="22"/>
  <c r="CL96" i="22" s="1"/>
  <c r="CP96" i="22" s="1"/>
  <c r="CR96" i="22" s="1"/>
  <c r="CW96" i="22" s="1"/>
  <c r="BL96" i="22"/>
  <c r="BM96" i="22" s="1"/>
  <c r="CV96" i="22" s="1"/>
  <c r="BC93" i="22"/>
  <c r="BD93" i="22" s="1"/>
  <c r="BJ93" i="22"/>
  <c r="CU93" i="22" s="1"/>
  <c r="BC92" i="22"/>
  <c r="BD92" i="22" s="1"/>
  <c r="BJ92" i="22"/>
  <c r="CU92" i="22" s="1"/>
  <c r="BC89" i="22"/>
  <c r="BD89" i="22" s="1"/>
  <c r="BJ89" i="22"/>
  <c r="CU89" i="22" s="1"/>
  <c r="BB93" i="22"/>
  <c r="AY93" i="22"/>
  <c r="BB88" i="22"/>
  <c r="AY88" i="22"/>
  <c r="BB92" i="22"/>
  <c r="AY92" i="22"/>
  <c r="DK86" i="22"/>
  <c r="FP86" i="22"/>
  <c r="BJ87" i="22"/>
  <c r="CU87" i="22" s="1"/>
  <c r="BC87" i="22"/>
  <c r="BD87" i="22" s="1"/>
  <c r="CI91" i="22"/>
  <c r="DU88" i="22"/>
  <c r="ET88" i="22"/>
  <c r="EW88" i="22" s="1"/>
  <c r="EX88" i="22" s="1"/>
  <c r="EF87" i="22"/>
  <c r="EO87" i="22" s="1"/>
  <c r="S87" i="22"/>
  <c r="EA92" i="22"/>
  <c r="BP92" i="22"/>
  <c r="BQ92" i="22" s="1"/>
  <c r="GF89" i="22"/>
  <c r="GH89" i="22" s="1"/>
  <c r="CZ89" i="22" s="1"/>
  <c r="CK89" i="22"/>
  <c r="CL89" i="22" s="1"/>
  <c r="BL89" i="22"/>
  <c r="DH87" i="22"/>
  <c r="FN87" i="22"/>
  <c r="DT86" i="22"/>
  <c r="EA91" i="22"/>
  <c r="BP91" i="22"/>
  <c r="BQ91" i="22" s="1"/>
  <c r="DU93" i="22"/>
  <c r="ET93" i="22"/>
  <c r="EW93" i="22" s="1"/>
  <c r="EX93" i="22" s="1"/>
  <c r="FA89" i="22"/>
  <c r="FB89" i="22" s="1"/>
  <c r="FC89" i="22" s="1"/>
  <c r="FA87" i="22"/>
  <c r="FB87" i="22" s="1"/>
  <c r="FC87" i="22" s="1"/>
  <c r="BM89" i="22"/>
  <c r="CV89" i="22" s="1"/>
  <c r="CP89" i="22"/>
  <c r="CR89" i="22" s="1"/>
  <c r="CW89" i="22" s="1"/>
  <c r="DU86" i="22"/>
  <c r="ET86" i="22"/>
  <c r="EW86" i="22" s="1"/>
  <c r="EX86" i="22" s="1"/>
  <c r="EZ86" i="22" s="1"/>
  <c r="EF89" i="22"/>
  <c r="EO89" i="22" s="1"/>
  <c r="S89" i="22"/>
  <c r="FA90" i="22"/>
  <c r="FB90" i="22" s="1"/>
  <c r="FC90" i="22" s="1"/>
  <c r="BG88" i="22"/>
  <c r="FN88" i="22"/>
  <c r="DB88" i="22"/>
  <c r="FN89" i="22"/>
  <c r="DB89" i="22"/>
  <c r="GF90" i="22"/>
  <c r="GH90" i="22" s="1"/>
  <c r="CZ90" i="22" s="1"/>
  <c r="CK90" i="22"/>
  <c r="CL90" i="22" s="1"/>
  <c r="BL90" i="22"/>
  <c r="BM90" i="22" s="1"/>
  <c r="CV90" i="22" s="1"/>
  <c r="CK88" i="22"/>
  <c r="CL88" i="22" s="1"/>
  <c r="BL88" i="22"/>
  <c r="BM88" i="22" s="1"/>
  <c r="CV88" i="22" s="1"/>
  <c r="GF88" i="22"/>
  <c r="GH88" i="22" s="1"/>
  <c r="CZ88" i="22" s="1"/>
  <c r="FA88" i="22"/>
  <c r="FB88" i="22" s="1"/>
  <c r="FC88" i="22" s="1"/>
  <c r="EF90" i="22"/>
  <c r="EO90" i="22" s="1"/>
  <c r="S90" i="22"/>
  <c r="CP93" i="22"/>
  <c r="CR93" i="22" s="1"/>
  <c r="CW93" i="22" s="1"/>
  <c r="EA89" i="22"/>
  <c r="BP89" i="22"/>
  <c r="BQ89" i="22" s="1"/>
  <c r="DB90" i="22"/>
  <c r="FN90" i="22"/>
  <c r="BB86" i="22"/>
  <c r="AY86" i="22"/>
  <c r="ET89" i="22"/>
  <c r="EW89" i="22" s="1"/>
  <c r="EX89" i="22" s="1"/>
  <c r="S88" i="22"/>
  <c r="EF88" i="22"/>
  <c r="EO88" i="22" s="1"/>
  <c r="CG88" i="22"/>
  <c r="CI88" i="22" s="1"/>
  <c r="BA90" i="22"/>
  <c r="EB90" i="22" s="1"/>
  <c r="AW91" i="22"/>
  <c r="BA91" i="22" s="1"/>
  <c r="EB91" i="22" s="1"/>
  <c r="DU91" i="22" s="1"/>
  <c r="DU92" i="22"/>
  <c r="BJ86" i="22"/>
  <c r="CU86" i="22" s="1"/>
  <c r="BB89" i="22"/>
  <c r="AX90" i="22"/>
  <c r="BJ90" i="22"/>
  <c r="CU90" i="22" s="1"/>
  <c r="DU87" i="22"/>
  <c r="CI86" i="22"/>
  <c r="CP86" i="22" s="1"/>
  <c r="CR86" i="22" s="1"/>
  <c r="CW86" i="22" s="1"/>
  <c r="ET87" i="22"/>
  <c r="EW87" i="22" s="1"/>
  <c r="EX87" i="22" s="1"/>
  <c r="BO93" i="22"/>
  <c r="BQ93" i="22" s="1"/>
  <c r="CP90" i="22"/>
  <c r="CR90" i="22" s="1"/>
  <c r="CW90" i="22" s="1"/>
  <c r="EF91" i="22"/>
  <c r="EO91" i="22" s="1"/>
  <c r="S91" i="22"/>
  <c r="GF93" i="22"/>
  <c r="GH93" i="22" s="1"/>
  <c r="CZ93" i="22" s="1"/>
  <c r="CK93" i="22"/>
  <c r="CL93" i="22" s="1"/>
  <c r="BL93" i="22"/>
  <c r="BM93" i="22" s="1"/>
  <c r="CV93" i="22" s="1"/>
  <c r="BO89" i="22"/>
  <c r="BP87" i="22"/>
  <c r="BQ87" i="22" s="1"/>
  <c r="EA87" i="22"/>
  <c r="DB91" i="22"/>
  <c r="FN91" i="22"/>
  <c r="FB93" i="22"/>
  <c r="FC93" i="22" s="1"/>
  <c r="FA93" i="22"/>
  <c r="FN92" i="22"/>
  <c r="DB92" i="22"/>
  <c r="CK91" i="22"/>
  <c r="CL91" i="22" s="1"/>
  <c r="BL91" i="22"/>
  <c r="GF91" i="22"/>
  <c r="GH91" i="22" s="1"/>
  <c r="CZ91" i="22" s="1"/>
  <c r="BQ86" i="22"/>
  <c r="CK92" i="22"/>
  <c r="CL92" i="22" s="1"/>
  <c r="BL92" i="22"/>
  <c r="BM92" i="22" s="1"/>
  <c r="CV92" i="22" s="1"/>
  <c r="GF92" i="22"/>
  <c r="GH92" i="22" s="1"/>
  <c r="CZ92" i="22" s="1"/>
  <c r="FA91" i="22"/>
  <c r="FB91" i="22" s="1"/>
  <c r="FC91" i="22" s="1"/>
  <c r="EF93" i="22"/>
  <c r="EO93" i="22" s="1"/>
  <c r="S93" i="22"/>
  <c r="FA92" i="22"/>
  <c r="FB92" i="22" s="1"/>
  <c r="FC92" i="22" s="1"/>
  <c r="DK87" i="22"/>
  <c r="FP87" i="22"/>
  <c r="BM91" i="22"/>
  <c r="CV91" i="22" s="1"/>
  <c r="FN93" i="22"/>
  <c r="DB93" i="22"/>
  <c r="CG87" i="22"/>
  <c r="CI87" i="22" s="1"/>
  <c r="CP87" i="22" s="1"/>
  <c r="CR87" i="22" s="1"/>
  <c r="CW87" i="22" s="1"/>
  <c r="BB87" i="22"/>
  <c r="BJ91" i="22"/>
  <c r="CU91" i="22" s="1"/>
  <c r="S92" i="22"/>
  <c r="EF92" i="22"/>
  <c r="EO92" i="22" s="1"/>
  <c r="CG92" i="22"/>
  <c r="CI92" i="22" s="1"/>
  <c r="BC85" i="22"/>
  <c r="BD85" i="22" s="1"/>
  <c r="BJ85" i="22"/>
  <c r="CU85" i="22" s="1"/>
  <c r="FO84" i="22"/>
  <c r="DC84" i="22"/>
  <c r="BB84" i="22"/>
  <c r="AY84" i="22"/>
  <c r="DJ83" i="22"/>
  <c r="FQ83" i="22"/>
  <c r="FN84" i="22"/>
  <c r="DB84" i="22"/>
  <c r="DX85" i="22"/>
  <c r="DY85" i="22" s="1"/>
  <c r="CK84" i="22"/>
  <c r="CL84" i="22" s="1"/>
  <c r="CP84" i="22" s="1"/>
  <c r="CR84" i="22" s="1"/>
  <c r="CW84" i="22" s="1"/>
  <c r="BL84" i="22"/>
  <c r="GF84" i="22"/>
  <c r="GH84" i="22" s="1"/>
  <c r="CZ84" i="22" s="1"/>
  <c r="FS85" i="22"/>
  <c r="DG85" i="22"/>
  <c r="GF85" i="22"/>
  <c r="GH85" i="22" s="1"/>
  <c r="CZ85" i="22" s="1"/>
  <c r="CK85" i="22"/>
  <c r="CL85" i="22" s="1"/>
  <c r="CP85" i="22" s="1"/>
  <c r="CR85" i="22" s="1"/>
  <c r="CW85" i="22" s="1"/>
  <c r="BL85" i="22"/>
  <c r="BM85" i="22" s="1"/>
  <c r="CV85" i="22" s="1"/>
  <c r="BM84" i="22"/>
  <c r="CV84" i="22" s="1"/>
  <c r="FA84" i="22"/>
  <c r="FB84" i="22" s="1"/>
  <c r="FC84" i="22" s="1"/>
  <c r="FA85" i="22"/>
  <c r="FB85" i="22" s="1"/>
  <c r="FC85" i="22" s="1"/>
  <c r="FD85" i="22" s="1"/>
  <c r="BJ83" i="22"/>
  <c r="CU83" i="22" s="1"/>
  <c r="DU84" i="22"/>
  <c r="ET84" i="22"/>
  <c r="EW84" i="22" s="1"/>
  <c r="EX84" i="22" s="1"/>
  <c r="DB85" i="22"/>
  <c r="FN85" i="22"/>
  <c r="FN83" i="22"/>
  <c r="DH83" i="22"/>
  <c r="FA83" i="22"/>
  <c r="FB83" i="22" s="1"/>
  <c r="FC83" i="22" s="1"/>
  <c r="DW84" i="22"/>
  <c r="DV84" i="22"/>
  <c r="EK84" i="22"/>
  <c r="CY84" i="22" s="1"/>
  <c r="BC84" i="22"/>
  <c r="BD84" i="22" s="1"/>
  <c r="BO85" i="22"/>
  <c r="BQ85" i="22" s="1"/>
  <c r="EK83" i="22"/>
  <c r="CY83" i="22" s="1"/>
  <c r="BB85" i="22"/>
  <c r="AY85" i="22"/>
  <c r="EZ85" i="22"/>
  <c r="EY85" i="22"/>
  <c r="FN81" i="22"/>
  <c r="DB81" i="22"/>
  <c r="EK82" i="22"/>
  <c r="CY82" i="22" s="1"/>
  <c r="CK81" i="22"/>
  <c r="CL81" i="22" s="1"/>
  <c r="CP81" i="22" s="1"/>
  <c r="CR81" i="22" s="1"/>
  <c r="CW81" i="22" s="1"/>
  <c r="BL81" i="22"/>
  <c r="BM81" i="22" s="1"/>
  <c r="CV81" i="22" s="1"/>
  <c r="GF81" i="22"/>
  <c r="GH81" i="22" s="1"/>
  <c r="CZ81" i="22" s="1"/>
  <c r="FA81" i="22"/>
  <c r="FB81" i="22" s="1"/>
  <c r="BG80" i="22"/>
  <c r="DJ80" i="22"/>
  <c r="FQ80" i="22"/>
  <c r="BJ82" i="22"/>
  <c r="CU82" i="22" s="1"/>
  <c r="GF82" i="22"/>
  <c r="GH82" i="22" s="1"/>
  <c r="CZ82" i="22" s="1"/>
  <c r="CK82" i="22"/>
  <c r="CL82" i="22" s="1"/>
  <c r="CP82" i="22" s="1"/>
  <c r="CR82" i="22" s="1"/>
  <c r="CW82" i="22" s="1"/>
  <c r="BL82" i="22"/>
  <c r="BM82" i="22" s="1"/>
  <c r="CV82" i="22" s="1"/>
  <c r="FO81" i="22"/>
  <c r="DC81" i="22"/>
  <c r="FA82" i="22"/>
  <c r="FB82" i="22" s="1"/>
  <c r="FC82" i="22" s="1"/>
  <c r="DB82" i="22"/>
  <c r="FN82" i="22"/>
  <c r="DT80" i="22"/>
  <c r="FN80" i="22"/>
  <c r="DH80" i="22"/>
  <c r="FA80" i="22"/>
  <c r="FB80" i="22" s="1"/>
  <c r="FC80" i="22" s="1"/>
  <c r="FS81" i="22"/>
  <c r="DG81" i="22"/>
  <c r="FN77" i="22"/>
  <c r="DB77" i="22"/>
  <c r="FN79" i="22"/>
  <c r="DB79" i="22"/>
  <c r="CK77" i="22"/>
  <c r="CL77" i="22" s="1"/>
  <c r="CP77" i="22" s="1"/>
  <c r="CR77" i="22" s="1"/>
  <c r="CW77" i="22" s="1"/>
  <c r="BL77" i="22"/>
  <c r="GF77" i="22"/>
  <c r="GH77" i="22" s="1"/>
  <c r="CZ77" i="22" s="1"/>
  <c r="FO79" i="22"/>
  <c r="DC79" i="22"/>
  <c r="FA77" i="22"/>
  <c r="FB77" i="22" s="1"/>
  <c r="FC77" i="22" s="1"/>
  <c r="FA79" i="22"/>
  <c r="FB79" i="22" s="1"/>
  <c r="FC79" i="22" s="1"/>
  <c r="BM77" i="22"/>
  <c r="CV77" i="22" s="1"/>
  <c r="BQ77" i="22"/>
  <c r="EK78" i="22"/>
  <c r="CY78" i="22" s="1"/>
  <c r="BG77" i="22"/>
  <c r="EK77" i="22"/>
  <c r="CY77" i="22" s="1"/>
  <c r="FA78" i="22"/>
  <c r="FB78" i="22" s="1"/>
  <c r="FC78" i="22" s="1"/>
  <c r="EK79" i="22"/>
  <c r="CY79" i="22" s="1"/>
  <c r="EA78" i="22"/>
  <c r="BP78" i="22"/>
  <c r="BQ78" i="22" s="1"/>
  <c r="FO78" i="22"/>
  <c r="DI78" i="22"/>
  <c r="GF79" i="22"/>
  <c r="GH79" i="22" s="1"/>
  <c r="CZ79" i="22" s="1"/>
  <c r="CK79" i="22"/>
  <c r="CL79" i="22" s="1"/>
  <c r="CP79" i="22" s="1"/>
  <c r="CR79" i="22" s="1"/>
  <c r="CW79" i="22" s="1"/>
  <c r="BL79" i="22"/>
  <c r="BM79" i="22" s="1"/>
  <c r="CV79" i="22" s="1"/>
  <c r="BJ76" i="22"/>
  <c r="CU76" i="22" s="1"/>
  <c r="EK76" i="22"/>
  <c r="CY76" i="22" s="1"/>
  <c r="BJ75" i="22"/>
  <c r="CU75" i="22" s="1"/>
  <c r="BO76" i="22"/>
  <c r="BQ76" i="22" s="1"/>
  <c r="FQ75" i="22"/>
  <c r="DJ75" i="22"/>
  <c r="DC74" i="22"/>
  <c r="FO74" i="22"/>
  <c r="DC73" i="22"/>
  <c r="FO73" i="22"/>
  <c r="EK75" i="22"/>
  <c r="CY75" i="22" s="1"/>
  <c r="FA76" i="22"/>
  <c r="FB76" i="22" s="1"/>
  <c r="FC76" i="22" s="1"/>
  <c r="FN76" i="22"/>
  <c r="DH76" i="22"/>
  <c r="DE74" i="22"/>
  <c r="FP74" i="22"/>
  <c r="FQ76" i="22"/>
  <c r="DJ76" i="22"/>
  <c r="DT74" i="22"/>
  <c r="EK73" i="22"/>
  <c r="CY73" i="22" s="1"/>
  <c r="DB71" i="22"/>
  <c r="FN71" i="22"/>
  <c r="EA70" i="22"/>
  <c r="BP70" i="22"/>
  <c r="FQ69" i="22"/>
  <c r="DJ69" i="22"/>
  <c r="EO72" i="22"/>
  <c r="EN72" i="22"/>
  <c r="CR72" i="22"/>
  <c r="CW72" i="22" s="1"/>
  <c r="BJ71" i="22"/>
  <c r="CU71" i="22" s="1"/>
  <c r="BQ72" i="22"/>
  <c r="FP69" i="22"/>
  <c r="DK69" i="22"/>
  <c r="EO69" i="22"/>
  <c r="EN69" i="22"/>
  <c r="FA72" i="22"/>
  <c r="FB72" i="22" s="1"/>
  <c r="FC72" i="22" s="1"/>
  <c r="EN70" i="22"/>
  <c r="EO70" i="22"/>
  <c r="FA69" i="22"/>
  <c r="FB69" i="22" s="1"/>
  <c r="FC69" i="22" s="1"/>
  <c r="EO71" i="22"/>
  <c r="EN71" i="22"/>
  <c r="CI70" i="22"/>
  <c r="GF70" i="22"/>
  <c r="GH70" i="22" s="1"/>
  <c r="CZ70" i="22" s="1"/>
  <c r="CK70" i="22"/>
  <c r="CJ70" i="22"/>
  <c r="CL70" i="22" s="1"/>
  <c r="BL70" i="22"/>
  <c r="BM70" i="22" s="1"/>
  <c r="CV70" i="22" s="1"/>
  <c r="BG72" i="22"/>
  <c r="BO72" i="22"/>
  <c r="FA70" i="22"/>
  <c r="FB70" i="22" s="1"/>
  <c r="FC70" i="22" s="1"/>
  <c r="BF70" i="22"/>
  <c r="BO70" i="22" s="1"/>
  <c r="BQ71" i="22"/>
  <c r="DH72" i="22"/>
  <c r="FN72" i="22"/>
  <c r="FN70" i="22"/>
  <c r="DB70" i="22"/>
  <c r="EA69" i="22"/>
  <c r="BP69" i="22"/>
  <c r="BL71" i="22"/>
  <c r="BM71" i="22" s="1"/>
  <c r="CV71" i="22" s="1"/>
  <c r="GF71" i="22"/>
  <c r="GH71" i="22" s="1"/>
  <c r="CZ71" i="22" s="1"/>
  <c r="CK71" i="22"/>
  <c r="CJ71" i="22"/>
  <c r="BO69" i="22"/>
  <c r="BF69" i="22"/>
  <c r="BG69" i="22" s="1"/>
  <c r="FN69" i="22"/>
  <c r="DH69" i="22"/>
  <c r="FA71" i="22"/>
  <c r="FB71" i="22" s="1"/>
  <c r="FC71" i="22" s="1"/>
  <c r="FQ68" i="22"/>
  <c r="DJ68" i="22"/>
  <c r="FP64" i="22"/>
  <c r="DE64" i="22"/>
  <c r="DT64" i="22"/>
  <c r="EN67" i="22"/>
  <c r="EO67" i="22"/>
  <c r="FP67" i="22"/>
  <c r="DE67" i="22"/>
  <c r="CP67" i="22"/>
  <c r="CR67" i="22" s="1"/>
  <c r="CW67" i="22" s="1"/>
  <c r="FA68" i="22"/>
  <c r="FB68" i="22" s="1"/>
  <c r="FC68" i="22" s="1"/>
  <c r="BJ65" i="22"/>
  <c r="CU65" i="22" s="1"/>
  <c r="FN68" i="22"/>
  <c r="DH68" i="22"/>
  <c r="EN64" i="22"/>
  <c r="EA67" i="22"/>
  <c r="BP67" i="22"/>
  <c r="BQ67" i="22" s="1"/>
  <c r="BO64" i="22"/>
  <c r="BQ64" i="22" s="1"/>
  <c r="BG64" i="22"/>
  <c r="FB67" i="22"/>
  <c r="FC67" i="22" s="1"/>
  <c r="EK66" i="22"/>
  <c r="CY66" i="22" s="1"/>
  <c r="BJ66" i="22"/>
  <c r="CU66" i="22" s="1"/>
  <c r="DT65" i="22"/>
  <c r="BG67" i="22"/>
  <c r="FQ64" i="22"/>
  <c r="DD64" i="22"/>
  <c r="BJ68" i="22"/>
  <c r="CU68" i="22" s="1"/>
  <c r="EK68" i="22"/>
  <c r="CY68" i="22" s="1"/>
  <c r="BQ65" i="22"/>
  <c r="BJ62" i="22"/>
  <c r="CU62" i="22" s="1"/>
  <c r="FO61" i="22"/>
  <c r="DC61" i="22"/>
  <c r="EN62" i="22"/>
  <c r="EO62" i="22"/>
  <c r="CI62" i="22"/>
  <c r="CP62" i="22" s="1"/>
  <c r="CR62" i="22" s="1"/>
  <c r="CW62" i="22" s="1"/>
  <c r="FP62" i="22"/>
  <c r="DK62" i="22"/>
  <c r="FP63" i="22"/>
  <c r="DK63" i="22"/>
  <c r="BQ62" i="22"/>
  <c r="FA63" i="22"/>
  <c r="FB63" i="22" s="1"/>
  <c r="FC63" i="22" s="1"/>
  <c r="DT63" i="22"/>
  <c r="FN63" i="22"/>
  <c r="DH63" i="22"/>
  <c r="GF61" i="22"/>
  <c r="GH61" i="22" s="1"/>
  <c r="CZ61" i="22" s="1"/>
  <c r="CJ61" i="22"/>
  <c r="BL61" i="22"/>
  <c r="BM61" i="22" s="1"/>
  <c r="CV61" i="22" s="1"/>
  <c r="CK61" i="22"/>
  <c r="FA61" i="22"/>
  <c r="FB61" i="22" s="1"/>
  <c r="FC61" i="22" s="1"/>
  <c r="BO63" i="22"/>
  <c r="BQ63" i="22" s="1"/>
  <c r="BG63" i="22"/>
  <c r="BF63" i="22"/>
  <c r="FN62" i="22"/>
  <c r="DH62" i="22"/>
  <c r="FQ63" i="22"/>
  <c r="DJ63" i="22"/>
  <c r="FN61" i="22"/>
  <c r="DB61" i="22"/>
  <c r="FA62" i="22"/>
  <c r="FB62" i="22" s="1"/>
  <c r="FC62" i="22" s="1"/>
  <c r="DT61" i="22"/>
  <c r="BJ58" i="22"/>
  <c r="CU58" i="22" s="1"/>
  <c r="EA59" i="22"/>
  <c r="BP59" i="22"/>
  <c r="BJ60" i="22"/>
  <c r="CU60" i="22" s="1"/>
  <c r="GF60" i="22"/>
  <c r="GH60" i="22" s="1"/>
  <c r="CZ60" i="22" s="1"/>
  <c r="CJ60" i="22"/>
  <c r="BL60" i="22"/>
  <c r="BM60" i="22" s="1"/>
  <c r="CV60" i="22" s="1"/>
  <c r="CK60" i="22"/>
  <c r="BJ59" i="22"/>
  <c r="CU59" i="22" s="1"/>
  <c r="FA60" i="22"/>
  <c r="FB60" i="22" s="1"/>
  <c r="FC60" i="22" s="1"/>
  <c r="FN59" i="22"/>
  <c r="DB59" i="22"/>
  <c r="EO60" i="22"/>
  <c r="EN60" i="22"/>
  <c r="FN60" i="22"/>
  <c r="DB60" i="22"/>
  <c r="BQ58" i="22"/>
  <c r="DT58" i="22"/>
  <c r="BJ57" i="22"/>
  <c r="CU57" i="22" s="1"/>
  <c r="FQ57" i="22"/>
  <c r="DJ57" i="22"/>
  <c r="FN57" i="22"/>
  <c r="DH57" i="22"/>
  <c r="BO59" i="22"/>
  <c r="FA57" i="22"/>
  <c r="FB57" i="22" s="1"/>
  <c r="GF59" i="22"/>
  <c r="GH59" i="22" s="1"/>
  <c r="CZ59" i="22" s="1"/>
  <c r="CK59" i="22"/>
  <c r="CJ59" i="22"/>
  <c r="BL59" i="22"/>
  <c r="BM59" i="22" s="1"/>
  <c r="CV59" i="22" s="1"/>
  <c r="DT59" i="22"/>
  <c r="FA59" i="22"/>
  <c r="FB59" i="22" s="1"/>
  <c r="FC59" i="22" s="1"/>
  <c r="FQ56" i="22"/>
  <c r="DJ56" i="22"/>
  <c r="FP56" i="22"/>
  <c r="DK56" i="22"/>
  <c r="BJ56" i="22"/>
  <c r="CU56" i="22" s="1"/>
  <c r="FN55" i="22"/>
  <c r="DH55" i="22"/>
  <c r="FA55" i="22"/>
  <c r="FB55" i="22" s="1"/>
  <c r="FC55" i="22" s="1"/>
  <c r="EF56" i="22"/>
  <c r="EO56" i="22" s="1"/>
  <c r="S56" i="22"/>
  <c r="FN56" i="22"/>
  <c r="DH56" i="22"/>
  <c r="FA56" i="22"/>
  <c r="FB56" i="22" s="1"/>
  <c r="FC56" i="22" s="1"/>
  <c r="EF55" i="22"/>
  <c r="EO55" i="22" s="1"/>
  <c r="S55" i="22"/>
  <c r="CG55" i="22"/>
  <c r="CI55" i="22" s="1"/>
  <c r="CP55" i="22" s="1"/>
  <c r="CR55" i="22" s="1"/>
  <c r="CW55" i="22" s="1"/>
  <c r="EA55" i="22"/>
  <c r="BP55" i="22"/>
  <c r="BQ55" i="22" s="1"/>
  <c r="BQ56" i="22"/>
  <c r="BJ55" i="22"/>
  <c r="CU55" i="22" s="1"/>
  <c r="FQ53" i="22"/>
  <c r="DJ53" i="22"/>
  <c r="BJ53" i="22"/>
  <c r="CU53" i="22" s="1"/>
  <c r="BJ54" i="22"/>
  <c r="CU54" i="22" s="1"/>
  <c r="EA53" i="22"/>
  <c r="BP53" i="22"/>
  <c r="BQ53" i="22" s="1"/>
  <c r="EK54" i="22"/>
  <c r="CY54" i="22" s="1"/>
  <c r="DT53" i="22"/>
  <c r="BJ48" i="22"/>
  <c r="CU48" i="22" s="1"/>
  <c r="FP52" i="22"/>
  <c r="DE52" i="22"/>
  <c r="FO47" i="22"/>
  <c r="DC47" i="22"/>
  <c r="FQ48" i="22"/>
  <c r="DD48" i="22"/>
  <c r="EA49" i="22"/>
  <c r="BP49" i="22"/>
  <c r="BQ49" i="22" s="1"/>
  <c r="BO48" i="22"/>
  <c r="BQ48" i="22" s="1"/>
  <c r="DE50" i="22"/>
  <c r="FP50" i="22"/>
  <c r="EA47" i="22"/>
  <c r="BP47" i="22"/>
  <c r="BQ47" i="22" s="1"/>
  <c r="BJ52" i="22"/>
  <c r="CU52" i="22" s="1"/>
  <c r="EA51" i="22"/>
  <c r="BP51" i="22"/>
  <c r="DT50" i="22"/>
  <c r="FN47" i="22"/>
  <c r="DB47" i="22"/>
  <c r="CI50" i="22"/>
  <c r="CP50" i="22" s="1"/>
  <c r="CR50" i="22" s="1"/>
  <c r="CW50" i="22" s="1"/>
  <c r="CK47" i="22"/>
  <c r="CL47" i="22" s="1"/>
  <c r="BL47" i="22"/>
  <c r="BM47" i="22" s="1"/>
  <c r="CV47" i="22" s="1"/>
  <c r="GF47" i="22"/>
  <c r="GH47" i="22" s="1"/>
  <c r="CZ47" i="22" s="1"/>
  <c r="FA49" i="22"/>
  <c r="FB49" i="22" s="1"/>
  <c r="FC49" i="22" s="1"/>
  <c r="CK51" i="22"/>
  <c r="CL51" i="22" s="1"/>
  <c r="BL51" i="22"/>
  <c r="BM51" i="22" s="1"/>
  <c r="CV51" i="22" s="1"/>
  <c r="GF51" i="22"/>
  <c r="GH51" i="22" s="1"/>
  <c r="CZ51" i="22" s="1"/>
  <c r="DC49" i="22"/>
  <c r="FO49" i="22"/>
  <c r="BO50" i="22"/>
  <c r="BQ50" i="22" s="1"/>
  <c r="BG50" i="22"/>
  <c r="S47" i="22"/>
  <c r="CG47" i="22"/>
  <c r="CI47" i="22" s="1"/>
  <c r="CP47" i="22" s="1"/>
  <c r="CR47" i="22" s="1"/>
  <c r="CW47" i="22" s="1"/>
  <c r="EF47" i="22"/>
  <c r="EO47" i="22" s="1"/>
  <c r="FA47" i="22"/>
  <c r="FB47" i="22" s="1"/>
  <c r="FC47" i="22" s="1"/>
  <c r="GF49" i="22"/>
  <c r="GH49" i="22" s="1"/>
  <c r="CZ49" i="22" s="1"/>
  <c r="CK49" i="22"/>
  <c r="CL49" i="22" s="1"/>
  <c r="BL49" i="22"/>
  <c r="BM49" i="22" s="1"/>
  <c r="CV49" i="22" s="1"/>
  <c r="S51" i="22"/>
  <c r="EF51" i="22"/>
  <c r="EO51" i="22" s="1"/>
  <c r="CG51" i="22"/>
  <c r="CI51" i="22" s="1"/>
  <c r="CP52" i="22"/>
  <c r="CR52" i="22" s="1"/>
  <c r="CW52" i="22" s="1"/>
  <c r="BJ51" i="22"/>
  <c r="CU51" i="22" s="1"/>
  <c r="DB49" i="22"/>
  <c r="FN49" i="22"/>
  <c r="DT52" i="22"/>
  <c r="FP48" i="22"/>
  <c r="DE48" i="22"/>
  <c r="EF49" i="22"/>
  <c r="EO49" i="22" s="1"/>
  <c r="S49" i="22"/>
  <c r="CG49" i="22"/>
  <c r="CI49" i="22" s="1"/>
  <c r="CP49" i="22" s="1"/>
  <c r="CR49" i="22" s="1"/>
  <c r="CW49" i="22" s="1"/>
  <c r="FN51" i="22"/>
  <c r="DB51" i="22"/>
  <c r="FA51" i="22"/>
  <c r="FB51" i="22" s="1"/>
  <c r="FC51" i="22" s="1"/>
  <c r="EK48" i="22"/>
  <c r="CY48" i="22" s="1"/>
  <c r="DD44" i="22"/>
  <c r="FQ44" i="22"/>
  <c r="DE43" i="22"/>
  <c r="FP43" i="22"/>
  <c r="DE44" i="22"/>
  <c r="FP44" i="22"/>
  <c r="DD43" i="22"/>
  <c r="FQ43" i="22"/>
  <c r="BJ42" i="22"/>
  <c r="CU42" i="22" s="1"/>
  <c r="GF42" i="22"/>
  <c r="GH42" i="22" s="1"/>
  <c r="CZ42" i="22" s="1"/>
  <c r="CK42" i="22"/>
  <c r="CL42" i="22" s="1"/>
  <c r="BL42" i="22"/>
  <c r="BM42" i="22" s="1"/>
  <c r="CV42" i="22" s="1"/>
  <c r="BQ42" i="22"/>
  <c r="FA42" i="22"/>
  <c r="FB42" i="22" s="1"/>
  <c r="FC42" i="22" s="1"/>
  <c r="BP43" i="22"/>
  <c r="EA43" i="22"/>
  <c r="GF46" i="22"/>
  <c r="GH46" i="22" s="1"/>
  <c r="CZ46" i="22" s="1"/>
  <c r="CK46" i="22"/>
  <c r="CL46" i="22" s="1"/>
  <c r="CP46" i="22" s="1"/>
  <c r="CR46" i="22" s="1"/>
  <c r="CW46" i="22" s="1"/>
  <c r="BL46" i="22"/>
  <c r="BM46" i="22" s="1"/>
  <c r="CV46" i="22" s="1"/>
  <c r="EF42" i="22"/>
  <c r="EO42" i="22" s="1"/>
  <c r="S42" i="22"/>
  <c r="FA46" i="22"/>
  <c r="FB46" i="22" s="1"/>
  <c r="FC46" i="22" s="1"/>
  <c r="EF46" i="22"/>
  <c r="EO46" i="22" s="1"/>
  <c r="S46" i="22"/>
  <c r="FN42" i="22"/>
  <c r="DB42" i="22"/>
  <c r="FO45" i="22"/>
  <c r="DC45" i="22"/>
  <c r="FN46" i="22"/>
  <c r="DB46" i="22"/>
  <c r="DT45" i="22"/>
  <c r="BF46" i="22"/>
  <c r="BG46" i="22" s="1"/>
  <c r="BF43" i="22"/>
  <c r="BO43" i="22" s="1"/>
  <c r="FO41" i="22"/>
  <c r="DC41" i="22"/>
  <c r="BF44" i="22"/>
  <c r="BO44" i="22" s="1"/>
  <c r="BQ44" i="22" s="1"/>
  <c r="FP45" i="22"/>
  <c r="DE45" i="22"/>
  <c r="FP41" i="22"/>
  <c r="DE41" i="22"/>
  <c r="EO43" i="22"/>
  <c r="CG42" i="22"/>
  <c r="CI42" i="22" s="1"/>
  <c r="CP42" i="22" s="1"/>
  <c r="CR42" i="22" s="1"/>
  <c r="CW42" i="22" s="1"/>
  <c r="FQ41" i="22"/>
  <c r="DD41" i="22"/>
  <c r="EK41" i="22"/>
  <c r="CY41" i="22" s="1"/>
  <c r="GF30" i="22"/>
  <c r="GH30" i="22" s="1"/>
  <c r="CZ30" i="22" s="1"/>
  <c r="CK30" i="22"/>
  <c r="CL30" i="22" s="1"/>
  <c r="CP30" i="22" s="1"/>
  <c r="CR30" i="22" s="1"/>
  <c r="CW30" i="22" s="1"/>
  <c r="BL30" i="22"/>
  <c r="BM30" i="22" s="1"/>
  <c r="CV30" i="22" s="1"/>
  <c r="FN30" i="22"/>
  <c r="DB30" i="22"/>
  <c r="FN40" i="22"/>
  <c r="DB40" i="22"/>
  <c r="EN40" i="22"/>
  <c r="CI37" i="22"/>
  <c r="BQ39" i="22"/>
  <c r="DV32" i="22"/>
  <c r="DX32" i="22" s="1"/>
  <c r="BO28" i="22"/>
  <c r="BC33" i="22"/>
  <c r="BD33" i="22" s="1"/>
  <c r="AX27" i="22"/>
  <c r="BB27" i="22" s="1"/>
  <c r="EN39" i="22"/>
  <c r="EO39" i="22"/>
  <c r="DT39" i="22" s="1"/>
  <c r="EK39" i="22" s="1"/>
  <c r="CY39" i="22" s="1"/>
  <c r="DW33" i="22"/>
  <c r="ET35" i="22"/>
  <c r="EW35" i="22" s="1"/>
  <c r="EX35" i="22" s="1"/>
  <c r="EZ35" i="22" s="1"/>
  <c r="BB34" i="22"/>
  <c r="FA36" i="22"/>
  <c r="FB36" i="22" s="1"/>
  <c r="FC36" i="22" s="1"/>
  <c r="FN34" i="22"/>
  <c r="DB34" i="22"/>
  <c r="BB31" i="22"/>
  <c r="CP34" i="22"/>
  <c r="CR34" i="22" s="1"/>
  <c r="CW34" i="22" s="1"/>
  <c r="DD34" i="22" s="1"/>
  <c r="CK36" i="22"/>
  <c r="CL36" i="22" s="1"/>
  <c r="CP36" i="22" s="1"/>
  <c r="CR36" i="22" s="1"/>
  <c r="CW36" i="22" s="1"/>
  <c r="GF36" i="22"/>
  <c r="GH36" i="22" s="1"/>
  <c r="CZ36" i="22" s="1"/>
  <c r="BL36" i="22"/>
  <c r="BM36" i="22" s="1"/>
  <c r="CV36" i="22" s="1"/>
  <c r="FP40" i="22"/>
  <c r="DE40" i="22"/>
  <c r="DT40" i="22"/>
  <c r="FQ34" i="22"/>
  <c r="EA35" i="22"/>
  <c r="BP35" i="22"/>
  <c r="BQ35" i="22" s="1"/>
  <c r="EK36" i="22"/>
  <c r="CY36" i="22" s="1"/>
  <c r="BJ40" i="22"/>
  <c r="CU40" i="22" s="1"/>
  <c r="FQ40" i="22"/>
  <c r="DD40" i="22"/>
  <c r="DU34" i="22"/>
  <c r="ET34" i="22"/>
  <c r="EW34" i="22" s="1"/>
  <c r="EX34" i="22" s="1"/>
  <c r="EZ34" i="22" s="1"/>
  <c r="DT37" i="22"/>
  <c r="DE37" i="22"/>
  <c r="FP37" i="22"/>
  <c r="AW37" i="22"/>
  <c r="AX37" i="22" s="1"/>
  <c r="BA36" i="22"/>
  <c r="EB36" i="22" s="1"/>
  <c r="EN38" i="22"/>
  <c r="EO38" i="22"/>
  <c r="AX36" i="22"/>
  <c r="BG36" i="22"/>
  <c r="DB35" i="22"/>
  <c r="FN35" i="22"/>
  <c r="DC35" i="22"/>
  <c r="FO35" i="22"/>
  <c r="EK35" i="22"/>
  <c r="CY35" i="22" s="1"/>
  <c r="BJ37" i="22"/>
  <c r="CU37" i="22" s="1"/>
  <c r="DE34" i="22"/>
  <c r="FP34" i="22"/>
  <c r="DT34" i="22"/>
  <c r="FP38" i="22"/>
  <c r="DE38" i="22"/>
  <c r="FP39" i="22"/>
  <c r="DE39" i="22"/>
  <c r="BJ38" i="22"/>
  <c r="CU38" i="22" s="1"/>
  <c r="BB35" i="22"/>
  <c r="AY35" i="22"/>
  <c r="CL38" i="22"/>
  <c r="CP38" i="22" s="1"/>
  <c r="CR38" i="22" s="1"/>
  <c r="CW38" i="22" s="1"/>
  <c r="CL39" i="22"/>
  <c r="CP39" i="22" s="1"/>
  <c r="CR39" i="22" s="1"/>
  <c r="CW39" i="22" s="1"/>
  <c r="BL35" i="22"/>
  <c r="BM35" i="22" s="1"/>
  <c r="CV35" i="22" s="1"/>
  <c r="GF35" i="22"/>
  <c r="GH35" i="22" s="1"/>
  <c r="CZ35" i="22" s="1"/>
  <c r="CK35" i="22"/>
  <c r="CL35" i="22" s="1"/>
  <c r="CP35" i="22" s="1"/>
  <c r="CR35" i="22" s="1"/>
  <c r="CW35" i="22" s="1"/>
  <c r="BJ39" i="22"/>
  <c r="CU39" i="22" s="1"/>
  <c r="DC34" i="22"/>
  <c r="FO34" i="22"/>
  <c r="FA35" i="22"/>
  <c r="FB35" i="22" s="1"/>
  <c r="FC35" i="22" s="1"/>
  <c r="BC34" i="22"/>
  <c r="BD34" i="22" s="1"/>
  <c r="DU35" i="22"/>
  <c r="DW35" i="22" s="1"/>
  <c r="BO37" i="22"/>
  <c r="BQ37" i="22" s="1"/>
  <c r="CK32" i="22"/>
  <c r="CL32" i="22" s="1"/>
  <c r="CP32" i="22" s="1"/>
  <c r="CR32" i="22" s="1"/>
  <c r="CW32" i="22" s="1"/>
  <c r="GF32" i="22"/>
  <c r="GH32" i="22" s="1"/>
  <c r="CZ32" i="22" s="1"/>
  <c r="BL32" i="22"/>
  <c r="BM32" i="22" s="1"/>
  <c r="CV32" i="22" s="1"/>
  <c r="FO33" i="22"/>
  <c r="DC33" i="22"/>
  <c r="DU29" i="22"/>
  <c r="ET29" i="22"/>
  <c r="EW29" i="22" s="1"/>
  <c r="EX29" i="22" s="1"/>
  <c r="DX33" i="22"/>
  <c r="DY33" i="22" s="1"/>
  <c r="FA31" i="22"/>
  <c r="FB31" i="22" s="1"/>
  <c r="FC31" i="22" s="1"/>
  <c r="BJ31" i="22"/>
  <c r="CU31" i="22" s="1"/>
  <c r="BC31" i="22"/>
  <c r="BD31" i="22" s="1"/>
  <c r="EK30" i="22"/>
  <c r="CY30" i="22" s="1"/>
  <c r="DW30" i="22"/>
  <c r="DV30" i="22"/>
  <c r="FS33" i="22"/>
  <c r="DG33" i="22"/>
  <c r="BJ29" i="22"/>
  <c r="CU29" i="22" s="1"/>
  <c r="BC29" i="22"/>
  <c r="BD29" i="22" s="1"/>
  <c r="FA30" i="22"/>
  <c r="FB30" i="22" s="1"/>
  <c r="FC30" i="22" s="1"/>
  <c r="ET30" i="22"/>
  <c r="EW30" i="22" s="1"/>
  <c r="EX30" i="22" s="1"/>
  <c r="BC32" i="22"/>
  <c r="BD32" i="22" s="1"/>
  <c r="ET33" i="22"/>
  <c r="EW33" i="22" s="1"/>
  <c r="EX33" i="22" s="1"/>
  <c r="BC28" i="22"/>
  <c r="BD28" i="22" s="1"/>
  <c r="BJ28" i="22"/>
  <c r="CU28" i="22" s="1"/>
  <c r="BP31" i="22"/>
  <c r="BQ31" i="22" s="1"/>
  <c r="EA31" i="22"/>
  <c r="ET32" i="22"/>
  <c r="EW32" i="22" s="1"/>
  <c r="EX32" i="22" s="1"/>
  <c r="EK28" i="22"/>
  <c r="CY28" i="22" s="1"/>
  <c r="DW28" i="22"/>
  <c r="DV28" i="22"/>
  <c r="FA33" i="22"/>
  <c r="FB33" i="22" s="1"/>
  <c r="FC33" i="22" s="1"/>
  <c r="BM29" i="22"/>
  <c r="CV29" i="22" s="1"/>
  <c r="CR29" i="22"/>
  <c r="CW29" i="22" s="1"/>
  <c r="FA28" i="22"/>
  <c r="BJ30" i="22"/>
  <c r="CU30" i="22" s="1"/>
  <c r="BC30" i="22"/>
  <c r="BD30" i="22" s="1"/>
  <c r="BQ29" i="22"/>
  <c r="DH29" i="22"/>
  <c r="FN29" i="22"/>
  <c r="BB29" i="22"/>
  <c r="FA32" i="22"/>
  <c r="FB32" i="22" s="1"/>
  <c r="FC32" i="22" s="1"/>
  <c r="GF33" i="22"/>
  <c r="GH33" i="22" s="1"/>
  <c r="CZ33" i="22" s="1"/>
  <c r="CK33" i="22"/>
  <c r="CL33" i="22" s="1"/>
  <c r="CP33" i="22" s="1"/>
  <c r="CR33" i="22" s="1"/>
  <c r="CW33" i="22" s="1"/>
  <c r="BL33" i="22"/>
  <c r="BM33" i="22" s="1"/>
  <c r="CV33" i="22" s="1"/>
  <c r="FN33" i="22"/>
  <c r="DB33" i="22"/>
  <c r="EA32" i="22"/>
  <c r="DY32" i="22"/>
  <c r="BP32" i="22"/>
  <c r="BQ32" i="22" s="1"/>
  <c r="EA28" i="22"/>
  <c r="BP28" i="22"/>
  <c r="FA29" i="22"/>
  <c r="FB29" i="22" s="1"/>
  <c r="FC29" i="22" s="1"/>
  <c r="FN28" i="22"/>
  <c r="DB28" i="22"/>
  <c r="BB33" i="22"/>
  <c r="AY33" i="22"/>
  <c r="EA30" i="22"/>
  <c r="BP30" i="22"/>
  <c r="BQ30" i="22" s="1"/>
  <c r="BB32" i="22"/>
  <c r="AY32" i="22"/>
  <c r="FS29" i="22"/>
  <c r="DM29" i="22"/>
  <c r="DU31" i="22"/>
  <c r="GF28" i="22"/>
  <c r="GH28" i="22" s="1"/>
  <c r="CZ28" i="22" s="1"/>
  <c r="CK28" i="22"/>
  <c r="CL28" i="22" s="1"/>
  <c r="CP28" i="22" s="1"/>
  <c r="CR28" i="22" s="1"/>
  <c r="CW28" i="22" s="1"/>
  <c r="BL28" i="22"/>
  <c r="BM28" i="22" s="1"/>
  <c r="CV28" i="22" s="1"/>
  <c r="DT31" i="22"/>
  <c r="EZ31" i="22"/>
  <c r="EY31" i="22"/>
  <c r="FS32" i="22"/>
  <c r="DG32" i="22"/>
  <c r="FN32" i="22"/>
  <c r="DB32" i="22"/>
  <c r="BC26" i="22"/>
  <c r="BD26" i="22" s="1"/>
  <c r="BJ26" i="22"/>
  <c r="CU26" i="22" s="1"/>
  <c r="BO26" i="22"/>
  <c r="BQ26" i="22" s="1"/>
  <c r="BF27" i="22"/>
  <c r="BG27" i="22" s="1"/>
  <c r="FP26" i="22"/>
  <c r="DE26" i="22"/>
  <c r="FN27" i="22"/>
  <c r="DB27" i="22"/>
  <c r="ET27" i="22"/>
  <c r="EW27" i="22" s="1"/>
  <c r="EX27" i="22" s="1"/>
  <c r="EZ26" i="22"/>
  <c r="DT26" i="22"/>
  <c r="EY26" i="22"/>
  <c r="GF27" i="22"/>
  <c r="GH27" i="22" s="1"/>
  <c r="CZ27" i="22" s="1"/>
  <c r="BL27" i="22"/>
  <c r="CK27" i="22"/>
  <c r="CL27" i="22" s="1"/>
  <c r="CP27" i="22" s="1"/>
  <c r="CR27" i="22" s="1"/>
  <c r="CW27" i="22" s="1"/>
  <c r="FA27" i="22"/>
  <c r="FB27" i="22" s="1"/>
  <c r="FC27" i="22" s="1"/>
  <c r="BM27" i="22"/>
  <c r="CV27" i="22" s="1"/>
  <c r="CP26" i="22"/>
  <c r="CR26" i="22" s="1"/>
  <c r="CW26" i="22" s="1"/>
  <c r="EF27" i="22"/>
  <c r="EO27" i="22" s="1"/>
  <c r="S27" i="22"/>
  <c r="BQ68" i="22" l="1"/>
  <c r="DX109" i="22"/>
  <c r="BJ95" i="22"/>
  <c r="CU95" i="22" s="1"/>
  <c r="DU102" i="22"/>
  <c r="DW102" i="22" s="1"/>
  <c r="ET102" i="22"/>
  <c r="EW102" i="22" s="1"/>
  <c r="EX102" i="22" s="1"/>
  <c r="AW104" i="22"/>
  <c r="BA103" i="22"/>
  <c r="EB103" i="22" s="1"/>
  <c r="AX103" i="22"/>
  <c r="CP37" i="22"/>
  <c r="CR37" i="22" s="1"/>
  <c r="CW37" i="22" s="1"/>
  <c r="DV110" i="22"/>
  <c r="DJ66" i="22"/>
  <c r="FQ66" i="22"/>
  <c r="DD45" i="22"/>
  <c r="FD26" i="22"/>
  <c r="BQ51" i="22"/>
  <c r="EY100" i="22"/>
  <c r="DE73" i="22"/>
  <c r="FP73" i="22"/>
  <c r="DX30" i="22"/>
  <c r="DY30" i="22" s="1"/>
  <c r="DT57" i="22"/>
  <c r="CP51" i="22"/>
  <c r="CR51" i="22" s="1"/>
  <c r="CW51" i="22" s="1"/>
  <c r="FQ115" i="22"/>
  <c r="DJ115" i="22"/>
  <c r="DD73" i="22"/>
  <c r="FQ73" i="22"/>
  <c r="BA115" i="22"/>
  <c r="AX115" i="22"/>
  <c r="FD31" i="22"/>
  <c r="FE31" i="22" s="1"/>
  <c r="AW116" i="22"/>
  <c r="BA114" i="22"/>
  <c r="AX114" i="22"/>
  <c r="FQ78" i="22"/>
  <c r="DJ78" i="22"/>
  <c r="EY28" i="22"/>
  <c r="BC90" i="22"/>
  <c r="BD90" i="22" s="1"/>
  <c r="DI113" i="22"/>
  <c r="FD100" i="22"/>
  <c r="BG43" i="22"/>
  <c r="FQ74" i="22"/>
  <c r="BC102" i="22"/>
  <c r="BD102" i="22" s="1"/>
  <c r="FD96" i="22"/>
  <c r="AY27" i="22"/>
  <c r="DV35" i="22"/>
  <c r="FS116" i="22"/>
  <c r="DM116" i="22"/>
  <c r="FO116" i="22"/>
  <c r="DI116" i="22"/>
  <c r="FS114" i="22"/>
  <c r="DM114" i="22"/>
  <c r="FQ113" i="22"/>
  <c r="DJ113" i="22"/>
  <c r="FQ114" i="22"/>
  <c r="DJ114" i="22"/>
  <c r="DU113" i="22"/>
  <c r="ET113" i="22"/>
  <c r="EW113" i="22" s="1"/>
  <c r="EX113" i="22" s="1"/>
  <c r="FO114" i="22"/>
  <c r="DI114" i="22"/>
  <c r="FS112" i="22"/>
  <c r="DG112" i="22"/>
  <c r="FQ112" i="22"/>
  <c r="DD112" i="22"/>
  <c r="FP112" i="22"/>
  <c r="DE112" i="22"/>
  <c r="EZ112" i="22"/>
  <c r="EY112" i="22"/>
  <c r="BB112" i="22"/>
  <c r="AY112" i="22"/>
  <c r="FS111" i="22"/>
  <c r="DG111" i="22"/>
  <c r="DX111" i="22"/>
  <c r="DY111" i="22" s="1"/>
  <c r="DX112" i="22"/>
  <c r="DY112" i="22" s="1"/>
  <c r="DC112" i="22"/>
  <c r="FO112" i="22"/>
  <c r="EZ109" i="22"/>
  <c r="EY109" i="22"/>
  <c r="DX110" i="22"/>
  <c r="DY110" i="22" s="1"/>
  <c r="FS110" i="22"/>
  <c r="DG110" i="22"/>
  <c r="BC109" i="22"/>
  <c r="BD109" i="22" s="1"/>
  <c r="BJ109" i="22"/>
  <c r="CU109" i="22" s="1"/>
  <c r="FQ109" i="22"/>
  <c r="DD109" i="22"/>
  <c r="EZ110" i="22"/>
  <c r="EY110" i="22"/>
  <c r="FS109" i="22"/>
  <c r="DG109" i="22"/>
  <c r="DY109" i="22"/>
  <c r="FO110" i="22"/>
  <c r="DC110" i="22"/>
  <c r="EK103" i="22"/>
  <c r="CY103" i="22" s="1"/>
  <c r="FO104" i="22"/>
  <c r="DC104" i="22"/>
  <c r="EK104" i="22"/>
  <c r="CY104" i="22" s="1"/>
  <c r="BJ103" i="22"/>
  <c r="CU103" i="22" s="1"/>
  <c r="DT101" i="22"/>
  <c r="EZ101" i="22"/>
  <c r="EY101" i="22"/>
  <c r="CP101" i="22"/>
  <c r="CR101" i="22" s="1"/>
  <c r="CW101" i="22" s="1"/>
  <c r="FQ102" i="22"/>
  <c r="DD102" i="22"/>
  <c r="EK102" i="22"/>
  <c r="CY102" i="22" s="1"/>
  <c r="DV102" i="22"/>
  <c r="FO102" i="22"/>
  <c r="DC102" i="22"/>
  <c r="FP101" i="22"/>
  <c r="DE101" i="22"/>
  <c r="FO100" i="22"/>
  <c r="DI100" i="22"/>
  <c r="DX100" i="22"/>
  <c r="DY100" i="22" s="1"/>
  <c r="FS100" i="22"/>
  <c r="DM100" i="22"/>
  <c r="FE100" i="22"/>
  <c r="EZ99" i="22"/>
  <c r="EY99" i="22"/>
  <c r="FQ100" i="22"/>
  <c r="DJ100" i="22"/>
  <c r="FO99" i="22"/>
  <c r="DC99" i="22"/>
  <c r="DX99" i="22"/>
  <c r="DY99" i="22" s="1"/>
  <c r="FS99" i="22"/>
  <c r="DG99" i="22"/>
  <c r="EZ98" i="22"/>
  <c r="EY98" i="22"/>
  <c r="DX98" i="22"/>
  <c r="DY98" i="22" s="1"/>
  <c r="FQ98" i="22"/>
  <c r="DD98" i="22"/>
  <c r="FP98" i="22"/>
  <c r="DE98" i="22"/>
  <c r="DX97" i="22"/>
  <c r="DY97" i="22" s="1"/>
  <c r="FS98" i="22"/>
  <c r="DG98" i="22"/>
  <c r="FO98" i="22"/>
  <c r="DC98" i="22"/>
  <c r="EZ97" i="22"/>
  <c r="EY97" i="22"/>
  <c r="DI97" i="22"/>
  <c r="FO97" i="22"/>
  <c r="FS97" i="22"/>
  <c r="DM97" i="22"/>
  <c r="CX96" i="22"/>
  <c r="EZ95" i="22"/>
  <c r="EY95" i="22"/>
  <c r="FD95" i="22" s="1"/>
  <c r="FQ96" i="22"/>
  <c r="DD96" i="22"/>
  <c r="FP96" i="22"/>
  <c r="DE96" i="22"/>
  <c r="FS95" i="22"/>
  <c r="DM95" i="22"/>
  <c r="DV95" i="22"/>
  <c r="FQ95" i="22"/>
  <c r="DJ95" i="22"/>
  <c r="DD94" i="22"/>
  <c r="FQ94" i="22"/>
  <c r="FD94" i="22"/>
  <c r="FE94" i="22" s="1"/>
  <c r="DW94" i="22"/>
  <c r="DV94" i="22"/>
  <c r="EK94" i="22"/>
  <c r="CY94" i="22" s="1"/>
  <c r="FE96" i="22"/>
  <c r="DZ96" i="22" s="1"/>
  <c r="DC94" i="22"/>
  <c r="FO94" i="22"/>
  <c r="FO96" i="22"/>
  <c r="DC96" i="22"/>
  <c r="FQ93" i="22"/>
  <c r="DD93" i="22"/>
  <c r="FQ89" i="22"/>
  <c r="DD89" i="22"/>
  <c r="DJ86" i="22"/>
  <c r="FQ86" i="22"/>
  <c r="DT87" i="22"/>
  <c r="EZ87" i="22"/>
  <c r="EY87" i="22"/>
  <c r="FD87" i="22"/>
  <c r="DT90" i="22"/>
  <c r="ET91" i="22"/>
  <c r="EW91" i="22" s="1"/>
  <c r="EX91" i="22" s="1"/>
  <c r="EZ91" i="22" s="1"/>
  <c r="CP92" i="22"/>
  <c r="CR92" i="22" s="1"/>
  <c r="CW92" i="22" s="1"/>
  <c r="DE91" i="22"/>
  <c r="FP91" i="22"/>
  <c r="FP92" i="22"/>
  <c r="DE92" i="22"/>
  <c r="DT92" i="22"/>
  <c r="EZ92" i="22"/>
  <c r="EY92" i="22"/>
  <c r="DC90" i="22"/>
  <c r="FO90" i="22"/>
  <c r="CP91" i="22"/>
  <c r="CR91" i="22" s="1"/>
  <c r="CW91" i="22" s="1"/>
  <c r="DT91" i="22"/>
  <c r="BB90" i="22"/>
  <c r="AY90" i="22"/>
  <c r="AX91" i="22"/>
  <c r="BC91" i="22"/>
  <c r="BD91" i="22" s="1"/>
  <c r="DI87" i="22"/>
  <c r="FO87" i="22"/>
  <c r="DC91" i="22"/>
  <c r="FO91" i="22"/>
  <c r="FP88" i="22"/>
  <c r="DE88" i="22"/>
  <c r="DD90" i="22"/>
  <c r="FQ90" i="22"/>
  <c r="DI86" i="22"/>
  <c r="FO86" i="22"/>
  <c r="DU90" i="22"/>
  <c r="ET90" i="22"/>
  <c r="EW90" i="22" s="1"/>
  <c r="EX90" i="22" s="1"/>
  <c r="EZ90" i="22" s="1"/>
  <c r="CP88" i="22"/>
  <c r="CR88" i="22" s="1"/>
  <c r="CW88" i="22" s="1"/>
  <c r="DE90" i="22"/>
  <c r="FP90" i="22"/>
  <c r="EY86" i="22"/>
  <c r="EK86" i="22"/>
  <c r="CY86" i="22" s="1"/>
  <c r="DW86" i="22"/>
  <c r="DV86" i="22"/>
  <c r="FO89" i="22"/>
  <c r="DC89" i="22"/>
  <c r="DT89" i="22"/>
  <c r="EZ89" i="22"/>
  <c r="EY89" i="22"/>
  <c r="BC88" i="22"/>
  <c r="BD88" i="22" s="1"/>
  <c r="BJ88" i="22"/>
  <c r="CU88" i="22" s="1"/>
  <c r="FO92" i="22"/>
  <c r="DC92" i="22"/>
  <c r="DT88" i="22"/>
  <c r="EZ88" i="22"/>
  <c r="EY88" i="22"/>
  <c r="DT93" i="22"/>
  <c r="EZ93" i="22"/>
  <c r="FD93" i="22" s="1"/>
  <c r="EY93" i="22"/>
  <c r="FP93" i="22"/>
  <c r="DE93" i="22"/>
  <c r="FO93" i="22"/>
  <c r="DC93" i="22"/>
  <c r="DJ87" i="22"/>
  <c r="FQ87" i="22"/>
  <c r="FP89" i="22"/>
  <c r="DE89" i="22"/>
  <c r="CX85" i="22"/>
  <c r="FQ85" i="22"/>
  <c r="DD85" i="22"/>
  <c r="FP85" i="22"/>
  <c r="DE85" i="22"/>
  <c r="FS84" i="22"/>
  <c r="DG84" i="22"/>
  <c r="FP84" i="22"/>
  <c r="DE84" i="22"/>
  <c r="DX84" i="22"/>
  <c r="DY84" i="22" s="1"/>
  <c r="FQ84" i="22"/>
  <c r="DD84" i="22"/>
  <c r="DM83" i="22"/>
  <c r="FS83" i="22"/>
  <c r="EZ84" i="22"/>
  <c r="EY84" i="22"/>
  <c r="FE85" i="22"/>
  <c r="DZ85" i="22" s="1"/>
  <c r="FO83" i="22"/>
  <c r="DI83" i="22"/>
  <c r="DC85" i="22"/>
  <c r="FO85" i="22"/>
  <c r="FQ82" i="22"/>
  <c r="DD82" i="22"/>
  <c r="FC81" i="22"/>
  <c r="FP82" i="22"/>
  <c r="DE82" i="22"/>
  <c r="FO82" i="22"/>
  <c r="DC82" i="22"/>
  <c r="BJ80" i="22"/>
  <c r="CU80" i="22" s="1"/>
  <c r="EK80" i="22"/>
  <c r="CY80" i="22" s="1"/>
  <c r="FP81" i="22"/>
  <c r="DE81" i="22"/>
  <c r="FQ81" i="22"/>
  <c r="DD81" i="22"/>
  <c r="FS82" i="22"/>
  <c r="DG82" i="22"/>
  <c r="FQ79" i="22"/>
  <c r="DD79" i="22"/>
  <c r="FP79" i="22"/>
  <c r="DE79" i="22"/>
  <c r="FS79" i="22"/>
  <c r="DG79" i="22"/>
  <c r="DG77" i="22"/>
  <c r="FS77" i="22"/>
  <c r="DE77" i="22"/>
  <c r="FP77" i="22"/>
  <c r="DD77" i="22"/>
  <c r="FQ77" i="22"/>
  <c r="BJ77" i="22"/>
  <c r="CU77" i="22" s="1"/>
  <c r="FS78" i="22"/>
  <c r="DM78" i="22"/>
  <c r="DG73" i="22"/>
  <c r="FS73" i="22"/>
  <c r="EK74" i="22"/>
  <c r="CY74" i="22" s="1"/>
  <c r="FO75" i="22"/>
  <c r="DI75" i="22"/>
  <c r="FS76" i="22"/>
  <c r="DM76" i="22"/>
  <c r="FS75" i="22"/>
  <c r="DM75" i="22"/>
  <c r="FO76" i="22"/>
  <c r="DI76" i="22"/>
  <c r="BJ69" i="22"/>
  <c r="CU69" i="22" s="1"/>
  <c r="DT69" i="22"/>
  <c r="BG70" i="22"/>
  <c r="FO71" i="22"/>
  <c r="DC71" i="22"/>
  <c r="FQ72" i="22"/>
  <c r="DJ72" i="22"/>
  <c r="CL71" i="22"/>
  <c r="CP71" i="22" s="1"/>
  <c r="CR71" i="22" s="1"/>
  <c r="CW71" i="22" s="1"/>
  <c r="BJ72" i="22"/>
  <c r="CU72" i="22" s="1"/>
  <c r="DT72" i="22"/>
  <c r="BQ69" i="22"/>
  <c r="FP70" i="22"/>
  <c r="DE70" i="22"/>
  <c r="CP70" i="22"/>
  <c r="CR70" i="22" s="1"/>
  <c r="CW70" i="22" s="1"/>
  <c r="DT71" i="22"/>
  <c r="BQ70" i="22"/>
  <c r="DT70" i="22"/>
  <c r="FP71" i="22"/>
  <c r="DE71" i="22"/>
  <c r="FO66" i="22"/>
  <c r="DI66" i="22"/>
  <c r="FQ67" i="22"/>
  <c r="DD67" i="22"/>
  <c r="FS66" i="22"/>
  <c r="DM66" i="22"/>
  <c r="DT67" i="22"/>
  <c r="BJ64" i="22"/>
  <c r="CU64" i="22" s="1"/>
  <c r="FO65" i="22"/>
  <c r="DI65" i="22"/>
  <c r="FS68" i="22"/>
  <c r="DM68" i="22"/>
  <c r="EK64" i="22"/>
  <c r="CY64" i="22" s="1"/>
  <c r="FO68" i="22"/>
  <c r="DI68" i="22"/>
  <c r="BJ67" i="22"/>
  <c r="CU67" i="22" s="1"/>
  <c r="EK65" i="22"/>
  <c r="CY65" i="22" s="1"/>
  <c r="EK61" i="22"/>
  <c r="CY61" i="22" s="1"/>
  <c r="EK63" i="22"/>
  <c r="CY63" i="22" s="1"/>
  <c r="FP61" i="22"/>
  <c r="DE61" i="22"/>
  <c r="FQ62" i="22"/>
  <c r="DJ62" i="22"/>
  <c r="DT62" i="22"/>
  <c r="BJ63" i="22"/>
  <c r="CU63" i="22" s="1"/>
  <c r="CL61" i="22"/>
  <c r="CP61" i="22" s="1"/>
  <c r="CR61" i="22" s="1"/>
  <c r="CW61" i="22" s="1"/>
  <c r="FO62" i="22"/>
  <c r="DI62" i="22"/>
  <c r="FC57" i="22"/>
  <c r="FO59" i="22"/>
  <c r="DC59" i="22"/>
  <c r="DT60" i="22"/>
  <c r="CL60" i="22"/>
  <c r="CP60" i="22" s="1"/>
  <c r="CR60" i="22" s="1"/>
  <c r="CW60" i="22" s="1"/>
  <c r="FP60" i="22"/>
  <c r="DE60" i="22"/>
  <c r="FO57" i="22"/>
  <c r="DI57" i="22"/>
  <c r="FO60" i="22"/>
  <c r="DC60" i="22"/>
  <c r="BQ59" i="22"/>
  <c r="CL59" i="22"/>
  <c r="CP59" i="22" s="1"/>
  <c r="CR59" i="22" s="1"/>
  <c r="CW59" i="22" s="1"/>
  <c r="EK58" i="22"/>
  <c r="CY58" i="22" s="1"/>
  <c r="FO58" i="22"/>
  <c r="DI58" i="22"/>
  <c r="EK59" i="22"/>
  <c r="CY59" i="22" s="1"/>
  <c r="FP59" i="22"/>
  <c r="DE59" i="22"/>
  <c r="DT55" i="22"/>
  <c r="FQ55" i="22"/>
  <c r="DJ55" i="22"/>
  <c r="DT56" i="22"/>
  <c r="FO55" i="22"/>
  <c r="DI55" i="22"/>
  <c r="FO56" i="22"/>
  <c r="DI56" i="22"/>
  <c r="EK53" i="22"/>
  <c r="CY53" i="22" s="1"/>
  <c r="FS54" i="22"/>
  <c r="DM54" i="22"/>
  <c r="FO53" i="22"/>
  <c r="DI53" i="22"/>
  <c r="FO54" i="22"/>
  <c r="DI54" i="22"/>
  <c r="FO51" i="22"/>
  <c r="DC51" i="22"/>
  <c r="FP47" i="22"/>
  <c r="DE47" i="22"/>
  <c r="FS48" i="22"/>
  <c r="DG48" i="22"/>
  <c r="DT51" i="22"/>
  <c r="DD50" i="22"/>
  <c r="FQ50" i="22"/>
  <c r="FQ52" i="22"/>
  <c r="DD52" i="22"/>
  <c r="DD49" i="22"/>
  <c r="FQ49" i="22"/>
  <c r="DE49" i="22"/>
  <c r="FP49" i="22"/>
  <c r="FQ51" i="22"/>
  <c r="DD51" i="22"/>
  <c r="DT49" i="22"/>
  <c r="DT47" i="22"/>
  <c r="FQ47" i="22"/>
  <c r="DD47" i="22"/>
  <c r="BJ50" i="22"/>
  <c r="CU50" i="22" s="1"/>
  <c r="EK50" i="22"/>
  <c r="CY50" i="22" s="1"/>
  <c r="EK52" i="22"/>
  <c r="CY52" i="22" s="1"/>
  <c r="FP51" i="22"/>
  <c r="DE51" i="22"/>
  <c r="FO52" i="22"/>
  <c r="DC52" i="22"/>
  <c r="FO48" i="22"/>
  <c r="DC48" i="22"/>
  <c r="FQ46" i="22"/>
  <c r="DD46" i="22"/>
  <c r="BJ46" i="22"/>
  <c r="CU46" i="22" s="1"/>
  <c r="FP42" i="22"/>
  <c r="DE42" i="22"/>
  <c r="DT46" i="22"/>
  <c r="BG44" i="22"/>
  <c r="FO42" i="22"/>
  <c r="DC42" i="22"/>
  <c r="DT42" i="22"/>
  <c r="FQ42" i="22"/>
  <c r="DD42" i="22"/>
  <c r="BO46" i="22"/>
  <c r="BQ46" i="22" s="1"/>
  <c r="BJ43" i="22"/>
  <c r="CU43" i="22" s="1"/>
  <c r="FP46" i="22"/>
  <c r="DE46" i="22"/>
  <c r="DG41" i="22"/>
  <c r="FS41" i="22"/>
  <c r="EK45" i="22"/>
  <c r="CY45" i="22" s="1"/>
  <c r="EK44" i="22"/>
  <c r="CY44" i="22" s="1"/>
  <c r="BQ43" i="22"/>
  <c r="DT43" i="22"/>
  <c r="DX28" i="22"/>
  <c r="DY28" i="22" s="1"/>
  <c r="CX28" i="22" s="1"/>
  <c r="EY35" i="22"/>
  <c r="FD35" i="22" s="1"/>
  <c r="FE35" i="22" s="1"/>
  <c r="FP36" i="22"/>
  <c r="DE36" i="22"/>
  <c r="DX35" i="22"/>
  <c r="DD36" i="22"/>
  <c r="FQ36" i="22"/>
  <c r="DD30" i="22"/>
  <c r="FQ30" i="22"/>
  <c r="BQ28" i="22"/>
  <c r="FP30" i="22"/>
  <c r="DE30" i="22"/>
  <c r="AY37" i="22"/>
  <c r="FO39" i="22"/>
  <c r="DC39" i="22"/>
  <c r="FQ39" i="22"/>
  <c r="DD39" i="22"/>
  <c r="DE35" i="22"/>
  <c r="FP35" i="22"/>
  <c r="FQ38" i="22"/>
  <c r="DD38" i="22"/>
  <c r="FO40" i="22"/>
  <c r="DC40" i="22"/>
  <c r="DG36" i="22"/>
  <c r="FS36" i="22"/>
  <c r="BJ36" i="22"/>
  <c r="CU36" i="22" s="1"/>
  <c r="BC36" i="22"/>
  <c r="BD36" i="22" s="1"/>
  <c r="FO37" i="22"/>
  <c r="DC37" i="22"/>
  <c r="DT38" i="22"/>
  <c r="DY35" i="22"/>
  <c r="DG35" i="22"/>
  <c r="FS35" i="22"/>
  <c r="DU36" i="22"/>
  <c r="ET36" i="22"/>
  <c r="EW36" i="22" s="1"/>
  <c r="EX36" i="22" s="1"/>
  <c r="BB36" i="22"/>
  <c r="AY36" i="22"/>
  <c r="FO38" i="22"/>
  <c r="DC38" i="22"/>
  <c r="EY34" i="22"/>
  <c r="FS39" i="22"/>
  <c r="DG39" i="22"/>
  <c r="EK40" i="22"/>
  <c r="CY40" i="22" s="1"/>
  <c r="DD35" i="22"/>
  <c r="FQ35" i="22"/>
  <c r="EK34" i="22"/>
  <c r="CY34" i="22" s="1"/>
  <c r="DW34" i="22"/>
  <c r="DV34" i="22"/>
  <c r="EK37" i="22"/>
  <c r="CY37" i="22" s="1"/>
  <c r="BA37" i="22"/>
  <c r="AW38" i="22"/>
  <c r="CX30" i="22"/>
  <c r="CX33" i="22"/>
  <c r="DI29" i="22"/>
  <c r="FO29" i="22"/>
  <c r="EZ30" i="22"/>
  <c r="EY30" i="22"/>
  <c r="FB28" i="22"/>
  <c r="FC28" i="22" s="1"/>
  <c r="FD28" i="22" s="1"/>
  <c r="DC30" i="22"/>
  <c r="FO30" i="22"/>
  <c r="DJ29" i="22"/>
  <c r="FQ29" i="22"/>
  <c r="DG30" i="22"/>
  <c r="FS30" i="22"/>
  <c r="DI31" i="22"/>
  <c r="FO31" i="22"/>
  <c r="EZ32" i="22"/>
  <c r="EY32" i="22"/>
  <c r="FD30" i="22"/>
  <c r="CX32" i="22"/>
  <c r="DW29" i="22"/>
  <c r="DV29" i="22"/>
  <c r="FQ33" i="22"/>
  <c r="DD33" i="22"/>
  <c r="DW31" i="22"/>
  <c r="DV31" i="22"/>
  <c r="EK31" i="22"/>
  <c r="CY31" i="22" s="1"/>
  <c r="FS28" i="22"/>
  <c r="DG28" i="22"/>
  <c r="FP33" i="22"/>
  <c r="DE33" i="22"/>
  <c r="FO28" i="22"/>
  <c r="DC28" i="22"/>
  <c r="FQ28" i="22"/>
  <c r="DD28" i="22"/>
  <c r="EZ29" i="22"/>
  <c r="EY29" i="22"/>
  <c r="FD29" i="22" s="1"/>
  <c r="FP28" i="22"/>
  <c r="DE28" i="22"/>
  <c r="EY33" i="22"/>
  <c r="EZ33" i="22"/>
  <c r="FP32" i="22"/>
  <c r="DE32" i="22"/>
  <c r="FO32" i="22"/>
  <c r="DC32" i="22"/>
  <c r="FQ32" i="22"/>
  <c r="DD32" i="22"/>
  <c r="FQ27" i="22"/>
  <c r="DD27" i="22"/>
  <c r="BC27" i="22"/>
  <c r="BD27" i="22" s="1"/>
  <c r="BJ27" i="22"/>
  <c r="CU27" i="22" s="1"/>
  <c r="FQ26" i="22"/>
  <c r="DD26" i="22"/>
  <c r="FP27" i="22"/>
  <c r="DE27" i="22"/>
  <c r="FE26" i="22"/>
  <c r="DW26" i="22"/>
  <c r="DV26" i="22"/>
  <c r="EK26" i="22"/>
  <c r="CY26" i="22" s="1"/>
  <c r="BO27" i="22"/>
  <c r="BQ27" i="22" s="1"/>
  <c r="DT27" i="22"/>
  <c r="EZ27" i="22"/>
  <c r="EY27" i="22"/>
  <c r="FD27" i="22" s="1"/>
  <c r="FO26" i="22"/>
  <c r="DC26" i="22"/>
  <c r="EK57" i="22" l="1"/>
  <c r="CY57" i="22" s="1"/>
  <c r="BC103" i="22"/>
  <c r="BD103" i="22" s="1"/>
  <c r="FD92" i="22"/>
  <c r="BB114" i="22"/>
  <c r="AY114" i="22"/>
  <c r="EB114" i="22"/>
  <c r="BC114" i="22"/>
  <c r="BD114" i="22" s="1"/>
  <c r="BA116" i="22"/>
  <c r="AX116" i="22"/>
  <c r="DD37" i="22"/>
  <c r="FQ37" i="22"/>
  <c r="BB115" i="22"/>
  <c r="AY115" i="22"/>
  <c r="AY103" i="22"/>
  <c r="BB103" i="22"/>
  <c r="EB115" i="22"/>
  <c r="BC115" i="22"/>
  <c r="BD115" i="22" s="1"/>
  <c r="BA104" i="22"/>
  <c r="AX104" i="22"/>
  <c r="EZ102" i="22"/>
  <c r="EY102" i="22"/>
  <c r="DX102" i="22"/>
  <c r="FO95" i="22"/>
  <c r="DI95" i="22"/>
  <c r="DU103" i="22"/>
  <c r="ET103" i="22"/>
  <c r="EW103" i="22" s="1"/>
  <c r="EX103" i="22" s="1"/>
  <c r="EZ113" i="22"/>
  <c r="EY113" i="22"/>
  <c r="DV113" i="22"/>
  <c r="DW113" i="22"/>
  <c r="CX112" i="22"/>
  <c r="DZ111" i="22"/>
  <c r="CX111" i="22"/>
  <c r="FD112" i="22"/>
  <c r="FE112" i="22" s="1"/>
  <c r="DZ112" i="22" s="1"/>
  <c r="CX110" i="22"/>
  <c r="CX109" i="22"/>
  <c r="FD110" i="22"/>
  <c r="FE110" i="22" s="1"/>
  <c r="DZ110" i="22" s="1"/>
  <c r="FO109" i="22"/>
  <c r="DC109" i="22"/>
  <c r="FD109" i="22"/>
  <c r="FE109" i="22" s="1"/>
  <c r="DZ109" i="22" s="1"/>
  <c r="FO103" i="22"/>
  <c r="DC103" i="22"/>
  <c r="FS104" i="22"/>
  <c r="DG104" i="22"/>
  <c r="FS103" i="22"/>
  <c r="DG103" i="22"/>
  <c r="DY102" i="22"/>
  <c r="FQ101" i="22"/>
  <c r="DD101" i="22"/>
  <c r="FS102" i="22"/>
  <c r="DG102" i="22"/>
  <c r="FD101" i="22"/>
  <c r="FE101" i="22" s="1"/>
  <c r="DW101" i="22"/>
  <c r="DV101" i="22"/>
  <c r="EK101" i="22"/>
  <c r="CY101" i="22" s="1"/>
  <c r="CX99" i="22"/>
  <c r="DZ100" i="22"/>
  <c r="CX100" i="22"/>
  <c r="FD99" i="22"/>
  <c r="FE99" i="22" s="1"/>
  <c r="DZ99" i="22" s="1"/>
  <c r="CX97" i="22"/>
  <c r="CX98" i="22"/>
  <c r="FD98" i="22"/>
  <c r="FE98" i="22" s="1"/>
  <c r="DZ98" i="22" s="1"/>
  <c r="FD97" i="22"/>
  <c r="FE97" i="22" s="1"/>
  <c r="DZ97" i="22" s="1"/>
  <c r="DG94" i="22"/>
  <c r="FS94" i="22"/>
  <c r="DX94" i="22"/>
  <c r="DY94" i="22" s="1"/>
  <c r="DX95" i="22"/>
  <c r="DY95" i="22" s="1"/>
  <c r="FE95" i="22"/>
  <c r="FR96" i="22"/>
  <c r="FT96" i="22" s="1"/>
  <c r="DF96" i="22"/>
  <c r="AK96" i="22"/>
  <c r="DW88" i="22"/>
  <c r="DV88" i="22"/>
  <c r="EK88" i="22"/>
  <c r="CY88" i="22" s="1"/>
  <c r="FD88" i="22"/>
  <c r="FE88" i="22" s="1"/>
  <c r="EK93" i="22"/>
  <c r="CY93" i="22" s="1"/>
  <c r="DW93" i="22"/>
  <c r="DV93" i="22"/>
  <c r="FQ92" i="22"/>
  <c r="DD92" i="22"/>
  <c r="FQ88" i="22"/>
  <c r="DD88" i="22"/>
  <c r="FO88" i="22"/>
  <c r="DC88" i="22"/>
  <c r="DW92" i="22"/>
  <c r="DV92" i="22"/>
  <c r="EK92" i="22"/>
  <c r="CY92" i="22" s="1"/>
  <c r="EY90" i="22"/>
  <c r="EK90" i="22"/>
  <c r="CY90" i="22" s="1"/>
  <c r="DW90" i="22"/>
  <c r="DV90" i="22"/>
  <c r="DX90" i="22" s="1"/>
  <c r="FD89" i="22"/>
  <c r="FE89" i="22" s="1"/>
  <c r="BB91" i="22"/>
  <c r="AY91" i="22"/>
  <c r="FE87" i="22"/>
  <c r="EK87" i="22"/>
  <c r="CY87" i="22" s="1"/>
  <c r="DW87" i="22"/>
  <c r="DV87" i="22"/>
  <c r="FE92" i="22"/>
  <c r="EY91" i="22"/>
  <c r="DX86" i="22"/>
  <c r="DY86" i="22" s="1"/>
  <c r="FS86" i="22"/>
  <c r="DM86" i="22"/>
  <c r="EK91" i="22"/>
  <c r="CY91" i="22" s="1"/>
  <c r="DW91" i="22"/>
  <c r="DV91" i="22"/>
  <c r="FD86" i="22"/>
  <c r="FE86" i="22" s="1"/>
  <c r="DD91" i="22"/>
  <c r="FQ91" i="22"/>
  <c r="EK89" i="22"/>
  <c r="CY89" i="22" s="1"/>
  <c r="DW89" i="22"/>
  <c r="DV89" i="22"/>
  <c r="FE93" i="22"/>
  <c r="CX84" i="22"/>
  <c r="FR85" i="22"/>
  <c r="FT85" i="22" s="1"/>
  <c r="DF85" i="22"/>
  <c r="AK85" i="22"/>
  <c r="FD84" i="22"/>
  <c r="FE84" i="22" s="1"/>
  <c r="DZ84" i="22" s="1"/>
  <c r="DM80" i="22"/>
  <c r="FS80" i="22"/>
  <c r="FO80" i="22"/>
  <c r="DI80" i="22"/>
  <c r="DC77" i="22"/>
  <c r="FO77" i="22"/>
  <c r="DG74" i="22"/>
  <c r="FS74" i="22"/>
  <c r="EK72" i="22"/>
  <c r="CY72" i="22" s="1"/>
  <c r="FO72" i="22"/>
  <c r="DI72" i="22"/>
  <c r="FQ71" i="22"/>
  <c r="DD71" i="22"/>
  <c r="BJ70" i="22"/>
  <c r="CU70" i="22" s="1"/>
  <c r="FQ70" i="22"/>
  <c r="DD70" i="22"/>
  <c r="EK69" i="22"/>
  <c r="CY69" i="22" s="1"/>
  <c r="EK71" i="22"/>
  <c r="CY71" i="22" s="1"/>
  <c r="FO69" i="22"/>
  <c r="DI69" i="22"/>
  <c r="EK70" i="22"/>
  <c r="CY70" i="22" s="1"/>
  <c r="FO64" i="22"/>
  <c r="DC64" i="22"/>
  <c r="EK67" i="22"/>
  <c r="CY67" i="22" s="1"/>
  <c r="DM65" i="22"/>
  <c r="FS65" i="22"/>
  <c r="FO67" i="22"/>
  <c r="DC67" i="22"/>
  <c r="DG64" i="22"/>
  <c r="FS64" i="22"/>
  <c r="EK62" i="22"/>
  <c r="CY62" i="22" s="1"/>
  <c r="FQ61" i="22"/>
  <c r="DD61" i="22"/>
  <c r="FO63" i="22"/>
  <c r="DI63" i="22"/>
  <c r="FS63" i="22"/>
  <c r="DM63" i="22"/>
  <c r="FS61" i="22"/>
  <c r="DG61" i="22"/>
  <c r="FQ59" i="22"/>
  <c r="DD59" i="22"/>
  <c r="FQ60" i="22"/>
  <c r="DD60" i="22"/>
  <c r="EK60" i="22"/>
  <c r="CY60" i="22" s="1"/>
  <c r="FS58" i="22"/>
  <c r="DM58" i="22"/>
  <c r="FS59" i="22"/>
  <c r="DG59" i="22"/>
  <c r="EK56" i="22"/>
  <c r="CY56" i="22" s="1"/>
  <c r="EK55" i="22"/>
  <c r="CY55" i="22" s="1"/>
  <c r="DM53" i="22"/>
  <c r="FS53" i="22"/>
  <c r="EK49" i="22"/>
  <c r="CY49" i="22" s="1"/>
  <c r="FS52" i="22"/>
  <c r="DG52" i="22"/>
  <c r="DG50" i="22"/>
  <c r="FS50" i="22"/>
  <c r="DC50" i="22"/>
  <c r="FO50" i="22"/>
  <c r="EK51" i="22"/>
  <c r="CY51" i="22" s="1"/>
  <c r="EK47" i="22"/>
  <c r="CY47" i="22" s="1"/>
  <c r="EK43" i="22"/>
  <c r="CY43" i="22" s="1"/>
  <c r="EK46" i="22"/>
  <c r="CY46" i="22" s="1"/>
  <c r="DG45" i="22"/>
  <c r="FS45" i="22"/>
  <c r="DC43" i="22"/>
  <c r="FO43" i="22"/>
  <c r="BJ44" i="22"/>
  <c r="CU44" i="22" s="1"/>
  <c r="FO46" i="22"/>
  <c r="DC46" i="22"/>
  <c r="DG44" i="22"/>
  <c r="FS44" i="22"/>
  <c r="EK42" i="22"/>
  <c r="CY42" i="22" s="1"/>
  <c r="FD33" i="22"/>
  <c r="DG37" i="22"/>
  <c r="FS37" i="22"/>
  <c r="DC36" i="22"/>
  <c r="FO36" i="22"/>
  <c r="FS34" i="22"/>
  <c r="DG34" i="22"/>
  <c r="CX35" i="22"/>
  <c r="DZ35" i="22"/>
  <c r="FS40" i="22"/>
  <c r="DG40" i="22"/>
  <c r="EK38" i="22"/>
  <c r="CY38" i="22" s="1"/>
  <c r="BA38" i="22"/>
  <c r="AW39" i="22"/>
  <c r="AX38" i="22"/>
  <c r="EZ36" i="22"/>
  <c r="EY36" i="22"/>
  <c r="DX34" i="22"/>
  <c r="DY34" i="22" s="1"/>
  <c r="EB37" i="22"/>
  <c r="BC37" i="22"/>
  <c r="BD37" i="22" s="1"/>
  <c r="DW36" i="22"/>
  <c r="DV36" i="22"/>
  <c r="FD34" i="22"/>
  <c r="FE34" i="22" s="1"/>
  <c r="BB37" i="22"/>
  <c r="FE30" i="22"/>
  <c r="DZ30" i="22" s="1"/>
  <c r="FE28" i="22"/>
  <c r="DZ28" i="22" s="1"/>
  <c r="FR33" i="22"/>
  <c r="FT33" i="22" s="1"/>
  <c r="DF33" i="22"/>
  <c r="AK33" i="22"/>
  <c r="FD32" i="22"/>
  <c r="FE32" i="22" s="1"/>
  <c r="DZ32" i="22" s="1"/>
  <c r="DM31" i="22"/>
  <c r="FS31" i="22"/>
  <c r="FR28" i="22"/>
  <c r="FT28" i="22" s="1"/>
  <c r="AK28" i="22"/>
  <c r="DF28" i="22"/>
  <c r="DX29" i="22"/>
  <c r="DY29" i="22" s="1"/>
  <c r="FE33" i="22"/>
  <c r="DZ33" i="22" s="1"/>
  <c r="FE29" i="22"/>
  <c r="DX31" i="22"/>
  <c r="DY31" i="22" s="1"/>
  <c r="FR32" i="22"/>
  <c r="FT32" i="22" s="1"/>
  <c r="DF32" i="22"/>
  <c r="AK32" i="22"/>
  <c r="DF30" i="22"/>
  <c r="AK30" i="22"/>
  <c r="FR30" i="22"/>
  <c r="FT30" i="22" s="1"/>
  <c r="FE27" i="22"/>
  <c r="DG26" i="22"/>
  <c r="FS26" i="22"/>
  <c r="DX26" i="22"/>
  <c r="DY26" i="22" s="1"/>
  <c r="FO27" i="22"/>
  <c r="DC27" i="22"/>
  <c r="EK27" i="22"/>
  <c r="CY27" i="22" s="1"/>
  <c r="DW27" i="22"/>
  <c r="DV27" i="22"/>
  <c r="FD102" i="22" l="1"/>
  <c r="FE102" i="22" s="1"/>
  <c r="BB104" i="22"/>
  <c r="AY104" i="22"/>
  <c r="EB104" i="22"/>
  <c r="BC104" i="22"/>
  <c r="BD104" i="22" s="1"/>
  <c r="ET115" i="22"/>
  <c r="EW115" i="22" s="1"/>
  <c r="EX115" i="22" s="1"/>
  <c r="DU115" i="22"/>
  <c r="BB116" i="22"/>
  <c r="AY116" i="22"/>
  <c r="EB116" i="22"/>
  <c r="BC116" i="22"/>
  <c r="BD116" i="22" s="1"/>
  <c r="DU114" i="22"/>
  <c r="ET114" i="22"/>
  <c r="EW114" i="22" s="1"/>
  <c r="EX114" i="22" s="1"/>
  <c r="EZ103" i="22"/>
  <c r="EY103" i="22"/>
  <c r="FD103" i="22" s="1"/>
  <c r="FE103" i="22" s="1"/>
  <c r="DW103" i="22"/>
  <c r="DV103" i="22"/>
  <c r="DM57" i="22"/>
  <c r="FS57" i="22"/>
  <c r="DX113" i="22"/>
  <c r="DY113" i="22" s="1"/>
  <c r="FD113" i="22"/>
  <c r="FE113" i="22" s="1"/>
  <c r="FR111" i="22"/>
  <c r="FT111" i="22" s="1"/>
  <c r="DF111" i="22"/>
  <c r="AK111" i="22"/>
  <c r="FR112" i="22"/>
  <c r="FT112" i="22" s="1"/>
  <c r="DF112" i="22"/>
  <c r="AK112" i="22"/>
  <c r="FR109" i="22"/>
  <c r="FT109" i="22" s="1"/>
  <c r="DF109" i="22"/>
  <c r="AK109" i="22"/>
  <c r="FR110" i="22"/>
  <c r="FT110" i="22" s="1"/>
  <c r="DF110" i="22"/>
  <c r="AK110" i="22"/>
  <c r="DG101" i="22"/>
  <c r="FS101" i="22"/>
  <c r="DX101" i="22"/>
  <c r="DY101" i="22" s="1"/>
  <c r="DZ102" i="22"/>
  <c r="CX102" i="22"/>
  <c r="FR100" i="22"/>
  <c r="FT100" i="22" s="1"/>
  <c r="DL100" i="22"/>
  <c r="AK100" i="22"/>
  <c r="FR99" i="22"/>
  <c r="FT99" i="22" s="1"/>
  <c r="DF99" i="22"/>
  <c r="AK99" i="22"/>
  <c r="FR98" i="22"/>
  <c r="FT98" i="22" s="1"/>
  <c r="DF98" i="22"/>
  <c r="AK98" i="22"/>
  <c r="FR97" i="22"/>
  <c r="FT97" i="22" s="1"/>
  <c r="DL97" i="22"/>
  <c r="AK97" i="22"/>
  <c r="DZ95" i="22"/>
  <c r="CX95" i="22"/>
  <c r="DZ94" i="22"/>
  <c r="CX94" i="22"/>
  <c r="CX86" i="22"/>
  <c r="DZ86" i="22"/>
  <c r="FD90" i="22"/>
  <c r="FE90" i="22" s="1"/>
  <c r="DG92" i="22"/>
  <c r="FS92" i="22"/>
  <c r="DX91" i="22"/>
  <c r="DY91" i="22" s="1"/>
  <c r="DG91" i="22"/>
  <c r="FS91" i="22"/>
  <c r="DX92" i="22"/>
  <c r="DY92" i="22" s="1"/>
  <c r="FD91" i="22"/>
  <c r="FE91" i="22" s="1"/>
  <c r="DX87" i="22"/>
  <c r="DY87" i="22" s="1"/>
  <c r="DM87" i="22"/>
  <c r="FS87" i="22"/>
  <c r="DX93" i="22"/>
  <c r="DY93" i="22" s="1"/>
  <c r="FS93" i="22"/>
  <c r="DG93" i="22"/>
  <c r="DG88" i="22"/>
  <c r="FS88" i="22"/>
  <c r="FS90" i="22"/>
  <c r="DG90" i="22"/>
  <c r="DX89" i="22"/>
  <c r="DY89" i="22" s="1"/>
  <c r="DY90" i="22"/>
  <c r="DX88" i="22"/>
  <c r="DY88" i="22" s="1"/>
  <c r="FS89" i="22"/>
  <c r="DG89" i="22"/>
  <c r="FR84" i="22"/>
  <c r="FT84" i="22" s="1"/>
  <c r="AK84" i="22"/>
  <c r="DF84" i="22"/>
  <c r="FS71" i="22"/>
  <c r="DG71" i="22"/>
  <c r="FS69" i="22"/>
  <c r="DM69" i="22"/>
  <c r="FO70" i="22"/>
  <c r="DC70" i="22"/>
  <c r="FS70" i="22"/>
  <c r="DG70" i="22"/>
  <c r="FS72" i="22"/>
  <c r="DM72" i="22"/>
  <c r="FS67" i="22"/>
  <c r="DG67" i="22"/>
  <c r="FS62" i="22"/>
  <c r="DM62" i="22"/>
  <c r="FS60" i="22"/>
  <c r="DG60" i="22"/>
  <c r="DM55" i="22"/>
  <c r="FS55" i="22"/>
  <c r="FS56" i="22"/>
  <c r="DM56" i="22"/>
  <c r="DG51" i="22"/>
  <c r="FS51" i="22"/>
  <c r="DG47" i="22"/>
  <c r="FS47" i="22"/>
  <c r="DG49" i="22"/>
  <c r="FS49" i="22"/>
  <c r="DC44" i="22"/>
  <c r="FO44" i="22"/>
  <c r="FS46" i="22"/>
  <c r="DG46" i="22"/>
  <c r="FS42" i="22"/>
  <c r="DG42" i="22"/>
  <c r="DG43" i="22"/>
  <c r="FS43" i="22"/>
  <c r="DZ34" i="22"/>
  <c r="CX34" i="22"/>
  <c r="DU37" i="22"/>
  <c r="ET37" i="22"/>
  <c r="EW37" i="22" s="1"/>
  <c r="EX37" i="22" s="1"/>
  <c r="FD36" i="22"/>
  <c r="FE36" i="22" s="1"/>
  <c r="BB38" i="22"/>
  <c r="AY38" i="22"/>
  <c r="AW40" i="22"/>
  <c r="AW41" i="22" s="1"/>
  <c r="BA39" i="22"/>
  <c r="AX39" i="22"/>
  <c r="EB38" i="22"/>
  <c r="BC38" i="22"/>
  <c r="BD38" i="22" s="1"/>
  <c r="DG38" i="22"/>
  <c r="FS38" i="22"/>
  <c r="DF35" i="22"/>
  <c r="AK35" i="22"/>
  <c r="FR35" i="22"/>
  <c r="FT35" i="22" s="1"/>
  <c r="DX36" i="22"/>
  <c r="DY36" i="22" s="1"/>
  <c r="CX31" i="22"/>
  <c r="DZ31" i="22"/>
  <c r="CX29" i="22"/>
  <c r="DZ29" i="22"/>
  <c r="DZ26" i="22"/>
  <c r="CX26" i="22"/>
  <c r="DX27" i="22"/>
  <c r="DY27" i="22" s="1"/>
  <c r="FS27" i="22"/>
  <c r="DG27" i="22"/>
  <c r="DX103" i="22" l="1"/>
  <c r="DY103" i="22" s="1"/>
  <c r="EZ114" i="22"/>
  <c r="EY114" i="22"/>
  <c r="FD114" i="22" s="1"/>
  <c r="FE114" i="22" s="1"/>
  <c r="DV114" i="22"/>
  <c r="DW114" i="22"/>
  <c r="DU116" i="22"/>
  <c r="ET116" i="22"/>
  <c r="EW116" i="22" s="1"/>
  <c r="EX116" i="22" s="1"/>
  <c r="AW42" i="22"/>
  <c r="BA41" i="22"/>
  <c r="AX41" i="22"/>
  <c r="DW115" i="22"/>
  <c r="DV115" i="22"/>
  <c r="DX115" i="22" s="1"/>
  <c r="DY115" i="22" s="1"/>
  <c r="EZ115" i="22"/>
  <c r="EY115" i="22"/>
  <c r="FD115" i="22" s="1"/>
  <c r="FE115" i="22" s="1"/>
  <c r="DU104" i="22"/>
  <c r="ET104" i="22"/>
  <c r="EW104" i="22" s="1"/>
  <c r="EX104" i="22" s="1"/>
  <c r="DZ113" i="22"/>
  <c r="CX113" i="22"/>
  <c r="DZ101" i="22"/>
  <c r="CX101" i="22"/>
  <c r="FR102" i="22"/>
  <c r="FT102" i="22" s="1"/>
  <c r="DF102" i="22"/>
  <c r="AK102" i="22"/>
  <c r="DF94" i="22"/>
  <c r="AK94" i="22"/>
  <c r="FR94" i="22"/>
  <c r="FT94" i="22" s="1"/>
  <c r="FR95" i="22"/>
  <c r="FT95" i="22" s="1"/>
  <c r="DL95" i="22"/>
  <c r="AK95" i="22"/>
  <c r="DZ88" i="22"/>
  <c r="CX88" i="22"/>
  <c r="CX89" i="22"/>
  <c r="DZ89" i="22"/>
  <c r="DZ93" i="22"/>
  <c r="CX93" i="22"/>
  <c r="CX87" i="22"/>
  <c r="DZ87" i="22"/>
  <c r="DZ92" i="22"/>
  <c r="CX92" i="22"/>
  <c r="CX91" i="22"/>
  <c r="DZ91" i="22"/>
  <c r="CX90" i="22"/>
  <c r="DZ90" i="22"/>
  <c r="DL86" i="22"/>
  <c r="AK86" i="22"/>
  <c r="FR86" i="22"/>
  <c r="FT86" i="22" s="1"/>
  <c r="DZ36" i="22"/>
  <c r="CX36" i="22"/>
  <c r="DU38" i="22"/>
  <c r="ET38" i="22"/>
  <c r="EW38" i="22" s="1"/>
  <c r="EX38" i="22" s="1"/>
  <c r="AY39" i="22"/>
  <c r="BB39" i="22"/>
  <c r="EB39" i="22"/>
  <c r="BC39" i="22"/>
  <c r="BD39" i="22" s="1"/>
  <c r="BA40" i="22"/>
  <c r="AX40" i="22"/>
  <c r="EY37" i="22"/>
  <c r="EZ37" i="22"/>
  <c r="DW37" i="22"/>
  <c r="DV37" i="22"/>
  <c r="FR34" i="22"/>
  <c r="FT34" i="22" s="1"/>
  <c r="DF34" i="22"/>
  <c r="AK34" i="22"/>
  <c r="DL29" i="22"/>
  <c r="FR29" i="22"/>
  <c r="FT29" i="22" s="1"/>
  <c r="AK29" i="22"/>
  <c r="DL31" i="22"/>
  <c r="AK31" i="22"/>
  <c r="FR31" i="22"/>
  <c r="FT31" i="22" s="1"/>
  <c r="DZ27" i="22"/>
  <c r="CX27" i="22"/>
  <c r="FR26" i="22"/>
  <c r="FT26" i="22" s="1"/>
  <c r="DF26" i="22"/>
  <c r="AK26" i="22"/>
  <c r="DZ103" i="22" l="1"/>
  <c r="CX103" i="22"/>
  <c r="EZ104" i="22"/>
  <c r="EY104" i="22"/>
  <c r="DW104" i="22"/>
  <c r="DV104" i="22"/>
  <c r="DZ115" i="22"/>
  <c r="CX115" i="22"/>
  <c r="BB41" i="22"/>
  <c r="AY41" i="22"/>
  <c r="EB41" i="22"/>
  <c r="BC41" i="22"/>
  <c r="BD41" i="22" s="1"/>
  <c r="AW43" i="22"/>
  <c r="BA42" i="22"/>
  <c r="AX42" i="22"/>
  <c r="EZ116" i="22"/>
  <c r="EY116" i="22"/>
  <c r="DW116" i="22"/>
  <c r="DV116" i="22"/>
  <c r="DX116" i="22" s="1"/>
  <c r="DY116" i="22" s="1"/>
  <c r="DX114" i="22"/>
  <c r="DY114" i="22" s="1"/>
  <c r="FR113" i="22"/>
  <c r="FT113" i="22" s="1"/>
  <c r="DL113" i="22"/>
  <c r="AK113" i="22"/>
  <c r="FR101" i="22"/>
  <c r="FT101" i="22" s="1"/>
  <c r="DF101" i="22"/>
  <c r="AK101" i="22"/>
  <c r="DF90" i="22"/>
  <c r="AK90" i="22"/>
  <c r="FR90" i="22"/>
  <c r="FT90" i="22" s="1"/>
  <c r="DF91" i="22"/>
  <c r="AK91" i="22"/>
  <c r="FR91" i="22"/>
  <c r="FT91" i="22" s="1"/>
  <c r="FR92" i="22"/>
  <c r="FT92" i="22" s="1"/>
  <c r="AK92" i="22"/>
  <c r="DF92" i="22"/>
  <c r="DL87" i="22"/>
  <c r="AK87" i="22"/>
  <c r="FR87" i="22"/>
  <c r="FT87" i="22" s="1"/>
  <c r="FR93" i="22"/>
  <c r="FT93" i="22" s="1"/>
  <c r="DF93" i="22"/>
  <c r="AK93" i="22"/>
  <c r="FR89" i="22"/>
  <c r="FT89" i="22" s="1"/>
  <c r="DF89" i="22"/>
  <c r="AK89" i="22"/>
  <c r="DF88" i="22"/>
  <c r="AK88" i="22"/>
  <c r="FR88" i="22"/>
  <c r="FT88" i="22" s="1"/>
  <c r="DX37" i="22"/>
  <c r="DY37" i="22" s="1"/>
  <c r="FD37" i="22"/>
  <c r="FE37" i="22" s="1"/>
  <c r="BB40" i="22"/>
  <c r="AY40" i="22"/>
  <c r="EB40" i="22"/>
  <c r="BC40" i="22"/>
  <c r="BD40" i="22" s="1"/>
  <c r="DU39" i="22"/>
  <c r="ET39" i="22"/>
  <c r="EW39" i="22" s="1"/>
  <c r="EX39" i="22" s="1"/>
  <c r="EY38" i="22"/>
  <c r="EZ38" i="22"/>
  <c r="DW38" i="22"/>
  <c r="DV38" i="22"/>
  <c r="AK36" i="22"/>
  <c r="DF36" i="22"/>
  <c r="FR36" i="22"/>
  <c r="FT36" i="22" s="1"/>
  <c r="FR27" i="22"/>
  <c r="FT27" i="22" s="1"/>
  <c r="DF27" i="22"/>
  <c r="AK27" i="22"/>
  <c r="CX114" i="22" l="1"/>
  <c r="DZ114" i="22"/>
  <c r="CX116" i="22"/>
  <c r="FD116" i="22"/>
  <c r="FE116" i="22"/>
  <c r="DZ116" i="22" s="1"/>
  <c r="BB42" i="22"/>
  <c r="AY42" i="22"/>
  <c r="EB42" i="22"/>
  <c r="BC42" i="22"/>
  <c r="BD42" i="22" s="1"/>
  <c r="BA43" i="22"/>
  <c r="AW44" i="22"/>
  <c r="AX43" i="22"/>
  <c r="DU41" i="22"/>
  <c r="ET41" i="22"/>
  <c r="EW41" i="22" s="1"/>
  <c r="EX41" i="22" s="1"/>
  <c r="FR115" i="22"/>
  <c r="FT115" i="22" s="1"/>
  <c r="DL115" i="22"/>
  <c r="AK115" i="22"/>
  <c r="DX104" i="22"/>
  <c r="DY104" i="22" s="1"/>
  <c r="FD104" i="22"/>
  <c r="FE104" i="22"/>
  <c r="AK103" i="22"/>
  <c r="DF103" i="22"/>
  <c r="FR103" i="22"/>
  <c r="FT103" i="22" s="1"/>
  <c r="DZ37" i="22"/>
  <c r="CX37" i="22"/>
  <c r="DX38" i="22"/>
  <c r="DY38" i="22" s="1"/>
  <c r="FD38" i="22"/>
  <c r="FE38" i="22" s="1"/>
  <c r="EZ39" i="22"/>
  <c r="EY39" i="22"/>
  <c r="DV39" i="22"/>
  <c r="DW39" i="22"/>
  <c r="DU40" i="22"/>
  <c r="ET40" i="22"/>
  <c r="EW40" i="22" s="1"/>
  <c r="EX40" i="22" s="1"/>
  <c r="DZ104" i="22" l="1"/>
  <c r="CX104" i="22"/>
  <c r="EZ41" i="22"/>
  <c r="EY41" i="22"/>
  <c r="FD41" i="22" s="1"/>
  <c r="FE41" i="22" s="1"/>
  <c r="DW41" i="22"/>
  <c r="DV41" i="22"/>
  <c r="BB43" i="22"/>
  <c r="AY43" i="22"/>
  <c r="AX44" i="22"/>
  <c r="BA44" i="22"/>
  <c r="AW45" i="22"/>
  <c r="EB43" i="22"/>
  <c r="BC43" i="22"/>
  <c r="BD43" i="22" s="1"/>
  <c r="DU42" i="22"/>
  <c r="ET42" i="22"/>
  <c r="EW42" i="22" s="1"/>
  <c r="EX42" i="22" s="1"/>
  <c r="FR116" i="22"/>
  <c r="FT116" i="22" s="1"/>
  <c r="DL116" i="22"/>
  <c r="AK116" i="22"/>
  <c r="FR114" i="22"/>
  <c r="FT114" i="22" s="1"/>
  <c r="DL114" i="22"/>
  <c r="AK114" i="22"/>
  <c r="DZ38" i="22"/>
  <c r="CX38" i="22"/>
  <c r="EZ40" i="22"/>
  <c r="EY40" i="22"/>
  <c r="DW40" i="22"/>
  <c r="DV40" i="22"/>
  <c r="DX39" i="22"/>
  <c r="DY39" i="22" s="1"/>
  <c r="FD39" i="22"/>
  <c r="FE39" i="22" s="1"/>
  <c r="DF37" i="22"/>
  <c r="AK37" i="22"/>
  <c r="FR37" i="22"/>
  <c r="FT37" i="22" s="1"/>
  <c r="EY42" i="22" l="1"/>
  <c r="EZ42" i="22"/>
  <c r="DW42" i="22"/>
  <c r="DV42" i="22"/>
  <c r="DU43" i="22"/>
  <c r="ET43" i="22"/>
  <c r="EW43" i="22" s="1"/>
  <c r="EX43" i="22" s="1"/>
  <c r="BA45" i="22"/>
  <c r="AW46" i="22"/>
  <c r="AX45" i="22"/>
  <c r="EB44" i="22"/>
  <c r="BC44" i="22"/>
  <c r="BD44" i="22" s="1"/>
  <c r="BB44" i="22"/>
  <c r="AY44" i="22"/>
  <c r="DX41" i="22"/>
  <c r="DY41" i="22" s="1"/>
  <c r="FR104" i="22"/>
  <c r="FT104" i="22" s="1"/>
  <c r="DF104" i="22"/>
  <c r="AK104" i="22"/>
  <c r="DZ39" i="22"/>
  <c r="CX39" i="22"/>
  <c r="DX40" i="22"/>
  <c r="DY40" i="22" s="1"/>
  <c r="FD40" i="22"/>
  <c r="FE40" i="22" s="1"/>
  <c r="FR38" i="22"/>
  <c r="FT38" i="22" s="1"/>
  <c r="DF38" i="22"/>
  <c r="AK38" i="22"/>
  <c r="DZ41" i="22" l="1"/>
  <c r="CX41" i="22"/>
  <c r="DU44" i="22"/>
  <c r="ET44" i="22"/>
  <c r="EW44" i="22" s="1"/>
  <c r="EX44" i="22" s="1"/>
  <c r="BB45" i="22"/>
  <c r="AY45" i="22"/>
  <c r="AW47" i="22"/>
  <c r="BA46" i="22"/>
  <c r="AX46" i="22"/>
  <c r="EB45" i="22"/>
  <c r="BC45" i="22"/>
  <c r="BD45" i="22" s="1"/>
  <c r="EY43" i="22"/>
  <c r="EZ43" i="22"/>
  <c r="DW43" i="22"/>
  <c r="DV43" i="22"/>
  <c r="DX43" i="22" s="1"/>
  <c r="DY43" i="22" s="1"/>
  <c r="DX42" i="22"/>
  <c r="DY42" i="22" s="1"/>
  <c r="FD42" i="22"/>
  <c r="FE42" i="22"/>
  <c r="DZ40" i="22"/>
  <c r="CX40" i="22"/>
  <c r="FR39" i="22"/>
  <c r="FT39" i="22" s="1"/>
  <c r="DF39" i="22"/>
  <c r="AK39" i="22"/>
  <c r="DZ42" i="22" l="1"/>
  <c r="CX42" i="22"/>
  <c r="CX43" i="22"/>
  <c r="FD43" i="22"/>
  <c r="FE43" i="22" s="1"/>
  <c r="DZ43" i="22" s="1"/>
  <c r="DU45" i="22"/>
  <c r="ET45" i="22"/>
  <c r="EW45" i="22" s="1"/>
  <c r="EX45" i="22" s="1"/>
  <c r="BB46" i="22"/>
  <c r="AY46" i="22"/>
  <c r="EB46" i="22"/>
  <c r="BC46" i="22"/>
  <c r="BD46" i="22" s="1"/>
  <c r="AW48" i="22"/>
  <c r="BA47" i="22"/>
  <c r="AX47" i="22"/>
  <c r="EZ44" i="22"/>
  <c r="EY44" i="22"/>
  <c r="FD44" i="22" s="1"/>
  <c r="FE44" i="22" s="1"/>
  <c r="DV44" i="22"/>
  <c r="DW44" i="22"/>
  <c r="DX44" i="22" s="1"/>
  <c r="FR41" i="22"/>
  <c r="FT41" i="22" s="1"/>
  <c r="DF41" i="22"/>
  <c r="AK41" i="22"/>
  <c r="FR40" i="22"/>
  <c r="FT40" i="22" s="1"/>
  <c r="DF40" i="22"/>
  <c r="AK40" i="22"/>
  <c r="DY44" i="22" l="1"/>
  <c r="CX44" i="22" s="1"/>
  <c r="BB47" i="22"/>
  <c r="AY47" i="22"/>
  <c r="EB47" i="22"/>
  <c r="BC47" i="22"/>
  <c r="BD47" i="22" s="1"/>
  <c r="AW49" i="22"/>
  <c r="AX48" i="22"/>
  <c r="BA48" i="22"/>
  <c r="DU46" i="22"/>
  <c r="ET46" i="22"/>
  <c r="EW46" i="22" s="1"/>
  <c r="EX46" i="22" s="1"/>
  <c r="EY45" i="22"/>
  <c r="FD45" i="22" s="1"/>
  <c r="FE45" i="22" s="1"/>
  <c r="EZ45" i="22"/>
  <c r="DV45" i="22"/>
  <c r="DW45" i="22"/>
  <c r="AK43" i="22"/>
  <c r="FR43" i="22"/>
  <c r="FT43" i="22" s="1"/>
  <c r="DF43" i="22"/>
  <c r="FR42" i="22"/>
  <c r="FT42" i="22" s="1"/>
  <c r="DF42" i="22"/>
  <c r="AK42" i="22"/>
  <c r="EZ46" i="22" l="1"/>
  <c r="EY46" i="22"/>
  <c r="FD46" i="22" s="1"/>
  <c r="FE46" i="22" s="1"/>
  <c r="DW46" i="22"/>
  <c r="DV46" i="22"/>
  <c r="DX46" i="22" s="1"/>
  <c r="DY46" i="22" s="1"/>
  <c r="EB48" i="22"/>
  <c r="BC48" i="22"/>
  <c r="BD48" i="22" s="1"/>
  <c r="DX45" i="22"/>
  <c r="DY45" i="22" s="1"/>
  <c r="BB48" i="22"/>
  <c r="AY48" i="22"/>
  <c r="AW50" i="22"/>
  <c r="BA49" i="22"/>
  <c r="AX49" i="22"/>
  <c r="DU47" i="22"/>
  <c r="ET47" i="22"/>
  <c r="EW47" i="22" s="1"/>
  <c r="EX47" i="22" s="1"/>
  <c r="DZ44" i="22"/>
  <c r="AK44" i="22"/>
  <c r="DF44" i="22"/>
  <c r="FR44" i="22"/>
  <c r="FT44" i="22" s="1"/>
  <c r="EZ47" i="22" l="1"/>
  <c r="EY47" i="22"/>
  <c r="DV47" i="22"/>
  <c r="DW47" i="22"/>
  <c r="EB49" i="22"/>
  <c r="BC49" i="22"/>
  <c r="BD49" i="22" s="1"/>
  <c r="AW51" i="22"/>
  <c r="BA50" i="22"/>
  <c r="AX50" i="22"/>
  <c r="DZ45" i="22"/>
  <c r="CX45" i="22"/>
  <c r="BB49" i="22"/>
  <c r="AY49" i="22"/>
  <c r="DU48" i="22"/>
  <c r="ET48" i="22"/>
  <c r="EW48" i="22" s="1"/>
  <c r="EX48" i="22" s="1"/>
  <c r="DZ46" i="22"/>
  <c r="CX46" i="22"/>
  <c r="FR46" i="22" l="1"/>
  <c r="FT46" i="22" s="1"/>
  <c r="DF46" i="22"/>
  <c r="AK46" i="22"/>
  <c r="EY48" i="22"/>
  <c r="EZ48" i="22"/>
  <c r="DW48" i="22"/>
  <c r="DV48" i="22"/>
  <c r="FR45" i="22"/>
  <c r="FT45" i="22" s="1"/>
  <c r="DF45" i="22"/>
  <c r="AK45" i="22"/>
  <c r="AY50" i="22"/>
  <c r="BB50" i="22"/>
  <c r="EB50" i="22"/>
  <c r="BC50" i="22"/>
  <c r="BD50" i="22" s="1"/>
  <c r="BA51" i="22"/>
  <c r="AW52" i="22"/>
  <c r="AX51" i="22"/>
  <c r="DU49" i="22"/>
  <c r="ET49" i="22"/>
  <c r="EW49" i="22" s="1"/>
  <c r="EX49" i="22" s="1"/>
  <c r="DX47" i="22"/>
  <c r="DY47" i="22" s="1"/>
  <c r="FD47" i="22"/>
  <c r="FE47" i="22" s="1"/>
  <c r="DZ47" i="22" l="1"/>
  <c r="CX47" i="22"/>
  <c r="EZ49" i="22"/>
  <c r="EY49" i="22"/>
  <c r="DW49" i="22"/>
  <c r="DV49" i="22"/>
  <c r="BB51" i="22"/>
  <c r="AY51" i="22"/>
  <c r="AW53" i="22"/>
  <c r="BA52" i="22"/>
  <c r="AX52" i="22"/>
  <c r="EB51" i="22"/>
  <c r="BC51" i="22"/>
  <c r="BD51" i="22" s="1"/>
  <c r="DU50" i="22"/>
  <c r="ET50" i="22"/>
  <c r="EW50" i="22" s="1"/>
  <c r="EX50" i="22" s="1"/>
  <c r="DX48" i="22"/>
  <c r="DY48" i="22"/>
  <c r="CX48" i="22" s="1"/>
  <c r="FD48" i="22"/>
  <c r="FE48" i="22" s="1"/>
  <c r="DZ48" i="22" s="1"/>
  <c r="FR48" i="22" l="1"/>
  <c r="FT48" i="22" s="1"/>
  <c r="DF48" i="22"/>
  <c r="AK48" i="22"/>
  <c r="EZ50" i="22"/>
  <c r="EY50" i="22"/>
  <c r="FD50" i="22" s="1"/>
  <c r="FE50" i="22" s="1"/>
  <c r="DV50" i="22"/>
  <c r="DW50" i="22"/>
  <c r="DU51" i="22"/>
  <c r="ET51" i="22"/>
  <c r="EW51" i="22" s="1"/>
  <c r="EX51" i="22" s="1"/>
  <c r="BB52" i="22"/>
  <c r="AY52" i="22"/>
  <c r="EB52" i="22"/>
  <c r="BC52" i="22"/>
  <c r="BD52" i="22" s="1"/>
  <c r="AW54" i="22"/>
  <c r="BA53" i="22"/>
  <c r="AX53" i="22"/>
  <c r="DX49" i="22"/>
  <c r="DY49" i="22"/>
  <c r="FD49" i="22"/>
  <c r="FE49" i="22"/>
  <c r="FR47" i="22"/>
  <c r="FT47" i="22" s="1"/>
  <c r="AK47" i="22"/>
  <c r="DF47" i="22"/>
  <c r="DZ49" i="22" l="1"/>
  <c r="CX49" i="22"/>
  <c r="BB53" i="22"/>
  <c r="AY53" i="22"/>
  <c r="EB53" i="22"/>
  <c r="BC53" i="22"/>
  <c r="BD53" i="22" s="1"/>
  <c r="AW55" i="22"/>
  <c r="BA54" i="22"/>
  <c r="AX54" i="22"/>
  <c r="DU52" i="22"/>
  <c r="ET52" i="22"/>
  <c r="EW52" i="22" s="1"/>
  <c r="EX52" i="22" s="1"/>
  <c r="EZ51" i="22"/>
  <c r="EY51" i="22"/>
  <c r="FD51" i="22" s="1"/>
  <c r="FE51" i="22" s="1"/>
  <c r="DV51" i="22"/>
  <c r="DW51" i="22"/>
  <c r="DX50" i="22"/>
  <c r="DY50" i="22" s="1"/>
  <c r="CX50" i="22" l="1"/>
  <c r="DZ50" i="22"/>
  <c r="DX51" i="22"/>
  <c r="DY51" i="22" s="1"/>
  <c r="EY52" i="22"/>
  <c r="EZ52" i="22"/>
  <c r="DV52" i="22"/>
  <c r="DW52" i="22"/>
  <c r="BB54" i="22"/>
  <c r="AY54" i="22"/>
  <c r="EB54" i="22"/>
  <c r="BC54" i="22"/>
  <c r="BD54" i="22" s="1"/>
  <c r="AW56" i="22"/>
  <c r="BA55" i="22"/>
  <c r="AX55" i="22"/>
  <c r="DU53" i="22"/>
  <c r="ET53" i="22"/>
  <c r="EW53" i="22" s="1"/>
  <c r="EX53" i="22" s="1"/>
  <c r="DF49" i="22"/>
  <c r="AK49" i="22"/>
  <c r="FR49" i="22"/>
  <c r="FT49" i="22" s="1"/>
  <c r="DZ51" i="22" l="1"/>
  <c r="CX51" i="22"/>
  <c r="EZ53" i="22"/>
  <c r="EY53" i="22"/>
  <c r="EB55" i="22"/>
  <c r="BC55" i="22"/>
  <c r="BD55" i="22" s="1"/>
  <c r="AW57" i="22"/>
  <c r="BA56" i="22"/>
  <c r="AX56" i="22"/>
  <c r="DU54" i="22"/>
  <c r="ET54" i="22"/>
  <c r="EW54" i="22" s="1"/>
  <c r="EX54" i="22" s="1"/>
  <c r="DX52" i="22"/>
  <c r="DY52" i="22" s="1"/>
  <c r="FD52" i="22"/>
  <c r="FE52" i="22" s="1"/>
  <c r="DV53" i="22"/>
  <c r="DW53" i="22"/>
  <c r="BB55" i="22"/>
  <c r="AY55" i="22"/>
  <c r="DF50" i="22"/>
  <c r="AK50" i="22"/>
  <c r="FR50" i="22"/>
  <c r="FT50" i="22" s="1"/>
  <c r="DW54" i="22" l="1"/>
  <c r="DV54" i="22"/>
  <c r="DX54" i="22" s="1"/>
  <c r="DY54" i="22" s="1"/>
  <c r="BB56" i="22"/>
  <c r="AY56" i="22"/>
  <c r="EB56" i="22"/>
  <c r="BC56" i="22"/>
  <c r="BD56" i="22" s="1"/>
  <c r="DZ52" i="22"/>
  <c r="CX52" i="22"/>
  <c r="BA57" i="22"/>
  <c r="AW58" i="22"/>
  <c r="AX57" i="22"/>
  <c r="DU55" i="22"/>
  <c r="ET55" i="22"/>
  <c r="EW55" i="22" s="1"/>
  <c r="EX55" i="22" s="1"/>
  <c r="DX53" i="22"/>
  <c r="DY53" i="22" s="1"/>
  <c r="EZ54" i="22"/>
  <c r="EY54" i="22"/>
  <c r="FD54" i="22" s="1"/>
  <c r="FE54" i="22" s="1"/>
  <c r="FD53" i="22"/>
  <c r="FE53" i="22"/>
  <c r="FR51" i="22"/>
  <c r="FT51" i="22" s="1"/>
  <c r="DF51" i="22"/>
  <c r="AK51" i="22"/>
  <c r="DZ53" i="22" l="1"/>
  <c r="CX53" i="22"/>
  <c r="EY55" i="22"/>
  <c r="EZ55" i="22"/>
  <c r="DW55" i="22"/>
  <c r="DV55" i="22"/>
  <c r="DX55" i="22" s="1"/>
  <c r="DY55" i="22" s="1"/>
  <c r="BB57" i="22"/>
  <c r="AY57" i="22"/>
  <c r="AW59" i="22"/>
  <c r="BA58" i="22"/>
  <c r="AX58" i="22"/>
  <c r="EB57" i="22"/>
  <c r="BC57" i="22"/>
  <c r="BD57" i="22" s="1"/>
  <c r="FR52" i="22"/>
  <c r="FT52" i="22" s="1"/>
  <c r="DF52" i="22"/>
  <c r="AK52" i="22"/>
  <c r="ET56" i="22"/>
  <c r="EW56" i="22" s="1"/>
  <c r="EX56" i="22" s="1"/>
  <c r="DU56" i="22"/>
  <c r="DZ54" i="22"/>
  <c r="CX54" i="22"/>
  <c r="EZ56" i="22" l="1"/>
  <c r="EY56" i="22"/>
  <c r="FR54" i="22"/>
  <c r="FT54" i="22" s="1"/>
  <c r="DL54" i="22"/>
  <c r="AK54" i="22"/>
  <c r="ET57" i="22"/>
  <c r="EW57" i="22" s="1"/>
  <c r="EX57" i="22" s="1"/>
  <c r="DU57" i="22"/>
  <c r="DW56" i="22"/>
  <c r="DV56" i="22"/>
  <c r="DX56" i="22" s="1"/>
  <c r="DY56" i="22" s="1"/>
  <c r="BB58" i="22"/>
  <c r="AY58" i="22"/>
  <c r="EB58" i="22"/>
  <c r="BC58" i="22"/>
  <c r="BD58" i="22" s="1"/>
  <c r="BA59" i="22"/>
  <c r="AW60" i="22"/>
  <c r="AX59" i="22"/>
  <c r="CX55" i="22"/>
  <c r="FD55" i="22"/>
  <c r="FE55" i="22" s="1"/>
  <c r="DZ55" i="22" s="1"/>
  <c r="FR53" i="22"/>
  <c r="FT53" i="22" s="1"/>
  <c r="AK53" i="22"/>
  <c r="DL53" i="22"/>
  <c r="FR55" i="22" l="1"/>
  <c r="FT55" i="22" s="1"/>
  <c r="DL55" i="22"/>
  <c r="AK55" i="22"/>
  <c r="BB59" i="22"/>
  <c r="AY59" i="22"/>
  <c r="ET58" i="22"/>
  <c r="EW58" i="22" s="1"/>
  <c r="EX58" i="22" s="1"/>
  <c r="DU58" i="22"/>
  <c r="CX56" i="22"/>
  <c r="DW57" i="22"/>
  <c r="DV57" i="22"/>
  <c r="EY57" i="22"/>
  <c r="EZ57" i="22"/>
  <c r="AW61" i="22"/>
  <c r="AX60" i="22"/>
  <c r="BA60" i="22"/>
  <c r="EB59" i="22"/>
  <c r="BC59" i="22"/>
  <c r="BD59" i="22" s="1"/>
  <c r="FD56" i="22"/>
  <c r="FE56" i="22"/>
  <c r="DZ56" i="22" s="1"/>
  <c r="EB60" i="22" l="1"/>
  <c r="BC60" i="22"/>
  <c r="BD60" i="22" s="1"/>
  <c r="FR56" i="22"/>
  <c r="FT56" i="22" s="1"/>
  <c r="AK56" i="22"/>
  <c r="DL56" i="22"/>
  <c r="DW58" i="22"/>
  <c r="DV58" i="22"/>
  <c r="DX58" i="22" s="1"/>
  <c r="DY58" i="22" s="1"/>
  <c r="AY60" i="22"/>
  <c r="BB60" i="22"/>
  <c r="FD57" i="22"/>
  <c r="FE57" i="22" s="1"/>
  <c r="EY58" i="22"/>
  <c r="EZ58" i="22"/>
  <c r="DX57" i="22"/>
  <c r="DY57" i="22" s="1"/>
  <c r="ET59" i="22"/>
  <c r="EW59" i="22" s="1"/>
  <c r="EX59" i="22" s="1"/>
  <c r="DU59" i="22"/>
  <c r="AW62" i="22"/>
  <c r="BA61" i="22"/>
  <c r="AX61" i="22"/>
  <c r="EB61" i="22" l="1"/>
  <c r="BC61" i="22"/>
  <c r="BD61" i="22" s="1"/>
  <c r="DW59" i="22"/>
  <c r="DV59" i="22"/>
  <c r="BB61" i="22"/>
  <c r="AY61" i="22"/>
  <c r="CX58" i="22"/>
  <c r="EZ59" i="22"/>
  <c r="EY59" i="22"/>
  <c r="FD58" i="22"/>
  <c r="FE58" i="22" s="1"/>
  <c r="DZ58" i="22" s="1"/>
  <c r="DZ57" i="22"/>
  <c r="CX57" i="22"/>
  <c r="AW63" i="22"/>
  <c r="AX62" i="22"/>
  <c r="BA62" i="22"/>
  <c r="DU60" i="22"/>
  <c r="ET60" i="22"/>
  <c r="EW60" i="22" s="1"/>
  <c r="EX60" i="22" s="1"/>
  <c r="DW60" i="22" l="1"/>
  <c r="DV60" i="22"/>
  <c r="DX60" i="22" s="1"/>
  <c r="DY60" i="22" s="1"/>
  <c r="BB62" i="22"/>
  <c r="AY62" i="22"/>
  <c r="FD59" i="22"/>
  <c r="FE59" i="22"/>
  <c r="FR58" i="22"/>
  <c r="FT58" i="22" s="1"/>
  <c r="DL58" i="22"/>
  <c r="AK58" i="22"/>
  <c r="DX59" i="22"/>
  <c r="DY59" i="22"/>
  <c r="EZ60" i="22"/>
  <c r="EY60" i="22"/>
  <c r="FD60" i="22" s="1"/>
  <c r="FE60" i="22" s="1"/>
  <c r="AW64" i="22"/>
  <c r="BA63" i="22"/>
  <c r="AX63" i="22"/>
  <c r="EB62" i="22"/>
  <c r="BC62" i="22"/>
  <c r="BD62" i="22" s="1"/>
  <c r="DL57" i="22"/>
  <c r="AK57" i="22"/>
  <c r="FR57" i="22"/>
  <c r="FT57" i="22" s="1"/>
  <c r="DU61" i="22"/>
  <c r="ET61" i="22"/>
  <c r="EW61" i="22" s="1"/>
  <c r="EX61" i="22" s="1"/>
  <c r="DV61" i="22" l="1"/>
  <c r="DW61" i="22"/>
  <c r="BB63" i="22"/>
  <c r="AY63" i="22"/>
  <c r="EB63" i="22"/>
  <c r="BC63" i="22"/>
  <c r="BD63" i="22" s="1"/>
  <c r="AW65" i="22"/>
  <c r="BA64" i="22"/>
  <c r="AX64" i="22"/>
  <c r="DZ59" i="22"/>
  <c r="CX59" i="22"/>
  <c r="DZ60" i="22"/>
  <c r="CX60" i="22"/>
  <c r="EZ61" i="22"/>
  <c r="EY61" i="22"/>
  <c r="DU62" i="22"/>
  <c r="ET62" i="22"/>
  <c r="EW62" i="22" s="1"/>
  <c r="EX62" i="22" s="1"/>
  <c r="EZ62" i="22" l="1"/>
  <c r="EY62" i="22"/>
  <c r="AW66" i="22"/>
  <c r="BA65" i="22"/>
  <c r="AX65" i="22"/>
  <c r="FR59" i="22"/>
  <c r="FT59" i="22" s="1"/>
  <c r="DF59" i="22"/>
  <c r="AK59" i="22"/>
  <c r="FD61" i="22"/>
  <c r="FE61" i="22"/>
  <c r="DU63" i="22"/>
  <c r="ET63" i="22"/>
  <c r="EW63" i="22" s="1"/>
  <c r="EX63" i="22" s="1"/>
  <c r="DW62" i="22"/>
  <c r="DV62" i="22"/>
  <c r="DX62" i="22" s="1"/>
  <c r="DY62" i="22" s="1"/>
  <c r="EB64" i="22"/>
  <c r="BC64" i="22"/>
  <c r="BD64" i="22" s="1"/>
  <c r="FR60" i="22"/>
  <c r="FT60" i="22" s="1"/>
  <c r="DF60" i="22"/>
  <c r="AK60" i="22"/>
  <c r="AY64" i="22"/>
  <c r="BB64" i="22"/>
  <c r="DX61" i="22"/>
  <c r="DY61" i="22" s="1"/>
  <c r="DZ61" i="22" l="1"/>
  <c r="CX61" i="22"/>
  <c r="CX62" i="22"/>
  <c r="EZ63" i="22"/>
  <c r="EY63" i="22"/>
  <c r="BB65" i="22"/>
  <c r="AY65" i="22"/>
  <c r="EB65" i="22"/>
  <c r="BC65" i="22"/>
  <c r="BD65" i="22" s="1"/>
  <c r="DU64" i="22"/>
  <c r="ET64" i="22"/>
  <c r="EW64" i="22" s="1"/>
  <c r="EX64" i="22" s="1"/>
  <c r="AX66" i="22"/>
  <c r="BA66" i="22"/>
  <c r="AW67" i="22"/>
  <c r="DW63" i="22"/>
  <c r="DV63" i="22"/>
  <c r="FD62" i="22"/>
  <c r="FE62" i="22"/>
  <c r="DZ62" i="22" s="1"/>
  <c r="DX63" i="22" l="1"/>
  <c r="DY63" i="22"/>
  <c r="EY64" i="22"/>
  <c r="EZ64" i="22"/>
  <c r="DW64" i="22"/>
  <c r="DV64" i="22"/>
  <c r="FD63" i="22"/>
  <c r="FE63" i="22"/>
  <c r="AY66" i="22"/>
  <c r="BB66" i="22"/>
  <c r="FR62" i="22"/>
  <c r="FT62" i="22" s="1"/>
  <c r="AK62" i="22"/>
  <c r="DL62" i="22"/>
  <c r="EB66" i="22"/>
  <c r="BC66" i="22"/>
  <c r="BD66" i="22" s="1"/>
  <c r="DU65" i="22"/>
  <c r="ET65" i="22"/>
  <c r="EW65" i="22" s="1"/>
  <c r="EX65" i="22" s="1"/>
  <c r="BA67" i="22"/>
  <c r="AW68" i="22"/>
  <c r="AX67" i="22"/>
  <c r="AK61" i="22"/>
  <c r="DF61" i="22"/>
  <c r="FR61" i="22"/>
  <c r="FT61" i="22" s="1"/>
  <c r="BB67" i="22" l="1"/>
  <c r="AY67" i="22"/>
  <c r="DV65" i="22"/>
  <c r="DW65" i="22"/>
  <c r="DU66" i="22"/>
  <c r="ET66" i="22"/>
  <c r="EW66" i="22" s="1"/>
  <c r="EX66" i="22" s="1"/>
  <c r="EB67" i="22"/>
  <c r="BC67" i="22"/>
  <c r="BD67" i="22" s="1"/>
  <c r="DX64" i="22"/>
  <c r="DY64" i="22" s="1"/>
  <c r="AW69" i="22"/>
  <c r="BA68" i="22"/>
  <c r="AX68" i="22"/>
  <c r="EZ65" i="22"/>
  <c r="EY65" i="22"/>
  <c r="FD65" i="22" s="1"/>
  <c r="FE65" i="22" s="1"/>
  <c r="FD64" i="22"/>
  <c r="FE64" i="22" s="1"/>
  <c r="DZ63" i="22"/>
  <c r="CX63" i="22"/>
  <c r="DZ64" i="22" l="1"/>
  <c r="CX64" i="22"/>
  <c r="FR63" i="22"/>
  <c r="FT63" i="22" s="1"/>
  <c r="DL63" i="22"/>
  <c r="AK63" i="22"/>
  <c r="DU67" i="22"/>
  <c r="ET67" i="22"/>
  <c r="EW67" i="22" s="1"/>
  <c r="EX67" i="22" s="1"/>
  <c r="EB68" i="22"/>
  <c r="BC68" i="22"/>
  <c r="BD68" i="22" s="1"/>
  <c r="EZ66" i="22"/>
  <c r="EY66" i="22"/>
  <c r="FD66" i="22" s="1"/>
  <c r="FE66" i="22" s="1"/>
  <c r="DW66" i="22"/>
  <c r="DV66" i="22"/>
  <c r="DX66" i="22" s="1"/>
  <c r="DY66" i="22" s="1"/>
  <c r="BB68" i="22"/>
  <c r="AY68" i="22"/>
  <c r="DX65" i="22"/>
  <c r="DY65" i="22" s="1"/>
  <c r="AW70" i="22"/>
  <c r="BA69" i="22"/>
  <c r="AX69" i="22"/>
  <c r="EZ67" i="22" l="1"/>
  <c r="EY67" i="22"/>
  <c r="FD67" i="22" s="1"/>
  <c r="FE67" i="22" s="1"/>
  <c r="EB69" i="22"/>
  <c r="BC69" i="22"/>
  <c r="BD69" i="22" s="1"/>
  <c r="DW67" i="22"/>
  <c r="DV67" i="22"/>
  <c r="DX67" i="22" s="1"/>
  <c r="DY67" i="22" s="1"/>
  <c r="DZ66" i="22"/>
  <c r="CX66" i="22"/>
  <c r="DZ65" i="22"/>
  <c r="CX65" i="22"/>
  <c r="BB69" i="22"/>
  <c r="AY69" i="22"/>
  <c r="AW71" i="22"/>
  <c r="BA70" i="22"/>
  <c r="AX70" i="22"/>
  <c r="DU68" i="22"/>
  <c r="ET68" i="22"/>
  <c r="EW68" i="22" s="1"/>
  <c r="EX68" i="22" s="1"/>
  <c r="DF64" i="22"/>
  <c r="AK64" i="22"/>
  <c r="FR64" i="22"/>
  <c r="FT64" i="22" s="1"/>
  <c r="EZ68" i="22" l="1"/>
  <c r="EY68" i="22"/>
  <c r="FD68" i="22" s="1"/>
  <c r="FE68" i="22" s="1"/>
  <c r="DZ67" i="22"/>
  <c r="CX67" i="22"/>
  <c r="DW68" i="22"/>
  <c r="DV68" i="22"/>
  <c r="DX68" i="22" s="1"/>
  <c r="DY68" i="22" s="1"/>
  <c r="AX71" i="22"/>
  <c r="BA71" i="22"/>
  <c r="AW72" i="22"/>
  <c r="FR66" i="22"/>
  <c r="FT66" i="22" s="1"/>
  <c r="DL66" i="22"/>
  <c r="AK66" i="22"/>
  <c r="DU69" i="22"/>
  <c r="ET69" i="22"/>
  <c r="EW69" i="22" s="1"/>
  <c r="EX69" i="22" s="1"/>
  <c r="EB70" i="22"/>
  <c r="BC70" i="22"/>
  <c r="BD70" i="22" s="1"/>
  <c r="FR65" i="22"/>
  <c r="FT65" i="22" s="1"/>
  <c r="DL65" i="22"/>
  <c r="AK65" i="22"/>
  <c r="BB70" i="22"/>
  <c r="AY70" i="22"/>
  <c r="ET70" i="22" l="1"/>
  <c r="EW70" i="22" s="1"/>
  <c r="EX70" i="22" s="1"/>
  <c r="DU70" i="22"/>
  <c r="AY71" i="22"/>
  <c r="BB71" i="22"/>
  <c r="EY69" i="22"/>
  <c r="EZ69" i="22"/>
  <c r="DZ68" i="22"/>
  <c r="CX68" i="22"/>
  <c r="DW69" i="22"/>
  <c r="DV69" i="22"/>
  <c r="DX69" i="22" s="1"/>
  <c r="DY69" i="22" s="1"/>
  <c r="FR67" i="22"/>
  <c r="FT67" i="22" s="1"/>
  <c r="DF67" i="22"/>
  <c r="AK67" i="22"/>
  <c r="EB71" i="22"/>
  <c r="BC71" i="22"/>
  <c r="BD71" i="22" s="1"/>
  <c r="BA72" i="22"/>
  <c r="AW73" i="22"/>
  <c r="AX72" i="22"/>
  <c r="AW74" i="22" l="1"/>
  <c r="BA73" i="22"/>
  <c r="AX73" i="22"/>
  <c r="DU71" i="22"/>
  <c r="ET71" i="22"/>
  <c r="EW71" i="22" s="1"/>
  <c r="EX71" i="22" s="1"/>
  <c r="EB72" i="22"/>
  <c r="BC72" i="22"/>
  <c r="BD72" i="22" s="1"/>
  <c r="BB72" i="22"/>
  <c r="AY72" i="22"/>
  <c r="FD69" i="22"/>
  <c r="FE69" i="22" s="1"/>
  <c r="DZ69" i="22" s="1"/>
  <c r="CX69" i="22"/>
  <c r="DW70" i="22"/>
  <c r="DV70" i="22"/>
  <c r="DX70" i="22" s="1"/>
  <c r="DY70" i="22" s="1"/>
  <c r="FR68" i="22"/>
  <c r="FT68" i="22" s="1"/>
  <c r="DL68" i="22"/>
  <c r="AK68" i="22"/>
  <c r="EZ70" i="22"/>
  <c r="EY70" i="22"/>
  <c r="FD70" i="22" s="1"/>
  <c r="FE70" i="22" s="1"/>
  <c r="CX70" i="22" l="1"/>
  <c r="DZ70" i="22"/>
  <c r="ET72" i="22"/>
  <c r="EW72" i="22" s="1"/>
  <c r="EX72" i="22" s="1"/>
  <c r="DU72" i="22"/>
  <c r="EZ71" i="22"/>
  <c r="EY71" i="22"/>
  <c r="FD71" i="22" s="1"/>
  <c r="FE71" i="22" s="1"/>
  <c r="DW71" i="22"/>
  <c r="DV71" i="22"/>
  <c r="DX71" i="22" s="1"/>
  <c r="DY71" i="22" s="1"/>
  <c r="BB73" i="22"/>
  <c r="AY73" i="22"/>
  <c r="EB73" i="22"/>
  <c r="BC73" i="22"/>
  <c r="BD73" i="22" s="1"/>
  <c r="FR69" i="22"/>
  <c r="FT69" i="22" s="1"/>
  <c r="DL69" i="22"/>
  <c r="AK69" i="22"/>
  <c r="AW75" i="22"/>
  <c r="BA74" i="22"/>
  <c r="AX74" i="22"/>
  <c r="BA75" i="22" l="1"/>
  <c r="AW76" i="22"/>
  <c r="AX75" i="22"/>
  <c r="DU73" i="22"/>
  <c r="ET73" i="22"/>
  <c r="EW73" i="22" s="1"/>
  <c r="EX73" i="22" s="1"/>
  <c r="EB74" i="22"/>
  <c r="BC74" i="22"/>
  <c r="BD74" i="22" s="1"/>
  <c r="DW72" i="22"/>
  <c r="DV72" i="22"/>
  <c r="DX72" i="22" s="1"/>
  <c r="DY72" i="22" s="1"/>
  <c r="EZ72" i="22"/>
  <c r="EY72" i="22"/>
  <c r="FD72" i="22" s="1"/>
  <c r="FE72" i="22" s="1"/>
  <c r="AY74" i="22"/>
  <c r="BB74" i="22"/>
  <c r="DZ71" i="22"/>
  <c r="CX71" i="22"/>
  <c r="FR70" i="22"/>
  <c r="FT70" i="22" s="1"/>
  <c r="DF70" i="22"/>
  <c r="AK70" i="22"/>
  <c r="DU74" i="22" l="1"/>
  <c r="ET74" i="22"/>
  <c r="EW74" i="22" s="1"/>
  <c r="EX74" i="22" s="1"/>
  <c r="EZ73" i="22"/>
  <c r="EY73" i="22"/>
  <c r="DW73" i="22"/>
  <c r="DV73" i="22"/>
  <c r="DX73" i="22" s="1"/>
  <c r="DY73" i="22" s="1"/>
  <c r="FR71" i="22"/>
  <c r="FT71" i="22" s="1"/>
  <c r="DF71" i="22"/>
  <c r="AK71" i="22"/>
  <c r="BB75" i="22"/>
  <c r="AY75" i="22"/>
  <c r="BA76" i="22"/>
  <c r="AW77" i="22"/>
  <c r="AX76" i="22"/>
  <c r="CX72" i="22"/>
  <c r="DZ72" i="22"/>
  <c r="EB75" i="22"/>
  <c r="BC75" i="22"/>
  <c r="BD75" i="22" s="1"/>
  <c r="DU75" i="22" l="1"/>
  <c r="ET75" i="22"/>
  <c r="EW75" i="22" s="1"/>
  <c r="EX75" i="22" s="1"/>
  <c r="BB76" i="22"/>
  <c r="AY76" i="22"/>
  <c r="CX73" i="22"/>
  <c r="EB76" i="22"/>
  <c r="BC76" i="22"/>
  <c r="BD76" i="22" s="1"/>
  <c r="FD73" i="22"/>
  <c r="FE73" i="22" s="1"/>
  <c r="DZ73" i="22" s="1"/>
  <c r="DL72" i="22"/>
  <c r="AK72" i="22"/>
  <c r="FR72" i="22"/>
  <c r="FT72" i="22" s="1"/>
  <c r="AW78" i="22"/>
  <c r="AX77" i="22"/>
  <c r="BA77" i="22"/>
  <c r="EY74" i="22"/>
  <c r="EZ74" i="22"/>
  <c r="DW74" i="22"/>
  <c r="DV74" i="22"/>
  <c r="DX74" i="22" l="1"/>
  <c r="DY74" i="22"/>
  <c r="ET76" i="22"/>
  <c r="EW76" i="22" s="1"/>
  <c r="EX76" i="22" s="1"/>
  <c r="DU76" i="22"/>
  <c r="DF73" i="22"/>
  <c r="AK73" i="22"/>
  <c r="FR73" i="22"/>
  <c r="FT73" i="22" s="1"/>
  <c r="EB77" i="22"/>
  <c r="BC77" i="22"/>
  <c r="BD77" i="22" s="1"/>
  <c r="BA78" i="22"/>
  <c r="AW80" i="22"/>
  <c r="AW79" i="22"/>
  <c r="AX78" i="22"/>
  <c r="BB77" i="22"/>
  <c r="AY77" i="22"/>
  <c r="EY75" i="22"/>
  <c r="EZ75" i="22"/>
  <c r="FD74" i="22"/>
  <c r="FE74" i="22" s="1"/>
  <c r="DV75" i="22"/>
  <c r="DW75" i="22"/>
  <c r="DX75" i="22" l="1"/>
  <c r="DY75" i="22" s="1"/>
  <c r="EB78" i="22"/>
  <c r="BC78" i="22"/>
  <c r="BD78" i="22" s="1"/>
  <c r="AY78" i="22"/>
  <c r="BB78" i="22"/>
  <c r="AW82" i="22"/>
  <c r="AX80" i="22"/>
  <c r="BA80" i="22"/>
  <c r="DW76" i="22"/>
  <c r="DV76" i="22"/>
  <c r="DX76" i="22" s="1"/>
  <c r="DY76" i="22" s="1"/>
  <c r="CX76" i="22" s="1"/>
  <c r="EY76" i="22"/>
  <c r="EZ76" i="22"/>
  <c r="FD75" i="22"/>
  <c r="FE75" i="22" s="1"/>
  <c r="BA79" i="22"/>
  <c r="AW81" i="22"/>
  <c r="AX79" i="22"/>
  <c r="DZ74" i="22"/>
  <c r="CX74" i="22"/>
  <c r="DU77" i="22"/>
  <c r="ET77" i="22"/>
  <c r="EW77" i="22" s="1"/>
  <c r="EX77" i="22" s="1"/>
  <c r="DW77" i="22" l="1"/>
  <c r="DV77" i="22"/>
  <c r="EB79" i="22"/>
  <c r="BC79" i="22"/>
  <c r="BD79" i="22" s="1"/>
  <c r="AY80" i="22"/>
  <c r="BB80" i="22"/>
  <c r="DF74" i="22"/>
  <c r="AK74" i="22"/>
  <c r="FR74" i="22"/>
  <c r="FT74" i="22" s="1"/>
  <c r="AW83" i="22"/>
  <c r="BA82" i="22"/>
  <c r="AX82" i="22"/>
  <c r="BB79" i="22"/>
  <c r="AY79" i="22"/>
  <c r="FD76" i="22"/>
  <c r="FE76" i="22" s="1"/>
  <c r="DZ76" i="22" s="1"/>
  <c r="EB80" i="22"/>
  <c r="BC80" i="22"/>
  <c r="BD80" i="22" s="1"/>
  <c r="BA81" i="22"/>
  <c r="AX81" i="22"/>
  <c r="EZ77" i="22"/>
  <c r="EY77" i="22"/>
  <c r="FD77" i="22" s="1"/>
  <c r="FE77" i="22" s="1"/>
  <c r="AK76" i="22"/>
  <c r="FR76" i="22"/>
  <c r="FT76" i="22" s="1"/>
  <c r="DL76" i="22"/>
  <c r="ET78" i="22"/>
  <c r="EW78" i="22" s="1"/>
  <c r="EX78" i="22" s="1"/>
  <c r="DU78" i="22"/>
  <c r="DZ75" i="22"/>
  <c r="CX75" i="22"/>
  <c r="BB81" i="22" l="1"/>
  <c r="AY81" i="22"/>
  <c r="AX83" i="22"/>
  <c r="BA83" i="22"/>
  <c r="EB81" i="22"/>
  <c r="BC81" i="22"/>
  <c r="BD81" i="22" s="1"/>
  <c r="BB82" i="22"/>
  <c r="AY82" i="22"/>
  <c r="DU80" i="22"/>
  <c r="ET80" i="22"/>
  <c r="EW80" i="22" s="1"/>
  <c r="EX80" i="22" s="1"/>
  <c r="FR75" i="22"/>
  <c r="FT75" i="22" s="1"/>
  <c r="DL75" i="22"/>
  <c r="AK75" i="22"/>
  <c r="DW78" i="22"/>
  <c r="DV78" i="22"/>
  <c r="DX78" i="22" s="1"/>
  <c r="DY78" i="22" s="1"/>
  <c r="CX78" i="22" s="1"/>
  <c r="DU79" i="22"/>
  <c r="ET79" i="22"/>
  <c r="EW79" i="22" s="1"/>
  <c r="EX79" i="22" s="1"/>
  <c r="EY78" i="22"/>
  <c r="EZ78" i="22"/>
  <c r="DX77" i="22"/>
  <c r="DY77" i="22" s="1"/>
  <c r="EB82" i="22"/>
  <c r="BC82" i="22"/>
  <c r="BD82" i="22" s="1"/>
  <c r="CX77" i="22" l="1"/>
  <c r="DZ77" i="22"/>
  <c r="DW79" i="22"/>
  <c r="DV79" i="22"/>
  <c r="DX79" i="22" s="1"/>
  <c r="DY79" i="22" s="1"/>
  <c r="EZ79" i="22"/>
  <c r="EY79" i="22"/>
  <c r="FD78" i="22"/>
  <c r="FE78" i="22" s="1"/>
  <c r="DZ78" i="22" s="1"/>
  <c r="EY80" i="22"/>
  <c r="FD80" i="22" s="1"/>
  <c r="FE80" i="22" s="1"/>
  <c r="EZ80" i="22"/>
  <c r="DU81" i="22"/>
  <c r="ET81" i="22"/>
  <c r="EW81" i="22" s="1"/>
  <c r="EX81" i="22" s="1"/>
  <c r="EB83" i="22"/>
  <c r="BC83" i="22"/>
  <c r="BD83" i="22" s="1"/>
  <c r="FR78" i="22"/>
  <c r="FT78" i="22" s="1"/>
  <c r="DL78" i="22"/>
  <c r="AK78" i="22"/>
  <c r="DW80" i="22"/>
  <c r="DV80" i="22"/>
  <c r="DX80" i="22" s="1"/>
  <c r="DY80" i="22" s="1"/>
  <c r="AY83" i="22"/>
  <c r="BB83" i="22"/>
  <c r="DU82" i="22"/>
  <c r="ET82" i="22"/>
  <c r="EW82" i="22" s="1"/>
  <c r="EX82" i="22" s="1"/>
  <c r="EY82" i="22" l="1"/>
  <c r="EZ82" i="22"/>
  <c r="DV82" i="22"/>
  <c r="DW82" i="22"/>
  <c r="DZ80" i="22"/>
  <c r="CX80" i="22"/>
  <c r="EZ81" i="22"/>
  <c r="EY81" i="22"/>
  <c r="FD79" i="22"/>
  <c r="FE79" i="22"/>
  <c r="DU83" i="22"/>
  <c r="ET83" i="22"/>
  <c r="EW83" i="22" s="1"/>
  <c r="EX83" i="22" s="1"/>
  <c r="DV81" i="22"/>
  <c r="DW81" i="22"/>
  <c r="DX81" i="22" s="1"/>
  <c r="DZ79" i="22"/>
  <c r="CX79" i="22"/>
  <c r="DF77" i="22"/>
  <c r="AK77" i="22"/>
  <c r="FR77" i="22"/>
  <c r="FT77" i="22" s="1"/>
  <c r="FD81" i="22" l="1"/>
  <c r="FE81" i="22" s="1"/>
  <c r="DL80" i="22"/>
  <c r="AK80" i="22"/>
  <c r="FR80" i="22"/>
  <c r="FT80" i="22" s="1"/>
  <c r="FR79" i="22"/>
  <c r="FT79" i="22" s="1"/>
  <c r="DF79" i="22"/>
  <c r="AK79" i="22"/>
  <c r="EZ83" i="22"/>
  <c r="EY83" i="22"/>
  <c r="FD83" i="22" s="1"/>
  <c r="FE83" i="22" s="1"/>
  <c r="DY81" i="22"/>
  <c r="DX82" i="22"/>
  <c r="DY82" i="22" s="1"/>
  <c r="CX82" i="22" s="1"/>
  <c r="DV83" i="22"/>
  <c r="DW83" i="22"/>
  <c r="FD82" i="22"/>
  <c r="FE82" i="22" s="1"/>
  <c r="DZ82" i="22" s="1"/>
  <c r="FR82" i="22" l="1"/>
  <c r="FT82" i="22" s="1"/>
  <c r="DF82" i="22"/>
  <c r="AK82" i="22"/>
  <c r="DZ81" i="22"/>
  <c r="CX81" i="22"/>
  <c r="DX83" i="22"/>
  <c r="DY83" i="22" s="1"/>
  <c r="CX83" i="22" s="1"/>
  <c r="DZ83" i="22" l="1"/>
  <c r="DL83" i="22"/>
  <c r="AK83" i="22"/>
  <c r="FR83" i="22"/>
  <c r="FT83" i="22" s="1"/>
  <c r="FT19" i="22" s="1"/>
  <c r="FR81" i="22"/>
  <c r="FT81" i="22" s="1"/>
  <c r="DF81" i="22"/>
  <c r="AK81" i="22"/>
  <c r="GH205" i="20" l="1"/>
  <c r="DP205" i="20"/>
  <c r="CO205" i="20"/>
  <c r="CN205" i="20"/>
  <c r="CL205" i="20"/>
  <c r="CM205" i="20" s="1"/>
  <c r="BA205" i="20"/>
  <c r="AQ205" i="20"/>
  <c r="EI205" i="20" s="1"/>
  <c r="AJ205" i="20"/>
  <c r="AH205" i="20"/>
  <c r="AE205" i="20"/>
  <c r="BI205" i="20" s="1"/>
  <c r="AD205" i="20"/>
  <c r="Y205" i="20"/>
  <c r="W205" i="20"/>
  <c r="GG205" i="20" s="1"/>
  <c r="U205" i="20"/>
  <c r="EG205" i="20" s="1"/>
  <c r="T205" i="20"/>
  <c r="S205" i="20"/>
  <c r="AC205" i="20" s="1"/>
  <c r="K205" i="20"/>
  <c r="L205" i="20" s="1"/>
  <c r="BF205" i="20" s="1"/>
  <c r="GH203" i="20"/>
  <c r="EI203" i="20"/>
  <c r="DP203" i="20"/>
  <c r="CO203" i="20"/>
  <c r="CN203" i="20"/>
  <c r="BA203" i="20"/>
  <c r="AJ203" i="20"/>
  <c r="AH203" i="20"/>
  <c r="AE203" i="20"/>
  <c r="BI203" i="20" s="1"/>
  <c r="AD203" i="20"/>
  <c r="Y203" i="20"/>
  <c r="W203" i="20"/>
  <c r="V203" i="20" s="1"/>
  <c r="U203" i="20"/>
  <c r="EG203" i="20" s="1"/>
  <c r="S203" i="20"/>
  <c r="AC203" i="20" s="1"/>
  <c r="K203" i="20"/>
  <c r="GH226" i="20"/>
  <c r="DP226" i="20"/>
  <c r="CO226" i="20"/>
  <c r="CN226" i="20"/>
  <c r="CL226" i="20"/>
  <c r="CM226" i="20" s="1"/>
  <c r="BA226" i="20"/>
  <c r="AQ226" i="20"/>
  <c r="EI226" i="20" s="1"/>
  <c r="AJ226" i="20"/>
  <c r="AH226" i="20"/>
  <c r="AE226" i="20"/>
  <c r="BI226" i="20" s="1"/>
  <c r="AD226" i="20"/>
  <c r="Y226" i="20"/>
  <c r="W226" i="20"/>
  <c r="U226" i="20"/>
  <c r="EG226" i="20" s="1"/>
  <c r="S226" i="20"/>
  <c r="AC226" i="20" s="1"/>
  <c r="K226" i="20"/>
  <c r="I226" i="20" s="1"/>
  <c r="GH216" i="20"/>
  <c r="EI216" i="20"/>
  <c r="DP216" i="20"/>
  <c r="CO216" i="20"/>
  <c r="CN216" i="20"/>
  <c r="CP216" i="20" s="1"/>
  <c r="BA216" i="20"/>
  <c r="AJ216" i="20"/>
  <c r="AH216" i="20"/>
  <c r="AE216" i="20"/>
  <c r="BI216" i="20" s="1"/>
  <c r="AD216" i="20"/>
  <c r="Y216" i="20"/>
  <c r="W216" i="20"/>
  <c r="V216" i="20" s="1"/>
  <c r="U216" i="20"/>
  <c r="EG216" i="20" s="1"/>
  <c r="S216" i="20"/>
  <c r="AC216" i="20" s="1"/>
  <c r="K216" i="20"/>
  <c r="GH201" i="20"/>
  <c r="EI201" i="20"/>
  <c r="DP201" i="20"/>
  <c r="CO201" i="20"/>
  <c r="CN201" i="20"/>
  <c r="BA201" i="20"/>
  <c r="AJ201" i="20"/>
  <c r="AH201" i="20"/>
  <c r="AE201" i="20"/>
  <c r="AF201" i="20" s="1"/>
  <c r="ET201" i="20" s="1"/>
  <c r="ES201" i="20" s="1"/>
  <c r="AD201" i="20"/>
  <c r="Y201" i="20"/>
  <c r="W201" i="20"/>
  <c r="U201" i="20"/>
  <c r="EG201" i="20" s="1"/>
  <c r="S201" i="20"/>
  <c r="AC201" i="20" s="1"/>
  <c r="K201" i="20"/>
  <c r="GH214" i="20"/>
  <c r="EI214" i="20"/>
  <c r="DP214" i="20"/>
  <c r="CO214" i="20"/>
  <c r="CN214" i="20"/>
  <c r="BA214" i="20"/>
  <c r="AJ214" i="20"/>
  <c r="AH214" i="20"/>
  <c r="AE214" i="20"/>
  <c r="BI214" i="20" s="1"/>
  <c r="AD214" i="20"/>
  <c r="Y214" i="20"/>
  <c r="W214" i="20"/>
  <c r="V214" i="20" s="1"/>
  <c r="U214" i="20"/>
  <c r="EG214" i="20" s="1"/>
  <c r="S214" i="20"/>
  <c r="AC214" i="20" s="1"/>
  <c r="K214" i="20"/>
  <c r="I214" i="20" s="1"/>
  <c r="AF205" i="20" l="1"/>
  <c r="AG205" i="20" s="1"/>
  <c r="BM205" i="20"/>
  <c r="CP203" i="20"/>
  <c r="R205" i="20"/>
  <c r="BJ205" i="20"/>
  <c r="CH205" i="20"/>
  <c r="V205" i="20"/>
  <c r="BZ205" i="20"/>
  <c r="EH205" i="20" s="1"/>
  <c r="EJ205" i="20" s="1"/>
  <c r="EP205" i="20" s="1"/>
  <c r="GG226" i="20"/>
  <c r="CI205" i="20"/>
  <c r="CP205" i="20"/>
  <c r="Q205" i="20"/>
  <c r="EM205" i="20" s="1"/>
  <c r="EB205" i="20"/>
  <c r="BQ205" i="20"/>
  <c r="BG205" i="20"/>
  <c r="ET205" i="20"/>
  <c r="ES205" i="20" s="1"/>
  <c r="I205" i="20"/>
  <c r="AS205" i="20"/>
  <c r="AR205" i="20" s="1"/>
  <c r="DQ205" i="20"/>
  <c r="O205" i="20"/>
  <c r="DT205" i="20"/>
  <c r="P205" i="20"/>
  <c r="BN205" i="20" s="1"/>
  <c r="CW205" i="20" s="1"/>
  <c r="AU205" i="20"/>
  <c r="CU205" i="20"/>
  <c r="AA205" i="20"/>
  <c r="Z205" i="20" s="1"/>
  <c r="AB205" i="20"/>
  <c r="GF205" i="20"/>
  <c r="GI205" i="20" s="1"/>
  <c r="DA205" i="20" s="1"/>
  <c r="BM226" i="20"/>
  <c r="CP226" i="20"/>
  <c r="CI201" i="20"/>
  <c r="AF203" i="20"/>
  <c r="AG203" i="20" s="1"/>
  <c r="EB203" i="20" s="1"/>
  <c r="AA226" i="20"/>
  <c r="Z226" i="20" s="1"/>
  <c r="AF226" i="20"/>
  <c r="ET226" i="20" s="1"/>
  <c r="ES226" i="20" s="1"/>
  <c r="R216" i="20"/>
  <c r="I203" i="20"/>
  <c r="BZ203" i="20"/>
  <c r="EH203" i="20" s="1"/>
  <c r="EJ203" i="20" s="1"/>
  <c r="EP203" i="20" s="1"/>
  <c r="L203" i="20"/>
  <c r="AS203" i="20"/>
  <c r="AR203" i="20" s="1"/>
  <c r="CH203" i="20"/>
  <c r="O203" i="20"/>
  <c r="CI203" i="20"/>
  <c r="DT203" i="20"/>
  <c r="AU203" i="20"/>
  <c r="Q203" i="20"/>
  <c r="EM203" i="20" s="1"/>
  <c r="R203" i="20"/>
  <c r="T203" i="20"/>
  <c r="AA203" i="20"/>
  <c r="Z203" i="20" s="1"/>
  <c r="AB203" i="20"/>
  <c r="GF203" i="20"/>
  <c r="CP214" i="20"/>
  <c r="T216" i="20"/>
  <c r="V201" i="20"/>
  <c r="BZ226" i="20"/>
  <c r="EH226" i="20" s="1"/>
  <c r="EJ226" i="20" s="1"/>
  <c r="EP226" i="20" s="1"/>
  <c r="L226" i="20"/>
  <c r="AS226" i="20"/>
  <c r="AR226" i="20" s="1"/>
  <c r="CH226" i="20"/>
  <c r="O226" i="20"/>
  <c r="CI226" i="20"/>
  <c r="DT226" i="20"/>
  <c r="AU226" i="20"/>
  <c r="R226" i="20"/>
  <c r="Q226" i="20"/>
  <c r="EM226" i="20" s="1"/>
  <c r="T226" i="20"/>
  <c r="V226" i="20"/>
  <c r="AB226" i="20"/>
  <c r="GF226" i="20"/>
  <c r="GI226" i="20" s="1"/>
  <c r="DA226" i="20" s="1"/>
  <c r="Q201" i="20"/>
  <c r="AT201" i="20" s="1"/>
  <c r="AF216" i="20"/>
  <c r="AG216" i="20" s="1"/>
  <c r="EB216" i="20" s="1"/>
  <c r="R201" i="20"/>
  <c r="BI201" i="20"/>
  <c r="BZ201" i="20"/>
  <c r="EH201" i="20" s="1"/>
  <c r="EJ201" i="20" s="1"/>
  <c r="EP201" i="20" s="1"/>
  <c r="DU201" i="20" s="1"/>
  <c r="CP201" i="20"/>
  <c r="I216" i="20"/>
  <c r="BZ216" i="20"/>
  <c r="EH216" i="20" s="1"/>
  <c r="EJ216" i="20" s="1"/>
  <c r="EP216" i="20" s="1"/>
  <c r="L216" i="20"/>
  <c r="BJ216" i="20" s="1"/>
  <c r="AS216" i="20"/>
  <c r="AR216" i="20" s="1"/>
  <c r="CH216" i="20"/>
  <c r="O216" i="20"/>
  <c r="CI216" i="20"/>
  <c r="DT216" i="20"/>
  <c r="AU216" i="20"/>
  <c r="Q216" i="20"/>
  <c r="EM216" i="20" s="1"/>
  <c r="AA216" i="20"/>
  <c r="Z216" i="20" s="1"/>
  <c r="AB216" i="20"/>
  <c r="GF216" i="20"/>
  <c r="AG201" i="20"/>
  <c r="BQ201" i="20" s="1"/>
  <c r="I201" i="20"/>
  <c r="L201" i="20"/>
  <c r="AS201" i="20"/>
  <c r="AR201" i="20" s="1"/>
  <c r="CH201" i="20"/>
  <c r="O201" i="20"/>
  <c r="DT201" i="20"/>
  <c r="AU201" i="20"/>
  <c r="T201" i="20"/>
  <c r="AA201" i="20"/>
  <c r="AB201" i="20"/>
  <c r="GF201" i="20"/>
  <c r="AF214" i="20"/>
  <c r="AG214" i="20" s="1"/>
  <c r="BQ214" i="20" s="1"/>
  <c r="BZ214" i="20"/>
  <c r="EH214" i="20" s="1"/>
  <c r="EJ214" i="20" s="1"/>
  <c r="EP214" i="20" s="1"/>
  <c r="L214" i="20"/>
  <c r="BJ214" i="20" s="1"/>
  <c r="AS214" i="20"/>
  <c r="AR214" i="20" s="1"/>
  <c r="CH214" i="20"/>
  <c r="O214" i="20"/>
  <c r="CI214" i="20"/>
  <c r="DT214" i="20"/>
  <c r="AU214" i="20"/>
  <c r="Q214" i="20"/>
  <c r="EM214" i="20" s="1"/>
  <c r="R214" i="20"/>
  <c r="T214" i="20"/>
  <c r="AA214" i="20"/>
  <c r="Z214" i="20" s="1"/>
  <c r="AB214" i="20"/>
  <c r="GF214" i="20"/>
  <c r="AG226" i="20" l="1"/>
  <c r="CJ201" i="20"/>
  <c r="AT205" i="20"/>
  <c r="CJ226" i="20"/>
  <c r="CQ226" i="20" s="1"/>
  <c r="ET203" i="20"/>
  <c r="ES203" i="20" s="1"/>
  <c r="BQ203" i="20"/>
  <c r="AV226" i="20"/>
  <c r="CJ205" i="20"/>
  <c r="CQ205" i="20" s="1"/>
  <c r="CS205" i="20" s="1"/>
  <c r="CX205" i="20" s="1"/>
  <c r="FQ205" i="20"/>
  <c r="DL205" i="20"/>
  <c r="DU205" i="20"/>
  <c r="FO205" i="20"/>
  <c r="DI205" i="20"/>
  <c r="AV205" i="20"/>
  <c r="FB205" i="20"/>
  <c r="FC205" i="20" s="1"/>
  <c r="FD205" i="20" s="1"/>
  <c r="BH205" i="20"/>
  <c r="BP205" i="20"/>
  <c r="BR205" i="20" s="1"/>
  <c r="AV203" i="20"/>
  <c r="EM201" i="20"/>
  <c r="EL201" i="20" s="1"/>
  <c r="CZ201" i="20" s="1"/>
  <c r="DU203" i="20"/>
  <c r="AT203" i="20"/>
  <c r="CJ203" i="20"/>
  <c r="BF203" i="20"/>
  <c r="CU203" i="20" s="1"/>
  <c r="P203" i="20"/>
  <c r="DQ203" i="20"/>
  <c r="AO203" i="20"/>
  <c r="BJ203" i="20"/>
  <c r="BG203" i="20"/>
  <c r="BH203" i="20" s="1"/>
  <c r="ET216" i="20"/>
  <c r="ES216" i="20" s="1"/>
  <c r="BQ216" i="20"/>
  <c r="FQ226" i="20"/>
  <c r="DL226" i="20"/>
  <c r="DU226" i="20"/>
  <c r="AT226" i="20"/>
  <c r="BF226" i="20"/>
  <c r="CU226" i="20" s="1"/>
  <c r="P226" i="20"/>
  <c r="BN226" i="20" s="1"/>
  <c r="CW226" i="20" s="1"/>
  <c r="DQ226" i="20"/>
  <c r="BQ226" i="20"/>
  <c r="EB226" i="20"/>
  <c r="BJ226" i="20"/>
  <c r="BG226" i="20"/>
  <c r="BP226" i="20" s="1"/>
  <c r="ET214" i="20"/>
  <c r="ES214" i="20" s="1"/>
  <c r="AV216" i="20"/>
  <c r="EB214" i="20"/>
  <c r="DU216" i="20"/>
  <c r="AT216" i="20"/>
  <c r="CJ216" i="20"/>
  <c r="BF216" i="20"/>
  <c r="CU216" i="20" s="1"/>
  <c r="P216" i="20"/>
  <c r="DQ216" i="20"/>
  <c r="AO216" i="20"/>
  <c r="BG216" i="20"/>
  <c r="BH216" i="20" s="1"/>
  <c r="Z201" i="20"/>
  <c r="AV201" i="20"/>
  <c r="BF201" i="20"/>
  <c r="CU201" i="20" s="1"/>
  <c r="P201" i="20"/>
  <c r="DQ201" i="20"/>
  <c r="AO201" i="20"/>
  <c r="EB201" i="20"/>
  <c r="BJ201" i="20"/>
  <c r="BG201" i="20"/>
  <c r="BH201" i="20" s="1"/>
  <c r="AV214" i="20"/>
  <c r="DU214" i="20"/>
  <c r="AT214" i="20"/>
  <c r="CJ214" i="20"/>
  <c r="BF214" i="20"/>
  <c r="CU214" i="20" s="1"/>
  <c r="P214" i="20"/>
  <c r="DQ214" i="20"/>
  <c r="AO214" i="20"/>
  <c r="BG214" i="20"/>
  <c r="BH214" i="20" s="1"/>
  <c r="BK205" i="20" l="1"/>
  <c r="CV205" i="20" s="1"/>
  <c r="FR205" i="20"/>
  <c r="DK205" i="20"/>
  <c r="EL205" i="20"/>
  <c r="CZ205" i="20" s="1"/>
  <c r="BK203" i="20"/>
  <c r="CV203" i="20" s="1"/>
  <c r="BP203" i="20"/>
  <c r="BR203" i="20" s="1"/>
  <c r="GG203" i="20"/>
  <c r="GI203" i="20" s="1"/>
  <c r="DA203" i="20" s="1"/>
  <c r="CL203" i="20"/>
  <c r="CM203" i="20" s="1"/>
  <c r="CQ203" i="20" s="1"/>
  <c r="CS203" i="20" s="1"/>
  <c r="CX203" i="20" s="1"/>
  <c r="BM203" i="20"/>
  <c r="BN203" i="20" s="1"/>
  <c r="CW203" i="20" s="1"/>
  <c r="FB203" i="20"/>
  <c r="FC203" i="20" s="1"/>
  <c r="FD203" i="20" s="1"/>
  <c r="FO203" i="20"/>
  <c r="DC203" i="20"/>
  <c r="EL203" i="20"/>
  <c r="CZ203" i="20" s="1"/>
  <c r="BH226" i="20"/>
  <c r="BK226" i="20" s="1"/>
  <c r="CV226" i="20" s="1"/>
  <c r="BR226" i="20"/>
  <c r="FB226" i="20"/>
  <c r="FC226" i="20" s="1"/>
  <c r="FD226" i="20" s="1"/>
  <c r="FO226" i="20"/>
  <c r="DI226" i="20"/>
  <c r="CS226" i="20"/>
  <c r="CX226" i="20" s="1"/>
  <c r="EL226" i="20"/>
  <c r="CZ226" i="20" s="1"/>
  <c r="BK216" i="20"/>
  <c r="CV216" i="20" s="1"/>
  <c r="BP216" i="20"/>
  <c r="BR216" i="20" s="1"/>
  <c r="GG216" i="20"/>
  <c r="GI216" i="20" s="1"/>
  <c r="DA216" i="20" s="1"/>
  <c r="CL216" i="20"/>
  <c r="CM216" i="20" s="1"/>
  <c r="CQ216" i="20" s="1"/>
  <c r="CS216" i="20" s="1"/>
  <c r="CX216" i="20" s="1"/>
  <c r="BM216" i="20"/>
  <c r="BN216" i="20" s="1"/>
  <c r="CW216" i="20" s="1"/>
  <c r="FB216" i="20"/>
  <c r="FC216" i="20" s="1"/>
  <c r="FD216" i="20" s="1"/>
  <c r="FO216" i="20"/>
  <c r="DC216" i="20"/>
  <c r="EL216" i="20"/>
  <c r="CZ216" i="20" s="1"/>
  <c r="BK201" i="20"/>
  <c r="CV201" i="20" s="1"/>
  <c r="BP201" i="20"/>
  <c r="BR201" i="20" s="1"/>
  <c r="FT201" i="20"/>
  <c r="DH201" i="20"/>
  <c r="GG201" i="20"/>
  <c r="GI201" i="20" s="1"/>
  <c r="DA201" i="20" s="1"/>
  <c r="CL201" i="20"/>
  <c r="CM201" i="20" s="1"/>
  <c r="CQ201" i="20" s="1"/>
  <c r="CS201" i="20" s="1"/>
  <c r="CX201" i="20" s="1"/>
  <c r="BM201" i="20"/>
  <c r="BN201" i="20" s="1"/>
  <c r="CW201" i="20" s="1"/>
  <c r="FB201" i="20"/>
  <c r="FC201" i="20" s="1"/>
  <c r="FD201" i="20" s="1"/>
  <c r="FO201" i="20"/>
  <c r="DC201" i="20"/>
  <c r="BK214" i="20"/>
  <c r="CV214" i="20" s="1"/>
  <c r="BP214" i="20"/>
  <c r="BR214" i="20" s="1"/>
  <c r="GG214" i="20"/>
  <c r="GI214" i="20" s="1"/>
  <c r="DA214" i="20" s="1"/>
  <c r="CL214" i="20"/>
  <c r="CM214" i="20" s="1"/>
  <c r="CQ214" i="20" s="1"/>
  <c r="CS214" i="20" s="1"/>
  <c r="CX214" i="20" s="1"/>
  <c r="BM214" i="20"/>
  <c r="BN214" i="20" s="1"/>
  <c r="CW214" i="20" s="1"/>
  <c r="FB214" i="20"/>
  <c r="FC214" i="20" s="1"/>
  <c r="FD214" i="20" s="1"/>
  <c r="DC214" i="20"/>
  <c r="FO214" i="20"/>
  <c r="EL214" i="20"/>
  <c r="CZ214" i="20" s="1"/>
  <c r="FT205" i="20" l="1"/>
  <c r="DN205" i="20"/>
  <c r="FP205" i="20"/>
  <c r="DJ205" i="20"/>
  <c r="FT203" i="20"/>
  <c r="DH203" i="20"/>
  <c r="FR203" i="20"/>
  <c r="DE203" i="20"/>
  <c r="FQ203" i="20"/>
  <c r="DF203" i="20"/>
  <c r="FP203" i="20"/>
  <c r="DD203" i="20"/>
  <c r="FT226" i="20"/>
  <c r="DN226" i="20"/>
  <c r="FP226" i="20"/>
  <c r="DJ226" i="20"/>
  <c r="FR226" i="20"/>
  <c r="DK226" i="20"/>
  <c r="FT216" i="20"/>
  <c r="DH216" i="20"/>
  <c r="FR216" i="20"/>
  <c r="DE216" i="20"/>
  <c r="FQ216" i="20"/>
  <c r="DF216" i="20"/>
  <c r="FP216" i="20"/>
  <c r="DD216" i="20"/>
  <c r="FR201" i="20"/>
  <c r="DE201" i="20"/>
  <c r="FQ201" i="20"/>
  <c r="DF201" i="20"/>
  <c r="FP201" i="20"/>
  <c r="DD201" i="20"/>
  <c r="FT214" i="20"/>
  <c r="DH214" i="20"/>
  <c r="FR214" i="20"/>
  <c r="DE214" i="20"/>
  <c r="FQ214" i="20"/>
  <c r="DF214" i="20"/>
  <c r="FP214" i="20"/>
  <c r="DD214" i="20"/>
  <c r="K157" i="20" l="1"/>
  <c r="W178" i="20"/>
  <c r="W183" i="20"/>
  <c r="AA427" i="20"/>
  <c r="Y208" i="20"/>
  <c r="Y198" i="20"/>
  <c r="Y196" i="20"/>
  <c r="Y210" i="20"/>
  <c r="Y356" i="20"/>
  <c r="Y394" i="20"/>
  <c r="Y420" i="20"/>
  <c r="Y193" i="20"/>
  <c r="Y380" i="20"/>
  <c r="Y396" i="20"/>
  <c r="Y176" i="20"/>
  <c r="Y436" i="20"/>
  <c r="Y435" i="20"/>
  <c r="Y456" i="20"/>
  <c r="Y455" i="20"/>
  <c r="Y267" i="20"/>
  <c r="Y197" i="20"/>
  <c r="Y389" i="20"/>
  <c r="Y301" i="20"/>
  <c r="Y419" i="20"/>
  <c r="Y418" i="20"/>
  <c r="Y242" i="20"/>
  <c r="Y265" i="20"/>
  <c r="Y363" i="20"/>
  <c r="Y355" i="20"/>
  <c r="Y358" i="20"/>
  <c r="Y365" i="20"/>
  <c r="Y379" i="20"/>
  <c r="Y378" i="20"/>
  <c r="Y370" i="20"/>
  <c r="Y377" i="20"/>
  <c r="Y373" i="20"/>
  <c r="Y364" i="20"/>
  <c r="Y374" i="20"/>
  <c r="Y268" i="20"/>
  <c r="Y369" i="20"/>
  <c r="Y376" i="20"/>
  <c r="Y271" i="20"/>
  <c r="Y273" i="20"/>
  <c r="Y269" i="20"/>
  <c r="Y354" i="20"/>
  <c r="Y350" i="20"/>
  <c r="Y368" i="20"/>
  <c r="Y366" i="20"/>
  <c r="Y306" i="20"/>
  <c r="Y313" i="20"/>
  <c r="Y390" i="20"/>
  <c r="Y381" i="20"/>
  <c r="Y292" i="20"/>
  <c r="Y276" i="20"/>
  <c r="Y362" i="20"/>
  <c r="Y375" i="20"/>
  <c r="Y263" i="20"/>
  <c r="Y262" i="20"/>
  <c r="Y302" i="20"/>
  <c r="Y307" i="20"/>
  <c r="Y253" i="20"/>
  <c r="Y257" i="20"/>
  <c r="Y372" i="20"/>
  <c r="Y349" i="20"/>
  <c r="Y412" i="20"/>
  <c r="Y407" i="20"/>
  <c r="Y275" i="20"/>
  <c r="Y286" i="20"/>
  <c r="Y274" i="20"/>
  <c r="Y278" i="20"/>
  <c r="Y261" i="20"/>
  <c r="Y228" i="20"/>
  <c r="Y230" i="20"/>
  <c r="Y256" i="20"/>
  <c r="Y258" i="20"/>
  <c r="Y255" i="20"/>
  <c r="Y264" i="20"/>
  <c r="Y283" i="20"/>
  <c r="Y272" i="20"/>
  <c r="Y343" i="20"/>
  <c r="Y353" i="20"/>
  <c r="Y395" i="20"/>
  <c r="Y393" i="20"/>
  <c r="Y352" i="20"/>
  <c r="Y348" i="20"/>
  <c r="Y245" i="20"/>
  <c r="Y246" i="20"/>
  <c r="Y254" i="20"/>
  <c r="Y351" i="20"/>
  <c r="Y359" i="20"/>
  <c r="Y241" i="20"/>
  <c r="Y252" i="20"/>
  <c r="Y367" i="20"/>
  <c r="Y347" i="20"/>
  <c r="Y361" i="20"/>
  <c r="Y371" i="20"/>
  <c r="Y342" i="20"/>
  <c r="Y360" i="20"/>
  <c r="Y385" i="20"/>
  <c r="Y386" i="20"/>
  <c r="Y185" i="20"/>
  <c r="Y188" i="20"/>
  <c r="Y186" i="20"/>
  <c r="Y184" i="20"/>
  <c r="Y260" i="20"/>
  <c r="Y266" i="20"/>
  <c r="Y251" i="20"/>
  <c r="Y409" i="20"/>
  <c r="Y401" i="20"/>
  <c r="Y406" i="20"/>
  <c r="Y405" i="20"/>
  <c r="Y335" i="20"/>
  <c r="Y322" i="20"/>
  <c r="Y323" i="20"/>
  <c r="Y339" i="20"/>
  <c r="Y340" i="20"/>
  <c r="Y328" i="20"/>
  <c r="Y195" i="20"/>
  <c r="Y200" i="20"/>
  <c r="Y259" i="20"/>
  <c r="Y250" i="20"/>
  <c r="Y357" i="20"/>
  <c r="Y344" i="20"/>
  <c r="Y404" i="20"/>
  <c r="Y416" i="20"/>
  <c r="Y397" i="20"/>
  <c r="Y398" i="20"/>
  <c r="Y403" i="20"/>
  <c r="Y400" i="20"/>
  <c r="Y399" i="20"/>
  <c r="Y408" i="20"/>
  <c r="Y315" i="20"/>
  <c r="Y318" i="20"/>
  <c r="Y324" i="20"/>
  <c r="Y320" i="20"/>
  <c r="Y314" i="20"/>
  <c r="Y333" i="20"/>
  <c r="Y319" i="20"/>
  <c r="Y317" i="20"/>
  <c r="Y321" i="20"/>
  <c r="Y337" i="20"/>
  <c r="Y327" i="20"/>
  <c r="Y316" i="20"/>
  <c r="Y334" i="20"/>
  <c r="Y332" i="20"/>
  <c r="Y336" i="20"/>
  <c r="Y345" i="20"/>
  <c r="Y331" i="20"/>
  <c r="Y326" i="20"/>
  <c r="Y329" i="20"/>
  <c r="Y338" i="20"/>
  <c r="Y330" i="20"/>
  <c r="Y346" i="20"/>
  <c r="Y341" i="20"/>
  <c r="Y325" i="20"/>
  <c r="Y285" i="20"/>
  <c r="Y293" i="20"/>
  <c r="Y296" i="20"/>
  <c r="Y282" i="20"/>
  <c r="Y277" i="20"/>
  <c r="Y279" i="20"/>
  <c r="Y287" i="20"/>
  <c r="Y295" i="20"/>
  <c r="Y291" i="20"/>
  <c r="Y288" i="20"/>
  <c r="Y280" i="20"/>
  <c r="Y294" i="20"/>
  <c r="Y270" i="20"/>
  <c r="Y289" i="20"/>
  <c r="Y290" i="20"/>
  <c r="Y284" i="20"/>
  <c r="Y281" i="20"/>
  <c r="Y202" i="20"/>
  <c r="Y213" i="20"/>
  <c r="Y194" i="20"/>
  <c r="Y212" i="20"/>
  <c r="Y215" i="20"/>
  <c r="Y248" i="20"/>
  <c r="Y240" i="20"/>
  <c r="Y298" i="20"/>
  <c r="Y297" i="20"/>
  <c r="Y239" i="20"/>
  <c r="Y244" i="20"/>
  <c r="Y231" i="20"/>
  <c r="Y247" i="20"/>
  <c r="Y234" i="20"/>
  <c r="Y238" i="20"/>
  <c r="Y299" i="20"/>
  <c r="Y189" i="20"/>
  <c r="Y191" i="20"/>
  <c r="Y187" i="20"/>
  <c r="Y192" i="20"/>
  <c r="Y454" i="20"/>
  <c r="Y453" i="20"/>
  <c r="Y450" i="20"/>
  <c r="Y449" i="20"/>
  <c r="Y452" i="20"/>
  <c r="Y451" i="20"/>
  <c r="Y232" i="20"/>
  <c r="Y243" i="20"/>
  <c r="Y422" i="20"/>
  <c r="Y421" i="20"/>
  <c r="Y207" i="20"/>
  <c r="Y211" i="20"/>
  <c r="Y199" i="20"/>
  <c r="Y209" i="20"/>
  <c r="Y434" i="20"/>
  <c r="Y433" i="20"/>
  <c r="Y430" i="20"/>
  <c r="Y429" i="20"/>
  <c r="Y432" i="20"/>
  <c r="Y431" i="20"/>
  <c r="Y392" i="20"/>
  <c r="Y391" i="20"/>
  <c r="Y206" i="20"/>
  <c r="Y204" i="20"/>
  <c r="Y182" i="20"/>
  <c r="Y183" i="20"/>
  <c r="Y178" i="20"/>
  <c r="Y177" i="20"/>
  <c r="Y426" i="20"/>
  <c r="Y425" i="20"/>
  <c r="Y428" i="20"/>
  <c r="Y423" i="20"/>
  <c r="Y427" i="20"/>
  <c r="Y424" i="20"/>
  <c r="Y172" i="20"/>
  <c r="Y173" i="20"/>
  <c r="Y171" i="20"/>
  <c r="Y170" i="20"/>
  <c r="Y304" i="20"/>
  <c r="Y303" i="20"/>
  <c r="Y305" i="20"/>
  <c r="Y411" i="20"/>
  <c r="Y415" i="20"/>
  <c r="Y161" i="20"/>
  <c r="Y157" i="20"/>
  <c r="Y388" i="20"/>
  <c r="Y387" i="20"/>
  <c r="Y441" i="20"/>
  <c r="Y445" i="20"/>
  <c r="Y443" i="20"/>
  <c r="Y447" i="20"/>
  <c r="Y442" i="20"/>
  <c r="Y438" i="20"/>
  <c r="Y169" i="20"/>
  <c r="Y168" i="20"/>
  <c r="Y167" i="20"/>
  <c r="Y166" i="20"/>
  <c r="Y165" i="20"/>
  <c r="Y311" i="20"/>
  <c r="Y312" i="20"/>
  <c r="Y308" i="20"/>
  <c r="Y309" i="20"/>
  <c r="Y310" i="20"/>
  <c r="Y402" i="20"/>
  <c r="Y417" i="20"/>
  <c r="Y413" i="20"/>
  <c r="Y414" i="20"/>
  <c r="Y410" i="20"/>
  <c r="Y175" i="20"/>
  <c r="Y174" i="20"/>
  <c r="Y300" i="20"/>
  <c r="Y437" i="20"/>
  <c r="Y444" i="20"/>
  <c r="Y439" i="20"/>
  <c r="Y446" i="20"/>
  <c r="Y448" i="20"/>
  <c r="Y440" i="20"/>
  <c r="Y227" i="20"/>
  <c r="Y217" i="20"/>
  <c r="Y382" i="20"/>
  <c r="Y384" i="20"/>
  <c r="Y383" i="20"/>
  <c r="T388" i="20"/>
  <c r="T387" i="20"/>
  <c r="T311" i="20"/>
  <c r="T312" i="20"/>
  <c r="T308" i="20"/>
  <c r="T309" i="20"/>
  <c r="T310" i="20"/>
  <c r="T304" i="20"/>
  <c r="T303" i="20"/>
  <c r="T305" i="20"/>
  <c r="T267" i="20"/>
  <c r="T197" i="20"/>
  <c r="T389" i="20"/>
  <c r="T382" i="20"/>
  <c r="T384" i="20"/>
  <c r="T383" i="20"/>
  <c r="T301" i="20"/>
  <c r="T300" i="20"/>
  <c r="R388" i="20"/>
  <c r="R387" i="20"/>
  <c r="R311" i="20"/>
  <c r="R312" i="20"/>
  <c r="R308" i="20"/>
  <c r="R309" i="20"/>
  <c r="R310" i="20"/>
  <c r="R304" i="20"/>
  <c r="R303" i="20"/>
  <c r="R305" i="20"/>
  <c r="R267" i="20"/>
  <c r="R197" i="20"/>
  <c r="R389" i="20"/>
  <c r="R382" i="20"/>
  <c r="R384" i="20"/>
  <c r="R383" i="20"/>
  <c r="R301" i="20"/>
  <c r="R300" i="20"/>
  <c r="V193" i="20"/>
  <c r="V380" i="20"/>
  <c r="V396" i="20"/>
  <c r="S285" i="20"/>
  <c r="U285" i="20"/>
  <c r="N188" i="20"/>
  <c r="S184" i="20"/>
  <c r="S436" i="20"/>
  <c r="R436" i="20" s="1"/>
  <c r="K228" i="20"/>
  <c r="K300" i="20"/>
  <c r="I396" i="20"/>
  <c r="I380" i="20"/>
  <c r="I193" i="20"/>
  <c r="AD304" i="20"/>
  <c r="S379" i="20"/>
  <c r="GH558" i="20"/>
  <c r="DP558" i="20"/>
  <c r="CO558" i="20"/>
  <c r="CN558" i="20"/>
  <c r="CL558" i="20"/>
  <c r="CM558" i="20" s="1"/>
  <c r="BA558" i="20"/>
  <c r="AQ558" i="20"/>
  <c r="EI558" i="20" s="1"/>
  <c r="AJ558" i="20"/>
  <c r="AH558" i="20"/>
  <c r="AE558" i="20"/>
  <c r="BI558" i="20" s="1"/>
  <c r="AD558" i="20"/>
  <c r="S558" i="20"/>
  <c r="K558" i="20"/>
  <c r="AS558" i="20" s="1"/>
  <c r="GH557" i="20"/>
  <c r="EI557" i="20"/>
  <c r="DP557" i="20"/>
  <c r="CO557" i="20"/>
  <c r="CN557" i="20"/>
  <c r="BA557" i="20"/>
  <c r="AJ557" i="20"/>
  <c r="AH557" i="20"/>
  <c r="AE557" i="20"/>
  <c r="AD557" i="20"/>
  <c r="S557" i="20"/>
  <c r="GF557" i="20" s="1"/>
  <c r="K557" i="20"/>
  <c r="GH556" i="20"/>
  <c r="EI556" i="20"/>
  <c r="DP556" i="20"/>
  <c r="CO556" i="20"/>
  <c r="CN556" i="20"/>
  <c r="BA556" i="20"/>
  <c r="AJ556" i="20"/>
  <c r="AH556" i="20"/>
  <c r="AE556" i="20"/>
  <c r="BI556" i="20" s="1"/>
  <c r="AD556" i="20"/>
  <c r="S556" i="20"/>
  <c r="K556" i="20"/>
  <c r="L556" i="20" s="1"/>
  <c r="GH555" i="20"/>
  <c r="EI555" i="20"/>
  <c r="DP555" i="20"/>
  <c r="CO555" i="20"/>
  <c r="CN555" i="20"/>
  <c r="BA555" i="20"/>
  <c r="AJ555" i="20"/>
  <c r="AH555" i="20"/>
  <c r="AE555" i="20"/>
  <c r="BI555" i="20" s="1"/>
  <c r="AD555" i="20"/>
  <c r="S555" i="20"/>
  <c r="K555" i="20"/>
  <c r="GH554" i="20"/>
  <c r="EI554" i="20"/>
  <c r="DP554" i="20"/>
  <c r="CO554" i="20"/>
  <c r="CN554" i="20"/>
  <c r="BA554" i="20"/>
  <c r="AJ554" i="20"/>
  <c r="AH554" i="20"/>
  <c r="AE554" i="20"/>
  <c r="AF554" i="20" s="1"/>
  <c r="AD554" i="20"/>
  <c r="S554" i="20"/>
  <c r="K554" i="20"/>
  <c r="DT554" i="20" s="1"/>
  <c r="GH553" i="20"/>
  <c r="EI553" i="20"/>
  <c r="DP553" i="20"/>
  <c r="CO553" i="20"/>
  <c r="CN553" i="20"/>
  <c r="BA553" i="20"/>
  <c r="AJ553" i="20"/>
  <c r="AH553" i="20"/>
  <c r="AE553" i="20"/>
  <c r="BI553" i="20" s="1"/>
  <c r="AD553" i="20"/>
  <c r="S553" i="20"/>
  <c r="AC553" i="20" s="1"/>
  <c r="K553" i="20"/>
  <c r="O553" i="20" s="1"/>
  <c r="GH552" i="20"/>
  <c r="EI552" i="20"/>
  <c r="DP552" i="20"/>
  <c r="CO552" i="20"/>
  <c r="CN552" i="20"/>
  <c r="BA552" i="20"/>
  <c r="AJ552" i="20"/>
  <c r="AH552" i="20"/>
  <c r="AE552" i="20"/>
  <c r="AF552" i="20" s="1"/>
  <c r="AD552" i="20"/>
  <c r="S552" i="20"/>
  <c r="K552" i="20"/>
  <c r="AU552" i="20" s="1"/>
  <c r="GH551" i="20"/>
  <c r="EI551" i="20"/>
  <c r="DP551" i="20"/>
  <c r="CO551" i="20"/>
  <c r="CN551" i="20"/>
  <c r="BA551" i="20"/>
  <c r="AX551" i="20"/>
  <c r="AX552" i="20" s="1"/>
  <c r="AX553" i="20" s="1"/>
  <c r="AX554" i="20" s="1"/>
  <c r="AX555" i="20" s="1"/>
  <c r="AX556" i="20" s="1"/>
  <c r="AX557" i="20" s="1"/>
  <c r="AX558" i="20" s="1"/>
  <c r="AJ551" i="20"/>
  <c r="AH551" i="20"/>
  <c r="AE551" i="20"/>
  <c r="BI551" i="20" s="1"/>
  <c r="AD551" i="20"/>
  <c r="S551" i="20"/>
  <c r="GF551" i="20" s="1"/>
  <c r="K551" i="20"/>
  <c r="O551" i="20" s="1"/>
  <c r="GH550" i="20"/>
  <c r="EI550" i="20"/>
  <c r="DP550" i="20"/>
  <c r="CO550" i="20"/>
  <c r="CN550" i="20"/>
  <c r="BA550" i="20"/>
  <c r="AJ550" i="20"/>
  <c r="AH550" i="20"/>
  <c r="AE550" i="20"/>
  <c r="AD550" i="20"/>
  <c r="S550" i="20"/>
  <c r="K550" i="20"/>
  <c r="L550" i="20" s="1"/>
  <c r="AO510" i="20"/>
  <c r="AO511" i="20"/>
  <c r="AO512" i="20"/>
  <c r="AO513" i="20"/>
  <c r="AO514" i="20"/>
  <c r="AO515" i="20"/>
  <c r="AO516" i="20"/>
  <c r="AO517" i="20"/>
  <c r="AO518" i="20"/>
  <c r="AO519" i="20"/>
  <c r="AO520" i="20"/>
  <c r="AO521" i="20"/>
  <c r="AO522" i="20"/>
  <c r="AO523" i="20"/>
  <c r="AO524" i="20"/>
  <c r="AO525" i="20"/>
  <c r="AO526" i="20"/>
  <c r="AO527" i="20"/>
  <c r="AO528" i="20"/>
  <c r="AO529" i="20"/>
  <c r="AJ543" i="20"/>
  <c r="AJ542" i="20"/>
  <c r="AJ541" i="20"/>
  <c r="AJ540" i="20"/>
  <c r="AJ539" i="20"/>
  <c r="AJ538" i="20"/>
  <c r="AJ537" i="20"/>
  <c r="AJ536" i="20"/>
  <c r="AJ535" i="20"/>
  <c r="AJ534" i="20"/>
  <c r="AJ533" i="20"/>
  <c r="AJ532" i="20"/>
  <c r="AJ531" i="20"/>
  <c r="AJ530" i="20"/>
  <c r="AJ529" i="20"/>
  <c r="AJ528" i="20"/>
  <c r="AJ527" i="20"/>
  <c r="AJ526" i="20"/>
  <c r="AJ525" i="20"/>
  <c r="AJ524" i="20"/>
  <c r="AJ523" i="20"/>
  <c r="AJ522" i="20"/>
  <c r="AJ521" i="20"/>
  <c r="AJ520" i="20"/>
  <c r="AJ519" i="20"/>
  <c r="AJ518" i="20"/>
  <c r="AJ517" i="20"/>
  <c r="AJ516" i="20"/>
  <c r="AJ515" i="20"/>
  <c r="AJ514" i="20"/>
  <c r="AJ513" i="20"/>
  <c r="AJ512" i="20"/>
  <c r="AJ511" i="20"/>
  <c r="AJ510" i="20"/>
  <c r="W539" i="20"/>
  <c r="W540" i="20"/>
  <c r="W541" i="20"/>
  <c r="W542" i="20"/>
  <c r="W543" i="20"/>
  <c r="W538" i="20"/>
  <c r="S543" i="20"/>
  <c r="S541" i="20"/>
  <c r="S539" i="20"/>
  <c r="S531" i="20"/>
  <c r="W531" i="20" s="1"/>
  <c r="S530" i="20"/>
  <c r="W530" i="20" s="1"/>
  <c r="S529" i="20"/>
  <c r="W529" i="20" s="1"/>
  <c r="S526" i="20"/>
  <c r="W526" i="20" s="1"/>
  <c r="S523" i="20"/>
  <c r="W523" i="20" s="1"/>
  <c r="S520" i="20"/>
  <c r="W520" i="20" s="1"/>
  <c r="S517" i="20"/>
  <c r="W517" i="20" s="1"/>
  <c r="S518" i="20"/>
  <c r="W518" i="20" s="1"/>
  <c r="S519" i="20"/>
  <c r="W519" i="20" s="1"/>
  <c r="S521" i="20"/>
  <c r="W521" i="20" s="1"/>
  <c r="S522" i="20"/>
  <c r="W522" i="20" s="1"/>
  <c r="S524" i="20"/>
  <c r="W524" i="20" s="1"/>
  <c r="S525" i="20"/>
  <c r="W525" i="20" s="1"/>
  <c r="S527" i="20"/>
  <c r="W527" i="20" s="1"/>
  <c r="S528" i="20"/>
  <c r="W528" i="20" s="1"/>
  <c r="S532" i="20"/>
  <c r="W532" i="20" s="1"/>
  <c r="S533" i="20"/>
  <c r="W533" i="20" s="1"/>
  <c r="S534" i="20"/>
  <c r="W534" i="20" s="1"/>
  <c r="S535" i="20"/>
  <c r="W535" i="20" s="1"/>
  <c r="S536" i="20"/>
  <c r="W536" i="20" s="1"/>
  <c r="S537" i="20"/>
  <c r="W537" i="20" s="1"/>
  <c r="S538" i="20"/>
  <c r="S540" i="20"/>
  <c r="S542" i="20"/>
  <c r="S516" i="20"/>
  <c r="W516" i="20" s="1"/>
  <c r="S515" i="20"/>
  <c r="W515" i="20" s="1"/>
  <c r="S514" i="20"/>
  <c r="W514" i="20" s="1"/>
  <c r="S511" i="20"/>
  <c r="W511" i="20" s="1"/>
  <c r="S512" i="20"/>
  <c r="W512" i="20" s="1"/>
  <c r="S513" i="20"/>
  <c r="W513" i="20" s="1"/>
  <c r="S510" i="20"/>
  <c r="W510" i="20" s="1"/>
  <c r="K543" i="20"/>
  <c r="AA543" i="20" s="1"/>
  <c r="K542" i="20"/>
  <c r="AA542" i="20" s="1"/>
  <c r="K541" i="20"/>
  <c r="AA541" i="20" s="1"/>
  <c r="K540" i="20"/>
  <c r="AA540" i="20" s="1"/>
  <c r="K539" i="20"/>
  <c r="AA539" i="20" s="1"/>
  <c r="K538" i="20"/>
  <c r="AA538" i="20" s="1"/>
  <c r="K537" i="20"/>
  <c r="AA537" i="20" s="1"/>
  <c r="K536" i="20"/>
  <c r="AA536" i="20" s="1"/>
  <c r="K535" i="20"/>
  <c r="AA535" i="20" s="1"/>
  <c r="K534" i="20"/>
  <c r="AA534" i="20" s="1"/>
  <c r="K533" i="20"/>
  <c r="AA533" i="20" s="1"/>
  <c r="K532" i="20"/>
  <c r="AA532" i="20" s="1"/>
  <c r="K531" i="20"/>
  <c r="AA531" i="20" s="1"/>
  <c r="K530" i="20"/>
  <c r="AA530" i="20" s="1"/>
  <c r="K529" i="20"/>
  <c r="AA529" i="20" s="1"/>
  <c r="K527" i="20"/>
  <c r="AA527" i="20" s="1"/>
  <c r="K528" i="20"/>
  <c r="AA528" i="20" s="1"/>
  <c r="K526" i="20"/>
  <c r="AA526" i="20" s="1"/>
  <c r="K524" i="20"/>
  <c r="AA524" i="20" s="1"/>
  <c r="K525" i="20"/>
  <c r="AA525" i="20" s="1"/>
  <c r="K523" i="20"/>
  <c r="AA523" i="20" s="1"/>
  <c r="K522" i="20"/>
  <c r="AA522" i="20" s="1"/>
  <c r="K521" i="20"/>
  <c r="AA521" i="20" s="1"/>
  <c r="K520" i="20"/>
  <c r="AA520" i="20" s="1"/>
  <c r="K518" i="20"/>
  <c r="AA518" i="20" s="1"/>
  <c r="K519" i="20"/>
  <c r="AA519" i="20" s="1"/>
  <c r="K517" i="20"/>
  <c r="AA517" i="20" s="1"/>
  <c r="K516" i="20"/>
  <c r="AA516" i="20" s="1"/>
  <c r="K515" i="20"/>
  <c r="AA515" i="20" s="1"/>
  <c r="K514" i="20"/>
  <c r="AA514" i="20" s="1"/>
  <c r="K513" i="20"/>
  <c r="AA513" i="20" s="1"/>
  <c r="K512" i="20"/>
  <c r="AA512" i="20" s="1"/>
  <c r="K511" i="20"/>
  <c r="AA511" i="20" s="1"/>
  <c r="K510" i="20"/>
  <c r="AA510" i="20" s="1"/>
  <c r="CP555" i="20" l="1"/>
  <c r="AF558" i="20"/>
  <c r="ET558" i="20" s="1"/>
  <c r="ES558" i="20" s="1"/>
  <c r="BI554" i="20"/>
  <c r="AS556" i="20"/>
  <c r="AU556" i="20"/>
  <c r="AA551" i="20"/>
  <c r="AV551" i="20" s="1"/>
  <c r="AU558" i="20"/>
  <c r="CP552" i="20"/>
  <c r="CP553" i="20"/>
  <c r="AA553" i="20"/>
  <c r="AV553" i="20" s="1"/>
  <c r="EM553" i="20"/>
  <c r="AC551" i="20"/>
  <c r="EM557" i="20"/>
  <c r="CP558" i="20"/>
  <c r="GF553" i="20"/>
  <c r="AS552" i="20"/>
  <c r="BI552" i="20"/>
  <c r="W551" i="20"/>
  <c r="AB551" i="20" s="1"/>
  <c r="BJ556" i="20"/>
  <c r="CP551" i="20"/>
  <c r="AG552" i="20"/>
  <c r="EB552" i="20" s="1"/>
  <c r="ET552" i="20"/>
  <c r="ES552" i="20" s="1"/>
  <c r="AC557" i="20"/>
  <c r="CP550" i="20"/>
  <c r="CP557" i="20"/>
  <c r="AF556" i="20"/>
  <c r="DT550" i="20"/>
  <c r="AF553" i="20"/>
  <c r="ET553" i="20" s="1"/>
  <c r="ES553" i="20" s="1"/>
  <c r="CP554" i="20"/>
  <c r="L551" i="20"/>
  <c r="U551" i="20" s="1"/>
  <c r="EG551" i="20" s="1"/>
  <c r="CP556" i="20"/>
  <c r="L553" i="20"/>
  <c r="BF553" i="20" s="1"/>
  <c r="CU553" i="20" s="1"/>
  <c r="U550" i="20"/>
  <c r="EG550" i="20" s="1"/>
  <c r="BF550" i="20"/>
  <c r="CU550" i="20" s="1"/>
  <c r="DQ550" i="20"/>
  <c r="P550" i="20"/>
  <c r="AO550" i="20"/>
  <c r="BM550" i="20" s="1"/>
  <c r="EM554" i="20"/>
  <c r="AA554" i="20"/>
  <c r="AV554" i="20" s="1"/>
  <c r="AU554" i="20"/>
  <c r="AS554" i="20"/>
  <c r="O554" i="20"/>
  <c r="L554" i="20"/>
  <c r="EM550" i="20"/>
  <c r="AA550" i="20"/>
  <c r="AV550" i="20" s="1"/>
  <c r="AU550" i="20"/>
  <c r="AS550" i="20"/>
  <c r="U556" i="20"/>
  <c r="EG556" i="20" s="1"/>
  <c r="BF556" i="20"/>
  <c r="CU556" i="20" s="1"/>
  <c r="P556" i="20"/>
  <c r="BI550" i="20"/>
  <c r="BJ550" i="20" s="1"/>
  <c r="AF550" i="20"/>
  <c r="W553" i="20"/>
  <c r="AB553" i="20" s="1"/>
  <c r="AO556" i="20"/>
  <c r="BI557" i="20"/>
  <c r="O550" i="20"/>
  <c r="AC550" i="20"/>
  <c r="GF550" i="20"/>
  <c r="W550" i="20"/>
  <c r="DQ556" i="20"/>
  <c r="ET554" i="20"/>
  <c r="ES554" i="20" s="1"/>
  <c r="AG554" i="20"/>
  <c r="BQ554" i="20" s="1"/>
  <c r="AF557" i="20"/>
  <c r="W558" i="20"/>
  <c r="AC558" i="20"/>
  <c r="GF558" i="20"/>
  <c r="AB558" i="20"/>
  <c r="BM558" i="20"/>
  <c r="AU551" i="20"/>
  <c r="DT551" i="20"/>
  <c r="AS551" i="20"/>
  <c r="EM551" i="20"/>
  <c r="W555" i="20"/>
  <c r="AT555" i="20" s="1"/>
  <c r="AC555" i="20"/>
  <c r="GF555" i="20"/>
  <c r="AU555" i="20"/>
  <c r="DT555" i="20"/>
  <c r="AS555" i="20"/>
  <c r="L555" i="20"/>
  <c r="W554" i="20"/>
  <c r="AT554" i="20" s="1"/>
  <c r="AC554" i="20"/>
  <c r="GF554" i="20"/>
  <c r="O555" i="20"/>
  <c r="W552" i="20"/>
  <c r="AB552" i="20" s="1"/>
  <c r="AC552" i="20"/>
  <c r="GF552" i="20"/>
  <c r="AF555" i="20"/>
  <c r="EM555" i="20"/>
  <c r="DT556" i="20"/>
  <c r="AU557" i="20"/>
  <c r="DT557" i="20"/>
  <c r="AS557" i="20"/>
  <c r="O557" i="20"/>
  <c r="W557" i="20"/>
  <c r="AB557" i="20" s="1"/>
  <c r="EM558" i="20"/>
  <c r="AA558" i="20"/>
  <c r="BB558" i="20" s="1"/>
  <c r="EC558" i="20" s="1"/>
  <c r="EM556" i="20"/>
  <c r="AA556" i="20"/>
  <c r="O556" i="20"/>
  <c r="AF551" i="20"/>
  <c r="L557" i="20"/>
  <c r="W556" i="20"/>
  <c r="AC556" i="20"/>
  <c r="GF556" i="20"/>
  <c r="AU553" i="20"/>
  <c r="DT553" i="20"/>
  <c r="AS553" i="20"/>
  <c r="AA557" i="20"/>
  <c r="AV557" i="20" s="1"/>
  <c r="L558" i="20"/>
  <c r="BJ558" i="20" s="1"/>
  <c r="AA555" i="20"/>
  <c r="AV555" i="20" s="1"/>
  <c r="EM552" i="20"/>
  <c r="AA552" i="20"/>
  <c r="AV552" i="20" s="1"/>
  <c r="L552" i="20"/>
  <c r="O552" i="20"/>
  <c r="DT552" i="20"/>
  <c r="O558" i="20"/>
  <c r="DT558" i="20"/>
  <c r="S217" i="20"/>
  <c r="R217" i="20" s="1"/>
  <c r="W217" i="20"/>
  <c r="V217" i="20" s="1"/>
  <c r="U217" i="20"/>
  <c r="S169" i="20"/>
  <c r="K217" i="20"/>
  <c r="I217" i="20" s="1"/>
  <c r="K173" i="20"/>
  <c r="I173" i="20" s="1"/>
  <c r="W311" i="20"/>
  <c r="V311" i="20" s="1"/>
  <c r="U506" i="20"/>
  <c r="AJ268" i="20"/>
  <c r="U507" i="20"/>
  <c r="U505" i="20"/>
  <c r="N192" i="20"/>
  <c r="N189" i="20"/>
  <c r="AO270" i="20"/>
  <c r="AO288" i="20"/>
  <c r="CK288" i="20" s="1"/>
  <c r="AO118" i="20"/>
  <c r="CL118" i="20" s="1"/>
  <c r="CM118" i="20" s="1"/>
  <c r="AM394" i="20"/>
  <c r="FX496" i="21"/>
  <c r="DZ496" i="21"/>
  <c r="DY496" i="21"/>
  <c r="DL496" i="21"/>
  <c r="DI496" i="21"/>
  <c r="CG496" i="21"/>
  <c r="CF496" i="21"/>
  <c r="CH496" i="21" s="1"/>
  <c r="CD496" i="21"/>
  <c r="CC496" i="21"/>
  <c r="CE496" i="21" s="1"/>
  <c r="CB496" i="21"/>
  <c r="CI496" i="21" s="1"/>
  <c r="CK496" i="21" s="1"/>
  <c r="CA496" i="21"/>
  <c r="BZ496" i="21"/>
  <c r="BR496" i="21"/>
  <c r="AX496" i="21"/>
  <c r="AS496" i="21"/>
  <c r="AN496" i="21"/>
  <c r="AM496" i="21"/>
  <c r="AL496" i="21"/>
  <c r="AQ496" i="21" s="1"/>
  <c r="AR496" i="21" s="1"/>
  <c r="AK496" i="21"/>
  <c r="AE496" i="21"/>
  <c r="AD496" i="21"/>
  <c r="W496" i="21"/>
  <c r="U496" i="21"/>
  <c r="T496" i="21"/>
  <c r="L496" i="21"/>
  <c r="I496" i="21"/>
  <c r="M496" i="21" s="1"/>
  <c r="G496" i="21"/>
  <c r="FZ495" i="21"/>
  <c r="FX495" i="21"/>
  <c r="DY495" i="21"/>
  <c r="DL495" i="21"/>
  <c r="DI495" i="21"/>
  <c r="CG495" i="21"/>
  <c r="CH495" i="21" s="1"/>
  <c r="CF495" i="21"/>
  <c r="CD495" i="21"/>
  <c r="CE495" i="21" s="1"/>
  <c r="CC495" i="21"/>
  <c r="CB495" i="21"/>
  <c r="CA495" i="21"/>
  <c r="BZ495" i="21"/>
  <c r="BR495" i="21"/>
  <c r="DZ495" i="21" s="1"/>
  <c r="AX495" i="21"/>
  <c r="AS495" i="21"/>
  <c r="AN495" i="21"/>
  <c r="AM495" i="21"/>
  <c r="AL495" i="21"/>
  <c r="AQ495" i="21" s="1"/>
  <c r="AR495" i="21" s="1"/>
  <c r="AK495" i="21"/>
  <c r="AE495" i="21"/>
  <c r="X495" i="21"/>
  <c r="EL495" i="21" s="1"/>
  <c r="EK495" i="21" s="1"/>
  <c r="W495" i="21"/>
  <c r="U495" i="21"/>
  <c r="AY495" i="21" s="1"/>
  <c r="T495" i="21"/>
  <c r="BH495" i="21" s="1"/>
  <c r="M495" i="21"/>
  <c r="L495" i="21"/>
  <c r="I495" i="21"/>
  <c r="G495" i="21"/>
  <c r="FY495" i="21" s="1"/>
  <c r="GA495" i="21" s="1"/>
  <c r="FX494" i="21"/>
  <c r="DY494" i="21"/>
  <c r="DL494" i="21"/>
  <c r="CG494" i="21"/>
  <c r="CF494" i="21"/>
  <c r="CH494" i="21" s="1"/>
  <c r="CC494" i="21"/>
  <c r="CA494" i="21"/>
  <c r="CB494" i="21" s="1"/>
  <c r="BZ494" i="21"/>
  <c r="BR494" i="21"/>
  <c r="DZ494" i="21" s="1"/>
  <c r="AX494" i="21"/>
  <c r="AS494" i="21"/>
  <c r="AN494" i="21"/>
  <c r="AM494" i="21"/>
  <c r="AL494" i="21"/>
  <c r="AQ494" i="21" s="1"/>
  <c r="AR494" i="21" s="1"/>
  <c r="AK494" i="21"/>
  <c r="AE494" i="21"/>
  <c r="W494" i="21"/>
  <c r="U494" i="21"/>
  <c r="T494" i="21"/>
  <c r="L494" i="21"/>
  <c r="I494" i="21"/>
  <c r="M494" i="21" s="1"/>
  <c r="G494" i="21"/>
  <c r="FX493" i="21"/>
  <c r="EA493" i="21"/>
  <c r="DY493" i="21"/>
  <c r="DL493" i="21"/>
  <c r="DI493" i="21"/>
  <c r="CG493" i="21"/>
  <c r="CF493" i="21"/>
  <c r="CH493" i="21" s="1"/>
  <c r="CC493" i="21"/>
  <c r="CA493" i="21"/>
  <c r="BZ493" i="21"/>
  <c r="CB493" i="21" s="1"/>
  <c r="BR493" i="21"/>
  <c r="DZ493" i="21" s="1"/>
  <c r="BA493" i="21"/>
  <c r="BB493" i="21" s="1"/>
  <c r="AS493" i="21"/>
  <c r="AN493" i="21"/>
  <c r="AM493" i="21"/>
  <c r="AL493" i="21"/>
  <c r="AQ493" i="21" s="1"/>
  <c r="AR493" i="21" s="1"/>
  <c r="AK493" i="21"/>
  <c r="AE493" i="21"/>
  <c r="X493" i="21"/>
  <c r="EL493" i="21" s="1"/>
  <c r="EK493" i="21" s="1"/>
  <c r="W493" i="21"/>
  <c r="U493" i="21"/>
  <c r="T493" i="21"/>
  <c r="L493" i="21"/>
  <c r="I493" i="21"/>
  <c r="G493" i="21"/>
  <c r="FX492" i="21"/>
  <c r="DY492" i="21"/>
  <c r="DL492" i="21"/>
  <c r="DI492" i="21"/>
  <c r="CG492" i="21"/>
  <c r="CF492" i="21"/>
  <c r="CH492" i="21" s="1"/>
  <c r="CC492" i="21"/>
  <c r="CA492" i="21"/>
  <c r="BZ492" i="21"/>
  <c r="BR492" i="21"/>
  <c r="DZ492" i="21" s="1"/>
  <c r="AX492" i="21"/>
  <c r="AS492" i="21"/>
  <c r="AN492" i="21"/>
  <c r="AM492" i="21"/>
  <c r="AL492" i="21"/>
  <c r="AQ492" i="21" s="1"/>
  <c r="AR492" i="21" s="1"/>
  <c r="DU492" i="21" s="1"/>
  <c r="AK492" i="21"/>
  <c r="AE492" i="21"/>
  <c r="W492" i="21"/>
  <c r="U492" i="21"/>
  <c r="AY492" i="21" s="1"/>
  <c r="AZ492" i="21" s="1"/>
  <c r="T492" i="21"/>
  <c r="M492" i="21"/>
  <c r="L492" i="21"/>
  <c r="I492" i="21"/>
  <c r="G492" i="21"/>
  <c r="FX491" i="21"/>
  <c r="DY491" i="21"/>
  <c r="DL491" i="21"/>
  <c r="DI491" i="21"/>
  <c r="CG491" i="21"/>
  <c r="CF491" i="21"/>
  <c r="CH491" i="21" s="1"/>
  <c r="CD491" i="21"/>
  <c r="CE491" i="21" s="1"/>
  <c r="CC491" i="21"/>
  <c r="CA491" i="21"/>
  <c r="CB491" i="21" s="1"/>
  <c r="BZ491" i="21"/>
  <c r="BR491" i="21"/>
  <c r="DZ491" i="21" s="1"/>
  <c r="BA491" i="21"/>
  <c r="BB491" i="21" s="1"/>
  <c r="AY491" i="21"/>
  <c r="AX491" i="21"/>
  <c r="AS491" i="21"/>
  <c r="AQ491" i="21"/>
  <c r="AR491" i="21" s="1"/>
  <c r="AN491" i="21"/>
  <c r="AM491" i="21"/>
  <c r="AL491" i="21"/>
  <c r="AK491" i="21"/>
  <c r="AE491" i="21"/>
  <c r="W491" i="21"/>
  <c r="X491" i="21" s="1"/>
  <c r="U491" i="21"/>
  <c r="T491" i="21"/>
  <c r="M491" i="21"/>
  <c r="L491" i="21"/>
  <c r="I491" i="21"/>
  <c r="G491" i="21"/>
  <c r="FZ490" i="21"/>
  <c r="FY490" i="21"/>
  <c r="GA490" i="21" s="1"/>
  <c r="GB490" i="21" s="1"/>
  <c r="FX490" i="21"/>
  <c r="EA490" i="21"/>
  <c r="DY490" i="21"/>
  <c r="DM490" i="21"/>
  <c r="DL490" i="21"/>
  <c r="DI490" i="21"/>
  <c r="CG490" i="21"/>
  <c r="CH490" i="21" s="1"/>
  <c r="CI490" i="21" s="1"/>
  <c r="CK490" i="21" s="1"/>
  <c r="CF490" i="21"/>
  <c r="CD490" i="21"/>
  <c r="CC490" i="21"/>
  <c r="CE490" i="21" s="1"/>
  <c r="CA490" i="21"/>
  <c r="BZ490" i="21"/>
  <c r="CB490" i="21" s="1"/>
  <c r="BR490" i="21"/>
  <c r="DZ490" i="21" s="1"/>
  <c r="EB490" i="21" s="1"/>
  <c r="EH490" i="21" s="1"/>
  <c r="BF490" i="21"/>
  <c r="BE490" i="21"/>
  <c r="BA490" i="21"/>
  <c r="BB490" i="21" s="1"/>
  <c r="AX490" i="21"/>
  <c r="AS490" i="21"/>
  <c r="AN490" i="21"/>
  <c r="AM490" i="21"/>
  <c r="AL490" i="21"/>
  <c r="AK490" i="21"/>
  <c r="X490" i="21"/>
  <c r="EL490" i="21" s="1"/>
  <c r="EK490" i="21" s="1"/>
  <c r="W490" i="21"/>
  <c r="U490" i="21"/>
  <c r="T490" i="21"/>
  <c r="M490" i="21"/>
  <c r="L490" i="21"/>
  <c r="I490" i="21"/>
  <c r="G490" i="21"/>
  <c r="FZ489" i="21"/>
  <c r="FY489" i="21"/>
  <c r="GA489" i="21" s="1"/>
  <c r="FX489" i="21"/>
  <c r="EA489" i="21"/>
  <c r="DY489" i="21"/>
  <c r="DL489" i="21"/>
  <c r="DI489" i="21"/>
  <c r="CG489" i="21"/>
  <c r="CF489" i="21"/>
  <c r="CH489" i="21" s="1"/>
  <c r="CD489" i="21"/>
  <c r="CC489" i="21"/>
  <c r="CA489" i="21"/>
  <c r="BZ489" i="21"/>
  <c r="CB489" i="21" s="1"/>
  <c r="BR489" i="21"/>
  <c r="DZ489" i="21" s="1"/>
  <c r="BF489" i="21"/>
  <c r="BE489" i="21"/>
  <c r="BA489" i="21"/>
  <c r="BB489" i="21" s="1"/>
  <c r="AY489" i="21"/>
  <c r="AZ489" i="21" s="1"/>
  <c r="BC489" i="21" s="1"/>
  <c r="AX489" i="21"/>
  <c r="AS489" i="21"/>
  <c r="AN489" i="21"/>
  <c r="AM489" i="21"/>
  <c r="AL489" i="21"/>
  <c r="AQ489" i="21" s="1"/>
  <c r="AR489" i="21" s="1"/>
  <c r="DU489" i="21" s="1"/>
  <c r="AK489" i="21"/>
  <c r="X489" i="21"/>
  <c r="W489" i="21"/>
  <c r="U489" i="21"/>
  <c r="T489" i="21"/>
  <c r="M489" i="21"/>
  <c r="L489" i="21"/>
  <c r="I489" i="21"/>
  <c r="G489" i="21"/>
  <c r="FZ488" i="21"/>
  <c r="FY488" i="21"/>
  <c r="GA488" i="21" s="1"/>
  <c r="FX488" i="21"/>
  <c r="EA488" i="21"/>
  <c r="DY488" i="21"/>
  <c r="DL488" i="21"/>
  <c r="DI488" i="21"/>
  <c r="CG488" i="21"/>
  <c r="CF488" i="21"/>
  <c r="CH488" i="21" s="1"/>
  <c r="CD488" i="21"/>
  <c r="CC488" i="21"/>
  <c r="CA488" i="21"/>
  <c r="BZ488" i="21"/>
  <c r="CB488" i="21" s="1"/>
  <c r="BR488" i="21"/>
  <c r="DZ488" i="21" s="1"/>
  <c r="EB488" i="21" s="1"/>
  <c r="EH488" i="21" s="1"/>
  <c r="BF488" i="21"/>
  <c r="BE488" i="21"/>
  <c r="BA488" i="21"/>
  <c r="BB488" i="21" s="1"/>
  <c r="AX488" i="21"/>
  <c r="AS488" i="21"/>
  <c r="AN488" i="21"/>
  <c r="AM488" i="21"/>
  <c r="AL488" i="21"/>
  <c r="AQ488" i="21" s="1"/>
  <c r="AR488" i="21" s="1"/>
  <c r="AK488" i="21"/>
  <c r="X488" i="21"/>
  <c r="W488" i="21"/>
  <c r="U488" i="21"/>
  <c r="T488" i="21"/>
  <c r="M488" i="21"/>
  <c r="L488" i="21"/>
  <c r="I488" i="21"/>
  <c r="G488" i="21"/>
  <c r="FZ487" i="21"/>
  <c r="FY487" i="21"/>
  <c r="GA487" i="21" s="1"/>
  <c r="FX487" i="21"/>
  <c r="EA487" i="21"/>
  <c r="DY487" i="21"/>
  <c r="DL487" i="21"/>
  <c r="DI487" i="21"/>
  <c r="CG487" i="21"/>
  <c r="CH487" i="21" s="1"/>
  <c r="CF487" i="21"/>
  <c r="CD487" i="21"/>
  <c r="CC487" i="21"/>
  <c r="CA487" i="21"/>
  <c r="BZ487" i="21"/>
  <c r="CB487" i="21" s="1"/>
  <c r="BR487" i="21"/>
  <c r="DZ487" i="21" s="1"/>
  <c r="BF487" i="21"/>
  <c r="BE487" i="21"/>
  <c r="BA487" i="21"/>
  <c r="BB487" i="21" s="1"/>
  <c r="AX487" i="21"/>
  <c r="AS487" i="21"/>
  <c r="AN487" i="21"/>
  <c r="AM487" i="21"/>
  <c r="AQ487" i="21" s="1"/>
  <c r="AR487" i="21" s="1"/>
  <c r="AL487" i="21"/>
  <c r="AK487" i="21"/>
  <c r="Y487" i="21"/>
  <c r="X487" i="21"/>
  <c r="EL487" i="21" s="1"/>
  <c r="EK487" i="21" s="1"/>
  <c r="W487" i="21"/>
  <c r="U487" i="21"/>
  <c r="T487" i="21"/>
  <c r="M487" i="21"/>
  <c r="L487" i="21"/>
  <c r="I487" i="21"/>
  <c r="G487" i="21"/>
  <c r="FZ486" i="21"/>
  <c r="FY486" i="21"/>
  <c r="GA486" i="21" s="1"/>
  <c r="FX486" i="21"/>
  <c r="EV486" i="21"/>
  <c r="EK486" i="21"/>
  <c r="ET486" i="21" s="1"/>
  <c r="EA486" i="21"/>
  <c r="DY486" i="21"/>
  <c r="DL486" i="21"/>
  <c r="DI486" i="21"/>
  <c r="EU486" i="21" s="1"/>
  <c r="CG486" i="21"/>
  <c r="CF486" i="21"/>
  <c r="CH486" i="21" s="1"/>
  <c r="CD486" i="21"/>
  <c r="CC486" i="21"/>
  <c r="CA486" i="21"/>
  <c r="BZ486" i="21"/>
  <c r="CB486" i="21" s="1"/>
  <c r="BR486" i="21"/>
  <c r="DZ486" i="21" s="1"/>
  <c r="EB486" i="21" s="1"/>
  <c r="EH486" i="21" s="1"/>
  <c r="BF486" i="21"/>
  <c r="BE486" i="21"/>
  <c r="BA486" i="21"/>
  <c r="BB486" i="21" s="1"/>
  <c r="AZ486" i="21"/>
  <c r="BC486" i="21" s="1"/>
  <c r="AY486" i="21"/>
  <c r="AX486" i="21"/>
  <c r="AS486" i="21"/>
  <c r="AQ486" i="21"/>
  <c r="AR486" i="21" s="1"/>
  <c r="AN486" i="21"/>
  <c r="AM486" i="21"/>
  <c r="AL486" i="21"/>
  <c r="AK486" i="21"/>
  <c r="X486" i="21"/>
  <c r="EL486" i="21" s="1"/>
  <c r="W486" i="21"/>
  <c r="U486" i="21"/>
  <c r="T486" i="21"/>
  <c r="M486" i="21"/>
  <c r="L486" i="21"/>
  <c r="I486" i="21"/>
  <c r="G486" i="21"/>
  <c r="FZ485" i="21"/>
  <c r="FY485" i="21"/>
  <c r="GA485" i="21" s="1"/>
  <c r="FX485" i="21"/>
  <c r="EA485" i="21"/>
  <c r="DY485" i="21"/>
  <c r="DL485" i="21"/>
  <c r="DI485" i="21"/>
  <c r="CG485" i="21"/>
  <c r="CF485" i="21"/>
  <c r="CH485" i="21" s="1"/>
  <c r="CD485" i="21"/>
  <c r="CC485" i="21"/>
  <c r="CE485" i="21" s="1"/>
  <c r="CA485" i="21"/>
  <c r="BZ485" i="21"/>
  <c r="CB485" i="21" s="1"/>
  <c r="BR485" i="21"/>
  <c r="DZ485" i="21" s="1"/>
  <c r="BE485" i="21"/>
  <c r="BF485" i="21" s="1"/>
  <c r="BA485" i="21"/>
  <c r="BB485" i="21" s="1"/>
  <c r="AX485" i="21"/>
  <c r="AS485" i="21"/>
  <c r="AN485" i="21"/>
  <c r="AM485" i="21"/>
  <c r="AL485" i="21"/>
  <c r="AK485" i="21"/>
  <c r="X485" i="21"/>
  <c r="EL485" i="21" s="1"/>
  <c r="EK485" i="21" s="1"/>
  <c r="W485" i="21"/>
  <c r="U485" i="21"/>
  <c r="T485" i="21"/>
  <c r="M485" i="21"/>
  <c r="L485" i="21"/>
  <c r="I485" i="21"/>
  <c r="G485" i="21"/>
  <c r="FZ484" i="21"/>
  <c r="FY484" i="21"/>
  <c r="GA484" i="21" s="1"/>
  <c r="FX484" i="21"/>
  <c r="EK484" i="21"/>
  <c r="ET484" i="21" s="1"/>
  <c r="EA484" i="21"/>
  <c r="DY484" i="21"/>
  <c r="DL484" i="21"/>
  <c r="DI484" i="21"/>
  <c r="CG484" i="21"/>
  <c r="CF484" i="21"/>
  <c r="CH484" i="21" s="1"/>
  <c r="CD484" i="21"/>
  <c r="CC484" i="21"/>
  <c r="CE484" i="21" s="1"/>
  <c r="CA484" i="21"/>
  <c r="BZ484" i="21"/>
  <c r="CB484" i="21" s="1"/>
  <c r="CI484" i="21" s="1"/>
  <c r="CK484" i="21" s="1"/>
  <c r="BR484" i="21"/>
  <c r="DZ484" i="21" s="1"/>
  <c r="BF484" i="21"/>
  <c r="BE484" i="21"/>
  <c r="BA484" i="21"/>
  <c r="BB484" i="21" s="1"/>
  <c r="AY484" i="21"/>
  <c r="AZ484" i="21" s="1"/>
  <c r="BC484" i="21" s="1"/>
  <c r="AX484" i="21"/>
  <c r="AS484" i="21"/>
  <c r="AN484" i="21"/>
  <c r="AQ484" i="21" s="1"/>
  <c r="AR484" i="21" s="1"/>
  <c r="DU484" i="21" s="1"/>
  <c r="EM484" i="21" s="1"/>
  <c r="EP484" i="21" s="1"/>
  <c r="EQ484" i="21" s="1"/>
  <c r="DN484" i="21" s="1"/>
  <c r="AM484" i="21"/>
  <c r="AL484" i="21"/>
  <c r="AK484" i="21"/>
  <c r="Y484" i="21"/>
  <c r="X484" i="21"/>
  <c r="EL484" i="21" s="1"/>
  <c r="W484" i="21"/>
  <c r="U484" i="21"/>
  <c r="T484" i="21"/>
  <c r="M484" i="21"/>
  <c r="L484" i="21"/>
  <c r="I484" i="21"/>
  <c r="G484" i="21"/>
  <c r="FZ483" i="21"/>
  <c r="FY483" i="21"/>
  <c r="GA483" i="21" s="1"/>
  <c r="FX483" i="21"/>
  <c r="ET483" i="21"/>
  <c r="EU483" i="21" s="1"/>
  <c r="EV483" i="21" s="1"/>
  <c r="EA483" i="21"/>
  <c r="DY483" i="21"/>
  <c r="DL483" i="21"/>
  <c r="DI483" i="21"/>
  <c r="CH483" i="21"/>
  <c r="CG483" i="21"/>
  <c r="CF483" i="21"/>
  <c r="CD483" i="21"/>
  <c r="CC483" i="21"/>
  <c r="CA483" i="21"/>
  <c r="BZ483" i="21"/>
  <c r="CB483" i="21" s="1"/>
  <c r="BR483" i="21"/>
  <c r="DZ483" i="21" s="1"/>
  <c r="EB483" i="21" s="1"/>
  <c r="EH483" i="21" s="1"/>
  <c r="BF483" i="21"/>
  <c r="BE483" i="21"/>
  <c r="BA483" i="21"/>
  <c r="BB483" i="21" s="1"/>
  <c r="AX483" i="21"/>
  <c r="AS483" i="21"/>
  <c r="AN483" i="21"/>
  <c r="AM483" i="21"/>
  <c r="AL483" i="21"/>
  <c r="AK483" i="21"/>
  <c r="Y483" i="21"/>
  <c r="X483" i="21"/>
  <c r="EL483" i="21" s="1"/>
  <c r="EK483" i="21" s="1"/>
  <c r="W483" i="21"/>
  <c r="U483" i="21"/>
  <c r="T483" i="21"/>
  <c r="M483" i="21"/>
  <c r="L483" i="21"/>
  <c r="I483" i="21"/>
  <c r="G483" i="21"/>
  <c r="GA482" i="21"/>
  <c r="FZ482" i="21"/>
  <c r="FY482" i="21"/>
  <c r="FX482" i="21"/>
  <c r="EK482" i="21"/>
  <c r="EA482" i="21"/>
  <c r="DY482" i="21"/>
  <c r="DL482" i="21"/>
  <c r="DI482" i="21"/>
  <c r="CH482" i="21"/>
  <c r="CG482" i="21"/>
  <c r="CF482" i="21"/>
  <c r="CD482" i="21"/>
  <c r="CC482" i="21"/>
  <c r="CA482" i="21"/>
  <c r="BZ482" i="21"/>
  <c r="CB482" i="21" s="1"/>
  <c r="BR482" i="21"/>
  <c r="DZ482" i="21" s="1"/>
  <c r="BE482" i="21"/>
  <c r="BF482" i="21" s="1"/>
  <c r="BA482" i="21"/>
  <c r="BB482" i="21" s="1"/>
  <c r="AZ482" i="21"/>
  <c r="AY482" i="21"/>
  <c r="AX482" i="21"/>
  <c r="AS482" i="21"/>
  <c r="AR482" i="21"/>
  <c r="DU482" i="21" s="1"/>
  <c r="AQ482" i="21"/>
  <c r="AN482" i="21"/>
  <c r="AM482" i="21"/>
  <c r="AL482" i="21"/>
  <c r="AK482" i="21"/>
  <c r="X482" i="21"/>
  <c r="EL482" i="21" s="1"/>
  <c r="W482" i="21"/>
  <c r="U482" i="21"/>
  <c r="T482" i="21"/>
  <c r="M482" i="21"/>
  <c r="L482" i="21"/>
  <c r="I482" i="21"/>
  <c r="G482" i="21"/>
  <c r="GA481" i="21"/>
  <c r="FZ481" i="21"/>
  <c r="FY481" i="21"/>
  <c r="FX481" i="21"/>
  <c r="EA481" i="21"/>
  <c r="DY481" i="21"/>
  <c r="DL481" i="21"/>
  <c r="DI481" i="21"/>
  <c r="CG481" i="21"/>
  <c r="CH481" i="21" s="1"/>
  <c r="CF481" i="21"/>
  <c r="CD481" i="21"/>
  <c r="CC481" i="21"/>
  <c r="CE481" i="21" s="1"/>
  <c r="CA481" i="21"/>
  <c r="BZ481" i="21"/>
  <c r="CB481" i="21" s="1"/>
  <c r="CI481" i="21" s="1"/>
  <c r="CK481" i="21" s="1"/>
  <c r="BR481" i="21"/>
  <c r="DZ481" i="21" s="1"/>
  <c r="EB481" i="21" s="1"/>
  <c r="EH481" i="21" s="1"/>
  <c r="DM481" i="21" s="1"/>
  <c r="BF481" i="21"/>
  <c r="BE481" i="21"/>
  <c r="BA481" i="21"/>
  <c r="BB481" i="21" s="1"/>
  <c r="AX481" i="21"/>
  <c r="AS481" i="21"/>
  <c r="AN481" i="21"/>
  <c r="AM481" i="21"/>
  <c r="AL481" i="21"/>
  <c r="AQ481" i="21" s="1"/>
  <c r="AR481" i="21" s="1"/>
  <c r="AK481" i="21"/>
  <c r="X481" i="21"/>
  <c r="W481" i="21"/>
  <c r="U481" i="21"/>
  <c r="T481" i="21"/>
  <c r="M481" i="21"/>
  <c r="L481" i="21"/>
  <c r="I481" i="21"/>
  <c r="G481" i="21"/>
  <c r="FZ480" i="21"/>
  <c r="FY480" i="21"/>
  <c r="GA480" i="21" s="1"/>
  <c r="FX480" i="21"/>
  <c r="EK480" i="21"/>
  <c r="EA480" i="21"/>
  <c r="DY480" i="21"/>
  <c r="DN480" i="21"/>
  <c r="DL480" i="21"/>
  <c r="DI480" i="21"/>
  <c r="CG480" i="21"/>
  <c r="CF480" i="21"/>
  <c r="CH480" i="21" s="1"/>
  <c r="CD480" i="21"/>
  <c r="CC480" i="21"/>
  <c r="CE480" i="21" s="1"/>
  <c r="CI480" i="21" s="1"/>
  <c r="CK480" i="21" s="1"/>
  <c r="CA480" i="21"/>
  <c r="BZ480" i="21"/>
  <c r="CB480" i="21" s="1"/>
  <c r="BR480" i="21"/>
  <c r="DZ480" i="21" s="1"/>
  <c r="BF480" i="21"/>
  <c r="BE480" i="21"/>
  <c r="BA480" i="21"/>
  <c r="BB480" i="21" s="1"/>
  <c r="AY480" i="21"/>
  <c r="AZ480" i="21" s="1"/>
  <c r="BC480" i="21" s="1"/>
  <c r="AX480" i="21"/>
  <c r="AS480" i="21"/>
  <c r="AN480" i="21"/>
  <c r="AQ480" i="21" s="1"/>
  <c r="AR480" i="21" s="1"/>
  <c r="DU480" i="21" s="1"/>
  <c r="EM480" i="21" s="1"/>
  <c r="EP480" i="21" s="1"/>
  <c r="EQ480" i="21" s="1"/>
  <c r="AM480" i="21"/>
  <c r="AL480" i="21"/>
  <c r="AK480" i="21"/>
  <c r="Y480" i="21"/>
  <c r="X480" i="21"/>
  <c r="EL480" i="21" s="1"/>
  <c r="W480" i="21"/>
  <c r="U480" i="21"/>
  <c r="T480" i="21"/>
  <c r="M480" i="21"/>
  <c r="L480" i="21"/>
  <c r="I480" i="21"/>
  <c r="G480" i="21"/>
  <c r="GA479" i="21"/>
  <c r="FZ479" i="21"/>
  <c r="FY479" i="21"/>
  <c r="FX479" i="21"/>
  <c r="EA479" i="21"/>
  <c r="DY479" i="21"/>
  <c r="DL479" i="21"/>
  <c r="DI479" i="21"/>
  <c r="CF479" i="21"/>
  <c r="CE479" i="21"/>
  <c r="CD479" i="21"/>
  <c r="CC479" i="21"/>
  <c r="CA479" i="21"/>
  <c r="BZ479" i="21"/>
  <c r="CB479" i="21" s="1"/>
  <c r="BR479" i="21"/>
  <c r="DZ479" i="21" s="1"/>
  <c r="EB479" i="21" s="1"/>
  <c r="EH479" i="21" s="1"/>
  <c r="DM479" i="21" s="1"/>
  <c r="BF479" i="21"/>
  <c r="BE479" i="21"/>
  <c r="BA479" i="21"/>
  <c r="AX479" i="21"/>
  <c r="AS479" i="21"/>
  <c r="AN479" i="21"/>
  <c r="AM479" i="21"/>
  <c r="AL479" i="21"/>
  <c r="AQ479" i="21" s="1"/>
  <c r="AR479" i="21" s="1"/>
  <c r="AK479" i="21"/>
  <c r="X479" i="21"/>
  <c r="W479" i="21"/>
  <c r="U479" i="21"/>
  <c r="T479" i="21"/>
  <c r="M479" i="21"/>
  <c r="L479" i="21"/>
  <c r="I479" i="21"/>
  <c r="G479" i="21"/>
  <c r="CG479" i="21" s="1"/>
  <c r="GA478" i="21"/>
  <c r="FZ478" i="21"/>
  <c r="FY478" i="21"/>
  <c r="FX478" i="21"/>
  <c r="EL478" i="21"/>
  <c r="EK478" i="21"/>
  <c r="EA478" i="21"/>
  <c r="EB478" i="21" s="1"/>
  <c r="EH478" i="21" s="1"/>
  <c r="DY478" i="21"/>
  <c r="DT478" i="21"/>
  <c r="DM478" i="21"/>
  <c r="DL478" i="21"/>
  <c r="DI478" i="21"/>
  <c r="CF478" i="21"/>
  <c r="CD478" i="21"/>
  <c r="CC478" i="21"/>
  <c r="CE478" i="21" s="1"/>
  <c r="CA478" i="21"/>
  <c r="BZ478" i="21"/>
  <c r="CB478" i="21" s="1"/>
  <c r="BR478" i="21"/>
  <c r="DZ478" i="21" s="1"/>
  <c r="BF478" i="21"/>
  <c r="BE478" i="21"/>
  <c r="BA478" i="21"/>
  <c r="BB478" i="21" s="1"/>
  <c r="AY478" i="21"/>
  <c r="AZ478" i="21" s="1"/>
  <c r="BC478" i="21" s="1"/>
  <c r="AX478" i="21"/>
  <c r="AS478" i="21"/>
  <c r="AN478" i="21"/>
  <c r="AM478" i="21"/>
  <c r="AL478" i="21"/>
  <c r="AQ478" i="21" s="1"/>
  <c r="AR478" i="21" s="1"/>
  <c r="AK478" i="21"/>
  <c r="Y478" i="21"/>
  <c r="BI478" i="21" s="1"/>
  <c r="X478" i="21"/>
  <c r="W478" i="21"/>
  <c r="U478" i="21"/>
  <c r="T478" i="21"/>
  <c r="M478" i="21"/>
  <c r="L478" i="21"/>
  <c r="I478" i="21"/>
  <c r="G478" i="21"/>
  <c r="CG478" i="21" s="1"/>
  <c r="FZ477" i="21"/>
  <c r="FY477" i="21"/>
  <c r="GA477" i="21" s="1"/>
  <c r="FX477" i="21"/>
  <c r="ET477" i="21"/>
  <c r="EU477" i="21" s="1"/>
  <c r="EV477" i="21" s="1"/>
  <c r="EA477" i="21"/>
  <c r="EB477" i="21" s="1"/>
  <c r="EH477" i="21" s="1"/>
  <c r="DY477" i="21"/>
  <c r="DL477" i="21"/>
  <c r="DI477" i="21"/>
  <c r="CG477" i="21"/>
  <c r="CH477" i="21" s="1"/>
  <c r="CF477" i="21"/>
  <c r="CD477" i="21"/>
  <c r="CE477" i="21" s="1"/>
  <c r="CC477" i="21"/>
  <c r="CA477" i="21"/>
  <c r="BZ477" i="21"/>
  <c r="CB477" i="21" s="1"/>
  <c r="CI477" i="21" s="1"/>
  <c r="CK477" i="21" s="1"/>
  <c r="BR477" i="21"/>
  <c r="DZ477" i="21" s="1"/>
  <c r="BF477" i="21"/>
  <c r="BE477" i="21"/>
  <c r="BA477" i="21"/>
  <c r="BB477" i="21" s="1"/>
  <c r="AZ477" i="21"/>
  <c r="BC477" i="21" s="1"/>
  <c r="AY477" i="21"/>
  <c r="BH477" i="21" s="1"/>
  <c r="AX477" i="21"/>
  <c r="AS477" i="21"/>
  <c r="AR477" i="21"/>
  <c r="AQ477" i="21"/>
  <c r="AN477" i="21"/>
  <c r="AM477" i="21"/>
  <c r="AL477" i="21"/>
  <c r="AK477" i="21"/>
  <c r="Y477" i="21"/>
  <c r="W477" i="21"/>
  <c r="X477" i="21" s="1"/>
  <c r="EL477" i="21" s="1"/>
  <c r="EK477" i="21" s="1"/>
  <c r="U477" i="21"/>
  <c r="T477" i="21"/>
  <c r="M477" i="21"/>
  <c r="L477" i="21"/>
  <c r="I477" i="21"/>
  <c r="G477" i="21"/>
  <c r="GA476" i="21"/>
  <c r="FZ476" i="21"/>
  <c r="FY476" i="21"/>
  <c r="FX476" i="21"/>
  <c r="ET476" i="21"/>
  <c r="EU476" i="21" s="1"/>
  <c r="EV476" i="21" s="1"/>
  <c r="EB476" i="21"/>
  <c r="EH476" i="21" s="1"/>
  <c r="DM476" i="21" s="1"/>
  <c r="EA476" i="21"/>
  <c r="DY476" i="21"/>
  <c r="DL476" i="21"/>
  <c r="DI476" i="21"/>
  <c r="CG476" i="21"/>
  <c r="CF476" i="21"/>
  <c r="CH476" i="21" s="1"/>
  <c r="CD476" i="21"/>
  <c r="CC476" i="21"/>
  <c r="CE476" i="21" s="1"/>
  <c r="CA476" i="21"/>
  <c r="CB476" i="21" s="1"/>
  <c r="CI476" i="21" s="1"/>
  <c r="CK476" i="21" s="1"/>
  <c r="BZ476" i="21"/>
  <c r="BR476" i="21"/>
  <c r="DZ476" i="21" s="1"/>
  <c r="BF476" i="21"/>
  <c r="BE476" i="21"/>
  <c r="AX476" i="21"/>
  <c r="AS476" i="21"/>
  <c r="AN476" i="21"/>
  <c r="AM476" i="21"/>
  <c r="AL476" i="21"/>
  <c r="AQ476" i="21" s="1"/>
  <c r="AR476" i="21" s="1"/>
  <c r="AK476" i="21"/>
  <c r="X476" i="21"/>
  <c r="EL476" i="21" s="1"/>
  <c r="EK476" i="21" s="1"/>
  <c r="W476" i="21"/>
  <c r="BA476" i="21" s="1"/>
  <c r="BB476" i="21" s="1"/>
  <c r="U476" i="21"/>
  <c r="T476" i="21"/>
  <c r="M476" i="21"/>
  <c r="L476" i="21"/>
  <c r="I476" i="21"/>
  <c r="G476" i="21"/>
  <c r="GA475" i="21"/>
  <c r="FZ475" i="21"/>
  <c r="FY475" i="21"/>
  <c r="FX475" i="21"/>
  <c r="EL475" i="21"/>
  <c r="EK475" i="21" s="1"/>
  <c r="EA475" i="21"/>
  <c r="DY475" i="21"/>
  <c r="DT475" i="21"/>
  <c r="DL475" i="21"/>
  <c r="DI475" i="21"/>
  <c r="CF475" i="21"/>
  <c r="CD475" i="21"/>
  <c r="CC475" i="21"/>
  <c r="CB475" i="21"/>
  <c r="CA475" i="21"/>
  <c r="BZ475" i="21"/>
  <c r="BR475" i="21"/>
  <c r="DZ475" i="21" s="1"/>
  <c r="EB475" i="21" s="1"/>
  <c r="EH475" i="21" s="1"/>
  <c r="BH475" i="21"/>
  <c r="BF475" i="21"/>
  <c r="BE475" i="21"/>
  <c r="AX475" i="21"/>
  <c r="AS475" i="21"/>
  <c r="AN475" i="21"/>
  <c r="AM475" i="21"/>
  <c r="AL475" i="21"/>
  <c r="AQ475" i="21" s="1"/>
  <c r="AR475" i="21" s="1"/>
  <c r="AK475" i="21"/>
  <c r="X475" i="21"/>
  <c r="Y475" i="21" s="1"/>
  <c r="W475" i="21"/>
  <c r="BA475" i="21" s="1"/>
  <c r="U475" i="21"/>
  <c r="AY475" i="21" s="1"/>
  <c r="T475" i="21"/>
  <c r="M475" i="21"/>
  <c r="L475" i="21"/>
  <c r="I475" i="21"/>
  <c r="G475" i="21"/>
  <c r="CG475" i="21" s="1"/>
  <c r="FZ474" i="21"/>
  <c r="FY474" i="21"/>
  <c r="GA474" i="21" s="1"/>
  <c r="FX474" i="21"/>
  <c r="EA474" i="21"/>
  <c r="DY474" i="21"/>
  <c r="DT474" i="21"/>
  <c r="DL474" i="21"/>
  <c r="DI474" i="21"/>
  <c r="ET474" i="21" s="1"/>
  <c r="CF474" i="21"/>
  <c r="CD474" i="21"/>
  <c r="CC474" i="21"/>
  <c r="CE474" i="21" s="1"/>
  <c r="CA474" i="21"/>
  <c r="BZ474" i="21"/>
  <c r="CB474" i="21" s="1"/>
  <c r="BR474" i="21"/>
  <c r="DZ474" i="21" s="1"/>
  <c r="EB474" i="21" s="1"/>
  <c r="EH474" i="21" s="1"/>
  <c r="BH474" i="21"/>
  <c r="BF474" i="21"/>
  <c r="BE474" i="21"/>
  <c r="BA474" i="21"/>
  <c r="BB474" i="21" s="1"/>
  <c r="AY474" i="21"/>
  <c r="AZ474" i="21" s="1"/>
  <c r="BC474" i="21" s="1"/>
  <c r="AX474" i="21"/>
  <c r="AS474" i="21"/>
  <c r="AR474" i="21"/>
  <c r="AN474" i="21"/>
  <c r="AM474" i="21"/>
  <c r="AL474" i="21"/>
  <c r="AQ474" i="21" s="1"/>
  <c r="AK474" i="21"/>
  <c r="Y474" i="21"/>
  <c r="BI474" i="21" s="1"/>
  <c r="X474" i="21"/>
  <c r="EL474" i="21" s="1"/>
  <c r="EK474" i="21" s="1"/>
  <c r="W474" i="21"/>
  <c r="U474" i="21"/>
  <c r="T474" i="21"/>
  <c r="M474" i="21"/>
  <c r="L474" i="21"/>
  <c r="I474" i="21"/>
  <c r="G474" i="21"/>
  <c r="CG474" i="21" s="1"/>
  <c r="CH474" i="21" s="1"/>
  <c r="FZ473" i="21"/>
  <c r="FY473" i="21"/>
  <c r="GA473" i="21" s="1"/>
  <c r="FX473" i="21"/>
  <c r="EB473" i="21"/>
  <c r="EH473" i="21" s="1"/>
  <c r="EA473" i="21"/>
  <c r="DY473" i="21"/>
  <c r="DL473" i="21"/>
  <c r="DI473" i="21"/>
  <c r="CG473" i="21"/>
  <c r="CH473" i="21" s="1"/>
  <c r="CF473" i="21"/>
  <c r="CD473" i="21"/>
  <c r="CC473" i="21"/>
  <c r="CA473" i="21"/>
  <c r="BZ473" i="21"/>
  <c r="CB473" i="21" s="1"/>
  <c r="BR473" i="21"/>
  <c r="DZ473" i="21" s="1"/>
  <c r="BH473" i="21"/>
  <c r="BF473" i="21"/>
  <c r="BE473" i="21"/>
  <c r="BA473" i="21"/>
  <c r="BB473" i="21" s="1"/>
  <c r="AX473" i="21"/>
  <c r="AS473" i="21"/>
  <c r="AN473" i="21"/>
  <c r="AM473" i="21"/>
  <c r="AL473" i="21"/>
  <c r="AQ473" i="21" s="1"/>
  <c r="AR473" i="21" s="1"/>
  <c r="AK473" i="21"/>
  <c r="W473" i="21"/>
  <c r="X473" i="21" s="1"/>
  <c r="EL473" i="21" s="1"/>
  <c r="EK473" i="21" s="1"/>
  <c r="U473" i="21"/>
  <c r="AY473" i="21" s="1"/>
  <c r="AZ473" i="21" s="1"/>
  <c r="BC473" i="21" s="1"/>
  <c r="T473" i="21"/>
  <c r="M473" i="21"/>
  <c r="L473" i="21"/>
  <c r="I473" i="21"/>
  <c r="G473" i="21"/>
  <c r="GA472" i="21"/>
  <c r="FZ472" i="21"/>
  <c r="FY472" i="21"/>
  <c r="FX472" i="21"/>
  <c r="EK472" i="21"/>
  <c r="EB472" i="21"/>
  <c r="EH472" i="21" s="1"/>
  <c r="DM472" i="21" s="1"/>
  <c r="EA472" i="21"/>
  <c r="DY472" i="21"/>
  <c r="DL472" i="21"/>
  <c r="DI472" i="21"/>
  <c r="CG472" i="21"/>
  <c r="CF472" i="21"/>
  <c r="CH472" i="21" s="1"/>
  <c r="CE472" i="21"/>
  <c r="CD472" i="21"/>
  <c r="CC472" i="21"/>
  <c r="CA472" i="21"/>
  <c r="CB472" i="21" s="1"/>
  <c r="CI472" i="21" s="1"/>
  <c r="CK472" i="21" s="1"/>
  <c r="BZ472" i="21"/>
  <c r="BR472" i="21"/>
  <c r="DZ472" i="21" s="1"/>
  <c r="BE472" i="21"/>
  <c r="AX472" i="21"/>
  <c r="AS472" i="21"/>
  <c r="AN472" i="21"/>
  <c r="AM472" i="21"/>
  <c r="AL472" i="21"/>
  <c r="AQ472" i="21" s="1"/>
  <c r="AR472" i="21" s="1"/>
  <c r="AK472" i="21"/>
  <c r="Y472" i="21"/>
  <c r="X472" i="21"/>
  <c r="EL472" i="21" s="1"/>
  <c r="W472" i="21"/>
  <c r="U472" i="21"/>
  <c r="T472" i="21"/>
  <c r="M472" i="21"/>
  <c r="BF472" i="21" s="1"/>
  <c r="L472" i="21"/>
  <c r="I472" i="21"/>
  <c r="G472" i="21"/>
  <c r="GA471" i="21"/>
  <c r="FZ471" i="21"/>
  <c r="FY471" i="21"/>
  <c r="FX471" i="21"/>
  <c r="EA471" i="21"/>
  <c r="EB471" i="21" s="1"/>
  <c r="EH471" i="21" s="1"/>
  <c r="DZ471" i="21"/>
  <c r="DY471" i="21"/>
  <c r="DL471" i="21"/>
  <c r="DI471" i="21"/>
  <c r="CF471" i="21"/>
  <c r="CE471" i="21"/>
  <c r="CD471" i="21"/>
  <c r="CC471" i="21"/>
  <c r="CA471" i="21"/>
  <c r="BZ471" i="21"/>
  <c r="CB471" i="21" s="1"/>
  <c r="BR471" i="21"/>
  <c r="BE471" i="21"/>
  <c r="AX471" i="21"/>
  <c r="AS471" i="21"/>
  <c r="AN471" i="21"/>
  <c r="AM471" i="21"/>
  <c r="AL471" i="21"/>
  <c r="AK471" i="21"/>
  <c r="X471" i="21"/>
  <c r="EL471" i="21" s="1"/>
  <c r="EK471" i="21" s="1"/>
  <c r="W471" i="21"/>
  <c r="U471" i="21"/>
  <c r="AY471" i="21" s="1"/>
  <c r="AZ471" i="21" s="1"/>
  <c r="T471" i="21"/>
  <c r="M471" i="21"/>
  <c r="BF471" i="21" s="1"/>
  <c r="L471" i="21"/>
  <c r="I471" i="21"/>
  <c r="G471" i="21"/>
  <c r="CG471" i="21" s="1"/>
  <c r="FZ470" i="21"/>
  <c r="FY470" i="21"/>
  <c r="GA470" i="21" s="1"/>
  <c r="FX470" i="21"/>
  <c r="EK470" i="21"/>
  <c r="ET470" i="21" s="1"/>
  <c r="EA470" i="21"/>
  <c r="DZ470" i="21"/>
  <c r="DY470" i="21"/>
  <c r="DL470" i="21"/>
  <c r="DI470" i="21"/>
  <c r="CF470" i="21"/>
  <c r="CE470" i="21"/>
  <c r="CD470" i="21"/>
  <c r="CC470" i="21"/>
  <c r="CB470" i="21"/>
  <c r="CA470" i="21"/>
  <c r="BZ470" i="21"/>
  <c r="BR470" i="21"/>
  <c r="BE470" i="21"/>
  <c r="BF470" i="21" s="1"/>
  <c r="BA470" i="21"/>
  <c r="BB470" i="21" s="1"/>
  <c r="AX470" i="21"/>
  <c r="AS470" i="21"/>
  <c r="AN470" i="21"/>
  <c r="AM470" i="21"/>
  <c r="AQ470" i="21" s="1"/>
  <c r="AR470" i="21" s="1"/>
  <c r="AL470" i="21"/>
  <c r="AK470" i="21"/>
  <c r="X470" i="21"/>
  <c r="EL470" i="21" s="1"/>
  <c r="W470" i="21"/>
  <c r="U470" i="21"/>
  <c r="T470" i="21"/>
  <c r="M470" i="21"/>
  <c r="L470" i="21"/>
  <c r="I470" i="21"/>
  <c r="G470" i="21"/>
  <c r="CG470" i="21" s="1"/>
  <c r="FZ469" i="21"/>
  <c r="FY469" i="21"/>
  <c r="GA469" i="21" s="1"/>
  <c r="FX469" i="21"/>
  <c r="EA469" i="21"/>
  <c r="DZ469" i="21"/>
  <c r="DY469" i="21"/>
  <c r="DL469" i="21"/>
  <c r="DI469" i="21"/>
  <c r="CH469" i="21"/>
  <c r="CG469" i="21"/>
  <c r="CF469" i="21"/>
  <c r="CE469" i="21"/>
  <c r="CD469" i="21"/>
  <c r="CC469" i="21"/>
  <c r="CA469" i="21"/>
  <c r="CB469" i="21" s="1"/>
  <c r="BZ469" i="21"/>
  <c r="BR469" i="21"/>
  <c r="BE469" i="21"/>
  <c r="BA469" i="21"/>
  <c r="BB469" i="21" s="1"/>
  <c r="AX469" i="21"/>
  <c r="AS469" i="21"/>
  <c r="AN469" i="21"/>
  <c r="AM469" i="21"/>
  <c r="AL469" i="21"/>
  <c r="AQ469" i="21" s="1"/>
  <c r="AR469" i="21" s="1"/>
  <c r="AK469" i="21"/>
  <c r="X469" i="21"/>
  <c r="EL469" i="21" s="1"/>
  <c r="EK469" i="21" s="1"/>
  <c r="W469" i="21"/>
  <c r="U469" i="21"/>
  <c r="T469" i="21"/>
  <c r="M469" i="21"/>
  <c r="BF469" i="21" s="1"/>
  <c r="L469" i="21"/>
  <c r="I469" i="21"/>
  <c r="G469" i="21"/>
  <c r="FZ468" i="21"/>
  <c r="FY468" i="21"/>
  <c r="GA468" i="21" s="1"/>
  <c r="FX468" i="21"/>
  <c r="EL468" i="21"/>
  <c r="EK468" i="21" s="1"/>
  <c r="EA468" i="21"/>
  <c r="DZ468" i="21"/>
  <c r="DY468" i="21"/>
  <c r="DL468" i="21"/>
  <c r="DI468" i="21"/>
  <c r="CF468" i="21"/>
  <c r="CE468" i="21"/>
  <c r="CD468" i="21"/>
  <c r="CC468" i="21"/>
  <c r="CB468" i="21"/>
  <c r="CA468" i="21"/>
  <c r="BZ468" i="21"/>
  <c r="BR468" i="21"/>
  <c r="BE468" i="21"/>
  <c r="BA468" i="21"/>
  <c r="AX468" i="21"/>
  <c r="AS468" i="21"/>
  <c r="AQ468" i="21"/>
  <c r="AR468" i="21" s="1"/>
  <c r="AN468" i="21"/>
  <c r="AM468" i="21"/>
  <c r="AL468" i="21"/>
  <c r="AK468" i="21"/>
  <c r="X468" i="21"/>
  <c r="Y468" i="21" s="1"/>
  <c r="W468" i="21"/>
  <c r="U468" i="21"/>
  <c r="AY468" i="21" s="1"/>
  <c r="T468" i="21"/>
  <c r="M468" i="21"/>
  <c r="BF468" i="21" s="1"/>
  <c r="L468" i="21"/>
  <c r="I468" i="21"/>
  <c r="G468" i="21"/>
  <c r="CG468" i="21" s="1"/>
  <c r="CH468" i="21" s="1"/>
  <c r="GA467" i="21"/>
  <c r="FZ467" i="21"/>
  <c r="FY467" i="21"/>
  <c r="FX467" i="21"/>
  <c r="EA467" i="21"/>
  <c r="DY467" i="21"/>
  <c r="DL467" i="21"/>
  <c r="DI467" i="21"/>
  <c r="CG467" i="21"/>
  <c r="CF467" i="21"/>
  <c r="CH467" i="21" s="1"/>
  <c r="CE467" i="21"/>
  <c r="CD467" i="21"/>
  <c r="CC467" i="21"/>
  <c r="CA467" i="21"/>
  <c r="BZ467" i="21"/>
  <c r="BR467" i="21"/>
  <c r="DZ467" i="21" s="1"/>
  <c r="BF467" i="21"/>
  <c r="BE467" i="21"/>
  <c r="AX467" i="21"/>
  <c r="AS467" i="21"/>
  <c r="AN467" i="21"/>
  <c r="AQ467" i="21" s="1"/>
  <c r="AR467" i="21" s="1"/>
  <c r="DU467" i="21" s="1"/>
  <c r="AM467" i="21"/>
  <c r="AL467" i="21"/>
  <c r="AK467" i="21"/>
  <c r="X467" i="21"/>
  <c r="EL467" i="21" s="1"/>
  <c r="EK467" i="21" s="1"/>
  <c r="W467" i="21"/>
  <c r="U467" i="21"/>
  <c r="AY467" i="21" s="1"/>
  <c r="AZ467" i="21" s="1"/>
  <c r="T467" i="21"/>
  <c r="M467" i="21"/>
  <c r="L467" i="21"/>
  <c r="I467" i="21"/>
  <c r="G467" i="21"/>
  <c r="FZ466" i="21"/>
  <c r="FY466" i="21"/>
  <c r="GA466" i="21" s="1"/>
  <c r="FX466" i="21"/>
  <c r="EA466" i="21"/>
  <c r="DZ466" i="21"/>
  <c r="EB466" i="21" s="1"/>
  <c r="DY466" i="21"/>
  <c r="DL466" i="21"/>
  <c r="DI466" i="21"/>
  <c r="CG466" i="21"/>
  <c r="CF466" i="21"/>
  <c r="CE466" i="21"/>
  <c r="CD466" i="21"/>
  <c r="CC466" i="21"/>
  <c r="CB466" i="21"/>
  <c r="CA466" i="21"/>
  <c r="BZ466" i="21"/>
  <c r="BR466" i="21"/>
  <c r="BE466" i="21"/>
  <c r="AX466" i="21"/>
  <c r="AS466" i="21"/>
  <c r="AN466" i="21"/>
  <c r="AM466" i="21"/>
  <c r="AL466" i="21"/>
  <c r="AK466" i="21"/>
  <c r="W466" i="21"/>
  <c r="U466" i="21"/>
  <c r="AY466" i="21" s="1"/>
  <c r="T466" i="21"/>
  <c r="M466" i="21"/>
  <c r="BF466" i="21" s="1"/>
  <c r="L466" i="21"/>
  <c r="I466" i="21"/>
  <c r="G466" i="21"/>
  <c r="FZ465" i="21"/>
  <c r="FY465" i="21" s="1"/>
  <c r="GA465" i="21" s="1"/>
  <c r="FX465" i="21"/>
  <c r="EA465" i="21"/>
  <c r="DY465" i="21"/>
  <c r="DL465" i="21"/>
  <c r="CG465" i="21"/>
  <c r="CF465" i="21"/>
  <c r="CH465" i="21" s="1"/>
  <c r="CC465" i="21"/>
  <c r="CB465" i="21"/>
  <c r="CI465" i="21" s="1"/>
  <c r="CA465" i="21"/>
  <c r="BZ465" i="21"/>
  <c r="BR465" i="21"/>
  <c r="DZ465" i="21" s="1"/>
  <c r="EB465" i="21" s="1"/>
  <c r="EH465" i="21" s="1"/>
  <c r="BE465" i="21"/>
  <c r="BA465" i="21"/>
  <c r="BB465" i="21" s="1"/>
  <c r="AS465" i="21"/>
  <c r="AR465" i="21"/>
  <c r="AN465" i="21"/>
  <c r="AM465" i="21"/>
  <c r="AQ465" i="21" s="1"/>
  <c r="AL465" i="21"/>
  <c r="AK465" i="21"/>
  <c r="AG465" i="21"/>
  <c r="AE465" i="21"/>
  <c r="CD465" i="21" s="1"/>
  <c r="CE465" i="21" s="1"/>
  <c r="X465" i="21"/>
  <c r="Y465" i="21" s="1"/>
  <c r="W465" i="21"/>
  <c r="U465" i="21"/>
  <c r="AY465" i="21" s="1"/>
  <c r="AZ465" i="21" s="1"/>
  <c r="BC465" i="21" s="1"/>
  <c r="T465" i="21"/>
  <c r="BH465" i="21" s="1"/>
  <c r="L465" i="21"/>
  <c r="I465" i="21"/>
  <c r="G465" i="21"/>
  <c r="DL449" i="21"/>
  <c r="CT449" i="21"/>
  <c r="AK449" i="21"/>
  <c r="AI449" i="21"/>
  <c r="AG449" i="21"/>
  <c r="AE449" i="21"/>
  <c r="AB449" i="21"/>
  <c r="W449" i="21"/>
  <c r="S449" i="21"/>
  <c r="P449" i="21"/>
  <c r="O449" i="21"/>
  <c r="FX449" i="21" s="1"/>
  <c r="N449" i="21"/>
  <c r="K449" i="21"/>
  <c r="J449" i="21"/>
  <c r="H449" i="21"/>
  <c r="G449" i="21"/>
  <c r="CG449" i="21" s="1"/>
  <c r="FX448" i="21"/>
  <c r="FA448" i="21"/>
  <c r="CT448" i="21"/>
  <c r="CG448" i="21"/>
  <c r="AN448" i="21"/>
  <c r="AM448" i="21"/>
  <c r="AI448" i="21"/>
  <c r="EA448" i="21" s="1"/>
  <c r="AG448" i="21"/>
  <c r="CC448" i="21" s="1"/>
  <c r="AE448" i="21"/>
  <c r="AB448" i="21"/>
  <c r="W448" i="21"/>
  <c r="BA448" i="21" s="1"/>
  <c r="S448" i="21"/>
  <c r="P448" i="21"/>
  <c r="O448" i="21"/>
  <c r="N448" i="21"/>
  <c r="K448" i="21"/>
  <c r="J448" i="21"/>
  <c r="AS448" i="21" s="1"/>
  <c r="I448" i="21"/>
  <c r="DI448" i="21" s="1"/>
  <c r="H448" i="21"/>
  <c r="G448" i="21"/>
  <c r="FX447" i="21"/>
  <c r="CT447" i="21"/>
  <c r="CG447" i="21"/>
  <c r="CC447" i="21"/>
  <c r="AS447" i="21"/>
  <c r="AB447" i="21"/>
  <c r="X447" i="21"/>
  <c r="EL447" i="21" s="1"/>
  <c r="W447" i="21"/>
  <c r="BA447" i="21" s="1"/>
  <c r="S447" i="21"/>
  <c r="P447" i="21"/>
  <c r="O447" i="21"/>
  <c r="N447" i="21"/>
  <c r="K447" i="21"/>
  <c r="J447" i="21"/>
  <c r="H447" i="21"/>
  <c r="G447" i="21"/>
  <c r="FX446" i="21"/>
  <c r="FA446" i="21"/>
  <c r="EA446" i="21"/>
  <c r="CT446" i="21"/>
  <c r="CF446" i="21"/>
  <c r="CH446" i="21" s="1"/>
  <c r="CC446" i="21"/>
  <c r="BE446" i="21"/>
  <c r="AS446" i="21"/>
  <c r="AB446" i="21"/>
  <c r="W446" i="21"/>
  <c r="BA446" i="21" s="1"/>
  <c r="U446" i="21"/>
  <c r="T446" i="21"/>
  <c r="S446" i="21"/>
  <c r="Q446" i="21"/>
  <c r="P446" i="21"/>
  <c r="DY446" i="21" s="1"/>
  <c r="O446" i="21"/>
  <c r="N446" i="21"/>
  <c r="EE446" i="21" s="1"/>
  <c r="K446" i="21"/>
  <c r="J446" i="21"/>
  <c r="H446" i="21"/>
  <c r="G446" i="21"/>
  <c r="CG446" i="21" s="1"/>
  <c r="EL445" i="21"/>
  <c r="EK445" i="21" s="1"/>
  <c r="CT445" i="21"/>
  <c r="CC445" i="21"/>
  <c r="AS445" i="21"/>
  <c r="AN445" i="21"/>
  <c r="AM445" i="21"/>
  <c r="AI445" i="21"/>
  <c r="AG445" i="21"/>
  <c r="AE445" i="21"/>
  <c r="AB445" i="21"/>
  <c r="X445" i="21"/>
  <c r="W445" i="21"/>
  <c r="BA445" i="21" s="1"/>
  <c r="S445" i="21"/>
  <c r="P445" i="21"/>
  <c r="O445" i="21"/>
  <c r="FX445" i="21" s="1"/>
  <c r="N445" i="21"/>
  <c r="K445" i="21"/>
  <c r="J445" i="21"/>
  <c r="I445" i="21"/>
  <c r="AX445" i="21" s="1"/>
  <c r="H445" i="21"/>
  <c r="G445" i="21"/>
  <c r="CG445" i="21" s="1"/>
  <c r="FX444" i="21"/>
  <c r="FA444" i="21"/>
  <c r="EL444" i="21"/>
  <c r="EK444" i="21" s="1"/>
  <c r="EE444" i="21"/>
  <c r="DY444" i="21"/>
  <c r="CT444" i="21"/>
  <c r="CF444" i="21"/>
  <c r="BA444" i="21"/>
  <c r="AM444" i="21"/>
  <c r="AI444" i="21"/>
  <c r="AG444" i="21"/>
  <c r="AE444" i="21"/>
  <c r="AB444" i="21"/>
  <c r="X444" i="21"/>
  <c r="W444" i="21"/>
  <c r="U444" i="21"/>
  <c r="S444" i="21"/>
  <c r="Q444" i="21"/>
  <c r="P444" i="21"/>
  <c r="O444" i="21"/>
  <c r="N444" i="21"/>
  <c r="K444" i="21"/>
  <c r="J444" i="21"/>
  <c r="H444" i="21"/>
  <c r="AK444" i="21" s="1"/>
  <c r="G444" i="21"/>
  <c r="CG444" i="21" s="1"/>
  <c r="FX443" i="21"/>
  <c r="EA443" i="21"/>
  <c r="DY443" i="21"/>
  <c r="CT443" i="21"/>
  <c r="CG443" i="21"/>
  <c r="CF443" i="21"/>
  <c r="CD443" i="21"/>
  <c r="CC443" i="21"/>
  <c r="CE443" i="21" s="1"/>
  <c r="BE443" i="21"/>
  <c r="AB443" i="21"/>
  <c r="W443" i="21"/>
  <c r="X443" i="21" s="1"/>
  <c r="EL443" i="21" s="1"/>
  <c r="EK443" i="21" s="1"/>
  <c r="U443" i="21"/>
  <c r="S443" i="21"/>
  <c r="P443" i="21"/>
  <c r="O443" i="21"/>
  <c r="N443" i="21"/>
  <c r="K443" i="21"/>
  <c r="FZ443" i="21" s="1"/>
  <c r="J443" i="21"/>
  <c r="I443" i="21"/>
  <c r="H443" i="21"/>
  <c r="G443" i="21"/>
  <c r="FZ442" i="21"/>
  <c r="FX442" i="21"/>
  <c r="FA442" i="21"/>
  <c r="EA442" i="21"/>
  <c r="CT442" i="21"/>
  <c r="CF442" i="21"/>
  <c r="CD442" i="21"/>
  <c r="CC442" i="21"/>
  <c r="CE442" i="21" s="1"/>
  <c r="AS442" i="21"/>
  <c r="AB442" i="21"/>
  <c r="X442" i="21"/>
  <c r="W442" i="21"/>
  <c r="BA442" i="21" s="1"/>
  <c r="S442" i="21"/>
  <c r="P442" i="21"/>
  <c r="DY442" i="21" s="1"/>
  <c r="O442" i="21"/>
  <c r="U442" i="21" s="1"/>
  <c r="N442" i="21"/>
  <c r="K442" i="21"/>
  <c r="J442" i="21"/>
  <c r="H442" i="21"/>
  <c r="G442" i="21"/>
  <c r="FX441" i="21"/>
  <c r="CT441" i="21"/>
  <c r="CD441" i="21"/>
  <c r="CC441" i="21"/>
  <c r="AS441" i="21"/>
  <c r="AK441" i="21"/>
  <c r="AI441" i="21"/>
  <c r="EA441" i="21" s="1"/>
  <c r="AG441" i="21"/>
  <c r="AE441" i="21"/>
  <c r="AB441" i="21"/>
  <c r="W441" i="21"/>
  <c r="S441" i="21"/>
  <c r="P441" i="21"/>
  <c r="O441" i="21"/>
  <c r="N441" i="21"/>
  <c r="EE441" i="21" s="1"/>
  <c r="L441" i="21"/>
  <c r="K441" i="21"/>
  <c r="J441" i="21"/>
  <c r="I441" i="21"/>
  <c r="M441" i="21" s="1"/>
  <c r="H441" i="21"/>
  <c r="G441" i="21"/>
  <c r="CG441" i="21" s="1"/>
  <c r="FZ440" i="21"/>
  <c r="FA440" i="21"/>
  <c r="EE440" i="21"/>
  <c r="CT440" i="21"/>
  <c r="CF440" i="21"/>
  <c r="CH440" i="21" s="1"/>
  <c r="AN440" i="21"/>
  <c r="AM440" i="21"/>
  <c r="AK440" i="21"/>
  <c r="AI440" i="21"/>
  <c r="AG440" i="21"/>
  <c r="AE440" i="21"/>
  <c r="AB440" i="21"/>
  <c r="W440" i="21"/>
  <c r="X440" i="21" s="1"/>
  <c r="EL440" i="21" s="1"/>
  <c r="EK440" i="21" s="1"/>
  <c r="S440" i="21"/>
  <c r="P440" i="21"/>
  <c r="DY440" i="21" s="1"/>
  <c r="O440" i="21"/>
  <c r="FX440" i="21" s="1"/>
  <c r="N440" i="21"/>
  <c r="L440" i="21"/>
  <c r="K440" i="21"/>
  <c r="J440" i="21"/>
  <c r="H440" i="21"/>
  <c r="G440" i="21"/>
  <c r="CG440" i="21" s="1"/>
  <c r="FZ439" i="21"/>
  <c r="FX439" i="21"/>
  <c r="DY439" i="21"/>
  <c r="DL439" i="21"/>
  <c r="DI439" i="21"/>
  <c r="CT439" i="21"/>
  <c r="CD439" i="21"/>
  <c r="CC439" i="21"/>
  <c r="CE439" i="21" s="1"/>
  <c r="BE439" i="21"/>
  <c r="AM439" i="21"/>
  <c r="AB439" i="21"/>
  <c r="W439" i="21"/>
  <c r="U439" i="21"/>
  <c r="S439" i="21"/>
  <c r="AN439" i="21" s="1"/>
  <c r="Q439" i="21"/>
  <c r="P439" i="21"/>
  <c r="O439" i="21"/>
  <c r="N439" i="21"/>
  <c r="EE439" i="21" s="1"/>
  <c r="K439" i="21"/>
  <c r="EA439" i="21" s="1"/>
  <c r="J439" i="21"/>
  <c r="AS439" i="21" s="1"/>
  <c r="H439" i="21"/>
  <c r="I439" i="21" s="1"/>
  <c r="AX439" i="21" s="1"/>
  <c r="G439" i="21"/>
  <c r="CG439" i="21" s="1"/>
  <c r="FA438" i="21"/>
  <c r="CT438" i="21"/>
  <c r="CC438" i="21"/>
  <c r="BE438" i="21"/>
  <c r="AB438" i="21"/>
  <c r="W438" i="21"/>
  <c r="BA438" i="21" s="1"/>
  <c r="S438" i="21"/>
  <c r="P438" i="21"/>
  <c r="DY438" i="21" s="1"/>
  <c r="O438" i="21"/>
  <c r="N438" i="21"/>
  <c r="K438" i="21"/>
  <c r="J438" i="21"/>
  <c r="H438" i="21"/>
  <c r="G438" i="21"/>
  <c r="FX437" i="21"/>
  <c r="CT437" i="21"/>
  <c r="CG437" i="21"/>
  <c r="CC437" i="21"/>
  <c r="AI437" i="21"/>
  <c r="AG437" i="21"/>
  <c r="AE437" i="21"/>
  <c r="AB437" i="21"/>
  <c r="W437" i="21"/>
  <c r="X437" i="21" s="1"/>
  <c r="EL437" i="21" s="1"/>
  <c r="EK437" i="21" s="1"/>
  <c r="S437" i="21"/>
  <c r="P437" i="21"/>
  <c r="O437" i="21"/>
  <c r="N437" i="21"/>
  <c r="K437" i="21"/>
  <c r="J437" i="21"/>
  <c r="H437" i="21"/>
  <c r="G437" i="21"/>
  <c r="FZ436" i="21"/>
  <c r="FY436" i="21"/>
  <c r="FA436" i="21"/>
  <c r="EE436" i="21"/>
  <c r="DY436" i="21"/>
  <c r="CT436" i="21"/>
  <c r="CD436" i="21"/>
  <c r="CE436" i="21" s="1"/>
  <c r="CC436" i="21"/>
  <c r="AN436" i="21"/>
  <c r="AM436" i="21"/>
  <c r="AK436" i="21"/>
  <c r="AI436" i="21"/>
  <c r="EA436" i="21" s="1"/>
  <c r="AG436" i="21"/>
  <c r="AE436" i="21"/>
  <c r="AB436" i="21"/>
  <c r="X436" i="21"/>
  <c r="Y436" i="21" s="1"/>
  <c r="DT436" i="21" s="1"/>
  <c r="W436" i="21"/>
  <c r="BA436" i="21" s="1"/>
  <c r="S436" i="21"/>
  <c r="P436" i="21"/>
  <c r="O436" i="21"/>
  <c r="N436" i="21"/>
  <c r="Q436" i="21" s="1"/>
  <c r="AL436" i="21" s="1"/>
  <c r="K436" i="21"/>
  <c r="CF436" i="21" s="1"/>
  <c r="J436" i="21"/>
  <c r="AS436" i="21" s="1"/>
  <c r="H436" i="21"/>
  <c r="G436" i="21"/>
  <c r="CT435" i="21"/>
  <c r="CC435" i="21"/>
  <c r="BA435" i="21"/>
  <c r="AB435" i="21"/>
  <c r="W435" i="21"/>
  <c r="X435" i="21" s="1"/>
  <c r="EL435" i="21" s="1"/>
  <c r="S435" i="21"/>
  <c r="P435" i="21"/>
  <c r="O435" i="21"/>
  <c r="N435" i="21"/>
  <c r="K435" i="21"/>
  <c r="J435" i="21"/>
  <c r="H435" i="21"/>
  <c r="G435" i="21"/>
  <c r="CG435" i="21" s="1"/>
  <c r="FA434" i="21"/>
  <c r="EL434" i="21"/>
  <c r="EE434" i="21"/>
  <c r="DY434" i="21"/>
  <c r="CT434" i="21"/>
  <c r="CC434" i="21"/>
  <c r="BE434" i="21"/>
  <c r="BA434" i="21"/>
  <c r="BB434" i="21" s="1"/>
  <c r="AS434" i="21"/>
  <c r="AN434" i="21"/>
  <c r="AK434" i="21"/>
  <c r="AB434" i="21"/>
  <c r="X434" i="21"/>
  <c r="W434" i="21"/>
  <c r="S434" i="21"/>
  <c r="P434" i="21"/>
  <c r="O434" i="21"/>
  <c r="U434" i="21" s="1"/>
  <c r="N434" i="21"/>
  <c r="Q434" i="21" s="1"/>
  <c r="K434" i="21"/>
  <c r="J434" i="21"/>
  <c r="I434" i="21"/>
  <c r="DI434" i="21" s="1"/>
  <c r="H434" i="21"/>
  <c r="G434" i="21"/>
  <c r="CG434" i="21" s="1"/>
  <c r="FZ433" i="21"/>
  <c r="CT433" i="21"/>
  <c r="CG433" i="21"/>
  <c r="BE433" i="21"/>
  <c r="BA433" i="21"/>
  <c r="AI433" i="21"/>
  <c r="AG433" i="21"/>
  <c r="CC433" i="21" s="1"/>
  <c r="AE433" i="21"/>
  <c r="AB433" i="21"/>
  <c r="W433" i="21"/>
  <c r="X433" i="21" s="1"/>
  <c r="EL433" i="21" s="1"/>
  <c r="EK433" i="21" s="1"/>
  <c r="S433" i="21"/>
  <c r="Q433" i="21"/>
  <c r="P433" i="21"/>
  <c r="O433" i="21"/>
  <c r="N433" i="21"/>
  <c r="EE433" i="21" s="1"/>
  <c r="K433" i="21"/>
  <c r="J433" i="21"/>
  <c r="H433" i="21"/>
  <c r="G433" i="21"/>
  <c r="FZ432" i="21"/>
  <c r="EE432" i="21"/>
  <c r="EA432" i="21"/>
  <c r="DL432" i="21"/>
  <c r="CT432" i="21"/>
  <c r="CG432" i="21"/>
  <c r="CF432" i="21"/>
  <c r="CH432" i="21" s="1"/>
  <c r="CD432" i="21"/>
  <c r="CC432" i="21"/>
  <c r="BE432" i="21"/>
  <c r="AS432" i="21"/>
  <c r="AK432" i="21"/>
  <c r="AB432" i="21"/>
  <c r="W432" i="21"/>
  <c r="X432" i="21" s="1"/>
  <c r="U432" i="21"/>
  <c r="S432" i="21"/>
  <c r="Q432" i="21"/>
  <c r="P432" i="21"/>
  <c r="DY432" i="21" s="1"/>
  <c r="O432" i="21"/>
  <c r="N432" i="21"/>
  <c r="L432" i="21"/>
  <c r="K432" i="21"/>
  <c r="J432" i="21"/>
  <c r="H432" i="21"/>
  <c r="G432" i="21"/>
  <c r="DL431" i="21"/>
  <c r="CT431" i="21"/>
  <c r="CG431" i="21"/>
  <c r="CF431" i="21"/>
  <c r="CH431" i="21" s="1"/>
  <c r="CC431" i="21"/>
  <c r="AS431" i="21"/>
  <c r="AN431" i="21"/>
  <c r="AK431" i="21"/>
  <c r="AI431" i="21"/>
  <c r="AG431" i="21"/>
  <c r="AE431" i="21"/>
  <c r="AB431" i="21"/>
  <c r="W431" i="21"/>
  <c r="BA431" i="21" s="1"/>
  <c r="U431" i="21"/>
  <c r="S431" i="21"/>
  <c r="P431" i="21"/>
  <c r="DY431" i="21" s="1"/>
  <c r="O431" i="21"/>
  <c r="FX431" i="21" s="1"/>
  <c r="N431" i="21"/>
  <c r="K431" i="21"/>
  <c r="J431" i="21"/>
  <c r="H431" i="21"/>
  <c r="G431" i="21"/>
  <c r="FZ430" i="21"/>
  <c r="EE430" i="21"/>
  <c r="DY430" i="21"/>
  <c r="CT430" i="21"/>
  <c r="CG430" i="21"/>
  <c r="CF430" i="21"/>
  <c r="CD430" i="21"/>
  <c r="CE430" i="21" s="1"/>
  <c r="CC430" i="21"/>
  <c r="BA430" i="21"/>
  <c r="AS430" i="21"/>
  <c r="AN430" i="21"/>
  <c r="AB430" i="21"/>
  <c r="W430" i="21"/>
  <c r="X430" i="21" s="1"/>
  <c r="U430" i="21"/>
  <c r="S430" i="21"/>
  <c r="Q430" i="21"/>
  <c r="FY430" i="21" s="1"/>
  <c r="P430" i="21"/>
  <c r="O430" i="21"/>
  <c r="FX430" i="21" s="1"/>
  <c r="N430" i="21"/>
  <c r="L430" i="21"/>
  <c r="K430" i="21"/>
  <c r="EA430" i="21" s="1"/>
  <c r="J430" i="21"/>
  <c r="H430" i="21"/>
  <c r="G430" i="21"/>
  <c r="CT429" i="21"/>
  <c r="CG429" i="21"/>
  <c r="CC429" i="21"/>
  <c r="AK429" i="21"/>
  <c r="AI429" i="21"/>
  <c r="AG429" i="21"/>
  <c r="AE429" i="21"/>
  <c r="AB429" i="21"/>
  <c r="X429" i="21"/>
  <c r="EL429" i="21" s="1"/>
  <c r="W429" i="21"/>
  <c r="BA429" i="21" s="1"/>
  <c r="S429" i="21"/>
  <c r="P429" i="21"/>
  <c r="O429" i="21"/>
  <c r="N429" i="21"/>
  <c r="K429" i="21"/>
  <c r="J429" i="21"/>
  <c r="H429" i="21"/>
  <c r="I429" i="21" s="1"/>
  <c r="G429" i="21"/>
  <c r="FZ428" i="21"/>
  <c r="EA428" i="21"/>
  <c r="DY428" i="21"/>
  <c r="DL428" i="21"/>
  <c r="CT428" i="21"/>
  <c r="CF428" i="21"/>
  <c r="CD428" i="21"/>
  <c r="CC428" i="21"/>
  <c r="AN428" i="21"/>
  <c r="AK428" i="21"/>
  <c r="AB428" i="21"/>
  <c r="W428" i="21"/>
  <c r="BA428" i="21" s="1"/>
  <c r="U428" i="21"/>
  <c r="S428" i="21"/>
  <c r="P428" i="21"/>
  <c r="O428" i="21"/>
  <c r="BE428" i="21" s="1"/>
  <c r="N428" i="21"/>
  <c r="L428" i="21"/>
  <c r="K428" i="21"/>
  <c r="J428" i="21"/>
  <c r="H428" i="21"/>
  <c r="I428" i="21" s="1"/>
  <c r="G428" i="21"/>
  <c r="CG428" i="21" s="1"/>
  <c r="EE427" i="21"/>
  <c r="EA427" i="21"/>
  <c r="DI427" i="21"/>
  <c r="CT427" i="21"/>
  <c r="CG427" i="21"/>
  <c r="CF427" i="21"/>
  <c r="CH427" i="21" s="1"/>
  <c r="CC427" i="21"/>
  <c r="BA427" i="21"/>
  <c r="AS427" i="21"/>
  <c r="AK427" i="21"/>
  <c r="AI427" i="21"/>
  <c r="AG427" i="21"/>
  <c r="AE427" i="21"/>
  <c r="AB427" i="21"/>
  <c r="W427" i="21"/>
  <c r="X427" i="21" s="1"/>
  <c r="EL427" i="21" s="1"/>
  <c r="S427" i="21"/>
  <c r="P427" i="21"/>
  <c r="O427" i="21"/>
  <c r="N427" i="21"/>
  <c r="Q427" i="21" s="1"/>
  <c r="BZ427" i="21" s="1"/>
  <c r="M427" i="21"/>
  <c r="L427" i="21"/>
  <c r="K427" i="21"/>
  <c r="J427" i="21"/>
  <c r="H427" i="21"/>
  <c r="I427" i="21" s="1"/>
  <c r="G427" i="21"/>
  <c r="EA426" i="21"/>
  <c r="DI426" i="21"/>
  <c r="CT426" i="21"/>
  <c r="CF426" i="21"/>
  <c r="CD426" i="21"/>
  <c r="CC426" i="21"/>
  <c r="CE426" i="21" s="1"/>
  <c r="AN426" i="21"/>
  <c r="AK426" i="21"/>
  <c r="AB426" i="21"/>
  <c r="W426" i="21"/>
  <c r="BA426" i="21" s="1"/>
  <c r="S426" i="21"/>
  <c r="P426" i="21"/>
  <c r="DY426" i="21" s="1"/>
  <c r="O426" i="21"/>
  <c r="N426" i="21"/>
  <c r="K426" i="21"/>
  <c r="J426" i="21"/>
  <c r="H426" i="21"/>
  <c r="I426" i="21" s="1"/>
  <c r="AX426" i="21" s="1"/>
  <c r="G426" i="21"/>
  <c r="CG426" i="21" s="1"/>
  <c r="FZ425" i="21"/>
  <c r="FX425" i="21"/>
  <c r="DY425" i="21"/>
  <c r="CT425" i="21"/>
  <c r="CG425" i="21"/>
  <c r="AS425" i="21"/>
  <c r="AM425" i="21"/>
  <c r="AK425" i="21"/>
  <c r="AI425" i="21"/>
  <c r="AG425" i="21"/>
  <c r="CC425" i="21" s="1"/>
  <c r="AE425" i="21"/>
  <c r="AB425" i="21"/>
  <c r="W425" i="21"/>
  <c r="X425" i="21" s="1"/>
  <c r="EL425" i="21" s="1"/>
  <c r="EK425" i="21" s="1"/>
  <c r="U425" i="21"/>
  <c r="S425" i="21"/>
  <c r="Q425" i="21"/>
  <c r="T425" i="21" s="1"/>
  <c r="P425" i="21"/>
  <c r="O425" i="21"/>
  <c r="N425" i="21"/>
  <c r="L425" i="21"/>
  <c r="K425" i="21"/>
  <c r="CF425" i="21" s="1"/>
  <c r="J425" i="21"/>
  <c r="DL425" i="21" s="1"/>
  <c r="I425" i="21"/>
  <c r="AX425" i="21" s="1"/>
  <c r="H425" i="21"/>
  <c r="G425" i="21"/>
  <c r="FX424" i="21"/>
  <c r="FA424" i="21"/>
  <c r="DY424" i="21"/>
  <c r="DL424" i="21"/>
  <c r="CT424" i="21"/>
  <c r="CF424" i="21"/>
  <c r="AK424" i="21"/>
  <c r="AI424" i="21"/>
  <c r="AG424" i="21"/>
  <c r="CC424" i="21" s="1"/>
  <c r="AE424" i="21"/>
  <c r="AB424" i="21"/>
  <c r="W424" i="21"/>
  <c r="U424" i="21"/>
  <c r="S424" i="21"/>
  <c r="AN424" i="21" s="1"/>
  <c r="Q424" i="21"/>
  <c r="T424" i="21" s="1"/>
  <c r="P424" i="21"/>
  <c r="O424" i="21"/>
  <c r="N424" i="21"/>
  <c r="K424" i="21"/>
  <c r="J424" i="21"/>
  <c r="AM424" i="21" s="1"/>
  <c r="H424" i="21"/>
  <c r="G424" i="21"/>
  <c r="CG424" i="21" s="1"/>
  <c r="CH424" i="21" s="1"/>
  <c r="DL423" i="21"/>
  <c r="CT423" i="21"/>
  <c r="CG423" i="21"/>
  <c r="CF423" i="21"/>
  <c r="CH423" i="21" s="1"/>
  <c r="CC423" i="21"/>
  <c r="AB423" i="21"/>
  <c r="W423" i="21"/>
  <c r="S423" i="21"/>
  <c r="P423" i="21"/>
  <c r="O423" i="21"/>
  <c r="N423" i="21"/>
  <c r="K423" i="21"/>
  <c r="J423" i="21"/>
  <c r="AS423" i="21" s="1"/>
  <c r="H423" i="21"/>
  <c r="G423" i="21"/>
  <c r="FX422" i="21"/>
  <c r="FA422" i="21"/>
  <c r="CT422" i="21"/>
  <c r="CG422" i="21"/>
  <c r="CD422" i="21"/>
  <c r="CC422" i="21"/>
  <c r="BA422" i="21"/>
  <c r="AS422" i="21"/>
  <c r="AN422" i="21"/>
  <c r="AB422" i="21"/>
  <c r="W422" i="21"/>
  <c r="X422" i="21" s="1"/>
  <c r="EL422" i="21" s="1"/>
  <c r="EK422" i="21" s="1"/>
  <c r="S422" i="21"/>
  <c r="P422" i="21"/>
  <c r="DY422" i="21" s="1"/>
  <c r="O422" i="21"/>
  <c r="N422" i="21"/>
  <c r="K422" i="21"/>
  <c r="J422" i="21"/>
  <c r="H422" i="21"/>
  <c r="G422" i="21"/>
  <c r="FZ421" i="21"/>
  <c r="FX421" i="21"/>
  <c r="CT421" i="21"/>
  <c r="CF421" i="21"/>
  <c r="BA421" i="21"/>
  <c r="AN421" i="21"/>
  <c r="AK421" i="21"/>
  <c r="AI421" i="21"/>
  <c r="EA421" i="21" s="1"/>
  <c r="AG421" i="21"/>
  <c r="CC421" i="21" s="1"/>
  <c r="AE421" i="21"/>
  <c r="AB421" i="21"/>
  <c r="W421" i="21"/>
  <c r="X421" i="21" s="1"/>
  <c r="EL421" i="21" s="1"/>
  <c r="EK421" i="21" s="1"/>
  <c r="U421" i="21"/>
  <c r="S421" i="21"/>
  <c r="P421" i="21"/>
  <c r="O421" i="21"/>
  <c r="N421" i="21"/>
  <c r="K421" i="21"/>
  <c r="J421" i="21"/>
  <c r="H421" i="21"/>
  <c r="G421" i="21"/>
  <c r="CG421" i="21" s="1"/>
  <c r="FZ420" i="21"/>
  <c r="FX420" i="21"/>
  <c r="CT420" i="21"/>
  <c r="CG420" i="21"/>
  <c r="AI420" i="21"/>
  <c r="AG420" i="21"/>
  <c r="CC420" i="21" s="1"/>
  <c r="AE420" i="21"/>
  <c r="AB420" i="21"/>
  <c r="W420" i="21"/>
  <c r="BA420" i="21" s="1"/>
  <c r="S420" i="21"/>
  <c r="P420" i="21"/>
  <c r="O420" i="21"/>
  <c r="N420" i="21"/>
  <c r="K420" i="21"/>
  <c r="J420" i="21"/>
  <c r="I420" i="21"/>
  <c r="H420" i="21"/>
  <c r="G420" i="21"/>
  <c r="CT419" i="21"/>
  <c r="CG419" i="21"/>
  <c r="CC419" i="21"/>
  <c r="AK419" i="21"/>
  <c r="AB419" i="21"/>
  <c r="X419" i="21"/>
  <c r="EL419" i="21" s="1"/>
  <c r="W419" i="21"/>
  <c r="BA419" i="21" s="1"/>
  <c r="S419" i="21"/>
  <c r="P419" i="21"/>
  <c r="O419" i="21"/>
  <c r="N419" i="21"/>
  <c r="L419" i="21"/>
  <c r="K419" i="21"/>
  <c r="J419" i="21"/>
  <c r="I419" i="21"/>
  <c r="H419" i="21"/>
  <c r="G419" i="21"/>
  <c r="DY418" i="21"/>
  <c r="CT418" i="21"/>
  <c r="CG418" i="21"/>
  <c r="CF418" i="21"/>
  <c r="CH418" i="21" s="1"/>
  <c r="CC418" i="21"/>
  <c r="AS418" i="21"/>
  <c r="AN418" i="21"/>
  <c r="AI418" i="21"/>
  <c r="AG418" i="21"/>
  <c r="AE418" i="21"/>
  <c r="AB418" i="21"/>
  <c r="X418" i="21"/>
  <c r="EL418" i="21" s="1"/>
  <c r="EK418" i="21" s="1"/>
  <c r="W418" i="21"/>
  <c r="BA418" i="21" s="1"/>
  <c r="S418" i="21"/>
  <c r="P418" i="21"/>
  <c r="O418" i="21"/>
  <c r="U418" i="21" s="1"/>
  <c r="N418" i="21"/>
  <c r="K418" i="21"/>
  <c r="J418" i="21"/>
  <c r="H418" i="21"/>
  <c r="G418" i="21"/>
  <c r="FZ417" i="21"/>
  <c r="CT417" i="21"/>
  <c r="CG417" i="21"/>
  <c r="CF417" i="21"/>
  <c r="BE417" i="21"/>
  <c r="BA417" i="21"/>
  <c r="BB417" i="21" s="1"/>
  <c r="AK417" i="21"/>
  <c r="AI417" i="21"/>
  <c r="EA417" i="21" s="1"/>
  <c r="AG417" i="21"/>
  <c r="AE417" i="21"/>
  <c r="AB417" i="21"/>
  <c r="W417" i="21"/>
  <c r="X417" i="21" s="1"/>
  <c r="S417" i="21"/>
  <c r="P417" i="21"/>
  <c r="DY417" i="21" s="1"/>
  <c r="O417" i="21"/>
  <c r="N417" i="21"/>
  <c r="M417" i="21"/>
  <c r="BF417" i="21" s="1"/>
  <c r="L417" i="21"/>
  <c r="K417" i="21"/>
  <c r="J417" i="21"/>
  <c r="AS417" i="21" s="1"/>
  <c r="I417" i="21"/>
  <c r="H417" i="21"/>
  <c r="G417" i="21"/>
  <c r="CT416" i="21"/>
  <c r="CG416" i="21"/>
  <c r="CC416" i="21"/>
  <c r="AS416" i="21"/>
  <c r="AB416" i="21"/>
  <c r="W416" i="21"/>
  <c r="X416" i="21" s="1"/>
  <c r="EL416" i="21" s="1"/>
  <c r="EK416" i="21" s="1"/>
  <c r="S416" i="21"/>
  <c r="P416" i="21"/>
  <c r="DY416" i="21" s="1"/>
  <c r="O416" i="21"/>
  <c r="N416" i="21"/>
  <c r="L416" i="21"/>
  <c r="K416" i="21"/>
  <c r="J416" i="21"/>
  <c r="H416" i="21"/>
  <c r="G416" i="21"/>
  <c r="FZ415" i="21"/>
  <c r="FX415" i="21"/>
  <c r="DY415" i="21"/>
  <c r="DL415" i="21"/>
  <c r="CT415" i="21"/>
  <c r="CG415" i="21"/>
  <c r="CF415" i="21"/>
  <c r="CH415" i="21" s="1"/>
  <c r="CC415" i="21"/>
  <c r="AK415" i="21"/>
  <c r="AI415" i="21"/>
  <c r="EA415" i="21" s="1"/>
  <c r="AG415" i="21"/>
  <c r="BE415" i="21" s="1"/>
  <c r="AE415" i="21"/>
  <c r="AB415" i="21"/>
  <c r="W415" i="21"/>
  <c r="X415" i="21" s="1"/>
  <c r="U415" i="21"/>
  <c r="S415" i="21"/>
  <c r="AN415" i="21" s="1"/>
  <c r="P415" i="21"/>
  <c r="O415" i="21"/>
  <c r="N415" i="21"/>
  <c r="L415" i="21"/>
  <c r="K415" i="21"/>
  <c r="J415" i="21"/>
  <c r="H415" i="21"/>
  <c r="I415" i="21" s="1"/>
  <c r="G415" i="21"/>
  <c r="CT414" i="21"/>
  <c r="CG414" i="21"/>
  <c r="AK414" i="21"/>
  <c r="AI414" i="21"/>
  <c r="AG414" i="21"/>
  <c r="CC414" i="21" s="1"/>
  <c r="AE414" i="21"/>
  <c r="AB414" i="21"/>
  <c r="W414" i="21"/>
  <c r="X414" i="21" s="1"/>
  <c r="EL414" i="21" s="1"/>
  <c r="EK414" i="21" s="1"/>
  <c r="S414" i="21"/>
  <c r="P414" i="21"/>
  <c r="O414" i="21"/>
  <c r="N414" i="21"/>
  <c r="K414" i="21"/>
  <c r="J414" i="21"/>
  <c r="I414" i="21"/>
  <c r="H414" i="21"/>
  <c r="G414" i="21"/>
  <c r="FX413" i="21"/>
  <c r="EL413" i="21"/>
  <c r="EK413" i="21"/>
  <c r="EE413" i="21"/>
  <c r="CT413" i="21"/>
  <c r="AS413" i="21"/>
  <c r="AK413" i="21"/>
  <c r="AG413" i="21"/>
  <c r="CC413" i="21" s="1"/>
  <c r="AE413" i="21"/>
  <c r="AB413" i="21"/>
  <c r="W413" i="21"/>
  <c r="X413" i="21" s="1"/>
  <c r="S413" i="21"/>
  <c r="P413" i="21"/>
  <c r="O413" i="21"/>
  <c r="N413" i="21"/>
  <c r="L413" i="21"/>
  <c r="K413" i="21"/>
  <c r="J413" i="21"/>
  <c r="H413" i="21"/>
  <c r="G413" i="21"/>
  <c r="CG413" i="21" s="1"/>
  <c r="FZ412" i="21"/>
  <c r="FX412" i="21"/>
  <c r="EA412" i="21"/>
  <c r="DY412" i="21"/>
  <c r="CT412" i="21"/>
  <c r="CG412" i="21"/>
  <c r="CF412" i="21"/>
  <c r="CD412" i="21"/>
  <c r="CE412" i="21" s="1"/>
  <c r="CC412" i="21"/>
  <c r="BR412" i="21"/>
  <c r="DZ412" i="21" s="1"/>
  <c r="EB412" i="21" s="1"/>
  <c r="BE412" i="21"/>
  <c r="AS412" i="21"/>
  <c r="AN412" i="21"/>
  <c r="AM412" i="21"/>
  <c r="AK412" i="21"/>
  <c r="AG412" i="21"/>
  <c r="AE412" i="21"/>
  <c r="AB412" i="21"/>
  <c r="W412" i="21"/>
  <c r="BA412" i="21" s="1"/>
  <c r="U412" i="21"/>
  <c r="S412" i="21"/>
  <c r="Q412" i="21"/>
  <c r="CA412" i="21" s="1"/>
  <c r="P412" i="21"/>
  <c r="O412" i="21"/>
  <c r="N412" i="21"/>
  <c r="K412" i="21"/>
  <c r="J412" i="21"/>
  <c r="I412" i="21"/>
  <c r="H412" i="21"/>
  <c r="G412" i="21"/>
  <c r="FZ411" i="21"/>
  <c r="FX411" i="21"/>
  <c r="EA411" i="21"/>
  <c r="CT411" i="21"/>
  <c r="CD411" i="21"/>
  <c r="CE411" i="21" s="1"/>
  <c r="CC411" i="21"/>
  <c r="BE411" i="21"/>
  <c r="BA411" i="21"/>
  <c r="AK411" i="21"/>
  <c r="AB411" i="21"/>
  <c r="W411" i="21"/>
  <c r="X411" i="21" s="1"/>
  <c r="EL411" i="21" s="1"/>
  <c r="EK411" i="21" s="1"/>
  <c r="U411" i="21"/>
  <c r="S411" i="21"/>
  <c r="P411" i="21"/>
  <c r="DY411" i="21" s="1"/>
  <c r="O411" i="21"/>
  <c r="N411" i="21"/>
  <c r="EE411" i="21" s="1"/>
  <c r="L411" i="21"/>
  <c r="K411" i="21"/>
  <c r="J411" i="21"/>
  <c r="AM411" i="21" s="1"/>
  <c r="I411" i="21"/>
  <c r="M411" i="21" s="1"/>
  <c r="BF411" i="21" s="1"/>
  <c r="H411" i="21"/>
  <c r="G411" i="21"/>
  <c r="CG411" i="21" s="1"/>
  <c r="EL410" i="21"/>
  <c r="CT410" i="21"/>
  <c r="CG410" i="21"/>
  <c r="CC410" i="21"/>
  <c r="BE410" i="21"/>
  <c r="BA410" i="21"/>
  <c r="BB410" i="21" s="1"/>
  <c r="AB410" i="21"/>
  <c r="W410" i="21"/>
  <c r="X410" i="21" s="1"/>
  <c r="S410" i="21"/>
  <c r="P410" i="21"/>
  <c r="DY410" i="21" s="1"/>
  <c r="O410" i="21"/>
  <c r="N410" i="21"/>
  <c r="K410" i="21"/>
  <c r="J410" i="21"/>
  <c r="I410" i="21"/>
  <c r="H410" i="21"/>
  <c r="G410" i="21"/>
  <c r="FX409" i="21"/>
  <c r="DY409" i="21"/>
  <c r="DT409" i="21"/>
  <c r="CT409" i="21"/>
  <c r="BA409" i="21"/>
  <c r="AN409" i="21"/>
  <c r="AK409" i="21"/>
  <c r="AG409" i="21"/>
  <c r="CC409" i="21" s="1"/>
  <c r="AE409" i="21"/>
  <c r="AB409" i="21"/>
  <c r="Y409" i="21"/>
  <c r="BI409" i="21" s="1"/>
  <c r="X409" i="21"/>
  <c r="EL409" i="21" s="1"/>
  <c r="EK409" i="21" s="1"/>
  <c r="W409" i="21"/>
  <c r="S409" i="21"/>
  <c r="P409" i="21"/>
  <c r="O409" i="21"/>
  <c r="U409" i="21" s="1"/>
  <c r="N409" i="21"/>
  <c r="K409" i="21"/>
  <c r="J409" i="21"/>
  <c r="AM409" i="21" s="1"/>
  <c r="H409" i="21"/>
  <c r="G409" i="21"/>
  <c r="CG409" i="21" s="1"/>
  <c r="FZ408" i="21"/>
  <c r="EL408" i="21"/>
  <c r="EK408" i="21" s="1"/>
  <c r="EA408" i="21"/>
  <c r="DY408" i="21"/>
  <c r="CT408" i="21"/>
  <c r="CF408" i="21"/>
  <c r="CH408" i="21" s="1"/>
  <c r="CD408" i="21"/>
  <c r="CC408" i="21"/>
  <c r="AK408" i="21"/>
  <c r="AB408" i="21"/>
  <c r="X408" i="21"/>
  <c r="Y408" i="21" s="1"/>
  <c r="DT408" i="21" s="1"/>
  <c r="W408" i="21"/>
  <c r="BA408" i="21" s="1"/>
  <c r="S408" i="21"/>
  <c r="P408" i="21"/>
  <c r="O408" i="21"/>
  <c r="N408" i="21"/>
  <c r="M408" i="21"/>
  <c r="L408" i="21"/>
  <c r="K408" i="21"/>
  <c r="J408" i="21"/>
  <c r="I408" i="21"/>
  <c r="DI408" i="21" s="1"/>
  <c r="H408" i="21"/>
  <c r="G408" i="21"/>
  <c r="CG408" i="21" s="1"/>
  <c r="FZ407" i="21"/>
  <c r="EA407" i="21"/>
  <c r="DY407" i="21"/>
  <c r="CT407" i="21"/>
  <c r="CF407" i="21"/>
  <c r="CD407" i="21"/>
  <c r="CC407" i="21"/>
  <c r="AK407" i="21"/>
  <c r="AB407" i="21"/>
  <c r="W407" i="21"/>
  <c r="BA407" i="21" s="1"/>
  <c r="U407" i="21"/>
  <c r="S407" i="21"/>
  <c r="Q407" i="21"/>
  <c r="CA407" i="21" s="1"/>
  <c r="P407" i="21"/>
  <c r="O407" i="21"/>
  <c r="N407" i="21"/>
  <c r="K407" i="21"/>
  <c r="J407" i="21"/>
  <c r="I407" i="21"/>
  <c r="DI407" i="21" s="1"/>
  <c r="H407" i="21"/>
  <c r="G407" i="21"/>
  <c r="CG407" i="21" s="1"/>
  <c r="FZ406" i="21"/>
  <c r="EA406" i="21"/>
  <c r="DY406" i="21"/>
  <c r="CT406" i="21"/>
  <c r="CG406" i="21"/>
  <c r="CF406" i="21"/>
  <c r="CD406" i="21"/>
  <c r="AK406" i="21"/>
  <c r="AG406" i="21"/>
  <c r="CC406" i="21" s="1"/>
  <c r="CE406" i="21" s="1"/>
  <c r="AE406" i="21"/>
  <c r="AB406" i="21"/>
  <c r="W406" i="21"/>
  <c r="S406" i="21"/>
  <c r="P406" i="21"/>
  <c r="O406" i="21"/>
  <c r="N406" i="21"/>
  <c r="EE406" i="21" s="1"/>
  <c r="K406" i="21"/>
  <c r="J406" i="21"/>
  <c r="H406" i="21"/>
  <c r="I406" i="21" s="1"/>
  <c r="G406" i="21"/>
  <c r="FX405" i="21"/>
  <c r="EA405" i="21"/>
  <c r="DY405" i="21"/>
  <c r="CT405" i="21"/>
  <c r="CG405" i="21"/>
  <c r="CF405" i="21"/>
  <c r="CH405" i="21" s="1"/>
  <c r="CC405" i="21"/>
  <c r="AK405" i="21"/>
  <c r="AB405" i="21"/>
  <c r="X405" i="21"/>
  <c r="EL405" i="21" s="1"/>
  <c r="EK405" i="21" s="1"/>
  <c r="W405" i="21"/>
  <c r="BA405" i="21" s="1"/>
  <c r="BB405" i="21" s="1"/>
  <c r="U405" i="21"/>
  <c r="S405" i="21"/>
  <c r="P405" i="21"/>
  <c r="O405" i="21"/>
  <c r="N405" i="21"/>
  <c r="EE405" i="21" s="1"/>
  <c r="L405" i="21"/>
  <c r="K405" i="21"/>
  <c r="J405" i="21"/>
  <c r="DL405" i="21" s="1"/>
  <c r="I405" i="21"/>
  <c r="DI405" i="21" s="1"/>
  <c r="H405" i="21"/>
  <c r="G405" i="21"/>
  <c r="FZ404" i="21"/>
  <c r="FX404" i="21"/>
  <c r="EA404" i="21"/>
  <c r="DY404" i="21"/>
  <c r="CT404" i="21"/>
  <c r="CF404" i="21"/>
  <c r="BA404" i="21"/>
  <c r="BB404" i="21" s="1"/>
  <c r="AG404" i="21"/>
  <c r="CC404" i="21" s="1"/>
  <c r="AE404" i="21"/>
  <c r="CD404" i="21" s="1"/>
  <c r="AB404" i="21"/>
  <c r="W404" i="21"/>
  <c r="X404" i="21" s="1"/>
  <c r="EL404" i="21" s="1"/>
  <c r="EK404" i="21" s="1"/>
  <c r="U404" i="21"/>
  <c r="S404" i="21"/>
  <c r="P404" i="21"/>
  <c r="O404" i="21"/>
  <c r="N404" i="21"/>
  <c r="K404" i="21"/>
  <c r="J404" i="21"/>
  <c r="I404" i="21"/>
  <c r="H404" i="21"/>
  <c r="G404" i="21"/>
  <c r="CG404" i="21" s="1"/>
  <c r="CT403" i="21"/>
  <c r="AS403" i="21"/>
  <c r="AM403" i="21"/>
  <c r="AK403" i="21"/>
  <c r="AI403" i="21"/>
  <c r="AG403" i="21"/>
  <c r="AE403" i="21"/>
  <c r="AB403" i="21"/>
  <c r="W403" i="21"/>
  <c r="X403" i="21" s="1"/>
  <c r="EL403" i="21" s="1"/>
  <c r="EK403" i="21" s="1"/>
  <c r="S403" i="21"/>
  <c r="P403" i="21"/>
  <c r="O403" i="21"/>
  <c r="N403" i="21"/>
  <c r="K403" i="21"/>
  <c r="EE403" i="21" s="1"/>
  <c r="J403" i="21"/>
  <c r="I403" i="21"/>
  <c r="DI403" i="21" s="1"/>
  <c r="H403" i="21"/>
  <c r="G403" i="21"/>
  <c r="CG403" i="21" s="1"/>
  <c r="EA402" i="21"/>
  <c r="DY402" i="21"/>
  <c r="DL402" i="21"/>
  <c r="CT402" i="21"/>
  <c r="CF402" i="21"/>
  <c r="CD402" i="21"/>
  <c r="CC402" i="21"/>
  <c r="BE402" i="21"/>
  <c r="AN402" i="21"/>
  <c r="AM402" i="21"/>
  <c r="AB402" i="21"/>
  <c r="W402" i="21"/>
  <c r="U402" i="21"/>
  <c r="S402" i="21"/>
  <c r="Q402" i="21"/>
  <c r="CA402" i="21" s="1"/>
  <c r="P402" i="21"/>
  <c r="O402" i="21"/>
  <c r="FX402" i="21" s="1"/>
  <c r="N402" i="21"/>
  <c r="L402" i="21"/>
  <c r="K402" i="21"/>
  <c r="J402" i="21"/>
  <c r="H402" i="21"/>
  <c r="EE402" i="21" s="1"/>
  <c r="G402" i="21"/>
  <c r="CG402" i="21" s="1"/>
  <c r="DL401" i="21"/>
  <c r="CT401" i="21"/>
  <c r="AG401" i="21"/>
  <c r="CC401" i="21" s="1"/>
  <c r="AE401" i="21"/>
  <c r="AB401" i="21"/>
  <c r="W401" i="21"/>
  <c r="S401" i="21"/>
  <c r="Q401" i="21"/>
  <c r="T401" i="21" s="1"/>
  <c r="P401" i="21"/>
  <c r="DY401" i="21" s="1"/>
  <c r="O401" i="21"/>
  <c r="N401" i="21"/>
  <c r="EE401" i="21" s="1"/>
  <c r="M401" i="21"/>
  <c r="K401" i="21"/>
  <c r="J401" i="21"/>
  <c r="AS401" i="21" s="1"/>
  <c r="H401" i="21"/>
  <c r="I401" i="21" s="1"/>
  <c r="AX401" i="21" s="1"/>
  <c r="G401" i="21"/>
  <c r="CG401" i="21" s="1"/>
  <c r="DL400" i="21"/>
  <c r="CT400" i="21"/>
  <c r="CG400" i="21"/>
  <c r="BA400" i="21"/>
  <c r="AK400" i="21"/>
  <c r="AI400" i="21"/>
  <c r="AG400" i="21"/>
  <c r="CC400" i="21" s="1"/>
  <c r="AE400" i="21"/>
  <c r="AB400" i="21"/>
  <c r="W400" i="21"/>
  <c r="X400" i="21" s="1"/>
  <c r="EL400" i="21" s="1"/>
  <c r="EK400" i="21" s="1"/>
  <c r="U400" i="21"/>
  <c r="S400" i="21"/>
  <c r="Q400" i="21"/>
  <c r="CA400" i="21" s="1"/>
  <c r="P400" i="21"/>
  <c r="DY400" i="21" s="1"/>
  <c r="O400" i="21"/>
  <c r="N400" i="21"/>
  <c r="M400" i="21"/>
  <c r="K400" i="21"/>
  <c r="AN400" i="21" s="1"/>
  <c r="J400" i="21"/>
  <c r="AS400" i="21" s="1"/>
  <c r="H400" i="21"/>
  <c r="I400" i="21" s="1"/>
  <c r="DI400" i="21" s="1"/>
  <c r="G400" i="21"/>
  <c r="DI399" i="21"/>
  <c r="CT399" i="21"/>
  <c r="CG399" i="21"/>
  <c r="CC399" i="21"/>
  <c r="AK399" i="21"/>
  <c r="AB399" i="21"/>
  <c r="W399" i="21"/>
  <c r="S399" i="21"/>
  <c r="P399" i="21"/>
  <c r="O399" i="21"/>
  <c r="N399" i="21"/>
  <c r="EE399" i="21" s="1"/>
  <c r="K399" i="21"/>
  <c r="J399" i="21"/>
  <c r="I399" i="21"/>
  <c r="H399" i="21"/>
  <c r="G399" i="21"/>
  <c r="DL398" i="21"/>
  <c r="DI398" i="21"/>
  <c r="CT398" i="21"/>
  <c r="CG398" i="21"/>
  <c r="BB398" i="21"/>
  <c r="BA398" i="21"/>
  <c r="AX398" i="21"/>
  <c r="AK398" i="21"/>
  <c r="AI398" i="21"/>
  <c r="AG398" i="21"/>
  <c r="CC398" i="21" s="1"/>
  <c r="AE398" i="21"/>
  <c r="AB398" i="21"/>
  <c r="W398" i="21"/>
  <c r="X398" i="21" s="1"/>
  <c r="EL398" i="21" s="1"/>
  <c r="EK398" i="21" s="1"/>
  <c r="U398" i="21"/>
  <c r="S398" i="21"/>
  <c r="P398" i="21"/>
  <c r="DY398" i="21" s="1"/>
  <c r="O398" i="21"/>
  <c r="N398" i="21"/>
  <c r="EE398" i="21" s="1"/>
  <c r="K398" i="21"/>
  <c r="J398" i="21"/>
  <c r="AS398" i="21" s="1"/>
  <c r="I398" i="21"/>
  <c r="M398" i="21" s="1"/>
  <c r="H398" i="21"/>
  <c r="G398" i="21"/>
  <c r="DY397" i="21"/>
  <c r="DL397" i="21"/>
  <c r="CT397" i="21"/>
  <c r="CF397" i="21"/>
  <c r="CC397" i="21"/>
  <c r="CA397" i="21"/>
  <c r="CB397" i="21" s="1"/>
  <c r="BZ397" i="21"/>
  <c r="BA397" i="21"/>
  <c r="AS397" i="21"/>
  <c r="AM397" i="21"/>
  <c r="AI397" i="21"/>
  <c r="AG397" i="21"/>
  <c r="AE397" i="21"/>
  <c r="AB397" i="21"/>
  <c r="W397" i="21"/>
  <c r="X397" i="21" s="1"/>
  <c r="S397" i="21"/>
  <c r="Q397" i="21"/>
  <c r="BR397" i="21" s="1"/>
  <c r="DZ397" i="21" s="1"/>
  <c r="P397" i="21"/>
  <c r="O397" i="21"/>
  <c r="N397" i="21"/>
  <c r="K397" i="21"/>
  <c r="J397" i="21"/>
  <c r="H397" i="21"/>
  <c r="L397" i="21" s="1"/>
  <c r="G397" i="21"/>
  <c r="CG397" i="21" s="1"/>
  <c r="FX396" i="21"/>
  <c r="DY396" i="21"/>
  <c r="DL396" i="21"/>
  <c r="DI396" i="21"/>
  <c r="CT396" i="21"/>
  <c r="CE396" i="21"/>
  <c r="CD396" i="21"/>
  <c r="CC396" i="21"/>
  <c r="BE396" i="21"/>
  <c r="AS396" i="21"/>
  <c r="AM396" i="21"/>
  <c r="AK396" i="21"/>
  <c r="AB396" i="21"/>
  <c r="W396" i="21"/>
  <c r="BA396" i="21" s="1"/>
  <c r="BB396" i="21" s="1"/>
  <c r="S396" i="21"/>
  <c r="Q396" i="21"/>
  <c r="P396" i="21"/>
  <c r="O396" i="21"/>
  <c r="N396" i="21"/>
  <c r="EE396" i="21" s="1"/>
  <c r="K396" i="21"/>
  <c r="J396" i="21"/>
  <c r="I396" i="21"/>
  <c r="M396" i="21" s="1"/>
  <c r="H396" i="21"/>
  <c r="G396" i="21"/>
  <c r="CG396" i="21" s="1"/>
  <c r="CT395" i="21"/>
  <c r="CC395" i="21"/>
  <c r="BA395" i="21"/>
  <c r="AS395" i="21"/>
  <c r="AM395" i="21"/>
  <c r="AI395" i="21"/>
  <c r="AG395" i="21"/>
  <c r="AE395" i="21"/>
  <c r="CD395" i="21" s="1"/>
  <c r="AB395" i="21"/>
  <c r="X395" i="21"/>
  <c r="EL395" i="21" s="1"/>
  <c r="W395" i="21"/>
  <c r="S395" i="21"/>
  <c r="P395" i="21"/>
  <c r="O395" i="21"/>
  <c r="N395" i="21"/>
  <c r="L395" i="21"/>
  <c r="K395" i="21"/>
  <c r="J395" i="21"/>
  <c r="H395" i="21"/>
  <c r="G395" i="21"/>
  <c r="EL394" i="21"/>
  <c r="CT394" i="21"/>
  <c r="CG394" i="21"/>
  <c r="CD394" i="21"/>
  <c r="CC394" i="21"/>
  <c r="BA394" i="21"/>
  <c r="AI394" i="21"/>
  <c r="AG394" i="21"/>
  <c r="AE394" i="21"/>
  <c r="AB394" i="21"/>
  <c r="X394" i="21"/>
  <c r="W394" i="21"/>
  <c r="S394" i="21"/>
  <c r="P394" i="21"/>
  <c r="DY394" i="21" s="1"/>
  <c r="O394" i="21"/>
  <c r="N394" i="21"/>
  <c r="L394" i="21"/>
  <c r="K394" i="21"/>
  <c r="J394" i="21"/>
  <c r="I394" i="21"/>
  <c r="H394" i="21"/>
  <c r="G394" i="21"/>
  <c r="CT393" i="21"/>
  <c r="CG393" i="21"/>
  <c r="CD393" i="21"/>
  <c r="CC393" i="21"/>
  <c r="BA393" i="21"/>
  <c r="AB393" i="21"/>
  <c r="W393" i="21"/>
  <c r="X393" i="21" s="1"/>
  <c r="EL393" i="21" s="1"/>
  <c r="EK393" i="21" s="1"/>
  <c r="S393" i="21"/>
  <c r="P393" i="21"/>
  <c r="O393" i="21"/>
  <c r="N393" i="21"/>
  <c r="K393" i="21"/>
  <c r="J393" i="21"/>
  <c r="H393" i="21"/>
  <c r="G393" i="21"/>
  <c r="FZ392" i="21"/>
  <c r="EA392" i="21"/>
  <c r="CT392" i="21"/>
  <c r="CG392" i="21"/>
  <c r="CF392" i="21"/>
  <c r="CD392" i="21"/>
  <c r="CC392" i="21"/>
  <c r="CE392" i="21" s="1"/>
  <c r="BE392" i="21"/>
  <c r="BA392" i="21"/>
  <c r="AS392" i="21"/>
  <c r="AN392" i="21"/>
  <c r="AM392" i="21"/>
  <c r="AK392" i="21"/>
  <c r="AB392" i="21"/>
  <c r="Y392" i="21"/>
  <c r="DT392" i="21" s="1"/>
  <c r="X392" i="21"/>
  <c r="EL392" i="21" s="1"/>
  <c r="EK392" i="21" s="1"/>
  <c r="W392" i="21"/>
  <c r="S392" i="21"/>
  <c r="P392" i="21"/>
  <c r="DY392" i="21" s="1"/>
  <c r="O392" i="21"/>
  <c r="FX392" i="21" s="1"/>
  <c r="N392" i="21"/>
  <c r="L392" i="21"/>
  <c r="K392" i="21"/>
  <c r="J392" i="21"/>
  <c r="I392" i="21"/>
  <c r="H392" i="21"/>
  <c r="G392" i="21"/>
  <c r="FZ391" i="21"/>
  <c r="FX391" i="21"/>
  <c r="EE391" i="21"/>
  <c r="EA391" i="21"/>
  <c r="DY391" i="21"/>
  <c r="DI391" i="21"/>
  <c r="CT391" i="21"/>
  <c r="CH391" i="21"/>
  <c r="CF391" i="21"/>
  <c r="CD391" i="21"/>
  <c r="CC391" i="21"/>
  <c r="AX391" i="21"/>
  <c r="AK391" i="21"/>
  <c r="AB391" i="21"/>
  <c r="X391" i="21"/>
  <c r="EL391" i="21" s="1"/>
  <c r="EK391" i="21" s="1"/>
  <c r="W391" i="21"/>
  <c r="BA391" i="21" s="1"/>
  <c r="U391" i="21"/>
  <c r="S391" i="21"/>
  <c r="P391" i="21"/>
  <c r="O391" i="21"/>
  <c r="N391" i="21"/>
  <c r="M391" i="21"/>
  <c r="L391" i="21"/>
  <c r="K391" i="21"/>
  <c r="J391" i="21"/>
  <c r="AS391" i="21" s="1"/>
  <c r="I391" i="21"/>
  <c r="H391" i="21"/>
  <c r="G391" i="21"/>
  <c r="CG391" i="21" s="1"/>
  <c r="FZ390" i="21"/>
  <c r="DL390" i="21"/>
  <c r="CT390" i="21"/>
  <c r="CF390" i="21"/>
  <c r="CH390" i="21" s="1"/>
  <c r="CD390" i="21"/>
  <c r="CC390" i="21"/>
  <c r="CE390" i="21" s="1"/>
  <c r="CA390" i="21"/>
  <c r="BZ390" i="21"/>
  <c r="CB390" i="21" s="1"/>
  <c r="AK390" i="21"/>
  <c r="AI390" i="21"/>
  <c r="AG390" i="21"/>
  <c r="AE390" i="21"/>
  <c r="AB390" i="21"/>
  <c r="W390" i="21"/>
  <c r="U390" i="21"/>
  <c r="T390" i="21"/>
  <c r="S390" i="21"/>
  <c r="Q390" i="21"/>
  <c r="BR390" i="21" s="1"/>
  <c r="DZ390" i="21" s="1"/>
  <c r="P390" i="21"/>
  <c r="O390" i="21"/>
  <c r="FX390" i="21" s="1"/>
  <c r="N390" i="21"/>
  <c r="K390" i="21"/>
  <c r="J390" i="21"/>
  <c r="H390" i="21"/>
  <c r="EE390" i="21" s="1"/>
  <c r="G390" i="21"/>
  <c r="CG390" i="21" s="1"/>
  <c r="FX389" i="21"/>
  <c r="DL389" i="21"/>
  <c r="CT389" i="21"/>
  <c r="CC389" i="21"/>
  <c r="CA389" i="21"/>
  <c r="BE389" i="21"/>
  <c r="AM389" i="21"/>
  <c r="AI389" i="21"/>
  <c r="EA389" i="21" s="1"/>
  <c r="AG389" i="21"/>
  <c r="AE389" i="21"/>
  <c r="FZ389" i="21" s="1"/>
  <c r="AB389" i="21"/>
  <c r="W389" i="21"/>
  <c r="X389" i="21" s="1"/>
  <c r="U389" i="21"/>
  <c r="S389" i="21"/>
  <c r="AN389" i="21" s="1"/>
  <c r="Q389" i="21"/>
  <c r="P389" i="21"/>
  <c r="DY389" i="21" s="1"/>
  <c r="O389" i="21"/>
  <c r="N389" i="21"/>
  <c r="EE389" i="21" s="1"/>
  <c r="K389" i="21"/>
  <c r="CF389" i="21" s="1"/>
  <c r="CH389" i="21" s="1"/>
  <c r="J389" i="21"/>
  <c r="AS389" i="21" s="1"/>
  <c r="H389" i="21"/>
  <c r="I389" i="21" s="1"/>
  <c r="M389" i="21" s="1"/>
  <c r="BF389" i="21" s="1"/>
  <c r="G389" i="21"/>
  <c r="CG389" i="21" s="1"/>
  <c r="FZ388" i="21"/>
  <c r="DL388" i="21"/>
  <c r="CT388" i="21"/>
  <c r="CD388" i="21"/>
  <c r="AK388" i="21"/>
  <c r="AI388" i="21"/>
  <c r="AG388" i="21"/>
  <c r="AE388" i="21"/>
  <c r="AB388" i="21"/>
  <c r="X388" i="21"/>
  <c r="EL388" i="21" s="1"/>
  <c r="EK388" i="21" s="1"/>
  <c r="W388" i="21"/>
  <c r="BA388" i="21" s="1"/>
  <c r="S388" i="21"/>
  <c r="P388" i="21"/>
  <c r="DY388" i="21" s="1"/>
  <c r="O388" i="21"/>
  <c r="N388" i="21"/>
  <c r="M388" i="21"/>
  <c r="K388" i="21"/>
  <c r="EA388" i="21" s="1"/>
  <c r="J388" i="21"/>
  <c r="H388" i="21"/>
  <c r="I388" i="21" s="1"/>
  <c r="DI388" i="21" s="1"/>
  <c r="G388" i="21"/>
  <c r="CG388" i="21" s="1"/>
  <c r="CT387" i="21"/>
  <c r="CG387" i="21"/>
  <c r="CC387" i="21"/>
  <c r="BA387" i="21"/>
  <c r="AI387" i="21"/>
  <c r="AG387" i="21"/>
  <c r="AE387" i="21"/>
  <c r="AB387" i="21"/>
  <c r="W387" i="21"/>
  <c r="X387" i="21" s="1"/>
  <c r="EL387" i="21" s="1"/>
  <c r="EK387" i="21" s="1"/>
  <c r="U387" i="21"/>
  <c r="S387" i="21"/>
  <c r="P387" i="21"/>
  <c r="DY387" i="21" s="1"/>
  <c r="O387" i="21"/>
  <c r="FX387" i="21" s="1"/>
  <c r="N387" i="21"/>
  <c r="K387" i="21"/>
  <c r="J387" i="21"/>
  <c r="I387" i="21"/>
  <c r="M387" i="21" s="1"/>
  <c r="H387" i="21"/>
  <c r="AK387" i="21" s="1"/>
  <c r="G387" i="21"/>
  <c r="FZ386" i="21"/>
  <c r="EA386" i="21"/>
  <c r="CT386" i="21"/>
  <c r="CG386" i="21"/>
  <c r="CF386" i="21"/>
  <c r="CD386" i="21"/>
  <c r="CC386" i="21"/>
  <c r="BA386" i="21"/>
  <c r="AS386" i="21"/>
  <c r="AB386" i="21"/>
  <c r="X386" i="21"/>
  <c r="W386" i="21"/>
  <c r="S386" i="21"/>
  <c r="Q386" i="21"/>
  <c r="P386" i="21"/>
  <c r="DY386" i="21" s="1"/>
  <c r="O386" i="21"/>
  <c r="N386" i="21"/>
  <c r="EE386" i="21" s="1"/>
  <c r="L386" i="21"/>
  <c r="K386" i="21"/>
  <c r="J386" i="21"/>
  <c r="AM386" i="21" s="1"/>
  <c r="I386" i="21"/>
  <c r="M386" i="21" s="1"/>
  <c r="H386" i="21"/>
  <c r="G386" i="21"/>
  <c r="FZ385" i="21"/>
  <c r="EA385" i="21"/>
  <c r="CT385" i="21"/>
  <c r="CF385" i="21"/>
  <c r="CD385" i="21"/>
  <c r="CC385" i="21"/>
  <c r="AS385" i="21"/>
  <c r="AB385" i="21"/>
  <c r="W385" i="21"/>
  <c r="BA385" i="21" s="1"/>
  <c r="S385" i="21"/>
  <c r="Q385" i="21"/>
  <c r="P385" i="21"/>
  <c r="DY385" i="21" s="1"/>
  <c r="O385" i="21"/>
  <c r="N385" i="21"/>
  <c r="L385" i="21"/>
  <c r="K385" i="21"/>
  <c r="J385" i="21"/>
  <c r="H385" i="21"/>
  <c r="G385" i="21"/>
  <c r="CG385" i="21" s="1"/>
  <c r="CT384" i="21"/>
  <c r="CF384" i="21"/>
  <c r="CD384" i="21"/>
  <c r="BE384" i="21"/>
  <c r="BA384" i="21"/>
  <c r="AI384" i="21"/>
  <c r="AG384" i="21"/>
  <c r="AE384" i="21"/>
  <c r="AB384" i="21"/>
  <c r="W384" i="21"/>
  <c r="X384" i="21" s="1"/>
  <c r="S384" i="21"/>
  <c r="P384" i="21"/>
  <c r="DY384" i="21" s="1"/>
  <c r="O384" i="21"/>
  <c r="N384" i="21"/>
  <c r="K384" i="21"/>
  <c r="J384" i="21"/>
  <c r="H384" i="21"/>
  <c r="G384" i="21"/>
  <c r="CG384" i="21" s="1"/>
  <c r="DL383" i="21"/>
  <c r="DI383" i="21"/>
  <c r="CT383" i="21"/>
  <c r="CG383" i="21"/>
  <c r="CD383" i="21"/>
  <c r="CC383" i="21"/>
  <c r="AS383" i="21"/>
  <c r="AI383" i="21"/>
  <c r="AG383" i="21"/>
  <c r="AE383" i="21"/>
  <c r="AB383" i="21"/>
  <c r="W383" i="21"/>
  <c r="U383" i="21"/>
  <c r="S383" i="21"/>
  <c r="P383" i="21"/>
  <c r="DY383" i="21" s="1"/>
  <c r="O383" i="21"/>
  <c r="N383" i="21"/>
  <c r="L383" i="21"/>
  <c r="K383" i="21"/>
  <c r="CF383" i="21" s="1"/>
  <c r="CH383" i="21" s="1"/>
  <c r="J383" i="21"/>
  <c r="I383" i="21"/>
  <c r="H383" i="21"/>
  <c r="AK383" i="21" s="1"/>
  <c r="G383" i="21"/>
  <c r="DY382" i="21"/>
  <c r="CT382" i="21"/>
  <c r="CF382" i="21"/>
  <c r="CH382" i="21" s="1"/>
  <c r="AS382" i="21"/>
  <c r="AI382" i="21"/>
  <c r="AG382" i="21"/>
  <c r="AE382" i="21"/>
  <c r="AB382" i="21"/>
  <c r="W382" i="21"/>
  <c r="S382" i="21"/>
  <c r="P382" i="21"/>
  <c r="O382" i="21"/>
  <c r="N382" i="21"/>
  <c r="K382" i="21"/>
  <c r="J382" i="21"/>
  <c r="H382" i="21"/>
  <c r="G382" i="21"/>
  <c r="CG382" i="21" s="1"/>
  <c r="DL381" i="21"/>
  <c r="CT381" i="21"/>
  <c r="CC381" i="21"/>
  <c r="BA381" i="21"/>
  <c r="AS381" i="21"/>
  <c r="AK381" i="21"/>
  <c r="AB381" i="21"/>
  <c r="W381" i="21"/>
  <c r="X381" i="21" s="1"/>
  <c r="EL381" i="21" s="1"/>
  <c r="EK381" i="21" s="1"/>
  <c r="S381" i="21"/>
  <c r="Q381" i="21"/>
  <c r="P381" i="21"/>
  <c r="O381" i="21"/>
  <c r="N381" i="21"/>
  <c r="EE381" i="21" s="1"/>
  <c r="K381" i="21"/>
  <c r="J381" i="21"/>
  <c r="H381" i="21"/>
  <c r="G381" i="21"/>
  <c r="CG381" i="21" s="1"/>
  <c r="FZ380" i="21"/>
  <c r="EA380" i="21"/>
  <c r="CT380" i="21"/>
  <c r="CG380" i="21"/>
  <c r="CF380" i="21"/>
  <c r="CH380" i="21" s="1"/>
  <c r="CD380" i="21"/>
  <c r="CC380" i="21"/>
  <c r="AS380" i="21"/>
  <c r="AN380" i="21"/>
  <c r="AM380" i="21"/>
  <c r="AK380" i="21"/>
  <c r="AB380" i="21"/>
  <c r="W380" i="21"/>
  <c r="U380" i="21"/>
  <c r="S380" i="21"/>
  <c r="P380" i="21"/>
  <c r="DY380" i="21" s="1"/>
  <c r="O380" i="21"/>
  <c r="BE380" i="21" s="1"/>
  <c r="N380" i="21"/>
  <c r="K380" i="21"/>
  <c r="J380" i="21"/>
  <c r="H380" i="21"/>
  <c r="G380" i="21"/>
  <c r="FX379" i="21"/>
  <c r="CT379" i="21"/>
  <c r="CG379" i="21"/>
  <c r="BE379" i="21"/>
  <c r="AS379" i="21"/>
  <c r="AK379" i="21"/>
  <c r="AI379" i="21"/>
  <c r="AG379" i="21"/>
  <c r="CC379" i="21" s="1"/>
  <c r="AE379" i="21"/>
  <c r="AB379" i="21"/>
  <c r="W379" i="21"/>
  <c r="BA379" i="21" s="1"/>
  <c r="BB379" i="21" s="1"/>
  <c r="S379" i="21"/>
  <c r="P379" i="21"/>
  <c r="O379" i="21"/>
  <c r="N379" i="21"/>
  <c r="K379" i="21"/>
  <c r="J379" i="21"/>
  <c r="I379" i="21"/>
  <c r="H379" i="21"/>
  <c r="EE379" i="21" s="1"/>
  <c r="G379" i="21"/>
  <c r="FZ378" i="21"/>
  <c r="DL378" i="21"/>
  <c r="CT378" i="21"/>
  <c r="CF378" i="21"/>
  <c r="CD378" i="21"/>
  <c r="CC378" i="21"/>
  <c r="BE378" i="21"/>
  <c r="AS378" i="21"/>
  <c r="AI378" i="21"/>
  <c r="EA378" i="21" s="1"/>
  <c r="AG378" i="21"/>
  <c r="AE378" i="21"/>
  <c r="AB378" i="21"/>
  <c r="X378" i="21"/>
  <c r="EL378" i="21" s="1"/>
  <c r="EK378" i="21" s="1"/>
  <c r="W378" i="21"/>
  <c r="S378" i="21"/>
  <c r="Q378" i="21"/>
  <c r="P378" i="21"/>
  <c r="DY378" i="21" s="1"/>
  <c r="O378" i="21"/>
  <c r="FX378" i="21" s="1"/>
  <c r="N378" i="21"/>
  <c r="EE378" i="21" s="1"/>
  <c r="L378" i="21"/>
  <c r="K378" i="21"/>
  <c r="J378" i="21"/>
  <c r="H378" i="21"/>
  <c r="G378" i="21"/>
  <c r="CG378" i="21" s="1"/>
  <c r="CH378" i="21" s="1"/>
  <c r="DL377" i="21"/>
  <c r="DI377" i="21"/>
  <c r="CT377" i="21"/>
  <c r="CD377" i="21"/>
  <c r="CE377" i="21" s="1"/>
  <c r="CC377" i="21"/>
  <c r="BE377" i="21"/>
  <c r="AK377" i="21"/>
  <c r="AI377" i="21"/>
  <c r="AG377" i="21"/>
  <c r="AE377" i="21"/>
  <c r="AB377" i="21"/>
  <c r="W377" i="21"/>
  <c r="U377" i="21"/>
  <c r="S377" i="21"/>
  <c r="P377" i="21"/>
  <c r="O377" i="21"/>
  <c r="N377" i="21"/>
  <c r="L377" i="21"/>
  <c r="K377" i="21"/>
  <c r="J377" i="21"/>
  <c r="AM377" i="21" s="1"/>
  <c r="I377" i="21"/>
  <c r="H377" i="21"/>
  <c r="G377" i="21"/>
  <c r="CG377" i="21" s="1"/>
  <c r="DI376" i="21"/>
  <c r="CT376" i="21"/>
  <c r="CG376" i="21"/>
  <c r="CF376" i="21"/>
  <c r="CC376" i="21"/>
  <c r="BB376" i="21"/>
  <c r="AM376" i="21"/>
  <c r="AI376" i="21"/>
  <c r="AG376" i="21"/>
  <c r="AE376" i="21"/>
  <c r="AB376" i="21"/>
  <c r="W376" i="21"/>
  <c r="BA376" i="21" s="1"/>
  <c r="S376" i="21"/>
  <c r="AN376" i="21" s="1"/>
  <c r="P376" i="21"/>
  <c r="DY376" i="21" s="1"/>
  <c r="O376" i="21"/>
  <c r="N376" i="21"/>
  <c r="EE376" i="21" s="1"/>
  <c r="L376" i="21"/>
  <c r="K376" i="21"/>
  <c r="J376" i="21"/>
  <c r="AS376" i="21" s="1"/>
  <c r="I376" i="21"/>
  <c r="AX376" i="21" s="1"/>
  <c r="H376" i="21"/>
  <c r="G376" i="21"/>
  <c r="FX375" i="21"/>
  <c r="EA375" i="21"/>
  <c r="CT375" i="21"/>
  <c r="CF375" i="21"/>
  <c r="CH375" i="21" s="1"/>
  <c r="CE375" i="21"/>
  <c r="CD375" i="21"/>
  <c r="CC375" i="21"/>
  <c r="BE375" i="21"/>
  <c r="AS375" i="21"/>
  <c r="AB375" i="21"/>
  <c r="W375" i="21"/>
  <c r="U375" i="21"/>
  <c r="S375" i="21"/>
  <c r="Q375" i="21"/>
  <c r="P375" i="21"/>
  <c r="DY375" i="21" s="1"/>
  <c r="O375" i="21"/>
  <c r="N375" i="21"/>
  <c r="K375" i="21"/>
  <c r="J375" i="21"/>
  <c r="H375" i="21"/>
  <c r="DL375" i="21" s="1"/>
  <c r="G375" i="21"/>
  <c r="CG375" i="21" s="1"/>
  <c r="CT374" i="21"/>
  <c r="CC374" i="21"/>
  <c r="AB374" i="21"/>
  <c r="X374" i="21"/>
  <c r="EL374" i="21" s="1"/>
  <c r="W374" i="21"/>
  <c r="BA374" i="21" s="1"/>
  <c r="S374" i="21"/>
  <c r="P374" i="21"/>
  <c r="DY374" i="21" s="1"/>
  <c r="O374" i="21"/>
  <c r="N374" i="21"/>
  <c r="K374" i="21"/>
  <c r="J374" i="21"/>
  <c r="H374" i="21"/>
  <c r="G374" i="21"/>
  <c r="CG374" i="21" s="1"/>
  <c r="FZ373" i="21"/>
  <c r="FX373" i="21"/>
  <c r="CT373" i="21"/>
  <c r="BE373" i="21"/>
  <c r="AS373" i="21"/>
  <c r="AK373" i="21"/>
  <c r="AI373" i="21"/>
  <c r="AG373" i="21"/>
  <c r="AE373" i="21"/>
  <c r="AB373" i="21"/>
  <c r="X373" i="21"/>
  <c r="EL373" i="21" s="1"/>
  <c r="W373" i="21"/>
  <c r="BA373" i="21" s="1"/>
  <c r="S373" i="21"/>
  <c r="P373" i="21"/>
  <c r="O373" i="21"/>
  <c r="N373" i="21"/>
  <c r="K373" i="21"/>
  <c r="J373" i="21"/>
  <c r="H373" i="21"/>
  <c r="EE373" i="21" s="1"/>
  <c r="G373" i="21"/>
  <c r="CG373" i="21" s="1"/>
  <c r="FX372" i="21"/>
  <c r="CT372" i="21"/>
  <c r="CG372" i="21"/>
  <c r="CF372" i="21"/>
  <c r="CC372" i="21"/>
  <c r="BE372" i="21"/>
  <c r="AB372" i="21"/>
  <c r="W372" i="21"/>
  <c r="BA372" i="21" s="1"/>
  <c r="U372" i="21"/>
  <c r="S372" i="21"/>
  <c r="Q372" i="21"/>
  <c r="P372" i="21"/>
  <c r="DY372" i="21" s="1"/>
  <c r="O372" i="21"/>
  <c r="N372" i="21"/>
  <c r="K372" i="21"/>
  <c r="FZ372" i="21" s="1"/>
  <c r="J372" i="21"/>
  <c r="I372" i="21"/>
  <c r="H372" i="21"/>
  <c r="G372" i="21"/>
  <c r="CT371" i="21"/>
  <c r="CD371" i="21"/>
  <c r="BA371" i="21"/>
  <c r="AK371" i="21"/>
  <c r="AI371" i="21"/>
  <c r="AG371" i="21"/>
  <c r="AE371" i="21"/>
  <c r="AB371" i="21"/>
  <c r="W371" i="21"/>
  <c r="X371" i="21" s="1"/>
  <c r="EL371" i="21" s="1"/>
  <c r="S371" i="21"/>
  <c r="P371" i="21"/>
  <c r="O371" i="21"/>
  <c r="FX371" i="21" s="1"/>
  <c r="N371" i="21"/>
  <c r="L371" i="21"/>
  <c r="K371" i="21"/>
  <c r="J371" i="21"/>
  <c r="I371" i="21"/>
  <c r="M371" i="21" s="1"/>
  <c r="H371" i="21"/>
  <c r="G371" i="21"/>
  <c r="CG371" i="21" s="1"/>
  <c r="FZ370" i="21"/>
  <c r="EE370" i="21"/>
  <c r="EA370" i="21"/>
  <c r="DY370" i="21"/>
  <c r="DL370" i="21"/>
  <c r="CT370" i="21"/>
  <c r="CG370" i="21"/>
  <c r="CH370" i="21" s="1"/>
  <c r="CF370" i="21"/>
  <c r="CD370" i="21"/>
  <c r="CE370" i="21" s="1"/>
  <c r="CC370" i="21"/>
  <c r="AN370" i="21"/>
  <c r="AM370" i="21"/>
  <c r="AK370" i="21"/>
  <c r="AB370" i="21"/>
  <c r="W370" i="21"/>
  <c r="S370" i="21"/>
  <c r="P370" i="21"/>
  <c r="O370" i="21"/>
  <c r="BE370" i="21" s="1"/>
  <c r="N370" i="21"/>
  <c r="Q370" i="21" s="1"/>
  <c r="K370" i="21"/>
  <c r="J370" i="21"/>
  <c r="I370" i="21"/>
  <c r="H370" i="21"/>
  <c r="L370" i="21" s="1"/>
  <c r="G370" i="21"/>
  <c r="FX369" i="21"/>
  <c r="DY369" i="21"/>
  <c r="CT369" i="21"/>
  <c r="BA369" i="21"/>
  <c r="AM369" i="21"/>
  <c r="AI369" i="21"/>
  <c r="AG369" i="21"/>
  <c r="AE369" i="21"/>
  <c r="AB369" i="21"/>
  <c r="W369" i="21"/>
  <c r="X369" i="21" s="1"/>
  <c r="EL369" i="21" s="1"/>
  <c r="EK369" i="21" s="1"/>
  <c r="U369" i="21"/>
  <c r="S369" i="21"/>
  <c r="Q369" i="21"/>
  <c r="CA369" i="21" s="1"/>
  <c r="P369" i="21"/>
  <c r="O369" i="21"/>
  <c r="N369" i="21"/>
  <c r="K369" i="21"/>
  <c r="AN369" i="21" s="1"/>
  <c r="J369" i="21"/>
  <c r="H369" i="21"/>
  <c r="DL369" i="21" s="1"/>
  <c r="G369" i="21"/>
  <c r="CG369" i="21" s="1"/>
  <c r="FX368" i="21"/>
  <c r="CT368" i="21"/>
  <c r="CG368" i="21"/>
  <c r="CF368" i="21"/>
  <c r="CH368" i="21" s="1"/>
  <c r="CD368" i="21"/>
  <c r="CC368" i="21"/>
  <c r="AK368" i="21"/>
  <c r="AB368" i="21"/>
  <c r="X368" i="21"/>
  <c r="EL368" i="21" s="1"/>
  <c r="EK368" i="21" s="1"/>
  <c r="W368" i="21"/>
  <c r="U368" i="21"/>
  <c r="S368" i="21"/>
  <c r="P368" i="21"/>
  <c r="DY368" i="21" s="1"/>
  <c r="O368" i="21"/>
  <c r="N368" i="21"/>
  <c r="Q368" i="21" s="1"/>
  <c r="K368" i="21"/>
  <c r="AN368" i="21" s="1"/>
  <c r="J368" i="21"/>
  <c r="AS368" i="21" s="1"/>
  <c r="I368" i="21"/>
  <c r="DI368" i="21" s="1"/>
  <c r="H368" i="21"/>
  <c r="G368" i="21"/>
  <c r="FX367" i="21"/>
  <c r="DY367" i="21"/>
  <c r="CT367" i="21"/>
  <c r="CF367" i="21"/>
  <c r="CD367" i="21"/>
  <c r="BA367" i="21"/>
  <c r="AK367" i="21"/>
  <c r="AI367" i="21"/>
  <c r="AG367" i="21"/>
  <c r="AE367" i="21"/>
  <c r="AB367" i="21"/>
  <c r="W367" i="21"/>
  <c r="X367" i="21" s="1"/>
  <c r="EL367" i="21" s="1"/>
  <c r="EK367" i="21" s="1"/>
  <c r="S367" i="21"/>
  <c r="P367" i="21"/>
  <c r="O367" i="21"/>
  <c r="U367" i="21" s="1"/>
  <c r="N367" i="21"/>
  <c r="K367" i="21"/>
  <c r="J367" i="21"/>
  <c r="I367" i="21"/>
  <c r="H367" i="21"/>
  <c r="G367" i="21"/>
  <c r="CG367" i="21" s="1"/>
  <c r="FZ366" i="21"/>
  <c r="EA366" i="21"/>
  <c r="DY366" i="21"/>
  <c r="CT366" i="21"/>
  <c r="CH366" i="21"/>
  <c r="CG366" i="21"/>
  <c r="CF366" i="21"/>
  <c r="CD366" i="21"/>
  <c r="CC366" i="21"/>
  <c r="AS366" i="21"/>
  <c r="AN366" i="21"/>
  <c r="AM366" i="21"/>
  <c r="AK366" i="21"/>
  <c r="AB366" i="21"/>
  <c r="W366" i="21"/>
  <c r="X366" i="21" s="1"/>
  <c r="Y366" i="21" s="1"/>
  <c r="S366" i="21"/>
  <c r="P366" i="21"/>
  <c r="O366" i="21"/>
  <c r="N366" i="21"/>
  <c r="K366" i="21"/>
  <c r="J366" i="21"/>
  <c r="H366" i="21"/>
  <c r="EE366" i="21" s="1"/>
  <c r="G366" i="21"/>
  <c r="FX365" i="21"/>
  <c r="CT365" i="21"/>
  <c r="CG365" i="21"/>
  <c r="CF365" i="21"/>
  <c r="AI365" i="21"/>
  <c r="AG365" i="21"/>
  <c r="CC365" i="21" s="1"/>
  <c r="AE365" i="21"/>
  <c r="AB365" i="21"/>
  <c r="W365" i="21"/>
  <c r="BA365" i="21" s="1"/>
  <c r="S365" i="21"/>
  <c r="P365" i="21"/>
  <c r="O365" i="21"/>
  <c r="N365" i="21"/>
  <c r="K365" i="21"/>
  <c r="J365" i="21"/>
  <c r="I365" i="21"/>
  <c r="H365" i="21"/>
  <c r="G365" i="21"/>
  <c r="EA364" i="21"/>
  <c r="DL364" i="21"/>
  <c r="CT364" i="21"/>
  <c r="CG364" i="21"/>
  <c r="CC364" i="21"/>
  <c r="BA364" i="21"/>
  <c r="BB364" i="21" s="1"/>
  <c r="AX364" i="21"/>
  <c r="CM364" i="21" s="1"/>
  <c r="AB364" i="21"/>
  <c r="W364" i="21"/>
  <c r="X364" i="21" s="1"/>
  <c r="Y364" i="21" s="1"/>
  <c r="U364" i="21"/>
  <c r="S364" i="21"/>
  <c r="P364" i="21"/>
  <c r="DY364" i="21" s="1"/>
  <c r="O364" i="21"/>
  <c r="BE364" i="21" s="1"/>
  <c r="N364" i="21"/>
  <c r="EE364" i="21" s="1"/>
  <c r="L364" i="21"/>
  <c r="K364" i="21"/>
  <c r="J364" i="21"/>
  <c r="I364" i="21"/>
  <c r="H364" i="21"/>
  <c r="G364" i="21"/>
  <c r="CT363" i="21"/>
  <c r="AM363" i="21"/>
  <c r="AK363" i="21"/>
  <c r="AI363" i="21"/>
  <c r="EA363" i="21" s="1"/>
  <c r="AG363" i="21"/>
  <c r="AE363" i="21"/>
  <c r="FZ363" i="21" s="1"/>
  <c r="AB363" i="21"/>
  <c r="W363" i="21"/>
  <c r="X363" i="21" s="1"/>
  <c r="EL363" i="21" s="1"/>
  <c r="EK363" i="21" s="1"/>
  <c r="S363" i="21"/>
  <c r="Q363" i="21"/>
  <c r="P363" i="21"/>
  <c r="DY363" i="21" s="1"/>
  <c r="O363" i="21"/>
  <c r="N363" i="21"/>
  <c r="K363" i="21"/>
  <c r="J363" i="21"/>
  <c r="AS363" i="21" s="1"/>
  <c r="H363" i="21"/>
  <c r="L363" i="21" s="1"/>
  <c r="G363" i="21"/>
  <c r="CG363" i="21" s="1"/>
  <c r="FZ362" i="21"/>
  <c r="EA362" i="21"/>
  <c r="DY362" i="21"/>
  <c r="DL362" i="21"/>
  <c r="CT362" i="21"/>
  <c r="CF362" i="21"/>
  <c r="CD362" i="21"/>
  <c r="CC362" i="21"/>
  <c r="CE362" i="21" s="1"/>
  <c r="BE362" i="21"/>
  <c r="BA362" i="21"/>
  <c r="AS362" i="21"/>
  <c r="AB362" i="21"/>
  <c r="X362" i="21"/>
  <c r="Y362" i="21" s="1"/>
  <c r="BI362" i="21" s="1"/>
  <c r="W362" i="21"/>
  <c r="U362" i="21"/>
  <c r="S362" i="21"/>
  <c r="AN362" i="21" s="1"/>
  <c r="Q362" i="21"/>
  <c r="P362" i="21"/>
  <c r="O362" i="21"/>
  <c r="FX362" i="21" s="1"/>
  <c r="N362" i="21"/>
  <c r="EE362" i="21" s="1"/>
  <c r="K362" i="21"/>
  <c r="J362" i="21"/>
  <c r="AM362" i="21" s="1"/>
  <c r="H362" i="21"/>
  <c r="G362" i="21"/>
  <c r="FX361" i="21"/>
  <c r="CT361" i="21"/>
  <c r="CC361" i="21"/>
  <c r="AI361" i="21"/>
  <c r="AG361" i="21"/>
  <c r="AE361" i="21"/>
  <c r="AB361" i="21"/>
  <c r="W361" i="21"/>
  <c r="S361" i="21"/>
  <c r="Q361" i="21"/>
  <c r="P361" i="21"/>
  <c r="DY361" i="21" s="1"/>
  <c r="O361" i="21"/>
  <c r="N361" i="21"/>
  <c r="K361" i="21"/>
  <c r="J361" i="21"/>
  <c r="DL361" i="21" s="1"/>
  <c r="H361" i="21"/>
  <c r="G361" i="21"/>
  <c r="CG361" i="21" s="1"/>
  <c r="EA360" i="21"/>
  <c r="CT360" i="21"/>
  <c r="CD360" i="21"/>
  <c r="CC360" i="21"/>
  <c r="AK360" i="21"/>
  <c r="AB360" i="21"/>
  <c r="W360" i="21"/>
  <c r="BA360" i="21" s="1"/>
  <c r="U360" i="21"/>
  <c r="S360" i="21"/>
  <c r="AN360" i="21" s="1"/>
  <c r="Q360" i="21"/>
  <c r="P360" i="21"/>
  <c r="O360" i="21"/>
  <c r="FX360" i="21" s="1"/>
  <c r="N360" i="21"/>
  <c r="EE360" i="21" s="1"/>
  <c r="K360" i="21"/>
  <c r="J360" i="21"/>
  <c r="AS360" i="21" s="1"/>
  <c r="H360" i="21"/>
  <c r="I360" i="21" s="1"/>
  <c r="M360" i="21" s="1"/>
  <c r="G360" i="21"/>
  <c r="CG360" i="21" s="1"/>
  <c r="DL359" i="21"/>
  <c r="CT359" i="21"/>
  <c r="CF359" i="21"/>
  <c r="BE359" i="21"/>
  <c r="BA359" i="21"/>
  <c r="AI359" i="21"/>
  <c r="AG359" i="21"/>
  <c r="AE359" i="21"/>
  <c r="AB359" i="21"/>
  <c r="W359" i="21"/>
  <c r="X359" i="21" s="1"/>
  <c r="EL359" i="21" s="1"/>
  <c r="EK359" i="21" s="1"/>
  <c r="U359" i="21"/>
  <c r="T359" i="21"/>
  <c r="S359" i="21"/>
  <c r="Q359" i="21"/>
  <c r="P359" i="21"/>
  <c r="DY359" i="21" s="1"/>
  <c r="O359" i="21"/>
  <c r="FX359" i="21" s="1"/>
  <c r="N359" i="21"/>
  <c r="K359" i="21"/>
  <c r="J359" i="21"/>
  <c r="I359" i="21"/>
  <c r="H359" i="21"/>
  <c r="G359" i="21"/>
  <c r="CG359" i="21" s="1"/>
  <c r="DI358" i="21"/>
  <c r="CT358" i="21"/>
  <c r="CC358" i="21"/>
  <c r="AX358" i="21"/>
  <c r="CM358" i="21" s="1"/>
  <c r="AB358" i="21"/>
  <c r="W358" i="21"/>
  <c r="X358" i="21" s="1"/>
  <c r="EL358" i="21" s="1"/>
  <c r="EK358" i="21" s="1"/>
  <c r="S358" i="21"/>
  <c r="P358" i="21"/>
  <c r="O358" i="21"/>
  <c r="N358" i="21"/>
  <c r="Q358" i="21" s="1"/>
  <c r="K358" i="21"/>
  <c r="J358" i="21"/>
  <c r="I358" i="21"/>
  <c r="H358" i="21"/>
  <c r="AK358" i="21" s="1"/>
  <c r="G358" i="21"/>
  <c r="CG358" i="21" s="1"/>
  <c r="CT357" i="21"/>
  <c r="BA357" i="21"/>
  <c r="AS357" i="21"/>
  <c r="AI357" i="21"/>
  <c r="AG357" i="21"/>
  <c r="AE357" i="21"/>
  <c r="AB357" i="21"/>
  <c r="W357" i="21"/>
  <c r="X357" i="21" s="1"/>
  <c r="EL357" i="21" s="1"/>
  <c r="EK357" i="21" s="1"/>
  <c r="U357" i="21"/>
  <c r="S357" i="21"/>
  <c r="Q357" i="21"/>
  <c r="P357" i="21"/>
  <c r="DY357" i="21" s="1"/>
  <c r="O357" i="21"/>
  <c r="N357" i="21"/>
  <c r="EE357" i="21" s="1"/>
  <c r="L357" i="21"/>
  <c r="K357" i="21"/>
  <c r="J357" i="21"/>
  <c r="H357" i="21"/>
  <c r="G357" i="21"/>
  <c r="CG357" i="21" s="1"/>
  <c r="CT356" i="21"/>
  <c r="CC356" i="21"/>
  <c r="AB356" i="21"/>
  <c r="W356" i="21"/>
  <c r="S356" i="21"/>
  <c r="P356" i="21"/>
  <c r="DY356" i="21" s="1"/>
  <c r="O356" i="21"/>
  <c r="N356" i="21"/>
  <c r="K356" i="21"/>
  <c r="J356" i="21"/>
  <c r="H356" i="21"/>
  <c r="G356" i="21"/>
  <c r="CG356" i="21" s="1"/>
  <c r="FX355" i="21"/>
  <c r="DY355" i="21"/>
  <c r="CT355" i="21"/>
  <c r="BA355" i="21"/>
  <c r="AS355" i="21"/>
  <c r="AK355" i="21"/>
  <c r="AI355" i="21"/>
  <c r="AG355" i="21"/>
  <c r="CC355" i="21" s="1"/>
  <c r="AE355" i="21"/>
  <c r="AB355" i="21"/>
  <c r="W355" i="21"/>
  <c r="X355" i="21" s="1"/>
  <c r="EL355" i="21" s="1"/>
  <c r="S355" i="21"/>
  <c r="P355" i="21"/>
  <c r="O355" i="21"/>
  <c r="BE355" i="21" s="1"/>
  <c r="N355" i="21"/>
  <c r="Q355" i="21" s="1"/>
  <c r="AL355" i="21" s="1"/>
  <c r="K355" i="21"/>
  <c r="EA355" i="21" s="1"/>
  <c r="J355" i="21"/>
  <c r="H355" i="21"/>
  <c r="I355" i="21" s="1"/>
  <c r="G355" i="21"/>
  <c r="CG355" i="21" s="1"/>
  <c r="CT354" i="21"/>
  <c r="CC354" i="21"/>
  <c r="BE354" i="21"/>
  <c r="BA354" i="21"/>
  <c r="AB354" i="21"/>
  <c r="W354" i="21"/>
  <c r="X354" i="21" s="1"/>
  <c r="EL354" i="21" s="1"/>
  <c r="S354" i="21"/>
  <c r="P354" i="21"/>
  <c r="O354" i="21"/>
  <c r="N354" i="21"/>
  <c r="K354" i="21"/>
  <c r="J354" i="21"/>
  <c r="H354" i="21"/>
  <c r="G354" i="21"/>
  <c r="CG354" i="21" s="1"/>
  <c r="FX353" i="21"/>
  <c r="EE353" i="21"/>
  <c r="DL353" i="21"/>
  <c r="CT353" i="21"/>
  <c r="CC353" i="21"/>
  <c r="BA353" i="21"/>
  <c r="BB353" i="21" s="1"/>
  <c r="AS353" i="21"/>
  <c r="AK353" i="21"/>
  <c r="AI353" i="21"/>
  <c r="EA353" i="21" s="1"/>
  <c r="AG353" i="21"/>
  <c r="AE353" i="21"/>
  <c r="AB353" i="21"/>
  <c r="W353" i="21"/>
  <c r="X353" i="21" s="1"/>
  <c r="EL353" i="21" s="1"/>
  <c r="EK353" i="21" s="1"/>
  <c r="S353" i="21"/>
  <c r="P353" i="21"/>
  <c r="O353" i="21"/>
  <c r="N353" i="21"/>
  <c r="K353" i="21"/>
  <c r="BE353" i="21" s="1"/>
  <c r="J353" i="21"/>
  <c r="I353" i="21"/>
  <c r="DI353" i="21" s="1"/>
  <c r="H353" i="21"/>
  <c r="G353" i="21"/>
  <c r="CG353" i="21" s="1"/>
  <c r="DL352" i="21"/>
  <c r="CT352" i="21"/>
  <c r="CF352" i="21"/>
  <c r="CH352" i="21" s="1"/>
  <c r="CC352" i="21"/>
  <c r="AS352" i="21"/>
  <c r="AM352" i="21"/>
  <c r="AB352" i="21"/>
  <c r="W352" i="21"/>
  <c r="BA352" i="21" s="1"/>
  <c r="S352" i="21"/>
  <c r="P352" i="21"/>
  <c r="O352" i="21"/>
  <c r="N352" i="21"/>
  <c r="K352" i="21"/>
  <c r="FZ352" i="21" s="1"/>
  <c r="J352" i="21"/>
  <c r="H352" i="21"/>
  <c r="L352" i="21" s="1"/>
  <c r="G352" i="21"/>
  <c r="CG352" i="21" s="1"/>
  <c r="FA351" i="21"/>
  <c r="DY351" i="21"/>
  <c r="DL351" i="21"/>
  <c r="CT351" i="21"/>
  <c r="CG351" i="21"/>
  <c r="CF351" i="21"/>
  <c r="CD351" i="21"/>
  <c r="CC351" i="21"/>
  <c r="BA351" i="21"/>
  <c r="AS351" i="21"/>
  <c r="AN351" i="21"/>
  <c r="AM351" i="21"/>
  <c r="AK351" i="21"/>
  <c r="AB351" i="21"/>
  <c r="W351" i="21"/>
  <c r="X351" i="21" s="1"/>
  <c r="S351" i="21"/>
  <c r="Q351" i="21"/>
  <c r="CA351" i="21" s="1"/>
  <c r="P351" i="21"/>
  <c r="O351" i="21"/>
  <c r="FX351" i="21" s="1"/>
  <c r="N351" i="21"/>
  <c r="EE351" i="21" s="1"/>
  <c r="K351" i="21"/>
  <c r="EA351" i="21" s="1"/>
  <c r="J351" i="21"/>
  <c r="H351" i="21"/>
  <c r="G351" i="21"/>
  <c r="FZ350" i="21"/>
  <c r="FX350" i="21"/>
  <c r="FA350" i="21"/>
  <c r="EA350" i="21"/>
  <c r="DY350" i="21"/>
  <c r="CT350" i="21"/>
  <c r="CG350" i="21"/>
  <c r="CF350" i="21"/>
  <c r="CD350" i="21"/>
  <c r="CE350" i="21" s="1"/>
  <c r="CC350" i="21"/>
  <c r="BA350" i="21"/>
  <c r="AN350" i="21"/>
  <c r="AK350" i="21"/>
  <c r="AB350" i="21"/>
  <c r="W350" i="21"/>
  <c r="X350" i="21" s="1"/>
  <c r="Y350" i="21" s="1"/>
  <c r="U350" i="21"/>
  <c r="S350" i="21"/>
  <c r="P350" i="21"/>
  <c r="O350" i="21"/>
  <c r="N350" i="21"/>
  <c r="K350" i="21"/>
  <c r="J350" i="21"/>
  <c r="DL350" i="21" s="1"/>
  <c r="I350" i="21"/>
  <c r="DI350" i="21" s="1"/>
  <c r="H350" i="21"/>
  <c r="L350" i="21" s="1"/>
  <c r="G350" i="21"/>
  <c r="FZ349" i="21"/>
  <c r="FA349" i="21"/>
  <c r="EA349" i="21"/>
  <c r="DY349" i="21"/>
  <c r="DL349" i="21"/>
  <c r="CT349" i="21"/>
  <c r="CG349" i="21"/>
  <c r="CF349" i="21"/>
  <c r="CD349" i="21"/>
  <c r="CC349" i="21"/>
  <c r="BA349" i="21"/>
  <c r="AS349" i="21"/>
  <c r="AM349" i="21"/>
  <c r="AB349" i="21"/>
  <c r="X349" i="21"/>
  <c r="EL349" i="21" s="1"/>
  <c r="EK349" i="21" s="1"/>
  <c r="W349" i="21"/>
  <c r="U349" i="21"/>
  <c r="S349" i="21"/>
  <c r="P349" i="21"/>
  <c r="O349" i="21"/>
  <c r="Q349" i="21" s="1"/>
  <c r="T349" i="21" s="1"/>
  <c r="N349" i="21"/>
  <c r="K349" i="21"/>
  <c r="J349" i="21"/>
  <c r="H349" i="21"/>
  <c r="G349" i="21"/>
  <c r="FZ348" i="21"/>
  <c r="FA348" i="21"/>
  <c r="EL348" i="21"/>
  <c r="EK348" i="21" s="1"/>
  <c r="EA348" i="21"/>
  <c r="DZ348" i="21"/>
  <c r="CT348" i="21"/>
  <c r="CF348" i="21"/>
  <c r="CD348" i="21"/>
  <c r="CE348" i="21" s="1"/>
  <c r="CC348" i="21"/>
  <c r="BR348" i="21"/>
  <c r="BE348" i="21"/>
  <c r="AB348" i="21"/>
  <c r="X348" i="21"/>
  <c r="W348" i="21"/>
  <c r="BA348" i="21" s="1"/>
  <c r="U348" i="21"/>
  <c r="S348" i="21"/>
  <c r="P348" i="21"/>
  <c r="DY348" i="21" s="1"/>
  <c r="O348" i="21"/>
  <c r="FX348" i="21" s="1"/>
  <c r="N348" i="21"/>
  <c r="Q348" i="21" s="1"/>
  <c r="T348" i="21" s="1"/>
  <c r="M348" i="21"/>
  <c r="BF348" i="21" s="1"/>
  <c r="CO348" i="21" s="1"/>
  <c r="K348" i="21"/>
  <c r="J348" i="21"/>
  <c r="I348" i="21"/>
  <c r="H348" i="21"/>
  <c r="G348" i="21"/>
  <c r="CG348" i="21" s="1"/>
  <c r="FZ347" i="21"/>
  <c r="FA347" i="21"/>
  <c r="EA347" i="21"/>
  <c r="CT347" i="21"/>
  <c r="CD347" i="21"/>
  <c r="CC347" i="21"/>
  <c r="CE347" i="21" s="1"/>
  <c r="AM347" i="21"/>
  <c r="AK347" i="21"/>
  <c r="AB347" i="21"/>
  <c r="W347" i="21"/>
  <c r="BA347" i="21" s="1"/>
  <c r="S347" i="21"/>
  <c r="P347" i="21"/>
  <c r="DY347" i="21" s="1"/>
  <c r="O347" i="21"/>
  <c r="N347" i="21"/>
  <c r="K347" i="21"/>
  <c r="J347" i="21"/>
  <c r="H347" i="21"/>
  <c r="I347" i="21" s="1"/>
  <c r="G347" i="21"/>
  <c r="CG347" i="21" s="1"/>
  <c r="DL346" i="21"/>
  <c r="CT346" i="21"/>
  <c r="CC346" i="21"/>
  <c r="AI346" i="21"/>
  <c r="AG346" i="21"/>
  <c r="AE346" i="21"/>
  <c r="AB346" i="21"/>
  <c r="W346" i="21"/>
  <c r="BA346" i="21" s="1"/>
  <c r="S346" i="21"/>
  <c r="P346" i="21"/>
  <c r="O346" i="21"/>
  <c r="BE346" i="21" s="1"/>
  <c r="N346" i="21"/>
  <c r="K346" i="21"/>
  <c r="J346" i="21"/>
  <c r="H346" i="21"/>
  <c r="G346" i="21"/>
  <c r="CG346" i="21" s="1"/>
  <c r="EL345" i="21"/>
  <c r="EK345" i="21" s="1"/>
  <c r="DY345" i="21"/>
  <c r="CT345" i="21"/>
  <c r="CG345" i="21"/>
  <c r="CF345" i="21"/>
  <c r="CD345" i="21"/>
  <c r="BA345" i="21"/>
  <c r="AN345" i="21"/>
  <c r="AI345" i="21"/>
  <c r="AG345" i="21"/>
  <c r="AE345" i="21"/>
  <c r="AB345" i="21"/>
  <c r="W345" i="21"/>
  <c r="X345" i="21" s="1"/>
  <c r="U345" i="21"/>
  <c r="S345" i="21"/>
  <c r="P345" i="21"/>
  <c r="O345" i="21"/>
  <c r="N345" i="21"/>
  <c r="M345" i="21"/>
  <c r="K345" i="21"/>
  <c r="J345" i="21"/>
  <c r="I345" i="21"/>
  <c r="H345" i="21"/>
  <c r="AK345" i="21" s="1"/>
  <c r="G345" i="21"/>
  <c r="FY344" i="21"/>
  <c r="FX344" i="21"/>
  <c r="GA344" i="21" s="1"/>
  <c r="EA344" i="21"/>
  <c r="DL344" i="21"/>
  <c r="DI344" i="21"/>
  <c r="CT344" i="21"/>
  <c r="CD344" i="21"/>
  <c r="CC344" i="21"/>
  <c r="CE344" i="21" s="1"/>
  <c r="AX344" i="21"/>
  <c r="AK344" i="21"/>
  <c r="AB344" i="21"/>
  <c r="W344" i="21"/>
  <c r="U344" i="21"/>
  <c r="S344" i="21"/>
  <c r="Q344" i="21"/>
  <c r="BR344" i="21" s="1"/>
  <c r="DZ344" i="21" s="1"/>
  <c r="EB344" i="21" s="1"/>
  <c r="P344" i="21"/>
  <c r="DY344" i="21" s="1"/>
  <c r="O344" i="21"/>
  <c r="N344" i="21"/>
  <c r="K344" i="21"/>
  <c r="J344" i="21"/>
  <c r="AS344" i="21" s="1"/>
  <c r="H344" i="21"/>
  <c r="I344" i="21" s="1"/>
  <c r="G344" i="21"/>
  <c r="CG344" i="21" s="1"/>
  <c r="FX343" i="21"/>
  <c r="DL343" i="21"/>
  <c r="CT343" i="21"/>
  <c r="CC343" i="21"/>
  <c r="AB343" i="21"/>
  <c r="W343" i="21"/>
  <c r="U343" i="21"/>
  <c r="T343" i="21"/>
  <c r="S343" i="21"/>
  <c r="Q343" i="21"/>
  <c r="P343" i="21"/>
  <c r="DY343" i="21" s="1"/>
  <c r="O343" i="21"/>
  <c r="N343" i="21"/>
  <c r="K343" i="21"/>
  <c r="BE343" i="21" s="1"/>
  <c r="J343" i="21"/>
  <c r="H343" i="21"/>
  <c r="G343" i="21"/>
  <c r="CG343" i="21" s="1"/>
  <c r="CT342" i="21"/>
  <c r="BA342" i="21"/>
  <c r="BB342" i="21" s="1"/>
  <c r="AK342" i="21"/>
  <c r="AI342" i="21"/>
  <c r="AG342" i="21"/>
  <c r="AE342" i="21"/>
  <c r="AB342" i="21"/>
  <c r="W342" i="21"/>
  <c r="X342" i="21" s="1"/>
  <c r="EL342" i="21" s="1"/>
  <c r="S342" i="21"/>
  <c r="P342" i="21"/>
  <c r="O342" i="21"/>
  <c r="FX342" i="21" s="1"/>
  <c r="N342" i="21"/>
  <c r="L342" i="21"/>
  <c r="K342" i="21"/>
  <c r="J342" i="21"/>
  <c r="H342" i="21"/>
  <c r="I342" i="21" s="1"/>
  <c r="G342" i="21"/>
  <c r="CG342" i="21" s="1"/>
  <c r="CT341" i="21"/>
  <c r="CG341" i="21"/>
  <c r="AK341" i="21"/>
  <c r="AI341" i="21"/>
  <c r="AG341" i="21"/>
  <c r="AE341" i="21"/>
  <c r="AB341" i="21"/>
  <c r="W341" i="21"/>
  <c r="BA341" i="21" s="1"/>
  <c r="U341" i="21"/>
  <c r="S341" i="21"/>
  <c r="Q341" i="21"/>
  <c r="BZ341" i="21" s="1"/>
  <c r="P341" i="21"/>
  <c r="O341" i="21"/>
  <c r="N341" i="21"/>
  <c r="EE341" i="21" s="1"/>
  <c r="L341" i="21"/>
  <c r="K341" i="21"/>
  <c r="J341" i="21"/>
  <c r="H341" i="21"/>
  <c r="DL341" i="21" s="1"/>
  <c r="G341" i="21"/>
  <c r="FX340" i="21"/>
  <c r="CT340" i="21"/>
  <c r="CF340" i="21"/>
  <c r="CC340" i="21"/>
  <c r="AB340" i="21"/>
  <c r="X340" i="21"/>
  <c r="EL340" i="21" s="1"/>
  <c r="EK340" i="21" s="1"/>
  <c r="W340" i="21"/>
  <c r="BA340" i="21" s="1"/>
  <c r="S340" i="21"/>
  <c r="P340" i="21"/>
  <c r="O340" i="21"/>
  <c r="N340" i="21"/>
  <c r="K340" i="21"/>
  <c r="J340" i="21"/>
  <c r="H340" i="21"/>
  <c r="G340" i="21"/>
  <c r="FZ339" i="21"/>
  <c r="EA339" i="21"/>
  <c r="CT339" i="21"/>
  <c r="CF339" i="21"/>
  <c r="CH339" i="21" s="1"/>
  <c r="CD339" i="21"/>
  <c r="CE339" i="21" s="1"/>
  <c r="CC339" i="21"/>
  <c r="AS339" i="21"/>
  <c r="AM339" i="21"/>
  <c r="AB339" i="21"/>
  <c r="W339" i="21"/>
  <c r="S339" i="21"/>
  <c r="P339" i="21"/>
  <c r="DY339" i="21" s="1"/>
  <c r="O339" i="21"/>
  <c r="N339" i="21"/>
  <c r="L339" i="21"/>
  <c r="K339" i="21"/>
  <c r="J339" i="21"/>
  <c r="I339" i="21"/>
  <c r="DI339" i="21" s="1"/>
  <c r="H339" i="21"/>
  <c r="G339" i="21"/>
  <c r="CG339" i="21" s="1"/>
  <c r="FZ338" i="21"/>
  <c r="CT338" i="21"/>
  <c r="CG338" i="21"/>
  <c r="AS338" i="21"/>
  <c r="AI338" i="21"/>
  <c r="AG338" i="21"/>
  <c r="AE338" i="21"/>
  <c r="AB338" i="21"/>
  <c r="W338" i="21"/>
  <c r="X338" i="21" s="1"/>
  <c r="EL338" i="21" s="1"/>
  <c r="S338" i="21"/>
  <c r="Q338" i="21"/>
  <c r="P338" i="21"/>
  <c r="O338" i="21"/>
  <c r="N338" i="21"/>
  <c r="K338" i="21"/>
  <c r="CF338" i="21" s="1"/>
  <c r="J338" i="21"/>
  <c r="H338" i="21"/>
  <c r="G338" i="21"/>
  <c r="FX337" i="21"/>
  <c r="EE337" i="21"/>
  <c r="DL337" i="21"/>
  <c r="CT337" i="21"/>
  <c r="CF337" i="21"/>
  <c r="CD337" i="21"/>
  <c r="CC337" i="21"/>
  <c r="CE337" i="21" s="1"/>
  <c r="CA337" i="21"/>
  <c r="BE337" i="21"/>
  <c r="AS337" i="21"/>
  <c r="AM337" i="21"/>
  <c r="AL337" i="21"/>
  <c r="AI337" i="21"/>
  <c r="AG337" i="21"/>
  <c r="AE337" i="21"/>
  <c r="FZ337" i="21" s="1"/>
  <c r="AB337" i="21"/>
  <c r="W337" i="21"/>
  <c r="U337" i="21"/>
  <c r="T337" i="21"/>
  <c r="S337" i="21"/>
  <c r="Q337" i="21"/>
  <c r="P337" i="21"/>
  <c r="O337" i="21"/>
  <c r="N337" i="21"/>
  <c r="L337" i="21"/>
  <c r="K337" i="21"/>
  <c r="J337" i="21"/>
  <c r="H337" i="21"/>
  <c r="AK337" i="21" s="1"/>
  <c r="G337" i="21"/>
  <c r="CG337" i="21" s="1"/>
  <c r="EA336" i="21"/>
  <c r="DL336" i="21"/>
  <c r="CT336" i="21"/>
  <c r="CF336" i="21"/>
  <c r="CH336" i="21" s="1"/>
  <c r="CD336" i="21"/>
  <c r="CE336" i="21" s="1"/>
  <c r="CC336" i="21"/>
  <c r="BA336" i="21"/>
  <c r="AS336" i="21"/>
  <c r="AB336" i="21"/>
  <c r="W336" i="21"/>
  <c r="U336" i="21"/>
  <c r="S336" i="21"/>
  <c r="P336" i="21"/>
  <c r="DY336" i="21" s="1"/>
  <c r="O336" i="21"/>
  <c r="N336" i="21"/>
  <c r="L336" i="21"/>
  <c r="K336" i="21"/>
  <c r="J336" i="21"/>
  <c r="H336" i="21"/>
  <c r="G336" i="21"/>
  <c r="CG336" i="21" s="1"/>
  <c r="EA335" i="21"/>
  <c r="DY335" i="21"/>
  <c r="CT335" i="21"/>
  <c r="CC335" i="21"/>
  <c r="BE335" i="21"/>
  <c r="AM335" i="21"/>
  <c r="AK335" i="21"/>
  <c r="AB335" i="21"/>
  <c r="CO335" i="21" s="1"/>
  <c r="W335" i="21"/>
  <c r="BA335" i="21" s="1"/>
  <c r="BB335" i="21" s="1"/>
  <c r="U335" i="21"/>
  <c r="S335" i="21"/>
  <c r="AN335" i="21" s="1"/>
  <c r="P335" i="21"/>
  <c r="O335" i="21"/>
  <c r="N335" i="21"/>
  <c r="M335" i="21"/>
  <c r="BF335" i="21" s="1"/>
  <c r="K335" i="21"/>
  <c r="J335" i="21"/>
  <c r="AS335" i="21" s="1"/>
  <c r="H335" i="21"/>
  <c r="I335" i="21" s="1"/>
  <c r="G335" i="21"/>
  <c r="CG335" i="21" s="1"/>
  <c r="DL334" i="21"/>
  <c r="DI334" i="21"/>
  <c r="CT334" i="21"/>
  <c r="CF334" i="21"/>
  <c r="CC334" i="21"/>
  <c r="BE334" i="21"/>
  <c r="BF334" i="21" s="1"/>
  <c r="AM334" i="21"/>
  <c r="AK334" i="21"/>
  <c r="AG334" i="21"/>
  <c r="AE334" i="21"/>
  <c r="AB334" i="21"/>
  <c r="W334" i="21"/>
  <c r="BA334" i="21" s="1"/>
  <c r="BB334" i="21" s="1"/>
  <c r="S334" i="21"/>
  <c r="P334" i="21"/>
  <c r="DY334" i="21" s="1"/>
  <c r="O334" i="21"/>
  <c r="N334" i="21"/>
  <c r="L334" i="21"/>
  <c r="K334" i="21"/>
  <c r="J334" i="21"/>
  <c r="I334" i="21"/>
  <c r="M334" i="21" s="1"/>
  <c r="H334" i="21"/>
  <c r="G334" i="21"/>
  <c r="CG334" i="21" s="1"/>
  <c r="FX333" i="21"/>
  <c r="DL333" i="21"/>
  <c r="CT333" i="21"/>
  <c r="CC333" i="21"/>
  <c r="AK333" i="21"/>
  <c r="AB333" i="21"/>
  <c r="W333" i="21"/>
  <c r="BA333" i="21" s="1"/>
  <c r="U333" i="21"/>
  <c r="S333" i="21"/>
  <c r="Q333" i="21"/>
  <c r="P333" i="21"/>
  <c r="DY333" i="21" s="1"/>
  <c r="O333" i="21"/>
  <c r="N333" i="21"/>
  <c r="K333" i="21"/>
  <c r="BE333" i="21" s="1"/>
  <c r="J333" i="21"/>
  <c r="H333" i="21"/>
  <c r="G333" i="21"/>
  <c r="CG333" i="21" s="1"/>
  <c r="EE332" i="21"/>
  <c r="DI332" i="21"/>
  <c r="CT332" i="21"/>
  <c r="CG332" i="21"/>
  <c r="AS332" i="21"/>
  <c r="AG332" i="21"/>
  <c r="CC332" i="21" s="1"/>
  <c r="AE332" i="21"/>
  <c r="CD332" i="21" s="1"/>
  <c r="AB332" i="21"/>
  <c r="W332" i="21"/>
  <c r="X332" i="21" s="1"/>
  <c r="Y332" i="21" s="1"/>
  <c r="DT332" i="21" s="1"/>
  <c r="S332" i="21"/>
  <c r="P332" i="21"/>
  <c r="DY332" i="21" s="1"/>
  <c r="O332" i="21"/>
  <c r="BE332" i="21" s="1"/>
  <c r="N332" i="21"/>
  <c r="L332" i="21"/>
  <c r="K332" i="21"/>
  <c r="J332" i="21"/>
  <c r="I332" i="21"/>
  <c r="H332" i="21"/>
  <c r="G332" i="21"/>
  <c r="CT331" i="21"/>
  <c r="CG331" i="21"/>
  <c r="CC331" i="21"/>
  <c r="BA331" i="21"/>
  <c r="AB331" i="21"/>
  <c r="X331" i="21"/>
  <c r="EL331" i="21" s="1"/>
  <c r="EK331" i="21" s="1"/>
  <c r="W331" i="21"/>
  <c r="S331" i="21"/>
  <c r="P331" i="21"/>
  <c r="O331" i="21"/>
  <c r="N331" i="21"/>
  <c r="K331" i="21"/>
  <c r="J331" i="21"/>
  <c r="H331" i="21"/>
  <c r="G331" i="21"/>
  <c r="EL330" i="21"/>
  <c r="EK330" i="21" s="1"/>
  <c r="DY330" i="21"/>
  <c r="CT330" i="21"/>
  <c r="CH330" i="21"/>
  <c r="CG330" i="21"/>
  <c r="CF330" i="21"/>
  <c r="BA330" i="21"/>
  <c r="AS330" i="21"/>
  <c r="AM330" i="21"/>
  <c r="AK330" i="21"/>
  <c r="AG330" i="21"/>
  <c r="AE330" i="21"/>
  <c r="AB330" i="21"/>
  <c r="W330" i="21"/>
  <c r="X330" i="21" s="1"/>
  <c r="S330" i="21"/>
  <c r="P330" i="21"/>
  <c r="O330" i="21"/>
  <c r="FX330" i="21" s="1"/>
  <c r="N330" i="21"/>
  <c r="K330" i="21"/>
  <c r="J330" i="21"/>
  <c r="H330" i="21"/>
  <c r="AN330" i="21" s="1"/>
  <c r="G330" i="21"/>
  <c r="FZ329" i="21"/>
  <c r="FX329" i="21"/>
  <c r="EE329" i="21"/>
  <c r="EA329" i="21"/>
  <c r="DY329" i="21"/>
  <c r="CT329" i="21"/>
  <c r="CF329" i="21"/>
  <c r="CC329" i="21"/>
  <c r="BA329" i="21"/>
  <c r="AS329" i="21"/>
  <c r="AM329" i="21"/>
  <c r="AK329" i="21"/>
  <c r="AB329" i="21"/>
  <c r="W329" i="21"/>
  <c r="X329" i="21" s="1"/>
  <c r="S329" i="21"/>
  <c r="P329" i="21"/>
  <c r="O329" i="21"/>
  <c r="N329" i="21"/>
  <c r="K329" i="21"/>
  <c r="J329" i="21"/>
  <c r="H329" i="21"/>
  <c r="I329" i="21" s="1"/>
  <c r="G329" i="21"/>
  <c r="FZ328" i="21"/>
  <c r="FX328" i="21"/>
  <c r="EA328" i="21"/>
  <c r="DZ328" i="21"/>
  <c r="DY328" i="21"/>
  <c r="DL328" i="21"/>
  <c r="CT328" i="21"/>
  <c r="CG328" i="21"/>
  <c r="CF328" i="21"/>
  <c r="CH328" i="21" s="1"/>
  <c r="CC328" i="21"/>
  <c r="BR328" i="21"/>
  <c r="BE328" i="21"/>
  <c r="AS328" i="21"/>
  <c r="AK328" i="21"/>
  <c r="AB328" i="21"/>
  <c r="W328" i="21"/>
  <c r="U328" i="21"/>
  <c r="S328" i="21"/>
  <c r="Q328" i="21"/>
  <c r="T328" i="21" s="1"/>
  <c r="P328" i="21"/>
  <c r="O328" i="21"/>
  <c r="N328" i="21"/>
  <c r="K328" i="21"/>
  <c r="J328" i="21"/>
  <c r="AM328" i="21" s="1"/>
  <c r="I328" i="21"/>
  <c r="H328" i="21"/>
  <c r="G328" i="21"/>
  <c r="FZ327" i="21"/>
  <c r="EE327" i="21"/>
  <c r="DL327" i="21"/>
  <c r="CT327" i="21"/>
  <c r="CG327" i="21"/>
  <c r="CF327" i="21"/>
  <c r="CH327" i="21" s="1"/>
  <c r="CD327" i="21"/>
  <c r="CC327" i="21"/>
  <c r="CE327" i="21" s="1"/>
  <c r="CA327" i="21"/>
  <c r="AN327" i="21"/>
  <c r="AM327" i="21"/>
  <c r="AL327" i="21"/>
  <c r="AK327" i="21"/>
  <c r="AG327" i="21"/>
  <c r="AE327" i="21"/>
  <c r="AB327" i="21"/>
  <c r="Y327" i="21"/>
  <c r="X327" i="21"/>
  <c r="EL327" i="21" s="1"/>
  <c r="EK327" i="21" s="1"/>
  <c r="W327" i="21"/>
  <c r="U327" i="21"/>
  <c r="S327" i="21"/>
  <c r="Q327" i="21"/>
  <c r="BR327" i="21" s="1"/>
  <c r="DZ327" i="21" s="1"/>
  <c r="EB327" i="21" s="1"/>
  <c r="P327" i="21"/>
  <c r="DY327" i="21" s="1"/>
  <c r="O327" i="21"/>
  <c r="N327" i="21"/>
  <c r="K327" i="21"/>
  <c r="EA327" i="21" s="1"/>
  <c r="J327" i="21"/>
  <c r="I327" i="21"/>
  <c r="H327" i="21"/>
  <c r="G327" i="21"/>
  <c r="FZ326" i="21"/>
  <c r="FX326" i="21"/>
  <c r="EE326" i="21"/>
  <c r="EA326" i="21"/>
  <c r="DL326" i="21"/>
  <c r="CT326" i="21"/>
  <c r="CF326" i="21"/>
  <c r="CH326" i="21" s="1"/>
  <c r="CD326" i="21"/>
  <c r="CC326" i="21"/>
  <c r="CA326" i="21"/>
  <c r="AN326" i="21"/>
  <c r="AM326" i="21"/>
  <c r="AL326" i="21"/>
  <c r="AB326" i="21"/>
  <c r="W326" i="21"/>
  <c r="U326" i="21"/>
  <c r="T326" i="21"/>
  <c r="S326" i="21"/>
  <c r="P326" i="21"/>
  <c r="DY326" i="21" s="1"/>
  <c r="O326" i="21"/>
  <c r="BE326" i="21" s="1"/>
  <c r="N326" i="21"/>
  <c r="Q326" i="21" s="1"/>
  <c r="FY326" i="21" s="1"/>
  <c r="K326" i="21"/>
  <c r="J326" i="21"/>
  <c r="AS326" i="21" s="1"/>
  <c r="H326" i="21"/>
  <c r="G326" i="21"/>
  <c r="CG326" i="21" s="1"/>
  <c r="FX325" i="21"/>
  <c r="CT325" i="21"/>
  <c r="CF325" i="21"/>
  <c r="CD325" i="21"/>
  <c r="CC325" i="21"/>
  <c r="AN325" i="21"/>
  <c r="AG325" i="21"/>
  <c r="AE325" i="21"/>
  <c r="AB325" i="21"/>
  <c r="W325" i="21"/>
  <c r="BA325" i="21" s="1"/>
  <c r="S325" i="21"/>
  <c r="P325" i="21"/>
  <c r="DY325" i="21" s="1"/>
  <c r="O325" i="21"/>
  <c r="U325" i="21" s="1"/>
  <c r="N325" i="21"/>
  <c r="K325" i="21"/>
  <c r="AX325" i="21" s="1"/>
  <c r="J325" i="21"/>
  <c r="I325" i="21"/>
  <c r="DI325" i="21" s="1"/>
  <c r="H325" i="21"/>
  <c r="AK325" i="21" s="1"/>
  <c r="G325" i="21"/>
  <c r="CG325" i="21" s="1"/>
  <c r="CH325" i="21" s="1"/>
  <c r="FZ324" i="21"/>
  <c r="FX324" i="21"/>
  <c r="EA324" i="21"/>
  <c r="DY324" i="21"/>
  <c r="DL324" i="21"/>
  <c r="CT324" i="21"/>
  <c r="CG324" i="21"/>
  <c r="CD324" i="21"/>
  <c r="CC324" i="21"/>
  <c r="CE324" i="21" s="1"/>
  <c r="CB324" i="21"/>
  <c r="CA324" i="21"/>
  <c r="BZ324" i="21"/>
  <c r="BE324" i="21"/>
  <c r="AS324" i="21"/>
  <c r="AN324" i="21"/>
  <c r="AM324" i="21"/>
  <c r="AL324" i="21"/>
  <c r="AK324" i="21"/>
  <c r="AB324" i="21"/>
  <c r="W324" i="21"/>
  <c r="BA324" i="21" s="1"/>
  <c r="U324" i="21"/>
  <c r="S324" i="21"/>
  <c r="Q324" i="21"/>
  <c r="FY324" i="21" s="1"/>
  <c r="P324" i="21"/>
  <c r="O324" i="21"/>
  <c r="N324" i="21"/>
  <c r="EE324" i="21" s="1"/>
  <c r="L324" i="21"/>
  <c r="K324" i="21"/>
  <c r="CF324" i="21" s="1"/>
  <c r="J324" i="21"/>
  <c r="I324" i="21"/>
  <c r="H324" i="21"/>
  <c r="G324" i="21"/>
  <c r="FZ323" i="21"/>
  <c r="FX323" i="21"/>
  <c r="CT323" i="21"/>
  <c r="CG323" i="21"/>
  <c r="CD323" i="21"/>
  <c r="CC323" i="21"/>
  <c r="CE323" i="21" s="1"/>
  <c r="AS323" i="21"/>
  <c r="AM323" i="21"/>
  <c r="AK323" i="21"/>
  <c r="AG323" i="21"/>
  <c r="AE323" i="21"/>
  <c r="AB323" i="21"/>
  <c r="X323" i="21"/>
  <c r="EL323" i="21" s="1"/>
  <c r="EK323" i="21" s="1"/>
  <c r="W323" i="21"/>
  <c r="BA323" i="21" s="1"/>
  <c r="S323" i="21"/>
  <c r="Q323" i="21"/>
  <c r="FY323" i="21" s="1"/>
  <c r="P323" i="21"/>
  <c r="O323" i="21"/>
  <c r="N323" i="21"/>
  <c r="EE323" i="21" s="1"/>
  <c r="K323" i="21"/>
  <c r="DY323" i="21" s="1"/>
  <c r="J323" i="21"/>
  <c r="I323" i="21"/>
  <c r="M323" i="21" s="1"/>
  <c r="H323" i="21"/>
  <c r="G323" i="21"/>
  <c r="FZ322" i="21"/>
  <c r="CT322" i="21"/>
  <c r="CC322" i="21"/>
  <c r="BA322" i="21"/>
  <c r="AB322" i="21"/>
  <c r="W322" i="21"/>
  <c r="X322" i="21" s="1"/>
  <c r="EL322" i="21" s="1"/>
  <c r="EK322" i="21" s="1"/>
  <c r="S322" i="21"/>
  <c r="P322" i="21"/>
  <c r="O322" i="21"/>
  <c r="N322" i="21"/>
  <c r="K322" i="21"/>
  <c r="EA322" i="21" s="1"/>
  <c r="J322" i="21"/>
  <c r="I322" i="21"/>
  <c r="H322" i="21"/>
  <c r="G322" i="21"/>
  <c r="CG322" i="21" s="1"/>
  <c r="EL321" i="21"/>
  <c r="EK321" i="21" s="1"/>
  <c r="EA321" i="21"/>
  <c r="CT321" i="21"/>
  <c r="BA321" i="21"/>
  <c r="BB321" i="21" s="1"/>
  <c r="AK321" i="21"/>
  <c r="AG321" i="21"/>
  <c r="AE321" i="21"/>
  <c r="AB321" i="21"/>
  <c r="X321" i="21"/>
  <c r="W321" i="21"/>
  <c r="S321" i="21"/>
  <c r="P321" i="21"/>
  <c r="DY321" i="21" s="1"/>
  <c r="O321" i="21"/>
  <c r="FX321" i="21" s="1"/>
  <c r="N321" i="21"/>
  <c r="EE321" i="21" s="1"/>
  <c r="K321" i="21"/>
  <c r="J321" i="21"/>
  <c r="AS321" i="21" s="1"/>
  <c r="I321" i="21"/>
  <c r="M321" i="21" s="1"/>
  <c r="H321" i="21"/>
  <c r="G321" i="21"/>
  <c r="CG321" i="21" s="1"/>
  <c r="DL320" i="21"/>
  <c r="CT320" i="21"/>
  <c r="CC320" i="21"/>
  <c r="AK320" i="21"/>
  <c r="AB320" i="21"/>
  <c r="W320" i="21"/>
  <c r="S320" i="21"/>
  <c r="P320" i="21"/>
  <c r="O320" i="21"/>
  <c r="N320" i="21"/>
  <c r="K320" i="21"/>
  <c r="J320" i="21"/>
  <c r="H320" i="21"/>
  <c r="G320" i="21"/>
  <c r="CG320" i="21" s="1"/>
  <c r="CT319" i="21"/>
  <c r="CA319" i="21"/>
  <c r="AM319" i="21"/>
  <c r="AI319" i="21"/>
  <c r="AG319" i="21"/>
  <c r="AE319" i="21"/>
  <c r="AB319" i="21"/>
  <c r="W319" i="21"/>
  <c r="X319" i="21" s="1"/>
  <c r="EL319" i="21" s="1"/>
  <c r="EK319" i="21" s="1"/>
  <c r="U319" i="21"/>
  <c r="S319" i="21"/>
  <c r="Q319" i="21"/>
  <c r="T319" i="21" s="1"/>
  <c r="P319" i="21"/>
  <c r="DY319" i="21" s="1"/>
  <c r="O319" i="21"/>
  <c r="N319" i="21"/>
  <c r="EE319" i="21" s="1"/>
  <c r="K319" i="21"/>
  <c r="J319" i="21"/>
  <c r="AS319" i="21" s="1"/>
  <c r="H319" i="21"/>
  <c r="G319" i="21"/>
  <c r="CG319" i="21" s="1"/>
  <c r="FX318" i="21"/>
  <c r="DY318" i="21"/>
  <c r="DL318" i="21"/>
  <c r="CT318" i="21"/>
  <c r="AS318" i="21"/>
  <c r="AN318" i="21"/>
  <c r="AI318" i="21"/>
  <c r="AG318" i="21"/>
  <c r="CC318" i="21" s="1"/>
  <c r="AE318" i="21"/>
  <c r="CD318" i="21" s="1"/>
  <c r="AB318" i="21"/>
  <c r="X318" i="21"/>
  <c r="EL318" i="21" s="1"/>
  <c r="EK318" i="21" s="1"/>
  <c r="W318" i="21"/>
  <c r="BA318" i="21" s="1"/>
  <c r="S318" i="21"/>
  <c r="P318" i="21"/>
  <c r="O318" i="21"/>
  <c r="N318" i="21"/>
  <c r="K318" i="21"/>
  <c r="BE318" i="21" s="1"/>
  <c r="J318" i="21"/>
  <c r="H318" i="21"/>
  <c r="G318" i="21"/>
  <c r="CG318" i="21" s="1"/>
  <c r="EE317" i="21"/>
  <c r="DY317" i="21"/>
  <c r="CT317" i="21"/>
  <c r="CC317" i="21"/>
  <c r="AN317" i="21"/>
  <c r="AM317" i="21"/>
  <c r="AK317" i="21"/>
  <c r="AI317" i="21"/>
  <c r="EA317" i="21" s="1"/>
  <c r="AG317" i="21"/>
  <c r="AE317" i="21"/>
  <c r="CD317" i="21" s="1"/>
  <c r="CE317" i="21" s="1"/>
  <c r="AB317" i="21"/>
  <c r="W317" i="21"/>
  <c r="X317" i="21" s="1"/>
  <c r="EL317" i="21" s="1"/>
  <c r="EK317" i="21" s="1"/>
  <c r="U317" i="21"/>
  <c r="S317" i="21"/>
  <c r="P317" i="21"/>
  <c r="O317" i="21"/>
  <c r="N317" i="21"/>
  <c r="M317" i="21"/>
  <c r="K317" i="21"/>
  <c r="J317" i="21"/>
  <c r="AS317" i="21" s="1"/>
  <c r="H317" i="21"/>
  <c r="I317" i="21" s="1"/>
  <c r="DI317" i="21" s="1"/>
  <c r="ET317" i="21" s="1"/>
  <c r="G317" i="21"/>
  <c r="FZ316" i="21"/>
  <c r="FX316" i="21"/>
  <c r="EA316" i="21"/>
  <c r="DY316" i="21"/>
  <c r="DL316" i="21"/>
  <c r="CT316" i="21"/>
  <c r="CF316" i="21"/>
  <c r="CD316" i="21"/>
  <c r="CC316" i="21"/>
  <c r="AG316" i="21"/>
  <c r="AE316" i="21"/>
  <c r="AB316" i="21"/>
  <c r="W316" i="21"/>
  <c r="S316" i="21"/>
  <c r="P316" i="21"/>
  <c r="O316" i="21"/>
  <c r="U316" i="21" s="1"/>
  <c r="N316" i="21"/>
  <c r="K316" i="21"/>
  <c r="J316" i="21"/>
  <c r="AS316" i="21" s="1"/>
  <c r="H316" i="21"/>
  <c r="G316" i="21"/>
  <c r="CG316" i="21" s="1"/>
  <c r="FX315" i="21"/>
  <c r="DL315" i="21"/>
  <c r="CT315" i="21"/>
  <c r="CF315" i="21"/>
  <c r="BA315" i="21"/>
  <c r="AS315" i="21"/>
  <c r="AK315" i="21"/>
  <c r="AG315" i="21"/>
  <c r="AE315" i="21"/>
  <c r="AB315" i="21"/>
  <c r="W315" i="21"/>
  <c r="U315" i="21"/>
  <c r="S315" i="21"/>
  <c r="Q315" i="21"/>
  <c r="BR315" i="21" s="1"/>
  <c r="DZ315" i="21" s="1"/>
  <c r="P315" i="21"/>
  <c r="DY315" i="21" s="1"/>
  <c r="O315" i="21"/>
  <c r="N315" i="21"/>
  <c r="L315" i="21"/>
  <c r="K315" i="21"/>
  <c r="J315" i="21"/>
  <c r="H315" i="21"/>
  <c r="I315" i="21" s="1"/>
  <c r="DI315" i="21" s="1"/>
  <c r="G315" i="21"/>
  <c r="CG315" i="21" s="1"/>
  <c r="FX314" i="21"/>
  <c r="DL314" i="21"/>
  <c r="DI314" i="21"/>
  <c r="CT314" i="21"/>
  <c r="CF314" i="21"/>
  <c r="CH314" i="21" s="1"/>
  <c r="CC314" i="21"/>
  <c r="AN314" i="21"/>
  <c r="AM314" i="21"/>
  <c r="AK314" i="21"/>
  <c r="AG314" i="21"/>
  <c r="AE314" i="21"/>
  <c r="AB314" i="21"/>
  <c r="W314" i="21"/>
  <c r="U314" i="21"/>
  <c r="S314" i="21"/>
  <c r="P314" i="21"/>
  <c r="DY314" i="21" s="1"/>
  <c r="O314" i="21"/>
  <c r="N314" i="21"/>
  <c r="K314" i="21"/>
  <c r="Q314" i="21" s="1"/>
  <c r="T314" i="21" s="1"/>
  <c r="J314" i="21"/>
  <c r="EE314" i="21" s="1"/>
  <c r="I314" i="21"/>
  <c r="H314" i="21"/>
  <c r="G314" i="21"/>
  <c r="CG314" i="21" s="1"/>
  <c r="FZ313" i="21"/>
  <c r="FX313" i="21"/>
  <c r="EA313" i="21"/>
  <c r="DY313" i="21"/>
  <c r="CT313" i="21"/>
  <c r="CF313" i="21"/>
  <c r="CE313" i="21"/>
  <c r="CD313" i="21"/>
  <c r="CC313" i="21"/>
  <c r="BE313" i="21"/>
  <c r="AS313" i="21"/>
  <c r="AB313" i="21"/>
  <c r="W313" i="21"/>
  <c r="BA313" i="21" s="1"/>
  <c r="U313" i="21"/>
  <c r="S313" i="21"/>
  <c r="P313" i="21"/>
  <c r="O313" i="21"/>
  <c r="N313" i="21"/>
  <c r="Q313" i="21" s="1"/>
  <c r="CA313" i="21" s="1"/>
  <c r="K313" i="21"/>
  <c r="J313" i="21"/>
  <c r="H313" i="21"/>
  <c r="G313" i="21"/>
  <c r="CG313" i="21" s="1"/>
  <c r="FX312" i="21"/>
  <c r="DY312" i="21"/>
  <c r="CT312" i="21"/>
  <c r="CG312" i="21"/>
  <c r="CC312" i="21"/>
  <c r="AS312" i="21"/>
  <c r="AM312" i="21"/>
  <c r="AK312" i="21"/>
  <c r="AB312" i="21"/>
  <c r="W312" i="21"/>
  <c r="X312" i="21" s="1"/>
  <c r="EL312" i="21" s="1"/>
  <c r="EK312" i="21" s="1"/>
  <c r="S312" i="21"/>
  <c r="P312" i="21"/>
  <c r="O312" i="21"/>
  <c r="N312" i="21"/>
  <c r="K312" i="21"/>
  <c r="CD312" i="21" s="1"/>
  <c r="CE312" i="21" s="1"/>
  <c r="J312" i="21"/>
  <c r="I312" i="21"/>
  <c r="H312" i="21"/>
  <c r="G312" i="21"/>
  <c r="CT311" i="21"/>
  <c r="CC311" i="21"/>
  <c r="AK311" i="21"/>
  <c r="AB311" i="21"/>
  <c r="X311" i="21"/>
  <c r="EL311" i="21" s="1"/>
  <c r="W311" i="21"/>
  <c r="BA311" i="21" s="1"/>
  <c r="S311" i="21"/>
  <c r="P311" i="21"/>
  <c r="O311" i="21"/>
  <c r="N311" i="21"/>
  <c r="K311" i="21"/>
  <c r="J311" i="21"/>
  <c r="H311" i="21"/>
  <c r="I311" i="21" s="1"/>
  <c r="G311" i="21"/>
  <c r="FZ310" i="21"/>
  <c r="FX310" i="21"/>
  <c r="FA310" i="21"/>
  <c r="DY310" i="21"/>
  <c r="CT310" i="21"/>
  <c r="CG310" i="21"/>
  <c r="CC310" i="21"/>
  <c r="BA310" i="21"/>
  <c r="AS310" i="21"/>
  <c r="AI310" i="21"/>
  <c r="EA310" i="21" s="1"/>
  <c r="AG310" i="21"/>
  <c r="AE310" i="21"/>
  <c r="AB310" i="21"/>
  <c r="W310" i="21"/>
  <c r="X310" i="21" s="1"/>
  <c r="EL310" i="21" s="1"/>
  <c r="EK310" i="21" s="1"/>
  <c r="U310" i="21"/>
  <c r="S310" i="21"/>
  <c r="P310" i="21"/>
  <c r="O310" i="21"/>
  <c r="BE310" i="21" s="1"/>
  <c r="N310" i="21"/>
  <c r="K310" i="21"/>
  <c r="J310" i="21"/>
  <c r="H310" i="21"/>
  <c r="G310" i="21"/>
  <c r="CT309" i="21"/>
  <c r="AS309" i="21"/>
  <c r="AK309" i="21"/>
  <c r="AI309" i="21"/>
  <c r="AG309" i="21"/>
  <c r="AE309" i="21"/>
  <c r="AB309" i="21"/>
  <c r="W309" i="21"/>
  <c r="BA309" i="21" s="1"/>
  <c r="S309" i="21"/>
  <c r="P309" i="21"/>
  <c r="DY309" i="21" s="1"/>
  <c r="O309" i="21"/>
  <c r="N309" i="21"/>
  <c r="K309" i="21"/>
  <c r="DL309" i="21" s="1"/>
  <c r="J309" i="21"/>
  <c r="H309" i="21"/>
  <c r="AM309" i="21" s="1"/>
  <c r="G309" i="21"/>
  <c r="CG309" i="21" s="1"/>
  <c r="FZ308" i="21"/>
  <c r="FA308" i="21"/>
  <c r="EE308" i="21"/>
  <c r="EA308" i="21"/>
  <c r="DL308" i="21"/>
  <c r="CT308" i="21"/>
  <c r="CF308" i="21"/>
  <c r="CD308" i="21"/>
  <c r="CC308" i="21"/>
  <c r="CE308" i="21" s="1"/>
  <c r="AX308" i="21"/>
  <c r="AS308" i="21"/>
  <c r="AK308" i="21"/>
  <c r="AB308" i="21"/>
  <c r="X308" i="21"/>
  <c r="EL308" i="21" s="1"/>
  <c r="EK308" i="21" s="1"/>
  <c r="W308" i="21"/>
  <c r="BA308" i="21" s="1"/>
  <c r="BB308" i="21" s="1"/>
  <c r="U308" i="21"/>
  <c r="S308" i="21"/>
  <c r="Q308" i="21"/>
  <c r="T308" i="21" s="1"/>
  <c r="P308" i="21"/>
  <c r="DY308" i="21" s="1"/>
  <c r="O308" i="21"/>
  <c r="N308" i="21"/>
  <c r="L308" i="21"/>
  <c r="K308" i="21"/>
  <c r="J308" i="21"/>
  <c r="I308" i="21"/>
  <c r="M308" i="21" s="1"/>
  <c r="H308" i="21"/>
  <c r="AM308" i="21" s="1"/>
  <c r="G308" i="21"/>
  <c r="CG308" i="21" s="1"/>
  <c r="FZ307" i="21"/>
  <c r="EA307" i="21"/>
  <c r="DL307" i="21"/>
  <c r="CT307" i="21"/>
  <c r="CG307" i="21"/>
  <c r="CF307" i="21"/>
  <c r="CH307" i="21" s="1"/>
  <c r="CD307" i="21"/>
  <c r="CC307" i="21"/>
  <c r="BE307" i="21"/>
  <c r="AN307" i="21"/>
  <c r="AM307" i="21"/>
  <c r="AK307" i="21"/>
  <c r="AB307" i="21"/>
  <c r="W307" i="21"/>
  <c r="BA307" i="21" s="1"/>
  <c r="U307" i="21"/>
  <c r="S307" i="21"/>
  <c r="P307" i="21"/>
  <c r="DY307" i="21" s="1"/>
  <c r="O307" i="21"/>
  <c r="FX307" i="21" s="1"/>
  <c r="N307" i="21"/>
  <c r="K307" i="21"/>
  <c r="J307" i="21"/>
  <c r="H307" i="21"/>
  <c r="G307" i="21"/>
  <c r="FX306" i="21"/>
  <c r="FA306" i="21"/>
  <c r="EK306" i="21"/>
  <c r="CT306" i="21"/>
  <c r="CF306" i="21"/>
  <c r="BA306" i="21"/>
  <c r="AX306" i="21"/>
  <c r="AS306" i="21"/>
  <c r="AN306" i="21"/>
  <c r="AM306" i="21"/>
  <c r="AG306" i="21"/>
  <c r="AE306" i="21"/>
  <c r="AB306" i="21"/>
  <c r="W306" i="21"/>
  <c r="X306" i="21" s="1"/>
  <c r="EL306" i="21" s="1"/>
  <c r="U306" i="21"/>
  <c r="S306" i="21"/>
  <c r="P306" i="21"/>
  <c r="DY306" i="21" s="1"/>
  <c r="O306" i="21"/>
  <c r="N306" i="21"/>
  <c r="L306" i="21"/>
  <c r="K306" i="21"/>
  <c r="J306" i="21"/>
  <c r="I306" i="21"/>
  <c r="H306" i="21"/>
  <c r="G306" i="21"/>
  <c r="FZ305" i="21"/>
  <c r="FX305" i="21"/>
  <c r="CT305" i="21"/>
  <c r="CD305" i="21"/>
  <c r="BE305" i="21"/>
  <c r="AS305" i="21"/>
  <c r="AG305" i="21"/>
  <c r="CC305" i="21" s="1"/>
  <c r="AE305" i="21"/>
  <c r="AB305" i="21"/>
  <c r="W305" i="21"/>
  <c r="X305" i="21" s="1"/>
  <c r="EL305" i="21" s="1"/>
  <c r="S305" i="21"/>
  <c r="P305" i="21"/>
  <c r="O305" i="21"/>
  <c r="U305" i="21" s="1"/>
  <c r="N305" i="21"/>
  <c r="L305" i="21"/>
  <c r="K305" i="21"/>
  <c r="J305" i="21"/>
  <c r="H305" i="21"/>
  <c r="G305" i="21"/>
  <c r="CG305" i="21" s="1"/>
  <c r="FZ304" i="21"/>
  <c r="FA304" i="21"/>
  <c r="EE304" i="21"/>
  <c r="EA304" i="21"/>
  <c r="DY304" i="21"/>
  <c r="DL304" i="21"/>
  <c r="CT304" i="21"/>
  <c r="CH304" i="21"/>
  <c r="CG304" i="21"/>
  <c r="CF304" i="21"/>
  <c r="CD304" i="21"/>
  <c r="CC304" i="21"/>
  <c r="BE304" i="21"/>
  <c r="AS304" i="21"/>
  <c r="AN304" i="21"/>
  <c r="AK304" i="21"/>
  <c r="AB304" i="21"/>
  <c r="W304" i="21"/>
  <c r="BA304" i="21" s="1"/>
  <c r="BB304" i="21" s="1"/>
  <c r="U304" i="21"/>
  <c r="S304" i="21"/>
  <c r="P304" i="21"/>
  <c r="O304" i="21"/>
  <c r="N304" i="21"/>
  <c r="Q304" i="21" s="1"/>
  <c r="BR304" i="21" s="1"/>
  <c r="DZ304" i="21" s="1"/>
  <c r="EB304" i="21" s="1"/>
  <c r="L304" i="21"/>
  <c r="K304" i="21"/>
  <c r="J304" i="21"/>
  <c r="I304" i="21"/>
  <c r="H304" i="21"/>
  <c r="G304" i="21"/>
  <c r="FZ303" i="21"/>
  <c r="EE303" i="21"/>
  <c r="DY303" i="21"/>
  <c r="DL303" i="21"/>
  <c r="CT303" i="21"/>
  <c r="CF303" i="21"/>
  <c r="CD303" i="21"/>
  <c r="CE303" i="21" s="1"/>
  <c r="CC303" i="21"/>
  <c r="AN303" i="21"/>
  <c r="AK303" i="21"/>
  <c r="AB303" i="21"/>
  <c r="W303" i="21"/>
  <c r="X303" i="21" s="1"/>
  <c r="EL303" i="21" s="1"/>
  <c r="EK303" i="21" s="1"/>
  <c r="U303" i="21"/>
  <c r="S303" i="21"/>
  <c r="P303" i="21"/>
  <c r="O303" i="21"/>
  <c r="FX303" i="21" s="1"/>
  <c r="N303" i="21"/>
  <c r="Q303" i="21" s="1"/>
  <c r="K303" i="21"/>
  <c r="EA303" i="21" s="1"/>
  <c r="J303" i="21"/>
  <c r="AS303" i="21" s="1"/>
  <c r="H303" i="21"/>
  <c r="G303" i="21"/>
  <c r="CG303" i="21" s="1"/>
  <c r="FA302" i="21"/>
  <c r="DL302" i="21"/>
  <c r="DI302" i="21"/>
  <c r="CT302" i="21"/>
  <c r="CF302" i="21"/>
  <c r="CD302" i="21"/>
  <c r="CC302" i="21"/>
  <c r="CE302" i="21" s="1"/>
  <c r="AM302" i="21"/>
  <c r="AK302" i="21"/>
  <c r="AG302" i="21"/>
  <c r="BE302" i="21" s="1"/>
  <c r="AE302" i="21"/>
  <c r="AB302" i="21"/>
  <c r="W302" i="21"/>
  <c r="X302" i="21" s="1"/>
  <c r="EL302" i="21" s="1"/>
  <c r="EK302" i="21" s="1"/>
  <c r="U302" i="21"/>
  <c r="S302" i="21"/>
  <c r="P302" i="21"/>
  <c r="O302" i="21"/>
  <c r="FX302" i="21" s="1"/>
  <c r="N302" i="21"/>
  <c r="Q302" i="21" s="1"/>
  <c r="L302" i="21"/>
  <c r="K302" i="21"/>
  <c r="DY302" i="21" s="1"/>
  <c r="J302" i="21"/>
  <c r="I302" i="21"/>
  <c r="H302" i="21"/>
  <c r="G302" i="21"/>
  <c r="CG302" i="21" s="1"/>
  <c r="FZ301" i="21"/>
  <c r="FX301" i="21"/>
  <c r="EE301" i="21"/>
  <c r="EA301" i="21"/>
  <c r="DY301" i="21"/>
  <c r="CT301" i="21"/>
  <c r="CC301" i="21"/>
  <c r="AS301" i="21"/>
  <c r="AN301" i="21"/>
  <c r="AM301" i="21"/>
  <c r="AG301" i="21"/>
  <c r="AE301" i="21"/>
  <c r="CD301" i="21" s="1"/>
  <c r="AB301" i="21"/>
  <c r="W301" i="21"/>
  <c r="U301" i="21"/>
  <c r="S301" i="21"/>
  <c r="P301" i="21"/>
  <c r="O301" i="21"/>
  <c r="BE301" i="21" s="1"/>
  <c r="N301" i="21"/>
  <c r="K301" i="21"/>
  <c r="CF301" i="21" s="1"/>
  <c r="J301" i="21"/>
  <c r="I301" i="21"/>
  <c r="DI301" i="21" s="1"/>
  <c r="H301" i="21"/>
  <c r="G301" i="21"/>
  <c r="CG301" i="21" s="1"/>
  <c r="FZ300" i="21"/>
  <c r="FA300" i="21"/>
  <c r="EA300" i="21"/>
  <c r="DY300" i="21"/>
  <c r="CT300" i="21"/>
  <c r="CG300" i="21"/>
  <c r="CF300" i="21"/>
  <c r="CD300" i="21"/>
  <c r="CC300" i="21"/>
  <c r="BE300" i="21"/>
  <c r="AN300" i="21"/>
  <c r="AM300" i="21"/>
  <c r="AB300" i="21"/>
  <c r="X300" i="21"/>
  <c r="EL300" i="21" s="1"/>
  <c r="EK300" i="21" s="1"/>
  <c r="W300" i="21"/>
  <c r="U300" i="21"/>
  <c r="T300" i="21"/>
  <c r="S300" i="21"/>
  <c r="Q300" i="21"/>
  <c r="AL300" i="21" s="1"/>
  <c r="P300" i="21"/>
  <c r="O300" i="21"/>
  <c r="FX300" i="21" s="1"/>
  <c r="N300" i="21"/>
  <c r="L300" i="21"/>
  <c r="K300" i="21"/>
  <c r="J300" i="21"/>
  <c r="AS300" i="21" s="1"/>
  <c r="I300" i="21"/>
  <c r="H300" i="21"/>
  <c r="EE300" i="21" s="1"/>
  <c r="G300" i="21"/>
  <c r="FZ299" i="21"/>
  <c r="FX299" i="21"/>
  <c r="EE299" i="21"/>
  <c r="EA299" i="21"/>
  <c r="DY299" i="21"/>
  <c r="CT299" i="21"/>
  <c r="CG299" i="21"/>
  <c r="CF299" i="21"/>
  <c r="CH299" i="21" s="1"/>
  <c r="CD299" i="21"/>
  <c r="CC299" i="21"/>
  <c r="CE299" i="21" s="1"/>
  <c r="CA299" i="21"/>
  <c r="BE299" i="21"/>
  <c r="AS299" i="21"/>
  <c r="AB299" i="21"/>
  <c r="W299" i="21"/>
  <c r="U299" i="21"/>
  <c r="S299" i="21"/>
  <c r="P299" i="21"/>
  <c r="O299" i="21"/>
  <c r="N299" i="21"/>
  <c r="Q299" i="21" s="1"/>
  <c r="T299" i="21" s="1"/>
  <c r="K299" i="21"/>
  <c r="J299" i="21"/>
  <c r="H299" i="21"/>
  <c r="G299" i="21"/>
  <c r="FZ298" i="21"/>
  <c r="FX298" i="21"/>
  <c r="FA298" i="21"/>
  <c r="EE298" i="21"/>
  <c r="EA298" i="21"/>
  <c r="DL298" i="21"/>
  <c r="DI298" i="21"/>
  <c r="CT298" i="21"/>
  <c r="CG298" i="21"/>
  <c r="CF298" i="21"/>
  <c r="CH298" i="21" s="1"/>
  <c r="AS298" i="21"/>
  <c r="AN298" i="21"/>
  <c r="AM298" i="21"/>
  <c r="AK298" i="21"/>
  <c r="AG298" i="21"/>
  <c r="AE298" i="21"/>
  <c r="CD298" i="21" s="1"/>
  <c r="AB298" i="21"/>
  <c r="W298" i="21"/>
  <c r="U298" i="21"/>
  <c r="S298" i="21"/>
  <c r="P298" i="21"/>
  <c r="DY298" i="21" s="1"/>
  <c r="O298" i="21"/>
  <c r="N298" i="21"/>
  <c r="L298" i="21"/>
  <c r="K298" i="21"/>
  <c r="J298" i="21"/>
  <c r="I298" i="21"/>
  <c r="H298" i="21"/>
  <c r="G298" i="21"/>
  <c r="FX297" i="21"/>
  <c r="FA297" i="21"/>
  <c r="CT297" i="21"/>
  <c r="CG297" i="21"/>
  <c r="CF297" i="21"/>
  <c r="CC297" i="21"/>
  <c r="AN297" i="21"/>
  <c r="AG297" i="21"/>
  <c r="AE297" i="21"/>
  <c r="AB297" i="21"/>
  <c r="W297" i="21"/>
  <c r="BA297" i="21" s="1"/>
  <c r="BB297" i="21" s="1"/>
  <c r="S297" i="21"/>
  <c r="P297" i="21"/>
  <c r="DY297" i="21" s="1"/>
  <c r="O297" i="21"/>
  <c r="U297" i="21" s="1"/>
  <c r="N297" i="21"/>
  <c r="Q297" i="21" s="1"/>
  <c r="K297" i="21"/>
  <c r="J297" i="21"/>
  <c r="I297" i="21"/>
  <c r="H297" i="21"/>
  <c r="G297" i="21"/>
  <c r="CT296" i="21"/>
  <c r="CG296" i="21"/>
  <c r="CH296" i="21" s="1"/>
  <c r="CF296" i="21"/>
  <c r="CC296" i="21"/>
  <c r="AS296" i="21"/>
  <c r="AN296" i="21"/>
  <c r="AM296" i="21"/>
  <c r="AK296" i="21"/>
  <c r="AG296" i="21"/>
  <c r="AE296" i="21"/>
  <c r="AB296" i="21"/>
  <c r="W296" i="21"/>
  <c r="X296" i="21" s="1"/>
  <c r="EL296" i="21" s="1"/>
  <c r="EK296" i="21" s="1"/>
  <c r="U296" i="21"/>
  <c r="S296" i="21"/>
  <c r="P296" i="21"/>
  <c r="O296" i="21"/>
  <c r="FX296" i="21" s="1"/>
  <c r="N296" i="21"/>
  <c r="K296" i="21"/>
  <c r="BE296" i="21" s="1"/>
  <c r="J296" i="21"/>
  <c r="H296" i="21"/>
  <c r="G296" i="21"/>
  <c r="FZ295" i="21"/>
  <c r="FY295" i="21" s="1"/>
  <c r="FX295" i="21"/>
  <c r="CT295" i="21"/>
  <c r="CH295" i="21"/>
  <c r="CG295" i="21"/>
  <c r="CF295" i="21"/>
  <c r="CD295" i="21"/>
  <c r="CC295" i="21"/>
  <c r="CE295" i="21" s="1"/>
  <c r="AM295" i="21"/>
  <c r="AG295" i="21"/>
  <c r="AE295" i="21"/>
  <c r="AB295" i="21"/>
  <c r="W295" i="21"/>
  <c r="S295" i="21"/>
  <c r="P295" i="21"/>
  <c r="O295" i="21"/>
  <c r="N295" i="21"/>
  <c r="Q295" i="21" s="1"/>
  <c r="K295" i="21"/>
  <c r="J295" i="21"/>
  <c r="AS295" i="21" s="1"/>
  <c r="H295" i="21"/>
  <c r="G295" i="21"/>
  <c r="FX294" i="21"/>
  <c r="FA294" i="21"/>
  <c r="EA294" i="21"/>
  <c r="DY294" i="21"/>
  <c r="CT294" i="21"/>
  <c r="AS294" i="21"/>
  <c r="AN294" i="21"/>
  <c r="AM294" i="21"/>
  <c r="AK294" i="21"/>
  <c r="AG294" i="21"/>
  <c r="CC294" i="21" s="1"/>
  <c r="AE294" i="21"/>
  <c r="AB294" i="21"/>
  <c r="W294" i="21"/>
  <c r="X294" i="21" s="1"/>
  <c r="EL294" i="21" s="1"/>
  <c r="S294" i="21"/>
  <c r="P294" i="21"/>
  <c r="O294" i="21"/>
  <c r="N294" i="21"/>
  <c r="K294" i="21"/>
  <c r="CF294" i="21" s="1"/>
  <c r="CH294" i="21" s="1"/>
  <c r="J294" i="21"/>
  <c r="I294" i="21"/>
  <c r="H294" i="21"/>
  <c r="G294" i="21"/>
  <c r="CG294" i="21" s="1"/>
  <c r="FZ293" i="21"/>
  <c r="FX293" i="21"/>
  <c r="FA293" i="21"/>
  <c r="EA293" i="21"/>
  <c r="CT293" i="21"/>
  <c r="AG293" i="21"/>
  <c r="CC293" i="21" s="1"/>
  <c r="AE293" i="21"/>
  <c r="CD293" i="21" s="1"/>
  <c r="AB293" i="21"/>
  <c r="W293" i="21"/>
  <c r="S293" i="21"/>
  <c r="Q293" i="21"/>
  <c r="P293" i="21"/>
  <c r="DY293" i="21" s="1"/>
  <c r="O293" i="21"/>
  <c r="N293" i="21"/>
  <c r="K293" i="21"/>
  <c r="J293" i="21"/>
  <c r="AM293" i="21" s="1"/>
  <c r="H293" i="21"/>
  <c r="EE293" i="21" s="1"/>
  <c r="G293" i="21"/>
  <c r="CG293" i="21" s="1"/>
  <c r="EL292" i="21"/>
  <c r="EK292" i="21" s="1"/>
  <c r="CT292" i="21"/>
  <c r="CG292" i="21"/>
  <c r="AK292" i="21"/>
  <c r="AG292" i="21"/>
  <c r="CC292" i="21" s="1"/>
  <c r="AE292" i="21"/>
  <c r="AB292" i="21"/>
  <c r="W292" i="21"/>
  <c r="X292" i="21" s="1"/>
  <c r="S292" i="21"/>
  <c r="P292" i="21"/>
  <c r="O292" i="21"/>
  <c r="N292" i="21"/>
  <c r="K292" i="21"/>
  <c r="J292" i="21"/>
  <c r="H292" i="21"/>
  <c r="G292" i="21"/>
  <c r="DL291" i="21"/>
  <c r="CT291" i="21"/>
  <c r="CF291" i="21"/>
  <c r="CH291" i="21" s="1"/>
  <c r="AS291" i="21"/>
  <c r="AM291" i="21"/>
  <c r="AG291" i="21"/>
  <c r="AE291" i="21"/>
  <c r="AB291" i="21"/>
  <c r="W291" i="21"/>
  <c r="U291" i="21"/>
  <c r="S291" i="21"/>
  <c r="P291" i="21"/>
  <c r="DY291" i="21" s="1"/>
  <c r="O291" i="21"/>
  <c r="N291" i="21"/>
  <c r="K291" i="21"/>
  <c r="J291" i="21"/>
  <c r="H291" i="21"/>
  <c r="G291" i="21"/>
  <c r="CG291" i="21" s="1"/>
  <c r="FZ290" i="21"/>
  <c r="FX290" i="21"/>
  <c r="FA290" i="21"/>
  <c r="EA290" i="21"/>
  <c r="CT290" i="21"/>
  <c r="CF290" i="21"/>
  <c r="CD290" i="21"/>
  <c r="CC290" i="21"/>
  <c r="CA290" i="21"/>
  <c r="BZ290" i="21"/>
  <c r="CB290" i="21" s="1"/>
  <c r="AS290" i="21"/>
  <c r="AB290" i="21"/>
  <c r="W290" i="21"/>
  <c r="BA290" i="21" s="1"/>
  <c r="S290" i="21"/>
  <c r="Q290" i="21"/>
  <c r="FY290" i="21" s="1"/>
  <c r="P290" i="21"/>
  <c r="DY290" i="21" s="1"/>
  <c r="O290" i="21"/>
  <c r="BE290" i="21" s="1"/>
  <c r="N290" i="21"/>
  <c r="L290" i="21"/>
  <c r="K290" i="21"/>
  <c r="J290" i="21"/>
  <c r="H290" i="21"/>
  <c r="G290" i="21"/>
  <c r="CG290" i="21" s="1"/>
  <c r="FX289" i="21"/>
  <c r="FA289" i="21"/>
  <c r="CT289" i="21"/>
  <c r="CC289" i="21"/>
  <c r="BA289" i="21"/>
  <c r="AK289" i="21"/>
  <c r="AB289" i="21"/>
  <c r="W289" i="21"/>
  <c r="X289" i="21" s="1"/>
  <c r="EL289" i="21" s="1"/>
  <c r="S289" i="21"/>
  <c r="P289" i="21"/>
  <c r="O289" i="21"/>
  <c r="N289" i="21"/>
  <c r="L289" i="21"/>
  <c r="K289" i="21"/>
  <c r="J289" i="21"/>
  <c r="I289" i="21"/>
  <c r="H289" i="21"/>
  <c r="G289" i="21"/>
  <c r="CG289" i="21" s="1"/>
  <c r="EA288" i="21"/>
  <c r="DL288" i="21"/>
  <c r="CT288" i="21"/>
  <c r="CF288" i="21"/>
  <c r="CD288" i="21"/>
  <c r="CC288" i="21"/>
  <c r="AM288" i="21"/>
  <c r="AK288" i="21"/>
  <c r="AB288" i="21"/>
  <c r="W288" i="21"/>
  <c r="U288" i="21"/>
  <c r="S288" i="21"/>
  <c r="P288" i="21"/>
  <c r="DY288" i="21" s="1"/>
  <c r="O288" i="21"/>
  <c r="BE288" i="21" s="1"/>
  <c r="N288" i="21"/>
  <c r="EE288" i="21" s="1"/>
  <c r="K288" i="21"/>
  <c r="J288" i="21"/>
  <c r="I288" i="21"/>
  <c r="DI288" i="21" s="1"/>
  <c r="H288" i="21"/>
  <c r="G288" i="21"/>
  <c r="CG288" i="21" s="1"/>
  <c r="FX287" i="21"/>
  <c r="EA287" i="21"/>
  <c r="CT287" i="21"/>
  <c r="CG287" i="21"/>
  <c r="CF287" i="21"/>
  <c r="CH287" i="21" s="1"/>
  <c r="CC287" i="21"/>
  <c r="AB287" i="21"/>
  <c r="W287" i="21"/>
  <c r="U287" i="21"/>
  <c r="S287" i="21"/>
  <c r="P287" i="21"/>
  <c r="DY287" i="21" s="1"/>
  <c r="O287" i="21"/>
  <c r="N287" i="21"/>
  <c r="M287" i="21"/>
  <c r="L287" i="21"/>
  <c r="K287" i="21"/>
  <c r="J287" i="21"/>
  <c r="AS287" i="21" s="1"/>
  <c r="I287" i="21"/>
  <c r="DI287" i="21" s="1"/>
  <c r="H287" i="21"/>
  <c r="G287" i="21"/>
  <c r="EE286" i="21"/>
  <c r="DY286" i="21"/>
  <c r="DL286" i="21"/>
  <c r="CT286" i="21"/>
  <c r="CF286" i="21"/>
  <c r="BE286" i="21"/>
  <c r="BA286" i="21"/>
  <c r="AK286" i="21"/>
  <c r="AG286" i="21"/>
  <c r="AE286" i="21"/>
  <c r="EA286" i="21" s="1"/>
  <c r="AB286" i="21"/>
  <c r="W286" i="21"/>
  <c r="X286" i="21" s="1"/>
  <c r="U286" i="21"/>
  <c r="S286" i="21"/>
  <c r="AN286" i="21" s="1"/>
  <c r="Q286" i="21"/>
  <c r="T286" i="21" s="1"/>
  <c r="P286" i="21"/>
  <c r="O286" i="21"/>
  <c r="FX286" i="21" s="1"/>
  <c r="N286" i="21"/>
  <c r="L286" i="21"/>
  <c r="K286" i="21"/>
  <c r="J286" i="21"/>
  <c r="AS286" i="21" s="1"/>
  <c r="H286" i="21"/>
  <c r="I286" i="21" s="1"/>
  <c r="G286" i="21"/>
  <c r="CG286" i="21" s="1"/>
  <c r="CH286" i="21" s="1"/>
  <c r="FX285" i="21"/>
  <c r="DY285" i="21"/>
  <c r="CT285" i="21"/>
  <c r="CF285" i="21"/>
  <c r="CD285" i="21"/>
  <c r="CC285" i="21"/>
  <c r="CE285" i="21" s="1"/>
  <c r="AS285" i="21"/>
  <c r="AN285" i="21"/>
  <c r="AB285" i="21"/>
  <c r="W285" i="21"/>
  <c r="BA285" i="21" s="1"/>
  <c r="S285" i="21"/>
  <c r="Q285" i="21"/>
  <c r="FY285" i="21" s="1"/>
  <c r="P285" i="21"/>
  <c r="O285" i="21"/>
  <c r="N285" i="21"/>
  <c r="K285" i="21"/>
  <c r="J285" i="21"/>
  <c r="H285" i="21"/>
  <c r="G285" i="21"/>
  <c r="FZ284" i="21"/>
  <c r="FX284" i="21"/>
  <c r="CT284" i="21"/>
  <c r="CG284" i="21"/>
  <c r="CF284" i="21"/>
  <c r="CH284" i="21" s="1"/>
  <c r="CC284" i="21"/>
  <c r="AX284" i="21"/>
  <c r="AG284" i="21"/>
  <c r="AE284" i="21"/>
  <c r="AB284" i="21"/>
  <c r="X284" i="21"/>
  <c r="EL284" i="21" s="1"/>
  <c r="EK284" i="21" s="1"/>
  <c r="W284" i="21"/>
  <c r="U284" i="21"/>
  <c r="S284" i="21"/>
  <c r="P284" i="21"/>
  <c r="DY284" i="21" s="1"/>
  <c r="O284" i="21"/>
  <c r="N284" i="21"/>
  <c r="EE284" i="21" s="1"/>
  <c r="K284" i="21"/>
  <c r="J284" i="21"/>
  <c r="AS284" i="21" s="1"/>
  <c r="I284" i="21"/>
  <c r="H284" i="21"/>
  <c r="L284" i="21" s="1"/>
  <c r="G284" i="21"/>
  <c r="DL283" i="21"/>
  <c r="CT283" i="21"/>
  <c r="CG283" i="21"/>
  <c r="CF283" i="21"/>
  <c r="CD283" i="21"/>
  <c r="CC283" i="21"/>
  <c r="BE283" i="21"/>
  <c r="AM283" i="21"/>
  <c r="AK283" i="21"/>
  <c r="AB283" i="21"/>
  <c r="W283" i="21"/>
  <c r="S283" i="21"/>
  <c r="P283" i="21"/>
  <c r="O283" i="21"/>
  <c r="U283" i="21" s="1"/>
  <c r="N283" i="21"/>
  <c r="K283" i="21"/>
  <c r="J283" i="21"/>
  <c r="AS283" i="21" s="1"/>
  <c r="I283" i="21"/>
  <c r="DI283" i="21" s="1"/>
  <c r="H283" i="21"/>
  <c r="AN283" i="21" s="1"/>
  <c r="G283" i="21"/>
  <c r="FZ282" i="21"/>
  <c r="EA282" i="21"/>
  <c r="CT282" i="21"/>
  <c r="CF282" i="21"/>
  <c r="CH282" i="21" s="1"/>
  <c r="AX282" i="21"/>
  <c r="AG282" i="21"/>
  <c r="AE282" i="21"/>
  <c r="AB282" i="21"/>
  <c r="CM282" i="21" s="1"/>
  <c r="X282" i="21"/>
  <c r="EL282" i="21" s="1"/>
  <c r="EK282" i="21" s="1"/>
  <c r="W282" i="21"/>
  <c r="U282" i="21"/>
  <c r="S282" i="21"/>
  <c r="Q282" i="21"/>
  <c r="P282" i="21"/>
  <c r="DY282" i="21" s="1"/>
  <c r="O282" i="21"/>
  <c r="EE282" i="21" s="1"/>
  <c r="N282" i="21"/>
  <c r="L282" i="21"/>
  <c r="K282" i="21"/>
  <c r="J282" i="21"/>
  <c r="AS282" i="21" s="1"/>
  <c r="H282" i="21"/>
  <c r="I282" i="21" s="1"/>
  <c r="M282" i="21" s="1"/>
  <c r="G282" i="21"/>
  <c r="CG282" i="21" s="1"/>
  <c r="FZ281" i="21"/>
  <c r="EE281" i="21"/>
  <c r="EA281" i="21"/>
  <c r="CT281" i="21"/>
  <c r="CG281" i="21"/>
  <c r="CF281" i="21"/>
  <c r="CH281" i="21" s="1"/>
  <c r="CE281" i="21"/>
  <c r="CD281" i="21"/>
  <c r="CC281" i="21"/>
  <c r="AS281" i="21"/>
  <c r="AN281" i="21"/>
  <c r="AK281" i="21"/>
  <c r="AB281" i="21"/>
  <c r="W281" i="21"/>
  <c r="BA281" i="21" s="1"/>
  <c r="S281" i="21"/>
  <c r="Q281" i="21"/>
  <c r="P281" i="21"/>
  <c r="DY281" i="21" s="1"/>
  <c r="O281" i="21"/>
  <c r="U281" i="21" s="1"/>
  <c r="N281" i="21"/>
  <c r="L281" i="21"/>
  <c r="K281" i="21"/>
  <c r="J281" i="21"/>
  <c r="I281" i="21"/>
  <c r="DI281" i="21" s="1"/>
  <c r="H281" i="21"/>
  <c r="G281" i="21"/>
  <c r="FZ280" i="21"/>
  <c r="EA280" i="21"/>
  <c r="DY280" i="21"/>
  <c r="CT280" i="21"/>
  <c r="CF280" i="21"/>
  <c r="CD280" i="21"/>
  <c r="CE280" i="21" s="1"/>
  <c r="CC280" i="21"/>
  <c r="AK280" i="21"/>
  <c r="AG280" i="21"/>
  <c r="AE280" i="21"/>
  <c r="AB280" i="21"/>
  <c r="X280" i="21"/>
  <c r="Y280" i="21" s="1"/>
  <c r="W280" i="21"/>
  <c r="BA280" i="21" s="1"/>
  <c r="U280" i="21"/>
  <c r="AY280" i="21" s="1"/>
  <c r="S280" i="21"/>
  <c r="Q280" i="21"/>
  <c r="FY280" i="21" s="1"/>
  <c r="P280" i="21"/>
  <c r="O280" i="21"/>
  <c r="T280" i="21" s="1"/>
  <c r="N280" i="21"/>
  <c r="K280" i="21"/>
  <c r="J280" i="21"/>
  <c r="AS280" i="21" s="1"/>
  <c r="H280" i="21"/>
  <c r="G280" i="21"/>
  <c r="CG280" i="21" s="1"/>
  <c r="CT279" i="21"/>
  <c r="CC279" i="21"/>
  <c r="AB279" i="21"/>
  <c r="X279" i="21"/>
  <c r="EL279" i="21" s="1"/>
  <c r="EK279" i="21" s="1"/>
  <c r="W279" i="21"/>
  <c r="BA279" i="21" s="1"/>
  <c r="S279" i="21"/>
  <c r="P279" i="21"/>
  <c r="O279" i="21"/>
  <c r="N279" i="21"/>
  <c r="K279" i="21"/>
  <c r="J279" i="21"/>
  <c r="H279" i="21"/>
  <c r="G279" i="21"/>
  <c r="CG279" i="21" s="1"/>
  <c r="FZ278" i="21"/>
  <c r="FY278" i="21" s="1"/>
  <c r="EE278" i="21"/>
  <c r="DY278" i="21"/>
  <c r="CT278" i="21"/>
  <c r="CG278" i="21"/>
  <c r="CF278" i="21"/>
  <c r="CC278" i="21"/>
  <c r="BR278" i="21"/>
  <c r="DZ278" i="21" s="1"/>
  <c r="AS278" i="21"/>
  <c r="AN278" i="21"/>
  <c r="AM278" i="21"/>
  <c r="AK278" i="21"/>
  <c r="AH278" i="21"/>
  <c r="AG278" i="21"/>
  <c r="AE278" i="21"/>
  <c r="AB278" i="21"/>
  <c r="X278" i="21"/>
  <c r="W278" i="21"/>
  <c r="BA278" i="21" s="1"/>
  <c r="S278" i="21"/>
  <c r="Q278" i="21"/>
  <c r="AL278" i="21" s="1"/>
  <c r="P278" i="21"/>
  <c r="O278" i="21"/>
  <c r="N278" i="21"/>
  <c r="L278" i="21"/>
  <c r="K278" i="21"/>
  <c r="J278" i="21"/>
  <c r="H278" i="21"/>
  <c r="I278" i="21" s="1"/>
  <c r="DI278" i="21" s="1"/>
  <c r="G278" i="21"/>
  <c r="FZ277" i="21"/>
  <c r="FX277" i="21"/>
  <c r="DY277" i="21"/>
  <c r="DL277" i="21"/>
  <c r="CT277" i="21"/>
  <c r="CG277" i="21"/>
  <c r="CF277" i="21"/>
  <c r="CH277" i="21" s="1"/>
  <c r="BZ277" i="21"/>
  <c r="CB277" i="21" s="1"/>
  <c r="AS277" i="21"/>
  <c r="AN277" i="21"/>
  <c r="AM277" i="21"/>
  <c r="AK277" i="21"/>
  <c r="AG277" i="21"/>
  <c r="AE277" i="21"/>
  <c r="AB277" i="21"/>
  <c r="X277" i="21"/>
  <c r="EL277" i="21" s="1"/>
  <c r="EK277" i="21" s="1"/>
  <c r="W277" i="21"/>
  <c r="BA277" i="21" s="1"/>
  <c r="U277" i="21"/>
  <c r="S277" i="21"/>
  <c r="P277" i="21"/>
  <c r="O277" i="21"/>
  <c r="N277" i="21"/>
  <c r="Q277" i="21" s="1"/>
  <c r="CA277" i="21" s="1"/>
  <c r="K277" i="21"/>
  <c r="J277" i="21"/>
  <c r="H277" i="21"/>
  <c r="G277" i="21"/>
  <c r="FX276" i="21"/>
  <c r="DY276" i="21"/>
  <c r="DL276" i="21"/>
  <c r="CT276" i="21"/>
  <c r="CD276" i="21"/>
  <c r="CC276" i="21"/>
  <c r="BA276" i="21"/>
  <c r="AG276" i="21"/>
  <c r="AE276" i="21"/>
  <c r="AB276" i="21"/>
  <c r="W276" i="21"/>
  <c r="X276" i="21" s="1"/>
  <c r="U276" i="21"/>
  <c r="S276" i="21"/>
  <c r="P276" i="21"/>
  <c r="O276" i="21"/>
  <c r="N276" i="21"/>
  <c r="L276" i="21"/>
  <c r="K276" i="21"/>
  <c r="J276" i="21"/>
  <c r="AS276" i="21" s="1"/>
  <c r="H276" i="21"/>
  <c r="AK276" i="21" s="1"/>
  <c r="G276" i="21"/>
  <c r="CG276" i="21" s="1"/>
  <c r="FX275" i="21"/>
  <c r="DL275" i="21"/>
  <c r="CT275" i="21"/>
  <c r="CG275" i="21"/>
  <c r="CD275" i="21"/>
  <c r="CC275" i="21"/>
  <c r="BZ275" i="21"/>
  <c r="BE275" i="21"/>
  <c r="AK275" i="21"/>
  <c r="AB275" i="21"/>
  <c r="W275" i="21"/>
  <c r="BA275" i="21" s="1"/>
  <c r="U275" i="21"/>
  <c r="S275" i="21"/>
  <c r="Q275" i="21"/>
  <c r="FY275" i="21" s="1"/>
  <c r="GA275" i="21" s="1"/>
  <c r="P275" i="21"/>
  <c r="DY275" i="21" s="1"/>
  <c r="O275" i="21"/>
  <c r="N275" i="21"/>
  <c r="EE275" i="21" s="1"/>
  <c r="L275" i="21"/>
  <c r="K275" i="21"/>
  <c r="CF275" i="21" s="1"/>
  <c r="CH275" i="21" s="1"/>
  <c r="J275" i="21"/>
  <c r="I275" i="21"/>
  <c r="M275" i="21" s="1"/>
  <c r="H275" i="21"/>
  <c r="G275" i="21"/>
  <c r="FX274" i="21"/>
  <c r="DY274" i="21"/>
  <c r="DL274" i="21"/>
  <c r="CT274" i="21"/>
  <c r="CG274" i="21"/>
  <c r="CH274" i="21" s="1"/>
  <c r="AN274" i="21"/>
  <c r="AM274" i="21"/>
  <c r="AK274" i="21"/>
  <c r="AH274" i="21"/>
  <c r="AG274" i="21"/>
  <c r="AE274" i="21"/>
  <c r="AB274" i="21"/>
  <c r="W274" i="21"/>
  <c r="X274" i="21" s="1"/>
  <c r="U274" i="21"/>
  <c r="S274" i="21"/>
  <c r="Q274" i="21"/>
  <c r="T274" i="21" s="1"/>
  <c r="P274" i="21"/>
  <c r="O274" i="21"/>
  <c r="N274" i="21"/>
  <c r="EE274" i="21" s="1"/>
  <c r="L274" i="21"/>
  <c r="K274" i="21"/>
  <c r="CF274" i="21" s="1"/>
  <c r="J274" i="21"/>
  <c r="I274" i="21"/>
  <c r="H274" i="21"/>
  <c r="G274" i="21"/>
  <c r="FX273" i="21"/>
  <c r="CT273" i="21"/>
  <c r="CG273" i="21"/>
  <c r="CF273" i="21"/>
  <c r="CH273" i="21" s="1"/>
  <c r="CD273" i="21"/>
  <c r="CC273" i="21"/>
  <c r="BA273" i="21"/>
  <c r="AG273" i="21"/>
  <c r="AE273" i="21"/>
  <c r="AB273" i="21"/>
  <c r="W273" i="21"/>
  <c r="X273" i="21" s="1"/>
  <c r="EL273" i="21" s="1"/>
  <c r="S273" i="21"/>
  <c r="P273" i="21"/>
  <c r="DY273" i="21" s="1"/>
  <c r="O273" i="21"/>
  <c r="N273" i="21"/>
  <c r="L273" i="21"/>
  <c r="K273" i="21"/>
  <c r="J273" i="21"/>
  <c r="H273" i="21"/>
  <c r="AK273" i="21" s="1"/>
  <c r="G273" i="21"/>
  <c r="EE272" i="21"/>
  <c r="CT272" i="21"/>
  <c r="CG272" i="21"/>
  <c r="CC272" i="21"/>
  <c r="AS272" i="21"/>
  <c r="AN272" i="21"/>
  <c r="AM272" i="21"/>
  <c r="AB272" i="21"/>
  <c r="X272" i="21"/>
  <c r="EL272" i="21" s="1"/>
  <c r="W272" i="21"/>
  <c r="BA272" i="21" s="1"/>
  <c r="S272" i="21"/>
  <c r="P272" i="21"/>
  <c r="O272" i="21"/>
  <c r="FX272" i="21" s="1"/>
  <c r="N272" i="21"/>
  <c r="K272" i="21"/>
  <c r="J272" i="21"/>
  <c r="H272" i="21"/>
  <c r="G272" i="21"/>
  <c r="FZ271" i="21"/>
  <c r="FX271" i="21"/>
  <c r="ET271" i="21"/>
  <c r="EA271" i="21"/>
  <c r="CT271" i="21"/>
  <c r="CC271" i="21"/>
  <c r="AS271" i="21"/>
  <c r="AK271" i="21"/>
  <c r="AH271" i="21"/>
  <c r="AG271" i="21"/>
  <c r="AE271" i="21"/>
  <c r="AB271" i="21"/>
  <c r="W271" i="21"/>
  <c r="X271" i="21" s="1"/>
  <c r="EL271" i="21" s="1"/>
  <c r="EK271" i="21" s="1"/>
  <c r="U271" i="21"/>
  <c r="S271" i="21"/>
  <c r="Q271" i="21"/>
  <c r="P271" i="21"/>
  <c r="DY271" i="21" s="1"/>
  <c r="O271" i="21"/>
  <c r="BE271" i="21" s="1"/>
  <c r="N271" i="21"/>
  <c r="EE271" i="21" s="1"/>
  <c r="K271" i="21"/>
  <c r="J271" i="21"/>
  <c r="I271" i="21"/>
  <c r="DI271" i="21" s="1"/>
  <c r="H271" i="21"/>
  <c r="G271" i="21"/>
  <c r="CG271" i="21" s="1"/>
  <c r="FX270" i="21"/>
  <c r="DL270" i="21"/>
  <c r="CT270" i="21"/>
  <c r="CG270" i="21"/>
  <c r="CC270" i="21"/>
  <c r="BE270" i="21"/>
  <c r="AS270" i="21"/>
  <c r="AK270" i="21"/>
  <c r="AG270" i="21"/>
  <c r="AE270" i="21"/>
  <c r="AB270" i="21"/>
  <c r="W270" i="21"/>
  <c r="X270" i="21" s="1"/>
  <c r="Y270" i="21" s="1"/>
  <c r="U270" i="21"/>
  <c r="S270" i="21"/>
  <c r="P270" i="21"/>
  <c r="DY270" i="21" s="1"/>
  <c r="O270" i="21"/>
  <c r="N270" i="21"/>
  <c r="K270" i="21"/>
  <c r="L270" i="21" s="1"/>
  <c r="J270" i="21"/>
  <c r="AM270" i="21" s="1"/>
  <c r="I270" i="21"/>
  <c r="DI270" i="21" s="1"/>
  <c r="H270" i="21"/>
  <c r="G270" i="21"/>
  <c r="DY269" i="21"/>
  <c r="DL269" i="21"/>
  <c r="CT269" i="21"/>
  <c r="CG269" i="21"/>
  <c r="CF269" i="21"/>
  <c r="CH269" i="21" s="1"/>
  <c r="AK269" i="21"/>
  <c r="AG269" i="21"/>
  <c r="CC269" i="21" s="1"/>
  <c r="AE269" i="21"/>
  <c r="AB269" i="21"/>
  <c r="W269" i="21"/>
  <c r="U269" i="21"/>
  <c r="S269" i="21"/>
  <c r="P269" i="21"/>
  <c r="O269" i="21"/>
  <c r="FX269" i="21" s="1"/>
  <c r="N269" i="21"/>
  <c r="Q269" i="21" s="1"/>
  <c r="T269" i="21" s="1"/>
  <c r="L269" i="21"/>
  <c r="K269" i="21"/>
  <c r="J269" i="21"/>
  <c r="AS269" i="21" s="1"/>
  <c r="I269" i="21"/>
  <c r="M269" i="21" s="1"/>
  <c r="H269" i="21"/>
  <c r="G269" i="21"/>
  <c r="FZ268" i="21"/>
  <c r="FX268" i="21"/>
  <c r="EE268" i="21"/>
  <c r="EA268" i="21"/>
  <c r="DY268" i="21"/>
  <c r="DL268" i="21"/>
  <c r="CT268" i="21"/>
  <c r="CD268" i="21"/>
  <c r="CE268" i="21" s="1"/>
  <c r="CC268" i="21"/>
  <c r="BE268" i="21"/>
  <c r="AS268" i="21"/>
  <c r="AN268" i="21"/>
  <c r="AM268" i="21"/>
  <c r="AL268" i="21"/>
  <c r="AK268" i="21"/>
  <c r="AB268" i="21"/>
  <c r="W268" i="21"/>
  <c r="BA268" i="21" s="1"/>
  <c r="U268" i="21"/>
  <c r="T268" i="21"/>
  <c r="S268" i="21"/>
  <c r="Q268" i="21"/>
  <c r="CA268" i="21" s="1"/>
  <c r="P268" i="21"/>
  <c r="O268" i="21"/>
  <c r="N268" i="21"/>
  <c r="L268" i="21"/>
  <c r="K268" i="21"/>
  <c r="J268" i="21"/>
  <c r="I268" i="21"/>
  <c r="H268" i="21"/>
  <c r="G268" i="21"/>
  <c r="FX267" i="21"/>
  <c r="CT267" i="21"/>
  <c r="CG267" i="21"/>
  <c r="BA267" i="21"/>
  <c r="AG267" i="21"/>
  <c r="AE267" i="21"/>
  <c r="AB267" i="21"/>
  <c r="X267" i="21"/>
  <c r="EL267" i="21" s="1"/>
  <c r="EK267" i="21" s="1"/>
  <c r="W267" i="21"/>
  <c r="S267" i="21"/>
  <c r="Q267" i="21"/>
  <c r="P267" i="21"/>
  <c r="O267" i="21"/>
  <c r="N267" i="21"/>
  <c r="K267" i="21"/>
  <c r="J267" i="21"/>
  <c r="I267" i="21"/>
  <c r="H267" i="21"/>
  <c r="G267" i="21"/>
  <c r="EE266" i="21"/>
  <c r="EA266" i="21"/>
  <c r="CT266" i="21"/>
  <c r="CG266" i="21"/>
  <c r="CC266" i="21"/>
  <c r="AS266" i="21"/>
  <c r="AB266" i="21"/>
  <c r="X266" i="21"/>
  <c r="EL266" i="21" s="1"/>
  <c r="EK266" i="21" s="1"/>
  <c r="W266" i="21"/>
  <c r="BA266" i="21" s="1"/>
  <c r="BB266" i="21" s="1"/>
  <c r="S266" i="21"/>
  <c r="P266" i="21"/>
  <c r="O266" i="21"/>
  <c r="FX266" i="21" s="1"/>
  <c r="N266" i="21"/>
  <c r="K266" i="21"/>
  <c r="J266" i="21"/>
  <c r="I266" i="21"/>
  <c r="H266" i="21"/>
  <c r="G266" i="21"/>
  <c r="FZ265" i="21"/>
  <c r="CT265" i="21"/>
  <c r="BE265" i="21"/>
  <c r="AG265" i="21"/>
  <c r="AE265" i="21"/>
  <c r="AB265" i="21"/>
  <c r="W265" i="21"/>
  <c r="BA265" i="21" s="1"/>
  <c r="S265" i="21"/>
  <c r="P265" i="21"/>
  <c r="DY265" i="21" s="1"/>
  <c r="O265" i="21"/>
  <c r="N265" i="21"/>
  <c r="K265" i="21"/>
  <c r="J265" i="21"/>
  <c r="H265" i="21"/>
  <c r="G265" i="21"/>
  <c r="CG265" i="21" s="1"/>
  <c r="FZ264" i="21"/>
  <c r="EE264" i="21"/>
  <c r="EA264" i="21"/>
  <c r="DL264" i="21"/>
  <c r="CT264" i="21"/>
  <c r="CF264" i="21"/>
  <c r="AK264" i="21"/>
  <c r="AG264" i="21"/>
  <c r="AE264" i="21"/>
  <c r="CD264" i="21" s="1"/>
  <c r="AB264" i="21"/>
  <c r="W264" i="21"/>
  <c r="U264" i="21"/>
  <c r="S264" i="21"/>
  <c r="P264" i="21"/>
  <c r="DY264" i="21" s="1"/>
  <c r="O264" i="21"/>
  <c r="N264" i="21"/>
  <c r="Q264" i="21" s="1"/>
  <c r="K264" i="21"/>
  <c r="J264" i="21"/>
  <c r="I264" i="21"/>
  <c r="H264" i="21"/>
  <c r="G264" i="21"/>
  <c r="CG264" i="21" s="1"/>
  <c r="DL263" i="21"/>
  <c r="CT263" i="21"/>
  <c r="CD263" i="21"/>
  <c r="CE263" i="21" s="1"/>
  <c r="CC263" i="21"/>
  <c r="BA263" i="21"/>
  <c r="BB263" i="21" s="1"/>
  <c r="AG263" i="21"/>
  <c r="AE263" i="21"/>
  <c r="AB263" i="21"/>
  <c r="W263" i="21"/>
  <c r="X263" i="21" s="1"/>
  <c r="S263" i="21"/>
  <c r="P263" i="21"/>
  <c r="DY263" i="21" s="1"/>
  <c r="O263" i="21"/>
  <c r="N263" i="21"/>
  <c r="K263" i="21"/>
  <c r="L263" i="21" s="1"/>
  <c r="J263" i="21"/>
  <c r="AS263" i="21" s="1"/>
  <c r="I263" i="21"/>
  <c r="M263" i="21" s="1"/>
  <c r="H263" i="21"/>
  <c r="AK263" i="21" s="1"/>
  <c r="G263" i="21"/>
  <c r="CG263" i="21" s="1"/>
  <c r="CT262" i="21"/>
  <c r="BE262" i="21"/>
  <c r="AS262" i="21"/>
  <c r="AL262" i="21"/>
  <c r="AK262" i="21"/>
  <c r="AG262" i="21"/>
  <c r="AE262" i="21"/>
  <c r="AB262" i="21"/>
  <c r="W262" i="21"/>
  <c r="BA262" i="21" s="1"/>
  <c r="S262" i="21"/>
  <c r="Q262" i="21"/>
  <c r="CA262" i="21" s="1"/>
  <c r="P262" i="21"/>
  <c r="DY262" i="21" s="1"/>
  <c r="O262" i="21"/>
  <c r="N262" i="21"/>
  <c r="EE262" i="21" s="1"/>
  <c r="L262" i="21"/>
  <c r="K262" i="21"/>
  <c r="J262" i="21"/>
  <c r="H262" i="21"/>
  <c r="G262" i="21"/>
  <c r="CG262" i="21" s="1"/>
  <c r="FZ261" i="21"/>
  <c r="EA261" i="21"/>
  <c r="DL261" i="21"/>
  <c r="CT261" i="21"/>
  <c r="CF261" i="21"/>
  <c r="CH261" i="21" s="1"/>
  <c r="CD261" i="21"/>
  <c r="CE261" i="21" s="1"/>
  <c r="CC261" i="21"/>
  <c r="CA261" i="21"/>
  <c r="AM261" i="21"/>
  <c r="AK261" i="21"/>
  <c r="AB261" i="21"/>
  <c r="W261" i="21"/>
  <c r="S261" i="21"/>
  <c r="AN261" i="21" s="1"/>
  <c r="P261" i="21"/>
  <c r="DY261" i="21" s="1"/>
  <c r="O261" i="21"/>
  <c r="FX261" i="21" s="1"/>
  <c r="N261" i="21"/>
  <c r="Q261" i="21" s="1"/>
  <c r="BZ261" i="21" s="1"/>
  <c r="CB261" i="21" s="1"/>
  <c r="L261" i="21"/>
  <c r="K261" i="21"/>
  <c r="J261" i="21"/>
  <c r="AS261" i="21" s="1"/>
  <c r="H261" i="21"/>
  <c r="G261" i="21"/>
  <c r="CG261" i="21" s="1"/>
  <c r="FX260" i="21"/>
  <c r="DZ260" i="21"/>
  <c r="DY260" i="21"/>
  <c r="DL260" i="21"/>
  <c r="CT260" i="21"/>
  <c r="CF260" i="21"/>
  <c r="CD260" i="21"/>
  <c r="CE260" i="21" s="1"/>
  <c r="CC260" i="21"/>
  <c r="CA260" i="21"/>
  <c r="BR260" i="21"/>
  <c r="AS260" i="21"/>
  <c r="AN260" i="21"/>
  <c r="AM260" i="21"/>
  <c r="AK260" i="21"/>
  <c r="AB260" i="21"/>
  <c r="W260" i="21"/>
  <c r="X260" i="21" s="1"/>
  <c r="EL260" i="21" s="1"/>
  <c r="EK260" i="21" s="1"/>
  <c r="U260" i="21"/>
  <c r="S260" i="21"/>
  <c r="Q260" i="21"/>
  <c r="FY260" i="21" s="1"/>
  <c r="P260" i="21"/>
  <c r="O260" i="21"/>
  <c r="T260" i="21" s="1"/>
  <c r="N260" i="21"/>
  <c r="EE260" i="21" s="1"/>
  <c r="L260" i="21"/>
  <c r="K260" i="21"/>
  <c r="FZ260" i="21" s="1"/>
  <c r="J260" i="21"/>
  <c r="H260" i="21"/>
  <c r="G260" i="21"/>
  <c r="CG260" i="21" s="1"/>
  <c r="FX259" i="21"/>
  <c r="CT259" i="21"/>
  <c r="CD259" i="21"/>
  <c r="BE259" i="21"/>
  <c r="BA259" i="21"/>
  <c r="AS259" i="21"/>
  <c r="AG259" i="21"/>
  <c r="CC259" i="21" s="1"/>
  <c r="CE259" i="21" s="1"/>
  <c r="AE259" i="21"/>
  <c r="AB259" i="21"/>
  <c r="W259" i="21"/>
  <c r="X259" i="21" s="1"/>
  <c r="EL259" i="21" s="1"/>
  <c r="U259" i="21"/>
  <c r="S259" i="21"/>
  <c r="P259" i="21"/>
  <c r="O259" i="21"/>
  <c r="N259" i="21"/>
  <c r="L259" i="21"/>
  <c r="K259" i="21"/>
  <c r="FZ259" i="21" s="1"/>
  <c r="J259" i="21"/>
  <c r="H259" i="21"/>
  <c r="G259" i="21"/>
  <c r="CG259" i="21" s="1"/>
  <c r="EE258" i="21"/>
  <c r="DY258" i="21"/>
  <c r="DL258" i="21"/>
  <c r="CT258" i="21"/>
  <c r="CG258" i="21"/>
  <c r="CH258" i="21" s="1"/>
  <c r="CF258" i="21"/>
  <c r="AS258" i="21"/>
  <c r="AK258" i="21"/>
  <c r="AG258" i="21"/>
  <c r="AE258" i="21"/>
  <c r="AB258" i="21"/>
  <c r="W258" i="21"/>
  <c r="S258" i="21"/>
  <c r="P258" i="21"/>
  <c r="O258" i="21"/>
  <c r="N258" i="21"/>
  <c r="M258" i="21"/>
  <c r="K258" i="21"/>
  <c r="J258" i="21"/>
  <c r="AM258" i="21" s="1"/>
  <c r="I258" i="21"/>
  <c r="DI258" i="21" s="1"/>
  <c r="H258" i="21"/>
  <c r="G258" i="21"/>
  <c r="CT257" i="21"/>
  <c r="AS257" i="21"/>
  <c r="AN257" i="21"/>
  <c r="AG257" i="21"/>
  <c r="AE257" i="21"/>
  <c r="AB257" i="21"/>
  <c r="W257" i="21"/>
  <c r="X257" i="21" s="1"/>
  <c r="EL257" i="21" s="1"/>
  <c r="EK257" i="21" s="1"/>
  <c r="S257" i="21"/>
  <c r="P257" i="21"/>
  <c r="O257" i="21"/>
  <c r="N257" i="21"/>
  <c r="K257" i="21"/>
  <c r="J257" i="21"/>
  <c r="H257" i="21"/>
  <c r="G257" i="21"/>
  <c r="CG257" i="21" s="1"/>
  <c r="FZ256" i="21"/>
  <c r="FX256" i="21"/>
  <c r="EE256" i="21"/>
  <c r="EA256" i="21"/>
  <c r="DL256" i="21"/>
  <c r="DI256" i="21"/>
  <c r="CT256" i="21"/>
  <c r="CF256" i="21"/>
  <c r="CH256" i="21" s="1"/>
  <c r="CD256" i="21"/>
  <c r="CE256" i="21" s="1"/>
  <c r="BE256" i="21"/>
  <c r="BF256" i="21" s="1"/>
  <c r="CO256" i="21" s="1"/>
  <c r="AN256" i="21"/>
  <c r="AG256" i="21"/>
  <c r="CC256" i="21" s="1"/>
  <c r="AE256" i="21"/>
  <c r="AB256" i="21"/>
  <c r="W256" i="21"/>
  <c r="BA256" i="21" s="1"/>
  <c r="U256" i="21"/>
  <c r="S256" i="21"/>
  <c r="Q256" i="21"/>
  <c r="P256" i="21"/>
  <c r="DY256" i="21" s="1"/>
  <c r="O256" i="21"/>
  <c r="N256" i="21"/>
  <c r="L256" i="21"/>
  <c r="K256" i="21"/>
  <c r="J256" i="21"/>
  <c r="AS256" i="21" s="1"/>
  <c r="I256" i="21"/>
  <c r="M256" i="21" s="1"/>
  <c r="H256" i="21"/>
  <c r="AK256" i="21" s="1"/>
  <c r="G256" i="21"/>
  <c r="CG256" i="21" s="1"/>
  <c r="DL255" i="21"/>
  <c r="CT255" i="21"/>
  <c r="CG255" i="21"/>
  <c r="CC255" i="21"/>
  <c r="BA255" i="21"/>
  <c r="BB255" i="21" s="1"/>
  <c r="AB255" i="21"/>
  <c r="W255" i="21"/>
  <c r="X255" i="21" s="1"/>
  <c r="EL255" i="21" s="1"/>
  <c r="EK255" i="21" s="1"/>
  <c r="U255" i="21"/>
  <c r="S255" i="21"/>
  <c r="P255" i="21"/>
  <c r="O255" i="21"/>
  <c r="N255" i="21"/>
  <c r="L255" i="21"/>
  <c r="K255" i="21"/>
  <c r="J255" i="21"/>
  <c r="I255" i="21"/>
  <c r="M255" i="21" s="1"/>
  <c r="H255" i="21"/>
  <c r="G255" i="21"/>
  <c r="FX254" i="21"/>
  <c r="DY254" i="21"/>
  <c r="CT254" i="21"/>
  <c r="CG254" i="21"/>
  <c r="CF254" i="21"/>
  <c r="CH254" i="21" s="1"/>
  <c r="CC254" i="21"/>
  <c r="BA254" i="21"/>
  <c r="BB254" i="21" s="1"/>
  <c r="AS254" i="21"/>
  <c r="AN254" i="21"/>
  <c r="AM254" i="21"/>
  <c r="AK254" i="21"/>
  <c r="AB254" i="21"/>
  <c r="W254" i="21"/>
  <c r="X254" i="21" s="1"/>
  <c r="S254" i="21"/>
  <c r="P254" i="21"/>
  <c r="O254" i="21"/>
  <c r="N254" i="21"/>
  <c r="L254" i="21"/>
  <c r="K254" i="21"/>
  <c r="J254" i="21"/>
  <c r="I254" i="21"/>
  <c r="DI254" i="21" s="1"/>
  <c r="H254" i="21"/>
  <c r="G254" i="21"/>
  <c r="FZ253" i="21"/>
  <c r="FX253" i="21"/>
  <c r="DL253" i="21"/>
  <c r="DI253" i="21"/>
  <c r="CT253" i="21"/>
  <c r="CF253" i="21"/>
  <c r="CD253" i="21"/>
  <c r="CC253" i="21"/>
  <c r="AM253" i="21"/>
  <c r="AG253" i="21"/>
  <c r="AE253" i="21"/>
  <c r="EA253" i="21" s="1"/>
  <c r="AB253" i="21"/>
  <c r="W253" i="21"/>
  <c r="S253" i="21"/>
  <c r="Q253" i="21"/>
  <c r="FY253" i="21" s="1"/>
  <c r="P253" i="21"/>
  <c r="DY253" i="21" s="1"/>
  <c r="O253" i="21"/>
  <c r="N253" i="21"/>
  <c r="EE253" i="21" s="1"/>
  <c r="K253" i="21"/>
  <c r="J253" i="21"/>
  <c r="AS253" i="21" s="1"/>
  <c r="I253" i="21"/>
  <c r="M253" i="21" s="1"/>
  <c r="H253" i="21"/>
  <c r="G253" i="21"/>
  <c r="CG253" i="21" s="1"/>
  <c r="FX252" i="21"/>
  <c r="DL252" i="21"/>
  <c r="DI252" i="21"/>
  <c r="CT252" i="21"/>
  <c r="CC252" i="21"/>
  <c r="BA252" i="21"/>
  <c r="AS252" i="21"/>
  <c r="AG252" i="21"/>
  <c r="AE252" i="21"/>
  <c r="AB252" i="21"/>
  <c r="W252" i="21"/>
  <c r="X252" i="21" s="1"/>
  <c r="EL252" i="21" s="1"/>
  <c r="EK252" i="21" s="1"/>
  <c r="U252" i="21"/>
  <c r="S252" i="21"/>
  <c r="Q252" i="21"/>
  <c r="T252" i="21" s="1"/>
  <c r="P252" i="21"/>
  <c r="O252" i="21"/>
  <c r="N252" i="21"/>
  <c r="L252" i="21"/>
  <c r="K252" i="21"/>
  <c r="J252" i="21"/>
  <c r="I252" i="21"/>
  <c r="M252" i="21" s="1"/>
  <c r="H252" i="21"/>
  <c r="AK252" i="21" s="1"/>
  <c r="G252" i="21"/>
  <c r="CG252" i="21" s="1"/>
  <c r="EA251" i="21"/>
  <c r="DI251" i="21"/>
  <c r="CT251" i="21"/>
  <c r="AX251" i="21"/>
  <c r="CM251" i="21" s="1"/>
  <c r="AS251" i="21"/>
  <c r="AK251" i="21"/>
  <c r="AG251" i="21"/>
  <c r="AE251" i="21"/>
  <c r="AB251" i="21"/>
  <c r="W251" i="21"/>
  <c r="BA251" i="21" s="1"/>
  <c r="S251" i="21"/>
  <c r="P251" i="21"/>
  <c r="O251" i="21"/>
  <c r="N251" i="21"/>
  <c r="Q251" i="21" s="1"/>
  <c r="AL251" i="21" s="1"/>
  <c r="K251" i="21"/>
  <c r="J251" i="21"/>
  <c r="I251" i="21"/>
  <c r="H251" i="21"/>
  <c r="G251" i="21"/>
  <c r="CG251" i="21" s="1"/>
  <c r="FZ250" i="21"/>
  <c r="EL250" i="21"/>
  <c r="EK250" i="21" s="1"/>
  <c r="DL250" i="21"/>
  <c r="CT250" i="21"/>
  <c r="CF250" i="21"/>
  <c r="CH250" i="21" s="1"/>
  <c r="CD250" i="21"/>
  <c r="CC250" i="21"/>
  <c r="BA250" i="21"/>
  <c r="AM250" i="21"/>
  <c r="AK250" i="21"/>
  <c r="AG250" i="21"/>
  <c r="AE250" i="21"/>
  <c r="EA250" i="21" s="1"/>
  <c r="AB250" i="21"/>
  <c r="W250" i="21"/>
  <c r="X250" i="21" s="1"/>
  <c r="Y250" i="21" s="1"/>
  <c r="U250" i="21"/>
  <c r="S250" i="21"/>
  <c r="Q250" i="21"/>
  <c r="P250" i="21"/>
  <c r="DY250" i="21" s="1"/>
  <c r="O250" i="21"/>
  <c r="N250" i="21"/>
  <c r="EE250" i="21" s="1"/>
  <c r="K250" i="21"/>
  <c r="J250" i="21"/>
  <c r="AS250" i="21" s="1"/>
  <c r="H250" i="21"/>
  <c r="G250" i="21"/>
  <c r="CG250" i="21" s="1"/>
  <c r="FX249" i="21"/>
  <c r="CT249" i="21"/>
  <c r="CC249" i="21"/>
  <c r="AB249" i="21"/>
  <c r="W249" i="21"/>
  <c r="S249" i="21"/>
  <c r="P249" i="21"/>
  <c r="O249" i="21"/>
  <c r="N249" i="21"/>
  <c r="K249" i="21"/>
  <c r="J249" i="21"/>
  <c r="I249" i="21"/>
  <c r="DI249" i="21" s="1"/>
  <c r="H249" i="21"/>
  <c r="G249" i="21"/>
  <c r="CG249" i="21" s="1"/>
  <c r="EE248" i="21"/>
  <c r="CT248" i="21"/>
  <c r="CC248" i="21"/>
  <c r="AS248" i="21"/>
  <c r="AB248" i="21"/>
  <c r="W248" i="21"/>
  <c r="X248" i="21" s="1"/>
  <c r="EL248" i="21" s="1"/>
  <c r="EK248" i="21" s="1"/>
  <c r="S248" i="21"/>
  <c r="P248" i="21"/>
  <c r="DY248" i="21" s="1"/>
  <c r="O248" i="21"/>
  <c r="N248" i="21"/>
  <c r="Q248" i="21" s="1"/>
  <c r="T248" i="21" s="1"/>
  <c r="K248" i="21"/>
  <c r="J248" i="21"/>
  <c r="H248" i="21"/>
  <c r="G248" i="21"/>
  <c r="CG248" i="21" s="1"/>
  <c r="FZ247" i="21"/>
  <c r="DL247" i="21"/>
  <c r="DH247" i="21"/>
  <c r="CG247" i="21"/>
  <c r="CF247" i="21"/>
  <c r="CH247" i="21" s="1"/>
  <c r="CD247" i="21"/>
  <c r="CE247" i="21" s="1"/>
  <c r="AS247" i="21"/>
  <c r="AM247" i="21"/>
  <c r="AK247" i="21"/>
  <c r="AI247" i="21"/>
  <c r="EA247" i="21" s="1"/>
  <c r="AB247" i="21"/>
  <c r="W247" i="21"/>
  <c r="BA247" i="21" s="1"/>
  <c r="V247" i="21"/>
  <c r="Q247" i="21"/>
  <c r="CA247" i="21" s="1"/>
  <c r="O247" i="21"/>
  <c r="L247" i="21"/>
  <c r="I247" i="21"/>
  <c r="FZ246" i="21"/>
  <c r="DL246" i="21"/>
  <c r="DH246" i="21"/>
  <c r="CG246" i="21"/>
  <c r="CF246" i="21"/>
  <c r="CH246" i="21" s="1"/>
  <c r="CD246" i="21"/>
  <c r="CE246" i="21" s="1"/>
  <c r="AS246" i="21"/>
  <c r="AM246" i="21"/>
  <c r="AK246" i="21"/>
  <c r="AI246" i="21"/>
  <c r="EA246" i="21" s="1"/>
  <c r="AB246" i="21"/>
  <c r="X246" i="21"/>
  <c r="Y246" i="21" s="1"/>
  <c r="BI246" i="21" s="1"/>
  <c r="W246" i="21"/>
  <c r="BA246" i="21" s="1"/>
  <c r="BB246" i="21" s="1"/>
  <c r="V246" i="21"/>
  <c r="Q246" i="21"/>
  <c r="CA246" i="21" s="1"/>
  <c r="O246" i="21"/>
  <c r="BE246" i="21" s="1"/>
  <c r="L246" i="21"/>
  <c r="I246" i="21"/>
  <c r="DI246" i="21" s="1"/>
  <c r="FZ245" i="21"/>
  <c r="EE245" i="21"/>
  <c r="EA245" i="21"/>
  <c r="DL245" i="21"/>
  <c r="DH245" i="21"/>
  <c r="CG245" i="21"/>
  <c r="CF245" i="21"/>
  <c r="CH245" i="21" s="1"/>
  <c r="CD245" i="21"/>
  <c r="CE245" i="21" s="1"/>
  <c r="AS245" i="21"/>
  <c r="AM245" i="21"/>
  <c r="AK245" i="21"/>
  <c r="AI245" i="21"/>
  <c r="AB245" i="21"/>
  <c r="W245" i="21"/>
  <c r="BA245" i="21" s="1"/>
  <c r="V245" i="21"/>
  <c r="Q245" i="21"/>
  <c r="CA245" i="21" s="1"/>
  <c r="O245" i="21"/>
  <c r="U245" i="21" s="1"/>
  <c r="L245" i="21"/>
  <c r="I245" i="21"/>
  <c r="M245" i="21" s="1"/>
  <c r="FZ244" i="21"/>
  <c r="EL244" i="21"/>
  <c r="EK244" i="21" s="1"/>
  <c r="DL244" i="21"/>
  <c r="DH244" i="21"/>
  <c r="CG244" i="21"/>
  <c r="CF244" i="21"/>
  <c r="CH244" i="21" s="1"/>
  <c r="CD244" i="21"/>
  <c r="CE244" i="21" s="1"/>
  <c r="AX244" i="21"/>
  <c r="AS244" i="21"/>
  <c r="AM244" i="21"/>
  <c r="AK244" i="21"/>
  <c r="AI244" i="21"/>
  <c r="EA244" i="21" s="1"/>
  <c r="AB244" i="21"/>
  <c r="W244" i="21"/>
  <c r="X244" i="21" s="1"/>
  <c r="Y244" i="21" s="1"/>
  <c r="DT244" i="21" s="1"/>
  <c r="V244" i="21"/>
  <c r="Q244" i="21"/>
  <c r="P244" i="21"/>
  <c r="DY244" i="21" s="1"/>
  <c r="O244" i="21"/>
  <c r="M244" i="21"/>
  <c r="L244" i="21"/>
  <c r="I244" i="21"/>
  <c r="DI244" i="21" s="1"/>
  <c r="FZ243" i="21"/>
  <c r="FX243" i="21"/>
  <c r="EA243" i="21"/>
  <c r="DY243" i="21"/>
  <c r="DH243" i="21"/>
  <c r="CG243" i="21"/>
  <c r="CF243" i="21"/>
  <c r="CH243" i="21" s="1"/>
  <c r="CD243" i="21"/>
  <c r="CE243" i="21" s="1"/>
  <c r="BE243" i="21"/>
  <c r="AS243" i="21"/>
  <c r="AB243" i="21"/>
  <c r="Z243" i="21"/>
  <c r="W243" i="21"/>
  <c r="X243" i="21" s="1"/>
  <c r="Y243" i="21" s="1"/>
  <c r="V243" i="21"/>
  <c r="U243" i="21"/>
  <c r="S243" i="21"/>
  <c r="Q243" i="21"/>
  <c r="H243" i="21"/>
  <c r="I243" i="21" s="1"/>
  <c r="M243" i="21" s="1"/>
  <c r="BF243" i="21" s="1"/>
  <c r="CO243" i="21" s="1"/>
  <c r="FZ242" i="21"/>
  <c r="FX242" i="21"/>
  <c r="EA242" i="21"/>
  <c r="DY242" i="21"/>
  <c r="DH242" i="21"/>
  <c r="CG242" i="21"/>
  <c r="CF242" i="21"/>
  <c r="CH242" i="21" s="1"/>
  <c r="CD242" i="21"/>
  <c r="CE242" i="21" s="1"/>
  <c r="BE242" i="21"/>
  <c r="AS242" i="21"/>
  <c r="AD242" i="21"/>
  <c r="Z242" i="21"/>
  <c r="W242" i="21"/>
  <c r="V242" i="21"/>
  <c r="U242" i="21"/>
  <c r="S242" i="21"/>
  <c r="AN242" i="21" s="1"/>
  <c r="Q242" i="21"/>
  <c r="CA242" i="21" s="1"/>
  <c r="H242" i="21"/>
  <c r="AM242" i="21" s="1"/>
  <c r="FZ241" i="21"/>
  <c r="FX241" i="21"/>
  <c r="EA241" i="21"/>
  <c r="DY241" i="21"/>
  <c r="DL241" i="21"/>
  <c r="DH241" i="21"/>
  <c r="CG241" i="21"/>
  <c r="CF241" i="21"/>
  <c r="CD241" i="21"/>
  <c r="CE241" i="21" s="1"/>
  <c r="BE241" i="21"/>
  <c r="AS241" i="21"/>
  <c r="AM241" i="21"/>
  <c r="AK241" i="21"/>
  <c r="AB241" i="21"/>
  <c r="Z241" i="21"/>
  <c r="W241" i="21"/>
  <c r="X241" i="21" s="1"/>
  <c r="Y241" i="21" s="1"/>
  <c r="V241" i="21"/>
  <c r="U241" i="21"/>
  <c r="S241" i="21"/>
  <c r="Q241" i="21"/>
  <c r="H241" i="21"/>
  <c r="L241" i="21" s="1"/>
  <c r="FZ240" i="21"/>
  <c r="FY240" i="21"/>
  <c r="FX240" i="21"/>
  <c r="EA240" i="21"/>
  <c r="DY240" i="21"/>
  <c r="DH240" i="21"/>
  <c r="CG240" i="21"/>
  <c r="CF240" i="21"/>
  <c r="CD240" i="21"/>
  <c r="CE240" i="21" s="1"/>
  <c r="BE240" i="21"/>
  <c r="BA240" i="21"/>
  <c r="AS240" i="21"/>
  <c r="AB240" i="21"/>
  <c r="Z240" i="21"/>
  <c r="W240" i="21"/>
  <c r="X240" i="21" s="1"/>
  <c r="EL240" i="21" s="1"/>
  <c r="EK240" i="21" s="1"/>
  <c r="V240" i="21"/>
  <c r="U240" i="21"/>
  <c r="S240" i="21"/>
  <c r="Q240" i="21"/>
  <c r="T240" i="21" s="1"/>
  <c r="H240" i="21"/>
  <c r="DL240" i="21" s="1"/>
  <c r="FZ239" i="21"/>
  <c r="FX239" i="21"/>
  <c r="EA239" i="21"/>
  <c r="DY239" i="21"/>
  <c r="DH239" i="21"/>
  <c r="CG239" i="21"/>
  <c r="CF239" i="21"/>
  <c r="CH239" i="21" s="1"/>
  <c r="CD239" i="21"/>
  <c r="CE239" i="21" s="1"/>
  <c r="BE239" i="21"/>
  <c r="BA239" i="21"/>
  <c r="AS239" i="21"/>
  <c r="AB239" i="21"/>
  <c r="Z239" i="21"/>
  <c r="W239" i="21"/>
  <c r="X239" i="21" s="1"/>
  <c r="V239" i="21"/>
  <c r="U239" i="21"/>
  <c r="S239" i="21"/>
  <c r="Q239" i="21"/>
  <c r="H239" i="21"/>
  <c r="L239" i="21" s="1"/>
  <c r="FZ238" i="21"/>
  <c r="FX238" i="21"/>
  <c r="EA238" i="21"/>
  <c r="DY238" i="21"/>
  <c r="DH238" i="21"/>
  <c r="CG238" i="21"/>
  <c r="CF238" i="21"/>
  <c r="CH238" i="21" s="1"/>
  <c r="CD238" i="21"/>
  <c r="CE238" i="21" s="1"/>
  <c r="BE238" i="21"/>
  <c r="AS238" i="21"/>
  <c r="AB238" i="21"/>
  <c r="Z238" i="21"/>
  <c r="W238" i="21"/>
  <c r="BA238" i="21" s="1"/>
  <c r="V238" i="21"/>
  <c r="U238" i="21"/>
  <c r="S238" i="21"/>
  <c r="Q238" i="21"/>
  <c r="FY238" i="21" s="1"/>
  <c r="H238" i="21"/>
  <c r="L238" i="21" s="1"/>
  <c r="FZ237" i="21"/>
  <c r="FX237" i="21"/>
  <c r="EA237" i="21"/>
  <c r="DY237" i="21"/>
  <c r="DH237" i="21"/>
  <c r="CH237" i="21"/>
  <c r="CG237" i="21"/>
  <c r="CF237" i="21"/>
  <c r="CD237" i="21"/>
  <c r="CE237" i="21" s="1"/>
  <c r="BE237" i="21"/>
  <c r="AS237" i="21"/>
  <c r="AB237" i="21"/>
  <c r="Z237" i="21"/>
  <c r="W237" i="21"/>
  <c r="BA237" i="21" s="1"/>
  <c r="V237" i="21"/>
  <c r="U237" i="21"/>
  <c r="S237" i="21"/>
  <c r="Q237" i="21"/>
  <c r="FY237" i="21" s="1"/>
  <c r="H237" i="21"/>
  <c r="FZ236" i="21"/>
  <c r="FX236" i="21"/>
  <c r="EA236" i="21"/>
  <c r="DY236" i="21"/>
  <c r="DH236" i="21"/>
  <c r="CG236" i="21"/>
  <c r="CF236" i="21"/>
  <c r="CD236" i="21"/>
  <c r="CE236" i="21" s="1"/>
  <c r="BR236" i="21"/>
  <c r="DZ236" i="21" s="1"/>
  <c r="BE236" i="21"/>
  <c r="AS236" i="21"/>
  <c r="AI236" i="21"/>
  <c r="AB236" i="21"/>
  <c r="Z236" i="21"/>
  <c r="W236" i="21"/>
  <c r="V236" i="21"/>
  <c r="U236" i="21"/>
  <c r="S236" i="21"/>
  <c r="Q236" i="21"/>
  <c r="FY236" i="21" s="1"/>
  <c r="GA236" i="21" s="1"/>
  <c r="CS236" i="21" s="1"/>
  <c r="H236" i="21"/>
  <c r="EE236" i="21" s="1"/>
  <c r="FZ235" i="21"/>
  <c r="FX235" i="21"/>
  <c r="EA235" i="21"/>
  <c r="DY235" i="21"/>
  <c r="DH235" i="21"/>
  <c r="CG235" i="21"/>
  <c r="CF235" i="21"/>
  <c r="CD235" i="21"/>
  <c r="CE235" i="21" s="1"/>
  <c r="BE235" i="21"/>
  <c r="AS235" i="21"/>
  <c r="AM235" i="21"/>
  <c r="AB235" i="21"/>
  <c r="Z235" i="21"/>
  <c r="X235" i="21"/>
  <c r="W235" i="21"/>
  <c r="BA235" i="21" s="1"/>
  <c r="V235" i="21"/>
  <c r="U235" i="21"/>
  <c r="T235" i="21"/>
  <c r="S235" i="21"/>
  <c r="Q235" i="21"/>
  <c r="CA235" i="21" s="1"/>
  <c r="H235" i="21"/>
  <c r="L235" i="21" s="1"/>
  <c r="FZ234" i="21"/>
  <c r="FX234" i="21"/>
  <c r="EA234" i="21"/>
  <c r="DY234" i="21"/>
  <c r="DH234" i="21"/>
  <c r="CG234" i="21"/>
  <c r="CF234" i="21"/>
  <c r="CH234" i="21" s="1"/>
  <c r="CD234" i="21"/>
  <c r="CE234" i="21" s="1"/>
  <c r="BE234" i="21"/>
  <c r="AS234" i="21"/>
  <c r="AB234" i="21"/>
  <c r="Z234" i="21"/>
  <c r="W234" i="21"/>
  <c r="V234" i="21"/>
  <c r="U234" i="21"/>
  <c r="S234" i="21"/>
  <c r="Q234" i="21"/>
  <c r="FY234" i="21" s="1"/>
  <c r="H234" i="21"/>
  <c r="AN234" i="21" s="1"/>
  <c r="FZ233" i="21"/>
  <c r="FX233" i="21"/>
  <c r="EA233" i="21"/>
  <c r="DY233" i="21"/>
  <c r="DH233" i="21"/>
  <c r="CG233" i="21"/>
  <c r="CF233" i="21"/>
  <c r="CD233" i="21"/>
  <c r="CE233" i="21" s="1"/>
  <c r="BE233" i="21"/>
  <c r="AS233" i="21"/>
  <c r="AB233" i="21"/>
  <c r="Z233" i="21"/>
  <c r="W233" i="21"/>
  <c r="V233" i="21"/>
  <c r="U233" i="21"/>
  <c r="S233" i="21"/>
  <c r="Q233" i="21"/>
  <c r="H233" i="21"/>
  <c r="EE233" i="21" s="1"/>
  <c r="FZ232" i="21"/>
  <c r="FX232" i="21"/>
  <c r="EA232" i="21"/>
  <c r="DY232" i="21"/>
  <c r="DH232" i="21"/>
  <c r="CG232" i="21"/>
  <c r="CH232" i="21" s="1"/>
  <c r="CF232" i="21"/>
  <c r="CD232" i="21"/>
  <c r="CE232" i="21" s="1"/>
  <c r="BE232" i="21"/>
  <c r="AS232" i="21"/>
  <c r="AB232" i="21"/>
  <c r="Z232" i="21"/>
  <c r="W232" i="21"/>
  <c r="V232" i="21"/>
  <c r="U232" i="21"/>
  <c r="S232" i="21"/>
  <c r="Q232" i="21"/>
  <c r="H232" i="21"/>
  <c r="FZ231" i="21"/>
  <c r="FX231" i="21"/>
  <c r="EA231" i="21"/>
  <c r="DY231" i="21"/>
  <c r="DH231" i="21"/>
  <c r="CG231" i="21"/>
  <c r="CF231" i="21"/>
  <c r="CD231" i="21"/>
  <c r="CE231" i="21" s="1"/>
  <c r="BE231" i="21"/>
  <c r="AS231" i="21"/>
  <c r="AB231" i="21"/>
  <c r="Z231" i="21"/>
  <c r="W231" i="21"/>
  <c r="X231" i="21" s="1"/>
  <c r="V231" i="21"/>
  <c r="U231" i="21"/>
  <c r="S231" i="21"/>
  <c r="Q231" i="21"/>
  <c r="L231" i="21"/>
  <c r="H231" i="21"/>
  <c r="EE231" i="21" s="1"/>
  <c r="FZ230" i="21"/>
  <c r="FX230" i="21"/>
  <c r="EA230" i="21"/>
  <c r="DY230" i="21"/>
  <c r="DH230" i="21"/>
  <c r="CG230" i="21"/>
  <c r="CH230" i="21" s="1"/>
  <c r="CF230" i="21"/>
  <c r="CD230" i="21"/>
  <c r="CE230" i="21" s="1"/>
  <c r="CA230" i="21"/>
  <c r="BE230" i="21"/>
  <c r="AS230" i="21"/>
  <c r="AD230" i="21"/>
  <c r="Z230" i="21"/>
  <c r="W230" i="21"/>
  <c r="V230" i="21"/>
  <c r="U230" i="21"/>
  <c r="T230" i="21"/>
  <c r="S230" i="21"/>
  <c r="Q230" i="21"/>
  <c r="BZ230" i="21" s="1"/>
  <c r="CB230" i="21" s="1"/>
  <c r="CI230" i="21" s="1"/>
  <c r="H230" i="21"/>
  <c r="DL230" i="21" s="1"/>
  <c r="FZ229" i="21"/>
  <c r="FX229" i="21"/>
  <c r="EA229" i="21"/>
  <c r="DY229" i="21"/>
  <c r="DH229" i="21"/>
  <c r="CG229" i="21"/>
  <c r="CF229" i="21"/>
  <c r="CH229" i="21" s="1"/>
  <c r="CD229" i="21"/>
  <c r="CE229" i="21" s="1"/>
  <c r="BE229" i="21"/>
  <c r="AS229" i="21"/>
  <c r="AD229" i="21"/>
  <c r="Z229" i="21"/>
  <c r="W229" i="21"/>
  <c r="V229" i="21"/>
  <c r="U229" i="21"/>
  <c r="S229" i="21"/>
  <c r="Q229" i="21"/>
  <c r="FY229" i="21" s="1"/>
  <c r="H229" i="21"/>
  <c r="EE229" i="21" s="1"/>
  <c r="FZ228" i="21"/>
  <c r="FX228" i="21"/>
  <c r="EA228" i="21"/>
  <c r="DY228" i="21"/>
  <c r="DH228" i="21"/>
  <c r="CG228" i="21"/>
  <c r="CF228" i="21"/>
  <c r="CH228" i="21" s="1"/>
  <c r="CD228" i="21"/>
  <c r="CE228" i="21" s="1"/>
  <c r="BR228" i="21"/>
  <c r="DZ228" i="21" s="1"/>
  <c r="BE228" i="21"/>
  <c r="AS228" i="21"/>
  <c r="AD228" i="21"/>
  <c r="Z228" i="21"/>
  <c r="W228" i="21"/>
  <c r="V228" i="21"/>
  <c r="U228" i="21"/>
  <c r="S228" i="21"/>
  <c r="Q228" i="21"/>
  <c r="T228" i="21" s="1"/>
  <c r="L228" i="21"/>
  <c r="H228" i="21"/>
  <c r="DL228" i="21" s="1"/>
  <c r="FZ227" i="21"/>
  <c r="FX227" i="21"/>
  <c r="EA227" i="21"/>
  <c r="DY227" i="21"/>
  <c r="DH227" i="21"/>
  <c r="CG227" i="21"/>
  <c r="CF227" i="21"/>
  <c r="CH227" i="21" s="1"/>
  <c r="CD227" i="21"/>
  <c r="CE227" i="21" s="1"/>
  <c r="BE227" i="21"/>
  <c r="BA227" i="21"/>
  <c r="AS227" i="21"/>
  <c r="AN227" i="21"/>
  <c r="AM227" i="21"/>
  <c r="AB227" i="21"/>
  <c r="Z227" i="21"/>
  <c r="W227" i="21"/>
  <c r="X227" i="21" s="1"/>
  <c r="V227" i="21"/>
  <c r="U227" i="21"/>
  <c r="S227" i="21"/>
  <c r="Q227" i="21"/>
  <c r="BZ227" i="21" s="1"/>
  <c r="L227" i="21"/>
  <c r="H227" i="21"/>
  <c r="AK227" i="21" s="1"/>
  <c r="FZ226" i="21"/>
  <c r="FX226" i="21"/>
  <c r="EA226" i="21"/>
  <c r="DY226" i="21"/>
  <c r="DL226" i="21"/>
  <c r="DH226" i="21"/>
  <c r="CG226" i="21"/>
  <c r="CF226" i="21"/>
  <c r="CH226" i="21" s="1"/>
  <c r="CD226" i="21"/>
  <c r="CE226" i="21" s="1"/>
  <c r="BE226" i="21"/>
  <c r="BA226" i="21"/>
  <c r="AS226" i="21"/>
  <c r="AD226" i="21"/>
  <c r="Z226" i="21"/>
  <c r="X226" i="21"/>
  <c r="EL226" i="21" s="1"/>
  <c r="EK226" i="21" s="1"/>
  <c r="W226" i="21"/>
  <c r="V226" i="21"/>
  <c r="U226" i="21"/>
  <c r="AY226" i="21" s="1"/>
  <c r="BH226" i="21" s="1"/>
  <c r="S226" i="21"/>
  <c r="Q226" i="21"/>
  <c r="T226" i="21" s="1"/>
  <c r="H226" i="21"/>
  <c r="AN226" i="21" s="1"/>
  <c r="FZ225" i="21"/>
  <c r="FX225" i="21"/>
  <c r="DY225" i="21"/>
  <c r="DH225" i="21"/>
  <c r="CG225" i="21"/>
  <c r="CF225" i="21"/>
  <c r="CH225" i="21" s="1"/>
  <c r="CD225" i="21"/>
  <c r="CE225" i="21" s="1"/>
  <c r="CB225" i="21"/>
  <c r="CA225" i="21"/>
  <c r="BZ225" i="21"/>
  <c r="BE225" i="21"/>
  <c r="BA225" i="21"/>
  <c r="AS225" i="21"/>
  <c r="AN225" i="21"/>
  <c r="AI225" i="21"/>
  <c r="EA225" i="21" s="1"/>
  <c r="AB225" i="21"/>
  <c r="Z225" i="21"/>
  <c r="W225" i="21"/>
  <c r="X225" i="21" s="1"/>
  <c r="V225" i="21"/>
  <c r="U225" i="21"/>
  <c r="T225" i="21"/>
  <c r="S225" i="21"/>
  <c r="Q225" i="21"/>
  <c r="BR225" i="21" s="1"/>
  <c r="DZ225" i="21" s="1"/>
  <c r="EB225" i="21" s="1"/>
  <c r="H225" i="21"/>
  <c r="L225" i="21" s="1"/>
  <c r="FZ224" i="21"/>
  <c r="FY224" i="21"/>
  <c r="FX224" i="21"/>
  <c r="EE224" i="21"/>
  <c r="EA224" i="21"/>
  <c r="DY224" i="21"/>
  <c r="DH224" i="21"/>
  <c r="CH224" i="21"/>
  <c r="CG224" i="21"/>
  <c r="CF224" i="21"/>
  <c r="CD224" i="21"/>
  <c r="CE224" i="21" s="1"/>
  <c r="BZ224" i="21"/>
  <c r="BR224" i="21"/>
  <c r="DZ224" i="21" s="1"/>
  <c r="BE224" i="21"/>
  <c r="AS224" i="21"/>
  <c r="AL224" i="21"/>
  <c r="AB224" i="21"/>
  <c r="Z224" i="21"/>
  <c r="W224" i="21"/>
  <c r="V224" i="21"/>
  <c r="U224" i="21"/>
  <c r="T224" i="21"/>
  <c r="S224" i="21"/>
  <c r="Q224" i="21"/>
  <c r="CA224" i="21" s="1"/>
  <c r="H224" i="21"/>
  <c r="L224" i="21" s="1"/>
  <c r="FZ223" i="21"/>
  <c r="FX223" i="21"/>
  <c r="EA223" i="21"/>
  <c r="DY223" i="21"/>
  <c r="DH223" i="21"/>
  <c r="CH223" i="21"/>
  <c r="CG223" i="21"/>
  <c r="CF223" i="21"/>
  <c r="CD223" i="21"/>
  <c r="CE223" i="21" s="1"/>
  <c r="BE223" i="21"/>
  <c r="AS223" i="21"/>
  <c r="AN223" i="21"/>
  <c r="AM223" i="21"/>
  <c r="AB223" i="21"/>
  <c r="Z223" i="21"/>
  <c r="X223" i="21"/>
  <c r="EL223" i="21" s="1"/>
  <c r="EK223" i="21" s="1"/>
  <c r="W223" i="21"/>
  <c r="V223" i="21"/>
  <c r="U223" i="21"/>
  <c r="S223" i="21"/>
  <c r="Q223" i="21"/>
  <c r="FY223" i="21" s="1"/>
  <c r="H223" i="21"/>
  <c r="L223" i="21" s="1"/>
  <c r="FZ222" i="21"/>
  <c r="FX222" i="21"/>
  <c r="DY222" i="21"/>
  <c r="DL222" i="21"/>
  <c r="DH222" i="21"/>
  <c r="CG222" i="21"/>
  <c r="CH222" i="21" s="1"/>
  <c r="CF222" i="21"/>
  <c r="CE222" i="21"/>
  <c r="CD222" i="21"/>
  <c r="BE222" i="21"/>
  <c r="AS222" i="21"/>
  <c r="AM222" i="21"/>
  <c r="AI222" i="21"/>
  <c r="EA222" i="21" s="1"/>
  <c r="AD222" i="21"/>
  <c r="Z222" i="21"/>
  <c r="W222" i="21"/>
  <c r="X222" i="21" s="1"/>
  <c r="Y222" i="21" s="1"/>
  <c r="DT222" i="21" s="1"/>
  <c r="V222" i="21"/>
  <c r="U222" i="21"/>
  <c r="S222" i="21"/>
  <c r="Q222" i="21"/>
  <c r="H222" i="21"/>
  <c r="AN222" i="21" s="1"/>
  <c r="FZ221" i="21"/>
  <c r="FX221" i="21"/>
  <c r="EA221" i="21"/>
  <c r="DY221" i="21"/>
  <c r="DH221" i="21"/>
  <c r="CG221" i="21"/>
  <c r="CH221" i="21" s="1"/>
  <c r="CF221" i="21"/>
  <c r="CD221" i="21"/>
  <c r="CE221" i="21" s="1"/>
  <c r="BE221" i="21"/>
  <c r="AS221" i="21"/>
  <c r="AB221" i="21"/>
  <c r="Z221" i="21"/>
  <c r="W221" i="21"/>
  <c r="BA221" i="21" s="1"/>
  <c r="V221" i="21"/>
  <c r="U221" i="21"/>
  <c r="S221" i="21"/>
  <c r="Q221" i="21"/>
  <c r="H221" i="21"/>
  <c r="FZ220" i="21"/>
  <c r="FX220" i="21"/>
  <c r="EA220" i="21"/>
  <c r="DY220" i="21"/>
  <c r="DH220" i="21"/>
  <c r="CG220" i="21"/>
  <c r="CF220" i="21"/>
  <c r="CD220" i="21"/>
  <c r="CE220" i="21" s="1"/>
  <c r="BE220" i="21"/>
  <c r="AS220" i="21"/>
  <c r="AB220" i="21"/>
  <c r="Z220" i="21"/>
  <c r="X220" i="21"/>
  <c r="Y220" i="21" s="1"/>
  <c r="DT220" i="21" s="1"/>
  <c r="W220" i="21"/>
  <c r="BA220" i="21" s="1"/>
  <c r="V220" i="21"/>
  <c r="U220" i="21"/>
  <c r="S220" i="21"/>
  <c r="Q220" i="21"/>
  <c r="BZ220" i="21" s="1"/>
  <c r="H220" i="21"/>
  <c r="AN220" i="21" s="1"/>
  <c r="FZ219" i="21"/>
  <c r="FY219" i="21" s="1"/>
  <c r="FX219" i="21"/>
  <c r="DY219" i="21"/>
  <c r="DH219" i="21"/>
  <c r="CG219" i="21"/>
  <c r="CH219" i="21" s="1"/>
  <c r="CF219" i="21"/>
  <c r="CD219" i="21"/>
  <c r="CE219" i="21" s="1"/>
  <c r="BE219" i="21"/>
  <c r="AS219" i="21"/>
  <c r="AI219" i="21"/>
  <c r="EA219" i="21" s="1"/>
  <c r="AD219" i="21"/>
  <c r="Z219" i="21"/>
  <c r="W219" i="21"/>
  <c r="BA219" i="21" s="1"/>
  <c r="V219" i="21"/>
  <c r="U219" i="21"/>
  <c r="S219" i="21"/>
  <c r="Q219" i="21"/>
  <c r="H219" i="21"/>
  <c r="FZ218" i="21"/>
  <c r="FX218" i="21"/>
  <c r="EA218" i="21"/>
  <c r="DY218" i="21"/>
  <c r="DH218" i="21"/>
  <c r="CG218" i="21"/>
  <c r="CH218" i="21" s="1"/>
  <c r="CF218" i="21"/>
  <c r="CD218" i="21"/>
  <c r="CE218" i="21" s="1"/>
  <c r="BE218" i="21"/>
  <c r="AS218" i="21"/>
  <c r="AI218" i="21"/>
  <c r="AD218" i="21"/>
  <c r="Z218" i="21"/>
  <c r="W218" i="21"/>
  <c r="V218" i="21"/>
  <c r="U218" i="21"/>
  <c r="S218" i="21"/>
  <c r="Q218" i="21"/>
  <c r="T218" i="21" s="1"/>
  <c r="H218" i="21"/>
  <c r="DL218" i="21" s="1"/>
  <c r="FZ217" i="21"/>
  <c r="FX217" i="21"/>
  <c r="EE217" i="21"/>
  <c r="DY217" i="21"/>
  <c r="DH217" i="21"/>
  <c r="CG217" i="21"/>
  <c r="CF217" i="21"/>
  <c r="CE217" i="21"/>
  <c r="CD217" i="21"/>
  <c r="CA217" i="21"/>
  <c r="BE217" i="21"/>
  <c r="AS217" i="21"/>
  <c r="AI217" i="21"/>
  <c r="EA217" i="21" s="1"/>
  <c r="AD217" i="21"/>
  <c r="Z217" i="21"/>
  <c r="W217" i="21"/>
  <c r="V217" i="21"/>
  <c r="U217" i="21"/>
  <c r="T217" i="21"/>
  <c r="S217" i="21"/>
  <c r="Q217" i="21"/>
  <c r="BZ217" i="21" s="1"/>
  <c r="H217" i="21"/>
  <c r="FZ216" i="21"/>
  <c r="FY216" i="21"/>
  <c r="GA216" i="21" s="1"/>
  <c r="FX216" i="21"/>
  <c r="EA216" i="21"/>
  <c r="DY216" i="21"/>
  <c r="DH216" i="21"/>
  <c r="CG216" i="21"/>
  <c r="CF216" i="21"/>
  <c r="CH216" i="21" s="1"/>
  <c r="CD216" i="21"/>
  <c r="CE216" i="21" s="1"/>
  <c r="CA216" i="21"/>
  <c r="BZ216" i="21"/>
  <c r="CB216" i="21" s="1"/>
  <c r="BE216" i="21"/>
  <c r="AS216" i="21"/>
  <c r="AM216" i="21"/>
  <c r="AD216" i="21"/>
  <c r="Z216" i="21"/>
  <c r="W216" i="21"/>
  <c r="V216" i="21"/>
  <c r="U216" i="21"/>
  <c r="S216" i="21"/>
  <c r="Q216" i="21"/>
  <c r="BR216" i="21" s="1"/>
  <c r="DZ216" i="21" s="1"/>
  <c r="M216" i="21"/>
  <c r="BF216" i="21" s="1"/>
  <c r="I216" i="21"/>
  <c r="AX216" i="21" s="1"/>
  <c r="H216" i="21"/>
  <c r="AN216" i="21" s="1"/>
  <c r="FZ215" i="21"/>
  <c r="FX215" i="21"/>
  <c r="EA215" i="21"/>
  <c r="DY215" i="21"/>
  <c r="DH215" i="21"/>
  <c r="CG215" i="21"/>
  <c r="CF215" i="21"/>
  <c r="CD215" i="21"/>
  <c r="CE215" i="21" s="1"/>
  <c r="BE215" i="21"/>
  <c r="AS215" i="21"/>
  <c r="AP215" i="21"/>
  <c r="AP216" i="21" s="1"/>
  <c r="AK215" i="21"/>
  <c r="AD215" i="21"/>
  <c r="Z215" i="21"/>
  <c r="BI215" i="21" s="1"/>
  <c r="W215" i="21"/>
  <c r="X215" i="21" s="1"/>
  <c r="Y215" i="21" s="1"/>
  <c r="DT215" i="21" s="1"/>
  <c r="V215" i="21"/>
  <c r="U215" i="21"/>
  <c r="S215" i="21"/>
  <c r="Q215" i="21"/>
  <c r="AL215" i="21" s="1"/>
  <c r="I215" i="21"/>
  <c r="H215" i="21"/>
  <c r="AN215" i="21" s="1"/>
  <c r="FZ214" i="21"/>
  <c r="FX214" i="21"/>
  <c r="EA214" i="21"/>
  <c r="DY214" i="21"/>
  <c r="DH214" i="21"/>
  <c r="CG214" i="21"/>
  <c r="CF214" i="21"/>
  <c r="CD214" i="21"/>
  <c r="CE214" i="21" s="1"/>
  <c r="BE214" i="21"/>
  <c r="BA214" i="21"/>
  <c r="BB214" i="21" s="1"/>
  <c r="AX214" i="21"/>
  <c r="AS214" i="21"/>
  <c r="AP214" i="21"/>
  <c r="AD214" i="21"/>
  <c r="Z214" i="21"/>
  <c r="W214" i="21"/>
  <c r="V214" i="21"/>
  <c r="U214" i="21"/>
  <c r="S214" i="21"/>
  <c r="Q214" i="21"/>
  <c r="FY214" i="21" s="1"/>
  <c r="I214" i="21"/>
  <c r="DI214" i="21" s="1"/>
  <c r="H214" i="21"/>
  <c r="FZ213" i="21"/>
  <c r="FY213" i="21"/>
  <c r="FX213" i="21"/>
  <c r="EA213" i="21"/>
  <c r="DY213" i="21"/>
  <c r="DH213" i="21"/>
  <c r="CG213" i="21"/>
  <c r="CF213" i="21"/>
  <c r="CD213" i="21"/>
  <c r="CE213" i="21" s="1"/>
  <c r="CA213" i="21"/>
  <c r="BE213" i="21"/>
  <c r="BA213" i="21"/>
  <c r="AS213" i="21"/>
  <c r="AD213" i="21"/>
  <c r="Z213" i="21"/>
  <c r="X213" i="21"/>
  <c r="W213" i="21"/>
  <c r="V213" i="21"/>
  <c r="U213" i="21"/>
  <c r="S213" i="21"/>
  <c r="Q213" i="21"/>
  <c r="BZ213" i="21" s="1"/>
  <c r="H213" i="21"/>
  <c r="L213" i="21" s="1"/>
  <c r="FZ212" i="21"/>
  <c r="FX212" i="21"/>
  <c r="EA212" i="21"/>
  <c r="DY212" i="21"/>
  <c r="DH212" i="21"/>
  <c r="CG212" i="21"/>
  <c r="CF212" i="21"/>
  <c r="CE212" i="21"/>
  <c r="CD212" i="21"/>
  <c r="BR212" i="21"/>
  <c r="DZ212" i="21" s="1"/>
  <c r="EB212" i="21" s="1"/>
  <c r="BE212" i="21"/>
  <c r="AS212" i="21"/>
  <c r="AP212" i="21"/>
  <c r="AP213" i="21" s="1"/>
  <c r="AD212" i="21"/>
  <c r="Z212" i="21"/>
  <c r="W212" i="21"/>
  <c r="V212" i="21"/>
  <c r="U212" i="21"/>
  <c r="AY212" i="21" s="1"/>
  <c r="T212" i="21"/>
  <c r="S212" i="21"/>
  <c r="Q212" i="21"/>
  <c r="AL212" i="21" s="1"/>
  <c r="L212" i="21"/>
  <c r="H212" i="21"/>
  <c r="DL212" i="21" s="1"/>
  <c r="FZ211" i="21"/>
  <c r="FX211" i="21"/>
  <c r="EE211" i="21"/>
  <c r="EA211" i="21"/>
  <c r="DH211" i="21"/>
  <c r="CG211" i="21"/>
  <c r="CF211" i="21"/>
  <c r="CH211" i="21" s="1"/>
  <c r="CD211" i="21"/>
  <c r="CE211" i="21" s="1"/>
  <c r="BA211" i="21"/>
  <c r="AX211" i="21"/>
  <c r="CM211" i="21" s="1"/>
  <c r="AS211" i="21"/>
  <c r="AB211" i="21"/>
  <c r="Z211" i="21"/>
  <c r="W211" i="21"/>
  <c r="X211" i="21" s="1"/>
  <c r="Y211" i="21" s="1"/>
  <c r="V211" i="21"/>
  <c r="U211" i="21"/>
  <c r="S211" i="21"/>
  <c r="AN211" i="21" s="1"/>
  <c r="Q211" i="21"/>
  <c r="CA211" i="21" s="1"/>
  <c r="O211" i="21"/>
  <c r="BE211" i="21" s="1"/>
  <c r="M211" i="21"/>
  <c r="L211" i="21"/>
  <c r="I211" i="21"/>
  <c r="P211" i="21" s="1"/>
  <c r="DY211" i="21" s="1"/>
  <c r="H211" i="21"/>
  <c r="AM211" i="21" s="1"/>
  <c r="FZ210" i="21"/>
  <c r="EA210" i="21"/>
  <c r="DL210" i="21"/>
  <c r="DH210" i="21"/>
  <c r="CG210" i="21"/>
  <c r="CF210" i="21"/>
  <c r="CH210" i="21" s="1"/>
  <c r="CD210" i="21"/>
  <c r="CE210" i="21" s="1"/>
  <c r="AS210" i="21"/>
  <c r="AB210" i="21"/>
  <c r="Z210" i="21"/>
  <c r="W210" i="21"/>
  <c r="V210" i="21"/>
  <c r="S210" i="21"/>
  <c r="O210" i="21"/>
  <c r="FX210" i="21" s="1"/>
  <c r="H210" i="21"/>
  <c r="FZ209" i="21"/>
  <c r="DH209" i="21"/>
  <c r="CH209" i="21"/>
  <c r="CG209" i="21"/>
  <c r="CF209" i="21"/>
  <c r="CD209" i="21"/>
  <c r="CE209" i="21" s="1"/>
  <c r="BA209" i="21"/>
  <c r="AS209" i="21"/>
  <c r="AI209" i="21"/>
  <c r="EA209" i="21" s="1"/>
  <c r="AB209" i="21"/>
  <c r="Z209" i="21"/>
  <c r="W209" i="21"/>
  <c r="X209" i="21" s="1"/>
  <c r="V209" i="21"/>
  <c r="O209" i="21"/>
  <c r="BE209" i="21" s="1"/>
  <c r="H209" i="21"/>
  <c r="I209" i="21" s="1"/>
  <c r="P209" i="21" s="1"/>
  <c r="DY209" i="21" s="1"/>
  <c r="FZ208" i="21"/>
  <c r="DI208" i="21"/>
  <c r="DH208" i="21"/>
  <c r="CG208" i="21"/>
  <c r="CF208" i="21"/>
  <c r="CH208" i="21" s="1"/>
  <c r="CE208" i="21"/>
  <c r="CD208" i="21"/>
  <c r="BA208" i="21"/>
  <c r="AS208" i="21"/>
  <c r="AM208" i="21"/>
  <c r="AK208" i="21"/>
  <c r="AI208" i="21"/>
  <c r="EA208" i="21" s="1"/>
  <c r="AB208" i="21"/>
  <c r="Z208" i="21"/>
  <c r="W208" i="21"/>
  <c r="V208" i="21"/>
  <c r="S208" i="21"/>
  <c r="O208" i="21"/>
  <c r="U208" i="21" s="1"/>
  <c r="I208" i="21"/>
  <c r="AX208" i="21" s="1"/>
  <c r="CM208" i="21" s="1"/>
  <c r="H208" i="21"/>
  <c r="L208" i="21" s="1"/>
  <c r="FZ207" i="21"/>
  <c r="EA207" i="21"/>
  <c r="DH207" i="21"/>
  <c r="CG207" i="21"/>
  <c r="CF207" i="21"/>
  <c r="CH207" i="21" s="1"/>
  <c r="CE207" i="21"/>
  <c r="CD207" i="21"/>
  <c r="AS207" i="21"/>
  <c r="AB207" i="21"/>
  <c r="Z207" i="21"/>
  <c r="W207" i="21"/>
  <c r="V207" i="21"/>
  <c r="S207" i="21"/>
  <c r="O207" i="21"/>
  <c r="I207" i="21"/>
  <c r="P207" i="21" s="1"/>
  <c r="DY207" i="21" s="1"/>
  <c r="H207" i="21"/>
  <c r="FZ206" i="21"/>
  <c r="EE206" i="21"/>
  <c r="EA206" i="21"/>
  <c r="DH206" i="21"/>
  <c r="CG206" i="21"/>
  <c r="CF206" i="21"/>
  <c r="CH206" i="21" s="1"/>
  <c r="CE206" i="21"/>
  <c r="CD206" i="21"/>
  <c r="BA206" i="21"/>
  <c r="AS206" i="21"/>
  <c r="AM206" i="21"/>
  <c r="AK206" i="21"/>
  <c r="AB206" i="21"/>
  <c r="Z206" i="21"/>
  <c r="X206" i="21"/>
  <c r="W206" i="21"/>
  <c r="V206" i="21"/>
  <c r="S206" i="21"/>
  <c r="O206" i="21"/>
  <c r="BE206" i="21" s="1"/>
  <c r="I206" i="21"/>
  <c r="H206" i="21"/>
  <c r="L206" i="21" s="1"/>
  <c r="FZ205" i="21"/>
  <c r="EA205" i="21"/>
  <c r="DH205" i="21"/>
  <c r="CG205" i="21"/>
  <c r="CF205" i="21"/>
  <c r="CD205" i="21"/>
  <c r="CE205" i="21" s="1"/>
  <c r="BA205" i="21"/>
  <c r="AS205" i="21"/>
  <c r="AB205" i="21"/>
  <c r="Z205" i="21"/>
  <c r="X205" i="21"/>
  <c r="W205" i="21"/>
  <c r="V205" i="21"/>
  <c r="U205" i="21"/>
  <c r="Q205" i="21"/>
  <c r="BR205" i="21" s="1"/>
  <c r="DZ205" i="21" s="1"/>
  <c r="EB205" i="21" s="1"/>
  <c r="O205" i="21"/>
  <c r="FX205" i="21" s="1"/>
  <c r="H205" i="21"/>
  <c r="S205" i="21" s="1"/>
  <c r="FZ204" i="21"/>
  <c r="EA204" i="21"/>
  <c r="DH204" i="21"/>
  <c r="CG204" i="21"/>
  <c r="CF204" i="21"/>
  <c r="CH204" i="21" s="1"/>
  <c r="CD204" i="21"/>
  <c r="CE204" i="21" s="1"/>
  <c r="BA204" i="21"/>
  <c r="AS204" i="21"/>
  <c r="AK204" i="21"/>
  <c r="AB204" i="21"/>
  <c r="Z204" i="21"/>
  <c r="W204" i="21"/>
  <c r="X204" i="21" s="1"/>
  <c r="EL204" i="21" s="1"/>
  <c r="EK204" i="21" s="1"/>
  <c r="V204" i="21"/>
  <c r="O204" i="21"/>
  <c r="H204" i="21"/>
  <c r="AM204" i="21" s="1"/>
  <c r="FZ203" i="21"/>
  <c r="EA203" i="21"/>
  <c r="DH203" i="21"/>
  <c r="CG203" i="21"/>
  <c r="CF203" i="21"/>
  <c r="CE203" i="21"/>
  <c r="CD203" i="21"/>
  <c r="AS203" i="21"/>
  <c r="AB203" i="21"/>
  <c r="Z203" i="21"/>
  <c r="X203" i="21"/>
  <c r="W203" i="21"/>
  <c r="V203" i="21"/>
  <c r="Q203" i="21"/>
  <c r="O203" i="21"/>
  <c r="FX203" i="21" s="1"/>
  <c r="H203" i="21"/>
  <c r="FZ202" i="21"/>
  <c r="FX202" i="21"/>
  <c r="EL202" i="21"/>
  <c r="EK202" i="21" s="1"/>
  <c r="EA202" i="21"/>
  <c r="DL202" i="21"/>
  <c r="DH202" i="21"/>
  <c r="CG202" i="21"/>
  <c r="CF202" i="21"/>
  <c r="CD202" i="21"/>
  <c r="CE202" i="21" s="1"/>
  <c r="BA202" i="21"/>
  <c r="AS202" i="21"/>
  <c r="AB202" i="21"/>
  <c r="Z202" i="21"/>
  <c r="X202" i="21"/>
  <c r="Y202" i="21" s="1"/>
  <c r="W202" i="21"/>
  <c r="V202" i="21"/>
  <c r="S202" i="21"/>
  <c r="O202" i="21"/>
  <c r="U202" i="21" s="1"/>
  <c r="H202" i="21"/>
  <c r="I202" i="21" s="1"/>
  <c r="FZ201" i="21"/>
  <c r="DL201" i="21"/>
  <c r="DH201" i="21"/>
  <c r="CH201" i="21"/>
  <c r="CG201" i="21"/>
  <c r="CF201" i="21"/>
  <c r="CD201" i="21"/>
  <c r="CE201" i="21" s="1"/>
  <c r="AS201" i="21"/>
  <c r="AN201" i="21"/>
  <c r="AK201" i="21"/>
  <c r="AI201" i="21"/>
  <c r="EA201" i="21" s="1"/>
  <c r="AB201" i="21"/>
  <c r="Z201" i="21"/>
  <c r="W201" i="21"/>
  <c r="V201" i="21"/>
  <c r="S201" i="21"/>
  <c r="O201" i="21"/>
  <c r="U201" i="21" s="1"/>
  <c r="H201" i="21"/>
  <c r="AM201" i="21" s="1"/>
  <c r="FZ200" i="21"/>
  <c r="DH200" i="21"/>
  <c r="CG200" i="21"/>
  <c r="CF200" i="21"/>
  <c r="CH200" i="21" s="1"/>
  <c r="CD200" i="21"/>
  <c r="CE200" i="21" s="1"/>
  <c r="BA200" i="21"/>
  <c r="AS200" i="21"/>
  <c r="AI200" i="21"/>
  <c r="EA200" i="21" s="1"/>
  <c r="AB200" i="21"/>
  <c r="Z200" i="21"/>
  <c r="X200" i="21"/>
  <c r="EL200" i="21" s="1"/>
  <c r="EK200" i="21" s="1"/>
  <c r="W200" i="21"/>
  <c r="V200" i="21"/>
  <c r="O200" i="21"/>
  <c r="H200" i="21"/>
  <c r="AK200" i="21" s="1"/>
  <c r="FZ199" i="21"/>
  <c r="EA199" i="21"/>
  <c r="DH199" i="21"/>
  <c r="CG199" i="21"/>
  <c r="CF199" i="21"/>
  <c r="CH199" i="21" s="1"/>
  <c r="CD199" i="21"/>
  <c r="CE199" i="21" s="1"/>
  <c r="AS199" i="21"/>
  <c r="AB199" i="21"/>
  <c r="Z199" i="21"/>
  <c r="X199" i="21"/>
  <c r="EL199" i="21" s="1"/>
  <c r="EK199" i="21" s="1"/>
  <c r="W199" i="21"/>
  <c r="V199" i="21"/>
  <c r="O199" i="21"/>
  <c r="BE199" i="21" s="1"/>
  <c r="H199" i="21"/>
  <c r="FZ198" i="21"/>
  <c r="EA198" i="21"/>
  <c r="DH198" i="21"/>
  <c r="CH198" i="21"/>
  <c r="CG198" i="21"/>
  <c r="CF198" i="21"/>
  <c r="CD198" i="21"/>
  <c r="CE198" i="21" s="1"/>
  <c r="BA198" i="21"/>
  <c r="AS198" i="21"/>
  <c r="AB198" i="21"/>
  <c r="Z198" i="21"/>
  <c r="W198" i="21"/>
  <c r="X198" i="21" s="1"/>
  <c r="EL198" i="21" s="1"/>
  <c r="EK198" i="21" s="1"/>
  <c r="V198" i="21"/>
  <c r="U198" i="21"/>
  <c r="O198" i="21"/>
  <c r="BE198" i="21" s="1"/>
  <c r="I198" i="21"/>
  <c r="H198" i="21"/>
  <c r="L198" i="21" s="1"/>
  <c r="FZ197" i="21"/>
  <c r="EL197" i="21"/>
  <c r="EK197" i="21"/>
  <c r="EA197" i="21"/>
  <c r="DH197" i="21"/>
  <c r="CG197" i="21"/>
  <c r="CH197" i="21" s="1"/>
  <c r="CF197" i="21"/>
  <c r="CD197" i="21"/>
  <c r="CE197" i="21" s="1"/>
  <c r="BA197" i="21"/>
  <c r="AS197" i="21"/>
  <c r="AB197" i="21"/>
  <c r="Z197" i="21"/>
  <c r="X197" i="21"/>
  <c r="Y197" i="21" s="1"/>
  <c r="W197" i="21"/>
  <c r="V197" i="21"/>
  <c r="O197" i="21"/>
  <c r="H197" i="21"/>
  <c r="I197" i="21" s="1"/>
  <c r="FZ196" i="21"/>
  <c r="EE196" i="21"/>
  <c r="EA196" i="21"/>
  <c r="DH196" i="21"/>
  <c r="CH196" i="21"/>
  <c r="CG196" i="21"/>
  <c r="CF196" i="21"/>
  <c r="CD196" i="21"/>
  <c r="CE196" i="21" s="1"/>
  <c r="AS196" i="21"/>
  <c r="AM196" i="21"/>
  <c r="AB196" i="21"/>
  <c r="Z196" i="21"/>
  <c r="W196" i="21"/>
  <c r="X196" i="21" s="1"/>
  <c r="EL196" i="21" s="1"/>
  <c r="EK196" i="21" s="1"/>
  <c r="V196" i="21"/>
  <c r="O196" i="21"/>
  <c r="U196" i="21" s="1"/>
  <c r="L196" i="21"/>
  <c r="H196" i="21"/>
  <c r="DL196" i="21" s="1"/>
  <c r="FZ195" i="21"/>
  <c r="EA195" i="21"/>
  <c r="DH195" i="21"/>
  <c r="CG195" i="21"/>
  <c r="CF195" i="21"/>
  <c r="CD195" i="21"/>
  <c r="CE195" i="21" s="1"/>
  <c r="BE195" i="21"/>
  <c r="AS195" i="21"/>
  <c r="AM195" i="21"/>
  <c r="AB195" i="21"/>
  <c r="Z195" i="21"/>
  <c r="X195" i="21"/>
  <c r="EL195" i="21" s="1"/>
  <c r="EK195" i="21" s="1"/>
  <c r="W195" i="21"/>
  <c r="V195" i="21"/>
  <c r="O195" i="21"/>
  <c r="FX195" i="21" s="1"/>
  <c r="I195" i="21"/>
  <c r="AX195" i="21" s="1"/>
  <c r="CM195" i="21" s="1"/>
  <c r="H195" i="21"/>
  <c r="AK195" i="21" s="1"/>
  <c r="FZ194" i="21"/>
  <c r="EA194" i="21"/>
  <c r="DL194" i="21"/>
  <c r="DH194" i="21"/>
  <c r="CG194" i="21"/>
  <c r="CF194" i="21"/>
  <c r="CH194" i="21" s="1"/>
  <c r="CD194" i="21"/>
  <c r="CE194" i="21" s="1"/>
  <c r="AS194" i="21"/>
  <c r="AM194" i="21"/>
  <c r="AB194" i="21"/>
  <c r="Z194" i="21"/>
  <c r="W194" i="21"/>
  <c r="V194" i="21"/>
  <c r="O194" i="21"/>
  <c r="U194" i="21" s="1"/>
  <c r="H194" i="21"/>
  <c r="L194" i="21" s="1"/>
  <c r="FZ193" i="21"/>
  <c r="EA193" i="21"/>
  <c r="DH193" i="21"/>
  <c r="CG193" i="21"/>
  <c r="CF193" i="21"/>
  <c r="CH193" i="21" s="1"/>
  <c r="CD193" i="21"/>
  <c r="CE193" i="21" s="1"/>
  <c r="AS193" i="21"/>
  <c r="AP193" i="21"/>
  <c r="AB193" i="21"/>
  <c r="Z193" i="21"/>
  <c r="W193" i="21"/>
  <c r="V193" i="21"/>
  <c r="O193" i="21"/>
  <c r="Q193" i="21" s="1"/>
  <c r="H193" i="21"/>
  <c r="L193" i="21" s="1"/>
  <c r="FZ192" i="21"/>
  <c r="EA192" i="21"/>
  <c r="DH192" i="21"/>
  <c r="CG192" i="21"/>
  <c r="CF192" i="21"/>
  <c r="CD192" i="21"/>
  <c r="CE192" i="21" s="1"/>
  <c r="BE192" i="21"/>
  <c r="BA192" i="21"/>
  <c r="AS192" i="21"/>
  <c r="AB192" i="21"/>
  <c r="Z192" i="21"/>
  <c r="X192" i="21"/>
  <c r="W192" i="21"/>
  <c r="V192" i="21"/>
  <c r="O192" i="21"/>
  <c r="U192" i="21" s="1"/>
  <c r="I192" i="21"/>
  <c r="H192" i="21"/>
  <c r="EE192" i="21" s="1"/>
  <c r="FZ191" i="21"/>
  <c r="EA191" i="21"/>
  <c r="DH191" i="21"/>
  <c r="CG191" i="21"/>
  <c r="CF191" i="21"/>
  <c r="CD191" i="21"/>
  <c r="CE191" i="21" s="1"/>
  <c r="BI191" i="21"/>
  <c r="AS191" i="21"/>
  <c r="AB191" i="21"/>
  <c r="Z191" i="21"/>
  <c r="X191" i="21"/>
  <c r="Y191" i="21" s="1"/>
  <c r="W191" i="21"/>
  <c r="BA191" i="21" s="1"/>
  <c r="V191" i="21"/>
  <c r="Q191" i="21"/>
  <c r="FY191" i="21" s="1"/>
  <c r="P191" i="21"/>
  <c r="DY191" i="21" s="1"/>
  <c r="O191" i="21"/>
  <c r="L191" i="21"/>
  <c r="I191" i="21"/>
  <c r="H191" i="21"/>
  <c r="S191" i="21" s="1"/>
  <c r="FZ190" i="21"/>
  <c r="EA190" i="21"/>
  <c r="DH190" i="21"/>
  <c r="CG190" i="21"/>
  <c r="CF190" i="21"/>
  <c r="CH190" i="21" s="1"/>
  <c r="CD190" i="21"/>
  <c r="CE190" i="21" s="1"/>
  <c r="BA190" i="21"/>
  <c r="BB190" i="21" s="1"/>
  <c r="AS190" i="21"/>
  <c r="AB190" i="21"/>
  <c r="Z190" i="21"/>
  <c r="W190" i="21"/>
  <c r="X190" i="21" s="1"/>
  <c r="Y190" i="21" s="1"/>
  <c r="V190" i="21"/>
  <c r="Q190" i="21"/>
  <c r="P190" i="21"/>
  <c r="DY190" i="21" s="1"/>
  <c r="O190" i="21"/>
  <c r="I190" i="21"/>
  <c r="AX190" i="21" s="1"/>
  <c r="H190" i="21"/>
  <c r="L190" i="21" s="1"/>
  <c r="FZ189" i="21"/>
  <c r="FY189" i="21"/>
  <c r="EA189" i="21"/>
  <c r="DH189" i="21"/>
  <c r="CG189" i="21"/>
  <c r="CF189" i="21"/>
  <c r="CH189" i="21" s="1"/>
  <c r="CD189" i="21"/>
  <c r="CE189" i="21" s="1"/>
  <c r="AS189" i="21"/>
  <c r="AB189" i="21"/>
  <c r="Z189" i="21"/>
  <c r="W189" i="21"/>
  <c r="V189" i="21"/>
  <c r="Q189" i="21"/>
  <c r="P189" i="21"/>
  <c r="DY189" i="21" s="1"/>
  <c r="O189" i="21"/>
  <c r="N189" i="21" s="1"/>
  <c r="L189" i="21"/>
  <c r="H189" i="21"/>
  <c r="S189" i="21" s="1"/>
  <c r="FZ188" i="21"/>
  <c r="DH188" i="21"/>
  <c r="CG188" i="21"/>
  <c r="CF188" i="21"/>
  <c r="CD188" i="21"/>
  <c r="CE188" i="21" s="1"/>
  <c r="AS188" i="21"/>
  <c r="AI188" i="21"/>
  <c r="EA188" i="21" s="1"/>
  <c r="AB188" i="21"/>
  <c r="Z188" i="21"/>
  <c r="W188" i="21"/>
  <c r="V188" i="21"/>
  <c r="Q188" i="21"/>
  <c r="N188" i="21" s="1"/>
  <c r="EE188" i="21" s="1"/>
  <c r="P188" i="21"/>
  <c r="DY188" i="21" s="1"/>
  <c r="O188" i="21"/>
  <c r="T188" i="21" s="1"/>
  <c r="H188" i="21"/>
  <c r="FZ187" i="21"/>
  <c r="DL187" i="21"/>
  <c r="DH187" i="21"/>
  <c r="CG187" i="21"/>
  <c r="CF187" i="21"/>
  <c r="CD187" i="21"/>
  <c r="CE187" i="21" s="1"/>
  <c r="BA187" i="21"/>
  <c r="AS187" i="21"/>
  <c r="AI187" i="21"/>
  <c r="EA187" i="21" s="1"/>
  <c r="AB187" i="21"/>
  <c r="Z187" i="21"/>
  <c r="X187" i="21"/>
  <c r="Y187" i="21" s="1"/>
  <c r="W187" i="21"/>
  <c r="V187" i="21"/>
  <c r="Q187" i="21"/>
  <c r="P187" i="21"/>
  <c r="DY187" i="21" s="1"/>
  <c r="O187" i="21"/>
  <c r="N187" i="21" s="1"/>
  <c r="EE187" i="21" s="1"/>
  <c r="H187" i="21"/>
  <c r="AK187" i="21" s="1"/>
  <c r="FZ186" i="21"/>
  <c r="DH186" i="21"/>
  <c r="CG186" i="21"/>
  <c r="CF186" i="21"/>
  <c r="CH186" i="21" s="1"/>
  <c r="CD186" i="21"/>
  <c r="CE186" i="21" s="1"/>
  <c r="AS186" i="21"/>
  <c r="AI186" i="21"/>
  <c r="EA186" i="21" s="1"/>
  <c r="AB186" i="21"/>
  <c r="Z186" i="21"/>
  <c r="Y186" i="21"/>
  <c r="X186" i="21"/>
  <c r="EL186" i="21" s="1"/>
  <c r="EK186" i="21" s="1"/>
  <c r="W186" i="21"/>
  <c r="BA186" i="21" s="1"/>
  <c r="V186" i="21"/>
  <c r="Q186" i="21"/>
  <c r="N186" i="21" s="1"/>
  <c r="EE186" i="21" s="1"/>
  <c r="P186" i="21"/>
  <c r="DY186" i="21" s="1"/>
  <c r="O186" i="21"/>
  <c r="U186" i="21" s="1"/>
  <c r="H186" i="21"/>
  <c r="AL186" i="21" s="1"/>
  <c r="FZ185" i="21"/>
  <c r="EA185" i="21"/>
  <c r="DH185" i="21"/>
  <c r="CG185" i="21"/>
  <c r="CF185" i="21"/>
  <c r="CH185" i="21" s="1"/>
  <c r="CD185" i="21"/>
  <c r="CE185" i="21" s="1"/>
  <c r="AS185" i="21"/>
  <c r="AB185" i="21"/>
  <c r="Z185" i="21"/>
  <c r="W185" i="21"/>
  <c r="BA185" i="21" s="1"/>
  <c r="V185" i="21"/>
  <c r="S185" i="21"/>
  <c r="Q185" i="21"/>
  <c r="P185" i="21"/>
  <c r="DY185" i="21" s="1"/>
  <c r="O185" i="21"/>
  <c r="H185" i="21"/>
  <c r="DL185" i="21" s="1"/>
  <c r="FZ184" i="21"/>
  <c r="EA184" i="21"/>
  <c r="DH184" i="21"/>
  <c r="CG184" i="21"/>
  <c r="CF184" i="21"/>
  <c r="CH184" i="21" s="1"/>
  <c r="CD184" i="21"/>
  <c r="CE184" i="21" s="1"/>
  <c r="AS184" i="21"/>
  <c r="AM184" i="21"/>
  <c r="AB184" i="21"/>
  <c r="Z184" i="21"/>
  <c r="X184" i="21"/>
  <c r="EL184" i="21" s="1"/>
  <c r="EK184" i="21" s="1"/>
  <c r="W184" i="21"/>
  <c r="V184" i="21"/>
  <c r="Q184" i="21"/>
  <c r="P184" i="21"/>
  <c r="DY184" i="21" s="1"/>
  <c r="O184" i="21"/>
  <c r="I184" i="21"/>
  <c r="H184" i="21"/>
  <c r="AK184" i="21" s="1"/>
  <c r="AJ184" i="21" s="1"/>
  <c r="FZ183" i="21"/>
  <c r="DH183" i="21"/>
  <c r="CG183" i="21"/>
  <c r="CH183" i="21" s="1"/>
  <c r="CF183" i="21"/>
  <c r="CD183" i="21"/>
  <c r="CE183" i="21" s="1"/>
  <c r="AS183" i="21"/>
  <c r="AI183" i="21"/>
  <c r="EA183" i="21" s="1"/>
  <c r="AB183" i="21"/>
  <c r="Z183" i="21"/>
  <c r="X183" i="21"/>
  <c r="EL183" i="21" s="1"/>
  <c r="EK183" i="21" s="1"/>
  <c r="W183" i="21"/>
  <c r="BA183" i="21" s="1"/>
  <c r="V183" i="21"/>
  <c r="U183" i="21"/>
  <c r="S183" i="21"/>
  <c r="AN183" i="21" s="1"/>
  <c r="Q183" i="21"/>
  <c r="P183" i="21"/>
  <c r="DY183" i="21" s="1"/>
  <c r="O183" i="21"/>
  <c r="BE183" i="21" s="1"/>
  <c r="H183" i="21"/>
  <c r="AK183" i="21" s="1"/>
  <c r="FZ182" i="21"/>
  <c r="EA182" i="21"/>
  <c r="DY182" i="21"/>
  <c r="DH182" i="21"/>
  <c r="CG182" i="21"/>
  <c r="CF182" i="21"/>
  <c r="CH182" i="21" s="1"/>
  <c r="CD182" i="21"/>
  <c r="CE182" i="21" s="1"/>
  <c r="BE182" i="21"/>
  <c r="AS182" i="21"/>
  <c r="AK182" i="21"/>
  <c r="AB182" i="21"/>
  <c r="Z182" i="21"/>
  <c r="X182" i="21"/>
  <c r="EL182" i="21" s="1"/>
  <c r="EK182" i="21" s="1"/>
  <c r="W182" i="21"/>
  <c r="V182" i="21"/>
  <c r="Q182" i="21"/>
  <c r="N182" i="21" s="1"/>
  <c r="EE182" i="21" s="1"/>
  <c r="P182" i="21"/>
  <c r="O182" i="21"/>
  <c r="U182" i="21" s="1"/>
  <c r="I182" i="21"/>
  <c r="H182" i="21"/>
  <c r="DL182" i="21" s="1"/>
  <c r="FZ181" i="21"/>
  <c r="EA181" i="21"/>
  <c r="DL181" i="21"/>
  <c r="DH181" i="21"/>
  <c r="CH181" i="21"/>
  <c r="CG181" i="21"/>
  <c r="CF181" i="21"/>
  <c r="CE181" i="21"/>
  <c r="CD181" i="21"/>
  <c r="BA181" i="21"/>
  <c r="AS181" i="21"/>
  <c r="AB181" i="21"/>
  <c r="Z181" i="21"/>
  <c r="X181" i="21"/>
  <c r="EL181" i="21" s="1"/>
  <c r="EK181" i="21" s="1"/>
  <c r="W181" i="21"/>
  <c r="V181" i="21"/>
  <c r="Q181" i="21"/>
  <c r="FY181" i="21" s="1"/>
  <c r="P181" i="21"/>
  <c r="DY181" i="21" s="1"/>
  <c r="O181" i="21"/>
  <c r="L181" i="21"/>
  <c r="H181" i="21"/>
  <c r="AM181" i="21" s="1"/>
  <c r="FZ180" i="21"/>
  <c r="FX180" i="21"/>
  <c r="DH180" i="21"/>
  <c r="CG180" i="21"/>
  <c r="CH180" i="21" s="1"/>
  <c r="CF180" i="21"/>
  <c r="CD180" i="21"/>
  <c r="CE180" i="21" s="1"/>
  <c r="AS180" i="21"/>
  <c r="AI180" i="21"/>
  <c r="EA180" i="21" s="1"/>
  <c r="AB180" i="21"/>
  <c r="Z180" i="21"/>
  <c r="W180" i="21"/>
  <c r="BA180" i="21" s="1"/>
  <c r="V180" i="21"/>
  <c r="Q180" i="21"/>
  <c r="BZ180" i="21" s="1"/>
  <c r="P180" i="21"/>
  <c r="DY180" i="21" s="1"/>
  <c r="O180" i="21"/>
  <c r="T180" i="21" s="1"/>
  <c r="H180" i="21"/>
  <c r="DL180" i="21" s="1"/>
  <c r="FZ179" i="21"/>
  <c r="FX179" i="21"/>
  <c r="EL179" i="21"/>
  <c r="EK179" i="21" s="1"/>
  <c r="EA179" i="21"/>
  <c r="DY179" i="21"/>
  <c r="DH179" i="21"/>
  <c r="CG179" i="21"/>
  <c r="CF179" i="21"/>
  <c r="CH179" i="21" s="1"/>
  <c r="CD179" i="21"/>
  <c r="CE179" i="21" s="1"/>
  <c r="BA179" i="21"/>
  <c r="AS179" i="21"/>
  <c r="AB179" i="21"/>
  <c r="Z179" i="21"/>
  <c r="Y179" i="21"/>
  <c r="DT179" i="21" s="1"/>
  <c r="X179" i="21"/>
  <c r="W179" i="21"/>
  <c r="V179" i="21"/>
  <c r="Q179" i="21"/>
  <c r="N179" i="21" s="1"/>
  <c r="P179" i="21"/>
  <c r="O179" i="21"/>
  <c r="BE179" i="21" s="1"/>
  <c r="H179" i="21"/>
  <c r="FZ178" i="21"/>
  <c r="FX178" i="21"/>
  <c r="EA178" i="21"/>
  <c r="DY178" i="21"/>
  <c r="DH178" i="21"/>
  <c r="CH178" i="21"/>
  <c r="CG178" i="21"/>
  <c r="CF178" i="21"/>
  <c r="CD178" i="21"/>
  <c r="CE178" i="21" s="1"/>
  <c r="BA178" i="21"/>
  <c r="AS178" i="21"/>
  <c r="AI178" i="21"/>
  <c r="AB178" i="21"/>
  <c r="Z178" i="21"/>
  <c r="X178" i="21"/>
  <c r="EL178" i="21" s="1"/>
  <c r="EK178" i="21" s="1"/>
  <c r="W178" i="21"/>
  <c r="V178" i="21"/>
  <c r="Q178" i="21"/>
  <c r="BZ178" i="21" s="1"/>
  <c r="P178" i="21"/>
  <c r="O178" i="21"/>
  <c r="U178" i="21" s="1"/>
  <c r="H178" i="21"/>
  <c r="FZ177" i="21"/>
  <c r="FY177" i="21" s="1"/>
  <c r="DY177" i="21"/>
  <c r="DH177" i="21"/>
  <c r="CH177" i="21"/>
  <c r="CG177" i="21"/>
  <c r="CF177" i="21"/>
  <c r="CD177" i="21"/>
  <c r="CE177" i="21" s="1"/>
  <c r="BA177" i="21"/>
  <c r="AS177" i="21"/>
  <c r="AI177" i="21"/>
  <c r="EA177" i="21" s="1"/>
  <c r="AB177" i="21"/>
  <c r="Z177" i="21"/>
  <c r="X177" i="21"/>
  <c r="W177" i="21"/>
  <c r="V177" i="21"/>
  <c r="Q177" i="21"/>
  <c r="P177" i="21"/>
  <c r="O177" i="21"/>
  <c r="N177" i="21" s="1"/>
  <c r="L177" i="21"/>
  <c r="H177" i="21"/>
  <c r="DL177" i="21" s="1"/>
  <c r="FZ176" i="21"/>
  <c r="FY176" i="21"/>
  <c r="EA176" i="21"/>
  <c r="DY176" i="21"/>
  <c r="DH176" i="21"/>
  <c r="CG176" i="21"/>
  <c r="CF176" i="21"/>
  <c r="CD176" i="21"/>
  <c r="CE176" i="21" s="1"/>
  <c r="AS176" i="21"/>
  <c r="AB176" i="21"/>
  <c r="Z176" i="21"/>
  <c r="W176" i="21"/>
  <c r="V176" i="21"/>
  <c r="Q176" i="21"/>
  <c r="P176" i="21"/>
  <c r="O176" i="21"/>
  <c r="H176" i="21"/>
  <c r="FZ175" i="21"/>
  <c r="EA175" i="21"/>
  <c r="DY175" i="21"/>
  <c r="DH175" i="21"/>
  <c r="CG175" i="21"/>
  <c r="CF175" i="21"/>
  <c r="CH175" i="21" s="1"/>
  <c r="CD175" i="21"/>
  <c r="CE175" i="21" s="1"/>
  <c r="BA175" i="21"/>
  <c r="AS175" i="21"/>
  <c r="AB175" i="21"/>
  <c r="Z175" i="21"/>
  <c r="W175" i="21"/>
  <c r="V175" i="21"/>
  <c r="T175" i="21"/>
  <c r="Q175" i="21"/>
  <c r="FY175" i="21" s="1"/>
  <c r="P175" i="21"/>
  <c r="O175" i="21"/>
  <c r="N175" i="21"/>
  <c r="EE175" i="21" s="1"/>
  <c r="H175" i="21"/>
  <c r="FZ174" i="21"/>
  <c r="DY174" i="21"/>
  <c r="DH174" i="21"/>
  <c r="CG174" i="21"/>
  <c r="CF174" i="21"/>
  <c r="CD174" i="21"/>
  <c r="CE174" i="21" s="1"/>
  <c r="BA174" i="21"/>
  <c r="AS174" i="21"/>
  <c r="AN174" i="21"/>
  <c r="AI174" i="21"/>
  <c r="EA174" i="21" s="1"/>
  <c r="AB174" i="21"/>
  <c r="Z174" i="21"/>
  <c r="BI174" i="21" s="1"/>
  <c r="X174" i="21"/>
  <c r="Y174" i="21" s="1"/>
  <c r="W174" i="21"/>
  <c r="V174" i="21"/>
  <c r="Q174" i="21"/>
  <c r="BR174" i="21" s="1"/>
  <c r="DZ174" i="21" s="1"/>
  <c r="EB174" i="21" s="1"/>
  <c r="P174" i="21"/>
  <c r="O174" i="21"/>
  <c r="BE174" i="21" s="1"/>
  <c r="H174" i="21"/>
  <c r="S174" i="21" s="1"/>
  <c r="FZ173" i="21"/>
  <c r="DH173" i="21"/>
  <c r="CG173" i="21"/>
  <c r="CF173" i="21"/>
  <c r="CD173" i="21"/>
  <c r="CE173" i="21" s="1"/>
  <c r="AS173" i="21"/>
  <c r="AI173" i="21"/>
  <c r="EA173" i="21" s="1"/>
  <c r="AB173" i="21"/>
  <c r="Z173" i="21"/>
  <c r="W173" i="21"/>
  <c r="V173" i="21"/>
  <c r="Q173" i="21"/>
  <c r="P173" i="21"/>
  <c r="DY173" i="21" s="1"/>
  <c r="O173" i="21"/>
  <c r="N173" i="21" s="1"/>
  <c r="EE173" i="21" s="1"/>
  <c r="L173" i="21"/>
  <c r="H173" i="21"/>
  <c r="AM173" i="21" s="1"/>
  <c r="FZ172" i="21"/>
  <c r="EA172" i="21"/>
  <c r="DH172" i="21"/>
  <c r="CG172" i="21"/>
  <c r="CF172" i="21"/>
  <c r="CD172" i="21"/>
  <c r="CE172" i="21" s="1"/>
  <c r="AS172" i="21"/>
  <c r="AM172" i="21"/>
  <c r="AB172" i="21"/>
  <c r="Z172" i="21"/>
  <c r="X172" i="21"/>
  <c r="W172" i="21"/>
  <c r="V172" i="21"/>
  <c r="U172" i="21"/>
  <c r="Q172" i="21"/>
  <c r="CA172" i="21" s="1"/>
  <c r="P172" i="21"/>
  <c r="DY172" i="21" s="1"/>
  <c r="O172" i="21"/>
  <c r="BE172" i="21" s="1"/>
  <c r="I172" i="21"/>
  <c r="M172" i="21" s="1"/>
  <c r="H172" i="21"/>
  <c r="L172" i="21" s="1"/>
  <c r="FZ171" i="21"/>
  <c r="EA171" i="21"/>
  <c r="DY171" i="21"/>
  <c r="DH171" i="21"/>
  <c r="CG171" i="21"/>
  <c r="CF171" i="21"/>
  <c r="CD171" i="21"/>
  <c r="CE171" i="21" s="1"/>
  <c r="CA171" i="21"/>
  <c r="BR171" i="21"/>
  <c r="DZ171" i="21" s="1"/>
  <c r="EB171" i="21" s="1"/>
  <c r="AS171" i="21"/>
  <c r="AB171" i="21"/>
  <c r="Z171" i="21"/>
  <c r="W171" i="21"/>
  <c r="V171" i="21"/>
  <c r="Q171" i="21"/>
  <c r="P171" i="21"/>
  <c r="O171" i="21"/>
  <c r="BE171" i="21" s="1"/>
  <c r="H171" i="21"/>
  <c r="FZ170" i="21"/>
  <c r="EA170" i="21"/>
  <c r="DH170" i="21"/>
  <c r="CG170" i="21"/>
  <c r="CH170" i="21" s="1"/>
  <c r="CF170" i="21"/>
  <c r="CD170" i="21"/>
  <c r="CE170" i="21" s="1"/>
  <c r="AS170" i="21"/>
  <c r="AB170" i="21"/>
  <c r="Z170" i="21"/>
  <c r="W170" i="21"/>
  <c r="V170" i="21"/>
  <c r="Q170" i="21"/>
  <c r="P170" i="21"/>
  <c r="DY170" i="21" s="1"/>
  <c r="O170" i="21"/>
  <c r="FX170" i="21" s="1"/>
  <c r="H170" i="21"/>
  <c r="FZ169" i="21"/>
  <c r="FY169" i="21" s="1"/>
  <c r="EA169" i="21"/>
  <c r="DH169" i="21"/>
  <c r="CG169" i="21"/>
  <c r="CF169" i="21"/>
  <c r="CD169" i="21"/>
  <c r="CE169" i="21" s="1"/>
  <c r="BA169" i="21"/>
  <c r="AS169" i="21"/>
  <c r="AI169" i="21"/>
  <c r="AB169" i="21"/>
  <c r="Z169" i="21"/>
  <c r="W169" i="21"/>
  <c r="V169" i="21"/>
  <c r="T169" i="21"/>
  <c r="Q169" i="21"/>
  <c r="CA169" i="21" s="1"/>
  <c r="P169" i="21"/>
  <c r="DY169" i="21" s="1"/>
  <c r="O169" i="21"/>
  <c r="FX169" i="21" s="1"/>
  <c r="H169" i="21"/>
  <c r="FZ168" i="21"/>
  <c r="FX168" i="21"/>
  <c r="EA168" i="21"/>
  <c r="DH168" i="21"/>
  <c r="CG168" i="21"/>
  <c r="CF168" i="21"/>
  <c r="CH168" i="21" s="1"/>
  <c r="CD168" i="21"/>
  <c r="CE168" i="21" s="1"/>
  <c r="AX168" i="21"/>
  <c r="CM168" i="21" s="1"/>
  <c r="AS168" i="21"/>
  <c r="AB168" i="21"/>
  <c r="Z168" i="21"/>
  <c r="Y168" i="21"/>
  <c r="X168" i="21"/>
  <c r="EL168" i="21" s="1"/>
  <c r="EK168" i="21" s="1"/>
  <c r="W168" i="21"/>
  <c r="V168" i="21"/>
  <c r="U168" i="21"/>
  <c r="S168" i="21"/>
  <c r="AN168" i="21" s="1"/>
  <c r="Q168" i="21"/>
  <c r="BR168" i="21" s="1"/>
  <c r="DZ168" i="21" s="1"/>
  <c r="EB168" i="21" s="1"/>
  <c r="P168" i="21"/>
  <c r="DY168" i="21" s="1"/>
  <c r="O168" i="21"/>
  <c r="BE168" i="21" s="1"/>
  <c r="I168" i="21"/>
  <c r="M168" i="21" s="1"/>
  <c r="H168" i="21"/>
  <c r="L168" i="21" s="1"/>
  <c r="FZ167" i="21"/>
  <c r="EA167" i="21"/>
  <c r="DH167" i="21"/>
  <c r="CG167" i="21"/>
  <c r="CF167" i="21"/>
  <c r="CH167" i="21" s="1"/>
  <c r="CD167" i="21"/>
  <c r="CE167" i="21" s="1"/>
  <c r="BF167" i="21"/>
  <c r="CO167" i="21" s="1"/>
  <c r="AS167" i="21"/>
  <c r="AB167" i="21"/>
  <c r="Z167" i="21"/>
  <c r="W167" i="21"/>
  <c r="V167" i="21"/>
  <c r="T167" i="21"/>
  <c r="S167" i="21"/>
  <c r="Q167" i="21"/>
  <c r="P167" i="21"/>
  <c r="DY167" i="21" s="1"/>
  <c r="O167" i="21"/>
  <c r="BE167" i="21" s="1"/>
  <c r="M167" i="21"/>
  <c r="H167" i="21"/>
  <c r="I167" i="21" s="1"/>
  <c r="FZ166" i="21"/>
  <c r="DH166" i="21"/>
  <c r="CG166" i="21"/>
  <c r="CF166" i="21"/>
  <c r="CH166" i="21" s="1"/>
  <c r="CD166" i="21"/>
  <c r="CE166" i="21" s="1"/>
  <c r="BA166" i="21"/>
  <c r="AS166" i="21"/>
  <c r="AP166" i="21"/>
  <c r="AP167" i="21" s="1"/>
  <c r="AI166" i="21"/>
  <c r="EA166" i="21" s="1"/>
  <c r="AB166" i="21"/>
  <c r="Z166" i="21"/>
  <c r="W166" i="21"/>
  <c r="X166" i="21" s="1"/>
  <c r="EL166" i="21" s="1"/>
  <c r="EK166" i="21" s="1"/>
  <c r="V166" i="21"/>
  <c r="Q166" i="21"/>
  <c r="P166" i="21"/>
  <c r="DY166" i="21" s="1"/>
  <c r="O166" i="21"/>
  <c r="H166" i="21"/>
  <c r="L166" i="21" s="1"/>
  <c r="FZ165" i="21"/>
  <c r="EA165" i="21"/>
  <c r="DH165" i="21"/>
  <c r="CG165" i="21"/>
  <c r="CF165" i="21"/>
  <c r="CH165" i="21" s="1"/>
  <c r="CD165" i="21"/>
  <c r="CE165" i="21" s="1"/>
  <c r="BA165" i="21"/>
  <c r="AS165" i="21"/>
  <c r="AB165" i="21"/>
  <c r="Z165" i="21"/>
  <c r="X165" i="21"/>
  <c r="W165" i="21"/>
  <c r="V165" i="21"/>
  <c r="Q165" i="21"/>
  <c r="P165" i="21"/>
  <c r="DY165" i="21" s="1"/>
  <c r="O165" i="21"/>
  <c r="N165" i="21"/>
  <c r="EE165" i="21" s="1"/>
  <c r="L165" i="21"/>
  <c r="H165" i="21"/>
  <c r="FZ164" i="21"/>
  <c r="FY164" i="21"/>
  <c r="EA164" i="21"/>
  <c r="DL164" i="21"/>
  <c r="DH164" i="21"/>
  <c r="CG164" i="21"/>
  <c r="CH164" i="21" s="1"/>
  <c r="CF164" i="21"/>
  <c r="CD164" i="21"/>
  <c r="CE164" i="21" s="1"/>
  <c r="BE164" i="21"/>
  <c r="AN164" i="21"/>
  <c r="AM164" i="21"/>
  <c r="AL164" i="21"/>
  <c r="AQ164" i="21" s="1"/>
  <c r="AK164" i="21"/>
  <c r="AJ164" i="21" s="1"/>
  <c r="AB164" i="21"/>
  <c r="Z164" i="21"/>
  <c r="W164" i="21"/>
  <c r="BA164" i="21" s="1"/>
  <c r="BB164" i="21" s="1"/>
  <c r="V164" i="21"/>
  <c r="S164" i="21"/>
  <c r="O164" i="21"/>
  <c r="CA164" i="21" s="1"/>
  <c r="L164" i="21"/>
  <c r="I164" i="21"/>
  <c r="AX164" i="21" s="1"/>
  <c r="FZ163" i="21"/>
  <c r="FY163" i="21"/>
  <c r="EA163" i="21"/>
  <c r="DL163" i="21"/>
  <c r="DH163" i="21"/>
  <c r="CG163" i="21"/>
  <c r="CF163" i="21"/>
  <c r="CE163" i="21"/>
  <c r="CD163" i="21"/>
  <c r="AT163" i="21"/>
  <c r="DU163" i="21" s="1"/>
  <c r="AN163" i="21"/>
  <c r="AM163" i="21"/>
  <c r="AL163" i="21"/>
  <c r="AK163" i="21"/>
  <c r="AJ163" i="21" s="1"/>
  <c r="Z163" i="21"/>
  <c r="X163" i="21"/>
  <c r="Y163" i="21" s="1"/>
  <c r="W163" i="21"/>
  <c r="BA163" i="21" s="1"/>
  <c r="V163" i="21"/>
  <c r="S163" i="21"/>
  <c r="O163" i="21"/>
  <c r="CA163" i="21" s="1"/>
  <c r="L163" i="21"/>
  <c r="I163" i="21"/>
  <c r="FZ162" i="21"/>
  <c r="FY162" i="21"/>
  <c r="EA162" i="21"/>
  <c r="DL162" i="21"/>
  <c r="DH162" i="21"/>
  <c r="CG162" i="21"/>
  <c r="CF162" i="21"/>
  <c r="CD162" i="21"/>
  <c r="CE162" i="21" s="1"/>
  <c r="AX162" i="21"/>
  <c r="AN162" i="21"/>
  <c r="AM162" i="21"/>
  <c r="AL162" i="21"/>
  <c r="AQ162" i="21" s="1"/>
  <c r="AK162" i="21"/>
  <c r="Z162" i="21"/>
  <c r="W162" i="21"/>
  <c r="BA162" i="21" s="1"/>
  <c r="BB162" i="21" s="1"/>
  <c r="V162" i="21"/>
  <c r="S162" i="21"/>
  <c r="O162" i="21"/>
  <c r="M162" i="21"/>
  <c r="L162" i="21"/>
  <c r="I162" i="21"/>
  <c r="P162" i="21" s="1"/>
  <c r="DY162" i="21" s="1"/>
  <c r="FZ161" i="21"/>
  <c r="FY161" i="21"/>
  <c r="EL161" i="21"/>
  <c r="EK161" i="21" s="1"/>
  <c r="EA161" i="21"/>
  <c r="DL161" i="21"/>
  <c r="DH161" i="21"/>
  <c r="CG161" i="21"/>
  <c r="CF161" i="21"/>
  <c r="CD161" i="21"/>
  <c r="CE161" i="21" s="1"/>
  <c r="BA161" i="21"/>
  <c r="AN161" i="21"/>
  <c r="AM161" i="21"/>
  <c r="AL161" i="21"/>
  <c r="AK161" i="21"/>
  <c r="Z161" i="21"/>
  <c r="X161" i="21"/>
  <c r="Y161" i="21" s="1"/>
  <c r="BI161" i="21" s="1"/>
  <c r="W161" i="21"/>
  <c r="V161" i="21"/>
  <c r="S161" i="21"/>
  <c r="O161" i="21"/>
  <c r="L161" i="21"/>
  <c r="I161" i="21"/>
  <c r="FZ160" i="21"/>
  <c r="FY160" i="21"/>
  <c r="EA160" i="21"/>
  <c r="DL160" i="21"/>
  <c r="DH160" i="21"/>
  <c r="CG160" i="21"/>
  <c r="CF160" i="21"/>
  <c r="CD160" i="21"/>
  <c r="CE160" i="21" s="1"/>
  <c r="BA160" i="21"/>
  <c r="AN160" i="21"/>
  <c r="AM160" i="21"/>
  <c r="AL160" i="21"/>
  <c r="AQ160" i="21" s="1"/>
  <c r="AK160" i="21"/>
  <c r="AB160" i="21"/>
  <c r="Z160" i="21"/>
  <c r="X160" i="21"/>
  <c r="EL160" i="21" s="1"/>
  <c r="EK160" i="21" s="1"/>
  <c r="W160" i="21"/>
  <c r="V160" i="21"/>
  <c r="S160" i="21"/>
  <c r="O160" i="21"/>
  <c r="FX160" i="21" s="1"/>
  <c r="GA160" i="21" s="1"/>
  <c r="L160" i="21"/>
  <c r="I160" i="21"/>
  <c r="AX160" i="21" s="1"/>
  <c r="FZ159" i="21"/>
  <c r="FY159" i="21"/>
  <c r="EA159" i="21"/>
  <c r="DL159" i="21"/>
  <c r="DH159" i="21"/>
  <c r="CG159" i="21"/>
  <c r="CF159" i="21"/>
  <c r="CH159" i="21" s="1"/>
  <c r="CD159" i="21"/>
  <c r="CE159" i="21" s="1"/>
  <c r="AN159" i="21"/>
  <c r="AM159" i="21"/>
  <c r="AL159" i="21"/>
  <c r="AK159" i="21"/>
  <c r="AT159" i="21" s="1"/>
  <c r="DU159" i="21" s="1"/>
  <c r="Z159" i="21"/>
  <c r="W159" i="21"/>
  <c r="BA159" i="21" s="1"/>
  <c r="V159" i="21"/>
  <c r="S159" i="21"/>
  <c r="O159" i="21"/>
  <c r="L159" i="21"/>
  <c r="I159" i="21"/>
  <c r="FZ158" i="21"/>
  <c r="FY158" i="21"/>
  <c r="EA158" i="21"/>
  <c r="DL158" i="21"/>
  <c r="DH158" i="21"/>
  <c r="CG158" i="21"/>
  <c r="CF158" i="21"/>
  <c r="CD158" i="21"/>
  <c r="CE158" i="21" s="1"/>
  <c r="BA158" i="21"/>
  <c r="AX158" i="21"/>
  <c r="AN158" i="21"/>
  <c r="AM158" i="21"/>
  <c r="AL158" i="21"/>
  <c r="AK158" i="21"/>
  <c r="Z158" i="21"/>
  <c r="X158" i="21"/>
  <c r="W158" i="21"/>
  <c r="V158" i="21"/>
  <c r="T158" i="21"/>
  <c r="S158" i="21"/>
  <c r="P158" i="21"/>
  <c r="DY158" i="21" s="1"/>
  <c r="O158" i="21"/>
  <c r="M158" i="21"/>
  <c r="L158" i="21"/>
  <c r="I158" i="21"/>
  <c r="DI158" i="21" s="1"/>
  <c r="FZ157" i="21"/>
  <c r="FY157" i="21"/>
  <c r="EA157" i="21"/>
  <c r="DL157" i="21"/>
  <c r="DH157" i="21"/>
  <c r="CG157" i="21"/>
  <c r="CF157" i="21"/>
  <c r="CE157" i="21"/>
  <c r="CD157" i="21"/>
  <c r="BA157" i="21"/>
  <c r="AN157" i="21"/>
  <c r="AM157" i="21"/>
  <c r="AL157" i="21"/>
  <c r="AK157" i="21"/>
  <c r="Z157" i="21"/>
  <c r="W157" i="21"/>
  <c r="X157" i="21" s="1"/>
  <c r="V157" i="21"/>
  <c r="S157" i="21"/>
  <c r="O157" i="21"/>
  <c r="L157" i="21"/>
  <c r="I157" i="21"/>
  <c r="DI157" i="21" s="1"/>
  <c r="FZ156" i="21"/>
  <c r="FY156" i="21"/>
  <c r="EA156" i="21"/>
  <c r="DL156" i="21"/>
  <c r="DH156" i="21"/>
  <c r="CG156" i="21"/>
  <c r="CF156" i="21"/>
  <c r="CE156" i="21"/>
  <c r="CD156" i="21"/>
  <c r="AN156" i="21"/>
  <c r="AM156" i="21"/>
  <c r="AL156" i="21"/>
  <c r="AK156" i="21"/>
  <c r="AT156" i="21" s="1"/>
  <c r="DU156" i="21" s="1"/>
  <c r="AB156" i="21"/>
  <c r="Z156" i="21"/>
  <c r="X156" i="21"/>
  <c r="EL156" i="21" s="1"/>
  <c r="EK156" i="21" s="1"/>
  <c r="W156" i="21"/>
  <c r="V156" i="21"/>
  <c r="S156" i="21"/>
  <c r="O156" i="21"/>
  <c r="T156" i="21" s="1"/>
  <c r="L156" i="21"/>
  <c r="I156" i="21"/>
  <c r="AX156" i="21" s="1"/>
  <c r="FZ155" i="21"/>
  <c r="FY155" i="21"/>
  <c r="EA155" i="21"/>
  <c r="DL155" i="21"/>
  <c r="DH155" i="21"/>
  <c r="CG155" i="21"/>
  <c r="CH155" i="21" s="1"/>
  <c r="CF155" i="21"/>
  <c r="CD155" i="21"/>
  <c r="CE155" i="21" s="1"/>
  <c r="CA155" i="21"/>
  <c r="BR155" i="21"/>
  <c r="DZ155" i="21" s="1"/>
  <c r="EB155" i="21" s="1"/>
  <c r="BE155" i="21"/>
  <c r="BA155" i="21"/>
  <c r="AN155" i="21"/>
  <c r="AM155" i="21"/>
  <c r="AL155" i="21"/>
  <c r="AQ155" i="21" s="1"/>
  <c r="AK155" i="21"/>
  <c r="Z155" i="21"/>
  <c r="W155" i="21"/>
  <c r="V155" i="21"/>
  <c r="S155" i="21"/>
  <c r="O155" i="21"/>
  <c r="U155" i="21" s="1"/>
  <c r="L155" i="21"/>
  <c r="I155" i="21"/>
  <c r="FZ154" i="21"/>
  <c r="FY154" i="21"/>
  <c r="EA154" i="21"/>
  <c r="DL154" i="21"/>
  <c r="DH154" i="21"/>
  <c r="CG154" i="21"/>
  <c r="CF154" i="21"/>
  <c r="CE154" i="21"/>
  <c r="CD154" i="21"/>
  <c r="BA154" i="21"/>
  <c r="AN154" i="21"/>
  <c r="AM154" i="21"/>
  <c r="AL154" i="21"/>
  <c r="AQ154" i="21" s="1"/>
  <c r="AK154" i="21"/>
  <c r="AT154" i="21" s="1"/>
  <c r="DU154" i="21" s="1"/>
  <c r="Z154" i="21"/>
  <c r="Y154" i="21"/>
  <c r="X154" i="21"/>
  <c r="EL154" i="21" s="1"/>
  <c r="EK154" i="21" s="1"/>
  <c r="EM154" i="21" s="1"/>
  <c r="EP154" i="21" s="1"/>
  <c r="EQ154" i="21" s="1"/>
  <c r="W154" i="21"/>
  <c r="V154" i="21"/>
  <c r="S154" i="21"/>
  <c r="O154" i="21"/>
  <c r="U154" i="21" s="1"/>
  <c r="L154" i="21"/>
  <c r="I154" i="21"/>
  <c r="FZ153" i="21"/>
  <c r="FY153" i="21"/>
  <c r="EA153" i="21"/>
  <c r="DL153" i="21"/>
  <c r="DI153" i="21"/>
  <c r="DH153" i="21"/>
  <c r="CG153" i="21"/>
  <c r="CH153" i="21" s="1"/>
  <c r="CF153" i="21"/>
  <c r="CD153" i="21"/>
  <c r="CE153" i="21" s="1"/>
  <c r="CA153" i="21"/>
  <c r="BF153" i="21"/>
  <c r="BE153" i="21"/>
  <c r="AT153" i="21"/>
  <c r="DU153" i="21" s="1"/>
  <c r="AN153" i="21"/>
  <c r="AM153" i="21"/>
  <c r="AL153" i="21"/>
  <c r="AQ153" i="21" s="1"/>
  <c r="AU153" i="21" s="1"/>
  <c r="AK153" i="21"/>
  <c r="Z153" i="21"/>
  <c r="X153" i="21"/>
  <c r="EL153" i="21" s="1"/>
  <c r="EK153" i="21" s="1"/>
  <c r="W153" i="21"/>
  <c r="V153" i="21"/>
  <c r="U153" i="21"/>
  <c r="S153" i="21"/>
  <c r="P153" i="21"/>
  <c r="DY153" i="21" s="1"/>
  <c r="O153" i="21"/>
  <c r="M153" i="21"/>
  <c r="L153" i="21"/>
  <c r="I153" i="21"/>
  <c r="AX153" i="21" s="1"/>
  <c r="DI152" i="21"/>
  <c r="DH152" i="21"/>
  <c r="CG152" i="21"/>
  <c r="CF152" i="21"/>
  <c r="CH152" i="21" s="1"/>
  <c r="CD152" i="21"/>
  <c r="CE152" i="21" s="1"/>
  <c r="AK152" i="21"/>
  <c r="AM152" i="21" s="1"/>
  <c r="AJ152" i="21"/>
  <c r="AB152" i="21"/>
  <c r="W152" i="21"/>
  <c r="S152" i="21"/>
  <c r="Q152" i="21"/>
  <c r="FY152" i="21" s="1"/>
  <c r="P152" i="21"/>
  <c r="DY152" i="21" s="1"/>
  <c r="O152" i="21"/>
  <c r="N152" i="21"/>
  <c r="K152" i="21"/>
  <c r="EA152" i="21" s="1"/>
  <c r="J152" i="21"/>
  <c r="H152" i="21"/>
  <c r="G152" i="21"/>
  <c r="DH151" i="21"/>
  <c r="CG151" i="21"/>
  <c r="BA151" i="21"/>
  <c r="AB151" i="21"/>
  <c r="W151" i="21"/>
  <c r="X151" i="21" s="1"/>
  <c r="EL151" i="21" s="1"/>
  <c r="EK151" i="21" s="1"/>
  <c r="S151" i="21"/>
  <c r="Q151" i="21"/>
  <c r="P151" i="21"/>
  <c r="O151" i="21"/>
  <c r="N151" i="21"/>
  <c r="K151" i="21"/>
  <c r="J151" i="21"/>
  <c r="H151" i="21"/>
  <c r="G151" i="21"/>
  <c r="FX150" i="21"/>
  <c r="DH150" i="21"/>
  <c r="BR150" i="21"/>
  <c r="BK150" i="21"/>
  <c r="BA150" i="21"/>
  <c r="AB150" i="21"/>
  <c r="X150" i="21"/>
  <c r="EL150" i="21" s="1"/>
  <c r="W150" i="21"/>
  <c r="S150" i="21"/>
  <c r="Q150" i="21"/>
  <c r="P150" i="21"/>
  <c r="O150" i="21"/>
  <c r="N150" i="21"/>
  <c r="K150" i="21"/>
  <c r="J150" i="21"/>
  <c r="H150" i="21"/>
  <c r="G150" i="21"/>
  <c r="CG150" i="21" s="1"/>
  <c r="FZ149" i="21"/>
  <c r="FX149" i="21"/>
  <c r="EA149" i="21"/>
  <c r="DL149" i="21"/>
  <c r="DH149" i="21"/>
  <c r="CD149" i="21"/>
  <c r="CE149" i="21" s="1"/>
  <c r="BZ149" i="21"/>
  <c r="BR149" i="21"/>
  <c r="DZ149" i="21" s="1"/>
  <c r="EB149" i="21" s="1"/>
  <c r="AJ149" i="21"/>
  <c r="AB149" i="21"/>
  <c r="W149" i="21"/>
  <c r="BA149" i="21" s="1"/>
  <c r="S149" i="21"/>
  <c r="Q149" i="21"/>
  <c r="P149" i="21"/>
  <c r="DY149" i="21" s="1"/>
  <c r="O149" i="21"/>
  <c r="N149" i="21"/>
  <c r="L149" i="21"/>
  <c r="K149" i="21"/>
  <c r="CF149" i="21" s="1"/>
  <c r="J149" i="21"/>
  <c r="I149" i="21"/>
  <c r="H149" i="21"/>
  <c r="G149" i="21"/>
  <c r="CG149" i="21" s="1"/>
  <c r="FX148" i="21"/>
  <c r="EA148" i="21"/>
  <c r="DH148" i="21"/>
  <c r="CG148" i="21"/>
  <c r="CF148" i="21"/>
  <c r="CH148" i="21" s="1"/>
  <c r="CD148" i="21"/>
  <c r="CE148" i="21" s="1"/>
  <c r="BR148" i="21"/>
  <c r="DZ148" i="21" s="1"/>
  <c r="BK148" i="21"/>
  <c r="BM148" i="21" s="1"/>
  <c r="AK148" i="21"/>
  <c r="AL148" i="21" s="1"/>
  <c r="AJ148" i="21"/>
  <c r="AB148" i="21"/>
  <c r="X148" i="21"/>
  <c r="EL148" i="21" s="1"/>
  <c r="EK148" i="21" s="1"/>
  <c r="W148" i="21"/>
  <c r="BA148" i="21" s="1"/>
  <c r="U148" i="21"/>
  <c r="T148" i="21"/>
  <c r="S148" i="21"/>
  <c r="Q148" i="21"/>
  <c r="P148" i="21"/>
  <c r="O148" i="21"/>
  <c r="CA148" i="21" s="1"/>
  <c r="N148" i="21"/>
  <c r="K148" i="21"/>
  <c r="J148" i="21"/>
  <c r="H148" i="21"/>
  <c r="G148" i="21"/>
  <c r="FZ147" i="21"/>
  <c r="FY147" i="21"/>
  <c r="FX147" i="21"/>
  <c r="EA147" i="21"/>
  <c r="DJ147" i="21"/>
  <c r="DI147" i="21"/>
  <c r="DH147" i="21"/>
  <c r="CD147" i="21"/>
  <c r="CE147" i="21" s="1"/>
  <c r="AB147" i="21"/>
  <c r="W147" i="21"/>
  <c r="X147" i="21" s="1"/>
  <c r="S147" i="21"/>
  <c r="Q147" i="21"/>
  <c r="BR147" i="21" s="1"/>
  <c r="DZ147" i="21" s="1"/>
  <c r="EB147" i="21" s="1"/>
  <c r="P147" i="21"/>
  <c r="DY147" i="21" s="1"/>
  <c r="O147" i="21"/>
  <c r="BE147" i="21" s="1"/>
  <c r="N147" i="21"/>
  <c r="EE147" i="21" s="1"/>
  <c r="L147" i="21"/>
  <c r="K147" i="21"/>
  <c r="J147" i="21"/>
  <c r="I147" i="21"/>
  <c r="H147" i="21"/>
  <c r="G147" i="21"/>
  <c r="FZ146" i="21"/>
  <c r="FY146" i="21" s="1"/>
  <c r="EL146" i="21"/>
  <c r="EK146" i="21" s="1"/>
  <c r="EA146" i="21"/>
  <c r="DY146" i="21"/>
  <c r="DH146" i="21"/>
  <c r="CG146" i="21"/>
  <c r="CF146" i="21"/>
  <c r="CD146" i="21"/>
  <c r="CE146" i="21" s="1"/>
  <c r="BR146" i="21"/>
  <c r="DZ146" i="21" s="1"/>
  <c r="EB146" i="21" s="1"/>
  <c r="BA146" i="21"/>
  <c r="AJ146" i="21"/>
  <c r="Y146" i="21"/>
  <c r="DT146" i="21" s="1"/>
  <c r="V146" i="21"/>
  <c r="W146" i="21" s="1"/>
  <c r="S146" i="21"/>
  <c r="Q146" i="21"/>
  <c r="O146" i="21"/>
  <c r="FX146" i="21" s="1"/>
  <c r="M146" i="21"/>
  <c r="H146" i="21"/>
  <c r="GA146" i="21" s="1"/>
  <c r="CS146" i="21" s="1"/>
  <c r="FZ145" i="21"/>
  <c r="EL145" i="21"/>
  <c r="EK145" i="21" s="1"/>
  <c r="EA145" i="21"/>
  <c r="DY145" i="21"/>
  <c r="DH145" i="21"/>
  <c r="CG145" i="21"/>
  <c r="CF145" i="21"/>
  <c r="CD145" i="21"/>
  <c r="CE145" i="21" s="1"/>
  <c r="BZ145" i="21"/>
  <c r="BR145" i="21"/>
  <c r="DZ145" i="21" s="1"/>
  <c r="EB145" i="21" s="1"/>
  <c r="BA145" i="21"/>
  <c r="AM145" i="21"/>
  <c r="AJ145" i="21"/>
  <c r="Y145" i="21"/>
  <c r="V145" i="21"/>
  <c r="W145" i="21" s="1"/>
  <c r="S145" i="21"/>
  <c r="U145" i="21" s="1"/>
  <c r="Q145" i="21"/>
  <c r="FY145" i="21" s="1"/>
  <c r="GA145" i="21" s="1"/>
  <c r="CS145" i="21" s="1"/>
  <c r="O145" i="21"/>
  <c r="FX145" i="21" s="1"/>
  <c r="M145" i="21"/>
  <c r="H145" i="21"/>
  <c r="AK145" i="21" s="1"/>
  <c r="FZ144" i="21"/>
  <c r="FX144" i="21"/>
  <c r="EL144" i="21"/>
  <c r="EK144" i="21" s="1"/>
  <c r="EA144" i="21"/>
  <c r="DY144" i="21"/>
  <c r="DH144" i="21"/>
  <c r="CG144" i="21"/>
  <c r="CF144" i="21"/>
  <c r="CH144" i="21" s="1"/>
  <c r="CD144" i="21"/>
  <c r="CE144" i="21" s="1"/>
  <c r="AJ144" i="21"/>
  <c r="Y144" i="21"/>
  <c r="DT144" i="21" s="1"/>
  <c r="V144" i="21"/>
  <c r="W144" i="21" s="1"/>
  <c r="BA144" i="21" s="1"/>
  <c r="S144" i="21"/>
  <c r="Q144" i="21"/>
  <c r="BR144" i="21" s="1"/>
  <c r="DZ144" i="21" s="1"/>
  <c r="EB144" i="21" s="1"/>
  <c r="O144" i="21"/>
  <c r="BE144" i="21" s="1"/>
  <c r="BF144" i="21" s="1"/>
  <c r="CO144" i="21" s="1"/>
  <c r="M144" i="21"/>
  <c r="H144" i="21"/>
  <c r="FZ143" i="21"/>
  <c r="EL143" i="21"/>
  <c r="EK143" i="21" s="1"/>
  <c r="EA143" i="21"/>
  <c r="DY143" i="21"/>
  <c r="DH143" i="21"/>
  <c r="CG143" i="21"/>
  <c r="CH143" i="21" s="1"/>
  <c r="CF143" i="21"/>
  <c r="CD143" i="21"/>
  <c r="CE143" i="21" s="1"/>
  <c r="CA143" i="21"/>
  <c r="AJ143" i="21"/>
  <c r="Y143" i="21"/>
  <c r="DT143" i="21" s="1"/>
  <c r="V143" i="21"/>
  <c r="W143" i="21" s="1"/>
  <c r="BA143" i="21" s="1"/>
  <c r="BB143" i="21" s="1"/>
  <c r="S143" i="21"/>
  <c r="Q143" i="21"/>
  <c r="O143" i="21"/>
  <c r="M143" i="21"/>
  <c r="H143" i="21"/>
  <c r="I143" i="21" s="1"/>
  <c r="AX143" i="21" s="1"/>
  <c r="CM143" i="21" s="1"/>
  <c r="FG143" i="21" s="1"/>
  <c r="FZ142" i="21"/>
  <c r="EL142" i="21"/>
  <c r="EK142" i="21"/>
  <c r="EA142" i="21"/>
  <c r="DY142" i="21"/>
  <c r="DH142" i="21"/>
  <c r="CG142" i="21"/>
  <c r="CF142" i="21"/>
  <c r="CH142" i="21" s="1"/>
  <c r="CD142" i="21"/>
  <c r="CE142" i="21" s="1"/>
  <c r="BR142" i="21"/>
  <c r="DZ142" i="21" s="1"/>
  <c r="EB142" i="21" s="1"/>
  <c r="AG142" i="21"/>
  <c r="Y142" i="21"/>
  <c r="DT142" i="21" s="1"/>
  <c r="V142" i="21"/>
  <c r="W142" i="21" s="1"/>
  <c r="S142" i="21"/>
  <c r="Q142" i="21"/>
  <c r="BZ142" i="21" s="1"/>
  <c r="O142" i="21"/>
  <c r="FX142" i="21" s="1"/>
  <c r="M142" i="21"/>
  <c r="H142" i="21"/>
  <c r="DI142" i="21" s="1"/>
  <c r="FZ141" i="21"/>
  <c r="EL141" i="21"/>
  <c r="EK141" i="21" s="1"/>
  <c r="EA141" i="21"/>
  <c r="DY141" i="21"/>
  <c r="DH141" i="21"/>
  <c r="CG141" i="21"/>
  <c r="CF141" i="21"/>
  <c r="CH141" i="21" s="1"/>
  <c r="Y141" i="21"/>
  <c r="DT141" i="21" s="1"/>
  <c r="V141" i="21"/>
  <c r="W141" i="21" s="1"/>
  <c r="S141" i="21"/>
  <c r="Q141" i="21"/>
  <c r="O141" i="21"/>
  <c r="FX141" i="21" s="1"/>
  <c r="M141" i="21"/>
  <c r="H141" i="21"/>
  <c r="DI141" i="21" s="1"/>
  <c r="FZ140" i="21"/>
  <c r="EL140" i="21"/>
  <c r="EK140" i="21" s="1"/>
  <c r="EA140" i="21"/>
  <c r="DY140" i="21"/>
  <c r="DH140" i="21"/>
  <c r="CG140" i="21"/>
  <c r="CH140" i="21" s="1"/>
  <c r="CF140" i="21"/>
  <c r="CD140" i="21"/>
  <c r="CE140" i="21" s="1"/>
  <c r="AJ140" i="21"/>
  <c r="Y140" i="21"/>
  <c r="DT140" i="21" s="1"/>
  <c r="V140" i="21"/>
  <c r="W140" i="21" s="1"/>
  <c r="BA140" i="21" s="1"/>
  <c r="S140" i="21"/>
  <c r="Q140" i="21"/>
  <c r="O140" i="21"/>
  <c r="FX140" i="21" s="1"/>
  <c r="M140" i="21"/>
  <c r="H140" i="21"/>
  <c r="DI140" i="21" s="1"/>
  <c r="FZ139" i="21"/>
  <c r="EL139" i="21"/>
  <c r="EK139" i="21" s="1"/>
  <c r="EA139" i="21"/>
  <c r="DY139" i="21"/>
  <c r="DH139" i="21"/>
  <c r="CG139" i="21"/>
  <c r="CF139" i="21"/>
  <c r="CH139" i="21" s="1"/>
  <c r="CE139" i="21"/>
  <c r="CD139" i="21"/>
  <c r="AJ139" i="21"/>
  <c r="Y139" i="21"/>
  <c r="DT139" i="21" s="1"/>
  <c r="V139" i="21"/>
  <c r="W139" i="21" s="1"/>
  <c r="S139" i="21"/>
  <c r="Q139" i="21"/>
  <c r="O139" i="21"/>
  <c r="M139" i="21"/>
  <c r="I139" i="21"/>
  <c r="H139" i="21"/>
  <c r="FZ138" i="21"/>
  <c r="EL138" i="21"/>
  <c r="EK138" i="21" s="1"/>
  <c r="EA138" i="21"/>
  <c r="DY138" i="21"/>
  <c r="DL138" i="21"/>
  <c r="DH138" i="21"/>
  <c r="CG138" i="21"/>
  <c r="CF138" i="21"/>
  <c r="CH138" i="21" s="1"/>
  <c r="CD138" i="21"/>
  <c r="CE138" i="21" s="1"/>
  <c r="Y138" i="21"/>
  <c r="DT138" i="21" s="1"/>
  <c r="V138" i="21"/>
  <c r="W138" i="21" s="1"/>
  <c r="S138" i="21"/>
  <c r="Q138" i="21"/>
  <c r="FY138" i="21" s="1"/>
  <c r="O138" i="21"/>
  <c r="M138" i="21"/>
  <c r="H138" i="21"/>
  <c r="I138" i="21" s="1"/>
  <c r="GA137" i="21"/>
  <c r="CS137" i="21" s="1"/>
  <c r="FZ137" i="21"/>
  <c r="EL137" i="21"/>
  <c r="EK137" i="21"/>
  <c r="EA137" i="21"/>
  <c r="DY137" i="21"/>
  <c r="DH137" i="21"/>
  <c r="CG137" i="21"/>
  <c r="CF137" i="21"/>
  <c r="CD137" i="21"/>
  <c r="CE137" i="21" s="1"/>
  <c r="Y137" i="21"/>
  <c r="V137" i="21"/>
  <c r="W137" i="21" s="1"/>
  <c r="BA137" i="21" s="1"/>
  <c r="S137" i="21"/>
  <c r="Q137" i="21"/>
  <c r="FY137" i="21" s="1"/>
  <c r="O137" i="21"/>
  <c r="FX137" i="21" s="1"/>
  <c r="M137" i="21"/>
  <c r="H137" i="21"/>
  <c r="DI137" i="21" s="1"/>
  <c r="FZ136" i="21"/>
  <c r="EL136" i="21"/>
  <c r="EK136" i="21"/>
  <c r="EE136" i="21"/>
  <c r="EA136" i="21"/>
  <c r="DY136" i="21"/>
  <c r="DH136" i="21"/>
  <c r="CG136" i="21"/>
  <c r="CH136" i="21" s="1"/>
  <c r="CF136" i="21"/>
  <c r="CD136" i="21"/>
  <c r="CE136" i="21" s="1"/>
  <c r="BK136" i="21"/>
  <c r="Y136" i="21"/>
  <c r="DT136" i="21" s="1"/>
  <c r="V136" i="21"/>
  <c r="W136" i="21" s="1"/>
  <c r="S136" i="21"/>
  <c r="U136" i="21" s="1"/>
  <c r="Q136" i="21"/>
  <c r="FY136" i="21" s="1"/>
  <c r="O136" i="21"/>
  <c r="FX136" i="21" s="1"/>
  <c r="M136" i="21"/>
  <c r="H136" i="21"/>
  <c r="FZ135" i="21"/>
  <c r="FY135" i="21"/>
  <c r="FX135" i="21"/>
  <c r="GA135" i="21" s="1"/>
  <c r="CS135" i="21" s="1"/>
  <c r="EL135" i="21"/>
  <c r="EK135" i="21" s="1"/>
  <c r="EA135" i="21"/>
  <c r="DY135" i="21"/>
  <c r="DH135" i="21"/>
  <c r="CG135" i="21"/>
  <c r="CF135" i="21"/>
  <c r="CD135" i="21"/>
  <c r="CE135" i="21" s="1"/>
  <c r="CA135" i="21"/>
  <c r="Y135" i="21"/>
  <c r="DT135" i="21" s="1"/>
  <c r="W135" i="21"/>
  <c r="V135" i="21"/>
  <c r="S135" i="21"/>
  <c r="U135" i="21" s="1"/>
  <c r="Q135" i="21"/>
  <c r="BZ135" i="21" s="1"/>
  <c r="O135" i="21"/>
  <c r="M135" i="21"/>
  <c r="H135" i="21"/>
  <c r="FZ134" i="21"/>
  <c r="EL134" i="21"/>
  <c r="EK134" i="21" s="1"/>
  <c r="EA134" i="21"/>
  <c r="DY134" i="21"/>
  <c r="DH134" i="21"/>
  <c r="CG134" i="21"/>
  <c r="CF134" i="21"/>
  <c r="CD134" i="21"/>
  <c r="CE134" i="21" s="1"/>
  <c r="Y134" i="21"/>
  <c r="DT134" i="21" s="1"/>
  <c r="V134" i="21"/>
  <c r="S134" i="21"/>
  <c r="Q134" i="21"/>
  <c r="O134" i="21"/>
  <c r="M134" i="21"/>
  <c r="H134" i="21"/>
  <c r="DI134" i="21" s="1"/>
  <c r="FZ133" i="21"/>
  <c r="EL133" i="21"/>
  <c r="EK133" i="21" s="1"/>
  <c r="EA133" i="21"/>
  <c r="DY133" i="21"/>
  <c r="DH133" i="21"/>
  <c r="CG133" i="21"/>
  <c r="CF133" i="21"/>
  <c r="CH133" i="21" s="1"/>
  <c r="CE133" i="21"/>
  <c r="CD133" i="21"/>
  <c r="AK133" i="21"/>
  <c r="Y133" i="21"/>
  <c r="V133" i="21"/>
  <c r="W133" i="21" s="1"/>
  <c r="S133" i="21"/>
  <c r="Q133" i="21"/>
  <c r="O133" i="21"/>
  <c r="M133" i="21"/>
  <c r="H133" i="21"/>
  <c r="DI133" i="21" s="1"/>
  <c r="FZ132" i="21"/>
  <c r="EL132" i="21"/>
  <c r="EK132" i="21" s="1"/>
  <c r="EA132" i="21"/>
  <c r="DY132" i="21"/>
  <c r="DH132" i="21"/>
  <c r="CH132" i="21"/>
  <c r="CG132" i="21"/>
  <c r="CF132" i="21"/>
  <c r="CD132" i="21"/>
  <c r="CE132" i="21" s="1"/>
  <c r="Y132" i="21"/>
  <c r="DT132" i="21" s="1"/>
  <c r="V132" i="21"/>
  <c r="W132" i="21" s="1"/>
  <c r="S132" i="21"/>
  <c r="Q132" i="21"/>
  <c r="O132" i="21"/>
  <c r="M132" i="21"/>
  <c r="H132" i="21"/>
  <c r="DI132" i="21" s="1"/>
  <c r="ET132" i="21" s="1"/>
  <c r="FZ131" i="21"/>
  <c r="EL131" i="21"/>
  <c r="EK131" i="21" s="1"/>
  <c r="EA131" i="21"/>
  <c r="DY131" i="21"/>
  <c r="DH131" i="21"/>
  <c r="CG131" i="21"/>
  <c r="CF131" i="21"/>
  <c r="CH131" i="21" s="1"/>
  <c r="CE131" i="21"/>
  <c r="CD131" i="21"/>
  <c r="Y131" i="21"/>
  <c r="V131" i="21"/>
  <c r="W131" i="21" s="1"/>
  <c r="S131" i="21"/>
  <c r="Q131" i="21"/>
  <c r="O131" i="21"/>
  <c r="FX131" i="21" s="1"/>
  <c r="M131" i="21"/>
  <c r="H131" i="21"/>
  <c r="FZ130" i="21"/>
  <c r="EL130" i="21"/>
  <c r="EK130" i="21" s="1"/>
  <c r="EA130" i="21"/>
  <c r="DY130" i="21"/>
  <c r="DH130" i="21"/>
  <c r="CG130" i="21"/>
  <c r="CF130" i="21"/>
  <c r="CH130" i="21" s="1"/>
  <c r="CE130" i="21"/>
  <c r="CD130" i="21"/>
  <c r="BK130" i="21"/>
  <c r="BL130" i="21" s="1"/>
  <c r="BN130" i="21" s="1"/>
  <c r="AK130" i="21"/>
  <c r="Y130" i="21"/>
  <c r="DT130" i="21" s="1"/>
  <c r="V130" i="21"/>
  <c r="W130" i="21" s="1"/>
  <c r="U130" i="21"/>
  <c r="S130" i="21"/>
  <c r="Q130" i="21"/>
  <c r="BZ130" i="21" s="1"/>
  <c r="O130" i="21"/>
  <c r="FX130" i="21" s="1"/>
  <c r="M130" i="21"/>
  <c r="H130" i="21"/>
  <c r="EE130" i="21" s="1"/>
  <c r="FZ129" i="21"/>
  <c r="EL129" i="21"/>
  <c r="EK129" i="21"/>
  <c r="EA129" i="21"/>
  <c r="DY129" i="21"/>
  <c r="DH129" i="21"/>
  <c r="CG129" i="21"/>
  <c r="CF129" i="21"/>
  <c r="CH129" i="21" s="1"/>
  <c r="CD129" i="21"/>
  <c r="CE129" i="21" s="1"/>
  <c r="Y129" i="21"/>
  <c r="DT129" i="21" s="1"/>
  <c r="V129" i="21"/>
  <c r="W129" i="21" s="1"/>
  <c r="S129" i="21"/>
  <c r="U129" i="21" s="1"/>
  <c r="Q129" i="21"/>
  <c r="O129" i="21"/>
  <c r="FX129" i="21" s="1"/>
  <c r="M129" i="21"/>
  <c r="H129" i="21"/>
  <c r="DI129" i="21" s="1"/>
  <c r="FZ128" i="21"/>
  <c r="EL128" i="21"/>
  <c r="EK128" i="21"/>
  <c r="EA128" i="21"/>
  <c r="DY128" i="21"/>
  <c r="DH128" i="21"/>
  <c r="CG128" i="21"/>
  <c r="CF128" i="21"/>
  <c r="CE128" i="21"/>
  <c r="CD128" i="21"/>
  <c r="Y128" i="21"/>
  <c r="DT128" i="21" s="1"/>
  <c r="V128" i="21"/>
  <c r="W128" i="21" s="1"/>
  <c r="BA128" i="21" s="1"/>
  <c r="S128" i="21"/>
  <c r="Q128" i="21"/>
  <c r="FY128" i="21" s="1"/>
  <c r="O128" i="21"/>
  <c r="M128" i="21"/>
  <c r="H128" i="21"/>
  <c r="GD127" i="21"/>
  <c r="FZ127" i="21"/>
  <c r="EL127" i="21"/>
  <c r="EK127" i="21"/>
  <c r="EA127" i="21"/>
  <c r="DY127" i="21"/>
  <c r="DT127" i="21"/>
  <c r="DH127" i="21"/>
  <c r="CG127" i="21"/>
  <c r="CF127" i="21"/>
  <c r="CH127" i="21" s="1"/>
  <c r="CD127" i="21"/>
  <c r="CE127" i="21" s="1"/>
  <c r="AK127" i="21"/>
  <c r="AM127" i="21" s="1"/>
  <c r="Y127" i="21"/>
  <c r="V127" i="21"/>
  <c r="W127" i="21" s="1"/>
  <c r="BA127" i="21" s="1"/>
  <c r="S127" i="21"/>
  <c r="U127" i="21" s="1"/>
  <c r="Q127" i="21"/>
  <c r="FY127" i="21" s="1"/>
  <c r="O127" i="21"/>
  <c r="FX127" i="21" s="1"/>
  <c r="GA127" i="21" s="1"/>
  <c r="CS127" i="21" s="1"/>
  <c r="M127" i="21"/>
  <c r="H127" i="21"/>
  <c r="EE127" i="21" s="1"/>
  <c r="FZ126" i="21"/>
  <c r="EL126" i="21"/>
  <c r="EK126" i="21" s="1"/>
  <c r="EA126" i="21"/>
  <c r="DY126" i="21"/>
  <c r="DH126" i="21"/>
  <c r="CG126" i="21"/>
  <c r="CH126" i="21" s="1"/>
  <c r="CF126" i="21"/>
  <c r="CD126" i="21"/>
  <c r="CE126" i="21" s="1"/>
  <c r="Y126" i="21"/>
  <c r="W126" i="21"/>
  <c r="V126" i="21"/>
  <c r="S126" i="21"/>
  <c r="U126" i="21" s="1"/>
  <c r="Q126" i="21"/>
  <c r="O126" i="21"/>
  <c r="FX126" i="21" s="1"/>
  <c r="M126" i="21"/>
  <c r="H126" i="21"/>
  <c r="AN126" i="21" s="1"/>
  <c r="FZ125" i="21"/>
  <c r="EL125" i="21"/>
  <c r="EK125" i="21" s="1"/>
  <c r="EA125" i="21"/>
  <c r="DY125" i="21"/>
  <c r="DT125" i="21"/>
  <c r="DH125" i="21"/>
  <c r="CG125" i="21"/>
  <c r="CF125" i="21"/>
  <c r="CH125" i="21" s="1"/>
  <c r="CD125" i="21"/>
  <c r="CE125" i="21" s="1"/>
  <c r="CA125" i="21"/>
  <c r="Y125" i="21"/>
  <c r="V125" i="21"/>
  <c r="W125" i="21" s="1"/>
  <c r="S125" i="21"/>
  <c r="U125" i="21" s="1"/>
  <c r="Q125" i="21"/>
  <c r="O125" i="21"/>
  <c r="BZ125" i="21" s="1"/>
  <c r="CB125" i="21" s="1"/>
  <c r="M125" i="21"/>
  <c r="H125" i="21"/>
  <c r="FZ124" i="21"/>
  <c r="EL124" i="21"/>
  <c r="EK124" i="21"/>
  <c r="EA124" i="21"/>
  <c r="DY124" i="21"/>
  <c r="DH124" i="21"/>
  <c r="CG124" i="21"/>
  <c r="CF124" i="21"/>
  <c r="CH124" i="21" s="1"/>
  <c r="CD124" i="21"/>
  <c r="CE124" i="21" s="1"/>
  <c r="Y124" i="21"/>
  <c r="DT124" i="21" s="1"/>
  <c r="V124" i="21"/>
  <c r="W124" i="21" s="1"/>
  <c r="BA124" i="21" s="1"/>
  <c r="S124" i="21"/>
  <c r="Q124" i="21"/>
  <c r="O124" i="21"/>
  <c r="M124" i="21"/>
  <c r="H124" i="21"/>
  <c r="DL124" i="21" s="1"/>
  <c r="FZ123" i="21"/>
  <c r="FY123" i="21"/>
  <c r="FX123" i="21"/>
  <c r="EL123" i="21"/>
  <c r="EK123" i="21"/>
  <c r="EA123" i="21"/>
  <c r="DY123" i="21"/>
  <c r="DT123" i="21"/>
  <c r="DH123" i="21"/>
  <c r="CG123" i="21"/>
  <c r="CF123" i="21"/>
  <c r="CH123" i="21" s="1"/>
  <c r="CD123" i="21"/>
  <c r="CE123" i="21" s="1"/>
  <c r="Y123" i="21"/>
  <c r="W123" i="21"/>
  <c r="V123" i="21"/>
  <c r="S123" i="21"/>
  <c r="Q123" i="21"/>
  <c r="O123" i="21"/>
  <c r="CA123" i="21" s="1"/>
  <c r="M123" i="21"/>
  <c r="H123" i="21"/>
  <c r="DL123" i="21" s="1"/>
  <c r="FZ122" i="21"/>
  <c r="EA122" i="21"/>
  <c r="DY122" i="21"/>
  <c r="DH122" i="21"/>
  <c r="CG122" i="21"/>
  <c r="CF122" i="21"/>
  <c r="BK122" i="21"/>
  <c r="AK122" i="21"/>
  <c r="AM122" i="21" s="1"/>
  <c r="AG122" i="21"/>
  <c r="W122" i="21"/>
  <c r="S122" i="21"/>
  <c r="T122" i="21" s="1"/>
  <c r="Q122" i="21"/>
  <c r="O122" i="21"/>
  <c r="N122" i="21"/>
  <c r="I122" i="21"/>
  <c r="DJ122" i="21" s="1"/>
  <c r="H122" i="21"/>
  <c r="DL122" i="21" s="1"/>
  <c r="GF121" i="21"/>
  <c r="GC121" i="21"/>
  <c r="FZ121" i="21"/>
  <c r="GE121" i="21" s="1"/>
  <c r="FX121" i="21"/>
  <c r="EA121" i="21"/>
  <c r="DY121" i="21"/>
  <c r="DH121" i="21"/>
  <c r="CG121" i="21"/>
  <c r="CH121" i="21" s="1"/>
  <c r="CF121" i="21"/>
  <c r="CA121" i="21"/>
  <c r="BZ121" i="21"/>
  <c r="CB121" i="21" s="1"/>
  <c r="BK121" i="21"/>
  <c r="AK121" i="21"/>
  <c r="AM121" i="21" s="1"/>
  <c r="AG121" i="21"/>
  <c r="CD121" i="21" s="1"/>
  <c r="CE121" i="21" s="1"/>
  <c r="X121" i="21"/>
  <c r="EL121" i="21" s="1"/>
  <c r="EK121" i="21" s="1"/>
  <c r="W121" i="21"/>
  <c r="BA121" i="21" s="1"/>
  <c r="S121" i="21"/>
  <c r="Q121" i="21"/>
  <c r="O121" i="21"/>
  <c r="BR121" i="21" s="1"/>
  <c r="DZ121" i="21" s="1"/>
  <c r="N121" i="21"/>
  <c r="I121" i="21"/>
  <c r="AX121" i="21" s="1"/>
  <c r="CM121" i="21" s="1"/>
  <c r="H121" i="21"/>
  <c r="DL121" i="21" s="1"/>
  <c r="FZ120" i="21"/>
  <c r="FX120" i="21"/>
  <c r="EA120" i="21"/>
  <c r="DY120" i="21"/>
  <c r="DH120" i="21"/>
  <c r="CG120" i="21"/>
  <c r="CF120" i="21"/>
  <c r="CH120" i="21" s="1"/>
  <c r="BZ120" i="21"/>
  <c r="BR120" i="21"/>
  <c r="DZ120" i="21" s="1"/>
  <c r="EB120" i="21" s="1"/>
  <c r="BK120" i="21"/>
  <c r="AK120" i="21"/>
  <c r="AM120" i="21" s="1"/>
  <c r="W120" i="21"/>
  <c r="S120" i="21"/>
  <c r="BM120" i="21" s="1"/>
  <c r="Q120" i="21"/>
  <c r="CA120" i="21" s="1"/>
  <c r="O120" i="21"/>
  <c r="N120" i="21"/>
  <c r="I120" i="21"/>
  <c r="H120" i="21"/>
  <c r="FZ119" i="21"/>
  <c r="EA119" i="21"/>
  <c r="DY119" i="21"/>
  <c r="DI119" i="21"/>
  <c r="DH119" i="21"/>
  <c r="CG119" i="21"/>
  <c r="CF119" i="21"/>
  <c r="BK119" i="21"/>
  <c r="W119" i="21"/>
  <c r="BA119" i="21" s="1"/>
  <c r="BB119" i="21" s="1"/>
  <c r="S119" i="21"/>
  <c r="U119" i="21" s="1"/>
  <c r="Q119" i="21"/>
  <c r="O119" i="21"/>
  <c r="N119" i="21"/>
  <c r="I119" i="21"/>
  <c r="AX119" i="21" s="1"/>
  <c r="CM119" i="21" s="1"/>
  <c r="H119" i="21"/>
  <c r="FZ118" i="21"/>
  <c r="FX118" i="21"/>
  <c r="DY118" i="21"/>
  <c r="DH118" i="21"/>
  <c r="CG118" i="21"/>
  <c r="CH118" i="21" s="1"/>
  <c r="CF118" i="21"/>
  <c r="BZ118" i="21"/>
  <c r="BR118" i="21"/>
  <c r="DZ118" i="21" s="1"/>
  <c r="AN118" i="21"/>
  <c r="AG118" i="21"/>
  <c r="FY118" i="21" s="1"/>
  <c r="AE118" i="21"/>
  <c r="W118" i="21"/>
  <c r="BA118" i="21" s="1"/>
  <c r="BB118" i="21" s="1"/>
  <c r="T118" i="21"/>
  <c r="S118" i="21"/>
  <c r="Q118" i="21"/>
  <c r="CA118" i="21" s="1"/>
  <c r="O118" i="21"/>
  <c r="N118" i="21"/>
  <c r="I118" i="21"/>
  <c r="DJ118" i="21" s="1"/>
  <c r="H118" i="21"/>
  <c r="FZ117" i="21"/>
  <c r="FX117" i="21"/>
  <c r="EY117" i="21"/>
  <c r="EA117" i="21"/>
  <c r="DY117" i="21"/>
  <c r="DL117" i="21"/>
  <c r="DJ117" i="21"/>
  <c r="DI117" i="21"/>
  <c r="DH117" i="21"/>
  <c r="CG117" i="21"/>
  <c r="CF117" i="21"/>
  <c r="CD117" i="21"/>
  <c r="CE117" i="21" s="1"/>
  <c r="CA117" i="21"/>
  <c r="BZ117" i="21"/>
  <c r="CB117" i="21" s="1"/>
  <c r="BR117" i="21"/>
  <c r="DZ117" i="21" s="1"/>
  <c r="BE117" i="21"/>
  <c r="BF117" i="21" s="1"/>
  <c r="AX117" i="21"/>
  <c r="AK117" i="21"/>
  <c r="AM117" i="21" s="1"/>
  <c r="W117" i="21"/>
  <c r="T117" i="21"/>
  <c r="S117" i="21"/>
  <c r="AL117" i="21" s="1"/>
  <c r="Q117" i="21"/>
  <c r="FY117" i="21" s="1"/>
  <c r="O117" i="21"/>
  <c r="N117" i="21"/>
  <c r="GC116" i="21"/>
  <c r="GD116" i="21" s="1"/>
  <c r="FZ116" i="21"/>
  <c r="FX116" i="21"/>
  <c r="EA116" i="21"/>
  <c r="DY116" i="21"/>
  <c r="DH116" i="21"/>
  <c r="CG116" i="21"/>
  <c r="CF116" i="21"/>
  <c r="CH116" i="21" s="1"/>
  <c r="CD116" i="21"/>
  <c r="CE116" i="21" s="1"/>
  <c r="W116" i="21"/>
  <c r="BA116" i="21" s="1"/>
  <c r="S116" i="21"/>
  <c r="Q116" i="21"/>
  <c r="O116" i="21"/>
  <c r="N116" i="21"/>
  <c r="I116" i="21"/>
  <c r="H116" i="21"/>
  <c r="FZ115" i="21"/>
  <c r="FY115" i="21"/>
  <c r="FX115" i="21"/>
  <c r="EA115" i="21"/>
  <c r="DY115" i="21"/>
  <c r="DH115" i="21"/>
  <c r="CG115" i="21"/>
  <c r="CH115" i="21" s="1"/>
  <c r="CF115" i="21"/>
  <c r="CD115" i="21"/>
  <c r="CE115" i="21" s="1"/>
  <c r="CA115" i="21"/>
  <c r="BZ115" i="21"/>
  <c r="BR115" i="21"/>
  <c r="DZ115" i="21" s="1"/>
  <c r="BK115" i="21"/>
  <c r="BM115" i="21" s="1"/>
  <c r="BE115" i="21"/>
  <c r="BF115" i="21" s="1"/>
  <c r="CO115" i="21" s="1"/>
  <c r="W115" i="21"/>
  <c r="S115" i="21"/>
  <c r="Q115" i="21"/>
  <c r="O115" i="21"/>
  <c r="N115" i="21"/>
  <c r="EE115" i="21" s="1"/>
  <c r="I115" i="21"/>
  <c r="AX115" i="21" s="1"/>
  <c r="CM115" i="21" s="1"/>
  <c r="H115" i="21"/>
  <c r="DI115" i="21" s="1"/>
  <c r="FZ114" i="21"/>
  <c r="FX114" i="21"/>
  <c r="EA114" i="21"/>
  <c r="DY114" i="21"/>
  <c r="DH114" i="21"/>
  <c r="CG114" i="21"/>
  <c r="CF114" i="21"/>
  <c r="CH114" i="21" s="1"/>
  <c r="CD114" i="21"/>
  <c r="CE114" i="21" s="1"/>
  <c r="BZ114" i="21"/>
  <c r="CB114" i="21" s="1"/>
  <c r="BR114" i="21"/>
  <c r="DZ114" i="21" s="1"/>
  <c r="W114" i="21"/>
  <c r="S114" i="21"/>
  <c r="Q114" i="21"/>
  <c r="CA114" i="21" s="1"/>
  <c r="O114" i="21"/>
  <c r="BE114" i="21" s="1"/>
  <c r="BF114" i="21" s="1"/>
  <c r="CO114" i="21" s="1"/>
  <c r="N114" i="21"/>
  <c r="I114" i="21"/>
  <c r="AX114" i="21" s="1"/>
  <c r="CM114" i="21" s="1"/>
  <c r="H114" i="21"/>
  <c r="AK114" i="21" s="1"/>
  <c r="FZ113" i="21"/>
  <c r="FY113" i="21"/>
  <c r="FX113" i="21"/>
  <c r="EA113" i="21"/>
  <c r="DY113" i="21"/>
  <c r="DH113" i="21"/>
  <c r="CM113" i="21"/>
  <c r="FG113" i="21" s="1"/>
  <c r="CG113" i="21"/>
  <c r="CF113" i="21"/>
  <c r="CH113" i="21" s="1"/>
  <c r="CI113" i="21" s="1"/>
  <c r="CK113" i="21" s="1"/>
  <c r="CP113" i="21" s="1"/>
  <c r="CD113" i="21"/>
  <c r="CE113" i="21" s="1"/>
  <c r="CB113" i="21"/>
  <c r="CA113" i="21"/>
  <c r="BZ113" i="21"/>
  <c r="BR113" i="21"/>
  <c r="DZ113" i="21" s="1"/>
  <c r="EB113" i="21" s="1"/>
  <c r="BK113" i="21"/>
  <c r="BE113" i="21"/>
  <c r="BF113" i="21" s="1"/>
  <c r="CO113" i="21" s="1"/>
  <c r="AX113" i="21"/>
  <c r="AN113" i="21"/>
  <c r="X113" i="21"/>
  <c r="Y113" i="21" s="1"/>
  <c r="W113" i="21"/>
  <c r="S113" i="21"/>
  <c r="BM113" i="21" s="1"/>
  <c r="Q113" i="21"/>
  <c r="O113" i="21"/>
  <c r="N113" i="21"/>
  <c r="I113" i="21"/>
  <c r="H113" i="21"/>
  <c r="FZ112" i="21"/>
  <c r="EL112" i="21"/>
  <c r="EK112" i="21" s="1"/>
  <c r="EE112" i="21"/>
  <c r="EA112" i="21"/>
  <c r="DY112" i="21"/>
  <c r="DH112" i="21"/>
  <c r="CH112" i="21"/>
  <c r="CG112" i="21"/>
  <c r="CF112" i="21"/>
  <c r="CD112" i="21"/>
  <c r="CE112" i="21" s="1"/>
  <c r="BA112" i="21"/>
  <c r="X112" i="21"/>
  <c r="Y112" i="21" s="1"/>
  <c r="W112" i="21"/>
  <c r="S112" i="21"/>
  <c r="U112" i="21" s="1"/>
  <c r="Q112" i="21"/>
  <c r="O112" i="21"/>
  <c r="N112" i="21"/>
  <c r="I112" i="21"/>
  <c r="H112" i="21"/>
  <c r="FZ111" i="21"/>
  <c r="EA111" i="21"/>
  <c r="DY111" i="21"/>
  <c r="DH111" i="21"/>
  <c r="CG111" i="21"/>
  <c r="CF111" i="21"/>
  <c r="CH111" i="21" s="1"/>
  <c r="CE111" i="21"/>
  <c r="CD111" i="21"/>
  <c r="AX111" i="21"/>
  <c r="AK111" i="21"/>
  <c r="AM111" i="21" s="1"/>
  <c r="W111" i="21"/>
  <c r="BA111" i="21" s="1"/>
  <c r="U111" i="21"/>
  <c r="S111" i="21"/>
  <c r="O111" i="21"/>
  <c r="N111" i="21"/>
  <c r="I111" i="21"/>
  <c r="H111" i="21"/>
  <c r="DL111" i="21" s="1"/>
  <c r="FZ110" i="21"/>
  <c r="FX110" i="21"/>
  <c r="EA110" i="21"/>
  <c r="DY110" i="21"/>
  <c r="DH110" i="21"/>
  <c r="CG110" i="21"/>
  <c r="CF110" i="21"/>
  <c r="CH110" i="21" s="1"/>
  <c r="CD110" i="21"/>
  <c r="CE110" i="21" s="1"/>
  <c r="BE110" i="21"/>
  <c r="BF110" i="21" s="1"/>
  <c r="AM110" i="21"/>
  <c r="AK110" i="21"/>
  <c r="W110" i="21"/>
  <c r="BA110" i="21" s="1"/>
  <c r="BB110" i="21" s="1"/>
  <c r="S110" i="21"/>
  <c r="EE110" i="21" s="1"/>
  <c r="Q110" i="21"/>
  <c r="O110" i="21"/>
  <c r="N110" i="21"/>
  <c r="I110" i="21"/>
  <c r="H110" i="21"/>
  <c r="FZ109" i="21"/>
  <c r="EA109" i="21"/>
  <c r="DY109" i="21"/>
  <c r="DH109" i="21"/>
  <c r="CG109" i="21"/>
  <c r="CF109" i="21"/>
  <c r="CH109" i="21" s="1"/>
  <c r="CD109" i="21"/>
  <c r="CE109" i="21" s="1"/>
  <c r="W109" i="21"/>
  <c r="S109" i="21"/>
  <c r="Q109" i="21"/>
  <c r="FY109" i="21" s="1"/>
  <c r="N109" i="21"/>
  <c r="I109" i="21"/>
  <c r="H109" i="21"/>
  <c r="DL109" i="21" s="1"/>
  <c r="FZ108" i="21"/>
  <c r="EA108" i="21"/>
  <c r="DY108" i="21"/>
  <c r="DH108" i="21"/>
  <c r="CG108" i="21"/>
  <c r="CF108" i="21"/>
  <c r="CH108" i="21" s="1"/>
  <c r="CD108" i="21"/>
  <c r="CE108" i="21" s="1"/>
  <c r="W108" i="21"/>
  <c r="S108" i="21"/>
  <c r="U108" i="21" s="1"/>
  <c r="Q108" i="21"/>
  <c r="N108" i="21"/>
  <c r="I108" i="21"/>
  <c r="H108" i="21"/>
  <c r="DL108" i="21" s="1"/>
  <c r="FZ107" i="21"/>
  <c r="FX107" i="21"/>
  <c r="EL107" i="21"/>
  <c r="EK107" i="21" s="1"/>
  <c r="EA107" i="21"/>
  <c r="DY107" i="21"/>
  <c r="DH107" i="21"/>
  <c r="CG107" i="21"/>
  <c r="CF107" i="21"/>
  <c r="CH107" i="21" s="1"/>
  <c r="CD107" i="21"/>
  <c r="CE107" i="21" s="1"/>
  <c r="CA107" i="21"/>
  <c r="BZ107" i="21"/>
  <c r="CB107" i="21" s="1"/>
  <c r="BR107" i="21"/>
  <c r="DZ107" i="21" s="1"/>
  <c r="BA107" i="21"/>
  <c r="AP107" i="21"/>
  <c r="AP108" i="21" s="1"/>
  <c r="X107" i="21"/>
  <c r="Y107" i="21" s="1"/>
  <c r="W107" i="21"/>
  <c r="S107" i="21"/>
  <c r="U107" i="21" s="1"/>
  <c r="Q107" i="21"/>
  <c r="BK107" i="21" s="1"/>
  <c r="BL107" i="21" s="1"/>
  <c r="BN107" i="21" s="1"/>
  <c r="O107" i="21"/>
  <c r="N107" i="21"/>
  <c r="I107" i="21"/>
  <c r="AX107" i="21" s="1"/>
  <c r="H107" i="21"/>
  <c r="DI107" i="21" s="1"/>
  <c r="FZ106" i="21"/>
  <c r="FX106" i="21"/>
  <c r="EA106" i="21"/>
  <c r="DY106" i="21"/>
  <c r="DL106" i="21"/>
  <c r="DI106" i="21"/>
  <c r="DH106" i="21"/>
  <c r="CH106" i="21"/>
  <c r="CG106" i="21"/>
  <c r="CF106" i="21"/>
  <c r="CD106" i="21"/>
  <c r="CE106" i="21" s="1"/>
  <c r="BA106" i="21"/>
  <c r="BB106" i="21" s="1"/>
  <c r="AK106" i="21"/>
  <c r="AM106" i="21" s="1"/>
  <c r="X106" i="21"/>
  <c r="EL106" i="21" s="1"/>
  <c r="EK106" i="21" s="1"/>
  <c r="W106" i="21"/>
  <c r="U106" i="21"/>
  <c r="S106" i="21"/>
  <c r="EE106" i="21" s="1"/>
  <c r="O106" i="21"/>
  <c r="N106" i="21"/>
  <c r="I106" i="21"/>
  <c r="DJ106" i="21" s="1"/>
  <c r="H106" i="21"/>
  <c r="FZ105" i="21"/>
  <c r="FY105" i="21"/>
  <c r="EA105" i="21"/>
  <c r="DY105" i="21"/>
  <c r="DH105" i="21"/>
  <c r="CG105" i="21"/>
  <c r="CF105" i="21"/>
  <c r="CD105" i="21"/>
  <c r="CE105" i="21" s="1"/>
  <c r="AP105" i="21"/>
  <c r="AP106" i="21" s="1"/>
  <c r="W105" i="21"/>
  <c r="BA105" i="21" s="1"/>
  <c r="S105" i="21"/>
  <c r="U105" i="21" s="1"/>
  <c r="Q105" i="21"/>
  <c r="N105" i="21"/>
  <c r="I105" i="21"/>
  <c r="AX105" i="21" s="1"/>
  <c r="H105" i="21"/>
  <c r="DL105" i="21" s="1"/>
  <c r="FZ104" i="21"/>
  <c r="FY104" i="21"/>
  <c r="EA104" i="21"/>
  <c r="DH104" i="21"/>
  <c r="CG104" i="21"/>
  <c r="CH104" i="21" s="1"/>
  <c r="CF104" i="21"/>
  <c r="CD104" i="21"/>
  <c r="CE104" i="21" s="1"/>
  <c r="AD104" i="21"/>
  <c r="W104" i="21"/>
  <c r="X104" i="21" s="1"/>
  <c r="EL104" i="21" s="1"/>
  <c r="EK104" i="21" s="1"/>
  <c r="S104" i="21"/>
  <c r="Q104" i="21"/>
  <c r="P104" i="21"/>
  <c r="DY104" i="21" s="1"/>
  <c r="N104" i="21"/>
  <c r="P105" i="21" s="1"/>
  <c r="I104" i="21"/>
  <c r="DJ104" i="21" s="1"/>
  <c r="H104" i="21"/>
  <c r="DL104" i="21" s="1"/>
  <c r="EE103" i="21"/>
  <c r="DH103" i="21"/>
  <c r="AK103" i="21"/>
  <c r="W103" i="21"/>
  <c r="S103" i="21"/>
  <c r="P103" i="21"/>
  <c r="O103" i="21"/>
  <c r="FX103" i="21" s="1"/>
  <c r="N103" i="21"/>
  <c r="Q103" i="21" s="1"/>
  <c r="K103" i="21"/>
  <c r="J103" i="21"/>
  <c r="I103" i="21"/>
  <c r="DJ103" i="21" s="1"/>
  <c r="H103" i="21"/>
  <c r="DI103" i="21" s="1"/>
  <c r="G103" i="21"/>
  <c r="CG103" i="21" s="1"/>
  <c r="FZ102" i="21"/>
  <c r="DI102" i="21"/>
  <c r="DH102" i="21"/>
  <c r="CG102" i="21"/>
  <c r="CD102" i="21"/>
  <c r="CE102" i="21" s="1"/>
  <c r="AN102" i="21"/>
  <c r="AK102" i="21"/>
  <c r="AL102" i="21" s="1"/>
  <c r="X102" i="21"/>
  <c r="EL102" i="21" s="1"/>
  <c r="EK102" i="21" s="1"/>
  <c r="W102" i="21"/>
  <c r="BA102" i="21" s="1"/>
  <c r="U102" i="21"/>
  <c r="S102" i="21"/>
  <c r="P102" i="21"/>
  <c r="DY102" i="21" s="1"/>
  <c r="O102" i="21"/>
  <c r="FX102" i="21" s="1"/>
  <c r="N102" i="21"/>
  <c r="Q102" i="21" s="1"/>
  <c r="L102" i="21"/>
  <c r="K102" i="21"/>
  <c r="CF102" i="21" s="1"/>
  <c r="J102" i="21"/>
  <c r="I102" i="21"/>
  <c r="DJ102" i="21" s="1"/>
  <c r="H102" i="21"/>
  <c r="G102" i="21"/>
  <c r="EA101" i="21"/>
  <c r="DH101" i="21"/>
  <c r="CM101" i="21"/>
  <c r="CF101" i="21"/>
  <c r="CH101" i="21" s="1"/>
  <c r="AK101" i="21"/>
  <c r="AD101" i="21"/>
  <c r="AB101" i="21"/>
  <c r="W101" i="21"/>
  <c r="S101" i="21"/>
  <c r="Q101" i="21"/>
  <c r="P101" i="21"/>
  <c r="DY101" i="21" s="1"/>
  <c r="O101" i="21"/>
  <c r="N101" i="21"/>
  <c r="K101" i="21"/>
  <c r="J101" i="21"/>
  <c r="AX101" i="21" s="1"/>
  <c r="I101" i="21"/>
  <c r="DJ101" i="21" s="1"/>
  <c r="H101" i="21"/>
  <c r="DI101" i="21" s="1"/>
  <c r="G101" i="21"/>
  <c r="CG101" i="21" s="1"/>
  <c r="FZ100" i="21"/>
  <c r="DL100" i="21"/>
  <c r="DI100" i="21"/>
  <c r="DH100" i="21"/>
  <c r="CG100" i="21"/>
  <c r="CF100" i="21"/>
  <c r="CH100" i="21" s="1"/>
  <c r="CD100" i="21"/>
  <c r="CE100" i="21" s="1"/>
  <c r="AK100" i="21"/>
  <c r="AM100" i="21" s="1"/>
  <c r="W100" i="21"/>
  <c r="U100" i="21"/>
  <c r="S100" i="21"/>
  <c r="P100" i="21"/>
  <c r="DY100" i="21" s="1"/>
  <c r="O100" i="21"/>
  <c r="FX100" i="21" s="1"/>
  <c r="N100" i="21"/>
  <c r="Q100" i="21" s="1"/>
  <c r="FY100" i="21" s="1"/>
  <c r="K100" i="21"/>
  <c r="J100" i="21"/>
  <c r="H100" i="21"/>
  <c r="G100" i="21"/>
  <c r="FX99" i="21"/>
  <c r="DL99" i="21"/>
  <c r="DH99" i="21"/>
  <c r="CG99" i="21"/>
  <c r="AK99" i="21"/>
  <c r="AM99" i="21" s="1"/>
  <c r="W99" i="21"/>
  <c r="X99" i="21" s="1"/>
  <c r="EL99" i="21" s="1"/>
  <c r="EK99" i="21" s="1"/>
  <c r="S99" i="21"/>
  <c r="P99" i="21"/>
  <c r="O99" i="21"/>
  <c r="N99" i="21"/>
  <c r="K99" i="21"/>
  <c r="FZ99" i="21" s="1"/>
  <c r="J99" i="21"/>
  <c r="H99" i="21"/>
  <c r="G99" i="21"/>
  <c r="FZ98" i="21"/>
  <c r="FY98" i="21"/>
  <c r="GA98" i="21" s="1"/>
  <c r="CS98" i="21" s="1"/>
  <c r="EA98" i="21"/>
  <c r="DL98" i="21"/>
  <c r="DJ98" i="21"/>
  <c r="DI98" i="21"/>
  <c r="DH98" i="21"/>
  <c r="AL98" i="21"/>
  <c r="AK98" i="21"/>
  <c r="AM98" i="21" s="1"/>
  <c r="AD98" i="21"/>
  <c r="AD103" i="21" s="1"/>
  <c r="AB98" i="21"/>
  <c r="X98" i="21"/>
  <c r="EL98" i="21" s="1"/>
  <c r="EK98" i="21" s="1"/>
  <c r="W98" i="21"/>
  <c r="BA98" i="21" s="1"/>
  <c r="BB98" i="21" s="1"/>
  <c r="S98" i="21"/>
  <c r="Q98" i="21"/>
  <c r="CA98" i="21" s="1"/>
  <c r="P98" i="21"/>
  <c r="O98" i="21"/>
  <c r="FX98" i="21" s="1"/>
  <c r="N98" i="21"/>
  <c r="K98" i="21"/>
  <c r="J98" i="21"/>
  <c r="EE98" i="21" s="1"/>
  <c r="I98" i="21"/>
  <c r="H98" i="21"/>
  <c r="L98" i="21" s="1"/>
  <c r="G98" i="21"/>
  <c r="CG98" i="21" s="1"/>
  <c r="FZ97" i="21"/>
  <c r="EA97" i="21"/>
  <c r="DI97" i="21"/>
  <c r="DH97" i="21"/>
  <c r="CF97" i="21"/>
  <c r="AK97" i="21"/>
  <c r="AM97" i="21" s="1"/>
  <c r="AD97" i="21"/>
  <c r="AB97" i="21"/>
  <c r="W97" i="21"/>
  <c r="S97" i="21"/>
  <c r="Q97" i="21"/>
  <c r="BR97" i="21" s="1"/>
  <c r="DZ97" i="21" s="1"/>
  <c r="P97" i="21"/>
  <c r="DY97" i="21" s="1"/>
  <c r="O97" i="21"/>
  <c r="U97" i="21" s="1"/>
  <c r="N97" i="21"/>
  <c r="K97" i="21"/>
  <c r="J97" i="21"/>
  <c r="H97" i="21"/>
  <c r="G97" i="21"/>
  <c r="CG97" i="21" s="1"/>
  <c r="CH97" i="21" s="1"/>
  <c r="FZ96" i="21"/>
  <c r="FX96" i="21"/>
  <c r="EA96" i="21"/>
  <c r="DY96" i="21"/>
  <c r="DH96" i="21"/>
  <c r="CF96" i="21"/>
  <c r="CE96" i="21"/>
  <c r="CD96" i="21"/>
  <c r="W96" i="21"/>
  <c r="BA96" i="21" s="1"/>
  <c r="BB96" i="21" s="1"/>
  <c r="U96" i="21"/>
  <c r="S96" i="21"/>
  <c r="P96" i="21"/>
  <c r="O96" i="21"/>
  <c r="N96" i="21"/>
  <c r="EE96" i="21" s="1"/>
  <c r="K96" i="21"/>
  <c r="J96" i="21"/>
  <c r="I96" i="21"/>
  <c r="H96" i="21"/>
  <c r="G96" i="21"/>
  <c r="CG96" i="21" s="1"/>
  <c r="FX95" i="21"/>
  <c r="EE95" i="21"/>
  <c r="EA95" i="21"/>
  <c r="DY95" i="21"/>
  <c r="DI95" i="21"/>
  <c r="DH95" i="21"/>
  <c r="CH95" i="21"/>
  <c r="CG95" i="21"/>
  <c r="CF95" i="21"/>
  <c r="CD95" i="21"/>
  <c r="CE95" i="21" s="1"/>
  <c r="AN95" i="21"/>
  <c r="AM95" i="21"/>
  <c r="AK95" i="21"/>
  <c r="AD95" i="21"/>
  <c r="AB95" i="21"/>
  <c r="W95" i="21"/>
  <c r="U95" i="21"/>
  <c r="S95" i="21"/>
  <c r="P95" i="21"/>
  <c r="O95" i="21"/>
  <c r="N95" i="21"/>
  <c r="Q95" i="21" s="1"/>
  <c r="L95" i="21"/>
  <c r="K95" i="21"/>
  <c r="FZ95" i="21" s="1"/>
  <c r="J95" i="21"/>
  <c r="DL95" i="21" s="1"/>
  <c r="I95" i="21"/>
  <c r="H95" i="21"/>
  <c r="G95" i="21"/>
  <c r="FZ94" i="21"/>
  <c r="FX94" i="21"/>
  <c r="EA94" i="21"/>
  <c r="DY94" i="21"/>
  <c r="DH94" i="21"/>
  <c r="CF94" i="21"/>
  <c r="AN94" i="21"/>
  <c r="AL94" i="21"/>
  <c r="AK94" i="21"/>
  <c r="AB94" i="21"/>
  <c r="X94" i="21"/>
  <c r="EL94" i="21" s="1"/>
  <c r="EK94" i="21" s="1"/>
  <c r="W94" i="21"/>
  <c r="BA94" i="21" s="1"/>
  <c r="U94" i="21"/>
  <c r="S94" i="21"/>
  <c r="Q94" i="21"/>
  <c r="P94" i="21"/>
  <c r="O94" i="21"/>
  <c r="N94" i="21"/>
  <c r="EE94" i="21" s="1"/>
  <c r="L94" i="21"/>
  <c r="K94" i="21"/>
  <c r="J94" i="21"/>
  <c r="I94" i="21"/>
  <c r="DJ94" i="21" s="1"/>
  <c r="H94" i="21"/>
  <c r="G94" i="21"/>
  <c r="FZ93" i="21"/>
  <c r="FY93" i="21"/>
  <c r="EE93" i="21"/>
  <c r="EA93" i="21"/>
  <c r="DY93" i="21"/>
  <c r="DL93" i="21"/>
  <c r="DI93" i="21"/>
  <c r="DH93" i="21"/>
  <c r="CG93" i="21"/>
  <c r="CF93" i="21"/>
  <c r="CH93" i="21" s="1"/>
  <c r="CD93" i="21"/>
  <c r="CE93" i="21" s="1"/>
  <c r="AK93" i="21"/>
  <c r="AM93" i="21" s="1"/>
  <c r="W93" i="21"/>
  <c r="S93" i="21"/>
  <c r="AL93" i="21" s="1"/>
  <c r="P93" i="21"/>
  <c r="O93" i="21"/>
  <c r="FX93" i="21" s="1"/>
  <c r="N93" i="21"/>
  <c r="L93" i="21"/>
  <c r="I93" i="21"/>
  <c r="DJ93" i="21" s="1"/>
  <c r="H93" i="21"/>
  <c r="FZ92" i="21"/>
  <c r="FY92" i="21"/>
  <c r="EA92" i="21"/>
  <c r="DY92" i="21"/>
  <c r="DL92" i="21"/>
  <c r="DI92" i="21"/>
  <c r="DH92" i="21"/>
  <c r="CG92" i="21"/>
  <c r="CF92" i="21"/>
  <c r="CD92" i="21"/>
  <c r="CE92" i="21" s="1"/>
  <c r="AK92" i="21"/>
  <c r="AM92" i="21" s="1"/>
  <c r="W92" i="21"/>
  <c r="S92" i="21"/>
  <c r="U92" i="21" s="1"/>
  <c r="AY92" i="21" s="1"/>
  <c r="P92" i="21"/>
  <c r="N92" i="21"/>
  <c r="T92" i="21" s="1"/>
  <c r="I92" i="21"/>
  <c r="AX92" i="21" s="1"/>
  <c r="CM92" i="21" s="1"/>
  <c r="H92" i="21"/>
  <c r="L92" i="21" s="1"/>
  <c r="FZ91" i="21"/>
  <c r="FY91" i="21" s="1"/>
  <c r="FX91" i="21"/>
  <c r="EA91" i="21"/>
  <c r="DL91" i="21"/>
  <c r="DH91" i="21"/>
  <c r="CG91" i="21"/>
  <c r="CF91" i="21"/>
  <c r="CD91" i="21"/>
  <c r="CE91" i="21" s="1"/>
  <c r="CA91" i="21"/>
  <c r="W91" i="21"/>
  <c r="BA91" i="21" s="1"/>
  <c r="S91" i="21"/>
  <c r="EE91" i="21" s="1"/>
  <c r="P91" i="21"/>
  <c r="DY91" i="21" s="1"/>
  <c r="O91" i="21"/>
  <c r="BR91" i="21" s="1"/>
  <c r="DZ91" i="21" s="1"/>
  <c r="EB91" i="21" s="1"/>
  <c r="N91" i="21"/>
  <c r="U91" i="21" s="1"/>
  <c r="I91" i="21"/>
  <c r="BB91" i="21" s="1"/>
  <c r="H91" i="21"/>
  <c r="FZ90" i="21"/>
  <c r="FY90" i="21"/>
  <c r="EA90" i="21"/>
  <c r="DY90" i="21"/>
  <c r="DH90" i="21"/>
  <c r="CG90" i="21"/>
  <c r="CF90" i="21"/>
  <c r="CD90" i="21"/>
  <c r="CE90" i="21" s="1"/>
  <c r="BA90" i="21"/>
  <c r="BB90" i="21" s="1"/>
  <c r="AX90" i="21"/>
  <c r="CM90" i="21" s="1"/>
  <c r="W90" i="21"/>
  <c r="X90" i="21" s="1"/>
  <c r="Y90" i="21" s="1"/>
  <c r="DT90" i="21" s="1"/>
  <c r="S90" i="21"/>
  <c r="P90" i="21"/>
  <c r="N90" i="21"/>
  <c r="L90" i="21"/>
  <c r="I90" i="21"/>
  <c r="DJ90" i="21" s="1"/>
  <c r="H90" i="21"/>
  <c r="FZ89" i="21"/>
  <c r="FY89" i="21"/>
  <c r="EA89" i="21"/>
  <c r="DY89" i="21"/>
  <c r="DL89" i="21"/>
  <c r="DH89" i="21"/>
  <c r="CG89" i="21"/>
  <c r="CF89" i="21"/>
  <c r="CD89" i="21"/>
  <c r="CE89" i="21" s="1"/>
  <c r="W89" i="21"/>
  <c r="S89" i="21"/>
  <c r="P89" i="21"/>
  <c r="N89" i="21"/>
  <c r="L89" i="21"/>
  <c r="I89" i="21"/>
  <c r="AX89" i="21" s="1"/>
  <c r="CM89" i="21" s="1"/>
  <c r="H89" i="21"/>
  <c r="FZ88" i="21"/>
  <c r="FY88" i="21"/>
  <c r="EA88" i="21"/>
  <c r="DL88" i="21"/>
  <c r="DI88" i="21"/>
  <c r="DH88" i="21"/>
  <c r="CG88" i="21"/>
  <c r="CH88" i="21" s="1"/>
  <c r="CF88" i="21"/>
  <c r="CD88" i="21"/>
  <c r="CE88" i="21" s="1"/>
  <c r="AK88" i="21"/>
  <c r="AM88" i="21" s="1"/>
  <c r="W88" i="21"/>
  <c r="BA88" i="21" s="1"/>
  <c r="BB88" i="21" s="1"/>
  <c r="S88" i="21"/>
  <c r="AL88" i="21" s="1"/>
  <c r="P88" i="21"/>
  <c r="DY88" i="21" s="1"/>
  <c r="O88" i="21"/>
  <c r="FX88" i="21" s="1"/>
  <c r="N88" i="21"/>
  <c r="L88" i="21"/>
  <c r="I88" i="21"/>
  <c r="AX88" i="21" s="1"/>
  <c r="CM88" i="21" s="1"/>
  <c r="FG88" i="21" s="1"/>
  <c r="H88" i="21"/>
  <c r="FZ87" i="21"/>
  <c r="FY87" i="21"/>
  <c r="EA87" i="21"/>
  <c r="DY87" i="21"/>
  <c r="DJ87" i="21"/>
  <c r="DI87" i="21"/>
  <c r="DH87" i="21"/>
  <c r="CM87" i="21"/>
  <c r="CU87" i="21" s="1"/>
  <c r="CH87" i="21"/>
  <c r="CG87" i="21"/>
  <c r="CF87" i="21"/>
  <c r="CE87" i="21"/>
  <c r="CD87" i="21"/>
  <c r="AX87" i="21"/>
  <c r="AK87" i="21"/>
  <c r="AL87" i="21" s="1"/>
  <c r="W87" i="21"/>
  <c r="U87" i="21"/>
  <c r="S87" i="21"/>
  <c r="T87" i="21" s="1"/>
  <c r="P87" i="21"/>
  <c r="N87" i="21"/>
  <c r="O87" i="21" s="1"/>
  <c r="CA87" i="21" s="1"/>
  <c r="I87" i="21"/>
  <c r="H87" i="21"/>
  <c r="DL87" i="21" s="1"/>
  <c r="FZ86" i="21"/>
  <c r="FY86" i="21"/>
  <c r="EA86" i="21"/>
  <c r="DY86" i="21"/>
  <c r="DH86" i="21"/>
  <c r="CG86" i="21"/>
  <c r="CF86" i="21"/>
  <c r="CH86" i="21" s="1"/>
  <c r="CD86" i="21"/>
  <c r="CE86" i="21" s="1"/>
  <c r="W86" i="21"/>
  <c r="X86" i="21" s="1"/>
  <c r="S86" i="21"/>
  <c r="P86" i="21"/>
  <c r="N86" i="21"/>
  <c r="I86" i="21"/>
  <c r="H86" i="21"/>
  <c r="FZ85" i="21"/>
  <c r="FY85" i="21"/>
  <c r="EA85" i="21"/>
  <c r="DY85" i="21"/>
  <c r="DH85" i="21"/>
  <c r="CU85" i="21"/>
  <c r="CG85" i="21"/>
  <c r="CF85" i="21"/>
  <c r="CH85" i="21" s="1"/>
  <c r="CD85" i="21"/>
  <c r="CE85" i="21" s="1"/>
  <c r="BA85" i="21"/>
  <c r="BB85" i="21" s="1"/>
  <c r="AX85" i="21"/>
  <c r="CM85" i="21" s="1"/>
  <c r="FG85" i="21" s="1"/>
  <c r="W85" i="21"/>
  <c r="X85" i="21" s="1"/>
  <c r="S85" i="21"/>
  <c r="T85" i="21" s="1"/>
  <c r="BE85" i="21" s="1"/>
  <c r="BF85" i="21" s="1"/>
  <c r="CO85" i="21" s="1"/>
  <c r="P85" i="21"/>
  <c r="O85" i="21"/>
  <c r="BK85" i="21" s="1"/>
  <c r="N85" i="21"/>
  <c r="U85" i="21" s="1"/>
  <c r="AY85" i="21" s="1"/>
  <c r="AZ85" i="21" s="1"/>
  <c r="I85" i="21"/>
  <c r="H85" i="21"/>
  <c r="L85" i="21" s="1"/>
  <c r="FZ84" i="21"/>
  <c r="FY84" i="21"/>
  <c r="EA84" i="21"/>
  <c r="DL84" i="21"/>
  <c r="DI84" i="21"/>
  <c r="DH84" i="21"/>
  <c r="CG84" i="21"/>
  <c r="CF84" i="21"/>
  <c r="CH84" i="21" s="1"/>
  <c r="CD84" i="21"/>
  <c r="CE84" i="21" s="1"/>
  <c r="AK84" i="21"/>
  <c r="AM84" i="21" s="1"/>
  <c r="W84" i="21"/>
  <c r="S84" i="21"/>
  <c r="P84" i="21"/>
  <c r="DY84" i="21" s="1"/>
  <c r="O84" i="21"/>
  <c r="FX84" i="21" s="1"/>
  <c r="N84" i="21"/>
  <c r="L84" i="21"/>
  <c r="I84" i="21"/>
  <c r="H84" i="21"/>
  <c r="FZ83" i="21"/>
  <c r="FY83" i="21"/>
  <c r="EA83" i="21"/>
  <c r="DL83" i="21"/>
  <c r="DJ83" i="21"/>
  <c r="DI83" i="21"/>
  <c r="DH83" i="21"/>
  <c r="CG83" i="21"/>
  <c r="CF83" i="21"/>
  <c r="CH83" i="21" s="1"/>
  <c r="CD83" i="21"/>
  <c r="CE83" i="21" s="1"/>
  <c r="AK83" i="21"/>
  <c r="AM83" i="21" s="1"/>
  <c r="W83" i="21"/>
  <c r="S83" i="21"/>
  <c r="U83" i="21" s="1"/>
  <c r="P83" i="21"/>
  <c r="DY83" i="21" s="1"/>
  <c r="N83" i="21"/>
  <c r="I83" i="21"/>
  <c r="AX83" i="21" s="1"/>
  <c r="CM83" i="21" s="1"/>
  <c r="FG83" i="21" s="1"/>
  <c r="H83" i="21"/>
  <c r="L83" i="21" s="1"/>
  <c r="FZ82" i="21"/>
  <c r="FY82" i="21"/>
  <c r="EA82" i="21"/>
  <c r="DL82" i="21"/>
  <c r="DJ82" i="21"/>
  <c r="DI82" i="21"/>
  <c r="ET82" i="21" s="1"/>
  <c r="DH82" i="21"/>
  <c r="CH82" i="21"/>
  <c r="CG82" i="21"/>
  <c r="CF82" i="21"/>
  <c r="CD82" i="21"/>
  <c r="CE82" i="21" s="1"/>
  <c r="BA82" i="21"/>
  <c r="BB82" i="21" s="1"/>
  <c r="AK82" i="21"/>
  <c r="AM82" i="21" s="1"/>
  <c r="X82" i="21"/>
  <c r="EL82" i="21" s="1"/>
  <c r="EK82" i="21" s="1"/>
  <c r="W82" i="21"/>
  <c r="S82" i="21"/>
  <c r="AL82" i="21" s="1"/>
  <c r="P82" i="21"/>
  <c r="DY82" i="21" s="1"/>
  <c r="N82" i="21"/>
  <c r="I82" i="21"/>
  <c r="AX82" i="21" s="1"/>
  <c r="CM82" i="21" s="1"/>
  <c r="H82" i="21"/>
  <c r="FZ81" i="21"/>
  <c r="FY81" i="21"/>
  <c r="EA81" i="21"/>
  <c r="DY81" i="21"/>
  <c r="DH81" i="21"/>
  <c r="CG81" i="21"/>
  <c r="CF81" i="21"/>
  <c r="CD81" i="21"/>
  <c r="CE81" i="21" s="1"/>
  <c r="BK81" i="21"/>
  <c r="AX81" i="21"/>
  <c r="CM81" i="21" s="1"/>
  <c r="W81" i="21"/>
  <c r="BA81" i="21" s="1"/>
  <c r="BB81" i="21" s="1"/>
  <c r="S81" i="21"/>
  <c r="BL81" i="21" s="1"/>
  <c r="BN81" i="21" s="1"/>
  <c r="P81" i="21"/>
  <c r="O81" i="21"/>
  <c r="BZ81" i="21" s="1"/>
  <c r="N81" i="21"/>
  <c r="L81" i="21"/>
  <c r="I81" i="21"/>
  <c r="H81" i="21"/>
  <c r="FZ80" i="21"/>
  <c r="FY80" i="21"/>
  <c r="FX80" i="21"/>
  <c r="GA80" i="21" s="1"/>
  <c r="CS80" i="21" s="1"/>
  <c r="EA80" i="21"/>
  <c r="DY80" i="21"/>
  <c r="DH80" i="21"/>
  <c r="CG80" i="21"/>
  <c r="CF80" i="21"/>
  <c r="CH80" i="21" s="1"/>
  <c r="CD80" i="21"/>
  <c r="CE80" i="21" s="1"/>
  <c r="BK80" i="21"/>
  <c r="BM80" i="21" s="1"/>
  <c r="BE80" i="21"/>
  <c r="BF80" i="21" s="1"/>
  <c r="CO80" i="21" s="1"/>
  <c r="BA80" i="21"/>
  <c r="BB80" i="21" s="1"/>
  <c r="AX80" i="21"/>
  <c r="CM80" i="21" s="1"/>
  <c r="X80" i="21"/>
  <c r="Y80" i="21" s="1"/>
  <c r="DT80" i="21" s="1"/>
  <c r="W80" i="21"/>
  <c r="T80" i="21"/>
  <c r="S80" i="21"/>
  <c r="P80" i="21"/>
  <c r="O80" i="21"/>
  <c r="EE80" i="21" s="1"/>
  <c r="N80" i="21"/>
  <c r="U80" i="21" s="1"/>
  <c r="AY80" i="21" s="1"/>
  <c r="L80" i="21"/>
  <c r="I80" i="21"/>
  <c r="H80" i="21"/>
  <c r="FZ79" i="21"/>
  <c r="FY79" i="21"/>
  <c r="EA79" i="21"/>
  <c r="DL79" i="21"/>
  <c r="DH79" i="21"/>
  <c r="CG79" i="21"/>
  <c r="CF79" i="21"/>
  <c r="CD79" i="21"/>
  <c r="CE79" i="21" s="1"/>
  <c r="AX79" i="21"/>
  <c r="CM79" i="21" s="1"/>
  <c r="AK79" i="21"/>
  <c r="AM79" i="21" s="1"/>
  <c r="W79" i="21"/>
  <c r="BA79" i="21" s="1"/>
  <c r="BB79" i="21" s="1"/>
  <c r="S79" i="21"/>
  <c r="P79" i="21"/>
  <c r="DY79" i="21" s="1"/>
  <c r="O79" i="21"/>
  <c r="FX79" i="21" s="1"/>
  <c r="GA79" i="21" s="1"/>
  <c r="CS79" i="21" s="1"/>
  <c r="N79" i="21"/>
  <c r="L79" i="21"/>
  <c r="I79" i="21"/>
  <c r="DJ79" i="21" s="1"/>
  <c r="H79" i="21"/>
  <c r="DI79" i="21" s="1"/>
  <c r="FZ78" i="21"/>
  <c r="FY78" i="21"/>
  <c r="EA78" i="21"/>
  <c r="DL78" i="21"/>
  <c r="DI78" i="21"/>
  <c r="DH78" i="21"/>
  <c r="CG78" i="21"/>
  <c r="CF78" i="21"/>
  <c r="CH78" i="21" s="1"/>
  <c r="CD78" i="21"/>
  <c r="CE78" i="21" s="1"/>
  <c r="CA78" i="21"/>
  <c r="AX78" i="21"/>
  <c r="CM78" i="21" s="1"/>
  <c r="CU78" i="21" s="1"/>
  <c r="AK78" i="21"/>
  <c r="AM78" i="21" s="1"/>
  <c r="W78" i="21"/>
  <c r="S78" i="21"/>
  <c r="AL78" i="21" s="1"/>
  <c r="P78" i="21"/>
  <c r="O78" i="21"/>
  <c r="N78" i="21"/>
  <c r="I78" i="21"/>
  <c r="DJ78" i="21" s="1"/>
  <c r="H78" i="21"/>
  <c r="FZ77" i="21"/>
  <c r="FY77" i="21"/>
  <c r="EA77" i="21"/>
  <c r="DJ77" i="21"/>
  <c r="DI77" i="21"/>
  <c r="DH77" i="21"/>
  <c r="CG77" i="21"/>
  <c r="CF77" i="21"/>
  <c r="CH77" i="21" s="1"/>
  <c r="CD77" i="21"/>
  <c r="CE77" i="21" s="1"/>
  <c r="CA77" i="21"/>
  <c r="BZ77" i="21"/>
  <c r="CB77" i="21" s="1"/>
  <c r="BR77" i="21"/>
  <c r="DZ77" i="21" s="1"/>
  <c r="EB77" i="21" s="1"/>
  <c r="EG77" i="21" s="1"/>
  <c r="AN77" i="21"/>
  <c r="AK77" i="21"/>
  <c r="W77" i="21"/>
  <c r="T77" i="21"/>
  <c r="BE77" i="21" s="1"/>
  <c r="BF77" i="21" s="1"/>
  <c r="CO77" i="21" s="1"/>
  <c r="S77" i="21"/>
  <c r="P77" i="21"/>
  <c r="DY77" i="21" s="1"/>
  <c r="O77" i="21"/>
  <c r="BK77" i="21" s="1"/>
  <c r="BM77" i="21" s="1"/>
  <c r="N77" i="21"/>
  <c r="U77" i="21" s="1"/>
  <c r="AY77" i="21" s="1"/>
  <c r="AZ77" i="21" s="1"/>
  <c r="I77" i="21"/>
  <c r="AX77" i="21" s="1"/>
  <c r="CM77" i="21" s="1"/>
  <c r="H77" i="21"/>
  <c r="FZ76" i="21"/>
  <c r="FY76" i="21"/>
  <c r="EA76" i="21"/>
  <c r="DY76" i="21"/>
  <c r="DH76" i="21"/>
  <c r="CG76" i="21"/>
  <c r="CF76" i="21"/>
  <c r="CD76" i="21"/>
  <c r="CE76" i="21" s="1"/>
  <c r="AX76" i="21"/>
  <c r="CM76" i="21" s="1"/>
  <c r="FG76" i="21" s="1"/>
  <c r="W76" i="21"/>
  <c r="X76" i="21" s="1"/>
  <c r="S76" i="21"/>
  <c r="P76" i="21"/>
  <c r="N76" i="21"/>
  <c r="I76" i="21"/>
  <c r="H76" i="21"/>
  <c r="FZ75" i="21"/>
  <c r="FY75" i="21"/>
  <c r="EA75" i="21"/>
  <c r="DH75" i="21"/>
  <c r="CG75" i="21"/>
  <c r="CF75" i="21"/>
  <c r="CH75" i="21" s="1"/>
  <c r="CD75" i="21"/>
  <c r="CE75" i="21" s="1"/>
  <c r="W75" i="21"/>
  <c r="BA75" i="21" s="1"/>
  <c r="BB75" i="21" s="1"/>
  <c r="S75" i="21"/>
  <c r="T75" i="21" s="1"/>
  <c r="P75" i="21"/>
  <c r="DY75" i="21" s="1"/>
  <c r="N75" i="21"/>
  <c r="L75" i="21"/>
  <c r="I75" i="21"/>
  <c r="DJ75" i="21" s="1"/>
  <c r="H75" i="21"/>
  <c r="FZ74" i="21"/>
  <c r="FY74" i="21"/>
  <c r="EA74" i="21"/>
  <c r="DI74" i="21"/>
  <c r="DH74" i="21"/>
  <c r="CG74" i="21"/>
  <c r="CF74" i="21"/>
  <c r="CD74" i="21"/>
  <c r="CE74" i="21" s="1"/>
  <c r="AK74" i="21"/>
  <c r="AM74" i="21" s="1"/>
  <c r="W74" i="21"/>
  <c r="S74" i="21"/>
  <c r="P74" i="21"/>
  <c r="DY74" i="21" s="1"/>
  <c r="O74" i="21"/>
  <c r="N74" i="21"/>
  <c r="L74" i="21"/>
  <c r="I74" i="21"/>
  <c r="H74" i="21"/>
  <c r="GC73" i="21"/>
  <c r="FZ73" i="21"/>
  <c r="FY73" i="21"/>
  <c r="EA73" i="21"/>
  <c r="DL73" i="21"/>
  <c r="DJ73" i="21"/>
  <c r="DI73" i="21"/>
  <c r="DH73" i="21"/>
  <c r="CG73" i="21"/>
  <c r="CF73" i="21"/>
  <c r="CD73" i="21"/>
  <c r="CE73" i="21" s="1"/>
  <c r="CA73" i="21"/>
  <c r="BR73" i="21"/>
  <c r="DZ73" i="21" s="1"/>
  <c r="AN73" i="21"/>
  <c r="AL73" i="21"/>
  <c r="AK73" i="21"/>
  <c r="AM73" i="21" s="1"/>
  <c r="W73" i="21"/>
  <c r="BA73" i="21" s="1"/>
  <c r="BB73" i="21" s="1"/>
  <c r="S73" i="21"/>
  <c r="U73" i="21" s="1"/>
  <c r="P73" i="21"/>
  <c r="DY73" i="21" s="1"/>
  <c r="O73" i="21"/>
  <c r="BZ73" i="21" s="1"/>
  <c r="N73" i="21"/>
  <c r="I73" i="21"/>
  <c r="AX73" i="21" s="1"/>
  <c r="CM73" i="21" s="1"/>
  <c r="H73" i="21"/>
  <c r="FZ72" i="21"/>
  <c r="FY72" i="21"/>
  <c r="EL72" i="21"/>
  <c r="EK72" i="21" s="1"/>
  <c r="EA72" i="21"/>
  <c r="DY72" i="21"/>
  <c r="DL72" i="21"/>
  <c r="DI72" i="21"/>
  <c r="DH72" i="21"/>
  <c r="CG72" i="21"/>
  <c r="CF72" i="21"/>
  <c r="CH72" i="21" s="1"/>
  <c r="CE72" i="21"/>
  <c r="CD72" i="21"/>
  <c r="BA72" i="21"/>
  <c r="BB72" i="21" s="1"/>
  <c r="W72" i="21"/>
  <c r="X72" i="21" s="1"/>
  <c r="Y72" i="21" s="1"/>
  <c r="DT72" i="21" s="1"/>
  <c r="S72" i="21"/>
  <c r="P72" i="21"/>
  <c r="N72" i="21"/>
  <c r="U72" i="21" s="1"/>
  <c r="I72" i="21"/>
  <c r="DJ72" i="21" s="1"/>
  <c r="H72" i="21"/>
  <c r="AK72" i="21" s="1"/>
  <c r="FZ71" i="21"/>
  <c r="FY71" i="21"/>
  <c r="EA71" i="21"/>
  <c r="DH71" i="21"/>
  <c r="CG71" i="21"/>
  <c r="CH71" i="21" s="1"/>
  <c r="CF71" i="21"/>
  <c r="CE71" i="21"/>
  <c r="CD71" i="21"/>
  <c r="X71" i="21"/>
  <c r="Y71" i="21" s="1"/>
  <c r="W71" i="21"/>
  <c r="BA71" i="21" s="1"/>
  <c r="S71" i="21"/>
  <c r="P71" i="21"/>
  <c r="DY71" i="21" s="1"/>
  <c r="N71" i="21"/>
  <c r="L71" i="21"/>
  <c r="I71" i="21"/>
  <c r="H71" i="21"/>
  <c r="FZ70" i="21"/>
  <c r="FY70" i="21"/>
  <c r="EA70" i="21"/>
  <c r="DY70" i="21"/>
  <c r="DI70" i="21"/>
  <c r="DH70" i="21"/>
  <c r="CG70" i="21"/>
  <c r="CF70" i="21"/>
  <c r="CH70" i="21" s="1"/>
  <c r="CD70" i="21"/>
  <c r="CE70" i="21" s="1"/>
  <c r="W70" i="21"/>
  <c r="X70" i="21" s="1"/>
  <c r="S70" i="21"/>
  <c r="P70" i="21"/>
  <c r="N70" i="21"/>
  <c r="O70" i="21" s="1"/>
  <c r="EE70" i="21" s="1"/>
  <c r="I70" i="21"/>
  <c r="H70" i="21"/>
  <c r="FZ69" i="21"/>
  <c r="FY69" i="21"/>
  <c r="FX69" i="21"/>
  <c r="GA69" i="21" s="1"/>
  <c r="CS69" i="21" s="1"/>
  <c r="FI69" i="21" s="1"/>
  <c r="EA69" i="21"/>
  <c r="DL69" i="21"/>
  <c r="DI69" i="21"/>
  <c r="DH69" i="21"/>
  <c r="CG69" i="21"/>
  <c r="CF69" i="21"/>
  <c r="CH69" i="21" s="1"/>
  <c r="CD69" i="21"/>
  <c r="CE69" i="21" s="1"/>
  <c r="AX69" i="21"/>
  <c r="CM69" i="21" s="1"/>
  <c r="FG69" i="21" s="1"/>
  <c r="AK69" i="21"/>
  <c r="AM69" i="21" s="1"/>
  <c r="W69" i="21"/>
  <c r="BA69" i="21" s="1"/>
  <c r="BB69" i="21" s="1"/>
  <c r="S69" i="21"/>
  <c r="U69" i="21" s="1"/>
  <c r="P69" i="21"/>
  <c r="DY69" i="21" s="1"/>
  <c r="O69" i="21"/>
  <c r="N69" i="21"/>
  <c r="L69" i="21"/>
  <c r="I69" i="21"/>
  <c r="DJ69" i="21" s="1"/>
  <c r="H69" i="21"/>
  <c r="FZ68" i="21"/>
  <c r="FY68" i="21"/>
  <c r="EA68" i="21"/>
  <c r="DL68" i="21"/>
  <c r="DH68" i="21"/>
  <c r="CG68" i="21"/>
  <c r="CF68" i="21"/>
  <c r="CH68" i="21" s="1"/>
  <c r="CD68" i="21"/>
  <c r="CE68" i="21" s="1"/>
  <c r="AX68" i="21"/>
  <c r="CM68" i="21" s="1"/>
  <c r="CU68" i="21" s="1"/>
  <c r="AK68" i="21"/>
  <c r="AM68" i="21" s="1"/>
  <c r="W68" i="21"/>
  <c r="BA68" i="21" s="1"/>
  <c r="BB68" i="21" s="1"/>
  <c r="S68" i="21"/>
  <c r="P68" i="21"/>
  <c r="DY68" i="21" s="1"/>
  <c r="N68" i="21"/>
  <c r="O68" i="21" s="1"/>
  <c r="L68" i="21"/>
  <c r="I68" i="21"/>
  <c r="DJ68" i="21" s="1"/>
  <c r="H68" i="21"/>
  <c r="DI68" i="21" s="1"/>
  <c r="FZ67" i="21"/>
  <c r="FY67" i="21"/>
  <c r="EA67" i="21"/>
  <c r="DY67" i="21"/>
  <c r="DL67" i="21"/>
  <c r="DJ67" i="21"/>
  <c r="DH67" i="21"/>
  <c r="CG67" i="21"/>
  <c r="CF67" i="21"/>
  <c r="CH67" i="21" s="1"/>
  <c r="CD67" i="21"/>
  <c r="CE67" i="21" s="1"/>
  <c r="AX67" i="21"/>
  <c r="CM67" i="21" s="1"/>
  <c r="AK67" i="21"/>
  <c r="AM67" i="21" s="1"/>
  <c r="W67" i="21"/>
  <c r="BA67" i="21" s="1"/>
  <c r="BB67" i="21" s="1"/>
  <c r="S67" i="21"/>
  <c r="P67" i="21"/>
  <c r="O67" i="21"/>
  <c r="BR67" i="21" s="1"/>
  <c r="DZ67" i="21" s="1"/>
  <c r="EB67" i="21" s="1"/>
  <c r="N67" i="21"/>
  <c r="L67" i="21"/>
  <c r="I67" i="21"/>
  <c r="H67" i="21"/>
  <c r="DI67" i="21" s="1"/>
  <c r="FZ66" i="21"/>
  <c r="FY66" i="21"/>
  <c r="EA66" i="21"/>
  <c r="DH66" i="21"/>
  <c r="CG66" i="21"/>
  <c r="CF66" i="21"/>
  <c r="CH66" i="21" s="1"/>
  <c r="CD66" i="21"/>
  <c r="CE66" i="21" s="1"/>
  <c r="W66" i="21"/>
  <c r="BA66" i="21" s="1"/>
  <c r="S66" i="21"/>
  <c r="P66" i="21"/>
  <c r="DY66" i="21" s="1"/>
  <c r="N66" i="21"/>
  <c r="I66" i="21"/>
  <c r="H66" i="21"/>
  <c r="FZ65" i="21"/>
  <c r="FY65" i="21"/>
  <c r="EA65" i="21"/>
  <c r="DY65" i="21"/>
  <c r="DH65" i="21"/>
  <c r="CG65" i="21"/>
  <c r="CF65" i="21"/>
  <c r="CH65" i="21" s="1"/>
  <c r="CD65" i="21"/>
  <c r="CE65" i="21" s="1"/>
  <c r="W65" i="21"/>
  <c r="BA65" i="21" s="1"/>
  <c r="S65" i="21"/>
  <c r="P65" i="21"/>
  <c r="O65" i="21"/>
  <c r="EE65" i="21" s="1"/>
  <c r="N65" i="21"/>
  <c r="L65" i="21"/>
  <c r="I65" i="21"/>
  <c r="H65" i="21"/>
  <c r="DI65" i="21" s="1"/>
  <c r="FZ64" i="21"/>
  <c r="FY64" i="21"/>
  <c r="FV64" i="21"/>
  <c r="EA64" i="21"/>
  <c r="DL64" i="21"/>
  <c r="DH64" i="21"/>
  <c r="CG64" i="21"/>
  <c r="CF64" i="21"/>
  <c r="CH64" i="21" s="1"/>
  <c r="CD64" i="21"/>
  <c r="CE64" i="21" s="1"/>
  <c r="BA64" i="21"/>
  <c r="BB64" i="21" s="1"/>
  <c r="W64" i="21"/>
  <c r="X64" i="21" s="1"/>
  <c r="EL64" i="21" s="1"/>
  <c r="EK64" i="21" s="1"/>
  <c r="S64" i="21"/>
  <c r="P64" i="21"/>
  <c r="DY64" i="21" s="1"/>
  <c r="N64" i="21"/>
  <c r="U64" i="21" s="1"/>
  <c r="I64" i="21"/>
  <c r="AX64" i="21" s="1"/>
  <c r="CM64" i="21" s="1"/>
  <c r="H64" i="21"/>
  <c r="DJ64" i="21" s="1"/>
  <c r="FZ63" i="21"/>
  <c r="FY63" i="21"/>
  <c r="EA63" i="21"/>
  <c r="DL63" i="21"/>
  <c r="DI63" i="21"/>
  <c r="DH63" i="21"/>
  <c r="CG63" i="21"/>
  <c r="CF63" i="21"/>
  <c r="CH63" i="21" s="1"/>
  <c r="CD63" i="21"/>
  <c r="CE63" i="21" s="1"/>
  <c r="AX63" i="21"/>
  <c r="AK63" i="21"/>
  <c r="AM63" i="21" s="1"/>
  <c r="W63" i="21"/>
  <c r="T63" i="21"/>
  <c r="S63" i="21"/>
  <c r="U63" i="21" s="1"/>
  <c r="AY63" i="21" s="1"/>
  <c r="P63" i="21"/>
  <c r="DY63" i="21" s="1"/>
  <c r="N63" i="21"/>
  <c r="I63" i="21"/>
  <c r="DJ63" i="21" s="1"/>
  <c r="H63" i="21"/>
  <c r="L63" i="21" s="1"/>
  <c r="FZ62" i="21"/>
  <c r="FY62" i="21"/>
  <c r="EA62" i="21"/>
  <c r="DH62" i="21"/>
  <c r="CG62" i="21"/>
  <c r="CF62" i="21"/>
  <c r="CD62" i="21"/>
  <c r="CE62" i="21" s="1"/>
  <c r="W62" i="21"/>
  <c r="BA62" i="21" s="1"/>
  <c r="BB62" i="21" s="1"/>
  <c r="S62" i="21"/>
  <c r="P62" i="21"/>
  <c r="DY62" i="21" s="1"/>
  <c r="N62" i="21"/>
  <c r="I62" i="21"/>
  <c r="AX62" i="21" s="1"/>
  <c r="H62" i="21"/>
  <c r="FZ61" i="21"/>
  <c r="FY61" i="21"/>
  <c r="EA61" i="21"/>
  <c r="DH61" i="21"/>
  <c r="CG61" i="21"/>
  <c r="CF61" i="21"/>
  <c r="CD61" i="21"/>
  <c r="CE61" i="21" s="1"/>
  <c r="W61" i="21"/>
  <c r="BA61" i="21" s="1"/>
  <c r="BB61" i="21" s="1"/>
  <c r="S61" i="21"/>
  <c r="P61" i="21"/>
  <c r="DY61" i="21" s="1"/>
  <c r="N61" i="21"/>
  <c r="L61" i="21"/>
  <c r="I61" i="21"/>
  <c r="AX61" i="21" s="1"/>
  <c r="CM61" i="21" s="1"/>
  <c r="CU61" i="21" s="1"/>
  <c r="H61" i="21"/>
  <c r="FZ60" i="21"/>
  <c r="FY60" i="21"/>
  <c r="FX60" i="21"/>
  <c r="GA60" i="21" s="1"/>
  <c r="CS60" i="21" s="1"/>
  <c r="EA60" i="21"/>
  <c r="DL60" i="21"/>
  <c r="DH60" i="21"/>
  <c r="CM60" i="21"/>
  <c r="CG60" i="21"/>
  <c r="CF60" i="21"/>
  <c r="CH60" i="21" s="1"/>
  <c r="CD60" i="21"/>
  <c r="CE60" i="21" s="1"/>
  <c r="AN60" i="21"/>
  <c r="AK60" i="21"/>
  <c r="AL60" i="21" s="1"/>
  <c r="W60" i="21"/>
  <c r="BA60" i="21" s="1"/>
  <c r="BB60" i="21" s="1"/>
  <c r="U60" i="21"/>
  <c r="AY60" i="21" s="1"/>
  <c r="S60" i="21"/>
  <c r="T60" i="21" s="1"/>
  <c r="P60" i="21"/>
  <c r="DY60" i="21" s="1"/>
  <c r="O60" i="21"/>
  <c r="BK60" i="21" s="1"/>
  <c r="N60" i="21"/>
  <c r="I60" i="21"/>
  <c r="AX60" i="21" s="1"/>
  <c r="H60" i="21"/>
  <c r="DI60" i="21" s="1"/>
  <c r="FZ59" i="21"/>
  <c r="FY59" i="21"/>
  <c r="EA59" i="21"/>
  <c r="DL59" i="21"/>
  <c r="DI59" i="21"/>
  <c r="DH59" i="21"/>
  <c r="CG59" i="21"/>
  <c r="CF59" i="21"/>
  <c r="CH59" i="21" s="1"/>
  <c r="CD59" i="21"/>
  <c r="CE59" i="21" s="1"/>
  <c r="AK59" i="21"/>
  <c r="AM59" i="21" s="1"/>
  <c r="W59" i="21"/>
  <c r="BA59" i="21" s="1"/>
  <c r="S59" i="21"/>
  <c r="P59" i="21"/>
  <c r="DY59" i="21" s="1"/>
  <c r="N59" i="21"/>
  <c r="I59" i="21"/>
  <c r="H59" i="21"/>
  <c r="L59" i="21" s="1"/>
  <c r="FZ58" i="21"/>
  <c r="FY58" i="21"/>
  <c r="EA58" i="21"/>
  <c r="DY58" i="21"/>
  <c r="DH58" i="21"/>
  <c r="CG58" i="21"/>
  <c r="CF58" i="21"/>
  <c r="CE58" i="21"/>
  <c r="CD58" i="21"/>
  <c r="AK58" i="21"/>
  <c r="AM58" i="21" s="1"/>
  <c r="W58" i="21"/>
  <c r="T58" i="21"/>
  <c r="S58" i="21"/>
  <c r="P58" i="21"/>
  <c r="O58" i="21"/>
  <c r="BK58" i="21" s="1"/>
  <c r="N58" i="21"/>
  <c r="I58" i="21"/>
  <c r="AX58" i="21" s="1"/>
  <c r="CM58" i="21" s="1"/>
  <c r="FG58" i="21" s="1"/>
  <c r="H58" i="21"/>
  <c r="FZ57" i="21"/>
  <c r="FY57" i="21"/>
  <c r="FX57" i="21"/>
  <c r="EA57" i="21"/>
  <c r="DI57" i="21"/>
  <c r="DH57" i="21"/>
  <c r="CG57" i="21"/>
  <c r="CF57" i="21"/>
  <c r="CH57" i="21" s="1"/>
  <c r="CD57" i="21"/>
  <c r="CE57" i="21" s="1"/>
  <c r="W57" i="21"/>
  <c r="S57" i="21"/>
  <c r="P57" i="21"/>
  <c r="DY57" i="21" s="1"/>
  <c r="O57" i="21"/>
  <c r="N57" i="21"/>
  <c r="I57" i="21"/>
  <c r="AX57" i="21" s="1"/>
  <c r="CM57" i="21" s="1"/>
  <c r="H57" i="21"/>
  <c r="FZ56" i="21"/>
  <c r="FY56" i="21"/>
  <c r="EA56" i="21"/>
  <c r="DY56" i="21"/>
  <c r="DL56" i="21"/>
  <c r="DI56" i="21"/>
  <c r="DH56" i="21"/>
  <c r="CG56" i="21"/>
  <c r="CF56" i="21"/>
  <c r="CH56" i="21" s="1"/>
  <c r="CD56" i="21"/>
  <c r="CE56" i="21" s="1"/>
  <c r="AK56" i="21"/>
  <c r="W56" i="21"/>
  <c r="BA56" i="21" s="1"/>
  <c r="S56" i="21"/>
  <c r="P56" i="21"/>
  <c r="O56" i="21"/>
  <c r="BK56" i="21" s="1"/>
  <c r="N56" i="21"/>
  <c r="L56" i="21"/>
  <c r="I56" i="21"/>
  <c r="DJ56" i="21" s="1"/>
  <c r="H56" i="21"/>
  <c r="FZ55" i="21"/>
  <c r="FY55" i="21"/>
  <c r="EE55" i="21"/>
  <c r="EA55" i="21"/>
  <c r="DL55" i="21"/>
  <c r="DI55" i="21"/>
  <c r="DH55" i="21"/>
  <c r="CG55" i="21"/>
  <c r="CH55" i="21" s="1"/>
  <c r="CF55" i="21"/>
  <c r="CD55" i="21"/>
  <c r="CE55" i="21" s="1"/>
  <c r="BZ55" i="21"/>
  <c r="BR55" i="21"/>
  <c r="DZ55" i="21" s="1"/>
  <c r="AX55" i="21"/>
  <c r="CM55" i="21" s="1"/>
  <c r="FG55" i="21" s="1"/>
  <c r="AN55" i="21"/>
  <c r="AK55" i="21"/>
  <c r="AM55" i="21" s="1"/>
  <c r="X55" i="21"/>
  <c r="W55" i="21"/>
  <c r="U55" i="21"/>
  <c r="T55" i="21"/>
  <c r="S55" i="21"/>
  <c r="AL55" i="21" s="1"/>
  <c r="P55" i="21"/>
  <c r="DY55" i="21" s="1"/>
  <c r="O55" i="21"/>
  <c r="BK55" i="21" s="1"/>
  <c r="N55" i="21"/>
  <c r="I55" i="21"/>
  <c r="DJ55" i="21" s="1"/>
  <c r="H55" i="21"/>
  <c r="L55" i="21" s="1"/>
  <c r="FZ54" i="21"/>
  <c r="FY54" i="21"/>
  <c r="EA54" i="21"/>
  <c r="DY54" i="21"/>
  <c r="DL54" i="21"/>
  <c r="DI54" i="21"/>
  <c r="DH54" i="21"/>
  <c r="CG54" i="21"/>
  <c r="CF54" i="21"/>
  <c r="CH54" i="21" s="1"/>
  <c r="CD54" i="21"/>
  <c r="CE54" i="21" s="1"/>
  <c r="AK54" i="21"/>
  <c r="AM54" i="21" s="1"/>
  <c r="W54" i="21"/>
  <c r="X54" i="21" s="1"/>
  <c r="S54" i="21"/>
  <c r="P54" i="21"/>
  <c r="N54" i="21"/>
  <c r="I54" i="21"/>
  <c r="DJ54" i="21" s="1"/>
  <c r="H54" i="21"/>
  <c r="L54" i="21" s="1"/>
  <c r="FZ53" i="21"/>
  <c r="FY53" i="21"/>
  <c r="EA53" i="21"/>
  <c r="DI53" i="21"/>
  <c r="DH53" i="21"/>
  <c r="CG53" i="21"/>
  <c r="CF53" i="21"/>
  <c r="CH53" i="21" s="1"/>
  <c r="CD53" i="21"/>
  <c r="CE53" i="21" s="1"/>
  <c r="W53" i="21"/>
  <c r="S53" i="21"/>
  <c r="P53" i="21"/>
  <c r="DY53" i="21" s="1"/>
  <c r="O53" i="21"/>
  <c r="N53" i="21"/>
  <c r="L53" i="21"/>
  <c r="I53" i="21"/>
  <c r="H53" i="21"/>
  <c r="FZ52" i="21"/>
  <c r="FY52" i="21"/>
  <c r="EA52" i="21"/>
  <c r="DL52" i="21"/>
  <c r="DI52" i="21"/>
  <c r="DH52" i="21"/>
  <c r="CG52" i="21"/>
  <c r="CF52" i="21"/>
  <c r="CD52" i="21"/>
  <c r="CE52" i="21" s="1"/>
  <c r="BA52" i="21"/>
  <c r="BB52" i="21" s="1"/>
  <c r="AX52" i="21"/>
  <c r="CM52" i="21" s="1"/>
  <c r="W52" i="21"/>
  <c r="X52" i="21" s="1"/>
  <c r="Y52" i="21" s="1"/>
  <c r="S52" i="21"/>
  <c r="P52" i="21"/>
  <c r="DY52" i="21" s="1"/>
  <c r="O52" i="21"/>
  <c r="N52" i="21"/>
  <c r="L52" i="21"/>
  <c r="I52" i="21"/>
  <c r="DJ52" i="21" s="1"/>
  <c r="H52" i="21"/>
  <c r="FZ51" i="21"/>
  <c r="FY51" i="21" s="1"/>
  <c r="EA51" i="21"/>
  <c r="DY51" i="21"/>
  <c r="DL51" i="21"/>
  <c r="DH51" i="21"/>
  <c r="CG51" i="21"/>
  <c r="CF51" i="21"/>
  <c r="CD51" i="21"/>
  <c r="CE51" i="21" s="1"/>
  <c r="AB51" i="21"/>
  <c r="V51" i="21"/>
  <c r="W51" i="21" s="1"/>
  <c r="T51" i="21"/>
  <c r="O51" i="21"/>
  <c r="L51" i="21"/>
  <c r="H51" i="21"/>
  <c r="G51" i="21"/>
  <c r="FZ50" i="21"/>
  <c r="EA50" i="21"/>
  <c r="DY50" i="21"/>
  <c r="DL50" i="21"/>
  <c r="DH50" i="21"/>
  <c r="CF50" i="21"/>
  <c r="CD50" i="21"/>
  <c r="CE50" i="21" s="1"/>
  <c r="CA50" i="21"/>
  <c r="BR50" i="21"/>
  <c r="DZ50" i="21" s="1"/>
  <c r="EB50" i="21" s="1"/>
  <c r="EH50" i="21" s="1"/>
  <c r="DM50" i="21" s="1"/>
  <c r="AB50" i="21"/>
  <c r="V50" i="21"/>
  <c r="W50" i="21" s="1"/>
  <c r="X50" i="21" s="1"/>
  <c r="Y50" i="21" s="1"/>
  <c r="T50" i="21"/>
  <c r="BE50" i="21" s="1"/>
  <c r="O50" i="21"/>
  <c r="BK50" i="21" s="1"/>
  <c r="L50" i="21"/>
  <c r="H50" i="21"/>
  <c r="G50" i="21"/>
  <c r="FZ49" i="21"/>
  <c r="FY49" i="21" s="1"/>
  <c r="EA49" i="21"/>
  <c r="DY49" i="21"/>
  <c r="DH49" i="21"/>
  <c r="CG49" i="21"/>
  <c r="CF49" i="21"/>
  <c r="CD49" i="21"/>
  <c r="CE49" i="21" s="1"/>
  <c r="CA49" i="21"/>
  <c r="BZ49" i="21"/>
  <c r="CB49" i="21" s="1"/>
  <c r="AB49" i="21"/>
  <c r="V49" i="21"/>
  <c r="W49" i="21" s="1"/>
  <c r="T49" i="21"/>
  <c r="U49" i="21" s="1"/>
  <c r="AY49" i="21" s="1"/>
  <c r="O49" i="21"/>
  <c r="BR49" i="21" s="1"/>
  <c r="DZ49" i="21" s="1"/>
  <c r="EB49" i="21" s="1"/>
  <c r="H49" i="21"/>
  <c r="G49" i="21"/>
  <c r="FZ48" i="21"/>
  <c r="FY48" i="21" s="1"/>
  <c r="EA48" i="21"/>
  <c r="DY48" i="21"/>
  <c r="DI48" i="21"/>
  <c r="DH48" i="21"/>
  <c r="CG48" i="21"/>
  <c r="CF48" i="21"/>
  <c r="CD48" i="21"/>
  <c r="CE48" i="21" s="1"/>
  <c r="AK48" i="21"/>
  <c r="AM48" i="21" s="1"/>
  <c r="AB48" i="21"/>
  <c r="V48" i="21"/>
  <c r="W48" i="21" s="1"/>
  <c r="T48" i="21"/>
  <c r="O48" i="21"/>
  <c r="CA48" i="21" s="1"/>
  <c r="L48" i="21"/>
  <c r="I48" i="21"/>
  <c r="M48" i="21" s="1"/>
  <c r="H48" i="21"/>
  <c r="DL48" i="21" s="1"/>
  <c r="G48" i="21"/>
  <c r="FZ47" i="21"/>
  <c r="EA47" i="21"/>
  <c r="DY47" i="21"/>
  <c r="DL47" i="21"/>
  <c r="DI47" i="21"/>
  <c r="DH47" i="21"/>
  <c r="CG47" i="21"/>
  <c r="CF47" i="21"/>
  <c r="CD47" i="21"/>
  <c r="CE47" i="21" s="1"/>
  <c r="BR47" i="21"/>
  <c r="DZ47" i="21" s="1"/>
  <c r="EB47" i="21" s="1"/>
  <c r="EH47" i="21" s="1"/>
  <c r="AX47" i="21"/>
  <c r="AN47" i="21"/>
  <c r="AK47" i="21"/>
  <c r="AM47" i="21" s="1"/>
  <c r="AB47" i="21"/>
  <c r="V47" i="21"/>
  <c r="W47" i="21" s="1"/>
  <c r="X47" i="21" s="1"/>
  <c r="T47" i="21"/>
  <c r="O47" i="21"/>
  <c r="BK47" i="21" s="1"/>
  <c r="L47" i="21"/>
  <c r="I47" i="21"/>
  <c r="H47" i="21"/>
  <c r="G47" i="21"/>
  <c r="FY47" i="21" s="1"/>
  <c r="FZ46" i="21"/>
  <c r="EA46" i="21"/>
  <c r="DY46" i="21"/>
  <c r="DL46" i="21"/>
  <c r="DI46" i="21"/>
  <c r="DH46" i="21"/>
  <c r="CF46" i="21"/>
  <c r="CD46" i="21"/>
  <c r="CE46" i="21" s="1"/>
  <c r="BZ46" i="21"/>
  <c r="BR46" i="21"/>
  <c r="DZ46" i="21" s="1"/>
  <c r="BK46" i="21"/>
  <c r="BM46" i="21" s="1"/>
  <c r="AB46" i="21"/>
  <c r="V46" i="21"/>
  <c r="W46" i="21" s="1"/>
  <c r="X46" i="21" s="1"/>
  <c r="T46" i="21"/>
  <c r="BE46" i="21" s="1"/>
  <c r="O46" i="21"/>
  <c r="FX46" i="21" s="1"/>
  <c r="L46" i="21"/>
  <c r="H46" i="21"/>
  <c r="AK46" i="21" s="1"/>
  <c r="AM46" i="21" s="1"/>
  <c r="G46" i="21"/>
  <c r="FZ45" i="21"/>
  <c r="FY45" i="21"/>
  <c r="EA45" i="21"/>
  <c r="DY45" i="21"/>
  <c r="DL45" i="21"/>
  <c r="DI45" i="21"/>
  <c r="DH45" i="21"/>
  <c r="CF45" i="21"/>
  <c r="CE45" i="21"/>
  <c r="CD45" i="21"/>
  <c r="AB45" i="21"/>
  <c r="V45" i="21"/>
  <c r="W45" i="21" s="1"/>
  <c r="T45" i="21"/>
  <c r="O45" i="21"/>
  <c r="L45" i="21"/>
  <c r="H45" i="21"/>
  <c r="G45" i="21"/>
  <c r="CG45" i="21" s="1"/>
  <c r="CH45" i="21" s="1"/>
  <c r="FZ44" i="21"/>
  <c r="FY44" i="21" s="1"/>
  <c r="FX44" i="21"/>
  <c r="EE44" i="21"/>
  <c r="EA44" i="21"/>
  <c r="DY44" i="21"/>
  <c r="DH44" i="21"/>
  <c r="CG44" i="21"/>
  <c r="CF44" i="21"/>
  <c r="CH44" i="21" s="1"/>
  <c r="CD44" i="21"/>
  <c r="CE44" i="21" s="1"/>
  <c r="AN44" i="21"/>
  <c r="AK44" i="21"/>
  <c r="AM44" i="21" s="1"/>
  <c r="AB44" i="21"/>
  <c r="V44" i="21"/>
  <c r="W44" i="21" s="1"/>
  <c r="T44" i="21"/>
  <c r="U44" i="21" s="1"/>
  <c r="AY44" i="21" s="1"/>
  <c r="O44" i="21"/>
  <c r="BK44" i="21" s="1"/>
  <c r="BM44" i="21" s="1"/>
  <c r="L44" i="21"/>
  <c r="H44" i="21"/>
  <c r="I44" i="21" s="1"/>
  <c r="G44" i="21"/>
  <c r="FZ43" i="21"/>
  <c r="FY43" i="21" s="1"/>
  <c r="EA43" i="21"/>
  <c r="DY43" i="21"/>
  <c r="DJ43" i="21"/>
  <c r="DH43" i="21"/>
  <c r="CG43" i="21"/>
  <c r="CH43" i="21" s="1"/>
  <c r="CF43" i="21"/>
  <c r="CD43" i="21"/>
  <c r="CE43" i="21" s="1"/>
  <c r="AX43" i="21"/>
  <c r="AB43" i="21"/>
  <c r="V43" i="21"/>
  <c r="W43" i="21" s="1"/>
  <c r="X43" i="21" s="1"/>
  <c r="Y43" i="21" s="1"/>
  <c r="T43" i="21"/>
  <c r="BE43" i="21" s="1"/>
  <c r="O43" i="21"/>
  <c r="BK43" i="21" s="1"/>
  <c r="BM43" i="21" s="1"/>
  <c r="L43" i="21"/>
  <c r="I43" i="21"/>
  <c r="M43" i="21" s="1"/>
  <c r="H43" i="21"/>
  <c r="G43" i="21"/>
  <c r="FZ42" i="21"/>
  <c r="FY42" i="21"/>
  <c r="FX42" i="21"/>
  <c r="GA42" i="21" s="1"/>
  <c r="EE42" i="21"/>
  <c r="EA42" i="21"/>
  <c r="DY42" i="21"/>
  <c r="DL42" i="21"/>
  <c r="DI42" i="21"/>
  <c r="DH42" i="21"/>
  <c r="CF42" i="21"/>
  <c r="CD42" i="21"/>
  <c r="CE42" i="21" s="1"/>
  <c r="CA42" i="21"/>
  <c r="BR42" i="21"/>
  <c r="DZ42" i="21" s="1"/>
  <c r="EB42" i="21" s="1"/>
  <c r="EH42" i="21" s="1"/>
  <c r="BM42" i="21"/>
  <c r="BL42" i="21"/>
  <c r="BN42" i="21" s="1"/>
  <c r="BK42" i="21"/>
  <c r="AM42" i="21"/>
  <c r="AL42" i="21"/>
  <c r="AB42" i="21"/>
  <c r="W42" i="21"/>
  <c r="V42" i="21"/>
  <c r="T42" i="21"/>
  <c r="O42" i="21"/>
  <c r="L42" i="21"/>
  <c r="I42" i="21"/>
  <c r="H42" i="21"/>
  <c r="AK42" i="21" s="1"/>
  <c r="G42" i="21"/>
  <c r="CG42" i="21" s="1"/>
  <c r="FZ41" i="21"/>
  <c r="FY41" i="21" s="1"/>
  <c r="EA41" i="21"/>
  <c r="DY41" i="21"/>
  <c r="DH41" i="21"/>
  <c r="CG41" i="21"/>
  <c r="CF41" i="21"/>
  <c r="CD41" i="21"/>
  <c r="CE41" i="21" s="1"/>
  <c r="CA41" i="21"/>
  <c r="BZ41" i="21"/>
  <c r="CB41" i="21" s="1"/>
  <c r="AB41" i="21"/>
  <c r="V41" i="21"/>
  <c r="W41" i="21" s="1"/>
  <c r="X41" i="21" s="1"/>
  <c r="T41" i="21"/>
  <c r="U41" i="21" s="1"/>
  <c r="AY41" i="21" s="1"/>
  <c r="AZ41" i="21" s="1"/>
  <c r="O41" i="21"/>
  <c r="BR41" i="21" s="1"/>
  <c r="DZ41" i="21" s="1"/>
  <c r="EB41" i="21" s="1"/>
  <c r="EH41" i="21" s="1"/>
  <c r="H41" i="21"/>
  <c r="G41" i="21"/>
  <c r="FZ40" i="21"/>
  <c r="FY40" i="21" s="1"/>
  <c r="EA40" i="21"/>
  <c r="DY40" i="21"/>
  <c r="DI40" i="21"/>
  <c r="DH40" i="21"/>
  <c r="CF40" i="21"/>
  <c r="CD40" i="21"/>
  <c r="CE40" i="21" s="1"/>
  <c r="AB40" i="21"/>
  <c r="V40" i="21"/>
  <c r="W40" i="21" s="1"/>
  <c r="T40" i="21"/>
  <c r="O40" i="21"/>
  <c r="FX40" i="21" s="1"/>
  <c r="H40" i="21"/>
  <c r="DL40" i="21" s="1"/>
  <c r="G40" i="21"/>
  <c r="CG40" i="21" s="1"/>
  <c r="CH40" i="21" s="1"/>
  <c r="FZ39" i="21"/>
  <c r="FY39" i="21" s="1"/>
  <c r="EA39" i="21"/>
  <c r="DY39" i="21"/>
  <c r="DH39" i="21"/>
  <c r="CG39" i="21"/>
  <c r="CF39" i="21"/>
  <c r="CD39" i="21"/>
  <c r="CE39" i="21" s="1"/>
  <c r="CA39" i="21"/>
  <c r="AK39" i="21"/>
  <c r="AM39" i="21" s="1"/>
  <c r="AB39" i="21"/>
  <c r="V39" i="21"/>
  <c r="T39" i="21"/>
  <c r="U39" i="21" s="1"/>
  <c r="AY39" i="21" s="1"/>
  <c r="O39" i="21"/>
  <c r="FX39" i="21" s="1"/>
  <c r="L39" i="21"/>
  <c r="H39" i="21"/>
  <c r="I39" i="21" s="1"/>
  <c r="G39" i="21"/>
  <c r="FZ38" i="21"/>
  <c r="FX38" i="21"/>
  <c r="EA38" i="21"/>
  <c r="DY38" i="21"/>
  <c r="DL38" i="21"/>
  <c r="DI38" i="21"/>
  <c r="DH38" i="21"/>
  <c r="CF38" i="21"/>
  <c r="CD38" i="21"/>
  <c r="CE38" i="21" s="1"/>
  <c r="BZ38" i="21"/>
  <c r="AB38" i="21"/>
  <c r="V38" i="21"/>
  <c r="W38" i="21" s="1"/>
  <c r="X38" i="21" s="1"/>
  <c r="Y38" i="21" s="1"/>
  <c r="T38" i="21"/>
  <c r="U38" i="21" s="1"/>
  <c r="AY38" i="21" s="1"/>
  <c r="AZ38" i="21" s="1"/>
  <c r="O38" i="21"/>
  <c r="BK38" i="21" s="1"/>
  <c r="BM38" i="21" s="1"/>
  <c r="H38" i="21"/>
  <c r="G38" i="21"/>
  <c r="FZ37" i="21"/>
  <c r="FY37" i="21"/>
  <c r="EE37" i="21"/>
  <c r="EA37" i="21"/>
  <c r="DY37" i="21"/>
  <c r="DH37" i="21"/>
  <c r="CG37" i="21"/>
  <c r="CF37" i="21"/>
  <c r="CD37" i="21"/>
  <c r="CE37" i="21" s="1"/>
  <c r="AK37" i="21"/>
  <c r="AL37" i="21" s="1"/>
  <c r="AB37" i="21"/>
  <c r="V37" i="21"/>
  <c r="W37" i="21" s="1"/>
  <c r="T37" i="21"/>
  <c r="BE37" i="21" s="1"/>
  <c r="O37" i="21"/>
  <c r="AN37" i="21" s="1"/>
  <c r="H37" i="21"/>
  <c r="L37" i="21" s="1"/>
  <c r="G37" i="21"/>
  <c r="FZ36" i="21"/>
  <c r="FY36" i="21"/>
  <c r="EA36" i="21"/>
  <c r="DY36" i="21"/>
  <c r="DH36" i="21"/>
  <c r="CF36" i="21"/>
  <c r="CD36" i="21"/>
  <c r="CE36" i="21" s="1"/>
  <c r="AB36" i="21"/>
  <c r="V36" i="21"/>
  <c r="W36" i="21" s="1"/>
  <c r="T36" i="21"/>
  <c r="U36" i="21" s="1"/>
  <c r="AY36" i="21" s="1"/>
  <c r="AZ36" i="21" s="1"/>
  <c r="O36" i="21"/>
  <c r="H36" i="21"/>
  <c r="G36" i="21"/>
  <c r="CG36" i="21" s="1"/>
  <c r="FZ35" i="21"/>
  <c r="FY35" i="21"/>
  <c r="EA35" i="21"/>
  <c r="DY35" i="21"/>
  <c r="DH35" i="21"/>
  <c r="CG35" i="21"/>
  <c r="CF35" i="21"/>
  <c r="CH35" i="21" s="1"/>
  <c r="CD35" i="21"/>
  <c r="CE35" i="21" s="1"/>
  <c r="AK35" i="21"/>
  <c r="AM35" i="21" s="1"/>
  <c r="AB35" i="21"/>
  <c r="V35" i="21"/>
  <c r="W35" i="21" s="1"/>
  <c r="T35" i="21"/>
  <c r="O35" i="21"/>
  <c r="H35" i="21"/>
  <c r="L35" i="21" s="1"/>
  <c r="G35" i="21"/>
  <c r="FZ34" i="21"/>
  <c r="FY34" i="21"/>
  <c r="EA34" i="21"/>
  <c r="DY34" i="21"/>
  <c r="DH34" i="21"/>
  <c r="CG34" i="21"/>
  <c r="CF34" i="21"/>
  <c r="CH34" i="21" s="1"/>
  <c r="CD34" i="21"/>
  <c r="CE34" i="21" s="1"/>
  <c r="BE34" i="21"/>
  <c r="AB34" i="21"/>
  <c r="V34" i="21"/>
  <c r="W34" i="21" s="1"/>
  <c r="U34" i="21"/>
  <c r="AY34" i="21" s="1"/>
  <c r="T34" i="21"/>
  <c r="O34" i="21"/>
  <c r="CA34" i="21" s="1"/>
  <c r="H34" i="21"/>
  <c r="L34" i="21" s="1"/>
  <c r="G34" i="21"/>
  <c r="FZ33" i="21"/>
  <c r="FY33" i="21" s="1"/>
  <c r="EE33" i="21"/>
  <c r="EA33" i="21"/>
  <c r="DZ33" i="21"/>
  <c r="DY33" i="21"/>
  <c r="DH33" i="21"/>
  <c r="CF33" i="21"/>
  <c r="CH33" i="21" s="1"/>
  <c r="CD33" i="21"/>
  <c r="CE33" i="21" s="1"/>
  <c r="BZ33" i="21"/>
  <c r="BR33" i="21"/>
  <c r="BK33" i="21"/>
  <c r="BL33" i="21" s="1"/>
  <c r="BN33" i="21" s="1"/>
  <c r="AN33" i="21"/>
  <c r="AK33" i="21"/>
  <c r="AM33" i="21" s="1"/>
  <c r="AB33" i="21"/>
  <c r="W33" i="21"/>
  <c r="V33" i="21"/>
  <c r="T33" i="21"/>
  <c r="U33" i="21" s="1"/>
  <c r="AY33" i="21" s="1"/>
  <c r="O33" i="21"/>
  <c r="FX33" i="21" s="1"/>
  <c r="L33" i="21"/>
  <c r="H33" i="21"/>
  <c r="DL33" i="21" s="1"/>
  <c r="G33" i="21"/>
  <c r="CG33" i="21" s="1"/>
  <c r="FZ32" i="21"/>
  <c r="EA32" i="21"/>
  <c r="DY32" i="21"/>
  <c r="DH32" i="21"/>
  <c r="CG32" i="21"/>
  <c r="CF32" i="21"/>
  <c r="CD32" i="21"/>
  <c r="CE32" i="21" s="1"/>
  <c r="BK32" i="21"/>
  <c r="BE32" i="21"/>
  <c r="AB32" i="21"/>
  <c r="W32" i="21"/>
  <c r="X32" i="21" s="1"/>
  <c r="Y32" i="21" s="1"/>
  <c r="V32" i="21"/>
  <c r="T32" i="21"/>
  <c r="U32" i="21" s="1"/>
  <c r="AY32" i="21" s="1"/>
  <c r="AZ32" i="21" s="1"/>
  <c r="O32" i="21"/>
  <c r="FX32" i="21" s="1"/>
  <c r="H32" i="21"/>
  <c r="G32" i="21"/>
  <c r="FZ31" i="21"/>
  <c r="FY31" i="21"/>
  <c r="FX31" i="21"/>
  <c r="GA31" i="21" s="1"/>
  <c r="EE31" i="21"/>
  <c r="EA31" i="21"/>
  <c r="DY31" i="21"/>
  <c r="DI31" i="21"/>
  <c r="DH31" i="21"/>
  <c r="CG31" i="21"/>
  <c r="CF31" i="21"/>
  <c r="CD31" i="21"/>
  <c r="CE31" i="21" s="1"/>
  <c r="CA31" i="21"/>
  <c r="BZ31" i="21"/>
  <c r="CB31" i="21" s="1"/>
  <c r="BR31" i="21"/>
  <c r="DZ31" i="21" s="1"/>
  <c r="BN31" i="21"/>
  <c r="BM31" i="21"/>
  <c r="BO31" i="21" s="1"/>
  <c r="AN31" i="21"/>
  <c r="AM31" i="21"/>
  <c r="AK31" i="21"/>
  <c r="AL31" i="21" s="1"/>
  <c r="AB31" i="21"/>
  <c r="V31" i="21"/>
  <c r="W31" i="21" s="1"/>
  <c r="T31" i="21"/>
  <c r="U31" i="21" s="1"/>
  <c r="AY31" i="21" s="1"/>
  <c r="O31" i="21"/>
  <c r="BK31" i="21" s="1"/>
  <c r="BL31" i="21" s="1"/>
  <c r="L31" i="21"/>
  <c r="I31" i="21"/>
  <c r="DJ31" i="21" s="1"/>
  <c r="H31" i="21"/>
  <c r="DL31" i="21" s="1"/>
  <c r="G31" i="21"/>
  <c r="FZ30" i="21"/>
  <c r="EA30" i="21"/>
  <c r="DY30" i="21"/>
  <c r="DH30" i="21"/>
  <c r="CF30" i="21"/>
  <c r="CD30" i="21"/>
  <c r="CE30" i="21" s="1"/>
  <c r="AB30" i="21"/>
  <c r="V30" i="21"/>
  <c r="W30" i="21" s="1"/>
  <c r="T30" i="21"/>
  <c r="U30" i="21" s="1"/>
  <c r="AY30" i="21" s="1"/>
  <c r="O30" i="21"/>
  <c r="H30" i="21"/>
  <c r="G30" i="21"/>
  <c r="FZ29" i="21"/>
  <c r="EA29" i="21"/>
  <c r="DY29" i="21"/>
  <c r="DI29" i="21"/>
  <c r="DH29" i="21"/>
  <c r="CG29" i="21"/>
  <c r="CF29" i="21"/>
  <c r="CH29" i="21" s="1"/>
  <c r="CD29" i="21"/>
  <c r="CE29" i="21" s="1"/>
  <c r="AK29" i="21"/>
  <c r="AM29" i="21" s="1"/>
  <c r="AB29" i="21"/>
  <c r="V29" i="21"/>
  <c r="W29" i="21" s="1"/>
  <c r="BA29" i="21" s="1"/>
  <c r="T29" i="21"/>
  <c r="O29" i="21"/>
  <c r="FX29" i="21" s="1"/>
  <c r="H29" i="21"/>
  <c r="L29" i="21" s="1"/>
  <c r="G29" i="21"/>
  <c r="FZ28" i="21"/>
  <c r="FX28" i="21"/>
  <c r="EA28" i="21"/>
  <c r="DY28" i="21"/>
  <c r="DL28" i="21"/>
  <c r="DH28" i="21"/>
  <c r="CF28" i="21"/>
  <c r="CD28" i="21"/>
  <c r="CE28" i="21" s="1"/>
  <c r="BZ28" i="21"/>
  <c r="BK28" i="21"/>
  <c r="AB28" i="21"/>
  <c r="V28" i="21"/>
  <c r="W28" i="21" s="1"/>
  <c r="T28" i="21"/>
  <c r="O28" i="21"/>
  <c r="L28" i="21"/>
  <c r="I28" i="21"/>
  <c r="AX28" i="21" s="1"/>
  <c r="H28" i="21"/>
  <c r="AK28" i="21" s="1"/>
  <c r="G28" i="21"/>
  <c r="CG28" i="21" s="1"/>
  <c r="CH28" i="21" s="1"/>
  <c r="FZ27" i="21"/>
  <c r="FY27" i="21"/>
  <c r="EA27" i="21"/>
  <c r="DY27" i="21"/>
  <c r="DL27" i="21"/>
  <c r="DI27" i="21"/>
  <c r="DH27" i="21"/>
  <c r="CG27" i="21"/>
  <c r="CH27" i="21" s="1"/>
  <c r="CF27" i="21"/>
  <c r="CD27" i="21"/>
  <c r="CE27" i="21" s="1"/>
  <c r="AK27" i="21"/>
  <c r="AL27" i="21" s="1"/>
  <c r="AB27" i="21"/>
  <c r="V27" i="21"/>
  <c r="W27" i="21" s="1"/>
  <c r="X27" i="21" s="1"/>
  <c r="T27" i="21"/>
  <c r="O27" i="21"/>
  <c r="BK27" i="21" s="1"/>
  <c r="L27" i="21"/>
  <c r="I27" i="21"/>
  <c r="AX27" i="21" s="1"/>
  <c r="H27" i="21"/>
  <c r="G27" i="21"/>
  <c r="FZ26" i="21"/>
  <c r="FY26" i="21"/>
  <c r="FX26" i="21"/>
  <c r="EA26" i="21"/>
  <c r="DY26" i="21"/>
  <c r="DH26" i="21"/>
  <c r="CG26" i="21"/>
  <c r="CF26" i="21"/>
  <c r="CH26" i="21" s="1"/>
  <c r="CD26" i="21"/>
  <c r="CE26" i="21" s="1"/>
  <c r="AB26" i="21"/>
  <c r="V26" i="21"/>
  <c r="W26" i="21" s="1"/>
  <c r="T26" i="21"/>
  <c r="O26" i="21"/>
  <c r="H26" i="21"/>
  <c r="G26" i="21"/>
  <c r="FZ25" i="21"/>
  <c r="FY25" i="21"/>
  <c r="FX25" i="21"/>
  <c r="EE25" i="21"/>
  <c r="EA25" i="21"/>
  <c r="DY25" i="21"/>
  <c r="DI25" i="21"/>
  <c r="DH25" i="21"/>
  <c r="CG25" i="21"/>
  <c r="CF25" i="21"/>
  <c r="CD25" i="21"/>
  <c r="CE25" i="21" s="1"/>
  <c r="BR25" i="21"/>
  <c r="DZ25" i="21" s="1"/>
  <c r="EB25" i="21" s="1"/>
  <c r="EH25" i="21" s="1"/>
  <c r="AB25" i="21"/>
  <c r="V25" i="21"/>
  <c r="W25" i="21" s="1"/>
  <c r="T25" i="21"/>
  <c r="U25" i="21" s="1"/>
  <c r="AY25" i="21" s="1"/>
  <c r="AZ25" i="21" s="1"/>
  <c r="O25" i="21"/>
  <c r="BZ25" i="21" s="1"/>
  <c r="H25" i="21"/>
  <c r="G25" i="21"/>
  <c r="FZ24" i="21"/>
  <c r="FY24" i="21"/>
  <c r="FX24" i="21"/>
  <c r="GA24" i="21" s="1"/>
  <c r="EA24" i="21"/>
  <c r="DY24" i="21"/>
  <c r="DI24" i="21"/>
  <c r="DH24" i="21"/>
  <c r="CF24" i="21"/>
  <c r="CD24" i="21"/>
  <c r="CE24" i="21" s="1"/>
  <c r="BR24" i="21"/>
  <c r="DZ24" i="21" s="1"/>
  <c r="BK24" i="21"/>
  <c r="BM24" i="21" s="1"/>
  <c r="AK24" i="21"/>
  <c r="AM24" i="21" s="1"/>
  <c r="AB24" i="21"/>
  <c r="V24" i="21"/>
  <c r="W24" i="21" s="1"/>
  <c r="T24" i="21"/>
  <c r="BE24" i="21" s="1"/>
  <c r="O24" i="21"/>
  <c r="EE24" i="21" s="1"/>
  <c r="L24" i="21"/>
  <c r="H24" i="21"/>
  <c r="DL24" i="21" s="1"/>
  <c r="G24" i="21"/>
  <c r="CG24" i="21" s="1"/>
  <c r="FZ23" i="21"/>
  <c r="FX23" i="21"/>
  <c r="EL23" i="21"/>
  <c r="EK23" i="21" s="1"/>
  <c r="EA23" i="21"/>
  <c r="DY23" i="21"/>
  <c r="DI23" i="21"/>
  <c r="DH23" i="21"/>
  <c r="CG23" i="21"/>
  <c r="CH23" i="21" s="1"/>
  <c r="CF23" i="21"/>
  <c r="CE23" i="21"/>
  <c r="CD23" i="21"/>
  <c r="AB23" i="21"/>
  <c r="V23" i="21"/>
  <c r="W23" i="21" s="1"/>
  <c r="X23" i="21" s="1"/>
  <c r="Y23" i="21" s="1"/>
  <c r="T23" i="21"/>
  <c r="O23" i="21"/>
  <c r="CA23" i="21" s="1"/>
  <c r="H23" i="21"/>
  <c r="G23" i="21"/>
  <c r="FY23" i="21" s="1"/>
  <c r="FZ22" i="21"/>
  <c r="FY22" i="21" s="1"/>
  <c r="EA22" i="21"/>
  <c r="DY22" i="21"/>
  <c r="DL22" i="21"/>
  <c r="DI22" i="21"/>
  <c r="DH22" i="21"/>
  <c r="CG22" i="21"/>
  <c r="CH22" i="21" s="1"/>
  <c r="CF22" i="21"/>
  <c r="CD22" i="21"/>
  <c r="CE22" i="21" s="1"/>
  <c r="CA22" i="21"/>
  <c r="AN22" i="21"/>
  <c r="AK22" i="21"/>
  <c r="AB22" i="21"/>
  <c r="V22" i="21"/>
  <c r="W22" i="21" s="1"/>
  <c r="T22" i="21"/>
  <c r="O22" i="21"/>
  <c r="BZ22" i="21" s="1"/>
  <c r="L22" i="21"/>
  <c r="I22" i="21"/>
  <c r="M22" i="21" s="1"/>
  <c r="H22" i="21"/>
  <c r="G22" i="21"/>
  <c r="FZ21" i="21"/>
  <c r="FY21" i="21"/>
  <c r="EL21" i="21"/>
  <c r="EK21" i="21" s="1"/>
  <c r="EA21" i="21"/>
  <c r="DY21" i="21"/>
  <c r="DL21" i="21"/>
  <c r="DH21" i="21"/>
  <c r="CG21" i="21"/>
  <c r="CF21" i="21"/>
  <c r="CD21" i="21"/>
  <c r="CE21" i="21" s="1"/>
  <c r="BE21" i="21"/>
  <c r="BA21" i="21"/>
  <c r="BB21" i="21" s="1"/>
  <c r="AY21" i="21"/>
  <c r="AZ21" i="21" s="1"/>
  <c r="AX21" i="21"/>
  <c r="AM21" i="21"/>
  <c r="AL21" i="21"/>
  <c r="AB21" i="21"/>
  <c r="V21" i="21"/>
  <c r="W21" i="21" s="1"/>
  <c r="X21" i="21" s="1"/>
  <c r="Y21" i="21" s="1"/>
  <c r="U21" i="21"/>
  <c r="T21" i="21"/>
  <c r="O21" i="21"/>
  <c r="CA21" i="21" s="1"/>
  <c r="L21" i="21"/>
  <c r="I21" i="21"/>
  <c r="M21" i="21" s="1"/>
  <c r="BF21" i="21" s="1"/>
  <c r="H21" i="21"/>
  <c r="G21" i="21"/>
  <c r="FZ20" i="21"/>
  <c r="FY20" i="21"/>
  <c r="FX20" i="21"/>
  <c r="GA20" i="21" s="1"/>
  <c r="EA20" i="21"/>
  <c r="DY20" i="21"/>
  <c r="DH20" i="21"/>
  <c r="CF20" i="21"/>
  <c r="CD20" i="21"/>
  <c r="CE20" i="21" s="1"/>
  <c r="AP20" i="21"/>
  <c r="AP21" i="21" s="1"/>
  <c r="AP22" i="21" s="1"/>
  <c r="AM20" i="21"/>
  <c r="AL20" i="21"/>
  <c r="AB20" i="21"/>
  <c r="V20" i="21"/>
  <c r="W20" i="21" s="1"/>
  <c r="T20" i="21"/>
  <c r="U20" i="21" s="1"/>
  <c r="AY20" i="21" s="1"/>
  <c r="O20" i="21"/>
  <c r="EE20" i="21" s="1"/>
  <c r="L20" i="21"/>
  <c r="I20" i="21"/>
  <c r="M20" i="21" s="1"/>
  <c r="H20" i="21"/>
  <c r="DL20" i="21" s="1"/>
  <c r="G20" i="21"/>
  <c r="CG20" i="21" s="1"/>
  <c r="CH20" i="21" s="1"/>
  <c r="FZ19" i="21"/>
  <c r="FY19" i="21"/>
  <c r="EA19" i="21"/>
  <c r="DY19" i="21"/>
  <c r="DH19" i="21"/>
  <c r="CG19" i="21"/>
  <c r="CF19" i="21"/>
  <c r="CD19" i="21"/>
  <c r="CE19" i="21" s="1"/>
  <c r="CA19" i="21"/>
  <c r="BK19" i="21"/>
  <c r="BL19" i="21" s="1"/>
  <c r="BN19" i="21" s="1"/>
  <c r="AT19" i="21"/>
  <c r="DU19" i="21" s="1"/>
  <c r="AM19" i="21"/>
  <c r="AL19" i="21"/>
  <c r="AB19" i="21"/>
  <c r="V19" i="21"/>
  <c r="W19" i="21" s="1"/>
  <c r="T19" i="21"/>
  <c r="O19" i="21"/>
  <c r="FX19" i="21" s="1"/>
  <c r="H19" i="21"/>
  <c r="L19" i="21" s="1"/>
  <c r="G19" i="21"/>
  <c r="K16" i="21"/>
  <c r="J16" i="21"/>
  <c r="H16" i="21"/>
  <c r="G16" i="21"/>
  <c r="S15" i="21"/>
  <c r="K15" i="21"/>
  <c r="J15" i="21"/>
  <c r="H15" i="21"/>
  <c r="G15" i="21"/>
  <c r="S14" i="21"/>
  <c r="R14" i="21"/>
  <c r="DI11" i="21"/>
  <c r="S11" i="21"/>
  <c r="DI10" i="21"/>
  <c r="S10" i="21"/>
  <c r="R10" i="21"/>
  <c r="EO9" i="21"/>
  <c r="DZ9" i="21"/>
  <c r="DI8" i="21"/>
  <c r="CJ8" i="21"/>
  <c r="DL7" i="21"/>
  <c r="S7" i="21"/>
  <c r="J7" i="21"/>
  <c r="DT6" i="21"/>
  <c r="DS6" i="21"/>
  <c r="DQ6" i="21"/>
  <c r="DP6" i="21"/>
  <c r="DL6" i="21"/>
  <c r="S6" i="21"/>
  <c r="R6" i="21"/>
  <c r="J6" i="21"/>
  <c r="DV5" i="21"/>
  <c r="DT5" i="21"/>
  <c r="DU5" i="21" s="1"/>
  <c r="DS5" i="21"/>
  <c r="DQ5" i="21"/>
  <c r="DR5" i="21" s="1"/>
  <c r="DP5" i="21"/>
  <c r="DL5" i="21"/>
  <c r="M5" i="21"/>
  <c r="J5" i="21"/>
  <c r="FD4" i="21"/>
  <c r="FC4" i="21"/>
  <c r="DI4" i="21" s="1"/>
  <c r="EF4" i="21"/>
  <c r="DT4" i="21"/>
  <c r="DU4" i="21" s="1"/>
  <c r="DS4" i="21"/>
  <c r="DQ4" i="21"/>
  <c r="DR4" i="21" s="1"/>
  <c r="DP4" i="21"/>
  <c r="DL4" i="21"/>
  <c r="DJ4" i="21"/>
  <c r="M4" i="21"/>
  <c r="J4" i="21"/>
  <c r="FD3" i="21"/>
  <c r="FC3" i="21"/>
  <c r="DI3" i="21" s="1"/>
  <c r="EF3" i="21"/>
  <c r="DZ3" i="21"/>
  <c r="DV3" i="21"/>
  <c r="DS3" i="21"/>
  <c r="DP3" i="21"/>
  <c r="DL3" i="21"/>
  <c r="EA2" i="21"/>
  <c r="DT2" i="21"/>
  <c r="DU2" i="21" s="1"/>
  <c r="DV2" i="21" s="1"/>
  <c r="DR2" i="21"/>
  <c r="DQ2" i="21"/>
  <c r="DP2" i="21"/>
  <c r="S2" i="21"/>
  <c r="FD1" i="21"/>
  <c r="FD2" i="21" s="1"/>
  <c r="FC1" i="21"/>
  <c r="DI1" i="21" s="1"/>
  <c r="EP1" i="21"/>
  <c r="EF1" i="21"/>
  <c r="EF2" i="21" s="1"/>
  <c r="EB1" i="21"/>
  <c r="EA1" i="21"/>
  <c r="DZ1" i="21"/>
  <c r="DZ2" i="21" s="1"/>
  <c r="DW1" i="21"/>
  <c r="DW2" i="21" s="1"/>
  <c r="DT1" i="21"/>
  <c r="DU1" i="21" s="1"/>
  <c r="DV1" i="21" s="1"/>
  <c r="DR1" i="21"/>
  <c r="DQ1" i="21"/>
  <c r="DP1" i="21"/>
  <c r="S1" i="21"/>
  <c r="R1" i="21"/>
  <c r="R20" i="5"/>
  <c r="N20" i="5"/>
  <c r="O20" i="5" s="1"/>
  <c r="P20" i="5"/>
  <c r="Q20" i="5"/>
  <c r="N21" i="5"/>
  <c r="O21" i="5"/>
  <c r="P21" i="5"/>
  <c r="Q21" i="5" s="1"/>
  <c r="N22" i="5"/>
  <c r="O22" i="5" s="1"/>
  <c r="P22" i="5"/>
  <c r="Q22" i="5"/>
  <c r="N23" i="5"/>
  <c r="O23" i="5" s="1"/>
  <c r="P23" i="5"/>
  <c r="Q23" i="5" s="1"/>
  <c r="N24" i="5"/>
  <c r="O24" i="5" s="1"/>
  <c r="P24" i="5"/>
  <c r="Q24" i="5"/>
  <c r="N25" i="5"/>
  <c r="O25" i="5" s="1"/>
  <c r="P25" i="5"/>
  <c r="Q25" i="5" s="1"/>
  <c r="N26" i="5"/>
  <c r="O26" i="5" s="1"/>
  <c r="P26" i="5"/>
  <c r="Q26" i="5"/>
  <c r="N27" i="5"/>
  <c r="O27" i="5" s="1"/>
  <c r="P27" i="5"/>
  <c r="Q27" i="5" s="1"/>
  <c r="N28" i="5"/>
  <c r="O28" i="5" s="1"/>
  <c r="P28" i="5"/>
  <c r="Q28" i="5"/>
  <c r="N29" i="5"/>
  <c r="O29" i="5"/>
  <c r="P29" i="5"/>
  <c r="Q29" i="5" s="1"/>
  <c r="N30" i="5"/>
  <c r="O30" i="5" s="1"/>
  <c r="P30" i="5"/>
  <c r="Q30" i="5"/>
  <c r="N31" i="5"/>
  <c r="O31" i="5" s="1"/>
  <c r="P31" i="5"/>
  <c r="Q31" i="5" s="1"/>
  <c r="N32" i="5"/>
  <c r="O32" i="5" s="1"/>
  <c r="P32" i="5"/>
  <c r="Q32" i="5"/>
  <c r="N33" i="5"/>
  <c r="O33" i="5" s="1"/>
  <c r="P33" i="5"/>
  <c r="Q33" i="5" s="1"/>
  <c r="N34" i="5"/>
  <c r="O34" i="5" s="1"/>
  <c r="P34" i="5"/>
  <c r="Q34" i="5"/>
  <c r="N35" i="5"/>
  <c r="O35" i="5" s="1"/>
  <c r="P35" i="5"/>
  <c r="Q35" i="5" s="1"/>
  <c r="N36" i="5"/>
  <c r="O36" i="5" s="1"/>
  <c r="P36" i="5"/>
  <c r="Q36" i="5"/>
  <c r="N37" i="5"/>
  <c r="O37" i="5"/>
  <c r="P37" i="5"/>
  <c r="Q37" i="5" s="1"/>
  <c r="N38" i="5"/>
  <c r="O38" i="5" s="1"/>
  <c r="P38" i="5"/>
  <c r="Q38" i="5"/>
  <c r="N39" i="5"/>
  <c r="O39" i="5" s="1"/>
  <c r="P39" i="5"/>
  <c r="Q39" i="5" s="1"/>
  <c r="N40" i="5"/>
  <c r="O40" i="5" s="1"/>
  <c r="P40" i="5"/>
  <c r="Q40" i="5"/>
  <c r="N41" i="5"/>
  <c r="O41" i="5" s="1"/>
  <c r="P41" i="5"/>
  <c r="Q41" i="5" s="1"/>
  <c r="N42" i="5"/>
  <c r="O42" i="5" s="1"/>
  <c r="P42" i="5"/>
  <c r="Q42" i="5"/>
  <c r="N43" i="5"/>
  <c r="O43" i="5" s="1"/>
  <c r="P43" i="5"/>
  <c r="Q43" i="5" s="1"/>
  <c r="N44" i="5"/>
  <c r="O44" i="5" s="1"/>
  <c r="P44" i="5"/>
  <c r="Q44" i="5"/>
  <c r="N45" i="5"/>
  <c r="O45" i="5"/>
  <c r="P45" i="5"/>
  <c r="Q45" i="5" s="1"/>
  <c r="N46" i="5"/>
  <c r="O46" i="5" s="1"/>
  <c r="P46" i="5"/>
  <c r="Q46" i="5"/>
  <c r="N47" i="5"/>
  <c r="O47" i="5" s="1"/>
  <c r="P47" i="5"/>
  <c r="Q47" i="5" s="1"/>
  <c r="N48" i="5"/>
  <c r="O48" i="5" s="1"/>
  <c r="P48" i="5"/>
  <c r="Q48" i="5"/>
  <c r="N49" i="5"/>
  <c r="O49" i="5" s="1"/>
  <c r="P49" i="5"/>
  <c r="Q49" i="5" s="1"/>
  <c r="N50" i="5"/>
  <c r="O50" i="5" s="1"/>
  <c r="P50" i="5"/>
  <c r="Q50" i="5"/>
  <c r="N51" i="5"/>
  <c r="O51" i="5" s="1"/>
  <c r="P51" i="5"/>
  <c r="Q51" i="5" s="1"/>
  <c r="N52" i="5"/>
  <c r="O52" i="5" s="1"/>
  <c r="P52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P124" i="5"/>
  <c r="Q124" i="5"/>
  <c r="P125" i="5"/>
  <c r="Q125" i="5" s="1"/>
  <c r="P126" i="5"/>
  <c r="Q126" i="5"/>
  <c r="P127" i="5"/>
  <c r="Q127" i="5" s="1"/>
  <c r="P128" i="5"/>
  <c r="Q128" i="5"/>
  <c r="P129" i="5"/>
  <c r="Q129" i="5" s="1"/>
  <c r="P130" i="5"/>
  <c r="Q130" i="5"/>
  <c r="P131" i="5"/>
  <c r="Q131" i="5" s="1"/>
  <c r="P132" i="5"/>
  <c r="Q132" i="5"/>
  <c r="P133" i="5"/>
  <c r="Q133" i="5" s="1"/>
  <c r="P134" i="5"/>
  <c r="Q134" i="5"/>
  <c r="P135" i="5"/>
  <c r="Q135" i="5" s="1"/>
  <c r="P136" i="5"/>
  <c r="Q136" i="5"/>
  <c r="P137" i="5"/>
  <c r="Q137" i="5" s="1"/>
  <c r="P138" i="5"/>
  <c r="Q138" i="5"/>
  <c r="P139" i="5"/>
  <c r="Q139" i="5" s="1"/>
  <c r="P140" i="5"/>
  <c r="Q140" i="5"/>
  <c r="P141" i="5"/>
  <c r="Q141" i="5" s="1"/>
  <c r="P142" i="5"/>
  <c r="Q142" i="5"/>
  <c r="P143" i="5"/>
  <c r="Q143" i="5" s="1"/>
  <c r="P144" i="5"/>
  <c r="Q144" i="5"/>
  <c r="P145" i="5"/>
  <c r="Q145" i="5" s="1"/>
  <c r="P146" i="5"/>
  <c r="Q146" i="5"/>
  <c r="P147" i="5"/>
  <c r="Q147" i="5" s="1"/>
  <c r="Q148" i="5"/>
  <c r="Q149" i="5"/>
  <c r="Q150" i="5"/>
  <c r="Q151" i="5"/>
  <c r="Q152" i="5"/>
  <c r="Q153" i="5"/>
  <c r="P156" i="5"/>
  <c r="Q156" i="5"/>
  <c r="P157" i="5"/>
  <c r="Q157" i="5"/>
  <c r="P158" i="5"/>
  <c r="P15" i="5" s="1"/>
  <c r="Q158" i="5"/>
  <c r="P159" i="5"/>
  <c r="Q159" i="5"/>
  <c r="P160" i="5"/>
  <c r="Q160" i="5"/>
  <c r="P161" i="5"/>
  <c r="Q161" i="5"/>
  <c r="P162" i="5"/>
  <c r="Q162" i="5"/>
  <c r="P163" i="5"/>
  <c r="Q163" i="5"/>
  <c r="P164" i="5"/>
  <c r="Q164" i="5"/>
  <c r="P165" i="5"/>
  <c r="Q165" i="5"/>
  <c r="P166" i="5"/>
  <c r="Q166" i="5"/>
  <c r="P167" i="5"/>
  <c r="Q167" i="5"/>
  <c r="P169" i="5"/>
  <c r="Q169" i="5"/>
  <c r="P170" i="5"/>
  <c r="Q170" i="5"/>
  <c r="P171" i="5"/>
  <c r="Q171" i="5"/>
  <c r="P172" i="5"/>
  <c r="Q172" i="5"/>
  <c r="P173" i="5"/>
  <c r="Q173" i="5"/>
  <c r="P174" i="5"/>
  <c r="Q174" i="5"/>
  <c r="P175" i="5"/>
  <c r="Q175" i="5"/>
  <c r="P176" i="5"/>
  <c r="Q176" i="5"/>
  <c r="P177" i="5"/>
  <c r="Q177" i="5"/>
  <c r="P178" i="5"/>
  <c r="Q178" i="5"/>
  <c r="P179" i="5"/>
  <c r="Q179" i="5"/>
  <c r="P180" i="5"/>
  <c r="Q180" i="5"/>
  <c r="P181" i="5"/>
  <c r="Q181" i="5"/>
  <c r="P182" i="5"/>
  <c r="Q182" i="5"/>
  <c r="P183" i="5"/>
  <c r="Q183" i="5"/>
  <c r="P184" i="5"/>
  <c r="Q184" i="5"/>
  <c r="P185" i="5"/>
  <c r="Q185" i="5"/>
  <c r="P186" i="5"/>
  <c r="Q186" i="5"/>
  <c r="P187" i="5"/>
  <c r="Q187" i="5"/>
  <c r="P188" i="5"/>
  <c r="Q188" i="5"/>
  <c r="P189" i="5"/>
  <c r="Q189" i="5"/>
  <c r="P190" i="5"/>
  <c r="Q190" i="5"/>
  <c r="P191" i="5"/>
  <c r="Q191" i="5"/>
  <c r="P192" i="5"/>
  <c r="Q192" i="5"/>
  <c r="P193" i="5"/>
  <c r="Q193" i="5"/>
  <c r="P194" i="5"/>
  <c r="Q194" i="5"/>
  <c r="P195" i="5"/>
  <c r="Q195" i="5"/>
  <c r="P196" i="5"/>
  <c r="Q196" i="5"/>
  <c r="P197" i="5"/>
  <c r="Q197" i="5"/>
  <c r="P198" i="5"/>
  <c r="Q198" i="5"/>
  <c r="P199" i="5"/>
  <c r="Q199" i="5"/>
  <c r="P200" i="5"/>
  <c r="Q200" i="5"/>
  <c r="P201" i="5"/>
  <c r="Q201" i="5"/>
  <c r="P202" i="5"/>
  <c r="Q202" i="5"/>
  <c r="P203" i="5"/>
  <c r="Q203" i="5"/>
  <c r="P204" i="5"/>
  <c r="Q204" i="5"/>
  <c r="P205" i="5"/>
  <c r="Q205" i="5"/>
  <c r="P206" i="5"/>
  <c r="Q206" i="5"/>
  <c r="P207" i="5"/>
  <c r="Q207" i="5"/>
  <c r="P208" i="5"/>
  <c r="Q208" i="5"/>
  <c r="P209" i="5"/>
  <c r="Q209" i="5"/>
  <c r="P210" i="5"/>
  <c r="Q210" i="5"/>
  <c r="P211" i="5"/>
  <c r="Q211" i="5"/>
  <c r="P212" i="5"/>
  <c r="Q212" i="5"/>
  <c r="P213" i="5"/>
  <c r="Q213" i="5"/>
  <c r="P214" i="5"/>
  <c r="Q214" i="5"/>
  <c r="P215" i="5"/>
  <c r="Q215" i="5"/>
  <c r="O216" i="5"/>
  <c r="P216" i="5"/>
  <c r="Q216" i="5"/>
  <c r="O217" i="5"/>
  <c r="P217" i="5"/>
  <c r="Q217" i="5"/>
  <c r="O218" i="5"/>
  <c r="P218" i="5"/>
  <c r="Q218" i="5"/>
  <c r="O219" i="5"/>
  <c r="P219" i="5"/>
  <c r="Q219" i="5"/>
  <c r="O220" i="5"/>
  <c r="P220" i="5"/>
  <c r="Q220" i="5"/>
  <c r="O221" i="5"/>
  <c r="P221" i="5"/>
  <c r="Q221" i="5"/>
  <c r="O222" i="5"/>
  <c r="P222" i="5"/>
  <c r="Q222" i="5"/>
  <c r="O223" i="5"/>
  <c r="P223" i="5"/>
  <c r="Q223" i="5"/>
  <c r="O224" i="5"/>
  <c r="P224" i="5"/>
  <c r="Q224" i="5"/>
  <c r="O225" i="5"/>
  <c r="P225" i="5"/>
  <c r="Q225" i="5"/>
  <c r="O226" i="5"/>
  <c r="P226" i="5"/>
  <c r="Q226" i="5"/>
  <c r="O227" i="5"/>
  <c r="P227" i="5"/>
  <c r="Q227" i="5"/>
  <c r="O228" i="5"/>
  <c r="P228" i="5"/>
  <c r="Q228" i="5"/>
  <c r="O229" i="5"/>
  <c r="P229" i="5"/>
  <c r="Q229" i="5"/>
  <c r="O230" i="5"/>
  <c r="P230" i="5"/>
  <c r="Q230" i="5"/>
  <c r="O231" i="5"/>
  <c r="P231" i="5"/>
  <c r="Q231" i="5"/>
  <c r="O232" i="5"/>
  <c r="P232" i="5"/>
  <c r="Q232" i="5"/>
  <c r="O233" i="5"/>
  <c r="P233" i="5"/>
  <c r="Q233" i="5"/>
  <c r="O234" i="5"/>
  <c r="P234" i="5"/>
  <c r="Q234" i="5"/>
  <c r="O235" i="5"/>
  <c r="P235" i="5"/>
  <c r="Q235" i="5"/>
  <c r="O236" i="5"/>
  <c r="P236" i="5"/>
  <c r="Q236" i="5"/>
  <c r="O237" i="5"/>
  <c r="P237" i="5"/>
  <c r="Q237" i="5"/>
  <c r="O238" i="5"/>
  <c r="P238" i="5"/>
  <c r="Q238" i="5"/>
  <c r="O239" i="5"/>
  <c r="P239" i="5"/>
  <c r="Q239" i="5"/>
  <c r="O240" i="5"/>
  <c r="P240" i="5"/>
  <c r="Q240" i="5"/>
  <c r="O241" i="5"/>
  <c r="P241" i="5"/>
  <c r="Q241" i="5"/>
  <c r="O242" i="5"/>
  <c r="P242" i="5"/>
  <c r="Q242" i="5"/>
  <c r="O243" i="5"/>
  <c r="P243" i="5"/>
  <c r="Q243" i="5"/>
  <c r="O244" i="5"/>
  <c r="P244" i="5"/>
  <c r="Q244" i="5"/>
  <c r="O245" i="5"/>
  <c r="P245" i="5"/>
  <c r="Q245" i="5"/>
  <c r="O246" i="5"/>
  <c r="P246" i="5"/>
  <c r="Q246" i="5"/>
  <c r="O247" i="5"/>
  <c r="P247" i="5"/>
  <c r="Q247" i="5"/>
  <c r="P248" i="5"/>
  <c r="Q248" i="5"/>
  <c r="P249" i="5"/>
  <c r="Q249" i="5"/>
  <c r="P250" i="5"/>
  <c r="Q250" i="5"/>
  <c r="P251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N469" i="5"/>
  <c r="O469" i="5"/>
  <c r="Q469" i="5"/>
  <c r="N470" i="5"/>
  <c r="O470" i="5"/>
  <c r="Q470" i="5"/>
  <c r="N471" i="5"/>
  <c r="O471" i="5"/>
  <c r="Q471" i="5"/>
  <c r="N472" i="5"/>
  <c r="O472" i="5"/>
  <c r="Q472" i="5"/>
  <c r="N473" i="5"/>
  <c r="O473" i="5"/>
  <c r="Q473" i="5"/>
  <c r="N474" i="5"/>
  <c r="O474" i="5"/>
  <c r="Q474" i="5"/>
  <c r="N475" i="5"/>
  <c r="O475" i="5"/>
  <c r="Q475" i="5"/>
  <c r="N476" i="5"/>
  <c r="O476" i="5"/>
  <c r="Q476" i="5"/>
  <c r="N477" i="5"/>
  <c r="O477" i="5"/>
  <c r="Q477" i="5"/>
  <c r="N478" i="5"/>
  <c r="O478" i="5"/>
  <c r="Q478" i="5"/>
  <c r="N479" i="5"/>
  <c r="O479" i="5"/>
  <c r="Q479" i="5"/>
  <c r="N480" i="5"/>
  <c r="O480" i="5"/>
  <c r="Q480" i="5"/>
  <c r="N481" i="5"/>
  <c r="O481" i="5"/>
  <c r="Q481" i="5"/>
  <c r="N482" i="5"/>
  <c r="O482" i="5"/>
  <c r="Q482" i="5"/>
  <c r="N483" i="5"/>
  <c r="O483" i="5"/>
  <c r="Q483" i="5"/>
  <c r="N484" i="5"/>
  <c r="O484" i="5"/>
  <c r="Q484" i="5"/>
  <c r="N485" i="5"/>
  <c r="O485" i="5"/>
  <c r="Q485" i="5"/>
  <c r="N486" i="5"/>
  <c r="O486" i="5"/>
  <c r="Q486" i="5"/>
  <c r="N487" i="5"/>
  <c r="O487" i="5"/>
  <c r="Q487" i="5"/>
  <c r="N488" i="5"/>
  <c r="O488" i="5"/>
  <c r="Q488" i="5"/>
  <c r="N489" i="5"/>
  <c r="O489" i="5"/>
  <c r="Q489" i="5"/>
  <c r="N490" i="5"/>
  <c r="O490" i="5"/>
  <c r="Q490" i="5"/>
  <c r="N491" i="5"/>
  <c r="O491" i="5"/>
  <c r="Q491" i="5"/>
  <c r="N492" i="5"/>
  <c r="O492" i="5"/>
  <c r="Q492" i="5"/>
  <c r="N493" i="5"/>
  <c r="O493" i="5"/>
  <c r="Q493" i="5"/>
  <c r="N494" i="5"/>
  <c r="O494" i="5"/>
  <c r="Q494" i="5"/>
  <c r="N495" i="5"/>
  <c r="O495" i="5"/>
  <c r="Q495" i="5"/>
  <c r="N496" i="5"/>
  <c r="O496" i="5"/>
  <c r="Q496" i="5"/>
  <c r="N497" i="5"/>
  <c r="O497" i="5"/>
  <c r="Q497" i="5"/>
  <c r="N498" i="5"/>
  <c r="O498" i="5"/>
  <c r="Q498" i="5"/>
  <c r="N499" i="5"/>
  <c r="O499" i="5"/>
  <c r="Q499" i="5"/>
  <c r="N500" i="5"/>
  <c r="O500" i="5"/>
  <c r="Q500" i="5"/>
  <c r="GF503" i="20"/>
  <c r="EG503" i="20"/>
  <c r="DT503" i="20"/>
  <c r="CN503" i="20"/>
  <c r="CK503" i="20"/>
  <c r="CI503" i="20"/>
  <c r="CH503" i="20"/>
  <c r="BZ503" i="20"/>
  <c r="EH503" i="20" s="1"/>
  <c r="BA503" i="20"/>
  <c r="AV503" i="20"/>
  <c r="AU503" i="20"/>
  <c r="AT503" i="20"/>
  <c r="AS503" i="20"/>
  <c r="AM503" i="20"/>
  <c r="CL503" i="20" s="1"/>
  <c r="AL503" i="20"/>
  <c r="AE503" i="20"/>
  <c r="AF503" i="20" s="1"/>
  <c r="AC503" i="20"/>
  <c r="AB503" i="20"/>
  <c r="O503" i="20"/>
  <c r="L503" i="20"/>
  <c r="DQ503" i="20" s="1"/>
  <c r="J503" i="20"/>
  <c r="CO503" i="20" s="1"/>
  <c r="GF502" i="20"/>
  <c r="EG502" i="20"/>
  <c r="DT502" i="20"/>
  <c r="CN502" i="20"/>
  <c r="CK502" i="20"/>
  <c r="CI502" i="20"/>
  <c r="CH502" i="20"/>
  <c r="BZ502" i="20"/>
  <c r="EH502" i="20" s="1"/>
  <c r="BA502" i="20"/>
  <c r="AV502" i="20"/>
  <c r="AU502" i="20"/>
  <c r="AT502" i="20"/>
  <c r="AS502" i="20"/>
  <c r="AM502" i="20"/>
  <c r="CL502" i="20" s="1"/>
  <c r="AE502" i="20"/>
  <c r="AC502" i="20"/>
  <c r="AB502" i="20"/>
  <c r="O502" i="20"/>
  <c r="L502" i="20"/>
  <c r="BF502" i="20" s="1"/>
  <c r="J502" i="20"/>
  <c r="CO502" i="20" s="1"/>
  <c r="GF501" i="20"/>
  <c r="EG501" i="20"/>
  <c r="DT501" i="20"/>
  <c r="CN501" i="20"/>
  <c r="CK501" i="20"/>
  <c r="CI501" i="20"/>
  <c r="CH501" i="20"/>
  <c r="BZ501" i="20"/>
  <c r="EH501" i="20" s="1"/>
  <c r="BA501" i="20"/>
  <c r="AV501" i="20"/>
  <c r="AU501" i="20"/>
  <c r="AT501" i="20"/>
  <c r="AS501" i="20"/>
  <c r="AM501" i="20"/>
  <c r="BM501" i="20" s="1"/>
  <c r="AE501" i="20"/>
  <c r="AC501" i="20"/>
  <c r="AB501" i="20"/>
  <c r="O501" i="20"/>
  <c r="L501" i="20"/>
  <c r="P501" i="20" s="1"/>
  <c r="J501" i="20"/>
  <c r="CO501" i="20" s="1"/>
  <c r="GF500" i="20"/>
  <c r="EG500" i="20"/>
  <c r="DT500" i="20"/>
  <c r="CN500" i="20"/>
  <c r="CK500" i="20"/>
  <c r="CI500" i="20"/>
  <c r="CH500" i="20"/>
  <c r="BZ500" i="20"/>
  <c r="EH500" i="20" s="1"/>
  <c r="BA500" i="20"/>
  <c r="AV500" i="20"/>
  <c r="AU500" i="20"/>
  <c r="AT500" i="20"/>
  <c r="AS500" i="20"/>
  <c r="AM500" i="20"/>
  <c r="CL500" i="20" s="1"/>
  <c r="AE500" i="20"/>
  <c r="BI500" i="20" s="1"/>
  <c r="AC500" i="20"/>
  <c r="AB500" i="20"/>
  <c r="O500" i="20"/>
  <c r="L500" i="20"/>
  <c r="BF500" i="20" s="1"/>
  <c r="J500" i="20"/>
  <c r="GF499" i="20"/>
  <c r="EG499" i="20"/>
  <c r="DT499" i="20"/>
  <c r="CN499" i="20"/>
  <c r="CK499" i="20"/>
  <c r="CI499" i="20"/>
  <c r="CH499" i="20"/>
  <c r="BZ499" i="20"/>
  <c r="EH499" i="20" s="1"/>
  <c r="BA499" i="20"/>
  <c r="AV499" i="20"/>
  <c r="AU499" i="20"/>
  <c r="AT499" i="20"/>
  <c r="AS499" i="20"/>
  <c r="AM499" i="20"/>
  <c r="CL499" i="20" s="1"/>
  <c r="AE499" i="20"/>
  <c r="AC499" i="20"/>
  <c r="AB499" i="20"/>
  <c r="O499" i="20"/>
  <c r="L499" i="20"/>
  <c r="P499" i="20" s="1"/>
  <c r="J499" i="20"/>
  <c r="GF498" i="20"/>
  <c r="EG498" i="20"/>
  <c r="DT498" i="20"/>
  <c r="CN498" i="20"/>
  <c r="CK498" i="20"/>
  <c r="CI498" i="20"/>
  <c r="CH498" i="20"/>
  <c r="BZ498" i="20"/>
  <c r="EH498" i="20" s="1"/>
  <c r="BA498" i="20"/>
  <c r="AV498" i="20"/>
  <c r="AU498" i="20"/>
  <c r="AT498" i="20"/>
  <c r="AS498" i="20"/>
  <c r="AM498" i="20"/>
  <c r="EI498" i="20" s="1"/>
  <c r="AE498" i="20"/>
  <c r="AC498" i="20"/>
  <c r="AB498" i="20"/>
  <c r="O498" i="20"/>
  <c r="L498" i="20"/>
  <c r="BF498" i="20" s="1"/>
  <c r="J498" i="20"/>
  <c r="GH497" i="20"/>
  <c r="GG497" i="20"/>
  <c r="GF497" i="20"/>
  <c r="EI497" i="20"/>
  <c r="EG497" i="20"/>
  <c r="DT497" i="20"/>
  <c r="CN497" i="20"/>
  <c r="CL497" i="20"/>
  <c r="CK497" i="20"/>
  <c r="CI497" i="20"/>
  <c r="CH497" i="20"/>
  <c r="BZ497" i="20"/>
  <c r="EH497" i="20" s="1"/>
  <c r="BM497" i="20"/>
  <c r="BA497" i="20"/>
  <c r="AV497" i="20"/>
  <c r="AU497" i="20"/>
  <c r="AT497" i="20"/>
  <c r="AS497" i="20"/>
  <c r="AE497" i="20"/>
  <c r="AF497" i="20" s="1"/>
  <c r="ET497" i="20" s="1"/>
  <c r="ES497" i="20" s="1"/>
  <c r="AC497" i="20"/>
  <c r="AB497" i="20"/>
  <c r="O497" i="20"/>
  <c r="L497" i="20"/>
  <c r="J497" i="20"/>
  <c r="CO497" i="20" s="1"/>
  <c r="GH496" i="20"/>
  <c r="GG496" i="20"/>
  <c r="GF496" i="20"/>
  <c r="EI496" i="20"/>
  <c r="EG496" i="20"/>
  <c r="DT496" i="20"/>
  <c r="CN496" i="20"/>
  <c r="CL496" i="20"/>
  <c r="CK496" i="20"/>
  <c r="CI496" i="20"/>
  <c r="CH496" i="20"/>
  <c r="BZ496" i="20"/>
  <c r="EH496" i="20" s="1"/>
  <c r="BM496" i="20"/>
  <c r="BA496" i="20"/>
  <c r="AV496" i="20"/>
  <c r="AU496" i="20"/>
  <c r="AT496" i="20"/>
  <c r="AS496" i="20"/>
  <c r="AE496" i="20"/>
  <c r="AF496" i="20" s="1"/>
  <c r="ET496" i="20" s="1"/>
  <c r="ES496" i="20" s="1"/>
  <c r="AC496" i="20"/>
  <c r="AB496" i="20"/>
  <c r="O496" i="20"/>
  <c r="L496" i="20"/>
  <c r="DQ496" i="20" s="1"/>
  <c r="J496" i="20"/>
  <c r="CO496" i="20" s="1"/>
  <c r="GH495" i="20"/>
  <c r="GG495" i="20"/>
  <c r="GF495" i="20"/>
  <c r="EI495" i="20"/>
  <c r="EG495" i="20"/>
  <c r="DT495" i="20"/>
  <c r="CN495" i="20"/>
  <c r="CL495" i="20"/>
  <c r="CK495" i="20"/>
  <c r="CI495" i="20"/>
  <c r="CH495" i="20"/>
  <c r="BZ495" i="20"/>
  <c r="EH495" i="20" s="1"/>
  <c r="BM495" i="20"/>
  <c r="BA495" i="20"/>
  <c r="AV495" i="20"/>
  <c r="AU495" i="20"/>
  <c r="AT495" i="20"/>
  <c r="AS495" i="20"/>
  <c r="AE495" i="20"/>
  <c r="AC495" i="20"/>
  <c r="AB495" i="20"/>
  <c r="O495" i="20"/>
  <c r="L495" i="20"/>
  <c r="DQ495" i="20" s="1"/>
  <c r="J495" i="20"/>
  <c r="CO495" i="20" s="1"/>
  <c r="GH494" i="20"/>
  <c r="GG494" i="20"/>
  <c r="GF494" i="20"/>
  <c r="EI494" i="20"/>
  <c r="EG494" i="20"/>
  <c r="DT494" i="20"/>
  <c r="CN494" i="20"/>
  <c r="CL494" i="20"/>
  <c r="CK494" i="20"/>
  <c r="CI494" i="20"/>
  <c r="CH494" i="20"/>
  <c r="BZ494" i="20"/>
  <c r="EH494" i="20" s="1"/>
  <c r="BM494" i="20"/>
  <c r="BA494" i="20"/>
  <c r="AV494" i="20"/>
  <c r="AU494" i="20"/>
  <c r="AT494" i="20"/>
  <c r="AS494" i="20"/>
  <c r="AE494" i="20"/>
  <c r="AF494" i="20" s="1"/>
  <c r="ET494" i="20" s="1"/>
  <c r="ES494" i="20" s="1"/>
  <c r="AC494" i="20"/>
  <c r="AB494" i="20"/>
  <c r="O494" i="20"/>
  <c r="L494" i="20"/>
  <c r="J494" i="20"/>
  <c r="CO494" i="20" s="1"/>
  <c r="GH493" i="20"/>
  <c r="GG493" i="20"/>
  <c r="GF493" i="20"/>
  <c r="EI493" i="20"/>
  <c r="EG493" i="20"/>
  <c r="DT493" i="20"/>
  <c r="CN493" i="20"/>
  <c r="CL493" i="20"/>
  <c r="CK493" i="20"/>
  <c r="CI493" i="20"/>
  <c r="CH493" i="20"/>
  <c r="BZ493" i="20"/>
  <c r="EH493" i="20" s="1"/>
  <c r="BM493" i="20"/>
  <c r="BA493" i="20"/>
  <c r="AV493" i="20"/>
  <c r="AU493" i="20"/>
  <c r="AT493" i="20"/>
  <c r="AS493" i="20"/>
  <c r="AE493" i="20"/>
  <c r="AC493" i="20"/>
  <c r="AB493" i="20"/>
  <c r="O493" i="20"/>
  <c r="L493" i="20"/>
  <c r="DQ493" i="20" s="1"/>
  <c r="J493" i="20"/>
  <c r="CO493" i="20" s="1"/>
  <c r="GH492" i="20"/>
  <c r="GG492" i="20"/>
  <c r="GF492" i="20"/>
  <c r="EI492" i="20"/>
  <c r="EG492" i="20"/>
  <c r="DT492" i="20"/>
  <c r="CN492" i="20"/>
  <c r="CL492" i="20"/>
  <c r="CK492" i="20"/>
  <c r="CI492" i="20"/>
  <c r="CH492" i="20"/>
  <c r="BZ492" i="20"/>
  <c r="EH492" i="20" s="1"/>
  <c r="BM492" i="20"/>
  <c r="BA492" i="20"/>
  <c r="AV492" i="20"/>
  <c r="AU492" i="20"/>
  <c r="AT492" i="20"/>
  <c r="AS492" i="20"/>
  <c r="AE492" i="20"/>
  <c r="AF492" i="20" s="1"/>
  <c r="ET492" i="20" s="1"/>
  <c r="ES492" i="20" s="1"/>
  <c r="AC492" i="20"/>
  <c r="AB492" i="20"/>
  <c r="O492" i="20"/>
  <c r="L492" i="20"/>
  <c r="J492" i="20"/>
  <c r="CO492" i="20" s="1"/>
  <c r="GH491" i="20"/>
  <c r="GG491" i="20"/>
  <c r="GF491" i="20"/>
  <c r="EI491" i="20"/>
  <c r="EG491" i="20"/>
  <c r="DT491" i="20"/>
  <c r="CN491" i="20"/>
  <c r="CL491" i="20"/>
  <c r="CK491" i="20"/>
  <c r="CI491" i="20"/>
  <c r="CH491" i="20"/>
  <c r="BZ491" i="20"/>
  <c r="EH491" i="20" s="1"/>
  <c r="BM491" i="20"/>
  <c r="BA491" i="20"/>
  <c r="AV491" i="20"/>
  <c r="AU491" i="20"/>
  <c r="AT491" i="20"/>
  <c r="AS491" i="20"/>
  <c r="AE491" i="20"/>
  <c r="AC491" i="20"/>
  <c r="AB491" i="20"/>
  <c r="O491" i="20"/>
  <c r="L491" i="20"/>
  <c r="J491" i="20"/>
  <c r="CO491" i="20" s="1"/>
  <c r="GH490" i="20"/>
  <c r="GG490" i="20"/>
  <c r="GF490" i="20"/>
  <c r="EI490" i="20"/>
  <c r="EG490" i="20"/>
  <c r="DT490" i="20"/>
  <c r="CN490" i="20"/>
  <c r="CL490" i="20"/>
  <c r="CK490" i="20"/>
  <c r="CI490" i="20"/>
  <c r="CH490" i="20"/>
  <c r="BZ490" i="20"/>
  <c r="EH490" i="20" s="1"/>
  <c r="BM490" i="20"/>
  <c r="BA490" i="20"/>
  <c r="AV490" i="20"/>
  <c r="AU490" i="20"/>
  <c r="AT490" i="20"/>
  <c r="AS490" i="20"/>
  <c r="AE490" i="20"/>
  <c r="AC490" i="20"/>
  <c r="AB490" i="20"/>
  <c r="O490" i="20"/>
  <c r="L490" i="20"/>
  <c r="BF490" i="20" s="1"/>
  <c r="J490" i="20"/>
  <c r="CO490" i="20" s="1"/>
  <c r="GH489" i="20"/>
  <c r="GG489" i="20"/>
  <c r="GF489" i="20"/>
  <c r="EI489" i="20"/>
  <c r="EG489" i="20"/>
  <c r="DT489" i="20"/>
  <c r="CN489" i="20"/>
  <c r="CL489" i="20"/>
  <c r="CK489" i="20"/>
  <c r="CI489" i="20"/>
  <c r="CH489" i="20"/>
  <c r="BZ489" i="20"/>
  <c r="EH489" i="20" s="1"/>
  <c r="BM489" i="20"/>
  <c r="BA489" i="20"/>
  <c r="AV489" i="20"/>
  <c r="AU489" i="20"/>
  <c r="AT489" i="20"/>
  <c r="AS489" i="20"/>
  <c r="AE489" i="20"/>
  <c r="AC489" i="20"/>
  <c r="AB489" i="20"/>
  <c r="O489" i="20"/>
  <c r="L489" i="20"/>
  <c r="J489" i="20"/>
  <c r="CO489" i="20" s="1"/>
  <c r="GH488" i="20"/>
  <c r="GG488" i="20"/>
  <c r="GF488" i="20"/>
  <c r="EI488" i="20"/>
  <c r="EG488" i="20"/>
  <c r="DT488" i="20"/>
  <c r="CN488" i="20"/>
  <c r="CL488" i="20"/>
  <c r="CK488" i="20"/>
  <c r="CI488" i="20"/>
  <c r="CH488" i="20"/>
  <c r="BZ488" i="20"/>
  <c r="EH488" i="20" s="1"/>
  <c r="BM488" i="20"/>
  <c r="BA488" i="20"/>
  <c r="AV488" i="20"/>
  <c r="AU488" i="20"/>
  <c r="AT488" i="20"/>
  <c r="AS488" i="20"/>
  <c r="AE488" i="20"/>
  <c r="AC488" i="20"/>
  <c r="AB488" i="20"/>
  <c r="O488" i="20"/>
  <c r="L488" i="20"/>
  <c r="BF488" i="20" s="1"/>
  <c r="J488" i="20"/>
  <c r="CO488" i="20" s="1"/>
  <c r="GH487" i="20"/>
  <c r="GG487" i="20"/>
  <c r="GF487" i="20"/>
  <c r="EI487" i="20"/>
  <c r="EG487" i="20"/>
  <c r="DT487" i="20"/>
  <c r="CN487" i="20"/>
  <c r="CL487" i="20"/>
  <c r="CK487" i="20"/>
  <c r="CI487" i="20"/>
  <c r="CH487" i="20"/>
  <c r="BZ487" i="20"/>
  <c r="EH487" i="20" s="1"/>
  <c r="BM487" i="20"/>
  <c r="BA487" i="20"/>
  <c r="AV487" i="20"/>
  <c r="AU487" i="20"/>
  <c r="AT487" i="20"/>
  <c r="AS487" i="20"/>
  <c r="AE487" i="20"/>
  <c r="AC487" i="20"/>
  <c r="AB487" i="20"/>
  <c r="O487" i="20"/>
  <c r="L487" i="20"/>
  <c r="BF487" i="20" s="1"/>
  <c r="J487" i="20"/>
  <c r="CO487" i="20" s="1"/>
  <c r="GH486" i="20"/>
  <c r="GG486" i="20"/>
  <c r="GF486" i="20"/>
  <c r="EI486" i="20"/>
  <c r="EG486" i="20"/>
  <c r="DT486" i="20"/>
  <c r="CN486" i="20"/>
  <c r="CL486" i="20"/>
  <c r="CK486" i="20"/>
  <c r="CI486" i="20"/>
  <c r="CH486" i="20"/>
  <c r="BZ486" i="20"/>
  <c r="EH486" i="20" s="1"/>
  <c r="BM486" i="20"/>
  <c r="BA486" i="20"/>
  <c r="AV486" i="20"/>
  <c r="AU486" i="20"/>
  <c r="AT486" i="20"/>
  <c r="AS486" i="20"/>
  <c r="AE486" i="20"/>
  <c r="AC486" i="20"/>
  <c r="AB486" i="20"/>
  <c r="O486" i="20"/>
  <c r="L486" i="20"/>
  <c r="BF486" i="20" s="1"/>
  <c r="J486" i="20"/>
  <c r="CO486" i="20" s="1"/>
  <c r="GH485" i="20"/>
  <c r="GG485" i="20"/>
  <c r="GF485" i="20"/>
  <c r="EI485" i="20"/>
  <c r="EG485" i="20"/>
  <c r="DT485" i="20"/>
  <c r="CN485" i="20"/>
  <c r="CL485" i="20"/>
  <c r="CK485" i="20"/>
  <c r="CI485" i="20"/>
  <c r="CH485" i="20"/>
  <c r="BZ485" i="20"/>
  <c r="EH485" i="20" s="1"/>
  <c r="BM485" i="20"/>
  <c r="BA485" i="20"/>
  <c r="AV485" i="20"/>
  <c r="AU485" i="20"/>
  <c r="AT485" i="20"/>
  <c r="AS485" i="20"/>
  <c r="AE485" i="20"/>
  <c r="AC485" i="20"/>
  <c r="AB485" i="20"/>
  <c r="O485" i="20"/>
  <c r="L485" i="20"/>
  <c r="J485" i="20"/>
  <c r="CO485" i="20" s="1"/>
  <c r="GH484" i="20"/>
  <c r="GG484" i="20"/>
  <c r="GF484" i="20"/>
  <c r="EI484" i="20"/>
  <c r="EG484" i="20"/>
  <c r="DT484" i="20"/>
  <c r="CN484" i="20"/>
  <c r="CL484" i="20"/>
  <c r="CK484" i="20"/>
  <c r="CI484" i="20"/>
  <c r="CH484" i="20"/>
  <c r="BZ484" i="20"/>
  <c r="EH484" i="20" s="1"/>
  <c r="BM484" i="20"/>
  <c r="BA484" i="20"/>
  <c r="AV484" i="20"/>
  <c r="AU484" i="20"/>
  <c r="AT484" i="20"/>
  <c r="AS484" i="20"/>
  <c r="AE484" i="20"/>
  <c r="AC484" i="20"/>
  <c r="AB484" i="20"/>
  <c r="O484" i="20"/>
  <c r="L484" i="20"/>
  <c r="BF484" i="20" s="1"/>
  <c r="J484" i="20"/>
  <c r="CO484" i="20" s="1"/>
  <c r="GH483" i="20"/>
  <c r="GG483" i="20"/>
  <c r="GF483" i="20"/>
  <c r="EI483" i="20"/>
  <c r="EG483" i="20"/>
  <c r="DT483" i="20"/>
  <c r="CN483" i="20"/>
  <c r="CL483" i="20"/>
  <c r="CK483" i="20"/>
  <c r="CI483" i="20"/>
  <c r="CH483" i="20"/>
  <c r="BZ483" i="20"/>
  <c r="EH483" i="20" s="1"/>
  <c r="BM483" i="20"/>
  <c r="BA483" i="20"/>
  <c r="AV483" i="20"/>
  <c r="AU483" i="20"/>
  <c r="AT483" i="20"/>
  <c r="AS483" i="20"/>
  <c r="AE483" i="20"/>
  <c r="AF483" i="20" s="1"/>
  <c r="ET483" i="20" s="1"/>
  <c r="ES483" i="20" s="1"/>
  <c r="AC483" i="20"/>
  <c r="AB483" i="20"/>
  <c r="O483" i="20"/>
  <c r="L483" i="20"/>
  <c r="DQ483" i="20" s="1"/>
  <c r="J483" i="20"/>
  <c r="CO483" i="20" s="1"/>
  <c r="GH482" i="20"/>
  <c r="GG482" i="20"/>
  <c r="GF482" i="20"/>
  <c r="EI482" i="20"/>
  <c r="EG482" i="20"/>
  <c r="DT482" i="20"/>
  <c r="CN482" i="20"/>
  <c r="CL482" i="20"/>
  <c r="CK482" i="20"/>
  <c r="CI482" i="20"/>
  <c r="CH482" i="20"/>
  <c r="BZ482" i="20"/>
  <c r="EH482" i="20" s="1"/>
  <c r="BM482" i="20"/>
  <c r="BA482" i="20"/>
  <c r="AV482" i="20"/>
  <c r="AU482" i="20"/>
  <c r="AT482" i="20"/>
  <c r="AS482" i="20"/>
  <c r="AE482" i="20"/>
  <c r="BI482" i="20" s="1"/>
  <c r="AC482" i="20"/>
  <c r="AB482" i="20"/>
  <c r="O482" i="20"/>
  <c r="L482" i="20"/>
  <c r="BF482" i="20" s="1"/>
  <c r="J482" i="20"/>
  <c r="CO482" i="20" s="1"/>
  <c r="GH481" i="20"/>
  <c r="GG481" i="20"/>
  <c r="GF481" i="20"/>
  <c r="EI481" i="20"/>
  <c r="EG481" i="20"/>
  <c r="DT481" i="20"/>
  <c r="CN481" i="20"/>
  <c r="CL481" i="20"/>
  <c r="CK481" i="20"/>
  <c r="CI481" i="20"/>
  <c r="CH481" i="20"/>
  <c r="BZ481" i="20"/>
  <c r="EH481" i="20" s="1"/>
  <c r="BM481" i="20"/>
  <c r="BA481" i="20"/>
  <c r="AV481" i="20"/>
  <c r="AU481" i="20"/>
  <c r="AT481" i="20"/>
  <c r="AS481" i="20"/>
  <c r="AE481" i="20"/>
  <c r="AF481" i="20" s="1"/>
  <c r="AC481" i="20"/>
  <c r="AB481" i="20"/>
  <c r="O481" i="20"/>
  <c r="L481" i="20"/>
  <c r="BF481" i="20" s="1"/>
  <c r="J481" i="20"/>
  <c r="CO481" i="20" s="1"/>
  <c r="GH480" i="20"/>
  <c r="GG480" i="20"/>
  <c r="GF480" i="20"/>
  <c r="EI480" i="20"/>
  <c r="EG480" i="20"/>
  <c r="DT480" i="20"/>
  <c r="CN480" i="20"/>
  <c r="CL480" i="20"/>
  <c r="CK480" i="20"/>
  <c r="CI480" i="20"/>
  <c r="CH480" i="20"/>
  <c r="BZ480" i="20"/>
  <c r="EH480" i="20" s="1"/>
  <c r="BM480" i="20"/>
  <c r="BA480" i="20"/>
  <c r="AV480" i="20"/>
  <c r="AU480" i="20"/>
  <c r="AT480" i="20"/>
  <c r="AS480" i="20"/>
  <c r="AE480" i="20"/>
  <c r="AF480" i="20" s="1"/>
  <c r="AC480" i="20"/>
  <c r="AB480" i="20"/>
  <c r="O480" i="20"/>
  <c r="L480" i="20"/>
  <c r="BF480" i="20" s="1"/>
  <c r="J480" i="20"/>
  <c r="CO480" i="20" s="1"/>
  <c r="GH479" i="20"/>
  <c r="GG479" i="20"/>
  <c r="GF479" i="20"/>
  <c r="EI479" i="20"/>
  <c r="EG479" i="20"/>
  <c r="DT479" i="20"/>
  <c r="CN479" i="20"/>
  <c r="CL479" i="20"/>
  <c r="CK479" i="20"/>
  <c r="CI479" i="20"/>
  <c r="CH479" i="20"/>
  <c r="BZ479" i="20"/>
  <c r="EH479" i="20" s="1"/>
  <c r="BM479" i="20"/>
  <c r="BA479" i="20"/>
  <c r="AV479" i="20"/>
  <c r="AU479" i="20"/>
  <c r="AT479" i="20"/>
  <c r="AS479" i="20"/>
  <c r="AE479" i="20"/>
  <c r="AF479" i="20" s="1"/>
  <c r="AC479" i="20"/>
  <c r="AB479" i="20"/>
  <c r="O479" i="20"/>
  <c r="L479" i="20"/>
  <c r="DQ479" i="20" s="1"/>
  <c r="J479" i="20"/>
  <c r="CO479" i="20" s="1"/>
  <c r="GH478" i="20"/>
  <c r="GG478" i="20"/>
  <c r="GF478" i="20"/>
  <c r="EI478" i="20"/>
  <c r="EG478" i="20"/>
  <c r="DT478" i="20"/>
  <c r="CN478" i="20"/>
  <c r="CL478" i="20"/>
  <c r="CK478" i="20"/>
  <c r="CI478" i="20"/>
  <c r="CH478" i="20"/>
  <c r="BZ478" i="20"/>
  <c r="EH478" i="20" s="1"/>
  <c r="BM478" i="20"/>
  <c r="BA478" i="20"/>
  <c r="AV478" i="20"/>
  <c r="AU478" i="20"/>
  <c r="AT478" i="20"/>
  <c r="AS478" i="20"/>
  <c r="AE478" i="20"/>
  <c r="AC478" i="20"/>
  <c r="AB478" i="20"/>
  <c r="O478" i="20"/>
  <c r="L478" i="20"/>
  <c r="DQ478" i="20" s="1"/>
  <c r="J478" i="20"/>
  <c r="CO478" i="20" s="1"/>
  <c r="GH477" i="20"/>
  <c r="GG477" i="20"/>
  <c r="GF477" i="20"/>
  <c r="EI477" i="20"/>
  <c r="EG477" i="20"/>
  <c r="DT477" i="20"/>
  <c r="CN477" i="20"/>
  <c r="CL477" i="20"/>
  <c r="CK477" i="20"/>
  <c r="CI477" i="20"/>
  <c r="CH477" i="20"/>
  <c r="BZ477" i="20"/>
  <c r="EH477" i="20" s="1"/>
  <c r="BM477" i="20"/>
  <c r="BA477" i="20"/>
  <c r="AV477" i="20"/>
  <c r="AU477" i="20"/>
  <c r="AT477" i="20"/>
  <c r="AS477" i="20"/>
  <c r="AE477" i="20"/>
  <c r="AC477" i="20"/>
  <c r="AB477" i="20"/>
  <c r="O477" i="20"/>
  <c r="L477" i="20"/>
  <c r="DQ477" i="20" s="1"/>
  <c r="J477" i="20"/>
  <c r="CO477" i="20" s="1"/>
  <c r="GH476" i="20"/>
  <c r="GG476" i="20"/>
  <c r="GF476" i="20"/>
  <c r="EI476" i="20"/>
  <c r="EG476" i="20"/>
  <c r="DT476" i="20"/>
  <c r="CN476" i="20"/>
  <c r="CL476" i="20"/>
  <c r="CK476" i="20"/>
  <c r="CI476" i="20"/>
  <c r="CH476" i="20"/>
  <c r="BZ476" i="20"/>
  <c r="EH476" i="20" s="1"/>
  <c r="BM476" i="20"/>
  <c r="BA476" i="20"/>
  <c r="AV476" i="20"/>
  <c r="AU476" i="20"/>
  <c r="AT476" i="20"/>
  <c r="AS476" i="20"/>
  <c r="AE476" i="20"/>
  <c r="AC476" i="20"/>
  <c r="AB476" i="20"/>
  <c r="O476" i="20"/>
  <c r="L476" i="20"/>
  <c r="DQ476" i="20" s="1"/>
  <c r="J476" i="20"/>
  <c r="CO476" i="20" s="1"/>
  <c r="GH475" i="20"/>
  <c r="GG475" i="20"/>
  <c r="GF475" i="20"/>
  <c r="EI475" i="20"/>
  <c r="EG475" i="20"/>
  <c r="DT475" i="20"/>
  <c r="CN475" i="20"/>
  <c r="CL475" i="20"/>
  <c r="CK475" i="20"/>
  <c r="CI475" i="20"/>
  <c r="CH475" i="20"/>
  <c r="BZ475" i="20"/>
  <c r="EH475" i="20" s="1"/>
  <c r="BM475" i="20"/>
  <c r="BA475" i="20"/>
  <c r="AV475" i="20"/>
  <c r="AU475" i="20"/>
  <c r="AT475" i="20"/>
  <c r="AS475" i="20"/>
  <c r="AE475" i="20"/>
  <c r="AC475" i="20"/>
  <c r="AB475" i="20"/>
  <c r="O475" i="20"/>
  <c r="L475" i="20"/>
  <c r="J475" i="20"/>
  <c r="CO475" i="20" s="1"/>
  <c r="GH474" i="20"/>
  <c r="GG474" i="20"/>
  <c r="GF474" i="20"/>
  <c r="EI474" i="20"/>
  <c r="EG474" i="20"/>
  <c r="DT474" i="20"/>
  <c r="CN474" i="20"/>
  <c r="CL474" i="20"/>
  <c r="CK474" i="20"/>
  <c r="CI474" i="20"/>
  <c r="CH474" i="20"/>
  <c r="BZ474" i="20"/>
  <c r="EH474" i="20" s="1"/>
  <c r="BM474" i="20"/>
  <c r="BA474" i="20"/>
  <c r="AV474" i="20"/>
  <c r="AU474" i="20"/>
  <c r="AT474" i="20"/>
  <c r="AS474" i="20"/>
  <c r="AE474" i="20"/>
  <c r="AC474" i="20"/>
  <c r="AB474" i="20"/>
  <c r="O474" i="20"/>
  <c r="L474" i="20"/>
  <c r="DQ474" i="20" s="1"/>
  <c r="J474" i="20"/>
  <c r="CO474" i="20" s="1"/>
  <c r="GH473" i="20"/>
  <c r="GG473" i="20"/>
  <c r="GF473" i="20"/>
  <c r="EI473" i="20"/>
  <c r="EG473" i="20"/>
  <c r="DT473" i="20"/>
  <c r="CN473" i="20"/>
  <c r="CL473" i="20"/>
  <c r="CK473" i="20"/>
  <c r="CI473" i="20"/>
  <c r="CH473" i="20"/>
  <c r="BZ473" i="20"/>
  <c r="EH473" i="20" s="1"/>
  <c r="BM473" i="20"/>
  <c r="BA473" i="20"/>
  <c r="AV473" i="20"/>
  <c r="AU473" i="20"/>
  <c r="AT473" i="20"/>
  <c r="AS473" i="20"/>
  <c r="AE473" i="20"/>
  <c r="AC473" i="20"/>
  <c r="AB473" i="20"/>
  <c r="O473" i="20"/>
  <c r="L473" i="20"/>
  <c r="BF473" i="20" s="1"/>
  <c r="J473" i="20"/>
  <c r="CO473" i="20" s="1"/>
  <c r="GF472" i="20"/>
  <c r="EG472" i="20"/>
  <c r="DT472" i="20"/>
  <c r="CN472" i="20"/>
  <c r="CI472" i="20"/>
  <c r="CH472" i="20"/>
  <c r="BZ472" i="20"/>
  <c r="EH472" i="20" s="1"/>
  <c r="BA472" i="20"/>
  <c r="AZ472" i="20" s="1"/>
  <c r="AV472" i="20"/>
  <c r="AU472" i="20"/>
  <c r="AT472" i="20"/>
  <c r="AS472" i="20"/>
  <c r="AO472" i="20"/>
  <c r="CK472" i="20" s="1"/>
  <c r="AM472" i="20"/>
  <c r="EI472" i="20" s="1"/>
  <c r="AE472" i="20"/>
  <c r="AC472" i="20"/>
  <c r="AB472" i="20"/>
  <c r="O472" i="20"/>
  <c r="L472" i="20"/>
  <c r="DQ472" i="20" s="1"/>
  <c r="J472" i="20"/>
  <c r="CO472" i="20" s="1"/>
  <c r="DB191" i="20"/>
  <c r="AQ191" i="20"/>
  <c r="AO191" i="20"/>
  <c r="AM191" i="20"/>
  <c r="AJ191" i="20"/>
  <c r="AE191" i="20"/>
  <c r="AA191" i="20"/>
  <c r="U191" i="20"/>
  <c r="T191" i="20" s="1"/>
  <c r="S191" i="20"/>
  <c r="Q191" i="20"/>
  <c r="N191" i="20"/>
  <c r="CN191" i="20" s="1"/>
  <c r="M191" i="20"/>
  <c r="BA191" i="20" s="1"/>
  <c r="K191" i="20"/>
  <c r="J191" i="20"/>
  <c r="CO191" i="20" s="1"/>
  <c r="FI188" i="20"/>
  <c r="DB188" i="20"/>
  <c r="AQ188" i="20"/>
  <c r="AO188" i="20"/>
  <c r="AM188" i="20"/>
  <c r="AJ188" i="20"/>
  <c r="AE188" i="20"/>
  <c r="AA188" i="20"/>
  <c r="Z188" i="20" s="1"/>
  <c r="U188" i="20"/>
  <c r="T188" i="20" s="1"/>
  <c r="S188" i="20"/>
  <c r="R188" i="20" s="1"/>
  <c r="Q188" i="20"/>
  <c r="CN188" i="20"/>
  <c r="M188" i="20"/>
  <c r="BA188" i="20" s="1"/>
  <c r="K188" i="20"/>
  <c r="J188" i="20"/>
  <c r="CO188" i="20" s="1"/>
  <c r="DB189" i="20"/>
  <c r="AJ189" i="20"/>
  <c r="AE189" i="20"/>
  <c r="AF189" i="20" s="1"/>
  <c r="ET189" i="20" s="1"/>
  <c r="AA189" i="20"/>
  <c r="Z189" i="20" s="1"/>
  <c r="U189" i="20"/>
  <c r="T189" i="20" s="1"/>
  <c r="S189" i="20"/>
  <c r="Q189" i="20"/>
  <c r="M189" i="20"/>
  <c r="BA189" i="20" s="1"/>
  <c r="K189" i="20"/>
  <c r="J189" i="20"/>
  <c r="CO189" i="20" s="1"/>
  <c r="FI185" i="20"/>
  <c r="DB185" i="20"/>
  <c r="AJ185" i="20"/>
  <c r="AE185" i="20"/>
  <c r="BI185" i="20" s="1"/>
  <c r="AA185" i="20"/>
  <c r="U185" i="20"/>
  <c r="S185" i="20"/>
  <c r="Q185" i="20"/>
  <c r="N185" i="20"/>
  <c r="M185" i="20"/>
  <c r="K185" i="20"/>
  <c r="J185" i="20"/>
  <c r="CO185" i="20" s="1"/>
  <c r="DB192" i="20"/>
  <c r="AQ192" i="20"/>
  <c r="AO192" i="20"/>
  <c r="CK192" i="20" s="1"/>
  <c r="AM192" i="20"/>
  <c r="AJ192" i="20"/>
  <c r="AE192" i="20"/>
  <c r="BI192" i="20" s="1"/>
  <c r="AA192" i="20"/>
  <c r="Z192" i="20" s="1"/>
  <c r="U192" i="20"/>
  <c r="T192" i="20" s="1"/>
  <c r="S192" i="20"/>
  <c r="R192" i="20" s="1"/>
  <c r="Q192" i="20"/>
  <c r="M192" i="20"/>
  <c r="K192" i="20"/>
  <c r="I192" i="20" s="1"/>
  <c r="J192" i="20"/>
  <c r="CO192" i="20" s="1"/>
  <c r="FI184" i="20"/>
  <c r="DB184" i="20"/>
  <c r="AQ184" i="20"/>
  <c r="AO184" i="20"/>
  <c r="CK184" i="20" s="1"/>
  <c r="AM184" i="20"/>
  <c r="AJ184" i="20"/>
  <c r="AE184" i="20"/>
  <c r="AF184" i="20" s="1"/>
  <c r="AA184" i="20"/>
  <c r="U184" i="20"/>
  <c r="GF184" i="20"/>
  <c r="Q184" i="20"/>
  <c r="N184" i="20"/>
  <c r="CN184" i="20" s="1"/>
  <c r="M184" i="20"/>
  <c r="K184" i="20"/>
  <c r="J184" i="20"/>
  <c r="CO184" i="20" s="1"/>
  <c r="DB187" i="20"/>
  <c r="AJ187" i="20"/>
  <c r="AE187" i="20"/>
  <c r="BI187" i="20" s="1"/>
  <c r="AA187" i="20"/>
  <c r="U187" i="20"/>
  <c r="T187" i="20" s="1"/>
  <c r="S187" i="20"/>
  <c r="Q187" i="20"/>
  <c r="N187" i="20"/>
  <c r="M187" i="20"/>
  <c r="BA187" i="20" s="1"/>
  <c r="K187" i="20"/>
  <c r="I187" i="20" s="1"/>
  <c r="J187" i="20"/>
  <c r="CO187" i="20" s="1"/>
  <c r="FI186" i="20"/>
  <c r="DB186" i="20"/>
  <c r="AJ186" i="20"/>
  <c r="AE186" i="20"/>
  <c r="BI186" i="20" s="1"/>
  <c r="AA186" i="20"/>
  <c r="U186" i="20"/>
  <c r="S186" i="20"/>
  <c r="Q186" i="20"/>
  <c r="N186" i="20"/>
  <c r="M186" i="20"/>
  <c r="BA186" i="20" s="1"/>
  <c r="K186" i="20"/>
  <c r="J186" i="20"/>
  <c r="CO186" i="20" s="1"/>
  <c r="DB211" i="20"/>
  <c r="AQ211" i="20"/>
  <c r="AO211" i="20"/>
  <c r="CK211" i="20" s="1"/>
  <c r="AM211" i="20"/>
  <c r="AJ211" i="20"/>
  <c r="AE211" i="20"/>
  <c r="AF211" i="20" s="1"/>
  <c r="ET211" i="20" s="1"/>
  <c r="AA211" i="20"/>
  <c r="U211" i="20"/>
  <c r="S211" i="20"/>
  <c r="Q211" i="20"/>
  <c r="N211" i="20"/>
  <c r="M211" i="20"/>
  <c r="BA211" i="20" s="1"/>
  <c r="K211" i="20"/>
  <c r="J211" i="20"/>
  <c r="CO211" i="20" s="1"/>
  <c r="FI198" i="20"/>
  <c r="DB198" i="20"/>
  <c r="AQ198" i="20"/>
  <c r="AO198" i="20"/>
  <c r="CK198" i="20" s="1"/>
  <c r="AM198" i="20"/>
  <c r="AJ198" i="20"/>
  <c r="AE198" i="20"/>
  <c r="BI198" i="20" s="1"/>
  <c r="AA198" i="20"/>
  <c r="U198" i="20"/>
  <c r="S198" i="20"/>
  <c r="Q198" i="20"/>
  <c r="N198" i="20"/>
  <c r="CN198" i="20" s="1"/>
  <c r="M198" i="20"/>
  <c r="BA198" i="20" s="1"/>
  <c r="K198" i="20"/>
  <c r="J198" i="20"/>
  <c r="CO198" i="20" s="1"/>
  <c r="DB207" i="20"/>
  <c r="AJ207" i="20"/>
  <c r="AE207" i="20"/>
  <c r="BI207" i="20" s="1"/>
  <c r="AA207" i="20"/>
  <c r="U207" i="20"/>
  <c r="T207" i="20" s="1"/>
  <c r="S207" i="20"/>
  <c r="Q207" i="20"/>
  <c r="N207" i="20"/>
  <c r="EI207" i="20" s="1"/>
  <c r="M207" i="20"/>
  <c r="BA207" i="20" s="1"/>
  <c r="K207" i="20"/>
  <c r="J207" i="20"/>
  <c r="CO207" i="20" s="1"/>
  <c r="FI208" i="20"/>
  <c r="DB208" i="20"/>
  <c r="AJ208" i="20"/>
  <c r="AE208" i="20"/>
  <c r="AF208" i="20" s="1"/>
  <c r="ET208" i="20" s="1"/>
  <c r="AA208" i="20"/>
  <c r="U208" i="20"/>
  <c r="S208" i="20"/>
  <c r="Q208" i="20"/>
  <c r="N208" i="20"/>
  <c r="M208" i="20"/>
  <c r="BA208" i="20" s="1"/>
  <c r="K208" i="20"/>
  <c r="J208" i="20"/>
  <c r="CO208" i="20" s="1"/>
  <c r="DB209" i="20"/>
  <c r="AQ209" i="20"/>
  <c r="AO209" i="20"/>
  <c r="CK209" i="20" s="1"/>
  <c r="AM209" i="20"/>
  <c r="AJ209" i="20"/>
  <c r="AE209" i="20"/>
  <c r="BI209" i="20" s="1"/>
  <c r="AA209" i="20"/>
  <c r="Z209" i="20" s="1"/>
  <c r="U209" i="20"/>
  <c r="S209" i="20"/>
  <c r="Q209" i="20"/>
  <c r="N209" i="20"/>
  <c r="M209" i="20"/>
  <c r="K209" i="20"/>
  <c r="J209" i="20"/>
  <c r="CO209" i="20" s="1"/>
  <c r="FI210" i="20"/>
  <c r="DB210" i="20"/>
  <c r="AQ210" i="20"/>
  <c r="AO210" i="20"/>
  <c r="CK210" i="20" s="1"/>
  <c r="AM210" i="20"/>
  <c r="AJ210" i="20"/>
  <c r="AE210" i="20"/>
  <c r="AF210" i="20" s="1"/>
  <c r="ET210" i="20" s="1"/>
  <c r="AA210" i="20"/>
  <c r="Z210" i="20" s="1"/>
  <c r="U210" i="20"/>
  <c r="S210" i="20"/>
  <c r="Q210" i="20"/>
  <c r="N210" i="20"/>
  <c r="M210" i="20"/>
  <c r="K210" i="20"/>
  <c r="J210" i="20"/>
  <c r="CO210" i="20" s="1"/>
  <c r="DB199" i="20"/>
  <c r="AJ199" i="20"/>
  <c r="AE199" i="20"/>
  <c r="AF199" i="20" s="1"/>
  <c r="ET199" i="20" s="1"/>
  <c r="AA199" i="20"/>
  <c r="Z199" i="20" s="1"/>
  <c r="U199" i="20"/>
  <c r="T199" i="20" s="1"/>
  <c r="S199" i="20"/>
  <c r="Q199" i="20"/>
  <c r="N199" i="20"/>
  <c r="M199" i="20"/>
  <c r="K199" i="20"/>
  <c r="J199" i="20"/>
  <c r="CO199" i="20" s="1"/>
  <c r="FI196" i="20"/>
  <c r="DB196" i="20"/>
  <c r="AJ196" i="20"/>
  <c r="AE196" i="20"/>
  <c r="AA196" i="20"/>
  <c r="U196" i="20"/>
  <c r="T196" i="20" s="1"/>
  <c r="S196" i="20"/>
  <c r="Q196" i="20"/>
  <c r="N196" i="20"/>
  <c r="M196" i="20"/>
  <c r="BA196" i="20" s="1"/>
  <c r="K196" i="20"/>
  <c r="J196" i="20"/>
  <c r="CO196" i="20" s="1"/>
  <c r="DB243" i="20"/>
  <c r="AQ243" i="20"/>
  <c r="AO243" i="20"/>
  <c r="AM243" i="20"/>
  <c r="AJ243" i="20"/>
  <c r="AE243" i="20"/>
  <c r="AF243" i="20" s="1"/>
  <c r="ET243" i="20" s="1"/>
  <c r="AA243" i="20"/>
  <c r="U243" i="20"/>
  <c r="S243" i="20"/>
  <c r="Q243" i="20"/>
  <c r="N243" i="20"/>
  <c r="CN243" i="20" s="1"/>
  <c r="M243" i="20"/>
  <c r="K243" i="20"/>
  <c r="J243" i="20"/>
  <c r="CO243" i="20" s="1"/>
  <c r="DB232" i="20"/>
  <c r="AJ232" i="20"/>
  <c r="AE232" i="20"/>
  <c r="BI232" i="20" s="1"/>
  <c r="AA232" i="20"/>
  <c r="U232" i="20"/>
  <c r="S232" i="20"/>
  <c r="Q232" i="20"/>
  <c r="N232" i="20"/>
  <c r="GH232" i="20" s="1"/>
  <c r="M232" i="20"/>
  <c r="BA232" i="20" s="1"/>
  <c r="K232" i="20"/>
  <c r="J232" i="20"/>
  <c r="CO232" i="20" s="1"/>
  <c r="DB240" i="20"/>
  <c r="AQ240" i="20"/>
  <c r="AO240" i="20"/>
  <c r="CK240" i="20" s="1"/>
  <c r="AM240" i="20"/>
  <c r="AJ240" i="20"/>
  <c r="AE240" i="20"/>
  <c r="BI240" i="20" s="1"/>
  <c r="AA240" i="20"/>
  <c r="U240" i="20"/>
  <c r="S240" i="20"/>
  <c r="Q240" i="20"/>
  <c r="N240" i="20"/>
  <c r="CN240" i="20" s="1"/>
  <c r="M240" i="20"/>
  <c r="BA240" i="20" s="1"/>
  <c r="K240" i="20"/>
  <c r="J240" i="20"/>
  <c r="CO240" i="20" s="1"/>
  <c r="DB248" i="20"/>
  <c r="AJ248" i="20"/>
  <c r="AE248" i="20"/>
  <c r="AF248" i="20" s="1"/>
  <c r="ET248" i="20" s="1"/>
  <c r="AA248" i="20"/>
  <c r="U248" i="20"/>
  <c r="S248" i="20"/>
  <c r="Q248" i="20"/>
  <c r="N248" i="20"/>
  <c r="GH248" i="20" s="1"/>
  <c r="M248" i="20"/>
  <c r="K248" i="20"/>
  <c r="J248" i="20"/>
  <c r="CO248" i="20" s="1"/>
  <c r="DB200" i="20"/>
  <c r="AQ200" i="20"/>
  <c r="AO200" i="20"/>
  <c r="AM200" i="20"/>
  <c r="AJ200" i="20"/>
  <c r="AE200" i="20"/>
  <c r="AF200" i="20" s="1"/>
  <c r="ET200" i="20" s="1"/>
  <c r="AA200" i="20"/>
  <c r="U200" i="20"/>
  <c r="S200" i="20"/>
  <c r="Q200" i="20"/>
  <c r="N200" i="20"/>
  <c r="M200" i="20"/>
  <c r="K200" i="20"/>
  <c r="J200" i="20"/>
  <c r="CO200" i="20" s="1"/>
  <c r="DB195" i="20"/>
  <c r="AJ195" i="20"/>
  <c r="AE195" i="20"/>
  <c r="AF195" i="20" s="1"/>
  <c r="ET195" i="20" s="1"/>
  <c r="AA195" i="20"/>
  <c r="U195" i="20"/>
  <c r="S195" i="20"/>
  <c r="R195" i="20" s="1"/>
  <c r="Q195" i="20"/>
  <c r="N195" i="20"/>
  <c r="M195" i="20"/>
  <c r="BA195" i="20" s="1"/>
  <c r="K195" i="20"/>
  <c r="J195" i="20"/>
  <c r="CO195" i="20" s="1"/>
  <c r="DB272" i="20"/>
  <c r="AQ272" i="20"/>
  <c r="AO272" i="20"/>
  <c r="CK272" i="20" s="1"/>
  <c r="AM272" i="20"/>
  <c r="AJ272" i="20"/>
  <c r="AE272" i="20"/>
  <c r="AA272" i="20"/>
  <c r="U272" i="20"/>
  <c r="S272" i="20"/>
  <c r="Q272" i="20"/>
  <c r="N272" i="20"/>
  <c r="M272" i="20"/>
  <c r="BA272" i="20" s="1"/>
  <c r="K272" i="20"/>
  <c r="J272" i="20"/>
  <c r="CO272" i="20" s="1"/>
  <c r="DB283" i="20"/>
  <c r="AJ283" i="20"/>
  <c r="AE283" i="20"/>
  <c r="BI283" i="20" s="1"/>
  <c r="AA283" i="20"/>
  <c r="U283" i="20"/>
  <c r="S283" i="20"/>
  <c r="Q283" i="20"/>
  <c r="N283" i="20"/>
  <c r="M283" i="20"/>
  <c r="K283" i="20"/>
  <c r="J283" i="20"/>
  <c r="CO283" i="20" s="1"/>
  <c r="DB386" i="20"/>
  <c r="AQ386" i="20"/>
  <c r="AO386" i="20"/>
  <c r="CK386" i="20" s="1"/>
  <c r="AM386" i="20"/>
  <c r="AJ386" i="20"/>
  <c r="AE386" i="20"/>
  <c r="AA386" i="20"/>
  <c r="U386" i="20"/>
  <c r="S386" i="20"/>
  <c r="Q386" i="20"/>
  <c r="N386" i="20"/>
  <c r="M386" i="20"/>
  <c r="BA386" i="20" s="1"/>
  <c r="K386" i="20"/>
  <c r="J386" i="20"/>
  <c r="CO386" i="20" s="1"/>
  <c r="FI360" i="20"/>
  <c r="DB360" i="20"/>
  <c r="AQ360" i="20"/>
  <c r="AO360" i="20"/>
  <c r="CK360" i="20" s="1"/>
  <c r="AM360" i="20"/>
  <c r="AJ360" i="20"/>
  <c r="AE360" i="20"/>
  <c r="BI360" i="20" s="1"/>
  <c r="AA360" i="20"/>
  <c r="U360" i="20"/>
  <c r="S360" i="20"/>
  <c r="Q360" i="20"/>
  <c r="N360" i="20"/>
  <c r="M360" i="20"/>
  <c r="K360" i="20"/>
  <c r="J360" i="20"/>
  <c r="DB385" i="20"/>
  <c r="AJ385" i="20"/>
  <c r="AE385" i="20"/>
  <c r="AA385" i="20"/>
  <c r="U385" i="20"/>
  <c r="S385" i="20"/>
  <c r="Q385" i="20"/>
  <c r="N385" i="20"/>
  <c r="M385" i="20"/>
  <c r="BA385" i="20" s="1"/>
  <c r="K385" i="20"/>
  <c r="J385" i="20"/>
  <c r="CO385" i="20" s="1"/>
  <c r="FI342" i="20"/>
  <c r="DB342" i="20"/>
  <c r="AJ342" i="20"/>
  <c r="AE342" i="20"/>
  <c r="BI342" i="20" s="1"/>
  <c r="AA342" i="20"/>
  <c r="Z342" i="20" s="1"/>
  <c r="U342" i="20"/>
  <c r="S342" i="20"/>
  <c r="R342" i="20" s="1"/>
  <c r="Q342" i="20"/>
  <c r="N342" i="20"/>
  <c r="M342" i="20"/>
  <c r="BA342" i="20" s="1"/>
  <c r="K342" i="20"/>
  <c r="J342" i="20"/>
  <c r="CO342" i="20" s="1"/>
  <c r="DB231" i="20"/>
  <c r="AQ231" i="20"/>
  <c r="AO231" i="20"/>
  <c r="CK231" i="20" s="1"/>
  <c r="AM231" i="20"/>
  <c r="AJ231" i="20"/>
  <c r="AE231" i="20"/>
  <c r="AF231" i="20" s="1"/>
  <c r="ET231" i="20" s="1"/>
  <c r="AA231" i="20"/>
  <c r="U231" i="20"/>
  <c r="S231" i="20"/>
  <c r="Q231" i="20"/>
  <c r="N231" i="20"/>
  <c r="M231" i="20"/>
  <c r="K231" i="20"/>
  <c r="J231" i="20"/>
  <c r="CO231" i="20" s="1"/>
  <c r="DB244" i="20"/>
  <c r="AQ244" i="20"/>
  <c r="AO244" i="20"/>
  <c r="CK244" i="20" s="1"/>
  <c r="AM244" i="20"/>
  <c r="AJ244" i="20"/>
  <c r="AE244" i="20"/>
  <c r="AA244" i="20"/>
  <c r="U244" i="20"/>
  <c r="T244" i="20" s="1"/>
  <c r="S244" i="20"/>
  <c r="Q244" i="20"/>
  <c r="N244" i="20"/>
  <c r="M244" i="20"/>
  <c r="BA244" i="20" s="1"/>
  <c r="K244" i="20"/>
  <c r="J244" i="20"/>
  <c r="CO244" i="20" s="1"/>
  <c r="DB239" i="20"/>
  <c r="AJ239" i="20"/>
  <c r="AE239" i="20"/>
  <c r="BI239" i="20" s="1"/>
  <c r="AA239" i="20"/>
  <c r="U239" i="20"/>
  <c r="S239" i="20"/>
  <c r="Q239" i="20"/>
  <c r="N239" i="20"/>
  <c r="M239" i="20"/>
  <c r="BA239" i="20" s="1"/>
  <c r="K239" i="20"/>
  <c r="J239" i="20"/>
  <c r="CO239" i="20" s="1"/>
  <c r="DB238" i="20"/>
  <c r="AQ238" i="20"/>
  <c r="AO238" i="20"/>
  <c r="CK238" i="20" s="1"/>
  <c r="AM238" i="20"/>
  <c r="AJ238" i="20"/>
  <c r="AE238" i="20"/>
  <c r="AF238" i="20" s="1"/>
  <c r="AA238" i="20"/>
  <c r="U238" i="20"/>
  <c r="S238" i="20"/>
  <c r="Q238" i="20"/>
  <c r="N238" i="20"/>
  <c r="M238" i="20"/>
  <c r="BA238" i="20" s="1"/>
  <c r="K238" i="20"/>
  <c r="J238" i="20"/>
  <c r="CO238" i="20" s="1"/>
  <c r="DB234" i="20"/>
  <c r="AQ234" i="20"/>
  <c r="AO234" i="20"/>
  <c r="CK234" i="20" s="1"/>
  <c r="AM234" i="20"/>
  <c r="AJ234" i="20"/>
  <c r="AE234" i="20"/>
  <c r="AA234" i="20"/>
  <c r="U234" i="20"/>
  <c r="S234" i="20"/>
  <c r="Q234" i="20"/>
  <c r="N234" i="20"/>
  <c r="CN234" i="20" s="1"/>
  <c r="M234" i="20"/>
  <c r="K234" i="20"/>
  <c r="J234" i="20"/>
  <c r="CO234" i="20" s="1"/>
  <c r="DB247" i="20"/>
  <c r="AJ247" i="20"/>
  <c r="AE247" i="20"/>
  <c r="AA247" i="20"/>
  <c r="U247" i="20"/>
  <c r="S247" i="20"/>
  <c r="Q247" i="20"/>
  <c r="N247" i="20"/>
  <c r="GH247" i="20" s="1"/>
  <c r="M247" i="20"/>
  <c r="BA247" i="20" s="1"/>
  <c r="K247" i="20"/>
  <c r="J247" i="20"/>
  <c r="CO247" i="20" s="1"/>
  <c r="DB328" i="20"/>
  <c r="AQ328" i="20"/>
  <c r="AO328" i="20"/>
  <c r="CK328" i="20" s="1"/>
  <c r="AM328" i="20"/>
  <c r="AJ328" i="20"/>
  <c r="AE328" i="20"/>
  <c r="AA328" i="20"/>
  <c r="U328" i="20"/>
  <c r="S328" i="20"/>
  <c r="Q328" i="20"/>
  <c r="N328" i="20"/>
  <c r="M328" i="20"/>
  <c r="K328" i="20"/>
  <c r="I328" i="20" s="1"/>
  <c r="J328" i="20"/>
  <c r="CO328" i="20" s="1"/>
  <c r="DB323" i="20"/>
  <c r="AQ323" i="20"/>
  <c r="AO323" i="20"/>
  <c r="CK323" i="20" s="1"/>
  <c r="AM323" i="20"/>
  <c r="AJ323" i="20"/>
  <c r="AE323" i="20"/>
  <c r="AF323" i="20" s="1"/>
  <c r="ET323" i="20" s="1"/>
  <c r="AA323" i="20"/>
  <c r="Z323" i="20" s="1"/>
  <c r="U323" i="20"/>
  <c r="S323" i="20"/>
  <c r="Q323" i="20"/>
  <c r="N323" i="20"/>
  <c r="M323" i="20"/>
  <c r="BA323" i="20" s="1"/>
  <c r="K323" i="20"/>
  <c r="J323" i="20"/>
  <c r="CO323" i="20" s="1"/>
  <c r="DB340" i="20"/>
  <c r="AO340" i="20"/>
  <c r="CK340" i="20" s="1"/>
  <c r="AM340" i="20"/>
  <c r="AJ340" i="20"/>
  <c r="AE340" i="20"/>
  <c r="BI340" i="20" s="1"/>
  <c r="AA340" i="20"/>
  <c r="U340" i="20"/>
  <c r="S340" i="20"/>
  <c r="Q340" i="20"/>
  <c r="N340" i="20"/>
  <c r="M340" i="20"/>
  <c r="K340" i="20"/>
  <c r="J340" i="20"/>
  <c r="CO340" i="20" s="1"/>
  <c r="DB322" i="20"/>
  <c r="AO322" i="20"/>
  <c r="AM322" i="20"/>
  <c r="AJ322" i="20"/>
  <c r="AE322" i="20"/>
  <c r="AF322" i="20" s="1"/>
  <c r="ET322" i="20" s="1"/>
  <c r="AA322" i="20"/>
  <c r="U322" i="20"/>
  <c r="T322" i="20" s="1"/>
  <c r="S322" i="20"/>
  <c r="Q322" i="20"/>
  <c r="N322" i="20"/>
  <c r="M322" i="20"/>
  <c r="K322" i="20"/>
  <c r="J322" i="20"/>
  <c r="CO322" i="20" s="1"/>
  <c r="DB339" i="20"/>
  <c r="AJ339" i="20"/>
  <c r="AE339" i="20"/>
  <c r="BI339" i="20" s="1"/>
  <c r="AA339" i="20"/>
  <c r="U339" i="20"/>
  <c r="S339" i="20"/>
  <c r="Q339" i="20"/>
  <c r="N339" i="20"/>
  <c r="GH339" i="20" s="1"/>
  <c r="M339" i="20"/>
  <c r="BA339" i="20" s="1"/>
  <c r="K339" i="20"/>
  <c r="J339" i="20"/>
  <c r="CO339" i="20" s="1"/>
  <c r="DB335" i="20"/>
  <c r="AJ335" i="20"/>
  <c r="AE335" i="20"/>
  <c r="BI335" i="20" s="1"/>
  <c r="AA335" i="20"/>
  <c r="U335" i="20"/>
  <c r="S335" i="20"/>
  <c r="Q335" i="20"/>
  <c r="N335" i="20"/>
  <c r="M335" i="20"/>
  <c r="K335" i="20"/>
  <c r="J335" i="20"/>
  <c r="CO335" i="20" s="1"/>
  <c r="DB345" i="20"/>
  <c r="AO345" i="20"/>
  <c r="CK345" i="20" s="1"/>
  <c r="AM345" i="20"/>
  <c r="AJ345" i="20"/>
  <c r="AE345" i="20"/>
  <c r="AF345" i="20" s="1"/>
  <c r="ET345" i="20" s="1"/>
  <c r="AA345" i="20"/>
  <c r="U345" i="20"/>
  <c r="S345" i="20"/>
  <c r="Q345" i="20"/>
  <c r="N345" i="20"/>
  <c r="M345" i="20"/>
  <c r="K345" i="20"/>
  <c r="J345" i="20"/>
  <c r="CO345" i="20" s="1"/>
  <c r="DB336" i="20"/>
  <c r="AJ336" i="20"/>
  <c r="AE336" i="20"/>
  <c r="AF336" i="20" s="1"/>
  <c r="ET336" i="20" s="1"/>
  <c r="AA336" i="20"/>
  <c r="U336" i="20"/>
  <c r="S336" i="20"/>
  <c r="Q336" i="20"/>
  <c r="N336" i="20"/>
  <c r="EI336" i="20" s="1"/>
  <c r="M336" i="20"/>
  <c r="K336" i="20"/>
  <c r="J336" i="20"/>
  <c r="CO336" i="20" s="1"/>
  <c r="DB334" i="20"/>
  <c r="AJ334" i="20"/>
  <c r="AE334" i="20"/>
  <c r="BI334" i="20" s="1"/>
  <c r="AA334" i="20"/>
  <c r="U334" i="20"/>
  <c r="S334" i="20"/>
  <c r="Q334" i="20"/>
  <c r="N334" i="20"/>
  <c r="M334" i="20"/>
  <c r="BA334" i="20" s="1"/>
  <c r="K334" i="20"/>
  <c r="J334" i="20"/>
  <c r="CO334" i="20" s="1"/>
  <c r="DB270" i="20"/>
  <c r="AM270" i="20"/>
  <c r="AJ270" i="20"/>
  <c r="AE270" i="20"/>
  <c r="AF270" i="20" s="1"/>
  <c r="AA270" i="20"/>
  <c r="Z270" i="20" s="1"/>
  <c r="U270" i="20"/>
  <c r="S270" i="20"/>
  <c r="Q270" i="20"/>
  <c r="N270" i="20"/>
  <c r="M270" i="20"/>
  <c r="K270" i="20"/>
  <c r="J270" i="20"/>
  <c r="CO270" i="20" s="1"/>
  <c r="DB281" i="20"/>
  <c r="AJ281" i="20"/>
  <c r="AE281" i="20"/>
  <c r="BI281" i="20" s="1"/>
  <c r="AA281" i="20"/>
  <c r="Z281" i="20" s="1"/>
  <c r="U281" i="20"/>
  <c r="S281" i="20"/>
  <c r="R281" i="20" s="1"/>
  <c r="Q281" i="20"/>
  <c r="N281" i="20"/>
  <c r="GH281" i="20" s="1"/>
  <c r="M281" i="20"/>
  <c r="BA281" i="20" s="1"/>
  <c r="K281" i="20"/>
  <c r="J281" i="20"/>
  <c r="CO281" i="20" s="1"/>
  <c r="DB284" i="20"/>
  <c r="AO284" i="20"/>
  <c r="CK284" i="20" s="1"/>
  <c r="AM284" i="20"/>
  <c r="AJ284" i="20"/>
  <c r="AE284" i="20"/>
  <c r="AA284" i="20"/>
  <c r="Z284" i="20" s="1"/>
  <c r="U284" i="20"/>
  <c r="S284" i="20"/>
  <c r="Q284" i="20"/>
  <c r="N284" i="20"/>
  <c r="CN284" i="20" s="1"/>
  <c r="M284" i="20"/>
  <c r="K284" i="20"/>
  <c r="J284" i="20"/>
  <c r="CO284" i="20" s="1"/>
  <c r="DB290" i="20"/>
  <c r="AQ290" i="20"/>
  <c r="AO290" i="20"/>
  <c r="AM290" i="20"/>
  <c r="AJ290" i="20"/>
  <c r="AE290" i="20"/>
  <c r="AA290" i="20"/>
  <c r="U290" i="20"/>
  <c r="S290" i="20"/>
  <c r="Q290" i="20"/>
  <c r="N290" i="20"/>
  <c r="CN290" i="20" s="1"/>
  <c r="M290" i="20"/>
  <c r="K290" i="20"/>
  <c r="J290" i="20"/>
  <c r="CO290" i="20" s="1"/>
  <c r="DB289" i="20"/>
  <c r="AJ289" i="20"/>
  <c r="AE289" i="20"/>
  <c r="BI289" i="20" s="1"/>
  <c r="AA289" i="20"/>
  <c r="U289" i="20"/>
  <c r="S289" i="20"/>
  <c r="Q289" i="20"/>
  <c r="N289" i="20"/>
  <c r="EI289" i="20" s="1"/>
  <c r="M289" i="20"/>
  <c r="K289" i="20"/>
  <c r="J289" i="20"/>
  <c r="CO289" i="20" s="1"/>
  <c r="DB212" i="20"/>
  <c r="AO212" i="20"/>
  <c r="CK212" i="20" s="1"/>
  <c r="AM212" i="20"/>
  <c r="AJ212" i="20"/>
  <c r="AE212" i="20"/>
  <c r="AA212" i="20"/>
  <c r="U212" i="20"/>
  <c r="S212" i="20"/>
  <c r="Q212" i="20"/>
  <c r="N212" i="20"/>
  <c r="M212" i="20"/>
  <c r="K212" i="20"/>
  <c r="J212" i="20"/>
  <c r="CO212" i="20" s="1"/>
  <c r="DB194" i="20"/>
  <c r="AQ194" i="20"/>
  <c r="AO194" i="20"/>
  <c r="CK194" i="20" s="1"/>
  <c r="AM194" i="20"/>
  <c r="AJ194" i="20"/>
  <c r="AE194" i="20"/>
  <c r="AA194" i="20"/>
  <c r="U194" i="20"/>
  <c r="S194" i="20"/>
  <c r="Q194" i="20"/>
  <c r="N194" i="20"/>
  <c r="CN194" i="20" s="1"/>
  <c r="M194" i="20"/>
  <c r="K194" i="20"/>
  <c r="J194" i="20"/>
  <c r="CO194" i="20" s="1"/>
  <c r="DB213" i="20"/>
  <c r="AJ213" i="20"/>
  <c r="AE213" i="20"/>
  <c r="AF213" i="20" s="1"/>
  <c r="ET213" i="20" s="1"/>
  <c r="AA213" i="20"/>
  <c r="U213" i="20"/>
  <c r="S213" i="20"/>
  <c r="Q213" i="20"/>
  <c r="N213" i="20"/>
  <c r="M213" i="20"/>
  <c r="BA213" i="20" s="1"/>
  <c r="K213" i="20"/>
  <c r="J213" i="20"/>
  <c r="CO213" i="20" s="1"/>
  <c r="DB424" i="20"/>
  <c r="AQ424" i="20"/>
  <c r="AO424" i="20"/>
  <c r="CK424" i="20" s="1"/>
  <c r="AM424" i="20"/>
  <c r="AJ424" i="20"/>
  <c r="AE424" i="20"/>
  <c r="BI424" i="20" s="1"/>
  <c r="AA424" i="20"/>
  <c r="U424" i="20"/>
  <c r="S424" i="20"/>
  <c r="Q424" i="20"/>
  <c r="N424" i="20"/>
  <c r="M424" i="20"/>
  <c r="K424" i="20"/>
  <c r="J424" i="20"/>
  <c r="CO424" i="20" s="1"/>
  <c r="DB427" i="20"/>
  <c r="AQ427" i="20"/>
  <c r="AO427" i="20"/>
  <c r="CK427" i="20" s="1"/>
  <c r="AM427" i="20"/>
  <c r="AJ427" i="20"/>
  <c r="AE427" i="20"/>
  <c r="U427" i="20"/>
  <c r="S427" i="20"/>
  <c r="Q427" i="20"/>
  <c r="N427" i="20"/>
  <c r="Z427" i="20" s="1"/>
  <c r="M427" i="20"/>
  <c r="K427" i="20"/>
  <c r="J427" i="20"/>
  <c r="CO427" i="20" s="1"/>
  <c r="DB423" i="20"/>
  <c r="AJ423" i="20"/>
  <c r="AE423" i="20"/>
  <c r="AF423" i="20" s="1"/>
  <c r="ET423" i="20" s="1"/>
  <c r="AA423" i="20"/>
  <c r="U423" i="20"/>
  <c r="S423" i="20"/>
  <c r="R423" i="20" s="1"/>
  <c r="Q423" i="20"/>
  <c r="N423" i="20"/>
  <c r="CN423" i="20" s="1"/>
  <c r="M423" i="20"/>
  <c r="BA423" i="20" s="1"/>
  <c r="K423" i="20"/>
  <c r="J423" i="20"/>
  <c r="CO423" i="20" s="1"/>
  <c r="DB428" i="20"/>
  <c r="AQ428" i="20"/>
  <c r="AO428" i="20"/>
  <c r="CK428" i="20" s="1"/>
  <c r="AM428" i="20"/>
  <c r="AJ428" i="20"/>
  <c r="AE428" i="20"/>
  <c r="AF428" i="20" s="1"/>
  <c r="AA428" i="20"/>
  <c r="U428" i="20"/>
  <c r="T428" i="20" s="1"/>
  <c r="S428" i="20"/>
  <c r="Q428" i="20"/>
  <c r="N428" i="20"/>
  <c r="M428" i="20"/>
  <c r="K428" i="20"/>
  <c r="J428" i="20"/>
  <c r="CO428" i="20" s="1"/>
  <c r="DB425" i="20"/>
  <c r="AQ425" i="20"/>
  <c r="AO425" i="20"/>
  <c r="CK425" i="20" s="1"/>
  <c r="AM425" i="20"/>
  <c r="AJ425" i="20"/>
  <c r="AE425" i="20"/>
  <c r="AA425" i="20"/>
  <c r="U425" i="20"/>
  <c r="S425" i="20"/>
  <c r="Q425" i="20"/>
  <c r="N425" i="20"/>
  <c r="CN425" i="20" s="1"/>
  <c r="M425" i="20"/>
  <c r="K425" i="20"/>
  <c r="J425" i="20"/>
  <c r="CO425" i="20" s="1"/>
  <c r="DB426" i="20"/>
  <c r="AJ426" i="20"/>
  <c r="AE426" i="20"/>
  <c r="AA426" i="20"/>
  <c r="U426" i="20"/>
  <c r="S426" i="20"/>
  <c r="Q426" i="20"/>
  <c r="N426" i="20"/>
  <c r="GH426" i="20" s="1"/>
  <c r="M426" i="20"/>
  <c r="BA426" i="20" s="1"/>
  <c r="K426" i="20"/>
  <c r="J426" i="20"/>
  <c r="CO426" i="20" s="1"/>
  <c r="DB411" i="20"/>
  <c r="AJ411" i="20"/>
  <c r="AE411" i="20"/>
  <c r="AF411" i="20" s="1"/>
  <c r="ET411" i="20" s="1"/>
  <c r="AA411" i="20"/>
  <c r="U411" i="20"/>
  <c r="S411" i="20"/>
  <c r="Q411" i="20"/>
  <c r="N411" i="20"/>
  <c r="M411" i="20"/>
  <c r="BA411" i="20" s="1"/>
  <c r="K411" i="20"/>
  <c r="J411" i="20"/>
  <c r="CO411" i="20" s="1"/>
  <c r="DB415" i="20"/>
  <c r="AJ415" i="20"/>
  <c r="AE415" i="20"/>
  <c r="BI415" i="20" s="1"/>
  <c r="AA415" i="20"/>
  <c r="U415" i="20"/>
  <c r="S415" i="20"/>
  <c r="Q415" i="20"/>
  <c r="N415" i="20"/>
  <c r="CN415" i="20" s="1"/>
  <c r="M415" i="20"/>
  <c r="BA415" i="20" s="1"/>
  <c r="K415" i="20"/>
  <c r="I415" i="20" s="1"/>
  <c r="J415" i="20"/>
  <c r="CO415" i="20" s="1"/>
  <c r="DB443" i="20"/>
  <c r="AQ443" i="20"/>
  <c r="AO443" i="20"/>
  <c r="CK443" i="20" s="1"/>
  <c r="AM443" i="20"/>
  <c r="AJ443" i="20"/>
  <c r="AE443" i="20"/>
  <c r="AF443" i="20" s="1"/>
  <c r="ET443" i="20" s="1"/>
  <c r="AA443" i="20"/>
  <c r="U443" i="20"/>
  <c r="S443" i="20"/>
  <c r="Q443" i="20"/>
  <c r="N443" i="20"/>
  <c r="M443" i="20"/>
  <c r="K443" i="20"/>
  <c r="J443" i="20"/>
  <c r="CO443" i="20" s="1"/>
  <c r="DB438" i="20"/>
  <c r="AQ438" i="20"/>
  <c r="AO438" i="20"/>
  <c r="CK438" i="20" s="1"/>
  <c r="AM438" i="20"/>
  <c r="AJ438" i="20"/>
  <c r="AE438" i="20"/>
  <c r="BI438" i="20" s="1"/>
  <c r="AA438" i="20"/>
  <c r="U438" i="20"/>
  <c r="T438" i="20" s="1"/>
  <c r="S438" i="20"/>
  <c r="Q438" i="20"/>
  <c r="N438" i="20"/>
  <c r="M438" i="20"/>
  <c r="BA438" i="20" s="1"/>
  <c r="K438" i="20"/>
  <c r="I438" i="20" s="1"/>
  <c r="J438" i="20"/>
  <c r="CO438" i="20" s="1"/>
  <c r="DB445" i="20"/>
  <c r="AQ445" i="20"/>
  <c r="AO445" i="20"/>
  <c r="CK445" i="20" s="1"/>
  <c r="AM445" i="20"/>
  <c r="AJ445" i="20"/>
  <c r="AE445" i="20"/>
  <c r="AF445" i="20" s="1"/>
  <c r="ET445" i="20" s="1"/>
  <c r="AA445" i="20"/>
  <c r="U445" i="20"/>
  <c r="S445" i="20"/>
  <c r="Q445" i="20"/>
  <c r="N445" i="20"/>
  <c r="M445" i="20"/>
  <c r="BA445" i="20" s="1"/>
  <c r="K445" i="20"/>
  <c r="J445" i="20"/>
  <c r="CO445" i="20" s="1"/>
  <c r="DB442" i="20"/>
  <c r="AQ442" i="20"/>
  <c r="AO442" i="20"/>
  <c r="AM442" i="20"/>
  <c r="AJ442" i="20"/>
  <c r="AE442" i="20"/>
  <c r="BI442" i="20" s="1"/>
  <c r="AA442" i="20"/>
  <c r="U442" i="20"/>
  <c r="S442" i="20"/>
  <c r="Q442" i="20"/>
  <c r="N442" i="20"/>
  <c r="M442" i="20"/>
  <c r="K442" i="20"/>
  <c r="J442" i="20"/>
  <c r="CO442" i="20" s="1"/>
  <c r="DB441" i="20"/>
  <c r="AJ441" i="20"/>
  <c r="AE441" i="20"/>
  <c r="BI441" i="20" s="1"/>
  <c r="AA441" i="20"/>
  <c r="U441" i="20"/>
  <c r="S441" i="20"/>
  <c r="Q441" i="20"/>
  <c r="N441" i="20"/>
  <c r="M441" i="20"/>
  <c r="BA441" i="20" s="1"/>
  <c r="K441" i="20"/>
  <c r="J441" i="20"/>
  <c r="CO441" i="20" s="1"/>
  <c r="DB447" i="20"/>
  <c r="AJ447" i="20"/>
  <c r="AE447" i="20"/>
  <c r="AF447" i="20" s="1"/>
  <c r="AA447" i="20"/>
  <c r="U447" i="20"/>
  <c r="T447" i="20" s="1"/>
  <c r="S447" i="20"/>
  <c r="Q447" i="20"/>
  <c r="N447" i="20"/>
  <c r="EI447" i="20" s="1"/>
  <c r="M447" i="20"/>
  <c r="K447" i="20"/>
  <c r="J447" i="20"/>
  <c r="CO447" i="20" s="1"/>
  <c r="DB410" i="20"/>
  <c r="AQ410" i="20"/>
  <c r="AO410" i="20"/>
  <c r="AM410" i="20"/>
  <c r="AJ410" i="20"/>
  <c r="AE410" i="20"/>
  <c r="AA410" i="20"/>
  <c r="U410" i="20"/>
  <c r="S410" i="20"/>
  <c r="Q410" i="20"/>
  <c r="N410" i="20"/>
  <c r="CN410" i="20" s="1"/>
  <c r="M410" i="20"/>
  <c r="BA410" i="20" s="1"/>
  <c r="K410" i="20"/>
  <c r="J410" i="20"/>
  <c r="CO410" i="20" s="1"/>
  <c r="DB417" i="20"/>
  <c r="AQ417" i="20"/>
  <c r="AO417" i="20"/>
  <c r="AM417" i="20"/>
  <c r="AJ417" i="20"/>
  <c r="AE417" i="20"/>
  <c r="AA417" i="20"/>
  <c r="U417" i="20"/>
  <c r="S417" i="20"/>
  <c r="Q417" i="20"/>
  <c r="N417" i="20"/>
  <c r="M417" i="20"/>
  <c r="BA417" i="20" s="1"/>
  <c r="K417" i="20"/>
  <c r="J417" i="20"/>
  <c r="CO417" i="20" s="1"/>
  <c r="DB414" i="20"/>
  <c r="AQ414" i="20"/>
  <c r="AO414" i="20"/>
  <c r="CK414" i="20" s="1"/>
  <c r="AM414" i="20"/>
  <c r="AJ414" i="20"/>
  <c r="AE414" i="20"/>
  <c r="AA414" i="20"/>
  <c r="Z414" i="20" s="1"/>
  <c r="U414" i="20"/>
  <c r="T414" i="20" s="1"/>
  <c r="S414" i="20"/>
  <c r="Q414" i="20"/>
  <c r="N414" i="20"/>
  <c r="CN414" i="20" s="1"/>
  <c r="M414" i="20"/>
  <c r="K414" i="20"/>
  <c r="J414" i="20"/>
  <c r="CO414" i="20" s="1"/>
  <c r="DB402" i="20"/>
  <c r="AJ402" i="20"/>
  <c r="AE402" i="20"/>
  <c r="BI402" i="20" s="1"/>
  <c r="AA402" i="20"/>
  <c r="U402" i="20"/>
  <c r="S402" i="20"/>
  <c r="Q402" i="20"/>
  <c r="N402" i="20"/>
  <c r="M402" i="20"/>
  <c r="BA402" i="20" s="1"/>
  <c r="K402" i="20"/>
  <c r="J402" i="20"/>
  <c r="CO402" i="20" s="1"/>
  <c r="DB413" i="20"/>
  <c r="AJ413" i="20"/>
  <c r="AE413" i="20"/>
  <c r="AF413" i="20" s="1"/>
  <c r="ET413" i="20" s="1"/>
  <c r="AA413" i="20"/>
  <c r="U413" i="20"/>
  <c r="S413" i="20"/>
  <c r="Q413" i="20"/>
  <c r="N413" i="20"/>
  <c r="M413" i="20"/>
  <c r="BA413" i="20" s="1"/>
  <c r="K413" i="20"/>
  <c r="J413" i="20"/>
  <c r="CO413" i="20" s="1"/>
  <c r="DB439" i="20"/>
  <c r="AQ439" i="20"/>
  <c r="AO439" i="20"/>
  <c r="CK439" i="20" s="1"/>
  <c r="AM439" i="20"/>
  <c r="AJ439" i="20"/>
  <c r="AE439" i="20"/>
  <c r="AF439" i="20" s="1"/>
  <c r="ET439" i="20" s="1"/>
  <c r="AA439" i="20"/>
  <c r="U439" i="20"/>
  <c r="S439" i="20"/>
  <c r="Q439" i="20"/>
  <c r="N439" i="20"/>
  <c r="M439" i="20"/>
  <c r="BA439" i="20" s="1"/>
  <c r="K439" i="20"/>
  <c r="J439" i="20"/>
  <c r="CO439" i="20" s="1"/>
  <c r="DB440" i="20"/>
  <c r="AQ440" i="20"/>
  <c r="AO440" i="20"/>
  <c r="CK440" i="20" s="1"/>
  <c r="AM440" i="20"/>
  <c r="AJ440" i="20"/>
  <c r="AE440" i="20"/>
  <c r="AA440" i="20"/>
  <c r="U440" i="20"/>
  <c r="S440" i="20"/>
  <c r="Q440" i="20"/>
  <c r="N440" i="20"/>
  <c r="M440" i="20"/>
  <c r="K440" i="20"/>
  <c r="J440" i="20"/>
  <c r="CO440" i="20" s="1"/>
  <c r="DB444" i="20"/>
  <c r="AQ444" i="20"/>
  <c r="AO444" i="20"/>
  <c r="CK444" i="20" s="1"/>
  <c r="AM444" i="20"/>
  <c r="AJ444" i="20"/>
  <c r="AE444" i="20"/>
  <c r="AF444" i="20" s="1"/>
  <c r="ET444" i="20" s="1"/>
  <c r="AA444" i="20"/>
  <c r="U444" i="20"/>
  <c r="T444" i="20" s="1"/>
  <c r="S444" i="20"/>
  <c r="Q444" i="20"/>
  <c r="N444" i="20"/>
  <c r="M444" i="20"/>
  <c r="BA444" i="20" s="1"/>
  <c r="K444" i="20"/>
  <c r="J444" i="20"/>
  <c r="CO444" i="20" s="1"/>
  <c r="DB448" i="20"/>
  <c r="AQ448" i="20"/>
  <c r="AO448" i="20"/>
  <c r="AM448" i="20"/>
  <c r="AJ448" i="20"/>
  <c r="AE448" i="20"/>
  <c r="AA448" i="20"/>
  <c r="U448" i="20"/>
  <c r="S448" i="20"/>
  <c r="Q448" i="20"/>
  <c r="N448" i="20"/>
  <c r="M448" i="20"/>
  <c r="K448" i="20"/>
  <c r="J448" i="20"/>
  <c r="CO448" i="20" s="1"/>
  <c r="DB437" i="20"/>
  <c r="AJ437" i="20"/>
  <c r="AE437" i="20"/>
  <c r="BI437" i="20" s="1"/>
  <c r="AA437" i="20"/>
  <c r="U437" i="20"/>
  <c r="S437" i="20"/>
  <c r="Q437" i="20"/>
  <c r="N437" i="20"/>
  <c r="M437" i="20"/>
  <c r="K437" i="20"/>
  <c r="J437" i="20"/>
  <c r="CO437" i="20" s="1"/>
  <c r="DB446" i="20"/>
  <c r="AJ446" i="20"/>
  <c r="AE446" i="20"/>
  <c r="BI446" i="20" s="1"/>
  <c r="AA446" i="20"/>
  <c r="U446" i="20"/>
  <c r="S446" i="20"/>
  <c r="Q446" i="20"/>
  <c r="N446" i="20"/>
  <c r="M446" i="20"/>
  <c r="BA446" i="20" s="1"/>
  <c r="K446" i="20"/>
  <c r="J446" i="20"/>
  <c r="CO446" i="20" s="1"/>
  <c r="DB412" i="20"/>
  <c r="AQ412" i="20"/>
  <c r="AO412" i="20"/>
  <c r="CK412" i="20" s="1"/>
  <c r="AM412" i="20"/>
  <c r="AJ412" i="20"/>
  <c r="AE412" i="20"/>
  <c r="AF412" i="20" s="1"/>
  <c r="AA412" i="20"/>
  <c r="U412" i="20"/>
  <c r="S412" i="20"/>
  <c r="Q412" i="20"/>
  <c r="N412" i="20"/>
  <c r="CN412" i="20" s="1"/>
  <c r="M412" i="20"/>
  <c r="BA412" i="20" s="1"/>
  <c r="K412" i="20"/>
  <c r="J412" i="20"/>
  <c r="CO412" i="20" s="1"/>
  <c r="DB407" i="20"/>
  <c r="AJ407" i="20"/>
  <c r="AE407" i="20"/>
  <c r="BI407" i="20" s="1"/>
  <c r="AA407" i="20"/>
  <c r="U407" i="20"/>
  <c r="S407" i="20"/>
  <c r="Q407" i="20"/>
  <c r="N407" i="20"/>
  <c r="M407" i="20"/>
  <c r="K407" i="20"/>
  <c r="J407" i="20"/>
  <c r="CO407" i="20" s="1"/>
  <c r="DB400" i="20"/>
  <c r="AQ400" i="20"/>
  <c r="AO400" i="20"/>
  <c r="AM400" i="20"/>
  <c r="AJ400" i="20"/>
  <c r="AE400" i="20"/>
  <c r="AF400" i="20" s="1"/>
  <c r="ET400" i="20" s="1"/>
  <c r="AA400" i="20"/>
  <c r="U400" i="20"/>
  <c r="S400" i="20"/>
  <c r="Q400" i="20"/>
  <c r="N400" i="20"/>
  <c r="M400" i="20"/>
  <c r="BA400" i="20" s="1"/>
  <c r="K400" i="20"/>
  <c r="J400" i="20"/>
  <c r="CO400" i="20" s="1"/>
  <c r="DB403" i="20"/>
  <c r="AJ403" i="20"/>
  <c r="AE403" i="20"/>
  <c r="AF403" i="20" s="1"/>
  <c r="AA403" i="20"/>
  <c r="U403" i="20"/>
  <c r="S403" i="20"/>
  <c r="Q403" i="20"/>
  <c r="N403" i="20"/>
  <c r="GH403" i="20" s="1"/>
  <c r="M403" i="20"/>
  <c r="K403" i="20"/>
  <c r="J403" i="20"/>
  <c r="CO403" i="20" s="1"/>
  <c r="DB405" i="20"/>
  <c r="AQ405" i="20"/>
  <c r="AO405" i="20"/>
  <c r="CK405" i="20" s="1"/>
  <c r="AM405" i="20"/>
  <c r="AJ405" i="20"/>
  <c r="AE405" i="20"/>
  <c r="AF405" i="20" s="1"/>
  <c r="ET405" i="20" s="1"/>
  <c r="AA405" i="20"/>
  <c r="U405" i="20"/>
  <c r="S405" i="20"/>
  <c r="Q405" i="20"/>
  <c r="N405" i="20"/>
  <c r="M405" i="20"/>
  <c r="K405" i="20"/>
  <c r="J405" i="20"/>
  <c r="CO405" i="20" s="1"/>
  <c r="DB406" i="20"/>
  <c r="AJ406" i="20"/>
  <c r="AE406" i="20"/>
  <c r="BI406" i="20" s="1"/>
  <c r="AA406" i="20"/>
  <c r="U406" i="20"/>
  <c r="S406" i="20"/>
  <c r="R406" i="20" s="1"/>
  <c r="Q406" i="20"/>
  <c r="N406" i="20"/>
  <c r="EI406" i="20" s="1"/>
  <c r="M406" i="20"/>
  <c r="BA406" i="20" s="1"/>
  <c r="K406" i="20"/>
  <c r="J406" i="20"/>
  <c r="CO406" i="20" s="1"/>
  <c r="DB408" i="20"/>
  <c r="AQ408" i="20"/>
  <c r="AO408" i="20"/>
  <c r="CK408" i="20" s="1"/>
  <c r="AM408" i="20"/>
  <c r="AJ408" i="20"/>
  <c r="AE408" i="20"/>
  <c r="AA408" i="20"/>
  <c r="U408" i="20"/>
  <c r="S408" i="20"/>
  <c r="Q408" i="20"/>
  <c r="N408" i="20"/>
  <c r="CN408" i="20" s="1"/>
  <c r="M408" i="20"/>
  <c r="K408" i="20"/>
  <c r="J408" i="20"/>
  <c r="CO408" i="20" s="1"/>
  <c r="DB399" i="20"/>
  <c r="AJ399" i="20"/>
  <c r="AE399" i="20"/>
  <c r="BI399" i="20" s="1"/>
  <c r="AA399" i="20"/>
  <c r="U399" i="20"/>
  <c r="S399" i="20"/>
  <c r="Q399" i="20"/>
  <c r="N399" i="20"/>
  <c r="M399" i="20"/>
  <c r="BA399" i="20" s="1"/>
  <c r="K399" i="20"/>
  <c r="J399" i="20"/>
  <c r="CO399" i="20" s="1"/>
  <c r="DB398" i="20"/>
  <c r="AQ398" i="20"/>
  <c r="AO398" i="20"/>
  <c r="CK398" i="20" s="1"/>
  <c r="AM398" i="20"/>
  <c r="AJ398" i="20"/>
  <c r="AE398" i="20"/>
  <c r="AF398" i="20" s="1"/>
  <c r="ET398" i="20" s="1"/>
  <c r="AA398" i="20"/>
  <c r="U398" i="20"/>
  <c r="S398" i="20"/>
  <c r="Q398" i="20"/>
  <c r="N398" i="20"/>
  <c r="M398" i="20"/>
  <c r="K398" i="20"/>
  <c r="J398" i="20"/>
  <c r="CO398" i="20" s="1"/>
  <c r="DB397" i="20"/>
  <c r="AJ397" i="20"/>
  <c r="AE397" i="20"/>
  <c r="AA397" i="20"/>
  <c r="U397" i="20"/>
  <c r="S397" i="20"/>
  <c r="Q397" i="20"/>
  <c r="N397" i="20"/>
  <c r="CN397" i="20" s="1"/>
  <c r="M397" i="20"/>
  <c r="BA397" i="20" s="1"/>
  <c r="K397" i="20"/>
  <c r="J397" i="20"/>
  <c r="CO397" i="20" s="1"/>
  <c r="DB416" i="20"/>
  <c r="AQ416" i="20"/>
  <c r="AO416" i="20"/>
  <c r="CK416" i="20" s="1"/>
  <c r="AM416" i="20"/>
  <c r="AJ416" i="20"/>
  <c r="AE416" i="20"/>
  <c r="AA416" i="20"/>
  <c r="U416" i="20"/>
  <c r="S416" i="20"/>
  <c r="Q416" i="20"/>
  <c r="N416" i="20"/>
  <c r="CN416" i="20" s="1"/>
  <c r="M416" i="20"/>
  <c r="BA416" i="20" s="1"/>
  <c r="K416" i="20"/>
  <c r="J416" i="20"/>
  <c r="CO416" i="20" s="1"/>
  <c r="DB404" i="20"/>
  <c r="AJ404" i="20"/>
  <c r="AE404" i="20"/>
  <c r="BI404" i="20" s="1"/>
  <c r="AA404" i="20"/>
  <c r="U404" i="20"/>
  <c r="S404" i="20"/>
  <c r="Q404" i="20"/>
  <c r="N404" i="20"/>
  <c r="GH404" i="20" s="1"/>
  <c r="M404" i="20"/>
  <c r="BA404" i="20" s="1"/>
  <c r="K404" i="20"/>
  <c r="J404" i="20"/>
  <c r="CO404" i="20" s="1"/>
  <c r="DB401" i="20"/>
  <c r="AQ401" i="20"/>
  <c r="AO401" i="20"/>
  <c r="CK401" i="20" s="1"/>
  <c r="AM401" i="20"/>
  <c r="AJ401" i="20"/>
  <c r="AE401" i="20"/>
  <c r="BI401" i="20" s="1"/>
  <c r="AA401" i="20"/>
  <c r="U401" i="20"/>
  <c r="S401" i="20"/>
  <c r="Q401" i="20"/>
  <c r="N401" i="20"/>
  <c r="M401" i="20"/>
  <c r="BA401" i="20" s="1"/>
  <c r="K401" i="20"/>
  <c r="J401" i="20"/>
  <c r="CO401" i="20" s="1"/>
  <c r="DB409" i="20"/>
  <c r="AJ409" i="20"/>
  <c r="AE409" i="20"/>
  <c r="AA409" i="20"/>
  <c r="U409" i="20"/>
  <c r="S409" i="20"/>
  <c r="Q409" i="20"/>
  <c r="N409" i="20"/>
  <c r="M409" i="20"/>
  <c r="BA409" i="20" s="1"/>
  <c r="K409" i="20"/>
  <c r="J409" i="20"/>
  <c r="CO409" i="20" s="1"/>
  <c r="DB364" i="20"/>
  <c r="AQ364" i="20"/>
  <c r="AO364" i="20"/>
  <c r="CK364" i="20" s="1"/>
  <c r="AM364" i="20"/>
  <c r="AJ364" i="20"/>
  <c r="AE364" i="20"/>
  <c r="AA364" i="20"/>
  <c r="U364" i="20"/>
  <c r="S364" i="20"/>
  <c r="Q364" i="20"/>
  <c r="N364" i="20"/>
  <c r="M364" i="20"/>
  <c r="BA364" i="20" s="1"/>
  <c r="K364" i="20"/>
  <c r="J364" i="20"/>
  <c r="CO364" i="20" s="1"/>
  <c r="DB358" i="20"/>
  <c r="AJ358" i="20"/>
  <c r="AE358" i="20"/>
  <c r="BI358" i="20" s="1"/>
  <c r="AA358" i="20"/>
  <c r="U358" i="20"/>
  <c r="S358" i="20"/>
  <c r="Q358" i="20"/>
  <c r="N358" i="20"/>
  <c r="GH358" i="20" s="1"/>
  <c r="M358" i="20"/>
  <c r="BA358" i="20" s="1"/>
  <c r="K358" i="20"/>
  <c r="J358" i="20"/>
  <c r="CO358" i="20" s="1"/>
  <c r="DB344" i="20"/>
  <c r="AQ344" i="20"/>
  <c r="AO344" i="20"/>
  <c r="CK344" i="20" s="1"/>
  <c r="AM344" i="20"/>
  <c r="AJ344" i="20"/>
  <c r="AE344" i="20"/>
  <c r="AA344" i="20"/>
  <c r="U344" i="20"/>
  <c r="S344" i="20"/>
  <c r="Q344" i="20"/>
  <c r="N344" i="20"/>
  <c r="M344" i="20"/>
  <c r="BA344" i="20" s="1"/>
  <c r="K344" i="20"/>
  <c r="J344" i="20"/>
  <c r="CO344" i="20" s="1"/>
  <c r="DB357" i="20"/>
  <c r="AJ357" i="20"/>
  <c r="AE357" i="20"/>
  <c r="BI357" i="20" s="1"/>
  <c r="AA357" i="20"/>
  <c r="U357" i="20"/>
  <c r="S357" i="20"/>
  <c r="Q357" i="20"/>
  <c r="N357" i="20"/>
  <c r="GH357" i="20" s="1"/>
  <c r="M357" i="20"/>
  <c r="K357" i="20"/>
  <c r="J357" i="20"/>
  <c r="CO357" i="20" s="1"/>
  <c r="DB374" i="20"/>
  <c r="AQ374" i="20"/>
  <c r="AO374" i="20"/>
  <c r="AM374" i="20"/>
  <c r="AJ374" i="20"/>
  <c r="AE374" i="20"/>
  <c r="AF374" i="20" s="1"/>
  <c r="ET374" i="20" s="1"/>
  <c r="AA374" i="20"/>
  <c r="U374" i="20"/>
  <c r="S374" i="20"/>
  <c r="Q374" i="20"/>
  <c r="N374" i="20"/>
  <c r="M374" i="20"/>
  <c r="BA374" i="20" s="1"/>
  <c r="K374" i="20"/>
  <c r="J374" i="20"/>
  <c r="CO374" i="20" s="1"/>
  <c r="DB365" i="20"/>
  <c r="AJ365" i="20"/>
  <c r="AE365" i="20"/>
  <c r="AA365" i="20"/>
  <c r="U365" i="20"/>
  <c r="T365" i="20" s="1"/>
  <c r="S365" i="20"/>
  <c r="R365" i="20" s="1"/>
  <c r="Q365" i="20"/>
  <c r="N365" i="20"/>
  <c r="EI365" i="20" s="1"/>
  <c r="M365" i="20"/>
  <c r="K365" i="20"/>
  <c r="J365" i="20"/>
  <c r="CO365" i="20" s="1"/>
  <c r="DB355" i="20"/>
  <c r="AQ355" i="20"/>
  <c r="AO355" i="20"/>
  <c r="AM355" i="20"/>
  <c r="AJ355" i="20"/>
  <c r="AE355" i="20"/>
  <c r="BI355" i="20" s="1"/>
  <c r="AA355" i="20"/>
  <c r="U355" i="20"/>
  <c r="S355" i="20"/>
  <c r="Q355" i="20"/>
  <c r="N355" i="20"/>
  <c r="M355" i="20"/>
  <c r="K355" i="20"/>
  <c r="J355" i="20"/>
  <c r="CO355" i="20" s="1"/>
  <c r="DB363" i="20"/>
  <c r="AJ363" i="20"/>
  <c r="AE363" i="20"/>
  <c r="AA363" i="20"/>
  <c r="U363" i="20"/>
  <c r="T363" i="20" s="1"/>
  <c r="S363" i="20"/>
  <c r="Q363" i="20"/>
  <c r="N363" i="20"/>
  <c r="M363" i="20"/>
  <c r="BA363" i="20" s="1"/>
  <c r="K363" i="20"/>
  <c r="I363" i="20" s="1"/>
  <c r="J363" i="20"/>
  <c r="CO363" i="20" s="1"/>
  <c r="FI379" i="20"/>
  <c r="DB379" i="20"/>
  <c r="AJ379" i="20"/>
  <c r="AE379" i="20"/>
  <c r="BI379" i="20" s="1"/>
  <c r="AA379" i="20"/>
  <c r="Z379" i="20" s="1"/>
  <c r="U379" i="20"/>
  <c r="GF379" i="20"/>
  <c r="Q379" i="20"/>
  <c r="N379" i="20"/>
  <c r="R379" i="20" s="1"/>
  <c r="M379" i="20"/>
  <c r="K379" i="20"/>
  <c r="J379" i="20"/>
  <c r="CO379" i="20" s="1"/>
  <c r="FI378" i="20"/>
  <c r="DB378" i="20"/>
  <c r="AJ378" i="20"/>
  <c r="AE378" i="20"/>
  <c r="BI378" i="20" s="1"/>
  <c r="AA378" i="20"/>
  <c r="U378" i="20"/>
  <c r="S378" i="20"/>
  <c r="Q378" i="20"/>
  <c r="N378" i="20"/>
  <c r="M378" i="20"/>
  <c r="BA378" i="20" s="1"/>
  <c r="K378" i="20"/>
  <c r="J378" i="20"/>
  <c r="CO378" i="20" s="1"/>
  <c r="FI370" i="20"/>
  <c r="DB370" i="20"/>
  <c r="AJ370" i="20"/>
  <c r="AE370" i="20"/>
  <c r="AA370" i="20"/>
  <c r="U370" i="20"/>
  <c r="S370" i="20"/>
  <c r="Q370" i="20"/>
  <c r="N370" i="20"/>
  <c r="EI370" i="20" s="1"/>
  <c r="M370" i="20"/>
  <c r="K370" i="20"/>
  <c r="J370" i="20"/>
  <c r="CO370" i="20" s="1"/>
  <c r="FI377" i="20"/>
  <c r="DB377" i="20"/>
  <c r="AJ377" i="20"/>
  <c r="AE377" i="20"/>
  <c r="AA377" i="20"/>
  <c r="U377" i="20"/>
  <c r="S377" i="20"/>
  <c r="Q377" i="20"/>
  <c r="N377" i="20"/>
  <c r="M377" i="20"/>
  <c r="BA377" i="20" s="1"/>
  <c r="K377" i="20"/>
  <c r="J377" i="20"/>
  <c r="CO377" i="20" s="1"/>
  <c r="FI373" i="20"/>
  <c r="DB373" i="20"/>
  <c r="AJ373" i="20"/>
  <c r="AE373" i="20"/>
  <c r="AF373" i="20" s="1"/>
  <c r="AA373" i="20"/>
  <c r="U373" i="20"/>
  <c r="S373" i="20"/>
  <c r="Q373" i="20"/>
  <c r="N373" i="20"/>
  <c r="M373" i="20"/>
  <c r="BA373" i="20" s="1"/>
  <c r="K373" i="20"/>
  <c r="J373" i="20"/>
  <c r="CO373" i="20" s="1"/>
  <c r="DB294" i="20"/>
  <c r="AQ294" i="20"/>
  <c r="AO294" i="20"/>
  <c r="CK294" i="20" s="1"/>
  <c r="AM294" i="20"/>
  <c r="AJ294" i="20"/>
  <c r="AE294" i="20"/>
  <c r="AA294" i="20"/>
  <c r="U294" i="20"/>
  <c r="S294" i="20"/>
  <c r="Q294" i="20"/>
  <c r="W294" i="20" s="1"/>
  <c r="N294" i="20"/>
  <c r="M294" i="20"/>
  <c r="K294" i="20"/>
  <c r="J294" i="20"/>
  <c r="CO294" i="20" s="1"/>
  <c r="DB288" i="20"/>
  <c r="AQ288" i="20"/>
  <c r="AM288" i="20"/>
  <c r="AJ288" i="20"/>
  <c r="AE288" i="20"/>
  <c r="AF288" i="20" s="1"/>
  <c r="ET288" i="20" s="1"/>
  <c r="AA288" i="20"/>
  <c r="U288" i="20"/>
  <c r="S288" i="20"/>
  <c r="Q288" i="20"/>
  <c r="N288" i="20"/>
  <c r="M288" i="20"/>
  <c r="K288" i="20"/>
  <c r="J288" i="20"/>
  <c r="CO288" i="20" s="1"/>
  <c r="DB280" i="20"/>
  <c r="AJ280" i="20"/>
  <c r="AE280" i="20"/>
  <c r="AF280" i="20" s="1"/>
  <c r="ET280" i="20" s="1"/>
  <c r="AA280" i="20"/>
  <c r="U280" i="20"/>
  <c r="S280" i="20"/>
  <c r="Q280" i="20"/>
  <c r="N280" i="20"/>
  <c r="M280" i="20"/>
  <c r="BA280" i="20" s="1"/>
  <c r="K280" i="20"/>
  <c r="J280" i="20"/>
  <c r="CO280" i="20" s="1"/>
  <c r="DB291" i="20"/>
  <c r="AJ291" i="20"/>
  <c r="AE291" i="20"/>
  <c r="BI291" i="20" s="1"/>
  <c r="AA291" i="20"/>
  <c r="U291" i="20"/>
  <c r="S291" i="20"/>
  <c r="Q291" i="20"/>
  <c r="N291" i="20"/>
  <c r="GH291" i="20" s="1"/>
  <c r="M291" i="20"/>
  <c r="K291" i="20"/>
  <c r="I291" i="20" s="1"/>
  <c r="J291" i="20"/>
  <c r="CO291" i="20" s="1"/>
  <c r="DB295" i="20"/>
  <c r="AQ295" i="20"/>
  <c r="AO295" i="20"/>
  <c r="CK295" i="20" s="1"/>
  <c r="AM295" i="20"/>
  <c r="AJ295" i="20"/>
  <c r="AE295" i="20"/>
  <c r="BI295" i="20" s="1"/>
  <c r="AA295" i="20"/>
  <c r="U295" i="20"/>
  <c r="S295" i="20"/>
  <c r="Q295" i="20"/>
  <c r="N295" i="20"/>
  <c r="M295" i="20"/>
  <c r="K295" i="20"/>
  <c r="J295" i="20"/>
  <c r="CO295" i="20" s="1"/>
  <c r="DB279" i="20"/>
  <c r="AQ279" i="20"/>
  <c r="AO279" i="20"/>
  <c r="CK279" i="20" s="1"/>
  <c r="AM279" i="20"/>
  <c r="AJ279" i="20"/>
  <c r="AE279" i="20"/>
  <c r="AF279" i="20" s="1"/>
  <c r="ET279" i="20" s="1"/>
  <c r="AA279" i="20"/>
  <c r="Z279" i="20" s="1"/>
  <c r="U279" i="20"/>
  <c r="S279" i="20"/>
  <c r="Q279" i="20"/>
  <c r="N279" i="20"/>
  <c r="M279" i="20"/>
  <c r="BA279" i="20" s="1"/>
  <c r="K279" i="20"/>
  <c r="J279" i="20"/>
  <c r="CO279" i="20" s="1"/>
  <c r="DB287" i="20"/>
  <c r="AJ287" i="20"/>
  <c r="AE287" i="20"/>
  <c r="AF287" i="20" s="1"/>
  <c r="AA287" i="20"/>
  <c r="U287" i="20"/>
  <c r="S287" i="20"/>
  <c r="Q287" i="20"/>
  <c r="N287" i="20"/>
  <c r="GH287" i="20" s="1"/>
  <c r="M287" i="20"/>
  <c r="K287" i="20"/>
  <c r="J287" i="20"/>
  <c r="CO287" i="20" s="1"/>
  <c r="DB277" i="20"/>
  <c r="AJ277" i="20"/>
  <c r="AE277" i="20"/>
  <c r="BI277" i="20" s="1"/>
  <c r="AA277" i="20"/>
  <c r="U277" i="20"/>
  <c r="T277" i="20" s="1"/>
  <c r="S277" i="20"/>
  <c r="Q277" i="20"/>
  <c r="N277" i="20"/>
  <c r="M277" i="20"/>
  <c r="BA277" i="20" s="1"/>
  <c r="K277" i="20"/>
  <c r="J277" i="20"/>
  <c r="CO277" i="20" s="1"/>
  <c r="DB282" i="20"/>
  <c r="AQ282" i="20"/>
  <c r="AO282" i="20"/>
  <c r="CK282" i="20" s="1"/>
  <c r="AM282" i="20"/>
  <c r="AJ282" i="20"/>
  <c r="AE282" i="20"/>
  <c r="AF282" i="20" s="1"/>
  <c r="AA282" i="20"/>
  <c r="U282" i="20"/>
  <c r="S282" i="20"/>
  <c r="Q282" i="20"/>
  <c r="N282" i="20"/>
  <c r="CN282" i="20" s="1"/>
  <c r="M282" i="20"/>
  <c r="BA282" i="20" s="1"/>
  <c r="K282" i="20"/>
  <c r="J282" i="20"/>
  <c r="CO282" i="20" s="1"/>
  <c r="DB293" i="20"/>
  <c r="AQ293" i="20"/>
  <c r="AO293" i="20"/>
  <c r="CK293" i="20" s="1"/>
  <c r="AM293" i="20"/>
  <c r="AJ293" i="20"/>
  <c r="AE293" i="20"/>
  <c r="BI293" i="20" s="1"/>
  <c r="AA293" i="20"/>
  <c r="U293" i="20"/>
  <c r="S293" i="20"/>
  <c r="Q293" i="20"/>
  <c r="N293" i="20"/>
  <c r="M293" i="20"/>
  <c r="BA293" i="20" s="1"/>
  <c r="K293" i="20"/>
  <c r="J293" i="20"/>
  <c r="CO293" i="20" s="1"/>
  <c r="DB296" i="20"/>
  <c r="AJ296" i="20"/>
  <c r="AE296" i="20"/>
  <c r="AA296" i="20"/>
  <c r="U296" i="20"/>
  <c r="S296" i="20"/>
  <c r="Q296" i="20"/>
  <c r="N296" i="20"/>
  <c r="M296" i="20"/>
  <c r="K296" i="20"/>
  <c r="J296" i="20"/>
  <c r="CO296" i="20" s="1"/>
  <c r="DB285" i="20"/>
  <c r="AJ285" i="20"/>
  <c r="AE285" i="20"/>
  <c r="AA285" i="20"/>
  <c r="GF285" i="20"/>
  <c r="Q285" i="20"/>
  <c r="N285" i="20"/>
  <c r="R285" i="20" s="1"/>
  <c r="M285" i="20"/>
  <c r="K285" i="20"/>
  <c r="J285" i="20"/>
  <c r="CO285" i="20" s="1"/>
  <c r="DB246" i="20"/>
  <c r="AO246" i="20"/>
  <c r="AM246" i="20"/>
  <c r="AJ246" i="20"/>
  <c r="AE246" i="20"/>
  <c r="AF246" i="20" s="1"/>
  <c r="ET246" i="20" s="1"/>
  <c r="AA246" i="20"/>
  <c r="U246" i="20"/>
  <c r="S246" i="20"/>
  <c r="Q246" i="20"/>
  <c r="N246" i="20"/>
  <c r="CN246" i="20" s="1"/>
  <c r="M246" i="20"/>
  <c r="K246" i="20"/>
  <c r="J246" i="20"/>
  <c r="CO246" i="20" s="1"/>
  <c r="DB245" i="20"/>
  <c r="AJ245" i="20"/>
  <c r="AE245" i="20"/>
  <c r="AA245" i="20"/>
  <c r="U245" i="20"/>
  <c r="S245" i="20"/>
  <c r="Q245" i="20"/>
  <c r="N245" i="20"/>
  <c r="M245" i="20"/>
  <c r="BA245" i="20" s="1"/>
  <c r="K245" i="20"/>
  <c r="J245" i="20"/>
  <c r="CO245" i="20" s="1"/>
  <c r="DB265" i="20"/>
  <c r="AO265" i="20"/>
  <c r="AM265" i="20"/>
  <c r="AJ265" i="20"/>
  <c r="AE265" i="20"/>
  <c r="AF265" i="20" s="1"/>
  <c r="ET265" i="20" s="1"/>
  <c r="AA265" i="20"/>
  <c r="U265" i="20"/>
  <c r="S265" i="20"/>
  <c r="Q265" i="20"/>
  <c r="N265" i="20"/>
  <c r="M265" i="20"/>
  <c r="K265" i="20"/>
  <c r="J265" i="20"/>
  <c r="CO265" i="20" s="1"/>
  <c r="DB242" i="20"/>
  <c r="AJ242" i="20"/>
  <c r="AE242" i="20"/>
  <c r="AA242" i="20"/>
  <c r="U242" i="20"/>
  <c r="S242" i="20"/>
  <c r="Q242" i="20"/>
  <c r="N242" i="20"/>
  <c r="M242" i="20"/>
  <c r="BA242" i="20" s="1"/>
  <c r="K242" i="20"/>
  <c r="J242" i="20"/>
  <c r="CO242" i="20" s="1"/>
  <c r="DB252" i="20"/>
  <c r="AO252" i="20"/>
  <c r="CK252" i="20" s="1"/>
  <c r="AM252" i="20"/>
  <c r="AJ252" i="20"/>
  <c r="AE252" i="20"/>
  <c r="BI252" i="20" s="1"/>
  <c r="AA252" i="20"/>
  <c r="U252" i="20"/>
  <c r="S252" i="20"/>
  <c r="Q252" i="20"/>
  <c r="N252" i="20"/>
  <c r="M252" i="20"/>
  <c r="BA252" i="20" s="1"/>
  <c r="K252" i="20"/>
  <c r="J252" i="20"/>
  <c r="CO252" i="20" s="1"/>
  <c r="DB241" i="20"/>
  <c r="AJ241" i="20"/>
  <c r="AE241" i="20"/>
  <c r="BI241" i="20" s="1"/>
  <c r="AA241" i="20"/>
  <c r="U241" i="20"/>
  <c r="S241" i="20"/>
  <c r="Q241" i="20"/>
  <c r="N241" i="20"/>
  <c r="GH241" i="20" s="1"/>
  <c r="M241" i="20"/>
  <c r="K241" i="20"/>
  <c r="J241" i="20"/>
  <c r="CO241" i="20" s="1"/>
  <c r="DB254" i="20"/>
  <c r="AJ254" i="20"/>
  <c r="AE254" i="20"/>
  <c r="AF254" i="20" s="1"/>
  <c r="ET254" i="20" s="1"/>
  <c r="AA254" i="20"/>
  <c r="U254" i="20"/>
  <c r="S254" i="20"/>
  <c r="Q254" i="20"/>
  <c r="N254" i="20"/>
  <c r="M254" i="20"/>
  <c r="K254" i="20"/>
  <c r="J254" i="20"/>
  <c r="CO254" i="20" s="1"/>
  <c r="DB348" i="20"/>
  <c r="AO348" i="20"/>
  <c r="CK348" i="20" s="1"/>
  <c r="AM348" i="20"/>
  <c r="AJ348" i="20"/>
  <c r="AE348" i="20"/>
  <c r="AF348" i="20" s="1"/>
  <c r="AA348" i="20"/>
  <c r="U348" i="20"/>
  <c r="S348" i="20"/>
  <c r="Q348" i="20"/>
  <c r="N348" i="20"/>
  <c r="M348" i="20"/>
  <c r="BA348" i="20" s="1"/>
  <c r="K348" i="20"/>
  <c r="J348" i="20"/>
  <c r="DB352" i="20"/>
  <c r="AJ352" i="20"/>
  <c r="AE352" i="20"/>
  <c r="BI352" i="20" s="1"/>
  <c r="AA352" i="20"/>
  <c r="U352" i="20"/>
  <c r="S352" i="20"/>
  <c r="Q352" i="20"/>
  <c r="N352" i="20"/>
  <c r="GH352" i="20" s="1"/>
  <c r="M352" i="20"/>
  <c r="K352" i="20"/>
  <c r="J352" i="20"/>
  <c r="CO352" i="20" s="1"/>
  <c r="DB359" i="20"/>
  <c r="AO359" i="20"/>
  <c r="CK359" i="20" s="1"/>
  <c r="AM359" i="20"/>
  <c r="AJ359" i="20"/>
  <c r="AE359" i="20"/>
  <c r="BI359" i="20" s="1"/>
  <c r="AA359" i="20"/>
  <c r="U359" i="20"/>
  <c r="S359" i="20"/>
  <c r="Q359" i="20"/>
  <c r="N359" i="20"/>
  <c r="M359" i="20"/>
  <c r="BA359" i="20" s="1"/>
  <c r="K359" i="20"/>
  <c r="J359" i="20"/>
  <c r="CO359" i="20" s="1"/>
  <c r="DB351" i="20"/>
  <c r="AJ351" i="20"/>
  <c r="AE351" i="20"/>
  <c r="BI351" i="20" s="1"/>
  <c r="AA351" i="20"/>
  <c r="U351" i="20"/>
  <c r="S351" i="20"/>
  <c r="Q351" i="20"/>
  <c r="N351" i="20"/>
  <c r="M351" i="20"/>
  <c r="K351" i="20"/>
  <c r="J351" i="20"/>
  <c r="CO351" i="20" s="1"/>
  <c r="DB347" i="20"/>
  <c r="AO347" i="20"/>
  <c r="CK347" i="20" s="1"/>
  <c r="AM347" i="20"/>
  <c r="AJ347" i="20"/>
  <c r="AE347" i="20"/>
  <c r="AF347" i="20" s="1"/>
  <c r="ET347" i="20" s="1"/>
  <c r="AA347" i="20"/>
  <c r="U347" i="20"/>
  <c r="S347" i="20"/>
  <c r="Q347" i="20"/>
  <c r="N347" i="20"/>
  <c r="CN347" i="20" s="1"/>
  <c r="M347" i="20"/>
  <c r="K347" i="20"/>
  <c r="J347" i="20"/>
  <c r="CO347" i="20" s="1"/>
  <c r="DB367" i="20"/>
  <c r="AJ367" i="20"/>
  <c r="AE367" i="20"/>
  <c r="BI367" i="20" s="1"/>
  <c r="AA367" i="20"/>
  <c r="U367" i="20"/>
  <c r="S367" i="20"/>
  <c r="Q367" i="20"/>
  <c r="N367" i="20"/>
  <c r="M367" i="20"/>
  <c r="BA367" i="20" s="1"/>
  <c r="K367" i="20"/>
  <c r="J367" i="20"/>
  <c r="CO367" i="20" s="1"/>
  <c r="DB371" i="20"/>
  <c r="AO371" i="20"/>
  <c r="CK371" i="20" s="1"/>
  <c r="AM371" i="20"/>
  <c r="AJ371" i="20"/>
  <c r="AE371" i="20"/>
  <c r="BI371" i="20" s="1"/>
  <c r="AA371" i="20"/>
  <c r="U371" i="20"/>
  <c r="S371" i="20"/>
  <c r="Q371" i="20"/>
  <c r="N371" i="20"/>
  <c r="M371" i="20"/>
  <c r="BA371" i="20" s="1"/>
  <c r="K371" i="20"/>
  <c r="J371" i="20"/>
  <c r="CO371" i="20" s="1"/>
  <c r="DB361" i="20"/>
  <c r="AJ361" i="20"/>
  <c r="AE361" i="20"/>
  <c r="BI361" i="20" s="1"/>
  <c r="AA361" i="20"/>
  <c r="U361" i="20"/>
  <c r="S361" i="20"/>
  <c r="Q361" i="20"/>
  <c r="N361" i="20"/>
  <c r="M361" i="20"/>
  <c r="BA361" i="20" s="1"/>
  <c r="K361" i="20"/>
  <c r="J361" i="20"/>
  <c r="CO361" i="20" s="1"/>
  <c r="DB419" i="20"/>
  <c r="AQ419" i="20"/>
  <c r="AO419" i="20"/>
  <c r="CK419" i="20" s="1"/>
  <c r="AM419" i="20"/>
  <c r="AJ419" i="20"/>
  <c r="AE419" i="20"/>
  <c r="AA419" i="20"/>
  <c r="U419" i="20"/>
  <c r="S419" i="20"/>
  <c r="Q419" i="20"/>
  <c r="N419" i="20"/>
  <c r="M419" i="20"/>
  <c r="BA419" i="20" s="1"/>
  <c r="K419" i="20"/>
  <c r="J419" i="20"/>
  <c r="CO419" i="20" s="1"/>
  <c r="DB418" i="20"/>
  <c r="AQ418" i="20"/>
  <c r="AO418" i="20"/>
  <c r="CK418" i="20" s="1"/>
  <c r="AM418" i="20"/>
  <c r="AJ418" i="20"/>
  <c r="AE418" i="20"/>
  <c r="BI418" i="20" s="1"/>
  <c r="AA418" i="20"/>
  <c r="U418" i="20"/>
  <c r="T418" i="20" s="1"/>
  <c r="S418" i="20"/>
  <c r="Q418" i="20"/>
  <c r="N418" i="20"/>
  <c r="M418" i="20"/>
  <c r="K418" i="20"/>
  <c r="J418" i="20"/>
  <c r="CO418" i="20" s="1"/>
  <c r="DB420" i="20"/>
  <c r="AQ420" i="20"/>
  <c r="AO420" i="20"/>
  <c r="AM420" i="20"/>
  <c r="AJ420" i="20"/>
  <c r="AE420" i="20"/>
  <c r="AF420" i="20" s="1"/>
  <c r="ET420" i="20" s="1"/>
  <c r="AA420" i="20"/>
  <c r="U420" i="20"/>
  <c r="S420" i="20"/>
  <c r="Q420" i="20"/>
  <c r="N420" i="20"/>
  <c r="CN420" i="20" s="1"/>
  <c r="M420" i="20"/>
  <c r="BA420" i="20" s="1"/>
  <c r="K420" i="20"/>
  <c r="J420" i="20"/>
  <c r="CO420" i="20" s="1"/>
  <c r="DB395" i="20"/>
  <c r="AO395" i="20"/>
  <c r="CK395" i="20" s="1"/>
  <c r="AM395" i="20"/>
  <c r="AJ395" i="20"/>
  <c r="AE395" i="20"/>
  <c r="AF395" i="20" s="1"/>
  <c r="ET395" i="20" s="1"/>
  <c r="AA395" i="20"/>
  <c r="U395" i="20"/>
  <c r="S395" i="20"/>
  <c r="Q395" i="20"/>
  <c r="N395" i="20"/>
  <c r="M395" i="20"/>
  <c r="BA395" i="20" s="1"/>
  <c r="K395" i="20"/>
  <c r="J395" i="20"/>
  <c r="CO395" i="20" s="1"/>
  <c r="DB393" i="20"/>
  <c r="AO393" i="20"/>
  <c r="AM393" i="20"/>
  <c r="AJ393" i="20"/>
  <c r="AE393" i="20"/>
  <c r="AA393" i="20"/>
  <c r="U393" i="20"/>
  <c r="S393" i="20"/>
  <c r="Q393" i="20"/>
  <c r="N393" i="20"/>
  <c r="M393" i="20"/>
  <c r="K393" i="20"/>
  <c r="J393" i="20"/>
  <c r="CO393" i="20" s="1"/>
  <c r="DB394" i="20"/>
  <c r="AO394" i="20"/>
  <c r="AJ394" i="20"/>
  <c r="AE394" i="20"/>
  <c r="AA394" i="20"/>
  <c r="U394" i="20"/>
  <c r="S394" i="20"/>
  <c r="Q394" i="20"/>
  <c r="N394" i="20"/>
  <c r="CN394" i="20" s="1"/>
  <c r="M394" i="20"/>
  <c r="K394" i="20"/>
  <c r="J394" i="20"/>
  <c r="CO394" i="20" s="1"/>
  <c r="DB343" i="20"/>
  <c r="AJ343" i="20"/>
  <c r="AE343" i="20"/>
  <c r="AF343" i="20" s="1"/>
  <c r="ET343" i="20" s="1"/>
  <c r="AA343" i="20"/>
  <c r="U343" i="20"/>
  <c r="S343" i="20"/>
  <c r="Q343" i="20"/>
  <c r="N343" i="20"/>
  <c r="M343" i="20"/>
  <c r="BA343" i="20" s="1"/>
  <c r="K343" i="20"/>
  <c r="J343" i="20"/>
  <c r="CO343" i="20" s="1"/>
  <c r="DB353" i="20"/>
  <c r="AJ353" i="20"/>
  <c r="AE353" i="20"/>
  <c r="BI353" i="20" s="1"/>
  <c r="AA353" i="20"/>
  <c r="U353" i="20"/>
  <c r="T353" i="20" s="1"/>
  <c r="S353" i="20"/>
  <c r="R353" i="20" s="1"/>
  <c r="Q353" i="20"/>
  <c r="N353" i="20"/>
  <c r="M353" i="20"/>
  <c r="BA353" i="20" s="1"/>
  <c r="K353" i="20"/>
  <c r="I353" i="20" s="1"/>
  <c r="J353" i="20"/>
  <c r="CO353" i="20" s="1"/>
  <c r="DB356" i="20"/>
  <c r="AJ356" i="20"/>
  <c r="AE356" i="20"/>
  <c r="AF356" i="20" s="1"/>
  <c r="ET356" i="20" s="1"/>
  <c r="AA356" i="20"/>
  <c r="U356" i="20"/>
  <c r="S356" i="20"/>
  <c r="Q356" i="20"/>
  <c r="N356" i="20"/>
  <c r="CN356" i="20" s="1"/>
  <c r="M356" i="20"/>
  <c r="K356" i="20"/>
  <c r="J356" i="20"/>
  <c r="CO356" i="20" s="1"/>
  <c r="FI251" i="20"/>
  <c r="DB251" i="20"/>
  <c r="AQ251" i="20"/>
  <c r="AO251" i="20"/>
  <c r="AM251" i="20"/>
  <c r="AJ251" i="20"/>
  <c r="AE251" i="20"/>
  <c r="BI251" i="20" s="1"/>
  <c r="AA251" i="20"/>
  <c r="U251" i="20"/>
  <c r="S251" i="20"/>
  <c r="Q251" i="20"/>
  <c r="N251" i="20"/>
  <c r="M251" i="20"/>
  <c r="BA251" i="20" s="1"/>
  <c r="K251" i="20"/>
  <c r="J251" i="20"/>
  <c r="CO251" i="20" s="1"/>
  <c r="DB250" i="20"/>
  <c r="AQ250" i="20"/>
  <c r="AO250" i="20"/>
  <c r="AM250" i="20"/>
  <c r="AJ250" i="20"/>
  <c r="AE250" i="20"/>
  <c r="AA250" i="20"/>
  <c r="U250" i="20"/>
  <c r="S250" i="20"/>
  <c r="Q250" i="20"/>
  <c r="N250" i="20"/>
  <c r="M250" i="20"/>
  <c r="K250" i="20"/>
  <c r="J250" i="20"/>
  <c r="CO250" i="20" s="1"/>
  <c r="FI266" i="20"/>
  <c r="DB266" i="20"/>
  <c r="AJ266" i="20"/>
  <c r="AE266" i="20"/>
  <c r="BI266" i="20" s="1"/>
  <c r="AA266" i="20"/>
  <c r="U266" i="20"/>
  <c r="S266" i="20"/>
  <c r="Q266" i="20"/>
  <c r="N266" i="20"/>
  <c r="M266" i="20"/>
  <c r="K266" i="20"/>
  <c r="J266" i="20"/>
  <c r="CO266" i="20" s="1"/>
  <c r="DB259" i="20"/>
  <c r="AJ259" i="20"/>
  <c r="AE259" i="20"/>
  <c r="AF259" i="20" s="1"/>
  <c r="ET259" i="20" s="1"/>
  <c r="AA259" i="20"/>
  <c r="U259" i="20"/>
  <c r="S259" i="20"/>
  <c r="Q259" i="20"/>
  <c r="N259" i="20"/>
  <c r="EI259" i="20" s="1"/>
  <c r="M259" i="20"/>
  <c r="K259" i="20"/>
  <c r="J259" i="20"/>
  <c r="CO259" i="20" s="1"/>
  <c r="FI260" i="20"/>
  <c r="DB260" i="20"/>
  <c r="AO260" i="20"/>
  <c r="CK260" i="20" s="1"/>
  <c r="AM260" i="20"/>
  <c r="AJ260" i="20"/>
  <c r="AE260" i="20"/>
  <c r="BI260" i="20" s="1"/>
  <c r="AA260" i="20"/>
  <c r="U260" i="20"/>
  <c r="S260" i="20"/>
  <c r="Q260" i="20"/>
  <c r="N260" i="20"/>
  <c r="CN260" i="20" s="1"/>
  <c r="M260" i="20"/>
  <c r="K260" i="20"/>
  <c r="J260" i="20"/>
  <c r="CO260" i="20" s="1"/>
  <c r="DB253" i="20"/>
  <c r="AO253" i="20"/>
  <c r="CK253" i="20" s="1"/>
  <c r="AM253" i="20"/>
  <c r="AJ253" i="20"/>
  <c r="AE253" i="20"/>
  <c r="BI253" i="20" s="1"/>
  <c r="AA253" i="20"/>
  <c r="U253" i="20"/>
  <c r="S253" i="20"/>
  <c r="Q253" i="20"/>
  <c r="N253" i="20"/>
  <c r="CN253" i="20" s="1"/>
  <c r="M253" i="20"/>
  <c r="K253" i="20"/>
  <c r="J253" i="20"/>
  <c r="CO253" i="20" s="1"/>
  <c r="FI258" i="20"/>
  <c r="DB258" i="20"/>
  <c r="AJ258" i="20"/>
  <c r="AE258" i="20"/>
  <c r="BI258" i="20" s="1"/>
  <c r="AA258" i="20"/>
  <c r="U258" i="20"/>
  <c r="S258" i="20"/>
  <c r="Q258" i="20"/>
  <c r="N258" i="20"/>
  <c r="EI258" i="20" s="1"/>
  <c r="M258" i="20"/>
  <c r="K258" i="20"/>
  <c r="J258" i="20"/>
  <c r="CO258" i="20" s="1"/>
  <c r="DB261" i="20"/>
  <c r="AJ261" i="20"/>
  <c r="AE261" i="20"/>
  <c r="BI261" i="20" s="1"/>
  <c r="AA261" i="20"/>
  <c r="U261" i="20"/>
  <c r="S261" i="20"/>
  <c r="Q261" i="20"/>
  <c r="N261" i="20"/>
  <c r="M261" i="20"/>
  <c r="BA261" i="20" s="1"/>
  <c r="K261" i="20"/>
  <c r="J261" i="20"/>
  <c r="CO261" i="20" s="1"/>
  <c r="FI264" i="20"/>
  <c r="DB264" i="20"/>
  <c r="AO264" i="20"/>
  <c r="AM264" i="20"/>
  <c r="AJ264" i="20"/>
  <c r="AE264" i="20"/>
  <c r="AA264" i="20"/>
  <c r="U264" i="20"/>
  <c r="S264" i="20"/>
  <c r="R264" i="20" s="1"/>
  <c r="Q264" i="20"/>
  <c r="N264" i="20"/>
  <c r="M264" i="20"/>
  <c r="BA264" i="20" s="1"/>
  <c r="K264" i="20"/>
  <c r="J264" i="20"/>
  <c r="CO264" i="20" s="1"/>
  <c r="DB257" i="20"/>
  <c r="AO257" i="20"/>
  <c r="AM257" i="20"/>
  <c r="AJ257" i="20"/>
  <c r="AE257" i="20"/>
  <c r="AF257" i="20" s="1"/>
  <c r="ET257" i="20" s="1"/>
  <c r="AA257" i="20"/>
  <c r="U257" i="20"/>
  <c r="S257" i="20"/>
  <c r="Q257" i="20"/>
  <c r="N257" i="20"/>
  <c r="M257" i="20"/>
  <c r="BA257" i="20" s="1"/>
  <c r="K257" i="20"/>
  <c r="J257" i="20"/>
  <c r="CO257" i="20" s="1"/>
  <c r="FI255" i="20"/>
  <c r="DB255" i="20"/>
  <c r="AJ255" i="20"/>
  <c r="AE255" i="20"/>
  <c r="BI255" i="20" s="1"/>
  <c r="AA255" i="20"/>
  <c r="U255" i="20"/>
  <c r="S255" i="20"/>
  <c r="Q255" i="20"/>
  <c r="N255" i="20"/>
  <c r="M255" i="20"/>
  <c r="K255" i="20"/>
  <c r="J255" i="20"/>
  <c r="CO255" i="20" s="1"/>
  <c r="DB256" i="20"/>
  <c r="AJ256" i="20"/>
  <c r="AE256" i="20"/>
  <c r="AA256" i="20"/>
  <c r="U256" i="20"/>
  <c r="S256" i="20"/>
  <c r="Q256" i="20"/>
  <c r="N256" i="20"/>
  <c r="CN256" i="20" s="1"/>
  <c r="M256" i="20"/>
  <c r="K256" i="20"/>
  <c r="J256" i="20"/>
  <c r="CO256" i="20" s="1"/>
  <c r="FI306" i="20"/>
  <c r="DB306" i="20"/>
  <c r="AO306" i="20"/>
  <c r="AM306" i="20"/>
  <c r="AJ306" i="20"/>
  <c r="AE306" i="20"/>
  <c r="BI306" i="20" s="1"/>
  <c r="AA306" i="20"/>
  <c r="U306" i="20"/>
  <c r="S306" i="20"/>
  <c r="Q306" i="20"/>
  <c r="N306" i="20"/>
  <c r="M306" i="20"/>
  <c r="BA306" i="20" s="1"/>
  <c r="K306" i="20"/>
  <c r="J306" i="20"/>
  <c r="CO306" i="20" s="1"/>
  <c r="FI390" i="20"/>
  <c r="DB390" i="20"/>
  <c r="AO390" i="20"/>
  <c r="CK390" i="20" s="1"/>
  <c r="AM390" i="20"/>
  <c r="AJ390" i="20"/>
  <c r="AE390" i="20"/>
  <c r="AA390" i="20"/>
  <c r="U390" i="20"/>
  <c r="S390" i="20"/>
  <c r="Q390" i="20"/>
  <c r="N390" i="20"/>
  <c r="M390" i="20"/>
  <c r="K390" i="20"/>
  <c r="J390" i="20"/>
  <c r="CO390" i="20" s="1"/>
  <c r="DB313" i="20"/>
  <c r="AO313" i="20"/>
  <c r="CK313" i="20" s="1"/>
  <c r="AM313" i="20"/>
  <c r="AJ313" i="20"/>
  <c r="AE313" i="20"/>
  <c r="BI313" i="20" s="1"/>
  <c r="AA313" i="20"/>
  <c r="U313" i="20"/>
  <c r="S313" i="20"/>
  <c r="Q313" i="20"/>
  <c r="N313" i="20"/>
  <c r="M313" i="20"/>
  <c r="K313" i="20"/>
  <c r="J313" i="20"/>
  <c r="CO313" i="20" s="1"/>
  <c r="DB381" i="20"/>
  <c r="AO381" i="20"/>
  <c r="CK381" i="20" s="1"/>
  <c r="AM381" i="20"/>
  <c r="AJ381" i="20"/>
  <c r="AE381" i="20"/>
  <c r="BI381" i="20" s="1"/>
  <c r="AA381" i="20"/>
  <c r="U381" i="20"/>
  <c r="S381" i="20"/>
  <c r="Q381" i="20"/>
  <c r="N381" i="20"/>
  <c r="CN381" i="20" s="1"/>
  <c r="M381" i="20"/>
  <c r="K381" i="20"/>
  <c r="J381" i="20"/>
  <c r="CO381" i="20" s="1"/>
  <c r="FI292" i="20"/>
  <c r="DB292" i="20"/>
  <c r="AO292" i="20"/>
  <c r="CK292" i="20" s="1"/>
  <c r="AM292" i="20"/>
  <c r="AJ292" i="20"/>
  <c r="AE292" i="20"/>
  <c r="AF292" i="20" s="1"/>
  <c r="ET292" i="20" s="1"/>
  <c r="AA292" i="20"/>
  <c r="U292" i="20"/>
  <c r="S292" i="20"/>
  <c r="Q292" i="20"/>
  <c r="N292" i="20"/>
  <c r="M292" i="20"/>
  <c r="BA292" i="20" s="1"/>
  <c r="K292" i="20"/>
  <c r="J292" i="20"/>
  <c r="CO292" i="20" s="1"/>
  <c r="FI362" i="20"/>
  <c r="DB362" i="20"/>
  <c r="AO362" i="20"/>
  <c r="CK362" i="20" s="1"/>
  <c r="AM362" i="20"/>
  <c r="AJ362" i="20"/>
  <c r="AE362" i="20"/>
  <c r="AA362" i="20"/>
  <c r="U362" i="20"/>
  <c r="S362" i="20"/>
  <c r="Q362" i="20"/>
  <c r="N362" i="20"/>
  <c r="M362" i="20"/>
  <c r="BA362" i="20" s="1"/>
  <c r="K362" i="20"/>
  <c r="J362" i="20"/>
  <c r="CO362" i="20" s="1"/>
  <c r="DB276" i="20"/>
  <c r="AO276" i="20"/>
  <c r="CK276" i="20" s="1"/>
  <c r="AM276" i="20"/>
  <c r="AJ276" i="20"/>
  <c r="AE276" i="20"/>
  <c r="AA276" i="20"/>
  <c r="U276" i="20"/>
  <c r="S276" i="20"/>
  <c r="Q276" i="20"/>
  <c r="N276" i="20"/>
  <c r="M276" i="20"/>
  <c r="BA276" i="20" s="1"/>
  <c r="K276" i="20"/>
  <c r="J276" i="20"/>
  <c r="CO276" i="20" s="1"/>
  <c r="DB375" i="20"/>
  <c r="AO375" i="20"/>
  <c r="CK375" i="20" s="1"/>
  <c r="AM375" i="20"/>
  <c r="AJ375" i="20"/>
  <c r="AE375" i="20"/>
  <c r="BI375" i="20" s="1"/>
  <c r="AA375" i="20"/>
  <c r="U375" i="20"/>
  <c r="S375" i="20"/>
  <c r="Q375" i="20"/>
  <c r="N375" i="20"/>
  <c r="M375" i="20"/>
  <c r="K375" i="20"/>
  <c r="J375" i="20"/>
  <c r="CO375" i="20" s="1"/>
  <c r="FI263" i="20"/>
  <c r="DB263" i="20"/>
  <c r="AJ263" i="20"/>
  <c r="AE263" i="20"/>
  <c r="BI263" i="20" s="1"/>
  <c r="AA263" i="20"/>
  <c r="U263" i="20"/>
  <c r="S263" i="20"/>
  <c r="Q263" i="20"/>
  <c r="N263" i="20"/>
  <c r="EI263" i="20" s="1"/>
  <c r="M263" i="20"/>
  <c r="K263" i="20"/>
  <c r="J263" i="20"/>
  <c r="CO263" i="20" s="1"/>
  <c r="FI302" i="20"/>
  <c r="DB302" i="20"/>
  <c r="AJ302" i="20"/>
  <c r="AE302" i="20"/>
  <c r="AF302" i="20" s="1"/>
  <c r="ET302" i="20" s="1"/>
  <c r="AA302" i="20"/>
  <c r="U302" i="20"/>
  <c r="S302" i="20"/>
  <c r="Q302" i="20"/>
  <c r="N302" i="20"/>
  <c r="M302" i="20"/>
  <c r="BA302" i="20" s="1"/>
  <c r="K302" i="20"/>
  <c r="J302" i="20"/>
  <c r="CO302" i="20" s="1"/>
  <c r="DB262" i="20"/>
  <c r="AJ262" i="20"/>
  <c r="AE262" i="20"/>
  <c r="AF262" i="20" s="1"/>
  <c r="AA262" i="20"/>
  <c r="U262" i="20"/>
  <c r="S262" i="20"/>
  <c r="Q262" i="20"/>
  <c r="N262" i="20"/>
  <c r="M262" i="20"/>
  <c r="BA262" i="20" s="1"/>
  <c r="K262" i="20"/>
  <c r="J262" i="20"/>
  <c r="CO262" i="20" s="1"/>
  <c r="DB307" i="20"/>
  <c r="AJ307" i="20"/>
  <c r="AE307" i="20"/>
  <c r="BI307" i="20" s="1"/>
  <c r="AA307" i="20"/>
  <c r="U307" i="20"/>
  <c r="S307" i="20"/>
  <c r="Q307" i="20"/>
  <c r="N307" i="20"/>
  <c r="GH307" i="20" s="1"/>
  <c r="M307" i="20"/>
  <c r="K307" i="20"/>
  <c r="J307" i="20"/>
  <c r="CO307" i="20" s="1"/>
  <c r="DB346" i="20"/>
  <c r="AO346" i="20"/>
  <c r="CK346" i="20" s="1"/>
  <c r="AM346" i="20"/>
  <c r="AJ346" i="20"/>
  <c r="AE346" i="20"/>
  <c r="BI346" i="20" s="1"/>
  <c r="AA346" i="20"/>
  <c r="U346" i="20"/>
  <c r="S346" i="20"/>
  <c r="Q346" i="20"/>
  <c r="N346" i="20"/>
  <c r="CN346" i="20" s="1"/>
  <c r="M346" i="20"/>
  <c r="BA346" i="20" s="1"/>
  <c r="K346" i="20"/>
  <c r="J346" i="20"/>
  <c r="CO346" i="20" s="1"/>
  <c r="DB330" i="20"/>
  <c r="AJ330" i="20"/>
  <c r="AE330" i="20"/>
  <c r="BI330" i="20" s="1"/>
  <c r="AA330" i="20"/>
  <c r="U330" i="20"/>
  <c r="S330" i="20"/>
  <c r="Q330" i="20"/>
  <c r="N330" i="20"/>
  <c r="M330" i="20"/>
  <c r="BA330" i="20" s="1"/>
  <c r="K330" i="20"/>
  <c r="J330" i="20"/>
  <c r="CO330" i="20" s="1"/>
  <c r="DB338" i="20"/>
  <c r="AO338" i="20"/>
  <c r="CK338" i="20" s="1"/>
  <c r="AM338" i="20"/>
  <c r="AJ338" i="20"/>
  <c r="AE338" i="20"/>
  <c r="AF338" i="20" s="1"/>
  <c r="ET338" i="20" s="1"/>
  <c r="AA338" i="20"/>
  <c r="U338" i="20"/>
  <c r="S338" i="20"/>
  <c r="Q338" i="20"/>
  <c r="N338" i="20"/>
  <c r="M338" i="20"/>
  <c r="BA338" i="20" s="1"/>
  <c r="K338" i="20"/>
  <c r="J338" i="20"/>
  <c r="CO338" i="20" s="1"/>
  <c r="DB329" i="20"/>
  <c r="AJ329" i="20"/>
  <c r="AE329" i="20"/>
  <c r="BI329" i="20" s="1"/>
  <c r="AA329" i="20"/>
  <c r="U329" i="20"/>
  <c r="S329" i="20"/>
  <c r="Q329" i="20"/>
  <c r="N329" i="20"/>
  <c r="M329" i="20"/>
  <c r="K329" i="20"/>
  <c r="J329" i="20"/>
  <c r="CO329" i="20" s="1"/>
  <c r="DB326" i="20"/>
  <c r="AO326" i="20"/>
  <c r="CK326" i="20" s="1"/>
  <c r="AM326" i="20"/>
  <c r="AJ326" i="20"/>
  <c r="AE326" i="20"/>
  <c r="BI326" i="20" s="1"/>
  <c r="AA326" i="20"/>
  <c r="U326" i="20"/>
  <c r="S326" i="20"/>
  <c r="Q326" i="20"/>
  <c r="N326" i="20"/>
  <c r="CN326" i="20" s="1"/>
  <c r="M326" i="20"/>
  <c r="BA326" i="20" s="1"/>
  <c r="K326" i="20"/>
  <c r="J326" i="20"/>
  <c r="CO326" i="20" s="1"/>
  <c r="DB331" i="20"/>
  <c r="AJ331" i="20"/>
  <c r="AE331" i="20"/>
  <c r="AF331" i="20" s="1"/>
  <c r="ET331" i="20" s="1"/>
  <c r="AA331" i="20"/>
  <c r="U331" i="20"/>
  <c r="S331" i="20"/>
  <c r="Q331" i="20"/>
  <c r="N331" i="20"/>
  <c r="M331" i="20"/>
  <c r="BA331" i="20" s="1"/>
  <c r="K331" i="20"/>
  <c r="J331" i="20"/>
  <c r="CO331" i="20" s="1"/>
  <c r="DB325" i="20"/>
  <c r="AO325" i="20"/>
  <c r="CK325" i="20" s="1"/>
  <c r="AM325" i="20"/>
  <c r="AJ325" i="20"/>
  <c r="AE325" i="20"/>
  <c r="AF325" i="20" s="1"/>
  <c r="ET325" i="20" s="1"/>
  <c r="AA325" i="20"/>
  <c r="U325" i="20"/>
  <c r="S325" i="20"/>
  <c r="Q325" i="20"/>
  <c r="N325" i="20"/>
  <c r="M325" i="20"/>
  <c r="BA325" i="20" s="1"/>
  <c r="K325" i="20"/>
  <c r="J325" i="20"/>
  <c r="DB341" i="20"/>
  <c r="AJ341" i="20"/>
  <c r="AE341" i="20"/>
  <c r="AA341" i="20"/>
  <c r="U341" i="20"/>
  <c r="S341" i="20"/>
  <c r="Q341" i="20"/>
  <c r="N341" i="20"/>
  <c r="GH341" i="20" s="1"/>
  <c r="M341" i="20"/>
  <c r="K341" i="20"/>
  <c r="J341" i="20"/>
  <c r="CO341" i="20" s="1"/>
  <c r="DB327" i="20"/>
  <c r="AP327" i="20"/>
  <c r="AO327" i="20"/>
  <c r="CK327" i="20" s="1"/>
  <c r="AM327" i="20"/>
  <c r="AJ327" i="20"/>
  <c r="AE327" i="20"/>
  <c r="BI327" i="20" s="1"/>
  <c r="AA327" i="20"/>
  <c r="U327" i="20"/>
  <c r="S327" i="20"/>
  <c r="Q327" i="20"/>
  <c r="N327" i="20"/>
  <c r="M327" i="20"/>
  <c r="BA327" i="20" s="1"/>
  <c r="K327" i="20"/>
  <c r="J327" i="20"/>
  <c r="CO327" i="20" s="1"/>
  <c r="DB337" i="20"/>
  <c r="AO337" i="20"/>
  <c r="AM337" i="20"/>
  <c r="AJ337" i="20"/>
  <c r="AE337" i="20"/>
  <c r="AA337" i="20"/>
  <c r="U337" i="20"/>
  <c r="S337" i="20"/>
  <c r="Q337" i="20"/>
  <c r="N337" i="20"/>
  <c r="M337" i="20"/>
  <c r="BA337" i="20" s="1"/>
  <c r="K337" i="20"/>
  <c r="J337" i="20"/>
  <c r="CO337" i="20" s="1"/>
  <c r="DB321" i="20"/>
  <c r="AO321" i="20"/>
  <c r="AM321" i="20"/>
  <c r="AJ321" i="20"/>
  <c r="AE321" i="20"/>
  <c r="AA321" i="20"/>
  <c r="U321" i="20"/>
  <c r="T321" i="20" s="1"/>
  <c r="S321" i="20"/>
  <c r="Q321" i="20"/>
  <c r="N321" i="20"/>
  <c r="M321" i="20"/>
  <c r="BA321" i="20" s="1"/>
  <c r="K321" i="20"/>
  <c r="J321" i="20"/>
  <c r="CO321" i="20" s="1"/>
  <c r="DB317" i="20"/>
  <c r="AJ317" i="20"/>
  <c r="AE317" i="20"/>
  <c r="BI317" i="20" s="1"/>
  <c r="AA317" i="20"/>
  <c r="U317" i="20"/>
  <c r="S317" i="20"/>
  <c r="Q317" i="20"/>
  <c r="N317" i="20"/>
  <c r="CN317" i="20" s="1"/>
  <c r="M317" i="20"/>
  <c r="BA317" i="20" s="1"/>
  <c r="K317" i="20"/>
  <c r="J317" i="20"/>
  <c r="CO317" i="20" s="1"/>
  <c r="DB319" i="20"/>
  <c r="AP319" i="20"/>
  <c r="AO319" i="20"/>
  <c r="CK319" i="20" s="1"/>
  <c r="AM319" i="20"/>
  <c r="AJ319" i="20"/>
  <c r="AE319" i="20"/>
  <c r="AA319" i="20"/>
  <c r="U319" i="20"/>
  <c r="S319" i="20"/>
  <c r="Q319" i="20"/>
  <c r="N319" i="20"/>
  <c r="CN319" i="20" s="1"/>
  <c r="M319" i="20"/>
  <c r="K319" i="20"/>
  <c r="J319" i="20"/>
  <c r="CO319" i="20" s="1"/>
  <c r="DB333" i="20"/>
  <c r="AO333" i="20"/>
  <c r="CK333" i="20" s="1"/>
  <c r="AM333" i="20"/>
  <c r="AJ333" i="20"/>
  <c r="AE333" i="20"/>
  <c r="AA333" i="20"/>
  <c r="U333" i="20"/>
  <c r="S333" i="20"/>
  <c r="Q333" i="20"/>
  <c r="N333" i="20"/>
  <c r="CN333" i="20" s="1"/>
  <c r="M333" i="20"/>
  <c r="K333" i="20"/>
  <c r="J333" i="20"/>
  <c r="CO333" i="20" s="1"/>
  <c r="DB314" i="20"/>
  <c r="AJ314" i="20"/>
  <c r="AE314" i="20"/>
  <c r="BI314" i="20" s="1"/>
  <c r="AA314" i="20"/>
  <c r="U314" i="20"/>
  <c r="S314" i="20"/>
  <c r="Q314" i="20"/>
  <c r="N314" i="20"/>
  <c r="EI314" i="20" s="1"/>
  <c r="M314" i="20"/>
  <c r="BA314" i="20" s="1"/>
  <c r="K314" i="20"/>
  <c r="J314" i="20"/>
  <c r="CO314" i="20" s="1"/>
  <c r="DB320" i="20"/>
  <c r="AP320" i="20"/>
  <c r="AO320" i="20"/>
  <c r="CK320" i="20" s="1"/>
  <c r="AM320" i="20"/>
  <c r="AJ320" i="20"/>
  <c r="AE320" i="20"/>
  <c r="AA320" i="20"/>
  <c r="U320" i="20"/>
  <c r="S320" i="20"/>
  <c r="Q320" i="20"/>
  <c r="N320" i="20"/>
  <c r="M320" i="20"/>
  <c r="K320" i="20"/>
  <c r="J320" i="20"/>
  <c r="CO320" i="20" s="1"/>
  <c r="DB324" i="20"/>
  <c r="AO324" i="20"/>
  <c r="CK324" i="20" s="1"/>
  <c r="AM324" i="20"/>
  <c r="AJ324" i="20"/>
  <c r="AE324" i="20"/>
  <c r="AF324" i="20" s="1"/>
  <c r="ET324" i="20" s="1"/>
  <c r="AA324" i="20"/>
  <c r="U324" i="20"/>
  <c r="T324" i="20" s="1"/>
  <c r="S324" i="20"/>
  <c r="Q324" i="20"/>
  <c r="N324" i="20"/>
  <c r="CN324" i="20" s="1"/>
  <c r="M324" i="20"/>
  <c r="K324" i="20"/>
  <c r="J324" i="20"/>
  <c r="CO324" i="20" s="1"/>
  <c r="DB318" i="20"/>
  <c r="AO318" i="20"/>
  <c r="CK318" i="20" s="1"/>
  <c r="AM318" i="20"/>
  <c r="AJ318" i="20"/>
  <c r="AE318" i="20"/>
  <c r="BI318" i="20" s="1"/>
  <c r="AA318" i="20"/>
  <c r="U318" i="20"/>
  <c r="S318" i="20"/>
  <c r="Q318" i="20"/>
  <c r="N318" i="20"/>
  <c r="M318" i="20"/>
  <c r="K318" i="20"/>
  <c r="J318" i="20"/>
  <c r="CO318" i="20" s="1"/>
  <c r="DB315" i="20"/>
  <c r="AJ315" i="20"/>
  <c r="AE315" i="20"/>
  <c r="AA315" i="20"/>
  <c r="U315" i="20"/>
  <c r="T315" i="20" s="1"/>
  <c r="S315" i="20"/>
  <c r="Q315" i="20"/>
  <c r="N315" i="20"/>
  <c r="M315" i="20"/>
  <c r="BA315" i="20" s="1"/>
  <c r="K315" i="20"/>
  <c r="J315" i="20"/>
  <c r="CO315" i="20" s="1"/>
  <c r="DB332" i="20"/>
  <c r="AO332" i="20"/>
  <c r="CK332" i="20" s="1"/>
  <c r="AM332" i="20"/>
  <c r="AJ332" i="20"/>
  <c r="AE332" i="20"/>
  <c r="BI332" i="20" s="1"/>
  <c r="AA332" i="20"/>
  <c r="U332" i="20"/>
  <c r="S332" i="20"/>
  <c r="Q332" i="20"/>
  <c r="N332" i="20"/>
  <c r="M332" i="20"/>
  <c r="BA332" i="20" s="1"/>
  <c r="K332" i="20"/>
  <c r="J332" i="20"/>
  <c r="CO332" i="20" s="1"/>
  <c r="DB316" i="20"/>
  <c r="AJ316" i="20"/>
  <c r="AE316" i="20"/>
  <c r="AA316" i="20"/>
  <c r="U316" i="20"/>
  <c r="T316" i="20" s="1"/>
  <c r="S316" i="20"/>
  <c r="Q316" i="20"/>
  <c r="N316" i="20"/>
  <c r="M316" i="20"/>
  <c r="K316" i="20"/>
  <c r="J316" i="20"/>
  <c r="CO316" i="20" s="1"/>
  <c r="DB368" i="20"/>
  <c r="AO368" i="20"/>
  <c r="CK368" i="20" s="1"/>
  <c r="AM368" i="20"/>
  <c r="AJ368" i="20"/>
  <c r="AE368" i="20"/>
  <c r="BI368" i="20" s="1"/>
  <c r="AA368" i="20"/>
  <c r="U368" i="20"/>
  <c r="S368" i="20"/>
  <c r="Q368" i="20"/>
  <c r="N368" i="20"/>
  <c r="CN368" i="20" s="1"/>
  <c r="M368" i="20"/>
  <c r="BA368" i="20" s="1"/>
  <c r="K368" i="20"/>
  <c r="J368" i="20"/>
  <c r="CO368" i="20" s="1"/>
  <c r="DB369" i="20"/>
  <c r="AO369" i="20"/>
  <c r="CK369" i="20" s="1"/>
  <c r="AM369" i="20"/>
  <c r="AJ369" i="20"/>
  <c r="AE369" i="20"/>
  <c r="BI369" i="20" s="1"/>
  <c r="AA369" i="20"/>
  <c r="U369" i="20"/>
  <c r="S369" i="20"/>
  <c r="Q369" i="20"/>
  <c r="N369" i="20"/>
  <c r="CN369" i="20" s="1"/>
  <c r="M369" i="20"/>
  <c r="BA369" i="20" s="1"/>
  <c r="K369" i="20"/>
  <c r="J369" i="20"/>
  <c r="CO369" i="20" s="1"/>
  <c r="DB376" i="20"/>
  <c r="AO376" i="20"/>
  <c r="CK376" i="20" s="1"/>
  <c r="AM376" i="20"/>
  <c r="AJ376" i="20"/>
  <c r="AE376" i="20"/>
  <c r="BI376" i="20" s="1"/>
  <c r="AA376" i="20"/>
  <c r="U376" i="20"/>
  <c r="S376" i="20"/>
  <c r="Q376" i="20"/>
  <c r="N376" i="20"/>
  <c r="M376" i="20"/>
  <c r="BA376" i="20" s="1"/>
  <c r="K376" i="20"/>
  <c r="J376" i="20"/>
  <c r="CO376" i="20" s="1"/>
  <c r="DB366" i="20"/>
  <c r="AO366" i="20"/>
  <c r="CK366" i="20" s="1"/>
  <c r="AM366" i="20"/>
  <c r="AJ366" i="20"/>
  <c r="AE366" i="20"/>
  <c r="BI366" i="20" s="1"/>
  <c r="AA366" i="20"/>
  <c r="U366" i="20"/>
  <c r="S366" i="20"/>
  <c r="Q366" i="20"/>
  <c r="N366" i="20"/>
  <c r="CN366" i="20" s="1"/>
  <c r="M366" i="20"/>
  <c r="BA366" i="20" s="1"/>
  <c r="K366" i="20"/>
  <c r="J366" i="20"/>
  <c r="CO366" i="20" s="1"/>
  <c r="DB268" i="20"/>
  <c r="AE268" i="20"/>
  <c r="BI268" i="20" s="1"/>
  <c r="AA268" i="20"/>
  <c r="U268" i="20"/>
  <c r="S268" i="20"/>
  <c r="Q268" i="20"/>
  <c r="N268" i="20"/>
  <c r="GH268" i="20" s="1"/>
  <c r="M268" i="20"/>
  <c r="K268" i="20"/>
  <c r="J268" i="20"/>
  <c r="CO268" i="20" s="1"/>
  <c r="DB269" i="20"/>
  <c r="AJ269" i="20"/>
  <c r="AE269" i="20"/>
  <c r="AF269" i="20" s="1"/>
  <c r="ET269" i="20" s="1"/>
  <c r="AA269" i="20"/>
  <c r="U269" i="20"/>
  <c r="S269" i="20"/>
  <c r="Q269" i="20"/>
  <c r="N269" i="20"/>
  <c r="M269" i="20"/>
  <c r="BA269" i="20" s="1"/>
  <c r="K269" i="20"/>
  <c r="J269" i="20"/>
  <c r="CO269" i="20" s="1"/>
  <c r="DB354" i="20"/>
  <c r="AO354" i="20"/>
  <c r="CK354" i="20" s="1"/>
  <c r="AM354" i="20"/>
  <c r="AJ354" i="20"/>
  <c r="AE354" i="20"/>
  <c r="BI354" i="20" s="1"/>
  <c r="AA354" i="20"/>
  <c r="U354" i="20"/>
  <c r="S354" i="20"/>
  <c r="Q354" i="20"/>
  <c r="N354" i="20"/>
  <c r="CN354" i="20" s="1"/>
  <c r="M354" i="20"/>
  <c r="BA354" i="20" s="1"/>
  <c r="K354" i="20"/>
  <c r="J354" i="20"/>
  <c r="CO354" i="20" s="1"/>
  <c r="DB372" i="20"/>
  <c r="AO372" i="20"/>
  <c r="CK372" i="20" s="1"/>
  <c r="AM372" i="20"/>
  <c r="AJ372" i="20"/>
  <c r="AE372" i="20"/>
  <c r="BI372" i="20" s="1"/>
  <c r="AA372" i="20"/>
  <c r="U372" i="20"/>
  <c r="S372" i="20"/>
  <c r="Q372" i="20"/>
  <c r="N372" i="20"/>
  <c r="CN372" i="20" s="1"/>
  <c r="M372" i="20"/>
  <c r="BA372" i="20" s="1"/>
  <c r="K372" i="20"/>
  <c r="J372" i="20"/>
  <c r="CO372" i="20" s="1"/>
  <c r="DB350" i="20"/>
  <c r="AO350" i="20"/>
  <c r="CK350" i="20" s="1"/>
  <c r="AM350" i="20"/>
  <c r="AJ350" i="20"/>
  <c r="AE350" i="20"/>
  <c r="BI350" i="20" s="1"/>
  <c r="AA350" i="20"/>
  <c r="U350" i="20"/>
  <c r="S350" i="20"/>
  <c r="Q350" i="20"/>
  <c r="N350" i="20"/>
  <c r="CN350" i="20" s="1"/>
  <c r="M350" i="20"/>
  <c r="BA350" i="20" s="1"/>
  <c r="K350" i="20"/>
  <c r="J350" i="20"/>
  <c r="CO350" i="20" s="1"/>
  <c r="DB349" i="20"/>
  <c r="AO349" i="20"/>
  <c r="CK349" i="20" s="1"/>
  <c r="AM349" i="20"/>
  <c r="AJ349" i="20"/>
  <c r="AE349" i="20"/>
  <c r="BI349" i="20" s="1"/>
  <c r="AA349" i="20"/>
  <c r="U349" i="20"/>
  <c r="S349" i="20"/>
  <c r="Q349" i="20"/>
  <c r="N349" i="20"/>
  <c r="M349" i="20"/>
  <c r="BA349" i="20" s="1"/>
  <c r="K349" i="20"/>
  <c r="J349" i="20"/>
  <c r="CO349" i="20" s="1"/>
  <c r="DB273" i="20"/>
  <c r="AJ273" i="20"/>
  <c r="AE273" i="20"/>
  <c r="BI273" i="20" s="1"/>
  <c r="AA273" i="20"/>
  <c r="U273" i="20"/>
  <c r="S273" i="20"/>
  <c r="Q273" i="20"/>
  <c r="N273" i="20"/>
  <c r="M273" i="20"/>
  <c r="BA273" i="20" s="1"/>
  <c r="K273" i="20"/>
  <c r="J273" i="20"/>
  <c r="CO273" i="20" s="1"/>
  <c r="DB271" i="20"/>
  <c r="AJ271" i="20"/>
  <c r="AE271" i="20"/>
  <c r="BI271" i="20" s="1"/>
  <c r="AA271" i="20"/>
  <c r="U271" i="20"/>
  <c r="S271" i="20"/>
  <c r="Q271" i="20"/>
  <c r="N271" i="20"/>
  <c r="GH271" i="20" s="1"/>
  <c r="M271" i="20"/>
  <c r="K271" i="20"/>
  <c r="J271" i="20"/>
  <c r="CO271" i="20" s="1"/>
  <c r="DB278" i="20"/>
  <c r="AO278" i="20"/>
  <c r="CK278" i="20" s="1"/>
  <c r="AM278" i="20"/>
  <c r="AJ278" i="20"/>
  <c r="AE278" i="20"/>
  <c r="BI278" i="20" s="1"/>
  <c r="AA278" i="20"/>
  <c r="U278" i="20"/>
  <c r="S278" i="20"/>
  <c r="Q278" i="20"/>
  <c r="N278" i="20"/>
  <c r="CN278" i="20" s="1"/>
  <c r="M278" i="20"/>
  <c r="K278" i="20"/>
  <c r="J278" i="20"/>
  <c r="CO278" i="20" s="1"/>
  <c r="DB274" i="20"/>
  <c r="AO274" i="20"/>
  <c r="CK274" i="20" s="1"/>
  <c r="AM274" i="20"/>
  <c r="AJ274" i="20"/>
  <c r="AE274" i="20"/>
  <c r="BI274" i="20" s="1"/>
  <c r="AA274" i="20"/>
  <c r="U274" i="20"/>
  <c r="S274" i="20"/>
  <c r="R274" i="20" s="1"/>
  <c r="Q274" i="20"/>
  <c r="N274" i="20"/>
  <c r="CN274" i="20" s="1"/>
  <c r="M274" i="20"/>
  <c r="K274" i="20"/>
  <c r="J274" i="20"/>
  <c r="CO274" i="20" s="1"/>
  <c r="DB286" i="20"/>
  <c r="AO286" i="20"/>
  <c r="CK286" i="20" s="1"/>
  <c r="AM286" i="20"/>
  <c r="AJ286" i="20"/>
  <c r="AE286" i="20"/>
  <c r="BI286" i="20" s="1"/>
  <c r="AA286" i="20"/>
  <c r="U286" i="20"/>
  <c r="S286" i="20"/>
  <c r="Q286" i="20"/>
  <c r="N286" i="20"/>
  <c r="M286" i="20"/>
  <c r="K286" i="20"/>
  <c r="J286" i="20"/>
  <c r="CO286" i="20" s="1"/>
  <c r="DB275" i="20"/>
  <c r="AO275" i="20"/>
  <c r="CK275" i="20" s="1"/>
  <c r="AM275" i="20"/>
  <c r="AJ275" i="20"/>
  <c r="AE275" i="20"/>
  <c r="BI275" i="20" s="1"/>
  <c r="AA275" i="20"/>
  <c r="U275" i="20"/>
  <c r="S275" i="20"/>
  <c r="R275" i="20" s="1"/>
  <c r="Q275" i="20"/>
  <c r="N275" i="20"/>
  <c r="CN275" i="20" s="1"/>
  <c r="M275" i="20"/>
  <c r="K275" i="20"/>
  <c r="J275" i="20"/>
  <c r="CO275" i="20" s="1"/>
  <c r="DB230" i="20"/>
  <c r="AJ230" i="20"/>
  <c r="AE230" i="20"/>
  <c r="BI230" i="20" s="1"/>
  <c r="AA230" i="20"/>
  <c r="U230" i="20"/>
  <c r="S230" i="20"/>
  <c r="Q230" i="20"/>
  <c r="N230" i="20"/>
  <c r="GH230" i="20" s="1"/>
  <c r="M230" i="20"/>
  <c r="K230" i="20"/>
  <c r="J230" i="20"/>
  <c r="CO230" i="20" s="1"/>
  <c r="DB228" i="20"/>
  <c r="AJ228" i="20"/>
  <c r="AE228" i="20"/>
  <c r="BI228" i="20" s="1"/>
  <c r="AA228" i="20"/>
  <c r="U228" i="20"/>
  <c r="S228" i="20"/>
  <c r="Q228" i="20"/>
  <c r="N228" i="20"/>
  <c r="CN228" i="20" s="1"/>
  <c r="M228" i="20"/>
  <c r="BA228" i="20" s="1"/>
  <c r="J228" i="20"/>
  <c r="CO228" i="20" s="1"/>
  <c r="GH180" i="20"/>
  <c r="DT180" i="20"/>
  <c r="DP180" i="20"/>
  <c r="CO180" i="20"/>
  <c r="CN180" i="20"/>
  <c r="CL180" i="20"/>
  <c r="CM180" i="20" s="1"/>
  <c r="BA180" i="20"/>
  <c r="AU180" i="20"/>
  <c r="AS180" i="20"/>
  <c r="AQ180" i="20"/>
  <c r="EI180" i="20" s="1"/>
  <c r="AJ180" i="20"/>
  <c r="AE180" i="20"/>
  <c r="BI180" i="20" s="1"/>
  <c r="AD180" i="20"/>
  <c r="W180" i="20"/>
  <c r="AT180" i="20" s="1"/>
  <c r="S180" i="20"/>
  <c r="AV180" i="20" s="1"/>
  <c r="O180" i="20"/>
  <c r="L180" i="20"/>
  <c r="BF180" i="20" s="1"/>
  <c r="GH179" i="20"/>
  <c r="DT179" i="20"/>
  <c r="DP179" i="20"/>
  <c r="CO179" i="20"/>
  <c r="CN179" i="20"/>
  <c r="CL179" i="20"/>
  <c r="CM179" i="20" s="1"/>
  <c r="BA179" i="20"/>
  <c r="AU179" i="20"/>
  <c r="AS179" i="20"/>
  <c r="AQ179" i="20"/>
  <c r="EI179" i="20" s="1"/>
  <c r="AJ179" i="20"/>
  <c r="AE179" i="20"/>
  <c r="AD179" i="20"/>
  <c r="W179" i="20"/>
  <c r="S179" i="20"/>
  <c r="O179" i="20"/>
  <c r="L179" i="20"/>
  <c r="P179" i="20" s="1"/>
  <c r="GH190" i="20"/>
  <c r="DT190" i="20"/>
  <c r="DP190" i="20"/>
  <c r="CO190" i="20"/>
  <c r="CN190" i="20"/>
  <c r="CL190" i="20"/>
  <c r="CM190" i="20" s="1"/>
  <c r="BA190" i="20"/>
  <c r="AU190" i="20"/>
  <c r="AS190" i="20"/>
  <c r="AQ190" i="20"/>
  <c r="EI190" i="20" s="1"/>
  <c r="AJ190" i="20"/>
  <c r="AE190" i="20"/>
  <c r="AD190" i="20"/>
  <c r="W190" i="20"/>
  <c r="S190" i="20"/>
  <c r="EM190" i="20" s="1"/>
  <c r="O190" i="20"/>
  <c r="L190" i="20"/>
  <c r="GH181" i="20"/>
  <c r="DT181" i="20"/>
  <c r="DP181" i="20"/>
  <c r="CO181" i="20"/>
  <c r="CN181" i="20"/>
  <c r="CL181" i="20"/>
  <c r="CM181" i="20" s="1"/>
  <c r="BA181" i="20"/>
  <c r="AU181" i="20"/>
  <c r="AS181" i="20"/>
  <c r="AQ181" i="20"/>
  <c r="EI181" i="20" s="1"/>
  <c r="AJ181" i="20"/>
  <c r="AE181" i="20"/>
  <c r="AF181" i="20" s="1"/>
  <c r="AG181" i="20" s="1"/>
  <c r="AD181" i="20"/>
  <c r="W181" i="20"/>
  <c r="S181" i="20"/>
  <c r="O181" i="20"/>
  <c r="L181" i="20"/>
  <c r="GH389" i="20"/>
  <c r="GF389" i="20"/>
  <c r="EI389" i="20"/>
  <c r="EG389" i="20"/>
  <c r="DP389" i="20"/>
  <c r="CO389" i="20"/>
  <c r="CN389" i="20"/>
  <c r="BA389" i="20"/>
  <c r="AJ389" i="20"/>
  <c r="AH389" i="20"/>
  <c r="AE389" i="20"/>
  <c r="AD389" i="20"/>
  <c r="AC389" i="20"/>
  <c r="AA389" i="20"/>
  <c r="Z389" i="20" s="1"/>
  <c r="W389" i="20"/>
  <c r="K389" i="20"/>
  <c r="GH249" i="20"/>
  <c r="GF249" i="20"/>
  <c r="EI249" i="20"/>
  <c r="EG249" i="20"/>
  <c r="DP249" i="20"/>
  <c r="CO249" i="20"/>
  <c r="CN249" i="20"/>
  <c r="BA249" i="20"/>
  <c r="AL249" i="20"/>
  <c r="AH249" i="20"/>
  <c r="AE249" i="20"/>
  <c r="BI249" i="20" s="1"/>
  <c r="AD249" i="20"/>
  <c r="AC249" i="20"/>
  <c r="AA249" i="20"/>
  <c r="W249" i="20"/>
  <c r="CH249" i="20" s="1"/>
  <c r="K249" i="20"/>
  <c r="AS249" i="20" s="1"/>
  <c r="GH301" i="20"/>
  <c r="GF301" i="20"/>
  <c r="EI301" i="20"/>
  <c r="EG301" i="20"/>
  <c r="DP301" i="20"/>
  <c r="CO301" i="20"/>
  <c r="CN301" i="20"/>
  <c r="BA301" i="20"/>
  <c r="AJ301" i="20"/>
  <c r="AH301" i="20"/>
  <c r="AE301" i="20"/>
  <c r="BI301" i="20" s="1"/>
  <c r="AD301" i="20"/>
  <c r="AC301" i="20"/>
  <c r="AA301" i="20"/>
  <c r="Z301" i="20" s="1"/>
  <c r="W301" i="20"/>
  <c r="K301" i="20"/>
  <c r="I301" i="20" s="1"/>
  <c r="GH312" i="20"/>
  <c r="GF312" i="20"/>
  <c r="EI312" i="20"/>
  <c r="EG312" i="20"/>
  <c r="DP312" i="20"/>
  <c r="CO312" i="20"/>
  <c r="CN312" i="20"/>
  <c r="BA312" i="20"/>
  <c r="AJ312" i="20"/>
  <c r="AH312" i="20"/>
  <c r="AE312" i="20"/>
  <c r="AF312" i="20" s="1"/>
  <c r="AD312" i="20"/>
  <c r="AC312" i="20"/>
  <c r="AA312" i="20"/>
  <c r="Z312" i="20" s="1"/>
  <c r="W312" i="20"/>
  <c r="V312" i="20" s="1"/>
  <c r="K312" i="20"/>
  <c r="I312" i="20" s="1"/>
  <c r="GH305" i="20"/>
  <c r="GF305" i="20"/>
  <c r="EI305" i="20"/>
  <c r="EG305" i="20"/>
  <c r="DP305" i="20"/>
  <c r="CO305" i="20"/>
  <c r="CN305" i="20"/>
  <c r="BA305" i="20"/>
  <c r="AJ305" i="20"/>
  <c r="AH305" i="20"/>
  <c r="AE305" i="20"/>
  <c r="AF305" i="20" s="1"/>
  <c r="ET305" i="20" s="1"/>
  <c r="ES305" i="20" s="1"/>
  <c r="AD305" i="20"/>
  <c r="AC305" i="20"/>
  <c r="AA305" i="20"/>
  <c r="Z305" i="20" s="1"/>
  <c r="W305" i="20"/>
  <c r="K305" i="20"/>
  <c r="GH388" i="20"/>
  <c r="GF388" i="20"/>
  <c r="EI388" i="20"/>
  <c r="EG388" i="20"/>
  <c r="DP388" i="20"/>
  <c r="CO388" i="20"/>
  <c r="CN388" i="20"/>
  <c r="BA388" i="20"/>
  <c r="AJ388" i="20"/>
  <c r="AH388" i="20"/>
  <c r="AE388" i="20"/>
  <c r="BI388" i="20" s="1"/>
  <c r="AD388" i="20"/>
  <c r="AC388" i="20"/>
  <c r="AA388" i="20"/>
  <c r="Z388" i="20" s="1"/>
  <c r="W388" i="20"/>
  <c r="V388" i="20" s="1"/>
  <c r="K388" i="20"/>
  <c r="GH197" i="20"/>
  <c r="GF197" i="20"/>
  <c r="EI197" i="20"/>
  <c r="EG197" i="20"/>
  <c r="DP197" i="20"/>
  <c r="CO197" i="20"/>
  <c r="CN197" i="20"/>
  <c r="BA197" i="20"/>
  <c r="AJ197" i="20"/>
  <c r="AH197" i="20"/>
  <c r="AE197" i="20"/>
  <c r="BI197" i="20" s="1"/>
  <c r="AD197" i="20"/>
  <c r="AC197" i="20"/>
  <c r="AA197" i="20"/>
  <c r="Z197" i="20" s="1"/>
  <c r="W197" i="20"/>
  <c r="V197" i="20" s="1"/>
  <c r="K197" i="20"/>
  <c r="I197" i="20" s="1"/>
  <c r="GH311" i="20"/>
  <c r="GF311" i="20"/>
  <c r="EG311" i="20"/>
  <c r="DP311" i="20"/>
  <c r="CO311" i="20"/>
  <c r="CN311" i="20"/>
  <c r="CL311" i="20"/>
  <c r="CM311" i="20" s="1"/>
  <c r="BM311" i="20"/>
  <c r="BA311" i="20"/>
  <c r="AQ311" i="20"/>
  <c r="EI311" i="20" s="1"/>
  <c r="AJ311" i="20"/>
  <c r="AH311" i="20"/>
  <c r="AE311" i="20"/>
  <c r="AF311" i="20" s="1"/>
  <c r="AD311" i="20"/>
  <c r="AC311" i="20"/>
  <c r="AA311" i="20"/>
  <c r="Z311" i="20" s="1"/>
  <c r="CI311" i="20"/>
  <c r="K311" i="20"/>
  <c r="GH304" i="20"/>
  <c r="GF304" i="20"/>
  <c r="EI304" i="20"/>
  <c r="EG304" i="20"/>
  <c r="DP304" i="20"/>
  <c r="CO304" i="20"/>
  <c r="CN304" i="20"/>
  <c r="BA304" i="20"/>
  <c r="AJ304" i="20"/>
  <c r="AH304" i="20"/>
  <c r="AE304" i="20"/>
  <c r="AF304" i="20" s="1"/>
  <c r="AC304" i="20"/>
  <c r="AA304" i="20"/>
  <c r="Z304" i="20" s="1"/>
  <c r="W304" i="20"/>
  <c r="K304" i="20"/>
  <c r="GH303" i="20"/>
  <c r="GF303" i="20"/>
  <c r="EI303" i="20"/>
  <c r="EG303" i="20"/>
  <c r="DP303" i="20"/>
  <c r="CO303" i="20"/>
  <c r="CN303" i="20"/>
  <c r="BA303" i="20"/>
  <c r="AJ303" i="20"/>
  <c r="AH303" i="20"/>
  <c r="AE303" i="20"/>
  <c r="AF303" i="20" s="1"/>
  <c r="ET303" i="20" s="1"/>
  <c r="ES303" i="20" s="1"/>
  <c r="AD303" i="20"/>
  <c r="AC303" i="20"/>
  <c r="AA303" i="20"/>
  <c r="Z303" i="20" s="1"/>
  <c r="W303" i="20"/>
  <c r="V303" i="20" s="1"/>
  <c r="K303" i="20"/>
  <c r="GH384" i="20"/>
  <c r="GF384" i="20"/>
  <c r="EI384" i="20"/>
  <c r="EG384" i="20"/>
  <c r="DP384" i="20"/>
  <c r="CO384" i="20"/>
  <c r="CN384" i="20"/>
  <c r="BA384" i="20"/>
  <c r="AJ384" i="20"/>
  <c r="AH384" i="20"/>
  <c r="AE384" i="20"/>
  <c r="AD384" i="20"/>
  <c r="AC384" i="20"/>
  <c r="AA384" i="20"/>
  <c r="Z384" i="20" s="1"/>
  <c r="W384" i="20"/>
  <c r="K384" i="20"/>
  <c r="I384" i="20" s="1"/>
  <c r="GH383" i="20"/>
  <c r="GF383" i="20"/>
  <c r="EI383" i="20"/>
  <c r="EG383" i="20"/>
  <c r="DP383" i="20"/>
  <c r="CO383" i="20"/>
  <c r="CN383" i="20"/>
  <c r="BA383" i="20"/>
  <c r="AJ383" i="20"/>
  <c r="AH383" i="20"/>
  <c r="AE383" i="20"/>
  <c r="AF383" i="20" s="1"/>
  <c r="AD383" i="20"/>
  <c r="AC383" i="20"/>
  <c r="AA383" i="20"/>
  <c r="Z383" i="20" s="1"/>
  <c r="W383" i="20"/>
  <c r="V383" i="20" s="1"/>
  <c r="K383" i="20"/>
  <c r="I383" i="20" s="1"/>
  <c r="GH387" i="20"/>
  <c r="GF387" i="20"/>
  <c r="EI387" i="20"/>
  <c r="EG387" i="20"/>
  <c r="DP387" i="20"/>
  <c r="CO387" i="20"/>
  <c r="CN387" i="20"/>
  <c r="BA387" i="20"/>
  <c r="AJ387" i="20"/>
  <c r="AH387" i="20"/>
  <c r="AE387" i="20"/>
  <c r="AF387" i="20" s="1"/>
  <c r="AD387" i="20"/>
  <c r="AC387" i="20"/>
  <c r="AA387" i="20"/>
  <c r="Z387" i="20" s="1"/>
  <c r="W387" i="20"/>
  <c r="K387" i="20"/>
  <c r="I387" i="20" s="1"/>
  <c r="GH237" i="20"/>
  <c r="GF237" i="20"/>
  <c r="EI237" i="20"/>
  <c r="EG237" i="20"/>
  <c r="DP237" i="20"/>
  <c r="CO237" i="20"/>
  <c r="CN237" i="20"/>
  <c r="BA237" i="20"/>
  <c r="AL237" i="20"/>
  <c r="AH237" i="20"/>
  <c r="AE237" i="20"/>
  <c r="AD237" i="20"/>
  <c r="AC237" i="20"/>
  <c r="AA237" i="20"/>
  <c r="W237" i="20"/>
  <c r="CH237" i="20" s="1"/>
  <c r="K237" i="20"/>
  <c r="DT237" i="20" s="1"/>
  <c r="GH236" i="20"/>
  <c r="GF236" i="20"/>
  <c r="EI236" i="20"/>
  <c r="EG236" i="20"/>
  <c r="DP236" i="20"/>
  <c r="CO236" i="20"/>
  <c r="CN236" i="20"/>
  <c r="BA236" i="20"/>
  <c r="AL236" i="20"/>
  <c r="AH236" i="20"/>
  <c r="AE236" i="20"/>
  <c r="BI236" i="20" s="1"/>
  <c r="AD236" i="20"/>
  <c r="AC236" i="20"/>
  <c r="AA236" i="20"/>
  <c r="W236" i="20"/>
  <c r="K236" i="20"/>
  <c r="GH235" i="20"/>
  <c r="GF235" i="20"/>
  <c r="EI235" i="20"/>
  <c r="EG235" i="20"/>
  <c r="DP235" i="20"/>
  <c r="CO235" i="20"/>
  <c r="CN235" i="20"/>
  <c r="BA235" i="20"/>
  <c r="AL235" i="20"/>
  <c r="AH235" i="20"/>
  <c r="AE235" i="20"/>
  <c r="AD235" i="20"/>
  <c r="AC235" i="20"/>
  <c r="AA235" i="20"/>
  <c r="W235" i="20"/>
  <c r="K235" i="20"/>
  <c r="DT235" i="20" s="1"/>
  <c r="GH267" i="20"/>
  <c r="GF267" i="20"/>
  <c r="EI267" i="20"/>
  <c r="EG267" i="20"/>
  <c r="DP267" i="20"/>
  <c r="CO267" i="20"/>
  <c r="CN267" i="20"/>
  <c r="BA267" i="20"/>
  <c r="AJ267" i="20"/>
  <c r="AH267" i="20"/>
  <c r="AE267" i="20"/>
  <c r="BI267" i="20" s="1"/>
  <c r="AD267" i="20"/>
  <c r="AC267" i="20"/>
  <c r="AA267" i="20"/>
  <c r="Z267" i="20" s="1"/>
  <c r="W267" i="20"/>
  <c r="V267" i="20" s="1"/>
  <c r="K267" i="20"/>
  <c r="I267" i="20" s="1"/>
  <c r="GH233" i="20"/>
  <c r="GF233" i="20"/>
  <c r="EI233" i="20"/>
  <c r="EG233" i="20"/>
  <c r="DP233" i="20"/>
  <c r="CO233" i="20"/>
  <c r="CN233" i="20"/>
  <c r="BA233" i="20"/>
  <c r="AL233" i="20"/>
  <c r="AH233" i="20"/>
  <c r="AE233" i="20"/>
  <c r="AD233" i="20"/>
  <c r="AC233" i="20"/>
  <c r="AA233" i="20"/>
  <c r="W233" i="20"/>
  <c r="K233" i="20"/>
  <c r="GH310" i="20"/>
  <c r="GF310" i="20"/>
  <c r="EG310" i="20"/>
  <c r="DP310" i="20"/>
  <c r="CO310" i="20"/>
  <c r="CN310" i="20"/>
  <c r="CL310" i="20"/>
  <c r="CM310" i="20" s="1"/>
  <c r="BM310" i="20"/>
  <c r="BA310" i="20"/>
  <c r="AQ310" i="20"/>
  <c r="EI310" i="20" s="1"/>
  <c r="AJ310" i="20"/>
  <c r="AH310" i="20"/>
  <c r="AE310" i="20"/>
  <c r="AF310" i="20" s="1"/>
  <c r="AD310" i="20"/>
  <c r="AC310" i="20"/>
  <c r="AA310" i="20"/>
  <c r="Z310" i="20" s="1"/>
  <c r="W310" i="20"/>
  <c r="V310" i="20" s="1"/>
  <c r="K310" i="20"/>
  <c r="GH300" i="20"/>
  <c r="GF300" i="20"/>
  <c r="EI300" i="20"/>
  <c r="EG300" i="20"/>
  <c r="DP300" i="20"/>
  <c r="CO300" i="20"/>
  <c r="CN300" i="20"/>
  <c r="BA300" i="20"/>
  <c r="AJ300" i="20"/>
  <c r="AH300" i="20"/>
  <c r="AE300" i="20"/>
  <c r="AD300" i="20"/>
  <c r="AC300" i="20"/>
  <c r="AA300" i="20"/>
  <c r="Z300" i="20" s="1"/>
  <c r="W300" i="20"/>
  <c r="V300" i="20" s="1"/>
  <c r="GH382" i="20"/>
  <c r="GF382" i="20"/>
  <c r="EI382" i="20"/>
  <c r="EG382" i="20"/>
  <c r="DP382" i="20"/>
  <c r="CO382" i="20"/>
  <c r="CN382" i="20"/>
  <c r="BA382" i="20"/>
  <c r="AJ382" i="20"/>
  <c r="AH382" i="20"/>
  <c r="AE382" i="20"/>
  <c r="AF382" i="20" s="1"/>
  <c r="AD382" i="20"/>
  <c r="AC382" i="20"/>
  <c r="AA382" i="20"/>
  <c r="Z382" i="20" s="1"/>
  <c r="W382" i="20"/>
  <c r="V382" i="20" s="1"/>
  <c r="K382" i="20"/>
  <c r="GH229" i="20"/>
  <c r="GF229" i="20"/>
  <c r="EG229" i="20"/>
  <c r="DP229" i="20"/>
  <c r="CO229" i="20"/>
  <c r="CN229" i="20"/>
  <c r="CL229" i="20"/>
  <c r="CM229" i="20" s="1"/>
  <c r="BM229" i="20"/>
  <c r="BA229" i="20"/>
  <c r="AQ229" i="20"/>
  <c r="EI229" i="20" s="1"/>
  <c r="AL229" i="20"/>
  <c r="AH229" i="20"/>
  <c r="AE229" i="20"/>
  <c r="BI229" i="20" s="1"/>
  <c r="AD229" i="20"/>
  <c r="AC229" i="20"/>
  <c r="AA229" i="20"/>
  <c r="W229" i="20"/>
  <c r="CI229" i="20" s="1"/>
  <c r="K229" i="20"/>
  <c r="AS229" i="20" s="1"/>
  <c r="GH309" i="20"/>
  <c r="GF309" i="20"/>
  <c r="EI309" i="20"/>
  <c r="EG309" i="20"/>
  <c r="DP309" i="20"/>
  <c r="CO309" i="20"/>
  <c r="CN309" i="20"/>
  <c r="BA309" i="20"/>
  <c r="AJ309" i="20"/>
  <c r="AH309" i="20"/>
  <c r="AE309" i="20"/>
  <c r="AD309" i="20"/>
  <c r="AC309" i="20"/>
  <c r="AA309" i="20"/>
  <c r="Z309" i="20" s="1"/>
  <c r="W309" i="20"/>
  <c r="K309" i="20"/>
  <c r="GH308" i="20"/>
  <c r="GF308" i="20"/>
  <c r="EI308" i="20"/>
  <c r="EG308" i="20"/>
  <c r="DP308" i="20"/>
  <c r="CO308" i="20"/>
  <c r="CN308" i="20"/>
  <c r="BA308" i="20"/>
  <c r="AJ308" i="20"/>
  <c r="AH308" i="20"/>
  <c r="AE308" i="20"/>
  <c r="BI308" i="20" s="1"/>
  <c r="AD308" i="20"/>
  <c r="AC308" i="20"/>
  <c r="AA308" i="20"/>
  <c r="Z308" i="20" s="1"/>
  <c r="W308" i="20"/>
  <c r="K308" i="20"/>
  <c r="I308" i="20" s="1"/>
  <c r="GH225" i="20"/>
  <c r="GF225" i="20"/>
  <c r="EG225" i="20"/>
  <c r="DP225" i="20"/>
  <c r="CO225" i="20"/>
  <c r="CN225" i="20"/>
  <c r="CL225" i="20"/>
  <c r="CM225" i="20" s="1"/>
  <c r="BM225" i="20"/>
  <c r="BA225" i="20"/>
  <c r="AQ225" i="20"/>
  <c r="EI225" i="20" s="1"/>
  <c r="AL225" i="20"/>
  <c r="AH225" i="20"/>
  <c r="AE225" i="20"/>
  <c r="BI225" i="20" s="1"/>
  <c r="AD225" i="20"/>
  <c r="AC225" i="20"/>
  <c r="AA225" i="20"/>
  <c r="W225" i="20"/>
  <c r="K225" i="20"/>
  <c r="AS225" i="20" s="1"/>
  <c r="GH224" i="20"/>
  <c r="GF224" i="20"/>
  <c r="EG224" i="20"/>
  <c r="DP224" i="20"/>
  <c r="CO224" i="20"/>
  <c r="CN224" i="20"/>
  <c r="CL224" i="20"/>
  <c r="CM224" i="20" s="1"/>
  <c r="BM224" i="20"/>
  <c r="BA224" i="20"/>
  <c r="AQ224" i="20"/>
  <c r="EI224" i="20" s="1"/>
  <c r="AL224" i="20"/>
  <c r="AH224" i="20"/>
  <c r="AE224" i="20"/>
  <c r="BI224" i="20" s="1"/>
  <c r="AD224" i="20"/>
  <c r="AC224" i="20"/>
  <c r="AA224" i="20"/>
  <c r="W224" i="20"/>
  <c r="K224" i="20"/>
  <c r="EM224" i="20" s="1"/>
  <c r="GH223" i="20"/>
  <c r="GF223" i="20"/>
  <c r="EG223" i="20"/>
  <c r="DP223" i="20"/>
  <c r="CO223" i="20"/>
  <c r="CN223" i="20"/>
  <c r="CL223" i="20"/>
  <c r="CM223" i="20" s="1"/>
  <c r="BM223" i="20"/>
  <c r="BA223" i="20"/>
  <c r="AQ223" i="20"/>
  <c r="EI223" i="20" s="1"/>
  <c r="AL223" i="20"/>
  <c r="AH223" i="20"/>
  <c r="AE223" i="20"/>
  <c r="BI223" i="20" s="1"/>
  <c r="AD223" i="20"/>
  <c r="AC223" i="20"/>
  <c r="AA223" i="20"/>
  <c r="W223" i="20"/>
  <c r="CI223" i="20" s="1"/>
  <c r="K223" i="20"/>
  <c r="GH222" i="20"/>
  <c r="GF222" i="20"/>
  <c r="EI222" i="20"/>
  <c r="EG222" i="20"/>
  <c r="DP222" i="20"/>
  <c r="CO222" i="20"/>
  <c r="CN222" i="20"/>
  <c r="BA222" i="20"/>
  <c r="AL222" i="20"/>
  <c r="AH222" i="20"/>
  <c r="AE222" i="20"/>
  <c r="AD222" i="20"/>
  <c r="AC222" i="20"/>
  <c r="AA222" i="20"/>
  <c r="W222" i="20"/>
  <c r="K222" i="20"/>
  <c r="GH221" i="20"/>
  <c r="GF221" i="20"/>
  <c r="EI221" i="20"/>
  <c r="EG221" i="20"/>
  <c r="DP221" i="20"/>
  <c r="CO221" i="20"/>
  <c r="CN221" i="20"/>
  <c r="BA221" i="20"/>
  <c r="AL221" i="20"/>
  <c r="AH221" i="20"/>
  <c r="AE221" i="20"/>
  <c r="AF221" i="20" s="1"/>
  <c r="AD221" i="20"/>
  <c r="AC221" i="20"/>
  <c r="AA221" i="20"/>
  <c r="W221" i="20"/>
  <c r="K221" i="20"/>
  <c r="GH220" i="20"/>
  <c r="GF220" i="20"/>
  <c r="EI220" i="20"/>
  <c r="EG220" i="20"/>
  <c r="DP220" i="20"/>
  <c r="CO220" i="20"/>
  <c r="CN220" i="20"/>
  <c r="BA220" i="20"/>
  <c r="AL220" i="20"/>
  <c r="AH220" i="20"/>
  <c r="AE220" i="20"/>
  <c r="BI220" i="20" s="1"/>
  <c r="AD220" i="20"/>
  <c r="AC220" i="20"/>
  <c r="AA220" i="20"/>
  <c r="W220" i="20"/>
  <c r="CH220" i="20" s="1"/>
  <c r="K220" i="20"/>
  <c r="O220" i="20" s="1"/>
  <c r="GH219" i="20"/>
  <c r="GF219" i="20"/>
  <c r="EI219" i="20"/>
  <c r="EG219" i="20"/>
  <c r="DP219" i="20"/>
  <c r="CO219" i="20"/>
  <c r="CN219" i="20"/>
  <c r="BA219" i="20"/>
  <c r="AL219" i="20"/>
  <c r="AH219" i="20"/>
  <c r="AE219" i="20"/>
  <c r="AD219" i="20"/>
  <c r="AC219" i="20"/>
  <c r="AA219" i="20"/>
  <c r="W219" i="20"/>
  <c r="K219" i="20"/>
  <c r="EM219" i="20" s="1"/>
  <c r="GH218" i="20"/>
  <c r="GF218" i="20"/>
  <c r="EI218" i="20"/>
  <c r="EG218" i="20"/>
  <c r="DP218" i="20"/>
  <c r="CO218" i="20"/>
  <c r="CN218" i="20"/>
  <c r="BA218" i="20"/>
  <c r="AL218" i="20"/>
  <c r="AH218" i="20"/>
  <c r="AE218" i="20"/>
  <c r="AF218" i="20" s="1"/>
  <c r="ET218" i="20" s="1"/>
  <c r="ES218" i="20" s="1"/>
  <c r="AD218" i="20"/>
  <c r="AC218" i="20"/>
  <c r="AA218" i="20"/>
  <c r="W218" i="20"/>
  <c r="K218" i="20"/>
  <c r="AU218" i="20" s="1"/>
  <c r="GH392" i="20"/>
  <c r="EI392" i="20"/>
  <c r="DP392" i="20"/>
  <c r="CO392" i="20"/>
  <c r="CN392" i="20"/>
  <c r="BA392" i="20"/>
  <c r="AJ392" i="20"/>
  <c r="AH392" i="20"/>
  <c r="AE392" i="20"/>
  <c r="AF392" i="20" s="1"/>
  <c r="AD392" i="20"/>
  <c r="S392" i="20"/>
  <c r="R392" i="20" s="1"/>
  <c r="K392" i="20"/>
  <c r="I392" i="20" s="1"/>
  <c r="GH391" i="20"/>
  <c r="EI391" i="20"/>
  <c r="DP391" i="20"/>
  <c r="CO391" i="20"/>
  <c r="CN391" i="20"/>
  <c r="BA391" i="20"/>
  <c r="AJ391" i="20"/>
  <c r="AH391" i="20"/>
  <c r="AE391" i="20"/>
  <c r="AD391" i="20"/>
  <c r="S391" i="20"/>
  <c r="K391" i="20"/>
  <c r="AA391" i="20" s="1"/>
  <c r="GH434" i="20"/>
  <c r="DP434" i="20"/>
  <c r="CO434" i="20"/>
  <c r="CN434" i="20"/>
  <c r="CL434" i="20"/>
  <c r="CM434" i="20" s="1"/>
  <c r="BA434" i="20"/>
  <c r="AQ434" i="20"/>
  <c r="EI434" i="20" s="1"/>
  <c r="AJ434" i="20"/>
  <c r="AH434" i="20"/>
  <c r="AE434" i="20"/>
  <c r="AF434" i="20" s="1"/>
  <c r="AG434" i="20" s="1"/>
  <c r="AD434" i="20"/>
  <c r="S434" i="20"/>
  <c r="K434" i="20"/>
  <c r="I434" i="20" s="1"/>
  <c r="GH433" i="20"/>
  <c r="DP433" i="20"/>
  <c r="CO433" i="20"/>
  <c r="CN433" i="20"/>
  <c r="CL433" i="20"/>
  <c r="CM433" i="20" s="1"/>
  <c r="BA433" i="20"/>
  <c r="AQ433" i="20"/>
  <c r="EI433" i="20" s="1"/>
  <c r="AJ433" i="20"/>
  <c r="AH433" i="20"/>
  <c r="AE433" i="20"/>
  <c r="BI433" i="20" s="1"/>
  <c r="AD433" i="20"/>
  <c r="S433" i="20"/>
  <c r="R433" i="20" s="1"/>
  <c r="K433" i="20"/>
  <c r="GH432" i="20"/>
  <c r="EI432" i="20"/>
  <c r="DP432" i="20"/>
  <c r="CO432" i="20"/>
  <c r="CN432" i="20"/>
  <c r="BA432" i="20"/>
  <c r="AJ432" i="20"/>
  <c r="AH432" i="20"/>
  <c r="AE432" i="20"/>
  <c r="BI432" i="20" s="1"/>
  <c r="AD432" i="20"/>
  <c r="S432" i="20"/>
  <c r="K432" i="20"/>
  <c r="I432" i="20" s="1"/>
  <c r="GH431" i="20"/>
  <c r="EI431" i="20"/>
  <c r="DP431" i="20"/>
  <c r="CO431" i="20"/>
  <c r="CN431" i="20"/>
  <c r="BA431" i="20"/>
  <c r="AJ431" i="20"/>
  <c r="AH431" i="20"/>
  <c r="AE431" i="20"/>
  <c r="BI431" i="20" s="1"/>
  <c r="AD431" i="20"/>
  <c r="S431" i="20"/>
  <c r="R431" i="20" s="1"/>
  <c r="K431" i="20"/>
  <c r="I431" i="20" s="1"/>
  <c r="GH430" i="20"/>
  <c r="EI430" i="20"/>
  <c r="DP430" i="20"/>
  <c r="CO430" i="20"/>
  <c r="CN430" i="20"/>
  <c r="BA430" i="20"/>
  <c r="AJ430" i="20"/>
  <c r="AH430" i="20"/>
  <c r="AE430" i="20"/>
  <c r="AD430" i="20"/>
  <c r="S430" i="20"/>
  <c r="K430" i="20"/>
  <c r="GH429" i="20"/>
  <c r="EI429" i="20"/>
  <c r="DP429" i="20"/>
  <c r="CO429" i="20"/>
  <c r="CN429" i="20"/>
  <c r="BA429" i="20"/>
  <c r="AJ429" i="20"/>
  <c r="AH429" i="20"/>
  <c r="AE429" i="20"/>
  <c r="AD429" i="20"/>
  <c r="S429" i="20"/>
  <c r="R429" i="20" s="1"/>
  <c r="K429" i="20"/>
  <c r="GH422" i="20"/>
  <c r="EI422" i="20"/>
  <c r="DP422" i="20"/>
  <c r="CO422" i="20"/>
  <c r="CN422" i="20"/>
  <c r="BA422" i="20"/>
  <c r="AJ422" i="20"/>
  <c r="AH422" i="20"/>
  <c r="AE422" i="20"/>
  <c r="BI422" i="20" s="1"/>
  <c r="AD422" i="20"/>
  <c r="S422" i="20"/>
  <c r="R422" i="20" s="1"/>
  <c r="K422" i="20"/>
  <c r="GH421" i="20"/>
  <c r="EI421" i="20"/>
  <c r="DP421" i="20"/>
  <c r="CO421" i="20"/>
  <c r="CN421" i="20"/>
  <c r="BA421" i="20"/>
  <c r="AJ421" i="20"/>
  <c r="AH421" i="20"/>
  <c r="AE421" i="20"/>
  <c r="BI421" i="20" s="1"/>
  <c r="AD421" i="20"/>
  <c r="S421" i="20"/>
  <c r="R421" i="20" s="1"/>
  <c r="K421" i="20"/>
  <c r="GH454" i="20"/>
  <c r="DP454" i="20"/>
  <c r="CO454" i="20"/>
  <c r="CN454" i="20"/>
  <c r="CL454" i="20"/>
  <c r="CM454" i="20" s="1"/>
  <c r="BA454" i="20"/>
  <c r="AQ454" i="20"/>
  <c r="EI454" i="20" s="1"/>
  <c r="AJ454" i="20"/>
  <c r="AH454" i="20"/>
  <c r="AE454" i="20"/>
  <c r="BI454" i="20" s="1"/>
  <c r="AD454" i="20"/>
  <c r="S454" i="20"/>
  <c r="K454" i="20"/>
  <c r="I454" i="20" s="1"/>
  <c r="GH453" i="20"/>
  <c r="DP453" i="20"/>
  <c r="CO453" i="20"/>
  <c r="CN453" i="20"/>
  <c r="CL453" i="20"/>
  <c r="CM453" i="20" s="1"/>
  <c r="BA453" i="20"/>
  <c r="AQ453" i="20"/>
  <c r="EI453" i="20" s="1"/>
  <c r="AJ453" i="20"/>
  <c r="AH453" i="20"/>
  <c r="AE453" i="20"/>
  <c r="AD453" i="20"/>
  <c r="S453" i="20"/>
  <c r="R453" i="20" s="1"/>
  <c r="K453" i="20"/>
  <c r="GH452" i="20"/>
  <c r="EI452" i="20"/>
  <c r="DP452" i="20"/>
  <c r="CO452" i="20"/>
  <c r="CN452" i="20"/>
  <c r="BA452" i="20"/>
  <c r="AJ452" i="20"/>
  <c r="AH452" i="20"/>
  <c r="AE452" i="20"/>
  <c r="AF452" i="20" s="1"/>
  <c r="AD452" i="20"/>
  <c r="S452" i="20"/>
  <c r="K452" i="20"/>
  <c r="GH451" i="20"/>
  <c r="EI451" i="20"/>
  <c r="DP451" i="20"/>
  <c r="CO451" i="20"/>
  <c r="CN451" i="20"/>
  <c r="BA451" i="20"/>
  <c r="AJ451" i="20"/>
  <c r="AH451" i="20"/>
  <c r="AE451" i="20"/>
  <c r="AD451" i="20"/>
  <c r="S451" i="20"/>
  <c r="K451" i="20"/>
  <c r="I451" i="20" s="1"/>
  <c r="GH450" i="20"/>
  <c r="EI450" i="20"/>
  <c r="DP450" i="20"/>
  <c r="CO450" i="20"/>
  <c r="CN450" i="20"/>
  <c r="BA450" i="20"/>
  <c r="AJ450" i="20"/>
  <c r="AH450" i="20"/>
  <c r="AE450" i="20"/>
  <c r="BI450" i="20" s="1"/>
  <c r="AD450" i="20"/>
  <c r="S450" i="20"/>
  <c r="R450" i="20" s="1"/>
  <c r="K450" i="20"/>
  <c r="I450" i="20" s="1"/>
  <c r="GH449" i="20"/>
  <c r="EI449" i="20"/>
  <c r="DP449" i="20"/>
  <c r="CO449" i="20"/>
  <c r="CN449" i="20"/>
  <c r="BA449" i="20"/>
  <c r="AJ449" i="20"/>
  <c r="AH449" i="20"/>
  <c r="AE449" i="20"/>
  <c r="BI449" i="20" s="1"/>
  <c r="AD449" i="20"/>
  <c r="S449" i="20"/>
  <c r="R449" i="20" s="1"/>
  <c r="K449" i="20"/>
  <c r="I449" i="20" s="1"/>
  <c r="GH436" i="20"/>
  <c r="EI436" i="20"/>
  <c r="DP436" i="20"/>
  <c r="CO436" i="20"/>
  <c r="CN436" i="20"/>
  <c r="BA436" i="20"/>
  <c r="AJ436" i="20"/>
  <c r="AH436" i="20"/>
  <c r="AE436" i="20"/>
  <c r="BI436" i="20" s="1"/>
  <c r="AD436" i="20"/>
  <c r="K436" i="20"/>
  <c r="GH435" i="20"/>
  <c r="EI435" i="20"/>
  <c r="DP435" i="20"/>
  <c r="CO435" i="20"/>
  <c r="CN435" i="20"/>
  <c r="BA435" i="20"/>
  <c r="AJ435" i="20"/>
  <c r="AH435" i="20"/>
  <c r="AE435" i="20"/>
  <c r="AD435" i="20"/>
  <c r="S435" i="20"/>
  <c r="R435" i="20" s="1"/>
  <c r="K435" i="20"/>
  <c r="GH456" i="20"/>
  <c r="EI456" i="20"/>
  <c r="DP456" i="20"/>
  <c r="CO456" i="20"/>
  <c r="CN456" i="20"/>
  <c r="BA456" i="20"/>
  <c r="AJ456" i="20"/>
  <c r="AH456" i="20"/>
  <c r="AE456" i="20"/>
  <c r="BI456" i="20" s="1"/>
  <c r="AD456" i="20"/>
  <c r="S456" i="20"/>
  <c r="R456" i="20" s="1"/>
  <c r="K456" i="20"/>
  <c r="AA456" i="20" s="1"/>
  <c r="Z456" i="20" s="1"/>
  <c r="GH455" i="20"/>
  <c r="EI455" i="20"/>
  <c r="DP455" i="20"/>
  <c r="CO455" i="20"/>
  <c r="CN455" i="20"/>
  <c r="BA455" i="20"/>
  <c r="AJ455" i="20"/>
  <c r="AH455" i="20"/>
  <c r="AE455" i="20"/>
  <c r="AD455" i="20"/>
  <c r="S455" i="20"/>
  <c r="R455" i="20" s="1"/>
  <c r="K455" i="20"/>
  <c r="GH161" i="20"/>
  <c r="EI161" i="20"/>
  <c r="DP161" i="20"/>
  <c r="CO161" i="20"/>
  <c r="CN161" i="20"/>
  <c r="BA161" i="20"/>
  <c r="AJ161" i="20"/>
  <c r="AH161" i="20"/>
  <c r="AE161" i="20"/>
  <c r="AF161" i="20" s="1"/>
  <c r="AD161" i="20"/>
  <c r="W161" i="20"/>
  <c r="V161" i="20" s="1"/>
  <c r="U161" i="20"/>
  <c r="S161" i="20"/>
  <c r="R161" i="20" s="1"/>
  <c r="K161" i="20"/>
  <c r="GH157" i="20"/>
  <c r="EI157" i="20"/>
  <c r="DP157" i="20"/>
  <c r="CO157" i="20"/>
  <c r="CN157" i="20"/>
  <c r="BA157" i="20"/>
  <c r="AJ157" i="20"/>
  <c r="AH157" i="20"/>
  <c r="AE157" i="20"/>
  <c r="AF157" i="20" s="1"/>
  <c r="AD157" i="20"/>
  <c r="W157" i="20"/>
  <c r="V157" i="20" s="1"/>
  <c r="U157" i="20"/>
  <c r="S157" i="20"/>
  <c r="R157" i="20" s="1"/>
  <c r="I157" i="20"/>
  <c r="GH169" i="20"/>
  <c r="EI169" i="20"/>
  <c r="DP169" i="20"/>
  <c r="CO169" i="20"/>
  <c r="CN169" i="20"/>
  <c r="BA169" i="20"/>
  <c r="AJ169" i="20"/>
  <c r="AH169" i="20"/>
  <c r="AE169" i="20"/>
  <c r="AF169" i="20" s="1"/>
  <c r="AD169" i="20"/>
  <c r="W169" i="20"/>
  <c r="V169" i="20" s="1"/>
  <c r="U169" i="20"/>
  <c r="K169" i="20"/>
  <c r="GH168" i="20"/>
  <c r="DP168" i="20"/>
  <c r="CO168" i="20"/>
  <c r="CN168" i="20"/>
  <c r="CL168" i="20"/>
  <c r="CM168" i="20" s="1"/>
  <c r="BA168" i="20"/>
  <c r="AQ168" i="20"/>
  <c r="EI168" i="20" s="1"/>
  <c r="AJ168" i="20"/>
  <c r="AH168" i="20"/>
  <c r="AE168" i="20"/>
  <c r="AD168" i="20"/>
  <c r="W168" i="20"/>
  <c r="V168" i="20" s="1"/>
  <c r="U168" i="20"/>
  <c r="S168" i="20"/>
  <c r="K168" i="20"/>
  <c r="GH167" i="20"/>
  <c r="DP167" i="20"/>
  <c r="CO167" i="20"/>
  <c r="CN167" i="20"/>
  <c r="CL167" i="20"/>
  <c r="CM167" i="20" s="1"/>
  <c r="BA167" i="20"/>
  <c r="AQ167" i="20"/>
  <c r="EI167" i="20" s="1"/>
  <c r="AJ167" i="20"/>
  <c r="AH167" i="20"/>
  <c r="AE167" i="20"/>
  <c r="BI167" i="20" s="1"/>
  <c r="AD167" i="20"/>
  <c r="W167" i="20"/>
  <c r="V167" i="20" s="1"/>
  <c r="U167" i="20"/>
  <c r="S167" i="20"/>
  <c r="K167" i="20"/>
  <c r="GH166" i="20"/>
  <c r="DP166" i="20"/>
  <c r="CO166" i="20"/>
  <c r="CN166" i="20"/>
  <c r="CL166" i="20"/>
  <c r="CM166" i="20" s="1"/>
  <c r="BA166" i="20"/>
  <c r="AQ166" i="20"/>
  <c r="EI166" i="20" s="1"/>
  <c r="AJ166" i="20"/>
  <c r="AH166" i="20"/>
  <c r="AE166" i="20"/>
  <c r="BI166" i="20" s="1"/>
  <c r="AD166" i="20"/>
  <c r="W166" i="20"/>
  <c r="V166" i="20" s="1"/>
  <c r="U166" i="20"/>
  <c r="S166" i="20"/>
  <c r="K166" i="20"/>
  <c r="GH165" i="20"/>
  <c r="EI165" i="20"/>
  <c r="DP165" i="20"/>
  <c r="CO165" i="20"/>
  <c r="CN165" i="20"/>
  <c r="BA165" i="20"/>
  <c r="AJ165" i="20"/>
  <c r="AH165" i="20"/>
  <c r="AE165" i="20"/>
  <c r="AF165" i="20" s="1"/>
  <c r="AG165" i="20" s="1"/>
  <c r="EB165" i="20" s="1"/>
  <c r="AD165" i="20"/>
  <c r="W165" i="20"/>
  <c r="V165" i="20" s="1"/>
  <c r="U165" i="20"/>
  <c r="S165" i="20"/>
  <c r="R165" i="20" s="1"/>
  <c r="K165" i="20"/>
  <c r="GH176" i="20"/>
  <c r="EI176" i="20"/>
  <c r="DP176" i="20"/>
  <c r="CO176" i="20"/>
  <c r="CN176" i="20"/>
  <c r="BA176" i="20"/>
  <c r="AJ176" i="20"/>
  <c r="AH176" i="20"/>
  <c r="AE176" i="20"/>
  <c r="AD176" i="20"/>
  <c r="W176" i="20"/>
  <c r="V176" i="20" s="1"/>
  <c r="U176" i="20"/>
  <c r="S176" i="20"/>
  <c r="K176" i="20"/>
  <c r="I176" i="20" s="1"/>
  <c r="GH175" i="20"/>
  <c r="DP175" i="20"/>
  <c r="CO175" i="20"/>
  <c r="CN175" i="20"/>
  <c r="CL175" i="20"/>
  <c r="CM175" i="20" s="1"/>
  <c r="BA175" i="20"/>
  <c r="AQ175" i="20"/>
  <c r="EI175" i="20" s="1"/>
  <c r="AJ175" i="20"/>
  <c r="AH175" i="20"/>
  <c r="AE175" i="20"/>
  <c r="BI175" i="20" s="1"/>
  <c r="AD175" i="20"/>
  <c r="W175" i="20"/>
  <c r="V175" i="20" s="1"/>
  <c r="U175" i="20"/>
  <c r="S175" i="20"/>
  <c r="K175" i="20"/>
  <c r="GH174" i="20"/>
  <c r="EI174" i="20"/>
  <c r="DP174" i="20"/>
  <c r="CO174" i="20"/>
  <c r="CN174" i="20"/>
  <c r="BA174" i="20"/>
  <c r="AJ174" i="20"/>
  <c r="AH174" i="20"/>
  <c r="AE174" i="20"/>
  <c r="AD174" i="20"/>
  <c r="W174" i="20"/>
  <c r="V174" i="20" s="1"/>
  <c r="U174" i="20"/>
  <c r="S174" i="20"/>
  <c r="R174" i="20" s="1"/>
  <c r="K174" i="20"/>
  <c r="GH215" i="20"/>
  <c r="EI215" i="20"/>
  <c r="DP215" i="20"/>
  <c r="CO215" i="20"/>
  <c r="CN215" i="20"/>
  <c r="BA215" i="20"/>
  <c r="AJ215" i="20"/>
  <c r="AH215" i="20"/>
  <c r="AE215" i="20"/>
  <c r="BI215" i="20" s="1"/>
  <c r="AD215" i="20"/>
  <c r="W215" i="20"/>
  <c r="V215" i="20" s="1"/>
  <c r="U215" i="20"/>
  <c r="S215" i="20"/>
  <c r="K215" i="20"/>
  <c r="GH227" i="20"/>
  <c r="DP227" i="20"/>
  <c r="CO227" i="20"/>
  <c r="CN227" i="20"/>
  <c r="CL227" i="20"/>
  <c r="CM227" i="20" s="1"/>
  <c r="BA227" i="20"/>
  <c r="AQ227" i="20"/>
  <c r="EI227" i="20" s="1"/>
  <c r="AJ227" i="20"/>
  <c r="AH227" i="20"/>
  <c r="AE227" i="20"/>
  <c r="AF227" i="20" s="1"/>
  <c r="AD227" i="20"/>
  <c r="W227" i="20"/>
  <c r="V227" i="20" s="1"/>
  <c r="U227" i="20"/>
  <c r="S227" i="20"/>
  <c r="R227" i="20" s="1"/>
  <c r="K227" i="20"/>
  <c r="GH217" i="20"/>
  <c r="EI217" i="20"/>
  <c r="DP217" i="20"/>
  <c r="CO217" i="20"/>
  <c r="CN217" i="20"/>
  <c r="BA217" i="20"/>
  <c r="AJ217" i="20"/>
  <c r="AH217" i="20"/>
  <c r="AE217" i="20"/>
  <c r="AD217" i="20"/>
  <c r="L217" i="20"/>
  <c r="AO217" i="20" s="1"/>
  <c r="CL217" i="20" s="1"/>
  <c r="CM217" i="20" s="1"/>
  <c r="GH173" i="20"/>
  <c r="DP173" i="20"/>
  <c r="CO173" i="20"/>
  <c r="CN173" i="20"/>
  <c r="CL173" i="20"/>
  <c r="CM173" i="20" s="1"/>
  <c r="BA173" i="20"/>
  <c r="AQ173" i="20"/>
  <c r="EI173" i="20" s="1"/>
  <c r="AJ173" i="20"/>
  <c r="AH173" i="20"/>
  <c r="AE173" i="20"/>
  <c r="BI173" i="20" s="1"/>
  <c r="AD173" i="20"/>
  <c r="W173" i="20"/>
  <c r="V173" i="20" s="1"/>
  <c r="U173" i="20"/>
  <c r="S173" i="20"/>
  <c r="AU173" i="20"/>
  <c r="GH172" i="20"/>
  <c r="DP172" i="20"/>
  <c r="CO172" i="20"/>
  <c r="CN172" i="20"/>
  <c r="CL172" i="20"/>
  <c r="CM172" i="20" s="1"/>
  <c r="BA172" i="20"/>
  <c r="AQ172" i="20"/>
  <c r="EI172" i="20" s="1"/>
  <c r="AJ172" i="20"/>
  <c r="AH172" i="20"/>
  <c r="AE172" i="20"/>
  <c r="BI172" i="20" s="1"/>
  <c r="AD172" i="20"/>
  <c r="W172" i="20"/>
  <c r="V172" i="20" s="1"/>
  <c r="U172" i="20"/>
  <c r="S172" i="20"/>
  <c r="K172" i="20"/>
  <c r="GH171" i="20"/>
  <c r="EI171" i="20"/>
  <c r="DP171" i="20"/>
  <c r="CO171" i="20"/>
  <c r="CN171" i="20"/>
  <c r="BA171" i="20"/>
  <c r="AJ171" i="20"/>
  <c r="AH171" i="20"/>
  <c r="AE171" i="20"/>
  <c r="AF171" i="20" s="1"/>
  <c r="AD171" i="20"/>
  <c r="W171" i="20"/>
  <c r="V171" i="20" s="1"/>
  <c r="U171" i="20"/>
  <c r="S171" i="20"/>
  <c r="R171" i="20" s="1"/>
  <c r="K171" i="20"/>
  <c r="GH170" i="20"/>
  <c r="EI170" i="20"/>
  <c r="DP170" i="20"/>
  <c r="CO170" i="20"/>
  <c r="CN170" i="20"/>
  <c r="BA170" i="20"/>
  <c r="AJ170" i="20"/>
  <c r="AH170" i="20"/>
  <c r="AE170" i="20"/>
  <c r="BI170" i="20" s="1"/>
  <c r="AD170" i="20"/>
  <c r="W170" i="20"/>
  <c r="V170" i="20" s="1"/>
  <c r="U170" i="20"/>
  <c r="S170" i="20"/>
  <c r="R170" i="20" s="1"/>
  <c r="K170" i="20"/>
  <c r="I170" i="20" s="1"/>
  <c r="GH183" i="20"/>
  <c r="DP183" i="20"/>
  <c r="CO183" i="20"/>
  <c r="CN183" i="20"/>
  <c r="CL183" i="20"/>
  <c r="CM183" i="20" s="1"/>
  <c r="BA183" i="20"/>
  <c r="AQ183" i="20"/>
  <c r="EI183" i="20" s="1"/>
  <c r="AJ183" i="20"/>
  <c r="AH183" i="20"/>
  <c r="AE183" i="20"/>
  <c r="BI183" i="20" s="1"/>
  <c r="AD183" i="20"/>
  <c r="V183" i="20"/>
  <c r="U183" i="20"/>
  <c r="S183" i="20"/>
  <c r="R183" i="20" s="1"/>
  <c r="K183" i="20"/>
  <c r="GH182" i="20"/>
  <c r="DP182" i="20"/>
  <c r="CO182" i="20"/>
  <c r="CN182" i="20"/>
  <c r="CL182" i="20"/>
  <c r="CM182" i="20" s="1"/>
  <c r="BA182" i="20"/>
  <c r="AQ182" i="20"/>
  <c r="EI182" i="20" s="1"/>
  <c r="AJ182" i="20"/>
  <c r="AH182" i="20"/>
  <c r="AE182" i="20"/>
  <c r="AF182" i="20" s="1"/>
  <c r="AD182" i="20"/>
  <c r="W182" i="20"/>
  <c r="V182" i="20" s="1"/>
  <c r="U182" i="20"/>
  <c r="S182" i="20"/>
  <c r="R182" i="20" s="1"/>
  <c r="K182" i="20"/>
  <c r="GH178" i="20"/>
  <c r="EI178" i="20"/>
  <c r="DP178" i="20"/>
  <c r="CO178" i="20"/>
  <c r="CN178" i="20"/>
  <c r="BA178" i="20"/>
  <c r="AJ178" i="20"/>
  <c r="AH178" i="20"/>
  <c r="AE178" i="20"/>
  <c r="AD178" i="20"/>
  <c r="V178" i="20"/>
  <c r="U178" i="20"/>
  <c r="S178" i="20"/>
  <c r="K178" i="20"/>
  <c r="GH177" i="20"/>
  <c r="EI177" i="20"/>
  <c r="DP177" i="20"/>
  <c r="CO177" i="20"/>
  <c r="CN177" i="20"/>
  <c r="BA177" i="20"/>
  <c r="AJ177" i="20"/>
  <c r="AH177" i="20"/>
  <c r="AE177" i="20"/>
  <c r="AF177" i="20" s="1"/>
  <c r="AD177" i="20"/>
  <c r="W177" i="20"/>
  <c r="V177" i="20" s="1"/>
  <c r="U177" i="20"/>
  <c r="S177" i="20"/>
  <c r="R177" i="20" s="1"/>
  <c r="K177" i="20"/>
  <c r="GH202" i="20"/>
  <c r="EI202" i="20"/>
  <c r="DP202" i="20"/>
  <c r="CO202" i="20"/>
  <c r="CN202" i="20"/>
  <c r="BA202" i="20"/>
  <c r="AJ202" i="20"/>
  <c r="AH202" i="20"/>
  <c r="AE202" i="20"/>
  <c r="AD202" i="20"/>
  <c r="W202" i="20"/>
  <c r="V202" i="20" s="1"/>
  <c r="U202" i="20"/>
  <c r="S202" i="20"/>
  <c r="R202" i="20" s="1"/>
  <c r="K202" i="20"/>
  <c r="GH206" i="20"/>
  <c r="DP206" i="20"/>
  <c r="CO206" i="20"/>
  <c r="CN206" i="20"/>
  <c r="CL206" i="20"/>
  <c r="CM206" i="20" s="1"/>
  <c r="BA206" i="20"/>
  <c r="AQ206" i="20"/>
  <c r="EI206" i="20" s="1"/>
  <c r="AJ206" i="20"/>
  <c r="AH206" i="20"/>
  <c r="AE206" i="20"/>
  <c r="BI206" i="20" s="1"/>
  <c r="AD206" i="20"/>
  <c r="W206" i="20"/>
  <c r="V206" i="20" s="1"/>
  <c r="U206" i="20"/>
  <c r="S206" i="20"/>
  <c r="R206" i="20" s="1"/>
  <c r="K206" i="20"/>
  <c r="GH204" i="20"/>
  <c r="EI204" i="20"/>
  <c r="DP204" i="20"/>
  <c r="CO204" i="20"/>
  <c r="CN204" i="20"/>
  <c r="BA204" i="20"/>
  <c r="AJ204" i="20"/>
  <c r="AH204" i="20"/>
  <c r="AE204" i="20"/>
  <c r="BI204" i="20" s="1"/>
  <c r="AD204" i="20"/>
  <c r="W204" i="20"/>
  <c r="V204" i="20" s="1"/>
  <c r="U204" i="20"/>
  <c r="S204" i="20"/>
  <c r="R204" i="20" s="1"/>
  <c r="K204" i="20"/>
  <c r="GH299" i="20"/>
  <c r="EI299" i="20"/>
  <c r="DP299" i="20"/>
  <c r="CO299" i="20"/>
  <c r="CN299" i="20"/>
  <c r="BA299" i="20"/>
  <c r="AJ299" i="20"/>
  <c r="AH299" i="20"/>
  <c r="AE299" i="20"/>
  <c r="BI299" i="20" s="1"/>
  <c r="AD299" i="20"/>
  <c r="W299" i="20"/>
  <c r="V299" i="20" s="1"/>
  <c r="U299" i="20"/>
  <c r="S299" i="20"/>
  <c r="R299" i="20" s="1"/>
  <c r="K299" i="20"/>
  <c r="GH298" i="20"/>
  <c r="DP298" i="20"/>
  <c r="CO298" i="20"/>
  <c r="CN298" i="20"/>
  <c r="CL298" i="20"/>
  <c r="CM298" i="20" s="1"/>
  <c r="BA298" i="20"/>
  <c r="AQ298" i="20"/>
  <c r="EI298" i="20" s="1"/>
  <c r="AJ298" i="20"/>
  <c r="AH298" i="20"/>
  <c r="AE298" i="20"/>
  <c r="AF298" i="20" s="1"/>
  <c r="AD298" i="20"/>
  <c r="W298" i="20"/>
  <c r="V298" i="20" s="1"/>
  <c r="U298" i="20"/>
  <c r="S298" i="20"/>
  <c r="K298" i="20"/>
  <c r="I298" i="20" s="1"/>
  <c r="GH297" i="20"/>
  <c r="EI297" i="20"/>
  <c r="DP297" i="20"/>
  <c r="CO297" i="20"/>
  <c r="CN297" i="20"/>
  <c r="BA297" i="20"/>
  <c r="AJ297" i="20"/>
  <c r="AH297" i="20"/>
  <c r="AE297" i="20"/>
  <c r="AF297" i="20" s="1"/>
  <c r="AG297" i="20" s="1"/>
  <c r="EB297" i="20" s="1"/>
  <c r="AD297" i="20"/>
  <c r="W297" i="20"/>
  <c r="V297" i="20" s="1"/>
  <c r="U297" i="20"/>
  <c r="S297" i="20"/>
  <c r="R297" i="20" s="1"/>
  <c r="K297" i="20"/>
  <c r="I297" i="20" s="1"/>
  <c r="GH396" i="20"/>
  <c r="EI396" i="20"/>
  <c r="DT396" i="20"/>
  <c r="DP396" i="20"/>
  <c r="CO396" i="20"/>
  <c r="CN396" i="20"/>
  <c r="AV396" i="20"/>
  <c r="AU396" i="20"/>
  <c r="AT396" i="20"/>
  <c r="AS396" i="20"/>
  <c r="AJ396" i="20"/>
  <c r="CZ396" i="20" s="1"/>
  <c r="AH396" i="20"/>
  <c r="AE396" i="20"/>
  <c r="AD396" i="20"/>
  <c r="AA396" i="20"/>
  <c r="Z396" i="20" s="1"/>
  <c r="S396" i="20"/>
  <c r="R396" i="20" s="1"/>
  <c r="O396" i="20"/>
  <c r="L396" i="20"/>
  <c r="BF396" i="20" s="1"/>
  <c r="GH164" i="20"/>
  <c r="EI164" i="20"/>
  <c r="DT164" i="20"/>
  <c r="DP164" i="20"/>
  <c r="CO164" i="20"/>
  <c r="CN164" i="20"/>
  <c r="AV164" i="20"/>
  <c r="AU164" i="20"/>
  <c r="AT164" i="20"/>
  <c r="AS164" i="20"/>
  <c r="AH164" i="20"/>
  <c r="AE164" i="20"/>
  <c r="AD164" i="20"/>
  <c r="AA164" i="20"/>
  <c r="S164" i="20"/>
  <c r="AB164" i="20" s="1"/>
  <c r="O164" i="20"/>
  <c r="L164" i="20"/>
  <c r="P164" i="20" s="1"/>
  <c r="GH163" i="20"/>
  <c r="EI163" i="20"/>
  <c r="DT163" i="20"/>
  <c r="DP163" i="20"/>
  <c r="CO163" i="20"/>
  <c r="CN163" i="20"/>
  <c r="AV163" i="20"/>
  <c r="AU163" i="20"/>
  <c r="AT163" i="20"/>
  <c r="AS163" i="20"/>
  <c r="AH163" i="20"/>
  <c r="AE163" i="20"/>
  <c r="AF163" i="20" s="1"/>
  <c r="AG163" i="20" s="1"/>
  <c r="AD163" i="20"/>
  <c r="AA163" i="20"/>
  <c r="S163" i="20"/>
  <c r="O163" i="20"/>
  <c r="L163" i="20"/>
  <c r="DQ163" i="20" s="1"/>
  <c r="GH162" i="20"/>
  <c r="EI162" i="20"/>
  <c r="DT162" i="20"/>
  <c r="DP162" i="20"/>
  <c r="CO162" i="20"/>
  <c r="CN162" i="20"/>
  <c r="AV162" i="20"/>
  <c r="AU162" i="20"/>
  <c r="AT162" i="20"/>
  <c r="AS162" i="20"/>
  <c r="AH162" i="20"/>
  <c r="AE162" i="20"/>
  <c r="BI162" i="20" s="1"/>
  <c r="AD162" i="20"/>
  <c r="AA162" i="20"/>
  <c r="S162" i="20"/>
  <c r="CI162" i="20" s="1"/>
  <c r="O162" i="20"/>
  <c r="L162" i="20"/>
  <c r="AO162" i="20" s="1"/>
  <c r="CL162" i="20" s="1"/>
  <c r="CM162" i="20" s="1"/>
  <c r="GH380" i="20"/>
  <c r="EI380" i="20"/>
  <c r="DT380" i="20"/>
  <c r="DP380" i="20"/>
  <c r="CO380" i="20"/>
  <c r="CN380" i="20"/>
  <c r="AV380" i="20"/>
  <c r="AU380" i="20"/>
  <c r="AT380" i="20"/>
  <c r="AS380" i="20"/>
  <c r="AJ380" i="20"/>
  <c r="CZ380" i="20" s="1"/>
  <c r="AH380" i="20"/>
  <c r="AE380" i="20"/>
  <c r="BI380" i="20" s="1"/>
  <c r="AD380" i="20"/>
  <c r="AA380" i="20"/>
  <c r="Z380" i="20" s="1"/>
  <c r="S380" i="20"/>
  <c r="O380" i="20"/>
  <c r="L380" i="20"/>
  <c r="P380" i="20" s="1"/>
  <c r="GH160" i="20"/>
  <c r="EI160" i="20"/>
  <c r="DT160" i="20"/>
  <c r="DP160" i="20"/>
  <c r="CO160" i="20"/>
  <c r="CN160" i="20"/>
  <c r="AV160" i="20"/>
  <c r="AU160" i="20"/>
  <c r="AT160" i="20"/>
  <c r="AS160" i="20"/>
  <c r="AH160" i="20"/>
  <c r="AE160" i="20"/>
  <c r="AD160" i="20"/>
  <c r="AA160" i="20"/>
  <c r="S160" i="20"/>
  <c r="CI160" i="20" s="1"/>
  <c r="O160" i="20"/>
  <c r="L160" i="20"/>
  <c r="DQ160" i="20" s="1"/>
  <c r="GH159" i="20"/>
  <c r="EI159" i="20"/>
  <c r="DT159" i="20"/>
  <c r="DP159" i="20"/>
  <c r="CO159" i="20"/>
  <c r="CN159" i="20"/>
  <c r="AV159" i="20"/>
  <c r="AU159" i="20"/>
  <c r="AT159" i="20"/>
  <c r="AS159" i="20"/>
  <c r="AH159" i="20"/>
  <c r="AE159" i="20"/>
  <c r="AD159" i="20"/>
  <c r="AA159" i="20"/>
  <c r="S159" i="20"/>
  <c r="CI159" i="20" s="1"/>
  <c r="O159" i="20"/>
  <c r="L159" i="20"/>
  <c r="AO159" i="20" s="1"/>
  <c r="GH158" i="20"/>
  <c r="EI158" i="20"/>
  <c r="DT158" i="20"/>
  <c r="DP158" i="20"/>
  <c r="CO158" i="20"/>
  <c r="CN158" i="20"/>
  <c r="AV158" i="20"/>
  <c r="AU158" i="20"/>
  <c r="AT158" i="20"/>
  <c r="AS158" i="20"/>
  <c r="AH158" i="20"/>
  <c r="AE158" i="20"/>
  <c r="AD158" i="20"/>
  <c r="AA158" i="20"/>
  <c r="S158" i="20"/>
  <c r="CI158" i="20" s="1"/>
  <c r="O158" i="20"/>
  <c r="L158" i="20"/>
  <c r="AO158" i="20" s="1"/>
  <c r="GH193" i="20"/>
  <c r="EI193" i="20"/>
  <c r="DT193" i="20"/>
  <c r="DP193" i="20"/>
  <c r="CO193" i="20"/>
  <c r="CN193" i="20"/>
  <c r="AV193" i="20"/>
  <c r="AU193" i="20"/>
  <c r="AT193" i="20"/>
  <c r="AS193" i="20"/>
  <c r="AJ193" i="20"/>
  <c r="CZ193" i="20" s="1"/>
  <c r="AH193" i="20"/>
  <c r="AE193" i="20"/>
  <c r="BI193" i="20" s="1"/>
  <c r="AD193" i="20"/>
  <c r="AA193" i="20"/>
  <c r="Z193" i="20" s="1"/>
  <c r="S193" i="20"/>
  <c r="O193" i="20"/>
  <c r="L193" i="20"/>
  <c r="GH156" i="20"/>
  <c r="EI156" i="20"/>
  <c r="DT156" i="20"/>
  <c r="DP156" i="20"/>
  <c r="CO156" i="20"/>
  <c r="CN156" i="20"/>
  <c r="AV156" i="20"/>
  <c r="AU156" i="20"/>
  <c r="AT156" i="20"/>
  <c r="AS156" i="20"/>
  <c r="AH156" i="20"/>
  <c r="AE156" i="20"/>
  <c r="BI156" i="20" s="1"/>
  <c r="AD156" i="20"/>
  <c r="AA156" i="20"/>
  <c r="S156" i="20"/>
  <c r="O156" i="20"/>
  <c r="L156" i="20"/>
  <c r="U156" i="20" s="1"/>
  <c r="GH155" i="20"/>
  <c r="EI155" i="20"/>
  <c r="DT155" i="20"/>
  <c r="DP155" i="20"/>
  <c r="CO155" i="20"/>
  <c r="CN155" i="20"/>
  <c r="AV155" i="20"/>
  <c r="AU155" i="20"/>
  <c r="AT155" i="20"/>
  <c r="AS155" i="20"/>
  <c r="AH155" i="20"/>
  <c r="AE155" i="20"/>
  <c r="AD155" i="20"/>
  <c r="AA155" i="20"/>
  <c r="S155" i="20"/>
  <c r="CI155" i="20" s="1"/>
  <c r="O155" i="20"/>
  <c r="L155" i="20"/>
  <c r="U155" i="20" s="1"/>
  <c r="GH154" i="20"/>
  <c r="EI154" i="20"/>
  <c r="DT154" i="20"/>
  <c r="DP154" i="20"/>
  <c r="CO154" i="20"/>
  <c r="CN154" i="20"/>
  <c r="AV154" i="20"/>
  <c r="AU154" i="20"/>
  <c r="AT154" i="20"/>
  <c r="AS154" i="20"/>
  <c r="AH154" i="20"/>
  <c r="AE154" i="20"/>
  <c r="AD154" i="20"/>
  <c r="AA154" i="20"/>
  <c r="S154" i="20"/>
  <c r="O154" i="20"/>
  <c r="L154" i="20"/>
  <c r="U154" i="20" s="1"/>
  <c r="DP153" i="20"/>
  <c r="AJ153" i="20"/>
  <c r="AE153" i="20"/>
  <c r="BI153" i="20" s="1"/>
  <c r="AA153" i="20"/>
  <c r="W153" i="20"/>
  <c r="U153" i="20"/>
  <c r="S153" i="20"/>
  <c r="GF153" i="20" s="1"/>
  <c r="Q153" i="20"/>
  <c r="N153" i="20"/>
  <c r="GH153" i="20" s="1"/>
  <c r="M153" i="20"/>
  <c r="K153" i="20"/>
  <c r="J153" i="20"/>
  <c r="CO153" i="20" s="1"/>
  <c r="DP152" i="20"/>
  <c r="AJ152" i="20"/>
  <c r="AE152" i="20"/>
  <c r="AA152" i="20"/>
  <c r="W152" i="20"/>
  <c r="U152" i="20"/>
  <c r="S152" i="20"/>
  <c r="GF152" i="20" s="1"/>
  <c r="Q152" i="20"/>
  <c r="N152" i="20"/>
  <c r="CN152" i="20" s="1"/>
  <c r="M152" i="20"/>
  <c r="K152" i="20"/>
  <c r="L152" i="20" s="1"/>
  <c r="AO152" i="20" s="1"/>
  <c r="J152" i="20"/>
  <c r="CO152" i="20" s="1"/>
  <c r="DP151" i="20"/>
  <c r="AJ151" i="20"/>
  <c r="AE151" i="20"/>
  <c r="AA151" i="20"/>
  <c r="W151" i="20"/>
  <c r="U151" i="20"/>
  <c r="S151" i="20"/>
  <c r="GF151" i="20" s="1"/>
  <c r="Q151" i="20"/>
  <c r="N151" i="20"/>
  <c r="M151" i="20"/>
  <c r="K151" i="20"/>
  <c r="DQ151" i="20" s="1"/>
  <c r="J151" i="20"/>
  <c r="CO151" i="20" s="1"/>
  <c r="DP150" i="20"/>
  <c r="AJ150" i="20"/>
  <c r="AE150" i="20"/>
  <c r="BI150" i="20" s="1"/>
  <c r="AA150" i="20"/>
  <c r="W150" i="20"/>
  <c r="U150" i="20"/>
  <c r="S150" i="20"/>
  <c r="GF150" i="20" s="1"/>
  <c r="Q150" i="20"/>
  <c r="N150" i="20"/>
  <c r="M150" i="20"/>
  <c r="K150" i="20"/>
  <c r="DQ150" i="20" s="1"/>
  <c r="J150" i="20"/>
  <c r="CO150" i="20" s="1"/>
  <c r="DP149" i="20"/>
  <c r="AJ149" i="20"/>
  <c r="AE149" i="20"/>
  <c r="BI149" i="20" s="1"/>
  <c r="AA149" i="20"/>
  <c r="W149" i="20"/>
  <c r="U149" i="20"/>
  <c r="S149" i="20"/>
  <c r="GF149" i="20" s="1"/>
  <c r="Q149" i="20"/>
  <c r="N149" i="20"/>
  <c r="M149" i="20"/>
  <c r="K149" i="20"/>
  <c r="J149" i="20"/>
  <c r="CO149" i="20" s="1"/>
  <c r="DP148" i="20"/>
  <c r="AJ148" i="20"/>
  <c r="AE148" i="20"/>
  <c r="AA148" i="20"/>
  <c r="W148" i="20"/>
  <c r="U148" i="20"/>
  <c r="S148" i="20"/>
  <c r="Q148" i="20"/>
  <c r="N148" i="20"/>
  <c r="GH148" i="20" s="1"/>
  <c r="M148" i="20"/>
  <c r="K148" i="20"/>
  <c r="L148" i="20" s="1"/>
  <c r="AO148" i="20" s="1"/>
  <c r="J148" i="20"/>
  <c r="CO148" i="20" s="1"/>
  <c r="GH147" i="20"/>
  <c r="ET147" i="20"/>
  <c r="ES147" i="20" s="1"/>
  <c r="EI147" i="20"/>
  <c r="EG147" i="20"/>
  <c r="DP147" i="20"/>
  <c r="CO147" i="20"/>
  <c r="CN147" i="20"/>
  <c r="CL147" i="20"/>
  <c r="CM147" i="20" s="1"/>
  <c r="AR147" i="20"/>
  <c r="AG147" i="20"/>
  <c r="AD147" i="20"/>
  <c r="AE147" i="20" s="1"/>
  <c r="AA147" i="20"/>
  <c r="W147" i="20"/>
  <c r="S147" i="20"/>
  <c r="P147" i="20"/>
  <c r="K147" i="20"/>
  <c r="GH146" i="20"/>
  <c r="ET146" i="20"/>
  <c r="ES146" i="20" s="1"/>
  <c r="EI146" i="20"/>
  <c r="EG146" i="20"/>
  <c r="DP146" i="20"/>
  <c r="CO146" i="20"/>
  <c r="CN146" i="20"/>
  <c r="CL146" i="20"/>
  <c r="CM146" i="20" s="1"/>
  <c r="AR146" i="20"/>
  <c r="AG146" i="20"/>
  <c r="EB146" i="20" s="1"/>
  <c r="AD146" i="20"/>
  <c r="AE146" i="20" s="1"/>
  <c r="AA146" i="20"/>
  <c r="W146" i="20"/>
  <c r="S146" i="20"/>
  <c r="P146" i="20"/>
  <c r="K146" i="20"/>
  <c r="DT146" i="20" s="1"/>
  <c r="GH145" i="20"/>
  <c r="ET145" i="20"/>
  <c r="ES145" i="20" s="1"/>
  <c r="EI145" i="20"/>
  <c r="EG145" i="20"/>
  <c r="DP145" i="20"/>
  <c r="CO145" i="20"/>
  <c r="CN145" i="20"/>
  <c r="CL145" i="20"/>
  <c r="CM145" i="20" s="1"/>
  <c r="AR145" i="20"/>
  <c r="AG145" i="20"/>
  <c r="AD145" i="20"/>
  <c r="AE145" i="20" s="1"/>
  <c r="AA145" i="20"/>
  <c r="W145" i="20"/>
  <c r="S145" i="20"/>
  <c r="P145" i="20"/>
  <c r="K145" i="20"/>
  <c r="DT145" i="20" s="1"/>
  <c r="GH144" i="20"/>
  <c r="ET144" i="20"/>
  <c r="ES144" i="20" s="1"/>
  <c r="EI144" i="20"/>
  <c r="EG144" i="20"/>
  <c r="DP144" i="20"/>
  <c r="CO144" i="20"/>
  <c r="CN144" i="20"/>
  <c r="CL144" i="20"/>
  <c r="CM144" i="20" s="1"/>
  <c r="AR144" i="20"/>
  <c r="AG144" i="20"/>
  <c r="EB144" i="20" s="1"/>
  <c r="AD144" i="20"/>
  <c r="AE144" i="20" s="1"/>
  <c r="BI144" i="20" s="1"/>
  <c r="AA144" i="20"/>
  <c r="W144" i="20"/>
  <c r="S144" i="20"/>
  <c r="P144" i="20"/>
  <c r="K144" i="20"/>
  <c r="DQ144" i="20" s="1"/>
  <c r="GH143" i="20"/>
  <c r="ET143" i="20"/>
  <c r="ES143" i="20" s="1"/>
  <c r="EI143" i="20"/>
  <c r="EG143" i="20"/>
  <c r="DP143" i="20"/>
  <c r="CO143" i="20"/>
  <c r="CN143" i="20"/>
  <c r="AG143" i="20"/>
  <c r="EB143" i="20" s="1"/>
  <c r="AD143" i="20"/>
  <c r="AE143" i="20" s="1"/>
  <c r="AA143" i="20"/>
  <c r="W143" i="20"/>
  <c r="S143" i="20"/>
  <c r="GF143" i="20" s="1"/>
  <c r="P143" i="20"/>
  <c r="K143" i="20"/>
  <c r="GH142" i="20"/>
  <c r="ET142" i="20"/>
  <c r="ES142" i="20" s="1"/>
  <c r="EI142" i="20"/>
  <c r="EG142" i="20"/>
  <c r="DP142" i="20"/>
  <c r="CO142" i="20"/>
  <c r="CN142" i="20"/>
  <c r="AG142" i="20"/>
  <c r="EB142" i="20" s="1"/>
  <c r="AD142" i="20"/>
  <c r="AE142" i="20" s="1"/>
  <c r="BI142" i="20" s="1"/>
  <c r="AA142" i="20"/>
  <c r="W142" i="20"/>
  <c r="S142" i="20"/>
  <c r="P142" i="20"/>
  <c r="K142" i="20"/>
  <c r="L142" i="20" s="1"/>
  <c r="DR142" i="20" s="1"/>
  <c r="GH141" i="20"/>
  <c r="ET141" i="20"/>
  <c r="ES141" i="20" s="1"/>
  <c r="EI141" i="20"/>
  <c r="EG141" i="20"/>
  <c r="DP141" i="20"/>
  <c r="CO141" i="20"/>
  <c r="CN141" i="20"/>
  <c r="CL141" i="20"/>
  <c r="CM141" i="20" s="1"/>
  <c r="AR141" i="20"/>
  <c r="AG141" i="20"/>
  <c r="AD141" i="20"/>
  <c r="AE141" i="20" s="1"/>
  <c r="AA141" i="20"/>
  <c r="W141" i="20"/>
  <c r="S141" i="20"/>
  <c r="P141" i="20"/>
  <c r="K141" i="20"/>
  <c r="GH140" i="20"/>
  <c r="ET140" i="20"/>
  <c r="ES140" i="20" s="1"/>
  <c r="EI140" i="20"/>
  <c r="EG140" i="20"/>
  <c r="DP140" i="20"/>
  <c r="CO140" i="20"/>
  <c r="CN140" i="20"/>
  <c r="CL140" i="20"/>
  <c r="CM140" i="20" s="1"/>
  <c r="AR140" i="20"/>
  <c r="AG140" i="20"/>
  <c r="EB140" i="20" s="1"/>
  <c r="AD140" i="20"/>
  <c r="AE140" i="20" s="1"/>
  <c r="BI140" i="20" s="1"/>
  <c r="AA140" i="20"/>
  <c r="W140" i="20"/>
  <c r="S140" i="20"/>
  <c r="P140" i="20"/>
  <c r="K140" i="20"/>
  <c r="AS140" i="20" s="1"/>
  <c r="AU140" i="20" s="1"/>
  <c r="GH139" i="20"/>
  <c r="ET139" i="20"/>
  <c r="ES139" i="20" s="1"/>
  <c r="EI139" i="20"/>
  <c r="EG139" i="20"/>
  <c r="DP139" i="20"/>
  <c r="CO139" i="20"/>
  <c r="CN139" i="20"/>
  <c r="AG139" i="20"/>
  <c r="EB139" i="20" s="1"/>
  <c r="AD139" i="20"/>
  <c r="AE139" i="20" s="1"/>
  <c r="BI139" i="20" s="1"/>
  <c r="AA139" i="20"/>
  <c r="W139" i="20"/>
  <c r="S139" i="20"/>
  <c r="GF139" i="20" s="1"/>
  <c r="P139" i="20"/>
  <c r="K139" i="20"/>
  <c r="GH138" i="20"/>
  <c r="ET138" i="20"/>
  <c r="ES138" i="20" s="1"/>
  <c r="EI138" i="20"/>
  <c r="EG138" i="20"/>
  <c r="DP138" i="20"/>
  <c r="CO138" i="20"/>
  <c r="CN138" i="20"/>
  <c r="AG138" i="20"/>
  <c r="EB138" i="20" s="1"/>
  <c r="AD138" i="20"/>
  <c r="AE138" i="20" s="1"/>
  <c r="AA138" i="20"/>
  <c r="W138" i="20"/>
  <c r="S138" i="20"/>
  <c r="P138" i="20"/>
  <c r="K138" i="20"/>
  <c r="GH137" i="20"/>
  <c r="ET137" i="20"/>
  <c r="ES137" i="20" s="1"/>
  <c r="EI137" i="20"/>
  <c r="EG137" i="20"/>
  <c r="DP137" i="20"/>
  <c r="CO137" i="20"/>
  <c r="CN137" i="20"/>
  <c r="AG137" i="20"/>
  <c r="EB137" i="20" s="1"/>
  <c r="AD137" i="20"/>
  <c r="AE137" i="20" s="1"/>
  <c r="BI137" i="20" s="1"/>
  <c r="AA137" i="20"/>
  <c r="W137" i="20"/>
  <c r="S137" i="20"/>
  <c r="P137" i="20"/>
  <c r="K137" i="20"/>
  <c r="DT137" i="20" s="1"/>
  <c r="GH136" i="20"/>
  <c r="ET136" i="20"/>
  <c r="ES136" i="20" s="1"/>
  <c r="EI136" i="20"/>
  <c r="EG136" i="20"/>
  <c r="DP136" i="20"/>
  <c r="CO136" i="20"/>
  <c r="CN136" i="20"/>
  <c r="AG136" i="20"/>
  <c r="EB136" i="20" s="1"/>
  <c r="AD136" i="20"/>
  <c r="AE136" i="20" s="1"/>
  <c r="AA136" i="20"/>
  <c r="W136" i="20"/>
  <c r="S136" i="20"/>
  <c r="GF136" i="20" s="1"/>
  <c r="P136" i="20"/>
  <c r="K136" i="20"/>
  <c r="GH135" i="20"/>
  <c r="ET135" i="20"/>
  <c r="ES135" i="20" s="1"/>
  <c r="EI135" i="20"/>
  <c r="EG135" i="20"/>
  <c r="DP135" i="20"/>
  <c r="CO135" i="20"/>
  <c r="CN135" i="20"/>
  <c r="AG135" i="20"/>
  <c r="EB135" i="20" s="1"/>
  <c r="AD135" i="20"/>
  <c r="AE135" i="20" s="1"/>
  <c r="BI135" i="20" s="1"/>
  <c r="AA135" i="20"/>
  <c r="W135" i="20"/>
  <c r="S135" i="20"/>
  <c r="GF135" i="20" s="1"/>
  <c r="P135" i="20"/>
  <c r="K135" i="20"/>
  <c r="GH134" i="20"/>
  <c r="ET134" i="20"/>
  <c r="ES134" i="20" s="1"/>
  <c r="EI134" i="20"/>
  <c r="EG134" i="20"/>
  <c r="DP134" i="20"/>
  <c r="CO134" i="20"/>
  <c r="CN134" i="20"/>
  <c r="AG134" i="20"/>
  <c r="EB134" i="20" s="1"/>
  <c r="AD134" i="20"/>
  <c r="AE134" i="20" s="1"/>
  <c r="AA134" i="20"/>
  <c r="W134" i="20"/>
  <c r="S134" i="20"/>
  <c r="P134" i="20"/>
  <c r="K134" i="20"/>
  <c r="DQ134" i="20" s="1"/>
  <c r="GH133" i="20"/>
  <c r="ET133" i="20"/>
  <c r="ES133" i="20" s="1"/>
  <c r="EI133" i="20"/>
  <c r="EG133" i="20"/>
  <c r="DP133" i="20"/>
  <c r="CO133" i="20"/>
  <c r="CN133" i="20"/>
  <c r="AG133" i="20"/>
  <c r="EB133" i="20" s="1"/>
  <c r="AD133" i="20"/>
  <c r="AE133" i="20" s="1"/>
  <c r="BI133" i="20" s="1"/>
  <c r="AA133" i="20"/>
  <c r="W133" i="20"/>
  <c r="S133" i="20"/>
  <c r="P133" i="20"/>
  <c r="K133" i="20"/>
  <c r="DT133" i="20" s="1"/>
  <c r="GH132" i="20"/>
  <c r="ET132" i="20"/>
  <c r="ES132" i="20" s="1"/>
  <c r="EI132" i="20"/>
  <c r="EG132" i="20"/>
  <c r="DP132" i="20"/>
  <c r="CO132" i="20"/>
  <c r="CN132" i="20"/>
  <c r="AG132" i="20"/>
  <c r="EB132" i="20" s="1"/>
  <c r="AD132" i="20"/>
  <c r="AE132" i="20" s="1"/>
  <c r="AA132" i="20"/>
  <c r="W132" i="20"/>
  <c r="S132" i="20"/>
  <c r="P132" i="20"/>
  <c r="K132" i="20"/>
  <c r="DQ132" i="20" s="1"/>
  <c r="GH131" i="20"/>
  <c r="ET131" i="20"/>
  <c r="ES131" i="20" s="1"/>
  <c r="EI131" i="20"/>
  <c r="EG131" i="20"/>
  <c r="DP131" i="20"/>
  <c r="CO131" i="20"/>
  <c r="CN131" i="20"/>
  <c r="AG131" i="20"/>
  <c r="EB131" i="20" s="1"/>
  <c r="AD131" i="20"/>
  <c r="AE131" i="20" s="1"/>
  <c r="BI131" i="20" s="1"/>
  <c r="AA131" i="20"/>
  <c r="W131" i="20"/>
  <c r="S131" i="20"/>
  <c r="P131" i="20"/>
  <c r="K131" i="20"/>
  <c r="GH130" i="20"/>
  <c r="ET130" i="20"/>
  <c r="ES130" i="20" s="1"/>
  <c r="EI130" i="20"/>
  <c r="EG130" i="20"/>
  <c r="DP130" i="20"/>
  <c r="CO130" i="20"/>
  <c r="CN130" i="20"/>
  <c r="AG130" i="20"/>
  <c r="EB130" i="20" s="1"/>
  <c r="AD130" i="20"/>
  <c r="AE130" i="20" s="1"/>
  <c r="AA130" i="20"/>
  <c r="W130" i="20"/>
  <c r="S130" i="20"/>
  <c r="P130" i="20"/>
  <c r="K130" i="20"/>
  <c r="GH129" i="20"/>
  <c r="ET129" i="20"/>
  <c r="ES129" i="20" s="1"/>
  <c r="EI129" i="20"/>
  <c r="EG129" i="20"/>
  <c r="DP129" i="20"/>
  <c r="CO129" i="20"/>
  <c r="CN129" i="20"/>
  <c r="AG129" i="20"/>
  <c r="EB129" i="20" s="1"/>
  <c r="AD129" i="20"/>
  <c r="AA129" i="20"/>
  <c r="W129" i="20"/>
  <c r="S129" i="20"/>
  <c r="P129" i="20"/>
  <c r="K129" i="20"/>
  <c r="GH128" i="20"/>
  <c r="ET128" i="20"/>
  <c r="ES128" i="20" s="1"/>
  <c r="EI128" i="20"/>
  <c r="EG128" i="20"/>
  <c r="DP128" i="20"/>
  <c r="CO128" i="20"/>
  <c r="CN128" i="20"/>
  <c r="AG128" i="20"/>
  <c r="EB128" i="20" s="1"/>
  <c r="AD128" i="20"/>
  <c r="AE128" i="20" s="1"/>
  <c r="AA128" i="20"/>
  <c r="W128" i="20"/>
  <c r="S128" i="20"/>
  <c r="GF128" i="20" s="1"/>
  <c r="P128" i="20"/>
  <c r="K128" i="20"/>
  <c r="DT128" i="20" s="1"/>
  <c r="GH127" i="20"/>
  <c r="ET127" i="20"/>
  <c r="ES127" i="20" s="1"/>
  <c r="EI127" i="20"/>
  <c r="EG127" i="20"/>
  <c r="DP127" i="20"/>
  <c r="CO127" i="20"/>
  <c r="CN127" i="20"/>
  <c r="AG127" i="20"/>
  <c r="EB127" i="20" s="1"/>
  <c r="AD127" i="20"/>
  <c r="AE127" i="20" s="1"/>
  <c r="BI127" i="20" s="1"/>
  <c r="AA127" i="20"/>
  <c r="W127" i="20"/>
  <c r="S127" i="20"/>
  <c r="GF127" i="20" s="1"/>
  <c r="P127" i="20"/>
  <c r="K127" i="20"/>
  <c r="DT127" i="20" s="1"/>
  <c r="GH126" i="20"/>
  <c r="ET126" i="20"/>
  <c r="ES126" i="20" s="1"/>
  <c r="EI126" i="20"/>
  <c r="EG126" i="20"/>
  <c r="DP126" i="20"/>
  <c r="CO126" i="20"/>
  <c r="CN126" i="20"/>
  <c r="AG126" i="20"/>
  <c r="EB126" i="20" s="1"/>
  <c r="AD126" i="20"/>
  <c r="AE126" i="20" s="1"/>
  <c r="AA126" i="20"/>
  <c r="W126" i="20"/>
  <c r="S126" i="20"/>
  <c r="GF126" i="20" s="1"/>
  <c r="P126" i="20"/>
  <c r="K126" i="20"/>
  <c r="GH125" i="20"/>
  <c r="ET125" i="20"/>
  <c r="ES125" i="20" s="1"/>
  <c r="EI125" i="20"/>
  <c r="EG125" i="20"/>
  <c r="DP125" i="20"/>
  <c r="CO125" i="20"/>
  <c r="CN125" i="20"/>
  <c r="AG125" i="20"/>
  <c r="EB125" i="20" s="1"/>
  <c r="AD125" i="20"/>
  <c r="AE125" i="20" s="1"/>
  <c r="AA125" i="20"/>
  <c r="W125" i="20"/>
  <c r="S125" i="20"/>
  <c r="P125" i="20"/>
  <c r="K125" i="20"/>
  <c r="AS125" i="20" s="1"/>
  <c r="AU125" i="20" s="1"/>
  <c r="GH124" i="20"/>
  <c r="ET124" i="20"/>
  <c r="ES124" i="20" s="1"/>
  <c r="EI124" i="20"/>
  <c r="EG124" i="20"/>
  <c r="DP124" i="20"/>
  <c r="CO124" i="20"/>
  <c r="CN124" i="20"/>
  <c r="AG124" i="20"/>
  <c r="EB124" i="20" s="1"/>
  <c r="AD124" i="20"/>
  <c r="AE124" i="20" s="1"/>
  <c r="BI124" i="20" s="1"/>
  <c r="AA124" i="20"/>
  <c r="W124" i="20"/>
  <c r="S124" i="20"/>
  <c r="P124" i="20"/>
  <c r="K124" i="20"/>
  <c r="GH123" i="20"/>
  <c r="EI123" i="20"/>
  <c r="EG123" i="20"/>
  <c r="DP123" i="20"/>
  <c r="CO123" i="20"/>
  <c r="CN123" i="20"/>
  <c r="AO123" i="20"/>
  <c r="CL123" i="20" s="1"/>
  <c r="CM123" i="20" s="1"/>
  <c r="AE123" i="20"/>
  <c r="BI123" i="20" s="1"/>
  <c r="AA123" i="20"/>
  <c r="AC123" i="20" s="1"/>
  <c r="W123" i="20"/>
  <c r="S123" i="20"/>
  <c r="Q123" i="20"/>
  <c r="L123" i="20"/>
  <c r="K123" i="20"/>
  <c r="GK122" i="20"/>
  <c r="GH122" i="20"/>
  <c r="GM122" i="20" s="1"/>
  <c r="EI122" i="20"/>
  <c r="EG122" i="20"/>
  <c r="DP122" i="20"/>
  <c r="CO122" i="20"/>
  <c r="CN122" i="20"/>
  <c r="AE122" i="20"/>
  <c r="AF122" i="20" s="1"/>
  <c r="ET122" i="20" s="1"/>
  <c r="ES122" i="20" s="1"/>
  <c r="AA122" i="20"/>
  <c r="W122" i="20"/>
  <c r="S122" i="20"/>
  <c r="GF122" i="20" s="1"/>
  <c r="Q122" i="20"/>
  <c r="L122" i="20"/>
  <c r="BF122" i="20" s="1"/>
  <c r="CU122" i="20" s="1"/>
  <c r="DI122" i="20" s="1"/>
  <c r="K122" i="20"/>
  <c r="DT122" i="20" s="1"/>
  <c r="GH121" i="20"/>
  <c r="EI121" i="20"/>
  <c r="EG121" i="20"/>
  <c r="DP121" i="20"/>
  <c r="CO121" i="20"/>
  <c r="CN121" i="20"/>
  <c r="AE121" i="20"/>
  <c r="BI121" i="20" s="1"/>
  <c r="AA121" i="20"/>
  <c r="AC121" i="20" s="1"/>
  <c r="W121" i="20"/>
  <c r="S121" i="20"/>
  <c r="GF121" i="20" s="1"/>
  <c r="Q121" i="20"/>
  <c r="L121" i="20"/>
  <c r="K121" i="20"/>
  <c r="GH120" i="20"/>
  <c r="EI120" i="20"/>
  <c r="EG120" i="20"/>
  <c r="DP120" i="20"/>
  <c r="CO120" i="20"/>
  <c r="CN120" i="20"/>
  <c r="AE120" i="20"/>
  <c r="AA120" i="20"/>
  <c r="W120" i="20"/>
  <c r="S120" i="20"/>
  <c r="GF120" i="20" s="1"/>
  <c r="Q120" i="20"/>
  <c r="L120" i="20"/>
  <c r="BF120" i="20" s="1"/>
  <c r="CU120" i="20" s="1"/>
  <c r="K120" i="20"/>
  <c r="EG119" i="20"/>
  <c r="DP119" i="20"/>
  <c r="CO119" i="20"/>
  <c r="CN119" i="20"/>
  <c r="AM119" i="20"/>
  <c r="GH119" i="20" s="1"/>
  <c r="AE119" i="20"/>
  <c r="AA119" i="20"/>
  <c r="W119" i="20"/>
  <c r="S119" i="20"/>
  <c r="GF119" i="20" s="1"/>
  <c r="Q119" i="20"/>
  <c r="L119" i="20"/>
  <c r="K119" i="20"/>
  <c r="GH118" i="20"/>
  <c r="EI118" i="20"/>
  <c r="EG118" i="20"/>
  <c r="DT118" i="20"/>
  <c r="DR118" i="20"/>
  <c r="FG118" i="20" s="1"/>
  <c r="DQ118" i="20"/>
  <c r="DP118" i="20"/>
  <c r="CO118" i="20"/>
  <c r="CN118" i="20"/>
  <c r="BF118" i="20"/>
  <c r="AS118" i="20"/>
  <c r="AU118" i="20" s="1"/>
  <c r="AE118" i="20"/>
  <c r="AF118" i="20" s="1"/>
  <c r="AG118" i="20" s="1"/>
  <c r="AA118" i="20"/>
  <c r="AC118" i="20" s="1"/>
  <c r="W118" i="20"/>
  <c r="S118" i="20"/>
  <c r="Q118" i="20"/>
  <c r="GK117" i="20"/>
  <c r="GL117" i="20" s="1"/>
  <c r="GH117" i="20"/>
  <c r="EI117" i="20"/>
  <c r="EG117" i="20"/>
  <c r="DP117" i="20"/>
  <c r="CO117" i="20"/>
  <c r="CN117" i="20"/>
  <c r="AE117" i="20"/>
  <c r="AF117" i="20" s="1"/>
  <c r="ET117" i="20" s="1"/>
  <c r="ES117" i="20" s="1"/>
  <c r="AA117" i="20"/>
  <c r="AC117" i="20" s="1"/>
  <c r="W117" i="20"/>
  <c r="S117" i="20"/>
  <c r="Q117" i="20"/>
  <c r="L117" i="20"/>
  <c r="AO117" i="20" s="1"/>
  <c r="CL117" i="20" s="1"/>
  <c r="CM117" i="20" s="1"/>
  <c r="K117" i="20"/>
  <c r="DQ117" i="20" s="1"/>
  <c r="GH116" i="20"/>
  <c r="EI116" i="20"/>
  <c r="EG116" i="20"/>
  <c r="DP116" i="20"/>
  <c r="CO116" i="20"/>
  <c r="CN116" i="20"/>
  <c r="AE116" i="20"/>
  <c r="BI116" i="20" s="1"/>
  <c r="AA116" i="20"/>
  <c r="W116" i="20"/>
  <c r="S116" i="20"/>
  <c r="Q116" i="20"/>
  <c r="L116" i="20"/>
  <c r="AO116" i="20" s="1"/>
  <c r="CL116" i="20" s="1"/>
  <c r="CM116" i="20" s="1"/>
  <c r="K116" i="20"/>
  <c r="DT116" i="20" s="1"/>
  <c r="GH115" i="20"/>
  <c r="EI115" i="20"/>
  <c r="EG115" i="20"/>
  <c r="DP115" i="20"/>
  <c r="CO115" i="20"/>
  <c r="CN115" i="20"/>
  <c r="AE115" i="20"/>
  <c r="AF115" i="20" s="1"/>
  <c r="ET115" i="20" s="1"/>
  <c r="ES115" i="20" s="1"/>
  <c r="AA115" i="20"/>
  <c r="W115" i="20"/>
  <c r="S115" i="20"/>
  <c r="Q115" i="20"/>
  <c r="L115" i="20"/>
  <c r="BF115" i="20" s="1"/>
  <c r="CU115" i="20" s="1"/>
  <c r="FO115" i="20" s="1"/>
  <c r="K115" i="20"/>
  <c r="DQ115" i="20" s="1"/>
  <c r="GH114" i="20"/>
  <c r="EI114" i="20"/>
  <c r="EG114" i="20"/>
  <c r="DP114" i="20"/>
  <c r="CO114" i="20"/>
  <c r="CN114" i="20"/>
  <c r="AE114" i="20"/>
  <c r="AA114" i="20"/>
  <c r="W114" i="20"/>
  <c r="S114" i="20"/>
  <c r="Q114" i="20"/>
  <c r="L114" i="20"/>
  <c r="AO114" i="20" s="1"/>
  <c r="CL114" i="20" s="1"/>
  <c r="CM114" i="20" s="1"/>
  <c r="K114" i="20"/>
  <c r="DT114" i="20" s="1"/>
  <c r="GH113" i="20"/>
  <c r="EI113" i="20"/>
  <c r="EG113" i="20"/>
  <c r="DP113" i="20"/>
  <c r="CO113" i="20"/>
  <c r="CN113" i="20"/>
  <c r="AE113" i="20"/>
  <c r="AF113" i="20" s="1"/>
  <c r="ET113" i="20" s="1"/>
  <c r="ES113" i="20" s="1"/>
  <c r="AA113" i="20"/>
  <c r="AC113" i="20" s="1"/>
  <c r="W113" i="20"/>
  <c r="S113" i="20"/>
  <c r="Q113" i="20"/>
  <c r="L113" i="20"/>
  <c r="AO113" i="20" s="1"/>
  <c r="CL113" i="20" s="1"/>
  <c r="CM113" i="20" s="1"/>
  <c r="K113" i="20"/>
  <c r="DQ113" i="20" s="1"/>
  <c r="GH112" i="20"/>
  <c r="EI112" i="20"/>
  <c r="EG112" i="20"/>
  <c r="DP112" i="20"/>
  <c r="CO112" i="20"/>
  <c r="CN112" i="20"/>
  <c r="AE112" i="20"/>
  <c r="BI112" i="20" s="1"/>
  <c r="AA112" i="20"/>
  <c r="S112" i="20"/>
  <c r="Q112" i="20"/>
  <c r="L112" i="20"/>
  <c r="AO112" i="20" s="1"/>
  <c r="CL112" i="20" s="1"/>
  <c r="CM112" i="20" s="1"/>
  <c r="K112" i="20"/>
  <c r="DQ112" i="20" s="1"/>
  <c r="GH111" i="20"/>
  <c r="EI111" i="20"/>
  <c r="EG111" i="20"/>
  <c r="DP111" i="20"/>
  <c r="CO111" i="20"/>
  <c r="CN111" i="20"/>
  <c r="AE111" i="20"/>
  <c r="BI111" i="20" s="1"/>
  <c r="AA111" i="20"/>
  <c r="AC111" i="20" s="1"/>
  <c r="W111" i="20"/>
  <c r="S111" i="20"/>
  <c r="GF111" i="20" s="1"/>
  <c r="Q111" i="20"/>
  <c r="L111" i="20"/>
  <c r="BF111" i="20" s="1"/>
  <c r="K111" i="20"/>
  <c r="DQ111" i="20" s="1"/>
  <c r="GH110" i="20"/>
  <c r="EI110" i="20"/>
  <c r="EG110" i="20"/>
  <c r="DP110" i="20"/>
  <c r="CO110" i="20"/>
  <c r="CN110" i="20"/>
  <c r="AE110" i="20"/>
  <c r="AA110" i="20"/>
  <c r="W110" i="20"/>
  <c r="Q110" i="20"/>
  <c r="L110" i="20"/>
  <c r="BF110" i="20" s="1"/>
  <c r="K110" i="20"/>
  <c r="DQ110" i="20" s="1"/>
  <c r="GH109" i="20"/>
  <c r="EI109" i="20"/>
  <c r="EG109" i="20"/>
  <c r="DP109" i="20"/>
  <c r="CO109" i="20"/>
  <c r="CN109" i="20"/>
  <c r="AE109" i="20"/>
  <c r="BI109" i="20" s="1"/>
  <c r="AA109" i="20"/>
  <c r="AC109" i="20" s="1"/>
  <c r="W109" i="20"/>
  <c r="Q109" i="20"/>
  <c r="L109" i="20"/>
  <c r="BF109" i="20" s="1"/>
  <c r="K109" i="20"/>
  <c r="DQ109" i="20" s="1"/>
  <c r="GH108" i="20"/>
  <c r="EI108" i="20"/>
  <c r="EG108" i="20"/>
  <c r="DP108" i="20"/>
  <c r="CO108" i="20"/>
  <c r="CN108" i="20"/>
  <c r="AE108" i="20"/>
  <c r="AA108" i="20"/>
  <c r="AC108" i="20" s="1"/>
  <c r="W108" i="20"/>
  <c r="S108" i="20"/>
  <c r="GF108" i="20" s="1"/>
  <c r="Q108" i="20"/>
  <c r="L108" i="20"/>
  <c r="BF108" i="20" s="1"/>
  <c r="K108" i="20"/>
  <c r="DQ108" i="20" s="1"/>
  <c r="GH107" i="20"/>
  <c r="EI107" i="20"/>
  <c r="EG107" i="20"/>
  <c r="DP107" i="20"/>
  <c r="CO107" i="20"/>
  <c r="CN107" i="20"/>
  <c r="AE107" i="20"/>
  <c r="BI107" i="20" s="1"/>
  <c r="AA107" i="20"/>
  <c r="S107" i="20"/>
  <c r="GF107" i="20" s="1"/>
  <c r="Q107" i="20"/>
  <c r="L107" i="20"/>
  <c r="AO107" i="20" s="1"/>
  <c r="CL107" i="20" s="1"/>
  <c r="CM107" i="20" s="1"/>
  <c r="K107" i="20"/>
  <c r="DQ107" i="20" s="1"/>
  <c r="GH106" i="20"/>
  <c r="EI106" i="20"/>
  <c r="DP106" i="20"/>
  <c r="CO106" i="20"/>
  <c r="CN106" i="20"/>
  <c r="AX106" i="20"/>
  <c r="AX107" i="20" s="1"/>
  <c r="AX108" i="20" s="1"/>
  <c r="AE106" i="20"/>
  <c r="BI106" i="20" s="1"/>
  <c r="AA106" i="20"/>
  <c r="W106" i="20"/>
  <c r="Q106" i="20"/>
  <c r="L106" i="20"/>
  <c r="BF106" i="20" s="1"/>
  <c r="K106" i="20"/>
  <c r="GH105" i="20"/>
  <c r="EI105" i="20"/>
  <c r="DP105" i="20"/>
  <c r="CO105" i="20"/>
  <c r="CN105" i="20"/>
  <c r="AL105" i="20"/>
  <c r="AE105" i="20"/>
  <c r="AA105" i="20"/>
  <c r="AC105" i="20" s="1"/>
  <c r="W105" i="20"/>
  <c r="Q105" i="20"/>
  <c r="U106" i="20" s="1"/>
  <c r="EG106" i="20" s="1"/>
  <c r="L105" i="20"/>
  <c r="AO105" i="20" s="1"/>
  <c r="CL105" i="20" s="1"/>
  <c r="CM105" i="20" s="1"/>
  <c r="K105" i="20"/>
  <c r="DT105" i="20" s="1"/>
  <c r="DP104" i="20"/>
  <c r="AE104" i="20"/>
  <c r="BI104" i="20" s="1"/>
  <c r="AA104" i="20"/>
  <c r="U104" i="20"/>
  <c r="S104" i="20"/>
  <c r="GF104" i="20" s="1"/>
  <c r="Q104" i="20"/>
  <c r="N104" i="20"/>
  <c r="GH104" i="20" s="1"/>
  <c r="M104" i="20"/>
  <c r="K104" i="20"/>
  <c r="AS104" i="20" s="1"/>
  <c r="J104" i="20"/>
  <c r="CO104" i="20" s="1"/>
  <c r="DP103" i="20"/>
  <c r="AE103" i="20"/>
  <c r="AA103" i="20"/>
  <c r="U103" i="20"/>
  <c r="S103" i="20"/>
  <c r="Q103" i="20"/>
  <c r="N103" i="20"/>
  <c r="CN103" i="20" s="1"/>
  <c r="M103" i="20"/>
  <c r="K103" i="20"/>
  <c r="J103" i="20"/>
  <c r="CO103" i="20" s="1"/>
  <c r="DP102" i="20"/>
  <c r="AL102" i="20"/>
  <c r="AJ102" i="20"/>
  <c r="AE102" i="20"/>
  <c r="AA102" i="20"/>
  <c r="U102" i="20"/>
  <c r="S102" i="20"/>
  <c r="GF102" i="20" s="1"/>
  <c r="Q102" i="20"/>
  <c r="N102" i="20"/>
  <c r="M102" i="20"/>
  <c r="K102" i="20"/>
  <c r="J102" i="20"/>
  <c r="CO102" i="20" s="1"/>
  <c r="DP101" i="20"/>
  <c r="AE101" i="20"/>
  <c r="AF101" i="20" s="1"/>
  <c r="AA101" i="20"/>
  <c r="U101" i="20"/>
  <c r="S101" i="20"/>
  <c r="Q101" i="20"/>
  <c r="N101" i="20"/>
  <c r="EI101" i="20" s="1"/>
  <c r="M101" i="20"/>
  <c r="K101" i="20"/>
  <c r="J101" i="20"/>
  <c r="CO101" i="20" s="1"/>
  <c r="DP100" i="20"/>
  <c r="AE100" i="20"/>
  <c r="AF100" i="20" s="1"/>
  <c r="ET100" i="20" s="1"/>
  <c r="AA100" i="20"/>
  <c r="U100" i="20"/>
  <c r="S100" i="20"/>
  <c r="Q100" i="20"/>
  <c r="N100" i="20"/>
  <c r="M100" i="20"/>
  <c r="K100" i="20"/>
  <c r="DQ100" i="20" s="1"/>
  <c r="J100" i="20"/>
  <c r="CO100" i="20" s="1"/>
  <c r="DP99" i="20"/>
  <c r="AL99" i="20"/>
  <c r="AJ99" i="20"/>
  <c r="AE99" i="20"/>
  <c r="BI99" i="20" s="1"/>
  <c r="AA99" i="20"/>
  <c r="U99" i="20"/>
  <c r="S99" i="20"/>
  <c r="Q99" i="20"/>
  <c r="N99" i="20"/>
  <c r="M99" i="20"/>
  <c r="K99" i="20"/>
  <c r="DQ99" i="20" s="1"/>
  <c r="J99" i="20"/>
  <c r="CO99" i="20" s="1"/>
  <c r="DP98" i="20"/>
  <c r="AL98" i="20"/>
  <c r="AJ98" i="20"/>
  <c r="AE98" i="20"/>
  <c r="AF98" i="20" s="1"/>
  <c r="ET98" i="20" s="1"/>
  <c r="AA98" i="20"/>
  <c r="U98" i="20"/>
  <c r="S98" i="20"/>
  <c r="Q98" i="20"/>
  <c r="N98" i="20"/>
  <c r="M98" i="20"/>
  <c r="K98" i="20"/>
  <c r="L98" i="20" s="1"/>
  <c r="AO98" i="20" s="1"/>
  <c r="J98" i="20"/>
  <c r="CO98" i="20" s="1"/>
  <c r="DP97" i="20"/>
  <c r="AE97" i="20"/>
  <c r="BI97" i="20" s="1"/>
  <c r="AA97" i="20"/>
  <c r="U97" i="20"/>
  <c r="S97" i="20"/>
  <c r="GF97" i="20" s="1"/>
  <c r="Q97" i="20"/>
  <c r="N97" i="20"/>
  <c r="M97" i="20"/>
  <c r="K97" i="20"/>
  <c r="J97" i="20"/>
  <c r="CO97" i="20" s="1"/>
  <c r="DP96" i="20"/>
  <c r="AL96" i="20"/>
  <c r="AJ96" i="20"/>
  <c r="AE96" i="20"/>
  <c r="AF96" i="20" s="1"/>
  <c r="ET96" i="20" s="1"/>
  <c r="AA96" i="20"/>
  <c r="U96" i="20"/>
  <c r="S96" i="20"/>
  <c r="GF96" i="20" s="1"/>
  <c r="Q96" i="20"/>
  <c r="N96" i="20"/>
  <c r="GH96" i="20" s="1"/>
  <c r="M96" i="20"/>
  <c r="K96" i="20"/>
  <c r="J96" i="20"/>
  <c r="CO96" i="20" s="1"/>
  <c r="DP95" i="20"/>
  <c r="AE95" i="20"/>
  <c r="BI95" i="20" s="1"/>
  <c r="AA95" i="20"/>
  <c r="U95" i="20"/>
  <c r="S95" i="20"/>
  <c r="Q95" i="20"/>
  <c r="N95" i="20"/>
  <c r="M95" i="20"/>
  <c r="K95" i="20"/>
  <c r="DQ95" i="20" s="1"/>
  <c r="J95" i="20"/>
  <c r="CO95" i="20" s="1"/>
  <c r="GH94" i="20"/>
  <c r="EI94" i="20"/>
  <c r="DP94" i="20"/>
  <c r="CO94" i="20"/>
  <c r="CN94" i="20"/>
  <c r="AE94" i="20"/>
  <c r="AF94" i="20" s="1"/>
  <c r="AA94" i="20"/>
  <c r="U94" i="20"/>
  <c r="EG94" i="20" s="1"/>
  <c r="Q94" i="20"/>
  <c r="L94" i="20"/>
  <c r="AO94" i="20" s="1"/>
  <c r="K94" i="20"/>
  <c r="GH93" i="20"/>
  <c r="EI93" i="20"/>
  <c r="DP93" i="20"/>
  <c r="CO93" i="20"/>
  <c r="CN93" i="20"/>
  <c r="AE93" i="20"/>
  <c r="AA93" i="20"/>
  <c r="U93" i="20"/>
  <c r="Q93" i="20"/>
  <c r="L93" i="20"/>
  <c r="BF93" i="20" s="1"/>
  <c r="CU93" i="20" s="1"/>
  <c r="K93" i="20"/>
  <c r="GH92" i="20"/>
  <c r="GG92" i="20" s="1"/>
  <c r="EI92" i="20"/>
  <c r="DP92" i="20"/>
  <c r="CO92" i="20"/>
  <c r="CN92" i="20"/>
  <c r="CL92" i="20"/>
  <c r="CM92" i="20" s="1"/>
  <c r="AE92" i="20"/>
  <c r="AF92" i="20" s="1"/>
  <c r="AA92" i="20"/>
  <c r="U92" i="20"/>
  <c r="EG92" i="20" s="1"/>
  <c r="Q92" i="20"/>
  <c r="L92" i="20"/>
  <c r="BF92" i="20" s="1"/>
  <c r="CU92" i="20" s="1"/>
  <c r="DI92" i="20" s="1"/>
  <c r="K92" i="20"/>
  <c r="DT92" i="20" s="1"/>
  <c r="GH91" i="20"/>
  <c r="GG91" i="20" s="1"/>
  <c r="EI91" i="20"/>
  <c r="DP91" i="20"/>
  <c r="CO91" i="20"/>
  <c r="CN91" i="20"/>
  <c r="CL91" i="20"/>
  <c r="CM91" i="20" s="1"/>
  <c r="AE91" i="20"/>
  <c r="AA91" i="20"/>
  <c r="U91" i="20"/>
  <c r="EG91" i="20" s="1"/>
  <c r="Q91" i="20"/>
  <c r="L91" i="20"/>
  <c r="BF91" i="20" s="1"/>
  <c r="CU91" i="20" s="1"/>
  <c r="FO91" i="20" s="1"/>
  <c r="K91" i="20"/>
  <c r="DT91" i="20" s="1"/>
  <c r="GH90" i="20"/>
  <c r="EI90" i="20"/>
  <c r="DP90" i="20"/>
  <c r="CO90" i="20"/>
  <c r="CN90" i="20"/>
  <c r="AE90" i="20"/>
  <c r="AA90" i="20"/>
  <c r="U90" i="20"/>
  <c r="EG90" i="20" s="1"/>
  <c r="Q90" i="20"/>
  <c r="L90" i="20"/>
  <c r="AO90" i="20" s="1"/>
  <c r="K90" i="20"/>
  <c r="O90" i="20" s="1"/>
  <c r="GH89" i="20"/>
  <c r="EI89" i="20"/>
  <c r="DP89" i="20"/>
  <c r="CO89" i="20"/>
  <c r="CN89" i="20"/>
  <c r="AE89" i="20"/>
  <c r="AA89" i="20"/>
  <c r="U89" i="20"/>
  <c r="EG89" i="20" s="1"/>
  <c r="Q89" i="20"/>
  <c r="S89" i="20" s="1"/>
  <c r="GF89" i="20" s="1"/>
  <c r="L89" i="20"/>
  <c r="AO89" i="20" s="1"/>
  <c r="K89" i="20"/>
  <c r="DT89" i="20" s="1"/>
  <c r="GH88" i="20"/>
  <c r="EI88" i="20"/>
  <c r="DP88" i="20"/>
  <c r="CO88" i="20"/>
  <c r="CN88" i="20"/>
  <c r="AE88" i="20"/>
  <c r="BI88" i="20" s="1"/>
  <c r="AA88" i="20"/>
  <c r="U88" i="20"/>
  <c r="EG88" i="20" s="1"/>
  <c r="Q88" i="20"/>
  <c r="L88" i="20"/>
  <c r="AO88" i="20" s="1"/>
  <c r="CL88" i="20" s="1"/>
  <c r="CM88" i="20" s="1"/>
  <c r="K88" i="20"/>
  <c r="DT88" i="20" s="1"/>
  <c r="GH87" i="20"/>
  <c r="EI87" i="20"/>
  <c r="DP87" i="20"/>
  <c r="CO87" i="20"/>
  <c r="CN87" i="20"/>
  <c r="AE87" i="20"/>
  <c r="BI87" i="20" s="1"/>
  <c r="AA87" i="20"/>
  <c r="U87" i="20"/>
  <c r="EG87" i="20" s="1"/>
  <c r="Q87" i="20"/>
  <c r="L87" i="20"/>
  <c r="BF87" i="20" s="1"/>
  <c r="CU87" i="20" s="1"/>
  <c r="FO87" i="20" s="1"/>
  <c r="K87" i="20"/>
  <c r="DQ87" i="20" s="1"/>
  <c r="GH86" i="20"/>
  <c r="EI86" i="20"/>
  <c r="DP86" i="20"/>
  <c r="CO86" i="20"/>
  <c r="CN86" i="20"/>
  <c r="AE86" i="20"/>
  <c r="BI86" i="20" s="1"/>
  <c r="AA86" i="20"/>
  <c r="U86" i="20"/>
  <c r="EG86" i="20" s="1"/>
  <c r="Q86" i="20"/>
  <c r="S86" i="20" s="1"/>
  <c r="L86" i="20"/>
  <c r="AO86" i="20" s="1"/>
  <c r="K86" i="20"/>
  <c r="O86" i="20" s="1"/>
  <c r="GH85" i="20"/>
  <c r="EI85" i="20"/>
  <c r="DP85" i="20"/>
  <c r="CO85" i="20"/>
  <c r="CN85" i="20"/>
  <c r="AE85" i="20"/>
  <c r="BI85" i="20" s="1"/>
  <c r="AA85" i="20"/>
  <c r="U85" i="20"/>
  <c r="EG85" i="20" s="1"/>
  <c r="Q85" i="20"/>
  <c r="L85" i="20"/>
  <c r="BF85" i="20" s="1"/>
  <c r="CU85" i="20" s="1"/>
  <c r="K85" i="20"/>
  <c r="GH84" i="20"/>
  <c r="EI84" i="20"/>
  <c r="DP84" i="20"/>
  <c r="CO84" i="20"/>
  <c r="CN84" i="20"/>
  <c r="AE84" i="20"/>
  <c r="BI84" i="20" s="1"/>
  <c r="AA84" i="20"/>
  <c r="U84" i="20"/>
  <c r="EG84" i="20" s="1"/>
  <c r="Q84" i="20"/>
  <c r="L84" i="20"/>
  <c r="BF84" i="20" s="1"/>
  <c r="CU84" i="20" s="1"/>
  <c r="FO84" i="20" s="1"/>
  <c r="K84" i="20"/>
  <c r="AS84" i="20" s="1"/>
  <c r="AU84" i="20" s="1"/>
  <c r="GH83" i="20"/>
  <c r="EI83" i="20"/>
  <c r="DP83" i="20"/>
  <c r="CO83" i="20"/>
  <c r="CN83" i="20"/>
  <c r="AE83" i="20"/>
  <c r="BI83" i="20" s="1"/>
  <c r="AA83" i="20"/>
  <c r="U83" i="20"/>
  <c r="EG83" i="20" s="1"/>
  <c r="Q83" i="20"/>
  <c r="L83" i="20"/>
  <c r="BF83" i="20" s="1"/>
  <c r="CU83" i="20" s="1"/>
  <c r="K83" i="20"/>
  <c r="GH82" i="20"/>
  <c r="EI82" i="20"/>
  <c r="DP82" i="20"/>
  <c r="CO82" i="20"/>
  <c r="CN82" i="20"/>
  <c r="AE82" i="20"/>
  <c r="AA82" i="20"/>
  <c r="U82" i="20"/>
  <c r="EG82" i="20" s="1"/>
  <c r="Q82" i="20"/>
  <c r="S82" i="20" s="1"/>
  <c r="L82" i="20"/>
  <c r="AO82" i="20" s="1"/>
  <c r="K82" i="20"/>
  <c r="O82" i="20" s="1"/>
  <c r="GH81" i="20"/>
  <c r="EI81" i="20"/>
  <c r="DP81" i="20"/>
  <c r="CO81" i="20"/>
  <c r="CN81" i="20"/>
  <c r="AE81" i="20"/>
  <c r="BI81" i="20" s="1"/>
  <c r="AA81" i="20"/>
  <c r="U81" i="20"/>
  <c r="EG81" i="20" s="1"/>
  <c r="Q81" i="20"/>
  <c r="S81" i="20" s="1"/>
  <c r="L81" i="20"/>
  <c r="BF81" i="20" s="1"/>
  <c r="CU81" i="20" s="1"/>
  <c r="DC81" i="20" s="1"/>
  <c r="K81" i="20"/>
  <c r="DT81" i="20" s="1"/>
  <c r="GH80" i="20"/>
  <c r="EI80" i="20"/>
  <c r="DP80" i="20"/>
  <c r="CO80" i="20"/>
  <c r="CN80" i="20"/>
  <c r="AE80" i="20"/>
  <c r="BI80" i="20" s="1"/>
  <c r="AA80" i="20"/>
  <c r="U80" i="20"/>
  <c r="EG80" i="20" s="1"/>
  <c r="Q80" i="20"/>
  <c r="L80" i="20"/>
  <c r="BF80" i="20" s="1"/>
  <c r="CU80" i="20" s="1"/>
  <c r="K80" i="20"/>
  <c r="AS80" i="20" s="1"/>
  <c r="AU80" i="20" s="1"/>
  <c r="GH79" i="20"/>
  <c r="EI79" i="20"/>
  <c r="DP79" i="20"/>
  <c r="CO79" i="20"/>
  <c r="CN79" i="20"/>
  <c r="AE79" i="20"/>
  <c r="BI79" i="20" s="1"/>
  <c r="AA79" i="20"/>
  <c r="U79" i="20"/>
  <c r="EG79" i="20" s="1"/>
  <c r="Q79" i="20"/>
  <c r="L79" i="20"/>
  <c r="AO79" i="20" s="1"/>
  <c r="K79" i="20"/>
  <c r="O79" i="20" s="1"/>
  <c r="GH78" i="20"/>
  <c r="EI78" i="20"/>
  <c r="DP78" i="20"/>
  <c r="CO78" i="20"/>
  <c r="CN78" i="20"/>
  <c r="AE78" i="20"/>
  <c r="BI78" i="20" s="1"/>
  <c r="AA78" i="20"/>
  <c r="U78" i="20"/>
  <c r="EG78" i="20" s="1"/>
  <c r="Q78" i="20"/>
  <c r="L78" i="20"/>
  <c r="AO78" i="20" s="1"/>
  <c r="K78" i="20"/>
  <c r="DQ78" i="20" s="1"/>
  <c r="GH77" i="20"/>
  <c r="EI77" i="20"/>
  <c r="DP77" i="20"/>
  <c r="CO77" i="20"/>
  <c r="CN77" i="20"/>
  <c r="AE77" i="20"/>
  <c r="AF77" i="20" s="1"/>
  <c r="ET77" i="20" s="1"/>
  <c r="ES77" i="20" s="1"/>
  <c r="AA77" i="20"/>
  <c r="U77" i="20"/>
  <c r="EG77" i="20" s="1"/>
  <c r="Q77" i="20"/>
  <c r="S77" i="20" s="1"/>
  <c r="GF77" i="20" s="1"/>
  <c r="L77" i="20"/>
  <c r="BF77" i="20" s="1"/>
  <c r="CU77" i="20" s="1"/>
  <c r="K77" i="20"/>
  <c r="DT77" i="20" s="1"/>
  <c r="GH76" i="20"/>
  <c r="EI76" i="20"/>
  <c r="DP76" i="20"/>
  <c r="CO76" i="20"/>
  <c r="CN76" i="20"/>
  <c r="AE76" i="20"/>
  <c r="AA76" i="20"/>
  <c r="U76" i="20"/>
  <c r="EG76" i="20" s="1"/>
  <c r="Q76" i="20"/>
  <c r="L76" i="20"/>
  <c r="BF76" i="20" s="1"/>
  <c r="CU76" i="20" s="1"/>
  <c r="K76" i="20"/>
  <c r="DT76" i="20" s="1"/>
  <c r="GH75" i="20"/>
  <c r="EI75" i="20"/>
  <c r="DP75" i="20"/>
  <c r="CO75" i="20"/>
  <c r="CN75" i="20"/>
  <c r="AE75" i="20"/>
  <c r="BI75" i="20" s="1"/>
  <c r="AA75" i="20"/>
  <c r="U75" i="20"/>
  <c r="EG75" i="20" s="1"/>
  <c r="Q75" i="20"/>
  <c r="S75" i="20" s="1"/>
  <c r="L75" i="20"/>
  <c r="AO75" i="20" s="1"/>
  <c r="K75" i="20"/>
  <c r="DQ75" i="20" s="1"/>
  <c r="GK74" i="20"/>
  <c r="GH74" i="20"/>
  <c r="EI74" i="20"/>
  <c r="DP74" i="20"/>
  <c r="CO74" i="20"/>
  <c r="CN74" i="20"/>
  <c r="AE74" i="20"/>
  <c r="BI74" i="20" s="1"/>
  <c r="AA74" i="20"/>
  <c r="U74" i="20"/>
  <c r="EG74" i="20" s="1"/>
  <c r="Q74" i="20"/>
  <c r="S74" i="20" s="1"/>
  <c r="GF74" i="20" s="1"/>
  <c r="L74" i="20"/>
  <c r="BF74" i="20" s="1"/>
  <c r="CU74" i="20" s="1"/>
  <c r="K74" i="20"/>
  <c r="DT74" i="20" s="1"/>
  <c r="GH73" i="20"/>
  <c r="EI73" i="20"/>
  <c r="DP73" i="20"/>
  <c r="CO73" i="20"/>
  <c r="CN73" i="20"/>
  <c r="AE73" i="20"/>
  <c r="AA73" i="20"/>
  <c r="U73" i="20"/>
  <c r="EG73" i="20" s="1"/>
  <c r="Q73" i="20"/>
  <c r="L73" i="20"/>
  <c r="BF73" i="20" s="1"/>
  <c r="CU73" i="20" s="1"/>
  <c r="FO73" i="20" s="1"/>
  <c r="K73" i="20"/>
  <c r="DT73" i="20" s="1"/>
  <c r="GH72" i="20"/>
  <c r="EI72" i="20"/>
  <c r="DP72" i="20"/>
  <c r="CO72" i="20"/>
  <c r="CN72" i="20"/>
  <c r="AE72" i="20"/>
  <c r="BI72" i="20" s="1"/>
  <c r="AA72" i="20"/>
  <c r="U72" i="20"/>
  <c r="EG72" i="20" s="1"/>
  <c r="Q72" i="20"/>
  <c r="L72" i="20"/>
  <c r="AO72" i="20" s="1"/>
  <c r="K72" i="20"/>
  <c r="DQ72" i="20" s="1"/>
  <c r="GH71" i="20"/>
  <c r="EI71" i="20"/>
  <c r="DP71" i="20"/>
  <c r="CO71" i="20"/>
  <c r="CN71" i="20"/>
  <c r="AE71" i="20"/>
  <c r="AA71" i="20"/>
  <c r="U71" i="20"/>
  <c r="EG71" i="20" s="1"/>
  <c r="Q71" i="20"/>
  <c r="L71" i="20"/>
  <c r="AO71" i="20" s="1"/>
  <c r="CL71" i="20" s="1"/>
  <c r="CM71" i="20" s="1"/>
  <c r="K71" i="20"/>
  <c r="GH70" i="20"/>
  <c r="EI70" i="20"/>
  <c r="DP70" i="20"/>
  <c r="CO70" i="20"/>
  <c r="CN70" i="20"/>
  <c r="AE70" i="20"/>
  <c r="BI70" i="20" s="1"/>
  <c r="AA70" i="20"/>
  <c r="U70" i="20"/>
  <c r="EG70" i="20" s="1"/>
  <c r="Q70" i="20"/>
  <c r="S70" i="20" s="1"/>
  <c r="CI70" i="20" s="1"/>
  <c r="L70" i="20"/>
  <c r="BF70" i="20" s="1"/>
  <c r="CU70" i="20" s="1"/>
  <c r="DC70" i="20" s="1"/>
  <c r="K70" i="20"/>
  <c r="GH69" i="20"/>
  <c r="EI69" i="20"/>
  <c r="DP69" i="20"/>
  <c r="CO69" i="20"/>
  <c r="CN69" i="20"/>
  <c r="AE69" i="20"/>
  <c r="BI69" i="20" s="1"/>
  <c r="AA69" i="20"/>
  <c r="U69" i="20"/>
  <c r="EG69" i="20" s="1"/>
  <c r="Q69" i="20"/>
  <c r="L69" i="20"/>
  <c r="AO69" i="20" s="1"/>
  <c r="CL69" i="20" s="1"/>
  <c r="CM69" i="20" s="1"/>
  <c r="K69" i="20"/>
  <c r="GH68" i="20"/>
  <c r="EI68" i="20"/>
  <c r="DP68" i="20"/>
  <c r="CO68" i="20"/>
  <c r="CN68" i="20"/>
  <c r="AE68" i="20"/>
  <c r="AF68" i="20" s="1"/>
  <c r="ET68" i="20" s="1"/>
  <c r="ES68" i="20" s="1"/>
  <c r="AA68" i="20"/>
  <c r="U68" i="20"/>
  <c r="EG68" i="20" s="1"/>
  <c r="Q68" i="20"/>
  <c r="S68" i="20" s="1"/>
  <c r="GF68" i="20" s="1"/>
  <c r="L68" i="20"/>
  <c r="AO68" i="20" s="1"/>
  <c r="K68" i="20"/>
  <c r="DT68" i="20" s="1"/>
  <c r="GH67" i="20"/>
  <c r="EI67" i="20"/>
  <c r="DP67" i="20"/>
  <c r="CO67" i="20"/>
  <c r="CN67" i="20"/>
  <c r="AE67" i="20"/>
  <c r="BI67" i="20" s="1"/>
  <c r="AA67" i="20"/>
  <c r="U67" i="20"/>
  <c r="EG67" i="20" s="1"/>
  <c r="Q67" i="20"/>
  <c r="S67" i="20" s="1"/>
  <c r="L67" i="20"/>
  <c r="AO67" i="20" s="1"/>
  <c r="K67" i="20"/>
  <c r="O67" i="20" s="1"/>
  <c r="GH66" i="20"/>
  <c r="EI66" i="20"/>
  <c r="DP66" i="20"/>
  <c r="CO66" i="20"/>
  <c r="CN66" i="20"/>
  <c r="AE66" i="20"/>
  <c r="AA66" i="20"/>
  <c r="U66" i="20"/>
  <c r="EG66" i="20" s="1"/>
  <c r="Q66" i="20"/>
  <c r="S66" i="20" s="1"/>
  <c r="GF66" i="20" s="1"/>
  <c r="L66" i="20"/>
  <c r="BF66" i="20" s="1"/>
  <c r="CU66" i="20" s="1"/>
  <c r="K66" i="20"/>
  <c r="DT66" i="20" s="1"/>
  <c r="GH65" i="20"/>
  <c r="GD65" i="20"/>
  <c r="EI65" i="20"/>
  <c r="DP65" i="20"/>
  <c r="CO65" i="20"/>
  <c r="CN65" i="20"/>
  <c r="AE65" i="20"/>
  <c r="BI65" i="20" s="1"/>
  <c r="AA65" i="20"/>
  <c r="U65" i="20"/>
  <c r="EG65" i="20" s="1"/>
  <c r="Q65" i="20"/>
  <c r="L65" i="20"/>
  <c r="BF65" i="20" s="1"/>
  <c r="CU65" i="20" s="1"/>
  <c r="DC65" i="20" s="1"/>
  <c r="K65" i="20"/>
  <c r="GH64" i="20"/>
  <c r="EI64" i="20"/>
  <c r="DP64" i="20"/>
  <c r="CO64" i="20"/>
  <c r="CN64" i="20"/>
  <c r="AE64" i="20"/>
  <c r="AA64" i="20"/>
  <c r="U64" i="20"/>
  <c r="EG64" i="20" s="1"/>
  <c r="Q64" i="20"/>
  <c r="L64" i="20"/>
  <c r="AO64" i="20" s="1"/>
  <c r="K64" i="20"/>
  <c r="AS64" i="20" s="1"/>
  <c r="AU64" i="20" s="1"/>
  <c r="GH63" i="20"/>
  <c r="EI63" i="20"/>
  <c r="DP63" i="20"/>
  <c r="CO63" i="20"/>
  <c r="CN63" i="20"/>
  <c r="AE63" i="20"/>
  <c r="BI63" i="20" s="1"/>
  <c r="AA63" i="20"/>
  <c r="U63" i="20"/>
  <c r="EG63" i="20" s="1"/>
  <c r="Q63" i="20"/>
  <c r="L63" i="20"/>
  <c r="BF63" i="20" s="1"/>
  <c r="K63" i="20"/>
  <c r="GH62" i="20"/>
  <c r="EI62" i="20"/>
  <c r="DP62" i="20"/>
  <c r="CO62" i="20"/>
  <c r="CN62" i="20"/>
  <c r="AE62" i="20"/>
  <c r="BI62" i="20" s="1"/>
  <c r="AA62" i="20"/>
  <c r="U62" i="20"/>
  <c r="EG62" i="20" s="1"/>
  <c r="Q62" i="20"/>
  <c r="L62" i="20"/>
  <c r="BF62" i="20" s="1"/>
  <c r="CU62" i="20" s="1"/>
  <c r="K62" i="20"/>
  <c r="DQ62" i="20" s="1"/>
  <c r="GH61" i="20"/>
  <c r="EI61" i="20"/>
  <c r="DP61" i="20"/>
  <c r="CO61" i="20"/>
  <c r="CN61" i="20"/>
  <c r="AE61" i="20"/>
  <c r="BI61" i="20" s="1"/>
  <c r="AA61" i="20"/>
  <c r="U61" i="20"/>
  <c r="EG61" i="20" s="1"/>
  <c r="Q61" i="20"/>
  <c r="S61" i="20" s="1"/>
  <c r="L61" i="20"/>
  <c r="AO61" i="20" s="1"/>
  <c r="K61" i="20"/>
  <c r="DT61" i="20" s="1"/>
  <c r="GH60" i="20"/>
  <c r="EI60" i="20"/>
  <c r="DP60" i="20"/>
  <c r="CO60" i="20"/>
  <c r="CN60" i="20"/>
  <c r="AE60" i="20"/>
  <c r="AA60" i="20"/>
  <c r="U60" i="20"/>
  <c r="EG60" i="20" s="1"/>
  <c r="Q60" i="20"/>
  <c r="L60" i="20"/>
  <c r="AO60" i="20" s="1"/>
  <c r="K60" i="20"/>
  <c r="AS60" i="20" s="1"/>
  <c r="AU60" i="20" s="1"/>
  <c r="GH59" i="20"/>
  <c r="EI59" i="20"/>
  <c r="DP59" i="20"/>
  <c r="CO59" i="20"/>
  <c r="CN59" i="20"/>
  <c r="AE59" i="20"/>
  <c r="BI59" i="20" s="1"/>
  <c r="AA59" i="20"/>
  <c r="U59" i="20"/>
  <c r="EG59" i="20" s="1"/>
  <c r="Q59" i="20"/>
  <c r="S59" i="20" s="1"/>
  <c r="L59" i="20"/>
  <c r="BF59" i="20" s="1"/>
  <c r="CU59" i="20" s="1"/>
  <c r="FO59" i="20" s="1"/>
  <c r="K59" i="20"/>
  <c r="DQ59" i="20" s="1"/>
  <c r="GH58" i="20"/>
  <c r="EI58" i="20"/>
  <c r="DP58" i="20"/>
  <c r="CO58" i="20"/>
  <c r="CN58" i="20"/>
  <c r="AE58" i="20"/>
  <c r="AA58" i="20"/>
  <c r="U58" i="20"/>
  <c r="EG58" i="20" s="1"/>
  <c r="Q58" i="20"/>
  <c r="L58" i="20"/>
  <c r="AO58" i="20" s="1"/>
  <c r="K58" i="20"/>
  <c r="DT58" i="20" s="1"/>
  <c r="GH57" i="20"/>
  <c r="EI57" i="20"/>
  <c r="DP57" i="20"/>
  <c r="CO57" i="20"/>
  <c r="CN57" i="20"/>
  <c r="AE57" i="20"/>
  <c r="BI57" i="20" s="1"/>
  <c r="AA57" i="20"/>
  <c r="U57" i="20"/>
  <c r="EG57" i="20" s="1"/>
  <c r="Q57" i="20"/>
  <c r="S57" i="20" s="1"/>
  <c r="L57" i="20"/>
  <c r="AO57" i="20" s="1"/>
  <c r="K57" i="20"/>
  <c r="DT57" i="20" s="1"/>
  <c r="GH56" i="20"/>
  <c r="EI56" i="20"/>
  <c r="DP56" i="20"/>
  <c r="CO56" i="20"/>
  <c r="CN56" i="20"/>
  <c r="AE56" i="20"/>
  <c r="BI56" i="20" s="1"/>
  <c r="AA56" i="20"/>
  <c r="U56" i="20"/>
  <c r="EG56" i="20" s="1"/>
  <c r="Q56" i="20"/>
  <c r="L56" i="20"/>
  <c r="K56" i="20"/>
  <c r="DQ56" i="20" s="1"/>
  <c r="GH55" i="20"/>
  <c r="EI55" i="20"/>
  <c r="DP55" i="20"/>
  <c r="CO55" i="20"/>
  <c r="CN55" i="20"/>
  <c r="AE55" i="20"/>
  <c r="BI55" i="20" s="1"/>
  <c r="AA55" i="20"/>
  <c r="U55" i="20"/>
  <c r="EG55" i="20" s="1"/>
  <c r="Q55" i="20"/>
  <c r="L55" i="20"/>
  <c r="BF55" i="20" s="1"/>
  <c r="CU55" i="20" s="1"/>
  <c r="DC55" i="20" s="1"/>
  <c r="K55" i="20"/>
  <c r="DT55" i="20" s="1"/>
  <c r="GH54" i="20"/>
  <c r="EI54" i="20"/>
  <c r="DP54" i="20"/>
  <c r="CO54" i="20"/>
  <c r="CN54" i="20"/>
  <c r="AE54" i="20"/>
  <c r="BI54" i="20" s="1"/>
  <c r="AA54" i="20"/>
  <c r="U54" i="20"/>
  <c r="EG54" i="20" s="1"/>
  <c r="Q54" i="20"/>
  <c r="L54" i="20"/>
  <c r="AO54" i="20" s="1"/>
  <c r="CL54" i="20" s="1"/>
  <c r="CM54" i="20" s="1"/>
  <c r="K54" i="20"/>
  <c r="DQ54" i="20" s="1"/>
  <c r="GH53" i="20"/>
  <c r="EI53" i="20"/>
  <c r="DP53" i="20"/>
  <c r="CO53" i="20"/>
  <c r="CN53" i="20"/>
  <c r="AE53" i="20"/>
  <c r="BI53" i="20" s="1"/>
  <c r="AA53" i="20"/>
  <c r="U53" i="20"/>
  <c r="EG53" i="20" s="1"/>
  <c r="Q53" i="20"/>
  <c r="L53" i="20"/>
  <c r="AO53" i="20" s="1"/>
  <c r="K53" i="20"/>
  <c r="AS53" i="20" s="1"/>
  <c r="AU53" i="20" s="1"/>
  <c r="GH52" i="20"/>
  <c r="EI52" i="20"/>
  <c r="EG52" i="20"/>
  <c r="DP52" i="20"/>
  <c r="CN52" i="20"/>
  <c r="CL52" i="20"/>
  <c r="CM52" i="20" s="1"/>
  <c r="AJ52" i="20"/>
  <c r="AD52" i="20"/>
  <c r="AE52" i="20" s="1"/>
  <c r="BI52" i="20" s="1"/>
  <c r="AB52" i="20"/>
  <c r="AC52" i="20" s="1"/>
  <c r="BG52" i="20" s="1"/>
  <c r="S52" i="20"/>
  <c r="K52" i="20"/>
  <c r="J52" i="20"/>
  <c r="CO52" i="20" s="1"/>
  <c r="GH51" i="20"/>
  <c r="EI51" i="20"/>
  <c r="EG51" i="20"/>
  <c r="DP51" i="20"/>
  <c r="CN51" i="20"/>
  <c r="CL51" i="20"/>
  <c r="CM51" i="20" s="1"/>
  <c r="AJ51" i="20"/>
  <c r="AD51" i="20"/>
  <c r="AE51" i="20" s="1"/>
  <c r="AB51" i="20"/>
  <c r="AC51" i="20" s="1"/>
  <c r="BG51" i="20" s="1"/>
  <c r="S51" i="20"/>
  <c r="CH51" i="20" s="1"/>
  <c r="K51" i="20"/>
  <c r="L51" i="20" s="1"/>
  <c r="J51" i="20"/>
  <c r="GH50" i="20"/>
  <c r="EI50" i="20"/>
  <c r="EG50" i="20"/>
  <c r="DP50" i="20"/>
  <c r="CN50" i="20"/>
  <c r="CL50" i="20"/>
  <c r="CM50" i="20" s="1"/>
  <c r="AJ50" i="20"/>
  <c r="AD50" i="20"/>
  <c r="AE50" i="20" s="1"/>
  <c r="BI50" i="20" s="1"/>
  <c r="AB50" i="20"/>
  <c r="AC50" i="20" s="1"/>
  <c r="BG50" i="20" s="1"/>
  <c r="S50" i="20"/>
  <c r="GF50" i="20" s="1"/>
  <c r="K50" i="20"/>
  <c r="AS50" i="20" s="1"/>
  <c r="J50" i="20"/>
  <c r="CO50" i="20" s="1"/>
  <c r="GH49" i="20"/>
  <c r="EI49" i="20"/>
  <c r="EG49" i="20"/>
  <c r="DP49" i="20"/>
  <c r="CN49" i="20"/>
  <c r="CL49" i="20"/>
  <c r="CM49" i="20" s="1"/>
  <c r="AJ49" i="20"/>
  <c r="AD49" i="20"/>
  <c r="AE49" i="20" s="1"/>
  <c r="AF49" i="20" s="1"/>
  <c r="AB49" i="20"/>
  <c r="S49" i="20"/>
  <c r="CH49" i="20" s="1"/>
  <c r="K49" i="20"/>
  <c r="DT49" i="20" s="1"/>
  <c r="J49" i="20"/>
  <c r="CO49" i="20" s="1"/>
  <c r="GH48" i="20"/>
  <c r="EI48" i="20"/>
  <c r="EG48" i="20"/>
  <c r="DP48" i="20"/>
  <c r="CN48" i="20"/>
  <c r="CL48" i="20"/>
  <c r="CM48" i="20" s="1"/>
  <c r="AJ48" i="20"/>
  <c r="AD48" i="20"/>
  <c r="AE48" i="20" s="1"/>
  <c r="AB48" i="20"/>
  <c r="S48" i="20"/>
  <c r="K48" i="20"/>
  <c r="O48" i="20" s="1"/>
  <c r="J48" i="20"/>
  <c r="CO48" i="20" s="1"/>
  <c r="GH47" i="20"/>
  <c r="EI47" i="20"/>
  <c r="EG47" i="20"/>
  <c r="DP47" i="20"/>
  <c r="CN47" i="20"/>
  <c r="CL47" i="20"/>
  <c r="CM47" i="20" s="1"/>
  <c r="AJ47" i="20"/>
  <c r="AD47" i="20"/>
  <c r="AE47" i="20" s="1"/>
  <c r="BI47" i="20" s="1"/>
  <c r="AB47" i="20"/>
  <c r="AC47" i="20" s="1"/>
  <c r="BG47" i="20" s="1"/>
  <c r="S47" i="20"/>
  <c r="GF47" i="20" s="1"/>
  <c r="K47" i="20"/>
  <c r="AS47" i="20" s="1"/>
  <c r="J47" i="20"/>
  <c r="CO47" i="20" s="1"/>
  <c r="GH46" i="20"/>
  <c r="EI46" i="20"/>
  <c r="EG46" i="20"/>
  <c r="DP46" i="20"/>
  <c r="CN46" i="20"/>
  <c r="CL46" i="20"/>
  <c r="CM46" i="20" s="1"/>
  <c r="AJ46" i="20"/>
  <c r="AD46" i="20"/>
  <c r="AE46" i="20" s="1"/>
  <c r="AB46" i="20"/>
  <c r="AC46" i="20" s="1"/>
  <c r="BG46" i="20" s="1"/>
  <c r="S46" i="20"/>
  <c r="GF46" i="20" s="1"/>
  <c r="K46" i="20"/>
  <c r="O46" i="20" s="1"/>
  <c r="J46" i="20"/>
  <c r="CO46" i="20" s="1"/>
  <c r="GH45" i="20"/>
  <c r="EI45" i="20"/>
  <c r="EG45" i="20"/>
  <c r="DP45" i="20"/>
  <c r="CN45" i="20"/>
  <c r="CL45" i="20"/>
  <c r="CM45" i="20" s="1"/>
  <c r="AJ45" i="20"/>
  <c r="AD45" i="20"/>
  <c r="AE45" i="20" s="1"/>
  <c r="BI45" i="20" s="1"/>
  <c r="AB45" i="20"/>
  <c r="AC45" i="20" s="1"/>
  <c r="BG45" i="20" s="1"/>
  <c r="S45" i="20"/>
  <c r="GF45" i="20" s="1"/>
  <c r="K45" i="20"/>
  <c r="O45" i="20" s="1"/>
  <c r="J45" i="20"/>
  <c r="CO45" i="20" s="1"/>
  <c r="GH44" i="20"/>
  <c r="EI44" i="20"/>
  <c r="EG44" i="20"/>
  <c r="DP44" i="20"/>
  <c r="CN44" i="20"/>
  <c r="CL44" i="20"/>
  <c r="CM44" i="20" s="1"/>
  <c r="AJ44" i="20"/>
  <c r="AD44" i="20"/>
  <c r="AE44" i="20" s="1"/>
  <c r="AB44" i="20"/>
  <c r="AC44" i="20" s="1"/>
  <c r="BG44" i="20" s="1"/>
  <c r="S44" i="20"/>
  <c r="GF44" i="20" s="1"/>
  <c r="K44" i="20"/>
  <c r="AS44" i="20" s="1"/>
  <c r="J44" i="20"/>
  <c r="CO44" i="20" s="1"/>
  <c r="GH43" i="20"/>
  <c r="EI43" i="20"/>
  <c r="EG43" i="20"/>
  <c r="DP43" i="20"/>
  <c r="CN43" i="20"/>
  <c r="CL43" i="20"/>
  <c r="CM43" i="20" s="1"/>
  <c r="AJ43" i="20"/>
  <c r="AD43" i="20"/>
  <c r="AE43" i="20" s="1"/>
  <c r="BI43" i="20" s="1"/>
  <c r="AB43" i="20"/>
  <c r="S43" i="20"/>
  <c r="K43" i="20"/>
  <c r="AS43" i="20" s="1"/>
  <c r="AU43" i="20" s="1"/>
  <c r="J43" i="20"/>
  <c r="CO43" i="20" s="1"/>
  <c r="GH42" i="20"/>
  <c r="EI42" i="20"/>
  <c r="EG42" i="20"/>
  <c r="DP42" i="20"/>
  <c r="CN42" i="20"/>
  <c r="CL42" i="20"/>
  <c r="CM42" i="20" s="1"/>
  <c r="AJ42" i="20"/>
  <c r="AD42" i="20"/>
  <c r="AE42" i="20" s="1"/>
  <c r="BI42" i="20" s="1"/>
  <c r="AB42" i="20"/>
  <c r="AC42" i="20" s="1"/>
  <c r="BG42" i="20" s="1"/>
  <c r="S42" i="20"/>
  <c r="GF42" i="20" s="1"/>
  <c r="K42" i="20"/>
  <c r="O42" i="20" s="1"/>
  <c r="J42" i="20"/>
  <c r="CO42" i="20" s="1"/>
  <c r="GH41" i="20"/>
  <c r="EI41" i="20"/>
  <c r="EG41" i="20"/>
  <c r="DP41" i="20"/>
  <c r="CN41" i="20"/>
  <c r="CL41" i="20"/>
  <c r="CM41" i="20" s="1"/>
  <c r="AJ41" i="20"/>
  <c r="AD41" i="20"/>
  <c r="AE41" i="20" s="1"/>
  <c r="BI41" i="20" s="1"/>
  <c r="AB41" i="20"/>
  <c r="AC41" i="20" s="1"/>
  <c r="BG41" i="20" s="1"/>
  <c r="S41" i="20"/>
  <c r="CH41" i="20" s="1"/>
  <c r="K41" i="20"/>
  <c r="J41" i="20"/>
  <c r="CO41" i="20" s="1"/>
  <c r="GH40" i="20"/>
  <c r="EI40" i="20"/>
  <c r="EG40" i="20"/>
  <c r="DP40" i="20"/>
  <c r="CN40" i="20"/>
  <c r="CL40" i="20"/>
  <c r="CM40" i="20" s="1"/>
  <c r="AJ40" i="20"/>
  <c r="AD40" i="20"/>
  <c r="AE40" i="20" s="1"/>
  <c r="AB40" i="20"/>
  <c r="AC40" i="20" s="1"/>
  <c r="BG40" i="20" s="1"/>
  <c r="S40" i="20"/>
  <c r="CH40" i="20" s="1"/>
  <c r="K40" i="20"/>
  <c r="AS40" i="20" s="1"/>
  <c r="J40" i="20"/>
  <c r="GH39" i="20"/>
  <c r="EI39" i="20"/>
  <c r="EG39" i="20"/>
  <c r="DP39" i="20"/>
  <c r="CN39" i="20"/>
  <c r="CL39" i="20"/>
  <c r="CM39" i="20" s="1"/>
  <c r="AJ39" i="20"/>
  <c r="AD39" i="20"/>
  <c r="AE39" i="20" s="1"/>
  <c r="AB39" i="20"/>
  <c r="AC39" i="20" s="1"/>
  <c r="BG39" i="20" s="1"/>
  <c r="S39" i="20"/>
  <c r="GF39" i="20" s="1"/>
  <c r="K39" i="20"/>
  <c r="DQ39" i="20" s="1"/>
  <c r="J39" i="20"/>
  <c r="CO39" i="20" s="1"/>
  <c r="GH38" i="20"/>
  <c r="EI38" i="20"/>
  <c r="EG38" i="20"/>
  <c r="DP38" i="20"/>
  <c r="CN38" i="20"/>
  <c r="CL38" i="20"/>
  <c r="CM38" i="20" s="1"/>
  <c r="AJ38" i="20"/>
  <c r="AD38" i="20"/>
  <c r="AB38" i="20"/>
  <c r="AC38" i="20" s="1"/>
  <c r="BG38" i="20" s="1"/>
  <c r="S38" i="20"/>
  <c r="CI38" i="20" s="1"/>
  <c r="K38" i="20"/>
  <c r="AS38" i="20" s="1"/>
  <c r="AT38" i="20" s="1"/>
  <c r="J38" i="20"/>
  <c r="CO38" i="20" s="1"/>
  <c r="GH37" i="20"/>
  <c r="EI37" i="20"/>
  <c r="EG37" i="20"/>
  <c r="DP37" i="20"/>
  <c r="CN37" i="20"/>
  <c r="AJ37" i="20"/>
  <c r="AD37" i="20"/>
  <c r="AE37" i="20" s="1"/>
  <c r="AB37" i="20"/>
  <c r="S37" i="20"/>
  <c r="CH37" i="20" s="1"/>
  <c r="K37" i="20"/>
  <c r="L37" i="20" s="1"/>
  <c r="DR37" i="20" s="1"/>
  <c r="J37" i="20"/>
  <c r="CO37" i="20" s="1"/>
  <c r="GH36" i="20"/>
  <c r="EI36" i="20"/>
  <c r="EG36" i="20"/>
  <c r="DP36" i="20"/>
  <c r="CN36" i="20"/>
  <c r="AJ36" i="20"/>
  <c r="AD36" i="20"/>
  <c r="AE36" i="20" s="1"/>
  <c r="AB36" i="20"/>
  <c r="S36" i="20"/>
  <c r="K36" i="20"/>
  <c r="AS36" i="20" s="1"/>
  <c r="J36" i="20"/>
  <c r="CO36" i="20" s="1"/>
  <c r="GH35" i="20"/>
  <c r="EI35" i="20"/>
  <c r="EG35" i="20"/>
  <c r="DP35" i="20"/>
  <c r="CN35" i="20"/>
  <c r="AJ35" i="20"/>
  <c r="AD35" i="20"/>
  <c r="AE35" i="20" s="1"/>
  <c r="AB35" i="20"/>
  <c r="S35" i="20"/>
  <c r="CH35" i="20" s="1"/>
  <c r="K35" i="20"/>
  <c r="DT35" i="20" s="1"/>
  <c r="J35" i="20"/>
  <c r="CO35" i="20" s="1"/>
  <c r="GH34" i="20"/>
  <c r="EI34" i="20"/>
  <c r="EG34" i="20"/>
  <c r="DP34" i="20"/>
  <c r="CN34" i="20"/>
  <c r="CL34" i="20"/>
  <c r="CM34" i="20" s="1"/>
  <c r="AJ34" i="20"/>
  <c r="AD34" i="20"/>
  <c r="AE34" i="20" s="1"/>
  <c r="AF34" i="20" s="1"/>
  <c r="AB34" i="20"/>
  <c r="AC34" i="20" s="1"/>
  <c r="BG34" i="20" s="1"/>
  <c r="S34" i="20"/>
  <c r="CI34" i="20" s="1"/>
  <c r="K34" i="20"/>
  <c r="DT34" i="20" s="1"/>
  <c r="J34" i="20"/>
  <c r="GH33" i="20"/>
  <c r="EI33" i="20"/>
  <c r="EG33" i="20"/>
  <c r="DP33" i="20"/>
  <c r="CN33" i="20"/>
  <c r="CL33" i="20"/>
  <c r="CM33" i="20" s="1"/>
  <c r="AJ33" i="20"/>
  <c r="AD33" i="20"/>
  <c r="AE33" i="20" s="1"/>
  <c r="AF33" i="20" s="1"/>
  <c r="ET33" i="20" s="1"/>
  <c r="ES33" i="20" s="1"/>
  <c r="AB33" i="20"/>
  <c r="AC33" i="20" s="1"/>
  <c r="BG33" i="20" s="1"/>
  <c r="S33" i="20"/>
  <c r="K33" i="20"/>
  <c r="DT33" i="20" s="1"/>
  <c r="J33" i="20"/>
  <c r="CO33" i="20" s="1"/>
  <c r="GH32" i="20"/>
  <c r="EI32" i="20"/>
  <c r="EG32" i="20"/>
  <c r="DP32" i="20"/>
  <c r="CN32" i="20"/>
  <c r="CL32" i="20"/>
  <c r="CM32" i="20" s="1"/>
  <c r="AJ32" i="20"/>
  <c r="AD32" i="20"/>
  <c r="AE32" i="20" s="1"/>
  <c r="AB32" i="20"/>
  <c r="S32" i="20"/>
  <c r="CI32" i="20" s="1"/>
  <c r="K32" i="20"/>
  <c r="AS32" i="20" s="1"/>
  <c r="J32" i="20"/>
  <c r="CO32" i="20" s="1"/>
  <c r="GH31" i="20"/>
  <c r="EI31" i="20"/>
  <c r="EG31" i="20"/>
  <c r="DP31" i="20"/>
  <c r="CN31" i="20"/>
  <c r="CL31" i="20"/>
  <c r="CM31" i="20" s="1"/>
  <c r="AJ31" i="20"/>
  <c r="AD31" i="20"/>
  <c r="AE31" i="20" s="1"/>
  <c r="AB31" i="20"/>
  <c r="AC31" i="20" s="1"/>
  <c r="BG31" i="20" s="1"/>
  <c r="S31" i="20"/>
  <c r="GF31" i="20" s="1"/>
  <c r="K31" i="20"/>
  <c r="AS31" i="20" s="1"/>
  <c r="J31" i="20"/>
  <c r="CO31" i="20" s="1"/>
  <c r="GH30" i="20"/>
  <c r="EI30" i="20"/>
  <c r="EG30" i="20"/>
  <c r="DP30" i="20"/>
  <c r="CN30" i="20"/>
  <c r="CL30" i="20"/>
  <c r="CM30" i="20" s="1"/>
  <c r="AJ30" i="20"/>
  <c r="AD30" i="20"/>
  <c r="AE30" i="20" s="1"/>
  <c r="AF30" i="20" s="1"/>
  <c r="AB30" i="20"/>
  <c r="AC30" i="20" s="1"/>
  <c r="BG30" i="20" s="1"/>
  <c r="S30" i="20"/>
  <c r="CI30" i="20" s="1"/>
  <c r="K30" i="20"/>
  <c r="O30" i="20" s="1"/>
  <c r="J30" i="20"/>
  <c r="CO30" i="20" s="1"/>
  <c r="GH29" i="20"/>
  <c r="EI29" i="20"/>
  <c r="EG29" i="20"/>
  <c r="DP29" i="20"/>
  <c r="CN29" i="20"/>
  <c r="CL29" i="20"/>
  <c r="CM29" i="20" s="1"/>
  <c r="AJ29" i="20"/>
  <c r="AD29" i="20"/>
  <c r="AE29" i="20" s="1"/>
  <c r="AB29" i="20"/>
  <c r="S29" i="20"/>
  <c r="CH29" i="20" s="1"/>
  <c r="K29" i="20"/>
  <c r="O29" i="20" s="1"/>
  <c r="J29" i="20"/>
  <c r="CO29" i="20" s="1"/>
  <c r="GH28" i="20"/>
  <c r="EI28" i="20"/>
  <c r="EG28" i="20"/>
  <c r="DP28" i="20"/>
  <c r="CN28" i="20"/>
  <c r="AJ28" i="20"/>
  <c r="AD28" i="20"/>
  <c r="AE28" i="20" s="1"/>
  <c r="AB28" i="20"/>
  <c r="AC28" i="20" s="1"/>
  <c r="BG28" i="20" s="1"/>
  <c r="S28" i="20"/>
  <c r="CH28" i="20" s="1"/>
  <c r="K28" i="20"/>
  <c r="AS28" i="20" s="1"/>
  <c r="J28" i="20"/>
  <c r="CO28" i="20" s="1"/>
  <c r="GH27" i="20"/>
  <c r="EI27" i="20"/>
  <c r="EG27" i="20"/>
  <c r="DP27" i="20"/>
  <c r="CN27" i="20"/>
  <c r="AJ27" i="20"/>
  <c r="AD27" i="20"/>
  <c r="AE27" i="20" s="1"/>
  <c r="AB27" i="20"/>
  <c r="AC27" i="20" s="1"/>
  <c r="BG27" i="20" s="1"/>
  <c r="S27" i="20"/>
  <c r="CH27" i="20" s="1"/>
  <c r="K27" i="20"/>
  <c r="AS27" i="20" s="1"/>
  <c r="J27" i="20"/>
  <c r="CO27" i="20" s="1"/>
  <c r="GH26" i="20"/>
  <c r="EI26" i="20"/>
  <c r="EG26" i="20"/>
  <c r="DP26" i="20"/>
  <c r="CN26" i="20"/>
  <c r="AJ26" i="20"/>
  <c r="AD26" i="20"/>
  <c r="AE26" i="20" s="1"/>
  <c r="AF26" i="20" s="1"/>
  <c r="AB26" i="20"/>
  <c r="AC26" i="20" s="1"/>
  <c r="BG26" i="20" s="1"/>
  <c r="S26" i="20"/>
  <c r="CI26" i="20" s="1"/>
  <c r="K26" i="20"/>
  <c r="DT26" i="20" s="1"/>
  <c r="J26" i="20"/>
  <c r="CO26" i="20" s="1"/>
  <c r="GH25" i="20"/>
  <c r="EI25" i="20"/>
  <c r="EG25" i="20"/>
  <c r="DP25" i="20"/>
  <c r="CN25" i="20"/>
  <c r="CL25" i="20"/>
  <c r="CM25" i="20" s="1"/>
  <c r="AJ25" i="20"/>
  <c r="AD25" i="20"/>
  <c r="AE25" i="20" s="1"/>
  <c r="AF25" i="20" s="1"/>
  <c r="ET25" i="20" s="1"/>
  <c r="ES25" i="20" s="1"/>
  <c r="AB25" i="20"/>
  <c r="AC25" i="20" s="1"/>
  <c r="BG25" i="20" s="1"/>
  <c r="S25" i="20"/>
  <c r="CH25" i="20" s="1"/>
  <c r="K25" i="20"/>
  <c r="J25" i="20"/>
  <c r="CO25" i="20" s="1"/>
  <c r="GH24" i="20"/>
  <c r="EI24" i="20"/>
  <c r="EG24" i="20"/>
  <c r="DP24" i="20"/>
  <c r="CN24" i="20"/>
  <c r="CL24" i="20"/>
  <c r="CM24" i="20" s="1"/>
  <c r="AJ24" i="20"/>
  <c r="AD24" i="20"/>
  <c r="AE24" i="20" s="1"/>
  <c r="AB24" i="20"/>
  <c r="AC24" i="20" s="1"/>
  <c r="BG24" i="20" s="1"/>
  <c r="S24" i="20"/>
  <c r="GF24" i="20" s="1"/>
  <c r="K24" i="20"/>
  <c r="AS24" i="20" s="1"/>
  <c r="J24" i="20"/>
  <c r="CO24" i="20" s="1"/>
  <c r="GH23" i="20"/>
  <c r="EI23" i="20"/>
  <c r="EG23" i="20"/>
  <c r="DP23" i="20"/>
  <c r="CN23" i="20"/>
  <c r="CL23" i="20"/>
  <c r="CM23" i="20" s="1"/>
  <c r="AJ23" i="20"/>
  <c r="AD23" i="20"/>
  <c r="AE23" i="20" s="1"/>
  <c r="AB23" i="20"/>
  <c r="AC23" i="20" s="1"/>
  <c r="BG23" i="20" s="1"/>
  <c r="S23" i="20"/>
  <c r="BZ23" i="20" s="1"/>
  <c r="EH23" i="20" s="1"/>
  <c r="K23" i="20"/>
  <c r="DT23" i="20" s="1"/>
  <c r="J23" i="20"/>
  <c r="CO23" i="20" s="1"/>
  <c r="GH22" i="20"/>
  <c r="EI22" i="20"/>
  <c r="EG22" i="20"/>
  <c r="DP22" i="20"/>
  <c r="CN22" i="20"/>
  <c r="AU22" i="20"/>
  <c r="AT22" i="20"/>
  <c r="AJ22" i="20"/>
  <c r="AD22" i="20"/>
  <c r="AE22" i="20" s="1"/>
  <c r="AB22" i="20"/>
  <c r="S22" i="20"/>
  <c r="CI22" i="20" s="1"/>
  <c r="K22" i="20"/>
  <c r="L22" i="20" s="1"/>
  <c r="AO22" i="20" s="1"/>
  <c r="J22" i="20"/>
  <c r="CO22" i="20" s="1"/>
  <c r="GH21" i="20"/>
  <c r="EI21" i="20"/>
  <c r="EG21" i="20"/>
  <c r="DP21" i="20"/>
  <c r="CN21" i="20"/>
  <c r="AX21" i="20"/>
  <c r="AX22" i="20" s="1"/>
  <c r="AU21" i="20"/>
  <c r="AT21" i="20"/>
  <c r="AJ21" i="20"/>
  <c r="AD21" i="20"/>
  <c r="AE21" i="20" s="1"/>
  <c r="AB21" i="20"/>
  <c r="S21" i="20"/>
  <c r="CI21" i="20" s="1"/>
  <c r="K21" i="20"/>
  <c r="DT21" i="20" s="1"/>
  <c r="J21" i="20"/>
  <c r="CO21" i="20" s="1"/>
  <c r="GH20" i="20"/>
  <c r="EI20" i="20"/>
  <c r="EG20" i="20"/>
  <c r="DP20" i="20"/>
  <c r="CN20" i="20"/>
  <c r="AU20" i="20"/>
  <c r="AT20" i="20"/>
  <c r="AJ20" i="20"/>
  <c r="AD20" i="20"/>
  <c r="AE20" i="20" s="1"/>
  <c r="AB20" i="20"/>
  <c r="S20" i="20"/>
  <c r="K20" i="20"/>
  <c r="L20" i="20" s="1"/>
  <c r="BF20" i="20" s="1"/>
  <c r="J20" i="20"/>
  <c r="CO20" i="20" s="1"/>
  <c r="AA15" i="20"/>
  <c r="AA14" i="20"/>
  <c r="X14" i="20"/>
  <c r="DQ11" i="20"/>
  <c r="AA11" i="20"/>
  <c r="DQ10" i="20"/>
  <c r="AA10" i="20"/>
  <c r="X10" i="20"/>
  <c r="EW9" i="20"/>
  <c r="EH9" i="20"/>
  <c r="DQ8" i="20"/>
  <c r="CR8" i="20"/>
  <c r="DT7" i="20"/>
  <c r="AA7" i="20"/>
  <c r="M7" i="20"/>
  <c r="EB6" i="20"/>
  <c r="EA6" i="20"/>
  <c r="DY6" i="20"/>
  <c r="DX6" i="20"/>
  <c r="DT6" i="20"/>
  <c r="AA6" i="20"/>
  <c r="X6" i="20"/>
  <c r="M6" i="20"/>
  <c r="ED5" i="20"/>
  <c r="EB5" i="20"/>
  <c r="EC5" i="20" s="1"/>
  <c r="EA5" i="20"/>
  <c r="DY5" i="20"/>
  <c r="DZ5" i="20" s="1"/>
  <c r="DX5" i="20"/>
  <c r="DT5" i="20"/>
  <c r="P5" i="20"/>
  <c r="M5" i="20"/>
  <c r="FL4" i="20"/>
  <c r="FK4" i="20"/>
  <c r="DQ4" i="20" s="1"/>
  <c r="EN4" i="20"/>
  <c r="EB4" i="20"/>
  <c r="EC4" i="20" s="1"/>
  <c r="EA4" i="20"/>
  <c r="DY4" i="20"/>
  <c r="DZ4" i="20" s="1"/>
  <c r="DX4" i="20"/>
  <c r="DT4" i="20"/>
  <c r="DR4" i="20"/>
  <c r="P4" i="20"/>
  <c r="M4" i="20"/>
  <c r="FL3" i="20"/>
  <c r="FK3" i="20"/>
  <c r="DQ3" i="20" s="1"/>
  <c r="EN3" i="20"/>
  <c r="EH3" i="20"/>
  <c r="EA3" i="20"/>
  <c r="DX3" i="20"/>
  <c r="DT3" i="20"/>
  <c r="EB2" i="20"/>
  <c r="EC2" i="20" s="1"/>
  <c r="ED2" i="20" s="1"/>
  <c r="DY2" i="20"/>
  <c r="DZ2" i="20" s="1"/>
  <c r="AA2" i="20"/>
  <c r="FL1" i="20"/>
  <c r="FL2" i="20" s="1"/>
  <c r="FK1" i="20"/>
  <c r="FK2" i="20" s="1"/>
  <c r="DQ2" i="20" s="1"/>
  <c r="EX1" i="20"/>
  <c r="EN1" i="20"/>
  <c r="EN2" i="20" s="1"/>
  <c r="EJ1" i="20"/>
  <c r="EI1" i="20"/>
  <c r="EI2" i="20" s="1"/>
  <c r="EH1" i="20"/>
  <c r="EH2" i="20" s="1"/>
  <c r="EE1" i="20"/>
  <c r="EE2" i="20" s="1"/>
  <c r="EB1" i="20"/>
  <c r="EC1" i="20" s="1"/>
  <c r="DY1" i="20"/>
  <c r="DZ1" i="20" s="1"/>
  <c r="DX1" i="20"/>
  <c r="DX2" i="20" s="1"/>
  <c r="AA1" i="20"/>
  <c r="X1" i="20"/>
  <c r="DJ1" i="5"/>
  <c r="DJ2" i="5" s="1"/>
  <c r="DK1" i="5"/>
  <c r="DL1" i="5" s="1"/>
  <c r="DN1" i="5"/>
  <c r="DO1" i="5" s="1"/>
  <c r="DQ1" i="5"/>
  <c r="DQ2" i="5" s="1"/>
  <c r="DT1" i="5"/>
  <c r="DU1" i="5"/>
  <c r="DV1" i="5"/>
  <c r="DZ1" i="5"/>
  <c r="DZ2" i="5" s="1"/>
  <c r="EJ1" i="5"/>
  <c r="EW1" i="5"/>
  <c r="DC1" i="5" s="1"/>
  <c r="EX1" i="5"/>
  <c r="EX2" i="5" s="1"/>
  <c r="DK2" i="5"/>
  <c r="DL2" i="5" s="1"/>
  <c r="DN2" i="5"/>
  <c r="DO2" i="5" s="1"/>
  <c r="DP2" i="5" s="1"/>
  <c r="DT2" i="5"/>
  <c r="DU2" i="5"/>
  <c r="EW2" i="5"/>
  <c r="DC2" i="5" s="1"/>
  <c r="DF3" i="5"/>
  <c r="DJ3" i="5"/>
  <c r="DM3" i="5"/>
  <c r="DT3" i="5"/>
  <c r="DZ3" i="5"/>
  <c r="EW3" i="5"/>
  <c r="DC3" i="5" s="1"/>
  <c r="EX3" i="5"/>
  <c r="DD4" i="5"/>
  <c r="DF4" i="5"/>
  <c r="DJ4" i="5"/>
  <c r="DK4" i="5"/>
  <c r="DL4" i="5" s="1"/>
  <c r="DM4" i="5"/>
  <c r="DN4" i="5"/>
  <c r="DO4" i="5"/>
  <c r="DZ4" i="5"/>
  <c r="EW4" i="5"/>
  <c r="DC4" i="5" s="1"/>
  <c r="EX4" i="5"/>
  <c r="DF5" i="5"/>
  <c r="DJ5" i="5"/>
  <c r="DK5" i="5"/>
  <c r="DL5" i="5" s="1"/>
  <c r="DM5" i="5"/>
  <c r="DN5" i="5"/>
  <c r="DO5" i="5" s="1"/>
  <c r="DP5" i="5"/>
  <c r="DF6" i="5"/>
  <c r="DJ6" i="5"/>
  <c r="DK6" i="5"/>
  <c r="DM6" i="5"/>
  <c r="DN6" i="5"/>
  <c r="DF7" i="5"/>
  <c r="CD8" i="5"/>
  <c r="DC8" i="5"/>
  <c r="DT9" i="5"/>
  <c r="EI9" i="5"/>
  <c r="DC10" i="5"/>
  <c r="DC11" i="5"/>
  <c r="EB19" i="5"/>
  <c r="EL19" i="5" s="1"/>
  <c r="EN19" i="5"/>
  <c r="EO19" i="5"/>
  <c r="ES19" i="5"/>
  <c r="ET19" i="5" s="1"/>
  <c r="BX20" i="5"/>
  <c r="BY20" i="5" s="1"/>
  <c r="BZ20" i="5"/>
  <c r="DB20" i="5"/>
  <c r="DS20" i="5"/>
  <c r="DU20" i="5"/>
  <c r="FS20" i="5"/>
  <c r="FT20" i="5"/>
  <c r="BX21" i="5"/>
  <c r="BY21" i="5" s="1"/>
  <c r="BZ21" i="5"/>
  <c r="DB21" i="5"/>
  <c r="DS21" i="5"/>
  <c r="DU21" i="5"/>
  <c r="FS21" i="5"/>
  <c r="FT21" i="5"/>
  <c r="BX22" i="5"/>
  <c r="BY22" i="5" s="1"/>
  <c r="BZ22" i="5"/>
  <c r="DB22" i="5"/>
  <c r="DS22" i="5"/>
  <c r="DU22" i="5"/>
  <c r="FS22" i="5"/>
  <c r="FT22" i="5"/>
  <c r="BX23" i="5"/>
  <c r="BY23" i="5" s="1"/>
  <c r="BZ23" i="5"/>
  <c r="DB23" i="5"/>
  <c r="DS23" i="5"/>
  <c r="DU23" i="5"/>
  <c r="FT23" i="5"/>
  <c r="BX24" i="5"/>
  <c r="BY24" i="5" s="1"/>
  <c r="BZ24" i="5"/>
  <c r="DB24" i="5"/>
  <c r="DS24" i="5"/>
  <c r="DU24" i="5"/>
  <c r="FT24" i="5"/>
  <c r="BX25" i="5"/>
  <c r="BY25" i="5" s="1"/>
  <c r="BZ25" i="5"/>
  <c r="DB25" i="5"/>
  <c r="DS25" i="5"/>
  <c r="DU25" i="5"/>
  <c r="FT25" i="5"/>
  <c r="BX26" i="5"/>
  <c r="BY26" i="5" s="1"/>
  <c r="BZ26" i="5"/>
  <c r="DB26" i="5"/>
  <c r="DS26" i="5"/>
  <c r="DU26" i="5"/>
  <c r="FS26" i="5"/>
  <c r="FT26" i="5"/>
  <c r="BX27" i="5"/>
  <c r="BY27" i="5" s="1"/>
  <c r="BZ27" i="5"/>
  <c r="DB27" i="5"/>
  <c r="DS27" i="5"/>
  <c r="DU27" i="5"/>
  <c r="FS27" i="5"/>
  <c r="FT27" i="5"/>
  <c r="BX28" i="5"/>
  <c r="BY28" i="5" s="1"/>
  <c r="BZ28" i="5"/>
  <c r="DB28" i="5"/>
  <c r="DS28" i="5"/>
  <c r="DU28" i="5"/>
  <c r="FS28" i="5"/>
  <c r="FT28" i="5"/>
  <c r="BX29" i="5"/>
  <c r="BY29" i="5" s="1"/>
  <c r="BZ29" i="5"/>
  <c r="DB29" i="5"/>
  <c r="DS29" i="5"/>
  <c r="DU29" i="5"/>
  <c r="FT29" i="5"/>
  <c r="BX30" i="5"/>
  <c r="BY30" i="5" s="1"/>
  <c r="BZ30" i="5"/>
  <c r="DB30" i="5"/>
  <c r="DS30" i="5"/>
  <c r="DU30" i="5"/>
  <c r="FT30" i="5"/>
  <c r="BX31" i="5"/>
  <c r="BY31" i="5" s="1"/>
  <c r="BZ31" i="5"/>
  <c r="DB31" i="5"/>
  <c r="DS31" i="5"/>
  <c r="DU31" i="5"/>
  <c r="FT31" i="5"/>
  <c r="BX32" i="5"/>
  <c r="BY32" i="5" s="1"/>
  <c r="BZ32" i="5"/>
  <c r="DB32" i="5"/>
  <c r="DS32" i="5"/>
  <c r="DU32" i="5"/>
  <c r="FT32" i="5"/>
  <c r="BX33" i="5"/>
  <c r="BY33" i="5" s="1"/>
  <c r="BZ33" i="5"/>
  <c r="DB33" i="5"/>
  <c r="DS33" i="5"/>
  <c r="DU33" i="5"/>
  <c r="FT33" i="5"/>
  <c r="BX34" i="5"/>
  <c r="BY34" i="5" s="1"/>
  <c r="BZ34" i="5"/>
  <c r="DB34" i="5"/>
  <c r="DS34" i="5"/>
  <c r="DU34" i="5"/>
  <c r="FT34" i="5"/>
  <c r="BX35" i="5"/>
  <c r="BY35" i="5" s="1"/>
  <c r="BZ35" i="5"/>
  <c r="DB35" i="5"/>
  <c r="DS35" i="5"/>
  <c r="DU35" i="5"/>
  <c r="FS35" i="5"/>
  <c r="FT35" i="5"/>
  <c r="BX36" i="5"/>
  <c r="BY36" i="5" s="1"/>
  <c r="BZ36" i="5"/>
  <c r="DB36" i="5"/>
  <c r="DS36" i="5"/>
  <c r="DU36" i="5"/>
  <c r="FS36" i="5"/>
  <c r="FT36" i="5"/>
  <c r="BX37" i="5"/>
  <c r="BY37" i="5" s="1"/>
  <c r="BZ37" i="5"/>
  <c r="DB37" i="5"/>
  <c r="DS37" i="5"/>
  <c r="DU37" i="5"/>
  <c r="FS37" i="5"/>
  <c r="FT37" i="5"/>
  <c r="BX38" i="5"/>
  <c r="BY38" i="5" s="1"/>
  <c r="BZ38" i="5"/>
  <c r="DB38" i="5"/>
  <c r="DS38" i="5"/>
  <c r="DU38" i="5"/>
  <c r="FT38" i="5"/>
  <c r="BX39" i="5"/>
  <c r="BY39" i="5" s="1"/>
  <c r="BZ39" i="5"/>
  <c r="DB39" i="5"/>
  <c r="DS39" i="5"/>
  <c r="DU39" i="5"/>
  <c r="FT39" i="5"/>
  <c r="BX40" i="5"/>
  <c r="BY40" i="5" s="1"/>
  <c r="BZ40" i="5"/>
  <c r="DB40" i="5"/>
  <c r="DS40" i="5"/>
  <c r="DU40" i="5"/>
  <c r="FT40" i="5"/>
  <c r="BX41" i="5"/>
  <c r="BY41" i="5" s="1"/>
  <c r="BZ41" i="5"/>
  <c r="DB41" i="5"/>
  <c r="DS41" i="5"/>
  <c r="DU41" i="5"/>
  <c r="FT41" i="5"/>
  <c r="BX42" i="5"/>
  <c r="BY42" i="5" s="1"/>
  <c r="BZ42" i="5"/>
  <c r="DB42" i="5"/>
  <c r="DS42" i="5"/>
  <c r="DU42" i="5"/>
  <c r="FT42" i="5"/>
  <c r="BX43" i="5"/>
  <c r="BY43" i="5" s="1"/>
  <c r="BZ43" i="5"/>
  <c r="DB43" i="5"/>
  <c r="DS43" i="5"/>
  <c r="DU43" i="5"/>
  <c r="FT43" i="5"/>
  <c r="BX44" i="5"/>
  <c r="BY44" i="5" s="1"/>
  <c r="BZ44" i="5"/>
  <c r="DB44" i="5"/>
  <c r="DS44" i="5"/>
  <c r="DU44" i="5"/>
  <c r="FT44" i="5"/>
  <c r="BX45" i="5"/>
  <c r="BY45" i="5" s="1"/>
  <c r="BZ45" i="5"/>
  <c r="DB45" i="5"/>
  <c r="DS45" i="5"/>
  <c r="DU45" i="5"/>
  <c r="FT45" i="5"/>
  <c r="BX46" i="5"/>
  <c r="BY46" i="5" s="1"/>
  <c r="BZ46" i="5"/>
  <c r="DB46" i="5"/>
  <c r="DS46" i="5"/>
  <c r="DU46" i="5"/>
  <c r="FT46" i="5"/>
  <c r="BX47" i="5"/>
  <c r="BY47" i="5" s="1"/>
  <c r="BZ47" i="5"/>
  <c r="DB47" i="5"/>
  <c r="DS47" i="5"/>
  <c r="DU47" i="5"/>
  <c r="FT47" i="5"/>
  <c r="BX48" i="5"/>
  <c r="BY48" i="5" s="1"/>
  <c r="BZ48" i="5"/>
  <c r="DB48" i="5"/>
  <c r="DS48" i="5"/>
  <c r="DU48" i="5"/>
  <c r="FT48" i="5"/>
  <c r="BX49" i="5"/>
  <c r="BY49" i="5" s="1"/>
  <c r="BZ49" i="5"/>
  <c r="DB49" i="5"/>
  <c r="DS49" i="5"/>
  <c r="DU49" i="5"/>
  <c r="FT49" i="5"/>
  <c r="BX50" i="5"/>
  <c r="BY50" i="5" s="1"/>
  <c r="BZ50" i="5"/>
  <c r="DB50" i="5"/>
  <c r="DS50" i="5"/>
  <c r="DU50" i="5"/>
  <c r="FT50" i="5"/>
  <c r="BX51" i="5"/>
  <c r="BY51" i="5" s="1"/>
  <c r="BZ51" i="5"/>
  <c r="DB51" i="5"/>
  <c r="DS51" i="5"/>
  <c r="DU51" i="5"/>
  <c r="FT51" i="5"/>
  <c r="BX52" i="5"/>
  <c r="BY52" i="5" s="1"/>
  <c r="BZ52" i="5"/>
  <c r="DB52" i="5"/>
  <c r="DS52" i="5"/>
  <c r="DU52" i="5"/>
  <c r="FT52" i="5"/>
  <c r="BX53" i="5"/>
  <c r="BY53" i="5" s="1"/>
  <c r="BZ53" i="5"/>
  <c r="CA53" i="5"/>
  <c r="DB53" i="5"/>
  <c r="DU53" i="5"/>
  <c r="FS53" i="5"/>
  <c r="FT53" i="5"/>
  <c r="BX54" i="5"/>
  <c r="BY54" i="5" s="1"/>
  <c r="BZ54" i="5"/>
  <c r="CA54" i="5"/>
  <c r="DB54" i="5"/>
  <c r="DU54" i="5"/>
  <c r="FS54" i="5"/>
  <c r="FT54" i="5"/>
  <c r="BX55" i="5"/>
  <c r="BY55" i="5" s="1"/>
  <c r="BZ55" i="5"/>
  <c r="CA55" i="5"/>
  <c r="DB55" i="5"/>
  <c r="DU55" i="5"/>
  <c r="FS55" i="5"/>
  <c r="FT55" i="5"/>
  <c r="BX56" i="5"/>
  <c r="BY56" i="5" s="1"/>
  <c r="BZ56" i="5"/>
  <c r="CA56" i="5"/>
  <c r="DB56" i="5"/>
  <c r="DU56" i="5"/>
  <c r="FS56" i="5"/>
  <c r="FT56" i="5"/>
  <c r="BX57" i="5"/>
  <c r="BY57" i="5" s="1"/>
  <c r="BZ57" i="5"/>
  <c r="CA57" i="5"/>
  <c r="DB57" i="5"/>
  <c r="DU57" i="5"/>
  <c r="FS57" i="5"/>
  <c r="FT57" i="5"/>
  <c r="BX58" i="5"/>
  <c r="BY58" i="5" s="1"/>
  <c r="BZ58" i="5"/>
  <c r="CA58" i="5"/>
  <c r="DB58" i="5"/>
  <c r="DU58" i="5"/>
  <c r="FS58" i="5"/>
  <c r="FT58" i="5"/>
  <c r="BX59" i="5"/>
  <c r="BY59" i="5" s="1"/>
  <c r="BZ59" i="5"/>
  <c r="CA59" i="5"/>
  <c r="DB59" i="5"/>
  <c r="DU59" i="5"/>
  <c r="FS59" i="5"/>
  <c r="FT59" i="5"/>
  <c r="BX60" i="5"/>
  <c r="BY60" i="5" s="1"/>
  <c r="BZ60" i="5"/>
  <c r="CA60" i="5"/>
  <c r="DB60" i="5"/>
  <c r="DU60" i="5"/>
  <c r="FS60" i="5"/>
  <c r="FT60" i="5"/>
  <c r="BX61" i="5"/>
  <c r="BY61" i="5" s="1"/>
  <c r="BZ61" i="5"/>
  <c r="CA61" i="5"/>
  <c r="DB61" i="5"/>
  <c r="DU61" i="5"/>
  <c r="FS61" i="5"/>
  <c r="FT61" i="5"/>
  <c r="BX62" i="5"/>
  <c r="BY62" i="5" s="1"/>
  <c r="BZ62" i="5"/>
  <c r="CA62" i="5"/>
  <c r="DB62" i="5"/>
  <c r="DU62" i="5"/>
  <c r="FS62" i="5"/>
  <c r="FT62" i="5"/>
  <c r="BX63" i="5"/>
  <c r="BY63" i="5" s="1"/>
  <c r="BZ63" i="5"/>
  <c r="CA63" i="5"/>
  <c r="DB63" i="5"/>
  <c r="DU63" i="5"/>
  <c r="FS63" i="5"/>
  <c r="FT63" i="5"/>
  <c r="BX64" i="5"/>
  <c r="BY64" i="5" s="1"/>
  <c r="BZ64" i="5"/>
  <c r="CA64" i="5"/>
  <c r="DB64" i="5"/>
  <c r="DU64" i="5"/>
  <c r="FS64" i="5"/>
  <c r="FT64" i="5"/>
  <c r="BX65" i="5"/>
  <c r="BY65" i="5" s="1"/>
  <c r="BZ65" i="5"/>
  <c r="CA65" i="5"/>
  <c r="DB65" i="5"/>
  <c r="DU65" i="5"/>
  <c r="FP65" i="5"/>
  <c r="FS65" i="5"/>
  <c r="FT65" i="5"/>
  <c r="BX66" i="5"/>
  <c r="BY66" i="5" s="1"/>
  <c r="BZ66" i="5"/>
  <c r="CA66" i="5"/>
  <c r="DB66" i="5"/>
  <c r="DU66" i="5"/>
  <c r="FS66" i="5"/>
  <c r="FT66" i="5"/>
  <c r="BX67" i="5"/>
  <c r="BY67" i="5" s="1"/>
  <c r="BZ67" i="5"/>
  <c r="CA67" i="5"/>
  <c r="DB67" i="5"/>
  <c r="DU67" i="5"/>
  <c r="FS67" i="5"/>
  <c r="FT67" i="5"/>
  <c r="BX68" i="5"/>
  <c r="BY68" i="5" s="1"/>
  <c r="BZ68" i="5"/>
  <c r="CA68" i="5"/>
  <c r="DB68" i="5"/>
  <c r="DU68" i="5"/>
  <c r="FS68" i="5"/>
  <c r="FT68" i="5"/>
  <c r="BX69" i="5"/>
  <c r="BY69" i="5" s="1"/>
  <c r="BZ69" i="5"/>
  <c r="CA69" i="5"/>
  <c r="DB69" i="5"/>
  <c r="DU69" i="5"/>
  <c r="FS69" i="5"/>
  <c r="FT69" i="5"/>
  <c r="BX70" i="5"/>
  <c r="BY70" i="5" s="1"/>
  <c r="BZ70" i="5"/>
  <c r="CA70" i="5"/>
  <c r="DB70" i="5"/>
  <c r="DU70" i="5"/>
  <c r="FS70" i="5"/>
  <c r="FT70" i="5"/>
  <c r="BX71" i="5"/>
  <c r="BY71" i="5" s="1"/>
  <c r="BZ71" i="5"/>
  <c r="CA71" i="5"/>
  <c r="DB71" i="5"/>
  <c r="DU71" i="5"/>
  <c r="FS71" i="5"/>
  <c r="FT71" i="5"/>
  <c r="BX72" i="5"/>
  <c r="BY72" i="5" s="1"/>
  <c r="BZ72" i="5"/>
  <c r="CA72" i="5"/>
  <c r="DB72" i="5"/>
  <c r="DU72" i="5"/>
  <c r="FS72" i="5"/>
  <c r="FT72" i="5"/>
  <c r="BX73" i="5"/>
  <c r="BY73" i="5" s="1"/>
  <c r="BZ73" i="5"/>
  <c r="CA73" i="5"/>
  <c r="DB73" i="5"/>
  <c r="DU73" i="5"/>
  <c r="FS73" i="5"/>
  <c r="FT73" i="5"/>
  <c r="BX74" i="5"/>
  <c r="BY74" i="5" s="1"/>
  <c r="BZ74" i="5"/>
  <c r="CA74" i="5"/>
  <c r="DB74" i="5"/>
  <c r="DU74" i="5"/>
  <c r="FS74" i="5"/>
  <c r="FT74" i="5"/>
  <c r="BX75" i="5"/>
  <c r="BY75" i="5" s="1"/>
  <c r="BZ75" i="5"/>
  <c r="CA75" i="5"/>
  <c r="DB75" i="5"/>
  <c r="DU75" i="5"/>
  <c r="FS75" i="5"/>
  <c r="FT75" i="5"/>
  <c r="BX76" i="5"/>
  <c r="BY76" i="5" s="1"/>
  <c r="BZ76" i="5"/>
  <c r="CA76" i="5"/>
  <c r="DB76" i="5"/>
  <c r="DU76" i="5"/>
  <c r="FS76" i="5"/>
  <c r="FT76" i="5"/>
  <c r="BX77" i="5"/>
  <c r="BY77" i="5" s="1"/>
  <c r="BZ77" i="5"/>
  <c r="CA77" i="5"/>
  <c r="DB77" i="5"/>
  <c r="DU77" i="5"/>
  <c r="FS77" i="5"/>
  <c r="FT77" i="5"/>
  <c r="BX78" i="5"/>
  <c r="BY78" i="5" s="1"/>
  <c r="BZ78" i="5"/>
  <c r="CA78" i="5"/>
  <c r="DB78" i="5"/>
  <c r="DU78" i="5"/>
  <c r="FS78" i="5"/>
  <c r="FT78" i="5"/>
  <c r="BX79" i="5"/>
  <c r="BY79" i="5" s="1"/>
  <c r="BZ79" i="5"/>
  <c r="CA79" i="5"/>
  <c r="DB79" i="5"/>
  <c r="DU79" i="5"/>
  <c r="FS79" i="5"/>
  <c r="FT79" i="5"/>
  <c r="BX80" i="5"/>
  <c r="BY80" i="5" s="1"/>
  <c r="BZ80" i="5"/>
  <c r="CA80" i="5"/>
  <c r="DB80" i="5"/>
  <c r="DU80" i="5"/>
  <c r="FS80" i="5"/>
  <c r="FT80" i="5"/>
  <c r="BX81" i="5"/>
  <c r="BY81" i="5" s="1"/>
  <c r="BZ81" i="5"/>
  <c r="CA81" i="5"/>
  <c r="DB81" i="5"/>
  <c r="DU81" i="5"/>
  <c r="FS81" i="5"/>
  <c r="FT81" i="5"/>
  <c r="BX82" i="5"/>
  <c r="BY82" i="5" s="1"/>
  <c r="BZ82" i="5"/>
  <c r="CA82" i="5"/>
  <c r="DB82" i="5"/>
  <c r="DU82" i="5"/>
  <c r="FS82" i="5"/>
  <c r="FT82" i="5"/>
  <c r="BX83" i="5"/>
  <c r="BY83" i="5" s="1"/>
  <c r="BZ83" i="5"/>
  <c r="CA83" i="5"/>
  <c r="DB83" i="5"/>
  <c r="DU83" i="5"/>
  <c r="FS83" i="5"/>
  <c r="FT83" i="5"/>
  <c r="BX84" i="5"/>
  <c r="BY84" i="5" s="1"/>
  <c r="BZ84" i="5"/>
  <c r="CA84" i="5"/>
  <c r="DB84" i="5"/>
  <c r="DU84" i="5"/>
  <c r="FS84" i="5"/>
  <c r="FT84" i="5"/>
  <c r="BX85" i="5"/>
  <c r="BY85" i="5" s="1"/>
  <c r="BZ85" i="5"/>
  <c r="CA85" i="5"/>
  <c r="DB85" i="5"/>
  <c r="DU85" i="5"/>
  <c r="FS85" i="5"/>
  <c r="FT85" i="5"/>
  <c r="BX86" i="5"/>
  <c r="BY86" i="5" s="1"/>
  <c r="BZ86" i="5"/>
  <c r="CA86" i="5"/>
  <c r="DB86" i="5"/>
  <c r="DU86" i="5"/>
  <c r="FS86" i="5"/>
  <c r="FT86" i="5"/>
  <c r="BX87" i="5"/>
  <c r="BY87" i="5" s="1"/>
  <c r="BZ87" i="5"/>
  <c r="CA87" i="5"/>
  <c r="DB87" i="5"/>
  <c r="DU87" i="5"/>
  <c r="FS87" i="5"/>
  <c r="FT87" i="5"/>
  <c r="BX88" i="5"/>
  <c r="BY88" i="5" s="1"/>
  <c r="BZ88" i="5"/>
  <c r="CA88" i="5"/>
  <c r="DB88" i="5"/>
  <c r="DU88" i="5"/>
  <c r="FS88" i="5"/>
  <c r="FT88" i="5"/>
  <c r="BX89" i="5"/>
  <c r="BY89" i="5" s="1"/>
  <c r="BZ89" i="5"/>
  <c r="CA89" i="5"/>
  <c r="DB89" i="5"/>
  <c r="DU89" i="5"/>
  <c r="FS89" i="5"/>
  <c r="FT89" i="5"/>
  <c r="BX90" i="5"/>
  <c r="BY90" i="5" s="1"/>
  <c r="BZ90" i="5"/>
  <c r="CA90" i="5"/>
  <c r="DB90" i="5"/>
  <c r="DU90" i="5"/>
  <c r="FS90" i="5"/>
  <c r="FT90" i="5"/>
  <c r="BX91" i="5"/>
  <c r="BY91" i="5" s="1"/>
  <c r="BZ91" i="5"/>
  <c r="CA91" i="5"/>
  <c r="DB91" i="5"/>
  <c r="DU91" i="5"/>
  <c r="FT91" i="5"/>
  <c r="FS91" i="5" s="1"/>
  <c r="BX92" i="5"/>
  <c r="BY92" i="5" s="1"/>
  <c r="BZ92" i="5"/>
  <c r="CA92" i="5"/>
  <c r="DB92" i="5"/>
  <c r="DU92" i="5"/>
  <c r="FT92" i="5"/>
  <c r="FS92" i="5" s="1"/>
  <c r="BX93" i="5"/>
  <c r="BY93" i="5" s="1"/>
  <c r="BZ93" i="5"/>
  <c r="CA93" i="5"/>
  <c r="DB93" i="5"/>
  <c r="DU93" i="5"/>
  <c r="FS93" i="5"/>
  <c r="FT93" i="5"/>
  <c r="BX94" i="5"/>
  <c r="BY94" i="5" s="1"/>
  <c r="BZ94" i="5"/>
  <c r="CA94" i="5"/>
  <c r="DB94" i="5"/>
  <c r="DU94" i="5"/>
  <c r="FS94" i="5"/>
  <c r="FT94" i="5"/>
  <c r="DB95" i="5"/>
  <c r="DB96" i="5"/>
  <c r="DB97" i="5"/>
  <c r="DB98" i="5"/>
  <c r="DB99" i="5"/>
  <c r="DB100" i="5"/>
  <c r="DB101" i="5"/>
  <c r="DB102" i="5"/>
  <c r="DB103" i="5"/>
  <c r="DB104" i="5"/>
  <c r="BX105" i="5"/>
  <c r="BY105" i="5" s="1"/>
  <c r="BZ105" i="5"/>
  <c r="CA105" i="5"/>
  <c r="DB105" i="5"/>
  <c r="DU105" i="5"/>
  <c r="FT105" i="5"/>
  <c r="BX106" i="5"/>
  <c r="BY106" i="5" s="1"/>
  <c r="BZ106" i="5"/>
  <c r="CA106" i="5"/>
  <c r="CB106" i="5" s="1"/>
  <c r="DB106" i="5"/>
  <c r="DU106" i="5"/>
  <c r="FT106" i="5"/>
  <c r="BX107" i="5"/>
  <c r="BY107" i="5" s="1"/>
  <c r="BZ107" i="5"/>
  <c r="CA107" i="5"/>
  <c r="CB107" i="5" s="1"/>
  <c r="DB107" i="5"/>
  <c r="DS107" i="5"/>
  <c r="DU107" i="5"/>
  <c r="FT107" i="5"/>
  <c r="BX108" i="5"/>
  <c r="BY108" i="5" s="1"/>
  <c r="BZ108" i="5"/>
  <c r="CA108" i="5"/>
  <c r="DB108" i="5"/>
  <c r="DS108" i="5"/>
  <c r="DU108" i="5"/>
  <c r="FT108" i="5"/>
  <c r="BX109" i="5"/>
  <c r="BY109" i="5" s="1"/>
  <c r="BZ109" i="5"/>
  <c r="CA109" i="5"/>
  <c r="DB109" i="5"/>
  <c r="DS109" i="5"/>
  <c r="DU109" i="5"/>
  <c r="FT109" i="5"/>
  <c r="BX110" i="5"/>
  <c r="BY110" i="5" s="1"/>
  <c r="BZ110" i="5"/>
  <c r="CA110" i="5"/>
  <c r="DB110" i="5"/>
  <c r="DS110" i="5"/>
  <c r="DU110" i="5"/>
  <c r="FT110" i="5"/>
  <c r="BX111" i="5"/>
  <c r="BY111" i="5" s="1"/>
  <c r="BZ111" i="5"/>
  <c r="CA111" i="5"/>
  <c r="DB111" i="5"/>
  <c r="DS111" i="5"/>
  <c r="DU111" i="5"/>
  <c r="FT111" i="5"/>
  <c r="BX112" i="5"/>
  <c r="BY112" i="5" s="1"/>
  <c r="BZ112" i="5"/>
  <c r="CA112" i="5"/>
  <c r="DB112" i="5"/>
  <c r="DS112" i="5"/>
  <c r="DU112" i="5"/>
  <c r="FT112" i="5"/>
  <c r="BX113" i="5"/>
  <c r="BY113" i="5" s="1"/>
  <c r="BZ113" i="5"/>
  <c r="CA113" i="5"/>
  <c r="DB113" i="5"/>
  <c r="DS113" i="5"/>
  <c r="DU113" i="5"/>
  <c r="FT113" i="5"/>
  <c r="BX114" i="5"/>
  <c r="BY114" i="5" s="1"/>
  <c r="BZ114" i="5"/>
  <c r="CA114" i="5"/>
  <c r="DB114" i="5"/>
  <c r="DS114" i="5"/>
  <c r="DU114" i="5"/>
  <c r="FT114" i="5"/>
  <c r="BX115" i="5"/>
  <c r="BY115" i="5" s="1"/>
  <c r="BZ115" i="5"/>
  <c r="CA115" i="5"/>
  <c r="CB115" i="5" s="1"/>
  <c r="DB115" i="5"/>
  <c r="DS115" i="5"/>
  <c r="DU115" i="5"/>
  <c r="FT115" i="5"/>
  <c r="BX116" i="5"/>
  <c r="BY116" i="5" s="1"/>
  <c r="BZ116" i="5"/>
  <c r="CA116" i="5"/>
  <c r="DB116" i="5"/>
  <c r="DS116" i="5"/>
  <c r="DU116" i="5"/>
  <c r="FT116" i="5"/>
  <c r="BX117" i="5"/>
  <c r="BY117" i="5" s="1"/>
  <c r="BZ117" i="5"/>
  <c r="CB117" i="5" s="1"/>
  <c r="CA117" i="5"/>
  <c r="DB117" i="5"/>
  <c r="DS117" i="5"/>
  <c r="DU117" i="5"/>
  <c r="FT117" i="5"/>
  <c r="AR118" i="5"/>
  <c r="BX118" i="5"/>
  <c r="BY118" i="5" s="1"/>
  <c r="BZ118" i="5"/>
  <c r="CB118" i="5" s="1"/>
  <c r="CA118" i="5"/>
  <c r="DB118" i="5"/>
  <c r="DC118" i="5"/>
  <c r="DD118" i="5"/>
  <c r="ES118" i="5" s="1"/>
  <c r="DF118" i="5"/>
  <c r="DS118" i="5"/>
  <c r="DU118" i="5"/>
  <c r="FT118" i="5"/>
  <c r="BZ119" i="5"/>
  <c r="CA119" i="5"/>
  <c r="DB119" i="5"/>
  <c r="DS119" i="5"/>
  <c r="BZ120" i="5"/>
  <c r="CB120" i="5" s="1"/>
  <c r="CA120" i="5"/>
  <c r="DB120" i="5"/>
  <c r="DS120" i="5"/>
  <c r="DU120" i="5"/>
  <c r="FT120" i="5"/>
  <c r="BZ121" i="5"/>
  <c r="CA121" i="5"/>
  <c r="DB121" i="5"/>
  <c r="DS121" i="5"/>
  <c r="DU121" i="5"/>
  <c r="FT121" i="5"/>
  <c r="BZ122" i="5"/>
  <c r="CA122" i="5"/>
  <c r="DB122" i="5"/>
  <c r="DS122" i="5"/>
  <c r="DU122" i="5"/>
  <c r="FT122" i="5"/>
  <c r="BZ123" i="5"/>
  <c r="CA123" i="5"/>
  <c r="DB123" i="5"/>
  <c r="DS123" i="5"/>
  <c r="DU123" i="5"/>
  <c r="FT123" i="5"/>
  <c r="BX124" i="5"/>
  <c r="BY124" i="5" s="1"/>
  <c r="BZ124" i="5"/>
  <c r="CA124" i="5"/>
  <c r="DB124" i="5"/>
  <c r="DS124" i="5"/>
  <c r="DU124" i="5"/>
  <c r="EF124" i="5"/>
  <c r="EE124" i="5" s="1"/>
  <c r="FT124" i="5"/>
  <c r="BX125" i="5"/>
  <c r="BY125" i="5" s="1"/>
  <c r="BZ125" i="5"/>
  <c r="CA125" i="5"/>
  <c r="DB125" i="5"/>
  <c r="DS125" i="5"/>
  <c r="DU125" i="5"/>
  <c r="EF125" i="5"/>
  <c r="EE125" i="5" s="1"/>
  <c r="FT125" i="5"/>
  <c r="BX126" i="5"/>
  <c r="BY126" i="5" s="1"/>
  <c r="BZ126" i="5"/>
  <c r="CA126" i="5"/>
  <c r="DB126" i="5"/>
  <c r="DS126" i="5"/>
  <c r="DU126" i="5"/>
  <c r="EF126" i="5"/>
  <c r="EE126" i="5" s="1"/>
  <c r="FT126" i="5"/>
  <c r="BX127" i="5"/>
  <c r="BY127" i="5" s="1"/>
  <c r="BZ127" i="5"/>
  <c r="CA127" i="5"/>
  <c r="DB127" i="5"/>
  <c r="DS127" i="5"/>
  <c r="DU127" i="5"/>
  <c r="EF127" i="5"/>
  <c r="EE127" i="5" s="1"/>
  <c r="FT127" i="5"/>
  <c r="BX128" i="5"/>
  <c r="BY128" i="5" s="1"/>
  <c r="BZ128" i="5"/>
  <c r="CA128" i="5"/>
  <c r="DB128" i="5"/>
  <c r="DS128" i="5"/>
  <c r="DU128" i="5"/>
  <c r="EF128" i="5"/>
  <c r="EE128" i="5" s="1"/>
  <c r="FT128" i="5"/>
  <c r="BX129" i="5"/>
  <c r="BY129" i="5" s="1"/>
  <c r="BZ129" i="5"/>
  <c r="CA129" i="5"/>
  <c r="DB129" i="5"/>
  <c r="DS129" i="5"/>
  <c r="DU129" i="5"/>
  <c r="EF129" i="5"/>
  <c r="EE129" i="5" s="1"/>
  <c r="FT129" i="5"/>
  <c r="BX130" i="5"/>
  <c r="BY130" i="5" s="1"/>
  <c r="BZ130" i="5"/>
  <c r="CA130" i="5"/>
  <c r="DB130" i="5"/>
  <c r="DS130" i="5"/>
  <c r="DU130" i="5"/>
  <c r="EF130" i="5"/>
  <c r="EE130" i="5" s="1"/>
  <c r="FT130" i="5"/>
  <c r="BX131" i="5"/>
  <c r="BY131" i="5" s="1"/>
  <c r="BZ131" i="5"/>
  <c r="CA131" i="5"/>
  <c r="DB131" i="5"/>
  <c r="DS131" i="5"/>
  <c r="DU131" i="5"/>
  <c r="EF131" i="5"/>
  <c r="EE131" i="5" s="1"/>
  <c r="FT131" i="5"/>
  <c r="BX132" i="5"/>
  <c r="BY132" i="5" s="1"/>
  <c r="BZ132" i="5"/>
  <c r="CA132" i="5"/>
  <c r="DB132" i="5"/>
  <c r="DS132" i="5"/>
  <c r="DU132" i="5"/>
  <c r="EF132" i="5"/>
  <c r="EE132" i="5" s="1"/>
  <c r="FT132" i="5"/>
  <c r="BX133" i="5"/>
  <c r="BY133" i="5" s="1"/>
  <c r="BZ133" i="5"/>
  <c r="CA133" i="5"/>
  <c r="DB133" i="5"/>
  <c r="DS133" i="5"/>
  <c r="DU133" i="5"/>
  <c r="EF133" i="5"/>
  <c r="EE133" i="5" s="1"/>
  <c r="FT133" i="5"/>
  <c r="BX134" i="5"/>
  <c r="BY134" i="5" s="1"/>
  <c r="BZ134" i="5"/>
  <c r="CA134" i="5"/>
  <c r="DB134" i="5"/>
  <c r="DS134" i="5"/>
  <c r="DU134" i="5"/>
  <c r="EF134" i="5"/>
  <c r="EE134" i="5" s="1"/>
  <c r="FT134" i="5"/>
  <c r="BX135" i="5"/>
  <c r="BY135" i="5" s="1"/>
  <c r="BZ135" i="5"/>
  <c r="CA135" i="5"/>
  <c r="DB135" i="5"/>
  <c r="DS135" i="5"/>
  <c r="DU135" i="5"/>
  <c r="EF135" i="5"/>
  <c r="EE135" i="5" s="1"/>
  <c r="FT135" i="5"/>
  <c r="BX136" i="5"/>
  <c r="BY136" i="5" s="1"/>
  <c r="BZ136" i="5"/>
  <c r="CB136" i="5" s="1"/>
  <c r="CA136" i="5"/>
  <c r="DB136" i="5"/>
  <c r="DS136" i="5"/>
  <c r="DU136" i="5"/>
  <c r="EF136" i="5"/>
  <c r="EE136" i="5" s="1"/>
  <c r="FT136" i="5"/>
  <c r="BX137" i="5"/>
  <c r="BY137" i="5" s="1"/>
  <c r="BZ137" i="5"/>
  <c r="CA137" i="5"/>
  <c r="DB137" i="5"/>
  <c r="DS137" i="5"/>
  <c r="DU137" i="5"/>
  <c r="EF137" i="5"/>
  <c r="EE137" i="5" s="1"/>
  <c r="FT137" i="5"/>
  <c r="BX138" i="5"/>
  <c r="BY138" i="5" s="1"/>
  <c r="BZ138" i="5"/>
  <c r="CA138" i="5"/>
  <c r="DB138" i="5"/>
  <c r="DS138" i="5"/>
  <c r="DU138" i="5"/>
  <c r="EF138" i="5"/>
  <c r="EE138" i="5" s="1"/>
  <c r="FT138" i="5"/>
  <c r="BX139" i="5"/>
  <c r="BY139" i="5" s="1"/>
  <c r="BZ139" i="5"/>
  <c r="CA139" i="5"/>
  <c r="DB139" i="5"/>
  <c r="DS139" i="5"/>
  <c r="DU139" i="5"/>
  <c r="EF139" i="5"/>
  <c r="EE139" i="5" s="1"/>
  <c r="FT139" i="5"/>
  <c r="BX140" i="5"/>
  <c r="BY140" i="5" s="1"/>
  <c r="BZ140" i="5"/>
  <c r="CA140" i="5"/>
  <c r="DB140" i="5"/>
  <c r="DS140" i="5"/>
  <c r="DU140" i="5"/>
  <c r="EF140" i="5"/>
  <c r="EE140" i="5" s="1"/>
  <c r="FT140" i="5"/>
  <c r="BX141" i="5"/>
  <c r="BY141" i="5" s="1"/>
  <c r="BZ141" i="5"/>
  <c r="CA141" i="5"/>
  <c r="DB141" i="5"/>
  <c r="DS141" i="5"/>
  <c r="DU141" i="5"/>
  <c r="EF141" i="5"/>
  <c r="EE141" i="5" s="1"/>
  <c r="FT141" i="5"/>
  <c r="BZ142" i="5"/>
  <c r="CA142" i="5"/>
  <c r="DB142" i="5"/>
  <c r="DS142" i="5"/>
  <c r="DU142" i="5"/>
  <c r="EF142" i="5"/>
  <c r="EE142" i="5" s="1"/>
  <c r="FT142" i="5"/>
  <c r="BZ143" i="5"/>
  <c r="CB143" i="5" s="1"/>
  <c r="CA143" i="5"/>
  <c r="DB143" i="5"/>
  <c r="DS143" i="5"/>
  <c r="DU143" i="5"/>
  <c r="EF143" i="5"/>
  <c r="EE143" i="5" s="1"/>
  <c r="FT143" i="5"/>
  <c r="BX144" i="5"/>
  <c r="BY144" i="5" s="1"/>
  <c r="BZ144" i="5"/>
  <c r="CA144" i="5"/>
  <c r="DB144" i="5"/>
  <c r="DS144" i="5"/>
  <c r="DU144" i="5"/>
  <c r="EF144" i="5"/>
  <c r="EE144" i="5" s="1"/>
  <c r="FT144" i="5"/>
  <c r="BX145" i="5"/>
  <c r="BY145" i="5" s="1"/>
  <c r="BZ145" i="5"/>
  <c r="CA145" i="5"/>
  <c r="DB145" i="5"/>
  <c r="DS145" i="5"/>
  <c r="DU145" i="5"/>
  <c r="EF145" i="5"/>
  <c r="EE145" i="5" s="1"/>
  <c r="FT145" i="5"/>
  <c r="BX146" i="5"/>
  <c r="BY146" i="5" s="1"/>
  <c r="BZ146" i="5"/>
  <c r="CA146" i="5"/>
  <c r="DB146" i="5"/>
  <c r="DS146" i="5"/>
  <c r="DU146" i="5"/>
  <c r="EF146" i="5"/>
  <c r="EE146" i="5" s="1"/>
  <c r="FT146" i="5"/>
  <c r="BX147" i="5"/>
  <c r="BY147" i="5" s="1"/>
  <c r="BZ147" i="5"/>
  <c r="CA147" i="5"/>
  <c r="DB147" i="5"/>
  <c r="DS147" i="5"/>
  <c r="DU147" i="5"/>
  <c r="EF147" i="5"/>
  <c r="EE147" i="5" s="1"/>
  <c r="FT147" i="5"/>
  <c r="DB148" i="5"/>
  <c r="DB149" i="5"/>
  <c r="DB150" i="5"/>
  <c r="DB151" i="5"/>
  <c r="DB152" i="5"/>
  <c r="DB153" i="5"/>
  <c r="AK154" i="5"/>
  <c r="AS154" i="5"/>
  <c r="AY154" i="5"/>
  <c r="AZ154" i="5" s="1"/>
  <c r="DB154" i="5"/>
  <c r="DF154" i="5"/>
  <c r="DG154" i="5"/>
  <c r="DO154" i="5"/>
  <c r="EG154" i="5" s="1"/>
  <c r="EE154" i="5"/>
  <c r="EN154" i="5" s="1"/>
  <c r="EL154" i="5"/>
  <c r="FR154" i="5"/>
  <c r="FS154" i="5"/>
  <c r="FT154" i="5"/>
  <c r="AK155" i="5"/>
  <c r="AS155" i="5"/>
  <c r="AY155" i="5"/>
  <c r="AZ155" i="5" s="1"/>
  <c r="BC155" i="5"/>
  <c r="DB155" i="5"/>
  <c r="DF155" i="5"/>
  <c r="DG155" i="5"/>
  <c r="DO155" i="5"/>
  <c r="EE155" i="5"/>
  <c r="EN155" i="5" s="1"/>
  <c r="EL155" i="5"/>
  <c r="FR155" i="5"/>
  <c r="FS155" i="5"/>
  <c r="FT155" i="5"/>
  <c r="BX156" i="5"/>
  <c r="BY156" i="5" s="1"/>
  <c r="BZ156" i="5"/>
  <c r="CA156" i="5"/>
  <c r="DB156" i="5"/>
  <c r="DF156" i="5"/>
  <c r="DU156" i="5"/>
  <c r="FS156" i="5"/>
  <c r="FT156" i="5"/>
  <c r="BX157" i="5"/>
  <c r="BY157" i="5" s="1"/>
  <c r="BZ157" i="5"/>
  <c r="CA157" i="5"/>
  <c r="DB157" i="5"/>
  <c r="DF157" i="5"/>
  <c r="DU157" i="5"/>
  <c r="FS157" i="5"/>
  <c r="FT157" i="5"/>
  <c r="BX158" i="5"/>
  <c r="BY158" i="5" s="1"/>
  <c r="BZ158" i="5"/>
  <c r="CA158" i="5"/>
  <c r="DB158" i="5"/>
  <c r="DF158" i="5"/>
  <c r="DU158" i="5"/>
  <c r="FS158" i="5"/>
  <c r="FT158" i="5"/>
  <c r="BX159" i="5"/>
  <c r="BY159" i="5" s="1"/>
  <c r="BZ159" i="5"/>
  <c r="CA159" i="5"/>
  <c r="DB159" i="5"/>
  <c r="DF159" i="5"/>
  <c r="DU159" i="5"/>
  <c r="FS159" i="5"/>
  <c r="FT159" i="5"/>
  <c r="BX160" i="5"/>
  <c r="BY160" i="5" s="1"/>
  <c r="BZ160" i="5"/>
  <c r="CA160" i="5"/>
  <c r="DB160" i="5"/>
  <c r="DF160" i="5"/>
  <c r="DU160" i="5"/>
  <c r="FS160" i="5"/>
  <c r="FT160" i="5"/>
  <c r="BX161" i="5"/>
  <c r="BY161" i="5" s="1"/>
  <c r="BZ161" i="5"/>
  <c r="CA161" i="5"/>
  <c r="DB161" i="5"/>
  <c r="DF161" i="5"/>
  <c r="DU161" i="5"/>
  <c r="FS161" i="5"/>
  <c r="FT161" i="5"/>
  <c r="BX162" i="5"/>
  <c r="BY162" i="5" s="1"/>
  <c r="BZ162" i="5"/>
  <c r="CA162" i="5"/>
  <c r="DB162" i="5"/>
  <c r="DF162" i="5"/>
  <c r="DU162" i="5"/>
  <c r="FS162" i="5"/>
  <c r="FT162" i="5"/>
  <c r="BX163" i="5"/>
  <c r="BY163" i="5" s="1"/>
  <c r="BZ163" i="5"/>
  <c r="CA163" i="5"/>
  <c r="DB163" i="5"/>
  <c r="DF163" i="5"/>
  <c r="DU163" i="5"/>
  <c r="FS163" i="5"/>
  <c r="FT163" i="5"/>
  <c r="BX164" i="5"/>
  <c r="BY164" i="5" s="1"/>
  <c r="BZ164" i="5"/>
  <c r="CA164" i="5"/>
  <c r="DB164" i="5"/>
  <c r="DF164" i="5"/>
  <c r="DU164" i="5"/>
  <c r="FS164" i="5"/>
  <c r="FT164" i="5"/>
  <c r="BX165" i="5"/>
  <c r="BY165" i="5" s="1"/>
  <c r="BZ165" i="5"/>
  <c r="CA165" i="5"/>
  <c r="DB165" i="5"/>
  <c r="DF165" i="5"/>
  <c r="DU165" i="5"/>
  <c r="FS165" i="5"/>
  <c r="FT165" i="5"/>
  <c r="BX166" i="5"/>
  <c r="BY166" i="5" s="1"/>
  <c r="BZ166" i="5"/>
  <c r="CA166" i="5"/>
  <c r="DB166" i="5"/>
  <c r="DF166" i="5"/>
  <c r="DU166" i="5"/>
  <c r="FS166" i="5"/>
  <c r="FT166" i="5"/>
  <c r="BX167" i="5"/>
  <c r="BY167" i="5" s="1"/>
  <c r="BZ167" i="5"/>
  <c r="CA167" i="5"/>
  <c r="DB167" i="5"/>
  <c r="DF167" i="5"/>
  <c r="DU167" i="5"/>
  <c r="FS167" i="5"/>
  <c r="FT167" i="5"/>
  <c r="AN168" i="5"/>
  <c r="AO168" i="5" s="1"/>
  <c r="FR168" i="5"/>
  <c r="FS168" i="5"/>
  <c r="FT168" i="5"/>
  <c r="AM169" i="5"/>
  <c r="BX169" i="5"/>
  <c r="BY169" i="5" s="1"/>
  <c r="BZ169" i="5"/>
  <c r="CA169" i="5"/>
  <c r="DB169" i="5"/>
  <c r="DU169" i="5"/>
  <c r="FT169" i="5"/>
  <c r="AM170" i="5"/>
  <c r="BX170" i="5"/>
  <c r="BY170" i="5" s="1"/>
  <c r="BZ170" i="5"/>
  <c r="CA170" i="5"/>
  <c r="DB170" i="5"/>
  <c r="FT170" i="5"/>
  <c r="AM171" i="5"/>
  <c r="BX171" i="5"/>
  <c r="BY171" i="5" s="1"/>
  <c r="BZ171" i="5"/>
  <c r="CA171" i="5"/>
  <c r="DB171" i="5"/>
  <c r="DU171" i="5"/>
  <c r="FT171" i="5"/>
  <c r="AM172" i="5"/>
  <c r="BX172" i="5"/>
  <c r="BY172" i="5" s="1"/>
  <c r="BZ172" i="5"/>
  <c r="CA172" i="5"/>
  <c r="DB172" i="5"/>
  <c r="DU172" i="5"/>
  <c r="FT172" i="5"/>
  <c r="AM173" i="5"/>
  <c r="BX173" i="5"/>
  <c r="BY173" i="5" s="1"/>
  <c r="BZ173" i="5"/>
  <c r="CA173" i="5"/>
  <c r="DB173" i="5"/>
  <c r="FT173" i="5"/>
  <c r="AM174" i="5"/>
  <c r="BX174" i="5"/>
  <c r="BY174" i="5" s="1"/>
  <c r="BZ174" i="5"/>
  <c r="CA174" i="5"/>
  <c r="DB174" i="5"/>
  <c r="DU174" i="5"/>
  <c r="FT174" i="5"/>
  <c r="AM175" i="5"/>
  <c r="BX175" i="5"/>
  <c r="BY175" i="5" s="1"/>
  <c r="BZ175" i="5"/>
  <c r="CA175" i="5"/>
  <c r="DB175" i="5"/>
  <c r="DU175" i="5"/>
  <c r="FT175" i="5"/>
  <c r="AM176" i="5"/>
  <c r="BX176" i="5"/>
  <c r="BY176" i="5" s="1"/>
  <c r="BZ176" i="5"/>
  <c r="CA176" i="5"/>
  <c r="DB176" i="5"/>
  <c r="DU176" i="5"/>
  <c r="FT176" i="5"/>
  <c r="AM177" i="5"/>
  <c r="BX177" i="5"/>
  <c r="BY177" i="5" s="1"/>
  <c r="BZ177" i="5"/>
  <c r="CA177" i="5"/>
  <c r="DB177" i="5"/>
  <c r="FT177" i="5"/>
  <c r="AM178" i="5"/>
  <c r="BX178" i="5"/>
  <c r="BY178" i="5" s="1"/>
  <c r="BZ178" i="5"/>
  <c r="CB178" i="5" s="1"/>
  <c r="CA178" i="5"/>
  <c r="DB178" i="5"/>
  <c r="FT178" i="5"/>
  <c r="AM179" i="5"/>
  <c r="BX179" i="5"/>
  <c r="BY179" i="5" s="1"/>
  <c r="BZ179" i="5"/>
  <c r="CA179" i="5"/>
  <c r="DB179" i="5"/>
  <c r="DU179" i="5"/>
  <c r="FT179" i="5"/>
  <c r="AM180" i="5"/>
  <c r="BX180" i="5"/>
  <c r="BY180" i="5" s="1"/>
  <c r="BZ180" i="5"/>
  <c r="CA180" i="5"/>
  <c r="DB180" i="5"/>
  <c r="DU180" i="5"/>
  <c r="FT180" i="5"/>
  <c r="AM181" i="5"/>
  <c r="BX181" i="5"/>
  <c r="BY181" i="5" s="1"/>
  <c r="BZ181" i="5"/>
  <c r="CA181" i="5"/>
  <c r="DB181" i="5"/>
  <c r="FT181" i="5"/>
  <c r="AM182" i="5"/>
  <c r="BX182" i="5"/>
  <c r="BY182" i="5" s="1"/>
  <c r="BZ182" i="5"/>
  <c r="CA182" i="5"/>
  <c r="DB182" i="5"/>
  <c r="FT182" i="5"/>
  <c r="AM183" i="5"/>
  <c r="BX183" i="5"/>
  <c r="BY183" i="5" s="1"/>
  <c r="BZ183" i="5"/>
  <c r="CA183" i="5"/>
  <c r="DB183" i="5"/>
  <c r="DU183" i="5"/>
  <c r="FT183" i="5"/>
  <c r="AM184" i="5"/>
  <c r="BX184" i="5"/>
  <c r="BY184" i="5" s="1"/>
  <c r="BZ184" i="5"/>
  <c r="CA184" i="5"/>
  <c r="DB184" i="5"/>
  <c r="FT184" i="5"/>
  <c r="AM185" i="5"/>
  <c r="BX185" i="5"/>
  <c r="BY185" i="5" s="1"/>
  <c r="BZ185" i="5"/>
  <c r="CA185" i="5"/>
  <c r="CB185" i="5" s="1"/>
  <c r="DB185" i="5"/>
  <c r="DU185" i="5"/>
  <c r="FT185" i="5"/>
  <c r="AM186" i="5"/>
  <c r="BX186" i="5"/>
  <c r="BY186" i="5" s="1"/>
  <c r="BZ186" i="5"/>
  <c r="CB186" i="5" s="1"/>
  <c r="CA186" i="5"/>
  <c r="DB186" i="5"/>
  <c r="DU186" i="5"/>
  <c r="FT186" i="5"/>
  <c r="AM187" i="5"/>
  <c r="BX187" i="5"/>
  <c r="BY187" i="5" s="1"/>
  <c r="BZ187" i="5"/>
  <c r="CB187" i="5" s="1"/>
  <c r="CA187" i="5"/>
  <c r="DB187" i="5"/>
  <c r="FT187" i="5"/>
  <c r="AM188" i="5"/>
  <c r="BX188" i="5"/>
  <c r="BY188" i="5" s="1"/>
  <c r="BZ188" i="5"/>
  <c r="CA188" i="5"/>
  <c r="DB188" i="5"/>
  <c r="DU188" i="5"/>
  <c r="FT188" i="5"/>
  <c r="AM189" i="5"/>
  <c r="BX189" i="5"/>
  <c r="BY189" i="5" s="1"/>
  <c r="BZ189" i="5"/>
  <c r="CA189" i="5"/>
  <c r="DB189" i="5"/>
  <c r="DU189" i="5"/>
  <c r="FT189" i="5"/>
  <c r="AM190" i="5"/>
  <c r="BX190" i="5"/>
  <c r="BY190" i="5" s="1"/>
  <c r="BZ190" i="5"/>
  <c r="CA190" i="5"/>
  <c r="DB190" i="5"/>
  <c r="FT190" i="5"/>
  <c r="AM191" i="5"/>
  <c r="BX191" i="5"/>
  <c r="BY191" i="5" s="1"/>
  <c r="BZ191" i="5"/>
  <c r="CA191" i="5"/>
  <c r="DB191" i="5"/>
  <c r="FT191" i="5"/>
  <c r="AM192" i="5"/>
  <c r="BX192" i="5"/>
  <c r="BY192" i="5" s="1"/>
  <c r="BZ192" i="5"/>
  <c r="CA192" i="5"/>
  <c r="DB192" i="5"/>
  <c r="FT192" i="5"/>
  <c r="AM193" i="5"/>
  <c r="BX193" i="5"/>
  <c r="BY193" i="5" s="1"/>
  <c r="BZ193" i="5"/>
  <c r="CA193" i="5"/>
  <c r="DB193" i="5"/>
  <c r="DU193" i="5"/>
  <c r="FT193" i="5"/>
  <c r="AM194" i="5"/>
  <c r="BX194" i="5"/>
  <c r="BY194" i="5" s="1"/>
  <c r="BZ194" i="5"/>
  <c r="CB194" i="5" s="1"/>
  <c r="CA194" i="5"/>
  <c r="DB194" i="5"/>
  <c r="DU194" i="5"/>
  <c r="FT194" i="5"/>
  <c r="AM195" i="5"/>
  <c r="BX195" i="5"/>
  <c r="BY195" i="5" s="1"/>
  <c r="BZ195" i="5"/>
  <c r="CA195" i="5"/>
  <c r="DB195" i="5"/>
  <c r="DU195" i="5"/>
  <c r="FT195" i="5"/>
  <c r="AM196" i="5"/>
  <c r="BX196" i="5"/>
  <c r="BY196" i="5" s="1"/>
  <c r="BZ196" i="5"/>
  <c r="CA196" i="5"/>
  <c r="DB196" i="5"/>
  <c r="DU196" i="5"/>
  <c r="FT196" i="5"/>
  <c r="AM197" i="5"/>
  <c r="BX197" i="5"/>
  <c r="BY197" i="5" s="1"/>
  <c r="BZ197" i="5"/>
  <c r="CA197" i="5"/>
  <c r="DB197" i="5"/>
  <c r="DU197" i="5"/>
  <c r="FT197" i="5"/>
  <c r="AM198" i="5"/>
  <c r="BX198" i="5"/>
  <c r="BY198" i="5" s="1"/>
  <c r="BZ198" i="5"/>
  <c r="CA198" i="5"/>
  <c r="DB198" i="5"/>
  <c r="DU198" i="5"/>
  <c r="FT198" i="5"/>
  <c r="AM199" i="5"/>
  <c r="BX199" i="5"/>
  <c r="BY199" i="5" s="1"/>
  <c r="BZ199" i="5"/>
  <c r="CA199" i="5"/>
  <c r="DB199" i="5"/>
  <c r="DU199" i="5"/>
  <c r="FT199" i="5"/>
  <c r="AM200" i="5"/>
  <c r="BX200" i="5"/>
  <c r="BY200" i="5" s="1"/>
  <c r="BZ200" i="5"/>
  <c r="CA200" i="5"/>
  <c r="DB200" i="5"/>
  <c r="DU200" i="5"/>
  <c r="FT200" i="5"/>
  <c r="AM201" i="5"/>
  <c r="BX201" i="5"/>
  <c r="BY201" i="5" s="1"/>
  <c r="BZ201" i="5"/>
  <c r="CA201" i="5"/>
  <c r="DB201" i="5"/>
  <c r="DU201" i="5"/>
  <c r="FT201" i="5"/>
  <c r="AM202" i="5"/>
  <c r="BX202" i="5"/>
  <c r="BY202" i="5" s="1"/>
  <c r="BZ202" i="5"/>
  <c r="CA202" i="5"/>
  <c r="DB202" i="5"/>
  <c r="DU202" i="5"/>
  <c r="FT202" i="5"/>
  <c r="AM203" i="5"/>
  <c r="BX203" i="5"/>
  <c r="BY203" i="5" s="1"/>
  <c r="BZ203" i="5"/>
  <c r="CA203" i="5"/>
  <c r="DB203" i="5"/>
  <c r="DU203" i="5"/>
  <c r="FT203" i="5"/>
  <c r="AM204" i="5"/>
  <c r="BX204" i="5"/>
  <c r="BY204" i="5" s="1"/>
  <c r="BZ204" i="5"/>
  <c r="CA204" i="5"/>
  <c r="DB204" i="5"/>
  <c r="FT204" i="5"/>
  <c r="AM205" i="5"/>
  <c r="BX205" i="5"/>
  <c r="BY205" i="5" s="1"/>
  <c r="BZ205" i="5"/>
  <c r="CA205" i="5"/>
  <c r="DB205" i="5"/>
  <c r="FT205" i="5"/>
  <c r="AM206" i="5"/>
  <c r="BX206" i="5"/>
  <c r="BY206" i="5" s="1"/>
  <c r="BZ206" i="5"/>
  <c r="CA206" i="5"/>
  <c r="DB206" i="5"/>
  <c r="DU206" i="5"/>
  <c r="FT206" i="5"/>
  <c r="AM207" i="5"/>
  <c r="BX207" i="5"/>
  <c r="BY207" i="5" s="1"/>
  <c r="BZ207" i="5"/>
  <c r="CA207" i="5"/>
  <c r="DB207" i="5"/>
  <c r="DU207" i="5"/>
  <c r="FT207" i="5"/>
  <c r="AM208" i="5"/>
  <c r="BX208" i="5"/>
  <c r="BY208" i="5" s="1"/>
  <c r="BZ208" i="5"/>
  <c r="CA208" i="5"/>
  <c r="DB208" i="5"/>
  <c r="DU208" i="5"/>
  <c r="FT208" i="5"/>
  <c r="AM209" i="5"/>
  <c r="BX209" i="5"/>
  <c r="BY209" i="5" s="1"/>
  <c r="BZ209" i="5"/>
  <c r="CB209" i="5" s="1"/>
  <c r="CA209" i="5"/>
  <c r="DB209" i="5"/>
  <c r="DU209" i="5"/>
  <c r="FT209" i="5"/>
  <c r="AM210" i="5"/>
  <c r="BX210" i="5"/>
  <c r="BY210" i="5" s="1"/>
  <c r="BZ210" i="5"/>
  <c r="CA210" i="5"/>
  <c r="DB210" i="5"/>
  <c r="DU210" i="5"/>
  <c r="FT210" i="5"/>
  <c r="AM211" i="5"/>
  <c r="BX211" i="5"/>
  <c r="BY211" i="5" s="1"/>
  <c r="BZ211" i="5"/>
  <c r="CA211" i="5"/>
  <c r="DB211" i="5"/>
  <c r="DU211" i="5"/>
  <c r="FT211" i="5"/>
  <c r="AM212" i="5"/>
  <c r="BX212" i="5"/>
  <c r="BY212" i="5" s="1"/>
  <c r="BZ212" i="5"/>
  <c r="CA212" i="5"/>
  <c r="DB212" i="5"/>
  <c r="FT212" i="5"/>
  <c r="AM213" i="5"/>
  <c r="BX213" i="5"/>
  <c r="BY213" i="5" s="1"/>
  <c r="BZ213" i="5"/>
  <c r="CA213" i="5"/>
  <c r="DB213" i="5"/>
  <c r="FT213" i="5"/>
  <c r="AM214" i="5"/>
  <c r="BX214" i="5"/>
  <c r="BY214" i="5" s="1"/>
  <c r="BZ214" i="5"/>
  <c r="CA214" i="5"/>
  <c r="DB214" i="5"/>
  <c r="DU214" i="5"/>
  <c r="FT214" i="5"/>
  <c r="AM215" i="5"/>
  <c r="BX215" i="5"/>
  <c r="BY215" i="5" s="1"/>
  <c r="BZ215" i="5"/>
  <c r="CA215" i="5"/>
  <c r="DB215" i="5"/>
  <c r="DU215" i="5"/>
  <c r="FT215" i="5"/>
  <c r="AM216" i="5"/>
  <c r="AY216" i="5"/>
  <c r="BX216" i="5"/>
  <c r="BY216" i="5" s="1"/>
  <c r="BZ216" i="5"/>
  <c r="CB216" i="5" s="1"/>
  <c r="CA216" i="5"/>
  <c r="DB216" i="5"/>
  <c r="DS216" i="5"/>
  <c r="DU216" i="5"/>
  <c r="FR216" i="5"/>
  <c r="FT216" i="5"/>
  <c r="AM217" i="5"/>
  <c r="AY217" i="5"/>
  <c r="BX217" i="5"/>
  <c r="BY217" i="5" s="1"/>
  <c r="BZ217" i="5"/>
  <c r="CA217" i="5"/>
  <c r="DB217" i="5"/>
  <c r="DS217" i="5"/>
  <c r="DU217" i="5"/>
  <c r="FR217" i="5"/>
  <c r="FT217" i="5"/>
  <c r="AM218" i="5"/>
  <c r="AY218" i="5"/>
  <c r="BX218" i="5"/>
  <c r="BY218" i="5" s="1"/>
  <c r="BZ218" i="5"/>
  <c r="CA218" i="5"/>
  <c r="DB218" i="5"/>
  <c r="DS218" i="5"/>
  <c r="DU218" i="5"/>
  <c r="FR218" i="5"/>
  <c r="FT218" i="5"/>
  <c r="AM219" i="5"/>
  <c r="AY219" i="5"/>
  <c r="BX219" i="5"/>
  <c r="BY219" i="5" s="1"/>
  <c r="BZ219" i="5"/>
  <c r="CA219" i="5"/>
  <c r="DB219" i="5"/>
  <c r="DS219" i="5"/>
  <c r="DU219" i="5"/>
  <c r="FR219" i="5"/>
  <c r="FT219" i="5"/>
  <c r="AM220" i="5"/>
  <c r="AY220" i="5"/>
  <c r="BX220" i="5"/>
  <c r="BY220" i="5" s="1"/>
  <c r="BZ220" i="5"/>
  <c r="CA220" i="5"/>
  <c r="DB220" i="5"/>
  <c r="DS220" i="5"/>
  <c r="DU220" i="5"/>
  <c r="FR220" i="5"/>
  <c r="FT220" i="5"/>
  <c r="AM221" i="5"/>
  <c r="AY221" i="5"/>
  <c r="BX221" i="5"/>
  <c r="BY221" i="5" s="1"/>
  <c r="BZ221" i="5"/>
  <c r="CB221" i="5" s="1"/>
  <c r="CA221" i="5"/>
  <c r="DB221" i="5"/>
  <c r="DS221" i="5"/>
  <c r="FR221" i="5"/>
  <c r="FT221" i="5"/>
  <c r="AM222" i="5"/>
  <c r="AY222" i="5"/>
  <c r="BX222" i="5"/>
  <c r="BY222" i="5" s="1"/>
  <c r="BZ222" i="5"/>
  <c r="CA222" i="5"/>
  <c r="DB222" i="5"/>
  <c r="DS222" i="5"/>
  <c r="FR222" i="5"/>
  <c r="FT222" i="5"/>
  <c r="AM223" i="5"/>
  <c r="AY223" i="5"/>
  <c r="BX223" i="5"/>
  <c r="BY223" i="5" s="1"/>
  <c r="BZ223" i="5"/>
  <c r="CA223" i="5"/>
  <c r="DB223" i="5"/>
  <c r="DS223" i="5"/>
  <c r="FR223" i="5"/>
  <c r="FT223" i="5"/>
  <c r="AM224" i="5"/>
  <c r="AY224" i="5"/>
  <c r="BX224" i="5"/>
  <c r="BY224" i="5" s="1"/>
  <c r="BZ224" i="5"/>
  <c r="CA224" i="5"/>
  <c r="DB224" i="5"/>
  <c r="DS224" i="5"/>
  <c r="DU224" i="5"/>
  <c r="FR224" i="5"/>
  <c r="FT224" i="5"/>
  <c r="AM225" i="5"/>
  <c r="AY225" i="5"/>
  <c r="BX225" i="5"/>
  <c r="BY225" i="5" s="1"/>
  <c r="BZ225" i="5"/>
  <c r="CA225" i="5"/>
  <c r="DB225" i="5"/>
  <c r="DS225" i="5"/>
  <c r="DU225" i="5"/>
  <c r="FR225" i="5"/>
  <c r="FT225" i="5"/>
  <c r="AM226" i="5"/>
  <c r="AY226" i="5"/>
  <c r="BX226" i="5"/>
  <c r="BY226" i="5" s="1"/>
  <c r="BZ226" i="5"/>
  <c r="CA226" i="5"/>
  <c r="DB226" i="5"/>
  <c r="DS226" i="5"/>
  <c r="FR226" i="5"/>
  <c r="FT226" i="5"/>
  <c r="AM227" i="5"/>
  <c r="AY227" i="5"/>
  <c r="BX227" i="5"/>
  <c r="BY227" i="5" s="1"/>
  <c r="BZ227" i="5"/>
  <c r="CA227" i="5"/>
  <c r="DB227" i="5"/>
  <c r="DS227" i="5"/>
  <c r="DU227" i="5"/>
  <c r="FR227" i="5"/>
  <c r="FT227" i="5"/>
  <c r="AM228" i="5"/>
  <c r="AY228" i="5"/>
  <c r="BX228" i="5"/>
  <c r="BY228" i="5" s="1"/>
  <c r="BZ228" i="5"/>
  <c r="CA228" i="5"/>
  <c r="DB228" i="5"/>
  <c r="DS228" i="5"/>
  <c r="DU228" i="5"/>
  <c r="FR228" i="5"/>
  <c r="FT228" i="5"/>
  <c r="AM229" i="5"/>
  <c r="AY229" i="5"/>
  <c r="BX229" i="5"/>
  <c r="BY229" i="5" s="1"/>
  <c r="BZ229" i="5"/>
  <c r="CA229" i="5"/>
  <c r="DB229" i="5"/>
  <c r="DS229" i="5"/>
  <c r="FR229" i="5"/>
  <c r="FT229" i="5"/>
  <c r="AM230" i="5"/>
  <c r="AY230" i="5"/>
  <c r="BX230" i="5"/>
  <c r="BY230" i="5" s="1"/>
  <c r="BZ230" i="5"/>
  <c r="CA230" i="5"/>
  <c r="DB230" i="5"/>
  <c r="DS230" i="5"/>
  <c r="DU230" i="5"/>
  <c r="FR230" i="5"/>
  <c r="FT230" i="5"/>
  <c r="AM231" i="5"/>
  <c r="AY231" i="5"/>
  <c r="BX231" i="5"/>
  <c r="BY231" i="5" s="1"/>
  <c r="BZ231" i="5"/>
  <c r="CA231" i="5"/>
  <c r="CB231" i="5" s="1"/>
  <c r="DB231" i="5"/>
  <c r="DS231" i="5"/>
  <c r="DU231" i="5"/>
  <c r="FR231" i="5"/>
  <c r="FT231" i="5"/>
  <c r="AM232" i="5"/>
  <c r="AY232" i="5"/>
  <c r="BX232" i="5"/>
  <c r="BY232" i="5" s="1"/>
  <c r="BZ232" i="5"/>
  <c r="CA232" i="5"/>
  <c r="DB232" i="5"/>
  <c r="DS232" i="5"/>
  <c r="DU232" i="5"/>
  <c r="FR232" i="5"/>
  <c r="FT232" i="5"/>
  <c r="AM233" i="5"/>
  <c r="AY233" i="5"/>
  <c r="BX233" i="5"/>
  <c r="BY233" i="5" s="1"/>
  <c r="BZ233" i="5"/>
  <c r="CA233" i="5"/>
  <c r="DB233" i="5"/>
  <c r="DS233" i="5"/>
  <c r="DU233" i="5"/>
  <c r="FR233" i="5"/>
  <c r="FT233" i="5"/>
  <c r="AM234" i="5"/>
  <c r="AY234" i="5"/>
  <c r="BX234" i="5"/>
  <c r="BY234" i="5" s="1"/>
  <c r="BZ234" i="5"/>
  <c r="CA234" i="5"/>
  <c r="DB234" i="5"/>
  <c r="DS234" i="5"/>
  <c r="DU234" i="5"/>
  <c r="FR234" i="5"/>
  <c r="FT234" i="5"/>
  <c r="AM235" i="5"/>
  <c r="AY235" i="5"/>
  <c r="BX235" i="5"/>
  <c r="BY235" i="5" s="1"/>
  <c r="BZ235" i="5"/>
  <c r="CA235" i="5"/>
  <c r="DB235" i="5"/>
  <c r="DS235" i="5"/>
  <c r="DU235" i="5"/>
  <c r="FR235" i="5"/>
  <c r="FT235" i="5"/>
  <c r="AM236" i="5"/>
  <c r="AY236" i="5"/>
  <c r="BX236" i="5"/>
  <c r="BY236" i="5" s="1"/>
  <c r="BZ236" i="5"/>
  <c r="CB236" i="5" s="1"/>
  <c r="CA236" i="5"/>
  <c r="DB236" i="5"/>
  <c r="DS236" i="5"/>
  <c r="DU236" i="5"/>
  <c r="FR236" i="5"/>
  <c r="FT236" i="5"/>
  <c r="AM237" i="5"/>
  <c r="AY237" i="5"/>
  <c r="BX237" i="5"/>
  <c r="BY237" i="5" s="1"/>
  <c r="BZ237" i="5"/>
  <c r="CA237" i="5"/>
  <c r="DB237" i="5"/>
  <c r="DS237" i="5"/>
  <c r="DU237" i="5"/>
  <c r="FR237" i="5"/>
  <c r="FT237" i="5"/>
  <c r="AM238" i="5"/>
  <c r="AY238" i="5"/>
  <c r="BX238" i="5"/>
  <c r="BY238" i="5" s="1"/>
  <c r="BZ238" i="5"/>
  <c r="CA238" i="5"/>
  <c r="DB238" i="5"/>
  <c r="DS238" i="5"/>
  <c r="DU238" i="5"/>
  <c r="FR238" i="5"/>
  <c r="FT238" i="5"/>
  <c r="AM239" i="5"/>
  <c r="AY239" i="5"/>
  <c r="BX239" i="5"/>
  <c r="BY239" i="5" s="1"/>
  <c r="BZ239" i="5"/>
  <c r="CA239" i="5"/>
  <c r="DB239" i="5"/>
  <c r="DS239" i="5"/>
  <c r="DU239" i="5"/>
  <c r="FR239" i="5"/>
  <c r="FT239" i="5"/>
  <c r="AM240" i="5"/>
  <c r="AY240" i="5"/>
  <c r="BX240" i="5"/>
  <c r="BY240" i="5" s="1"/>
  <c r="BZ240" i="5"/>
  <c r="CA240" i="5"/>
  <c r="DB240" i="5"/>
  <c r="DS240" i="5"/>
  <c r="FR240" i="5"/>
  <c r="FT240" i="5"/>
  <c r="AM241" i="5"/>
  <c r="AY241" i="5"/>
  <c r="BX241" i="5"/>
  <c r="BY241" i="5" s="1"/>
  <c r="BZ241" i="5"/>
  <c r="CA241" i="5"/>
  <c r="DB241" i="5"/>
  <c r="DS241" i="5"/>
  <c r="DU241" i="5"/>
  <c r="FR241" i="5"/>
  <c r="FT241" i="5"/>
  <c r="AM242" i="5"/>
  <c r="AY242" i="5"/>
  <c r="BX242" i="5"/>
  <c r="BY242" i="5" s="1"/>
  <c r="BZ242" i="5"/>
  <c r="CA242" i="5"/>
  <c r="DB242" i="5"/>
  <c r="DS242" i="5"/>
  <c r="DU242" i="5"/>
  <c r="FR242" i="5"/>
  <c r="FT242" i="5"/>
  <c r="AM243" i="5"/>
  <c r="AY243" i="5"/>
  <c r="BX243" i="5"/>
  <c r="BY243" i="5" s="1"/>
  <c r="BZ243" i="5"/>
  <c r="CA243" i="5"/>
  <c r="DB243" i="5"/>
  <c r="DS243" i="5"/>
  <c r="DU243" i="5"/>
  <c r="FR243" i="5"/>
  <c r="FT243" i="5"/>
  <c r="AM244" i="5"/>
  <c r="AY244" i="5"/>
  <c r="BX244" i="5"/>
  <c r="BY244" i="5" s="1"/>
  <c r="BZ244" i="5"/>
  <c r="CA244" i="5"/>
  <c r="DB244" i="5"/>
  <c r="DS244" i="5"/>
  <c r="DU244" i="5"/>
  <c r="FR244" i="5"/>
  <c r="FT244" i="5"/>
  <c r="AM245" i="5"/>
  <c r="AY245" i="5"/>
  <c r="BX245" i="5"/>
  <c r="BY245" i="5" s="1"/>
  <c r="BZ245" i="5"/>
  <c r="CA245" i="5"/>
  <c r="DB245" i="5"/>
  <c r="DS245" i="5"/>
  <c r="DU245" i="5"/>
  <c r="FR245" i="5"/>
  <c r="FT245" i="5"/>
  <c r="AM246" i="5"/>
  <c r="AY246" i="5"/>
  <c r="BX246" i="5"/>
  <c r="BY246" i="5" s="1"/>
  <c r="BZ246" i="5"/>
  <c r="CA246" i="5"/>
  <c r="DB246" i="5"/>
  <c r="DS246" i="5"/>
  <c r="DU246" i="5"/>
  <c r="FR246" i="5"/>
  <c r="FT246" i="5"/>
  <c r="AM247" i="5"/>
  <c r="AY247" i="5"/>
  <c r="BX247" i="5"/>
  <c r="BY247" i="5" s="1"/>
  <c r="BZ247" i="5"/>
  <c r="CA247" i="5"/>
  <c r="DB247" i="5"/>
  <c r="DS247" i="5"/>
  <c r="DU247" i="5"/>
  <c r="FR247" i="5"/>
  <c r="FT247" i="5"/>
  <c r="AM248" i="5"/>
  <c r="BX248" i="5"/>
  <c r="BY248" i="5" s="1"/>
  <c r="BZ248" i="5"/>
  <c r="CA248" i="5"/>
  <c r="DB248" i="5"/>
  <c r="DF248" i="5"/>
  <c r="FT248" i="5"/>
  <c r="AM249" i="5"/>
  <c r="BX249" i="5"/>
  <c r="BY249" i="5" s="1"/>
  <c r="BZ249" i="5"/>
  <c r="CA249" i="5"/>
  <c r="DB249" i="5"/>
  <c r="DF249" i="5"/>
  <c r="FT249" i="5"/>
  <c r="AM250" i="5"/>
  <c r="BX250" i="5"/>
  <c r="BY250" i="5" s="1"/>
  <c r="BZ250" i="5"/>
  <c r="CA250" i="5"/>
  <c r="DB250" i="5"/>
  <c r="DF250" i="5"/>
  <c r="FT250" i="5"/>
  <c r="AM251" i="5"/>
  <c r="BX251" i="5"/>
  <c r="BY251" i="5" s="1"/>
  <c r="BZ251" i="5"/>
  <c r="CA251" i="5"/>
  <c r="DB251" i="5"/>
  <c r="DF251" i="5"/>
  <c r="FT251" i="5"/>
  <c r="BW252" i="5"/>
  <c r="CN252" i="5"/>
  <c r="BW253" i="5"/>
  <c r="CN253" i="5"/>
  <c r="CN254" i="5"/>
  <c r="CN255" i="5"/>
  <c r="CN256" i="5"/>
  <c r="CN257" i="5"/>
  <c r="BW258" i="5"/>
  <c r="CN258" i="5"/>
  <c r="BW259" i="5"/>
  <c r="CN259" i="5"/>
  <c r="CN260" i="5"/>
  <c r="CN261" i="5"/>
  <c r="CN262" i="5"/>
  <c r="CN263" i="5"/>
  <c r="BW264" i="5"/>
  <c r="CN264" i="5"/>
  <c r="BW265" i="5"/>
  <c r="CN265" i="5"/>
  <c r="CN266" i="5"/>
  <c r="CN267" i="5"/>
  <c r="CN268" i="5"/>
  <c r="CN269" i="5"/>
  <c r="BW270" i="5"/>
  <c r="CN270" i="5"/>
  <c r="CN271" i="5"/>
  <c r="BW272" i="5"/>
  <c r="CN272" i="5"/>
  <c r="CN273" i="5"/>
  <c r="CN274" i="5"/>
  <c r="CN275" i="5"/>
  <c r="BW276" i="5"/>
  <c r="CN276" i="5"/>
  <c r="CN277" i="5"/>
  <c r="CN278" i="5"/>
  <c r="BW279" i="5"/>
  <c r="CN279" i="5"/>
  <c r="CN280" i="5"/>
  <c r="CN281" i="5"/>
  <c r="CN282" i="5"/>
  <c r="BW283" i="5"/>
  <c r="CN283" i="5"/>
  <c r="CN284" i="5"/>
  <c r="BW285" i="5"/>
  <c r="CN285" i="5"/>
  <c r="CN286" i="5"/>
  <c r="BW287" i="5"/>
  <c r="CN287" i="5"/>
  <c r="CN288" i="5"/>
  <c r="BW289" i="5"/>
  <c r="CN289" i="5"/>
  <c r="CN290" i="5"/>
  <c r="BW291" i="5"/>
  <c r="CN291" i="5"/>
  <c r="BW292" i="5"/>
  <c r="CN292" i="5"/>
  <c r="BW293" i="5"/>
  <c r="CN293" i="5"/>
  <c r="EU293" i="5"/>
  <c r="BW294" i="5"/>
  <c r="CN294" i="5"/>
  <c r="EU294" i="5"/>
  <c r="CN295" i="5"/>
  <c r="CN296" i="5"/>
  <c r="CN297" i="5"/>
  <c r="EU297" i="5"/>
  <c r="CN298" i="5"/>
  <c r="EU298" i="5"/>
  <c r="CN299" i="5"/>
  <c r="CN300" i="5"/>
  <c r="CN301" i="5"/>
  <c r="EU301" i="5"/>
  <c r="CN302" i="5"/>
  <c r="EU302" i="5"/>
  <c r="BW303" i="5"/>
  <c r="CN303" i="5"/>
  <c r="BW304" i="5"/>
  <c r="CN304" i="5"/>
  <c r="EU304" i="5"/>
  <c r="CN305" i="5"/>
  <c r="CN306" i="5"/>
  <c r="EU306" i="5"/>
  <c r="BW307" i="5"/>
  <c r="CN307" i="5"/>
  <c r="BW308" i="5"/>
  <c r="CN308" i="5"/>
  <c r="EU308" i="5"/>
  <c r="CN309" i="5"/>
  <c r="CN310" i="5"/>
  <c r="EU310" i="5"/>
  <c r="BW311" i="5"/>
  <c r="CN311" i="5"/>
  <c r="BW312" i="5"/>
  <c r="CN312" i="5"/>
  <c r="EU312" i="5"/>
  <c r="CN313" i="5"/>
  <c r="CN314" i="5"/>
  <c r="EU314" i="5"/>
  <c r="BW315" i="5"/>
  <c r="CN315" i="5"/>
  <c r="BW316" i="5"/>
  <c r="CN316" i="5"/>
  <c r="BW317" i="5"/>
  <c r="CN317" i="5"/>
  <c r="CN318" i="5"/>
  <c r="CN319" i="5"/>
  <c r="CN320" i="5"/>
  <c r="CN321" i="5"/>
  <c r="CN322" i="5"/>
  <c r="CN323" i="5"/>
  <c r="BW324" i="5"/>
  <c r="CN324" i="5"/>
  <c r="CN325" i="5"/>
  <c r="BW326" i="5"/>
  <c r="CN326" i="5"/>
  <c r="CN327" i="5"/>
  <c r="BW328" i="5"/>
  <c r="CN328" i="5"/>
  <c r="CN329" i="5"/>
  <c r="BW330" i="5"/>
  <c r="CN330" i="5"/>
  <c r="CN331" i="5"/>
  <c r="BW332" i="5"/>
  <c r="CN332" i="5"/>
  <c r="BW333" i="5"/>
  <c r="CN333" i="5"/>
  <c r="CN334" i="5"/>
  <c r="BW335" i="5"/>
  <c r="CN335" i="5"/>
  <c r="CN336" i="5"/>
  <c r="BW337" i="5"/>
  <c r="CN337" i="5"/>
  <c r="CN338" i="5"/>
  <c r="BW339" i="5"/>
  <c r="CN339" i="5"/>
  <c r="BW340" i="5"/>
  <c r="CN340" i="5"/>
  <c r="CN341" i="5"/>
  <c r="CN342" i="5"/>
  <c r="BW343" i="5"/>
  <c r="CN343" i="5"/>
  <c r="BW344" i="5"/>
  <c r="CN344" i="5"/>
  <c r="CN345" i="5"/>
  <c r="CN346" i="5"/>
  <c r="BW347" i="5"/>
  <c r="CN347" i="5"/>
  <c r="BW348" i="5"/>
  <c r="CN348" i="5"/>
  <c r="CN349" i="5"/>
  <c r="CN350" i="5"/>
  <c r="BW351" i="5"/>
  <c r="CN351" i="5"/>
  <c r="EU351" i="5"/>
  <c r="BW352" i="5"/>
  <c r="CN352" i="5"/>
  <c r="EU352" i="5"/>
  <c r="BW353" i="5"/>
  <c r="CN353" i="5"/>
  <c r="EU353" i="5"/>
  <c r="BW354" i="5"/>
  <c r="CN354" i="5"/>
  <c r="EU354" i="5"/>
  <c r="BW355" i="5"/>
  <c r="CN355" i="5"/>
  <c r="EU355" i="5"/>
  <c r="BW356" i="5"/>
  <c r="CN356" i="5"/>
  <c r="CN357" i="5"/>
  <c r="BW358" i="5"/>
  <c r="CN358" i="5"/>
  <c r="CN359" i="5"/>
  <c r="BW360" i="5"/>
  <c r="CN360" i="5"/>
  <c r="CN361" i="5"/>
  <c r="BW362" i="5"/>
  <c r="CN362" i="5"/>
  <c r="CN363" i="5"/>
  <c r="BW364" i="5"/>
  <c r="CN364" i="5"/>
  <c r="CN365" i="5"/>
  <c r="BW366" i="5"/>
  <c r="CN366" i="5"/>
  <c r="CN367" i="5"/>
  <c r="BW368" i="5"/>
  <c r="CN368" i="5"/>
  <c r="CN369" i="5"/>
  <c r="BW370" i="5"/>
  <c r="CN370" i="5"/>
  <c r="CN371" i="5"/>
  <c r="BW372" i="5"/>
  <c r="CN372" i="5"/>
  <c r="CN373" i="5"/>
  <c r="BW374" i="5"/>
  <c r="CN374" i="5"/>
  <c r="CN375" i="5"/>
  <c r="BW376" i="5"/>
  <c r="CN376" i="5"/>
  <c r="CN377" i="5"/>
  <c r="BW378" i="5"/>
  <c r="CN378" i="5"/>
  <c r="BW379" i="5"/>
  <c r="CN379" i="5"/>
  <c r="CN380" i="5"/>
  <c r="CN381" i="5"/>
  <c r="CN382" i="5"/>
  <c r="CN383" i="5"/>
  <c r="BW384" i="5"/>
  <c r="CN384" i="5"/>
  <c r="BW385" i="5"/>
  <c r="CN385" i="5"/>
  <c r="CN386" i="5"/>
  <c r="CN387" i="5"/>
  <c r="CN388" i="5"/>
  <c r="BW389" i="5"/>
  <c r="CN389" i="5"/>
  <c r="BW390" i="5"/>
  <c r="CN390" i="5"/>
  <c r="CN391" i="5"/>
  <c r="CN392" i="5"/>
  <c r="CN393" i="5"/>
  <c r="CN394" i="5"/>
  <c r="BW395" i="5"/>
  <c r="CN395" i="5"/>
  <c r="BW396" i="5"/>
  <c r="CN396" i="5"/>
  <c r="BW397" i="5"/>
  <c r="CN397" i="5"/>
  <c r="CN398" i="5"/>
  <c r="CN399" i="5"/>
  <c r="BW400" i="5"/>
  <c r="CN400" i="5"/>
  <c r="CN401" i="5"/>
  <c r="CN402" i="5"/>
  <c r="BW403" i="5"/>
  <c r="CN403" i="5"/>
  <c r="CN404" i="5"/>
  <c r="CN405" i="5"/>
  <c r="BW406" i="5"/>
  <c r="CN406" i="5"/>
  <c r="CN407" i="5"/>
  <c r="CN408" i="5"/>
  <c r="BW409" i="5"/>
  <c r="CN409" i="5"/>
  <c r="CN410" i="5"/>
  <c r="BW411" i="5"/>
  <c r="CN411" i="5"/>
  <c r="BW412" i="5"/>
  <c r="CN412" i="5"/>
  <c r="CN413" i="5"/>
  <c r="BW414" i="5"/>
  <c r="CN414" i="5"/>
  <c r="BW415" i="5"/>
  <c r="CN415" i="5"/>
  <c r="CN416" i="5"/>
  <c r="CN417" i="5"/>
  <c r="CN418" i="5"/>
  <c r="CN419" i="5"/>
  <c r="BW420" i="5"/>
  <c r="CN420" i="5"/>
  <c r="CN421" i="5"/>
  <c r="CN422" i="5"/>
  <c r="BW423" i="5"/>
  <c r="CN423" i="5"/>
  <c r="CN424" i="5"/>
  <c r="CN425" i="5"/>
  <c r="BW426" i="5"/>
  <c r="CN426" i="5"/>
  <c r="EU426" i="5"/>
  <c r="BW427" i="5"/>
  <c r="CN427" i="5"/>
  <c r="CN428" i="5"/>
  <c r="EU428" i="5"/>
  <c r="CN429" i="5"/>
  <c r="BW430" i="5"/>
  <c r="CN430" i="5"/>
  <c r="CN431" i="5"/>
  <c r="BW432" i="5"/>
  <c r="CN432" i="5"/>
  <c r="CN433" i="5"/>
  <c r="BW434" i="5"/>
  <c r="CN434" i="5"/>
  <c r="CN435" i="5"/>
  <c r="BW436" i="5"/>
  <c r="CN436" i="5"/>
  <c r="CN437" i="5"/>
  <c r="BW438" i="5"/>
  <c r="CN438" i="5"/>
  <c r="EU438" i="5"/>
  <c r="BW439" i="5"/>
  <c r="CN439" i="5"/>
  <c r="CN440" i="5"/>
  <c r="EU440" i="5"/>
  <c r="CN441" i="5"/>
  <c r="BW442" i="5"/>
  <c r="CN442" i="5"/>
  <c r="EU442" i="5"/>
  <c r="BW443" i="5"/>
  <c r="CN443" i="5"/>
  <c r="CN444" i="5"/>
  <c r="EU444" i="5"/>
  <c r="CN445" i="5"/>
  <c r="BW446" i="5"/>
  <c r="CN446" i="5"/>
  <c r="EU446" i="5"/>
  <c r="BW447" i="5"/>
  <c r="CN447" i="5"/>
  <c r="CN448" i="5"/>
  <c r="EU448" i="5"/>
  <c r="CN449" i="5"/>
  <c r="BW450" i="5"/>
  <c r="CN450" i="5"/>
  <c r="EU450" i="5"/>
  <c r="BW451" i="5"/>
  <c r="CN451" i="5"/>
  <c r="CN452" i="5"/>
  <c r="EU452" i="5"/>
  <c r="CN453" i="5"/>
  <c r="AM469" i="5"/>
  <c r="AL469" i="5" s="1"/>
  <c r="BL469" i="5"/>
  <c r="DT469" i="5" s="1"/>
  <c r="BT469" i="5"/>
  <c r="BV469" i="5" s="1"/>
  <c r="BU469" i="5"/>
  <c r="BZ469" i="5"/>
  <c r="DF469" i="5"/>
  <c r="DS469" i="5"/>
  <c r="FR469" i="5"/>
  <c r="AM470" i="5"/>
  <c r="AY470" i="5"/>
  <c r="AZ470" i="5" s="1"/>
  <c r="BL470" i="5"/>
  <c r="BT470" i="5"/>
  <c r="BU470" i="5"/>
  <c r="BW470" i="5"/>
  <c r="BX470" i="5"/>
  <c r="BZ470" i="5"/>
  <c r="DF470" i="5"/>
  <c r="DS470" i="5"/>
  <c r="DT470" i="5"/>
  <c r="DU470" i="5"/>
  <c r="FR470" i="5"/>
  <c r="FS470" i="5"/>
  <c r="FT470" i="5"/>
  <c r="AM471" i="5"/>
  <c r="AR471" i="5"/>
  <c r="AY471" i="5"/>
  <c r="BL471" i="5"/>
  <c r="BT471" i="5"/>
  <c r="BU471" i="5"/>
  <c r="BW471" i="5"/>
  <c r="BX471" i="5"/>
  <c r="BZ471" i="5"/>
  <c r="DF471" i="5"/>
  <c r="DS471" i="5"/>
  <c r="DT471" i="5"/>
  <c r="DU471" i="5"/>
  <c r="FR471" i="5"/>
  <c r="FS471" i="5"/>
  <c r="FT471" i="5"/>
  <c r="FU471" i="5"/>
  <c r="AM472" i="5"/>
  <c r="AY472" i="5"/>
  <c r="BL472" i="5"/>
  <c r="BT472" i="5"/>
  <c r="BU472" i="5"/>
  <c r="BW472" i="5"/>
  <c r="BX472" i="5"/>
  <c r="BY472" i="5" s="1"/>
  <c r="BZ472" i="5"/>
  <c r="DF472" i="5"/>
  <c r="DS472" i="5"/>
  <c r="DT472" i="5"/>
  <c r="DU472" i="5"/>
  <c r="FR472" i="5"/>
  <c r="FS472" i="5"/>
  <c r="FT472" i="5"/>
  <c r="AM473" i="5"/>
  <c r="AY473" i="5"/>
  <c r="BL473" i="5"/>
  <c r="DT473" i="5" s="1"/>
  <c r="BT473" i="5"/>
  <c r="BU473" i="5"/>
  <c r="BW473" i="5"/>
  <c r="BX473" i="5"/>
  <c r="BZ473" i="5"/>
  <c r="DF473" i="5"/>
  <c r="DS473" i="5"/>
  <c r="DU473" i="5"/>
  <c r="FR473" i="5"/>
  <c r="FS473" i="5"/>
  <c r="FT473" i="5"/>
  <c r="AM474" i="5"/>
  <c r="AY474" i="5"/>
  <c r="BL474" i="5"/>
  <c r="DT474" i="5" s="1"/>
  <c r="BT474" i="5"/>
  <c r="BU474" i="5"/>
  <c r="BW474" i="5"/>
  <c r="BX474" i="5"/>
  <c r="BZ474" i="5"/>
  <c r="DC474" i="5"/>
  <c r="DF474" i="5"/>
  <c r="DS474" i="5"/>
  <c r="DU474" i="5"/>
  <c r="FR474" i="5"/>
  <c r="FS474" i="5"/>
  <c r="FT474" i="5"/>
  <c r="AM475" i="5"/>
  <c r="AY475" i="5"/>
  <c r="AZ475" i="5" s="1"/>
  <c r="BL475" i="5"/>
  <c r="BT475" i="5"/>
  <c r="BU475" i="5"/>
  <c r="BW475" i="5"/>
  <c r="BX475" i="5"/>
  <c r="BZ475" i="5"/>
  <c r="DF475" i="5"/>
  <c r="DS475" i="5"/>
  <c r="DT475" i="5"/>
  <c r="DU475" i="5"/>
  <c r="FR475" i="5"/>
  <c r="FS475" i="5"/>
  <c r="FT475" i="5"/>
  <c r="AM476" i="5"/>
  <c r="AY476" i="5"/>
  <c r="BL476" i="5"/>
  <c r="DT476" i="5" s="1"/>
  <c r="BT476" i="5"/>
  <c r="BU476" i="5"/>
  <c r="BW476" i="5"/>
  <c r="BX476" i="5"/>
  <c r="BZ476" i="5"/>
  <c r="DF476" i="5"/>
  <c r="DS476" i="5"/>
  <c r="DU476" i="5"/>
  <c r="FR476" i="5"/>
  <c r="FS476" i="5"/>
  <c r="FT476" i="5"/>
  <c r="AM477" i="5"/>
  <c r="AY477" i="5"/>
  <c r="BL477" i="5"/>
  <c r="DT477" i="5" s="1"/>
  <c r="BT477" i="5"/>
  <c r="BU477" i="5"/>
  <c r="BW477" i="5"/>
  <c r="BY477" i="5" s="1"/>
  <c r="BX477" i="5"/>
  <c r="BZ477" i="5"/>
  <c r="DF477" i="5"/>
  <c r="DS477" i="5"/>
  <c r="DU477" i="5"/>
  <c r="FR477" i="5"/>
  <c r="FS477" i="5"/>
  <c r="FT477" i="5"/>
  <c r="AM478" i="5"/>
  <c r="AY478" i="5"/>
  <c r="BL478" i="5"/>
  <c r="DT478" i="5" s="1"/>
  <c r="BT478" i="5"/>
  <c r="BV478" i="5" s="1"/>
  <c r="BU478" i="5"/>
  <c r="BW478" i="5"/>
  <c r="BX478" i="5"/>
  <c r="BZ478" i="5"/>
  <c r="DF478" i="5"/>
  <c r="DS478" i="5"/>
  <c r="DU478" i="5"/>
  <c r="FR478" i="5"/>
  <c r="FU478" i="5" s="1"/>
  <c r="FS478" i="5"/>
  <c r="FT478" i="5"/>
  <c r="AM479" i="5"/>
  <c r="AR479" i="5"/>
  <c r="AY479" i="5"/>
  <c r="BL479" i="5"/>
  <c r="BT479" i="5"/>
  <c r="BU479" i="5"/>
  <c r="BW479" i="5"/>
  <c r="BX479" i="5"/>
  <c r="BZ479" i="5"/>
  <c r="DF479" i="5"/>
  <c r="DS479" i="5"/>
  <c r="DT479" i="5"/>
  <c r="DU479" i="5"/>
  <c r="FR479" i="5"/>
  <c r="FU479" i="5" s="1"/>
  <c r="FS479" i="5"/>
  <c r="FT479" i="5"/>
  <c r="AM480" i="5"/>
  <c r="AY480" i="5"/>
  <c r="AZ480" i="5" s="1"/>
  <c r="BL480" i="5"/>
  <c r="BT480" i="5"/>
  <c r="BV480" i="5" s="1"/>
  <c r="BU480" i="5"/>
  <c r="BW480" i="5"/>
  <c r="BX480" i="5"/>
  <c r="BY480" i="5" s="1"/>
  <c r="BZ480" i="5"/>
  <c r="DF480" i="5"/>
  <c r="DS480" i="5"/>
  <c r="DT480" i="5"/>
  <c r="DU480" i="5"/>
  <c r="FR480" i="5"/>
  <c r="FS480" i="5"/>
  <c r="FT480" i="5"/>
  <c r="AM481" i="5"/>
  <c r="AY481" i="5"/>
  <c r="BL481" i="5"/>
  <c r="DT481" i="5" s="1"/>
  <c r="BT481" i="5"/>
  <c r="BU481" i="5"/>
  <c r="BW481" i="5"/>
  <c r="BX481" i="5"/>
  <c r="BY481" i="5"/>
  <c r="BZ481" i="5"/>
  <c r="DF481" i="5"/>
  <c r="DS481" i="5"/>
  <c r="DU481" i="5"/>
  <c r="FR481" i="5"/>
  <c r="FS481" i="5"/>
  <c r="FT481" i="5"/>
  <c r="AM482" i="5"/>
  <c r="AY482" i="5"/>
  <c r="BL482" i="5"/>
  <c r="DT482" i="5" s="1"/>
  <c r="BT482" i="5"/>
  <c r="BV482" i="5" s="1"/>
  <c r="BU482" i="5"/>
  <c r="BW482" i="5"/>
  <c r="BX482" i="5"/>
  <c r="BZ482" i="5"/>
  <c r="DC482" i="5"/>
  <c r="DF482" i="5"/>
  <c r="DS482" i="5"/>
  <c r="DU482" i="5"/>
  <c r="FR482" i="5"/>
  <c r="FS482" i="5"/>
  <c r="FU482" i="5" s="1"/>
  <c r="FT482" i="5"/>
  <c r="AM483" i="5"/>
  <c r="AY483" i="5"/>
  <c r="AZ483" i="5" s="1"/>
  <c r="BL483" i="5"/>
  <c r="BT483" i="5"/>
  <c r="BU483" i="5"/>
  <c r="BW483" i="5"/>
  <c r="BX483" i="5"/>
  <c r="BZ483" i="5"/>
  <c r="DF483" i="5"/>
  <c r="DS483" i="5"/>
  <c r="DT483" i="5"/>
  <c r="DU483" i="5"/>
  <c r="FR483" i="5"/>
  <c r="FS483" i="5"/>
  <c r="FT483" i="5"/>
  <c r="AM484" i="5"/>
  <c r="AY484" i="5"/>
  <c r="BL484" i="5"/>
  <c r="BT484" i="5"/>
  <c r="BU484" i="5"/>
  <c r="BW484" i="5"/>
  <c r="BX484" i="5"/>
  <c r="BZ484" i="5"/>
  <c r="DF484" i="5"/>
  <c r="DS484" i="5"/>
  <c r="DT484" i="5"/>
  <c r="DV484" i="5" s="1"/>
  <c r="EB484" i="5" s="1"/>
  <c r="DU484" i="5"/>
  <c r="FR484" i="5"/>
  <c r="FS484" i="5"/>
  <c r="FT484" i="5"/>
  <c r="AM485" i="5"/>
  <c r="AY485" i="5"/>
  <c r="BL485" i="5"/>
  <c r="DT485" i="5" s="1"/>
  <c r="BT485" i="5"/>
  <c r="BV485" i="5" s="1"/>
  <c r="BU485" i="5"/>
  <c r="BW485" i="5"/>
  <c r="BX485" i="5"/>
  <c r="BZ485" i="5"/>
  <c r="DF485" i="5"/>
  <c r="DS485" i="5"/>
  <c r="DU485" i="5"/>
  <c r="FR485" i="5"/>
  <c r="FU485" i="5" s="1"/>
  <c r="FS485" i="5"/>
  <c r="FT485" i="5"/>
  <c r="AM486" i="5"/>
  <c r="AY486" i="5"/>
  <c r="BL486" i="5"/>
  <c r="DT486" i="5" s="1"/>
  <c r="BT486" i="5"/>
  <c r="BU486" i="5"/>
  <c r="BV486" i="5" s="1"/>
  <c r="BW486" i="5"/>
  <c r="BX486" i="5"/>
  <c r="BZ486" i="5"/>
  <c r="DF486" i="5"/>
  <c r="DS486" i="5"/>
  <c r="DU486" i="5"/>
  <c r="FR486" i="5"/>
  <c r="FS486" i="5"/>
  <c r="FT486" i="5"/>
  <c r="AM487" i="5"/>
  <c r="AR487" i="5"/>
  <c r="AY487" i="5"/>
  <c r="AZ487" i="5" s="1"/>
  <c r="BL487" i="5"/>
  <c r="BT487" i="5"/>
  <c r="BU487" i="5"/>
  <c r="BW487" i="5"/>
  <c r="BX487" i="5"/>
  <c r="BZ487" i="5"/>
  <c r="DF487" i="5"/>
  <c r="DS487" i="5"/>
  <c r="DT487" i="5"/>
  <c r="DU487" i="5"/>
  <c r="FR487" i="5"/>
  <c r="FS487" i="5"/>
  <c r="FT487" i="5"/>
  <c r="AM488" i="5"/>
  <c r="AY488" i="5"/>
  <c r="BL488" i="5"/>
  <c r="BT488" i="5"/>
  <c r="BU488" i="5"/>
  <c r="BW488" i="5"/>
  <c r="BX488" i="5"/>
  <c r="BY488" i="5" s="1"/>
  <c r="BZ488" i="5"/>
  <c r="DF488" i="5"/>
  <c r="DS488" i="5"/>
  <c r="DT488" i="5"/>
  <c r="DV488" i="5" s="1"/>
  <c r="DU488" i="5"/>
  <c r="FR488" i="5"/>
  <c r="FS488" i="5"/>
  <c r="FT488" i="5"/>
  <c r="AM489" i="5"/>
  <c r="AY489" i="5"/>
  <c r="BL489" i="5"/>
  <c r="DT489" i="5" s="1"/>
  <c r="BT489" i="5"/>
  <c r="BU489" i="5"/>
  <c r="BW489" i="5"/>
  <c r="BX489" i="5"/>
  <c r="BZ489" i="5"/>
  <c r="DF489" i="5"/>
  <c r="DS489" i="5"/>
  <c r="DU489" i="5"/>
  <c r="FR489" i="5"/>
  <c r="FS489" i="5"/>
  <c r="FT489" i="5"/>
  <c r="AM490" i="5"/>
  <c r="AY490" i="5"/>
  <c r="BL490" i="5"/>
  <c r="DT490" i="5" s="1"/>
  <c r="BT490" i="5"/>
  <c r="BU490" i="5"/>
  <c r="BW490" i="5"/>
  <c r="BX490" i="5"/>
  <c r="BZ490" i="5"/>
  <c r="DC490" i="5"/>
  <c r="DF490" i="5"/>
  <c r="DS490" i="5"/>
  <c r="DU490" i="5"/>
  <c r="FR490" i="5"/>
  <c r="FS490" i="5"/>
  <c r="FT490" i="5"/>
  <c r="AM491" i="5"/>
  <c r="AY491" i="5"/>
  <c r="BL491" i="5"/>
  <c r="BT491" i="5"/>
  <c r="BU491" i="5"/>
  <c r="BW491" i="5"/>
  <c r="BX491" i="5"/>
  <c r="BZ491" i="5"/>
  <c r="DF491" i="5"/>
  <c r="DS491" i="5"/>
  <c r="DT491" i="5"/>
  <c r="DU491" i="5"/>
  <c r="FR491" i="5"/>
  <c r="FS491" i="5"/>
  <c r="FT491" i="5"/>
  <c r="AM492" i="5"/>
  <c r="AY492" i="5"/>
  <c r="BL492" i="5"/>
  <c r="DT492" i="5" s="1"/>
  <c r="BT492" i="5"/>
  <c r="BU492" i="5"/>
  <c r="BW492" i="5"/>
  <c r="BX492" i="5"/>
  <c r="BZ492" i="5"/>
  <c r="DF492" i="5"/>
  <c r="DS492" i="5"/>
  <c r="DU492" i="5"/>
  <c r="FR492" i="5"/>
  <c r="FS492" i="5"/>
  <c r="FT492" i="5"/>
  <c r="AM493" i="5"/>
  <c r="AY493" i="5"/>
  <c r="AZ493" i="5" s="1"/>
  <c r="BL493" i="5"/>
  <c r="DT493" i="5" s="1"/>
  <c r="BT493" i="5"/>
  <c r="BU493" i="5"/>
  <c r="BW493" i="5"/>
  <c r="BX493" i="5"/>
  <c r="BZ493" i="5"/>
  <c r="DF493" i="5"/>
  <c r="DS493" i="5"/>
  <c r="DU493" i="5"/>
  <c r="FR493" i="5"/>
  <c r="FS493" i="5"/>
  <c r="FT493" i="5"/>
  <c r="AM494" i="5"/>
  <c r="AY494" i="5"/>
  <c r="BL494" i="5"/>
  <c r="DT494" i="5" s="1"/>
  <c r="BT494" i="5"/>
  <c r="BU494" i="5"/>
  <c r="BW494" i="5"/>
  <c r="BX494" i="5"/>
  <c r="BZ494" i="5"/>
  <c r="DF494" i="5"/>
  <c r="DS494" i="5"/>
  <c r="DU494" i="5"/>
  <c r="FR494" i="5"/>
  <c r="FS494" i="5"/>
  <c r="FT494" i="5"/>
  <c r="AM495" i="5"/>
  <c r="AR495" i="5"/>
  <c r="BL495" i="5"/>
  <c r="DT495" i="5" s="1"/>
  <c r="BT495" i="5"/>
  <c r="BU495" i="5"/>
  <c r="BW495" i="5"/>
  <c r="BZ495" i="5"/>
  <c r="DF495" i="5"/>
  <c r="DS495" i="5"/>
  <c r="FR495" i="5"/>
  <c r="AM496" i="5"/>
  <c r="BL496" i="5"/>
  <c r="DT496" i="5" s="1"/>
  <c r="BT496" i="5"/>
  <c r="BU496" i="5"/>
  <c r="BW496" i="5"/>
  <c r="BZ496" i="5"/>
  <c r="DF496" i="5"/>
  <c r="DS496" i="5"/>
  <c r="FR496" i="5"/>
  <c r="AM497" i="5"/>
  <c r="BL497" i="5"/>
  <c r="DT497" i="5" s="1"/>
  <c r="BT497" i="5"/>
  <c r="BU497" i="5"/>
  <c r="BW497" i="5"/>
  <c r="BZ497" i="5"/>
  <c r="DF497" i="5"/>
  <c r="DS497" i="5"/>
  <c r="FR497" i="5"/>
  <c r="AM498" i="5"/>
  <c r="BL498" i="5"/>
  <c r="DT498" i="5" s="1"/>
  <c r="BT498" i="5"/>
  <c r="BV498" i="5" s="1"/>
  <c r="BU498" i="5"/>
  <c r="BW498" i="5"/>
  <c r="BZ498" i="5"/>
  <c r="DC498" i="5"/>
  <c r="DF498" i="5"/>
  <c r="DS498" i="5"/>
  <c r="FR498" i="5"/>
  <c r="AM499" i="5"/>
  <c r="BL499" i="5"/>
  <c r="BT499" i="5"/>
  <c r="BV499" i="5" s="1"/>
  <c r="BU499" i="5"/>
  <c r="BW499" i="5"/>
  <c r="BZ499" i="5"/>
  <c r="DF499" i="5"/>
  <c r="DS499" i="5"/>
  <c r="DT499" i="5"/>
  <c r="FR499" i="5"/>
  <c r="AM500" i="5"/>
  <c r="BL500" i="5"/>
  <c r="BT500" i="5"/>
  <c r="BU500" i="5"/>
  <c r="BW500" i="5"/>
  <c r="BZ500" i="5"/>
  <c r="DF500" i="5"/>
  <c r="DS500" i="5"/>
  <c r="DT500" i="5"/>
  <c r="FR500" i="5"/>
  <c r="K217" i="5"/>
  <c r="N217" i="5" s="1"/>
  <c r="AJ21" i="5"/>
  <c r="F5" i="5"/>
  <c r="F4" i="5"/>
  <c r="F7" i="5"/>
  <c r="F6" i="5"/>
  <c r="FW74" i="5"/>
  <c r="FW122" i="5"/>
  <c r="FW117" i="5"/>
  <c r="FX117" i="5" s="1"/>
  <c r="X105" i="5"/>
  <c r="K153" i="5"/>
  <c r="K150" i="5"/>
  <c r="K151" i="5"/>
  <c r="K148" i="5"/>
  <c r="K149" i="5"/>
  <c r="N149" i="5" s="1"/>
  <c r="K152" i="5"/>
  <c r="N152" i="5" s="1"/>
  <c r="J153" i="5"/>
  <c r="J152" i="5"/>
  <c r="J151" i="5"/>
  <c r="J150" i="5"/>
  <c r="J149" i="5"/>
  <c r="J148" i="5"/>
  <c r="X102" i="5"/>
  <c r="X99" i="5"/>
  <c r="X98" i="5"/>
  <c r="X96" i="5"/>
  <c r="V102" i="5"/>
  <c r="V98" i="5"/>
  <c r="V96" i="5"/>
  <c r="AJ106" i="5"/>
  <c r="AJ197" i="5"/>
  <c r="AJ216" i="5"/>
  <c r="AJ170" i="5"/>
  <c r="AG248" i="5"/>
  <c r="AG249" i="5"/>
  <c r="AG250" i="5"/>
  <c r="AG251" i="5"/>
  <c r="AH500" i="5"/>
  <c r="AG500" i="5"/>
  <c r="AF500" i="5"/>
  <c r="AE500" i="5"/>
  <c r="AH499" i="5"/>
  <c r="AG499" i="5"/>
  <c r="AF499" i="5"/>
  <c r="AE499" i="5"/>
  <c r="AH498" i="5"/>
  <c r="AG498" i="5"/>
  <c r="AF498" i="5"/>
  <c r="AE498" i="5"/>
  <c r="AH497" i="5"/>
  <c r="AG497" i="5"/>
  <c r="AF497" i="5"/>
  <c r="AE497" i="5"/>
  <c r="AH496" i="5"/>
  <c r="AG496" i="5"/>
  <c r="AF496" i="5"/>
  <c r="AE496" i="5"/>
  <c r="AH495" i="5"/>
  <c r="AG495" i="5"/>
  <c r="AF495" i="5"/>
  <c r="AE495" i="5"/>
  <c r="AH494" i="5"/>
  <c r="AG494" i="5"/>
  <c r="AF494" i="5"/>
  <c r="AE494" i="5"/>
  <c r="AH493" i="5"/>
  <c r="AG493" i="5"/>
  <c r="AF493" i="5"/>
  <c r="AE493" i="5"/>
  <c r="AH492" i="5"/>
  <c r="AG492" i="5"/>
  <c r="AF492" i="5"/>
  <c r="AE492" i="5"/>
  <c r="AH491" i="5"/>
  <c r="AG491" i="5"/>
  <c r="AF491" i="5"/>
  <c r="AE491" i="5"/>
  <c r="AH490" i="5"/>
  <c r="AG490" i="5"/>
  <c r="AF490" i="5"/>
  <c r="AE490" i="5"/>
  <c r="AH489" i="5"/>
  <c r="AG489" i="5"/>
  <c r="AF489" i="5"/>
  <c r="AE489" i="5"/>
  <c r="AH488" i="5"/>
  <c r="AG488" i="5"/>
  <c r="AF488" i="5"/>
  <c r="AE488" i="5"/>
  <c r="AH487" i="5"/>
  <c r="AG487" i="5"/>
  <c r="AF487" i="5"/>
  <c r="AE487" i="5"/>
  <c r="AH486" i="5"/>
  <c r="AG486" i="5"/>
  <c r="AF486" i="5"/>
  <c r="AE486" i="5"/>
  <c r="AH485" i="5"/>
  <c r="AG485" i="5"/>
  <c r="AF485" i="5"/>
  <c r="AE485" i="5"/>
  <c r="AH484" i="5"/>
  <c r="AG484" i="5"/>
  <c r="AF484" i="5"/>
  <c r="AE484" i="5"/>
  <c r="AH483" i="5"/>
  <c r="AG483" i="5"/>
  <c r="AF483" i="5"/>
  <c r="AE483" i="5"/>
  <c r="AH482" i="5"/>
  <c r="AG482" i="5"/>
  <c r="AF482" i="5"/>
  <c r="AE482" i="5"/>
  <c r="AH481" i="5"/>
  <c r="AG481" i="5"/>
  <c r="AF481" i="5"/>
  <c r="AE481" i="5"/>
  <c r="AH480" i="5"/>
  <c r="AG480" i="5"/>
  <c r="AF480" i="5"/>
  <c r="AE480" i="5"/>
  <c r="AH479" i="5"/>
  <c r="AG479" i="5"/>
  <c r="AF479" i="5"/>
  <c r="AE479" i="5"/>
  <c r="AH478" i="5"/>
  <c r="AG478" i="5"/>
  <c r="AF478" i="5"/>
  <c r="AE478" i="5"/>
  <c r="AH477" i="5"/>
  <c r="AG477" i="5"/>
  <c r="AF477" i="5"/>
  <c r="AE477" i="5"/>
  <c r="AH476" i="5"/>
  <c r="AG476" i="5"/>
  <c r="AF476" i="5"/>
  <c r="AE476" i="5"/>
  <c r="AH475" i="5"/>
  <c r="AG475" i="5"/>
  <c r="AF475" i="5"/>
  <c r="AE475" i="5"/>
  <c r="AH474" i="5"/>
  <c r="AG474" i="5"/>
  <c r="AF474" i="5"/>
  <c r="AE474" i="5"/>
  <c r="AH473" i="5"/>
  <c r="AG473" i="5"/>
  <c r="AF473" i="5"/>
  <c r="AE473" i="5"/>
  <c r="AH472" i="5"/>
  <c r="AG472" i="5"/>
  <c r="AF472" i="5"/>
  <c r="AE472" i="5"/>
  <c r="AH471" i="5"/>
  <c r="AG471" i="5"/>
  <c r="AF471" i="5"/>
  <c r="AE471" i="5"/>
  <c r="AH470" i="5"/>
  <c r="AG470" i="5"/>
  <c r="AF470" i="5"/>
  <c r="AE470" i="5"/>
  <c r="AH469" i="5"/>
  <c r="AG469" i="5"/>
  <c r="AF469" i="5"/>
  <c r="AE469" i="5"/>
  <c r="AG22" i="5"/>
  <c r="AG21" i="5"/>
  <c r="AG20" i="5"/>
  <c r="E293" i="5"/>
  <c r="E294" i="5"/>
  <c r="X246" i="5"/>
  <c r="X234" i="5"/>
  <c r="X233" i="5"/>
  <c r="X232" i="5"/>
  <c r="X230" i="5"/>
  <c r="X226" i="5"/>
  <c r="X223" i="5"/>
  <c r="X222" i="5"/>
  <c r="X221" i="5"/>
  <c r="X220" i="5"/>
  <c r="X219" i="5"/>
  <c r="X218" i="5"/>
  <c r="X217" i="5"/>
  <c r="X216" i="5"/>
  <c r="AB282" i="5"/>
  <c r="AA280" i="5"/>
  <c r="Y280" i="5"/>
  <c r="AB278" i="5"/>
  <c r="AB275" i="5"/>
  <c r="Y273" i="5"/>
  <c r="AA273" i="5"/>
  <c r="I421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403" i="5"/>
  <c r="AE118" i="5"/>
  <c r="AG118" i="5" s="1"/>
  <c r="AE156" i="5"/>
  <c r="AE157" i="5"/>
  <c r="AE158" i="5"/>
  <c r="AE159" i="5"/>
  <c r="AE160" i="5"/>
  <c r="AE161" i="5"/>
  <c r="AE162" i="5"/>
  <c r="AE163" i="5"/>
  <c r="AE164" i="5"/>
  <c r="AE165" i="5"/>
  <c r="AE166" i="5"/>
  <c r="AE167" i="5"/>
  <c r="M149" i="5"/>
  <c r="O149" i="5" s="1"/>
  <c r="M150" i="5"/>
  <c r="M151" i="5"/>
  <c r="M152" i="5"/>
  <c r="M153" i="5"/>
  <c r="M148" i="5"/>
  <c r="I149" i="5"/>
  <c r="I150" i="5"/>
  <c r="I151" i="5"/>
  <c r="I152" i="5"/>
  <c r="I153" i="5"/>
  <c r="I148" i="5"/>
  <c r="V149" i="5"/>
  <c r="V150" i="5"/>
  <c r="V151" i="5"/>
  <c r="V152" i="5"/>
  <c r="V153" i="5"/>
  <c r="V148" i="5"/>
  <c r="H149" i="5"/>
  <c r="H150" i="5"/>
  <c r="H151" i="5"/>
  <c r="H152" i="5"/>
  <c r="H153" i="5"/>
  <c r="H148" i="5"/>
  <c r="D149" i="5"/>
  <c r="CA149" i="5" s="1"/>
  <c r="D150" i="5"/>
  <c r="CA150" i="5" s="1"/>
  <c r="D151" i="5"/>
  <c r="CA151" i="5" s="1"/>
  <c r="D152" i="5"/>
  <c r="CA152" i="5" s="1"/>
  <c r="D153" i="5"/>
  <c r="CA153" i="5" s="1"/>
  <c r="D148" i="5"/>
  <c r="CA148" i="5" s="1"/>
  <c r="E149" i="5"/>
  <c r="E150" i="5"/>
  <c r="E151" i="5"/>
  <c r="E152" i="5"/>
  <c r="E153" i="5"/>
  <c r="AE153" i="5" s="1"/>
  <c r="E148" i="5"/>
  <c r="G149" i="5"/>
  <c r="G150" i="5"/>
  <c r="G151" i="5"/>
  <c r="G152" i="5"/>
  <c r="G153" i="5"/>
  <c r="G148" i="5"/>
  <c r="F153" i="5"/>
  <c r="F152" i="5"/>
  <c r="F151" i="5"/>
  <c r="F150" i="5"/>
  <c r="F149" i="5"/>
  <c r="F148" i="5"/>
  <c r="AU153" i="5"/>
  <c r="AU152" i="5"/>
  <c r="AU151" i="5"/>
  <c r="AU150" i="5"/>
  <c r="AD149" i="5"/>
  <c r="AU149" i="5"/>
  <c r="X500" i="5"/>
  <c r="Y497" i="5"/>
  <c r="DU497" i="5" s="1"/>
  <c r="Y496" i="5"/>
  <c r="AY496" i="5" s="1"/>
  <c r="Y495" i="5"/>
  <c r="DU495" i="5" s="1"/>
  <c r="Y499" i="5"/>
  <c r="Y498" i="5"/>
  <c r="BX498" i="5" s="1"/>
  <c r="Y500" i="5"/>
  <c r="DU500" i="5" s="1"/>
  <c r="AA469" i="5"/>
  <c r="BW469" i="5" s="1"/>
  <c r="Y469" i="5"/>
  <c r="AY469" i="5" s="1"/>
  <c r="D470" i="5"/>
  <c r="CA470" i="5" s="1"/>
  <c r="D471" i="5"/>
  <c r="CA471" i="5" s="1"/>
  <c r="D472" i="5"/>
  <c r="CA472" i="5" s="1"/>
  <c r="D473" i="5"/>
  <c r="CA473" i="5" s="1"/>
  <c r="D474" i="5"/>
  <c r="CA474" i="5" s="1"/>
  <c r="D475" i="5"/>
  <c r="CA475" i="5" s="1"/>
  <c r="CB475" i="5" s="1"/>
  <c r="D476" i="5"/>
  <c r="CA476" i="5" s="1"/>
  <c r="D477" i="5"/>
  <c r="CA477" i="5" s="1"/>
  <c r="D478" i="5"/>
  <c r="CA478" i="5" s="1"/>
  <c r="D479" i="5"/>
  <c r="CA479" i="5" s="1"/>
  <c r="D480" i="5"/>
  <c r="CA480" i="5" s="1"/>
  <c r="D481" i="5"/>
  <c r="CA481" i="5" s="1"/>
  <c r="D482" i="5"/>
  <c r="CA482" i="5" s="1"/>
  <c r="D483" i="5"/>
  <c r="CA483" i="5" s="1"/>
  <c r="CB483" i="5" s="1"/>
  <c r="D484" i="5"/>
  <c r="CA484" i="5" s="1"/>
  <c r="D485" i="5"/>
  <c r="CA485" i="5" s="1"/>
  <c r="CB485" i="5" s="1"/>
  <c r="D486" i="5"/>
  <c r="CA486" i="5" s="1"/>
  <c r="D487" i="5"/>
  <c r="CA487" i="5" s="1"/>
  <c r="D488" i="5"/>
  <c r="CA488" i="5" s="1"/>
  <c r="CB488" i="5" s="1"/>
  <c r="D489" i="5"/>
  <c r="CA489" i="5" s="1"/>
  <c r="D490" i="5"/>
  <c r="CA490" i="5" s="1"/>
  <c r="D491" i="5"/>
  <c r="CA491" i="5" s="1"/>
  <c r="CB491" i="5" s="1"/>
  <c r="D492" i="5"/>
  <c r="CA492" i="5" s="1"/>
  <c r="D493" i="5"/>
  <c r="CA493" i="5" s="1"/>
  <c r="D494" i="5"/>
  <c r="CA494" i="5" s="1"/>
  <c r="D495" i="5"/>
  <c r="CA495" i="5" s="1"/>
  <c r="D496" i="5"/>
  <c r="CA496" i="5" s="1"/>
  <c r="CB496" i="5" s="1"/>
  <c r="D497" i="5"/>
  <c r="CA497" i="5" s="1"/>
  <c r="D498" i="5"/>
  <c r="CA498" i="5" s="1"/>
  <c r="D499" i="5"/>
  <c r="D500" i="5"/>
  <c r="CA500" i="5" s="1"/>
  <c r="CB500" i="5" s="1"/>
  <c r="D469" i="5"/>
  <c r="CA469" i="5" s="1"/>
  <c r="R500" i="5"/>
  <c r="EF500" i="5" s="1"/>
  <c r="EE500" i="5" s="1"/>
  <c r="R497" i="5"/>
  <c r="EF497" i="5" s="1"/>
  <c r="EE497" i="5" s="1"/>
  <c r="R495" i="5"/>
  <c r="EF495" i="5" s="1"/>
  <c r="EE495" i="5" s="1"/>
  <c r="R494" i="5"/>
  <c r="EF494" i="5" s="1"/>
  <c r="EE494" i="5" s="1"/>
  <c r="R490" i="5"/>
  <c r="EF490" i="5" s="1"/>
  <c r="EE490" i="5" s="1"/>
  <c r="EN490" i="5" s="1"/>
  <c r="AU489" i="5"/>
  <c r="R487" i="5"/>
  <c r="EF487" i="5" s="1"/>
  <c r="EE487" i="5" s="1"/>
  <c r="AS487" i="5"/>
  <c r="AU481" i="5"/>
  <c r="R479" i="5"/>
  <c r="EF479" i="5" s="1"/>
  <c r="EE479" i="5" s="1"/>
  <c r="AU478" i="5"/>
  <c r="R474" i="5"/>
  <c r="EF474" i="5" s="1"/>
  <c r="EE474" i="5" s="1"/>
  <c r="R473" i="5"/>
  <c r="EF473" i="5" s="1"/>
  <c r="EE473" i="5" s="1"/>
  <c r="R472" i="5"/>
  <c r="EF472" i="5" s="1"/>
  <c r="EE472" i="5" s="1"/>
  <c r="R471" i="5"/>
  <c r="EF471" i="5" s="1"/>
  <c r="EE471" i="5" s="1"/>
  <c r="R470" i="5"/>
  <c r="EF470" i="5" s="1"/>
  <c r="EE470" i="5" s="1"/>
  <c r="R469" i="5"/>
  <c r="EF469" i="5" s="1"/>
  <c r="EE469" i="5" s="1"/>
  <c r="DC472" i="5"/>
  <c r="DC473" i="5"/>
  <c r="AR474" i="5"/>
  <c r="DC476" i="5"/>
  <c r="DC477" i="5"/>
  <c r="DC478" i="5"/>
  <c r="DC479" i="5"/>
  <c r="AZ481" i="5"/>
  <c r="AZ482" i="5"/>
  <c r="AZ484" i="5"/>
  <c r="AZ485" i="5"/>
  <c r="DC486" i="5"/>
  <c r="DC488" i="5"/>
  <c r="DC489" i="5"/>
  <c r="AZ490" i="5"/>
  <c r="DC491" i="5"/>
  <c r="AZ492" i="5"/>
  <c r="DC494" i="5"/>
  <c r="DC496" i="5"/>
  <c r="DC497" i="5"/>
  <c r="AR498" i="5"/>
  <c r="DC500" i="5"/>
  <c r="DC469" i="5"/>
  <c r="J104" i="5"/>
  <c r="J103" i="5"/>
  <c r="J102" i="5"/>
  <c r="J101" i="5"/>
  <c r="J100" i="5"/>
  <c r="J99" i="5"/>
  <c r="J98" i="5"/>
  <c r="J97" i="5"/>
  <c r="J96" i="5"/>
  <c r="J95" i="5"/>
  <c r="V99" i="5"/>
  <c r="D104" i="5"/>
  <c r="CA104" i="5" s="1"/>
  <c r="D103" i="5"/>
  <c r="CA103" i="5" s="1"/>
  <c r="D102" i="5"/>
  <c r="CA102" i="5" s="1"/>
  <c r="D101" i="5"/>
  <c r="CA101" i="5" s="1"/>
  <c r="D100" i="5"/>
  <c r="CA100" i="5" s="1"/>
  <c r="D99" i="5"/>
  <c r="CA99" i="5" s="1"/>
  <c r="D98" i="5"/>
  <c r="CA98" i="5" s="1"/>
  <c r="D97" i="5"/>
  <c r="CA97" i="5" s="1"/>
  <c r="D96" i="5"/>
  <c r="CA96" i="5" s="1"/>
  <c r="D95" i="5"/>
  <c r="CA95" i="5" s="1"/>
  <c r="AU96" i="5"/>
  <c r="AU97" i="5"/>
  <c r="AU104" i="5"/>
  <c r="R104" i="5"/>
  <c r="EF104" i="5" s="1"/>
  <c r="M96" i="5"/>
  <c r="M97" i="5"/>
  <c r="M98" i="5"/>
  <c r="M99" i="5"/>
  <c r="M100" i="5"/>
  <c r="M101" i="5"/>
  <c r="M102" i="5"/>
  <c r="M103" i="5"/>
  <c r="M104" i="5"/>
  <c r="M95" i="5"/>
  <c r="I96" i="5"/>
  <c r="I97" i="5"/>
  <c r="I98" i="5"/>
  <c r="FR98" i="5" s="1"/>
  <c r="I99" i="5"/>
  <c r="I100" i="5"/>
  <c r="I101" i="5"/>
  <c r="FR101" i="5" s="1"/>
  <c r="I102" i="5"/>
  <c r="I103" i="5"/>
  <c r="I104" i="5"/>
  <c r="I95" i="5"/>
  <c r="H104" i="5"/>
  <c r="H103" i="5"/>
  <c r="H102" i="5"/>
  <c r="H101" i="5"/>
  <c r="H100" i="5"/>
  <c r="H99" i="5"/>
  <c r="H98" i="5"/>
  <c r="H97" i="5"/>
  <c r="H96" i="5"/>
  <c r="H95" i="5"/>
  <c r="G96" i="5"/>
  <c r="G97" i="5"/>
  <c r="G98" i="5"/>
  <c r="G99" i="5"/>
  <c r="G100" i="5"/>
  <c r="G101" i="5"/>
  <c r="G102" i="5"/>
  <c r="G103" i="5"/>
  <c r="G104" i="5"/>
  <c r="F104" i="5"/>
  <c r="F103" i="5"/>
  <c r="F102" i="5"/>
  <c r="F101" i="5"/>
  <c r="F100" i="5"/>
  <c r="F99" i="5"/>
  <c r="F98" i="5"/>
  <c r="F97" i="5"/>
  <c r="F96" i="5"/>
  <c r="F95" i="5"/>
  <c r="E104" i="5"/>
  <c r="E103" i="5"/>
  <c r="E102" i="5"/>
  <c r="E101" i="5"/>
  <c r="E100" i="5"/>
  <c r="E99" i="5"/>
  <c r="E98" i="5"/>
  <c r="E97" i="5"/>
  <c r="E96" i="5"/>
  <c r="E95" i="5"/>
  <c r="G95" i="5"/>
  <c r="G446" i="5"/>
  <c r="FT446" i="5" s="1"/>
  <c r="G447" i="5"/>
  <c r="BX447" i="5" s="1"/>
  <c r="G448" i="5"/>
  <c r="BZ448" i="5" s="1"/>
  <c r="G449" i="5"/>
  <c r="BZ449" i="5" s="1"/>
  <c r="G450" i="5"/>
  <c r="FT450" i="5" s="1"/>
  <c r="G451" i="5"/>
  <c r="FT451" i="5" s="1"/>
  <c r="G452" i="5"/>
  <c r="BZ452" i="5" s="1"/>
  <c r="G453" i="5"/>
  <c r="BZ453" i="5" s="1"/>
  <c r="AC453" i="5"/>
  <c r="AC452" i="5"/>
  <c r="AC449" i="5"/>
  <c r="AC448" i="5"/>
  <c r="AC445" i="5"/>
  <c r="AC444" i="5"/>
  <c r="AC441" i="5"/>
  <c r="AC440" i="5"/>
  <c r="AC437" i="5"/>
  <c r="AC435" i="5"/>
  <c r="AC433" i="5"/>
  <c r="AC431" i="5"/>
  <c r="AC429" i="5"/>
  <c r="AC428" i="5"/>
  <c r="AC425" i="5"/>
  <c r="AC424" i="5"/>
  <c r="AC422" i="5"/>
  <c r="AC421" i="5"/>
  <c r="AC419" i="5"/>
  <c r="AC418" i="5"/>
  <c r="AC407" i="5"/>
  <c r="AC404" i="5"/>
  <c r="AC402" i="5"/>
  <c r="AC401" i="5"/>
  <c r="AC399" i="5"/>
  <c r="AC398" i="5"/>
  <c r="AC394" i="5"/>
  <c r="AC393" i="5"/>
  <c r="AC392" i="5"/>
  <c r="AC391" i="5"/>
  <c r="AC388" i="5"/>
  <c r="AC387" i="5"/>
  <c r="AC386" i="5"/>
  <c r="AC383" i="5"/>
  <c r="AC382" i="5"/>
  <c r="AC381" i="5"/>
  <c r="AC380" i="5"/>
  <c r="AC377" i="5"/>
  <c r="AC375" i="5"/>
  <c r="AC373" i="5"/>
  <c r="AC371" i="5"/>
  <c r="AC369" i="5"/>
  <c r="AC367" i="5"/>
  <c r="AC365" i="5"/>
  <c r="AC363" i="5"/>
  <c r="AC361" i="5"/>
  <c r="AC359" i="5"/>
  <c r="AC357" i="5"/>
  <c r="AC350" i="5"/>
  <c r="AC349" i="5"/>
  <c r="AC346" i="5"/>
  <c r="AC345" i="5"/>
  <c r="AC342" i="5"/>
  <c r="AC341" i="5"/>
  <c r="AC323" i="5"/>
  <c r="AC322" i="5"/>
  <c r="AC321" i="5"/>
  <c r="AC314" i="5"/>
  <c r="AC313" i="5"/>
  <c r="AC251" i="5"/>
  <c r="DU251" i="5" s="1"/>
  <c r="AC250" i="5"/>
  <c r="DU250" i="5" s="1"/>
  <c r="AC249" i="5"/>
  <c r="DU249" i="5" s="1"/>
  <c r="AC248" i="5"/>
  <c r="DU248" i="5" s="1"/>
  <c r="AC240" i="5"/>
  <c r="DU240" i="5" s="1"/>
  <c r="AC229" i="5"/>
  <c r="DU229" i="5" s="1"/>
  <c r="AC226" i="5"/>
  <c r="DU226" i="5" s="1"/>
  <c r="AC223" i="5"/>
  <c r="DU223" i="5" s="1"/>
  <c r="AC222" i="5"/>
  <c r="DU222" i="5" s="1"/>
  <c r="AC221" i="5"/>
  <c r="DU221" i="5" s="1"/>
  <c r="AC213" i="5"/>
  <c r="DU213" i="5" s="1"/>
  <c r="AC212" i="5"/>
  <c r="DU212" i="5" s="1"/>
  <c r="AC205" i="5"/>
  <c r="DU205" i="5" s="1"/>
  <c r="AC204" i="5"/>
  <c r="DU204" i="5" s="1"/>
  <c r="AC192" i="5"/>
  <c r="DU192" i="5" s="1"/>
  <c r="AC191" i="5"/>
  <c r="DU191" i="5" s="1"/>
  <c r="AC190" i="5"/>
  <c r="DU190" i="5" s="1"/>
  <c r="AC187" i="5"/>
  <c r="DU187" i="5" s="1"/>
  <c r="AC184" i="5"/>
  <c r="DU184" i="5" s="1"/>
  <c r="AC182" i="5"/>
  <c r="DU182" i="5" s="1"/>
  <c r="AC181" i="5"/>
  <c r="DU181" i="5" s="1"/>
  <c r="AC178" i="5"/>
  <c r="DU178" i="5" s="1"/>
  <c r="AC177" i="5"/>
  <c r="DU177" i="5" s="1"/>
  <c r="AC173" i="5"/>
  <c r="DU173" i="5" s="1"/>
  <c r="AC170" i="5"/>
  <c r="DU170" i="5" s="1"/>
  <c r="AA453" i="5"/>
  <c r="AA452" i="5"/>
  <c r="BW452" i="5" s="1"/>
  <c r="AA449" i="5"/>
  <c r="AA448" i="5"/>
  <c r="Y453" i="5"/>
  <c r="Y452" i="5"/>
  <c r="Y449" i="5"/>
  <c r="FT449" i="5" s="1"/>
  <c r="Y448" i="5"/>
  <c r="J453" i="5"/>
  <c r="J452" i="5"/>
  <c r="DS452" i="5" s="1"/>
  <c r="J451" i="5"/>
  <c r="DS451" i="5" s="1"/>
  <c r="J450" i="5"/>
  <c r="J449" i="5"/>
  <c r="J448" i="5"/>
  <c r="J447" i="5"/>
  <c r="J446" i="5"/>
  <c r="DS446" i="5" s="1"/>
  <c r="I453" i="5"/>
  <c r="FR453" i="5" s="1"/>
  <c r="I452" i="5"/>
  <c r="I450" i="5"/>
  <c r="I449" i="5"/>
  <c r="FR449" i="5" s="1"/>
  <c r="I448" i="5"/>
  <c r="FR448" i="5" s="1"/>
  <c r="I447" i="5"/>
  <c r="FR447" i="5" s="1"/>
  <c r="I446" i="5"/>
  <c r="FR446" i="5" s="1"/>
  <c r="I451" i="5"/>
  <c r="O451" i="5" s="1"/>
  <c r="H453" i="5"/>
  <c r="H452" i="5"/>
  <c r="H451" i="5"/>
  <c r="H450" i="5"/>
  <c r="H449" i="5"/>
  <c r="H448" i="5"/>
  <c r="H447" i="5"/>
  <c r="H446" i="5"/>
  <c r="F453" i="5"/>
  <c r="F452" i="5"/>
  <c r="F451" i="5"/>
  <c r="F450" i="5"/>
  <c r="F449" i="5"/>
  <c r="AM449" i="5" s="1"/>
  <c r="F448" i="5"/>
  <c r="F447" i="5"/>
  <c r="F446" i="5"/>
  <c r="E453" i="5"/>
  <c r="E452" i="5"/>
  <c r="DF452" i="5" s="1"/>
  <c r="E451" i="5"/>
  <c r="DF451" i="5" s="1"/>
  <c r="E450" i="5"/>
  <c r="E449" i="5"/>
  <c r="E448" i="5"/>
  <c r="AE448" i="5" s="1"/>
  <c r="E447" i="5"/>
  <c r="E446" i="5"/>
  <c r="DF446" i="5" s="1"/>
  <c r="D453" i="5"/>
  <c r="CA453" i="5" s="1"/>
  <c r="D452" i="5"/>
  <c r="CA452" i="5" s="1"/>
  <c r="D451" i="5"/>
  <c r="CA451" i="5" s="1"/>
  <c r="D450" i="5"/>
  <c r="CA450" i="5" s="1"/>
  <c r="D449" i="5"/>
  <c r="CA449" i="5" s="1"/>
  <c r="D448" i="5"/>
  <c r="CA448" i="5" s="1"/>
  <c r="D447" i="5"/>
  <c r="CA447" i="5" s="1"/>
  <c r="D446" i="5"/>
  <c r="CA446" i="5" s="1"/>
  <c r="Y445" i="5"/>
  <c r="Y444" i="5"/>
  <c r="Y441" i="5"/>
  <c r="Y440" i="5"/>
  <c r="Y437" i="5"/>
  <c r="Y435" i="5"/>
  <c r="Y433" i="5"/>
  <c r="Y431" i="5"/>
  <c r="Y429" i="5"/>
  <c r="Y428" i="5"/>
  <c r="AA445" i="5"/>
  <c r="BW445" i="5" s="1"/>
  <c r="AA444" i="5"/>
  <c r="AA441" i="5"/>
  <c r="AA440" i="5"/>
  <c r="BW440" i="5" s="1"/>
  <c r="AA437" i="5"/>
  <c r="BW437" i="5" s="1"/>
  <c r="AA435" i="5"/>
  <c r="AA433" i="5"/>
  <c r="AA431" i="5"/>
  <c r="AA429" i="5"/>
  <c r="AA428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I445" i="5"/>
  <c r="I444" i="5"/>
  <c r="FR444" i="5" s="1"/>
  <c r="I443" i="5"/>
  <c r="FR443" i="5" s="1"/>
  <c r="I442" i="5"/>
  <c r="FR442" i="5" s="1"/>
  <c r="I441" i="5"/>
  <c r="FR441" i="5" s="1"/>
  <c r="I440" i="5"/>
  <c r="FR440" i="5" s="1"/>
  <c r="I439" i="5"/>
  <c r="FR439" i="5" s="1"/>
  <c r="I438" i="5"/>
  <c r="I437" i="5"/>
  <c r="I436" i="5"/>
  <c r="I435" i="5"/>
  <c r="O435" i="5" s="1"/>
  <c r="I434" i="5"/>
  <c r="I433" i="5"/>
  <c r="I432" i="5"/>
  <c r="I431" i="5"/>
  <c r="I430" i="5"/>
  <c r="I429" i="5"/>
  <c r="I428" i="5"/>
  <c r="I427" i="5"/>
  <c r="O427" i="5" s="1"/>
  <c r="I426" i="5"/>
  <c r="FR426" i="5" s="1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F445" i="5"/>
  <c r="F444" i="5"/>
  <c r="AM444" i="5" s="1"/>
  <c r="F443" i="5"/>
  <c r="F442" i="5"/>
  <c r="AM442" i="5" s="1"/>
  <c r="F441" i="5"/>
  <c r="F440" i="5"/>
  <c r="F439" i="5"/>
  <c r="F438" i="5"/>
  <c r="F437" i="5"/>
  <c r="F436" i="5"/>
  <c r="F435" i="5"/>
  <c r="F434" i="5"/>
  <c r="F433" i="5"/>
  <c r="F432" i="5"/>
  <c r="F431" i="5"/>
  <c r="AM431" i="5" s="1"/>
  <c r="F430" i="5"/>
  <c r="F429" i="5"/>
  <c r="F428" i="5"/>
  <c r="F427" i="5"/>
  <c r="F426" i="5"/>
  <c r="D445" i="5"/>
  <c r="CA445" i="5" s="1"/>
  <c r="D444" i="5"/>
  <c r="CA444" i="5" s="1"/>
  <c r="D443" i="5"/>
  <c r="CA443" i="5" s="1"/>
  <c r="D442" i="5"/>
  <c r="CA442" i="5" s="1"/>
  <c r="D441" i="5"/>
  <c r="CA441" i="5" s="1"/>
  <c r="D440" i="5"/>
  <c r="CA440" i="5" s="1"/>
  <c r="D439" i="5"/>
  <c r="CA439" i="5" s="1"/>
  <c r="D438" i="5"/>
  <c r="CA438" i="5" s="1"/>
  <c r="D437" i="5"/>
  <c r="CA437" i="5" s="1"/>
  <c r="D436" i="5"/>
  <c r="CA436" i="5" s="1"/>
  <c r="D435" i="5"/>
  <c r="CA435" i="5" s="1"/>
  <c r="D434" i="5"/>
  <c r="CA434" i="5" s="1"/>
  <c r="D433" i="5"/>
  <c r="CA433" i="5" s="1"/>
  <c r="D432" i="5"/>
  <c r="CA432" i="5" s="1"/>
  <c r="D431" i="5"/>
  <c r="CA431" i="5" s="1"/>
  <c r="D430" i="5"/>
  <c r="CA430" i="5" s="1"/>
  <c r="G445" i="5"/>
  <c r="G444" i="5"/>
  <c r="G443" i="5"/>
  <c r="BZ443" i="5" s="1"/>
  <c r="CB443" i="5" s="1"/>
  <c r="G442" i="5"/>
  <c r="G441" i="5"/>
  <c r="G440" i="5"/>
  <c r="G439" i="5"/>
  <c r="G438" i="5"/>
  <c r="G437" i="5"/>
  <c r="BZ437" i="5" s="1"/>
  <c r="G436" i="5"/>
  <c r="BX436" i="5" s="1"/>
  <c r="BY436" i="5" s="1"/>
  <c r="G435" i="5"/>
  <c r="G434" i="5"/>
  <c r="G433" i="5"/>
  <c r="G432" i="5"/>
  <c r="G431" i="5"/>
  <c r="G430" i="5"/>
  <c r="G429" i="5"/>
  <c r="BZ429" i="5" s="1"/>
  <c r="G428" i="5"/>
  <c r="G427" i="5"/>
  <c r="G426" i="5"/>
  <c r="FT426" i="5" s="1"/>
  <c r="E445" i="5"/>
  <c r="DF445" i="5" s="1"/>
  <c r="E444" i="5"/>
  <c r="E443" i="5"/>
  <c r="E442" i="5"/>
  <c r="E441" i="5"/>
  <c r="E440" i="5"/>
  <c r="E439" i="5"/>
  <c r="E438" i="5"/>
  <c r="E437" i="5"/>
  <c r="AE437" i="5" s="1"/>
  <c r="E436" i="5"/>
  <c r="E435" i="5"/>
  <c r="AE435" i="5" s="1"/>
  <c r="E434" i="5"/>
  <c r="E433" i="5"/>
  <c r="E432" i="5"/>
  <c r="AE432" i="5" s="1"/>
  <c r="E431" i="5"/>
  <c r="DF431" i="5" s="1"/>
  <c r="E430" i="5"/>
  <c r="E429" i="5"/>
  <c r="E428" i="5"/>
  <c r="E427" i="5"/>
  <c r="AE427" i="5" s="1"/>
  <c r="E426" i="5"/>
  <c r="AA425" i="5"/>
  <c r="BW425" i="5" s="1"/>
  <c r="AA424" i="5"/>
  <c r="AA422" i="5"/>
  <c r="AA421" i="5"/>
  <c r="BW421" i="5" s="1"/>
  <c r="AA417" i="5"/>
  <c r="BW417" i="5" s="1"/>
  <c r="AA416" i="5"/>
  <c r="AA419" i="5"/>
  <c r="AA418" i="5"/>
  <c r="AA413" i="5"/>
  <c r="AA410" i="5"/>
  <c r="AA408" i="5"/>
  <c r="AA407" i="5"/>
  <c r="Y425" i="5"/>
  <c r="Y424" i="5"/>
  <c r="Y422" i="5"/>
  <c r="Y421" i="5"/>
  <c r="Y419" i="5"/>
  <c r="Y418" i="5"/>
  <c r="Y417" i="5"/>
  <c r="Y416" i="5"/>
  <c r="Y413" i="5"/>
  <c r="Y410" i="5"/>
  <c r="Y408" i="5"/>
  <c r="Y407" i="5"/>
  <c r="J424" i="5"/>
  <c r="J425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I425" i="5"/>
  <c r="I424" i="5"/>
  <c r="I423" i="5"/>
  <c r="I422" i="5"/>
  <c r="FR422" i="5" s="1"/>
  <c r="I420" i="5"/>
  <c r="I419" i="5"/>
  <c r="O419" i="5" s="1"/>
  <c r="I418" i="5"/>
  <c r="FR418" i="5" s="1"/>
  <c r="I417" i="5"/>
  <c r="I416" i="5"/>
  <c r="I415" i="5"/>
  <c r="I414" i="5"/>
  <c r="I413" i="5"/>
  <c r="I412" i="5"/>
  <c r="I411" i="5"/>
  <c r="O411" i="5" s="1"/>
  <c r="I410" i="5"/>
  <c r="I409" i="5"/>
  <c r="I408" i="5"/>
  <c r="I407" i="5"/>
  <c r="I40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6" i="5"/>
  <c r="H407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E425" i="5"/>
  <c r="E424" i="5"/>
  <c r="E423" i="5"/>
  <c r="E422" i="5"/>
  <c r="E421" i="5"/>
  <c r="E420" i="5"/>
  <c r="AE420" i="5" s="1"/>
  <c r="E419" i="5"/>
  <c r="E418" i="5"/>
  <c r="E417" i="5"/>
  <c r="E416" i="5"/>
  <c r="E415" i="5"/>
  <c r="AE415" i="5" s="1"/>
  <c r="E414" i="5"/>
  <c r="E413" i="5"/>
  <c r="AE413" i="5" s="1"/>
  <c r="E412" i="5"/>
  <c r="E411" i="5"/>
  <c r="E410" i="5"/>
  <c r="E409" i="5"/>
  <c r="E408" i="5"/>
  <c r="E407" i="5"/>
  <c r="AE407" i="5" s="1"/>
  <c r="E406" i="5"/>
  <c r="D429" i="5"/>
  <c r="CA429" i="5" s="1"/>
  <c r="D428" i="5"/>
  <c r="CA428" i="5" s="1"/>
  <c r="D427" i="5"/>
  <c r="CA427" i="5" s="1"/>
  <c r="D426" i="5"/>
  <c r="CA426" i="5" s="1"/>
  <c r="D425" i="5"/>
  <c r="CA425" i="5" s="1"/>
  <c r="D424" i="5"/>
  <c r="CA424" i="5" s="1"/>
  <c r="D423" i="5"/>
  <c r="CA423" i="5" s="1"/>
  <c r="D422" i="5"/>
  <c r="CA422" i="5" s="1"/>
  <c r="D421" i="5"/>
  <c r="CA421" i="5" s="1"/>
  <c r="D420" i="5"/>
  <c r="CA420" i="5" s="1"/>
  <c r="D419" i="5"/>
  <c r="CA419" i="5" s="1"/>
  <c r="D418" i="5"/>
  <c r="CA418" i="5" s="1"/>
  <c r="D417" i="5"/>
  <c r="CA417" i="5" s="1"/>
  <c r="D416" i="5"/>
  <c r="CA416" i="5" s="1"/>
  <c r="D415" i="5"/>
  <c r="CA415" i="5" s="1"/>
  <c r="D414" i="5"/>
  <c r="CA414" i="5" s="1"/>
  <c r="D413" i="5"/>
  <c r="CA413" i="5" s="1"/>
  <c r="D412" i="5"/>
  <c r="CA412" i="5" s="1"/>
  <c r="D411" i="5"/>
  <c r="CA411" i="5" s="1"/>
  <c r="G425" i="5"/>
  <c r="G424" i="5"/>
  <c r="BZ424" i="5" s="1"/>
  <c r="G423" i="5"/>
  <c r="BX423" i="5" s="1"/>
  <c r="G422" i="5"/>
  <c r="G421" i="5"/>
  <c r="G420" i="5"/>
  <c r="BZ420" i="5" s="1"/>
  <c r="G406" i="5"/>
  <c r="G407" i="5"/>
  <c r="G408" i="5"/>
  <c r="G409" i="5"/>
  <c r="G410" i="5"/>
  <c r="AA405" i="5"/>
  <c r="AA404" i="5"/>
  <c r="AA402" i="5"/>
  <c r="AA401" i="5"/>
  <c r="AA399" i="5"/>
  <c r="AA398" i="5"/>
  <c r="AA394" i="5"/>
  <c r="AA393" i="5"/>
  <c r="AA392" i="5"/>
  <c r="AA391" i="5"/>
  <c r="Y405" i="5"/>
  <c r="Y404" i="5"/>
  <c r="Y402" i="5"/>
  <c r="Y401" i="5"/>
  <c r="Y399" i="5"/>
  <c r="Y398" i="5"/>
  <c r="Y394" i="5"/>
  <c r="Y393" i="5"/>
  <c r="Y392" i="5"/>
  <c r="Y391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I405" i="5"/>
  <c r="I404" i="5"/>
  <c r="I403" i="5"/>
  <c r="O403" i="5" s="1"/>
  <c r="I402" i="5"/>
  <c r="I401" i="5"/>
  <c r="I400" i="5"/>
  <c r="I399" i="5"/>
  <c r="I398" i="5"/>
  <c r="I397" i="5"/>
  <c r="I396" i="5"/>
  <c r="I395" i="5"/>
  <c r="O395" i="5" s="1"/>
  <c r="I394" i="5"/>
  <c r="I393" i="5"/>
  <c r="I392" i="5"/>
  <c r="I391" i="5"/>
  <c r="I390" i="5"/>
  <c r="I389" i="5"/>
  <c r="H405" i="5"/>
  <c r="H404" i="5"/>
  <c r="H403" i="5"/>
  <c r="H402" i="5"/>
  <c r="H401" i="5"/>
  <c r="H400" i="5"/>
  <c r="H399" i="5"/>
  <c r="H396" i="5"/>
  <c r="H390" i="5"/>
  <c r="H389" i="5"/>
  <c r="H391" i="5"/>
  <c r="H392" i="5"/>
  <c r="H393" i="5"/>
  <c r="H394" i="5"/>
  <c r="H395" i="5"/>
  <c r="H397" i="5"/>
  <c r="H398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E405" i="5"/>
  <c r="E404" i="5"/>
  <c r="E403" i="5"/>
  <c r="E402" i="5"/>
  <c r="AE402" i="5" s="1"/>
  <c r="E401" i="5"/>
  <c r="AE401" i="5" s="1"/>
  <c r="E400" i="5"/>
  <c r="E399" i="5"/>
  <c r="E398" i="5"/>
  <c r="E397" i="5"/>
  <c r="E396" i="5"/>
  <c r="E395" i="5"/>
  <c r="E394" i="5"/>
  <c r="AE394" i="5" s="1"/>
  <c r="E393" i="5"/>
  <c r="E392" i="5"/>
  <c r="E391" i="5"/>
  <c r="AE391" i="5" s="1"/>
  <c r="E390" i="5"/>
  <c r="E389" i="5"/>
  <c r="AE389" i="5" s="1"/>
  <c r="D410" i="5"/>
  <c r="CA410" i="5" s="1"/>
  <c r="D409" i="5"/>
  <c r="CA409" i="5" s="1"/>
  <c r="D408" i="5"/>
  <c r="CA408" i="5" s="1"/>
  <c r="D407" i="5"/>
  <c r="CA407" i="5" s="1"/>
  <c r="D406" i="5"/>
  <c r="CA406" i="5" s="1"/>
  <c r="D405" i="5"/>
  <c r="CA405" i="5" s="1"/>
  <c r="D404" i="5"/>
  <c r="CA404" i="5" s="1"/>
  <c r="D403" i="5"/>
  <c r="CA403" i="5" s="1"/>
  <c r="D402" i="5"/>
  <c r="CA402" i="5" s="1"/>
  <c r="D401" i="5"/>
  <c r="CA401" i="5" s="1"/>
  <c r="D400" i="5"/>
  <c r="CA400" i="5" s="1"/>
  <c r="D399" i="5"/>
  <c r="CA399" i="5" s="1"/>
  <c r="D398" i="5"/>
  <c r="CA398" i="5" s="1"/>
  <c r="D397" i="5"/>
  <c r="CA397" i="5" s="1"/>
  <c r="D396" i="5"/>
  <c r="CA396" i="5" s="1"/>
  <c r="D395" i="5"/>
  <c r="CA395" i="5" s="1"/>
  <c r="D394" i="5"/>
  <c r="CA394" i="5" s="1"/>
  <c r="D393" i="5"/>
  <c r="CA393" i="5" s="1"/>
  <c r="D392" i="5"/>
  <c r="CA392" i="5" s="1"/>
  <c r="D391" i="5"/>
  <c r="CA391" i="5" s="1"/>
  <c r="D390" i="5"/>
  <c r="CA390" i="5" s="1"/>
  <c r="D389" i="5"/>
  <c r="CA389" i="5" s="1"/>
  <c r="G405" i="5"/>
  <c r="G404" i="5"/>
  <c r="G403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AA387" i="5"/>
  <c r="AA386" i="5"/>
  <c r="AA388" i="5"/>
  <c r="AA383" i="5"/>
  <c r="AA382" i="5"/>
  <c r="AA381" i="5"/>
  <c r="AA380" i="5"/>
  <c r="AA377" i="5"/>
  <c r="AA375" i="5"/>
  <c r="AA373" i="5"/>
  <c r="AA371" i="5"/>
  <c r="Y388" i="5"/>
  <c r="Y387" i="5"/>
  <c r="Y386" i="5"/>
  <c r="Y383" i="5"/>
  <c r="Y382" i="5"/>
  <c r="Y381" i="5"/>
  <c r="Y380" i="5"/>
  <c r="Y377" i="5"/>
  <c r="Y375" i="5"/>
  <c r="Y373" i="5"/>
  <c r="Y371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F388" i="5"/>
  <c r="F387" i="5"/>
  <c r="F386" i="5"/>
  <c r="F385" i="5"/>
  <c r="F384" i="5"/>
  <c r="F383" i="5"/>
  <c r="F382" i="5"/>
  <c r="F381" i="5"/>
  <c r="F380" i="5"/>
  <c r="F379" i="5"/>
  <c r="F378" i="5"/>
  <c r="E388" i="5"/>
  <c r="E387" i="5"/>
  <c r="E386" i="5"/>
  <c r="E385" i="5"/>
  <c r="E384" i="5"/>
  <c r="AE384" i="5" s="1"/>
  <c r="E383" i="5"/>
  <c r="AE383" i="5" s="1"/>
  <c r="E382" i="5"/>
  <c r="E381" i="5"/>
  <c r="AE381" i="5" s="1"/>
  <c r="E380" i="5"/>
  <c r="E379" i="5"/>
  <c r="E378" i="5"/>
  <c r="G379" i="5"/>
  <c r="G380" i="5"/>
  <c r="G381" i="5"/>
  <c r="G382" i="5"/>
  <c r="G383" i="5"/>
  <c r="G384" i="5"/>
  <c r="G385" i="5"/>
  <c r="G386" i="5"/>
  <c r="G387" i="5"/>
  <c r="G388" i="5"/>
  <c r="G378" i="5"/>
  <c r="D379" i="5"/>
  <c r="CA379" i="5" s="1"/>
  <c r="D380" i="5"/>
  <c r="CA380" i="5" s="1"/>
  <c r="D381" i="5"/>
  <c r="CA381" i="5" s="1"/>
  <c r="D382" i="5"/>
  <c r="CA382" i="5" s="1"/>
  <c r="D383" i="5"/>
  <c r="CA383" i="5" s="1"/>
  <c r="D384" i="5"/>
  <c r="CA384" i="5" s="1"/>
  <c r="D385" i="5"/>
  <c r="CA385" i="5" s="1"/>
  <c r="D386" i="5"/>
  <c r="CA386" i="5" s="1"/>
  <c r="D387" i="5"/>
  <c r="CA387" i="5" s="1"/>
  <c r="D388" i="5"/>
  <c r="CA388" i="5" s="1"/>
  <c r="D378" i="5"/>
  <c r="CA378" i="5" s="1"/>
  <c r="D376" i="5"/>
  <c r="CA376" i="5" s="1"/>
  <c r="F377" i="5"/>
  <c r="F376" i="5"/>
  <c r="F375" i="5"/>
  <c r="F374" i="5"/>
  <c r="F371" i="5"/>
  <c r="F372" i="5"/>
  <c r="F373" i="5"/>
  <c r="E377" i="5"/>
  <c r="AE377" i="5" s="1"/>
  <c r="E376" i="5"/>
  <c r="E375" i="5"/>
  <c r="AE375" i="5" s="1"/>
  <c r="E374" i="5"/>
  <c r="AE374" i="5" s="1"/>
  <c r="E373" i="5"/>
  <c r="E372" i="5"/>
  <c r="E371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AA369" i="5"/>
  <c r="AA367" i="5"/>
  <c r="AA365" i="5"/>
  <c r="AA363" i="5"/>
  <c r="AA361" i="5"/>
  <c r="AA359" i="5"/>
  <c r="AA357" i="5"/>
  <c r="Y369" i="5"/>
  <c r="Y367" i="5"/>
  <c r="Y365" i="5"/>
  <c r="Y363" i="5"/>
  <c r="Y361" i="5"/>
  <c r="Y359" i="5"/>
  <c r="Y357" i="5"/>
  <c r="J370" i="5"/>
  <c r="J369" i="5"/>
  <c r="J368" i="5"/>
  <c r="DS368" i="5" s="1"/>
  <c r="J367" i="5"/>
  <c r="DS367" i="5" s="1"/>
  <c r="J366" i="5"/>
  <c r="J365" i="5"/>
  <c r="J364" i="5"/>
  <c r="J363" i="5"/>
  <c r="J362" i="5"/>
  <c r="J361" i="5"/>
  <c r="J360" i="5"/>
  <c r="DS360" i="5" s="1"/>
  <c r="J359" i="5"/>
  <c r="DS359" i="5" s="1"/>
  <c r="J358" i="5"/>
  <c r="J357" i="5"/>
  <c r="J356" i="5"/>
  <c r="J355" i="5"/>
  <c r="I370" i="5"/>
  <c r="I369" i="5"/>
  <c r="I368" i="5"/>
  <c r="I367" i="5"/>
  <c r="I366" i="5"/>
  <c r="I365" i="5"/>
  <c r="I364" i="5"/>
  <c r="I362" i="5"/>
  <c r="I361" i="5"/>
  <c r="I360" i="5"/>
  <c r="I359" i="5"/>
  <c r="I358" i="5"/>
  <c r="I357" i="5"/>
  <c r="I356" i="5"/>
  <c r="I355" i="5"/>
  <c r="O355" i="5" s="1"/>
  <c r="I363" i="5"/>
  <c r="O363" i="5" s="1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F370" i="5"/>
  <c r="F369" i="5"/>
  <c r="F368" i="5"/>
  <c r="F367" i="5"/>
  <c r="F366" i="5"/>
  <c r="F365" i="5"/>
  <c r="F364" i="5"/>
  <c r="E370" i="5"/>
  <c r="E369" i="5"/>
  <c r="E368" i="5"/>
  <c r="AE368" i="5" s="1"/>
  <c r="E367" i="5"/>
  <c r="E366" i="5"/>
  <c r="AE366" i="5" s="1"/>
  <c r="E365" i="5"/>
  <c r="E364" i="5"/>
  <c r="D377" i="5"/>
  <c r="CA377" i="5" s="1"/>
  <c r="D375" i="5"/>
  <c r="CA375" i="5" s="1"/>
  <c r="D374" i="5"/>
  <c r="CA374" i="5" s="1"/>
  <c r="D373" i="5"/>
  <c r="CA373" i="5" s="1"/>
  <c r="D372" i="5"/>
  <c r="CA372" i="5" s="1"/>
  <c r="D371" i="5"/>
  <c r="CA371" i="5" s="1"/>
  <c r="D370" i="5"/>
  <c r="CA370" i="5" s="1"/>
  <c r="D369" i="5"/>
  <c r="CA369" i="5" s="1"/>
  <c r="D368" i="5"/>
  <c r="CA368" i="5" s="1"/>
  <c r="D367" i="5"/>
  <c r="CA367" i="5" s="1"/>
  <c r="D366" i="5"/>
  <c r="CA366" i="5" s="1"/>
  <c r="D365" i="5"/>
  <c r="CA365" i="5" s="1"/>
  <c r="D364" i="5"/>
  <c r="CA364" i="5" s="1"/>
  <c r="F363" i="5"/>
  <c r="F362" i="5"/>
  <c r="F361" i="5"/>
  <c r="F360" i="5"/>
  <c r="F359" i="5"/>
  <c r="F358" i="5"/>
  <c r="F357" i="5"/>
  <c r="F356" i="5"/>
  <c r="F355" i="5"/>
  <c r="E363" i="5"/>
  <c r="E362" i="5"/>
  <c r="E361" i="5"/>
  <c r="E360" i="5"/>
  <c r="AE360" i="5" s="1"/>
  <c r="E359" i="5"/>
  <c r="E358" i="5"/>
  <c r="E357" i="5"/>
  <c r="AE357" i="5" s="1"/>
  <c r="E356" i="5"/>
  <c r="AE356" i="5" s="1"/>
  <c r="E355" i="5"/>
  <c r="Y350" i="5"/>
  <c r="Y349" i="5"/>
  <c r="Y346" i="5"/>
  <c r="Y345" i="5"/>
  <c r="Y342" i="5"/>
  <c r="Y341" i="5"/>
  <c r="AA350" i="5"/>
  <c r="AA349" i="5"/>
  <c r="AA346" i="5"/>
  <c r="AA345" i="5"/>
  <c r="AA342" i="5"/>
  <c r="AA341" i="5"/>
  <c r="J354" i="5"/>
  <c r="DS354" i="5" s="1"/>
  <c r="J353" i="5"/>
  <c r="J352" i="5"/>
  <c r="DS352" i="5" s="1"/>
  <c r="J351" i="5"/>
  <c r="DS351" i="5" s="1"/>
  <c r="J350" i="5"/>
  <c r="J349" i="5"/>
  <c r="J348" i="5"/>
  <c r="J346" i="5"/>
  <c r="J345" i="5"/>
  <c r="J344" i="5"/>
  <c r="J343" i="5"/>
  <c r="J342" i="5"/>
  <c r="J341" i="5"/>
  <c r="J340" i="5"/>
  <c r="J339" i="5"/>
  <c r="J347" i="5"/>
  <c r="I353" i="5"/>
  <c r="I352" i="5"/>
  <c r="I351" i="5"/>
  <c r="I350" i="5"/>
  <c r="I349" i="5"/>
  <c r="I347" i="5"/>
  <c r="O347" i="5" s="1"/>
  <c r="I345" i="5"/>
  <c r="I344" i="5"/>
  <c r="I343" i="5"/>
  <c r="I342" i="5"/>
  <c r="I341" i="5"/>
  <c r="I340" i="5"/>
  <c r="I339" i="5"/>
  <c r="O339" i="5" s="1"/>
  <c r="I354" i="5"/>
  <c r="I348" i="5"/>
  <c r="I346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E354" i="5"/>
  <c r="E353" i="5"/>
  <c r="AE353" i="5" s="1"/>
  <c r="E352" i="5"/>
  <c r="E351" i="5"/>
  <c r="E350" i="5"/>
  <c r="E349" i="5"/>
  <c r="E348" i="5"/>
  <c r="AE348" i="5" s="1"/>
  <c r="E347" i="5"/>
  <c r="E346" i="5"/>
  <c r="E345" i="5"/>
  <c r="E344" i="5"/>
  <c r="E343" i="5"/>
  <c r="E342" i="5"/>
  <c r="E341" i="5"/>
  <c r="E340" i="5"/>
  <c r="E339" i="5"/>
  <c r="D363" i="5"/>
  <c r="CA363" i="5" s="1"/>
  <c r="D362" i="5"/>
  <c r="CA362" i="5" s="1"/>
  <c r="D361" i="5"/>
  <c r="CA361" i="5" s="1"/>
  <c r="D360" i="5"/>
  <c r="CA360" i="5" s="1"/>
  <c r="D359" i="5"/>
  <c r="CA359" i="5" s="1"/>
  <c r="D358" i="5"/>
  <c r="CA358" i="5" s="1"/>
  <c r="D357" i="5"/>
  <c r="CA357" i="5" s="1"/>
  <c r="D356" i="5"/>
  <c r="CA356" i="5" s="1"/>
  <c r="D355" i="5"/>
  <c r="CA355" i="5" s="1"/>
  <c r="D354" i="5"/>
  <c r="CA354" i="5" s="1"/>
  <c r="D353" i="5"/>
  <c r="CA353" i="5" s="1"/>
  <c r="D352" i="5"/>
  <c r="CA352" i="5" s="1"/>
  <c r="D351" i="5"/>
  <c r="CA351" i="5" s="1"/>
  <c r="D350" i="5"/>
  <c r="CA350" i="5" s="1"/>
  <c r="D349" i="5"/>
  <c r="CA349" i="5" s="1"/>
  <c r="D348" i="5"/>
  <c r="CA348" i="5" s="1"/>
  <c r="D347" i="5"/>
  <c r="CA347" i="5" s="1"/>
  <c r="D346" i="5"/>
  <c r="CA346" i="5" s="1"/>
  <c r="D345" i="5"/>
  <c r="CA345" i="5" s="1"/>
  <c r="D344" i="5"/>
  <c r="CA344" i="5" s="1"/>
  <c r="D343" i="5"/>
  <c r="CA343" i="5" s="1"/>
  <c r="D342" i="5"/>
  <c r="CA342" i="5" s="1"/>
  <c r="D341" i="5"/>
  <c r="CA341" i="5" s="1"/>
  <c r="D340" i="5"/>
  <c r="CA340" i="5" s="1"/>
  <c r="D339" i="5"/>
  <c r="CA339" i="5" s="1"/>
  <c r="G339" i="5"/>
  <c r="G340" i="5"/>
  <c r="G341" i="5"/>
  <c r="G342" i="5"/>
  <c r="G343" i="5"/>
  <c r="G344" i="5"/>
  <c r="G345" i="5"/>
  <c r="G346" i="5"/>
  <c r="G347" i="5"/>
  <c r="G348" i="5"/>
  <c r="G349" i="5"/>
  <c r="G350" i="5"/>
  <c r="G371" i="5"/>
  <c r="G372" i="5"/>
  <c r="G373" i="5"/>
  <c r="G374" i="5"/>
  <c r="G375" i="5"/>
  <c r="G376" i="5"/>
  <c r="G377" i="5"/>
  <c r="G411" i="5"/>
  <c r="G412" i="5"/>
  <c r="G413" i="5"/>
  <c r="G414" i="5"/>
  <c r="G415" i="5"/>
  <c r="G416" i="5"/>
  <c r="G417" i="5"/>
  <c r="G418" i="5"/>
  <c r="G419" i="5"/>
  <c r="G283" i="5"/>
  <c r="G284" i="5"/>
  <c r="G285" i="5"/>
  <c r="G286" i="5"/>
  <c r="G287" i="5"/>
  <c r="G288" i="5"/>
  <c r="G289" i="5"/>
  <c r="G290" i="5"/>
  <c r="G264" i="5"/>
  <c r="G265" i="5"/>
  <c r="G266" i="5"/>
  <c r="G267" i="5"/>
  <c r="G268" i="5"/>
  <c r="G269" i="5"/>
  <c r="G270" i="5"/>
  <c r="G271" i="5"/>
  <c r="G272" i="5"/>
  <c r="AE341" i="5"/>
  <c r="AE361" i="5"/>
  <c r="AE370" i="5"/>
  <c r="AE380" i="5"/>
  <c r="AE388" i="5"/>
  <c r="AE390" i="5"/>
  <c r="AE397" i="5"/>
  <c r="AE399" i="5"/>
  <c r="AE408" i="5"/>
  <c r="AE411" i="5"/>
  <c r="AE416" i="5"/>
  <c r="AE424" i="5"/>
  <c r="AE425" i="5"/>
  <c r="AE428" i="5"/>
  <c r="AE433" i="5"/>
  <c r="AE440" i="5"/>
  <c r="AE441" i="5"/>
  <c r="AE444" i="5"/>
  <c r="AE445" i="5"/>
  <c r="AE449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Y338" i="5"/>
  <c r="Y336" i="5"/>
  <c r="Y334" i="5"/>
  <c r="Y331" i="5"/>
  <c r="Y329" i="5"/>
  <c r="Y327" i="5"/>
  <c r="Y325" i="5"/>
  <c r="AA338" i="5"/>
  <c r="AA336" i="5"/>
  <c r="AA334" i="5"/>
  <c r="AA331" i="5"/>
  <c r="AA329" i="5"/>
  <c r="AA327" i="5"/>
  <c r="AA325" i="5"/>
  <c r="D338" i="5"/>
  <c r="CA338" i="5" s="1"/>
  <c r="D337" i="5"/>
  <c r="CA337" i="5" s="1"/>
  <c r="D336" i="5"/>
  <c r="CA336" i="5" s="1"/>
  <c r="D335" i="5"/>
  <c r="CA335" i="5" s="1"/>
  <c r="D334" i="5"/>
  <c r="CA334" i="5" s="1"/>
  <c r="D333" i="5"/>
  <c r="CA333" i="5" s="1"/>
  <c r="D332" i="5"/>
  <c r="CA332" i="5" s="1"/>
  <c r="D331" i="5"/>
  <c r="CA331" i="5" s="1"/>
  <c r="D330" i="5"/>
  <c r="CA330" i="5" s="1"/>
  <c r="D329" i="5"/>
  <c r="CA329" i="5" s="1"/>
  <c r="D328" i="5"/>
  <c r="CA328" i="5" s="1"/>
  <c r="D327" i="5"/>
  <c r="CA327" i="5" s="1"/>
  <c r="D326" i="5"/>
  <c r="CA326" i="5" s="1"/>
  <c r="D325" i="5"/>
  <c r="CA325" i="5" s="1"/>
  <c r="D324" i="5"/>
  <c r="CA324" i="5" s="1"/>
  <c r="J338" i="5"/>
  <c r="J337" i="5"/>
  <c r="DS337" i="5" s="1"/>
  <c r="J336" i="5"/>
  <c r="J335" i="5"/>
  <c r="DS335" i="5" s="1"/>
  <c r="J334" i="5"/>
  <c r="J333" i="5"/>
  <c r="DS333" i="5" s="1"/>
  <c r="J332" i="5"/>
  <c r="J331" i="5"/>
  <c r="J330" i="5"/>
  <c r="J329" i="5"/>
  <c r="DS329" i="5" s="1"/>
  <c r="J328" i="5"/>
  <c r="J327" i="5"/>
  <c r="DS327" i="5" s="1"/>
  <c r="J326" i="5"/>
  <c r="J325" i="5"/>
  <c r="DS325" i="5" s="1"/>
  <c r="J324" i="5"/>
  <c r="I336" i="5"/>
  <c r="I326" i="5"/>
  <c r="I325" i="5"/>
  <c r="I324" i="5"/>
  <c r="I338" i="5"/>
  <c r="I337" i="5"/>
  <c r="I335" i="5"/>
  <c r="I334" i="5"/>
  <c r="I333" i="5"/>
  <c r="I332" i="5"/>
  <c r="I331" i="5"/>
  <c r="I330" i="5"/>
  <c r="I329" i="5"/>
  <c r="I328" i="5"/>
  <c r="I327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4" i="5"/>
  <c r="H325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Y323" i="5"/>
  <c r="Y322" i="5"/>
  <c r="Y321" i="5"/>
  <c r="Y320" i="5"/>
  <c r="Y319" i="5"/>
  <c r="Y318" i="5"/>
  <c r="Y314" i="5"/>
  <c r="Y313" i="5"/>
  <c r="Y310" i="5"/>
  <c r="Y309" i="5"/>
  <c r="AA320" i="5"/>
  <c r="AA319" i="5"/>
  <c r="AA318" i="5"/>
  <c r="AA323" i="5"/>
  <c r="AA322" i="5"/>
  <c r="AA321" i="5"/>
  <c r="AA314" i="5"/>
  <c r="AA313" i="5"/>
  <c r="AA310" i="5"/>
  <c r="AA309" i="5"/>
  <c r="J323" i="5"/>
  <c r="J322" i="5"/>
  <c r="J321" i="5"/>
  <c r="J320" i="5"/>
  <c r="J319" i="5"/>
  <c r="J318" i="5"/>
  <c r="J317" i="5"/>
  <c r="J316" i="5"/>
  <c r="J315" i="5"/>
  <c r="J314" i="5"/>
  <c r="J313" i="5"/>
  <c r="J311" i="5"/>
  <c r="J310" i="5"/>
  <c r="J309" i="5"/>
  <c r="J308" i="5"/>
  <c r="I322" i="5"/>
  <c r="I321" i="5"/>
  <c r="I320" i="5"/>
  <c r="I323" i="5"/>
  <c r="I319" i="5"/>
  <c r="I318" i="5"/>
  <c r="I317" i="5"/>
  <c r="I316" i="5"/>
  <c r="I315" i="5"/>
  <c r="O315" i="5" s="1"/>
  <c r="I314" i="5"/>
  <c r="I313" i="5"/>
  <c r="I312" i="5"/>
  <c r="I311" i="5"/>
  <c r="I310" i="5"/>
  <c r="I309" i="5"/>
  <c r="I308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J312" i="5"/>
  <c r="H308" i="5"/>
  <c r="F323" i="5"/>
  <c r="F322" i="5"/>
  <c r="F321" i="5"/>
  <c r="F320" i="5"/>
  <c r="F319" i="5"/>
  <c r="F318" i="5"/>
  <c r="F317" i="5"/>
  <c r="F316" i="5"/>
  <c r="F315" i="5"/>
  <c r="E323" i="5"/>
  <c r="E322" i="5"/>
  <c r="E321" i="5"/>
  <c r="E317" i="5"/>
  <c r="E318" i="5"/>
  <c r="E319" i="5"/>
  <c r="E320" i="5"/>
  <c r="E316" i="5"/>
  <c r="E315" i="5"/>
  <c r="D323" i="5"/>
  <c r="CA323" i="5" s="1"/>
  <c r="D322" i="5"/>
  <c r="CA322" i="5" s="1"/>
  <c r="D320" i="5"/>
  <c r="CA320" i="5" s="1"/>
  <c r="D319" i="5"/>
  <c r="CA319" i="5" s="1"/>
  <c r="D317" i="5"/>
  <c r="CA317" i="5" s="1"/>
  <c r="D316" i="5"/>
  <c r="CA316" i="5" s="1"/>
  <c r="D321" i="5"/>
  <c r="CA321" i="5" s="1"/>
  <c r="D318" i="5"/>
  <c r="CA318" i="5" s="1"/>
  <c r="D315" i="5"/>
  <c r="CA315" i="5" s="1"/>
  <c r="F314" i="5"/>
  <c r="F313" i="5"/>
  <c r="F312" i="5"/>
  <c r="F311" i="5"/>
  <c r="F310" i="5"/>
  <c r="F309" i="5"/>
  <c r="F308" i="5"/>
  <c r="E314" i="5"/>
  <c r="E313" i="5"/>
  <c r="E312" i="5"/>
  <c r="E311" i="5"/>
  <c r="E310" i="5"/>
  <c r="E309" i="5"/>
  <c r="E308" i="5"/>
  <c r="G303" i="5"/>
  <c r="G304" i="5"/>
  <c r="G305" i="5"/>
  <c r="G306" i="5"/>
  <c r="G307" i="5"/>
  <c r="AA306" i="5"/>
  <c r="AA305" i="5"/>
  <c r="Y306" i="5"/>
  <c r="Y305" i="5"/>
  <c r="J307" i="5"/>
  <c r="J306" i="5"/>
  <c r="J305" i="5"/>
  <c r="J304" i="5"/>
  <c r="J303" i="5"/>
  <c r="I307" i="5"/>
  <c r="O307" i="5" s="1"/>
  <c r="I306" i="5"/>
  <c r="I305" i="5"/>
  <c r="I304" i="5"/>
  <c r="I303" i="5"/>
  <c r="H307" i="5"/>
  <c r="H306" i="5"/>
  <c r="H305" i="5"/>
  <c r="H304" i="5"/>
  <c r="H303" i="5"/>
  <c r="F307" i="5"/>
  <c r="F306" i="5"/>
  <c r="F305" i="5"/>
  <c r="F304" i="5"/>
  <c r="F303" i="5"/>
  <c r="E307" i="5"/>
  <c r="E306" i="5"/>
  <c r="E305" i="5"/>
  <c r="E304" i="5"/>
  <c r="E303" i="5"/>
  <c r="D314" i="5"/>
  <c r="CA314" i="5" s="1"/>
  <c r="D312" i="5"/>
  <c r="CA312" i="5" s="1"/>
  <c r="D310" i="5"/>
  <c r="CA310" i="5" s="1"/>
  <c r="D308" i="5"/>
  <c r="CA308" i="5" s="1"/>
  <c r="D306" i="5"/>
  <c r="CA306" i="5" s="1"/>
  <c r="D304" i="5"/>
  <c r="CA304" i="5" s="1"/>
  <c r="D313" i="5"/>
  <c r="CA313" i="5" s="1"/>
  <c r="D311" i="5"/>
  <c r="CA311" i="5" s="1"/>
  <c r="D309" i="5"/>
  <c r="CA309" i="5" s="1"/>
  <c r="D307" i="5"/>
  <c r="CA307" i="5" s="1"/>
  <c r="D305" i="5"/>
  <c r="CA305" i="5" s="1"/>
  <c r="D303" i="5"/>
  <c r="CA303" i="5" s="1"/>
  <c r="G291" i="5"/>
  <c r="G292" i="5"/>
  <c r="G293" i="5"/>
  <c r="G294" i="5"/>
  <c r="G295" i="5"/>
  <c r="G296" i="5"/>
  <c r="G297" i="5"/>
  <c r="G298" i="5"/>
  <c r="G299" i="5"/>
  <c r="G300" i="5"/>
  <c r="G301" i="5"/>
  <c r="G302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E302" i="5"/>
  <c r="E301" i="5"/>
  <c r="E300" i="5"/>
  <c r="E299" i="5"/>
  <c r="E298" i="5"/>
  <c r="E297" i="5"/>
  <c r="E296" i="5"/>
  <c r="E295" i="5"/>
  <c r="E292" i="5"/>
  <c r="E291" i="5"/>
  <c r="D292" i="5"/>
  <c r="CA292" i="5" s="1"/>
  <c r="D293" i="5"/>
  <c r="CA293" i="5" s="1"/>
  <c r="D294" i="5"/>
  <c r="CA294" i="5" s="1"/>
  <c r="D295" i="5"/>
  <c r="CA295" i="5" s="1"/>
  <c r="D296" i="5"/>
  <c r="CA296" i="5" s="1"/>
  <c r="D297" i="5"/>
  <c r="CA297" i="5" s="1"/>
  <c r="D298" i="5"/>
  <c r="CA298" i="5" s="1"/>
  <c r="D299" i="5"/>
  <c r="CA299" i="5" s="1"/>
  <c r="D300" i="5"/>
  <c r="CA300" i="5" s="1"/>
  <c r="D301" i="5"/>
  <c r="CA301" i="5" s="1"/>
  <c r="D302" i="5"/>
  <c r="CA302" i="5" s="1"/>
  <c r="D291" i="5"/>
  <c r="CA291" i="5" s="1"/>
  <c r="J302" i="5"/>
  <c r="J301" i="5"/>
  <c r="J300" i="5"/>
  <c r="J299" i="5"/>
  <c r="J298" i="5"/>
  <c r="J297" i="5"/>
  <c r="J296" i="5"/>
  <c r="J295" i="5"/>
  <c r="J294" i="5"/>
  <c r="J293" i="5"/>
  <c r="J292" i="5"/>
  <c r="J291" i="5"/>
  <c r="I301" i="5"/>
  <c r="I300" i="5"/>
  <c r="I299" i="5"/>
  <c r="O299" i="5" s="1"/>
  <c r="I298" i="5"/>
  <c r="I297" i="5"/>
  <c r="I296" i="5"/>
  <c r="I295" i="5"/>
  <c r="I294" i="5"/>
  <c r="I293" i="5"/>
  <c r="I292" i="5"/>
  <c r="I291" i="5"/>
  <c r="O291" i="5" s="1"/>
  <c r="I302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Y302" i="5"/>
  <c r="Y301" i="5"/>
  <c r="Y300" i="5"/>
  <c r="Y299" i="5"/>
  <c r="Y298" i="5"/>
  <c r="Y297" i="5"/>
  <c r="Y296" i="5"/>
  <c r="Y295" i="5"/>
  <c r="AA302" i="5"/>
  <c r="AA301" i="5"/>
  <c r="AA300" i="5"/>
  <c r="AA299" i="5"/>
  <c r="AA298" i="5"/>
  <c r="AA297" i="5"/>
  <c r="AA296" i="5"/>
  <c r="AA295" i="5"/>
  <c r="AA290" i="5"/>
  <c r="AA288" i="5"/>
  <c r="Y290" i="5"/>
  <c r="Y288" i="5"/>
  <c r="J290" i="5"/>
  <c r="J289" i="5"/>
  <c r="DS289" i="5" s="1"/>
  <c r="J288" i="5"/>
  <c r="I289" i="5"/>
  <c r="I288" i="5"/>
  <c r="I290" i="5"/>
  <c r="H290" i="5"/>
  <c r="H289" i="5"/>
  <c r="H288" i="5"/>
  <c r="F290" i="5"/>
  <c r="F289" i="5"/>
  <c r="F288" i="5"/>
  <c r="E290" i="5"/>
  <c r="E289" i="5"/>
  <c r="E288" i="5"/>
  <c r="I285" i="5"/>
  <c r="Y286" i="5"/>
  <c r="AA286" i="5"/>
  <c r="AA284" i="5"/>
  <c r="AA282" i="5"/>
  <c r="AA281" i="5"/>
  <c r="AA278" i="5"/>
  <c r="AA277" i="5"/>
  <c r="AA275" i="5"/>
  <c r="AA274" i="5"/>
  <c r="Y284" i="5"/>
  <c r="Y282" i="5"/>
  <c r="Y281" i="5"/>
  <c r="Y278" i="5"/>
  <c r="Y277" i="5"/>
  <c r="Y275" i="5"/>
  <c r="Y274" i="5"/>
  <c r="J286" i="5"/>
  <c r="DS286" i="5" s="1"/>
  <c r="J285" i="5"/>
  <c r="J284" i="5"/>
  <c r="J283" i="5"/>
  <c r="DS283" i="5" s="1"/>
  <c r="J282" i="5"/>
  <c r="J281" i="5"/>
  <c r="J280" i="5"/>
  <c r="J287" i="5"/>
  <c r="J279" i="5"/>
  <c r="J278" i="5"/>
  <c r="J277" i="5"/>
  <c r="J276" i="5"/>
  <c r="J275" i="5"/>
  <c r="J274" i="5"/>
  <c r="J273" i="5"/>
  <c r="I287" i="5"/>
  <c r="I286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D273" i="5"/>
  <c r="CA273" i="5" s="1"/>
  <c r="D274" i="5"/>
  <c r="CA274" i="5" s="1"/>
  <c r="D275" i="5"/>
  <c r="CA275" i="5" s="1"/>
  <c r="D276" i="5"/>
  <c r="CA276" i="5" s="1"/>
  <c r="D277" i="5"/>
  <c r="CA277" i="5" s="1"/>
  <c r="D278" i="5"/>
  <c r="CA278" i="5" s="1"/>
  <c r="D279" i="5"/>
  <c r="CA279" i="5" s="1"/>
  <c r="D280" i="5"/>
  <c r="CA280" i="5" s="1"/>
  <c r="D281" i="5"/>
  <c r="CA281" i="5" s="1"/>
  <c r="D282" i="5"/>
  <c r="CA282" i="5" s="1"/>
  <c r="D283" i="5"/>
  <c r="CA283" i="5" s="1"/>
  <c r="D284" i="5"/>
  <c r="CA284" i="5" s="1"/>
  <c r="D285" i="5"/>
  <c r="CA285" i="5" s="1"/>
  <c r="D286" i="5"/>
  <c r="CA286" i="5" s="1"/>
  <c r="D287" i="5"/>
  <c r="CA287" i="5" s="1"/>
  <c r="D288" i="5"/>
  <c r="CA288" i="5" s="1"/>
  <c r="D289" i="5"/>
  <c r="CA289" i="5" s="1"/>
  <c r="D290" i="5"/>
  <c r="CA290" i="5" s="1"/>
  <c r="G273" i="5"/>
  <c r="G274" i="5"/>
  <c r="G275" i="5"/>
  <c r="G276" i="5"/>
  <c r="G277" i="5"/>
  <c r="G278" i="5"/>
  <c r="G279" i="5"/>
  <c r="G280" i="5"/>
  <c r="G281" i="5"/>
  <c r="G282" i="5"/>
  <c r="AA271" i="5"/>
  <c r="Y271" i="5"/>
  <c r="AA269" i="5"/>
  <c r="AA268" i="5"/>
  <c r="AA267" i="5"/>
  <c r="AA266" i="5"/>
  <c r="Y269" i="5"/>
  <c r="Y268" i="5"/>
  <c r="Y267" i="5"/>
  <c r="Y266" i="5"/>
  <c r="J272" i="5"/>
  <c r="DS272" i="5" s="1"/>
  <c r="J271" i="5"/>
  <c r="J270" i="5"/>
  <c r="J269" i="5"/>
  <c r="J268" i="5"/>
  <c r="J267" i="5"/>
  <c r="DS267" i="5" s="1"/>
  <c r="J266" i="5"/>
  <c r="J265" i="5"/>
  <c r="DS265" i="5" s="1"/>
  <c r="J264" i="5"/>
  <c r="DS264" i="5" s="1"/>
  <c r="I272" i="5"/>
  <c r="I271" i="5"/>
  <c r="I270" i="5"/>
  <c r="I269" i="5"/>
  <c r="I268" i="5"/>
  <c r="I267" i="5"/>
  <c r="I266" i="5"/>
  <c r="I265" i="5"/>
  <c r="I264" i="5"/>
  <c r="H272" i="5"/>
  <c r="H271" i="5"/>
  <c r="H270" i="5"/>
  <c r="H269" i="5"/>
  <c r="H268" i="5"/>
  <c r="H267" i="5"/>
  <c r="H266" i="5"/>
  <c r="H265" i="5"/>
  <c r="H264" i="5"/>
  <c r="D270" i="5"/>
  <c r="CA270" i="5" s="1"/>
  <c r="D272" i="5"/>
  <c r="CA272" i="5" s="1"/>
  <c r="D271" i="5"/>
  <c r="CA271" i="5" s="1"/>
  <c r="D264" i="5"/>
  <c r="CA264" i="5" s="1"/>
  <c r="D265" i="5"/>
  <c r="CA265" i="5" s="1"/>
  <c r="D266" i="5"/>
  <c r="CA266" i="5" s="1"/>
  <c r="D267" i="5"/>
  <c r="CA267" i="5" s="1"/>
  <c r="D268" i="5"/>
  <c r="CA268" i="5" s="1"/>
  <c r="D269" i="5"/>
  <c r="CA269" i="5" s="1"/>
  <c r="E272" i="5"/>
  <c r="E271" i="5"/>
  <c r="E270" i="5"/>
  <c r="E269" i="5"/>
  <c r="E268" i="5"/>
  <c r="E267" i="5"/>
  <c r="E266" i="5"/>
  <c r="E265" i="5"/>
  <c r="E264" i="5"/>
  <c r="F272" i="5"/>
  <c r="F271" i="5"/>
  <c r="F270" i="5"/>
  <c r="F269" i="5"/>
  <c r="F268" i="5"/>
  <c r="F267" i="5"/>
  <c r="F266" i="5"/>
  <c r="F265" i="5"/>
  <c r="F264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265" i="5"/>
  <c r="V266" i="5"/>
  <c r="V267" i="5"/>
  <c r="V268" i="5"/>
  <c r="V269" i="5"/>
  <c r="V270" i="5"/>
  <c r="V271" i="5"/>
  <c r="V272" i="5"/>
  <c r="V264" i="5"/>
  <c r="V263" i="5"/>
  <c r="V262" i="5"/>
  <c r="V261" i="5"/>
  <c r="V260" i="5"/>
  <c r="V259" i="5"/>
  <c r="V258" i="5"/>
  <c r="V257" i="5"/>
  <c r="V256" i="5"/>
  <c r="V255" i="5"/>
  <c r="V254" i="5"/>
  <c r="V253" i="5"/>
  <c r="AA263" i="5"/>
  <c r="AA262" i="5"/>
  <c r="AA261" i="5"/>
  <c r="AA260" i="5"/>
  <c r="AA257" i="5"/>
  <c r="AA256" i="5"/>
  <c r="AA255" i="5"/>
  <c r="AA254" i="5"/>
  <c r="Y263" i="5"/>
  <c r="Y262" i="5"/>
  <c r="Y261" i="5"/>
  <c r="Y260" i="5"/>
  <c r="Y257" i="5"/>
  <c r="Y256" i="5"/>
  <c r="Y255" i="5"/>
  <c r="Y254" i="5"/>
  <c r="J263" i="5"/>
  <c r="J262" i="5"/>
  <c r="J261" i="5"/>
  <c r="J260" i="5"/>
  <c r="J259" i="5"/>
  <c r="J258" i="5"/>
  <c r="J257" i="5"/>
  <c r="J256" i="5"/>
  <c r="J255" i="5"/>
  <c r="J254" i="5"/>
  <c r="J253" i="5"/>
  <c r="I263" i="5"/>
  <c r="I262" i="5"/>
  <c r="I261" i="5"/>
  <c r="I260" i="5"/>
  <c r="I259" i="5"/>
  <c r="I258" i="5"/>
  <c r="I257" i="5"/>
  <c r="I256" i="5"/>
  <c r="I255" i="5"/>
  <c r="I254" i="5"/>
  <c r="I253" i="5"/>
  <c r="H263" i="5"/>
  <c r="H262" i="5"/>
  <c r="H261" i="5"/>
  <c r="H260" i="5"/>
  <c r="H259" i="5"/>
  <c r="H258" i="5"/>
  <c r="H257" i="5"/>
  <c r="H256" i="5"/>
  <c r="H255" i="5"/>
  <c r="H254" i="5"/>
  <c r="H253" i="5"/>
  <c r="D253" i="5"/>
  <c r="CA253" i="5" s="1"/>
  <c r="D254" i="5"/>
  <c r="CA254" i="5" s="1"/>
  <c r="D255" i="5"/>
  <c r="CA255" i="5" s="1"/>
  <c r="D256" i="5"/>
  <c r="CA256" i="5" s="1"/>
  <c r="D257" i="5"/>
  <c r="CA257" i="5" s="1"/>
  <c r="D258" i="5"/>
  <c r="CA258" i="5" s="1"/>
  <c r="D259" i="5"/>
  <c r="CA259" i="5" s="1"/>
  <c r="D260" i="5"/>
  <c r="CA260" i="5" s="1"/>
  <c r="D261" i="5"/>
  <c r="CA261" i="5" s="1"/>
  <c r="D262" i="5"/>
  <c r="CA262" i="5" s="1"/>
  <c r="D263" i="5"/>
  <c r="CA263" i="5" s="1"/>
  <c r="E263" i="5"/>
  <c r="E262" i="5"/>
  <c r="E261" i="5"/>
  <c r="E260" i="5"/>
  <c r="E259" i="5"/>
  <c r="E258" i="5"/>
  <c r="E257" i="5"/>
  <c r="E256" i="5"/>
  <c r="E255" i="5"/>
  <c r="E254" i="5"/>
  <c r="E253" i="5"/>
  <c r="G253" i="5"/>
  <c r="G254" i="5"/>
  <c r="G255" i="5"/>
  <c r="G256" i="5"/>
  <c r="G257" i="5"/>
  <c r="G258" i="5"/>
  <c r="G259" i="5"/>
  <c r="G260" i="5"/>
  <c r="G261" i="5"/>
  <c r="G262" i="5"/>
  <c r="G263" i="5"/>
  <c r="F263" i="5"/>
  <c r="F262" i="5"/>
  <c r="F261" i="5"/>
  <c r="F260" i="5"/>
  <c r="F259" i="5"/>
  <c r="F258" i="5"/>
  <c r="F257" i="5"/>
  <c r="F256" i="5"/>
  <c r="F255" i="5"/>
  <c r="F254" i="5"/>
  <c r="F253" i="5"/>
  <c r="M15" i="5"/>
  <c r="M14" i="5"/>
  <c r="L14" i="5"/>
  <c r="AU453" i="5"/>
  <c r="AU452" i="5"/>
  <c r="AV452" i="5" s="1"/>
  <c r="DC452" i="5"/>
  <c r="AU451" i="5"/>
  <c r="AU450" i="5"/>
  <c r="AU449" i="5"/>
  <c r="AV449" i="5" s="1"/>
  <c r="AU448" i="5"/>
  <c r="AU447" i="5"/>
  <c r="AU446" i="5"/>
  <c r="AV446" i="5" s="1"/>
  <c r="AU445" i="5"/>
  <c r="AU444" i="5"/>
  <c r="AV444" i="5" s="1"/>
  <c r="AU443" i="5"/>
  <c r="AU442" i="5"/>
  <c r="AU441" i="5"/>
  <c r="AU440" i="5"/>
  <c r="AV440" i="5" s="1"/>
  <c r="DC440" i="5"/>
  <c r="AU439" i="5"/>
  <c r="AU438" i="5"/>
  <c r="AU437" i="5"/>
  <c r="AU436" i="5"/>
  <c r="AU435" i="5"/>
  <c r="AU434" i="5"/>
  <c r="AU433" i="5"/>
  <c r="AU432" i="5"/>
  <c r="AV432" i="5" s="1"/>
  <c r="AU431" i="5"/>
  <c r="AU430" i="5"/>
  <c r="AU429" i="5"/>
  <c r="AU428" i="5"/>
  <c r="AU427" i="5"/>
  <c r="AU426" i="5"/>
  <c r="AU425" i="5"/>
  <c r="AU424" i="5"/>
  <c r="AU423" i="5"/>
  <c r="AU422" i="5"/>
  <c r="AU421" i="5"/>
  <c r="AU420" i="5"/>
  <c r="AU419" i="5"/>
  <c r="AU418" i="5"/>
  <c r="AU417" i="5"/>
  <c r="AU416" i="5"/>
  <c r="AU415" i="5"/>
  <c r="AU414" i="5"/>
  <c r="AU413" i="5"/>
  <c r="AU412" i="5"/>
  <c r="AU411" i="5"/>
  <c r="AU410" i="5"/>
  <c r="AU409" i="5"/>
  <c r="AU408" i="5"/>
  <c r="AU407" i="5"/>
  <c r="AU406" i="5"/>
  <c r="AU405" i="5"/>
  <c r="AU404" i="5"/>
  <c r="AV404" i="5" s="1"/>
  <c r="AU403" i="5"/>
  <c r="AU402" i="5"/>
  <c r="AU401" i="5"/>
  <c r="AU400" i="5"/>
  <c r="AU399" i="5"/>
  <c r="AU398" i="5"/>
  <c r="AU397" i="5"/>
  <c r="AU396" i="5"/>
  <c r="AU395" i="5"/>
  <c r="AU394" i="5"/>
  <c r="AU393" i="5"/>
  <c r="AU392" i="5"/>
  <c r="AU391" i="5"/>
  <c r="AU390" i="5"/>
  <c r="AU389" i="5"/>
  <c r="AU388" i="5"/>
  <c r="AU387" i="5"/>
  <c r="AU386" i="5"/>
  <c r="AU385" i="5"/>
  <c r="AU384" i="5"/>
  <c r="AV384" i="5" s="1"/>
  <c r="AU383" i="5"/>
  <c r="AU382" i="5"/>
  <c r="AU381" i="5"/>
  <c r="AU380" i="5"/>
  <c r="AU379" i="5"/>
  <c r="AU378" i="5"/>
  <c r="AU377" i="5"/>
  <c r="AU376" i="5"/>
  <c r="AU375" i="5"/>
  <c r="AU374" i="5"/>
  <c r="AU373" i="5"/>
  <c r="AU372" i="5"/>
  <c r="AU371" i="5"/>
  <c r="AU370" i="5"/>
  <c r="AU369" i="5"/>
  <c r="AU368" i="5"/>
  <c r="AV368" i="5" s="1"/>
  <c r="AU367" i="5"/>
  <c r="AU366" i="5"/>
  <c r="AU365" i="5"/>
  <c r="AU364" i="5"/>
  <c r="AU363" i="5"/>
  <c r="AU362" i="5"/>
  <c r="AU361" i="5"/>
  <c r="AU360" i="5"/>
  <c r="AU359" i="5"/>
  <c r="AU358" i="5"/>
  <c r="AU357" i="5"/>
  <c r="AU356" i="5"/>
  <c r="AU355" i="5"/>
  <c r="AU354" i="5"/>
  <c r="AU353" i="5"/>
  <c r="AU352" i="5"/>
  <c r="AV352" i="5" s="1"/>
  <c r="AU351" i="5"/>
  <c r="AU350" i="5"/>
  <c r="AU349" i="5"/>
  <c r="AU348" i="5"/>
  <c r="AU347" i="5"/>
  <c r="AU346" i="5"/>
  <c r="AU345" i="5"/>
  <c r="AU344" i="5"/>
  <c r="AU343" i="5"/>
  <c r="AU342" i="5"/>
  <c r="AU341" i="5"/>
  <c r="AV341" i="5" s="1"/>
  <c r="AU340" i="5"/>
  <c r="AU339" i="5"/>
  <c r="AU338" i="5"/>
  <c r="AU337" i="5"/>
  <c r="AU336" i="5"/>
  <c r="AU335" i="5"/>
  <c r="AV335" i="5" s="1"/>
  <c r="AU334" i="5"/>
  <c r="AU333" i="5"/>
  <c r="AU332" i="5"/>
  <c r="AU331" i="5"/>
  <c r="AU330" i="5"/>
  <c r="AU329" i="5"/>
  <c r="AU328" i="5"/>
  <c r="AU327" i="5"/>
  <c r="AU326" i="5"/>
  <c r="AU325" i="5"/>
  <c r="AU324" i="5"/>
  <c r="AU323" i="5"/>
  <c r="AU322" i="5"/>
  <c r="AU321" i="5"/>
  <c r="AU320" i="5"/>
  <c r="AU319" i="5"/>
  <c r="AU318" i="5"/>
  <c r="AU317" i="5"/>
  <c r="AU316" i="5"/>
  <c r="AU315" i="5"/>
  <c r="AU314" i="5"/>
  <c r="AU313" i="5"/>
  <c r="AU312" i="5"/>
  <c r="AU311" i="5"/>
  <c r="AU310" i="5"/>
  <c r="AU309" i="5"/>
  <c r="AU308" i="5"/>
  <c r="AU307" i="5"/>
  <c r="AU306" i="5"/>
  <c r="AU305" i="5"/>
  <c r="AU304" i="5"/>
  <c r="AU303" i="5"/>
  <c r="AU302" i="5"/>
  <c r="AU301" i="5"/>
  <c r="AU300" i="5"/>
  <c r="AU299" i="5"/>
  <c r="AU298" i="5"/>
  <c r="AU297" i="5"/>
  <c r="AU296" i="5"/>
  <c r="AU295" i="5"/>
  <c r="AU294" i="5"/>
  <c r="AU293" i="5"/>
  <c r="AU292" i="5"/>
  <c r="AU291" i="5"/>
  <c r="AU290" i="5"/>
  <c r="AU289" i="5"/>
  <c r="AU288" i="5"/>
  <c r="AU287" i="5"/>
  <c r="AU286" i="5"/>
  <c r="AU285" i="5"/>
  <c r="AU284" i="5"/>
  <c r="AU283" i="5"/>
  <c r="AU282" i="5"/>
  <c r="AU268" i="5"/>
  <c r="AU264" i="5"/>
  <c r="AU261" i="5"/>
  <c r="AU257" i="5"/>
  <c r="AU253" i="5"/>
  <c r="D252" i="5"/>
  <c r="CA252" i="5" s="1"/>
  <c r="V252" i="5"/>
  <c r="J252" i="5"/>
  <c r="I252" i="5"/>
  <c r="H252" i="5"/>
  <c r="G252" i="5"/>
  <c r="F252" i="5"/>
  <c r="E252" i="5"/>
  <c r="AS20" i="5"/>
  <c r="M11" i="5"/>
  <c r="M10" i="5"/>
  <c r="M7" i="5"/>
  <c r="M6" i="5"/>
  <c r="M2" i="5"/>
  <c r="M1" i="5"/>
  <c r="L10" i="5"/>
  <c r="L6" i="5"/>
  <c r="L1" i="5"/>
  <c r="V52" i="5"/>
  <c r="I52" i="5"/>
  <c r="E52" i="5"/>
  <c r="D52" i="5"/>
  <c r="V51" i="5"/>
  <c r="I51" i="5"/>
  <c r="E51" i="5"/>
  <c r="D51" i="5"/>
  <c r="V50" i="5"/>
  <c r="I50" i="5"/>
  <c r="E50" i="5"/>
  <c r="D50" i="5"/>
  <c r="V49" i="5"/>
  <c r="I49" i="5"/>
  <c r="E49" i="5"/>
  <c r="D49" i="5"/>
  <c r="V48" i="5"/>
  <c r="I48" i="5"/>
  <c r="E48" i="5"/>
  <c r="D48" i="5"/>
  <c r="V47" i="5"/>
  <c r="I47" i="5"/>
  <c r="E47" i="5"/>
  <c r="D47" i="5"/>
  <c r="V46" i="5"/>
  <c r="I46" i="5"/>
  <c r="E46" i="5"/>
  <c r="D46" i="5"/>
  <c r="V45" i="5"/>
  <c r="I45" i="5"/>
  <c r="E45" i="5"/>
  <c r="D45" i="5"/>
  <c r="V44" i="5"/>
  <c r="I44" i="5"/>
  <c r="E44" i="5"/>
  <c r="D44" i="5"/>
  <c r="V43" i="5"/>
  <c r="I43" i="5"/>
  <c r="E43" i="5"/>
  <c r="D43" i="5"/>
  <c r="V42" i="5"/>
  <c r="I42" i="5"/>
  <c r="E42" i="5"/>
  <c r="D42" i="5"/>
  <c r="V41" i="5"/>
  <c r="I41" i="5"/>
  <c r="E41" i="5"/>
  <c r="D41" i="5"/>
  <c r="V40" i="5"/>
  <c r="I40" i="5"/>
  <c r="E40" i="5"/>
  <c r="D40" i="5"/>
  <c r="V39" i="5"/>
  <c r="I39" i="5"/>
  <c r="E39" i="5"/>
  <c r="D39" i="5"/>
  <c r="V38" i="5"/>
  <c r="I38" i="5"/>
  <c r="E38" i="5"/>
  <c r="D38" i="5"/>
  <c r="V37" i="5"/>
  <c r="I37" i="5"/>
  <c r="E37" i="5"/>
  <c r="D37" i="5"/>
  <c r="CA37" i="5" s="1"/>
  <c r="V36" i="5"/>
  <c r="I36" i="5"/>
  <c r="E36" i="5"/>
  <c r="D36" i="5"/>
  <c r="CA36" i="5" s="1"/>
  <c r="CB36" i="5" s="1"/>
  <c r="V35" i="5"/>
  <c r="I35" i="5"/>
  <c r="E35" i="5"/>
  <c r="D35" i="5"/>
  <c r="CA35" i="5" s="1"/>
  <c r="CB35" i="5" s="1"/>
  <c r="V34" i="5"/>
  <c r="I34" i="5"/>
  <c r="E34" i="5"/>
  <c r="D34" i="5"/>
  <c r="V33" i="5"/>
  <c r="I33" i="5"/>
  <c r="E33" i="5"/>
  <c r="D33" i="5"/>
  <c r="V32" i="5"/>
  <c r="I32" i="5"/>
  <c r="E32" i="5"/>
  <c r="D32" i="5"/>
  <c r="V31" i="5"/>
  <c r="I31" i="5"/>
  <c r="E31" i="5"/>
  <c r="D31" i="5"/>
  <c r="V30" i="5"/>
  <c r="I30" i="5"/>
  <c r="E30" i="5"/>
  <c r="D30" i="5"/>
  <c r="V29" i="5"/>
  <c r="I29" i="5"/>
  <c r="E29" i="5"/>
  <c r="D29" i="5"/>
  <c r="V28" i="5"/>
  <c r="I28" i="5"/>
  <c r="E28" i="5"/>
  <c r="D28" i="5"/>
  <c r="CA28" i="5" s="1"/>
  <c r="V27" i="5"/>
  <c r="I27" i="5"/>
  <c r="E27" i="5"/>
  <c r="D27" i="5"/>
  <c r="CA27" i="5" s="1"/>
  <c r="V26" i="5"/>
  <c r="I26" i="5"/>
  <c r="E26" i="5"/>
  <c r="D26" i="5"/>
  <c r="CA26" i="5" s="1"/>
  <c r="V25" i="5"/>
  <c r="I25" i="5"/>
  <c r="E25" i="5"/>
  <c r="D25" i="5"/>
  <c r="V24" i="5"/>
  <c r="I24" i="5"/>
  <c r="E24" i="5"/>
  <c r="D24" i="5"/>
  <c r="V23" i="5"/>
  <c r="I23" i="5"/>
  <c r="E23" i="5"/>
  <c r="D23" i="5"/>
  <c r="AF22" i="5"/>
  <c r="V22" i="5"/>
  <c r="I22" i="5"/>
  <c r="E22" i="5"/>
  <c r="D22" i="5"/>
  <c r="CA22" i="5" s="1"/>
  <c r="CB22" i="5" s="1"/>
  <c r="AF21" i="5"/>
  <c r="V21" i="5"/>
  <c r="I21" i="5"/>
  <c r="E21" i="5"/>
  <c r="D21" i="5"/>
  <c r="CA21" i="5" s="1"/>
  <c r="AF20" i="5"/>
  <c r="V20" i="5"/>
  <c r="I20" i="5"/>
  <c r="E20" i="5"/>
  <c r="D20" i="5"/>
  <c r="CA20" i="5" s="1"/>
  <c r="AD141" i="5"/>
  <c r="AD144" i="5"/>
  <c r="AD145" i="5"/>
  <c r="AD146" i="5"/>
  <c r="AD147" i="5"/>
  <c r="AD140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I248" i="20" l="1"/>
  <c r="Z444" i="20"/>
  <c r="Z232" i="20"/>
  <c r="R446" i="20"/>
  <c r="AG558" i="20"/>
  <c r="R427" i="20"/>
  <c r="Z381" i="20"/>
  <c r="Z363" i="20"/>
  <c r="Z425" i="20"/>
  <c r="Z196" i="20"/>
  <c r="T442" i="20"/>
  <c r="T323" i="20"/>
  <c r="Z341" i="20"/>
  <c r="Z331" i="20"/>
  <c r="Z307" i="20"/>
  <c r="T415" i="20"/>
  <c r="R209" i="20"/>
  <c r="R413" i="20"/>
  <c r="T209" i="20"/>
  <c r="T398" i="20"/>
  <c r="W400" i="20"/>
  <c r="T334" i="20"/>
  <c r="Z368" i="20"/>
  <c r="Z365" i="20"/>
  <c r="Z428" i="20"/>
  <c r="T360" i="20"/>
  <c r="R252" i="20"/>
  <c r="Z268" i="20"/>
  <c r="Z332" i="20"/>
  <c r="T302" i="20"/>
  <c r="T375" i="20"/>
  <c r="Z302" i="20"/>
  <c r="Z375" i="20"/>
  <c r="Z186" i="20"/>
  <c r="T379" i="20"/>
  <c r="T269" i="20"/>
  <c r="R324" i="20"/>
  <c r="Z269" i="20"/>
  <c r="I283" i="20"/>
  <c r="T213" i="20"/>
  <c r="Z213" i="20"/>
  <c r="T290" i="20"/>
  <c r="Z261" i="20"/>
  <c r="Z294" i="20"/>
  <c r="Z187" i="20"/>
  <c r="T210" i="20"/>
  <c r="I369" i="20"/>
  <c r="Z275" i="20"/>
  <c r="T264" i="20"/>
  <c r="Z442" i="20"/>
  <c r="T274" i="20"/>
  <c r="Z264" i="20"/>
  <c r="Z403" i="20"/>
  <c r="Z448" i="20"/>
  <c r="Z447" i="20"/>
  <c r="Z272" i="20"/>
  <c r="Z329" i="20"/>
  <c r="T291" i="20"/>
  <c r="Z200" i="20"/>
  <c r="R290" i="20"/>
  <c r="T252" i="20"/>
  <c r="Z207" i="20"/>
  <c r="Z290" i="20"/>
  <c r="Z339" i="20"/>
  <c r="Z230" i="20"/>
  <c r="T261" i="20"/>
  <c r="Z376" i="20"/>
  <c r="Z195" i="20"/>
  <c r="T368" i="20"/>
  <c r="R313" i="20"/>
  <c r="Z320" i="20"/>
  <c r="Z420" i="20"/>
  <c r="R208" i="20"/>
  <c r="T208" i="20"/>
  <c r="W270" i="20"/>
  <c r="V270" i="20" s="1"/>
  <c r="T258" i="20"/>
  <c r="T403" i="20"/>
  <c r="Z366" i="20"/>
  <c r="Z330" i="20"/>
  <c r="T240" i="20"/>
  <c r="T369" i="20"/>
  <c r="Z355" i="20"/>
  <c r="R440" i="20"/>
  <c r="Z438" i="20"/>
  <c r="Z240" i="20"/>
  <c r="Z369" i="20"/>
  <c r="T440" i="20"/>
  <c r="T185" i="20"/>
  <c r="Z426" i="20"/>
  <c r="Z238" i="20"/>
  <c r="Z185" i="20"/>
  <c r="Z316" i="20"/>
  <c r="T427" i="20"/>
  <c r="Z314" i="20"/>
  <c r="Z418" i="20"/>
  <c r="T296" i="20"/>
  <c r="Z398" i="20"/>
  <c r="Z413" i="20"/>
  <c r="R345" i="20"/>
  <c r="R339" i="20"/>
  <c r="R340" i="20"/>
  <c r="T342" i="20"/>
  <c r="R256" i="20"/>
  <c r="T246" i="20"/>
  <c r="Z408" i="20"/>
  <c r="T339" i="20"/>
  <c r="T256" i="20"/>
  <c r="Z340" i="20"/>
  <c r="Z286" i="20"/>
  <c r="Z256" i="20"/>
  <c r="T328" i="20"/>
  <c r="Z318" i="20"/>
  <c r="Z393" i="20"/>
  <c r="R420" i="20"/>
  <c r="Z443" i="20"/>
  <c r="Z248" i="20"/>
  <c r="Z357" i="20"/>
  <c r="T333" i="20"/>
  <c r="T356" i="20"/>
  <c r="Z356" i="20"/>
  <c r="Z409" i="20"/>
  <c r="Z423" i="20"/>
  <c r="Z239" i="20"/>
  <c r="T306" i="20"/>
  <c r="R279" i="20"/>
  <c r="R322" i="20"/>
  <c r="T275" i="20"/>
  <c r="T279" i="20"/>
  <c r="T385" i="20"/>
  <c r="R336" i="20"/>
  <c r="Z322" i="20"/>
  <c r="Z385" i="20"/>
  <c r="Z208" i="20"/>
  <c r="Z241" i="20"/>
  <c r="T336" i="20"/>
  <c r="T335" i="20"/>
  <c r="Z258" i="20"/>
  <c r="R266" i="20"/>
  <c r="Z336" i="20"/>
  <c r="Z335" i="20"/>
  <c r="Z362" i="20"/>
  <c r="T266" i="20"/>
  <c r="T355" i="20"/>
  <c r="T446" i="20"/>
  <c r="Z184" i="20"/>
  <c r="Z372" i="20"/>
  <c r="T370" i="20"/>
  <c r="R344" i="20"/>
  <c r="Z446" i="20"/>
  <c r="R243" i="20"/>
  <c r="T344" i="20"/>
  <c r="T243" i="20"/>
  <c r="I257" i="20"/>
  <c r="Z344" i="20"/>
  <c r="Z440" i="20"/>
  <c r="R415" i="20"/>
  <c r="Z243" i="20"/>
  <c r="Z315" i="20"/>
  <c r="Z395" i="20"/>
  <c r="W413" i="20"/>
  <c r="V413" i="20" s="1"/>
  <c r="Z353" i="20"/>
  <c r="Z415" i="20"/>
  <c r="Z244" i="20"/>
  <c r="Z390" i="20"/>
  <c r="Z321" i="20"/>
  <c r="T257" i="20"/>
  <c r="Z296" i="20"/>
  <c r="R287" i="20"/>
  <c r="R212" i="20"/>
  <c r="Z360" i="20"/>
  <c r="Z257" i="20"/>
  <c r="I393" i="20"/>
  <c r="T287" i="20"/>
  <c r="R273" i="20"/>
  <c r="R350" i="20"/>
  <c r="Z263" i="20"/>
  <c r="T253" i="20"/>
  <c r="T352" i="20"/>
  <c r="T254" i="20"/>
  <c r="Z287" i="20"/>
  <c r="T445" i="20"/>
  <c r="W281" i="20"/>
  <c r="V281" i="20" s="1"/>
  <c r="Z326" i="20"/>
  <c r="Z253" i="20"/>
  <c r="Z445" i="20"/>
  <c r="Z350" i="20"/>
  <c r="Z280" i="20"/>
  <c r="T281" i="20"/>
  <c r="T259" i="20"/>
  <c r="T377" i="20"/>
  <c r="Z328" i="20"/>
  <c r="Z377" i="20"/>
  <c r="T248" i="20"/>
  <c r="Z343" i="20"/>
  <c r="Z411" i="20"/>
  <c r="Z313" i="20"/>
  <c r="R293" i="20"/>
  <c r="Z358" i="20"/>
  <c r="R404" i="20"/>
  <c r="Z439" i="20"/>
  <c r="R417" i="20"/>
  <c r="R231" i="20"/>
  <c r="Z191" i="20"/>
  <c r="Z333" i="20"/>
  <c r="T293" i="20"/>
  <c r="T404" i="20"/>
  <c r="Z402" i="20"/>
  <c r="T417" i="20"/>
  <c r="T424" i="20"/>
  <c r="T231" i="20"/>
  <c r="R255" i="20"/>
  <c r="Z293" i="20"/>
  <c r="Z404" i="20"/>
  <c r="I446" i="20"/>
  <c r="Z417" i="20"/>
  <c r="Z424" i="20"/>
  <c r="Z231" i="20"/>
  <c r="T317" i="20"/>
  <c r="T337" i="20"/>
  <c r="Z306" i="20"/>
  <c r="T255" i="20"/>
  <c r="T419" i="20"/>
  <c r="R359" i="20"/>
  <c r="R348" i="20"/>
  <c r="R242" i="20"/>
  <c r="Z397" i="20"/>
  <c r="T399" i="20"/>
  <c r="Z194" i="20"/>
  <c r="Z198" i="20"/>
  <c r="Z317" i="20"/>
  <c r="Z337" i="20"/>
  <c r="Z255" i="20"/>
  <c r="Z419" i="20"/>
  <c r="T371" i="20"/>
  <c r="T347" i="20"/>
  <c r="T359" i="20"/>
  <c r="T241" i="20"/>
  <c r="T245" i="20"/>
  <c r="Z285" i="20"/>
  <c r="Z399" i="20"/>
  <c r="R386" i="20"/>
  <c r="T349" i="20"/>
  <c r="Z371" i="20"/>
  <c r="Z347" i="20"/>
  <c r="Z359" i="20"/>
  <c r="Z348" i="20"/>
  <c r="Z242" i="20"/>
  <c r="Z245" i="20"/>
  <c r="Z406" i="20"/>
  <c r="T289" i="20"/>
  <c r="T386" i="20"/>
  <c r="Z228" i="20"/>
  <c r="Z274" i="20"/>
  <c r="Z349" i="20"/>
  <c r="Z277" i="20"/>
  <c r="R291" i="20"/>
  <c r="Z288" i="20"/>
  <c r="Z289" i="20"/>
  <c r="Z386" i="20"/>
  <c r="Z260" i="20"/>
  <c r="Z407" i="20"/>
  <c r="R240" i="20"/>
  <c r="Z271" i="20"/>
  <c r="Z266" i="20"/>
  <c r="Z291" i="20"/>
  <c r="T374" i="20"/>
  <c r="R316" i="20"/>
  <c r="R381" i="20"/>
  <c r="Z373" i="20"/>
  <c r="Z370" i="20"/>
  <c r="Z374" i="20"/>
  <c r="R428" i="20"/>
  <c r="T247" i="20"/>
  <c r="Z251" i="20"/>
  <c r="Z394" i="20"/>
  <c r="Z247" i="20"/>
  <c r="Z324" i="20"/>
  <c r="Z364" i="20"/>
  <c r="T401" i="20"/>
  <c r="Z401" i="20"/>
  <c r="T319" i="20"/>
  <c r="Z416" i="20"/>
  <c r="Z319" i="20"/>
  <c r="T282" i="20"/>
  <c r="T405" i="20"/>
  <c r="T410" i="20"/>
  <c r="T230" i="20"/>
  <c r="T286" i="20"/>
  <c r="R326" i="20"/>
  <c r="R262" i="20"/>
  <c r="T263" i="20"/>
  <c r="R253" i="20"/>
  <c r="Z252" i="20"/>
  <c r="Z265" i="20"/>
  <c r="Z246" i="20"/>
  <c r="Z282" i="20"/>
  <c r="Z405" i="20"/>
  <c r="Z410" i="20"/>
  <c r="T441" i="20"/>
  <c r="R445" i="20"/>
  <c r="T212" i="20"/>
  <c r="T345" i="20"/>
  <c r="Z327" i="20"/>
  <c r="T325" i="20"/>
  <c r="T326" i="20"/>
  <c r="T338" i="20"/>
  <c r="T346" i="20"/>
  <c r="T361" i="20"/>
  <c r="Z400" i="20"/>
  <c r="Z441" i="20"/>
  <c r="Z212" i="20"/>
  <c r="Z345" i="20"/>
  <c r="Z325" i="20"/>
  <c r="Z338" i="20"/>
  <c r="Z346" i="20"/>
  <c r="Z262" i="20"/>
  <c r="Z276" i="20"/>
  <c r="Z361" i="20"/>
  <c r="Z367" i="20"/>
  <c r="Z351" i="20"/>
  <c r="Z352" i="20"/>
  <c r="Z254" i="20"/>
  <c r="Z295" i="20"/>
  <c r="T280" i="20"/>
  <c r="T294" i="20"/>
  <c r="Z412" i="20"/>
  <c r="T437" i="20"/>
  <c r="Z211" i="20"/>
  <c r="Z278" i="20"/>
  <c r="Z273" i="20"/>
  <c r="R378" i="20"/>
  <c r="R363" i="20"/>
  <c r="Z437" i="20"/>
  <c r="R425" i="20"/>
  <c r="Z334" i="20"/>
  <c r="R234" i="20"/>
  <c r="T283" i="20"/>
  <c r="R368" i="20"/>
  <c r="R318" i="20"/>
  <c r="Z250" i="20"/>
  <c r="T378" i="20"/>
  <c r="T425" i="20"/>
  <c r="T234" i="20"/>
  <c r="Z283" i="20"/>
  <c r="Z354" i="20"/>
  <c r="T332" i="20"/>
  <c r="T318" i="20"/>
  <c r="Z292" i="20"/>
  <c r="Z259" i="20"/>
  <c r="T393" i="20"/>
  <c r="Z378" i="20"/>
  <c r="Z234" i="20"/>
  <c r="R232" i="20"/>
  <c r="I455" i="20"/>
  <c r="AA455" i="20"/>
  <c r="Z455" i="20" s="1"/>
  <c r="CH304" i="20"/>
  <c r="V304" i="20"/>
  <c r="GF228" i="20"/>
  <c r="R228" i="20"/>
  <c r="GF349" i="20"/>
  <c r="R349" i="20"/>
  <c r="R258" i="20"/>
  <c r="T348" i="20"/>
  <c r="T242" i="20"/>
  <c r="GF277" i="20"/>
  <c r="R277" i="20"/>
  <c r="GF288" i="20"/>
  <c r="R288" i="20"/>
  <c r="T406" i="20"/>
  <c r="R403" i="20"/>
  <c r="R448" i="20"/>
  <c r="R447" i="20"/>
  <c r="GF289" i="20"/>
  <c r="R289" i="20"/>
  <c r="GF335" i="20"/>
  <c r="R335" i="20"/>
  <c r="GF323" i="20"/>
  <c r="R323" i="20"/>
  <c r="EG227" i="20"/>
  <c r="T227" i="20"/>
  <c r="EG165" i="20"/>
  <c r="T165" i="20"/>
  <c r="EG157" i="20"/>
  <c r="T157" i="20"/>
  <c r="CI301" i="20"/>
  <c r="V301" i="20"/>
  <c r="T228" i="20"/>
  <c r="GF366" i="20"/>
  <c r="R366" i="20"/>
  <c r="R341" i="20"/>
  <c r="R331" i="20"/>
  <c r="R329" i="20"/>
  <c r="GF330" i="20"/>
  <c r="R330" i="20"/>
  <c r="R307" i="20"/>
  <c r="GF362" i="20"/>
  <c r="R362" i="20"/>
  <c r="GF260" i="20"/>
  <c r="R260" i="20"/>
  <c r="T288" i="20"/>
  <c r="GF407" i="20"/>
  <c r="R407" i="20"/>
  <c r="T448" i="20"/>
  <c r="GF284" i="20"/>
  <c r="R284" i="20"/>
  <c r="R270" i="20"/>
  <c r="R272" i="20"/>
  <c r="GF271" i="20"/>
  <c r="R271" i="20"/>
  <c r="GF372" i="20"/>
  <c r="R372" i="20"/>
  <c r="T366" i="20"/>
  <c r="T341" i="20"/>
  <c r="T331" i="20"/>
  <c r="T329" i="20"/>
  <c r="T330" i="20"/>
  <c r="T307" i="20"/>
  <c r="T362" i="20"/>
  <c r="T260" i="20"/>
  <c r="R355" i="20"/>
  <c r="T407" i="20"/>
  <c r="GF438" i="20"/>
  <c r="R438" i="20"/>
  <c r="T284" i="20"/>
  <c r="T270" i="20"/>
  <c r="T272" i="20"/>
  <c r="R200" i="20"/>
  <c r="R186" i="20"/>
  <c r="T184" i="20"/>
  <c r="GF371" i="20"/>
  <c r="R371" i="20"/>
  <c r="GF451" i="20"/>
  <c r="R451" i="20"/>
  <c r="T271" i="20"/>
  <c r="T372" i="20"/>
  <c r="GF369" i="20"/>
  <c r="R369" i="20"/>
  <c r="R373" i="20"/>
  <c r="GF370" i="20"/>
  <c r="R370" i="20"/>
  <c r="GF374" i="20"/>
  <c r="R374" i="20"/>
  <c r="T200" i="20"/>
  <c r="T186" i="20"/>
  <c r="GF241" i="20"/>
  <c r="R241" i="20"/>
  <c r="EG297" i="20"/>
  <c r="T297" i="20"/>
  <c r="EG202" i="20"/>
  <c r="T202" i="20"/>
  <c r="EG170" i="20"/>
  <c r="T170" i="20"/>
  <c r="R269" i="20"/>
  <c r="GF251" i="20"/>
  <c r="R251" i="20"/>
  <c r="R394" i="20"/>
  <c r="T373" i="20"/>
  <c r="GF426" i="20"/>
  <c r="R426" i="20"/>
  <c r="R247" i="20"/>
  <c r="BM167" i="20"/>
  <c r="R167" i="20"/>
  <c r="GF315" i="20"/>
  <c r="R315" i="20"/>
  <c r="T251" i="20"/>
  <c r="T394" i="20"/>
  <c r="GF395" i="20"/>
  <c r="R395" i="20"/>
  <c r="GF364" i="20"/>
  <c r="R364" i="20"/>
  <c r="T426" i="20"/>
  <c r="GF238" i="20"/>
  <c r="R238" i="20"/>
  <c r="R185" i="20"/>
  <c r="GF245" i="20"/>
  <c r="R245" i="20"/>
  <c r="EG174" i="20"/>
  <c r="T174" i="20"/>
  <c r="EG167" i="20"/>
  <c r="T167" i="20"/>
  <c r="T381" i="20"/>
  <c r="T395" i="20"/>
  <c r="T364" i="20"/>
  <c r="R401" i="20"/>
  <c r="R414" i="20"/>
  <c r="T238" i="20"/>
  <c r="GF244" i="20"/>
  <c r="R244" i="20"/>
  <c r="R199" i="20"/>
  <c r="GF375" i="20"/>
  <c r="R375" i="20"/>
  <c r="AC178" i="20"/>
  <c r="R178" i="20"/>
  <c r="GF172" i="20"/>
  <c r="R172" i="20"/>
  <c r="GF391" i="20"/>
  <c r="R391" i="20"/>
  <c r="R390" i="20"/>
  <c r="GF416" i="20"/>
  <c r="R416" i="20"/>
  <c r="EG178" i="20"/>
  <c r="T178" i="20"/>
  <c r="EG172" i="20"/>
  <c r="T172" i="20"/>
  <c r="CH387" i="20"/>
  <c r="V387" i="20"/>
  <c r="GF314" i="20"/>
  <c r="R314" i="20"/>
  <c r="R319" i="20"/>
  <c r="T390" i="20"/>
  <c r="R418" i="20"/>
  <c r="T416" i="20"/>
  <c r="GF398" i="20"/>
  <c r="R398" i="20"/>
  <c r="EG299" i="20"/>
  <c r="T299" i="20"/>
  <c r="CH389" i="20"/>
  <c r="V389" i="20"/>
  <c r="I350" i="20"/>
  <c r="T314" i="20"/>
  <c r="GF321" i="20"/>
  <c r="R321" i="20"/>
  <c r="GF296" i="20"/>
  <c r="R296" i="20"/>
  <c r="R408" i="20"/>
  <c r="T413" i="20"/>
  <c r="GF360" i="20"/>
  <c r="R360" i="20"/>
  <c r="AC176" i="20"/>
  <c r="R176" i="20"/>
  <c r="GF257" i="20"/>
  <c r="R257" i="20"/>
  <c r="R265" i="20"/>
  <c r="GF246" i="20"/>
  <c r="R246" i="20"/>
  <c r="GF282" i="20"/>
  <c r="R282" i="20"/>
  <c r="T408" i="20"/>
  <c r="GF405" i="20"/>
  <c r="R405" i="20"/>
  <c r="R410" i="20"/>
  <c r="GF213" i="20"/>
  <c r="R213" i="20"/>
  <c r="GF207" i="20"/>
  <c r="R207" i="20"/>
  <c r="EG176" i="20"/>
  <c r="T176" i="20"/>
  <c r="EG169" i="20"/>
  <c r="T169" i="20"/>
  <c r="GF230" i="20"/>
  <c r="R230" i="20"/>
  <c r="GF286" i="20"/>
  <c r="R286" i="20"/>
  <c r="GF327" i="20"/>
  <c r="R327" i="20"/>
  <c r="GF263" i="20"/>
  <c r="R263" i="20"/>
  <c r="T265" i="20"/>
  <c r="R400" i="20"/>
  <c r="GF441" i="20"/>
  <c r="R441" i="20"/>
  <c r="AR556" i="20"/>
  <c r="T327" i="20"/>
  <c r="R325" i="20"/>
  <c r="R338" i="20"/>
  <c r="GF346" i="20"/>
  <c r="R346" i="20"/>
  <c r="R276" i="20"/>
  <c r="R361" i="20"/>
  <c r="R367" i="20"/>
  <c r="GF351" i="20"/>
  <c r="R351" i="20"/>
  <c r="GF352" i="20"/>
  <c r="R352" i="20"/>
  <c r="GF254" i="20"/>
  <c r="R254" i="20"/>
  <c r="R295" i="20"/>
  <c r="T400" i="20"/>
  <c r="GF412" i="20"/>
  <c r="R412" i="20"/>
  <c r="T340" i="20"/>
  <c r="GF211" i="20"/>
  <c r="R211" i="20"/>
  <c r="GF380" i="20"/>
  <c r="R380" i="20"/>
  <c r="EG206" i="20"/>
  <c r="T206" i="20"/>
  <c r="EG183" i="20"/>
  <c r="T183" i="20"/>
  <c r="CI309" i="20"/>
  <c r="V309" i="20"/>
  <c r="GF278" i="20"/>
  <c r="R278" i="20"/>
  <c r="T262" i="20"/>
  <c r="T276" i="20"/>
  <c r="GF261" i="20"/>
  <c r="R261" i="20"/>
  <c r="T367" i="20"/>
  <c r="T351" i="20"/>
  <c r="T295" i="20"/>
  <c r="R280" i="20"/>
  <c r="GF294" i="20"/>
  <c r="R294" i="20"/>
  <c r="T412" i="20"/>
  <c r="GF437" i="20"/>
  <c r="R437" i="20"/>
  <c r="R334" i="20"/>
  <c r="T211" i="20"/>
  <c r="GF166" i="20"/>
  <c r="R166" i="20"/>
  <c r="T278" i="20"/>
  <c r="T273" i="20"/>
  <c r="T350" i="20"/>
  <c r="GF376" i="20"/>
  <c r="R376" i="20"/>
  <c r="R250" i="20"/>
  <c r="GF444" i="20"/>
  <c r="R444" i="20"/>
  <c r="GF328" i="20"/>
  <c r="R328" i="20"/>
  <c r="R283" i="20"/>
  <c r="GF187" i="20"/>
  <c r="R187" i="20"/>
  <c r="GF215" i="20"/>
  <c r="R215" i="20"/>
  <c r="EG166" i="20"/>
  <c r="T166" i="20"/>
  <c r="EG161" i="20"/>
  <c r="T161" i="20"/>
  <c r="W452" i="20"/>
  <c r="V452" i="20" s="1"/>
  <c r="R452" i="20"/>
  <c r="GF354" i="20"/>
  <c r="R354" i="20"/>
  <c r="R268" i="20"/>
  <c r="T376" i="20"/>
  <c r="R292" i="20"/>
  <c r="GF259" i="20"/>
  <c r="R259" i="20"/>
  <c r="T250" i="20"/>
  <c r="GF377" i="20"/>
  <c r="R377" i="20"/>
  <c r="GF302" i="20"/>
  <c r="R302" i="20"/>
  <c r="CI193" i="20"/>
  <c r="R193" i="20"/>
  <c r="EG215" i="20"/>
  <c r="T215" i="20"/>
  <c r="W454" i="20"/>
  <c r="V454" i="20" s="1"/>
  <c r="R454" i="20"/>
  <c r="BZ384" i="20"/>
  <c r="EH384" i="20" s="1"/>
  <c r="V384" i="20"/>
  <c r="T354" i="20"/>
  <c r="T268" i="20"/>
  <c r="GF332" i="20"/>
  <c r="R332" i="20"/>
  <c r="T292" i="20"/>
  <c r="GF393" i="20"/>
  <c r="R393" i="20"/>
  <c r="R443" i="20"/>
  <c r="T195" i="20"/>
  <c r="GF248" i="20"/>
  <c r="R248" i="20"/>
  <c r="GF189" i="20"/>
  <c r="R189" i="20"/>
  <c r="GF169" i="20"/>
  <c r="R169" i="20"/>
  <c r="BM298" i="20"/>
  <c r="R298" i="20"/>
  <c r="AC430" i="20"/>
  <c r="R430" i="20"/>
  <c r="GF432" i="20"/>
  <c r="R432" i="20"/>
  <c r="CI305" i="20"/>
  <c r="V305" i="20"/>
  <c r="GF343" i="20"/>
  <c r="R343" i="20"/>
  <c r="GF357" i="20"/>
  <c r="R357" i="20"/>
  <c r="T443" i="20"/>
  <c r="GF411" i="20"/>
  <c r="R411" i="20"/>
  <c r="R210" i="20"/>
  <c r="EG217" i="20"/>
  <c r="T217" i="20"/>
  <c r="EG298" i="20"/>
  <c r="T298" i="20"/>
  <c r="EG177" i="20"/>
  <c r="T177" i="20"/>
  <c r="EG171" i="20"/>
  <c r="T171" i="20"/>
  <c r="AC434" i="20"/>
  <c r="R434" i="20"/>
  <c r="R320" i="20"/>
  <c r="T343" i="20"/>
  <c r="T357" i="20"/>
  <c r="GF358" i="20"/>
  <c r="R358" i="20"/>
  <c r="GF439" i="20"/>
  <c r="R439" i="20"/>
  <c r="T411" i="20"/>
  <c r="T232" i="20"/>
  <c r="GF196" i="20"/>
  <c r="R196" i="20"/>
  <c r="R191" i="20"/>
  <c r="GF347" i="20"/>
  <c r="R347" i="20"/>
  <c r="BM175" i="20"/>
  <c r="R175" i="20"/>
  <c r="T320" i="20"/>
  <c r="GF333" i="20"/>
  <c r="R333" i="20"/>
  <c r="T313" i="20"/>
  <c r="GF356" i="20"/>
  <c r="R356" i="20"/>
  <c r="T420" i="20"/>
  <c r="T358" i="20"/>
  <c r="GF409" i="20"/>
  <c r="R409" i="20"/>
  <c r="T439" i="20"/>
  <c r="GF402" i="20"/>
  <c r="R402" i="20"/>
  <c r="GF239" i="20"/>
  <c r="R239" i="20"/>
  <c r="EG175" i="20"/>
  <c r="T175" i="20"/>
  <c r="GF168" i="20"/>
  <c r="R168" i="20"/>
  <c r="T409" i="20"/>
  <c r="T402" i="20"/>
  <c r="T423" i="20"/>
  <c r="GF424" i="20"/>
  <c r="R424" i="20"/>
  <c r="T239" i="20"/>
  <c r="T285" i="20"/>
  <c r="EG168" i="20"/>
  <c r="T168" i="20"/>
  <c r="BZ308" i="20"/>
  <c r="EH308" i="20" s="1"/>
  <c r="EJ308" i="20" s="1"/>
  <c r="EO308" i="20" s="1"/>
  <c r="V308" i="20"/>
  <c r="GF306" i="20"/>
  <c r="R306" i="20"/>
  <c r="R397" i="20"/>
  <c r="R194" i="20"/>
  <c r="I270" i="20"/>
  <c r="I272" i="20"/>
  <c r="R198" i="20"/>
  <c r="R184" i="20"/>
  <c r="EG204" i="20"/>
  <c r="T204" i="20"/>
  <c r="EG173" i="20"/>
  <c r="T173" i="20"/>
  <c r="EG182" i="20"/>
  <c r="T182" i="20"/>
  <c r="BM173" i="20"/>
  <c r="R173" i="20"/>
  <c r="GF317" i="20"/>
  <c r="R317" i="20"/>
  <c r="GF337" i="20"/>
  <c r="R337" i="20"/>
  <c r="R419" i="20"/>
  <c r="T397" i="20"/>
  <c r="R399" i="20"/>
  <c r="GF442" i="20"/>
  <c r="R442" i="20"/>
  <c r="T194" i="20"/>
  <c r="GF385" i="20"/>
  <c r="R385" i="20"/>
  <c r="T198" i="20"/>
  <c r="I266" i="20"/>
  <c r="I332" i="20"/>
  <c r="I426" i="20"/>
  <c r="I244" i="20"/>
  <c r="I408" i="20"/>
  <c r="I339" i="20"/>
  <c r="I340" i="20"/>
  <c r="I411" i="20"/>
  <c r="I333" i="20"/>
  <c r="I356" i="20"/>
  <c r="BB556" i="20"/>
  <c r="EC556" i="20" s="1"/>
  <c r="I404" i="20"/>
  <c r="I372" i="20"/>
  <c r="I269" i="20"/>
  <c r="AY554" i="20"/>
  <c r="AZ554" i="20" s="1"/>
  <c r="I259" i="20"/>
  <c r="I443" i="20"/>
  <c r="I293" i="20"/>
  <c r="I417" i="20"/>
  <c r="I275" i="20"/>
  <c r="I317" i="20"/>
  <c r="I337" i="20"/>
  <c r="I419" i="20"/>
  <c r="I279" i="20"/>
  <c r="W285" i="20"/>
  <c r="V285" i="20" s="1"/>
  <c r="I238" i="20"/>
  <c r="BG557" i="20"/>
  <c r="BP557" i="20" s="1"/>
  <c r="BG551" i="20"/>
  <c r="I290" i="20"/>
  <c r="I234" i="20"/>
  <c r="I318" i="20"/>
  <c r="I302" i="20"/>
  <c r="I375" i="20"/>
  <c r="I264" i="20"/>
  <c r="I371" i="20"/>
  <c r="I348" i="20"/>
  <c r="I242" i="20"/>
  <c r="I245" i="20"/>
  <c r="I285" i="20"/>
  <c r="AT551" i="20"/>
  <c r="AY551" i="20" s="1"/>
  <c r="AZ551" i="20" s="1"/>
  <c r="BI377" i="20"/>
  <c r="AF377" i="20"/>
  <c r="ET377" i="20" s="1"/>
  <c r="ES377" i="20" s="1"/>
  <c r="AS251" i="20"/>
  <c r="I251" i="20"/>
  <c r="AS394" i="20"/>
  <c r="I394" i="20"/>
  <c r="I373" i="20"/>
  <c r="I370" i="20"/>
  <c r="I379" i="20"/>
  <c r="L374" i="20"/>
  <c r="BF374" i="20" s="1"/>
  <c r="CU374" i="20" s="1"/>
  <c r="I374" i="20"/>
  <c r="AS240" i="20"/>
  <c r="I240" i="20"/>
  <c r="AS188" i="20"/>
  <c r="I188" i="20"/>
  <c r="I316" i="20"/>
  <c r="AS315" i="20"/>
  <c r="I315" i="20"/>
  <c r="AS324" i="20"/>
  <c r="I324" i="20"/>
  <c r="L381" i="20"/>
  <c r="BJ381" i="20" s="1"/>
  <c r="I381" i="20"/>
  <c r="AS395" i="20"/>
  <c r="I395" i="20"/>
  <c r="I344" i="20"/>
  <c r="AS440" i="20"/>
  <c r="I440" i="20"/>
  <c r="L247" i="20"/>
  <c r="DQ247" i="20" s="1"/>
  <c r="I247" i="20"/>
  <c r="AS243" i="20"/>
  <c r="I243" i="20"/>
  <c r="L364" i="20"/>
  <c r="DQ364" i="20" s="1"/>
  <c r="I364" i="20"/>
  <c r="L428" i="20"/>
  <c r="P428" i="20" s="1"/>
  <c r="I428" i="20"/>
  <c r="AS185" i="20"/>
  <c r="I185" i="20"/>
  <c r="AO551" i="20"/>
  <c r="L390" i="20"/>
  <c r="BF390" i="20" s="1"/>
  <c r="CU390" i="20" s="1"/>
  <c r="I390" i="20"/>
  <c r="L401" i="20"/>
  <c r="DQ401" i="20" s="1"/>
  <c r="I401" i="20"/>
  <c r="L414" i="20"/>
  <c r="P414" i="20" s="1"/>
  <c r="I414" i="20"/>
  <c r="L427" i="20"/>
  <c r="P427" i="20" s="1"/>
  <c r="I427" i="20"/>
  <c r="I199" i="20"/>
  <c r="I314" i="20"/>
  <c r="L319" i="20"/>
  <c r="BF319" i="20" s="1"/>
  <c r="CU319" i="20" s="1"/>
  <c r="I319" i="20"/>
  <c r="L418" i="20"/>
  <c r="DQ418" i="20" s="1"/>
  <c r="I418" i="20"/>
  <c r="I416" i="20"/>
  <c r="AS321" i="20"/>
  <c r="I321" i="20"/>
  <c r="L398" i="20"/>
  <c r="BF398" i="20" s="1"/>
  <c r="CU398" i="20" s="1"/>
  <c r="I398" i="20"/>
  <c r="L413" i="20"/>
  <c r="AO413" i="20" s="1"/>
  <c r="CK413" i="20" s="1"/>
  <c r="I413" i="20"/>
  <c r="I209" i="20"/>
  <c r="AS284" i="20"/>
  <c r="I284" i="20"/>
  <c r="AS252" i="20"/>
  <c r="I252" i="20"/>
  <c r="I265" i="20"/>
  <c r="L246" i="20"/>
  <c r="BF246" i="20" s="1"/>
  <c r="CU246" i="20" s="1"/>
  <c r="I246" i="20"/>
  <c r="AS296" i="20"/>
  <c r="I296" i="20"/>
  <c r="I360" i="20"/>
  <c r="L271" i="20"/>
  <c r="DQ271" i="20" s="1"/>
  <c r="I271" i="20"/>
  <c r="I230" i="20"/>
  <c r="L286" i="20"/>
  <c r="DQ286" i="20" s="1"/>
  <c r="I286" i="20"/>
  <c r="I327" i="20"/>
  <c r="L263" i="20"/>
  <c r="DQ263" i="20" s="1"/>
  <c r="I263" i="20"/>
  <c r="I256" i="20"/>
  <c r="L282" i="20"/>
  <c r="P282" i="20" s="1"/>
  <c r="I282" i="20"/>
  <c r="I405" i="20"/>
  <c r="L410" i="20"/>
  <c r="I410" i="20"/>
  <c r="L213" i="20"/>
  <c r="DQ213" i="20" s="1"/>
  <c r="I213" i="20"/>
  <c r="AS342" i="20"/>
  <c r="I342" i="20"/>
  <c r="I207" i="20"/>
  <c r="BB553" i="20"/>
  <c r="EC553" i="20" s="1"/>
  <c r="EU553" i="20" s="1"/>
  <c r="EX553" i="20" s="1"/>
  <c r="EY553" i="20" s="1"/>
  <c r="CI551" i="20"/>
  <c r="AS325" i="20"/>
  <c r="I325" i="20"/>
  <c r="AS326" i="20"/>
  <c r="I326" i="20"/>
  <c r="L338" i="20"/>
  <c r="BF338" i="20" s="1"/>
  <c r="CU338" i="20" s="1"/>
  <c r="I338" i="20"/>
  <c r="I346" i="20"/>
  <c r="I262" i="20"/>
  <c r="I276" i="20"/>
  <c r="AS253" i="20"/>
  <c r="I253" i="20"/>
  <c r="I361" i="20"/>
  <c r="I367" i="20"/>
  <c r="L351" i="20"/>
  <c r="AO351" i="20" s="1"/>
  <c r="I351" i="20"/>
  <c r="I352" i="20"/>
  <c r="I254" i="20"/>
  <c r="I287" i="20"/>
  <c r="AS400" i="20"/>
  <c r="I400" i="20"/>
  <c r="AS441" i="20"/>
  <c r="I441" i="20"/>
  <c r="L212" i="20"/>
  <c r="BF212" i="20" s="1"/>
  <c r="CU212" i="20" s="1"/>
  <c r="I212" i="20"/>
  <c r="L345" i="20"/>
  <c r="DQ345" i="20" s="1"/>
  <c r="I345" i="20"/>
  <c r="BZ551" i="20"/>
  <c r="EH551" i="20" s="1"/>
  <c r="EJ551" i="20" s="1"/>
  <c r="EP551" i="20" s="1"/>
  <c r="DU551" i="20" s="1"/>
  <c r="AS278" i="20"/>
  <c r="I278" i="20"/>
  <c r="I273" i="20"/>
  <c r="I261" i="20"/>
  <c r="AS295" i="20"/>
  <c r="I295" i="20"/>
  <c r="I412" i="20"/>
  <c r="AS445" i="20"/>
  <c r="I445" i="20"/>
  <c r="I211" i="20"/>
  <c r="AS200" i="20"/>
  <c r="I200" i="20"/>
  <c r="I376" i="20"/>
  <c r="I250" i="20"/>
  <c r="I280" i="20"/>
  <c r="L294" i="20"/>
  <c r="I294" i="20"/>
  <c r="AS437" i="20"/>
  <c r="I437" i="20"/>
  <c r="I334" i="20"/>
  <c r="AS407" i="20"/>
  <c r="I407" i="20"/>
  <c r="I354" i="20"/>
  <c r="AS268" i="20"/>
  <c r="I268" i="20"/>
  <c r="I292" i="20"/>
  <c r="AS444" i="20"/>
  <c r="I444" i="20"/>
  <c r="L281" i="20"/>
  <c r="AO281" i="20" s="1"/>
  <c r="CK281" i="20" s="1"/>
  <c r="I281" i="20"/>
  <c r="L368" i="20"/>
  <c r="DQ368" i="20" s="1"/>
  <c r="I368" i="20"/>
  <c r="L377" i="20"/>
  <c r="AO377" i="20" s="1"/>
  <c r="CK377" i="20" s="1"/>
  <c r="I377" i="20"/>
  <c r="L378" i="20"/>
  <c r="AO378" i="20" s="1"/>
  <c r="CK378" i="20" s="1"/>
  <c r="I378" i="20"/>
  <c r="L425" i="20"/>
  <c r="I425" i="20"/>
  <c r="L195" i="20"/>
  <c r="AO195" i="20" s="1"/>
  <c r="CK195" i="20" s="1"/>
  <c r="I195" i="20"/>
  <c r="L355" i="20"/>
  <c r="BJ355" i="20" s="1"/>
  <c r="I355" i="20"/>
  <c r="AS343" i="20"/>
  <c r="I343" i="20"/>
  <c r="L365" i="20"/>
  <c r="AO365" i="20" s="1"/>
  <c r="CK365" i="20" s="1"/>
  <c r="I365" i="20"/>
  <c r="L320" i="20"/>
  <c r="BF320" i="20" s="1"/>
  <c r="CU320" i="20" s="1"/>
  <c r="I320" i="20"/>
  <c r="L313" i="20"/>
  <c r="BF313" i="20" s="1"/>
  <c r="CU313" i="20" s="1"/>
  <c r="I313" i="20"/>
  <c r="AS420" i="20"/>
  <c r="I420" i="20"/>
  <c r="AS357" i="20"/>
  <c r="I357" i="20"/>
  <c r="I232" i="20"/>
  <c r="I210" i="20"/>
  <c r="L189" i="20"/>
  <c r="AO189" i="20" s="1"/>
  <c r="CK189" i="20" s="1"/>
  <c r="I189" i="20"/>
  <c r="L358" i="20"/>
  <c r="AO358" i="20" s="1"/>
  <c r="CK358" i="20" s="1"/>
  <c r="I358" i="20"/>
  <c r="I439" i="20"/>
  <c r="I196" i="20"/>
  <c r="I191" i="20"/>
  <c r="AS409" i="20"/>
  <c r="I409" i="20"/>
  <c r="I402" i="20"/>
  <c r="L423" i="20"/>
  <c r="AO423" i="20" s="1"/>
  <c r="CK423" i="20" s="1"/>
  <c r="I423" i="20"/>
  <c r="AS239" i="20"/>
  <c r="I239" i="20"/>
  <c r="L184" i="20"/>
  <c r="BF184" i="20" s="1"/>
  <c r="CU184" i="20" s="1"/>
  <c r="I184" i="20"/>
  <c r="L306" i="20"/>
  <c r="BJ306" i="20" s="1"/>
  <c r="I306" i="20"/>
  <c r="AS424" i="20"/>
  <c r="I424" i="20"/>
  <c r="L231" i="20"/>
  <c r="BF231" i="20" s="1"/>
  <c r="CU231" i="20" s="1"/>
  <c r="I231" i="20"/>
  <c r="AS186" i="20"/>
  <c r="I186" i="20"/>
  <c r="L255" i="20"/>
  <c r="AO255" i="20" s="1"/>
  <c r="CK255" i="20" s="1"/>
  <c r="I255" i="20"/>
  <c r="I397" i="20"/>
  <c r="L194" i="20"/>
  <c r="BF194" i="20" s="1"/>
  <c r="CU194" i="20" s="1"/>
  <c r="I194" i="20"/>
  <c r="I198" i="20"/>
  <c r="L347" i="20"/>
  <c r="I347" i="20"/>
  <c r="L359" i="20"/>
  <c r="BF359" i="20" s="1"/>
  <c r="CU359" i="20" s="1"/>
  <c r="I359" i="20"/>
  <c r="AS241" i="20"/>
  <c r="I241" i="20"/>
  <c r="I399" i="20"/>
  <c r="L442" i="20"/>
  <c r="DQ442" i="20" s="1"/>
  <c r="I442" i="20"/>
  <c r="I322" i="20"/>
  <c r="AS385" i="20"/>
  <c r="I385" i="20"/>
  <c r="L208" i="20"/>
  <c r="DQ208" i="20" s="1"/>
  <c r="I208" i="20"/>
  <c r="L228" i="20"/>
  <c r="BJ228" i="20" s="1"/>
  <c r="I228" i="20"/>
  <c r="AS274" i="20"/>
  <c r="I274" i="20"/>
  <c r="I349" i="20"/>
  <c r="I258" i="20"/>
  <c r="I406" i="20"/>
  <c r="AS366" i="20"/>
  <c r="I366" i="20"/>
  <c r="AS341" i="20"/>
  <c r="I341" i="20"/>
  <c r="I331" i="20"/>
  <c r="AS329" i="20"/>
  <c r="I329" i="20"/>
  <c r="L330" i="20"/>
  <c r="AO330" i="20" s="1"/>
  <c r="CK330" i="20" s="1"/>
  <c r="I330" i="20"/>
  <c r="I307" i="20"/>
  <c r="I362" i="20"/>
  <c r="AS260" i="20"/>
  <c r="I260" i="20"/>
  <c r="AS277" i="20"/>
  <c r="I277" i="20"/>
  <c r="L288" i="20"/>
  <c r="DQ288" i="20" s="1"/>
  <c r="I288" i="20"/>
  <c r="I403" i="20"/>
  <c r="L448" i="20"/>
  <c r="P448" i="20" s="1"/>
  <c r="I448" i="20"/>
  <c r="L447" i="20"/>
  <c r="AO447" i="20" s="1"/>
  <c r="CK447" i="20" s="1"/>
  <c r="I447" i="20"/>
  <c r="I289" i="20"/>
  <c r="AS336" i="20"/>
  <c r="I336" i="20"/>
  <c r="I335" i="20"/>
  <c r="I323" i="20"/>
  <c r="L386" i="20"/>
  <c r="I386" i="20"/>
  <c r="DT182" i="20"/>
  <c r="I182" i="20"/>
  <c r="O204" i="20"/>
  <c r="I204" i="20"/>
  <c r="DT227" i="20"/>
  <c r="I227" i="20"/>
  <c r="L165" i="20"/>
  <c r="BF165" i="20" s="1"/>
  <c r="CU165" i="20" s="1"/>
  <c r="FO165" i="20" s="1"/>
  <c r="I165" i="20"/>
  <c r="O382" i="20"/>
  <c r="I382" i="20"/>
  <c r="AU304" i="20"/>
  <c r="I304" i="20"/>
  <c r="L202" i="20"/>
  <c r="AO202" i="20" s="1"/>
  <c r="CL202" i="20" s="1"/>
  <c r="CM202" i="20" s="1"/>
  <c r="I202" i="20"/>
  <c r="AU388" i="20"/>
  <c r="I388" i="20"/>
  <c r="AS435" i="20"/>
  <c r="I435" i="20"/>
  <c r="O453" i="20"/>
  <c r="I453" i="20"/>
  <c r="L174" i="20"/>
  <c r="BF174" i="20" s="1"/>
  <c r="I174" i="20"/>
  <c r="L167" i="20"/>
  <c r="DQ167" i="20" s="1"/>
  <c r="I167" i="20"/>
  <c r="AS421" i="20"/>
  <c r="I421" i="20"/>
  <c r="AS429" i="20"/>
  <c r="I429" i="20"/>
  <c r="AA433" i="20"/>
  <c r="Z433" i="20" s="1"/>
  <c r="I433" i="20"/>
  <c r="L178" i="20"/>
  <c r="AO178" i="20" s="1"/>
  <c r="CL178" i="20" s="1"/>
  <c r="CM178" i="20" s="1"/>
  <c r="I178" i="20"/>
  <c r="AA172" i="20"/>
  <c r="I172" i="20"/>
  <c r="AU299" i="20"/>
  <c r="I299" i="20"/>
  <c r="I391" i="20"/>
  <c r="AU310" i="20"/>
  <c r="I310" i="20"/>
  <c r="EM303" i="20"/>
  <c r="I303" i="20"/>
  <c r="DT169" i="20"/>
  <c r="I169" i="20"/>
  <c r="AU389" i="20"/>
  <c r="I389" i="20"/>
  <c r="AU206" i="20"/>
  <c r="I206" i="20"/>
  <c r="AA183" i="20"/>
  <c r="Z183" i="20" s="1"/>
  <c r="I183" i="20"/>
  <c r="L166" i="20"/>
  <c r="P166" i="20" s="1"/>
  <c r="I166" i="20"/>
  <c r="DT161" i="20"/>
  <c r="I161" i="20"/>
  <c r="AU309" i="20"/>
  <c r="I309" i="20"/>
  <c r="AA215" i="20"/>
  <c r="I215" i="20"/>
  <c r="AV456" i="20"/>
  <c r="I456" i="20"/>
  <c r="AU436" i="20"/>
  <c r="I436" i="20"/>
  <c r="AU452" i="20"/>
  <c r="I452" i="20"/>
  <c r="EM300" i="20"/>
  <c r="I300" i="20"/>
  <c r="AU177" i="20"/>
  <c r="I177" i="20"/>
  <c r="AU171" i="20"/>
  <c r="I171" i="20"/>
  <c r="AS311" i="20"/>
  <c r="I311" i="20"/>
  <c r="AU422" i="20"/>
  <c r="I422" i="20"/>
  <c r="AU430" i="20"/>
  <c r="I430" i="20"/>
  <c r="AA175" i="20"/>
  <c r="I175" i="20"/>
  <c r="O305" i="20"/>
  <c r="I305" i="20"/>
  <c r="DT168" i="20"/>
  <c r="I168" i="20"/>
  <c r="DQ551" i="20"/>
  <c r="BG558" i="20"/>
  <c r="BH558" i="20" s="1"/>
  <c r="AB554" i="20"/>
  <c r="BG554" i="20" s="1"/>
  <c r="BH554" i="20" s="1"/>
  <c r="BQ552" i="20"/>
  <c r="AV556" i="20"/>
  <c r="AR554" i="20"/>
  <c r="BB554" i="20"/>
  <c r="EC554" i="20" s="1"/>
  <c r="DV554" i="20" s="1"/>
  <c r="BJ551" i="20"/>
  <c r="AG553" i="20"/>
  <c r="BQ553" i="20" s="1"/>
  <c r="AV558" i="20"/>
  <c r="BF551" i="20"/>
  <c r="CU551" i="20" s="1"/>
  <c r="DC551" i="20" s="1"/>
  <c r="P551" i="20"/>
  <c r="DQ553" i="20"/>
  <c r="BJ553" i="20"/>
  <c r="AO553" i="20"/>
  <c r="GG553" i="20" s="1"/>
  <c r="GI553" i="20" s="1"/>
  <c r="DA553" i="20" s="1"/>
  <c r="U553" i="20"/>
  <c r="EG553" i="20" s="1"/>
  <c r="P553" i="20"/>
  <c r="CU396" i="20"/>
  <c r="AR557" i="20"/>
  <c r="AG556" i="20"/>
  <c r="ET556" i="20"/>
  <c r="ES556" i="20" s="1"/>
  <c r="EU556" i="20" s="1"/>
  <c r="EX556" i="20" s="1"/>
  <c r="EY556" i="20" s="1"/>
  <c r="BM183" i="20"/>
  <c r="AC183" i="20"/>
  <c r="BJ557" i="20"/>
  <c r="BI300" i="20"/>
  <c r="AF300" i="20"/>
  <c r="FI98" i="21"/>
  <c r="CX98" i="21"/>
  <c r="AL114" i="21"/>
  <c r="AM114" i="21"/>
  <c r="CU92" i="21"/>
  <c r="FG92" i="21"/>
  <c r="Y85" i="21"/>
  <c r="DT85" i="21" s="1"/>
  <c r="EL85" i="21"/>
  <c r="EK85" i="21" s="1"/>
  <c r="AY107" i="21"/>
  <c r="BM50" i="21"/>
  <c r="BL50" i="21"/>
  <c r="BN50" i="21" s="1"/>
  <c r="EY102" i="21"/>
  <c r="EZ102" i="21" s="1"/>
  <c r="X25" i="21"/>
  <c r="BA25" i="21"/>
  <c r="BA36" i="21"/>
  <c r="X36" i="21"/>
  <c r="CI125" i="21"/>
  <c r="CK125" i="21" s="1"/>
  <c r="CP125" i="21" s="1"/>
  <c r="FJ125" i="21" s="1"/>
  <c r="GC118" i="21"/>
  <c r="GA118" i="21"/>
  <c r="CS118" i="21" s="1"/>
  <c r="EH60" i="21"/>
  <c r="DM60" i="21" s="1"/>
  <c r="Y27" i="21"/>
  <c r="EL27" i="21"/>
  <c r="EK27" i="21" s="1"/>
  <c r="BA37" i="21"/>
  <c r="X37" i="21"/>
  <c r="EL37" i="21" s="1"/>
  <c r="EK37" i="21" s="1"/>
  <c r="BE27" i="21"/>
  <c r="FX27" i="21"/>
  <c r="GA27" i="21" s="1"/>
  <c r="AL33" i="21"/>
  <c r="BA70" i="21"/>
  <c r="BB70" i="21" s="1"/>
  <c r="U82" i="21"/>
  <c r="AY82" i="21" s="1"/>
  <c r="EB97" i="21"/>
  <c r="EH97" i="21" s="1"/>
  <c r="X110" i="21"/>
  <c r="Y110" i="21" s="1"/>
  <c r="FY131" i="21"/>
  <c r="CA131" i="21"/>
  <c r="BZ131" i="21"/>
  <c r="CB131" i="21" s="1"/>
  <c r="BR131" i="21"/>
  <c r="DZ131" i="21" s="1"/>
  <c r="EB131" i="21" s="1"/>
  <c r="T131" i="21"/>
  <c r="BF134" i="21"/>
  <c r="CO134" i="21" s="1"/>
  <c r="BZ166" i="21"/>
  <c r="FY166" i="21"/>
  <c r="CU168" i="21"/>
  <c r="FG168" i="21"/>
  <c r="I180" i="21"/>
  <c r="BI186" i="21"/>
  <c r="CU195" i="21"/>
  <c r="FG195" i="21"/>
  <c r="M359" i="21"/>
  <c r="BF359" i="21" s="1"/>
  <c r="CO359" i="21" s="1"/>
  <c r="DI359" i="21"/>
  <c r="AX359" i="21"/>
  <c r="U27" i="21"/>
  <c r="AY27" i="21" s="1"/>
  <c r="AZ27" i="21" s="1"/>
  <c r="AX31" i="21"/>
  <c r="BE41" i="21"/>
  <c r="AN46" i="21"/>
  <c r="BZ50" i="21"/>
  <c r="AX54" i="21"/>
  <c r="CM54" i="21" s="1"/>
  <c r="FG54" i="21" s="1"/>
  <c r="X60" i="21"/>
  <c r="U62" i="21"/>
  <c r="AL63" i="21"/>
  <c r="EE67" i="21"/>
  <c r="AN69" i="21"/>
  <c r="U78" i="21"/>
  <c r="X79" i="21"/>
  <c r="Y79" i="21" s="1"/>
  <c r="T81" i="21"/>
  <c r="BE81" i="21" s="1"/>
  <c r="BF81" i="21" s="1"/>
  <c r="CO81" i="21" s="1"/>
  <c r="EE107" i="21"/>
  <c r="EB115" i="21"/>
  <c r="EB117" i="21"/>
  <c r="X118" i="21"/>
  <c r="I123" i="21"/>
  <c r="I129" i="21"/>
  <c r="FX134" i="21"/>
  <c r="BE134" i="21"/>
  <c r="T166" i="21"/>
  <c r="N185" i="21"/>
  <c r="EE185" i="21" s="1"/>
  <c r="BE185" i="21"/>
  <c r="T185" i="21"/>
  <c r="P192" i="21"/>
  <c r="DY192" i="21" s="1"/>
  <c r="DI192" i="21"/>
  <c r="AX192" i="21"/>
  <c r="BA233" i="21"/>
  <c r="X233" i="21"/>
  <c r="BA283" i="21"/>
  <c r="BB283" i="21" s="1"/>
  <c r="X283" i="21"/>
  <c r="EL283" i="21" s="1"/>
  <c r="EK283" i="21" s="1"/>
  <c r="FY38" i="21"/>
  <c r="BP42" i="21"/>
  <c r="EI42" i="21" s="1"/>
  <c r="CB50" i="21"/>
  <c r="BL56" i="21"/>
  <c r="BN56" i="21" s="1"/>
  <c r="CI121" i="21"/>
  <c r="CK121" i="21" s="1"/>
  <c r="CP121" i="21" s="1"/>
  <c r="FJ121" i="21" s="1"/>
  <c r="GA123" i="21"/>
  <c r="CS123" i="21" s="1"/>
  <c r="CA134" i="21"/>
  <c r="BR134" i="21"/>
  <c r="DZ134" i="21" s="1"/>
  <c r="EB134" i="21" s="1"/>
  <c r="BK134" i="21"/>
  <c r="AN232" i="21"/>
  <c r="EE232" i="21"/>
  <c r="P247" i="21"/>
  <c r="DY247" i="21" s="1"/>
  <c r="M247" i="21"/>
  <c r="EL254" i="21"/>
  <c r="EK254" i="21" s="1"/>
  <c r="ET254" i="21" s="1"/>
  <c r="Y254" i="21"/>
  <c r="X320" i="21"/>
  <c r="BA320" i="21"/>
  <c r="BP31" i="21"/>
  <c r="EI31" i="21" s="1"/>
  <c r="AZ34" i="21"/>
  <c r="BO42" i="21"/>
  <c r="AN43" i="21"/>
  <c r="BA46" i="21"/>
  <c r="CI77" i="21"/>
  <c r="CK77" i="21" s="1"/>
  <c r="CP77" i="21" s="1"/>
  <c r="CW77" i="21" s="1"/>
  <c r="X81" i="21"/>
  <c r="EL81" i="21" s="1"/>
  <c r="EK81" i="21" s="1"/>
  <c r="Y82" i="21"/>
  <c r="AL83" i="21"/>
  <c r="Y106" i="21"/>
  <c r="Q106" i="21" s="1"/>
  <c r="S170" i="21"/>
  <c r="AK170" i="21"/>
  <c r="AJ170" i="21" s="1"/>
  <c r="I217" i="21"/>
  <c r="DL217" i="21"/>
  <c r="AM217" i="21"/>
  <c r="AK217" i="21"/>
  <c r="AY348" i="21"/>
  <c r="AZ348" i="21" s="1"/>
  <c r="CB25" i="21"/>
  <c r="BE29" i="21"/>
  <c r="EB31" i="21"/>
  <c r="EH31" i="21" s="1"/>
  <c r="BM33" i="21"/>
  <c r="GA39" i="21"/>
  <c r="EB55" i="21"/>
  <c r="EG55" i="21" s="1"/>
  <c r="X56" i="21"/>
  <c r="AM60" i="21"/>
  <c r="AN67" i="21"/>
  <c r="BA76" i="21"/>
  <c r="BB76" i="21" s="1"/>
  <c r="CU113" i="21"/>
  <c r="BE123" i="21"/>
  <c r="BE129" i="21"/>
  <c r="BF129" i="21" s="1"/>
  <c r="CO129" i="21" s="1"/>
  <c r="T138" i="21"/>
  <c r="X149" i="21"/>
  <c r="P163" i="21"/>
  <c r="DY163" i="21" s="1"/>
  <c r="M163" i="21"/>
  <c r="DI163" i="21"/>
  <c r="AX163" i="21"/>
  <c r="S178" i="21"/>
  <c r="DL178" i="21"/>
  <c r="AM178" i="21"/>
  <c r="AK178" i="21"/>
  <c r="AJ178" i="21" s="1"/>
  <c r="DI198" i="21"/>
  <c r="ET198" i="21" s="1"/>
  <c r="EU198" i="21" s="1"/>
  <c r="EV198" i="21" s="1"/>
  <c r="P198" i="21"/>
  <c r="DY198" i="21" s="1"/>
  <c r="M198" i="21"/>
  <c r="BF198" i="21" s="1"/>
  <c r="CO198" i="21" s="1"/>
  <c r="BB198" i="21"/>
  <c r="AX198" i="21"/>
  <c r="L217" i="21"/>
  <c r="M347" i="21"/>
  <c r="AX347" i="21"/>
  <c r="CM347" i="21" s="1"/>
  <c r="FY372" i="21"/>
  <c r="T372" i="21"/>
  <c r="CA372" i="21"/>
  <c r="U29" i="21"/>
  <c r="AY29" i="21" s="1"/>
  <c r="AZ29" i="21" s="1"/>
  <c r="EB46" i="21"/>
  <c r="EH46" i="21" s="1"/>
  <c r="DM46" i="21" s="1"/>
  <c r="AL56" i="21"/>
  <c r="FX56" i="21"/>
  <c r="X62" i="21"/>
  <c r="BB105" i="21"/>
  <c r="AN106" i="21"/>
  <c r="T107" i="21"/>
  <c r="AK109" i="21"/>
  <c r="AM109" i="21" s="1"/>
  <c r="DI114" i="21"/>
  <c r="X119" i="21"/>
  <c r="BZ141" i="21"/>
  <c r="BK141" i="21"/>
  <c r="BL141" i="21" s="1"/>
  <c r="BN141" i="21" s="1"/>
  <c r="EL227" i="21"/>
  <c r="EK227" i="21" s="1"/>
  <c r="Y227" i="21"/>
  <c r="DT227" i="21" s="1"/>
  <c r="X281" i="21"/>
  <c r="BM19" i="21"/>
  <c r="AM27" i="21"/>
  <c r="CH41" i="21"/>
  <c r="BL43" i="21"/>
  <c r="BN43" i="21" s="1"/>
  <c r="CB46" i="21"/>
  <c r="CH49" i="21"/>
  <c r="CI49" i="21" s="1"/>
  <c r="CA55" i="21"/>
  <c r="CB55" i="21" s="1"/>
  <c r="CI55" i="21" s="1"/>
  <c r="CK55" i="21" s="1"/>
  <c r="CP55" i="21" s="1"/>
  <c r="AM56" i="21"/>
  <c r="GA56" i="21"/>
  <c r="CS56" i="21" s="1"/>
  <c r="BL60" i="21"/>
  <c r="BN60" i="21" s="1"/>
  <c r="FG87" i="21"/>
  <c r="DJ88" i="21"/>
  <c r="T93" i="21"/>
  <c r="Y104" i="21"/>
  <c r="X105" i="21"/>
  <c r="EL105" i="21" s="1"/>
  <c r="EK105" i="21" s="1"/>
  <c r="AX106" i="21"/>
  <c r="DJ108" i="21"/>
  <c r="DI111" i="21"/>
  <c r="CH117" i="21"/>
  <c r="CI117" i="21" s="1"/>
  <c r="CK117" i="21" s="1"/>
  <c r="AX118" i="21"/>
  <c r="CM118" i="21" s="1"/>
  <c r="DA118" i="21" s="1"/>
  <c r="CB120" i="21"/>
  <c r="I124" i="21"/>
  <c r="DJ124" i="21" s="1"/>
  <c r="BM141" i="21"/>
  <c r="AQ156" i="21"/>
  <c r="AU156" i="21" s="1"/>
  <c r="FY170" i="21"/>
  <c r="N170" i="21"/>
  <c r="EE170" i="21" s="1"/>
  <c r="CA170" i="21"/>
  <c r="BZ170" i="21"/>
  <c r="CB170" i="21" s="1"/>
  <c r="CI170" i="21" s="1"/>
  <c r="BR170" i="21"/>
  <c r="DZ170" i="21" s="1"/>
  <c r="EB170" i="21" s="1"/>
  <c r="Y205" i="21"/>
  <c r="DT205" i="21" s="1"/>
  <c r="EL205" i="21"/>
  <c r="EK205" i="21" s="1"/>
  <c r="EL225" i="21"/>
  <c r="EK225" i="21" s="1"/>
  <c r="Y225" i="21"/>
  <c r="Y432" i="21"/>
  <c r="BI432" i="21" s="1"/>
  <c r="EL432" i="21"/>
  <c r="EK432" i="21" s="1"/>
  <c r="BR19" i="21"/>
  <c r="DZ19" i="21" s="1"/>
  <c r="EB19" i="21" s="1"/>
  <c r="EH19" i="21" s="1"/>
  <c r="DM19" i="21" s="1"/>
  <c r="AN27" i="21"/>
  <c r="X29" i="21"/>
  <c r="EL29" i="21" s="1"/>
  <c r="EK29" i="21" s="1"/>
  <c r="CH32" i="21"/>
  <c r="CA33" i="21"/>
  <c r="CB33" i="21" s="1"/>
  <c r="CI33" i="21" s="1"/>
  <c r="BR43" i="21"/>
  <c r="DZ43" i="21" s="1"/>
  <c r="EB43" i="21" s="1"/>
  <c r="EH43" i="21" s="1"/>
  <c r="AL44" i="21"/>
  <c r="CA46" i="21"/>
  <c r="BZ47" i="21"/>
  <c r="BZ48" i="21"/>
  <c r="CB48" i="21" s="1"/>
  <c r="AN56" i="21"/>
  <c r="BM58" i="21"/>
  <c r="BR60" i="21"/>
  <c r="DZ60" i="21" s="1"/>
  <c r="EB60" i="21" s="1"/>
  <c r="BZ67" i="21"/>
  <c r="BM81" i="21"/>
  <c r="BO81" i="21" s="1"/>
  <c r="AK105" i="21"/>
  <c r="AL105" i="21" s="1"/>
  <c r="AY130" i="21"/>
  <c r="BA147" i="21"/>
  <c r="BB147" i="21" s="1"/>
  <c r="M184" i="21"/>
  <c r="AX184" i="21"/>
  <c r="CM184" i="21" s="1"/>
  <c r="DA208" i="21"/>
  <c r="FG208" i="21"/>
  <c r="BB247" i="21"/>
  <c r="X343" i="21"/>
  <c r="EL343" i="21" s="1"/>
  <c r="EK343" i="21" s="1"/>
  <c r="BA343" i="21"/>
  <c r="BA32" i="21"/>
  <c r="BZ19" i="21"/>
  <c r="CB19" i="21" s="1"/>
  <c r="CI19" i="21" s="1"/>
  <c r="BK23" i="21"/>
  <c r="BM23" i="21" s="1"/>
  <c r="M28" i="21"/>
  <c r="CH31" i="21"/>
  <c r="CI31" i="21" s="1"/>
  <c r="CK31" i="21" s="1"/>
  <c r="AN38" i="21"/>
  <c r="BZ43" i="21"/>
  <c r="CA47" i="21"/>
  <c r="AX56" i="21"/>
  <c r="CM56" i="21" s="1"/>
  <c r="BE58" i="21"/>
  <c r="BF58" i="21" s="1"/>
  <c r="CO58" i="21" s="1"/>
  <c r="BZ60" i="21"/>
  <c r="CB60" i="21" s="1"/>
  <c r="CI60" i="21" s="1"/>
  <c r="CK60" i="21" s="1"/>
  <c r="CP60" i="21" s="1"/>
  <c r="CA67" i="21"/>
  <c r="CU69" i="21"/>
  <c r="CH79" i="21"/>
  <c r="CA81" i="21"/>
  <c r="CB81" i="21" s="1"/>
  <c r="CI81" i="21" s="1"/>
  <c r="CK81" i="21" s="1"/>
  <c r="CP81" i="21" s="1"/>
  <c r="CW81" i="21" s="1"/>
  <c r="AK104" i="21"/>
  <c r="AM104" i="21" s="1"/>
  <c r="AT106" i="21"/>
  <c r="DU106" i="21" s="1"/>
  <c r="AK107" i="21"/>
  <c r="AN127" i="21"/>
  <c r="BE133" i="21"/>
  <c r="FX133" i="21"/>
  <c r="AK169" i="21"/>
  <c r="AJ169" i="21" s="1"/>
  <c r="DL169" i="21"/>
  <c r="AM169" i="21"/>
  <c r="I213" i="21"/>
  <c r="FC2" i="21"/>
  <c r="DI2" i="21" s="1"/>
  <c r="CB22" i="21"/>
  <c r="CI22" i="21" s="1"/>
  <c r="CK22" i="21" s="1"/>
  <c r="BR23" i="21"/>
  <c r="DZ23" i="21" s="1"/>
  <c r="EB23" i="21" s="1"/>
  <c r="EH23" i="21" s="1"/>
  <c r="DM23" i="21" s="1"/>
  <c r="DO23" i="21" s="1"/>
  <c r="AN25" i="21"/>
  <c r="CA43" i="21"/>
  <c r="BL44" i="21"/>
  <c r="BN44" i="21" s="1"/>
  <c r="CA60" i="21"/>
  <c r="AN88" i="21"/>
  <c r="EE88" i="21"/>
  <c r="AN91" i="21"/>
  <c r="BK100" i="21"/>
  <c r="BL100" i="21" s="1"/>
  <c r="BN100" i="21" s="1"/>
  <c r="AX104" i="21"/>
  <c r="CB118" i="21"/>
  <c r="BM119" i="21"/>
  <c r="AN122" i="21"/>
  <c r="AK123" i="21"/>
  <c r="AM123" i="21" s="1"/>
  <c r="AK126" i="21"/>
  <c r="AM126" i="21" s="1"/>
  <c r="AK129" i="21"/>
  <c r="AM129" i="21" s="1"/>
  <c r="BR141" i="21"/>
  <c r="DZ141" i="21" s="1"/>
  <c r="EB141" i="21" s="1"/>
  <c r="AN144" i="21"/>
  <c r="I144" i="21"/>
  <c r="DI144" i="21"/>
  <c r="AK144" i="21"/>
  <c r="AM144" i="21" s="1"/>
  <c r="M161" i="21"/>
  <c r="AX161" i="21"/>
  <c r="BB163" i="21"/>
  <c r="I169" i="21"/>
  <c r="AY319" i="21"/>
  <c r="AZ319" i="21" s="1"/>
  <c r="AN20" i="21"/>
  <c r="BZ23" i="21"/>
  <c r="CB23" i="21" s="1"/>
  <c r="CI23" i="21" s="1"/>
  <c r="U24" i="21"/>
  <c r="AY24" i="21" s="1"/>
  <c r="AZ24" i="21" s="1"/>
  <c r="BR27" i="21"/>
  <c r="DZ27" i="21" s="1"/>
  <c r="EB27" i="21" s="1"/>
  <c r="EH27" i="21" s="1"/>
  <c r="BE28" i="21"/>
  <c r="AN29" i="21"/>
  <c r="AM37" i="21"/>
  <c r="BA38" i="21"/>
  <c r="AN39" i="21"/>
  <c r="BR44" i="21"/>
  <c r="DZ44" i="21" s="1"/>
  <c r="EL50" i="21"/>
  <c r="EK50" i="21" s="1"/>
  <c r="BM56" i="21"/>
  <c r="X61" i="21"/>
  <c r="BB65" i="21"/>
  <c r="CH81" i="21"/>
  <c r="GA88" i="21"/>
  <c r="CS88" i="21" s="1"/>
  <c r="AX91" i="21"/>
  <c r="CM91" i="21" s="1"/>
  <c r="BA104" i="21"/>
  <c r="BB104" i="21" s="1"/>
  <c r="AN107" i="21"/>
  <c r="DJ115" i="21"/>
  <c r="CH119" i="21"/>
  <c r="DI121" i="21"/>
  <c r="ET121" i="21" s="1"/>
  <c r="AX122" i="21"/>
  <c r="CM122" i="21" s="1"/>
  <c r="AN123" i="21"/>
  <c r="AL130" i="21"/>
  <c r="AM130" i="21"/>
  <c r="U133" i="21"/>
  <c r="BE162" i="21"/>
  <c r="U162" i="21"/>
  <c r="T162" i="21"/>
  <c r="FX162" i="21"/>
  <c r="GA162" i="21" s="1"/>
  <c r="CA162" i="21"/>
  <c r="BZ162" i="21"/>
  <c r="CB162" i="21" s="1"/>
  <c r="BR162" i="21"/>
  <c r="DZ162" i="21" s="1"/>
  <c r="EB162" i="21" s="1"/>
  <c r="EH162" i="21" s="1"/>
  <c r="DM162" i="21" s="1"/>
  <c r="Y165" i="21"/>
  <c r="EL165" i="21"/>
  <c r="EK165" i="21" s="1"/>
  <c r="EE221" i="21"/>
  <c r="AN221" i="21"/>
  <c r="AM221" i="21"/>
  <c r="AL221" i="21"/>
  <c r="AK221" i="21"/>
  <c r="AJ221" i="21" s="1"/>
  <c r="EL351" i="21"/>
  <c r="EK351" i="21" s="1"/>
  <c r="Y351" i="21"/>
  <c r="Y389" i="21"/>
  <c r="EL389" i="21"/>
  <c r="EK389" i="21" s="1"/>
  <c r="BZ27" i="21"/>
  <c r="U28" i="21"/>
  <c r="AY28" i="21" s="1"/>
  <c r="AZ28" i="21" s="1"/>
  <c r="BR29" i="21"/>
  <c r="DZ29" i="21" s="1"/>
  <c r="EB29" i="21" s="1"/>
  <c r="EL32" i="21"/>
  <c r="EK32" i="21" s="1"/>
  <c r="BE38" i="21"/>
  <c r="BR39" i="21"/>
  <c r="DZ39" i="21" s="1"/>
  <c r="EB39" i="21" s="1"/>
  <c r="FX41" i="21"/>
  <c r="BZ44" i="21"/>
  <c r="CB44" i="21" s="1"/>
  <c r="CH48" i="21"/>
  <c r="FX50" i="21"/>
  <c r="GA50" i="21" s="1"/>
  <c r="BZ56" i="21"/>
  <c r="CH62" i="21"/>
  <c r="AX75" i="21"/>
  <c r="CM75" i="21" s="1"/>
  <c r="FX85" i="21"/>
  <c r="GA85" i="21" s="1"/>
  <c r="CS85" i="21" s="1"/>
  <c r="FI85" i="21" s="1"/>
  <c r="AN93" i="21"/>
  <c r="GA115" i="21"/>
  <c r="CS115" i="21" s="1"/>
  <c r="DL115" i="21"/>
  <c r="EE117" i="21"/>
  <c r="DJ121" i="21"/>
  <c r="BR125" i="21"/>
  <c r="DZ125" i="21" s="1"/>
  <c r="EB125" i="21" s="1"/>
  <c r="BZ127" i="21"/>
  <c r="BK129" i="21"/>
  <c r="BL129" i="21" s="1"/>
  <c r="BN129" i="21" s="1"/>
  <c r="BF168" i="21"/>
  <c r="CO168" i="21" s="1"/>
  <c r="U197" i="21"/>
  <c r="Q197" i="21"/>
  <c r="FY221" i="21"/>
  <c r="GA221" i="21" s="1"/>
  <c r="CS221" i="21" s="1"/>
  <c r="CA221" i="21"/>
  <c r="CB221" i="21" s="1"/>
  <c r="CI221" i="21" s="1"/>
  <c r="BZ221" i="21"/>
  <c r="EB224" i="21"/>
  <c r="BI327" i="21"/>
  <c r="DT327" i="21"/>
  <c r="CH19" i="21"/>
  <c r="AT20" i="21"/>
  <c r="DU20" i="21" s="1"/>
  <c r="BE25" i="21"/>
  <c r="CA27" i="21"/>
  <c r="BZ29" i="21"/>
  <c r="BK37" i="21"/>
  <c r="BM37" i="21" s="1"/>
  <c r="BR38" i="21"/>
  <c r="DZ38" i="21" s="1"/>
  <c r="EB38" i="21" s="1"/>
  <c r="EH38" i="21" s="1"/>
  <c r="BZ39" i="21"/>
  <c r="CB39" i="21" s="1"/>
  <c r="CA44" i="21"/>
  <c r="CH47" i="21"/>
  <c r="CA56" i="21"/>
  <c r="AX72" i="21"/>
  <c r="CM72" i="21" s="1"/>
  <c r="BZ91" i="21"/>
  <c r="CB91" i="21" s="1"/>
  <c r="CI91" i="21" s="1"/>
  <c r="CK91" i="21" s="1"/>
  <c r="CP91" i="21" s="1"/>
  <c r="BR93" i="21"/>
  <c r="DZ93" i="21" s="1"/>
  <c r="EB93" i="21" s="1"/>
  <c r="EG93" i="21" s="1"/>
  <c r="CH105" i="21"/>
  <c r="AK108" i="21"/>
  <c r="DI109" i="21"/>
  <c r="AN117" i="21"/>
  <c r="CH122" i="21"/>
  <c r="BZ123" i="21"/>
  <c r="CB123" i="21" s="1"/>
  <c r="BR129" i="21"/>
  <c r="DZ129" i="21" s="1"/>
  <c r="EB129" i="21" s="1"/>
  <c r="I136" i="21"/>
  <c r="AK136" i="21"/>
  <c r="DL136" i="21"/>
  <c r="DI136" i="21"/>
  <c r="CH154" i="21"/>
  <c r="BE160" i="21"/>
  <c r="T160" i="21"/>
  <c r="CH192" i="21"/>
  <c r="CB224" i="21"/>
  <c r="DI264" i="21"/>
  <c r="M264" i="21"/>
  <c r="AX264" i="21"/>
  <c r="EL276" i="21"/>
  <c r="EK276" i="21" s="1"/>
  <c r="Y276" i="21"/>
  <c r="Y278" i="21"/>
  <c r="EL278" i="21"/>
  <c r="EK278" i="21" s="1"/>
  <c r="BK20" i="21"/>
  <c r="BM20" i="21" s="1"/>
  <c r="CA29" i="21"/>
  <c r="CB29" i="21" s="1"/>
  <c r="CI29" i="21" s="1"/>
  <c r="BR37" i="21"/>
  <c r="DZ37" i="21" s="1"/>
  <c r="EB37" i="21" s="1"/>
  <c r="BZ93" i="21"/>
  <c r="BB107" i="21"/>
  <c r="BZ129" i="21"/>
  <c r="CB129" i="21" s="1"/>
  <c r="CI129" i="21" s="1"/>
  <c r="CK129" i="21" s="1"/>
  <c r="CP129" i="21" s="1"/>
  <c r="CW129" i="21" s="1"/>
  <c r="AL133" i="21"/>
  <c r="AM133" i="21"/>
  <c r="BE190" i="21"/>
  <c r="BR190" i="21"/>
  <c r="DZ190" i="21" s="1"/>
  <c r="EB190" i="21" s="1"/>
  <c r="EH190" i="21" s="1"/>
  <c r="DM190" i="21" s="1"/>
  <c r="Y231" i="21"/>
  <c r="EL231" i="21"/>
  <c r="EK231" i="21" s="1"/>
  <c r="BR20" i="21"/>
  <c r="DZ20" i="21" s="1"/>
  <c r="EB20" i="21" s="1"/>
  <c r="EH20" i="21" s="1"/>
  <c r="CA25" i="21"/>
  <c r="EB33" i="21"/>
  <c r="CA37" i="21"/>
  <c r="CA38" i="21"/>
  <c r="CB38" i="21" s="1"/>
  <c r="CH61" i="21"/>
  <c r="EL80" i="21"/>
  <c r="EK80" i="21" s="1"/>
  <c r="CA93" i="21"/>
  <c r="Y98" i="21"/>
  <c r="DT98" i="21" s="1"/>
  <c r="DI105" i="21"/>
  <c r="EB107" i="21"/>
  <c r="CH128" i="21"/>
  <c r="CA129" i="21"/>
  <c r="FY134" i="21"/>
  <c r="GA136" i="21"/>
  <c r="CS136" i="21" s="1"/>
  <c r="BB144" i="21"/>
  <c r="EL213" i="21"/>
  <c r="EK213" i="21" s="1"/>
  <c r="Y213" i="21"/>
  <c r="DT213" i="21" s="1"/>
  <c r="BZ20" i="21"/>
  <c r="CB20" i="21" s="1"/>
  <c r="EE114" i="21"/>
  <c r="GA117" i="21"/>
  <c r="M159" i="21"/>
  <c r="P159" i="21"/>
  <c r="DY159" i="21" s="1"/>
  <c r="AX159" i="21"/>
  <c r="L176" i="21"/>
  <c r="AM176" i="21"/>
  <c r="AK176" i="21"/>
  <c r="AJ176" i="21" s="1"/>
  <c r="I176" i="21"/>
  <c r="M176" i="21" s="1"/>
  <c r="BF176" i="21" s="1"/>
  <c r="DI182" i="21"/>
  <c r="M182" i="21"/>
  <c r="BF182" i="21" s="1"/>
  <c r="AX182" i="21"/>
  <c r="EL329" i="21"/>
  <c r="EK329" i="21" s="1"/>
  <c r="Y329" i="21"/>
  <c r="CA20" i="21"/>
  <c r="M31" i="21"/>
  <c r="U50" i="21"/>
  <c r="AY50" i="21" s="1"/>
  <c r="AZ50" i="21" s="1"/>
  <c r="AM87" i="21"/>
  <c r="U88" i="21"/>
  <c r="CH91" i="21"/>
  <c r="DJ92" i="21"/>
  <c r="BA99" i="21"/>
  <c r="DI104" i="21"/>
  <c r="EY104" i="21" s="1"/>
  <c r="EZ104" i="21" s="1"/>
  <c r="DJ111" i="21"/>
  <c r="U117" i="21"/>
  <c r="AY117" i="21" s="1"/>
  <c r="EE119" i="21"/>
  <c r="BR132" i="21"/>
  <c r="DZ132" i="21" s="1"/>
  <c r="EB132" i="21" s="1"/>
  <c r="BK132" i="21"/>
  <c r="BM132" i="21" s="1"/>
  <c r="FY132" i="21"/>
  <c r="BZ143" i="21"/>
  <c r="CB143" i="21" s="1"/>
  <c r="BR143" i="21"/>
  <c r="DZ143" i="21" s="1"/>
  <c r="EB143" i="21" s="1"/>
  <c r="BK143" i="21"/>
  <c r="DL170" i="21"/>
  <c r="BE176" i="21"/>
  <c r="U176" i="21"/>
  <c r="FX176" i="21"/>
  <c r="GA176" i="21" s="1"/>
  <c r="CS176" i="21" s="1"/>
  <c r="Y286" i="21"/>
  <c r="BI286" i="21" s="1"/>
  <c r="EL286" i="21"/>
  <c r="EK286" i="21" s="1"/>
  <c r="X287" i="21"/>
  <c r="EL287" i="21" s="1"/>
  <c r="EK287" i="21" s="1"/>
  <c r="BA287" i="21"/>
  <c r="CI324" i="21"/>
  <c r="X335" i="21"/>
  <c r="CH25" i="21"/>
  <c r="CH37" i="21"/>
  <c r="FY46" i="21"/>
  <c r="CH52" i="21"/>
  <c r="FX55" i="21"/>
  <c r="GA55" i="21" s="1"/>
  <c r="CS55" i="21" s="1"/>
  <c r="X65" i="21"/>
  <c r="AN87" i="21"/>
  <c r="CH90" i="21"/>
  <c r="X96" i="21"/>
  <c r="EB121" i="21"/>
  <c r="DI122" i="21"/>
  <c r="DI127" i="21"/>
  <c r="BL132" i="21"/>
  <c r="BN132" i="21" s="1"/>
  <c r="EE135" i="21"/>
  <c r="BL143" i="21"/>
  <c r="BN143" i="21" s="1"/>
  <c r="U158" i="21"/>
  <c r="AY158" i="21" s="1"/>
  <c r="BZ158" i="21"/>
  <c r="BR158" i="21"/>
  <c r="DZ158" i="21" s="1"/>
  <c r="EB158" i="21" s="1"/>
  <c r="EH158" i="21" s="1"/>
  <c r="DM158" i="21" s="1"/>
  <c r="L203" i="21"/>
  <c r="I203" i="21"/>
  <c r="AX203" i="21" s="1"/>
  <c r="CM203" i="21" s="1"/>
  <c r="BA230" i="21"/>
  <c r="X230" i="21"/>
  <c r="Y230" i="21" s="1"/>
  <c r="DT230" i="21" s="1"/>
  <c r="S180" i="21"/>
  <c r="AN180" i="21" s="1"/>
  <c r="L180" i="21"/>
  <c r="AM180" i="21"/>
  <c r="AK180" i="21"/>
  <c r="CH21" i="21"/>
  <c r="FY32" i="21"/>
  <c r="GA33" i="21"/>
  <c r="EL43" i="21"/>
  <c r="EK43" i="21" s="1"/>
  <c r="DJ60" i="21"/>
  <c r="EB73" i="21"/>
  <c r="EH73" i="21" s="1"/>
  <c r="AK115" i="21"/>
  <c r="AM115" i="21" s="1"/>
  <c r="DI123" i="21"/>
  <c r="DL127" i="21"/>
  <c r="BZ176" i="21"/>
  <c r="BB245" i="21"/>
  <c r="CI114" i="21"/>
  <c r="CK114" i="21" s="1"/>
  <c r="CP114" i="21" s="1"/>
  <c r="DJ28" i="21"/>
  <c r="EH39" i="21"/>
  <c r="DM39" i="21" s="1"/>
  <c r="FX43" i="21"/>
  <c r="GA43" i="21" s="1"/>
  <c r="EB44" i="21"/>
  <c r="EH44" i="21" s="1"/>
  <c r="DM44" i="21" s="1"/>
  <c r="EE47" i="21"/>
  <c r="EE78" i="21"/>
  <c r="DI108" i="21"/>
  <c r="DI124" i="21"/>
  <c r="ET124" i="21" s="1"/>
  <c r="CH163" i="21"/>
  <c r="DL171" i="21"/>
  <c r="L171" i="21"/>
  <c r="I171" i="21"/>
  <c r="AN171" i="21"/>
  <c r="AM171" i="21"/>
  <c r="AK171" i="21"/>
  <c r="AJ171" i="21" s="1"/>
  <c r="GA171" i="21"/>
  <c r="CS171" i="21" s="1"/>
  <c r="S171" i="21"/>
  <c r="CH191" i="21"/>
  <c r="CA203" i="21"/>
  <c r="BR203" i="21"/>
  <c r="DZ203" i="21" s="1"/>
  <c r="EB203" i="21" s="1"/>
  <c r="BA234" i="21"/>
  <c r="X234" i="21"/>
  <c r="FX244" i="21"/>
  <c r="EE244" i="21"/>
  <c r="CI390" i="21"/>
  <c r="FX47" i="21"/>
  <c r="BA50" i="21"/>
  <c r="FG61" i="21"/>
  <c r="CH74" i="21"/>
  <c r="BL77" i="21"/>
  <c r="BN77" i="21" s="1"/>
  <c r="BK88" i="21"/>
  <c r="BM88" i="21" s="1"/>
  <c r="BB154" i="21"/>
  <c r="AX154" i="21"/>
  <c r="S175" i="21"/>
  <c r="L175" i="21"/>
  <c r="DL175" i="21"/>
  <c r="S199" i="21"/>
  <c r="AN199" i="21" s="1"/>
  <c r="DL199" i="21"/>
  <c r="L199" i="21"/>
  <c r="I199" i="21"/>
  <c r="AM199" i="21"/>
  <c r="AK199" i="21"/>
  <c r="EL239" i="21"/>
  <c r="EK239" i="21" s="1"/>
  <c r="Y239" i="21"/>
  <c r="T333" i="21"/>
  <c r="FY333" i="21"/>
  <c r="DJ21" i="21"/>
  <c r="EE27" i="21"/>
  <c r="AL35" i="21"/>
  <c r="GA44" i="21"/>
  <c r="DJ57" i="21"/>
  <c r="EE58" i="21"/>
  <c r="EG60" i="21"/>
  <c r="U81" i="21"/>
  <c r="T82" i="21"/>
  <c r="BA86" i="21"/>
  <c r="BR88" i="21"/>
  <c r="DZ88" i="21" s="1"/>
  <c r="EB88" i="21" s="1"/>
  <c r="EG88" i="21" s="1"/>
  <c r="CH89" i="21"/>
  <c r="DJ107" i="21"/>
  <c r="EB24" i="21"/>
  <c r="EH24" i="21" s="1"/>
  <c r="EE29" i="21"/>
  <c r="EL38" i="21"/>
  <c r="EK38" i="21" s="1"/>
  <c r="EE39" i="21"/>
  <c r="U46" i="21"/>
  <c r="AY46" i="21" s="1"/>
  <c r="AZ46" i="21" s="1"/>
  <c r="BE47" i="21"/>
  <c r="CH51" i="21"/>
  <c r="CH73" i="21"/>
  <c r="BZ88" i="21"/>
  <c r="DL107" i="21"/>
  <c r="X111" i="21"/>
  <c r="Y111" i="21" s="1"/>
  <c r="EB114" i="21"/>
  <c r="Y121" i="21"/>
  <c r="DT121" i="21" s="1"/>
  <c r="I127" i="21"/>
  <c r="BB127" i="21" s="1"/>
  <c r="DL144" i="21"/>
  <c r="N166" i="21"/>
  <c r="EE166" i="21" s="1"/>
  <c r="U166" i="21"/>
  <c r="AY166" i="21" s="1"/>
  <c r="T171" i="21"/>
  <c r="BZ171" i="21"/>
  <c r="CB171" i="21" s="1"/>
  <c r="FY171" i="21"/>
  <c r="Y172" i="21"/>
  <c r="DT172" i="21" s="1"/>
  <c r="EL172" i="21"/>
  <c r="EK172" i="21" s="1"/>
  <c r="BR175" i="21"/>
  <c r="DZ175" i="21" s="1"/>
  <c r="EB175" i="21" s="1"/>
  <c r="U175" i="21"/>
  <c r="AY175" i="21" s="1"/>
  <c r="CH214" i="21"/>
  <c r="BA229" i="21"/>
  <c r="X229" i="21"/>
  <c r="AY300" i="21"/>
  <c r="BA361" i="21"/>
  <c r="X361" i="21"/>
  <c r="EL361" i="21" s="1"/>
  <c r="EK361" i="21" s="1"/>
  <c r="BR136" i="21"/>
  <c r="DZ136" i="21" s="1"/>
  <c r="EB136" i="21" s="1"/>
  <c r="DL141" i="21"/>
  <c r="DL142" i="21"/>
  <c r="BZ153" i="21"/>
  <c r="CB153" i="21" s="1"/>
  <c r="CI153" i="21" s="1"/>
  <c r="CK153" i="21" s="1"/>
  <c r="M156" i="21"/>
  <c r="BF156" i="21" s="1"/>
  <c r="AQ161" i="21"/>
  <c r="BR176" i="21"/>
  <c r="DZ176" i="21" s="1"/>
  <c r="EB176" i="21" s="1"/>
  <c r="EH176" i="21" s="1"/>
  <c r="Q199" i="21"/>
  <c r="BR199" i="21" s="1"/>
  <c r="DZ199" i="21" s="1"/>
  <c r="EB199" i="21" s="1"/>
  <c r="DL208" i="21"/>
  <c r="BZ212" i="21"/>
  <c r="AY225" i="21"/>
  <c r="AZ225" i="21" s="1"/>
  <c r="DL225" i="21"/>
  <c r="BA231" i="21"/>
  <c r="CH233" i="21"/>
  <c r="AN235" i="21"/>
  <c r="GA238" i="21"/>
  <c r="CS238" i="21" s="1"/>
  <c r="BA244" i="21"/>
  <c r="BB244" i="21" s="1"/>
  <c r="BA248" i="21"/>
  <c r="CM264" i="21"/>
  <c r="FG264" i="21" s="1"/>
  <c r="BZ278" i="21"/>
  <c r="FY299" i="21"/>
  <c r="BZ300" i="21"/>
  <c r="AL314" i="21"/>
  <c r="EL362" i="21"/>
  <c r="EK362" i="21" s="1"/>
  <c r="X385" i="21"/>
  <c r="X396" i="21"/>
  <c r="EL396" i="21" s="1"/>
  <c r="EK396" i="21" s="1"/>
  <c r="ET396" i="21" s="1"/>
  <c r="BR430" i="21"/>
  <c r="DZ430" i="21" s="1"/>
  <c r="CH134" i="21"/>
  <c r="BZ136" i="21"/>
  <c r="DI156" i="21"/>
  <c r="CH157" i="21"/>
  <c r="DR163" i="21"/>
  <c r="FX171" i="21"/>
  <c r="CH172" i="21"/>
  <c r="S182" i="21"/>
  <c r="AN182" i="21" s="1"/>
  <c r="AN188" i="21"/>
  <c r="N190" i="21"/>
  <c r="EE190" i="21" s="1"/>
  <c r="S195" i="21"/>
  <c r="S196" i="21"/>
  <c r="T199" i="21"/>
  <c r="AK202" i="21"/>
  <c r="BE203" i="21"/>
  <c r="FX209" i="21"/>
  <c r="CA212" i="21"/>
  <c r="EL215" i="21"/>
  <c r="EK215" i="21" s="1"/>
  <c r="BR220" i="21"/>
  <c r="DZ220" i="21" s="1"/>
  <c r="EB220" i="21" s="1"/>
  <c r="T223" i="21"/>
  <c r="DL223" i="21"/>
  <c r="EE227" i="21"/>
  <c r="CA278" i="21"/>
  <c r="CE300" i="21"/>
  <c r="X304" i="21"/>
  <c r="EL304" i="21" s="1"/>
  <c r="EK304" i="21" s="1"/>
  <c r="CH316" i="21"/>
  <c r="X324" i="21"/>
  <c r="EL324" i="21" s="1"/>
  <c r="EK324" i="21" s="1"/>
  <c r="CE360" i="21"/>
  <c r="BA389" i="21"/>
  <c r="BB389" i="21" s="1"/>
  <c r="DI401" i="21"/>
  <c r="BB411" i="21"/>
  <c r="BB427" i="21"/>
  <c r="BZ430" i="21"/>
  <c r="X446" i="21"/>
  <c r="EL446" i="21" s="1"/>
  <c r="EK446" i="21" s="1"/>
  <c r="DL130" i="21"/>
  <c r="AK138" i="21"/>
  <c r="AM138" i="21" s="1"/>
  <c r="I145" i="21"/>
  <c r="AX145" i="21" s="1"/>
  <c r="CM145" i="21" s="1"/>
  <c r="FG145" i="21" s="1"/>
  <c r="P156" i="21"/>
  <c r="BI163" i="21"/>
  <c r="DI164" i="21"/>
  <c r="DL173" i="21"/>
  <c r="FX182" i="21"/>
  <c r="S190" i="21"/>
  <c r="S193" i="21"/>
  <c r="Q194" i="21"/>
  <c r="U195" i="21"/>
  <c r="Y198" i="21"/>
  <c r="U199" i="21"/>
  <c r="M208" i="21"/>
  <c r="DI211" i="21"/>
  <c r="BR226" i="21"/>
  <c r="DZ226" i="21" s="1"/>
  <c r="EB226" i="21" s="1"/>
  <c r="EH226" i="21" s="1"/>
  <c r="DM226" i="21" s="1"/>
  <c r="ED226" i="21" s="1"/>
  <c r="X237" i="21"/>
  <c r="I239" i="21"/>
  <c r="BB239" i="21" s="1"/>
  <c r="I241" i="21"/>
  <c r="EE241" i="21"/>
  <c r="DL242" i="21"/>
  <c r="AL269" i="21"/>
  <c r="BA270" i="21"/>
  <c r="BB270" i="21" s="1"/>
  <c r="DI282" i="21"/>
  <c r="EH290" i="21"/>
  <c r="AX297" i="21"/>
  <c r="AL315" i="21"/>
  <c r="AX317" i="21"/>
  <c r="CM317" i="21" s="1"/>
  <c r="BR319" i="21"/>
  <c r="DZ319" i="21" s="1"/>
  <c r="EB319" i="21" s="1"/>
  <c r="CE380" i="21"/>
  <c r="AX388" i="21"/>
  <c r="AL412" i="21"/>
  <c r="Y414" i="21"/>
  <c r="BA416" i="21"/>
  <c r="BA425" i="21"/>
  <c r="BB425" i="21" s="1"/>
  <c r="CE428" i="21"/>
  <c r="CA430" i="21"/>
  <c r="BA432" i="21"/>
  <c r="M439" i="21"/>
  <c r="BF439" i="21" s="1"/>
  <c r="CO439" i="21" s="1"/>
  <c r="BK137" i="21"/>
  <c r="BL137" i="21" s="1"/>
  <c r="BN137" i="21" s="1"/>
  <c r="BB160" i="21"/>
  <c r="BB169" i="21"/>
  <c r="DL174" i="21"/>
  <c r="U189" i="21"/>
  <c r="S194" i="21"/>
  <c r="BB202" i="21"/>
  <c r="DL206" i="21"/>
  <c r="EE210" i="21"/>
  <c r="DL211" i="21"/>
  <c r="BZ226" i="21"/>
  <c r="CB226" i="21" s="1"/>
  <c r="CI226" i="21" s="1"/>
  <c r="FY227" i="21"/>
  <c r="GA227" i="21" s="1"/>
  <c r="CS227" i="21" s="1"/>
  <c r="BR235" i="21"/>
  <c r="DZ235" i="21" s="1"/>
  <c r="EB235" i="21" s="1"/>
  <c r="EG235" i="21" s="1"/>
  <c r="EL241" i="21"/>
  <c r="EK241" i="21" s="1"/>
  <c r="T253" i="21"/>
  <c r="Y259" i="21"/>
  <c r="DT259" i="21" s="1"/>
  <c r="AX269" i="21"/>
  <c r="CH300" i="21"/>
  <c r="CA314" i="21"/>
  <c r="BA317" i="21"/>
  <c r="BZ319" i="21"/>
  <c r="CB319" i="21" s="1"/>
  <c r="CE368" i="21"/>
  <c r="CE386" i="21"/>
  <c r="AX387" i="21"/>
  <c r="CM387" i="21" s="1"/>
  <c r="AX400" i="21"/>
  <c r="CM400" i="21" s="1"/>
  <c r="BA443" i="21"/>
  <c r="BB443" i="21" s="1"/>
  <c r="DL134" i="21"/>
  <c r="CA137" i="21"/>
  <c r="CI143" i="21"/>
  <c r="CK143" i="21" s="1"/>
  <c r="CP143" i="21" s="1"/>
  <c r="CH149" i="21"/>
  <c r="U156" i="21"/>
  <c r="AY156" i="21" s="1"/>
  <c r="BB161" i="21"/>
  <c r="AQ163" i="21"/>
  <c r="T164" i="21"/>
  <c r="BE169" i="21"/>
  <c r="CH176" i="21"/>
  <c r="BE178" i="21"/>
  <c r="AK181" i="21"/>
  <c r="AJ181" i="21" s="1"/>
  <c r="L187" i="21"/>
  <c r="Y196" i="21"/>
  <c r="DT196" i="21" s="1"/>
  <c r="EE204" i="21"/>
  <c r="EE205" i="21"/>
  <c r="P208" i="21"/>
  <c r="DY208" i="21" s="1"/>
  <c r="I210" i="21"/>
  <c r="CH212" i="21"/>
  <c r="CA218" i="21"/>
  <c r="CH220" i="21"/>
  <c r="AK222" i="21"/>
  <c r="EE225" i="21"/>
  <c r="CA226" i="21"/>
  <c r="CH231" i="21"/>
  <c r="BZ235" i="21"/>
  <c r="CB235" i="21" s="1"/>
  <c r="AK236" i="21"/>
  <c r="AJ236" i="21" s="1"/>
  <c r="X238" i="21"/>
  <c r="DL243" i="21"/>
  <c r="AL274" i="21"/>
  <c r="T275" i="21"/>
  <c r="T277" i="21"/>
  <c r="AX301" i="21"/>
  <c r="AL304" i="21"/>
  <c r="BB315" i="21"/>
  <c r="BB387" i="21"/>
  <c r="BB400" i="21"/>
  <c r="DA143" i="21"/>
  <c r="U164" i="21"/>
  <c r="DL167" i="21"/>
  <c r="BE170" i="21"/>
  <c r="DI172" i="21"/>
  <c r="Y182" i="21"/>
  <c r="I183" i="21"/>
  <c r="BI190" i="21"/>
  <c r="BI196" i="21"/>
  <c r="BF211" i="21"/>
  <c r="CO211" i="21" s="1"/>
  <c r="AL236" i="21"/>
  <c r="AY240" i="21"/>
  <c r="AN241" i="21"/>
  <c r="EE242" i="21"/>
  <c r="BE245" i="21"/>
  <c r="BF245" i="21" s="1"/>
  <c r="CO245" i="21" s="1"/>
  <c r="AX246" i="21"/>
  <c r="AL260" i="21"/>
  <c r="AX263" i="21"/>
  <c r="BA271" i="21"/>
  <c r="BB271" i="21" s="1"/>
  <c r="BA292" i="21"/>
  <c r="BZ315" i="21"/>
  <c r="BB322" i="21"/>
  <c r="BZ328" i="21"/>
  <c r="EL332" i="21"/>
  <c r="EK332" i="21" s="1"/>
  <c r="CH338" i="21"/>
  <c r="CA348" i="21"/>
  <c r="Y349" i="21"/>
  <c r="BA358" i="21"/>
  <c r="BB358" i="21" s="1"/>
  <c r="BB359" i="21"/>
  <c r="X365" i="21"/>
  <c r="EL365" i="21" s="1"/>
  <c r="CE366" i="21"/>
  <c r="CH386" i="21"/>
  <c r="Y398" i="21"/>
  <c r="DT398" i="21" s="1"/>
  <c r="DI425" i="21"/>
  <c r="CH430" i="21"/>
  <c r="CE432" i="21"/>
  <c r="AX434" i="21"/>
  <c r="CM434" i="21" s="1"/>
  <c r="EL436" i="21"/>
  <c r="EK436" i="21" s="1"/>
  <c r="FX156" i="21"/>
  <c r="GA156" i="21" s="1"/>
  <c r="CH158" i="21"/>
  <c r="FX164" i="21"/>
  <c r="GA164" i="21" s="1"/>
  <c r="BF172" i="21"/>
  <c r="CO172" i="21" s="1"/>
  <c r="L174" i="21"/>
  <c r="BI182" i="21"/>
  <c r="L183" i="21"/>
  <c r="DL183" i="21"/>
  <c r="S188" i="21"/>
  <c r="Y195" i="21"/>
  <c r="CH203" i="21"/>
  <c r="EL211" i="21"/>
  <c r="EK211" i="21" s="1"/>
  <c r="BR213" i="21"/>
  <c r="DZ213" i="21" s="1"/>
  <c r="EB213" i="21" s="1"/>
  <c r="L216" i="21"/>
  <c r="DL216" i="21"/>
  <c r="Y223" i="21"/>
  <c r="GA223" i="21"/>
  <c r="BI227" i="21"/>
  <c r="GA228" i="21"/>
  <c r="AM236" i="21"/>
  <c r="AZ240" i="21"/>
  <c r="BB275" i="21"/>
  <c r="M288" i="21"/>
  <c r="BF288" i="21" s="1"/>
  <c r="CO288" i="21" s="1"/>
  <c r="X290" i="21"/>
  <c r="CE301" i="21"/>
  <c r="AL372" i="21"/>
  <c r="DI411" i="21"/>
  <c r="I142" i="21"/>
  <c r="DI143" i="21"/>
  <c r="DI168" i="21"/>
  <c r="ET168" i="21" s="1"/>
  <c r="EU168" i="21" s="1"/>
  <c r="EV168" i="21" s="1"/>
  <c r="CH169" i="21"/>
  <c r="DL184" i="21"/>
  <c r="AM190" i="21"/>
  <c r="AK193" i="21"/>
  <c r="AK196" i="21"/>
  <c r="BE201" i="21"/>
  <c r="Q209" i="21"/>
  <c r="BR209" i="21" s="1"/>
  <c r="DZ209" i="21" s="1"/>
  <c r="EB209" i="21" s="1"/>
  <c r="EH209" i="21" s="1"/>
  <c r="DM209" i="21" s="1"/>
  <c r="Q210" i="21"/>
  <c r="AJ215" i="21"/>
  <c r="FY225" i="21"/>
  <c r="GA225" i="21" s="1"/>
  <c r="CS225" i="21" s="1"/>
  <c r="FY228" i="21"/>
  <c r="EE234" i="21"/>
  <c r="CH235" i="21"/>
  <c r="AN236" i="21"/>
  <c r="I242" i="21"/>
  <c r="EE243" i="21"/>
  <c r="BB256" i="21"/>
  <c r="AY268" i="21"/>
  <c r="AZ268" i="21" s="1"/>
  <c r="FY268" i="21"/>
  <c r="DI269" i="21"/>
  <c r="BA274" i="21"/>
  <c r="CH303" i="21"/>
  <c r="CE378" i="21"/>
  <c r="DI389" i="21"/>
  <c r="ET389" i="21" s="1"/>
  <c r="EU389" i="21" s="1"/>
  <c r="EV389" i="21" s="1"/>
  <c r="AL390" i="21"/>
  <c r="BZ407" i="21"/>
  <c r="CB407" i="21" s="1"/>
  <c r="AL430" i="21"/>
  <c r="Y440" i="21"/>
  <c r="CH444" i="21"/>
  <c r="DJ143" i="21"/>
  <c r="BE154" i="21"/>
  <c r="Y156" i="21"/>
  <c r="L167" i="21"/>
  <c r="DL168" i="21"/>
  <c r="FX172" i="21"/>
  <c r="EL174" i="21"/>
  <c r="EK174" i="21" s="1"/>
  <c r="AJ182" i="21"/>
  <c r="FX183" i="21"/>
  <c r="S187" i="21"/>
  <c r="AK189" i="21"/>
  <c r="AJ189" i="21" s="1"/>
  <c r="AK191" i="21"/>
  <c r="AJ191" i="21" s="1"/>
  <c r="T209" i="21"/>
  <c r="EB216" i="21"/>
  <c r="CH217" i="21"/>
  <c r="BA222" i="21"/>
  <c r="I224" i="21"/>
  <c r="AK225" i="21"/>
  <c r="AJ225" i="21" s="1"/>
  <c r="AJ227" i="21"/>
  <c r="Y240" i="21"/>
  <c r="DT240" i="21" s="1"/>
  <c r="L242" i="21"/>
  <c r="X256" i="21"/>
  <c r="BR274" i="21"/>
  <c r="DZ274" i="21" s="1"/>
  <c r="CA304" i="21"/>
  <c r="EG327" i="21"/>
  <c r="DI387" i="21"/>
  <c r="BZ412" i="21"/>
  <c r="CB412" i="21" s="1"/>
  <c r="CI412" i="21" s="1"/>
  <c r="BA414" i="21"/>
  <c r="BB414" i="21" s="1"/>
  <c r="FY130" i="21"/>
  <c r="GA130" i="21" s="1"/>
  <c r="CS130" i="21" s="1"/>
  <c r="EE134" i="21"/>
  <c r="I141" i="21"/>
  <c r="DL143" i="21"/>
  <c r="BK144" i="21"/>
  <c r="BR154" i="21"/>
  <c r="DZ154" i="21" s="1"/>
  <c r="EB154" i="21" s="1"/>
  <c r="I166" i="21"/>
  <c r="DI166" i="21" s="1"/>
  <c r="FY174" i="21"/>
  <c r="AM182" i="21"/>
  <c r="S186" i="21"/>
  <c r="AM189" i="21"/>
  <c r="AM191" i="21"/>
  <c r="BB192" i="21"/>
  <c r="AK194" i="21"/>
  <c r="U209" i="21"/>
  <c r="T210" i="21"/>
  <c r="T211" i="21"/>
  <c r="AM215" i="21"/>
  <c r="AQ215" i="21" s="1"/>
  <c r="EE216" i="21"/>
  <c r="I220" i="21"/>
  <c r="AX220" i="21" s="1"/>
  <c r="CM220" i="21" s="1"/>
  <c r="AL225" i="21"/>
  <c r="AL227" i="21"/>
  <c r="L234" i="21"/>
  <c r="BI240" i="21"/>
  <c r="BJ240" i="21" s="1"/>
  <c r="L243" i="21"/>
  <c r="X268" i="21"/>
  <c r="BZ274" i="21"/>
  <c r="AL275" i="21"/>
  <c r="CH302" i="21"/>
  <c r="CE304" i="21"/>
  <c r="AL319" i="21"/>
  <c r="GA323" i="21"/>
  <c r="CS323" i="21" s="1"/>
  <c r="CM344" i="21"/>
  <c r="EA383" i="21"/>
  <c r="CE407" i="21"/>
  <c r="CE408" i="21"/>
  <c r="T130" i="21"/>
  <c r="I134" i="21"/>
  <c r="DI138" i="21"/>
  <c r="CA154" i="21"/>
  <c r="BR163" i="21"/>
  <c r="DZ163" i="21" s="1"/>
  <c r="EB163" i="21" s="1"/>
  <c r="EH163" i="21" s="1"/>
  <c r="DM163" i="21" s="1"/>
  <c r="EE202" i="21"/>
  <c r="T205" i="21"/>
  <c r="U210" i="21"/>
  <c r="FY212" i="21"/>
  <c r="GA212" i="21" s="1"/>
  <c r="CH213" i="21"/>
  <c r="T216" i="21"/>
  <c r="L220" i="21"/>
  <c r="EE220" i="21"/>
  <c r="AK223" i="21"/>
  <c r="AJ223" i="21" s="1"/>
  <c r="DL224" i="21"/>
  <c r="AM225" i="21"/>
  <c r="AY228" i="21"/>
  <c r="AZ228" i="21" s="1"/>
  <c r="BC228" i="21" s="1"/>
  <c r="FY230" i="21"/>
  <c r="DL235" i="21"/>
  <c r="AX252" i="21"/>
  <c r="CM252" i="21" s="1"/>
  <c r="BZ260" i="21"/>
  <c r="CB260" i="21" s="1"/>
  <c r="DI263" i="21"/>
  <c r="CA274" i="21"/>
  <c r="CB274" i="21" s="1"/>
  <c r="AX275" i="21"/>
  <c r="X285" i="21"/>
  <c r="EL285" i="21" s="1"/>
  <c r="EK285" i="21" s="1"/>
  <c r="BR290" i="21"/>
  <c r="DZ290" i="21" s="1"/>
  <c r="EB290" i="21" s="1"/>
  <c r="EG290" i="21" s="1"/>
  <c r="CH301" i="21"/>
  <c r="Y308" i="21"/>
  <c r="BR324" i="21"/>
  <c r="DZ324" i="21" s="1"/>
  <c r="EB324" i="21" s="1"/>
  <c r="X325" i="21"/>
  <c r="EL325" i="21" s="1"/>
  <c r="EK325" i="21" s="1"/>
  <c r="CE349" i="21"/>
  <c r="CH365" i="21"/>
  <c r="CH376" i="21"/>
  <c r="CE391" i="21"/>
  <c r="X420" i="21"/>
  <c r="EL420" i="21" s="1"/>
  <c r="EK420" i="21" s="1"/>
  <c r="AL223" i="21"/>
  <c r="BI239" i="21"/>
  <c r="BF275" i="21"/>
  <c r="EU396" i="21"/>
  <c r="EV396" i="21" s="1"/>
  <c r="BI187" i="21"/>
  <c r="AY224" i="21"/>
  <c r="CH236" i="21"/>
  <c r="CE250" i="21"/>
  <c r="CE307" i="21"/>
  <c r="X309" i="21"/>
  <c r="EL309" i="21" s="1"/>
  <c r="EK309" i="21" s="1"/>
  <c r="EB328" i="21"/>
  <c r="X334" i="21"/>
  <c r="FY337" i="21"/>
  <c r="GA337" i="21" s="1"/>
  <c r="CS337" i="21" s="1"/>
  <c r="CH349" i="21"/>
  <c r="Y363" i="21"/>
  <c r="CE394" i="21"/>
  <c r="CE404" i="21"/>
  <c r="CH412" i="21"/>
  <c r="X438" i="21"/>
  <c r="EL438" i="21" s="1"/>
  <c r="EK438" i="21" s="1"/>
  <c r="AK142" i="21"/>
  <c r="AM142" i="21" s="1"/>
  <c r="CH146" i="21"/>
  <c r="AT164" i="21"/>
  <c r="AU164" i="21" s="1"/>
  <c r="EE177" i="21"/>
  <c r="BZ182" i="21"/>
  <c r="S184" i="21"/>
  <c r="AM187" i="21"/>
  <c r="CH195" i="21"/>
  <c r="AK211" i="21"/>
  <c r="AT215" i="21"/>
  <c r="DU215" i="21" s="1"/>
  <c r="DN215" i="21" s="1"/>
  <c r="GA224" i="21"/>
  <c r="CA227" i="21"/>
  <c r="CB227" i="21" s="1"/>
  <c r="CI227" i="21" s="1"/>
  <c r="AY235" i="21"/>
  <c r="EE235" i="21"/>
  <c r="CH240" i="21"/>
  <c r="BA241" i="21"/>
  <c r="BA257" i="21"/>
  <c r="GA260" i="21"/>
  <c r="CS260" i="21" s="1"/>
  <c r="M271" i="21"/>
  <c r="BF271" i="21" s="1"/>
  <c r="CO271" i="21" s="1"/>
  <c r="CE276" i="21"/>
  <c r="BR277" i="21"/>
  <c r="DZ277" i="21" s="1"/>
  <c r="BB286" i="21"/>
  <c r="M301" i="21"/>
  <c r="BF301" i="21" s="1"/>
  <c r="CE325" i="21"/>
  <c r="CE326" i="21"/>
  <c r="FY348" i="21"/>
  <c r="GA348" i="21" s="1"/>
  <c r="CS348" i="21" s="1"/>
  <c r="CH350" i="21"/>
  <c r="BF396" i="21"/>
  <c r="BA440" i="21"/>
  <c r="CE441" i="21"/>
  <c r="BE156" i="21"/>
  <c r="T170" i="21"/>
  <c r="AK174" i="21"/>
  <c r="AJ174" i="21" s="1"/>
  <c r="CH188" i="21"/>
  <c r="DL189" i="21"/>
  <c r="BB208" i="21"/>
  <c r="BB209" i="21"/>
  <c r="BA215" i="21"/>
  <c r="BB215" i="21" s="1"/>
  <c r="AK216" i="21"/>
  <c r="AJ216" i="21" s="1"/>
  <c r="BR223" i="21"/>
  <c r="DZ223" i="21" s="1"/>
  <c r="DI255" i="21"/>
  <c r="CH324" i="21"/>
  <c r="AY333" i="21"/>
  <c r="CH397" i="21"/>
  <c r="T430" i="21"/>
  <c r="AY430" i="21" s="1"/>
  <c r="AZ430" i="21" s="1"/>
  <c r="AK134" i="21"/>
  <c r="AM134" i="21" s="1"/>
  <c r="AK143" i="21"/>
  <c r="CH145" i="21"/>
  <c r="BR156" i="21"/>
  <c r="DZ156" i="21" s="1"/>
  <c r="EB156" i="21" s="1"/>
  <c r="BF162" i="21"/>
  <c r="CH171" i="21"/>
  <c r="AM174" i="21"/>
  <c r="I181" i="21"/>
  <c r="M181" i="21" s="1"/>
  <c r="DL191" i="21"/>
  <c r="DL193" i="21"/>
  <c r="BE210" i="21"/>
  <c r="CB213" i="21"/>
  <c r="AL216" i="21"/>
  <c r="AN217" i="21"/>
  <c r="BI220" i="21"/>
  <c r="BZ223" i="21"/>
  <c r="AK224" i="21"/>
  <c r="AJ224" i="21" s="1"/>
  <c r="FY235" i="21"/>
  <c r="DL238" i="21"/>
  <c r="AK242" i="21"/>
  <c r="M246" i="21"/>
  <c r="BF246" i="21" s="1"/>
  <c r="CO246" i="21" s="1"/>
  <c r="DI275" i="21"/>
  <c r="CE288" i="21"/>
  <c r="Y300" i="21"/>
  <c r="X313" i="21"/>
  <c r="BA338" i="21"/>
  <c r="EK434" i="21"/>
  <c r="EK435" i="21"/>
  <c r="X448" i="21"/>
  <c r="EL448" i="21" s="1"/>
  <c r="CA223" i="21"/>
  <c r="FY226" i="21"/>
  <c r="GA226" i="21" s="1"/>
  <c r="AK243" i="21"/>
  <c r="BR286" i="21"/>
  <c r="DZ286" i="21" s="1"/>
  <c r="EB286" i="21" s="1"/>
  <c r="CH308" i="21"/>
  <c r="BR351" i="21"/>
  <c r="DZ351" i="21" s="1"/>
  <c r="EB351" i="21" s="1"/>
  <c r="EL364" i="21"/>
  <c r="EK364" i="21" s="1"/>
  <c r="X372" i="21"/>
  <c r="Y372" i="21" s="1"/>
  <c r="FY412" i="21"/>
  <c r="GA412" i="21" s="1"/>
  <c r="Y425" i="21"/>
  <c r="X426" i="21"/>
  <c r="M434" i="21"/>
  <c r="BR130" i="21"/>
  <c r="DZ130" i="21" s="1"/>
  <c r="EB130" i="21" s="1"/>
  <c r="AN143" i="21"/>
  <c r="CA156" i="21"/>
  <c r="BB159" i="21"/>
  <c r="BR164" i="21"/>
  <c r="DZ164" i="21" s="1"/>
  <c r="EB164" i="21" s="1"/>
  <c r="AK167" i="21"/>
  <c r="AT167" i="21" s="1"/>
  <c r="DU167" i="21" s="1"/>
  <c r="U169" i="21"/>
  <c r="U179" i="21"/>
  <c r="L182" i="21"/>
  <c r="EL191" i="21"/>
  <c r="EK191" i="21" s="1"/>
  <c r="FX196" i="21"/>
  <c r="BB211" i="21"/>
  <c r="T213" i="21"/>
  <c r="CH215" i="21"/>
  <c r="X221" i="21"/>
  <c r="EL222" i="21"/>
  <c r="EK222" i="21" s="1"/>
  <c r="AM224" i="21"/>
  <c r="I225" i="21"/>
  <c r="CI225" i="21"/>
  <c r="AL226" i="21"/>
  <c r="BZ228" i="21"/>
  <c r="AL234" i="21"/>
  <c r="AM243" i="21"/>
  <c r="P246" i="21"/>
  <c r="DY246" i="21" s="1"/>
  <c r="FY250" i="21"/>
  <c r="BR268" i="21"/>
  <c r="DZ268" i="21" s="1"/>
  <c r="EB268" i="21" s="1"/>
  <c r="BZ286" i="21"/>
  <c r="CH290" i="21"/>
  <c r="BZ351" i="21"/>
  <c r="BA363" i="21"/>
  <c r="T369" i="21"/>
  <c r="BB388" i="21"/>
  <c r="BR402" i="21"/>
  <c r="DZ402" i="21" s="1"/>
  <c r="EB402" i="21" s="1"/>
  <c r="EG402" i="21" s="1"/>
  <c r="AN133" i="21"/>
  <c r="FX163" i="21"/>
  <c r="GA163" i="21" s="1"/>
  <c r="AM167" i="21"/>
  <c r="U170" i="21"/>
  <c r="AX172" i="21"/>
  <c r="CA186" i="21"/>
  <c r="CH187" i="21"/>
  <c r="I193" i="21"/>
  <c r="AK220" i="21"/>
  <c r="AJ220" i="21" s="1"/>
  <c r="AN224" i="21"/>
  <c r="AM226" i="21"/>
  <c r="AM234" i="21"/>
  <c r="EE238" i="21"/>
  <c r="AN243" i="21"/>
  <c r="X265" i="21"/>
  <c r="EL265" i="21" s="1"/>
  <c r="EK265" i="21" s="1"/>
  <c r="BZ268" i="21"/>
  <c r="CB268" i="21" s="1"/>
  <c r="AY274" i="21"/>
  <c r="BA294" i="21"/>
  <c r="T304" i="21"/>
  <c r="AY304" i="21" s="1"/>
  <c r="DI308" i="21"/>
  <c r="ET308" i="21" s="1"/>
  <c r="BB347" i="21"/>
  <c r="AY369" i="21"/>
  <c r="BZ402" i="21"/>
  <c r="CB402" i="21" s="1"/>
  <c r="DI145" i="21"/>
  <c r="ET145" i="21" s="1"/>
  <c r="EU145" i="21" s="1"/>
  <c r="EV145" i="21" s="1"/>
  <c r="AQ158" i="21"/>
  <c r="AM168" i="21"/>
  <c r="FY188" i="21"/>
  <c r="I194" i="21"/>
  <c r="AM220" i="21"/>
  <c r="DL227" i="21"/>
  <c r="BR230" i="21"/>
  <c r="DZ230" i="21" s="1"/>
  <c r="EB230" i="21" s="1"/>
  <c r="AK235" i="21"/>
  <c r="AJ235" i="21" s="1"/>
  <c r="I238" i="21"/>
  <c r="DI238" i="21" s="1"/>
  <c r="Y248" i="21"/>
  <c r="CH280" i="21"/>
  <c r="CE293" i="21"/>
  <c r="CH337" i="21"/>
  <c r="X347" i="21"/>
  <c r="CE351" i="21"/>
  <c r="CE402" i="21"/>
  <c r="M407" i="21"/>
  <c r="BB412" i="21"/>
  <c r="X428" i="21"/>
  <c r="X431" i="21"/>
  <c r="EL431" i="21" s="1"/>
  <c r="EK431" i="21" s="1"/>
  <c r="DL145" i="21"/>
  <c r="BI154" i="21"/>
  <c r="AQ159" i="21"/>
  <c r="AT160" i="21"/>
  <c r="DU160" i="21" s="1"/>
  <c r="CH205" i="21"/>
  <c r="AL235" i="21"/>
  <c r="BA243" i="21"/>
  <c r="BB243" i="21" s="1"/>
  <c r="X245" i="21"/>
  <c r="Y245" i="21" s="1"/>
  <c r="CH283" i="21"/>
  <c r="BR313" i="21"/>
  <c r="DZ313" i="21" s="1"/>
  <c r="GA324" i="21"/>
  <c r="GA326" i="21"/>
  <c r="AY328" i="21"/>
  <c r="CH334" i="21"/>
  <c r="BB360" i="21"/>
  <c r="Y369" i="21"/>
  <c r="EA371" i="21"/>
  <c r="BA437" i="21"/>
  <c r="CE316" i="21"/>
  <c r="BZ327" i="21"/>
  <c r="CB327" i="21" s="1"/>
  <c r="CI327" i="21" s="1"/>
  <c r="CK327" i="21" s="1"/>
  <c r="CP327" i="21" s="1"/>
  <c r="BA332" i="21"/>
  <c r="X341" i="21"/>
  <c r="EL341" i="21" s="1"/>
  <c r="EK341" i="21" s="1"/>
  <c r="EH344" i="21"/>
  <c r="CH351" i="21"/>
  <c r="CH402" i="21"/>
  <c r="U193" i="20"/>
  <c r="DV558" i="20"/>
  <c r="EU558" i="20"/>
  <c r="EX558" i="20" s="1"/>
  <c r="EY558" i="20" s="1"/>
  <c r="BG553" i="20"/>
  <c r="BP553" i="20" s="1"/>
  <c r="FO556" i="20"/>
  <c r="DC556" i="20"/>
  <c r="EB558" i="20"/>
  <c r="BQ558" i="20"/>
  <c r="AT553" i="20"/>
  <c r="AY553" i="20" s="1"/>
  <c r="BG552" i="20"/>
  <c r="BP552" i="20" s="1"/>
  <c r="BB552" i="20"/>
  <c r="EC552" i="20" s="1"/>
  <c r="FO553" i="20"/>
  <c r="DC553" i="20"/>
  <c r="BZ552" i="20"/>
  <c r="EH552" i="20" s="1"/>
  <c r="EJ552" i="20" s="1"/>
  <c r="AT552" i="20"/>
  <c r="AY552" i="20" s="1"/>
  <c r="CI552" i="20"/>
  <c r="AR552" i="20"/>
  <c r="EB554" i="20"/>
  <c r="CL551" i="20"/>
  <c r="CM551" i="20" s="1"/>
  <c r="GG551" i="20"/>
  <c r="GI551" i="20" s="1"/>
  <c r="DA551" i="20" s="1"/>
  <c r="BM551" i="20"/>
  <c r="BZ555" i="20"/>
  <c r="EH555" i="20" s="1"/>
  <c r="EJ555" i="20" s="1"/>
  <c r="CI555" i="20"/>
  <c r="CI550" i="20"/>
  <c r="BZ550" i="20"/>
  <c r="EH550" i="20" s="1"/>
  <c r="EJ550" i="20" s="1"/>
  <c r="EP550" i="20" s="1"/>
  <c r="CH550" i="20"/>
  <c r="AR553" i="20"/>
  <c r="AB555" i="20"/>
  <c r="BG555" i="20" s="1"/>
  <c r="BB550" i="20"/>
  <c r="EC550" i="20" s="1"/>
  <c r="AR550" i="20"/>
  <c r="AB556" i="20"/>
  <c r="BG556" i="20" s="1"/>
  <c r="AB550" i="20"/>
  <c r="AT550" i="20"/>
  <c r="AY550" i="20" s="1"/>
  <c r="AR555" i="20"/>
  <c r="BB555" i="20"/>
  <c r="EC555" i="20" s="1"/>
  <c r="AY555" i="20"/>
  <c r="BZ557" i="20"/>
  <c r="EH557" i="20" s="1"/>
  <c r="EJ557" i="20" s="1"/>
  <c r="CI557" i="20"/>
  <c r="BZ553" i="20"/>
  <c r="EH553" i="20" s="1"/>
  <c r="EJ553" i="20" s="1"/>
  <c r="CI553" i="20"/>
  <c r="CI554" i="20"/>
  <c r="BZ554" i="20"/>
  <c r="EH554" i="20" s="1"/>
  <c r="EJ554" i="20" s="1"/>
  <c r="AR551" i="20"/>
  <c r="BB551" i="20"/>
  <c r="EC551" i="20" s="1"/>
  <c r="U554" i="20"/>
  <c r="EG554" i="20" s="1"/>
  <c r="BF554" i="20"/>
  <c r="CU554" i="20" s="1"/>
  <c r="AO554" i="20"/>
  <c r="P554" i="20"/>
  <c r="DQ554" i="20"/>
  <c r="CI556" i="20"/>
  <c r="CH556" i="20"/>
  <c r="BZ556" i="20"/>
  <c r="EH556" i="20" s="1"/>
  <c r="EJ556" i="20" s="1"/>
  <c r="EP556" i="20" s="1"/>
  <c r="AT556" i="20"/>
  <c r="GG550" i="20"/>
  <c r="GI550" i="20" s="1"/>
  <c r="DA550" i="20" s="1"/>
  <c r="CL550" i="20"/>
  <c r="CM550" i="20" s="1"/>
  <c r="AT557" i="20"/>
  <c r="AY557" i="20" s="1"/>
  <c r="AO555" i="20"/>
  <c r="DQ555" i="20"/>
  <c r="BF555" i="20"/>
  <c r="CU555" i="20" s="1"/>
  <c r="BJ555" i="20"/>
  <c r="P555" i="20"/>
  <c r="U555" i="20"/>
  <c r="EG555" i="20" s="1"/>
  <c r="GG558" i="20"/>
  <c r="GI558" i="20" s="1"/>
  <c r="DA558" i="20" s="1"/>
  <c r="CI558" i="20"/>
  <c r="AT558" i="20"/>
  <c r="BZ558" i="20"/>
  <c r="EH558" i="20" s="1"/>
  <c r="EJ558" i="20" s="1"/>
  <c r="AR558" i="20"/>
  <c r="BN550" i="20"/>
  <c r="CW550" i="20" s="1"/>
  <c r="AG550" i="20"/>
  <c r="ET550" i="20"/>
  <c r="ES550" i="20" s="1"/>
  <c r="AO557" i="20"/>
  <c r="DQ557" i="20"/>
  <c r="BF557" i="20"/>
  <c r="CU557" i="20" s="1"/>
  <c r="U557" i="20"/>
  <c r="EG557" i="20" s="1"/>
  <c r="P557" i="20"/>
  <c r="BB557" i="20"/>
  <c r="EC557" i="20" s="1"/>
  <c r="BP551" i="20"/>
  <c r="BH551" i="20"/>
  <c r="ET555" i="20"/>
  <c r="ES555" i="20" s="1"/>
  <c r="AG555" i="20"/>
  <c r="BF552" i="20"/>
  <c r="CU552" i="20" s="1"/>
  <c r="P552" i="20"/>
  <c r="DQ552" i="20"/>
  <c r="U552" i="20"/>
  <c r="EG552" i="20" s="1"/>
  <c r="AO552" i="20"/>
  <c r="BJ552" i="20"/>
  <c r="CH551" i="20"/>
  <c r="BJ554" i="20"/>
  <c r="BH557" i="20"/>
  <c r="FO550" i="20"/>
  <c r="DC550" i="20"/>
  <c r="ET551" i="20"/>
  <c r="ES551" i="20" s="1"/>
  <c r="AG551" i="20"/>
  <c r="U558" i="20"/>
  <c r="EG558" i="20" s="1"/>
  <c r="BF558" i="20"/>
  <c r="CU558" i="20" s="1"/>
  <c r="DQ558" i="20"/>
  <c r="P558" i="20"/>
  <c r="BN558" i="20" s="1"/>
  <c r="CW558" i="20" s="1"/>
  <c r="ET557" i="20"/>
  <c r="ES557" i="20" s="1"/>
  <c r="AG557" i="20"/>
  <c r="GG556" i="20"/>
  <c r="GI556" i="20" s="1"/>
  <c r="DA556" i="20" s="1"/>
  <c r="CL556" i="20"/>
  <c r="CM556" i="20" s="1"/>
  <c r="BM556" i="20"/>
  <c r="BN556" i="20" s="1"/>
  <c r="CW556" i="20" s="1"/>
  <c r="EJ473" i="20"/>
  <c r="GG159" i="20"/>
  <c r="CJ498" i="20"/>
  <c r="CM503" i="20"/>
  <c r="CM492" i="20"/>
  <c r="ES280" i="20"/>
  <c r="AV389" i="20"/>
  <c r="EJ477" i="20"/>
  <c r="EP477" i="20" s="1"/>
  <c r="DU477" i="20" s="1"/>
  <c r="EJ478" i="20"/>
  <c r="EP478" i="20" s="1"/>
  <c r="DU478" i="20" s="1"/>
  <c r="EJ479" i="20"/>
  <c r="EP479" i="20" s="1"/>
  <c r="DU479" i="20" s="1"/>
  <c r="EJ480" i="20"/>
  <c r="EJ486" i="20"/>
  <c r="EP486" i="20" s="1"/>
  <c r="DU486" i="20" s="1"/>
  <c r="EJ487" i="20"/>
  <c r="EP487" i="20" s="1"/>
  <c r="DU487" i="20" s="1"/>
  <c r="EJ496" i="20"/>
  <c r="CL58" i="20"/>
  <c r="CM58" i="20" s="1"/>
  <c r="GG58" i="20"/>
  <c r="AO163" i="20"/>
  <c r="CL163" i="20" s="1"/>
  <c r="CM163" i="20" s="1"/>
  <c r="CP502" i="20"/>
  <c r="CP27" i="20"/>
  <c r="GG86" i="20"/>
  <c r="EJ481" i="20"/>
  <c r="EP481" i="20" s="1"/>
  <c r="DU481" i="20" s="1"/>
  <c r="EJ483" i="20"/>
  <c r="EP483" i="20" s="1"/>
  <c r="DU483" i="20" s="1"/>
  <c r="EJ492" i="20"/>
  <c r="EP492" i="20" s="1"/>
  <c r="GG78" i="20"/>
  <c r="CL78" i="20"/>
  <c r="CM78" i="20" s="1"/>
  <c r="CL61" i="20"/>
  <c r="CM61" i="20" s="1"/>
  <c r="GG61" i="20"/>
  <c r="GG79" i="20"/>
  <c r="CL79" i="20"/>
  <c r="CM79" i="20" s="1"/>
  <c r="AO55" i="20"/>
  <c r="GG55" i="20" s="1"/>
  <c r="GG54" i="20"/>
  <c r="AC209" i="20"/>
  <c r="AO396" i="20"/>
  <c r="GG396" i="20" s="1"/>
  <c r="EG209" i="20"/>
  <c r="AO85" i="20"/>
  <c r="AO87" i="20"/>
  <c r="GG225" i="20"/>
  <c r="GI225" i="20" s="1"/>
  <c r="AO84" i="20"/>
  <c r="GG84" i="20" s="1"/>
  <c r="BF112" i="20"/>
  <c r="GG64" i="20"/>
  <c r="EG228" i="20"/>
  <c r="AO81" i="20"/>
  <c r="O62" i="20"/>
  <c r="GG217" i="20"/>
  <c r="GG75" i="20"/>
  <c r="AO63" i="20"/>
  <c r="CL90" i="20"/>
  <c r="CM90" i="20" s="1"/>
  <c r="GG90" i="20"/>
  <c r="GG82" i="20"/>
  <c r="CL82" i="20"/>
  <c r="CM82" i="20" s="1"/>
  <c r="CL57" i="20"/>
  <c r="CM57" i="20" s="1"/>
  <c r="GG57" i="20"/>
  <c r="GG53" i="20"/>
  <c r="CL53" i="20"/>
  <c r="CM53" i="20" s="1"/>
  <c r="GG72" i="20"/>
  <c r="CL72" i="20"/>
  <c r="CM72" i="20" s="1"/>
  <c r="GG67" i="20"/>
  <c r="CL67" i="20"/>
  <c r="CM67" i="20" s="1"/>
  <c r="CL158" i="20"/>
  <c r="CM158" i="20" s="1"/>
  <c r="GG158" i="20"/>
  <c r="GG89" i="20"/>
  <c r="GI89" i="20" s="1"/>
  <c r="DA89" i="20" s="1"/>
  <c r="CL89" i="20"/>
  <c r="CM89" i="20" s="1"/>
  <c r="GG60" i="20"/>
  <c r="CL60" i="20"/>
  <c r="CM60" i="20" s="1"/>
  <c r="CL22" i="20"/>
  <c r="CM22" i="20" s="1"/>
  <c r="GG22" i="20"/>
  <c r="CL68" i="20"/>
  <c r="CM68" i="20" s="1"/>
  <c r="GG68" i="20"/>
  <c r="GI68" i="20" s="1"/>
  <c r="DA68" i="20" s="1"/>
  <c r="CL94" i="20"/>
  <c r="CM94" i="20" s="1"/>
  <c r="GG94" i="20"/>
  <c r="GG88" i="20"/>
  <c r="GG162" i="20"/>
  <c r="AO37" i="20"/>
  <c r="BM37" i="20" s="1"/>
  <c r="AO111" i="20"/>
  <c r="CL111" i="20" s="1"/>
  <c r="CM111" i="20" s="1"/>
  <c r="DR56" i="20"/>
  <c r="EG409" i="20"/>
  <c r="AO109" i="20"/>
  <c r="CL109" i="20" s="1"/>
  <c r="CM109" i="20" s="1"/>
  <c r="AO110" i="20"/>
  <c r="CL110" i="20" s="1"/>
  <c r="CM110" i="20" s="1"/>
  <c r="BM217" i="20"/>
  <c r="AO66" i="20"/>
  <c r="AO108" i="20"/>
  <c r="CL108" i="20" s="1"/>
  <c r="CM108" i="20" s="1"/>
  <c r="AO65" i="20"/>
  <c r="AO106" i="20"/>
  <c r="CL106" i="20" s="1"/>
  <c r="CM106" i="20" s="1"/>
  <c r="EJ23" i="20"/>
  <c r="EP23" i="20" s="1"/>
  <c r="DU23" i="20" s="1"/>
  <c r="AO62" i="20"/>
  <c r="EG196" i="20"/>
  <c r="ES211" i="20"/>
  <c r="EJ497" i="20"/>
  <c r="EP497" i="20" s="1"/>
  <c r="DU497" i="20" s="1"/>
  <c r="CP501" i="20"/>
  <c r="AO83" i="20"/>
  <c r="AO59" i="20"/>
  <c r="O339" i="20"/>
  <c r="AO80" i="20"/>
  <c r="AO56" i="20"/>
  <c r="AO164" i="20"/>
  <c r="GG164" i="20" s="1"/>
  <c r="GG116" i="20"/>
  <c r="CP126" i="20"/>
  <c r="AO77" i="20"/>
  <c r="CL77" i="20" s="1"/>
  <c r="CM77" i="20" s="1"/>
  <c r="AO93" i="20"/>
  <c r="AO380" i="20"/>
  <c r="BM380" i="20" s="1"/>
  <c r="BN380" i="20" s="1"/>
  <c r="CW380" i="20" s="1"/>
  <c r="AO20" i="20"/>
  <c r="BM20" i="20" s="1"/>
  <c r="AO76" i="20"/>
  <c r="CL76" i="20" s="1"/>
  <c r="CM76" i="20" s="1"/>
  <c r="AO160" i="20"/>
  <c r="BM160" i="20" s="1"/>
  <c r="DR62" i="20"/>
  <c r="CP215" i="20"/>
  <c r="EG307" i="20"/>
  <c r="BJ57" i="20"/>
  <c r="AO74" i="20"/>
  <c r="CL74" i="20" s="1"/>
  <c r="CM74" i="20" s="1"/>
  <c r="CL98" i="20"/>
  <c r="CM98" i="20" s="1"/>
  <c r="AO73" i="20"/>
  <c r="GG73" i="20" s="1"/>
  <c r="AO115" i="20"/>
  <c r="CL115" i="20" s="1"/>
  <c r="CM115" i="20" s="1"/>
  <c r="AO193" i="20"/>
  <c r="BM193" i="20" s="1"/>
  <c r="AO156" i="20"/>
  <c r="BM156" i="20" s="1"/>
  <c r="CP478" i="20"/>
  <c r="BG499" i="20"/>
  <c r="BP499" i="20" s="1"/>
  <c r="AO155" i="20"/>
  <c r="BM155" i="20" s="1"/>
  <c r="AO70" i="20"/>
  <c r="AO154" i="20"/>
  <c r="CL159" i="20"/>
  <c r="CM159" i="20" s="1"/>
  <c r="GG113" i="20"/>
  <c r="GG105" i="20"/>
  <c r="GG69" i="20"/>
  <c r="CL64" i="20"/>
  <c r="CM64" i="20" s="1"/>
  <c r="CL86" i="20"/>
  <c r="CM86" i="20" s="1"/>
  <c r="GG71" i="20"/>
  <c r="CL75" i="20"/>
  <c r="CM75" i="20" s="1"/>
  <c r="DM31" i="21"/>
  <c r="EY64" i="21"/>
  <c r="DI26" i="21"/>
  <c r="AN26" i="21"/>
  <c r="AK26" i="21"/>
  <c r="EE26" i="21"/>
  <c r="DL26" i="21"/>
  <c r="L26" i="21"/>
  <c r="GA26" i="21"/>
  <c r="I26" i="21"/>
  <c r="BA22" i="21"/>
  <c r="BB22" i="21" s="1"/>
  <c r="X22" i="21"/>
  <c r="DM27" i="21"/>
  <c r="M39" i="21"/>
  <c r="BF39" i="21" s="1"/>
  <c r="DJ39" i="21"/>
  <c r="AX39" i="21"/>
  <c r="CI41" i="21"/>
  <c r="DM20" i="21"/>
  <c r="BC21" i="21"/>
  <c r="EL54" i="21"/>
  <c r="EK54" i="21" s="1"/>
  <c r="ET54" i="21" s="1"/>
  <c r="EU54" i="21" s="1"/>
  <c r="EV54" i="21" s="1"/>
  <c r="Y54" i="21"/>
  <c r="EL55" i="21"/>
  <c r="EK55" i="21" s="1"/>
  <c r="Y55" i="21"/>
  <c r="BA28" i="21"/>
  <c r="BB28" i="21" s="1"/>
  <c r="BC28" i="21" s="1"/>
  <c r="X28" i="21"/>
  <c r="ET23" i="21"/>
  <c r="EU23" i="21" s="1"/>
  <c r="EV23" i="21" s="1"/>
  <c r="BM28" i="21"/>
  <c r="BL28" i="21"/>
  <c r="BN28" i="21" s="1"/>
  <c r="DP50" i="21"/>
  <c r="DO50" i="21"/>
  <c r="DQ50" i="21" s="1"/>
  <c r="FI56" i="21"/>
  <c r="CX56" i="21"/>
  <c r="BZ68" i="21"/>
  <c r="FX68" i="21"/>
  <c r="GA68" i="21" s="1"/>
  <c r="CS68" i="21" s="1"/>
  <c r="AN68" i="21"/>
  <c r="BR68" i="21"/>
  <c r="DZ68" i="21" s="1"/>
  <c r="EB68" i="21" s="1"/>
  <c r="CA68" i="21"/>
  <c r="BK68" i="21"/>
  <c r="FI79" i="21"/>
  <c r="CX79" i="21"/>
  <c r="CU56" i="21"/>
  <c r="FG56" i="21"/>
  <c r="BA33" i="21"/>
  <c r="X33" i="21"/>
  <c r="AN35" i="21"/>
  <c r="EE35" i="21"/>
  <c r="BK35" i="21"/>
  <c r="FX35" i="21"/>
  <c r="GA35" i="21" s="1"/>
  <c r="CA35" i="21"/>
  <c r="DJ42" i="21"/>
  <c r="AX42" i="21"/>
  <c r="M42" i="21"/>
  <c r="BM47" i="21"/>
  <c r="BL47" i="21"/>
  <c r="BN47" i="21" s="1"/>
  <c r="FX53" i="21"/>
  <c r="GA53" i="21" s="1"/>
  <c r="CS53" i="21" s="1"/>
  <c r="CA53" i="21"/>
  <c r="BZ53" i="21"/>
  <c r="BR53" i="21"/>
  <c r="DZ53" i="21" s="1"/>
  <c r="EB53" i="21" s="1"/>
  <c r="AX59" i="21"/>
  <c r="CM59" i="21" s="1"/>
  <c r="DJ59" i="21"/>
  <c r="DJ84" i="21"/>
  <c r="AX84" i="21"/>
  <c r="CM84" i="21" s="1"/>
  <c r="BA24" i="21"/>
  <c r="X24" i="21"/>
  <c r="Y29" i="21"/>
  <c r="CG30" i="21"/>
  <c r="FY30" i="21"/>
  <c r="BE35" i="21"/>
  <c r="EE59" i="21"/>
  <c r="U59" i="21"/>
  <c r="AY59" i="21" s="1"/>
  <c r="FI60" i="21"/>
  <c r="CX60" i="21"/>
  <c r="AL68" i="21"/>
  <c r="U68" i="21"/>
  <c r="AY68" i="21" s="1"/>
  <c r="T68" i="21"/>
  <c r="CU101" i="21"/>
  <c r="FG101" i="21"/>
  <c r="CX135" i="21"/>
  <c r="FI135" i="21"/>
  <c r="EE23" i="21"/>
  <c r="AK23" i="21"/>
  <c r="GA23" i="21"/>
  <c r="DL23" i="21"/>
  <c r="CA26" i="21"/>
  <c r="BZ26" i="21"/>
  <c r="BK26" i="21"/>
  <c r="AN30" i="21"/>
  <c r="EE30" i="21"/>
  <c r="AK30" i="21"/>
  <c r="U35" i="21"/>
  <c r="AY35" i="21" s="1"/>
  <c r="AZ35" i="21" s="1"/>
  <c r="CH36" i="21"/>
  <c r="BK45" i="21"/>
  <c r="CA45" i="21"/>
  <c r="BZ45" i="21"/>
  <c r="CB45" i="21" s="1"/>
  <c r="CI45" i="21" s="1"/>
  <c r="FX45" i="21"/>
  <c r="GA45" i="21" s="1"/>
  <c r="BR45" i="21"/>
  <c r="DZ45" i="21" s="1"/>
  <c r="EB45" i="21" s="1"/>
  <c r="EH45" i="21" s="1"/>
  <c r="O59" i="21"/>
  <c r="CX69" i="21"/>
  <c r="BA95" i="21"/>
  <c r="BB95" i="21" s="1"/>
  <c r="W134" i="21"/>
  <c r="V14" i="21"/>
  <c r="V15" i="21"/>
  <c r="CI20" i="21"/>
  <c r="CK20" i="21" s="1"/>
  <c r="AM22" i="21"/>
  <c r="AL22" i="21"/>
  <c r="AQ22" i="21" s="1"/>
  <c r="I23" i="21"/>
  <c r="AZ26" i="21"/>
  <c r="BE26" i="21"/>
  <c r="I30" i="21"/>
  <c r="BA35" i="21"/>
  <c r="X35" i="21"/>
  <c r="U42" i="21"/>
  <c r="AY42" i="21" s="1"/>
  <c r="AZ42" i="21" s="1"/>
  <c r="BE45" i="21"/>
  <c r="CG46" i="21"/>
  <c r="CH46" i="21" s="1"/>
  <c r="T53" i="21"/>
  <c r="X95" i="21"/>
  <c r="L23" i="21"/>
  <c r="U26" i="21"/>
  <c r="AY26" i="21" s="1"/>
  <c r="BC27" i="21"/>
  <c r="AL29" i="21"/>
  <c r="L30" i="21"/>
  <c r="AZ39" i="21"/>
  <c r="W39" i="21"/>
  <c r="U45" i="21"/>
  <c r="AY45" i="21" s="1"/>
  <c r="AZ45" i="21" s="1"/>
  <c r="EL47" i="21"/>
  <c r="EK47" i="21" s="1"/>
  <c r="Y47" i="21"/>
  <c r="EH51" i="21"/>
  <c r="U53" i="21"/>
  <c r="AY53" i="21" s="1"/>
  <c r="BA77" i="21"/>
  <c r="BB77" i="21" s="1"/>
  <c r="BC77" i="21" s="1"/>
  <c r="CN77" i="21" s="1"/>
  <c r="FG80" i="21"/>
  <c r="CU80" i="21"/>
  <c r="CX80" i="21"/>
  <c r="FI80" i="21"/>
  <c r="ET98" i="21"/>
  <c r="EU98" i="21" s="1"/>
  <c r="EV98" i="21" s="1"/>
  <c r="AL24" i="21"/>
  <c r="BA26" i="21"/>
  <c r="BB26" i="21" s="1"/>
  <c r="X26" i="21"/>
  <c r="CA30" i="21"/>
  <c r="BZ30" i="21"/>
  <c r="CB30" i="21" s="1"/>
  <c r="CI30" i="21" s="1"/>
  <c r="BR30" i="21"/>
  <c r="DZ30" i="21" s="1"/>
  <c r="EB30" i="21" s="1"/>
  <c r="EH30" i="21" s="1"/>
  <c r="FX30" i="21"/>
  <c r="GA30" i="21" s="1"/>
  <c r="BK30" i="21"/>
  <c r="AN32" i="21"/>
  <c r="EE32" i="21"/>
  <c r="AK32" i="21"/>
  <c r="GA32" i="21"/>
  <c r="DL32" i="21"/>
  <c r="DI32" i="21"/>
  <c r="L32" i="21"/>
  <c r="I32" i="21"/>
  <c r="BB32" i="21" s="1"/>
  <c r="BC32" i="21" s="1"/>
  <c r="BA45" i="21"/>
  <c r="X45" i="21"/>
  <c r="BA53" i="21"/>
  <c r="BB53" i="21" s="1"/>
  <c r="X53" i="21"/>
  <c r="T59" i="21"/>
  <c r="X77" i="21"/>
  <c r="CS95" i="21"/>
  <c r="U23" i="21"/>
  <c r="AY23" i="21" s="1"/>
  <c r="AZ23" i="21" s="1"/>
  <c r="BE23" i="21"/>
  <c r="DM42" i="21"/>
  <c r="BR51" i="21"/>
  <c r="DZ51" i="21" s="1"/>
  <c r="EB51" i="21" s="1"/>
  <c r="CA51" i="21"/>
  <c r="BZ51" i="21"/>
  <c r="BE51" i="21"/>
  <c r="AM77" i="21"/>
  <c r="AL77" i="21"/>
  <c r="CM284" i="21"/>
  <c r="EE40" i="21"/>
  <c r="AN40" i="21"/>
  <c r="AK40" i="21"/>
  <c r="GA40" i="21"/>
  <c r="U61" i="21"/>
  <c r="AY61" i="21" s="1"/>
  <c r="T61" i="21"/>
  <c r="O61" i="21"/>
  <c r="EE61" i="21" s="1"/>
  <c r="O89" i="21"/>
  <c r="EE89" i="21" s="1"/>
  <c r="T89" i="21"/>
  <c r="X30" i="21"/>
  <c r="BA30" i="21"/>
  <c r="X51" i="21"/>
  <c r="T54" i="21"/>
  <c r="AN23" i="21"/>
  <c r="I34" i="21"/>
  <c r="DL34" i="21"/>
  <c r="EE36" i="21"/>
  <c r="AK36" i="21"/>
  <c r="L36" i="21"/>
  <c r="AN36" i="21"/>
  <c r="DL36" i="21"/>
  <c r="DI36" i="21"/>
  <c r="I36" i="21"/>
  <c r="AL39" i="21"/>
  <c r="L40" i="21"/>
  <c r="BK53" i="21"/>
  <c r="BM53" i="21" s="1"/>
  <c r="O54" i="21"/>
  <c r="DL57" i="21"/>
  <c r="AK57" i="21"/>
  <c r="AM57" i="21" s="1"/>
  <c r="GA57" i="21"/>
  <c r="CS57" i="21" s="1"/>
  <c r="AN57" i="21"/>
  <c r="L57" i="21"/>
  <c r="DY78" i="21"/>
  <c r="BZ78" i="21"/>
  <c r="CB78" i="21" s="1"/>
  <c r="CI78" i="21" s="1"/>
  <c r="CK78" i="21" s="1"/>
  <c r="CP78" i="21" s="1"/>
  <c r="BA129" i="21"/>
  <c r="BB129" i="21" s="1"/>
  <c r="CA157" i="21"/>
  <c r="U157" i="21"/>
  <c r="BR157" i="21"/>
  <c r="DZ157" i="21" s="1"/>
  <c r="EB157" i="21" s="1"/>
  <c r="T157" i="21"/>
  <c r="BE157" i="21"/>
  <c r="FX157" i="21"/>
  <c r="GA157" i="21" s="1"/>
  <c r="BL24" i="21"/>
  <c r="BN24" i="21" s="1"/>
  <c r="BO33" i="21"/>
  <c r="BP33" i="21" s="1"/>
  <c r="EI33" i="21" s="1"/>
  <c r="BL37" i="21"/>
  <c r="BN37" i="21" s="1"/>
  <c r="BE42" i="21"/>
  <c r="DM47" i="21"/>
  <c r="CU57" i="21"/>
  <c r="FG57" i="21"/>
  <c r="CA65" i="21"/>
  <c r="BZ65" i="21"/>
  <c r="CB65" i="21" s="1"/>
  <c r="CI65" i="21" s="1"/>
  <c r="CK65" i="21" s="1"/>
  <c r="CP65" i="21" s="1"/>
  <c r="BR65" i="21"/>
  <c r="DZ65" i="21" s="1"/>
  <c r="EB65" i="21" s="1"/>
  <c r="FX65" i="21"/>
  <c r="AK86" i="21"/>
  <c r="DI86" i="21"/>
  <c r="L86" i="21"/>
  <c r="DL86" i="21"/>
  <c r="U89" i="21"/>
  <c r="AY89" i="21" s="1"/>
  <c r="EE97" i="21"/>
  <c r="FI115" i="21"/>
  <c r="CX115" i="21"/>
  <c r="DM38" i="21"/>
  <c r="CA40" i="21"/>
  <c r="BZ40" i="21"/>
  <c r="BR40" i="21"/>
  <c r="DZ40" i="21" s="1"/>
  <c r="EB40" i="21" s="1"/>
  <c r="EH40" i="21" s="1"/>
  <c r="BK40" i="21"/>
  <c r="DJ86" i="21"/>
  <c r="AX86" i="21"/>
  <c r="CM86" i="21" s="1"/>
  <c r="X89" i="21"/>
  <c r="BA89" i="21"/>
  <c r="BB89" i="21" s="1"/>
  <c r="T97" i="21"/>
  <c r="AT21" i="21"/>
  <c r="DU21" i="21" s="1"/>
  <c r="EM21" i="21" s="1"/>
  <c r="EP21" i="21" s="1"/>
  <c r="EQ21" i="21" s="1"/>
  <c r="BR26" i="21"/>
  <c r="DZ26" i="21" s="1"/>
  <c r="EB26" i="21" s="1"/>
  <c r="EH26" i="21" s="1"/>
  <c r="M27" i="21"/>
  <c r="DJ27" i="21"/>
  <c r="BE40" i="21"/>
  <c r="U40" i="21"/>
  <c r="AY40" i="21" s="1"/>
  <c r="AZ40" i="21" s="1"/>
  <c r="BO44" i="21"/>
  <c r="BP44" i="21" s="1"/>
  <c r="EI44" i="21" s="1"/>
  <c r="EH49" i="21"/>
  <c r="BA51" i="21"/>
  <c r="EL52" i="21"/>
  <c r="U54" i="21"/>
  <c r="BR57" i="21"/>
  <c r="DZ57" i="21" s="1"/>
  <c r="EB57" i="21" s="1"/>
  <c r="EG57" i="21" s="1"/>
  <c r="CA57" i="21"/>
  <c r="BZ57" i="21"/>
  <c r="BK57" i="21"/>
  <c r="BL57" i="21" s="1"/>
  <c r="BN57" i="21" s="1"/>
  <c r="L66" i="21"/>
  <c r="DL66" i="21"/>
  <c r="AK66" i="21"/>
  <c r="AM66" i="21" s="1"/>
  <c r="DI66" i="21"/>
  <c r="EE79" i="21"/>
  <c r="U79" i="21"/>
  <c r="U86" i="21"/>
  <c r="T86" i="21"/>
  <c r="O86" i="21"/>
  <c r="EE86" i="21" s="1"/>
  <c r="X97" i="21"/>
  <c r="BA97" i="21"/>
  <c r="CW125" i="21"/>
  <c r="BE30" i="21"/>
  <c r="AZ30" i="21"/>
  <c r="EL46" i="21"/>
  <c r="EK46" i="21" s="1"/>
  <c r="ET46" i="21" s="1"/>
  <c r="EU46" i="21" s="1"/>
  <c r="EV46" i="21" s="1"/>
  <c r="Y46" i="21"/>
  <c r="DQ46" i="21" s="1"/>
  <c r="I19" i="21"/>
  <c r="DI19" i="21"/>
  <c r="BA20" i="21"/>
  <c r="BB20" i="21" s="1"/>
  <c r="X20" i="21"/>
  <c r="DM25" i="21"/>
  <c r="BZ35" i="21"/>
  <c r="DL41" i="21"/>
  <c r="I41" i="21"/>
  <c r="GA41" i="21"/>
  <c r="L41" i="21"/>
  <c r="EE41" i="21"/>
  <c r="AN41" i="21"/>
  <c r="DI41" i="21"/>
  <c r="AK41" i="21"/>
  <c r="EN52" i="21"/>
  <c r="AL57" i="21"/>
  <c r="U66" i="21"/>
  <c r="T66" i="21"/>
  <c r="O66" i="21"/>
  <c r="EE66" i="21" s="1"/>
  <c r="EU72" i="21"/>
  <c r="EV72" i="21" s="1"/>
  <c r="ET72" i="21"/>
  <c r="CU76" i="21"/>
  <c r="BA54" i="21"/>
  <c r="BB54" i="21" s="1"/>
  <c r="Y25" i="21"/>
  <c r="EL25" i="21"/>
  <c r="EK25" i="21" s="1"/>
  <c r="CH30" i="21"/>
  <c r="X34" i="21"/>
  <c r="BA34" i="21"/>
  <c r="BB34" i="21" s="1"/>
  <c r="BC34" i="21" s="1"/>
  <c r="AL46" i="21"/>
  <c r="FY50" i="21"/>
  <c r="CG50" i="21"/>
  <c r="CH50" i="21" s="1"/>
  <c r="BK51" i="21"/>
  <c r="T57" i="21"/>
  <c r="AL69" i="21"/>
  <c r="AL79" i="21"/>
  <c r="CU82" i="21"/>
  <c r="FG82" i="21"/>
  <c r="EE200" i="21"/>
  <c r="BA44" i="21"/>
  <c r="BB44" i="21" s="1"/>
  <c r="BA48" i="21"/>
  <c r="BB48" i="21" s="1"/>
  <c r="X48" i="21"/>
  <c r="DL49" i="21"/>
  <c r="I49" i="21"/>
  <c r="AN49" i="21"/>
  <c r="DI49" i="21"/>
  <c r="EE49" i="21"/>
  <c r="AK49" i="21"/>
  <c r="L49" i="21"/>
  <c r="AK50" i="21"/>
  <c r="DI50" i="21"/>
  <c r="AN50" i="21"/>
  <c r="EE50" i="21"/>
  <c r="DI64" i="21"/>
  <c r="AK70" i="21"/>
  <c r="AM70" i="21" s="1"/>
  <c r="AN70" i="21"/>
  <c r="DL70" i="21"/>
  <c r="L70" i="21"/>
  <c r="AX74" i="21"/>
  <c r="CM74" i="21" s="1"/>
  <c r="DJ74" i="21"/>
  <c r="T79" i="21"/>
  <c r="AZ82" i="21"/>
  <c r="AZ92" i="21"/>
  <c r="Q200" i="21"/>
  <c r="FX200" i="21"/>
  <c r="BE200" i="21"/>
  <c r="U200" i="21"/>
  <c r="U19" i="21"/>
  <c r="AY19" i="21" s="1"/>
  <c r="BE19" i="21"/>
  <c r="AZ19" i="21"/>
  <c r="ET29" i="21"/>
  <c r="EU29" i="21" s="1"/>
  <c r="EV29" i="21" s="1"/>
  <c r="BA31" i="21"/>
  <c r="BB31" i="21" s="1"/>
  <c r="X31" i="21"/>
  <c r="X44" i="21"/>
  <c r="I50" i="21"/>
  <c r="DT52" i="21"/>
  <c r="CU54" i="21"/>
  <c r="BM55" i="21"/>
  <c r="BL55" i="21"/>
  <c r="BN55" i="21" s="1"/>
  <c r="AL97" i="21"/>
  <c r="X19" i="21"/>
  <c r="BA19" i="21"/>
  <c r="FY29" i="21"/>
  <c r="GA29" i="21" s="1"/>
  <c r="EH29" i="21"/>
  <c r="CH39" i="21"/>
  <c r="CI39" i="21" s="1"/>
  <c r="CK39" i="21" s="1"/>
  <c r="DM43" i="21"/>
  <c r="FX49" i="21"/>
  <c r="GA49" i="21" s="1"/>
  <c r="BK49" i="21"/>
  <c r="BK65" i="21"/>
  <c r="CA70" i="21"/>
  <c r="BZ70" i="21"/>
  <c r="BR70" i="21"/>
  <c r="DZ70" i="21" s="1"/>
  <c r="EB70" i="21" s="1"/>
  <c r="FX70" i="21"/>
  <c r="GA70" i="21" s="1"/>
  <c r="CS70" i="21" s="1"/>
  <c r="BK70" i="21"/>
  <c r="EE74" i="21"/>
  <c r="T74" i="21"/>
  <c r="U74" i="21"/>
  <c r="FJ77" i="21"/>
  <c r="EL79" i="21"/>
  <c r="EK79" i="21" s="1"/>
  <c r="ET79" i="21" s="1"/>
  <c r="CU81" i="21"/>
  <c r="FG81" i="21"/>
  <c r="AT22" i="21"/>
  <c r="DU22" i="21" s="1"/>
  <c r="AP23" i="21"/>
  <c r="BR22" i="21"/>
  <c r="DZ22" i="21" s="1"/>
  <c r="EB22" i="21" s="1"/>
  <c r="EH22" i="21" s="1"/>
  <c r="EE22" i="21"/>
  <c r="BK22" i="21"/>
  <c r="DI30" i="21"/>
  <c r="Y41" i="21"/>
  <c r="EL41" i="21"/>
  <c r="EK41" i="21" s="1"/>
  <c r="BE49" i="21"/>
  <c r="AZ49" i="21"/>
  <c r="BO58" i="21"/>
  <c r="BK74" i="21"/>
  <c r="CA74" i="21"/>
  <c r="BZ74" i="21"/>
  <c r="BR74" i="21"/>
  <c r="DZ74" i="21" s="1"/>
  <c r="EB74" i="21" s="1"/>
  <c r="FX74" i="21"/>
  <c r="GA74" i="21" s="1"/>
  <c r="CS74" i="21" s="1"/>
  <c r="ET104" i="21"/>
  <c r="BE22" i="21"/>
  <c r="BF22" i="21" s="1"/>
  <c r="BM32" i="21"/>
  <c r="BL32" i="21"/>
  <c r="BN32" i="21" s="1"/>
  <c r="EH37" i="21"/>
  <c r="BE55" i="21"/>
  <c r="BF55" i="21" s="1"/>
  <c r="CO55" i="21" s="1"/>
  <c r="EH55" i="21"/>
  <c r="EH74" i="21"/>
  <c r="EG74" i="21"/>
  <c r="FG79" i="21"/>
  <c r="CU79" i="21"/>
  <c r="BA92" i="21"/>
  <c r="BB92" i="21" s="1"/>
  <c r="U22" i="21"/>
  <c r="AY22" i="21" s="1"/>
  <c r="AZ22" i="21" s="1"/>
  <c r="FX22" i="21"/>
  <c r="GA22" i="21" s="1"/>
  <c r="DL30" i="21"/>
  <c r="BB36" i="21"/>
  <c r="BC36" i="21" s="1"/>
  <c r="BA49" i="21"/>
  <c r="X49" i="21"/>
  <c r="CU52" i="21"/>
  <c r="FG52" i="21"/>
  <c r="BA58" i="21"/>
  <c r="BB58" i="21" s="1"/>
  <c r="X58" i="21"/>
  <c r="L64" i="21"/>
  <c r="AK64" i="21"/>
  <c r="AM72" i="21"/>
  <c r="AL72" i="21"/>
  <c r="AN76" i="21"/>
  <c r="AK76" i="21"/>
  <c r="DL76" i="21"/>
  <c r="DI76" i="21"/>
  <c r="L76" i="21"/>
  <c r="DA90" i="21"/>
  <c r="FG90" i="21"/>
  <c r="X92" i="21"/>
  <c r="BZ95" i="21"/>
  <c r="T95" i="21"/>
  <c r="AY95" i="21" s="1"/>
  <c r="BK95" i="21"/>
  <c r="FY95" i="21"/>
  <c r="GA95" i="21" s="1"/>
  <c r="CA95" i="21"/>
  <c r="BR95" i="21"/>
  <c r="DZ95" i="21" s="1"/>
  <c r="EB95" i="21" s="1"/>
  <c r="AM28" i="21"/>
  <c r="AL28" i="21"/>
  <c r="EY106" i="21"/>
  <c r="EZ106" i="21" s="1"/>
  <c r="ET106" i="21"/>
  <c r="EU106" i="21" s="1"/>
  <c r="EV106" i="21" s="1"/>
  <c r="ET283" i="21"/>
  <c r="EU283" i="21" s="1"/>
  <c r="EV283" i="21" s="1"/>
  <c r="AN34" i="21"/>
  <c r="EE34" i="21"/>
  <c r="AK34" i="21"/>
  <c r="DI34" i="21"/>
  <c r="EU38" i="21"/>
  <c r="EV38" i="21" s="1"/>
  <c r="ET38" i="21"/>
  <c r="I40" i="21"/>
  <c r="FX51" i="21"/>
  <c r="GA51" i="21" s="1"/>
  <c r="AN19" i="21"/>
  <c r="AQ19" i="21" s="1"/>
  <c r="EE19" i="21"/>
  <c r="GA19" i="21"/>
  <c r="DL19" i="21"/>
  <c r="BR35" i="21"/>
  <c r="DZ35" i="21" s="1"/>
  <c r="EB35" i="21" s="1"/>
  <c r="EH35" i="21" s="1"/>
  <c r="X40" i="21"/>
  <c r="BA40" i="21"/>
  <c r="BE44" i="21"/>
  <c r="AZ44" i="21"/>
  <c r="DJ66" i="21"/>
  <c r="BB66" i="21"/>
  <c r="AX66" i="21"/>
  <c r="CM66" i="21" s="1"/>
  <c r="BZ79" i="21"/>
  <c r="CB79" i="21" s="1"/>
  <c r="CI79" i="21" s="1"/>
  <c r="CK79" i="21" s="1"/>
  <c r="CP79" i="21" s="1"/>
  <c r="AN79" i="21"/>
  <c r="BR79" i="21"/>
  <c r="DZ79" i="21" s="1"/>
  <c r="EB79" i="21" s="1"/>
  <c r="EG79" i="21" s="1"/>
  <c r="CA79" i="21"/>
  <c r="BK79" i="21"/>
  <c r="BM79" i="21" s="1"/>
  <c r="BC85" i="21"/>
  <c r="CN85" i="21" s="1"/>
  <c r="FG89" i="21"/>
  <c r="CU89" i="21"/>
  <c r="BL20" i="21"/>
  <c r="EH33" i="21"/>
  <c r="BA74" i="21"/>
  <c r="BB74" i="21" s="1"/>
  <c r="X74" i="21"/>
  <c r="DT82" i="21"/>
  <c r="GA84" i="21"/>
  <c r="CS84" i="21" s="1"/>
  <c r="CX85" i="21"/>
  <c r="EY98" i="21"/>
  <c r="EZ98" i="21" s="1"/>
  <c r="ET140" i="21"/>
  <c r="EU140" i="21" s="1"/>
  <c r="EV140" i="21" s="1"/>
  <c r="BB29" i="21"/>
  <c r="BC29" i="21" s="1"/>
  <c r="BA43" i="21"/>
  <c r="BB43" i="21" s="1"/>
  <c r="GA47" i="21"/>
  <c r="U57" i="21"/>
  <c r="AY57" i="21" s="1"/>
  <c r="EE57" i="21"/>
  <c r="CB73" i="21"/>
  <c r="CI73" i="21" s="1"/>
  <c r="CK73" i="21" s="1"/>
  <c r="CP73" i="21" s="1"/>
  <c r="CU75" i="21"/>
  <c r="FG75" i="21"/>
  <c r="BR78" i="21"/>
  <c r="DZ78" i="21" s="1"/>
  <c r="EB78" i="21" s="1"/>
  <c r="FX78" i="21"/>
  <c r="GA78" i="21" s="1"/>
  <c r="CS78" i="21" s="1"/>
  <c r="AN78" i="21"/>
  <c r="EU82" i="21"/>
  <c r="EV82" i="21" s="1"/>
  <c r="Y86" i="21"/>
  <c r="EL86" i="21"/>
  <c r="EK86" i="21" s="1"/>
  <c r="DP46" i="21"/>
  <c r="BR48" i="21"/>
  <c r="DZ48" i="21" s="1"/>
  <c r="EB48" i="21" s="1"/>
  <c r="EH48" i="21" s="1"/>
  <c r="BK48" i="21"/>
  <c r="FX48" i="21"/>
  <c r="AL54" i="21"/>
  <c r="AY55" i="21"/>
  <c r="AZ55" i="21" s="1"/>
  <c r="ET55" i="21"/>
  <c r="FI55" i="21"/>
  <c r="CX55" i="21"/>
  <c r="CU58" i="21"/>
  <c r="CU64" i="21"/>
  <c r="FG64" i="21"/>
  <c r="AL66" i="21"/>
  <c r="EY72" i="21"/>
  <c r="EZ72" i="21" s="1"/>
  <c r="AL74" i="21"/>
  <c r="BM74" i="21"/>
  <c r="BL74" i="21"/>
  <c r="BN74" i="21" s="1"/>
  <c r="U76" i="21"/>
  <c r="T76" i="21"/>
  <c r="O76" i="21"/>
  <c r="DJ112" i="21"/>
  <c r="BB112" i="21"/>
  <c r="AX112" i="21"/>
  <c r="CM112" i="21" s="1"/>
  <c r="CA36" i="21"/>
  <c r="BZ36" i="21"/>
  <c r="CB36" i="21" s="1"/>
  <c r="CI36" i="21" s="1"/>
  <c r="BR36" i="21"/>
  <c r="DZ36" i="21" s="1"/>
  <c r="EB36" i="21" s="1"/>
  <c r="EH36" i="21" s="1"/>
  <c r="FX36" i="21"/>
  <c r="GA36" i="21" s="1"/>
  <c r="BK36" i="21"/>
  <c r="BZ37" i="21"/>
  <c r="CB37" i="21" s="1"/>
  <c r="CI37" i="21" s="1"/>
  <c r="FX37" i="21"/>
  <c r="GA37" i="21" s="1"/>
  <c r="BL38" i="21"/>
  <c r="BZ42" i="21"/>
  <c r="CB42" i="21" s="1"/>
  <c r="AN42" i="21"/>
  <c r="CH42" i="21"/>
  <c r="DO46" i="21"/>
  <c r="BA47" i="21"/>
  <c r="BB47" i="21" s="1"/>
  <c r="U48" i="21"/>
  <c r="AY48" i="21" s="1"/>
  <c r="BE48" i="21"/>
  <c r="BF48" i="21" s="1"/>
  <c r="AZ48" i="21"/>
  <c r="BA55" i="21"/>
  <c r="BB55" i="21" s="1"/>
  <c r="AL59" i="21"/>
  <c r="EE76" i="21"/>
  <c r="BK78" i="21"/>
  <c r="AK90" i="21"/>
  <c r="DL90" i="21"/>
  <c r="DI90" i="21"/>
  <c r="CH92" i="21"/>
  <c r="BE151" i="21"/>
  <c r="FX151" i="21"/>
  <c r="CA151" i="21"/>
  <c r="BZ24" i="21"/>
  <c r="DI43" i="21"/>
  <c r="EY43" i="21" s="1"/>
  <c r="EE43" i="21"/>
  <c r="AK43" i="21"/>
  <c r="EY54" i="21"/>
  <c r="Y76" i="21"/>
  <c r="EL76" i="21"/>
  <c r="EK76" i="21" s="1"/>
  <c r="EG85" i="21"/>
  <c r="EH85" i="21"/>
  <c r="Q96" i="21"/>
  <c r="BM100" i="21"/>
  <c r="AN100" i="21"/>
  <c r="AL100" i="21"/>
  <c r="DL116" i="21"/>
  <c r="AN116" i="21"/>
  <c r="DI116" i="21"/>
  <c r="AK116" i="21"/>
  <c r="AL121" i="21"/>
  <c r="BM121" i="21"/>
  <c r="BO121" i="21" s="1"/>
  <c r="U121" i="21"/>
  <c r="AY121" i="21" s="1"/>
  <c r="EE121" i="21"/>
  <c r="AN121" i="21"/>
  <c r="BL121" i="21"/>
  <c r="BN121" i="21" s="1"/>
  <c r="CI123" i="21"/>
  <c r="CK123" i="21" s="1"/>
  <c r="CP123" i="21" s="1"/>
  <c r="BE20" i="21"/>
  <c r="BF20" i="21" s="1"/>
  <c r="AZ20" i="21"/>
  <c r="AN21" i="21"/>
  <c r="AQ21" i="21" s="1"/>
  <c r="EE21" i="21"/>
  <c r="CA24" i="21"/>
  <c r="BM27" i="21"/>
  <c r="BL27" i="21"/>
  <c r="BN27" i="21" s="1"/>
  <c r="BF43" i="21"/>
  <c r="EZ54" i="21"/>
  <c r="BB59" i="21"/>
  <c r="AZ63" i="21"/>
  <c r="DL71" i="21"/>
  <c r="AK71" i="21"/>
  <c r="DI71" i="21"/>
  <c r="AK81" i="21"/>
  <c r="DL81" i="21"/>
  <c r="DJ81" i="21"/>
  <c r="DI81" i="21"/>
  <c r="AN81" i="21"/>
  <c r="EE84" i="21"/>
  <c r="T84" i="21"/>
  <c r="U90" i="21"/>
  <c r="T90" i="21"/>
  <c r="O90" i="21"/>
  <c r="AN90" i="21" s="1"/>
  <c r="T100" i="21"/>
  <c r="BE100" i="21" s="1"/>
  <c r="AP109" i="21"/>
  <c r="U109" i="21"/>
  <c r="AX116" i="21"/>
  <c r="CM116" i="21" s="1"/>
  <c r="DJ116" i="21"/>
  <c r="T121" i="21"/>
  <c r="AY126" i="21"/>
  <c r="BH211" i="21"/>
  <c r="AY211" i="21"/>
  <c r="AZ211" i="21" s="1"/>
  <c r="DP23" i="21"/>
  <c r="BA42" i="21"/>
  <c r="BB42" i="21" s="1"/>
  <c r="CU67" i="21"/>
  <c r="FG67" i="21"/>
  <c r="CA69" i="21"/>
  <c r="BZ69" i="21"/>
  <c r="CB69" i="21" s="1"/>
  <c r="CI69" i="21" s="1"/>
  <c r="CK69" i="21" s="1"/>
  <c r="CP69" i="21" s="1"/>
  <c r="BR69" i="21"/>
  <c r="DZ69" i="21" s="1"/>
  <c r="EB69" i="21" s="1"/>
  <c r="EG69" i="21" s="1"/>
  <c r="BK69" i="21"/>
  <c r="BM69" i="21" s="1"/>
  <c r="AX71" i="21"/>
  <c r="CM71" i="21" s="1"/>
  <c r="DJ71" i="21"/>
  <c r="BB71" i="21"/>
  <c r="BK84" i="21"/>
  <c r="BM84" i="21" s="1"/>
  <c r="CA84" i="21"/>
  <c r="BR84" i="21"/>
  <c r="DZ84" i="21" s="1"/>
  <c r="EB84" i="21" s="1"/>
  <c r="BZ84" i="21"/>
  <c r="CB84" i="21" s="1"/>
  <c r="CI84" i="21" s="1"/>
  <c r="CK84" i="21" s="1"/>
  <c r="CP84" i="21" s="1"/>
  <c r="CA94" i="21"/>
  <c r="FY94" i="21"/>
  <c r="GA94" i="21" s="1"/>
  <c r="GB94" i="21" s="1"/>
  <c r="T94" i="21"/>
  <c r="BK94" i="21"/>
  <c r="BL94" i="21" s="1"/>
  <c r="BN94" i="21" s="1"/>
  <c r="BZ94" i="21"/>
  <c r="BR94" i="21"/>
  <c r="DZ94" i="21" s="1"/>
  <c r="EB94" i="21" s="1"/>
  <c r="BA109" i="21"/>
  <c r="BB109" i="21" s="1"/>
  <c r="X109" i="21"/>
  <c r="DL131" i="21"/>
  <c r="AN131" i="21"/>
  <c r="EE131" i="21"/>
  <c r="AK131" i="21"/>
  <c r="AM131" i="21" s="1"/>
  <c r="DI131" i="21"/>
  <c r="GA131" i="21"/>
  <c r="CS131" i="21" s="1"/>
  <c r="I131" i="21"/>
  <c r="BF146" i="21"/>
  <c r="CO146" i="21" s="1"/>
  <c r="FZ150" i="21"/>
  <c r="CF150" i="21"/>
  <c r="CH150" i="21" s="1"/>
  <c r="AN150" i="21"/>
  <c r="AJ150" i="21"/>
  <c r="Y150" i="21"/>
  <c r="EA150" i="21"/>
  <c r="DY150" i="21"/>
  <c r="CD150" i="21"/>
  <c r="CE150" i="21" s="1"/>
  <c r="BE150" i="21"/>
  <c r="DZ150" i="21"/>
  <c r="L150" i="21"/>
  <c r="DI220" i="21"/>
  <c r="M220" i="21"/>
  <c r="BF220" i="21" s="1"/>
  <c r="CO220" i="21" s="1"/>
  <c r="CA32" i="21"/>
  <c r="BZ32" i="21"/>
  <c r="CB32" i="21" s="1"/>
  <c r="BR32" i="21"/>
  <c r="DZ32" i="21" s="1"/>
  <c r="EB32" i="21" s="1"/>
  <c r="EH32" i="21" s="1"/>
  <c r="EE38" i="21"/>
  <c r="AK38" i="21"/>
  <c r="GA38" i="21"/>
  <c r="DM41" i="21"/>
  <c r="X42" i="21"/>
  <c r="BO43" i="21"/>
  <c r="BP43" i="21" s="1"/>
  <c r="EI43" i="21" s="1"/>
  <c r="AL47" i="21"/>
  <c r="EE52" i="21"/>
  <c r="AN52" i="21"/>
  <c r="AK52" i="21"/>
  <c r="BA63" i="21"/>
  <c r="BB63" i="21" s="1"/>
  <c r="AX102" i="21"/>
  <c r="DL102" i="21"/>
  <c r="AM102" i="21"/>
  <c r="AT107" i="21"/>
  <c r="DU107" i="21" s="1"/>
  <c r="DT113" i="21"/>
  <c r="BA126" i="21"/>
  <c r="CH24" i="21"/>
  <c r="AN28" i="21"/>
  <c r="EE28" i="21"/>
  <c r="U37" i="21"/>
  <c r="AY37" i="21" s="1"/>
  <c r="AZ37" i="21" s="1"/>
  <c r="I38" i="21"/>
  <c r="CG38" i="21"/>
  <c r="CH38" i="21" s="1"/>
  <c r="CI38" i="21" s="1"/>
  <c r="U43" i="21"/>
  <c r="AY43" i="21" s="1"/>
  <c r="AZ43" i="21" s="1"/>
  <c r="CU60" i="21"/>
  <c r="FG60" i="21"/>
  <c r="X63" i="21"/>
  <c r="EE69" i="21"/>
  <c r="U71" i="21"/>
  <c r="T71" i="21"/>
  <c r="O71" i="21"/>
  <c r="EE71" i="21"/>
  <c r="AL84" i="21"/>
  <c r="BL84" i="21"/>
  <c r="BN84" i="21" s="1"/>
  <c r="BA87" i="21"/>
  <c r="BB87" i="21" s="1"/>
  <c r="FY116" i="21"/>
  <c r="GA116" i="21" s="1"/>
  <c r="CS116" i="21" s="1"/>
  <c r="BK116" i="21"/>
  <c r="BE116" i="21"/>
  <c r="BF116" i="21" s="1"/>
  <c r="CO116" i="21" s="1"/>
  <c r="CA116" i="21"/>
  <c r="T116" i="21"/>
  <c r="BZ116" i="21"/>
  <c r="BR116" i="21"/>
  <c r="DZ116" i="21" s="1"/>
  <c r="EB116" i="21" s="1"/>
  <c r="L38" i="21"/>
  <c r="AL48" i="21"/>
  <c r="AN65" i="21"/>
  <c r="AK65" i="21"/>
  <c r="DL65" i="21"/>
  <c r="GA65" i="21"/>
  <c r="CS65" i="21" s="1"/>
  <c r="T69" i="21"/>
  <c r="U84" i="21"/>
  <c r="AY84" i="21" s="1"/>
  <c r="X87" i="21"/>
  <c r="CI44" i="21"/>
  <c r="AN48" i="21"/>
  <c r="DJ53" i="21"/>
  <c r="AX53" i="21"/>
  <c r="CM53" i="21" s="1"/>
  <c r="DJ61" i="21"/>
  <c r="DJ65" i="21"/>
  <c r="AX65" i="21"/>
  <c r="CM65" i="21" s="1"/>
  <c r="BA84" i="21"/>
  <c r="BB84" i="21" s="1"/>
  <c r="X84" i="21"/>
  <c r="T102" i="21"/>
  <c r="BE102" i="21" s="1"/>
  <c r="BK102" i="21"/>
  <c r="BM102" i="21" s="1"/>
  <c r="FY102" i="21"/>
  <c r="BR102" i="21"/>
  <c r="DZ102" i="21" s="1"/>
  <c r="CA102" i="21"/>
  <c r="BZ102" i="21"/>
  <c r="CB102" i="21" s="1"/>
  <c r="CD103" i="21"/>
  <c r="CE103" i="21" s="1"/>
  <c r="AN103" i="21"/>
  <c r="EA103" i="21"/>
  <c r="FZ103" i="21"/>
  <c r="CF103" i="21"/>
  <c r="CH103" i="21" s="1"/>
  <c r="U103" i="21"/>
  <c r="AL126" i="21"/>
  <c r="BO19" i="21"/>
  <c r="BP19" i="21" s="1"/>
  <c r="EI19" i="21" s="1"/>
  <c r="AK25" i="21"/>
  <c r="GA25" i="21"/>
  <c r="L25" i="21"/>
  <c r="DL25" i="21"/>
  <c r="I25" i="21"/>
  <c r="BB25" i="21" s="1"/>
  <c r="BC25" i="21" s="1"/>
  <c r="M44" i="21"/>
  <c r="DJ44" i="21"/>
  <c r="AX44" i="21"/>
  <c r="AN45" i="21"/>
  <c r="AK45" i="21"/>
  <c r="EE45" i="21"/>
  <c r="DI51" i="21"/>
  <c r="AN51" i="21"/>
  <c r="EE51" i="21"/>
  <c r="AK51" i="21"/>
  <c r="FX52" i="21"/>
  <c r="GA52" i="21" s="1"/>
  <c r="CS52" i="21" s="1"/>
  <c r="BK52" i="21"/>
  <c r="CA52" i="21"/>
  <c r="BZ52" i="21"/>
  <c r="CB52" i="21" s="1"/>
  <c r="CI52" i="21" s="1"/>
  <c r="CK52" i="21" s="1"/>
  <c r="CP52" i="21" s="1"/>
  <c r="BR52" i="21"/>
  <c r="DZ52" i="21" s="1"/>
  <c r="EB52" i="21" s="1"/>
  <c r="AK61" i="21"/>
  <c r="DI61" i="21"/>
  <c r="AN61" i="21"/>
  <c r="DL61" i="21"/>
  <c r="AK62" i="21"/>
  <c r="AM62" i="21" s="1"/>
  <c r="DL62" i="21"/>
  <c r="DI62" i="21"/>
  <c r="L62" i="21"/>
  <c r="CU73" i="21"/>
  <c r="FG73" i="21"/>
  <c r="FG91" i="21"/>
  <c r="DA91" i="21"/>
  <c r="CA103" i="21"/>
  <c r="BZ103" i="21"/>
  <c r="CB103" i="21" s="1"/>
  <c r="BK103" i="21"/>
  <c r="FY103" i="21"/>
  <c r="GA103" i="21" s="1"/>
  <c r="BR103" i="21"/>
  <c r="DZ103" i="21" s="1"/>
  <c r="T103" i="21"/>
  <c r="BE103" i="21" s="1"/>
  <c r="BA139" i="21"/>
  <c r="BB139" i="21" s="1"/>
  <c r="DT145" i="21"/>
  <c r="AQ20" i="21"/>
  <c r="DI21" i="21"/>
  <c r="BA23" i="21"/>
  <c r="CA28" i="21"/>
  <c r="CB28" i="21" s="1"/>
  <c r="CI28" i="21" s="1"/>
  <c r="CK28" i="21" s="1"/>
  <c r="BR28" i="21"/>
  <c r="DZ28" i="21" s="1"/>
  <c r="EB28" i="21" s="1"/>
  <c r="EH28" i="21" s="1"/>
  <c r="DI28" i="21"/>
  <c r="FY28" i="21"/>
  <c r="GA28" i="21" s="1"/>
  <c r="BE33" i="21"/>
  <c r="AZ33" i="21"/>
  <c r="Y37" i="21"/>
  <c r="DL43" i="21"/>
  <c r="I45" i="21"/>
  <c r="I51" i="21"/>
  <c r="EE53" i="21"/>
  <c r="DJ62" i="21"/>
  <c r="T65" i="21"/>
  <c r="U65" i="21"/>
  <c r="X69" i="21"/>
  <c r="DT71" i="21"/>
  <c r="CH76" i="21"/>
  <c r="FI88" i="21"/>
  <c r="CX88" i="21"/>
  <c r="FG119" i="21"/>
  <c r="DA119" i="21"/>
  <c r="FX191" i="21"/>
  <c r="GA191" i="21" s="1"/>
  <c r="CS191" i="21" s="1"/>
  <c r="AN191" i="21"/>
  <c r="BZ191" i="21"/>
  <c r="U191" i="21"/>
  <c r="AY191" i="21" s="1"/>
  <c r="T191" i="21"/>
  <c r="N191" i="21"/>
  <c r="BE191" i="21"/>
  <c r="CA191" i="21"/>
  <c r="BK21" i="21"/>
  <c r="BB56" i="21"/>
  <c r="X57" i="21"/>
  <c r="EH67" i="21"/>
  <c r="EG67" i="21"/>
  <c r="DJ70" i="21"/>
  <c r="BP81" i="21"/>
  <c r="EI81" i="21" s="1"/>
  <c r="EY82" i="21"/>
  <c r="EZ82" i="21" s="1"/>
  <c r="AY100" i="21"/>
  <c r="AZ100" i="21" s="1"/>
  <c r="EE116" i="21"/>
  <c r="FY193" i="21"/>
  <c r="AL193" i="21"/>
  <c r="BR193" i="21"/>
  <c r="DZ193" i="21" s="1"/>
  <c r="EB193" i="21" s="1"/>
  <c r="CA193" i="21"/>
  <c r="DT369" i="21"/>
  <c r="BI369" i="21"/>
  <c r="ED478" i="21"/>
  <c r="AZ51" i="21"/>
  <c r="EG73" i="21"/>
  <c r="AN24" i="21"/>
  <c r="BA27" i="21"/>
  <c r="BB27" i="21" s="1"/>
  <c r="ET27" i="21"/>
  <c r="EU27" i="21" s="1"/>
  <c r="EV27" i="21" s="1"/>
  <c r="BK34" i="21"/>
  <c r="BE36" i="21"/>
  <c r="BA41" i="21"/>
  <c r="I46" i="21"/>
  <c r="BB46" i="21" s="1"/>
  <c r="BC46" i="21" s="1"/>
  <c r="U51" i="21"/>
  <c r="AY51" i="21" s="1"/>
  <c r="CU55" i="21"/>
  <c r="EE56" i="21"/>
  <c r="X59" i="21"/>
  <c r="AN75" i="21"/>
  <c r="DL75" i="21"/>
  <c r="AK75" i="21"/>
  <c r="DI75" i="21"/>
  <c r="T78" i="21"/>
  <c r="T88" i="21"/>
  <c r="FY110" i="21"/>
  <c r="GA110" i="21" s="1"/>
  <c r="CA110" i="21"/>
  <c r="BZ110" i="21"/>
  <c r="BR110" i="21"/>
  <c r="DZ110" i="21" s="1"/>
  <c r="EB110" i="21" s="1"/>
  <c r="BK110" i="21"/>
  <c r="BM110" i="21" s="1"/>
  <c r="T110" i="21"/>
  <c r="BE112" i="21"/>
  <c r="BF112" i="21" s="1"/>
  <c r="CO112" i="21" s="1"/>
  <c r="FX112" i="21"/>
  <c r="FJ129" i="21"/>
  <c r="EU133" i="21"/>
  <c r="EV133" i="21" s="1"/>
  <c r="ET133" i="21"/>
  <c r="AX136" i="21"/>
  <c r="CM136" i="21" s="1"/>
  <c r="DJ136" i="21"/>
  <c r="CS369" i="21"/>
  <c r="BE395" i="21"/>
  <c r="U395" i="21"/>
  <c r="FX395" i="21"/>
  <c r="FX21" i="21"/>
  <c r="GA21" i="21" s="1"/>
  <c r="GA46" i="21"/>
  <c r="AX48" i="21"/>
  <c r="DJ48" i="21"/>
  <c r="DL58" i="21"/>
  <c r="AN58" i="21"/>
  <c r="DI58" i="21"/>
  <c r="BM60" i="21"/>
  <c r="BO60" i="21" s="1"/>
  <c r="BP60" i="21" s="1"/>
  <c r="EI60" i="21" s="1"/>
  <c r="O62" i="21"/>
  <c r="X68" i="21"/>
  <c r="BA78" i="21"/>
  <c r="BB78" i="21" s="1"/>
  <c r="DJ85" i="21"/>
  <c r="EE85" i="21"/>
  <c r="BR87" i="21"/>
  <c r="DZ87" i="21" s="1"/>
  <c r="EB87" i="21" s="1"/>
  <c r="EG87" i="21" s="1"/>
  <c r="GA93" i="21"/>
  <c r="CS93" i="21" s="1"/>
  <c r="U116" i="21"/>
  <c r="EE125" i="21"/>
  <c r="AN125" i="21"/>
  <c r="AK125" i="21"/>
  <c r="DL125" i="21"/>
  <c r="DI125" i="21"/>
  <c r="AX20" i="21"/>
  <c r="BK25" i="21"/>
  <c r="I29" i="21"/>
  <c r="DL29" i="21"/>
  <c r="AZ31" i="21"/>
  <c r="BC31" i="21" s="1"/>
  <c r="FX34" i="21"/>
  <c r="GA34" i="21" s="1"/>
  <c r="DI39" i="21"/>
  <c r="DI44" i="21"/>
  <c r="BL46" i="21"/>
  <c r="DJ58" i="21"/>
  <c r="BL58" i="21"/>
  <c r="BN58" i="21" s="1"/>
  <c r="EE60" i="21"/>
  <c r="L60" i="21"/>
  <c r="Y64" i="21"/>
  <c r="X73" i="21"/>
  <c r="O75" i="21"/>
  <c r="U75" i="21"/>
  <c r="AY75" i="21" s="1"/>
  <c r="AZ75" i="21" s="1"/>
  <c r="X78" i="21"/>
  <c r="CA80" i="21"/>
  <c r="BZ80" i="21"/>
  <c r="BR80" i="21"/>
  <c r="DZ80" i="21" s="1"/>
  <c r="EB80" i="21" s="1"/>
  <c r="EG80" i="21" s="1"/>
  <c r="BZ87" i="21"/>
  <c r="CB87" i="21" s="1"/>
  <c r="CI87" i="21" s="1"/>
  <c r="CK87" i="21" s="1"/>
  <c r="CP87" i="21" s="1"/>
  <c r="X88" i="21"/>
  <c r="BB94" i="21"/>
  <c r="CG94" i="21"/>
  <c r="CH94" i="21" s="1"/>
  <c r="AL103" i="21"/>
  <c r="BL103" i="21"/>
  <c r="BN103" i="21" s="1"/>
  <c r="BM103" i="21"/>
  <c r="BO103" i="21" s="1"/>
  <c r="BB116" i="21"/>
  <c r="DD118" i="21"/>
  <c r="FI118" i="21"/>
  <c r="I125" i="21"/>
  <c r="EH174" i="21"/>
  <c r="BI250" i="21"/>
  <c r="DT250" i="21"/>
  <c r="AX22" i="21"/>
  <c r="BK41" i="21"/>
  <c r="BR56" i="21"/>
  <c r="DZ56" i="21" s="1"/>
  <c r="EB56" i="21" s="1"/>
  <c r="EG56" i="21" s="1"/>
  <c r="L58" i="21"/>
  <c r="AL70" i="21"/>
  <c r="O83" i="21"/>
  <c r="CU88" i="21"/>
  <c r="GA91" i="21"/>
  <c r="CS91" i="21" s="1"/>
  <c r="AK91" i="21"/>
  <c r="L91" i="21"/>
  <c r="DI91" i="21"/>
  <c r="AL111" i="21"/>
  <c r="EE111" i="21"/>
  <c r="X116" i="21"/>
  <c r="BM150" i="21"/>
  <c r="BL150" i="21"/>
  <c r="BN150" i="21" s="1"/>
  <c r="U150" i="21"/>
  <c r="AY150" i="21" s="1"/>
  <c r="AZ150" i="21" s="1"/>
  <c r="DI20" i="21"/>
  <c r="BR21" i="21"/>
  <c r="DZ21" i="21" s="1"/>
  <c r="EB21" i="21" s="1"/>
  <c r="EH21" i="21" s="1"/>
  <c r="DI33" i="21"/>
  <c r="DL39" i="21"/>
  <c r="DL44" i="21"/>
  <c r="M47" i="21"/>
  <c r="DJ47" i="21"/>
  <c r="T62" i="21"/>
  <c r="EL70" i="21"/>
  <c r="EK70" i="21" s="1"/>
  <c r="Y70" i="21"/>
  <c r="FG77" i="21"/>
  <c r="CU77" i="21"/>
  <c r="BL80" i="21"/>
  <c r="BN80" i="21" s="1"/>
  <c r="CA85" i="21"/>
  <c r="BZ85" i="21"/>
  <c r="BR85" i="21"/>
  <c r="DZ85" i="21" s="1"/>
  <c r="EB85" i="21" s="1"/>
  <c r="BE93" i="21"/>
  <c r="BF93" i="21" s="1"/>
  <c r="CO93" i="21" s="1"/>
  <c r="DL119" i="21"/>
  <c r="AG119" i="21"/>
  <c r="BE119" i="21" s="1"/>
  <c r="BF119" i="21" s="1"/>
  <c r="CO119" i="21" s="1"/>
  <c r="AN119" i="21"/>
  <c r="AK119" i="21"/>
  <c r="AN139" i="21"/>
  <c r="AK139" i="21"/>
  <c r="AM139" i="21" s="1"/>
  <c r="DL139" i="21"/>
  <c r="GA139" i="21"/>
  <c r="CS139" i="21" s="1"/>
  <c r="DI139" i="21"/>
  <c r="EE139" i="21"/>
  <c r="CC330" i="21"/>
  <c r="DJ20" i="21"/>
  <c r="BZ21" i="21"/>
  <c r="CB21" i="21" s="1"/>
  <c r="CI21" i="21" s="1"/>
  <c r="CK21" i="21" s="1"/>
  <c r="BR34" i="21"/>
  <c r="DZ34" i="21" s="1"/>
  <c r="EB34" i="21" s="1"/>
  <c r="EH34" i="21" s="1"/>
  <c r="DI37" i="21"/>
  <c r="FX58" i="21"/>
  <c r="GA58" i="21" s="1"/>
  <c r="CS58" i="21" s="1"/>
  <c r="CA58" i="21"/>
  <c r="BR58" i="21"/>
  <c r="DZ58" i="21" s="1"/>
  <c r="EB58" i="21" s="1"/>
  <c r="AZ80" i="21"/>
  <c r="BK87" i="21"/>
  <c r="FX87" i="21"/>
  <c r="GA87" i="21" s="1"/>
  <c r="CS87" i="21" s="1"/>
  <c r="FX101" i="21"/>
  <c r="U101" i="21"/>
  <c r="CH102" i="21"/>
  <c r="BA103" i="21"/>
  <c r="BB103" i="21" s="1"/>
  <c r="X103" i="21"/>
  <c r="EL103" i="21" s="1"/>
  <c r="EK103" i="21" s="1"/>
  <c r="EY103" i="21" s="1"/>
  <c r="EZ103" i="21" s="1"/>
  <c r="BB128" i="21"/>
  <c r="BP132" i="21"/>
  <c r="EI132" i="21" s="1"/>
  <c r="EH132" i="21" s="1"/>
  <c r="BA133" i="21"/>
  <c r="CX137" i="21"/>
  <c r="FI137" i="21"/>
  <c r="DJ139" i="21"/>
  <c r="AX139" i="21"/>
  <c r="CM139" i="21" s="1"/>
  <c r="AN249" i="21"/>
  <c r="EA249" i="21"/>
  <c r="CF249" i="21"/>
  <c r="CH249" i="21" s="1"/>
  <c r="FZ249" i="21"/>
  <c r="CD249" i="21"/>
  <c r="CE249" i="21" s="1"/>
  <c r="DL249" i="21"/>
  <c r="DJ22" i="21"/>
  <c r="BK29" i="21"/>
  <c r="BE31" i="21"/>
  <c r="BF31" i="21" s="1"/>
  <c r="I33" i="21"/>
  <c r="BZ34" i="21"/>
  <c r="CB34" i="21" s="1"/>
  <c r="CI34" i="21" s="1"/>
  <c r="DI35" i="21"/>
  <c r="EE46" i="21"/>
  <c r="EE48" i="21"/>
  <c r="GA48" i="21"/>
  <c r="BZ58" i="21"/>
  <c r="X75" i="21"/>
  <c r="T83" i="21"/>
  <c r="AY83" i="21" s="1"/>
  <c r="DL96" i="21"/>
  <c r="AK96" i="21"/>
  <c r="AM96" i="21" s="1"/>
  <c r="DI96" i="21"/>
  <c r="AN96" i="21"/>
  <c r="L96" i="21"/>
  <c r="DJ138" i="21"/>
  <c r="AX138" i="21"/>
  <c r="CM138" i="21" s="1"/>
  <c r="CB141" i="21"/>
  <c r="DL37" i="21"/>
  <c r="AL58" i="21"/>
  <c r="BE60" i="21"/>
  <c r="BF60" i="21" s="1"/>
  <c r="CO60" i="21" s="1"/>
  <c r="AZ60" i="21"/>
  <c r="Y62" i="21"/>
  <c r="EL62" i="21"/>
  <c r="EK62" i="21" s="1"/>
  <c r="AX70" i="21"/>
  <c r="CM70" i="21" s="1"/>
  <c r="EH77" i="21"/>
  <c r="CU83" i="21"/>
  <c r="M96" i="21"/>
  <c r="AX96" i="21"/>
  <c r="DJ96" i="21"/>
  <c r="AB99" i="21"/>
  <c r="AB103" i="21"/>
  <c r="AB96" i="21"/>
  <c r="AB102" i="21"/>
  <c r="AB100" i="21"/>
  <c r="BZ101" i="21"/>
  <c r="CB101" i="21" s="1"/>
  <c r="BR101" i="21"/>
  <c r="DZ101" i="21" s="1"/>
  <c r="EB101" i="21" s="1"/>
  <c r="EH101" i="21" s="1"/>
  <c r="CA101" i="21"/>
  <c r="BK101" i="21"/>
  <c r="FY101" i="21"/>
  <c r="T101" i="21"/>
  <c r="EL111" i="21"/>
  <c r="EK111" i="21" s="1"/>
  <c r="ET111" i="21" s="1"/>
  <c r="BO132" i="21"/>
  <c r="BE139" i="21"/>
  <c r="BF139" i="21" s="1"/>
  <c r="CO139" i="21" s="1"/>
  <c r="FX139" i="21"/>
  <c r="CG147" i="21"/>
  <c r="I35" i="21"/>
  <c r="DL35" i="21"/>
  <c r="I37" i="21"/>
  <c r="BK39" i="21"/>
  <c r="U47" i="21"/>
  <c r="AY47" i="21" s="1"/>
  <c r="AZ47" i="21" s="1"/>
  <c r="BC47" i="21" s="1"/>
  <c r="EE63" i="21"/>
  <c r="EY79" i="21"/>
  <c r="EZ79" i="21" s="1"/>
  <c r="X83" i="21"/>
  <c r="BA83" i="21"/>
  <c r="BB83" i="21" s="1"/>
  <c r="BB86" i="21"/>
  <c r="BE87" i="21"/>
  <c r="BF87" i="21" s="1"/>
  <c r="CO87" i="21" s="1"/>
  <c r="DI89" i="21"/>
  <c r="AN89" i="21"/>
  <c r="AK89" i="21"/>
  <c r="AM89" i="21" s="1"/>
  <c r="AL101" i="21"/>
  <c r="EE101" i="21"/>
  <c r="BA122" i="21"/>
  <c r="BB122" i="21" s="1"/>
  <c r="X122" i="21"/>
  <c r="BB124" i="21"/>
  <c r="T126" i="21"/>
  <c r="FY126" i="21"/>
  <c r="GA126" i="21" s="1"/>
  <c r="CS126" i="21" s="1"/>
  <c r="BK126" i="21"/>
  <c r="CA126" i="21"/>
  <c r="BZ126" i="21"/>
  <c r="CB126" i="21" s="1"/>
  <c r="CI126" i="21" s="1"/>
  <c r="CK126" i="21" s="1"/>
  <c r="CP126" i="21" s="1"/>
  <c r="BR126" i="21"/>
  <c r="DZ126" i="21" s="1"/>
  <c r="EB126" i="21" s="1"/>
  <c r="BA141" i="21"/>
  <c r="BB141" i="21" s="1"/>
  <c r="FI145" i="21"/>
  <c r="DD145" i="21"/>
  <c r="DT168" i="21"/>
  <c r="U70" i="21"/>
  <c r="AY70" i="21" s="1"/>
  <c r="T70" i="21"/>
  <c r="L72" i="21"/>
  <c r="AY73" i="21"/>
  <c r="AN85" i="21"/>
  <c r="DL85" i="21"/>
  <c r="AK85" i="21"/>
  <c r="DI85" i="21"/>
  <c r="EH91" i="21"/>
  <c r="EG91" i="21"/>
  <c r="DY103" i="21"/>
  <c r="U110" i="21"/>
  <c r="AL110" i="21"/>
  <c r="CA112" i="21"/>
  <c r="BZ112" i="21"/>
  <c r="CB112" i="21" s="1"/>
  <c r="CI112" i="21" s="1"/>
  <c r="CK112" i="21" s="1"/>
  <c r="CP112" i="21" s="1"/>
  <c r="BR112" i="21"/>
  <c r="DZ112" i="21" s="1"/>
  <c r="EB112" i="21" s="1"/>
  <c r="T112" i="21"/>
  <c r="AY112" i="21" s="1"/>
  <c r="BK112" i="21"/>
  <c r="BM112" i="21" s="1"/>
  <c r="FY112" i="21"/>
  <c r="DC121" i="21"/>
  <c r="AX155" i="21"/>
  <c r="DI155" i="21"/>
  <c r="M155" i="21"/>
  <c r="BF155" i="21" s="1"/>
  <c r="BB155" i="21"/>
  <c r="P155" i="21"/>
  <c r="EA369" i="21"/>
  <c r="FZ369" i="21"/>
  <c r="CD369" i="21"/>
  <c r="BE369" i="21"/>
  <c r="BI480" i="21"/>
  <c r="DT480" i="21"/>
  <c r="I24" i="21"/>
  <c r="BE39" i="21"/>
  <c r="DL53" i="21"/>
  <c r="AN53" i="21"/>
  <c r="AK53" i="21"/>
  <c r="BA57" i="21"/>
  <c r="BB57" i="21" s="1"/>
  <c r="U58" i="21"/>
  <c r="AY58" i="21" s="1"/>
  <c r="AZ58" i="21" s="1"/>
  <c r="CH58" i="21"/>
  <c r="O63" i="21"/>
  <c r="AN74" i="21"/>
  <c r="DL74" i="21"/>
  <c r="AY87" i="21"/>
  <c r="AZ87" i="21" s="1"/>
  <c r="DJ89" i="21"/>
  <c r="CA97" i="21"/>
  <c r="FY97" i="21"/>
  <c r="GA97" i="21" s="1"/>
  <c r="CS97" i="21" s="1"/>
  <c r="BK97" i="21"/>
  <c r="BL97" i="21" s="1"/>
  <c r="BN97" i="21" s="1"/>
  <c r="BZ97" i="21"/>
  <c r="FY122" i="21"/>
  <c r="GD122" i="21"/>
  <c r="CD122" i="21"/>
  <c r="CE122" i="21" s="1"/>
  <c r="CH135" i="21"/>
  <c r="U139" i="21"/>
  <c r="AL139" i="21"/>
  <c r="AN80" i="21"/>
  <c r="DL80" i="21"/>
  <c r="AK80" i="21"/>
  <c r="DJ80" i="21"/>
  <c r="DI80" i="21"/>
  <c r="DJ91" i="21"/>
  <c r="EH93" i="21"/>
  <c r="DI99" i="21"/>
  <c r="L99" i="21"/>
  <c r="I99" i="21"/>
  <c r="AM103" i="21"/>
  <c r="DL103" i="21"/>
  <c r="AL104" i="21"/>
  <c r="U104" i="21"/>
  <c r="CB115" i="21"/>
  <c r="CI115" i="21" s="1"/>
  <c r="CK115" i="21" s="1"/>
  <c r="CP115" i="21" s="1"/>
  <c r="DT126" i="21"/>
  <c r="CX127" i="21"/>
  <c r="FI127" i="21"/>
  <c r="CA139" i="21"/>
  <c r="BZ139" i="21"/>
  <c r="BR139" i="21"/>
  <c r="DZ139" i="21" s="1"/>
  <c r="EB139" i="21" s="1"/>
  <c r="T139" i="21"/>
  <c r="BK139" i="21"/>
  <c r="FY139" i="21"/>
  <c r="ET244" i="21"/>
  <c r="BE347" i="21"/>
  <c r="FX347" i="21"/>
  <c r="U347" i="21"/>
  <c r="BK73" i="21"/>
  <c r="FX73" i="21"/>
  <c r="GA73" i="21" s="1"/>
  <c r="CS73" i="21" s="1"/>
  <c r="DJ76" i="21"/>
  <c r="EY76" i="21" s="1"/>
  <c r="AN84" i="21"/>
  <c r="CA88" i="21"/>
  <c r="CB88" i="21" s="1"/>
  <c r="CI88" i="21" s="1"/>
  <c r="CK88" i="21" s="1"/>
  <c r="CP88" i="21" s="1"/>
  <c r="BE161" i="21"/>
  <c r="BF161" i="21" s="1"/>
  <c r="FX161" i="21"/>
  <c r="GA161" i="21" s="1"/>
  <c r="BZ161" i="21"/>
  <c r="U161" i="21"/>
  <c r="BR161" i="21"/>
  <c r="DZ161" i="21" s="1"/>
  <c r="EB161" i="21" s="1"/>
  <c r="EH161" i="21" s="1"/>
  <c r="T161" i="21"/>
  <c r="CA161" i="21"/>
  <c r="T173" i="21"/>
  <c r="BE173" i="21"/>
  <c r="FX173" i="21"/>
  <c r="U173" i="21"/>
  <c r="AX95" i="21"/>
  <c r="CM95" i="21" s="1"/>
  <c r="M95" i="21"/>
  <c r="DJ95" i="21"/>
  <c r="X100" i="21"/>
  <c r="EL100" i="21" s="1"/>
  <c r="EK100" i="21" s="1"/>
  <c r="ET100" i="21" s="1"/>
  <c r="BA100" i="21"/>
  <c r="BB102" i="21"/>
  <c r="EL110" i="21"/>
  <c r="EK110" i="21" s="1"/>
  <c r="AL120" i="21"/>
  <c r="BL120" i="21"/>
  <c r="BN120" i="21" s="1"/>
  <c r="BF125" i="21"/>
  <c r="CO125" i="21" s="1"/>
  <c r="BA131" i="21"/>
  <c r="AL264" i="21"/>
  <c r="CA264" i="21"/>
  <c r="BR264" i="21"/>
  <c r="DZ264" i="21" s="1"/>
  <c r="EB264" i="21" s="1"/>
  <c r="BZ264" i="21"/>
  <c r="T264" i="21"/>
  <c r="CI107" i="21"/>
  <c r="CK107" i="21" s="1"/>
  <c r="AN115" i="21"/>
  <c r="AL115" i="21"/>
  <c r="U115" i="21"/>
  <c r="AY115" i="21" s="1"/>
  <c r="T115" i="21"/>
  <c r="BL115" i="21"/>
  <c r="BN115" i="21" s="1"/>
  <c r="T120" i="21"/>
  <c r="BE125" i="21"/>
  <c r="FX125" i="21"/>
  <c r="EU132" i="21"/>
  <c r="EV132" i="21" s="1"/>
  <c r="EH171" i="21"/>
  <c r="BH175" i="21"/>
  <c r="AZ175" i="21"/>
  <c r="X93" i="21"/>
  <c r="BA93" i="21"/>
  <c r="BB93" i="21" s="1"/>
  <c r="X101" i="21"/>
  <c r="BA101" i="21"/>
  <c r="BB101" i="21" s="1"/>
  <c r="Y102" i="21"/>
  <c r="BA115" i="21"/>
  <c r="BB115" i="21" s="1"/>
  <c r="X115" i="21"/>
  <c r="U120" i="21"/>
  <c r="FY125" i="21"/>
  <c r="GD125" i="21"/>
  <c r="BK125" i="21"/>
  <c r="T125" i="21"/>
  <c r="AY125" i="21" s="1"/>
  <c r="AN97" i="21"/>
  <c r="CD118" i="21"/>
  <c r="CE118" i="21" s="1"/>
  <c r="EA118" i="21"/>
  <c r="EB118" i="21" s="1"/>
  <c r="BA120" i="21"/>
  <c r="BB120" i="21" s="1"/>
  <c r="X120" i="21"/>
  <c r="ET144" i="21"/>
  <c r="EU144" i="21" s="1"/>
  <c r="EV144" i="21" s="1"/>
  <c r="DI151" i="21"/>
  <c r="DL151" i="21"/>
  <c r="AK151" i="21"/>
  <c r="AL151" i="21" s="1"/>
  <c r="ET153" i="21"/>
  <c r="EU153" i="21" s="1"/>
  <c r="EV153" i="21" s="1"/>
  <c r="Y166" i="21"/>
  <c r="CA122" i="21"/>
  <c r="BZ122" i="21"/>
  <c r="CB122" i="21" s="1"/>
  <c r="CI122" i="21" s="1"/>
  <c r="CK122" i="21" s="1"/>
  <c r="CP122" i="21" s="1"/>
  <c r="BR122" i="21"/>
  <c r="DZ122" i="21" s="1"/>
  <c r="EB122" i="21" s="1"/>
  <c r="BA130" i="21"/>
  <c r="CB135" i="21"/>
  <c r="I151" i="21"/>
  <c r="FJ113" i="21"/>
  <c r="CW113" i="21"/>
  <c r="DA121" i="21"/>
  <c r="FG121" i="21"/>
  <c r="BM122" i="21"/>
  <c r="EE122" i="21"/>
  <c r="BL122" i="21"/>
  <c r="BN122" i="21" s="1"/>
  <c r="AL122" i="21"/>
  <c r="BA136" i="21"/>
  <c r="BB136" i="21" s="1"/>
  <c r="EE151" i="21"/>
  <c r="BB165" i="21"/>
  <c r="BB187" i="21"/>
  <c r="ET211" i="21"/>
  <c r="EU211" i="21" s="1"/>
  <c r="EV211" i="21" s="1"/>
  <c r="AY97" i="21"/>
  <c r="BA108" i="21"/>
  <c r="BB108" i="21" s="1"/>
  <c r="AN111" i="21"/>
  <c r="FX111" i="21"/>
  <c r="CU114" i="21"/>
  <c r="FG114" i="21"/>
  <c r="BA117" i="21"/>
  <c r="BB117" i="21" s="1"/>
  <c r="AX129" i="21"/>
  <c r="CM129" i="21" s="1"/>
  <c r="DJ129" i="21"/>
  <c r="CI131" i="21"/>
  <c r="CK131" i="21" s="1"/>
  <c r="CP131" i="21" s="1"/>
  <c r="EA151" i="21"/>
  <c r="Y151" i="21"/>
  <c r="U151" i="21"/>
  <c r="FZ151" i="21"/>
  <c r="FY151" i="21"/>
  <c r="AN151" i="21"/>
  <c r="AJ151" i="21"/>
  <c r="CF151" i="21"/>
  <c r="CH151" i="21" s="1"/>
  <c r="CD151" i="21"/>
  <c r="CE151" i="21" s="1"/>
  <c r="DY151" i="21"/>
  <c r="BH218" i="21"/>
  <c r="BL95" i="21"/>
  <c r="BN95" i="21" s="1"/>
  <c r="FX97" i="21"/>
  <c r="X108" i="21"/>
  <c r="X117" i="21"/>
  <c r="U122" i="21"/>
  <c r="AY122" i="21" s="1"/>
  <c r="AZ122" i="21" s="1"/>
  <c r="DC143" i="21"/>
  <c r="FJ143" i="21"/>
  <c r="L151" i="21"/>
  <c r="AZ253" i="21"/>
  <c r="BH253" i="21"/>
  <c r="ET105" i="21"/>
  <c r="EU105" i="21" s="1"/>
  <c r="EV105" i="21" s="1"/>
  <c r="BL112" i="21"/>
  <c r="BN112" i="21" s="1"/>
  <c r="AN138" i="21"/>
  <c r="CA138" i="21"/>
  <c r="BZ138" i="21"/>
  <c r="BE138" i="21"/>
  <c r="BF138" i="21" s="1"/>
  <c r="CO138" i="21" s="1"/>
  <c r="FX138" i="21"/>
  <c r="GA138" i="21" s="1"/>
  <c r="CS138" i="21" s="1"/>
  <c r="BR138" i="21"/>
  <c r="DZ138" i="21" s="1"/>
  <c r="EB138" i="21" s="1"/>
  <c r="BK138" i="21"/>
  <c r="BL138" i="21" s="1"/>
  <c r="BN138" i="21" s="1"/>
  <c r="EE138" i="21"/>
  <c r="ET138" i="21"/>
  <c r="EU138" i="21" s="1"/>
  <c r="EV138" i="21" s="1"/>
  <c r="FI146" i="21"/>
  <c r="DD146" i="21"/>
  <c r="AU154" i="21"/>
  <c r="CA181" i="21"/>
  <c r="BR181" i="21"/>
  <c r="DZ181" i="21" s="1"/>
  <c r="EB181" i="21" s="1"/>
  <c r="EH181" i="21" s="1"/>
  <c r="T181" i="21"/>
  <c r="BZ181" i="21"/>
  <c r="N181" i="21"/>
  <c r="BE181" i="21"/>
  <c r="BF181" i="21" s="1"/>
  <c r="CO181" i="21" s="1"/>
  <c r="FX181" i="21"/>
  <c r="GA181" i="21" s="1"/>
  <c r="CS181" i="21" s="1"/>
  <c r="M203" i="21"/>
  <c r="BF203" i="21" s="1"/>
  <c r="CO203" i="21" s="1"/>
  <c r="CB212" i="21"/>
  <c r="CI212" i="21" s="1"/>
  <c r="I340" i="21"/>
  <c r="DL340" i="21"/>
  <c r="AK340" i="21"/>
  <c r="L340" i="21"/>
  <c r="CH96" i="21"/>
  <c r="O105" i="21"/>
  <c r="CA105" i="21" s="1"/>
  <c r="DT112" i="21"/>
  <c r="BF136" i="21"/>
  <c r="CO136" i="21" s="1"/>
  <c r="U138" i="21"/>
  <c r="AY138" i="21" s="1"/>
  <c r="AZ138" i="21" s="1"/>
  <c r="M147" i="21"/>
  <c r="BF147" i="21" s="1"/>
  <c r="CO147" i="21" s="1"/>
  <c r="AX147" i="21"/>
  <c r="CM147" i="21" s="1"/>
  <c r="BA168" i="21"/>
  <c r="BB168" i="21" s="1"/>
  <c r="U181" i="21"/>
  <c r="AY181" i="21" s="1"/>
  <c r="EE340" i="21"/>
  <c r="Q340" i="21"/>
  <c r="AL340" i="21" s="1"/>
  <c r="BI425" i="21"/>
  <c r="DT425" i="21"/>
  <c r="AU159" i="21"/>
  <c r="ET166" i="21"/>
  <c r="EU166" i="21" s="1"/>
  <c r="EV166" i="21" s="1"/>
  <c r="AL173" i="21"/>
  <c r="BR173" i="21"/>
  <c r="DZ173" i="21" s="1"/>
  <c r="EB173" i="21" s="1"/>
  <c r="EH173" i="21" s="1"/>
  <c r="FY173" i="21"/>
  <c r="BZ173" i="21"/>
  <c r="S179" i="21"/>
  <c r="AN179" i="21" s="1"/>
  <c r="L179" i="21"/>
  <c r="DL179" i="21"/>
  <c r="AM179" i="21"/>
  <c r="AL179" i="21"/>
  <c r="AK179" i="21"/>
  <c r="AJ179" i="21" s="1"/>
  <c r="CU115" i="21"/>
  <c r="FG115" i="21"/>
  <c r="DJ119" i="21"/>
  <c r="BA125" i="21"/>
  <c r="AN128" i="21"/>
  <c r="GA128" i="21"/>
  <c r="CS128" i="21" s="1"/>
  <c r="AK128" i="21"/>
  <c r="EE128" i="21"/>
  <c r="DL128" i="21"/>
  <c r="DI128" i="21"/>
  <c r="ET137" i="21"/>
  <c r="EU137" i="21" s="1"/>
  <c r="EV137" i="21" s="1"/>
  <c r="BO141" i="21"/>
  <c r="AL152" i="21"/>
  <c r="Y178" i="21"/>
  <c r="I179" i="21"/>
  <c r="BR302" i="21"/>
  <c r="DZ302" i="21" s="1"/>
  <c r="AL302" i="21"/>
  <c r="BZ302" i="21"/>
  <c r="CB302" i="21" s="1"/>
  <c r="CI302" i="21" s="1"/>
  <c r="T302" i="21"/>
  <c r="CA302" i="21"/>
  <c r="FX124" i="21"/>
  <c r="CA124" i="21"/>
  <c r="BZ124" i="21"/>
  <c r="CB124" i="21" s="1"/>
  <c r="CI124" i="21" s="1"/>
  <c r="CK124" i="21" s="1"/>
  <c r="CP124" i="21" s="1"/>
  <c r="BR124" i="21"/>
  <c r="DZ124" i="21" s="1"/>
  <c r="EB124" i="21" s="1"/>
  <c r="BE124" i="21"/>
  <c r="BF124" i="21" s="1"/>
  <c r="CO124" i="21" s="1"/>
  <c r="I128" i="21"/>
  <c r="BA142" i="21"/>
  <c r="BB142" i="21" s="1"/>
  <c r="BI178" i="21"/>
  <c r="DD236" i="21"/>
  <c r="FI236" i="21"/>
  <c r="CE273" i="21"/>
  <c r="FY140" i="21"/>
  <c r="GA140" i="21" s="1"/>
  <c r="CS140" i="21" s="1"/>
  <c r="BK140" i="21"/>
  <c r="BL140" i="21" s="1"/>
  <c r="BN140" i="21" s="1"/>
  <c r="T140" i="21"/>
  <c r="BR140" i="21"/>
  <c r="DZ140" i="21" s="1"/>
  <c r="EB140" i="21" s="1"/>
  <c r="CA140" i="21"/>
  <c r="BZ140" i="21"/>
  <c r="CB140" i="21" s="1"/>
  <c r="CI140" i="21" s="1"/>
  <c r="CK140" i="21" s="1"/>
  <c r="CP140" i="21" s="1"/>
  <c r="BE140" i="21"/>
  <c r="DY148" i="21"/>
  <c r="BZ148" i="21"/>
  <c r="CB148" i="21" s="1"/>
  <c r="CI148" i="21" s="1"/>
  <c r="BB205" i="21"/>
  <c r="U124" i="21"/>
  <c r="AY124" i="21" s="1"/>
  <c r="T124" i="21"/>
  <c r="CA128" i="21"/>
  <c r="BE128" i="21"/>
  <c r="BF128" i="21" s="1"/>
  <c r="CO128" i="21" s="1"/>
  <c r="FX128" i="21"/>
  <c r="BZ128" i="21"/>
  <c r="BR128" i="21"/>
  <c r="DZ128" i="21" s="1"/>
  <c r="EB128" i="21" s="1"/>
  <c r="U128" i="21"/>
  <c r="T128" i="21"/>
  <c r="BK128" i="21"/>
  <c r="U140" i="21"/>
  <c r="BM140" i="21"/>
  <c r="FY142" i="21"/>
  <c r="AJ142" i="21"/>
  <c r="EE179" i="21"/>
  <c r="Y184" i="21"/>
  <c r="BA261" i="21"/>
  <c r="X261" i="21"/>
  <c r="AX127" i="21"/>
  <c r="CM127" i="21" s="1"/>
  <c r="DJ127" i="21"/>
  <c r="DT133" i="21"/>
  <c r="AN149" i="21"/>
  <c r="AK149" i="21"/>
  <c r="AM149" i="21" s="1"/>
  <c r="DI149" i="21"/>
  <c r="AL145" i="21"/>
  <c r="AN145" i="21"/>
  <c r="M149" i="21"/>
  <c r="BF149" i="21" s="1"/>
  <c r="CO149" i="21" s="1"/>
  <c r="AX149" i="21"/>
  <c r="CM149" i="21" s="1"/>
  <c r="BB149" i="21"/>
  <c r="DJ149" i="21"/>
  <c r="AX191" i="21"/>
  <c r="DI191" i="21"/>
  <c r="M191" i="21"/>
  <c r="T145" i="21"/>
  <c r="AY148" i="21"/>
  <c r="P157" i="21"/>
  <c r="M157" i="21"/>
  <c r="BF157" i="21" s="1"/>
  <c r="AX157" i="21"/>
  <c r="BB157" i="21"/>
  <c r="CA173" i="21"/>
  <c r="EH216" i="21"/>
  <c r="EG216" i="21"/>
  <c r="ET107" i="21"/>
  <c r="EU107" i="21" s="1"/>
  <c r="EV107" i="21" s="1"/>
  <c r="FX119" i="21"/>
  <c r="BF123" i="21"/>
  <c r="CO123" i="21" s="1"/>
  <c r="BM134" i="21"/>
  <c r="T134" i="21"/>
  <c r="BL134" i="21"/>
  <c r="BN134" i="21" s="1"/>
  <c r="DL137" i="21"/>
  <c r="AK137" i="21"/>
  <c r="AM137" i="21" s="1"/>
  <c r="AN137" i="21"/>
  <c r="BA138" i="21"/>
  <c r="BB138" i="21" s="1"/>
  <c r="EE146" i="21"/>
  <c r="AK146" i="21"/>
  <c r="AM146" i="21" s="1"/>
  <c r="AN146" i="21"/>
  <c r="DL146" i="21"/>
  <c r="DI146" i="21"/>
  <c r="U193" i="21"/>
  <c r="FX193" i="21"/>
  <c r="GA193" i="21" s="1"/>
  <c r="CS193" i="21" s="1"/>
  <c r="AN193" i="21"/>
  <c r="T193" i="21"/>
  <c r="BE193" i="21"/>
  <c r="CM308" i="21"/>
  <c r="FG68" i="21"/>
  <c r="EE81" i="21"/>
  <c r="FX81" i="21"/>
  <c r="GA81" i="21" s="1"/>
  <c r="CS81" i="21" s="1"/>
  <c r="BL85" i="21"/>
  <c r="BN85" i="21" s="1"/>
  <c r="BM85" i="21"/>
  <c r="BK98" i="21"/>
  <c r="EU124" i="21"/>
  <c r="EV124" i="21" s="1"/>
  <c r="DL129" i="21"/>
  <c r="AN129" i="21"/>
  <c r="EE129" i="21"/>
  <c r="U134" i="21"/>
  <c r="BE136" i="21"/>
  <c r="CA136" i="21"/>
  <c r="CB136" i="21" s="1"/>
  <c r="CI136" i="21" s="1"/>
  <c r="CK136" i="21" s="1"/>
  <c r="CP136" i="21" s="1"/>
  <c r="T136" i="21"/>
  <c r="AN136" i="21"/>
  <c r="I137" i="21"/>
  <c r="I146" i="21"/>
  <c r="N167" i="21"/>
  <c r="EE167" i="21" s="1"/>
  <c r="FY167" i="21"/>
  <c r="AL167" i="21"/>
  <c r="CA167" i="21"/>
  <c r="BZ167" i="21"/>
  <c r="BR167" i="21"/>
  <c r="DZ167" i="21" s="1"/>
  <c r="EB167" i="21" s="1"/>
  <c r="EH167" i="21" s="1"/>
  <c r="I177" i="21"/>
  <c r="AK177" i="21"/>
  <c r="AJ177" i="21" s="1"/>
  <c r="S177" i="21"/>
  <c r="AN177" i="21" s="1"/>
  <c r="AM177" i="21"/>
  <c r="AL177" i="21"/>
  <c r="AM203" i="21"/>
  <c r="DL203" i="21"/>
  <c r="EE203" i="21"/>
  <c r="AL203" i="21"/>
  <c r="AK203" i="21"/>
  <c r="AJ203" i="21" s="1"/>
  <c r="S203" i="21"/>
  <c r="AN203" i="21" s="1"/>
  <c r="BR303" i="21"/>
  <c r="DZ303" i="21" s="1"/>
  <c r="EB303" i="21" s="1"/>
  <c r="EH303" i="21" s="1"/>
  <c r="FY303" i="21"/>
  <c r="GA303" i="21" s="1"/>
  <c r="CS303" i="21" s="1"/>
  <c r="T303" i="21"/>
  <c r="CA303" i="21"/>
  <c r="BZ303" i="21"/>
  <c r="CA357" i="21"/>
  <c r="BZ357" i="21"/>
  <c r="BR357" i="21"/>
  <c r="DZ357" i="21" s="1"/>
  <c r="FX67" i="21"/>
  <c r="GA67" i="21" s="1"/>
  <c r="CS67" i="21" s="1"/>
  <c r="EL71" i="21"/>
  <c r="EK71" i="21" s="1"/>
  <c r="EL90" i="21"/>
  <c r="EK90" i="21" s="1"/>
  <c r="EY90" i="21" s="1"/>
  <c r="AX93" i="21"/>
  <c r="CM93" i="21" s="1"/>
  <c r="DL94" i="21"/>
  <c r="AX94" i="21"/>
  <c r="CM94" i="21" s="1"/>
  <c r="CF98" i="21"/>
  <c r="CH98" i="21" s="1"/>
  <c r="CD98" i="21"/>
  <c r="CE98" i="21" s="1"/>
  <c r="AN98" i="21"/>
  <c r="BE131" i="21"/>
  <c r="BF131" i="21" s="1"/>
  <c r="CO131" i="21" s="1"/>
  <c r="BK131" i="21"/>
  <c r="BM136" i="21"/>
  <c r="EB148" i="21"/>
  <c r="EE149" i="21"/>
  <c r="AZ167" i="21"/>
  <c r="BH167" i="21"/>
  <c r="N183" i="21"/>
  <c r="EE183" i="21" s="1"/>
  <c r="FY183" i="21"/>
  <c r="GA183" i="21" s="1"/>
  <c r="CS183" i="21" s="1"/>
  <c r="CA183" i="21"/>
  <c r="BZ183" i="21"/>
  <c r="BR183" i="21"/>
  <c r="DZ183" i="21" s="1"/>
  <c r="EB183" i="21" s="1"/>
  <c r="EH183" i="21" s="1"/>
  <c r="CA188" i="21"/>
  <c r="BZ188" i="21"/>
  <c r="FX188" i="21"/>
  <c r="BR188" i="21"/>
  <c r="DZ188" i="21" s="1"/>
  <c r="EB188" i="21" s="1"/>
  <c r="EH188" i="21" s="1"/>
  <c r="BE188" i="21"/>
  <c r="FY197" i="21"/>
  <c r="CA197" i="21"/>
  <c r="BR197" i="21"/>
  <c r="DZ197" i="21" s="1"/>
  <c r="EB197" i="21" s="1"/>
  <c r="L77" i="21"/>
  <c r="DL77" i="21"/>
  <c r="EE77" i="21"/>
  <c r="FX77" i="21"/>
  <c r="GA77" i="21" s="1"/>
  <c r="CS77" i="21" s="1"/>
  <c r="FG78" i="21"/>
  <c r="BR106" i="21"/>
  <c r="DZ106" i="21" s="1"/>
  <c r="EB106" i="21" s="1"/>
  <c r="T106" i="21"/>
  <c r="BK106" i="21"/>
  <c r="FY106" i="21"/>
  <c r="GA106" i="21" s="1"/>
  <c r="BE106" i="21"/>
  <c r="BF106" i="21" s="1"/>
  <c r="GD121" i="21"/>
  <c r="BE121" i="21"/>
  <c r="BF121" i="21" s="1"/>
  <c r="CO121" i="21" s="1"/>
  <c r="FY121" i="21"/>
  <c r="GA121" i="21" s="1"/>
  <c r="CS121" i="21" s="1"/>
  <c r="AL131" i="21"/>
  <c r="DL132" i="21"/>
  <c r="AN132" i="21"/>
  <c r="I132" i="21"/>
  <c r="AK132" i="21"/>
  <c r="EE132" i="21"/>
  <c r="GA132" i="21"/>
  <c r="CS132" i="21" s="1"/>
  <c r="BE135" i="21"/>
  <c r="BF135" i="21" s="1"/>
  <c r="CO135" i="21" s="1"/>
  <c r="AN135" i="21"/>
  <c r="BZ137" i="21"/>
  <c r="CB137" i="21" s="1"/>
  <c r="BR137" i="21"/>
  <c r="DZ137" i="21" s="1"/>
  <c r="EB137" i="21" s="1"/>
  <c r="T137" i="21"/>
  <c r="BE137" i="21"/>
  <c r="BF137" i="21" s="1"/>
  <c r="CO137" i="21" s="1"/>
  <c r="DA145" i="21"/>
  <c r="FX152" i="21"/>
  <c r="GA152" i="21" s="1"/>
  <c r="CS152" i="21" s="1"/>
  <c r="BE152" i="21"/>
  <c r="BZ152" i="21"/>
  <c r="BR152" i="21"/>
  <c r="DZ152" i="21" s="1"/>
  <c r="EB152" i="21" s="1"/>
  <c r="CA152" i="21"/>
  <c r="BE159" i="21"/>
  <c r="CA159" i="21"/>
  <c r="BZ159" i="21"/>
  <c r="BR159" i="21"/>
  <c r="DZ159" i="21" s="1"/>
  <c r="EB159" i="21" s="1"/>
  <c r="EH159" i="21" s="1"/>
  <c r="FX159" i="21"/>
  <c r="GA159" i="21" s="1"/>
  <c r="I165" i="21"/>
  <c r="AM165" i="21"/>
  <c r="AL165" i="21"/>
  <c r="AK165" i="21"/>
  <c r="DL165" i="21"/>
  <c r="S165" i="21"/>
  <c r="AN165" i="21" s="1"/>
  <c r="Y192" i="21"/>
  <c r="EL192" i="21"/>
  <c r="EK192" i="21" s="1"/>
  <c r="FX263" i="21"/>
  <c r="U263" i="21"/>
  <c r="BE263" i="21"/>
  <c r="BF263" i="21" s="1"/>
  <c r="CO263" i="21" s="1"/>
  <c r="Q263" i="21"/>
  <c r="DI289" i="21"/>
  <c r="AX289" i="21"/>
  <c r="CM289" i="21" s="1"/>
  <c r="BB289" i="21"/>
  <c r="M289" i="21"/>
  <c r="T52" i="21"/>
  <c r="T56" i="21"/>
  <c r="AM94" i="21"/>
  <c r="EA99" i="21"/>
  <c r="CD99" i="21"/>
  <c r="CE99" i="21" s="1"/>
  <c r="AN99" i="21"/>
  <c r="AL99" i="21"/>
  <c r="Y99" i="21"/>
  <c r="DL113" i="21"/>
  <c r="AK113" i="21"/>
  <c r="DI113" i="21"/>
  <c r="GA113" i="21"/>
  <c r="CS113" i="21" s="1"/>
  <c r="BA123" i="21"/>
  <c r="BB123" i="21" s="1"/>
  <c r="BR135" i="21"/>
  <c r="DZ135" i="21" s="1"/>
  <c r="EB135" i="21" s="1"/>
  <c r="BK135" i="21"/>
  <c r="U137" i="21"/>
  <c r="BE142" i="21"/>
  <c r="BF142" i="21" s="1"/>
  <c r="CO142" i="21" s="1"/>
  <c r="U146" i="21"/>
  <c r="T146" i="21"/>
  <c r="M154" i="21"/>
  <c r="BF154" i="21" s="1"/>
  <c r="DI154" i="21"/>
  <c r="P154" i="21"/>
  <c r="BA167" i="21"/>
  <c r="BB167" i="21" s="1"/>
  <c r="X167" i="21"/>
  <c r="BE177" i="21"/>
  <c r="BZ177" i="21"/>
  <c r="CB177" i="21" s="1"/>
  <c r="CI177" i="21" s="1"/>
  <c r="FX177" i="21"/>
  <c r="GA177" i="21" s="1"/>
  <c r="CS177" i="21" s="1"/>
  <c r="BR177" i="21"/>
  <c r="DZ177" i="21" s="1"/>
  <c r="EB177" i="21" s="1"/>
  <c r="EH177" i="21" s="1"/>
  <c r="T177" i="21"/>
  <c r="U177" i="21"/>
  <c r="T183" i="21"/>
  <c r="BA193" i="21"/>
  <c r="BB193" i="21" s="1"/>
  <c r="X193" i="21"/>
  <c r="DT211" i="21"/>
  <c r="EH224" i="21"/>
  <c r="EG224" i="21"/>
  <c r="AM289" i="21"/>
  <c r="DL289" i="21"/>
  <c r="EE289" i="21"/>
  <c r="AS289" i="21"/>
  <c r="U52" i="21"/>
  <c r="U56" i="21"/>
  <c r="AY56" i="21" s="1"/>
  <c r="O64" i="21"/>
  <c r="AN64" i="21" s="1"/>
  <c r="X66" i="21"/>
  <c r="BK67" i="21"/>
  <c r="BL67" i="21" s="1"/>
  <c r="BN67" i="21" s="1"/>
  <c r="O72" i="21"/>
  <c r="EE72" i="21" s="1"/>
  <c r="L82" i="21"/>
  <c r="EE87" i="21"/>
  <c r="BK91" i="21"/>
  <c r="BM91" i="21" s="1"/>
  <c r="CD94" i="21"/>
  <c r="CE94" i="21" s="1"/>
  <c r="Y94" i="21"/>
  <c r="DY98" i="21"/>
  <c r="ET102" i="21"/>
  <c r="EU102" i="21" s="1"/>
  <c r="EV102" i="21" s="1"/>
  <c r="AL106" i="21"/>
  <c r="AQ106" i="21" s="1"/>
  <c r="AZ107" i="21"/>
  <c r="BC107" i="21" s="1"/>
  <c r="DJ113" i="21"/>
  <c r="DL118" i="21"/>
  <c r="AK118" i="21"/>
  <c r="AM118" i="21" s="1"/>
  <c r="DI118" i="21"/>
  <c r="EE118" i="21"/>
  <c r="AL129" i="21"/>
  <c r="U131" i="21"/>
  <c r="AY131" i="21" s="1"/>
  <c r="AZ131" i="21" s="1"/>
  <c r="CA132" i="21"/>
  <c r="BE132" i="21"/>
  <c r="BF132" i="21" s="1"/>
  <c r="CO132" i="21" s="1"/>
  <c r="FX132" i="21"/>
  <c r="U132" i="21"/>
  <c r="BZ132" i="21"/>
  <c r="T132" i="21"/>
  <c r="CA142" i="21"/>
  <c r="CB142" i="21" s="1"/>
  <c r="CI142" i="21" s="1"/>
  <c r="CK142" i="21" s="1"/>
  <c r="CP142" i="21" s="1"/>
  <c r="BK142" i="21"/>
  <c r="BL142" i="21" s="1"/>
  <c r="BN142" i="21" s="1"/>
  <c r="CA149" i="21"/>
  <c r="CB149" i="21" s="1"/>
  <c r="CI149" i="21" s="1"/>
  <c r="BK149" i="21"/>
  <c r="BE149" i="21"/>
  <c r="FY149" i="21"/>
  <c r="GA149" i="21" s="1"/>
  <c r="CS149" i="21" s="1"/>
  <c r="ET172" i="21"/>
  <c r="EU172" i="21" s="1"/>
  <c r="EV172" i="21" s="1"/>
  <c r="AY183" i="21"/>
  <c r="X224" i="21"/>
  <c r="BA224" i="21"/>
  <c r="AL67" i="21"/>
  <c r="L87" i="21"/>
  <c r="DL97" i="21"/>
  <c r="BR98" i="21"/>
  <c r="DZ98" i="21" s="1"/>
  <c r="EB98" i="21" s="1"/>
  <c r="DY99" i="21"/>
  <c r="GA100" i="21"/>
  <c r="L100" i="21"/>
  <c r="I100" i="21"/>
  <c r="AM101" i="21"/>
  <c r="DL101" i="21"/>
  <c r="EE113" i="21"/>
  <c r="DL120" i="21"/>
  <c r="AN120" i="21"/>
  <c r="DI120" i="21"/>
  <c r="AG120" i="21"/>
  <c r="T129" i="21"/>
  <c r="AY129" i="21" s="1"/>
  <c r="FY129" i="21"/>
  <c r="GA129" i="21" s="1"/>
  <c r="CS129" i="21" s="1"/>
  <c r="T135" i="21"/>
  <c r="BM142" i="21"/>
  <c r="BO142" i="21" s="1"/>
  <c r="EE142" i="21"/>
  <c r="AN142" i="21"/>
  <c r="U149" i="21"/>
  <c r="Y158" i="21"/>
  <c r="EL158" i="21"/>
  <c r="EK158" i="21" s="1"/>
  <c r="ET158" i="21" s="1"/>
  <c r="T159" i="21"/>
  <c r="T67" i="21"/>
  <c r="EE68" i="21"/>
  <c r="O82" i="21"/>
  <c r="BE82" i="21" s="1"/>
  <c r="BF82" i="21" s="1"/>
  <c r="CO82" i="21" s="1"/>
  <c r="T91" i="21"/>
  <c r="O92" i="21"/>
  <c r="BE92" i="21" s="1"/>
  <c r="BF92" i="21" s="1"/>
  <c r="CO92" i="21" s="1"/>
  <c r="M94" i="21"/>
  <c r="I97" i="21"/>
  <c r="BZ98" i="21"/>
  <c r="CB98" i="21" s="1"/>
  <c r="CI98" i="21" s="1"/>
  <c r="Q99" i="21"/>
  <c r="CD101" i="21"/>
  <c r="CE101" i="21" s="1"/>
  <c r="AN101" i="21"/>
  <c r="DJ109" i="21"/>
  <c r="AX109" i="21"/>
  <c r="DL110" i="21"/>
  <c r="DI110" i="21"/>
  <c r="AN110" i="21"/>
  <c r="BA114" i="21"/>
  <c r="BB114" i="21" s="1"/>
  <c r="DJ120" i="21"/>
  <c r="AX120" i="21"/>
  <c r="CM120" i="21" s="1"/>
  <c r="ET129" i="21"/>
  <c r="EU129" i="21"/>
  <c r="EV129" i="21" s="1"/>
  <c r="BM130" i="21"/>
  <c r="BO130" i="21" s="1"/>
  <c r="BP130" i="21" s="1"/>
  <c r="EI130" i="21" s="1"/>
  <c r="EH130" i="21" s="1"/>
  <c r="AN134" i="21"/>
  <c r="AM136" i="21"/>
  <c r="AL136" i="21"/>
  <c r="EE137" i="21"/>
  <c r="T142" i="21"/>
  <c r="T149" i="21"/>
  <c r="T152" i="21"/>
  <c r="U159" i="21"/>
  <c r="FX165" i="21"/>
  <c r="BE165" i="21"/>
  <c r="U165" i="21"/>
  <c r="AY165" i="21" s="1"/>
  <c r="T165" i="21"/>
  <c r="U188" i="21"/>
  <c r="AY188" i="21" s="1"/>
  <c r="AZ188" i="21" s="1"/>
  <c r="FY222" i="21"/>
  <c r="CA222" i="21"/>
  <c r="BZ222" i="21"/>
  <c r="CB222" i="21" s="1"/>
  <c r="CI222" i="21" s="1"/>
  <c r="BR222" i="21"/>
  <c r="DZ222" i="21" s="1"/>
  <c r="EB222" i="21" s="1"/>
  <c r="T222" i="21"/>
  <c r="BB268" i="21"/>
  <c r="CG268" i="21"/>
  <c r="AL271" i="21"/>
  <c r="CA271" i="21"/>
  <c r="BZ271" i="21"/>
  <c r="BR271" i="21"/>
  <c r="DZ271" i="21" s="1"/>
  <c r="EB271" i="21" s="1"/>
  <c r="EG271" i="21" s="1"/>
  <c r="FY271" i="21"/>
  <c r="T64" i="21"/>
  <c r="AY64" i="21" s="1"/>
  <c r="U67" i="21"/>
  <c r="T72" i="21"/>
  <c r="U93" i="21"/>
  <c r="AY93" i="21" s="1"/>
  <c r="AZ93" i="21" s="1"/>
  <c r="BK93" i="21"/>
  <c r="T98" i="21"/>
  <c r="U99" i="21"/>
  <c r="CF99" i="21"/>
  <c r="CH99" i="21" s="1"/>
  <c r="BR100" i="21"/>
  <c r="DZ100" i="21" s="1"/>
  <c r="L101" i="21"/>
  <c r="FZ101" i="21"/>
  <c r="DJ110" i="21"/>
  <c r="AX110" i="21"/>
  <c r="X114" i="21"/>
  <c r="BE118" i="21"/>
  <c r="BF118" i="21" s="1"/>
  <c r="CO118" i="21" s="1"/>
  <c r="EE120" i="21"/>
  <c r="AL123" i="21"/>
  <c r="AL127" i="21"/>
  <c r="BA132" i="21"/>
  <c r="U142" i="21"/>
  <c r="AK150" i="21"/>
  <c r="AL150" i="21" s="1"/>
  <c r="DL150" i="21"/>
  <c r="DI150" i="21"/>
  <c r="U152" i="21"/>
  <c r="CU184" i="21"/>
  <c r="FG184" i="21"/>
  <c r="CI216" i="21"/>
  <c r="CK216" i="21" s="1"/>
  <c r="T239" i="21"/>
  <c r="CA239" i="21"/>
  <c r="BZ239" i="21"/>
  <c r="BR239" i="21"/>
  <c r="DZ239" i="21" s="1"/>
  <c r="EB239" i="21" s="1"/>
  <c r="FY239" i="21"/>
  <c r="GA239" i="21" s="1"/>
  <c r="CS239" i="21" s="1"/>
  <c r="L73" i="21"/>
  <c r="L78" i="21"/>
  <c r="BR81" i="21"/>
  <c r="DZ81" i="21" s="1"/>
  <c r="EB81" i="21" s="1"/>
  <c r="EG81" i="21" s="1"/>
  <c r="AL92" i="21"/>
  <c r="DI94" i="21"/>
  <c r="EY94" i="21" s="1"/>
  <c r="AL95" i="21"/>
  <c r="BM95" i="21"/>
  <c r="CD97" i="21"/>
  <c r="CE97" i="21" s="1"/>
  <c r="U98" i="21"/>
  <c r="EE99" i="21"/>
  <c r="BZ100" i="21"/>
  <c r="M101" i="21"/>
  <c r="GA101" i="21"/>
  <c r="CS101" i="21" s="1"/>
  <c r="EY107" i="21"/>
  <c r="EZ107" i="21" s="1"/>
  <c r="FY108" i="21"/>
  <c r="AZ117" i="21"/>
  <c r="BC117" i="21" s="1"/>
  <c r="AN130" i="21"/>
  <c r="DI130" i="21"/>
  <c r="I130" i="21"/>
  <c r="DT131" i="21"/>
  <c r="BA135" i="21"/>
  <c r="BE146" i="21"/>
  <c r="EL149" i="21"/>
  <c r="EK149" i="21" s="1"/>
  <c r="Y149" i="21"/>
  <c r="I150" i="21"/>
  <c r="X152" i="21"/>
  <c r="EL152" i="21" s="1"/>
  <c r="EK152" i="21" s="1"/>
  <c r="ET152" i="21" s="1"/>
  <c r="BA152" i="21"/>
  <c r="FY165" i="21"/>
  <c r="CA165" i="21"/>
  <c r="BZ165" i="21"/>
  <c r="CB165" i="21" s="1"/>
  <c r="CI165" i="21" s="1"/>
  <c r="BR165" i="21"/>
  <c r="DZ165" i="21" s="1"/>
  <c r="EB165" i="21" s="1"/>
  <c r="EH165" i="21" s="1"/>
  <c r="Y183" i="21"/>
  <c r="BI183" i="21" s="1"/>
  <c r="X188" i="21"/>
  <c r="BA188" i="21"/>
  <c r="DI206" i="21"/>
  <c r="P206" i="21"/>
  <c r="DY206" i="21" s="1"/>
  <c r="M206" i="21"/>
  <c r="BF206" i="21" s="1"/>
  <c r="CO206" i="21" s="1"/>
  <c r="BB206" i="21"/>
  <c r="AX206" i="21"/>
  <c r="CM206" i="21" s="1"/>
  <c r="T271" i="21"/>
  <c r="X67" i="21"/>
  <c r="EE73" i="21"/>
  <c r="T73" i="21"/>
  <c r="Y81" i="21"/>
  <c r="X91" i="21"/>
  <c r="L97" i="21"/>
  <c r="CA100" i="21"/>
  <c r="EE100" i="21"/>
  <c r="AX103" i="21"/>
  <c r="M103" i="21"/>
  <c r="O104" i="21"/>
  <c r="AN104" i="21" s="1"/>
  <c r="DL112" i="21"/>
  <c r="AN112" i="21"/>
  <c r="AK112" i="21"/>
  <c r="AM112" i="21" s="1"/>
  <c r="DI112" i="21"/>
  <c r="BE122" i="21"/>
  <c r="BF122" i="21" s="1"/>
  <c r="CO122" i="21" s="1"/>
  <c r="FX122" i="21"/>
  <c r="GA122" i="21" s="1"/>
  <c r="CS122" i="21" s="1"/>
  <c r="EE124" i="21"/>
  <c r="GA124" i="21"/>
  <c r="CS124" i="21" s="1"/>
  <c r="AN124" i="21"/>
  <c r="AK124" i="21"/>
  <c r="AM124" i="21" s="1"/>
  <c r="BF140" i="21"/>
  <c r="CO140" i="21" s="1"/>
  <c r="EU141" i="21"/>
  <c r="EV141" i="21" s="1"/>
  <c r="ET141" i="21"/>
  <c r="AZ148" i="21"/>
  <c r="EE150" i="21"/>
  <c r="AZ156" i="21"/>
  <c r="X159" i="21"/>
  <c r="BB111" i="21"/>
  <c r="BA113" i="21"/>
  <c r="BB113" i="21" s="1"/>
  <c r="BL119" i="21"/>
  <c r="BK124" i="21"/>
  <c r="BM124" i="21" s="1"/>
  <c r="GD124" i="21"/>
  <c r="BE127" i="21"/>
  <c r="BF127" i="21" s="1"/>
  <c r="CO127" i="21" s="1"/>
  <c r="AK141" i="21"/>
  <c r="EE141" i="21"/>
  <c r="AN141" i="21"/>
  <c r="AG141" i="21"/>
  <c r="BK146" i="21"/>
  <c r="BM146" i="21" s="1"/>
  <c r="CA146" i="21"/>
  <c r="BZ146" i="21"/>
  <c r="CB146" i="21" s="1"/>
  <c r="AK147" i="21"/>
  <c r="GA147" i="21"/>
  <c r="CS147" i="21" s="1"/>
  <c r="DL147" i="21"/>
  <c r="CA150" i="21"/>
  <c r="BZ150" i="21"/>
  <c r="FY150" i="21"/>
  <c r="GA150" i="21" s="1"/>
  <c r="CS150" i="21" s="1"/>
  <c r="T150" i="21"/>
  <c r="BZ169" i="21"/>
  <c r="CB169" i="21" s="1"/>
  <c r="CI169" i="21" s="1"/>
  <c r="AZ171" i="21"/>
  <c r="ET182" i="21"/>
  <c r="EU182" i="21" s="1"/>
  <c r="EV182" i="21" s="1"/>
  <c r="CH202" i="21"/>
  <c r="FX207" i="21"/>
  <c r="EE207" i="21"/>
  <c r="BE207" i="21"/>
  <c r="U207" i="21"/>
  <c r="Q207" i="21"/>
  <c r="CF289" i="21"/>
  <c r="CH289" i="21" s="1"/>
  <c r="CD289" i="21"/>
  <c r="AN289" i="21"/>
  <c r="Y289" i="21"/>
  <c r="U289" i="21"/>
  <c r="Q289" i="21"/>
  <c r="FZ289" i="21"/>
  <c r="BE289" i="21"/>
  <c r="EA289" i="21"/>
  <c r="EA102" i="21"/>
  <c r="T119" i="21"/>
  <c r="BZ119" i="21"/>
  <c r="BR119" i="21"/>
  <c r="DZ119" i="21" s="1"/>
  <c r="EB119" i="21" s="1"/>
  <c r="BK127" i="21"/>
  <c r="ET142" i="21"/>
  <c r="EU142" i="21" s="1"/>
  <c r="EV142" i="21" s="1"/>
  <c r="Y157" i="21"/>
  <c r="EL157" i="21"/>
  <c r="EK157" i="21" s="1"/>
  <c r="ET157" i="21" s="1"/>
  <c r="EU157" i="21" s="1"/>
  <c r="EV157" i="21" s="1"/>
  <c r="BA173" i="21"/>
  <c r="BB173" i="21" s="1"/>
  <c r="FY194" i="21"/>
  <c r="AL194" i="21"/>
  <c r="CA194" i="21"/>
  <c r="AJ194" i="21"/>
  <c r="BR194" i="21"/>
  <c r="DZ194" i="21" s="1"/>
  <c r="EB194" i="21" s="1"/>
  <c r="DL114" i="21"/>
  <c r="AN114" i="21"/>
  <c r="DL133" i="21"/>
  <c r="EE133" i="21"/>
  <c r="FY144" i="21"/>
  <c r="GA144" i="21" s="1"/>
  <c r="CS144" i="21" s="1"/>
  <c r="CA144" i="21"/>
  <c r="BZ144" i="21"/>
  <c r="CB144" i="21" s="1"/>
  <c r="CI144" i="21" s="1"/>
  <c r="CK144" i="21" s="1"/>
  <c r="CP144" i="21" s="1"/>
  <c r="T144" i="21"/>
  <c r="BA171" i="21"/>
  <c r="BB171" i="21" s="1"/>
  <c r="X173" i="21"/>
  <c r="CA179" i="21"/>
  <c r="BZ179" i="21"/>
  <c r="BR179" i="21"/>
  <c r="DZ179" i="21" s="1"/>
  <c r="EB179" i="21" s="1"/>
  <c r="FY179" i="21"/>
  <c r="GA179" i="21" s="1"/>
  <c r="CS179" i="21" s="1"/>
  <c r="T179" i="21"/>
  <c r="BF184" i="21"/>
  <c r="CO184" i="21" s="1"/>
  <c r="DT248" i="21"/>
  <c r="BI248" i="21"/>
  <c r="EA100" i="21"/>
  <c r="M102" i="21"/>
  <c r="BF102" i="21" s="1"/>
  <c r="AX108" i="21"/>
  <c r="T113" i="21"/>
  <c r="BL113" i="21"/>
  <c r="EL113" i="21"/>
  <c r="EK113" i="21" s="1"/>
  <c r="DJ114" i="21"/>
  <c r="FY114" i="21"/>
  <c r="GA114" i="21" s="1"/>
  <c r="CS114" i="21" s="1"/>
  <c r="I133" i="21"/>
  <c r="CA141" i="21"/>
  <c r="BM144" i="21"/>
  <c r="AL144" i="21"/>
  <c r="EE144" i="21"/>
  <c r="U144" i="21"/>
  <c r="AY144" i="21" s="1"/>
  <c r="BL144" i="21"/>
  <c r="BN144" i="21" s="1"/>
  <c r="M164" i="21"/>
  <c r="BF164" i="21" s="1"/>
  <c r="X171" i="21"/>
  <c r="T184" i="21"/>
  <c r="FX184" i="21"/>
  <c r="GA184" i="21" s="1"/>
  <c r="CS184" i="21" s="1"/>
  <c r="BE184" i="21"/>
  <c r="BA189" i="21"/>
  <c r="T194" i="21"/>
  <c r="BA201" i="21"/>
  <c r="X218" i="21"/>
  <c r="BA218" i="21"/>
  <c r="AX98" i="21"/>
  <c r="CM98" i="21" s="1"/>
  <c r="M98" i="21"/>
  <c r="EE102" i="21"/>
  <c r="U113" i="21"/>
  <c r="BK118" i="21"/>
  <c r="BM118" i="21" s="1"/>
  <c r="CA119" i="21"/>
  <c r="ET123" i="21"/>
  <c r="EU123" i="21" s="1"/>
  <c r="EV123" i="21" s="1"/>
  <c r="ET127" i="21"/>
  <c r="EU127" i="21" s="1"/>
  <c r="EV127" i="21" s="1"/>
  <c r="BF133" i="21"/>
  <c r="CO133" i="21" s="1"/>
  <c r="U141" i="21"/>
  <c r="GA142" i="21"/>
  <c r="CS142" i="21" s="1"/>
  <c r="DR154" i="21"/>
  <c r="AQ157" i="21"/>
  <c r="FX158" i="21"/>
  <c r="GA158" i="21" s="1"/>
  <c r="CA158" i="21"/>
  <c r="CB158" i="21" s="1"/>
  <c r="CI158" i="21" s="1"/>
  <c r="CK158" i="21" s="1"/>
  <c r="BE158" i="21"/>
  <c r="BF158" i="21" s="1"/>
  <c r="X189" i="21"/>
  <c r="X201" i="21"/>
  <c r="EG256" i="21"/>
  <c r="BE107" i="21"/>
  <c r="BF107" i="21" s="1"/>
  <c r="FY107" i="21"/>
  <c r="GA107" i="21" s="1"/>
  <c r="AL118" i="21"/>
  <c r="T127" i="21"/>
  <c r="T141" i="21"/>
  <c r="EK150" i="21"/>
  <c r="P164" i="21"/>
  <c r="DI167" i="21"/>
  <c r="AX167" i="21"/>
  <c r="CM167" i="21" s="1"/>
  <c r="FY184" i="21"/>
  <c r="CA184" i="21"/>
  <c r="N184" i="21"/>
  <c r="EE184" i="21" s="1"/>
  <c r="BZ184" i="21"/>
  <c r="CB184" i="21" s="1"/>
  <c r="CI184" i="21" s="1"/>
  <c r="BR184" i="21"/>
  <c r="DZ184" i="21" s="1"/>
  <c r="EB184" i="21" s="1"/>
  <c r="EH184" i="21" s="1"/>
  <c r="BK123" i="21"/>
  <c r="GD123" i="21"/>
  <c r="DL126" i="21"/>
  <c r="EE126" i="21"/>
  <c r="FY133" i="21"/>
  <c r="GA133" i="21" s="1"/>
  <c r="CS133" i="21" s="1"/>
  <c r="BK133" i="21"/>
  <c r="BR133" i="21"/>
  <c r="DZ133" i="21" s="1"/>
  <c r="EB133" i="21" s="1"/>
  <c r="ET134" i="21"/>
  <c r="EU134" i="21" s="1"/>
  <c r="EV134" i="21" s="1"/>
  <c r="EM160" i="21"/>
  <c r="EP160" i="21" s="1"/>
  <c r="EQ160" i="21" s="1"/>
  <c r="AZ162" i="21"/>
  <c r="BA170" i="21"/>
  <c r="X176" i="21"/>
  <c r="BA176" i="21"/>
  <c r="BB176" i="21" s="1"/>
  <c r="DT186" i="21"/>
  <c r="BA194" i="21"/>
  <c r="BB194" i="21" s="1"/>
  <c r="FG211" i="21"/>
  <c r="CU211" i="21"/>
  <c r="DL265" i="21"/>
  <c r="AK265" i="21"/>
  <c r="L265" i="21"/>
  <c r="GA102" i="21"/>
  <c r="BK114" i="21"/>
  <c r="U118" i="21"/>
  <c r="AY118" i="21" s="1"/>
  <c r="AZ118" i="21" s="1"/>
  <c r="U123" i="21"/>
  <c r="I126" i="21"/>
  <c r="BR127" i="21"/>
  <c r="DZ127" i="21" s="1"/>
  <c r="EB127" i="21" s="1"/>
  <c r="BZ133" i="21"/>
  <c r="AN152" i="21"/>
  <c r="CH156" i="21"/>
  <c r="BH158" i="21"/>
  <c r="AZ158" i="21"/>
  <c r="Y160" i="21"/>
  <c r="DR160" i="21" s="1"/>
  <c r="X170" i="21"/>
  <c r="U184" i="21"/>
  <c r="X194" i="21"/>
  <c r="L197" i="21"/>
  <c r="AK197" i="21"/>
  <c r="AJ197" i="21" s="1"/>
  <c r="DL197" i="21"/>
  <c r="S197" i="21"/>
  <c r="AN197" i="21" s="1"/>
  <c r="EE197" i="21"/>
  <c r="AM197" i="21"/>
  <c r="AL197" i="21"/>
  <c r="AM209" i="21"/>
  <c r="AL209" i="21"/>
  <c r="AK209" i="21"/>
  <c r="AJ209" i="21" s="1"/>
  <c r="DL209" i="21"/>
  <c r="S209" i="21"/>
  <c r="AN209" i="21" s="1"/>
  <c r="EE209" i="21"/>
  <c r="I265" i="21"/>
  <c r="BA284" i="21"/>
  <c r="BB284" i="21" s="1"/>
  <c r="T114" i="21"/>
  <c r="T123" i="21"/>
  <c r="BF126" i="21"/>
  <c r="CO126" i="21" s="1"/>
  <c r="T133" i="21"/>
  <c r="AY133" i="21" s="1"/>
  <c r="CA133" i="21"/>
  <c r="EE140" i="21"/>
  <c r="AN140" i="21"/>
  <c r="AK140" i="21"/>
  <c r="AM140" i="21" s="1"/>
  <c r="DL140" i="21"/>
  <c r="BH156" i="21"/>
  <c r="U167" i="21"/>
  <c r="AY167" i="21" s="1"/>
  <c r="FX167" i="21"/>
  <c r="X169" i="21"/>
  <c r="CO176" i="21"/>
  <c r="P197" i="21"/>
  <c r="DY197" i="21" s="1"/>
  <c r="M197" i="21"/>
  <c r="DI197" i="21"/>
  <c r="AX197" i="21"/>
  <c r="CM197" i="21" s="1"/>
  <c r="DI202" i="21"/>
  <c r="P202" i="21"/>
  <c r="DY202" i="21" s="1"/>
  <c r="M202" i="21"/>
  <c r="AX202" i="21"/>
  <c r="M209" i="21"/>
  <c r="BF209" i="21" s="1"/>
  <c r="CO209" i="21" s="1"/>
  <c r="DI209" i="21"/>
  <c r="AX209" i="21"/>
  <c r="CM209" i="21" s="1"/>
  <c r="L103" i="21"/>
  <c r="Y105" i="21"/>
  <c r="EM106" i="21"/>
  <c r="EP106" i="21" s="1"/>
  <c r="EQ106" i="21" s="1"/>
  <c r="BM107" i="21"/>
  <c r="BO107" i="21" s="1"/>
  <c r="BP107" i="21" s="1"/>
  <c r="EI107" i="21" s="1"/>
  <c r="EH107" i="21" s="1"/>
  <c r="U114" i="21"/>
  <c r="BR123" i="21"/>
  <c r="DZ123" i="21" s="1"/>
  <c r="EB123" i="21" s="1"/>
  <c r="FY124" i="21"/>
  <c r="BE126" i="21"/>
  <c r="DI126" i="21"/>
  <c r="CA127" i="21"/>
  <c r="CB127" i="21" s="1"/>
  <c r="CI127" i="21" s="1"/>
  <c r="CK127" i="21" s="1"/>
  <c r="CP127" i="21" s="1"/>
  <c r="BZ134" i="21"/>
  <c r="CB134" i="21" s="1"/>
  <c r="CI134" i="21" s="1"/>
  <c r="CK134" i="21" s="1"/>
  <c r="CP134" i="21" s="1"/>
  <c r="I140" i="21"/>
  <c r="FX143" i="21"/>
  <c r="GA143" i="21" s="1"/>
  <c r="CS143" i="21" s="1"/>
  <c r="BE143" i="21"/>
  <c r="BF143" i="21" s="1"/>
  <c r="CO143" i="21" s="1"/>
  <c r="EL147" i="21"/>
  <c r="EK147" i="21" s="1"/>
  <c r="EY147" i="21" s="1"/>
  <c r="EZ147" i="21" s="1"/>
  <c r="Y147" i="21"/>
  <c r="CB178" i="21"/>
  <c r="CI178" i="21" s="1"/>
  <c r="BA184" i="21"/>
  <c r="BB184" i="21" s="1"/>
  <c r="AY192" i="21"/>
  <c r="FX197" i="21"/>
  <c r="T197" i="21"/>
  <c r="AY197" i="21" s="1"/>
  <c r="BE197" i="21"/>
  <c r="L209" i="21"/>
  <c r="BH224" i="21"/>
  <c r="Y284" i="21"/>
  <c r="DJ105" i="21"/>
  <c r="BM138" i="21"/>
  <c r="BO138" i="21" s="1"/>
  <c r="AM148" i="21"/>
  <c r="DL152" i="21"/>
  <c r="P161" i="21"/>
  <c r="DY161" i="21" s="1"/>
  <c r="DI161" i="21"/>
  <c r="EH175" i="21"/>
  <c r="CA177" i="21"/>
  <c r="DT197" i="21"/>
  <c r="CA253" i="21"/>
  <c r="BZ253" i="21"/>
  <c r="BR253" i="21"/>
  <c r="DZ253" i="21" s="1"/>
  <c r="EB253" i="21" s="1"/>
  <c r="EG253" i="21" s="1"/>
  <c r="CA267" i="21"/>
  <c r="BZ267" i="21"/>
  <c r="BR267" i="21"/>
  <c r="DZ267" i="21" s="1"/>
  <c r="BB121" i="21"/>
  <c r="EE123" i="21"/>
  <c r="AJ147" i="21"/>
  <c r="CF147" i="21"/>
  <c r="AN147" i="21"/>
  <c r="T155" i="21"/>
  <c r="FX155" i="21"/>
  <c r="GA155" i="21" s="1"/>
  <c r="AT157" i="21"/>
  <c r="DU157" i="21" s="1"/>
  <c r="CH162" i="21"/>
  <c r="DL166" i="21"/>
  <c r="S166" i="21"/>
  <c r="AN166" i="21" s="1"/>
  <c r="AM166" i="21"/>
  <c r="AL166" i="21"/>
  <c r="AK166" i="21"/>
  <c r="AY169" i="21"/>
  <c r="CH174" i="21"/>
  <c r="DI181" i="21"/>
  <c r="AY209" i="21"/>
  <c r="BA282" i="21"/>
  <c r="BB282" i="21" s="1"/>
  <c r="DL135" i="21"/>
  <c r="DI135" i="21"/>
  <c r="AK135" i="21"/>
  <c r="I135" i="21"/>
  <c r="BL136" i="21"/>
  <c r="BN136" i="21" s="1"/>
  <c r="EM156" i="21"/>
  <c r="EP156" i="21" s="1"/>
  <c r="EQ156" i="21" s="1"/>
  <c r="BA156" i="21"/>
  <c r="BB156" i="21" s="1"/>
  <c r="AY162" i="21"/>
  <c r="BH162" i="21" s="1"/>
  <c r="BE166" i="21"/>
  <c r="AK172" i="21"/>
  <c r="AJ172" i="21" s="1"/>
  <c r="S172" i="21"/>
  <c r="AN172" i="21" s="1"/>
  <c r="GA172" i="21"/>
  <c r="CS172" i="21" s="1"/>
  <c r="DL172" i="21"/>
  <c r="BE175" i="21"/>
  <c r="BR180" i="21"/>
  <c r="DZ180" i="21" s="1"/>
  <c r="EB180" i="21" s="1"/>
  <c r="EH180" i="21" s="1"/>
  <c r="DI190" i="21"/>
  <c r="M190" i="21"/>
  <c r="BF190" i="21" s="1"/>
  <c r="CO190" i="21" s="1"/>
  <c r="BR191" i="21"/>
  <c r="DZ191" i="21" s="1"/>
  <c r="EB191" i="21" s="1"/>
  <c r="EH191" i="21" s="1"/>
  <c r="CM192" i="21"/>
  <c r="AK198" i="21"/>
  <c r="EE198" i="21"/>
  <c r="S198" i="21"/>
  <c r="AN198" i="21" s="1"/>
  <c r="AM198" i="21"/>
  <c r="AL198" i="21"/>
  <c r="DL198" i="21"/>
  <c r="FY199" i="21"/>
  <c r="AL199" i="21"/>
  <c r="CA199" i="21"/>
  <c r="EL209" i="21"/>
  <c r="EK209" i="21" s="1"/>
  <c r="Y209" i="21"/>
  <c r="FY210" i="21"/>
  <c r="GA210" i="21" s="1"/>
  <c r="CS210" i="21" s="1"/>
  <c r="BR210" i="21"/>
  <c r="DZ210" i="21" s="1"/>
  <c r="EB210" i="21" s="1"/>
  <c r="CA210" i="21"/>
  <c r="AK213" i="21"/>
  <c r="AN213" i="21"/>
  <c r="AM213" i="21"/>
  <c r="AL213" i="21"/>
  <c r="EE213" i="21"/>
  <c r="GA213" i="21"/>
  <c r="DI213" i="21"/>
  <c r="CB217" i="21"/>
  <c r="CI217" i="21" s="1"/>
  <c r="X291" i="21"/>
  <c r="EL291" i="21" s="1"/>
  <c r="EK291" i="21" s="1"/>
  <c r="BA291" i="21"/>
  <c r="I175" i="21"/>
  <c r="AN175" i="21"/>
  <c r="AM175" i="21"/>
  <c r="AL175" i="21"/>
  <c r="AK175" i="21"/>
  <c r="AJ175" i="21" s="1"/>
  <c r="AN178" i="21"/>
  <c r="AX181" i="21"/>
  <c r="CM181" i="21" s="1"/>
  <c r="CM182" i="21"/>
  <c r="GA182" i="21"/>
  <c r="CS182" i="21" s="1"/>
  <c r="FX186" i="21"/>
  <c r="T186" i="21"/>
  <c r="BE186" i="21"/>
  <c r="DT187" i="21"/>
  <c r="DL213" i="21"/>
  <c r="CA232" i="21"/>
  <c r="BZ232" i="21"/>
  <c r="BR232" i="21"/>
  <c r="DZ232" i="21" s="1"/>
  <c r="EB232" i="21" s="1"/>
  <c r="EG232" i="21" s="1"/>
  <c r="FY232" i="21"/>
  <c r="GA232" i="21" s="1"/>
  <c r="FY277" i="21"/>
  <c r="GA277" i="21" s="1"/>
  <c r="CS277" i="21" s="1"/>
  <c r="CD277" i="21"/>
  <c r="CC277" i="21"/>
  <c r="BE277" i="21"/>
  <c r="BE145" i="21"/>
  <c r="BF145" i="21" s="1"/>
  <c r="CO145" i="21" s="1"/>
  <c r="CA147" i="21"/>
  <c r="BK147" i="21"/>
  <c r="BM147" i="21" s="1"/>
  <c r="T147" i="21"/>
  <c r="BZ147" i="21"/>
  <c r="DL148" i="21"/>
  <c r="DI148" i="21"/>
  <c r="L148" i="21"/>
  <c r="DR156" i="21"/>
  <c r="BB158" i="21"/>
  <c r="DU164" i="21"/>
  <c r="FX166" i="21"/>
  <c r="GA166" i="21" s="1"/>
  <c r="CS166" i="21" s="1"/>
  <c r="CA166" i="21"/>
  <c r="BR166" i="21"/>
  <c r="DZ166" i="21" s="1"/>
  <c r="EB166" i="21" s="1"/>
  <c r="EH166" i="21" s="1"/>
  <c r="FY180" i="21"/>
  <c r="GA180" i="21" s="1"/>
  <c r="CS180" i="21" s="1"/>
  <c r="N180" i="21"/>
  <c r="AJ180" i="21"/>
  <c r="CA180" i="21"/>
  <c r="CB180" i="21" s="1"/>
  <c r="CI180" i="21" s="1"/>
  <c r="BB181" i="21"/>
  <c r="CO182" i="21"/>
  <c r="FX190" i="21"/>
  <c r="GA190" i="21" s="1"/>
  <c r="CS190" i="21" s="1"/>
  <c r="AN190" i="21"/>
  <c r="U190" i="21"/>
  <c r="T190" i="21"/>
  <c r="AN195" i="21"/>
  <c r="AY199" i="21"/>
  <c r="AZ199" i="21" s="1"/>
  <c r="AN218" i="21"/>
  <c r="AM218" i="21"/>
  <c r="AL218" i="21"/>
  <c r="AK218" i="21"/>
  <c r="AJ218" i="21" s="1"/>
  <c r="EE218" i="21"/>
  <c r="GA218" i="21"/>
  <c r="DT223" i="21"/>
  <c r="CC267" i="21"/>
  <c r="FY267" i="21"/>
  <c r="GA267" i="21" s="1"/>
  <c r="CS267" i="21" s="1"/>
  <c r="ET136" i="21"/>
  <c r="EU136" i="21" s="1"/>
  <c r="EV136" i="21" s="1"/>
  <c r="ET143" i="21"/>
  <c r="EU143" i="21" s="1"/>
  <c r="EV143" i="21" s="1"/>
  <c r="EZ145" i="21"/>
  <c r="U147" i="21"/>
  <c r="I148" i="21"/>
  <c r="EM153" i="21"/>
  <c r="EP153" i="21" s="1"/>
  <c r="EQ153" i="21" s="1"/>
  <c r="BA153" i="21"/>
  <c r="BB153" i="21" s="1"/>
  <c r="X155" i="21"/>
  <c r="BI156" i="21"/>
  <c r="CH160" i="21"/>
  <c r="X162" i="21"/>
  <c r="EH168" i="21"/>
  <c r="DT182" i="21"/>
  <c r="FY186" i="21"/>
  <c r="BZ186" i="21"/>
  <c r="CB186" i="21" s="1"/>
  <c r="CI186" i="21" s="1"/>
  <c r="BR186" i="21"/>
  <c r="DZ186" i="21" s="1"/>
  <c r="EB186" i="21" s="1"/>
  <c r="EH186" i="21" s="1"/>
  <c r="AY210" i="21"/>
  <c r="AY217" i="21"/>
  <c r="I218" i="21"/>
  <c r="BI223" i="21"/>
  <c r="T232" i="21"/>
  <c r="EU255" i="21"/>
  <c r="EV255" i="21" s="1"/>
  <c r="ET255" i="21"/>
  <c r="DJ145" i="21"/>
  <c r="EY145" i="21" s="1"/>
  <c r="I152" i="21"/>
  <c r="L152" i="21"/>
  <c r="P160" i="21"/>
  <c r="M160" i="21"/>
  <c r="BF160" i="21" s="1"/>
  <c r="CB166" i="21"/>
  <c r="CI166" i="21" s="1"/>
  <c r="N168" i="21"/>
  <c r="FY168" i="21"/>
  <c r="GA168" i="21" s="1"/>
  <c r="CS168" i="21" s="1"/>
  <c r="BZ168" i="21"/>
  <c r="GA170" i="21"/>
  <c r="CS170" i="21" s="1"/>
  <c r="BR178" i="21"/>
  <c r="DZ178" i="21" s="1"/>
  <c r="EB178" i="21" s="1"/>
  <c r="EH178" i="21" s="1"/>
  <c r="N178" i="21"/>
  <c r="EE178" i="21" s="1"/>
  <c r="CA178" i="21"/>
  <c r="BB191" i="21"/>
  <c r="FX198" i="21"/>
  <c r="Q198" i="21"/>
  <c r="BA199" i="21"/>
  <c r="BB199" i="21" s="1"/>
  <c r="EM215" i="21"/>
  <c r="EP215" i="21" s="1"/>
  <c r="EQ215" i="21" s="1"/>
  <c r="L218" i="21"/>
  <c r="CS223" i="21"/>
  <c r="AY232" i="21"/>
  <c r="AN239" i="21"/>
  <c r="AM239" i="21"/>
  <c r="AL239" i="21"/>
  <c r="AK239" i="21"/>
  <c r="AJ239" i="21" s="1"/>
  <c r="DL239" i="21"/>
  <c r="EE239" i="21"/>
  <c r="BI278" i="21"/>
  <c r="DT278" i="21"/>
  <c r="FY143" i="21"/>
  <c r="T143" i="21"/>
  <c r="AN148" i="21"/>
  <c r="Y148" i="21"/>
  <c r="DT148" i="21" s="1"/>
  <c r="FZ148" i="21"/>
  <c r="FY148" i="21"/>
  <c r="GA148" i="21" s="1"/>
  <c r="CS148" i="21" s="1"/>
  <c r="BE148" i="21"/>
  <c r="Y153" i="21"/>
  <c r="AT155" i="21"/>
  <c r="BH166" i="21"/>
  <c r="CA168" i="21"/>
  <c r="CA175" i="21"/>
  <c r="FX175" i="21"/>
  <c r="GA175" i="21" s="1"/>
  <c r="BZ175" i="21"/>
  <c r="DT191" i="21"/>
  <c r="DT202" i="21"/>
  <c r="BA210" i="21"/>
  <c r="BB210" i="21" s="1"/>
  <c r="X210" i="21"/>
  <c r="BA217" i="21"/>
  <c r="BB217" i="21" s="1"/>
  <c r="EH230" i="21"/>
  <c r="EG230" i="21"/>
  <c r="DI239" i="21"/>
  <c r="AX239" i="21"/>
  <c r="CM239" i="21" s="1"/>
  <c r="FG252" i="21"/>
  <c r="DA252" i="21"/>
  <c r="BM143" i="21"/>
  <c r="BO143" i="21" s="1"/>
  <c r="BP143" i="21" s="1"/>
  <c r="EI143" i="21" s="1"/>
  <c r="EH143" i="21" s="1"/>
  <c r="EE143" i="21"/>
  <c r="EE148" i="21"/>
  <c r="AT162" i="21"/>
  <c r="AU163" i="21"/>
  <c r="T168" i="21"/>
  <c r="AY168" i="21" s="1"/>
  <c r="T178" i="21"/>
  <c r="AL189" i="21"/>
  <c r="EE189" i="21"/>
  <c r="Y199" i="21"/>
  <c r="BI199" i="21" s="1"/>
  <c r="BI202" i="21"/>
  <c r="BH213" i="21"/>
  <c r="X217" i="21"/>
  <c r="FY218" i="21"/>
  <c r="BZ218" i="21"/>
  <c r="CB218" i="21" s="1"/>
  <c r="CI218" i="21" s="1"/>
  <c r="BR218" i="21"/>
  <c r="DZ218" i="21" s="1"/>
  <c r="EB218" i="21" s="1"/>
  <c r="DA251" i="21"/>
  <c r="FG251" i="21"/>
  <c r="EE290" i="21"/>
  <c r="GA290" i="21"/>
  <c r="CS290" i="21" s="1"/>
  <c r="DL290" i="21"/>
  <c r="AN290" i="21"/>
  <c r="AM290" i="21"/>
  <c r="AL290" i="21"/>
  <c r="AK290" i="21"/>
  <c r="CA130" i="21"/>
  <c r="CB130" i="21" s="1"/>
  <c r="CI130" i="21" s="1"/>
  <c r="CK130" i="21" s="1"/>
  <c r="CP130" i="21" s="1"/>
  <c r="BE130" i="21"/>
  <c r="BF130" i="21" s="1"/>
  <c r="CO130" i="21" s="1"/>
  <c r="CH137" i="21"/>
  <c r="DT137" i="21"/>
  <c r="U143" i="21"/>
  <c r="BK145" i="21"/>
  <c r="BM145" i="21" s="1"/>
  <c r="CA145" i="21"/>
  <c r="CB145" i="21" s="1"/>
  <c r="CI145" i="21" s="1"/>
  <c r="CK145" i="21" s="1"/>
  <c r="CP145" i="21" s="1"/>
  <c r="BL148" i="21"/>
  <c r="BN148" i="21" s="1"/>
  <c r="DI160" i="21"/>
  <c r="EH170" i="21"/>
  <c r="FY178" i="21"/>
  <c r="GA178" i="21" s="1"/>
  <c r="X180" i="21"/>
  <c r="EE194" i="21"/>
  <c r="AN194" i="21"/>
  <c r="FX194" i="21"/>
  <c r="BE194" i="21"/>
  <c r="AY213" i="21"/>
  <c r="AZ213" i="21" s="1"/>
  <c r="BH225" i="21"/>
  <c r="EB228" i="21"/>
  <c r="EG228" i="21" s="1"/>
  <c r="M239" i="21"/>
  <c r="BF239" i="21" s="1"/>
  <c r="CO239" i="21" s="1"/>
  <c r="AL250" i="21"/>
  <c r="T250" i="21"/>
  <c r="CA250" i="21"/>
  <c r="BR250" i="21"/>
  <c r="DZ250" i="21" s="1"/>
  <c r="EB250" i="21" s="1"/>
  <c r="EH250" i="21" s="1"/>
  <c r="BZ250" i="21"/>
  <c r="CB250" i="21" s="1"/>
  <c r="CI250" i="21" s="1"/>
  <c r="I290" i="21"/>
  <c r="BK117" i="21"/>
  <c r="BM117" i="21" s="1"/>
  <c r="AM170" i="21"/>
  <c r="BE187" i="21"/>
  <c r="BA216" i="21"/>
  <c r="BB216" i="21" s="1"/>
  <c r="BR217" i="21"/>
  <c r="DZ217" i="21" s="1"/>
  <c r="EB217" i="21" s="1"/>
  <c r="EH217" i="21" s="1"/>
  <c r="AY218" i="21"/>
  <c r="AZ218" i="21" s="1"/>
  <c r="GA230" i="21"/>
  <c r="AN230" i="21"/>
  <c r="AM230" i="21"/>
  <c r="AL230" i="21"/>
  <c r="AK230" i="21"/>
  <c r="AJ230" i="21" s="1"/>
  <c r="EE230" i="21"/>
  <c r="L230" i="21"/>
  <c r="I230" i="21"/>
  <c r="AX247" i="21"/>
  <c r="CM247" i="21" s="1"/>
  <c r="DI247" i="21"/>
  <c r="EH264" i="21"/>
  <c r="DD323" i="21"/>
  <c r="FI323" i="21"/>
  <c r="T154" i="21"/>
  <c r="FX154" i="21"/>
  <c r="GA154" i="21" s="1"/>
  <c r="DI159" i="21"/>
  <c r="DI162" i="21"/>
  <c r="AK168" i="21"/>
  <c r="AJ168" i="21" s="1"/>
  <c r="CH173" i="21"/>
  <c r="I174" i="21"/>
  <c r="X175" i="21"/>
  <c r="AJ183" i="21"/>
  <c r="AN185" i="21"/>
  <c r="EL187" i="21"/>
  <c r="EK187" i="21" s="1"/>
  <c r="EL190" i="21"/>
  <c r="EK190" i="21" s="1"/>
  <c r="CM191" i="21"/>
  <c r="U203" i="21"/>
  <c r="T203" i="21"/>
  <c r="M207" i="21"/>
  <c r="BF207" i="21" s="1"/>
  <c r="CO207" i="21" s="1"/>
  <c r="DI207" i="21"/>
  <c r="AX207" i="21"/>
  <c r="CM207" i="21" s="1"/>
  <c r="X216" i="21"/>
  <c r="BI259" i="21"/>
  <c r="EE265" i="21"/>
  <c r="AX274" i="21"/>
  <c r="CM274" i="21" s="1"/>
  <c r="M274" i="21"/>
  <c r="DI274" i="21"/>
  <c r="CD282" i="21"/>
  <c r="CC282" i="21"/>
  <c r="CE282" i="21" s="1"/>
  <c r="FY282" i="21"/>
  <c r="DT308" i="21"/>
  <c r="BI308" i="21"/>
  <c r="FX309" i="21"/>
  <c r="U309" i="21"/>
  <c r="T309" i="21"/>
  <c r="BE309" i="21"/>
  <c r="Q309" i="21"/>
  <c r="BE163" i="21"/>
  <c r="BF163" i="21" s="1"/>
  <c r="BI166" i="21"/>
  <c r="N172" i="21"/>
  <c r="T172" i="21"/>
  <c r="CS175" i="21"/>
  <c r="CM202" i="21"/>
  <c r="FY203" i="21"/>
  <c r="GA203" i="21" s="1"/>
  <c r="CS203" i="21" s="1"/>
  <c r="EH225" i="21"/>
  <c r="DI243" i="21"/>
  <c r="AX243" i="21"/>
  <c r="CM243" i="21" s="1"/>
  <c r="FX247" i="21"/>
  <c r="AN247" i="21"/>
  <c r="BE247" i="21"/>
  <c r="BF247" i="21" s="1"/>
  <c r="CO247" i="21" s="1"/>
  <c r="EE247" i="21"/>
  <c r="AL256" i="21"/>
  <c r="T256" i="21"/>
  <c r="CA256" i="21"/>
  <c r="BZ256" i="21"/>
  <c r="BR256" i="21"/>
  <c r="DZ256" i="21" s="1"/>
  <c r="EB256" i="21" s="1"/>
  <c r="FY256" i="21"/>
  <c r="GA256" i="21" s="1"/>
  <c r="BE282" i="21"/>
  <c r="BZ151" i="21"/>
  <c r="T151" i="21"/>
  <c r="FZ152" i="21"/>
  <c r="DT165" i="21"/>
  <c r="BI165" i="21"/>
  <c r="AN170" i="21"/>
  <c r="BI172" i="21"/>
  <c r="U185" i="21"/>
  <c r="AY185" i="21" s="1"/>
  <c r="FX185" i="21"/>
  <c r="BR185" i="21"/>
  <c r="DZ185" i="21" s="1"/>
  <c r="EB185" i="21" s="1"/>
  <c r="EH185" i="21" s="1"/>
  <c r="U187" i="21"/>
  <c r="FX187" i="21"/>
  <c r="T187" i="21"/>
  <c r="CA190" i="21"/>
  <c r="BZ190" i="21"/>
  <c r="FY190" i="21"/>
  <c r="AM192" i="21"/>
  <c r="AL192" i="21"/>
  <c r="AK192" i="21"/>
  <c r="DL192" i="21"/>
  <c r="AN205" i="21"/>
  <c r="BB213" i="21"/>
  <c r="AK219" i="21"/>
  <c r="AJ219" i="21" s="1"/>
  <c r="EE219" i="21"/>
  <c r="GA219" i="21"/>
  <c r="AN219" i="21"/>
  <c r="AM219" i="21"/>
  <c r="AL219" i="21"/>
  <c r="DL219" i="21"/>
  <c r="Y263" i="21"/>
  <c r="EL263" i="21"/>
  <c r="EK263" i="21" s="1"/>
  <c r="BK151" i="21"/>
  <c r="AT158" i="21"/>
  <c r="DU158" i="21" s="1"/>
  <c r="X164" i="21"/>
  <c r="AP168" i="21"/>
  <c r="I170" i="21"/>
  <c r="N171" i="21"/>
  <c r="EL177" i="21"/>
  <c r="EK177" i="21" s="1"/>
  <c r="Y177" i="21"/>
  <c r="DT198" i="21"/>
  <c r="FX206" i="21"/>
  <c r="AN206" i="21"/>
  <c r="I219" i="21"/>
  <c r="FY247" i="21"/>
  <c r="AL247" i="21"/>
  <c r="BZ247" i="21"/>
  <c r="CB247" i="21" s="1"/>
  <c r="CI247" i="21" s="1"/>
  <c r="CK247" i="21" s="1"/>
  <c r="CP247" i="21" s="1"/>
  <c r="BR247" i="21"/>
  <c r="DZ247" i="21" s="1"/>
  <c r="EB247" i="21" s="1"/>
  <c r="EH247" i="21" s="1"/>
  <c r="BF252" i="21"/>
  <c r="CO252" i="21" s="1"/>
  <c r="CH161" i="21"/>
  <c r="T163" i="21"/>
  <c r="EL163" i="21"/>
  <c r="EK163" i="21" s="1"/>
  <c r="AN167" i="21"/>
  <c r="GA167" i="21"/>
  <c r="CS167" i="21" s="1"/>
  <c r="L170" i="21"/>
  <c r="BA172" i="21"/>
  <c r="BB172" i="21" s="1"/>
  <c r="BR172" i="21"/>
  <c r="DZ172" i="21" s="1"/>
  <c r="EB172" i="21" s="1"/>
  <c r="EH172" i="21" s="1"/>
  <c r="T174" i="21"/>
  <c r="N176" i="21"/>
  <c r="AX176" i="21"/>
  <c r="CM176" i="21" s="1"/>
  <c r="Y181" i="21"/>
  <c r="FY185" i="21"/>
  <c r="CA185" i="21"/>
  <c r="BZ185" i="21"/>
  <c r="BZ187" i="21"/>
  <c r="FY187" i="21"/>
  <c r="AL187" i="21"/>
  <c r="AJ187" i="21"/>
  <c r="CA187" i="21"/>
  <c r="BR187" i="21"/>
  <c r="DZ187" i="21" s="1"/>
  <c r="EB187" i="21" s="1"/>
  <c r="EH187" i="21" s="1"/>
  <c r="BE189" i="21"/>
  <c r="L192" i="21"/>
  <c r="BA195" i="21"/>
  <c r="BB195" i="21" s="1"/>
  <c r="BI198" i="21"/>
  <c r="Y200" i="21"/>
  <c r="BA203" i="21"/>
  <c r="CA205" i="21"/>
  <c r="FY205" i="21"/>
  <c r="GA205" i="21" s="1"/>
  <c r="CS205" i="21" s="1"/>
  <c r="L214" i="21"/>
  <c r="AL214" i="21"/>
  <c r="AK214" i="21"/>
  <c r="AN214" i="21"/>
  <c r="AM214" i="21"/>
  <c r="EE214" i="21"/>
  <c r="DL214" i="21"/>
  <c r="GA214" i="21"/>
  <c r="AQ216" i="21"/>
  <c r="L219" i="21"/>
  <c r="EH220" i="21"/>
  <c r="EG220" i="21"/>
  <c r="AM229" i="21"/>
  <c r="AN229" i="21"/>
  <c r="AL229" i="21"/>
  <c r="AK229" i="21"/>
  <c r="AJ229" i="21" s="1"/>
  <c r="DL229" i="21"/>
  <c r="GA229" i="21"/>
  <c r="L229" i="21"/>
  <c r="AN233" i="21"/>
  <c r="DL233" i="21"/>
  <c r="L233" i="21"/>
  <c r="AM233" i="21"/>
  <c r="AL233" i="21"/>
  <c r="AK233" i="21"/>
  <c r="AJ233" i="21" s="1"/>
  <c r="AL243" i="21"/>
  <c r="AJ243" i="21"/>
  <c r="CA243" i="21"/>
  <c r="BZ243" i="21"/>
  <c r="BR243" i="21"/>
  <c r="DZ243" i="21" s="1"/>
  <c r="EB243" i="21" s="1"/>
  <c r="T243" i="21"/>
  <c r="AY243" i="21" s="1"/>
  <c r="FY243" i="21"/>
  <c r="GA243" i="21" s="1"/>
  <c r="CS243" i="21" s="1"/>
  <c r="T247" i="21"/>
  <c r="CE253" i="21"/>
  <c r="I257" i="21"/>
  <c r="AK257" i="21"/>
  <c r="DL257" i="21"/>
  <c r="EE257" i="21"/>
  <c r="AM257" i="21"/>
  <c r="AL257" i="21"/>
  <c r="L257" i="21"/>
  <c r="FY281" i="21"/>
  <c r="CA281" i="21"/>
  <c r="BR281" i="21"/>
  <c r="DZ281" i="21" s="1"/>
  <c r="EB281" i="21" s="1"/>
  <c r="BZ281" i="21"/>
  <c r="EE152" i="21"/>
  <c r="AT161" i="21"/>
  <c r="DU161" i="21" s="1"/>
  <c r="U163" i="21"/>
  <c r="GA169" i="21"/>
  <c r="CS169" i="21" s="1"/>
  <c r="S169" i="21"/>
  <c r="AN169" i="21" s="1"/>
  <c r="BZ172" i="21"/>
  <c r="CB172" i="21" s="1"/>
  <c r="CI172" i="21" s="1"/>
  <c r="CK172" i="21" s="1"/>
  <c r="CP172" i="21" s="1"/>
  <c r="FY172" i="21"/>
  <c r="U174" i="21"/>
  <c r="FY182" i="21"/>
  <c r="AL182" i="21"/>
  <c r="DI184" i="21"/>
  <c r="M192" i="21"/>
  <c r="BF192" i="21" s="1"/>
  <c r="CO192" i="21" s="1"/>
  <c r="EE199" i="21"/>
  <c r="EL203" i="21"/>
  <c r="EK203" i="21" s="1"/>
  <c r="Y203" i="21"/>
  <c r="Q206" i="21"/>
  <c r="AJ208" i="21"/>
  <c r="BH212" i="21"/>
  <c r="AZ212" i="21"/>
  <c r="EH212" i="21"/>
  <c r="EG212" i="21"/>
  <c r="EG225" i="21"/>
  <c r="I229" i="21"/>
  <c r="I233" i="21"/>
  <c r="U247" i="21"/>
  <c r="AY247" i="21" s="1"/>
  <c r="ET252" i="21"/>
  <c r="EU252" i="21" s="1"/>
  <c r="EV252" i="21" s="1"/>
  <c r="Y267" i="21"/>
  <c r="BE267" i="21"/>
  <c r="U267" i="21"/>
  <c r="AY267" i="21" s="1"/>
  <c r="T267" i="21"/>
  <c r="EA267" i="21"/>
  <c r="DY267" i="21"/>
  <c r="AN267" i="21"/>
  <c r="FZ267" i="21"/>
  <c r="CF267" i="21"/>
  <c r="CH267" i="21" s="1"/>
  <c r="CD267" i="21"/>
  <c r="EE267" i="21"/>
  <c r="BI280" i="21"/>
  <c r="DT280" i="21"/>
  <c r="EB313" i="21"/>
  <c r="EH313" i="21" s="1"/>
  <c r="EA314" i="21"/>
  <c r="BE314" i="21"/>
  <c r="CD314" i="21"/>
  <c r="FZ314" i="21"/>
  <c r="DI169" i="21"/>
  <c r="AX169" i="21"/>
  <c r="CM169" i="21" s="1"/>
  <c r="EH179" i="21"/>
  <c r="FX189" i="21"/>
  <c r="GA189" i="21" s="1"/>
  <c r="CS189" i="21" s="1"/>
  <c r="CA189" i="21"/>
  <c r="BZ189" i="21"/>
  <c r="CB189" i="21" s="1"/>
  <c r="CI189" i="21" s="1"/>
  <c r="FX192" i="21"/>
  <c r="Q192" i="21"/>
  <c r="AJ193" i="21"/>
  <c r="M214" i="21"/>
  <c r="BF214" i="21" s="1"/>
  <c r="CA219" i="21"/>
  <c r="BZ219" i="21"/>
  <c r="CB219" i="21" s="1"/>
  <c r="CI219" i="21" s="1"/>
  <c r="BR219" i="21"/>
  <c r="DZ219" i="21" s="1"/>
  <c r="EB219" i="21" s="1"/>
  <c r="EG219" i="21" s="1"/>
  <c r="T219" i="21"/>
  <c r="CA229" i="21"/>
  <c r="BZ229" i="21"/>
  <c r="T229" i="21"/>
  <c r="BR229" i="21"/>
  <c r="DZ229" i="21" s="1"/>
  <c r="EB229" i="21" s="1"/>
  <c r="EG229" i="21" s="1"/>
  <c r="BR233" i="21"/>
  <c r="DZ233" i="21" s="1"/>
  <c r="EB233" i="21" s="1"/>
  <c r="EH233" i="21" s="1"/>
  <c r="CA233" i="21"/>
  <c r="BZ233" i="21"/>
  <c r="CB233" i="21" s="1"/>
  <c r="CI233" i="21" s="1"/>
  <c r="FY233" i="21"/>
  <c r="GA233" i="21" s="1"/>
  <c r="CS233" i="21" s="1"/>
  <c r="T233" i="21"/>
  <c r="CI235" i="21"/>
  <c r="EL243" i="21"/>
  <c r="EK243" i="21" s="1"/>
  <c r="EL245" i="21"/>
  <c r="EK245" i="21" s="1"/>
  <c r="L267" i="21"/>
  <c r="EE270" i="21"/>
  <c r="Q270" i="21"/>
  <c r="T153" i="21"/>
  <c r="FX153" i="21"/>
  <c r="GA153" i="21" s="1"/>
  <c r="U160" i="21"/>
  <c r="BR160" i="21"/>
  <c r="DZ160" i="21" s="1"/>
  <c r="EB160" i="21" s="1"/>
  <c r="BZ163" i="21"/>
  <c r="CB163" i="21" s="1"/>
  <c r="CI163" i="21" s="1"/>
  <c r="CK163" i="21" s="1"/>
  <c r="L169" i="21"/>
  <c r="FX174" i="21"/>
  <c r="GA174" i="21" s="1"/>
  <c r="CS174" i="21" s="1"/>
  <c r="CA176" i="21"/>
  <c r="CB176" i="21" s="1"/>
  <c r="CI176" i="21" s="1"/>
  <c r="CK176" i="21" s="1"/>
  <c r="CP176" i="21" s="1"/>
  <c r="DI176" i="21"/>
  <c r="L178" i="21"/>
  <c r="I178" i="21"/>
  <c r="BI179" i="21"/>
  <c r="T182" i="21"/>
  <c r="BR182" i="21"/>
  <c r="DZ182" i="21" s="1"/>
  <c r="EB182" i="21" s="1"/>
  <c r="EH182" i="21" s="1"/>
  <c r="AL184" i="21"/>
  <c r="DT190" i="21"/>
  <c r="AT193" i="21"/>
  <c r="DU193" i="21" s="1"/>
  <c r="AY205" i="21"/>
  <c r="BH205" i="21" s="1"/>
  <c r="X207" i="21"/>
  <c r="BA207" i="21"/>
  <c r="BB207" i="21" s="1"/>
  <c r="CA214" i="21"/>
  <c r="BZ214" i="21"/>
  <c r="BR214" i="21"/>
  <c r="DZ214" i="21" s="1"/>
  <c r="EB214" i="21" s="1"/>
  <c r="T214" i="21"/>
  <c r="EH214" i="21"/>
  <c r="EG214" i="21"/>
  <c r="CM269" i="21"/>
  <c r="CH278" i="21"/>
  <c r="CG285" i="21"/>
  <c r="CH285" i="21" s="1"/>
  <c r="BK152" i="21"/>
  <c r="BM152" i="21" s="1"/>
  <c r="M169" i="21"/>
  <c r="BF169" i="21" s="1"/>
  <c r="CO169" i="21" s="1"/>
  <c r="CM172" i="21"/>
  <c r="AK173" i="21"/>
  <c r="AJ173" i="21" s="1"/>
  <c r="S173" i="21"/>
  <c r="AN173" i="21" s="1"/>
  <c r="S176" i="21"/>
  <c r="AN176" i="21" s="1"/>
  <c r="DL176" i="21"/>
  <c r="BR189" i="21"/>
  <c r="DZ189" i="21" s="1"/>
  <c r="EB189" i="21" s="1"/>
  <c r="EH189" i="21" s="1"/>
  <c r="S192" i="21"/>
  <c r="AN192" i="21" s="1"/>
  <c r="FX199" i="21"/>
  <c r="U206" i="21"/>
  <c r="BA212" i="21"/>
  <c r="FY217" i="21"/>
  <c r="GA217" i="21" s="1"/>
  <c r="AL217" i="21"/>
  <c r="AJ217" i="21"/>
  <c r="CI224" i="21"/>
  <c r="DT243" i="21"/>
  <c r="FY248" i="21"/>
  <c r="CA248" i="21"/>
  <c r="BZ248" i="21"/>
  <c r="CB248" i="21" s="1"/>
  <c r="BR248" i="21"/>
  <c r="DZ248" i="21" s="1"/>
  <c r="AL285" i="21"/>
  <c r="DL285" i="21"/>
  <c r="AK285" i="21"/>
  <c r="GA285" i="21"/>
  <c r="CS285" i="21" s="1"/>
  <c r="L285" i="21"/>
  <c r="I285" i="21"/>
  <c r="EE145" i="21"/>
  <c r="BR151" i="21"/>
  <c r="DZ151" i="21" s="1"/>
  <c r="BL152" i="21"/>
  <c r="BN152" i="21" s="1"/>
  <c r="BR153" i="21"/>
  <c r="DZ153" i="21" s="1"/>
  <c r="EB153" i="21" s="1"/>
  <c r="EH153" i="21" s="1"/>
  <c r="CA160" i="21"/>
  <c r="U171" i="21"/>
  <c r="AY171" i="21" s="1"/>
  <c r="BH171" i="21" s="1"/>
  <c r="DI171" i="21"/>
  <c r="I173" i="21"/>
  <c r="BZ174" i="21"/>
  <c r="DT174" i="21"/>
  <c r="T176" i="21"/>
  <c r="BE180" i="21"/>
  <c r="U180" i="21"/>
  <c r="AY180" i="21" s="1"/>
  <c r="BA182" i="21"/>
  <c r="BB182" i="21" s="1"/>
  <c r="CA182" i="21"/>
  <c r="CB182" i="21" s="1"/>
  <c r="CI182" i="21" s="1"/>
  <c r="CK182" i="21" s="1"/>
  <c r="CP182" i="21" s="1"/>
  <c r="X185" i="21"/>
  <c r="T189" i="21"/>
  <c r="AY189" i="21" s="1"/>
  <c r="T192" i="21"/>
  <c r="BB197" i="21"/>
  <c r="X212" i="21"/>
  <c r="AP217" i="21"/>
  <c r="AT216" i="21"/>
  <c r="DU216" i="21" s="1"/>
  <c r="BI243" i="21"/>
  <c r="DT245" i="21"/>
  <c r="BI245" i="21"/>
  <c r="CE290" i="21"/>
  <c r="CI290" i="21" s="1"/>
  <c r="X307" i="21"/>
  <c r="BI168" i="21"/>
  <c r="N169" i="21"/>
  <c r="N174" i="21"/>
  <c r="DL186" i="21"/>
  <c r="AN196" i="21"/>
  <c r="AM205" i="21"/>
  <c r="FY209" i="21"/>
  <c r="CA209" i="21"/>
  <c r="BZ209" i="21"/>
  <c r="CB209" i="21" s="1"/>
  <c r="CI209" i="21" s="1"/>
  <c r="CK209" i="21" s="1"/>
  <c r="CP209" i="21" s="1"/>
  <c r="FY211" i="21"/>
  <c r="GA211" i="21" s="1"/>
  <c r="CS211" i="21" s="1"/>
  <c r="AL211" i="21"/>
  <c r="BZ211" i="21"/>
  <c r="CB211" i="21" s="1"/>
  <c r="CI211" i="21" s="1"/>
  <c r="CK211" i="21" s="1"/>
  <c r="CP211" i="21" s="1"/>
  <c r="BR211" i="21"/>
  <c r="DZ211" i="21" s="1"/>
  <c r="EB211" i="21" s="1"/>
  <c r="EH211" i="21" s="1"/>
  <c r="EE222" i="21"/>
  <c r="GA222" i="21"/>
  <c r="L222" i="21"/>
  <c r="AK228" i="21"/>
  <c r="AJ228" i="21" s="1"/>
  <c r="AN228" i="21"/>
  <c r="AM228" i="21"/>
  <c r="AL228" i="21"/>
  <c r="EE228" i="21"/>
  <c r="BA232" i="21"/>
  <c r="L237" i="21"/>
  <c r="AK237" i="21"/>
  <c r="AJ237" i="21" s="1"/>
  <c r="AN237" i="21"/>
  <c r="AM237" i="21"/>
  <c r="AL237" i="21"/>
  <c r="DL237" i="21"/>
  <c r="GA237" i="21"/>
  <c r="CS237" i="21" s="1"/>
  <c r="AX249" i="21"/>
  <c r="CM249" i="21" s="1"/>
  <c r="BZ252" i="21"/>
  <c r="BR252" i="21"/>
  <c r="DZ252" i="21" s="1"/>
  <c r="AL252" i="21"/>
  <c r="FY252" i="21"/>
  <c r="GA252" i="21" s="1"/>
  <c r="CS252" i="21" s="1"/>
  <c r="CA252" i="21"/>
  <c r="Q255" i="21"/>
  <c r="EE255" i="21"/>
  <c r="AY264" i="21"/>
  <c r="AZ264" i="21" s="1"/>
  <c r="BB267" i="21"/>
  <c r="EL281" i="21"/>
  <c r="EK281" i="21" s="1"/>
  <c r="Y281" i="21"/>
  <c r="I196" i="21"/>
  <c r="AM202" i="21"/>
  <c r="L202" i="21"/>
  <c r="AN202" i="21"/>
  <c r="BI203" i="21"/>
  <c r="DI210" i="21"/>
  <c r="BI213" i="21"/>
  <c r="I222" i="21"/>
  <c r="BB222" i="21" s="1"/>
  <c r="I228" i="21"/>
  <c r="X232" i="21"/>
  <c r="EB236" i="21"/>
  <c r="I237" i="21"/>
  <c r="Y238" i="21"/>
  <c r="EL238" i="21"/>
  <c r="EK238" i="21" s="1"/>
  <c r="AS249" i="21"/>
  <c r="AM249" i="21"/>
  <c r="BE255" i="21"/>
  <c r="BF255" i="21" s="1"/>
  <c r="CO255" i="21" s="1"/>
  <c r="FX255" i="21"/>
  <c r="T255" i="21"/>
  <c r="BB259" i="21"/>
  <c r="X264" i="21"/>
  <c r="BA264" i="21"/>
  <c r="BB264" i="21" s="1"/>
  <c r="BA269" i="21"/>
  <c r="BB269" i="21" s="1"/>
  <c r="X269" i="21"/>
  <c r="EL274" i="21"/>
  <c r="EK274" i="21" s="1"/>
  <c r="Y274" i="21"/>
  <c r="CD284" i="21"/>
  <c r="CE284" i="21" s="1"/>
  <c r="EA284" i="21"/>
  <c r="BA288" i="21"/>
  <c r="BB288" i="21" s="1"/>
  <c r="X288" i="21"/>
  <c r="DY289" i="21"/>
  <c r="DM290" i="21"/>
  <c r="AK185" i="21"/>
  <c r="AJ185" i="21" s="1"/>
  <c r="EE195" i="21"/>
  <c r="AM200" i="21"/>
  <c r="L204" i="21"/>
  <c r="I204" i="21"/>
  <c r="BB204" i="21"/>
  <c r="FX208" i="21"/>
  <c r="AN208" i="21"/>
  <c r="AK226" i="21"/>
  <c r="AJ226" i="21" s="1"/>
  <c r="EE226" i="21"/>
  <c r="BZ237" i="21"/>
  <c r="BR237" i="21"/>
  <c r="DZ237" i="21" s="1"/>
  <c r="EB237" i="21" s="1"/>
  <c r="EH237" i="21" s="1"/>
  <c r="CA237" i="21"/>
  <c r="T237" i="21"/>
  <c r="DI245" i="21"/>
  <c r="AX245" i="21"/>
  <c r="CM245" i="21" s="1"/>
  <c r="M249" i="21"/>
  <c r="AM251" i="21"/>
  <c r="AY252" i="21"/>
  <c r="EL270" i="21"/>
  <c r="EK270" i="21" s="1"/>
  <c r="ET270" i="21" s="1"/>
  <c r="CC298" i="21"/>
  <c r="CE298" i="21" s="1"/>
  <c r="AL185" i="21"/>
  <c r="AK186" i="21"/>
  <c r="AJ186" i="21" s="1"/>
  <c r="DL204" i="21"/>
  <c r="CA215" i="21"/>
  <c r="BZ215" i="21"/>
  <c r="CB215" i="21" s="1"/>
  <c r="CI215" i="21" s="1"/>
  <c r="CK215" i="21" s="1"/>
  <c r="BR215" i="21"/>
  <c r="DZ215" i="21" s="1"/>
  <c r="EB215" i="21" s="1"/>
  <c r="T215" i="21"/>
  <c r="AY215" i="21" s="1"/>
  <c r="FY215" i="21"/>
  <c r="GA215" i="21" s="1"/>
  <c r="CS224" i="21"/>
  <c r="I226" i="21"/>
  <c r="CS232" i="21"/>
  <c r="BR242" i="21"/>
  <c r="DZ242" i="21" s="1"/>
  <c r="EB242" i="21" s="1"/>
  <c r="AL242" i="21"/>
  <c r="BZ242" i="21"/>
  <c r="CB242" i="21" s="1"/>
  <c r="CI242" i="21" s="1"/>
  <c r="FY242" i="21"/>
  <c r="GA242" i="21" s="1"/>
  <c r="EE249" i="21"/>
  <c r="EA258" i="21"/>
  <c r="CD258" i="21"/>
  <c r="FZ258" i="21"/>
  <c r="CA323" i="21"/>
  <c r="BZ323" i="21"/>
  <c r="BR323" i="21"/>
  <c r="DZ323" i="21" s="1"/>
  <c r="AL323" i="21"/>
  <c r="AM188" i="21"/>
  <c r="U204" i="21"/>
  <c r="Q204" i="21"/>
  <c r="BE204" i="21"/>
  <c r="Q208" i="21"/>
  <c r="T208" i="21" s="1"/>
  <c r="AY208" i="21" s="1"/>
  <c r="BE208" i="21"/>
  <c r="BF208" i="21" s="1"/>
  <c r="CO208" i="21" s="1"/>
  <c r="BB220" i="21"/>
  <c r="EB223" i="21"/>
  <c r="L226" i="21"/>
  <c r="U249" i="21"/>
  <c r="BE249" i="21"/>
  <c r="Y252" i="21"/>
  <c r="CC258" i="21"/>
  <c r="FY264" i="21"/>
  <c r="AX266" i="21"/>
  <c r="CM266" i="21" s="1"/>
  <c r="DI266" i="21"/>
  <c r="M266" i="21"/>
  <c r="AN292" i="21"/>
  <c r="CF292" i="21"/>
  <c r="CH292" i="21" s="1"/>
  <c r="Y292" i="21"/>
  <c r="EE292" i="21"/>
  <c r="L292" i="21"/>
  <c r="BE292" i="21"/>
  <c r="Y304" i="21"/>
  <c r="AM183" i="21"/>
  <c r="AN187" i="21"/>
  <c r="AN189" i="21"/>
  <c r="Q196" i="21"/>
  <c r="BA196" i="21"/>
  <c r="I201" i="21"/>
  <c r="EE201" i="21"/>
  <c r="Q202" i="21"/>
  <c r="AJ202" i="21" s="1"/>
  <c r="FX204" i="21"/>
  <c r="EE208" i="21"/>
  <c r="T242" i="21"/>
  <c r="T245" i="21"/>
  <c r="FX245" i="21"/>
  <c r="AN245" i="21"/>
  <c r="BR245" i="21"/>
  <c r="DZ245" i="21" s="1"/>
  <c r="EB245" i="21" s="1"/>
  <c r="DY249" i="21"/>
  <c r="EE251" i="21"/>
  <c r="AN253" i="21"/>
  <c r="ET302" i="21"/>
  <c r="EU302" i="21" s="1"/>
  <c r="EV302" i="21" s="1"/>
  <c r="BB306" i="21"/>
  <c r="CG306" i="21"/>
  <c r="CH306" i="21" s="1"/>
  <c r="CE318" i="21"/>
  <c r="AP194" i="21"/>
  <c r="L195" i="21"/>
  <c r="DL195" i="21"/>
  <c r="BE196" i="21"/>
  <c r="BI197" i="21"/>
  <c r="L201" i="21"/>
  <c r="BE202" i="21"/>
  <c r="S204" i="21"/>
  <c r="AN204" i="21" s="1"/>
  <c r="EH213" i="21"/>
  <c r="EG213" i="21"/>
  <c r="EH218" i="21"/>
  <c r="EG218" i="21"/>
  <c r="BA228" i="21"/>
  <c r="BB228" i="21" s="1"/>
  <c r="X228" i="21"/>
  <c r="I231" i="21"/>
  <c r="AN231" i="21"/>
  <c r="AM231" i="21"/>
  <c r="AL231" i="21"/>
  <c r="AK231" i="21"/>
  <c r="AJ231" i="21" s="1"/>
  <c r="DL231" i="21"/>
  <c r="EH232" i="21"/>
  <c r="BH235" i="21"/>
  <c r="AZ235" i="21"/>
  <c r="EE237" i="21"/>
  <c r="M241" i="21"/>
  <c r="BF241" i="21" s="1"/>
  <c r="CO241" i="21" s="1"/>
  <c r="P245" i="21"/>
  <c r="DY245" i="21" s="1"/>
  <c r="Q249" i="21"/>
  <c r="T249" i="21" s="1"/>
  <c r="AN250" i="21"/>
  <c r="AM259" i="21"/>
  <c r="AS273" i="21"/>
  <c r="AM273" i="21"/>
  <c r="EE273" i="21"/>
  <c r="CC319" i="21"/>
  <c r="AN184" i="21"/>
  <c r="M195" i="21"/>
  <c r="BF195" i="21" s="1"/>
  <c r="CO195" i="21" s="1"/>
  <c r="DI195" i="21"/>
  <c r="L210" i="21"/>
  <c r="AN210" i="21"/>
  <c r="AM210" i="21"/>
  <c r="AL210" i="21"/>
  <c r="AK210" i="21"/>
  <c r="AJ210" i="21" s="1"/>
  <c r="EL229" i="21"/>
  <c r="EK229" i="21" s="1"/>
  <c r="Y229" i="21"/>
  <c r="BI229" i="21" s="1"/>
  <c r="FY241" i="21"/>
  <c r="GA241" i="21" s="1"/>
  <c r="CS241" i="21" s="1"/>
  <c r="AL241" i="21"/>
  <c r="CA241" i="21"/>
  <c r="BZ241" i="21"/>
  <c r="AJ241" i="21"/>
  <c r="BR241" i="21"/>
  <c r="DZ241" i="21" s="1"/>
  <c r="EB241" i="21" s="1"/>
  <c r="T241" i="21"/>
  <c r="DT270" i="21"/>
  <c r="BI270" i="21"/>
  <c r="Y273" i="21"/>
  <c r="BE273" i="21"/>
  <c r="U273" i="21"/>
  <c r="EA273" i="21"/>
  <c r="AN273" i="21"/>
  <c r="FZ273" i="21"/>
  <c r="L280" i="21"/>
  <c r="AN280" i="21"/>
  <c r="DL280" i="21"/>
  <c r="AL280" i="21"/>
  <c r="I280" i="21"/>
  <c r="BE291" i="21"/>
  <c r="FX291" i="21"/>
  <c r="DI311" i="21"/>
  <c r="M311" i="21"/>
  <c r="BF311" i="21" s="1"/>
  <c r="CO311" i="21" s="1"/>
  <c r="AX311" i="21"/>
  <c r="CM311" i="21" s="1"/>
  <c r="AM185" i="21"/>
  <c r="AN186" i="21"/>
  <c r="AM186" i="21"/>
  <c r="GA186" i="21"/>
  <c r="CS186" i="21" s="1"/>
  <c r="DL188" i="21"/>
  <c r="AL188" i="21"/>
  <c r="AK188" i="21"/>
  <c r="AJ188" i="21" s="1"/>
  <c r="GA188" i="21"/>
  <c r="CS188" i="21" s="1"/>
  <c r="DL200" i="21"/>
  <c r="S200" i="21"/>
  <c r="AN200" i="21" s="1"/>
  <c r="FX201" i="21"/>
  <c r="L205" i="21"/>
  <c r="AL205" i="21"/>
  <c r="AK205" i="21"/>
  <c r="AJ205" i="21" s="1"/>
  <c r="BR231" i="21"/>
  <c r="DZ231" i="21" s="1"/>
  <c r="EB231" i="21" s="1"/>
  <c r="FY231" i="21"/>
  <c r="GA231" i="21" s="1"/>
  <c r="CS231" i="21" s="1"/>
  <c r="CA231" i="21"/>
  <c r="BZ231" i="21"/>
  <c r="CB231" i="21" s="1"/>
  <c r="CI231" i="21" s="1"/>
  <c r="X242" i="21"/>
  <c r="BA242" i="21"/>
  <c r="BB242" i="21" s="1"/>
  <c r="AY245" i="21"/>
  <c r="X249" i="21"/>
  <c r="EL249" i="21" s="1"/>
  <c r="EK249" i="21" s="1"/>
  <c r="ET249" i="21" s="1"/>
  <c r="EU249" i="21" s="1"/>
  <c r="EV249" i="21" s="1"/>
  <c r="BA249" i="21"/>
  <c r="BB249" i="21" s="1"/>
  <c r="BE258" i="21"/>
  <c r="EK273" i="21"/>
  <c r="CA282" i="21"/>
  <c r="BR282" i="21"/>
  <c r="DZ282" i="21" s="1"/>
  <c r="EB282" i="21" s="1"/>
  <c r="EG282" i="21" s="1"/>
  <c r="BZ282" i="21"/>
  <c r="L184" i="21"/>
  <c r="I185" i="21"/>
  <c r="BB185" i="21" s="1"/>
  <c r="I186" i="21"/>
  <c r="BB186" i="21" s="1"/>
  <c r="I188" i="21"/>
  <c r="P195" i="21"/>
  <c r="DY195" i="21" s="1"/>
  <c r="I200" i="21"/>
  <c r="I205" i="21"/>
  <c r="AJ222" i="21"/>
  <c r="CI261" i="21"/>
  <c r="AX267" i="21"/>
  <c r="CM267" i="21" s="1"/>
  <c r="Y277" i="21"/>
  <c r="EE280" i="21"/>
  <c r="Q291" i="21"/>
  <c r="BR169" i="21"/>
  <c r="DZ169" i="21" s="1"/>
  <c r="EB169" i="21" s="1"/>
  <c r="EH169" i="21" s="1"/>
  <c r="CA174" i="21"/>
  <c r="CS178" i="21"/>
  <c r="S181" i="21"/>
  <c r="AN181" i="21" s="1"/>
  <c r="L185" i="21"/>
  <c r="L186" i="21"/>
  <c r="I187" i="21"/>
  <c r="L188" i="21"/>
  <c r="I189" i="21"/>
  <c r="DL190" i="21"/>
  <c r="AL190" i="21"/>
  <c r="AK190" i="21"/>
  <c r="AJ190" i="21" s="1"/>
  <c r="CM190" i="21"/>
  <c r="AM193" i="21"/>
  <c r="EE193" i="21"/>
  <c r="Q195" i="21"/>
  <c r="CM198" i="21"/>
  <c r="L200" i="21"/>
  <c r="Q201" i="21"/>
  <c r="AL201" i="21" s="1"/>
  <c r="Y204" i="21"/>
  <c r="BE205" i="21"/>
  <c r="DL205" i="21"/>
  <c r="L207" i="21"/>
  <c r="AN207" i="21"/>
  <c r="AM207" i="21"/>
  <c r="AL207" i="21"/>
  <c r="AK207" i="21"/>
  <c r="AJ207" i="21" s="1"/>
  <c r="DL207" i="21"/>
  <c r="X208" i="21"/>
  <c r="AJ211" i="21"/>
  <c r="DL221" i="21"/>
  <c r="L221" i="21"/>
  <c r="I221" i="21"/>
  <c r="AL222" i="21"/>
  <c r="BA223" i="21"/>
  <c r="T231" i="21"/>
  <c r="EL235" i="21"/>
  <c r="EK235" i="21" s="1"/>
  <c r="Y235" i="21"/>
  <c r="X236" i="21"/>
  <c r="BA236" i="21"/>
  <c r="BB236" i="21" s="1"/>
  <c r="BH240" i="21"/>
  <c r="BE253" i="21"/>
  <c r="BF253" i="21" s="1"/>
  <c r="CO253" i="21" s="1"/>
  <c r="U253" i="21"/>
  <c r="AY253" i="21" s="1"/>
  <c r="T282" i="21"/>
  <c r="BI211" i="21"/>
  <c r="DL215" i="21"/>
  <c r="L215" i="21"/>
  <c r="AY230" i="21"/>
  <c r="AZ230" i="21" s="1"/>
  <c r="AL232" i="21"/>
  <c r="AX238" i="21"/>
  <c r="CM238" i="21" s="1"/>
  <c r="EU244" i="21"/>
  <c r="EV244" i="21" s="1"/>
  <c r="DL251" i="21"/>
  <c r="L251" i="21"/>
  <c r="AX254" i="21"/>
  <c r="AX255" i="21"/>
  <c r="CF257" i="21"/>
  <c r="CH257" i="21" s="1"/>
  <c r="Y257" i="21"/>
  <c r="EA257" i="21"/>
  <c r="CD257" i="21"/>
  <c r="DY257" i="21"/>
  <c r="FZ257" i="21"/>
  <c r="FY257" i="21" s="1"/>
  <c r="Q257" i="21"/>
  <c r="DL259" i="21"/>
  <c r="EE259" i="21"/>
  <c r="AK259" i="21"/>
  <c r="AM265" i="21"/>
  <c r="AS265" i="21"/>
  <c r="FY369" i="21"/>
  <c r="GA369" i="21" s="1"/>
  <c r="CC369" i="21"/>
  <c r="CE369" i="21" s="1"/>
  <c r="EL206" i="21"/>
  <c r="EK206" i="21" s="1"/>
  <c r="Y206" i="21"/>
  <c r="AK212" i="21"/>
  <c r="AJ212" i="21" s="1"/>
  <c r="AX215" i="21"/>
  <c r="M215" i="21"/>
  <c r="BF215" i="21" s="1"/>
  <c r="DI215" i="21"/>
  <c r="DI216" i="21"/>
  <c r="DL220" i="21"/>
  <c r="AL220" i="21"/>
  <c r="AZ226" i="21"/>
  <c r="I227" i="21"/>
  <c r="X247" i="21"/>
  <c r="AY250" i="21"/>
  <c r="M251" i="21"/>
  <c r="X253" i="21"/>
  <c r="BA253" i="21"/>
  <c r="BB253" i="21" s="1"/>
  <c r="DL254" i="21"/>
  <c r="I259" i="21"/>
  <c r="CF265" i="21"/>
  <c r="CH265" i="21" s="1"/>
  <c r="AN265" i="21"/>
  <c r="CD265" i="21"/>
  <c r="Y265" i="21"/>
  <c r="EA265" i="21"/>
  <c r="AS297" i="21"/>
  <c r="CH297" i="21"/>
  <c r="AM297" i="21"/>
  <c r="CG311" i="21"/>
  <c r="BB311" i="21"/>
  <c r="EA330" i="21"/>
  <c r="CD330" i="21"/>
  <c r="FZ330" i="21"/>
  <c r="EL220" i="21"/>
  <c r="EK220" i="21" s="1"/>
  <c r="DT239" i="21"/>
  <c r="AX242" i="21"/>
  <c r="AN244" i="21"/>
  <c r="BE244" i="21"/>
  <c r="BF244" i="21" s="1"/>
  <c r="CO244" i="21" s="1"/>
  <c r="U244" i="21"/>
  <c r="I248" i="21"/>
  <c r="AM248" i="21"/>
  <c r="AL248" i="21"/>
  <c r="AK248" i="21"/>
  <c r="DL248" i="21"/>
  <c r="CF251" i="21"/>
  <c r="CH251" i="21" s="1"/>
  <c r="AN251" i="21"/>
  <c r="CD251" i="21"/>
  <c r="FZ251" i="21"/>
  <c r="FY251" i="21" s="1"/>
  <c r="GA251" i="21" s="1"/>
  <c r="CS251" i="21" s="1"/>
  <c r="U257" i="21"/>
  <c r="T257" i="21"/>
  <c r="BE257" i="21"/>
  <c r="FX257" i="21"/>
  <c r="T259" i="21"/>
  <c r="AN259" i="21"/>
  <c r="CF259" i="21"/>
  <c r="CH259" i="21" s="1"/>
  <c r="EA259" i="21"/>
  <c r="DT276" i="21"/>
  <c r="CA297" i="21"/>
  <c r="BZ297" i="21"/>
  <c r="CB297" i="21" s="1"/>
  <c r="BR297" i="21"/>
  <c r="DZ297" i="21" s="1"/>
  <c r="AL297" i="21"/>
  <c r="AS311" i="21"/>
  <c r="DL311" i="21"/>
  <c r="AM311" i="21"/>
  <c r="CC315" i="21"/>
  <c r="BA316" i="21"/>
  <c r="X316" i="21"/>
  <c r="EE223" i="21"/>
  <c r="AX224" i="21"/>
  <c r="CM224" i="21" s="1"/>
  <c r="DT241" i="21"/>
  <c r="EE246" i="21"/>
  <c r="U246" i="21"/>
  <c r="FX246" i="21"/>
  <c r="AN246" i="21"/>
  <c r="CA251" i="21"/>
  <c r="BZ251" i="21"/>
  <c r="CB251" i="21" s="1"/>
  <c r="BR251" i="21"/>
  <c r="DZ251" i="21" s="1"/>
  <c r="EB251" i="21" s="1"/>
  <c r="BB252" i="21"/>
  <c r="CX260" i="21"/>
  <c r="FI260" i="21"/>
  <c r="EA269" i="21"/>
  <c r="CD269" i="21"/>
  <c r="CE269" i="21" s="1"/>
  <c r="FZ269" i="21"/>
  <c r="BE269" i="21"/>
  <c r="BF269" i="21" s="1"/>
  <c r="CO269" i="21" s="1"/>
  <c r="AK272" i="21"/>
  <c r="DL272" i="21"/>
  <c r="L272" i="21"/>
  <c r="I272" i="21"/>
  <c r="AX286" i="21"/>
  <c r="M286" i="21"/>
  <c r="BF286" i="21" s="1"/>
  <c r="DI286" i="21"/>
  <c r="CA293" i="21"/>
  <c r="BZ293" i="21"/>
  <c r="BR293" i="21"/>
  <c r="DZ293" i="21" s="1"/>
  <c r="EB293" i="21" s="1"/>
  <c r="EG293" i="21" s="1"/>
  <c r="FY293" i="21"/>
  <c r="GA293" i="21" s="1"/>
  <c r="CS293" i="21" s="1"/>
  <c r="FZ311" i="21"/>
  <c r="CF311" i="21"/>
  <c r="CH311" i="21" s="1"/>
  <c r="Y311" i="21"/>
  <c r="Q311" i="21"/>
  <c r="DY311" i="21"/>
  <c r="AN311" i="21"/>
  <c r="EA311" i="21"/>
  <c r="L311" i="21"/>
  <c r="CD311" i="21"/>
  <c r="CE311" i="21" s="1"/>
  <c r="X214" i="21"/>
  <c r="X219" i="21"/>
  <c r="CA220" i="21"/>
  <c r="CB220" i="21" s="1"/>
  <c r="CI220" i="21" s="1"/>
  <c r="CK220" i="21" s="1"/>
  <c r="CP220" i="21" s="1"/>
  <c r="FY220" i="21"/>
  <c r="GA220" i="21" s="1"/>
  <c r="CS220" i="21" s="1"/>
  <c r="T220" i="21"/>
  <c r="T221" i="21"/>
  <c r="I223" i="21"/>
  <c r="GA235" i="21"/>
  <c r="CS235" i="21" s="1"/>
  <c r="AK238" i="21"/>
  <c r="AJ238" i="21" s="1"/>
  <c r="AN238" i="21"/>
  <c r="AM238" i="21"/>
  <c r="AL238" i="21"/>
  <c r="BI241" i="21"/>
  <c r="BZ244" i="21"/>
  <c r="BR244" i="21"/>
  <c r="DZ244" i="21" s="1"/>
  <c r="EB244" i="21" s="1"/>
  <c r="EH244" i="21" s="1"/>
  <c r="AL244" i="21"/>
  <c r="CA244" i="21"/>
  <c r="EL246" i="21"/>
  <c r="EK246" i="21" s="1"/>
  <c r="EA248" i="21"/>
  <c r="FZ248" i="21"/>
  <c r="CF248" i="21"/>
  <c r="CH248" i="21" s="1"/>
  <c r="AN248" i="21"/>
  <c r="CD248" i="21"/>
  <c r="AZ252" i="21"/>
  <c r="EE252" i="21"/>
  <c r="AM252" i="21"/>
  <c r="BF258" i="21"/>
  <c r="CO258" i="21" s="1"/>
  <c r="U265" i="21"/>
  <c r="FX265" i="21"/>
  <c r="FZ274" i="21"/>
  <c r="EA274" i="21"/>
  <c r="EB274" i="21" s="1"/>
  <c r="CD274" i="21"/>
  <c r="AK279" i="21"/>
  <c r="DL279" i="21"/>
  <c r="L279" i="21"/>
  <c r="EH286" i="21"/>
  <c r="EG286" i="21"/>
  <c r="ET332" i="21"/>
  <c r="EU332" i="21"/>
  <c r="EV332" i="21" s="1"/>
  <c r="DI217" i="21"/>
  <c r="AZ224" i="21"/>
  <c r="T227" i="21"/>
  <c r="EL230" i="21"/>
  <c r="EK230" i="21" s="1"/>
  <c r="L236" i="21"/>
  <c r="DL236" i="21"/>
  <c r="ET238" i="21"/>
  <c r="GA240" i="21"/>
  <c r="CS240" i="21" s="1"/>
  <c r="AN240" i="21"/>
  <c r="AM240" i="21"/>
  <c r="AL240" i="21"/>
  <c r="AK240" i="21"/>
  <c r="AJ240" i="21" s="1"/>
  <c r="T244" i="21"/>
  <c r="FY246" i="21"/>
  <c r="AL246" i="21"/>
  <c r="BZ246" i="21"/>
  <c r="CB246" i="21" s="1"/>
  <c r="CI246" i="21" s="1"/>
  <c r="CK246" i="21" s="1"/>
  <c r="CP246" i="21" s="1"/>
  <c r="BR246" i="21"/>
  <c r="DZ246" i="21" s="1"/>
  <c r="EB246" i="21" s="1"/>
  <c r="L248" i="21"/>
  <c r="CE248" i="21"/>
  <c r="DY251" i="21"/>
  <c r="AN252" i="21"/>
  <c r="EA252" i="21"/>
  <c r="CF252" i="21"/>
  <c r="CH252" i="21" s="1"/>
  <c r="DY252" i="21"/>
  <c r="FZ252" i="21"/>
  <c r="CD252" i="21"/>
  <c r="CE252" i="21" s="1"/>
  <c r="BE252" i="21"/>
  <c r="AK255" i="21"/>
  <c r="CM256" i="21"/>
  <c r="CS256" i="21"/>
  <c r="Q258" i="21"/>
  <c r="FY258" i="21" s="1"/>
  <c r="FY269" i="21"/>
  <c r="GA269" i="21" s="1"/>
  <c r="CS269" i="21" s="1"/>
  <c r="CD272" i="21"/>
  <c r="CE272" i="21" s="1"/>
  <c r="CF272" i="21"/>
  <c r="CH272" i="21" s="1"/>
  <c r="Y272" i="21"/>
  <c r="U272" i="21"/>
  <c r="FZ272" i="21"/>
  <c r="EK272" i="21"/>
  <c r="FY274" i="21"/>
  <c r="GA274" i="21" s="1"/>
  <c r="CS274" i="21" s="1"/>
  <c r="CC274" i="21"/>
  <c r="I279" i="21"/>
  <c r="EL280" i="21"/>
  <c r="EK280" i="21" s="1"/>
  <c r="CB286" i="21"/>
  <c r="T311" i="21"/>
  <c r="U311" i="21"/>
  <c r="BE311" i="21"/>
  <c r="FX311" i="21"/>
  <c r="BZ362" i="21"/>
  <c r="BR362" i="21"/>
  <c r="DZ362" i="21" s="1"/>
  <c r="EB362" i="21" s="1"/>
  <c r="FY362" i="21"/>
  <c r="GA362" i="21" s="1"/>
  <c r="CS362" i="21" s="1"/>
  <c r="CA362" i="21"/>
  <c r="BI222" i="21"/>
  <c r="AY223" i="21"/>
  <c r="Y226" i="21"/>
  <c r="GA234" i="21"/>
  <c r="CS234" i="21" s="1"/>
  <c r="AK234" i="21"/>
  <c r="AJ234" i="21" s="1"/>
  <c r="DL234" i="21"/>
  <c r="I235" i="21"/>
  <c r="I236" i="21"/>
  <c r="I240" i="21"/>
  <c r="EE240" i="21"/>
  <c r="T246" i="21"/>
  <c r="U258" i="21"/>
  <c r="FX258" i="21"/>
  <c r="FY261" i="21"/>
  <c r="GA261" i="21" s="1"/>
  <c r="CS261" i="21" s="1"/>
  <c r="BR261" i="21"/>
  <c r="DZ261" i="21" s="1"/>
  <c r="EB261" i="21" s="1"/>
  <c r="AL261" i="21"/>
  <c r="Q265" i="21"/>
  <c r="T265" i="21" s="1"/>
  <c r="CS275" i="21"/>
  <c r="CO275" i="21"/>
  <c r="CM275" i="21"/>
  <c r="AM279" i="21"/>
  <c r="AS279" i="21"/>
  <c r="I234" i="21"/>
  <c r="BB234" i="21"/>
  <c r="CA236" i="21"/>
  <c r="BZ236" i="21"/>
  <c r="T236" i="21"/>
  <c r="M238" i="21"/>
  <c r="BF238" i="21" s="1"/>
  <c r="CO238" i="21" s="1"/>
  <c r="L240" i="21"/>
  <c r="BI244" i="21"/>
  <c r="BH252" i="21"/>
  <c r="AS255" i="21"/>
  <c r="AM255" i="21"/>
  <c r="Q259" i="21"/>
  <c r="AL270" i="21"/>
  <c r="X297" i="21"/>
  <c r="BH308" i="21"/>
  <c r="BB329" i="21"/>
  <c r="CG329" i="21"/>
  <c r="CH329" i="21" s="1"/>
  <c r="FX352" i="21"/>
  <c r="BE352" i="21"/>
  <c r="U352" i="21"/>
  <c r="BZ238" i="21"/>
  <c r="T238" i="21"/>
  <c r="CA238" i="21"/>
  <c r="BR238" i="21"/>
  <c r="DZ238" i="21" s="1"/>
  <c r="EB238" i="21" s="1"/>
  <c r="BE248" i="21"/>
  <c r="U248" i="21"/>
  <c r="AY248" i="21" s="1"/>
  <c r="AZ248" i="21" s="1"/>
  <c r="FX248" i="21"/>
  <c r="GA248" i="21"/>
  <c r="CS248" i="21" s="1"/>
  <c r="EA255" i="21"/>
  <c r="CD255" i="21"/>
  <c r="CE255" i="21" s="1"/>
  <c r="AN255" i="21"/>
  <c r="DY255" i="21"/>
  <c r="CF255" i="21"/>
  <c r="CH255" i="21" s="1"/>
  <c r="Y255" i="21"/>
  <c r="FZ255" i="21"/>
  <c r="CC257" i="21"/>
  <c r="AZ260" i="21"/>
  <c r="EG261" i="21"/>
  <c r="EH261" i="21"/>
  <c r="DL267" i="21"/>
  <c r="AL267" i="21"/>
  <c r="AK267" i="21"/>
  <c r="DY272" i="21"/>
  <c r="AY308" i="21"/>
  <c r="AZ308" i="21" s="1"/>
  <c r="EE212" i="21"/>
  <c r="AN212" i="21"/>
  <c r="AM212" i="21"/>
  <c r="L232" i="21"/>
  <c r="AM232" i="21"/>
  <c r="AK232" i="21"/>
  <c r="AJ232" i="21" s="1"/>
  <c r="DL232" i="21"/>
  <c r="EH235" i="21"/>
  <c r="CA240" i="21"/>
  <c r="BZ240" i="21"/>
  <c r="BR240" i="21"/>
  <c r="DZ240" i="21" s="1"/>
  <c r="EB240" i="21" s="1"/>
  <c r="DT246" i="21"/>
  <c r="EA262" i="21"/>
  <c r="FZ262" i="21"/>
  <c r="CD262" i="21"/>
  <c r="M267" i="21"/>
  <c r="BF267" i="21" s="1"/>
  <c r="CO267" i="21" s="1"/>
  <c r="DI267" i="21"/>
  <c r="BB273" i="21"/>
  <c r="BI276" i="21"/>
  <c r="FX282" i="21"/>
  <c r="AN282" i="21"/>
  <c r="AN291" i="21"/>
  <c r="CM297" i="21"/>
  <c r="CS297" i="21"/>
  <c r="EH304" i="21"/>
  <c r="EG304" i="21"/>
  <c r="EK311" i="21"/>
  <c r="I212" i="21"/>
  <c r="EE215" i="21"/>
  <c r="BR221" i="21"/>
  <c r="DZ221" i="21" s="1"/>
  <c r="EB221" i="21" s="1"/>
  <c r="BR227" i="21"/>
  <c r="DZ227" i="21" s="1"/>
  <c r="EB227" i="21" s="1"/>
  <c r="EG227" i="21" s="1"/>
  <c r="I232" i="21"/>
  <c r="CA234" i="21"/>
  <c r="BZ234" i="21"/>
  <c r="BR234" i="21"/>
  <c r="DZ234" i="21" s="1"/>
  <c r="EB234" i="21" s="1"/>
  <c r="T234" i="21"/>
  <c r="AY234" i="21" s="1"/>
  <c r="AY238" i="21"/>
  <c r="FY244" i="21"/>
  <c r="GA244" i="21" s="1"/>
  <c r="CS244" i="21" s="1"/>
  <c r="CC251" i="21"/>
  <c r="CE251" i="21" s="1"/>
  <c r="CM254" i="21"/>
  <c r="X258" i="21"/>
  <c r="EL258" i="21" s="1"/>
  <c r="EK258" i="21" s="1"/>
  <c r="BA258" i="21"/>
  <c r="BB258" i="21" s="1"/>
  <c r="EK259" i="21"/>
  <c r="T261" i="21"/>
  <c r="FY262" i="21"/>
  <c r="CC262" i="21"/>
  <c r="BH267" i="21"/>
  <c r="AZ267" i="21"/>
  <c r="AS267" i="21"/>
  <c r="AM267" i="21"/>
  <c r="EA272" i="21"/>
  <c r="EE291" i="21"/>
  <c r="EA297" i="21"/>
  <c r="CD297" i="21"/>
  <c r="CE297" i="21" s="1"/>
  <c r="FZ297" i="21"/>
  <c r="FY297" i="21" s="1"/>
  <c r="GA297" i="21" s="1"/>
  <c r="CG340" i="21"/>
  <c r="CH340" i="21" s="1"/>
  <c r="BB340" i="21"/>
  <c r="AK253" i="21"/>
  <c r="CH253" i="21"/>
  <c r="EH256" i="21"/>
  <c r="BB274" i="21"/>
  <c r="FZ279" i="21"/>
  <c r="EA279" i="21"/>
  <c r="AN279" i="21"/>
  <c r="DY279" i="21"/>
  <c r="CF279" i="21"/>
  <c r="CH279" i="21" s="1"/>
  <c r="Y279" i="21"/>
  <c r="CD279" i="21"/>
  <c r="CE279" i="21" s="1"/>
  <c r="CA286" i="21"/>
  <c r="EE287" i="21"/>
  <c r="Q287" i="21"/>
  <c r="T287" i="21" s="1"/>
  <c r="EL290" i="21"/>
  <c r="EK290" i="21" s="1"/>
  <c r="Y290" i="21"/>
  <c r="L299" i="21"/>
  <c r="I299" i="21"/>
  <c r="AN299" i="21"/>
  <c r="AM299" i="21"/>
  <c r="AL299" i="21"/>
  <c r="AK299" i="21"/>
  <c r="DL299" i="21"/>
  <c r="GA299" i="21"/>
  <c r="CS299" i="21" s="1"/>
  <c r="M329" i="21"/>
  <c r="DI329" i="21"/>
  <c r="AX329" i="21"/>
  <c r="DM344" i="21"/>
  <c r="DL345" i="21"/>
  <c r="AM345" i="21"/>
  <c r="AS345" i="21"/>
  <c r="EE345" i="21"/>
  <c r="AL253" i="21"/>
  <c r="AM256" i="21"/>
  <c r="DL266" i="21"/>
  <c r="AL266" i="21"/>
  <c r="AK266" i="21"/>
  <c r="BR275" i="21"/>
  <c r="DZ275" i="21" s="1"/>
  <c r="EB275" i="21" s="1"/>
  <c r="EG275" i="21" s="1"/>
  <c r="CE283" i="21"/>
  <c r="AM285" i="21"/>
  <c r="BE287" i="21"/>
  <c r="BF287" i="21" s="1"/>
  <c r="CO287" i="21" s="1"/>
  <c r="AM292" i="21"/>
  <c r="AS292" i="21"/>
  <c r="X293" i="21"/>
  <c r="EL293" i="21" s="1"/>
  <c r="EK293" i="21" s="1"/>
  <c r="BA293" i="21"/>
  <c r="AL295" i="21"/>
  <c r="AK295" i="21"/>
  <c r="L295" i="21"/>
  <c r="GA295" i="21"/>
  <c r="CS295" i="21" s="1"/>
  <c r="I295" i="21"/>
  <c r="I305" i="21"/>
  <c r="DL305" i="21"/>
  <c r="AM305" i="21"/>
  <c r="AL305" i="21"/>
  <c r="AK305" i="21"/>
  <c r="EE305" i="21"/>
  <c r="AL310" i="21"/>
  <c r="AK310" i="21"/>
  <c r="DL310" i="21"/>
  <c r="L310" i="21"/>
  <c r="I310" i="21"/>
  <c r="BB310" i="21" s="1"/>
  <c r="EL347" i="21"/>
  <c r="EK347" i="21" s="1"/>
  <c r="Y347" i="21"/>
  <c r="U251" i="21"/>
  <c r="FX251" i="21"/>
  <c r="T251" i="21"/>
  <c r="BE251" i="21"/>
  <c r="CD254" i="21"/>
  <c r="CE254" i="21" s="1"/>
  <c r="FZ254" i="21"/>
  <c r="EA254" i="21"/>
  <c r="BR262" i="21"/>
  <c r="DZ262" i="21" s="1"/>
  <c r="EB262" i="21" s="1"/>
  <c r="EG262" i="21" s="1"/>
  <c r="AM266" i="21"/>
  <c r="CA275" i="21"/>
  <c r="CB275" i="21" s="1"/>
  <c r="CI275" i="21" s="1"/>
  <c r="CK275" i="21" s="1"/>
  <c r="CP275" i="21" s="1"/>
  <c r="ET278" i="21"/>
  <c r="Q279" i="21"/>
  <c r="T279" i="21" s="1"/>
  <c r="AZ279" i="21" s="1"/>
  <c r="EE279" i="21"/>
  <c r="U295" i="21"/>
  <c r="BE295" i="21"/>
  <c r="T295" i="21"/>
  <c r="DY295" i="21"/>
  <c r="AN295" i="21"/>
  <c r="DL295" i="21"/>
  <c r="BZ299" i="21"/>
  <c r="CB299" i="21" s="1"/>
  <c r="CI299" i="21" s="1"/>
  <c r="BR299" i="21"/>
  <c r="DZ299" i="21" s="1"/>
  <c r="EB299" i="21" s="1"/>
  <c r="EG299" i="21" s="1"/>
  <c r="BA302" i="21"/>
  <c r="BB302" i="21" s="1"/>
  <c r="CF305" i="21"/>
  <c r="CH305" i="21" s="1"/>
  <c r="AN305" i="21"/>
  <c r="DY305" i="21"/>
  <c r="Y305" i="21"/>
  <c r="Q305" i="21"/>
  <c r="BA328" i="21"/>
  <c r="BB328" i="21" s="1"/>
  <c r="X328" i="21"/>
  <c r="FX339" i="21"/>
  <c r="U339" i="21"/>
  <c r="BE339" i="21"/>
  <c r="EU358" i="21"/>
  <c r="EV358" i="21" s="1"/>
  <c r="AJ242" i="21"/>
  <c r="L250" i="21"/>
  <c r="CH260" i="21"/>
  <c r="CI260" i="21" s="1"/>
  <c r="BZ262" i="21"/>
  <c r="CB262" i="21" s="1"/>
  <c r="CM263" i="21"/>
  <c r="AS264" i="21"/>
  <c r="AM264" i="21"/>
  <c r="CF266" i="21"/>
  <c r="CH266" i="21" s="1"/>
  <c r="AN266" i="21"/>
  <c r="CD266" i="21"/>
  <c r="CE266" i="21" s="1"/>
  <c r="Y266" i="21"/>
  <c r="Q266" i="21"/>
  <c r="DI268" i="21"/>
  <c r="AX268" i="21"/>
  <c r="CM268" i="21" s="1"/>
  <c r="M268" i="21"/>
  <c r="BF268" i="21" s="1"/>
  <c r="CO268" i="21" s="1"/>
  <c r="EA278" i="21"/>
  <c r="EB278" i="21" s="1"/>
  <c r="CD278" i="21"/>
  <c r="CE278" i="21" s="1"/>
  <c r="BE278" i="21"/>
  <c r="BE279" i="21"/>
  <c r="U279" i="21"/>
  <c r="AY279" i="21" s="1"/>
  <c r="FX279" i="21"/>
  <c r="BB294" i="21"/>
  <c r="CA295" i="21"/>
  <c r="BZ295" i="21"/>
  <c r="BR295" i="21"/>
  <c r="DZ295" i="21" s="1"/>
  <c r="EA296" i="21"/>
  <c r="FZ296" i="21"/>
  <c r="CD296" i="21"/>
  <c r="CE296" i="21" s="1"/>
  <c r="M332" i="21"/>
  <c r="BF332" i="21" s="1"/>
  <c r="BB332" i="21"/>
  <c r="AX332" i="21"/>
  <c r="CM332" i="21" s="1"/>
  <c r="BZ363" i="21"/>
  <c r="BR363" i="21"/>
  <c r="DZ363" i="21" s="1"/>
  <c r="EB363" i="21" s="1"/>
  <c r="CA363" i="21"/>
  <c r="T363" i="21"/>
  <c r="DT364" i="21"/>
  <c r="BI364" i="21"/>
  <c r="CM244" i="21"/>
  <c r="I250" i="21"/>
  <c r="M254" i="21"/>
  <c r="BF254" i="21" s="1"/>
  <c r="CO254" i="21" s="1"/>
  <c r="AX256" i="21"/>
  <c r="L266" i="21"/>
  <c r="BR269" i="21"/>
  <c r="DZ269" i="21" s="1"/>
  <c r="EB269" i="21" s="1"/>
  <c r="Q272" i="21"/>
  <c r="T272" i="21" s="1"/>
  <c r="EH274" i="21"/>
  <c r="EG274" i="21"/>
  <c r="CE275" i="21"/>
  <c r="FZ276" i="21"/>
  <c r="EA276" i="21"/>
  <c r="BB290" i="21"/>
  <c r="FX292" i="21"/>
  <c r="U292" i="21"/>
  <c r="FY296" i="21"/>
  <c r="GA296" i="21" s="1"/>
  <c r="CS296" i="21" s="1"/>
  <c r="BA300" i="21"/>
  <c r="BB300" i="21" s="1"/>
  <c r="Y302" i="21"/>
  <c r="EA305" i="21"/>
  <c r="AX327" i="21"/>
  <c r="M327" i="21"/>
  <c r="DI327" i="21"/>
  <c r="BB251" i="21"/>
  <c r="EE254" i="21"/>
  <c r="EU254" i="21"/>
  <c r="EV254" i="21" s="1"/>
  <c r="AY260" i="21"/>
  <c r="BH260" i="21" s="1"/>
  <c r="GA268" i="21"/>
  <c r="CS268" i="21" s="1"/>
  <c r="EG268" i="21"/>
  <c r="BZ269" i="21"/>
  <c r="BH280" i="21"/>
  <c r="AZ280" i="21"/>
  <c r="AY286" i="21"/>
  <c r="DI294" i="21"/>
  <c r="AX294" i="21"/>
  <c r="CM294" i="21" s="1"/>
  <c r="M294" i="21"/>
  <c r="CO301" i="21"/>
  <c r="EA306" i="21"/>
  <c r="CD306" i="21"/>
  <c r="FZ306" i="21"/>
  <c r="BE306" i="21"/>
  <c r="X251" i="21"/>
  <c r="GA253" i="21"/>
  <c r="CS253" i="21" s="1"/>
  <c r="L253" i="21"/>
  <c r="BE254" i="21"/>
  <c r="U254" i="21"/>
  <c r="BA260" i="21"/>
  <c r="CA269" i="21"/>
  <c r="BE274" i="21"/>
  <c r="EK289" i="21"/>
  <c r="DL294" i="21"/>
  <c r="CC306" i="21"/>
  <c r="CE314" i="21"/>
  <c r="I316" i="21"/>
  <c r="L316" i="21"/>
  <c r="EE316" i="21"/>
  <c r="AN316" i="21"/>
  <c r="AM316" i="21"/>
  <c r="AK316" i="21"/>
  <c r="EG324" i="21"/>
  <c r="EH324" i="21"/>
  <c r="AK331" i="21"/>
  <c r="DL331" i="21"/>
  <c r="BZ338" i="21"/>
  <c r="BR338" i="21"/>
  <c r="DZ338" i="21" s="1"/>
  <c r="CA338" i="21"/>
  <c r="BZ361" i="21"/>
  <c r="CA361" i="21"/>
  <c r="BR361" i="21"/>
  <c r="DZ361" i="21" s="1"/>
  <c r="AX253" i="21"/>
  <c r="CM253" i="21" s="1"/>
  <c r="BE264" i="21"/>
  <c r="BF264" i="21" s="1"/>
  <c r="CO264" i="21" s="1"/>
  <c r="FX264" i="21"/>
  <c r="GA264" i="21" s="1"/>
  <c r="CS264" i="21" s="1"/>
  <c r="AN264" i="21"/>
  <c r="U266" i="21"/>
  <c r="T266" i="21"/>
  <c r="BE266" i="21"/>
  <c r="EU271" i="21"/>
  <c r="EV271" i="21" s="1"/>
  <c r="AX271" i="21"/>
  <c r="CM271" i="21" s="1"/>
  <c r="BE284" i="21"/>
  <c r="DT286" i="21"/>
  <c r="Y294" i="21"/>
  <c r="U294" i="21"/>
  <c r="Q294" i="21"/>
  <c r="FY294" i="21" s="1"/>
  <c r="GA294" i="21" s="1"/>
  <c r="CS294" i="21" s="1"/>
  <c r="L294" i="21"/>
  <c r="BA295" i="21"/>
  <c r="AY299" i="21"/>
  <c r="AZ299" i="21" s="1"/>
  <c r="CC309" i="21"/>
  <c r="EL313" i="21"/>
  <c r="EK313" i="21" s="1"/>
  <c r="Y313" i="21"/>
  <c r="I331" i="21"/>
  <c r="CH241" i="21"/>
  <c r="Q254" i="21"/>
  <c r="T254" i="21" s="1"/>
  <c r="AX258" i="21"/>
  <c r="CM258" i="21" s="1"/>
  <c r="EG264" i="21"/>
  <c r="FZ266" i="21"/>
  <c r="AY275" i="21"/>
  <c r="DA282" i="21"/>
  <c r="FG282" i="21"/>
  <c r="X295" i="21"/>
  <c r="BA299" i="21"/>
  <c r="X299" i="21"/>
  <c r="BE250" i="21"/>
  <c r="FX250" i="21"/>
  <c r="GA250" i="21" s="1"/>
  <c r="CS250" i="21" s="1"/>
  <c r="CM255" i="21"/>
  <c r="AN258" i="21"/>
  <c r="Y258" i="21"/>
  <c r="Y271" i="21"/>
  <c r="AN271" i="21"/>
  <c r="CF271" i="21"/>
  <c r="CH271" i="21" s="1"/>
  <c r="AM271" i="21"/>
  <c r="CD271" i="21"/>
  <c r="DL271" i="21"/>
  <c r="DL273" i="21"/>
  <c r="AY277" i="21"/>
  <c r="BH277" i="21" s="1"/>
  <c r="BF282" i="21"/>
  <c r="CO282" i="21" s="1"/>
  <c r="Q283" i="21"/>
  <c r="EE283" i="21"/>
  <c r="FY308" i="21"/>
  <c r="CA308" i="21"/>
  <c r="BZ308" i="21"/>
  <c r="BR308" i="21"/>
  <c r="DZ308" i="21" s="1"/>
  <c r="EB308" i="21" s="1"/>
  <c r="FY343" i="21"/>
  <c r="CA343" i="21"/>
  <c r="BZ343" i="21"/>
  <c r="BR343" i="21"/>
  <c r="DZ343" i="21" s="1"/>
  <c r="EB343" i="21" s="1"/>
  <c r="EH343" i="21" s="1"/>
  <c r="CA228" i="21"/>
  <c r="CB228" i="21" s="1"/>
  <c r="CI228" i="21" s="1"/>
  <c r="EH240" i="21"/>
  <c r="EG240" i="21"/>
  <c r="CM246" i="21"/>
  <c r="L258" i="21"/>
  <c r="X262" i="21"/>
  <c r="AY269" i="21"/>
  <c r="BH269" i="21" s="1"/>
  <c r="L271" i="21"/>
  <c r="I273" i="21"/>
  <c r="AZ274" i="21"/>
  <c r="X275" i="21"/>
  <c r="BE276" i="21"/>
  <c r="BB277" i="21"/>
  <c r="BB280" i="21"/>
  <c r="L331" i="21"/>
  <c r="EA260" i="21"/>
  <c r="EB260" i="21" s="1"/>
  <c r="EG260" i="21" s="1"/>
  <c r="AN262" i="21"/>
  <c r="CF262" i="21"/>
  <c r="CH262" i="21" s="1"/>
  <c r="DY266" i="21"/>
  <c r="BH268" i="21"/>
  <c r="AM269" i="21"/>
  <c r="Q273" i="21"/>
  <c r="T273" i="21" s="1"/>
  <c r="BH274" i="21"/>
  <c r="AS274" i="21"/>
  <c r="AM275" i="21"/>
  <c r="AM276" i="21"/>
  <c r="CF276" i="21"/>
  <c r="CH276" i="21" s="1"/>
  <c r="EA277" i="21"/>
  <c r="EB277" i="21" s="1"/>
  <c r="EG277" i="21" s="1"/>
  <c r="AL281" i="21"/>
  <c r="Y285" i="21"/>
  <c r="U285" i="21"/>
  <c r="BE285" i="21"/>
  <c r="T285" i="21"/>
  <c r="FZ285" i="21"/>
  <c r="EA285" i="21"/>
  <c r="CD286" i="21"/>
  <c r="FZ291" i="21"/>
  <c r="EA291" i="21"/>
  <c r="CD291" i="21"/>
  <c r="EK294" i="21"/>
  <c r="EA295" i="21"/>
  <c r="L296" i="21"/>
  <c r="I296" i="21"/>
  <c r="EE296" i="21"/>
  <c r="AK306" i="21"/>
  <c r="DL306" i="21"/>
  <c r="BZ313" i="21"/>
  <c r="CB313" i="21" s="1"/>
  <c r="EH315" i="21"/>
  <c r="FY245" i="21"/>
  <c r="I260" i="21"/>
  <c r="BB265" i="21"/>
  <c r="CF268" i="21"/>
  <c r="CH268" i="21" s="1"/>
  <c r="CI268" i="21" s="1"/>
  <c r="CK268" i="21" s="1"/>
  <c r="CP268" i="21" s="1"/>
  <c r="EH268" i="21"/>
  <c r="BE272" i="21"/>
  <c r="AN275" i="21"/>
  <c r="FZ275" i="21"/>
  <c r="AN276" i="21"/>
  <c r="M278" i="21"/>
  <c r="AM281" i="21"/>
  <c r="CE289" i="21"/>
  <c r="CC291" i="21"/>
  <c r="CE291" i="21" s="1"/>
  <c r="Q292" i="21"/>
  <c r="AS293" i="21"/>
  <c r="M298" i="21"/>
  <c r="AX298" i="21"/>
  <c r="CM298" i="21" s="1"/>
  <c r="EG300" i="21"/>
  <c r="DI306" i="21"/>
  <c r="M306" i="21"/>
  <c r="AM310" i="21"/>
  <c r="FZ319" i="21"/>
  <c r="FY319" i="21" s="1"/>
  <c r="EA319" i="21"/>
  <c r="CD319" i="21"/>
  <c r="CD320" i="21"/>
  <c r="CE320" i="21" s="1"/>
  <c r="FZ320" i="21"/>
  <c r="AN320" i="21"/>
  <c r="CF320" i="21"/>
  <c r="CH320" i="21" s="1"/>
  <c r="Q320" i="21"/>
  <c r="L320" i="21"/>
  <c r="EA320" i="21"/>
  <c r="BB341" i="21"/>
  <c r="EE352" i="21"/>
  <c r="DY259" i="21"/>
  <c r="Y260" i="21"/>
  <c r="I261" i="21"/>
  <c r="AM263" i="21"/>
  <c r="CD270" i="21"/>
  <c r="CE270" i="21" s="1"/>
  <c r="AS275" i="21"/>
  <c r="EA275" i="21"/>
  <c r="L277" i="21"/>
  <c r="AL277" i="21"/>
  <c r="EE277" i="21"/>
  <c r="FX280" i="21"/>
  <c r="GA280" i="21" s="1"/>
  <c r="CS280" i="21" s="1"/>
  <c r="EE285" i="21"/>
  <c r="DY292" i="21"/>
  <c r="DI300" i="21"/>
  <c r="M300" i="21"/>
  <c r="BF300" i="21" s="1"/>
  <c r="CO300" i="21" s="1"/>
  <c r="AX300" i="21"/>
  <c r="CM300" i="21" s="1"/>
  <c r="BA301" i="21"/>
  <c r="BB301" i="21" s="1"/>
  <c r="Q310" i="21"/>
  <c r="EE310" i="21"/>
  <c r="BZ314" i="21"/>
  <c r="CB314" i="21" s="1"/>
  <c r="BR314" i="21"/>
  <c r="DZ314" i="21" s="1"/>
  <c r="EB314" i="21" s="1"/>
  <c r="DL262" i="21"/>
  <c r="GA262" i="21"/>
  <c r="CS262" i="21" s="1"/>
  <c r="AN263" i="21"/>
  <c r="CF263" i="21"/>
  <c r="CH263" i="21" s="1"/>
  <c r="AZ269" i="21"/>
  <c r="I277" i="21"/>
  <c r="AX278" i="21"/>
  <c r="CM278" i="21" s="1"/>
  <c r="AX288" i="21"/>
  <c r="CM288" i="21" s="1"/>
  <c r="AS288" i="21"/>
  <c r="X301" i="21"/>
  <c r="DL313" i="21"/>
  <c r="GA313" i="21"/>
  <c r="CS313" i="21" s="1"/>
  <c r="AL313" i="21"/>
  <c r="AK313" i="21"/>
  <c r="FG317" i="21"/>
  <c r="DA317" i="21"/>
  <c r="DI324" i="21"/>
  <c r="M324" i="21"/>
  <c r="AX324" i="21"/>
  <c r="Q352" i="21"/>
  <c r="EH260" i="21"/>
  <c r="EE261" i="21"/>
  <c r="I262" i="21"/>
  <c r="CC264" i="21"/>
  <c r="CE264" i="21" s="1"/>
  <c r="AN269" i="21"/>
  <c r="AN270" i="21"/>
  <c r="CF270" i="21"/>
  <c r="CH270" i="21" s="1"/>
  <c r="I276" i="21"/>
  <c r="M284" i="21"/>
  <c r="DI284" i="21"/>
  <c r="FZ286" i="21"/>
  <c r="FY286" i="21" s="1"/>
  <c r="GA286" i="21" s="1"/>
  <c r="CS286" i="21" s="1"/>
  <c r="AX287" i="21"/>
  <c r="CM287" i="21" s="1"/>
  <c r="I313" i="21"/>
  <c r="CH313" i="21"/>
  <c r="BB317" i="21"/>
  <c r="EE334" i="21"/>
  <c r="Q334" i="21"/>
  <c r="FY334" i="21" s="1"/>
  <c r="FY360" i="21"/>
  <c r="GA360" i="21" s="1"/>
  <c r="CS360" i="21" s="1"/>
  <c r="AL360" i="21"/>
  <c r="CA360" i="21"/>
  <c r="BZ360" i="21"/>
  <c r="CB360" i="21" s="1"/>
  <c r="BR360" i="21"/>
  <c r="DZ360" i="21" s="1"/>
  <c r="EB360" i="21" s="1"/>
  <c r="AM262" i="21"/>
  <c r="EE269" i="21"/>
  <c r="FX278" i="21"/>
  <c r="GA278" i="21" s="1"/>
  <c r="CS278" i="21" s="1"/>
  <c r="U278" i="21"/>
  <c r="BB278" i="21"/>
  <c r="DL281" i="21"/>
  <c r="BR285" i="21"/>
  <c r="DZ285" i="21" s="1"/>
  <c r="EB285" i="21" s="1"/>
  <c r="EG285" i="21" s="1"/>
  <c r="CA285" i="21"/>
  <c r="BZ285" i="21"/>
  <c r="CB285" i="21" s="1"/>
  <c r="CO286" i="21"/>
  <c r="CM286" i="21"/>
  <c r="BE298" i="21"/>
  <c r="CM301" i="21"/>
  <c r="AN334" i="21"/>
  <c r="U334" i="21"/>
  <c r="T334" i="21"/>
  <c r="FY265" i="21"/>
  <c r="CC265" i="21"/>
  <c r="AX270" i="21"/>
  <c r="CM270" i="21" s="1"/>
  <c r="CE271" i="21"/>
  <c r="BE280" i="21"/>
  <c r="AN284" i="21"/>
  <c r="AL293" i="21"/>
  <c r="AK293" i="21"/>
  <c r="DL293" i="21"/>
  <c r="DL317" i="21"/>
  <c r="M350" i="21"/>
  <c r="AX350" i="21"/>
  <c r="CM350" i="21" s="1"/>
  <c r="EA263" i="21"/>
  <c r="FZ263" i="21"/>
  <c r="CH264" i="21"/>
  <c r="EA270" i="21"/>
  <c r="FZ270" i="21"/>
  <c r="ET282" i="21"/>
  <c r="EU282" i="21" s="1"/>
  <c r="EV282" i="21" s="1"/>
  <c r="L283" i="21"/>
  <c r="Q284" i="21"/>
  <c r="DL287" i="21"/>
  <c r="AK287" i="21"/>
  <c r="BB287" i="21"/>
  <c r="I293" i="21"/>
  <c r="BA296" i="21"/>
  <c r="BA303" i="21"/>
  <c r="BB303" i="21" s="1"/>
  <c r="CE305" i="21"/>
  <c r="L313" i="21"/>
  <c r="AZ314" i="21"/>
  <c r="BH314" i="21"/>
  <c r="CH345" i="21"/>
  <c r="AS350" i="21"/>
  <c r="AM350" i="21"/>
  <c r="BE261" i="21"/>
  <c r="U261" i="21"/>
  <c r="EU278" i="21"/>
  <c r="EV278" i="21" s="1"/>
  <c r="CA280" i="21"/>
  <c r="BR280" i="21"/>
  <c r="DZ280" i="21" s="1"/>
  <c r="EB280" i="21" s="1"/>
  <c r="AX281" i="21"/>
  <c r="CM281" i="21" s="1"/>
  <c r="M281" i="21"/>
  <c r="BB281" i="21"/>
  <c r="AX283" i="21"/>
  <c r="CM283" i="21" s="1"/>
  <c r="M283" i="21"/>
  <c r="BF283" i="21" s="1"/>
  <c r="CO283" i="21" s="1"/>
  <c r="CC286" i="21"/>
  <c r="ET287" i="21"/>
  <c r="EU287" i="21" s="1"/>
  <c r="EV287" i="21" s="1"/>
  <c r="T313" i="21"/>
  <c r="FY313" i="21"/>
  <c r="AY314" i="21"/>
  <c r="CO315" i="21"/>
  <c r="CG317" i="21"/>
  <c r="BB333" i="21"/>
  <c r="BE260" i="21"/>
  <c r="EE276" i="21"/>
  <c r="Q276" i="21"/>
  <c r="FY276" i="21" s="1"/>
  <c r="GA276" i="21" s="1"/>
  <c r="CS276" i="21" s="1"/>
  <c r="T278" i="21"/>
  <c r="DL278" i="21"/>
  <c r="AM287" i="21"/>
  <c r="CF293" i="21"/>
  <c r="CH293" i="21" s="1"/>
  <c r="AN293" i="21"/>
  <c r="Y293" i="21"/>
  <c r="U293" i="21"/>
  <c r="AY293" i="21" s="1"/>
  <c r="AZ293" i="21" s="1"/>
  <c r="BE293" i="21"/>
  <c r="T293" i="21"/>
  <c r="Y296" i="21"/>
  <c r="BA298" i="21"/>
  <c r="BB298" i="21" s="1"/>
  <c r="AX302" i="21"/>
  <c r="CM302" i="21" s="1"/>
  <c r="M302" i="21"/>
  <c r="BF302" i="21" s="1"/>
  <c r="CO302" i="21" s="1"/>
  <c r="Y303" i="21"/>
  <c r="BA314" i="21"/>
  <c r="BB314" i="21" s="1"/>
  <c r="X333" i="21"/>
  <c r="FX334" i="21"/>
  <c r="T357" i="21"/>
  <c r="FX357" i="21"/>
  <c r="BE357" i="21"/>
  <c r="AL245" i="21"/>
  <c r="L249" i="21"/>
  <c r="AK249" i="21"/>
  <c r="U262" i="21"/>
  <c r="FX262" i="21"/>
  <c r="T262" i="21"/>
  <c r="EE263" i="21"/>
  <c r="L264" i="21"/>
  <c r="M270" i="21"/>
  <c r="BF270" i="21" s="1"/>
  <c r="CO270" i="21" s="1"/>
  <c r="GA271" i="21"/>
  <c r="CS271" i="21" s="1"/>
  <c r="BZ280" i="21"/>
  <c r="Y283" i="21"/>
  <c r="FZ283" i="21"/>
  <c r="EA283" i="21"/>
  <c r="DY283" i="21"/>
  <c r="FZ287" i="21"/>
  <c r="CD287" i="21"/>
  <c r="CE287" i="21" s="1"/>
  <c r="AN287" i="21"/>
  <c r="Y287" i="21"/>
  <c r="CH288" i="21"/>
  <c r="FZ292" i="21"/>
  <c r="L293" i="21"/>
  <c r="DL296" i="21"/>
  <c r="X298" i="21"/>
  <c r="M304" i="21"/>
  <c r="BF304" i="21" s="1"/>
  <c r="CO304" i="21" s="1"/>
  <c r="DI304" i="21"/>
  <c r="AX304" i="21"/>
  <c r="CM304" i="21" s="1"/>
  <c r="FX308" i="21"/>
  <c r="GA308" i="21" s="1"/>
  <c r="CS308" i="21" s="1"/>
  <c r="BE308" i="21"/>
  <c r="BF308" i="21" s="1"/>
  <c r="CO308" i="21" s="1"/>
  <c r="AN308" i="21"/>
  <c r="EE309" i="21"/>
  <c r="X314" i="21"/>
  <c r="EA315" i="21"/>
  <c r="EB315" i="21" s="1"/>
  <c r="FZ315" i="21"/>
  <c r="FY315" i="21" s="1"/>
  <c r="GA315" i="21" s="1"/>
  <c r="CS315" i="21" s="1"/>
  <c r="CD315" i="21"/>
  <c r="Q330" i="21"/>
  <c r="EE330" i="21"/>
  <c r="AL286" i="21"/>
  <c r="AK291" i="21"/>
  <c r="EE294" i="21"/>
  <c r="DL297" i="21"/>
  <c r="AK297" i="21"/>
  <c r="DL301" i="21"/>
  <c r="AK301" i="21"/>
  <c r="AN302" i="21"/>
  <c r="FZ302" i="21"/>
  <c r="FY302" i="21" s="1"/>
  <c r="GA302" i="21" s="1"/>
  <c r="CS302" i="21" s="1"/>
  <c r="BA305" i="21"/>
  <c r="CF310" i="21"/>
  <c r="CH310" i="21" s="1"/>
  <c r="AN310" i="21"/>
  <c r="CD310" i="21"/>
  <c r="FY314" i="21"/>
  <c r="GA314" i="21" s="1"/>
  <c r="CS314" i="21" s="1"/>
  <c r="FZ321" i="21"/>
  <c r="EG326" i="21"/>
  <c r="AM331" i="21"/>
  <c r="AS331" i="21"/>
  <c r="CE332" i="21"/>
  <c r="AS340" i="21"/>
  <c r="AM340" i="21"/>
  <c r="AY343" i="21"/>
  <c r="BH343" i="21" s="1"/>
  <c r="BI349" i="21"/>
  <c r="DT349" i="21"/>
  <c r="Q350" i="21"/>
  <c r="T350" i="21" s="1"/>
  <c r="AY350" i="21" s="1"/>
  <c r="EE350" i="21"/>
  <c r="FX283" i="21"/>
  <c r="AK284" i="21"/>
  <c r="DL284" i="21"/>
  <c r="AM286" i="21"/>
  <c r="BE294" i="21"/>
  <c r="M297" i="21"/>
  <c r="BF297" i="21" s="1"/>
  <c r="CO297" i="21" s="1"/>
  <c r="DI297" i="21"/>
  <c r="EE297" i="21"/>
  <c r="DL300" i="21"/>
  <c r="AK300" i="21"/>
  <c r="AS307" i="21"/>
  <c r="EA312" i="21"/>
  <c r="EE325" i="21"/>
  <c r="AS325" i="21"/>
  <c r="AM325" i="21"/>
  <c r="DL325" i="21"/>
  <c r="CD331" i="21"/>
  <c r="AN331" i="21"/>
  <c r="FZ331" i="21"/>
  <c r="DY331" i="21"/>
  <c r="CF331" i="21"/>
  <c r="CH331" i="21" s="1"/>
  <c r="Y331" i="21"/>
  <c r="Q331" i="21"/>
  <c r="EA331" i="21"/>
  <c r="FZ340" i="21"/>
  <c r="EA340" i="21"/>
  <c r="DY340" i="21"/>
  <c r="AN340" i="21"/>
  <c r="CD340" i="21"/>
  <c r="CE340" i="21" s="1"/>
  <c r="Y340" i="21"/>
  <c r="U340" i="21"/>
  <c r="AY340" i="21" s="1"/>
  <c r="T340" i="21"/>
  <c r="AZ340" i="21" s="1"/>
  <c r="BE340" i="21"/>
  <c r="AS342" i="21"/>
  <c r="DI345" i="21"/>
  <c r="AX345" i="21"/>
  <c r="CM345" i="21" s="1"/>
  <c r="CB351" i="21"/>
  <c r="CI351" i="21" s="1"/>
  <c r="FX281" i="21"/>
  <c r="AK282" i="21"/>
  <c r="DL282" i="21"/>
  <c r="AM284" i="21"/>
  <c r="AN288" i="21"/>
  <c r="EE295" i="21"/>
  <c r="AZ300" i="21"/>
  <c r="EE302" i="21"/>
  <c r="AL303" i="21"/>
  <c r="AM304" i="21"/>
  <c r="Q306" i="21"/>
  <c r="FY306" i="21" s="1"/>
  <c r="GA306" i="21" s="1"/>
  <c r="CS306" i="21" s="1"/>
  <c r="EE306" i="21"/>
  <c r="CA315" i="21"/>
  <c r="FZ317" i="21"/>
  <c r="AK322" i="21"/>
  <c r="DL322" i="21"/>
  <c r="AY326" i="21"/>
  <c r="AZ326" i="21" s="1"/>
  <c r="AM280" i="21"/>
  <c r="AL282" i="21"/>
  <c r="L288" i="21"/>
  <c r="CD292" i="21"/>
  <c r="CE292" i="21" s="1"/>
  <c r="L297" i="21"/>
  <c r="L301" i="21"/>
  <c r="AS302" i="21"/>
  <c r="I303" i="21"/>
  <c r="DL312" i="21"/>
  <c r="L312" i="21"/>
  <c r="AX322" i="21"/>
  <c r="CM322" i="21" s="1"/>
  <c r="M322" i="21"/>
  <c r="BF322" i="21" s="1"/>
  <c r="CO322" i="21" s="1"/>
  <c r="DI322" i="21"/>
  <c r="CM324" i="21"/>
  <c r="BA326" i="21"/>
  <c r="EE331" i="21"/>
  <c r="BF345" i="21"/>
  <c r="CU347" i="21"/>
  <c r="FG347" i="21"/>
  <c r="AM282" i="21"/>
  <c r="AM303" i="21"/>
  <c r="FY305" i="21"/>
  <c r="GA305" i="21" s="1"/>
  <c r="CS305" i="21" s="1"/>
  <c r="CE310" i="21"/>
  <c r="DI312" i="21"/>
  <c r="M312" i="21"/>
  <c r="AX312" i="21"/>
  <c r="CM312" i="21" s="1"/>
  <c r="AM322" i="21"/>
  <c r="AS322" i="21"/>
  <c r="X326" i="21"/>
  <c r="FX331" i="21"/>
  <c r="U331" i="21"/>
  <c r="BE331" i="21"/>
  <c r="BH333" i="21"/>
  <c r="DT350" i="21"/>
  <c r="BI350" i="21"/>
  <c r="CM376" i="21"/>
  <c r="FX288" i="21"/>
  <c r="EK305" i="21"/>
  <c r="L307" i="21"/>
  <c r="I307" i="21"/>
  <c r="EG315" i="21"/>
  <c r="I318" i="21"/>
  <c r="AM318" i="21"/>
  <c r="AK318" i="21"/>
  <c r="EE318" i="21"/>
  <c r="CF322" i="21"/>
  <c r="CH322" i="21" s="1"/>
  <c r="AN322" i="21"/>
  <c r="CD322" i="21"/>
  <c r="CE322" i="21" s="1"/>
  <c r="Y322" i="21"/>
  <c r="I291" i="21"/>
  <c r="L303" i="21"/>
  <c r="AN312" i="21"/>
  <c r="FZ312" i="21"/>
  <c r="Y312" i="21"/>
  <c r="U312" i="21"/>
  <c r="BE312" i="21"/>
  <c r="CF312" i="21"/>
  <c r="CH312" i="21" s="1"/>
  <c r="CH315" i="21"/>
  <c r="L322" i="21"/>
  <c r="Y324" i="21"/>
  <c r="CS326" i="21"/>
  <c r="FZ288" i="21"/>
  <c r="EE312" i="21"/>
  <c r="Q312" i="21"/>
  <c r="Q318" i="21"/>
  <c r="CF318" i="21"/>
  <c r="CH318" i="21" s="1"/>
  <c r="Y318" i="21"/>
  <c r="AX321" i="21"/>
  <c r="CM321" i="21" s="1"/>
  <c r="DI321" i="21"/>
  <c r="EE322" i="21"/>
  <c r="CS324" i="21"/>
  <c r="EE336" i="21"/>
  <c r="Q336" i="21"/>
  <c r="DI365" i="21"/>
  <c r="M365" i="21"/>
  <c r="AX365" i="21"/>
  <c r="CM365" i="21" s="1"/>
  <c r="EE374" i="21"/>
  <c r="Q374" i="21"/>
  <c r="T281" i="21"/>
  <c r="BE281" i="21"/>
  <c r="Q288" i="21"/>
  <c r="T290" i="21"/>
  <c r="Y291" i="21"/>
  <c r="DY296" i="21"/>
  <c r="Q298" i="21"/>
  <c r="FY298" i="21" s="1"/>
  <c r="GA298" i="21" s="1"/>
  <c r="CS298" i="21" s="1"/>
  <c r="Q301" i="21"/>
  <c r="T301" i="21" s="1"/>
  <c r="FX304" i="21"/>
  <c r="GA304" i="21" s="1"/>
  <c r="CS304" i="21" s="1"/>
  <c r="FZ309" i="21"/>
  <c r="FY309" i="21" s="1"/>
  <c r="GA309" i="21" s="1"/>
  <c r="CS309" i="21" s="1"/>
  <c r="CF309" i="21"/>
  <c r="CH309" i="21" s="1"/>
  <c r="AN309" i="21"/>
  <c r="CD309" i="21"/>
  <c r="T315" i="21"/>
  <c r="L318" i="21"/>
  <c r="L319" i="21"/>
  <c r="I319" i="21"/>
  <c r="AK319" i="21"/>
  <c r="DL319" i="21"/>
  <c r="AM321" i="21"/>
  <c r="BE322" i="21"/>
  <c r="U322" i="21"/>
  <c r="FX322" i="21"/>
  <c r="CM325" i="21"/>
  <c r="FX336" i="21"/>
  <c r="BE336" i="21"/>
  <c r="DI342" i="21"/>
  <c r="AX342" i="21"/>
  <c r="CM342" i="21" s="1"/>
  <c r="M342" i="21"/>
  <c r="AS365" i="21"/>
  <c r="AM365" i="21"/>
  <c r="FX374" i="21"/>
  <c r="BE374" i="21"/>
  <c r="U374" i="21"/>
  <c r="U290" i="21"/>
  <c r="L291" i="21"/>
  <c r="DL292" i="21"/>
  <c r="EA292" i="21"/>
  <c r="T297" i="21"/>
  <c r="BE297" i="21"/>
  <c r="BR300" i="21"/>
  <c r="DZ300" i="21" s="1"/>
  <c r="EB300" i="21" s="1"/>
  <c r="EH300" i="21" s="1"/>
  <c r="CA300" i="21"/>
  <c r="CB300" i="21" s="1"/>
  <c r="CI300" i="21" s="1"/>
  <c r="CK300" i="21" s="1"/>
  <c r="CP300" i="21" s="1"/>
  <c r="FY300" i="21"/>
  <c r="GA300" i="21" s="1"/>
  <c r="CS300" i="21" s="1"/>
  <c r="BE303" i="21"/>
  <c r="FY304" i="21"/>
  <c r="Y306" i="21"/>
  <c r="Q307" i="21"/>
  <c r="EE307" i="21"/>
  <c r="L309" i="21"/>
  <c r="AX314" i="21"/>
  <c r="CM314" i="21" s="1"/>
  <c r="M314" i="21"/>
  <c r="CF321" i="21"/>
  <c r="CH321" i="21" s="1"/>
  <c r="AN321" i="21"/>
  <c r="CD321" i="21"/>
  <c r="Y321" i="21"/>
  <c r="U321" i="21"/>
  <c r="Q321" i="21"/>
  <c r="FY321" i="21" s="1"/>
  <c r="GA321" i="21" s="1"/>
  <c r="CS321" i="21" s="1"/>
  <c r="DY322" i="21"/>
  <c r="BR333" i="21"/>
  <c r="DZ333" i="21" s="1"/>
  <c r="CA333" i="21"/>
  <c r="AL333" i="21"/>
  <c r="BZ333" i="21"/>
  <c r="DY338" i="21"/>
  <c r="DL338" i="21"/>
  <c r="AN338" i="21"/>
  <c r="AM338" i="21"/>
  <c r="EK338" i="21"/>
  <c r="EE338" i="21"/>
  <c r="Y338" i="21"/>
  <c r="CA341" i="21"/>
  <c r="CB341" i="21" s="1"/>
  <c r="BR341" i="21"/>
  <c r="DZ341" i="21" s="1"/>
  <c r="AM342" i="21"/>
  <c r="EE342" i="21"/>
  <c r="Y365" i="21"/>
  <c r="BE365" i="21"/>
  <c r="AN365" i="21"/>
  <c r="EK365" i="21"/>
  <c r="U365" i="21"/>
  <c r="EA365" i="21"/>
  <c r="L365" i="21"/>
  <c r="FZ365" i="21"/>
  <c r="EH282" i="21"/>
  <c r="Y282" i="21"/>
  <c r="I292" i="21"/>
  <c r="CD294" i="21"/>
  <c r="CE294" i="21" s="1"/>
  <c r="FZ294" i="21"/>
  <c r="BH300" i="21"/>
  <c r="BZ304" i="21"/>
  <c r="CB304" i="21" s="1"/>
  <c r="CI304" i="21" s="1"/>
  <c r="CM306" i="21"/>
  <c r="Y310" i="21"/>
  <c r="X315" i="21"/>
  <c r="EL315" i="21" s="1"/>
  <c r="EK315" i="21" s="1"/>
  <c r="ET315" i="21" s="1"/>
  <c r="U318" i="21"/>
  <c r="L321" i="21"/>
  <c r="Q322" i="21"/>
  <c r="T322" i="21" s="1"/>
  <c r="FY325" i="21"/>
  <c r="GA325" i="21" s="1"/>
  <c r="CS325" i="21" s="1"/>
  <c r="AK332" i="21"/>
  <c r="DL332" i="21"/>
  <c r="L338" i="21"/>
  <c r="EA342" i="21"/>
  <c r="FZ342" i="21"/>
  <c r="AN342" i="21"/>
  <c r="CF342" i="21"/>
  <c r="CH342" i="21" s="1"/>
  <c r="CD342" i="21"/>
  <c r="Y342" i="21"/>
  <c r="U342" i="21"/>
  <c r="EK342" i="21"/>
  <c r="CF357" i="21"/>
  <c r="CH357" i="21" s="1"/>
  <c r="AN357" i="21"/>
  <c r="Y357" i="21"/>
  <c r="AL308" i="21"/>
  <c r="AM313" i="21"/>
  <c r="AM315" i="21"/>
  <c r="CF317" i="21"/>
  <c r="Y317" i="21"/>
  <c r="BA319" i="21"/>
  <c r="I320" i="21"/>
  <c r="BB320" i="21" s="1"/>
  <c r="AN323" i="21"/>
  <c r="DI323" i="21"/>
  <c r="DL329" i="21"/>
  <c r="AM332" i="21"/>
  <c r="BZ337" i="21"/>
  <c r="CB337" i="21" s="1"/>
  <c r="CI337" i="21" s="1"/>
  <c r="BR337" i="21"/>
  <c r="DZ337" i="21" s="1"/>
  <c r="EB337" i="21" s="1"/>
  <c r="FX338" i="21"/>
  <c r="GA338" i="21" s="1"/>
  <c r="CS338" i="21" s="1"/>
  <c r="BE338" i="21"/>
  <c r="U338" i="21"/>
  <c r="T338" i="21"/>
  <c r="AX367" i="21"/>
  <c r="CM367" i="21" s="1"/>
  <c r="DI367" i="21"/>
  <c r="BA382" i="21"/>
  <c r="Q296" i="21"/>
  <c r="EA309" i="21"/>
  <c r="EE311" i="21"/>
  <c r="AN313" i="21"/>
  <c r="EE313" i="21"/>
  <c r="AN315" i="21"/>
  <c r="L317" i="21"/>
  <c r="Y319" i="21"/>
  <c r="CF319" i="21"/>
  <c r="CH319" i="21" s="1"/>
  <c r="AN319" i="21"/>
  <c r="AS320" i="21"/>
  <c r="AM320" i="21"/>
  <c r="BH320" i="21"/>
  <c r="BE321" i="21"/>
  <c r="BF321" i="21" s="1"/>
  <c r="CO321" i="21" s="1"/>
  <c r="AN332" i="21"/>
  <c r="EA332" i="21"/>
  <c r="FZ332" i="21"/>
  <c r="FY332" i="21" s="1"/>
  <c r="CF332" i="21"/>
  <c r="CH332" i="21" s="1"/>
  <c r="BI332" i="21"/>
  <c r="Y343" i="21"/>
  <c r="AM367" i="21"/>
  <c r="DL367" i="21"/>
  <c r="AS367" i="21"/>
  <c r="X382" i="21"/>
  <c r="BA312" i="21"/>
  <c r="BB312" i="21" s="1"/>
  <c r="AS314" i="21"/>
  <c r="BE319" i="21"/>
  <c r="FX319" i="21"/>
  <c r="GA319" i="21" s="1"/>
  <c r="CS319" i="21" s="1"/>
  <c r="BB325" i="21"/>
  <c r="AY337" i="21"/>
  <c r="AZ337" i="21" s="1"/>
  <c r="X339" i="21"/>
  <c r="EL339" i="21" s="1"/>
  <c r="EK339" i="21" s="1"/>
  <c r="BA339" i="21"/>
  <c r="BB339" i="21" s="1"/>
  <c r="DY342" i="21"/>
  <c r="EE344" i="21"/>
  <c r="DT363" i="21"/>
  <c r="BI363" i="21"/>
  <c r="M367" i="21"/>
  <c r="EE315" i="21"/>
  <c r="BE317" i="21"/>
  <c r="BF317" i="21" s="1"/>
  <c r="CO317" i="21" s="1"/>
  <c r="Q332" i="21"/>
  <c r="AL332" i="21" s="1"/>
  <c r="X337" i="21"/>
  <c r="BA337" i="21"/>
  <c r="T344" i="21"/>
  <c r="BE344" i="21"/>
  <c r="L346" i="21"/>
  <c r="AK346" i="21"/>
  <c r="I346" i="21"/>
  <c r="DT366" i="21"/>
  <c r="BI366" i="21"/>
  <c r="L314" i="21"/>
  <c r="EE320" i="21"/>
  <c r="DL323" i="21"/>
  <c r="Y325" i="21"/>
  <c r="BA327" i="21"/>
  <c r="BB327" i="21" s="1"/>
  <c r="FX332" i="21"/>
  <c r="GA332" i="21" s="1"/>
  <c r="CS332" i="21" s="1"/>
  <c r="U332" i="21"/>
  <c r="EA337" i="21"/>
  <c r="EG344" i="21"/>
  <c r="DL348" i="21"/>
  <c r="L348" i="21"/>
  <c r="AL348" i="21"/>
  <c r="EE348" i="21"/>
  <c r="AK348" i="21"/>
  <c r="AN348" i="21"/>
  <c r="CH348" i="21"/>
  <c r="CA349" i="21"/>
  <c r="BZ349" i="21"/>
  <c r="FY349" i="21"/>
  <c r="BR349" i="21"/>
  <c r="DZ349" i="21" s="1"/>
  <c r="EB349" i="21" s="1"/>
  <c r="EG349" i="21" s="1"/>
  <c r="I354" i="21"/>
  <c r="AK354" i="21"/>
  <c r="DL354" i="21"/>
  <c r="L354" i="21"/>
  <c r="FY368" i="21"/>
  <c r="GA368" i="21" s="1"/>
  <c r="CS368" i="21" s="1"/>
  <c r="BZ368" i="21"/>
  <c r="BR368" i="21"/>
  <c r="DZ368" i="21" s="1"/>
  <c r="CA368" i="21"/>
  <c r="AL368" i="21"/>
  <c r="T368" i="21"/>
  <c r="AL381" i="21"/>
  <c r="FY381" i="21"/>
  <c r="GA381" i="21" s="1"/>
  <c r="CS381" i="21" s="1"/>
  <c r="CA381" i="21"/>
  <c r="BZ381" i="21"/>
  <c r="BR381" i="21"/>
  <c r="DZ381" i="21" s="1"/>
  <c r="EB381" i="21" s="1"/>
  <c r="CC382" i="21"/>
  <c r="Q317" i="21"/>
  <c r="EU317" i="21"/>
  <c r="EV317" i="21" s="1"/>
  <c r="FZ318" i="21"/>
  <c r="EA318" i="21"/>
  <c r="BE320" i="21"/>
  <c r="U320" i="21"/>
  <c r="AY320" i="21" s="1"/>
  <c r="T320" i="21"/>
  <c r="FX320" i="21"/>
  <c r="CA344" i="21"/>
  <c r="BZ344" i="21"/>
  <c r="CB344" i="21" s="1"/>
  <c r="CI344" i="21" s="1"/>
  <c r="CK344" i="21" s="1"/>
  <c r="CP344" i="21" s="1"/>
  <c r="AL344" i="21"/>
  <c r="CD346" i="21"/>
  <c r="CE346" i="21" s="1"/>
  <c r="AN346" i="21"/>
  <c r="EA346" i="21"/>
  <c r="CF346" i="21"/>
  <c r="CH346" i="21" s="1"/>
  <c r="FZ346" i="21"/>
  <c r="U346" i="21"/>
  <c r="Q346" i="21"/>
  <c r="AL346" i="21" s="1"/>
  <c r="AX348" i="21"/>
  <c r="CM348" i="21" s="1"/>
  <c r="DI348" i="21"/>
  <c r="AS354" i="21"/>
  <c r="AM354" i="21"/>
  <c r="EE355" i="21"/>
  <c r="CG362" i="21"/>
  <c r="CH362" i="21" s="1"/>
  <c r="Y315" i="21"/>
  <c r="DY320" i="21"/>
  <c r="EH328" i="21"/>
  <c r="GA333" i="21"/>
  <c r="CS333" i="21" s="1"/>
  <c r="CO334" i="21"/>
  <c r="AM348" i="21"/>
  <c r="BH348" i="21"/>
  <c r="AS348" i="21"/>
  <c r="Y354" i="21"/>
  <c r="CF354" i="21"/>
  <c r="CH354" i="21" s="1"/>
  <c r="AN354" i="21"/>
  <c r="CD354" i="21"/>
  <c r="CE354" i="21" s="1"/>
  <c r="EA354" i="21"/>
  <c r="FZ354" i="21"/>
  <c r="FZ355" i="21"/>
  <c r="FY355" i="21" s="1"/>
  <c r="GA355" i="21" s="1"/>
  <c r="CS355" i="21" s="1"/>
  <c r="CD355" i="21"/>
  <c r="CE355" i="21" s="1"/>
  <c r="AN355" i="21"/>
  <c r="CF355" i="21"/>
  <c r="CH355" i="21" s="1"/>
  <c r="Y355" i="21"/>
  <c r="U355" i="21"/>
  <c r="L355" i="21"/>
  <c r="AX355" i="21"/>
  <c r="CM355" i="21" s="1"/>
  <c r="AM355" i="21"/>
  <c r="AM361" i="21"/>
  <c r="AS361" i="21"/>
  <c r="ET398" i="21"/>
  <c r="EU398" i="21" s="1"/>
  <c r="EV398" i="21" s="1"/>
  <c r="CF323" i="21"/>
  <c r="CH323" i="21" s="1"/>
  <c r="Y323" i="21"/>
  <c r="BE323" i="21"/>
  <c r="BF323" i="21" s="1"/>
  <c r="CO323" i="21" s="1"/>
  <c r="U323" i="21"/>
  <c r="T323" i="21"/>
  <c r="AX323" i="21"/>
  <c r="CM323" i="21" s="1"/>
  <c r="EA323" i="21"/>
  <c r="EA325" i="21"/>
  <c r="FZ325" i="21"/>
  <c r="CM327" i="21"/>
  <c r="AZ333" i="21"/>
  <c r="AS333" i="21"/>
  <c r="AM333" i="21"/>
  <c r="EA334" i="21"/>
  <c r="FZ334" i="21"/>
  <c r="CD334" i="21"/>
  <c r="CE334" i="21" s="1"/>
  <c r="AK336" i="21"/>
  <c r="AM336" i="21"/>
  <c r="AL336" i="21"/>
  <c r="CD338" i="21"/>
  <c r="EA338" i="21"/>
  <c r="EE354" i="21"/>
  <c r="Q354" i="21"/>
  <c r="AL354" i="21" s="1"/>
  <c r="CA355" i="21"/>
  <c r="BZ355" i="21"/>
  <c r="CB355" i="21" s="1"/>
  <c r="BR355" i="21"/>
  <c r="DZ355" i="21" s="1"/>
  <c r="EB355" i="21" s="1"/>
  <c r="EH355" i="21" s="1"/>
  <c r="AN361" i="21"/>
  <c r="CF361" i="21"/>
  <c r="CH361" i="21" s="1"/>
  <c r="Y361" i="21"/>
  <c r="U361" i="21"/>
  <c r="BE361" i="21"/>
  <c r="AL309" i="21"/>
  <c r="M315" i="21"/>
  <c r="BF315" i="21" s="1"/>
  <c r="AX315" i="21"/>
  <c r="CM315" i="21" s="1"/>
  <c r="BE316" i="21"/>
  <c r="L323" i="21"/>
  <c r="BB323" i="21"/>
  <c r="CM329" i="21"/>
  <c r="DL330" i="21"/>
  <c r="L330" i="21"/>
  <c r="EA333" i="21"/>
  <c r="AN333" i="21"/>
  <c r="FZ333" i="21"/>
  <c r="CF333" i="21"/>
  <c r="CH333" i="21" s="1"/>
  <c r="CD333" i="21"/>
  <c r="CE333" i="21" s="1"/>
  <c r="I336" i="21"/>
  <c r="BA344" i="21"/>
  <c r="BB344" i="21" s="1"/>
  <c r="X344" i="21"/>
  <c r="BB345" i="21"/>
  <c r="AY349" i="21"/>
  <c r="FY353" i="21"/>
  <c r="GA353" i="21" s="1"/>
  <c r="CS353" i="21" s="1"/>
  <c r="EK355" i="21"/>
  <c r="L361" i="21"/>
  <c r="EH362" i="21"/>
  <c r="I309" i="21"/>
  <c r="AY313" i="21"/>
  <c r="Q316" i="21"/>
  <c r="DI328" i="21"/>
  <c r="M328" i="21"/>
  <c r="BF328" i="21" s="1"/>
  <c r="CO328" i="21" s="1"/>
  <c r="AX328" i="21"/>
  <c r="CM328" i="21" s="1"/>
  <c r="EG328" i="21"/>
  <c r="I330" i="21"/>
  <c r="L333" i="21"/>
  <c r="T341" i="21"/>
  <c r="FX341" i="21"/>
  <c r="BE341" i="21"/>
  <c r="EA302" i="21"/>
  <c r="BE315" i="21"/>
  <c r="FX317" i="21"/>
  <c r="BZ326" i="21"/>
  <c r="CB326" i="21" s="1"/>
  <c r="CI326" i="21" s="1"/>
  <c r="BR326" i="21"/>
  <c r="DZ326" i="21" s="1"/>
  <c r="EB326" i="21" s="1"/>
  <c r="EH326" i="21" s="1"/>
  <c r="FY327" i="21"/>
  <c r="FY351" i="21"/>
  <c r="AL351" i="21"/>
  <c r="T351" i="21"/>
  <c r="CU358" i="21"/>
  <c r="FG358" i="21"/>
  <c r="CA370" i="21"/>
  <c r="FY370" i="21"/>
  <c r="BZ370" i="21"/>
  <c r="CB370" i="21" s="1"/>
  <c r="CI370" i="21" s="1"/>
  <c r="BR370" i="21"/>
  <c r="DZ370" i="21" s="1"/>
  <c r="EB370" i="21" s="1"/>
  <c r="EG370" i="21" s="1"/>
  <c r="AL370" i="21"/>
  <c r="AL396" i="21"/>
  <c r="FY396" i="21"/>
  <c r="GA396" i="21" s="1"/>
  <c r="CS396" i="21" s="1"/>
  <c r="T396" i="21"/>
  <c r="BZ396" i="21"/>
  <c r="BR396" i="21"/>
  <c r="DZ396" i="21" s="1"/>
  <c r="CA396" i="21"/>
  <c r="AN337" i="21"/>
  <c r="FY338" i="21"/>
  <c r="CC338" i="21"/>
  <c r="CE338" i="21" s="1"/>
  <c r="Q342" i="21"/>
  <c r="T342" i="21" s="1"/>
  <c r="BE342" i="21"/>
  <c r="BE349" i="21"/>
  <c r="AX353" i="21"/>
  <c r="CA359" i="21"/>
  <c r="BR359" i="21"/>
  <c r="DZ359" i="21" s="1"/>
  <c r="BZ359" i="21"/>
  <c r="ET359" i="21"/>
  <c r="EU359" i="21" s="1"/>
  <c r="EV359" i="21" s="1"/>
  <c r="EE365" i="21"/>
  <c r="Q365" i="21"/>
  <c r="T365" i="21" s="1"/>
  <c r="EA376" i="21"/>
  <c r="FZ376" i="21"/>
  <c r="CD376" i="21"/>
  <c r="CE376" i="21" s="1"/>
  <c r="BE376" i="21"/>
  <c r="EA414" i="21"/>
  <c r="CD414" i="21"/>
  <c r="FZ414" i="21"/>
  <c r="AL328" i="21"/>
  <c r="EE328" i="21"/>
  <c r="AX339" i="21"/>
  <c r="AS346" i="21"/>
  <c r="AM346" i="21"/>
  <c r="X352" i="21"/>
  <c r="BA390" i="21"/>
  <c r="X390" i="21"/>
  <c r="L326" i="21"/>
  <c r="AK326" i="21"/>
  <c r="AS327" i="21"/>
  <c r="CD329" i="21"/>
  <c r="CE329" i="21" s="1"/>
  <c r="AN329" i="21"/>
  <c r="CO332" i="21"/>
  <c r="FX354" i="21"/>
  <c r="T354" i="21"/>
  <c r="AY359" i="21"/>
  <c r="BH359" i="21" s="1"/>
  <c r="EE371" i="21"/>
  <c r="Q371" i="21"/>
  <c r="M372" i="21"/>
  <c r="BF372" i="21" s="1"/>
  <c r="CO372" i="21" s="1"/>
  <c r="AX372" i="21"/>
  <c r="CM372" i="21" s="1"/>
  <c r="DI372" i="21"/>
  <c r="BB372" i="21"/>
  <c r="I384" i="21"/>
  <c r="BB384" i="21" s="1"/>
  <c r="AN384" i="21"/>
  <c r="DL384" i="21"/>
  <c r="AK384" i="21"/>
  <c r="L384" i="21"/>
  <c r="EE385" i="21"/>
  <c r="L325" i="21"/>
  <c r="I326" i="21"/>
  <c r="EH327" i="21"/>
  <c r="CD328" i="21"/>
  <c r="CE328" i="21" s="1"/>
  <c r="AN328" i="21"/>
  <c r="L329" i="21"/>
  <c r="AX335" i="21"/>
  <c r="CM335" i="21" s="1"/>
  <c r="X336" i="21"/>
  <c r="EE346" i="21"/>
  <c r="DY354" i="21"/>
  <c r="U371" i="21"/>
  <c r="BE371" i="21"/>
  <c r="BF371" i="21" s="1"/>
  <c r="CO371" i="21" s="1"/>
  <c r="AM372" i="21"/>
  <c r="AS372" i="21"/>
  <c r="GA372" i="21"/>
  <c r="CS372" i="21" s="1"/>
  <c r="FX385" i="21"/>
  <c r="GA385" i="21" s="1"/>
  <c r="CS385" i="21" s="1"/>
  <c r="U385" i="21"/>
  <c r="AY385" i="21" s="1"/>
  <c r="T385" i="21"/>
  <c r="BE385" i="21"/>
  <c r="CC321" i="21"/>
  <c r="BB324" i="21"/>
  <c r="M325" i="21"/>
  <c r="BF325" i="21" s="1"/>
  <c r="CO325" i="21" s="1"/>
  <c r="L327" i="21"/>
  <c r="L328" i="21"/>
  <c r="AZ328" i="21"/>
  <c r="BE330" i="21"/>
  <c r="BH337" i="21"/>
  <c r="DL339" i="21"/>
  <c r="AK339" i="21"/>
  <c r="AN339" i="21"/>
  <c r="FX346" i="21"/>
  <c r="AM353" i="21"/>
  <c r="ET358" i="21"/>
  <c r="CM359" i="21"/>
  <c r="BA368" i="21"/>
  <c r="BB368" i="21" s="1"/>
  <c r="Q325" i="21"/>
  <c r="BE329" i="21"/>
  <c r="T329" i="21"/>
  <c r="FZ335" i="21"/>
  <c r="CF335" i="21"/>
  <c r="CH335" i="21" s="1"/>
  <c r="L335" i="21"/>
  <c r="CD335" i="21"/>
  <c r="CE335" i="21" s="1"/>
  <c r="I343" i="21"/>
  <c r="AL343" i="21"/>
  <c r="GA343" i="21"/>
  <c r="CS343" i="21" s="1"/>
  <c r="AK343" i="21"/>
  <c r="FG344" i="21"/>
  <c r="CU344" i="21"/>
  <c r="DY346" i="21"/>
  <c r="ET353" i="21"/>
  <c r="EU353" i="21" s="1"/>
  <c r="EV353" i="21" s="1"/>
  <c r="CH367" i="21"/>
  <c r="FY385" i="21"/>
  <c r="CA385" i="21"/>
  <c r="BZ385" i="21"/>
  <c r="CB385" i="21" s="1"/>
  <c r="BR385" i="21"/>
  <c r="DZ385" i="21" s="1"/>
  <c r="EB385" i="21" s="1"/>
  <c r="EG385" i="21" s="1"/>
  <c r="DI406" i="21"/>
  <c r="AX406" i="21"/>
  <c r="CM406" i="21" s="1"/>
  <c r="M406" i="21"/>
  <c r="EE339" i="21"/>
  <c r="AS343" i="21"/>
  <c r="AZ343" i="21"/>
  <c r="AM343" i="21"/>
  <c r="EA345" i="21"/>
  <c r="FZ345" i="21"/>
  <c r="U354" i="21"/>
  <c r="Q356" i="21"/>
  <c r="EE356" i="21"/>
  <c r="EA358" i="21"/>
  <c r="FZ358" i="21"/>
  <c r="AN358" i="21"/>
  <c r="CF358" i="21"/>
  <c r="CH358" i="21" s="1"/>
  <c r="CD358" i="21"/>
  <c r="CE358" i="21" s="1"/>
  <c r="Y358" i="21"/>
  <c r="M358" i="21"/>
  <c r="L358" i="21"/>
  <c r="FG364" i="21"/>
  <c r="CU364" i="21"/>
  <c r="Y368" i="21"/>
  <c r="Q329" i="21"/>
  <c r="U330" i="21"/>
  <c r="AS334" i="21"/>
  <c r="EE335" i="21"/>
  <c r="DI335" i="21"/>
  <c r="AM341" i="21"/>
  <c r="AS341" i="21"/>
  <c r="AN343" i="21"/>
  <c r="CD343" i="21"/>
  <c r="CE343" i="21" s="1"/>
  <c r="EA343" i="21"/>
  <c r="FZ343" i="21"/>
  <c r="CF343" i="21"/>
  <c r="CH343" i="21" s="1"/>
  <c r="CC345" i="21"/>
  <c r="CE345" i="21" s="1"/>
  <c r="FX349" i="21"/>
  <c r="GA349" i="21" s="1"/>
  <c r="CS349" i="21" s="1"/>
  <c r="DY353" i="21"/>
  <c r="CF353" i="21"/>
  <c r="CH353" i="21" s="1"/>
  <c r="AN353" i="21"/>
  <c r="CD353" i="21"/>
  <c r="CE353" i="21" s="1"/>
  <c r="Y353" i="21"/>
  <c r="FZ353" i="21"/>
  <c r="U353" i="21"/>
  <c r="Q353" i="21"/>
  <c r="T353" i="21" s="1"/>
  <c r="M353" i="21"/>
  <c r="BF353" i="21" s="1"/>
  <c r="CO353" i="21" s="1"/>
  <c r="U356" i="21"/>
  <c r="BE356" i="21"/>
  <c r="T356" i="21"/>
  <c r="FX356" i="21"/>
  <c r="BZ358" i="21"/>
  <c r="CB358" i="21" s="1"/>
  <c r="FY358" i="21"/>
  <c r="AL358" i="21"/>
  <c r="CA358" i="21"/>
  <c r="BR358" i="21"/>
  <c r="DZ358" i="21" s="1"/>
  <c r="AN379" i="21"/>
  <c r="EA379" i="21"/>
  <c r="CF379" i="21"/>
  <c r="CH379" i="21" s="1"/>
  <c r="CD379" i="21"/>
  <c r="CE379" i="21" s="1"/>
  <c r="FZ379" i="21"/>
  <c r="U379" i="21"/>
  <c r="M379" i="21"/>
  <c r="BF379" i="21" s="1"/>
  <c r="CO379" i="21" s="1"/>
  <c r="CE399" i="21"/>
  <c r="T324" i="21"/>
  <c r="AY324" i="21" s="1"/>
  <c r="DL335" i="21"/>
  <c r="AL338" i="21"/>
  <c r="AK338" i="21"/>
  <c r="DY341" i="21"/>
  <c r="FZ341" i="21"/>
  <c r="FY341" i="21" s="1"/>
  <c r="GA341" i="21" s="1"/>
  <c r="CS341" i="21" s="1"/>
  <c r="AN341" i="21"/>
  <c r="CF341" i="21"/>
  <c r="CH341" i="21" s="1"/>
  <c r="CD341" i="21"/>
  <c r="L343" i="21"/>
  <c r="L353" i="21"/>
  <c r="BE358" i="21"/>
  <c r="EE358" i="21"/>
  <c r="EE363" i="21"/>
  <c r="L379" i="21"/>
  <c r="BE325" i="21"/>
  <c r="CA328" i="21"/>
  <c r="CB328" i="21" s="1"/>
  <c r="FY328" i="21"/>
  <c r="GA328" i="21" s="1"/>
  <c r="CS328" i="21" s="1"/>
  <c r="U329" i="21"/>
  <c r="EE333" i="21"/>
  <c r="AX334" i="21"/>
  <c r="CM334" i="21" s="1"/>
  <c r="I338" i="21"/>
  <c r="M339" i="21"/>
  <c r="BB350" i="21"/>
  <c r="DI355" i="21"/>
  <c r="M355" i="21"/>
  <c r="BF355" i="21" s="1"/>
  <c r="CO355" i="21" s="1"/>
  <c r="I357" i="21"/>
  <c r="BB357" i="21" s="1"/>
  <c r="AM357" i="21"/>
  <c r="AL357" i="21"/>
  <c r="AK357" i="21"/>
  <c r="DL357" i="21"/>
  <c r="AK361" i="21"/>
  <c r="AL361" i="21"/>
  <c r="EE361" i="21"/>
  <c r="FX363" i="21"/>
  <c r="AN363" i="21"/>
  <c r="U363" i="21"/>
  <c r="AY363" i="21" s="1"/>
  <c r="BE363" i="21"/>
  <c r="AS374" i="21"/>
  <c r="AM374" i="21"/>
  <c r="DL321" i="21"/>
  <c r="BE327" i="21"/>
  <c r="BH328" i="21"/>
  <c r="I333" i="21"/>
  <c r="Q335" i="21"/>
  <c r="FX335" i="21"/>
  <c r="DY337" i="21"/>
  <c r="Q339" i="21"/>
  <c r="EE343" i="21"/>
  <c r="BB354" i="21"/>
  <c r="DL355" i="21"/>
  <c r="X356" i="21"/>
  <c r="EL356" i="21" s="1"/>
  <c r="EK356" i="21" s="1"/>
  <c r="BA356" i="21"/>
  <c r="BB356" i="21" s="1"/>
  <c r="I361" i="21"/>
  <c r="BB361" i="21" s="1"/>
  <c r="EA374" i="21"/>
  <c r="FZ374" i="21"/>
  <c r="AN374" i="21"/>
  <c r="CD374" i="21"/>
  <c r="CE374" i="21" s="1"/>
  <c r="Y374" i="21"/>
  <c r="EK374" i="21"/>
  <c r="CF374" i="21"/>
  <c r="CH374" i="21" s="1"/>
  <c r="BE382" i="21"/>
  <c r="CE331" i="21"/>
  <c r="DL342" i="21"/>
  <c r="AM344" i="21"/>
  <c r="Y345" i="21"/>
  <c r="AN347" i="21"/>
  <c r="BZ348" i="21"/>
  <c r="CB348" i="21" s="1"/>
  <c r="AN349" i="21"/>
  <c r="BB355" i="21"/>
  <c r="FX327" i="21"/>
  <c r="GA327" i="21" s="1"/>
  <c r="CS327" i="21" s="1"/>
  <c r="T327" i="21"/>
  <c r="Y330" i="21"/>
  <c r="AN344" i="21"/>
  <c r="L345" i="21"/>
  <c r="X346" i="21"/>
  <c r="EH349" i="21"/>
  <c r="AS358" i="21"/>
  <c r="AM358" i="21"/>
  <c r="DL358" i="21"/>
  <c r="X360" i="21"/>
  <c r="DT362" i="21"/>
  <c r="AY390" i="21"/>
  <c r="BH390" i="21" s="1"/>
  <c r="EA341" i="21"/>
  <c r="T355" i="21"/>
  <c r="EG362" i="21"/>
  <c r="X370" i="21"/>
  <c r="BA370" i="21"/>
  <c r="BB370" i="21" s="1"/>
  <c r="BZ375" i="21"/>
  <c r="FY375" i="21"/>
  <c r="BR375" i="21"/>
  <c r="DZ375" i="21" s="1"/>
  <c r="EB375" i="21" s="1"/>
  <c r="EG375" i="21" s="1"/>
  <c r="CA375" i="21"/>
  <c r="AL375" i="21"/>
  <c r="CC341" i="21"/>
  <c r="FY342" i="21"/>
  <c r="GA342" i="21" s="1"/>
  <c r="CS342" i="21" s="1"/>
  <c r="EL350" i="21"/>
  <c r="EK350" i="21" s="1"/>
  <c r="DY365" i="21"/>
  <c r="CC342" i="21"/>
  <c r="BE345" i="21"/>
  <c r="T375" i="21"/>
  <c r="U401" i="21"/>
  <c r="AY401" i="21" s="1"/>
  <c r="BH401" i="21" s="1"/>
  <c r="FX401" i="21"/>
  <c r="BE401" i="21"/>
  <c r="CM339" i="21"/>
  <c r="Q345" i="21"/>
  <c r="BB348" i="21"/>
  <c r="FX358" i="21"/>
  <c r="GA358" i="21" s="1"/>
  <c r="CS358" i="21" s="1"/>
  <c r="T358" i="21"/>
  <c r="L359" i="21"/>
  <c r="AN359" i="21"/>
  <c r="AL359" i="21"/>
  <c r="AK359" i="21"/>
  <c r="CE383" i="21"/>
  <c r="AL349" i="21"/>
  <c r="AK349" i="21"/>
  <c r="I349" i="21"/>
  <c r="BB349" i="21" s="1"/>
  <c r="DY358" i="21"/>
  <c r="DI364" i="21"/>
  <c r="M364" i="21"/>
  <c r="BF364" i="21" s="1"/>
  <c r="CO364" i="21" s="1"/>
  <c r="BA375" i="21"/>
  <c r="AL401" i="21"/>
  <c r="CA401" i="21"/>
  <c r="BZ401" i="21"/>
  <c r="BR401" i="21"/>
  <c r="DZ401" i="21" s="1"/>
  <c r="BF347" i="21"/>
  <c r="CO347" i="21" s="1"/>
  <c r="EB348" i="21"/>
  <c r="EG348" i="21" s="1"/>
  <c r="I356" i="21"/>
  <c r="AL356" i="21"/>
  <c r="AK356" i="21"/>
  <c r="DL356" i="21"/>
  <c r="AS359" i="21"/>
  <c r="AM359" i="21"/>
  <c r="BB365" i="21"/>
  <c r="X375" i="21"/>
  <c r="EE388" i="21"/>
  <c r="FX388" i="21"/>
  <c r="BE388" i="21"/>
  <c r="BF388" i="21" s="1"/>
  <c r="CO388" i="21" s="1"/>
  <c r="U388" i="21"/>
  <c r="Q388" i="21"/>
  <c r="T388" i="21" s="1"/>
  <c r="FZ418" i="21"/>
  <c r="EA418" i="21"/>
  <c r="CD418" i="21"/>
  <c r="FZ344" i="21"/>
  <c r="CF344" i="21"/>
  <c r="CH344" i="21" s="1"/>
  <c r="FX345" i="21"/>
  <c r="AS347" i="21"/>
  <c r="AS356" i="21"/>
  <c r="AM356" i="21"/>
  <c r="AX371" i="21"/>
  <c r="CM371" i="21" s="1"/>
  <c r="DI371" i="21"/>
  <c r="Y373" i="21"/>
  <c r="CF373" i="21"/>
  <c r="CH373" i="21" s="1"/>
  <c r="U373" i="21"/>
  <c r="Q373" i="21"/>
  <c r="T373" i="21" s="1"/>
  <c r="AN373" i="21"/>
  <c r="AM373" i="21"/>
  <c r="EA373" i="21"/>
  <c r="DL373" i="21"/>
  <c r="EA387" i="21"/>
  <c r="FZ387" i="21"/>
  <c r="CD387" i="21"/>
  <c r="CE387" i="21" s="1"/>
  <c r="BE387" i="21"/>
  <c r="BF387" i="21" s="1"/>
  <c r="CO387" i="21" s="1"/>
  <c r="AL341" i="21"/>
  <c r="L344" i="21"/>
  <c r="CO345" i="21"/>
  <c r="CF347" i="21"/>
  <c r="CH347" i="21" s="1"/>
  <c r="Q347" i="21"/>
  <c r="DI347" i="21"/>
  <c r="L349" i="21"/>
  <c r="EA356" i="21"/>
  <c r="FZ356" i="21"/>
  <c r="AN356" i="21"/>
  <c r="CF356" i="21"/>
  <c r="CH356" i="21" s="1"/>
  <c r="CD356" i="21"/>
  <c r="CE356" i="21" s="1"/>
  <c r="Y356" i="21"/>
  <c r="U358" i="21"/>
  <c r="EE359" i="21"/>
  <c r="L373" i="21"/>
  <c r="I382" i="21"/>
  <c r="AM382" i="21"/>
  <c r="DL382" i="21"/>
  <c r="L382" i="21"/>
  <c r="AK382" i="21"/>
  <c r="EE382" i="21"/>
  <c r="CE398" i="21"/>
  <c r="BA401" i="21"/>
  <c r="BB401" i="21" s="1"/>
  <c r="AN336" i="21"/>
  <c r="FZ336" i="21"/>
  <c r="I337" i="21"/>
  <c r="I341" i="21"/>
  <c r="M344" i="21"/>
  <c r="L347" i="21"/>
  <c r="DL347" i="21"/>
  <c r="EE349" i="21"/>
  <c r="L356" i="21"/>
  <c r="CH359" i="21"/>
  <c r="CD365" i="21"/>
  <c r="CE365" i="21" s="1"/>
  <c r="AN371" i="21"/>
  <c r="CF371" i="21"/>
  <c r="CH371" i="21" s="1"/>
  <c r="DY371" i="21"/>
  <c r="DL371" i="21"/>
  <c r="Y371" i="21"/>
  <c r="X380" i="21"/>
  <c r="BA380" i="21"/>
  <c r="X401" i="21"/>
  <c r="EH348" i="21"/>
  <c r="AK352" i="21"/>
  <c r="ET368" i="21"/>
  <c r="EU368" i="21" s="1"/>
  <c r="EV368" i="21" s="1"/>
  <c r="Q383" i="21"/>
  <c r="FY383" i="21" s="1"/>
  <c r="GA383" i="21" s="1"/>
  <c r="CS383" i="21" s="1"/>
  <c r="EE383" i="21"/>
  <c r="CS344" i="21"/>
  <c r="EE347" i="21"/>
  <c r="CM353" i="21"/>
  <c r="AM360" i="21"/>
  <c r="AK364" i="21"/>
  <c r="AZ369" i="21"/>
  <c r="FX383" i="21"/>
  <c r="BE383" i="21"/>
  <c r="CI402" i="21"/>
  <c r="GA351" i="21"/>
  <c r="CS351" i="21" s="1"/>
  <c r="EK354" i="21"/>
  <c r="AS364" i="21"/>
  <c r="AM364" i="21"/>
  <c r="Q377" i="21"/>
  <c r="EE377" i="21"/>
  <c r="AM384" i="21"/>
  <c r="AS384" i="21"/>
  <c r="FY386" i="21"/>
  <c r="CA386" i="21"/>
  <c r="BZ386" i="21"/>
  <c r="CB386" i="21" s="1"/>
  <c r="CI386" i="21" s="1"/>
  <c r="CK386" i="21" s="1"/>
  <c r="CP386" i="21" s="1"/>
  <c r="BR386" i="21"/>
  <c r="DZ386" i="21" s="1"/>
  <c r="EB386" i="21" s="1"/>
  <c r="EG386" i="21" s="1"/>
  <c r="DA387" i="21"/>
  <c r="FG387" i="21"/>
  <c r="I351" i="21"/>
  <c r="FZ359" i="21"/>
  <c r="FY359" i="21" s="1"/>
  <c r="GA359" i="21" s="1"/>
  <c r="CS359" i="21" s="1"/>
  <c r="EA359" i="21"/>
  <c r="T362" i="21"/>
  <c r="AN364" i="21"/>
  <c r="FZ364" i="21"/>
  <c r="CF364" i="21"/>
  <c r="CH364" i="21" s="1"/>
  <c r="CD364" i="21"/>
  <c r="CE364" i="21" s="1"/>
  <c r="FZ367" i="21"/>
  <c r="EA367" i="21"/>
  <c r="EK373" i="21"/>
  <c r="FX377" i="21"/>
  <c r="AN377" i="21"/>
  <c r="EL397" i="21"/>
  <c r="EK397" i="21" s="1"/>
  <c r="Y397" i="21"/>
  <c r="DY352" i="21"/>
  <c r="EA357" i="21"/>
  <c r="CC359" i="21"/>
  <c r="FY363" i="21"/>
  <c r="GA363" i="21" s="1"/>
  <c r="CS363" i="21" s="1"/>
  <c r="CD363" i="21"/>
  <c r="CC363" i="21"/>
  <c r="L366" i="21"/>
  <c r="DL366" i="21"/>
  <c r="CC367" i="21"/>
  <c r="CE367" i="21" s="1"/>
  <c r="BA378" i="21"/>
  <c r="BB378" i="21" s="1"/>
  <c r="T386" i="21"/>
  <c r="FZ351" i="21"/>
  <c r="CD359" i="21"/>
  <c r="AX360" i="21"/>
  <c r="CM360" i="21" s="1"/>
  <c r="EA361" i="21"/>
  <c r="FZ361" i="21"/>
  <c r="FY361" i="21" s="1"/>
  <c r="GA361" i="21" s="1"/>
  <c r="CS361" i="21" s="1"/>
  <c r="CD361" i="21"/>
  <c r="CE361" i="21" s="1"/>
  <c r="I366" i="21"/>
  <c r="BZ369" i="21"/>
  <c r="CB369" i="21" s="1"/>
  <c r="CI369" i="21" s="1"/>
  <c r="BR369" i="21"/>
  <c r="DZ369" i="21" s="1"/>
  <c r="BA383" i="21"/>
  <c r="BB383" i="21" s="1"/>
  <c r="X383" i="21"/>
  <c r="T389" i="21"/>
  <c r="AY389" i="21" s="1"/>
  <c r="BH389" i="21" s="1"/>
  <c r="BZ389" i="21"/>
  <c r="CB389" i="21" s="1"/>
  <c r="BR389" i="21"/>
  <c r="DZ389" i="21" s="1"/>
  <c r="EB389" i="21" s="1"/>
  <c r="EG389" i="21" s="1"/>
  <c r="EE408" i="21"/>
  <c r="L351" i="21"/>
  <c r="I352" i="21"/>
  <c r="BB352" i="21" s="1"/>
  <c r="AL353" i="21"/>
  <c r="CC357" i="21"/>
  <c r="T377" i="21"/>
  <c r="Y378" i="21"/>
  <c r="EE384" i="21"/>
  <c r="Y386" i="21"/>
  <c r="EL386" i="21"/>
  <c r="EK386" i="21" s="1"/>
  <c r="Q408" i="21"/>
  <c r="AN408" i="21"/>
  <c r="FX408" i="21"/>
  <c r="BE408" i="21"/>
  <c r="BF408" i="21" s="1"/>
  <c r="CO408" i="21" s="1"/>
  <c r="U408" i="21"/>
  <c r="CD357" i="21"/>
  <c r="DI360" i="21"/>
  <c r="T364" i="21"/>
  <c r="AY364" i="21" s="1"/>
  <c r="FX364" i="21"/>
  <c r="FX384" i="21"/>
  <c r="U384" i="21"/>
  <c r="BE350" i="21"/>
  <c r="EA352" i="21"/>
  <c r="CD352" i="21"/>
  <c r="CE352" i="21" s="1"/>
  <c r="AN352" i="21"/>
  <c r="FZ360" i="21"/>
  <c r="CF360" i="21"/>
  <c r="CH360" i="21" s="1"/>
  <c r="DY360" i="21"/>
  <c r="DL360" i="21"/>
  <c r="BA377" i="21"/>
  <c r="BB377" i="21" s="1"/>
  <c r="X377" i="21"/>
  <c r="AL386" i="21"/>
  <c r="AM393" i="21"/>
  <c r="AS393" i="21"/>
  <c r="BE351" i="21"/>
  <c r="U351" i="21"/>
  <c r="L360" i="21"/>
  <c r="Q364" i="21"/>
  <c r="AL364" i="21" s="1"/>
  <c r="U366" i="21"/>
  <c r="BE366" i="21"/>
  <c r="Q366" i="21"/>
  <c r="BB371" i="21"/>
  <c r="Q384" i="21"/>
  <c r="AL384" i="21" s="1"/>
  <c r="Y348" i="21"/>
  <c r="FZ357" i="21"/>
  <c r="FY357" i="21" s="1"/>
  <c r="AK365" i="21"/>
  <c r="AL365" i="21"/>
  <c r="DL365" i="21"/>
  <c r="FX366" i="21"/>
  <c r="M368" i="21"/>
  <c r="AX368" i="21"/>
  <c r="CM368" i="21" s="1"/>
  <c r="M370" i="21"/>
  <c r="BF370" i="21" s="1"/>
  <c r="CO370" i="21" s="1"/>
  <c r="DI370" i="21"/>
  <c r="AX370" i="21"/>
  <c r="CM370" i="21" s="1"/>
  <c r="T381" i="21"/>
  <c r="U381" i="21"/>
  <c r="FX381" i="21"/>
  <c r="BE381" i="21"/>
  <c r="AX394" i="21"/>
  <c r="CM394" i="21" s="1"/>
  <c r="DI394" i="21"/>
  <c r="M394" i="21"/>
  <c r="BB394" i="21"/>
  <c r="BF401" i="21"/>
  <c r="CO401" i="21" s="1"/>
  <c r="AL362" i="21"/>
  <c r="DL363" i="21"/>
  <c r="EL366" i="21"/>
  <c r="EK366" i="21" s="1"/>
  <c r="AN367" i="21"/>
  <c r="AK369" i="21"/>
  <c r="CF369" i="21"/>
  <c r="CH369" i="21" s="1"/>
  <c r="EE372" i="21"/>
  <c r="BR372" i="21"/>
  <c r="DZ372" i="21" s="1"/>
  <c r="DY373" i="21"/>
  <c r="AM375" i="21"/>
  <c r="DY379" i="21"/>
  <c r="CF393" i="21"/>
  <c r="CH393" i="21" s="1"/>
  <c r="Y393" i="21"/>
  <c r="FZ393" i="21"/>
  <c r="AN393" i="21"/>
  <c r="EA393" i="21"/>
  <c r="DY393" i="21"/>
  <c r="GA439" i="21"/>
  <c r="CS439" i="21" s="1"/>
  <c r="BA366" i="21"/>
  <c r="L367" i="21"/>
  <c r="DL368" i="21"/>
  <c r="EA368" i="21"/>
  <c r="FZ368" i="21"/>
  <c r="AL369" i="21"/>
  <c r="EK371" i="21"/>
  <c r="BZ372" i="21"/>
  <c r="EL372" i="21"/>
  <c r="EK372" i="21" s="1"/>
  <c r="AN378" i="21"/>
  <c r="CD382" i="21"/>
  <c r="EA382" i="21"/>
  <c r="FZ382" i="21"/>
  <c r="ET388" i="21"/>
  <c r="EU388" i="21" s="1"/>
  <c r="EV388" i="21" s="1"/>
  <c r="EA390" i="21"/>
  <c r="EB390" i="21" s="1"/>
  <c r="BE390" i="21"/>
  <c r="L393" i="21"/>
  <c r="EL415" i="21"/>
  <c r="EK415" i="21" s="1"/>
  <c r="Y415" i="21"/>
  <c r="EE367" i="21"/>
  <c r="AM368" i="21"/>
  <c r="AS370" i="21"/>
  <c r="Q393" i="21"/>
  <c r="EE393" i="21"/>
  <c r="AM394" i="21"/>
  <c r="AS394" i="21"/>
  <c r="CE414" i="21"/>
  <c r="CH421" i="21"/>
  <c r="EE368" i="21"/>
  <c r="CH372" i="21"/>
  <c r="EA377" i="21"/>
  <c r="FZ377" i="21"/>
  <c r="CH392" i="21"/>
  <c r="BE393" i="21"/>
  <c r="U393" i="21"/>
  <c r="FX393" i="21"/>
  <c r="T393" i="21"/>
  <c r="Y394" i="21"/>
  <c r="AN394" i="21"/>
  <c r="CF394" i="21"/>
  <c r="CH394" i="21" s="1"/>
  <c r="FZ394" i="21"/>
  <c r="EA394" i="21"/>
  <c r="DI419" i="21"/>
  <c r="AX419" i="21"/>
  <c r="M419" i="21"/>
  <c r="AL363" i="21"/>
  <c r="L368" i="21"/>
  <c r="I369" i="21"/>
  <c r="BB369" i="21" s="1"/>
  <c r="FZ371" i="21"/>
  <c r="X379" i="21"/>
  <c r="EL379" i="21" s="1"/>
  <c r="EK379" i="21" s="1"/>
  <c r="DL380" i="21"/>
  <c r="EE380" i="21"/>
  <c r="L380" i="21"/>
  <c r="I380" i="21"/>
  <c r="CE395" i="21"/>
  <c r="EE397" i="21"/>
  <c r="CH407" i="21"/>
  <c r="CI407" i="21" s="1"/>
  <c r="CK407" i="21" s="1"/>
  <c r="CP407" i="21" s="1"/>
  <c r="DL419" i="21"/>
  <c r="AS419" i="21"/>
  <c r="AM419" i="21"/>
  <c r="Q367" i="21"/>
  <c r="T367" i="21" s="1"/>
  <c r="CC371" i="21"/>
  <c r="CE371" i="21" s="1"/>
  <c r="Y388" i="21"/>
  <c r="BE397" i="21"/>
  <c r="FX397" i="21"/>
  <c r="BA399" i="21"/>
  <c r="BB399" i="21" s="1"/>
  <c r="X399" i="21"/>
  <c r="EL399" i="21" s="1"/>
  <c r="EK399" i="21" s="1"/>
  <c r="ET400" i="21"/>
  <c r="EU400" i="21" s="1"/>
  <c r="EV400" i="21" s="1"/>
  <c r="EU411" i="21"/>
  <c r="EV411" i="21" s="1"/>
  <c r="Y419" i="21"/>
  <c r="AN419" i="21"/>
  <c r="CF419" i="21"/>
  <c r="CH419" i="21" s="1"/>
  <c r="EA419" i="21"/>
  <c r="CD419" i="21"/>
  <c r="CE419" i="21" s="1"/>
  <c r="FZ419" i="21"/>
  <c r="Q419" i="21"/>
  <c r="T419" i="21" s="1"/>
  <c r="BB367" i="21"/>
  <c r="AS369" i="21"/>
  <c r="T370" i="21"/>
  <c r="I375" i="21"/>
  <c r="EE375" i="21"/>
  <c r="GA375" i="21"/>
  <c r="AN375" i="21"/>
  <c r="AK375" i="21"/>
  <c r="Q376" i="21"/>
  <c r="CE385" i="21"/>
  <c r="EU387" i="21"/>
  <c r="EV387" i="21" s="1"/>
  <c r="ET387" i="21"/>
  <c r="CM388" i="21"/>
  <c r="AM391" i="21"/>
  <c r="DL391" i="21"/>
  <c r="BE394" i="21"/>
  <c r="U394" i="21"/>
  <c r="FX394" i="21"/>
  <c r="CG438" i="21"/>
  <c r="L362" i="21"/>
  <c r="AK362" i="21"/>
  <c r="BE367" i="21"/>
  <c r="L369" i="21"/>
  <c r="CD373" i="21"/>
  <c r="BR378" i="21"/>
  <c r="DZ378" i="21" s="1"/>
  <c r="EB378" i="21" s="1"/>
  <c r="FY378" i="21"/>
  <c r="GA378" i="21" s="1"/>
  <c r="CS378" i="21" s="1"/>
  <c r="CA378" i="21"/>
  <c r="BZ378" i="21"/>
  <c r="Q392" i="21"/>
  <c r="EE392" i="21"/>
  <c r="Y405" i="21"/>
  <c r="AS407" i="21"/>
  <c r="DL407" i="21"/>
  <c r="AM407" i="21"/>
  <c r="BB407" i="21"/>
  <c r="AY412" i="21"/>
  <c r="CE427" i="21"/>
  <c r="I362" i="21"/>
  <c r="FX370" i="21"/>
  <c r="CC373" i="21"/>
  <c r="AN385" i="21"/>
  <c r="AM385" i="21"/>
  <c r="AL385" i="21"/>
  <c r="DL385" i="21"/>
  <c r="AK385" i="21"/>
  <c r="CH385" i="21"/>
  <c r="EE395" i="21"/>
  <c r="I395" i="21"/>
  <c r="BB395" i="21" s="1"/>
  <c r="AK395" i="21"/>
  <c r="CM405" i="21"/>
  <c r="EL417" i="21"/>
  <c r="EK417" i="21" s="1"/>
  <c r="Y417" i="21"/>
  <c r="BE419" i="21"/>
  <c r="U419" i="21"/>
  <c r="FX419" i="21"/>
  <c r="T360" i="21"/>
  <c r="I363" i="21"/>
  <c r="BE368" i="21"/>
  <c r="EE369" i="21"/>
  <c r="L375" i="21"/>
  <c r="T378" i="21"/>
  <c r="Y381" i="21"/>
  <c r="FZ381" i="21"/>
  <c r="EA381" i="21"/>
  <c r="AN381" i="21"/>
  <c r="AM381" i="21"/>
  <c r="CF381" i="21"/>
  <c r="CH381" i="21" s="1"/>
  <c r="DY381" i="21"/>
  <c r="EG381" i="21" s="1"/>
  <c r="CD381" i="21"/>
  <c r="CE381" i="21" s="1"/>
  <c r="I385" i="21"/>
  <c r="BB385" i="21" s="1"/>
  <c r="T394" i="21"/>
  <c r="T397" i="21"/>
  <c r="X412" i="21"/>
  <c r="Y418" i="21"/>
  <c r="Y359" i="21"/>
  <c r="BE360" i="21"/>
  <c r="BF360" i="21" s="1"/>
  <c r="CO360" i="21" s="1"/>
  <c r="T361" i="21"/>
  <c r="Y367" i="21"/>
  <c r="U370" i="21"/>
  <c r="X376" i="21"/>
  <c r="U378" i="21"/>
  <c r="L381" i="21"/>
  <c r="CH384" i="21"/>
  <c r="FX386" i="21"/>
  <c r="GA386" i="21" s="1"/>
  <c r="CS386" i="21" s="1"/>
  <c r="U386" i="21"/>
  <c r="AY386" i="21" s="1"/>
  <c r="BE386" i="21"/>
  <c r="BF386" i="21" s="1"/>
  <c r="CO386" i="21" s="1"/>
  <c r="CE393" i="21"/>
  <c r="Q395" i="21"/>
  <c r="FY395" i="21" s="1"/>
  <c r="GA395" i="21" s="1"/>
  <c r="CS395" i="21" s="1"/>
  <c r="CF395" i="21"/>
  <c r="Y395" i="21"/>
  <c r="DY395" i="21"/>
  <c r="AN395" i="21"/>
  <c r="DL395" i="21"/>
  <c r="U397" i="21"/>
  <c r="CF363" i="21"/>
  <c r="CH363" i="21" s="1"/>
  <c r="GA370" i="21"/>
  <c r="CS370" i="21" s="1"/>
  <c r="AM371" i="21"/>
  <c r="AK372" i="21"/>
  <c r="CD372" i="21"/>
  <c r="CE372" i="21" s="1"/>
  <c r="AN387" i="21"/>
  <c r="CF387" i="21"/>
  <c r="CH387" i="21" s="1"/>
  <c r="FY390" i="21"/>
  <c r="GA390" i="21" s="1"/>
  <c r="CS390" i="21" s="1"/>
  <c r="CM398" i="21"/>
  <c r="AS421" i="21"/>
  <c r="AM421" i="21"/>
  <c r="CG442" i="21"/>
  <c r="CH442" i="21" s="1"/>
  <c r="EL384" i="21"/>
  <c r="EK384" i="21" s="1"/>
  <c r="Y384" i="21"/>
  <c r="AX386" i="21"/>
  <c r="CM386" i="21" s="1"/>
  <c r="DI386" i="21"/>
  <c r="L387" i="21"/>
  <c r="EH389" i="21"/>
  <c r="CD389" i="21"/>
  <c r="CE389" i="21" s="1"/>
  <c r="EA398" i="21"/>
  <c r="FZ398" i="21"/>
  <c r="CD398" i="21"/>
  <c r="CH404" i="21"/>
  <c r="EA384" i="21"/>
  <c r="FZ384" i="21"/>
  <c r="Q387" i="21"/>
  <c r="EE387" i="21"/>
  <c r="T391" i="21"/>
  <c r="FY439" i="21"/>
  <c r="CA439" i="21"/>
  <c r="BZ439" i="21"/>
  <c r="BR439" i="21"/>
  <c r="DZ439" i="21" s="1"/>
  <c r="EB439" i="21" s="1"/>
  <c r="EG439" i="21" s="1"/>
  <c r="T439" i="21"/>
  <c r="AS371" i="21"/>
  <c r="CF377" i="21"/>
  <c r="CH377" i="21" s="1"/>
  <c r="AK378" i="21"/>
  <c r="AN382" i="21"/>
  <c r="CM391" i="21"/>
  <c r="AS399" i="21"/>
  <c r="AM399" i="21"/>
  <c r="DL399" i="21"/>
  <c r="Y403" i="21"/>
  <c r="AM438" i="21"/>
  <c r="AS438" i="21"/>
  <c r="DL438" i="21"/>
  <c r="AL378" i="21"/>
  <c r="BB386" i="21"/>
  <c r="CF399" i="21"/>
  <c r="CH399" i="21" s="1"/>
  <c r="EA399" i="21"/>
  <c r="AN399" i="21"/>
  <c r="FZ399" i="21"/>
  <c r="CD399" i="21"/>
  <c r="Y399" i="21"/>
  <c r="AX399" i="21"/>
  <c r="CM399" i="21" s="1"/>
  <c r="CS400" i="21"/>
  <c r="FZ409" i="21"/>
  <c r="EA409" i="21"/>
  <c r="BE409" i="21"/>
  <c r="CD409" i="21"/>
  <c r="CE409" i="21" s="1"/>
  <c r="DL372" i="21"/>
  <c r="EA372" i="21"/>
  <c r="AL376" i="21"/>
  <c r="DL376" i="21"/>
  <c r="AK376" i="21"/>
  <c r="DY377" i="21"/>
  <c r="AM378" i="21"/>
  <c r="DL386" i="21"/>
  <c r="AN386" i="21"/>
  <c r="AK386" i="21"/>
  <c r="EK394" i="21"/>
  <c r="L399" i="21"/>
  <c r="EH402" i="21"/>
  <c r="AX377" i="21"/>
  <c r="CM377" i="21" s="1"/>
  <c r="Q382" i="21"/>
  <c r="BB391" i="21"/>
  <c r="BB393" i="21"/>
  <c r="M399" i="21"/>
  <c r="BF399" i="21" s="1"/>
  <c r="CO399" i="21" s="1"/>
  <c r="EA400" i="21"/>
  <c r="FZ400" i="21"/>
  <c r="CD400" i="21"/>
  <c r="EA403" i="21"/>
  <c r="CD403" i="21"/>
  <c r="FZ403" i="21"/>
  <c r="DL404" i="21"/>
  <c r="AK404" i="21"/>
  <c r="L404" i="21"/>
  <c r="AL404" i="21"/>
  <c r="AN404" i="21"/>
  <c r="CD429" i="21"/>
  <c r="AN429" i="21"/>
  <c r="Y429" i="21"/>
  <c r="FZ429" i="21"/>
  <c r="EA429" i="21"/>
  <c r="DY429" i="21"/>
  <c r="CF429" i="21"/>
  <c r="CH429" i="21" s="1"/>
  <c r="AX429" i="21"/>
  <c r="CM429" i="21" s="1"/>
  <c r="T380" i="21"/>
  <c r="AY380" i="21" s="1"/>
  <c r="FX382" i="21"/>
  <c r="U382" i="21"/>
  <c r="BH386" i="21"/>
  <c r="CO389" i="21"/>
  <c r="L390" i="21"/>
  <c r="I390" i="21"/>
  <c r="EU391" i="21"/>
  <c r="EV391" i="21" s="1"/>
  <c r="ET391" i="21"/>
  <c r="DI392" i="21"/>
  <c r="M392" i="21"/>
  <c r="BF392" i="21" s="1"/>
  <c r="CO392" i="21" s="1"/>
  <c r="AX392" i="21"/>
  <c r="CM392" i="21" s="1"/>
  <c r="BB392" i="21"/>
  <c r="CE400" i="21"/>
  <c r="CC403" i="21"/>
  <c r="DI404" i="21"/>
  <c r="AX404" i="21"/>
  <c r="CM404" i="21" s="1"/>
  <c r="L429" i="21"/>
  <c r="AN372" i="21"/>
  <c r="AS377" i="21"/>
  <c r="I378" i="21"/>
  <c r="DL379" i="21"/>
  <c r="FX380" i="21"/>
  <c r="AM383" i="21"/>
  <c r="AM390" i="21"/>
  <c r="Y391" i="21"/>
  <c r="DL392" i="21"/>
  <c r="BE399" i="21"/>
  <c r="FX399" i="21"/>
  <c r="U399" i="21"/>
  <c r="AS404" i="21"/>
  <c r="AM404" i="21"/>
  <c r="ET408" i="21"/>
  <c r="EU408" i="21" s="1"/>
  <c r="EV408" i="21" s="1"/>
  <c r="EE435" i="21"/>
  <c r="Q435" i="21"/>
  <c r="AL435" i="21" s="1"/>
  <c r="L372" i="21"/>
  <c r="I373" i="21"/>
  <c r="L374" i="21"/>
  <c r="DL374" i="21"/>
  <c r="AK374" i="21"/>
  <c r="AX379" i="21"/>
  <c r="CM379" i="21" s="1"/>
  <c r="DI379" i="21"/>
  <c r="Q380" i="21"/>
  <c r="AX383" i="21"/>
  <c r="CM383" i="21" s="1"/>
  <c r="M383" i="21"/>
  <c r="AN390" i="21"/>
  <c r="DY399" i="21"/>
  <c r="AX408" i="21"/>
  <c r="CM408" i="21" s="1"/>
  <c r="AS408" i="21"/>
  <c r="AM408" i="21"/>
  <c r="DL408" i="21"/>
  <c r="BE429" i="21"/>
  <c r="FX429" i="21"/>
  <c r="U429" i="21"/>
  <c r="I374" i="21"/>
  <c r="FZ375" i="21"/>
  <c r="CS375" i="21"/>
  <c r="M376" i="21"/>
  <c r="BF376" i="21" s="1"/>
  <c r="CO376" i="21" s="1"/>
  <c r="M377" i="21"/>
  <c r="BF377" i="21" s="1"/>
  <c r="CO377" i="21" s="1"/>
  <c r="AM379" i="21"/>
  <c r="FZ383" i="21"/>
  <c r="Y387" i="21"/>
  <c r="FY389" i="21"/>
  <c r="DL394" i="21"/>
  <c r="AK394" i="21"/>
  <c r="EE394" i="21"/>
  <c r="CG395" i="21"/>
  <c r="Q399" i="21"/>
  <c r="T399" i="21" s="1"/>
  <c r="M404" i="21"/>
  <c r="BF404" i="21" s="1"/>
  <c r="CO404" i="21" s="1"/>
  <c r="CH406" i="21"/>
  <c r="L423" i="21"/>
  <c r="I423" i="21"/>
  <c r="AK423" i="21"/>
  <c r="EE423" i="21"/>
  <c r="AM423" i="21"/>
  <c r="Q379" i="21"/>
  <c r="AL379" i="21" s="1"/>
  <c r="AK389" i="21"/>
  <c r="GA389" i="21"/>
  <c r="CS389" i="21" s="1"/>
  <c r="AN391" i="21"/>
  <c r="AK393" i="21"/>
  <c r="CM401" i="21"/>
  <c r="DY403" i="21"/>
  <c r="AM406" i="21"/>
  <c r="DL406" i="21"/>
  <c r="AS406" i="21"/>
  <c r="EE407" i="21"/>
  <c r="EA437" i="21"/>
  <c r="FZ437" i="21"/>
  <c r="CD437" i="21"/>
  <c r="CE437" i="21" s="1"/>
  <c r="Q443" i="21"/>
  <c r="EE443" i="21"/>
  <c r="I381" i="21"/>
  <c r="BB381" i="21" s="1"/>
  <c r="CC388" i="21"/>
  <c r="CE388" i="21" s="1"/>
  <c r="AL389" i="21"/>
  <c r="EA401" i="21"/>
  <c r="FZ401" i="21"/>
  <c r="FY401" i="21" s="1"/>
  <c r="CD401" i="21"/>
  <c r="CE401" i="21" s="1"/>
  <c r="FY402" i="21"/>
  <c r="GA402" i="21" s="1"/>
  <c r="ET405" i="21"/>
  <c r="EU405" i="21" s="1"/>
  <c r="EV405" i="21" s="1"/>
  <c r="T407" i="21"/>
  <c r="AY407" i="21" s="1"/>
  <c r="BE407" i="21"/>
  <c r="BF407" i="21" s="1"/>
  <c r="CO407" i="21" s="1"/>
  <c r="FX407" i="21"/>
  <c r="GA407" i="21" s="1"/>
  <c r="CS407" i="21" s="1"/>
  <c r="AN407" i="21"/>
  <c r="CM412" i="21"/>
  <c r="CS412" i="21"/>
  <c r="EH412" i="21"/>
  <c r="EG412" i="21"/>
  <c r="BA415" i="21"/>
  <c r="BB415" i="21" s="1"/>
  <c r="EE419" i="21"/>
  <c r="BZ424" i="21"/>
  <c r="BR424" i="21"/>
  <c r="DZ424" i="21" s="1"/>
  <c r="CD427" i="21"/>
  <c r="AN427" i="21"/>
  <c r="Y427" i="21"/>
  <c r="U427" i="21"/>
  <c r="AY427" i="21" s="1"/>
  <c r="T427" i="21"/>
  <c r="AX427" i="21"/>
  <c r="CM427" i="21" s="1"/>
  <c r="FZ427" i="21"/>
  <c r="FY427" i="21" s="1"/>
  <c r="FY387" i="21"/>
  <c r="GA387" i="21" s="1"/>
  <c r="CS387" i="21" s="1"/>
  <c r="EK395" i="21"/>
  <c r="EA397" i="21"/>
  <c r="EB397" i="21" s="1"/>
  <c r="EG397" i="21" s="1"/>
  <c r="FZ397" i="21"/>
  <c r="FY397" i="21" s="1"/>
  <c r="CD397" i="21"/>
  <c r="CE397" i="21" s="1"/>
  <c r="CI397" i="21" s="1"/>
  <c r="BR400" i="21"/>
  <c r="DZ400" i="21" s="1"/>
  <c r="BR407" i="21"/>
  <c r="DZ407" i="21" s="1"/>
  <c r="EB407" i="21" s="1"/>
  <c r="EH407" i="21" s="1"/>
  <c r="FY407" i="21"/>
  <c r="AL407" i="21"/>
  <c r="AM414" i="21"/>
  <c r="AS414" i="21"/>
  <c r="DY419" i="21"/>
  <c r="EE400" i="21"/>
  <c r="BZ400" i="21"/>
  <c r="CB400" i="21" s="1"/>
  <c r="U406" i="21"/>
  <c r="BE406" i="21"/>
  <c r="FX406" i="21"/>
  <c r="AN406" i="21"/>
  <c r="AK410" i="21"/>
  <c r="DL410" i="21"/>
  <c r="Y411" i="21"/>
  <c r="I416" i="21"/>
  <c r="AK416" i="21"/>
  <c r="DL416" i="21"/>
  <c r="EE416" i="21"/>
  <c r="AM416" i="21"/>
  <c r="CO417" i="21"/>
  <c r="AY424" i="21"/>
  <c r="BH424" i="21" s="1"/>
  <c r="BR427" i="21"/>
  <c r="DZ427" i="21" s="1"/>
  <c r="EB427" i="21" s="1"/>
  <c r="CA427" i="21"/>
  <c r="CB427" i="21" s="1"/>
  <c r="AN383" i="21"/>
  <c r="CC384" i="21"/>
  <c r="CE384" i="21" s="1"/>
  <c r="AM388" i="21"/>
  <c r="AS390" i="21"/>
  <c r="BE400" i="21"/>
  <c r="BF400" i="21" s="1"/>
  <c r="CO400" i="21" s="1"/>
  <c r="FX400" i="21"/>
  <c r="T402" i="21"/>
  <c r="DI410" i="21"/>
  <c r="AX410" i="21"/>
  <c r="CM410" i="21" s="1"/>
  <c r="BA424" i="21"/>
  <c r="X424" i="21"/>
  <c r="AS410" i="21"/>
  <c r="AM410" i="21"/>
  <c r="EK410" i="21"/>
  <c r="FZ416" i="21"/>
  <c r="EA416" i="21"/>
  <c r="CF416" i="21"/>
  <c r="CH416" i="21" s="1"/>
  <c r="CD416" i="21"/>
  <c r="CE416" i="21" s="1"/>
  <c r="Y416" i="21"/>
  <c r="AN416" i="21"/>
  <c r="CD417" i="21"/>
  <c r="CC417" i="21"/>
  <c r="BB429" i="21"/>
  <c r="AK435" i="21"/>
  <c r="DL435" i="21"/>
  <c r="CC440" i="21"/>
  <c r="Q441" i="21"/>
  <c r="T441" i="21" s="1"/>
  <c r="BE391" i="21"/>
  <c r="BF391" i="21" s="1"/>
  <c r="CO391" i="21" s="1"/>
  <c r="FZ395" i="21"/>
  <c r="EA395" i="21"/>
  <c r="Y396" i="21"/>
  <c r="FY400" i="21"/>
  <c r="AL400" i="21"/>
  <c r="X402" i="21"/>
  <c r="BA402" i="21"/>
  <c r="AN403" i="21"/>
  <c r="AX403" i="21"/>
  <c r="CM403" i="21" s="1"/>
  <c r="M403" i="21"/>
  <c r="BF403" i="21" s="1"/>
  <c r="CO403" i="21" s="1"/>
  <c r="L403" i="21"/>
  <c r="CF403" i="21"/>
  <c r="CH403" i="21" s="1"/>
  <c r="X406" i="21"/>
  <c r="BA406" i="21"/>
  <c r="BB406" i="21" s="1"/>
  <c r="AN410" i="21"/>
  <c r="FZ410" i="21"/>
  <c r="EA410" i="21"/>
  <c r="CF410" i="21"/>
  <c r="CH410" i="21" s="1"/>
  <c r="CD410" i="21"/>
  <c r="CE410" i="21" s="1"/>
  <c r="Y410" i="21"/>
  <c r="U410" i="21"/>
  <c r="DL420" i="21"/>
  <c r="L420" i="21"/>
  <c r="AK420" i="21"/>
  <c r="ET425" i="21"/>
  <c r="EU425" i="21" s="1"/>
  <c r="EV425" i="21" s="1"/>
  <c r="I435" i="21"/>
  <c r="AS388" i="21"/>
  <c r="L389" i="21"/>
  <c r="U392" i="21"/>
  <c r="CO396" i="21"/>
  <c r="BE398" i="21"/>
  <c r="BF398" i="21" s="1"/>
  <c r="CO398" i="21" s="1"/>
  <c r="FX398" i="21"/>
  <c r="Q403" i="21"/>
  <c r="Q405" i="21"/>
  <c r="L410" i="21"/>
  <c r="AX420" i="21"/>
  <c r="CM420" i="21" s="1"/>
  <c r="DI420" i="21"/>
  <c r="M420" i="21"/>
  <c r="Y431" i="21"/>
  <c r="AM435" i="21"/>
  <c r="AS435" i="21"/>
  <c r="X441" i="21"/>
  <c r="EL441" i="21" s="1"/>
  <c r="EK441" i="21" s="1"/>
  <c r="BA441" i="21"/>
  <c r="BB441" i="21" s="1"/>
  <c r="DL387" i="21"/>
  <c r="DY390" i="21"/>
  <c r="AZ390" i="21"/>
  <c r="Q391" i="21"/>
  <c r="T400" i="21"/>
  <c r="CS402" i="21"/>
  <c r="M410" i="21"/>
  <c r="BF410" i="21" s="1"/>
  <c r="CO410" i="21" s="1"/>
  <c r="BE416" i="21"/>
  <c r="U416" i="21"/>
  <c r="FX416" i="21"/>
  <c r="AM420" i="21"/>
  <c r="AS420" i="21"/>
  <c r="CE429" i="21"/>
  <c r="CF435" i="21"/>
  <c r="CH435" i="21" s="1"/>
  <c r="CD435" i="21"/>
  <c r="CE435" i="21" s="1"/>
  <c r="Y435" i="21"/>
  <c r="EA435" i="21"/>
  <c r="DY435" i="21"/>
  <c r="AN435" i="21"/>
  <c r="BE435" i="21"/>
  <c r="FZ435" i="21"/>
  <c r="CD447" i="21"/>
  <c r="FZ447" i="21"/>
  <c r="Y447" i="21"/>
  <c r="U447" i="21"/>
  <c r="CF447" i="21"/>
  <c r="CH447" i="21" s="1"/>
  <c r="EA447" i="21"/>
  <c r="DY447" i="21"/>
  <c r="Q447" i="21"/>
  <c r="BE447" i="21"/>
  <c r="AN447" i="21"/>
  <c r="CF388" i="21"/>
  <c r="CH388" i="21" s="1"/>
  <c r="AN388" i="21"/>
  <c r="AX389" i="21"/>
  <c r="CM389" i="21" s="1"/>
  <c r="DL393" i="21"/>
  <c r="Q398" i="21"/>
  <c r="AL402" i="21"/>
  <c r="DL413" i="21"/>
  <c r="AM413" i="21"/>
  <c r="CF420" i="21"/>
  <c r="CH420" i="21" s="1"/>
  <c r="AN420" i="21"/>
  <c r="Y420" i="21"/>
  <c r="L422" i="21"/>
  <c r="I422" i="21"/>
  <c r="AM422" i="21"/>
  <c r="AK422" i="21"/>
  <c r="DL422" i="21"/>
  <c r="DI429" i="21"/>
  <c r="M429" i="21"/>
  <c r="L435" i="21"/>
  <c r="L447" i="21"/>
  <c r="FX376" i="21"/>
  <c r="U376" i="21"/>
  <c r="AM387" i="21"/>
  <c r="AS387" i="21"/>
  <c r="L388" i="21"/>
  <c r="BI392" i="21"/>
  <c r="I393" i="21"/>
  <c r="Y413" i="21"/>
  <c r="CF413" i="21"/>
  <c r="CH413" i="21" s="1"/>
  <c r="U413" i="21"/>
  <c r="Q413" i="21"/>
  <c r="EA413" i="21"/>
  <c r="AN413" i="21"/>
  <c r="CD415" i="21"/>
  <c r="CE415" i="21" s="1"/>
  <c r="BB419" i="21"/>
  <c r="Q420" i="21"/>
  <c r="EE420" i="21"/>
  <c r="CA424" i="21"/>
  <c r="CA425" i="21"/>
  <c r="AL425" i="21"/>
  <c r="BZ425" i="21"/>
  <c r="CB425" i="21" s="1"/>
  <c r="BR425" i="21"/>
  <c r="DZ425" i="21" s="1"/>
  <c r="AM429" i="21"/>
  <c r="AS429" i="21"/>
  <c r="AN396" i="21"/>
  <c r="FZ396" i="21"/>
  <c r="AK397" i="21"/>
  <c r="Q404" i="21"/>
  <c r="FY404" i="21" s="1"/>
  <c r="GA404" i="21" s="1"/>
  <c r="CS404" i="21" s="1"/>
  <c r="EE404" i="21"/>
  <c r="BE404" i="21"/>
  <c r="DY413" i="21"/>
  <c r="AK418" i="21"/>
  <c r="EA423" i="21"/>
  <c r="CD423" i="21"/>
  <c r="CE423" i="21" s="1"/>
  <c r="AN423" i="21"/>
  <c r="DY423" i="21"/>
  <c r="FZ423" i="21"/>
  <c r="Y423" i="21"/>
  <c r="U423" i="21"/>
  <c r="AY425" i="21"/>
  <c r="BH425" i="21" s="1"/>
  <c r="DY427" i="21"/>
  <c r="CC449" i="21"/>
  <c r="Q394" i="21"/>
  <c r="AL394" i="21" s="1"/>
  <c r="EA396" i="21"/>
  <c r="AL397" i="21"/>
  <c r="AK401" i="21"/>
  <c r="X407" i="21"/>
  <c r="BI408" i="21"/>
  <c r="AX414" i="21"/>
  <c r="CM414" i="21" s="1"/>
  <c r="DI414" i="21"/>
  <c r="BB420" i="21"/>
  <c r="Q423" i="21"/>
  <c r="T423" i="21" s="1"/>
  <c r="FY425" i="21"/>
  <c r="GA425" i="21" s="1"/>
  <c r="CS425" i="21" s="1"/>
  <c r="CH426" i="21"/>
  <c r="EE429" i="21"/>
  <c r="Q429" i="21"/>
  <c r="FY429" i="21" s="1"/>
  <c r="BB431" i="21"/>
  <c r="FG434" i="21"/>
  <c r="CU434" i="21"/>
  <c r="CE473" i="21"/>
  <c r="AN397" i="21"/>
  <c r="CF398" i="21"/>
  <c r="CH398" i="21" s="1"/>
  <c r="CF400" i="21"/>
  <c r="CH400" i="21" s="1"/>
  <c r="AM401" i="21"/>
  <c r="CF401" i="21"/>
  <c r="CH401" i="21" s="1"/>
  <c r="CF414" i="21"/>
  <c r="CH414" i="21" s="1"/>
  <c r="AN414" i="21"/>
  <c r="CM425" i="21"/>
  <c r="CA433" i="21"/>
  <c r="BZ433" i="21"/>
  <c r="BR433" i="21"/>
  <c r="DZ433" i="21" s="1"/>
  <c r="BA439" i="21"/>
  <c r="BB439" i="21" s="1"/>
  <c r="CA444" i="21"/>
  <c r="BZ444" i="21"/>
  <c r="BR444" i="21"/>
  <c r="DZ444" i="21" s="1"/>
  <c r="BI472" i="21"/>
  <c r="DT472" i="21"/>
  <c r="I397" i="21"/>
  <c r="AM398" i="21"/>
  <c r="AM400" i="21"/>
  <c r="AN401" i="21"/>
  <c r="BB409" i="21"/>
  <c r="FZ413" i="21"/>
  <c r="L414" i="21"/>
  <c r="EA420" i="21"/>
  <c r="CD425" i="21"/>
  <c r="CE425" i="21" s="1"/>
  <c r="EA425" i="21"/>
  <c r="X439" i="21"/>
  <c r="EL439" i="21" s="1"/>
  <c r="EK439" i="21" s="1"/>
  <c r="Y443" i="21"/>
  <c r="GA397" i="21"/>
  <c r="CS397" i="21" s="1"/>
  <c r="AN398" i="21"/>
  <c r="AS405" i="21"/>
  <c r="CE413" i="21"/>
  <c r="M414" i="21"/>
  <c r="BF414" i="21" s="1"/>
  <c r="CO414" i="21" s="1"/>
  <c r="FX417" i="21"/>
  <c r="AN417" i="21"/>
  <c r="FZ431" i="21"/>
  <c r="EA431" i="21"/>
  <c r="CD431" i="21"/>
  <c r="CE431" i="21" s="1"/>
  <c r="BE431" i="21"/>
  <c r="T433" i="21"/>
  <c r="CM439" i="21"/>
  <c r="AY470" i="21"/>
  <c r="BH470" i="21" s="1"/>
  <c r="GA400" i="21"/>
  <c r="I402" i="21"/>
  <c r="AK402" i="21"/>
  <c r="FX403" i="21"/>
  <c r="U403" i="21"/>
  <c r="BA403" i="21"/>
  <c r="BB403" i="21" s="1"/>
  <c r="Q411" i="21"/>
  <c r="AL411" i="21" s="1"/>
  <c r="Q414" i="21"/>
  <c r="EE414" i="21"/>
  <c r="AS426" i="21"/>
  <c r="DL426" i="21"/>
  <c r="AM426" i="21"/>
  <c r="CF396" i="21"/>
  <c r="CH396" i="21" s="1"/>
  <c r="AX396" i="21"/>
  <c r="CM396" i="21" s="1"/>
  <c r="AS402" i="21"/>
  <c r="BE403" i="21"/>
  <c r="BE414" i="21"/>
  <c r="U414" i="21"/>
  <c r="FX414" i="21"/>
  <c r="L396" i="21"/>
  <c r="AS409" i="21"/>
  <c r="DL409" i="21"/>
  <c r="DY414" i="21"/>
  <c r="EK419" i="21"/>
  <c r="AX428" i="21"/>
  <c r="CM428" i="21" s="1"/>
  <c r="M428" i="21"/>
  <c r="BF428" i="21" s="1"/>
  <c r="DI428" i="21"/>
  <c r="DL437" i="21"/>
  <c r="L437" i="21"/>
  <c r="AK437" i="21"/>
  <c r="I437" i="21"/>
  <c r="BB437" i="21" s="1"/>
  <c r="M405" i="21"/>
  <c r="AX405" i="21"/>
  <c r="DI412" i="21"/>
  <c r="M412" i="21"/>
  <c r="AX412" i="21"/>
  <c r="U417" i="21"/>
  <c r="EE418" i="21"/>
  <c r="AM418" i="21"/>
  <c r="DL418" i="21"/>
  <c r="L418" i="21"/>
  <c r="I418" i="21"/>
  <c r="BB418" i="21" s="1"/>
  <c r="AS428" i="21"/>
  <c r="AM428" i="21"/>
  <c r="AX448" i="21"/>
  <c r="CM448" i="21" s="1"/>
  <c r="M448" i="21"/>
  <c r="Y400" i="21"/>
  <c r="ET403" i="21"/>
  <c r="EU403" i="21" s="1"/>
  <c r="EV403" i="21" s="1"/>
  <c r="AM405" i="21"/>
  <c r="ET411" i="21"/>
  <c r="M415" i="21"/>
  <c r="BF415" i="21" s="1"/>
  <c r="CO415" i="21" s="1"/>
  <c r="AX415" i="21"/>
  <c r="CM415" i="21" s="1"/>
  <c r="DI415" i="21"/>
  <c r="CE418" i="21"/>
  <c r="EH386" i="21"/>
  <c r="U396" i="21"/>
  <c r="L398" i="21"/>
  <c r="L400" i="21"/>
  <c r="L401" i="21"/>
  <c r="DL403" i="21"/>
  <c r="FZ405" i="21"/>
  <c r="CD405" i="21"/>
  <c r="CE405" i="21" s="1"/>
  <c r="AN405" i="21"/>
  <c r="BE405" i="21"/>
  <c r="BB408" i="21"/>
  <c r="Q418" i="21"/>
  <c r="T418" i="21" s="1"/>
  <c r="FY432" i="21"/>
  <c r="CA432" i="21"/>
  <c r="BZ432" i="21"/>
  <c r="T432" i="21"/>
  <c r="BR432" i="21"/>
  <c r="DZ432" i="21" s="1"/>
  <c r="EB432" i="21" s="1"/>
  <c r="EG432" i="21" s="1"/>
  <c r="U441" i="21"/>
  <c r="AN441" i="21"/>
  <c r="AM441" i="21"/>
  <c r="CF441" i="21"/>
  <c r="CH441" i="21" s="1"/>
  <c r="BE441" i="21"/>
  <c r="BF441" i="21" s="1"/>
  <c r="CO441" i="21" s="1"/>
  <c r="FZ441" i="21"/>
  <c r="Y404" i="21"/>
  <c r="L409" i="21"/>
  <c r="EE410" i="21"/>
  <c r="Q410" i="21"/>
  <c r="T410" i="21" s="1"/>
  <c r="CO411" i="21"/>
  <c r="BA413" i="21"/>
  <c r="EE415" i="21"/>
  <c r="DL421" i="21"/>
  <c r="BE423" i="21"/>
  <c r="CH428" i="21"/>
  <c r="AM434" i="21"/>
  <c r="DL434" i="21"/>
  <c r="DL442" i="21"/>
  <c r="AK442" i="21"/>
  <c r="I442" i="21"/>
  <c r="AN442" i="21"/>
  <c r="AM442" i="21"/>
  <c r="EE442" i="21"/>
  <c r="CH443" i="21"/>
  <c r="Y491" i="21"/>
  <c r="EL491" i="21"/>
  <c r="EK491" i="21" s="1"/>
  <c r="I409" i="21"/>
  <c r="FX410" i="21"/>
  <c r="EE412" i="21"/>
  <c r="L412" i="21"/>
  <c r="BE413" i="21"/>
  <c r="AM415" i="21"/>
  <c r="Q416" i="21"/>
  <c r="AL416" i="21" s="1"/>
  <c r="CH417" i="21"/>
  <c r="CM419" i="21"/>
  <c r="I421" i="21"/>
  <c r="BB421" i="21" s="1"/>
  <c r="BE427" i="21"/>
  <c r="BF427" i="21" s="1"/>
  <c r="FX427" i="21"/>
  <c r="Q428" i="21"/>
  <c r="EE428" i="21"/>
  <c r="EU493" i="21"/>
  <c r="EV493" i="21" s="1"/>
  <c r="ET493" i="21"/>
  <c r="AX407" i="21"/>
  <c r="CM407" i="21" s="1"/>
  <c r="EE417" i="21"/>
  <c r="BE420" i="21"/>
  <c r="U420" i="21"/>
  <c r="T420" i="21"/>
  <c r="Y421" i="21"/>
  <c r="CM426" i="21"/>
  <c r="EL430" i="21"/>
  <c r="EK430" i="21" s="1"/>
  <c r="Y430" i="21"/>
  <c r="L442" i="21"/>
  <c r="M445" i="21"/>
  <c r="BF445" i="21" s="1"/>
  <c r="CO445" i="21" s="1"/>
  <c r="DI445" i="21"/>
  <c r="CH466" i="21"/>
  <c r="ET471" i="21"/>
  <c r="EU471" i="21"/>
  <c r="EV471" i="21" s="1"/>
  <c r="L406" i="21"/>
  <c r="L407" i="21"/>
  <c r="DY420" i="21"/>
  <c r="L421" i="21"/>
  <c r="FZ422" i="21"/>
  <c r="EA422" i="21"/>
  <c r="AM437" i="21"/>
  <c r="AS437" i="21"/>
  <c r="BI465" i="21"/>
  <c r="BJ465" i="21" s="1"/>
  <c r="DT465" i="21"/>
  <c r="BH468" i="21"/>
  <c r="AZ468" i="21"/>
  <c r="EE409" i="21"/>
  <c r="AS411" i="21"/>
  <c r="Q422" i="21"/>
  <c r="AL422" i="21" s="1"/>
  <c r="EE422" i="21"/>
  <c r="BA423" i="21"/>
  <c r="EK429" i="21"/>
  <c r="AM433" i="21"/>
  <c r="AS433" i="21"/>
  <c r="CG436" i="21"/>
  <c r="CF437" i="21"/>
  <c r="CH437" i="21" s="1"/>
  <c r="Y437" i="21"/>
  <c r="AN437" i="21"/>
  <c r="Q406" i="21"/>
  <c r="T406" i="21" s="1"/>
  <c r="AS415" i="21"/>
  <c r="BE421" i="21"/>
  <c r="DY421" i="21"/>
  <c r="CE422" i="21"/>
  <c r="X423" i="21"/>
  <c r="EL423" i="21" s="1"/>
  <c r="EK423" i="21" s="1"/>
  <c r="EH432" i="21"/>
  <c r="AN433" i="21"/>
  <c r="CF433" i="21"/>
  <c r="CH433" i="21" s="1"/>
  <c r="EA433" i="21"/>
  <c r="Y433" i="21"/>
  <c r="DL436" i="21"/>
  <c r="L436" i="21"/>
  <c r="I436" i="21"/>
  <c r="BB436" i="21" s="1"/>
  <c r="Q437" i="21"/>
  <c r="T437" i="21" s="1"/>
  <c r="EE437" i="21"/>
  <c r="EA444" i="21"/>
  <c r="CD444" i="21"/>
  <c r="FZ444" i="21"/>
  <c r="FY444" i="21" s="1"/>
  <c r="GA444" i="21" s="1"/>
  <c r="CS444" i="21" s="1"/>
  <c r="FX418" i="21"/>
  <c r="CH425" i="21"/>
  <c r="EK427" i="21"/>
  <c r="L433" i="21"/>
  <c r="BB435" i="21"/>
  <c r="AK443" i="21"/>
  <c r="DL443" i="21"/>
  <c r="L443" i="21"/>
  <c r="AN443" i="21"/>
  <c r="AL443" i="21"/>
  <c r="CC444" i="21"/>
  <c r="Q409" i="21"/>
  <c r="DL411" i="21"/>
  <c r="DL417" i="21"/>
  <c r="BE418" i="21"/>
  <c r="Q421" i="21"/>
  <c r="T421" i="21" s="1"/>
  <c r="CF422" i="21"/>
  <c r="CH422" i="21" s="1"/>
  <c r="CO427" i="21"/>
  <c r="CH436" i="21"/>
  <c r="DI443" i="21"/>
  <c r="AX443" i="21"/>
  <c r="CM443" i="21" s="1"/>
  <c r="DM471" i="21"/>
  <c r="EL489" i="21"/>
  <c r="EK489" i="21" s="1"/>
  <c r="Y489" i="21"/>
  <c r="CD413" i="21"/>
  <c r="AX417" i="21"/>
  <c r="CM417" i="21" s="1"/>
  <c r="DI417" i="21"/>
  <c r="ET439" i="21"/>
  <c r="EU439" i="21" s="1"/>
  <c r="EV439" i="21" s="1"/>
  <c r="DT440" i="21"/>
  <c r="BI440" i="21"/>
  <c r="AS443" i="21"/>
  <c r="AM443" i="21"/>
  <c r="EU480" i="21"/>
  <c r="EV480" i="21" s="1"/>
  <c r="ET480" i="21"/>
  <c r="AX411" i="21"/>
  <c r="CM411" i="21" s="1"/>
  <c r="AM417" i="21"/>
  <c r="CD420" i="21"/>
  <c r="CE420" i="21" s="1"/>
  <c r="BE425" i="21"/>
  <c r="EB430" i="21"/>
  <c r="U433" i="21"/>
  <c r="FX433" i="21"/>
  <c r="GA433" i="21" s="1"/>
  <c r="CS433" i="21" s="1"/>
  <c r="DU477" i="21"/>
  <c r="FZ402" i="21"/>
  <c r="AN411" i="21"/>
  <c r="CF411" i="21"/>
  <c r="CH411" i="21" s="1"/>
  <c r="T412" i="21"/>
  <c r="DL412" i="21"/>
  <c r="DL414" i="21"/>
  <c r="Q415" i="21"/>
  <c r="AL415" i="21" s="1"/>
  <c r="CD421" i="21"/>
  <c r="CE421" i="21" s="1"/>
  <c r="EE421" i="21"/>
  <c r="Y422" i="21"/>
  <c r="L424" i="21"/>
  <c r="EE424" i="21"/>
  <c r="I424" i="21"/>
  <c r="AL424" i="21"/>
  <c r="CB430" i="21"/>
  <c r="CI430" i="21" s="1"/>
  <c r="DY433" i="21"/>
  <c r="M443" i="21"/>
  <c r="BF443" i="21" s="1"/>
  <c r="CO443" i="21" s="1"/>
  <c r="CF409" i="21"/>
  <c r="CH409" i="21" s="1"/>
  <c r="FX423" i="21"/>
  <c r="FX432" i="21"/>
  <c r="GA432" i="21" s="1"/>
  <c r="CS432" i="21" s="1"/>
  <c r="AN432" i="21"/>
  <c r="L438" i="21"/>
  <c r="EE438" i="21"/>
  <c r="AK438" i="21"/>
  <c r="BB445" i="21"/>
  <c r="CA446" i="21"/>
  <c r="FY446" i="21"/>
  <c r="BZ446" i="21"/>
  <c r="CB446" i="21" s="1"/>
  <c r="BR446" i="21"/>
  <c r="DZ446" i="21" s="1"/>
  <c r="EB446" i="21" s="1"/>
  <c r="EH446" i="21" s="1"/>
  <c r="ET473" i="21"/>
  <c r="EU473" i="21" s="1"/>
  <c r="EV473" i="21" s="1"/>
  <c r="EU475" i="21"/>
  <c r="EV475" i="21" s="1"/>
  <c r="EA424" i="21"/>
  <c r="CD424" i="21"/>
  <c r="CE424" i="21" s="1"/>
  <c r="BB428" i="21"/>
  <c r="CS430" i="21"/>
  <c r="ET434" i="21"/>
  <c r="EU434" i="21" s="1"/>
  <c r="EV434" i="21" s="1"/>
  <c r="I438" i="21"/>
  <c r="BB438" i="21" s="1"/>
  <c r="AK445" i="21"/>
  <c r="DL445" i="21"/>
  <c r="L445" i="21"/>
  <c r="EM475" i="21"/>
  <c r="EP475" i="21" s="1"/>
  <c r="EQ475" i="21" s="1"/>
  <c r="EM482" i="21"/>
  <c r="EP482" i="21" s="1"/>
  <c r="EQ482" i="21" s="1"/>
  <c r="DN482" i="21" s="1"/>
  <c r="DM483" i="21"/>
  <c r="CI495" i="21"/>
  <c r="CK495" i="21" s="1"/>
  <c r="L426" i="21"/>
  <c r="BB426" i="21"/>
  <c r="AK430" i="21"/>
  <c r="EA434" i="21"/>
  <c r="CF434" i="21"/>
  <c r="CH434" i="21" s="1"/>
  <c r="CD434" i="21"/>
  <c r="CE434" i="21" s="1"/>
  <c r="Y434" i="21"/>
  <c r="Y438" i="21"/>
  <c r="FZ438" i="21"/>
  <c r="AN438" i="21"/>
  <c r="EA438" i="21"/>
  <c r="CF438" i="21"/>
  <c r="CH438" i="21" s="1"/>
  <c r="CD438" i="21"/>
  <c r="CE438" i="21" s="1"/>
  <c r="Q438" i="21"/>
  <c r="T438" i="21" s="1"/>
  <c r="AY446" i="21"/>
  <c r="BH446" i="21" s="1"/>
  <c r="AY469" i="21"/>
  <c r="BH469" i="21" s="1"/>
  <c r="BC471" i="21"/>
  <c r="DU491" i="21"/>
  <c r="EE425" i="21"/>
  <c r="M426" i="21"/>
  <c r="CO428" i="21"/>
  <c r="L434" i="21"/>
  <c r="EL442" i="21"/>
  <c r="EK442" i="21" s="1"/>
  <c r="Y442" i="21"/>
  <c r="DY445" i="21"/>
  <c r="CF445" i="21"/>
  <c r="CH445" i="21" s="1"/>
  <c r="CD445" i="21"/>
  <c r="CE445" i="21" s="1"/>
  <c r="FZ445" i="21"/>
  <c r="Y445" i="21"/>
  <c r="BE445" i="21"/>
  <c r="U445" i="21"/>
  <c r="BA471" i="21"/>
  <c r="BB471" i="21" s="1"/>
  <c r="BH471" i="21"/>
  <c r="CE483" i="21"/>
  <c r="CI483" i="21" s="1"/>
  <c r="CK483" i="21" s="1"/>
  <c r="AN425" i="21"/>
  <c r="EE426" i="21"/>
  <c r="EE431" i="21"/>
  <c r="L431" i="21"/>
  <c r="I431" i="21"/>
  <c r="BF434" i="21"/>
  <c r="CO434" i="21" s="1"/>
  <c r="CA436" i="21"/>
  <c r="BZ436" i="21"/>
  <c r="BR436" i="21"/>
  <c r="DZ436" i="21" s="1"/>
  <c r="EB436" i="21" s="1"/>
  <c r="EG436" i="21" s="1"/>
  <c r="FX438" i="21"/>
  <c r="U438" i="21"/>
  <c r="EE445" i="21"/>
  <c r="Q445" i="21"/>
  <c r="T445" i="21" s="1"/>
  <c r="DM474" i="21"/>
  <c r="DM488" i="21"/>
  <c r="BE422" i="21"/>
  <c r="U422" i="21"/>
  <c r="BE426" i="21"/>
  <c r="AM431" i="21"/>
  <c r="AL434" i="21"/>
  <c r="CA434" i="21"/>
  <c r="BZ434" i="21"/>
  <c r="BR434" i="21"/>
  <c r="DZ434" i="21" s="1"/>
  <c r="U436" i="21"/>
  <c r="BE436" i="21"/>
  <c r="T436" i="21"/>
  <c r="Y446" i="21"/>
  <c r="Y471" i="21"/>
  <c r="BH487" i="21"/>
  <c r="AY487" i="21"/>
  <c r="AZ487" i="21" s="1"/>
  <c r="CI488" i="21"/>
  <c r="CK488" i="21" s="1"/>
  <c r="FX426" i="21"/>
  <c r="DT432" i="21"/>
  <c r="U449" i="21"/>
  <c r="BE449" i="21"/>
  <c r="CF449" i="21"/>
  <c r="CH449" i="21" s="1"/>
  <c r="CD449" i="21"/>
  <c r="AN449" i="21"/>
  <c r="AM449" i="21"/>
  <c r="BC467" i="21"/>
  <c r="Y469" i="21"/>
  <c r="EL481" i="21"/>
  <c r="EK481" i="21" s="1"/>
  <c r="Y481" i="21"/>
  <c r="Q417" i="21"/>
  <c r="FY417" i="21" s="1"/>
  <c r="FZ424" i="21"/>
  <c r="FY424" i="21" s="1"/>
  <c r="GA424" i="21" s="1"/>
  <c r="CS424" i="21" s="1"/>
  <c r="BE424" i="21"/>
  <c r="Q426" i="21"/>
  <c r="FZ426" i="21"/>
  <c r="FX434" i="21"/>
  <c r="GA434" i="21" s="1"/>
  <c r="CS434" i="21" s="1"/>
  <c r="EM467" i="21"/>
  <c r="EP467" i="21" s="1"/>
  <c r="EQ467" i="21" s="1"/>
  <c r="DN467" i="21" s="1"/>
  <c r="BH467" i="21"/>
  <c r="BA467" i="21"/>
  <c r="BB467" i="21" s="1"/>
  <c r="Y479" i="21"/>
  <c r="EL479" i="21"/>
  <c r="EK479" i="21" s="1"/>
  <c r="AS424" i="21"/>
  <c r="FY434" i="21"/>
  <c r="AK447" i="21"/>
  <c r="EE447" i="21"/>
  <c r="DL447" i="21"/>
  <c r="AL447" i="21"/>
  <c r="CI468" i="21"/>
  <c r="CK468" i="21" s="1"/>
  <c r="BC482" i="21"/>
  <c r="BH485" i="21"/>
  <c r="AY485" i="21"/>
  <c r="AZ485" i="21" s="1"/>
  <c r="BC485" i="21" s="1"/>
  <c r="M425" i="21"/>
  <c r="U426" i="21"/>
  <c r="DL430" i="21"/>
  <c r="GA430" i="21"/>
  <c r="AL433" i="21"/>
  <c r="AK433" i="21"/>
  <c r="DL433" i="21"/>
  <c r="T434" i="21"/>
  <c r="AY434" i="21" s="1"/>
  <c r="FZ434" i="21"/>
  <c r="BI436" i="21"/>
  <c r="I447" i="21"/>
  <c r="CI466" i="21"/>
  <c r="CK466" i="21" s="1"/>
  <c r="Y467" i="21"/>
  <c r="DM486" i="21"/>
  <c r="BI487" i="21"/>
  <c r="DT487" i="21"/>
  <c r="I413" i="21"/>
  <c r="AM427" i="21"/>
  <c r="DL427" i="21"/>
  <c r="I430" i="21"/>
  <c r="I433" i="21"/>
  <c r="BB433" i="21" s="1"/>
  <c r="FX436" i="21"/>
  <c r="GA436" i="21" s="1"/>
  <c r="CS436" i="21" s="1"/>
  <c r="I440" i="21"/>
  <c r="BB440" i="21" s="1"/>
  <c r="DL440" i="21"/>
  <c r="AM447" i="21"/>
  <c r="AM430" i="21"/>
  <c r="U435" i="21"/>
  <c r="AK439" i="21"/>
  <c r="AQ471" i="21"/>
  <c r="AR471" i="21" s="1"/>
  <c r="DU471" i="21" s="1"/>
  <c r="EM471" i="21" s="1"/>
  <c r="EP471" i="21" s="1"/>
  <c r="EQ471" i="21" s="1"/>
  <c r="ET478" i="21"/>
  <c r="EU478" i="21" s="1"/>
  <c r="EV478" i="21" s="1"/>
  <c r="AL439" i="21"/>
  <c r="BB448" i="21"/>
  <c r="AZ466" i="21"/>
  <c r="BC466" i="21" s="1"/>
  <c r="BH466" i="21"/>
  <c r="EH466" i="21"/>
  <c r="DU478" i="21"/>
  <c r="EM478" i="21" s="1"/>
  <c r="EP478" i="21" s="1"/>
  <c r="EQ478" i="21" s="1"/>
  <c r="CE488" i="21"/>
  <c r="BE437" i="21"/>
  <c r="DM465" i="21"/>
  <c r="BA466" i="21"/>
  <c r="BB466" i="21" s="1"/>
  <c r="X466" i="21"/>
  <c r="CI486" i="21"/>
  <c r="CK486" i="21" s="1"/>
  <c r="FZ492" i="21"/>
  <c r="FY492" i="21" s="1"/>
  <c r="BE492" i="21"/>
  <c r="BF492" i="21" s="1"/>
  <c r="CD492" i="21"/>
  <c r="CE492" i="21" s="1"/>
  <c r="EA492" i="21"/>
  <c r="EB492" i="21" s="1"/>
  <c r="EH492" i="21" s="1"/>
  <c r="AY493" i="21"/>
  <c r="BH493" i="21" s="1"/>
  <c r="AL432" i="21"/>
  <c r="DY437" i="21"/>
  <c r="EK447" i="21"/>
  <c r="CI469" i="21"/>
  <c r="CK469" i="21" s="1"/>
  <c r="CI479" i="21"/>
  <c r="CK479" i="21" s="1"/>
  <c r="BH490" i="21"/>
  <c r="AY490" i="21"/>
  <c r="AZ490" i="21" s="1"/>
  <c r="BC490" i="21" s="1"/>
  <c r="FX428" i="21"/>
  <c r="AM432" i="21"/>
  <c r="CD433" i="21"/>
  <c r="CE433" i="21" s="1"/>
  <c r="BE440" i="21"/>
  <c r="ET468" i="21"/>
  <c r="EU468" i="21" s="1"/>
  <c r="EV468" i="21" s="1"/>
  <c r="EB470" i="21"/>
  <c r="EH470" i="21" s="1"/>
  <c r="CH479" i="21"/>
  <c r="ER477" i="21"/>
  <c r="DM477" i="21"/>
  <c r="FZ493" i="21"/>
  <c r="BE493" i="21"/>
  <c r="CD493" i="21"/>
  <c r="CE493" i="21" s="1"/>
  <c r="CI493" i="21" s="1"/>
  <c r="CK493" i="21" s="1"/>
  <c r="DL429" i="21"/>
  <c r="U437" i="21"/>
  <c r="AY437" i="21" s="1"/>
  <c r="Q440" i="21"/>
  <c r="AL446" i="21"/>
  <c r="ES477" i="21"/>
  <c r="AL427" i="21"/>
  <c r="BE430" i="21"/>
  <c r="L444" i="21"/>
  <c r="AL444" i="21"/>
  <c r="DL444" i="21"/>
  <c r="AZ446" i="21"/>
  <c r="FZ494" i="21"/>
  <c r="BE494" i="21"/>
  <c r="BF494" i="21" s="1"/>
  <c r="EA494" i="21"/>
  <c r="EB494" i="21" s="1"/>
  <c r="EH494" i="21" s="1"/>
  <c r="CD494" i="21"/>
  <c r="CE494" i="21" s="1"/>
  <c r="CI494" i="21" s="1"/>
  <c r="CK494" i="21" s="1"/>
  <c r="U440" i="21"/>
  <c r="DL441" i="21"/>
  <c r="I444" i="21"/>
  <c r="BB444" i="21" s="1"/>
  <c r="I432" i="21"/>
  <c r="Y439" i="21"/>
  <c r="EH439" i="21"/>
  <c r="CF439" i="21"/>
  <c r="CH439" i="21" s="1"/>
  <c r="DI441" i="21"/>
  <c r="AX441" i="21"/>
  <c r="CM441" i="21" s="1"/>
  <c r="AS444" i="21"/>
  <c r="M465" i="21"/>
  <c r="AX465" i="21"/>
  <c r="CI473" i="21"/>
  <c r="CK473" i="21" s="1"/>
  <c r="Q431" i="21"/>
  <c r="AL431" i="21" s="1"/>
  <c r="FY433" i="21"/>
  <c r="FX435" i="21"/>
  <c r="L439" i="21"/>
  <c r="AN444" i="21"/>
  <c r="Y444" i="21"/>
  <c r="T444" i="21"/>
  <c r="AY444" i="21" s="1"/>
  <c r="BE444" i="21"/>
  <c r="DI465" i="21"/>
  <c r="ET467" i="21"/>
  <c r="EU467" i="21" s="1"/>
  <c r="EV467" i="21" s="1"/>
  <c r="EU469" i="21"/>
  <c r="EV469" i="21" s="1"/>
  <c r="ET469" i="21"/>
  <c r="CI475" i="21"/>
  <c r="CK475" i="21" s="1"/>
  <c r="EW477" i="21"/>
  <c r="L449" i="21"/>
  <c r="I449" i="21"/>
  <c r="EA440" i="21"/>
  <c r="CD440" i="21"/>
  <c r="DY441" i="21"/>
  <c r="DL448" i="21"/>
  <c r="AK448" i="21"/>
  <c r="BH478" i="21"/>
  <c r="EU495" i="21"/>
  <c r="EV495" i="21" s="1"/>
  <c r="ET495" i="21"/>
  <c r="EE449" i="21"/>
  <c r="Q449" i="21"/>
  <c r="EB468" i="21"/>
  <c r="EH468" i="21" s="1"/>
  <c r="DM473" i="21"/>
  <c r="ED481" i="21"/>
  <c r="CI485" i="21"/>
  <c r="CK485" i="21" s="1"/>
  <c r="Y448" i="21"/>
  <c r="DY448" i="21"/>
  <c r="DU474" i="21"/>
  <c r="EM474" i="21" s="1"/>
  <c r="EP474" i="21" s="1"/>
  <c r="EQ474" i="21" s="1"/>
  <c r="DN474" i="21" s="1"/>
  <c r="DM475" i="21"/>
  <c r="AY488" i="21"/>
  <c r="BH488" i="21" s="1"/>
  <c r="ED490" i="21"/>
  <c r="BA495" i="21"/>
  <c r="BB495" i="21" s="1"/>
  <c r="Q442" i="21"/>
  <c r="L448" i="21"/>
  <c r="BE448" i="21"/>
  <c r="DY449" i="21"/>
  <c r="ET490" i="21"/>
  <c r="BE442" i="21"/>
  <c r="CM445" i="21"/>
  <c r="CE447" i="21"/>
  <c r="CI471" i="21"/>
  <c r="CK471" i="21" s="1"/>
  <c r="DU473" i="21"/>
  <c r="EM473" i="21" s="1"/>
  <c r="EP473" i="21" s="1"/>
  <c r="EQ473" i="21" s="1"/>
  <c r="Y490" i="21"/>
  <c r="Y495" i="21"/>
  <c r="GA446" i="21"/>
  <c r="CS446" i="21" s="1"/>
  <c r="DL446" i="21"/>
  <c r="AK446" i="21"/>
  <c r="X449" i="21"/>
  <c r="BA449" i="21"/>
  <c r="BB449" i="21" s="1"/>
  <c r="DU465" i="21"/>
  <c r="BB468" i="21"/>
  <c r="BH476" i="21"/>
  <c r="AZ476" i="21"/>
  <c r="EL488" i="21"/>
  <c r="EK488" i="21" s="1"/>
  <c r="Y488" i="21"/>
  <c r="I446" i="21"/>
  <c r="BB446" i="21" s="1"/>
  <c r="EU472" i="21"/>
  <c r="EV472" i="21" s="1"/>
  <c r="ET472" i="21"/>
  <c r="CE475" i="21"/>
  <c r="AQ490" i="21"/>
  <c r="AR490" i="21" s="1"/>
  <c r="T442" i="21"/>
  <c r="EA445" i="21"/>
  <c r="AM446" i="21"/>
  <c r="CD448" i="21"/>
  <c r="CE448" i="21" s="1"/>
  <c r="DU486" i="21"/>
  <c r="EM486" i="21" s="1"/>
  <c r="EP486" i="21" s="1"/>
  <c r="EQ486" i="21" s="1"/>
  <c r="AS440" i="21"/>
  <c r="FZ446" i="21"/>
  <c r="AN446" i="21"/>
  <c r="CD446" i="21"/>
  <c r="CE446" i="21" s="1"/>
  <c r="EK448" i="21"/>
  <c r="ET448" i="21" s="1"/>
  <c r="EB467" i="21"/>
  <c r="EH467" i="21" s="1"/>
  <c r="AY472" i="21"/>
  <c r="AZ472" i="21" s="1"/>
  <c r="ET485" i="21"/>
  <c r="EU485" i="21" s="1"/>
  <c r="EV485" i="21" s="1"/>
  <c r="EU490" i="21"/>
  <c r="EV490" i="21" s="1"/>
  <c r="L446" i="21"/>
  <c r="U448" i="21"/>
  <c r="CF448" i="21"/>
  <c r="CH448" i="21" s="1"/>
  <c r="FZ449" i="21"/>
  <c r="EA449" i="21"/>
  <c r="BA472" i="21"/>
  <c r="BB472" i="21" s="1"/>
  <c r="EE448" i="21"/>
  <c r="CI474" i="21"/>
  <c r="CK474" i="21" s="1"/>
  <c r="ED479" i="21"/>
  <c r="EB482" i="21"/>
  <c r="EH482" i="21" s="1"/>
  <c r="BE495" i="21"/>
  <c r="BF495" i="21" s="1"/>
  <c r="EA495" i="21"/>
  <c r="EB495" i="21" s="1"/>
  <c r="EH495" i="21" s="1"/>
  <c r="AS449" i="21"/>
  <c r="ED472" i="21"/>
  <c r="Y473" i="21"/>
  <c r="CH475" i="21"/>
  <c r="CI482" i="21"/>
  <c r="CK482" i="21" s="1"/>
  <c r="ET487" i="21"/>
  <c r="EU487" i="21" s="1"/>
  <c r="EV487" i="21" s="1"/>
  <c r="Y493" i="21"/>
  <c r="Q448" i="21"/>
  <c r="T448" i="21" s="1"/>
  <c r="AQ466" i="21"/>
  <c r="AR466" i="21" s="1"/>
  <c r="ET475" i="21"/>
  <c r="AY476" i="21"/>
  <c r="EL465" i="21"/>
  <c r="EK465" i="21" s="1"/>
  <c r="BI468" i="21"/>
  <c r="DT468" i="21"/>
  <c r="AZ475" i="21"/>
  <c r="EU484" i="21"/>
  <c r="EV484" i="21" s="1"/>
  <c r="BH483" i="21"/>
  <c r="AZ483" i="21"/>
  <c r="BC483" i="21" s="1"/>
  <c r="AY483" i="21"/>
  <c r="FY494" i="21"/>
  <c r="GA494" i="21" s="1"/>
  <c r="Y470" i="21"/>
  <c r="CH470" i="21"/>
  <c r="CI470" i="21" s="1"/>
  <c r="CK470" i="21" s="1"/>
  <c r="BB475" i="21"/>
  <c r="Y476" i="21"/>
  <c r="Y485" i="21"/>
  <c r="EU474" i="21"/>
  <c r="EV474" i="21" s="1"/>
  <c r="BI475" i="21"/>
  <c r="BJ475" i="21" s="1"/>
  <c r="CI491" i="21"/>
  <c r="CK491" i="21" s="1"/>
  <c r="AY496" i="21"/>
  <c r="CB467" i="21"/>
  <c r="CI467" i="21" s="1"/>
  <c r="CK467" i="21" s="1"/>
  <c r="EB469" i="21"/>
  <c r="EH469" i="21" s="1"/>
  <c r="EU470" i="21"/>
  <c r="EV470" i="21" s="1"/>
  <c r="EU482" i="21"/>
  <c r="EV482" i="21" s="1"/>
  <c r="ET482" i="21"/>
  <c r="AQ485" i="21"/>
  <c r="AR485" i="21" s="1"/>
  <c r="AZ494" i="21"/>
  <c r="BA496" i="21"/>
  <c r="BB496" i="21" s="1"/>
  <c r="DU475" i="21"/>
  <c r="ED476" i="21"/>
  <c r="BI477" i="21"/>
  <c r="BJ477" i="21" s="1"/>
  <c r="DT477" i="21"/>
  <c r="CH478" i="21"/>
  <c r="CI478" i="21" s="1"/>
  <c r="CK478" i="21" s="1"/>
  <c r="AY481" i="21"/>
  <c r="BH481" i="21" s="1"/>
  <c r="BI483" i="21"/>
  <c r="DT483" i="21"/>
  <c r="AY494" i="21"/>
  <c r="BH494" i="21" s="1"/>
  <c r="X496" i="21"/>
  <c r="CH471" i="21"/>
  <c r="BH479" i="21"/>
  <c r="AZ479" i="21"/>
  <c r="BA492" i="21"/>
  <c r="BB492" i="21" s="1"/>
  <c r="BC492" i="21" s="1"/>
  <c r="X492" i="21"/>
  <c r="BA494" i="21"/>
  <c r="BB494" i="21" s="1"/>
  <c r="FZ448" i="21"/>
  <c r="AY479" i="21"/>
  <c r="AQ483" i="21"/>
  <c r="AR483" i="21" s="1"/>
  <c r="X494" i="21"/>
  <c r="EB484" i="21"/>
  <c r="EH484" i="21" s="1"/>
  <c r="FZ496" i="21"/>
  <c r="FY496" i="21" s="1"/>
  <c r="BE496" i="21"/>
  <c r="BF496" i="21" s="1"/>
  <c r="CE486" i="21"/>
  <c r="EA496" i="21"/>
  <c r="EB496" i="21" s="1"/>
  <c r="EH496" i="21" s="1"/>
  <c r="EB480" i="21"/>
  <c r="EH480" i="21" s="1"/>
  <c r="BH486" i="21"/>
  <c r="EB489" i="21"/>
  <c r="EH489" i="21" s="1"/>
  <c r="CB492" i="21"/>
  <c r="CI492" i="21" s="1"/>
  <c r="CK492" i="21" s="1"/>
  <c r="CE482" i="21"/>
  <c r="BH484" i="21"/>
  <c r="BH491" i="21"/>
  <c r="EB493" i="21"/>
  <c r="EH493" i="21" s="1"/>
  <c r="BJ474" i="21"/>
  <c r="BJ478" i="21"/>
  <c r="BH482" i="21"/>
  <c r="Y486" i="21"/>
  <c r="CE489" i="21"/>
  <c r="CI489" i="21" s="1"/>
  <c r="CK489" i="21" s="1"/>
  <c r="EM477" i="21"/>
  <c r="EP477" i="21" s="1"/>
  <c r="EQ477" i="21" s="1"/>
  <c r="DN477" i="21" s="1"/>
  <c r="BH480" i="21"/>
  <c r="EB487" i="21"/>
  <c r="EH487" i="21" s="1"/>
  <c r="BI484" i="21"/>
  <c r="BJ484" i="21" s="1"/>
  <c r="DT484" i="21"/>
  <c r="BH489" i="21"/>
  <c r="EA491" i="21"/>
  <c r="EB491" i="21" s="1"/>
  <c r="EH491" i="21" s="1"/>
  <c r="FZ491" i="21"/>
  <c r="FY491" i="21" s="1"/>
  <c r="GA491" i="21" s="1"/>
  <c r="BE491" i="21"/>
  <c r="BF491" i="21" s="1"/>
  <c r="GA492" i="21"/>
  <c r="BB479" i="21"/>
  <c r="FY493" i="21"/>
  <c r="GA493" i="21" s="1"/>
  <c r="Y482" i="21"/>
  <c r="EB485" i="21"/>
  <c r="EH485" i="21" s="1"/>
  <c r="CE487" i="21"/>
  <c r="CI487" i="21" s="1"/>
  <c r="CK487" i="21" s="1"/>
  <c r="BH492" i="21"/>
  <c r="M493" i="21"/>
  <c r="BF493" i="21" s="1"/>
  <c r="AX493" i="21"/>
  <c r="GA496" i="21"/>
  <c r="GB496" i="21" s="1"/>
  <c r="AZ491" i="21"/>
  <c r="BC491" i="21" s="1"/>
  <c r="DI494" i="21"/>
  <c r="AZ495" i="21"/>
  <c r="BC495" i="21" s="1"/>
  <c r="GH314" i="20"/>
  <c r="O430" i="20"/>
  <c r="EI230" i="20"/>
  <c r="BJ59" i="20"/>
  <c r="EG314" i="20"/>
  <c r="EG256" i="20"/>
  <c r="CP63" i="20"/>
  <c r="AS319" i="20"/>
  <c r="BI338" i="20"/>
  <c r="AF318" i="20"/>
  <c r="ET318" i="20" s="1"/>
  <c r="ES318" i="20" s="1"/>
  <c r="ES347" i="20"/>
  <c r="EG440" i="20"/>
  <c r="EG211" i="20"/>
  <c r="CM490" i="20"/>
  <c r="CP168" i="20"/>
  <c r="CP436" i="20"/>
  <c r="O258" i="20"/>
  <c r="AF273" i="20"/>
  <c r="ET273" i="20" s="1"/>
  <c r="ES273" i="20" s="1"/>
  <c r="W316" i="20"/>
  <c r="EG295" i="20"/>
  <c r="BS117" i="20"/>
  <c r="BT117" i="20" s="1"/>
  <c r="BV117" i="20" s="1"/>
  <c r="EG411" i="20"/>
  <c r="EG238" i="20"/>
  <c r="BI403" i="20"/>
  <c r="AB76" i="20"/>
  <c r="BS132" i="20"/>
  <c r="BT132" i="20" s="1"/>
  <c r="BV132" i="20" s="1"/>
  <c r="AC94" i="20"/>
  <c r="CP170" i="20"/>
  <c r="W431" i="20"/>
  <c r="BS130" i="20"/>
  <c r="BT130" i="20" s="1"/>
  <c r="BV130" i="20" s="1"/>
  <c r="CP173" i="20"/>
  <c r="AC432" i="20"/>
  <c r="O249" i="20"/>
  <c r="AU249" i="20"/>
  <c r="K15" i="20"/>
  <c r="AB193" i="20"/>
  <c r="CU174" i="20"/>
  <c r="DC174" i="20" s="1"/>
  <c r="CP176" i="20"/>
  <c r="CP223" i="20"/>
  <c r="AV249" i="20"/>
  <c r="EG292" i="20"/>
  <c r="M15" i="20"/>
  <c r="CP42" i="20"/>
  <c r="EG100" i="20"/>
  <c r="EG103" i="20"/>
  <c r="BI434" i="20"/>
  <c r="CL354" i="20"/>
  <c r="CM354" i="20" s="1"/>
  <c r="EI276" i="20"/>
  <c r="BI412" i="20"/>
  <c r="ES444" i="20"/>
  <c r="ES411" i="20"/>
  <c r="ES336" i="20"/>
  <c r="BS41" i="20"/>
  <c r="BT41" i="20" s="1"/>
  <c r="BV41" i="20" s="1"/>
  <c r="EI397" i="20"/>
  <c r="DT411" i="20"/>
  <c r="AC424" i="20"/>
  <c r="AC238" i="20"/>
  <c r="BZ51" i="20"/>
  <c r="EH51" i="20" s="1"/>
  <c r="EJ51" i="20" s="1"/>
  <c r="EP51" i="20" s="1"/>
  <c r="EM52" i="20"/>
  <c r="Q217" i="20"/>
  <c r="EM217" i="20" s="1"/>
  <c r="CP304" i="20"/>
  <c r="CP305" i="20"/>
  <c r="BI270" i="20"/>
  <c r="ES231" i="20"/>
  <c r="CP112" i="20"/>
  <c r="DT406" i="20"/>
  <c r="ES96" i="20"/>
  <c r="CP235" i="20"/>
  <c r="EI228" i="20"/>
  <c r="EI333" i="20"/>
  <c r="EG330" i="20"/>
  <c r="DT262" i="20"/>
  <c r="AC294" i="20"/>
  <c r="AC93" i="20"/>
  <c r="CP183" i="20"/>
  <c r="CP175" i="20"/>
  <c r="W314" i="20"/>
  <c r="AF326" i="20"/>
  <c r="ET326" i="20" s="1"/>
  <c r="ES326" i="20" s="1"/>
  <c r="GH282" i="20"/>
  <c r="EG406" i="20"/>
  <c r="W415" i="20"/>
  <c r="O55" i="20"/>
  <c r="CP89" i="20"/>
  <c r="CP233" i="20"/>
  <c r="AF381" i="20"/>
  <c r="ET381" i="20" s="1"/>
  <c r="ES381" i="20" s="1"/>
  <c r="W440" i="20"/>
  <c r="W212" i="20"/>
  <c r="BG479" i="20"/>
  <c r="BH479" i="20" s="1"/>
  <c r="EP496" i="20"/>
  <c r="DU496" i="20" s="1"/>
  <c r="O101" i="20"/>
  <c r="AC141" i="20"/>
  <c r="CI150" i="20"/>
  <c r="CP227" i="20"/>
  <c r="L341" i="20"/>
  <c r="AO341" i="20" s="1"/>
  <c r="CK341" i="20" s="1"/>
  <c r="ES292" i="20"/>
  <c r="CP194" i="20"/>
  <c r="AC270" i="20"/>
  <c r="CJ475" i="20"/>
  <c r="CJ477" i="20"/>
  <c r="GI477" i="20"/>
  <c r="GI480" i="20"/>
  <c r="CJ481" i="20"/>
  <c r="BF56" i="20"/>
  <c r="CU56" i="20" s="1"/>
  <c r="FO56" i="20" s="1"/>
  <c r="CP57" i="20"/>
  <c r="AB162" i="20"/>
  <c r="BZ173" i="20"/>
  <c r="EH173" i="20" s="1"/>
  <c r="EJ173" i="20" s="1"/>
  <c r="EP173" i="20" s="1"/>
  <c r="DU173" i="20" s="1"/>
  <c r="AB222" i="20"/>
  <c r="BG222" i="20" s="1"/>
  <c r="BP222" i="20" s="1"/>
  <c r="BM326" i="20"/>
  <c r="CP381" i="20"/>
  <c r="L357" i="20"/>
  <c r="AO357" i="20" s="1"/>
  <c r="CK357" i="20" s="1"/>
  <c r="AF357" i="20"/>
  <c r="ET357" i="20" s="1"/>
  <c r="ES357" i="20" s="1"/>
  <c r="EG424" i="20"/>
  <c r="EG270" i="20"/>
  <c r="EG232" i="20"/>
  <c r="BS24" i="20"/>
  <c r="BU24" i="20" s="1"/>
  <c r="DQ116" i="20"/>
  <c r="BI297" i="20"/>
  <c r="GF326" i="20"/>
  <c r="AU386" i="20"/>
  <c r="AU243" i="20"/>
  <c r="EG184" i="20"/>
  <c r="CM480" i="20"/>
  <c r="BI92" i="20"/>
  <c r="BJ92" i="20" s="1"/>
  <c r="AC136" i="20"/>
  <c r="AA436" i="20"/>
  <c r="AS286" i="20"/>
  <c r="AC315" i="20"/>
  <c r="CP56" i="20"/>
  <c r="CP81" i="20"/>
  <c r="BS134" i="20"/>
  <c r="BT134" i="20" s="1"/>
  <c r="BV134" i="20" s="1"/>
  <c r="BI163" i="20"/>
  <c r="BJ163" i="20" s="1"/>
  <c r="Q182" i="20"/>
  <c r="AT182" i="20" s="1"/>
  <c r="AV220" i="20"/>
  <c r="AB223" i="20"/>
  <c r="BG223" i="20" s="1"/>
  <c r="BH223" i="20" s="1"/>
  <c r="AF267" i="20"/>
  <c r="AG267" i="20" s="1"/>
  <c r="BQ267" i="20" s="1"/>
  <c r="CL349" i="20"/>
  <c r="CM349" i="20" s="1"/>
  <c r="L253" i="20"/>
  <c r="BJ253" i="20" s="1"/>
  <c r="AS364" i="20"/>
  <c r="AF232" i="20"/>
  <c r="ET232" i="20" s="1"/>
  <c r="ES232" i="20" s="1"/>
  <c r="CP191" i="20"/>
  <c r="CP47" i="20"/>
  <c r="AC92" i="20"/>
  <c r="W103" i="20"/>
  <c r="CH103" i="20" s="1"/>
  <c r="L104" i="20"/>
  <c r="DR104" i="20" s="1"/>
  <c r="AF104" i="20"/>
  <c r="ET104" i="20" s="1"/>
  <c r="ES104" i="20" s="1"/>
  <c r="AF109" i="20"/>
  <c r="ET109" i="20" s="1"/>
  <c r="ES109" i="20" s="1"/>
  <c r="AC144" i="20"/>
  <c r="AS146" i="20"/>
  <c r="AU146" i="20" s="1"/>
  <c r="CN149" i="20"/>
  <c r="CP149" i="20" s="1"/>
  <c r="AY164" i="20"/>
  <c r="Q202" i="20"/>
  <c r="EM202" i="20" s="1"/>
  <c r="CP178" i="20"/>
  <c r="CP182" i="20"/>
  <c r="AA452" i="20"/>
  <c r="CP452" i="20"/>
  <c r="AC286" i="20"/>
  <c r="BM234" i="20"/>
  <c r="EI360" i="20"/>
  <c r="EI283" i="20"/>
  <c r="GH472" i="20"/>
  <c r="GG472" i="20" s="1"/>
  <c r="GI472" i="20" s="1"/>
  <c r="AF482" i="20"/>
  <c r="ET482" i="20" s="1"/>
  <c r="ES482" i="20" s="1"/>
  <c r="CJ503" i="20"/>
  <c r="CN207" i="20"/>
  <c r="CP207" i="20" s="1"/>
  <c r="BS28" i="20"/>
  <c r="BU28" i="20" s="1"/>
  <c r="BI100" i="20"/>
  <c r="AU172" i="20"/>
  <c r="CP174" i="20"/>
  <c r="ET165" i="20"/>
  <c r="ES165" i="20" s="1"/>
  <c r="O310" i="20"/>
  <c r="L311" i="20"/>
  <c r="P311" i="20" s="1"/>
  <c r="BN311" i="20" s="1"/>
  <c r="CW311" i="20" s="1"/>
  <c r="AS271" i="20"/>
  <c r="L260" i="20"/>
  <c r="BJ260" i="20" s="1"/>
  <c r="EI244" i="20"/>
  <c r="AF209" i="20"/>
  <c r="ET209" i="20" s="1"/>
  <c r="ES209" i="20" s="1"/>
  <c r="GI483" i="20"/>
  <c r="CJ492" i="20"/>
  <c r="AG494" i="20"/>
  <c r="BQ494" i="20" s="1"/>
  <c r="CI28" i="20"/>
  <c r="CJ28" i="20" s="1"/>
  <c r="DR58" i="20"/>
  <c r="CP68" i="20"/>
  <c r="BI77" i="20"/>
  <c r="BJ77" i="20" s="1"/>
  <c r="CP78" i="20"/>
  <c r="BI98" i="20"/>
  <c r="BJ98" i="20" s="1"/>
  <c r="DR113" i="20"/>
  <c r="FG113" i="20" s="1"/>
  <c r="FH113" i="20" s="1"/>
  <c r="CH115" i="20"/>
  <c r="CI121" i="20"/>
  <c r="BF380" i="20"/>
  <c r="CU380" i="20" s="1"/>
  <c r="CP204" i="20"/>
  <c r="CI206" i="20"/>
  <c r="CP206" i="20"/>
  <c r="CP450" i="20"/>
  <c r="AA430" i="20"/>
  <c r="CP434" i="20"/>
  <c r="CP220" i="20"/>
  <c r="AR229" i="20"/>
  <c r="AU311" i="20"/>
  <c r="AF369" i="20"/>
  <c r="ET369" i="20" s="1"/>
  <c r="ES369" i="20" s="1"/>
  <c r="EG316" i="20"/>
  <c r="AF332" i="20"/>
  <c r="ET332" i="20" s="1"/>
  <c r="ES332" i="20" s="1"/>
  <c r="BI262" i="20"/>
  <c r="W259" i="20"/>
  <c r="GH252" i="20"/>
  <c r="EG412" i="20"/>
  <c r="AC445" i="20"/>
  <c r="L239" i="20"/>
  <c r="BJ239" i="20" s="1"/>
  <c r="AF239" i="20"/>
  <c r="ET239" i="20" s="1"/>
  <c r="ES239" i="20" s="1"/>
  <c r="EG231" i="20"/>
  <c r="O211" i="20"/>
  <c r="CP474" i="20"/>
  <c r="CJ496" i="20"/>
  <c r="CI24" i="20"/>
  <c r="O28" i="20"/>
  <c r="EM41" i="20"/>
  <c r="CP45" i="20"/>
  <c r="DR54" i="20"/>
  <c r="DR78" i="20"/>
  <c r="AF111" i="20"/>
  <c r="ET111" i="20" s="1"/>
  <c r="ES111" i="20" s="1"/>
  <c r="FB111" i="20" s="1"/>
  <c r="FC111" i="20" s="1"/>
  <c r="FD111" i="20" s="1"/>
  <c r="EM113" i="20"/>
  <c r="AC128" i="20"/>
  <c r="U160" i="20"/>
  <c r="EG160" i="20" s="1"/>
  <c r="AV224" i="20"/>
  <c r="AV310" i="20"/>
  <c r="EJ384" i="20"/>
  <c r="EP384" i="20" s="1"/>
  <c r="AV311" i="20"/>
  <c r="EG273" i="20"/>
  <c r="K16" i="20"/>
  <c r="BM337" i="20"/>
  <c r="EG341" i="20"/>
  <c r="N15" i="20"/>
  <c r="AG265" i="20"/>
  <c r="EB265" i="20" s="1"/>
  <c r="EG245" i="20"/>
  <c r="EG370" i="20"/>
  <c r="EG403" i="20"/>
  <c r="O198" i="20"/>
  <c r="BF474" i="20"/>
  <c r="CP482" i="20"/>
  <c r="P503" i="20"/>
  <c r="GF21" i="20"/>
  <c r="DT29" i="20"/>
  <c r="DQ45" i="20"/>
  <c r="BS47" i="20"/>
  <c r="BT47" i="20" s="1"/>
  <c r="BV47" i="20" s="1"/>
  <c r="BJ69" i="20"/>
  <c r="BJ88" i="20"/>
  <c r="EG104" i="20"/>
  <c r="AF106" i="20"/>
  <c r="ET106" i="20" s="1"/>
  <c r="ES106" i="20" s="1"/>
  <c r="L137" i="20"/>
  <c r="BF160" i="20"/>
  <c r="CP169" i="20"/>
  <c r="AS452" i="20"/>
  <c r="AU225" i="20"/>
  <c r="U179" i="20"/>
  <c r="EG179" i="20" s="1"/>
  <c r="EG269" i="20"/>
  <c r="EG366" i="20"/>
  <c r="BM250" i="20"/>
  <c r="EG418" i="20"/>
  <c r="AV252" i="20"/>
  <c r="BI280" i="20"/>
  <c r="CN440" i="20"/>
  <c r="CP440" i="20" s="1"/>
  <c r="L342" i="20"/>
  <c r="BF342" i="20" s="1"/>
  <c r="CU342" i="20" s="1"/>
  <c r="AF342" i="20"/>
  <c r="ET342" i="20" s="1"/>
  <c r="ES342" i="20" s="1"/>
  <c r="AY472" i="20"/>
  <c r="CI37" i="20"/>
  <c r="CJ37" i="20" s="1"/>
  <c r="CI47" i="20"/>
  <c r="AS62" i="20"/>
  <c r="AU62" i="20" s="1"/>
  <c r="DR64" i="20"/>
  <c r="AF75" i="20"/>
  <c r="AG75" i="20" s="1"/>
  <c r="EB75" i="20" s="1"/>
  <c r="AF79" i="20"/>
  <c r="ET79" i="20" s="1"/>
  <c r="ES79" i="20" s="1"/>
  <c r="AF88" i="20"/>
  <c r="ET88" i="20" s="1"/>
  <c r="ES88" i="20" s="1"/>
  <c r="BS115" i="20"/>
  <c r="BU115" i="20" s="1"/>
  <c r="CH118" i="20"/>
  <c r="CH121" i="20"/>
  <c r="CP132" i="20"/>
  <c r="L133" i="20"/>
  <c r="AV140" i="20"/>
  <c r="GF162" i="20"/>
  <c r="BM166" i="20"/>
  <c r="CP456" i="20"/>
  <c r="L452" i="20"/>
  <c r="DQ452" i="20" s="1"/>
  <c r="CP453" i="20"/>
  <c r="AA422" i="20"/>
  <c r="W392" i="20"/>
  <c r="EG271" i="20"/>
  <c r="P483" i="20"/>
  <c r="BN483" i="20" s="1"/>
  <c r="DQ1" i="20"/>
  <c r="CP21" i="20"/>
  <c r="DQ28" i="20"/>
  <c r="AF55" i="20"/>
  <c r="ET55" i="20" s="1"/>
  <c r="ES55" i="20" s="1"/>
  <c r="AF61" i="20"/>
  <c r="ET61" i="20" s="1"/>
  <c r="ES61" i="20" s="1"/>
  <c r="AC83" i="20"/>
  <c r="AF95" i="20"/>
  <c r="ET95" i="20" s="1"/>
  <c r="ES95" i="20" s="1"/>
  <c r="FB95" i="20" s="1"/>
  <c r="FC95" i="20" s="1"/>
  <c r="FD95" i="20" s="1"/>
  <c r="CI126" i="20"/>
  <c r="L146" i="20"/>
  <c r="DR146" i="20" s="1"/>
  <c r="BB193" i="20"/>
  <c r="EC193" i="20" s="1"/>
  <c r="CI389" i="20"/>
  <c r="CJ389" i="20" s="1"/>
  <c r="O273" i="20"/>
  <c r="ES269" i="20"/>
  <c r="AV325" i="20"/>
  <c r="AC367" i="20"/>
  <c r="EG347" i="20"/>
  <c r="BI398" i="20"/>
  <c r="O406" i="20"/>
  <c r="BI238" i="20"/>
  <c r="AF240" i="20"/>
  <c r="ET240" i="20" s="1"/>
  <c r="ES240" i="20" s="1"/>
  <c r="BI243" i="20"/>
  <c r="AF119" i="20"/>
  <c r="ET119" i="20" s="1"/>
  <c r="ES119" i="20" s="1"/>
  <c r="BI119" i="20"/>
  <c r="BJ119" i="20" s="1"/>
  <c r="DT123" i="20"/>
  <c r="DQ123" i="20"/>
  <c r="DQ153" i="20"/>
  <c r="L153" i="20"/>
  <c r="BJ153" i="20" s="1"/>
  <c r="AU161" i="20"/>
  <c r="AS455" i="20"/>
  <c r="L455" i="20"/>
  <c r="U455" i="20" s="1"/>
  <c r="T455" i="20" s="1"/>
  <c r="L432" i="20"/>
  <c r="AO432" i="20" s="1"/>
  <c r="CL432" i="20" s="1"/>
  <c r="CM432" i="20" s="1"/>
  <c r="AA432" i="20"/>
  <c r="BI417" i="20"/>
  <c r="AF417" i="20"/>
  <c r="ET417" i="20" s="1"/>
  <c r="ES417" i="20" s="1"/>
  <c r="CP31" i="20"/>
  <c r="O40" i="20"/>
  <c r="DR57" i="20"/>
  <c r="O58" i="20"/>
  <c r="DQ64" i="20"/>
  <c r="AC71" i="20"/>
  <c r="BJ72" i="20"/>
  <c r="O74" i="20"/>
  <c r="O78" i="20"/>
  <c r="AF86" i="20"/>
  <c r="ET86" i="20" s="1"/>
  <c r="ES86" i="20" s="1"/>
  <c r="AC88" i="20"/>
  <c r="S92" i="20"/>
  <c r="BZ92" i="20" s="1"/>
  <c r="EH92" i="20" s="1"/>
  <c r="EJ92" i="20" s="1"/>
  <c r="EP92" i="20" s="1"/>
  <c r="DT104" i="20"/>
  <c r="CI108" i="20"/>
  <c r="CP117" i="20"/>
  <c r="W455" i="20"/>
  <c r="GF455" i="20"/>
  <c r="CI382" i="20"/>
  <c r="CH382" i="20"/>
  <c r="AF321" i="20"/>
  <c r="ET321" i="20" s="1"/>
  <c r="ES321" i="20" s="1"/>
  <c r="BI321" i="20"/>
  <c r="AS417" i="20"/>
  <c r="L417" i="20"/>
  <c r="BF417" i="20" s="1"/>
  <c r="CU417" i="20" s="1"/>
  <c r="GF232" i="20"/>
  <c r="AC232" i="20"/>
  <c r="AV27" i="20"/>
  <c r="GG29" i="20"/>
  <c r="AS30" i="20"/>
  <c r="AT30" i="20" s="1"/>
  <c r="DQ31" i="20"/>
  <c r="O57" i="20"/>
  <c r="CP67" i="20"/>
  <c r="AC82" i="20"/>
  <c r="GH98" i="20"/>
  <c r="CP105" i="20"/>
  <c r="CN148" i="20"/>
  <c r="CP148" i="20" s="1"/>
  <c r="L150" i="20"/>
  <c r="O150" i="20"/>
  <c r="BB156" i="20"/>
  <c r="EC156" i="20" s="1"/>
  <c r="GF164" i="20"/>
  <c r="BZ164" i="20"/>
  <c r="EH164" i="20" s="1"/>
  <c r="EJ164" i="20" s="1"/>
  <c r="AC164" i="20"/>
  <c r="BG164" i="20" s="1"/>
  <c r="CP171" i="20"/>
  <c r="EG368" i="20"/>
  <c r="EM423" i="20"/>
  <c r="L234" i="20"/>
  <c r="P234" i="20" s="1"/>
  <c r="AS234" i="20"/>
  <c r="EG98" i="20"/>
  <c r="DT129" i="20"/>
  <c r="L129" i="20"/>
  <c r="BF129" i="20" s="1"/>
  <c r="CU129" i="20" s="1"/>
  <c r="AD15" i="20"/>
  <c r="AF384" i="20"/>
  <c r="AG384" i="20" s="1"/>
  <c r="BQ384" i="20" s="1"/>
  <c r="BI384" i="20"/>
  <c r="BF181" i="20"/>
  <c r="CU181" i="20" s="1"/>
  <c r="DI181" i="20" s="1"/>
  <c r="U181" i="20"/>
  <c r="EG181" i="20" s="1"/>
  <c r="O296" i="20"/>
  <c r="BM188" i="20"/>
  <c r="J16" i="20"/>
  <c r="BZ21" i="20"/>
  <c r="EH21" i="20" s="1"/>
  <c r="EJ21" i="20" s="1"/>
  <c r="EP21" i="20" s="1"/>
  <c r="DU21" i="20" s="1"/>
  <c r="O44" i="20"/>
  <c r="L49" i="20"/>
  <c r="BF49" i="20" s="1"/>
  <c r="CP54" i="20"/>
  <c r="AF59" i="20"/>
  <c r="ET59" i="20" s="1"/>
  <c r="ES59" i="20" s="1"/>
  <c r="FB59" i="20" s="1"/>
  <c r="FC59" i="20" s="1"/>
  <c r="FD59" i="20" s="1"/>
  <c r="CP60" i="20"/>
  <c r="DR76" i="20"/>
  <c r="CP93" i="20"/>
  <c r="O95" i="20"/>
  <c r="AF107" i="20"/>
  <c r="ET107" i="20" s="1"/>
  <c r="ES107" i="20" s="1"/>
  <c r="FB107" i="20" s="1"/>
  <c r="BM117" i="20"/>
  <c r="BN117" i="20" s="1"/>
  <c r="CW117" i="20" s="1"/>
  <c r="GH150" i="20"/>
  <c r="AF162" i="20"/>
  <c r="AG162" i="20" s="1"/>
  <c r="BQ162" i="20" s="1"/>
  <c r="L297" i="20"/>
  <c r="AO297" i="20" s="1"/>
  <c r="CL297" i="20" s="1"/>
  <c r="CM297" i="20" s="1"/>
  <c r="AA297" i="20"/>
  <c r="AU297" i="20"/>
  <c r="AF299" i="20"/>
  <c r="ET299" i="20" s="1"/>
  <c r="ES299" i="20" s="1"/>
  <c r="AU383" i="20"/>
  <c r="DT383" i="20"/>
  <c r="AS370" i="20"/>
  <c r="L370" i="20"/>
  <c r="DQ370" i="20" s="1"/>
  <c r="CI156" i="20"/>
  <c r="AB156" i="20"/>
  <c r="CI163" i="20"/>
  <c r="AB163" i="20"/>
  <c r="AU456" i="20"/>
  <c r="DT456" i="20"/>
  <c r="AF222" i="20"/>
  <c r="AG222" i="20" s="1"/>
  <c r="BI222" i="20"/>
  <c r="P181" i="20"/>
  <c r="BI315" i="20"/>
  <c r="AF315" i="20"/>
  <c r="ET315" i="20" s="1"/>
  <c r="ES315" i="20" s="1"/>
  <c r="BI390" i="20"/>
  <c r="AF390" i="20"/>
  <c r="ET390" i="20" s="1"/>
  <c r="ES390" i="20" s="1"/>
  <c r="CN345" i="20"/>
  <c r="CP345" i="20" s="1"/>
  <c r="O345" i="20"/>
  <c r="M16" i="20"/>
  <c r="AV20" i="20"/>
  <c r="AY20" i="20" s="1"/>
  <c r="AZ20" i="20" s="1"/>
  <c r="BS25" i="20"/>
  <c r="BT25" i="20" s="1"/>
  <c r="BV25" i="20" s="1"/>
  <c r="CP26" i="20"/>
  <c r="DQ27" i="20"/>
  <c r="GG33" i="20"/>
  <c r="BS45" i="20"/>
  <c r="BT45" i="20" s="1"/>
  <c r="BV45" i="20" s="1"/>
  <c r="GG52" i="20"/>
  <c r="BF58" i="20"/>
  <c r="CU58" i="20" s="1"/>
  <c r="FO58" i="20" s="1"/>
  <c r="BJ63" i="20"/>
  <c r="AS74" i="20"/>
  <c r="AU74" i="20" s="1"/>
  <c r="DR79" i="20"/>
  <c r="BJ81" i="20"/>
  <c r="DR90" i="20"/>
  <c r="GF115" i="20"/>
  <c r="CP127" i="20"/>
  <c r="AU204" i="20"/>
  <c r="AC165" i="20"/>
  <c r="L456" i="20"/>
  <c r="W450" i="20"/>
  <c r="AC450" i="20"/>
  <c r="AF431" i="20"/>
  <c r="ET431" i="20" s="1"/>
  <c r="ES431" i="20" s="1"/>
  <c r="AT236" i="20"/>
  <c r="EM384" i="20"/>
  <c r="AU384" i="20"/>
  <c r="AT384" i="20"/>
  <c r="O384" i="20"/>
  <c r="DT271" i="20"/>
  <c r="AU271" i="20"/>
  <c r="L261" i="20"/>
  <c r="AO261" i="20" s="1"/>
  <c r="CK261" i="20" s="1"/>
  <c r="O261" i="20"/>
  <c r="EG367" i="20"/>
  <c r="L360" i="20"/>
  <c r="DQ360" i="20" s="1"/>
  <c r="AS360" i="20"/>
  <c r="DQ497" i="20"/>
  <c r="FB497" i="20" s="1"/>
  <c r="FC497" i="20" s="1"/>
  <c r="FD497" i="20" s="1"/>
  <c r="BF497" i="20"/>
  <c r="J15" i="20"/>
  <c r="CI25" i="20"/>
  <c r="CJ25" i="20" s="1"/>
  <c r="GG44" i="20"/>
  <c r="GI44" i="20" s="1"/>
  <c r="AS57" i="20"/>
  <c r="AU57" i="20" s="1"/>
  <c r="BJ62" i="20"/>
  <c r="AB67" i="20"/>
  <c r="BM67" i="20" s="1"/>
  <c r="BN67" i="20" s="1"/>
  <c r="CW67" i="20" s="1"/>
  <c r="CN96" i="20"/>
  <c r="CP96" i="20" s="1"/>
  <c r="AC158" i="20"/>
  <c r="AC163" i="20"/>
  <c r="W422" i="20"/>
  <c r="AC422" i="20"/>
  <c r="CI236" i="20"/>
  <c r="CH236" i="20"/>
  <c r="AU332" i="20"/>
  <c r="AS332" i="20"/>
  <c r="EG419" i="20"/>
  <c r="W370" i="20"/>
  <c r="V370" i="20" s="1"/>
  <c r="W403" i="20"/>
  <c r="AS289" i="20"/>
  <c r="L289" i="20"/>
  <c r="BF289" i="20" s="1"/>
  <c r="CU289" i="20" s="1"/>
  <c r="O231" i="20"/>
  <c r="W367" i="20"/>
  <c r="W265" i="20"/>
  <c r="AV410" i="20"/>
  <c r="CP284" i="20"/>
  <c r="W209" i="20"/>
  <c r="GH209" i="20"/>
  <c r="AY484" i="20"/>
  <c r="AZ484" i="20" s="1"/>
  <c r="CM494" i="20"/>
  <c r="CM495" i="20"/>
  <c r="BG502" i="20"/>
  <c r="BP502" i="20" s="1"/>
  <c r="CP115" i="20"/>
  <c r="CP118" i="20"/>
  <c r="AV119" i="20"/>
  <c r="BJ121" i="20"/>
  <c r="CH126" i="20"/>
  <c r="AB128" i="20"/>
  <c r="CI129" i="20"/>
  <c r="BB155" i="20"/>
  <c r="EC155" i="20" s="1"/>
  <c r="BJ380" i="20"/>
  <c r="DQ164" i="20"/>
  <c r="AC172" i="20"/>
  <c r="CI215" i="20"/>
  <c r="BI161" i="20"/>
  <c r="CP435" i="20"/>
  <c r="CP422" i="20"/>
  <c r="CP222" i="20"/>
  <c r="AV383" i="20"/>
  <c r="EM249" i="20"/>
  <c r="CP389" i="20"/>
  <c r="EG274" i="20"/>
  <c r="AC324" i="20"/>
  <c r="BI325" i="20"/>
  <c r="AV307" i="20"/>
  <c r="O262" i="20"/>
  <c r="CL375" i="20"/>
  <c r="CM375" i="20" s="1"/>
  <c r="EG276" i="20"/>
  <c r="CL292" i="20"/>
  <c r="CM292" i="20" s="1"/>
  <c r="CP253" i="20"/>
  <c r="DT352" i="20"/>
  <c r="O241" i="20"/>
  <c r="AU293" i="20"/>
  <c r="AU294" i="20"/>
  <c r="CP397" i="20"/>
  <c r="W398" i="20"/>
  <c r="AU406" i="20"/>
  <c r="L444" i="20"/>
  <c r="DQ444" i="20" s="1"/>
  <c r="EG413" i="20"/>
  <c r="W445" i="20"/>
  <c r="AC438" i="20"/>
  <c r="BM194" i="20"/>
  <c r="AV281" i="20"/>
  <c r="AF334" i="20"/>
  <c r="ET334" i="20" s="1"/>
  <c r="ES334" i="20" s="1"/>
  <c r="AF340" i="20"/>
  <c r="ET340" i="20" s="1"/>
  <c r="ES340" i="20" s="1"/>
  <c r="CP240" i="20"/>
  <c r="EG207" i="20"/>
  <c r="AC184" i="20"/>
  <c r="AF185" i="20"/>
  <c r="ET185" i="20" s="1"/>
  <c r="ES185" i="20" s="1"/>
  <c r="GI478" i="20"/>
  <c r="GI481" i="20"/>
  <c r="BF483" i="20"/>
  <c r="CM496" i="20"/>
  <c r="CJ502" i="20"/>
  <c r="CN153" i="20"/>
  <c r="CP153" i="20" s="1"/>
  <c r="BB163" i="20"/>
  <c r="EC163" i="20" s="1"/>
  <c r="DZ163" i="20" s="1"/>
  <c r="AB202" i="20"/>
  <c r="GF190" i="20"/>
  <c r="CP372" i="20"/>
  <c r="EG354" i="20"/>
  <c r="EG337" i="20"/>
  <c r="EG325" i="20"/>
  <c r="W326" i="20"/>
  <c r="EG257" i="20"/>
  <c r="AV418" i="20"/>
  <c r="EG287" i="20"/>
  <c r="EI295" i="20"/>
  <c r="W288" i="20"/>
  <c r="EG365" i="20"/>
  <c r="EI344" i="20"/>
  <c r="EG358" i="20"/>
  <c r="EG398" i="20"/>
  <c r="AG400" i="20"/>
  <c r="BQ400" i="20" s="1"/>
  <c r="O412" i="20"/>
  <c r="ES413" i="20"/>
  <c r="BI445" i="20"/>
  <c r="O428" i="20"/>
  <c r="AV423" i="20"/>
  <c r="DT270" i="20"/>
  <c r="AV339" i="20"/>
  <c r="AV209" i="20"/>
  <c r="EG208" i="20"/>
  <c r="CP472" i="20"/>
  <c r="BG485" i="20"/>
  <c r="BP485" i="20" s="1"/>
  <c r="BG486" i="20"/>
  <c r="BH486" i="20" s="1"/>
  <c r="BG487" i="20"/>
  <c r="BH487" i="20" s="1"/>
  <c r="BG489" i="20"/>
  <c r="BP489" i="20" s="1"/>
  <c r="BG492" i="20"/>
  <c r="BH492" i="20" s="1"/>
  <c r="BG493" i="20"/>
  <c r="BH493" i="20" s="1"/>
  <c r="BG494" i="20"/>
  <c r="BH494" i="20" s="1"/>
  <c r="BF496" i="20"/>
  <c r="CP121" i="20"/>
  <c r="CP134" i="20"/>
  <c r="CP139" i="20"/>
  <c r="CP142" i="20"/>
  <c r="EM150" i="20"/>
  <c r="CP158" i="20"/>
  <c r="CP160" i="20"/>
  <c r="CP297" i="20"/>
  <c r="CP202" i="20"/>
  <c r="EM452" i="20"/>
  <c r="CP454" i="20"/>
  <c r="L430" i="20"/>
  <c r="AO430" i="20" s="1"/>
  <c r="CL430" i="20" s="1"/>
  <c r="CM430" i="20" s="1"/>
  <c r="CP432" i="20"/>
  <c r="CP433" i="20"/>
  <c r="AV218" i="20"/>
  <c r="AT222" i="20"/>
  <c r="CP308" i="20"/>
  <c r="O271" i="20"/>
  <c r="EI313" i="20"/>
  <c r="W255" i="20"/>
  <c r="GH258" i="20"/>
  <c r="AF251" i="20"/>
  <c r="ET251" i="20" s="1"/>
  <c r="ES251" i="20" s="1"/>
  <c r="L395" i="20"/>
  <c r="BF395" i="20" s="1"/>
  <c r="CU395" i="20" s="1"/>
  <c r="EI347" i="20"/>
  <c r="ES265" i="20"/>
  <c r="AF293" i="20"/>
  <c r="ET293" i="20" s="1"/>
  <c r="ES293" i="20" s="1"/>
  <c r="BM344" i="20"/>
  <c r="EG397" i="20"/>
  <c r="ES405" i="20"/>
  <c r="EG445" i="20"/>
  <c r="CP425" i="20"/>
  <c r="AC231" i="20"/>
  <c r="CN283" i="20"/>
  <c r="CP283" i="20" s="1"/>
  <c r="CL200" i="20"/>
  <c r="O207" i="20"/>
  <c r="GI484" i="20"/>
  <c r="CJ485" i="20"/>
  <c r="CJ487" i="20"/>
  <c r="CJ488" i="20"/>
  <c r="GI490" i="20"/>
  <c r="EM271" i="20"/>
  <c r="EG329" i="20"/>
  <c r="AV241" i="20"/>
  <c r="EG291" i="20"/>
  <c r="EG294" i="20"/>
  <c r="EG344" i="20"/>
  <c r="O404" i="20"/>
  <c r="ES398" i="20"/>
  <c r="AV440" i="20"/>
  <c r="AC417" i="20"/>
  <c r="CL417" i="20"/>
  <c r="GF445" i="20"/>
  <c r="AF415" i="20"/>
  <c r="ET415" i="20" s="1"/>
  <c r="ES415" i="20" s="1"/>
  <c r="EI425" i="20"/>
  <c r="EG290" i="20"/>
  <c r="EG336" i="20"/>
  <c r="EI386" i="20"/>
  <c r="ES210" i="20"/>
  <c r="ES208" i="20"/>
  <c r="EG192" i="20"/>
  <c r="GI473" i="20"/>
  <c r="BG478" i="20"/>
  <c r="BP478" i="20" s="1"/>
  <c r="BF478" i="20"/>
  <c r="CP483" i="20"/>
  <c r="CJ495" i="20"/>
  <c r="GI495" i="20"/>
  <c r="BG498" i="20"/>
  <c r="BP498" i="20" s="1"/>
  <c r="P500" i="20"/>
  <c r="CI113" i="20"/>
  <c r="CP120" i="20"/>
  <c r="CP138" i="20"/>
  <c r="BS141" i="20"/>
  <c r="BU141" i="20" s="1"/>
  <c r="BM147" i="20"/>
  <c r="BN147" i="20" s="1"/>
  <c r="CW147" i="20" s="1"/>
  <c r="EG153" i="20"/>
  <c r="BZ162" i="20"/>
  <c r="EH162" i="20" s="1"/>
  <c r="EJ162" i="20" s="1"/>
  <c r="AU215" i="20"/>
  <c r="O436" i="20"/>
  <c r="O452" i="20"/>
  <c r="L422" i="20"/>
  <c r="BJ422" i="20" s="1"/>
  <c r="CP430" i="20"/>
  <c r="AF433" i="20"/>
  <c r="AG433" i="20" s="1"/>
  <c r="AC392" i="20"/>
  <c r="O225" i="20"/>
  <c r="AB304" i="20"/>
  <c r="BG304" i="20" s="1"/>
  <c r="L249" i="20"/>
  <c r="DQ249" i="20" s="1"/>
  <c r="BZ389" i="20"/>
  <c r="EH389" i="20" s="1"/>
  <c r="EJ389" i="20" s="1"/>
  <c r="EP389" i="20" s="1"/>
  <c r="AF180" i="20"/>
  <c r="ET180" i="20" s="1"/>
  <c r="ES180" i="20" s="1"/>
  <c r="EI274" i="20"/>
  <c r="AC316" i="20"/>
  <c r="EG255" i="20"/>
  <c r="AC258" i="20"/>
  <c r="DT250" i="20"/>
  <c r="W395" i="20"/>
  <c r="EG352" i="20"/>
  <c r="EM252" i="20"/>
  <c r="AU252" i="20"/>
  <c r="CP282" i="20"/>
  <c r="AF358" i="20"/>
  <c r="ET358" i="20" s="1"/>
  <c r="ES358" i="20" s="1"/>
  <c r="AC397" i="20"/>
  <c r="W417" i="20"/>
  <c r="AC212" i="20"/>
  <c r="GH188" i="20"/>
  <c r="CM483" i="20"/>
  <c r="CM491" i="20"/>
  <c r="AY499" i="20"/>
  <c r="AZ499" i="20" s="1"/>
  <c r="BS82" i="20"/>
  <c r="BU82" i="20" s="1"/>
  <c r="CI82" i="20"/>
  <c r="AA450" i="20"/>
  <c r="L450" i="20"/>
  <c r="BF450" i="20" s="1"/>
  <c r="CU450" i="20" s="1"/>
  <c r="O20" i="20"/>
  <c r="BB20" i="20"/>
  <c r="EC20" i="20" s="1"/>
  <c r="BZ22" i="20"/>
  <c r="EH22" i="20" s="1"/>
  <c r="EJ22" i="20" s="1"/>
  <c r="EP22" i="20" s="1"/>
  <c r="DU22" i="20" s="1"/>
  <c r="GF22" i="20"/>
  <c r="EM23" i="20"/>
  <c r="EM24" i="20"/>
  <c r="GG25" i="20"/>
  <c r="BS37" i="20"/>
  <c r="BU37" i="20" s="1"/>
  <c r="EM48" i="20"/>
  <c r="CI49" i="20"/>
  <c r="CJ49" i="20" s="1"/>
  <c r="BJ55" i="20"/>
  <c r="CP58" i="20"/>
  <c r="AS66" i="20"/>
  <c r="AU66" i="20" s="1"/>
  <c r="BI68" i="20"/>
  <c r="BJ68" i="20" s="1"/>
  <c r="CP77" i="20"/>
  <c r="CP92" i="20"/>
  <c r="AC98" i="20"/>
  <c r="CN98" i="20"/>
  <c r="CP98" i="20" s="1"/>
  <c r="BI101" i="20"/>
  <c r="AV113" i="20"/>
  <c r="DT124" i="20"/>
  <c r="L124" i="20"/>
  <c r="CP130" i="20"/>
  <c r="GF134" i="20"/>
  <c r="BZ134" i="20"/>
  <c r="EH134" i="20" s="1"/>
  <c r="EJ134" i="20" s="1"/>
  <c r="P162" i="20"/>
  <c r="U162" i="20"/>
  <c r="EG162" i="20" s="1"/>
  <c r="BZ170" i="20"/>
  <c r="EH170" i="20" s="1"/>
  <c r="EJ170" i="20" s="1"/>
  <c r="BZ176" i="20"/>
  <c r="EH176" i="20" s="1"/>
  <c r="EJ176" i="20" s="1"/>
  <c r="DQ149" i="20"/>
  <c r="L149" i="20"/>
  <c r="BF149" i="20" s="1"/>
  <c r="CU149" i="20" s="1"/>
  <c r="BM22" i="20"/>
  <c r="CP35" i="20"/>
  <c r="DQ43" i="20"/>
  <c r="DR53" i="20"/>
  <c r="CP53" i="20"/>
  <c r="DR67" i="20"/>
  <c r="DR69" i="20"/>
  <c r="DR75" i="20"/>
  <c r="CP79" i="20"/>
  <c r="AB82" i="20"/>
  <c r="BM82" i="20" s="1"/>
  <c r="BN82" i="20" s="1"/>
  <c r="CW82" i="20" s="1"/>
  <c r="GF125" i="20"/>
  <c r="AC125" i="20"/>
  <c r="BI154" i="20"/>
  <c r="BJ154" i="20" s="1"/>
  <c r="AF154" i="20"/>
  <c r="AG154" i="20" s="1"/>
  <c r="BQ154" i="20" s="1"/>
  <c r="BI429" i="20"/>
  <c r="AF429" i="20"/>
  <c r="ET429" i="20" s="1"/>
  <c r="ES429" i="20" s="1"/>
  <c r="AC349" i="20"/>
  <c r="CN349" i="20"/>
  <c r="CP349" i="20" s="1"/>
  <c r="CH22" i="20"/>
  <c r="CJ22" i="20" s="1"/>
  <c r="AC22" i="20"/>
  <c r="BG22" i="20" s="1"/>
  <c r="BH22" i="20" s="1"/>
  <c r="EM25" i="20"/>
  <c r="O36" i="20"/>
  <c r="DQ36" i="20"/>
  <c r="DT39" i="20"/>
  <c r="DT43" i="20"/>
  <c r="BM48" i="20"/>
  <c r="CP55" i="20"/>
  <c r="AF57" i="20"/>
  <c r="AG57" i="20" s="1"/>
  <c r="EB57" i="20" s="1"/>
  <c r="DR61" i="20"/>
  <c r="AF72" i="20"/>
  <c r="AG72" i="20" s="1"/>
  <c r="EB72" i="20" s="1"/>
  <c r="AF74" i="20"/>
  <c r="ET74" i="20" s="1"/>
  <c r="ES74" i="20" s="1"/>
  <c r="DQ74" i="20"/>
  <c r="AS76" i="20"/>
  <c r="AU76" i="20" s="1"/>
  <c r="DQ77" i="20"/>
  <c r="FB77" i="20" s="1"/>
  <c r="FC77" i="20" s="1"/>
  <c r="FD77" i="20" s="1"/>
  <c r="AF81" i="20"/>
  <c r="ET81" i="20" s="1"/>
  <c r="ES81" i="20" s="1"/>
  <c r="CP83" i="20"/>
  <c r="AC84" i="20"/>
  <c r="BJ86" i="20"/>
  <c r="CP90" i="20"/>
  <c r="DQ92" i="20"/>
  <c r="S93" i="20"/>
  <c r="BZ93" i="20" s="1"/>
  <c r="EH93" i="20" s="1"/>
  <c r="EJ93" i="20" s="1"/>
  <c r="S94" i="20"/>
  <c r="GF94" i="20" s="1"/>
  <c r="BI96" i="20"/>
  <c r="DT98" i="20"/>
  <c r="ES98" i="20"/>
  <c r="GH101" i="20"/>
  <c r="S105" i="20"/>
  <c r="CI105" i="20" s="1"/>
  <c r="DR110" i="20"/>
  <c r="BM113" i="20"/>
  <c r="BN113" i="20" s="1"/>
  <c r="CW113" i="20" s="1"/>
  <c r="CI115" i="20"/>
  <c r="EM119" i="20"/>
  <c r="AF451" i="20"/>
  <c r="ET451" i="20" s="1"/>
  <c r="ES451" i="20" s="1"/>
  <c r="BI451" i="20"/>
  <c r="EM221" i="20"/>
  <c r="AU221" i="20"/>
  <c r="DT221" i="20"/>
  <c r="L221" i="20"/>
  <c r="AO221" i="20" s="1"/>
  <c r="BI316" i="20"/>
  <c r="AF316" i="20"/>
  <c r="ET316" i="20" s="1"/>
  <c r="ES316" i="20" s="1"/>
  <c r="EM28" i="20"/>
  <c r="AV31" i="20"/>
  <c r="DT36" i="20"/>
  <c r="AV45" i="20"/>
  <c r="AS72" i="20"/>
  <c r="AU72" i="20" s="1"/>
  <c r="CH75" i="20"/>
  <c r="DR92" i="20"/>
  <c r="DR93" i="20"/>
  <c r="AC104" i="20"/>
  <c r="DR112" i="20"/>
  <c r="AF120" i="20"/>
  <c r="AG120" i="20" s="1"/>
  <c r="BI120" i="20"/>
  <c r="BJ120" i="20" s="1"/>
  <c r="BI148" i="20"/>
  <c r="BJ148" i="20" s="1"/>
  <c r="AF148" i="20"/>
  <c r="ET148" i="20" s="1"/>
  <c r="ES148" i="20" s="1"/>
  <c r="AF164" i="20"/>
  <c r="AG164" i="20" s="1"/>
  <c r="BQ164" i="20" s="1"/>
  <c r="BI164" i="20"/>
  <c r="BJ164" i="20" s="1"/>
  <c r="CI300" i="20"/>
  <c r="CH300" i="20"/>
  <c r="DQ20" i="20"/>
  <c r="CH21" i="20"/>
  <c r="CJ21" i="20" s="1"/>
  <c r="O23" i="20"/>
  <c r="BM24" i="20"/>
  <c r="L28" i="20"/>
  <c r="BZ31" i="20"/>
  <c r="EH31" i="20" s="1"/>
  <c r="EJ31" i="20" s="1"/>
  <c r="EP31" i="20" s="1"/>
  <c r="DU31" i="20" s="1"/>
  <c r="L33" i="20"/>
  <c r="DR33" i="20" s="1"/>
  <c r="BS39" i="20"/>
  <c r="BT39" i="20" s="1"/>
  <c r="BV39" i="20" s="1"/>
  <c r="AF43" i="20"/>
  <c r="AG43" i="20" s="1"/>
  <c r="BZ47" i="20"/>
  <c r="EH47" i="20" s="1"/>
  <c r="EJ47" i="20" s="1"/>
  <c r="EP47" i="20" s="1"/>
  <c r="DU47" i="20" s="1"/>
  <c r="EM47" i="20"/>
  <c r="BJ54" i="20"/>
  <c r="CP61" i="20"/>
  <c r="CP87" i="20"/>
  <c r="CP88" i="20"/>
  <c r="DQ105" i="20"/>
  <c r="BJ106" i="20"/>
  <c r="CH122" i="20"/>
  <c r="CI122" i="20"/>
  <c r="BS122" i="20"/>
  <c r="BU122" i="20" s="1"/>
  <c r="BJ142" i="20"/>
  <c r="CI143" i="20"/>
  <c r="AS144" i="20"/>
  <c r="AU144" i="20" s="1"/>
  <c r="DT144" i="20"/>
  <c r="L144" i="20"/>
  <c r="DR144" i="20" s="1"/>
  <c r="FG144" i="20" s="1"/>
  <c r="FH144" i="20" s="1"/>
  <c r="AC171" i="20"/>
  <c r="AB171" i="20"/>
  <c r="DT450" i="20"/>
  <c r="DT20" i="20"/>
  <c r="AS35" i="20"/>
  <c r="AT35" i="20" s="1"/>
  <c r="EM35" i="20"/>
  <c r="GG38" i="20"/>
  <c r="CI39" i="20"/>
  <c r="CH46" i="20"/>
  <c r="BS49" i="20"/>
  <c r="BT49" i="20" s="1"/>
  <c r="BV49" i="20" s="1"/>
  <c r="BF54" i="20"/>
  <c r="CU54" i="20" s="1"/>
  <c r="FO54" i="20" s="1"/>
  <c r="AC63" i="20"/>
  <c r="BJ70" i="20"/>
  <c r="BJ84" i="20"/>
  <c r="BJ112" i="20"/>
  <c r="CI114" i="20"/>
  <c r="DR117" i="20"/>
  <c r="FG117" i="20" s="1"/>
  <c r="FH117" i="20" s="1"/>
  <c r="BF117" i="20"/>
  <c r="CU117" i="20" s="1"/>
  <c r="FO117" i="20" s="1"/>
  <c r="EM118" i="20"/>
  <c r="L136" i="20"/>
  <c r="BF136" i="20" s="1"/>
  <c r="CU136" i="20" s="1"/>
  <c r="EM136" i="20"/>
  <c r="BZ138" i="20"/>
  <c r="EH138" i="20" s="1"/>
  <c r="EJ138" i="20" s="1"/>
  <c r="GF227" i="20"/>
  <c r="AC227" i="20"/>
  <c r="BM227" i="20"/>
  <c r="CP22" i="20"/>
  <c r="GF26" i="20"/>
  <c r="O31" i="20"/>
  <c r="O32" i="20"/>
  <c r="DT32" i="20"/>
  <c r="BZ35" i="20"/>
  <c r="EH35" i="20" s="1"/>
  <c r="EJ35" i="20" s="1"/>
  <c r="EP35" i="20" s="1"/>
  <c r="DU35" i="20" s="1"/>
  <c r="DT41" i="20"/>
  <c r="L45" i="20"/>
  <c r="BJ45" i="20" s="1"/>
  <c r="BZ49" i="20"/>
  <c r="EH49" i="20" s="1"/>
  <c r="EJ49" i="20" s="1"/>
  <c r="EP49" i="20" s="1"/>
  <c r="DU49" i="20" s="1"/>
  <c r="GG50" i="20"/>
  <c r="GI50" i="20" s="1"/>
  <c r="AF53" i="20"/>
  <c r="AG53" i="20" s="1"/>
  <c r="EB53" i="20" s="1"/>
  <c r="S63" i="20"/>
  <c r="CI63" i="20" s="1"/>
  <c r="AF65" i="20"/>
  <c r="ET65" i="20" s="1"/>
  <c r="ES65" i="20" s="1"/>
  <c r="BJ67" i="20"/>
  <c r="BF69" i="20"/>
  <c r="CU69" i="20" s="1"/>
  <c r="FO69" i="20" s="1"/>
  <c r="AF70" i="20"/>
  <c r="ET70" i="20" s="1"/>
  <c r="ES70" i="20" s="1"/>
  <c r="CP72" i="20"/>
  <c r="DR73" i="20"/>
  <c r="O77" i="20"/>
  <c r="AF84" i="20"/>
  <c r="ET84" i="20" s="1"/>
  <c r="ES84" i="20" s="1"/>
  <c r="CP85" i="20"/>
  <c r="BI94" i="20"/>
  <c r="BJ94" i="20" s="1"/>
  <c r="GF113" i="20"/>
  <c r="EM117" i="20"/>
  <c r="AS124" i="20"/>
  <c r="AU124" i="20" s="1"/>
  <c r="DT126" i="20"/>
  <c r="EM126" i="20"/>
  <c r="DT131" i="20"/>
  <c r="DQ131" i="20"/>
  <c r="FB131" i="20" s="1"/>
  <c r="FC131" i="20" s="1"/>
  <c r="FD131" i="20" s="1"/>
  <c r="CP137" i="20"/>
  <c r="DT139" i="20"/>
  <c r="L139" i="20"/>
  <c r="DR139" i="20" s="1"/>
  <c r="GF174" i="20"/>
  <c r="AC174" i="20"/>
  <c r="AA157" i="20"/>
  <c r="AS157" i="20"/>
  <c r="AR157" i="20" s="1"/>
  <c r="O157" i="20"/>
  <c r="L157" i="20"/>
  <c r="BZ125" i="20"/>
  <c r="EH125" i="20" s="1"/>
  <c r="EJ125" i="20" s="1"/>
  <c r="CP125" i="20"/>
  <c r="AS133" i="20"/>
  <c r="AU133" i="20" s="1"/>
  <c r="CH143" i="20"/>
  <c r="CI147" i="20"/>
  <c r="BS151" i="20"/>
  <c r="BU151" i="20" s="1"/>
  <c r="AY154" i="20"/>
  <c r="AC155" i="20"/>
  <c r="GF155" i="20"/>
  <c r="AC156" i="20"/>
  <c r="GF156" i="20"/>
  <c r="CP380" i="20"/>
  <c r="BZ298" i="20"/>
  <c r="EH298" i="20" s="1"/>
  <c r="EJ298" i="20" s="1"/>
  <c r="AV219" i="20"/>
  <c r="AB301" i="20"/>
  <c r="BG301" i="20" s="1"/>
  <c r="BP301" i="20" s="1"/>
  <c r="CH301" i="20"/>
  <c r="O278" i="20"/>
  <c r="AC278" i="20"/>
  <c r="CN271" i="20"/>
  <c r="CP271" i="20" s="1"/>
  <c r="AC332" i="20"/>
  <c r="AC318" i="20"/>
  <c r="EG320" i="20"/>
  <c r="AG428" i="20"/>
  <c r="EB428" i="20" s="1"/>
  <c r="ET428" i="20"/>
  <c r="ES428" i="20" s="1"/>
  <c r="AF123" i="20"/>
  <c r="ET123" i="20" s="1"/>
  <c r="ES123" i="20" s="1"/>
  <c r="DQ127" i="20"/>
  <c r="FB127" i="20" s="1"/>
  <c r="FC127" i="20" s="1"/>
  <c r="FD127" i="20" s="1"/>
  <c r="AS137" i="20"/>
  <c r="AU137" i="20" s="1"/>
  <c r="GG144" i="20"/>
  <c r="AC147" i="20"/>
  <c r="O148" i="20"/>
  <c r="AF149" i="20"/>
  <c r="ET149" i="20" s="1"/>
  <c r="ES149" i="20" s="1"/>
  <c r="O152" i="20"/>
  <c r="CH152" i="20"/>
  <c r="BJ193" i="20"/>
  <c r="BB158" i="20"/>
  <c r="EC158" i="20" s="1"/>
  <c r="BB162" i="20"/>
  <c r="EC162" i="20" s="1"/>
  <c r="CP163" i="20"/>
  <c r="AC298" i="20"/>
  <c r="L299" i="20"/>
  <c r="AC202" i="20"/>
  <c r="L183" i="20"/>
  <c r="BJ183" i="20" s="1"/>
  <c r="AF183" i="20"/>
  <c r="CH171" i="20"/>
  <c r="BI171" i="20"/>
  <c r="L175" i="20"/>
  <c r="DQ175" i="20" s="1"/>
  <c r="AF175" i="20"/>
  <c r="BI165" i="20"/>
  <c r="AF167" i="20"/>
  <c r="AG167" i="20" s="1"/>
  <c r="EB167" i="20" s="1"/>
  <c r="L436" i="20"/>
  <c r="AS436" i="20"/>
  <c r="GF450" i="20"/>
  <c r="AF454" i="20"/>
  <c r="AG454" i="20" s="1"/>
  <c r="EB454" i="20" s="1"/>
  <c r="AF421" i="20"/>
  <c r="ET421" i="20" s="1"/>
  <c r="ES421" i="20" s="1"/>
  <c r="BI218" i="20"/>
  <c r="EM218" i="20"/>
  <c r="CH308" i="20"/>
  <c r="AS382" i="20"/>
  <c r="AR382" i="20" s="1"/>
  <c r="O235" i="20"/>
  <c r="AS235" i="20"/>
  <c r="AR235" i="20" s="1"/>
  <c r="CP236" i="20"/>
  <c r="CP303" i="20"/>
  <c r="BI305" i="20"/>
  <c r="L389" i="20"/>
  <c r="BF389" i="20" s="1"/>
  <c r="CU389" i="20" s="1"/>
  <c r="AT389" i="20"/>
  <c r="CP180" i="20"/>
  <c r="EG275" i="20"/>
  <c r="O274" i="20"/>
  <c r="L278" i="20"/>
  <c r="BF278" i="20" s="1"/>
  <c r="CU278" i="20" s="1"/>
  <c r="AC271" i="20"/>
  <c r="BI269" i="20"/>
  <c r="CP366" i="20"/>
  <c r="AC366" i="20"/>
  <c r="GH368" i="20"/>
  <c r="DT332" i="20"/>
  <c r="EG315" i="20"/>
  <c r="EG318" i="20"/>
  <c r="AS119" i="20"/>
  <c r="AU119" i="20" s="1"/>
  <c r="AB125" i="20"/>
  <c r="L127" i="20"/>
  <c r="AS127" i="20"/>
  <c r="AU127" i="20" s="1"/>
  <c r="CP133" i="20"/>
  <c r="AR148" i="20"/>
  <c r="AF150" i="20"/>
  <c r="ET150" i="20" s="1"/>
  <c r="ES150" i="20" s="1"/>
  <c r="FB150" i="20" s="1"/>
  <c r="FC150" i="20" s="1"/>
  <c r="FD150" i="20" s="1"/>
  <c r="L151" i="20"/>
  <c r="CI152" i="20"/>
  <c r="BJ156" i="20"/>
  <c r="CP193" i="20"/>
  <c r="AY158" i="20"/>
  <c r="DQ380" i="20"/>
  <c r="AY162" i="20"/>
  <c r="DT204" i="20"/>
  <c r="O183" i="20"/>
  <c r="AF170" i="20"/>
  <c r="AG170" i="20" s="1"/>
  <c r="BZ171" i="20"/>
  <c r="EH171" i="20" s="1"/>
  <c r="EJ171" i="20" s="1"/>
  <c r="L215" i="20"/>
  <c r="O175" i="20"/>
  <c r="DT452" i="20"/>
  <c r="DT430" i="20"/>
  <c r="DT432" i="20"/>
  <c r="CH233" i="20"/>
  <c r="CP311" i="20"/>
  <c r="DT389" i="20"/>
  <c r="EM230" i="20"/>
  <c r="EG350" i="20"/>
  <c r="CP369" i="20"/>
  <c r="O324" i="20"/>
  <c r="AF320" i="20"/>
  <c r="ET320" i="20" s="1"/>
  <c r="ES320" i="20" s="1"/>
  <c r="BI320" i="20"/>
  <c r="DR119" i="20"/>
  <c r="BZ121" i="20"/>
  <c r="EH121" i="20" s="1"/>
  <c r="EJ121" i="20" s="1"/>
  <c r="AS129" i="20"/>
  <c r="AU129" i="20" s="1"/>
  <c r="CP145" i="20"/>
  <c r="EM149" i="20"/>
  <c r="CP155" i="20"/>
  <c r="CP159" i="20"/>
  <c r="U380" i="20"/>
  <c r="AS204" i="20"/>
  <c r="AR204" i="20" s="1"/>
  <c r="AS215" i="20"/>
  <c r="AR215" i="20" s="1"/>
  <c r="CP165" i="20"/>
  <c r="BI157" i="20"/>
  <c r="AS391" i="20"/>
  <c r="EM391" i="20"/>
  <c r="AR225" i="20"/>
  <c r="EM382" i="20"/>
  <c r="L310" i="20"/>
  <c r="BF310" i="20" s="1"/>
  <c r="CU310" i="20" s="1"/>
  <c r="AV235" i="20"/>
  <c r="L384" i="20"/>
  <c r="CP384" i="20"/>
  <c r="AV312" i="20"/>
  <c r="CP179" i="20"/>
  <c r="AC269" i="20"/>
  <c r="CN269" i="20"/>
  <c r="CP269" i="20" s="1"/>
  <c r="AF366" i="20"/>
  <c r="ET366" i="20" s="1"/>
  <c r="ES366" i="20" s="1"/>
  <c r="O369" i="20"/>
  <c r="GH369" i="20"/>
  <c r="BM332" i="20"/>
  <c r="L324" i="20"/>
  <c r="BF324" i="20" s="1"/>
  <c r="CU324" i="20" s="1"/>
  <c r="CP319" i="20"/>
  <c r="AS317" i="20"/>
  <c r="O317" i="20"/>
  <c r="GG168" i="20"/>
  <c r="W274" i="20"/>
  <c r="CP354" i="20"/>
  <c r="AU320" i="20"/>
  <c r="GF329" i="20"/>
  <c r="W329" i="20"/>
  <c r="L302" i="20"/>
  <c r="P302" i="20" s="1"/>
  <c r="AS302" i="20"/>
  <c r="CI134" i="20"/>
  <c r="DT140" i="20"/>
  <c r="BM146" i="20"/>
  <c r="BN146" i="20" s="1"/>
  <c r="CW146" i="20" s="1"/>
  <c r="DQ148" i="20"/>
  <c r="CH153" i="20"/>
  <c r="CP154" i="20"/>
  <c r="AY193" i="20"/>
  <c r="AB170" i="20"/>
  <c r="AB176" i="20"/>
  <c r="AS169" i="20"/>
  <c r="AR169" i="20" s="1"/>
  <c r="W451" i="20"/>
  <c r="O421" i="20"/>
  <c r="L219" i="20"/>
  <c r="O236" i="20"/>
  <c r="O303" i="20"/>
  <c r="AU303" i="20"/>
  <c r="O388" i="20"/>
  <c r="DT349" i="20"/>
  <c r="AU350" i="20"/>
  <c r="CP124" i="20"/>
  <c r="AC134" i="20"/>
  <c r="CP135" i="20"/>
  <c r="CI138" i="20"/>
  <c r="CP146" i="20"/>
  <c r="CP147" i="20"/>
  <c r="AY159" i="20"/>
  <c r="CI217" i="20"/>
  <c r="AC215" i="20"/>
  <c r="BM168" i="20"/>
  <c r="CP451" i="20"/>
  <c r="W434" i="20"/>
  <c r="W391" i="20"/>
  <c r="O218" i="20"/>
  <c r="O219" i="20"/>
  <c r="DT219" i="20"/>
  <c r="AF224" i="20"/>
  <c r="ET224" i="20" s="1"/>
  <c r="ES224" i="20" s="1"/>
  <c r="AB309" i="20"/>
  <c r="BG309" i="20" s="1"/>
  <c r="BH309" i="20" s="1"/>
  <c r="CH309" i="20"/>
  <c r="AS300" i="20"/>
  <c r="AR300" i="20" s="1"/>
  <c r="AT383" i="20"/>
  <c r="DT384" i="20"/>
  <c r="EM311" i="20"/>
  <c r="CP197" i="20"/>
  <c r="CI190" i="20"/>
  <c r="BM190" i="20"/>
  <c r="AC228" i="20"/>
  <c r="EI275" i="20"/>
  <c r="DT273" i="20"/>
  <c r="CP368" i="20"/>
  <c r="EG332" i="20"/>
  <c r="W324" i="20"/>
  <c r="BI302" i="20"/>
  <c r="EM263" i="20"/>
  <c r="AF261" i="20"/>
  <c r="ET261" i="20" s="1"/>
  <c r="ES261" i="20" s="1"/>
  <c r="GF266" i="20"/>
  <c r="W356" i="20"/>
  <c r="AF367" i="20"/>
  <c r="ET367" i="20" s="1"/>
  <c r="ES367" i="20" s="1"/>
  <c r="AS359" i="20"/>
  <c r="CP246" i="20"/>
  <c r="AC282" i="20"/>
  <c r="BM295" i="20"/>
  <c r="EG280" i="20"/>
  <c r="GH379" i="20"/>
  <c r="AF355" i="20"/>
  <c r="ET355" i="20" s="1"/>
  <c r="ES355" i="20" s="1"/>
  <c r="EG408" i="20"/>
  <c r="CN406" i="20"/>
  <c r="CP406" i="20" s="1"/>
  <c r="EI284" i="20"/>
  <c r="AG331" i="20"/>
  <c r="EB331" i="20" s="1"/>
  <c r="CP326" i="20"/>
  <c r="W362" i="20"/>
  <c r="O313" i="20"/>
  <c r="EI256" i="20"/>
  <c r="GH255" i="20"/>
  <c r="W343" i="20"/>
  <c r="ES395" i="20"/>
  <c r="L420" i="20"/>
  <c r="BF420" i="20" s="1"/>
  <c r="CU420" i="20" s="1"/>
  <c r="AS351" i="20"/>
  <c r="EI291" i="20"/>
  <c r="AC379" i="20"/>
  <c r="EM357" i="20"/>
  <c r="EG404" i="20"/>
  <c r="O408" i="20"/>
  <c r="AV412" i="20"/>
  <c r="AF437" i="20"/>
  <c r="ET437" i="20" s="1"/>
  <c r="ES437" i="20" s="1"/>
  <c r="EI415" i="20"/>
  <c r="EI428" i="20"/>
  <c r="O424" i="20"/>
  <c r="CL194" i="20"/>
  <c r="CM194" i="20" s="1"/>
  <c r="CP290" i="20"/>
  <c r="CL270" i="20"/>
  <c r="AS345" i="20"/>
  <c r="EG335" i="20"/>
  <c r="EG339" i="20"/>
  <c r="EG234" i="20"/>
  <c r="ES195" i="20"/>
  <c r="CN248" i="20"/>
  <c r="CP248" i="20" s="1"/>
  <c r="AC211" i="20"/>
  <c r="EI185" i="20"/>
  <c r="CJ474" i="20"/>
  <c r="EJ475" i="20"/>
  <c r="EP475" i="20" s="1"/>
  <c r="DU475" i="20" s="1"/>
  <c r="BF477" i="20"/>
  <c r="AY479" i="20"/>
  <c r="AZ479" i="20" s="1"/>
  <c r="CM479" i="20"/>
  <c r="GI479" i="20"/>
  <c r="AY482" i="20"/>
  <c r="AZ482" i="20" s="1"/>
  <c r="CJ483" i="20"/>
  <c r="BG484" i="20"/>
  <c r="BP484" i="20" s="1"/>
  <c r="CM493" i="20"/>
  <c r="BG495" i="20"/>
  <c r="BH495" i="20" s="1"/>
  <c r="EJ495" i="20"/>
  <c r="EP495" i="20" s="1"/>
  <c r="DU495" i="20" s="1"/>
  <c r="P496" i="20"/>
  <c r="BN496" i="20" s="1"/>
  <c r="CJ497" i="20"/>
  <c r="BM498" i="20"/>
  <c r="AS390" i="20"/>
  <c r="N16" i="20"/>
  <c r="AC352" i="20"/>
  <c r="CL252" i="20"/>
  <c r="CM252" i="20" s="1"/>
  <c r="EI293" i="20"/>
  <c r="AF291" i="20"/>
  <c r="ET291" i="20" s="1"/>
  <c r="ES291" i="20" s="1"/>
  <c r="O363" i="20"/>
  <c r="AU358" i="20"/>
  <c r="AU409" i="20"/>
  <c r="EG401" i="20"/>
  <c r="DT401" i="20"/>
  <c r="L408" i="20"/>
  <c r="DQ408" i="20" s="1"/>
  <c r="BI405" i="20"/>
  <c r="BI400" i="20"/>
  <c r="EG407" i="20"/>
  <c r="AC412" i="20"/>
  <c r="O417" i="20"/>
  <c r="AS447" i="20"/>
  <c r="AS442" i="20"/>
  <c r="AF438" i="20"/>
  <c r="ET438" i="20" s="1"/>
  <c r="ES438" i="20" s="1"/>
  <c r="CP423" i="20"/>
  <c r="W424" i="20"/>
  <c r="BM284" i="20"/>
  <c r="DT339" i="20"/>
  <c r="AV323" i="20"/>
  <c r="AV385" i="20"/>
  <c r="GI497" i="20"/>
  <c r="GJ497" i="20" s="1"/>
  <c r="O325" i="20"/>
  <c r="AU331" i="20"/>
  <c r="AF329" i="20"/>
  <c r="ET329" i="20" s="1"/>
  <c r="ES329" i="20" s="1"/>
  <c r="AS313" i="20"/>
  <c r="AF255" i="20"/>
  <c r="ET255" i="20" s="1"/>
  <c r="ES255" i="20" s="1"/>
  <c r="EI260" i="20"/>
  <c r="AU259" i="20"/>
  <c r="AF266" i="20"/>
  <c r="ET266" i="20" s="1"/>
  <c r="ES266" i="20" s="1"/>
  <c r="L250" i="20"/>
  <c r="DQ250" i="20" s="1"/>
  <c r="AU356" i="20"/>
  <c r="EI395" i="20"/>
  <c r="BI347" i="20"/>
  <c r="BJ347" i="20" s="1"/>
  <c r="AU265" i="20"/>
  <c r="W245" i="20"/>
  <c r="CN245" i="20"/>
  <c r="CP245" i="20" s="1"/>
  <c r="O282" i="20"/>
  <c r="AG280" i="20"/>
  <c r="EB280" i="20" s="1"/>
  <c r="AF378" i="20"/>
  <c r="ET378" i="20" s="1"/>
  <c r="ES378" i="20" s="1"/>
  <c r="W365" i="20"/>
  <c r="CN365" i="20"/>
  <c r="CP365" i="20" s="1"/>
  <c r="EM358" i="20"/>
  <c r="CP416" i="20"/>
  <c r="AF406" i="20"/>
  <c r="ET406" i="20" s="1"/>
  <c r="ES406" i="20" s="1"/>
  <c r="BI447" i="20"/>
  <c r="DT441" i="20"/>
  <c r="AS427" i="20"/>
  <c r="O289" i="20"/>
  <c r="EG284" i="20"/>
  <c r="BA270" i="20"/>
  <c r="GF336" i="20"/>
  <c r="AC335" i="20"/>
  <c r="L339" i="20"/>
  <c r="BJ339" i="20" s="1"/>
  <c r="ES322" i="20"/>
  <c r="GF234" i="20"/>
  <c r="AF283" i="20"/>
  <c r="ET283" i="20" s="1"/>
  <c r="ES283" i="20" s="1"/>
  <c r="EG248" i="20"/>
  <c r="BM243" i="20"/>
  <c r="AF187" i="20"/>
  <c r="ET187" i="20" s="1"/>
  <c r="ES187" i="20" s="1"/>
  <c r="O184" i="20"/>
  <c r="L188" i="20"/>
  <c r="P188" i="20" s="1"/>
  <c r="DT188" i="20"/>
  <c r="CJ472" i="20"/>
  <c r="CM473" i="20"/>
  <c r="CJ476" i="20"/>
  <c r="GI476" i="20"/>
  <c r="P479" i="20"/>
  <c r="BN479" i="20" s="1"/>
  <c r="CP479" i="20"/>
  <c r="DQ482" i="20"/>
  <c r="CJ484" i="20"/>
  <c r="BG496" i="20"/>
  <c r="BP496" i="20" s="1"/>
  <c r="EG319" i="20"/>
  <c r="EG326" i="20"/>
  <c r="EI338" i="20"/>
  <c r="AF375" i="20"/>
  <c r="ET375" i="20" s="1"/>
  <c r="ES375" i="20" s="1"/>
  <c r="EG313" i="20"/>
  <c r="W264" i="20"/>
  <c r="EG258" i="20"/>
  <c r="O260" i="20"/>
  <c r="BA259" i="20"/>
  <c r="AU250" i="20"/>
  <c r="BA356" i="20"/>
  <c r="GH265" i="20"/>
  <c r="W282" i="20"/>
  <c r="EM446" i="20"/>
  <c r="AS448" i="20"/>
  <c r="BI444" i="20"/>
  <c r="EG428" i="20"/>
  <c r="BI428" i="20"/>
  <c r="BF479" i="20"/>
  <c r="CP481" i="20"/>
  <c r="CM481" i="20"/>
  <c r="CP484" i="20"/>
  <c r="GI488" i="20"/>
  <c r="GI489" i="20"/>
  <c r="EJ490" i="20"/>
  <c r="EP490" i="20" s="1"/>
  <c r="DU490" i="20" s="1"/>
  <c r="BI496" i="20"/>
  <c r="BJ496" i="20" s="1"/>
  <c r="CN314" i="20"/>
  <c r="CP314" i="20" s="1"/>
  <c r="AU326" i="20"/>
  <c r="W330" i="20"/>
  <c r="CN307" i="20"/>
  <c r="CP307" i="20" s="1"/>
  <c r="AS255" i="20"/>
  <c r="EG261" i="20"/>
  <c r="AC253" i="20"/>
  <c r="BI259" i="20"/>
  <c r="EM251" i="20"/>
  <c r="BI356" i="20"/>
  <c r="L394" i="20"/>
  <c r="P394" i="20" s="1"/>
  <c r="BI395" i="20"/>
  <c r="DT361" i="20"/>
  <c r="AF361" i="20"/>
  <c r="ET361" i="20" s="1"/>
  <c r="ES361" i="20" s="1"/>
  <c r="EI367" i="20"/>
  <c r="BI348" i="20"/>
  <c r="AS378" i="20"/>
  <c r="W379" i="20"/>
  <c r="EM363" i="20"/>
  <c r="AU404" i="20"/>
  <c r="AF407" i="20"/>
  <c r="ET407" i="20" s="1"/>
  <c r="ES407" i="20" s="1"/>
  <c r="GH412" i="20"/>
  <c r="L446" i="20"/>
  <c r="P446" i="20" s="1"/>
  <c r="BI413" i="20"/>
  <c r="EG423" i="20"/>
  <c r="EG194" i="20"/>
  <c r="AC284" i="20"/>
  <c r="EG281" i="20"/>
  <c r="GF281" i="20"/>
  <c r="BM270" i="20"/>
  <c r="AS339" i="20"/>
  <c r="DT322" i="20"/>
  <c r="CL322" i="20"/>
  <c r="W231" i="20"/>
  <c r="AC248" i="20"/>
  <c r="W211" i="20"/>
  <c r="AS189" i="20"/>
  <c r="W188" i="20"/>
  <c r="AY477" i="20"/>
  <c r="AZ477" i="20" s="1"/>
  <c r="CJ478" i="20"/>
  <c r="BJ482" i="20"/>
  <c r="AY485" i="20"/>
  <c r="AZ485" i="20" s="1"/>
  <c r="AY486" i="20"/>
  <c r="AZ486" i="20" s="1"/>
  <c r="CM487" i="20"/>
  <c r="AY488" i="20"/>
  <c r="AZ488" i="20" s="1"/>
  <c r="AG496" i="20"/>
  <c r="BQ496" i="20" s="1"/>
  <c r="BG500" i="20"/>
  <c r="BH500" i="20" s="1"/>
  <c r="AS282" i="20"/>
  <c r="CN291" i="20"/>
  <c r="CP291" i="20" s="1"/>
  <c r="BI373" i="20"/>
  <c r="CL408" i="20"/>
  <c r="CM408" i="20" s="1"/>
  <c r="L400" i="20"/>
  <c r="DQ400" i="20" s="1"/>
  <c r="L445" i="20"/>
  <c r="BF445" i="20" s="1"/>
  <c r="CU445" i="20" s="1"/>
  <c r="BI411" i="20"/>
  <c r="EI194" i="20"/>
  <c r="L284" i="20"/>
  <c r="BF284" i="20" s="1"/>
  <c r="CU284" i="20" s="1"/>
  <c r="DI284" i="20" s="1"/>
  <c r="AU339" i="20"/>
  <c r="CP234" i="20"/>
  <c r="ES248" i="20"/>
  <c r="BF499" i="20"/>
  <c r="AY501" i="20"/>
  <c r="AZ501" i="20" s="1"/>
  <c r="P502" i="20"/>
  <c r="AY502" i="20"/>
  <c r="AZ502" i="20" s="1"/>
  <c r="AV341" i="20"/>
  <c r="DT326" i="20"/>
  <c r="AF313" i="20"/>
  <c r="ET313" i="20" s="1"/>
  <c r="ES313" i="20" s="1"/>
  <c r="L258" i="20"/>
  <c r="BA250" i="20"/>
  <c r="EG251" i="20"/>
  <c r="AF418" i="20"/>
  <c r="ET418" i="20" s="1"/>
  <c r="ES418" i="20" s="1"/>
  <c r="CL419" i="20"/>
  <c r="CM419" i="20" s="1"/>
  <c r="EG265" i="20"/>
  <c r="CN280" i="20"/>
  <c r="CP280" i="20" s="1"/>
  <c r="AS288" i="20"/>
  <c r="EG363" i="20"/>
  <c r="AV365" i="20"/>
  <c r="AC365" i="20"/>
  <c r="AC344" i="20"/>
  <c r="O401" i="20"/>
  <c r="EG410" i="20"/>
  <c r="EG415" i="20"/>
  <c r="W411" i="20"/>
  <c r="AF424" i="20"/>
  <c r="AG424" i="20" s="1"/>
  <c r="EI345" i="20"/>
  <c r="W335" i="20"/>
  <c r="BA322" i="20"/>
  <c r="EG340" i="20"/>
  <c r="AS247" i="20"/>
  <c r="W234" i="20"/>
  <c r="EI234" i="20"/>
  <c r="W238" i="20"/>
  <c r="BI231" i="20"/>
  <c r="L200" i="20"/>
  <c r="BF200" i="20" s="1"/>
  <c r="CU200" i="20" s="1"/>
  <c r="AF198" i="20"/>
  <c r="ET198" i="20" s="1"/>
  <c r="ES198" i="20" s="1"/>
  <c r="EG185" i="20"/>
  <c r="AC188" i="20"/>
  <c r="BG472" i="20"/>
  <c r="BP472" i="20" s="1"/>
  <c r="CP475" i="20"/>
  <c r="EP480" i="20"/>
  <c r="DU480" i="20" s="1"/>
  <c r="BI481" i="20"/>
  <c r="BJ481" i="20" s="1"/>
  <c r="DQ481" i="20"/>
  <c r="GI482" i="20"/>
  <c r="BG483" i="20"/>
  <c r="BH483" i="20" s="1"/>
  <c r="P484" i="20"/>
  <c r="BN484" i="20" s="1"/>
  <c r="DQ484" i="20"/>
  <c r="CP487" i="20"/>
  <c r="CM488" i="20"/>
  <c r="CJ491" i="20"/>
  <c r="AG492" i="20"/>
  <c r="BQ492" i="20" s="1"/>
  <c r="CJ493" i="20"/>
  <c r="P495" i="20"/>
  <c r="BN495" i="20" s="1"/>
  <c r="AF500" i="20"/>
  <c r="ET500" i="20" s="1"/>
  <c r="ES500" i="20" s="1"/>
  <c r="GF61" i="20"/>
  <c r="CH61" i="20"/>
  <c r="BM32" i="20"/>
  <c r="AC32" i="20"/>
  <c r="BG32" i="20" s="1"/>
  <c r="BH32" i="20" s="1"/>
  <c r="CH33" i="20"/>
  <c r="CI33" i="20"/>
  <c r="CH36" i="20"/>
  <c r="AV36" i="20"/>
  <c r="EM36" i="20"/>
  <c r="CI36" i="20"/>
  <c r="BS36" i="20"/>
  <c r="O37" i="20"/>
  <c r="DT37" i="20"/>
  <c r="AS51" i="20"/>
  <c r="AU51" i="20" s="1"/>
  <c r="EM51" i="20"/>
  <c r="O51" i="20"/>
  <c r="AS59" i="20"/>
  <c r="AU59" i="20" s="1"/>
  <c r="CP64" i="20"/>
  <c r="BI66" i="20"/>
  <c r="BJ66" i="20" s="1"/>
  <c r="AF66" i="20"/>
  <c r="ET66" i="20" s="1"/>
  <c r="ES66" i="20" s="1"/>
  <c r="DC73" i="20"/>
  <c r="DC74" i="20"/>
  <c r="FO74" i="20"/>
  <c r="AG92" i="20"/>
  <c r="EB92" i="20" s="1"/>
  <c r="ET92" i="20"/>
  <c r="ES92" i="20" s="1"/>
  <c r="AC97" i="20"/>
  <c r="CP128" i="20"/>
  <c r="AF176" i="20"/>
  <c r="BI176" i="20"/>
  <c r="DR51" i="20"/>
  <c r="P51" i="20"/>
  <c r="BI114" i="20"/>
  <c r="BJ114" i="20" s="1"/>
  <c r="AF114" i="20"/>
  <c r="CP24" i="20"/>
  <c r="BI29" i="20"/>
  <c r="AF29" i="20"/>
  <c r="ET29" i="20" s="1"/>
  <c r="ES29" i="20" s="1"/>
  <c r="AC48" i="20"/>
  <c r="BG48" i="20" s="1"/>
  <c r="BH48" i="20" s="1"/>
  <c r="CP50" i="20"/>
  <c r="DQ83" i="20"/>
  <c r="DT83" i="20"/>
  <c r="O83" i="20"/>
  <c r="AS83" i="20"/>
  <c r="AU83" i="20" s="1"/>
  <c r="DC84" i="20"/>
  <c r="W101" i="20"/>
  <c r="BS101" i="20" s="1"/>
  <c r="BT101" i="20" s="1"/>
  <c r="BV101" i="20" s="1"/>
  <c r="EM101" i="20"/>
  <c r="O103" i="20"/>
  <c r="AS103" i="20"/>
  <c r="AT103" i="20" s="1"/>
  <c r="L103" i="20"/>
  <c r="DR115" i="20"/>
  <c r="FG115" i="20" s="1"/>
  <c r="FH115" i="20" s="1"/>
  <c r="GF117" i="20"/>
  <c r="AV117" i="20"/>
  <c r="L298" i="20"/>
  <c r="DQ298" i="20" s="1"/>
  <c r="DT298" i="20"/>
  <c r="O298" i="20"/>
  <c r="AU298" i="20"/>
  <c r="AS298" i="20"/>
  <c r="AR298" i="20" s="1"/>
  <c r="AU170" i="20"/>
  <c r="O170" i="20"/>
  <c r="DT70" i="20"/>
  <c r="DQ70" i="20"/>
  <c r="O70" i="20"/>
  <c r="CI20" i="20"/>
  <c r="CH20" i="20"/>
  <c r="BZ20" i="20"/>
  <c r="EH20" i="20" s="1"/>
  <c r="EJ20" i="20" s="1"/>
  <c r="EP20" i="20" s="1"/>
  <c r="DU20" i="20" s="1"/>
  <c r="BS20" i="20"/>
  <c r="AC21" i="20"/>
  <c r="BG21" i="20" s="1"/>
  <c r="BH21" i="20" s="1"/>
  <c r="GF23" i="20"/>
  <c r="AV23" i="20"/>
  <c r="BZ32" i="20"/>
  <c r="EH32" i="20" s="1"/>
  <c r="EJ32" i="20" s="1"/>
  <c r="EP32" i="20" s="1"/>
  <c r="DU32" i="20" s="1"/>
  <c r="AS42" i="20"/>
  <c r="AT42" i="20" s="1"/>
  <c r="CI52" i="20"/>
  <c r="GF52" i="20"/>
  <c r="AC64" i="20"/>
  <c r="AB64" i="20"/>
  <c r="DC66" i="20"/>
  <c r="FO66" i="20"/>
  <c r="EM68" i="20"/>
  <c r="AC68" i="20"/>
  <c r="GF101" i="20"/>
  <c r="AC101" i="20"/>
  <c r="BI110" i="20"/>
  <c r="BJ110" i="20" s="1"/>
  <c r="AF110" i="20"/>
  <c r="ET110" i="20" s="1"/>
  <c r="ES110" i="20" s="1"/>
  <c r="CP113" i="20"/>
  <c r="CI117" i="20"/>
  <c r="CH117" i="20"/>
  <c r="BZ117" i="20"/>
  <c r="EH117" i="20" s="1"/>
  <c r="EJ117" i="20" s="1"/>
  <c r="GG117" i="20"/>
  <c r="BM123" i="20"/>
  <c r="BN123" i="20" s="1"/>
  <c r="CW123" i="20" s="1"/>
  <c r="GF123" i="20"/>
  <c r="CH123" i="20"/>
  <c r="AC132" i="20"/>
  <c r="AV132" i="20"/>
  <c r="GF132" i="20"/>
  <c r="BI152" i="20"/>
  <c r="BJ152" i="20" s="1"/>
  <c r="AF152" i="20"/>
  <c r="ET152" i="20" s="1"/>
  <c r="ES152" i="20" s="1"/>
  <c r="AG171" i="20"/>
  <c r="EB171" i="20" s="1"/>
  <c r="ET171" i="20"/>
  <c r="ES171" i="20" s="1"/>
  <c r="AU392" i="20"/>
  <c r="O392" i="20"/>
  <c r="EM392" i="20"/>
  <c r="L392" i="20"/>
  <c r="AO392" i="20" s="1"/>
  <c r="CL392" i="20" s="1"/>
  <c r="CM392" i="20" s="1"/>
  <c r="DT392" i="20"/>
  <c r="AA392" i="20"/>
  <c r="AS392" i="20"/>
  <c r="AC20" i="20"/>
  <c r="BG20" i="20" s="1"/>
  <c r="BH20" i="20" s="1"/>
  <c r="GF20" i="20"/>
  <c r="BI37" i="20"/>
  <c r="BJ37" i="20" s="1"/>
  <c r="AF37" i="20"/>
  <c r="ET37" i="20" s="1"/>
  <c r="ES37" i="20" s="1"/>
  <c r="BH38" i="20"/>
  <c r="AE38" i="20"/>
  <c r="AF38" i="20" s="1"/>
  <c r="ET38" i="20" s="1"/>
  <c r="ES38" i="20" s="1"/>
  <c r="EM40" i="20"/>
  <c r="CH43" i="20"/>
  <c r="AV43" i="20"/>
  <c r="EM43" i="20"/>
  <c r="CI43" i="20"/>
  <c r="BZ43" i="20"/>
  <c r="EH43" i="20" s="1"/>
  <c r="EJ43" i="20" s="1"/>
  <c r="EP43" i="20" s="1"/>
  <c r="DU43" i="20" s="1"/>
  <c r="BS43" i="20"/>
  <c r="AT44" i="20"/>
  <c r="AU44" i="20"/>
  <c r="DQ49" i="20"/>
  <c r="DQ51" i="20"/>
  <c r="BJ53" i="20"/>
  <c r="AC55" i="20"/>
  <c r="S55" i="20"/>
  <c r="GF55" i="20" s="1"/>
  <c r="AC60" i="20"/>
  <c r="AT60" i="20"/>
  <c r="BJ65" i="20"/>
  <c r="CP66" i="20"/>
  <c r="AS75" i="20"/>
  <c r="AU75" i="20" s="1"/>
  <c r="EM77" i="20"/>
  <c r="ET94" i="20"/>
  <c r="ES94" i="20" s="1"/>
  <c r="AG94" i="20"/>
  <c r="EB94" i="20" s="1"/>
  <c r="DT103" i="20"/>
  <c r="BI108" i="20"/>
  <c r="BJ108" i="20" s="1"/>
  <c r="AF108" i="20"/>
  <c r="ET108" i="20" s="1"/>
  <c r="ES108" i="20" s="1"/>
  <c r="FB108" i="20" s="1"/>
  <c r="FC108" i="20" s="1"/>
  <c r="FD108" i="20" s="1"/>
  <c r="GF112" i="20"/>
  <c r="AC112" i="20"/>
  <c r="DT121" i="20"/>
  <c r="DQ121" i="20"/>
  <c r="AS121" i="20"/>
  <c r="AU121" i="20" s="1"/>
  <c r="AF121" i="20"/>
  <c r="ET121" i="20" s="1"/>
  <c r="ES121" i="20" s="1"/>
  <c r="CI123" i="20"/>
  <c r="AV130" i="20"/>
  <c r="AC130" i="20"/>
  <c r="GF130" i="20"/>
  <c r="EM130" i="20"/>
  <c r="AC177" i="20"/>
  <c r="GF177" i="20"/>
  <c r="Q177" i="20"/>
  <c r="EM177" i="20" s="1"/>
  <c r="CI177" i="20"/>
  <c r="AB161" i="20"/>
  <c r="AC36" i="20"/>
  <c r="BG36" i="20" s="1"/>
  <c r="BH36" i="20" s="1"/>
  <c r="DT71" i="20"/>
  <c r="DQ71" i="20"/>
  <c r="O71" i="20"/>
  <c r="AS71" i="20"/>
  <c r="AU71" i="20" s="1"/>
  <c r="S85" i="20"/>
  <c r="GF85" i="20" s="1"/>
  <c r="AC85" i="20"/>
  <c r="AB85" i="20"/>
  <c r="BF113" i="20"/>
  <c r="CU113" i="20" s="1"/>
  <c r="FO113" i="20" s="1"/>
  <c r="BZ36" i="20"/>
  <c r="EH36" i="20" s="1"/>
  <c r="EJ36" i="20" s="1"/>
  <c r="EP36" i="20" s="1"/>
  <c r="DU36" i="20" s="1"/>
  <c r="AC43" i="20"/>
  <c r="BG43" i="20" s="1"/>
  <c r="BH43" i="20" s="1"/>
  <c r="BM43" i="20"/>
  <c r="DT51" i="20"/>
  <c r="AS54" i="20"/>
  <c r="AC58" i="20"/>
  <c r="AB58" i="20"/>
  <c r="BJ75" i="20"/>
  <c r="CH81" i="20"/>
  <c r="BZ81" i="20"/>
  <c r="EH81" i="20" s="1"/>
  <c r="EJ81" i="20" s="1"/>
  <c r="EP81" i="20" s="1"/>
  <c r="W95" i="20"/>
  <c r="CI95" i="20" s="1"/>
  <c r="AF116" i="20"/>
  <c r="AG116" i="20" s="1"/>
  <c r="EB116" i="20" s="1"/>
  <c r="DQ120" i="20"/>
  <c r="AS120" i="20"/>
  <c r="AU120" i="20" s="1"/>
  <c r="FO122" i="20"/>
  <c r="CI130" i="20"/>
  <c r="CH130" i="20"/>
  <c r="BZ130" i="20"/>
  <c r="EH130" i="20" s="1"/>
  <c r="EJ130" i="20" s="1"/>
  <c r="GG140" i="20"/>
  <c r="BS140" i="20"/>
  <c r="BT140" i="20" s="1"/>
  <c r="BV140" i="20" s="1"/>
  <c r="CI140" i="20"/>
  <c r="AS145" i="20"/>
  <c r="CI154" i="20"/>
  <c r="AC154" i="20"/>
  <c r="AB154" i="20"/>
  <c r="GF154" i="20"/>
  <c r="CP157" i="20"/>
  <c r="BI39" i="20"/>
  <c r="AF39" i="20"/>
  <c r="ET39" i="20" s="1"/>
  <c r="ES39" i="20" s="1"/>
  <c r="FB39" i="20" s="1"/>
  <c r="FC39" i="20" s="1"/>
  <c r="FD39" i="20" s="1"/>
  <c r="DC77" i="20"/>
  <c r="FO77" i="20"/>
  <c r="AF103" i="20"/>
  <c r="BI103" i="20"/>
  <c r="CP28" i="20"/>
  <c r="CP29" i="20"/>
  <c r="BS33" i="20"/>
  <c r="BT33" i="20" s="1"/>
  <c r="BV33" i="20" s="1"/>
  <c r="AT40" i="20"/>
  <c r="AU40" i="20"/>
  <c r="AV51" i="20"/>
  <c r="AC79" i="20"/>
  <c r="DR80" i="20"/>
  <c r="AC90" i="20"/>
  <c r="AB90" i="20"/>
  <c r="AC95" i="20"/>
  <c r="GF95" i="20"/>
  <c r="AV95" i="20"/>
  <c r="DT97" i="20"/>
  <c r="AS102" i="20"/>
  <c r="AT102" i="20" s="1"/>
  <c r="L102" i="20"/>
  <c r="P102" i="20" s="1"/>
  <c r="DQ102" i="20"/>
  <c r="BF107" i="20"/>
  <c r="DR107" i="20"/>
  <c r="EM111" i="20"/>
  <c r="BZ111" i="20"/>
  <c r="EH111" i="20" s="1"/>
  <c r="EJ111" i="20" s="1"/>
  <c r="BI151" i="20"/>
  <c r="AF151" i="20"/>
  <c r="ET151" i="20" s="1"/>
  <c r="ES151" i="20" s="1"/>
  <c r="FB151" i="20" s="1"/>
  <c r="FC151" i="20" s="1"/>
  <c r="FD151" i="20" s="1"/>
  <c r="BI155" i="20"/>
  <c r="BJ155" i="20" s="1"/>
  <c r="AF155" i="20"/>
  <c r="AG155" i="20" s="1"/>
  <c r="BQ155" i="20" s="1"/>
  <c r="BM23" i="20"/>
  <c r="GF32" i="20"/>
  <c r="BS32" i="20"/>
  <c r="AV32" i="20"/>
  <c r="EM32" i="20"/>
  <c r="AC35" i="20"/>
  <c r="BG35" i="20" s="1"/>
  <c r="BH35" i="20" s="1"/>
  <c r="EM49" i="20"/>
  <c r="AV49" i="20"/>
  <c r="BF51" i="20"/>
  <c r="DT53" i="20"/>
  <c r="DQ53" i="20"/>
  <c r="O53" i="20"/>
  <c r="DT54" i="20"/>
  <c r="O54" i="20"/>
  <c r="S56" i="20"/>
  <c r="EM56" i="20" s="1"/>
  <c r="AB56" i="20"/>
  <c r="DT65" i="20"/>
  <c r="DQ65" i="20"/>
  <c r="O65" i="20"/>
  <c r="S78" i="20"/>
  <c r="CI78" i="20" s="1"/>
  <c r="AB78" i="20"/>
  <c r="S79" i="20"/>
  <c r="GF79" i="20" s="1"/>
  <c r="DT84" i="20"/>
  <c r="DR84" i="20"/>
  <c r="O84" i="20"/>
  <c r="DQ84" i="20"/>
  <c r="DR87" i="20"/>
  <c r="S90" i="20"/>
  <c r="BZ90" i="20" s="1"/>
  <c r="EH90" i="20" s="1"/>
  <c r="EJ90" i="20" s="1"/>
  <c r="EP90" i="20" s="1"/>
  <c r="EM97" i="20"/>
  <c r="AC99" i="20"/>
  <c r="AV99" i="20"/>
  <c r="GF99" i="20"/>
  <c r="EM99" i="20"/>
  <c r="CP106" i="20"/>
  <c r="AC126" i="20"/>
  <c r="AE129" i="20"/>
  <c r="BI129" i="20" s="1"/>
  <c r="AD14" i="20"/>
  <c r="EM132" i="20"/>
  <c r="AO143" i="20"/>
  <c r="AR143" i="20" s="1"/>
  <c r="L143" i="20"/>
  <c r="GF29" i="20"/>
  <c r="EM46" i="20"/>
  <c r="AS46" i="20"/>
  <c r="AT46" i="20" s="1"/>
  <c r="DQ57" i="20"/>
  <c r="CP70" i="20"/>
  <c r="AC73" i="20"/>
  <c r="CP73" i="20"/>
  <c r="BJ79" i="20"/>
  <c r="BF90" i="20"/>
  <c r="CU90" i="20" s="1"/>
  <c r="FO90" i="20" s="1"/>
  <c r="DQ104" i="20"/>
  <c r="BJ111" i="20"/>
  <c r="DR111" i="20"/>
  <c r="EM112" i="20"/>
  <c r="CP114" i="20"/>
  <c r="GG114" i="20"/>
  <c r="AO119" i="20"/>
  <c r="CL119" i="20" s="1"/>
  <c r="CM119" i="20" s="1"/>
  <c r="EM123" i="20"/>
  <c r="AT125" i="20"/>
  <c r="BS126" i="20"/>
  <c r="BZ128" i="20"/>
  <c r="EH128" i="20" s="1"/>
  <c r="EJ128" i="20" s="1"/>
  <c r="CH128" i="20"/>
  <c r="BS146" i="20"/>
  <c r="BU146" i="20" s="1"/>
  <c r="GF146" i="20"/>
  <c r="GF148" i="20"/>
  <c r="BS148" i="20"/>
  <c r="BU148" i="20" s="1"/>
  <c r="BM148" i="20"/>
  <c r="GH149" i="20"/>
  <c r="EG149" i="20"/>
  <c r="CP152" i="20"/>
  <c r="U159" i="20"/>
  <c r="EG159" i="20" s="1"/>
  <c r="DQ159" i="20"/>
  <c r="P159" i="20"/>
  <c r="BF159" i="20"/>
  <c r="GF396" i="20"/>
  <c r="CI396" i="20"/>
  <c r="AC396" i="20"/>
  <c r="ET298" i="20"/>
  <c r="ES298" i="20" s="1"/>
  <c r="AG298" i="20"/>
  <c r="BQ298" i="20" s="1"/>
  <c r="CI227" i="20"/>
  <c r="Q227" i="20"/>
  <c r="EM227" i="20" s="1"/>
  <c r="CH227" i="20"/>
  <c r="BZ166" i="20"/>
  <c r="EH166" i="20" s="1"/>
  <c r="EJ166" i="20" s="1"/>
  <c r="EP166" i="20" s="1"/>
  <c r="GG166" i="20"/>
  <c r="GI166" i="20" s="1"/>
  <c r="DA166" i="20" s="1"/>
  <c r="BI219" i="20"/>
  <c r="AF219" i="20"/>
  <c r="GG24" i="20"/>
  <c r="GI24" i="20" s="1"/>
  <c r="AV28" i="20"/>
  <c r="CP30" i="20"/>
  <c r="BM31" i="20"/>
  <c r="EM31" i="20"/>
  <c r="GF34" i="20"/>
  <c r="GF37" i="20"/>
  <c r="GG39" i="20"/>
  <c r="GI39" i="20" s="1"/>
  <c r="AV41" i="20"/>
  <c r="DQ41" i="20"/>
  <c r="CH42" i="20"/>
  <c r="BM45" i="20"/>
  <c r="DT45" i="20"/>
  <c r="AV47" i="20"/>
  <c r="GG47" i="20"/>
  <c r="GI47" i="20" s="1"/>
  <c r="BS51" i="20"/>
  <c r="BT51" i="20" s="1"/>
  <c r="BV51" i="20" s="1"/>
  <c r="AS67" i="20"/>
  <c r="AU67" i="20" s="1"/>
  <c r="DQ67" i="20"/>
  <c r="CP69" i="20"/>
  <c r="CP71" i="20"/>
  <c r="DR72" i="20"/>
  <c r="AB73" i="20"/>
  <c r="EM74" i="20"/>
  <c r="BJ74" i="20"/>
  <c r="EM75" i="20"/>
  <c r="CP80" i="20"/>
  <c r="CP82" i="20"/>
  <c r="DQ89" i="20"/>
  <c r="AS91" i="20"/>
  <c r="AU91" i="20" s="1"/>
  <c r="EG96" i="20"/>
  <c r="O97" i="20"/>
  <c r="EG101" i="20"/>
  <c r="CN101" i="20"/>
  <c r="CP101" i="20" s="1"/>
  <c r="EI104" i="20"/>
  <c r="CI111" i="20"/>
  <c r="DQ114" i="20"/>
  <c r="AS116" i="20"/>
  <c r="AU116" i="20" s="1"/>
  <c r="AB117" i="20"/>
  <c r="BG117" i="20" s="1"/>
  <c r="BH117" i="20" s="1"/>
  <c r="CP119" i="20"/>
  <c r="DR121" i="20"/>
  <c r="AB130" i="20"/>
  <c r="CI132" i="20"/>
  <c r="CP136" i="20"/>
  <c r="AS139" i="20"/>
  <c r="GH152" i="20"/>
  <c r="GG152" i="20" s="1"/>
  <c r="GI152" i="20" s="1"/>
  <c r="DA152" i="20" s="1"/>
  <c r="AR152" i="20"/>
  <c r="AV153" i="20"/>
  <c r="U158" i="20"/>
  <c r="EG158" i="20" s="1"/>
  <c r="DQ158" i="20"/>
  <c r="P158" i="20"/>
  <c r="BF158" i="20"/>
  <c r="BZ172" i="20"/>
  <c r="EH172" i="20" s="1"/>
  <c r="EJ172" i="20" s="1"/>
  <c r="GG172" i="20"/>
  <c r="BM433" i="20"/>
  <c r="GF433" i="20"/>
  <c r="W433" i="20"/>
  <c r="CI312" i="20"/>
  <c r="AB312" i="20"/>
  <c r="BG312" i="20" s="1"/>
  <c r="BH312" i="20" s="1"/>
  <c r="CH312" i="20"/>
  <c r="O275" i="20"/>
  <c r="L275" i="20"/>
  <c r="BF275" i="20" s="1"/>
  <c r="CU275" i="20" s="1"/>
  <c r="AS275" i="20"/>
  <c r="BI337" i="20"/>
  <c r="AF337" i="20"/>
  <c r="ET337" i="20" s="1"/>
  <c r="ES337" i="20" s="1"/>
  <c r="AV24" i="20"/>
  <c r="CP25" i="20"/>
  <c r="CP32" i="20"/>
  <c r="CP41" i="20"/>
  <c r="BM47" i="20"/>
  <c r="AT80" i="20"/>
  <c r="AS89" i="20"/>
  <c r="AU89" i="20" s="1"/>
  <c r="AB93" i="20"/>
  <c r="W97" i="20"/>
  <c r="AB97" i="20" s="1"/>
  <c r="O104" i="20"/>
  <c r="BS113" i="20"/>
  <c r="BU113" i="20" s="1"/>
  <c r="AS114" i="20"/>
  <c r="AU114" i="20" s="1"/>
  <c r="EM122" i="20"/>
  <c r="DQ125" i="20"/>
  <c r="FB125" i="20" s="1"/>
  <c r="FC125" i="20" s="1"/>
  <c r="FD125" i="20" s="1"/>
  <c r="CH136" i="20"/>
  <c r="BS136" i="20"/>
  <c r="BT136" i="20" s="1"/>
  <c r="BV136" i="20" s="1"/>
  <c r="GF145" i="20"/>
  <c r="BM145" i="20"/>
  <c r="BN145" i="20" s="1"/>
  <c r="CW145" i="20" s="1"/>
  <c r="GH151" i="20"/>
  <c r="EG151" i="20"/>
  <c r="GF182" i="20"/>
  <c r="AC182" i="20"/>
  <c r="BM182" i="20"/>
  <c r="BI174" i="20"/>
  <c r="BJ174" i="20" s="1"/>
  <c r="AF174" i="20"/>
  <c r="AU176" i="20"/>
  <c r="O176" i="20"/>
  <c r="L176" i="20"/>
  <c r="CH165" i="20"/>
  <c r="BZ165" i="20"/>
  <c r="EH165" i="20" s="1"/>
  <c r="EJ165" i="20" s="1"/>
  <c r="BI235" i="20"/>
  <c r="AF235" i="20"/>
  <c r="AG235" i="20" s="1"/>
  <c r="BQ235" i="20" s="1"/>
  <c r="AB303" i="20"/>
  <c r="BG303" i="20" s="1"/>
  <c r="BH303" i="20" s="1"/>
  <c r="CH303" i="20"/>
  <c r="BZ303" i="20"/>
  <c r="EH303" i="20" s="1"/>
  <c r="EJ303" i="20" s="1"/>
  <c r="EO303" i="20" s="1"/>
  <c r="CN376" i="20"/>
  <c r="CP376" i="20" s="1"/>
  <c r="O376" i="20"/>
  <c r="CP20" i="20"/>
  <c r="L24" i="20"/>
  <c r="P24" i="20" s="1"/>
  <c r="DQ24" i="20"/>
  <c r="AS25" i="20"/>
  <c r="GG32" i="20"/>
  <c r="CP36" i="20"/>
  <c r="CP37" i="20"/>
  <c r="CP39" i="20"/>
  <c r="BZ45" i="20"/>
  <c r="EH45" i="20" s="1"/>
  <c r="EJ45" i="20" s="1"/>
  <c r="EP45" i="20" s="1"/>
  <c r="CP46" i="20"/>
  <c r="L47" i="20"/>
  <c r="BJ47" i="20" s="1"/>
  <c r="CI51" i="20"/>
  <c r="CJ51" i="20" s="1"/>
  <c r="S53" i="20"/>
  <c r="CH53" i="20" s="1"/>
  <c r="BJ56" i="20"/>
  <c r="DQ58" i="20"/>
  <c r="CP62" i="20"/>
  <c r="AF63" i="20"/>
  <c r="ET63" i="20" s="1"/>
  <c r="ES63" i="20" s="1"/>
  <c r="DT64" i="20"/>
  <c r="S65" i="20"/>
  <c r="AV65" i="20" s="1"/>
  <c r="O66" i="20"/>
  <c r="DQ66" i="20"/>
  <c r="CH70" i="20"/>
  <c r="CJ70" i="20" s="1"/>
  <c r="S72" i="20"/>
  <c r="CI72" i="20" s="1"/>
  <c r="AS73" i="20"/>
  <c r="AU73" i="20" s="1"/>
  <c r="BJ78" i="20"/>
  <c r="DR82" i="20"/>
  <c r="BF82" i="20"/>
  <c r="CU82" i="20" s="1"/>
  <c r="FO82" i="20" s="1"/>
  <c r="DT86" i="20"/>
  <c r="DR91" i="20"/>
  <c r="EI96" i="20"/>
  <c r="DT100" i="20"/>
  <c r="ES100" i="20"/>
  <c r="FB100" i="20" s="1"/>
  <c r="AV101" i="20"/>
  <c r="EM102" i="20"/>
  <c r="AV103" i="20"/>
  <c r="EI103" i="20"/>
  <c r="AC107" i="20"/>
  <c r="EM108" i="20"/>
  <c r="DR108" i="20"/>
  <c r="CP111" i="20"/>
  <c r="AF112" i="20"/>
  <c r="ET112" i="20" s="1"/>
  <c r="ES112" i="20" s="1"/>
  <c r="FB112" i="20" s="1"/>
  <c r="FC112" i="20" s="1"/>
  <c r="FD112" i="20" s="1"/>
  <c r="BZ113" i="20"/>
  <c r="EH113" i="20" s="1"/>
  <c r="EJ113" i="20" s="1"/>
  <c r="BZ115" i="20"/>
  <c r="EH115" i="20" s="1"/>
  <c r="EJ115" i="20" s="1"/>
  <c r="CI120" i="20"/>
  <c r="BS121" i="20"/>
  <c r="BT121" i="20" s="1"/>
  <c r="BV121" i="20" s="1"/>
  <c r="CP122" i="20"/>
  <c r="GN122" i="20"/>
  <c r="CP123" i="20"/>
  <c r="GG123" i="20"/>
  <c r="DQ124" i="20"/>
  <c r="L126" i="20"/>
  <c r="CN150" i="20"/>
  <c r="CP150" i="20" s="1"/>
  <c r="AF153" i="20"/>
  <c r="ET153" i="20" s="1"/>
  <c r="ES153" i="20" s="1"/>
  <c r="CH204" i="20"/>
  <c r="O202" i="20"/>
  <c r="DT174" i="20"/>
  <c r="AS174" i="20"/>
  <c r="AR174" i="20" s="1"/>
  <c r="O174" i="20"/>
  <c r="AU174" i="20"/>
  <c r="AB165" i="20"/>
  <c r="AU167" i="20"/>
  <c r="DT167" i="20"/>
  <c r="AF453" i="20"/>
  <c r="ET453" i="20" s="1"/>
  <c r="ES453" i="20" s="1"/>
  <c r="BI453" i="20"/>
  <c r="AU233" i="20"/>
  <c r="AS233" i="20"/>
  <c r="AR233" i="20" s="1"/>
  <c r="DT233" i="20"/>
  <c r="O233" i="20"/>
  <c r="L233" i="20"/>
  <c r="AO233" i="20" s="1"/>
  <c r="CH383" i="20"/>
  <c r="CI383" i="20"/>
  <c r="BZ383" i="20"/>
  <c r="EH383" i="20" s="1"/>
  <c r="EJ383" i="20" s="1"/>
  <c r="EO383" i="20" s="1"/>
  <c r="AB383" i="20"/>
  <c r="BG383" i="20" s="1"/>
  <c r="BH383" i="20" s="1"/>
  <c r="EM20" i="20"/>
  <c r="O21" i="20"/>
  <c r="AV21" i="20"/>
  <c r="AY21" i="20" s="1"/>
  <c r="AZ21" i="20" s="1"/>
  <c r="CP23" i="20"/>
  <c r="AS23" i="20"/>
  <c r="DQ23" i="20"/>
  <c r="O24" i="20"/>
  <c r="DT24" i="20"/>
  <c r="L25" i="20"/>
  <c r="DR25" i="20" s="1"/>
  <c r="O27" i="20"/>
  <c r="BZ27" i="20"/>
  <c r="EH27" i="20" s="1"/>
  <c r="EJ27" i="20" s="1"/>
  <c r="EP27" i="20" s="1"/>
  <c r="DU27" i="20" s="1"/>
  <c r="DT28" i="20"/>
  <c r="BS29" i="20"/>
  <c r="BU29" i="20" s="1"/>
  <c r="CP33" i="20"/>
  <c r="GG34" i="20"/>
  <c r="CP38" i="20"/>
  <c r="AS39" i="20"/>
  <c r="GG40" i="20"/>
  <c r="CO40" i="20"/>
  <c r="CP40" i="20" s="1"/>
  <c r="L41" i="20"/>
  <c r="P41" i="20" s="1"/>
  <c r="BZ41" i="20"/>
  <c r="EH41" i="20" s="1"/>
  <c r="EJ41" i="20" s="1"/>
  <c r="EP41" i="20" s="1"/>
  <c r="DU41" i="20" s="1"/>
  <c r="L43" i="20"/>
  <c r="BF43" i="20" s="1"/>
  <c r="CP43" i="20"/>
  <c r="CI45" i="20"/>
  <c r="O47" i="20"/>
  <c r="DQ47" i="20"/>
  <c r="AS48" i="20"/>
  <c r="AT48" i="20" s="1"/>
  <c r="AS56" i="20"/>
  <c r="AU56" i="20" s="1"/>
  <c r="AS58" i="20"/>
  <c r="AU58" i="20" s="1"/>
  <c r="DQ61" i="20"/>
  <c r="EM66" i="20"/>
  <c r="CP74" i="20"/>
  <c r="CP75" i="20"/>
  <c r="O89" i="20"/>
  <c r="O91" i="20"/>
  <c r="AS92" i="20"/>
  <c r="AU92" i="20" s="1"/>
  <c r="DT96" i="20"/>
  <c r="DQ97" i="20"/>
  <c r="AS98" i="20"/>
  <c r="AU98" i="20" s="1"/>
  <c r="L100" i="20"/>
  <c r="AO100" i="20" s="1"/>
  <c r="CL100" i="20" s="1"/>
  <c r="CM100" i="20" s="1"/>
  <c r="AS100" i="20"/>
  <c r="AU100" i="20" s="1"/>
  <c r="EM103" i="20"/>
  <c r="GH103" i="20"/>
  <c r="DR106" i="20"/>
  <c r="CP109" i="20"/>
  <c r="CH113" i="20"/>
  <c r="EM114" i="20"/>
  <c r="CP116" i="20"/>
  <c r="BZ118" i="20"/>
  <c r="EH118" i="20" s="1"/>
  <c r="EJ118" i="20" s="1"/>
  <c r="DT119" i="20"/>
  <c r="AV123" i="20"/>
  <c r="AS126" i="20"/>
  <c r="AU126" i="20" s="1"/>
  <c r="CP129" i="20"/>
  <c r="AV135" i="20"/>
  <c r="BM141" i="20"/>
  <c r="BN141" i="20" s="1"/>
  <c r="CW141" i="20" s="1"/>
  <c r="DT142" i="20"/>
  <c r="AS142" i="20"/>
  <c r="AO142" i="20"/>
  <c r="CN151" i="20"/>
  <c r="CP151" i="20" s="1"/>
  <c r="AC193" i="20"/>
  <c r="BZ193" i="20"/>
  <c r="EH193" i="20" s="1"/>
  <c r="EJ193" i="20" s="1"/>
  <c r="P174" i="20"/>
  <c r="DQ174" i="20"/>
  <c r="AF309" i="20"/>
  <c r="ET309" i="20" s="1"/>
  <c r="ES309" i="20" s="1"/>
  <c r="BI309" i="20"/>
  <c r="DQ21" i="20"/>
  <c r="O22" i="20"/>
  <c r="AV22" i="20"/>
  <c r="AY22" i="20" s="1"/>
  <c r="AZ22" i="20" s="1"/>
  <c r="DQ22" i="20"/>
  <c r="BZ24" i="20"/>
  <c r="EH24" i="20" s="1"/>
  <c r="EJ24" i="20" s="1"/>
  <c r="EP24" i="20" s="1"/>
  <c r="DU24" i="20" s="1"/>
  <c r="DT25" i="20"/>
  <c r="EM27" i="20"/>
  <c r="BH28" i="20"/>
  <c r="BZ28" i="20"/>
  <c r="EH28" i="20" s="1"/>
  <c r="EJ28" i="20" s="1"/>
  <c r="EP28" i="20" s="1"/>
  <c r="DU28" i="20" s="1"/>
  <c r="L29" i="20"/>
  <c r="DR29" i="20" s="1"/>
  <c r="CI29" i="20"/>
  <c r="CJ29" i="20" s="1"/>
  <c r="L32" i="20"/>
  <c r="P32" i="20" s="1"/>
  <c r="DQ32" i="20"/>
  <c r="EM33" i="20"/>
  <c r="AS33" i="20"/>
  <c r="O35" i="20"/>
  <c r="AV35" i="20"/>
  <c r="DQ35" i="20"/>
  <c r="L36" i="20"/>
  <c r="L39" i="20"/>
  <c r="CI41" i="20"/>
  <c r="CJ41" i="20" s="1"/>
  <c r="GG41" i="20"/>
  <c r="O43" i="20"/>
  <c r="GG46" i="20"/>
  <c r="GI46" i="20" s="1"/>
  <c r="DT47" i="20"/>
  <c r="GG48" i="20"/>
  <c r="CP59" i="20"/>
  <c r="BJ61" i="20"/>
  <c r="BF64" i="20"/>
  <c r="CP65" i="20"/>
  <c r="AC76" i="20"/>
  <c r="CP76" i="20"/>
  <c r="AS77" i="20"/>
  <c r="AU77" i="20" s="1"/>
  <c r="BJ80" i="20"/>
  <c r="CH82" i="20"/>
  <c r="BZ82" i="20"/>
  <c r="EH82" i="20" s="1"/>
  <c r="EJ82" i="20" s="1"/>
  <c r="EO82" i="20" s="1"/>
  <c r="BJ83" i="20"/>
  <c r="CP84" i="20"/>
  <c r="BJ85" i="20"/>
  <c r="AC86" i="20"/>
  <c r="BJ87" i="20"/>
  <c r="CP91" i="20"/>
  <c r="O92" i="20"/>
  <c r="BZ108" i="20"/>
  <c r="EH108" i="20" s="1"/>
  <c r="EJ108" i="20" s="1"/>
  <c r="CP110" i="20"/>
  <c r="AV115" i="20"/>
  <c r="GL123" i="20"/>
  <c r="CH125" i="20"/>
  <c r="AV126" i="20"/>
  <c r="CI128" i="20"/>
  <c r="DQ130" i="20"/>
  <c r="FB130" i="20" s="1"/>
  <c r="FC130" i="20" s="1"/>
  <c r="FD130" i="20" s="1"/>
  <c r="L130" i="20"/>
  <c r="AO130" i="20" s="1"/>
  <c r="CL130" i="20" s="1"/>
  <c r="CM130" i="20" s="1"/>
  <c r="CP131" i="20"/>
  <c r="CP141" i="20"/>
  <c r="EM148" i="20"/>
  <c r="CL152" i="20"/>
  <c r="CM152" i="20" s="1"/>
  <c r="BB154" i="20"/>
  <c r="EC154" i="20" s="1"/>
  <c r="AY163" i="20"/>
  <c r="CI136" i="20"/>
  <c r="CH140" i="20"/>
  <c r="CP143" i="20"/>
  <c r="CP144" i="20"/>
  <c r="CL148" i="20"/>
  <c r="CM148" i="20" s="1"/>
  <c r="AV151" i="20"/>
  <c r="CI153" i="20"/>
  <c r="AY156" i="20"/>
  <c r="AY380" i="20"/>
  <c r="BM162" i="20"/>
  <c r="GF163" i="20"/>
  <c r="CP164" i="20"/>
  <c r="CP396" i="20"/>
  <c r="AB204" i="20"/>
  <c r="CI178" i="20"/>
  <c r="CP172" i="20"/>
  <c r="CP217" i="20"/>
  <c r="BI169" i="20"/>
  <c r="AB181" i="20"/>
  <c r="GF181" i="20"/>
  <c r="EM181" i="20"/>
  <c r="AV181" i="20"/>
  <c r="AC181" i="20"/>
  <c r="BM279" i="20"/>
  <c r="DT279" i="20"/>
  <c r="AV279" i="20"/>
  <c r="BI212" i="20"/>
  <c r="AF212" i="20"/>
  <c r="ET169" i="20"/>
  <c r="ES169" i="20" s="1"/>
  <c r="AG169" i="20"/>
  <c r="EB169" i="20" s="1"/>
  <c r="DT223" i="20"/>
  <c r="O223" i="20"/>
  <c r="L223" i="20"/>
  <c r="BJ223" i="20" s="1"/>
  <c r="AU223" i="20"/>
  <c r="AF389" i="20"/>
  <c r="ET389" i="20" s="1"/>
  <c r="ES389" i="20" s="1"/>
  <c r="BI389" i="20"/>
  <c r="GH350" i="20"/>
  <c r="CL350" i="20"/>
  <c r="CM350" i="20" s="1"/>
  <c r="AS316" i="20"/>
  <c r="O316" i="20"/>
  <c r="L316" i="20"/>
  <c r="EM320" i="20"/>
  <c r="W320" i="20"/>
  <c r="GH333" i="20"/>
  <c r="AF285" i="20"/>
  <c r="ET285" i="20" s="1"/>
  <c r="ES285" i="20" s="1"/>
  <c r="BI285" i="20"/>
  <c r="BA296" i="20"/>
  <c r="DT296" i="20"/>
  <c r="AU291" i="20"/>
  <c r="BA291" i="20"/>
  <c r="BA379" i="20"/>
  <c r="AU379" i="20"/>
  <c r="BZ132" i="20"/>
  <c r="EH132" i="20" s="1"/>
  <c r="EJ132" i="20" s="1"/>
  <c r="BS143" i="20"/>
  <c r="BU143" i="20" s="1"/>
  <c r="CI145" i="20"/>
  <c r="GG146" i="20"/>
  <c r="CH146" i="20"/>
  <c r="EM147" i="20"/>
  <c r="EG148" i="20"/>
  <c r="EM151" i="20"/>
  <c r="EM152" i="20"/>
  <c r="BB159" i="20"/>
  <c r="EC159" i="20" s="1"/>
  <c r="AC162" i="20"/>
  <c r="CH177" i="20"/>
  <c r="L171" i="20"/>
  <c r="P171" i="20" s="1"/>
  <c r="AF173" i="20"/>
  <c r="AG173" i="20" s="1"/>
  <c r="EB173" i="20" s="1"/>
  <c r="GF217" i="20"/>
  <c r="DT165" i="20"/>
  <c r="AU165" i="20"/>
  <c r="AA166" i="20"/>
  <c r="DT166" i="20"/>
  <c r="AU166" i="20"/>
  <c r="AF166" i="20"/>
  <c r="AU455" i="20"/>
  <c r="DT455" i="20"/>
  <c r="EM455" i="20"/>
  <c r="O455" i="20"/>
  <c r="W456" i="20"/>
  <c r="V456" i="20" s="1"/>
  <c r="GF456" i="20"/>
  <c r="AC456" i="20"/>
  <c r="AU435" i="20"/>
  <c r="O435" i="20"/>
  <c r="AF391" i="20"/>
  <c r="ET391" i="20" s="1"/>
  <c r="ES391" i="20" s="1"/>
  <c r="BI391" i="20"/>
  <c r="DQ129" i="20"/>
  <c r="FB129" i="20" s="1"/>
  <c r="AB132" i="20"/>
  <c r="CH132" i="20"/>
  <c r="DQ133" i="20"/>
  <c r="FB133" i="20" s="1"/>
  <c r="FC133" i="20" s="1"/>
  <c r="FD133" i="20" s="1"/>
  <c r="DT136" i="20"/>
  <c r="CH138" i="20"/>
  <c r="GF140" i="20"/>
  <c r="BZ143" i="20"/>
  <c r="EH143" i="20" s="1"/>
  <c r="EJ143" i="20" s="1"/>
  <c r="BZ145" i="20"/>
  <c r="EH145" i="20" s="1"/>
  <c r="EJ145" i="20" s="1"/>
  <c r="CI146" i="20"/>
  <c r="AB148" i="20"/>
  <c r="BZ148" i="20"/>
  <c r="EH148" i="20" s="1"/>
  <c r="GG148" i="20"/>
  <c r="BS149" i="20"/>
  <c r="BT149" i="20" s="1"/>
  <c r="BV149" i="20" s="1"/>
  <c r="EG150" i="20"/>
  <c r="BS150" i="20"/>
  <c r="BT150" i="20" s="1"/>
  <c r="BV150" i="20" s="1"/>
  <c r="BM152" i="20"/>
  <c r="DQ152" i="20"/>
  <c r="EM153" i="20"/>
  <c r="AF156" i="20"/>
  <c r="AG156" i="20" s="1"/>
  <c r="BQ156" i="20" s="1"/>
  <c r="BB160" i="20"/>
  <c r="EC160" i="20" s="1"/>
  <c r="CP162" i="20"/>
  <c r="Q298" i="20"/>
  <c r="AT298" i="20" s="1"/>
  <c r="AF204" i="20"/>
  <c r="ET204" i="20" s="1"/>
  <c r="ES204" i="20" s="1"/>
  <c r="AF206" i="20"/>
  <c r="AG206" i="20" s="1"/>
  <c r="BQ206" i="20" s="1"/>
  <c r="Q178" i="20"/>
  <c r="EM178" i="20" s="1"/>
  <c r="CI182" i="20"/>
  <c r="CI183" i="20"/>
  <c r="O171" i="20"/>
  <c r="BM172" i="20"/>
  <c r="CI175" i="20"/>
  <c r="GG167" i="20"/>
  <c r="AB167" i="20"/>
  <c r="AB157" i="20"/>
  <c r="AC436" i="20"/>
  <c r="GF436" i="20"/>
  <c r="EM436" i="20"/>
  <c r="DT429" i="20"/>
  <c r="AU429" i="20"/>
  <c r="O429" i="20"/>
  <c r="CI219" i="20"/>
  <c r="CH219" i="20"/>
  <c r="AB219" i="20"/>
  <c r="BG219" i="20" s="1"/>
  <c r="BZ219" i="20"/>
  <c r="EH219" i="20" s="1"/>
  <c r="EJ219" i="20" s="1"/>
  <c r="EO219" i="20" s="1"/>
  <c r="AV223" i="20"/>
  <c r="AT223" i="20"/>
  <c r="W327" i="20"/>
  <c r="EM327" i="20"/>
  <c r="GF276" i="20"/>
  <c r="AC276" i="20"/>
  <c r="BM276" i="20"/>
  <c r="BI362" i="20"/>
  <c r="AF362" i="20"/>
  <c r="ET362" i="20" s="1"/>
  <c r="ES362" i="20" s="1"/>
  <c r="CK265" i="20"/>
  <c r="CL265" i="20"/>
  <c r="L131" i="20"/>
  <c r="AS131" i="20"/>
  <c r="AU131" i="20" s="1"/>
  <c r="AV136" i="20"/>
  <c r="AC138" i="20"/>
  <c r="GF138" i="20"/>
  <c r="L140" i="20"/>
  <c r="DR140" i="20" s="1"/>
  <c r="AV143" i="20"/>
  <c r="AB145" i="20"/>
  <c r="GG145" i="20"/>
  <c r="CH148" i="20"/>
  <c r="CH149" i="20"/>
  <c r="CI149" i="20"/>
  <c r="AB150" i="20"/>
  <c r="BZ150" i="20"/>
  <c r="EH150" i="20" s="1"/>
  <c r="EG152" i="20"/>
  <c r="BS152" i="20"/>
  <c r="BU152" i="20" s="1"/>
  <c r="AY155" i="20"/>
  <c r="P160" i="20"/>
  <c r="AY160" i="20"/>
  <c r="BF162" i="20"/>
  <c r="CI164" i="20"/>
  <c r="BQ297" i="20"/>
  <c r="CH298" i="20"/>
  <c r="DT206" i="20"/>
  <c r="CH202" i="20"/>
  <c r="GF202" i="20"/>
  <c r="CP177" i="20"/>
  <c r="AB178" i="20"/>
  <c r="BG178" i="20" s="1"/>
  <c r="BH178" i="20" s="1"/>
  <c r="CH182" i="20"/>
  <c r="AU183" i="20"/>
  <c r="DT183" i="20"/>
  <c r="CH170" i="20"/>
  <c r="L172" i="20"/>
  <c r="P172" i="20" s="1"/>
  <c r="AF172" i="20"/>
  <c r="L173" i="20"/>
  <c r="DQ173" i="20" s="1"/>
  <c r="DT173" i="20"/>
  <c r="O215" i="20"/>
  <c r="AF215" i="20"/>
  <c r="AC175" i="20"/>
  <c r="AU175" i="20"/>
  <c r="DT175" i="20"/>
  <c r="O165" i="20"/>
  <c r="O166" i="20"/>
  <c r="CI168" i="20"/>
  <c r="Q168" i="20"/>
  <c r="EM168" i="20" s="1"/>
  <c r="BZ168" i="20"/>
  <c r="EH168" i="20" s="1"/>
  <c r="EJ168" i="20" s="1"/>
  <c r="EP168" i="20" s="1"/>
  <c r="CH168" i="20"/>
  <c r="AC455" i="20"/>
  <c r="W436" i="20"/>
  <c r="GF454" i="20"/>
  <c r="ET434" i="20"/>
  <c r="ES434" i="20" s="1"/>
  <c r="AV267" i="20"/>
  <c r="DT267" i="20"/>
  <c r="O267" i="20"/>
  <c r="L267" i="20"/>
  <c r="AO267" i="20" s="1"/>
  <c r="GG267" i="20" s="1"/>
  <c r="GI267" i="20" s="1"/>
  <c r="DA267" i="20" s="1"/>
  <c r="AU387" i="20"/>
  <c r="AV387" i="20"/>
  <c r="CI197" i="20"/>
  <c r="CH197" i="20"/>
  <c r="AB197" i="20"/>
  <c r="BG197" i="20" s="1"/>
  <c r="BP197" i="20" s="1"/>
  <c r="GF350" i="20"/>
  <c r="AC350" i="20"/>
  <c r="BM350" i="20"/>
  <c r="CI148" i="20"/>
  <c r="AV149" i="20"/>
  <c r="CH150" i="20"/>
  <c r="CH151" i="20"/>
  <c r="CI151" i="20"/>
  <c r="BZ152" i="20"/>
  <c r="EH152" i="20" s="1"/>
  <c r="BS153" i="20"/>
  <c r="BT153" i="20" s="1"/>
  <c r="BV153" i="20" s="1"/>
  <c r="AB155" i="20"/>
  <c r="CP156" i="20"/>
  <c r="AF193" i="20"/>
  <c r="AG193" i="20" s="1"/>
  <c r="P163" i="20"/>
  <c r="BZ163" i="20"/>
  <c r="EH163" i="20" s="1"/>
  <c r="EJ163" i="20" s="1"/>
  <c r="BZ297" i="20"/>
  <c r="EH297" i="20" s="1"/>
  <c r="EJ297" i="20" s="1"/>
  <c r="EP297" i="20" s="1"/>
  <c r="GG298" i="20"/>
  <c r="L204" i="20"/>
  <c r="P204" i="20" s="1"/>
  <c r="L206" i="20"/>
  <c r="BJ206" i="20" s="1"/>
  <c r="CI202" i="20"/>
  <c r="CH178" i="20"/>
  <c r="GF178" i="20"/>
  <c r="AV183" i="20"/>
  <c r="AC170" i="20"/>
  <c r="O172" i="20"/>
  <c r="AC217" i="20"/>
  <c r="CI174" i="20"/>
  <c r="CH176" i="20"/>
  <c r="BI435" i="20"/>
  <c r="AF435" i="20"/>
  <c r="AG435" i="20" s="1"/>
  <c r="DT434" i="20"/>
  <c r="O434" i="20"/>
  <c r="AS308" i="20"/>
  <c r="AR308" i="20" s="1"/>
  <c r="O308" i="20"/>
  <c r="AU267" i="20"/>
  <c r="GF422" i="20"/>
  <c r="CP219" i="20"/>
  <c r="BZ220" i="20"/>
  <c r="EH220" i="20" s="1"/>
  <c r="EJ220" i="20" s="1"/>
  <c r="EP220" i="20" s="1"/>
  <c r="DU220" i="20" s="1"/>
  <c r="AB229" i="20"/>
  <c r="BG229" i="20" s="1"/>
  <c r="BP229" i="20" s="1"/>
  <c r="AB382" i="20"/>
  <c r="BG382" i="20" s="1"/>
  <c r="BH382" i="20" s="1"/>
  <c r="AB300" i="20"/>
  <c r="BG300" i="20" s="1"/>
  <c r="AB237" i="20"/>
  <c r="BG237" i="20" s="1"/>
  <c r="BP237" i="20" s="1"/>
  <c r="BZ237" i="20"/>
  <c r="EH237" i="20" s="1"/>
  <c r="EJ237" i="20" s="1"/>
  <c r="EO237" i="20" s="1"/>
  <c r="CP383" i="20"/>
  <c r="BI303" i="20"/>
  <c r="CH311" i="20"/>
  <c r="CJ311" i="20" s="1"/>
  <c r="CI180" i="20"/>
  <c r="GF269" i="20"/>
  <c r="GH320" i="20"/>
  <c r="CL320" i="20"/>
  <c r="CM320" i="20" s="1"/>
  <c r="CP333" i="20"/>
  <c r="ES302" i="20"/>
  <c r="CL371" i="20"/>
  <c r="CM371" i="20" s="1"/>
  <c r="AC371" i="20"/>
  <c r="CN371" i="20"/>
  <c r="CP371" i="20" s="1"/>
  <c r="CO360" i="20"/>
  <c r="CP166" i="20"/>
  <c r="CH169" i="20"/>
  <c r="AU169" i="20"/>
  <c r="AU157" i="20"/>
  <c r="AS161" i="20"/>
  <c r="AR161" i="20" s="1"/>
  <c r="CP161" i="20"/>
  <c r="AF449" i="20"/>
  <c r="ET449" i="20" s="1"/>
  <c r="ES449" i="20" s="1"/>
  <c r="AC452" i="20"/>
  <c r="CP429" i="20"/>
  <c r="W430" i="20"/>
  <c r="V430" i="20" s="1"/>
  <c r="AS430" i="20"/>
  <c r="O433" i="20"/>
  <c r="AT220" i="20"/>
  <c r="AF220" i="20"/>
  <c r="ET220" i="20" s="1"/>
  <c r="ES220" i="20" s="1"/>
  <c r="CI220" i="20"/>
  <c r="CJ220" i="20" s="1"/>
  <c r="EM220" i="20"/>
  <c r="O224" i="20"/>
  <c r="CP224" i="20"/>
  <c r="AF225" i="20"/>
  <c r="AG225" i="20" s="1"/>
  <c r="CH225" i="20"/>
  <c r="AF308" i="20"/>
  <c r="AG308" i="20" s="1"/>
  <c r="BQ308" i="20" s="1"/>
  <c r="BI382" i="20"/>
  <c r="AS310" i="20"/>
  <c r="AR310" i="20" s="1"/>
  <c r="DT310" i="20"/>
  <c r="BZ233" i="20"/>
  <c r="EH233" i="20" s="1"/>
  <c r="EJ233" i="20" s="1"/>
  <c r="EO233" i="20" s="1"/>
  <c r="L236" i="20"/>
  <c r="AF236" i="20"/>
  <c r="ET236" i="20" s="1"/>
  <c r="ES236" i="20" s="1"/>
  <c r="EM236" i="20"/>
  <c r="CP387" i="20"/>
  <c r="L383" i="20"/>
  <c r="AR311" i="20"/>
  <c r="CP275" i="20"/>
  <c r="AC273" i="20"/>
  <c r="AU273" i="20"/>
  <c r="AF376" i="20"/>
  <c r="ET376" i="20" s="1"/>
  <c r="ES376" i="20" s="1"/>
  <c r="EI346" i="20"/>
  <c r="GH346" i="20"/>
  <c r="DT379" i="20"/>
  <c r="CN364" i="20"/>
  <c r="CP364" i="20" s="1"/>
  <c r="AC364" i="20"/>
  <c r="GH364" i="20"/>
  <c r="BI237" i="20"/>
  <c r="AF237" i="20"/>
  <c r="AG237" i="20" s="1"/>
  <c r="BQ237" i="20" s="1"/>
  <c r="CI387" i="20"/>
  <c r="CP181" i="20"/>
  <c r="CN286" i="20"/>
  <c r="CP286" i="20" s="1"/>
  <c r="O286" i="20"/>
  <c r="BM320" i="20"/>
  <c r="AC320" i="20"/>
  <c r="GF320" i="20"/>
  <c r="AS337" i="20"/>
  <c r="DT337" i="20"/>
  <c r="AG302" i="20"/>
  <c r="EB302" i="20" s="1"/>
  <c r="AS285" i="20"/>
  <c r="L285" i="20"/>
  <c r="BF285" i="20" s="1"/>
  <c r="CU285" i="20" s="1"/>
  <c r="AF294" i="20"/>
  <c r="ET294" i="20" s="1"/>
  <c r="ES294" i="20" s="1"/>
  <c r="BI294" i="20"/>
  <c r="BJ294" i="20" s="1"/>
  <c r="AC166" i="20"/>
  <c r="CP391" i="20"/>
  <c r="GF392" i="20"/>
  <c r="AS219" i="20"/>
  <c r="BZ222" i="20"/>
  <c r="EH222" i="20" s="1"/>
  <c r="EJ222" i="20" s="1"/>
  <c r="EP222" i="20" s="1"/>
  <c r="AS224" i="20"/>
  <c r="AR224" i="20" s="1"/>
  <c r="O309" i="20"/>
  <c r="AF229" i="20"/>
  <c r="CH229" i="20"/>
  <c r="CJ229" i="20" s="1"/>
  <c r="EM310" i="20"/>
  <c r="AS236" i="20"/>
  <c r="AR236" i="20" s="1"/>
  <c r="CP237" i="20"/>
  <c r="CH384" i="20"/>
  <c r="CI384" i="20"/>
  <c r="CI304" i="20"/>
  <c r="AV304" i="20"/>
  <c r="AF301" i="20"/>
  <c r="BM179" i="20"/>
  <c r="BN179" i="20" s="1"/>
  <c r="CW179" i="20" s="1"/>
  <c r="AC179" i="20"/>
  <c r="AF230" i="20"/>
  <c r="ET230" i="20" s="1"/>
  <c r="ES230" i="20" s="1"/>
  <c r="AF372" i="20"/>
  <c r="ET372" i="20" s="1"/>
  <c r="ES372" i="20" s="1"/>
  <c r="EM369" i="20"/>
  <c r="W369" i="20"/>
  <c r="EM368" i="20"/>
  <c r="W368" i="20"/>
  <c r="V368" i="20" s="1"/>
  <c r="O331" i="20"/>
  <c r="EM302" i="20"/>
  <c r="W302" i="20"/>
  <c r="V302" i="20" s="1"/>
  <c r="AF264" i="20"/>
  <c r="ET264" i="20" s="1"/>
  <c r="ES264" i="20" s="1"/>
  <c r="BI264" i="20"/>
  <c r="DT258" i="20"/>
  <c r="BA258" i="20"/>
  <c r="AU258" i="20"/>
  <c r="BA295" i="20"/>
  <c r="DT295" i="20"/>
  <c r="AU295" i="20"/>
  <c r="L169" i="20"/>
  <c r="L161" i="20"/>
  <c r="AO161" i="20" s="1"/>
  <c r="CL161" i="20" s="1"/>
  <c r="CM161" i="20" s="1"/>
  <c r="EM435" i="20"/>
  <c r="W449" i="20"/>
  <c r="O451" i="20"/>
  <c r="GF452" i="20"/>
  <c r="EM430" i="20"/>
  <c r="O391" i="20"/>
  <c r="AU219" i="20"/>
  <c r="AB220" i="20"/>
  <c r="BG220" i="20" s="1"/>
  <c r="BH220" i="20" s="1"/>
  <c r="CI222" i="20"/>
  <c r="BZ223" i="20"/>
  <c r="EH223" i="20" s="1"/>
  <c r="EJ223" i="20" s="1"/>
  <c r="EO223" i="20" s="1"/>
  <c r="AB225" i="20"/>
  <c r="BG225" i="20" s="1"/>
  <c r="CP382" i="20"/>
  <c r="AB233" i="20"/>
  <c r="BG233" i="20" s="1"/>
  <c r="EM235" i="20"/>
  <c r="AV236" i="20"/>
  <c r="AB387" i="20"/>
  <c r="BG387" i="20" s="1"/>
  <c r="AB311" i="20"/>
  <c r="BG311" i="20" s="1"/>
  <c r="BH311" i="20" s="1"/>
  <c r="AF388" i="20"/>
  <c r="AV305" i="20"/>
  <c r="AU305" i="20"/>
  <c r="GF274" i="20"/>
  <c r="AC274" i="20"/>
  <c r="W269" i="20"/>
  <c r="GF368" i="20"/>
  <c r="AC368" i="20"/>
  <c r="CL327" i="20"/>
  <c r="CM327" i="20" s="1"/>
  <c r="GH327" i="20"/>
  <c r="AS307" i="20"/>
  <c r="L307" i="20"/>
  <c r="BF307" i="20" s="1"/>
  <c r="CU307" i="20" s="1"/>
  <c r="GF256" i="20"/>
  <c r="AC256" i="20"/>
  <c r="BJ167" i="20"/>
  <c r="CP167" i="20"/>
  <c r="AS168" i="20"/>
  <c r="AR168" i="20" s="1"/>
  <c r="O169" i="20"/>
  <c r="O161" i="20"/>
  <c r="DT436" i="20"/>
  <c r="EM451" i="20"/>
  <c r="DT422" i="20"/>
  <c r="GF430" i="20"/>
  <c r="BQ434" i="20"/>
  <c r="CP392" i="20"/>
  <c r="CP218" i="20"/>
  <c r="CP309" i="20"/>
  <c r="CP310" i="20"/>
  <c r="DT236" i="20"/>
  <c r="CI237" i="20"/>
  <c r="CJ237" i="20" s="1"/>
  <c r="AV388" i="20"/>
  <c r="DT388" i="20"/>
  <c r="L388" i="20"/>
  <c r="DQ388" i="20" s="1"/>
  <c r="BI312" i="20"/>
  <c r="AG312" i="20"/>
  <c r="EB312" i="20" s="1"/>
  <c r="GF275" i="20"/>
  <c r="AC275" i="20"/>
  <c r="O366" i="20"/>
  <c r="L366" i="20"/>
  <c r="BF366" i="20" s="1"/>
  <c r="CU366" i="20" s="1"/>
  <c r="EI317" i="20"/>
  <c r="AU317" i="20"/>
  <c r="ES331" i="20"/>
  <c r="EG302" i="20"/>
  <c r="AC390" i="20"/>
  <c r="GF390" i="20"/>
  <c r="GF359" i="20"/>
  <c r="AC359" i="20"/>
  <c r="CL279" i="20"/>
  <c r="CM279" i="20" s="1"/>
  <c r="CP274" i="20"/>
  <c r="EM376" i="20"/>
  <c r="ES324" i="20"/>
  <c r="EM317" i="20"/>
  <c r="AV329" i="20"/>
  <c r="CL338" i="20"/>
  <c r="CM338" i="20" s="1"/>
  <c r="W346" i="20"/>
  <c r="AV302" i="20"/>
  <c r="EI361" i="20"/>
  <c r="EG361" i="20"/>
  <c r="O361" i="20"/>
  <c r="CN361" i="20"/>
  <c r="CP361" i="20" s="1"/>
  <c r="AS254" i="20"/>
  <c r="L254" i="20"/>
  <c r="P254" i="20" s="1"/>
  <c r="BA241" i="20"/>
  <c r="AU241" i="20"/>
  <c r="GH242" i="20"/>
  <c r="CN242" i="20"/>
  <c r="CP242" i="20" s="1"/>
  <c r="EI242" i="20"/>
  <c r="AF370" i="20"/>
  <c r="ET370" i="20" s="1"/>
  <c r="ES370" i="20" s="1"/>
  <c r="BI370" i="20"/>
  <c r="W247" i="20"/>
  <c r="GF247" i="20"/>
  <c r="CP388" i="20"/>
  <c r="CP312" i="20"/>
  <c r="CP301" i="20"/>
  <c r="AR249" i="20"/>
  <c r="CP249" i="20"/>
  <c r="GG181" i="20"/>
  <c r="DQ181" i="20"/>
  <c r="AV190" i="20"/>
  <c r="BF179" i="20"/>
  <c r="CU179" i="20" s="1"/>
  <c r="AF228" i="20"/>
  <c r="ET228" i="20" s="1"/>
  <c r="ES228" i="20" s="1"/>
  <c r="L274" i="20"/>
  <c r="BJ274" i="20" s="1"/>
  <c r="EI271" i="20"/>
  <c r="AF349" i="20"/>
  <c r="ET349" i="20" s="1"/>
  <c r="ES349" i="20" s="1"/>
  <c r="W372" i="20"/>
  <c r="GH372" i="20"/>
  <c r="AF354" i="20"/>
  <c r="ET354" i="20" s="1"/>
  <c r="ES354" i="20" s="1"/>
  <c r="GH376" i="20"/>
  <c r="EG369" i="20"/>
  <c r="AS368" i="20"/>
  <c r="AV320" i="20"/>
  <c r="BA320" i="20"/>
  <c r="W333" i="20"/>
  <c r="DT317" i="20"/>
  <c r="EI337" i="20"/>
  <c r="EG327" i="20"/>
  <c r="ES325" i="20"/>
  <c r="BI331" i="20"/>
  <c r="L326" i="20"/>
  <c r="DQ326" i="20" s="1"/>
  <c r="L329" i="20"/>
  <c r="DQ329" i="20" s="1"/>
  <c r="W338" i="20"/>
  <c r="EI307" i="20"/>
  <c r="EG262" i="20"/>
  <c r="BI276" i="20"/>
  <c r="AF276" i="20"/>
  <c r="AG276" i="20" s="1"/>
  <c r="EB276" i="20" s="1"/>
  <c r="EM292" i="20"/>
  <c r="EM258" i="20"/>
  <c r="W258" i="20"/>
  <c r="DT259" i="20"/>
  <c r="O259" i="20"/>
  <c r="L259" i="20"/>
  <c r="BF259" i="20" s="1"/>
  <c r="CU259" i="20" s="1"/>
  <c r="ES259" i="20"/>
  <c r="BI250" i="20"/>
  <c r="AF250" i="20"/>
  <c r="ET250" i="20" s="1"/>
  <c r="ES250" i="20" s="1"/>
  <c r="O356" i="20"/>
  <c r="L356" i="20"/>
  <c r="ES356" i="20"/>
  <c r="AS353" i="20"/>
  <c r="L353" i="20"/>
  <c r="DQ353" i="20" s="1"/>
  <c r="AC394" i="20"/>
  <c r="GF394" i="20"/>
  <c r="AV394" i="20"/>
  <c r="DT348" i="20"/>
  <c r="AU254" i="20"/>
  <c r="BI245" i="20"/>
  <c r="AF245" i="20"/>
  <c r="ET245" i="20" s="1"/>
  <c r="ES245" i="20" s="1"/>
  <c r="AV291" i="20"/>
  <c r="EG355" i="20"/>
  <c r="EG364" i="20"/>
  <c r="AV437" i="20"/>
  <c r="CN437" i="20"/>
  <c r="CP437" i="20" s="1"/>
  <c r="EI437" i="20"/>
  <c r="EG437" i="20"/>
  <c r="AC428" i="20"/>
  <c r="GF428" i="20"/>
  <c r="EM228" i="20"/>
  <c r="W286" i="20"/>
  <c r="EG376" i="20"/>
  <c r="AS369" i="20"/>
  <c r="EM318" i="20"/>
  <c r="EI324" i="20"/>
  <c r="EG317" i="20"/>
  <c r="EM341" i="20"/>
  <c r="EG331" i="20"/>
  <c r="DT329" i="20"/>
  <c r="BM338" i="20"/>
  <c r="EG346" i="20"/>
  <c r="GH362" i="20"/>
  <c r="AF393" i="20"/>
  <c r="ET393" i="20" s="1"/>
  <c r="ES393" i="20" s="1"/>
  <c r="BI393" i="20"/>
  <c r="AC361" i="20"/>
  <c r="EG351" i="20"/>
  <c r="AV242" i="20"/>
  <c r="EM296" i="20"/>
  <c r="EG279" i="20"/>
  <c r="W377" i="20"/>
  <c r="EI377" i="20"/>
  <c r="AC377" i="20"/>
  <c r="CN377" i="20"/>
  <c r="CP377" i="20" s="1"/>
  <c r="GH213" i="20"/>
  <c r="W278" i="20"/>
  <c r="AV271" i="20"/>
  <c r="GH349" i="20"/>
  <c r="EG372" i="20"/>
  <c r="BM372" i="20"/>
  <c r="GH354" i="20"/>
  <c r="EM268" i="20"/>
  <c r="CN268" i="20"/>
  <c r="CP268" i="20" s="1"/>
  <c r="W376" i="20"/>
  <c r="AS376" i="20"/>
  <c r="L369" i="20"/>
  <c r="P369" i="20" s="1"/>
  <c r="EM316" i="20"/>
  <c r="O332" i="20"/>
  <c r="O315" i="20"/>
  <c r="DT315" i="20"/>
  <c r="BM324" i="20"/>
  <c r="AF314" i="20"/>
  <c r="ET314" i="20" s="1"/>
  <c r="ES314" i="20" s="1"/>
  <c r="EG333" i="20"/>
  <c r="W317" i="20"/>
  <c r="AU337" i="20"/>
  <c r="GH325" i="20"/>
  <c r="EG338" i="20"/>
  <c r="AV346" i="20"/>
  <c r="EM262" i="20"/>
  <c r="GH259" i="20"/>
  <c r="CN259" i="20"/>
  <c r="CP259" i="20" s="1"/>
  <c r="AC259" i="20"/>
  <c r="AG356" i="20"/>
  <c r="BQ356" i="20" s="1"/>
  <c r="EI356" i="20"/>
  <c r="AC356" i="20"/>
  <c r="AV353" i="20"/>
  <c r="GH353" i="20"/>
  <c r="AS393" i="20"/>
  <c r="L393" i="20"/>
  <c r="BF393" i="20" s="1"/>
  <c r="CU393" i="20" s="1"/>
  <c r="CP420" i="20"/>
  <c r="O352" i="20"/>
  <c r="AS352" i="20"/>
  <c r="AU348" i="20"/>
  <c r="CN348" i="20"/>
  <c r="O348" i="20"/>
  <c r="EG242" i="20"/>
  <c r="EG288" i="20"/>
  <c r="EI373" i="20"/>
  <c r="CN373" i="20"/>
  <c r="CP373" i="20" s="1"/>
  <c r="GF378" i="20"/>
  <c r="EI401" i="20"/>
  <c r="GH401" i="20"/>
  <c r="CN439" i="20"/>
  <c r="CP439" i="20" s="1"/>
  <c r="AG439" i="20"/>
  <c r="BQ439" i="20" s="1"/>
  <c r="GG180" i="20"/>
  <c r="EG286" i="20"/>
  <c r="CP278" i="20"/>
  <c r="AF350" i="20"/>
  <c r="ET350" i="20" s="1"/>
  <c r="ES350" i="20" s="1"/>
  <c r="CL372" i="20"/>
  <c r="CM372" i="20" s="1"/>
  <c r="W354" i="20"/>
  <c r="AU269" i="20"/>
  <c r="EM366" i="20"/>
  <c r="GH366" i="20"/>
  <c r="L376" i="20"/>
  <c r="DQ376" i="20" s="1"/>
  <c r="AC369" i="20"/>
  <c r="EM332" i="20"/>
  <c r="EI332" i="20"/>
  <c r="EM315" i="20"/>
  <c r="AU315" i="20"/>
  <c r="CP324" i="20"/>
  <c r="EG324" i="20"/>
  <c r="AV333" i="20"/>
  <c r="L317" i="20"/>
  <c r="O327" i="20"/>
  <c r="AF327" i="20"/>
  <c r="ET327" i="20" s="1"/>
  <c r="ES327" i="20" s="1"/>
  <c r="CN341" i="20"/>
  <c r="CP341" i="20" s="1"/>
  <c r="EM331" i="20"/>
  <c r="EM326" i="20"/>
  <c r="GH326" i="20"/>
  <c r="EM329" i="20"/>
  <c r="L346" i="20"/>
  <c r="BJ346" i="20" s="1"/>
  <c r="EM346" i="20"/>
  <c r="EM307" i="20"/>
  <c r="DT375" i="20"/>
  <c r="AC362" i="20"/>
  <c r="CL362" i="20"/>
  <c r="CM362" i="20" s="1"/>
  <c r="AF394" i="20"/>
  <c r="ET394" i="20" s="1"/>
  <c r="ES394" i="20" s="1"/>
  <c r="BI394" i="20"/>
  <c r="CN359" i="20"/>
  <c r="CP359" i="20" s="1"/>
  <c r="O359" i="20"/>
  <c r="AV303" i="20"/>
  <c r="CP190" i="20"/>
  <c r="W228" i="20"/>
  <c r="W275" i="20"/>
  <c r="EG278" i="20"/>
  <c r="EG349" i="20"/>
  <c r="BM349" i="20"/>
  <c r="AC372" i="20"/>
  <c r="BM354" i="20"/>
  <c r="AG269" i="20"/>
  <c r="BQ269" i="20" s="1"/>
  <c r="EI269" i="20"/>
  <c r="EG268" i="20"/>
  <c r="EI268" i="20"/>
  <c r="AC376" i="20"/>
  <c r="O368" i="20"/>
  <c r="AF368" i="20"/>
  <c r="ET368" i="20" s="1"/>
  <c r="ES368" i="20" s="1"/>
  <c r="GF316" i="20"/>
  <c r="CL324" i="20"/>
  <c r="CM324" i="20" s="1"/>
  <c r="O320" i="20"/>
  <c r="L333" i="20"/>
  <c r="BF333" i="20" s="1"/>
  <c r="CU333" i="20" s="1"/>
  <c r="W319" i="20"/>
  <c r="AC317" i="20"/>
  <c r="EM325" i="20"/>
  <c r="DT331" i="20"/>
  <c r="BA329" i="20"/>
  <c r="ES338" i="20"/>
  <c r="GF338" i="20"/>
  <c r="AU262" i="20"/>
  <c r="DT302" i="20"/>
  <c r="AS263" i="20"/>
  <c r="W276" i="20"/>
  <c r="CL276" i="20"/>
  <c r="CM276" i="20" s="1"/>
  <c r="EG362" i="20"/>
  <c r="CN390" i="20"/>
  <c r="CP390" i="20" s="1"/>
  <c r="EI390" i="20"/>
  <c r="CP256" i="20"/>
  <c r="EG353" i="20"/>
  <c r="EI393" i="20"/>
  <c r="CN393" i="20"/>
  <c r="CP393" i="20" s="1"/>
  <c r="BM348" i="20"/>
  <c r="CL348" i="20"/>
  <c r="CM348" i="20" s="1"/>
  <c r="O293" i="20"/>
  <c r="L293" i="20"/>
  <c r="AS293" i="20"/>
  <c r="DT293" i="20"/>
  <c r="EG377" i="20"/>
  <c r="CL364" i="20"/>
  <c r="CM364" i="20" s="1"/>
  <c r="GF404" i="20"/>
  <c r="AC404" i="20"/>
  <c r="AV404" i="20"/>
  <c r="O381" i="20"/>
  <c r="O390" i="20"/>
  <c r="W257" i="20"/>
  <c r="EG253" i="20"/>
  <c r="EI250" i="20"/>
  <c r="EG394" i="20"/>
  <c r="BM420" i="20"/>
  <c r="EM418" i="20"/>
  <c r="EI419" i="20"/>
  <c r="GF367" i="20"/>
  <c r="W351" i="20"/>
  <c r="EI359" i="20"/>
  <c r="CN352" i="20"/>
  <c r="CP352" i="20" s="1"/>
  <c r="BI265" i="20"/>
  <c r="AS246" i="20"/>
  <c r="CN287" i="20"/>
  <c r="CP287" i="20" s="1"/>
  <c r="EM279" i="20"/>
  <c r="EM288" i="20"/>
  <c r="W416" i="20"/>
  <c r="AV403" i="20"/>
  <c r="W438" i="20"/>
  <c r="CN212" i="20"/>
  <c r="CP212" i="20" s="1"/>
  <c r="L335" i="20"/>
  <c r="DQ335" i="20" s="1"/>
  <c r="AS335" i="20"/>
  <c r="O335" i="20"/>
  <c r="AF263" i="20"/>
  <c r="EG375" i="20"/>
  <c r="EI362" i="20"/>
  <c r="CN313" i="20"/>
  <c r="CP313" i="20" s="1"/>
  <c r="W390" i="20"/>
  <c r="O255" i="20"/>
  <c r="BI257" i="20"/>
  <c r="AF258" i="20"/>
  <c r="ET258" i="20" s="1"/>
  <c r="ES258" i="20" s="1"/>
  <c r="CN258" i="20"/>
  <c r="CP258" i="20" s="1"/>
  <c r="CL251" i="20"/>
  <c r="AF353" i="20"/>
  <c r="ET353" i="20" s="1"/>
  <c r="ES353" i="20" s="1"/>
  <c r="ES343" i="20"/>
  <c r="EI418" i="20"/>
  <c r="W419" i="20"/>
  <c r="AV419" i="20"/>
  <c r="AF371" i="20"/>
  <c r="ET371" i="20" s="1"/>
  <c r="ES371" i="20" s="1"/>
  <c r="W359" i="20"/>
  <c r="DT241" i="20"/>
  <c r="EG252" i="20"/>
  <c r="AU242" i="20"/>
  <c r="EI245" i="20"/>
  <c r="BI246" i="20"/>
  <c r="EG293" i="20"/>
  <c r="GH293" i="20"/>
  <c r="EG282" i="20"/>
  <c r="AU279" i="20"/>
  <c r="AF295" i="20"/>
  <c r="EI280" i="20"/>
  <c r="W378" i="20"/>
  <c r="AG398" i="20"/>
  <c r="EB398" i="20" s="1"/>
  <c r="AV398" i="20"/>
  <c r="AC398" i="20"/>
  <c r="CL398" i="20"/>
  <c r="CM398" i="20" s="1"/>
  <c r="AC439" i="20"/>
  <c r="AF441" i="20"/>
  <c r="ET441" i="20" s="1"/>
  <c r="ES441" i="20" s="1"/>
  <c r="GF423" i="20"/>
  <c r="BA284" i="20"/>
  <c r="AU284" i="20"/>
  <c r="DT281" i="20"/>
  <c r="AU281" i="20"/>
  <c r="AS281" i="20"/>
  <c r="O281" i="20"/>
  <c r="AU335" i="20"/>
  <c r="BM200" i="20"/>
  <c r="W200" i="20"/>
  <c r="BI498" i="20"/>
  <c r="BJ498" i="20" s="1"/>
  <c r="AF498" i="20"/>
  <c r="AG498" i="20" s="1"/>
  <c r="BM362" i="20"/>
  <c r="EI292" i="20"/>
  <c r="EG381" i="20"/>
  <c r="AS381" i="20"/>
  <c r="EG390" i="20"/>
  <c r="BM264" i="20"/>
  <c r="EM253" i="20"/>
  <c r="EG260" i="20"/>
  <c r="AU266" i="20"/>
  <c r="ES420" i="20"/>
  <c r="W418" i="20"/>
  <c r="GF418" i="20"/>
  <c r="BM419" i="20"/>
  <c r="EM371" i="20"/>
  <c r="GH371" i="20"/>
  <c r="AU367" i="20"/>
  <c r="EG359" i="20"/>
  <c r="EM352" i="20"/>
  <c r="AU352" i="20"/>
  <c r="GH348" i="20"/>
  <c r="AV265" i="20"/>
  <c r="AV296" i="20"/>
  <c r="AC277" i="20"/>
  <c r="AU287" i="20"/>
  <c r="EI287" i="20"/>
  <c r="AV363" i="20"/>
  <c r="GF363" i="20"/>
  <c r="AC363" i="20"/>
  <c r="DT397" i="20"/>
  <c r="O397" i="20"/>
  <c r="BI397" i="20"/>
  <c r="AF397" i="20"/>
  <c r="AG397" i="20" s="1"/>
  <c r="EB397" i="20" s="1"/>
  <c r="W406" i="20"/>
  <c r="V406" i="20" s="1"/>
  <c r="W437" i="20"/>
  <c r="AC444" i="20"/>
  <c r="EG444" i="20"/>
  <c r="AS410" i="20"/>
  <c r="DT410" i="20"/>
  <c r="AU425" i="20"/>
  <c r="EM213" i="20"/>
  <c r="W213" i="20"/>
  <c r="L238" i="20"/>
  <c r="BF238" i="20" s="1"/>
  <c r="CU238" i="20" s="1"/>
  <c r="O238" i="20"/>
  <c r="O192" i="20"/>
  <c r="AS192" i="20"/>
  <c r="L192" i="20"/>
  <c r="BF192" i="20" s="1"/>
  <c r="CU192" i="20" s="1"/>
  <c r="AV390" i="20"/>
  <c r="ES257" i="20"/>
  <c r="GH253" i="20"/>
  <c r="EM259" i="20"/>
  <c r="EG266" i="20"/>
  <c r="EM356" i="20"/>
  <c r="EM353" i="20"/>
  <c r="EM395" i="20"/>
  <c r="CN367" i="20"/>
  <c r="CP367" i="20" s="1"/>
  <c r="AV352" i="20"/>
  <c r="DT252" i="20"/>
  <c r="BI282" i="20"/>
  <c r="AV287" i="20"/>
  <c r="ES279" i="20"/>
  <c r="GH295" i="20"/>
  <c r="EM294" i="20"/>
  <c r="GH294" i="20"/>
  <c r="CL294" i="20"/>
  <c r="CM294" i="20" s="1"/>
  <c r="O364" i="20"/>
  <c r="AC406" i="20"/>
  <c r="GF406" i="20"/>
  <c r="AS403" i="20"/>
  <c r="L403" i="20"/>
  <c r="AO403" i="20" s="1"/>
  <c r="CK403" i="20" s="1"/>
  <c r="DQ410" i="20"/>
  <c r="P410" i="20"/>
  <c r="CP415" i="20"/>
  <c r="GF339" i="20"/>
  <c r="AC339" i="20"/>
  <c r="EM247" i="20"/>
  <c r="CN187" i="20"/>
  <c r="CP187" i="20" s="1"/>
  <c r="O187" i="20"/>
  <c r="EI187" i="20"/>
  <c r="W292" i="20"/>
  <c r="W313" i="20"/>
  <c r="AF306" i="20"/>
  <c r="ET306" i="20" s="1"/>
  <c r="ES306" i="20" s="1"/>
  <c r="W261" i="20"/>
  <c r="AS261" i="20"/>
  <c r="EM260" i="20"/>
  <c r="EM266" i="20"/>
  <c r="O250" i="20"/>
  <c r="EG393" i="20"/>
  <c r="GH420" i="20"/>
  <c r="AC418" i="20"/>
  <c r="AU361" i="20"/>
  <c r="EG371" i="20"/>
  <c r="BM371" i="20"/>
  <c r="EM367" i="20"/>
  <c r="W347" i="20"/>
  <c r="AF351" i="20"/>
  <c r="ET351" i="20" s="1"/>
  <c r="ES351" i="20" s="1"/>
  <c r="EI352" i="20"/>
  <c r="AC348" i="20"/>
  <c r="AS348" i="20"/>
  <c r="W241" i="20"/>
  <c r="EI252" i="20"/>
  <c r="W296" i="20"/>
  <c r="CL293" i="20"/>
  <c r="CM293" i="20" s="1"/>
  <c r="BA287" i="20"/>
  <c r="ES288" i="20"/>
  <c r="AF365" i="20"/>
  <c r="ET365" i="20" s="1"/>
  <c r="ES365" i="20" s="1"/>
  <c r="BI365" i="20"/>
  <c r="L344" i="20"/>
  <c r="BF344" i="20" s="1"/>
  <c r="CU344" i="20" s="1"/>
  <c r="AS344" i="20"/>
  <c r="O344" i="20"/>
  <c r="BI364" i="20"/>
  <c r="AF364" i="20"/>
  <c r="ET364" i="20" s="1"/>
  <c r="ES364" i="20" s="1"/>
  <c r="W405" i="20"/>
  <c r="AS415" i="20"/>
  <c r="L415" i="20"/>
  <c r="AO415" i="20" s="1"/>
  <c r="CK415" i="20" s="1"/>
  <c r="O212" i="20"/>
  <c r="AU289" i="20"/>
  <c r="AF289" i="20"/>
  <c r="ET289" i="20" s="1"/>
  <c r="ES289" i="20" s="1"/>
  <c r="W345" i="20"/>
  <c r="AC322" i="20"/>
  <c r="BM322" i="20"/>
  <c r="EM386" i="20"/>
  <c r="W386" i="20"/>
  <c r="AS196" i="20"/>
  <c r="L196" i="20"/>
  <c r="P196" i="20" s="1"/>
  <c r="AG199" i="20"/>
  <c r="BQ199" i="20" s="1"/>
  <c r="AC199" i="20"/>
  <c r="EI199" i="20"/>
  <c r="EG259" i="20"/>
  <c r="EM250" i="20"/>
  <c r="GH250" i="20"/>
  <c r="EG356" i="20"/>
  <c r="AC343" i="20"/>
  <c r="W394" i="20"/>
  <c r="BM394" i="20"/>
  <c r="GH419" i="20"/>
  <c r="EG348" i="20"/>
  <c r="GH279" i="20"/>
  <c r="AS379" i="20"/>
  <c r="O379" i="20"/>
  <c r="GH416" i="20"/>
  <c r="CL416" i="20"/>
  <c r="CM416" i="20" s="1"/>
  <c r="W428" i="20"/>
  <c r="AC289" i="20"/>
  <c r="CN289" i="20"/>
  <c r="CP289" i="20" s="1"/>
  <c r="GH289" i="20"/>
  <c r="EI334" i="20"/>
  <c r="CN334" i="20"/>
  <c r="CP334" i="20" s="1"/>
  <c r="BM345" i="20"/>
  <c r="AC345" i="20"/>
  <c r="EM232" i="20"/>
  <c r="W232" i="20"/>
  <c r="BM294" i="20"/>
  <c r="EG373" i="20"/>
  <c r="W344" i="20"/>
  <c r="GF344" i="20"/>
  <c r="AC409" i="20"/>
  <c r="DT409" i="20"/>
  <c r="DT404" i="20"/>
  <c r="EI416" i="20"/>
  <c r="EM399" i="20"/>
  <c r="CP408" i="20"/>
  <c r="O444" i="20"/>
  <c r="AU440" i="20"/>
  <c r="AS414" i="20"/>
  <c r="GH441" i="20"/>
  <c r="ES445" i="20"/>
  <c r="W423" i="20"/>
  <c r="BM424" i="20"/>
  <c r="BI213" i="20"/>
  <c r="BJ213" i="20" s="1"/>
  <c r="EM289" i="20"/>
  <c r="AV290" i="20"/>
  <c r="AC281" i="20"/>
  <c r="AG336" i="20"/>
  <c r="BQ336" i="20" s="1"/>
  <c r="EG345" i="20"/>
  <c r="BI345" i="20"/>
  <c r="EG322" i="20"/>
  <c r="BI322" i="20"/>
  <c r="BA360" i="20"/>
  <c r="AU360" i="20"/>
  <c r="CL360" i="20"/>
  <c r="CM360" i="20" s="1"/>
  <c r="GH360" i="20"/>
  <c r="EG386" i="20"/>
  <c r="CL386" i="20"/>
  <c r="CM386" i="20" s="1"/>
  <c r="GH196" i="20"/>
  <c r="AV196" i="20"/>
  <c r="GF185" i="20"/>
  <c r="AC185" i="20"/>
  <c r="DT191" i="20"/>
  <c r="AS191" i="20"/>
  <c r="L191" i="20"/>
  <c r="DQ475" i="20"/>
  <c r="BF475" i="20"/>
  <c r="BI480" i="20"/>
  <c r="BJ480" i="20" s="1"/>
  <c r="DT363" i="20"/>
  <c r="AS365" i="20"/>
  <c r="CL344" i="20"/>
  <c r="CM344" i="20" s="1"/>
  <c r="AS401" i="20"/>
  <c r="L404" i="20"/>
  <c r="AO404" i="20" s="1"/>
  <c r="CK404" i="20" s="1"/>
  <c r="EG416" i="20"/>
  <c r="BM398" i="20"/>
  <c r="EG405" i="20"/>
  <c r="EM403" i="20"/>
  <c r="GF403" i="20"/>
  <c r="W444" i="20"/>
  <c r="EI444" i="20"/>
  <c r="EG439" i="20"/>
  <c r="EG414" i="20"/>
  <c r="BM417" i="20"/>
  <c r="O445" i="20"/>
  <c r="EI438" i="20"/>
  <c r="AU415" i="20"/>
  <c r="BM425" i="20"/>
  <c r="AS425" i="20"/>
  <c r="EG213" i="20"/>
  <c r="AV212" i="20"/>
  <c r="EI212" i="20"/>
  <c r="O284" i="20"/>
  <c r="EG334" i="20"/>
  <c r="EG360" i="20"/>
  <c r="CN360" i="20"/>
  <c r="CN386" i="20"/>
  <c r="CP386" i="20" s="1"/>
  <c r="BM272" i="20"/>
  <c r="AC272" i="20"/>
  <c r="GF272" i="20"/>
  <c r="W272" i="20"/>
  <c r="EG240" i="20"/>
  <c r="CL501" i="20"/>
  <c r="CM501" i="20" s="1"/>
  <c r="GH501" i="20"/>
  <c r="GG501" i="20" s="1"/>
  <c r="GI501" i="20" s="1"/>
  <c r="EI501" i="20"/>
  <c r="EJ501" i="20" s="1"/>
  <c r="EP501" i="20" s="1"/>
  <c r="DU501" i="20" s="1"/>
  <c r="GF365" i="20"/>
  <c r="BI374" i="20"/>
  <c r="EM344" i="20"/>
  <c r="EI364" i="20"/>
  <c r="AU401" i="20"/>
  <c r="EM412" i="20"/>
  <c r="GH440" i="20"/>
  <c r="EI440" i="20"/>
  <c r="CP414" i="20"/>
  <c r="EG417" i="20"/>
  <c r="EM417" i="20"/>
  <c r="CN447" i="20"/>
  <c r="CP447" i="20" s="1"/>
  <c r="AF442" i="20"/>
  <c r="ET442" i="20" s="1"/>
  <c r="ES442" i="20" s="1"/>
  <c r="EM445" i="20"/>
  <c r="L411" i="20"/>
  <c r="BF411" i="20" s="1"/>
  <c r="CU411" i="20" s="1"/>
  <c r="EG425" i="20"/>
  <c r="EG212" i="20"/>
  <c r="EG289" i="20"/>
  <c r="DT284" i="20"/>
  <c r="AF247" i="20"/>
  <c r="ET247" i="20" s="1"/>
  <c r="ES247" i="20" s="1"/>
  <c r="BI247" i="20"/>
  <c r="BJ247" i="20" s="1"/>
  <c r="L244" i="20"/>
  <c r="P244" i="20" s="1"/>
  <c r="AS244" i="20"/>
  <c r="CN210" i="20"/>
  <c r="CP210" i="20" s="1"/>
  <c r="AC210" i="20"/>
  <c r="BI472" i="20"/>
  <c r="BJ472" i="20" s="1"/>
  <c r="AF472" i="20"/>
  <c r="ET472" i="20" s="1"/>
  <c r="ES472" i="20" s="1"/>
  <c r="O409" i="20"/>
  <c r="AF401" i="20"/>
  <c r="ET401" i="20" s="1"/>
  <c r="ES401" i="20" s="1"/>
  <c r="AS408" i="20"/>
  <c r="EM444" i="20"/>
  <c r="BM440" i="20"/>
  <c r="BI439" i="20"/>
  <c r="EM410" i="20"/>
  <c r="BM445" i="20"/>
  <c r="EM415" i="20"/>
  <c r="AU423" i="20"/>
  <c r="L424" i="20"/>
  <c r="BJ424" i="20" s="1"/>
  <c r="AS212" i="20"/>
  <c r="W289" i="20"/>
  <c r="GH290" i="20"/>
  <c r="EI290" i="20"/>
  <c r="GH270" i="20"/>
  <c r="CN336" i="20"/>
  <c r="CP336" i="20" s="1"/>
  <c r="ES345" i="20"/>
  <c r="AF339" i="20"/>
  <c r="AG339" i="20" s="1"/>
  <c r="AF328" i="20"/>
  <c r="ET328" i="20" s="1"/>
  <c r="ES328" i="20" s="1"/>
  <c r="BI328" i="20"/>
  <c r="DQ386" i="20"/>
  <c r="BF386" i="20"/>
  <c r="CU386" i="20" s="1"/>
  <c r="DT386" i="20"/>
  <c r="L232" i="20"/>
  <c r="AO232" i="20" s="1"/>
  <c r="CK232" i="20" s="1"/>
  <c r="DT232" i="20"/>
  <c r="AU363" i="20"/>
  <c r="AC358" i="20"/>
  <c r="AS358" i="20"/>
  <c r="W409" i="20"/>
  <c r="AV409" i="20"/>
  <c r="AF404" i="20"/>
  <c r="ET404" i="20" s="1"/>
  <c r="ES404" i="20" s="1"/>
  <c r="O398" i="20"/>
  <c r="W408" i="20"/>
  <c r="O405" i="20"/>
  <c r="BA403" i="20"/>
  <c r="DT446" i="20"/>
  <c r="DT439" i="20"/>
  <c r="ES439" i="20"/>
  <c r="GF417" i="20"/>
  <c r="EG447" i="20"/>
  <c r="EG441" i="20"/>
  <c r="ES213" i="20"/>
  <c r="FB213" i="20" s="1"/>
  <c r="FC213" i="20" s="1"/>
  <c r="FD213" i="20" s="1"/>
  <c r="EM194" i="20"/>
  <c r="BM290" i="20"/>
  <c r="GH284" i="20"/>
  <c r="EM281" i="20"/>
  <c r="W336" i="20"/>
  <c r="L328" i="20"/>
  <c r="BF328" i="20" s="1"/>
  <c r="CU328" i="20" s="1"/>
  <c r="O328" i="20"/>
  <c r="BI272" i="20"/>
  <c r="AF272" i="20"/>
  <c r="ET272" i="20" s="1"/>
  <c r="ES272" i="20" s="1"/>
  <c r="BI248" i="20"/>
  <c r="DT187" i="20"/>
  <c r="BG497" i="20"/>
  <c r="BH497" i="20" s="1"/>
  <c r="CJ500" i="20"/>
  <c r="EM406" i="20"/>
  <c r="AU417" i="20"/>
  <c r="DT425" i="20"/>
  <c r="AS194" i="20"/>
  <c r="W290" i="20"/>
  <c r="GH322" i="20"/>
  <c r="AU234" i="20"/>
  <c r="BA234" i="20"/>
  <c r="AF196" i="20"/>
  <c r="ET196" i="20" s="1"/>
  <c r="ES196" i="20" s="1"/>
  <c r="BI196" i="20"/>
  <c r="CJ494" i="20"/>
  <c r="EI200" i="20"/>
  <c r="GH200" i="20"/>
  <c r="EI240" i="20"/>
  <c r="GH240" i="20"/>
  <c r="AU232" i="20"/>
  <c r="CP243" i="20"/>
  <c r="CL243" i="20"/>
  <c r="W210" i="20"/>
  <c r="AC198" i="20"/>
  <c r="BI184" i="20"/>
  <c r="CP188" i="20"/>
  <c r="AY473" i="20"/>
  <c r="AZ473" i="20" s="1"/>
  <c r="AY476" i="20"/>
  <c r="AZ476" i="20" s="1"/>
  <c r="CM478" i="20"/>
  <c r="BI479" i="20"/>
  <c r="BJ479" i="20" s="1"/>
  <c r="DQ480" i="20"/>
  <c r="EJ482" i="20"/>
  <c r="EP482" i="20" s="1"/>
  <c r="DU482" i="20" s="1"/>
  <c r="CP490" i="20"/>
  <c r="GI491" i="20"/>
  <c r="BI492" i="20"/>
  <c r="BJ492" i="20" s="1"/>
  <c r="EJ493" i="20"/>
  <c r="EP493" i="20" s="1"/>
  <c r="DU493" i="20" s="1"/>
  <c r="BF495" i="20"/>
  <c r="GI496" i="20"/>
  <c r="CM497" i="20"/>
  <c r="CL498" i="20"/>
  <c r="CM498" i="20" s="1"/>
  <c r="GH500" i="20"/>
  <c r="GG500" i="20" s="1"/>
  <c r="GI500" i="20" s="1"/>
  <c r="EI323" i="20"/>
  <c r="AU328" i="20"/>
  <c r="EM239" i="20"/>
  <c r="BM231" i="20"/>
  <c r="GF231" i="20"/>
  <c r="O386" i="20"/>
  <c r="GH386" i="20"/>
  <c r="BI195" i="20"/>
  <c r="BJ195" i="20" s="1"/>
  <c r="EI248" i="20"/>
  <c r="EM209" i="20"/>
  <c r="W187" i="20"/>
  <c r="AF192" i="20"/>
  <c r="ET192" i="20" s="1"/>
  <c r="ES192" i="20" s="1"/>
  <c r="BI189" i="20"/>
  <c r="CL472" i="20"/>
  <c r="CM472" i="20" s="1"/>
  <c r="CM475" i="20"/>
  <c r="CP476" i="20"/>
  <c r="CP480" i="20"/>
  <c r="CJ482" i="20"/>
  <c r="AY483" i="20"/>
  <c r="AZ483" i="20" s="1"/>
  <c r="EJ485" i="20"/>
  <c r="EP485" i="20" s="1"/>
  <c r="DU485" i="20" s="1"/>
  <c r="EJ488" i="20"/>
  <c r="EP488" i="20" s="1"/>
  <c r="DU488" i="20" s="1"/>
  <c r="EL488" i="20" s="1"/>
  <c r="GI494" i="20"/>
  <c r="DQ499" i="20"/>
  <c r="AY500" i="20"/>
  <c r="AZ500" i="20" s="1"/>
  <c r="CP503" i="20"/>
  <c r="EG199" i="20"/>
  <c r="EG210" i="20"/>
  <c r="CP198" i="20"/>
  <c r="BI211" i="20"/>
  <c r="BF472" i="20"/>
  <c r="BG491" i="20"/>
  <c r="BH491" i="20" s="1"/>
  <c r="BN501" i="20"/>
  <c r="CJ501" i="20"/>
  <c r="EI502" i="20"/>
  <c r="EJ502" i="20" s="1"/>
  <c r="EP502" i="20" s="1"/>
  <c r="DU502" i="20" s="1"/>
  <c r="BF503" i="20"/>
  <c r="AC340" i="20"/>
  <c r="AG238" i="20"/>
  <c r="EB238" i="20" s="1"/>
  <c r="AV386" i="20"/>
  <c r="EG283" i="20"/>
  <c r="EG272" i="20"/>
  <c r="AV232" i="20"/>
  <c r="EI232" i="20"/>
  <c r="EG243" i="20"/>
  <c r="EM196" i="20"/>
  <c r="BI210" i="20"/>
  <c r="BI208" i="20"/>
  <c r="AC207" i="20"/>
  <c r="AG211" i="20"/>
  <c r="EB211" i="20" s="1"/>
  <c r="EG187" i="20"/>
  <c r="GH192" i="20"/>
  <c r="AU185" i="20"/>
  <c r="CN185" i="20"/>
  <c r="CP185" i="20" s="1"/>
  <c r="GH185" i="20"/>
  <c r="EG189" i="20"/>
  <c r="EI188" i="20"/>
  <c r="GI474" i="20"/>
  <c r="CM476" i="20"/>
  <c r="AY480" i="20"/>
  <c r="AZ480" i="20" s="1"/>
  <c r="CJ480" i="20"/>
  <c r="AY481" i="20"/>
  <c r="AZ481" i="20" s="1"/>
  <c r="P482" i="20"/>
  <c r="BN482" i="20" s="1"/>
  <c r="CM482" i="20"/>
  <c r="CJ486" i="20"/>
  <c r="GI486" i="20"/>
  <c r="CJ489" i="20"/>
  <c r="CJ490" i="20"/>
  <c r="AY492" i="20"/>
  <c r="AZ492" i="20" s="1"/>
  <c r="GI493" i="20"/>
  <c r="BI494" i="20"/>
  <c r="BJ494" i="20" s="1"/>
  <c r="CP494" i="20"/>
  <c r="AY496" i="20"/>
  <c r="AZ496" i="20" s="1"/>
  <c r="AY498" i="20"/>
  <c r="AZ498" i="20" s="1"/>
  <c r="BM500" i="20"/>
  <c r="DQ500" i="20"/>
  <c r="BI503" i="20"/>
  <c r="BJ503" i="20" s="1"/>
  <c r="O240" i="20"/>
  <c r="DT207" i="20"/>
  <c r="W198" i="20"/>
  <c r="ES189" i="20"/>
  <c r="P472" i="20"/>
  <c r="BF476" i="20"/>
  <c r="P480" i="20"/>
  <c r="BN480" i="20" s="1"/>
  <c r="P481" i="20"/>
  <c r="BN481" i="20" s="1"/>
  <c r="BF493" i="20"/>
  <c r="EM244" i="20"/>
  <c r="AG231" i="20"/>
  <c r="L240" i="20"/>
  <c r="BJ240" i="20" s="1"/>
  <c r="ES199" i="20"/>
  <c r="BM209" i="20"/>
  <c r="GF209" i="20"/>
  <c r="AF207" i="20"/>
  <c r="ET207" i="20" s="1"/>
  <c r="ES207" i="20" s="1"/>
  <c r="L186" i="20"/>
  <c r="P186" i="20" s="1"/>
  <c r="AC187" i="20"/>
  <c r="O185" i="20"/>
  <c r="AC191" i="20"/>
  <c r="BM472" i="20"/>
  <c r="BG473" i="20"/>
  <c r="BP473" i="20" s="1"/>
  <c r="CM474" i="20"/>
  <c r="AY475" i="20"/>
  <c r="AZ475" i="20" s="1"/>
  <c r="BG476" i="20"/>
  <c r="BH476" i="20" s="1"/>
  <c r="CM477" i="20"/>
  <c r="BG482" i="20"/>
  <c r="BH482" i="20" s="1"/>
  <c r="BI483" i="20"/>
  <c r="BJ483" i="20" s="1"/>
  <c r="EJ484" i="20"/>
  <c r="EP484" i="20" s="1"/>
  <c r="DU484" i="20" s="1"/>
  <c r="CM485" i="20"/>
  <c r="CP486" i="20"/>
  <c r="AY487" i="20"/>
  <c r="AZ487" i="20" s="1"/>
  <c r="CP488" i="20"/>
  <c r="CM489" i="20"/>
  <c r="EJ491" i="20"/>
  <c r="EP491" i="20" s="1"/>
  <c r="DU491" i="20" s="1"/>
  <c r="EJ494" i="20"/>
  <c r="EP494" i="20" s="1"/>
  <c r="CJ499" i="20"/>
  <c r="BG501" i="20"/>
  <c r="BH501" i="20" s="1"/>
  <c r="O323" i="20"/>
  <c r="O272" i="20"/>
  <c r="ES200" i="20"/>
  <c r="CN232" i="20"/>
  <c r="CP232" i="20" s="1"/>
  <c r="ES243" i="20"/>
  <c r="EG198" i="20"/>
  <c r="EJ472" i="20"/>
  <c r="EP472" i="20" s="1"/>
  <c r="DU472" i="20" s="1"/>
  <c r="BG474" i="20"/>
  <c r="BH474" i="20" s="1"/>
  <c r="GI475" i="20"/>
  <c r="CP477" i="20"/>
  <c r="BG480" i="20"/>
  <c r="BH480" i="20" s="1"/>
  <c r="BG481" i="20"/>
  <c r="BH481" i="20" s="1"/>
  <c r="CP485" i="20"/>
  <c r="CM486" i="20"/>
  <c r="GI487" i="20"/>
  <c r="AY489" i="20"/>
  <c r="AZ489" i="20" s="1"/>
  <c r="CP489" i="20"/>
  <c r="AY491" i="20"/>
  <c r="AZ491" i="20" s="1"/>
  <c r="GI492" i="20"/>
  <c r="AY494" i="20"/>
  <c r="AZ494" i="20" s="1"/>
  <c r="P497" i="20"/>
  <c r="BN497" i="20" s="1"/>
  <c r="EI500" i="20"/>
  <c r="EJ500" i="20" s="1"/>
  <c r="EP500" i="20" s="1"/>
  <c r="AY503" i="20"/>
  <c r="AZ503" i="20" s="1"/>
  <c r="O262" i="5"/>
  <c r="O255" i="5"/>
  <c r="O263" i="5"/>
  <c r="O271" i="5"/>
  <c r="O275" i="5"/>
  <c r="O283" i="5"/>
  <c r="O254" i="5"/>
  <c r="O270" i="5"/>
  <c r="O274" i="5"/>
  <c r="O282" i="5"/>
  <c r="O289" i="5"/>
  <c r="O256" i="5"/>
  <c r="O264" i="5"/>
  <c r="O272" i="5"/>
  <c r="O276" i="5"/>
  <c r="O284" i="5"/>
  <c r="O296" i="5"/>
  <c r="O308" i="5"/>
  <c r="O316" i="5"/>
  <c r="O257" i="5"/>
  <c r="O265" i="5"/>
  <c r="O277" i="5"/>
  <c r="O286" i="5"/>
  <c r="O297" i="5"/>
  <c r="O258" i="5"/>
  <c r="O266" i="5"/>
  <c r="O278" i="5"/>
  <c r="O287" i="5"/>
  <c r="O285" i="5"/>
  <c r="O302" i="5"/>
  <c r="O298" i="5"/>
  <c r="O310" i="5"/>
  <c r="O318" i="5"/>
  <c r="O329" i="5"/>
  <c r="O338" i="5"/>
  <c r="O259" i="5"/>
  <c r="O267" i="5"/>
  <c r="O279" i="5"/>
  <c r="O343" i="5"/>
  <c r="O353" i="5"/>
  <c r="O360" i="5"/>
  <c r="O369" i="5"/>
  <c r="O378" i="5"/>
  <c r="O386" i="5"/>
  <c r="O392" i="5"/>
  <c r="O400" i="5"/>
  <c r="O409" i="5"/>
  <c r="O417" i="5"/>
  <c r="O430" i="5"/>
  <c r="O438" i="5"/>
  <c r="O252" i="5"/>
  <c r="O260" i="5"/>
  <c r="O268" i="5"/>
  <c r="O280" i="5"/>
  <c r="O290" i="5"/>
  <c r="O292" i="5"/>
  <c r="O300" i="5"/>
  <c r="O304" i="5"/>
  <c r="O312" i="5"/>
  <c r="O323" i="5"/>
  <c r="O331" i="5"/>
  <c r="O325" i="5"/>
  <c r="O346" i="5"/>
  <c r="O344" i="5"/>
  <c r="O361" i="5"/>
  <c r="O370" i="5"/>
  <c r="O371" i="5"/>
  <c r="O379" i="5"/>
  <c r="O387" i="5"/>
  <c r="O253" i="5"/>
  <c r="O261" i="5"/>
  <c r="O269" i="5"/>
  <c r="O273" i="5"/>
  <c r="O281" i="5"/>
  <c r="O288" i="5"/>
  <c r="O293" i="5"/>
  <c r="O301" i="5"/>
  <c r="O305" i="5"/>
  <c r="O313" i="5"/>
  <c r="O320" i="5"/>
  <c r="O332" i="5"/>
  <c r="O326" i="5"/>
  <c r="FR99" i="5"/>
  <c r="O99" i="5"/>
  <c r="O148" i="5"/>
  <c r="N151" i="5"/>
  <c r="FU474" i="5"/>
  <c r="CB197" i="5"/>
  <c r="CB191" i="5"/>
  <c r="O448" i="5"/>
  <c r="O440" i="5"/>
  <c r="O432" i="5"/>
  <c r="O424" i="5"/>
  <c r="O416" i="5"/>
  <c r="O408" i="5"/>
  <c r="O384" i="5"/>
  <c r="O376" i="5"/>
  <c r="O368" i="5"/>
  <c r="O352" i="5"/>
  <c r="O336" i="5"/>
  <c r="O328" i="5"/>
  <c r="DF449" i="5"/>
  <c r="DS449" i="5"/>
  <c r="O153" i="5"/>
  <c r="N150" i="5"/>
  <c r="BV494" i="5"/>
  <c r="BV489" i="5"/>
  <c r="CC489" i="5" s="1"/>
  <c r="DV473" i="5"/>
  <c r="EB473" i="5" s="1"/>
  <c r="CB181" i="5"/>
  <c r="CB175" i="5"/>
  <c r="CB58" i="5"/>
  <c r="O453" i="5"/>
  <c r="O445" i="5"/>
  <c r="O437" i="5"/>
  <c r="O429" i="5"/>
  <c r="O421" i="5"/>
  <c r="O413" i="5"/>
  <c r="O405" i="5"/>
  <c r="O397" i="5"/>
  <c r="O389" i="5"/>
  <c r="O381" i="5"/>
  <c r="O373" i="5"/>
  <c r="O365" i="5"/>
  <c r="O357" i="5"/>
  <c r="O349" i="5"/>
  <c r="O341" i="5"/>
  <c r="O333" i="5"/>
  <c r="O317" i="5"/>
  <c r="O309" i="5"/>
  <c r="FR95" i="5"/>
  <c r="O95" i="5"/>
  <c r="FR97" i="5"/>
  <c r="O97" i="5"/>
  <c r="O152" i="5"/>
  <c r="N153" i="5"/>
  <c r="DV481" i="5"/>
  <c r="EB481" i="5" s="1"/>
  <c r="BV474" i="5"/>
  <c r="CB199" i="5"/>
  <c r="CB192" i="5"/>
  <c r="CB59" i="5"/>
  <c r="O450" i="5"/>
  <c r="O442" i="5"/>
  <c r="O434" i="5"/>
  <c r="O426" i="5"/>
  <c r="O418" i="5"/>
  <c r="O410" i="5"/>
  <c r="O402" i="5"/>
  <c r="O394" i="5"/>
  <c r="O362" i="5"/>
  <c r="O354" i="5"/>
  <c r="O330" i="5"/>
  <c r="O322" i="5"/>
  <c r="O314" i="5"/>
  <c r="O306" i="5"/>
  <c r="DS294" i="5"/>
  <c r="DS302" i="5"/>
  <c r="DS304" i="5"/>
  <c r="FR104" i="5"/>
  <c r="O104" i="5"/>
  <c r="FR96" i="5"/>
  <c r="O96" i="5"/>
  <c r="O151" i="5"/>
  <c r="CB227" i="5"/>
  <c r="CB200" i="5"/>
  <c r="CB110" i="5"/>
  <c r="CB92" i="5"/>
  <c r="CB78" i="5"/>
  <c r="O447" i="5"/>
  <c r="O439" i="5"/>
  <c r="O431" i="5"/>
  <c r="O423" i="5"/>
  <c r="O415" i="5"/>
  <c r="O407" i="5"/>
  <c r="O399" i="5"/>
  <c r="O391" i="5"/>
  <c r="O383" i="5"/>
  <c r="O375" i="5"/>
  <c r="O367" i="5"/>
  <c r="O359" i="5"/>
  <c r="O351" i="5"/>
  <c r="O335" i="5"/>
  <c r="O327" i="5"/>
  <c r="O319" i="5"/>
  <c r="O311" i="5"/>
  <c r="O303" i="5"/>
  <c r="O295" i="5"/>
  <c r="FR103" i="5"/>
  <c r="O103" i="5"/>
  <c r="O150" i="5"/>
  <c r="O452" i="5"/>
  <c r="O444" i="5"/>
  <c r="O436" i="5"/>
  <c r="O428" i="5"/>
  <c r="O420" i="5"/>
  <c r="O412" i="5"/>
  <c r="O404" i="5"/>
  <c r="O396" i="5"/>
  <c r="O388" i="5"/>
  <c r="O380" i="5"/>
  <c r="O372" i="5"/>
  <c r="O364" i="5"/>
  <c r="O356" i="5"/>
  <c r="O348" i="5"/>
  <c r="O340" i="5"/>
  <c r="O324" i="5"/>
  <c r="O98" i="5"/>
  <c r="FT445" i="5"/>
  <c r="FR102" i="5"/>
  <c r="O102" i="5"/>
  <c r="CB132" i="5"/>
  <c r="CB93" i="5"/>
  <c r="CB62" i="5"/>
  <c r="O449" i="5"/>
  <c r="O441" i="5"/>
  <c r="O433" i="5"/>
  <c r="O425" i="5"/>
  <c r="O401" i="5"/>
  <c r="O393" i="5"/>
  <c r="O385" i="5"/>
  <c r="O377" i="5"/>
  <c r="O345" i="5"/>
  <c r="O337" i="5"/>
  <c r="O321" i="5"/>
  <c r="P14" i="5"/>
  <c r="CB234" i="5"/>
  <c r="CB195" i="5"/>
  <c r="CB55" i="5"/>
  <c r="O446" i="5"/>
  <c r="O422" i="5"/>
  <c r="O414" i="5"/>
  <c r="O406" i="5"/>
  <c r="O398" i="5"/>
  <c r="O390" i="5"/>
  <c r="O382" i="5"/>
  <c r="O374" i="5"/>
  <c r="O366" i="5"/>
  <c r="O358" i="5"/>
  <c r="O350" i="5"/>
  <c r="O342" i="5"/>
  <c r="O334" i="5"/>
  <c r="O294" i="5"/>
  <c r="FR100" i="5"/>
  <c r="O100" i="5"/>
  <c r="N148" i="5"/>
  <c r="CB246" i="5"/>
  <c r="CB162" i="5"/>
  <c r="O443" i="5"/>
  <c r="O101" i="5"/>
  <c r="AV453" i="5"/>
  <c r="DF444" i="5"/>
  <c r="BY484" i="5"/>
  <c r="CC484" i="5" s="1"/>
  <c r="CE484" i="5" s="1"/>
  <c r="CB179" i="5"/>
  <c r="CB160" i="5"/>
  <c r="CB77" i="5"/>
  <c r="CB21" i="5"/>
  <c r="AV433" i="5"/>
  <c r="AV478" i="5"/>
  <c r="BV491" i="5"/>
  <c r="BV490" i="5"/>
  <c r="BY485" i="5"/>
  <c r="BV483" i="5"/>
  <c r="BV475" i="5"/>
  <c r="CC475" i="5" s="1"/>
  <c r="CE475" i="5" s="1"/>
  <c r="CB233" i="5"/>
  <c r="CB229" i="5"/>
  <c r="CB224" i="5"/>
  <c r="CB215" i="5"/>
  <c r="CB201" i="5"/>
  <c r="CB193" i="5"/>
  <c r="CB180" i="5"/>
  <c r="CB141" i="5"/>
  <c r="CB138" i="5"/>
  <c r="CB70" i="5"/>
  <c r="CB69" i="5"/>
  <c r="CB67" i="5"/>
  <c r="CB66" i="5"/>
  <c r="AV330" i="5"/>
  <c r="AV346" i="5"/>
  <c r="AV354" i="5"/>
  <c r="AV362" i="5"/>
  <c r="AV441" i="5"/>
  <c r="DS268" i="5"/>
  <c r="DF422" i="5"/>
  <c r="DS423" i="5"/>
  <c r="DF447" i="5"/>
  <c r="DS447" i="5"/>
  <c r="AK480" i="5"/>
  <c r="AL480" i="5" s="1"/>
  <c r="BY493" i="5"/>
  <c r="FU476" i="5"/>
  <c r="CB244" i="5"/>
  <c r="CB71" i="5"/>
  <c r="CB37" i="5"/>
  <c r="DS269" i="5"/>
  <c r="AV364" i="5"/>
  <c r="AV412" i="5"/>
  <c r="DS284" i="5"/>
  <c r="DS288" i="5"/>
  <c r="BV493" i="5"/>
  <c r="BV477" i="5"/>
  <c r="CB211" i="5"/>
  <c r="CB196" i="5"/>
  <c r="CB182" i="5"/>
  <c r="CB60" i="5"/>
  <c r="AV437" i="5"/>
  <c r="DS253" i="5"/>
  <c r="DS261" i="5"/>
  <c r="DS312" i="5"/>
  <c r="DY316" i="5"/>
  <c r="FU487" i="5"/>
  <c r="DV477" i="5"/>
  <c r="EB477" i="5" s="1"/>
  <c r="BY473" i="5"/>
  <c r="CB247" i="5"/>
  <c r="CB188" i="5"/>
  <c r="AV445" i="5"/>
  <c r="DV486" i="5"/>
  <c r="EB486" i="5" s="1"/>
  <c r="DV478" i="5"/>
  <c r="EB478" i="5" s="1"/>
  <c r="CB218" i="5"/>
  <c r="CB198" i="5"/>
  <c r="CB190" i="5"/>
  <c r="CB189" i="5"/>
  <c r="CB184" i="5"/>
  <c r="CB122" i="5"/>
  <c r="CB116" i="5"/>
  <c r="CB63" i="5"/>
  <c r="AV424" i="5"/>
  <c r="DS266" i="5"/>
  <c r="DS296" i="5"/>
  <c r="DS306" i="5"/>
  <c r="DS328" i="5"/>
  <c r="DS336" i="5"/>
  <c r="DS436" i="5"/>
  <c r="DS448" i="5"/>
  <c r="BX452" i="5"/>
  <c r="EN474" i="5"/>
  <c r="BY491" i="5"/>
  <c r="CC491" i="5" s="1"/>
  <c r="FU490" i="5"/>
  <c r="DV485" i="5"/>
  <c r="EB485" i="5" s="1"/>
  <c r="DG485" i="5" s="1"/>
  <c r="CB219" i="5"/>
  <c r="CB170" i="5"/>
  <c r="EG155" i="5"/>
  <c r="CB94" i="5"/>
  <c r="CB88" i="5"/>
  <c r="CB87" i="5"/>
  <c r="CB79" i="5"/>
  <c r="AV345" i="5"/>
  <c r="AV361" i="5"/>
  <c r="AV377" i="5"/>
  <c r="AV393" i="5"/>
  <c r="AV401" i="5"/>
  <c r="AV425" i="5"/>
  <c r="AV448" i="5"/>
  <c r="DU453" i="5"/>
  <c r="BY494" i="5"/>
  <c r="BY492" i="5"/>
  <c r="DV489" i="5"/>
  <c r="EB489" i="5" s="1"/>
  <c r="DG489" i="5" s="1"/>
  <c r="DV487" i="5"/>
  <c r="EB487" i="5" s="1"/>
  <c r="DG487" i="5" s="1"/>
  <c r="FU470" i="5"/>
  <c r="FU154" i="5"/>
  <c r="CB146" i="5"/>
  <c r="CB139" i="5"/>
  <c r="CB121" i="5"/>
  <c r="CB80" i="5"/>
  <c r="CB54" i="5"/>
  <c r="AV394" i="5"/>
  <c r="CB472" i="5"/>
  <c r="AV347" i="5"/>
  <c r="DY291" i="5"/>
  <c r="DY299" i="5"/>
  <c r="DS291" i="5"/>
  <c r="DS299" i="5"/>
  <c r="DS358" i="5"/>
  <c r="DS366" i="5"/>
  <c r="DS381" i="5"/>
  <c r="DF443" i="5"/>
  <c r="CB471" i="5"/>
  <c r="BV500" i="5"/>
  <c r="FU492" i="5"/>
  <c r="BV492" i="5"/>
  <c r="DV491" i="5"/>
  <c r="EB491" i="5" s="1"/>
  <c r="BY478" i="5"/>
  <c r="BY475" i="5"/>
  <c r="BV472" i="5"/>
  <c r="CB225" i="5"/>
  <c r="CB172" i="5"/>
  <c r="CB81" i="5"/>
  <c r="AV348" i="5"/>
  <c r="AK472" i="5"/>
  <c r="AL472" i="5" s="1"/>
  <c r="AK488" i="5"/>
  <c r="AL488" i="5" s="1"/>
  <c r="AK496" i="5"/>
  <c r="AL496" i="5" s="1"/>
  <c r="BV496" i="5"/>
  <c r="FU494" i="5"/>
  <c r="FV494" i="5" s="1"/>
  <c r="DV492" i="5"/>
  <c r="EB492" i="5" s="1"/>
  <c r="FU481" i="5"/>
  <c r="BY476" i="5"/>
  <c r="DV472" i="5"/>
  <c r="EB472" i="5" s="1"/>
  <c r="DV470" i="5"/>
  <c r="EB470" i="5" s="1"/>
  <c r="DG470" i="5" s="1"/>
  <c r="CB239" i="5"/>
  <c r="CB235" i="5"/>
  <c r="CB232" i="5"/>
  <c r="CB228" i="5"/>
  <c r="CB217" i="5"/>
  <c r="CB204" i="5"/>
  <c r="CB166" i="5"/>
  <c r="EO155" i="5"/>
  <c r="CB135" i="5"/>
  <c r="CB133" i="5"/>
  <c r="CB109" i="5"/>
  <c r="CB82" i="5"/>
  <c r="CB72" i="5"/>
  <c r="CB28" i="5"/>
  <c r="AV373" i="5"/>
  <c r="AV413" i="5"/>
  <c r="AV421" i="5"/>
  <c r="DS271" i="5"/>
  <c r="DY275" i="5"/>
  <c r="DY283" i="5"/>
  <c r="DS285" i="5"/>
  <c r="AE431" i="5"/>
  <c r="DS353" i="5"/>
  <c r="AG453" i="5"/>
  <c r="DS453" i="5"/>
  <c r="CB493" i="5"/>
  <c r="DV482" i="5"/>
  <c r="EB482" i="5" s="1"/>
  <c r="DG482" i="5" s="1"/>
  <c r="AV286" i="5"/>
  <c r="AV342" i="5"/>
  <c r="AV350" i="5"/>
  <c r="AV358" i="5"/>
  <c r="AV366" i="5"/>
  <c r="AV430" i="5"/>
  <c r="DS290" i="5"/>
  <c r="DS326" i="5"/>
  <c r="DS334" i="5"/>
  <c r="AE447" i="5"/>
  <c r="DS361" i="5"/>
  <c r="DS369" i="5"/>
  <c r="DU448" i="5"/>
  <c r="CB492" i="5"/>
  <c r="CB484" i="5"/>
  <c r="CB476" i="5"/>
  <c r="DV494" i="5"/>
  <c r="EB494" i="5" s="1"/>
  <c r="DG494" i="5" s="1"/>
  <c r="DV493" i="5"/>
  <c r="EB493" i="5" s="1"/>
  <c r="DG493" i="5" s="1"/>
  <c r="BY486" i="5"/>
  <c r="BV484" i="5"/>
  <c r="DV480" i="5"/>
  <c r="EB480" i="5" s="1"/>
  <c r="DG480" i="5" s="1"/>
  <c r="BV476" i="5"/>
  <c r="DV474" i="5"/>
  <c r="EB474" i="5" s="1"/>
  <c r="CB250" i="5"/>
  <c r="CB242" i="5"/>
  <c r="CB220" i="5"/>
  <c r="CB183" i="5"/>
  <c r="CB174" i="5"/>
  <c r="CB161" i="5"/>
  <c r="CB159" i="5"/>
  <c r="DL154" i="5"/>
  <c r="DM154" i="5" s="1"/>
  <c r="CB129" i="5"/>
  <c r="CB128" i="5"/>
  <c r="CB127" i="5"/>
  <c r="CB126" i="5"/>
  <c r="CB125" i="5"/>
  <c r="CB124" i="5"/>
  <c r="CB111" i="5"/>
  <c r="DY441" i="5"/>
  <c r="AY445" i="5"/>
  <c r="DS441" i="5"/>
  <c r="DY453" i="5"/>
  <c r="CB176" i="5"/>
  <c r="DY292" i="5"/>
  <c r="DY300" i="5"/>
  <c r="DS292" i="5"/>
  <c r="DS300" i="5"/>
  <c r="CB420" i="5"/>
  <c r="BZ442" i="5"/>
  <c r="CB442" i="5" s="1"/>
  <c r="BX442" i="5"/>
  <c r="BY442" i="5" s="1"/>
  <c r="DY442" i="5"/>
  <c r="DS442" i="5"/>
  <c r="AZ445" i="5"/>
  <c r="DY259" i="5"/>
  <c r="DY265" i="5"/>
  <c r="DY293" i="5"/>
  <c r="DY301" i="5"/>
  <c r="DS293" i="5"/>
  <c r="DS301" i="5"/>
  <c r="DY305" i="5"/>
  <c r="DS303" i="5"/>
  <c r="DY260" i="5"/>
  <c r="DS254" i="5"/>
  <c r="DS262" i="5"/>
  <c r="DY266" i="5"/>
  <c r="DS279" i="5"/>
  <c r="DY288" i="5"/>
  <c r="DY306" i="5"/>
  <c r="DY309" i="5"/>
  <c r="BV470" i="5"/>
  <c r="AY499" i="5"/>
  <c r="AZ499" i="5" s="1"/>
  <c r="DU499" i="5"/>
  <c r="DV499" i="5" s="1"/>
  <c r="EB499" i="5" s="1"/>
  <c r="DG499" i="5" s="1"/>
  <c r="DS287" i="5"/>
  <c r="DS295" i="5"/>
  <c r="DS305" i="5"/>
  <c r="CB202" i="5"/>
  <c r="CB165" i="5"/>
  <c r="CB243" i="5"/>
  <c r="CB213" i="5"/>
  <c r="BY489" i="5"/>
  <c r="CB158" i="5"/>
  <c r="CB130" i="5"/>
  <c r="DY446" i="5"/>
  <c r="CB480" i="5"/>
  <c r="CC480" i="5" s="1"/>
  <c r="CE480" i="5" s="1"/>
  <c r="BX495" i="5"/>
  <c r="BY495" i="5" s="1"/>
  <c r="FU488" i="5"/>
  <c r="CB486" i="5"/>
  <c r="DV483" i="5"/>
  <c r="EB483" i="5" s="1"/>
  <c r="DV476" i="5"/>
  <c r="EB476" i="5" s="1"/>
  <c r="DG476" i="5" s="1"/>
  <c r="FU475" i="5"/>
  <c r="BY474" i="5"/>
  <c r="FU473" i="5"/>
  <c r="CB203" i="5"/>
  <c r="CB177" i="5"/>
  <c r="CB169" i="5"/>
  <c r="CB164" i="5"/>
  <c r="CB163" i="5"/>
  <c r="CB137" i="5"/>
  <c r="CB89" i="5"/>
  <c r="DS362" i="5"/>
  <c r="DS370" i="5"/>
  <c r="DY443" i="5"/>
  <c r="AY431" i="5"/>
  <c r="DS443" i="5"/>
  <c r="DY447" i="5"/>
  <c r="EB488" i="5"/>
  <c r="BY487" i="5"/>
  <c r="FU480" i="5"/>
  <c r="CB478" i="5"/>
  <c r="CB248" i="5"/>
  <c r="CB245" i="5"/>
  <c r="CB214" i="5"/>
  <c r="CB157" i="5"/>
  <c r="CB147" i="5"/>
  <c r="CB90" i="5"/>
  <c r="CB53" i="5"/>
  <c r="DS330" i="5"/>
  <c r="DS338" i="5"/>
  <c r="DS355" i="5"/>
  <c r="DS363" i="5"/>
  <c r="DY436" i="5"/>
  <c r="DY444" i="5"/>
  <c r="DS444" i="5"/>
  <c r="DY448" i="5"/>
  <c r="BB487" i="5"/>
  <c r="DV497" i="5"/>
  <c r="EB497" i="5" s="1"/>
  <c r="DG497" i="5" s="1"/>
  <c r="AK470" i="5"/>
  <c r="AL470" i="5" s="1"/>
  <c r="AK474" i="5"/>
  <c r="AL474" i="5" s="1"/>
  <c r="AK476" i="5"/>
  <c r="AL476" i="5" s="1"/>
  <c r="AK478" i="5"/>
  <c r="AL478" i="5" s="1"/>
  <c r="AK482" i="5"/>
  <c r="AL482" i="5" s="1"/>
  <c r="AK484" i="5"/>
  <c r="AL484" i="5" s="1"/>
  <c r="AK486" i="5"/>
  <c r="AL486" i="5" s="1"/>
  <c r="AK490" i="5"/>
  <c r="AL490" i="5" s="1"/>
  <c r="AK492" i="5"/>
  <c r="AL492" i="5" s="1"/>
  <c r="AK494" i="5"/>
  <c r="AL494" i="5" s="1"/>
  <c r="AK498" i="5"/>
  <c r="AL498" i="5" s="1"/>
  <c r="AK500" i="5"/>
  <c r="AL500" i="5" s="1"/>
  <c r="BV495" i="5"/>
  <c r="FU493" i="5"/>
  <c r="BV488" i="5"/>
  <c r="BV487" i="5"/>
  <c r="FU486" i="5"/>
  <c r="BV481" i="5"/>
  <c r="BY479" i="5"/>
  <c r="DV475" i="5"/>
  <c r="EB475" i="5" s="1"/>
  <c r="FU472" i="5"/>
  <c r="AY446" i="5"/>
  <c r="AZ446" i="5" s="1"/>
  <c r="CI446" i="5" s="1"/>
  <c r="CB249" i="5"/>
  <c r="CB205" i="5"/>
  <c r="CB156" i="5"/>
  <c r="CB108" i="5"/>
  <c r="CB91" i="5"/>
  <c r="DS331" i="5"/>
  <c r="BX419" i="5"/>
  <c r="DF441" i="5"/>
  <c r="CB429" i="5"/>
  <c r="CB437" i="5"/>
  <c r="DY445" i="5"/>
  <c r="DS445" i="5"/>
  <c r="DU437" i="5"/>
  <c r="DY449" i="5"/>
  <c r="BX469" i="5"/>
  <c r="CB490" i="5"/>
  <c r="BV479" i="5"/>
  <c r="BV473" i="5"/>
  <c r="BY471" i="5"/>
  <c r="CB470" i="5"/>
  <c r="AU470" i="5"/>
  <c r="AV470" i="5" s="1"/>
  <c r="CB238" i="5"/>
  <c r="CB230" i="5"/>
  <c r="CB206" i="5"/>
  <c r="CB171" i="5"/>
  <c r="CB145" i="5"/>
  <c r="CB144" i="5"/>
  <c r="CB134" i="5"/>
  <c r="CB61" i="5"/>
  <c r="CB57" i="5"/>
  <c r="CB56" i="5"/>
  <c r="CB424" i="5"/>
  <c r="DF426" i="5"/>
  <c r="DF442" i="5"/>
  <c r="DF450" i="5"/>
  <c r="DY450" i="5"/>
  <c r="DS450" i="5"/>
  <c r="DY104" i="5"/>
  <c r="DS101" i="5"/>
  <c r="AV481" i="5"/>
  <c r="BX453" i="5"/>
  <c r="CB251" i="5"/>
  <c r="DS308" i="5"/>
  <c r="DS317" i="5"/>
  <c r="DY331" i="5"/>
  <c r="DS342" i="5"/>
  <c r="DY358" i="5"/>
  <c r="DY385" i="5"/>
  <c r="DS373" i="5"/>
  <c r="DY397" i="5"/>
  <c r="DY396" i="5"/>
  <c r="DS396" i="5"/>
  <c r="DS404" i="5"/>
  <c r="DF418" i="5"/>
  <c r="DS411" i="5"/>
  <c r="DS419" i="5"/>
  <c r="DY439" i="5"/>
  <c r="AY435" i="5"/>
  <c r="BX441" i="5"/>
  <c r="DY451" i="5"/>
  <c r="AY450" i="5"/>
  <c r="DY97" i="5"/>
  <c r="AV489" i="5"/>
  <c r="BV497" i="5"/>
  <c r="FU491" i="5"/>
  <c r="BY490" i="5"/>
  <c r="FU484" i="5"/>
  <c r="BY483" i="5"/>
  <c r="CC483" i="5" s="1"/>
  <c r="CE483" i="5" s="1"/>
  <c r="DV479" i="5"/>
  <c r="EB479" i="5" s="1"/>
  <c r="FU477" i="5"/>
  <c r="BV471" i="5"/>
  <c r="CC471" i="5" s="1"/>
  <c r="CE471" i="5" s="1"/>
  <c r="BY470" i="5"/>
  <c r="FT469" i="5"/>
  <c r="CB241" i="5"/>
  <c r="CB237" i="5"/>
  <c r="CB226" i="5"/>
  <c r="CB223" i="5"/>
  <c r="CB207" i="5"/>
  <c r="CB173" i="5"/>
  <c r="FU168" i="5"/>
  <c r="CB167" i="5"/>
  <c r="CB142" i="5"/>
  <c r="CB131" i="5"/>
  <c r="CB105" i="5"/>
  <c r="CB84" i="5"/>
  <c r="CB83" i="5"/>
  <c r="CB74" i="5"/>
  <c r="CB73" i="5"/>
  <c r="CB64" i="5"/>
  <c r="DY332" i="5"/>
  <c r="DS343" i="5"/>
  <c r="DY359" i="5"/>
  <c r="DY386" i="5"/>
  <c r="DY395" i="5"/>
  <c r="DY432" i="5"/>
  <c r="DY440" i="5"/>
  <c r="DS432" i="5"/>
  <c r="FT444" i="5"/>
  <c r="DY452" i="5"/>
  <c r="AZ471" i="5"/>
  <c r="AK469" i="5"/>
  <c r="AK471" i="5"/>
  <c r="AL471" i="5" s="1"/>
  <c r="AK473" i="5"/>
  <c r="AL473" i="5" s="1"/>
  <c r="AK475" i="5"/>
  <c r="AL475" i="5" s="1"/>
  <c r="AK477" i="5"/>
  <c r="AL477" i="5" s="1"/>
  <c r="AK479" i="5"/>
  <c r="AL479" i="5" s="1"/>
  <c r="AK481" i="5"/>
  <c r="AL481" i="5" s="1"/>
  <c r="AK483" i="5"/>
  <c r="AL483" i="5" s="1"/>
  <c r="AK485" i="5"/>
  <c r="AL485" i="5" s="1"/>
  <c r="AK487" i="5"/>
  <c r="AL487" i="5" s="1"/>
  <c r="AK489" i="5"/>
  <c r="AL489" i="5" s="1"/>
  <c r="AK491" i="5"/>
  <c r="AL491" i="5" s="1"/>
  <c r="AK493" i="5"/>
  <c r="AL493" i="5" s="1"/>
  <c r="AK495" i="5"/>
  <c r="AL495" i="5" s="1"/>
  <c r="AK497" i="5"/>
  <c r="AL497" i="5" s="1"/>
  <c r="AK499" i="5"/>
  <c r="AL499" i="5" s="1"/>
  <c r="CB494" i="5"/>
  <c r="AU494" i="5"/>
  <c r="AV494" i="5" s="1"/>
  <c r="DV490" i="5"/>
  <c r="EB490" i="5" s="1"/>
  <c r="DG490" i="5" s="1"/>
  <c r="FU489" i="5"/>
  <c r="FU483" i="5"/>
  <c r="BY482" i="5"/>
  <c r="DV471" i="5"/>
  <c r="EB471" i="5" s="1"/>
  <c r="DU449" i="5"/>
  <c r="CB240" i="5"/>
  <c r="CB222" i="5"/>
  <c r="CB212" i="5"/>
  <c r="CB210" i="5"/>
  <c r="CB208" i="5"/>
  <c r="FU155" i="5"/>
  <c r="CB140" i="5"/>
  <c r="CB119" i="5"/>
  <c r="CB112" i="5"/>
  <c r="CB86" i="5"/>
  <c r="CB85" i="5"/>
  <c r="CB76" i="5"/>
  <c r="CB75" i="5"/>
  <c r="CB65" i="5"/>
  <c r="AF20" i="20"/>
  <c r="BI20" i="20"/>
  <c r="BJ20" i="20" s="1"/>
  <c r="BI23" i="20"/>
  <c r="AF23" i="20"/>
  <c r="AU24" i="20"/>
  <c r="AT24" i="20"/>
  <c r="AF32" i="20"/>
  <c r="BI32" i="20"/>
  <c r="AF36" i="20"/>
  <c r="BI36" i="20"/>
  <c r="AU27" i="20"/>
  <c r="AT27" i="20"/>
  <c r="ED3" i="20"/>
  <c r="ED1" i="20"/>
  <c r="BF22" i="20"/>
  <c r="P22" i="20"/>
  <c r="DR22" i="20"/>
  <c r="AU32" i="20"/>
  <c r="AT32" i="20"/>
  <c r="AU36" i="20"/>
  <c r="AT36" i="20"/>
  <c r="AX23" i="20"/>
  <c r="BB22" i="20"/>
  <c r="EC22" i="20" s="1"/>
  <c r="BH30" i="20"/>
  <c r="BH26" i="20"/>
  <c r="ET30" i="20"/>
  <c r="ES30" i="20" s="1"/>
  <c r="AG30" i="20"/>
  <c r="BI31" i="20"/>
  <c r="AF31" i="20"/>
  <c r="AU50" i="20"/>
  <c r="AT50" i="20"/>
  <c r="ET26" i="20"/>
  <c r="ES26" i="20" s="1"/>
  <c r="AG26" i="20"/>
  <c r="AF28" i="20"/>
  <c r="BI28" i="20"/>
  <c r="BI21" i="20"/>
  <c r="AF21" i="20"/>
  <c r="AF24" i="20"/>
  <c r="BI24" i="20"/>
  <c r="AF27" i="20"/>
  <c r="BI27" i="20"/>
  <c r="BH34" i="20"/>
  <c r="AF22" i="20"/>
  <c r="BI22" i="20"/>
  <c r="BJ22" i="20" s="1"/>
  <c r="AU28" i="20"/>
  <c r="AT28" i="20"/>
  <c r="AU31" i="20"/>
  <c r="AT31" i="20"/>
  <c r="ET34" i="20"/>
  <c r="ES34" i="20" s="1"/>
  <c r="AG34" i="20"/>
  <c r="AF35" i="20"/>
  <c r="BI35" i="20"/>
  <c r="L21" i="20"/>
  <c r="AO21" i="20" s="1"/>
  <c r="BM21" i="20" s="1"/>
  <c r="EM22" i="20"/>
  <c r="L23" i="20"/>
  <c r="GG23" i="20"/>
  <c r="CH24" i="20"/>
  <c r="AV25" i="20"/>
  <c r="BH25" i="20"/>
  <c r="DQ25" i="20"/>
  <c r="O26" i="20"/>
  <c r="BS27" i="20"/>
  <c r="CI27" i="20"/>
  <c r="CJ27" i="20" s="1"/>
  <c r="GF28" i="20"/>
  <c r="BM29" i="20"/>
  <c r="BZ29" i="20"/>
  <c r="EH29" i="20" s="1"/>
  <c r="EJ29" i="20" s="1"/>
  <c r="EP29" i="20" s="1"/>
  <c r="EM30" i="20"/>
  <c r="L31" i="20"/>
  <c r="DT31" i="20"/>
  <c r="GG31" i="20"/>
  <c r="GI31" i="20" s="1"/>
  <c r="CH32" i="20"/>
  <c r="CJ32" i="20" s="1"/>
  <c r="AV33" i="20"/>
  <c r="BH33" i="20"/>
  <c r="DQ33" i="20"/>
  <c r="O34" i="20"/>
  <c r="CO34" i="20"/>
  <c r="CP34" i="20" s="1"/>
  <c r="BS35" i="20"/>
  <c r="CI35" i="20"/>
  <c r="CJ35" i="20" s="1"/>
  <c r="GF36" i="20"/>
  <c r="P37" i="20"/>
  <c r="BZ37" i="20"/>
  <c r="EH37" i="20" s="1"/>
  <c r="EJ37" i="20" s="1"/>
  <c r="EP37" i="20" s="1"/>
  <c r="AU38" i="20"/>
  <c r="EM38" i="20"/>
  <c r="AV39" i="20"/>
  <c r="BH39" i="20"/>
  <c r="DT40" i="20"/>
  <c r="L40" i="20"/>
  <c r="DQ40" i="20"/>
  <c r="AV40" i="20"/>
  <c r="AF41" i="20"/>
  <c r="GG42" i="20"/>
  <c r="GI42" i="20" s="1"/>
  <c r="GG43" i="20"/>
  <c r="BH47" i="20"/>
  <c r="BZ48" i="20"/>
  <c r="EH48" i="20" s="1"/>
  <c r="EJ48" i="20" s="1"/>
  <c r="EP48" i="20" s="1"/>
  <c r="GF48" i="20"/>
  <c r="CI48" i="20"/>
  <c r="BS48" i="20"/>
  <c r="CH48" i="20"/>
  <c r="O50" i="20"/>
  <c r="CO51" i="20"/>
  <c r="CP51" i="20" s="1"/>
  <c r="GG51" i="20"/>
  <c r="CP52" i="20"/>
  <c r="BB21" i="20"/>
  <c r="EC21" i="20" s="1"/>
  <c r="BI25" i="20"/>
  <c r="GF25" i="20"/>
  <c r="BZ26" i="20"/>
  <c r="EH26" i="20" s="1"/>
  <c r="EJ26" i="20" s="1"/>
  <c r="EP26" i="20" s="1"/>
  <c r="AS29" i="20"/>
  <c r="AV30" i="20"/>
  <c r="DQ30" i="20"/>
  <c r="BI33" i="20"/>
  <c r="GF33" i="20"/>
  <c r="BM34" i="20"/>
  <c r="BZ34" i="20"/>
  <c r="EH34" i="20" s="1"/>
  <c r="EJ34" i="20" s="1"/>
  <c r="EP34" i="20" s="1"/>
  <c r="AS37" i="20"/>
  <c r="AV38" i="20"/>
  <c r="DQ38" i="20"/>
  <c r="EM39" i="20"/>
  <c r="BM41" i="20"/>
  <c r="DT42" i="20"/>
  <c r="L42" i="20"/>
  <c r="BJ42" i="20" s="1"/>
  <c r="DQ42" i="20"/>
  <c r="AV42" i="20"/>
  <c r="CH44" i="20"/>
  <c r="GG45" i="20"/>
  <c r="GI45" i="20" s="1"/>
  <c r="CI50" i="20"/>
  <c r="BS50" i="20"/>
  <c r="BZ50" i="20"/>
  <c r="EH50" i="20" s="1"/>
  <c r="EJ50" i="20" s="1"/>
  <c r="EP50" i="20" s="1"/>
  <c r="BM50" i="20"/>
  <c r="CH50" i="20"/>
  <c r="AF52" i="20"/>
  <c r="AC53" i="20"/>
  <c r="AT53" i="20"/>
  <c r="DR60" i="20"/>
  <c r="BF60" i="20"/>
  <c r="CU60" i="20" s="1"/>
  <c r="AC65" i="20"/>
  <c r="AB65" i="20"/>
  <c r="EM67" i="20"/>
  <c r="CI67" i="20"/>
  <c r="BS67" i="20"/>
  <c r="BU67" i="20" s="1"/>
  <c r="AV67" i="20"/>
  <c r="CH67" i="20"/>
  <c r="GF67" i="20"/>
  <c r="DC76" i="20"/>
  <c r="FO76" i="20"/>
  <c r="DR20" i="20"/>
  <c r="AS26" i="20"/>
  <c r="CH26" i="20"/>
  <c r="CJ26" i="20" s="1"/>
  <c r="BH27" i="20"/>
  <c r="BI30" i="20"/>
  <c r="GF30" i="20"/>
  <c r="AS34" i="20"/>
  <c r="CH34" i="20"/>
  <c r="CJ34" i="20" s="1"/>
  <c r="BF37" i="20"/>
  <c r="BZ40" i="20"/>
  <c r="EH40" i="20" s="1"/>
  <c r="EJ40" i="20" s="1"/>
  <c r="EP40" i="20" s="1"/>
  <c r="CI40" i="20"/>
  <c r="CJ40" i="20" s="1"/>
  <c r="BS40" i="20"/>
  <c r="AF44" i="20"/>
  <c r="EM44" i="20"/>
  <c r="BH46" i="20"/>
  <c r="AC70" i="20"/>
  <c r="BS21" i="20"/>
  <c r="DT22" i="20"/>
  <c r="CH23" i="20"/>
  <c r="BH24" i="20"/>
  <c r="O25" i="20"/>
  <c r="AG25" i="20"/>
  <c r="BS26" i="20"/>
  <c r="GF27" i="20"/>
  <c r="AC29" i="20"/>
  <c r="BG29" i="20" s="1"/>
  <c r="BH29" i="20" s="1"/>
  <c r="EM29" i="20"/>
  <c r="L30" i="20"/>
  <c r="DT30" i="20"/>
  <c r="GG30" i="20"/>
  <c r="CH31" i="20"/>
  <c r="O33" i="20"/>
  <c r="AG33" i="20"/>
  <c r="BS34" i="20"/>
  <c r="GF35" i="20"/>
  <c r="AC37" i="20"/>
  <c r="BG37" i="20" s="1"/>
  <c r="BH37" i="20" s="1"/>
  <c r="EM37" i="20"/>
  <c r="L38" i="20"/>
  <c r="DT38" i="20"/>
  <c r="O39" i="20"/>
  <c r="BM40" i="20"/>
  <c r="CI42" i="20"/>
  <c r="BS42" i="20"/>
  <c r="BZ42" i="20"/>
  <c r="EH42" i="20" s="1"/>
  <c r="EJ42" i="20" s="1"/>
  <c r="EP42" i="20" s="1"/>
  <c r="BM42" i="20"/>
  <c r="BI44" i="20"/>
  <c r="BH45" i="20"/>
  <c r="AF46" i="20"/>
  <c r="AF47" i="20"/>
  <c r="AC49" i="20"/>
  <c r="BG49" i="20" s="1"/>
  <c r="BH49" i="20" s="1"/>
  <c r="BM49" i="20"/>
  <c r="CP49" i="20"/>
  <c r="DQ52" i="20"/>
  <c r="AV52" i="20"/>
  <c r="AS52" i="20"/>
  <c r="DT52" i="20"/>
  <c r="L52" i="20"/>
  <c r="FO62" i="20"/>
  <c r="DC62" i="20"/>
  <c r="BZ67" i="20"/>
  <c r="EH67" i="20" s="1"/>
  <c r="EJ67" i="20" s="1"/>
  <c r="EP67" i="20" s="1"/>
  <c r="O68" i="20"/>
  <c r="AV68" i="20"/>
  <c r="DQ68" i="20"/>
  <c r="AS68" i="20"/>
  <c r="AU68" i="20" s="1"/>
  <c r="BI71" i="20"/>
  <c r="BJ71" i="20" s="1"/>
  <c r="AF71" i="20"/>
  <c r="EM21" i="20"/>
  <c r="BS23" i="20"/>
  <c r="CI23" i="20"/>
  <c r="BM25" i="20"/>
  <c r="BZ25" i="20"/>
  <c r="EH25" i="20" s="1"/>
  <c r="EJ25" i="20" s="1"/>
  <c r="EP25" i="20" s="1"/>
  <c r="EM26" i="20"/>
  <c r="L27" i="20"/>
  <c r="AO27" i="20" s="1"/>
  <c r="DT27" i="20"/>
  <c r="AV29" i="20"/>
  <c r="DQ29" i="20"/>
  <c r="BS31" i="20"/>
  <c r="CI31" i="20"/>
  <c r="BM33" i="20"/>
  <c r="BZ33" i="20"/>
  <c r="EH33" i="20" s="1"/>
  <c r="EJ33" i="20" s="1"/>
  <c r="EP33" i="20" s="1"/>
  <c r="EM34" i="20"/>
  <c r="L35" i="20"/>
  <c r="AO35" i="20" s="1"/>
  <c r="BM35" i="20" s="1"/>
  <c r="AV37" i="20"/>
  <c r="DQ37" i="20"/>
  <c r="O38" i="20"/>
  <c r="GF38" i="20"/>
  <c r="BM39" i="20"/>
  <c r="BZ39" i="20"/>
  <c r="EH39" i="20" s="1"/>
  <c r="EJ39" i="20" s="1"/>
  <c r="EP39" i="20" s="1"/>
  <c r="BH42" i="20"/>
  <c r="AT43" i="20"/>
  <c r="DQ44" i="20"/>
  <c r="AV44" i="20"/>
  <c r="DT44" i="20"/>
  <c r="L44" i="20"/>
  <c r="AF45" i="20"/>
  <c r="BI46" i="20"/>
  <c r="AU47" i="20"/>
  <c r="AT47" i="20"/>
  <c r="CP48" i="20"/>
  <c r="BI49" i="20"/>
  <c r="GG49" i="20"/>
  <c r="BH50" i="20"/>
  <c r="O52" i="20"/>
  <c r="FO55" i="20"/>
  <c r="CH59" i="20"/>
  <c r="BZ59" i="20"/>
  <c r="EH59" i="20" s="1"/>
  <c r="EJ59" i="20" s="1"/>
  <c r="EO59" i="20" s="1"/>
  <c r="GF59" i="20"/>
  <c r="CI59" i="20"/>
  <c r="BS59" i="20"/>
  <c r="BU59" i="20" s="1"/>
  <c r="S62" i="20"/>
  <c r="EM62" i="20" s="1"/>
  <c r="AC62" i="20"/>
  <c r="AB62" i="20"/>
  <c r="DR68" i="20"/>
  <c r="S69" i="20"/>
  <c r="EM69" i="20" s="1"/>
  <c r="AC69" i="20"/>
  <c r="AB69" i="20"/>
  <c r="FO85" i="20"/>
  <c r="DC85" i="20"/>
  <c r="FO93" i="20"/>
  <c r="DC93" i="20"/>
  <c r="AV26" i="20"/>
  <c r="DQ26" i="20"/>
  <c r="BM30" i="20"/>
  <c r="BZ30" i="20"/>
  <c r="EH30" i="20" s="1"/>
  <c r="EJ30" i="20" s="1"/>
  <c r="EP30" i="20" s="1"/>
  <c r="AV34" i="20"/>
  <c r="DQ34" i="20"/>
  <c r="BM38" i="20"/>
  <c r="BZ38" i="20"/>
  <c r="EH38" i="20" s="1"/>
  <c r="EJ38" i="20" s="1"/>
  <c r="EP38" i="20" s="1"/>
  <c r="CH39" i="20"/>
  <c r="CP44" i="20"/>
  <c r="DT46" i="20"/>
  <c r="L46" i="20"/>
  <c r="DQ46" i="20"/>
  <c r="AV46" i="20"/>
  <c r="ET49" i="20"/>
  <c r="ES49" i="20" s="1"/>
  <c r="AG49" i="20"/>
  <c r="AF50" i="20"/>
  <c r="BH51" i="20"/>
  <c r="EM57" i="20"/>
  <c r="BI60" i="20"/>
  <c r="BJ60" i="20" s="1"/>
  <c r="AF60" i="20"/>
  <c r="FO80" i="20"/>
  <c r="DC80" i="20"/>
  <c r="BH23" i="20"/>
  <c r="BI26" i="20"/>
  <c r="CH30" i="20"/>
  <c r="CJ30" i="20" s="1"/>
  <c r="BH31" i="20"/>
  <c r="BI34" i="20"/>
  <c r="CH38" i="20"/>
  <c r="CJ38" i="20" s="1"/>
  <c r="AF40" i="20"/>
  <c r="CI44" i="20"/>
  <c r="BS44" i="20"/>
  <c r="BZ44" i="20"/>
  <c r="EH44" i="20" s="1"/>
  <c r="EJ44" i="20" s="1"/>
  <c r="EP44" i="20" s="1"/>
  <c r="BM51" i="20"/>
  <c r="BH52" i="20"/>
  <c r="GF57" i="20"/>
  <c r="CI57" i="20"/>
  <c r="BS57" i="20"/>
  <c r="BU57" i="20" s="1"/>
  <c r="CH57" i="20"/>
  <c r="BZ57" i="20"/>
  <c r="EH57" i="20" s="1"/>
  <c r="EJ57" i="20" s="1"/>
  <c r="EO57" i="20" s="1"/>
  <c r="DR71" i="20"/>
  <c r="BF71" i="20"/>
  <c r="CU71" i="20" s="1"/>
  <c r="DC83" i="20"/>
  <c r="FO83" i="20"/>
  <c r="P20" i="20"/>
  <c r="BS22" i="20"/>
  <c r="L26" i="20"/>
  <c r="AO26" i="20" s="1"/>
  <c r="BS30" i="20"/>
  <c r="L34" i="20"/>
  <c r="BS38" i="20"/>
  <c r="BI40" i="20"/>
  <c r="GF40" i="20"/>
  <c r="BH41" i="20"/>
  <c r="AF42" i="20"/>
  <c r="EM42" i="20"/>
  <c r="BH44" i="20"/>
  <c r="CI46" i="20"/>
  <c r="BS46" i="20"/>
  <c r="BZ46" i="20"/>
  <c r="EH46" i="20" s="1"/>
  <c r="EJ46" i="20" s="1"/>
  <c r="EP46" i="20" s="1"/>
  <c r="BM46" i="20"/>
  <c r="DT50" i="20"/>
  <c r="L50" i="20"/>
  <c r="DQ50" i="20"/>
  <c r="AV50" i="20"/>
  <c r="EM50" i="20"/>
  <c r="AF51" i="20"/>
  <c r="BI51" i="20"/>
  <c r="BJ51" i="20" s="1"/>
  <c r="S54" i="20"/>
  <c r="EM54" i="20" s="1"/>
  <c r="AC54" i="20"/>
  <c r="AB54" i="20"/>
  <c r="DR55" i="20"/>
  <c r="DQ55" i="20"/>
  <c r="AS55" i="20"/>
  <c r="AU55" i="20" s="1"/>
  <c r="AC61" i="20"/>
  <c r="AB61" i="20"/>
  <c r="DR63" i="20"/>
  <c r="O63" i="20"/>
  <c r="DQ63" i="20"/>
  <c r="AS63" i="20"/>
  <c r="AU63" i="20" s="1"/>
  <c r="DT63" i="20"/>
  <c r="EM70" i="20"/>
  <c r="GF41" i="20"/>
  <c r="AS45" i="20"/>
  <c r="CH45" i="20"/>
  <c r="GF49" i="20"/>
  <c r="AC56" i="20"/>
  <c r="DT56" i="20"/>
  <c r="AF58" i="20"/>
  <c r="BI58" i="20"/>
  <c r="BJ58" i="20" s="1"/>
  <c r="AB59" i="20"/>
  <c r="AV59" i="20"/>
  <c r="DC59" i="20"/>
  <c r="DR59" i="20"/>
  <c r="EM59" i="20"/>
  <c r="S60" i="20"/>
  <c r="EM60" i="20" s="1"/>
  <c r="O64" i="20"/>
  <c r="AF64" i="20"/>
  <c r="BI64" i="20"/>
  <c r="BJ64" i="20" s="1"/>
  <c r="BZ66" i="20"/>
  <c r="EH66" i="20" s="1"/>
  <c r="EJ66" i="20" s="1"/>
  <c r="EO66" i="20" s="1"/>
  <c r="AC67" i="20"/>
  <c r="DT67" i="20"/>
  <c r="AG68" i="20"/>
  <c r="DQ69" i="20"/>
  <c r="GF70" i="20"/>
  <c r="S71" i="20"/>
  <c r="EM71" i="20" s="1"/>
  <c r="AB72" i="20"/>
  <c r="BF72" i="20"/>
  <c r="CU72" i="20" s="1"/>
  <c r="O73" i="20"/>
  <c r="AF73" i="20"/>
  <c r="BI73" i="20"/>
  <c r="BJ73" i="20" s="1"/>
  <c r="BZ74" i="20"/>
  <c r="EH74" i="20" s="1"/>
  <c r="EJ74" i="20" s="1"/>
  <c r="EP74" i="20" s="1"/>
  <c r="AB75" i="20"/>
  <c r="AV75" i="20"/>
  <c r="BF75" i="20"/>
  <c r="CU75" i="20" s="1"/>
  <c r="BS75" i="20"/>
  <c r="BT75" i="20" s="1"/>
  <c r="BV75" i="20" s="1"/>
  <c r="CI75" i="20"/>
  <c r="O76" i="20"/>
  <c r="AF76" i="20"/>
  <c r="BI76" i="20"/>
  <c r="BJ76" i="20" s="1"/>
  <c r="BZ77" i="20"/>
  <c r="EH77" i="20" s="1"/>
  <c r="EJ77" i="20" s="1"/>
  <c r="EP77" i="20" s="1"/>
  <c r="AC78" i="20"/>
  <c r="DT78" i="20"/>
  <c r="DQ80" i="20"/>
  <c r="DR81" i="20"/>
  <c r="AS82" i="20"/>
  <c r="GF82" i="20"/>
  <c r="S83" i="20"/>
  <c r="EM83" i="20" s="1"/>
  <c r="AF85" i="20"/>
  <c r="DQ85" i="20"/>
  <c r="AS90" i="20"/>
  <c r="AU90" i="20" s="1"/>
  <c r="DT93" i="20"/>
  <c r="L96" i="20"/>
  <c r="AO96" i="20" s="1"/>
  <c r="CL96" i="20" s="1"/>
  <c r="CM96" i="20" s="1"/>
  <c r="AV98" i="20"/>
  <c r="AG98" i="20"/>
  <c r="EB98" i="20" s="1"/>
  <c r="EI99" i="20"/>
  <c r="GH99" i="20"/>
  <c r="CN99" i="20"/>
  <c r="CP99" i="20" s="1"/>
  <c r="DT99" i="20"/>
  <c r="AF99" i="20"/>
  <c r="GF100" i="20"/>
  <c r="AC100" i="20"/>
  <c r="EI100" i="20"/>
  <c r="ET101" i="20"/>
  <c r="ES101" i="20" s="1"/>
  <c r="AG101" i="20"/>
  <c r="EB101" i="20" s="1"/>
  <c r="EM107" i="20"/>
  <c r="AB108" i="20"/>
  <c r="BG108" i="20" s="1"/>
  <c r="BJ109" i="20"/>
  <c r="AB111" i="20"/>
  <c r="AB113" i="20"/>
  <c r="BG113" i="20" s="1"/>
  <c r="GF114" i="20"/>
  <c r="BZ114" i="20"/>
  <c r="EH114" i="20" s="1"/>
  <c r="EJ114" i="20" s="1"/>
  <c r="BM114" i="20"/>
  <c r="BN114" i="20" s="1"/>
  <c r="CW114" i="20" s="1"/>
  <c r="AC120" i="20"/>
  <c r="AB120" i="20"/>
  <c r="CI133" i="20"/>
  <c r="BI134" i="20"/>
  <c r="BI138" i="20"/>
  <c r="CI139" i="20"/>
  <c r="BS139" i="20"/>
  <c r="BT139" i="20" s="1"/>
  <c r="BV139" i="20" s="1"/>
  <c r="CH139" i="20"/>
  <c r="AB139" i="20"/>
  <c r="BZ139" i="20"/>
  <c r="EH139" i="20" s="1"/>
  <c r="EJ139" i="20" s="1"/>
  <c r="AC59" i="20"/>
  <c r="DT59" i="20"/>
  <c r="O61" i="20"/>
  <c r="FO65" i="20"/>
  <c r="CH66" i="20"/>
  <c r="FO70" i="20"/>
  <c r="AC72" i="20"/>
  <c r="DT72" i="20"/>
  <c r="CH74" i="20"/>
  <c r="AC75" i="20"/>
  <c r="DT75" i="20"/>
  <c r="CH77" i="20"/>
  <c r="AS79" i="20"/>
  <c r="AU79" i="20" s="1"/>
  <c r="AB80" i="20"/>
  <c r="O81" i="20"/>
  <c r="DT82" i="20"/>
  <c r="AB84" i="20"/>
  <c r="O85" i="20"/>
  <c r="DR85" i="20"/>
  <c r="DC87" i="20"/>
  <c r="DQ88" i="20"/>
  <c r="BZ89" i="20"/>
  <c r="EH89" i="20" s="1"/>
  <c r="EJ89" i="20" s="1"/>
  <c r="EP89" i="20" s="1"/>
  <c r="AC91" i="20"/>
  <c r="S91" i="20"/>
  <c r="EM91" i="20" s="1"/>
  <c r="DQ94" i="20"/>
  <c r="EM98" i="20"/>
  <c r="EG102" i="20"/>
  <c r="CP103" i="20"/>
  <c r="DQ106" i="20"/>
  <c r="AS106" i="20"/>
  <c r="AU106" i="20" s="1"/>
  <c r="DT106" i="20"/>
  <c r="DR116" i="20"/>
  <c r="BF116" i="20"/>
  <c r="CU116" i="20" s="1"/>
  <c r="FB117" i="20"/>
  <c r="FC117" i="20" s="1"/>
  <c r="FD117" i="20" s="1"/>
  <c r="BI128" i="20"/>
  <c r="BH40" i="20"/>
  <c r="O41" i="20"/>
  <c r="GF43" i="20"/>
  <c r="BM44" i="20"/>
  <c r="EM45" i="20"/>
  <c r="CH47" i="20"/>
  <c r="AV48" i="20"/>
  <c r="DQ48" i="20"/>
  <c r="O49" i="20"/>
  <c r="GF51" i="20"/>
  <c r="BM52" i="20"/>
  <c r="BZ52" i="20"/>
  <c r="EH52" i="20" s="1"/>
  <c r="EJ52" i="20" s="1"/>
  <c r="EP52" i="20" s="1"/>
  <c r="AB53" i="20"/>
  <c r="BF53" i="20"/>
  <c r="CU53" i="20" s="1"/>
  <c r="O56" i="20"/>
  <c r="AF56" i="20"/>
  <c r="AB57" i="20"/>
  <c r="AV57" i="20"/>
  <c r="BF57" i="20"/>
  <c r="CU57" i="20" s="1"/>
  <c r="S58" i="20"/>
  <c r="DQ60" i="20"/>
  <c r="DT62" i="20"/>
  <c r="S64" i="20"/>
  <c r="AB66" i="20"/>
  <c r="AV66" i="20"/>
  <c r="BS66" i="20"/>
  <c r="BU66" i="20" s="1"/>
  <c r="CI66" i="20"/>
  <c r="DR66" i="20"/>
  <c r="AF67" i="20"/>
  <c r="BZ68" i="20"/>
  <c r="EH68" i="20" s="1"/>
  <c r="EJ68" i="20" s="1"/>
  <c r="EO68" i="20" s="1"/>
  <c r="DT69" i="20"/>
  <c r="S73" i="20"/>
  <c r="AB74" i="20"/>
  <c r="AV74" i="20"/>
  <c r="BS74" i="20"/>
  <c r="BU74" i="20" s="1"/>
  <c r="CI74" i="20"/>
  <c r="DR74" i="20"/>
  <c r="GF75" i="20"/>
  <c r="S76" i="20"/>
  <c r="AB77" i="20"/>
  <c r="AV77" i="20"/>
  <c r="BS77" i="20"/>
  <c r="BU77" i="20" s="1"/>
  <c r="CI77" i="20"/>
  <c r="DR77" i="20"/>
  <c r="AF78" i="20"/>
  <c r="AC80" i="20"/>
  <c r="DT80" i="20"/>
  <c r="EM81" i="20"/>
  <c r="DT85" i="20"/>
  <c r="BI89" i="20"/>
  <c r="BJ89" i="20" s="1"/>
  <c r="AF89" i="20"/>
  <c r="AB92" i="20"/>
  <c r="DR94" i="20"/>
  <c r="AF97" i="20"/>
  <c r="ET97" i="20" s="1"/>
  <c r="ES97" i="20" s="1"/>
  <c r="GF98" i="20"/>
  <c r="W99" i="20"/>
  <c r="W100" i="20"/>
  <c r="W102" i="20"/>
  <c r="AV102" i="20"/>
  <c r="BI105" i="20"/>
  <c r="BJ105" i="20" s="1"/>
  <c r="AF105" i="20"/>
  <c r="BJ107" i="20"/>
  <c r="CP107" i="20"/>
  <c r="CP108" i="20"/>
  <c r="AC110" i="20"/>
  <c r="EM116" i="20"/>
  <c r="BJ123" i="20"/>
  <c r="GF124" i="20"/>
  <c r="BZ124" i="20"/>
  <c r="EH124" i="20" s="1"/>
  <c r="EJ124" i="20" s="1"/>
  <c r="EM128" i="20"/>
  <c r="AV128" i="20"/>
  <c r="DQ128" i="20"/>
  <c r="AS128" i="20"/>
  <c r="AU128" i="20" s="1"/>
  <c r="L128" i="20"/>
  <c r="AO128" i="20" s="1"/>
  <c r="CL128" i="20" s="1"/>
  <c r="CM128" i="20" s="1"/>
  <c r="BI48" i="20"/>
  <c r="CH52" i="20"/>
  <c r="AC57" i="20"/>
  <c r="O59" i="20"/>
  <c r="AB60" i="20"/>
  <c r="AS61" i="20"/>
  <c r="AU61" i="20" s="1"/>
  <c r="AT64" i="20"/>
  <c r="AS65" i="20"/>
  <c r="AU65" i="20" s="1"/>
  <c r="AC66" i="20"/>
  <c r="CH68" i="20"/>
  <c r="AS70" i="20"/>
  <c r="AU70" i="20" s="1"/>
  <c r="AB71" i="20"/>
  <c r="O72" i="20"/>
  <c r="AC74" i="20"/>
  <c r="O75" i="20"/>
  <c r="AC77" i="20"/>
  <c r="DQ79" i="20"/>
  <c r="CI81" i="20"/>
  <c r="BS81" i="20"/>
  <c r="AS81" i="20"/>
  <c r="AU81" i="20" s="1"/>
  <c r="GF81" i="20"/>
  <c r="AV82" i="20"/>
  <c r="AB83" i="20"/>
  <c r="AV86" i="20"/>
  <c r="DQ86" i="20"/>
  <c r="S87" i="20"/>
  <c r="EM87" i="20" s="1"/>
  <c r="AC87" i="20"/>
  <c r="DQ93" i="20"/>
  <c r="AS93" i="20"/>
  <c r="O93" i="20"/>
  <c r="BI93" i="20"/>
  <c r="BJ93" i="20" s="1"/>
  <c r="AF93" i="20"/>
  <c r="O94" i="20"/>
  <c r="EM96" i="20"/>
  <c r="AL104" i="20"/>
  <c r="DR105" i="20"/>
  <c r="BF105" i="20"/>
  <c r="S106" i="20"/>
  <c r="EM106" i="20" s="1"/>
  <c r="DR109" i="20"/>
  <c r="FB113" i="20"/>
  <c r="FC113" i="20" s="1"/>
  <c r="FD113" i="20" s="1"/>
  <c r="AB115" i="20"/>
  <c r="GF116" i="20"/>
  <c r="BZ116" i="20"/>
  <c r="EH116" i="20" s="1"/>
  <c r="EJ116" i="20" s="1"/>
  <c r="BM116" i="20"/>
  <c r="BN116" i="20" s="1"/>
  <c r="CW116" i="20" s="1"/>
  <c r="CI124" i="20"/>
  <c r="GF131" i="20"/>
  <c r="BI136" i="20"/>
  <c r="AS41" i="20"/>
  <c r="L48" i="20"/>
  <c r="AF48" i="20"/>
  <c r="DT48" i="20"/>
  <c r="AS49" i="20"/>
  <c r="BS52" i="20"/>
  <c r="AF54" i="20"/>
  <c r="AB55" i="20"/>
  <c r="DT60" i="20"/>
  <c r="BZ61" i="20"/>
  <c r="EH61" i="20" s="1"/>
  <c r="EJ61" i="20" s="1"/>
  <c r="EO61" i="20" s="1"/>
  <c r="AF62" i="20"/>
  <c r="AB63" i="20"/>
  <c r="AB68" i="20"/>
  <c r="BF68" i="20"/>
  <c r="CU68" i="20" s="1"/>
  <c r="BS68" i="20"/>
  <c r="BT68" i="20" s="1"/>
  <c r="BV68" i="20" s="1"/>
  <c r="CI68" i="20"/>
  <c r="O69" i="20"/>
  <c r="AF69" i="20"/>
  <c r="BZ70" i="20"/>
  <c r="EH70" i="20" s="1"/>
  <c r="EJ70" i="20" s="1"/>
  <c r="EO70" i="20" s="1"/>
  <c r="DQ73" i="20"/>
  <c r="DQ76" i="20"/>
  <c r="AS78" i="20"/>
  <c r="AB79" i="20"/>
  <c r="BF79" i="20"/>
  <c r="CU79" i="20" s="1"/>
  <c r="O80" i="20"/>
  <c r="AF80" i="20"/>
  <c r="DQ81" i="20"/>
  <c r="EM82" i="20"/>
  <c r="DR86" i="20"/>
  <c r="DR89" i="20"/>
  <c r="BF89" i="20"/>
  <c r="CU89" i="20" s="1"/>
  <c r="DQ90" i="20"/>
  <c r="AB91" i="20"/>
  <c r="FO92" i="20"/>
  <c r="AB94" i="20"/>
  <c r="AS94" i="20"/>
  <c r="CP94" i="20"/>
  <c r="AS96" i="20"/>
  <c r="AU96" i="20" s="1"/>
  <c r="AV97" i="20"/>
  <c r="W98" i="20"/>
  <c r="EI98" i="20"/>
  <c r="EG99" i="20"/>
  <c r="CN102" i="20"/>
  <c r="CP102" i="20" s="1"/>
  <c r="W104" i="20"/>
  <c r="EM104" i="20"/>
  <c r="AU104" i="20"/>
  <c r="AC115" i="20"/>
  <c r="CI116" i="20"/>
  <c r="CI119" i="20"/>
  <c r="BS119" i="20"/>
  <c r="CH119" i="20"/>
  <c r="BZ119" i="20"/>
  <c r="EH119" i="20" s="1"/>
  <c r="AB119" i="20"/>
  <c r="FO120" i="20"/>
  <c r="DI120" i="20"/>
  <c r="CI131" i="20"/>
  <c r="DT79" i="20"/>
  <c r="AS88" i="20"/>
  <c r="AU88" i="20" s="1"/>
  <c r="EI102" i="20"/>
  <c r="AC102" i="20"/>
  <c r="O102" i="20"/>
  <c r="BI102" i="20"/>
  <c r="AF102" i="20"/>
  <c r="ET102" i="20" s="1"/>
  <c r="ES102" i="20" s="1"/>
  <c r="AX109" i="20"/>
  <c r="BI125" i="20"/>
  <c r="CI127" i="20"/>
  <c r="BS127" i="20"/>
  <c r="BU127" i="20" s="1"/>
  <c r="CH127" i="20"/>
  <c r="AB127" i="20"/>
  <c r="BZ127" i="20"/>
  <c r="EH127" i="20" s="1"/>
  <c r="EJ127" i="20" s="1"/>
  <c r="BI132" i="20"/>
  <c r="FB144" i="20"/>
  <c r="FC144" i="20" s="1"/>
  <c r="FD144" i="20" s="1"/>
  <c r="O60" i="20"/>
  <c r="AV61" i="20"/>
  <c r="BF61" i="20"/>
  <c r="CU61" i="20" s="1"/>
  <c r="BS61" i="20"/>
  <c r="BT61" i="20" s="1"/>
  <c r="BV61" i="20" s="1"/>
  <c r="CI61" i="20"/>
  <c r="EM61" i="20"/>
  <c r="DR65" i="20"/>
  <c r="AS69" i="20"/>
  <c r="AB70" i="20"/>
  <c r="AV70" i="20"/>
  <c r="BS70" i="20"/>
  <c r="BU70" i="20" s="1"/>
  <c r="DR70" i="20"/>
  <c r="BZ75" i="20"/>
  <c r="EH75" i="20" s="1"/>
  <c r="EJ75" i="20" s="1"/>
  <c r="EO75" i="20" s="1"/>
  <c r="AG77" i="20"/>
  <c r="S80" i="20"/>
  <c r="EM80" i="20" s="1"/>
  <c r="AB81" i="20"/>
  <c r="AV81" i="20"/>
  <c r="FO81" i="20"/>
  <c r="AF83" i="20"/>
  <c r="DR83" i="20"/>
  <c r="S84" i="20"/>
  <c r="AT84" i="20"/>
  <c r="EM86" i="20"/>
  <c r="AB86" i="20"/>
  <c r="AS86" i="20"/>
  <c r="CP86" i="20"/>
  <c r="AB87" i="20"/>
  <c r="DR88" i="20"/>
  <c r="BF88" i="20"/>
  <c r="CU88" i="20" s="1"/>
  <c r="AC89" i="20"/>
  <c r="EM89" i="20"/>
  <c r="AB89" i="20"/>
  <c r="DT90" i="20"/>
  <c r="AF91" i="20"/>
  <c r="DI91" i="20"/>
  <c r="EM95" i="20"/>
  <c r="W96" i="20"/>
  <c r="DR98" i="20"/>
  <c r="BF98" i="20"/>
  <c r="CU98" i="20" s="1"/>
  <c r="P98" i="20"/>
  <c r="GH100" i="20"/>
  <c r="CN100" i="20"/>
  <c r="CP100" i="20" s="1"/>
  <c r="AV100" i="20"/>
  <c r="AG100" i="20"/>
  <c r="EB100" i="20" s="1"/>
  <c r="DT101" i="20"/>
  <c r="DQ101" i="20"/>
  <c r="AS101" i="20"/>
  <c r="AT101" i="20" s="1"/>
  <c r="L101" i="20"/>
  <c r="AO101" i="20" s="1"/>
  <c r="CL101" i="20" s="1"/>
  <c r="CM101" i="20" s="1"/>
  <c r="GH102" i="20"/>
  <c r="GF103" i="20"/>
  <c r="AC103" i="20"/>
  <c r="AC106" i="20"/>
  <c r="DR114" i="20"/>
  <c r="BF114" i="20"/>
  <c r="CU114" i="20" s="1"/>
  <c r="FB115" i="20"/>
  <c r="FC115" i="20" s="1"/>
  <c r="FD115" i="20" s="1"/>
  <c r="DC115" i="20"/>
  <c r="EM115" i="20"/>
  <c r="BJ116" i="20"/>
  <c r="BM118" i="20"/>
  <c r="BN118" i="20" s="1"/>
  <c r="AV118" i="20"/>
  <c r="GF118" i="20"/>
  <c r="AG122" i="20"/>
  <c r="GF129" i="20"/>
  <c r="BZ129" i="20"/>
  <c r="EH129" i="20" s="1"/>
  <c r="EJ129" i="20" s="1"/>
  <c r="GF137" i="20"/>
  <c r="AV137" i="20"/>
  <c r="AC137" i="20"/>
  <c r="BF67" i="20"/>
  <c r="CU67" i="20" s="1"/>
  <c r="BF78" i="20"/>
  <c r="CU78" i="20" s="1"/>
  <c r="AC81" i="20"/>
  <c r="BI82" i="20"/>
  <c r="BJ82" i="20" s="1"/>
  <c r="AF82" i="20"/>
  <c r="DQ82" i="20"/>
  <c r="AS85" i="20"/>
  <c r="GF86" i="20"/>
  <c r="CI86" i="20"/>
  <c r="BS86" i="20"/>
  <c r="CH86" i="20"/>
  <c r="BZ86" i="20"/>
  <c r="EH86" i="20" s="1"/>
  <c r="EJ86" i="20" s="1"/>
  <c r="EO86" i="20" s="1"/>
  <c r="O88" i="20"/>
  <c r="CI89" i="20"/>
  <c r="BS89" i="20"/>
  <c r="BU89" i="20" s="1"/>
  <c r="CH89" i="20"/>
  <c r="BI91" i="20"/>
  <c r="BJ91" i="20" s="1"/>
  <c r="EG93" i="20"/>
  <c r="DT94" i="20"/>
  <c r="DT95" i="20"/>
  <c r="DQ96" i="20"/>
  <c r="O96" i="20"/>
  <c r="AT104" i="20"/>
  <c r="AV104" i="20"/>
  <c r="EI119" i="20"/>
  <c r="DR123" i="20"/>
  <c r="BF123" i="20"/>
  <c r="CU123" i="20" s="1"/>
  <c r="BI126" i="20"/>
  <c r="FB132" i="20"/>
  <c r="FC132" i="20" s="1"/>
  <c r="FD132" i="20" s="1"/>
  <c r="GF133" i="20"/>
  <c r="EG155" i="20"/>
  <c r="CH155" i="20"/>
  <c r="CJ155" i="20" s="1"/>
  <c r="DT107" i="20"/>
  <c r="DT108" i="20"/>
  <c r="DT109" i="20"/>
  <c r="DT110" i="20"/>
  <c r="DT111" i="20"/>
  <c r="DT112" i="20"/>
  <c r="DT113" i="20"/>
  <c r="DT115" i="20"/>
  <c r="DT117" i="20"/>
  <c r="AT118" i="20"/>
  <c r="BS118" i="20"/>
  <c r="BT118" i="20" s="1"/>
  <c r="BV118" i="20" s="1"/>
  <c r="CI118" i="20"/>
  <c r="GG118" i="20"/>
  <c r="BZ120" i="20"/>
  <c r="EH120" i="20" s="1"/>
  <c r="EJ120" i="20" s="1"/>
  <c r="AV121" i="20"/>
  <c r="BF121" i="20"/>
  <c r="CU121" i="20" s="1"/>
  <c r="EM121" i="20"/>
  <c r="BI122" i="20"/>
  <c r="BJ122" i="20" s="1"/>
  <c r="AV125" i="20"/>
  <c r="BS125" i="20"/>
  <c r="CI125" i="20"/>
  <c r="EM125" i="20"/>
  <c r="DT130" i="20"/>
  <c r="DT132" i="20"/>
  <c r="AS135" i="20"/>
  <c r="AU135" i="20" s="1"/>
  <c r="CI137" i="20"/>
  <c r="BS137" i="20"/>
  <c r="BU137" i="20" s="1"/>
  <c r="CH137" i="20"/>
  <c r="AB137" i="20"/>
  <c r="AS138" i="20"/>
  <c r="AU138" i="20" s="1"/>
  <c r="EM138" i="20"/>
  <c r="AV138" i="20"/>
  <c r="DQ138" i="20"/>
  <c r="EM139" i="20"/>
  <c r="AC139" i="20"/>
  <c r="GF142" i="20"/>
  <c r="CI142" i="20"/>
  <c r="BS142" i="20"/>
  <c r="BU142" i="20" s="1"/>
  <c r="AV142" i="20"/>
  <c r="AB142" i="20"/>
  <c r="BI143" i="20"/>
  <c r="CH120" i="20"/>
  <c r="AO122" i="20"/>
  <c r="BM122" i="20" s="1"/>
  <c r="BN122" i="20" s="1"/>
  <c r="CW122" i="20" s="1"/>
  <c r="DT125" i="20"/>
  <c r="BZ131" i="20"/>
  <c r="EH131" i="20" s="1"/>
  <c r="EJ131" i="20" s="1"/>
  <c r="L132" i="20"/>
  <c r="BZ133" i="20"/>
  <c r="EH133" i="20" s="1"/>
  <c r="EJ133" i="20" s="1"/>
  <c r="L134" i="20"/>
  <c r="AO134" i="20" s="1"/>
  <c r="CL134" i="20" s="1"/>
  <c r="CM134" i="20" s="1"/>
  <c r="CH135" i="20"/>
  <c r="AB135" i="20"/>
  <c r="AS136" i="20"/>
  <c r="AU136" i="20" s="1"/>
  <c r="DQ136" i="20"/>
  <c r="EM137" i="20"/>
  <c r="BZ137" i="20"/>
  <c r="EH137" i="20" s="1"/>
  <c r="EJ137" i="20" s="1"/>
  <c r="L138" i="20"/>
  <c r="AO138" i="20" s="1"/>
  <c r="CL138" i="20" s="1"/>
  <c r="CM138" i="20" s="1"/>
  <c r="AC140" i="20"/>
  <c r="AT140" i="20"/>
  <c r="CH141" i="20"/>
  <c r="BZ141" i="20"/>
  <c r="EH141" i="20" s="1"/>
  <c r="EJ141" i="20" s="1"/>
  <c r="AB141" i="20"/>
  <c r="GG141" i="20"/>
  <c r="CH142" i="20"/>
  <c r="BZ142" i="20"/>
  <c r="EH142" i="20" s="1"/>
  <c r="EJ142" i="20" s="1"/>
  <c r="EM143" i="20"/>
  <c r="EG156" i="20"/>
  <c r="CH156" i="20"/>
  <c r="DT87" i="20"/>
  <c r="EG95" i="20"/>
  <c r="EG97" i="20"/>
  <c r="O98" i="20"/>
  <c r="DQ98" i="20"/>
  <c r="O100" i="20"/>
  <c r="EM100" i="20"/>
  <c r="DT102" i="20"/>
  <c r="U105" i="20"/>
  <c r="EG105" i="20" s="1"/>
  <c r="AG113" i="20"/>
  <c r="BI113" i="20"/>
  <c r="BJ113" i="20" s="1"/>
  <c r="AB114" i="20"/>
  <c r="CH114" i="20"/>
  <c r="AG115" i="20"/>
  <c r="BI115" i="20"/>
  <c r="BJ115" i="20" s="1"/>
  <c r="AB116" i="20"/>
  <c r="CH116" i="20"/>
  <c r="AG117" i="20"/>
  <c r="BI117" i="20"/>
  <c r="BJ117" i="20" s="1"/>
  <c r="AB118" i="20"/>
  <c r="BG118" i="20" s="1"/>
  <c r="ET118" i="20"/>
  <c r="ES118" i="20" s="1"/>
  <c r="AC119" i="20"/>
  <c r="AV120" i="20"/>
  <c r="BS120" i="20"/>
  <c r="BU120" i="20" s="1"/>
  <c r="DR120" i="20"/>
  <c r="EM120" i="20"/>
  <c r="AS122" i="20"/>
  <c r="AU122" i="20" s="1"/>
  <c r="AB124" i="20"/>
  <c r="CH124" i="20"/>
  <c r="L125" i="20"/>
  <c r="AO125" i="20" s="1"/>
  <c r="CL125" i="20" s="1"/>
  <c r="CM125" i="20" s="1"/>
  <c r="AC127" i="20"/>
  <c r="AV127" i="20"/>
  <c r="EM127" i="20"/>
  <c r="AB129" i="20"/>
  <c r="CH129" i="20"/>
  <c r="BI130" i="20"/>
  <c r="AB131" i="20"/>
  <c r="CH131" i="20"/>
  <c r="AB133" i="20"/>
  <c r="CH133" i="20"/>
  <c r="DT134" i="20"/>
  <c r="BZ135" i="20"/>
  <c r="EH135" i="20" s="1"/>
  <c r="EJ135" i="20" s="1"/>
  <c r="DR148" i="20"/>
  <c r="BF148" i="20"/>
  <c r="CU148" i="20" s="1"/>
  <c r="P148" i="20"/>
  <c r="S88" i="20"/>
  <c r="AV88" i="20" s="1"/>
  <c r="AV89" i="20"/>
  <c r="AF90" i="20"/>
  <c r="BI90" i="20"/>
  <c r="BJ90" i="20" s="1"/>
  <c r="CN95" i="20"/>
  <c r="CP95" i="20" s="1"/>
  <c r="GH95" i="20"/>
  <c r="AC96" i="20"/>
  <c r="CN97" i="20"/>
  <c r="CP97" i="20" s="1"/>
  <c r="GH97" i="20"/>
  <c r="L99" i="20"/>
  <c r="AO99" i="20" s="1"/>
  <c r="CL99" i="20" s="1"/>
  <c r="CM99" i="20" s="1"/>
  <c r="DQ103" i="20"/>
  <c r="AS105" i="20"/>
  <c r="AS107" i="20"/>
  <c r="AU107" i="20" s="1"/>
  <c r="AS108" i="20"/>
  <c r="AU108" i="20" s="1"/>
  <c r="CH108" i="20"/>
  <c r="AS109" i="20"/>
  <c r="AU109" i="20" s="1"/>
  <c r="AS110" i="20"/>
  <c r="AU110" i="20" s="1"/>
  <c r="AS111" i="20"/>
  <c r="AU111" i="20" s="1"/>
  <c r="CH111" i="20"/>
  <c r="AS112" i="20"/>
  <c r="AU112" i="20" s="1"/>
  <c r="AC114" i="20"/>
  <c r="AV114" i="20"/>
  <c r="BS114" i="20"/>
  <c r="BU114" i="20" s="1"/>
  <c r="AC116" i="20"/>
  <c r="AV116" i="20"/>
  <c r="BS116" i="20"/>
  <c r="BU116" i="20" s="1"/>
  <c r="BI118" i="20"/>
  <c r="BJ118" i="20" s="1"/>
  <c r="DQ119" i="20"/>
  <c r="DT120" i="20"/>
  <c r="AB122" i="20"/>
  <c r="BZ122" i="20"/>
  <c r="EH122" i="20" s="1"/>
  <c r="EJ122" i="20" s="1"/>
  <c r="AS123" i="20"/>
  <c r="AU123" i="20" s="1"/>
  <c r="AC124" i="20"/>
  <c r="AV124" i="20"/>
  <c r="BS124" i="20"/>
  <c r="BU124" i="20" s="1"/>
  <c r="EM124" i="20"/>
  <c r="BZ126" i="20"/>
  <c r="EH126" i="20" s="1"/>
  <c r="EJ126" i="20" s="1"/>
  <c r="AC129" i="20"/>
  <c r="AV129" i="20"/>
  <c r="BS129" i="20"/>
  <c r="BU129" i="20" s="1"/>
  <c r="EM129" i="20"/>
  <c r="AC131" i="20"/>
  <c r="AV131" i="20"/>
  <c r="BS131" i="20"/>
  <c r="BU131" i="20" s="1"/>
  <c r="EM131" i="20"/>
  <c r="AC133" i="20"/>
  <c r="AV133" i="20"/>
  <c r="BS133" i="20"/>
  <c r="BU133" i="20" s="1"/>
  <c r="EM133" i="20"/>
  <c r="AS134" i="20"/>
  <c r="AU134" i="20" s="1"/>
  <c r="AC135" i="20"/>
  <c r="CI135" i="20"/>
  <c r="BZ136" i="20"/>
  <c r="EH136" i="20" s="1"/>
  <c r="EJ136" i="20" s="1"/>
  <c r="BI141" i="20"/>
  <c r="AC142" i="20"/>
  <c r="BF86" i="20"/>
  <c r="CU86" i="20" s="1"/>
  <c r="O87" i="20"/>
  <c r="AF87" i="20"/>
  <c r="DQ91" i="20"/>
  <c r="BF94" i="20"/>
  <c r="CU94" i="20" s="1"/>
  <c r="L95" i="20"/>
  <c r="AO95" i="20" s="1"/>
  <c r="AS95" i="20"/>
  <c r="AT95" i="20" s="1"/>
  <c r="EI95" i="20"/>
  <c r="AV96" i="20"/>
  <c r="L97" i="20"/>
  <c r="AS97" i="20"/>
  <c r="AT97" i="20" s="1"/>
  <c r="EI97" i="20"/>
  <c r="AS99" i="20"/>
  <c r="AU99" i="20" s="1"/>
  <c r="CN104" i="20"/>
  <c r="CP104" i="20" s="1"/>
  <c r="BS108" i="20"/>
  <c r="BT108" i="20" s="1"/>
  <c r="BV108" i="20" s="1"/>
  <c r="BS111" i="20"/>
  <c r="BT111" i="20" s="1"/>
  <c r="BV111" i="20" s="1"/>
  <c r="AS113" i="20"/>
  <c r="AU113" i="20" s="1"/>
  <c r="AS115" i="20"/>
  <c r="AS117" i="20"/>
  <c r="BF119" i="20"/>
  <c r="CU119" i="20" s="1"/>
  <c r="AO121" i="20"/>
  <c r="AC122" i="20"/>
  <c r="DQ122" i="20"/>
  <c r="AB123" i="20"/>
  <c r="BZ123" i="20"/>
  <c r="EH123" i="20" s="1"/>
  <c r="EJ123" i="20" s="1"/>
  <c r="AB126" i="20"/>
  <c r="DQ126" i="20"/>
  <c r="AS130" i="20"/>
  <c r="AU130" i="20" s="1"/>
  <c r="AS132" i="20"/>
  <c r="AU132" i="20" s="1"/>
  <c r="CH134" i="20"/>
  <c r="AB134" i="20"/>
  <c r="EM140" i="20"/>
  <c r="DQ140" i="20"/>
  <c r="CP140" i="20"/>
  <c r="CI141" i="20"/>
  <c r="EM141" i="20"/>
  <c r="BI145" i="20"/>
  <c r="DR152" i="20"/>
  <c r="BF152" i="20"/>
  <c r="CU152" i="20" s="1"/>
  <c r="P152" i="20"/>
  <c r="AV122" i="20"/>
  <c r="DR122" i="20"/>
  <c r="AV134" i="20"/>
  <c r="DT135" i="20"/>
  <c r="DQ135" i="20"/>
  <c r="BM144" i="20"/>
  <c r="BN144" i="20" s="1"/>
  <c r="CW144" i="20" s="1"/>
  <c r="GF144" i="20"/>
  <c r="CH144" i="20"/>
  <c r="EB145" i="20"/>
  <c r="BI147" i="20"/>
  <c r="EG154" i="20"/>
  <c r="CH154" i="20"/>
  <c r="AS87" i="20"/>
  <c r="AU87" i="20" s="1"/>
  <c r="AB88" i="20"/>
  <c r="AG96" i="20"/>
  <c r="EB96" i="20" s="1"/>
  <c r="O99" i="20"/>
  <c r="AV107" i="20"/>
  <c r="AV108" i="20"/>
  <c r="AV111" i="20"/>
  <c r="AV112" i="20"/>
  <c r="AO120" i="20"/>
  <c r="AB121" i="20"/>
  <c r="BS123" i="20"/>
  <c r="BS128" i="20"/>
  <c r="EM134" i="20"/>
  <c r="FB134" i="20"/>
  <c r="FC134" i="20" s="1"/>
  <c r="FD134" i="20" s="1"/>
  <c r="L135" i="20"/>
  <c r="BS135" i="20"/>
  <c r="BU135" i="20" s="1"/>
  <c r="EM135" i="20"/>
  <c r="DT138" i="20"/>
  <c r="DQ141" i="20"/>
  <c r="AS141" i="20"/>
  <c r="DT141" i="20"/>
  <c r="L141" i="20"/>
  <c r="AV141" i="20"/>
  <c r="AC143" i="20"/>
  <c r="AB143" i="20"/>
  <c r="BZ144" i="20"/>
  <c r="EH144" i="20" s="1"/>
  <c r="EJ144" i="20" s="1"/>
  <c r="AB136" i="20"/>
  <c r="AB138" i="20"/>
  <c r="AB140" i="20"/>
  <c r="BM140" i="20"/>
  <c r="BN140" i="20" s="1"/>
  <c r="CW140" i="20" s="1"/>
  <c r="BZ140" i="20"/>
  <c r="EH140" i="20" s="1"/>
  <c r="EJ140" i="20" s="1"/>
  <c r="EB141" i="20"/>
  <c r="GF141" i="20"/>
  <c r="AS143" i="20"/>
  <c r="AU143" i="20" s="1"/>
  <c r="AV144" i="20"/>
  <c r="BS144" i="20"/>
  <c r="CI144" i="20"/>
  <c r="EM144" i="20"/>
  <c r="AB146" i="20"/>
  <c r="BZ146" i="20"/>
  <c r="EH146" i="20" s="1"/>
  <c r="EJ146" i="20" s="1"/>
  <c r="L147" i="20"/>
  <c r="DT147" i="20"/>
  <c r="EB147" i="20"/>
  <c r="GF147" i="20"/>
  <c r="AS148" i="20"/>
  <c r="AU148" i="20" s="1"/>
  <c r="EI148" i="20"/>
  <c r="DT149" i="20"/>
  <c r="AS150" i="20"/>
  <c r="AU150" i="20" s="1"/>
  <c r="EI150" i="20"/>
  <c r="DT151" i="20"/>
  <c r="AB152" i="20"/>
  <c r="AS152" i="20"/>
  <c r="AU152" i="20" s="1"/>
  <c r="EI152" i="20"/>
  <c r="DT153" i="20"/>
  <c r="DQ154" i="20"/>
  <c r="DQ155" i="20"/>
  <c r="DQ156" i="20"/>
  <c r="GF193" i="20"/>
  <c r="BM158" i="20"/>
  <c r="GF158" i="20"/>
  <c r="BM159" i="20"/>
  <c r="GF159" i="20"/>
  <c r="GF160" i="20"/>
  <c r="CI380" i="20"/>
  <c r="BQ163" i="20"/>
  <c r="BF163" i="20"/>
  <c r="BF164" i="20"/>
  <c r="U164" i="20"/>
  <c r="EG164" i="20" s="1"/>
  <c r="AR396" i="20"/>
  <c r="BB396" i="20"/>
  <c r="EC396" i="20" s="1"/>
  <c r="DT297" i="20"/>
  <c r="AS297" i="20"/>
  <c r="O297" i="20"/>
  <c r="AB206" i="20"/>
  <c r="BS138" i="20"/>
  <c r="BU138" i="20" s="1"/>
  <c r="AC146" i="20"/>
  <c r="DQ146" i="20"/>
  <c r="GG147" i="20"/>
  <c r="AC148" i="20"/>
  <c r="AC150" i="20"/>
  <c r="AC152" i="20"/>
  <c r="BF154" i="20"/>
  <c r="BF155" i="20"/>
  <c r="BF156" i="20"/>
  <c r="DQ193" i="20"/>
  <c r="DQ162" i="20"/>
  <c r="U163" i="20"/>
  <c r="AY396" i="20"/>
  <c r="BI298" i="20"/>
  <c r="BZ204" i="20"/>
  <c r="EH204" i="20" s="1"/>
  <c r="EJ204" i="20" s="1"/>
  <c r="EP204" i="20" s="1"/>
  <c r="DQ143" i="20"/>
  <c r="AV146" i="20"/>
  <c r="EM146" i="20"/>
  <c r="BF193" i="20"/>
  <c r="CU193" i="20" s="1"/>
  <c r="AB158" i="20"/>
  <c r="AB159" i="20"/>
  <c r="AB160" i="20"/>
  <c r="AB380" i="20"/>
  <c r="BJ162" i="20"/>
  <c r="AC297" i="20"/>
  <c r="CP299" i="20"/>
  <c r="ET227" i="20"/>
  <c r="ES227" i="20" s="1"/>
  <c r="AG227" i="20"/>
  <c r="BQ227" i="20" s="1"/>
  <c r="AV148" i="20"/>
  <c r="AV150" i="20"/>
  <c r="AV152" i="20"/>
  <c r="AC159" i="20"/>
  <c r="AC160" i="20"/>
  <c r="AC380" i="20"/>
  <c r="AR164" i="20"/>
  <c r="BB164" i="20"/>
  <c r="EC164" i="20" s="1"/>
  <c r="DQ396" i="20"/>
  <c r="AC299" i="20"/>
  <c r="GF299" i="20"/>
  <c r="DQ137" i="20"/>
  <c r="DQ139" i="20"/>
  <c r="DQ142" i="20"/>
  <c r="FG142" i="20" s="1"/>
  <c r="DT143" i="20"/>
  <c r="AC145" i="20"/>
  <c r="CH145" i="20"/>
  <c r="DQ145" i="20"/>
  <c r="AS147" i="20"/>
  <c r="DT148" i="20"/>
  <c r="AB149" i="20"/>
  <c r="AS149" i="20"/>
  <c r="EI149" i="20"/>
  <c r="DT150" i="20"/>
  <c r="AB151" i="20"/>
  <c r="AS151" i="20"/>
  <c r="AT151" i="20" s="1"/>
  <c r="EI151" i="20"/>
  <c r="DT152" i="20"/>
  <c r="AB153" i="20"/>
  <c r="AS153" i="20"/>
  <c r="AU153" i="20" s="1"/>
  <c r="EI153" i="20"/>
  <c r="BZ154" i="20"/>
  <c r="EH154" i="20" s="1"/>
  <c r="EJ154" i="20" s="1"/>
  <c r="BZ155" i="20"/>
  <c r="EH155" i="20" s="1"/>
  <c r="EJ155" i="20" s="1"/>
  <c r="BZ156" i="20"/>
  <c r="EH156" i="20" s="1"/>
  <c r="EJ156" i="20" s="1"/>
  <c r="Q297" i="20"/>
  <c r="EM297" i="20" s="1"/>
  <c r="CI297" i="20"/>
  <c r="CH297" i="20"/>
  <c r="GF298" i="20"/>
  <c r="AB298" i="20"/>
  <c r="CI298" i="20"/>
  <c r="ET177" i="20"/>
  <c r="ES177" i="20" s="1"/>
  <c r="AG177" i="20"/>
  <c r="AV139" i="20"/>
  <c r="BF142" i="20"/>
  <c r="CU142" i="20" s="1"/>
  <c r="EM142" i="20"/>
  <c r="AV145" i="20"/>
  <c r="BS145" i="20"/>
  <c r="BU145" i="20" s="1"/>
  <c r="EM145" i="20"/>
  <c r="BI146" i="20"/>
  <c r="AB147" i="20"/>
  <c r="BZ147" i="20"/>
  <c r="EH147" i="20" s="1"/>
  <c r="EJ147" i="20" s="1"/>
  <c r="O149" i="20"/>
  <c r="AC149" i="20"/>
  <c r="BZ149" i="20"/>
  <c r="EH149" i="20" s="1"/>
  <c r="O151" i="20"/>
  <c r="AC151" i="20"/>
  <c r="BZ151" i="20"/>
  <c r="EH151" i="20" s="1"/>
  <c r="O153" i="20"/>
  <c r="AC153" i="20"/>
  <c r="BZ153" i="20"/>
  <c r="EH153" i="20" s="1"/>
  <c r="P154" i="20"/>
  <c r="P155" i="20"/>
  <c r="P156" i="20"/>
  <c r="P193" i="20"/>
  <c r="BI158" i="20"/>
  <c r="BJ158" i="20" s="1"/>
  <c r="BZ158" i="20"/>
  <c r="EH158" i="20" s="1"/>
  <c r="EJ158" i="20" s="1"/>
  <c r="BI159" i="20"/>
  <c r="BJ159" i="20" s="1"/>
  <c r="BZ159" i="20"/>
  <c r="EH159" i="20" s="1"/>
  <c r="EJ159" i="20" s="1"/>
  <c r="BI160" i="20"/>
  <c r="BJ160" i="20" s="1"/>
  <c r="BZ160" i="20"/>
  <c r="EH160" i="20" s="1"/>
  <c r="EJ160" i="20" s="1"/>
  <c r="BI396" i="20"/>
  <c r="BJ396" i="20" s="1"/>
  <c r="AF396" i="20"/>
  <c r="ET297" i="20"/>
  <c r="ES297" i="20" s="1"/>
  <c r="CI299" i="20"/>
  <c r="Q299" i="20"/>
  <c r="EM299" i="20" s="1"/>
  <c r="CH299" i="20"/>
  <c r="BZ299" i="20"/>
  <c r="EH299" i="20" s="1"/>
  <c r="EJ299" i="20" s="1"/>
  <c r="EP299" i="20" s="1"/>
  <c r="BM206" i="20"/>
  <c r="AC206" i="20"/>
  <c r="GF206" i="20"/>
  <c r="ET182" i="20"/>
  <c r="ES182" i="20" s="1"/>
  <c r="AG182" i="20"/>
  <c r="BQ182" i="20" s="1"/>
  <c r="AB144" i="20"/>
  <c r="L145" i="20"/>
  <c r="CH147" i="20"/>
  <c r="DQ147" i="20"/>
  <c r="AF158" i="20"/>
  <c r="AF159" i="20"/>
  <c r="AF160" i="20"/>
  <c r="AF380" i="20"/>
  <c r="BZ380" i="20"/>
  <c r="EH380" i="20" s="1"/>
  <c r="EJ380" i="20" s="1"/>
  <c r="AB297" i="20"/>
  <c r="GF297" i="20"/>
  <c r="CP298" i="20"/>
  <c r="AB299" i="20"/>
  <c r="AV147" i="20"/>
  <c r="BS147" i="20"/>
  <c r="BU147" i="20" s="1"/>
  <c r="BB380" i="20"/>
  <c r="EC380" i="20" s="1"/>
  <c r="ET163" i="20"/>
  <c r="ES163" i="20" s="1"/>
  <c r="U396" i="20"/>
  <c r="P396" i="20"/>
  <c r="AC204" i="20"/>
  <c r="GF204" i="20"/>
  <c r="CI204" i="20"/>
  <c r="Q204" i="20"/>
  <c r="CH206" i="20"/>
  <c r="Q206" i="20"/>
  <c r="EM206" i="20" s="1"/>
  <c r="BZ206" i="20"/>
  <c r="EH206" i="20" s="1"/>
  <c r="EJ206" i="20" s="1"/>
  <c r="EP206" i="20" s="1"/>
  <c r="GG206" i="20"/>
  <c r="BF217" i="20"/>
  <c r="CU217" i="20" s="1"/>
  <c r="DQ217" i="20"/>
  <c r="P217" i="20"/>
  <c r="BI202" i="20"/>
  <c r="BJ202" i="20" s="1"/>
  <c r="BZ202" i="20"/>
  <c r="EH202" i="20" s="1"/>
  <c r="EJ202" i="20" s="1"/>
  <c r="O178" i="20"/>
  <c r="BI178" i="20"/>
  <c r="BZ178" i="20"/>
  <c r="EH178" i="20" s="1"/>
  <c r="EJ178" i="20" s="1"/>
  <c r="AU182" i="20"/>
  <c r="AB183" i="20"/>
  <c r="GF183" i="20"/>
  <c r="Q170" i="20"/>
  <c r="EM170" i="20" s="1"/>
  <c r="CI170" i="20"/>
  <c r="DT170" i="20"/>
  <c r="AA171" i="20"/>
  <c r="GF171" i="20"/>
  <c r="Q172" i="20"/>
  <c r="AS172" i="20"/>
  <c r="AR172" i="20" s="1"/>
  <c r="CH172" i="20"/>
  <c r="O217" i="20"/>
  <c r="BI217" i="20"/>
  <c r="BJ217" i="20" s="1"/>
  <c r="BZ217" i="20"/>
  <c r="EH217" i="20" s="1"/>
  <c r="EJ217" i="20" s="1"/>
  <c r="EP217" i="20" s="1"/>
  <c r="AU227" i="20"/>
  <c r="AB215" i="20"/>
  <c r="AB175" i="20"/>
  <c r="GF175" i="20"/>
  <c r="Q176" i="20"/>
  <c r="EM176" i="20" s="1"/>
  <c r="CI176" i="20"/>
  <c r="DT176" i="20"/>
  <c r="AA165" i="20"/>
  <c r="BQ165" i="20"/>
  <c r="GF165" i="20"/>
  <c r="Q166" i="20"/>
  <c r="AS166" i="20"/>
  <c r="AR166" i="20" s="1"/>
  <c r="CH166" i="20"/>
  <c r="O168" i="20"/>
  <c r="AC168" i="20"/>
  <c r="AS451" i="20"/>
  <c r="L453" i="20"/>
  <c r="U453" i="20" s="1"/>
  <c r="T453" i="20" s="1"/>
  <c r="AA453" i="20"/>
  <c r="AU453" i="20"/>
  <c r="EM453" i="20"/>
  <c r="AS453" i="20"/>
  <c r="DT453" i="20"/>
  <c r="BM454" i="20"/>
  <c r="AC454" i="20"/>
  <c r="DT454" i="20"/>
  <c r="L421" i="20"/>
  <c r="AO421" i="20" s="1"/>
  <c r="CL421" i="20" s="1"/>
  <c r="CM421" i="20" s="1"/>
  <c r="AA421" i="20"/>
  <c r="DT421" i="20"/>
  <c r="CP421" i="20"/>
  <c r="EM421" i="20"/>
  <c r="EB434" i="20"/>
  <c r="CP221" i="20"/>
  <c r="AA299" i="20"/>
  <c r="AA206" i="20"/>
  <c r="AS202" i="20"/>
  <c r="AR202" i="20" s="1"/>
  <c r="AS178" i="20"/>
  <c r="AR178" i="20" s="1"/>
  <c r="GG183" i="20"/>
  <c r="CI172" i="20"/>
  <c r="DT172" i="20"/>
  <c r="AA173" i="20"/>
  <c r="AS217" i="20"/>
  <c r="AR217" i="20" s="1"/>
  <c r="CH217" i="20"/>
  <c r="BZ215" i="20"/>
  <c r="EH215" i="20" s="1"/>
  <c r="EJ215" i="20" s="1"/>
  <c r="GG175" i="20"/>
  <c r="CI166" i="20"/>
  <c r="AA167" i="20"/>
  <c r="BF167" i="20"/>
  <c r="CU167" i="20" s="1"/>
  <c r="BI168" i="20"/>
  <c r="CI161" i="20"/>
  <c r="Q161" i="20"/>
  <c r="BZ161" i="20"/>
  <c r="EH161" i="20" s="1"/>
  <c r="EJ161" i="20" s="1"/>
  <c r="EP161" i="20" s="1"/>
  <c r="AF456" i="20"/>
  <c r="CP449" i="20"/>
  <c r="AF430" i="20"/>
  <c r="BI430" i="20"/>
  <c r="DT202" i="20"/>
  <c r="AA177" i="20"/>
  <c r="DT178" i="20"/>
  <c r="AA182" i="20"/>
  <c r="BZ183" i="20"/>
  <c r="EH183" i="20" s="1"/>
  <c r="EJ183" i="20" s="1"/>
  <c r="EP183" i="20" s="1"/>
  <c r="AB173" i="20"/>
  <c r="GF173" i="20"/>
  <c r="DT217" i="20"/>
  <c r="AA227" i="20"/>
  <c r="CH215" i="20"/>
  <c r="BZ175" i="20"/>
  <c r="EH175" i="20" s="1"/>
  <c r="EJ175" i="20" s="1"/>
  <c r="EP175" i="20" s="1"/>
  <c r="GF167" i="20"/>
  <c r="DT449" i="20"/>
  <c r="EM449" i="20"/>
  <c r="AS449" i="20"/>
  <c r="O449" i="20"/>
  <c r="L449" i="20"/>
  <c r="AA449" i="20"/>
  <c r="AC453" i="20"/>
  <c r="W453" i="20"/>
  <c r="BM453" i="20"/>
  <c r="AC421" i="20"/>
  <c r="GF421" i="20"/>
  <c r="W421" i="20"/>
  <c r="EM429" i="20"/>
  <c r="AC429" i="20"/>
  <c r="GF429" i="20"/>
  <c r="AU431" i="20"/>
  <c r="DT431" i="20"/>
  <c r="EM431" i="20"/>
  <c r="AS431" i="20"/>
  <c r="O431" i="20"/>
  <c r="L431" i="20"/>
  <c r="AA431" i="20"/>
  <c r="ET392" i="20"/>
  <c r="ES392" i="20" s="1"/>
  <c r="AG392" i="20"/>
  <c r="O299" i="20"/>
  <c r="O206" i="20"/>
  <c r="AF202" i="20"/>
  <c r="AU202" i="20"/>
  <c r="L177" i="20"/>
  <c r="AB177" i="20"/>
  <c r="AF178" i="20"/>
  <c r="AU178" i="20"/>
  <c r="L182" i="20"/>
  <c r="AB182" i="20"/>
  <c r="Q183" i="20"/>
  <c r="EM183" i="20" s="1"/>
  <c r="AS183" i="20"/>
  <c r="AR183" i="20" s="1"/>
  <c r="CH183" i="20"/>
  <c r="AS171" i="20"/>
  <c r="AR171" i="20" s="1"/>
  <c r="O173" i="20"/>
  <c r="AC173" i="20"/>
  <c r="GG173" i="20"/>
  <c r="AF217" i="20"/>
  <c r="AU217" i="20"/>
  <c r="L227" i="20"/>
  <c r="AB227" i="20"/>
  <c r="Q215" i="20"/>
  <c r="EM215" i="20" s="1"/>
  <c r="DT215" i="20"/>
  <c r="AA174" i="20"/>
  <c r="Q175" i="20"/>
  <c r="EM175" i="20" s="1"/>
  <c r="AS175" i="20"/>
  <c r="AR175" i="20" s="1"/>
  <c r="CH175" i="20"/>
  <c r="AS165" i="20"/>
  <c r="AR165" i="20" s="1"/>
  <c r="O167" i="20"/>
  <c r="AC167" i="20"/>
  <c r="AF168" i="20"/>
  <c r="CI169" i="20"/>
  <c r="Q169" i="20"/>
  <c r="EM169" i="20" s="1"/>
  <c r="ET157" i="20"/>
  <c r="ES157" i="20" s="1"/>
  <c r="AG157" i="20"/>
  <c r="BQ157" i="20" s="1"/>
  <c r="AC449" i="20"/>
  <c r="GF449" i="20"/>
  <c r="AF450" i="20"/>
  <c r="BI452" i="20"/>
  <c r="AU421" i="20"/>
  <c r="W429" i="20"/>
  <c r="V429" i="20" s="1"/>
  <c r="DT222" i="20"/>
  <c r="EM222" i="20"/>
  <c r="AV222" i="20"/>
  <c r="O222" i="20"/>
  <c r="AU222" i="20"/>
  <c r="L222" i="20"/>
  <c r="AO222" i="20" s="1"/>
  <c r="AS222" i="20"/>
  <c r="AR222" i="20" s="1"/>
  <c r="BZ396" i="20"/>
  <c r="EH396" i="20" s="1"/>
  <c r="EJ396" i="20" s="1"/>
  <c r="AA298" i="20"/>
  <c r="AS299" i="20"/>
  <c r="AR299" i="20" s="1"/>
  <c r="O177" i="20"/>
  <c r="BI177" i="20"/>
  <c r="BZ177" i="20"/>
  <c r="EH177" i="20" s="1"/>
  <c r="EJ177" i="20" s="1"/>
  <c r="EP177" i="20" s="1"/>
  <c r="O182" i="20"/>
  <c r="GG182" i="20"/>
  <c r="AA170" i="20"/>
  <c r="GF170" i="20"/>
  <c r="Q171" i="20"/>
  <c r="EM171" i="20" s="1"/>
  <c r="CI171" i="20"/>
  <c r="DT171" i="20"/>
  <c r="O227" i="20"/>
  <c r="GG227" i="20"/>
  <c r="AB174" i="20"/>
  <c r="AA176" i="20"/>
  <c r="GF176" i="20"/>
  <c r="Q165" i="20"/>
  <c r="CI165" i="20"/>
  <c r="P167" i="20"/>
  <c r="BN167" i="20" s="1"/>
  <c r="CW167" i="20" s="1"/>
  <c r="BZ167" i="20"/>
  <c r="EH167" i="20" s="1"/>
  <c r="EJ167" i="20" s="1"/>
  <c r="AU168" i="20"/>
  <c r="AB169" i="20"/>
  <c r="DT435" i="20"/>
  <c r="L435" i="20"/>
  <c r="AO435" i="20" s="1"/>
  <c r="CL435" i="20" s="1"/>
  <c r="CM435" i="20" s="1"/>
  <c r="AA435" i="20"/>
  <c r="AU449" i="20"/>
  <c r="AG221" i="20"/>
  <c r="BQ221" i="20" s="1"/>
  <c r="ET221" i="20"/>
  <c r="ES221" i="20" s="1"/>
  <c r="DT299" i="20"/>
  <c r="AA204" i="20"/>
  <c r="AS206" i="20"/>
  <c r="AR206" i="20" s="1"/>
  <c r="AS177" i="20"/>
  <c r="AR177" i="20" s="1"/>
  <c r="BI182" i="20"/>
  <c r="BZ182" i="20"/>
  <c r="EH182" i="20" s="1"/>
  <c r="EJ182" i="20" s="1"/>
  <c r="EP182" i="20" s="1"/>
  <c r="L170" i="20"/>
  <c r="AO170" i="20" s="1"/>
  <c r="CL170" i="20" s="1"/>
  <c r="CM170" i="20" s="1"/>
  <c r="AB172" i="20"/>
  <c r="Q173" i="20"/>
  <c r="AS173" i="20"/>
  <c r="AR173" i="20" s="1"/>
  <c r="CH173" i="20"/>
  <c r="BI227" i="20"/>
  <c r="BZ227" i="20"/>
  <c r="EH227" i="20" s="1"/>
  <c r="EJ227" i="20" s="1"/>
  <c r="BZ174" i="20"/>
  <c r="EH174" i="20" s="1"/>
  <c r="EJ174" i="20" s="1"/>
  <c r="AB166" i="20"/>
  <c r="Q167" i="20"/>
  <c r="AS167" i="20"/>
  <c r="AR167" i="20" s="1"/>
  <c r="CH167" i="20"/>
  <c r="AC169" i="20"/>
  <c r="GF157" i="20"/>
  <c r="AC157" i="20"/>
  <c r="CH157" i="20"/>
  <c r="ET161" i="20"/>
  <c r="ES161" i="20" s="1"/>
  <c r="AG161" i="20"/>
  <c r="CP455" i="20"/>
  <c r="AF436" i="20"/>
  <c r="AA451" i="20"/>
  <c r="AU451" i="20"/>
  <c r="DT451" i="20"/>
  <c r="L451" i="20"/>
  <c r="AO451" i="20" s="1"/>
  <c r="CL451" i="20" s="1"/>
  <c r="CM451" i="20" s="1"/>
  <c r="GF453" i="20"/>
  <c r="CP431" i="20"/>
  <c r="AA202" i="20"/>
  <c r="DT177" i="20"/>
  <c r="AA178" i="20"/>
  <c r="AS182" i="20"/>
  <c r="AR182" i="20" s="1"/>
  <c r="CI173" i="20"/>
  <c r="AA217" i="20"/>
  <c r="AS227" i="20"/>
  <c r="AR227" i="20" s="1"/>
  <c r="CH174" i="20"/>
  <c r="CI167" i="20"/>
  <c r="AA168" i="20"/>
  <c r="AC435" i="20"/>
  <c r="GF435" i="20"/>
  <c r="CI218" i="20"/>
  <c r="CH218" i="20"/>
  <c r="BZ218" i="20"/>
  <c r="EH218" i="20" s="1"/>
  <c r="EJ218" i="20" s="1"/>
  <c r="AB218" i="20"/>
  <c r="BZ267" i="20"/>
  <c r="EH267" i="20" s="1"/>
  <c r="EJ267" i="20" s="1"/>
  <c r="CI267" i="20"/>
  <c r="AT267" i="20"/>
  <c r="CH267" i="20"/>
  <c r="AB267" i="20"/>
  <c r="BG267" i="20" s="1"/>
  <c r="AB396" i="20"/>
  <c r="AS170" i="20"/>
  <c r="AR170" i="20" s="1"/>
  <c r="AB217" i="20"/>
  <c r="Q174" i="20"/>
  <c r="EM174" i="20" s="1"/>
  <c r="AS176" i="20"/>
  <c r="AR176" i="20" s="1"/>
  <c r="L168" i="20"/>
  <c r="AB168" i="20"/>
  <c r="BZ169" i="20"/>
  <c r="EH169" i="20" s="1"/>
  <c r="EJ169" i="20" s="1"/>
  <c r="CI157" i="20"/>
  <c r="Q157" i="20"/>
  <c r="EM157" i="20" s="1"/>
  <c r="BZ157" i="20"/>
  <c r="EH157" i="20" s="1"/>
  <c r="EJ157" i="20" s="1"/>
  <c r="AC161" i="20"/>
  <c r="GF161" i="20"/>
  <c r="CH161" i="20"/>
  <c r="BI455" i="20"/>
  <c r="AF455" i="20"/>
  <c r="W435" i="20"/>
  <c r="AU454" i="20"/>
  <c r="EM454" i="20"/>
  <c r="AS454" i="20"/>
  <c r="O454" i="20"/>
  <c r="L454" i="20"/>
  <c r="AA454" i="20"/>
  <c r="ET310" i="20"/>
  <c r="ES310" i="20" s="1"/>
  <c r="AG310" i="20"/>
  <c r="AU450" i="20"/>
  <c r="AC451" i="20"/>
  <c r="GF431" i="20"/>
  <c r="AF432" i="20"/>
  <c r="AU432" i="20"/>
  <c r="L433" i="20"/>
  <c r="BJ433" i="20" s="1"/>
  <c r="AC433" i="20"/>
  <c r="AU434" i="20"/>
  <c r="BM434" i="20"/>
  <c r="L391" i="20"/>
  <c r="AO391" i="20" s="1"/>
  <c r="CL391" i="20" s="1"/>
  <c r="CM391" i="20" s="1"/>
  <c r="AC391" i="20"/>
  <c r="AG218" i="20"/>
  <c r="DT218" i="20"/>
  <c r="L220" i="20"/>
  <c r="AU220" i="20"/>
  <c r="CH222" i="20"/>
  <c r="AF223" i="20"/>
  <c r="EM225" i="20"/>
  <c r="AV225" i="20"/>
  <c r="AT225" i="20"/>
  <c r="L225" i="20"/>
  <c r="DT225" i="20"/>
  <c r="AV309" i="20"/>
  <c r="DT309" i="20"/>
  <c r="AT309" i="20"/>
  <c r="L309" i="20"/>
  <c r="AO309" i="20" s="1"/>
  <c r="AA169" i="20"/>
  <c r="DT157" i="20"/>
  <c r="AA161" i="20"/>
  <c r="O456" i="20"/>
  <c r="AS456" i="20"/>
  <c r="EM456" i="20"/>
  <c r="O422" i="20"/>
  <c r="AS422" i="20"/>
  <c r="EM422" i="20"/>
  <c r="AA429" i="20"/>
  <c r="AC431" i="20"/>
  <c r="W432" i="20"/>
  <c r="AS433" i="20"/>
  <c r="EM433" i="20"/>
  <c r="AA434" i="20"/>
  <c r="DT391" i="20"/>
  <c r="AT219" i="20"/>
  <c r="DT220" i="20"/>
  <c r="AB221" i="20"/>
  <c r="BI221" i="20"/>
  <c r="BZ221" i="20"/>
  <c r="EH221" i="20" s="1"/>
  <c r="EJ221" i="20" s="1"/>
  <c r="EP221" i="20" s="1"/>
  <c r="GG223" i="20"/>
  <c r="GI223" i="20" s="1"/>
  <c r="AT224" i="20"/>
  <c r="L224" i="20"/>
  <c r="AU224" i="20"/>
  <c r="AV308" i="20"/>
  <c r="DT308" i="20"/>
  <c r="AT308" i="20"/>
  <c r="L308" i="20"/>
  <c r="AO308" i="20" s="1"/>
  <c r="GG308" i="20" s="1"/>
  <c r="GI308" i="20" s="1"/>
  <c r="DA308" i="20" s="1"/>
  <c r="EM308" i="20"/>
  <c r="AV382" i="20"/>
  <c r="DT382" i="20"/>
  <c r="AT382" i="20"/>
  <c r="L382" i="20"/>
  <c r="AO382" i="20" s="1"/>
  <c r="GG382" i="20" s="1"/>
  <c r="GI382" i="20" s="1"/>
  <c r="DA382" i="20" s="1"/>
  <c r="AG382" i="20"/>
  <c r="ET382" i="20"/>
  <c r="ES382" i="20" s="1"/>
  <c r="ET387" i="20"/>
  <c r="ES387" i="20" s="1"/>
  <c r="AG387" i="20"/>
  <c r="ET383" i="20"/>
  <c r="ES383" i="20" s="1"/>
  <c r="AG383" i="20"/>
  <c r="BQ383" i="20" s="1"/>
  <c r="ET304" i="20"/>
  <c r="ES304" i="20" s="1"/>
  <c r="AG304" i="20"/>
  <c r="AG311" i="20"/>
  <c r="ET311" i="20"/>
  <c r="ES311" i="20" s="1"/>
  <c r="DT433" i="20"/>
  <c r="GF434" i="20"/>
  <c r="AU391" i="20"/>
  <c r="BI392" i="20"/>
  <c r="AS221" i="20"/>
  <c r="AR221" i="20" s="1"/>
  <c r="CH221" i="20"/>
  <c r="AS309" i="20"/>
  <c r="AR309" i="20" s="1"/>
  <c r="CP300" i="20"/>
  <c r="AF422" i="20"/>
  <c r="L429" i="20"/>
  <c r="AO429" i="20" s="1"/>
  <c r="CL429" i="20" s="1"/>
  <c r="CM429" i="20" s="1"/>
  <c r="AU433" i="20"/>
  <c r="L434" i="20"/>
  <c r="AS218" i="20"/>
  <c r="AT221" i="20"/>
  <c r="CI221" i="20"/>
  <c r="CP225" i="20"/>
  <c r="CI308" i="20"/>
  <c r="AB308" i="20"/>
  <c r="BG308" i="20" s="1"/>
  <c r="CP229" i="20"/>
  <c r="CI310" i="20"/>
  <c r="AT310" i="20"/>
  <c r="CH310" i="20"/>
  <c r="GG310" i="20"/>
  <c r="GI310" i="20" s="1"/>
  <c r="DA310" i="20" s="1"/>
  <c r="BZ310" i="20"/>
  <c r="EH310" i="20" s="1"/>
  <c r="EJ310" i="20" s="1"/>
  <c r="EO310" i="20" s="1"/>
  <c r="AV433" i="20"/>
  <c r="AT218" i="20"/>
  <c r="CI224" i="20"/>
  <c r="BZ224" i="20"/>
  <c r="EH224" i="20" s="1"/>
  <c r="EJ224" i="20" s="1"/>
  <c r="EP224" i="20" s="1"/>
  <c r="DT300" i="20"/>
  <c r="AT300" i="20"/>
  <c r="L300" i="20"/>
  <c r="AV300" i="20"/>
  <c r="AU300" i="20"/>
  <c r="O300" i="20"/>
  <c r="O450" i="20"/>
  <c r="AS450" i="20"/>
  <c r="EM450" i="20"/>
  <c r="O432" i="20"/>
  <c r="AS432" i="20"/>
  <c r="EM432" i="20"/>
  <c r="AS434" i="20"/>
  <c r="EM434" i="20"/>
  <c r="L218" i="20"/>
  <c r="AO218" i="20" s="1"/>
  <c r="AS220" i="20"/>
  <c r="AR220" i="20" s="1"/>
  <c r="O221" i="20"/>
  <c r="AV221" i="20"/>
  <c r="EM223" i="20"/>
  <c r="AS223" i="20"/>
  <c r="AR223" i="20" s="1"/>
  <c r="CH223" i="20"/>
  <c r="CJ223" i="20" s="1"/>
  <c r="CH224" i="20"/>
  <c r="DT224" i="20"/>
  <c r="GG224" i="20"/>
  <c r="GI224" i="20" s="1"/>
  <c r="AU308" i="20"/>
  <c r="EM309" i="20"/>
  <c r="AT229" i="20"/>
  <c r="L229" i="20"/>
  <c r="DT229" i="20"/>
  <c r="EM229" i="20"/>
  <c r="AV229" i="20"/>
  <c r="AU229" i="20"/>
  <c r="O229" i="20"/>
  <c r="AU382" i="20"/>
  <c r="AB310" i="20"/>
  <c r="AF233" i="20"/>
  <c r="BI233" i="20"/>
  <c r="CP267" i="20"/>
  <c r="EB181" i="20"/>
  <c r="BQ181" i="20"/>
  <c r="AB224" i="20"/>
  <c r="BG224" i="20" s="1"/>
  <c r="BI310" i="20"/>
  <c r="AS267" i="20"/>
  <c r="AR267" i="20" s="1"/>
  <c r="EM267" i="20"/>
  <c r="AB235" i="20"/>
  <c r="BZ235" i="20"/>
  <c r="EH235" i="20" s="1"/>
  <c r="EJ235" i="20" s="1"/>
  <c r="EP235" i="20" s="1"/>
  <c r="AU236" i="20"/>
  <c r="BI387" i="20"/>
  <c r="BZ387" i="20"/>
  <c r="EH387" i="20" s="1"/>
  <c r="EJ387" i="20" s="1"/>
  <c r="EO387" i="20" s="1"/>
  <c r="AV384" i="20"/>
  <c r="L303" i="20"/>
  <c r="AO303" i="20" s="1"/>
  <c r="AT303" i="20"/>
  <c r="CI303" i="20"/>
  <c r="DT303" i="20"/>
  <c r="BI304" i="20"/>
  <c r="BZ304" i="20"/>
  <c r="EH304" i="20" s="1"/>
  <c r="EJ304" i="20" s="1"/>
  <c r="EO304" i="20" s="1"/>
  <c r="O197" i="20"/>
  <c r="AF197" i="20"/>
  <c r="AU197" i="20"/>
  <c r="AS388" i="20"/>
  <c r="AR388" i="20" s="1"/>
  <c r="CH388" i="20"/>
  <c r="EM388" i="20"/>
  <c r="AB305" i="20"/>
  <c r="BG305" i="20" s="1"/>
  <c r="O301" i="20"/>
  <c r="AU301" i="20"/>
  <c r="AT249" i="20"/>
  <c r="CI249" i="20"/>
  <c r="CJ249" i="20" s="1"/>
  <c r="BM181" i="20"/>
  <c r="BZ190" i="20"/>
  <c r="EH190" i="20" s="1"/>
  <c r="EJ190" i="20" s="1"/>
  <c r="GG190" i="20"/>
  <c r="P180" i="20"/>
  <c r="L230" i="20"/>
  <c r="AO230" i="20" s="1"/>
  <c r="CK230" i="20" s="1"/>
  <c r="DT230" i="20"/>
  <c r="O230" i="20"/>
  <c r="GH286" i="20"/>
  <c r="CL286" i="20"/>
  <c r="CM286" i="20" s="1"/>
  <c r="BM286" i="20"/>
  <c r="BA271" i="20"/>
  <c r="L349" i="20"/>
  <c r="BJ349" i="20" s="1"/>
  <c r="AS349" i="20"/>
  <c r="O349" i="20"/>
  <c r="L354" i="20"/>
  <c r="BJ354" i="20" s="1"/>
  <c r="DT354" i="20"/>
  <c r="AU354" i="20"/>
  <c r="AS354" i="20"/>
  <c r="O354" i="20"/>
  <c r="GG229" i="20"/>
  <c r="GI229" i="20" s="1"/>
  <c r="CH235" i="20"/>
  <c r="AS387" i="20"/>
  <c r="AR387" i="20" s="1"/>
  <c r="EM387" i="20"/>
  <c r="AS304" i="20"/>
  <c r="AR304" i="20" s="1"/>
  <c r="EM304" i="20"/>
  <c r="AV197" i="20"/>
  <c r="AT388" i="20"/>
  <c r="CI388" i="20"/>
  <c r="BZ305" i="20"/>
  <c r="EH305" i="20" s="1"/>
  <c r="EJ305" i="20" s="1"/>
  <c r="EP305" i="20" s="1"/>
  <c r="AV301" i="20"/>
  <c r="ET181" i="20"/>
  <c r="ES181" i="20" s="1"/>
  <c r="BF190" i="20"/>
  <c r="CU190" i="20" s="1"/>
  <c r="DQ190" i="20"/>
  <c r="BM180" i="20"/>
  <c r="EM180" i="20"/>
  <c r="AC180" i="20"/>
  <c r="BZ180" i="20"/>
  <c r="EH180" i="20" s="1"/>
  <c r="EJ180" i="20" s="1"/>
  <c r="AB180" i="20"/>
  <c r="GF180" i="20"/>
  <c r="BA230" i="20"/>
  <c r="AU230" i="20"/>
  <c r="GH274" i="20"/>
  <c r="CL274" i="20"/>
  <c r="CM274" i="20" s="1"/>
  <c r="BM274" i="20"/>
  <c r="W350" i="20"/>
  <c r="EM350" i="20"/>
  <c r="AT235" i="20"/>
  <c r="CI235" i="20"/>
  <c r="L387" i="20"/>
  <c r="AO387" i="20" s="1"/>
  <c r="AT387" i="20"/>
  <c r="DT387" i="20"/>
  <c r="BI383" i="20"/>
  <c r="AG303" i="20"/>
  <c r="L304" i="20"/>
  <c r="AO304" i="20" s="1"/>
  <c r="AT304" i="20"/>
  <c r="DT304" i="20"/>
  <c r="AS305" i="20"/>
  <c r="AR305" i="20" s="1"/>
  <c r="CH305" i="20"/>
  <c r="EM305" i="20"/>
  <c r="AF249" i="20"/>
  <c r="AF190" i="20"/>
  <c r="BI190" i="20"/>
  <c r="BJ190" i="20" s="1"/>
  <c r="AF179" i="20"/>
  <c r="BI179" i="20"/>
  <c r="BJ179" i="20" s="1"/>
  <c r="BJ180" i="20"/>
  <c r="AV230" i="20"/>
  <c r="GH278" i="20"/>
  <c r="CL278" i="20"/>
  <c r="CM278" i="20" s="1"/>
  <c r="BM278" i="20"/>
  <c r="CP350" i="20"/>
  <c r="BA268" i="20"/>
  <c r="AU268" i="20"/>
  <c r="BZ225" i="20"/>
  <c r="EH225" i="20" s="1"/>
  <c r="EJ225" i="20" s="1"/>
  <c r="EO225" i="20" s="1"/>
  <c r="BZ309" i="20"/>
  <c r="EH309" i="20" s="1"/>
  <c r="EJ309" i="20" s="1"/>
  <c r="EP309" i="20" s="1"/>
  <c r="BZ382" i="20"/>
  <c r="EH382" i="20" s="1"/>
  <c r="EJ382" i="20" s="1"/>
  <c r="AT233" i="20"/>
  <c r="CI233" i="20"/>
  <c r="L235" i="20"/>
  <c r="AU235" i="20"/>
  <c r="AS237" i="20"/>
  <c r="AR237" i="20" s="1"/>
  <c r="O387" i="20"/>
  <c r="AS383" i="20"/>
  <c r="AR383" i="20" s="1"/>
  <c r="EM383" i="20"/>
  <c r="AB384" i="20"/>
  <c r="O304" i="20"/>
  <c r="BI311" i="20"/>
  <c r="BZ311" i="20"/>
  <c r="EH311" i="20" s="1"/>
  <c r="EJ311" i="20" s="1"/>
  <c r="EP311" i="20" s="1"/>
  <c r="GG311" i="20"/>
  <c r="GI311" i="20" s="1"/>
  <c r="DA311" i="20" s="1"/>
  <c r="L305" i="20"/>
  <c r="AO305" i="20" s="1"/>
  <c r="AT305" i="20"/>
  <c r="DT305" i="20"/>
  <c r="BZ312" i="20"/>
  <c r="EH312" i="20" s="1"/>
  <c r="EJ312" i="20" s="1"/>
  <c r="DT249" i="20"/>
  <c r="AB389" i="20"/>
  <c r="P190" i="20"/>
  <c r="DQ179" i="20"/>
  <c r="W230" i="20"/>
  <c r="AS230" i="20"/>
  <c r="EI286" i="20"/>
  <c r="W349" i="20"/>
  <c r="EM349" i="20"/>
  <c r="L269" i="20"/>
  <c r="AV269" i="20"/>
  <c r="DT269" i="20"/>
  <c r="O269" i="20"/>
  <c r="AS269" i="20"/>
  <c r="AT237" i="20"/>
  <c r="AS312" i="20"/>
  <c r="AR312" i="20" s="1"/>
  <c r="EM312" i="20"/>
  <c r="EM275" i="20"/>
  <c r="BA275" i="20"/>
  <c r="DT275" i="20"/>
  <c r="AU275" i="20"/>
  <c r="L372" i="20"/>
  <c r="BJ372" i="20" s="1"/>
  <c r="DT372" i="20"/>
  <c r="AU372" i="20"/>
  <c r="AS372" i="20"/>
  <c r="O372" i="20"/>
  <c r="CI225" i="20"/>
  <c r="BZ229" i="20"/>
  <c r="EH229" i="20" s="1"/>
  <c r="EJ229" i="20" s="1"/>
  <c r="EP229" i="20" s="1"/>
  <c r="BZ300" i="20"/>
  <c r="EH300" i="20" s="1"/>
  <c r="EJ300" i="20" s="1"/>
  <c r="EO300" i="20" s="1"/>
  <c r="AV233" i="20"/>
  <c r="EM233" i="20"/>
  <c r="AB236" i="20"/>
  <c r="BG236" i="20" s="1"/>
  <c r="BZ236" i="20"/>
  <c r="EH236" i="20" s="1"/>
  <c r="EJ236" i="20" s="1"/>
  <c r="EO236" i="20" s="1"/>
  <c r="L237" i="20"/>
  <c r="AO237" i="20" s="1"/>
  <c r="AU237" i="20"/>
  <c r="O383" i="20"/>
  <c r="AS384" i="20"/>
  <c r="AR384" i="20" s="1"/>
  <c r="O311" i="20"/>
  <c r="AT311" i="20"/>
  <c r="DT311" i="20"/>
  <c r="BZ197" i="20"/>
  <c r="EH197" i="20" s="1"/>
  <c r="EJ197" i="20" s="1"/>
  <c r="EO197" i="20" s="1"/>
  <c r="AG305" i="20"/>
  <c r="BQ305" i="20" s="1"/>
  <c r="L312" i="20"/>
  <c r="AO312" i="20" s="1"/>
  <c r="GG312" i="20" s="1"/>
  <c r="GI312" i="20" s="1"/>
  <c r="DA312" i="20" s="1"/>
  <c r="AT312" i="20"/>
  <c r="DT312" i="20"/>
  <c r="BZ301" i="20"/>
  <c r="EH301" i="20" s="1"/>
  <c r="EJ301" i="20" s="1"/>
  <c r="EO301" i="20" s="1"/>
  <c r="AS389" i="20"/>
  <c r="AR389" i="20" s="1"/>
  <c r="EM389" i="20"/>
  <c r="BI181" i="20"/>
  <c r="BJ181" i="20" s="1"/>
  <c r="BZ181" i="20"/>
  <c r="EH181" i="20" s="1"/>
  <c r="EJ181" i="20" s="1"/>
  <c r="U190" i="20"/>
  <c r="EG190" i="20" s="1"/>
  <c r="AV179" i="20"/>
  <c r="EM179" i="20"/>
  <c r="AB179" i="20"/>
  <c r="GF179" i="20"/>
  <c r="AV228" i="20"/>
  <c r="DT228" i="20"/>
  <c r="O228" i="20"/>
  <c r="AS228" i="20"/>
  <c r="EG230" i="20"/>
  <c r="EM286" i="20"/>
  <c r="BA286" i="20"/>
  <c r="DT286" i="20"/>
  <c r="AU286" i="20"/>
  <c r="EI278" i="20"/>
  <c r="AU349" i="20"/>
  <c r="O237" i="20"/>
  <c r="AV237" i="20"/>
  <c r="EM237" i="20"/>
  <c r="AS197" i="20"/>
  <c r="AR197" i="20" s="1"/>
  <c r="EM197" i="20"/>
  <c r="AB388" i="20"/>
  <c r="O312" i="20"/>
  <c r="AU312" i="20"/>
  <c r="AS301" i="20"/>
  <c r="AR301" i="20" s="1"/>
  <c r="EM301" i="20"/>
  <c r="AB249" i="20"/>
  <c r="BZ249" i="20"/>
  <c r="EH249" i="20" s="1"/>
  <c r="EJ249" i="20" s="1"/>
  <c r="EP249" i="20" s="1"/>
  <c r="DQ180" i="20"/>
  <c r="U180" i="20"/>
  <c r="EG180" i="20" s="1"/>
  <c r="EM274" i="20"/>
  <c r="BA274" i="20"/>
  <c r="DT274" i="20"/>
  <c r="AU274" i="20"/>
  <c r="L350" i="20"/>
  <c r="BJ350" i="20" s="1"/>
  <c r="DT350" i="20"/>
  <c r="AS350" i="20"/>
  <c r="O350" i="20"/>
  <c r="AS303" i="20"/>
  <c r="AR303" i="20" s="1"/>
  <c r="L197" i="20"/>
  <c r="AO197" i="20" s="1"/>
  <c r="GG197" i="20" s="1"/>
  <c r="GI197" i="20" s="1"/>
  <c r="DA197" i="20" s="1"/>
  <c r="AT197" i="20"/>
  <c r="DT197" i="20"/>
  <c r="BZ388" i="20"/>
  <c r="EH388" i="20" s="1"/>
  <c r="EJ388" i="20" s="1"/>
  <c r="L301" i="20"/>
  <c r="AO301" i="20" s="1"/>
  <c r="GG301" i="20" s="1"/>
  <c r="GI301" i="20" s="1"/>
  <c r="DA301" i="20" s="1"/>
  <c r="AT301" i="20"/>
  <c r="DT301" i="20"/>
  <c r="O389" i="20"/>
  <c r="AT181" i="20"/>
  <c r="CI181" i="20"/>
  <c r="AB190" i="20"/>
  <c r="AT190" i="20"/>
  <c r="CI179" i="20"/>
  <c r="AT179" i="20"/>
  <c r="GG179" i="20"/>
  <c r="BZ179" i="20"/>
  <c r="EH179" i="20" s="1"/>
  <c r="EJ179" i="20" s="1"/>
  <c r="CU180" i="20"/>
  <c r="AU228" i="20"/>
  <c r="CP228" i="20"/>
  <c r="CN230" i="20"/>
  <c r="CP230" i="20" s="1"/>
  <c r="GH275" i="20"/>
  <c r="CL275" i="20"/>
  <c r="CM275" i="20" s="1"/>
  <c r="BM275" i="20"/>
  <c r="EM278" i="20"/>
  <c r="BA278" i="20"/>
  <c r="DT278" i="20"/>
  <c r="AU278" i="20"/>
  <c r="EM273" i="20"/>
  <c r="W273" i="20"/>
  <c r="AC230" i="20"/>
  <c r="AF275" i="20"/>
  <c r="ET275" i="20" s="1"/>
  <c r="ES275" i="20" s="1"/>
  <c r="AF286" i="20"/>
  <c r="ET286" i="20" s="1"/>
  <c r="ES286" i="20" s="1"/>
  <c r="AF274" i="20"/>
  <c r="AF278" i="20"/>
  <c r="ET278" i="20" s="1"/>
  <c r="ES278" i="20" s="1"/>
  <c r="AF271" i="20"/>
  <c r="ET271" i="20" s="1"/>
  <c r="ES271" i="20" s="1"/>
  <c r="CN273" i="20"/>
  <c r="CP273" i="20" s="1"/>
  <c r="EI273" i="20"/>
  <c r="EI349" i="20"/>
  <c r="EI350" i="20"/>
  <c r="EI372" i="20"/>
  <c r="EI354" i="20"/>
  <c r="O268" i="20"/>
  <c r="AC268" i="20"/>
  <c r="DT268" i="20"/>
  <c r="AU366" i="20"/>
  <c r="BM366" i="20"/>
  <c r="DT366" i="20"/>
  <c r="AU376" i="20"/>
  <c r="BM376" i="20"/>
  <c r="DT376" i="20"/>
  <c r="AU369" i="20"/>
  <c r="BM369" i="20"/>
  <c r="DT369" i="20"/>
  <c r="AU368" i="20"/>
  <c r="BM368" i="20"/>
  <c r="DT368" i="20"/>
  <c r="CL332" i="20"/>
  <c r="CM332" i="20" s="1"/>
  <c r="CN315" i="20"/>
  <c r="CP315" i="20" s="1"/>
  <c r="EI315" i="20"/>
  <c r="AU318" i="20"/>
  <c r="BA318" i="20"/>
  <c r="EI318" i="20"/>
  <c r="CL318" i="20"/>
  <c r="CM318" i="20" s="1"/>
  <c r="GH318" i="20"/>
  <c r="L314" i="20"/>
  <c r="DT314" i="20"/>
  <c r="AU314" i="20"/>
  <c r="O314" i="20"/>
  <c r="AS314" i="20"/>
  <c r="BA333" i="20"/>
  <c r="DT333" i="20"/>
  <c r="AU333" i="20"/>
  <c r="EI319" i="20"/>
  <c r="CL319" i="20"/>
  <c r="CM319" i="20" s="1"/>
  <c r="GH319" i="20"/>
  <c r="CN321" i="20"/>
  <c r="CP321" i="20" s="1"/>
  <c r="AV321" i="20"/>
  <c r="AC190" i="20"/>
  <c r="GH228" i="20"/>
  <c r="AV275" i="20"/>
  <c r="AV286" i="20"/>
  <c r="AV274" i="20"/>
  <c r="AV278" i="20"/>
  <c r="L273" i="20"/>
  <c r="AO273" i="20" s="1"/>
  <c r="CK273" i="20" s="1"/>
  <c r="GF273" i="20"/>
  <c r="EM269" i="20"/>
  <c r="GH269" i="20"/>
  <c r="AV268" i="20"/>
  <c r="AV366" i="20"/>
  <c r="AV376" i="20"/>
  <c r="AV369" i="20"/>
  <c r="AV368" i="20"/>
  <c r="L332" i="20"/>
  <c r="W332" i="20"/>
  <c r="L315" i="20"/>
  <c r="W315" i="20"/>
  <c r="CN318" i="20"/>
  <c r="CP318" i="20" s="1"/>
  <c r="AV318" i="20"/>
  <c r="CL333" i="20"/>
  <c r="CM333" i="20" s="1"/>
  <c r="BM333" i="20"/>
  <c r="W321" i="20"/>
  <c r="EM321" i="20"/>
  <c r="EI321" i="20"/>
  <c r="AG325" i="20"/>
  <c r="AS273" i="20"/>
  <c r="AC354" i="20"/>
  <c r="AF268" i="20"/>
  <c r="ET268" i="20" s="1"/>
  <c r="ES268" i="20" s="1"/>
  <c r="CL366" i="20"/>
  <c r="CM366" i="20" s="1"/>
  <c r="CL376" i="20"/>
  <c r="CM376" i="20" s="1"/>
  <c r="CL369" i="20"/>
  <c r="CM369" i="20" s="1"/>
  <c r="CL368" i="20"/>
  <c r="CM368" i="20" s="1"/>
  <c r="CN316" i="20"/>
  <c r="CP316" i="20" s="1"/>
  <c r="EI316" i="20"/>
  <c r="CN332" i="20"/>
  <c r="CP332" i="20" s="1"/>
  <c r="O318" i="20"/>
  <c r="AS318" i="20"/>
  <c r="AV314" i="20"/>
  <c r="AC321" i="20"/>
  <c r="CK321" i="20"/>
  <c r="AC331" i="20"/>
  <c r="GF331" i="20"/>
  <c r="CP346" i="20"/>
  <c r="W271" i="20"/>
  <c r="GH273" i="20"/>
  <c r="EM372" i="20"/>
  <c r="EM354" i="20"/>
  <c r="W366" i="20"/>
  <c r="BA316" i="20"/>
  <c r="GH315" i="20"/>
  <c r="CP317" i="20"/>
  <c r="EG321" i="20"/>
  <c r="AU321" i="20"/>
  <c r="EI366" i="20"/>
  <c r="EI376" i="20"/>
  <c r="EI369" i="20"/>
  <c r="EI368" i="20"/>
  <c r="BI341" i="20"/>
  <c r="AF341" i="20"/>
  <c r="ET262" i="20"/>
  <c r="ES262" i="20" s="1"/>
  <c r="AG262" i="20"/>
  <c r="AV273" i="20"/>
  <c r="AV349" i="20"/>
  <c r="AV350" i="20"/>
  <c r="AV372" i="20"/>
  <c r="AV354" i="20"/>
  <c r="L268" i="20"/>
  <c r="AO268" i="20" s="1"/>
  <c r="CK268" i="20" s="1"/>
  <c r="W268" i="20"/>
  <c r="GF268" i="20"/>
  <c r="GH316" i="20"/>
  <c r="GH332" i="20"/>
  <c r="AV315" i="20"/>
  <c r="BM318" i="20"/>
  <c r="GF318" i="20"/>
  <c r="EM314" i="20"/>
  <c r="EM333" i="20"/>
  <c r="CN337" i="20"/>
  <c r="CP337" i="20" s="1"/>
  <c r="AV337" i="20"/>
  <c r="AC325" i="20"/>
  <c r="GF325" i="20"/>
  <c r="BM325" i="20"/>
  <c r="AU316" i="20"/>
  <c r="DT316" i="20"/>
  <c r="DT318" i="20"/>
  <c r="AF319" i="20"/>
  <c r="BI319" i="20"/>
  <c r="W337" i="20"/>
  <c r="EM337" i="20"/>
  <c r="AV316" i="20"/>
  <c r="AV332" i="20"/>
  <c r="L318" i="20"/>
  <c r="W318" i="20"/>
  <c r="BI333" i="20"/>
  <c r="AF333" i="20"/>
  <c r="AU319" i="20"/>
  <c r="BA319" i="20"/>
  <c r="BM321" i="20"/>
  <c r="DT321" i="20"/>
  <c r="AC337" i="20"/>
  <c r="CK337" i="20"/>
  <c r="CO325" i="20"/>
  <c r="BA324" i="20"/>
  <c r="BI324" i="20"/>
  <c r="GF324" i="20"/>
  <c r="CN320" i="20"/>
  <c r="CP320" i="20" s="1"/>
  <c r="EI320" i="20"/>
  <c r="O333" i="20"/>
  <c r="AC333" i="20"/>
  <c r="AS333" i="20"/>
  <c r="O319" i="20"/>
  <c r="AC319" i="20"/>
  <c r="GF319" i="20"/>
  <c r="GH317" i="20"/>
  <c r="GH321" i="20"/>
  <c r="GH337" i="20"/>
  <c r="AS327" i="20"/>
  <c r="O341" i="20"/>
  <c r="AC341" i="20"/>
  <c r="AU341" i="20"/>
  <c r="DT341" i="20"/>
  <c r="AU325" i="20"/>
  <c r="DT325" i="20"/>
  <c r="CL326" i="20"/>
  <c r="CM326" i="20" s="1"/>
  <c r="CN329" i="20"/>
  <c r="CP329" i="20" s="1"/>
  <c r="EI329" i="20"/>
  <c r="CN338" i="20"/>
  <c r="CP338" i="20" s="1"/>
  <c r="AS330" i="20"/>
  <c r="O346" i="20"/>
  <c r="AC346" i="20"/>
  <c r="AS346" i="20"/>
  <c r="O307" i="20"/>
  <c r="AC307" i="20"/>
  <c r="AU307" i="20"/>
  <c r="DT307" i="20"/>
  <c r="CN302" i="20"/>
  <c r="CP302" i="20" s="1"/>
  <c r="EI302" i="20"/>
  <c r="W263" i="20"/>
  <c r="BA263" i="20"/>
  <c r="BA375" i="20"/>
  <c r="EI375" i="20"/>
  <c r="W381" i="20"/>
  <c r="DT313" i="20"/>
  <c r="AU313" i="20"/>
  <c r="BA313" i="20"/>
  <c r="CN257" i="20"/>
  <c r="CP257" i="20" s="1"/>
  <c r="AV257" i="20"/>
  <c r="AG257" i="20"/>
  <c r="GH257" i="20"/>
  <c r="EI257" i="20"/>
  <c r="CL257" i="20"/>
  <c r="EM330" i="20"/>
  <c r="GH330" i="20"/>
  <c r="CN375" i="20"/>
  <c r="CP375" i="20" s="1"/>
  <c r="AV375" i="20"/>
  <c r="DT362" i="20"/>
  <c r="BM381" i="20"/>
  <c r="GF381" i="20"/>
  <c r="CL381" i="20"/>
  <c r="CM381" i="20" s="1"/>
  <c r="GH381" i="20"/>
  <c r="AV306" i="20"/>
  <c r="CN306" i="20"/>
  <c r="CP306" i="20" s="1"/>
  <c r="DT256" i="20"/>
  <c r="AU256" i="20"/>
  <c r="O256" i="20"/>
  <c r="AS256" i="20"/>
  <c r="L256" i="20"/>
  <c r="AO256" i="20" s="1"/>
  <c r="CK256" i="20" s="1"/>
  <c r="CK257" i="20"/>
  <c r="EM324" i="20"/>
  <c r="GH324" i="20"/>
  <c r="AS320" i="20"/>
  <c r="AC314" i="20"/>
  <c r="EM319" i="20"/>
  <c r="AV317" i="20"/>
  <c r="AU327" i="20"/>
  <c r="BM327" i="20"/>
  <c r="DT327" i="20"/>
  <c r="CL325" i="20"/>
  <c r="CM325" i="20" s="1"/>
  <c r="CN331" i="20"/>
  <c r="CP331" i="20" s="1"/>
  <c r="EI331" i="20"/>
  <c r="EI326" i="20"/>
  <c r="O338" i="20"/>
  <c r="AC338" i="20"/>
  <c r="AS338" i="20"/>
  <c r="O330" i="20"/>
  <c r="AC330" i="20"/>
  <c r="AU330" i="20"/>
  <c r="DT330" i="20"/>
  <c r="AF346" i="20"/>
  <c r="AU346" i="20"/>
  <c r="BM346" i="20"/>
  <c r="DT346" i="20"/>
  <c r="AF307" i="20"/>
  <c r="CN262" i="20"/>
  <c r="CP262" i="20" s="1"/>
  <c r="EI262" i="20"/>
  <c r="O375" i="20"/>
  <c r="AC375" i="20"/>
  <c r="AS375" i="20"/>
  <c r="L276" i="20"/>
  <c r="AS276" i="20"/>
  <c r="L362" i="20"/>
  <c r="AS362" i="20"/>
  <c r="L292" i="20"/>
  <c r="DT292" i="20"/>
  <c r="AS292" i="20"/>
  <c r="O292" i="20"/>
  <c r="EM306" i="20"/>
  <c r="AF256" i="20"/>
  <c r="ET256" i="20" s="1"/>
  <c r="ES256" i="20" s="1"/>
  <c r="BI256" i="20"/>
  <c r="AC255" i="20"/>
  <c r="BM257" i="20"/>
  <c r="L264" i="20"/>
  <c r="DT264" i="20"/>
  <c r="EM264" i="20"/>
  <c r="AS264" i="20"/>
  <c r="O264" i="20"/>
  <c r="AU324" i="20"/>
  <c r="DT324" i="20"/>
  <c r="BM319" i="20"/>
  <c r="DT319" i="20"/>
  <c r="AF317" i="20"/>
  <c r="ET317" i="20" s="1"/>
  <c r="ES317" i="20" s="1"/>
  <c r="CL321" i="20"/>
  <c r="CL337" i="20"/>
  <c r="AV327" i="20"/>
  <c r="L325" i="20"/>
  <c r="W325" i="20"/>
  <c r="V325" i="20" s="1"/>
  <c r="L331" i="20"/>
  <c r="W331" i="20"/>
  <c r="GH329" i="20"/>
  <c r="EM338" i="20"/>
  <c r="GH338" i="20"/>
  <c r="AV330" i="20"/>
  <c r="L262" i="20"/>
  <c r="AO262" i="20" s="1"/>
  <c r="CK262" i="20" s="1"/>
  <c r="W262" i="20"/>
  <c r="GF262" i="20"/>
  <c r="O263" i="20"/>
  <c r="AC263" i="20"/>
  <c r="AU263" i="20"/>
  <c r="DT263" i="20"/>
  <c r="GH263" i="20"/>
  <c r="AU375" i="20"/>
  <c r="BM375" i="20"/>
  <c r="AU276" i="20"/>
  <c r="DT276" i="20"/>
  <c r="AU362" i="20"/>
  <c r="EI381" i="20"/>
  <c r="DT390" i="20"/>
  <c r="AU390" i="20"/>
  <c r="BA390" i="20"/>
  <c r="BM306" i="20"/>
  <c r="GF255" i="20"/>
  <c r="AG324" i="20"/>
  <c r="AV324" i="20"/>
  <c r="DT320" i="20"/>
  <c r="AV319" i="20"/>
  <c r="L321" i="20"/>
  <c r="L337" i="20"/>
  <c r="L327" i="20"/>
  <c r="BJ327" i="20" s="1"/>
  <c r="EI341" i="20"/>
  <c r="CN325" i="20"/>
  <c r="EI325" i="20"/>
  <c r="AS331" i="20"/>
  <c r="O326" i="20"/>
  <c r="AC326" i="20"/>
  <c r="O329" i="20"/>
  <c r="AC329" i="20"/>
  <c r="AU329" i="20"/>
  <c r="AU338" i="20"/>
  <c r="DT338" i="20"/>
  <c r="AF330" i="20"/>
  <c r="ET330" i="20" s="1"/>
  <c r="ES330" i="20" s="1"/>
  <c r="CL346" i="20"/>
  <c r="CM346" i="20" s="1"/>
  <c r="AS262" i="20"/>
  <c r="O302" i="20"/>
  <c r="AC302" i="20"/>
  <c r="AU302" i="20"/>
  <c r="GH302" i="20"/>
  <c r="AV263" i="20"/>
  <c r="EM375" i="20"/>
  <c r="CN292" i="20"/>
  <c r="CP292" i="20" s="1"/>
  <c r="AV292" i="20"/>
  <c r="AG292" i="20"/>
  <c r="BI292" i="20"/>
  <c r="DQ381" i="20"/>
  <c r="AC381" i="20"/>
  <c r="AV381" i="20"/>
  <c r="BM313" i="20"/>
  <c r="GF313" i="20"/>
  <c r="CL313" i="20"/>
  <c r="CM313" i="20" s="1"/>
  <c r="GH313" i="20"/>
  <c r="EG306" i="20"/>
  <c r="CL306" i="20"/>
  <c r="DT306" i="20"/>
  <c r="AV256" i="20"/>
  <c r="CN264" i="20"/>
  <c r="CP264" i="20" s="1"/>
  <c r="CL264" i="20"/>
  <c r="AV264" i="20"/>
  <c r="EI264" i="20"/>
  <c r="W341" i="20"/>
  <c r="V341" i="20" s="1"/>
  <c r="BA341" i="20"/>
  <c r="GF341" i="20"/>
  <c r="GH331" i="20"/>
  <c r="AG338" i="20"/>
  <c r="AV338" i="20"/>
  <c r="W307" i="20"/>
  <c r="BA307" i="20"/>
  <c r="GF307" i="20"/>
  <c r="GH262" i="20"/>
  <c r="EG263" i="20"/>
  <c r="O276" i="20"/>
  <c r="O362" i="20"/>
  <c r="DT381" i="20"/>
  <c r="AU381" i="20"/>
  <c r="BA381" i="20"/>
  <c r="W306" i="20"/>
  <c r="V306" i="20" s="1"/>
  <c r="CK306" i="20"/>
  <c r="EM256" i="20"/>
  <c r="CK264" i="20"/>
  <c r="CN327" i="20"/>
  <c r="CP327" i="20" s="1"/>
  <c r="EI327" i="20"/>
  <c r="CN330" i="20"/>
  <c r="CP330" i="20" s="1"/>
  <c r="EI330" i="20"/>
  <c r="AC262" i="20"/>
  <c r="EM276" i="20"/>
  <c r="EM362" i="20"/>
  <c r="AU306" i="20"/>
  <c r="BA255" i="20"/>
  <c r="DT255" i="20"/>
  <c r="AU255" i="20"/>
  <c r="L257" i="20"/>
  <c r="DT257" i="20"/>
  <c r="EM257" i="20"/>
  <c r="AS257" i="20"/>
  <c r="O257" i="20"/>
  <c r="CP260" i="20"/>
  <c r="O321" i="20"/>
  <c r="O337" i="20"/>
  <c r="AC327" i="20"/>
  <c r="AV331" i="20"/>
  <c r="AV326" i="20"/>
  <c r="AV262" i="20"/>
  <c r="CN263" i="20"/>
  <c r="CP263" i="20" s="1"/>
  <c r="L375" i="20"/>
  <c r="W375" i="20"/>
  <c r="BM292" i="20"/>
  <c r="AC313" i="20"/>
  <c r="AV313" i="20"/>
  <c r="BM390" i="20"/>
  <c r="CL390" i="20"/>
  <c r="CM390" i="20" s="1"/>
  <c r="GH390" i="20"/>
  <c r="GH306" i="20"/>
  <c r="EG264" i="20"/>
  <c r="GH375" i="20"/>
  <c r="GH276" i="20"/>
  <c r="AC292" i="20"/>
  <c r="GF292" i="20"/>
  <c r="EI306" i="20"/>
  <c r="W256" i="20"/>
  <c r="BA256" i="20"/>
  <c r="EM255" i="20"/>
  <c r="AC257" i="20"/>
  <c r="AC264" i="20"/>
  <c r="GF264" i="20"/>
  <c r="EM261" i="20"/>
  <c r="GH261" i="20"/>
  <c r="AV258" i="20"/>
  <c r="AF253" i="20"/>
  <c r="AU253" i="20"/>
  <c r="BM253" i="20"/>
  <c r="DT253" i="20"/>
  <c r="AF260" i="20"/>
  <c r="AU260" i="20"/>
  <c r="BM260" i="20"/>
  <c r="DT260" i="20"/>
  <c r="GH260" i="20"/>
  <c r="AV259" i="20"/>
  <c r="AV250" i="20"/>
  <c r="CK250" i="20"/>
  <c r="AU251" i="20"/>
  <c r="BM251" i="20"/>
  <c r="DT251" i="20"/>
  <c r="GH251" i="20"/>
  <c r="AV356" i="20"/>
  <c r="GH356" i="20"/>
  <c r="CN343" i="20"/>
  <c r="CP343" i="20" s="1"/>
  <c r="EI343" i="20"/>
  <c r="CL393" i="20"/>
  <c r="GH393" i="20"/>
  <c r="AV395" i="20"/>
  <c r="AU420" i="20"/>
  <c r="DT420" i="20"/>
  <c r="AU418" i="20"/>
  <c r="BA418" i="20"/>
  <c r="GF361" i="20"/>
  <c r="CL347" i="20"/>
  <c r="CM347" i="20" s="1"/>
  <c r="GH347" i="20"/>
  <c r="EM254" i="20"/>
  <c r="DT254" i="20"/>
  <c r="BA254" i="20"/>
  <c r="CL246" i="20"/>
  <c r="GH246" i="20"/>
  <c r="EI246" i="20"/>
  <c r="AC261" i="20"/>
  <c r="AU261" i="20"/>
  <c r="DT261" i="20"/>
  <c r="AV253" i="20"/>
  <c r="AV260" i="20"/>
  <c r="CN266" i="20"/>
  <c r="CP266" i="20" s="1"/>
  <c r="EI266" i="20"/>
  <c r="W250" i="20"/>
  <c r="CL250" i="20"/>
  <c r="EG250" i="20"/>
  <c r="AV251" i="20"/>
  <c r="CK251" i="20"/>
  <c r="AC353" i="20"/>
  <c r="EG343" i="20"/>
  <c r="EM394" i="20"/>
  <c r="W393" i="20"/>
  <c r="AV420" i="20"/>
  <c r="AG420" i="20"/>
  <c r="O419" i="20"/>
  <c r="ET348" i="20"/>
  <c r="ES348" i="20" s="1"/>
  <c r="AG348" i="20"/>
  <c r="AV276" i="20"/>
  <c r="AV362" i="20"/>
  <c r="AU292" i="20"/>
  <c r="GH292" i="20"/>
  <c r="EM381" i="20"/>
  <c r="EM313" i="20"/>
  <c r="EM390" i="20"/>
  <c r="O306" i="20"/>
  <c r="AC306" i="20"/>
  <c r="AS306" i="20"/>
  <c r="GH256" i="20"/>
  <c r="AV255" i="20"/>
  <c r="AU257" i="20"/>
  <c r="AU264" i="20"/>
  <c r="GH264" i="20"/>
  <c r="AV261" i="20"/>
  <c r="CL253" i="20"/>
  <c r="CM253" i="20" s="1"/>
  <c r="CL260" i="20"/>
  <c r="CM260" i="20" s="1"/>
  <c r="AG259" i="20"/>
  <c r="L266" i="20"/>
  <c r="AO266" i="20" s="1"/>
  <c r="CK266" i="20" s="1"/>
  <c r="W266" i="20"/>
  <c r="BA266" i="20"/>
  <c r="L251" i="20"/>
  <c r="BJ251" i="20" s="1"/>
  <c r="W251" i="20"/>
  <c r="L343" i="20"/>
  <c r="AO343" i="20" s="1"/>
  <c r="CK343" i="20" s="1"/>
  <c r="EM343" i="20"/>
  <c r="AU394" i="20"/>
  <c r="AV393" i="20"/>
  <c r="DT395" i="20"/>
  <c r="AU395" i="20"/>
  <c r="EM420" i="20"/>
  <c r="L419" i="20"/>
  <c r="AS419" i="20"/>
  <c r="DT419" i="20"/>
  <c r="DT371" i="20"/>
  <c r="AU371" i="20"/>
  <c r="AS371" i="20"/>
  <c r="O371" i="20"/>
  <c r="L371" i="20"/>
  <c r="BJ371" i="20" s="1"/>
  <c r="W253" i="20"/>
  <c r="V253" i="20" s="1"/>
  <c r="W260" i="20"/>
  <c r="AS266" i="20"/>
  <c r="CN250" i="20"/>
  <c r="CP250" i="20" s="1"/>
  <c r="DT356" i="20"/>
  <c r="W353" i="20"/>
  <c r="AU343" i="20"/>
  <c r="AG395" i="20"/>
  <c r="GF420" i="20"/>
  <c r="AC420" i="20"/>
  <c r="BM418" i="20"/>
  <c r="AF419" i="20"/>
  <c r="BI419" i="20"/>
  <c r="AU419" i="20"/>
  <c r="BA351" i="20"/>
  <c r="AU351" i="20"/>
  <c r="EM242" i="20"/>
  <c r="W242" i="20"/>
  <c r="GF293" i="20"/>
  <c r="AC293" i="20"/>
  <c r="EM293" i="20"/>
  <c r="BM293" i="20"/>
  <c r="EI253" i="20"/>
  <c r="AC250" i="20"/>
  <c r="GF250" i="20"/>
  <c r="CN251" i="20"/>
  <c r="CP251" i="20" s="1"/>
  <c r="EI251" i="20"/>
  <c r="CP356" i="20"/>
  <c r="AV343" i="20"/>
  <c r="GH343" i="20"/>
  <c r="DT393" i="20"/>
  <c r="AU393" i="20"/>
  <c r="EM348" i="20"/>
  <c r="W348" i="20"/>
  <c r="CN276" i="20"/>
  <c r="CP276" i="20" s="1"/>
  <c r="CN362" i="20"/>
  <c r="CP362" i="20" s="1"/>
  <c r="CN255" i="20"/>
  <c r="CP255" i="20" s="1"/>
  <c r="EI255" i="20"/>
  <c r="CN261" i="20"/>
  <c r="CP261" i="20" s="1"/>
  <c r="EI261" i="20"/>
  <c r="AS258" i="20"/>
  <c r="GF258" i="20"/>
  <c r="BA253" i="20"/>
  <c r="GF253" i="20"/>
  <c r="BA260" i="20"/>
  <c r="AS259" i="20"/>
  <c r="O266" i="20"/>
  <c r="AC266" i="20"/>
  <c r="DT266" i="20"/>
  <c r="GH266" i="20"/>
  <c r="AS250" i="20"/>
  <c r="O251" i="20"/>
  <c r="AC251" i="20"/>
  <c r="AS356" i="20"/>
  <c r="AU353" i="20"/>
  <c r="GF353" i="20"/>
  <c r="O343" i="20"/>
  <c r="BI343" i="20"/>
  <c r="CK394" i="20"/>
  <c r="BA393" i="20"/>
  <c r="BM395" i="20"/>
  <c r="AC395" i="20"/>
  <c r="W420" i="20"/>
  <c r="V420" i="20" s="1"/>
  <c r="CK420" i="20"/>
  <c r="CL420" i="20"/>
  <c r="EG420" i="20"/>
  <c r="O253" i="20"/>
  <c r="AC260" i="20"/>
  <c r="AV266" i="20"/>
  <c r="O353" i="20"/>
  <c r="EI353" i="20"/>
  <c r="CN353" i="20"/>
  <c r="CP353" i="20" s="1"/>
  <c r="BA394" i="20"/>
  <c r="DT394" i="20"/>
  <c r="EM393" i="20"/>
  <c r="CK393" i="20"/>
  <c r="EG395" i="20"/>
  <c r="CL395" i="20"/>
  <c r="CM395" i="20" s="1"/>
  <c r="GH395" i="20"/>
  <c r="CN395" i="20"/>
  <c r="CP395" i="20" s="1"/>
  <c r="O420" i="20"/>
  <c r="DT418" i="20"/>
  <c r="AS418" i="20"/>
  <c r="O418" i="20"/>
  <c r="CL418" i="20"/>
  <c r="CM418" i="20" s="1"/>
  <c r="EM419" i="20"/>
  <c r="AV367" i="20"/>
  <c r="DT367" i="20"/>
  <c r="O367" i="20"/>
  <c r="AS367" i="20"/>
  <c r="L367" i="20"/>
  <c r="BF347" i="20"/>
  <c r="CU347" i="20" s="1"/>
  <c r="DQ347" i="20"/>
  <c r="P347" i="20"/>
  <c r="CP347" i="20"/>
  <c r="DT285" i="20"/>
  <c r="AU285" i="20"/>
  <c r="EM285" i="20"/>
  <c r="BA285" i="20"/>
  <c r="AG343" i="20"/>
  <c r="DT343" i="20"/>
  <c r="CL394" i="20"/>
  <c r="GH394" i="20"/>
  <c r="CP394" i="20"/>
  <c r="EI394" i="20"/>
  <c r="BM393" i="20"/>
  <c r="AC393" i="20"/>
  <c r="EI420" i="20"/>
  <c r="GH418" i="20"/>
  <c r="GF419" i="20"/>
  <c r="AC419" i="20"/>
  <c r="EM361" i="20"/>
  <c r="W361" i="20"/>
  <c r="AU347" i="20"/>
  <c r="BA347" i="20"/>
  <c r="W371" i="20"/>
  <c r="EM351" i="20"/>
  <c r="GH351" i="20"/>
  <c r="EM359" i="20"/>
  <c r="GH359" i="20"/>
  <c r="AV348" i="20"/>
  <c r="EI254" i="20"/>
  <c r="CN254" i="20"/>
  <c r="CP254" i="20" s="1"/>
  <c r="AG254" i="20"/>
  <c r="AV254" i="20"/>
  <c r="AC242" i="20"/>
  <c r="GF242" i="20"/>
  <c r="DT245" i="20"/>
  <c r="O245" i="20"/>
  <c r="EM245" i="20"/>
  <c r="AS245" i="20"/>
  <c r="EG246" i="20"/>
  <c r="CK246" i="20"/>
  <c r="EI285" i="20"/>
  <c r="CN285" i="20"/>
  <c r="CP285" i="20" s="1"/>
  <c r="AV285" i="20"/>
  <c r="AC285" i="20"/>
  <c r="O285" i="20"/>
  <c r="EI277" i="20"/>
  <c r="CN277" i="20"/>
  <c r="CP277" i="20" s="1"/>
  <c r="EG277" i="20"/>
  <c r="AV277" i="20"/>
  <c r="DT277" i="20"/>
  <c r="EM287" i="20"/>
  <c r="W287" i="20"/>
  <c r="V287" i="20" s="1"/>
  <c r="ET373" i="20"/>
  <c r="ES373" i="20" s="1"/>
  <c r="AG373" i="20"/>
  <c r="AV374" i="20"/>
  <c r="AG374" i="20"/>
  <c r="CN374" i="20"/>
  <c r="CP374" i="20" s="1"/>
  <c r="O374" i="20"/>
  <c r="AC374" i="20"/>
  <c r="EI371" i="20"/>
  <c r="O347" i="20"/>
  <c r="AC347" i="20"/>
  <c r="AS347" i="20"/>
  <c r="O351" i="20"/>
  <c r="AC351" i="20"/>
  <c r="DT351" i="20"/>
  <c r="AF359" i="20"/>
  <c r="ET359" i="20" s="1"/>
  <c r="ES359" i="20" s="1"/>
  <c r="AU359" i="20"/>
  <c r="BM359" i="20"/>
  <c r="DT359" i="20"/>
  <c r="AF352" i="20"/>
  <c r="ET352" i="20" s="1"/>
  <c r="ES352" i="20" s="1"/>
  <c r="GF348" i="20"/>
  <c r="O254" i="20"/>
  <c r="AC254" i="20"/>
  <c r="AF252" i="20"/>
  <c r="EM265" i="20"/>
  <c r="L245" i="20"/>
  <c r="W246" i="20"/>
  <c r="V246" i="20" s="1"/>
  <c r="O277" i="20"/>
  <c r="GH277" i="20"/>
  <c r="DQ294" i="20"/>
  <c r="P294" i="20"/>
  <c r="BF294" i="20"/>
  <c r="CU294" i="20" s="1"/>
  <c r="DT373" i="20"/>
  <c r="O373" i="20"/>
  <c r="EM373" i="20"/>
  <c r="AS373" i="20"/>
  <c r="L373" i="20"/>
  <c r="BI363" i="20"/>
  <c r="AF363" i="20"/>
  <c r="O394" i="20"/>
  <c r="O393" i="20"/>
  <c r="O395" i="20"/>
  <c r="BI420" i="20"/>
  <c r="CN418" i="20"/>
  <c r="CP418" i="20" s="1"/>
  <c r="L361" i="20"/>
  <c r="GH367" i="20"/>
  <c r="EM347" i="20"/>
  <c r="AV351" i="20"/>
  <c r="AV359" i="20"/>
  <c r="L348" i="20"/>
  <c r="ES254" i="20"/>
  <c r="EI241" i="20"/>
  <c r="CN241" i="20"/>
  <c r="CP241" i="20" s="1"/>
  <c r="EG241" i="20"/>
  <c r="AC241" i="20"/>
  <c r="BM265" i="20"/>
  <c r="AC265" i="20"/>
  <c r="GF265" i="20"/>
  <c r="EI296" i="20"/>
  <c r="CN296" i="20"/>
  <c r="CP296" i="20" s="1"/>
  <c r="EG296" i="20"/>
  <c r="AC296" i="20"/>
  <c r="W277" i="20"/>
  <c r="AS279" i="20"/>
  <c r="O279" i="20"/>
  <c r="L279" i="20"/>
  <c r="AG279" i="20"/>
  <c r="EI378" i="20"/>
  <c r="CN378" i="20"/>
  <c r="CP378" i="20" s="1"/>
  <c r="EG378" i="20"/>
  <c r="AV378" i="20"/>
  <c r="GH378" i="20"/>
  <c r="AC378" i="20"/>
  <c r="O378" i="20"/>
  <c r="AU355" i="20"/>
  <c r="BA355" i="20"/>
  <c r="EI374" i="20"/>
  <c r="CN419" i="20"/>
  <c r="CP419" i="20" s="1"/>
  <c r="AS361" i="20"/>
  <c r="BM347" i="20"/>
  <c r="DT347" i="20"/>
  <c r="CL359" i="20"/>
  <c r="CM359" i="20" s="1"/>
  <c r="EI348" i="20"/>
  <c r="BI242" i="20"/>
  <c r="DQ246" i="20"/>
  <c r="P246" i="20"/>
  <c r="ES246" i="20"/>
  <c r="EG285" i="20"/>
  <c r="BI296" i="20"/>
  <c r="AF296" i="20"/>
  <c r="ET296" i="20" s="1"/>
  <c r="ES296" i="20" s="1"/>
  <c r="ET282" i="20"/>
  <c r="ES282" i="20" s="1"/>
  <c r="AG282" i="20"/>
  <c r="EM282" i="20"/>
  <c r="AU277" i="20"/>
  <c r="EM277" i="20"/>
  <c r="W295" i="20"/>
  <c r="V295" i="20" s="1"/>
  <c r="EM295" i="20"/>
  <c r="AU288" i="20"/>
  <c r="BA288" i="20"/>
  <c r="W364" i="20"/>
  <c r="EM364" i="20"/>
  <c r="GH361" i="20"/>
  <c r="AG347" i="20"/>
  <c r="AV347" i="20"/>
  <c r="L352" i="20"/>
  <c r="W352" i="20"/>
  <c r="BA352" i="20"/>
  <c r="CO348" i="20"/>
  <c r="AF241" i="20"/>
  <c r="ET241" i="20" s="1"/>
  <c r="ES241" i="20" s="1"/>
  <c r="EM241" i="20"/>
  <c r="W252" i="20"/>
  <c r="AF242" i="20"/>
  <c r="AU246" i="20"/>
  <c r="EM246" i="20"/>
  <c r="BA246" i="20"/>
  <c r="BI287" i="20"/>
  <c r="GF295" i="20"/>
  <c r="AC295" i="20"/>
  <c r="EM291" i="20"/>
  <c r="W291" i="20"/>
  <c r="GH288" i="20"/>
  <c r="EI288" i="20"/>
  <c r="CL288" i="20"/>
  <c r="CM288" i="20" s="1"/>
  <c r="CN351" i="20"/>
  <c r="CP351" i="20" s="1"/>
  <c r="EI351" i="20"/>
  <c r="EG254" i="20"/>
  <c r="GH254" i="20"/>
  <c r="AC252" i="20"/>
  <c r="GF252" i="20"/>
  <c r="BM252" i="20"/>
  <c r="DT265" i="20"/>
  <c r="AS265" i="20"/>
  <c r="O265" i="20"/>
  <c r="AC245" i="20"/>
  <c r="AV246" i="20"/>
  <c r="AG246" i="20"/>
  <c r="BM246" i="20"/>
  <c r="AC246" i="20"/>
  <c r="O246" i="20"/>
  <c r="EI282" i="20"/>
  <c r="ET287" i="20"/>
  <c r="ES287" i="20" s="1"/>
  <c r="AG287" i="20"/>
  <c r="DT280" i="20"/>
  <c r="O280" i="20"/>
  <c r="EM280" i="20"/>
  <c r="AS280" i="20"/>
  <c r="L280" i="20"/>
  <c r="AO280" i="20" s="1"/>
  <c r="CK280" i="20" s="1"/>
  <c r="DT353" i="20"/>
  <c r="AV361" i="20"/>
  <c r="AV371" i="20"/>
  <c r="W254" i="20"/>
  <c r="V254" i="20" s="1"/>
  <c r="BI254" i="20"/>
  <c r="L265" i="20"/>
  <c r="GH285" i="20"/>
  <c r="AU296" i="20"/>
  <c r="GH296" i="20"/>
  <c r="W293" i="20"/>
  <c r="V293" i="20" s="1"/>
  <c r="GF279" i="20"/>
  <c r="AC279" i="20"/>
  <c r="W279" i="20"/>
  <c r="BM288" i="20"/>
  <c r="DT370" i="20"/>
  <c r="AU370" i="20"/>
  <c r="EM370" i="20"/>
  <c r="BA370" i="20"/>
  <c r="EM378" i="20"/>
  <c r="AV294" i="20"/>
  <c r="EM379" i="20"/>
  <c r="AU365" i="20"/>
  <c r="ES374" i="20"/>
  <c r="AV295" i="20"/>
  <c r="W280" i="20"/>
  <c r="V280" i="20" s="1"/>
  <c r="GF280" i="20"/>
  <c r="CN288" i="20"/>
  <c r="CP288" i="20" s="1"/>
  <c r="W373" i="20"/>
  <c r="AS377" i="20"/>
  <c r="AU378" i="20"/>
  <c r="DT378" i="20"/>
  <c r="AV379" i="20"/>
  <c r="AV355" i="20"/>
  <c r="EM365" i="20"/>
  <c r="AU357" i="20"/>
  <c r="BA357" i="20"/>
  <c r="CN265" i="20"/>
  <c r="CP265" i="20" s="1"/>
  <c r="EI265" i="20"/>
  <c r="AV293" i="20"/>
  <c r="AU282" i="20"/>
  <c r="BM282" i="20"/>
  <c r="DT282" i="20"/>
  <c r="AF277" i="20"/>
  <c r="ET277" i="20" s="1"/>
  <c r="ES277" i="20" s="1"/>
  <c r="L295" i="20"/>
  <c r="CL295" i="20"/>
  <c r="CM295" i="20" s="1"/>
  <c r="O288" i="20"/>
  <c r="AC288" i="20"/>
  <c r="BI288" i="20"/>
  <c r="CN294" i="20"/>
  <c r="CP294" i="20" s="1"/>
  <c r="EI294" i="20"/>
  <c r="GF373" i="20"/>
  <c r="EM377" i="20"/>
  <c r="O370" i="20"/>
  <c r="AC370" i="20"/>
  <c r="GH370" i="20"/>
  <c r="AF379" i="20"/>
  <c r="ET379" i="20" s="1"/>
  <c r="ES379" i="20" s="1"/>
  <c r="EG379" i="20"/>
  <c r="EM355" i="20"/>
  <c r="EI355" i="20"/>
  <c r="W374" i="20"/>
  <c r="EI357" i="20"/>
  <c r="CN357" i="20"/>
  <c r="CP357" i="20" s="1"/>
  <c r="EG357" i="20"/>
  <c r="AV357" i="20"/>
  <c r="W357" i="20"/>
  <c r="V357" i="20" s="1"/>
  <c r="W401" i="20"/>
  <c r="L252" i="20"/>
  <c r="L242" i="20"/>
  <c r="AO242" i="20" s="1"/>
  <c r="CK242" i="20" s="1"/>
  <c r="BA265" i="20"/>
  <c r="GH245" i="20"/>
  <c r="AV282" i="20"/>
  <c r="L287" i="20"/>
  <c r="AO287" i="20" s="1"/>
  <c r="CK287" i="20" s="1"/>
  <c r="GF287" i="20"/>
  <c r="CN279" i="20"/>
  <c r="CP279" i="20" s="1"/>
  <c r="EI279" i="20"/>
  <c r="L291" i="20"/>
  <c r="GF291" i="20"/>
  <c r="GH280" i="20"/>
  <c r="O294" i="20"/>
  <c r="BA294" i="20"/>
  <c r="O377" i="20"/>
  <c r="AU377" i="20"/>
  <c r="DT377" i="20"/>
  <c r="GH377" i="20"/>
  <c r="AV370" i="20"/>
  <c r="BM355" i="20"/>
  <c r="CL355" i="20"/>
  <c r="BA365" i="20"/>
  <c r="BM374" i="20"/>
  <c r="CL374" i="20"/>
  <c r="AF344" i="20"/>
  <c r="ET344" i="20" s="1"/>
  <c r="ES344" i="20" s="1"/>
  <c r="BI344" i="20"/>
  <c r="EI358" i="20"/>
  <c r="CN358" i="20"/>
  <c r="CP358" i="20" s="1"/>
  <c r="AV358" i="20"/>
  <c r="GF401" i="20"/>
  <c r="AC401" i="20"/>
  <c r="BM401" i="20"/>
  <c r="CN252" i="20"/>
  <c r="CP252" i="20" s="1"/>
  <c r="AS242" i="20"/>
  <c r="AU245" i="20"/>
  <c r="DT246" i="20"/>
  <c r="CL282" i="20"/>
  <c r="CM282" i="20" s="1"/>
  <c r="AS287" i="20"/>
  <c r="BI279" i="20"/>
  <c r="CN295" i="20"/>
  <c r="CP295" i="20" s="1"/>
  <c r="AS291" i="20"/>
  <c r="AC280" i="20"/>
  <c r="AU280" i="20"/>
  <c r="AS294" i="20"/>
  <c r="AC373" i="20"/>
  <c r="AU373" i="20"/>
  <c r="GH373" i="20"/>
  <c r="AV377" i="20"/>
  <c r="CN379" i="20"/>
  <c r="CP379" i="20" s="1"/>
  <c r="EI379" i="20"/>
  <c r="L363" i="20"/>
  <c r="AO363" i="20" s="1"/>
  <c r="CK363" i="20" s="1"/>
  <c r="W363" i="20"/>
  <c r="GH355" i="20"/>
  <c r="EG374" i="20"/>
  <c r="CK374" i="20"/>
  <c r="O358" i="20"/>
  <c r="BI409" i="20"/>
  <c r="AF409" i="20"/>
  <c r="L241" i="20"/>
  <c r="AO241" i="20" s="1"/>
  <c r="CK241" i="20" s="1"/>
  <c r="AV245" i="20"/>
  <c r="L296" i="20"/>
  <c r="AO296" i="20" s="1"/>
  <c r="CK296" i="20" s="1"/>
  <c r="CN293" i="20"/>
  <c r="CP293" i="20" s="1"/>
  <c r="L277" i="20"/>
  <c r="AO277" i="20" s="1"/>
  <c r="CK277" i="20" s="1"/>
  <c r="O295" i="20"/>
  <c r="AV280" i="20"/>
  <c r="AG288" i="20"/>
  <c r="DT288" i="20"/>
  <c r="AV373" i="20"/>
  <c r="L379" i="20"/>
  <c r="AS363" i="20"/>
  <c r="W355" i="20"/>
  <c r="V355" i="20" s="1"/>
  <c r="CK355" i="20"/>
  <c r="CN355" i="20"/>
  <c r="CP355" i="20" s="1"/>
  <c r="W358" i="20"/>
  <c r="V358" i="20" s="1"/>
  <c r="DT358" i="20"/>
  <c r="EM404" i="20"/>
  <c r="W404" i="20"/>
  <c r="V404" i="20" s="1"/>
  <c r="AV416" i="20"/>
  <c r="AU416" i="20"/>
  <c r="AS416" i="20"/>
  <c r="O416" i="20"/>
  <c r="DT416" i="20"/>
  <c r="L416" i="20"/>
  <c r="O252" i="20"/>
  <c r="O242" i="20"/>
  <c r="DT242" i="20"/>
  <c r="O287" i="20"/>
  <c r="AC287" i="20"/>
  <c r="DT287" i="20"/>
  <c r="O291" i="20"/>
  <c r="AC291" i="20"/>
  <c r="DT291" i="20"/>
  <c r="AV288" i="20"/>
  <c r="DT294" i="20"/>
  <c r="CN370" i="20"/>
  <c r="CP370" i="20" s="1"/>
  <c r="GH363" i="20"/>
  <c r="CN363" i="20"/>
  <c r="CP363" i="20" s="1"/>
  <c r="EI363" i="20"/>
  <c r="EM401" i="20"/>
  <c r="CN344" i="20"/>
  <c r="CP344" i="20" s="1"/>
  <c r="EM409" i="20"/>
  <c r="GH409" i="20"/>
  <c r="BM416" i="20"/>
  <c r="W399" i="20"/>
  <c r="V399" i="20" s="1"/>
  <c r="AV399" i="20"/>
  <c r="BA405" i="20"/>
  <c r="AU405" i="20"/>
  <c r="CK448" i="20"/>
  <c r="AU398" i="20"/>
  <c r="DT408" i="20"/>
  <c r="AU408" i="20"/>
  <c r="BA408" i="20"/>
  <c r="AF408" i="20"/>
  <c r="ET408" i="20" s="1"/>
  <c r="ES408" i="20" s="1"/>
  <c r="BI408" i="20"/>
  <c r="EI405" i="20"/>
  <c r="CL405" i="20"/>
  <c r="CM405" i="20" s="1"/>
  <c r="O400" i="20"/>
  <c r="EG400" i="20"/>
  <c r="CL400" i="20"/>
  <c r="AV400" i="20"/>
  <c r="AU407" i="20"/>
  <c r="BA407" i="20"/>
  <c r="AU437" i="20"/>
  <c r="BA437" i="20"/>
  <c r="EM398" i="20"/>
  <c r="GF399" i="20"/>
  <c r="AC399" i="20"/>
  <c r="ET403" i="20"/>
  <c r="ES403" i="20" s="1"/>
  <c r="AG403" i="20"/>
  <c r="EM400" i="20"/>
  <c r="GH400" i="20"/>
  <c r="GF448" i="20"/>
  <c r="AC448" i="20"/>
  <c r="BM448" i="20"/>
  <c r="W402" i="20"/>
  <c r="AV402" i="20"/>
  <c r="CN402" i="20"/>
  <c r="CP402" i="20" s="1"/>
  <c r="EM402" i="20"/>
  <c r="GH402" i="20"/>
  <c r="EI402" i="20"/>
  <c r="O355" i="20"/>
  <c r="AC355" i="20"/>
  <c r="GF355" i="20"/>
  <c r="GH365" i="20"/>
  <c r="AS374" i="20"/>
  <c r="O357" i="20"/>
  <c r="AC357" i="20"/>
  <c r="DT357" i="20"/>
  <c r="GH344" i="20"/>
  <c r="AU364" i="20"/>
  <c r="BM364" i="20"/>
  <c r="DT364" i="20"/>
  <c r="AV401" i="20"/>
  <c r="EM397" i="20"/>
  <c r="W397" i="20"/>
  <c r="EG399" i="20"/>
  <c r="EI399" i="20"/>
  <c r="AS406" i="20"/>
  <c r="AV406" i="20"/>
  <c r="BM405" i="20"/>
  <c r="GF400" i="20"/>
  <c r="AC400" i="20"/>
  <c r="CK400" i="20"/>
  <c r="EM407" i="20"/>
  <c r="W407" i="20"/>
  <c r="EM437" i="20"/>
  <c r="CL444" i="20"/>
  <c r="CM444" i="20" s="1"/>
  <c r="AS355" i="20"/>
  <c r="O365" i="20"/>
  <c r="DT365" i="20"/>
  <c r="EM374" i="20"/>
  <c r="GH374" i="20"/>
  <c r="AU344" i="20"/>
  <c r="DT344" i="20"/>
  <c r="AV364" i="20"/>
  <c r="CL401" i="20"/>
  <c r="CM401" i="20" s="1"/>
  <c r="CN404" i="20"/>
  <c r="CP404" i="20" s="1"/>
  <c r="EI404" i="20"/>
  <c r="GF397" i="20"/>
  <c r="AS397" i="20"/>
  <c r="EM408" i="20"/>
  <c r="EI408" i="20"/>
  <c r="GH408" i="20"/>
  <c r="L406" i="20"/>
  <c r="AO406" i="20" s="1"/>
  <c r="CK406" i="20" s="1"/>
  <c r="BM400" i="20"/>
  <c r="DT400" i="20"/>
  <c r="AS412" i="20"/>
  <c r="L412" i="20"/>
  <c r="DT412" i="20"/>
  <c r="AU374" i="20"/>
  <c r="DT374" i="20"/>
  <c r="AV344" i="20"/>
  <c r="CN409" i="20"/>
  <c r="CP409" i="20" s="1"/>
  <c r="EI409" i="20"/>
  <c r="AC416" i="20"/>
  <c r="AU397" i="20"/>
  <c r="BA398" i="20"/>
  <c r="GH399" i="20"/>
  <c r="ET412" i="20"/>
  <c r="ES412" i="20" s="1"/>
  <c r="AG412" i="20"/>
  <c r="AV446" i="20"/>
  <c r="W446" i="20"/>
  <c r="V446" i="20" s="1"/>
  <c r="EI446" i="20"/>
  <c r="CN446" i="20"/>
  <c r="CP446" i="20" s="1"/>
  <c r="GH446" i="20"/>
  <c r="EG446" i="20"/>
  <c r="AF448" i="20"/>
  <c r="ET448" i="20" s="1"/>
  <c r="ES448" i="20" s="1"/>
  <c r="BI448" i="20"/>
  <c r="GH444" i="20"/>
  <c r="DT355" i="20"/>
  <c r="L409" i="20"/>
  <c r="AO409" i="20" s="1"/>
  <c r="CK409" i="20" s="1"/>
  <c r="CN401" i="20"/>
  <c r="CP401" i="20" s="1"/>
  <c r="AS404" i="20"/>
  <c r="AF416" i="20"/>
  <c r="BI416" i="20"/>
  <c r="GH398" i="20"/>
  <c r="EI398" i="20"/>
  <c r="L399" i="20"/>
  <c r="AO399" i="20" s="1"/>
  <c r="CK399" i="20" s="1"/>
  <c r="DT399" i="20"/>
  <c r="O399" i="20"/>
  <c r="AS399" i="20"/>
  <c r="CN399" i="20"/>
  <c r="CP399" i="20" s="1"/>
  <c r="GH405" i="20"/>
  <c r="AU400" i="20"/>
  <c r="CP412" i="20"/>
  <c r="BA448" i="20"/>
  <c r="DT448" i="20"/>
  <c r="AU448" i="20"/>
  <c r="EM416" i="20"/>
  <c r="L397" i="20"/>
  <c r="DT398" i="20"/>
  <c r="AS398" i="20"/>
  <c r="EM405" i="20"/>
  <c r="ES400" i="20"/>
  <c r="CN400" i="20"/>
  <c r="CP400" i="20" s="1"/>
  <c r="EI400" i="20"/>
  <c r="GF446" i="20"/>
  <c r="AC446" i="20"/>
  <c r="CN398" i="20"/>
  <c r="CP398" i="20" s="1"/>
  <c r="AC408" i="20"/>
  <c r="GF408" i="20"/>
  <c r="GH406" i="20"/>
  <c r="AS405" i="20"/>
  <c r="O403" i="20"/>
  <c r="AC403" i="20"/>
  <c r="AU403" i="20"/>
  <c r="DT403" i="20"/>
  <c r="AV407" i="20"/>
  <c r="AU412" i="20"/>
  <c r="BM412" i="20"/>
  <c r="AF446" i="20"/>
  <c r="ET446" i="20" s="1"/>
  <c r="ES446" i="20" s="1"/>
  <c r="DT444" i="20"/>
  <c r="AU444" i="20"/>
  <c r="L440" i="20"/>
  <c r="EM413" i="20"/>
  <c r="AG413" i="20"/>
  <c r="EG402" i="20"/>
  <c r="AV442" i="20"/>
  <c r="AC442" i="20"/>
  <c r="EI442" i="20"/>
  <c r="GH442" i="20"/>
  <c r="CN442" i="20"/>
  <c r="CP442" i="20" s="1"/>
  <c r="AV443" i="20"/>
  <c r="AC413" i="20"/>
  <c r="GF413" i="20"/>
  <c r="CK442" i="20"/>
  <c r="GH397" i="20"/>
  <c r="AU399" i="20"/>
  <c r="AG405" i="20"/>
  <c r="DT405" i="20"/>
  <c r="W412" i="20"/>
  <c r="V412" i="20" s="1"/>
  <c r="CL412" i="20"/>
  <c r="CM412" i="20" s="1"/>
  <c r="AV448" i="20"/>
  <c r="AF440" i="20"/>
  <c r="BI440" i="20"/>
  <c r="O439" i="20"/>
  <c r="AF414" i="20"/>
  <c r="ET414" i="20" s="1"/>
  <c r="ES414" i="20" s="1"/>
  <c r="BI414" i="20"/>
  <c r="AG447" i="20"/>
  <c r="ET447" i="20"/>
  <c r="ES447" i="20" s="1"/>
  <c r="BM442" i="20"/>
  <c r="AV438" i="20"/>
  <c r="BM408" i="20"/>
  <c r="AV405" i="20"/>
  <c r="CN407" i="20"/>
  <c r="CP407" i="20" s="1"/>
  <c r="EI407" i="20"/>
  <c r="DT437" i="20"/>
  <c r="O437" i="20"/>
  <c r="EM439" i="20"/>
  <c r="GH439" i="20"/>
  <c r="EI439" i="20"/>
  <c r="CL439" i="20"/>
  <c r="CM439" i="20" s="1"/>
  <c r="L402" i="20"/>
  <c r="DT402" i="20"/>
  <c r="O402" i="20"/>
  <c r="AS402" i="20"/>
  <c r="DT414" i="20"/>
  <c r="AU414" i="20"/>
  <c r="BA414" i="20"/>
  <c r="AU447" i="20"/>
  <c r="BA447" i="20"/>
  <c r="DT438" i="20"/>
  <c r="AS438" i="20"/>
  <c r="L438" i="20"/>
  <c r="BJ438" i="20" s="1"/>
  <c r="O438" i="20"/>
  <c r="ES443" i="20"/>
  <c r="AV397" i="20"/>
  <c r="AF399" i="20"/>
  <c r="ET399" i="20" s="1"/>
  <c r="ES399" i="20" s="1"/>
  <c r="AV408" i="20"/>
  <c r="L405" i="20"/>
  <c r="CN403" i="20"/>
  <c r="CP403" i="20" s="1"/>
  <c r="EI403" i="20"/>
  <c r="L407" i="20"/>
  <c r="AO407" i="20" s="1"/>
  <c r="CK407" i="20" s="1"/>
  <c r="EI412" i="20"/>
  <c r="AS446" i="20"/>
  <c r="L437" i="20"/>
  <c r="W448" i="20"/>
  <c r="CL448" i="20"/>
  <c r="GH448" i="20"/>
  <c r="BM444" i="20"/>
  <c r="EM440" i="20"/>
  <c r="W439" i="20"/>
  <c r="EI414" i="20"/>
  <c r="CL414" i="20"/>
  <c r="CM414" i="20" s="1"/>
  <c r="GH414" i="20"/>
  <c r="GH410" i="20"/>
  <c r="BM410" i="20"/>
  <c r="EI410" i="20"/>
  <c r="CL410" i="20"/>
  <c r="AF426" i="20"/>
  <c r="ET426" i="20" s="1"/>
  <c r="ES426" i="20" s="1"/>
  <c r="BI426" i="20"/>
  <c r="EG438" i="20"/>
  <c r="CN438" i="20"/>
  <c r="CP438" i="20" s="1"/>
  <c r="CN443" i="20"/>
  <c r="CP443" i="20" s="1"/>
  <c r="W443" i="20"/>
  <c r="V443" i="20" s="1"/>
  <c r="AG443" i="20"/>
  <c r="CN405" i="20"/>
  <c r="CP405" i="20" s="1"/>
  <c r="GH407" i="20"/>
  <c r="O446" i="20"/>
  <c r="AU446" i="20"/>
  <c r="GH437" i="20"/>
  <c r="EG448" i="20"/>
  <c r="CN448" i="20"/>
  <c r="CP448" i="20" s="1"/>
  <c r="EI448" i="20"/>
  <c r="CL440" i="20"/>
  <c r="CM440" i="20" s="1"/>
  <c r="AU439" i="20"/>
  <c r="BM439" i="20"/>
  <c r="EM414" i="20"/>
  <c r="AC447" i="20"/>
  <c r="W447" i="20"/>
  <c r="GF447" i="20"/>
  <c r="EM442" i="20"/>
  <c r="AC405" i="20"/>
  <c r="O407" i="20"/>
  <c r="AC407" i="20"/>
  <c r="DT407" i="20"/>
  <c r="DT440" i="20"/>
  <c r="O440" i="20"/>
  <c r="AS439" i="20"/>
  <c r="L439" i="20"/>
  <c r="AV439" i="20"/>
  <c r="AV413" i="20"/>
  <c r="GH413" i="20"/>
  <c r="EI413" i="20"/>
  <c r="CN413" i="20"/>
  <c r="CP413" i="20" s="1"/>
  <c r="EI417" i="20"/>
  <c r="GH438" i="20"/>
  <c r="CL438" i="20"/>
  <c r="CM438" i="20" s="1"/>
  <c r="O448" i="20"/>
  <c r="CN444" i="20"/>
  <c r="CP444" i="20" s="1"/>
  <c r="O414" i="20"/>
  <c r="AC414" i="20"/>
  <c r="GF414" i="20"/>
  <c r="CN417" i="20"/>
  <c r="CP417" i="20" s="1"/>
  <c r="GH417" i="20"/>
  <c r="GF410" i="20"/>
  <c r="AC410" i="20"/>
  <c r="CP410" i="20"/>
  <c r="EM447" i="20"/>
  <c r="O441" i="20"/>
  <c r="W442" i="20"/>
  <c r="V442" i="20" s="1"/>
  <c r="CL442" i="20"/>
  <c r="AU438" i="20"/>
  <c r="BA443" i="20"/>
  <c r="AC437" i="20"/>
  <c r="EM448" i="20"/>
  <c r="AC440" i="20"/>
  <c r="BA440" i="20"/>
  <c r="GF440" i="20"/>
  <c r="AS413" i="20"/>
  <c r="AC402" i="20"/>
  <c r="AU402" i="20"/>
  <c r="O410" i="20"/>
  <c r="W410" i="20"/>
  <c r="V410" i="20" s="1"/>
  <c r="EG442" i="20"/>
  <c r="EM443" i="20"/>
  <c r="GH443" i="20"/>
  <c r="EI443" i="20"/>
  <c r="CL443" i="20"/>
  <c r="CM443" i="20" s="1"/>
  <c r="EM426" i="20"/>
  <c r="BM414" i="20"/>
  <c r="CN441" i="20"/>
  <c r="CP441" i="20" s="1"/>
  <c r="EI441" i="20"/>
  <c r="EM438" i="20"/>
  <c r="GF443" i="20"/>
  <c r="AC443" i="20"/>
  <c r="BM443" i="20"/>
  <c r="AG444" i="20"/>
  <c r="O413" i="20"/>
  <c r="AU413" i="20"/>
  <c r="DT413" i="20"/>
  <c r="AF402" i="20"/>
  <c r="AV414" i="20"/>
  <c r="BF410" i="20"/>
  <c r="CU410" i="20" s="1"/>
  <c r="W441" i="20"/>
  <c r="V441" i="20" s="1"/>
  <c r="GH445" i="20"/>
  <c r="EI445" i="20"/>
  <c r="CL445" i="20"/>
  <c r="CM445" i="20" s="1"/>
  <c r="BM438" i="20"/>
  <c r="EG443" i="20"/>
  <c r="W426" i="20"/>
  <c r="V426" i="20" s="1"/>
  <c r="AV426" i="20"/>
  <c r="EI426" i="20"/>
  <c r="CN426" i="20"/>
  <c r="CP426" i="20" s="1"/>
  <c r="AV444" i="20"/>
  <c r="W414" i="20"/>
  <c r="DT417" i="20"/>
  <c r="AV417" i="20"/>
  <c r="CK417" i="20"/>
  <c r="AF410" i="20"/>
  <c r="BI410" i="20"/>
  <c r="BJ410" i="20" s="1"/>
  <c r="AU410" i="20"/>
  <c r="CK410" i="20"/>
  <c r="L441" i="20"/>
  <c r="AU441" i="20"/>
  <c r="EM441" i="20"/>
  <c r="AU442" i="20"/>
  <c r="BA442" i="20"/>
  <c r="AU443" i="20"/>
  <c r="AC415" i="20"/>
  <c r="GF415" i="20"/>
  <c r="AV441" i="20"/>
  <c r="AC441" i="20"/>
  <c r="DT445" i="20"/>
  <c r="AU445" i="20"/>
  <c r="AS443" i="20"/>
  <c r="O443" i="20"/>
  <c r="L443" i="20"/>
  <c r="DT443" i="20"/>
  <c r="AV427" i="20"/>
  <c r="CN427" i="20"/>
  <c r="CP427" i="20" s="1"/>
  <c r="O442" i="20"/>
  <c r="CN445" i="20"/>
  <c r="CP445" i="20" s="1"/>
  <c r="AS411" i="20"/>
  <c r="DT423" i="20"/>
  <c r="O423" i="20"/>
  <c r="AS423" i="20"/>
  <c r="EM290" i="20"/>
  <c r="BI284" i="20"/>
  <c r="AF284" i="20"/>
  <c r="EM270" i="20"/>
  <c r="EI411" i="20"/>
  <c r="BF425" i="20"/>
  <c r="CU425" i="20" s="1"/>
  <c r="DQ425" i="20"/>
  <c r="AU428" i="20"/>
  <c r="W427" i="20"/>
  <c r="CL427" i="20"/>
  <c r="CM427" i="20" s="1"/>
  <c r="GH427" i="20"/>
  <c r="O411" i="20"/>
  <c r="AC411" i="20"/>
  <c r="AU411" i="20"/>
  <c r="GH411" i="20"/>
  <c r="BA425" i="20"/>
  <c r="AF425" i="20"/>
  <c r="ET425" i="20" s="1"/>
  <c r="ES425" i="20" s="1"/>
  <c r="BI425" i="20"/>
  <c r="BJ425" i="20" s="1"/>
  <c r="EM428" i="20"/>
  <c r="BM427" i="20"/>
  <c r="GF427" i="20"/>
  <c r="AC427" i="20"/>
  <c r="DT424" i="20"/>
  <c r="AU424" i="20"/>
  <c r="BA424" i="20"/>
  <c r="AF194" i="20"/>
  <c r="ET194" i="20" s="1"/>
  <c r="ES194" i="20" s="1"/>
  <c r="BI194" i="20"/>
  <c r="DT212" i="20"/>
  <c r="AU212" i="20"/>
  <c r="BA212" i="20"/>
  <c r="GH447" i="20"/>
  <c r="DT442" i="20"/>
  <c r="BI443" i="20"/>
  <c r="GH415" i="20"/>
  <c r="AV411" i="20"/>
  <c r="EG426" i="20"/>
  <c r="AV425" i="20"/>
  <c r="AG423" i="20"/>
  <c r="ES423" i="20"/>
  <c r="GH423" i="20"/>
  <c r="EG427" i="20"/>
  <c r="BF213" i="20"/>
  <c r="CU213" i="20" s="1"/>
  <c r="P213" i="20"/>
  <c r="W194" i="20"/>
  <c r="AV194" i="20"/>
  <c r="AV289" i="20"/>
  <c r="W284" i="20"/>
  <c r="EM284" i="20"/>
  <c r="O447" i="20"/>
  <c r="DT447" i="20"/>
  <c r="AG445" i="20"/>
  <c r="O415" i="20"/>
  <c r="DT415" i="20"/>
  <c r="DT426" i="20"/>
  <c r="O426" i="20"/>
  <c r="AS426" i="20"/>
  <c r="P425" i="20"/>
  <c r="BA428" i="20"/>
  <c r="EI427" i="20"/>
  <c r="BI290" i="20"/>
  <c r="AF290" i="20"/>
  <c r="AV447" i="20"/>
  <c r="AV445" i="20"/>
  <c r="AV415" i="20"/>
  <c r="AG411" i="20"/>
  <c r="L426" i="20"/>
  <c r="AO426" i="20" s="1"/>
  <c r="CK426" i="20" s="1"/>
  <c r="W425" i="20"/>
  <c r="CL425" i="20"/>
  <c r="CM425" i="20" s="1"/>
  <c r="GH425" i="20"/>
  <c r="BM428" i="20"/>
  <c r="BI423" i="20"/>
  <c r="EI423" i="20"/>
  <c r="EM424" i="20"/>
  <c r="EI213" i="20"/>
  <c r="CN213" i="20"/>
  <c r="CP213" i="20" s="1"/>
  <c r="AG213" i="20"/>
  <c r="AV213" i="20"/>
  <c r="EM212" i="20"/>
  <c r="BA289" i="20"/>
  <c r="CN411" i="20"/>
  <c r="CP411" i="20" s="1"/>
  <c r="EM411" i="20"/>
  <c r="GF425" i="20"/>
  <c r="AC425" i="20"/>
  <c r="CL428" i="20"/>
  <c r="CM428" i="20" s="1"/>
  <c r="GH428" i="20"/>
  <c r="DT427" i="20"/>
  <c r="AU427" i="20"/>
  <c r="BA427" i="20"/>
  <c r="AF427" i="20"/>
  <c r="BI427" i="20"/>
  <c r="CL424" i="20"/>
  <c r="CM424" i="20" s="1"/>
  <c r="GH424" i="20"/>
  <c r="EI424" i="20"/>
  <c r="CL212" i="20"/>
  <c r="CM212" i="20" s="1"/>
  <c r="BM212" i="20"/>
  <c r="GH212" i="20"/>
  <c r="BA290" i="20"/>
  <c r="DT290" i="20"/>
  <c r="AU290" i="20"/>
  <c r="O425" i="20"/>
  <c r="CN428" i="20"/>
  <c r="CP428" i="20" s="1"/>
  <c r="O427" i="20"/>
  <c r="CN424" i="20"/>
  <c r="CP424" i="20" s="1"/>
  <c r="AS213" i="20"/>
  <c r="O194" i="20"/>
  <c r="AC194" i="20"/>
  <c r="BA194" i="20"/>
  <c r="GF194" i="20"/>
  <c r="GF212" i="20"/>
  <c r="DT289" i="20"/>
  <c r="O290" i="20"/>
  <c r="L290" i="20"/>
  <c r="AS290" i="20"/>
  <c r="AU270" i="20"/>
  <c r="AU336" i="20"/>
  <c r="BA336" i="20"/>
  <c r="CL345" i="20"/>
  <c r="CM345" i="20" s="1"/>
  <c r="GH345" i="20"/>
  <c r="AU322" i="20"/>
  <c r="AC426" i="20"/>
  <c r="AU426" i="20"/>
  <c r="EM425" i="20"/>
  <c r="AS428" i="20"/>
  <c r="AC423" i="20"/>
  <c r="EM427" i="20"/>
  <c r="O213" i="20"/>
  <c r="AC213" i="20"/>
  <c r="AU213" i="20"/>
  <c r="DT213" i="20"/>
  <c r="GH194" i="20"/>
  <c r="DT334" i="20"/>
  <c r="AU334" i="20"/>
  <c r="O334" i="20"/>
  <c r="AS334" i="20"/>
  <c r="L334" i="20"/>
  <c r="EM336" i="20"/>
  <c r="AU340" i="20"/>
  <c r="AS340" i="20"/>
  <c r="O340" i="20"/>
  <c r="DT340" i="20"/>
  <c r="L340" i="20"/>
  <c r="AU194" i="20"/>
  <c r="DT194" i="20"/>
  <c r="DT428" i="20"/>
  <c r="AF281" i="20"/>
  <c r="AS270" i="20"/>
  <c r="O270" i="20"/>
  <c r="L270" i="20"/>
  <c r="AV270" i="20"/>
  <c r="ET270" i="20"/>
  <c r="ES270" i="20" s="1"/>
  <c r="AG270" i="20"/>
  <c r="AS322" i="20"/>
  <c r="O322" i="20"/>
  <c r="L322" i="20"/>
  <c r="AV428" i="20"/>
  <c r="AV424" i="20"/>
  <c r="GF290" i="20"/>
  <c r="AC290" i="20"/>
  <c r="CL290" i="20"/>
  <c r="CK290" i="20"/>
  <c r="EM334" i="20"/>
  <c r="W334" i="20"/>
  <c r="BA335" i="20"/>
  <c r="EM335" i="20"/>
  <c r="DT335" i="20"/>
  <c r="EM340" i="20"/>
  <c r="W340" i="20"/>
  <c r="AU345" i="20"/>
  <c r="BA345" i="20"/>
  <c r="EM339" i="20"/>
  <c r="W339" i="20"/>
  <c r="AV336" i="20"/>
  <c r="DT336" i="20"/>
  <c r="O336" i="20"/>
  <c r="L336" i="20"/>
  <c r="AO336" i="20" s="1"/>
  <c r="CK336" i="20" s="1"/>
  <c r="EM322" i="20"/>
  <c r="W322" i="20"/>
  <c r="V322" i="20" s="1"/>
  <c r="CK270" i="20"/>
  <c r="BI336" i="20"/>
  <c r="GF345" i="20"/>
  <c r="GH335" i="20"/>
  <c r="AG322" i="20"/>
  <c r="AV322" i="20"/>
  <c r="CK322" i="20"/>
  <c r="AU323" i="20"/>
  <c r="W328" i="20"/>
  <c r="AV328" i="20"/>
  <c r="CN328" i="20"/>
  <c r="CP328" i="20" s="1"/>
  <c r="DT231" i="20"/>
  <c r="AU231" i="20"/>
  <c r="W385" i="20"/>
  <c r="EI385" i="20"/>
  <c r="CN385" i="20"/>
  <c r="CP385" i="20" s="1"/>
  <c r="AC385" i="20"/>
  <c r="CL323" i="20"/>
  <c r="CM323" i="20" s="1"/>
  <c r="AG323" i="20"/>
  <c r="AC323" i="20"/>
  <c r="CL238" i="20"/>
  <c r="CM238" i="20" s="1"/>
  <c r="GH238" i="20"/>
  <c r="EI238" i="20"/>
  <c r="CN342" i="20"/>
  <c r="CP342" i="20" s="1"/>
  <c r="EI342" i="20"/>
  <c r="EG342" i="20"/>
  <c r="AV342" i="20"/>
  <c r="GH342" i="20"/>
  <c r="DT342" i="20"/>
  <c r="AU342" i="20"/>
  <c r="AC342" i="20"/>
  <c r="O342" i="20"/>
  <c r="AV284" i="20"/>
  <c r="GF334" i="20"/>
  <c r="GH336" i="20"/>
  <c r="EM345" i="20"/>
  <c r="AV335" i="20"/>
  <c r="ES323" i="20"/>
  <c r="EM328" i="20"/>
  <c r="CL328" i="20"/>
  <c r="CM328" i="20" s="1"/>
  <c r="GH328" i="20"/>
  <c r="EI328" i="20"/>
  <c r="EM238" i="20"/>
  <c r="BM244" i="20"/>
  <c r="CL231" i="20"/>
  <c r="CM231" i="20" s="1"/>
  <c r="GH231" i="20"/>
  <c r="EI231" i="20"/>
  <c r="EM360" i="20"/>
  <c r="W360" i="20"/>
  <c r="V360" i="20" s="1"/>
  <c r="CL284" i="20"/>
  <c r="CM284" i="20" s="1"/>
  <c r="CN281" i="20"/>
  <c r="CP281" i="20" s="1"/>
  <c r="EI281" i="20"/>
  <c r="CN270" i="20"/>
  <c r="CP270" i="20" s="1"/>
  <c r="EI270" i="20"/>
  <c r="AC336" i="20"/>
  <c r="DT345" i="20"/>
  <c r="AF335" i="20"/>
  <c r="ET335" i="20" s="1"/>
  <c r="ES335" i="20" s="1"/>
  <c r="CN339" i="20"/>
  <c r="CP339" i="20" s="1"/>
  <c r="EI339" i="20"/>
  <c r="CN322" i="20"/>
  <c r="CP322" i="20" s="1"/>
  <c r="EI322" i="20"/>
  <c r="EI340" i="20"/>
  <c r="BA340" i="20"/>
  <c r="CL340" i="20"/>
  <c r="CM340" i="20" s="1"/>
  <c r="GF340" i="20"/>
  <c r="BM328" i="20"/>
  <c r="BM238" i="20"/>
  <c r="W239" i="20"/>
  <c r="GH239" i="20"/>
  <c r="EG244" i="20"/>
  <c r="CN244" i="20"/>
  <c r="CP244" i="20" s="1"/>
  <c r="GF270" i="20"/>
  <c r="GH334" i="20"/>
  <c r="AG345" i="20"/>
  <c r="AV345" i="20"/>
  <c r="GF322" i="20"/>
  <c r="CN340" i="20"/>
  <c r="CP340" i="20" s="1"/>
  <c r="AV340" i="20"/>
  <c r="BM340" i="20"/>
  <c r="W323" i="20"/>
  <c r="GH323" i="20"/>
  <c r="EG328" i="20"/>
  <c r="GH385" i="20"/>
  <c r="AC334" i="20"/>
  <c r="CN335" i="20"/>
  <c r="CP335" i="20" s="1"/>
  <c r="EI335" i="20"/>
  <c r="GH340" i="20"/>
  <c r="BM323" i="20"/>
  <c r="CN323" i="20"/>
  <c r="CP323" i="20" s="1"/>
  <c r="AF234" i="20"/>
  <c r="ET234" i="20" s="1"/>
  <c r="ES234" i="20" s="1"/>
  <c r="BI234" i="20"/>
  <c r="ET238" i="20"/>
  <c r="ES238" i="20" s="1"/>
  <c r="W342" i="20"/>
  <c r="AV334" i="20"/>
  <c r="EG323" i="20"/>
  <c r="BI323" i="20"/>
  <c r="AC328" i="20"/>
  <c r="EI247" i="20"/>
  <c r="CN247" i="20"/>
  <c r="CP247" i="20" s="1"/>
  <c r="EG247" i="20"/>
  <c r="AV247" i="20"/>
  <c r="O247" i="20"/>
  <c r="CL234" i="20"/>
  <c r="CM234" i="20" s="1"/>
  <c r="AV234" i="20"/>
  <c r="GH234" i="20"/>
  <c r="AC234" i="20"/>
  <c r="AU244" i="20"/>
  <c r="AF244" i="20"/>
  <c r="ET244" i="20" s="1"/>
  <c r="ES244" i="20" s="1"/>
  <c r="BI244" i="20"/>
  <c r="BA231" i="20"/>
  <c r="EM342" i="20"/>
  <c r="L323" i="20"/>
  <c r="DT323" i="20"/>
  <c r="AS323" i="20"/>
  <c r="BA328" i="20"/>
  <c r="DT328" i="20"/>
  <c r="DT238" i="20"/>
  <c r="AU238" i="20"/>
  <c r="EI239" i="20"/>
  <c r="CN239" i="20"/>
  <c r="CP239" i="20" s="1"/>
  <c r="EG239" i="20"/>
  <c r="AV239" i="20"/>
  <c r="O239" i="20"/>
  <c r="CL244" i="20"/>
  <c r="CM244" i="20" s="1"/>
  <c r="W244" i="20"/>
  <c r="V244" i="20" s="1"/>
  <c r="AV244" i="20"/>
  <c r="GH244" i="20"/>
  <c r="AC244" i="20"/>
  <c r="AF385" i="20"/>
  <c r="ET385" i="20" s="1"/>
  <c r="ES385" i="20" s="1"/>
  <c r="BI385" i="20"/>
  <c r="O234" i="20"/>
  <c r="CN238" i="20"/>
  <c r="CP238" i="20" s="1"/>
  <c r="O244" i="20"/>
  <c r="CN231" i="20"/>
  <c r="CP231" i="20" s="1"/>
  <c r="GF342" i="20"/>
  <c r="O385" i="20"/>
  <c r="AC360" i="20"/>
  <c r="P386" i="20"/>
  <c r="DT283" i="20"/>
  <c r="O283" i="20"/>
  <c r="L283" i="20"/>
  <c r="AO283" i="20" s="1"/>
  <c r="CK283" i="20" s="1"/>
  <c r="AU272" i="20"/>
  <c r="EG195" i="20"/>
  <c r="GF195" i="20"/>
  <c r="CK200" i="20"/>
  <c r="AU283" i="20"/>
  <c r="BA283" i="20"/>
  <c r="W195" i="20"/>
  <c r="EM323" i="20"/>
  <c r="AS328" i="20"/>
  <c r="AC247" i="20"/>
  <c r="AU247" i="20"/>
  <c r="DT247" i="20"/>
  <c r="EM234" i="20"/>
  <c r="AS238" i="20"/>
  <c r="AC239" i="20"/>
  <c r="AU239" i="20"/>
  <c r="DT239" i="20"/>
  <c r="AS231" i="20"/>
  <c r="DT385" i="20"/>
  <c r="GF386" i="20"/>
  <c r="AC386" i="20"/>
  <c r="BM386" i="20"/>
  <c r="AS283" i="20"/>
  <c r="O200" i="20"/>
  <c r="CN200" i="20"/>
  <c r="CP200" i="20" s="1"/>
  <c r="EG200" i="20"/>
  <c r="GF240" i="20"/>
  <c r="AC240" i="20"/>
  <c r="BM240" i="20"/>
  <c r="CL240" i="20"/>
  <c r="CM240" i="20" s="1"/>
  <c r="DT234" i="20"/>
  <c r="DT244" i="20"/>
  <c r="EM231" i="20"/>
  <c r="BM360" i="20"/>
  <c r="DT360" i="20"/>
  <c r="EM283" i="20"/>
  <c r="W283" i="20"/>
  <c r="EM272" i="20"/>
  <c r="BF195" i="20"/>
  <c r="CU195" i="20" s="1"/>
  <c r="P195" i="20"/>
  <c r="DQ195" i="20"/>
  <c r="AV248" i="20"/>
  <c r="DT248" i="20"/>
  <c r="O248" i="20"/>
  <c r="L248" i="20"/>
  <c r="AO248" i="20" s="1"/>
  <c r="CK248" i="20" s="1"/>
  <c r="EG385" i="20"/>
  <c r="GH272" i="20"/>
  <c r="EI272" i="20"/>
  <c r="CL272" i="20"/>
  <c r="CM272" i="20" s="1"/>
  <c r="DT200" i="20"/>
  <c r="AU248" i="20"/>
  <c r="BA248" i="20"/>
  <c r="W240" i="20"/>
  <c r="AV238" i="20"/>
  <c r="AV231" i="20"/>
  <c r="L385" i="20"/>
  <c r="AO385" i="20" s="1"/>
  <c r="CK385" i="20" s="1"/>
  <c r="EM385" i="20"/>
  <c r="AV360" i="20"/>
  <c r="CL195" i="20"/>
  <c r="CM195" i="20" s="1"/>
  <c r="AV195" i="20"/>
  <c r="GH195" i="20"/>
  <c r="EM195" i="20"/>
  <c r="EI195" i="20"/>
  <c r="CN195" i="20"/>
  <c r="CP195" i="20" s="1"/>
  <c r="AG195" i="20"/>
  <c r="AV200" i="20"/>
  <c r="AG200" i="20"/>
  <c r="DT199" i="20"/>
  <c r="BA199" i="20"/>
  <c r="AU199" i="20"/>
  <c r="AU385" i="20"/>
  <c r="AF360" i="20"/>
  <c r="AS386" i="20"/>
  <c r="EM200" i="20"/>
  <c r="EM248" i="20"/>
  <c r="AS248" i="20"/>
  <c r="AF386" i="20"/>
  <c r="BI386" i="20"/>
  <c r="BJ386" i="20" s="1"/>
  <c r="DT272" i="20"/>
  <c r="AS272" i="20"/>
  <c r="L272" i="20"/>
  <c r="AV272" i="20"/>
  <c r="BM195" i="20"/>
  <c r="AC195" i="20"/>
  <c r="W248" i="20"/>
  <c r="CK243" i="20"/>
  <c r="L210" i="20"/>
  <c r="DT210" i="20"/>
  <c r="AS210" i="20"/>
  <c r="O210" i="20"/>
  <c r="W186" i="20"/>
  <c r="EI186" i="20"/>
  <c r="CN186" i="20"/>
  <c r="CP186" i="20" s="1"/>
  <c r="AV186" i="20"/>
  <c r="GH186" i="20"/>
  <c r="O186" i="20"/>
  <c r="W184" i="20"/>
  <c r="EM184" i="20"/>
  <c r="EI184" i="20"/>
  <c r="GH184" i="20"/>
  <c r="CL184" i="20"/>
  <c r="CM184" i="20" s="1"/>
  <c r="O360" i="20"/>
  <c r="GF283" i="20"/>
  <c r="CN272" i="20"/>
  <c r="CP272" i="20" s="1"/>
  <c r="AS195" i="20"/>
  <c r="AC200" i="20"/>
  <c r="BA200" i="20"/>
  <c r="BI200" i="20"/>
  <c r="GF200" i="20"/>
  <c r="DT240" i="20"/>
  <c r="AS232" i="20"/>
  <c r="EI243" i="20"/>
  <c r="DT196" i="20"/>
  <c r="W196" i="20"/>
  <c r="GH199" i="20"/>
  <c r="GF192" i="20"/>
  <c r="AC192" i="20"/>
  <c r="W192" i="20"/>
  <c r="BM192" i="20"/>
  <c r="EM243" i="20"/>
  <c r="EM199" i="20"/>
  <c r="W199" i="20"/>
  <c r="EI210" i="20"/>
  <c r="CL210" i="20"/>
  <c r="CM210" i="20" s="1"/>
  <c r="GH210" i="20"/>
  <c r="L209" i="20"/>
  <c r="BJ209" i="20" s="1"/>
  <c r="DT209" i="20"/>
  <c r="AS209" i="20"/>
  <c r="O209" i="20"/>
  <c r="GH283" i="20"/>
  <c r="O195" i="20"/>
  <c r="AU195" i="20"/>
  <c r="DT195" i="20"/>
  <c r="AV240" i="20"/>
  <c r="BA243" i="20"/>
  <c r="DT243" i="20"/>
  <c r="AU196" i="20"/>
  <c r="GF199" i="20"/>
  <c r="AV199" i="20"/>
  <c r="EM210" i="20"/>
  <c r="AC208" i="20"/>
  <c r="GF208" i="20"/>
  <c r="EM186" i="20"/>
  <c r="AC283" i="20"/>
  <c r="AU200" i="20"/>
  <c r="EM240" i="20"/>
  <c r="O243" i="20"/>
  <c r="AV243" i="20"/>
  <c r="AG243" i="20"/>
  <c r="AV283" i="20"/>
  <c r="AG248" i="20"/>
  <c r="AU240" i="20"/>
  <c r="O232" i="20"/>
  <c r="W243" i="20"/>
  <c r="V243" i="20" s="1"/>
  <c r="CN199" i="20"/>
  <c r="CP199" i="20" s="1"/>
  <c r="AV210" i="20"/>
  <c r="CL209" i="20"/>
  <c r="CM209" i="20" s="1"/>
  <c r="EI209" i="20"/>
  <c r="DT186" i="20"/>
  <c r="BA184" i="20"/>
  <c r="AU184" i="20"/>
  <c r="GF243" i="20"/>
  <c r="AC243" i="20"/>
  <c r="GH243" i="20"/>
  <c r="BA185" i="20"/>
  <c r="DT208" i="20"/>
  <c r="W208" i="20"/>
  <c r="V208" i="20" s="1"/>
  <c r="AV208" i="20"/>
  <c r="EM208" i="20"/>
  <c r="L207" i="20"/>
  <c r="AO207" i="20" s="1"/>
  <c r="CK207" i="20" s="1"/>
  <c r="EI198" i="20"/>
  <c r="CL198" i="20"/>
  <c r="CM198" i="20" s="1"/>
  <c r="GH198" i="20"/>
  <c r="CL211" i="20"/>
  <c r="CM211" i="20" s="1"/>
  <c r="GH211" i="20"/>
  <c r="EI211" i="20"/>
  <c r="AS187" i="20"/>
  <c r="L187" i="20"/>
  <c r="CP184" i="20"/>
  <c r="ET184" i="20"/>
  <c r="ES184" i="20" s="1"/>
  <c r="AG184" i="20"/>
  <c r="EI189" i="20"/>
  <c r="CN189" i="20"/>
  <c r="CP189" i="20" s="1"/>
  <c r="EM189" i="20"/>
  <c r="AV189" i="20"/>
  <c r="W189" i="20"/>
  <c r="GH189" i="20"/>
  <c r="AG189" i="20"/>
  <c r="L243" i="20"/>
  <c r="CN196" i="20"/>
  <c r="CP196" i="20" s="1"/>
  <c r="EI196" i="20"/>
  <c r="L199" i="20"/>
  <c r="AO199" i="20" s="1"/>
  <c r="CK199" i="20" s="1"/>
  <c r="AS199" i="20"/>
  <c r="BM211" i="20"/>
  <c r="AU210" i="20"/>
  <c r="AU209" i="20"/>
  <c r="EI208" i="20"/>
  <c r="CN208" i="20"/>
  <c r="CP208" i="20" s="1"/>
  <c r="GH208" i="20"/>
  <c r="BA192" i="20"/>
  <c r="AU192" i="20"/>
  <c r="DT192" i="20"/>
  <c r="O199" i="20"/>
  <c r="BI199" i="20"/>
  <c r="BA210" i="20"/>
  <c r="BA209" i="20"/>
  <c r="AG208" i="20"/>
  <c r="W207" i="20"/>
  <c r="V207" i="20" s="1"/>
  <c r="EM207" i="20"/>
  <c r="AS207" i="20"/>
  <c r="L198" i="20"/>
  <c r="DT198" i="20"/>
  <c r="AS198" i="20"/>
  <c r="AV198" i="20"/>
  <c r="EM198" i="20"/>
  <c r="L211" i="20"/>
  <c r="DT211" i="20"/>
  <c r="AS211" i="20"/>
  <c r="AV211" i="20"/>
  <c r="EM211" i="20"/>
  <c r="AC186" i="20"/>
  <c r="GF186" i="20"/>
  <c r="AU187" i="20"/>
  <c r="CK188" i="20"/>
  <c r="O196" i="20"/>
  <c r="AC196" i="20"/>
  <c r="AU207" i="20"/>
  <c r="AU198" i="20"/>
  <c r="AU211" i="20"/>
  <c r="EG186" i="20"/>
  <c r="GF210" i="20"/>
  <c r="CN209" i="20"/>
  <c r="CP209" i="20" s="1"/>
  <c r="AS208" i="20"/>
  <c r="GH207" i="20"/>
  <c r="GF198" i="20"/>
  <c r="CN211" i="20"/>
  <c r="CP211" i="20" s="1"/>
  <c r="EM187" i="20"/>
  <c r="GH187" i="20"/>
  <c r="AS184" i="20"/>
  <c r="EI192" i="20"/>
  <c r="L185" i="20"/>
  <c r="AO185" i="20" s="1"/>
  <c r="CK185" i="20" s="1"/>
  <c r="AV185" i="20"/>
  <c r="DT185" i="20"/>
  <c r="AU189" i="20"/>
  <c r="O188" i="20"/>
  <c r="AV188" i="20"/>
  <c r="AF188" i="20"/>
  <c r="BI188" i="20"/>
  <c r="AU188" i="20"/>
  <c r="GF191" i="20"/>
  <c r="CJ473" i="20"/>
  <c r="AF477" i="20"/>
  <c r="BI477" i="20"/>
  <c r="BJ477" i="20" s="1"/>
  <c r="AG210" i="20"/>
  <c r="BM210" i="20"/>
  <c r="O208" i="20"/>
  <c r="AU208" i="20"/>
  <c r="AV207" i="20"/>
  <c r="BM198" i="20"/>
  <c r="AU186" i="20"/>
  <c r="AV187" i="20"/>
  <c r="BM184" i="20"/>
  <c r="DT184" i="20"/>
  <c r="AV192" i="20"/>
  <c r="EM188" i="20"/>
  <c r="O191" i="20"/>
  <c r="AV191" i="20"/>
  <c r="BI191" i="20"/>
  <c r="AF191" i="20"/>
  <c r="AU191" i="20"/>
  <c r="BM191" i="20"/>
  <c r="AY474" i="20"/>
  <c r="AZ474" i="20" s="1"/>
  <c r="AF475" i="20"/>
  <c r="BI475" i="20"/>
  <c r="BJ475" i="20" s="1"/>
  <c r="AV184" i="20"/>
  <c r="AF186" i="20"/>
  <c r="ET186" i="20" s="1"/>
  <c r="ES186" i="20" s="1"/>
  <c r="EM192" i="20"/>
  <c r="CL192" i="20"/>
  <c r="CM192" i="20" s="1"/>
  <c r="EM185" i="20"/>
  <c r="W185" i="20"/>
  <c r="V185" i="20" s="1"/>
  <c r="AC189" i="20"/>
  <c r="GF188" i="20"/>
  <c r="CP473" i="20"/>
  <c r="ET479" i="20"/>
  <c r="ES479" i="20" s="1"/>
  <c r="FB479" i="20" s="1"/>
  <c r="AG479" i="20"/>
  <c r="CN192" i="20"/>
  <c r="CP192" i="20" s="1"/>
  <c r="CL188" i="20"/>
  <c r="EG188" i="20"/>
  <c r="GH191" i="20"/>
  <c r="W191" i="20"/>
  <c r="CK191" i="20"/>
  <c r="CL191" i="20"/>
  <c r="EP473" i="20"/>
  <c r="BG477" i="20"/>
  <c r="BP477" i="20" s="1"/>
  <c r="AY478" i="20"/>
  <c r="AZ478" i="20" s="1"/>
  <c r="BG475" i="20"/>
  <c r="BP475" i="20" s="1"/>
  <c r="AF478" i="20"/>
  <c r="BI478" i="20"/>
  <c r="BJ478" i="20" s="1"/>
  <c r="FB483" i="20"/>
  <c r="FC483" i="20" s="1"/>
  <c r="FD483" i="20" s="1"/>
  <c r="EG191" i="20"/>
  <c r="EI191" i="20"/>
  <c r="AF473" i="20"/>
  <c r="BI473" i="20"/>
  <c r="BJ473" i="20" s="1"/>
  <c r="EJ474" i="20"/>
  <c r="EP474" i="20" s="1"/>
  <c r="ET481" i="20"/>
  <c r="ES481" i="20" s="1"/>
  <c r="AG481" i="20"/>
  <c r="EM191" i="20"/>
  <c r="AF474" i="20"/>
  <c r="BI474" i="20"/>
  <c r="BJ474" i="20" s="1"/>
  <c r="EJ476" i="20"/>
  <c r="EP476" i="20" s="1"/>
  <c r="O189" i="20"/>
  <c r="DT189" i="20"/>
  <c r="DQ473" i="20"/>
  <c r="P473" i="20"/>
  <c r="BN473" i="20" s="1"/>
  <c r="AF476" i="20"/>
  <c r="BI476" i="20"/>
  <c r="BJ476" i="20" s="1"/>
  <c r="CJ479" i="20"/>
  <c r="ET480" i="20"/>
  <c r="ES480" i="20" s="1"/>
  <c r="AG480" i="20"/>
  <c r="BG490" i="20"/>
  <c r="BH490" i="20" s="1"/>
  <c r="P474" i="20"/>
  <c r="BN474" i="20" s="1"/>
  <c r="P475" i="20"/>
  <c r="BN475" i="20" s="1"/>
  <c r="P476" i="20"/>
  <c r="BN476" i="20" s="1"/>
  <c r="P477" i="20"/>
  <c r="BN477" i="20" s="1"/>
  <c r="P478" i="20"/>
  <c r="BN478" i="20" s="1"/>
  <c r="BG488" i="20"/>
  <c r="BP488" i="20" s="1"/>
  <c r="BI484" i="20"/>
  <c r="BJ484" i="20" s="1"/>
  <c r="AF495" i="20"/>
  <c r="BI495" i="20"/>
  <c r="BJ495" i="20" s="1"/>
  <c r="AG483" i="20"/>
  <c r="AF484" i="20"/>
  <c r="DQ485" i="20"/>
  <c r="P485" i="20"/>
  <c r="BN485" i="20" s="1"/>
  <c r="BF485" i="20"/>
  <c r="AF487" i="20"/>
  <c r="BI487" i="20"/>
  <c r="BJ487" i="20" s="1"/>
  <c r="DQ489" i="20"/>
  <c r="P489" i="20"/>
  <c r="BN489" i="20" s="1"/>
  <c r="BF489" i="20"/>
  <c r="FB496" i="20"/>
  <c r="FC496" i="20" s="1"/>
  <c r="FD496" i="20" s="1"/>
  <c r="CM484" i="20"/>
  <c r="CO499" i="20"/>
  <c r="CP499" i="20" s="1"/>
  <c r="CP493" i="20"/>
  <c r="DQ486" i="20"/>
  <c r="P486" i="20"/>
  <c r="BN486" i="20" s="1"/>
  <c r="AF488" i="20"/>
  <c r="BI488" i="20"/>
  <c r="BJ488" i="20" s="1"/>
  <c r="AF490" i="20"/>
  <c r="BI490" i="20"/>
  <c r="BJ490" i="20" s="1"/>
  <c r="DQ491" i="20"/>
  <c r="P491" i="20"/>
  <c r="BN491" i="20" s="1"/>
  <c r="DQ492" i="20"/>
  <c r="BF492" i="20"/>
  <c r="AF485" i="20"/>
  <c r="BI485" i="20"/>
  <c r="BJ485" i="20" s="1"/>
  <c r="DQ487" i="20"/>
  <c r="P487" i="20"/>
  <c r="BN487" i="20" s="1"/>
  <c r="AF489" i="20"/>
  <c r="BI489" i="20"/>
  <c r="BJ489" i="20" s="1"/>
  <c r="CP491" i="20"/>
  <c r="DQ494" i="20"/>
  <c r="BF494" i="20"/>
  <c r="AY490" i="20"/>
  <c r="AZ490" i="20" s="1"/>
  <c r="P492" i="20"/>
  <c r="BN492" i="20" s="1"/>
  <c r="CP492" i="20"/>
  <c r="AF493" i="20"/>
  <c r="BI493" i="20"/>
  <c r="BJ493" i="20" s="1"/>
  <c r="GI485" i="20"/>
  <c r="AF486" i="20"/>
  <c r="BI486" i="20"/>
  <c r="BJ486" i="20" s="1"/>
  <c r="DQ488" i="20"/>
  <c r="P488" i="20"/>
  <c r="BN488" i="20" s="1"/>
  <c r="EJ489" i="20"/>
  <c r="EP489" i="20" s="1"/>
  <c r="DQ490" i="20"/>
  <c r="P490" i="20"/>
  <c r="BN490" i="20" s="1"/>
  <c r="AF491" i="20"/>
  <c r="BI491" i="20"/>
  <c r="BJ491" i="20" s="1"/>
  <c r="BF491" i="20"/>
  <c r="P494" i="20"/>
  <c r="BN494" i="20" s="1"/>
  <c r="CP497" i="20"/>
  <c r="CO500" i="20"/>
  <c r="CP500" i="20" s="1"/>
  <c r="AY493" i="20"/>
  <c r="AZ493" i="20" s="1"/>
  <c r="BI499" i="20"/>
  <c r="BJ499" i="20" s="1"/>
  <c r="AF499" i="20"/>
  <c r="CM499" i="20"/>
  <c r="AF502" i="20"/>
  <c r="BI502" i="20"/>
  <c r="BJ502" i="20" s="1"/>
  <c r="BI501" i="20"/>
  <c r="BJ501" i="20" s="1"/>
  <c r="P493" i="20"/>
  <c r="BN493" i="20" s="1"/>
  <c r="AY495" i="20"/>
  <c r="AZ495" i="20" s="1"/>
  <c r="AG497" i="20"/>
  <c r="P498" i="20"/>
  <c r="DQ498" i="20"/>
  <c r="GH498" i="20"/>
  <c r="GG498" i="20" s="1"/>
  <c r="GI498" i="20" s="1"/>
  <c r="EI499" i="20"/>
  <c r="EJ499" i="20" s="1"/>
  <c r="EP499" i="20" s="1"/>
  <c r="GH499" i="20"/>
  <c r="GG499" i="20" s="1"/>
  <c r="GI499" i="20" s="1"/>
  <c r="BM499" i="20"/>
  <c r="BN499" i="20" s="1"/>
  <c r="AF501" i="20"/>
  <c r="CP495" i="20"/>
  <c r="AY497" i="20"/>
  <c r="AZ497" i="20" s="1"/>
  <c r="BI497" i="20"/>
  <c r="BJ497" i="20" s="1"/>
  <c r="EJ498" i="20"/>
  <c r="EP498" i="20" s="1"/>
  <c r="BJ500" i="20"/>
  <c r="CM500" i="20"/>
  <c r="BG503" i="20"/>
  <c r="BH503" i="20" s="1"/>
  <c r="CP496" i="20"/>
  <c r="CM502" i="20"/>
  <c r="AG503" i="20"/>
  <c r="ET503" i="20"/>
  <c r="ES503" i="20" s="1"/>
  <c r="DQ501" i="20"/>
  <c r="BM502" i="20"/>
  <c r="GH502" i="20"/>
  <c r="GG502" i="20" s="1"/>
  <c r="GI502" i="20" s="1"/>
  <c r="EI503" i="20"/>
  <c r="EJ503" i="20" s="1"/>
  <c r="EP503" i="20" s="1"/>
  <c r="CO498" i="20"/>
  <c r="CP498" i="20" s="1"/>
  <c r="BF501" i="20"/>
  <c r="DQ502" i="20"/>
  <c r="BM503" i="20"/>
  <c r="GH503" i="20"/>
  <c r="GG503" i="20" s="1"/>
  <c r="GI503" i="20" s="1"/>
  <c r="GJ503" i="20" s="1"/>
  <c r="CB477" i="5"/>
  <c r="CC477" i="5" s="1"/>
  <c r="DG472" i="5"/>
  <c r="CB453" i="5"/>
  <c r="EN497" i="5"/>
  <c r="EO497" i="5" s="1"/>
  <c r="EP497" i="5" s="1"/>
  <c r="EN473" i="5"/>
  <c r="EO473" i="5" s="1"/>
  <c r="EP473" i="5" s="1"/>
  <c r="BY469" i="5"/>
  <c r="DV495" i="5"/>
  <c r="EB495" i="5" s="1"/>
  <c r="CC493" i="5"/>
  <c r="CE493" i="5" s="1"/>
  <c r="DG486" i="5"/>
  <c r="CB482" i="5"/>
  <c r="CC482" i="5" s="1"/>
  <c r="CE482" i="5" s="1"/>
  <c r="CC472" i="5"/>
  <c r="BY447" i="5"/>
  <c r="CB452" i="5"/>
  <c r="EN472" i="5"/>
  <c r="EO472" i="5" s="1"/>
  <c r="EP472" i="5" s="1"/>
  <c r="CB489" i="5"/>
  <c r="CC485" i="5"/>
  <c r="CE485" i="5" s="1"/>
  <c r="DG479" i="5"/>
  <c r="DG478" i="5"/>
  <c r="EO474" i="5"/>
  <c r="EP474" i="5" s="1"/>
  <c r="EN479" i="5"/>
  <c r="EO479" i="5" s="1"/>
  <c r="EP479" i="5" s="1"/>
  <c r="DV500" i="5"/>
  <c r="EB500" i="5" s="1"/>
  <c r="DG492" i="5"/>
  <c r="CB481" i="5"/>
  <c r="DG477" i="5"/>
  <c r="CB474" i="5"/>
  <c r="DG471" i="5"/>
  <c r="EN494" i="5"/>
  <c r="EO494" i="5" s="1"/>
  <c r="EP494" i="5" s="1"/>
  <c r="CB498" i="5"/>
  <c r="CB495" i="5"/>
  <c r="DG491" i="5"/>
  <c r="CB487" i="5"/>
  <c r="DG484" i="5"/>
  <c r="CB473" i="5"/>
  <c r="CC473" i="5" s="1"/>
  <c r="BY452" i="5"/>
  <c r="EN469" i="5"/>
  <c r="EO469" i="5" s="1"/>
  <c r="EP469" i="5" s="1"/>
  <c r="BY498" i="5"/>
  <c r="CC498" i="5" s="1"/>
  <c r="DG483" i="5"/>
  <c r="CB479" i="5"/>
  <c r="CC479" i="5" s="1"/>
  <c r="CE479" i="5" s="1"/>
  <c r="CB449" i="5"/>
  <c r="CB448" i="5"/>
  <c r="EN500" i="5"/>
  <c r="EO500" i="5" s="1"/>
  <c r="EP500" i="5" s="1"/>
  <c r="AT487" i="5"/>
  <c r="CC494" i="5"/>
  <c r="DG488" i="5"/>
  <c r="DG481" i="5"/>
  <c r="CB497" i="5"/>
  <c r="EO490" i="5"/>
  <c r="EP490" i="5" s="1"/>
  <c r="CC488" i="5"/>
  <c r="DG475" i="5"/>
  <c r="DG474" i="5"/>
  <c r="DG473" i="5"/>
  <c r="CB469" i="5"/>
  <c r="AU486" i="5"/>
  <c r="AV486" i="5" s="1"/>
  <c r="AR453" i="5"/>
  <c r="FR450" i="5"/>
  <c r="DC441" i="5"/>
  <c r="DC47" i="5"/>
  <c r="DF47" i="5"/>
  <c r="DY47" i="5"/>
  <c r="AY46" i="5"/>
  <c r="AM290" i="5"/>
  <c r="BW310" i="5"/>
  <c r="AM330" i="5"/>
  <c r="AY327" i="5"/>
  <c r="FR327" i="5"/>
  <c r="BW331" i="5"/>
  <c r="BZ325" i="5"/>
  <c r="CB325" i="5" s="1"/>
  <c r="FT270" i="5"/>
  <c r="BX270" i="5"/>
  <c r="BY270" i="5" s="1"/>
  <c r="DU270" i="5"/>
  <c r="BZ270" i="5"/>
  <c r="CB270" i="5" s="1"/>
  <c r="BZ349" i="5"/>
  <c r="CB349" i="5" s="1"/>
  <c r="DF343" i="5"/>
  <c r="AM351" i="5"/>
  <c r="AY350" i="5"/>
  <c r="FR350" i="5"/>
  <c r="DF355" i="5"/>
  <c r="BZ365" i="5"/>
  <c r="CB365" i="5" s="1"/>
  <c r="AM371" i="5"/>
  <c r="DF382" i="5"/>
  <c r="AM387" i="5"/>
  <c r="FR383" i="5"/>
  <c r="AY383" i="5"/>
  <c r="DU371" i="5"/>
  <c r="FT371" i="5"/>
  <c r="BX371" i="5"/>
  <c r="BZ392" i="5"/>
  <c r="CB392" i="5" s="1"/>
  <c r="DF400" i="5"/>
  <c r="BZ425" i="5"/>
  <c r="CB425" i="5" s="1"/>
  <c r="AG406" i="5"/>
  <c r="AM406" i="5"/>
  <c r="FR406" i="5"/>
  <c r="AY406" i="5"/>
  <c r="AZ406" i="5" s="1"/>
  <c r="CI406" i="5" s="1"/>
  <c r="BX422" i="5"/>
  <c r="DU422" i="5"/>
  <c r="FT422" i="5"/>
  <c r="R148" i="5"/>
  <c r="EF148" i="5" s="1"/>
  <c r="EE148" i="5" s="1"/>
  <c r="AU148" i="5"/>
  <c r="AJ171" i="5"/>
  <c r="BL23" i="5"/>
  <c r="DT23" i="5" s="1"/>
  <c r="DV23" i="5" s="1"/>
  <c r="BU23" i="5"/>
  <c r="BE23" i="5"/>
  <c r="FR23" i="5"/>
  <c r="BT23" i="5"/>
  <c r="FS25" i="5"/>
  <c r="CA25" i="5"/>
  <c r="CB25" i="5" s="1"/>
  <c r="DY28" i="5"/>
  <c r="DF28" i="5"/>
  <c r="DC28" i="5"/>
  <c r="BL31" i="5"/>
  <c r="DT31" i="5" s="1"/>
  <c r="DV31" i="5" s="1"/>
  <c r="BT31" i="5"/>
  <c r="BE31" i="5"/>
  <c r="BU31" i="5"/>
  <c r="FR31" i="5"/>
  <c r="FS33" i="5"/>
  <c r="CA33" i="5"/>
  <c r="CB33" i="5" s="1"/>
  <c r="DF36" i="5"/>
  <c r="DY36" i="5"/>
  <c r="DC36" i="5"/>
  <c r="FR39" i="5"/>
  <c r="BL39" i="5"/>
  <c r="DT39" i="5" s="1"/>
  <c r="DV39" i="5" s="1"/>
  <c r="EB39" i="5" s="1"/>
  <c r="BT39" i="5"/>
  <c r="BE39" i="5"/>
  <c r="BU39" i="5"/>
  <c r="CA41" i="5"/>
  <c r="CB41" i="5" s="1"/>
  <c r="FS41" i="5"/>
  <c r="DF44" i="5"/>
  <c r="DC44" i="5"/>
  <c r="DY44" i="5"/>
  <c r="BL47" i="5"/>
  <c r="DT47" i="5" s="1"/>
  <c r="DV47" i="5" s="1"/>
  <c r="BT47" i="5"/>
  <c r="BU47" i="5"/>
  <c r="BE47" i="5"/>
  <c r="FR47" i="5"/>
  <c r="FS49" i="5"/>
  <c r="CA49" i="5"/>
  <c r="CB49" i="5" s="1"/>
  <c r="DC52" i="5"/>
  <c r="DF52" i="5"/>
  <c r="DY52" i="5"/>
  <c r="AY22" i="5"/>
  <c r="AY31" i="5"/>
  <c r="AY39" i="5"/>
  <c r="AY47" i="5"/>
  <c r="AM252" i="5"/>
  <c r="AR278" i="5"/>
  <c r="CG278" i="5" s="1"/>
  <c r="DC278" i="5"/>
  <c r="AR282" i="5"/>
  <c r="DC282" i="5"/>
  <c r="DC331" i="5"/>
  <c r="AR331" i="5"/>
  <c r="CG331" i="5" s="1"/>
  <c r="AV334" i="5"/>
  <c r="DC349" i="5"/>
  <c r="AR349" i="5"/>
  <c r="CG349" i="5" s="1"/>
  <c r="DC353" i="5"/>
  <c r="AR353" i="5"/>
  <c r="AV356" i="5"/>
  <c r="AR360" i="5"/>
  <c r="DC360" i="5"/>
  <c r="AV370" i="5"/>
  <c r="AR374" i="5"/>
  <c r="DC374" i="5"/>
  <c r="AR378" i="5"/>
  <c r="CG378" i="5" s="1"/>
  <c r="DC378" i="5"/>
  <c r="AV381" i="5"/>
  <c r="AR385" i="5"/>
  <c r="CG385" i="5" s="1"/>
  <c r="DC385" i="5"/>
  <c r="AV388" i="5"/>
  <c r="AV398" i="5"/>
  <c r="AR402" i="5"/>
  <c r="CG402" i="5" s="1"/>
  <c r="DC402" i="5"/>
  <c r="AV406" i="5"/>
  <c r="AV416" i="5"/>
  <c r="AR422" i="5"/>
  <c r="CG422" i="5" s="1"/>
  <c r="DC422" i="5"/>
  <c r="AV429" i="5"/>
  <c r="AV436" i="5"/>
  <c r="AR440" i="5"/>
  <c r="CG440" i="5" s="1"/>
  <c r="AM256" i="5"/>
  <c r="BZ263" i="5"/>
  <c r="CB263" i="5" s="1"/>
  <c r="BZ255" i="5"/>
  <c r="CB255" i="5" s="1"/>
  <c r="DF258" i="5"/>
  <c r="FR257" i="5"/>
  <c r="AY257" i="5"/>
  <c r="FT262" i="5"/>
  <c r="BX262" i="5"/>
  <c r="DU262" i="5"/>
  <c r="BW262" i="5"/>
  <c r="AM269" i="5"/>
  <c r="DF268" i="5"/>
  <c r="FR265" i="5"/>
  <c r="AY265" i="5"/>
  <c r="BW269" i="5"/>
  <c r="BZ277" i="5"/>
  <c r="CB277" i="5" s="1"/>
  <c r="DF274" i="5"/>
  <c r="DF282" i="5"/>
  <c r="AM275" i="5"/>
  <c r="AM283" i="5"/>
  <c r="DY276" i="5"/>
  <c r="DY284" i="5"/>
  <c r="AY277" i="5"/>
  <c r="FR277" i="5"/>
  <c r="FR286" i="5"/>
  <c r="AY286" i="5"/>
  <c r="BW274" i="5"/>
  <c r="DU286" i="5"/>
  <c r="FT286" i="5"/>
  <c r="BX286" i="5"/>
  <c r="BW298" i="5"/>
  <c r="FT298" i="5"/>
  <c r="BX298" i="5"/>
  <c r="DU298" i="5"/>
  <c r="DY294" i="5"/>
  <c r="DY302" i="5"/>
  <c r="AY297" i="5"/>
  <c r="FR297" i="5"/>
  <c r="DF296" i="5"/>
  <c r="BZ322" i="5"/>
  <c r="CB322" i="5" s="1"/>
  <c r="BZ314" i="5"/>
  <c r="CB314" i="5" s="1"/>
  <c r="AM301" i="5"/>
  <c r="AM293" i="5"/>
  <c r="BZ297" i="5"/>
  <c r="CB297" i="5" s="1"/>
  <c r="AM303" i="5"/>
  <c r="BX307" i="5"/>
  <c r="BY307" i="5" s="1"/>
  <c r="DU307" i="5"/>
  <c r="BZ307" i="5"/>
  <c r="CB307" i="5" s="1"/>
  <c r="FT307" i="5"/>
  <c r="DF311" i="5"/>
  <c r="AM312" i="5"/>
  <c r="DF318" i="5"/>
  <c r="AM318" i="5"/>
  <c r="DY317" i="5"/>
  <c r="AY309" i="5"/>
  <c r="FR309" i="5"/>
  <c r="FR317" i="5"/>
  <c r="AY317" i="5"/>
  <c r="DS309" i="5"/>
  <c r="DS318" i="5"/>
  <c r="BW313" i="5"/>
  <c r="DU309" i="5"/>
  <c r="FT309" i="5"/>
  <c r="BX309" i="5"/>
  <c r="DU322" i="5"/>
  <c r="FT322" i="5"/>
  <c r="BX322" i="5"/>
  <c r="DF330" i="5"/>
  <c r="DF338" i="5"/>
  <c r="AM331" i="5"/>
  <c r="DY325" i="5"/>
  <c r="AY328" i="5"/>
  <c r="FR328" i="5"/>
  <c r="FR337" i="5"/>
  <c r="AY337" i="5"/>
  <c r="BW334" i="5"/>
  <c r="FT336" i="5"/>
  <c r="BX336" i="5"/>
  <c r="DU336" i="5"/>
  <c r="BX332" i="5"/>
  <c r="BZ332" i="5"/>
  <c r="CB332" i="5" s="1"/>
  <c r="DU332" i="5"/>
  <c r="FT332" i="5"/>
  <c r="BX324" i="5"/>
  <c r="BZ324" i="5"/>
  <c r="CB324" i="5" s="1"/>
  <c r="DU324" i="5"/>
  <c r="FT324" i="5"/>
  <c r="AE443" i="5"/>
  <c r="BZ269" i="5"/>
  <c r="CB269" i="5" s="1"/>
  <c r="BZ288" i="5"/>
  <c r="CB288" i="5" s="1"/>
  <c r="BZ417" i="5"/>
  <c r="CB417" i="5" s="1"/>
  <c r="FT376" i="5"/>
  <c r="BX376" i="5"/>
  <c r="BY376" i="5" s="1"/>
  <c r="DU376" i="5"/>
  <c r="BZ376" i="5"/>
  <c r="CB376" i="5" s="1"/>
  <c r="BZ348" i="5"/>
  <c r="CB348" i="5" s="1"/>
  <c r="DU348" i="5"/>
  <c r="FT348" i="5"/>
  <c r="BX348" i="5"/>
  <c r="BZ340" i="5"/>
  <c r="CB340" i="5" s="1"/>
  <c r="DU340" i="5"/>
  <c r="FT340" i="5"/>
  <c r="BX340" i="5"/>
  <c r="DF344" i="5"/>
  <c r="DF352" i="5"/>
  <c r="AM344" i="5"/>
  <c r="AM352" i="5"/>
  <c r="DY344" i="5"/>
  <c r="DY352" i="5"/>
  <c r="FR341" i="5"/>
  <c r="AY341" i="5"/>
  <c r="FR351" i="5"/>
  <c r="AY351" i="5"/>
  <c r="BW350" i="5"/>
  <c r="DF356" i="5"/>
  <c r="AM355" i="5"/>
  <c r="AM363" i="5"/>
  <c r="DF366" i="5"/>
  <c r="AM367" i="5"/>
  <c r="DY367" i="5"/>
  <c r="FR358" i="5"/>
  <c r="AY358" i="5"/>
  <c r="FR367" i="5"/>
  <c r="AY367" i="5"/>
  <c r="BX365" i="5"/>
  <c r="DU365" i="5"/>
  <c r="FT365" i="5"/>
  <c r="BW367" i="5"/>
  <c r="FT364" i="5"/>
  <c r="BX364" i="5"/>
  <c r="BY364" i="5" s="1"/>
  <c r="DU364" i="5"/>
  <c r="BZ364" i="5"/>
  <c r="CB364" i="5" s="1"/>
  <c r="BX356" i="5"/>
  <c r="BY356" i="5" s="1"/>
  <c r="BZ356" i="5"/>
  <c r="CB356" i="5" s="1"/>
  <c r="FT356" i="5"/>
  <c r="DU356" i="5"/>
  <c r="AE373" i="5"/>
  <c r="DF373" i="5"/>
  <c r="AM374" i="5"/>
  <c r="BX378" i="5"/>
  <c r="BY378" i="5" s="1"/>
  <c r="BZ378" i="5"/>
  <c r="CB378" i="5" s="1"/>
  <c r="DU378" i="5"/>
  <c r="FT378" i="5"/>
  <c r="BZ381" i="5"/>
  <c r="CB381" i="5" s="1"/>
  <c r="DF383" i="5"/>
  <c r="AM380" i="5"/>
  <c r="AM388" i="5"/>
  <c r="DY378" i="5"/>
  <c r="AY376" i="5"/>
  <c r="FR376" i="5"/>
  <c r="AY384" i="5"/>
  <c r="FR384" i="5"/>
  <c r="DS374" i="5"/>
  <c r="DS382" i="5"/>
  <c r="BX373" i="5"/>
  <c r="DU373" i="5"/>
  <c r="FT373" i="5"/>
  <c r="DU387" i="5"/>
  <c r="FT387" i="5"/>
  <c r="BX387" i="5"/>
  <c r="BW382" i="5"/>
  <c r="BZ399" i="5"/>
  <c r="CB399" i="5" s="1"/>
  <c r="BZ391" i="5"/>
  <c r="CB391" i="5" s="1"/>
  <c r="DF393" i="5"/>
  <c r="DF401" i="5"/>
  <c r="AM392" i="5"/>
  <c r="AM400" i="5"/>
  <c r="DY399" i="5"/>
  <c r="FR390" i="5"/>
  <c r="AY390" i="5"/>
  <c r="FR398" i="5"/>
  <c r="AY398" i="5"/>
  <c r="AZ398" i="5" s="1"/>
  <c r="CI398" i="5" s="1"/>
  <c r="DS389" i="5"/>
  <c r="DS397" i="5"/>
  <c r="DS405" i="5"/>
  <c r="BX402" i="5"/>
  <c r="DU402" i="5"/>
  <c r="FT402" i="5"/>
  <c r="BW399" i="5"/>
  <c r="BZ407" i="5"/>
  <c r="CB407" i="5" s="1"/>
  <c r="DF411" i="5"/>
  <c r="DF419" i="5"/>
  <c r="AM407" i="5"/>
  <c r="AM415" i="5"/>
  <c r="AM423" i="5"/>
  <c r="DY411" i="5"/>
  <c r="DY419" i="5"/>
  <c r="FR407" i="5"/>
  <c r="AY407" i="5"/>
  <c r="FR415" i="5"/>
  <c r="AY415" i="5"/>
  <c r="AY424" i="5"/>
  <c r="FR424" i="5"/>
  <c r="DS412" i="5"/>
  <c r="DS420" i="5"/>
  <c r="BX410" i="5"/>
  <c r="DU410" i="5"/>
  <c r="FT410" i="5"/>
  <c r="FT424" i="5"/>
  <c r="BX424" i="5"/>
  <c r="BW416" i="5"/>
  <c r="DF428" i="5"/>
  <c r="DF436" i="5"/>
  <c r="BZ432" i="5"/>
  <c r="CB432" i="5" s="1"/>
  <c r="DU432" i="5"/>
  <c r="BZ440" i="5"/>
  <c r="CB440" i="5" s="1"/>
  <c r="AM428" i="5"/>
  <c r="AM436" i="5"/>
  <c r="FR428" i="5"/>
  <c r="AY428" i="5"/>
  <c r="FR436" i="5"/>
  <c r="AY436" i="5"/>
  <c r="AZ436" i="5" s="1"/>
  <c r="CI436" i="5" s="1"/>
  <c r="DS440" i="5"/>
  <c r="BW431" i="5"/>
  <c r="FT428" i="5"/>
  <c r="BX428" i="5"/>
  <c r="DU428" i="5"/>
  <c r="DF95" i="5"/>
  <c r="DC95" i="5"/>
  <c r="AE103" i="5"/>
  <c r="AG103" i="5" s="1"/>
  <c r="DC103" i="5"/>
  <c r="DF103" i="5"/>
  <c r="BX101" i="5"/>
  <c r="BY101" i="5" s="1"/>
  <c r="BZ101" i="5"/>
  <c r="CB101" i="5" s="1"/>
  <c r="DU101" i="5"/>
  <c r="FT101" i="5"/>
  <c r="R101" i="5"/>
  <c r="EF101" i="5" s="1"/>
  <c r="EE101" i="5" s="1"/>
  <c r="AU101" i="5"/>
  <c r="DS102" i="5"/>
  <c r="R491" i="5"/>
  <c r="EF491" i="5" s="1"/>
  <c r="EE491" i="5" s="1"/>
  <c r="BX152" i="5"/>
  <c r="BY152" i="5" s="1"/>
  <c r="FT152" i="5"/>
  <c r="DU152" i="5"/>
  <c r="BZ152" i="5"/>
  <c r="CB152" i="5" s="1"/>
  <c r="DC150" i="5"/>
  <c r="DF150" i="5"/>
  <c r="DY148" i="5"/>
  <c r="AY150" i="5"/>
  <c r="FR150" i="5"/>
  <c r="AY421" i="5"/>
  <c r="FR421" i="5"/>
  <c r="AJ217" i="5"/>
  <c r="X104" i="5"/>
  <c r="V95" i="5" s="1"/>
  <c r="BL152" i="5"/>
  <c r="DT152" i="5" s="1"/>
  <c r="BT152" i="5"/>
  <c r="BE152" i="5"/>
  <c r="BF152" i="5" s="1"/>
  <c r="BH152" i="5" s="1"/>
  <c r="BU152" i="5"/>
  <c r="FS152" i="5"/>
  <c r="BL217" i="5"/>
  <c r="DT217" i="5" s="1"/>
  <c r="DV217" i="5" s="1"/>
  <c r="EB217" i="5" s="1"/>
  <c r="BT217" i="5"/>
  <c r="BU217" i="5"/>
  <c r="FS217" i="5"/>
  <c r="BX500" i="5"/>
  <c r="BY500" i="5" s="1"/>
  <c r="CC500" i="5" s="1"/>
  <c r="AR500" i="5"/>
  <c r="CA499" i="5"/>
  <c r="CB499" i="5" s="1"/>
  <c r="AU499" i="5"/>
  <c r="AV499" i="5" s="1"/>
  <c r="FT498" i="5"/>
  <c r="FS498" i="5" s="1"/>
  <c r="FU498" i="5" s="1"/>
  <c r="AY498" i="5"/>
  <c r="DU496" i="5"/>
  <c r="DV496" i="5" s="1"/>
  <c r="EB496" i="5" s="1"/>
  <c r="DC495" i="5"/>
  <c r="AR492" i="5"/>
  <c r="AU491" i="5"/>
  <c r="AV491" i="5" s="1"/>
  <c r="DC487" i="5"/>
  <c r="AR484" i="5"/>
  <c r="AU483" i="5"/>
  <c r="AV483" i="5" s="1"/>
  <c r="AR476" i="5"/>
  <c r="AU475" i="5"/>
  <c r="AV475" i="5" s="1"/>
  <c r="DC471" i="5"/>
  <c r="FS469" i="5"/>
  <c r="FU469" i="5" s="1"/>
  <c r="CG453" i="5"/>
  <c r="BW453" i="5"/>
  <c r="FT452" i="5"/>
  <c r="AY452" i="5"/>
  <c r="AZ452" i="5" s="1"/>
  <c r="CI452" i="5" s="1"/>
  <c r="AM450" i="5"/>
  <c r="BX448" i="5"/>
  <c r="AR448" i="5"/>
  <c r="CG448" i="5" s="1"/>
  <c r="AY447" i="5"/>
  <c r="DC446" i="5"/>
  <c r="FR445" i="5"/>
  <c r="AM445" i="5"/>
  <c r="DU444" i="5"/>
  <c r="BZ444" i="5"/>
  <c r="CB444" i="5" s="1"/>
  <c r="BX443" i="5"/>
  <c r="BY443" i="5" s="1"/>
  <c r="FT436" i="5"/>
  <c r="FR435" i="5"/>
  <c r="AR432" i="5"/>
  <c r="CG432" i="5" s="1"/>
  <c r="AY418" i="5"/>
  <c r="FS144" i="5"/>
  <c r="FS44" i="5"/>
  <c r="CA44" i="5"/>
  <c r="CB44" i="5" s="1"/>
  <c r="AY21" i="5"/>
  <c r="AZ327" i="5"/>
  <c r="CI327" i="5" s="1"/>
  <c r="DC327" i="5"/>
  <c r="AR327" i="5"/>
  <c r="CG327" i="5" s="1"/>
  <c r="AR370" i="5"/>
  <c r="DC370" i="5"/>
  <c r="DC388" i="5"/>
  <c r="AR388" i="5"/>
  <c r="CG388" i="5" s="1"/>
  <c r="AR406" i="5"/>
  <c r="CG406" i="5" s="1"/>
  <c r="DC406" i="5"/>
  <c r="DC429" i="5"/>
  <c r="AR429" i="5"/>
  <c r="BW261" i="5"/>
  <c r="FR264" i="5"/>
  <c r="AY264" i="5"/>
  <c r="AH278" i="5"/>
  <c r="BZ278" i="5"/>
  <c r="CB278" i="5" s="1"/>
  <c r="DF281" i="5"/>
  <c r="AY284" i="5"/>
  <c r="FR284" i="5"/>
  <c r="DF295" i="5"/>
  <c r="DF337" i="5"/>
  <c r="BZ377" i="5"/>
  <c r="CB377" i="5" s="1"/>
  <c r="DF351" i="5"/>
  <c r="FT400" i="5"/>
  <c r="BX400" i="5"/>
  <c r="BZ400" i="5"/>
  <c r="CB400" i="5" s="1"/>
  <c r="DU400" i="5"/>
  <c r="FS130" i="5"/>
  <c r="FS138" i="5"/>
  <c r="FS146" i="5"/>
  <c r="AU112" i="5"/>
  <c r="DY22" i="5"/>
  <c r="DC22" i="5"/>
  <c r="DF22" i="5"/>
  <c r="DY25" i="5"/>
  <c r="DC25" i="5"/>
  <c r="DF25" i="5"/>
  <c r="BT28" i="5"/>
  <c r="BE28" i="5"/>
  <c r="BU28" i="5"/>
  <c r="FR28" i="5"/>
  <c r="FU28" i="5" s="1"/>
  <c r="BL28" i="5"/>
  <c r="DT28" i="5" s="1"/>
  <c r="DV28" i="5" s="1"/>
  <c r="EB28" i="5" s="1"/>
  <c r="FS30" i="5"/>
  <c r="CA30" i="5"/>
  <c r="DY33" i="5"/>
  <c r="DC33" i="5"/>
  <c r="DF33" i="5"/>
  <c r="BT36" i="5"/>
  <c r="BE36" i="5"/>
  <c r="BU36" i="5"/>
  <c r="BL36" i="5"/>
  <c r="DT36" i="5" s="1"/>
  <c r="DV36" i="5" s="1"/>
  <c r="EB36" i="5" s="1"/>
  <c r="FR36" i="5"/>
  <c r="FU36" i="5" s="1"/>
  <c r="CA38" i="5"/>
  <c r="CB38" i="5" s="1"/>
  <c r="FS38" i="5"/>
  <c r="DY41" i="5"/>
  <c r="DC41" i="5"/>
  <c r="DF41" i="5"/>
  <c r="BL44" i="5"/>
  <c r="DT44" i="5" s="1"/>
  <c r="DV44" i="5" s="1"/>
  <c r="EB44" i="5" s="1"/>
  <c r="BT44" i="5"/>
  <c r="BE44" i="5"/>
  <c r="BU44" i="5"/>
  <c r="FR44" i="5"/>
  <c r="FS46" i="5"/>
  <c r="CA46" i="5"/>
  <c r="CB46" i="5" s="1"/>
  <c r="DY49" i="5"/>
  <c r="DF49" i="5"/>
  <c r="DC49" i="5"/>
  <c r="BE52" i="5"/>
  <c r="BU52" i="5"/>
  <c r="FR52" i="5"/>
  <c r="BL52" i="5"/>
  <c r="DT52" i="5" s="1"/>
  <c r="DV52" i="5" s="1"/>
  <c r="BT52" i="5"/>
  <c r="AY23" i="5"/>
  <c r="AY32" i="5"/>
  <c r="AZ32" i="5" s="1"/>
  <c r="AY40" i="5"/>
  <c r="AY48" i="5"/>
  <c r="DU252" i="5"/>
  <c r="BX252" i="5"/>
  <c r="BZ252" i="5"/>
  <c r="CB252" i="5" s="1"/>
  <c r="FT252" i="5"/>
  <c r="R265" i="5"/>
  <c r="EF265" i="5" s="1"/>
  <c r="EE265" i="5" s="1"/>
  <c r="AU265" i="5"/>
  <c r="R269" i="5"/>
  <c r="EF269" i="5" s="1"/>
  <c r="EE269" i="5" s="1"/>
  <c r="AU269" i="5"/>
  <c r="DC274" i="5"/>
  <c r="AR274" i="5"/>
  <c r="R278" i="5"/>
  <c r="AU278" i="5"/>
  <c r="AV278" i="5" s="1"/>
  <c r="AV282" i="5"/>
  <c r="AV327" i="5"/>
  <c r="AV331" i="5"/>
  <c r="DC335" i="5"/>
  <c r="AR335" i="5"/>
  <c r="DC338" i="5"/>
  <c r="AR338" i="5"/>
  <c r="CG338" i="5" s="1"/>
  <c r="DC342" i="5"/>
  <c r="AR342" i="5"/>
  <c r="DC346" i="5"/>
  <c r="AR346" i="5"/>
  <c r="CG346" i="5" s="1"/>
  <c r="AV349" i="5"/>
  <c r="AV353" i="5"/>
  <c r="AV360" i="5"/>
  <c r="DC364" i="5"/>
  <c r="AR364" i="5"/>
  <c r="CG364" i="5" s="1"/>
  <c r="AV374" i="5"/>
  <c r="AV378" i="5"/>
  <c r="AV385" i="5"/>
  <c r="AV402" i="5"/>
  <c r="DC412" i="5"/>
  <c r="AR412" i="5"/>
  <c r="AV422" i="5"/>
  <c r="AR430" i="5"/>
  <c r="CG430" i="5" s="1"/>
  <c r="DC430" i="5"/>
  <c r="DC433" i="5"/>
  <c r="AR433" i="5"/>
  <c r="AM257" i="5"/>
  <c r="BZ262" i="5"/>
  <c r="CB262" i="5" s="1"/>
  <c r="BZ254" i="5"/>
  <c r="CB254" i="5" s="1"/>
  <c r="DF259" i="5"/>
  <c r="DY253" i="5"/>
  <c r="DY261" i="5"/>
  <c r="FR258" i="5"/>
  <c r="AY258" i="5"/>
  <c r="DS255" i="5"/>
  <c r="DS263" i="5"/>
  <c r="FT263" i="5"/>
  <c r="BX263" i="5"/>
  <c r="DU263" i="5"/>
  <c r="BW263" i="5"/>
  <c r="CG370" i="5"/>
  <c r="CG282" i="5"/>
  <c r="CG274" i="5"/>
  <c r="AM270" i="5"/>
  <c r="DF269" i="5"/>
  <c r="DY267" i="5"/>
  <c r="FR266" i="5"/>
  <c r="AY266" i="5"/>
  <c r="FT266" i="5"/>
  <c r="BX266" i="5"/>
  <c r="DU266" i="5"/>
  <c r="FT271" i="5"/>
  <c r="BX271" i="5"/>
  <c r="DU271" i="5"/>
  <c r="BX276" i="5"/>
  <c r="BY276" i="5" s="1"/>
  <c r="BZ276" i="5"/>
  <c r="CB276" i="5" s="1"/>
  <c r="DU276" i="5"/>
  <c r="FT276" i="5"/>
  <c r="DF275" i="5"/>
  <c r="DF283" i="5"/>
  <c r="AM276" i="5"/>
  <c r="AM284" i="5"/>
  <c r="DY277" i="5"/>
  <c r="DY285" i="5"/>
  <c r="FR278" i="5"/>
  <c r="AY278" i="5"/>
  <c r="FR287" i="5"/>
  <c r="AY287" i="5"/>
  <c r="FT274" i="5"/>
  <c r="BX274" i="5"/>
  <c r="DU274" i="5"/>
  <c r="BW275" i="5"/>
  <c r="FR285" i="5"/>
  <c r="AY285" i="5"/>
  <c r="DY289" i="5"/>
  <c r="FT288" i="5"/>
  <c r="BX288" i="5"/>
  <c r="DU288" i="5"/>
  <c r="BW299" i="5"/>
  <c r="BX299" i="5"/>
  <c r="DU299" i="5"/>
  <c r="FT299" i="5"/>
  <c r="DY295" i="5"/>
  <c r="FR302" i="5"/>
  <c r="AY302" i="5"/>
  <c r="AZ302" i="5" s="1"/>
  <c r="CI302" i="5" s="1"/>
  <c r="AY298" i="5"/>
  <c r="AZ298" i="5" s="1"/>
  <c r="CI298" i="5" s="1"/>
  <c r="FR298" i="5"/>
  <c r="DF297" i="5"/>
  <c r="BZ321" i="5"/>
  <c r="CB321" i="5" s="1"/>
  <c r="BZ313" i="5"/>
  <c r="CB313" i="5" s="1"/>
  <c r="AM300" i="5"/>
  <c r="AM292" i="5"/>
  <c r="BZ296" i="5"/>
  <c r="CB296" i="5" s="1"/>
  <c r="AM304" i="5"/>
  <c r="DY307" i="5"/>
  <c r="BZ306" i="5"/>
  <c r="CB306" i="5" s="1"/>
  <c r="DF312" i="5"/>
  <c r="AM313" i="5"/>
  <c r="DF317" i="5"/>
  <c r="AM319" i="5"/>
  <c r="DY310" i="5"/>
  <c r="DY318" i="5"/>
  <c r="FR310" i="5"/>
  <c r="AY310" i="5"/>
  <c r="FR318" i="5"/>
  <c r="AY318" i="5"/>
  <c r="DS310" i="5"/>
  <c r="DS319" i="5"/>
  <c r="BW314" i="5"/>
  <c r="BX310" i="5"/>
  <c r="FT310" i="5"/>
  <c r="DU310" i="5"/>
  <c r="FT323" i="5"/>
  <c r="BX323" i="5"/>
  <c r="DU323" i="5"/>
  <c r="DF331" i="5"/>
  <c r="AM324" i="5"/>
  <c r="AM332" i="5"/>
  <c r="DY324" i="5"/>
  <c r="DY333" i="5"/>
  <c r="FR329" i="5"/>
  <c r="AY329" i="5"/>
  <c r="AY338" i="5"/>
  <c r="AZ338" i="5" s="1"/>
  <c r="CI338" i="5" s="1"/>
  <c r="FR338" i="5"/>
  <c r="BW336" i="5"/>
  <c r="FT338" i="5"/>
  <c r="BX338" i="5"/>
  <c r="DU338" i="5"/>
  <c r="BZ331" i="5"/>
  <c r="CB331" i="5" s="1"/>
  <c r="BZ268" i="5"/>
  <c r="CB268" i="5" s="1"/>
  <c r="FT287" i="5"/>
  <c r="BX287" i="5"/>
  <c r="BY287" i="5" s="1"/>
  <c r="DU287" i="5"/>
  <c r="BZ287" i="5"/>
  <c r="CB287" i="5" s="1"/>
  <c r="BZ416" i="5"/>
  <c r="CB416" i="5" s="1"/>
  <c r="BZ375" i="5"/>
  <c r="CB375" i="5" s="1"/>
  <c r="BX347" i="5"/>
  <c r="BY347" i="5" s="1"/>
  <c r="BZ347" i="5"/>
  <c r="CB347" i="5" s="1"/>
  <c r="DU347" i="5"/>
  <c r="FT347" i="5"/>
  <c r="BX339" i="5"/>
  <c r="BY339" i="5" s="1"/>
  <c r="BZ339" i="5"/>
  <c r="CB339" i="5" s="1"/>
  <c r="DU339" i="5"/>
  <c r="FT339" i="5"/>
  <c r="AE345" i="5"/>
  <c r="DF345" i="5"/>
  <c r="DF353" i="5"/>
  <c r="AM345" i="5"/>
  <c r="AM353" i="5"/>
  <c r="DY345" i="5"/>
  <c r="DY353" i="5"/>
  <c r="AY342" i="5"/>
  <c r="FR342" i="5"/>
  <c r="FR352" i="5"/>
  <c r="AY352" i="5"/>
  <c r="AZ352" i="5" s="1"/>
  <c r="CI352" i="5" s="1"/>
  <c r="DS344" i="5"/>
  <c r="FT341" i="5"/>
  <c r="BX341" i="5"/>
  <c r="DU341" i="5"/>
  <c r="DF357" i="5"/>
  <c r="AM356" i="5"/>
  <c r="DF367" i="5"/>
  <c r="AG368" i="5"/>
  <c r="AM368" i="5"/>
  <c r="DY360" i="5"/>
  <c r="DY368" i="5"/>
  <c r="AY359" i="5"/>
  <c r="FR359" i="5"/>
  <c r="AY368" i="5"/>
  <c r="AZ368" i="5" s="1"/>
  <c r="CI368" i="5" s="1"/>
  <c r="FR368" i="5"/>
  <c r="DU367" i="5"/>
  <c r="FT367" i="5"/>
  <c r="BX367" i="5"/>
  <c r="BW369" i="5"/>
  <c r="BZ363" i="5"/>
  <c r="CB363" i="5" s="1"/>
  <c r="FT355" i="5"/>
  <c r="BX355" i="5"/>
  <c r="BY355" i="5" s="1"/>
  <c r="BZ355" i="5"/>
  <c r="CB355" i="5" s="1"/>
  <c r="DU355" i="5"/>
  <c r="DF374" i="5"/>
  <c r="AM375" i="5"/>
  <c r="BZ388" i="5"/>
  <c r="CB388" i="5" s="1"/>
  <c r="BZ380" i="5"/>
  <c r="CB380" i="5" s="1"/>
  <c r="DF384" i="5"/>
  <c r="AM381" i="5"/>
  <c r="DY371" i="5"/>
  <c r="DY379" i="5"/>
  <c r="DY387" i="5"/>
  <c r="AY377" i="5"/>
  <c r="FR377" i="5"/>
  <c r="AY385" i="5"/>
  <c r="FR385" i="5"/>
  <c r="DS375" i="5"/>
  <c r="DS383" i="5"/>
  <c r="DU375" i="5"/>
  <c r="FT375" i="5"/>
  <c r="BX375" i="5"/>
  <c r="FT388" i="5"/>
  <c r="DU388" i="5"/>
  <c r="BX388" i="5"/>
  <c r="BW383" i="5"/>
  <c r="BZ398" i="5"/>
  <c r="CB398" i="5" s="1"/>
  <c r="BX390" i="5"/>
  <c r="DU390" i="5"/>
  <c r="FT390" i="5"/>
  <c r="BZ390" i="5"/>
  <c r="CB390" i="5" s="1"/>
  <c r="DF394" i="5"/>
  <c r="DF402" i="5"/>
  <c r="AM393" i="5"/>
  <c r="AM401" i="5"/>
  <c r="DY394" i="5"/>
  <c r="DY400" i="5"/>
  <c r="FR391" i="5"/>
  <c r="AY391" i="5"/>
  <c r="FR399" i="5"/>
  <c r="AY399" i="5"/>
  <c r="DS390" i="5"/>
  <c r="DS398" i="5"/>
  <c r="DU391" i="5"/>
  <c r="FT391" i="5"/>
  <c r="BX391" i="5"/>
  <c r="FT404" i="5"/>
  <c r="BX404" i="5"/>
  <c r="DU404" i="5"/>
  <c r="BW401" i="5"/>
  <c r="BX406" i="5"/>
  <c r="BZ406" i="5"/>
  <c r="CB406" i="5" s="1"/>
  <c r="DU406" i="5"/>
  <c r="FT406" i="5"/>
  <c r="DF412" i="5"/>
  <c r="DF420" i="5"/>
  <c r="AM408" i="5"/>
  <c r="AM416" i="5"/>
  <c r="AM424" i="5"/>
  <c r="DY412" i="5"/>
  <c r="DY420" i="5"/>
  <c r="AY408" i="5"/>
  <c r="AZ408" i="5" s="1"/>
  <c r="CI408" i="5" s="1"/>
  <c r="FR408" i="5"/>
  <c r="AY416" i="5"/>
  <c r="FR416" i="5"/>
  <c r="AY425" i="5"/>
  <c r="FR425" i="5"/>
  <c r="DS413" i="5"/>
  <c r="DS421" i="5"/>
  <c r="BX413" i="5"/>
  <c r="DU413" i="5"/>
  <c r="FT413" i="5"/>
  <c r="BX425" i="5"/>
  <c r="BY425" i="5" s="1"/>
  <c r="DU425" i="5"/>
  <c r="FT425" i="5"/>
  <c r="DF429" i="5"/>
  <c r="DF437" i="5"/>
  <c r="BZ441" i="5"/>
  <c r="CB441" i="5" s="1"/>
  <c r="AM429" i="5"/>
  <c r="AM437" i="5"/>
  <c r="DY433" i="5"/>
  <c r="AY429" i="5"/>
  <c r="FR429" i="5"/>
  <c r="AY437" i="5"/>
  <c r="FR437" i="5"/>
  <c r="DS433" i="5"/>
  <c r="FT429" i="5"/>
  <c r="BX429" i="5"/>
  <c r="DC96" i="5"/>
  <c r="DF96" i="5"/>
  <c r="AE104" i="5"/>
  <c r="DC104" i="5"/>
  <c r="DF104" i="5"/>
  <c r="DU100" i="5"/>
  <c r="BX100" i="5"/>
  <c r="BY100" i="5" s="1"/>
  <c r="BZ100" i="5"/>
  <c r="CB100" i="5" s="1"/>
  <c r="FT100" i="5"/>
  <c r="DY98" i="5"/>
  <c r="R100" i="5"/>
  <c r="AU100" i="5"/>
  <c r="DS95" i="5"/>
  <c r="DS103" i="5"/>
  <c r="BX151" i="5"/>
  <c r="BY151" i="5" s="1"/>
  <c r="FT151" i="5"/>
  <c r="BZ151" i="5"/>
  <c r="CB151" i="5" s="1"/>
  <c r="DU151" i="5"/>
  <c r="DC149" i="5"/>
  <c r="DF149" i="5"/>
  <c r="DY153" i="5"/>
  <c r="FR149" i="5"/>
  <c r="AY149" i="5"/>
  <c r="BW273" i="5"/>
  <c r="AJ198" i="5"/>
  <c r="AJ199" i="5" s="1"/>
  <c r="BT149" i="5"/>
  <c r="BE149" i="5"/>
  <c r="BF149" i="5" s="1"/>
  <c r="BH149" i="5" s="1"/>
  <c r="BU149" i="5"/>
  <c r="FS149" i="5"/>
  <c r="BL149" i="5"/>
  <c r="DT149" i="5" s="1"/>
  <c r="AJ22" i="5"/>
  <c r="AN21" i="5"/>
  <c r="DO21" i="5" s="1"/>
  <c r="BX497" i="5"/>
  <c r="BY497" i="5" s="1"/>
  <c r="AR497" i="5"/>
  <c r="AU496" i="5"/>
  <c r="AV496" i="5" s="1"/>
  <c r="FT495" i="5"/>
  <c r="FS495" i="5" s="1"/>
  <c r="FU495" i="5" s="1"/>
  <c r="AY495" i="5"/>
  <c r="AZ495" i="5" s="1"/>
  <c r="DC492" i="5"/>
  <c r="AR489" i="5"/>
  <c r="AU488" i="5"/>
  <c r="AV488" i="5" s="1"/>
  <c r="DC484" i="5"/>
  <c r="AR481" i="5"/>
  <c r="AU480" i="5"/>
  <c r="AV480" i="5" s="1"/>
  <c r="AR473" i="5"/>
  <c r="AU472" i="5"/>
  <c r="AV472" i="5" s="1"/>
  <c r="DU469" i="5"/>
  <c r="DV469" i="5" s="1"/>
  <c r="EB469" i="5" s="1"/>
  <c r="DF453" i="5"/>
  <c r="AY453" i="5"/>
  <c r="AZ453" i="5" s="1"/>
  <c r="CI453" i="5" s="1"/>
  <c r="FR451" i="5"/>
  <c r="AM451" i="5"/>
  <c r="DU450" i="5"/>
  <c r="BZ450" i="5"/>
  <c r="CB450" i="5" s="1"/>
  <c r="BX449" i="5"/>
  <c r="AR449" i="5"/>
  <c r="CG449" i="5" s="1"/>
  <c r="BW448" i="5"/>
  <c r="BY448" i="5" s="1"/>
  <c r="FT447" i="5"/>
  <c r="DU445" i="5"/>
  <c r="BZ445" i="5"/>
  <c r="CB445" i="5" s="1"/>
  <c r="FT442" i="5"/>
  <c r="AY442" i="5"/>
  <c r="DU441" i="5"/>
  <c r="FT439" i="5"/>
  <c r="DU439" i="5"/>
  <c r="DF435" i="5"/>
  <c r="AY422" i="5"/>
  <c r="FS128" i="5"/>
  <c r="BL26" i="5"/>
  <c r="DT26" i="5" s="1"/>
  <c r="DV26" i="5" s="1"/>
  <c r="EB26" i="5" s="1"/>
  <c r="BT26" i="5"/>
  <c r="FR26" i="5"/>
  <c r="BE26" i="5"/>
  <c r="BU26" i="5"/>
  <c r="DY31" i="5"/>
  <c r="DC31" i="5"/>
  <c r="DF31" i="5"/>
  <c r="AY30" i="5"/>
  <c r="DF252" i="5"/>
  <c r="DU261" i="5"/>
  <c r="FT261" i="5"/>
  <c r="BX261" i="5"/>
  <c r="CG412" i="5"/>
  <c r="BW286" i="5"/>
  <c r="AM294" i="5"/>
  <c r="AM338" i="5"/>
  <c r="DY351" i="5"/>
  <c r="AM366" i="5"/>
  <c r="DU363" i="5"/>
  <c r="FT363" i="5"/>
  <c r="BX363" i="5"/>
  <c r="DF372" i="5"/>
  <c r="BW381" i="5"/>
  <c r="AM391" i="5"/>
  <c r="AY389" i="5"/>
  <c r="FR389" i="5"/>
  <c r="BX401" i="5"/>
  <c r="DU401" i="5"/>
  <c r="FT401" i="5"/>
  <c r="DF410" i="5"/>
  <c r="AM422" i="5"/>
  <c r="FR423" i="5"/>
  <c r="AY423" i="5"/>
  <c r="DF427" i="5"/>
  <c r="BW429" i="5"/>
  <c r="FT153" i="5"/>
  <c r="BZ153" i="5"/>
  <c r="CB153" i="5" s="1"/>
  <c r="DU153" i="5"/>
  <c r="BX153" i="5"/>
  <c r="BY153" i="5" s="1"/>
  <c r="DF293" i="5"/>
  <c r="FS137" i="5"/>
  <c r="AU144" i="5"/>
  <c r="FS139" i="5"/>
  <c r="FS147" i="5"/>
  <c r="AU86" i="5"/>
  <c r="BT22" i="5"/>
  <c r="BU22" i="5"/>
  <c r="BE22" i="5"/>
  <c r="FR22" i="5"/>
  <c r="FU22" i="5" s="1"/>
  <c r="BL22" i="5"/>
  <c r="DT22" i="5" s="1"/>
  <c r="DV22" i="5" s="1"/>
  <c r="BE25" i="5"/>
  <c r="BU25" i="5"/>
  <c r="BL25" i="5"/>
  <c r="DT25" i="5" s="1"/>
  <c r="DV25" i="5" s="1"/>
  <c r="EB25" i="5" s="1"/>
  <c r="BT25" i="5"/>
  <c r="FR25" i="5"/>
  <c r="DY30" i="5"/>
  <c r="DC30" i="5"/>
  <c r="DF30" i="5"/>
  <c r="BE33" i="5"/>
  <c r="BU33" i="5"/>
  <c r="FR33" i="5"/>
  <c r="BL33" i="5"/>
  <c r="DT33" i="5" s="1"/>
  <c r="DV33" i="5" s="1"/>
  <c r="BT33" i="5"/>
  <c r="DY38" i="5"/>
  <c r="DC38" i="5"/>
  <c r="DF38" i="5"/>
  <c r="BL41" i="5"/>
  <c r="DT41" i="5" s="1"/>
  <c r="DV41" i="5" s="1"/>
  <c r="EB41" i="5" s="1"/>
  <c r="BT41" i="5"/>
  <c r="BE41" i="5"/>
  <c r="BU41" i="5"/>
  <c r="FR41" i="5"/>
  <c r="FU41" i="5" s="1"/>
  <c r="CA43" i="5"/>
  <c r="CB43" i="5" s="1"/>
  <c r="FS43" i="5"/>
  <c r="DF46" i="5"/>
  <c r="DY46" i="5"/>
  <c r="DC46" i="5"/>
  <c r="BE49" i="5"/>
  <c r="BU49" i="5"/>
  <c r="FR49" i="5"/>
  <c r="BL49" i="5"/>
  <c r="DT49" i="5" s="1"/>
  <c r="DV49" i="5" s="1"/>
  <c r="EB49" i="5" s="1"/>
  <c r="BT49" i="5"/>
  <c r="CA51" i="5"/>
  <c r="FS51" i="5"/>
  <c r="AY25" i="5"/>
  <c r="AY33" i="5"/>
  <c r="AY41" i="5"/>
  <c r="AY49" i="5"/>
  <c r="R252" i="5"/>
  <c r="EF252" i="5" s="1"/>
  <c r="EE252" i="5" s="1"/>
  <c r="AU252" i="5"/>
  <c r="DC254" i="5"/>
  <c r="AR254" i="5"/>
  <c r="CG254" i="5" s="1"/>
  <c r="AZ258" i="5"/>
  <c r="CI258" i="5" s="1"/>
  <c r="DC258" i="5"/>
  <c r="AR258" i="5"/>
  <c r="CG258" i="5" s="1"/>
  <c r="DC262" i="5"/>
  <c r="AR262" i="5"/>
  <c r="R274" i="5"/>
  <c r="AU274" i="5"/>
  <c r="AV274" i="5" s="1"/>
  <c r="DC306" i="5"/>
  <c r="AR306" i="5"/>
  <c r="CG306" i="5" s="1"/>
  <c r="AV338" i="5"/>
  <c r="AR357" i="5"/>
  <c r="DC357" i="5"/>
  <c r="DC368" i="5"/>
  <c r="AR368" i="5"/>
  <c r="AR386" i="5"/>
  <c r="CG386" i="5" s="1"/>
  <c r="DC386" i="5"/>
  <c r="AR389" i="5"/>
  <c r="DC389" i="5"/>
  <c r="DC408" i="5"/>
  <c r="AR408" i="5"/>
  <c r="CG408" i="5" s="1"/>
  <c r="DC437" i="5"/>
  <c r="AR437" i="5"/>
  <c r="CG437" i="5" s="1"/>
  <c r="AM258" i="5"/>
  <c r="BZ261" i="5"/>
  <c r="CB261" i="5" s="1"/>
  <c r="BX253" i="5"/>
  <c r="BY253" i="5" s="1"/>
  <c r="BZ253" i="5"/>
  <c r="CB253" i="5" s="1"/>
  <c r="DU253" i="5"/>
  <c r="FT253" i="5"/>
  <c r="DF260" i="5"/>
  <c r="DY254" i="5"/>
  <c r="DY262" i="5"/>
  <c r="AY259" i="5"/>
  <c r="FR259" i="5"/>
  <c r="DS256" i="5"/>
  <c r="DU254" i="5"/>
  <c r="FT254" i="5"/>
  <c r="BX254" i="5"/>
  <c r="BW254" i="5"/>
  <c r="CG353" i="5"/>
  <c r="AM271" i="5"/>
  <c r="DF270" i="5"/>
  <c r="DY268" i="5"/>
  <c r="AY267" i="5"/>
  <c r="FR267" i="5"/>
  <c r="FT267" i="5"/>
  <c r="BX267" i="5"/>
  <c r="DU267" i="5"/>
  <c r="BW271" i="5"/>
  <c r="BZ275" i="5"/>
  <c r="CB275" i="5" s="1"/>
  <c r="DF276" i="5"/>
  <c r="DF284" i="5"/>
  <c r="AM277" i="5"/>
  <c r="AM285" i="5"/>
  <c r="DY278" i="5"/>
  <c r="DY286" i="5"/>
  <c r="AY279" i="5"/>
  <c r="FR279" i="5"/>
  <c r="DS273" i="5"/>
  <c r="DS280" i="5"/>
  <c r="FT275" i="5"/>
  <c r="BX275" i="5"/>
  <c r="DU275" i="5"/>
  <c r="BW277" i="5"/>
  <c r="DF288" i="5"/>
  <c r="DY290" i="5"/>
  <c r="DU290" i="5"/>
  <c r="FT290" i="5"/>
  <c r="BX290" i="5"/>
  <c r="BW300" i="5"/>
  <c r="DU300" i="5"/>
  <c r="FT300" i="5"/>
  <c r="BX300" i="5"/>
  <c r="DY296" i="5"/>
  <c r="FR291" i="5"/>
  <c r="AY291" i="5"/>
  <c r="FR299" i="5"/>
  <c r="AY299" i="5"/>
  <c r="DF298" i="5"/>
  <c r="BZ320" i="5"/>
  <c r="CB320" i="5" s="1"/>
  <c r="BX312" i="5"/>
  <c r="BZ312" i="5"/>
  <c r="CB312" i="5" s="1"/>
  <c r="DU312" i="5"/>
  <c r="FT312" i="5"/>
  <c r="AM299" i="5"/>
  <c r="AM291" i="5"/>
  <c r="BZ295" i="5"/>
  <c r="CB295" i="5" s="1"/>
  <c r="AM305" i="5"/>
  <c r="AY303" i="5"/>
  <c r="FR303" i="5"/>
  <c r="BZ305" i="5"/>
  <c r="CB305" i="5" s="1"/>
  <c r="DF313" i="5"/>
  <c r="AM314" i="5"/>
  <c r="DF321" i="5"/>
  <c r="AM320" i="5"/>
  <c r="DY311" i="5"/>
  <c r="DY319" i="5"/>
  <c r="FR311" i="5"/>
  <c r="AY311" i="5"/>
  <c r="AY319" i="5"/>
  <c r="FR319" i="5"/>
  <c r="DS311" i="5"/>
  <c r="DS320" i="5"/>
  <c r="BW321" i="5"/>
  <c r="DU313" i="5"/>
  <c r="FT313" i="5"/>
  <c r="BX313" i="5"/>
  <c r="DF324" i="5"/>
  <c r="DF332" i="5"/>
  <c r="AM325" i="5"/>
  <c r="AM333" i="5"/>
  <c r="DY326" i="5"/>
  <c r="DY334" i="5"/>
  <c r="FR330" i="5"/>
  <c r="AY330" i="5"/>
  <c r="AY324" i="5"/>
  <c r="FR324" i="5"/>
  <c r="BW338" i="5"/>
  <c r="BY338" i="5" s="1"/>
  <c r="BZ338" i="5"/>
  <c r="CB338" i="5" s="1"/>
  <c r="BZ330" i="5"/>
  <c r="CB330" i="5" s="1"/>
  <c r="DU330" i="5"/>
  <c r="FT330" i="5"/>
  <c r="BX330" i="5"/>
  <c r="BY330" i="5" s="1"/>
  <c r="BZ267" i="5"/>
  <c r="CB267" i="5" s="1"/>
  <c r="BZ286" i="5"/>
  <c r="CB286" i="5" s="1"/>
  <c r="BZ415" i="5"/>
  <c r="CB415" i="5" s="1"/>
  <c r="DU415" i="5"/>
  <c r="FT415" i="5"/>
  <c r="BX415" i="5"/>
  <c r="BY415" i="5" s="1"/>
  <c r="BX374" i="5"/>
  <c r="BY374" i="5" s="1"/>
  <c r="BZ374" i="5"/>
  <c r="CB374" i="5" s="1"/>
  <c r="DU374" i="5"/>
  <c r="FT374" i="5"/>
  <c r="BZ346" i="5"/>
  <c r="CB346" i="5" s="1"/>
  <c r="DF346" i="5"/>
  <c r="DF354" i="5"/>
  <c r="AM346" i="5"/>
  <c r="AM354" i="5"/>
  <c r="DY346" i="5"/>
  <c r="DY354" i="5"/>
  <c r="FR343" i="5"/>
  <c r="AY343" i="5"/>
  <c r="FR353" i="5"/>
  <c r="AY353" i="5"/>
  <c r="DS345" i="5"/>
  <c r="FT342" i="5"/>
  <c r="BX342" i="5"/>
  <c r="DU342" i="5"/>
  <c r="AE358" i="5"/>
  <c r="DF358" i="5"/>
  <c r="AM357" i="5"/>
  <c r="DF368" i="5"/>
  <c r="AM369" i="5"/>
  <c r="DY361" i="5"/>
  <c r="DY369" i="5"/>
  <c r="AY360" i="5"/>
  <c r="FR360" i="5"/>
  <c r="AY369" i="5"/>
  <c r="FR369" i="5"/>
  <c r="BX369" i="5"/>
  <c r="DU369" i="5"/>
  <c r="FT369" i="5"/>
  <c r="BX370" i="5"/>
  <c r="BZ370" i="5"/>
  <c r="CB370" i="5" s="1"/>
  <c r="DU370" i="5"/>
  <c r="FT370" i="5"/>
  <c r="BX362" i="5"/>
  <c r="BY362" i="5" s="1"/>
  <c r="FT362" i="5"/>
  <c r="BZ362" i="5"/>
  <c r="CB362" i="5" s="1"/>
  <c r="DU362" i="5"/>
  <c r="BZ354" i="5"/>
  <c r="CB354" i="5" s="1"/>
  <c r="DU354" i="5"/>
  <c r="FT354" i="5"/>
  <c r="BX354" i="5"/>
  <c r="DF375" i="5"/>
  <c r="AM376" i="5"/>
  <c r="BZ387" i="5"/>
  <c r="CB387" i="5" s="1"/>
  <c r="BZ379" i="5"/>
  <c r="CB379" i="5" s="1"/>
  <c r="DU379" i="5"/>
  <c r="FT379" i="5"/>
  <c r="BX379" i="5"/>
  <c r="BY379" i="5" s="1"/>
  <c r="DF385" i="5"/>
  <c r="AM382" i="5"/>
  <c r="DY372" i="5"/>
  <c r="DY380" i="5"/>
  <c r="DY388" i="5"/>
  <c r="FR378" i="5"/>
  <c r="AY378" i="5"/>
  <c r="FR386" i="5"/>
  <c r="AY386" i="5"/>
  <c r="DS376" i="5"/>
  <c r="DS384" i="5"/>
  <c r="BX377" i="5"/>
  <c r="DU377" i="5"/>
  <c r="FT377" i="5"/>
  <c r="BW371" i="5"/>
  <c r="BY371" i="5" s="1"/>
  <c r="BW388" i="5"/>
  <c r="BX397" i="5"/>
  <c r="BY397" i="5" s="1"/>
  <c r="BZ397" i="5"/>
  <c r="CB397" i="5" s="1"/>
  <c r="DU397" i="5"/>
  <c r="FT397" i="5"/>
  <c r="DU389" i="5"/>
  <c r="BX389" i="5"/>
  <c r="FT389" i="5"/>
  <c r="BZ389" i="5"/>
  <c r="CB389" i="5" s="1"/>
  <c r="DF395" i="5"/>
  <c r="DF403" i="5"/>
  <c r="AM394" i="5"/>
  <c r="AM402" i="5"/>
  <c r="DY393" i="5"/>
  <c r="DY401" i="5"/>
  <c r="AY392" i="5"/>
  <c r="FR392" i="5"/>
  <c r="AY400" i="5"/>
  <c r="FR400" i="5"/>
  <c r="DS391" i="5"/>
  <c r="DS399" i="5"/>
  <c r="FT392" i="5"/>
  <c r="BX392" i="5"/>
  <c r="DU392" i="5"/>
  <c r="BX405" i="5"/>
  <c r="DU405" i="5"/>
  <c r="FT405" i="5"/>
  <c r="BW402" i="5"/>
  <c r="BY402" i="5" s="1"/>
  <c r="FT420" i="5"/>
  <c r="BX420" i="5"/>
  <c r="BY420" i="5" s="1"/>
  <c r="DF413" i="5"/>
  <c r="DF421" i="5"/>
  <c r="AM409" i="5"/>
  <c r="AM417" i="5"/>
  <c r="AM425" i="5"/>
  <c r="DY413" i="5"/>
  <c r="DY421" i="5"/>
  <c r="AY409" i="5"/>
  <c r="AZ409" i="5" s="1"/>
  <c r="CI409" i="5" s="1"/>
  <c r="FR409" i="5"/>
  <c r="AY417" i="5"/>
  <c r="FR417" i="5"/>
  <c r="DS406" i="5"/>
  <c r="DS414" i="5"/>
  <c r="DS422" i="5"/>
  <c r="FT416" i="5"/>
  <c r="BX416" i="5"/>
  <c r="DU416" i="5"/>
  <c r="BW407" i="5"/>
  <c r="DF430" i="5"/>
  <c r="DF438" i="5"/>
  <c r="BX426" i="5"/>
  <c r="BY426" i="5" s="1"/>
  <c r="BZ426" i="5"/>
  <c r="CB426" i="5" s="1"/>
  <c r="DU426" i="5"/>
  <c r="BX434" i="5"/>
  <c r="BY434" i="5" s="1"/>
  <c r="BZ434" i="5"/>
  <c r="CB434" i="5" s="1"/>
  <c r="DU434" i="5"/>
  <c r="FT434" i="5"/>
  <c r="AM430" i="5"/>
  <c r="AM438" i="5"/>
  <c r="DY426" i="5"/>
  <c r="DY434" i="5"/>
  <c r="AY430" i="5"/>
  <c r="FR430" i="5"/>
  <c r="AY438" i="5"/>
  <c r="DS426" i="5"/>
  <c r="DS434" i="5"/>
  <c r="BW435" i="5"/>
  <c r="BX431" i="5"/>
  <c r="DU431" i="5"/>
  <c r="FT431" i="5"/>
  <c r="DF97" i="5"/>
  <c r="DC97" i="5"/>
  <c r="BX99" i="5"/>
  <c r="BY99" i="5" s="1"/>
  <c r="BZ99" i="5"/>
  <c r="CB99" i="5" s="1"/>
  <c r="FT99" i="5"/>
  <c r="DU99" i="5"/>
  <c r="DY99" i="5"/>
  <c r="R99" i="5"/>
  <c r="EF99" i="5" s="1"/>
  <c r="EE99" i="5" s="1"/>
  <c r="AU99" i="5"/>
  <c r="DS96" i="5"/>
  <c r="DS104" i="5"/>
  <c r="AZ494" i="5"/>
  <c r="AD150" i="5"/>
  <c r="BZ150" i="5"/>
  <c r="CB150" i="5" s="1"/>
  <c r="DU150" i="5"/>
  <c r="FT150" i="5"/>
  <c r="BX150" i="5"/>
  <c r="BY150" i="5" s="1"/>
  <c r="DY152" i="5"/>
  <c r="DU273" i="5"/>
  <c r="FT273" i="5"/>
  <c r="BX273" i="5"/>
  <c r="AJ107" i="5"/>
  <c r="AJ108" i="5" s="1"/>
  <c r="DS148" i="5"/>
  <c r="FS148" i="5"/>
  <c r="BL148" i="5"/>
  <c r="DT148" i="5" s="1"/>
  <c r="BT148" i="5"/>
  <c r="BE148" i="5"/>
  <c r="BF148" i="5" s="1"/>
  <c r="BH148" i="5" s="1"/>
  <c r="BU148" i="5"/>
  <c r="FT500" i="5"/>
  <c r="FS500" i="5" s="1"/>
  <c r="FU500" i="5" s="1"/>
  <c r="AY500" i="5"/>
  <c r="AZ500" i="5" s="1"/>
  <c r="DU498" i="5"/>
  <c r="DV498" i="5" s="1"/>
  <c r="EB498" i="5" s="1"/>
  <c r="AR494" i="5"/>
  <c r="AU493" i="5"/>
  <c r="AV493" i="5" s="1"/>
  <c r="AR486" i="5"/>
  <c r="AU485" i="5"/>
  <c r="AV485" i="5" s="1"/>
  <c r="DC481" i="5"/>
  <c r="AR478" i="5"/>
  <c r="AU477" i="5"/>
  <c r="AV477" i="5" s="1"/>
  <c r="AR470" i="5"/>
  <c r="AU469" i="5"/>
  <c r="AV469" i="5" s="1"/>
  <c r="FT453" i="5"/>
  <c r="DC453" i="5"/>
  <c r="FR452" i="5"/>
  <c r="DU451" i="5"/>
  <c r="BZ451" i="5"/>
  <c r="CB451" i="5" s="1"/>
  <c r="BW449" i="5"/>
  <c r="BY449" i="5" s="1"/>
  <c r="FT448" i="5"/>
  <c r="DF448" i="5"/>
  <c r="AY448" i="5"/>
  <c r="AZ448" i="5" s="1"/>
  <c r="CI448" i="5" s="1"/>
  <c r="AM446" i="5"/>
  <c r="CI445" i="5"/>
  <c r="BX444" i="5"/>
  <c r="AR444" i="5"/>
  <c r="AY443" i="5"/>
  <c r="AY441" i="5"/>
  <c r="AZ441" i="5" s="1"/>
  <c r="CI441" i="5" s="1"/>
  <c r="BZ439" i="5"/>
  <c r="CB439" i="5" s="1"/>
  <c r="FR438" i="5"/>
  <c r="DC436" i="5"/>
  <c r="AY426" i="5"/>
  <c r="DU420" i="5"/>
  <c r="FR42" i="5"/>
  <c r="BL42" i="5"/>
  <c r="DT42" i="5" s="1"/>
  <c r="DV42" i="5" s="1"/>
  <c r="EB42" i="5" s="1"/>
  <c r="BT42" i="5"/>
  <c r="BE42" i="5"/>
  <c r="BU42" i="5"/>
  <c r="AY38" i="5"/>
  <c r="AR356" i="5"/>
  <c r="CG356" i="5" s="1"/>
  <c r="DC356" i="5"/>
  <c r="AM263" i="5"/>
  <c r="AH267" i="5"/>
  <c r="DF267" i="5"/>
  <c r="FR272" i="5"/>
  <c r="AY272" i="5"/>
  <c r="DF273" i="5"/>
  <c r="FT315" i="5"/>
  <c r="BX315" i="5"/>
  <c r="BY315" i="5" s="1"/>
  <c r="BZ315" i="5"/>
  <c r="CB315" i="5" s="1"/>
  <c r="DU315" i="5"/>
  <c r="BZ298" i="5"/>
  <c r="CB298" i="5" s="1"/>
  <c r="DF307" i="5"/>
  <c r="DF310" i="5"/>
  <c r="AM317" i="5"/>
  <c r="AY316" i="5"/>
  <c r="FR316" i="5"/>
  <c r="DF329" i="5"/>
  <c r="AY335" i="5"/>
  <c r="FR335" i="5"/>
  <c r="DU334" i="5"/>
  <c r="FT334" i="5"/>
  <c r="BX334" i="5"/>
  <c r="DY343" i="5"/>
  <c r="BW349" i="5"/>
  <c r="DF365" i="5"/>
  <c r="FR366" i="5"/>
  <c r="AY366" i="5"/>
  <c r="BZ357" i="5"/>
  <c r="CB357" i="5" s="1"/>
  <c r="BZ382" i="5"/>
  <c r="CB382" i="5" s="1"/>
  <c r="FR375" i="5"/>
  <c r="AY375" i="5"/>
  <c r="AM399" i="5"/>
  <c r="AY405" i="5"/>
  <c r="FR405" i="5"/>
  <c r="AH408" i="5"/>
  <c r="BZ408" i="5"/>
  <c r="CB408" i="5" s="1"/>
  <c r="DY410" i="5"/>
  <c r="AM427" i="5"/>
  <c r="FR427" i="5"/>
  <c r="AY427" i="5"/>
  <c r="AE102" i="5"/>
  <c r="AG102" i="5" s="1"/>
  <c r="DC102" i="5"/>
  <c r="DF102" i="5"/>
  <c r="AE151" i="5"/>
  <c r="AG151" i="5" s="1"/>
  <c r="DF151" i="5"/>
  <c r="DC151" i="5"/>
  <c r="FS129" i="5"/>
  <c r="FS131" i="5"/>
  <c r="FS124" i="5"/>
  <c r="FS132" i="5"/>
  <c r="FS140" i="5"/>
  <c r="AU70" i="5"/>
  <c r="DF21" i="5"/>
  <c r="DC21" i="5"/>
  <c r="DY21" i="5"/>
  <c r="FS24" i="5"/>
  <c r="CA24" i="5"/>
  <c r="DC27" i="5"/>
  <c r="DF27" i="5"/>
  <c r="DY27" i="5"/>
  <c r="BL30" i="5"/>
  <c r="DT30" i="5" s="1"/>
  <c r="DV30" i="5" s="1"/>
  <c r="EB30" i="5" s="1"/>
  <c r="BT30" i="5"/>
  <c r="FR30" i="5"/>
  <c r="FU30" i="5" s="1"/>
  <c r="BU30" i="5"/>
  <c r="BE30" i="5"/>
  <c r="FS32" i="5"/>
  <c r="CA32" i="5"/>
  <c r="CB32" i="5" s="1"/>
  <c r="DC35" i="5"/>
  <c r="DF35" i="5"/>
  <c r="DY35" i="5"/>
  <c r="BE38" i="5"/>
  <c r="BU38" i="5"/>
  <c r="FR38" i="5"/>
  <c r="FU38" i="5" s="1"/>
  <c r="BL38" i="5"/>
  <c r="DT38" i="5" s="1"/>
  <c r="DV38" i="5" s="1"/>
  <c r="EB38" i="5" s="1"/>
  <c r="BT38" i="5"/>
  <c r="FS40" i="5"/>
  <c r="CA40" i="5"/>
  <c r="CB40" i="5" s="1"/>
  <c r="DY43" i="5"/>
  <c r="DC43" i="5"/>
  <c r="DF43" i="5"/>
  <c r="BL46" i="5"/>
  <c r="DT46" i="5" s="1"/>
  <c r="DV46" i="5" s="1"/>
  <c r="BE46" i="5"/>
  <c r="BU46" i="5"/>
  <c r="FR46" i="5"/>
  <c r="FU46" i="5" s="1"/>
  <c r="BT46" i="5"/>
  <c r="FS48" i="5"/>
  <c r="CA48" i="5"/>
  <c r="CB48" i="5" s="1"/>
  <c r="DY51" i="5"/>
  <c r="DC51" i="5"/>
  <c r="DF51" i="5"/>
  <c r="AY26" i="5"/>
  <c r="AY34" i="5"/>
  <c r="AY42" i="5"/>
  <c r="AY50" i="5"/>
  <c r="DY252" i="5"/>
  <c r="R254" i="5"/>
  <c r="AU254" i="5"/>
  <c r="AV254" i="5" s="1"/>
  <c r="R258" i="5"/>
  <c r="EF258" i="5" s="1"/>
  <c r="EE258" i="5" s="1"/>
  <c r="AU258" i="5"/>
  <c r="AV258" i="5" s="1"/>
  <c r="R262" i="5"/>
  <c r="EF262" i="5" s="1"/>
  <c r="EE262" i="5" s="1"/>
  <c r="AU262" i="5"/>
  <c r="AV262" i="5" s="1"/>
  <c r="R266" i="5"/>
  <c r="EF266" i="5" s="1"/>
  <c r="EE266" i="5" s="1"/>
  <c r="AU266" i="5"/>
  <c r="R270" i="5"/>
  <c r="EF270" i="5" s="1"/>
  <c r="EE270" i="5" s="1"/>
  <c r="AU270" i="5"/>
  <c r="R279" i="5"/>
  <c r="EF279" i="5" s="1"/>
  <c r="EE279" i="5" s="1"/>
  <c r="AU279" i="5"/>
  <c r="AR298" i="5"/>
  <c r="CG298" i="5" s="1"/>
  <c r="DC298" i="5"/>
  <c r="DC302" i="5"/>
  <c r="AR302" i="5"/>
  <c r="CG302" i="5" s="1"/>
  <c r="AV306" i="5"/>
  <c r="AR317" i="5"/>
  <c r="CG317" i="5" s="1"/>
  <c r="DC317" i="5"/>
  <c r="AR347" i="5"/>
  <c r="CG347" i="5" s="1"/>
  <c r="DC347" i="5"/>
  <c r="DC350" i="5"/>
  <c r="AR350" i="5"/>
  <c r="CG350" i="5" s="1"/>
  <c r="DC354" i="5"/>
  <c r="AR354" i="5"/>
  <c r="CG354" i="5" s="1"/>
  <c r="AV357" i="5"/>
  <c r="DC361" i="5"/>
  <c r="AR361" i="5"/>
  <c r="CG361" i="5" s="1"/>
  <c r="AV386" i="5"/>
  <c r="AV389" i="5"/>
  <c r="AR393" i="5"/>
  <c r="CG393" i="5" s="1"/>
  <c r="DC393" i="5"/>
  <c r="DC404" i="5"/>
  <c r="AR404" i="5"/>
  <c r="CG404" i="5" s="1"/>
  <c r="AV408" i="5"/>
  <c r="AR413" i="5"/>
  <c r="DC413" i="5"/>
  <c r="AZ424" i="5"/>
  <c r="DC424" i="5"/>
  <c r="AR424" i="5"/>
  <c r="CG424" i="5" s="1"/>
  <c r="AM259" i="5"/>
  <c r="BZ260" i="5"/>
  <c r="CB260" i="5" s="1"/>
  <c r="DF253" i="5"/>
  <c r="DF261" i="5"/>
  <c r="DY255" i="5"/>
  <c r="DY263" i="5"/>
  <c r="FR260" i="5"/>
  <c r="AY260" i="5"/>
  <c r="DS257" i="5"/>
  <c r="FT255" i="5"/>
  <c r="BX255" i="5"/>
  <c r="DU255" i="5"/>
  <c r="BW255" i="5"/>
  <c r="CG262" i="5"/>
  <c r="CI424" i="5"/>
  <c r="CG368" i="5"/>
  <c r="CG360" i="5"/>
  <c r="AG264" i="5"/>
  <c r="AM264" i="5"/>
  <c r="AM272" i="5"/>
  <c r="DF271" i="5"/>
  <c r="DY269" i="5"/>
  <c r="FR268" i="5"/>
  <c r="AY268" i="5"/>
  <c r="BX268" i="5"/>
  <c r="DU268" i="5"/>
  <c r="FT268" i="5"/>
  <c r="BZ282" i="5"/>
  <c r="CB282" i="5" s="1"/>
  <c r="BZ274" i="5"/>
  <c r="CB274" i="5" s="1"/>
  <c r="DF277" i="5"/>
  <c r="DF285" i="5"/>
  <c r="AM278" i="5"/>
  <c r="AM286" i="5"/>
  <c r="DY279" i="5"/>
  <c r="DY287" i="5"/>
  <c r="FR280" i="5"/>
  <c r="AY280" i="5"/>
  <c r="DS274" i="5"/>
  <c r="DS281" i="5"/>
  <c r="DU277" i="5"/>
  <c r="FT277" i="5"/>
  <c r="BX277" i="5"/>
  <c r="BW278" i="5"/>
  <c r="DF289" i="5"/>
  <c r="FR290" i="5"/>
  <c r="AY290" i="5"/>
  <c r="BW288" i="5"/>
  <c r="BW301" i="5"/>
  <c r="FT301" i="5"/>
  <c r="BX301" i="5"/>
  <c r="DU301" i="5"/>
  <c r="DY297" i="5"/>
  <c r="AY292" i="5"/>
  <c r="FR292" i="5"/>
  <c r="FR300" i="5"/>
  <c r="AY300" i="5"/>
  <c r="DS297" i="5"/>
  <c r="DF299" i="5"/>
  <c r="BZ319" i="5"/>
  <c r="CB319" i="5" s="1"/>
  <c r="BZ311" i="5"/>
  <c r="CB311" i="5" s="1"/>
  <c r="DU311" i="5"/>
  <c r="FT311" i="5"/>
  <c r="BX311" i="5"/>
  <c r="AM298" i="5"/>
  <c r="BZ302" i="5"/>
  <c r="CB302" i="5" s="1"/>
  <c r="BX294" i="5"/>
  <c r="BZ294" i="5"/>
  <c r="CB294" i="5" s="1"/>
  <c r="DU294" i="5"/>
  <c r="FT294" i="5"/>
  <c r="DF303" i="5"/>
  <c r="AM306" i="5"/>
  <c r="FR304" i="5"/>
  <c r="AY304" i="5"/>
  <c r="DS307" i="5"/>
  <c r="BX304" i="5"/>
  <c r="BY304" i="5" s="1"/>
  <c r="BZ304" i="5"/>
  <c r="CB304" i="5" s="1"/>
  <c r="DU304" i="5"/>
  <c r="FT304" i="5"/>
  <c r="DF314" i="5"/>
  <c r="DF322" i="5"/>
  <c r="AM321" i="5"/>
  <c r="DY312" i="5"/>
  <c r="DY320" i="5"/>
  <c r="AY312" i="5"/>
  <c r="FR312" i="5"/>
  <c r="AY323" i="5"/>
  <c r="FR323" i="5"/>
  <c r="DS313" i="5"/>
  <c r="DS321" i="5"/>
  <c r="BW322" i="5"/>
  <c r="BY322" i="5" s="1"/>
  <c r="FT314" i="5"/>
  <c r="BX314" i="5"/>
  <c r="DU314" i="5"/>
  <c r="DF325" i="5"/>
  <c r="DF333" i="5"/>
  <c r="AM326" i="5"/>
  <c r="AM334" i="5"/>
  <c r="DY327" i="5"/>
  <c r="DY335" i="5"/>
  <c r="AY331" i="5"/>
  <c r="FR331" i="5"/>
  <c r="FR325" i="5"/>
  <c r="AY325" i="5"/>
  <c r="BX325" i="5"/>
  <c r="DU325" i="5"/>
  <c r="FT325" i="5"/>
  <c r="FT337" i="5"/>
  <c r="BZ337" i="5"/>
  <c r="CB337" i="5" s="1"/>
  <c r="DU337" i="5"/>
  <c r="BX337" i="5"/>
  <c r="BY337" i="5" s="1"/>
  <c r="BZ329" i="5"/>
  <c r="CB329" i="5" s="1"/>
  <c r="BZ266" i="5"/>
  <c r="CB266" i="5" s="1"/>
  <c r="BX285" i="5"/>
  <c r="BY285" i="5" s="1"/>
  <c r="BZ285" i="5"/>
  <c r="CB285" i="5" s="1"/>
  <c r="DU285" i="5"/>
  <c r="FT285" i="5"/>
  <c r="BX414" i="5"/>
  <c r="BY414" i="5" s="1"/>
  <c r="BZ414" i="5"/>
  <c r="CB414" i="5" s="1"/>
  <c r="DU414" i="5"/>
  <c r="FT414" i="5"/>
  <c r="BZ373" i="5"/>
  <c r="CB373" i="5" s="1"/>
  <c r="BZ345" i="5"/>
  <c r="CB345" i="5" s="1"/>
  <c r="DF339" i="5"/>
  <c r="DF347" i="5"/>
  <c r="AM339" i="5"/>
  <c r="AM347" i="5"/>
  <c r="DY339" i="5"/>
  <c r="DY347" i="5"/>
  <c r="AY346" i="5"/>
  <c r="FR346" i="5"/>
  <c r="FR344" i="5"/>
  <c r="AY344" i="5"/>
  <c r="AZ344" i="5" s="1"/>
  <c r="CI344" i="5" s="1"/>
  <c r="DS347" i="5"/>
  <c r="DS346" i="5"/>
  <c r="BW341" i="5"/>
  <c r="FT345" i="5"/>
  <c r="BX345" i="5"/>
  <c r="DU345" i="5"/>
  <c r="DF359" i="5"/>
  <c r="AM358" i="5"/>
  <c r="DF369" i="5"/>
  <c r="AM370" i="5"/>
  <c r="DY362" i="5"/>
  <c r="DY370" i="5"/>
  <c r="AY361" i="5"/>
  <c r="AZ361" i="5" s="1"/>
  <c r="CI361" i="5" s="1"/>
  <c r="FR361" i="5"/>
  <c r="FR370" i="5"/>
  <c r="AY370" i="5"/>
  <c r="BW357" i="5"/>
  <c r="BZ369" i="5"/>
  <c r="CB369" i="5" s="1"/>
  <c r="BZ361" i="5"/>
  <c r="CB361" i="5" s="1"/>
  <c r="FT353" i="5"/>
  <c r="BX353" i="5"/>
  <c r="BY353" i="5" s="1"/>
  <c r="BZ353" i="5"/>
  <c r="CB353" i="5" s="1"/>
  <c r="DU353" i="5"/>
  <c r="DF376" i="5"/>
  <c r="AM377" i="5"/>
  <c r="BZ386" i="5"/>
  <c r="CB386" i="5" s="1"/>
  <c r="DF378" i="5"/>
  <c r="DF386" i="5"/>
  <c r="AM383" i="5"/>
  <c r="DY373" i="5"/>
  <c r="DY381" i="5"/>
  <c r="FR371" i="5"/>
  <c r="AY371" i="5"/>
  <c r="FR379" i="5"/>
  <c r="AY379" i="5"/>
  <c r="FR387" i="5"/>
  <c r="AY387" i="5"/>
  <c r="DS377" i="5"/>
  <c r="DS385" i="5"/>
  <c r="FT380" i="5"/>
  <c r="BX380" i="5"/>
  <c r="DU380" i="5"/>
  <c r="BW373" i="5"/>
  <c r="BY373" i="5" s="1"/>
  <c r="BW386" i="5"/>
  <c r="FT396" i="5"/>
  <c r="BX396" i="5"/>
  <c r="BY396" i="5" s="1"/>
  <c r="BZ396" i="5"/>
  <c r="CB396" i="5" s="1"/>
  <c r="DU396" i="5"/>
  <c r="BZ403" i="5"/>
  <c r="CB403" i="5" s="1"/>
  <c r="DU403" i="5"/>
  <c r="FT403" i="5"/>
  <c r="BX403" i="5"/>
  <c r="BY403" i="5" s="1"/>
  <c r="DF396" i="5"/>
  <c r="DF404" i="5"/>
  <c r="AM395" i="5"/>
  <c r="AM403" i="5"/>
  <c r="DY392" i="5"/>
  <c r="DY402" i="5"/>
  <c r="AY393" i="5"/>
  <c r="FR393" i="5"/>
  <c r="AY401" i="5"/>
  <c r="AZ401" i="5" s="1"/>
  <c r="CI401" i="5" s="1"/>
  <c r="FR401" i="5"/>
  <c r="DS392" i="5"/>
  <c r="DS400" i="5"/>
  <c r="BX393" i="5"/>
  <c r="DU393" i="5"/>
  <c r="FT393" i="5"/>
  <c r="BW391" i="5"/>
  <c r="BY391" i="5" s="1"/>
  <c r="BW404" i="5"/>
  <c r="BZ421" i="5"/>
  <c r="CB421" i="5" s="1"/>
  <c r="DF406" i="5"/>
  <c r="DF414" i="5"/>
  <c r="AM410" i="5"/>
  <c r="AM418" i="5"/>
  <c r="DY407" i="5"/>
  <c r="DY414" i="5"/>
  <c r="DY422" i="5"/>
  <c r="FR410" i="5"/>
  <c r="AY410" i="5"/>
  <c r="DS407" i="5"/>
  <c r="DS415" i="5"/>
  <c r="BX417" i="5"/>
  <c r="BY417" i="5" s="1"/>
  <c r="DU417" i="5"/>
  <c r="FT417" i="5"/>
  <c r="BW408" i="5"/>
  <c r="BW422" i="5"/>
  <c r="BY422" i="5" s="1"/>
  <c r="AE439" i="5"/>
  <c r="DF439" i="5"/>
  <c r="BZ427" i="5"/>
  <c r="CB427" i="5" s="1"/>
  <c r="DU427" i="5"/>
  <c r="FT427" i="5"/>
  <c r="BX427" i="5"/>
  <c r="BZ435" i="5"/>
  <c r="CB435" i="5" s="1"/>
  <c r="AM439" i="5"/>
  <c r="DY427" i="5"/>
  <c r="DY435" i="5"/>
  <c r="AY439" i="5"/>
  <c r="DS427" i="5"/>
  <c r="DS435" i="5"/>
  <c r="FT433" i="5"/>
  <c r="BX433" i="5"/>
  <c r="AG447" i="5"/>
  <c r="DC98" i="5"/>
  <c r="DF98" i="5"/>
  <c r="DU98" i="5"/>
  <c r="BX98" i="5"/>
  <c r="BY98" i="5" s="1"/>
  <c r="BZ98" i="5"/>
  <c r="CB98" i="5" s="1"/>
  <c r="FT98" i="5"/>
  <c r="DY100" i="5"/>
  <c r="R98" i="5"/>
  <c r="EF98" i="5" s="1"/>
  <c r="EE98" i="5" s="1"/>
  <c r="AU98" i="5"/>
  <c r="AV98" i="5" s="1"/>
  <c r="DS97" i="5"/>
  <c r="BX149" i="5"/>
  <c r="BY149" i="5" s="1"/>
  <c r="FT149" i="5"/>
  <c r="BZ149" i="5"/>
  <c r="CB149" i="5" s="1"/>
  <c r="DU149" i="5"/>
  <c r="DY151" i="5"/>
  <c r="DS149" i="5"/>
  <c r="FS151" i="5"/>
  <c r="BL151" i="5"/>
  <c r="DT151" i="5" s="1"/>
  <c r="DV151" i="5" s="1"/>
  <c r="BE151" i="5"/>
  <c r="BF151" i="5" s="1"/>
  <c r="BH151" i="5" s="1"/>
  <c r="BU151" i="5"/>
  <c r="BT151" i="5"/>
  <c r="BX499" i="5"/>
  <c r="BY499" i="5" s="1"/>
  <c r="CC499" i="5" s="1"/>
  <c r="CE499" i="5" s="1"/>
  <c r="AR499" i="5"/>
  <c r="AU498" i="5"/>
  <c r="AV498" i="5" s="1"/>
  <c r="FT497" i="5"/>
  <c r="FS497" i="5" s="1"/>
  <c r="FU497" i="5" s="1"/>
  <c r="AY497" i="5"/>
  <c r="AR491" i="5"/>
  <c r="AU490" i="5"/>
  <c r="AV490" i="5" s="1"/>
  <c r="AR483" i="5"/>
  <c r="AU482" i="5"/>
  <c r="AV482" i="5" s="1"/>
  <c r="AR475" i="5"/>
  <c r="AU474" i="5"/>
  <c r="AV474" i="5" s="1"/>
  <c r="DC470" i="5"/>
  <c r="AM452" i="5"/>
  <c r="BX450" i="5"/>
  <c r="BY450" i="5" s="1"/>
  <c r="AY449" i="5"/>
  <c r="AZ449" i="5" s="1"/>
  <c r="CI449" i="5" s="1"/>
  <c r="DC448" i="5"/>
  <c r="AM447" i="5"/>
  <c r="DU446" i="5"/>
  <c r="BZ446" i="5"/>
  <c r="CB446" i="5" s="1"/>
  <c r="BX445" i="5"/>
  <c r="BY445" i="5" s="1"/>
  <c r="AR445" i="5"/>
  <c r="CG445" i="5" s="1"/>
  <c r="CG444" i="5"/>
  <c r="BW444" i="5"/>
  <c r="FT443" i="5"/>
  <c r="DU433" i="5"/>
  <c r="CG433" i="5"/>
  <c r="FT432" i="5"/>
  <c r="BX432" i="5"/>
  <c r="FR431" i="5"/>
  <c r="DU424" i="5"/>
  <c r="FS52" i="5"/>
  <c r="CA52" i="5"/>
  <c r="CB52" i="5" s="1"/>
  <c r="R260" i="5"/>
  <c r="EF260" i="5" s="1"/>
  <c r="EE260" i="5" s="1"/>
  <c r="AU260" i="5"/>
  <c r="AR398" i="5"/>
  <c r="CG398" i="5" s="1"/>
  <c r="DC398" i="5"/>
  <c r="DF257" i="5"/>
  <c r="BW268" i="5"/>
  <c r="FT297" i="5"/>
  <c r="BX297" i="5"/>
  <c r="DU297" i="5"/>
  <c r="AM302" i="5"/>
  <c r="AM311" i="5"/>
  <c r="BZ418" i="5"/>
  <c r="CB418" i="5" s="1"/>
  <c r="AY357" i="5"/>
  <c r="AZ357" i="5" s="1"/>
  <c r="CI357" i="5" s="1"/>
  <c r="FR357" i="5"/>
  <c r="FR151" i="5"/>
  <c r="AY151" i="5"/>
  <c r="DS153" i="5"/>
  <c r="AU216" i="5"/>
  <c r="BT21" i="5"/>
  <c r="BU21" i="5"/>
  <c r="BE21" i="5"/>
  <c r="FR21" i="5"/>
  <c r="FU21" i="5" s="1"/>
  <c r="BL21" i="5"/>
  <c r="DT21" i="5" s="1"/>
  <c r="DV21" i="5" s="1"/>
  <c r="EB21" i="5" s="1"/>
  <c r="DC24" i="5"/>
  <c r="DF24" i="5"/>
  <c r="DY24" i="5"/>
  <c r="FR27" i="5"/>
  <c r="FU27" i="5" s="1"/>
  <c r="BL27" i="5"/>
  <c r="DT27" i="5" s="1"/>
  <c r="DV27" i="5" s="1"/>
  <c r="BT27" i="5"/>
  <c r="BE27" i="5"/>
  <c r="BU27" i="5"/>
  <c r="FS29" i="5"/>
  <c r="CA29" i="5"/>
  <c r="CB29" i="5" s="1"/>
  <c r="DF32" i="5"/>
  <c r="DY32" i="5"/>
  <c r="DC32" i="5"/>
  <c r="FR35" i="5"/>
  <c r="FU35" i="5" s="1"/>
  <c r="BT35" i="5"/>
  <c r="BV35" i="5" s="1"/>
  <c r="CC35" i="5" s="1"/>
  <c r="BE35" i="5"/>
  <c r="BL35" i="5"/>
  <c r="DT35" i="5" s="1"/>
  <c r="DV35" i="5" s="1"/>
  <c r="BU35" i="5"/>
  <c r="DY40" i="5"/>
  <c r="DC40" i="5"/>
  <c r="DF40" i="5"/>
  <c r="BT43" i="5"/>
  <c r="BE43" i="5"/>
  <c r="BU43" i="5"/>
  <c r="FR43" i="5"/>
  <c r="BL43" i="5"/>
  <c r="DT43" i="5" s="1"/>
  <c r="DV43" i="5" s="1"/>
  <c r="FS45" i="5"/>
  <c r="CA45" i="5"/>
  <c r="CB45" i="5" s="1"/>
  <c r="DF48" i="5"/>
  <c r="DY48" i="5"/>
  <c r="DC48" i="5"/>
  <c r="FR51" i="5"/>
  <c r="BL51" i="5"/>
  <c r="DT51" i="5" s="1"/>
  <c r="DV51" i="5" s="1"/>
  <c r="BT51" i="5"/>
  <c r="BE51" i="5"/>
  <c r="BU51" i="5"/>
  <c r="AY27" i="5"/>
  <c r="AY35" i="5"/>
  <c r="AY43" i="5"/>
  <c r="AY51" i="5"/>
  <c r="AY252" i="5"/>
  <c r="AZ252" i="5" s="1"/>
  <c r="CI252" i="5" s="1"/>
  <c r="FR252" i="5"/>
  <c r="R271" i="5"/>
  <c r="AU271" i="5"/>
  <c r="R275" i="5"/>
  <c r="EF275" i="5" s="1"/>
  <c r="EE275" i="5" s="1"/>
  <c r="AU275" i="5"/>
  <c r="R280" i="5"/>
  <c r="EF280" i="5" s="1"/>
  <c r="EE280" i="5" s="1"/>
  <c r="AU280" i="5"/>
  <c r="AZ290" i="5"/>
  <c r="CI290" i="5" s="1"/>
  <c r="DC290" i="5"/>
  <c r="AR290" i="5"/>
  <c r="CG290" i="5" s="1"/>
  <c r="AR294" i="5"/>
  <c r="DC294" i="5"/>
  <c r="AV298" i="5"/>
  <c r="AV302" i="5"/>
  <c r="AV317" i="5"/>
  <c r="AR325" i="5"/>
  <c r="CG325" i="5" s="1"/>
  <c r="DC325" i="5"/>
  <c r="AR333" i="5"/>
  <c r="CG333" i="5" s="1"/>
  <c r="DC333" i="5"/>
  <c r="DC340" i="5"/>
  <c r="AR340" i="5"/>
  <c r="CG340" i="5" s="1"/>
  <c r="DC344" i="5"/>
  <c r="AR344" i="5"/>
  <c r="CG344" i="5" s="1"/>
  <c r="AV372" i="5"/>
  <c r="DC380" i="5"/>
  <c r="AR380" i="5"/>
  <c r="CG380" i="5" s="1"/>
  <c r="AR397" i="5"/>
  <c r="DC397" i="5"/>
  <c r="AR409" i="5"/>
  <c r="CG409" i="5" s="1"/>
  <c r="DC409" i="5"/>
  <c r="DC420" i="5"/>
  <c r="AR420" i="5"/>
  <c r="CG420" i="5" s="1"/>
  <c r="AZ428" i="5"/>
  <c r="CI428" i="5" s="1"/>
  <c r="DC428" i="5"/>
  <c r="AR428" i="5"/>
  <c r="CG428" i="5" s="1"/>
  <c r="AM260" i="5"/>
  <c r="FT259" i="5"/>
  <c r="BX259" i="5"/>
  <c r="BZ259" i="5"/>
  <c r="CB259" i="5" s="1"/>
  <c r="DU259" i="5"/>
  <c r="DF254" i="5"/>
  <c r="DF262" i="5"/>
  <c r="DY256" i="5"/>
  <c r="FR253" i="5"/>
  <c r="AY253" i="5"/>
  <c r="FR261" i="5"/>
  <c r="AY261" i="5"/>
  <c r="DS258" i="5"/>
  <c r="BX256" i="5"/>
  <c r="DU256" i="5"/>
  <c r="FT256" i="5"/>
  <c r="BW256" i="5"/>
  <c r="CG335" i="5"/>
  <c r="AM265" i="5"/>
  <c r="DF264" i="5"/>
  <c r="DF272" i="5"/>
  <c r="DY270" i="5"/>
  <c r="FR269" i="5"/>
  <c r="AY269" i="5"/>
  <c r="DU269" i="5"/>
  <c r="FT269" i="5"/>
  <c r="BX269" i="5"/>
  <c r="BZ281" i="5"/>
  <c r="CB281" i="5" s="1"/>
  <c r="BZ273" i="5"/>
  <c r="CB273" i="5" s="1"/>
  <c r="DF278" i="5"/>
  <c r="DF286" i="5"/>
  <c r="AM279" i="5"/>
  <c r="AM287" i="5"/>
  <c r="DY280" i="5"/>
  <c r="FR273" i="5"/>
  <c r="AY273" i="5"/>
  <c r="AY281" i="5"/>
  <c r="FR281" i="5"/>
  <c r="DS275" i="5"/>
  <c r="DS282" i="5"/>
  <c r="BX278" i="5"/>
  <c r="FT278" i="5"/>
  <c r="DU278" i="5"/>
  <c r="BW281" i="5"/>
  <c r="DF290" i="5"/>
  <c r="AY288" i="5"/>
  <c r="FR288" i="5"/>
  <c r="BW290" i="5"/>
  <c r="BW302" i="5"/>
  <c r="BX302" i="5"/>
  <c r="DU302" i="5"/>
  <c r="FT302" i="5"/>
  <c r="DY298" i="5"/>
  <c r="FR293" i="5"/>
  <c r="AY293" i="5"/>
  <c r="FR301" i="5"/>
  <c r="AY301" i="5"/>
  <c r="DS298" i="5"/>
  <c r="DF300" i="5"/>
  <c r="BZ318" i="5"/>
  <c r="CB318" i="5" s="1"/>
  <c r="BZ310" i="5"/>
  <c r="CB310" i="5" s="1"/>
  <c r="AM297" i="5"/>
  <c r="BZ301" i="5"/>
  <c r="CB301" i="5" s="1"/>
  <c r="BX293" i="5"/>
  <c r="BY293" i="5" s="1"/>
  <c r="BZ293" i="5"/>
  <c r="CB293" i="5" s="1"/>
  <c r="DU293" i="5"/>
  <c r="FT293" i="5"/>
  <c r="DF304" i="5"/>
  <c r="AM307" i="5"/>
  <c r="FR305" i="5"/>
  <c r="AY305" i="5"/>
  <c r="BX305" i="5"/>
  <c r="FT305" i="5"/>
  <c r="DU305" i="5"/>
  <c r="FT303" i="5"/>
  <c r="BX303" i="5"/>
  <c r="BY303" i="5" s="1"/>
  <c r="BZ303" i="5"/>
  <c r="CB303" i="5" s="1"/>
  <c r="DU303" i="5"/>
  <c r="AM308" i="5"/>
  <c r="DF315" i="5"/>
  <c r="DF323" i="5"/>
  <c r="AM322" i="5"/>
  <c r="DY313" i="5"/>
  <c r="DY321" i="5"/>
  <c r="FR313" i="5"/>
  <c r="AY313" i="5"/>
  <c r="AY320" i="5"/>
  <c r="FR320" i="5"/>
  <c r="DS314" i="5"/>
  <c r="DS322" i="5"/>
  <c r="BW323" i="5"/>
  <c r="BY323" i="5" s="1"/>
  <c r="DU318" i="5"/>
  <c r="FT318" i="5"/>
  <c r="BX318" i="5"/>
  <c r="DF326" i="5"/>
  <c r="DF334" i="5"/>
  <c r="AM327" i="5"/>
  <c r="AM335" i="5"/>
  <c r="DY328" i="5"/>
  <c r="DY336" i="5"/>
  <c r="AY332" i="5"/>
  <c r="FR332" i="5"/>
  <c r="FR326" i="5"/>
  <c r="AY326" i="5"/>
  <c r="BW325" i="5"/>
  <c r="BY325" i="5" s="1"/>
  <c r="FT327" i="5"/>
  <c r="BX327" i="5"/>
  <c r="DU327" i="5"/>
  <c r="BZ336" i="5"/>
  <c r="CB336" i="5" s="1"/>
  <c r="BX328" i="5"/>
  <c r="BY328" i="5" s="1"/>
  <c r="BZ328" i="5"/>
  <c r="CB328" i="5" s="1"/>
  <c r="DU328" i="5"/>
  <c r="FT328" i="5"/>
  <c r="BZ265" i="5"/>
  <c r="CB265" i="5" s="1"/>
  <c r="DU265" i="5"/>
  <c r="FT265" i="5"/>
  <c r="BX265" i="5"/>
  <c r="BY265" i="5" s="1"/>
  <c r="BZ284" i="5"/>
  <c r="CB284" i="5" s="1"/>
  <c r="BZ413" i="5"/>
  <c r="CB413" i="5" s="1"/>
  <c r="FT372" i="5"/>
  <c r="BX372" i="5"/>
  <c r="BY372" i="5" s="1"/>
  <c r="DU372" i="5"/>
  <c r="BZ372" i="5"/>
  <c r="CB372" i="5" s="1"/>
  <c r="BZ344" i="5"/>
  <c r="CB344" i="5" s="1"/>
  <c r="DU344" i="5"/>
  <c r="FT344" i="5"/>
  <c r="BX344" i="5"/>
  <c r="DF340" i="5"/>
  <c r="DF348" i="5"/>
  <c r="AM340" i="5"/>
  <c r="AM348" i="5"/>
  <c r="DY340" i="5"/>
  <c r="DY348" i="5"/>
  <c r="FR348" i="5"/>
  <c r="AY348" i="5"/>
  <c r="FR345" i="5"/>
  <c r="AY345" i="5"/>
  <c r="DS339" i="5"/>
  <c r="DS348" i="5"/>
  <c r="BW342" i="5"/>
  <c r="BY342" i="5" s="1"/>
  <c r="FT346" i="5"/>
  <c r="BX346" i="5"/>
  <c r="DU346" i="5"/>
  <c r="DF360" i="5"/>
  <c r="AM359" i="5"/>
  <c r="DF370" i="5"/>
  <c r="DY355" i="5"/>
  <c r="DY363" i="5"/>
  <c r="FR363" i="5"/>
  <c r="AY363" i="5"/>
  <c r="FR362" i="5"/>
  <c r="AY362" i="5"/>
  <c r="BX357" i="5"/>
  <c r="DU357" i="5"/>
  <c r="FT357" i="5"/>
  <c r="BW359" i="5"/>
  <c r="FT368" i="5"/>
  <c r="BX368" i="5"/>
  <c r="BY368" i="5" s="1"/>
  <c r="DU368" i="5"/>
  <c r="BZ368" i="5"/>
  <c r="CB368" i="5" s="1"/>
  <c r="BX360" i="5"/>
  <c r="BY360" i="5" s="1"/>
  <c r="DU360" i="5"/>
  <c r="BZ360" i="5"/>
  <c r="CB360" i="5" s="1"/>
  <c r="FT360" i="5"/>
  <c r="BX352" i="5"/>
  <c r="BY352" i="5" s="1"/>
  <c r="BZ352" i="5"/>
  <c r="CB352" i="5" s="1"/>
  <c r="DU352" i="5"/>
  <c r="FT352" i="5"/>
  <c r="DF377" i="5"/>
  <c r="BX385" i="5"/>
  <c r="BY385" i="5" s="1"/>
  <c r="FT385" i="5"/>
  <c r="BZ385" i="5"/>
  <c r="CB385" i="5" s="1"/>
  <c r="DU385" i="5"/>
  <c r="DF379" i="5"/>
  <c r="DF387" i="5"/>
  <c r="AM384" i="5"/>
  <c r="DY374" i="5"/>
  <c r="DY382" i="5"/>
  <c r="AY372" i="5"/>
  <c r="FR372" i="5"/>
  <c r="AY380" i="5"/>
  <c r="FR380" i="5"/>
  <c r="AY388" i="5"/>
  <c r="FR388" i="5"/>
  <c r="DS378" i="5"/>
  <c r="DS386" i="5"/>
  <c r="BX381" i="5"/>
  <c r="DU381" i="5"/>
  <c r="FT381" i="5"/>
  <c r="BW375" i="5"/>
  <c r="BY375" i="5" s="1"/>
  <c r="BW387" i="5"/>
  <c r="BY387" i="5" s="1"/>
  <c r="BZ395" i="5"/>
  <c r="CB395" i="5" s="1"/>
  <c r="DU395" i="5"/>
  <c r="FT395" i="5"/>
  <c r="BX395" i="5"/>
  <c r="BY395" i="5" s="1"/>
  <c r="BZ404" i="5"/>
  <c r="CB404" i="5" s="1"/>
  <c r="DF389" i="5"/>
  <c r="DF397" i="5"/>
  <c r="DF405" i="5"/>
  <c r="AM396" i="5"/>
  <c r="AM404" i="5"/>
  <c r="DY391" i="5"/>
  <c r="DY403" i="5"/>
  <c r="FR394" i="5"/>
  <c r="AY394" i="5"/>
  <c r="FR402" i="5"/>
  <c r="AY402" i="5"/>
  <c r="DS393" i="5"/>
  <c r="DS401" i="5"/>
  <c r="BX394" i="5"/>
  <c r="DU394" i="5"/>
  <c r="FT394" i="5"/>
  <c r="BW392" i="5"/>
  <c r="BY392" i="5" s="1"/>
  <c r="BW405" i="5"/>
  <c r="BZ422" i="5"/>
  <c r="CB422" i="5" s="1"/>
  <c r="DF407" i="5"/>
  <c r="DF415" i="5"/>
  <c r="DF423" i="5"/>
  <c r="AM411" i="5"/>
  <c r="AM419" i="5"/>
  <c r="DY406" i="5"/>
  <c r="DY415" i="5"/>
  <c r="DY423" i="5"/>
  <c r="FR411" i="5"/>
  <c r="AY411" i="5"/>
  <c r="FR419" i="5"/>
  <c r="AY419" i="5"/>
  <c r="DS408" i="5"/>
  <c r="DS416" i="5"/>
  <c r="DS425" i="5"/>
  <c r="BX418" i="5"/>
  <c r="DU418" i="5"/>
  <c r="FT418" i="5"/>
  <c r="BW410" i="5"/>
  <c r="BY410" i="5" s="1"/>
  <c r="BW424" i="5"/>
  <c r="BY424" i="5" s="1"/>
  <c r="DF432" i="5"/>
  <c r="DF440" i="5"/>
  <c r="BZ428" i="5"/>
  <c r="CB428" i="5" s="1"/>
  <c r="BZ436" i="5"/>
  <c r="CB436" i="5" s="1"/>
  <c r="DU436" i="5"/>
  <c r="AM432" i="5"/>
  <c r="AM440" i="5"/>
  <c r="DY428" i="5"/>
  <c r="FR432" i="5"/>
  <c r="AY432" i="5"/>
  <c r="AZ432" i="5" s="1"/>
  <c r="CI432" i="5" s="1"/>
  <c r="AY440" i="5"/>
  <c r="DS428" i="5"/>
  <c r="BX435" i="5"/>
  <c r="DU435" i="5"/>
  <c r="FT435" i="5"/>
  <c r="AE99" i="5"/>
  <c r="AG99" i="5" s="1"/>
  <c r="DF99" i="5"/>
  <c r="DC99" i="5"/>
  <c r="BX97" i="5"/>
  <c r="BY97" i="5" s="1"/>
  <c r="BZ97" i="5"/>
  <c r="CB97" i="5" s="1"/>
  <c r="FT97" i="5"/>
  <c r="DU97" i="5"/>
  <c r="DY101" i="5"/>
  <c r="EE104" i="5"/>
  <c r="DS98" i="5"/>
  <c r="R489" i="5"/>
  <c r="EF489" i="5" s="1"/>
  <c r="EE489" i="5" s="1"/>
  <c r="AD152" i="5"/>
  <c r="DC148" i="5"/>
  <c r="DF148" i="5"/>
  <c r="DY150" i="5"/>
  <c r="AY148" i="5"/>
  <c r="FR148" i="5"/>
  <c r="FU148" i="5" s="1"/>
  <c r="CM148" i="5" s="1"/>
  <c r="DS150" i="5"/>
  <c r="BL150" i="5"/>
  <c r="DT150" i="5" s="1"/>
  <c r="DV150" i="5" s="1"/>
  <c r="BT150" i="5"/>
  <c r="BE150" i="5"/>
  <c r="BU150" i="5"/>
  <c r="FS150" i="5"/>
  <c r="DC499" i="5"/>
  <c r="BX496" i="5"/>
  <c r="BY496" i="5" s="1"/>
  <c r="CC496" i="5" s="1"/>
  <c r="AR496" i="5"/>
  <c r="AU495" i="5"/>
  <c r="AV495" i="5" s="1"/>
  <c r="AR488" i="5"/>
  <c r="AU487" i="5"/>
  <c r="AV487" i="5" s="1"/>
  <c r="DC483" i="5"/>
  <c r="AR480" i="5"/>
  <c r="AU479" i="5"/>
  <c r="AV479" i="5" s="1"/>
  <c r="DC475" i="5"/>
  <c r="AR472" i="5"/>
  <c r="AU471" i="5"/>
  <c r="AV471" i="5" s="1"/>
  <c r="AM453" i="5"/>
  <c r="DU452" i="5"/>
  <c r="BX451" i="5"/>
  <c r="BY451" i="5" s="1"/>
  <c r="DC449" i="5"/>
  <c r="DU447" i="5"/>
  <c r="BZ447" i="5"/>
  <c r="CB447" i="5" s="1"/>
  <c r="AY444" i="5"/>
  <c r="AZ444" i="5" s="1"/>
  <c r="CI444" i="5" s="1"/>
  <c r="FT441" i="5"/>
  <c r="AR441" i="5"/>
  <c r="CG441" i="5" s="1"/>
  <c r="AM435" i="5"/>
  <c r="BZ433" i="5"/>
  <c r="CB433" i="5" s="1"/>
  <c r="BY432" i="5"/>
  <c r="BY427" i="5"/>
  <c r="BY406" i="5"/>
  <c r="BY400" i="5"/>
  <c r="DC23" i="5"/>
  <c r="DY23" i="5"/>
  <c r="DF23" i="5"/>
  <c r="BL34" i="5"/>
  <c r="DT34" i="5" s="1"/>
  <c r="DV34" i="5" s="1"/>
  <c r="BT34" i="5"/>
  <c r="BE34" i="5"/>
  <c r="BU34" i="5"/>
  <c r="FR34" i="5"/>
  <c r="DC416" i="5"/>
  <c r="AR416" i="5"/>
  <c r="CG416" i="5" s="1"/>
  <c r="AM255" i="5"/>
  <c r="BZ256" i="5"/>
  <c r="CB256" i="5" s="1"/>
  <c r="FR256" i="5"/>
  <c r="AY256" i="5"/>
  <c r="AM274" i="5"/>
  <c r="FR276" i="5"/>
  <c r="AY276" i="5"/>
  <c r="FT284" i="5"/>
  <c r="BX284" i="5"/>
  <c r="DU284" i="5"/>
  <c r="BZ323" i="5"/>
  <c r="CB323" i="5" s="1"/>
  <c r="BW306" i="5"/>
  <c r="DF319" i="5"/>
  <c r="FR308" i="5"/>
  <c r="AY308" i="5"/>
  <c r="BX321" i="5"/>
  <c r="DU321" i="5"/>
  <c r="FT321" i="5"/>
  <c r="AM362" i="5"/>
  <c r="DY366" i="5"/>
  <c r="BW365" i="5"/>
  <c r="AM379" i="5"/>
  <c r="DF392" i="5"/>
  <c r="BW398" i="5"/>
  <c r="DY418" i="5"/>
  <c r="FT408" i="5"/>
  <c r="BX408" i="5"/>
  <c r="DU408" i="5"/>
  <c r="BZ431" i="5"/>
  <c r="CB431" i="5" s="1"/>
  <c r="DS431" i="5"/>
  <c r="R95" i="5"/>
  <c r="EF95" i="5" s="1"/>
  <c r="EE95" i="5" s="1"/>
  <c r="AU95" i="5"/>
  <c r="K96" i="5"/>
  <c r="N96" i="5" s="1"/>
  <c r="DY96" i="5"/>
  <c r="R102" i="5"/>
  <c r="EF102" i="5" s="1"/>
  <c r="EE102" i="5" s="1"/>
  <c r="AU102" i="5"/>
  <c r="FS133" i="5"/>
  <c r="FS126" i="5"/>
  <c r="FS134" i="5"/>
  <c r="DC20" i="5"/>
  <c r="AN20" i="5"/>
  <c r="DO20" i="5" s="1"/>
  <c r="DY20" i="5"/>
  <c r="DF20" i="5"/>
  <c r="BU24" i="5"/>
  <c r="FR24" i="5"/>
  <c r="BE24" i="5"/>
  <c r="BL24" i="5"/>
  <c r="DT24" i="5" s="1"/>
  <c r="DV24" i="5" s="1"/>
  <c r="EB24" i="5" s="1"/>
  <c r="BT24" i="5"/>
  <c r="DF29" i="5"/>
  <c r="DC29" i="5"/>
  <c r="DY29" i="5"/>
  <c r="FR32" i="5"/>
  <c r="FU32" i="5" s="1"/>
  <c r="BL32" i="5"/>
  <c r="DT32" i="5" s="1"/>
  <c r="DV32" i="5" s="1"/>
  <c r="EB32" i="5" s="1"/>
  <c r="BT32" i="5"/>
  <c r="BE32" i="5"/>
  <c r="BU32" i="5"/>
  <c r="CA34" i="5"/>
  <c r="FS34" i="5"/>
  <c r="DY37" i="5"/>
  <c r="DC37" i="5"/>
  <c r="DF37" i="5"/>
  <c r="BE40" i="5"/>
  <c r="BU40" i="5"/>
  <c r="FR40" i="5"/>
  <c r="FU40" i="5" s="1"/>
  <c r="BL40" i="5"/>
  <c r="DT40" i="5" s="1"/>
  <c r="DV40" i="5" s="1"/>
  <c r="BT40" i="5"/>
  <c r="FS42" i="5"/>
  <c r="FU42" i="5" s="1"/>
  <c r="CA42" i="5"/>
  <c r="CB42" i="5" s="1"/>
  <c r="DY45" i="5"/>
  <c r="DF45" i="5"/>
  <c r="DC45" i="5"/>
  <c r="FR48" i="5"/>
  <c r="FU48" i="5" s="1"/>
  <c r="BL48" i="5"/>
  <c r="DT48" i="5" s="1"/>
  <c r="DV48" i="5" s="1"/>
  <c r="EB48" i="5" s="1"/>
  <c r="BT48" i="5"/>
  <c r="BE48" i="5"/>
  <c r="BU48" i="5"/>
  <c r="CA50" i="5"/>
  <c r="CB50" i="5" s="1"/>
  <c r="FS50" i="5"/>
  <c r="AY28" i="5"/>
  <c r="AY36" i="5"/>
  <c r="AY44" i="5"/>
  <c r="AY52" i="5"/>
  <c r="DS252" i="5"/>
  <c r="R255" i="5"/>
  <c r="EF255" i="5" s="1"/>
  <c r="EE255" i="5" s="1"/>
  <c r="AU255" i="5"/>
  <c r="R259" i="5"/>
  <c r="EF259" i="5" s="1"/>
  <c r="EE259" i="5" s="1"/>
  <c r="AU259" i="5"/>
  <c r="R263" i="5"/>
  <c r="EF263" i="5" s="1"/>
  <c r="EE263" i="5" s="1"/>
  <c r="AU263" i="5"/>
  <c r="R267" i="5"/>
  <c r="EF267" i="5" s="1"/>
  <c r="EE267" i="5" s="1"/>
  <c r="AU267" i="5"/>
  <c r="R272" i="5"/>
  <c r="EF272" i="5" s="1"/>
  <c r="EE272" i="5" s="1"/>
  <c r="AU272" i="5"/>
  <c r="R276" i="5"/>
  <c r="EF276" i="5" s="1"/>
  <c r="EE276" i="5" s="1"/>
  <c r="AU276" i="5"/>
  <c r="AV290" i="5"/>
  <c r="AV294" i="5"/>
  <c r="AV325" i="5"/>
  <c r="AV329" i="5"/>
  <c r="AV333" i="5"/>
  <c r="AV340" i="5"/>
  <c r="AV344" i="5"/>
  <c r="DC348" i="5"/>
  <c r="AR348" i="5"/>
  <c r="CG348" i="5" s="1"/>
  <c r="AZ358" i="5"/>
  <c r="AR358" i="5"/>
  <c r="CG358" i="5" s="1"/>
  <c r="DC358" i="5"/>
  <c r="AR373" i="5"/>
  <c r="CG373" i="5" s="1"/>
  <c r="DC373" i="5"/>
  <c r="AV380" i="5"/>
  <c r="AZ384" i="5"/>
  <c r="CI384" i="5" s="1"/>
  <c r="DC384" i="5"/>
  <c r="AR384" i="5"/>
  <c r="CG384" i="5" s="1"/>
  <c r="AZ390" i="5"/>
  <c r="CI390" i="5" s="1"/>
  <c r="AR390" i="5"/>
  <c r="CG390" i="5" s="1"/>
  <c r="DC390" i="5"/>
  <c r="AV397" i="5"/>
  <c r="AR401" i="5"/>
  <c r="CG401" i="5" s="1"/>
  <c r="DC401" i="5"/>
  <c r="AZ405" i="5"/>
  <c r="AR405" i="5"/>
  <c r="DC405" i="5"/>
  <c r="AV409" i="5"/>
  <c r="AV420" i="5"/>
  <c r="AR425" i="5"/>
  <c r="CG425" i="5" s="1"/>
  <c r="DC425" i="5"/>
  <c r="AV428" i="5"/>
  <c r="AM253" i="5"/>
  <c r="AM261" i="5"/>
  <c r="FT258" i="5"/>
  <c r="BX258" i="5"/>
  <c r="BY258" i="5" s="1"/>
  <c r="DU258" i="5"/>
  <c r="BZ258" i="5"/>
  <c r="CB258" i="5" s="1"/>
  <c r="DF255" i="5"/>
  <c r="DF263" i="5"/>
  <c r="DY257" i="5"/>
  <c r="AY254" i="5"/>
  <c r="FR254" i="5"/>
  <c r="FR262" i="5"/>
  <c r="AY262" i="5"/>
  <c r="DS259" i="5"/>
  <c r="DU257" i="5"/>
  <c r="FT257" i="5"/>
  <c r="BX257" i="5"/>
  <c r="BW257" i="5"/>
  <c r="CG374" i="5"/>
  <c r="CI358" i="5"/>
  <c r="CG342" i="5"/>
  <c r="CG294" i="5"/>
  <c r="AM266" i="5"/>
  <c r="DF265" i="5"/>
  <c r="DY271" i="5"/>
  <c r="FR270" i="5"/>
  <c r="AY270" i="5"/>
  <c r="BW266" i="5"/>
  <c r="BY266" i="5" s="1"/>
  <c r="BZ280" i="5"/>
  <c r="CB280" i="5" s="1"/>
  <c r="DF279" i="5"/>
  <c r="DF287" i="5"/>
  <c r="AM280" i="5"/>
  <c r="DY273" i="5"/>
  <c r="DY281" i="5"/>
  <c r="FR274" i="5"/>
  <c r="AY274" i="5"/>
  <c r="FR282" i="5"/>
  <c r="AY282" i="5"/>
  <c r="DS276" i="5"/>
  <c r="DU281" i="5"/>
  <c r="FT281" i="5"/>
  <c r="BX281" i="5"/>
  <c r="BW282" i="5"/>
  <c r="AM288" i="5"/>
  <c r="FR289" i="5"/>
  <c r="AY289" i="5"/>
  <c r="BW295" i="5"/>
  <c r="DU295" i="5"/>
  <c r="FT295" i="5"/>
  <c r="BX295" i="5"/>
  <c r="FR294" i="5"/>
  <c r="AY294" i="5"/>
  <c r="AZ294" i="5" s="1"/>
  <c r="CI294" i="5" s="1"/>
  <c r="DF291" i="5"/>
  <c r="DF301" i="5"/>
  <c r="BX317" i="5"/>
  <c r="BY317" i="5" s="1"/>
  <c r="BZ317" i="5"/>
  <c r="CB317" i="5" s="1"/>
  <c r="DU317" i="5"/>
  <c r="FT317" i="5"/>
  <c r="BZ309" i="5"/>
  <c r="CB309" i="5" s="1"/>
  <c r="AM296" i="5"/>
  <c r="BZ300" i="5"/>
  <c r="CB300" i="5" s="1"/>
  <c r="FT292" i="5"/>
  <c r="BX292" i="5"/>
  <c r="BY292" i="5" s="1"/>
  <c r="BZ292" i="5"/>
  <c r="CB292" i="5" s="1"/>
  <c r="DU292" i="5"/>
  <c r="DF305" i="5"/>
  <c r="DY303" i="5"/>
  <c r="AY306" i="5"/>
  <c r="FR306" i="5"/>
  <c r="DU306" i="5"/>
  <c r="FT306" i="5"/>
  <c r="BX306" i="5"/>
  <c r="DF308" i="5"/>
  <c r="AM309" i="5"/>
  <c r="DF316" i="5"/>
  <c r="AM315" i="5"/>
  <c r="AM323" i="5"/>
  <c r="DY314" i="5"/>
  <c r="DY322" i="5"/>
  <c r="FR314" i="5"/>
  <c r="AY314" i="5"/>
  <c r="FR321" i="5"/>
  <c r="AY321" i="5"/>
  <c r="AZ321" i="5" s="1"/>
  <c r="CI321" i="5" s="1"/>
  <c r="DS315" i="5"/>
  <c r="DS323" i="5"/>
  <c r="BW318" i="5"/>
  <c r="BY318" i="5" s="1"/>
  <c r="FT319" i="5"/>
  <c r="BX319" i="5"/>
  <c r="DU319" i="5"/>
  <c r="DF327" i="5"/>
  <c r="DF335" i="5"/>
  <c r="AM328" i="5"/>
  <c r="AM336" i="5"/>
  <c r="DY329" i="5"/>
  <c r="DY337" i="5"/>
  <c r="FR333" i="5"/>
  <c r="AY333" i="5"/>
  <c r="FR336" i="5"/>
  <c r="AY336" i="5"/>
  <c r="BW327" i="5"/>
  <c r="BX329" i="5"/>
  <c r="DU329" i="5"/>
  <c r="FT329" i="5"/>
  <c r="FT335" i="5"/>
  <c r="BX335" i="5"/>
  <c r="BY335" i="5" s="1"/>
  <c r="BZ335" i="5"/>
  <c r="CB335" i="5" s="1"/>
  <c r="DU335" i="5"/>
  <c r="BZ327" i="5"/>
  <c r="CB327" i="5" s="1"/>
  <c r="BX272" i="5"/>
  <c r="BY272" i="5" s="1"/>
  <c r="BZ272" i="5"/>
  <c r="CB272" i="5" s="1"/>
  <c r="DU272" i="5"/>
  <c r="FT272" i="5"/>
  <c r="BX264" i="5"/>
  <c r="BY264" i="5" s="1"/>
  <c r="BZ264" i="5"/>
  <c r="CB264" i="5" s="1"/>
  <c r="DU264" i="5"/>
  <c r="FT264" i="5"/>
  <c r="BX283" i="5"/>
  <c r="DU283" i="5"/>
  <c r="FT283" i="5"/>
  <c r="BZ283" i="5"/>
  <c r="CB283" i="5" s="1"/>
  <c r="FT412" i="5"/>
  <c r="BX412" i="5"/>
  <c r="BY412" i="5" s="1"/>
  <c r="BZ412" i="5"/>
  <c r="CB412" i="5" s="1"/>
  <c r="DU412" i="5"/>
  <c r="BZ371" i="5"/>
  <c r="CB371" i="5" s="1"/>
  <c r="BX343" i="5"/>
  <c r="BY343" i="5" s="1"/>
  <c r="BZ343" i="5"/>
  <c r="CB343" i="5" s="1"/>
  <c r="DU343" i="5"/>
  <c r="FT343" i="5"/>
  <c r="DF341" i="5"/>
  <c r="AE349" i="5"/>
  <c r="DF349" i="5"/>
  <c r="AM341" i="5"/>
  <c r="AM349" i="5"/>
  <c r="DY341" i="5"/>
  <c r="DY349" i="5"/>
  <c r="FR354" i="5"/>
  <c r="AY354" i="5"/>
  <c r="FR347" i="5"/>
  <c r="AY347" i="5"/>
  <c r="DS340" i="5"/>
  <c r="DS349" i="5"/>
  <c r="BW345" i="5"/>
  <c r="FT349" i="5"/>
  <c r="BX349" i="5"/>
  <c r="DU349" i="5"/>
  <c r="DF361" i="5"/>
  <c r="AM360" i="5"/>
  <c r="AM364" i="5"/>
  <c r="DY356" i="5"/>
  <c r="DY364" i="5"/>
  <c r="AY355" i="5"/>
  <c r="FR355" i="5"/>
  <c r="AY364" i="5"/>
  <c r="FR364" i="5"/>
  <c r="DS356" i="5"/>
  <c r="DS364" i="5"/>
  <c r="DU359" i="5"/>
  <c r="FT359" i="5"/>
  <c r="BX359" i="5"/>
  <c r="BW361" i="5"/>
  <c r="BZ367" i="5"/>
  <c r="CB367" i="5" s="1"/>
  <c r="BZ359" i="5"/>
  <c r="CB359" i="5" s="1"/>
  <c r="BX351" i="5"/>
  <c r="BY351" i="5" s="1"/>
  <c r="BZ351" i="5"/>
  <c r="CB351" i="5" s="1"/>
  <c r="DU351" i="5"/>
  <c r="FT351" i="5"/>
  <c r="AM373" i="5"/>
  <c r="FT384" i="5"/>
  <c r="BX384" i="5"/>
  <c r="BY384" i="5" s="1"/>
  <c r="BZ384" i="5"/>
  <c r="CB384" i="5" s="1"/>
  <c r="DU384" i="5"/>
  <c r="DF380" i="5"/>
  <c r="DF388" i="5"/>
  <c r="AM385" i="5"/>
  <c r="DY375" i="5"/>
  <c r="DY383" i="5"/>
  <c r="AY373" i="5"/>
  <c r="FR373" i="5"/>
  <c r="AY381" i="5"/>
  <c r="AZ381" i="5" s="1"/>
  <c r="CI381" i="5" s="1"/>
  <c r="FR381" i="5"/>
  <c r="DS371" i="5"/>
  <c r="DS379" i="5"/>
  <c r="DS387" i="5"/>
  <c r="BX382" i="5"/>
  <c r="DU382" i="5"/>
  <c r="FT382" i="5"/>
  <c r="BW377" i="5"/>
  <c r="BZ402" i="5"/>
  <c r="CB402" i="5" s="1"/>
  <c r="BZ394" i="5"/>
  <c r="CB394" i="5" s="1"/>
  <c r="BZ405" i="5"/>
  <c r="CB405" i="5" s="1"/>
  <c r="DF390" i="5"/>
  <c r="DF398" i="5"/>
  <c r="AM389" i="5"/>
  <c r="AM397" i="5"/>
  <c r="AM405" i="5"/>
  <c r="DY389" i="5"/>
  <c r="DY404" i="5"/>
  <c r="FR395" i="5"/>
  <c r="AY395" i="5"/>
  <c r="FR403" i="5"/>
  <c r="AY403" i="5"/>
  <c r="DS394" i="5"/>
  <c r="DS402" i="5"/>
  <c r="BX398" i="5"/>
  <c r="DU398" i="5"/>
  <c r="FT398" i="5"/>
  <c r="BW393" i="5"/>
  <c r="BZ410" i="5"/>
  <c r="CB410" i="5" s="1"/>
  <c r="BZ423" i="5"/>
  <c r="CB423" i="5" s="1"/>
  <c r="DU423" i="5"/>
  <c r="FT423" i="5"/>
  <c r="DF408" i="5"/>
  <c r="DF416" i="5"/>
  <c r="DF424" i="5"/>
  <c r="AM412" i="5"/>
  <c r="AM420" i="5"/>
  <c r="DY408" i="5"/>
  <c r="DY416" i="5"/>
  <c r="DY424" i="5"/>
  <c r="AY412" i="5"/>
  <c r="FR412" i="5"/>
  <c r="AY420" i="5"/>
  <c r="FR420" i="5"/>
  <c r="DS409" i="5"/>
  <c r="DS417" i="5"/>
  <c r="DS424" i="5"/>
  <c r="DU419" i="5"/>
  <c r="FT419" i="5"/>
  <c r="BW413" i="5"/>
  <c r="BY413" i="5" s="1"/>
  <c r="DF433" i="5"/>
  <c r="AM433" i="5"/>
  <c r="AM441" i="5"/>
  <c r="DY429" i="5"/>
  <c r="DY437" i="5"/>
  <c r="AY433" i="5"/>
  <c r="FR433" i="5"/>
  <c r="DS429" i="5"/>
  <c r="DS437" i="5"/>
  <c r="BW441" i="5"/>
  <c r="BY441" i="5" s="1"/>
  <c r="FT437" i="5"/>
  <c r="BX437" i="5"/>
  <c r="BY437" i="5" s="1"/>
  <c r="DC100" i="5"/>
  <c r="DF100" i="5"/>
  <c r="BX104" i="5"/>
  <c r="BY104" i="5" s="1"/>
  <c r="BZ104" i="5"/>
  <c r="CB104" i="5" s="1"/>
  <c r="FT104" i="5"/>
  <c r="DU104" i="5"/>
  <c r="BZ96" i="5"/>
  <c r="CB96" i="5" s="1"/>
  <c r="FT96" i="5"/>
  <c r="DU96" i="5"/>
  <c r="BX96" i="5"/>
  <c r="BY96" i="5" s="1"/>
  <c r="DY102" i="5"/>
  <c r="DS99" i="5"/>
  <c r="R484" i="5"/>
  <c r="EF484" i="5" s="1"/>
  <c r="EE484" i="5" s="1"/>
  <c r="DD153" i="5"/>
  <c r="AR153" i="5"/>
  <c r="CG153" i="5" s="1"/>
  <c r="DC153" i="5"/>
  <c r="DF153" i="5"/>
  <c r="DY149" i="5"/>
  <c r="AY153" i="5"/>
  <c r="FR153" i="5"/>
  <c r="BX280" i="5"/>
  <c r="DU280" i="5"/>
  <c r="FT280" i="5"/>
  <c r="DS151" i="5"/>
  <c r="BL153" i="5"/>
  <c r="DT153" i="5" s="1"/>
  <c r="DV153" i="5" s="1"/>
  <c r="BT153" i="5"/>
  <c r="FS153" i="5"/>
  <c r="BE153" i="5"/>
  <c r="BF153" i="5" s="1"/>
  <c r="BH153" i="5" s="1"/>
  <c r="BU153" i="5"/>
  <c r="AU500" i="5"/>
  <c r="AV500" i="5" s="1"/>
  <c r="FT499" i="5"/>
  <c r="FS499" i="5" s="1"/>
  <c r="FU499" i="5" s="1"/>
  <c r="AR493" i="5"/>
  <c r="AU492" i="5"/>
  <c r="AV492" i="5" s="1"/>
  <c r="AR485" i="5"/>
  <c r="AU484" i="5"/>
  <c r="AV484" i="5" s="1"/>
  <c r="DC480" i="5"/>
  <c r="AR477" i="5"/>
  <c r="AU476" i="5"/>
  <c r="AV476" i="5" s="1"/>
  <c r="AR469" i="5"/>
  <c r="AM448" i="5"/>
  <c r="BX446" i="5"/>
  <c r="BY446" i="5" s="1"/>
  <c r="AR446" i="5"/>
  <c r="CG446" i="5" s="1"/>
  <c r="DC444" i="5"/>
  <c r="AM443" i="5"/>
  <c r="DU442" i="5"/>
  <c r="AR436" i="5"/>
  <c r="CG436" i="5" s="1"/>
  <c r="BW433" i="5"/>
  <c r="DC432" i="5"/>
  <c r="BY423" i="5"/>
  <c r="FS136" i="5"/>
  <c r="DF39" i="5"/>
  <c r="DY39" i="5"/>
  <c r="DC39" i="5"/>
  <c r="BL50" i="5"/>
  <c r="DT50" i="5" s="1"/>
  <c r="DV50" i="5" s="1"/>
  <c r="EB50" i="5" s="1"/>
  <c r="BE50" i="5"/>
  <c r="BU50" i="5"/>
  <c r="FR50" i="5"/>
  <c r="BT50" i="5"/>
  <c r="R273" i="5"/>
  <c r="AU273" i="5"/>
  <c r="DC334" i="5"/>
  <c r="AR334" i="5"/>
  <c r="CG334" i="5" s="1"/>
  <c r="AR381" i="5"/>
  <c r="CG381" i="5" s="1"/>
  <c r="DC381" i="5"/>
  <c r="AG268" i="5"/>
  <c r="AM268" i="5"/>
  <c r="AM282" i="5"/>
  <c r="DS278" i="5"/>
  <c r="BW297" i="5"/>
  <c r="FR296" i="5"/>
  <c r="AY296" i="5"/>
  <c r="BW320" i="5"/>
  <c r="BX333" i="5"/>
  <c r="FT333" i="5"/>
  <c r="BZ333" i="5"/>
  <c r="CB333" i="5" s="1"/>
  <c r="DU333" i="5"/>
  <c r="BX289" i="5"/>
  <c r="BY289" i="5" s="1"/>
  <c r="BZ289" i="5"/>
  <c r="CB289" i="5" s="1"/>
  <c r="DU289" i="5"/>
  <c r="FT289" i="5"/>
  <c r="BZ341" i="5"/>
  <c r="CB341" i="5" s="1"/>
  <c r="AM343" i="5"/>
  <c r="FR340" i="5"/>
  <c r="AY340" i="5"/>
  <c r="DF363" i="5"/>
  <c r="DY377" i="5"/>
  <c r="BX386" i="5"/>
  <c r="DU386" i="5"/>
  <c r="FT386" i="5"/>
  <c r="AY397" i="5"/>
  <c r="FR397" i="5"/>
  <c r="AM414" i="5"/>
  <c r="FR414" i="5"/>
  <c r="AY414" i="5"/>
  <c r="BW419" i="5"/>
  <c r="BX439" i="5"/>
  <c r="BY439" i="5" s="1"/>
  <c r="DY431" i="5"/>
  <c r="DS439" i="5"/>
  <c r="DU102" i="5"/>
  <c r="BX102" i="5"/>
  <c r="BY102" i="5" s="1"/>
  <c r="FT102" i="5"/>
  <c r="BZ102" i="5"/>
  <c r="CB102" i="5" s="1"/>
  <c r="FS145" i="5"/>
  <c r="AU128" i="5"/>
  <c r="FS125" i="5"/>
  <c r="FS141" i="5"/>
  <c r="FS127" i="5"/>
  <c r="FS135" i="5"/>
  <c r="BT20" i="5"/>
  <c r="FR20" i="5"/>
  <c r="FU20" i="5" s="1"/>
  <c r="BE20" i="5"/>
  <c r="BL20" i="5"/>
  <c r="DT20" i="5" s="1"/>
  <c r="DV20" i="5" s="1"/>
  <c r="EB20" i="5" s="1"/>
  <c r="BU20" i="5"/>
  <c r="CA23" i="5"/>
  <c r="CB23" i="5" s="1"/>
  <c r="FS23" i="5"/>
  <c r="FU26" i="5"/>
  <c r="DY26" i="5"/>
  <c r="DC26" i="5"/>
  <c r="DF26" i="5"/>
  <c r="BL29" i="5"/>
  <c r="DT29" i="5" s="1"/>
  <c r="DV29" i="5" s="1"/>
  <c r="EB29" i="5" s="1"/>
  <c r="BE29" i="5"/>
  <c r="BU29" i="5"/>
  <c r="BT29" i="5"/>
  <c r="FR29" i="5"/>
  <c r="FS31" i="5"/>
  <c r="FU31" i="5" s="1"/>
  <c r="CA31" i="5"/>
  <c r="CB31" i="5" s="1"/>
  <c r="FU34" i="5"/>
  <c r="DY34" i="5"/>
  <c r="DC34" i="5"/>
  <c r="DF34" i="5"/>
  <c r="BL37" i="5"/>
  <c r="DT37" i="5" s="1"/>
  <c r="DV37" i="5" s="1"/>
  <c r="EB37" i="5" s="1"/>
  <c r="FR37" i="5"/>
  <c r="FU37" i="5" s="1"/>
  <c r="BT37" i="5"/>
  <c r="BU37" i="5"/>
  <c r="BE37" i="5"/>
  <c r="FS39" i="5"/>
  <c r="FU39" i="5" s="1"/>
  <c r="CA39" i="5"/>
  <c r="DC42" i="5"/>
  <c r="DF42" i="5"/>
  <c r="DY42" i="5"/>
  <c r="FR45" i="5"/>
  <c r="BT45" i="5"/>
  <c r="BE45" i="5"/>
  <c r="BL45" i="5"/>
  <c r="DT45" i="5" s="1"/>
  <c r="DV45" i="5" s="1"/>
  <c r="EB45" i="5" s="1"/>
  <c r="BU45" i="5"/>
  <c r="CA47" i="5"/>
  <c r="CB47" i="5" s="1"/>
  <c r="FS47" i="5"/>
  <c r="DY50" i="5"/>
  <c r="DC50" i="5"/>
  <c r="DF50" i="5"/>
  <c r="AT20" i="5"/>
  <c r="AY20" i="5"/>
  <c r="AY29" i="5"/>
  <c r="AY37" i="5"/>
  <c r="AY45" i="5"/>
  <c r="AY24" i="5"/>
  <c r="R256" i="5"/>
  <c r="EF256" i="5" s="1"/>
  <c r="EE256" i="5" s="1"/>
  <c r="AU256" i="5"/>
  <c r="R277" i="5"/>
  <c r="AU277" i="5"/>
  <c r="R281" i="5"/>
  <c r="EF281" i="5" s="1"/>
  <c r="EE281" i="5" s="1"/>
  <c r="AU281" i="5"/>
  <c r="AZ286" i="5"/>
  <c r="CI286" i="5" s="1"/>
  <c r="DC286" i="5"/>
  <c r="AR286" i="5"/>
  <c r="CG286" i="5" s="1"/>
  <c r="DC330" i="5"/>
  <c r="AR330" i="5"/>
  <c r="CG330" i="5" s="1"/>
  <c r="DC341" i="5"/>
  <c r="AR341" i="5"/>
  <c r="DC345" i="5"/>
  <c r="AR345" i="5"/>
  <c r="CG345" i="5" s="1"/>
  <c r="AR352" i="5"/>
  <c r="CG352" i="5" s="1"/>
  <c r="DC352" i="5"/>
  <c r="AV355" i="5"/>
  <c r="AZ362" i="5"/>
  <c r="CI362" i="5" s="1"/>
  <c r="AR362" i="5"/>
  <c r="CG362" i="5" s="1"/>
  <c r="DC362" i="5"/>
  <c r="AR366" i="5"/>
  <c r="CG366" i="5" s="1"/>
  <c r="DC366" i="5"/>
  <c r="AR377" i="5"/>
  <c r="CG377" i="5" s="1"/>
  <c r="DC377" i="5"/>
  <c r="AV390" i="5"/>
  <c r="AZ394" i="5"/>
  <c r="CI394" i="5" s="1"/>
  <c r="AR394" i="5"/>
  <c r="CG394" i="5" s="1"/>
  <c r="DC394" i="5"/>
  <c r="AV405" i="5"/>
  <c r="AV410" i="5"/>
  <c r="AR421" i="5"/>
  <c r="CG421" i="5" s="1"/>
  <c r="DC421" i="5"/>
  <c r="AM254" i="5"/>
  <c r="AM262" i="5"/>
  <c r="BZ257" i="5"/>
  <c r="CB257" i="5" s="1"/>
  <c r="DF256" i="5"/>
  <c r="DY258" i="5"/>
  <c r="AY255" i="5"/>
  <c r="FR255" i="5"/>
  <c r="AY263" i="5"/>
  <c r="FR263" i="5"/>
  <c r="DS260" i="5"/>
  <c r="BX260" i="5"/>
  <c r="DU260" i="5"/>
  <c r="FT260" i="5"/>
  <c r="BW260" i="5"/>
  <c r="CG429" i="5"/>
  <c r="CG413" i="5"/>
  <c r="CG405" i="5"/>
  <c r="CI405" i="5"/>
  <c r="CG397" i="5"/>
  <c r="CG389" i="5"/>
  <c r="CG357" i="5"/>
  <c r="CG341" i="5"/>
  <c r="AM267" i="5"/>
  <c r="DF266" i="5"/>
  <c r="DY264" i="5"/>
  <c r="DY272" i="5"/>
  <c r="AY271" i="5"/>
  <c r="FR271" i="5"/>
  <c r="DS270" i="5"/>
  <c r="BW267" i="5"/>
  <c r="BY267" i="5" s="1"/>
  <c r="FT279" i="5"/>
  <c r="BX279" i="5"/>
  <c r="BZ279" i="5"/>
  <c r="CB279" i="5" s="1"/>
  <c r="DU279" i="5"/>
  <c r="DF280" i="5"/>
  <c r="AM273" i="5"/>
  <c r="AM281" i="5"/>
  <c r="DY274" i="5"/>
  <c r="DY282" i="5"/>
  <c r="AY275" i="5"/>
  <c r="FR275" i="5"/>
  <c r="AY283" i="5"/>
  <c r="FR283" i="5"/>
  <c r="DS277" i="5"/>
  <c r="BX282" i="5"/>
  <c r="FT282" i="5"/>
  <c r="DU282" i="5"/>
  <c r="BW284" i="5"/>
  <c r="BY284" i="5" s="1"/>
  <c r="AM289" i="5"/>
  <c r="BW296" i="5"/>
  <c r="FT296" i="5"/>
  <c r="BX296" i="5"/>
  <c r="DU296" i="5"/>
  <c r="FR295" i="5"/>
  <c r="AY295" i="5"/>
  <c r="DF292" i="5"/>
  <c r="DF302" i="5"/>
  <c r="BX316" i="5"/>
  <c r="BY316" i="5" s="1"/>
  <c r="BZ316" i="5"/>
  <c r="CB316" i="5" s="1"/>
  <c r="DU316" i="5"/>
  <c r="FT316" i="5"/>
  <c r="BX308" i="5"/>
  <c r="BY308" i="5" s="1"/>
  <c r="BZ308" i="5"/>
  <c r="CB308" i="5" s="1"/>
  <c r="DU308" i="5"/>
  <c r="FT308" i="5"/>
  <c r="AM295" i="5"/>
  <c r="BZ299" i="5"/>
  <c r="CB299" i="5" s="1"/>
  <c r="FT291" i="5"/>
  <c r="BX291" i="5"/>
  <c r="BY291" i="5" s="1"/>
  <c r="DU291" i="5"/>
  <c r="BZ291" i="5"/>
  <c r="CB291" i="5" s="1"/>
  <c r="DF306" i="5"/>
  <c r="DY304" i="5"/>
  <c r="FR307" i="5"/>
  <c r="AY307" i="5"/>
  <c r="BW305" i="5"/>
  <c r="BY305" i="5" s="1"/>
  <c r="DF309" i="5"/>
  <c r="AM310" i="5"/>
  <c r="DF320" i="5"/>
  <c r="AM316" i="5"/>
  <c r="DY308" i="5"/>
  <c r="DY315" i="5"/>
  <c r="DY323" i="5"/>
  <c r="AY315" i="5"/>
  <c r="FR315" i="5"/>
  <c r="FR322" i="5"/>
  <c r="AY322" i="5"/>
  <c r="DS316" i="5"/>
  <c r="BW309" i="5"/>
  <c r="BY309" i="5" s="1"/>
  <c r="BW319" i="5"/>
  <c r="BX320" i="5"/>
  <c r="DU320" i="5"/>
  <c r="FT320" i="5"/>
  <c r="DF328" i="5"/>
  <c r="DF336" i="5"/>
  <c r="AM329" i="5"/>
  <c r="AM337" i="5"/>
  <c r="DY330" i="5"/>
  <c r="DY338" i="5"/>
  <c r="FR334" i="5"/>
  <c r="AY334" i="5"/>
  <c r="DS324" i="5"/>
  <c r="DS332" i="5"/>
  <c r="BW329" i="5"/>
  <c r="BY329" i="5" s="1"/>
  <c r="FT331" i="5"/>
  <c r="BX331" i="5"/>
  <c r="DU331" i="5"/>
  <c r="BZ334" i="5"/>
  <c r="CB334" i="5" s="1"/>
  <c r="BZ326" i="5"/>
  <c r="CB326" i="5" s="1"/>
  <c r="DU326" i="5"/>
  <c r="FT326" i="5"/>
  <c r="BX326" i="5"/>
  <c r="BY326" i="5" s="1"/>
  <c r="BZ271" i="5"/>
  <c r="CB271" i="5" s="1"/>
  <c r="BZ290" i="5"/>
  <c r="CB290" i="5" s="1"/>
  <c r="BZ419" i="5"/>
  <c r="CB419" i="5" s="1"/>
  <c r="BZ411" i="5"/>
  <c r="CB411" i="5" s="1"/>
  <c r="DU411" i="5"/>
  <c r="FT411" i="5"/>
  <c r="BX411" i="5"/>
  <c r="BY411" i="5" s="1"/>
  <c r="BZ350" i="5"/>
  <c r="CB350" i="5" s="1"/>
  <c r="BZ342" i="5"/>
  <c r="CB342" i="5" s="1"/>
  <c r="DF342" i="5"/>
  <c r="DF350" i="5"/>
  <c r="AM342" i="5"/>
  <c r="AM350" i="5"/>
  <c r="DY342" i="5"/>
  <c r="DY350" i="5"/>
  <c r="FR339" i="5"/>
  <c r="AY339" i="5"/>
  <c r="FR349" i="5"/>
  <c r="AY349" i="5"/>
  <c r="DS341" i="5"/>
  <c r="DS350" i="5"/>
  <c r="BW346" i="5"/>
  <c r="BY346" i="5" s="1"/>
  <c r="FT350" i="5"/>
  <c r="BX350" i="5"/>
  <c r="DU350" i="5"/>
  <c r="AG362" i="5"/>
  <c r="DF362" i="5"/>
  <c r="AM361" i="5"/>
  <c r="DF364" i="5"/>
  <c r="AM365" i="5"/>
  <c r="DY357" i="5"/>
  <c r="DY365" i="5"/>
  <c r="AY356" i="5"/>
  <c r="FR356" i="5"/>
  <c r="AY365" i="5"/>
  <c r="FR365" i="5"/>
  <c r="DS357" i="5"/>
  <c r="DS365" i="5"/>
  <c r="FT361" i="5"/>
  <c r="DU361" i="5"/>
  <c r="BX361" i="5"/>
  <c r="BW363" i="5"/>
  <c r="BX366" i="5"/>
  <c r="BY366" i="5" s="1"/>
  <c r="BZ366" i="5"/>
  <c r="CB366" i="5" s="1"/>
  <c r="DU366" i="5"/>
  <c r="FT366" i="5"/>
  <c r="BX358" i="5"/>
  <c r="BY358" i="5" s="1"/>
  <c r="BZ358" i="5"/>
  <c r="CB358" i="5" s="1"/>
  <c r="DU358" i="5"/>
  <c r="FT358" i="5"/>
  <c r="DF371" i="5"/>
  <c r="AM372" i="5"/>
  <c r="BZ383" i="5"/>
  <c r="CB383" i="5" s="1"/>
  <c r="DF381" i="5"/>
  <c r="AM378" i="5"/>
  <c r="AM386" i="5"/>
  <c r="DY376" i="5"/>
  <c r="DY384" i="5"/>
  <c r="FR374" i="5"/>
  <c r="AY374" i="5"/>
  <c r="FR382" i="5"/>
  <c r="AY382" i="5"/>
  <c r="DS372" i="5"/>
  <c r="DS380" i="5"/>
  <c r="DS388" i="5"/>
  <c r="DU383" i="5"/>
  <c r="FT383" i="5"/>
  <c r="BX383" i="5"/>
  <c r="BW380" i="5"/>
  <c r="BZ401" i="5"/>
  <c r="CB401" i="5" s="1"/>
  <c r="BZ393" i="5"/>
  <c r="CB393" i="5" s="1"/>
  <c r="DF391" i="5"/>
  <c r="DF399" i="5"/>
  <c r="AM390" i="5"/>
  <c r="AM398" i="5"/>
  <c r="DY398" i="5"/>
  <c r="DY390" i="5"/>
  <c r="DY405" i="5"/>
  <c r="AY396" i="5"/>
  <c r="FR396" i="5"/>
  <c r="AY404" i="5"/>
  <c r="FR404" i="5"/>
  <c r="DS395" i="5"/>
  <c r="DS403" i="5"/>
  <c r="DU399" i="5"/>
  <c r="FT399" i="5"/>
  <c r="BX399" i="5"/>
  <c r="BW394" i="5"/>
  <c r="BX409" i="5"/>
  <c r="BY409" i="5" s="1"/>
  <c r="BZ409" i="5"/>
  <c r="CB409" i="5" s="1"/>
  <c r="DU409" i="5"/>
  <c r="FT409" i="5"/>
  <c r="DF409" i="5"/>
  <c r="DF417" i="5"/>
  <c r="DF425" i="5"/>
  <c r="AM413" i="5"/>
  <c r="AM421" i="5"/>
  <c r="DY409" i="5"/>
  <c r="DY417" i="5"/>
  <c r="DY425" i="5"/>
  <c r="AY413" i="5"/>
  <c r="FR413" i="5"/>
  <c r="DS410" i="5"/>
  <c r="DS418" i="5"/>
  <c r="DU407" i="5"/>
  <c r="FT407" i="5"/>
  <c r="BX407" i="5"/>
  <c r="BX421" i="5"/>
  <c r="BY421" i="5" s="1"/>
  <c r="DU421" i="5"/>
  <c r="FT421" i="5"/>
  <c r="BW418" i="5"/>
  <c r="BY418" i="5" s="1"/>
  <c r="DF434" i="5"/>
  <c r="BX430" i="5"/>
  <c r="BY430" i="5" s="1"/>
  <c r="BZ430" i="5"/>
  <c r="CB430" i="5" s="1"/>
  <c r="DU430" i="5"/>
  <c r="FT430" i="5"/>
  <c r="FT438" i="5"/>
  <c r="BX438" i="5"/>
  <c r="BY438" i="5" s="1"/>
  <c r="BZ438" i="5"/>
  <c r="CB438" i="5" s="1"/>
  <c r="DU438" i="5"/>
  <c r="AM426" i="5"/>
  <c r="AM434" i="5"/>
  <c r="DY430" i="5"/>
  <c r="DY438" i="5"/>
  <c r="AY434" i="5"/>
  <c r="FR434" i="5"/>
  <c r="DS430" i="5"/>
  <c r="DS438" i="5"/>
  <c r="BW428" i="5"/>
  <c r="BY428" i="5" s="1"/>
  <c r="DU440" i="5"/>
  <c r="FT440" i="5"/>
  <c r="BX440" i="5"/>
  <c r="BY440" i="5" s="1"/>
  <c r="BX95" i="5"/>
  <c r="BY95" i="5" s="1"/>
  <c r="BZ95" i="5"/>
  <c r="CB95" i="5" s="1"/>
  <c r="FT95" i="5"/>
  <c r="DU95" i="5"/>
  <c r="DF101" i="5"/>
  <c r="DC101" i="5"/>
  <c r="BX103" i="5"/>
  <c r="BY103" i="5" s="1"/>
  <c r="BZ103" i="5"/>
  <c r="CB103" i="5" s="1"/>
  <c r="FT103" i="5"/>
  <c r="DU103" i="5"/>
  <c r="DY95" i="5"/>
  <c r="DY103" i="5"/>
  <c r="R103" i="5"/>
  <c r="EF103" i="5" s="1"/>
  <c r="EE103" i="5" s="1"/>
  <c r="AU103" i="5"/>
  <c r="AV103" i="5" s="1"/>
  <c r="DS100" i="5"/>
  <c r="AV153" i="5"/>
  <c r="BX148" i="5"/>
  <c r="BY148" i="5" s="1"/>
  <c r="FT148" i="5"/>
  <c r="BZ148" i="5"/>
  <c r="CB148" i="5" s="1"/>
  <c r="DU148" i="5"/>
  <c r="DC152" i="5"/>
  <c r="DF152" i="5"/>
  <c r="AY152" i="5"/>
  <c r="FR152" i="5"/>
  <c r="FU152" i="5" s="1"/>
  <c r="CM152" i="5" s="1"/>
  <c r="BF150" i="5"/>
  <c r="BH150" i="5" s="1"/>
  <c r="BG150" i="5"/>
  <c r="BW280" i="5"/>
  <c r="BY280" i="5" s="1"/>
  <c r="DF294" i="5"/>
  <c r="DS152" i="5"/>
  <c r="AU497" i="5"/>
  <c r="AV497" i="5" s="1"/>
  <c r="FT496" i="5"/>
  <c r="FS496" i="5" s="1"/>
  <c r="FU496" i="5" s="1"/>
  <c r="DC493" i="5"/>
  <c r="AR490" i="5"/>
  <c r="DC485" i="5"/>
  <c r="AR482" i="5"/>
  <c r="AU473" i="5"/>
  <c r="AV473" i="5" s="1"/>
  <c r="AR452" i="5"/>
  <c r="CG452" i="5" s="1"/>
  <c r="AY451" i="5"/>
  <c r="DC445" i="5"/>
  <c r="DU443" i="5"/>
  <c r="DU429" i="5"/>
  <c r="BY390" i="5"/>
  <c r="BY389" i="5"/>
  <c r="BY370" i="5"/>
  <c r="BY348" i="5"/>
  <c r="BY344" i="5"/>
  <c r="BY340" i="5"/>
  <c r="BY312" i="5"/>
  <c r="BY354" i="5"/>
  <c r="BY332" i="5"/>
  <c r="BY333" i="5"/>
  <c r="BY324" i="5"/>
  <c r="BY311" i="5"/>
  <c r="BY294" i="5"/>
  <c r="BY283" i="5"/>
  <c r="BY259" i="5"/>
  <c r="BY279" i="5"/>
  <c r="BY252" i="5"/>
  <c r="EA217" i="5"/>
  <c r="EO154" i="5"/>
  <c r="DL155" i="5"/>
  <c r="DM155" i="5" s="1"/>
  <c r="CB123" i="5"/>
  <c r="CB113" i="5"/>
  <c r="CB114" i="5"/>
  <c r="CB68" i="5"/>
  <c r="EB51" i="5"/>
  <c r="EB46" i="5"/>
  <c r="EB52" i="5"/>
  <c r="EB47" i="5"/>
  <c r="CB51" i="5"/>
  <c r="EB43" i="5"/>
  <c r="EB40" i="5"/>
  <c r="CB39" i="5"/>
  <c r="EB34" i="5"/>
  <c r="EB31" i="5"/>
  <c r="CB30" i="5"/>
  <c r="EB35" i="5"/>
  <c r="CB34" i="5"/>
  <c r="EB33" i="5"/>
  <c r="EB23" i="5"/>
  <c r="CB24" i="5"/>
  <c r="CB20" i="5"/>
  <c r="CB27" i="5"/>
  <c r="EB27" i="5"/>
  <c r="CB26" i="5"/>
  <c r="EB22" i="5"/>
  <c r="DP1" i="5"/>
  <c r="DP3" i="5"/>
  <c r="AG311" i="5"/>
  <c r="AG351" i="5"/>
  <c r="AG435" i="5"/>
  <c r="AE152" i="5"/>
  <c r="AG152" i="5" s="1"/>
  <c r="AG355" i="5"/>
  <c r="AG292" i="5"/>
  <c r="AG324" i="5"/>
  <c r="AG445" i="5"/>
  <c r="AH386" i="5"/>
  <c r="AG409" i="5"/>
  <c r="AG287" i="5"/>
  <c r="AG297" i="5"/>
  <c r="AH303" i="5"/>
  <c r="AG411" i="5"/>
  <c r="AH447" i="5"/>
  <c r="AH97" i="5"/>
  <c r="AH96" i="5"/>
  <c r="FX124" i="5"/>
  <c r="FX125" i="5"/>
  <c r="FX126" i="5"/>
  <c r="FX128" i="5"/>
  <c r="AH26" i="5"/>
  <c r="AE26" i="5"/>
  <c r="AH32" i="5"/>
  <c r="AE32" i="5"/>
  <c r="AH38" i="5"/>
  <c r="AE38" i="5"/>
  <c r="AH44" i="5"/>
  <c r="AE44" i="5"/>
  <c r="AH50" i="5"/>
  <c r="AE50" i="5"/>
  <c r="AS34" i="5"/>
  <c r="AT34" i="5" s="1"/>
  <c r="AS46" i="5"/>
  <c r="AT46" i="5" s="1"/>
  <c r="AS21" i="5"/>
  <c r="AT21" i="5" s="1"/>
  <c r="AS35" i="5"/>
  <c r="AT35" i="5" s="1"/>
  <c r="AS47" i="5"/>
  <c r="AT47" i="5" s="1"/>
  <c r="AH25" i="5"/>
  <c r="AE25" i="5"/>
  <c r="AH31" i="5"/>
  <c r="AE31" i="5"/>
  <c r="AH37" i="5"/>
  <c r="AE37" i="5"/>
  <c r="AH43" i="5"/>
  <c r="AE43" i="5"/>
  <c r="AE49" i="5"/>
  <c r="AH49" i="5"/>
  <c r="AS23" i="5"/>
  <c r="AT23" i="5" s="1"/>
  <c r="AS36" i="5"/>
  <c r="AT36" i="5" s="1"/>
  <c r="AS48" i="5"/>
  <c r="AT48" i="5" s="1"/>
  <c r="AS25" i="5"/>
  <c r="AT25" i="5" s="1"/>
  <c r="AS37" i="5"/>
  <c r="AT37" i="5" s="1"/>
  <c r="AS49" i="5"/>
  <c r="AT49" i="5" s="1"/>
  <c r="AE24" i="5"/>
  <c r="AH24" i="5"/>
  <c r="AH30" i="5"/>
  <c r="AE30" i="5"/>
  <c r="AH36" i="5"/>
  <c r="AE36" i="5"/>
  <c r="AH42" i="5"/>
  <c r="AE42" i="5"/>
  <c r="AH48" i="5"/>
  <c r="AE48" i="5"/>
  <c r="AS26" i="5"/>
  <c r="AT26" i="5" s="1"/>
  <c r="AS38" i="5"/>
  <c r="AT38" i="5" s="1"/>
  <c r="AS50" i="5"/>
  <c r="AT50" i="5" s="1"/>
  <c r="AS27" i="5"/>
  <c r="AT27" i="5" s="1"/>
  <c r="AS39" i="5"/>
  <c r="AT39" i="5" s="1"/>
  <c r="AS51" i="5"/>
  <c r="AT51" i="5" s="1"/>
  <c r="AH23" i="5"/>
  <c r="AE23" i="5"/>
  <c r="AH29" i="5"/>
  <c r="AE29" i="5"/>
  <c r="AH35" i="5"/>
  <c r="AE35" i="5"/>
  <c r="AH41" i="5"/>
  <c r="AE41" i="5"/>
  <c r="AH47" i="5"/>
  <c r="AE47" i="5"/>
  <c r="AS28" i="5"/>
  <c r="AT28" i="5" s="1"/>
  <c r="AS40" i="5"/>
  <c r="AT40" i="5" s="1"/>
  <c r="AS52" i="5"/>
  <c r="AT52" i="5" s="1"/>
  <c r="AS29" i="5"/>
  <c r="AT29" i="5" s="1"/>
  <c r="AS41" i="5"/>
  <c r="AT41" i="5" s="1"/>
  <c r="AS24" i="5"/>
  <c r="AT24" i="5" s="1"/>
  <c r="AH22" i="5"/>
  <c r="AH28" i="5"/>
  <c r="AE28" i="5"/>
  <c r="AH34" i="5"/>
  <c r="AE34" i="5"/>
  <c r="AH40" i="5"/>
  <c r="AE40" i="5"/>
  <c r="AH46" i="5"/>
  <c r="AE46" i="5"/>
  <c r="AH52" i="5"/>
  <c r="AE52" i="5"/>
  <c r="AS30" i="5"/>
  <c r="AT30" i="5" s="1"/>
  <c r="AS42" i="5"/>
  <c r="AT42" i="5" s="1"/>
  <c r="AH21" i="5"/>
  <c r="AK21" i="5" s="1"/>
  <c r="AS31" i="5"/>
  <c r="AT31" i="5" s="1"/>
  <c r="AS43" i="5"/>
  <c r="AT43" i="5" s="1"/>
  <c r="AH20" i="5"/>
  <c r="AK20" i="5" s="1"/>
  <c r="AH27" i="5"/>
  <c r="AE27" i="5"/>
  <c r="AH33" i="5"/>
  <c r="AE33" i="5"/>
  <c r="AH39" i="5"/>
  <c r="AE39" i="5"/>
  <c r="AH45" i="5"/>
  <c r="AE45" i="5"/>
  <c r="AH51" i="5"/>
  <c r="AE51" i="5"/>
  <c r="AS32" i="5"/>
  <c r="AT32" i="5" s="1"/>
  <c r="AS44" i="5"/>
  <c r="AT44" i="5" s="1"/>
  <c r="AS33" i="5"/>
  <c r="AT33" i="5" s="1"/>
  <c r="AS45" i="5"/>
  <c r="AT45" i="5" s="1"/>
  <c r="G16" i="5"/>
  <c r="G15" i="5"/>
  <c r="AH252" i="5"/>
  <c r="D16" i="5"/>
  <c r="D15" i="5"/>
  <c r="AH288" i="5"/>
  <c r="AH413" i="5"/>
  <c r="AH348" i="5"/>
  <c r="AE340" i="5"/>
  <c r="AE352" i="5"/>
  <c r="AG348" i="5"/>
  <c r="AG363" i="5"/>
  <c r="AG367" i="5"/>
  <c r="K363" i="5"/>
  <c r="FS363" i="5" s="1"/>
  <c r="AH364" i="5"/>
  <c r="AH352" i="5"/>
  <c r="AG374" i="5"/>
  <c r="AH381" i="5"/>
  <c r="AE387" i="5"/>
  <c r="AG388" i="5"/>
  <c r="AH395" i="5"/>
  <c r="AE405" i="5"/>
  <c r="AG400" i="5"/>
  <c r="AH422" i="5"/>
  <c r="AE419" i="5"/>
  <c r="AG423" i="5"/>
  <c r="AE436" i="5"/>
  <c r="AH428" i="5"/>
  <c r="AH440" i="5"/>
  <c r="AG428" i="5"/>
  <c r="AG440" i="5"/>
  <c r="AH102" i="5"/>
  <c r="K100" i="5"/>
  <c r="N100" i="5" s="1"/>
  <c r="AZ488" i="5"/>
  <c r="AZ476" i="5"/>
  <c r="R488" i="5"/>
  <c r="EF488" i="5" s="1"/>
  <c r="EE488" i="5" s="1"/>
  <c r="AG263" i="5"/>
  <c r="AH282" i="5"/>
  <c r="AG278" i="5"/>
  <c r="AH319" i="5"/>
  <c r="AH302" i="5"/>
  <c r="AG327" i="5"/>
  <c r="K325" i="5"/>
  <c r="N325" i="5" s="1"/>
  <c r="AS325" i="5" s="1"/>
  <c r="AH351" i="5"/>
  <c r="AH423" i="5"/>
  <c r="AG429" i="5"/>
  <c r="AG441" i="5"/>
  <c r="AE95" i="5"/>
  <c r="AG95" i="5" s="1"/>
  <c r="AH101" i="5"/>
  <c r="K101" i="5"/>
  <c r="N101" i="5" s="1"/>
  <c r="S104" i="5"/>
  <c r="DN104" i="5" s="1"/>
  <c r="K95" i="5"/>
  <c r="N95" i="5" s="1"/>
  <c r="AH263" i="5"/>
  <c r="AG269" i="5"/>
  <c r="AH281" i="5"/>
  <c r="AG279" i="5"/>
  <c r="AH318" i="5"/>
  <c r="AG301" i="5"/>
  <c r="AH301" i="5"/>
  <c r="AH271" i="5"/>
  <c r="AH286" i="5"/>
  <c r="AH411" i="5"/>
  <c r="AH346" i="5"/>
  <c r="AG350" i="5"/>
  <c r="AE364" i="5"/>
  <c r="AG369" i="5"/>
  <c r="AH362" i="5"/>
  <c r="AE371" i="5"/>
  <c r="AG376" i="5"/>
  <c r="AH379" i="5"/>
  <c r="AH393" i="5"/>
  <c r="AE395" i="5"/>
  <c r="AG390" i="5"/>
  <c r="AG402" i="5"/>
  <c r="AH424" i="5"/>
  <c r="AE421" i="5"/>
  <c r="AG413" i="5"/>
  <c r="AG425" i="5"/>
  <c r="AH430" i="5"/>
  <c r="AH442" i="5"/>
  <c r="AG430" i="5"/>
  <c r="AY96" i="5"/>
  <c r="R499" i="5"/>
  <c r="EF499" i="5" s="1"/>
  <c r="EE499" i="5" s="1"/>
  <c r="AG321" i="5"/>
  <c r="AG253" i="5"/>
  <c r="AH262" i="5"/>
  <c r="AG270" i="5"/>
  <c r="AH280" i="5"/>
  <c r="AG280" i="5"/>
  <c r="AG288" i="5"/>
  <c r="AH317" i="5"/>
  <c r="AG300" i="5"/>
  <c r="AH270" i="5"/>
  <c r="AH285" i="5"/>
  <c r="AH377" i="5"/>
  <c r="AH345" i="5"/>
  <c r="AG339" i="5"/>
  <c r="K347" i="5"/>
  <c r="N347" i="5" s="1"/>
  <c r="AH361" i="5"/>
  <c r="AG377" i="5"/>
  <c r="AG379" i="5"/>
  <c r="AH392" i="5"/>
  <c r="AG391" i="5"/>
  <c r="AG403" i="5"/>
  <c r="AH425" i="5"/>
  <c r="AE422" i="5"/>
  <c r="AG414" i="5"/>
  <c r="AH431" i="5"/>
  <c r="AH443" i="5"/>
  <c r="AG431" i="5"/>
  <c r="AG443" i="5"/>
  <c r="AE451" i="5"/>
  <c r="AG254" i="5"/>
  <c r="AH261" i="5"/>
  <c r="AG271" i="5"/>
  <c r="K268" i="5"/>
  <c r="N268" i="5" s="1"/>
  <c r="AG281" i="5"/>
  <c r="AG289" i="5"/>
  <c r="AH316" i="5"/>
  <c r="AG299" i="5"/>
  <c r="AH299" i="5"/>
  <c r="AG317" i="5"/>
  <c r="AG330" i="5"/>
  <c r="K327" i="5"/>
  <c r="AH337" i="5"/>
  <c r="AH325" i="5"/>
  <c r="AH269" i="5"/>
  <c r="AH284" i="5"/>
  <c r="AH376" i="5"/>
  <c r="AH344" i="5"/>
  <c r="AE344" i="5"/>
  <c r="AG340" i="5"/>
  <c r="AG352" i="5"/>
  <c r="K355" i="5"/>
  <c r="AF355" i="5" s="1"/>
  <c r="K367" i="5"/>
  <c r="AF367" i="5" s="1"/>
  <c r="AH360" i="5"/>
  <c r="AH378" i="5"/>
  <c r="AE379" i="5"/>
  <c r="AG380" i="5"/>
  <c r="AH391" i="5"/>
  <c r="AG392" i="5"/>
  <c r="AG404" i="5"/>
  <c r="AE423" i="5"/>
  <c r="AG415" i="5"/>
  <c r="AH432" i="5"/>
  <c r="AH444" i="5"/>
  <c r="AG432" i="5"/>
  <c r="AG444" i="5"/>
  <c r="AE452" i="5"/>
  <c r="K104" i="5"/>
  <c r="N104" i="5" s="1"/>
  <c r="R498" i="5"/>
  <c r="EF498" i="5" s="1"/>
  <c r="EE498" i="5" s="1"/>
  <c r="EN498" i="5" s="1"/>
  <c r="AG308" i="5"/>
  <c r="AG255" i="5"/>
  <c r="AH336" i="5"/>
  <c r="AE362" i="5"/>
  <c r="AH268" i="5"/>
  <c r="AH283" i="5"/>
  <c r="AH343" i="5"/>
  <c r="AG341" i="5"/>
  <c r="AG353" i="5"/>
  <c r="AG356" i="5"/>
  <c r="AE367" i="5"/>
  <c r="AH359" i="5"/>
  <c r="AH388" i="5"/>
  <c r="AG381" i="5"/>
  <c r="AH402" i="5"/>
  <c r="AH390" i="5"/>
  <c r="AE398" i="5"/>
  <c r="AG393" i="5"/>
  <c r="AG405" i="5"/>
  <c r="AH410" i="5"/>
  <c r="AE412" i="5"/>
  <c r="AG416" i="5"/>
  <c r="AE429" i="5"/>
  <c r="AH433" i="5"/>
  <c r="AH445" i="5"/>
  <c r="AG433" i="5"/>
  <c r="AE453" i="5"/>
  <c r="AZ486" i="5"/>
  <c r="AG442" i="5"/>
  <c r="AG302" i="5"/>
  <c r="AH279" i="5"/>
  <c r="AG256" i="5"/>
  <c r="AH259" i="5"/>
  <c r="AH277" i="5"/>
  <c r="AG283" i="5"/>
  <c r="K288" i="5"/>
  <c r="FS288" i="5" s="1"/>
  <c r="AH314" i="5"/>
  <c r="AH297" i="5"/>
  <c r="AG303" i="5"/>
  <c r="AH307" i="5"/>
  <c r="AG313" i="5"/>
  <c r="AG319" i="5"/>
  <c r="AG332" i="5"/>
  <c r="K329" i="5"/>
  <c r="AF329" i="5" s="1"/>
  <c r="AH335" i="5"/>
  <c r="AE409" i="5"/>
  <c r="AE150" i="5"/>
  <c r="AG150" i="5" s="1"/>
  <c r="AG417" i="5"/>
  <c r="AH300" i="5"/>
  <c r="AG153" i="5"/>
  <c r="AE149" i="5"/>
  <c r="AF149" i="5" s="1"/>
  <c r="AH375" i="5"/>
  <c r="AG258" i="5"/>
  <c r="AH257" i="5"/>
  <c r="AF325" i="5"/>
  <c r="AG334" i="5"/>
  <c r="K331" i="5"/>
  <c r="N331" i="5" s="1"/>
  <c r="AH333" i="5"/>
  <c r="R482" i="5"/>
  <c r="EF482" i="5" s="1"/>
  <c r="EE482" i="5" s="1"/>
  <c r="EN482" i="5" s="1"/>
  <c r="AH148" i="5"/>
  <c r="AD148" i="5"/>
  <c r="AG259" i="5"/>
  <c r="AH256" i="5"/>
  <c r="AH274" i="5"/>
  <c r="AG274" i="5"/>
  <c r="AG286" i="5"/>
  <c r="AH323" i="5"/>
  <c r="AH311" i="5"/>
  <c r="AG294" i="5"/>
  <c r="AH294" i="5"/>
  <c r="AG306" i="5"/>
  <c r="AH304" i="5"/>
  <c r="AG322" i="5"/>
  <c r="AG335" i="5"/>
  <c r="K332" i="5"/>
  <c r="AF332" i="5" s="1"/>
  <c r="AH332" i="5"/>
  <c r="AH153" i="5"/>
  <c r="AD153" i="5"/>
  <c r="AF153" i="5"/>
  <c r="AS153" i="5"/>
  <c r="AH387" i="5"/>
  <c r="E16" i="5"/>
  <c r="E15" i="5"/>
  <c r="AG323" i="5"/>
  <c r="AG336" i="5"/>
  <c r="K333" i="5"/>
  <c r="N333" i="5" s="1"/>
  <c r="AH331" i="5"/>
  <c r="AH290" i="5"/>
  <c r="AH415" i="5"/>
  <c r="AH350" i="5"/>
  <c r="AG346" i="5"/>
  <c r="AG361" i="5"/>
  <c r="AG365" i="5"/>
  <c r="AH366" i="5"/>
  <c r="AH354" i="5"/>
  <c r="AG372" i="5"/>
  <c r="AH383" i="5"/>
  <c r="AE385" i="5"/>
  <c r="AG386" i="5"/>
  <c r="AH397" i="5"/>
  <c r="AE403" i="5"/>
  <c r="AG398" i="5"/>
  <c r="AH420" i="5"/>
  <c r="AG421" i="5"/>
  <c r="AH426" i="5"/>
  <c r="AH438" i="5"/>
  <c r="AG426" i="5"/>
  <c r="AG438" i="5"/>
  <c r="AH446" i="5"/>
  <c r="AH104" i="5"/>
  <c r="K98" i="5"/>
  <c r="N98" i="5" s="1"/>
  <c r="R97" i="5"/>
  <c r="EF97" i="5" s="1"/>
  <c r="EE97" i="5" s="1"/>
  <c r="S494" i="5"/>
  <c r="S495" i="5"/>
  <c r="AG378" i="5"/>
  <c r="F16" i="5"/>
  <c r="F15" i="5"/>
  <c r="AG252" i="5"/>
  <c r="AG261" i="5"/>
  <c r="AH254" i="5"/>
  <c r="AG266" i="5"/>
  <c r="AG276" i="5"/>
  <c r="AH321" i="5"/>
  <c r="AH309" i="5"/>
  <c r="AH292" i="5"/>
  <c r="AG325" i="5"/>
  <c r="AG337" i="5"/>
  <c r="K334" i="5"/>
  <c r="N334" i="5" s="1"/>
  <c r="AH330" i="5"/>
  <c r="AH95" i="5"/>
  <c r="AH103" i="5"/>
  <c r="K99" i="5"/>
  <c r="N99" i="5" s="1"/>
  <c r="R96" i="5"/>
  <c r="EF96" i="5" s="1"/>
  <c r="EE96" i="5" s="1"/>
  <c r="AZ469" i="5"/>
  <c r="AZ489" i="5"/>
  <c r="AZ477" i="5"/>
  <c r="AZ498" i="5"/>
  <c r="AZ474" i="5"/>
  <c r="R475" i="5"/>
  <c r="EF475" i="5" s="1"/>
  <c r="EE475" i="5" s="1"/>
  <c r="R480" i="5"/>
  <c r="EF480" i="5" s="1"/>
  <c r="EE480" i="5" s="1"/>
  <c r="AG370" i="5"/>
  <c r="AH260" i="5"/>
  <c r="AG272" i="5"/>
  <c r="AG282" i="5"/>
  <c r="AG298" i="5"/>
  <c r="AH298" i="5"/>
  <c r="AG326" i="5"/>
  <c r="AG338" i="5"/>
  <c r="K335" i="5"/>
  <c r="N335" i="5" s="1"/>
  <c r="AH329" i="5"/>
  <c r="AH419" i="5"/>
  <c r="AH374" i="5"/>
  <c r="AH342" i="5"/>
  <c r="AG354" i="5"/>
  <c r="AG357" i="5"/>
  <c r="AH370" i="5"/>
  <c r="AH358" i="5"/>
  <c r="AG382" i="5"/>
  <c r="AH401" i="5"/>
  <c r="AH389" i="5"/>
  <c r="AG394" i="5"/>
  <c r="AH409" i="5"/>
  <c r="AH434" i="5"/>
  <c r="AG434" i="5"/>
  <c r="AG446" i="5"/>
  <c r="AH100" i="5"/>
  <c r="AS96" i="5"/>
  <c r="AZ491" i="5"/>
  <c r="AZ479" i="5"/>
  <c r="AZ473" i="5"/>
  <c r="AH152" i="5"/>
  <c r="AG360" i="5"/>
  <c r="AH328" i="5"/>
  <c r="AH266" i="5"/>
  <c r="AH418" i="5"/>
  <c r="AH373" i="5"/>
  <c r="AH341" i="5"/>
  <c r="AG343" i="5"/>
  <c r="AG358" i="5"/>
  <c r="AH369" i="5"/>
  <c r="AH357" i="5"/>
  <c r="AH400" i="5"/>
  <c r="AH403" i="5"/>
  <c r="AG395" i="5"/>
  <c r="K410" i="5"/>
  <c r="N410" i="5" s="1"/>
  <c r="AH435" i="5"/>
  <c r="AH453" i="5"/>
  <c r="AH99" i="5"/>
  <c r="S103" i="5"/>
  <c r="DN103" i="5" s="1"/>
  <c r="K103" i="5"/>
  <c r="N103" i="5" s="1"/>
  <c r="AH151" i="5"/>
  <c r="AF151" i="5"/>
  <c r="AE101" i="5"/>
  <c r="AF101" i="5" s="1"/>
  <c r="AG399" i="5"/>
  <c r="AG290" i="5"/>
  <c r="AG257" i="5"/>
  <c r="AH258" i="5"/>
  <c r="AH276" i="5"/>
  <c r="AG284" i="5"/>
  <c r="AH313" i="5"/>
  <c r="AG296" i="5"/>
  <c r="AH296" i="5"/>
  <c r="AG304" i="5"/>
  <c r="AH306" i="5"/>
  <c r="AG309" i="5"/>
  <c r="AG315" i="5"/>
  <c r="AG328" i="5"/>
  <c r="AH327" i="5"/>
  <c r="AH265" i="5"/>
  <c r="AH417" i="5"/>
  <c r="AH340" i="5"/>
  <c r="K352" i="5"/>
  <c r="N352" i="5" s="1"/>
  <c r="AS352" i="5" s="1"/>
  <c r="AG359" i="5"/>
  <c r="K359" i="5"/>
  <c r="AF359" i="5" s="1"/>
  <c r="AH368" i="5"/>
  <c r="AH356" i="5"/>
  <c r="AH385" i="5"/>
  <c r="AG384" i="5"/>
  <c r="AH399" i="5"/>
  <c r="AH404" i="5"/>
  <c r="AH407" i="5"/>
  <c r="AG407" i="5"/>
  <c r="AG419" i="5"/>
  <c r="AH436" i="5"/>
  <c r="AG436" i="5"/>
  <c r="AG448" i="5"/>
  <c r="K452" i="5"/>
  <c r="N452" i="5" s="1"/>
  <c r="AH452" i="5"/>
  <c r="AH98" i="5"/>
  <c r="AF104" i="5"/>
  <c r="K102" i="5"/>
  <c r="N102" i="5" s="1"/>
  <c r="AZ496" i="5"/>
  <c r="AZ478" i="5"/>
  <c r="AZ472" i="5"/>
  <c r="AH150" i="5"/>
  <c r="AE148" i="5"/>
  <c r="AF148" i="5" s="1"/>
  <c r="AE100" i="5"/>
  <c r="AF100" i="5" s="1"/>
  <c r="AG396" i="5"/>
  <c r="AH315" i="5"/>
  <c r="K272" i="5"/>
  <c r="N272" i="5" s="1"/>
  <c r="AS272" i="5" s="1"/>
  <c r="AH275" i="5"/>
  <c r="AG273" i="5"/>
  <c r="AG285" i="5"/>
  <c r="K290" i="5"/>
  <c r="N290" i="5" s="1"/>
  <c r="AH312" i="5"/>
  <c r="AG295" i="5"/>
  <c r="AH295" i="5"/>
  <c r="AG305" i="5"/>
  <c r="AH305" i="5"/>
  <c r="AG310" i="5"/>
  <c r="AG316" i="5"/>
  <c r="AG329" i="5"/>
  <c r="K338" i="5"/>
  <c r="N338" i="5" s="1"/>
  <c r="AH338" i="5"/>
  <c r="AH326" i="5"/>
  <c r="AH416" i="5"/>
  <c r="AH371" i="5"/>
  <c r="AG345" i="5"/>
  <c r="AG364" i="5"/>
  <c r="AH367" i="5"/>
  <c r="AH355" i="5"/>
  <c r="AG373" i="5"/>
  <c r="AH384" i="5"/>
  <c r="AG385" i="5"/>
  <c r="AH398" i="5"/>
  <c r="AH405" i="5"/>
  <c r="AG397" i="5"/>
  <c r="AH406" i="5"/>
  <c r="AG408" i="5"/>
  <c r="AG420" i="5"/>
  <c r="AH437" i="5"/>
  <c r="AG437" i="5"/>
  <c r="AG449" i="5"/>
  <c r="K453" i="5"/>
  <c r="N453" i="5" s="1"/>
  <c r="AH451" i="5"/>
  <c r="AG100" i="5"/>
  <c r="S101" i="5"/>
  <c r="DN101" i="5" s="1"/>
  <c r="AH149" i="5"/>
  <c r="AG344" i="5"/>
  <c r="AG450" i="5"/>
  <c r="AH450" i="5"/>
  <c r="AF102" i="5"/>
  <c r="AE98" i="5"/>
  <c r="AG98" i="5" s="1"/>
  <c r="AG342" i="5"/>
  <c r="AH339" i="5"/>
  <c r="AG260" i="5"/>
  <c r="AH255" i="5"/>
  <c r="AG265" i="5"/>
  <c r="AH273" i="5"/>
  <c r="AG275" i="5"/>
  <c r="AH322" i="5"/>
  <c r="AH310" i="5"/>
  <c r="AG293" i="5"/>
  <c r="AH293" i="5"/>
  <c r="AG307" i="5"/>
  <c r="AG312" i="5"/>
  <c r="AG318" i="5"/>
  <c r="AG331" i="5"/>
  <c r="K328" i="5"/>
  <c r="N328" i="5" s="1"/>
  <c r="AH324" i="5"/>
  <c r="AH289" i="5"/>
  <c r="AH414" i="5"/>
  <c r="AH349" i="5"/>
  <c r="AG347" i="5"/>
  <c r="AG366" i="5"/>
  <c r="AH365" i="5"/>
  <c r="AH353" i="5"/>
  <c r="AG371" i="5"/>
  <c r="AH382" i="5"/>
  <c r="AG387" i="5"/>
  <c r="AH396" i="5"/>
  <c r="AH421" i="5"/>
  <c r="AE406" i="5"/>
  <c r="AE418" i="5"/>
  <c r="AG410" i="5"/>
  <c r="AG422" i="5"/>
  <c r="AH427" i="5"/>
  <c r="AH439" i="5"/>
  <c r="AG427" i="5"/>
  <c r="AG439" i="5"/>
  <c r="AG451" i="5"/>
  <c r="AH449" i="5"/>
  <c r="AZ153" i="5"/>
  <c r="CI153" i="5" s="1"/>
  <c r="AE97" i="5"/>
  <c r="AG97" i="5" s="1"/>
  <c r="AG452" i="5"/>
  <c r="AH448" i="5"/>
  <c r="FZ122" i="5"/>
  <c r="FY122" i="5"/>
  <c r="AE96" i="5"/>
  <c r="AF96" i="5" s="1"/>
  <c r="AG383" i="5"/>
  <c r="AG262" i="5"/>
  <c r="AH253" i="5"/>
  <c r="AG267" i="5"/>
  <c r="K264" i="5"/>
  <c r="N264" i="5" s="1"/>
  <c r="AG277" i="5"/>
  <c r="K286" i="5"/>
  <c r="N286" i="5" s="1"/>
  <c r="AH320" i="5"/>
  <c r="AH308" i="5"/>
  <c r="AG291" i="5"/>
  <c r="AH291" i="5"/>
  <c r="AG314" i="5"/>
  <c r="AG320" i="5"/>
  <c r="AG333" i="5"/>
  <c r="K330" i="5"/>
  <c r="N330" i="5" s="1"/>
  <c r="AH334" i="5"/>
  <c r="AH272" i="5"/>
  <c r="AH287" i="5"/>
  <c r="AH412" i="5"/>
  <c r="AH347" i="5"/>
  <c r="AG349" i="5"/>
  <c r="AH363" i="5"/>
  <c r="AG375" i="5"/>
  <c r="AH380" i="5"/>
  <c r="AH394" i="5"/>
  <c r="AG389" i="5"/>
  <c r="AG401" i="5"/>
  <c r="AG412" i="5"/>
  <c r="AG424" i="5"/>
  <c r="AH429" i="5"/>
  <c r="AH441" i="5"/>
  <c r="AG104" i="5"/>
  <c r="S98" i="5"/>
  <c r="DN98" i="5" s="1"/>
  <c r="K97" i="5"/>
  <c r="N97" i="5" s="1"/>
  <c r="R486" i="5"/>
  <c r="EF486" i="5" s="1"/>
  <c r="EE486" i="5" s="1"/>
  <c r="R493" i="5"/>
  <c r="EF493" i="5" s="1"/>
  <c r="EE493" i="5" s="1"/>
  <c r="AD151" i="5"/>
  <c r="AG418" i="5"/>
  <c r="AH264" i="5"/>
  <c r="AH372" i="5"/>
  <c r="V104" i="5"/>
  <c r="V103" i="5"/>
  <c r="V101" i="5"/>
  <c r="V100" i="5"/>
  <c r="V97" i="5"/>
  <c r="AJ218" i="5"/>
  <c r="AJ172" i="5"/>
  <c r="R151" i="5"/>
  <c r="EF151" i="5" s="1"/>
  <c r="EE151" i="5" s="1"/>
  <c r="R152" i="5"/>
  <c r="EF152" i="5" s="1"/>
  <c r="EE152" i="5" s="1"/>
  <c r="R153" i="5"/>
  <c r="EF153" i="5" s="1"/>
  <c r="EE153" i="5" s="1"/>
  <c r="R149" i="5"/>
  <c r="EF149" i="5" s="1"/>
  <c r="EE149" i="5" s="1"/>
  <c r="R150" i="5"/>
  <c r="EF150" i="5" s="1"/>
  <c r="EE150" i="5" s="1"/>
  <c r="AV151" i="5"/>
  <c r="AV149" i="5"/>
  <c r="R476" i="5"/>
  <c r="EF476" i="5" s="1"/>
  <c r="EE476" i="5" s="1"/>
  <c r="EN476" i="5" s="1"/>
  <c r="R477" i="5"/>
  <c r="EF477" i="5" s="1"/>
  <c r="EE477" i="5" s="1"/>
  <c r="EN477" i="5" s="1"/>
  <c r="R485" i="5"/>
  <c r="EF485" i="5" s="1"/>
  <c r="EE485" i="5" s="1"/>
  <c r="R492" i="5"/>
  <c r="EF492" i="5" s="1"/>
  <c r="EE492" i="5" s="1"/>
  <c r="R496" i="5"/>
  <c r="EF496" i="5" s="1"/>
  <c r="EE496" i="5" s="1"/>
  <c r="EN496" i="5" s="1"/>
  <c r="S497" i="5"/>
  <c r="S499" i="5"/>
  <c r="R478" i="5"/>
  <c r="EF478" i="5" s="1"/>
  <c r="EE478" i="5" s="1"/>
  <c r="R481" i="5"/>
  <c r="EF481" i="5" s="1"/>
  <c r="EE481" i="5" s="1"/>
  <c r="R483" i="5"/>
  <c r="EF483" i="5" s="1"/>
  <c r="EE483" i="5" s="1"/>
  <c r="S484" i="5"/>
  <c r="S487" i="5"/>
  <c r="S471" i="5"/>
  <c r="S474" i="5"/>
  <c r="S472" i="5"/>
  <c r="S469" i="5"/>
  <c r="S473" i="5"/>
  <c r="S470" i="5"/>
  <c r="S479" i="5"/>
  <c r="AS475" i="5"/>
  <c r="BB475" i="5" s="1"/>
  <c r="AS469" i="5"/>
  <c r="BB469" i="5" s="1"/>
  <c r="AS470" i="5"/>
  <c r="BB470" i="5" s="1"/>
  <c r="AS471" i="5"/>
  <c r="BB471" i="5" s="1"/>
  <c r="AS472" i="5"/>
  <c r="AT472" i="5" s="1"/>
  <c r="AS473" i="5"/>
  <c r="AT473" i="5" s="1"/>
  <c r="AS474" i="5"/>
  <c r="BB474" i="5" s="1"/>
  <c r="AS476" i="5"/>
  <c r="AT476" i="5" s="1"/>
  <c r="AS477" i="5"/>
  <c r="AT477" i="5" s="1"/>
  <c r="AS478" i="5"/>
  <c r="AT478" i="5" s="1"/>
  <c r="AS479" i="5"/>
  <c r="AT479" i="5" s="1"/>
  <c r="AS480" i="5"/>
  <c r="AT480" i="5" s="1"/>
  <c r="AS481" i="5"/>
  <c r="AT481" i="5" s="1"/>
  <c r="AW481" i="5" s="1"/>
  <c r="AS482" i="5"/>
  <c r="BB482" i="5" s="1"/>
  <c r="AS483" i="5"/>
  <c r="AT483" i="5" s="1"/>
  <c r="AS484" i="5"/>
  <c r="BB484" i="5" s="1"/>
  <c r="AS485" i="5"/>
  <c r="BB485" i="5" s="1"/>
  <c r="AS486" i="5"/>
  <c r="AT486" i="5" s="1"/>
  <c r="S490" i="5"/>
  <c r="AS488" i="5"/>
  <c r="BB488" i="5" s="1"/>
  <c r="S500" i="5"/>
  <c r="AS489" i="5"/>
  <c r="AT489" i="5" s="1"/>
  <c r="AS490" i="5"/>
  <c r="BB490" i="5" s="1"/>
  <c r="AS491" i="5"/>
  <c r="BB491" i="5" s="1"/>
  <c r="AS492" i="5"/>
  <c r="BB492" i="5" s="1"/>
  <c r="AS493" i="5"/>
  <c r="BB493" i="5" s="1"/>
  <c r="AS494" i="5"/>
  <c r="AT494" i="5" s="1"/>
  <c r="AS495" i="5"/>
  <c r="BB495" i="5" s="1"/>
  <c r="AS496" i="5"/>
  <c r="AT496" i="5" s="1"/>
  <c r="AS497" i="5"/>
  <c r="AT497" i="5" s="1"/>
  <c r="AW497" i="5" s="1"/>
  <c r="AS498" i="5"/>
  <c r="BB498" i="5" s="1"/>
  <c r="AS499" i="5"/>
  <c r="BB499" i="5" s="1"/>
  <c r="AS500" i="5"/>
  <c r="BB500" i="5" s="1"/>
  <c r="K291" i="5"/>
  <c r="N291" i="5" s="1"/>
  <c r="K295" i="5"/>
  <c r="FS295" i="5" s="1"/>
  <c r="K299" i="5"/>
  <c r="N299" i="5" s="1"/>
  <c r="AS299" i="5" s="1"/>
  <c r="K305" i="5"/>
  <c r="N305" i="5" s="1"/>
  <c r="AE350" i="5"/>
  <c r="AE342" i="5"/>
  <c r="K364" i="5"/>
  <c r="N364" i="5" s="1"/>
  <c r="K368" i="5"/>
  <c r="N368" i="5" s="1"/>
  <c r="K308" i="5"/>
  <c r="N308" i="5" s="1"/>
  <c r="K311" i="5"/>
  <c r="N311" i="5" s="1"/>
  <c r="K315" i="5"/>
  <c r="N315" i="5" s="1"/>
  <c r="K319" i="5"/>
  <c r="N319" i="5" s="1"/>
  <c r="K323" i="5"/>
  <c r="FS323" i="5" s="1"/>
  <c r="FU323" i="5" s="1"/>
  <c r="CM323" i="5" s="1"/>
  <c r="K326" i="5"/>
  <c r="N326" i="5" s="1"/>
  <c r="K265" i="5"/>
  <c r="N265" i="5" s="1"/>
  <c r="K269" i="5"/>
  <c r="N269" i="5" s="1"/>
  <c r="K293" i="5"/>
  <c r="N293" i="5" s="1"/>
  <c r="K297" i="5"/>
  <c r="FS297" i="5" s="1"/>
  <c r="FU297" i="5" s="1"/>
  <c r="CM297" i="5" s="1"/>
  <c r="K301" i="5"/>
  <c r="N301" i="5" s="1"/>
  <c r="K337" i="5"/>
  <c r="N337" i="5" s="1"/>
  <c r="AS337" i="5" s="1"/>
  <c r="AE354" i="5"/>
  <c r="AE346" i="5"/>
  <c r="K339" i="5"/>
  <c r="N339" i="5" s="1"/>
  <c r="K343" i="5"/>
  <c r="N343" i="5" s="1"/>
  <c r="K351" i="5"/>
  <c r="N351" i="5" s="1"/>
  <c r="K358" i="5"/>
  <c r="N358" i="5" s="1"/>
  <c r="K362" i="5"/>
  <c r="N362" i="5" s="1"/>
  <c r="K366" i="5"/>
  <c r="N366" i="5" s="1"/>
  <c r="K370" i="5"/>
  <c r="N370" i="5" s="1"/>
  <c r="K381" i="5"/>
  <c r="N381" i="5" s="1"/>
  <c r="K385" i="5"/>
  <c r="N385" i="5" s="1"/>
  <c r="K397" i="5"/>
  <c r="N397" i="5" s="1"/>
  <c r="K402" i="5"/>
  <c r="N402" i="5" s="1"/>
  <c r="K407" i="5"/>
  <c r="N407" i="5" s="1"/>
  <c r="K422" i="5"/>
  <c r="FS422" i="5" s="1"/>
  <c r="FU422" i="5" s="1"/>
  <c r="CM422" i="5" s="1"/>
  <c r="K446" i="5"/>
  <c r="N446" i="5" s="1"/>
  <c r="K450" i="5"/>
  <c r="N450" i="5" s="1"/>
  <c r="AV97" i="5"/>
  <c r="AV324" i="5"/>
  <c r="AV328" i="5"/>
  <c r="AV336" i="5"/>
  <c r="AV351" i="5"/>
  <c r="AV400" i="5"/>
  <c r="R264" i="5"/>
  <c r="EF264" i="5" s="1"/>
  <c r="EE264" i="5" s="1"/>
  <c r="AZ330" i="5"/>
  <c r="CI330" i="5" s="1"/>
  <c r="AZ345" i="5"/>
  <c r="CI345" i="5" s="1"/>
  <c r="AZ373" i="5"/>
  <c r="CI373" i="5" s="1"/>
  <c r="R388" i="5"/>
  <c r="EF388" i="5" s="1"/>
  <c r="EE388" i="5" s="1"/>
  <c r="K253" i="5"/>
  <c r="N253" i="5" s="1"/>
  <c r="K257" i="5"/>
  <c r="FS257" i="5" s="1"/>
  <c r="FU257" i="5" s="1"/>
  <c r="CM257" i="5" s="1"/>
  <c r="K261" i="5"/>
  <c r="N261" i="5" s="1"/>
  <c r="K267" i="5"/>
  <c r="N267" i="5" s="1"/>
  <c r="K271" i="5"/>
  <c r="N271" i="5" s="1"/>
  <c r="K273" i="5"/>
  <c r="N273" i="5" s="1"/>
  <c r="AS273" i="5" s="1"/>
  <c r="K277" i="5"/>
  <c r="N277" i="5" s="1"/>
  <c r="K281" i="5"/>
  <c r="FS281" i="5" s="1"/>
  <c r="K285" i="5"/>
  <c r="N285" i="5" s="1"/>
  <c r="K294" i="5"/>
  <c r="N294" i="5" s="1"/>
  <c r="K298" i="5"/>
  <c r="N298" i="5" s="1"/>
  <c r="K302" i="5"/>
  <c r="N302" i="5" s="1"/>
  <c r="K304" i="5"/>
  <c r="N304" i="5" s="1"/>
  <c r="R384" i="5"/>
  <c r="EF384" i="5" s="1"/>
  <c r="EE384" i="5" s="1"/>
  <c r="AZ421" i="5"/>
  <c r="CI421" i="5" s="1"/>
  <c r="AZ425" i="5"/>
  <c r="CI425" i="5" s="1"/>
  <c r="K284" i="5"/>
  <c r="N284" i="5" s="1"/>
  <c r="K303" i="5"/>
  <c r="N303" i="5" s="1"/>
  <c r="K307" i="5"/>
  <c r="N307" i="5" s="1"/>
  <c r="K336" i="5"/>
  <c r="N336" i="5" s="1"/>
  <c r="K356" i="5"/>
  <c r="N356" i="5" s="1"/>
  <c r="K360" i="5"/>
  <c r="N360" i="5" s="1"/>
  <c r="K448" i="5"/>
  <c r="N448" i="5" s="1"/>
  <c r="S275" i="5"/>
  <c r="AZ349" i="5"/>
  <c r="CI349" i="5" s="1"/>
  <c r="AZ377" i="5"/>
  <c r="CI377" i="5" s="1"/>
  <c r="AV418" i="5"/>
  <c r="AV426" i="5"/>
  <c r="AV450" i="5"/>
  <c r="K283" i="5"/>
  <c r="N283" i="5" s="1"/>
  <c r="AV104" i="5"/>
  <c r="AV96" i="5"/>
  <c r="R257" i="5"/>
  <c r="EF257" i="5" s="1"/>
  <c r="EE257" i="5" s="1"/>
  <c r="R253" i="5"/>
  <c r="EF253" i="5" s="1"/>
  <c r="EE253" i="5" s="1"/>
  <c r="R261" i="5"/>
  <c r="EF261" i="5" s="1"/>
  <c r="EE261" i="5" s="1"/>
  <c r="R268" i="5"/>
  <c r="EF268" i="5" s="1"/>
  <c r="EE268" i="5" s="1"/>
  <c r="K252" i="5"/>
  <c r="N252" i="5" s="1"/>
  <c r="K254" i="5"/>
  <c r="FS254" i="5" s="1"/>
  <c r="K258" i="5"/>
  <c r="N258" i="5" s="1"/>
  <c r="K262" i="5"/>
  <c r="N262" i="5" s="1"/>
  <c r="K274" i="5"/>
  <c r="N274" i="5" s="1"/>
  <c r="K278" i="5"/>
  <c r="N278" i="5" s="1"/>
  <c r="K282" i="5"/>
  <c r="N282" i="5" s="1"/>
  <c r="K289" i="5"/>
  <c r="N289" i="5" s="1"/>
  <c r="AV320" i="5"/>
  <c r="K312" i="5"/>
  <c r="N312" i="5" s="1"/>
  <c r="K316" i="5"/>
  <c r="N316" i="5" s="1"/>
  <c r="K320" i="5"/>
  <c r="N320" i="5" s="1"/>
  <c r="AE376" i="5"/>
  <c r="AE372" i="5"/>
  <c r="AE369" i="5"/>
  <c r="AE365" i="5"/>
  <c r="K340" i="5"/>
  <c r="N340" i="5" s="1"/>
  <c r="K344" i="5"/>
  <c r="N344" i="5" s="1"/>
  <c r="K348" i="5"/>
  <c r="N348" i="5" s="1"/>
  <c r="K374" i="5"/>
  <c r="N374" i="5" s="1"/>
  <c r="K378" i="5"/>
  <c r="N378" i="5" s="1"/>
  <c r="K382" i="5"/>
  <c r="N382" i="5" s="1"/>
  <c r="K386" i="5"/>
  <c r="FS386" i="5" s="1"/>
  <c r="K395" i="5"/>
  <c r="N395" i="5" s="1"/>
  <c r="K391" i="5"/>
  <c r="FS391" i="5" s="1"/>
  <c r="FU391" i="5" s="1"/>
  <c r="CM391" i="5" s="1"/>
  <c r="K399" i="5"/>
  <c r="N399" i="5" s="1"/>
  <c r="K403" i="5"/>
  <c r="N403" i="5" s="1"/>
  <c r="K406" i="5"/>
  <c r="N406" i="5" s="1"/>
  <c r="K411" i="5"/>
  <c r="N411" i="5" s="1"/>
  <c r="K415" i="5"/>
  <c r="N415" i="5" s="1"/>
  <c r="K419" i="5"/>
  <c r="FS419" i="5" s="1"/>
  <c r="K423" i="5"/>
  <c r="N423" i="5" s="1"/>
  <c r="K427" i="5"/>
  <c r="N427" i="5" s="1"/>
  <c r="K431" i="5"/>
  <c r="N431" i="5" s="1"/>
  <c r="K435" i="5"/>
  <c r="N435" i="5" s="1"/>
  <c r="K439" i="5"/>
  <c r="N439" i="5" s="1"/>
  <c r="K443" i="5"/>
  <c r="N443" i="5" s="1"/>
  <c r="K447" i="5"/>
  <c r="N447" i="5" s="1"/>
  <c r="K373" i="5"/>
  <c r="N373" i="5" s="1"/>
  <c r="K377" i="5"/>
  <c r="N377" i="5" s="1"/>
  <c r="K392" i="5"/>
  <c r="N392" i="5" s="1"/>
  <c r="K396" i="5"/>
  <c r="N396" i="5" s="1"/>
  <c r="K414" i="5"/>
  <c r="N414" i="5" s="1"/>
  <c r="K418" i="5"/>
  <c r="FS418" i="5" s="1"/>
  <c r="FU418" i="5" s="1"/>
  <c r="CM418" i="5" s="1"/>
  <c r="K426" i="5"/>
  <c r="N426" i="5" s="1"/>
  <c r="K430" i="5"/>
  <c r="N430" i="5" s="1"/>
  <c r="K434" i="5"/>
  <c r="N434" i="5" s="1"/>
  <c r="K438" i="5"/>
  <c r="N438" i="5" s="1"/>
  <c r="K442" i="5"/>
  <c r="N442" i="5" s="1"/>
  <c r="K256" i="5"/>
  <c r="N256" i="5" s="1"/>
  <c r="K260" i="5"/>
  <c r="N260" i="5" s="1"/>
  <c r="K266" i="5"/>
  <c r="FS266" i="5" s="1"/>
  <c r="FU266" i="5" s="1"/>
  <c r="CM266" i="5" s="1"/>
  <c r="K270" i="5"/>
  <c r="N270" i="5" s="1"/>
  <c r="K276" i="5"/>
  <c r="N276" i="5" s="1"/>
  <c r="K280" i="5"/>
  <c r="FS280" i="5" s="1"/>
  <c r="FU280" i="5" s="1"/>
  <c r="CM280" i="5" s="1"/>
  <c r="K292" i="5"/>
  <c r="N292" i="5" s="1"/>
  <c r="K296" i="5"/>
  <c r="FS296" i="5" s="1"/>
  <c r="K300" i="5"/>
  <c r="N300" i="5" s="1"/>
  <c r="K306" i="5"/>
  <c r="N306" i="5" s="1"/>
  <c r="K310" i="5"/>
  <c r="N310" i="5" s="1"/>
  <c r="K314" i="5"/>
  <c r="N314" i="5" s="1"/>
  <c r="K318" i="5"/>
  <c r="N318" i="5" s="1"/>
  <c r="K322" i="5"/>
  <c r="FS322" i="5" s="1"/>
  <c r="K324" i="5"/>
  <c r="N324" i="5" s="1"/>
  <c r="AS324" i="5" s="1"/>
  <c r="AE450" i="5"/>
  <c r="AE446" i="5"/>
  <c r="AE442" i="5"/>
  <c r="AE438" i="5"/>
  <c r="AE410" i="5"/>
  <c r="AE404" i="5"/>
  <c r="AE400" i="5"/>
  <c r="AE396" i="5"/>
  <c r="AE386" i="5"/>
  <c r="AE382" i="5"/>
  <c r="AE378" i="5"/>
  <c r="AE363" i="5"/>
  <c r="AE359" i="5"/>
  <c r="AE355" i="5"/>
  <c r="AE351" i="5"/>
  <c r="AE347" i="5"/>
  <c r="AE343" i="5"/>
  <c r="AE339" i="5"/>
  <c r="K342" i="5"/>
  <c r="N342" i="5" s="1"/>
  <c r="K346" i="5"/>
  <c r="N346" i="5" s="1"/>
  <c r="K350" i="5"/>
  <c r="FS350" i="5" s="1"/>
  <c r="FU350" i="5" s="1"/>
  <c r="CM350" i="5" s="1"/>
  <c r="K354" i="5"/>
  <c r="N354" i="5" s="1"/>
  <c r="K357" i="5"/>
  <c r="N357" i="5" s="1"/>
  <c r="K361" i="5"/>
  <c r="FS361" i="5" s="1"/>
  <c r="FU361" i="5" s="1"/>
  <c r="CM361" i="5" s="1"/>
  <c r="K365" i="5"/>
  <c r="FS365" i="5" s="1"/>
  <c r="K369" i="5"/>
  <c r="N369" i="5" s="1"/>
  <c r="K372" i="5"/>
  <c r="N372" i="5" s="1"/>
  <c r="K376" i="5"/>
  <c r="N376" i="5" s="1"/>
  <c r="K380" i="5"/>
  <c r="FS380" i="5" s="1"/>
  <c r="FU380" i="5" s="1"/>
  <c r="CM380" i="5" s="1"/>
  <c r="K384" i="5"/>
  <c r="N384" i="5" s="1"/>
  <c r="K388" i="5"/>
  <c r="K398" i="5"/>
  <c r="N398" i="5" s="1"/>
  <c r="K393" i="5"/>
  <c r="N393" i="5" s="1"/>
  <c r="K390" i="5"/>
  <c r="N390" i="5" s="1"/>
  <c r="K401" i="5"/>
  <c r="N401" i="5" s="1"/>
  <c r="K405" i="5"/>
  <c r="N405" i="5" s="1"/>
  <c r="K409" i="5"/>
  <c r="N409" i="5" s="1"/>
  <c r="K413" i="5"/>
  <c r="N413" i="5" s="1"/>
  <c r="K417" i="5"/>
  <c r="N417" i="5" s="1"/>
  <c r="K421" i="5"/>
  <c r="FS421" i="5" s="1"/>
  <c r="FU421" i="5" s="1"/>
  <c r="CM421" i="5" s="1"/>
  <c r="K425" i="5"/>
  <c r="FS425" i="5" s="1"/>
  <c r="FU425" i="5" s="1"/>
  <c r="CM425" i="5" s="1"/>
  <c r="K429" i="5"/>
  <c r="N429" i="5" s="1"/>
  <c r="K433" i="5"/>
  <c r="N433" i="5" s="1"/>
  <c r="K437" i="5"/>
  <c r="N437" i="5" s="1"/>
  <c r="K441" i="5"/>
  <c r="FS441" i="5" s="1"/>
  <c r="FU441" i="5" s="1"/>
  <c r="CM441" i="5" s="1"/>
  <c r="K445" i="5"/>
  <c r="FS445" i="5" s="1"/>
  <c r="FU445" i="5" s="1"/>
  <c r="CM445" i="5" s="1"/>
  <c r="K449" i="5"/>
  <c r="FS449" i="5" s="1"/>
  <c r="FU449" i="5" s="1"/>
  <c r="CM449" i="5" s="1"/>
  <c r="K255" i="5"/>
  <c r="N255" i="5" s="1"/>
  <c r="K259" i="5"/>
  <c r="N259" i="5" s="1"/>
  <c r="K263" i="5"/>
  <c r="N263" i="5" s="1"/>
  <c r="K275" i="5"/>
  <c r="N275" i="5" s="1"/>
  <c r="K279" i="5"/>
  <c r="N279" i="5" s="1"/>
  <c r="K287" i="5"/>
  <c r="N287" i="5" s="1"/>
  <c r="K309" i="5"/>
  <c r="N309" i="5" s="1"/>
  <c r="K313" i="5"/>
  <c r="N313" i="5" s="1"/>
  <c r="K317" i="5"/>
  <c r="N317" i="5" s="1"/>
  <c r="K321" i="5"/>
  <c r="N321" i="5" s="1"/>
  <c r="AE434" i="5"/>
  <c r="AE430" i="5"/>
  <c r="AE426" i="5"/>
  <c r="K341" i="5"/>
  <c r="N341" i="5" s="1"/>
  <c r="K345" i="5"/>
  <c r="N345" i="5" s="1"/>
  <c r="K349" i="5"/>
  <c r="N349" i="5" s="1"/>
  <c r="K353" i="5"/>
  <c r="N353" i="5" s="1"/>
  <c r="K371" i="5"/>
  <c r="N371" i="5" s="1"/>
  <c r="K375" i="5"/>
  <c r="N375" i="5" s="1"/>
  <c r="K379" i="5"/>
  <c r="N379" i="5" s="1"/>
  <c r="K383" i="5"/>
  <c r="N383" i="5" s="1"/>
  <c r="K387" i="5"/>
  <c r="N387" i="5" s="1"/>
  <c r="K394" i="5"/>
  <c r="N394" i="5" s="1"/>
  <c r="K389" i="5"/>
  <c r="N389" i="5" s="1"/>
  <c r="K400" i="5"/>
  <c r="N400" i="5" s="1"/>
  <c r="K404" i="5"/>
  <c r="K408" i="5"/>
  <c r="N408" i="5" s="1"/>
  <c r="K412" i="5"/>
  <c r="N412" i="5" s="1"/>
  <c r="K416" i="5"/>
  <c r="N416" i="5" s="1"/>
  <c r="K420" i="5"/>
  <c r="N420" i="5" s="1"/>
  <c r="K424" i="5"/>
  <c r="N424" i="5" s="1"/>
  <c r="K428" i="5"/>
  <c r="N428" i="5" s="1"/>
  <c r="K432" i="5"/>
  <c r="N432" i="5" s="1"/>
  <c r="K436" i="5"/>
  <c r="N436" i="5" s="1"/>
  <c r="K440" i="5"/>
  <c r="N440" i="5" s="1"/>
  <c r="K444" i="5"/>
  <c r="FS444" i="5" s="1"/>
  <c r="FU444" i="5" s="1"/>
  <c r="CM444" i="5" s="1"/>
  <c r="K451" i="5"/>
  <c r="N451" i="5" s="1"/>
  <c r="AE256" i="5"/>
  <c r="AE260" i="5"/>
  <c r="AE265" i="5"/>
  <c r="AE269" i="5"/>
  <c r="AE273" i="5"/>
  <c r="AE277" i="5"/>
  <c r="AE281" i="5"/>
  <c r="AE285" i="5"/>
  <c r="AE290" i="5"/>
  <c r="AE291" i="5"/>
  <c r="AE295" i="5"/>
  <c r="AE299" i="5"/>
  <c r="AE306" i="5"/>
  <c r="AE308" i="5"/>
  <c r="AE312" i="5"/>
  <c r="AE319" i="5"/>
  <c r="AE322" i="5"/>
  <c r="AE324" i="5"/>
  <c r="AE328" i="5"/>
  <c r="AE332" i="5"/>
  <c r="AE336" i="5"/>
  <c r="AE255" i="5"/>
  <c r="AE259" i="5"/>
  <c r="AE263" i="5"/>
  <c r="AE264" i="5"/>
  <c r="AE268" i="5"/>
  <c r="AE272" i="5"/>
  <c r="AE276" i="5"/>
  <c r="AE280" i="5"/>
  <c r="AE284" i="5"/>
  <c r="AE289" i="5"/>
  <c r="AE294" i="5"/>
  <c r="AE298" i="5"/>
  <c r="AE302" i="5"/>
  <c r="AE305" i="5"/>
  <c r="AE311" i="5"/>
  <c r="AE320" i="5"/>
  <c r="AE321" i="5"/>
  <c r="AE327" i="5"/>
  <c r="AE331" i="5"/>
  <c r="AE335" i="5"/>
  <c r="R398" i="5"/>
  <c r="EF398" i="5" s="1"/>
  <c r="EE398" i="5" s="1"/>
  <c r="AE252" i="5"/>
  <c r="AE254" i="5"/>
  <c r="AE258" i="5"/>
  <c r="AE262" i="5"/>
  <c r="AE267" i="5"/>
  <c r="AE271" i="5"/>
  <c r="AE275" i="5"/>
  <c r="AE279" i="5"/>
  <c r="AE283" i="5"/>
  <c r="AE287" i="5"/>
  <c r="AE288" i="5"/>
  <c r="AE293" i="5"/>
  <c r="AE297" i="5"/>
  <c r="AE301" i="5"/>
  <c r="AE304" i="5"/>
  <c r="AE310" i="5"/>
  <c r="AE314" i="5"/>
  <c r="AE316" i="5"/>
  <c r="AE317" i="5"/>
  <c r="AE326" i="5"/>
  <c r="AE330" i="5"/>
  <c r="AE334" i="5"/>
  <c r="AE338" i="5"/>
  <c r="R386" i="5"/>
  <c r="EF386" i="5" s="1"/>
  <c r="EE386" i="5" s="1"/>
  <c r="AE253" i="5"/>
  <c r="AE257" i="5"/>
  <c r="AE261" i="5"/>
  <c r="AE266" i="5"/>
  <c r="AE270" i="5"/>
  <c r="AE274" i="5"/>
  <c r="AE278" i="5"/>
  <c r="AE282" i="5"/>
  <c r="AE286" i="5"/>
  <c r="AE292" i="5"/>
  <c r="AE296" i="5"/>
  <c r="AE300" i="5"/>
  <c r="AE303" i="5"/>
  <c r="AE307" i="5"/>
  <c r="AE309" i="5"/>
  <c r="AE313" i="5"/>
  <c r="AE315" i="5"/>
  <c r="AE318" i="5"/>
  <c r="AE323" i="5"/>
  <c r="AE325" i="5"/>
  <c r="AE329" i="5"/>
  <c r="AE333" i="5"/>
  <c r="AE337" i="5"/>
  <c r="R441" i="5"/>
  <c r="EF441" i="5" s="1"/>
  <c r="EE441" i="5" s="1"/>
  <c r="R433" i="5"/>
  <c r="EF433" i="5" s="1"/>
  <c r="EE433" i="5" s="1"/>
  <c r="R421" i="5"/>
  <c r="EF421" i="5" s="1"/>
  <c r="EE421" i="5" s="1"/>
  <c r="R425" i="5"/>
  <c r="EF425" i="5" s="1"/>
  <c r="EE425" i="5" s="1"/>
  <c r="R409" i="5"/>
  <c r="EF409" i="5" s="1"/>
  <c r="EE409" i="5" s="1"/>
  <c r="AE414" i="5"/>
  <c r="AV417" i="5"/>
  <c r="AE417" i="5"/>
  <c r="AE393" i="5"/>
  <c r="AV392" i="5"/>
  <c r="AE392" i="5"/>
  <c r="R405" i="5"/>
  <c r="EF405" i="5" s="1"/>
  <c r="EE405" i="5" s="1"/>
  <c r="R396" i="5"/>
  <c r="EF396" i="5" s="1"/>
  <c r="EE396" i="5" s="1"/>
  <c r="R394" i="5"/>
  <c r="EF394" i="5" s="1"/>
  <c r="EE394" i="5" s="1"/>
  <c r="R392" i="5"/>
  <c r="R390" i="5"/>
  <c r="EF390" i="5" s="1"/>
  <c r="EE390" i="5" s="1"/>
  <c r="R346" i="5"/>
  <c r="AZ334" i="5"/>
  <c r="CI334" i="5" s="1"/>
  <c r="R338" i="5"/>
  <c r="EF338" i="5" s="1"/>
  <c r="EE338" i="5" s="1"/>
  <c r="AZ320" i="5"/>
  <c r="CI320" i="5" s="1"/>
  <c r="R298" i="5"/>
  <c r="EF298" i="5" s="1"/>
  <c r="EE298" i="5" s="1"/>
  <c r="R282" i="5"/>
  <c r="EF282" i="5" s="1"/>
  <c r="EE282" i="5" s="1"/>
  <c r="R283" i="5"/>
  <c r="EF283" i="5" s="1"/>
  <c r="EE283" i="5" s="1"/>
  <c r="R284" i="5"/>
  <c r="EF284" i="5" s="1"/>
  <c r="EE284" i="5" s="1"/>
  <c r="R285" i="5"/>
  <c r="EF285" i="5" s="1"/>
  <c r="EE285" i="5" s="1"/>
  <c r="R297" i="5"/>
  <c r="EF297" i="5" s="1"/>
  <c r="EE297" i="5" s="1"/>
  <c r="R306" i="5"/>
  <c r="EF306" i="5" s="1"/>
  <c r="EE306" i="5" s="1"/>
  <c r="R307" i="5"/>
  <c r="EF307" i="5" s="1"/>
  <c r="EE307" i="5" s="1"/>
  <c r="R308" i="5"/>
  <c r="EF308" i="5" s="1"/>
  <c r="EE308" i="5" s="1"/>
  <c r="R309" i="5"/>
  <c r="EF309" i="5" s="1"/>
  <c r="EE309" i="5" s="1"/>
  <c r="R330" i="5"/>
  <c r="EF330" i="5" s="1"/>
  <c r="EE330" i="5" s="1"/>
  <c r="R332" i="5"/>
  <c r="EF332" i="5" s="1"/>
  <c r="EE332" i="5" s="1"/>
  <c r="R339" i="5"/>
  <c r="EF339" i="5" s="1"/>
  <c r="EE339" i="5" s="1"/>
  <c r="R342" i="5"/>
  <c r="EF342" i="5" s="1"/>
  <c r="EE342" i="5" s="1"/>
  <c r="R347" i="5"/>
  <c r="EF347" i="5" s="1"/>
  <c r="EE347" i="5" s="1"/>
  <c r="R350" i="5"/>
  <c r="EF350" i="5" s="1"/>
  <c r="EE350" i="5" s="1"/>
  <c r="R354" i="5"/>
  <c r="EF354" i="5" s="1"/>
  <c r="EE354" i="5" s="1"/>
  <c r="R358" i="5"/>
  <c r="EF358" i="5" s="1"/>
  <c r="EE358" i="5" s="1"/>
  <c r="R361" i="5"/>
  <c r="EF361" i="5" s="1"/>
  <c r="EE361" i="5" s="1"/>
  <c r="R363" i="5"/>
  <c r="EF363" i="5" s="1"/>
  <c r="EE363" i="5" s="1"/>
  <c r="R364" i="5"/>
  <c r="EF364" i="5" s="1"/>
  <c r="EE364" i="5" s="1"/>
  <c r="R374" i="5"/>
  <c r="EF374" i="5" s="1"/>
  <c r="EE374" i="5" s="1"/>
  <c r="R377" i="5"/>
  <c r="EF377" i="5" s="1"/>
  <c r="EE377" i="5" s="1"/>
  <c r="R379" i="5"/>
  <c r="EF379" i="5" s="1"/>
  <c r="EE379" i="5" s="1"/>
  <c r="R380" i="5"/>
  <c r="EF380" i="5" s="1"/>
  <c r="EE380" i="5" s="1"/>
  <c r="R402" i="5"/>
  <c r="EF402" i="5" s="1"/>
  <c r="EE402" i="5" s="1"/>
  <c r="R403" i="5"/>
  <c r="EF403" i="5" s="1"/>
  <c r="EE403" i="5" s="1"/>
  <c r="R404" i="5"/>
  <c r="EF404" i="5" s="1"/>
  <c r="EE404" i="5" s="1"/>
  <c r="R418" i="5"/>
  <c r="EF418" i="5" s="1"/>
  <c r="EE418" i="5" s="1"/>
  <c r="R419" i="5"/>
  <c r="EF419" i="5" s="1"/>
  <c r="EE419" i="5" s="1"/>
  <c r="R420" i="5"/>
  <c r="EF420" i="5" s="1"/>
  <c r="EE420" i="5" s="1"/>
  <c r="R429" i="5"/>
  <c r="EF429" i="5" s="1"/>
  <c r="EE429" i="5" s="1"/>
  <c r="R438" i="5"/>
  <c r="EF438" i="5" s="1"/>
  <c r="EE438" i="5" s="1"/>
  <c r="R445" i="5"/>
  <c r="EF445" i="5" s="1"/>
  <c r="EE445" i="5" s="1"/>
  <c r="R449" i="5"/>
  <c r="EF449" i="5" s="1"/>
  <c r="EE449" i="5" s="1"/>
  <c r="R453" i="5"/>
  <c r="EF453" i="5" s="1"/>
  <c r="EE453" i="5" s="1"/>
  <c r="R337" i="5"/>
  <c r="EF337" i="5" s="1"/>
  <c r="EE337" i="5" s="1"/>
  <c r="R345" i="5"/>
  <c r="EF345" i="5" s="1"/>
  <c r="EE345" i="5" s="1"/>
  <c r="R413" i="5"/>
  <c r="EF413" i="5" s="1"/>
  <c r="EE413" i="5" s="1"/>
  <c r="R294" i="5"/>
  <c r="EF294" i="5" s="1"/>
  <c r="EE294" i="5" s="1"/>
  <c r="R295" i="5"/>
  <c r="EF295" i="5" s="1"/>
  <c r="EE295" i="5" s="1"/>
  <c r="R296" i="5"/>
  <c r="EF296" i="5" s="1"/>
  <c r="EE296" i="5" s="1"/>
  <c r="R302" i="5"/>
  <c r="EF302" i="5" s="1"/>
  <c r="EE302" i="5" s="1"/>
  <c r="R303" i="5"/>
  <c r="EF303" i="5" s="1"/>
  <c r="EE303" i="5" s="1"/>
  <c r="R304" i="5"/>
  <c r="EF304" i="5" s="1"/>
  <c r="EE304" i="5" s="1"/>
  <c r="R305" i="5"/>
  <c r="EF305" i="5" s="1"/>
  <c r="EE305" i="5" s="1"/>
  <c r="R329" i="5"/>
  <c r="EF329" i="5" s="1"/>
  <c r="EE329" i="5" s="1"/>
  <c r="R334" i="5"/>
  <c r="EF334" i="5" s="1"/>
  <c r="EE334" i="5" s="1"/>
  <c r="R335" i="5"/>
  <c r="EF335" i="5" s="1"/>
  <c r="EE335" i="5" s="1"/>
  <c r="R341" i="5"/>
  <c r="EF341" i="5" s="1"/>
  <c r="EE341" i="5" s="1"/>
  <c r="R343" i="5"/>
  <c r="EF343" i="5" s="1"/>
  <c r="EE343" i="5" s="1"/>
  <c r="R349" i="5"/>
  <c r="EF349" i="5" s="1"/>
  <c r="EE349" i="5" s="1"/>
  <c r="R351" i="5"/>
  <c r="EF351" i="5" s="1"/>
  <c r="EE351" i="5" s="1"/>
  <c r="R353" i="5"/>
  <c r="EF353" i="5" s="1"/>
  <c r="EE353" i="5" s="1"/>
  <c r="R355" i="5"/>
  <c r="EF355" i="5" s="1"/>
  <c r="EE355" i="5" s="1"/>
  <c r="R357" i="5"/>
  <c r="EF357" i="5" s="1"/>
  <c r="EE357" i="5" s="1"/>
  <c r="R359" i="5"/>
  <c r="EF359" i="5" s="1"/>
  <c r="EE359" i="5" s="1"/>
  <c r="R360" i="5"/>
  <c r="EF360" i="5" s="1"/>
  <c r="EE360" i="5" s="1"/>
  <c r="R370" i="5"/>
  <c r="EF370" i="5" s="1"/>
  <c r="EE370" i="5" s="1"/>
  <c r="R373" i="5"/>
  <c r="EF373" i="5" s="1"/>
  <c r="EE373" i="5" s="1"/>
  <c r="R375" i="5"/>
  <c r="EF375" i="5" s="1"/>
  <c r="EE375" i="5" s="1"/>
  <c r="R376" i="5"/>
  <c r="EF376" i="5" s="1"/>
  <c r="EE376" i="5" s="1"/>
  <c r="R385" i="5"/>
  <c r="EF385" i="5" s="1"/>
  <c r="EE385" i="5" s="1"/>
  <c r="R389" i="5"/>
  <c r="EF389" i="5" s="1"/>
  <c r="EE389" i="5" s="1"/>
  <c r="R393" i="5"/>
  <c r="EF393" i="5" s="1"/>
  <c r="EE393" i="5" s="1"/>
  <c r="R397" i="5"/>
  <c r="EF397" i="5" s="1"/>
  <c r="EE397" i="5" s="1"/>
  <c r="R406" i="5"/>
  <c r="EF406" i="5" s="1"/>
  <c r="EE406" i="5" s="1"/>
  <c r="R407" i="5"/>
  <c r="EF407" i="5" s="1"/>
  <c r="EE407" i="5" s="1"/>
  <c r="R408" i="5"/>
  <c r="EF408" i="5" s="1"/>
  <c r="EE408" i="5" s="1"/>
  <c r="R422" i="5"/>
  <c r="EF422" i="5" s="1"/>
  <c r="EE422" i="5" s="1"/>
  <c r="R423" i="5"/>
  <c r="EF423" i="5" s="1"/>
  <c r="EE423" i="5" s="1"/>
  <c r="R424" i="5"/>
  <c r="EF424" i="5" s="1"/>
  <c r="EE424" i="5" s="1"/>
  <c r="R431" i="5"/>
  <c r="EF431" i="5" s="1"/>
  <c r="EE431" i="5" s="1"/>
  <c r="R432" i="5"/>
  <c r="EF432" i="5" s="1"/>
  <c r="EE432" i="5" s="1"/>
  <c r="R439" i="5"/>
  <c r="EF439" i="5" s="1"/>
  <c r="EE439" i="5" s="1"/>
  <c r="R440" i="5"/>
  <c r="EF440" i="5" s="1"/>
  <c r="EE440" i="5" s="1"/>
  <c r="R401" i="5"/>
  <c r="EF401" i="5" s="1"/>
  <c r="EE401" i="5" s="1"/>
  <c r="R417" i="5"/>
  <c r="EF417" i="5" s="1"/>
  <c r="EE417" i="5" s="1"/>
  <c r="R428" i="5"/>
  <c r="EF428" i="5" s="1"/>
  <c r="EE428" i="5" s="1"/>
  <c r="R430" i="5"/>
  <c r="EF430" i="5" s="1"/>
  <c r="EE430" i="5" s="1"/>
  <c r="R437" i="5"/>
  <c r="EF437" i="5" s="1"/>
  <c r="EE437" i="5" s="1"/>
  <c r="R444" i="5"/>
  <c r="EF444" i="5" s="1"/>
  <c r="EE444" i="5" s="1"/>
  <c r="R446" i="5"/>
  <c r="EF446" i="5" s="1"/>
  <c r="EE446" i="5" s="1"/>
  <c r="R448" i="5"/>
  <c r="EF448" i="5" s="1"/>
  <c r="EE448" i="5" s="1"/>
  <c r="R450" i="5"/>
  <c r="EF450" i="5" s="1"/>
  <c r="EE450" i="5" s="1"/>
  <c r="R452" i="5"/>
  <c r="EF452" i="5" s="1"/>
  <c r="EE452" i="5" s="1"/>
  <c r="R290" i="5"/>
  <c r="EF290" i="5" s="1"/>
  <c r="EE290" i="5" s="1"/>
  <c r="R291" i="5"/>
  <c r="EF291" i="5" s="1"/>
  <c r="EE291" i="5" s="1"/>
  <c r="R292" i="5"/>
  <c r="EF292" i="5" s="1"/>
  <c r="EE292" i="5" s="1"/>
  <c r="R293" i="5"/>
  <c r="EF293" i="5" s="1"/>
  <c r="EE293" i="5" s="1"/>
  <c r="R299" i="5"/>
  <c r="EF299" i="5" s="1"/>
  <c r="EE299" i="5" s="1"/>
  <c r="R300" i="5"/>
  <c r="EF300" i="5" s="1"/>
  <c r="EE300" i="5" s="1"/>
  <c r="R301" i="5"/>
  <c r="EF301" i="5" s="1"/>
  <c r="EE301" i="5" s="1"/>
  <c r="R314" i="5"/>
  <c r="EF314" i="5" s="1"/>
  <c r="EE314" i="5" s="1"/>
  <c r="R315" i="5"/>
  <c r="EF315" i="5" s="1"/>
  <c r="EE315" i="5" s="1"/>
  <c r="R320" i="5"/>
  <c r="EF320" i="5" s="1"/>
  <c r="EE320" i="5" s="1"/>
  <c r="R321" i="5"/>
  <c r="EF321" i="5" s="1"/>
  <c r="EE321" i="5" s="1"/>
  <c r="R322" i="5"/>
  <c r="EF322" i="5" s="1"/>
  <c r="EE322" i="5" s="1"/>
  <c r="R323" i="5"/>
  <c r="EF323" i="5" s="1"/>
  <c r="EE323" i="5" s="1"/>
  <c r="R324" i="5"/>
  <c r="EF324" i="5" s="1"/>
  <c r="EE324" i="5" s="1"/>
  <c r="R325" i="5"/>
  <c r="EF325" i="5" s="1"/>
  <c r="EE325" i="5" s="1"/>
  <c r="R326" i="5"/>
  <c r="EF326" i="5" s="1"/>
  <c r="EE326" i="5" s="1"/>
  <c r="R327" i="5"/>
  <c r="EF327" i="5" s="1"/>
  <c r="EE327" i="5" s="1"/>
  <c r="R328" i="5"/>
  <c r="EF328" i="5" s="1"/>
  <c r="EE328" i="5" s="1"/>
  <c r="R331" i="5"/>
  <c r="EF331" i="5" s="1"/>
  <c r="EE331" i="5" s="1"/>
  <c r="R336" i="5"/>
  <c r="EF336" i="5" s="1"/>
  <c r="EE336" i="5" s="1"/>
  <c r="R340" i="5"/>
  <c r="EF340" i="5" s="1"/>
  <c r="EE340" i="5" s="1"/>
  <c r="R344" i="5"/>
  <c r="EF344" i="5" s="1"/>
  <c r="EE344" i="5" s="1"/>
  <c r="R348" i="5"/>
  <c r="EF348" i="5" s="1"/>
  <c r="EE348" i="5" s="1"/>
  <c r="R352" i="5"/>
  <c r="EF352" i="5" s="1"/>
  <c r="EE352" i="5" s="1"/>
  <c r="R356" i="5"/>
  <c r="EF356" i="5" s="1"/>
  <c r="EE356" i="5" s="1"/>
  <c r="R366" i="5"/>
  <c r="EF366" i="5" s="1"/>
  <c r="EE366" i="5" s="1"/>
  <c r="R369" i="5"/>
  <c r="EF369" i="5" s="1"/>
  <c r="EE369" i="5" s="1"/>
  <c r="R371" i="5"/>
  <c r="EF371" i="5" s="1"/>
  <c r="EE371" i="5" s="1"/>
  <c r="R372" i="5"/>
  <c r="EF372" i="5" s="1"/>
  <c r="EE372" i="5" s="1"/>
  <c r="R382" i="5"/>
  <c r="EF382" i="5" s="1"/>
  <c r="EE382" i="5" s="1"/>
  <c r="S384" i="5"/>
  <c r="R410" i="5"/>
  <c r="EF410" i="5" s="1"/>
  <c r="EE410" i="5" s="1"/>
  <c r="R411" i="5"/>
  <c r="EF411" i="5" s="1"/>
  <c r="EE411" i="5" s="1"/>
  <c r="R412" i="5"/>
  <c r="EF412" i="5" s="1"/>
  <c r="EE412" i="5" s="1"/>
  <c r="R426" i="5"/>
  <c r="EF426" i="5" s="1"/>
  <c r="EE426" i="5" s="1"/>
  <c r="R427" i="5"/>
  <c r="EF427" i="5" s="1"/>
  <c r="EE427" i="5" s="1"/>
  <c r="R434" i="5"/>
  <c r="EF434" i="5" s="1"/>
  <c r="EE434" i="5" s="1"/>
  <c r="R442" i="5"/>
  <c r="EF442" i="5" s="1"/>
  <c r="EE442" i="5" s="1"/>
  <c r="R443" i="5"/>
  <c r="EF443" i="5" s="1"/>
  <c r="EE443" i="5" s="1"/>
  <c r="R447" i="5"/>
  <c r="EF447" i="5" s="1"/>
  <c r="EE447" i="5" s="1"/>
  <c r="R451" i="5"/>
  <c r="EF451" i="5" s="1"/>
  <c r="EE451" i="5" s="1"/>
  <c r="R286" i="5"/>
  <c r="EF286" i="5" s="1"/>
  <c r="EE286" i="5" s="1"/>
  <c r="R287" i="5"/>
  <c r="EF287" i="5" s="1"/>
  <c r="EE287" i="5" s="1"/>
  <c r="R288" i="5"/>
  <c r="EF288" i="5" s="1"/>
  <c r="EE288" i="5" s="1"/>
  <c r="R289" i="5"/>
  <c r="EF289" i="5" s="1"/>
  <c r="EE289" i="5" s="1"/>
  <c r="R310" i="5"/>
  <c r="EF310" i="5" s="1"/>
  <c r="EE310" i="5" s="1"/>
  <c r="R311" i="5"/>
  <c r="EF311" i="5" s="1"/>
  <c r="EE311" i="5" s="1"/>
  <c r="R312" i="5"/>
  <c r="EF312" i="5" s="1"/>
  <c r="EE312" i="5" s="1"/>
  <c r="R313" i="5"/>
  <c r="EF313" i="5" s="1"/>
  <c r="EE313" i="5" s="1"/>
  <c r="R316" i="5"/>
  <c r="EF316" i="5" s="1"/>
  <c r="EE316" i="5" s="1"/>
  <c r="R317" i="5"/>
  <c r="EF317" i="5" s="1"/>
  <c r="EE317" i="5" s="1"/>
  <c r="R318" i="5"/>
  <c r="EF318" i="5" s="1"/>
  <c r="EE318" i="5" s="1"/>
  <c r="R319" i="5"/>
  <c r="EF319" i="5" s="1"/>
  <c r="EE319" i="5" s="1"/>
  <c r="R333" i="5"/>
  <c r="EF333" i="5" s="1"/>
  <c r="EE333" i="5" s="1"/>
  <c r="R362" i="5"/>
  <c r="EF362" i="5" s="1"/>
  <c r="EE362" i="5" s="1"/>
  <c r="R365" i="5"/>
  <c r="EF365" i="5" s="1"/>
  <c r="EE365" i="5" s="1"/>
  <c r="R367" i="5"/>
  <c r="EF367" i="5" s="1"/>
  <c r="EE367" i="5" s="1"/>
  <c r="R368" i="5"/>
  <c r="EF368" i="5" s="1"/>
  <c r="EE368" i="5" s="1"/>
  <c r="R378" i="5"/>
  <c r="EF378" i="5" s="1"/>
  <c r="EE378" i="5" s="1"/>
  <c r="R381" i="5"/>
  <c r="EF381" i="5" s="1"/>
  <c r="EE381" i="5" s="1"/>
  <c r="R383" i="5"/>
  <c r="EF383" i="5" s="1"/>
  <c r="EE383" i="5" s="1"/>
  <c r="R387" i="5"/>
  <c r="EF387" i="5" s="1"/>
  <c r="EE387" i="5" s="1"/>
  <c r="R391" i="5"/>
  <c r="EF391" i="5" s="1"/>
  <c r="EE391" i="5" s="1"/>
  <c r="R395" i="5"/>
  <c r="EF395" i="5" s="1"/>
  <c r="EE395" i="5" s="1"/>
  <c r="R399" i="5"/>
  <c r="EF399" i="5" s="1"/>
  <c r="EE399" i="5" s="1"/>
  <c r="R400" i="5"/>
  <c r="EF400" i="5" s="1"/>
  <c r="EE400" i="5" s="1"/>
  <c r="R414" i="5"/>
  <c r="EF414" i="5" s="1"/>
  <c r="EE414" i="5" s="1"/>
  <c r="R415" i="5"/>
  <c r="EF415" i="5" s="1"/>
  <c r="EE415" i="5" s="1"/>
  <c r="R416" i="5"/>
  <c r="EF416" i="5" s="1"/>
  <c r="EE416" i="5" s="1"/>
  <c r="R435" i="5"/>
  <c r="EF435" i="5" s="1"/>
  <c r="EE435" i="5" s="1"/>
  <c r="R436" i="5"/>
  <c r="EF436" i="5" s="1"/>
  <c r="EE436" i="5" s="1"/>
  <c r="S262" i="5"/>
  <c r="S266" i="5"/>
  <c r="S261" i="5"/>
  <c r="S265" i="5"/>
  <c r="S269" i="5"/>
  <c r="S255" i="5"/>
  <c r="S263" i="5"/>
  <c r="S267" i="5"/>
  <c r="AV253" i="5"/>
  <c r="AV257" i="5"/>
  <c r="S260" i="5"/>
  <c r="AV261" i="5"/>
  <c r="S272" i="5"/>
  <c r="S276" i="5"/>
  <c r="S280" i="5"/>
  <c r="S284" i="5"/>
  <c r="AV285" i="5"/>
  <c r="S296" i="5"/>
  <c r="AV301" i="5"/>
  <c r="AV305" i="5"/>
  <c r="S308" i="5"/>
  <c r="AV264" i="5"/>
  <c r="AV268" i="5"/>
  <c r="AV292" i="5"/>
  <c r="AV296" i="5"/>
  <c r="AV300" i="5"/>
  <c r="AV304" i="5"/>
  <c r="AV308" i="5"/>
  <c r="S317" i="5"/>
  <c r="AV318" i="5"/>
  <c r="S321" i="5"/>
  <c r="AV322" i="5"/>
  <c r="AV323" i="5"/>
  <c r="AZ332" i="5"/>
  <c r="CI332" i="5" s="1"/>
  <c r="AZ348" i="5"/>
  <c r="CI348" i="5" s="1"/>
  <c r="AZ356" i="5"/>
  <c r="CI356" i="5" s="1"/>
  <c r="AV283" i="5"/>
  <c r="AV291" i="5"/>
  <c r="AV299" i="5"/>
  <c r="AV307" i="5"/>
  <c r="AV311" i="5"/>
  <c r="AV315" i="5"/>
  <c r="AZ317" i="5"/>
  <c r="CI317" i="5" s="1"/>
  <c r="AZ325" i="5"/>
  <c r="CI325" i="5" s="1"/>
  <c r="AV363" i="5"/>
  <c r="AV375" i="5"/>
  <c r="AV383" i="5"/>
  <c r="AV391" i="5"/>
  <c r="AV395" i="5"/>
  <c r="AV399" i="5"/>
  <c r="AV415" i="5"/>
  <c r="AV419" i="5"/>
  <c r="AV423" i="5"/>
  <c r="AV427" i="5"/>
  <c r="AV447" i="5"/>
  <c r="AV451" i="5"/>
  <c r="AS22" i="5"/>
  <c r="AT22" i="5" s="1"/>
  <c r="AZ42" i="5"/>
  <c r="R35" i="5"/>
  <c r="EF35" i="5" s="1"/>
  <c r="EE35" i="5" s="1"/>
  <c r="R49" i="5"/>
  <c r="EF49" i="5" s="1"/>
  <c r="EE49" i="5" s="1"/>
  <c r="AZ34" i="5"/>
  <c r="AZ46" i="5"/>
  <c r="R48" i="5"/>
  <c r="EF48" i="5" s="1"/>
  <c r="EE48" i="5" s="1"/>
  <c r="AB413" i="20" l="1"/>
  <c r="P390" i="20"/>
  <c r="BJ359" i="20"/>
  <c r="BF355" i="20"/>
  <c r="CU355" i="20" s="1"/>
  <c r="DQ390" i="20"/>
  <c r="P355" i="20"/>
  <c r="DQ355" i="20"/>
  <c r="GI168" i="20"/>
  <c r="DA168" i="20" s="1"/>
  <c r="BJ390" i="20"/>
  <c r="P359" i="20"/>
  <c r="DQ359" i="20"/>
  <c r="AB452" i="20"/>
  <c r="CQ492" i="20"/>
  <c r="CJ309" i="20"/>
  <c r="GI172" i="20"/>
  <c r="DA172" i="20" s="1"/>
  <c r="DL172" i="20" s="1"/>
  <c r="BJ423" i="20"/>
  <c r="BJ401" i="20"/>
  <c r="DQ423" i="20"/>
  <c r="P401" i="20"/>
  <c r="BF401" i="20"/>
  <c r="CU401" i="20" s="1"/>
  <c r="BM423" i="20"/>
  <c r="CL423" i="20"/>
  <c r="CM423" i="20" s="1"/>
  <c r="P423" i="20"/>
  <c r="BF423" i="20"/>
  <c r="CU423" i="20" s="1"/>
  <c r="FO423" i="20" s="1"/>
  <c r="FB401" i="20"/>
  <c r="FC401" i="20" s="1"/>
  <c r="FD401" i="20" s="1"/>
  <c r="EP178" i="20"/>
  <c r="DU178" i="20" s="1"/>
  <c r="EP172" i="20"/>
  <c r="DU172" i="20" s="1"/>
  <c r="CJ304" i="20"/>
  <c r="EP165" i="20"/>
  <c r="DU165" i="20" s="1"/>
  <c r="EP157" i="20"/>
  <c r="DU157" i="20" s="1"/>
  <c r="EP167" i="20"/>
  <c r="BJ378" i="20"/>
  <c r="EP174" i="20"/>
  <c r="BF378" i="20"/>
  <c r="CU378" i="20" s="1"/>
  <c r="EP169" i="20"/>
  <c r="GG454" i="20"/>
  <c r="BJ358" i="20"/>
  <c r="BZ454" i="20"/>
  <c r="EH454" i="20" s="1"/>
  <c r="EJ454" i="20" s="1"/>
  <c r="AR454" i="20"/>
  <c r="CL358" i="20"/>
  <c r="CM358" i="20" s="1"/>
  <c r="AB454" i="20"/>
  <c r="AT454" i="20"/>
  <c r="DQ378" i="20"/>
  <c r="FB378" i="20" s="1"/>
  <c r="FC378" i="20" s="1"/>
  <c r="FD378" i="20" s="1"/>
  <c r="EP298" i="20"/>
  <c r="DU298" i="20" s="1"/>
  <c r="BM378" i="20"/>
  <c r="P378" i="20"/>
  <c r="P358" i="20"/>
  <c r="CL378" i="20"/>
  <c r="CM378" i="20" s="1"/>
  <c r="BF358" i="20"/>
  <c r="CU358" i="20" s="1"/>
  <c r="DC358" i="20" s="1"/>
  <c r="AB285" i="20"/>
  <c r="BG285" i="20" s="1"/>
  <c r="BH285" i="20" s="1"/>
  <c r="DQ358" i="20"/>
  <c r="FB358" i="20" s="1"/>
  <c r="FC358" i="20" s="1"/>
  <c r="FD358" i="20" s="1"/>
  <c r="DQ351" i="20"/>
  <c r="FB351" i="20" s="1"/>
  <c r="FC351" i="20" s="1"/>
  <c r="FD351" i="20" s="1"/>
  <c r="BM358" i="20"/>
  <c r="P351" i="20"/>
  <c r="CI454" i="20"/>
  <c r="AO177" i="20"/>
  <c r="CL177" i="20" s="1"/>
  <c r="CM177" i="20" s="1"/>
  <c r="EP215" i="20"/>
  <c r="CJ301" i="20"/>
  <c r="BG176" i="20"/>
  <c r="BH176" i="20" s="1"/>
  <c r="CJ387" i="20"/>
  <c r="CJ305" i="20"/>
  <c r="GI190" i="20"/>
  <c r="DA190" i="20" s="1"/>
  <c r="AV217" i="20"/>
  <c r="Z217" i="20"/>
  <c r="AV453" i="20"/>
  <c r="Z453" i="20"/>
  <c r="AV171" i="20"/>
  <c r="Z171" i="20"/>
  <c r="AV173" i="20"/>
  <c r="Z173" i="20"/>
  <c r="AV215" i="20"/>
  <c r="Z215" i="20"/>
  <c r="AV172" i="20"/>
  <c r="Z172" i="20"/>
  <c r="AV161" i="20"/>
  <c r="Z161" i="20"/>
  <c r="AV178" i="20"/>
  <c r="Z178" i="20"/>
  <c r="AV176" i="20"/>
  <c r="Z176" i="20"/>
  <c r="AV422" i="20"/>
  <c r="Z422" i="20"/>
  <c r="AV169" i="20"/>
  <c r="Z169" i="20"/>
  <c r="AV202" i="20"/>
  <c r="Z202" i="20"/>
  <c r="AV182" i="20"/>
  <c r="Z182" i="20"/>
  <c r="AV227" i="20"/>
  <c r="Z227" i="20"/>
  <c r="AV392" i="20"/>
  <c r="Z392" i="20"/>
  <c r="AV175" i="20"/>
  <c r="Z175" i="20"/>
  <c r="AV177" i="20"/>
  <c r="Z177" i="20"/>
  <c r="AV206" i="20"/>
  <c r="Z206" i="20"/>
  <c r="AV431" i="20"/>
  <c r="Z431" i="20"/>
  <c r="AV299" i="20"/>
  <c r="Z299" i="20"/>
  <c r="AV454" i="20"/>
  <c r="Z454" i="20"/>
  <c r="AV165" i="20"/>
  <c r="Z165" i="20"/>
  <c r="AV452" i="20"/>
  <c r="Z452" i="20"/>
  <c r="EP202" i="20"/>
  <c r="AV451" i="20"/>
  <c r="Z451" i="20"/>
  <c r="AV170" i="20"/>
  <c r="Z170" i="20"/>
  <c r="EP171" i="20"/>
  <c r="DU171" i="20" s="1"/>
  <c r="AV204" i="20"/>
  <c r="Z204" i="20"/>
  <c r="AV157" i="20"/>
  <c r="Z157" i="20"/>
  <c r="AV434" i="20"/>
  <c r="Z434" i="20"/>
  <c r="AV449" i="20"/>
  <c r="Z449" i="20"/>
  <c r="AV421" i="20"/>
  <c r="Z421" i="20"/>
  <c r="AV166" i="20"/>
  <c r="Z166" i="20"/>
  <c r="AV450" i="20"/>
  <c r="Z450" i="20"/>
  <c r="AV297" i="20"/>
  <c r="Z297" i="20"/>
  <c r="AV436" i="20"/>
  <c r="Z436" i="20"/>
  <c r="AV432" i="20"/>
  <c r="Z432" i="20"/>
  <c r="AV435" i="20"/>
  <c r="Z435" i="20"/>
  <c r="AV298" i="20"/>
  <c r="Z298" i="20"/>
  <c r="AV429" i="20"/>
  <c r="Z429" i="20"/>
  <c r="AV168" i="20"/>
  <c r="Z168" i="20"/>
  <c r="AV167" i="20"/>
  <c r="Z167" i="20"/>
  <c r="AV430" i="20"/>
  <c r="Z430" i="20"/>
  <c r="AV174" i="20"/>
  <c r="Z174" i="20"/>
  <c r="AV391" i="20"/>
  <c r="Z391" i="20"/>
  <c r="CH394" i="20"/>
  <c r="V394" i="20"/>
  <c r="BZ419" i="20"/>
  <c r="EH419" i="20" s="1"/>
  <c r="EJ419" i="20" s="1"/>
  <c r="EP419" i="20" s="1"/>
  <c r="DU419" i="20" s="1"/>
  <c r="V419" i="20"/>
  <c r="AB247" i="20"/>
  <c r="BG247" i="20" s="1"/>
  <c r="BP247" i="20" s="1"/>
  <c r="V247" i="20"/>
  <c r="BZ330" i="20"/>
  <c r="EH330" i="20" s="1"/>
  <c r="V330" i="20"/>
  <c r="CH324" i="20"/>
  <c r="V324" i="20"/>
  <c r="CI333" i="20"/>
  <c r="V333" i="20"/>
  <c r="AT343" i="20"/>
  <c r="V343" i="20"/>
  <c r="AB291" i="20"/>
  <c r="BG291" i="20" s="1"/>
  <c r="BP291" i="20" s="1"/>
  <c r="V291" i="20"/>
  <c r="AB381" i="20"/>
  <c r="BG381" i="20" s="1"/>
  <c r="BP381" i="20" s="1"/>
  <c r="V381" i="20"/>
  <c r="AB453" i="20"/>
  <c r="BG453" i="20" s="1"/>
  <c r="BH453" i="20" s="1"/>
  <c r="V453" i="20"/>
  <c r="CI344" i="20"/>
  <c r="V344" i="20"/>
  <c r="CI294" i="20"/>
  <c r="V294" i="20"/>
  <c r="CI209" i="20"/>
  <c r="V209" i="20"/>
  <c r="BZ392" i="20"/>
  <c r="EH392" i="20" s="1"/>
  <c r="EJ392" i="20" s="1"/>
  <c r="V392" i="20"/>
  <c r="CI316" i="20"/>
  <c r="V316" i="20"/>
  <c r="AT350" i="20"/>
  <c r="V350" i="20"/>
  <c r="AB192" i="20"/>
  <c r="V192" i="20"/>
  <c r="AB262" i="20"/>
  <c r="V262" i="20"/>
  <c r="AB318" i="20"/>
  <c r="BG318" i="20" s="1"/>
  <c r="BP318" i="20" s="1"/>
  <c r="V318" i="20"/>
  <c r="AB268" i="20"/>
  <c r="BG268" i="20" s="1"/>
  <c r="BH268" i="20" s="1"/>
  <c r="V268" i="20"/>
  <c r="AT271" i="20"/>
  <c r="V271" i="20"/>
  <c r="CH290" i="20"/>
  <c r="V290" i="20"/>
  <c r="CH261" i="20"/>
  <c r="V261" i="20"/>
  <c r="CI418" i="20"/>
  <c r="V418" i="20"/>
  <c r="CI288" i="20"/>
  <c r="V288" i="20"/>
  <c r="AB342" i="20"/>
  <c r="V342" i="20"/>
  <c r="AB427" i="20"/>
  <c r="BG427" i="20" s="1"/>
  <c r="BP427" i="20" s="1"/>
  <c r="V427" i="20"/>
  <c r="AB397" i="20"/>
  <c r="BG397" i="20" s="1"/>
  <c r="BH397" i="20" s="1"/>
  <c r="V397" i="20"/>
  <c r="AT435" i="20"/>
  <c r="V435" i="20"/>
  <c r="BZ437" i="20"/>
  <c r="EH437" i="20" s="1"/>
  <c r="V437" i="20"/>
  <c r="BZ351" i="20"/>
  <c r="EH351" i="20" s="1"/>
  <c r="EJ351" i="20" s="1"/>
  <c r="V351" i="20"/>
  <c r="BF281" i="20"/>
  <c r="CU281" i="20" s="1"/>
  <c r="FO281" i="20" s="1"/>
  <c r="BZ395" i="20"/>
  <c r="EH395" i="20" s="1"/>
  <c r="EJ395" i="20" s="1"/>
  <c r="EP395" i="20" s="1"/>
  <c r="DU395" i="20" s="1"/>
  <c r="V395" i="20"/>
  <c r="AB239" i="20"/>
  <c r="BG239" i="20" s="1"/>
  <c r="BH239" i="20" s="1"/>
  <c r="V239" i="20"/>
  <c r="AB439" i="20"/>
  <c r="BG439" i="20" s="1"/>
  <c r="BH439" i="20" s="1"/>
  <c r="V439" i="20"/>
  <c r="AT307" i="20"/>
  <c r="V307" i="20"/>
  <c r="BM202" i="20"/>
  <c r="BZ289" i="20"/>
  <c r="EH289" i="20" s="1"/>
  <c r="EJ289" i="20" s="1"/>
  <c r="EP289" i="20" s="1"/>
  <c r="DU289" i="20" s="1"/>
  <c r="V289" i="20"/>
  <c r="AB232" i="20"/>
  <c r="BG232" i="20" s="1"/>
  <c r="BP232" i="20" s="1"/>
  <c r="V232" i="20"/>
  <c r="AB313" i="20"/>
  <c r="BG313" i="20" s="1"/>
  <c r="BP313" i="20" s="1"/>
  <c r="V313" i="20"/>
  <c r="CH278" i="20"/>
  <c r="V278" i="20"/>
  <c r="CH286" i="20"/>
  <c r="V286" i="20"/>
  <c r="P281" i="20"/>
  <c r="AB362" i="20"/>
  <c r="V362" i="20"/>
  <c r="CI265" i="20"/>
  <c r="V265" i="20"/>
  <c r="AB186" i="20"/>
  <c r="BG186" i="20" s="1"/>
  <c r="BH186" i="20" s="1"/>
  <c r="V186" i="20"/>
  <c r="AT374" i="20"/>
  <c r="V374" i="20"/>
  <c r="AB263" i="20"/>
  <c r="BG263" i="20" s="1"/>
  <c r="BP263" i="20" s="1"/>
  <c r="V263" i="20"/>
  <c r="AB315" i="20"/>
  <c r="BG315" i="20" s="1"/>
  <c r="BH315" i="20" s="1"/>
  <c r="V315" i="20"/>
  <c r="AB432" i="20"/>
  <c r="BG432" i="20" s="1"/>
  <c r="BH432" i="20" s="1"/>
  <c r="V432" i="20"/>
  <c r="CH292" i="20"/>
  <c r="V292" i="20"/>
  <c r="AT369" i="20"/>
  <c r="V369" i="20"/>
  <c r="DQ281" i="20"/>
  <c r="CI329" i="20"/>
  <c r="V329" i="20"/>
  <c r="AT255" i="20"/>
  <c r="V255" i="20"/>
  <c r="CI367" i="20"/>
  <c r="V367" i="20"/>
  <c r="AT212" i="20"/>
  <c r="V212" i="20"/>
  <c r="AB189" i="20"/>
  <c r="BG189" i="20" s="1"/>
  <c r="BP189" i="20" s="1"/>
  <c r="V189" i="20"/>
  <c r="AB196" i="20"/>
  <c r="BG196" i="20" s="1"/>
  <c r="BH196" i="20" s="1"/>
  <c r="V196" i="20"/>
  <c r="AB339" i="20"/>
  <c r="BG339" i="20" s="1"/>
  <c r="BH339" i="20" s="1"/>
  <c r="BK339" i="20" s="1"/>
  <c r="CV339" i="20" s="1"/>
  <c r="V339" i="20"/>
  <c r="AB353" i="20"/>
  <c r="BG353" i="20" s="1"/>
  <c r="V353" i="20"/>
  <c r="AB251" i="20"/>
  <c r="BG251" i="20" s="1"/>
  <c r="BH251" i="20" s="1"/>
  <c r="V251" i="20"/>
  <c r="CH408" i="20"/>
  <c r="V408" i="20"/>
  <c r="BM281" i="20"/>
  <c r="BJ231" i="20"/>
  <c r="EP176" i="20"/>
  <c r="DU176" i="20" s="1"/>
  <c r="CH445" i="20"/>
  <c r="V445" i="20"/>
  <c r="P418" i="20"/>
  <c r="BN418" i="20" s="1"/>
  <c r="CW418" i="20" s="1"/>
  <c r="CH440" i="20"/>
  <c r="V440" i="20"/>
  <c r="AB401" i="20"/>
  <c r="V401" i="20"/>
  <c r="AB337" i="20"/>
  <c r="BG337" i="20" s="1"/>
  <c r="BH337" i="20" s="1"/>
  <c r="V337" i="20"/>
  <c r="AB332" i="20"/>
  <c r="BG332" i="20" s="1"/>
  <c r="BH332" i="20" s="1"/>
  <c r="V332" i="20"/>
  <c r="AT187" i="20"/>
  <c r="V187" i="20"/>
  <c r="AB296" i="20"/>
  <c r="BG296" i="20" s="1"/>
  <c r="BP296" i="20" s="1"/>
  <c r="V296" i="20"/>
  <c r="BZ238" i="20"/>
  <c r="EH238" i="20" s="1"/>
  <c r="EJ238" i="20" s="1"/>
  <c r="EO238" i="20" s="1"/>
  <c r="V238" i="20"/>
  <c r="EP170" i="20"/>
  <c r="DU170" i="20" s="1"/>
  <c r="EL170" i="20" s="1"/>
  <c r="CZ170" i="20" s="1"/>
  <c r="AB326" i="20"/>
  <c r="BG326" i="20" s="1"/>
  <c r="BP326" i="20" s="1"/>
  <c r="V326" i="20"/>
  <c r="AT348" i="20"/>
  <c r="V348" i="20"/>
  <c r="AT279" i="20"/>
  <c r="V279" i="20"/>
  <c r="AB331" i="20"/>
  <c r="V331" i="20"/>
  <c r="BJ281" i="20"/>
  <c r="AB378" i="20"/>
  <c r="V378" i="20"/>
  <c r="CH390" i="20"/>
  <c r="V390" i="20"/>
  <c r="AT372" i="20"/>
  <c r="V372" i="20"/>
  <c r="AT379" i="20"/>
  <c r="V379" i="20"/>
  <c r="AT448" i="20"/>
  <c r="V448" i="20"/>
  <c r="AB266" i="20"/>
  <c r="BG266" i="20" s="1"/>
  <c r="BH266" i="20" s="1"/>
  <c r="V266" i="20"/>
  <c r="CI241" i="20"/>
  <c r="V241" i="20"/>
  <c r="AT276" i="20"/>
  <c r="V276" i="20"/>
  <c r="BZ377" i="20"/>
  <c r="EH377" i="20" s="1"/>
  <c r="EJ377" i="20" s="1"/>
  <c r="V377" i="20"/>
  <c r="CH258" i="20"/>
  <c r="V258" i="20"/>
  <c r="CH234" i="20"/>
  <c r="V234" i="20"/>
  <c r="CH274" i="20"/>
  <c r="V274" i="20"/>
  <c r="CI403" i="20"/>
  <c r="V403" i="20"/>
  <c r="CI259" i="20"/>
  <c r="V259" i="20"/>
  <c r="AT272" i="20"/>
  <c r="V272" i="20"/>
  <c r="AB385" i="20"/>
  <c r="BG385" i="20" s="1"/>
  <c r="BH385" i="20" s="1"/>
  <c r="V385" i="20"/>
  <c r="AT340" i="20"/>
  <c r="V340" i="20"/>
  <c r="AB260" i="20"/>
  <c r="BG260" i="20" s="1"/>
  <c r="BH260" i="20" s="1"/>
  <c r="V260" i="20"/>
  <c r="BZ409" i="20"/>
  <c r="EH409" i="20" s="1"/>
  <c r="EJ409" i="20" s="1"/>
  <c r="EO409" i="20" s="1"/>
  <c r="V409" i="20"/>
  <c r="BZ386" i="20"/>
  <c r="EH386" i="20" s="1"/>
  <c r="EJ386" i="20" s="1"/>
  <c r="EP386" i="20" s="1"/>
  <c r="V386" i="20"/>
  <c r="BZ317" i="20"/>
  <c r="EH317" i="20" s="1"/>
  <c r="EJ317" i="20" s="1"/>
  <c r="V317" i="20"/>
  <c r="AB436" i="20"/>
  <c r="V436" i="20"/>
  <c r="BZ398" i="20"/>
  <c r="EH398" i="20" s="1"/>
  <c r="EJ398" i="20" s="1"/>
  <c r="EP398" i="20" s="1"/>
  <c r="DU398" i="20" s="1"/>
  <c r="V398" i="20"/>
  <c r="AT248" i="20"/>
  <c r="V248" i="20"/>
  <c r="AB283" i="20"/>
  <c r="V283" i="20"/>
  <c r="AB252" i="20"/>
  <c r="V252" i="20"/>
  <c r="AT371" i="20"/>
  <c r="V371" i="20"/>
  <c r="AB393" i="20"/>
  <c r="BG393" i="20" s="1"/>
  <c r="BH393" i="20" s="1"/>
  <c r="V393" i="20"/>
  <c r="CI257" i="20"/>
  <c r="V257" i="20"/>
  <c r="AT433" i="20"/>
  <c r="V433" i="20"/>
  <c r="CI365" i="20"/>
  <c r="V365" i="20"/>
  <c r="BZ424" i="20"/>
  <c r="EH424" i="20" s="1"/>
  <c r="EJ424" i="20" s="1"/>
  <c r="EO424" i="20" s="1"/>
  <c r="V424" i="20"/>
  <c r="EG380" i="20"/>
  <c r="EP380" i="20" s="1"/>
  <c r="DU380" i="20" s="1"/>
  <c r="T380" i="20"/>
  <c r="BZ415" i="20"/>
  <c r="EH415" i="20" s="1"/>
  <c r="V415" i="20"/>
  <c r="AB284" i="20"/>
  <c r="BG284" i="20" s="1"/>
  <c r="BP284" i="20" s="1"/>
  <c r="V284" i="20"/>
  <c r="AB198" i="20"/>
  <c r="BG198" i="20" s="1"/>
  <c r="BH198" i="20" s="1"/>
  <c r="V198" i="20"/>
  <c r="CH210" i="20"/>
  <c r="V210" i="20"/>
  <c r="AB423" i="20"/>
  <c r="BG423" i="20" s="1"/>
  <c r="BH423" i="20" s="1"/>
  <c r="V423" i="20"/>
  <c r="CI275" i="20"/>
  <c r="V275" i="20"/>
  <c r="CI449" i="20"/>
  <c r="V449" i="20"/>
  <c r="BZ320" i="20"/>
  <c r="EH320" i="20" s="1"/>
  <c r="EJ320" i="20" s="1"/>
  <c r="EP320" i="20" s="1"/>
  <c r="V320" i="20"/>
  <c r="AT188" i="20"/>
  <c r="V188" i="20"/>
  <c r="AB402" i="20"/>
  <c r="BG402" i="20" s="1"/>
  <c r="BP402" i="20" s="1"/>
  <c r="V402" i="20"/>
  <c r="AB321" i="20"/>
  <c r="BG321" i="20" s="1"/>
  <c r="BH321" i="20" s="1"/>
  <c r="V321" i="20"/>
  <c r="P231" i="20"/>
  <c r="BN231" i="20" s="1"/>
  <c r="CW231" i="20" s="1"/>
  <c r="AB277" i="20"/>
  <c r="BG277" i="20" s="1"/>
  <c r="BH277" i="20" s="1"/>
  <c r="V277" i="20"/>
  <c r="AB375" i="20"/>
  <c r="V375" i="20"/>
  <c r="EP227" i="20"/>
  <c r="EG396" i="20"/>
  <c r="EP396" i="20" s="1"/>
  <c r="DU396" i="20" s="1"/>
  <c r="T396" i="20"/>
  <c r="CH428" i="20"/>
  <c r="V428" i="20"/>
  <c r="CI228" i="20"/>
  <c r="V228" i="20"/>
  <c r="BZ335" i="20"/>
  <c r="EH335" i="20" s="1"/>
  <c r="V335" i="20"/>
  <c r="CL281" i="20"/>
  <c r="CM281" i="20" s="1"/>
  <c r="DQ231" i="20"/>
  <c r="FB231" i="20" s="1"/>
  <c r="FC231" i="20" s="1"/>
  <c r="FD231" i="20" s="1"/>
  <c r="AT361" i="20"/>
  <c r="V361" i="20"/>
  <c r="BF418" i="20"/>
  <c r="CU418" i="20" s="1"/>
  <c r="FO418" i="20" s="1"/>
  <c r="BF228" i="20"/>
  <c r="CU228" i="20" s="1"/>
  <c r="DC228" i="20" s="1"/>
  <c r="CH345" i="20"/>
  <c r="V345" i="20"/>
  <c r="CI347" i="20"/>
  <c r="V347" i="20"/>
  <c r="AB346" i="20"/>
  <c r="BG346" i="20" s="1"/>
  <c r="BP346" i="20" s="1"/>
  <c r="V346" i="20"/>
  <c r="AT211" i="20"/>
  <c r="V211" i="20"/>
  <c r="AT328" i="20"/>
  <c r="V328" i="20"/>
  <c r="AB334" i="20"/>
  <c r="BG334" i="20" s="1"/>
  <c r="BH334" i="20" s="1"/>
  <c r="V334" i="20"/>
  <c r="AT425" i="20"/>
  <c r="V425" i="20"/>
  <c r="AT194" i="20"/>
  <c r="V194" i="20"/>
  <c r="AB400" i="20"/>
  <c r="BG400" i="20" s="1"/>
  <c r="BP400" i="20" s="1"/>
  <c r="BR400" i="20" s="1"/>
  <c r="V400" i="20"/>
  <c r="AB373" i="20"/>
  <c r="BG373" i="20" s="1"/>
  <c r="BH373" i="20" s="1"/>
  <c r="V373" i="20"/>
  <c r="AB242" i="20"/>
  <c r="BG242" i="20" s="1"/>
  <c r="BH242" i="20" s="1"/>
  <c r="V242" i="20"/>
  <c r="DQ228" i="20"/>
  <c r="FB228" i="20" s="1"/>
  <c r="FC228" i="20" s="1"/>
  <c r="FD228" i="20" s="1"/>
  <c r="AT336" i="20"/>
  <c r="V336" i="20"/>
  <c r="AB200" i="20"/>
  <c r="BG200" i="20" s="1"/>
  <c r="BP200" i="20" s="1"/>
  <c r="V200" i="20"/>
  <c r="AT269" i="20"/>
  <c r="V269" i="20"/>
  <c r="CH282" i="20"/>
  <c r="V282" i="20"/>
  <c r="CI314" i="20"/>
  <c r="V314" i="20"/>
  <c r="CI431" i="20"/>
  <c r="V431" i="20"/>
  <c r="AT323" i="20"/>
  <c r="V323" i="20"/>
  <c r="AB352" i="20"/>
  <c r="V352" i="20"/>
  <c r="AT349" i="20"/>
  <c r="V349" i="20"/>
  <c r="CI338" i="20"/>
  <c r="V338" i="20"/>
  <c r="AB411" i="20"/>
  <c r="BG411" i="20" s="1"/>
  <c r="BH411" i="20" s="1"/>
  <c r="V411" i="20"/>
  <c r="BZ231" i="20"/>
  <c r="EH231" i="20" s="1"/>
  <c r="EJ231" i="20" s="1"/>
  <c r="EP231" i="20" s="1"/>
  <c r="V231" i="20"/>
  <c r="AB245" i="20"/>
  <c r="BG245" i="20" s="1"/>
  <c r="BH245" i="20" s="1"/>
  <c r="V245" i="20"/>
  <c r="AB451" i="20"/>
  <c r="BG451" i="20" s="1"/>
  <c r="BH451" i="20" s="1"/>
  <c r="V451" i="20"/>
  <c r="AB184" i="20"/>
  <c r="BG184" i="20" s="1"/>
  <c r="BH184" i="20" s="1"/>
  <c r="V184" i="20"/>
  <c r="AT273" i="20"/>
  <c r="V273" i="20"/>
  <c r="AB195" i="20"/>
  <c r="V195" i="20"/>
  <c r="AB407" i="20"/>
  <c r="V407" i="20"/>
  <c r="AB363" i="20"/>
  <c r="V363" i="20"/>
  <c r="CI438" i="20"/>
  <c r="V438" i="20"/>
  <c r="BZ422" i="20"/>
  <c r="EH422" i="20" s="1"/>
  <c r="EJ422" i="20" s="1"/>
  <c r="V422" i="20"/>
  <c r="EG193" i="20"/>
  <c r="EP193" i="20" s="1"/>
  <c r="DU193" i="20" s="1"/>
  <c r="T193" i="20"/>
  <c r="AT256" i="20"/>
  <c r="V256" i="20"/>
  <c r="P202" i="20"/>
  <c r="CI356" i="20"/>
  <c r="V356" i="20"/>
  <c r="BZ391" i="20"/>
  <c r="EH391" i="20" s="1"/>
  <c r="EJ391" i="20" s="1"/>
  <c r="V391" i="20"/>
  <c r="AB240" i="20"/>
  <c r="BG240" i="20" s="1"/>
  <c r="BP240" i="20" s="1"/>
  <c r="V240" i="20"/>
  <c r="BJ418" i="20"/>
  <c r="AT250" i="20"/>
  <c r="V250" i="20"/>
  <c r="AB230" i="20"/>
  <c r="V230" i="20"/>
  <c r="DQ202" i="20"/>
  <c r="AT213" i="20"/>
  <c r="V213" i="20"/>
  <c r="CI416" i="20"/>
  <c r="V416" i="20"/>
  <c r="CH319" i="20"/>
  <c r="V319" i="20"/>
  <c r="CI327" i="20"/>
  <c r="V327" i="20"/>
  <c r="CI434" i="20"/>
  <c r="V434" i="20"/>
  <c r="CI450" i="20"/>
  <c r="V450" i="20"/>
  <c r="AB414" i="20"/>
  <c r="BG414" i="20" s="1"/>
  <c r="BH414" i="20" s="1"/>
  <c r="V414" i="20"/>
  <c r="BF202" i="20"/>
  <c r="CU202" i="20" s="1"/>
  <c r="FO202" i="20" s="1"/>
  <c r="BZ405" i="20"/>
  <c r="EH405" i="20" s="1"/>
  <c r="EJ405" i="20" s="1"/>
  <c r="EP405" i="20" s="1"/>
  <c r="DU405" i="20" s="1"/>
  <c r="V405" i="20"/>
  <c r="BZ359" i="20"/>
  <c r="EH359" i="20" s="1"/>
  <c r="EJ359" i="20" s="1"/>
  <c r="EO359" i="20" s="1"/>
  <c r="V359" i="20"/>
  <c r="AB376" i="20"/>
  <c r="BG376" i="20" s="1"/>
  <c r="BH376" i="20" s="1"/>
  <c r="V376" i="20"/>
  <c r="BZ417" i="20"/>
  <c r="EH417" i="20" s="1"/>
  <c r="EJ417" i="20" s="1"/>
  <c r="EO417" i="20" s="1"/>
  <c r="V417" i="20"/>
  <c r="U456" i="20"/>
  <c r="T456" i="20" s="1"/>
  <c r="AT421" i="20"/>
  <c r="V421" i="20"/>
  <c r="BZ455" i="20"/>
  <c r="EH455" i="20" s="1"/>
  <c r="EJ455" i="20" s="1"/>
  <c r="V455" i="20"/>
  <c r="AT447" i="20"/>
  <c r="V447" i="20"/>
  <c r="AB191" i="20"/>
  <c r="BG191" i="20" s="1"/>
  <c r="BH191" i="20" s="1"/>
  <c r="V191" i="20"/>
  <c r="AB199" i="20"/>
  <c r="BG199" i="20" s="1"/>
  <c r="BP199" i="20" s="1"/>
  <c r="BR199" i="20" s="1"/>
  <c r="V199" i="20"/>
  <c r="AB364" i="20"/>
  <c r="BG364" i="20" s="1"/>
  <c r="BH364" i="20" s="1"/>
  <c r="V364" i="20"/>
  <c r="AT366" i="20"/>
  <c r="V366" i="20"/>
  <c r="BZ444" i="20"/>
  <c r="EH444" i="20" s="1"/>
  <c r="EJ444" i="20" s="1"/>
  <c r="EP444" i="20" s="1"/>
  <c r="DU444" i="20" s="1"/>
  <c r="V444" i="20"/>
  <c r="AB354" i="20"/>
  <c r="BG354" i="20" s="1"/>
  <c r="BH354" i="20" s="1"/>
  <c r="V354" i="20"/>
  <c r="AB264" i="20"/>
  <c r="BG264" i="20" s="1"/>
  <c r="BP264" i="20" s="1"/>
  <c r="V264" i="20"/>
  <c r="BJ448" i="20"/>
  <c r="DQ448" i="20"/>
  <c r="FB368" i="20"/>
  <c r="FC368" i="20" s="1"/>
  <c r="FD368" i="20" s="1"/>
  <c r="BF448" i="20"/>
  <c r="CU448" i="20" s="1"/>
  <c r="P263" i="20"/>
  <c r="P247" i="20"/>
  <c r="BF247" i="20"/>
  <c r="CU247" i="20" s="1"/>
  <c r="P368" i="20"/>
  <c r="BF368" i="20"/>
  <c r="CU368" i="20" s="1"/>
  <c r="BJ263" i="20"/>
  <c r="BJ368" i="20"/>
  <c r="BF263" i="20"/>
  <c r="CU263" i="20" s="1"/>
  <c r="DC263" i="20" s="1"/>
  <c r="BH552" i="20"/>
  <c r="BK552" i="20" s="1"/>
  <c r="CV552" i="20" s="1"/>
  <c r="BJ351" i="20"/>
  <c r="FB556" i="20"/>
  <c r="FC556" i="20" s="1"/>
  <c r="FD556" i="20" s="1"/>
  <c r="BF428" i="20"/>
  <c r="CU428" i="20" s="1"/>
  <c r="DI428" i="20" s="1"/>
  <c r="CH193" i="20"/>
  <c r="CJ193" i="20" s="1"/>
  <c r="P194" i="20"/>
  <c r="BN194" i="20" s="1"/>
  <c r="CW194" i="20" s="1"/>
  <c r="DQ413" i="20"/>
  <c r="FB413" i="20" s="1"/>
  <c r="FC413" i="20" s="1"/>
  <c r="FD413" i="20" s="1"/>
  <c r="BJ413" i="20"/>
  <c r="P374" i="20"/>
  <c r="BN374" i="20" s="1"/>
  <c r="CW374" i="20" s="1"/>
  <c r="DQ194" i="20"/>
  <c r="FB194" i="20" s="1"/>
  <c r="FC194" i="20" s="1"/>
  <c r="FD194" i="20" s="1"/>
  <c r="DQ374" i="20"/>
  <c r="FB374" i="20" s="1"/>
  <c r="FC374" i="20" s="1"/>
  <c r="FD374" i="20" s="1"/>
  <c r="BJ428" i="20"/>
  <c r="BJ194" i="20"/>
  <c r="BJ374" i="20"/>
  <c r="DQ428" i="20"/>
  <c r="FB428" i="20" s="1"/>
  <c r="FC428" i="20" s="1"/>
  <c r="FD428" i="20" s="1"/>
  <c r="BF413" i="20"/>
  <c r="CU413" i="20" s="1"/>
  <c r="BM413" i="20"/>
  <c r="P413" i="20"/>
  <c r="BR553" i="20"/>
  <c r="FB442" i="20"/>
  <c r="FC442" i="20" s="1"/>
  <c r="FD442" i="20" s="1"/>
  <c r="FO551" i="20"/>
  <c r="BP558" i="20"/>
  <c r="BR558" i="20" s="1"/>
  <c r="EU554" i="20"/>
  <c r="EX554" i="20" s="1"/>
  <c r="EY554" i="20" s="1"/>
  <c r="BF442" i="20"/>
  <c r="CU442" i="20" s="1"/>
  <c r="DI442" i="20" s="1"/>
  <c r="BF345" i="20"/>
  <c r="CU345" i="20" s="1"/>
  <c r="DI345" i="20" s="1"/>
  <c r="DQ189" i="20"/>
  <c r="FB189" i="20" s="1"/>
  <c r="FC189" i="20" s="1"/>
  <c r="FD189" i="20" s="1"/>
  <c r="BF189" i="20"/>
  <c r="CU189" i="20" s="1"/>
  <c r="FO189" i="20" s="1"/>
  <c r="DQ447" i="20"/>
  <c r="FB447" i="20" s="1"/>
  <c r="FC447" i="20" s="1"/>
  <c r="FD447" i="20" s="1"/>
  <c r="P447" i="20"/>
  <c r="CL377" i="20"/>
  <c r="CM377" i="20" s="1"/>
  <c r="FB364" i="20"/>
  <c r="FC364" i="20" s="1"/>
  <c r="FD364" i="20" s="1"/>
  <c r="DQ255" i="20"/>
  <c r="FB255" i="20" s="1"/>
  <c r="FC255" i="20" s="1"/>
  <c r="FD255" i="20" s="1"/>
  <c r="BJ189" i="20"/>
  <c r="BJ364" i="20"/>
  <c r="DQ377" i="20"/>
  <c r="FB377" i="20" s="1"/>
  <c r="FC377" i="20" s="1"/>
  <c r="FD377" i="20" s="1"/>
  <c r="P255" i="20"/>
  <c r="P377" i="20"/>
  <c r="BF255" i="20"/>
  <c r="CU255" i="20" s="1"/>
  <c r="P398" i="20"/>
  <c r="BN398" i="20" s="1"/>
  <c r="CW398" i="20" s="1"/>
  <c r="BF377" i="20"/>
  <c r="CU377" i="20" s="1"/>
  <c r="BF364" i="20"/>
  <c r="CU364" i="20" s="1"/>
  <c r="DI364" i="20" s="1"/>
  <c r="CJ556" i="20"/>
  <c r="CQ556" i="20" s="1"/>
  <c r="CS556" i="20" s="1"/>
  <c r="CX556" i="20" s="1"/>
  <c r="DQ398" i="20"/>
  <c r="FB398" i="20" s="1"/>
  <c r="FC398" i="20" s="1"/>
  <c r="FD398" i="20" s="1"/>
  <c r="BJ282" i="20"/>
  <c r="BU134" i="20"/>
  <c r="P364" i="20"/>
  <c r="BN364" i="20" s="1"/>
  <c r="CW364" i="20" s="1"/>
  <c r="EB494" i="20"/>
  <c r="DQ282" i="20"/>
  <c r="FB282" i="20" s="1"/>
  <c r="FC282" i="20" s="1"/>
  <c r="FD282" i="20" s="1"/>
  <c r="BJ255" i="20"/>
  <c r="BM189" i="20"/>
  <c r="P189" i="20"/>
  <c r="CL189" i="20"/>
  <c r="CM189" i="20" s="1"/>
  <c r="DV551" i="20"/>
  <c r="DX551" i="20" s="1"/>
  <c r="BF282" i="20"/>
  <c r="CU282" i="20" s="1"/>
  <c r="DI282" i="20" s="1"/>
  <c r="CJ551" i="20"/>
  <c r="CQ551" i="20" s="1"/>
  <c r="CS551" i="20" s="1"/>
  <c r="CX551" i="20" s="1"/>
  <c r="BM447" i="20"/>
  <c r="BJ447" i="20"/>
  <c r="CH553" i="20"/>
  <c r="CJ553" i="20" s="1"/>
  <c r="BF447" i="20"/>
  <c r="CU447" i="20" s="1"/>
  <c r="DC447" i="20" s="1"/>
  <c r="BM377" i="20"/>
  <c r="CL447" i="20"/>
  <c r="CM447" i="20" s="1"/>
  <c r="BJ377" i="20"/>
  <c r="BM255" i="20"/>
  <c r="BJ398" i="20"/>
  <c r="EP553" i="20"/>
  <c r="EZ553" i="20" s="1"/>
  <c r="DQ184" i="20"/>
  <c r="DQ427" i="20"/>
  <c r="BF178" i="20"/>
  <c r="CU178" i="20" s="1"/>
  <c r="P184" i="20"/>
  <c r="P345" i="20"/>
  <c r="BN345" i="20" s="1"/>
  <c r="CW345" i="20" s="1"/>
  <c r="BF427" i="20"/>
  <c r="CU427" i="20" s="1"/>
  <c r="DI427" i="20" s="1"/>
  <c r="P381" i="20"/>
  <c r="BN381" i="20" s="1"/>
  <c r="CW381" i="20" s="1"/>
  <c r="BJ345" i="20"/>
  <c r="BF381" i="20"/>
  <c r="CU381" i="20" s="1"/>
  <c r="DI381" i="20" s="1"/>
  <c r="BJ427" i="20"/>
  <c r="P320" i="20"/>
  <c r="BN320" i="20" s="1"/>
  <c r="CW320" i="20" s="1"/>
  <c r="DQ320" i="20"/>
  <c r="FB320" i="20" s="1"/>
  <c r="FC320" i="20" s="1"/>
  <c r="FD320" i="20" s="1"/>
  <c r="BJ178" i="20"/>
  <c r="BK178" i="20" s="1"/>
  <c r="CV178" i="20" s="1"/>
  <c r="BM178" i="20"/>
  <c r="DQ165" i="20"/>
  <c r="FB165" i="20" s="1"/>
  <c r="FC165" i="20" s="1"/>
  <c r="FD165" i="20" s="1"/>
  <c r="P165" i="20"/>
  <c r="BJ442" i="20"/>
  <c r="P442" i="20"/>
  <c r="BN442" i="20" s="1"/>
  <c r="CW442" i="20" s="1"/>
  <c r="P178" i="20"/>
  <c r="DQ178" i="20"/>
  <c r="DQ365" i="20"/>
  <c r="DQ212" i="20"/>
  <c r="P212" i="20"/>
  <c r="BN212" i="20" s="1"/>
  <c r="CW212" i="20" s="1"/>
  <c r="BM365" i="20"/>
  <c r="BJ212" i="20"/>
  <c r="BJ246" i="20"/>
  <c r="DQ414" i="20"/>
  <c r="BF414" i="20"/>
  <c r="CU414" i="20" s="1"/>
  <c r="CL365" i="20"/>
  <c r="CM365" i="20" s="1"/>
  <c r="BJ184" i="20"/>
  <c r="BJ320" i="20"/>
  <c r="BJ165" i="20"/>
  <c r="BF330" i="20"/>
  <c r="CU330" i="20" s="1"/>
  <c r="DC330" i="20" s="1"/>
  <c r="DQ166" i="20"/>
  <c r="P330" i="20"/>
  <c r="CL330" i="20"/>
  <c r="CM330" i="20" s="1"/>
  <c r="BJ330" i="20"/>
  <c r="BF166" i="20"/>
  <c r="CU166" i="20" s="1"/>
  <c r="FO166" i="20" s="1"/>
  <c r="BJ166" i="20"/>
  <c r="BN166" i="20"/>
  <c r="CW166" i="20" s="1"/>
  <c r="AR429" i="20"/>
  <c r="BM330" i="20"/>
  <c r="DQ330" i="20"/>
  <c r="FB330" i="20" s="1"/>
  <c r="FC330" i="20" s="1"/>
  <c r="FD330" i="20" s="1"/>
  <c r="AO263" i="20"/>
  <c r="CK263" i="20" s="1"/>
  <c r="AO247" i="20"/>
  <c r="CK247" i="20" s="1"/>
  <c r="CL255" i="20"/>
  <c r="CM255" i="20" s="1"/>
  <c r="AO165" i="20"/>
  <c r="CL165" i="20" s="1"/>
  <c r="CM165" i="20" s="1"/>
  <c r="P365" i="20"/>
  <c r="BF365" i="20"/>
  <c r="CU365" i="20" s="1"/>
  <c r="BJ365" i="20"/>
  <c r="BJ414" i="20"/>
  <c r="BJ271" i="20"/>
  <c r="BF306" i="20"/>
  <c r="CU306" i="20" s="1"/>
  <c r="DI306" i="20" s="1"/>
  <c r="ET43" i="20"/>
  <c r="ES43" i="20" s="1"/>
  <c r="FB43" i="20" s="1"/>
  <c r="FC43" i="20" s="1"/>
  <c r="FD43" i="20" s="1"/>
  <c r="AT217" i="20"/>
  <c r="GG202" i="20"/>
  <c r="GI202" i="20" s="1"/>
  <c r="DA202" i="20" s="1"/>
  <c r="DF202" i="20" s="1"/>
  <c r="BG193" i="20"/>
  <c r="BP193" i="20" s="1"/>
  <c r="FB271" i="20"/>
  <c r="FC271" i="20" s="1"/>
  <c r="FD271" i="20" s="1"/>
  <c r="P271" i="20"/>
  <c r="BJ313" i="20"/>
  <c r="P306" i="20"/>
  <c r="BN306" i="20" s="1"/>
  <c r="CW306" i="20" s="1"/>
  <c r="DQ306" i="20"/>
  <c r="FB306" i="20" s="1"/>
  <c r="FC306" i="20" s="1"/>
  <c r="FD306" i="20" s="1"/>
  <c r="DQ319" i="20"/>
  <c r="BJ338" i="20"/>
  <c r="P338" i="20"/>
  <c r="BN338" i="20" s="1"/>
  <c r="CW338" i="20" s="1"/>
  <c r="DQ338" i="20"/>
  <c r="FB338" i="20" s="1"/>
  <c r="FC338" i="20" s="1"/>
  <c r="FD338" i="20" s="1"/>
  <c r="P313" i="20"/>
  <c r="BN313" i="20" s="1"/>
  <c r="CW313" i="20" s="1"/>
  <c r="BF271" i="20"/>
  <c r="CU271" i="20" s="1"/>
  <c r="DC271" i="20" s="1"/>
  <c r="DQ313" i="20"/>
  <c r="FB313" i="20" s="1"/>
  <c r="FC313" i="20" s="1"/>
  <c r="FD313" i="20" s="1"/>
  <c r="BF351" i="20"/>
  <c r="CU351" i="20" s="1"/>
  <c r="DC351" i="20" s="1"/>
  <c r="CK351" i="20"/>
  <c r="CL351" i="20"/>
  <c r="BM351" i="20"/>
  <c r="AO271" i="20"/>
  <c r="CK271" i="20" s="1"/>
  <c r="GG178" i="20"/>
  <c r="GI178" i="20" s="1"/>
  <c r="DA178" i="20" s="1"/>
  <c r="DF178" i="20" s="1"/>
  <c r="AO228" i="20"/>
  <c r="GG228" i="20" s="1"/>
  <c r="GI228" i="20" s="1"/>
  <c r="DA228" i="20" s="1"/>
  <c r="FQ228" i="20" s="1"/>
  <c r="P228" i="20"/>
  <c r="AO174" i="20"/>
  <c r="CL174" i="20" s="1"/>
  <c r="CM174" i="20" s="1"/>
  <c r="CL413" i="20"/>
  <c r="CM413" i="20" s="1"/>
  <c r="AO213" i="20"/>
  <c r="CK213" i="20" s="1"/>
  <c r="FB208" i="20"/>
  <c r="FC208" i="20" s="1"/>
  <c r="FD208" i="20" s="1"/>
  <c r="BR552" i="20"/>
  <c r="BF208" i="20"/>
  <c r="CU208" i="20" s="1"/>
  <c r="DC208" i="20" s="1"/>
  <c r="BF288" i="20"/>
  <c r="CU288" i="20" s="1"/>
  <c r="DI288" i="20" s="1"/>
  <c r="P319" i="20"/>
  <c r="BN319" i="20" s="1"/>
  <c r="CW319" i="20" s="1"/>
  <c r="AO208" i="20"/>
  <c r="CK208" i="20" s="1"/>
  <c r="BJ208" i="20"/>
  <c r="CJ550" i="20"/>
  <c r="CQ550" i="20" s="1"/>
  <c r="CS550" i="20" s="1"/>
  <c r="CX550" i="20" s="1"/>
  <c r="BJ286" i="20"/>
  <c r="P286" i="20"/>
  <c r="BN286" i="20" s="1"/>
  <c r="CW286" i="20" s="1"/>
  <c r="P288" i="20"/>
  <c r="BN288" i="20" s="1"/>
  <c r="CW288" i="20" s="1"/>
  <c r="BF286" i="20"/>
  <c r="CU286" i="20" s="1"/>
  <c r="DI286" i="20" s="1"/>
  <c r="P208" i="20"/>
  <c r="EP552" i="20"/>
  <c r="FB286" i="20"/>
  <c r="FC286" i="20" s="1"/>
  <c r="FD286" i="20" s="1"/>
  <c r="BH489" i="20"/>
  <c r="BJ288" i="20"/>
  <c r="BJ319" i="20"/>
  <c r="FB288" i="20"/>
  <c r="FC288" i="20" s="1"/>
  <c r="FD288" i="20" s="1"/>
  <c r="AY558" i="20"/>
  <c r="AZ558" i="20" s="1"/>
  <c r="CH554" i="20"/>
  <c r="CJ554" i="20" s="1"/>
  <c r="DQ297" i="20"/>
  <c r="FB297" i="20" s="1"/>
  <c r="FC297" i="20" s="1"/>
  <c r="FD297" i="20" s="1"/>
  <c r="CH415" i="20"/>
  <c r="P297" i="20"/>
  <c r="AY556" i="20"/>
  <c r="AZ556" i="20" s="1"/>
  <c r="BC554" i="20"/>
  <c r="EB553" i="20"/>
  <c r="CH558" i="20"/>
  <c r="CJ558" i="20" s="1"/>
  <c r="CQ558" i="20" s="1"/>
  <c r="CS558" i="20" s="1"/>
  <c r="CX558" i="20" s="1"/>
  <c r="BP554" i="20"/>
  <c r="BR554" i="20" s="1"/>
  <c r="BQ556" i="20"/>
  <c r="EB556" i="20"/>
  <c r="BH553" i="20"/>
  <c r="BD553" i="20" s="1"/>
  <c r="BE553" i="20" s="1"/>
  <c r="EU557" i="20"/>
  <c r="EX557" i="20" s="1"/>
  <c r="EY557" i="20" s="1"/>
  <c r="BN551" i="20"/>
  <c r="CW551" i="20" s="1"/>
  <c r="CL553" i="20"/>
  <c r="CM553" i="20" s="1"/>
  <c r="BM553" i="20"/>
  <c r="BN553" i="20" s="1"/>
  <c r="CW553" i="20" s="1"/>
  <c r="CH557" i="20"/>
  <c r="CJ557" i="20" s="1"/>
  <c r="FB553" i="20"/>
  <c r="FC553" i="20" s="1"/>
  <c r="FD553" i="20" s="1"/>
  <c r="EU551" i="20"/>
  <c r="EX551" i="20" s="1"/>
  <c r="EY551" i="20" s="1"/>
  <c r="EZ551" i="20" s="1"/>
  <c r="EU550" i="20"/>
  <c r="EX550" i="20" s="1"/>
  <c r="EY550" i="20" s="1"/>
  <c r="EZ550" i="20" s="1"/>
  <c r="DV556" i="20"/>
  <c r="DV553" i="20"/>
  <c r="AT415" i="20"/>
  <c r="BF297" i="20"/>
  <c r="CU297" i="20" s="1"/>
  <c r="DC297" i="20" s="1"/>
  <c r="BM297" i="20"/>
  <c r="BG162" i="20"/>
  <c r="BP162" i="20" s="1"/>
  <c r="BR162" i="20" s="1"/>
  <c r="AG209" i="20"/>
  <c r="EB209" i="20" s="1"/>
  <c r="GI57" i="20"/>
  <c r="DA57" i="20" s="1"/>
  <c r="FQ57" i="20" s="1"/>
  <c r="GI116" i="20"/>
  <c r="DA116" i="20" s="1"/>
  <c r="DF116" i="20" s="1"/>
  <c r="GI79" i="20"/>
  <c r="DA79" i="20" s="1"/>
  <c r="FQ79" i="20" s="1"/>
  <c r="P339" i="20"/>
  <c r="GG264" i="20"/>
  <c r="GI264" i="20" s="1"/>
  <c r="DA264" i="20" s="1"/>
  <c r="AT264" i="20"/>
  <c r="GI55" i="20"/>
  <c r="DA55" i="20" s="1"/>
  <c r="FQ55" i="20" s="1"/>
  <c r="CI264" i="20"/>
  <c r="BZ264" i="20"/>
  <c r="EH264" i="20" s="1"/>
  <c r="EJ264" i="20" s="1"/>
  <c r="EO264" i="20" s="1"/>
  <c r="BJ408" i="20"/>
  <c r="P408" i="20"/>
  <c r="BN408" i="20" s="1"/>
  <c r="CW408" i="20" s="1"/>
  <c r="AY421" i="21"/>
  <c r="BH421" i="21" s="1"/>
  <c r="FJ60" i="21"/>
  <c r="CW60" i="21"/>
  <c r="EY124" i="21"/>
  <c r="EZ124" i="21"/>
  <c r="GA429" i="21"/>
  <c r="CS429" i="21" s="1"/>
  <c r="DD429" i="21" s="1"/>
  <c r="EG351" i="21"/>
  <c r="EH351" i="21"/>
  <c r="FI221" i="21"/>
  <c r="CX221" i="21"/>
  <c r="EU325" i="21"/>
  <c r="EV325" i="21" s="1"/>
  <c r="AR215" i="21"/>
  <c r="AU215" i="21"/>
  <c r="EH319" i="21"/>
  <c r="EG319" i="21"/>
  <c r="AZ256" i="21"/>
  <c r="BC256" i="21" s="1"/>
  <c r="CN256" i="21" s="1"/>
  <c r="BH338" i="21"/>
  <c r="BH304" i="21"/>
  <c r="AZ304" i="21"/>
  <c r="FI337" i="21"/>
  <c r="DD337" i="21"/>
  <c r="AY287" i="21"/>
  <c r="BH287" i="21"/>
  <c r="BO100" i="21"/>
  <c r="AN66" i="21"/>
  <c r="DI225" i="21"/>
  <c r="BB225" i="21"/>
  <c r="BC225" i="21" s="1"/>
  <c r="CN225" i="21" s="1"/>
  <c r="FH225" i="21" s="1"/>
  <c r="T417" i="21"/>
  <c r="CE403" i="21"/>
  <c r="CE357" i="21"/>
  <c r="Y341" i="21"/>
  <c r="BF249" i="21"/>
  <c r="CO249" i="21" s="1"/>
  <c r="DI203" i="21"/>
  <c r="AL112" i="21"/>
  <c r="CB139" i="21"/>
  <c r="CI139" i="21" s="1"/>
  <c r="CK139" i="21" s="1"/>
  <c r="CP139" i="21" s="1"/>
  <c r="BL110" i="21"/>
  <c r="BN110" i="21" s="1"/>
  <c r="DQ23" i="21"/>
  <c r="M193" i="21"/>
  <c r="BF193" i="21" s="1"/>
  <c r="CO193" i="21" s="1"/>
  <c r="DI193" i="21"/>
  <c r="AX193" i="21"/>
  <c r="CM193" i="21" s="1"/>
  <c r="P193" i="21"/>
  <c r="DT231" i="21"/>
  <c r="BI231" i="21"/>
  <c r="AY397" i="21"/>
  <c r="CB363" i="21"/>
  <c r="CI363" i="21" s="1"/>
  <c r="CK363" i="21" s="1"/>
  <c r="CP363" i="21" s="1"/>
  <c r="FJ81" i="21"/>
  <c r="CI213" i="21"/>
  <c r="CK213" i="21" s="1"/>
  <c r="M224" i="21"/>
  <c r="BF224" i="21" s="1"/>
  <c r="CO224" i="21" s="1"/>
  <c r="DI224" i="21"/>
  <c r="AX142" i="21"/>
  <c r="CM142" i="21" s="1"/>
  <c r="DJ142" i="21"/>
  <c r="EY142" i="21" s="1"/>
  <c r="EZ142" i="21" s="1"/>
  <c r="DY156" i="21"/>
  <c r="BZ156" i="21"/>
  <c r="CB156" i="21" s="1"/>
  <c r="Y65" i="21"/>
  <c r="DT65" i="21" s="1"/>
  <c r="EL65" i="21"/>
  <c r="EK65" i="21" s="1"/>
  <c r="ET65" i="21" s="1"/>
  <c r="EU65" i="21" s="1"/>
  <c r="EV65" i="21" s="1"/>
  <c r="AY436" i="21"/>
  <c r="AL418" i="21"/>
  <c r="BB337" i="21"/>
  <c r="AY338" i="21"/>
  <c r="BF281" i="21"/>
  <c r="CO281" i="21" s="1"/>
  <c r="T294" i="21"/>
  <c r="AY294" i="21" s="1"/>
  <c r="EG244" i="21"/>
  <c r="CI146" i="21"/>
  <c r="CK146" i="21" s="1"/>
  <c r="CP146" i="21" s="1"/>
  <c r="EG97" i="21"/>
  <c r="EH80" i="21"/>
  <c r="CB35" i="21"/>
  <c r="CI35" i="21" s="1"/>
  <c r="EL221" i="21"/>
  <c r="EK221" i="21" s="1"/>
  <c r="Y221" i="21"/>
  <c r="AZ164" i="21"/>
  <c r="FI238" i="21"/>
  <c r="CX238" i="21"/>
  <c r="EB434" i="21"/>
  <c r="EG434" i="21" s="1"/>
  <c r="EB372" i="21"/>
  <c r="EH372" i="21" s="1"/>
  <c r="CE341" i="21"/>
  <c r="AY290" i="21"/>
  <c r="AQ212" i="21"/>
  <c r="AT212" i="21"/>
  <c r="DU212" i="21" s="1"/>
  <c r="M225" i="21"/>
  <c r="CE258" i="21"/>
  <c r="AY143" i="21"/>
  <c r="GA165" i="21"/>
  <c r="CS165" i="21" s="1"/>
  <c r="BL145" i="21"/>
  <c r="BN145" i="21" s="1"/>
  <c r="CI135" i="21"/>
  <c r="CK135" i="21" s="1"/>
  <c r="CP135" i="21" s="1"/>
  <c r="CW135" i="21" s="1"/>
  <c r="CB264" i="21"/>
  <c r="CI264" i="21" s="1"/>
  <c r="CK264" i="21" s="1"/>
  <c r="CP264" i="21" s="1"/>
  <c r="AY161" i="21"/>
  <c r="EG101" i="21"/>
  <c r="CB57" i="21"/>
  <c r="CI57" i="21" s="1"/>
  <c r="CK57" i="21" s="1"/>
  <c r="CP57" i="21" s="1"/>
  <c r="DI194" i="21"/>
  <c r="AX194" i="21"/>
  <c r="CM194" i="21" s="1"/>
  <c r="P194" i="21"/>
  <c r="M194" i="21"/>
  <c r="AU160" i="21"/>
  <c r="M171" i="21"/>
  <c r="BF171" i="21" s="1"/>
  <c r="CO171" i="21" s="1"/>
  <c r="AX171" i="21"/>
  <c r="CM171" i="21" s="1"/>
  <c r="BB145" i="21"/>
  <c r="M180" i="21"/>
  <c r="DI180" i="21"/>
  <c r="AX180" i="21"/>
  <c r="CM180" i="21" s="1"/>
  <c r="CB434" i="21"/>
  <c r="CI434" i="21" s="1"/>
  <c r="CK434" i="21" s="1"/>
  <c r="CP434" i="21" s="1"/>
  <c r="T321" i="21"/>
  <c r="AX225" i="21"/>
  <c r="CM225" i="21" s="1"/>
  <c r="GA197" i="21"/>
  <c r="CS197" i="21" s="1"/>
  <c r="CB239" i="21"/>
  <c r="CI239" i="21" s="1"/>
  <c r="CK239" i="21" s="1"/>
  <c r="CP239" i="21" s="1"/>
  <c r="AJ167" i="21"/>
  <c r="BB130" i="21"/>
  <c r="CB161" i="21"/>
  <c r="CI161" i="21" s="1"/>
  <c r="CK161" i="21" s="1"/>
  <c r="AY170" i="21"/>
  <c r="CB67" i="21"/>
  <c r="CI67" i="21" s="1"/>
  <c r="CK67" i="21" s="1"/>
  <c r="CP67" i="21" s="1"/>
  <c r="ET325" i="21"/>
  <c r="AY342" i="21"/>
  <c r="AZ342" i="21" s="1"/>
  <c r="BC342" i="21" s="1"/>
  <c r="CN342" i="21" s="1"/>
  <c r="BB203" i="21"/>
  <c r="EB357" i="21"/>
  <c r="EH357" i="21" s="1"/>
  <c r="CI101" i="21"/>
  <c r="BJ369" i="21"/>
  <c r="EH69" i="21"/>
  <c r="BM129" i="21"/>
  <c r="BO129" i="21" s="1"/>
  <c r="BP129" i="21" s="1"/>
  <c r="EI129" i="21" s="1"/>
  <c r="EH129" i="21" s="1"/>
  <c r="CI171" i="21"/>
  <c r="CK171" i="21" s="1"/>
  <c r="CP171" i="21" s="1"/>
  <c r="AY81" i="21"/>
  <c r="AZ81" i="21" s="1"/>
  <c r="BC81" i="21" s="1"/>
  <c r="CN81" i="21" s="1"/>
  <c r="Y56" i="21"/>
  <c r="DT56" i="21" s="1"/>
  <c r="EL56" i="21"/>
  <c r="EK56" i="21" s="1"/>
  <c r="Y36" i="21"/>
  <c r="EL36" i="21"/>
  <c r="EK36" i="21" s="1"/>
  <c r="T422" i="21"/>
  <c r="T429" i="21"/>
  <c r="CB238" i="21"/>
  <c r="CI238" i="21" s="1"/>
  <c r="CK238" i="21" s="1"/>
  <c r="CP238" i="21" s="1"/>
  <c r="CB237" i="21"/>
  <c r="CI237" i="21" s="1"/>
  <c r="T202" i="21"/>
  <c r="CB191" i="21"/>
  <c r="CI191" i="21" s="1"/>
  <c r="CK191" i="21" s="1"/>
  <c r="CP191" i="21" s="1"/>
  <c r="AY103" i="21"/>
  <c r="AZ103" i="21" s="1"/>
  <c r="BC103" i="21" s="1"/>
  <c r="CN103" i="21" s="1"/>
  <c r="EE90" i="21"/>
  <c r="BC20" i="21"/>
  <c r="EH79" i="21"/>
  <c r="AY54" i="21"/>
  <c r="CI25" i="21"/>
  <c r="EB444" i="21"/>
  <c r="EH381" i="21"/>
  <c r="AZ338" i="21"/>
  <c r="AL322" i="21"/>
  <c r="BB305" i="21"/>
  <c r="CI156" i="21"/>
  <c r="CK156" i="21" s="1"/>
  <c r="BB131" i="21"/>
  <c r="EU152" i="21"/>
  <c r="EV152" i="21" s="1"/>
  <c r="EL335" i="21"/>
  <c r="EK335" i="21" s="1"/>
  <c r="Y335" i="21"/>
  <c r="CX136" i="21"/>
  <c r="FI136" i="21"/>
  <c r="Y233" i="21"/>
  <c r="EL233" i="21"/>
  <c r="EK233" i="21" s="1"/>
  <c r="AZ412" i="21"/>
  <c r="CB444" i="21"/>
  <c r="CI444" i="21" s="1"/>
  <c r="CK444" i="21" s="1"/>
  <c r="CP444" i="21" s="1"/>
  <c r="T416" i="21"/>
  <c r="AY416" i="21" s="1"/>
  <c r="BH416" i="21" s="1"/>
  <c r="CB372" i="21"/>
  <c r="CI372" i="21" s="1"/>
  <c r="CK372" i="21" s="1"/>
  <c r="CP372" i="21" s="1"/>
  <c r="CB308" i="21"/>
  <c r="CI308" i="21" s="1"/>
  <c r="CK308" i="21" s="1"/>
  <c r="CP308" i="21" s="1"/>
  <c r="AY216" i="21"/>
  <c r="AZ216" i="21" s="1"/>
  <c r="EB248" i="21"/>
  <c r="CB229" i="21"/>
  <c r="CI229" i="21" s="1"/>
  <c r="DA264" i="21"/>
  <c r="AU161" i="21"/>
  <c r="BB189" i="21"/>
  <c r="ET103" i="21"/>
  <c r="EU103" i="21" s="1"/>
  <c r="EV103" i="21" s="1"/>
  <c r="CB183" i="21"/>
  <c r="CI183" i="21" s="1"/>
  <c r="CK183" i="21" s="1"/>
  <c r="CP183" i="21" s="1"/>
  <c r="EY119" i="21"/>
  <c r="BM94" i="21"/>
  <c r="BO94" i="21" s="1"/>
  <c r="Y103" i="21"/>
  <c r="DI242" i="21"/>
  <c r="M242" i="21"/>
  <c r="BF242" i="21" s="1"/>
  <c r="CB93" i="21"/>
  <c r="CI93" i="21" s="1"/>
  <c r="CK93" i="21" s="1"/>
  <c r="CP93" i="21" s="1"/>
  <c r="CB43" i="21"/>
  <c r="CI43" i="21" s="1"/>
  <c r="CK43" i="21" s="1"/>
  <c r="CI48" i="21"/>
  <c r="CK48" i="21" s="1"/>
  <c r="BB180" i="21"/>
  <c r="EL60" i="21"/>
  <c r="EK60" i="21" s="1"/>
  <c r="Y60" i="21"/>
  <c r="DT60" i="21" s="1"/>
  <c r="AY422" i="21"/>
  <c r="BH422" i="21" s="1"/>
  <c r="BB413" i="21"/>
  <c r="BB402" i="21"/>
  <c r="AL423" i="21"/>
  <c r="CE373" i="21"/>
  <c r="CB375" i="21"/>
  <c r="CI375" i="21" s="1"/>
  <c r="T346" i="21"/>
  <c r="AY346" i="21" s="1"/>
  <c r="AZ346" i="21" s="1"/>
  <c r="CB315" i="21"/>
  <c r="AZ277" i="21"/>
  <c r="GA282" i="21"/>
  <c r="CS282" i="21" s="1"/>
  <c r="CI248" i="21"/>
  <c r="EG303" i="21"/>
  <c r="EG247" i="21"/>
  <c r="BO148" i="21"/>
  <c r="ET147" i="21"/>
  <c r="EU147" i="21" s="1"/>
  <c r="EV147" i="21" s="1"/>
  <c r="EH81" i="21"/>
  <c r="EY71" i="21"/>
  <c r="CI42" i="21"/>
  <c r="CK42" i="21" s="1"/>
  <c r="EH156" i="21"/>
  <c r="DM156" i="21" s="1"/>
  <c r="Y268" i="21"/>
  <c r="EL268" i="21"/>
  <c r="EK268" i="21" s="1"/>
  <c r="ET268" i="21" s="1"/>
  <c r="EU268" i="21" s="1"/>
  <c r="EV268" i="21" s="1"/>
  <c r="AX141" i="21"/>
  <c r="CM141" i="21" s="1"/>
  <c r="DJ141" i="21"/>
  <c r="DI241" i="21"/>
  <c r="ET241" i="21" s="1"/>
  <c r="EU241" i="21" s="1"/>
  <c r="EV241" i="21" s="1"/>
  <c r="AX241" i="21"/>
  <c r="CM241" i="21" s="1"/>
  <c r="CB27" i="21"/>
  <c r="CI27" i="21" s="1"/>
  <c r="CB47" i="21"/>
  <c r="CI47" i="21" s="1"/>
  <c r="CI348" i="21"/>
  <c r="CK348" i="21" s="1"/>
  <c r="CP348" i="21" s="1"/>
  <c r="BF339" i="21"/>
  <c r="CO339" i="21" s="1"/>
  <c r="CE306" i="21"/>
  <c r="BB196" i="21"/>
  <c r="AY256" i="21"/>
  <c r="AY152" i="21"/>
  <c r="AZ152" i="21" s="1"/>
  <c r="BM67" i="21"/>
  <c r="AL134" i="21"/>
  <c r="CB159" i="21"/>
  <c r="CI159" i="21" s="1"/>
  <c r="CK159" i="21" s="1"/>
  <c r="AL183" i="21"/>
  <c r="AL124" i="21"/>
  <c r="CB24" i="21"/>
  <c r="BB19" i="21"/>
  <c r="BH369" i="21"/>
  <c r="FG122" i="21"/>
  <c r="DA122" i="21"/>
  <c r="BF28" i="21"/>
  <c r="EL320" i="21"/>
  <c r="EK320" i="21" s="1"/>
  <c r="Y320" i="21"/>
  <c r="CB433" i="21"/>
  <c r="AL410" i="21"/>
  <c r="AY358" i="21"/>
  <c r="BH358" i="21" s="1"/>
  <c r="T379" i="21"/>
  <c r="BH248" i="21"/>
  <c r="BF159" i="21"/>
  <c r="Y428" i="21"/>
  <c r="EL428" i="21"/>
  <c r="EK428" i="21" s="1"/>
  <c r="ET156" i="21"/>
  <c r="EU156" i="21" s="1"/>
  <c r="EV156" i="21" s="1"/>
  <c r="DT389" i="21"/>
  <c r="BI389" i="21"/>
  <c r="BJ389" i="21" s="1"/>
  <c r="BO50" i="21"/>
  <c r="BP50" i="21" s="1"/>
  <c r="EI50" i="21" s="1"/>
  <c r="BF394" i="21"/>
  <c r="CO394" i="21" s="1"/>
  <c r="BC348" i="21"/>
  <c r="CN348" i="21" s="1"/>
  <c r="BJ156" i="21"/>
  <c r="BH188" i="21"/>
  <c r="EE105" i="21"/>
  <c r="EB103" i="21"/>
  <c r="AY66" i="21"/>
  <c r="BH430" i="21"/>
  <c r="DT351" i="21"/>
  <c r="BI351" i="21"/>
  <c r="AX213" i="21"/>
  <c r="M213" i="21"/>
  <c r="BF213" i="21" s="1"/>
  <c r="EL119" i="21"/>
  <c r="EK119" i="21" s="1"/>
  <c r="ET119" i="21" s="1"/>
  <c r="EU119" i="21" s="1"/>
  <c r="EV119" i="21" s="1"/>
  <c r="Y119" i="21"/>
  <c r="DT119" i="21" s="1"/>
  <c r="AY378" i="21"/>
  <c r="AZ407" i="21"/>
  <c r="CH317" i="21"/>
  <c r="CI341" i="21"/>
  <c r="CE257" i="21"/>
  <c r="BF180" i="21"/>
  <c r="CO180" i="21" s="1"/>
  <c r="AY160" i="21"/>
  <c r="BH160" i="21" s="1"/>
  <c r="AU158" i="21"/>
  <c r="AY142" i="21"/>
  <c r="AM151" i="21"/>
  <c r="EG237" i="21"/>
  <c r="BO55" i="21"/>
  <c r="BL79" i="21"/>
  <c r="BN79" i="21" s="1"/>
  <c r="BM57" i="21"/>
  <c r="BO37" i="21"/>
  <c r="AX183" i="21"/>
  <c r="CM183" i="21" s="1"/>
  <c r="M183" i="21"/>
  <c r="BF183" i="21" s="1"/>
  <c r="CO183" i="21" s="1"/>
  <c r="DI183" i="21"/>
  <c r="BB424" i="21"/>
  <c r="BC424" i="21" s="1"/>
  <c r="CN424" i="21" s="1"/>
  <c r="EB424" i="21"/>
  <c r="BB366" i="21"/>
  <c r="AY351" i="21"/>
  <c r="AZ351" i="21" s="1"/>
  <c r="FY367" i="21"/>
  <c r="GA367" i="21" s="1"/>
  <c r="CS367" i="21" s="1"/>
  <c r="AL321" i="21"/>
  <c r="EH285" i="21"/>
  <c r="CE274" i="21"/>
  <c r="CI274" i="21" s="1"/>
  <c r="CK274" i="21" s="1"/>
  <c r="CP274" i="21" s="1"/>
  <c r="GA209" i="21"/>
  <c r="CS209" i="21" s="1"/>
  <c r="EM157" i="21"/>
  <c r="EP157" i="21" s="1"/>
  <c r="EQ157" i="21" s="1"/>
  <c r="BF194" i="21"/>
  <c r="CO194" i="21" s="1"/>
  <c r="EH197" i="21"/>
  <c r="BR105" i="21"/>
  <c r="DZ105" i="21" s="1"/>
  <c r="EB105" i="21" s="1"/>
  <c r="AY141" i="21"/>
  <c r="CB179" i="21"/>
  <c r="CI179" i="21" s="1"/>
  <c r="BF103" i="21"/>
  <c r="BB152" i="21"/>
  <c r="BB132" i="21"/>
  <c r="AY52" i="21"/>
  <c r="CB152" i="21"/>
  <c r="CI152" i="21" s="1"/>
  <c r="AY101" i="21"/>
  <c r="EH87" i="21"/>
  <c r="EH57" i="21"/>
  <c r="CI46" i="21"/>
  <c r="CK46" i="21" s="1"/>
  <c r="AY372" i="21"/>
  <c r="AZ372" i="21" s="1"/>
  <c r="BC372" i="21" s="1"/>
  <c r="CN372" i="21" s="1"/>
  <c r="CW114" i="21"/>
  <c r="FJ114" i="21"/>
  <c r="CU72" i="21"/>
  <c r="FG72" i="21"/>
  <c r="EY121" i="21"/>
  <c r="BB238" i="21"/>
  <c r="FY445" i="21"/>
  <c r="GA445" i="21" s="1"/>
  <c r="CS445" i="21" s="1"/>
  <c r="DD445" i="21" s="1"/>
  <c r="CK166" i="21"/>
  <c r="CP166" i="21" s="1"/>
  <c r="CK180" i="21"/>
  <c r="CP180" i="21" s="1"/>
  <c r="DC180" i="21" s="1"/>
  <c r="CK217" i="21"/>
  <c r="CK184" i="21"/>
  <c r="CP184" i="21" s="1"/>
  <c r="CI103" i="21"/>
  <c r="CK103" i="21" s="1"/>
  <c r="M210" i="21"/>
  <c r="BF210" i="21" s="1"/>
  <c r="CO210" i="21" s="1"/>
  <c r="AX210" i="21"/>
  <c r="CM210" i="21" s="1"/>
  <c r="P210" i="21"/>
  <c r="EL234" i="21"/>
  <c r="EK234" i="21" s="1"/>
  <c r="Y234" i="21"/>
  <c r="CB56" i="21"/>
  <c r="CI56" i="21" s="1"/>
  <c r="CK56" i="21" s="1"/>
  <c r="CP56" i="21" s="1"/>
  <c r="DJ144" i="21"/>
  <c r="AX144" i="21"/>
  <c r="CM144" i="21" s="1"/>
  <c r="BH319" i="21"/>
  <c r="AZ166" i="21"/>
  <c r="BC166" i="21" s="1"/>
  <c r="CN166" i="21" s="1"/>
  <c r="FH166" i="21" s="1"/>
  <c r="AY297" i="21"/>
  <c r="BH297" i="21" s="1"/>
  <c r="DT300" i="21"/>
  <c r="BI300" i="21"/>
  <c r="AL143" i="21"/>
  <c r="AM143" i="21"/>
  <c r="Y237" i="21"/>
  <c r="EL237" i="21"/>
  <c r="EK237" i="21" s="1"/>
  <c r="BI329" i="21"/>
  <c r="DT329" i="21"/>
  <c r="AM108" i="21"/>
  <c r="AL108" i="21"/>
  <c r="FY449" i="21"/>
  <c r="GA449" i="21" s="1"/>
  <c r="CS449" i="21" s="1"/>
  <c r="DD449" i="21" s="1"/>
  <c r="AY406" i="21"/>
  <c r="AZ406" i="21" s="1"/>
  <c r="BC406" i="21" s="1"/>
  <c r="CN406" i="21" s="1"/>
  <c r="BI398" i="21"/>
  <c r="BH340" i="21"/>
  <c r="BB296" i="21"/>
  <c r="BB293" i="21"/>
  <c r="EU308" i="21"/>
  <c r="EV308" i="21" s="1"/>
  <c r="CB234" i="21"/>
  <c r="CI234" i="21" s="1"/>
  <c r="BB212" i="21"/>
  <c r="AZ205" i="21"/>
  <c r="CB185" i="21"/>
  <c r="CI185" i="21" s="1"/>
  <c r="Y152" i="21"/>
  <c r="EH228" i="21"/>
  <c r="DM228" i="21" s="1"/>
  <c r="BC268" i="21"/>
  <c r="CN268" i="21" s="1"/>
  <c r="CV268" i="21" s="1"/>
  <c r="BL91" i="21"/>
  <c r="BN91" i="21" s="1"/>
  <c r="BB166" i="21"/>
  <c r="GA125" i="21"/>
  <c r="CS125" i="21" s="1"/>
  <c r="FG118" i="21"/>
  <c r="EU104" i="21"/>
  <c r="EV104" i="21" s="1"/>
  <c r="BL23" i="21"/>
  <c r="BN23" i="21" s="1"/>
  <c r="EY143" i="21"/>
  <c r="EZ143" i="21" s="1"/>
  <c r="Y385" i="21"/>
  <c r="EL385" i="21"/>
  <c r="EK385" i="21" s="1"/>
  <c r="BB183" i="21"/>
  <c r="DP19" i="21"/>
  <c r="DO19" i="21"/>
  <c r="AZ424" i="21"/>
  <c r="CB436" i="21"/>
  <c r="CI436" i="21" s="1"/>
  <c r="CE449" i="21"/>
  <c r="CE440" i="21"/>
  <c r="AY381" i="21"/>
  <c r="EH370" i="21"/>
  <c r="CK304" i="21"/>
  <c r="CP304" i="21" s="1"/>
  <c r="EB323" i="21"/>
  <c r="EG323" i="21" s="1"/>
  <c r="AY147" i="21"/>
  <c r="AL96" i="21"/>
  <c r="AY149" i="21"/>
  <c r="AZ149" i="21" s="1"/>
  <c r="AL137" i="21"/>
  <c r="BF191" i="21"/>
  <c r="CO191" i="21" s="1"/>
  <c r="M166" i="21"/>
  <c r="GA151" i="21"/>
  <c r="CS151" i="21" s="1"/>
  <c r="AY116" i="21"/>
  <c r="CS94" i="21"/>
  <c r="AY86" i="21"/>
  <c r="AX124" i="21"/>
  <c r="CM124" i="21" s="1"/>
  <c r="Y426" i="21"/>
  <c r="EL426" i="21"/>
  <c r="EK426" i="21" s="1"/>
  <c r="AJ199" i="21"/>
  <c r="EG226" i="21"/>
  <c r="AX217" i="21"/>
  <c r="M217" i="21"/>
  <c r="BF217" i="21" s="1"/>
  <c r="GA134" i="21"/>
  <c r="CS134" i="21" s="1"/>
  <c r="BI254" i="21"/>
  <c r="DT254" i="21"/>
  <c r="AY410" i="21"/>
  <c r="FY384" i="21"/>
  <c r="GA384" i="21" s="1"/>
  <c r="CS384" i="21" s="1"/>
  <c r="CB401" i="21"/>
  <c r="CI401" i="21" s="1"/>
  <c r="CK401" i="21" s="1"/>
  <c r="CP401" i="21" s="1"/>
  <c r="BJ300" i="21"/>
  <c r="EH275" i="21"/>
  <c r="CB240" i="21"/>
  <c r="CI240" i="21" s="1"/>
  <c r="CB323" i="21"/>
  <c r="CI323" i="21" s="1"/>
  <c r="CK323" i="21" s="1"/>
  <c r="CP323" i="21" s="1"/>
  <c r="DC323" i="21" s="1"/>
  <c r="EG313" i="21"/>
  <c r="GA185" i="21"/>
  <c r="CS185" i="21" s="1"/>
  <c r="CB151" i="21"/>
  <c r="CI151" i="21" s="1"/>
  <c r="BL147" i="21"/>
  <c r="BN147" i="21" s="1"/>
  <c r="AL265" i="21"/>
  <c r="AL149" i="21"/>
  <c r="AX166" i="21"/>
  <c r="CM166" i="21" s="1"/>
  <c r="CB173" i="21"/>
  <c r="CI173" i="21" s="1"/>
  <c r="CB138" i="21"/>
  <c r="CI138" i="21" s="1"/>
  <c r="CK138" i="21" s="1"/>
  <c r="CP138" i="21" s="1"/>
  <c r="AL109" i="21"/>
  <c r="BB40" i="21"/>
  <c r="CI50" i="21"/>
  <c r="AY79" i="21"/>
  <c r="BH228" i="21"/>
  <c r="Y256" i="21"/>
  <c r="EL256" i="21"/>
  <c r="EK256" i="21" s="1"/>
  <c r="ET256" i="21" s="1"/>
  <c r="EU256" i="21" s="1"/>
  <c r="EV256" i="21" s="1"/>
  <c r="AY164" i="21"/>
  <c r="BH164" i="21" s="1"/>
  <c r="DT414" i="21"/>
  <c r="BI414" i="21"/>
  <c r="BB382" i="21"/>
  <c r="T298" i="21"/>
  <c r="AY298" i="21" s="1"/>
  <c r="CI360" i="21"/>
  <c r="CK360" i="21" s="1"/>
  <c r="CP360" i="21" s="1"/>
  <c r="GA199" i="21"/>
  <c r="CS199" i="21" s="1"/>
  <c r="BH199" i="21"/>
  <c r="BJ199" i="21" s="1"/>
  <c r="BL117" i="21"/>
  <c r="BN117" i="21" s="1"/>
  <c r="AL142" i="21"/>
  <c r="BB224" i="21"/>
  <c r="EH229" i="21"/>
  <c r="BM137" i="21"/>
  <c r="BO137" i="21" s="1"/>
  <c r="BP137" i="21" s="1"/>
  <c r="EI137" i="21" s="1"/>
  <c r="EH137" i="21" s="1"/>
  <c r="AY151" i="21"/>
  <c r="EU121" i="21"/>
  <c r="EV121" i="21" s="1"/>
  <c r="AY110" i="21"/>
  <c r="CI32" i="21"/>
  <c r="AM105" i="21"/>
  <c r="BB35" i="21"/>
  <c r="BC35" i="21" s="1"/>
  <c r="EH56" i="21"/>
  <c r="DM56" i="21" s="1"/>
  <c r="BI230" i="21"/>
  <c r="DT195" i="21"/>
  <c r="BI195" i="21"/>
  <c r="M199" i="21"/>
  <c r="BF199" i="21" s="1"/>
  <c r="CO199" i="21" s="1"/>
  <c r="DI199" i="21"/>
  <c r="AX199" i="21"/>
  <c r="CM199" i="21" s="1"/>
  <c r="P199" i="21"/>
  <c r="EL61" i="21"/>
  <c r="EK61" i="21" s="1"/>
  <c r="EY61" i="21" s="1"/>
  <c r="EZ61" i="21" s="1"/>
  <c r="Y61" i="21"/>
  <c r="DT61" i="21" s="1"/>
  <c r="AL107" i="21"/>
  <c r="AQ107" i="21" s="1"/>
  <c r="AM107" i="21"/>
  <c r="BI225" i="21"/>
  <c r="BJ225" i="21" s="1"/>
  <c r="DT225" i="21"/>
  <c r="AL170" i="21"/>
  <c r="DJ123" i="21"/>
  <c r="EY123" i="21" s="1"/>
  <c r="EZ123" i="21" s="1"/>
  <c r="AX123" i="21"/>
  <c r="CM123" i="21" s="1"/>
  <c r="CE444" i="21"/>
  <c r="Y441" i="21"/>
  <c r="BF344" i="21"/>
  <c r="CO344" i="21" s="1"/>
  <c r="BH293" i="21"/>
  <c r="CE286" i="21"/>
  <c r="CI286" i="21" s="1"/>
  <c r="CK286" i="21" s="1"/>
  <c r="CP286" i="21" s="1"/>
  <c r="Y309" i="21"/>
  <c r="GA265" i="21"/>
  <c r="CS265" i="21" s="1"/>
  <c r="FI265" i="21" s="1"/>
  <c r="CB243" i="21"/>
  <c r="CI243" i="21" s="1"/>
  <c r="CK243" i="21" s="1"/>
  <c r="CP243" i="21" s="1"/>
  <c r="AY309" i="21"/>
  <c r="AZ309" i="21" s="1"/>
  <c r="CB150" i="21"/>
  <c r="AM150" i="21"/>
  <c r="P203" i="21"/>
  <c r="CI118" i="21"/>
  <c r="CK118" i="21" s="1"/>
  <c r="CP118" i="21" s="1"/>
  <c r="AL62" i="21"/>
  <c r="BL88" i="21"/>
  <c r="EH88" i="21"/>
  <c r="BL53" i="21"/>
  <c r="BN53" i="21" s="1"/>
  <c r="BB24" i="21"/>
  <c r="BI372" i="21"/>
  <c r="DT372" i="21"/>
  <c r="CB223" i="21"/>
  <c r="CI223" i="21" s="1"/>
  <c r="BB241" i="21"/>
  <c r="EL334" i="21"/>
  <c r="EK334" i="21" s="1"/>
  <c r="ET334" i="21" s="1"/>
  <c r="EU334" i="21" s="1"/>
  <c r="EV334" i="21" s="1"/>
  <c r="Y334" i="21"/>
  <c r="DJ134" i="21"/>
  <c r="EY134" i="21" s="1"/>
  <c r="EZ134" i="21" s="1"/>
  <c r="AX134" i="21"/>
  <c r="CM134" i="21" s="1"/>
  <c r="BO56" i="21"/>
  <c r="BP56" i="21" s="1"/>
  <c r="EI56" i="21" s="1"/>
  <c r="BI205" i="21"/>
  <c r="BJ205" i="21" s="1"/>
  <c r="AL138" i="21"/>
  <c r="EL118" i="21"/>
  <c r="EK118" i="21" s="1"/>
  <c r="Y118" i="21"/>
  <c r="DT118" i="21" s="1"/>
  <c r="BB375" i="21"/>
  <c r="CB349" i="21"/>
  <c r="CI349" i="21" s="1"/>
  <c r="CB333" i="21"/>
  <c r="CI333" i="21" s="1"/>
  <c r="BF312" i="21"/>
  <c r="CO312" i="21" s="1"/>
  <c r="EH375" i="21"/>
  <c r="CB280" i="21"/>
  <c r="CI280" i="21" s="1"/>
  <c r="AL287" i="21"/>
  <c r="EG250" i="21"/>
  <c r="EH271" i="21"/>
  <c r="AY265" i="21"/>
  <c r="BH265" i="21" s="1"/>
  <c r="AY244" i="21"/>
  <c r="BF266" i="21"/>
  <c r="CO266" i="21" s="1"/>
  <c r="BI160" i="21"/>
  <c r="BJ160" i="21" s="1"/>
  <c r="EY149" i="21"/>
  <c r="EZ149" i="21" s="1"/>
  <c r="BP141" i="21"/>
  <c r="EI141" i="21" s="1"/>
  <c r="EH141" i="21" s="1"/>
  <c r="EZ121" i="21"/>
  <c r="BB126" i="21"/>
  <c r="AL89" i="21"/>
  <c r="CB26" i="21"/>
  <c r="CI26" i="21" s="1"/>
  <c r="BB33" i="21"/>
  <c r="AZ130" i="21"/>
  <c r="CB278" i="21"/>
  <c r="BO77" i="21"/>
  <c r="BP77" i="21" s="1"/>
  <c r="EI77" i="21" s="1"/>
  <c r="Y96" i="21"/>
  <c r="DT96" i="21" s="1"/>
  <c r="EL96" i="21"/>
  <c r="EK96" i="21" s="1"/>
  <c r="EY96" i="21" s="1"/>
  <c r="EZ96" i="21" s="1"/>
  <c r="CW55" i="21"/>
  <c r="FJ55" i="21"/>
  <c r="CA106" i="21"/>
  <c r="BZ106" i="21"/>
  <c r="CB106" i="21" s="1"/>
  <c r="CI106" i="21" s="1"/>
  <c r="CK106" i="21" s="1"/>
  <c r="CX123" i="21"/>
  <c r="FI123" i="21"/>
  <c r="BJ342" i="20"/>
  <c r="P250" i="20"/>
  <c r="BN250" i="20" s="1"/>
  <c r="CW250" i="20" s="1"/>
  <c r="BJ221" i="20"/>
  <c r="CJ129" i="20"/>
  <c r="GI159" i="20"/>
  <c r="AG150" i="20"/>
  <c r="EB150" i="20" s="1"/>
  <c r="GI158" i="20"/>
  <c r="BZ370" i="20"/>
  <c r="EH370" i="20" s="1"/>
  <c r="EJ370" i="20" s="1"/>
  <c r="EO370" i="20" s="1"/>
  <c r="CI370" i="20"/>
  <c r="DF556" i="20"/>
  <c r="FQ556" i="20"/>
  <c r="DF550" i="20"/>
  <c r="FQ550" i="20"/>
  <c r="DU556" i="20"/>
  <c r="FA556" i="20"/>
  <c r="EZ556" i="20"/>
  <c r="BD557" i="20"/>
  <c r="BE557" i="20" s="1"/>
  <c r="BK557" i="20"/>
  <c r="CV557" i="20" s="1"/>
  <c r="BC555" i="20"/>
  <c r="AZ555" i="20"/>
  <c r="FQ551" i="20"/>
  <c r="DF551" i="20"/>
  <c r="EB550" i="20"/>
  <c r="BQ550" i="20"/>
  <c r="FB554" i="20"/>
  <c r="FC554" i="20" s="1"/>
  <c r="FD554" i="20" s="1"/>
  <c r="DV555" i="20"/>
  <c r="AZ553" i="20"/>
  <c r="BC553" i="20"/>
  <c r="DV552" i="20"/>
  <c r="EU552" i="20"/>
  <c r="EX552" i="20" s="1"/>
  <c r="EY552" i="20" s="1"/>
  <c r="EZ552" i="20" s="1"/>
  <c r="GG554" i="20"/>
  <c r="GI554" i="20" s="1"/>
  <c r="DA554" i="20" s="1"/>
  <c r="CL554" i="20"/>
  <c r="CM554" i="20" s="1"/>
  <c r="BM554" i="20"/>
  <c r="BN554" i="20" s="1"/>
  <c r="CW554" i="20" s="1"/>
  <c r="BC550" i="20"/>
  <c r="AZ550" i="20"/>
  <c r="DC554" i="20"/>
  <c r="FO554" i="20"/>
  <c r="GG552" i="20"/>
  <c r="GI552" i="20" s="1"/>
  <c r="DA552" i="20" s="1"/>
  <c r="CL552" i="20"/>
  <c r="CM552" i="20" s="1"/>
  <c r="BM552" i="20"/>
  <c r="BN552" i="20" s="1"/>
  <c r="CW552" i="20" s="1"/>
  <c r="EP554" i="20"/>
  <c r="BH556" i="20"/>
  <c r="BP556" i="20"/>
  <c r="DU552" i="20"/>
  <c r="DW551" i="20"/>
  <c r="EL551" i="20"/>
  <c r="CZ551" i="20" s="1"/>
  <c r="FB552" i="20"/>
  <c r="FC552" i="20" s="1"/>
  <c r="FD552" i="20" s="1"/>
  <c r="FO557" i="20"/>
  <c r="DC557" i="20"/>
  <c r="CL557" i="20"/>
  <c r="CM557" i="20" s="1"/>
  <c r="GG557" i="20"/>
  <c r="GI557" i="20" s="1"/>
  <c r="DA557" i="20" s="1"/>
  <c r="BM557" i="20"/>
  <c r="BN557" i="20" s="1"/>
  <c r="CW557" i="20" s="1"/>
  <c r="FO552" i="20"/>
  <c r="DC552" i="20"/>
  <c r="EP555" i="20"/>
  <c r="DV550" i="20"/>
  <c r="BD552" i="20"/>
  <c r="BE552" i="20" s="1"/>
  <c r="BP555" i="20"/>
  <c r="BH555" i="20"/>
  <c r="DL558" i="20"/>
  <c r="FQ558" i="20"/>
  <c r="EB557" i="20"/>
  <c r="BQ557" i="20"/>
  <c r="BR557" i="20" s="1"/>
  <c r="BQ555" i="20"/>
  <c r="EB555" i="20"/>
  <c r="DC555" i="20"/>
  <c r="FO555" i="20"/>
  <c r="DF553" i="20"/>
  <c r="FQ553" i="20"/>
  <c r="EU555" i="20"/>
  <c r="EX555" i="20" s="1"/>
  <c r="EY555" i="20" s="1"/>
  <c r="FB555" i="20"/>
  <c r="FC555" i="20" s="1"/>
  <c r="FD555" i="20" s="1"/>
  <c r="BD554" i="20"/>
  <c r="BE554" i="20" s="1"/>
  <c r="BK554" i="20"/>
  <c r="CV554" i="20" s="1"/>
  <c r="FB550" i="20"/>
  <c r="FC550" i="20" s="1"/>
  <c r="FD550" i="20" s="1"/>
  <c r="CL555" i="20"/>
  <c r="CM555" i="20" s="1"/>
  <c r="BM555" i="20"/>
  <c r="BN555" i="20" s="1"/>
  <c r="CW555" i="20" s="1"/>
  <c r="GG555" i="20"/>
  <c r="GI555" i="20" s="1"/>
  <c r="DA555" i="20" s="1"/>
  <c r="FB558" i="20"/>
  <c r="FC558" i="20" s="1"/>
  <c r="FD558" i="20" s="1"/>
  <c r="AZ557" i="20"/>
  <c r="BC557" i="20"/>
  <c r="FB551" i="20"/>
  <c r="FC551" i="20" s="1"/>
  <c r="FD551" i="20" s="1"/>
  <c r="FO558" i="20"/>
  <c r="DI558" i="20"/>
  <c r="BD551" i="20"/>
  <c r="BE551" i="20" s="1"/>
  <c r="BK551" i="20"/>
  <c r="CV551" i="20" s="1"/>
  <c r="CH552" i="20"/>
  <c r="CJ552" i="20" s="1"/>
  <c r="EP558" i="20"/>
  <c r="BG550" i="20"/>
  <c r="BH550" i="20" s="1"/>
  <c r="BC552" i="20"/>
  <c r="AZ552" i="20"/>
  <c r="FA550" i="20"/>
  <c r="DU550" i="20"/>
  <c r="DV557" i="20"/>
  <c r="FB557" i="20"/>
  <c r="FC557" i="20" s="1"/>
  <c r="FD557" i="20" s="1"/>
  <c r="BC551" i="20"/>
  <c r="BK558" i="20"/>
  <c r="CV558" i="20" s="1"/>
  <c r="BD558" i="20"/>
  <c r="BE558" i="20" s="1"/>
  <c r="BQ551" i="20"/>
  <c r="BR551" i="20" s="1"/>
  <c r="EB551" i="20"/>
  <c r="EP557" i="20"/>
  <c r="CH555" i="20"/>
  <c r="CJ555" i="20" s="1"/>
  <c r="AB316" i="20"/>
  <c r="BG316" i="20" s="1"/>
  <c r="BH316" i="20" s="1"/>
  <c r="BZ316" i="20"/>
  <c r="EH316" i="20" s="1"/>
  <c r="EJ316" i="20" s="1"/>
  <c r="AT316" i="20"/>
  <c r="AG119" i="20"/>
  <c r="EB119" i="20" s="1"/>
  <c r="CH316" i="20"/>
  <c r="BN414" i="20"/>
  <c r="CW414" i="20" s="1"/>
  <c r="AT144" i="20"/>
  <c r="BG167" i="20"/>
  <c r="BH167" i="20" s="1"/>
  <c r="BK167" i="20" s="1"/>
  <c r="CV167" i="20" s="1"/>
  <c r="BZ261" i="20"/>
  <c r="EH261" i="20" s="1"/>
  <c r="EJ261" i="20" s="1"/>
  <c r="AG375" i="20"/>
  <c r="EB375" i="20" s="1"/>
  <c r="FG146" i="20"/>
  <c r="BF146" i="20"/>
  <c r="CU146" i="20" s="1"/>
  <c r="FO146" i="20" s="1"/>
  <c r="AG88" i="20"/>
  <c r="EB88" i="20" s="1"/>
  <c r="AG369" i="20"/>
  <c r="BQ369" i="20" s="1"/>
  <c r="BH472" i="20"/>
  <c r="BK472" i="20" s="1"/>
  <c r="AG358" i="20"/>
  <c r="BQ358" i="20" s="1"/>
  <c r="BK497" i="20"/>
  <c r="P342" i="20"/>
  <c r="AT261" i="20"/>
  <c r="EC497" i="20"/>
  <c r="EU497" i="20" s="1"/>
  <c r="EX497" i="20" s="1"/>
  <c r="EY497" i="20" s="1"/>
  <c r="DV497" i="20" s="1"/>
  <c r="DX497" i="20" s="1"/>
  <c r="AB445" i="20"/>
  <c r="BG445" i="20" s="1"/>
  <c r="AB261" i="20"/>
  <c r="BG261" i="20" s="1"/>
  <c r="BP261" i="20" s="1"/>
  <c r="CM417" i="20"/>
  <c r="ET154" i="20"/>
  <c r="ES154" i="20" s="1"/>
  <c r="EU154" i="20" s="1"/>
  <c r="EX154" i="20" s="1"/>
  <c r="EY154" i="20" s="1"/>
  <c r="BQ211" i="20"/>
  <c r="CI261" i="20"/>
  <c r="GG163" i="20"/>
  <c r="GI163" i="20" s="1"/>
  <c r="CI445" i="20"/>
  <c r="P200" i="20"/>
  <c r="BN200" i="20" s="1"/>
  <c r="CW200" i="20" s="1"/>
  <c r="DQ200" i="20"/>
  <c r="FB200" i="20" s="1"/>
  <c r="FC200" i="20" s="1"/>
  <c r="FD200" i="20" s="1"/>
  <c r="CI326" i="20"/>
  <c r="BJ136" i="20"/>
  <c r="BJ234" i="20"/>
  <c r="BJ186" i="20"/>
  <c r="BJ191" i="20"/>
  <c r="BF186" i="20"/>
  <c r="CU186" i="20" s="1"/>
  <c r="DC186" i="20" s="1"/>
  <c r="EB336" i="20"/>
  <c r="FQ89" i="20"/>
  <c r="DF89" i="20"/>
  <c r="BP494" i="20"/>
  <c r="BR494" i="20" s="1"/>
  <c r="EB496" i="20"/>
  <c r="CI408" i="20"/>
  <c r="AG357" i="20"/>
  <c r="BQ357" i="20" s="1"/>
  <c r="EP179" i="20"/>
  <c r="DU179" i="20" s="1"/>
  <c r="BJ33" i="20"/>
  <c r="BK33" i="20" s="1"/>
  <c r="BJ289" i="20"/>
  <c r="GG408" i="20"/>
  <c r="GI408" i="20" s="1"/>
  <c r="DA408" i="20" s="1"/>
  <c r="DL408" i="20" s="1"/>
  <c r="EC486" i="20"/>
  <c r="BT148" i="20"/>
  <c r="BV148" i="20" s="1"/>
  <c r="GG212" i="20"/>
  <c r="GI212" i="20" s="1"/>
  <c r="DA212" i="20" s="1"/>
  <c r="DL212" i="20" s="1"/>
  <c r="CH359" i="20"/>
  <c r="CQ223" i="20"/>
  <c r="AT319" i="20"/>
  <c r="CI319" i="20"/>
  <c r="CJ215" i="20"/>
  <c r="BF444" i="20"/>
  <c r="CU444" i="20" s="1"/>
  <c r="DI444" i="20" s="1"/>
  <c r="CH179" i="20"/>
  <c r="CJ179" i="20" s="1"/>
  <c r="CQ179" i="20" s="1"/>
  <c r="CS179" i="20" s="1"/>
  <c r="CX179" i="20" s="1"/>
  <c r="FR179" i="20" s="1"/>
  <c r="BP497" i="20"/>
  <c r="GG319" i="20"/>
  <c r="GI319" i="20" s="1"/>
  <c r="DA319" i="20" s="1"/>
  <c r="FQ319" i="20" s="1"/>
  <c r="BF253" i="20"/>
  <c r="CU253" i="20" s="1"/>
  <c r="FO253" i="20" s="1"/>
  <c r="CH211" i="20"/>
  <c r="BZ212" i="20"/>
  <c r="EH212" i="20" s="1"/>
  <c r="EJ212" i="20" s="1"/>
  <c r="EO212" i="20" s="1"/>
  <c r="BG63" i="20"/>
  <c r="BH63" i="20" s="1"/>
  <c r="GG198" i="20"/>
  <c r="GI198" i="20" s="1"/>
  <c r="DA198" i="20" s="1"/>
  <c r="AB212" i="20"/>
  <c r="BG212" i="20" s="1"/>
  <c r="BP212" i="20" s="1"/>
  <c r="DQ357" i="20"/>
  <c r="FB357" i="20" s="1"/>
  <c r="FC357" i="20" s="1"/>
  <c r="FD357" i="20" s="1"/>
  <c r="CH198" i="20"/>
  <c r="BZ408" i="20"/>
  <c r="EH408" i="20" s="1"/>
  <c r="EJ408" i="20" s="1"/>
  <c r="CL357" i="20"/>
  <c r="CM357" i="20" s="1"/>
  <c r="CI258" i="20"/>
  <c r="BZ258" i="20"/>
  <c r="EH258" i="20" s="1"/>
  <c r="EJ258" i="20" s="1"/>
  <c r="EO258" i="20" s="1"/>
  <c r="BJ270" i="20"/>
  <c r="AT408" i="20"/>
  <c r="P310" i="20"/>
  <c r="BN310" i="20" s="1"/>
  <c r="CW310" i="20" s="1"/>
  <c r="BP500" i="20"/>
  <c r="AG264" i="20"/>
  <c r="BQ264" i="20" s="1"/>
  <c r="ET308" i="20"/>
  <c r="ES308" i="20" s="1"/>
  <c r="BJ446" i="20"/>
  <c r="BF446" i="20"/>
  <c r="CU446" i="20" s="1"/>
  <c r="FO446" i="20" s="1"/>
  <c r="BT151" i="20"/>
  <c r="BV151" i="20" s="1"/>
  <c r="CJ134" i="20"/>
  <c r="CQ134" i="20" s="1"/>
  <c r="CS134" i="20" s="1"/>
  <c r="CX134" i="20" s="1"/>
  <c r="FR134" i="20" s="1"/>
  <c r="EB237" i="20"/>
  <c r="BS55" i="20"/>
  <c r="BT55" i="20" s="1"/>
  <c r="BV55" i="20" s="1"/>
  <c r="AT120" i="20"/>
  <c r="AB333" i="20"/>
  <c r="BG333" i="20" s="1"/>
  <c r="BH333" i="20" s="1"/>
  <c r="GI167" i="20"/>
  <c r="DA167" i="20" s="1"/>
  <c r="FQ167" i="20" s="1"/>
  <c r="DQ310" i="20"/>
  <c r="FB310" i="20" s="1"/>
  <c r="FC310" i="20" s="1"/>
  <c r="FD310" i="20" s="1"/>
  <c r="BJ310" i="20"/>
  <c r="FB123" i="20"/>
  <c r="FC123" i="20" s="1"/>
  <c r="FD123" i="20" s="1"/>
  <c r="AT333" i="20"/>
  <c r="CH333" i="20"/>
  <c r="BZ333" i="20"/>
  <c r="EH333" i="20" s="1"/>
  <c r="EJ333" i="20" s="1"/>
  <c r="EP333" i="20" s="1"/>
  <c r="DU333" i="20" s="1"/>
  <c r="BU132" i="20"/>
  <c r="BW132" i="20" s="1"/>
  <c r="BT141" i="20"/>
  <c r="BV141" i="20" s="1"/>
  <c r="BJ200" i="20"/>
  <c r="AB327" i="20"/>
  <c r="BG327" i="20" s="1"/>
  <c r="BP327" i="20" s="1"/>
  <c r="BF221" i="20"/>
  <c r="BJ444" i="20"/>
  <c r="AT327" i="20"/>
  <c r="ET237" i="20"/>
  <c r="ES237" i="20" s="1"/>
  <c r="AG289" i="20"/>
  <c r="EB289" i="20" s="1"/>
  <c r="CH327" i="20"/>
  <c r="BH496" i="20"/>
  <c r="EC496" i="20" s="1"/>
  <c r="EU496" i="20" s="1"/>
  <c r="EX496" i="20" s="1"/>
  <c r="EY496" i="20" s="1"/>
  <c r="DV496" i="20" s="1"/>
  <c r="DX496" i="20" s="1"/>
  <c r="BZ327" i="20"/>
  <c r="EH327" i="20" s="1"/>
  <c r="EJ327" i="20" s="1"/>
  <c r="EP327" i="20" s="1"/>
  <c r="DU327" i="20" s="1"/>
  <c r="BU153" i="20"/>
  <c r="BW153" i="20" s="1"/>
  <c r="ET454" i="20"/>
  <c r="ES454" i="20" s="1"/>
  <c r="AG372" i="20"/>
  <c r="BQ372" i="20" s="1"/>
  <c r="FB181" i="20"/>
  <c r="FC181" i="20" s="1"/>
  <c r="FD181" i="20" s="1"/>
  <c r="P259" i="20"/>
  <c r="GI217" i="20"/>
  <c r="DA217" i="20" s="1"/>
  <c r="DF217" i="20" s="1"/>
  <c r="ET498" i="20"/>
  <c r="ES498" i="20" s="1"/>
  <c r="FB498" i="20" s="1"/>
  <c r="FC498" i="20" s="1"/>
  <c r="FD498" i="20" s="1"/>
  <c r="AB265" i="20"/>
  <c r="BG265" i="20" s="1"/>
  <c r="BH265" i="20" s="1"/>
  <c r="BJ192" i="20"/>
  <c r="DQ253" i="20"/>
  <c r="P253" i="20"/>
  <c r="BN253" i="20" s="1"/>
  <c r="CW253" i="20" s="1"/>
  <c r="BU121" i="20"/>
  <c r="BW121" i="20" s="1"/>
  <c r="BX121" i="20" s="1"/>
  <c r="EQ121" i="20" s="1"/>
  <c r="EP121" i="20" s="1"/>
  <c r="AT265" i="20"/>
  <c r="BZ265" i="20"/>
  <c r="EH265" i="20" s="1"/>
  <c r="EJ265" i="20" s="1"/>
  <c r="CH265" i="20"/>
  <c r="BP481" i="20"/>
  <c r="AB372" i="20"/>
  <c r="BG372" i="20" s="1"/>
  <c r="BH372" i="20" s="1"/>
  <c r="AB228" i="20"/>
  <c r="BG228" i="20" s="1"/>
  <c r="BH228" i="20" s="1"/>
  <c r="BF274" i="20"/>
  <c r="CU274" i="20" s="1"/>
  <c r="DI274" i="20" s="1"/>
  <c r="BN160" i="20"/>
  <c r="GG372" i="20"/>
  <c r="GI372" i="20" s="1"/>
  <c r="DA372" i="20" s="1"/>
  <c r="FQ372" i="20" s="1"/>
  <c r="GG333" i="20"/>
  <c r="GI333" i="20" s="1"/>
  <c r="DA333" i="20" s="1"/>
  <c r="FQ333" i="20" s="1"/>
  <c r="AT289" i="20"/>
  <c r="AT377" i="20"/>
  <c r="AB289" i="20"/>
  <c r="BG289" i="20" s="1"/>
  <c r="BP289" i="20" s="1"/>
  <c r="P238" i="20"/>
  <c r="BN238" i="20" s="1"/>
  <c r="CW238" i="20" s="1"/>
  <c r="AB377" i="20"/>
  <c r="BG377" i="20" s="1"/>
  <c r="BP377" i="20" s="1"/>
  <c r="ET155" i="20"/>
  <c r="ES155" i="20" s="1"/>
  <c r="EU155" i="20" s="1"/>
  <c r="EX155" i="20" s="1"/>
  <c r="EY155" i="20" s="1"/>
  <c r="BJ297" i="20"/>
  <c r="CI289" i="20"/>
  <c r="DQ238" i="20"/>
  <c r="FB238" i="20" s="1"/>
  <c r="FC238" i="20" s="1"/>
  <c r="FD238" i="20" s="1"/>
  <c r="BG84" i="20"/>
  <c r="BH84" i="20" s="1"/>
  <c r="CH372" i="20"/>
  <c r="CJ111" i="20"/>
  <c r="CQ111" i="20" s="1"/>
  <c r="CS111" i="20" s="1"/>
  <c r="CI372" i="20"/>
  <c r="CJ174" i="20"/>
  <c r="BU39" i="20"/>
  <c r="BW39" i="20" s="1"/>
  <c r="BX39" i="20" s="1"/>
  <c r="EQ39" i="20" s="1"/>
  <c r="EO222" i="20"/>
  <c r="P370" i="20"/>
  <c r="CH377" i="20"/>
  <c r="AT320" i="20"/>
  <c r="AG349" i="20"/>
  <c r="BQ349" i="20" s="1"/>
  <c r="GG377" i="20"/>
  <c r="GI377" i="20" s="1"/>
  <c r="DA377" i="20" s="1"/>
  <c r="FQ377" i="20" s="1"/>
  <c r="CI377" i="20"/>
  <c r="BF100" i="20"/>
  <c r="BN159" i="20"/>
  <c r="BM128" i="20"/>
  <c r="BN128" i="20" s="1"/>
  <c r="CW128" i="20" s="1"/>
  <c r="DR100" i="20"/>
  <c r="FG100" i="20" s="1"/>
  <c r="FH100" i="20" s="1"/>
  <c r="BZ372" i="20"/>
  <c r="EH372" i="20" s="1"/>
  <c r="EJ372" i="20" s="1"/>
  <c r="BT24" i="20"/>
  <c r="BV24" i="20" s="1"/>
  <c r="P329" i="20"/>
  <c r="AB338" i="20"/>
  <c r="BG338" i="20" s="1"/>
  <c r="BH338" i="20" s="1"/>
  <c r="AB320" i="20"/>
  <c r="BG320" i="20" s="1"/>
  <c r="BH320" i="20" s="1"/>
  <c r="AT449" i="20"/>
  <c r="AG112" i="20"/>
  <c r="W112" i="20" s="1"/>
  <c r="AG63" i="20"/>
  <c r="EB63" i="20" s="1"/>
  <c r="CI362" i="20"/>
  <c r="CH238" i="20"/>
  <c r="DQ302" i="20"/>
  <c r="FB302" i="20" s="1"/>
  <c r="FC302" i="20" s="1"/>
  <c r="FD302" i="20" s="1"/>
  <c r="BZ362" i="20"/>
  <c r="EH362" i="20" s="1"/>
  <c r="EJ362" i="20" s="1"/>
  <c r="EO362" i="20" s="1"/>
  <c r="CI238" i="20"/>
  <c r="AT362" i="20"/>
  <c r="CH55" i="20"/>
  <c r="BZ95" i="20"/>
  <c r="EH95" i="20" s="1"/>
  <c r="EJ95" i="20" s="1"/>
  <c r="EP95" i="20" s="1"/>
  <c r="BF254" i="20"/>
  <c r="CU254" i="20" s="1"/>
  <c r="FO254" i="20" s="1"/>
  <c r="BZ329" i="20"/>
  <c r="EH329" i="20" s="1"/>
  <c r="EJ329" i="20" s="1"/>
  <c r="EO329" i="20" s="1"/>
  <c r="CJ176" i="20"/>
  <c r="AT329" i="20"/>
  <c r="AG407" i="20"/>
  <c r="EB407" i="20" s="1"/>
  <c r="AB329" i="20"/>
  <c r="BG329" i="20" s="1"/>
  <c r="BH329" i="20" s="1"/>
  <c r="GG362" i="20"/>
  <c r="GI362" i="20" s="1"/>
  <c r="DA362" i="20" s="1"/>
  <c r="DL362" i="20" s="1"/>
  <c r="BJ254" i="20"/>
  <c r="AB238" i="20"/>
  <c r="BG238" i="20" s="1"/>
  <c r="BH238" i="20" s="1"/>
  <c r="GG238" i="20"/>
  <c r="GI238" i="20" s="1"/>
  <c r="DA238" i="20" s="1"/>
  <c r="FQ238" i="20" s="1"/>
  <c r="BS95" i="20"/>
  <c r="BU95" i="20" s="1"/>
  <c r="CH362" i="20"/>
  <c r="AG148" i="20"/>
  <c r="EB148" i="20" s="1"/>
  <c r="AB95" i="20"/>
  <c r="BM95" i="20" s="1"/>
  <c r="CH95" i="20"/>
  <c r="CJ95" i="20" s="1"/>
  <c r="CQ484" i="20"/>
  <c r="CS484" i="20" s="1"/>
  <c r="CH329" i="20"/>
  <c r="CJ204" i="20"/>
  <c r="AT238" i="20"/>
  <c r="BZ55" i="20"/>
  <c r="EH55" i="20" s="1"/>
  <c r="EJ55" i="20" s="1"/>
  <c r="EO55" i="20" s="1"/>
  <c r="AV55" i="20"/>
  <c r="BM415" i="20"/>
  <c r="CJ168" i="20"/>
  <c r="CQ168" i="20" s="1"/>
  <c r="CI55" i="20"/>
  <c r="EM55" i="20"/>
  <c r="P289" i="20"/>
  <c r="AT391" i="20"/>
  <c r="AT124" i="20"/>
  <c r="GI86" i="20"/>
  <c r="DA86" i="20" s="1"/>
  <c r="DF86" i="20" s="1"/>
  <c r="BF339" i="20"/>
  <c r="CU339" i="20" s="1"/>
  <c r="AG371" i="20"/>
  <c r="EB371" i="20" s="1"/>
  <c r="AG316" i="20"/>
  <c r="EB316" i="20" s="1"/>
  <c r="GG327" i="20"/>
  <c r="GI327" i="20" s="1"/>
  <c r="DA327" i="20" s="1"/>
  <c r="DL327" i="20" s="1"/>
  <c r="BG138" i="20"/>
  <c r="BH138" i="20" s="1"/>
  <c r="BU117" i="20"/>
  <c r="BW117" i="20" s="1"/>
  <c r="BX117" i="20" s="1"/>
  <c r="EQ117" i="20" s="1"/>
  <c r="EP117" i="20" s="1"/>
  <c r="BF357" i="20"/>
  <c r="CU357" i="20" s="1"/>
  <c r="DC357" i="20" s="1"/>
  <c r="ET267" i="20"/>
  <c r="ES267" i="20" s="1"/>
  <c r="BF408" i="20"/>
  <c r="CU408" i="20" s="1"/>
  <c r="DI408" i="20" s="1"/>
  <c r="CH264" i="20"/>
  <c r="AG368" i="20"/>
  <c r="BQ368" i="20" s="1"/>
  <c r="BM357" i="20"/>
  <c r="BZ356" i="20"/>
  <c r="EH356" i="20" s="1"/>
  <c r="EJ356" i="20" s="1"/>
  <c r="AT346" i="20"/>
  <c r="CJ108" i="20"/>
  <c r="CQ108" i="20" s="1"/>
  <c r="CS108" i="20" s="1"/>
  <c r="FB444" i="20"/>
  <c r="FC444" i="20" s="1"/>
  <c r="FD444" i="20" s="1"/>
  <c r="AG192" i="20"/>
  <c r="EB192" i="20" s="1"/>
  <c r="CH346" i="20"/>
  <c r="CI346" i="20"/>
  <c r="AG453" i="20"/>
  <c r="EB453" i="20" s="1"/>
  <c r="AB418" i="20"/>
  <c r="BG418" i="20" s="1"/>
  <c r="BJ333" i="20"/>
  <c r="BZ346" i="20"/>
  <c r="EH346" i="20" s="1"/>
  <c r="EJ346" i="20" s="1"/>
  <c r="EO346" i="20" s="1"/>
  <c r="AG366" i="20"/>
  <c r="BQ366" i="20" s="1"/>
  <c r="DQ171" i="20"/>
  <c r="FB171" i="20" s="1"/>
  <c r="FC171" i="20" s="1"/>
  <c r="FD171" i="20" s="1"/>
  <c r="ET206" i="20"/>
  <c r="ES206" i="20" s="1"/>
  <c r="AG232" i="20"/>
  <c r="EB232" i="20" s="1"/>
  <c r="P357" i="20"/>
  <c r="BZ319" i="20"/>
  <c r="EH319" i="20" s="1"/>
  <c r="EJ319" i="20" s="1"/>
  <c r="BZ326" i="20"/>
  <c r="EH326" i="20" s="1"/>
  <c r="EJ326" i="20" s="1"/>
  <c r="BU51" i="20"/>
  <c r="BW51" i="20" s="1"/>
  <c r="BX51" i="20" s="1"/>
  <c r="EQ51" i="20" s="1"/>
  <c r="BP486" i="20"/>
  <c r="GG265" i="20"/>
  <c r="GI265" i="20" s="1"/>
  <c r="DA265" i="20" s="1"/>
  <c r="BG202" i="20"/>
  <c r="BH202" i="20" s="1"/>
  <c r="BK202" i="20" s="1"/>
  <c r="CV202" i="20" s="1"/>
  <c r="P239" i="20"/>
  <c r="AG342" i="20"/>
  <c r="BQ342" i="20" s="1"/>
  <c r="CH326" i="20"/>
  <c r="P422" i="20"/>
  <c r="GG326" i="20"/>
  <c r="GI326" i="20" s="1"/>
  <c r="DA326" i="20" s="1"/>
  <c r="FQ326" i="20" s="1"/>
  <c r="BF239" i="20"/>
  <c r="CU239" i="20" s="1"/>
  <c r="DC239" i="20" s="1"/>
  <c r="BJ264" i="20"/>
  <c r="AT326" i="20"/>
  <c r="BF422" i="20"/>
  <c r="CU422" i="20" s="1"/>
  <c r="FO422" i="20" s="1"/>
  <c r="GF72" i="20"/>
  <c r="GI72" i="20" s="1"/>
  <c r="DA72" i="20" s="1"/>
  <c r="DF72" i="20" s="1"/>
  <c r="BJ370" i="20"/>
  <c r="AB356" i="20"/>
  <c r="BG356" i="20" s="1"/>
  <c r="BP356" i="20" s="1"/>
  <c r="BR356" i="20" s="1"/>
  <c r="P444" i="20"/>
  <c r="BN444" i="20" s="1"/>
  <c r="CW444" i="20" s="1"/>
  <c r="CH187" i="20"/>
  <c r="CH356" i="20"/>
  <c r="BZ369" i="20"/>
  <c r="EH369" i="20" s="1"/>
  <c r="EJ369" i="20" s="1"/>
  <c r="EO369" i="20" s="1"/>
  <c r="CI286" i="20"/>
  <c r="BJ357" i="20"/>
  <c r="BK486" i="20"/>
  <c r="AB369" i="20"/>
  <c r="BG369" i="20" s="1"/>
  <c r="BP369" i="20" s="1"/>
  <c r="P100" i="20"/>
  <c r="GI41" i="20"/>
  <c r="GI113" i="20"/>
  <c r="DA113" i="20" s="1"/>
  <c r="FQ113" i="20" s="1"/>
  <c r="AG353" i="20"/>
  <c r="EB353" i="20" s="1"/>
  <c r="P360" i="20"/>
  <c r="BN360" i="20" s="1"/>
  <c r="CW360" i="20" s="1"/>
  <c r="GG365" i="20"/>
  <c r="GI365" i="20" s="1"/>
  <c r="DA365" i="20" s="1"/>
  <c r="FQ365" i="20" s="1"/>
  <c r="P393" i="20"/>
  <c r="BN393" i="20" s="1"/>
  <c r="CW393" i="20" s="1"/>
  <c r="EB206" i="20"/>
  <c r="AT365" i="20"/>
  <c r="GG418" i="20"/>
  <c r="GI418" i="20" s="1"/>
  <c r="DA418" i="20" s="1"/>
  <c r="FQ418" i="20" s="1"/>
  <c r="DQ393" i="20"/>
  <c r="FB393" i="20" s="1"/>
  <c r="FC393" i="20" s="1"/>
  <c r="FD393" i="20" s="1"/>
  <c r="BQ302" i="20"/>
  <c r="BP387" i="20"/>
  <c r="CL336" i="20"/>
  <c r="CM336" i="20" s="1"/>
  <c r="AT437" i="20"/>
  <c r="FG77" i="20"/>
  <c r="FH77" i="20" s="1"/>
  <c r="BM163" i="20"/>
  <c r="BN163" i="20" s="1"/>
  <c r="BN294" i="20"/>
  <c r="CW294" i="20" s="1"/>
  <c r="BZ418" i="20"/>
  <c r="EH418" i="20" s="1"/>
  <c r="EJ418" i="20" s="1"/>
  <c r="CH320" i="20"/>
  <c r="AT129" i="20"/>
  <c r="CH418" i="20"/>
  <c r="CI320" i="20"/>
  <c r="BT152" i="20"/>
  <c r="BV152" i="20" s="1"/>
  <c r="CJ136" i="20"/>
  <c r="AG309" i="20"/>
  <c r="BQ309" i="20" s="1"/>
  <c r="AT288" i="20"/>
  <c r="P341" i="20"/>
  <c r="AV92" i="20"/>
  <c r="BM341" i="20"/>
  <c r="BS92" i="20"/>
  <c r="BU92" i="20" s="1"/>
  <c r="EM92" i="20"/>
  <c r="CI92" i="20"/>
  <c r="AT209" i="20"/>
  <c r="GF92" i="20"/>
  <c r="GI92" i="20" s="1"/>
  <c r="DA92" i="20" s="1"/>
  <c r="DL92" i="20" s="1"/>
  <c r="DC113" i="20"/>
  <c r="BF341" i="20"/>
  <c r="CU341" i="20" s="1"/>
  <c r="FO341" i="20" s="1"/>
  <c r="CH164" i="20"/>
  <c r="CJ164" i="20" s="1"/>
  <c r="CL341" i="20"/>
  <c r="CM341" i="20" s="1"/>
  <c r="CH92" i="20"/>
  <c r="BJ341" i="20"/>
  <c r="CH247" i="20"/>
  <c r="BF240" i="20"/>
  <c r="CU240" i="20" s="1"/>
  <c r="DI240" i="20" s="1"/>
  <c r="AB365" i="20"/>
  <c r="BG365" i="20" s="1"/>
  <c r="BH365" i="20" s="1"/>
  <c r="AG230" i="20"/>
  <c r="EB230" i="20" s="1"/>
  <c r="EP237" i="20"/>
  <c r="DU237" i="20" s="1"/>
  <c r="DC117" i="20"/>
  <c r="CI79" i="20"/>
  <c r="BJ169" i="20"/>
  <c r="FB152" i="20"/>
  <c r="FC152" i="20" s="1"/>
  <c r="FD152" i="20" s="1"/>
  <c r="AT234" i="20"/>
  <c r="AG350" i="20"/>
  <c r="EB350" i="20" s="1"/>
  <c r="CI101" i="20"/>
  <c r="BS79" i="20"/>
  <c r="BT79" i="20" s="1"/>
  <c r="BV79" i="20" s="1"/>
  <c r="GG433" i="20"/>
  <c r="GI433" i="20" s="1"/>
  <c r="DA433" i="20" s="1"/>
  <c r="FQ433" i="20" s="1"/>
  <c r="GI123" i="20"/>
  <c r="DA123" i="20" s="1"/>
  <c r="FQ123" i="20" s="1"/>
  <c r="BZ234" i="20"/>
  <c r="EH234" i="20" s="1"/>
  <c r="EJ234" i="20" s="1"/>
  <c r="EP234" i="20" s="1"/>
  <c r="DU234" i="20" s="1"/>
  <c r="AT133" i="20"/>
  <c r="CH335" i="20"/>
  <c r="AG258" i="20"/>
  <c r="EB258" i="20" s="1"/>
  <c r="GG274" i="20"/>
  <c r="GI274" i="20" s="1"/>
  <c r="DA274" i="20" s="1"/>
  <c r="FQ274" i="20" s="1"/>
  <c r="AV79" i="20"/>
  <c r="AT121" i="20"/>
  <c r="CI379" i="20"/>
  <c r="AT351" i="20"/>
  <c r="AG151" i="20"/>
  <c r="EB151" i="20" s="1"/>
  <c r="CQ485" i="20"/>
  <c r="CS485" i="20" s="1"/>
  <c r="CH379" i="20"/>
  <c r="AB351" i="20"/>
  <c r="BG351" i="20" s="1"/>
  <c r="BH351" i="20" s="1"/>
  <c r="AB274" i="20"/>
  <c r="BG274" i="20" s="1"/>
  <c r="BP274" i="20" s="1"/>
  <c r="BM230" i="20"/>
  <c r="BZ449" i="20"/>
  <c r="EH449" i="20" s="1"/>
  <c r="EJ449" i="20" s="1"/>
  <c r="AT91" i="20"/>
  <c r="BU101" i="20"/>
  <c r="BW101" i="20" s="1"/>
  <c r="BX101" i="20" s="1"/>
  <c r="EQ101" i="20" s="1"/>
  <c r="P285" i="20"/>
  <c r="BG134" i="20"/>
  <c r="BH134" i="20" s="1"/>
  <c r="AB101" i="20"/>
  <c r="BG101" i="20" s="1"/>
  <c r="AT62" i="20"/>
  <c r="BZ354" i="20"/>
  <c r="EH354" i="20" s="1"/>
  <c r="EJ354" i="20" s="1"/>
  <c r="EP354" i="20" s="1"/>
  <c r="DU354" i="20" s="1"/>
  <c r="CH101" i="20"/>
  <c r="GI164" i="20"/>
  <c r="AB335" i="20"/>
  <c r="BG335" i="20" s="1"/>
  <c r="BP335" i="20" s="1"/>
  <c r="BG179" i="20"/>
  <c r="BH179" i="20" s="1"/>
  <c r="BQ167" i="20"/>
  <c r="BJ126" i="20"/>
  <c r="BJ400" i="20"/>
  <c r="BF196" i="20"/>
  <c r="CU196" i="20" s="1"/>
  <c r="FO196" i="20" s="1"/>
  <c r="EB199" i="20"/>
  <c r="CH423" i="20"/>
  <c r="AT241" i="20"/>
  <c r="BJ257" i="20"/>
  <c r="BQ171" i="20"/>
  <c r="AT137" i="20"/>
  <c r="ET167" i="20"/>
  <c r="ES167" i="20" s="1"/>
  <c r="FB167" i="20" s="1"/>
  <c r="FC167" i="20" s="1"/>
  <c r="FD167" i="20" s="1"/>
  <c r="BG78" i="20"/>
  <c r="BH78" i="20" s="1"/>
  <c r="BK78" i="20" s="1"/>
  <c r="CV78" i="20" s="1"/>
  <c r="BT37" i="20"/>
  <c r="BV37" i="20" s="1"/>
  <c r="AT335" i="20"/>
  <c r="GG423" i="20"/>
  <c r="GI423" i="20" s="1"/>
  <c r="DA423" i="20" s="1"/>
  <c r="DF423" i="20" s="1"/>
  <c r="AG152" i="20"/>
  <c r="EB152" i="20" s="1"/>
  <c r="CI335" i="20"/>
  <c r="AG261" i="20"/>
  <c r="EB261" i="20" s="1"/>
  <c r="EB492" i="20"/>
  <c r="AG472" i="20"/>
  <c r="BQ472" i="20" s="1"/>
  <c r="BR472" i="20" s="1"/>
  <c r="AB379" i="20"/>
  <c r="BG379" i="20" s="1"/>
  <c r="BH379" i="20" s="1"/>
  <c r="ET397" i="20"/>
  <c r="ES397" i="20" s="1"/>
  <c r="BQ397" i="20"/>
  <c r="CI351" i="20"/>
  <c r="BF326" i="20"/>
  <c r="CU326" i="20" s="1"/>
  <c r="DI326" i="20" s="1"/>
  <c r="AG111" i="20"/>
  <c r="BN498" i="20"/>
  <c r="AR433" i="20"/>
  <c r="AG109" i="20"/>
  <c r="BZ79" i="20"/>
  <c r="EH79" i="20" s="1"/>
  <c r="EJ79" i="20" s="1"/>
  <c r="EO79" i="20" s="1"/>
  <c r="CL230" i="20"/>
  <c r="CM230" i="20" s="1"/>
  <c r="AB349" i="20"/>
  <c r="BG349" i="20" s="1"/>
  <c r="BH349" i="20" s="1"/>
  <c r="BZ269" i="20"/>
  <c r="EH269" i="20" s="1"/>
  <c r="EJ269" i="20" s="1"/>
  <c r="EP269" i="20" s="1"/>
  <c r="DU269" i="20" s="1"/>
  <c r="AG123" i="20"/>
  <c r="EB123" i="20" s="1"/>
  <c r="CH79" i="20"/>
  <c r="DC82" i="20"/>
  <c r="BZ78" i="20"/>
  <c r="EH78" i="20" s="1"/>
  <c r="EJ78" i="20" s="1"/>
  <c r="EP78" i="20" s="1"/>
  <c r="DU78" i="20" s="1"/>
  <c r="AG61" i="20"/>
  <c r="EB61" i="20" s="1"/>
  <c r="BN425" i="20"/>
  <c r="CW425" i="20" s="1"/>
  <c r="GG415" i="20"/>
  <c r="GI415" i="20" s="1"/>
  <c r="DA415" i="20" s="1"/>
  <c r="FQ415" i="20" s="1"/>
  <c r="AR449" i="20"/>
  <c r="EM78" i="20"/>
  <c r="EC501" i="20"/>
  <c r="BK476" i="20"/>
  <c r="P400" i="20"/>
  <c r="BN400" i="20" s="1"/>
  <c r="CW400" i="20" s="1"/>
  <c r="BF250" i="20"/>
  <c r="CU250" i="20" s="1"/>
  <c r="FO250" i="20" s="1"/>
  <c r="AG321" i="20"/>
  <c r="BQ321" i="20" s="1"/>
  <c r="AG70" i="20"/>
  <c r="EB70" i="20" s="1"/>
  <c r="GG211" i="20"/>
  <c r="GI211" i="20" s="1"/>
  <c r="DA211" i="20" s="1"/>
  <c r="FQ211" i="20" s="1"/>
  <c r="BZ65" i="20"/>
  <c r="EH65" i="20" s="1"/>
  <c r="EJ65" i="20" s="1"/>
  <c r="EP65" i="20" s="1"/>
  <c r="DU65" i="20" s="1"/>
  <c r="GI162" i="20"/>
  <c r="CQ30" i="20"/>
  <c r="CH56" i="20"/>
  <c r="FB250" i="20"/>
  <c r="FC250" i="20" s="1"/>
  <c r="FD250" i="20" s="1"/>
  <c r="BQ280" i="20"/>
  <c r="BF102" i="20"/>
  <c r="CU102" i="20" s="1"/>
  <c r="FO102" i="20" s="1"/>
  <c r="BJ250" i="20"/>
  <c r="AR434" i="20"/>
  <c r="CJ156" i="20"/>
  <c r="ET424" i="20"/>
  <c r="ES424" i="20" s="1"/>
  <c r="BC162" i="20"/>
  <c r="GG294" i="20"/>
  <c r="GI294" i="20" s="1"/>
  <c r="DA294" i="20" s="1"/>
  <c r="FQ294" i="20" s="1"/>
  <c r="BN410" i="20"/>
  <c r="CW410" i="20" s="1"/>
  <c r="CI444" i="20"/>
  <c r="CJ225" i="20"/>
  <c r="CQ225" i="20" s="1"/>
  <c r="BJ102" i="20"/>
  <c r="AT445" i="20"/>
  <c r="BF400" i="20"/>
  <c r="CU400" i="20" s="1"/>
  <c r="FO400" i="20" s="1"/>
  <c r="CH444" i="20"/>
  <c r="AT100" i="20"/>
  <c r="BH498" i="20"/>
  <c r="EC498" i="20" s="1"/>
  <c r="GG445" i="20"/>
  <c r="GI445" i="20" s="1"/>
  <c r="DA445" i="20" s="1"/>
  <c r="FQ445" i="20" s="1"/>
  <c r="BZ445" i="20"/>
  <c r="EH445" i="20" s="1"/>
  <c r="EJ445" i="20" s="1"/>
  <c r="AG355" i="20"/>
  <c r="EB355" i="20" s="1"/>
  <c r="CQ40" i="20"/>
  <c r="FB70" i="20"/>
  <c r="FC70" i="20" s="1"/>
  <c r="FD70" i="20" s="1"/>
  <c r="BF188" i="20"/>
  <c r="CU188" i="20" s="1"/>
  <c r="FO188" i="20" s="1"/>
  <c r="CH162" i="20"/>
  <c r="CJ162" i="20" s="1"/>
  <c r="CQ162" i="20" s="1"/>
  <c r="CS162" i="20" s="1"/>
  <c r="CJ125" i="20"/>
  <c r="CQ125" i="20" s="1"/>
  <c r="CS125" i="20" s="1"/>
  <c r="CX125" i="20" s="1"/>
  <c r="FR125" i="20" s="1"/>
  <c r="AU102" i="20"/>
  <c r="CL84" i="20"/>
  <c r="CM84" i="20" s="1"/>
  <c r="BS65" i="20"/>
  <c r="BU65" i="20" s="1"/>
  <c r="BG56" i="20"/>
  <c r="BH56" i="20" s="1"/>
  <c r="BK56" i="20" s="1"/>
  <c r="CV56" i="20" s="1"/>
  <c r="AB272" i="20"/>
  <c r="BG272" i="20" s="1"/>
  <c r="BP272" i="20" s="1"/>
  <c r="BG145" i="20"/>
  <c r="BH145" i="20" s="1"/>
  <c r="BJ143" i="20"/>
  <c r="DQ188" i="20"/>
  <c r="GI52" i="20"/>
  <c r="CQ495" i="20"/>
  <c r="CS495" i="20" s="1"/>
  <c r="CQ491" i="20"/>
  <c r="CS491" i="20" s="1"/>
  <c r="GG368" i="20"/>
  <c r="GI368" i="20" s="1"/>
  <c r="DA368" i="20" s="1"/>
  <c r="DL368" i="20" s="1"/>
  <c r="GG346" i="20"/>
  <c r="GI346" i="20" s="1"/>
  <c r="DA346" i="20" s="1"/>
  <c r="DL346" i="20" s="1"/>
  <c r="CH188" i="20"/>
  <c r="BG183" i="20"/>
  <c r="BH183" i="20" s="1"/>
  <c r="CH411" i="20"/>
  <c r="BZ314" i="20"/>
  <c r="EH314" i="20" s="1"/>
  <c r="EJ314" i="20" s="1"/>
  <c r="EO314" i="20" s="1"/>
  <c r="GI23" i="20"/>
  <c r="BJ393" i="20"/>
  <c r="AT411" i="20"/>
  <c r="BN158" i="20"/>
  <c r="BM111" i="20"/>
  <c r="BN111" i="20" s="1"/>
  <c r="CI411" i="20"/>
  <c r="AG66" i="20"/>
  <c r="EB66" i="20" s="1"/>
  <c r="AU42" i="20"/>
  <c r="CQ488" i="20"/>
  <c r="CS488" i="20" s="1"/>
  <c r="FB153" i="20"/>
  <c r="FC153" i="20" s="1"/>
  <c r="FD153" i="20" s="1"/>
  <c r="ET339" i="20"/>
  <c r="ES339" i="20" s="1"/>
  <c r="AG110" i="20"/>
  <c r="BZ411" i="20"/>
  <c r="EH411" i="20" s="1"/>
  <c r="EJ411" i="20" s="1"/>
  <c r="EO411" i="20" s="1"/>
  <c r="BQ398" i="20"/>
  <c r="AB347" i="20"/>
  <c r="BG347" i="20" s="1"/>
  <c r="BH347" i="20" s="1"/>
  <c r="AB211" i="20"/>
  <c r="BG211" i="20" s="1"/>
  <c r="BP211" i="20" s="1"/>
  <c r="P432" i="20"/>
  <c r="GI61" i="20"/>
  <c r="DA61" i="20" s="1"/>
  <c r="FQ61" i="20" s="1"/>
  <c r="CH209" i="20"/>
  <c r="BM426" i="20"/>
  <c r="GG444" i="20"/>
  <c r="GI444" i="20" s="1"/>
  <c r="DA444" i="20" s="1"/>
  <c r="FQ444" i="20" s="1"/>
  <c r="CH288" i="20"/>
  <c r="BQ265" i="20"/>
  <c r="BQ276" i="20"/>
  <c r="AB255" i="20"/>
  <c r="BG255" i="20" s="1"/>
  <c r="CL73" i="20"/>
  <c r="CM73" i="20" s="1"/>
  <c r="AB294" i="20"/>
  <c r="BG294" i="20" s="1"/>
  <c r="BH294" i="20" s="1"/>
  <c r="AT231" i="20"/>
  <c r="AB444" i="20"/>
  <c r="BG444" i="20" s="1"/>
  <c r="AT444" i="20"/>
  <c r="AT314" i="20"/>
  <c r="CH269" i="20"/>
  <c r="BG227" i="20"/>
  <c r="BH227" i="20" s="1"/>
  <c r="BU130" i="20"/>
  <c r="BW130" i="20" s="1"/>
  <c r="BX130" i="20" s="1"/>
  <c r="EQ130" i="20" s="1"/>
  <c r="EP130" i="20" s="1"/>
  <c r="BN188" i="20"/>
  <c r="CW188" i="20" s="1"/>
  <c r="BM164" i="20"/>
  <c r="BN164" i="20" s="1"/>
  <c r="CH314" i="20"/>
  <c r="CI269" i="20"/>
  <c r="CJ308" i="20"/>
  <c r="DQ422" i="20"/>
  <c r="BU41" i="20"/>
  <c r="BW41" i="20" s="1"/>
  <c r="BX41" i="20" s="1"/>
  <c r="EQ41" i="20" s="1"/>
  <c r="BN503" i="20"/>
  <c r="DQ450" i="20"/>
  <c r="ET435" i="20"/>
  <c r="ES435" i="20" s="1"/>
  <c r="AT210" i="20"/>
  <c r="AG340" i="20"/>
  <c r="EB340" i="20" s="1"/>
  <c r="AT294" i="20"/>
  <c r="CH255" i="20"/>
  <c r="CJ47" i="20"/>
  <c r="CQ47" i="20" s="1"/>
  <c r="BM115" i="20"/>
  <c r="BN115" i="20" s="1"/>
  <c r="CW115" i="20" s="1"/>
  <c r="GG378" i="20"/>
  <c r="GI378" i="20" s="1"/>
  <c r="DA378" i="20" s="1"/>
  <c r="DF378" i="20" s="1"/>
  <c r="AT116" i="20"/>
  <c r="BN32" i="20"/>
  <c r="P284" i="20"/>
  <c r="BN284" i="20" s="1"/>
  <c r="CW284" i="20" s="1"/>
  <c r="AB292" i="20"/>
  <c r="BG292" i="20" s="1"/>
  <c r="BH292" i="20" s="1"/>
  <c r="CI255" i="20"/>
  <c r="AB314" i="20"/>
  <c r="BG314" i="20" s="1"/>
  <c r="BP314" i="20" s="1"/>
  <c r="EO389" i="20"/>
  <c r="CJ121" i="20"/>
  <c r="GG74" i="20"/>
  <c r="GI74" i="20" s="1"/>
  <c r="DA74" i="20" s="1"/>
  <c r="DF74" i="20" s="1"/>
  <c r="BP492" i="20"/>
  <c r="BR492" i="20" s="1"/>
  <c r="AG437" i="20"/>
  <c r="BQ437" i="20" s="1"/>
  <c r="BZ294" i="20"/>
  <c r="EH294" i="20" s="1"/>
  <c r="EJ294" i="20" s="1"/>
  <c r="GG255" i="20"/>
  <c r="GI255" i="20" s="1"/>
  <c r="DA255" i="20" s="1"/>
  <c r="DF255" i="20" s="1"/>
  <c r="AT177" i="20"/>
  <c r="CH294" i="20"/>
  <c r="BZ255" i="20"/>
  <c r="EH255" i="20" s="1"/>
  <c r="EJ255" i="20" s="1"/>
  <c r="EO255" i="20" s="1"/>
  <c r="AT168" i="20"/>
  <c r="BF144" i="20"/>
  <c r="CU144" i="20" s="1"/>
  <c r="FO144" i="20" s="1"/>
  <c r="AT122" i="20"/>
  <c r="CJ177" i="20"/>
  <c r="P153" i="20"/>
  <c r="AG198" i="20"/>
  <c r="EB198" i="20" s="1"/>
  <c r="BZ288" i="20"/>
  <c r="EH288" i="20" s="1"/>
  <c r="EJ288" i="20" s="1"/>
  <c r="GG270" i="20"/>
  <c r="GI270" i="20" s="1"/>
  <c r="DA270" i="20" s="1"/>
  <c r="AG104" i="20"/>
  <c r="EB104" i="20" s="1"/>
  <c r="GG292" i="20"/>
  <c r="GI292" i="20" s="1"/>
  <c r="DA292" i="20" s="1"/>
  <c r="BG86" i="20"/>
  <c r="BH86" i="20" s="1"/>
  <c r="AG255" i="20"/>
  <c r="EB255" i="20" s="1"/>
  <c r="BJ104" i="20"/>
  <c r="P376" i="20"/>
  <c r="BN376" i="20" s="1"/>
  <c r="CW376" i="20" s="1"/>
  <c r="BJ392" i="20"/>
  <c r="BF161" i="20"/>
  <c r="CU161" i="20" s="1"/>
  <c r="DC161" i="20" s="1"/>
  <c r="GG115" i="20"/>
  <c r="GI115" i="20" s="1"/>
  <c r="DA115" i="20" s="1"/>
  <c r="AG239" i="20"/>
  <c r="BQ239" i="20" s="1"/>
  <c r="CL385" i="20"/>
  <c r="CM385" i="20" s="1"/>
  <c r="GG288" i="20"/>
  <c r="GI288" i="20" s="1"/>
  <c r="DA288" i="20" s="1"/>
  <c r="DL288" i="20" s="1"/>
  <c r="AG306" i="20"/>
  <c r="EB306" i="20" s="1"/>
  <c r="BF392" i="20"/>
  <c r="CU392" i="20" s="1"/>
  <c r="DC392" i="20" s="1"/>
  <c r="AT398" i="20"/>
  <c r="AB288" i="20"/>
  <c r="BG288" i="20" s="1"/>
  <c r="BP288" i="20" s="1"/>
  <c r="AG362" i="20"/>
  <c r="BQ362" i="20" s="1"/>
  <c r="BJ275" i="20"/>
  <c r="AG224" i="20"/>
  <c r="EB224" i="20" s="1"/>
  <c r="BZ292" i="20"/>
  <c r="EH292" i="20" s="1"/>
  <c r="EJ292" i="20" s="1"/>
  <c r="EP292" i="20" s="1"/>
  <c r="DU292" i="20" s="1"/>
  <c r="U430" i="20"/>
  <c r="BF104" i="20"/>
  <c r="GI82" i="20"/>
  <c r="DA82" i="20" s="1"/>
  <c r="DF82" i="20" s="1"/>
  <c r="BP493" i="20"/>
  <c r="AB231" i="20"/>
  <c r="BG231" i="20" s="1"/>
  <c r="BH231" i="20" s="1"/>
  <c r="AG334" i="20"/>
  <c r="BQ334" i="20" s="1"/>
  <c r="CH378" i="20"/>
  <c r="AT292" i="20"/>
  <c r="CI292" i="20"/>
  <c r="AB269" i="20"/>
  <c r="BG269" i="20" s="1"/>
  <c r="BF430" i="20"/>
  <c r="CU430" i="20" s="1"/>
  <c r="DC430" i="20" s="1"/>
  <c r="AG55" i="20"/>
  <c r="EB55" i="20" s="1"/>
  <c r="GI148" i="20"/>
  <c r="DA148" i="20" s="1"/>
  <c r="FQ148" i="20" s="1"/>
  <c r="BM430" i="20"/>
  <c r="AT57" i="20"/>
  <c r="BZ209" i="20"/>
  <c r="EH209" i="20" s="1"/>
  <c r="EJ209" i="20" s="1"/>
  <c r="EP209" i="20" s="1"/>
  <c r="BZ378" i="20"/>
  <c r="EH378" i="20" s="1"/>
  <c r="EJ378" i="20" s="1"/>
  <c r="EO378" i="20" s="1"/>
  <c r="BM451" i="20"/>
  <c r="GG209" i="20"/>
  <c r="GI209" i="20" s="1"/>
  <c r="DA209" i="20" s="1"/>
  <c r="FQ209" i="20" s="1"/>
  <c r="CQ490" i="20"/>
  <c r="CS490" i="20" s="1"/>
  <c r="AB209" i="20"/>
  <c r="BG209" i="20" s="1"/>
  <c r="BF232" i="20"/>
  <c r="CU232" i="20" s="1"/>
  <c r="FO232" i="20" s="1"/>
  <c r="BQ238" i="20"/>
  <c r="CI390" i="20"/>
  <c r="ET276" i="20"/>
  <c r="ES276" i="20" s="1"/>
  <c r="BQ312" i="20"/>
  <c r="P335" i="20"/>
  <c r="CH409" i="20"/>
  <c r="BF432" i="20"/>
  <c r="CU432" i="20" s="1"/>
  <c r="DC432" i="20" s="1"/>
  <c r="BF139" i="20"/>
  <c r="CU139" i="20" s="1"/>
  <c r="DC139" i="20" s="1"/>
  <c r="DC56" i="20"/>
  <c r="GG200" i="20"/>
  <c r="GI200" i="20" s="1"/>
  <c r="DA200" i="20" s="1"/>
  <c r="FQ200" i="20" s="1"/>
  <c r="BJ432" i="20"/>
  <c r="BG165" i="20"/>
  <c r="BH165" i="20" s="1"/>
  <c r="CL396" i="20"/>
  <c r="CM396" i="20" s="1"/>
  <c r="CI405" i="20"/>
  <c r="EB298" i="20"/>
  <c r="AG95" i="20"/>
  <c r="EB95" i="20" s="1"/>
  <c r="BF335" i="20"/>
  <c r="CU335" i="20" s="1"/>
  <c r="DC335" i="20" s="1"/>
  <c r="BH499" i="20"/>
  <c r="EC499" i="20" s="1"/>
  <c r="AT247" i="20"/>
  <c r="DQ284" i="20"/>
  <c r="CH275" i="20"/>
  <c r="GI67" i="20"/>
  <c r="DA67" i="20" s="1"/>
  <c r="FQ67" i="20" s="1"/>
  <c r="AG381" i="20"/>
  <c r="BF206" i="20"/>
  <c r="CU206" i="20" s="1"/>
  <c r="DI206" i="20" s="1"/>
  <c r="DQ432" i="20"/>
  <c r="U432" i="20"/>
  <c r="AB409" i="20"/>
  <c r="BG409" i="20" s="1"/>
  <c r="AB394" i="20"/>
  <c r="BG394" i="20" s="1"/>
  <c r="DQ267" i="20"/>
  <c r="CJ170" i="20"/>
  <c r="CQ170" i="20" s="1"/>
  <c r="P206" i="20"/>
  <c r="BN206" i="20" s="1"/>
  <c r="CW206" i="20" s="1"/>
  <c r="EM94" i="20"/>
  <c r="BT115" i="20"/>
  <c r="BV115" i="20" s="1"/>
  <c r="FB481" i="20"/>
  <c r="FC481" i="20" s="1"/>
  <c r="FD481" i="20" s="1"/>
  <c r="BJ337" i="20"/>
  <c r="AT394" i="20"/>
  <c r="AB286" i="20"/>
  <c r="BG286" i="20" s="1"/>
  <c r="BH286" i="20" s="1"/>
  <c r="BM396" i="20"/>
  <c r="BN396" i="20" s="1"/>
  <c r="CW396" i="20" s="1"/>
  <c r="DQ206" i="20"/>
  <c r="BU47" i="20"/>
  <c r="BW47" i="20" s="1"/>
  <c r="BX47" i="20" s="1"/>
  <c r="EQ47" i="20" s="1"/>
  <c r="BU49" i="20"/>
  <c r="BW49" i="20" s="1"/>
  <c r="BX49" i="20" s="1"/>
  <c r="EQ49" i="20" s="1"/>
  <c r="BJ188" i="20"/>
  <c r="BZ336" i="20"/>
  <c r="EH336" i="20" s="1"/>
  <c r="EJ336" i="20" s="1"/>
  <c r="EO336" i="20" s="1"/>
  <c r="BZ394" i="20"/>
  <c r="EH394" i="20" s="1"/>
  <c r="EJ394" i="20" s="1"/>
  <c r="AB275" i="20"/>
  <c r="BG275" i="20" s="1"/>
  <c r="BH275" i="20" s="1"/>
  <c r="GG440" i="20"/>
  <c r="GI440" i="20" s="1"/>
  <c r="DA440" i="20" s="1"/>
  <c r="FQ440" i="20" s="1"/>
  <c r="GI396" i="20"/>
  <c r="DA396" i="20" s="1"/>
  <c r="BZ200" i="20"/>
  <c r="EH200" i="20" s="1"/>
  <c r="EJ200" i="20" s="1"/>
  <c r="P328" i="20"/>
  <c r="BN328" i="20" s="1"/>
  <c r="CW328" i="20" s="1"/>
  <c r="CI394" i="20"/>
  <c r="AG318" i="20"/>
  <c r="EB318" i="20" s="1"/>
  <c r="EB267" i="20"/>
  <c r="CJ113" i="20"/>
  <c r="CQ113" i="20" s="1"/>
  <c r="CS113" i="20" s="1"/>
  <c r="CX113" i="20" s="1"/>
  <c r="FR113" i="20" s="1"/>
  <c r="GG161" i="20"/>
  <c r="GI161" i="20" s="1"/>
  <c r="DA161" i="20" s="1"/>
  <c r="DF161" i="20" s="1"/>
  <c r="CH200" i="20"/>
  <c r="DQ328" i="20"/>
  <c r="FB328" i="20" s="1"/>
  <c r="FC328" i="20" s="1"/>
  <c r="FD328" i="20" s="1"/>
  <c r="BN448" i="20"/>
  <c r="CW448" i="20" s="1"/>
  <c r="BJ403" i="20"/>
  <c r="DQ204" i="20"/>
  <c r="FB204" i="20" s="1"/>
  <c r="FC204" i="20" s="1"/>
  <c r="FD204" i="20" s="1"/>
  <c r="AG106" i="20"/>
  <c r="BN24" i="20"/>
  <c r="AT200" i="20"/>
  <c r="AT397" i="20"/>
  <c r="AG404" i="20"/>
  <c r="BQ404" i="20" s="1"/>
  <c r="AG332" i="20"/>
  <c r="EB332" i="20" s="1"/>
  <c r="BJ204" i="20"/>
  <c r="AV94" i="20"/>
  <c r="BM108" i="20"/>
  <c r="BN108" i="20" s="1"/>
  <c r="AB278" i="20"/>
  <c r="BG278" i="20" s="1"/>
  <c r="BH278" i="20" s="1"/>
  <c r="CI200" i="20"/>
  <c r="AB336" i="20"/>
  <c r="BG336" i="20" s="1"/>
  <c r="BH336" i="20" s="1"/>
  <c r="CI415" i="20"/>
  <c r="DC54" i="20"/>
  <c r="GG276" i="20"/>
  <c r="GI276" i="20" s="1"/>
  <c r="DA276" i="20" s="1"/>
  <c r="DL276" i="20" s="1"/>
  <c r="AB276" i="20"/>
  <c r="BG276" i="20" s="1"/>
  <c r="BP276" i="20" s="1"/>
  <c r="CH276" i="20"/>
  <c r="DQ311" i="20"/>
  <c r="FB311" i="20" s="1"/>
  <c r="FC311" i="20" s="1"/>
  <c r="FD311" i="20" s="1"/>
  <c r="P47" i="20"/>
  <c r="BN47" i="20" s="1"/>
  <c r="P45" i="20"/>
  <c r="BN45" i="20" s="1"/>
  <c r="GG108" i="20"/>
  <c r="GI108" i="20" s="1"/>
  <c r="CQ474" i="20"/>
  <c r="CS474" i="20" s="1"/>
  <c r="FB482" i="20"/>
  <c r="FC482" i="20" s="1"/>
  <c r="FD482" i="20" s="1"/>
  <c r="BJ439" i="20"/>
  <c r="GG246" i="20"/>
  <c r="GI246" i="20" s="1"/>
  <c r="DA246" i="20" s="1"/>
  <c r="FQ246" i="20" s="1"/>
  <c r="GG286" i="20"/>
  <c r="GI286" i="20" s="1"/>
  <c r="DA286" i="20" s="1"/>
  <c r="FQ286" i="20" s="1"/>
  <c r="BF311" i="20"/>
  <c r="CU311" i="20" s="1"/>
  <c r="FO311" i="20" s="1"/>
  <c r="AG389" i="20"/>
  <c r="EB389" i="20" s="1"/>
  <c r="ET156" i="20"/>
  <c r="ES156" i="20" s="1"/>
  <c r="EU156" i="20" s="1"/>
  <c r="EX156" i="20" s="1"/>
  <c r="EY156" i="20" s="1"/>
  <c r="AG108" i="20"/>
  <c r="BG67" i="20"/>
  <c r="BH67" i="20" s="1"/>
  <c r="BK67" i="20" s="1"/>
  <c r="CV67" i="20" s="1"/>
  <c r="CL415" i="20"/>
  <c r="CM415" i="20" s="1"/>
  <c r="BK481" i="20"/>
  <c r="AG364" i="20"/>
  <c r="BQ364" i="20" s="1"/>
  <c r="BJ395" i="20"/>
  <c r="BZ275" i="20"/>
  <c r="EH275" i="20" s="1"/>
  <c r="EJ275" i="20" s="1"/>
  <c r="EO275" i="20" s="1"/>
  <c r="FO174" i="20"/>
  <c r="AG79" i="20"/>
  <c r="EB79" i="20" s="1"/>
  <c r="BF47" i="20"/>
  <c r="GG406" i="20"/>
  <c r="GI406" i="20" s="1"/>
  <c r="DA406" i="20" s="1"/>
  <c r="CH405" i="20"/>
  <c r="BJ311" i="20"/>
  <c r="BK311" i="20" s="1"/>
  <c r="CV311" i="20" s="1"/>
  <c r="DJ311" i="20" s="1"/>
  <c r="AT275" i="20"/>
  <c r="EM298" i="20"/>
  <c r="BZ94" i="20"/>
  <c r="EH94" i="20" s="1"/>
  <c r="EJ94" i="20" s="1"/>
  <c r="EO94" i="20" s="1"/>
  <c r="DR47" i="20"/>
  <c r="BJ284" i="20"/>
  <c r="AB405" i="20"/>
  <c r="BG405" i="20" s="1"/>
  <c r="BH405" i="20" s="1"/>
  <c r="GG405" i="20"/>
  <c r="GI405" i="20" s="1"/>
  <c r="DA405" i="20" s="1"/>
  <c r="DL405" i="20" s="1"/>
  <c r="AT405" i="20"/>
  <c r="BN217" i="20"/>
  <c r="CW217" i="20" s="1"/>
  <c r="CH94" i="20"/>
  <c r="AU35" i="20"/>
  <c r="AG59" i="20"/>
  <c r="EB59" i="20" s="1"/>
  <c r="CH231" i="20"/>
  <c r="DQ415" i="20"/>
  <c r="FB415" i="20" s="1"/>
  <c r="FC415" i="20" s="1"/>
  <c r="FD415" i="20" s="1"/>
  <c r="AR450" i="20"/>
  <c r="BJ146" i="20"/>
  <c r="EJ150" i="20"/>
  <c r="BS94" i="20"/>
  <c r="BU94" i="20" s="1"/>
  <c r="CI231" i="20"/>
  <c r="P415" i="20"/>
  <c r="BZ450" i="20"/>
  <c r="EH450" i="20" s="1"/>
  <c r="EJ450" i="20" s="1"/>
  <c r="CI94" i="20"/>
  <c r="GG77" i="20"/>
  <c r="GI77" i="20" s="1"/>
  <c r="DA77" i="20" s="1"/>
  <c r="FQ77" i="20" s="1"/>
  <c r="BJ272" i="20"/>
  <c r="AG283" i="20"/>
  <c r="EB283" i="20" s="1"/>
  <c r="BJ415" i="20"/>
  <c r="BF415" i="20"/>
  <c r="CU415" i="20" s="1"/>
  <c r="DC415" i="20" s="1"/>
  <c r="EB439" i="20"/>
  <c r="CL363" i="20"/>
  <c r="CM363" i="20" s="1"/>
  <c r="AT409" i="20"/>
  <c r="GG394" i="20"/>
  <c r="GI394" i="20" s="1"/>
  <c r="DA394" i="20" s="1"/>
  <c r="DL394" i="20" s="1"/>
  <c r="BM432" i="20"/>
  <c r="AB450" i="20"/>
  <c r="BG450" i="20" s="1"/>
  <c r="AT450" i="20"/>
  <c r="EP160" i="20"/>
  <c r="DU160" i="20" s="1"/>
  <c r="AG65" i="20"/>
  <c r="EB65" i="20" s="1"/>
  <c r="GG275" i="20"/>
  <c r="GI275" i="20" s="1"/>
  <c r="DA275" i="20" s="1"/>
  <c r="FQ275" i="20" s="1"/>
  <c r="BN155" i="20"/>
  <c r="AT146" i="20"/>
  <c r="GG231" i="20"/>
  <c r="GI231" i="20" s="1"/>
  <c r="DA231" i="20" s="1"/>
  <c r="FQ231" i="20" s="1"/>
  <c r="AB415" i="20"/>
  <c r="BG415" i="20" s="1"/>
  <c r="BH415" i="20" s="1"/>
  <c r="CI409" i="20"/>
  <c r="CI276" i="20"/>
  <c r="BZ286" i="20"/>
  <c r="EH286" i="20" s="1"/>
  <c r="EJ286" i="20" s="1"/>
  <c r="EP286" i="20" s="1"/>
  <c r="DU286" i="20" s="1"/>
  <c r="AG449" i="20"/>
  <c r="BQ449" i="20" s="1"/>
  <c r="DQ172" i="20"/>
  <c r="DQ260" i="20"/>
  <c r="GG106" i="20"/>
  <c r="AT381" i="20"/>
  <c r="BZ276" i="20"/>
  <c r="EH276" i="20" s="1"/>
  <c r="EJ276" i="20" s="1"/>
  <c r="AT286" i="20"/>
  <c r="CJ75" i="20"/>
  <c r="CQ75" i="20" s="1"/>
  <c r="CS75" i="20" s="1"/>
  <c r="CX75" i="20" s="1"/>
  <c r="FR75" i="20" s="1"/>
  <c r="CQ487" i="20"/>
  <c r="CS487" i="20" s="1"/>
  <c r="GG101" i="20"/>
  <c r="GI101" i="20" s="1"/>
  <c r="CL63" i="20"/>
  <c r="CM63" i="20" s="1"/>
  <c r="GG63" i="20"/>
  <c r="CH354" i="20"/>
  <c r="CP360" i="20"/>
  <c r="AG187" i="20"/>
  <c r="BQ187" i="20" s="1"/>
  <c r="DQ424" i="20"/>
  <c r="BF403" i="20"/>
  <c r="CU403" i="20" s="1"/>
  <c r="DC403" i="20" s="1"/>
  <c r="BZ259" i="20"/>
  <c r="EH259" i="20" s="1"/>
  <c r="EJ259" i="20" s="1"/>
  <c r="EO259" i="20" s="1"/>
  <c r="CI354" i="20"/>
  <c r="BU140" i="20"/>
  <c r="BW140" i="20" s="1"/>
  <c r="BX140" i="20" s="1"/>
  <c r="EQ140" i="20" s="1"/>
  <c r="EP140" i="20" s="1"/>
  <c r="DU140" i="20" s="1"/>
  <c r="CQ493" i="20"/>
  <c r="CS493" i="20" s="1"/>
  <c r="BK495" i="20"/>
  <c r="BN428" i="20"/>
  <c r="CW428" i="20" s="1"/>
  <c r="BF424" i="20"/>
  <c r="CU424" i="20" s="1"/>
  <c r="DI424" i="20" s="1"/>
  <c r="CI406" i="20"/>
  <c r="CL409" i="20"/>
  <c r="CM409" i="20" s="1"/>
  <c r="DQ403" i="20"/>
  <c r="FB403" i="20" s="1"/>
  <c r="FC403" i="20" s="1"/>
  <c r="FD403" i="20" s="1"/>
  <c r="AG431" i="20"/>
  <c r="BQ431" i="20" s="1"/>
  <c r="AG149" i="20"/>
  <c r="EB149" i="20" s="1"/>
  <c r="GI181" i="20"/>
  <c r="DA181" i="20" s="1"/>
  <c r="FQ181" i="20" s="1"/>
  <c r="BJ445" i="20"/>
  <c r="BP501" i="20"/>
  <c r="BP495" i="20"/>
  <c r="CH417" i="20"/>
  <c r="CL268" i="20"/>
  <c r="CM268" i="20" s="1"/>
  <c r="CL232" i="20"/>
  <c r="CM232" i="20" s="1"/>
  <c r="BM232" i="20"/>
  <c r="CL164" i="20"/>
  <c r="CM164" i="20" s="1"/>
  <c r="CL81" i="20"/>
  <c r="CM81" i="20" s="1"/>
  <c r="GG81" i="20"/>
  <c r="GI81" i="20" s="1"/>
  <c r="DA81" i="20" s="1"/>
  <c r="AT417" i="20"/>
  <c r="AB403" i="20"/>
  <c r="BG403" i="20" s="1"/>
  <c r="BP403" i="20" s="1"/>
  <c r="AU48" i="20"/>
  <c r="CL55" i="20"/>
  <c r="CM55" i="20" s="1"/>
  <c r="CQ498" i="20"/>
  <c r="CS498" i="20" s="1"/>
  <c r="CI417" i="20"/>
  <c r="P403" i="20"/>
  <c r="BJ261" i="20"/>
  <c r="GG354" i="20"/>
  <c r="GI354" i="20" s="1"/>
  <c r="DA354" i="20" s="1"/>
  <c r="FQ354" i="20" s="1"/>
  <c r="AG273" i="20"/>
  <c r="BQ273" i="20" s="1"/>
  <c r="AB422" i="20"/>
  <c r="BG422" i="20" s="1"/>
  <c r="BH422" i="20" s="1"/>
  <c r="BM435" i="20"/>
  <c r="CM200" i="20"/>
  <c r="AB398" i="20"/>
  <c r="BG398" i="20" s="1"/>
  <c r="BZ241" i="20"/>
  <c r="EH241" i="20" s="1"/>
  <c r="EJ241" i="20" s="1"/>
  <c r="EO241" i="20" s="1"/>
  <c r="DQ261" i="20"/>
  <c r="FB261" i="20" s="1"/>
  <c r="FC261" i="20" s="1"/>
  <c r="FD261" i="20" s="1"/>
  <c r="FO181" i="20"/>
  <c r="AT422" i="20"/>
  <c r="BJ227" i="20"/>
  <c r="BU149" i="20"/>
  <c r="BW149" i="20" s="1"/>
  <c r="BT143" i="20"/>
  <c r="BV143" i="20" s="1"/>
  <c r="CJ150" i="20"/>
  <c r="CL403" i="20"/>
  <c r="CM403" i="20" s="1"/>
  <c r="CH241" i="20"/>
  <c r="P261" i="20"/>
  <c r="BZ368" i="20"/>
  <c r="EH368" i="20" s="1"/>
  <c r="EJ368" i="20" s="1"/>
  <c r="EP368" i="20" s="1"/>
  <c r="DU368" i="20" s="1"/>
  <c r="CI422" i="20"/>
  <c r="BJ267" i="20"/>
  <c r="GG111" i="20"/>
  <c r="GI111" i="20" s="1"/>
  <c r="P424" i="20"/>
  <c r="BN424" i="20" s="1"/>
  <c r="CW424" i="20" s="1"/>
  <c r="BN502" i="20"/>
  <c r="GG241" i="20"/>
  <c r="GI241" i="20" s="1"/>
  <c r="DA241" i="20" s="1"/>
  <c r="DF241" i="20" s="1"/>
  <c r="BZ245" i="20"/>
  <c r="EH245" i="20" s="1"/>
  <c r="EJ245" i="20" s="1"/>
  <c r="EO245" i="20" s="1"/>
  <c r="BF261" i="20"/>
  <c r="CU261" i="20" s="1"/>
  <c r="FO261" i="20" s="1"/>
  <c r="AB368" i="20"/>
  <c r="BG368" i="20" s="1"/>
  <c r="FC100" i="20"/>
  <c r="FD100" i="20" s="1"/>
  <c r="BG170" i="20"/>
  <c r="BH170" i="20" s="1"/>
  <c r="CL280" i="20"/>
  <c r="CM280" i="20" s="1"/>
  <c r="BP483" i="20"/>
  <c r="BM261" i="20"/>
  <c r="AT354" i="20"/>
  <c r="CH380" i="20"/>
  <c r="CJ380" i="20" s="1"/>
  <c r="AT119" i="20"/>
  <c r="BZ365" i="20"/>
  <c r="EH365" i="20" s="1"/>
  <c r="EJ365" i="20" s="1"/>
  <c r="EO365" i="20" s="1"/>
  <c r="BM404" i="20"/>
  <c r="CL87" i="20"/>
  <c r="CM87" i="20" s="1"/>
  <c r="GG87" i="20"/>
  <c r="AG421" i="20"/>
  <c r="BQ421" i="20" s="1"/>
  <c r="CH365" i="20"/>
  <c r="CQ311" i="20"/>
  <c r="CS311" i="20" s="1"/>
  <c r="CX311" i="20" s="1"/>
  <c r="FR311" i="20" s="1"/>
  <c r="P149" i="20"/>
  <c r="BG125" i="20"/>
  <c r="BH125" i="20" s="1"/>
  <c r="CL85" i="20"/>
  <c r="CM85" i="20" s="1"/>
  <c r="GG85" i="20"/>
  <c r="GI85" i="20" s="1"/>
  <c r="DA85" i="20" s="1"/>
  <c r="BP479" i="20"/>
  <c r="AG482" i="20"/>
  <c r="BQ482" i="20" s="1"/>
  <c r="DQ411" i="20"/>
  <c r="FB411" i="20" s="1"/>
  <c r="FC411" i="20" s="1"/>
  <c r="FD411" i="20" s="1"/>
  <c r="GG95" i="20"/>
  <c r="GI95" i="20" s="1"/>
  <c r="GJ95" i="20" s="1"/>
  <c r="BU45" i="20"/>
  <c r="BW45" i="20" s="1"/>
  <c r="BX45" i="20" s="1"/>
  <c r="EQ45" i="20" s="1"/>
  <c r="GG343" i="20"/>
  <c r="GI343" i="20" s="1"/>
  <c r="DA343" i="20" s="1"/>
  <c r="FQ343" i="20" s="1"/>
  <c r="EC495" i="20"/>
  <c r="P411" i="20"/>
  <c r="CH403" i="20"/>
  <c r="AB259" i="20"/>
  <c r="BG259" i="20" s="1"/>
  <c r="FG68" i="20"/>
  <c r="FH68" i="20" s="1"/>
  <c r="CQ501" i="20"/>
  <c r="CS501" i="20" s="1"/>
  <c r="CI398" i="20"/>
  <c r="FB148" i="20"/>
  <c r="FC148" i="20" s="1"/>
  <c r="FD148" i="20" s="1"/>
  <c r="GG398" i="20"/>
  <c r="GI398" i="20" s="1"/>
  <c r="DA398" i="20" s="1"/>
  <c r="FQ398" i="20" s="1"/>
  <c r="BZ403" i="20"/>
  <c r="EH403" i="20" s="1"/>
  <c r="EJ403" i="20" s="1"/>
  <c r="GG403" i="20"/>
  <c r="GI403" i="20" s="1"/>
  <c r="DA403" i="20" s="1"/>
  <c r="DF403" i="20" s="1"/>
  <c r="CL262" i="20"/>
  <c r="CM262" i="20" s="1"/>
  <c r="ET312" i="20"/>
  <c r="ES312" i="20" s="1"/>
  <c r="CH398" i="20"/>
  <c r="CQ496" i="20"/>
  <c r="CS496" i="20" s="1"/>
  <c r="AT403" i="20"/>
  <c r="CP348" i="20"/>
  <c r="GG261" i="20"/>
  <c r="GI261" i="20" s="1"/>
  <c r="DA261" i="20" s="1"/>
  <c r="DF261" i="20" s="1"/>
  <c r="GI29" i="20"/>
  <c r="GG109" i="20"/>
  <c r="GG395" i="20"/>
  <c r="GI395" i="20" s="1"/>
  <c r="DA395" i="20" s="1"/>
  <c r="FQ395" i="20" s="1"/>
  <c r="BJ149" i="20"/>
  <c r="CL241" i="20"/>
  <c r="CM241" i="20" s="1"/>
  <c r="CQ503" i="20"/>
  <c r="CS503" i="20" s="1"/>
  <c r="GG76" i="20"/>
  <c r="BJ40" i="20"/>
  <c r="BK40" i="20" s="1"/>
  <c r="AT259" i="20"/>
  <c r="CQ476" i="20"/>
  <c r="CS476" i="20" s="1"/>
  <c r="BJ238" i="20"/>
  <c r="BM242" i="20"/>
  <c r="AG337" i="20"/>
  <c r="BQ337" i="20" s="1"/>
  <c r="AT227" i="20"/>
  <c r="CJ145" i="20"/>
  <c r="CQ145" i="20" s="1"/>
  <c r="CS145" i="20" s="1"/>
  <c r="CX145" i="20" s="1"/>
  <c r="FR145" i="20" s="1"/>
  <c r="EM182" i="20"/>
  <c r="AB241" i="20"/>
  <c r="BG241" i="20" s="1"/>
  <c r="BH241" i="20" s="1"/>
  <c r="AR422" i="20"/>
  <c r="P430" i="20"/>
  <c r="BZ105" i="20"/>
  <c r="EH105" i="20" s="1"/>
  <c r="EJ105" i="20" s="1"/>
  <c r="CL426" i="20"/>
  <c r="CM426" i="20" s="1"/>
  <c r="GG417" i="20"/>
  <c r="GI417" i="20" s="1"/>
  <c r="DA417" i="20" s="1"/>
  <c r="FQ417" i="20" s="1"/>
  <c r="BM403" i="20"/>
  <c r="CJ222" i="20"/>
  <c r="BJ430" i="20"/>
  <c r="BM76" i="20"/>
  <c r="BN76" i="20" s="1"/>
  <c r="CW76" i="20" s="1"/>
  <c r="AG240" i="20"/>
  <c r="BQ240" i="20" s="1"/>
  <c r="CM251" i="20"/>
  <c r="FB102" i="20"/>
  <c r="FC102" i="20" s="1"/>
  <c r="FD102" i="20" s="1"/>
  <c r="GI75" i="20"/>
  <c r="DA75" i="20" s="1"/>
  <c r="FQ75" i="20" s="1"/>
  <c r="CM322" i="20"/>
  <c r="BS105" i="20"/>
  <c r="BU105" i="20" s="1"/>
  <c r="BM385" i="20"/>
  <c r="AB417" i="20"/>
  <c r="BG417" i="20" s="1"/>
  <c r="BH417" i="20" s="1"/>
  <c r="CH259" i="20"/>
  <c r="DQ430" i="20"/>
  <c r="GG125" i="20"/>
  <c r="GI125" i="20" s="1"/>
  <c r="DA125" i="20" s="1"/>
  <c r="FQ125" i="20" s="1"/>
  <c r="BQ454" i="20"/>
  <c r="BQ170" i="20"/>
  <c r="EB170" i="20"/>
  <c r="EB424" i="20"/>
  <c r="BQ424" i="20"/>
  <c r="CL256" i="20"/>
  <c r="CM256" i="20" s="1"/>
  <c r="BJ315" i="20"/>
  <c r="AO315" i="20"/>
  <c r="GG315" i="20" s="1"/>
  <c r="GI315" i="20" s="1"/>
  <c r="DA315" i="20" s="1"/>
  <c r="CL304" i="20"/>
  <c r="CM304" i="20" s="1"/>
  <c r="BM304" i="20"/>
  <c r="BJ220" i="20"/>
  <c r="BK220" i="20" s="1"/>
  <c r="AO220" i="20"/>
  <c r="AV85" i="20"/>
  <c r="GG130" i="20"/>
  <c r="GI130" i="20" s="1"/>
  <c r="DA130" i="20" s="1"/>
  <c r="FQ130" i="20" s="1"/>
  <c r="CL185" i="20"/>
  <c r="CM185" i="20" s="1"/>
  <c r="CL95" i="20"/>
  <c r="CM95" i="20" s="1"/>
  <c r="CL237" i="20"/>
  <c r="CM237" i="20" s="1"/>
  <c r="CQ237" i="20" s="1"/>
  <c r="BM237" i="20"/>
  <c r="GG27" i="20"/>
  <c r="GI27" i="20" s="1"/>
  <c r="CL27" i="20"/>
  <c r="CM27" i="20" s="1"/>
  <c r="CQ27" i="20" s="1"/>
  <c r="DR131" i="20"/>
  <c r="FG131" i="20" s="1"/>
  <c r="FH131" i="20" s="1"/>
  <c r="BF131" i="20"/>
  <c r="CU131" i="20" s="1"/>
  <c r="FO131" i="20" s="1"/>
  <c r="AO131" i="20"/>
  <c r="FG104" i="20"/>
  <c r="FH104" i="20" s="1"/>
  <c r="CL399" i="20"/>
  <c r="CM399" i="20" s="1"/>
  <c r="BZ344" i="20"/>
  <c r="EH344" i="20" s="1"/>
  <c r="EJ344" i="20" s="1"/>
  <c r="EO344" i="20" s="1"/>
  <c r="BJ431" i="20"/>
  <c r="AO431" i="20"/>
  <c r="DQ186" i="20"/>
  <c r="FB186" i="20" s="1"/>
  <c r="FC186" i="20" s="1"/>
  <c r="FD186" i="20" s="1"/>
  <c r="AO186" i="20"/>
  <c r="GG186" i="20" s="1"/>
  <c r="GI186" i="20" s="1"/>
  <c r="DA186" i="20" s="1"/>
  <c r="AB431" i="20"/>
  <c r="BG431" i="20" s="1"/>
  <c r="BP431" i="20" s="1"/>
  <c r="EM85" i="20"/>
  <c r="BM248" i="20"/>
  <c r="BF157" i="20"/>
  <c r="CU157" i="20" s="1"/>
  <c r="DC157" i="20" s="1"/>
  <c r="AO157" i="20"/>
  <c r="BF249" i="20"/>
  <c r="AO249" i="20"/>
  <c r="BJ441" i="20"/>
  <c r="AO441" i="20"/>
  <c r="GG338" i="20"/>
  <c r="GI338" i="20" s="1"/>
  <c r="DA338" i="20" s="1"/>
  <c r="DL338" i="20" s="1"/>
  <c r="EO181" i="20"/>
  <c r="CL305" i="20"/>
  <c r="CM305" i="20" s="1"/>
  <c r="CQ305" i="20" s="1"/>
  <c r="BM305" i="20"/>
  <c r="AR431" i="20"/>
  <c r="CJ206" i="20"/>
  <c r="CQ206" i="20" s="1"/>
  <c r="BJ97" i="20"/>
  <c r="AO97" i="20"/>
  <c r="BM97" i="20" s="1"/>
  <c r="BM409" i="20"/>
  <c r="CL407" i="20"/>
  <c r="CM407" i="20" s="1"/>
  <c r="BF329" i="20"/>
  <c r="CU329" i="20" s="1"/>
  <c r="AO329" i="20"/>
  <c r="P452" i="20"/>
  <c r="AO452" i="20"/>
  <c r="GG452" i="20" s="1"/>
  <c r="GI452" i="20" s="1"/>
  <c r="DA452" i="20" s="1"/>
  <c r="FQ452" i="20" s="1"/>
  <c r="CJ115" i="20"/>
  <c r="CQ115" i="20" s="1"/>
  <c r="CS115" i="20" s="1"/>
  <c r="CX115" i="20" s="1"/>
  <c r="FR115" i="20" s="1"/>
  <c r="GG70" i="20"/>
  <c r="GI70" i="20" s="1"/>
  <c r="DA70" i="20" s="1"/>
  <c r="CL70" i="20"/>
  <c r="CM70" i="20" s="1"/>
  <c r="CQ70" i="20" s="1"/>
  <c r="CS70" i="20" s="1"/>
  <c r="CX70" i="20" s="1"/>
  <c r="GG80" i="20"/>
  <c r="CL80" i="20"/>
  <c r="CM80" i="20" s="1"/>
  <c r="BJ373" i="20"/>
  <c r="AO373" i="20"/>
  <c r="GG373" i="20" s="1"/>
  <c r="GI373" i="20" s="1"/>
  <c r="DA373" i="20" s="1"/>
  <c r="BJ300" i="20"/>
  <c r="AO300" i="20"/>
  <c r="BG157" i="20"/>
  <c r="BH157" i="20" s="1"/>
  <c r="AG220" i="20"/>
  <c r="BQ220" i="20" s="1"/>
  <c r="CL222" i="20"/>
  <c r="CM222" i="20" s="1"/>
  <c r="BM222" i="20"/>
  <c r="GI94" i="20"/>
  <c r="DA94" i="20" s="1"/>
  <c r="DF94" i="20" s="1"/>
  <c r="BM407" i="20"/>
  <c r="BF383" i="20"/>
  <c r="CU383" i="20" s="1"/>
  <c r="DC383" i="20" s="1"/>
  <c r="AO383" i="20"/>
  <c r="DQ176" i="20"/>
  <c r="AO176" i="20"/>
  <c r="DQ384" i="20"/>
  <c r="AO384" i="20"/>
  <c r="DQ389" i="20"/>
  <c r="FB389" i="20" s="1"/>
  <c r="FC389" i="20" s="1"/>
  <c r="FD389" i="20" s="1"/>
  <c r="AO389" i="20"/>
  <c r="DQ299" i="20"/>
  <c r="FB299" i="20" s="1"/>
  <c r="FC299" i="20" s="1"/>
  <c r="FD299" i="20" s="1"/>
  <c r="AO299" i="20"/>
  <c r="BM207" i="20"/>
  <c r="DR129" i="20"/>
  <c r="FG129" i="20" s="1"/>
  <c r="FH129" i="20" s="1"/>
  <c r="AO129" i="20"/>
  <c r="BJ211" i="20"/>
  <c r="BJ187" i="20"/>
  <c r="AO187" i="20"/>
  <c r="GG187" i="20" s="1"/>
  <c r="GI187" i="20" s="1"/>
  <c r="DA187" i="20" s="1"/>
  <c r="DF187" i="20" s="1"/>
  <c r="EB356" i="20"/>
  <c r="AT338" i="20"/>
  <c r="CL387" i="20"/>
  <c r="CM387" i="20" s="1"/>
  <c r="CQ387" i="20" s="1"/>
  <c r="BM387" i="20"/>
  <c r="AT431" i="20"/>
  <c r="CH159" i="20"/>
  <c r="CJ159" i="20" s="1"/>
  <c r="CQ159" i="20" s="1"/>
  <c r="CS159" i="20" s="1"/>
  <c r="FG110" i="20"/>
  <c r="FH110" i="20" s="1"/>
  <c r="P151" i="20"/>
  <c r="AO151" i="20"/>
  <c r="BM296" i="20"/>
  <c r="BM266" i="20"/>
  <c r="GG155" i="20"/>
  <c r="GI155" i="20" s="1"/>
  <c r="CL155" i="20"/>
  <c r="CM155" i="20" s="1"/>
  <c r="CQ155" i="20" s="1"/>
  <c r="CS155" i="20" s="1"/>
  <c r="BJ379" i="20"/>
  <c r="AO379" i="20"/>
  <c r="BJ269" i="20"/>
  <c r="AO269" i="20"/>
  <c r="BS103" i="20"/>
  <c r="BU103" i="20" s="1"/>
  <c r="BT29" i="20"/>
  <c r="BV29" i="20" s="1"/>
  <c r="CL21" i="20"/>
  <c r="CM21" i="20" s="1"/>
  <c r="CQ21" i="20" s="1"/>
  <c r="GG21" i="20"/>
  <c r="GI21" i="20" s="1"/>
  <c r="BM185" i="20"/>
  <c r="BJ353" i="20"/>
  <c r="AO353" i="20"/>
  <c r="GG353" i="20" s="1"/>
  <c r="GI353" i="20" s="1"/>
  <c r="DA353" i="20" s="1"/>
  <c r="BM256" i="20"/>
  <c r="GG387" i="20"/>
  <c r="GI387" i="20" s="1"/>
  <c r="DA387" i="20" s="1"/>
  <c r="DF387" i="20" s="1"/>
  <c r="DQ239" i="20"/>
  <c r="FB239" i="20" s="1"/>
  <c r="AO239" i="20"/>
  <c r="GG239" i="20" s="1"/>
  <c r="GI239" i="20" s="1"/>
  <c r="DA239" i="20" s="1"/>
  <c r="GG160" i="20"/>
  <c r="GI160" i="20" s="1"/>
  <c r="CL160" i="20"/>
  <c r="CM160" i="20" s="1"/>
  <c r="GG65" i="20"/>
  <c r="CL65" i="20"/>
  <c r="CM65" i="20" s="1"/>
  <c r="CL277" i="20"/>
  <c r="CM277" i="20" s="1"/>
  <c r="GG305" i="20"/>
  <c r="GI305" i="20" s="1"/>
  <c r="DA305" i="20" s="1"/>
  <c r="DF305" i="20" s="1"/>
  <c r="BZ431" i="20"/>
  <c r="EH431" i="20" s="1"/>
  <c r="EJ431" i="20" s="1"/>
  <c r="FG94" i="20"/>
  <c r="FH94" i="20" s="1"/>
  <c r="AG38" i="20"/>
  <c r="BJ32" i="20"/>
  <c r="BK32" i="20" s="1"/>
  <c r="BM363" i="20"/>
  <c r="BJ388" i="20"/>
  <c r="AO388" i="20"/>
  <c r="BJ139" i="20"/>
  <c r="AO139" i="20"/>
  <c r="U422" i="20"/>
  <c r="T422" i="20" s="1"/>
  <c r="AO422" i="20"/>
  <c r="BM392" i="20"/>
  <c r="DC423" i="20"/>
  <c r="EP159" i="20"/>
  <c r="DU159" i="20" s="1"/>
  <c r="AT55" i="20"/>
  <c r="BT113" i="20"/>
  <c r="BV113" i="20" s="1"/>
  <c r="BM406" i="20"/>
  <c r="BJ236" i="20"/>
  <c r="AO236" i="20"/>
  <c r="CJ153" i="20"/>
  <c r="BF302" i="20"/>
  <c r="CU302" i="20" s="1"/>
  <c r="DC302" i="20" s="1"/>
  <c r="AO302" i="20"/>
  <c r="GG134" i="20"/>
  <c r="GI134" i="20" s="1"/>
  <c r="DA134" i="20" s="1"/>
  <c r="DF134" i="20" s="1"/>
  <c r="DR133" i="20"/>
  <c r="FG133" i="20" s="1"/>
  <c r="FH133" i="20" s="1"/>
  <c r="AO133" i="20"/>
  <c r="BM283" i="20"/>
  <c r="CL283" i="20"/>
  <c r="CM283" i="20" s="1"/>
  <c r="GG20" i="20"/>
  <c r="GI20" i="20" s="1"/>
  <c r="CL20" i="20"/>
  <c r="CM20" i="20" s="1"/>
  <c r="CL66" i="20"/>
  <c r="CM66" i="20" s="1"/>
  <c r="GG66" i="20"/>
  <c r="GI66" i="20" s="1"/>
  <c r="DA66" i="20" s="1"/>
  <c r="FQ66" i="20" s="1"/>
  <c r="BJ291" i="20"/>
  <c r="AO291" i="20"/>
  <c r="GG291" i="20" s="1"/>
  <c r="GI291" i="20" s="1"/>
  <c r="DA291" i="20" s="1"/>
  <c r="AG451" i="20"/>
  <c r="BQ451" i="20" s="1"/>
  <c r="BJ135" i="20"/>
  <c r="AO135" i="20"/>
  <c r="BS90" i="20"/>
  <c r="BT90" i="20" s="1"/>
  <c r="BV90" i="20" s="1"/>
  <c r="AG37" i="20"/>
  <c r="CL248" i="20"/>
  <c r="CM248" i="20" s="1"/>
  <c r="BM199" i="20"/>
  <c r="BF356" i="20"/>
  <c r="CU356" i="20" s="1"/>
  <c r="FO356" i="20" s="1"/>
  <c r="AO356" i="20"/>
  <c r="BJ307" i="20"/>
  <c r="AO307" i="20"/>
  <c r="GG307" i="20" s="1"/>
  <c r="GI307" i="20" s="1"/>
  <c r="DA307" i="20" s="1"/>
  <c r="BM130" i="20"/>
  <c r="BN130" i="20" s="1"/>
  <c r="CW130" i="20" s="1"/>
  <c r="BJ456" i="20"/>
  <c r="AO456" i="20"/>
  <c r="GG456" i="20" s="1"/>
  <c r="GI456" i="20" s="1"/>
  <c r="DA456" i="20" s="1"/>
  <c r="DF456" i="20" s="1"/>
  <c r="GG156" i="20"/>
  <c r="GI156" i="20" s="1"/>
  <c r="CL156" i="20"/>
  <c r="CM156" i="20" s="1"/>
  <c r="GG344" i="20"/>
  <c r="GI344" i="20" s="1"/>
  <c r="DA344" i="20" s="1"/>
  <c r="FQ344" i="20" s="1"/>
  <c r="GG409" i="20"/>
  <c r="GI409" i="20" s="1"/>
  <c r="DA409" i="20" s="1"/>
  <c r="DF409" i="20" s="1"/>
  <c r="AB348" i="20"/>
  <c r="BG348" i="20" s="1"/>
  <c r="BM343" i="20"/>
  <c r="P395" i="20"/>
  <c r="BN395" i="20" s="1"/>
  <c r="CW395" i="20" s="1"/>
  <c r="CL309" i="20"/>
  <c r="CM309" i="20" s="1"/>
  <c r="BM309" i="20"/>
  <c r="AV90" i="20"/>
  <c r="BF29" i="20"/>
  <c r="BM280" i="20"/>
  <c r="BJ127" i="20"/>
  <c r="AO127" i="20"/>
  <c r="DR149" i="20"/>
  <c r="FG149" i="20" s="1"/>
  <c r="FH149" i="20" s="1"/>
  <c r="AO149" i="20"/>
  <c r="BM429" i="20"/>
  <c r="CL59" i="20"/>
  <c r="CM59" i="20" s="1"/>
  <c r="GG59" i="20"/>
  <c r="GI59" i="20" s="1"/>
  <c r="DA59" i="20" s="1"/>
  <c r="AT344" i="20"/>
  <c r="AB344" i="20"/>
  <c r="BG344" i="20" s="1"/>
  <c r="AB343" i="20"/>
  <c r="BG343" i="20" s="1"/>
  <c r="BP343" i="20" s="1"/>
  <c r="DQ395" i="20"/>
  <c r="FB395" i="20" s="1"/>
  <c r="FC395" i="20" s="1"/>
  <c r="FD395" i="20" s="1"/>
  <c r="CL218" i="20"/>
  <c r="CM218" i="20" s="1"/>
  <c r="BM218" i="20"/>
  <c r="CJ175" i="20"/>
  <c r="CQ175" i="20" s="1"/>
  <c r="BM421" i="20"/>
  <c r="GL128" i="20"/>
  <c r="CI90" i="20"/>
  <c r="GF90" i="20"/>
  <c r="GI90" i="20" s="1"/>
  <c r="DA90" i="20" s="1"/>
  <c r="DF90" i="20" s="1"/>
  <c r="CQ480" i="20"/>
  <c r="CS480" i="20" s="1"/>
  <c r="CL404" i="20"/>
  <c r="CM404" i="20" s="1"/>
  <c r="GG237" i="20"/>
  <c r="GI237" i="20" s="1"/>
  <c r="CL267" i="20"/>
  <c r="CM267" i="20" s="1"/>
  <c r="BM267" i="20"/>
  <c r="BF171" i="20"/>
  <c r="CU171" i="20" s="1"/>
  <c r="DC171" i="20" s="1"/>
  <c r="AO171" i="20"/>
  <c r="DR137" i="20"/>
  <c r="FG137" i="20" s="1"/>
  <c r="FH137" i="20" s="1"/>
  <c r="AO137" i="20"/>
  <c r="GG83" i="20"/>
  <c r="CL83" i="20"/>
  <c r="CM83" i="20" s="1"/>
  <c r="GG56" i="20"/>
  <c r="CL56" i="20"/>
  <c r="CM56" i="20" s="1"/>
  <c r="AG291" i="20"/>
  <c r="EB291" i="20" s="1"/>
  <c r="CL343" i="20"/>
  <c r="CM343" i="20" s="1"/>
  <c r="BJ331" i="20"/>
  <c r="AO331" i="20"/>
  <c r="CL312" i="20"/>
  <c r="CM312" i="20" s="1"/>
  <c r="BM312" i="20"/>
  <c r="BH301" i="20"/>
  <c r="CJ217" i="20"/>
  <c r="CQ217" i="20" s="1"/>
  <c r="CS217" i="20" s="1"/>
  <c r="CX217" i="20" s="1"/>
  <c r="DE217" i="20" s="1"/>
  <c r="BT127" i="20"/>
  <c r="BV127" i="20" s="1"/>
  <c r="BT59" i="20"/>
  <c r="BV59" i="20" s="1"/>
  <c r="CL26" i="20"/>
  <c r="CM26" i="20" s="1"/>
  <c r="CQ26" i="20" s="1"/>
  <c r="GG26" i="20"/>
  <c r="GI26" i="20" s="1"/>
  <c r="BJ278" i="20"/>
  <c r="BF204" i="20"/>
  <c r="CU204" i="20" s="1"/>
  <c r="AO204" i="20"/>
  <c r="GG154" i="20"/>
  <c r="GI154" i="20" s="1"/>
  <c r="CL154" i="20"/>
  <c r="CM154" i="20" s="1"/>
  <c r="BZ232" i="20"/>
  <c r="EH232" i="20" s="1"/>
  <c r="EJ232" i="20" s="1"/>
  <c r="EO232" i="20" s="1"/>
  <c r="BJ352" i="20"/>
  <c r="AO352" i="20"/>
  <c r="GG352" i="20" s="1"/>
  <c r="GI352" i="20" s="1"/>
  <c r="DA352" i="20" s="1"/>
  <c r="CL266" i="20"/>
  <c r="CM266" i="20" s="1"/>
  <c r="AT278" i="20"/>
  <c r="ET235" i="20"/>
  <c r="ES235" i="20" s="1"/>
  <c r="CL382" i="20"/>
  <c r="CM382" i="20" s="1"/>
  <c r="BM382" i="20"/>
  <c r="GG218" i="20"/>
  <c r="GI218" i="20" s="1"/>
  <c r="BM125" i="20"/>
  <c r="BN125" i="20" s="1"/>
  <c r="CW125" i="20" s="1"/>
  <c r="GL125" i="20"/>
  <c r="GG35" i="20"/>
  <c r="GI35" i="20" s="1"/>
  <c r="CL35" i="20"/>
  <c r="CM35" i="20" s="1"/>
  <c r="CQ35" i="20" s="1"/>
  <c r="BM26" i="20"/>
  <c r="DQ196" i="20"/>
  <c r="FB196" i="20" s="1"/>
  <c r="FC196" i="20" s="1"/>
  <c r="FD196" i="20" s="1"/>
  <c r="AO196" i="20"/>
  <c r="GG196" i="20" s="1"/>
  <c r="GI196" i="20" s="1"/>
  <c r="DA196" i="20" s="1"/>
  <c r="P316" i="20"/>
  <c r="AO316" i="20"/>
  <c r="DR102" i="20"/>
  <c r="FG102" i="20" s="1"/>
  <c r="FH102" i="20" s="1"/>
  <c r="AO102" i="20"/>
  <c r="CL102" i="20" s="1"/>
  <c r="CM102" i="20" s="1"/>
  <c r="BM154" i="20"/>
  <c r="BN154" i="20" s="1"/>
  <c r="BM262" i="20"/>
  <c r="CL193" i="20"/>
  <c r="CM193" i="20" s="1"/>
  <c r="GG193" i="20"/>
  <c r="GI193" i="20" s="1"/>
  <c r="DA193" i="20" s="1"/>
  <c r="BJ235" i="20"/>
  <c r="AO235" i="20"/>
  <c r="FB104" i="20"/>
  <c r="FC104" i="20" s="1"/>
  <c r="FD104" i="20" s="1"/>
  <c r="BJ411" i="20"/>
  <c r="AO411" i="20"/>
  <c r="DQ259" i="20"/>
  <c r="FB259" i="20" s="1"/>
  <c r="FC259" i="20" s="1"/>
  <c r="FD259" i="20" s="1"/>
  <c r="AO259" i="20"/>
  <c r="CL242" i="20"/>
  <c r="CM242" i="20" s="1"/>
  <c r="DR126" i="20"/>
  <c r="FG126" i="20" s="1"/>
  <c r="FH126" i="20" s="1"/>
  <c r="AO126" i="20"/>
  <c r="BJ129" i="20"/>
  <c r="ET53" i="20"/>
  <c r="ES53" i="20" s="1"/>
  <c r="FG53" i="20" s="1"/>
  <c r="FH53" i="20" s="1"/>
  <c r="DQ339" i="20"/>
  <c r="AO339" i="20"/>
  <c r="GG339" i="20" s="1"/>
  <c r="GI339" i="20" s="1"/>
  <c r="DA339" i="20" s="1"/>
  <c r="CQ483" i="20"/>
  <c r="CS483" i="20" s="1"/>
  <c r="GG170" i="20"/>
  <c r="GI170" i="20" s="1"/>
  <c r="DA170" i="20" s="1"/>
  <c r="FQ170" i="20" s="1"/>
  <c r="BM336" i="20"/>
  <c r="GG232" i="20"/>
  <c r="GI232" i="20" s="1"/>
  <c r="DA232" i="20" s="1"/>
  <c r="FQ232" i="20" s="1"/>
  <c r="BM399" i="20"/>
  <c r="BK480" i="20"/>
  <c r="BK482" i="20"/>
  <c r="CQ472" i="20"/>
  <c r="CS472" i="20" s="1"/>
  <c r="DQ285" i="20"/>
  <c r="FB285" i="20" s="1"/>
  <c r="FC285" i="20" s="1"/>
  <c r="FD285" i="20" s="1"/>
  <c r="AO285" i="20"/>
  <c r="GG285" i="20" s="1"/>
  <c r="GI285" i="20" s="1"/>
  <c r="DA285" i="20" s="1"/>
  <c r="CJ140" i="20"/>
  <c r="CQ140" i="20" s="1"/>
  <c r="CS140" i="20" s="1"/>
  <c r="CX140" i="20" s="1"/>
  <c r="DK140" i="20" s="1"/>
  <c r="CJ227" i="20"/>
  <c r="CQ227" i="20" s="1"/>
  <c r="P28" i="20"/>
  <c r="AO28" i="20"/>
  <c r="BF455" i="20"/>
  <c r="CU455" i="20" s="1"/>
  <c r="DC455" i="20" s="1"/>
  <c r="AO455" i="20"/>
  <c r="GG455" i="20" s="1"/>
  <c r="GI455" i="20" s="1"/>
  <c r="DA455" i="20" s="1"/>
  <c r="BM273" i="20"/>
  <c r="GG380" i="20"/>
  <c r="GI380" i="20" s="1"/>
  <c r="DA380" i="20" s="1"/>
  <c r="CL380" i="20"/>
  <c r="CM380" i="20" s="1"/>
  <c r="GG222" i="20"/>
  <c r="GI222" i="20" s="1"/>
  <c r="CI232" i="20"/>
  <c r="CH344" i="20"/>
  <c r="BJ361" i="20"/>
  <c r="AO361" i="20"/>
  <c r="GG361" i="20" s="1"/>
  <c r="GI361" i="20" s="1"/>
  <c r="DA361" i="20" s="1"/>
  <c r="BJ335" i="20"/>
  <c r="AO335" i="20"/>
  <c r="GG335" i="20" s="1"/>
  <c r="GI335" i="20" s="1"/>
  <c r="DA335" i="20" s="1"/>
  <c r="DR103" i="20"/>
  <c r="AO103" i="20"/>
  <c r="CL103" i="20" s="1"/>
  <c r="CM103" i="20" s="1"/>
  <c r="DQ258" i="20"/>
  <c r="FB258" i="20" s="1"/>
  <c r="FC258" i="20" s="1"/>
  <c r="FD258" i="20" s="1"/>
  <c r="AO258" i="20"/>
  <c r="GG258" i="20" s="1"/>
  <c r="GI258" i="20" s="1"/>
  <c r="DA258" i="20" s="1"/>
  <c r="DQ446" i="20"/>
  <c r="FB446" i="20" s="1"/>
  <c r="FC446" i="20" s="1"/>
  <c r="FD446" i="20" s="1"/>
  <c r="AO446" i="20"/>
  <c r="BM27" i="20"/>
  <c r="GI22" i="20"/>
  <c r="DQ289" i="20"/>
  <c r="FB289" i="20" s="1"/>
  <c r="FC289" i="20" s="1"/>
  <c r="FD289" i="20" s="1"/>
  <c r="AO289" i="20"/>
  <c r="GG289" i="20" s="1"/>
  <c r="GI289" i="20" s="1"/>
  <c r="DA289" i="20" s="1"/>
  <c r="DF289" i="20" s="1"/>
  <c r="GG93" i="20"/>
  <c r="CL93" i="20"/>
  <c r="CM93" i="20" s="1"/>
  <c r="GG240" i="20"/>
  <c r="GI240" i="20" s="1"/>
  <c r="DA240" i="20" s="1"/>
  <c r="FQ240" i="20" s="1"/>
  <c r="CI324" i="20"/>
  <c r="CJ324" i="20" s="1"/>
  <c r="CQ324" i="20" s="1"/>
  <c r="CL301" i="20"/>
  <c r="CM301" i="20" s="1"/>
  <c r="BM301" i="20"/>
  <c r="CH181" i="20"/>
  <c r="CJ181" i="20" s="1"/>
  <c r="CQ181" i="20" s="1"/>
  <c r="CS181" i="20" s="1"/>
  <c r="CX181" i="20" s="1"/>
  <c r="AT228" i="20"/>
  <c r="BZ228" i="20"/>
  <c r="EH228" i="20" s="1"/>
  <c r="EJ228" i="20" s="1"/>
  <c r="AT183" i="20"/>
  <c r="BM170" i="20"/>
  <c r="AU101" i="20"/>
  <c r="DR32" i="20"/>
  <c r="FO284" i="20"/>
  <c r="ET170" i="20"/>
  <c r="ES170" i="20" s="1"/>
  <c r="DR36" i="20"/>
  <c r="AO36" i="20"/>
  <c r="FB121" i="20"/>
  <c r="FC121" i="20" s="1"/>
  <c r="FD121" i="20" s="1"/>
  <c r="P215" i="20"/>
  <c r="AO215" i="20"/>
  <c r="BM138" i="20"/>
  <c r="BN138" i="20" s="1"/>
  <c r="CW138" i="20" s="1"/>
  <c r="CL287" i="20"/>
  <c r="CM287" i="20" s="1"/>
  <c r="CL261" i="20"/>
  <c r="CM261" i="20" s="1"/>
  <c r="BJ437" i="20"/>
  <c r="AO437" i="20"/>
  <c r="GG437" i="20" s="1"/>
  <c r="GI437" i="20" s="1"/>
  <c r="DA437" i="20" s="1"/>
  <c r="DF437" i="20" s="1"/>
  <c r="AT406" i="20"/>
  <c r="BJ245" i="20"/>
  <c r="AO245" i="20"/>
  <c r="GG245" i="20" s="1"/>
  <c r="GI245" i="20" s="1"/>
  <c r="DA245" i="20" s="1"/>
  <c r="DF245" i="20" s="1"/>
  <c r="CH228" i="20"/>
  <c r="BM391" i="20"/>
  <c r="CL308" i="20"/>
  <c r="CM308" i="20" s="1"/>
  <c r="BM308" i="20"/>
  <c r="BF132" i="20"/>
  <c r="CU132" i="20" s="1"/>
  <c r="AO132" i="20"/>
  <c r="BK37" i="20"/>
  <c r="P29" i="20"/>
  <c r="BN29" i="20" s="1"/>
  <c r="BM241" i="20"/>
  <c r="BF169" i="20"/>
  <c r="CU169" i="20" s="1"/>
  <c r="FO169" i="20" s="1"/>
  <c r="AO169" i="20"/>
  <c r="CL273" i="20"/>
  <c r="CM273" i="20" s="1"/>
  <c r="BJ389" i="20"/>
  <c r="DQ219" i="20"/>
  <c r="AO219" i="20"/>
  <c r="BJ436" i="20"/>
  <c r="AO436" i="20"/>
  <c r="GG436" i="20" s="1"/>
  <c r="GI436" i="20" s="1"/>
  <c r="DA436" i="20" s="1"/>
  <c r="DF436" i="20" s="1"/>
  <c r="CL221" i="20"/>
  <c r="CM221" i="20" s="1"/>
  <c r="BM221" i="20"/>
  <c r="GG138" i="20"/>
  <c r="GI138" i="20" s="1"/>
  <c r="DA138" i="20" s="1"/>
  <c r="BM134" i="20"/>
  <c r="BN134" i="20" s="1"/>
  <c r="CW134" i="20" s="1"/>
  <c r="DR153" i="20"/>
  <c r="FG153" i="20" s="1"/>
  <c r="FH153" i="20" s="1"/>
  <c r="AO153" i="20"/>
  <c r="GG110" i="20"/>
  <c r="CH232" i="20"/>
  <c r="BM268" i="20"/>
  <c r="CL303" i="20"/>
  <c r="CM303" i="20" s="1"/>
  <c r="BM303" i="20"/>
  <c r="BJ449" i="20"/>
  <c r="AO449" i="20"/>
  <c r="GG449" i="20" s="1"/>
  <c r="GI449" i="20" s="1"/>
  <c r="DA449" i="20" s="1"/>
  <c r="CL406" i="20"/>
  <c r="CM406" i="20" s="1"/>
  <c r="DQ254" i="20"/>
  <c r="FB254" i="20" s="1"/>
  <c r="AO254" i="20"/>
  <c r="GG254" i="20" s="1"/>
  <c r="GI254" i="20" s="1"/>
  <c r="DA254" i="20" s="1"/>
  <c r="GG304" i="20"/>
  <c r="GI304" i="20" s="1"/>
  <c r="DA304" i="20" s="1"/>
  <c r="DF304" i="20" s="1"/>
  <c r="CL233" i="20"/>
  <c r="CM233" i="20" s="1"/>
  <c r="BM233" i="20"/>
  <c r="BM90" i="20"/>
  <c r="BN90" i="20" s="1"/>
  <c r="CW90" i="20" s="1"/>
  <c r="GG391" i="20"/>
  <c r="GI391" i="20" s="1"/>
  <c r="DA391" i="20" s="1"/>
  <c r="DF391" i="20" s="1"/>
  <c r="DR150" i="20"/>
  <c r="FG150" i="20" s="1"/>
  <c r="FH150" i="20" s="1"/>
  <c r="AO150" i="20"/>
  <c r="GG37" i="20"/>
  <c r="GI37" i="20" s="1"/>
  <c r="CL37" i="20"/>
  <c r="CM37" i="20" s="1"/>
  <c r="CQ37" i="20" s="1"/>
  <c r="CS37" i="20" s="1"/>
  <c r="BJ334" i="20"/>
  <c r="AO334" i="20"/>
  <c r="GG334" i="20" s="1"/>
  <c r="GI334" i="20" s="1"/>
  <c r="DA334" i="20" s="1"/>
  <c r="BZ338" i="20"/>
  <c r="EH338" i="20" s="1"/>
  <c r="EJ338" i="20" s="1"/>
  <c r="EJ148" i="20"/>
  <c r="GI43" i="20"/>
  <c r="CL207" i="20"/>
  <c r="CM207" i="20" s="1"/>
  <c r="BM287" i="20"/>
  <c r="DQ341" i="20"/>
  <c r="DQ278" i="20"/>
  <c r="FB278" i="20" s="1"/>
  <c r="FC278" i="20" s="1"/>
  <c r="FD278" i="20" s="1"/>
  <c r="GG128" i="20"/>
  <c r="GI128" i="20" s="1"/>
  <c r="DA128" i="20" s="1"/>
  <c r="FQ128" i="20" s="1"/>
  <c r="BJ450" i="20"/>
  <c r="AO450" i="20"/>
  <c r="GG221" i="20"/>
  <c r="GI221" i="20" s="1"/>
  <c r="CL199" i="20"/>
  <c r="CM199" i="20" s="1"/>
  <c r="BJ402" i="20"/>
  <c r="AO402" i="20"/>
  <c r="GG402" i="20" s="1"/>
  <c r="GI402" i="20" s="1"/>
  <c r="DA402" i="20" s="1"/>
  <c r="BJ397" i="20"/>
  <c r="AO397" i="20"/>
  <c r="GG397" i="20" s="1"/>
  <c r="GI397" i="20" s="1"/>
  <c r="DA397" i="20" s="1"/>
  <c r="AG293" i="20"/>
  <c r="BQ293" i="20" s="1"/>
  <c r="CL296" i="20"/>
  <c r="CM296" i="20" s="1"/>
  <c r="CH338" i="20"/>
  <c r="BJ314" i="20"/>
  <c r="AO314" i="20"/>
  <c r="CL197" i="20"/>
  <c r="CM197" i="20" s="1"/>
  <c r="BM197" i="20"/>
  <c r="GG309" i="20"/>
  <c r="GI309" i="20" s="1"/>
  <c r="DA309" i="20" s="1"/>
  <c r="FQ309" i="20" s="1"/>
  <c r="P278" i="20"/>
  <c r="BN278" i="20" s="1"/>
  <c r="CW278" i="20" s="1"/>
  <c r="GG303" i="20"/>
  <c r="GI303" i="20" s="1"/>
  <c r="DA303" i="20" s="1"/>
  <c r="DF303" i="20" s="1"/>
  <c r="BJ144" i="20"/>
  <c r="BF370" i="20"/>
  <c r="CU370" i="20" s="1"/>
  <c r="AO370" i="20"/>
  <c r="GG370" i="20" s="1"/>
  <c r="GI370" i="20" s="1"/>
  <c r="DA370" i="20" s="1"/>
  <c r="DF370" i="20" s="1"/>
  <c r="GG297" i="20"/>
  <c r="GI297" i="20" s="1"/>
  <c r="DA297" i="20" s="1"/>
  <c r="BF317" i="20"/>
  <c r="CU317" i="20" s="1"/>
  <c r="DC317" i="20" s="1"/>
  <c r="AO317" i="20"/>
  <c r="GG317" i="20" s="1"/>
  <c r="GI317" i="20" s="1"/>
  <c r="DA317" i="20" s="1"/>
  <c r="DF317" i="20" s="1"/>
  <c r="AG207" i="20"/>
  <c r="BQ207" i="20" s="1"/>
  <c r="BJ367" i="20"/>
  <c r="AO367" i="20"/>
  <c r="DR136" i="20"/>
  <c r="FG136" i="20" s="1"/>
  <c r="FH136" i="20" s="1"/>
  <c r="AO136" i="20"/>
  <c r="DR124" i="20"/>
  <c r="FG124" i="20" s="1"/>
  <c r="FH124" i="20" s="1"/>
  <c r="AO124" i="20"/>
  <c r="BM277" i="20"/>
  <c r="DQ342" i="20"/>
  <c r="FB342" i="20" s="1"/>
  <c r="FC342" i="20" s="1"/>
  <c r="FD342" i="20" s="1"/>
  <c r="AO342" i="20"/>
  <c r="GG342" i="20" s="1"/>
  <c r="GI342" i="20" s="1"/>
  <c r="DA342" i="20" s="1"/>
  <c r="P104" i="20"/>
  <c r="AO104" i="20"/>
  <c r="CL104" i="20" s="1"/>
  <c r="CM104" i="20" s="1"/>
  <c r="GG233" i="20"/>
  <c r="GI233" i="20" s="1"/>
  <c r="GG62" i="20"/>
  <c r="CL62" i="20"/>
  <c r="CM62" i="20" s="1"/>
  <c r="BM161" i="20"/>
  <c r="CM270" i="20"/>
  <c r="BN423" i="20"/>
  <c r="CW423" i="20" s="1"/>
  <c r="EJ437" i="20"/>
  <c r="EO437" i="20" s="1"/>
  <c r="EO384" i="20"/>
  <c r="EP219" i="20"/>
  <c r="DU219" i="20" s="1"/>
  <c r="BN22" i="20"/>
  <c r="FG335" i="21"/>
  <c r="CU335" i="21"/>
  <c r="GA357" i="21"/>
  <c r="CS357" i="21" s="1"/>
  <c r="CW182" i="21"/>
  <c r="FJ182" i="21"/>
  <c r="DN486" i="21"/>
  <c r="ER486" i="21"/>
  <c r="ES486" i="21"/>
  <c r="BC412" i="21"/>
  <c r="CN412" i="21" s="1"/>
  <c r="AY301" i="21"/>
  <c r="BH301" i="21" s="1"/>
  <c r="FI262" i="21"/>
  <c r="DD262" i="21"/>
  <c r="CX368" i="21"/>
  <c r="FI368" i="21"/>
  <c r="DA258" i="21"/>
  <c r="FG258" i="21"/>
  <c r="DD251" i="21"/>
  <c r="FI251" i="21"/>
  <c r="FI361" i="21"/>
  <c r="DD361" i="21"/>
  <c r="FI168" i="21"/>
  <c r="CX168" i="21"/>
  <c r="DM28" i="21"/>
  <c r="EW473" i="21"/>
  <c r="DD425" i="21"/>
  <c r="FI425" i="21"/>
  <c r="CX97" i="21"/>
  <c r="FI97" i="21"/>
  <c r="CX396" i="21"/>
  <c r="FI396" i="21"/>
  <c r="DD367" i="21"/>
  <c r="FI367" i="21"/>
  <c r="DM326" i="21"/>
  <c r="GA380" i="21"/>
  <c r="CS380" i="21" s="1"/>
  <c r="FG429" i="21"/>
  <c r="DA429" i="21"/>
  <c r="CX439" i="21"/>
  <c r="FI439" i="21"/>
  <c r="FI449" i="21"/>
  <c r="FI424" i="21"/>
  <c r="DD424" i="21"/>
  <c r="FG383" i="21"/>
  <c r="DA383" i="21"/>
  <c r="DA302" i="21"/>
  <c r="FG302" i="21"/>
  <c r="DM217" i="21"/>
  <c r="DD404" i="21"/>
  <c r="FI404" i="21"/>
  <c r="FI359" i="21"/>
  <c r="DD359" i="21"/>
  <c r="FI193" i="21"/>
  <c r="CX193" i="21"/>
  <c r="BC472" i="21"/>
  <c r="DU472" i="21"/>
  <c r="EM472" i="21" s="1"/>
  <c r="EP472" i="21" s="1"/>
  <c r="EQ472" i="21" s="1"/>
  <c r="CU368" i="21"/>
  <c r="FG368" i="21"/>
  <c r="AZ341" i="21"/>
  <c r="FI360" i="21"/>
  <c r="CX360" i="21"/>
  <c r="EW478" i="21"/>
  <c r="DM407" i="21"/>
  <c r="FI407" i="21"/>
  <c r="CX407" i="21"/>
  <c r="FI378" i="21"/>
  <c r="DD378" i="21"/>
  <c r="FJ145" i="21"/>
  <c r="DC145" i="21"/>
  <c r="DD389" i="21"/>
  <c r="FI389" i="21"/>
  <c r="CW407" i="21"/>
  <c r="FJ407" i="21"/>
  <c r="CU328" i="21"/>
  <c r="FG328" i="21"/>
  <c r="FI314" i="21"/>
  <c r="DD314" i="21"/>
  <c r="DM343" i="21"/>
  <c r="DC401" i="21"/>
  <c r="FJ401" i="21"/>
  <c r="DD315" i="21"/>
  <c r="FI315" i="21"/>
  <c r="FI185" i="21"/>
  <c r="CX185" i="21"/>
  <c r="CU181" i="21"/>
  <c r="FG181" i="21"/>
  <c r="BR440" i="21"/>
  <c r="DZ440" i="21" s="1"/>
  <c r="EB440" i="21" s="1"/>
  <c r="CA440" i="21"/>
  <c r="BZ440" i="21"/>
  <c r="CB440" i="21" s="1"/>
  <c r="CI440" i="21" s="1"/>
  <c r="AL440" i="21"/>
  <c r="T440" i="21"/>
  <c r="DA417" i="21"/>
  <c r="FG417" i="21"/>
  <c r="FI363" i="21"/>
  <c r="DD363" i="21"/>
  <c r="AX362" i="21"/>
  <c r="CM362" i="21" s="1"/>
  <c r="M362" i="21"/>
  <c r="BF362" i="21" s="1"/>
  <c r="CO362" i="21" s="1"/>
  <c r="DI362" i="21"/>
  <c r="DD341" i="21"/>
  <c r="FI341" i="21"/>
  <c r="BI317" i="21"/>
  <c r="DT317" i="21"/>
  <c r="CW300" i="21"/>
  <c r="FJ300" i="21"/>
  <c r="CX328" i="21"/>
  <c r="FI328" i="21"/>
  <c r="ET322" i="21"/>
  <c r="EU322" i="21" s="1"/>
  <c r="EV322" i="21" s="1"/>
  <c r="AX262" i="21"/>
  <c r="CM262" i="21" s="1"/>
  <c r="M262" i="21"/>
  <c r="BF262" i="21" s="1"/>
  <c r="CO262" i="21" s="1"/>
  <c r="DI262" i="21"/>
  <c r="BB262" i="21"/>
  <c r="CX261" i="21"/>
  <c r="FI261" i="21"/>
  <c r="BH275" i="21"/>
  <c r="AZ275" i="21"/>
  <c r="DM324" i="21"/>
  <c r="EH363" i="21"/>
  <c r="EG363" i="21"/>
  <c r="FI293" i="21"/>
  <c r="DD293" i="21"/>
  <c r="EH215" i="21"/>
  <c r="EG215" i="21"/>
  <c r="EH281" i="21"/>
  <c r="EG281" i="21"/>
  <c r="FI233" i="21"/>
  <c r="CX233" i="21"/>
  <c r="FI167" i="21"/>
  <c r="CX167" i="21"/>
  <c r="ES156" i="21"/>
  <c r="ER156" i="21"/>
  <c r="DM184" i="21"/>
  <c r="DM176" i="21"/>
  <c r="FI241" i="21"/>
  <c r="CX241" i="21"/>
  <c r="DM357" i="21"/>
  <c r="FJ176" i="21"/>
  <c r="CW176" i="21"/>
  <c r="ET85" i="21"/>
  <c r="EU85" i="21" s="1"/>
  <c r="EV85" i="21" s="1"/>
  <c r="CA62" i="21"/>
  <c r="BZ62" i="21"/>
  <c r="FX62" i="21"/>
  <c r="GA62" i="21" s="1"/>
  <c r="BR62" i="21"/>
  <c r="DZ62" i="21" s="1"/>
  <c r="EB62" i="21" s="1"/>
  <c r="BK62" i="21"/>
  <c r="AN62" i="21"/>
  <c r="EE62" i="21"/>
  <c r="DM81" i="21"/>
  <c r="BE94" i="21"/>
  <c r="BF94" i="21" s="1"/>
  <c r="CO94" i="21" s="1"/>
  <c r="AY94" i="21"/>
  <c r="AZ94" i="21" s="1"/>
  <c r="EZ41" i="21"/>
  <c r="ET41" i="21"/>
  <c r="EU41" i="21" s="1"/>
  <c r="EV41" i="21" s="1"/>
  <c r="DN473" i="21"/>
  <c r="DO473" i="21" s="1"/>
  <c r="ES473" i="21"/>
  <c r="DM439" i="21"/>
  <c r="AL441" i="21"/>
  <c r="EH430" i="21"/>
  <c r="EG430" i="21"/>
  <c r="BI489" i="21"/>
  <c r="BJ489" i="21" s="1"/>
  <c r="DT489" i="21"/>
  <c r="FI444" i="21"/>
  <c r="DD444" i="21"/>
  <c r="ET445" i="21"/>
  <c r="EU445" i="21" s="1"/>
  <c r="EV445" i="21" s="1"/>
  <c r="BI443" i="21"/>
  <c r="DT443" i="21"/>
  <c r="BR447" i="21"/>
  <c r="DZ447" i="21" s="1"/>
  <c r="EB447" i="21" s="1"/>
  <c r="EG447" i="21" s="1"/>
  <c r="CA447" i="21"/>
  <c r="BZ447" i="21"/>
  <c r="CB447" i="21" s="1"/>
  <c r="CI447" i="21" s="1"/>
  <c r="FY447" i="21"/>
  <c r="GA447" i="21" s="1"/>
  <c r="CS447" i="21" s="1"/>
  <c r="T447" i="21"/>
  <c r="FY440" i="21"/>
  <c r="GA440" i="21" s="1"/>
  <c r="CS440" i="21" s="1"/>
  <c r="ET386" i="21"/>
  <c r="EU386" i="21" s="1"/>
  <c r="EV386" i="21" s="1"/>
  <c r="AX363" i="21"/>
  <c r="CM363" i="21" s="1"/>
  <c r="DI363" i="21"/>
  <c r="BB363" i="21"/>
  <c r="M363" i="21"/>
  <c r="BF363" i="21" s="1"/>
  <c r="CO363" i="21" s="1"/>
  <c r="CA366" i="21"/>
  <c r="BZ366" i="21"/>
  <c r="BR366" i="21"/>
  <c r="DZ366" i="21" s="1"/>
  <c r="EB366" i="21" s="1"/>
  <c r="FY366" i="21"/>
  <c r="AL366" i="21"/>
  <c r="DT397" i="21"/>
  <c r="BI397" i="21"/>
  <c r="FG350" i="21"/>
  <c r="CU350" i="21"/>
  <c r="DA394" i="21"/>
  <c r="FG394" i="21"/>
  <c r="M338" i="21"/>
  <c r="BF338" i="21" s="1"/>
  <c r="CO338" i="21" s="1"/>
  <c r="DI338" i="21"/>
  <c r="AX338" i="21"/>
  <c r="CM338" i="21" s="1"/>
  <c r="CI358" i="21"/>
  <c r="CK358" i="21" s="1"/>
  <c r="CP358" i="21" s="1"/>
  <c r="FI358" i="21"/>
  <c r="CX358" i="21"/>
  <c r="DD325" i="21"/>
  <c r="FI325" i="21"/>
  <c r="CW344" i="21"/>
  <c r="FJ344" i="21"/>
  <c r="AY344" i="21"/>
  <c r="BH344" i="21" s="1"/>
  <c r="CA374" i="21"/>
  <c r="BZ374" i="21"/>
  <c r="FY374" i="21"/>
  <c r="GA374" i="21" s="1"/>
  <c r="CS374" i="21" s="1"/>
  <c r="AL374" i="21"/>
  <c r="BR374" i="21"/>
  <c r="DZ374" i="21" s="1"/>
  <c r="EB374" i="21" s="1"/>
  <c r="FI264" i="21"/>
  <c r="DD264" i="21"/>
  <c r="BI260" i="21"/>
  <c r="BJ260" i="21" s="1"/>
  <c r="DT260" i="21"/>
  <c r="DA298" i="21"/>
  <c r="FG298" i="21"/>
  <c r="FI306" i="21"/>
  <c r="DD306" i="21"/>
  <c r="BI266" i="21"/>
  <c r="DT266" i="21"/>
  <c r="CX235" i="21"/>
  <c r="FI235" i="21"/>
  <c r="AY255" i="21"/>
  <c r="AZ255" i="21" s="1"/>
  <c r="BH153" i="21"/>
  <c r="AY153" i="21"/>
  <c r="AZ153" i="21" s="1"/>
  <c r="BI200" i="21"/>
  <c r="DT200" i="21"/>
  <c r="GA194" i="21"/>
  <c r="CS194" i="21" s="1"/>
  <c r="AY155" i="21"/>
  <c r="BH155" i="21" s="1"/>
  <c r="Y171" i="21"/>
  <c r="EL171" i="21"/>
  <c r="EK171" i="21" s="1"/>
  <c r="DB225" i="21"/>
  <c r="FI239" i="21"/>
  <c r="CX239" i="21"/>
  <c r="FJ115" i="21"/>
  <c r="CW115" i="21"/>
  <c r="CV77" i="21"/>
  <c r="FH77" i="21"/>
  <c r="FX71" i="21"/>
  <c r="GA71" i="21" s="1"/>
  <c r="CS71" i="21" s="1"/>
  <c r="CA71" i="21"/>
  <c r="BZ71" i="21"/>
  <c r="CB71" i="21" s="1"/>
  <c r="CI71" i="21" s="1"/>
  <c r="CK71" i="21" s="1"/>
  <c r="CP71" i="21" s="1"/>
  <c r="BR71" i="21"/>
  <c r="DZ71" i="21" s="1"/>
  <c r="EB71" i="21" s="1"/>
  <c r="BK71" i="21"/>
  <c r="AN71" i="21"/>
  <c r="DM88" i="21"/>
  <c r="AM76" i="21"/>
  <c r="AL76" i="21"/>
  <c r="DM51" i="21"/>
  <c r="AU22" i="21"/>
  <c r="AR22" i="21"/>
  <c r="ES480" i="21"/>
  <c r="EW480" i="21" s="1"/>
  <c r="ER480" i="21"/>
  <c r="DM480" i="21"/>
  <c r="EM489" i="21"/>
  <c r="EP489" i="21" s="1"/>
  <c r="EQ489" i="21" s="1"/>
  <c r="DN489" i="21" s="1"/>
  <c r="ET489" i="21"/>
  <c r="CU396" i="21"/>
  <c r="FG396" i="21"/>
  <c r="BZ413" i="21"/>
  <c r="CB413" i="21" s="1"/>
  <c r="CI413" i="21" s="1"/>
  <c r="BR413" i="21"/>
  <c r="DZ413" i="21" s="1"/>
  <c r="EB413" i="21" s="1"/>
  <c r="CA413" i="21"/>
  <c r="AL413" i="21"/>
  <c r="FY413" i="21"/>
  <c r="GA413" i="21" s="1"/>
  <c r="CS413" i="21" s="1"/>
  <c r="DT410" i="21"/>
  <c r="BI410" i="21"/>
  <c r="FI375" i="21"/>
  <c r="CX375" i="21"/>
  <c r="EU379" i="21"/>
  <c r="EV379" i="21" s="1"/>
  <c r="ET379" i="21"/>
  <c r="DD383" i="21"/>
  <c r="FI383" i="21"/>
  <c r="AY360" i="21"/>
  <c r="BH360" i="21" s="1"/>
  <c r="FG360" i="21"/>
  <c r="CU360" i="21"/>
  <c r="BR388" i="21"/>
  <c r="DZ388" i="21" s="1"/>
  <c r="EB388" i="21" s="1"/>
  <c r="AL388" i="21"/>
  <c r="CA388" i="21"/>
  <c r="BZ388" i="21"/>
  <c r="CB388" i="21" s="1"/>
  <c r="CI388" i="21" s="1"/>
  <c r="CK388" i="21" s="1"/>
  <c r="CP388" i="21" s="1"/>
  <c r="FY388" i="21"/>
  <c r="GA388" i="21" s="1"/>
  <c r="CS388" i="21" s="1"/>
  <c r="EL370" i="21"/>
  <c r="EK370" i="21" s="1"/>
  <c r="Y370" i="21"/>
  <c r="FI343" i="21"/>
  <c r="CX343" i="21"/>
  <c r="FI353" i="21"/>
  <c r="DD353" i="21"/>
  <c r="DT361" i="21"/>
  <c r="BI361" i="21"/>
  <c r="DA327" i="21"/>
  <c r="FG327" i="21"/>
  <c r="FG355" i="21"/>
  <c r="DA355" i="21"/>
  <c r="CU322" i="21"/>
  <c r="FG322" i="21"/>
  <c r="CX303" i="21"/>
  <c r="FI303" i="21"/>
  <c r="FG332" i="21"/>
  <c r="DA332" i="21"/>
  <c r="M223" i="21"/>
  <c r="BF223" i="21" s="1"/>
  <c r="CO223" i="21" s="1"/>
  <c r="AX223" i="21"/>
  <c r="CM223" i="21" s="1"/>
  <c r="DI223" i="21"/>
  <c r="DD186" i="21"/>
  <c r="FI186" i="21"/>
  <c r="AY241" i="21"/>
  <c r="BH241" i="21" s="1"/>
  <c r="BJ241" i="21" s="1"/>
  <c r="DT281" i="21"/>
  <c r="BI281" i="21"/>
  <c r="BH217" i="21"/>
  <c r="AZ217" i="21"/>
  <c r="AX135" i="21"/>
  <c r="CM135" i="21" s="1"/>
  <c r="DJ135" i="21"/>
  <c r="EY135" i="21" s="1"/>
  <c r="FI121" i="21"/>
  <c r="DD121" i="21"/>
  <c r="CK149" i="21"/>
  <c r="CP149" i="21" s="1"/>
  <c r="EY70" i="21"/>
  <c r="EZ70" i="21"/>
  <c r="BE71" i="21"/>
  <c r="BF71" i="21" s="1"/>
  <c r="CO71" i="21" s="1"/>
  <c r="FJ65" i="21"/>
  <c r="CW65" i="21"/>
  <c r="BK54" i="21"/>
  <c r="FX54" i="21"/>
  <c r="GA54" i="21" s="1"/>
  <c r="CS54" i="21" s="1"/>
  <c r="AN54" i="21"/>
  <c r="CA54" i="21"/>
  <c r="BZ54" i="21"/>
  <c r="CB54" i="21" s="1"/>
  <c r="CI54" i="21" s="1"/>
  <c r="CK54" i="21" s="1"/>
  <c r="CP54" i="21" s="1"/>
  <c r="BR54" i="21"/>
  <c r="DZ54" i="21" s="1"/>
  <c r="EB54" i="21" s="1"/>
  <c r="EE54" i="21"/>
  <c r="DP27" i="21"/>
  <c r="DO27" i="21"/>
  <c r="AZ481" i="21"/>
  <c r="DP473" i="21"/>
  <c r="ED473" i="21"/>
  <c r="DN471" i="21"/>
  <c r="ES471" i="21"/>
  <c r="ER471" i="21"/>
  <c r="EH434" i="21"/>
  <c r="CU428" i="21"/>
  <c r="FG428" i="21"/>
  <c r="CX430" i="21"/>
  <c r="FI430" i="21"/>
  <c r="AZ470" i="21"/>
  <c r="T413" i="21"/>
  <c r="M422" i="21"/>
  <c r="BF422" i="21" s="1"/>
  <c r="CO422" i="21" s="1"/>
  <c r="AX422" i="21"/>
  <c r="CM422" i="21" s="1"/>
  <c r="BB422" i="21"/>
  <c r="DI422" i="21"/>
  <c r="DA420" i="21"/>
  <c r="FG420" i="21"/>
  <c r="AX381" i="21"/>
  <c r="CM381" i="21" s="1"/>
  <c r="M381" i="21"/>
  <c r="BF381" i="21" s="1"/>
  <c r="CO381" i="21" s="1"/>
  <c r="DI381" i="21"/>
  <c r="FG379" i="21"/>
  <c r="DA379" i="21"/>
  <c r="BC407" i="21"/>
  <c r="CN407" i="21" s="1"/>
  <c r="EH393" i="21"/>
  <c r="T366" i="21"/>
  <c r="DT356" i="21"/>
  <c r="BI356" i="21"/>
  <c r="AY388" i="21"/>
  <c r="AZ388" i="21" s="1"/>
  <c r="BH349" i="21"/>
  <c r="BJ349" i="21" s="1"/>
  <c r="AZ349" i="21"/>
  <c r="DC327" i="21"/>
  <c r="FJ327" i="21"/>
  <c r="EL337" i="21"/>
  <c r="EK337" i="21" s="1"/>
  <c r="Y337" i="21"/>
  <c r="CA322" i="21"/>
  <c r="BZ322" i="21"/>
  <c r="BR322" i="21"/>
  <c r="DZ322" i="21" s="1"/>
  <c r="EB322" i="21" s="1"/>
  <c r="FY322" i="21"/>
  <c r="GA322" i="21" s="1"/>
  <c r="CS322" i="21" s="1"/>
  <c r="FG365" i="21"/>
  <c r="DA365" i="21"/>
  <c r="AX307" i="21"/>
  <c r="CM307" i="21" s="1"/>
  <c r="M307" i="21"/>
  <c r="BF307" i="21" s="1"/>
  <c r="CO307" i="21" s="1"/>
  <c r="DI307" i="21"/>
  <c r="BB307" i="21"/>
  <c r="BC340" i="21"/>
  <c r="CN340" i="21" s="1"/>
  <c r="EL298" i="21"/>
  <c r="EK298" i="21" s="1"/>
  <c r="Y298" i="21"/>
  <c r="EH314" i="21"/>
  <c r="EG314" i="21"/>
  <c r="DA271" i="21"/>
  <c r="FG271" i="21"/>
  <c r="EL251" i="21"/>
  <c r="EK251" i="21" s="1"/>
  <c r="Y251" i="21"/>
  <c r="CX268" i="21"/>
  <c r="FI268" i="21"/>
  <c r="DI295" i="21"/>
  <c r="AX295" i="21"/>
  <c r="CM295" i="21" s="1"/>
  <c r="M295" i="21"/>
  <c r="BF295" i="21" s="1"/>
  <c r="CO295" i="21" s="1"/>
  <c r="CU275" i="21"/>
  <c r="FG275" i="21"/>
  <c r="FI240" i="21"/>
  <c r="CX240" i="21"/>
  <c r="AY221" i="21"/>
  <c r="BH221" i="21" s="1"/>
  <c r="EG241" i="21"/>
  <c r="EH241" i="21"/>
  <c r="ET281" i="21"/>
  <c r="EU281" i="21" s="1"/>
  <c r="EV281" i="21" s="1"/>
  <c r="AM135" i="21"/>
  <c r="AL135" i="21"/>
  <c r="AY179" i="21"/>
  <c r="AZ179" i="21" s="1"/>
  <c r="FI124" i="21"/>
  <c r="CX124" i="21"/>
  <c r="FJ239" i="21"/>
  <c r="CW239" i="21"/>
  <c r="FI165" i="21"/>
  <c r="CX165" i="21"/>
  <c r="AY135" i="21"/>
  <c r="AZ135" i="21" s="1"/>
  <c r="BO145" i="21"/>
  <c r="BP145" i="21" s="1"/>
  <c r="EI145" i="21" s="1"/>
  <c r="EH145" i="21" s="1"/>
  <c r="EL93" i="21"/>
  <c r="EK93" i="21" s="1"/>
  <c r="Y93" i="21"/>
  <c r="AX125" i="21"/>
  <c r="CM125" i="21" s="1"/>
  <c r="DJ125" i="21"/>
  <c r="EY125" i="21" s="1"/>
  <c r="BN46" i="21"/>
  <c r="BO46" i="21"/>
  <c r="DM73" i="21"/>
  <c r="BE69" i="21"/>
  <c r="BF69" i="21" s="1"/>
  <c r="CO69" i="21" s="1"/>
  <c r="EU47" i="21"/>
  <c r="EV47" i="21" s="1"/>
  <c r="ET47" i="21"/>
  <c r="EH53" i="21"/>
  <c r="EG53" i="21"/>
  <c r="BI470" i="21"/>
  <c r="BJ470" i="21" s="1"/>
  <c r="DT470" i="21"/>
  <c r="AY442" i="21"/>
  <c r="AZ442" i="21" s="1"/>
  <c r="FG445" i="21"/>
  <c r="DA445" i="21"/>
  <c r="ER473" i="21"/>
  <c r="BI467" i="21"/>
  <c r="BJ467" i="21" s="1"/>
  <c r="DT467" i="21"/>
  <c r="FJ434" i="21"/>
  <c r="CW434" i="21"/>
  <c r="BC468" i="21"/>
  <c r="DU468" i="21"/>
  <c r="EM468" i="21" s="1"/>
  <c r="EP468" i="21" s="1"/>
  <c r="EQ468" i="21" s="1"/>
  <c r="DN468" i="21" s="1"/>
  <c r="BI415" i="21"/>
  <c r="DT415" i="21"/>
  <c r="AY354" i="21"/>
  <c r="BH354" i="21" s="1"/>
  <c r="DD327" i="21"/>
  <c r="FI327" i="21"/>
  <c r="CB368" i="21"/>
  <c r="CI368" i="21" s="1"/>
  <c r="CK368" i="21" s="1"/>
  <c r="CP368" i="21" s="1"/>
  <c r="EG322" i="21"/>
  <c r="EH322" i="21"/>
  <c r="BF365" i="21"/>
  <c r="CO365" i="21" s="1"/>
  <c r="FI302" i="21"/>
  <c r="DD302" i="21"/>
  <c r="DM260" i="21"/>
  <c r="FY292" i="21"/>
  <c r="AL292" i="21"/>
  <c r="CA292" i="21"/>
  <c r="BR292" i="21"/>
  <c r="DZ292" i="21" s="1"/>
  <c r="EB292" i="21" s="1"/>
  <c r="EG292" i="21" s="1"/>
  <c r="BZ292" i="21"/>
  <c r="EH262" i="21"/>
  <c r="DD295" i="21"/>
  <c r="FI295" i="21"/>
  <c r="AY220" i="21"/>
  <c r="AZ220" i="21" s="1"/>
  <c r="FG224" i="21"/>
  <c r="CU224" i="21"/>
  <c r="AY259" i="21"/>
  <c r="BH259" i="21" s="1"/>
  <c r="AZ259" i="21"/>
  <c r="DT204" i="21"/>
  <c r="BI204" i="21"/>
  <c r="CA291" i="21"/>
  <c r="BZ291" i="21"/>
  <c r="CB291" i="21" s="1"/>
  <c r="CI291" i="21" s="1"/>
  <c r="CK291" i="21" s="1"/>
  <c r="CP291" i="21" s="1"/>
  <c r="BR291" i="21"/>
  <c r="DZ291" i="21" s="1"/>
  <c r="EB291" i="21" s="1"/>
  <c r="T291" i="21"/>
  <c r="AL291" i="21"/>
  <c r="FY291" i="21"/>
  <c r="GA291" i="21" s="1"/>
  <c r="CS291" i="21" s="1"/>
  <c r="CW275" i="21"/>
  <c r="FJ275" i="21"/>
  <c r="DM186" i="21"/>
  <c r="DM244" i="21"/>
  <c r="AM141" i="21"/>
  <c r="AL141" i="21"/>
  <c r="BE65" i="21"/>
  <c r="BF65" i="21" s="1"/>
  <c r="CO65" i="21" s="1"/>
  <c r="CW67" i="21"/>
  <c r="FJ67" i="21"/>
  <c r="AM52" i="21"/>
  <c r="AL52" i="21"/>
  <c r="Y34" i="21"/>
  <c r="EL34" i="21"/>
  <c r="EK34" i="21" s="1"/>
  <c r="AM32" i="21"/>
  <c r="AL32" i="21"/>
  <c r="DM468" i="21"/>
  <c r="ES468" i="21"/>
  <c r="ER468" i="21"/>
  <c r="BH444" i="21"/>
  <c r="M432" i="21"/>
  <c r="BF432" i="21" s="1"/>
  <c r="CO432" i="21" s="1"/>
  <c r="DI432" i="21"/>
  <c r="AX432" i="21"/>
  <c r="CM432" i="21" s="1"/>
  <c r="DM492" i="21"/>
  <c r="DM432" i="21"/>
  <c r="CU439" i="21"/>
  <c r="FG439" i="21"/>
  <c r="FG410" i="21"/>
  <c r="CU410" i="21"/>
  <c r="BZ443" i="21"/>
  <c r="CA443" i="21"/>
  <c r="BR443" i="21"/>
  <c r="DZ443" i="21" s="1"/>
  <c r="EB443" i="21" s="1"/>
  <c r="T443" i="21"/>
  <c r="FY443" i="21"/>
  <c r="GA443" i="21" s="1"/>
  <c r="CS443" i="21" s="1"/>
  <c r="DI374" i="21"/>
  <c r="AX374" i="21"/>
  <c r="CM374" i="21" s="1"/>
  <c r="M374" i="21"/>
  <c r="BF374" i="21" s="1"/>
  <c r="CO374" i="21" s="1"/>
  <c r="BB374" i="21"/>
  <c r="BI384" i="21"/>
  <c r="DT384" i="21"/>
  <c r="BI359" i="21"/>
  <c r="BJ359" i="21" s="1"/>
  <c r="DT359" i="21"/>
  <c r="AY419" i="21"/>
  <c r="AZ419" i="21" s="1"/>
  <c r="AY393" i="21"/>
  <c r="BH393" i="21" s="1"/>
  <c r="CW360" i="21"/>
  <c r="FJ360" i="21"/>
  <c r="CB396" i="21"/>
  <c r="CI396" i="21" s="1"/>
  <c r="CK396" i="21" s="1"/>
  <c r="CP396" i="21" s="1"/>
  <c r="EL344" i="21"/>
  <c r="EK344" i="21" s="1"/>
  <c r="Y344" i="21"/>
  <c r="ET367" i="21"/>
  <c r="EU367" i="21" s="1"/>
  <c r="EV367" i="21" s="1"/>
  <c r="M319" i="21"/>
  <c r="BF319" i="21" s="1"/>
  <c r="CO319" i="21" s="1"/>
  <c r="AX319" i="21"/>
  <c r="CM319" i="21" s="1"/>
  <c r="DI319" i="21"/>
  <c r="FY352" i="21"/>
  <c r="GA352" i="21" s="1"/>
  <c r="CS352" i="21" s="1"/>
  <c r="BZ352" i="21"/>
  <c r="BR352" i="21"/>
  <c r="DZ352" i="21" s="1"/>
  <c r="EB352" i="21" s="1"/>
  <c r="CA352" i="21"/>
  <c r="T352" i="21"/>
  <c r="AY352" i="21" s="1"/>
  <c r="FG256" i="21"/>
  <c r="DA256" i="21"/>
  <c r="CX220" i="21"/>
  <c r="FI220" i="21"/>
  <c r="GA257" i="21"/>
  <c r="CS257" i="21" s="1"/>
  <c r="CA201" i="21"/>
  <c r="BR201" i="21"/>
  <c r="DZ201" i="21" s="1"/>
  <c r="EB201" i="21" s="1"/>
  <c r="FY201" i="21"/>
  <c r="GA201" i="21" s="1"/>
  <c r="CS201" i="21" s="1"/>
  <c r="AJ201" i="21"/>
  <c r="ET266" i="21"/>
  <c r="EU266" i="21" s="1"/>
  <c r="EV266" i="21" s="1"/>
  <c r="FY270" i="21"/>
  <c r="GA270" i="21" s="1"/>
  <c r="CS270" i="21" s="1"/>
  <c r="CA270" i="21"/>
  <c r="BZ270" i="21"/>
  <c r="CB270" i="21" s="1"/>
  <c r="CI270" i="21" s="1"/>
  <c r="CK270" i="21" s="1"/>
  <c r="CP270" i="21" s="1"/>
  <c r="BR270" i="21"/>
  <c r="DZ270" i="21" s="1"/>
  <c r="EB270" i="21" s="1"/>
  <c r="T270" i="21"/>
  <c r="FI197" i="21"/>
  <c r="CX197" i="21"/>
  <c r="FG183" i="21"/>
  <c r="DA183" i="21"/>
  <c r="AY239" i="21"/>
  <c r="AZ239" i="21" s="1"/>
  <c r="BE98" i="21"/>
  <c r="BF98" i="21" s="1"/>
  <c r="CO98" i="21" s="1"/>
  <c r="AX97" i="21"/>
  <c r="CM97" i="21" s="1"/>
  <c r="M97" i="21"/>
  <c r="DJ97" i="21"/>
  <c r="FI308" i="21"/>
  <c r="CX308" i="21"/>
  <c r="EL57" i="21"/>
  <c r="EK57" i="21" s="1"/>
  <c r="Y57" i="21"/>
  <c r="EL63" i="21"/>
  <c r="EK63" i="21" s="1"/>
  <c r="Y63" i="21"/>
  <c r="EH84" i="21"/>
  <c r="EG84" i="21"/>
  <c r="DM85" i="21"/>
  <c r="FG66" i="21"/>
  <c r="CU66" i="21"/>
  <c r="DJ49" i="21"/>
  <c r="AX49" i="21"/>
  <c r="M49" i="21"/>
  <c r="M41" i="21"/>
  <c r="BF41" i="21" s="1"/>
  <c r="DJ41" i="21"/>
  <c r="EY41" i="21" s="1"/>
  <c r="AX41" i="21"/>
  <c r="CA449" i="21"/>
  <c r="BR449" i="21"/>
  <c r="DZ449" i="21" s="1"/>
  <c r="EB449" i="21" s="1"/>
  <c r="EG449" i="21" s="1"/>
  <c r="BZ449" i="21"/>
  <c r="AL449" i="21"/>
  <c r="T449" i="21"/>
  <c r="M424" i="21"/>
  <c r="BF424" i="21" s="1"/>
  <c r="CO424" i="21" s="1"/>
  <c r="AX424" i="21"/>
  <c r="CM424" i="21" s="1"/>
  <c r="DI424" i="21"/>
  <c r="CA404" i="21"/>
  <c r="BZ404" i="21"/>
  <c r="T404" i="21"/>
  <c r="BR404" i="21"/>
  <c r="DZ404" i="21" s="1"/>
  <c r="EB404" i="21" s="1"/>
  <c r="BI420" i="21"/>
  <c r="DT420" i="21"/>
  <c r="FY405" i="21"/>
  <c r="GA405" i="21" s="1"/>
  <c r="CS405" i="21" s="1"/>
  <c r="T405" i="21"/>
  <c r="AL405" i="21"/>
  <c r="BZ405" i="21"/>
  <c r="BR405" i="21"/>
  <c r="DZ405" i="21" s="1"/>
  <c r="EB405" i="21" s="1"/>
  <c r="CA405" i="21"/>
  <c r="M378" i="21"/>
  <c r="BF378" i="21" s="1"/>
  <c r="CO378" i="21" s="1"/>
  <c r="DI378" i="21"/>
  <c r="AX378" i="21"/>
  <c r="CM378" i="21" s="1"/>
  <c r="AY439" i="21"/>
  <c r="BH439" i="21" s="1"/>
  <c r="DT418" i="21"/>
  <c r="BI418" i="21"/>
  <c r="DT419" i="21"/>
  <c r="BI419" i="21"/>
  <c r="DT378" i="21"/>
  <c r="BI378" i="21"/>
  <c r="AY327" i="21"/>
  <c r="BH327" i="21" s="1"/>
  <c r="BJ327" i="21" s="1"/>
  <c r="ET335" i="21"/>
  <c r="EU335" i="21" s="1"/>
  <c r="EV335" i="21" s="1"/>
  <c r="BB362" i="21"/>
  <c r="DA367" i="21"/>
  <c r="FG367" i="21"/>
  <c r="BI312" i="21"/>
  <c r="DT312" i="21"/>
  <c r="CX313" i="21"/>
  <c r="FI313" i="21"/>
  <c r="BC314" i="21"/>
  <c r="CN314" i="21" s="1"/>
  <c r="CA310" i="21"/>
  <c r="BZ310" i="21"/>
  <c r="BR310" i="21"/>
  <c r="DZ310" i="21" s="1"/>
  <c r="EB310" i="21" s="1"/>
  <c r="T310" i="21"/>
  <c r="FY310" i="21"/>
  <c r="GA310" i="21" s="1"/>
  <c r="CS310" i="21" s="1"/>
  <c r="DT271" i="21"/>
  <c r="BI271" i="21"/>
  <c r="EH219" i="21"/>
  <c r="AY242" i="21"/>
  <c r="BH242" i="21" s="1"/>
  <c r="FG266" i="21"/>
  <c r="CU266" i="21"/>
  <c r="BC264" i="21"/>
  <c r="CN264" i="21" s="1"/>
  <c r="DT203" i="21"/>
  <c r="DM230" i="21"/>
  <c r="DT151" i="21"/>
  <c r="Y120" i="21"/>
  <c r="EL120" i="21"/>
  <c r="EK120" i="21" s="1"/>
  <c r="FI52" i="21"/>
  <c r="CX52" i="21"/>
  <c r="AP110" i="21"/>
  <c r="DM237" i="21"/>
  <c r="DM22" i="21"/>
  <c r="CA200" i="21"/>
  <c r="BR200" i="21"/>
  <c r="DZ200" i="21" s="1"/>
  <c r="EB200" i="21" s="1"/>
  <c r="FY200" i="21"/>
  <c r="GA200" i="21" s="1"/>
  <c r="CS200" i="21" s="1"/>
  <c r="T200" i="21"/>
  <c r="AY200" i="21" s="1"/>
  <c r="AJ200" i="21"/>
  <c r="AL200" i="21"/>
  <c r="ET25" i="21"/>
  <c r="EU25" i="21" s="1"/>
  <c r="EV25" i="21" s="1"/>
  <c r="BA134" i="21"/>
  <c r="BB134" i="21" s="1"/>
  <c r="CX53" i="21"/>
  <c r="FI53" i="21"/>
  <c r="BI469" i="21"/>
  <c r="BJ469" i="21" s="1"/>
  <c r="DT469" i="21"/>
  <c r="DT447" i="21"/>
  <c r="BI447" i="21"/>
  <c r="AX373" i="21"/>
  <c r="CM373" i="21" s="1"/>
  <c r="DI373" i="21"/>
  <c r="M373" i="21"/>
  <c r="BF373" i="21" s="1"/>
  <c r="CO373" i="21" s="1"/>
  <c r="BB373" i="21"/>
  <c r="EL412" i="21"/>
  <c r="EK412" i="21" s="1"/>
  <c r="Y412" i="21"/>
  <c r="AY377" i="21"/>
  <c r="AZ377" i="21" s="1"/>
  <c r="DM351" i="21"/>
  <c r="DT357" i="21"/>
  <c r="BI357" i="21"/>
  <c r="BF324" i="21"/>
  <c r="CO324" i="21" s="1"/>
  <c r="CK324" i="21"/>
  <c r="CP324" i="21" s="1"/>
  <c r="DM271" i="21"/>
  <c r="EL219" i="21"/>
  <c r="EK219" i="21" s="1"/>
  <c r="Y219" i="21"/>
  <c r="DI272" i="21"/>
  <c r="M272" i="21"/>
  <c r="BF272" i="21" s="1"/>
  <c r="CO272" i="21" s="1"/>
  <c r="BB272" i="21"/>
  <c r="AX272" i="21"/>
  <c r="CM272" i="21" s="1"/>
  <c r="ET215" i="21"/>
  <c r="EU215" i="21" s="1"/>
  <c r="EV215" i="21" s="1"/>
  <c r="DT235" i="21"/>
  <c r="BI235" i="21"/>
  <c r="BJ235" i="21" s="1"/>
  <c r="FG198" i="21"/>
  <c r="CU198" i="21"/>
  <c r="EL242" i="21"/>
  <c r="EK242" i="21" s="1"/>
  <c r="Y242" i="21"/>
  <c r="DM170" i="21"/>
  <c r="DM165" i="21"/>
  <c r="BC93" i="21"/>
  <c r="CN93" i="21" s="1"/>
  <c r="BL106" i="21"/>
  <c r="BN106" i="21" s="1"/>
  <c r="BM106" i="21"/>
  <c r="BC87" i="21"/>
  <c r="CN87" i="21" s="1"/>
  <c r="AM45" i="21"/>
  <c r="AL45" i="21"/>
  <c r="AM65" i="21"/>
  <c r="AL65" i="21"/>
  <c r="EU100" i="21"/>
  <c r="EV100" i="21" s="1"/>
  <c r="BC92" i="21"/>
  <c r="CN92" i="21" s="1"/>
  <c r="EL48" i="21"/>
  <c r="EK48" i="21" s="1"/>
  <c r="Y48" i="21"/>
  <c r="EB400" i="21"/>
  <c r="FG412" i="21"/>
  <c r="DA412" i="21"/>
  <c r="M423" i="21"/>
  <c r="BF423" i="21" s="1"/>
  <c r="CO423" i="21" s="1"/>
  <c r="AX423" i="21"/>
  <c r="CM423" i="21" s="1"/>
  <c r="DI423" i="21"/>
  <c r="EG407" i="21"/>
  <c r="AZ397" i="21"/>
  <c r="BH397" i="21"/>
  <c r="CU300" i="21"/>
  <c r="FG300" i="21"/>
  <c r="FI252" i="21"/>
  <c r="DD252" i="21"/>
  <c r="BC252" i="21"/>
  <c r="CN252" i="21" s="1"/>
  <c r="DM229" i="21"/>
  <c r="AY136" i="21"/>
  <c r="AZ136" i="21" s="1"/>
  <c r="FI181" i="21"/>
  <c r="CX181" i="21"/>
  <c r="BE88" i="21"/>
  <c r="BF88" i="21" s="1"/>
  <c r="CO88" i="21" s="1"/>
  <c r="BN88" i="21"/>
  <c r="BO88" i="21"/>
  <c r="BO74" i="21"/>
  <c r="BP74" i="21" s="1"/>
  <c r="EI74" i="21" s="1"/>
  <c r="DM57" i="21"/>
  <c r="BH350" i="21"/>
  <c r="AZ350" i="21"/>
  <c r="DM327" i="21"/>
  <c r="FI355" i="21"/>
  <c r="DD355" i="21"/>
  <c r="DT365" i="21"/>
  <c r="BI365" i="21"/>
  <c r="DA376" i="21"/>
  <c r="FG376" i="21"/>
  <c r="DM240" i="21"/>
  <c r="BC304" i="21"/>
  <c r="CN304" i="21" s="1"/>
  <c r="EU311" i="21"/>
  <c r="EV311" i="21" s="1"/>
  <c r="ET311" i="21"/>
  <c r="CX101" i="21"/>
  <c r="FI101" i="21"/>
  <c r="FI128" i="21"/>
  <c r="CX128" i="21"/>
  <c r="EY129" i="21"/>
  <c r="EZ129" i="21" s="1"/>
  <c r="FI125" i="21"/>
  <c r="CX125" i="21"/>
  <c r="EH58" i="21"/>
  <c r="EG58" i="21"/>
  <c r="DM137" i="21"/>
  <c r="EL28" i="21"/>
  <c r="EK28" i="21" s="1"/>
  <c r="Y28" i="21"/>
  <c r="FI445" i="21"/>
  <c r="DM470" i="21"/>
  <c r="CX402" i="21"/>
  <c r="FI402" i="21"/>
  <c r="DI385" i="21"/>
  <c r="AX385" i="21"/>
  <c r="CM385" i="21" s="1"/>
  <c r="M385" i="21"/>
  <c r="BF385" i="21" s="1"/>
  <c r="CO385" i="21" s="1"/>
  <c r="CU405" i="21"/>
  <c r="FG405" i="21"/>
  <c r="CX351" i="21"/>
  <c r="FI351" i="21"/>
  <c r="CE342" i="21"/>
  <c r="DI326" i="21"/>
  <c r="M326" i="21"/>
  <c r="BF326" i="21" s="1"/>
  <c r="CO326" i="21" s="1"/>
  <c r="AX326" i="21"/>
  <c r="CM326" i="21" s="1"/>
  <c r="T374" i="21"/>
  <c r="BI258" i="21"/>
  <c r="DT258" i="21"/>
  <c r="DT265" i="21"/>
  <c r="BI265" i="21"/>
  <c r="BJ265" i="21" s="1"/>
  <c r="EG248" i="21"/>
  <c r="EH248" i="21"/>
  <c r="DD152" i="21"/>
  <c r="FI152" i="21"/>
  <c r="FI149" i="21"/>
  <c r="DD149" i="21"/>
  <c r="Y42" i="21"/>
  <c r="EL42" i="21"/>
  <c r="EK42" i="21" s="1"/>
  <c r="CU71" i="21"/>
  <c r="FG71" i="21"/>
  <c r="DM129" i="21"/>
  <c r="BC494" i="21"/>
  <c r="DU494" i="21"/>
  <c r="AZ469" i="21"/>
  <c r="CI446" i="21"/>
  <c r="AZ410" i="21"/>
  <c r="BI441" i="21"/>
  <c r="DT441" i="21"/>
  <c r="DT411" i="21"/>
  <c r="BI411" i="21"/>
  <c r="BR382" i="21"/>
  <c r="DZ382" i="21" s="1"/>
  <c r="EB382" i="21" s="1"/>
  <c r="CA382" i="21"/>
  <c r="BZ382" i="21"/>
  <c r="CB382" i="21" s="1"/>
  <c r="FY382" i="21"/>
  <c r="GA382" i="21" s="1"/>
  <c r="CS382" i="21" s="1"/>
  <c r="T382" i="21"/>
  <c r="EU347" i="21"/>
  <c r="EV347" i="21" s="1"/>
  <c r="ET347" i="21"/>
  <c r="FJ304" i="21"/>
  <c r="CW304" i="21"/>
  <c r="BC293" i="21"/>
  <c r="CN293" i="21" s="1"/>
  <c r="FG253" i="21"/>
  <c r="DA253" i="21"/>
  <c r="FI248" i="21"/>
  <c r="CX248" i="21"/>
  <c r="GA258" i="21"/>
  <c r="CS258" i="21" s="1"/>
  <c r="BC224" i="21"/>
  <c r="CN224" i="21" s="1"/>
  <c r="AY231" i="21"/>
  <c r="BH231" i="21" s="1"/>
  <c r="BJ231" i="21" s="1"/>
  <c r="AZ231" i="21"/>
  <c r="DC209" i="21"/>
  <c r="FJ209" i="21"/>
  <c r="BJ202" i="21"/>
  <c r="Y162" i="21"/>
  <c r="EL162" i="21"/>
  <c r="EK162" i="21" s="1"/>
  <c r="ET162" i="21" s="1"/>
  <c r="EU162" i="21" s="1"/>
  <c r="EV162" i="21" s="1"/>
  <c r="BC171" i="21"/>
  <c r="CN171" i="21" s="1"/>
  <c r="AU106" i="21"/>
  <c r="AR106" i="21"/>
  <c r="DJ151" i="21"/>
  <c r="EY151" i="21" s="1"/>
  <c r="M151" i="21"/>
  <c r="BF151" i="21" s="1"/>
  <c r="CO151" i="21" s="1"/>
  <c r="AX151" i="21"/>
  <c r="CM151" i="21" s="1"/>
  <c r="BB151" i="21"/>
  <c r="DD91" i="21"/>
  <c r="FI91" i="21"/>
  <c r="AZ493" i="21"/>
  <c r="ET427" i="21"/>
  <c r="EU427" i="21" s="1"/>
  <c r="EV427" i="21" s="1"/>
  <c r="FY406" i="21"/>
  <c r="GA406" i="21" s="1"/>
  <c r="CS406" i="21" s="1"/>
  <c r="AL406" i="21"/>
  <c r="CA406" i="21"/>
  <c r="BZ406" i="21"/>
  <c r="CB406" i="21" s="1"/>
  <c r="CI406" i="21" s="1"/>
  <c r="CK406" i="21" s="1"/>
  <c r="CP406" i="21" s="1"/>
  <c r="BR406" i="21"/>
  <c r="DZ406" i="21" s="1"/>
  <c r="EB406" i="21" s="1"/>
  <c r="AY420" i="21"/>
  <c r="DI409" i="21"/>
  <c r="AX409" i="21"/>
  <c r="CM409" i="21" s="1"/>
  <c r="M409" i="21"/>
  <c r="BF409" i="21" s="1"/>
  <c r="CO409" i="21" s="1"/>
  <c r="AZ400" i="21"/>
  <c r="AY400" i="21"/>
  <c r="BH400" i="21" s="1"/>
  <c r="DA377" i="21"/>
  <c r="FG377" i="21"/>
  <c r="CB378" i="21"/>
  <c r="CI378" i="21" s="1"/>
  <c r="CK378" i="21" s="1"/>
  <c r="CP378" i="21" s="1"/>
  <c r="BF368" i="21"/>
  <c r="CO368" i="21" s="1"/>
  <c r="AZ360" i="21"/>
  <c r="EL401" i="21"/>
  <c r="EK401" i="21" s="1"/>
  <c r="Y401" i="21"/>
  <c r="FY347" i="21"/>
  <c r="CA347" i="21"/>
  <c r="BZ347" i="21"/>
  <c r="BR347" i="21"/>
  <c r="DZ347" i="21" s="1"/>
  <c r="EB347" i="21" s="1"/>
  <c r="AL347" i="21"/>
  <c r="T347" i="21"/>
  <c r="FJ348" i="21"/>
  <c r="CW348" i="21"/>
  <c r="BI353" i="21"/>
  <c r="DT353" i="21"/>
  <c r="BF406" i="21"/>
  <c r="CO406" i="21" s="1"/>
  <c r="M330" i="21"/>
  <c r="BF330" i="21" s="1"/>
  <c r="CO330" i="21" s="1"/>
  <c r="DI330" i="21"/>
  <c r="AX330" i="21"/>
  <c r="CM330" i="21" s="1"/>
  <c r="BB330" i="21"/>
  <c r="AX291" i="21"/>
  <c r="CM291" i="21" s="1"/>
  <c r="M291" i="21"/>
  <c r="BF291" i="21" s="1"/>
  <c r="CO291" i="21" s="1"/>
  <c r="DI291" i="21"/>
  <c r="EH292" i="21"/>
  <c r="EB361" i="21"/>
  <c r="BH299" i="21"/>
  <c r="AY251" i="21"/>
  <c r="DD297" i="21"/>
  <c r="FI297" i="21"/>
  <c r="ET217" i="21"/>
  <c r="FI231" i="21"/>
  <c r="CX231" i="21"/>
  <c r="AZ185" i="21"/>
  <c r="BH185" i="21"/>
  <c r="EE168" i="21"/>
  <c r="AL168" i="21"/>
  <c r="AQ168" i="21" s="1"/>
  <c r="FI182" i="21"/>
  <c r="CX182" i="21"/>
  <c r="AZ127" i="21"/>
  <c r="AY127" i="21"/>
  <c r="CX114" i="21"/>
  <c r="FI114" i="21"/>
  <c r="DM130" i="21"/>
  <c r="BM131" i="21"/>
  <c r="BL131" i="21"/>
  <c r="BN131" i="21" s="1"/>
  <c r="FJ124" i="21"/>
  <c r="CW124" i="21"/>
  <c r="CS102" i="21"/>
  <c r="CO102" i="21"/>
  <c r="CM102" i="21"/>
  <c r="DT70" i="21"/>
  <c r="AY69" i="21"/>
  <c r="AZ69" i="21" s="1"/>
  <c r="BC22" i="21"/>
  <c r="L16" i="21"/>
  <c r="AX26" i="21"/>
  <c r="DJ26" i="21"/>
  <c r="M26" i="21"/>
  <c r="BF26" i="21" s="1"/>
  <c r="EL51" i="21"/>
  <c r="EK51" i="21" s="1"/>
  <c r="Y51" i="21"/>
  <c r="AX444" i="21"/>
  <c r="CM444" i="21" s="1"/>
  <c r="DI444" i="21"/>
  <c r="M444" i="21"/>
  <c r="BF444" i="21" s="1"/>
  <c r="CO444" i="21" s="1"/>
  <c r="DT413" i="21"/>
  <c r="BI413" i="21"/>
  <c r="AL403" i="21"/>
  <c r="CA403" i="21"/>
  <c r="BZ403" i="21"/>
  <c r="CB403" i="21" s="1"/>
  <c r="CI403" i="21" s="1"/>
  <c r="CK403" i="21" s="1"/>
  <c r="CP403" i="21" s="1"/>
  <c r="BR403" i="21"/>
  <c r="DZ403" i="21" s="1"/>
  <c r="EB403" i="21" s="1"/>
  <c r="EH403" i="21" s="1"/>
  <c r="FY403" i="21"/>
  <c r="GA403" i="21" s="1"/>
  <c r="CS403" i="21" s="1"/>
  <c r="T403" i="21"/>
  <c r="CU408" i="21"/>
  <c r="FG408" i="21"/>
  <c r="FI412" i="21"/>
  <c r="DD412" i="21"/>
  <c r="DT417" i="21"/>
  <c r="BI417" i="21"/>
  <c r="AX380" i="21"/>
  <c r="CM380" i="21" s="1"/>
  <c r="M380" i="21"/>
  <c r="BF380" i="21" s="1"/>
  <c r="CO380" i="21" s="1"/>
  <c r="DI380" i="21"/>
  <c r="BH388" i="21"/>
  <c r="AX336" i="21"/>
  <c r="CM336" i="21" s="1"/>
  <c r="DI336" i="21"/>
  <c r="M336" i="21"/>
  <c r="BF336" i="21" s="1"/>
  <c r="CO336" i="21" s="1"/>
  <c r="CU312" i="21"/>
  <c r="FG312" i="21"/>
  <c r="DT340" i="21"/>
  <c r="BI340" i="21"/>
  <c r="BJ340" i="21" s="1"/>
  <c r="DA246" i="21"/>
  <c r="FG246" i="21"/>
  <c r="DD298" i="21"/>
  <c r="FI298" i="21"/>
  <c r="FG172" i="21"/>
  <c r="CU172" i="21"/>
  <c r="EL194" i="21"/>
  <c r="EK194" i="21" s="1"/>
  <c r="Y194" i="21"/>
  <c r="FJ183" i="21"/>
  <c r="DC183" i="21"/>
  <c r="BO124" i="21"/>
  <c r="ET203" i="21"/>
  <c r="EU203" i="21" s="1"/>
  <c r="EV203" i="21" s="1"/>
  <c r="DA448" i="21"/>
  <c r="FG448" i="21"/>
  <c r="M416" i="21"/>
  <c r="BF416" i="21" s="1"/>
  <c r="CO416" i="21" s="1"/>
  <c r="DI416" i="21"/>
  <c r="AX416" i="21"/>
  <c r="CM416" i="21" s="1"/>
  <c r="DM355" i="21"/>
  <c r="CX324" i="21"/>
  <c r="FI324" i="21"/>
  <c r="EG357" i="21"/>
  <c r="ET324" i="21"/>
  <c r="EU324" i="21" s="1"/>
  <c r="EV324" i="21" s="1"/>
  <c r="AZ359" i="21"/>
  <c r="DM304" i="21"/>
  <c r="EL214" i="21"/>
  <c r="EK214" i="21" s="1"/>
  <c r="Y214" i="21"/>
  <c r="BZ195" i="21"/>
  <c r="CB195" i="21" s="1"/>
  <c r="CI195" i="21" s="1"/>
  <c r="CK195" i="21" s="1"/>
  <c r="CP195" i="21" s="1"/>
  <c r="BR195" i="21"/>
  <c r="DZ195" i="21" s="1"/>
  <c r="EB195" i="21" s="1"/>
  <c r="FY195" i="21"/>
  <c r="GA195" i="21" s="1"/>
  <c r="CS195" i="21" s="1"/>
  <c r="T195" i="21"/>
  <c r="CA195" i="21"/>
  <c r="AL195" i="21"/>
  <c r="AJ195" i="21"/>
  <c r="EU270" i="21"/>
  <c r="EV270" i="21" s="1"/>
  <c r="DM178" i="21"/>
  <c r="EG217" i="21"/>
  <c r="BZ164" i="21"/>
  <c r="CB164" i="21" s="1"/>
  <c r="CI164" i="21" s="1"/>
  <c r="CK164" i="21" s="1"/>
  <c r="DY164" i="21"/>
  <c r="EH164" i="21" s="1"/>
  <c r="FI183" i="21"/>
  <c r="DD183" i="21"/>
  <c r="BN119" i="21"/>
  <c r="BO119" i="21"/>
  <c r="CW131" i="21"/>
  <c r="FJ131" i="21"/>
  <c r="ES467" i="21"/>
  <c r="ER467" i="21"/>
  <c r="EW467" i="21" s="1"/>
  <c r="DM467" i="21"/>
  <c r="DT444" i="21"/>
  <c r="BI444" i="21"/>
  <c r="BI422" i="21"/>
  <c r="DT422" i="21"/>
  <c r="EL406" i="21"/>
  <c r="EK406" i="21" s="1"/>
  <c r="ET406" i="21" s="1"/>
  <c r="Y406" i="21"/>
  <c r="BR435" i="21"/>
  <c r="DZ435" i="21" s="1"/>
  <c r="EB435" i="21" s="1"/>
  <c r="CA435" i="21"/>
  <c r="BZ435" i="21"/>
  <c r="FY435" i="21"/>
  <c r="GA435" i="21" s="1"/>
  <c r="CS435" i="21" s="1"/>
  <c r="T435" i="21"/>
  <c r="AL373" i="21"/>
  <c r="BZ373" i="21"/>
  <c r="BR373" i="21"/>
  <c r="DZ373" i="21" s="1"/>
  <c r="EB373" i="21" s="1"/>
  <c r="CA373" i="21"/>
  <c r="AY341" i="21"/>
  <c r="BH341" i="21" s="1"/>
  <c r="CI355" i="21"/>
  <c r="CK355" i="21" s="1"/>
  <c r="CP355" i="21" s="1"/>
  <c r="EG355" i="21"/>
  <c r="Y185" i="21"/>
  <c r="EL185" i="21"/>
  <c r="EK185" i="21" s="1"/>
  <c r="BC199" i="21"/>
  <c r="CN199" i="21" s="1"/>
  <c r="AY119" i="21"/>
  <c r="AZ119" i="21" s="1"/>
  <c r="FJ136" i="21"/>
  <c r="CW136" i="21"/>
  <c r="DC118" i="21"/>
  <c r="FJ118" i="21"/>
  <c r="BE78" i="21"/>
  <c r="BF78" i="21" s="1"/>
  <c r="CO78" i="21" s="1"/>
  <c r="AY78" i="21"/>
  <c r="AZ78" i="21" s="1"/>
  <c r="DM30" i="21"/>
  <c r="CA442" i="21"/>
  <c r="BR442" i="21"/>
  <c r="DZ442" i="21" s="1"/>
  <c r="EB442" i="21" s="1"/>
  <c r="FY442" i="21"/>
  <c r="GA442" i="21" s="1"/>
  <c r="CS442" i="21" s="1"/>
  <c r="BZ442" i="21"/>
  <c r="DM446" i="21"/>
  <c r="EG446" i="21"/>
  <c r="DI393" i="21"/>
  <c r="AX393" i="21"/>
  <c r="CM393" i="21" s="1"/>
  <c r="M393" i="21"/>
  <c r="BF393" i="21" s="1"/>
  <c r="CO393" i="21" s="1"/>
  <c r="CA392" i="21"/>
  <c r="BZ392" i="21"/>
  <c r="BR392" i="21"/>
  <c r="DZ392" i="21" s="1"/>
  <c r="EB392" i="21" s="1"/>
  <c r="T392" i="21"/>
  <c r="AY392" i="21" s="1"/>
  <c r="FY392" i="21"/>
  <c r="GA392" i="21" s="1"/>
  <c r="CS392" i="21" s="1"/>
  <c r="AL392" i="21"/>
  <c r="AY353" i="21"/>
  <c r="BH353" i="21" s="1"/>
  <c r="BH227" i="21"/>
  <c r="BJ227" i="21" s="1"/>
  <c r="AZ227" i="21"/>
  <c r="AY227" i="21"/>
  <c r="DM182" i="21"/>
  <c r="DM247" i="21"/>
  <c r="Y210" i="21"/>
  <c r="EL210" i="21"/>
  <c r="EK210" i="21" s="1"/>
  <c r="DM168" i="21"/>
  <c r="AY186" i="21"/>
  <c r="AZ186" i="21" s="1"/>
  <c r="EE181" i="21"/>
  <c r="AL181" i="21"/>
  <c r="AL91" i="21"/>
  <c r="AM91" i="21"/>
  <c r="BM25" i="21"/>
  <c r="BL25" i="21"/>
  <c r="BN25" i="21" s="1"/>
  <c r="BI395" i="21"/>
  <c r="DT395" i="21"/>
  <c r="CX381" i="21"/>
  <c r="FI381" i="21"/>
  <c r="DM348" i="21"/>
  <c r="DI337" i="21"/>
  <c r="M337" i="21"/>
  <c r="BF337" i="21" s="1"/>
  <c r="CO337" i="21" s="1"/>
  <c r="AX337" i="21"/>
  <c r="CM337" i="21" s="1"/>
  <c r="AY373" i="21"/>
  <c r="BH373" i="21" s="1"/>
  <c r="AY379" i="21"/>
  <c r="BH379" i="21" s="1"/>
  <c r="CE321" i="21"/>
  <c r="FG321" i="21"/>
  <c r="DA321" i="21"/>
  <c r="EH340" i="21"/>
  <c r="FI286" i="21"/>
  <c r="DD286" i="21"/>
  <c r="BI313" i="21"/>
  <c r="DT313" i="21"/>
  <c r="AY154" i="21"/>
  <c r="BH154" i="21" s="1"/>
  <c r="BJ154" i="21" s="1"/>
  <c r="CX170" i="21"/>
  <c r="FI170" i="21"/>
  <c r="CB181" i="21"/>
  <c r="CI181" i="21" s="1"/>
  <c r="CK181" i="21" s="1"/>
  <c r="CP181" i="21" s="1"/>
  <c r="CS100" i="21"/>
  <c r="CO100" i="21"/>
  <c r="DM101" i="21"/>
  <c r="FI58" i="21"/>
  <c r="CX58" i="21"/>
  <c r="DP41" i="21"/>
  <c r="DO41" i="21"/>
  <c r="BE79" i="21"/>
  <c r="BF79" i="21" s="1"/>
  <c r="CO79" i="21" s="1"/>
  <c r="AZ79" i="21"/>
  <c r="DM79" i="21"/>
  <c r="DM40" i="21"/>
  <c r="DU485" i="21"/>
  <c r="EM485" i="21" s="1"/>
  <c r="EP485" i="21" s="1"/>
  <c r="EQ485" i="21" s="1"/>
  <c r="DN485" i="21" s="1"/>
  <c r="DM495" i="21"/>
  <c r="BC476" i="21"/>
  <c r="DU476" i="21"/>
  <c r="EM476" i="21" s="1"/>
  <c r="EP476" i="21" s="1"/>
  <c r="EQ476" i="21" s="1"/>
  <c r="ED465" i="21"/>
  <c r="FI434" i="21"/>
  <c r="CX434" i="21"/>
  <c r="ET491" i="21"/>
  <c r="EU491" i="21"/>
  <c r="EV491" i="21" s="1"/>
  <c r="EM491" i="21"/>
  <c r="EP491" i="21" s="1"/>
  <c r="EQ491" i="21" s="1"/>
  <c r="DN491" i="21" s="1"/>
  <c r="M418" i="21"/>
  <c r="BF418" i="21" s="1"/>
  <c r="CO418" i="21" s="1"/>
  <c r="DI418" i="21"/>
  <c r="AX418" i="21"/>
  <c r="CM418" i="21" s="1"/>
  <c r="FY399" i="21"/>
  <c r="GA399" i="21" s="1"/>
  <c r="CS399" i="21" s="1"/>
  <c r="AL399" i="21"/>
  <c r="CA399" i="21"/>
  <c r="BZ399" i="21"/>
  <c r="CB399" i="21" s="1"/>
  <c r="CI399" i="21" s="1"/>
  <c r="CK399" i="21" s="1"/>
  <c r="CP399" i="21" s="1"/>
  <c r="BR399" i="21"/>
  <c r="DZ399" i="21" s="1"/>
  <c r="EB399" i="21" s="1"/>
  <c r="EH399" i="21" s="1"/>
  <c r="BB432" i="21"/>
  <c r="DM372" i="21"/>
  <c r="GA366" i="21"/>
  <c r="CS366" i="21" s="1"/>
  <c r="BB380" i="21"/>
  <c r="BI373" i="21"/>
  <c r="DT373" i="21"/>
  <c r="ET350" i="21"/>
  <c r="EU350" i="21"/>
  <c r="EV350" i="21" s="1"/>
  <c r="DM370" i="21"/>
  <c r="Y379" i="21"/>
  <c r="DA406" i="21"/>
  <c r="FG406" i="21"/>
  <c r="AZ385" i="21"/>
  <c r="BH385" i="21"/>
  <c r="EB341" i="21"/>
  <c r="DM319" i="21"/>
  <c r="CX304" i="21"/>
  <c r="FI304" i="21"/>
  <c r="DT318" i="21"/>
  <c r="BI318" i="21"/>
  <c r="AY357" i="21"/>
  <c r="AZ357" i="21" s="1"/>
  <c r="FG255" i="21"/>
  <c r="CU255" i="21"/>
  <c r="DD250" i="21"/>
  <c r="FI250" i="21"/>
  <c r="CX299" i="21"/>
  <c r="FI299" i="21"/>
  <c r="ET258" i="21"/>
  <c r="EU258" i="21" s="1"/>
  <c r="EV258" i="21" s="1"/>
  <c r="AU212" i="21"/>
  <c r="AR212" i="21"/>
  <c r="BC216" i="21"/>
  <c r="AV216" i="21"/>
  <c r="AW216" i="21" s="1"/>
  <c r="FI209" i="21"/>
  <c r="DD209" i="21"/>
  <c r="DI178" i="21"/>
  <c r="AX178" i="21"/>
  <c r="CM178" i="21" s="1"/>
  <c r="M178" i="21"/>
  <c r="BB178" i="21"/>
  <c r="FJ166" i="21"/>
  <c r="DC166" i="21"/>
  <c r="CU182" i="21"/>
  <c r="FG182" i="21"/>
  <c r="FI143" i="21"/>
  <c r="DD143" i="21"/>
  <c r="FG197" i="21"/>
  <c r="CU197" i="21"/>
  <c r="BC162" i="21"/>
  <c r="AV162" i="21"/>
  <c r="AW162" i="21" s="1"/>
  <c r="DD144" i="21"/>
  <c r="FI144" i="21"/>
  <c r="BE67" i="21"/>
  <c r="BF67" i="21" s="1"/>
  <c r="CO67" i="21" s="1"/>
  <c r="FI113" i="21"/>
  <c r="CX113" i="21"/>
  <c r="FG147" i="21"/>
  <c r="DA147" i="21"/>
  <c r="DM181" i="21"/>
  <c r="CM96" i="21"/>
  <c r="Y88" i="21"/>
  <c r="EL88" i="21"/>
  <c r="EK88" i="21" s="1"/>
  <c r="FG65" i="21"/>
  <c r="CU65" i="21"/>
  <c r="FI84" i="21"/>
  <c r="CX84" i="21"/>
  <c r="CU74" i="21"/>
  <c r="FG74" i="21"/>
  <c r="EL95" i="21"/>
  <c r="EK95" i="21" s="1"/>
  <c r="Y95" i="21"/>
  <c r="DT433" i="21"/>
  <c r="BI433" i="21"/>
  <c r="BZ441" i="21"/>
  <c r="BR441" i="21"/>
  <c r="DZ441" i="21" s="1"/>
  <c r="EB441" i="21" s="1"/>
  <c r="CA441" i="21"/>
  <c r="FY441" i="21"/>
  <c r="GA441" i="21" s="1"/>
  <c r="CS441" i="21" s="1"/>
  <c r="DD332" i="21"/>
  <c r="FI332" i="21"/>
  <c r="EL380" i="21"/>
  <c r="EK380" i="21" s="1"/>
  <c r="Y380" i="21"/>
  <c r="DM285" i="21"/>
  <c r="BJ259" i="21"/>
  <c r="ET190" i="21"/>
  <c r="EU190" i="21" s="1"/>
  <c r="EV190" i="21" s="1"/>
  <c r="CM103" i="21"/>
  <c r="CP103" i="21"/>
  <c r="CS103" i="21"/>
  <c r="CO103" i="21"/>
  <c r="FI95" i="21"/>
  <c r="CX95" i="21"/>
  <c r="BI486" i="21"/>
  <c r="BJ486" i="21" s="1"/>
  <c r="DT486" i="21"/>
  <c r="EH390" i="21"/>
  <c r="EG390" i="21"/>
  <c r="EL216" i="21"/>
  <c r="EK216" i="21" s="1"/>
  <c r="EM216" i="21" s="1"/>
  <c r="EP216" i="21" s="1"/>
  <c r="EQ216" i="21" s="1"/>
  <c r="Y216" i="21"/>
  <c r="ET494" i="21"/>
  <c r="EU494" i="21"/>
  <c r="EV494" i="21" s="1"/>
  <c r="BC479" i="21"/>
  <c r="DU479" i="21"/>
  <c r="DN475" i="21"/>
  <c r="ER475" i="21"/>
  <c r="ES475" i="21"/>
  <c r="EG427" i="21"/>
  <c r="EH427" i="21"/>
  <c r="BH399" i="21"/>
  <c r="DM381" i="21"/>
  <c r="FJ372" i="21"/>
  <c r="CW372" i="21"/>
  <c r="CI389" i="21"/>
  <c r="CK389" i="21" s="1"/>
  <c r="CP389" i="21" s="1"/>
  <c r="DT371" i="21"/>
  <c r="BI371" i="21"/>
  <c r="CI385" i="21"/>
  <c r="EH385" i="21"/>
  <c r="BH351" i="21"/>
  <c r="BJ351" i="21" s="1"/>
  <c r="BC337" i="21"/>
  <c r="CN337" i="21" s="1"/>
  <c r="CK337" i="21"/>
  <c r="CP337" i="21" s="1"/>
  <c r="FY331" i="21"/>
  <c r="GA331" i="21" s="1"/>
  <c r="CS331" i="21" s="1"/>
  <c r="CA331" i="21"/>
  <c r="BZ331" i="21"/>
  <c r="CB331" i="21" s="1"/>
  <c r="CI331" i="21" s="1"/>
  <c r="CK331" i="21" s="1"/>
  <c r="CP331" i="21" s="1"/>
  <c r="BR331" i="21"/>
  <c r="DZ331" i="21" s="1"/>
  <c r="EB331" i="21" s="1"/>
  <c r="EH331" i="21" s="1"/>
  <c r="EL333" i="21"/>
  <c r="EK333" i="21" s="1"/>
  <c r="Y333" i="21"/>
  <c r="BZ276" i="21"/>
  <c r="CB276" i="21" s="1"/>
  <c r="CI276" i="21" s="1"/>
  <c r="AL276" i="21"/>
  <c r="CA276" i="21"/>
  <c r="BR276" i="21"/>
  <c r="DZ276" i="21" s="1"/>
  <c r="EB276" i="21" s="1"/>
  <c r="T276" i="21"/>
  <c r="CU281" i="21"/>
  <c r="FG281" i="21"/>
  <c r="CA284" i="21"/>
  <c r="BZ284" i="21"/>
  <c r="BR284" i="21"/>
  <c r="DZ284" i="21" s="1"/>
  <c r="EB284" i="21" s="1"/>
  <c r="T284" i="21"/>
  <c r="FY284" i="21"/>
  <c r="GA284" i="21" s="1"/>
  <c r="CS284" i="21" s="1"/>
  <c r="AL284" i="21"/>
  <c r="CI285" i="21"/>
  <c r="M260" i="21"/>
  <c r="BF260" i="21" s="1"/>
  <c r="CO260" i="21" s="1"/>
  <c r="AX260" i="21"/>
  <c r="CM260" i="21" s="1"/>
  <c r="DI260" i="21"/>
  <c r="FJ308" i="21"/>
  <c r="CW308" i="21"/>
  <c r="EG343" i="21"/>
  <c r="DI250" i="21"/>
  <c r="M250" i="21"/>
  <c r="AX250" i="21"/>
  <c r="CM250" i="21" s="1"/>
  <c r="BB250" i="21"/>
  <c r="DM256" i="21"/>
  <c r="FI282" i="21"/>
  <c r="DD282" i="21"/>
  <c r="BC308" i="21"/>
  <c r="CN308" i="21" s="1"/>
  <c r="DC274" i="21"/>
  <c r="FJ274" i="21"/>
  <c r="AT194" i="21"/>
  <c r="DU194" i="21" s="1"/>
  <c r="AP195" i="21"/>
  <c r="AY176" i="21"/>
  <c r="AZ176" i="21" s="1"/>
  <c r="FI269" i="21"/>
  <c r="DD269" i="21"/>
  <c r="DA169" i="21"/>
  <c r="FG169" i="21"/>
  <c r="CU176" i="21"/>
  <c r="FG176" i="21"/>
  <c r="M219" i="21"/>
  <c r="DI219" i="21"/>
  <c r="AX219" i="21"/>
  <c r="BB219" i="21"/>
  <c r="FG202" i="21"/>
  <c r="CU202" i="21"/>
  <c r="FG207" i="21"/>
  <c r="CU207" i="21"/>
  <c r="DY160" i="21"/>
  <c r="BZ160" i="21"/>
  <c r="CB160" i="21" s="1"/>
  <c r="CI160" i="21" s="1"/>
  <c r="CK160" i="21" s="1"/>
  <c r="DI265" i="21"/>
  <c r="M265" i="21"/>
  <c r="BF265" i="21" s="1"/>
  <c r="CO265" i="21" s="1"/>
  <c r="AX265" i="21"/>
  <c r="CM265" i="21" s="1"/>
  <c r="AZ194" i="21"/>
  <c r="AY194" i="21"/>
  <c r="BH194" i="21" s="1"/>
  <c r="AL289" i="21"/>
  <c r="CA289" i="21"/>
  <c r="BZ289" i="21"/>
  <c r="BR289" i="21"/>
  <c r="DZ289" i="21" s="1"/>
  <c r="EB289" i="21" s="1"/>
  <c r="EH289" i="21" s="1"/>
  <c r="FY289" i="21"/>
  <c r="GA289" i="21" s="1"/>
  <c r="CS289" i="21" s="1"/>
  <c r="T289" i="21"/>
  <c r="DA120" i="21"/>
  <c r="FG120" i="21"/>
  <c r="DT184" i="21"/>
  <c r="BI184" i="21"/>
  <c r="AY302" i="21"/>
  <c r="BH302" i="21" s="1"/>
  <c r="EL117" i="21"/>
  <c r="EK117" i="21" s="1"/>
  <c r="Y117" i="21"/>
  <c r="EY47" i="21"/>
  <c r="EZ47" i="21" s="1"/>
  <c r="FI191" i="21"/>
  <c r="CX191" i="21"/>
  <c r="EY81" i="21"/>
  <c r="ED209" i="21"/>
  <c r="CR209" i="21" s="1"/>
  <c r="DM80" i="21"/>
  <c r="BI490" i="21"/>
  <c r="BJ490" i="21" s="1"/>
  <c r="DT490" i="21"/>
  <c r="FI397" i="21"/>
  <c r="DD397" i="21"/>
  <c r="CW268" i="21"/>
  <c r="FJ268" i="21"/>
  <c r="FG254" i="21"/>
  <c r="CU254" i="21"/>
  <c r="AZ180" i="21"/>
  <c r="BH180" i="21"/>
  <c r="DM264" i="21"/>
  <c r="DU495" i="21"/>
  <c r="EM495" i="21" s="1"/>
  <c r="EP495" i="21" s="1"/>
  <c r="EQ495" i="21" s="1"/>
  <c r="CI425" i="21"/>
  <c r="CK425" i="21" s="1"/>
  <c r="CP425" i="21" s="1"/>
  <c r="FI342" i="21"/>
  <c r="DD342" i="21"/>
  <c r="ET348" i="21"/>
  <c r="EU348" i="21" s="1"/>
  <c r="EV348" i="21" s="1"/>
  <c r="CA318" i="21"/>
  <c r="BR318" i="21"/>
  <c r="DZ318" i="21" s="1"/>
  <c r="EB318" i="21" s="1"/>
  <c r="BZ318" i="21"/>
  <c r="FY318" i="21"/>
  <c r="GA318" i="21" s="1"/>
  <c r="CS318" i="21" s="1"/>
  <c r="AL318" i="21"/>
  <c r="T318" i="21"/>
  <c r="AM113" i="21"/>
  <c r="AL113" i="21"/>
  <c r="FG98" i="21"/>
  <c r="CU98" i="21"/>
  <c r="AZ488" i="21"/>
  <c r="BF425" i="21"/>
  <c r="CO425" i="21" s="1"/>
  <c r="FY426" i="21"/>
  <c r="GA426" i="21" s="1"/>
  <c r="CS426" i="21" s="1"/>
  <c r="CA426" i="21"/>
  <c r="BZ426" i="21"/>
  <c r="BR426" i="21"/>
  <c r="DZ426" i="21" s="1"/>
  <c r="EB426" i="21" s="1"/>
  <c r="AL426" i="21"/>
  <c r="T426" i="21"/>
  <c r="AL442" i="21"/>
  <c r="ET415" i="21"/>
  <c r="EU415" i="21" s="1"/>
  <c r="EV415" i="21" s="1"/>
  <c r="DT435" i="21"/>
  <c r="BI435" i="21"/>
  <c r="DA401" i="21"/>
  <c r="FG401" i="21"/>
  <c r="ET392" i="21"/>
  <c r="EU392" i="21"/>
  <c r="EV392" i="21" s="1"/>
  <c r="FI400" i="21"/>
  <c r="DD400" i="21"/>
  <c r="BH394" i="21"/>
  <c r="AZ389" i="21"/>
  <c r="M351" i="21"/>
  <c r="BF351" i="21" s="1"/>
  <c r="CO351" i="21" s="1"/>
  <c r="AX351" i="21"/>
  <c r="CM351" i="21" s="1"/>
  <c r="DI351" i="21"/>
  <c r="BC369" i="21"/>
  <c r="CN369" i="21" s="1"/>
  <c r="BB351" i="21"/>
  <c r="BC351" i="21" s="1"/>
  <c r="CN351" i="21" s="1"/>
  <c r="BF358" i="21"/>
  <c r="CO358" i="21" s="1"/>
  <c r="BI354" i="21"/>
  <c r="DT354" i="21"/>
  <c r="BB336" i="21"/>
  <c r="DT291" i="21"/>
  <c r="BI291" i="21"/>
  <c r="AY285" i="21"/>
  <c r="BH285" i="21" s="1"/>
  <c r="FG244" i="21"/>
  <c r="DA244" i="21"/>
  <c r="AY236" i="21"/>
  <c r="BH236" i="21" s="1"/>
  <c r="DI235" i="21"/>
  <c r="AX235" i="21"/>
  <c r="CM235" i="21" s="1"/>
  <c r="M235" i="21"/>
  <c r="BF235" i="21" s="1"/>
  <c r="CO235" i="21" s="1"/>
  <c r="BB235" i="21"/>
  <c r="BC235" i="21" s="1"/>
  <c r="CN235" i="21" s="1"/>
  <c r="M248" i="21"/>
  <c r="BF248" i="21" s="1"/>
  <c r="CO248" i="21" s="1"/>
  <c r="AX248" i="21"/>
  <c r="CM248" i="21" s="1"/>
  <c r="DI248" i="21"/>
  <c r="BB248" i="21"/>
  <c r="BC248" i="21" s="1"/>
  <c r="CN248" i="21" s="1"/>
  <c r="FI169" i="21"/>
  <c r="DD169" i="21"/>
  <c r="EE176" i="21"/>
  <c r="AL176" i="21"/>
  <c r="CX175" i="21"/>
  <c r="FI175" i="21"/>
  <c r="FJ127" i="21"/>
  <c r="CW127" i="21"/>
  <c r="EY120" i="21"/>
  <c r="EZ120" i="21" s="1"/>
  <c r="DM177" i="21"/>
  <c r="DT99" i="21"/>
  <c r="CU94" i="21"/>
  <c r="FG94" i="21"/>
  <c r="CW126" i="21"/>
  <c r="FJ126" i="21"/>
  <c r="DM183" i="21"/>
  <c r="CU53" i="21"/>
  <c r="FG53" i="21"/>
  <c r="DM169" i="21"/>
  <c r="DD395" i="21"/>
  <c r="FI395" i="21"/>
  <c r="ET371" i="21"/>
  <c r="EU371" i="21" s="1"/>
  <c r="EV371" i="21" s="1"/>
  <c r="CA301" i="21"/>
  <c r="BZ301" i="21"/>
  <c r="CB301" i="21" s="1"/>
  <c r="CI301" i="21" s="1"/>
  <c r="CK301" i="21" s="1"/>
  <c r="CP301" i="21" s="1"/>
  <c r="AL301" i="21"/>
  <c r="FY301" i="21"/>
  <c r="GA301" i="21" s="1"/>
  <c r="CS301" i="21" s="1"/>
  <c r="BR301" i="21"/>
  <c r="DZ301" i="21" s="1"/>
  <c r="EB301" i="21" s="1"/>
  <c r="BE62" i="21"/>
  <c r="BF62" i="21" s="1"/>
  <c r="AZ62" i="21"/>
  <c r="AY62" i="21"/>
  <c r="ES482" i="21"/>
  <c r="EW482" i="21" s="1"/>
  <c r="ER482" i="21"/>
  <c r="DM482" i="21"/>
  <c r="BR438" i="21"/>
  <c r="DZ438" i="21" s="1"/>
  <c r="EB438" i="21" s="1"/>
  <c r="FY438" i="21"/>
  <c r="GA438" i="21" s="1"/>
  <c r="CS438" i="21" s="1"/>
  <c r="CA438" i="21"/>
  <c r="BZ438" i="21"/>
  <c r="AL438" i="21"/>
  <c r="BI403" i="21"/>
  <c r="DT403" i="21"/>
  <c r="EL301" i="21"/>
  <c r="EK301" i="21" s="1"/>
  <c r="Y301" i="21"/>
  <c r="FJ172" i="21"/>
  <c r="CW172" i="21"/>
  <c r="FX83" i="21"/>
  <c r="GA83" i="21" s="1"/>
  <c r="CS83" i="21" s="1"/>
  <c r="AN83" i="21"/>
  <c r="CA83" i="21"/>
  <c r="BZ83" i="21"/>
  <c r="CB83" i="21" s="1"/>
  <c r="CI83" i="21" s="1"/>
  <c r="CK83" i="21" s="1"/>
  <c r="CP83" i="21" s="1"/>
  <c r="BR83" i="21"/>
  <c r="DZ83" i="21" s="1"/>
  <c r="EB83" i="21" s="1"/>
  <c r="BK83" i="21"/>
  <c r="EE83" i="21"/>
  <c r="EL449" i="21"/>
  <c r="EK449" i="21" s="1"/>
  <c r="Y449" i="21"/>
  <c r="BI442" i="21"/>
  <c r="DT442" i="21"/>
  <c r="CA418" i="21"/>
  <c r="FY418" i="21"/>
  <c r="BZ418" i="21"/>
  <c r="BR418" i="21"/>
  <c r="DZ418" i="21" s="1"/>
  <c r="EB418" i="21" s="1"/>
  <c r="DA415" i="21"/>
  <c r="FG415" i="21"/>
  <c r="BH423" i="21"/>
  <c r="AY391" i="21"/>
  <c r="BH391" i="21" s="1"/>
  <c r="DD390" i="21"/>
  <c r="FI390" i="21"/>
  <c r="BB416" i="21"/>
  <c r="AL382" i="21"/>
  <c r="CX348" i="21"/>
  <c r="FI348" i="21"/>
  <c r="EL352" i="21"/>
  <c r="EK352" i="21" s="1"/>
  <c r="Y352" i="21"/>
  <c r="T331" i="21"/>
  <c r="BI285" i="21"/>
  <c r="DT285" i="21"/>
  <c r="DD294" i="21"/>
  <c r="FI294" i="21"/>
  <c r="DD296" i="21"/>
  <c r="FI296" i="21"/>
  <c r="FJ238" i="21"/>
  <c r="CW238" i="21"/>
  <c r="EH278" i="21"/>
  <c r="EG278" i="21"/>
  <c r="CB236" i="21"/>
  <c r="CI236" i="21" s="1"/>
  <c r="EH246" i="21"/>
  <c r="EG246" i="21"/>
  <c r="EH293" i="21"/>
  <c r="T201" i="21"/>
  <c r="AJ214" i="21"/>
  <c r="AT214" i="21"/>
  <c r="DU214" i="21" s="1"/>
  <c r="DN214" i="21" s="1"/>
  <c r="AY172" i="21"/>
  <c r="BH172" i="21" s="1"/>
  <c r="BJ172" i="21" s="1"/>
  <c r="EU161" i="21"/>
  <c r="EV161" i="21" s="1"/>
  <c r="ET161" i="21"/>
  <c r="BI289" i="21"/>
  <c r="DT289" i="21"/>
  <c r="AY222" i="21"/>
  <c r="AZ222" i="21" s="1"/>
  <c r="BO91" i="21"/>
  <c r="FI177" i="21"/>
  <c r="DD177" i="21"/>
  <c r="BL39" i="21"/>
  <c r="BN39" i="21" s="1"/>
  <c r="BM39" i="21"/>
  <c r="ET139" i="21"/>
  <c r="EU139" i="21" s="1"/>
  <c r="EV139" i="21" s="1"/>
  <c r="BO120" i="21"/>
  <c r="BP120" i="21" s="1"/>
  <c r="EI120" i="21" s="1"/>
  <c r="EH120" i="21" s="1"/>
  <c r="BB23" i="21"/>
  <c r="BC23" i="21" s="1"/>
  <c r="AM81" i="21"/>
  <c r="AL81" i="21"/>
  <c r="AM116" i="21"/>
  <c r="AL116" i="21"/>
  <c r="BM36" i="21"/>
  <c r="BO36" i="21" s="1"/>
  <c r="BL36" i="21"/>
  <c r="BN36" i="21" s="1"/>
  <c r="DJ50" i="21"/>
  <c r="EY50" i="21" s="1"/>
  <c r="AX50" i="21"/>
  <c r="M50" i="21"/>
  <c r="BF50" i="21" s="1"/>
  <c r="BB50" i="21"/>
  <c r="BC50" i="21" s="1"/>
  <c r="BC40" i="21"/>
  <c r="BM97" i="21"/>
  <c r="BO97" i="21" s="1"/>
  <c r="BP97" i="21" s="1"/>
  <c r="EI97" i="21" s="1"/>
  <c r="ES489" i="21"/>
  <c r="ER489" i="21"/>
  <c r="DM489" i="21"/>
  <c r="DA441" i="21"/>
  <c r="FG441" i="21"/>
  <c r="EG419" i="21"/>
  <c r="M23" i="21"/>
  <c r="AX23" i="21"/>
  <c r="DJ23" i="21"/>
  <c r="CA414" i="21"/>
  <c r="FY414" i="21"/>
  <c r="GA414" i="21" s="1"/>
  <c r="CS414" i="21" s="1"/>
  <c r="BZ414" i="21"/>
  <c r="BR414" i="21"/>
  <c r="DZ414" i="21" s="1"/>
  <c r="EB414" i="21" s="1"/>
  <c r="EG414" i="21" s="1"/>
  <c r="AL414" i="21"/>
  <c r="T414" i="21"/>
  <c r="AY414" i="21" s="1"/>
  <c r="P201" i="21"/>
  <c r="DY201" i="21" s="1"/>
  <c r="EH201" i="21" s="1"/>
  <c r="AX201" i="21"/>
  <c r="CM201" i="21" s="1"/>
  <c r="M201" i="21"/>
  <c r="BF201" i="21" s="1"/>
  <c r="CO201" i="21" s="1"/>
  <c r="DI201" i="21"/>
  <c r="Y83" i="21"/>
  <c r="EL83" i="21"/>
  <c r="EK83" i="21" s="1"/>
  <c r="AM125" i="21"/>
  <c r="AL125" i="21"/>
  <c r="EY65" i="21"/>
  <c r="EZ65" i="21"/>
  <c r="AX34" i="21"/>
  <c r="M34" i="21"/>
  <c r="BF34" i="21" s="1"/>
  <c r="DJ34" i="21"/>
  <c r="EY34" i="21" s="1"/>
  <c r="ED488" i="21"/>
  <c r="DI356" i="21"/>
  <c r="AX356" i="21"/>
  <c r="CM356" i="21" s="1"/>
  <c r="M356" i="21"/>
  <c r="BF356" i="21" s="1"/>
  <c r="CO356" i="21" s="1"/>
  <c r="FI385" i="21"/>
  <c r="CX385" i="21"/>
  <c r="CB361" i="21"/>
  <c r="CI361" i="21" s="1"/>
  <c r="DM493" i="21"/>
  <c r="BH472" i="21"/>
  <c r="BF465" i="21"/>
  <c r="CK465" i="21"/>
  <c r="DN478" i="21"/>
  <c r="ES478" i="21"/>
  <c r="ER478" i="21"/>
  <c r="FI432" i="21"/>
  <c r="CX432" i="21"/>
  <c r="AY418" i="21"/>
  <c r="BH418" i="21" s="1"/>
  <c r="EH436" i="21"/>
  <c r="BH406" i="21"/>
  <c r="BI381" i="21"/>
  <c r="DT381" i="21"/>
  <c r="DT348" i="21"/>
  <c r="BI348" i="21"/>
  <c r="BJ348" i="21" s="1"/>
  <c r="AL408" i="21"/>
  <c r="FY408" i="21"/>
  <c r="GA408" i="21" s="1"/>
  <c r="CS408" i="21" s="1"/>
  <c r="BZ408" i="21"/>
  <c r="BR408" i="21"/>
  <c r="DZ408" i="21" s="1"/>
  <c r="EB408" i="21" s="1"/>
  <c r="CA408" i="21"/>
  <c r="T408" i="21"/>
  <c r="CV348" i="21"/>
  <c r="FH348" i="21"/>
  <c r="DT341" i="21"/>
  <c r="BI341" i="21"/>
  <c r="EG372" i="21"/>
  <c r="BI358" i="21"/>
  <c r="BJ358" i="21" s="1"/>
  <c r="DT358" i="21"/>
  <c r="CA316" i="21"/>
  <c r="BZ316" i="21"/>
  <c r="BR316" i="21"/>
  <c r="DZ316" i="21" s="1"/>
  <c r="EB316" i="21" s="1"/>
  <c r="FY316" i="21"/>
  <c r="GA316" i="21" s="1"/>
  <c r="CS316" i="21" s="1"/>
  <c r="T316" i="21"/>
  <c r="AL316" i="21"/>
  <c r="FI362" i="21"/>
  <c r="CX362" i="21"/>
  <c r="M346" i="21"/>
  <c r="BF346" i="21" s="1"/>
  <c r="CO346" i="21" s="1"/>
  <c r="DI346" i="21"/>
  <c r="AX346" i="21"/>
  <c r="CM346" i="21" s="1"/>
  <c r="BB346" i="21"/>
  <c r="FI319" i="21"/>
  <c r="DD319" i="21"/>
  <c r="DT319" i="21"/>
  <c r="BI319" i="21"/>
  <c r="BJ319" i="21" s="1"/>
  <c r="DI292" i="21"/>
  <c r="M292" i="21"/>
  <c r="BF292" i="21" s="1"/>
  <c r="CO292" i="21" s="1"/>
  <c r="AX292" i="21"/>
  <c r="CM292" i="21" s="1"/>
  <c r="BB292" i="21"/>
  <c r="AY331" i="21"/>
  <c r="GA281" i="21"/>
  <c r="CS281" i="21" s="1"/>
  <c r="BI303" i="21"/>
  <c r="BJ303" i="21" s="1"/>
  <c r="DT303" i="21"/>
  <c r="DA294" i="21"/>
  <c r="FG294" i="21"/>
  <c r="T292" i="21"/>
  <c r="DI299" i="21"/>
  <c r="M299" i="21"/>
  <c r="BF299" i="21" s="1"/>
  <c r="CO299" i="21" s="1"/>
  <c r="AX299" i="21"/>
  <c r="CM299" i="21" s="1"/>
  <c r="FJ246" i="21"/>
  <c r="DC246" i="21"/>
  <c r="DM232" i="21"/>
  <c r="EG222" i="21"/>
  <c r="EH222" i="21"/>
  <c r="BM126" i="21"/>
  <c r="BL126" i="21"/>
  <c r="BN126" i="21" s="1"/>
  <c r="DJ37" i="21"/>
  <c r="EY37" i="21" s="1"/>
  <c r="AX37" i="21"/>
  <c r="M37" i="21"/>
  <c r="BF37" i="21" s="1"/>
  <c r="BB37" i="21"/>
  <c r="BC37" i="21" s="1"/>
  <c r="FI139" i="21"/>
  <c r="DD139" i="21"/>
  <c r="EZ119" i="21"/>
  <c r="ET61" i="21"/>
  <c r="EU61" i="21" s="1"/>
  <c r="EV61" i="21" s="1"/>
  <c r="CX81" i="21"/>
  <c r="FI81" i="21"/>
  <c r="BM70" i="21"/>
  <c r="BL70" i="21"/>
  <c r="BN70" i="21" s="1"/>
  <c r="AM30" i="21"/>
  <c r="AL30" i="21"/>
  <c r="GA418" i="21"/>
  <c r="CS418" i="21" s="1"/>
  <c r="AY315" i="21"/>
  <c r="AZ315" i="21" s="1"/>
  <c r="EH378" i="21"/>
  <c r="EG378" i="21"/>
  <c r="EH323" i="21"/>
  <c r="ET339" i="21"/>
  <c r="EU339" i="21" s="1"/>
  <c r="EV339" i="21" s="1"/>
  <c r="CU287" i="21"/>
  <c r="FG287" i="21"/>
  <c r="ET246" i="21"/>
  <c r="EU246" i="21" s="1"/>
  <c r="EV246" i="21" s="1"/>
  <c r="DD150" i="21"/>
  <c r="FI150" i="21"/>
  <c r="BC122" i="21"/>
  <c r="CN122" i="21" s="1"/>
  <c r="BN38" i="21"/>
  <c r="BO38" i="21"/>
  <c r="EL496" i="21"/>
  <c r="EK496" i="21" s="1"/>
  <c r="Y496" i="21"/>
  <c r="BH496" i="21"/>
  <c r="AZ496" i="21"/>
  <c r="DP475" i="21"/>
  <c r="DO475" i="21"/>
  <c r="ED475" i="21"/>
  <c r="AZ444" i="21"/>
  <c r="DM466" i="21"/>
  <c r="BC487" i="21"/>
  <c r="DU487" i="21"/>
  <c r="EM487" i="21" s="1"/>
  <c r="EP487" i="21" s="1"/>
  <c r="EQ487" i="21" s="1"/>
  <c r="DN487" i="21" s="1"/>
  <c r="AZ437" i="21"/>
  <c r="BH437" i="21"/>
  <c r="BF412" i="21"/>
  <c r="CO412" i="21" s="1"/>
  <c r="CK412" i="21"/>
  <c r="CP412" i="21" s="1"/>
  <c r="DT423" i="21"/>
  <c r="BI423" i="21"/>
  <c r="M390" i="21"/>
  <c r="AX390" i="21"/>
  <c r="CM390" i="21" s="1"/>
  <c r="DI390" i="21"/>
  <c r="FI386" i="21"/>
  <c r="CX386" i="21"/>
  <c r="DI375" i="21"/>
  <c r="M375" i="21"/>
  <c r="AX375" i="21"/>
  <c r="CM375" i="21" s="1"/>
  <c r="AY367" i="21"/>
  <c r="BH367" i="21" s="1"/>
  <c r="CA393" i="21"/>
  <c r="BZ393" i="21"/>
  <c r="FY393" i="21"/>
  <c r="GA393" i="21" s="1"/>
  <c r="CS393" i="21" s="1"/>
  <c r="BR393" i="21"/>
  <c r="DZ393" i="21" s="1"/>
  <c r="EB393" i="21" s="1"/>
  <c r="EG393" i="21" s="1"/>
  <c r="AL393" i="21"/>
  <c r="Y339" i="21"/>
  <c r="AZ425" i="21"/>
  <c r="BZ345" i="21"/>
  <c r="CA345" i="21"/>
  <c r="BR345" i="21"/>
  <c r="DZ345" i="21" s="1"/>
  <c r="EB345" i="21" s="1"/>
  <c r="AL345" i="21"/>
  <c r="FY345" i="21"/>
  <c r="GA345" i="21" s="1"/>
  <c r="CS345" i="21" s="1"/>
  <c r="T345" i="21"/>
  <c r="FG372" i="21"/>
  <c r="CU372" i="21"/>
  <c r="DA325" i="21"/>
  <c r="FG325" i="21"/>
  <c r="DM375" i="21"/>
  <c r="FG304" i="21"/>
  <c r="CU304" i="21"/>
  <c r="CA283" i="21"/>
  <c r="BZ283" i="21"/>
  <c r="BR283" i="21"/>
  <c r="DZ283" i="21" s="1"/>
  <c r="EB283" i="21" s="1"/>
  <c r="EH283" i="21" s="1"/>
  <c r="FY283" i="21"/>
  <c r="GA283" i="21" s="1"/>
  <c r="CS283" i="21" s="1"/>
  <c r="AL283" i="21"/>
  <c r="T283" i="21"/>
  <c r="AY292" i="21"/>
  <c r="BH279" i="21"/>
  <c r="AZ234" i="21"/>
  <c r="BH234" i="21"/>
  <c r="CX234" i="21"/>
  <c r="FI234" i="21"/>
  <c r="CI251" i="21"/>
  <c r="CK251" i="21" s="1"/>
  <c r="CP251" i="21" s="1"/>
  <c r="BH273" i="21"/>
  <c r="DM185" i="21"/>
  <c r="DU155" i="21"/>
  <c r="AU155" i="21"/>
  <c r="EE180" i="21"/>
  <c r="AL180" i="21"/>
  <c r="FI166" i="21"/>
  <c r="DD166" i="21"/>
  <c r="Y100" i="21"/>
  <c r="DM166" i="21"/>
  <c r="CX179" i="21"/>
  <c r="FI179" i="21"/>
  <c r="FJ139" i="21"/>
  <c r="DC139" i="21"/>
  <c r="CX126" i="21"/>
  <c r="FI126" i="21"/>
  <c r="DM36" i="21"/>
  <c r="CX70" i="21"/>
  <c r="FI70" i="21"/>
  <c r="EG78" i="21"/>
  <c r="EH78" i="21"/>
  <c r="EL492" i="21"/>
  <c r="EK492" i="21" s="1"/>
  <c r="Y492" i="21"/>
  <c r="EB425" i="21"/>
  <c r="CA395" i="21"/>
  <c r="BZ395" i="21"/>
  <c r="CB395" i="21" s="1"/>
  <c r="BR395" i="21"/>
  <c r="DZ395" i="21" s="1"/>
  <c r="EB395" i="21" s="1"/>
  <c r="T395" i="21"/>
  <c r="AL395" i="21"/>
  <c r="DD338" i="21"/>
  <c r="FI338" i="21"/>
  <c r="CX203" i="21"/>
  <c r="FI203" i="21"/>
  <c r="L15" i="21"/>
  <c r="BC446" i="21"/>
  <c r="CN446" i="21" s="1"/>
  <c r="BB295" i="21"/>
  <c r="DI221" i="21"/>
  <c r="BB221" i="21"/>
  <c r="AX221" i="21"/>
  <c r="CM221" i="21" s="1"/>
  <c r="M221" i="21"/>
  <c r="DT181" i="21"/>
  <c r="BI181" i="21"/>
  <c r="BN113" i="21"/>
  <c r="BO113" i="21"/>
  <c r="M100" i="21"/>
  <c r="BF100" i="21" s="1"/>
  <c r="AX100" i="21"/>
  <c r="CM100" i="21" s="1"/>
  <c r="DJ100" i="21"/>
  <c r="ET192" i="21"/>
  <c r="EU192" i="21" s="1"/>
  <c r="EV192" i="21" s="1"/>
  <c r="BL124" i="21"/>
  <c r="BN124" i="21" s="1"/>
  <c r="FI446" i="21"/>
  <c r="CX446" i="21"/>
  <c r="CA417" i="21"/>
  <c r="BZ417" i="21"/>
  <c r="BR417" i="21"/>
  <c r="DZ417" i="21" s="1"/>
  <c r="EB417" i="21" s="1"/>
  <c r="AL417" i="21"/>
  <c r="BI438" i="21"/>
  <c r="DT438" i="21"/>
  <c r="EU489" i="21"/>
  <c r="EV489" i="21" s="1"/>
  <c r="EW489" i="21" s="1"/>
  <c r="EU412" i="21"/>
  <c r="EV412" i="21" s="1"/>
  <c r="ET412" i="21"/>
  <c r="CA429" i="21"/>
  <c r="BZ429" i="21"/>
  <c r="CB429" i="21" s="1"/>
  <c r="CI429" i="21" s="1"/>
  <c r="CK429" i="21" s="1"/>
  <c r="CP429" i="21" s="1"/>
  <c r="BR429" i="21"/>
  <c r="DZ429" i="21" s="1"/>
  <c r="EB429" i="21" s="1"/>
  <c r="AL429" i="21"/>
  <c r="BH410" i="21"/>
  <c r="FI387" i="21"/>
  <c r="DD387" i="21"/>
  <c r="EH360" i="21"/>
  <c r="EG360" i="21"/>
  <c r="FG353" i="21"/>
  <c r="DA353" i="21"/>
  <c r="FG339" i="21"/>
  <c r="CU339" i="21"/>
  <c r="GA335" i="21"/>
  <c r="CS335" i="21" s="1"/>
  <c r="FI309" i="21"/>
  <c r="DD309" i="21"/>
  <c r="DA315" i="21"/>
  <c r="FG315" i="21"/>
  <c r="M320" i="21"/>
  <c r="BF320" i="21" s="1"/>
  <c r="CO320" i="21" s="1"/>
  <c r="AX320" i="21"/>
  <c r="CM320" i="21" s="1"/>
  <c r="DI320" i="21"/>
  <c r="DT282" i="21"/>
  <c r="BI282" i="21"/>
  <c r="FY288" i="21"/>
  <c r="GA288" i="21" s="1"/>
  <c r="CS288" i="21" s="1"/>
  <c r="CA288" i="21"/>
  <c r="BZ288" i="21"/>
  <c r="BR288" i="21"/>
  <c r="DZ288" i="21" s="1"/>
  <c r="EB288" i="21" s="1"/>
  <c r="AL288" i="21"/>
  <c r="T288" i="21"/>
  <c r="BB326" i="21"/>
  <c r="ET304" i="21"/>
  <c r="EU304" i="21"/>
  <c r="EV304" i="21" s="1"/>
  <c r="DM275" i="21"/>
  <c r="GA292" i="21"/>
  <c r="CS292" i="21" s="1"/>
  <c r="CU268" i="21"/>
  <c r="FG268" i="21"/>
  <c r="EL328" i="21"/>
  <c r="EK328" i="21" s="1"/>
  <c r="Y328" i="21"/>
  <c r="DT290" i="21"/>
  <c r="BI290" i="21"/>
  <c r="EH234" i="21"/>
  <c r="EG234" i="21"/>
  <c r="BI226" i="21"/>
  <c r="BJ226" i="21" s="1"/>
  <c r="DT226" i="21"/>
  <c r="AY273" i="21"/>
  <c r="AZ273" i="21" s="1"/>
  <c r="CX224" i="21"/>
  <c r="FI224" i="21"/>
  <c r="EL307" i="21"/>
  <c r="EK307" i="21" s="1"/>
  <c r="Y307" i="21"/>
  <c r="FI205" i="21"/>
  <c r="CX205" i="21"/>
  <c r="AZ151" i="21"/>
  <c r="BC213" i="21"/>
  <c r="DD180" i="21"/>
  <c r="FI180" i="21"/>
  <c r="BB135" i="21"/>
  <c r="EL114" i="21"/>
  <c r="EK114" i="21" s="1"/>
  <c r="Y114" i="21"/>
  <c r="ET110" i="21"/>
  <c r="EU110" i="21" s="1"/>
  <c r="EV110" i="21" s="1"/>
  <c r="EG52" i="21"/>
  <c r="EH52" i="21"/>
  <c r="EM107" i="21"/>
  <c r="EP107" i="21" s="1"/>
  <c r="EQ107" i="21" s="1"/>
  <c r="ES107" i="21" s="1"/>
  <c r="EG94" i="21"/>
  <c r="EH94" i="21"/>
  <c r="ET90" i="21"/>
  <c r="EU90" i="21" s="1"/>
  <c r="EV90" i="21" s="1"/>
  <c r="EZ90" i="21"/>
  <c r="Y31" i="21"/>
  <c r="EL31" i="21"/>
  <c r="EK31" i="21" s="1"/>
  <c r="EY27" i="21"/>
  <c r="EZ27" i="21"/>
  <c r="M30" i="21"/>
  <c r="BF30" i="21" s="1"/>
  <c r="DJ30" i="21"/>
  <c r="AX30" i="21"/>
  <c r="AX433" i="21"/>
  <c r="CM433" i="21" s="1"/>
  <c r="DI433" i="21"/>
  <c r="M433" i="21"/>
  <c r="BF433" i="21" s="1"/>
  <c r="CO433" i="21" s="1"/>
  <c r="BI491" i="21"/>
  <c r="BJ491" i="21" s="1"/>
  <c r="DT491" i="21"/>
  <c r="FG403" i="21"/>
  <c r="DA403" i="21"/>
  <c r="BZ325" i="21"/>
  <c r="CB325" i="21" s="1"/>
  <c r="CI325" i="21" s="1"/>
  <c r="CK325" i="21" s="1"/>
  <c r="CP325" i="21" s="1"/>
  <c r="AL325" i="21"/>
  <c r="CA325" i="21"/>
  <c r="BR325" i="21"/>
  <c r="DZ325" i="21" s="1"/>
  <c r="EB325" i="21" s="1"/>
  <c r="T325" i="21"/>
  <c r="BI323" i="21"/>
  <c r="DT323" i="21"/>
  <c r="DD280" i="21"/>
  <c r="FI280" i="21"/>
  <c r="FI190" i="21"/>
  <c r="CX190" i="21"/>
  <c r="ET197" i="21"/>
  <c r="EU197" i="21"/>
  <c r="EV197" i="21" s="1"/>
  <c r="CU392" i="21"/>
  <c r="FG392" i="21"/>
  <c r="DA398" i="21"/>
  <c r="FG398" i="21"/>
  <c r="DA371" i="21"/>
  <c r="FG371" i="21"/>
  <c r="EH308" i="21"/>
  <c r="EG308" i="21"/>
  <c r="FI237" i="21"/>
  <c r="CX237" i="21"/>
  <c r="AM40" i="21"/>
  <c r="AL40" i="21"/>
  <c r="BI481" i="21"/>
  <c r="BJ481" i="21" s="1"/>
  <c r="DT481" i="21"/>
  <c r="BB423" i="21"/>
  <c r="EW471" i="21"/>
  <c r="FY428" i="21"/>
  <c r="GA428" i="21" s="1"/>
  <c r="CS428" i="21" s="1"/>
  <c r="AL428" i="21"/>
  <c r="CA428" i="21"/>
  <c r="BZ428" i="21"/>
  <c r="BR428" i="21"/>
  <c r="DZ428" i="21" s="1"/>
  <c r="EB428" i="21" s="1"/>
  <c r="T428" i="21"/>
  <c r="EH397" i="21"/>
  <c r="CI433" i="21"/>
  <c r="DA389" i="21"/>
  <c r="FG389" i="21"/>
  <c r="FY373" i="21"/>
  <c r="GA373" i="21" s="1"/>
  <c r="CS373" i="21" s="1"/>
  <c r="FJ386" i="21"/>
  <c r="CW386" i="21"/>
  <c r="AL352" i="21"/>
  <c r="AZ401" i="21"/>
  <c r="EL346" i="21"/>
  <c r="EK346" i="21" s="1"/>
  <c r="Y346" i="21"/>
  <c r="AL335" i="21"/>
  <c r="FY335" i="21"/>
  <c r="CA335" i="21"/>
  <c r="BZ335" i="21"/>
  <c r="CB335" i="21" s="1"/>
  <c r="CI335" i="21" s="1"/>
  <c r="CK335" i="21" s="1"/>
  <c r="CP335" i="21" s="1"/>
  <c r="BR335" i="21"/>
  <c r="DZ335" i="21" s="1"/>
  <c r="EB335" i="21" s="1"/>
  <c r="T335" i="21"/>
  <c r="ET355" i="21"/>
  <c r="EU355" i="21" s="1"/>
  <c r="EV355" i="21" s="1"/>
  <c r="AL371" i="21"/>
  <c r="CA371" i="21"/>
  <c r="BZ371" i="21"/>
  <c r="CB371" i="21" s="1"/>
  <c r="CI371" i="21" s="1"/>
  <c r="CK371" i="21" s="1"/>
  <c r="CP371" i="21" s="1"/>
  <c r="BR371" i="21"/>
  <c r="DZ371" i="21" s="1"/>
  <c r="EB371" i="21" s="1"/>
  <c r="EH371" i="21" s="1"/>
  <c r="T371" i="21"/>
  <c r="AY371" i="21" s="1"/>
  <c r="FY371" i="21"/>
  <c r="GA371" i="21" s="1"/>
  <c r="CS371" i="21" s="1"/>
  <c r="CK326" i="21"/>
  <c r="CP326" i="21" s="1"/>
  <c r="DI309" i="21"/>
  <c r="M309" i="21"/>
  <c r="BF309" i="21" s="1"/>
  <c r="CO309" i="21" s="1"/>
  <c r="AX309" i="21"/>
  <c r="CM309" i="21" s="1"/>
  <c r="BB309" i="21"/>
  <c r="DA334" i="21"/>
  <c r="FG334" i="21"/>
  <c r="DM282" i="21"/>
  <c r="BC326" i="21"/>
  <c r="CN326" i="21" s="1"/>
  <c r="EH299" i="21"/>
  <c r="BF306" i="21"/>
  <c r="CO306" i="21" s="1"/>
  <c r="DM315" i="21"/>
  <c r="AL331" i="21"/>
  <c r="BC280" i="21"/>
  <c r="CN280" i="21" s="1"/>
  <c r="FI178" i="21"/>
  <c r="DD178" i="21"/>
  <c r="DI196" i="21"/>
  <c r="P196" i="21"/>
  <c r="DY196" i="21" s="1"/>
  <c r="AX196" i="21"/>
  <c r="CM196" i="21" s="1"/>
  <c r="M196" i="21"/>
  <c r="BF196" i="21" s="1"/>
  <c r="CO196" i="21" s="1"/>
  <c r="DM313" i="21"/>
  <c r="DA314" i="21"/>
  <c r="FG314" i="21"/>
  <c r="CK151" i="21"/>
  <c r="CP151" i="21" s="1"/>
  <c r="CX290" i="21"/>
  <c r="FI290" i="21"/>
  <c r="CX223" i="21"/>
  <c r="FI223" i="21"/>
  <c r="FI184" i="21"/>
  <c r="CX184" i="21"/>
  <c r="BH271" i="21"/>
  <c r="AZ271" i="21"/>
  <c r="AY271" i="21"/>
  <c r="DM87" i="21"/>
  <c r="FJ52" i="21"/>
  <c r="CW52" i="21"/>
  <c r="DT103" i="21"/>
  <c r="EB150" i="21"/>
  <c r="CB94" i="21"/>
  <c r="CI94" i="21" s="1"/>
  <c r="CK94" i="21" s="1"/>
  <c r="CP94" i="21" s="1"/>
  <c r="AM71" i="21"/>
  <c r="AL71" i="21"/>
  <c r="CB70" i="21"/>
  <c r="CI70" i="21" s="1"/>
  <c r="CK70" i="21" s="1"/>
  <c r="CP70" i="21" s="1"/>
  <c r="BE86" i="21"/>
  <c r="BF86" i="21" s="1"/>
  <c r="CO86" i="21" s="1"/>
  <c r="AZ86" i="21"/>
  <c r="BF27" i="21"/>
  <c r="CK27" i="21"/>
  <c r="FI148" i="21"/>
  <c r="DD148" i="21"/>
  <c r="DD276" i="21"/>
  <c r="FI276" i="21"/>
  <c r="M313" i="21"/>
  <c r="BF313" i="21" s="1"/>
  <c r="CO313" i="21" s="1"/>
  <c r="DI313" i="21"/>
  <c r="AX313" i="21"/>
  <c r="CM313" i="21" s="1"/>
  <c r="BB313" i="21"/>
  <c r="AX430" i="21"/>
  <c r="CM430" i="21" s="1"/>
  <c r="M430" i="21"/>
  <c r="BF430" i="21" s="1"/>
  <c r="CO430" i="21" s="1"/>
  <c r="DI430" i="21"/>
  <c r="BB430" i="21"/>
  <c r="BH412" i="21"/>
  <c r="BI429" i="21"/>
  <c r="DT429" i="21"/>
  <c r="GA334" i="21"/>
  <c r="CS334" i="21" s="1"/>
  <c r="BB338" i="21"/>
  <c r="BC338" i="21" s="1"/>
  <c r="CN338" i="21" s="1"/>
  <c r="EH251" i="21"/>
  <c r="EG251" i="21"/>
  <c r="ET81" i="21"/>
  <c r="EU81" i="21" s="1"/>
  <c r="EV81" i="21" s="1"/>
  <c r="EZ81" i="21"/>
  <c r="FG95" i="21"/>
  <c r="CU95" i="21"/>
  <c r="ES485" i="21"/>
  <c r="ER485" i="21"/>
  <c r="EW485" i="21" s="1"/>
  <c r="DM485" i="21"/>
  <c r="FI433" i="21"/>
  <c r="DD433" i="21"/>
  <c r="GA427" i="21"/>
  <c r="CS427" i="21" s="1"/>
  <c r="DT404" i="21"/>
  <c r="BI404" i="21"/>
  <c r="BF405" i="21"/>
  <c r="CO405" i="21" s="1"/>
  <c r="CB424" i="21"/>
  <c r="CI424" i="21" s="1"/>
  <c r="BF383" i="21"/>
  <c r="CO383" i="21" s="1"/>
  <c r="DM389" i="21"/>
  <c r="CI427" i="21"/>
  <c r="CK427" i="21" s="1"/>
  <c r="CP427" i="21" s="1"/>
  <c r="AX382" i="21"/>
  <c r="CM382" i="21" s="1"/>
  <c r="M382" i="21"/>
  <c r="BF382" i="21" s="1"/>
  <c r="CO382" i="21" s="1"/>
  <c r="DI382" i="21"/>
  <c r="EB401" i="21"/>
  <c r="GA401" i="21"/>
  <c r="CS401" i="21" s="1"/>
  <c r="AY368" i="21"/>
  <c r="AZ368" i="21" s="1"/>
  <c r="EL382" i="21"/>
  <c r="EK382" i="21" s="1"/>
  <c r="Y382" i="21"/>
  <c r="BB319" i="21"/>
  <c r="BC319" i="21" s="1"/>
  <c r="CN319" i="21" s="1"/>
  <c r="CX300" i="21"/>
  <c r="FI300" i="21"/>
  <c r="AY281" i="21"/>
  <c r="AZ281" i="21" s="1"/>
  <c r="FG270" i="21"/>
  <c r="DA270" i="21"/>
  <c r="M261" i="21"/>
  <c r="BF261" i="21" s="1"/>
  <c r="CO261" i="21" s="1"/>
  <c r="AX261" i="21"/>
  <c r="CM261" i="21" s="1"/>
  <c r="DI261" i="21"/>
  <c r="BC277" i="21"/>
  <c r="CN277" i="21" s="1"/>
  <c r="BH326" i="21"/>
  <c r="FG288" i="21"/>
  <c r="CU288" i="21"/>
  <c r="BI272" i="21"/>
  <c r="DT272" i="21"/>
  <c r="EL247" i="21"/>
  <c r="EK247" i="21" s="1"/>
  <c r="ET247" i="21" s="1"/>
  <c r="EU247" i="21" s="1"/>
  <c r="EV247" i="21" s="1"/>
  <c r="Y247" i="21"/>
  <c r="BI273" i="21"/>
  <c r="DT273" i="21"/>
  <c r="BH215" i="21"/>
  <c r="BJ215" i="21" s="1"/>
  <c r="AZ215" i="21"/>
  <c r="CK290" i="21"/>
  <c r="CP290" i="21" s="1"/>
  <c r="BH219" i="21"/>
  <c r="AY219" i="21"/>
  <c r="AZ219" i="21"/>
  <c r="AY202" i="21"/>
  <c r="BH202" i="21" s="1"/>
  <c r="FI176" i="21"/>
  <c r="CX176" i="21"/>
  <c r="AU157" i="21"/>
  <c r="AZ184" i="21"/>
  <c r="AQ194" i="21"/>
  <c r="FG206" i="21"/>
  <c r="CU206" i="21"/>
  <c r="BP91" i="21"/>
  <c r="EI91" i="21" s="1"/>
  <c r="FG149" i="21"/>
  <c r="DA149" i="21"/>
  <c r="AY88" i="21"/>
  <c r="AZ88" i="21" s="1"/>
  <c r="Y122" i="21"/>
  <c r="EL122" i="21"/>
  <c r="EK122" i="21" s="1"/>
  <c r="DM132" i="21"/>
  <c r="BP94" i="21"/>
  <c r="EI94" i="21" s="1"/>
  <c r="BC211" i="21"/>
  <c r="CN211" i="21" s="1"/>
  <c r="AM90" i="21"/>
  <c r="AL90" i="21"/>
  <c r="CV85" i="21"/>
  <c r="FH85" i="21"/>
  <c r="DM26" i="21"/>
  <c r="CX57" i="21"/>
  <c r="FI57" i="21"/>
  <c r="BC26" i="21"/>
  <c r="BI473" i="21"/>
  <c r="BJ473" i="21" s="1"/>
  <c r="DT473" i="21"/>
  <c r="AY448" i="21"/>
  <c r="BH448" i="21" s="1"/>
  <c r="EU465" i="21"/>
  <c r="EV465" i="21" s="1"/>
  <c r="ET465" i="21"/>
  <c r="ET441" i="21"/>
  <c r="EU441" i="21" s="1"/>
  <c r="EV441" i="21" s="1"/>
  <c r="DI413" i="21"/>
  <c r="AX413" i="21"/>
  <c r="CM413" i="21" s="1"/>
  <c r="M413" i="21"/>
  <c r="BF413" i="21" s="1"/>
  <c r="CO413" i="21" s="1"/>
  <c r="AX431" i="21"/>
  <c r="CM431" i="21" s="1"/>
  <c r="M431" i="21"/>
  <c r="BF431" i="21" s="1"/>
  <c r="CO431" i="21" s="1"/>
  <c r="DI431" i="21"/>
  <c r="FY422" i="21"/>
  <c r="GA422" i="21" s="1"/>
  <c r="CS422" i="21" s="1"/>
  <c r="CA422" i="21"/>
  <c r="BZ422" i="21"/>
  <c r="CB422" i="21" s="1"/>
  <c r="CI422" i="21" s="1"/>
  <c r="BR422" i="21"/>
  <c r="DZ422" i="21" s="1"/>
  <c r="EB422" i="21" s="1"/>
  <c r="CU407" i="21"/>
  <c r="FG407" i="21"/>
  <c r="EB433" i="21"/>
  <c r="EH433" i="21" s="1"/>
  <c r="CA394" i="21"/>
  <c r="BR394" i="21"/>
  <c r="DZ394" i="21" s="1"/>
  <c r="EB394" i="21" s="1"/>
  <c r="BZ394" i="21"/>
  <c r="FY394" i="21"/>
  <c r="GA394" i="21" s="1"/>
  <c r="CS394" i="21" s="1"/>
  <c r="BR391" i="21"/>
  <c r="DZ391" i="21" s="1"/>
  <c r="EB391" i="21" s="1"/>
  <c r="FY391" i="21"/>
  <c r="GA391" i="21" s="1"/>
  <c r="CS391" i="21" s="1"/>
  <c r="CA391" i="21"/>
  <c r="BZ391" i="21"/>
  <c r="AL391" i="21"/>
  <c r="AY402" i="21"/>
  <c r="BH402" i="21" s="1"/>
  <c r="BR380" i="21"/>
  <c r="DZ380" i="21" s="1"/>
  <c r="EB380" i="21" s="1"/>
  <c r="CA380" i="21"/>
  <c r="FY380" i="21"/>
  <c r="BZ380" i="21"/>
  <c r="AL380" i="21"/>
  <c r="BI391" i="21"/>
  <c r="DT391" i="21"/>
  <c r="CB439" i="21"/>
  <c r="CI439" i="21" s="1"/>
  <c r="CK439" i="21" s="1"/>
  <c r="CP439" i="21" s="1"/>
  <c r="CH395" i="21"/>
  <c r="BI394" i="21"/>
  <c r="DT394" i="21"/>
  <c r="FY364" i="21"/>
  <c r="CA364" i="21"/>
  <c r="BR364" i="21"/>
  <c r="DZ364" i="21" s="1"/>
  <c r="EB364" i="21" s="1"/>
  <c r="BZ364" i="21"/>
  <c r="CB364" i="21" s="1"/>
  <c r="CI364" i="21" s="1"/>
  <c r="CK364" i="21" s="1"/>
  <c r="CP364" i="21" s="1"/>
  <c r="EL375" i="21"/>
  <c r="EK375" i="21" s="1"/>
  <c r="Y375" i="21"/>
  <c r="BI330" i="21"/>
  <c r="DT330" i="21"/>
  <c r="AX333" i="21"/>
  <c r="CM333" i="21" s="1"/>
  <c r="M333" i="21"/>
  <c r="BF333" i="21" s="1"/>
  <c r="CO333" i="21" s="1"/>
  <c r="DI333" i="21"/>
  <c r="DI357" i="21"/>
  <c r="AX357" i="21"/>
  <c r="CM357" i="21" s="1"/>
  <c r="M357" i="21"/>
  <c r="BF357" i="21" s="1"/>
  <c r="CO357" i="21" s="1"/>
  <c r="AY356" i="21"/>
  <c r="BC328" i="21"/>
  <c r="CN328" i="21" s="1"/>
  <c r="EL336" i="21"/>
  <c r="EK336" i="21" s="1"/>
  <c r="Y336" i="21"/>
  <c r="BZ342" i="21"/>
  <c r="CB342" i="21" s="1"/>
  <c r="CI342" i="21" s="1"/>
  <c r="CK342" i="21" s="1"/>
  <c r="CP342" i="21" s="1"/>
  <c r="AL342" i="21"/>
  <c r="CA342" i="21"/>
  <c r="BR342" i="21"/>
  <c r="DZ342" i="21" s="1"/>
  <c r="EB342" i="21" s="1"/>
  <c r="EG342" i="21" s="1"/>
  <c r="AY361" i="21"/>
  <c r="EB368" i="21"/>
  <c r="AZ298" i="21"/>
  <c r="BH298" i="21"/>
  <c r="CA321" i="21"/>
  <c r="BZ321" i="21"/>
  <c r="BR321" i="21"/>
  <c r="DZ321" i="21" s="1"/>
  <c r="EB321" i="21" s="1"/>
  <c r="AZ290" i="21"/>
  <c r="BH290" i="21"/>
  <c r="CU324" i="21"/>
  <c r="FG324" i="21"/>
  <c r="BI283" i="21"/>
  <c r="DT283" i="21"/>
  <c r="FG286" i="21"/>
  <c r="DA286" i="21"/>
  <c r="AL334" i="21"/>
  <c r="CA334" i="21"/>
  <c r="BZ334" i="21"/>
  <c r="CB334" i="21" s="1"/>
  <c r="CI334" i="21" s="1"/>
  <c r="CK334" i="21" s="1"/>
  <c r="CP334" i="21" s="1"/>
  <c r="BR334" i="21"/>
  <c r="DZ334" i="21" s="1"/>
  <c r="EB334" i="21" s="1"/>
  <c r="CI314" i="21"/>
  <c r="CK314" i="21" s="1"/>
  <c r="CP314" i="21" s="1"/>
  <c r="ET306" i="21"/>
  <c r="EU306" i="21" s="1"/>
  <c r="EV306" i="21" s="1"/>
  <c r="CB343" i="21"/>
  <c r="CI343" i="21" s="1"/>
  <c r="CA294" i="21"/>
  <c r="BZ294" i="21"/>
  <c r="CB294" i="21" s="1"/>
  <c r="CI294" i="21" s="1"/>
  <c r="CK294" i="21" s="1"/>
  <c r="CP294" i="21" s="1"/>
  <c r="BR294" i="21"/>
  <c r="DZ294" i="21" s="1"/>
  <c r="EB294" i="21" s="1"/>
  <c r="AL294" i="21"/>
  <c r="EB338" i="21"/>
  <c r="EH338" i="21" s="1"/>
  <c r="CB269" i="21"/>
  <c r="CI269" i="21" s="1"/>
  <c r="CK269" i="21" s="1"/>
  <c r="CP269" i="21" s="1"/>
  <c r="AX305" i="21"/>
  <c r="CM305" i="21" s="1"/>
  <c r="M305" i="21"/>
  <c r="BF305" i="21" s="1"/>
  <c r="CO305" i="21" s="1"/>
  <c r="DI305" i="21"/>
  <c r="DT206" i="21"/>
  <c r="BI206" i="21"/>
  <c r="EL236" i="21"/>
  <c r="EK236" i="21" s="1"/>
  <c r="Y236" i="21"/>
  <c r="FI210" i="21"/>
  <c r="CX210" i="21"/>
  <c r="Y264" i="21"/>
  <c r="EL264" i="21"/>
  <c r="EK264" i="21" s="1"/>
  <c r="BC205" i="21"/>
  <c r="CN205" i="21" s="1"/>
  <c r="AQ214" i="21"/>
  <c r="DM172" i="21"/>
  <c r="DR153" i="21"/>
  <c r="BI153" i="21"/>
  <c r="ET135" i="21"/>
  <c r="EU135" i="21" s="1"/>
  <c r="EV135" i="21" s="1"/>
  <c r="AZ133" i="21"/>
  <c r="AY184" i="21"/>
  <c r="BH184" i="21" s="1"/>
  <c r="EY110" i="21"/>
  <c r="EZ110" i="21" s="1"/>
  <c r="BM149" i="21"/>
  <c r="BL149" i="21"/>
  <c r="BN149" i="21" s="1"/>
  <c r="AY106" i="21"/>
  <c r="AZ106" i="21" s="1"/>
  <c r="BC106" i="21" s="1"/>
  <c r="AV167" i="21"/>
  <c r="AW167" i="21" s="1"/>
  <c r="BC167" i="21"/>
  <c r="CN167" i="21" s="1"/>
  <c r="BH303" i="21"/>
  <c r="AY303" i="21"/>
  <c r="AZ303" i="21" s="1"/>
  <c r="CU308" i="21"/>
  <c r="FG308" i="21"/>
  <c r="BO134" i="21"/>
  <c r="BP134" i="21" s="1"/>
  <c r="EI134" i="21" s="1"/>
  <c r="EH134" i="21" s="1"/>
  <c r="CK302" i="21"/>
  <c r="CP302" i="21" s="1"/>
  <c r="AZ181" i="21"/>
  <c r="BH181" i="21"/>
  <c r="BC253" i="21"/>
  <c r="CN253" i="21" s="1"/>
  <c r="CU129" i="21"/>
  <c r="FG129" i="21"/>
  <c r="BP103" i="21"/>
  <c r="EI103" i="21" s="1"/>
  <c r="M29" i="21"/>
  <c r="DJ29" i="21"/>
  <c r="AX29" i="21"/>
  <c r="EY48" i="21"/>
  <c r="EZ48" i="21" s="1"/>
  <c r="Y84" i="21"/>
  <c r="EL84" i="21"/>
  <c r="EK84" i="21" s="1"/>
  <c r="CX65" i="21"/>
  <c r="FI65" i="21"/>
  <c r="ET71" i="21"/>
  <c r="EU71" i="21" s="1"/>
  <c r="EV71" i="21" s="1"/>
  <c r="EZ71" i="21"/>
  <c r="ET76" i="21"/>
  <c r="EU76" i="21" s="1"/>
  <c r="EV76" i="21" s="1"/>
  <c r="EZ76" i="21"/>
  <c r="BC82" i="21"/>
  <c r="CN82" i="21" s="1"/>
  <c r="FJ78" i="21"/>
  <c r="CW78" i="21"/>
  <c r="BA39" i="21"/>
  <c r="BB39" i="21" s="1"/>
  <c r="BC39" i="21" s="1"/>
  <c r="X39" i="21"/>
  <c r="DT55" i="21"/>
  <c r="BL30" i="21"/>
  <c r="BN30" i="21" s="1"/>
  <c r="BM30" i="21"/>
  <c r="EL33" i="21"/>
  <c r="EK33" i="21" s="1"/>
  <c r="Y33" i="21"/>
  <c r="DO39" i="21"/>
  <c r="DP39" i="21"/>
  <c r="BI482" i="21"/>
  <c r="BJ482" i="21" s="1"/>
  <c r="DT482" i="21"/>
  <c r="DM469" i="21"/>
  <c r="BI495" i="21"/>
  <c r="BJ495" i="21" s="1"/>
  <c r="DT495" i="21"/>
  <c r="BI439" i="21"/>
  <c r="DT439" i="21"/>
  <c r="BC430" i="21"/>
  <c r="CN430" i="21" s="1"/>
  <c r="Y466" i="21"/>
  <c r="EL466" i="21"/>
  <c r="EK466" i="21" s="1"/>
  <c r="BJ487" i="21"/>
  <c r="AY433" i="21"/>
  <c r="ET417" i="21"/>
  <c r="EU417" i="21" s="1"/>
  <c r="EV417" i="21" s="1"/>
  <c r="AY417" i="21"/>
  <c r="AZ417" i="21" s="1"/>
  <c r="DA425" i="21"/>
  <c r="FG425" i="21"/>
  <c r="EL424" i="21"/>
  <c r="EK424" i="21" s="1"/>
  <c r="Y424" i="21"/>
  <c r="DM412" i="21"/>
  <c r="AY429" i="21"/>
  <c r="BH429" i="21" s="1"/>
  <c r="DM402" i="21"/>
  <c r="CU386" i="21"/>
  <c r="FG386" i="21"/>
  <c r="CA376" i="21"/>
  <c r="FY376" i="21"/>
  <c r="GA376" i="21" s="1"/>
  <c r="CS376" i="21" s="1"/>
  <c r="T376" i="21"/>
  <c r="BZ376" i="21"/>
  <c r="BR376" i="21"/>
  <c r="DZ376" i="21" s="1"/>
  <c r="EB376" i="21" s="1"/>
  <c r="ET399" i="21"/>
  <c r="EU399" i="21" s="1"/>
  <c r="EV399" i="21" s="1"/>
  <c r="AZ386" i="21"/>
  <c r="AX361" i="21"/>
  <c r="CM361" i="21" s="1"/>
  <c r="M361" i="21"/>
  <c r="BF361" i="21" s="1"/>
  <c r="CO361" i="21" s="1"/>
  <c r="DI361" i="21"/>
  <c r="CA353" i="21"/>
  <c r="BZ353" i="21"/>
  <c r="BR353" i="21"/>
  <c r="DZ353" i="21" s="1"/>
  <c r="EB353" i="21" s="1"/>
  <c r="EH353" i="21" s="1"/>
  <c r="BC333" i="21"/>
  <c r="CN333" i="21" s="1"/>
  <c r="BH342" i="21"/>
  <c r="DT321" i="21"/>
  <c r="BI321" i="21"/>
  <c r="AY374" i="21"/>
  <c r="FY312" i="21"/>
  <c r="GA312" i="21" s="1"/>
  <c r="CS312" i="21" s="1"/>
  <c r="CA312" i="21"/>
  <c r="BZ312" i="21"/>
  <c r="BR312" i="21"/>
  <c r="DZ312" i="21" s="1"/>
  <c r="EB312" i="21" s="1"/>
  <c r="AL312" i="21"/>
  <c r="T312" i="21"/>
  <c r="EL326" i="21"/>
  <c r="EK326" i="21" s="1"/>
  <c r="Y326" i="21"/>
  <c r="BF298" i="21"/>
  <c r="CO298" i="21" s="1"/>
  <c r="CI313" i="21"/>
  <c r="FY254" i="21"/>
  <c r="GA254" i="21" s="1"/>
  <c r="CS254" i="21" s="1"/>
  <c r="CA254" i="21"/>
  <c r="BZ254" i="21"/>
  <c r="BR254" i="21"/>
  <c r="DZ254" i="21" s="1"/>
  <c r="EB254" i="21" s="1"/>
  <c r="AL254" i="21"/>
  <c r="BH363" i="21"/>
  <c r="AZ363" i="21"/>
  <c r="EH277" i="21"/>
  <c r="DA297" i="21"/>
  <c r="FG297" i="21"/>
  <c r="BR202" i="21"/>
  <c r="DZ202" i="21" s="1"/>
  <c r="EB202" i="21" s="1"/>
  <c r="BZ202" i="21"/>
  <c r="FY202" i="21"/>
  <c r="GA202" i="21" s="1"/>
  <c r="CS202" i="21" s="1"/>
  <c r="AL202" i="21"/>
  <c r="CA202" i="21"/>
  <c r="DT252" i="21"/>
  <c r="BI252" i="21"/>
  <c r="BJ252" i="21" s="1"/>
  <c r="GA255" i="21"/>
  <c r="CS255" i="21" s="1"/>
  <c r="DA269" i="21"/>
  <c r="FG269" i="21"/>
  <c r="AY182" i="21"/>
  <c r="AZ182" i="21" s="1"/>
  <c r="CB281" i="21"/>
  <c r="CI281" i="21" s="1"/>
  <c r="CK281" i="21" s="1"/>
  <c r="CP281" i="21" s="1"/>
  <c r="EL180" i="21"/>
  <c r="EK180" i="21" s="1"/>
  <c r="Y180" i="21"/>
  <c r="ET239" i="21"/>
  <c r="EU239" i="21" s="1"/>
  <c r="EV239" i="21" s="1"/>
  <c r="AV158" i="21"/>
  <c r="AW158" i="21" s="1"/>
  <c r="BC158" i="21"/>
  <c r="DD142" i="21"/>
  <c r="FI142" i="21"/>
  <c r="EH239" i="21"/>
  <c r="EG239" i="21"/>
  <c r="ET113" i="21"/>
  <c r="EU113" i="21" s="1"/>
  <c r="EV113" i="21" s="1"/>
  <c r="DJ137" i="21"/>
  <c r="AX137" i="21"/>
  <c r="CM137" i="21" s="1"/>
  <c r="BB137" i="21"/>
  <c r="BC138" i="21"/>
  <c r="CN138" i="21" s="1"/>
  <c r="DM171" i="21"/>
  <c r="BB100" i="21"/>
  <c r="BC100" i="21" s="1"/>
  <c r="CN100" i="21" s="1"/>
  <c r="CB97" i="21"/>
  <c r="CI97" i="21" s="1"/>
  <c r="CK97" i="21" s="1"/>
  <c r="CP97" i="21" s="1"/>
  <c r="DY155" i="21"/>
  <c r="EH155" i="21" s="1"/>
  <c r="BZ155" i="21"/>
  <c r="CB155" i="21" s="1"/>
  <c r="CI155" i="21" s="1"/>
  <c r="CK155" i="21" s="1"/>
  <c r="AM85" i="21"/>
  <c r="AL85" i="21"/>
  <c r="AZ126" i="21"/>
  <c r="ET70" i="21"/>
  <c r="EU70" i="21" s="1"/>
  <c r="EV70" i="21" s="1"/>
  <c r="AM25" i="21"/>
  <c r="AL25" i="21"/>
  <c r="DT150" i="21"/>
  <c r="CW84" i="21"/>
  <c r="FJ84" i="21"/>
  <c r="AZ121" i="21"/>
  <c r="DP25" i="21"/>
  <c r="DO25" i="21"/>
  <c r="DM496" i="21"/>
  <c r="BJ483" i="21"/>
  <c r="BC475" i="21"/>
  <c r="ED486" i="21"/>
  <c r="DP486" i="21"/>
  <c r="DO486" i="21"/>
  <c r="DQ486" i="21" s="1"/>
  <c r="EU481" i="21"/>
  <c r="EV481" i="21" s="1"/>
  <c r="ET481" i="21"/>
  <c r="ED483" i="21"/>
  <c r="BZ421" i="21"/>
  <c r="CB421" i="21" s="1"/>
  <c r="CI421" i="21" s="1"/>
  <c r="BR421" i="21"/>
  <c r="DZ421" i="21" s="1"/>
  <c r="EB421" i="21" s="1"/>
  <c r="EG421" i="21" s="1"/>
  <c r="CA421" i="21"/>
  <c r="AL421" i="21"/>
  <c r="FY421" i="21"/>
  <c r="GA421" i="21" s="1"/>
  <c r="CS421" i="21" s="1"/>
  <c r="AY441" i="21"/>
  <c r="AZ441" i="21" s="1"/>
  <c r="AY423" i="21"/>
  <c r="AZ423" i="21" s="1"/>
  <c r="CE417" i="21"/>
  <c r="ET410" i="21"/>
  <c r="EU410" i="21" s="1"/>
  <c r="EV410" i="21" s="1"/>
  <c r="CI400" i="21"/>
  <c r="CK400" i="21" s="1"/>
  <c r="CP400" i="21" s="1"/>
  <c r="DA400" i="21"/>
  <c r="FG400" i="21"/>
  <c r="DT388" i="21"/>
  <c r="BI388" i="21"/>
  <c r="BJ388" i="21" s="1"/>
  <c r="AX341" i="21"/>
  <c r="CM341" i="21" s="1"/>
  <c r="M341" i="21"/>
  <c r="BF341" i="21" s="1"/>
  <c r="CO341" i="21" s="1"/>
  <c r="DI341" i="21"/>
  <c r="ET364" i="21"/>
  <c r="EU364" i="21" s="1"/>
  <c r="EV364" i="21" s="1"/>
  <c r="FY356" i="21"/>
  <c r="GA356" i="21" s="1"/>
  <c r="CS356" i="21" s="1"/>
  <c r="CA356" i="21"/>
  <c r="BZ356" i="21"/>
  <c r="BR356" i="21"/>
  <c r="DZ356" i="21" s="1"/>
  <c r="EB356" i="21" s="1"/>
  <c r="EB396" i="21"/>
  <c r="DT338" i="21"/>
  <c r="BI338" i="21"/>
  <c r="BI322" i="21"/>
  <c r="DT322" i="21"/>
  <c r="DT331" i="21"/>
  <c r="BI331" i="21"/>
  <c r="BF350" i="21"/>
  <c r="CO350" i="21" s="1"/>
  <c r="CE265" i="21"/>
  <c r="ET300" i="21"/>
  <c r="EU300" i="21" s="1"/>
  <c r="EV300" i="21" s="1"/>
  <c r="BR273" i="21"/>
  <c r="DZ273" i="21" s="1"/>
  <c r="EB273" i="21" s="1"/>
  <c r="CA273" i="21"/>
  <c r="BZ273" i="21"/>
  <c r="CB273" i="21" s="1"/>
  <c r="CI273" i="21" s="1"/>
  <c r="FY273" i="21"/>
  <c r="GA273" i="21" s="1"/>
  <c r="CS273" i="21" s="1"/>
  <c r="AL273" i="21"/>
  <c r="AX331" i="21"/>
  <c r="CM331" i="21" s="1"/>
  <c r="DI331" i="21"/>
  <c r="M331" i="21"/>
  <c r="BF331" i="21" s="1"/>
  <c r="CO331" i="21" s="1"/>
  <c r="BB331" i="21"/>
  <c r="CA266" i="21"/>
  <c r="BZ266" i="21"/>
  <c r="BR266" i="21"/>
  <c r="DZ266" i="21" s="1"/>
  <c r="EB266" i="21" s="1"/>
  <c r="EG266" i="21" s="1"/>
  <c r="FY266" i="21"/>
  <c r="GA266" i="21" s="1"/>
  <c r="CS266" i="21" s="1"/>
  <c r="AY295" i="21"/>
  <c r="AZ295" i="21" s="1"/>
  <c r="BH223" i="21"/>
  <c r="AZ223" i="21"/>
  <c r="AY272" i="21"/>
  <c r="BH272" i="21" s="1"/>
  <c r="CE315" i="21"/>
  <c r="DD277" i="21"/>
  <c r="FI277" i="21"/>
  <c r="BB223" i="21"/>
  <c r="FG311" i="21"/>
  <c r="CU311" i="21"/>
  <c r="AY233" i="21"/>
  <c r="BH233" i="21" s="1"/>
  <c r="FY206" i="21"/>
  <c r="GA206" i="21" s="1"/>
  <c r="CS206" i="21" s="1"/>
  <c r="BZ206" i="21"/>
  <c r="AL206" i="21"/>
  <c r="CA206" i="21"/>
  <c r="BR206" i="21"/>
  <c r="DZ206" i="21" s="1"/>
  <c r="EB206" i="21" s="1"/>
  <c r="AJ206" i="21"/>
  <c r="T206" i="21"/>
  <c r="AY206" i="21" s="1"/>
  <c r="DT152" i="21"/>
  <c r="BP148" i="21"/>
  <c r="EI148" i="21" s="1"/>
  <c r="EH148" i="21" s="1"/>
  <c r="Y217" i="21"/>
  <c r="EL217" i="21"/>
  <c r="EK217" i="21" s="1"/>
  <c r="EU217" i="21" s="1"/>
  <c r="EV217" i="21" s="1"/>
  <c r="DM191" i="21"/>
  <c r="BH209" i="21"/>
  <c r="AZ209" i="21"/>
  <c r="AZ141" i="21"/>
  <c r="CA104" i="21"/>
  <c r="BZ104" i="21"/>
  <c r="BR104" i="21"/>
  <c r="DZ104" i="21" s="1"/>
  <c r="EB104" i="21" s="1"/>
  <c r="O108" i="21"/>
  <c r="BK104" i="21"/>
  <c r="BE104" i="21"/>
  <c r="BF104" i="21" s="1"/>
  <c r="FX104" i="21"/>
  <c r="GA104" i="21" s="1"/>
  <c r="EE104" i="21"/>
  <c r="AT104" i="21"/>
  <c r="DU104" i="21" s="1"/>
  <c r="T104" i="21"/>
  <c r="BL93" i="21"/>
  <c r="BN93" i="21" s="1"/>
  <c r="BM93" i="21"/>
  <c r="DT192" i="21"/>
  <c r="BI192" i="21"/>
  <c r="DM216" i="21"/>
  <c r="ES216" i="21"/>
  <c r="ER216" i="21"/>
  <c r="BZ105" i="21"/>
  <c r="CB105" i="21" s="1"/>
  <c r="CI105" i="21" s="1"/>
  <c r="CK105" i="21" s="1"/>
  <c r="T105" i="21"/>
  <c r="BK105" i="21"/>
  <c r="BE105" i="21"/>
  <c r="BF105" i="21" s="1"/>
  <c r="AN105" i="21"/>
  <c r="AQ105" i="21" s="1"/>
  <c r="FX105" i="21"/>
  <c r="GA105" i="21" s="1"/>
  <c r="AT105" i="21"/>
  <c r="DU105" i="21" s="1"/>
  <c r="EM105" i="21" s="1"/>
  <c r="EP105" i="21" s="1"/>
  <c r="EQ105" i="21" s="1"/>
  <c r="DJ99" i="21"/>
  <c r="EY99" i="21" s="1"/>
  <c r="M99" i="21"/>
  <c r="AX99" i="21"/>
  <c r="CM99" i="21" s="1"/>
  <c r="BB99" i="21"/>
  <c r="BF47" i="21"/>
  <c r="CK47" i="21"/>
  <c r="CB80" i="21"/>
  <c r="CI80" i="21" s="1"/>
  <c r="CK80" i="21" s="1"/>
  <c r="CP80" i="21" s="1"/>
  <c r="AY65" i="21"/>
  <c r="AZ65" i="21" s="1"/>
  <c r="AM61" i="21"/>
  <c r="AL61" i="21"/>
  <c r="BC44" i="21"/>
  <c r="AM64" i="21"/>
  <c r="AL64" i="21"/>
  <c r="BC49" i="21"/>
  <c r="EG70" i="21"/>
  <c r="EH70" i="21"/>
  <c r="Y44" i="21"/>
  <c r="EL44" i="21"/>
  <c r="EK44" i="21" s="1"/>
  <c r="EL26" i="21"/>
  <c r="EK26" i="21" s="1"/>
  <c r="Y26" i="21"/>
  <c r="CB53" i="21"/>
  <c r="CI53" i="21" s="1"/>
  <c r="CK53" i="21" s="1"/>
  <c r="CP53" i="21" s="1"/>
  <c r="ER491" i="21"/>
  <c r="DM491" i="21"/>
  <c r="BJ468" i="21"/>
  <c r="DU490" i="21"/>
  <c r="EM490" i="21" s="1"/>
  <c r="EP490" i="21" s="1"/>
  <c r="EQ490" i="21" s="1"/>
  <c r="DI447" i="21"/>
  <c r="M447" i="21"/>
  <c r="BF447" i="21" s="1"/>
  <c r="CO447" i="21" s="1"/>
  <c r="BB447" i="21"/>
  <c r="AX447" i="21"/>
  <c r="CM447" i="21" s="1"/>
  <c r="DP474" i="21"/>
  <c r="DO474" i="21"/>
  <c r="DQ474" i="21" s="1"/>
  <c r="ED474" i="21"/>
  <c r="DI442" i="21"/>
  <c r="AX442" i="21"/>
  <c r="CM442" i="21" s="1"/>
  <c r="M442" i="21"/>
  <c r="BF442" i="21" s="1"/>
  <c r="CO442" i="21" s="1"/>
  <c r="DT400" i="21"/>
  <c r="BI400" i="21"/>
  <c r="T411" i="21"/>
  <c r="FY411" i="21"/>
  <c r="GA411" i="21" s="1"/>
  <c r="CS411" i="21" s="1"/>
  <c r="CA411" i="21"/>
  <c r="BZ411" i="21"/>
  <c r="BR411" i="21"/>
  <c r="DZ411" i="21" s="1"/>
  <c r="EB411" i="21" s="1"/>
  <c r="FY423" i="21"/>
  <c r="GA423" i="21" s="1"/>
  <c r="CS423" i="21" s="1"/>
  <c r="CA423" i="21"/>
  <c r="BZ423" i="21"/>
  <c r="CB423" i="21" s="1"/>
  <c r="CI423" i="21" s="1"/>
  <c r="CK423" i="21" s="1"/>
  <c r="CP423" i="21" s="1"/>
  <c r="BR423" i="21"/>
  <c r="DZ423" i="21" s="1"/>
  <c r="EB423" i="21" s="1"/>
  <c r="EH423" i="21" s="1"/>
  <c r="FY415" i="21"/>
  <c r="GA415" i="21" s="1"/>
  <c r="CS415" i="21" s="1"/>
  <c r="AY394" i="21"/>
  <c r="AZ394" i="21" s="1"/>
  <c r="ET394" i="21"/>
  <c r="EU394" i="21" s="1"/>
  <c r="EV394" i="21" s="1"/>
  <c r="EL383" i="21"/>
  <c r="EK383" i="21" s="1"/>
  <c r="Y383" i="21"/>
  <c r="BR377" i="21"/>
  <c r="DZ377" i="21" s="1"/>
  <c r="EB377" i="21" s="1"/>
  <c r="EH377" i="21" s="1"/>
  <c r="FY377" i="21"/>
  <c r="GA377" i="21" s="1"/>
  <c r="CS377" i="21" s="1"/>
  <c r="AL377" i="21"/>
  <c r="CA377" i="21"/>
  <c r="BZ377" i="21"/>
  <c r="CB377" i="21" s="1"/>
  <c r="CI377" i="21" s="1"/>
  <c r="CK377" i="21" s="1"/>
  <c r="CP377" i="21" s="1"/>
  <c r="M349" i="21"/>
  <c r="BF349" i="21" s="1"/>
  <c r="CO349" i="21" s="1"/>
  <c r="DI349" i="21"/>
  <c r="AX349" i="21"/>
  <c r="CM349" i="21" s="1"/>
  <c r="EH341" i="21"/>
  <c r="EG341" i="21"/>
  <c r="AY330" i="21"/>
  <c r="DI354" i="21"/>
  <c r="AX354" i="21"/>
  <c r="CM354" i="21" s="1"/>
  <c r="M354" i="21"/>
  <c r="BF354" i="21" s="1"/>
  <c r="CO354" i="21" s="1"/>
  <c r="BF314" i="21"/>
  <c r="CO314" i="21" s="1"/>
  <c r="ET365" i="21"/>
  <c r="EU365" i="21" s="1"/>
  <c r="EV365" i="21" s="1"/>
  <c r="CI315" i="21"/>
  <c r="CK315" i="21" s="1"/>
  <c r="CP315" i="21" s="1"/>
  <c r="EU315" i="21"/>
  <c r="EV315" i="21" s="1"/>
  <c r="AY334" i="21"/>
  <c r="AZ334" i="21" s="1"/>
  <c r="ET284" i="21"/>
  <c r="EU284" i="21" s="1"/>
  <c r="EV284" i="21" s="1"/>
  <c r="CE309" i="21"/>
  <c r="CA279" i="21"/>
  <c r="BZ279" i="21"/>
  <c r="CB279" i="21" s="1"/>
  <c r="CI279" i="21" s="1"/>
  <c r="CK279" i="21" s="1"/>
  <c r="CP279" i="21" s="1"/>
  <c r="BR279" i="21"/>
  <c r="DZ279" i="21" s="1"/>
  <c r="EB279" i="21" s="1"/>
  <c r="EH279" i="21" s="1"/>
  <c r="FY279" i="21"/>
  <c r="GA279" i="21" s="1"/>
  <c r="CS279" i="21" s="1"/>
  <c r="AL279" i="21"/>
  <c r="DT279" i="21"/>
  <c r="BI279" i="21"/>
  <c r="BJ279" i="21" s="1"/>
  <c r="ET267" i="21"/>
  <c r="EU267" i="21" s="1"/>
  <c r="EV267" i="21" s="1"/>
  <c r="EH238" i="21"/>
  <c r="EG238" i="21"/>
  <c r="P205" i="21"/>
  <c r="M205" i="21"/>
  <c r="BF205" i="21" s="1"/>
  <c r="CO205" i="21" s="1"/>
  <c r="DI205" i="21"/>
  <c r="AX205" i="21"/>
  <c r="CM205" i="21" s="1"/>
  <c r="CX232" i="21"/>
  <c r="FI232" i="21"/>
  <c r="DT238" i="21"/>
  <c r="BI238" i="21"/>
  <c r="FI174" i="21"/>
  <c r="DD174" i="21"/>
  <c r="BM151" i="21"/>
  <c r="BL151" i="21"/>
  <c r="BN151" i="21" s="1"/>
  <c r="AT192" i="21"/>
  <c r="DU192" i="21" s="1"/>
  <c r="AJ192" i="21"/>
  <c r="AL172" i="21"/>
  <c r="EE172" i="21"/>
  <c r="FG247" i="21"/>
  <c r="DA247" i="21"/>
  <c r="DT199" i="21"/>
  <c r="BH210" i="21"/>
  <c r="AZ210" i="21"/>
  <c r="DM180" i="21"/>
  <c r="CB253" i="21"/>
  <c r="CI253" i="21" s="1"/>
  <c r="CK253" i="21" s="1"/>
  <c r="CP253" i="21" s="1"/>
  <c r="EL169" i="21"/>
  <c r="EK169" i="21" s="1"/>
  <c r="ET169" i="21" s="1"/>
  <c r="Y169" i="21"/>
  <c r="CI150" i="21"/>
  <c r="CB100" i="21"/>
  <c r="CI100" i="21" s="1"/>
  <c r="CK100" i="21" s="1"/>
  <c r="CP100" i="21" s="1"/>
  <c r="BC152" i="21"/>
  <c r="CN152" i="21" s="1"/>
  <c r="BK64" i="21"/>
  <c r="CA64" i="21"/>
  <c r="BZ64" i="21"/>
  <c r="BR64" i="21"/>
  <c r="DZ64" i="21" s="1"/>
  <c r="EB64" i="21" s="1"/>
  <c r="FX64" i="21"/>
  <c r="GA64" i="21" s="1"/>
  <c r="CS64" i="21" s="1"/>
  <c r="EE64" i="21"/>
  <c r="Y167" i="21"/>
  <c r="DN167" i="21" s="1"/>
  <c r="EL167" i="21"/>
  <c r="EK167" i="21" s="1"/>
  <c r="EM167" i="21" s="1"/>
  <c r="EP167" i="21" s="1"/>
  <c r="EQ167" i="21" s="1"/>
  <c r="FI132" i="21"/>
  <c r="CX132" i="21"/>
  <c r="AY134" i="21"/>
  <c r="AZ134" i="21" s="1"/>
  <c r="ED190" i="21"/>
  <c r="CR190" i="21" s="1"/>
  <c r="DM141" i="21"/>
  <c r="ET99" i="21"/>
  <c r="EU99" i="21" s="1"/>
  <c r="EV99" i="21" s="1"/>
  <c r="EZ99" i="21"/>
  <c r="FI369" i="21"/>
  <c r="DD369" i="21"/>
  <c r="AM75" i="21"/>
  <c r="AL75" i="21"/>
  <c r="EL40" i="21"/>
  <c r="EK40" i="21" s="1"/>
  <c r="Y40" i="21"/>
  <c r="Y58" i="21"/>
  <c r="EL58" i="21"/>
  <c r="EK58" i="21" s="1"/>
  <c r="EY58" i="21" s="1"/>
  <c r="EZ58" i="21" s="1"/>
  <c r="DM55" i="21"/>
  <c r="BL65" i="21"/>
  <c r="BN65" i="21" s="1"/>
  <c r="BM65" i="21"/>
  <c r="BO65" i="21" s="1"/>
  <c r="CB40" i="21"/>
  <c r="CI40" i="21" s="1"/>
  <c r="DO47" i="21"/>
  <c r="DP47" i="21"/>
  <c r="BO53" i="21"/>
  <c r="BP53" i="21" s="1"/>
  <c r="EI53" i="21" s="1"/>
  <c r="EL77" i="21"/>
  <c r="EK77" i="21" s="1"/>
  <c r="Y77" i="21"/>
  <c r="AL26" i="21"/>
  <c r="AM26" i="21"/>
  <c r="ER484" i="21"/>
  <c r="DM484" i="21"/>
  <c r="ES484" i="21"/>
  <c r="EW484" i="21" s="1"/>
  <c r="EM465" i="21"/>
  <c r="EP465" i="21" s="1"/>
  <c r="EQ465" i="21" s="1"/>
  <c r="AY440" i="21"/>
  <c r="ER474" i="21"/>
  <c r="DT434" i="21"/>
  <c r="BI434" i="21"/>
  <c r="CU411" i="21"/>
  <c r="FG411" i="21"/>
  <c r="BI430" i="21"/>
  <c r="DT430" i="21"/>
  <c r="AY432" i="21"/>
  <c r="BH432" i="21" s="1"/>
  <c r="BJ432" i="21" s="1"/>
  <c r="AX437" i="21"/>
  <c r="CM437" i="21" s="1"/>
  <c r="DI437" i="21"/>
  <c r="M437" i="21"/>
  <c r="BF437" i="21" s="1"/>
  <c r="CO437" i="21" s="1"/>
  <c r="CA420" i="21"/>
  <c r="BZ420" i="21"/>
  <c r="CB420" i="21" s="1"/>
  <c r="CI420" i="21" s="1"/>
  <c r="CK420" i="21" s="1"/>
  <c r="CP420" i="21" s="1"/>
  <c r="BR420" i="21"/>
  <c r="DZ420" i="21" s="1"/>
  <c r="EB420" i="21" s="1"/>
  <c r="EH420" i="21" s="1"/>
  <c r="FY420" i="21"/>
  <c r="GA420" i="21" s="1"/>
  <c r="CS420" i="21" s="1"/>
  <c r="AX435" i="21"/>
  <c r="CM435" i="21" s="1"/>
  <c r="DI435" i="21"/>
  <c r="M435" i="21"/>
  <c r="BF435" i="21" s="1"/>
  <c r="CO435" i="21" s="1"/>
  <c r="DA427" i="21"/>
  <c r="FG427" i="21"/>
  <c r="DT387" i="21"/>
  <c r="BI387" i="21"/>
  <c r="CA387" i="21"/>
  <c r="AL387" i="21"/>
  <c r="BZ387" i="21"/>
  <c r="BR387" i="21"/>
  <c r="DZ387" i="21" s="1"/>
  <c r="EB387" i="21" s="1"/>
  <c r="T387" i="21"/>
  <c r="BH378" i="21"/>
  <c r="AZ378" i="21"/>
  <c r="AX369" i="21"/>
  <c r="CM369" i="21" s="1"/>
  <c r="M369" i="21"/>
  <c r="BF369" i="21" s="1"/>
  <c r="CO369" i="21" s="1"/>
  <c r="DI369" i="21"/>
  <c r="CX344" i="21"/>
  <c r="FI344" i="21"/>
  <c r="EL360" i="21"/>
  <c r="EK360" i="21" s="1"/>
  <c r="Y360" i="21"/>
  <c r="BR329" i="21"/>
  <c r="DZ329" i="21" s="1"/>
  <c r="EB329" i="21" s="1"/>
  <c r="FY329" i="21"/>
  <c r="GA329" i="21" s="1"/>
  <c r="CS329" i="21" s="1"/>
  <c r="AL329" i="21"/>
  <c r="CA329" i="21"/>
  <c r="BZ329" i="21"/>
  <c r="CB329" i="21" s="1"/>
  <c r="CI329" i="21" s="1"/>
  <c r="CK329" i="21" s="1"/>
  <c r="CP329" i="21" s="1"/>
  <c r="M343" i="21"/>
  <c r="BF343" i="21" s="1"/>
  <c r="CO343" i="21" s="1"/>
  <c r="BB343" i="21"/>
  <c r="BC343" i="21" s="1"/>
  <c r="CN343" i="21" s="1"/>
  <c r="AX343" i="21"/>
  <c r="CM343" i="21" s="1"/>
  <c r="DI343" i="21"/>
  <c r="BI355" i="21"/>
  <c r="DT355" i="21"/>
  <c r="FI333" i="21"/>
  <c r="CX333" i="21"/>
  <c r="AY318" i="21"/>
  <c r="ET312" i="21"/>
  <c r="EU312" i="21" s="1"/>
  <c r="EV312" i="21" s="1"/>
  <c r="DT296" i="21"/>
  <c r="BI296" i="21"/>
  <c r="CU283" i="21"/>
  <c r="FG283" i="21"/>
  <c r="AY278" i="21"/>
  <c r="BH278" i="21" s="1"/>
  <c r="BJ278" i="21" s="1"/>
  <c r="BF284" i="21"/>
  <c r="CO284" i="21" s="1"/>
  <c r="EL299" i="21"/>
  <c r="EK299" i="21" s="1"/>
  <c r="Y299" i="21"/>
  <c r="AZ266" i="21"/>
  <c r="BB260" i="21"/>
  <c r="BC260" i="21" s="1"/>
  <c r="CN260" i="21" s="1"/>
  <c r="AZ287" i="21"/>
  <c r="CI278" i="21"/>
  <c r="CK278" i="21" s="1"/>
  <c r="CP278" i="21" s="1"/>
  <c r="FG238" i="21"/>
  <c r="CU238" i="21"/>
  <c r="DI200" i="21"/>
  <c r="AX200" i="21"/>
  <c r="CM200" i="21" s="1"/>
  <c r="P200" i="21"/>
  <c r="DY200" i="21" s="1"/>
  <c r="EH200" i="21" s="1"/>
  <c r="M200" i="21"/>
  <c r="BF200" i="21" s="1"/>
  <c r="CO200" i="21" s="1"/>
  <c r="BB200" i="21"/>
  <c r="EH231" i="21"/>
  <c r="EG231" i="21"/>
  <c r="BH230" i="21"/>
  <c r="BJ230" i="21" s="1"/>
  <c r="DI237" i="21"/>
  <c r="AX237" i="21"/>
  <c r="CM237" i="21" s="1"/>
  <c r="M237" i="21"/>
  <c r="BF237" i="21" s="1"/>
  <c r="CO237" i="21" s="1"/>
  <c r="FY255" i="21"/>
  <c r="CA255" i="21"/>
  <c r="BR255" i="21"/>
  <c r="DZ255" i="21" s="1"/>
  <c r="EB255" i="21" s="1"/>
  <c r="EH255" i="21" s="1"/>
  <c r="BZ255" i="21"/>
  <c r="AL255" i="21"/>
  <c r="DM214" i="21"/>
  <c r="BJ166" i="21"/>
  <c r="CE267" i="21"/>
  <c r="AJ213" i="21"/>
  <c r="AT213" i="21"/>
  <c r="DD225" i="21"/>
  <c r="FI225" i="21"/>
  <c r="BC118" i="21"/>
  <c r="CN118" i="21" s="1"/>
  <c r="ET150" i="21"/>
  <c r="EU150" i="21" s="1"/>
  <c r="EV150" i="21" s="1"/>
  <c r="FI129" i="21"/>
  <c r="CX129" i="21"/>
  <c r="BC131" i="21"/>
  <c r="CN131" i="21" s="1"/>
  <c r="CU93" i="21"/>
  <c r="FG93" i="21"/>
  <c r="DM93" i="21"/>
  <c r="BM52" i="21"/>
  <c r="BL52" i="21"/>
  <c r="BN52" i="21" s="1"/>
  <c r="DT76" i="21"/>
  <c r="BM78" i="21"/>
  <c r="BL78" i="21"/>
  <c r="BN78" i="21" s="1"/>
  <c r="Y74" i="21"/>
  <c r="EL74" i="21"/>
  <c r="EK74" i="21" s="1"/>
  <c r="EY74" i="21" s="1"/>
  <c r="EZ74" i="21" s="1"/>
  <c r="DM49" i="21"/>
  <c r="FI73" i="21"/>
  <c r="CX73" i="21"/>
  <c r="BO47" i="21"/>
  <c r="BP47" i="21" s="1"/>
  <c r="EI47" i="21" s="1"/>
  <c r="EL494" i="21"/>
  <c r="EK494" i="21" s="1"/>
  <c r="EM494" i="21" s="1"/>
  <c r="EP494" i="21" s="1"/>
  <c r="EQ494" i="21" s="1"/>
  <c r="DN494" i="21" s="1"/>
  <c r="Y494" i="21"/>
  <c r="DP477" i="21"/>
  <c r="ED477" i="21"/>
  <c r="DO477" i="21"/>
  <c r="ES474" i="21"/>
  <c r="AY445" i="21"/>
  <c r="BI437" i="21"/>
  <c r="BJ437" i="21" s="1"/>
  <c r="DT437" i="21"/>
  <c r="M421" i="21"/>
  <c r="BF421" i="21" s="1"/>
  <c r="CO421" i="21" s="1"/>
  <c r="DI421" i="21"/>
  <c r="AX421" i="21"/>
  <c r="CM421" i="21" s="1"/>
  <c r="CB432" i="21"/>
  <c r="CI432" i="21" s="1"/>
  <c r="AY396" i="21"/>
  <c r="BH396" i="21" s="1"/>
  <c r="AY403" i="21"/>
  <c r="ET414" i="21"/>
  <c r="EU414" i="21" s="1"/>
  <c r="EV414" i="21" s="1"/>
  <c r="DT416" i="21"/>
  <c r="BI416" i="21"/>
  <c r="AZ427" i="21"/>
  <c r="BH427" i="21"/>
  <c r="BH407" i="21"/>
  <c r="EG377" i="21"/>
  <c r="CU399" i="21"/>
  <c r="FG399" i="21"/>
  <c r="BR384" i="21"/>
  <c r="DZ384" i="21" s="1"/>
  <c r="EB384" i="21" s="1"/>
  <c r="CA384" i="21"/>
  <c r="BZ384" i="21"/>
  <c r="T384" i="21"/>
  <c r="AY384" i="21" s="1"/>
  <c r="DT386" i="21"/>
  <c r="BI386" i="21"/>
  <c r="BJ386" i="21" s="1"/>
  <c r="CE363" i="21"/>
  <c r="BI345" i="21"/>
  <c r="DT345" i="21"/>
  <c r="AY329" i="21"/>
  <c r="BH329" i="21" s="1"/>
  <c r="BJ329" i="21" s="1"/>
  <c r="FG359" i="21"/>
  <c r="DA359" i="21"/>
  <c r="FI372" i="21"/>
  <c r="CX372" i="21"/>
  <c r="BF342" i="21"/>
  <c r="CO342" i="21" s="1"/>
  <c r="CX326" i="21"/>
  <c r="FI326" i="21"/>
  <c r="BZ306" i="21"/>
  <c r="CB306" i="21" s="1"/>
  <c r="CI306" i="21" s="1"/>
  <c r="CK306" i="21" s="1"/>
  <c r="CP306" i="21" s="1"/>
  <c r="CA306" i="21"/>
  <c r="T306" i="21"/>
  <c r="BR306" i="21"/>
  <c r="DZ306" i="21" s="1"/>
  <c r="EB306" i="21" s="1"/>
  <c r="AL306" i="21"/>
  <c r="AY262" i="21"/>
  <c r="AZ262" i="21" s="1"/>
  <c r="FI321" i="21"/>
  <c r="DD321" i="21"/>
  <c r="FI278" i="21"/>
  <c r="DD278" i="21"/>
  <c r="EL262" i="21"/>
  <c r="EK262" i="21" s="1"/>
  <c r="Y262" i="21"/>
  <c r="AY266" i="21"/>
  <c r="BH266" i="21" s="1"/>
  <c r="ED344" i="21"/>
  <c r="CR344" i="21" s="1"/>
  <c r="AX232" i="21"/>
  <c r="CM232" i="21" s="1"/>
  <c r="DI232" i="21"/>
  <c r="M232" i="21"/>
  <c r="BF232" i="21" s="1"/>
  <c r="CO232" i="21" s="1"/>
  <c r="EH272" i="21"/>
  <c r="AZ238" i="21"/>
  <c r="BH238" i="21"/>
  <c r="BR259" i="21"/>
  <c r="DZ259" i="21" s="1"/>
  <c r="EB259" i="21" s="1"/>
  <c r="EH259" i="21" s="1"/>
  <c r="CA259" i="21"/>
  <c r="FY259" i="21"/>
  <c r="GA259" i="21" s="1"/>
  <c r="CS259" i="21" s="1"/>
  <c r="BZ259" i="21"/>
  <c r="DI227" i="21"/>
  <c r="BB227" i="21"/>
  <c r="M227" i="21"/>
  <c r="AX227" i="21"/>
  <c r="CM227" i="21" s="1"/>
  <c r="EH195" i="21"/>
  <c r="FG245" i="21"/>
  <c r="DA245" i="21"/>
  <c r="ED290" i="21"/>
  <c r="CR290" i="21" s="1"/>
  <c r="DM211" i="21"/>
  <c r="DN216" i="21"/>
  <c r="DT267" i="21"/>
  <c r="BI267" i="21"/>
  <c r="BJ267" i="21" s="1"/>
  <c r="ET184" i="21"/>
  <c r="EU184" i="21" s="1"/>
  <c r="EV184" i="21" s="1"/>
  <c r="ET263" i="21"/>
  <c r="EU263" i="21" s="1"/>
  <c r="EV263" i="21" s="1"/>
  <c r="BL114" i="21"/>
  <c r="BN114" i="21" s="1"/>
  <c r="BM114" i="21"/>
  <c r="BO114" i="21" s="1"/>
  <c r="BC150" i="21"/>
  <c r="CN150" i="21" s="1"/>
  <c r="AX150" i="21"/>
  <c r="CM150" i="21" s="1"/>
  <c r="DJ150" i="21"/>
  <c r="EY150" i="21" s="1"/>
  <c r="BB150" i="21"/>
  <c r="M150" i="21"/>
  <c r="BF150" i="21" s="1"/>
  <c r="CO150" i="21" s="1"/>
  <c r="AY98" i="21"/>
  <c r="AZ98" i="21" s="1"/>
  <c r="BR92" i="21"/>
  <c r="DZ92" i="21" s="1"/>
  <c r="EB92" i="21" s="1"/>
  <c r="BK92" i="21"/>
  <c r="CA92" i="21"/>
  <c r="AN92" i="21"/>
  <c r="BZ92" i="21"/>
  <c r="CB92" i="21" s="1"/>
  <c r="CI92" i="21" s="1"/>
  <c r="CK92" i="21" s="1"/>
  <c r="CP92" i="21" s="1"/>
  <c r="FX92" i="21"/>
  <c r="GA92" i="21" s="1"/>
  <c r="CS92" i="21" s="1"/>
  <c r="AZ129" i="21"/>
  <c r="BZ154" i="21"/>
  <c r="CB154" i="21" s="1"/>
  <c r="CI154" i="21" s="1"/>
  <c r="CK154" i="21" s="1"/>
  <c r="DY154" i="21"/>
  <c r="EH154" i="21" s="1"/>
  <c r="EE92" i="21"/>
  <c r="DY157" i="21"/>
  <c r="EH157" i="21" s="1"/>
  <c r="BZ157" i="21"/>
  <c r="CB157" i="21" s="1"/>
  <c r="CI157" i="21" s="1"/>
  <c r="CK157" i="21" s="1"/>
  <c r="DM173" i="21"/>
  <c r="CI162" i="21"/>
  <c r="CK162" i="21" s="1"/>
  <c r="FX63" i="21"/>
  <c r="GA63" i="21" s="1"/>
  <c r="BR63" i="21"/>
  <c r="DZ63" i="21" s="1"/>
  <c r="EB63" i="21" s="1"/>
  <c r="BK63" i="21"/>
  <c r="CA63" i="21"/>
  <c r="BZ63" i="21"/>
  <c r="AN63" i="21"/>
  <c r="BE63" i="21"/>
  <c r="BF63" i="21" s="1"/>
  <c r="EY85" i="21"/>
  <c r="EZ85" i="21" s="1"/>
  <c r="BM116" i="21"/>
  <c r="BL116" i="21"/>
  <c r="BN116" i="21" s="1"/>
  <c r="AM38" i="21"/>
  <c r="AL38" i="21"/>
  <c r="DM35" i="21"/>
  <c r="BC55" i="21"/>
  <c r="CN55" i="21" s="1"/>
  <c r="BM49" i="21"/>
  <c r="BL49" i="21"/>
  <c r="BN49" i="21" s="1"/>
  <c r="DP38" i="21"/>
  <c r="DO38" i="21"/>
  <c r="DM45" i="21"/>
  <c r="CK41" i="21"/>
  <c r="DU483" i="21"/>
  <c r="EM483" i="21" s="1"/>
  <c r="EP483" i="21" s="1"/>
  <c r="EQ483" i="21" s="1"/>
  <c r="BI448" i="21"/>
  <c r="DT448" i="21"/>
  <c r="EX477" i="21"/>
  <c r="BI471" i="21"/>
  <c r="BJ471" i="21" s="1"/>
  <c r="DT471" i="21"/>
  <c r="AL445" i="21"/>
  <c r="BZ415" i="21"/>
  <c r="CA415" i="21"/>
  <c r="BR415" i="21"/>
  <c r="DZ415" i="21" s="1"/>
  <c r="EB415" i="21" s="1"/>
  <c r="T415" i="21"/>
  <c r="DP471" i="21"/>
  <c r="DO471" i="21"/>
  <c r="ED471" i="21"/>
  <c r="CU426" i="21"/>
  <c r="FG426" i="21"/>
  <c r="CU419" i="21"/>
  <c r="FG419" i="21"/>
  <c r="BH434" i="21"/>
  <c r="AL437" i="21"/>
  <c r="DA414" i="21"/>
  <c r="FG414" i="21"/>
  <c r="FY398" i="21"/>
  <c r="GA398" i="21" s="1"/>
  <c r="CS398" i="21" s="1"/>
  <c r="AL398" i="21"/>
  <c r="CA398" i="21"/>
  <c r="BZ398" i="21"/>
  <c r="BR398" i="21"/>
  <c r="DZ398" i="21" s="1"/>
  <c r="EB398" i="21" s="1"/>
  <c r="T398" i="21"/>
  <c r="BB442" i="21"/>
  <c r="EL376" i="21"/>
  <c r="EK376" i="21" s="1"/>
  <c r="Y376" i="21"/>
  <c r="FY419" i="21"/>
  <c r="GA419" i="21" s="1"/>
  <c r="CS419" i="21" s="1"/>
  <c r="BZ419" i="21"/>
  <c r="BR419" i="21"/>
  <c r="DZ419" i="21" s="1"/>
  <c r="EB419" i="21" s="1"/>
  <c r="EH419" i="21" s="1"/>
  <c r="AL419" i="21"/>
  <c r="CA419" i="21"/>
  <c r="BI393" i="21"/>
  <c r="DT393" i="21"/>
  <c r="EB369" i="21"/>
  <c r="BI368" i="21"/>
  <c r="DT368" i="21"/>
  <c r="BZ365" i="21"/>
  <c r="BR365" i="21"/>
  <c r="DZ365" i="21" s="1"/>
  <c r="EB365" i="21" s="1"/>
  <c r="EH365" i="21" s="1"/>
  <c r="CA365" i="21"/>
  <c r="FY365" i="21"/>
  <c r="GA365" i="21" s="1"/>
  <c r="CS365" i="21" s="1"/>
  <c r="DM328" i="21"/>
  <c r="BR317" i="21"/>
  <c r="DZ317" i="21" s="1"/>
  <c r="EB317" i="21" s="1"/>
  <c r="BZ317" i="21"/>
  <c r="CB317" i="21" s="1"/>
  <c r="CI317" i="21" s="1"/>
  <c r="CK317" i="21" s="1"/>
  <c r="CP317" i="21" s="1"/>
  <c r="T317" i="21"/>
  <c r="CA317" i="21"/>
  <c r="FY317" i="21"/>
  <c r="GA317" i="21" s="1"/>
  <c r="CS317" i="21" s="1"/>
  <c r="AL317" i="21"/>
  <c r="CK349" i="21"/>
  <c r="CP349" i="21" s="1"/>
  <c r="DA342" i="21"/>
  <c r="FG342" i="21"/>
  <c r="FY336" i="21"/>
  <c r="GA336" i="21" s="1"/>
  <c r="CS336" i="21" s="1"/>
  <c r="BZ336" i="21"/>
  <c r="BR336" i="21"/>
  <c r="DZ336" i="21" s="1"/>
  <c r="EB336" i="21" s="1"/>
  <c r="CA336" i="21"/>
  <c r="FI305" i="21"/>
  <c r="DD305" i="21"/>
  <c r="DM303" i="21"/>
  <c r="FG345" i="21"/>
  <c r="DA345" i="21"/>
  <c r="CA350" i="21"/>
  <c r="BR350" i="21"/>
  <c r="DZ350" i="21" s="1"/>
  <c r="EB350" i="21" s="1"/>
  <c r="AL350" i="21"/>
  <c r="BZ350" i="21"/>
  <c r="CB350" i="21" s="1"/>
  <c r="CI350" i="21" s="1"/>
  <c r="CK350" i="21" s="1"/>
  <c r="CP350" i="21" s="1"/>
  <c r="FY350" i="21"/>
  <c r="GA350" i="21" s="1"/>
  <c r="CS350" i="21" s="1"/>
  <c r="DI293" i="21"/>
  <c r="AX293" i="21"/>
  <c r="CM293" i="21" s="1"/>
  <c r="M293" i="21"/>
  <c r="BF293" i="21" s="1"/>
  <c r="CO293" i="21" s="1"/>
  <c r="BB299" i="21"/>
  <c r="BC299" i="21" s="1"/>
  <c r="CN299" i="21" s="1"/>
  <c r="ET327" i="21"/>
  <c r="EU327" i="21" s="1"/>
  <c r="EV327" i="21" s="1"/>
  <c r="DM274" i="21"/>
  <c r="BZ305" i="21"/>
  <c r="CB305" i="21" s="1"/>
  <c r="CI305" i="21" s="1"/>
  <c r="CK305" i="21" s="1"/>
  <c r="CP305" i="21" s="1"/>
  <c r="BR305" i="21"/>
  <c r="DZ305" i="21" s="1"/>
  <c r="EB305" i="21" s="1"/>
  <c r="T305" i="21"/>
  <c r="CA305" i="21"/>
  <c r="FI267" i="21"/>
  <c r="DD267" i="21"/>
  <c r="FI275" i="21"/>
  <c r="CX275" i="21"/>
  <c r="EL208" i="21"/>
  <c r="EK208" i="21" s="1"/>
  <c r="Y208" i="21"/>
  <c r="FI189" i="21"/>
  <c r="CX189" i="21"/>
  <c r="EH227" i="21"/>
  <c r="M226" i="21"/>
  <c r="DI226" i="21"/>
  <c r="AX226" i="21"/>
  <c r="BB226" i="21"/>
  <c r="BC226" i="21" s="1"/>
  <c r="ET245" i="21"/>
  <c r="EU245" i="21" s="1"/>
  <c r="EV245" i="21" s="1"/>
  <c r="FJ211" i="21"/>
  <c r="CW211" i="21"/>
  <c r="AT217" i="21"/>
  <c r="DU217" i="21" s="1"/>
  <c r="AP218" i="21"/>
  <c r="DM189" i="21"/>
  <c r="DT263" i="21"/>
  <c r="BI263" i="21"/>
  <c r="AQ192" i="21"/>
  <c r="AL178" i="21"/>
  <c r="DD274" i="21"/>
  <c r="FI274" i="21"/>
  <c r="DM167" i="21"/>
  <c r="ES167" i="21"/>
  <c r="ER167" i="21"/>
  <c r="BM133" i="21"/>
  <c r="BL133" i="21"/>
  <c r="BN133" i="21" s="1"/>
  <c r="BL118" i="21"/>
  <c r="DT149" i="21"/>
  <c r="BE91" i="21"/>
  <c r="BF91" i="21" s="1"/>
  <c r="CO91" i="21" s="1"/>
  <c r="AY91" i="21"/>
  <c r="AZ91" i="21" s="1"/>
  <c r="ET154" i="21"/>
  <c r="EU154" i="21" s="1"/>
  <c r="EV154" i="21" s="1"/>
  <c r="DC122" i="21"/>
  <c r="FJ122" i="21"/>
  <c r="AM119" i="21"/>
  <c r="AL119" i="21"/>
  <c r="AM51" i="21"/>
  <c r="AL51" i="21"/>
  <c r="FI116" i="21"/>
  <c r="CX116" i="21"/>
  <c r="BC24" i="21"/>
  <c r="EH95" i="21"/>
  <c r="EG95" i="21"/>
  <c r="BB97" i="21"/>
  <c r="M36" i="21"/>
  <c r="BF36" i="21" s="1"/>
  <c r="DJ36" i="21"/>
  <c r="EY36" i="21" s="1"/>
  <c r="AX36" i="21"/>
  <c r="BM45" i="21"/>
  <c r="BL45" i="21"/>
  <c r="BN45" i="21" s="1"/>
  <c r="ES487" i="21"/>
  <c r="ER487" i="21"/>
  <c r="EW487" i="21" s="1"/>
  <c r="DM487" i="21"/>
  <c r="DU466" i="21"/>
  <c r="AX446" i="21"/>
  <c r="CM446" i="21" s="1"/>
  <c r="M446" i="21"/>
  <c r="BF446" i="21" s="1"/>
  <c r="CO446" i="21" s="1"/>
  <c r="DI446" i="21"/>
  <c r="M449" i="21"/>
  <c r="BF449" i="21" s="1"/>
  <c r="CO449" i="21" s="1"/>
  <c r="AX449" i="21"/>
  <c r="CM449" i="21" s="1"/>
  <c r="DI449" i="21"/>
  <c r="DM494" i="21"/>
  <c r="ES494" i="21"/>
  <c r="ER494" i="21"/>
  <c r="ET479" i="21"/>
  <c r="EU479" i="21" s="1"/>
  <c r="EV479" i="21" s="1"/>
  <c r="EM479" i="21"/>
  <c r="EP479" i="21" s="1"/>
  <c r="EQ479" i="21" s="1"/>
  <c r="BI446" i="21"/>
  <c r="BJ446" i="21" s="1"/>
  <c r="DT446" i="21"/>
  <c r="FG443" i="21"/>
  <c r="CU443" i="21"/>
  <c r="DM386" i="21"/>
  <c r="BF448" i="21"/>
  <c r="CO448" i="21" s="1"/>
  <c r="M397" i="21"/>
  <c r="BF397" i="21" s="1"/>
  <c r="CO397" i="21" s="1"/>
  <c r="BB397" i="21"/>
  <c r="AX397" i="21"/>
  <c r="CM397" i="21" s="1"/>
  <c r="DI397" i="21"/>
  <c r="BI431" i="21"/>
  <c r="DT431" i="21"/>
  <c r="EL402" i="21"/>
  <c r="EK402" i="21" s="1"/>
  <c r="Y402" i="21"/>
  <c r="EU448" i="21"/>
  <c r="EV448" i="21" s="1"/>
  <c r="DT399" i="21"/>
  <c r="BI399" i="21"/>
  <c r="BJ399" i="21" s="1"/>
  <c r="FG391" i="21"/>
  <c r="CU391" i="21"/>
  <c r="AY370" i="21"/>
  <c r="DT405" i="21"/>
  <c r="BI405" i="21"/>
  <c r="BF419" i="21"/>
  <c r="CO419" i="21" s="1"/>
  <c r="Y377" i="21"/>
  <c r="EL377" i="21"/>
  <c r="EK377" i="21" s="1"/>
  <c r="CK369" i="21"/>
  <c r="CP369" i="21" s="1"/>
  <c r="BH375" i="21"/>
  <c r="CI328" i="21"/>
  <c r="CK328" i="21" s="1"/>
  <c r="CP328" i="21" s="1"/>
  <c r="AX384" i="21"/>
  <c r="CM384" i="21" s="1"/>
  <c r="M384" i="21"/>
  <c r="BF384" i="21" s="1"/>
  <c r="CO384" i="21" s="1"/>
  <c r="DI384" i="21"/>
  <c r="EL390" i="21"/>
  <c r="EK390" i="21" s="1"/>
  <c r="Y390" i="21"/>
  <c r="CK370" i="21"/>
  <c r="CP370" i="21" s="1"/>
  <c r="BC309" i="21"/>
  <c r="CN309" i="21" s="1"/>
  <c r="DA323" i="21"/>
  <c r="FG323" i="21"/>
  <c r="CE382" i="21"/>
  <c r="BF367" i="21"/>
  <c r="CO367" i="21" s="1"/>
  <c r="BI310" i="21"/>
  <c r="DT310" i="21"/>
  <c r="BR307" i="21"/>
  <c r="DZ307" i="21" s="1"/>
  <c r="EB307" i="21" s="1"/>
  <c r="FY307" i="21"/>
  <c r="GA307" i="21" s="1"/>
  <c r="CS307" i="21" s="1"/>
  <c r="CA307" i="21"/>
  <c r="BZ307" i="21"/>
  <c r="AL307" i="21"/>
  <c r="T307" i="21"/>
  <c r="ET342" i="21"/>
  <c r="EU342" i="21" s="1"/>
  <c r="EV342" i="21" s="1"/>
  <c r="BI324" i="21"/>
  <c r="BJ324" i="21" s="1"/>
  <c r="DT324" i="21"/>
  <c r="BJ350" i="21"/>
  <c r="EU345" i="21"/>
  <c r="EV345" i="21" s="1"/>
  <c r="ET345" i="21"/>
  <c r="EL314" i="21"/>
  <c r="EK314" i="21" s="1"/>
  <c r="Y314" i="21"/>
  <c r="EL295" i="21"/>
  <c r="EK295" i="21" s="1"/>
  <c r="Y295" i="21"/>
  <c r="AY254" i="21"/>
  <c r="BH254" i="21" s="1"/>
  <c r="BJ254" i="21" s="1"/>
  <c r="BF327" i="21"/>
  <c r="CO327" i="21" s="1"/>
  <c r="CA272" i="21"/>
  <c r="BZ272" i="21"/>
  <c r="BR272" i="21"/>
  <c r="DZ272" i="21" s="1"/>
  <c r="EB272" i="21" s="1"/>
  <c r="EG272" i="21" s="1"/>
  <c r="FY272" i="21"/>
  <c r="GA272" i="21" s="1"/>
  <c r="CS272" i="21" s="1"/>
  <c r="AL272" i="21"/>
  <c r="M310" i="21"/>
  <c r="BF310" i="21" s="1"/>
  <c r="CO310" i="21" s="1"/>
  <c r="DI310" i="21"/>
  <c r="AX310" i="21"/>
  <c r="CM310" i="21" s="1"/>
  <c r="CB362" i="21"/>
  <c r="CI362" i="21" s="1"/>
  <c r="AL259" i="21"/>
  <c r="DI188" i="21"/>
  <c r="AX188" i="21"/>
  <c r="CM188" i="21" s="1"/>
  <c r="M188" i="21"/>
  <c r="BF188" i="21" s="1"/>
  <c r="CO188" i="21" s="1"/>
  <c r="CA204" i="21"/>
  <c r="BR204" i="21"/>
  <c r="DZ204" i="21" s="1"/>
  <c r="EB204" i="21" s="1"/>
  <c r="T204" i="21"/>
  <c r="AY204" i="21" s="1"/>
  <c r="FY204" i="21"/>
  <c r="GA204" i="21" s="1"/>
  <c r="CS204" i="21" s="1"/>
  <c r="AL204" i="21"/>
  <c r="AJ204" i="21"/>
  <c r="DM179" i="21"/>
  <c r="DI257" i="21"/>
  <c r="M257" i="21"/>
  <c r="BF257" i="21" s="1"/>
  <c r="CO257" i="21" s="1"/>
  <c r="AX257" i="21"/>
  <c r="CM257" i="21" s="1"/>
  <c r="AY178" i="21"/>
  <c r="BH178" i="21" s="1"/>
  <c r="BJ178" i="21" s="1"/>
  <c r="BB237" i="21"/>
  <c r="CX172" i="21"/>
  <c r="FI172" i="21"/>
  <c r="FG209" i="21"/>
  <c r="DA209" i="21"/>
  <c r="CX133" i="21"/>
  <c r="FI133" i="21"/>
  <c r="EL173" i="21"/>
  <c r="EK173" i="21" s="1"/>
  <c r="Y173" i="21"/>
  <c r="EL91" i="21"/>
  <c r="EK91" i="21" s="1"/>
  <c r="EY91" i="21" s="1"/>
  <c r="EZ91" i="21" s="1"/>
  <c r="Y91" i="21"/>
  <c r="CB271" i="21"/>
  <c r="CI271" i="21" s="1"/>
  <c r="CK271" i="21" s="1"/>
  <c r="CP271" i="21" s="1"/>
  <c r="FX82" i="21"/>
  <c r="GA82" i="21" s="1"/>
  <c r="CS82" i="21" s="1"/>
  <c r="BK82" i="21"/>
  <c r="BR82" i="21"/>
  <c r="DZ82" i="21" s="1"/>
  <c r="EB82" i="21" s="1"/>
  <c r="AN82" i="21"/>
  <c r="CA82" i="21"/>
  <c r="BZ82" i="21"/>
  <c r="CB82" i="21" s="1"/>
  <c r="CI82" i="21" s="1"/>
  <c r="CK82" i="21" s="1"/>
  <c r="CP82" i="21" s="1"/>
  <c r="EE82" i="21"/>
  <c r="ET118" i="21"/>
  <c r="EU118" i="21" s="1"/>
  <c r="EV118" i="21" s="1"/>
  <c r="EY118" i="21"/>
  <c r="EZ118" i="21" s="1"/>
  <c r="ET128" i="21"/>
  <c r="EU128" i="21" s="1"/>
  <c r="EV128" i="21" s="1"/>
  <c r="BM101" i="21"/>
  <c r="BL101" i="21"/>
  <c r="BN101" i="21" s="1"/>
  <c r="M33" i="21"/>
  <c r="BF33" i="21" s="1"/>
  <c r="DJ33" i="21"/>
  <c r="AX33" i="21"/>
  <c r="DM32" i="21"/>
  <c r="CW123" i="21"/>
  <c r="FJ123" i="21"/>
  <c r="DM33" i="21"/>
  <c r="EL49" i="21"/>
  <c r="EK49" i="21" s="1"/>
  <c r="Y49" i="21"/>
  <c r="BM22" i="21"/>
  <c r="BO22" i="21" s="1"/>
  <c r="BL22" i="21"/>
  <c r="BN22" i="21" s="1"/>
  <c r="CK50" i="21"/>
  <c r="EL97" i="21"/>
  <c r="EK97" i="21" s="1"/>
  <c r="Y97" i="21"/>
  <c r="BP37" i="21"/>
  <c r="EI37" i="21" s="1"/>
  <c r="BF42" i="21"/>
  <c r="BI485" i="21"/>
  <c r="BJ485" i="21" s="1"/>
  <c r="DT485" i="21"/>
  <c r="CA448" i="21"/>
  <c r="BZ448" i="21"/>
  <c r="CB448" i="21" s="1"/>
  <c r="CI448" i="21" s="1"/>
  <c r="CK448" i="21" s="1"/>
  <c r="CP448" i="21" s="1"/>
  <c r="BR448" i="21"/>
  <c r="DZ448" i="21" s="1"/>
  <c r="EB448" i="21" s="1"/>
  <c r="EH448" i="21" s="1"/>
  <c r="AL448" i="21"/>
  <c r="FY448" i="21"/>
  <c r="GA448" i="21" s="1"/>
  <c r="CS448" i="21" s="1"/>
  <c r="BR431" i="21"/>
  <c r="DZ431" i="21" s="1"/>
  <c r="EB431" i="21" s="1"/>
  <c r="FY431" i="21"/>
  <c r="GA431" i="21" s="1"/>
  <c r="CS431" i="21" s="1"/>
  <c r="CA431" i="21"/>
  <c r="BZ431" i="21"/>
  <c r="T431" i="21"/>
  <c r="DI440" i="21"/>
  <c r="M440" i="21"/>
  <c r="BF440" i="21" s="1"/>
  <c r="CO440" i="21" s="1"/>
  <c r="AX440" i="21"/>
  <c r="CM440" i="21" s="1"/>
  <c r="BI479" i="21"/>
  <c r="BJ479" i="21" s="1"/>
  <c r="DT479" i="21"/>
  <c r="CA445" i="21"/>
  <c r="BZ445" i="21"/>
  <c r="BR445" i="21"/>
  <c r="DZ445" i="21" s="1"/>
  <c r="EB445" i="21" s="1"/>
  <c r="EG445" i="21" s="1"/>
  <c r="BI445" i="21"/>
  <c r="DT445" i="21"/>
  <c r="BF426" i="21"/>
  <c r="CO426" i="21" s="1"/>
  <c r="AX438" i="21"/>
  <c r="CM438" i="21" s="1"/>
  <c r="DI438" i="21"/>
  <c r="M438" i="21"/>
  <c r="BF438" i="21" s="1"/>
  <c r="CO438" i="21" s="1"/>
  <c r="ET443" i="21"/>
  <c r="EU443" i="21" s="1"/>
  <c r="EV443" i="21" s="1"/>
  <c r="CA437" i="21"/>
  <c r="BZ437" i="21"/>
  <c r="BR437" i="21"/>
  <c r="DZ437" i="21" s="1"/>
  <c r="EB437" i="21" s="1"/>
  <c r="EG437" i="21" s="1"/>
  <c r="FY437" i="21"/>
  <c r="GA437" i="21" s="1"/>
  <c r="CS437" i="21" s="1"/>
  <c r="FY416" i="21"/>
  <c r="GA416" i="21" s="1"/>
  <c r="CS416" i="21" s="1"/>
  <c r="CA416" i="21"/>
  <c r="BZ416" i="21"/>
  <c r="CB416" i="21" s="1"/>
  <c r="CI416" i="21" s="1"/>
  <c r="CK416" i="21" s="1"/>
  <c r="CP416" i="21" s="1"/>
  <c r="BR416" i="21"/>
  <c r="DZ416" i="21" s="1"/>
  <c r="EB416" i="21" s="1"/>
  <c r="EG435" i="21"/>
  <c r="EH435" i="21"/>
  <c r="EG399" i="21"/>
  <c r="DA404" i="21"/>
  <c r="FG404" i="21"/>
  <c r="BH380" i="21"/>
  <c r="AZ380" i="21"/>
  <c r="BI367" i="21"/>
  <c r="DT367" i="21"/>
  <c r="AL367" i="21"/>
  <c r="CA367" i="21"/>
  <c r="BZ367" i="21"/>
  <c r="BR367" i="21"/>
  <c r="DZ367" i="21" s="1"/>
  <c r="EB367" i="21" s="1"/>
  <c r="DI366" i="21"/>
  <c r="M366" i="21"/>
  <c r="BF366" i="21" s="1"/>
  <c r="CO366" i="21" s="1"/>
  <c r="AX366" i="21"/>
  <c r="CM366" i="21" s="1"/>
  <c r="FI349" i="21"/>
  <c r="CX349" i="21"/>
  <c r="AZ323" i="21"/>
  <c r="BI315" i="21"/>
  <c r="DT315" i="21"/>
  <c r="BJ363" i="21"/>
  <c r="BI343" i="21"/>
  <c r="BJ343" i="21" s="1"/>
  <c r="DT343" i="21"/>
  <c r="CA296" i="21"/>
  <c r="AL296" i="21"/>
  <c r="BR296" i="21"/>
  <c r="DZ296" i="21" s="1"/>
  <c r="EB296" i="21" s="1"/>
  <c r="EH296" i="21" s="1"/>
  <c r="BZ296" i="21"/>
  <c r="CB296" i="21" s="1"/>
  <c r="CI296" i="21" s="1"/>
  <c r="T296" i="21"/>
  <c r="DA306" i="21"/>
  <c r="FG306" i="21"/>
  <c r="AY365" i="21"/>
  <c r="BH365" i="21" s="1"/>
  <c r="BI306" i="21"/>
  <c r="DT306" i="21"/>
  <c r="BI287" i="21"/>
  <c r="BJ287" i="21" s="1"/>
  <c r="DT287" i="21"/>
  <c r="EH280" i="21"/>
  <c r="EG280" i="21"/>
  <c r="EH269" i="21"/>
  <c r="EG269" i="21"/>
  <c r="BC267" i="21"/>
  <c r="CN267" i="21" s="1"/>
  <c r="EH221" i="21"/>
  <c r="EG221" i="21"/>
  <c r="CA311" i="21"/>
  <c r="BZ311" i="21"/>
  <c r="BR311" i="21"/>
  <c r="DZ311" i="21" s="1"/>
  <c r="EB311" i="21" s="1"/>
  <c r="EG311" i="21" s="1"/>
  <c r="AL311" i="21"/>
  <c r="FY311" i="21"/>
  <c r="GA311" i="21" s="1"/>
  <c r="CS311" i="21" s="1"/>
  <c r="FG225" i="21"/>
  <c r="DA225" i="21"/>
  <c r="DI186" i="21"/>
  <c r="AX186" i="21"/>
  <c r="CM186" i="21" s="1"/>
  <c r="M186" i="21"/>
  <c r="BF186" i="21" s="1"/>
  <c r="CO186" i="21" s="1"/>
  <c r="EL228" i="21"/>
  <c r="EK228" i="21" s="1"/>
  <c r="Y228" i="21"/>
  <c r="EB252" i="21"/>
  <c r="EH252" i="21" s="1"/>
  <c r="FI211" i="21"/>
  <c r="CX211" i="21"/>
  <c r="CX285" i="21"/>
  <c r="FI285" i="21"/>
  <c r="BH168" i="21"/>
  <c r="BJ168" i="21" s="1"/>
  <c r="AZ168" i="21"/>
  <c r="BB291" i="21"/>
  <c r="DT147" i="21"/>
  <c r="ET209" i="21"/>
  <c r="EU209" i="21" s="1"/>
  <c r="EV209" i="21" s="1"/>
  <c r="CB188" i="21"/>
  <c r="CI188" i="21" s="1"/>
  <c r="BB257" i="21"/>
  <c r="FI151" i="21"/>
  <c r="DD151" i="21"/>
  <c r="DT166" i="21"/>
  <c r="ET80" i="21"/>
  <c r="EU80" i="21" s="1"/>
  <c r="EV80" i="21" s="1"/>
  <c r="EZ80" i="21"/>
  <c r="FG138" i="21"/>
  <c r="CU138" i="21"/>
  <c r="FY119" i="21"/>
  <c r="CD119" i="21"/>
  <c r="CE119" i="21" s="1"/>
  <c r="Y59" i="21"/>
  <c r="EL59" i="21"/>
  <c r="EK59" i="21" s="1"/>
  <c r="BP121" i="21"/>
  <c r="EI121" i="21" s="1"/>
  <c r="EH121" i="21" s="1"/>
  <c r="DP43" i="21"/>
  <c r="DO43" i="21"/>
  <c r="BC42" i="21"/>
  <c r="EH68" i="21"/>
  <c r="EG68" i="21"/>
  <c r="BI476" i="21"/>
  <c r="BJ476" i="21" s="1"/>
  <c r="DT476" i="21"/>
  <c r="BI493" i="21"/>
  <c r="BJ493" i="21" s="1"/>
  <c r="DT493" i="21"/>
  <c r="BI488" i="21"/>
  <c r="BJ488" i="21" s="1"/>
  <c r="DT488" i="21"/>
  <c r="FI436" i="21"/>
  <c r="DD436" i="21"/>
  <c r="BH436" i="21"/>
  <c r="BJ436" i="21" s="1"/>
  <c r="AZ436" i="21"/>
  <c r="DI436" i="21"/>
  <c r="M436" i="21"/>
  <c r="BF436" i="21" s="1"/>
  <c r="CO436" i="21" s="1"/>
  <c r="AX436" i="21"/>
  <c r="CM436" i="21" s="1"/>
  <c r="AZ434" i="21"/>
  <c r="FY410" i="21"/>
  <c r="GA410" i="21" s="1"/>
  <c r="CS410" i="21" s="1"/>
  <c r="CA410" i="21"/>
  <c r="BZ410" i="21"/>
  <c r="CB410" i="21" s="1"/>
  <c r="CI410" i="21" s="1"/>
  <c r="CK410" i="21" s="1"/>
  <c r="CP410" i="21" s="1"/>
  <c r="BR410" i="21"/>
  <c r="DZ410" i="21" s="1"/>
  <c r="EB410" i="21" s="1"/>
  <c r="ET428" i="21"/>
  <c r="EU428" i="21" s="1"/>
  <c r="EV428" i="21" s="1"/>
  <c r="M402" i="21"/>
  <c r="BF402" i="21" s="1"/>
  <c r="CO402" i="21" s="1"/>
  <c r="AX402" i="21"/>
  <c r="CM402" i="21" s="1"/>
  <c r="DI402" i="21"/>
  <c r="BF429" i="21"/>
  <c r="CO429" i="21" s="1"/>
  <c r="BF420" i="21"/>
  <c r="CO420" i="21" s="1"/>
  <c r="AL420" i="21"/>
  <c r="BI427" i="21"/>
  <c r="BJ427" i="21" s="1"/>
  <c r="DT427" i="21"/>
  <c r="CA379" i="21"/>
  <c r="BZ379" i="21"/>
  <c r="BR379" i="21"/>
  <c r="DZ379" i="21" s="1"/>
  <c r="EB379" i="21" s="1"/>
  <c r="FY379" i="21"/>
  <c r="GA379" i="21" s="1"/>
  <c r="CS379" i="21" s="1"/>
  <c r="AY399" i="21"/>
  <c r="AZ399" i="21" s="1"/>
  <c r="ET404" i="21"/>
  <c r="EU404" i="21" s="1"/>
  <c r="EV404" i="21" s="1"/>
  <c r="M395" i="21"/>
  <c r="BF395" i="21" s="1"/>
  <c r="CO395" i="21" s="1"/>
  <c r="AX395" i="21"/>
  <c r="CM395" i="21" s="1"/>
  <c r="DI395" i="21"/>
  <c r="ET419" i="21"/>
  <c r="EU419" i="21" s="1"/>
  <c r="EV419" i="21" s="1"/>
  <c r="BH381" i="21"/>
  <c r="AZ381" i="21"/>
  <c r="GA364" i="21"/>
  <c r="CS364" i="21" s="1"/>
  <c r="AY362" i="21"/>
  <c r="BH362" i="21" s="1"/>
  <c r="BJ362" i="21" s="1"/>
  <c r="AY375" i="21"/>
  <c r="AZ375" i="21" s="1"/>
  <c r="CA339" i="21"/>
  <c r="BZ339" i="21"/>
  <c r="CB339" i="21" s="1"/>
  <c r="CI339" i="21" s="1"/>
  <c r="CK339" i="21" s="1"/>
  <c r="CP339" i="21" s="1"/>
  <c r="FY339" i="21"/>
  <c r="GA339" i="21" s="1"/>
  <c r="CS339" i="21" s="1"/>
  <c r="BR339" i="21"/>
  <c r="DZ339" i="21" s="1"/>
  <c r="EB339" i="21" s="1"/>
  <c r="AL339" i="21"/>
  <c r="T339" i="21"/>
  <c r="EB358" i="21"/>
  <c r="CB359" i="21"/>
  <c r="CI359" i="21" s="1"/>
  <c r="CK359" i="21" s="1"/>
  <c r="CP359" i="21" s="1"/>
  <c r="FG329" i="21"/>
  <c r="CU329" i="21"/>
  <c r="AY323" i="21"/>
  <c r="BH323" i="21" s="1"/>
  <c r="BI342" i="21"/>
  <c r="DT342" i="21"/>
  <c r="BI293" i="21"/>
  <c r="BJ293" i="21" s="1"/>
  <c r="DT293" i="21"/>
  <c r="BC269" i="21"/>
  <c r="CN269" i="21" s="1"/>
  <c r="DM268" i="21"/>
  <c r="DT309" i="21"/>
  <c r="BI309" i="21"/>
  <c r="ET329" i="21"/>
  <c r="EU329" i="21" s="1"/>
  <c r="EV329" i="21" s="1"/>
  <c r="DD256" i="21"/>
  <c r="FI256" i="21"/>
  <c r="BI311" i="21"/>
  <c r="DT311" i="21"/>
  <c r="EB297" i="21"/>
  <c r="AX185" i="21"/>
  <c r="CM185" i="21" s="1"/>
  <c r="DI185" i="21"/>
  <c r="M185" i="21"/>
  <c r="BF185" i="21" s="1"/>
  <c r="CO185" i="21" s="1"/>
  <c r="CB252" i="21"/>
  <c r="CI252" i="21" s="1"/>
  <c r="CK252" i="21" s="1"/>
  <c r="CP252" i="21" s="1"/>
  <c r="BH192" i="21"/>
  <c r="AZ192" i="21"/>
  <c r="CB190" i="21"/>
  <c r="CI190" i="21" s="1"/>
  <c r="CK190" i="21" s="1"/>
  <c r="CP190" i="21" s="1"/>
  <c r="DT209" i="21"/>
  <c r="BI209" i="21"/>
  <c r="BJ209" i="21" s="1"/>
  <c r="DT81" i="21"/>
  <c r="AZ124" i="21"/>
  <c r="DJ128" i="21"/>
  <c r="EY128" i="21" s="1"/>
  <c r="AX128" i="21"/>
  <c r="CM128" i="21" s="1"/>
  <c r="BH161" i="21"/>
  <c r="BJ161" i="21" s="1"/>
  <c r="AZ161" i="21"/>
  <c r="BM139" i="21"/>
  <c r="BL139" i="21"/>
  <c r="BN139" i="21" s="1"/>
  <c r="EY80" i="21"/>
  <c r="EY138" i="21"/>
  <c r="EZ138" i="21" s="1"/>
  <c r="BM29" i="21"/>
  <c r="BL29" i="21"/>
  <c r="BN29" i="21" s="1"/>
  <c r="BP58" i="21"/>
  <c r="EI58" i="21" s="1"/>
  <c r="EY136" i="21"/>
  <c r="EZ136" i="21" s="1"/>
  <c r="BC33" i="21"/>
  <c r="CX94" i="21"/>
  <c r="FI94" i="21"/>
  <c r="BO20" i="21"/>
  <c r="BN20" i="21"/>
  <c r="AU19" i="21"/>
  <c r="AR19" i="21"/>
  <c r="BB49" i="21"/>
  <c r="BE61" i="21"/>
  <c r="BF61" i="21" s="1"/>
  <c r="CO61" i="21" s="1"/>
  <c r="AZ61" i="21"/>
  <c r="EL35" i="21"/>
  <c r="EK35" i="21" s="1"/>
  <c r="Y35" i="21"/>
  <c r="ET488" i="21"/>
  <c r="EU488" i="21" s="1"/>
  <c r="EV488" i="21" s="1"/>
  <c r="AY438" i="21"/>
  <c r="BH438" i="21" s="1"/>
  <c r="CA409" i="21"/>
  <c r="BZ409" i="21"/>
  <c r="CB409" i="21" s="1"/>
  <c r="CI409" i="21" s="1"/>
  <c r="CK409" i="21" s="1"/>
  <c r="CP409" i="21" s="1"/>
  <c r="BR409" i="21"/>
  <c r="DZ409" i="21" s="1"/>
  <c r="EB409" i="21" s="1"/>
  <c r="AL409" i="21"/>
  <c r="FY409" i="21"/>
  <c r="GA409" i="21" s="1"/>
  <c r="CS409" i="21" s="1"/>
  <c r="T409" i="21"/>
  <c r="BI421" i="21"/>
  <c r="BJ421" i="21" s="1"/>
  <c r="DT421" i="21"/>
  <c r="GA417" i="21"/>
  <c r="CS417" i="21" s="1"/>
  <c r="BJ472" i="21"/>
  <c r="EL407" i="21"/>
  <c r="EK407" i="21" s="1"/>
  <c r="Y407" i="21"/>
  <c r="ET429" i="21"/>
  <c r="EU429" i="21" s="1"/>
  <c r="EV429" i="21" s="1"/>
  <c r="ET420" i="21"/>
  <c r="EU420" i="21" s="1"/>
  <c r="EV420" i="21" s="1"/>
  <c r="BI396" i="21"/>
  <c r="BJ396" i="21" s="1"/>
  <c r="DT396" i="21"/>
  <c r="FI370" i="21"/>
  <c r="CX370" i="21"/>
  <c r="FG388" i="21"/>
  <c r="DA388" i="21"/>
  <c r="FG370" i="21"/>
  <c r="CU370" i="21"/>
  <c r="BH364" i="21"/>
  <c r="BJ364" i="21" s="1"/>
  <c r="AZ364" i="21"/>
  <c r="CE359" i="21"/>
  <c r="CA383" i="21"/>
  <c r="AL383" i="21"/>
  <c r="T383" i="21"/>
  <c r="BZ383" i="21"/>
  <c r="CB383" i="21" s="1"/>
  <c r="CI383" i="21" s="1"/>
  <c r="CK383" i="21" s="1"/>
  <c r="CP383" i="21" s="1"/>
  <c r="BR383" i="21"/>
  <c r="DZ383" i="21" s="1"/>
  <c r="EB383" i="21" s="1"/>
  <c r="DM349" i="21"/>
  <c r="BH324" i="21"/>
  <c r="AZ324" i="21"/>
  <c r="ET372" i="21"/>
  <c r="EU372" i="21"/>
  <c r="EV372" i="21" s="1"/>
  <c r="EB359" i="21"/>
  <c r="DM362" i="21"/>
  <c r="CB381" i="21"/>
  <c r="CI381" i="21" s="1"/>
  <c r="ET323" i="21"/>
  <c r="EU323" i="21"/>
  <c r="EV323" i="21" s="1"/>
  <c r="T336" i="21"/>
  <c r="BC300" i="21"/>
  <c r="CN300" i="21" s="1"/>
  <c r="DI316" i="21"/>
  <c r="M316" i="21"/>
  <c r="BF316" i="21" s="1"/>
  <c r="CO316" i="21" s="1"/>
  <c r="AX316" i="21"/>
  <c r="CM316" i="21" s="1"/>
  <c r="DD253" i="21"/>
  <c r="FI253" i="21"/>
  <c r="BF294" i="21"/>
  <c r="CO294" i="21" s="1"/>
  <c r="BF329" i="21"/>
  <c r="CO329" i="21" s="1"/>
  <c r="CE262" i="21"/>
  <c r="CI262" i="21" s="1"/>
  <c r="CK262" i="21" s="1"/>
  <c r="CP262" i="21" s="1"/>
  <c r="AX212" i="21"/>
  <c r="DI212" i="21"/>
  <c r="M212" i="21"/>
  <c r="BF212" i="21" s="1"/>
  <c r="DM261" i="21"/>
  <c r="CI297" i="21"/>
  <c r="CK297" i="21" s="1"/>
  <c r="CP297" i="21" s="1"/>
  <c r="CW220" i="21"/>
  <c r="FJ220" i="21"/>
  <c r="FG249" i="21"/>
  <c r="CU249" i="21"/>
  <c r="BH189" i="21"/>
  <c r="AZ189" i="21"/>
  <c r="FJ247" i="21"/>
  <c r="DC247" i="21"/>
  <c r="DU162" i="21"/>
  <c r="AU162" i="21"/>
  <c r="CB168" i="21"/>
  <c r="CI168" i="21" s="1"/>
  <c r="CK168" i="21" s="1"/>
  <c r="CP168" i="21" s="1"/>
  <c r="DM175" i="21"/>
  <c r="BO67" i="21"/>
  <c r="BP67" i="21" s="1"/>
  <c r="EI67" i="21" s="1"/>
  <c r="EY113" i="21"/>
  <c r="EZ113" i="21" s="1"/>
  <c r="DM143" i="21"/>
  <c r="CX67" i="21"/>
  <c r="FI67" i="21"/>
  <c r="AX177" i="21"/>
  <c r="CM177" i="21" s="1"/>
  <c r="DI177" i="21"/>
  <c r="M177" i="21"/>
  <c r="BB177" i="21"/>
  <c r="BM98" i="21"/>
  <c r="BL98" i="21"/>
  <c r="BN98" i="21" s="1"/>
  <c r="AM128" i="21"/>
  <c r="AL128" i="21"/>
  <c r="DM161" i="21"/>
  <c r="CW112" i="21"/>
  <c r="FJ112" i="21"/>
  <c r="CK101" i="21"/>
  <c r="CP101" i="21" s="1"/>
  <c r="CX87" i="21"/>
  <c r="FI87" i="21"/>
  <c r="Y68" i="21"/>
  <c r="EL68" i="21"/>
  <c r="EK68" i="21" s="1"/>
  <c r="CU136" i="21"/>
  <c r="FG136" i="21"/>
  <c r="EL87" i="21"/>
  <c r="EK87" i="21" s="1"/>
  <c r="Y87" i="21"/>
  <c r="BO84" i="21"/>
  <c r="BP84" i="21" s="1"/>
  <c r="EI84" i="21" s="1"/>
  <c r="AM43" i="21"/>
  <c r="AL43" i="21"/>
  <c r="DM34" i="21"/>
  <c r="AL41" i="21"/>
  <c r="AM41" i="21"/>
  <c r="BZ86" i="21"/>
  <c r="BR86" i="21"/>
  <c r="DZ86" i="21" s="1"/>
  <c r="EB86" i="21" s="1"/>
  <c r="BK86" i="21"/>
  <c r="FX86" i="21"/>
  <c r="GA86" i="21" s="1"/>
  <c r="CS86" i="21" s="1"/>
  <c r="CA86" i="21"/>
  <c r="AN86" i="21"/>
  <c r="M352" i="21"/>
  <c r="BF352" i="21" s="1"/>
  <c r="CO352" i="21" s="1"/>
  <c r="AX352" i="21"/>
  <c r="CM352" i="21" s="1"/>
  <c r="DI352" i="21"/>
  <c r="AZ358" i="21"/>
  <c r="BI374" i="21"/>
  <c r="DT374" i="21"/>
  <c r="EH337" i="21"/>
  <c r="EG337" i="21"/>
  <c r="BB390" i="21"/>
  <c r="BC390" i="21" s="1"/>
  <c r="CN390" i="21" s="1"/>
  <c r="CA354" i="21"/>
  <c r="BZ354" i="21"/>
  <c r="CB354" i="21" s="1"/>
  <c r="CI354" i="21" s="1"/>
  <c r="FY354" i="21"/>
  <c r="GA354" i="21" s="1"/>
  <c r="CS354" i="21" s="1"/>
  <c r="BR354" i="21"/>
  <c r="DZ354" i="21" s="1"/>
  <c r="EB354" i="21" s="1"/>
  <c r="EG354" i="21" s="1"/>
  <c r="AY355" i="21"/>
  <c r="BH355" i="21" s="1"/>
  <c r="CU348" i="21"/>
  <c r="FG348" i="21"/>
  <c r="AZ320" i="21"/>
  <c r="DT325" i="21"/>
  <c r="BI325" i="21"/>
  <c r="CA332" i="21"/>
  <c r="BR332" i="21"/>
  <c r="DZ332" i="21" s="1"/>
  <c r="EB332" i="21" s="1"/>
  <c r="T332" i="21"/>
  <c r="BZ332" i="21"/>
  <c r="CB332" i="21" s="1"/>
  <c r="CI332" i="21" s="1"/>
  <c r="CK332" i="21" s="1"/>
  <c r="CP332" i="21" s="1"/>
  <c r="DM300" i="21"/>
  <c r="CA298" i="21"/>
  <c r="BR298" i="21"/>
  <c r="DZ298" i="21" s="1"/>
  <c r="EB298" i="21" s="1"/>
  <c r="BZ298" i="21"/>
  <c r="CB298" i="21" s="1"/>
  <c r="CI298" i="21" s="1"/>
  <c r="CK298" i="21" s="1"/>
  <c r="CP298" i="21" s="1"/>
  <c r="AL298" i="21"/>
  <c r="DI318" i="21"/>
  <c r="M318" i="21"/>
  <c r="BF318" i="21" s="1"/>
  <c r="CO318" i="21" s="1"/>
  <c r="AX318" i="21"/>
  <c r="CM318" i="21" s="1"/>
  <c r="AX303" i="21"/>
  <c r="CM303" i="21" s="1"/>
  <c r="M303" i="21"/>
  <c r="BF303" i="21" s="1"/>
  <c r="CO303" i="21" s="1"/>
  <c r="DI303" i="21"/>
  <c r="FI271" i="21"/>
  <c r="DD271" i="21"/>
  <c r="M296" i="21"/>
  <c r="BF296" i="21" s="1"/>
  <c r="CO296" i="21" s="1"/>
  <c r="AX296" i="21"/>
  <c r="CM296" i="21" s="1"/>
  <c r="DI296" i="21"/>
  <c r="EL275" i="21"/>
  <c r="EK275" i="21" s="1"/>
  <c r="Y275" i="21"/>
  <c r="CB338" i="21"/>
  <c r="CI338" i="21" s="1"/>
  <c r="ET294" i="21"/>
  <c r="EU294" i="21" s="1"/>
  <c r="EV294" i="21" s="1"/>
  <c r="BI302" i="21"/>
  <c r="DT302" i="21"/>
  <c r="EB295" i="21"/>
  <c r="EH295" i="21" s="1"/>
  <c r="DT305" i="21"/>
  <c r="BI305" i="21"/>
  <c r="CA287" i="21"/>
  <c r="BZ287" i="21"/>
  <c r="BR287" i="21"/>
  <c r="DZ287" i="21" s="1"/>
  <c r="EB287" i="21" s="1"/>
  <c r="FY287" i="21"/>
  <c r="GA287" i="21" s="1"/>
  <c r="CS287" i="21" s="1"/>
  <c r="CA265" i="21"/>
  <c r="BZ265" i="21"/>
  <c r="BR265" i="21"/>
  <c r="DZ265" i="21" s="1"/>
  <c r="EB265" i="21" s="1"/>
  <c r="CB293" i="21"/>
  <c r="CI293" i="21" s="1"/>
  <c r="GA246" i="21"/>
  <c r="CS246" i="21" s="1"/>
  <c r="AY257" i="21"/>
  <c r="AZ257" i="21" s="1"/>
  <c r="M280" i="21"/>
  <c r="DI280" i="21"/>
  <c r="AX280" i="21"/>
  <c r="CM280" i="21" s="1"/>
  <c r="CB241" i="21"/>
  <c r="CI241" i="21" s="1"/>
  <c r="CK241" i="21" s="1"/>
  <c r="CP241" i="21" s="1"/>
  <c r="BR196" i="21"/>
  <c r="DZ196" i="21" s="1"/>
  <c r="EB196" i="21" s="1"/>
  <c r="T196" i="21"/>
  <c r="FY196" i="21"/>
  <c r="GA196" i="21" s="1"/>
  <c r="CS196" i="21" s="1"/>
  <c r="CA196" i="21"/>
  <c r="AJ196" i="21"/>
  <c r="AL196" i="21"/>
  <c r="AZ237" i="21"/>
  <c r="AY237" i="21"/>
  <c r="BH237" i="21" s="1"/>
  <c r="AZ214" i="21"/>
  <c r="AY214" i="21"/>
  <c r="BH214" i="21" s="1"/>
  <c r="CX227" i="21"/>
  <c r="FI227" i="21"/>
  <c r="GA187" i="21"/>
  <c r="CS187" i="21" s="1"/>
  <c r="CB256" i="21"/>
  <c r="CI256" i="21" s="1"/>
  <c r="CK256" i="21" s="1"/>
  <c r="CP256" i="21" s="1"/>
  <c r="CA309" i="21"/>
  <c r="BZ309" i="21"/>
  <c r="CB309" i="21" s="1"/>
  <c r="CI309" i="21" s="1"/>
  <c r="CK309" i="21" s="1"/>
  <c r="CP309" i="21" s="1"/>
  <c r="BR309" i="21"/>
  <c r="DZ309" i="21" s="1"/>
  <c r="EB309" i="21" s="1"/>
  <c r="AY203" i="21"/>
  <c r="M230" i="21"/>
  <c r="DI230" i="21"/>
  <c r="AX230" i="21"/>
  <c r="ET160" i="21"/>
  <c r="EU160" i="21" s="1"/>
  <c r="EV160" i="21" s="1"/>
  <c r="EU158" i="21"/>
  <c r="EV158" i="21" s="1"/>
  <c r="CE277" i="21"/>
  <c r="CI277" i="21" s="1"/>
  <c r="CH147" i="21"/>
  <c r="DJ140" i="21"/>
  <c r="AX140" i="21"/>
  <c r="CM140" i="21" s="1"/>
  <c r="BF202" i="21"/>
  <c r="CO202" i="21" s="1"/>
  <c r="AY113" i="21"/>
  <c r="AZ113" i="21" s="1"/>
  <c r="AZ144" i="21"/>
  <c r="CK169" i="21"/>
  <c r="CP169" i="21" s="1"/>
  <c r="BE73" i="21"/>
  <c r="BF73" i="21" s="1"/>
  <c r="CO73" i="21" s="1"/>
  <c r="AZ73" i="21"/>
  <c r="EB100" i="21"/>
  <c r="FY120" i="21"/>
  <c r="GA120" i="21" s="1"/>
  <c r="CS120" i="21" s="1"/>
  <c r="CD120" i="21"/>
  <c r="CE120" i="21" s="1"/>
  <c r="CI120" i="21" s="1"/>
  <c r="CK120" i="21" s="1"/>
  <c r="CP120" i="21" s="1"/>
  <c r="BE120" i="21"/>
  <c r="BF120" i="21" s="1"/>
  <c r="CO120" i="21" s="1"/>
  <c r="EH98" i="21"/>
  <c r="EG98" i="21"/>
  <c r="AY146" i="21"/>
  <c r="AZ146" i="21" s="1"/>
  <c r="CX77" i="21"/>
  <c r="FI77" i="21"/>
  <c r="CB357" i="21"/>
  <c r="CI357" i="21" s="1"/>
  <c r="AY193" i="21"/>
  <c r="BH193" i="21" s="1"/>
  <c r="BB125" i="21"/>
  <c r="EL108" i="21"/>
  <c r="EK108" i="21" s="1"/>
  <c r="Y108" i="21"/>
  <c r="BO122" i="21"/>
  <c r="BP122" i="21" s="1"/>
  <c r="EI122" i="21" s="1"/>
  <c r="EH122" i="21" s="1"/>
  <c r="AZ125" i="21"/>
  <c r="AM80" i="21"/>
  <c r="AL80" i="21"/>
  <c r="BC58" i="21"/>
  <c r="CN58" i="21" s="1"/>
  <c r="DJ35" i="21"/>
  <c r="AX35" i="21"/>
  <c r="M35" i="21"/>
  <c r="BF35" i="21" s="1"/>
  <c r="BL87" i="21"/>
  <c r="BN87" i="21" s="1"/>
  <c r="BM87" i="21"/>
  <c r="BO87" i="21" s="1"/>
  <c r="ER21" i="21"/>
  <c r="ES21" i="21"/>
  <c r="DM21" i="21"/>
  <c r="CW87" i="21"/>
  <c r="FJ87" i="21"/>
  <c r="DM67" i="21"/>
  <c r="EU21" i="21"/>
  <c r="EV21" i="21" s="1"/>
  <c r="ET21" i="21"/>
  <c r="AY71" i="21"/>
  <c r="AZ71" i="21" s="1"/>
  <c r="EY116" i="21"/>
  <c r="EZ116" i="21" s="1"/>
  <c r="EZ43" i="21"/>
  <c r="ET43" i="21"/>
  <c r="EU43" i="21" s="1"/>
  <c r="EV43" i="21" s="1"/>
  <c r="DM37" i="21"/>
  <c r="AT23" i="21"/>
  <c r="DU23" i="21" s="1"/>
  <c r="EM23" i="21" s="1"/>
  <c r="EP23" i="21" s="1"/>
  <c r="EQ23" i="21" s="1"/>
  <c r="AP24" i="21"/>
  <c r="CK35" i="21"/>
  <c r="AZ54" i="21"/>
  <c r="BE54" i="21"/>
  <c r="BF54" i="21" s="1"/>
  <c r="CO54" i="21" s="1"/>
  <c r="BL26" i="21"/>
  <c r="BN26" i="21" s="1"/>
  <c r="BM26" i="21"/>
  <c r="EY55" i="21"/>
  <c r="EZ55" i="21" s="1"/>
  <c r="EU55" i="21"/>
  <c r="EV55" i="21" s="1"/>
  <c r="FY346" i="21"/>
  <c r="GA346" i="21" s="1"/>
  <c r="CS346" i="21" s="1"/>
  <c r="BZ346" i="21"/>
  <c r="CB346" i="21" s="1"/>
  <c r="CI346" i="21" s="1"/>
  <c r="BR346" i="21"/>
  <c r="DZ346" i="21" s="1"/>
  <c r="EB346" i="21" s="1"/>
  <c r="EG346" i="21" s="1"/>
  <c r="CA346" i="21"/>
  <c r="EB333" i="21"/>
  <c r="AY322" i="21"/>
  <c r="BH322" i="21" s="1"/>
  <c r="AY261" i="21"/>
  <c r="DA301" i="21"/>
  <c r="FG301" i="21"/>
  <c r="AX276" i="21"/>
  <c r="CM276" i="21" s="1"/>
  <c r="M276" i="21"/>
  <c r="BF276" i="21" s="1"/>
  <c r="CO276" i="21" s="1"/>
  <c r="BB276" i="21"/>
  <c r="DI276" i="21"/>
  <c r="FY320" i="21"/>
  <c r="GA320" i="21" s="1"/>
  <c r="CS320" i="21" s="1"/>
  <c r="CA320" i="21"/>
  <c r="BZ320" i="21"/>
  <c r="BR320" i="21"/>
  <c r="DZ320" i="21" s="1"/>
  <c r="EB320" i="21" s="1"/>
  <c r="EG320" i="21" s="1"/>
  <c r="AL320" i="21"/>
  <c r="BC274" i="21"/>
  <c r="CN274" i="21" s="1"/>
  <c r="BI294" i="21"/>
  <c r="DT294" i="21"/>
  <c r="AZ286" i="21"/>
  <c r="BH286" i="21"/>
  <c r="BJ286" i="21" s="1"/>
  <c r="CB295" i="21"/>
  <c r="CI295" i="21" s="1"/>
  <c r="CK295" i="21" s="1"/>
  <c r="CP295" i="21" s="1"/>
  <c r="FG263" i="21"/>
  <c r="DA263" i="21"/>
  <c r="DM235" i="21"/>
  <c r="DT255" i="21"/>
  <c r="BI255" i="21"/>
  <c r="EL297" i="21"/>
  <c r="EK297" i="21" s="1"/>
  <c r="ET297" i="21" s="1"/>
  <c r="Y297" i="21"/>
  <c r="AL258" i="21"/>
  <c r="T258" i="21"/>
  <c r="AY258" i="21" s="1"/>
  <c r="BR258" i="21"/>
  <c r="DZ258" i="21" s="1"/>
  <c r="EB258" i="21" s="1"/>
  <c r="BZ258" i="21"/>
  <c r="CA258" i="21"/>
  <c r="AY246" i="21"/>
  <c r="AZ246" i="21" s="1"/>
  <c r="FG190" i="21"/>
  <c r="CU190" i="21"/>
  <c r="CB282" i="21"/>
  <c r="CI282" i="21" s="1"/>
  <c r="CK282" i="21" s="1"/>
  <c r="CP282" i="21" s="1"/>
  <c r="CB174" i="21"/>
  <c r="CI174" i="21" s="1"/>
  <c r="CK235" i="21"/>
  <c r="CP235" i="21" s="1"/>
  <c r="AY174" i="21"/>
  <c r="AZ174" i="21" s="1"/>
  <c r="CU220" i="21"/>
  <c r="FG220" i="21"/>
  <c r="AY187" i="21"/>
  <c r="AZ187" i="21" s="1"/>
  <c r="BO117" i="21"/>
  <c r="BP117" i="21" s="1"/>
  <c r="EI117" i="21" s="1"/>
  <c r="EH117" i="21" s="1"/>
  <c r="EH202" i="21"/>
  <c r="EL170" i="21"/>
  <c r="EK170" i="21" s="1"/>
  <c r="Y170" i="21"/>
  <c r="BM123" i="21"/>
  <c r="BL123" i="21"/>
  <c r="BN123" i="21" s="1"/>
  <c r="DC144" i="21"/>
  <c r="FJ144" i="21"/>
  <c r="DM97" i="21"/>
  <c r="BP142" i="21"/>
  <c r="EI142" i="21" s="1"/>
  <c r="EH142" i="21" s="1"/>
  <c r="AL146" i="21"/>
  <c r="CI137" i="21"/>
  <c r="CK137" i="21" s="1"/>
  <c r="CP137" i="21" s="1"/>
  <c r="EU149" i="21"/>
  <c r="EV149" i="21" s="1"/>
  <c r="ET149" i="21"/>
  <c r="FJ140" i="21"/>
  <c r="DC140" i="21"/>
  <c r="BM125" i="21"/>
  <c r="BL125" i="21"/>
  <c r="BN125" i="21" s="1"/>
  <c r="AZ115" i="21"/>
  <c r="FJ88" i="21"/>
  <c r="CW88" i="21"/>
  <c r="AZ70" i="21"/>
  <c r="BE70" i="21"/>
  <c r="BF70" i="21" s="1"/>
  <c r="CO70" i="21" s="1"/>
  <c r="AU107" i="21"/>
  <c r="AR107" i="21"/>
  <c r="BC80" i="21"/>
  <c r="CN80" i="21" s="1"/>
  <c r="CK44" i="21"/>
  <c r="BL69" i="21"/>
  <c r="BN69" i="21" s="1"/>
  <c r="FG116" i="21"/>
  <c r="CU116" i="21"/>
  <c r="DT86" i="21"/>
  <c r="BP32" i="21"/>
  <c r="EI32" i="21" s="1"/>
  <c r="DM29" i="21"/>
  <c r="AY102" i="21"/>
  <c r="AZ102" i="21" s="1"/>
  <c r="BL102" i="21"/>
  <c r="BN102" i="21" s="1"/>
  <c r="AZ59" i="21"/>
  <c r="BE59" i="21"/>
  <c r="BF59" i="21" s="1"/>
  <c r="CO59" i="21" s="1"/>
  <c r="DT54" i="21"/>
  <c r="EU321" i="21"/>
  <c r="EV321" i="21" s="1"/>
  <c r="ET321" i="21"/>
  <c r="CA330" i="21"/>
  <c r="BZ330" i="21"/>
  <c r="BR330" i="21"/>
  <c r="DZ330" i="21" s="1"/>
  <c r="EB330" i="21" s="1"/>
  <c r="T330" i="21"/>
  <c r="AL330" i="21"/>
  <c r="BH313" i="21"/>
  <c r="AZ313" i="21"/>
  <c r="DI277" i="21"/>
  <c r="AX277" i="21"/>
  <c r="CM277" i="21" s="1"/>
  <c r="M277" i="21"/>
  <c r="BF277" i="21" s="1"/>
  <c r="CO277" i="21" s="1"/>
  <c r="BF278" i="21"/>
  <c r="CO278" i="21" s="1"/>
  <c r="AX273" i="21"/>
  <c r="CM273" i="21" s="1"/>
  <c r="DI273" i="21"/>
  <c r="M273" i="21"/>
  <c r="BF273" i="21" s="1"/>
  <c r="CO273" i="21" s="1"/>
  <c r="BI347" i="21"/>
  <c r="DT347" i="21"/>
  <c r="FI244" i="21"/>
  <c r="DD244" i="21"/>
  <c r="EG233" i="21"/>
  <c r="AY311" i="21"/>
  <c r="BH311" i="21" s="1"/>
  <c r="BH244" i="21"/>
  <c r="BJ244" i="21" s="1"/>
  <c r="AZ244" i="21"/>
  <c r="DM286" i="21"/>
  <c r="ET286" i="21"/>
  <c r="EU286" i="21" s="1"/>
  <c r="EV286" i="21" s="1"/>
  <c r="AX259" i="21"/>
  <c r="CM259" i="21" s="1"/>
  <c r="M259" i="21"/>
  <c r="BF259" i="21" s="1"/>
  <c r="CO259" i="21" s="1"/>
  <c r="DI259" i="21"/>
  <c r="CA257" i="21"/>
  <c r="BR257" i="21"/>
  <c r="DZ257" i="21" s="1"/>
  <c r="EB257" i="21" s="1"/>
  <c r="BZ257" i="21"/>
  <c r="BJ211" i="21"/>
  <c r="BI277" i="21"/>
  <c r="BJ277" i="21" s="1"/>
  <c r="DT277" i="21"/>
  <c r="AX231" i="21"/>
  <c r="CM231" i="21" s="1"/>
  <c r="M231" i="21"/>
  <c r="BF231" i="21" s="1"/>
  <c r="CO231" i="21" s="1"/>
  <c r="DI231" i="21"/>
  <c r="AY249" i="21"/>
  <c r="BH249" i="21" s="1"/>
  <c r="EU238" i="21"/>
  <c r="EV238" i="21" s="1"/>
  <c r="M173" i="21"/>
  <c r="BF173" i="21" s="1"/>
  <c r="CO173" i="21" s="1"/>
  <c r="AX173" i="21"/>
  <c r="CM173" i="21" s="1"/>
  <c r="DI173" i="21"/>
  <c r="AQ217" i="21"/>
  <c r="CB214" i="21"/>
  <c r="CI214" i="21" s="1"/>
  <c r="CK214" i="21" s="1"/>
  <c r="BJ280" i="21"/>
  <c r="EM163" i="21"/>
  <c r="EP163" i="21" s="1"/>
  <c r="EQ163" i="21" s="1"/>
  <c r="ET163" i="21"/>
  <c r="EU163" i="21" s="1"/>
  <c r="EV163" i="21" s="1"/>
  <c r="BH256" i="21"/>
  <c r="BH309" i="21"/>
  <c r="FG191" i="21"/>
  <c r="CU191" i="21"/>
  <c r="AX290" i="21"/>
  <c r="CM290" i="21" s="1"/>
  <c r="M290" i="21"/>
  <c r="BF290" i="21" s="1"/>
  <c r="CO290" i="21" s="1"/>
  <c r="DI290" i="21"/>
  <c r="AZ143" i="21"/>
  <c r="M152" i="21"/>
  <c r="BF152" i="21" s="1"/>
  <c r="CO152" i="21" s="1"/>
  <c r="AX152" i="21"/>
  <c r="CM152" i="21" s="1"/>
  <c r="DJ152" i="21"/>
  <c r="AQ218" i="21"/>
  <c r="FJ134" i="21"/>
  <c r="CW134" i="21"/>
  <c r="ET202" i="21"/>
  <c r="EU202" i="21" s="1"/>
  <c r="EV202" i="21" s="1"/>
  <c r="BJ248" i="21"/>
  <c r="BI157" i="21"/>
  <c r="DR157" i="21"/>
  <c r="EL67" i="21"/>
  <c r="EK67" i="21" s="1"/>
  <c r="Y67" i="21"/>
  <c r="BH165" i="21"/>
  <c r="BJ165" i="21" s="1"/>
  <c r="AZ165" i="21"/>
  <c r="ET120" i="21"/>
  <c r="EU120" i="21" s="1"/>
  <c r="EV120" i="21" s="1"/>
  <c r="DC142" i="21"/>
  <c r="FJ142" i="21"/>
  <c r="DT94" i="21"/>
  <c r="BL146" i="21"/>
  <c r="BN146" i="21" s="1"/>
  <c r="BO136" i="21"/>
  <c r="BP136" i="21" s="1"/>
  <c r="EI136" i="21" s="1"/>
  <c r="EH136" i="21" s="1"/>
  <c r="CB303" i="21"/>
  <c r="CI303" i="21" s="1"/>
  <c r="CK303" i="21" s="1"/>
  <c r="CP303" i="21" s="1"/>
  <c r="CB167" i="21"/>
  <c r="CI167" i="21" s="1"/>
  <c r="CK167" i="21" s="1"/>
  <c r="CP167" i="21" s="1"/>
  <c r="ET146" i="21"/>
  <c r="EU146" i="21" s="1"/>
  <c r="EV146" i="21" s="1"/>
  <c r="AM53" i="21"/>
  <c r="AL53" i="21"/>
  <c r="AZ112" i="21"/>
  <c r="ET96" i="21"/>
  <c r="EU96" i="21"/>
  <c r="EV96" i="21" s="1"/>
  <c r="BB318" i="21"/>
  <c r="ET125" i="21"/>
  <c r="EU125" i="21" s="1"/>
  <c r="EV125" i="21" s="1"/>
  <c r="EZ125" i="21"/>
  <c r="Y69" i="21"/>
  <c r="EL69" i="21"/>
  <c r="EK69" i="21" s="1"/>
  <c r="AU20" i="21"/>
  <c r="AR20" i="21"/>
  <c r="BC63" i="21"/>
  <c r="CI24" i="21"/>
  <c r="BO32" i="21"/>
  <c r="BO80" i="21"/>
  <c r="EZ64" i="21"/>
  <c r="EU64" i="21"/>
  <c r="EV64" i="21" s="1"/>
  <c r="ET64" i="21"/>
  <c r="CB51" i="21"/>
  <c r="CI51" i="21" s="1"/>
  <c r="EL53" i="21"/>
  <c r="EK53" i="21" s="1"/>
  <c r="Y53" i="21"/>
  <c r="EL24" i="21"/>
  <c r="EK24" i="21" s="1"/>
  <c r="Y24" i="21"/>
  <c r="BL35" i="21"/>
  <c r="BN35" i="21" s="1"/>
  <c r="BM35" i="21"/>
  <c r="BM68" i="21"/>
  <c r="BL68" i="21"/>
  <c r="BN68" i="21" s="1"/>
  <c r="EL22" i="21"/>
  <c r="EK22" i="21" s="1"/>
  <c r="EY22" i="21" s="1"/>
  <c r="EZ22" i="21" s="1"/>
  <c r="Y22" i="21"/>
  <c r="DT229" i="21"/>
  <c r="EU195" i="21"/>
  <c r="EV195" i="21" s="1"/>
  <c r="ET195" i="21"/>
  <c r="EL288" i="21"/>
  <c r="EK288" i="21" s="1"/>
  <c r="Y288" i="21"/>
  <c r="EH236" i="21"/>
  <c r="EG236" i="21"/>
  <c r="EL212" i="21"/>
  <c r="EK212" i="21" s="1"/>
  <c r="EM212" i="21" s="1"/>
  <c r="EP212" i="21" s="1"/>
  <c r="EQ212" i="21" s="1"/>
  <c r="Y212" i="21"/>
  <c r="EL207" i="21"/>
  <c r="EK207" i="21" s="1"/>
  <c r="ET207" i="21" s="1"/>
  <c r="Y207" i="21"/>
  <c r="DM187" i="21"/>
  <c r="BJ308" i="21"/>
  <c r="DM250" i="21"/>
  <c r="EU181" i="21"/>
  <c r="EV181" i="21" s="1"/>
  <c r="ET181" i="21"/>
  <c r="ET126" i="21"/>
  <c r="EU126" i="21" s="1"/>
  <c r="EV126" i="21" s="1"/>
  <c r="BF197" i="21"/>
  <c r="CO197" i="21" s="1"/>
  <c r="FJ184" i="21"/>
  <c r="CW184" i="21"/>
  <c r="EL159" i="21"/>
  <c r="EK159" i="21" s="1"/>
  <c r="EM159" i="21" s="1"/>
  <c r="EP159" i="21" s="1"/>
  <c r="EQ159" i="21" s="1"/>
  <c r="ES159" i="21" s="1"/>
  <c r="Y159" i="21"/>
  <c r="DD122" i="21"/>
  <c r="FI122" i="21"/>
  <c r="BO95" i="21"/>
  <c r="BP95" i="21" s="1"/>
  <c r="EI95" i="21" s="1"/>
  <c r="Y224" i="21"/>
  <c r="EL224" i="21"/>
  <c r="EK224" i="21" s="1"/>
  <c r="CB132" i="21"/>
  <c r="CI132" i="21" s="1"/>
  <c r="CK132" i="21" s="1"/>
  <c r="CP132" i="21" s="1"/>
  <c r="DM224" i="21"/>
  <c r="AJ165" i="21"/>
  <c r="AT165" i="21"/>
  <c r="DU165" i="21" s="1"/>
  <c r="BB230" i="21"/>
  <c r="BC230" i="21" s="1"/>
  <c r="AQ167" i="21"/>
  <c r="BO85" i="21"/>
  <c r="BP85" i="21" s="1"/>
  <c r="EI85" i="21" s="1"/>
  <c r="BB140" i="21"/>
  <c r="BO140" i="21"/>
  <c r="BP140" i="21" s="1"/>
  <c r="EI140" i="21" s="1"/>
  <c r="EH140" i="21" s="1"/>
  <c r="BP138" i="21"/>
  <c r="EI138" i="21" s="1"/>
  <c r="EH138" i="21" s="1"/>
  <c r="AY120" i="21"/>
  <c r="AZ120" i="21" s="1"/>
  <c r="DM77" i="21"/>
  <c r="BO150" i="21"/>
  <c r="BP150" i="21" s="1"/>
  <c r="EI150" i="21" s="1"/>
  <c r="EH150" i="21" s="1"/>
  <c r="Y78" i="21"/>
  <c r="EL78" i="21"/>
  <c r="EK78" i="21" s="1"/>
  <c r="EY62" i="21"/>
  <c r="EZ62" i="21" s="1"/>
  <c r="CI102" i="21"/>
  <c r="CK102" i="21" s="1"/>
  <c r="CP102" i="21" s="1"/>
  <c r="CK33" i="21"/>
  <c r="AX131" i="21"/>
  <c r="CM131" i="21" s="1"/>
  <c r="DJ131" i="21"/>
  <c r="EY131" i="21" s="1"/>
  <c r="BC48" i="21"/>
  <c r="FG112" i="21"/>
  <c r="CU112" i="21"/>
  <c r="Y19" i="21"/>
  <c r="EL19" i="21"/>
  <c r="EK19" i="21" s="1"/>
  <c r="EM19" i="21" s="1"/>
  <c r="EP19" i="21" s="1"/>
  <c r="EQ19" i="21" s="1"/>
  <c r="EL20" i="21"/>
  <c r="EK20" i="21" s="1"/>
  <c r="EM20" i="21" s="1"/>
  <c r="EP20" i="21" s="1"/>
  <c r="EQ20" i="21" s="1"/>
  <c r="Y20" i="21"/>
  <c r="DQ20" i="21" s="1"/>
  <c r="AY157" i="21"/>
  <c r="AZ157" i="21" s="1"/>
  <c r="ET36" i="21"/>
  <c r="EU36" i="21" s="1"/>
  <c r="EV36" i="21" s="1"/>
  <c r="EZ36" i="21"/>
  <c r="EL45" i="21"/>
  <c r="EK45" i="21" s="1"/>
  <c r="Y45" i="21"/>
  <c r="AM23" i="21"/>
  <c r="AL23" i="21"/>
  <c r="AQ23" i="21" s="1"/>
  <c r="AZ282" i="21"/>
  <c r="BH282" i="21"/>
  <c r="AX189" i="21"/>
  <c r="CM189" i="21" s="1"/>
  <c r="M189" i="21"/>
  <c r="BF189" i="21" s="1"/>
  <c r="CO189" i="21" s="1"/>
  <c r="DI189" i="21"/>
  <c r="DA267" i="21"/>
  <c r="FG267" i="21"/>
  <c r="EL232" i="21"/>
  <c r="EK232" i="21" s="1"/>
  <c r="Y232" i="21"/>
  <c r="FG278" i="21"/>
  <c r="DA278" i="21"/>
  <c r="DM153" i="21"/>
  <c r="ES153" i="21"/>
  <c r="ER153" i="21"/>
  <c r="FY192" i="21"/>
  <c r="GA192" i="21" s="1"/>
  <c r="CS192" i="21" s="1"/>
  <c r="BZ192" i="21"/>
  <c r="BR192" i="21"/>
  <c r="DZ192" i="21" s="1"/>
  <c r="EB192" i="21" s="1"/>
  <c r="EH192" i="21" s="1"/>
  <c r="CA192" i="21"/>
  <c r="DI233" i="21"/>
  <c r="M233" i="21"/>
  <c r="AX233" i="21"/>
  <c r="CM233" i="21" s="1"/>
  <c r="AY163" i="21"/>
  <c r="DT177" i="21"/>
  <c r="BI177" i="21"/>
  <c r="BZ198" i="21"/>
  <c r="FY198" i="21"/>
  <c r="GA198" i="21" s="1"/>
  <c r="CS198" i="21" s="1"/>
  <c r="CA198" i="21"/>
  <c r="BR198" i="21"/>
  <c r="DZ198" i="21" s="1"/>
  <c r="EB198" i="21" s="1"/>
  <c r="EH198" i="21" s="1"/>
  <c r="AY282" i="21"/>
  <c r="EY105" i="21"/>
  <c r="EZ105" i="21" s="1"/>
  <c r="DM197" i="21"/>
  <c r="EL201" i="21"/>
  <c r="EK201" i="21" s="1"/>
  <c r="Y201" i="21"/>
  <c r="FY207" i="21"/>
  <c r="GA207" i="21" s="1"/>
  <c r="CS207" i="21" s="1"/>
  <c r="CA207" i="21"/>
  <c r="BR207" i="21"/>
  <c r="DZ207" i="21" s="1"/>
  <c r="EB207" i="21" s="1"/>
  <c r="EH207" i="21" s="1"/>
  <c r="BZ207" i="21"/>
  <c r="BC156" i="21"/>
  <c r="AV156" i="21"/>
  <c r="AW156" i="21" s="1"/>
  <c r="DJ130" i="21"/>
  <c r="EY130" i="21" s="1"/>
  <c r="AX130" i="21"/>
  <c r="CM130" i="21" s="1"/>
  <c r="AY159" i="21"/>
  <c r="AZ159" i="21" s="1"/>
  <c r="AY132" i="21"/>
  <c r="AZ132" i="21" s="1"/>
  <c r="AY137" i="21"/>
  <c r="AZ137" i="21" s="1"/>
  <c r="BE56" i="21"/>
  <c r="BF56" i="21" s="1"/>
  <c r="CO56" i="21" s="1"/>
  <c r="AZ56" i="21"/>
  <c r="AQ165" i="21"/>
  <c r="AM132" i="21"/>
  <c r="AL132" i="21"/>
  <c r="AL140" i="21"/>
  <c r="FI140" i="21"/>
  <c r="DD140" i="21"/>
  <c r="EB302" i="21"/>
  <c r="BM73" i="21"/>
  <c r="BL73" i="21"/>
  <c r="BN73" i="21" s="1"/>
  <c r="DJ24" i="21"/>
  <c r="AX24" i="21"/>
  <c r="M24" i="21"/>
  <c r="BF24" i="21" s="1"/>
  <c r="BO110" i="21"/>
  <c r="BP110" i="21" s="1"/>
  <c r="EI110" i="21" s="1"/>
  <c r="EH110" i="21" s="1"/>
  <c r="AZ83" i="21"/>
  <c r="BE83" i="21"/>
  <c r="BF83" i="21" s="1"/>
  <c r="CO83" i="21" s="1"/>
  <c r="ET37" i="21"/>
  <c r="EU37" i="21" s="1"/>
  <c r="EV37" i="21" s="1"/>
  <c r="EN37" i="21"/>
  <c r="EZ37" i="21"/>
  <c r="BC75" i="21"/>
  <c r="CN75" i="21" s="1"/>
  <c r="BL21" i="21"/>
  <c r="BN21" i="21" s="1"/>
  <c r="BM21" i="21"/>
  <c r="ET62" i="21"/>
  <c r="EU62" i="21" s="1"/>
  <c r="EV62" i="21" s="1"/>
  <c r="AY145" i="21"/>
  <c r="AZ145" i="21" s="1"/>
  <c r="FI131" i="21"/>
  <c r="CX131" i="21"/>
  <c r="EY111" i="21"/>
  <c r="EZ111" i="21" s="1"/>
  <c r="AX40" i="21"/>
  <c r="M40" i="21"/>
  <c r="BF40" i="21" s="1"/>
  <c r="DJ40" i="21"/>
  <c r="EU79" i="21"/>
  <c r="EV79" i="21" s="1"/>
  <c r="BC19" i="21"/>
  <c r="ET50" i="21"/>
  <c r="EU50" i="21" s="1"/>
  <c r="EV50" i="21" s="1"/>
  <c r="CW57" i="21"/>
  <c r="FJ57" i="21"/>
  <c r="AZ97" i="21"/>
  <c r="BE97" i="21"/>
  <c r="BB30" i="21"/>
  <c r="BC30" i="21" s="1"/>
  <c r="BB45" i="21"/>
  <c r="BC45" i="21" s="1"/>
  <c r="CU84" i="21"/>
  <c r="FG84" i="21"/>
  <c r="DM24" i="21"/>
  <c r="FI68" i="21"/>
  <c r="CX68" i="21"/>
  <c r="M234" i="21"/>
  <c r="BF234" i="21" s="1"/>
  <c r="CO234" i="21" s="1"/>
  <c r="AX234" i="21"/>
  <c r="CM234" i="21" s="1"/>
  <c r="DI234" i="21"/>
  <c r="CB244" i="21"/>
  <c r="CI244" i="21" s="1"/>
  <c r="CK244" i="21" s="1"/>
  <c r="CP244" i="21" s="1"/>
  <c r="DT304" i="21"/>
  <c r="BI304" i="21"/>
  <c r="BJ304" i="21" s="1"/>
  <c r="EH223" i="21"/>
  <c r="EG223" i="21"/>
  <c r="M228" i="21"/>
  <c r="BF228" i="21" s="1"/>
  <c r="DI228" i="21"/>
  <c r="AX228" i="21"/>
  <c r="BP152" i="21"/>
  <c r="EI152" i="21" s="1"/>
  <c r="EH152" i="21" s="1"/>
  <c r="BO152" i="21"/>
  <c r="DM233" i="21"/>
  <c r="DI229" i="21"/>
  <c r="M229" i="21"/>
  <c r="BB229" i="21"/>
  <c r="AX229" i="21"/>
  <c r="DR161" i="21"/>
  <c r="EM161" i="21"/>
  <c r="EP161" i="21" s="1"/>
  <c r="EQ161" i="21" s="1"/>
  <c r="ES161" i="21" s="1"/>
  <c r="BH247" i="21"/>
  <c r="AZ247" i="21"/>
  <c r="GA247" i="21"/>
  <c r="CS247" i="21" s="1"/>
  <c r="AZ250" i="21"/>
  <c r="BH250" i="21"/>
  <c r="BJ250" i="21" s="1"/>
  <c r="T198" i="21"/>
  <c r="Y155" i="21"/>
  <c r="EL155" i="21"/>
  <c r="EK155" i="21" s="1"/>
  <c r="EM155" i="21" s="1"/>
  <c r="EP155" i="21" s="1"/>
  <c r="EQ155" i="21" s="1"/>
  <c r="M175" i="21"/>
  <c r="BF175" i="21" s="1"/>
  <c r="CO175" i="21" s="1"/>
  <c r="AX175" i="21"/>
  <c r="CM175" i="21" s="1"/>
  <c r="DI175" i="21"/>
  <c r="BB175" i="21"/>
  <c r="BC175" i="21" s="1"/>
  <c r="CN175" i="21" s="1"/>
  <c r="DT284" i="21"/>
  <c r="BI284" i="21"/>
  <c r="CB133" i="21"/>
  <c r="CI133" i="21" s="1"/>
  <c r="CK133" i="21" s="1"/>
  <c r="CP133" i="21" s="1"/>
  <c r="T207" i="21"/>
  <c r="FI147" i="21"/>
  <c r="DD147" i="21"/>
  <c r="EH206" i="21"/>
  <c r="EU130" i="21"/>
  <c r="EV130" i="21" s="1"/>
  <c r="ET130" i="21"/>
  <c r="BE72" i="21"/>
  <c r="BF72" i="21" s="1"/>
  <c r="CO72" i="21" s="1"/>
  <c r="AY72" i="21"/>
  <c r="AZ72" i="21" s="1"/>
  <c r="AZ52" i="21"/>
  <c r="BE52" i="21"/>
  <c r="BF52" i="21" s="1"/>
  <c r="CO52" i="21" s="1"/>
  <c r="AX132" i="21"/>
  <c r="CM132" i="21" s="1"/>
  <c r="DJ132" i="21"/>
  <c r="BZ197" i="21"/>
  <c r="CB197" i="21" s="1"/>
  <c r="CI197" i="21" s="1"/>
  <c r="CK197" i="21" s="1"/>
  <c r="CP197" i="21" s="1"/>
  <c r="AY140" i="21"/>
  <c r="AZ140" i="21" s="1"/>
  <c r="DI179" i="21"/>
  <c r="M179" i="21"/>
  <c r="BF179" i="21" s="1"/>
  <c r="CO179" i="21" s="1"/>
  <c r="AX179" i="21"/>
  <c r="CM179" i="21" s="1"/>
  <c r="FI138" i="21"/>
  <c r="CX138" i="21"/>
  <c r="Y115" i="21"/>
  <c r="EL115" i="21"/>
  <c r="EK115" i="21" s="1"/>
  <c r="BH264" i="21"/>
  <c r="BB179" i="21"/>
  <c r="AY139" i="21"/>
  <c r="AZ139" i="21" s="1"/>
  <c r="AQ110" i="21"/>
  <c r="FG70" i="21"/>
  <c r="CU70" i="21"/>
  <c r="Y249" i="21"/>
  <c r="CB85" i="21"/>
  <c r="CI85" i="21" s="1"/>
  <c r="CK85" i="21" s="1"/>
  <c r="CP85" i="21" s="1"/>
  <c r="Y116" i="21"/>
  <c r="EL116" i="21"/>
  <c r="EK116" i="21" s="1"/>
  <c r="ET116" i="21" s="1"/>
  <c r="BM41" i="21"/>
  <c r="BL41" i="21"/>
  <c r="BN41" i="21" s="1"/>
  <c r="CA75" i="21"/>
  <c r="BZ75" i="21"/>
  <c r="BR75" i="21"/>
  <c r="DZ75" i="21" s="1"/>
  <c r="EB75" i="21" s="1"/>
  <c r="FX75" i="21"/>
  <c r="GA75" i="21" s="1"/>
  <c r="CS75" i="21" s="1"/>
  <c r="BK75" i="21"/>
  <c r="BE75" i="21"/>
  <c r="BF75" i="21" s="1"/>
  <c r="CO75" i="21" s="1"/>
  <c r="EE75" i="21"/>
  <c r="GA112" i="21"/>
  <c r="CS112" i="21" s="1"/>
  <c r="BF44" i="21"/>
  <c r="EB102" i="21"/>
  <c r="ET131" i="21"/>
  <c r="EU131" i="21"/>
  <c r="EV131" i="21" s="1"/>
  <c r="CA90" i="21"/>
  <c r="BZ90" i="21"/>
  <c r="BR90" i="21"/>
  <c r="DZ90" i="21" s="1"/>
  <c r="EB90" i="21" s="1"/>
  <c r="FX90" i="21"/>
  <c r="GA90" i="21" s="1"/>
  <c r="CS90" i="21" s="1"/>
  <c r="BK90" i="21"/>
  <c r="BO27" i="21"/>
  <c r="BP27" i="21" s="1"/>
  <c r="EI27" i="21" s="1"/>
  <c r="EY112" i="21"/>
  <c r="FI78" i="21"/>
  <c r="CX78" i="21"/>
  <c r="BE95" i="21"/>
  <c r="BF95" i="21" s="1"/>
  <c r="CO95" i="21" s="1"/>
  <c r="AZ95" i="21"/>
  <c r="DT79" i="21"/>
  <c r="AM50" i="21"/>
  <c r="AL50" i="21"/>
  <c r="EL30" i="21"/>
  <c r="EK30" i="21" s="1"/>
  <c r="ET30" i="21" s="1"/>
  <c r="Y30" i="21"/>
  <c r="DP42" i="21"/>
  <c r="DO42" i="21"/>
  <c r="EY84" i="21"/>
  <c r="EZ84" i="21" s="1"/>
  <c r="EY21" i="21"/>
  <c r="EZ21" i="21" s="1"/>
  <c r="CB68" i="21"/>
  <c r="CI68" i="21" s="1"/>
  <c r="CK68" i="21" s="1"/>
  <c r="CP68" i="21" s="1"/>
  <c r="BO28" i="21"/>
  <c r="BP28" i="21" s="1"/>
  <c r="EI28" i="21" s="1"/>
  <c r="DP31" i="21"/>
  <c r="DO31" i="21"/>
  <c r="DQ31" i="21" s="1"/>
  <c r="DT257" i="21"/>
  <c r="BI257" i="21"/>
  <c r="DM218" i="21"/>
  <c r="EH242" i="21"/>
  <c r="EG242" i="21"/>
  <c r="BB232" i="21"/>
  <c r="EB151" i="21"/>
  <c r="CX199" i="21"/>
  <c r="FI199" i="21"/>
  <c r="CU203" i="21"/>
  <c r="FG203" i="21"/>
  <c r="CK189" i="21"/>
  <c r="CP189" i="21" s="1"/>
  <c r="FI243" i="21"/>
  <c r="CX243" i="21"/>
  <c r="DM220" i="21"/>
  <c r="EE171" i="21"/>
  <c r="AL171" i="21"/>
  <c r="FG243" i="21"/>
  <c r="CU243" i="21"/>
  <c r="ET148" i="21"/>
  <c r="EU148" i="21" s="1"/>
  <c r="EV148" i="21" s="1"/>
  <c r="CB232" i="21"/>
  <c r="CI232" i="21" s="1"/>
  <c r="EL189" i="21"/>
  <c r="EK189" i="21" s="1"/>
  <c r="Y189" i="21"/>
  <c r="BB218" i="21"/>
  <c r="BC218" i="21" s="1"/>
  <c r="AM147" i="21"/>
  <c r="AL147" i="21"/>
  <c r="ET206" i="21"/>
  <c r="EU206" i="21" s="1"/>
  <c r="EV206" i="21" s="1"/>
  <c r="FI130" i="21"/>
  <c r="CX130" i="21"/>
  <c r="EU94" i="21"/>
  <c r="EV94" i="21" s="1"/>
  <c r="ET94" i="21"/>
  <c r="EZ94" i="21"/>
  <c r="AY67" i="21"/>
  <c r="AZ67" i="21" s="1"/>
  <c r="Y193" i="21"/>
  <c r="DN193" i="21" s="1"/>
  <c r="EL193" i="21"/>
  <c r="EK193" i="21" s="1"/>
  <c r="BM135" i="21"/>
  <c r="BL135" i="21"/>
  <c r="BN135" i="21" s="1"/>
  <c r="BF289" i="21"/>
  <c r="CO289" i="21" s="1"/>
  <c r="AX165" i="21"/>
  <c r="CM165" i="21" s="1"/>
  <c r="DI165" i="21"/>
  <c r="M165" i="21"/>
  <c r="BF165" i="21" s="1"/>
  <c r="CO165" i="21" s="1"/>
  <c r="EY127" i="21"/>
  <c r="EZ127" i="21" s="1"/>
  <c r="BM128" i="21"/>
  <c r="BL128" i="21"/>
  <c r="BN128" i="21" s="1"/>
  <c r="DT178" i="21"/>
  <c r="M340" i="21"/>
  <c r="BF340" i="21" s="1"/>
  <c r="CO340" i="21" s="1"/>
  <c r="AX340" i="21"/>
  <c r="CM340" i="21" s="1"/>
  <c r="DI340" i="21"/>
  <c r="EU151" i="21"/>
  <c r="EV151" i="21" s="1"/>
  <c r="ET151" i="21"/>
  <c r="AY173" i="21"/>
  <c r="Q111" i="21"/>
  <c r="FG139" i="21"/>
  <c r="DA139" i="21"/>
  <c r="Y73" i="21"/>
  <c r="EL73" i="21"/>
  <c r="EK73" i="21" s="1"/>
  <c r="M46" i="21"/>
  <c r="BF46" i="21" s="1"/>
  <c r="AX46" i="21"/>
  <c r="DJ46" i="21"/>
  <c r="AQ193" i="21"/>
  <c r="BO115" i="21"/>
  <c r="BP115" i="21" s="1"/>
  <c r="EI115" i="21" s="1"/>
  <c r="EH115" i="21" s="1"/>
  <c r="BC43" i="21"/>
  <c r="FJ69" i="21"/>
  <c r="CW69" i="21"/>
  <c r="BE90" i="21"/>
  <c r="BF90" i="21" s="1"/>
  <c r="CO90" i="21" s="1"/>
  <c r="CB95" i="21"/>
  <c r="CI95" i="21" s="1"/>
  <c r="CK95" i="21" s="1"/>
  <c r="CP95" i="21" s="1"/>
  <c r="DM74" i="21"/>
  <c r="FI74" i="21"/>
  <c r="CX74" i="21"/>
  <c r="AZ57" i="21"/>
  <c r="BE57" i="21"/>
  <c r="BF57" i="21" s="1"/>
  <c r="CO57" i="21" s="1"/>
  <c r="M19" i="21"/>
  <c r="AX19" i="21"/>
  <c r="DJ19" i="21"/>
  <c r="FG284" i="21"/>
  <c r="DA284" i="21"/>
  <c r="DJ32" i="21"/>
  <c r="EY32" i="21" s="1"/>
  <c r="M32" i="21"/>
  <c r="BF32" i="21" s="1"/>
  <c r="AX32" i="21"/>
  <c r="BE53" i="21"/>
  <c r="BF53" i="21" s="1"/>
  <c r="CO53" i="21" s="1"/>
  <c r="AZ53" i="21"/>
  <c r="CU124" i="21"/>
  <c r="FG124" i="21"/>
  <c r="BO24" i="21"/>
  <c r="BP24" i="21" s="1"/>
  <c r="EI24" i="21" s="1"/>
  <c r="DI240" i="21"/>
  <c r="M240" i="21"/>
  <c r="BF240" i="21" s="1"/>
  <c r="CO240" i="21" s="1"/>
  <c r="BB240" i="21"/>
  <c r="BC240" i="21" s="1"/>
  <c r="CN240" i="21" s="1"/>
  <c r="AX240" i="21"/>
  <c r="CM240" i="21" s="1"/>
  <c r="BZ249" i="21"/>
  <c r="BR249" i="21"/>
  <c r="DZ249" i="21" s="1"/>
  <c r="EB249" i="21" s="1"/>
  <c r="CA249" i="21"/>
  <c r="AL249" i="21"/>
  <c r="FY249" i="21"/>
  <c r="GA249" i="21" s="1"/>
  <c r="CS249" i="21" s="1"/>
  <c r="BZ245" i="21"/>
  <c r="CB245" i="21" s="1"/>
  <c r="CI245" i="21" s="1"/>
  <c r="CK245" i="21" s="1"/>
  <c r="CP245" i="21" s="1"/>
  <c r="BI274" i="21"/>
  <c r="BJ274" i="21" s="1"/>
  <c r="DT274" i="21"/>
  <c r="M222" i="21"/>
  <c r="BF222" i="21" s="1"/>
  <c r="DI222" i="21"/>
  <c r="AX222" i="21"/>
  <c r="BH243" i="21"/>
  <c r="BJ243" i="21" s="1"/>
  <c r="AZ243" i="21"/>
  <c r="AX170" i="21"/>
  <c r="CM170" i="21" s="1"/>
  <c r="M170" i="21"/>
  <c r="DI170" i="21"/>
  <c r="EU243" i="21"/>
  <c r="EV243" i="21" s="1"/>
  <c r="ET243" i="21"/>
  <c r="EL175" i="21"/>
  <c r="EK175" i="21" s="1"/>
  <c r="Y175" i="21"/>
  <c r="ET213" i="21"/>
  <c r="EU213" i="21" s="1"/>
  <c r="EV213" i="21" s="1"/>
  <c r="EB267" i="21"/>
  <c r="AY114" i="21"/>
  <c r="AZ114" i="21" s="1"/>
  <c r="AX126" i="21"/>
  <c r="CM126" i="21" s="1"/>
  <c r="DJ126" i="21"/>
  <c r="DC146" i="21"/>
  <c r="FJ146" i="21"/>
  <c r="AZ142" i="21"/>
  <c r="BH159" i="21"/>
  <c r="BK72" i="21"/>
  <c r="FX72" i="21"/>
  <c r="GA72" i="21" s="1"/>
  <c r="CS72" i="21" s="1"/>
  <c r="CA72" i="21"/>
  <c r="AN72" i="21"/>
  <c r="BZ72" i="21"/>
  <c r="BR72" i="21"/>
  <c r="DZ72" i="21" s="1"/>
  <c r="EB72" i="21" s="1"/>
  <c r="CU127" i="21"/>
  <c r="FG127" i="21"/>
  <c r="BJ425" i="21"/>
  <c r="FJ138" i="21"/>
  <c r="CW138" i="21"/>
  <c r="DT102" i="21"/>
  <c r="GA173" i="21"/>
  <c r="CS173" i="21" s="1"/>
  <c r="GA347" i="21"/>
  <c r="CS347" i="21" s="1"/>
  <c r="AY104" i="21"/>
  <c r="BJ480" i="21"/>
  <c r="DT62" i="21"/>
  <c r="Y75" i="21"/>
  <c r="EL75" i="21"/>
  <c r="EK75" i="21" s="1"/>
  <c r="ET75" i="21" s="1"/>
  <c r="EY139" i="21"/>
  <c r="EZ139" i="21" s="1"/>
  <c r="BP80" i="21"/>
  <c r="EI80" i="21" s="1"/>
  <c r="DT64" i="21"/>
  <c r="AZ110" i="21"/>
  <c r="BC110" i="21" s="1"/>
  <c r="BB41" i="21"/>
  <c r="BC41" i="21" s="1"/>
  <c r="AL191" i="21"/>
  <c r="EE191" i="21"/>
  <c r="BO102" i="21"/>
  <c r="CB116" i="21"/>
  <c r="CI116" i="21" s="1"/>
  <c r="CK116" i="21" s="1"/>
  <c r="CP116" i="21" s="1"/>
  <c r="DM69" i="21"/>
  <c r="AY90" i="21"/>
  <c r="AZ90" i="21" s="1"/>
  <c r="EU111" i="21"/>
  <c r="EV111" i="21" s="1"/>
  <c r="EL92" i="21"/>
  <c r="EK92" i="21" s="1"/>
  <c r="Y92" i="21"/>
  <c r="AM49" i="21"/>
  <c r="AL49" i="21"/>
  <c r="BM51" i="21"/>
  <c r="BL51" i="21"/>
  <c r="BN51" i="21" s="1"/>
  <c r="CA66" i="21"/>
  <c r="BZ66" i="21"/>
  <c r="BR66" i="21"/>
  <c r="DZ66" i="21" s="1"/>
  <c r="EB66" i="21" s="1"/>
  <c r="BK66" i="21"/>
  <c r="FX66" i="21"/>
  <c r="GA66" i="21" s="1"/>
  <c r="CS66" i="21" s="1"/>
  <c r="Y89" i="21"/>
  <c r="EL89" i="21"/>
  <c r="EK89" i="21" s="1"/>
  <c r="ET86" i="21"/>
  <c r="EU86" i="21" s="1"/>
  <c r="EV86" i="21" s="1"/>
  <c r="FX59" i="21"/>
  <c r="GA59" i="21" s="1"/>
  <c r="CS59" i="21" s="1"/>
  <c r="AN59" i="21"/>
  <c r="BK59" i="21"/>
  <c r="CA59" i="21"/>
  <c r="BZ59" i="21"/>
  <c r="BR59" i="21"/>
  <c r="DZ59" i="21" s="1"/>
  <c r="EB59" i="21" s="1"/>
  <c r="DQ44" i="21"/>
  <c r="DP44" i="21"/>
  <c r="DO44" i="21"/>
  <c r="M236" i="21"/>
  <c r="BF236" i="21" s="1"/>
  <c r="CO236" i="21" s="1"/>
  <c r="DI236" i="21"/>
  <c r="AX236" i="21"/>
  <c r="CM236" i="21" s="1"/>
  <c r="DI279" i="21"/>
  <c r="M279" i="21"/>
  <c r="BF279" i="21" s="1"/>
  <c r="CO279" i="21" s="1"/>
  <c r="BB279" i="21"/>
  <c r="BC279" i="21" s="1"/>
  <c r="CN279" i="21" s="1"/>
  <c r="AX279" i="21"/>
  <c r="CM279" i="21" s="1"/>
  <c r="EL316" i="21"/>
  <c r="EK316" i="21" s="1"/>
  <c r="Y316" i="21"/>
  <c r="Y253" i="21"/>
  <c r="EL253" i="21"/>
  <c r="EK253" i="21" s="1"/>
  <c r="DI187" i="21"/>
  <c r="M187" i="21"/>
  <c r="BF187" i="21" s="1"/>
  <c r="CO187" i="21" s="1"/>
  <c r="AX187" i="21"/>
  <c r="CM187" i="21" s="1"/>
  <c r="DD188" i="21"/>
  <c r="FI188" i="21"/>
  <c r="EG245" i="21"/>
  <c r="EH245" i="21"/>
  <c r="DM213" i="21"/>
  <c r="EH160" i="21"/>
  <c r="BH229" i="21"/>
  <c r="BJ229" i="21" s="1"/>
  <c r="AZ229" i="21"/>
  <c r="AY229" i="21"/>
  <c r="EH243" i="21"/>
  <c r="EG243" i="21"/>
  <c r="AU216" i="21"/>
  <c r="AR216" i="21"/>
  <c r="CB187" i="21"/>
  <c r="CI187" i="21" s="1"/>
  <c r="AT168" i="21"/>
  <c r="DU168" i="21" s="1"/>
  <c r="AP169" i="21"/>
  <c r="ET274" i="21"/>
  <c r="EU274" i="21" s="1"/>
  <c r="EV274" i="21" s="1"/>
  <c r="M174" i="21"/>
  <c r="BF174" i="21" s="1"/>
  <c r="CO174" i="21" s="1"/>
  <c r="DI174" i="21"/>
  <c r="BB174" i="21"/>
  <c r="AX174" i="21"/>
  <c r="CM174" i="21" s="1"/>
  <c r="FJ130" i="21"/>
  <c r="CW130" i="21"/>
  <c r="AZ232" i="21"/>
  <c r="BH232" i="21"/>
  <c r="CB147" i="21"/>
  <c r="BB231" i="21"/>
  <c r="AJ198" i="21"/>
  <c r="BH169" i="21"/>
  <c r="AZ169" i="21"/>
  <c r="CB267" i="21"/>
  <c r="DM107" i="21"/>
  <c r="ER107" i="21"/>
  <c r="FG180" i="21"/>
  <c r="DA180" i="21"/>
  <c r="AY123" i="21"/>
  <c r="AZ123" i="21" s="1"/>
  <c r="CW171" i="21"/>
  <c r="FJ171" i="21"/>
  <c r="Y218" i="21"/>
  <c r="EL218" i="21"/>
  <c r="EK218" i="21" s="1"/>
  <c r="BO144" i="21"/>
  <c r="BP144" i="21" s="1"/>
  <c r="EI144" i="21" s="1"/>
  <c r="EH144" i="21" s="1"/>
  <c r="BM127" i="21"/>
  <c r="BL127" i="21"/>
  <c r="BN127" i="21" s="1"/>
  <c r="EZ112" i="21"/>
  <c r="ET112" i="21"/>
  <c r="EU112" i="21" s="1"/>
  <c r="EV112" i="21" s="1"/>
  <c r="BB188" i="21"/>
  <c r="BC188" i="21" s="1"/>
  <c r="CN188" i="21" s="1"/>
  <c r="AZ64" i="21"/>
  <c r="BE64" i="21"/>
  <c r="BF64" i="21" s="1"/>
  <c r="CO64" i="21" s="1"/>
  <c r="CA99" i="21"/>
  <c r="BR99" i="21"/>
  <c r="DZ99" i="21" s="1"/>
  <c r="EB99" i="21" s="1"/>
  <c r="EG99" i="21" s="1"/>
  <c r="BK99" i="21"/>
  <c r="BZ99" i="21"/>
  <c r="CB99" i="21" s="1"/>
  <c r="CI99" i="21" s="1"/>
  <c r="CK99" i="21" s="1"/>
  <c r="CP99" i="21" s="1"/>
  <c r="FY99" i="21"/>
  <c r="GA99" i="21" s="1"/>
  <c r="CS99" i="21" s="1"/>
  <c r="T99" i="21"/>
  <c r="AY99" i="21" s="1"/>
  <c r="EM158" i="21"/>
  <c r="EP158" i="21" s="1"/>
  <c r="EQ158" i="21" s="1"/>
  <c r="AZ183" i="21"/>
  <c r="BH183" i="21"/>
  <c r="BJ183" i="21" s="1"/>
  <c r="FG289" i="21"/>
  <c r="CU289" i="21"/>
  <c r="DM159" i="21"/>
  <c r="ER159" i="21"/>
  <c r="ET191" i="21"/>
  <c r="EU191" i="21" s="1"/>
  <c r="EV191" i="21" s="1"/>
  <c r="EL261" i="21"/>
  <c r="EK261" i="21" s="1"/>
  <c r="Y261" i="21"/>
  <c r="AY128" i="21"/>
  <c r="AZ128" i="21" s="1"/>
  <c r="BF166" i="21"/>
  <c r="CO166" i="21" s="1"/>
  <c r="CA340" i="21"/>
  <c r="FY340" i="21"/>
  <c r="GA340" i="21" s="1"/>
  <c r="CS340" i="21" s="1"/>
  <c r="BR340" i="21"/>
  <c r="DZ340" i="21" s="1"/>
  <c r="EB340" i="21" s="1"/>
  <c r="EG340" i="21" s="1"/>
  <c r="BZ340" i="21"/>
  <c r="EH253" i="21"/>
  <c r="AQ104" i="21"/>
  <c r="EG103" i="21"/>
  <c r="EH103" i="21"/>
  <c r="BC60" i="21"/>
  <c r="CN60" i="21" s="1"/>
  <c r="CB58" i="21"/>
  <c r="CI58" i="21" s="1"/>
  <c r="CK58" i="21" s="1"/>
  <c r="CP58" i="21" s="1"/>
  <c r="CE330" i="21"/>
  <c r="AZ191" i="21"/>
  <c r="BH191" i="21"/>
  <c r="BJ191" i="21" s="1"/>
  <c r="M25" i="21"/>
  <c r="AX25" i="21"/>
  <c r="DJ25" i="21"/>
  <c r="AZ116" i="21"/>
  <c r="M38" i="21"/>
  <c r="BF38" i="21" s="1"/>
  <c r="AX38" i="21"/>
  <c r="DJ38" i="21"/>
  <c r="BB38" i="21"/>
  <c r="BC38" i="21" s="1"/>
  <c r="BP100" i="21"/>
  <c r="EI100" i="21" s="1"/>
  <c r="CA76" i="21"/>
  <c r="BZ76" i="21"/>
  <c r="BR76" i="21"/>
  <c r="DZ76" i="21" s="1"/>
  <c r="EB76" i="21" s="1"/>
  <c r="BK76" i="21"/>
  <c r="FX76" i="21"/>
  <c r="GA76" i="21" s="1"/>
  <c r="CS76" i="21" s="1"/>
  <c r="BL48" i="21"/>
  <c r="BN48" i="21" s="1"/>
  <c r="BM48" i="21"/>
  <c r="ET34" i="21"/>
  <c r="EU34" i="21" s="1"/>
  <c r="EV34" i="21" s="1"/>
  <c r="CB74" i="21"/>
  <c r="CI74" i="21" s="1"/>
  <c r="CK74" i="21" s="1"/>
  <c r="CP74" i="21" s="1"/>
  <c r="AY74" i="21"/>
  <c r="AZ74" i="21" s="1"/>
  <c r="AZ66" i="21"/>
  <c r="BE66" i="21"/>
  <c r="BF66" i="21" s="1"/>
  <c r="CO66" i="21" s="1"/>
  <c r="EK52" i="21"/>
  <c r="CU86" i="21"/>
  <c r="FG86" i="21"/>
  <c r="AM86" i="21"/>
  <c r="AL86" i="21"/>
  <c r="AL36" i="21"/>
  <c r="AM36" i="21"/>
  <c r="BE89" i="21"/>
  <c r="BF89" i="21" s="1"/>
  <c r="CO89" i="21" s="1"/>
  <c r="AZ89" i="21"/>
  <c r="ET32" i="21"/>
  <c r="EU32" i="21" s="1"/>
  <c r="EV32" i="21" s="1"/>
  <c r="EY59" i="21"/>
  <c r="EZ59" i="21" s="1"/>
  <c r="BF251" i="21"/>
  <c r="CO251" i="21" s="1"/>
  <c r="CE319" i="21"/>
  <c r="CI319" i="21" s="1"/>
  <c r="BH208" i="21"/>
  <c r="AZ208" i="21"/>
  <c r="GA245" i="21"/>
  <c r="CS245" i="21" s="1"/>
  <c r="FY208" i="21"/>
  <c r="GA208" i="21" s="1"/>
  <c r="CS208" i="21" s="1"/>
  <c r="AL208" i="21"/>
  <c r="CA208" i="21"/>
  <c r="BR208" i="21"/>
  <c r="DZ208" i="21" s="1"/>
  <c r="EB208" i="21" s="1"/>
  <c r="EH208" i="21" s="1"/>
  <c r="BZ208" i="21"/>
  <c r="CB208" i="21" s="1"/>
  <c r="CI208" i="21" s="1"/>
  <c r="CK208" i="21" s="1"/>
  <c r="CP208" i="21" s="1"/>
  <c r="EL269" i="21"/>
  <c r="EK269" i="21" s="1"/>
  <c r="Y269" i="21"/>
  <c r="BJ213" i="21"/>
  <c r="AL174" i="21"/>
  <c r="EE174" i="21"/>
  <c r="DM212" i="21"/>
  <c r="ES212" i="21"/>
  <c r="ER212" i="21"/>
  <c r="CW243" i="21"/>
  <c r="FJ243" i="21"/>
  <c r="CK185" i="21"/>
  <c r="CP185" i="21" s="1"/>
  <c r="Y164" i="21"/>
  <c r="EL164" i="21"/>
  <c r="EK164" i="21" s="1"/>
  <c r="BF274" i="21"/>
  <c r="CO274" i="21" s="1"/>
  <c r="BJ223" i="21"/>
  <c r="AZ190" i="21"/>
  <c r="AZ147" i="21"/>
  <c r="FG192" i="21"/>
  <c r="CU192" i="21"/>
  <c r="AJ166" i="21"/>
  <c r="AT166" i="21"/>
  <c r="EL176" i="21"/>
  <c r="EK176" i="21" s="1"/>
  <c r="Y176" i="21"/>
  <c r="CU167" i="21"/>
  <c r="FG167" i="21"/>
  <c r="Y188" i="21"/>
  <c r="EL188" i="21"/>
  <c r="EK188" i="21" s="1"/>
  <c r="DR158" i="21"/>
  <c r="BI158" i="21"/>
  <c r="BJ158" i="21" s="1"/>
  <c r="Y66" i="21"/>
  <c r="EL66" i="21"/>
  <c r="EK66" i="21" s="1"/>
  <c r="EY66" i="21" s="1"/>
  <c r="EZ66" i="21" s="1"/>
  <c r="ET289" i="21"/>
  <c r="EU289" i="21" s="1"/>
  <c r="EV289" i="21" s="1"/>
  <c r="DM188" i="21"/>
  <c r="BB261" i="21"/>
  <c r="BB233" i="21"/>
  <c r="FG166" i="21"/>
  <c r="DA166" i="21"/>
  <c r="Y101" i="21"/>
  <c r="EL101" i="21"/>
  <c r="EK101" i="21" s="1"/>
  <c r="BE101" i="21"/>
  <c r="BF101" i="21" s="1"/>
  <c r="CO101" i="21" s="1"/>
  <c r="AZ101" i="21"/>
  <c r="FY330" i="21"/>
  <c r="GA330" i="21" s="1"/>
  <c r="CS330" i="21" s="1"/>
  <c r="BM34" i="21"/>
  <c r="BL34" i="21"/>
  <c r="BN34" i="21" s="1"/>
  <c r="DJ51" i="21"/>
  <c r="AX51" i="21"/>
  <c r="M51" i="21"/>
  <c r="BF51" i="21" s="1"/>
  <c r="EU220" i="21"/>
  <c r="EV220" i="21" s="1"/>
  <c r="ET220" i="21"/>
  <c r="BE76" i="21"/>
  <c r="BF76" i="21" s="1"/>
  <c r="CO76" i="21" s="1"/>
  <c r="AZ76" i="21"/>
  <c r="DM48" i="21"/>
  <c r="FJ73" i="21"/>
  <c r="CW73" i="21"/>
  <c r="DC91" i="21"/>
  <c r="FJ91" i="21"/>
  <c r="DA9" i="21"/>
  <c r="DA8" i="21"/>
  <c r="DA6" i="21"/>
  <c r="DA7" i="21" s="1"/>
  <c r="BE74" i="21"/>
  <c r="BF74" i="21" s="1"/>
  <c r="CO74" i="21" s="1"/>
  <c r="BB51" i="21"/>
  <c r="BC51" i="21" s="1"/>
  <c r="EY86" i="21"/>
  <c r="EZ86" i="21" s="1"/>
  <c r="BZ89" i="21"/>
  <c r="CB89" i="21" s="1"/>
  <c r="CI89" i="21" s="1"/>
  <c r="CK89" i="21" s="1"/>
  <c r="CP89" i="21" s="1"/>
  <c r="CA89" i="21"/>
  <c r="BK89" i="21"/>
  <c r="BR89" i="21"/>
  <c r="DZ89" i="21" s="1"/>
  <c r="EB89" i="21" s="1"/>
  <c r="FX89" i="21"/>
  <c r="GA89" i="21" s="1"/>
  <c r="CS89" i="21" s="1"/>
  <c r="FG59" i="21"/>
  <c r="CU59" i="21"/>
  <c r="AZ265" i="21"/>
  <c r="BB316" i="21"/>
  <c r="AZ245" i="21"/>
  <c r="BH245" i="21"/>
  <c r="BJ245" i="21" s="1"/>
  <c r="DT292" i="21"/>
  <c r="BI292" i="21"/>
  <c r="P204" i="21"/>
  <c r="DY204" i="21" s="1"/>
  <c r="M204" i="21"/>
  <c r="BF204" i="21" s="1"/>
  <c r="CO204" i="21" s="1"/>
  <c r="DI204" i="21"/>
  <c r="AX204" i="21"/>
  <c r="CM204" i="21" s="1"/>
  <c r="EE169" i="21"/>
  <c r="AL169" i="21"/>
  <c r="AQ169" i="21" s="1"/>
  <c r="DI285" i="21"/>
  <c r="M285" i="21"/>
  <c r="BF285" i="21" s="1"/>
  <c r="CO285" i="21" s="1"/>
  <c r="AX285" i="21"/>
  <c r="CM285" i="21" s="1"/>
  <c r="BB285" i="21"/>
  <c r="AV212" i="21"/>
  <c r="AW212" i="21" s="1"/>
  <c r="BC212" i="21"/>
  <c r="DM225" i="21"/>
  <c r="DA274" i="21"/>
  <c r="FG274" i="21"/>
  <c r="FG239" i="21"/>
  <c r="CU239" i="21"/>
  <c r="CB175" i="21"/>
  <c r="CI175" i="21" s="1"/>
  <c r="CK175" i="21" s="1"/>
  <c r="CP175" i="21" s="1"/>
  <c r="AX218" i="21"/>
  <c r="M218" i="21"/>
  <c r="BF218" i="21" s="1"/>
  <c r="DI218" i="21"/>
  <c r="DJ148" i="21"/>
  <c r="EY148" i="21" s="1"/>
  <c r="BB148" i="21"/>
  <c r="BC148" i="21" s="1"/>
  <c r="CN148" i="21" s="1"/>
  <c r="M148" i="21"/>
  <c r="BF148" i="21" s="1"/>
  <c r="CO148" i="21" s="1"/>
  <c r="AX148" i="21"/>
  <c r="CM148" i="21" s="1"/>
  <c r="AY190" i="21"/>
  <c r="BH190" i="21" s="1"/>
  <c r="BJ190" i="21" s="1"/>
  <c r="BO147" i="21"/>
  <c r="BP147" i="21" s="1"/>
  <c r="EI147" i="21" s="1"/>
  <c r="EH147" i="21" s="1"/>
  <c r="FI171" i="21"/>
  <c r="CX171" i="21"/>
  <c r="AQ213" i="21"/>
  <c r="AQ166" i="21"/>
  <c r="BH197" i="21"/>
  <c r="BJ197" i="21" s="1"/>
  <c r="AZ197" i="21"/>
  <c r="BB170" i="21"/>
  <c r="ET167" i="21"/>
  <c r="EU167" i="21" s="1"/>
  <c r="EV167" i="21" s="1"/>
  <c r="BB201" i="21"/>
  <c r="AX133" i="21"/>
  <c r="CM133" i="21" s="1"/>
  <c r="DJ133" i="21"/>
  <c r="CB119" i="21"/>
  <c r="FY141" i="21"/>
  <c r="GA141" i="21" s="1"/>
  <c r="CS141" i="21" s="1"/>
  <c r="AJ141" i="21"/>
  <c r="CD141" i="21"/>
  <c r="CE141" i="21" s="1"/>
  <c r="CI141" i="21" s="1"/>
  <c r="CK141" i="21" s="1"/>
  <c r="CP141" i="21" s="1"/>
  <c r="BE141" i="21"/>
  <c r="BF141" i="21" s="1"/>
  <c r="CO141" i="21" s="1"/>
  <c r="DT183" i="21"/>
  <c r="CK98" i="21"/>
  <c r="CP98" i="21" s="1"/>
  <c r="AY177" i="21"/>
  <c r="AZ177" i="21" s="1"/>
  <c r="BZ263" i="21"/>
  <c r="BR263" i="21"/>
  <c r="DZ263" i="21" s="1"/>
  <c r="EB263" i="21" s="1"/>
  <c r="FY263" i="21"/>
  <c r="GA263" i="21" s="1"/>
  <c r="CS263" i="21" s="1"/>
  <c r="AL263" i="21"/>
  <c r="CA263" i="21"/>
  <c r="T263" i="21"/>
  <c r="AX146" i="21"/>
  <c r="CM146" i="21" s="1"/>
  <c r="BB146" i="21"/>
  <c r="DJ146" i="21"/>
  <c r="CB128" i="21"/>
  <c r="CI128" i="21" s="1"/>
  <c r="CK128" i="21" s="1"/>
  <c r="CP128" i="21" s="1"/>
  <c r="BO112" i="21"/>
  <c r="BP112" i="21" s="1"/>
  <c r="EI112" i="21" s="1"/>
  <c r="EH112" i="21" s="1"/>
  <c r="BH173" i="21"/>
  <c r="AZ173" i="21"/>
  <c r="DM91" i="21"/>
  <c r="BB133" i="21"/>
  <c r="DM174" i="21"/>
  <c r="CX93" i="21"/>
  <c r="FI93" i="21"/>
  <c r="CB110" i="21"/>
  <c r="CI110" i="21" s="1"/>
  <c r="CK110" i="21" s="1"/>
  <c r="AX45" i="21"/>
  <c r="DJ45" i="21"/>
  <c r="M45" i="21"/>
  <c r="Y109" i="21"/>
  <c r="EL109" i="21"/>
  <c r="EK109" i="21" s="1"/>
  <c r="BE84" i="21"/>
  <c r="BF84" i="21" s="1"/>
  <c r="CO84" i="21" s="1"/>
  <c r="AZ84" i="21"/>
  <c r="AU21" i="21"/>
  <c r="AR21" i="21"/>
  <c r="FY96" i="21"/>
  <c r="GA96" i="21" s="1"/>
  <c r="CS96" i="21" s="1"/>
  <c r="BK96" i="21"/>
  <c r="T96" i="21"/>
  <c r="CA96" i="21"/>
  <c r="BZ96" i="21"/>
  <c r="BR96" i="21"/>
  <c r="DZ96" i="21" s="1"/>
  <c r="EB96" i="21" s="1"/>
  <c r="AY76" i="21"/>
  <c r="FJ79" i="21"/>
  <c r="CW79" i="21"/>
  <c r="AM34" i="21"/>
  <c r="AL34" i="21"/>
  <c r="BP55" i="21"/>
  <c r="EI55" i="21" s="1"/>
  <c r="BO57" i="21"/>
  <c r="BP57" i="21" s="1"/>
  <c r="EI57" i="21" s="1"/>
  <c r="BM40" i="21"/>
  <c r="BL40" i="21"/>
  <c r="BN40" i="21" s="1"/>
  <c r="EH65" i="21"/>
  <c r="EG65" i="21"/>
  <c r="BK61" i="21"/>
  <c r="FX61" i="21"/>
  <c r="GA61" i="21" s="1"/>
  <c r="CS61" i="21" s="1"/>
  <c r="CA61" i="21"/>
  <c r="BR61" i="21"/>
  <c r="DZ61" i="21" s="1"/>
  <c r="EB61" i="21" s="1"/>
  <c r="BZ61" i="21"/>
  <c r="BE68" i="21"/>
  <c r="BF68" i="21" s="1"/>
  <c r="CO68" i="21" s="1"/>
  <c r="AZ68" i="21"/>
  <c r="DP20" i="21"/>
  <c r="DO20" i="21"/>
  <c r="BH219" i="20"/>
  <c r="BP219" i="20"/>
  <c r="EP303" i="20"/>
  <c r="DU303" i="20" s="1"/>
  <c r="BP223" i="20"/>
  <c r="BF452" i="20"/>
  <c r="CU452" i="20" s="1"/>
  <c r="FO452" i="20" s="1"/>
  <c r="CJ165" i="20"/>
  <c r="GI182" i="20"/>
  <c r="DA182" i="20" s="1"/>
  <c r="FQ182" i="20" s="1"/>
  <c r="BG144" i="20"/>
  <c r="BH144" i="20" s="1"/>
  <c r="BJ299" i="20"/>
  <c r="AT76" i="20"/>
  <c r="ET120" i="20"/>
  <c r="ES120" i="20" s="1"/>
  <c r="FB120" i="20" s="1"/>
  <c r="CJ178" i="20"/>
  <c r="CQ178" i="20" s="1"/>
  <c r="DZ193" i="20"/>
  <c r="CY193" i="20" s="1"/>
  <c r="U452" i="20"/>
  <c r="BK491" i="20"/>
  <c r="CH406" i="20"/>
  <c r="BZ379" i="20"/>
  <c r="EH379" i="20" s="1"/>
  <c r="EJ379" i="20" s="1"/>
  <c r="EO379" i="20" s="1"/>
  <c r="P420" i="20"/>
  <c r="BN420" i="20" s="1"/>
  <c r="CW420" i="20" s="1"/>
  <c r="GG420" i="20"/>
  <c r="GI420" i="20" s="1"/>
  <c r="DA420" i="20" s="1"/>
  <c r="AG251" i="20"/>
  <c r="EB251" i="20" s="1"/>
  <c r="BN368" i="20"/>
  <c r="CW368" i="20" s="1"/>
  <c r="BJ326" i="20"/>
  <c r="CJ233" i="20"/>
  <c r="BF384" i="20"/>
  <c r="CU384" i="20" s="1"/>
  <c r="FO384" i="20" s="1"/>
  <c r="BG146" i="20"/>
  <c r="BH146" i="20" s="1"/>
  <c r="AG153" i="20"/>
  <c r="EB153" i="20" s="1"/>
  <c r="BJ137" i="20"/>
  <c r="BM143" i="20"/>
  <c r="BN143" i="20" s="1"/>
  <c r="CW143" i="20" s="1"/>
  <c r="EO92" i="20"/>
  <c r="EC491" i="20"/>
  <c r="CQ489" i="20"/>
  <c r="CS489" i="20" s="1"/>
  <c r="BN394" i="20"/>
  <c r="CW394" i="20" s="1"/>
  <c r="BG298" i="20"/>
  <c r="BP298" i="20" s="1"/>
  <c r="BR298" i="20" s="1"/>
  <c r="CJ152" i="20"/>
  <c r="CQ152" i="20" s="1"/>
  <c r="CS152" i="20" s="1"/>
  <c r="CX152" i="20" s="1"/>
  <c r="DK152" i="20" s="1"/>
  <c r="GI175" i="20"/>
  <c r="DA175" i="20" s="1"/>
  <c r="FQ175" i="20" s="1"/>
  <c r="AG204" i="20"/>
  <c r="EB204" i="20" s="1"/>
  <c r="CL143" i="20"/>
  <c r="CM143" i="20" s="1"/>
  <c r="BN500" i="20"/>
  <c r="EM93" i="20"/>
  <c r="BM93" i="20"/>
  <c r="BN93" i="20" s="1"/>
  <c r="CW93" i="20" s="1"/>
  <c r="AG378" i="20"/>
  <c r="BQ378" i="20" s="1"/>
  <c r="P326" i="20"/>
  <c r="BN326" i="20" s="1"/>
  <c r="CW326" i="20" s="1"/>
  <c r="P389" i="20"/>
  <c r="P384" i="20"/>
  <c r="BF299" i="20"/>
  <c r="CU299" i="20" s="1"/>
  <c r="FO299" i="20" s="1"/>
  <c r="P150" i="20"/>
  <c r="GG143" i="20"/>
  <c r="GI143" i="20" s="1"/>
  <c r="DA143" i="20" s="1"/>
  <c r="DL143" i="20" s="1"/>
  <c r="FB110" i="20"/>
  <c r="FC110" i="20" s="1"/>
  <c r="FD110" i="20" s="1"/>
  <c r="BG71" i="20"/>
  <c r="BH71" i="20" s="1"/>
  <c r="BJ150" i="20"/>
  <c r="GI117" i="20"/>
  <c r="DA117" i="20" s="1"/>
  <c r="FQ117" i="20" s="1"/>
  <c r="BG156" i="20"/>
  <c r="BP156" i="20" s="1"/>
  <c r="BR156" i="20" s="1"/>
  <c r="BP482" i="20"/>
  <c r="BJ210" i="20"/>
  <c r="CH386" i="20"/>
  <c r="GG272" i="20"/>
  <c r="GI272" i="20" s="1"/>
  <c r="DA272" i="20" s="1"/>
  <c r="DL272" i="20" s="1"/>
  <c r="AT291" i="20"/>
  <c r="GG295" i="20"/>
  <c r="GI295" i="20" s="1"/>
  <c r="DA295" i="20" s="1"/>
  <c r="BF376" i="20"/>
  <c r="CU376" i="20" s="1"/>
  <c r="DI376" i="20" s="1"/>
  <c r="AT451" i="20"/>
  <c r="BG454" i="20"/>
  <c r="BP454" i="20" s="1"/>
  <c r="AR451" i="20"/>
  <c r="P299" i="20"/>
  <c r="BF137" i="20"/>
  <c r="CU137" i="20" s="1"/>
  <c r="DC137" i="20" s="1"/>
  <c r="BF150" i="20"/>
  <c r="CU150" i="20" s="1"/>
  <c r="FO150" i="20" s="1"/>
  <c r="CJ118" i="20"/>
  <c r="CQ118" i="20" s="1"/>
  <c r="CS118" i="20" s="1"/>
  <c r="BH484" i="20"/>
  <c r="EC484" i="20" s="1"/>
  <c r="GG451" i="20"/>
  <c r="GI451" i="20" s="1"/>
  <c r="DA451" i="20" s="1"/>
  <c r="FQ451" i="20" s="1"/>
  <c r="CI93" i="20"/>
  <c r="BC193" i="20"/>
  <c r="BJ100" i="20"/>
  <c r="BP480" i="20"/>
  <c r="CH272" i="20"/>
  <c r="GG386" i="20"/>
  <c r="GI386" i="20" s="1"/>
  <c r="DA386" i="20" s="1"/>
  <c r="DL386" i="20" s="1"/>
  <c r="AT386" i="20"/>
  <c r="AG370" i="20"/>
  <c r="EB370" i="20" s="1"/>
  <c r="DQ394" i="20"/>
  <c r="FB394" i="20" s="1"/>
  <c r="FC394" i="20" s="1"/>
  <c r="FD394" i="20" s="1"/>
  <c r="GG348" i="20"/>
  <c r="GI348" i="20" s="1"/>
  <c r="DA348" i="20" s="1"/>
  <c r="BN190" i="20"/>
  <c r="CW190" i="20" s="1"/>
  <c r="BJ233" i="20"/>
  <c r="BJ452" i="20"/>
  <c r="BZ451" i="20"/>
  <c r="EH451" i="20" s="1"/>
  <c r="EJ451" i="20" s="1"/>
  <c r="CJ147" i="20"/>
  <c r="CQ147" i="20" s="1"/>
  <c r="CS147" i="20" s="1"/>
  <c r="CX147" i="20" s="1"/>
  <c r="FR147" i="20" s="1"/>
  <c r="BT146" i="20"/>
  <c r="BV146" i="20" s="1"/>
  <c r="BN152" i="20"/>
  <c r="CW152" i="20" s="1"/>
  <c r="AG29" i="20"/>
  <c r="AG415" i="20"/>
  <c r="BJ394" i="20"/>
  <c r="BN369" i="20"/>
  <c r="CW369" i="20" s="1"/>
  <c r="BJ360" i="20"/>
  <c r="CJ151" i="20"/>
  <c r="GF93" i="20"/>
  <c r="BP491" i="20"/>
  <c r="AB386" i="20"/>
  <c r="BG386" i="20" s="1"/>
  <c r="BH386" i="20" s="1"/>
  <c r="CI386" i="20"/>
  <c r="BZ406" i="20"/>
  <c r="EH406" i="20" s="1"/>
  <c r="EJ406" i="20" s="1"/>
  <c r="EP406" i="20" s="1"/>
  <c r="BF394" i="20"/>
  <c r="CU394" i="20" s="1"/>
  <c r="FO394" i="20" s="1"/>
  <c r="CI451" i="20"/>
  <c r="DC165" i="20"/>
  <c r="CH93" i="20"/>
  <c r="AU30" i="20"/>
  <c r="AG418" i="20"/>
  <c r="BQ418" i="20" s="1"/>
  <c r="AV93" i="20"/>
  <c r="BS93" i="20"/>
  <c r="BK22" i="20"/>
  <c r="BN148" i="20"/>
  <c r="CW148" i="20" s="1"/>
  <c r="BG141" i="20"/>
  <c r="BH141" i="20" s="1"/>
  <c r="CJ61" i="20"/>
  <c r="CQ61" i="20" s="1"/>
  <c r="CS61" i="20" s="1"/>
  <c r="CX61" i="20" s="1"/>
  <c r="FR61" i="20" s="1"/>
  <c r="BS63" i="20"/>
  <c r="BT63" i="20" s="1"/>
  <c r="BV63" i="20" s="1"/>
  <c r="BF103" i="20"/>
  <c r="BG72" i="20"/>
  <c r="BH72" i="20" s="1"/>
  <c r="CI103" i="20"/>
  <c r="CJ103" i="20" s="1"/>
  <c r="BI38" i="20"/>
  <c r="BJ38" i="20" s="1"/>
  <c r="BK38" i="20" s="1"/>
  <c r="CQ482" i="20"/>
  <c r="CS482" i="20" s="1"/>
  <c r="AT418" i="20"/>
  <c r="BF153" i="20"/>
  <c r="CU153" i="20" s="1"/>
  <c r="DI153" i="20" s="1"/>
  <c r="FB92" i="20"/>
  <c r="FC92" i="20" s="1"/>
  <c r="FD92" i="20" s="1"/>
  <c r="ET75" i="20"/>
  <c r="ES75" i="20" s="1"/>
  <c r="FB75" i="20" s="1"/>
  <c r="FC75" i="20" s="1"/>
  <c r="FD75" i="20" s="1"/>
  <c r="AR455" i="20"/>
  <c r="FG61" i="20"/>
  <c r="FH61" i="20" s="1"/>
  <c r="BG128" i="20"/>
  <c r="BH128" i="20" s="1"/>
  <c r="CQ475" i="20"/>
  <c r="CS475" i="20" s="1"/>
  <c r="AT385" i="20"/>
  <c r="CH213" i="20"/>
  <c r="AT400" i="20"/>
  <c r="AT257" i="20"/>
  <c r="AG354" i="20"/>
  <c r="EB354" i="20" s="1"/>
  <c r="BZ324" i="20"/>
  <c r="EH324" i="20" s="1"/>
  <c r="EJ324" i="20" s="1"/>
  <c r="EP324" i="20" s="1"/>
  <c r="DU324" i="20" s="1"/>
  <c r="BF369" i="20"/>
  <c r="CU369" i="20" s="1"/>
  <c r="DI369" i="20" s="1"/>
  <c r="P249" i="20"/>
  <c r="DQ455" i="20"/>
  <c r="CH160" i="20"/>
  <c r="CJ160" i="20" s="1"/>
  <c r="BG124" i="20"/>
  <c r="BH124" i="20" s="1"/>
  <c r="FB97" i="20"/>
  <c r="FC97" i="20" s="1"/>
  <c r="FD97" i="20" s="1"/>
  <c r="AT452" i="20"/>
  <c r="CQ41" i="20"/>
  <c r="CS41" i="20" s="1"/>
  <c r="CQ25" i="20"/>
  <c r="FB500" i="20"/>
  <c r="FC500" i="20" s="1"/>
  <c r="FD500" i="20" s="1"/>
  <c r="CJ236" i="20"/>
  <c r="BG163" i="20"/>
  <c r="BP163" i="20" s="1"/>
  <c r="BR163" i="20" s="1"/>
  <c r="BJ384" i="20"/>
  <c r="BN234" i="20"/>
  <c r="CW234" i="20" s="1"/>
  <c r="BZ257" i="20"/>
  <c r="EH257" i="20" s="1"/>
  <c r="EJ257" i="20" s="1"/>
  <c r="GG257" i="20"/>
  <c r="GI257" i="20" s="1"/>
  <c r="DA257" i="20" s="1"/>
  <c r="DL257" i="20" s="1"/>
  <c r="BJ317" i="20"/>
  <c r="P383" i="20"/>
  <c r="GI454" i="20"/>
  <c r="DA454" i="20" s="1"/>
  <c r="FQ454" i="20" s="1"/>
  <c r="BC163" i="20"/>
  <c r="P103" i="20"/>
  <c r="GF63" i="20"/>
  <c r="AV63" i="20"/>
  <c r="CQ477" i="20"/>
  <c r="CS477" i="20" s="1"/>
  <c r="BZ452" i="20"/>
  <c r="EH452" i="20" s="1"/>
  <c r="EJ452" i="20" s="1"/>
  <c r="BZ213" i="20"/>
  <c r="EH213" i="20" s="1"/>
  <c r="EJ213" i="20" s="1"/>
  <c r="GG324" i="20"/>
  <c r="GI324" i="20" s="1"/>
  <c r="DA324" i="20" s="1"/>
  <c r="AB324" i="20"/>
  <c r="BG324" i="20" s="1"/>
  <c r="BH324" i="20" s="1"/>
  <c r="DQ317" i="20"/>
  <c r="FB317" i="20" s="1"/>
  <c r="FC317" i="20" s="1"/>
  <c r="FD317" i="20" s="1"/>
  <c r="BZ274" i="20"/>
  <c r="EH274" i="20" s="1"/>
  <c r="EJ274" i="20" s="1"/>
  <c r="BJ383" i="20"/>
  <c r="BK383" i="20" s="1"/>
  <c r="CV383" i="20" s="1"/>
  <c r="BH225" i="20"/>
  <c r="P456" i="20"/>
  <c r="CJ183" i="20"/>
  <c r="CQ183" i="20" s="1"/>
  <c r="DQ456" i="20"/>
  <c r="P455" i="20"/>
  <c r="EP164" i="20"/>
  <c r="DU164" i="20" s="1"/>
  <c r="AG121" i="20"/>
  <c r="EB121" i="20" s="1"/>
  <c r="BU118" i="20"/>
  <c r="BW118" i="20" s="1"/>
  <c r="BX118" i="20" s="1"/>
  <c r="EQ118" i="20" s="1"/>
  <c r="EP118" i="20" s="1"/>
  <c r="AT131" i="20"/>
  <c r="AT96" i="20"/>
  <c r="BG90" i="20"/>
  <c r="BH90" i="20" s="1"/>
  <c r="BK90" i="20" s="1"/>
  <c r="CV90" i="20" s="1"/>
  <c r="AG84" i="20"/>
  <c r="EB84" i="20" s="1"/>
  <c r="CJ52" i="20"/>
  <c r="CQ52" i="20" s="1"/>
  <c r="BZ63" i="20"/>
  <c r="EH63" i="20" s="1"/>
  <c r="EJ63" i="20" s="1"/>
  <c r="EO63" i="20" s="1"/>
  <c r="BN41" i="20"/>
  <c r="BH478" i="20"/>
  <c r="EC478" i="20" s="1"/>
  <c r="CH212" i="20"/>
  <c r="FB376" i="20"/>
  <c r="FC376" i="20" s="1"/>
  <c r="FD376" i="20" s="1"/>
  <c r="CI452" i="20"/>
  <c r="AG86" i="20"/>
  <c r="EB86" i="20" s="1"/>
  <c r="FB74" i="20"/>
  <c r="FC74" i="20" s="1"/>
  <c r="FD74" i="20" s="1"/>
  <c r="AB438" i="20"/>
  <c r="BG438" i="20" s="1"/>
  <c r="BH438" i="20" s="1"/>
  <c r="BZ438" i="20"/>
  <c r="EH438" i="20" s="1"/>
  <c r="EJ438" i="20" s="1"/>
  <c r="EO438" i="20" s="1"/>
  <c r="GG359" i="20"/>
  <c r="GI359" i="20" s="1"/>
  <c r="DA359" i="20" s="1"/>
  <c r="AT359" i="20"/>
  <c r="AG393" i="20"/>
  <c r="EB393" i="20" s="1"/>
  <c r="AB257" i="20"/>
  <c r="CH257" i="20"/>
  <c r="P317" i="20"/>
  <c r="CI317" i="20"/>
  <c r="AT274" i="20"/>
  <c r="BP225" i="20"/>
  <c r="EO220" i="20"/>
  <c r="BF456" i="20"/>
  <c r="CU456" i="20" s="1"/>
  <c r="FO456" i="20" s="1"/>
  <c r="AT202" i="20"/>
  <c r="CJ154" i="20"/>
  <c r="CH63" i="20"/>
  <c r="CJ63" i="20" s="1"/>
  <c r="AG81" i="20"/>
  <c r="EB81" i="20" s="1"/>
  <c r="BN20" i="20"/>
  <c r="BZ103" i="20"/>
  <c r="EH103" i="20" s="1"/>
  <c r="EJ103" i="20" s="1"/>
  <c r="EO103" i="20" s="1"/>
  <c r="CI212" i="20"/>
  <c r="AT368" i="20"/>
  <c r="AR391" i="20"/>
  <c r="AT438" i="20"/>
  <c r="CH438" i="20"/>
  <c r="CJ438" i="20" s="1"/>
  <c r="CQ438" i="20" s="1"/>
  <c r="CI359" i="20"/>
  <c r="AT324" i="20"/>
  <c r="CH317" i="20"/>
  <c r="DQ383" i="20"/>
  <c r="FB383" i="20" s="1"/>
  <c r="FC383" i="20" s="1"/>
  <c r="FD383" i="20" s="1"/>
  <c r="CI274" i="20"/>
  <c r="BJ455" i="20"/>
  <c r="EP308" i="20"/>
  <c r="DU308" i="20" s="1"/>
  <c r="CH455" i="20"/>
  <c r="BJ151" i="20"/>
  <c r="AB103" i="20"/>
  <c r="BG103" i="20" s="1"/>
  <c r="BH103" i="20" s="1"/>
  <c r="AG390" i="20"/>
  <c r="BG76" i="20"/>
  <c r="BH76" i="20" s="1"/>
  <c r="BK76" i="20" s="1"/>
  <c r="CV76" i="20" s="1"/>
  <c r="DD76" i="20" s="1"/>
  <c r="FG111" i="20"/>
  <c r="FH111" i="20" s="1"/>
  <c r="BH473" i="20"/>
  <c r="EC473" i="20" s="1"/>
  <c r="AG196" i="20"/>
  <c r="EB196" i="20" s="1"/>
  <c r="AT232" i="20"/>
  <c r="CI213" i="20"/>
  <c r="AG194" i="20"/>
  <c r="BQ194" i="20" s="1"/>
  <c r="GG438" i="20"/>
  <c r="GI438" i="20" s="1"/>
  <c r="DA438" i="20" s="1"/>
  <c r="FQ438" i="20" s="1"/>
  <c r="AB359" i="20"/>
  <c r="BG359" i="20" s="1"/>
  <c r="BH359" i="20" s="1"/>
  <c r="AT317" i="20"/>
  <c r="BJ305" i="20"/>
  <c r="BP309" i="20"/>
  <c r="CJ81" i="20"/>
  <c r="EM63" i="20"/>
  <c r="GI38" i="20"/>
  <c r="BU150" i="20"/>
  <c r="BW150" i="20" s="1"/>
  <c r="BJ302" i="20"/>
  <c r="BQ433" i="20"/>
  <c r="EB433" i="20"/>
  <c r="CQ502" i="20"/>
  <c r="CS502" i="20" s="1"/>
  <c r="AB188" i="20"/>
  <c r="BG188" i="20" s="1"/>
  <c r="GG210" i="20"/>
  <c r="GI210" i="20" s="1"/>
  <c r="DA210" i="20" s="1"/>
  <c r="BZ440" i="20"/>
  <c r="EH440" i="20" s="1"/>
  <c r="EJ440" i="20" s="1"/>
  <c r="BJ344" i="20"/>
  <c r="CI296" i="20"/>
  <c r="AB295" i="20"/>
  <c r="BG295" i="20" s="1"/>
  <c r="BH295" i="20" s="1"/>
  <c r="AG351" i="20"/>
  <c r="BQ351" i="20" s="1"/>
  <c r="AT245" i="20"/>
  <c r="CH245" i="20"/>
  <c r="AG326" i="20"/>
  <c r="EB326" i="20" s="1"/>
  <c r="AT331" i="20"/>
  <c r="AB302" i="20"/>
  <c r="BG302" i="20" s="1"/>
  <c r="BP302" i="20" s="1"/>
  <c r="P366" i="20"/>
  <c r="BN366" i="20" s="1"/>
  <c r="CW366" i="20" s="1"/>
  <c r="AG314" i="20"/>
  <c r="BQ314" i="20" s="1"/>
  <c r="CI278" i="20"/>
  <c r="AB434" i="20"/>
  <c r="BG434" i="20" s="1"/>
  <c r="BN156" i="20"/>
  <c r="FB149" i="20"/>
  <c r="FC149" i="20" s="1"/>
  <c r="FD149" i="20" s="1"/>
  <c r="GF105" i="20"/>
  <c r="GI105" i="20" s="1"/>
  <c r="AB105" i="20"/>
  <c r="BG105" i="20" s="1"/>
  <c r="BZ53" i="20"/>
  <c r="EH53" i="20" s="1"/>
  <c r="EJ53" i="20" s="1"/>
  <c r="EO53" i="20" s="1"/>
  <c r="BF260" i="20"/>
  <c r="CU260" i="20" s="1"/>
  <c r="AT356" i="20"/>
  <c r="AT436" i="20"/>
  <c r="BT28" i="20"/>
  <c r="BV28" i="20" s="1"/>
  <c r="BF360" i="20"/>
  <c r="CU360" i="20" s="1"/>
  <c r="DI360" i="20" s="1"/>
  <c r="BJ157" i="20"/>
  <c r="P260" i="20"/>
  <c r="BN260" i="20" s="1"/>
  <c r="CW260" i="20" s="1"/>
  <c r="BZ188" i="20"/>
  <c r="EH188" i="20" s="1"/>
  <c r="EJ188" i="20" s="1"/>
  <c r="EO188" i="20" s="1"/>
  <c r="CI440" i="20"/>
  <c r="CJ440" i="20" s="1"/>
  <c r="CQ440" i="20" s="1"/>
  <c r="BJ405" i="20"/>
  <c r="BZ413" i="20"/>
  <c r="EH413" i="20" s="1"/>
  <c r="EJ413" i="20" s="1"/>
  <c r="P344" i="20"/>
  <c r="BN344" i="20" s="1"/>
  <c r="CW344" i="20" s="1"/>
  <c r="BJ324" i="20"/>
  <c r="BZ376" i="20"/>
  <c r="EH376" i="20" s="1"/>
  <c r="EJ376" i="20" s="1"/>
  <c r="AG376" i="20"/>
  <c r="BQ376" i="20" s="1"/>
  <c r="AR456" i="20"/>
  <c r="EP383" i="20"/>
  <c r="DU383" i="20" s="1"/>
  <c r="ET225" i="20"/>
  <c r="ES225" i="20" s="1"/>
  <c r="AG429" i="20"/>
  <c r="BQ429" i="20" s="1"/>
  <c r="GG434" i="20"/>
  <c r="GI434" i="20" s="1"/>
  <c r="DA434" i="20" s="1"/>
  <c r="S109" i="20"/>
  <c r="CI109" i="20" s="1"/>
  <c r="BS53" i="20"/>
  <c r="BU53" i="20" s="1"/>
  <c r="AG329" i="20"/>
  <c r="ET433" i="20"/>
  <c r="ES433" i="20" s="1"/>
  <c r="CJ138" i="20"/>
  <c r="CQ138" i="20" s="1"/>
  <c r="CS138" i="20" s="1"/>
  <c r="CX138" i="20" s="1"/>
  <c r="FR138" i="20" s="1"/>
  <c r="P436" i="20"/>
  <c r="BM105" i="20"/>
  <c r="BN105" i="20" s="1"/>
  <c r="ET57" i="20"/>
  <c r="ES57" i="20" s="1"/>
  <c r="FB57" i="20" s="1"/>
  <c r="FC57" i="20" s="1"/>
  <c r="FD57" i="20" s="1"/>
  <c r="AR392" i="20"/>
  <c r="AG315" i="20"/>
  <c r="AR452" i="20"/>
  <c r="CI245" i="20"/>
  <c r="BZ434" i="20"/>
  <c r="EH434" i="20" s="1"/>
  <c r="EJ434" i="20" s="1"/>
  <c r="AB456" i="20"/>
  <c r="BG456" i="20" s="1"/>
  <c r="BP456" i="20" s="1"/>
  <c r="DQ183" i="20"/>
  <c r="AV105" i="20"/>
  <c r="AV53" i="20"/>
  <c r="EM105" i="20"/>
  <c r="CI53" i="20"/>
  <c r="CJ53" i="20" s="1"/>
  <c r="CQ53" i="20" s="1"/>
  <c r="CS53" i="20" s="1"/>
  <c r="CX53" i="20" s="1"/>
  <c r="DE53" i="20" s="1"/>
  <c r="FB61" i="20"/>
  <c r="FC61" i="20" s="1"/>
  <c r="FD61" i="20" s="1"/>
  <c r="CH370" i="20"/>
  <c r="U436" i="20"/>
  <c r="T436" i="20" s="1"/>
  <c r="AG438" i="20"/>
  <c r="BQ438" i="20" s="1"/>
  <c r="FB480" i="20"/>
  <c r="FC480" i="20" s="1"/>
  <c r="FD480" i="20" s="1"/>
  <c r="BZ210" i="20"/>
  <c r="EH210" i="20" s="1"/>
  <c r="EJ210" i="20" s="1"/>
  <c r="AT440" i="20"/>
  <c r="AB370" i="20"/>
  <c r="BG370" i="20" s="1"/>
  <c r="BH370" i="20" s="1"/>
  <c r="AT296" i="20"/>
  <c r="GG390" i="20"/>
  <c r="GI390" i="20" s="1"/>
  <c r="DA390" i="20" s="1"/>
  <c r="FQ390" i="20" s="1"/>
  <c r="BZ313" i="20"/>
  <c r="EH313" i="20" s="1"/>
  <c r="EJ313" i="20" s="1"/>
  <c r="EP313" i="20" s="1"/>
  <c r="DU313" i="20" s="1"/>
  <c r="BZ343" i="20"/>
  <c r="EH343" i="20" s="1"/>
  <c r="EJ343" i="20" s="1"/>
  <c r="P324" i="20"/>
  <c r="BN324" i="20" s="1"/>
  <c r="CW324" i="20" s="1"/>
  <c r="AT434" i="20"/>
  <c r="ET173" i="20"/>
  <c r="ES173" i="20" s="1"/>
  <c r="FB173" i="20" s="1"/>
  <c r="FC173" i="20" s="1"/>
  <c r="FD173" i="20" s="1"/>
  <c r="CJ298" i="20"/>
  <c r="CQ298" i="20" s="1"/>
  <c r="BC396" i="20"/>
  <c r="GI144" i="20"/>
  <c r="DA144" i="20" s="1"/>
  <c r="DL144" i="20" s="1"/>
  <c r="AG74" i="20"/>
  <c r="EB74" i="20" s="1"/>
  <c r="FG74" i="20"/>
  <c r="FH74" i="20" s="1"/>
  <c r="GF53" i="20"/>
  <c r="GI53" i="20" s="1"/>
  <c r="DA53" i="20" s="1"/>
  <c r="FQ53" i="20" s="1"/>
  <c r="EP57" i="20"/>
  <c r="DU57" i="20" s="1"/>
  <c r="DR49" i="20"/>
  <c r="FG49" i="20" s="1"/>
  <c r="FH49" i="20" s="1"/>
  <c r="BU25" i="20"/>
  <c r="BW25" i="20" s="1"/>
  <c r="BX25" i="20" s="1"/>
  <c r="EQ25" i="20" s="1"/>
  <c r="AB406" i="20"/>
  <c r="BG406" i="20" s="1"/>
  <c r="BH406" i="20" s="1"/>
  <c r="BB455" i="20"/>
  <c r="EC455" i="20" s="1"/>
  <c r="AT392" i="20"/>
  <c r="AB440" i="20"/>
  <c r="CJ143" i="20"/>
  <c r="CI188" i="20"/>
  <c r="BH502" i="20"/>
  <c r="EC502" i="20" s="1"/>
  <c r="BK493" i="20"/>
  <c r="BH485" i="20"/>
  <c r="BK485" i="20" s="1"/>
  <c r="BJ243" i="20"/>
  <c r="CI210" i="20"/>
  <c r="CJ210" i="20" s="1"/>
  <c r="CQ210" i="20" s="1"/>
  <c r="AG328" i="20"/>
  <c r="EB328" i="20" s="1"/>
  <c r="GG322" i="20"/>
  <c r="GI322" i="20" s="1"/>
  <c r="DA322" i="20" s="1"/>
  <c r="DL322" i="20" s="1"/>
  <c r="GG374" i="20"/>
  <c r="GI374" i="20" s="1"/>
  <c r="DA374" i="20" s="1"/>
  <c r="FQ374" i="20" s="1"/>
  <c r="BZ296" i="20"/>
  <c r="EH296" i="20" s="1"/>
  <c r="EJ296" i="20" s="1"/>
  <c r="EO296" i="20" s="1"/>
  <c r="CI343" i="20"/>
  <c r="DQ324" i="20"/>
  <c r="FB324" i="20" s="1"/>
  <c r="FC324" i="20" s="1"/>
  <c r="FD324" i="20" s="1"/>
  <c r="GG278" i="20"/>
  <c r="GI278" i="20" s="1"/>
  <c r="DA278" i="20" s="1"/>
  <c r="FQ278" i="20" s="1"/>
  <c r="CI455" i="20"/>
  <c r="DQ157" i="20"/>
  <c r="FB157" i="20" s="1"/>
  <c r="FC157" i="20" s="1"/>
  <c r="FD157" i="20" s="1"/>
  <c r="BG204" i="20"/>
  <c r="BH204" i="20" s="1"/>
  <c r="AT74" i="20"/>
  <c r="P49" i="20"/>
  <c r="BN49" i="20" s="1"/>
  <c r="AT455" i="20"/>
  <c r="AG367" i="20"/>
  <c r="GI33" i="20"/>
  <c r="CJ126" i="20"/>
  <c r="EJ415" i="20"/>
  <c r="EO415" i="20" s="1"/>
  <c r="EC493" i="20"/>
  <c r="GG412" i="20"/>
  <c r="GI412" i="20" s="1"/>
  <c r="DA412" i="20" s="1"/>
  <c r="DL412" i="20" s="1"/>
  <c r="AT370" i="20"/>
  <c r="AG500" i="20"/>
  <c r="BQ500" i="20" s="1"/>
  <c r="GG188" i="20"/>
  <c r="GI188" i="20" s="1"/>
  <c r="DA188" i="20" s="1"/>
  <c r="FQ188" i="20" s="1"/>
  <c r="AB210" i="20"/>
  <c r="BG210" i="20" s="1"/>
  <c r="BP210" i="20" s="1"/>
  <c r="DQ344" i="20"/>
  <c r="FB344" i="20" s="1"/>
  <c r="FC344" i="20" s="1"/>
  <c r="FD344" i="20" s="1"/>
  <c r="CH296" i="20"/>
  <c r="AT390" i="20"/>
  <c r="AB390" i="20"/>
  <c r="BG390" i="20" s="1"/>
  <c r="CH343" i="20"/>
  <c r="GG392" i="20"/>
  <c r="GI392" i="20" s="1"/>
  <c r="DA392" i="20" s="1"/>
  <c r="FQ392" i="20" s="1"/>
  <c r="DQ436" i="20"/>
  <c r="P157" i="20"/>
  <c r="GI298" i="20"/>
  <c r="DA298" i="20" s="1"/>
  <c r="DL298" i="20" s="1"/>
  <c r="BQ173" i="20"/>
  <c r="AT152" i="20"/>
  <c r="BG119" i="20"/>
  <c r="BH119" i="20" s="1"/>
  <c r="CJ120" i="20"/>
  <c r="BG92" i="20"/>
  <c r="BH92" i="20" s="1"/>
  <c r="BJ49" i="20"/>
  <c r="BK49" i="20" s="1"/>
  <c r="DC69" i="20"/>
  <c r="GI25" i="20"/>
  <c r="BG155" i="20"/>
  <c r="BP155" i="20" s="1"/>
  <c r="BR155" i="20" s="1"/>
  <c r="AB455" i="20"/>
  <c r="BG455" i="20" s="1"/>
  <c r="BP455" i="20" s="1"/>
  <c r="BJ133" i="20"/>
  <c r="CQ497" i="20"/>
  <c r="CS497" i="20" s="1"/>
  <c r="AG285" i="20"/>
  <c r="BQ285" i="20" s="1"/>
  <c r="AG247" i="20"/>
  <c r="BQ247" i="20" s="1"/>
  <c r="GG296" i="20"/>
  <c r="GI296" i="20" s="1"/>
  <c r="DA296" i="20" s="1"/>
  <c r="DF296" i="20" s="1"/>
  <c r="BZ390" i="20"/>
  <c r="EH390" i="20" s="1"/>
  <c r="EJ390" i="20" s="1"/>
  <c r="EP390" i="20" s="1"/>
  <c r="DU390" i="20" s="1"/>
  <c r="BZ278" i="20"/>
  <c r="EH278" i="20" s="1"/>
  <c r="EJ278" i="20" s="1"/>
  <c r="BJ434" i="20"/>
  <c r="AB392" i="20"/>
  <c r="BG392" i="20" s="1"/>
  <c r="BH392" i="20" s="1"/>
  <c r="BF436" i="20"/>
  <c r="CU436" i="20" s="1"/>
  <c r="FO436" i="20" s="1"/>
  <c r="EP155" i="20"/>
  <c r="BF298" i="20"/>
  <c r="CU298" i="20" s="1"/>
  <c r="DI298" i="20" s="1"/>
  <c r="BF133" i="20"/>
  <c r="CU133" i="20" s="1"/>
  <c r="FO133" i="20" s="1"/>
  <c r="FB66" i="20"/>
  <c r="FC66" i="20" s="1"/>
  <c r="FD66" i="20" s="1"/>
  <c r="CJ24" i="20"/>
  <c r="CQ24" i="20" s="1"/>
  <c r="CS24" i="20" s="1"/>
  <c r="AG245" i="20"/>
  <c r="CI392" i="20"/>
  <c r="EP162" i="20"/>
  <c r="DU162" i="20" s="1"/>
  <c r="EB222" i="20"/>
  <c r="BQ222" i="20"/>
  <c r="BR222" i="20" s="1"/>
  <c r="BH164" i="20"/>
  <c r="BK164" i="20" s="1"/>
  <c r="BP164" i="20"/>
  <c r="BR164" i="20" s="1"/>
  <c r="DL152" i="20"/>
  <c r="FQ152" i="20"/>
  <c r="AT429" i="20"/>
  <c r="FG59" i="20"/>
  <c r="FH59" i="20" s="1"/>
  <c r="GI146" i="20"/>
  <c r="DA146" i="20" s="1"/>
  <c r="FQ146" i="20" s="1"/>
  <c r="BJ219" i="20"/>
  <c r="BG82" i="20"/>
  <c r="BH82" i="20" s="1"/>
  <c r="BK82" i="20" s="1"/>
  <c r="CV82" i="20" s="1"/>
  <c r="BG85" i="20"/>
  <c r="BH85" i="20" s="1"/>
  <c r="BK85" i="20" s="1"/>
  <c r="CV85" i="20" s="1"/>
  <c r="DZ162" i="20"/>
  <c r="BG171" i="20"/>
  <c r="BF172" i="20"/>
  <c r="CU172" i="20" s="1"/>
  <c r="FO172" i="20" s="1"/>
  <c r="BJ298" i="20"/>
  <c r="AT148" i="20"/>
  <c r="BU136" i="20"/>
  <c r="BW136" i="20" s="1"/>
  <c r="AT106" i="20"/>
  <c r="BT66" i="20"/>
  <c r="BV66" i="20" s="1"/>
  <c r="AT66" i="20"/>
  <c r="GI49" i="20"/>
  <c r="CQ38" i="20"/>
  <c r="AB258" i="20"/>
  <c r="BG258" i="20" s="1"/>
  <c r="AG377" i="20"/>
  <c r="GG320" i="20"/>
  <c r="GI320" i="20" s="1"/>
  <c r="DA320" i="20" s="1"/>
  <c r="FQ320" i="20" s="1"/>
  <c r="GI34" i="20"/>
  <c r="DZ155" i="20"/>
  <c r="ET162" i="20"/>
  <c r="ES162" i="20" s="1"/>
  <c r="EU162" i="20" s="1"/>
  <c r="EX162" i="20" s="1"/>
  <c r="EY162" i="20" s="1"/>
  <c r="AT427" i="20"/>
  <c r="AG330" i="20"/>
  <c r="BQ330" i="20" s="1"/>
  <c r="BG148" i="20"/>
  <c r="BH148" i="20" s="1"/>
  <c r="BK148" i="20" s="1"/>
  <c r="CV148" i="20" s="1"/>
  <c r="AB106" i="20"/>
  <c r="BG106" i="20" s="1"/>
  <c r="BH106" i="20" s="1"/>
  <c r="BK106" i="20" s="1"/>
  <c r="BT57" i="20"/>
  <c r="BV57" i="20" s="1"/>
  <c r="FG112" i="20"/>
  <c r="FH112" i="20" s="1"/>
  <c r="BT82" i="20"/>
  <c r="BV82" i="20" s="1"/>
  <c r="AT77" i="20"/>
  <c r="CJ45" i="20"/>
  <c r="CQ45" i="20" s="1"/>
  <c r="CQ32" i="20"/>
  <c r="CS32" i="20" s="1"/>
  <c r="BJ328" i="20"/>
  <c r="AT258" i="20"/>
  <c r="AG180" i="20"/>
  <c r="BC155" i="20"/>
  <c r="BG132" i="20"/>
  <c r="BH132" i="20" s="1"/>
  <c r="ET164" i="20"/>
  <c r="ES164" i="20" s="1"/>
  <c r="FB164" i="20" s="1"/>
  <c r="FC164" i="20" s="1"/>
  <c r="FD164" i="20" s="1"/>
  <c r="AG271" i="20"/>
  <c r="BQ271" i="20" s="1"/>
  <c r="AT178" i="20"/>
  <c r="P298" i="20"/>
  <c r="BN298" i="20" s="1"/>
  <c r="CW298" i="20" s="1"/>
  <c r="GI141" i="20"/>
  <c r="DA141" i="20" s="1"/>
  <c r="DL141" i="20" s="1"/>
  <c r="AT132" i="20"/>
  <c r="BU139" i="20"/>
  <c r="BW139" i="20" s="1"/>
  <c r="CJ131" i="20"/>
  <c r="P219" i="20"/>
  <c r="BG195" i="20"/>
  <c r="BP195" i="20" s="1"/>
  <c r="GG400" i="20"/>
  <c r="GI400" i="20" s="1"/>
  <c r="DA400" i="20" s="1"/>
  <c r="GG252" i="20"/>
  <c r="GI252" i="20" s="1"/>
  <c r="DA252" i="20" s="1"/>
  <c r="CP325" i="20"/>
  <c r="AG391" i="20"/>
  <c r="BQ391" i="20" s="1"/>
  <c r="CH158" i="20"/>
  <c r="CJ158" i="20" s="1"/>
  <c r="CQ158" i="20" s="1"/>
  <c r="CS158" i="20" s="1"/>
  <c r="EP158" i="20"/>
  <c r="DU158" i="20" s="1"/>
  <c r="DZ164" i="20"/>
  <c r="AT130" i="20"/>
  <c r="BG133" i="20"/>
  <c r="BH133" i="20" s="1"/>
  <c r="FG70" i="20"/>
  <c r="FH70" i="20" s="1"/>
  <c r="BN51" i="20"/>
  <c r="CJ39" i="20"/>
  <c r="CQ39" i="20" s="1"/>
  <c r="BN472" i="20"/>
  <c r="BF219" i="20"/>
  <c r="BT122" i="20"/>
  <c r="BV122" i="20" s="1"/>
  <c r="FG84" i="20"/>
  <c r="FH84" i="20" s="1"/>
  <c r="BJ279" i="20"/>
  <c r="AB250" i="20"/>
  <c r="BG250" i="20" s="1"/>
  <c r="BH250" i="20" s="1"/>
  <c r="BU75" i="20"/>
  <c r="BW75" i="20" s="1"/>
  <c r="BX75" i="20" s="1"/>
  <c r="EQ75" i="20" s="1"/>
  <c r="GI48" i="20"/>
  <c r="AT75" i="20"/>
  <c r="ET222" i="20"/>
  <c r="ES222" i="20" s="1"/>
  <c r="GG337" i="20"/>
  <c r="GI337" i="20" s="1"/>
  <c r="DA337" i="20" s="1"/>
  <c r="DL337" i="20" s="1"/>
  <c r="AG236" i="20"/>
  <c r="BQ236" i="20" s="1"/>
  <c r="CJ169" i="20"/>
  <c r="EP156" i="20"/>
  <c r="DU156" i="20" s="1"/>
  <c r="BG150" i="20"/>
  <c r="BH150" i="20" s="1"/>
  <c r="CJ124" i="20"/>
  <c r="BJ36" i="20"/>
  <c r="BK36" i="20" s="1"/>
  <c r="BJ196" i="20"/>
  <c r="AG365" i="20"/>
  <c r="DZ154" i="20"/>
  <c r="BR496" i="20"/>
  <c r="BJ259" i="20"/>
  <c r="CQ499" i="20"/>
  <c r="CS499" i="20" s="1"/>
  <c r="AB328" i="20"/>
  <c r="BG328" i="20" s="1"/>
  <c r="BH328" i="20" s="1"/>
  <c r="GG410" i="20"/>
  <c r="GI410" i="20" s="1"/>
  <c r="DA410" i="20" s="1"/>
  <c r="AT439" i="20"/>
  <c r="AT175" i="20"/>
  <c r="EO81" i="20"/>
  <c r="BF151" i="20"/>
  <c r="CU151" i="20" s="1"/>
  <c r="DI151" i="20" s="1"/>
  <c r="CI391" i="20"/>
  <c r="CQ478" i="20"/>
  <c r="CS478" i="20" s="1"/>
  <c r="CQ481" i="20"/>
  <c r="CS481" i="20" s="1"/>
  <c r="EC487" i="20"/>
  <c r="BC20" i="20"/>
  <c r="BR237" i="20"/>
  <c r="BJ453" i="20"/>
  <c r="AB371" i="20"/>
  <c r="BG371" i="20" s="1"/>
  <c r="BP371" i="20" s="1"/>
  <c r="CJ149" i="20"/>
  <c r="DR151" i="20"/>
  <c r="FG151" i="20" s="1"/>
  <c r="FH151" i="20" s="1"/>
  <c r="CJ130" i="20"/>
  <c r="CQ130" i="20" s="1"/>
  <c r="CS130" i="20" s="1"/>
  <c r="CX130" i="20" s="1"/>
  <c r="GI227" i="20"/>
  <c r="DA227" i="20" s="1"/>
  <c r="FQ227" i="20" s="1"/>
  <c r="EO90" i="20"/>
  <c r="FG33" i="20"/>
  <c r="FH33" i="20" s="1"/>
  <c r="AG313" i="20"/>
  <c r="BG181" i="20"/>
  <c r="BH181" i="20" s="1"/>
  <c r="BK181" i="20" s="1"/>
  <c r="CV181" i="20" s="1"/>
  <c r="CQ29" i="20"/>
  <c r="CJ382" i="20"/>
  <c r="CM393" i="20"/>
  <c r="BN193" i="20"/>
  <c r="CW193" i="20" s="1"/>
  <c r="BG126" i="20"/>
  <c r="BH126" i="20" s="1"/>
  <c r="GG328" i="20"/>
  <c r="GI328" i="20" s="1"/>
  <c r="DA328" i="20" s="1"/>
  <c r="FQ328" i="20" s="1"/>
  <c r="BG149" i="20"/>
  <c r="BH149" i="20" s="1"/>
  <c r="FB84" i="20"/>
  <c r="FC84" i="20" s="1"/>
  <c r="FD84" i="20" s="1"/>
  <c r="CQ49" i="20"/>
  <c r="BC158" i="20"/>
  <c r="GG279" i="20"/>
  <c r="GI279" i="20" s="1"/>
  <c r="DA279" i="20" s="1"/>
  <c r="DL279" i="20" s="1"/>
  <c r="BG127" i="20"/>
  <c r="BH127" i="20" s="1"/>
  <c r="CJ219" i="20"/>
  <c r="AB391" i="20"/>
  <c r="BG391" i="20" s="1"/>
  <c r="BH391" i="20" s="1"/>
  <c r="AG185" i="20"/>
  <c r="GI147" i="20"/>
  <c r="DA147" i="20" s="1"/>
  <c r="FQ147" i="20" s="1"/>
  <c r="EO74" i="20"/>
  <c r="DZ156" i="20"/>
  <c r="DI179" i="20"/>
  <c r="FO179" i="20"/>
  <c r="BH304" i="20"/>
  <c r="BP304" i="20"/>
  <c r="AB345" i="20"/>
  <c r="BG345" i="20" s="1"/>
  <c r="BP345" i="20" s="1"/>
  <c r="CI345" i="20"/>
  <c r="CI424" i="20"/>
  <c r="P445" i="20"/>
  <c r="BN445" i="20" s="1"/>
  <c r="CW445" i="20" s="1"/>
  <c r="AT413" i="20"/>
  <c r="BJ420" i="20"/>
  <c r="AT282" i="20"/>
  <c r="AT313" i="20"/>
  <c r="CH313" i="20"/>
  <c r="CI419" i="20"/>
  <c r="AT302" i="20"/>
  <c r="BZ302" i="20"/>
  <c r="EH302" i="20" s="1"/>
  <c r="EJ302" i="20" s="1"/>
  <c r="BF316" i="20"/>
  <c r="CU316" i="20" s="1"/>
  <c r="DC316" i="20" s="1"/>
  <c r="BN180" i="20"/>
  <c r="CW180" i="20" s="1"/>
  <c r="ET384" i="20"/>
  <c r="ES384" i="20" s="1"/>
  <c r="BH233" i="20"/>
  <c r="P176" i="20"/>
  <c r="AT71" i="20"/>
  <c r="BK51" i="20"/>
  <c r="CJ182" i="20"/>
  <c r="CQ182" i="20" s="1"/>
  <c r="BF215" i="20"/>
  <c r="CU215" i="20" s="1"/>
  <c r="CJ82" i="20"/>
  <c r="CQ82" i="20" s="1"/>
  <c r="CS82" i="20" s="1"/>
  <c r="CX82" i="20" s="1"/>
  <c r="FR82" i="20" s="1"/>
  <c r="BJ258" i="20"/>
  <c r="CQ479" i="20"/>
  <c r="CS479" i="20" s="1"/>
  <c r="GG191" i="20"/>
  <c r="GI191" i="20" s="1"/>
  <c r="DA191" i="20" s="1"/>
  <c r="CI234" i="20"/>
  <c r="BJ336" i="20"/>
  <c r="AB428" i="20"/>
  <c r="BG428" i="20" s="1"/>
  <c r="GG428" i="20"/>
  <c r="GI428" i="20" s="1"/>
  <c r="DA428" i="20" s="1"/>
  <c r="FQ428" i="20" s="1"/>
  <c r="GG290" i="20"/>
  <c r="GI290" i="20" s="1"/>
  <c r="DA290" i="20" s="1"/>
  <c r="FQ290" i="20" s="1"/>
  <c r="DQ445" i="20"/>
  <c r="FB445" i="20" s="1"/>
  <c r="FC445" i="20" s="1"/>
  <c r="FD445" i="20" s="1"/>
  <c r="CI413" i="20"/>
  <c r="EB400" i="20"/>
  <c r="AT347" i="20"/>
  <c r="CH367" i="20"/>
  <c r="CJ367" i="20" s="1"/>
  <c r="BZ282" i="20"/>
  <c r="EH282" i="20" s="1"/>
  <c r="EJ282" i="20" s="1"/>
  <c r="BZ367" i="20"/>
  <c r="EH367" i="20" s="1"/>
  <c r="EJ367" i="20" s="1"/>
  <c r="EO367" i="20" s="1"/>
  <c r="DQ420" i="20"/>
  <c r="FB420" i="20" s="1"/>
  <c r="FC420" i="20" s="1"/>
  <c r="FD420" i="20" s="1"/>
  <c r="BF258" i="20"/>
  <c r="CU258" i="20" s="1"/>
  <c r="FO258" i="20" s="1"/>
  <c r="P258" i="20"/>
  <c r="CI313" i="20"/>
  <c r="CH302" i="20"/>
  <c r="CJ303" i="20"/>
  <c r="CJ171" i="20"/>
  <c r="BF176" i="20"/>
  <c r="CU176" i="20" s="1"/>
  <c r="FO176" i="20" s="1"/>
  <c r="AG299" i="20"/>
  <c r="BQ299" i="20" s="1"/>
  <c r="BC159" i="20"/>
  <c r="AU46" i="20"/>
  <c r="DR28" i="20"/>
  <c r="CM265" i="20"/>
  <c r="BC154" i="20"/>
  <c r="AT59" i="20"/>
  <c r="ET72" i="20"/>
  <c r="ES72" i="20" s="1"/>
  <c r="BK490" i="20"/>
  <c r="GG424" i="20"/>
  <c r="GI424" i="20" s="1"/>
  <c r="DA424" i="20" s="1"/>
  <c r="FQ424" i="20" s="1"/>
  <c r="CI428" i="20"/>
  <c r="CJ428" i="20" s="1"/>
  <c r="CQ428" i="20" s="1"/>
  <c r="CS428" i="20" s="1"/>
  <c r="CX428" i="20" s="1"/>
  <c r="AT428" i="20"/>
  <c r="AG417" i="20"/>
  <c r="EB417" i="20" s="1"/>
  <c r="P417" i="20"/>
  <c r="BN417" i="20" s="1"/>
  <c r="CW417" i="20" s="1"/>
  <c r="CH413" i="20"/>
  <c r="AT416" i="20"/>
  <c r="BN355" i="20"/>
  <c r="CW355" i="20" s="1"/>
  <c r="AB282" i="20"/>
  <c r="BG282" i="20" s="1"/>
  <c r="BH282" i="20" s="1"/>
  <c r="BK282" i="20" s="1"/>
  <c r="CV282" i="20" s="1"/>
  <c r="BJ265" i="20"/>
  <c r="AB419" i="20"/>
  <c r="BG419" i="20" s="1"/>
  <c r="BH419" i="20" s="1"/>
  <c r="BZ347" i="20"/>
  <c r="EH347" i="20" s="1"/>
  <c r="EJ347" i="20" s="1"/>
  <c r="AB395" i="20"/>
  <c r="BG395" i="20" s="1"/>
  <c r="AB330" i="20"/>
  <c r="BG330" i="20" s="1"/>
  <c r="CH330" i="20"/>
  <c r="GI180" i="20"/>
  <c r="DA180" i="20" s="1"/>
  <c r="FQ180" i="20" s="1"/>
  <c r="BH237" i="20"/>
  <c r="BN181" i="20"/>
  <c r="CW181" i="20" s="1"/>
  <c r="FG65" i="20"/>
  <c r="FH65" i="20" s="1"/>
  <c r="BK474" i="20"/>
  <c r="BN172" i="20"/>
  <c r="CW172" i="20" s="1"/>
  <c r="BK492" i="20"/>
  <c r="BK494" i="20"/>
  <c r="DQ244" i="20"/>
  <c r="FB244" i="20" s="1"/>
  <c r="FC244" i="20" s="1"/>
  <c r="FD244" i="20" s="1"/>
  <c r="AT345" i="20"/>
  <c r="BZ428" i="20"/>
  <c r="EH428" i="20" s="1"/>
  <c r="EJ428" i="20" s="1"/>
  <c r="BJ417" i="20"/>
  <c r="DQ417" i="20"/>
  <c r="FB417" i="20" s="1"/>
  <c r="FC417" i="20" s="1"/>
  <c r="FD417" i="20" s="1"/>
  <c r="GG416" i="20"/>
  <c r="GI416" i="20" s="1"/>
  <c r="DA416" i="20" s="1"/>
  <c r="DL416" i="20" s="1"/>
  <c r="GG413" i="20"/>
  <c r="GI413" i="20" s="1"/>
  <c r="DA413" i="20" s="1"/>
  <c r="CI282" i="20"/>
  <c r="CH395" i="20"/>
  <c r="AT367" i="20"/>
  <c r="CH347" i="20"/>
  <c r="GG313" i="20"/>
  <c r="GI313" i="20" s="1"/>
  <c r="DA313" i="20" s="1"/>
  <c r="GG330" i="20"/>
  <c r="GI330" i="20" s="1"/>
  <c r="DA330" i="20" s="1"/>
  <c r="DF330" i="20" s="1"/>
  <c r="EP233" i="20"/>
  <c r="DU233" i="20" s="1"/>
  <c r="BQ193" i="20"/>
  <c r="BG116" i="20"/>
  <c r="BH116" i="20" s="1"/>
  <c r="CJ114" i="20"/>
  <c r="CQ114" i="20" s="1"/>
  <c r="CS114" i="20" s="1"/>
  <c r="CX114" i="20" s="1"/>
  <c r="FR114" i="20" s="1"/>
  <c r="FG88" i="20"/>
  <c r="FH88" i="20" s="1"/>
  <c r="FG66" i="20"/>
  <c r="FH66" i="20" s="1"/>
  <c r="BF126" i="20"/>
  <c r="CU126" i="20" s="1"/>
  <c r="FO126" i="20" s="1"/>
  <c r="DC58" i="20"/>
  <c r="EC476" i="20"/>
  <c r="EC500" i="20"/>
  <c r="EU500" i="20" s="1"/>
  <c r="EX500" i="20" s="1"/>
  <c r="EY500" i="20" s="1"/>
  <c r="DV500" i="20" s="1"/>
  <c r="AB367" i="20"/>
  <c r="BG367" i="20" s="1"/>
  <c r="BP367" i="20" s="1"/>
  <c r="AR430" i="20"/>
  <c r="BJ124" i="20"/>
  <c r="CJ122" i="20"/>
  <c r="BK500" i="20"/>
  <c r="BP487" i="20"/>
  <c r="BK483" i="20"/>
  <c r="BF244" i="20"/>
  <c r="CU244" i="20" s="1"/>
  <c r="DI244" i="20" s="1"/>
  <c r="AB234" i="20"/>
  <c r="BG234" i="20" s="1"/>
  <c r="BH234" i="20" s="1"/>
  <c r="CH416" i="20"/>
  <c r="CJ416" i="20" s="1"/>
  <c r="CQ416" i="20" s="1"/>
  <c r="GG347" i="20"/>
  <c r="GI347" i="20" s="1"/>
  <c r="DA347" i="20" s="1"/>
  <c r="FQ347" i="20" s="1"/>
  <c r="AT395" i="20"/>
  <c r="P356" i="20"/>
  <c r="AG266" i="20"/>
  <c r="EB266" i="20" s="1"/>
  <c r="GG419" i="20"/>
  <c r="GI419" i="20" s="1"/>
  <c r="DA419" i="20" s="1"/>
  <c r="DQ316" i="20"/>
  <c r="FB316" i="20" s="1"/>
  <c r="FC316" i="20" s="1"/>
  <c r="FD316" i="20" s="1"/>
  <c r="AT330" i="20"/>
  <c r="EB269" i="20"/>
  <c r="CJ161" i="20"/>
  <c r="CQ161" i="20" s="1"/>
  <c r="BF173" i="20"/>
  <c r="CU173" i="20" s="1"/>
  <c r="FO173" i="20" s="1"/>
  <c r="CJ297" i="20"/>
  <c r="CQ297" i="20" s="1"/>
  <c r="AG97" i="20"/>
  <c r="EB97" i="20" s="1"/>
  <c r="BG115" i="20"/>
  <c r="BH115" i="20" s="1"/>
  <c r="BT74" i="20"/>
  <c r="BV74" i="20" s="1"/>
  <c r="GI114" i="20"/>
  <c r="DA114" i="20" s="1"/>
  <c r="DF114" i="20" s="1"/>
  <c r="EV53" i="20"/>
  <c r="BJ28" i="20"/>
  <c r="BK28" i="20" s="1"/>
  <c r="CQ486" i="20"/>
  <c r="CS486" i="20" s="1"/>
  <c r="BQ331" i="20"/>
  <c r="DQ215" i="20"/>
  <c r="AU103" i="20"/>
  <c r="AG320" i="20"/>
  <c r="BJ249" i="20"/>
  <c r="BK487" i="20"/>
  <c r="GG340" i="20"/>
  <c r="GI340" i="20" s="1"/>
  <c r="DA340" i="20" s="1"/>
  <c r="DL340" i="20" s="1"/>
  <c r="DQ234" i="20"/>
  <c r="FB234" i="20" s="1"/>
  <c r="FC234" i="20" s="1"/>
  <c r="FD234" i="20" s="1"/>
  <c r="AB340" i="20"/>
  <c r="BG340" i="20" s="1"/>
  <c r="BJ322" i="20"/>
  <c r="AT270" i="20"/>
  <c r="GG345" i="20"/>
  <c r="GI345" i="20" s="1"/>
  <c r="DA345" i="20" s="1"/>
  <c r="BQ428" i="20"/>
  <c r="CH424" i="20"/>
  <c r="AB416" i="20"/>
  <c r="BG416" i="20" s="1"/>
  <c r="AG344" i="20"/>
  <c r="BQ344" i="20" s="1"/>
  <c r="BZ416" i="20"/>
  <c r="EH416" i="20" s="1"/>
  <c r="EJ416" i="20" s="1"/>
  <c r="EO416" i="20" s="1"/>
  <c r="CI395" i="20"/>
  <c r="BJ419" i="20"/>
  <c r="BJ356" i="20"/>
  <c r="CH419" i="20"/>
  <c r="AG327" i="20"/>
  <c r="EB327" i="20" s="1"/>
  <c r="BJ316" i="20"/>
  <c r="CI330" i="20"/>
  <c r="BG180" i="20"/>
  <c r="BH180" i="20" s="1"/>
  <c r="CJ224" i="20"/>
  <c r="CQ224" i="20" s="1"/>
  <c r="P173" i="20"/>
  <c r="BN173" i="20" s="1"/>
  <c r="CW173" i="20" s="1"/>
  <c r="BF124" i="20"/>
  <c r="CU124" i="20" s="1"/>
  <c r="FO124" i="20" s="1"/>
  <c r="AT127" i="20"/>
  <c r="AG107" i="20"/>
  <c r="W107" i="20" s="1"/>
  <c r="FG92" i="20"/>
  <c r="FH92" i="20" s="1"/>
  <c r="CJ46" i="20"/>
  <c r="CQ46" i="20" s="1"/>
  <c r="CJ50" i="20"/>
  <c r="CQ50" i="20" s="1"/>
  <c r="GG282" i="20"/>
  <c r="GI282" i="20" s="1"/>
  <c r="DA282" i="20" s="1"/>
  <c r="DL282" i="20" s="1"/>
  <c r="BJ244" i="20"/>
  <c r="GG234" i="20"/>
  <c r="GI234" i="20" s="1"/>
  <c r="DA234" i="20" s="1"/>
  <c r="FQ234" i="20" s="1"/>
  <c r="BF234" i="20"/>
  <c r="CU234" i="20" s="1"/>
  <c r="FO234" i="20" s="1"/>
  <c r="AB424" i="20"/>
  <c r="BG424" i="20" s="1"/>
  <c r="BZ345" i="20"/>
  <c r="EH345" i="20" s="1"/>
  <c r="EJ345" i="20" s="1"/>
  <c r="AT424" i="20"/>
  <c r="AG441" i="20"/>
  <c r="EB441" i="20" s="1"/>
  <c r="AB246" i="20"/>
  <c r="BG246" i="20" s="1"/>
  <c r="DQ356" i="20"/>
  <c r="FB356" i="20" s="1"/>
  <c r="FC356" i="20" s="1"/>
  <c r="FD356" i="20" s="1"/>
  <c r="AT419" i="20"/>
  <c r="CI302" i="20"/>
  <c r="BG161" i="20"/>
  <c r="BH161" i="20" s="1"/>
  <c r="ET193" i="20"/>
  <c r="ES193" i="20" s="1"/>
  <c r="EU193" i="20" s="1"/>
  <c r="EX193" i="20" s="1"/>
  <c r="EY193" i="20" s="1"/>
  <c r="BG159" i="20"/>
  <c r="BH159" i="20" s="1"/>
  <c r="BG57" i="20"/>
  <c r="BH57" i="20" s="1"/>
  <c r="EP66" i="20"/>
  <c r="DU66" i="20" s="1"/>
  <c r="AG406" i="20"/>
  <c r="EB406" i="20" s="1"/>
  <c r="BC156" i="20"/>
  <c r="BF28" i="20"/>
  <c r="FB65" i="20"/>
  <c r="FC65" i="20" s="1"/>
  <c r="FD65" i="20" s="1"/>
  <c r="BH477" i="20"/>
  <c r="BK477" i="20" s="1"/>
  <c r="BZ187" i="20"/>
  <c r="EH187" i="20" s="1"/>
  <c r="EJ187" i="20" s="1"/>
  <c r="EO187" i="20" s="1"/>
  <c r="CM243" i="20"/>
  <c r="EJ335" i="20"/>
  <c r="EO335" i="20" s="1"/>
  <c r="GG393" i="20"/>
  <c r="GI393" i="20" s="1"/>
  <c r="DA393" i="20" s="1"/>
  <c r="FQ393" i="20" s="1"/>
  <c r="GG321" i="20"/>
  <c r="GI321" i="20" s="1"/>
  <c r="DA321" i="20" s="1"/>
  <c r="DL321" i="20" s="1"/>
  <c r="AG286" i="20"/>
  <c r="BQ286" i="20" s="1"/>
  <c r="AR435" i="20"/>
  <c r="AT174" i="20"/>
  <c r="DQ169" i="20"/>
  <c r="FB169" i="20" s="1"/>
  <c r="FC169" i="20" s="1"/>
  <c r="FD169" i="20" s="1"/>
  <c r="AT114" i="20"/>
  <c r="FG123" i="20"/>
  <c r="FH123" i="20" s="1"/>
  <c r="BT77" i="20"/>
  <c r="BV77" i="20" s="1"/>
  <c r="AT73" i="20"/>
  <c r="AT58" i="20"/>
  <c r="BZ101" i="20"/>
  <c r="EH101" i="20" s="1"/>
  <c r="EJ101" i="20" s="1"/>
  <c r="EP101" i="20" s="1"/>
  <c r="DU101" i="20" s="1"/>
  <c r="BK45" i="20"/>
  <c r="AG361" i="20"/>
  <c r="BC160" i="20"/>
  <c r="BW24" i="20"/>
  <c r="BX24" i="20" s="1"/>
  <c r="EQ24" i="20" s="1"/>
  <c r="BG93" i="20"/>
  <c r="BH93" i="20" s="1"/>
  <c r="BK93" i="20" s="1"/>
  <c r="CV93" i="20" s="1"/>
  <c r="CJ123" i="20"/>
  <c r="CQ123" i="20" s="1"/>
  <c r="CS123" i="20" s="1"/>
  <c r="CX123" i="20" s="1"/>
  <c r="BG64" i="20"/>
  <c r="BH64" i="20" s="1"/>
  <c r="BK64" i="20" s="1"/>
  <c r="CJ36" i="20"/>
  <c r="ET175" i="20"/>
  <c r="ES175" i="20" s="1"/>
  <c r="FB175" i="20" s="1"/>
  <c r="FC175" i="20" s="1"/>
  <c r="FD175" i="20" s="1"/>
  <c r="AG175" i="20"/>
  <c r="BJ215" i="20"/>
  <c r="BF175" i="20"/>
  <c r="CU175" i="20" s="1"/>
  <c r="P175" i="20"/>
  <c r="BN175" i="20" s="1"/>
  <c r="CW175" i="20" s="1"/>
  <c r="AB187" i="20"/>
  <c r="BG187" i="20" s="1"/>
  <c r="BP187" i="20" s="1"/>
  <c r="BG192" i="20"/>
  <c r="BP192" i="20" s="1"/>
  <c r="GG425" i="20"/>
  <c r="GI425" i="20" s="1"/>
  <c r="DA425" i="20" s="1"/>
  <c r="AT339" i="20"/>
  <c r="AT242" i="20"/>
  <c r="EP181" i="20"/>
  <c r="DU181" i="20" s="1"/>
  <c r="EO224" i="20"/>
  <c r="AT92" i="20"/>
  <c r="GG119" i="20"/>
  <c r="GK119" i="20" s="1"/>
  <c r="BJ43" i="20"/>
  <c r="BK43" i="20" s="1"/>
  <c r="AB408" i="20"/>
  <c r="BG408" i="20" s="1"/>
  <c r="BP408" i="20" s="1"/>
  <c r="CJ148" i="20"/>
  <c r="CQ148" i="20" s="1"/>
  <c r="CS148" i="20" s="1"/>
  <c r="CX148" i="20" s="1"/>
  <c r="DK148" i="20" s="1"/>
  <c r="GI140" i="20"/>
  <c r="DA140" i="20" s="1"/>
  <c r="FQ140" i="20" s="1"/>
  <c r="BJ285" i="20"/>
  <c r="BG154" i="20"/>
  <c r="CJ33" i="20"/>
  <c r="CQ33" i="20" s="1"/>
  <c r="BZ211" i="20"/>
  <c r="EH211" i="20" s="1"/>
  <c r="EJ211" i="20" s="1"/>
  <c r="CI211" i="20"/>
  <c r="DR45" i="20"/>
  <c r="BF45" i="20"/>
  <c r="DQ221" i="20"/>
  <c r="FB221" i="20" s="1"/>
  <c r="FC221" i="20" s="1"/>
  <c r="FD221" i="20" s="1"/>
  <c r="P221" i="20"/>
  <c r="CQ22" i="20"/>
  <c r="CS22" i="20" s="1"/>
  <c r="AT268" i="20"/>
  <c r="CQ500" i="20"/>
  <c r="CS500" i="20" s="1"/>
  <c r="EC474" i="20"/>
  <c r="BG190" i="20"/>
  <c r="BH190" i="20" s="1"/>
  <c r="BP303" i="20"/>
  <c r="EO309" i="20"/>
  <c r="AB435" i="20"/>
  <c r="BG435" i="20" s="1"/>
  <c r="BH435" i="20" s="1"/>
  <c r="BJ25" i="20"/>
  <c r="BK25" i="20" s="1"/>
  <c r="BJ29" i="20"/>
  <c r="BK29" i="20" s="1"/>
  <c r="GG243" i="20"/>
  <c r="GI243" i="20" s="1"/>
  <c r="DA243" i="20" s="1"/>
  <c r="EP197" i="20"/>
  <c r="DU197" i="20" s="1"/>
  <c r="AT153" i="20"/>
  <c r="ET116" i="20"/>
  <c r="ES116" i="20" s="1"/>
  <c r="FG116" i="20" s="1"/>
  <c r="FH116" i="20" s="1"/>
  <c r="CJ59" i="20"/>
  <c r="BT67" i="20"/>
  <c r="BV67" i="20" s="1"/>
  <c r="BF24" i="20"/>
  <c r="BP474" i="20"/>
  <c r="AG294" i="20"/>
  <c r="AG250" i="20"/>
  <c r="BJ376" i="20"/>
  <c r="CJ20" i="20"/>
  <c r="BF127" i="20"/>
  <c r="CU127" i="20" s="1"/>
  <c r="DR127" i="20"/>
  <c r="FG127" i="20" s="1"/>
  <c r="FH127" i="20" s="1"/>
  <c r="ET183" i="20"/>
  <c r="ES183" i="20" s="1"/>
  <c r="AG183" i="20"/>
  <c r="P33" i="20"/>
  <c r="BN33" i="20" s="1"/>
  <c r="BF33" i="20"/>
  <c r="CJ300" i="20"/>
  <c r="U450" i="20"/>
  <c r="T450" i="20" s="1"/>
  <c r="P450" i="20"/>
  <c r="BK479" i="20"/>
  <c r="EC482" i="20"/>
  <c r="EU482" i="20" s="1"/>
  <c r="EX482" i="20" s="1"/>
  <c r="EY482" i="20" s="1"/>
  <c r="DV482" i="20" s="1"/>
  <c r="BG378" i="20"/>
  <c r="BP378" i="20" s="1"/>
  <c r="BJ256" i="20"/>
  <c r="AT171" i="20"/>
  <c r="FG122" i="20"/>
  <c r="FH122" i="20" s="1"/>
  <c r="AT138" i="20"/>
  <c r="AG102" i="20"/>
  <c r="EB102" i="20" s="1"/>
  <c r="CJ119" i="20"/>
  <c r="CQ119" i="20" s="1"/>
  <c r="CS119" i="20" s="1"/>
  <c r="CX119" i="20" s="1"/>
  <c r="BG80" i="20"/>
  <c r="BH80" i="20" s="1"/>
  <c r="EP82" i="20"/>
  <c r="DU82" i="20" s="1"/>
  <c r="GG369" i="20"/>
  <c r="GI369" i="20" s="1"/>
  <c r="DA369" i="20" s="1"/>
  <c r="DL369" i="20" s="1"/>
  <c r="CQ51" i="20"/>
  <c r="CS51" i="20" s="1"/>
  <c r="EM79" i="20"/>
  <c r="BF183" i="20"/>
  <c r="CU183" i="20" s="1"/>
  <c r="P183" i="20"/>
  <c r="BN183" i="20" s="1"/>
  <c r="CW183" i="20" s="1"/>
  <c r="BK501" i="20"/>
  <c r="GG184" i="20"/>
  <c r="GI184" i="20" s="1"/>
  <c r="DA184" i="20" s="1"/>
  <c r="FQ184" i="20" s="1"/>
  <c r="AT334" i="20"/>
  <c r="AG442" i="20"/>
  <c r="BQ442" i="20" s="1"/>
  <c r="AG359" i="20"/>
  <c r="BQ359" i="20" s="1"/>
  <c r="GG306" i="20"/>
  <c r="GI306" i="20" s="1"/>
  <c r="DA306" i="20" s="1"/>
  <c r="DL306" i="20" s="1"/>
  <c r="AT297" i="20"/>
  <c r="CJ42" i="20"/>
  <c r="CQ42" i="20" s="1"/>
  <c r="FG140" i="20"/>
  <c r="FH140" i="20" s="1"/>
  <c r="BN162" i="20"/>
  <c r="CJ132" i="20"/>
  <c r="BP476" i="20"/>
  <c r="CI187" i="20"/>
  <c r="CM442" i="20"/>
  <c r="AT337" i="20"/>
  <c r="AB307" i="20"/>
  <c r="BG307" i="20" s="1"/>
  <c r="BH307" i="20" s="1"/>
  <c r="GI206" i="20"/>
  <c r="DA206" i="20" s="1"/>
  <c r="FQ206" i="20" s="1"/>
  <c r="EJ152" i="20"/>
  <c r="BJ145" i="20"/>
  <c r="FG86" i="20"/>
  <c r="FH86" i="20" s="1"/>
  <c r="AT79" i="20"/>
  <c r="DC90" i="20"/>
  <c r="DR24" i="20"/>
  <c r="BJ24" i="20"/>
  <c r="BK24" i="20" s="1"/>
  <c r="AT72" i="20"/>
  <c r="CJ383" i="20"/>
  <c r="AT56" i="20"/>
  <c r="BG130" i="20"/>
  <c r="BH130" i="20" s="1"/>
  <c r="BJ175" i="20"/>
  <c r="ET409" i="20"/>
  <c r="ES409" i="20" s="1"/>
  <c r="AG409" i="20"/>
  <c r="BQ409" i="20" s="1"/>
  <c r="AB325" i="20"/>
  <c r="AT325" i="20"/>
  <c r="DU500" i="20"/>
  <c r="EL500" i="20" s="1"/>
  <c r="BN195" i="20"/>
  <c r="CW195" i="20" s="1"/>
  <c r="EM161" i="20"/>
  <c r="AT161" i="20"/>
  <c r="EC494" i="20"/>
  <c r="EU494" i="20" s="1"/>
  <c r="EX494" i="20" s="1"/>
  <c r="EY494" i="20" s="1"/>
  <c r="DV494" i="20" s="1"/>
  <c r="BP490" i="20"/>
  <c r="BH475" i="20"/>
  <c r="BK475" i="20" s="1"/>
  <c r="AG426" i="20"/>
  <c r="BQ426" i="20" s="1"/>
  <c r="BG407" i="20"/>
  <c r="BH407" i="20" s="1"/>
  <c r="BN401" i="20"/>
  <c r="CW401" i="20" s="1"/>
  <c r="AB287" i="20"/>
  <c r="BG287" i="20" s="1"/>
  <c r="AT287" i="20"/>
  <c r="BN390" i="20"/>
  <c r="CW390" i="20" s="1"/>
  <c r="BT81" i="20"/>
  <c r="BV81" i="20" s="1"/>
  <c r="BU81" i="20"/>
  <c r="AT412" i="20"/>
  <c r="AB412" i="20"/>
  <c r="BG412" i="20" s="1"/>
  <c r="BP412" i="20" s="1"/>
  <c r="BH232" i="20"/>
  <c r="ET427" i="20"/>
  <c r="ES427" i="20" s="1"/>
  <c r="AG427" i="20"/>
  <c r="EB427" i="20" s="1"/>
  <c r="AT363" i="20"/>
  <c r="AG256" i="20"/>
  <c r="EB256" i="20" s="1"/>
  <c r="AT149" i="20"/>
  <c r="AU149" i="20"/>
  <c r="GG244" i="20"/>
  <c r="GI244" i="20" s="1"/>
  <c r="DA244" i="20" s="1"/>
  <c r="FQ244" i="20" s="1"/>
  <c r="BJ440" i="20"/>
  <c r="ET274" i="20"/>
  <c r="ES274" i="20" s="1"/>
  <c r="AG274" i="20"/>
  <c r="BQ274" i="20" s="1"/>
  <c r="AU117" i="20"/>
  <c r="AT117" i="20"/>
  <c r="AB443" i="20"/>
  <c r="BG443" i="20" s="1"/>
  <c r="BH443" i="20" s="1"/>
  <c r="AT443" i="20"/>
  <c r="CS492" i="20"/>
  <c r="BK489" i="20"/>
  <c r="AT262" i="20"/>
  <c r="EP387" i="20"/>
  <c r="DU387" i="20" s="1"/>
  <c r="BT119" i="20"/>
  <c r="BV119" i="20" s="1"/>
  <c r="BU119" i="20"/>
  <c r="BH300" i="20"/>
  <c r="BP300" i="20"/>
  <c r="CQ229" i="20"/>
  <c r="DQ232" i="20"/>
  <c r="P232" i="20"/>
  <c r="CH437" i="20"/>
  <c r="CI437" i="20"/>
  <c r="ET263" i="20"/>
  <c r="ES263" i="20" s="1"/>
  <c r="AG263" i="20"/>
  <c r="GG351" i="20"/>
  <c r="GI351" i="20" s="1"/>
  <c r="DA351" i="20" s="1"/>
  <c r="DF351" i="20" s="1"/>
  <c r="CH351" i="20"/>
  <c r="CI376" i="20"/>
  <c r="CH376" i="20"/>
  <c r="GG376" i="20"/>
  <c r="GI376" i="20" s="1"/>
  <c r="DA376" i="20" s="1"/>
  <c r="DL376" i="20" s="1"/>
  <c r="DR130" i="20"/>
  <c r="FG130" i="20" s="1"/>
  <c r="FH130" i="20" s="1"/>
  <c r="BF130" i="20"/>
  <c r="CU130" i="20" s="1"/>
  <c r="AU33" i="20"/>
  <c r="AT33" i="20"/>
  <c r="BJ171" i="20"/>
  <c r="AR142" i="20"/>
  <c r="GG142" i="20"/>
  <c r="GI142" i="20" s="1"/>
  <c r="DA142" i="20" s="1"/>
  <c r="CL142" i="20"/>
  <c r="CM142" i="20" s="1"/>
  <c r="CI97" i="20"/>
  <c r="BZ97" i="20"/>
  <c r="EH97" i="20" s="1"/>
  <c r="EJ97" i="20" s="1"/>
  <c r="EP97" i="20" s="1"/>
  <c r="CI433" i="20"/>
  <c r="BZ433" i="20"/>
  <c r="EH433" i="20" s="1"/>
  <c r="EJ433" i="20" s="1"/>
  <c r="DQ392" i="20"/>
  <c r="FB392" i="20" s="1"/>
  <c r="FC392" i="20" s="1"/>
  <c r="FD392" i="20" s="1"/>
  <c r="P392" i="20"/>
  <c r="U392" i="20"/>
  <c r="T392" i="20" s="1"/>
  <c r="AG176" i="20"/>
  <c r="ET176" i="20"/>
  <c r="ES176" i="20" s="1"/>
  <c r="AV72" i="20"/>
  <c r="GF78" i="20"/>
  <c r="GI78" i="20" s="1"/>
  <c r="DA78" i="20" s="1"/>
  <c r="FQ78" i="20" s="1"/>
  <c r="BZ72" i="20"/>
  <c r="EH72" i="20" s="1"/>
  <c r="EJ72" i="20" s="1"/>
  <c r="AG39" i="20"/>
  <c r="BF32" i="20"/>
  <c r="FG25" i="20"/>
  <c r="FH25" i="20" s="1"/>
  <c r="BG73" i="20"/>
  <c r="BH73" i="20" s="1"/>
  <c r="BK73" i="20" s="1"/>
  <c r="CV73" i="20" s="1"/>
  <c r="EB231" i="20"/>
  <c r="BQ231" i="20"/>
  <c r="CQ494" i="20"/>
  <c r="CS494" i="20" s="1"/>
  <c r="DQ192" i="20"/>
  <c r="FB192" i="20" s="1"/>
  <c r="FC192" i="20" s="1"/>
  <c r="FD192" i="20" s="1"/>
  <c r="P192" i="20"/>
  <c r="BN192" i="20" s="1"/>
  <c r="CW192" i="20" s="1"/>
  <c r="CI378" i="20"/>
  <c r="AT378" i="20"/>
  <c r="AT376" i="20"/>
  <c r="AG228" i="20"/>
  <c r="BJ329" i="20"/>
  <c r="BP233" i="20"/>
  <c r="CI369" i="20"/>
  <c r="CH369" i="20"/>
  <c r="AR219" i="20"/>
  <c r="BH197" i="20"/>
  <c r="ET215" i="20"/>
  <c r="ES215" i="20" s="1"/>
  <c r="AG215" i="20"/>
  <c r="BN281" i="20"/>
  <c r="CW281" i="20" s="1"/>
  <c r="AU142" i="20"/>
  <c r="AT142" i="20"/>
  <c r="AU39" i="20"/>
  <c r="AT39" i="20"/>
  <c r="AT23" i="20"/>
  <c r="AU23" i="20"/>
  <c r="AB433" i="20"/>
  <c r="BG433" i="20" s="1"/>
  <c r="CJ128" i="20"/>
  <c r="CQ128" i="20" s="1"/>
  <c r="CS128" i="20" s="1"/>
  <c r="CX128" i="20" s="1"/>
  <c r="BZ56" i="20"/>
  <c r="EH56" i="20" s="1"/>
  <c r="EJ56" i="20" s="1"/>
  <c r="GF56" i="20"/>
  <c r="CI56" i="20"/>
  <c r="BS56" i="20"/>
  <c r="AV56" i="20"/>
  <c r="BJ39" i="20"/>
  <c r="BK39" i="20" s="1"/>
  <c r="BG58" i="20"/>
  <c r="BH58" i="20" s="1"/>
  <c r="BK58" i="20" s="1"/>
  <c r="CV58" i="20" s="1"/>
  <c r="BM142" i="20"/>
  <c r="BN142" i="20" s="1"/>
  <c r="CW142" i="20" s="1"/>
  <c r="FB298" i="20"/>
  <c r="FC298" i="20" s="1"/>
  <c r="FD298" i="20" s="1"/>
  <c r="BJ385" i="20"/>
  <c r="AG425" i="20"/>
  <c r="EB425" i="20" s="1"/>
  <c r="CM410" i="20"/>
  <c r="BN347" i="20"/>
  <c r="CW347" i="20" s="1"/>
  <c r="CH180" i="20"/>
  <c r="CJ180" i="20" s="1"/>
  <c r="CQ180" i="20" s="1"/>
  <c r="CS180" i="20" s="1"/>
  <c r="CX180" i="20" s="1"/>
  <c r="FR180" i="20" s="1"/>
  <c r="BJ387" i="20"/>
  <c r="BG169" i="20"/>
  <c r="BP169" i="20" s="1"/>
  <c r="AR421" i="20"/>
  <c r="AR453" i="20"/>
  <c r="CJ299" i="20"/>
  <c r="BJ130" i="20"/>
  <c r="BT137" i="20"/>
  <c r="BV137" i="20" s="1"/>
  <c r="CJ89" i="20"/>
  <c r="CQ89" i="20" s="1"/>
  <c r="CS89" i="20" s="1"/>
  <c r="CX89" i="20" s="1"/>
  <c r="FR89" i="20" s="1"/>
  <c r="CH97" i="20"/>
  <c r="BB106" i="20"/>
  <c r="EC106" i="20" s="1"/>
  <c r="EU106" i="20" s="1"/>
  <c r="EX106" i="20" s="1"/>
  <c r="EY106" i="20" s="1"/>
  <c r="BM73" i="20"/>
  <c r="BN73" i="20" s="1"/>
  <c r="CW73" i="20" s="1"/>
  <c r="AT63" i="20"/>
  <c r="BJ103" i="20"/>
  <c r="BG120" i="20"/>
  <c r="BH120" i="20" s="1"/>
  <c r="BG54" i="20"/>
  <c r="BH54" i="20" s="1"/>
  <c r="BJ26" i="20"/>
  <c r="BK26" i="20" s="1"/>
  <c r="BM78" i="20"/>
  <c r="BN78" i="20" s="1"/>
  <c r="CW78" i="20" s="1"/>
  <c r="CH72" i="20"/>
  <c r="CJ72" i="20" s="1"/>
  <c r="CQ72" i="20" s="1"/>
  <c r="CS72" i="20" s="1"/>
  <c r="CX72" i="20" s="1"/>
  <c r="FR72" i="20" s="1"/>
  <c r="BJ30" i="20"/>
  <c r="BK30" i="20" s="1"/>
  <c r="CI198" i="20"/>
  <c r="BZ198" i="20"/>
  <c r="EH198" i="20" s="1"/>
  <c r="EJ198" i="20" s="1"/>
  <c r="AT198" i="20"/>
  <c r="BF293" i="20"/>
  <c r="CU293" i="20" s="1"/>
  <c r="DI293" i="20" s="1"/>
  <c r="P293" i="20"/>
  <c r="BN293" i="20" s="1"/>
  <c r="CW293" i="20" s="1"/>
  <c r="DQ293" i="20"/>
  <c r="FB293" i="20" s="1"/>
  <c r="FC293" i="20" s="1"/>
  <c r="FD293" i="20" s="1"/>
  <c r="AG401" i="20"/>
  <c r="AB437" i="20"/>
  <c r="BG437" i="20" s="1"/>
  <c r="BH437" i="20" s="1"/>
  <c r="AB317" i="20"/>
  <c r="AG388" i="20"/>
  <c r="ET388" i="20"/>
  <c r="ES388" i="20" s="1"/>
  <c r="FB388" i="20" s="1"/>
  <c r="FC388" i="20" s="1"/>
  <c r="FD388" i="20" s="1"/>
  <c r="AG300" i="20"/>
  <c r="ET300" i="20"/>
  <c r="ES300" i="20" s="1"/>
  <c r="CJ197" i="20"/>
  <c r="CI436" i="20"/>
  <c r="BZ436" i="20"/>
  <c r="EH436" i="20" s="1"/>
  <c r="EJ436" i="20" s="1"/>
  <c r="BG436" i="20"/>
  <c r="AR436" i="20"/>
  <c r="GI145" i="20"/>
  <c r="DA145" i="20" s="1"/>
  <c r="AT67" i="20"/>
  <c r="AU54" i="20"/>
  <c r="AT54" i="20"/>
  <c r="BM85" i="20"/>
  <c r="BN85" i="20" s="1"/>
  <c r="CW85" i="20" s="1"/>
  <c r="CJ43" i="20"/>
  <c r="CQ43" i="20" s="1"/>
  <c r="AG114" i="20"/>
  <c r="EB114" i="20" s="1"/>
  <c r="ET114" i="20"/>
  <c r="ES114" i="20" s="1"/>
  <c r="FG114" i="20" s="1"/>
  <c r="FH114" i="20" s="1"/>
  <c r="BJ147" i="20"/>
  <c r="CJ23" i="20"/>
  <c r="CQ23" i="20" s="1"/>
  <c r="BZ290" i="20"/>
  <c r="EH290" i="20" s="1"/>
  <c r="EJ290" i="20" s="1"/>
  <c r="EP290" i="20" s="1"/>
  <c r="DU290" i="20" s="1"/>
  <c r="CI290" i="20"/>
  <c r="AT290" i="20"/>
  <c r="BF191" i="20"/>
  <c r="CU191" i="20" s="1"/>
  <c r="DI191" i="20" s="1"/>
  <c r="P191" i="20"/>
  <c r="BN191" i="20" s="1"/>
  <c r="CW191" i="20" s="1"/>
  <c r="DQ191" i="20"/>
  <c r="AG212" i="20"/>
  <c r="ET212" i="20"/>
  <c r="ES212" i="20" s="1"/>
  <c r="P39" i="20"/>
  <c r="BF39" i="20"/>
  <c r="DQ233" i="20"/>
  <c r="BF233" i="20"/>
  <c r="P233" i="20"/>
  <c r="ET174" i="20"/>
  <c r="ES174" i="20" s="1"/>
  <c r="AG174" i="20"/>
  <c r="P275" i="20"/>
  <c r="BN275" i="20" s="1"/>
  <c r="CW275" i="20" s="1"/>
  <c r="DQ275" i="20"/>
  <c r="FB275" i="20" s="1"/>
  <c r="FC275" i="20" s="1"/>
  <c r="FD275" i="20" s="1"/>
  <c r="BT126" i="20"/>
  <c r="BV126" i="20" s="1"/>
  <c r="BU126" i="20"/>
  <c r="BT20" i="20"/>
  <c r="BV20" i="20" s="1"/>
  <c r="BU20" i="20"/>
  <c r="CM290" i="20"/>
  <c r="CM257" i="20"/>
  <c r="BJ177" i="20"/>
  <c r="EP225" i="20"/>
  <c r="DU225" i="20" s="1"/>
  <c r="BG206" i="20"/>
  <c r="BH206" i="20" s="1"/>
  <c r="EJ151" i="20"/>
  <c r="BG142" i="20"/>
  <c r="BH142" i="20" s="1"/>
  <c r="BT145" i="20"/>
  <c r="BV145" i="20" s="1"/>
  <c r="FG98" i="20"/>
  <c r="FH98" i="20" s="1"/>
  <c r="AT83" i="20"/>
  <c r="CH78" i="20"/>
  <c r="CJ78" i="20" s="1"/>
  <c r="CQ78" i="20" s="1"/>
  <c r="CS78" i="20" s="1"/>
  <c r="CX78" i="20" s="1"/>
  <c r="FR78" i="20" s="1"/>
  <c r="BG69" i="20"/>
  <c r="BH69" i="20" s="1"/>
  <c r="BK47" i="20"/>
  <c r="BK20" i="20"/>
  <c r="DI212" i="20"/>
  <c r="FO212" i="20"/>
  <c r="DQ404" i="20"/>
  <c r="FB404" i="20" s="1"/>
  <c r="FC404" i="20" s="1"/>
  <c r="FD404" i="20" s="1"/>
  <c r="P404" i="20"/>
  <c r="BF404" i="20"/>
  <c r="CU404" i="20" s="1"/>
  <c r="BJ232" i="20"/>
  <c r="ET295" i="20"/>
  <c r="ES295" i="20" s="1"/>
  <c r="AG295" i="20"/>
  <c r="BQ169" i="20"/>
  <c r="BP311" i="20"/>
  <c r="ET229" i="20"/>
  <c r="ES229" i="20" s="1"/>
  <c r="AG229" i="20"/>
  <c r="CJ146" i="20"/>
  <c r="CQ146" i="20" s="1"/>
  <c r="CS146" i="20" s="1"/>
  <c r="CX146" i="20" s="1"/>
  <c r="P36" i="20"/>
  <c r="BF36" i="20"/>
  <c r="DR43" i="20"/>
  <c r="P43" i="20"/>
  <c r="BN43" i="20" s="1"/>
  <c r="P25" i="20"/>
  <c r="BF25" i="20"/>
  <c r="CI65" i="20"/>
  <c r="CH65" i="20"/>
  <c r="GF65" i="20"/>
  <c r="FG121" i="20"/>
  <c r="FH121" i="20" s="1"/>
  <c r="ET219" i="20"/>
  <c r="ES219" i="20" s="1"/>
  <c r="AG219" i="20"/>
  <c r="ET103" i="20"/>
  <c r="ES103" i="20" s="1"/>
  <c r="FB103" i="20" s="1"/>
  <c r="FC103" i="20" s="1"/>
  <c r="FD103" i="20" s="1"/>
  <c r="AG103" i="20"/>
  <c r="EB103" i="20" s="1"/>
  <c r="AU145" i="20"/>
  <c r="AT145" i="20"/>
  <c r="CH85" i="20"/>
  <c r="CI85" i="20"/>
  <c r="BZ85" i="20"/>
  <c r="EH85" i="20" s="1"/>
  <c r="EJ85" i="20" s="1"/>
  <c r="BS85" i="20"/>
  <c r="AT98" i="20"/>
  <c r="BG342" i="20"/>
  <c r="BH342" i="20" s="1"/>
  <c r="AG448" i="20"/>
  <c r="EB448" i="20" s="1"/>
  <c r="CM420" i="20"/>
  <c r="CM394" i="20"/>
  <c r="AB361" i="20"/>
  <c r="BG361" i="20" s="1"/>
  <c r="CM264" i="20"/>
  <c r="CM321" i="20"/>
  <c r="GI179" i="20"/>
  <c r="DA179" i="20" s="1"/>
  <c r="FQ179" i="20" s="1"/>
  <c r="EO305" i="20"/>
  <c r="BJ168" i="20"/>
  <c r="AT176" i="20"/>
  <c r="BG87" i="20"/>
  <c r="BH87" i="20" s="1"/>
  <c r="GI51" i="20"/>
  <c r="AV78" i="20"/>
  <c r="AT51" i="20"/>
  <c r="BJ404" i="20"/>
  <c r="DQ333" i="20"/>
  <c r="P333" i="20"/>
  <c r="BN333" i="20" s="1"/>
  <c r="CW333" i="20" s="1"/>
  <c r="BF346" i="20"/>
  <c r="CU346" i="20" s="1"/>
  <c r="DI346" i="20" s="1"/>
  <c r="DQ346" i="20"/>
  <c r="P346" i="20"/>
  <c r="BN346" i="20" s="1"/>
  <c r="CW346" i="20" s="1"/>
  <c r="BF353" i="20"/>
  <c r="CU353" i="20" s="1"/>
  <c r="P353" i="20"/>
  <c r="CI247" i="20"/>
  <c r="BZ247" i="20"/>
  <c r="EH247" i="20" s="1"/>
  <c r="EJ247" i="20" s="1"/>
  <c r="EP247" i="20" s="1"/>
  <c r="DQ307" i="20"/>
  <c r="P307" i="20"/>
  <c r="CJ384" i="20"/>
  <c r="AG394" i="20"/>
  <c r="GG430" i="20"/>
  <c r="GI430" i="20" s="1"/>
  <c r="DA430" i="20" s="1"/>
  <c r="DF430" i="20" s="1"/>
  <c r="CI430" i="20"/>
  <c r="BZ430" i="20"/>
  <c r="EH430" i="20" s="1"/>
  <c r="EJ430" i="20" s="1"/>
  <c r="AT430" i="20"/>
  <c r="AB449" i="20"/>
  <c r="BG449" i="20" s="1"/>
  <c r="AV455" i="20"/>
  <c r="ET172" i="20"/>
  <c r="ES172" i="20" s="1"/>
  <c r="AG172" i="20"/>
  <c r="BJ172" i="20"/>
  <c r="BF223" i="20"/>
  <c r="P223" i="20"/>
  <c r="BN223" i="20" s="1"/>
  <c r="DQ223" i="20"/>
  <c r="BJ173" i="20"/>
  <c r="EM72" i="20"/>
  <c r="CJ312" i="20"/>
  <c r="BJ140" i="20"/>
  <c r="BT43" i="20"/>
  <c r="BV43" i="20" s="1"/>
  <c r="BU43" i="20"/>
  <c r="BU36" i="20"/>
  <c r="BT36" i="20"/>
  <c r="BV36" i="20" s="1"/>
  <c r="BN386" i="20"/>
  <c r="CW386" i="20" s="1"/>
  <c r="AG234" i="20"/>
  <c r="BQ234" i="20" s="1"/>
  <c r="AG414" i="20"/>
  <c r="EB414" i="20" s="1"/>
  <c r="GG355" i="20"/>
  <c r="GI355" i="20" s="1"/>
  <c r="DA355" i="20" s="1"/>
  <c r="AR432" i="20"/>
  <c r="CJ267" i="20"/>
  <c r="CJ167" i="20"/>
  <c r="CQ167" i="20" s="1"/>
  <c r="CS167" i="20" s="1"/>
  <c r="CX167" i="20" s="1"/>
  <c r="DK167" i="20" s="1"/>
  <c r="CH396" i="20"/>
  <c r="CJ396" i="20" s="1"/>
  <c r="P169" i="20"/>
  <c r="EJ153" i="20"/>
  <c r="BG151" i="20"/>
  <c r="BH151" i="20" s="1"/>
  <c r="CH106" i="20"/>
  <c r="BT142" i="20"/>
  <c r="BV142" i="20" s="1"/>
  <c r="CJ133" i="20"/>
  <c r="CJ116" i="20"/>
  <c r="CQ116" i="20" s="1"/>
  <c r="CS116" i="20" s="1"/>
  <c r="CX116" i="20" s="1"/>
  <c r="FR116" i="20" s="1"/>
  <c r="BG139" i="20"/>
  <c r="BH139" i="20" s="1"/>
  <c r="CJ127" i="20"/>
  <c r="BS97" i="20"/>
  <c r="BT97" i="20" s="1"/>
  <c r="BV97" i="20" s="1"/>
  <c r="AT90" i="20"/>
  <c r="BM119" i="20"/>
  <c r="BN119" i="20" s="1"/>
  <c r="CW119" i="20" s="1"/>
  <c r="AV106" i="20"/>
  <c r="BU61" i="20"/>
  <c r="BW61" i="20" s="1"/>
  <c r="BX61" i="20" s="1"/>
  <c r="EQ61" i="20" s="1"/>
  <c r="GI40" i="20"/>
  <c r="CJ57" i="20"/>
  <c r="CQ57" i="20" s="1"/>
  <c r="CS57" i="20" s="1"/>
  <c r="CX57" i="20" s="1"/>
  <c r="DE57" i="20" s="1"/>
  <c r="BS78" i="20"/>
  <c r="BS72" i="20"/>
  <c r="DR39" i="20"/>
  <c r="FG39" i="20" s="1"/>
  <c r="CJ48" i="20"/>
  <c r="CQ48" i="20" s="1"/>
  <c r="BU33" i="20"/>
  <c r="BW33" i="20" s="1"/>
  <c r="BX33" i="20" s="1"/>
  <c r="EQ33" i="20" s="1"/>
  <c r="DQ240" i="20"/>
  <c r="P240" i="20"/>
  <c r="BN240" i="20" s="1"/>
  <c r="CW240" i="20" s="1"/>
  <c r="CH289" i="20"/>
  <c r="AB290" i="20"/>
  <c r="BJ293" i="20"/>
  <c r="DQ369" i="20"/>
  <c r="BJ369" i="20"/>
  <c r="P388" i="20"/>
  <c r="BF388" i="20"/>
  <c r="CU388" i="20" s="1"/>
  <c r="BH387" i="20"/>
  <c r="AB430" i="20"/>
  <c r="P267" i="20"/>
  <c r="BF267" i="20"/>
  <c r="CU267" i="20" s="1"/>
  <c r="FC129" i="20"/>
  <c r="FD129" i="20" s="1"/>
  <c r="DR41" i="20"/>
  <c r="BF41" i="20"/>
  <c r="BP383" i="20"/>
  <c r="BR383" i="20" s="1"/>
  <c r="AU25" i="20"/>
  <c r="AT25" i="20"/>
  <c r="EM65" i="20"/>
  <c r="AU139" i="20"/>
  <c r="AT139" i="20"/>
  <c r="FB124" i="20"/>
  <c r="FC124" i="20" s="1"/>
  <c r="FD124" i="20" s="1"/>
  <c r="BM56" i="20"/>
  <c r="BN56" i="20" s="1"/>
  <c r="CW56" i="20" s="1"/>
  <c r="BU32" i="20"/>
  <c r="BT32" i="20"/>
  <c r="BV32" i="20" s="1"/>
  <c r="CJ117" i="20"/>
  <c r="CQ117" i="20" s="1"/>
  <c r="CS117" i="20" s="1"/>
  <c r="CX117" i="20" s="1"/>
  <c r="FR117" i="20" s="1"/>
  <c r="AT89" i="20"/>
  <c r="BJ41" i="20"/>
  <c r="BK41" i="20" s="1"/>
  <c r="BG413" i="20"/>
  <c r="BH413" i="20" s="1"/>
  <c r="BJ343" i="20"/>
  <c r="EO179" i="20"/>
  <c r="CJ388" i="20"/>
  <c r="CJ218" i="20"/>
  <c r="CJ173" i="20"/>
  <c r="CQ173" i="20" s="1"/>
  <c r="AT215" i="20"/>
  <c r="GI173" i="20"/>
  <c r="DA173" i="20" s="1"/>
  <c r="FQ173" i="20" s="1"/>
  <c r="GI183" i="20"/>
  <c r="DA183" i="20" s="1"/>
  <c r="DL183" i="20" s="1"/>
  <c r="BS106" i="20"/>
  <c r="BU106" i="20" s="1"/>
  <c r="BF140" i="20"/>
  <c r="CU140" i="20" s="1"/>
  <c r="FO140" i="20" s="1"/>
  <c r="CJ135" i="20"/>
  <c r="CJ137" i="20"/>
  <c r="CJ86" i="20"/>
  <c r="CQ86" i="20" s="1"/>
  <c r="CS86" i="20" s="1"/>
  <c r="CX86" i="20" s="1"/>
  <c r="DE86" i="20" s="1"/>
  <c r="CI106" i="20"/>
  <c r="BG77" i="20"/>
  <c r="BH77" i="20" s="1"/>
  <c r="BM64" i="20"/>
  <c r="BN64" i="20" s="1"/>
  <c r="BM58" i="20"/>
  <c r="BN58" i="20" s="1"/>
  <c r="CW58" i="20" s="1"/>
  <c r="FG106" i="20"/>
  <c r="FH106" i="20" s="1"/>
  <c r="BJ34" i="20"/>
  <c r="BK34" i="20" s="1"/>
  <c r="CQ34" i="20"/>
  <c r="CJ44" i="20"/>
  <c r="CQ44" i="20" s="1"/>
  <c r="AG272" i="20"/>
  <c r="CI336" i="20"/>
  <c r="CH336" i="20"/>
  <c r="GG336" i="20"/>
  <c r="GI336" i="20" s="1"/>
  <c r="DA336" i="20" s="1"/>
  <c r="FQ336" i="20" s="1"/>
  <c r="CI272" i="20"/>
  <c r="BZ272" i="20"/>
  <c r="EH272" i="20" s="1"/>
  <c r="EJ272" i="20" s="1"/>
  <c r="AT423" i="20"/>
  <c r="CI423" i="20"/>
  <c r="BZ423" i="20"/>
  <c r="EH423" i="20" s="1"/>
  <c r="EJ423" i="20" s="1"/>
  <c r="EO423" i="20" s="1"/>
  <c r="AB213" i="20"/>
  <c r="BG213" i="20" s="1"/>
  <c r="P274" i="20"/>
  <c r="BN274" i="20" s="1"/>
  <c r="CW274" i="20" s="1"/>
  <c r="DQ274" i="20"/>
  <c r="DQ366" i="20"/>
  <c r="FB366" i="20" s="1"/>
  <c r="FC366" i="20" s="1"/>
  <c r="FD366" i="20" s="1"/>
  <c r="BJ366" i="20"/>
  <c r="BJ161" i="20"/>
  <c r="P161" i="20"/>
  <c r="DQ161" i="20"/>
  <c r="FB161" i="20" s="1"/>
  <c r="CI368" i="20"/>
  <c r="CH368" i="20"/>
  <c r="AG301" i="20"/>
  <c r="ET301" i="20"/>
  <c r="ES301" i="20" s="1"/>
  <c r="BF236" i="20"/>
  <c r="DQ236" i="20"/>
  <c r="P236" i="20"/>
  <c r="AB319" i="20"/>
  <c r="BG319" i="20" s="1"/>
  <c r="CJ202" i="20"/>
  <c r="CQ202" i="20" s="1"/>
  <c r="CI456" i="20"/>
  <c r="AT456" i="20"/>
  <c r="BZ456" i="20"/>
  <c r="EH456" i="20" s="1"/>
  <c r="EJ456" i="20" s="1"/>
  <c r="ET166" i="20"/>
  <c r="ES166" i="20" s="1"/>
  <c r="AG166" i="20"/>
  <c r="BJ131" i="20"/>
  <c r="EM53" i="20"/>
  <c r="DR143" i="20"/>
  <c r="FG143" i="20" s="1"/>
  <c r="FH143" i="20" s="1"/>
  <c r="BF143" i="20"/>
  <c r="CU143" i="20" s="1"/>
  <c r="CH90" i="20"/>
  <c r="EM90" i="20"/>
  <c r="GI32" i="20"/>
  <c r="AT126" i="20"/>
  <c r="BJ176" i="20"/>
  <c r="N363" i="5"/>
  <c r="N295" i="5"/>
  <c r="S325" i="5"/>
  <c r="S304" i="5"/>
  <c r="FS388" i="5"/>
  <c r="FU388" i="5" s="1"/>
  <c r="CM388" i="5" s="1"/>
  <c r="FU386" i="5"/>
  <c r="CM386" i="5" s="1"/>
  <c r="BI150" i="5"/>
  <c r="BY419" i="5"/>
  <c r="FU51" i="5"/>
  <c r="CC474" i="5"/>
  <c r="CC486" i="5"/>
  <c r="N386" i="5"/>
  <c r="S475" i="5"/>
  <c r="S493" i="5"/>
  <c r="BY341" i="5"/>
  <c r="CC490" i="5"/>
  <c r="CE490" i="5" s="1"/>
  <c r="CC478" i="5"/>
  <c r="N418" i="5"/>
  <c r="N280" i="5"/>
  <c r="N254" i="5"/>
  <c r="N419" i="5"/>
  <c r="N288" i="5"/>
  <c r="N421" i="5"/>
  <c r="N391" i="5"/>
  <c r="N365" i="5"/>
  <c r="S323" i="5"/>
  <c r="S256" i="5"/>
  <c r="S95" i="5"/>
  <c r="DN95" i="5" s="1"/>
  <c r="AF103" i="5"/>
  <c r="N441" i="5"/>
  <c r="N361" i="5"/>
  <c r="N445" i="5"/>
  <c r="N367" i="5"/>
  <c r="N350" i="5"/>
  <c r="S257" i="5"/>
  <c r="FS261" i="5"/>
  <c r="S482" i="5"/>
  <c r="FU363" i="5"/>
  <c r="CM363" i="5" s="1"/>
  <c r="BY290" i="5"/>
  <c r="BY298" i="5"/>
  <c r="N444" i="5"/>
  <c r="N281" i="5"/>
  <c r="AS281" i="5" s="1"/>
  <c r="AT281" i="5" s="1"/>
  <c r="N323" i="5"/>
  <c r="N329" i="5"/>
  <c r="N266" i="5"/>
  <c r="N297" i="5"/>
  <c r="N257" i="5"/>
  <c r="N296" i="5"/>
  <c r="AF95" i="5"/>
  <c r="FS327" i="5"/>
  <c r="CC470" i="5"/>
  <c r="CE470" i="5" s="1"/>
  <c r="N449" i="5"/>
  <c r="N388" i="5"/>
  <c r="S252" i="5"/>
  <c r="S253" i="5"/>
  <c r="S258" i="5"/>
  <c r="DN258" i="5" s="1"/>
  <c r="S421" i="5"/>
  <c r="FS404" i="5"/>
  <c r="S279" i="5"/>
  <c r="S498" i="5"/>
  <c r="S489" i="5"/>
  <c r="BY394" i="5"/>
  <c r="BY327" i="5"/>
  <c r="BY405" i="5"/>
  <c r="BY263" i="5"/>
  <c r="N422" i="5"/>
  <c r="N355" i="5"/>
  <c r="AS355" i="5" s="1"/>
  <c r="N380" i="5"/>
  <c r="N332" i="5"/>
  <c r="N425" i="5"/>
  <c r="N359" i="5"/>
  <c r="N327" i="5"/>
  <c r="AS327" i="5" s="1"/>
  <c r="BB327" i="5" s="1"/>
  <c r="N404" i="5"/>
  <c r="N322" i="5"/>
  <c r="FS357" i="5"/>
  <c r="BY433" i="5"/>
  <c r="S396" i="5"/>
  <c r="BY268" i="5"/>
  <c r="CC481" i="5"/>
  <c r="CE481" i="5" s="1"/>
  <c r="AF99" i="5"/>
  <c r="BV37" i="5"/>
  <c r="CC37" i="5" s="1"/>
  <c r="BY297" i="5"/>
  <c r="BY336" i="5"/>
  <c r="CC495" i="5"/>
  <c r="CE495" i="5" s="1"/>
  <c r="BY363" i="5"/>
  <c r="FU29" i="5"/>
  <c r="BV49" i="5"/>
  <c r="CC49" i="5" s="1"/>
  <c r="AF288" i="5"/>
  <c r="AG101" i="5"/>
  <c r="FU23" i="5"/>
  <c r="BY345" i="5"/>
  <c r="BG148" i="5"/>
  <c r="BY388" i="5"/>
  <c r="FS431" i="5"/>
  <c r="FS399" i="5"/>
  <c r="BG152" i="5"/>
  <c r="BI152" i="5" s="1"/>
  <c r="BJ152" i="5" s="1"/>
  <c r="EC152" i="5" s="1"/>
  <c r="EB152" i="5" s="1"/>
  <c r="FU49" i="5"/>
  <c r="S268" i="5"/>
  <c r="FS392" i="5"/>
  <c r="FU392" i="5" s="1"/>
  <c r="CM392" i="5" s="1"/>
  <c r="S491" i="5"/>
  <c r="S99" i="5"/>
  <c r="DN99" i="5" s="1"/>
  <c r="BY286" i="5"/>
  <c r="CC476" i="5"/>
  <c r="CC492" i="5"/>
  <c r="CE492" i="5" s="1"/>
  <c r="FS375" i="5"/>
  <c r="FU375" i="5" s="1"/>
  <c r="CM375" i="5" s="1"/>
  <c r="FU327" i="5"/>
  <c r="CM327" i="5" s="1"/>
  <c r="BY319" i="5"/>
  <c r="BV50" i="5"/>
  <c r="CC50" i="5" s="1"/>
  <c r="FU153" i="5"/>
  <c r="CM153" i="5" s="1"/>
  <c r="BV48" i="5"/>
  <c r="CC48" i="5" s="1"/>
  <c r="BV51" i="5"/>
  <c r="CC51" i="5" s="1"/>
  <c r="BV23" i="5"/>
  <c r="CC23" i="5" s="1"/>
  <c r="CE23" i="5" s="1"/>
  <c r="S148" i="5"/>
  <c r="DN148" i="5" s="1"/>
  <c r="AF152" i="5"/>
  <c r="FS329" i="5"/>
  <c r="FU329" i="5" s="1"/>
  <c r="CM329" i="5" s="1"/>
  <c r="FC329" i="5" s="1"/>
  <c r="FU43" i="5"/>
  <c r="FU25" i="5"/>
  <c r="FU44" i="5"/>
  <c r="BV28" i="5"/>
  <c r="CC28" i="5" s="1"/>
  <c r="AS252" i="5"/>
  <c r="BB252" i="5" s="1"/>
  <c r="S270" i="5"/>
  <c r="DN270" i="5" s="1"/>
  <c r="S102" i="5"/>
  <c r="DN102" i="5" s="1"/>
  <c r="BY377" i="5"/>
  <c r="BV24" i="5"/>
  <c r="FU151" i="5"/>
  <c r="CM151" i="5" s="1"/>
  <c r="BY271" i="5"/>
  <c r="S409" i="5"/>
  <c r="BB337" i="5"/>
  <c r="AS326" i="5"/>
  <c r="AT326" i="5" s="1"/>
  <c r="AW489" i="5"/>
  <c r="AF150" i="5"/>
  <c r="BY288" i="5"/>
  <c r="S264" i="5"/>
  <c r="FS274" i="5"/>
  <c r="FU50" i="5"/>
  <c r="BY444" i="5"/>
  <c r="BV38" i="5"/>
  <c r="CC38" i="5" s="1"/>
  <c r="BV42" i="5"/>
  <c r="BV41" i="5"/>
  <c r="S288" i="5"/>
  <c r="BC288" i="5" s="1"/>
  <c r="AG149" i="5"/>
  <c r="FS367" i="5"/>
  <c r="FU367" i="5" s="1"/>
  <c r="CM367" i="5" s="1"/>
  <c r="FU24" i="5"/>
  <c r="BY254" i="5"/>
  <c r="CC487" i="5"/>
  <c r="CE487" i="5" s="1"/>
  <c r="FS398" i="5"/>
  <c r="FU398" i="5" s="1"/>
  <c r="CM398" i="5" s="1"/>
  <c r="FU149" i="5"/>
  <c r="CM149" i="5" s="1"/>
  <c r="CX149" i="5" s="1"/>
  <c r="S300" i="5"/>
  <c r="S433" i="5"/>
  <c r="DN433" i="5" s="1"/>
  <c r="S338" i="5"/>
  <c r="AS334" i="5"/>
  <c r="AT334" i="5" s="1"/>
  <c r="AW334" i="5" s="1"/>
  <c r="CH334" i="5" s="1"/>
  <c r="AS388" i="5"/>
  <c r="AS304" i="5"/>
  <c r="BB304" i="5" s="1"/>
  <c r="AS291" i="5"/>
  <c r="BB291" i="5" s="1"/>
  <c r="BB272" i="5"/>
  <c r="BB273" i="5"/>
  <c r="FS282" i="5"/>
  <c r="AT153" i="5"/>
  <c r="FU404" i="5"/>
  <c r="CM404" i="5" s="1"/>
  <c r="FC404" i="5" s="1"/>
  <c r="AZ341" i="5"/>
  <c r="CI341" i="5" s="1"/>
  <c r="BY365" i="5"/>
  <c r="AZ416" i="5"/>
  <c r="CI416" i="5" s="1"/>
  <c r="BV33" i="5"/>
  <c r="CC33" i="5" s="1"/>
  <c r="BG149" i="5"/>
  <c r="BI149" i="5" s="1"/>
  <c r="BV39" i="5"/>
  <c r="CC469" i="5"/>
  <c r="CE469" i="5" s="1"/>
  <c r="S425" i="5"/>
  <c r="DN425" i="5" s="1"/>
  <c r="S298" i="5"/>
  <c r="DN298" i="5" s="1"/>
  <c r="AS338" i="5"/>
  <c r="BB338" i="5" s="1"/>
  <c r="BB325" i="5"/>
  <c r="AS151" i="5"/>
  <c r="AT151" i="5" s="1"/>
  <c r="AW151" i="5" s="1"/>
  <c r="CH151" i="5" s="1"/>
  <c r="AF327" i="5"/>
  <c r="BV25" i="5"/>
  <c r="CC25" i="5" s="1"/>
  <c r="BV22" i="5"/>
  <c r="CC22" i="5" s="1"/>
  <c r="DO487" i="5"/>
  <c r="EG487" i="5" s="1"/>
  <c r="EJ487" i="5" s="1"/>
  <c r="EK487" i="5" s="1"/>
  <c r="EM487" i="5" s="1"/>
  <c r="AS330" i="5"/>
  <c r="BB330" i="5" s="1"/>
  <c r="S319" i="5"/>
  <c r="S292" i="5"/>
  <c r="S259" i="5"/>
  <c r="BC259" i="5" s="1"/>
  <c r="S405" i="5"/>
  <c r="AS305" i="5"/>
  <c r="BB305" i="5" s="1"/>
  <c r="FU399" i="5"/>
  <c r="CM399" i="5" s="1"/>
  <c r="AW473" i="5"/>
  <c r="S480" i="5"/>
  <c r="AK22" i="5"/>
  <c r="BY302" i="5"/>
  <c r="AZ350" i="5"/>
  <c r="CI350" i="5" s="1"/>
  <c r="FU33" i="5"/>
  <c r="AS277" i="5"/>
  <c r="BB277" i="5" s="1"/>
  <c r="FS440" i="5"/>
  <c r="FU440" i="5" s="1"/>
  <c r="CM440" i="5" s="1"/>
  <c r="CX440" i="5" s="1"/>
  <c r="FS309" i="5"/>
  <c r="FU309" i="5" s="1"/>
  <c r="CM309" i="5" s="1"/>
  <c r="BG151" i="5"/>
  <c r="BY404" i="5"/>
  <c r="AS263" i="5"/>
  <c r="BB263" i="5" s="1"/>
  <c r="AS397" i="5"/>
  <c r="BB397" i="5" s="1"/>
  <c r="BB324" i="5"/>
  <c r="AZ340" i="5"/>
  <c r="CI340" i="5" s="1"/>
  <c r="S388" i="5"/>
  <c r="BC388" i="5" s="1"/>
  <c r="AS318" i="5"/>
  <c r="AT318" i="5" s="1"/>
  <c r="AW318" i="5" s="1"/>
  <c r="CH318" i="5" s="1"/>
  <c r="AS297" i="5"/>
  <c r="AT297" i="5" s="1"/>
  <c r="AS258" i="5"/>
  <c r="FS413" i="5"/>
  <c r="BB299" i="5"/>
  <c r="S486" i="5"/>
  <c r="BC486" i="5" s="1"/>
  <c r="AS149" i="5"/>
  <c r="AT149" i="5" s="1"/>
  <c r="AW149" i="5" s="1"/>
  <c r="CH149" i="5" s="1"/>
  <c r="AG148" i="5"/>
  <c r="AZ366" i="5"/>
  <c r="CI366" i="5" s="1"/>
  <c r="CE496" i="5"/>
  <c r="BV27" i="5"/>
  <c r="BY301" i="5"/>
  <c r="CC497" i="5"/>
  <c r="CE497" i="5" s="1"/>
  <c r="BV52" i="5"/>
  <c r="CC52" i="5" s="1"/>
  <c r="BY453" i="5"/>
  <c r="FU150" i="5"/>
  <c r="CM150" i="5" s="1"/>
  <c r="FU47" i="5"/>
  <c r="BI148" i="5"/>
  <c r="S441" i="5"/>
  <c r="S281" i="5"/>
  <c r="AS259" i="5"/>
  <c r="BB259" i="5" s="1"/>
  <c r="AS255" i="5"/>
  <c r="BB255" i="5" s="1"/>
  <c r="BB258" i="5"/>
  <c r="FS373" i="5"/>
  <c r="AZ353" i="5"/>
  <c r="CI353" i="5" s="1"/>
  <c r="AZ497" i="5"/>
  <c r="BY380" i="5"/>
  <c r="FU45" i="5"/>
  <c r="BY393" i="5"/>
  <c r="FU281" i="5"/>
  <c r="CM281" i="5" s="1"/>
  <c r="CX281" i="5" s="1"/>
  <c r="BV46" i="5"/>
  <c r="FU254" i="5"/>
  <c r="CM254" i="5" s="1"/>
  <c r="BV148" i="5"/>
  <c r="CC148" i="5" s="1"/>
  <c r="CE148" i="5" s="1"/>
  <c r="CJ148" i="5" s="1"/>
  <c r="AZ437" i="5"/>
  <c r="CI437" i="5" s="1"/>
  <c r="BY429" i="5"/>
  <c r="FU52" i="5"/>
  <c r="CE500" i="5"/>
  <c r="CE473" i="5"/>
  <c r="CE477" i="5"/>
  <c r="BK503" i="20"/>
  <c r="EC503" i="20"/>
  <c r="EU503" i="20" s="1"/>
  <c r="EX503" i="20" s="1"/>
  <c r="EY503" i="20" s="1"/>
  <c r="DV503" i="20" s="1"/>
  <c r="FO184" i="20"/>
  <c r="DI184" i="20"/>
  <c r="DU503" i="20"/>
  <c r="EL496" i="20"/>
  <c r="EL495" i="20"/>
  <c r="BP503" i="20"/>
  <c r="BH488" i="20"/>
  <c r="EL475" i="20"/>
  <c r="GG185" i="20"/>
  <c r="GI185" i="20" s="1"/>
  <c r="DA185" i="20" s="1"/>
  <c r="CI185" i="20"/>
  <c r="BZ185" i="20"/>
  <c r="EH185" i="20" s="1"/>
  <c r="EJ185" i="20" s="1"/>
  <c r="CH185" i="20"/>
  <c r="AB185" i="20"/>
  <c r="BF209" i="20"/>
  <c r="CU209" i="20" s="1"/>
  <c r="P209" i="20"/>
  <c r="BN209" i="20" s="1"/>
  <c r="CW209" i="20" s="1"/>
  <c r="DQ209" i="20"/>
  <c r="ET360" i="20"/>
  <c r="ES360" i="20" s="1"/>
  <c r="AG360" i="20"/>
  <c r="AG335" i="20"/>
  <c r="CI322" i="20"/>
  <c r="CH322" i="20"/>
  <c r="BZ322" i="20"/>
  <c r="EH322" i="20" s="1"/>
  <c r="EJ322" i="20" s="1"/>
  <c r="AB322" i="20"/>
  <c r="AT322" i="20"/>
  <c r="BF290" i="20"/>
  <c r="CU290" i="20" s="1"/>
  <c r="DQ290" i="20"/>
  <c r="P290" i="20"/>
  <c r="BN290" i="20" s="1"/>
  <c r="CW290" i="20" s="1"/>
  <c r="BQ411" i="20"/>
  <c r="EB411" i="20"/>
  <c r="AG284" i="20"/>
  <c r="ET284" i="20"/>
  <c r="ES284" i="20" s="1"/>
  <c r="CH441" i="20"/>
  <c r="BZ441" i="20"/>
  <c r="EH441" i="20" s="1"/>
  <c r="EJ441" i="20" s="1"/>
  <c r="CI441" i="20"/>
  <c r="AB441" i="20"/>
  <c r="BG441" i="20" s="1"/>
  <c r="AT441" i="20"/>
  <c r="BQ412" i="20"/>
  <c r="EB412" i="20"/>
  <c r="DQ416" i="20"/>
  <c r="P416" i="20"/>
  <c r="BN416" i="20" s="1"/>
  <c r="CW416" i="20" s="1"/>
  <c r="BF416" i="20"/>
  <c r="CU416" i="20" s="1"/>
  <c r="DU224" i="20"/>
  <c r="DU182" i="20"/>
  <c r="DI167" i="20"/>
  <c r="FO167" i="20"/>
  <c r="DU217" i="20"/>
  <c r="DU45" i="20"/>
  <c r="ET501" i="20"/>
  <c r="ES501" i="20" s="1"/>
  <c r="AG501" i="20"/>
  <c r="BQ497" i="20"/>
  <c r="EB497" i="20"/>
  <c r="AG486" i="20"/>
  <c r="ET486" i="20"/>
  <c r="ES486" i="20" s="1"/>
  <c r="AG493" i="20"/>
  <c r="ET493" i="20"/>
  <c r="ES493" i="20" s="1"/>
  <c r="AG489" i="20"/>
  <c r="ET489" i="20"/>
  <c r="ES489" i="20" s="1"/>
  <c r="FB489" i="20" s="1"/>
  <c r="FC489" i="20" s="1"/>
  <c r="FD489" i="20" s="1"/>
  <c r="ET474" i="20"/>
  <c r="ES474" i="20" s="1"/>
  <c r="AG474" i="20"/>
  <c r="EL484" i="20"/>
  <c r="CM191" i="20"/>
  <c r="FC479" i="20"/>
  <c r="FD479" i="20" s="1"/>
  <c r="CH208" i="20"/>
  <c r="CI208" i="20"/>
  <c r="BZ208" i="20"/>
  <c r="EH208" i="20" s="1"/>
  <c r="EJ208" i="20" s="1"/>
  <c r="AB208" i="20"/>
  <c r="BG208" i="20" s="1"/>
  <c r="AT208" i="20"/>
  <c r="AG244" i="20"/>
  <c r="FB247" i="20"/>
  <c r="FC247" i="20" s="1"/>
  <c r="FD247" i="20" s="1"/>
  <c r="ET281" i="20"/>
  <c r="ES281" i="20" s="1"/>
  <c r="AG281" i="20"/>
  <c r="AG408" i="20"/>
  <c r="EB447" i="20"/>
  <c r="BQ447" i="20"/>
  <c r="BG401" i="20"/>
  <c r="DC377" i="20"/>
  <c r="FO377" i="20"/>
  <c r="DI324" i="20"/>
  <c r="FO324" i="20"/>
  <c r="FQ197" i="20"/>
  <c r="DF197" i="20"/>
  <c r="DU167" i="20"/>
  <c r="DU206" i="20"/>
  <c r="DU44" i="20"/>
  <c r="DU498" i="20"/>
  <c r="FB494" i="20"/>
  <c r="FC494" i="20" s="1"/>
  <c r="FD494" i="20" s="1"/>
  <c r="DU499" i="20"/>
  <c r="ET502" i="20"/>
  <c r="ES502" i="20" s="1"/>
  <c r="FB502" i="20" s="1"/>
  <c r="FC502" i="20" s="1"/>
  <c r="FD502" i="20" s="1"/>
  <c r="AG502" i="20"/>
  <c r="ET491" i="20"/>
  <c r="ES491" i="20" s="1"/>
  <c r="AG491" i="20"/>
  <c r="EL501" i="20"/>
  <c r="ET495" i="20"/>
  <c r="ES495" i="20" s="1"/>
  <c r="AG495" i="20"/>
  <c r="BQ480" i="20"/>
  <c r="EB480" i="20"/>
  <c r="BQ479" i="20"/>
  <c r="EB479" i="20"/>
  <c r="ET475" i="20"/>
  <c r="ES475" i="20" s="1"/>
  <c r="AG475" i="20"/>
  <c r="EL483" i="20"/>
  <c r="BF211" i="20"/>
  <c r="CU211" i="20" s="1"/>
  <c r="P211" i="20"/>
  <c r="BN211" i="20" s="1"/>
  <c r="CW211" i="20" s="1"/>
  <c r="DQ211" i="20"/>
  <c r="BZ207" i="20"/>
  <c r="EH207" i="20" s="1"/>
  <c r="EJ207" i="20" s="1"/>
  <c r="CI207" i="20"/>
  <c r="GG207" i="20"/>
  <c r="GI207" i="20" s="1"/>
  <c r="DA207" i="20" s="1"/>
  <c r="CH207" i="20"/>
  <c r="AT207" i="20"/>
  <c r="DQ199" i="20"/>
  <c r="P199" i="20"/>
  <c r="BF199" i="20"/>
  <c r="CU199" i="20" s="1"/>
  <c r="EB189" i="20"/>
  <c r="BQ189" i="20"/>
  <c r="CH243" i="20"/>
  <c r="BZ243" i="20"/>
  <c r="EH243" i="20" s="1"/>
  <c r="EJ243" i="20" s="1"/>
  <c r="CI243" i="20"/>
  <c r="AT243" i="20"/>
  <c r="AB243" i="20"/>
  <c r="BG243" i="20" s="1"/>
  <c r="BQ248" i="20"/>
  <c r="EB248" i="20"/>
  <c r="DC195" i="20"/>
  <c r="FO195" i="20"/>
  <c r="FO386" i="20"/>
  <c r="DI386" i="20"/>
  <c r="DC247" i="20"/>
  <c r="FO247" i="20"/>
  <c r="FO342" i="20"/>
  <c r="DC342" i="20"/>
  <c r="BF323" i="20"/>
  <c r="CU323" i="20" s="1"/>
  <c r="DQ323" i="20"/>
  <c r="P323" i="20"/>
  <c r="BN323" i="20" s="1"/>
  <c r="CW323" i="20" s="1"/>
  <c r="FB345" i="20"/>
  <c r="FC345" i="20" s="1"/>
  <c r="FD345" i="20" s="1"/>
  <c r="ET410" i="20"/>
  <c r="ES410" i="20" s="1"/>
  <c r="AG410" i="20"/>
  <c r="FO410" i="20"/>
  <c r="DI410" i="20"/>
  <c r="BZ442" i="20"/>
  <c r="EH442" i="20" s="1"/>
  <c r="EJ442" i="20" s="1"/>
  <c r="EP442" i="20" s="1"/>
  <c r="CH442" i="20"/>
  <c r="AT442" i="20"/>
  <c r="CI442" i="20"/>
  <c r="AB442" i="20"/>
  <c r="BG442" i="20" s="1"/>
  <c r="GG442" i="20"/>
  <c r="GI442" i="20" s="1"/>
  <c r="DA442" i="20" s="1"/>
  <c r="CI447" i="20"/>
  <c r="BZ447" i="20"/>
  <c r="EH447" i="20" s="1"/>
  <c r="EJ447" i="20" s="1"/>
  <c r="GG447" i="20"/>
  <c r="GI447" i="20" s="1"/>
  <c r="DA447" i="20" s="1"/>
  <c r="CH447" i="20"/>
  <c r="AB447" i="20"/>
  <c r="BG447" i="20" s="1"/>
  <c r="FB408" i="20"/>
  <c r="FC408" i="20" s="1"/>
  <c r="FD408" i="20" s="1"/>
  <c r="DI374" i="20"/>
  <c r="FO374" i="20"/>
  <c r="FQ301" i="20"/>
  <c r="DF301" i="20"/>
  <c r="FQ312" i="20"/>
  <c r="DF312" i="20"/>
  <c r="DU161" i="20"/>
  <c r="DU29" i="20"/>
  <c r="EL497" i="20"/>
  <c r="FB492" i="20"/>
  <c r="FC492" i="20" s="1"/>
  <c r="FD492" i="20" s="1"/>
  <c r="AG490" i="20"/>
  <c r="ET490" i="20"/>
  <c r="ES490" i="20" s="1"/>
  <c r="FB490" i="20" s="1"/>
  <c r="FC490" i="20" s="1"/>
  <c r="FD490" i="20" s="1"/>
  <c r="ET484" i="20"/>
  <c r="ES484" i="20" s="1"/>
  <c r="AG484" i="20"/>
  <c r="EL491" i="20"/>
  <c r="EC492" i="20"/>
  <c r="EU492" i="20" s="1"/>
  <c r="EX492" i="20" s="1"/>
  <c r="EY492" i="20" s="1"/>
  <c r="DV492" i="20" s="1"/>
  <c r="ET478" i="20"/>
  <c r="ES478" i="20" s="1"/>
  <c r="AG478" i="20"/>
  <c r="BZ191" i="20"/>
  <c r="EH191" i="20" s="1"/>
  <c r="EJ191" i="20" s="1"/>
  <c r="EO191" i="20" s="1"/>
  <c r="CI191" i="20"/>
  <c r="AT191" i="20"/>
  <c r="CH191" i="20"/>
  <c r="ET477" i="20"/>
  <c r="ES477" i="20" s="1"/>
  <c r="AG477" i="20"/>
  <c r="ET188" i="20"/>
  <c r="ES188" i="20" s="1"/>
  <c r="AG188" i="20"/>
  <c r="EB208" i="20"/>
  <c r="BQ208" i="20"/>
  <c r="EB184" i="20"/>
  <c r="BQ184" i="20"/>
  <c r="ET386" i="20"/>
  <c r="ES386" i="20" s="1"/>
  <c r="AG386" i="20"/>
  <c r="DI200" i="20"/>
  <c r="FO200" i="20"/>
  <c r="CI283" i="20"/>
  <c r="BZ283" i="20"/>
  <c r="EH283" i="20" s="1"/>
  <c r="EJ283" i="20" s="1"/>
  <c r="GG283" i="20"/>
  <c r="GI283" i="20" s="1"/>
  <c r="DA283" i="20" s="1"/>
  <c r="CH283" i="20"/>
  <c r="AT283" i="20"/>
  <c r="P283" i="20"/>
  <c r="DQ283" i="20"/>
  <c r="BF283" i="20"/>
  <c r="CU283" i="20" s="1"/>
  <c r="BJ283" i="20"/>
  <c r="CI244" i="20"/>
  <c r="BZ244" i="20"/>
  <c r="EH244" i="20" s="1"/>
  <c r="EJ244" i="20" s="1"/>
  <c r="EP244" i="20" s="1"/>
  <c r="CH244" i="20"/>
  <c r="AT244" i="20"/>
  <c r="AB244" i="20"/>
  <c r="BG244" i="20" s="1"/>
  <c r="BF340" i="20"/>
  <c r="CU340" i="20" s="1"/>
  <c r="P340" i="20"/>
  <c r="BN340" i="20" s="1"/>
  <c r="CW340" i="20" s="1"/>
  <c r="DQ340" i="20"/>
  <c r="BJ340" i="20"/>
  <c r="CI281" i="20"/>
  <c r="GG281" i="20"/>
  <c r="GI281" i="20" s="1"/>
  <c r="DA281" i="20" s="1"/>
  <c r="CH281" i="20"/>
  <c r="BZ281" i="20"/>
  <c r="EH281" i="20" s="1"/>
  <c r="EJ281" i="20" s="1"/>
  <c r="AB281" i="20"/>
  <c r="AT281" i="20"/>
  <c r="BZ399" i="20"/>
  <c r="EH399" i="20" s="1"/>
  <c r="EJ399" i="20" s="1"/>
  <c r="EO399" i="20" s="1"/>
  <c r="GG399" i="20"/>
  <c r="GI399" i="20" s="1"/>
  <c r="DA399" i="20" s="1"/>
  <c r="CH399" i="20"/>
  <c r="CI399" i="20"/>
  <c r="AT399" i="20"/>
  <c r="AB399" i="20"/>
  <c r="BG399" i="20" s="1"/>
  <c r="DC389" i="20"/>
  <c r="FO389" i="20"/>
  <c r="DU77" i="20"/>
  <c r="DU39" i="20"/>
  <c r="DU67" i="20"/>
  <c r="O16" i="20"/>
  <c r="EC489" i="20"/>
  <c r="BQ483" i="20"/>
  <c r="EB483" i="20"/>
  <c r="DU474" i="20"/>
  <c r="EL477" i="20"/>
  <c r="EC481" i="20"/>
  <c r="EU481" i="20" s="1"/>
  <c r="EX481" i="20" s="1"/>
  <c r="EY481" i="20" s="1"/>
  <c r="AB207" i="20"/>
  <c r="EL479" i="20"/>
  <c r="GG189" i="20"/>
  <c r="GI189" i="20" s="1"/>
  <c r="DA189" i="20" s="1"/>
  <c r="CH189" i="20"/>
  <c r="AT189" i="20"/>
  <c r="CI189" i="20"/>
  <c r="BZ189" i="20"/>
  <c r="EH189" i="20" s="1"/>
  <c r="EJ189" i="20" s="1"/>
  <c r="AG186" i="20"/>
  <c r="DQ322" i="20"/>
  <c r="P322" i="20"/>
  <c r="BN322" i="20" s="1"/>
  <c r="CW322" i="20" s="1"/>
  <c r="BF322" i="20"/>
  <c r="CU322" i="20" s="1"/>
  <c r="FB335" i="20"/>
  <c r="FC335" i="20" s="1"/>
  <c r="FD335" i="20" s="1"/>
  <c r="DI194" i="20"/>
  <c r="FO194" i="20"/>
  <c r="DC413" i="20"/>
  <c r="FO413" i="20"/>
  <c r="BF277" i="20"/>
  <c r="CU277" i="20" s="1"/>
  <c r="P277" i="20"/>
  <c r="DQ277" i="20"/>
  <c r="BJ277" i="20"/>
  <c r="DU229" i="20"/>
  <c r="FO450" i="20"/>
  <c r="DC450" i="20"/>
  <c r="DU175" i="20"/>
  <c r="DL166" i="20"/>
  <c r="FQ166" i="20"/>
  <c r="FO152" i="20"/>
  <c r="DI152" i="20"/>
  <c r="DU33" i="20"/>
  <c r="BK498" i="20"/>
  <c r="ET499" i="20"/>
  <c r="ES499" i="20" s="1"/>
  <c r="AG499" i="20"/>
  <c r="DU492" i="20"/>
  <c r="DU489" i="20"/>
  <c r="DU494" i="20"/>
  <c r="EL490" i="20"/>
  <c r="ET485" i="20"/>
  <c r="ES485" i="20" s="1"/>
  <c r="FB485" i="20" s="1"/>
  <c r="FC485" i="20" s="1"/>
  <c r="FD485" i="20" s="1"/>
  <c r="AG485" i="20"/>
  <c r="ET488" i="20"/>
  <c r="ES488" i="20" s="1"/>
  <c r="FB488" i="20" s="1"/>
  <c r="FC488" i="20" s="1"/>
  <c r="FD488" i="20" s="1"/>
  <c r="AG488" i="20"/>
  <c r="EL485" i="20"/>
  <c r="EL493" i="20"/>
  <c r="EL486" i="20"/>
  <c r="EC483" i="20"/>
  <c r="EU483" i="20" s="1"/>
  <c r="EX483" i="20" s="1"/>
  <c r="EY483" i="20" s="1"/>
  <c r="EC479" i="20"/>
  <c r="EU479" i="20" s="1"/>
  <c r="EX479" i="20" s="1"/>
  <c r="EY479" i="20" s="1"/>
  <c r="EC480" i="20"/>
  <c r="EU480" i="20" s="1"/>
  <c r="EX480" i="20" s="1"/>
  <c r="EY480" i="20" s="1"/>
  <c r="P207" i="20"/>
  <c r="DQ207" i="20"/>
  <c r="BJ207" i="20"/>
  <c r="BF207" i="20"/>
  <c r="CU207" i="20" s="1"/>
  <c r="CI196" i="20"/>
  <c r="AT196" i="20"/>
  <c r="CH196" i="20"/>
  <c r="BZ196" i="20"/>
  <c r="EH196" i="20" s="1"/>
  <c r="EJ196" i="20" s="1"/>
  <c r="BF248" i="20"/>
  <c r="CU248" i="20" s="1"/>
  <c r="P248" i="20"/>
  <c r="DQ248" i="20"/>
  <c r="BJ248" i="20"/>
  <c r="FB195" i="20"/>
  <c r="FC195" i="20" s="1"/>
  <c r="FD195" i="20" s="1"/>
  <c r="DI231" i="20"/>
  <c r="FO231" i="20"/>
  <c r="BQ322" i="20"/>
  <c r="EB322" i="20"/>
  <c r="BJ290" i="20"/>
  <c r="ET402" i="20"/>
  <c r="ES402" i="20" s="1"/>
  <c r="AG402" i="20"/>
  <c r="ET440" i="20"/>
  <c r="ES440" i="20" s="1"/>
  <c r="AG440" i="20"/>
  <c r="DI401" i="20"/>
  <c r="FO401" i="20"/>
  <c r="DC365" i="20"/>
  <c r="FO365" i="20"/>
  <c r="DQ241" i="20"/>
  <c r="BF241" i="20"/>
  <c r="CU241" i="20" s="1"/>
  <c r="P241" i="20"/>
  <c r="BJ241" i="20"/>
  <c r="DU174" i="20"/>
  <c r="DU177" i="20"/>
  <c r="DU52" i="20"/>
  <c r="DU40" i="20"/>
  <c r="EB498" i="20"/>
  <c r="BQ498" i="20"/>
  <c r="BR498" i="20" s="1"/>
  <c r="EC490" i="20"/>
  <c r="EL487" i="20"/>
  <c r="DU476" i="20"/>
  <c r="ET473" i="20"/>
  <c r="ES473" i="20" s="1"/>
  <c r="AG473" i="20"/>
  <c r="DI192" i="20"/>
  <c r="FO192" i="20"/>
  <c r="AG191" i="20"/>
  <c r="ET191" i="20"/>
  <c r="ES191" i="20" s="1"/>
  <c r="DQ185" i="20"/>
  <c r="P185" i="20"/>
  <c r="BF185" i="20"/>
  <c r="CU185" i="20" s="1"/>
  <c r="BJ185" i="20"/>
  <c r="EL478" i="20"/>
  <c r="CM188" i="20"/>
  <c r="EL481" i="20"/>
  <c r="P243" i="20"/>
  <c r="BN243" i="20" s="1"/>
  <c r="CW243" i="20" s="1"/>
  <c r="BF243" i="20"/>
  <c r="CU243" i="20" s="1"/>
  <c r="DQ243" i="20"/>
  <c r="BN184" i="20"/>
  <c r="CW184" i="20" s="1"/>
  <c r="FB423" i="20"/>
  <c r="FC423" i="20" s="1"/>
  <c r="FD423" i="20" s="1"/>
  <c r="FO411" i="20"/>
  <c r="DC411" i="20"/>
  <c r="CI410" i="20"/>
  <c r="CH410" i="20"/>
  <c r="BZ410" i="20"/>
  <c r="EH410" i="20" s="1"/>
  <c r="EJ410" i="20" s="1"/>
  <c r="AB410" i="20"/>
  <c r="BG410" i="20" s="1"/>
  <c r="AT410" i="20"/>
  <c r="DI445" i="20"/>
  <c r="FO445" i="20"/>
  <c r="FO417" i="20"/>
  <c r="DI417" i="20"/>
  <c r="DI414" i="20"/>
  <c r="FO414" i="20"/>
  <c r="EB413" i="20"/>
  <c r="BQ413" i="20"/>
  <c r="DQ412" i="20"/>
  <c r="P412" i="20"/>
  <c r="BN412" i="20" s="1"/>
  <c r="CW412" i="20" s="1"/>
  <c r="BF412" i="20"/>
  <c r="CU412" i="20" s="1"/>
  <c r="BF406" i="20"/>
  <c r="CU406" i="20" s="1"/>
  <c r="P406" i="20"/>
  <c r="DQ406" i="20"/>
  <c r="BF296" i="20"/>
  <c r="CU296" i="20" s="1"/>
  <c r="P296" i="20"/>
  <c r="DQ296" i="20"/>
  <c r="DI355" i="20"/>
  <c r="FO355" i="20"/>
  <c r="FO294" i="20"/>
  <c r="DI294" i="20"/>
  <c r="DU221" i="20"/>
  <c r="EB503" i="20"/>
  <c r="BQ503" i="20"/>
  <c r="EL502" i="20"/>
  <c r="FB503" i="20"/>
  <c r="FC503" i="20" s="1"/>
  <c r="FD503" i="20" s="1"/>
  <c r="ET487" i="20"/>
  <c r="ES487" i="20" s="1"/>
  <c r="AG487" i="20"/>
  <c r="ET476" i="20"/>
  <c r="ES476" i="20" s="1"/>
  <c r="AG476" i="20"/>
  <c r="BQ481" i="20"/>
  <c r="EB481" i="20"/>
  <c r="DU473" i="20"/>
  <c r="FB472" i="20"/>
  <c r="FC472" i="20" s="1"/>
  <c r="FD472" i="20" s="1"/>
  <c r="EL482" i="20"/>
  <c r="EB210" i="20"/>
  <c r="BQ210" i="20"/>
  <c r="EL480" i="20"/>
  <c r="CQ473" i="20"/>
  <c r="CS473" i="20" s="1"/>
  <c r="AT185" i="20"/>
  <c r="BF198" i="20"/>
  <c r="CU198" i="20" s="1"/>
  <c r="P198" i="20"/>
  <c r="BN198" i="20" s="1"/>
  <c r="CW198" i="20" s="1"/>
  <c r="DQ198" i="20"/>
  <c r="BJ198" i="20"/>
  <c r="BF187" i="20"/>
  <c r="CU187" i="20" s="1"/>
  <c r="P187" i="20"/>
  <c r="DQ187" i="20"/>
  <c r="BQ243" i="20"/>
  <c r="EB243" i="20"/>
  <c r="CI199" i="20"/>
  <c r="BZ199" i="20"/>
  <c r="EH199" i="20" s="1"/>
  <c r="EJ199" i="20" s="1"/>
  <c r="GG199" i="20"/>
  <c r="GI199" i="20" s="1"/>
  <c r="DA199" i="20" s="1"/>
  <c r="CH199" i="20"/>
  <c r="AT199" i="20"/>
  <c r="DI425" i="20"/>
  <c r="FO425" i="20"/>
  <c r="BF426" i="20"/>
  <c r="CU426" i="20" s="1"/>
  <c r="DQ426" i="20"/>
  <c r="P426" i="20"/>
  <c r="BJ406" i="20"/>
  <c r="BJ412" i="20"/>
  <c r="CI404" i="20"/>
  <c r="AT404" i="20"/>
  <c r="GG404" i="20"/>
  <c r="GI404" i="20" s="1"/>
  <c r="DA404" i="20" s="1"/>
  <c r="CH404" i="20"/>
  <c r="BZ404" i="20"/>
  <c r="EH404" i="20" s="1"/>
  <c r="EJ404" i="20" s="1"/>
  <c r="AB404" i="20"/>
  <c r="FO259" i="20"/>
  <c r="DC259" i="20"/>
  <c r="DI275" i="20"/>
  <c r="FO275" i="20"/>
  <c r="FQ311" i="20"/>
  <c r="DL311" i="20"/>
  <c r="FQ168" i="20"/>
  <c r="DL168" i="20"/>
  <c r="DU215" i="20"/>
  <c r="DU202" i="20"/>
  <c r="FO217" i="20"/>
  <c r="DC217" i="20"/>
  <c r="DU25" i="20"/>
  <c r="BJ199" i="20"/>
  <c r="FB184" i="20"/>
  <c r="FC184" i="20" s="1"/>
  <c r="FD184" i="20" s="1"/>
  <c r="BG283" i="20"/>
  <c r="BH283" i="20" s="1"/>
  <c r="GG248" i="20"/>
  <c r="GI248" i="20" s="1"/>
  <c r="DA248" i="20" s="1"/>
  <c r="CI248" i="20"/>
  <c r="BZ248" i="20"/>
  <c r="EH248" i="20" s="1"/>
  <c r="EJ248" i="20" s="1"/>
  <c r="CH248" i="20"/>
  <c r="DQ272" i="20"/>
  <c r="P272" i="20"/>
  <c r="BN272" i="20" s="1"/>
  <c r="CW272" i="20" s="1"/>
  <c r="BF272" i="20"/>
  <c r="CU272" i="20" s="1"/>
  <c r="DI238" i="20"/>
  <c r="FO238" i="20"/>
  <c r="CH342" i="20"/>
  <c r="AT342" i="20"/>
  <c r="CI342" i="20"/>
  <c r="BZ342" i="20"/>
  <c r="EH342" i="20" s="1"/>
  <c r="EJ342" i="20" s="1"/>
  <c r="EP342" i="20" s="1"/>
  <c r="CI323" i="20"/>
  <c r="GG323" i="20"/>
  <c r="GI323" i="20" s="1"/>
  <c r="DA323" i="20" s="1"/>
  <c r="CH323" i="20"/>
  <c r="BZ323" i="20"/>
  <c r="EH323" i="20" s="1"/>
  <c r="EJ323" i="20" s="1"/>
  <c r="EO323" i="20" s="1"/>
  <c r="AB323" i="20"/>
  <c r="BG323" i="20" s="1"/>
  <c r="CI339" i="20"/>
  <c r="CH339" i="20"/>
  <c r="BZ339" i="20"/>
  <c r="EH339" i="20" s="1"/>
  <c r="EJ339" i="20" s="1"/>
  <c r="BZ340" i="20"/>
  <c r="EH340" i="20" s="1"/>
  <c r="EJ340" i="20" s="1"/>
  <c r="CH340" i="20"/>
  <c r="CI340" i="20"/>
  <c r="BQ213" i="20"/>
  <c r="EB213" i="20"/>
  <c r="CI425" i="20"/>
  <c r="BZ425" i="20"/>
  <c r="EH425" i="20" s="1"/>
  <c r="EJ425" i="20" s="1"/>
  <c r="CH425" i="20"/>
  <c r="AB425" i="20"/>
  <c r="BG425" i="20" s="1"/>
  <c r="BN427" i="20"/>
  <c r="CW427" i="20" s="1"/>
  <c r="DQ439" i="20"/>
  <c r="P439" i="20"/>
  <c r="BN439" i="20" s="1"/>
  <c r="CW439" i="20" s="1"/>
  <c r="BF439" i="20"/>
  <c r="CU439" i="20" s="1"/>
  <c r="CI412" i="20"/>
  <c r="CH412" i="20"/>
  <c r="BZ412" i="20"/>
  <c r="EH412" i="20" s="1"/>
  <c r="EJ412" i="20" s="1"/>
  <c r="ET416" i="20"/>
  <c r="ES416" i="20" s="1"/>
  <c r="AG416" i="20"/>
  <c r="CH446" i="20"/>
  <c r="BZ446" i="20"/>
  <c r="EH446" i="20" s="1"/>
  <c r="EJ446" i="20" s="1"/>
  <c r="EO446" i="20" s="1"/>
  <c r="AT446" i="20"/>
  <c r="CI446" i="20"/>
  <c r="AB446" i="20"/>
  <c r="BG446" i="20" s="1"/>
  <c r="DI344" i="20"/>
  <c r="FO344" i="20"/>
  <c r="AG446" i="20"/>
  <c r="BZ402" i="20"/>
  <c r="EH402" i="20" s="1"/>
  <c r="EJ402" i="20" s="1"/>
  <c r="EP402" i="20" s="1"/>
  <c r="CH402" i="20"/>
  <c r="CI402" i="20"/>
  <c r="AT402" i="20"/>
  <c r="CH400" i="20"/>
  <c r="BZ400" i="20"/>
  <c r="EH400" i="20" s="1"/>
  <c r="EJ400" i="20" s="1"/>
  <c r="EP400" i="20" s="1"/>
  <c r="CI400" i="20"/>
  <c r="FO398" i="20"/>
  <c r="DI398" i="20"/>
  <c r="CI363" i="20"/>
  <c r="GG363" i="20"/>
  <c r="GI363" i="20" s="1"/>
  <c r="DA363" i="20" s="1"/>
  <c r="CH363" i="20"/>
  <c r="BZ363" i="20"/>
  <c r="EH363" i="20" s="1"/>
  <c r="EJ363" i="20" s="1"/>
  <c r="CI291" i="20"/>
  <c r="CH291" i="20"/>
  <c r="BZ291" i="20"/>
  <c r="EH291" i="20" s="1"/>
  <c r="EJ291" i="20" s="1"/>
  <c r="BJ287" i="20"/>
  <c r="BQ347" i="20"/>
  <c r="EB347" i="20"/>
  <c r="CH295" i="20"/>
  <c r="BZ295" i="20"/>
  <c r="EH295" i="20" s="1"/>
  <c r="EJ295" i="20" s="1"/>
  <c r="AT295" i="20"/>
  <c r="CI295" i="20"/>
  <c r="FB294" i="20"/>
  <c r="FC294" i="20" s="1"/>
  <c r="FD294" i="20" s="1"/>
  <c r="CI371" i="20"/>
  <c r="GG371" i="20"/>
  <c r="GI371" i="20" s="1"/>
  <c r="DA371" i="20" s="1"/>
  <c r="CH371" i="20"/>
  <c r="BZ371" i="20"/>
  <c r="EH371" i="20" s="1"/>
  <c r="EJ371" i="20" s="1"/>
  <c r="CI361" i="20"/>
  <c r="CH361" i="20"/>
  <c r="BZ361" i="20"/>
  <c r="EH361" i="20" s="1"/>
  <c r="EJ361" i="20" s="1"/>
  <c r="BF367" i="20"/>
  <c r="CU367" i="20" s="1"/>
  <c r="P367" i="20"/>
  <c r="DQ367" i="20"/>
  <c r="CI348" i="20"/>
  <c r="CH348" i="20"/>
  <c r="BZ348" i="20"/>
  <c r="EH348" i="20" s="1"/>
  <c r="EJ348" i="20" s="1"/>
  <c r="FO393" i="20"/>
  <c r="DI393" i="20"/>
  <c r="AB256" i="20"/>
  <c r="CI250" i="20"/>
  <c r="CH250" i="20"/>
  <c r="BZ250" i="20"/>
  <c r="EH250" i="20" s="1"/>
  <c r="EJ250" i="20" s="1"/>
  <c r="EP250" i="20" s="1"/>
  <c r="AT375" i="20"/>
  <c r="CI325" i="20"/>
  <c r="GG325" i="20"/>
  <c r="GI325" i="20" s="1"/>
  <c r="DA325" i="20" s="1"/>
  <c r="CH325" i="20"/>
  <c r="BZ325" i="20"/>
  <c r="EH325" i="20" s="1"/>
  <c r="EJ325" i="20" s="1"/>
  <c r="FO390" i="20"/>
  <c r="DI390" i="20"/>
  <c r="BG375" i="20"/>
  <c r="BP375" i="20" s="1"/>
  <c r="BF256" i="20"/>
  <c r="CU256" i="20" s="1"/>
  <c r="DQ256" i="20"/>
  <c r="P256" i="20"/>
  <c r="ET333" i="20"/>
  <c r="ES333" i="20" s="1"/>
  <c r="AG333" i="20"/>
  <c r="CI318" i="20"/>
  <c r="BZ318" i="20"/>
  <c r="EH318" i="20" s="1"/>
  <c r="EJ318" i="20" s="1"/>
  <c r="GG318" i="20"/>
  <c r="GI318" i="20" s="1"/>
  <c r="DA318" i="20" s="1"/>
  <c r="CH318" i="20"/>
  <c r="DQ268" i="20"/>
  <c r="BF268" i="20"/>
  <c r="CU268" i="20" s="1"/>
  <c r="P268" i="20"/>
  <c r="BJ268" i="20"/>
  <c r="BG388" i="20"/>
  <c r="BH388" i="20" s="1"/>
  <c r="BP312" i="20"/>
  <c r="EP236" i="20"/>
  <c r="CJ310" i="20"/>
  <c r="CQ310" i="20" s="1"/>
  <c r="BH308" i="20"/>
  <c r="BP308" i="20"/>
  <c r="BR308" i="20" s="1"/>
  <c r="P429" i="20"/>
  <c r="DQ429" i="20"/>
  <c r="BJ429" i="20"/>
  <c r="U429" i="20"/>
  <c r="BF429" i="20"/>
  <c r="CU429" i="20" s="1"/>
  <c r="EP310" i="20"/>
  <c r="EO229" i="20"/>
  <c r="DU389" i="20"/>
  <c r="BF391" i="20"/>
  <c r="CU391" i="20" s="1"/>
  <c r="U391" i="20"/>
  <c r="T391" i="20" s="1"/>
  <c r="P391" i="20"/>
  <c r="DQ391" i="20"/>
  <c r="BJ391" i="20"/>
  <c r="EL220" i="20"/>
  <c r="EO221" i="20"/>
  <c r="AT167" i="20"/>
  <c r="EM167" i="20"/>
  <c r="BJ182" i="20"/>
  <c r="BK223" i="20"/>
  <c r="BF222" i="20"/>
  <c r="P222" i="20"/>
  <c r="DQ222" i="20"/>
  <c r="CI429" i="20"/>
  <c r="BZ429" i="20"/>
  <c r="EH429" i="20" s="1"/>
  <c r="EJ429" i="20" s="1"/>
  <c r="GG429" i="20"/>
  <c r="GI429" i="20" s="1"/>
  <c r="DA429" i="20" s="1"/>
  <c r="AB429" i="20"/>
  <c r="BG429" i="20" s="1"/>
  <c r="EO235" i="20"/>
  <c r="BF421" i="20"/>
  <c r="CU421" i="20" s="1"/>
  <c r="U421" i="20"/>
  <c r="P421" i="20"/>
  <c r="DQ421" i="20"/>
  <c r="BJ421" i="20"/>
  <c r="AG380" i="20"/>
  <c r="ET380" i="20"/>
  <c r="ES380" i="20" s="1"/>
  <c r="AU151" i="20"/>
  <c r="FB163" i="20"/>
  <c r="FC163" i="20" s="1"/>
  <c r="FD163" i="20" s="1"/>
  <c r="EJ149" i="20"/>
  <c r="EP154" i="20"/>
  <c r="FB145" i="20"/>
  <c r="FC145" i="20" s="1"/>
  <c r="FD145" i="20" s="1"/>
  <c r="FB137" i="20"/>
  <c r="FC137" i="20" s="1"/>
  <c r="FD137" i="20" s="1"/>
  <c r="BG380" i="20"/>
  <c r="BP380" i="20" s="1"/>
  <c r="FB143" i="20"/>
  <c r="FC143" i="20" s="1"/>
  <c r="FD143" i="20" s="1"/>
  <c r="DU297" i="20"/>
  <c r="AT150" i="20"/>
  <c r="BU128" i="20"/>
  <c r="BT128" i="20"/>
  <c r="BV128" i="20" s="1"/>
  <c r="CJ144" i="20"/>
  <c r="CQ144" i="20" s="1"/>
  <c r="CS144" i="20" s="1"/>
  <c r="CX144" i="20" s="1"/>
  <c r="BG122" i="20"/>
  <c r="BH122" i="20" s="1"/>
  <c r="DR95" i="20"/>
  <c r="P95" i="20"/>
  <c r="BF95" i="20"/>
  <c r="BG131" i="20"/>
  <c r="BH131" i="20" s="1"/>
  <c r="FB119" i="20"/>
  <c r="FC119" i="20" s="1"/>
  <c r="FD119" i="20" s="1"/>
  <c r="EU163" i="20"/>
  <c r="EX163" i="20" s="1"/>
  <c r="EY163" i="20" s="1"/>
  <c r="CJ141" i="20"/>
  <c r="CQ141" i="20" s="1"/>
  <c r="CS141" i="20" s="1"/>
  <c r="CX141" i="20" s="1"/>
  <c r="GL122" i="20"/>
  <c r="CL122" i="20"/>
  <c r="CM122" i="20" s="1"/>
  <c r="GG122" i="20"/>
  <c r="GI122" i="20" s="1"/>
  <c r="DA122" i="20" s="1"/>
  <c r="DI123" i="20"/>
  <c r="FO123" i="20"/>
  <c r="BU86" i="20"/>
  <c r="BT86" i="20"/>
  <c r="BV86" i="20" s="1"/>
  <c r="BG81" i="20"/>
  <c r="BH81" i="20" s="1"/>
  <c r="BM87" i="20"/>
  <c r="BN87" i="20" s="1"/>
  <c r="CW87" i="20" s="1"/>
  <c r="BT116" i="20"/>
  <c r="BV116" i="20" s="1"/>
  <c r="BT124" i="20"/>
  <c r="BV124" i="20" s="1"/>
  <c r="BM68" i="20"/>
  <c r="BN68" i="20" s="1"/>
  <c r="CW68" i="20" s="1"/>
  <c r="BG68" i="20"/>
  <c r="BH68" i="20" s="1"/>
  <c r="AU41" i="20"/>
  <c r="AT41" i="20"/>
  <c r="AT123" i="20"/>
  <c r="FG109" i="20"/>
  <c r="FH109" i="20" s="1"/>
  <c r="AU93" i="20"/>
  <c r="AT93" i="20"/>
  <c r="AT110" i="20"/>
  <c r="DU89" i="20"/>
  <c r="BM84" i="20"/>
  <c r="BN84" i="20" s="1"/>
  <c r="CW84" i="20" s="1"/>
  <c r="BG59" i="20"/>
  <c r="BH59" i="20" s="1"/>
  <c r="AT111" i="20"/>
  <c r="AT108" i="20"/>
  <c r="AY108" i="20" s="1"/>
  <c r="AU97" i="20"/>
  <c r="ET85" i="20"/>
  <c r="ES85" i="20" s="1"/>
  <c r="FG85" i="20" s="1"/>
  <c r="FH85" i="20" s="1"/>
  <c r="AG85" i="20"/>
  <c r="ET76" i="20"/>
  <c r="ES76" i="20" s="1"/>
  <c r="FG76" i="20" s="1"/>
  <c r="FH76" i="20" s="1"/>
  <c r="AG76" i="20"/>
  <c r="CI71" i="20"/>
  <c r="BS71" i="20"/>
  <c r="AV71" i="20"/>
  <c r="CH71" i="20"/>
  <c r="BZ71" i="20"/>
  <c r="EH71" i="20" s="1"/>
  <c r="EJ71" i="20" s="1"/>
  <c r="GF71" i="20"/>
  <c r="GI71" i="20" s="1"/>
  <c r="DA71" i="20" s="1"/>
  <c r="GF60" i="20"/>
  <c r="GI60" i="20" s="1"/>
  <c r="DA60" i="20" s="1"/>
  <c r="CI60" i="20"/>
  <c r="BS60" i="20"/>
  <c r="AV60" i="20"/>
  <c r="CH60" i="20"/>
  <c r="BZ60" i="20"/>
  <c r="EH60" i="20" s="1"/>
  <c r="EJ60" i="20" s="1"/>
  <c r="BG61" i="20"/>
  <c r="BH61" i="20" s="1"/>
  <c r="BF50" i="20"/>
  <c r="P50" i="20"/>
  <c r="BN50" i="20" s="1"/>
  <c r="DR50" i="20"/>
  <c r="BU22" i="20"/>
  <c r="BT22" i="20"/>
  <c r="BV22" i="20" s="1"/>
  <c r="AG50" i="20"/>
  <c r="ET50" i="20"/>
  <c r="ES50" i="20" s="1"/>
  <c r="FB50" i="20" s="1"/>
  <c r="FC50" i="20" s="1"/>
  <c r="FD50" i="20" s="1"/>
  <c r="BZ62" i="20"/>
  <c r="EH62" i="20" s="1"/>
  <c r="EJ62" i="20" s="1"/>
  <c r="GF62" i="20"/>
  <c r="CI62" i="20"/>
  <c r="BS62" i="20"/>
  <c r="AV62" i="20"/>
  <c r="CH62" i="20"/>
  <c r="BJ46" i="20"/>
  <c r="BK46" i="20" s="1"/>
  <c r="BF52" i="20"/>
  <c r="P52" i="20"/>
  <c r="BN52" i="20" s="1"/>
  <c r="DR52" i="20"/>
  <c r="BJ44" i="20"/>
  <c r="BK44" i="20" s="1"/>
  <c r="O15" i="20"/>
  <c r="BT70" i="20"/>
  <c r="BV70" i="20" s="1"/>
  <c r="EO67" i="20"/>
  <c r="ET52" i="20"/>
  <c r="ES52" i="20" s="1"/>
  <c r="FB52" i="20" s="1"/>
  <c r="FC52" i="20" s="1"/>
  <c r="FD52" i="20" s="1"/>
  <c r="AG52" i="20"/>
  <c r="BU48" i="20"/>
  <c r="BT48" i="20"/>
  <c r="BV48" i="20" s="1"/>
  <c r="DR21" i="20"/>
  <c r="BF21" i="20"/>
  <c r="P21" i="20"/>
  <c r="ET35" i="20"/>
  <c r="ES35" i="20" s="1"/>
  <c r="AG35" i="20"/>
  <c r="ET31" i="20"/>
  <c r="ES31" i="20" s="1"/>
  <c r="AG31" i="20"/>
  <c r="ET36" i="20"/>
  <c r="ES36" i="20" s="1"/>
  <c r="AG36" i="20"/>
  <c r="BJ23" i="20"/>
  <c r="BK23" i="20" s="1"/>
  <c r="BJ323" i="20"/>
  <c r="AB270" i="20"/>
  <c r="DC213" i="20"/>
  <c r="FO213" i="20"/>
  <c r="BQ423" i="20"/>
  <c r="EB423" i="20"/>
  <c r="BJ426" i="20"/>
  <c r="CI439" i="20"/>
  <c r="GG439" i="20"/>
  <c r="GI439" i="20" s="1"/>
  <c r="DA439" i="20" s="1"/>
  <c r="CH439" i="20"/>
  <c r="BZ439" i="20"/>
  <c r="EH439" i="20" s="1"/>
  <c r="EJ439" i="20" s="1"/>
  <c r="DQ407" i="20"/>
  <c r="P407" i="20"/>
  <c r="BF407" i="20"/>
  <c r="CU407" i="20" s="1"/>
  <c r="FB414" i="20"/>
  <c r="FC414" i="20" s="1"/>
  <c r="FD414" i="20" s="1"/>
  <c r="EB405" i="20"/>
  <c r="BQ405" i="20"/>
  <c r="BF399" i="20"/>
  <c r="CU399" i="20" s="1"/>
  <c r="P399" i="20"/>
  <c r="DQ399" i="20"/>
  <c r="BF409" i="20"/>
  <c r="CU409" i="20" s="1"/>
  <c r="DQ409" i="20"/>
  <c r="P409" i="20"/>
  <c r="CI407" i="20"/>
  <c r="AT407" i="20"/>
  <c r="BZ407" i="20"/>
  <c r="EH407" i="20" s="1"/>
  <c r="EJ407" i="20" s="1"/>
  <c r="GG407" i="20"/>
  <c r="GI407" i="20" s="1"/>
  <c r="DA407" i="20" s="1"/>
  <c r="CH407" i="20"/>
  <c r="FB365" i="20"/>
  <c r="FC365" i="20" s="1"/>
  <c r="FD365" i="20" s="1"/>
  <c r="BJ407" i="20"/>
  <c r="CM355" i="20"/>
  <c r="DQ363" i="20"/>
  <c r="BF363" i="20"/>
  <c r="CU363" i="20" s="1"/>
  <c r="P363" i="20"/>
  <c r="AG379" i="20"/>
  <c r="BF252" i="20"/>
  <c r="CU252" i="20" s="1"/>
  <c r="P252" i="20"/>
  <c r="BN252" i="20" s="1"/>
  <c r="CW252" i="20" s="1"/>
  <c r="DQ252" i="20"/>
  <c r="P295" i="20"/>
  <c r="BN295" i="20" s="1"/>
  <c r="CW295" i="20" s="1"/>
  <c r="BF295" i="20"/>
  <c r="CU295" i="20" s="1"/>
  <c r="DQ295" i="20"/>
  <c r="CI352" i="20"/>
  <c r="CH352" i="20"/>
  <c r="BZ352" i="20"/>
  <c r="EH352" i="20" s="1"/>
  <c r="EJ352" i="20" s="1"/>
  <c r="BJ242" i="20"/>
  <c r="BJ363" i="20"/>
  <c r="AT373" i="20"/>
  <c r="CI246" i="20"/>
  <c r="AT246" i="20"/>
  <c r="CH246" i="20"/>
  <c r="BZ246" i="20"/>
  <c r="EH246" i="20" s="1"/>
  <c r="EJ246" i="20" s="1"/>
  <c r="EP246" i="20" s="1"/>
  <c r="EB374" i="20"/>
  <c r="BQ374" i="20"/>
  <c r="BG363" i="20"/>
  <c r="BP363" i="20" s="1"/>
  <c r="CM246" i="20"/>
  <c r="BQ254" i="20"/>
  <c r="EB254" i="20"/>
  <c r="BJ295" i="20"/>
  <c r="GG260" i="20"/>
  <c r="GI260" i="20" s="1"/>
  <c r="DA260" i="20" s="1"/>
  <c r="CI260" i="20"/>
  <c r="AT260" i="20"/>
  <c r="CH260" i="20"/>
  <c r="BZ260" i="20"/>
  <c r="EH260" i="20" s="1"/>
  <c r="EJ260" i="20" s="1"/>
  <c r="GG266" i="20"/>
  <c r="GI266" i="20" s="1"/>
  <c r="DA266" i="20" s="1"/>
  <c r="CI266" i="20"/>
  <c r="AT266" i="20"/>
  <c r="CH266" i="20"/>
  <c r="BZ266" i="20"/>
  <c r="EH266" i="20" s="1"/>
  <c r="EJ266" i="20" s="1"/>
  <c r="EB420" i="20"/>
  <c r="BQ420" i="20"/>
  <c r="FO395" i="20"/>
  <c r="DI395" i="20"/>
  <c r="FB353" i="20"/>
  <c r="FC353" i="20" s="1"/>
  <c r="FD353" i="20" s="1"/>
  <c r="DQ257" i="20"/>
  <c r="P257" i="20"/>
  <c r="BN257" i="20" s="1"/>
  <c r="CW257" i="20" s="1"/>
  <c r="BF257" i="20"/>
  <c r="CU257" i="20" s="1"/>
  <c r="GG375" i="20"/>
  <c r="GI375" i="20" s="1"/>
  <c r="DA375" i="20" s="1"/>
  <c r="BG262" i="20"/>
  <c r="BP262" i="20" s="1"/>
  <c r="BQ338" i="20"/>
  <c r="EB338" i="20"/>
  <c r="BF321" i="20"/>
  <c r="CU321" i="20" s="1"/>
  <c r="DQ321" i="20"/>
  <c r="P321" i="20"/>
  <c r="BN321" i="20" s="1"/>
  <c r="CW321" i="20" s="1"/>
  <c r="GG250" i="20"/>
  <c r="GI250" i="20" s="1"/>
  <c r="DA250" i="20" s="1"/>
  <c r="CI262" i="20"/>
  <c r="GG262" i="20"/>
  <c r="GI262" i="20" s="1"/>
  <c r="DA262" i="20" s="1"/>
  <c r="CH262" i="20"/>
  <c r="BZ262" i="20"/>
  <c r="EH262" i="20" s="1"/>
  <c r="EJ262" i="20" s="1"/>
  <c r="DQ325" i="20"/>
  <c r="P325" i="20"/>
  <c r="BN325" i="20" s="1"/>
  <c r="CW325" i="20" s="1"/>
  <c r="BF325" i="20"/>
  <c r="CU325" i="20" s="1"/>
  <c r="ET346" i="20"/>
  <c r="ES346" i="20" s="1"/>
  <c r="AG346" i="20"/>
  <c r="CM337" i="20"/>
  <c r="BF318" i="20"/>
  <c r="CU318" i="20" s="1"/>
  <c r="DQ318" i="20"/>
  <c r="P318" i="20"/>
  <c r="BN318" i="20" s="1"/>
  <c r="CW318" i="20" s="1"/>
  <c r="EB262" i="20"/>
  <c r="BQ262" i="20"/>
  <c r="CI271" i="20"/>
  <c r="BZ271" i="20"/>
  <c r="EH271" i="20" s="1"/>
  <c r="EJ271" i="20" s="1"/>
  <c r="CH271" i="20"/>
  <c r="BG331" i="20"/>
  <c r="BH331" i="20" s="1"/>
  <c r="CI332" i="20"/>
  <c r="GG332" i="20"/>
  <c r="GI332" i="20" s="1"/>
  <c r="DA332" i="20" s="1"/>
  <c r="CH332" i="20"/>
  <c r="BZ332" i="20"/>
  <c r="EH332" i="20" s="1"/>
  <c r="EJ332" i="20" s="1"/>
  <c r="DI366" i="20"/>
  <c r="FO366" i="20"/>
  <c r="BJ318" i="20"/>
  <c r="FO180" i="20"/>
  <c r="DI180" i="20"/>
  <c r="BZ230" i="20"/>
  <c r="EH230" i="20" s="1"/>
  <c r="EJ230" i="20" s="1"/>
  <c r="EO230" i="20" s="1"/>
  <c r="GG230" i="20"/>
  <c r="GI230" i="20" s="1"/>
  <c r="DA230" i="20" s="1"/>
  <c r="CI230" i="20"/>
  <c r="CH230" i="20"/>
  <c r="AT230" i="20"/>
  <c r="EO382" i="20"/>
  <c r="EP382" i="20"/>
  <c r="BQ303" i="20"/>
  <c r="EB303" i="20"/>
  <c r="BF387" i="20"/>
  <c r="CU387" i="20" s="1"/>
  <c r="P387" i="20"/>
  <c r="DQ387" i="20"/>
  <c r="DQ354" i="20"/>
  <c r="P354" i="20"/>
  <c r="BN354" i="20" s="1"/>
  <c r="CW354" i="20" s="1"/>
  <c r="BF354" i="20"/>
  <c r="CU354" i="20" s="1"/>
  <c r="BP305" i="20"/>
  <c r="BR305" i="20" s="1"/>
  <c r="BH305" i="20"/>
  <c r="ET197" i="20"/>
  <c r="ES197" i="20" s="1"/>
  <c r="AG197" i="20"/>
  <c r="DU235" i="20"/>
  <c r="EP300" i="20"/>
  <c r="AT169" i="20"/>
  <c r="AR218" i="20"/>
  <c r="EB383" i="20"/>
  <c r="BF224" i="20"/>
  <c r="DQ224" i="20"/>
  <c r="P224" i="20"/>
  <c r="BN224" i="20" s="1"/>
  <c r="BJ224" i="20"/>
  <c r="BG221" i="20"/>
  <c r="BP221" i="20" s="1"/>
  <c r="BR221" i="20" s="1"/>
  <c r="BF220" i="20"/>
  <c r="P220" i="20"/>
  <c r="DQ220" i="20"/>
  <c r="U454" i="20"/>
  <c r="T454" i="20" s="1"/>
  <c r="DQ454" i="20"/>
  <c r="P454" i="20"/>
  <c r="BN454" i="20" s="1"/>
  <c r="CW454" i="20" s="1"/>
  <c r="BF454" i="20"/>
  <c r="CU454" i="20" s="1"/>
  <c r="BG217" i="20"/>
  <c r="BH217" i="20" s="1"/>
  <c r="EB157" i="20"/>
  <c r="ET168" i="20"/>
  <c r="ES168" i="20" s="1"/>
  <c r="AG168" i="20"/>
  <c r="BG173" i="20"/>
  <c r="BH173" i="20" s="1"/>
  <c r="U449" i="20"/>
  <c r="T449" i="20" s="1"/>
  <c r="P449" i="20"/>
  <c r="DQ449" i="20"/>
  <c r="BF449" i="20"/>
  <c r="CU449" i="20" s="1"/>
  <c r="AT204" i="20"/>
  <c r="EM204" i="20"/>
  <c r="BC164" i="20"/>
  <c r="BG153" i="20"/>
  <c r="BH153" i="20" s="1"/>
  <c r="DU299" i="20"/>
  <c r="BG160" i="20"/>
  <c r="BP160" i="20" s="1"/>
  <c r="BG297" i="20"/>
  <c r="BP297" i="20" s="1"/>
  <c r="BR297" i="20" s="1"/>
  <c r="FB146" i="20"/>
  <c r="FC146" i="20" s="1"/>
  <c r="FD146" i="20" s="1"/>
  <c r="FH146" i="20"/>
  <c r="DI149" i="20"/>
  <c r="FO149" i="20"/>
  <c r="FG139" i="20"/>
  <c r="FH139" i="20" s="1"/>
  <c r="BM121" i="20"/>
  <c r="BN121" i="20" s="1"/>
  <c r="CW121" i="20" s="1"/>
  <c r="GG121" i="20"/>
  <c r="GI121" i="20" s="1"/>
  <c r="DA121" i="20" s="1"/>
  <c r="CL121" i="20"/>
  <c r="CM121" i="20" s="1"/>
  <c r="FO98" i="20"/>
  <c r="DC98" i="20"/>
  <c r="DC94" i="20"/>
  <c r="FO94" i="20"/>
  <c r="BG135" i="20"/>
  <c r="BH135" i="20" s="1"/>
  <c r="EB117" i="20"/>
  <c r="EB113" i="20"/>
  <c r="FB98" i="20"/>
  <c r="FC98" i="20" s="1"/>
  <c r="FD98" i="20" s="1"/>
  <c r="BF134" i="20"/>
  <c r="CU134" i="20" s="1"/>
  <c r="DR134" i="20"/>
  <c r="FO121" i="20"/>
  <c r="DI121" i="20"/>
  <c r="FB96" i="20"/>
  <c r="FC96" i="20" s="1"/>
  <c r="FD96" i="20" s="1"/>
  <c r="DC78" i="20"/>
  <c r="FO78" i="20"/>
  <c r="P101" i="20"/>
  <c r="DR101" i="20"/>
  <c r="FG101" i="20" s="1"/>
  <c r="BF101" i="20"/>
  <c r="BJ101" i="20"/>
  <c r="EP86" i="20"/>
  <c r="ET83" i="20"/>
  <c r="ES83" i="20" s="1"/>
  <c r="AG83" i="20"/>
  <c r="AT135" i="20"/>
  <c r="FC107" i="20"/>
  <c r="FD107" i="20" s="1"/>
  <c r="EJ119" i="20"/>
  <c r="BZ104" i="20"/>
  <c r="EH104" i="20" s="1"/>
  <c r="EJ104" i="20" s="1"/>
  <c r="AB104" i="20"/>
  <c r="CI104" i="20"/>
  <c r="BS104" i="20"/>
  <c r="CH104" i="20"/>
  <c r="AU94" i="20"/>
  <c r="AT94" i="20"/>
  <c r="BM55" i="20"/>
  <c r="BN55" i="20" s="1"/>
  <c r="CW55" i="20" s="1"/>
  <c r="FB86" i="20"/>
  <c r="FC86" i="20" s="1"/>
  <c r="FD86" i="20" s="1"/>
  <c r="EO77" i="20"/>
  <c r="CJ68" i="20"/>
  <c r="CQ68" i="20" s="1"/>
  <c r="CS68" i="20" s="1"/>
  <c r="CX68" i="20" s="1"/>
  <c r="BM92" i="20"/>
  <c r="BN92" i="20" s="1"/>
  <c r="CW92" i="20" s="1"/>
  <c r="AG89" i="20"/>
  <c r="ET89" i="20"/>
  <c r="ES89" i="20" s="1"/>
  <c r="FG89" i="20" s="1"/>
  <c r="FH89" i="20" s="1"/>
  <c r="BM57" i="20"/>
  <c r="BN57" i="20" s="1"/>
  <c r="CW57" i="20" s="1"/>
  <c r="BM53" i="20"/>
  <c r="BN53" i="20" s="1"/>
  <c r="CW53" i="20" s="1"/>
  <c r="AT136" i="20"/>
  <c r="FG119" i="20"/>
  <c r="FH119" i="20" s="1"/>
  <c r="AU95" i="20"/>
  <c r="BT89" i="20"/>
  <c r="BV89" i="20" s="1"/>
  <c r="CJ66" i="20"/>
  <c r="BH108" i="20"/>
  <c r="BK108" i="20" s="1"/>
  <c r="DR96" i="20"/>
  <c r="FG96" i="20" s="1"/>
  <c r="BF96" i="20"/>
  <c r="CU96" i="20" s="1"/>
  <c r="P96" i="20"/>
  <c r="BJ96" i="20"/>
  <c r="FB63" i="20"/>
  <c r="FC63" i="20" s="1"/>
  <c r="FD63" i="20" s="1"/>
  <c r="DX49" i="20"/>
  <c r="DW49" i="20"/>
  <c r="FB26" i="20"/>
  <c r="FC26" i="20" s="1"/>
  <c r="FD26" i="20" s="1"/>
  <c r="ET45" i="20"/>
  <c r="ES45" i="20" s="1"/>
  <c r="AG45" i="20"/>
  <c r="BK42" i="20"/>
  <c r="FB37" i="20"/>
  <c r="FC37" i="20" s="1"/>
  <c r="FD37" i="20" s="1"/>
  <c r="DU42" i="20"/>
  <c r="BU26" i="20"/>
  <c r="BT26" i="20"/>
  <c r="BV26" i="20" s="1"/>
  <c r="DU81" i="20"/>
  <c r="AU26" i="20"/>
  <c r="AT26" i="20"/>
  <c r="EV38" i="20"/>
  <c r="FB38" i="20"/>
  <c r="FC38" i="20" s="1"/>
  <c r="FD38" i="20" s="1"/>
  <c r="FB33" i="20"/>
  <c r="FC33" i="20" s="1"/>
  <c r="FD33" i="20" s="1"/>
  <c r="DR31" i="20"/>
  <c r="BF31" i="20"/>
  <c r="P31" i="20"/>
  <c r="BN31" i="20" s="1"/>
  <c r="AG22" i="20"/>
  <c r="ET22" i="20"/>
  <c r="ES22" i="20" s="1"/>
  <c r="FG22" i="20" s="1"/>
  <c r="FH22" i="20" s="1"/>
  <c r="DX43" i="20"/>
  <c r="DW43" i="20"/>
  <c r="ET24" i="20"/>
  <c r="ES24" i="20" s="1"/>
  <c r="AG24" i="20"/>
  <c r="AG21" i="20"/>
  <c r="ET21" i="20"/>
  <c r="ES21" i="20" s="1"/>
  <c r="DU37" i="20"/>
  <c r="DW32" i="20"/>
  <c r="DX32" i="20"/>
  <c r="DX20" i="20"/>
  <c r="DW20" i="20"/>
  <c r="CI270" i="20"/>
  <c r="CH270" i="20"/>
  <c r="BZ270" i="20"/>
  <c r="EH270" i="20" s="1"/>
  <c r="EJ270" i="20" s="1"/>
  <c r="DQ443" i="20"/>
  <c r="P443" i="20"/>
  <c r="BN443" i="20" s="1"/>
  <c r="CW443" i="20" s="1"/>
  <c r="BF443" i="20"/>
  <c r="CU443" i="20" s="1"/>
  <c r="GG426" i="20"/>
  <c r="GI426" i="20" s="1"/>
  <c r="DA426" i="20" s="1"/>
  <c r="CH426" i="20"/>
  <c r="CI426" i="20"/>
  <c r="BZ426" i="20"/>
  <c r="EH426" i="20" s="1"/>
  <c r="EJ426" i="20" s="1"/>
  <c r="EP426" i="20" s="1"/>
  <c r="AT426" i="20"/>
  <c r="BQ443" i="20"/>
  <c r="EB443" i="20"/>
  <c r="CI448" i="20"/>
  <c r="BZ448" i="20"/>
  <c r="EH448" i="20" s="1"/>
  <c r="EJ448" i="20" s="1"/>
  <c r="EO448" i="20" s="1"/>
  <c r="CH448" i="20"/>
  <c r="DQ440" i="20"/>
  <c r="BF440" i="20"/>
  <c r="CU440" i="20" s="1"/>
  <c r="P440" i="20"/>
  <c r="BN440" i="20" s="1"/>
  <c r="CW440" i="20" s="1"/>
  <c r="FB400" i="20"/>
  <c r="FC400" i="20" s="1"/>
  <c r="FD400" i="20" s="1"/>
  <c r="BQ403" i="20"/>
  <c r="EB403" i="20"/>
  <c r="CI355" i="20"/>
  <c r="CH355" i="20"/>
  <c r="BZ355" i="20"/>
  <c r="EH355" i="20" s="1"/>
  <c r="EJ355" i="20" s="1"/>
  <c r="AT355" i="20"/>
  <c r="AB355" i="20"/>
  <c r="CM374" i="20"/>
  <c r="CI280" i="20"/>
  <c r="GG280" i="20"/>
  <c r="GI280" i="20" s="1"/>
  <c r="DA280" i="20" s="1"/>
  <c r="CH280" i="20"/>
  <c r="BZ280" i="20"/>
  <c r="EH280" i="20" s="1"/>
  <c r="EJ280" i="20" s="1"/>
  <c r="DQ352" i="20"/>
  <c r="BF352" i="20"/>
  <c r="CU352" i="20" s="1"/>
  <c r="P352" i="20"/>
  <c r="BN246" i="20"/>
  <c r="CW246" i="20" s="1"/>
  <c r="AG296" i="20"/>
  <c r="AG241" i="20"/>
  <c r="DQ348" i="20"/>
  <c r="P348" i="20"/>
  <c r="BN348" i="20" s="1"/>
  <c r="CW348" i="20" s="1"/>
  <c r="BF348" i="20"/>
  <c r="CU348" i="20" s="1"/>
  <c r="BJ348" i="20"/>
  <c r="EB395" i="20"/>
  <c r="BQ395" i="20"/>
  <c r="CI253" i="20"/>
  <c r="AT253" i="20"/>
  <c r="CH253" i="20"/>
  <c r="BZ253" i="20"/>
  <c r="EH253" i="20" s="1"/>
  <c r="EJ253" i="20" s="1"/>
  <c r="CI251" i="20"/>
  <c r="AT251" i="20"/>
  <c r="CH251" i="20"/>
  <c r="BZ251" i="20"/>
  <c r="EH251" i="20" s="1"/>
  <c r="EJ251" i="20" s="1"/>
  <c r="BF266" i="20"/>
  <c r="CU266" i="20" s="1"/>
  <c r="P266" i="20"/>
  <c r="DQ266" i="20"/>
  <c r="CM250" i="20"/>
  <c r="GG251" i="20"/>
  <c r="GI251" i="20" s="1"/>
  <c r="DA251" i="20" s="1"/>
  <c r="CI341" i="20"/>
  <c r="GG341" i="20"/>
  <c r="GI341" i="20" s="1"/>
  <c r="DA341" i="20" s="1"/>
  <c r="CH341" i="20"/>
  <c r="BZ341" i="20"/>
  <c r="EH341" i="20" s="1"/>
  <c r="EJ341" i="20" s="1"/>
  <c r="P262" i="20"/>
  <c r="DQ262" i="20"/>
  <c r="BF262" i="20"/>
  <c r="CU262" i="20" s="1"/>
  <c r="DI333" i="20"/>
  <c r="FO333" i="20"/>
  <c r="P292" i="20"/>
  <c r="BN292" i="20" s="1"/>
  <c r="CW292" i="20" s="1"/>
  <c r="BF292" i="20"/>
  <c r="CU292" i="20" s="1"/>
  <c r="DQ292" i="20"/>
  <c r="CI366" i="20"/>
  <c r="BZ366" i="20"/>
  <c r="EH366" i="20" s="1"/>
  <c r="EJ366" i="20" s="1"/>
  <c r="GG366" i="20"/>
  <c r="GI366" i="20" s="1"/>
  <c r="DA366" i="20" s="1"/>
  <c r="CH366" i="20"/>
  <c r="GG350" i="20"/>
  <c r="GI350" i="20" s="1"/>
  <c r="DA350" i="20" s="1"/>
  <c r="DQ332" i="20"/>
  <c r="P332" i="20"/>
  <c r="BN332" i="20" s="1"/>
  <c r="CW332" i="20" s="1"/>
  <c r="BJ332" i="20"/>
  <c r="BF332" i="20"/>
  <c r="CU332" i="20" s="1"/>
  <c r="DI278" i="20"/>
  <c r="FO278" i="20"/>
  <c r="DQ197" i="20"/>
  <c r="BF197" i="20"/>
  <c r="CU197" i="20" s="1"/>
  <c r="P197" i="20"/>
  <c r="DU249" i="20"/>
  <c r="DI190" i="20"/>
  <c r="FO190" i="20"/>
  <c r="AT318" i="20"/>
  <c r="BG235" i="20"/>
  <c r="BP235" i="20" s="1"/>
  <c r="BR235" i="20" s="1"/>
  <c r="BG389" i="20"/>
  <c r="BH389" i="20" s="1"/>
  <c r="ET422" i="20"/>
  <c r="ES422" i="20" s="1"/>
  <c r="AG422" i="20"/>
  <c r="CJ221" i="20"/>
  <c r="EB382" i="20"/>
  <c r="BQ382" i="20"/>
  <c r="P308" i="20"/>
  <c r="BJ308" i="20"/>
  <c r="BF308" i="20"/>
  <c r="CU308" i="20" s="1"/>
  <c r="DQ308" i="20"/>
  <c r="BG452" i="20"/>
  <c r="BH452" i="20" s="1"/>
  <c r="AG432" i="20"/>
  <c r="ET432" i="20"/>
  <c r="ES432" i="20" s="1"/>
  <c r="EB310" i="20"/>
  <c r="EP267" i="20"/>
  <c r="EO267" i="20"/>
  <c r="EB161" i="20"/>
  <c r="P435" i="20"/>
  <c r="U435" i="20"/>
  <c r="BF435" i="20"/>
  <c r="CU435" i="20" s="1"/>
  <c r="DQ435" i="20"/>
  <c r="BJ435" i="20"/>
  <c r="AT165" i="20"/>
  <c r="EM165" i="20"/>
  <c r="EL165" i="20" s="1"/>
  <c r="CZ165" i="20" s="1"/>
  <c r="AB421" i="20"/>
  <c r="BG421" i="20" s="1"/>
  <c r="BG177" i="20"/>
  <c r="BP177" i="20" s="1"/>
  <c r="BJ454" i="20"/>
  <c r="BQ310" i="20"/>
  <c r="CJ172" i="20"/>
  <c r="CQ172" i="20" s="1"/>
  <c r="CS172" i="20" s="1"/>
  <c r="CX172" i="20" s="1"/>
  <c r="AG160" i="20"/>
  <c r="ET160" i="20"/>
  <c r="ES160" i="20" s="1"/>
  <c r="FB147" i="20"/>
  <c r="FC147" i="20" s="1"/>
  <c r="FD147" i="20" s="1"/>
  <c r="BG174" i="20"/>
  <c r="BH174" i="20" s="1"/>
  <c r="EB177" i="20"/>
  <c r="BQ177" i="20"/>
  <c r="DU166" i="20"/>
  <c r="AT206" i="20"/>
  <c r="BU144" i="20"/>
  <c r="BT144" i="20"/>
  <c r="BV144" i="20" s="1"/>
  <c r="DR141" i="20"/>
  <c r="FG141" i="20" s="1"/>
  <c r="BF141" i="20"/>
  <c r="CU141" i="20" s="1"/>
  <c r="BU123" i="20"/>
  <c r="BT123" i="20"/>
  <c r="BV123" i="20" s="1"/>
  <c r="BM88" i="20"/>
  <c r="BN88" i="20" s="1"/>
  <c r="CW88" i="20" s="1"/>
  <c r="FO119" i="20"/>
  <c r="DI119" i="20"/>
  <c r="BW134" i="20"/>
  <c r="BX134" i="20" s="1"/>
  <c r="EQ134" i="20" s="1"/>
  <c r="EP134" i="20" s="1"/>
  <c r="BB105" i="20"/>
  <c r="EC105" i="20" s="1"/>
  <c r="AU105" i="20"/>
  <c r="BT135" i="20"/>
  <c r="BV135" i="20" s="1"/>
  <c r="BG140" i="20"/>
  <c r="BH140" i="20" s="1"/>
  <c r="BT138" i="20"/>
  <c r="BV138" i="20" s="1"/>
  <c r="BU125" i="20"/>
  <c r="BT125" i="20"/>
  <c r="BV125" i="20" s="1"/>
  <c r="BB107" i="20"/>
  <c r="EC107" i="20" s="1"/>
  <c r="DC67" i="20"/>
  <c r="FO67" i="20"/>
  <c r="GI118" i="20"/>
  <c r="BM89" i="20"/>
  <c r="BN89" i="20" s="1"/>
  <c r="CW89" i="20" s="1"/>
  <c r="BJ132" i="20"/>
  <c r="AT113" i="20"/>
  <c r="BM94" i="20"/>
  <c r="BN94" i="20" s="1"/>
  <c r="CW94" i="20" s="1"/>
  <c r="BG94" i="20"/>
  <c r="BH94" i="20" s="1"/>
  <c r="ET54" i="20"/>
  <c r="AG54" i="20"/>
  <c r="BG74" i="20"/>
  <c r="BH74" i="20" s="1"/>
  <c r="CI100" i="20"/>
  <c r="BS100" i="20"/>
  <c r="BZ100" i="20"/>
  <c r="EH100" i="20" s="1"/>
  <c r="EJ100" i="20" s="1"/>
  <c r="AB100" i="20"/>
  <c r="BG100" i="20" s="1"/>
  <c r="GG100" i="20"/>
  <c r="GI100" i="20" s="1"/>
  <c r="CH100" i="20"/>
  <c r="BM66" i="20"/>
  <c r="BN66" i="20" s="1"/>
  <c r="CW66" i="20" s="1"/>
  <c r="BT133" i="20"/>
  <c r="BV133" i="20" s="1"/>
  <c r="FB88" i="20"/>
  <c r="FC88" i="20" s="1"/>
  <c r="FD88" i="20" s="1"/>
  <c r="BG75" i="20"/>
  <c r="BH75" i="20" s="1"/>
  <c r="BJ138" i="20"/>
  <c r="BT120" i="20"/>
  <c r="BV120" i="20" s="1"/>
  <c r="BU111" i="20"/>
  <c r="BW111" i="20" s="1"/>
  <c r="BX111" i="20" s="1"/>
  <c r="EQ111" i="20" s="1"/>
  <c r="EP111" i="20" s="1"/>
  <c r="BU108" i="20"/>
  <c r="BW108" i="20" s="1"/>
  <c r="BX108" i="20" s="1"/>
  <c r="EQ108" i="20" s="1"/>
  <c r="EP108" i="20" s="1"/>
  <c r="ET99" i="20"/>
  <c r="ES99" i="20" s="1"/>
  <c r="AG99" i="20"/>
  <c r="ET73" i="20"/>
  <c r="ES73" i="20" s="1"/>
  <c r="FG73" i="20" s="1"/>
  <c r="FH73" i="20" s="1"/>
  <c r="AG73" i="20"/>
  <c r="EP70" i="20"/>
  <c r="DU74" i="20"/>
  <c r="FB55" i="20"/>
  <c r="FC55" i="20" s="1"/>
  <c r="FD55" i="20" s="1"/>
  <c r="GF54" i="20"/>
  <c r="GI54" i="20" s="1"/>
  <c r="DA54" i="20" s="1"/>
  <c r="CI54" i="20"/>
  <c r="BS54" i="20"/>
  <c r="AV54" i="20"/>
  <c r="CH54" i="20"/>
  <c r="BZ54" i="20"/>
  <c r="EH54" i="20" s="1"/>
  <c r="EJ54" i="20" s="1"/>
  <c r="BU38" i="20"/>
  <c r="BT38" i="20"/>
  <c r="BV38" i="20" s="1"/>
  <c r="BU44" i="20"/>
  <c r="BT44" i="20"/>
  <c r="BV44" i="20" s="1"/>
  <c r="DU38" i="20"/>
  <c r="EP75" i="20"/>
  <c r="BF44" i="20"/>
  <c r="P44" i="20"/>
  <c r="BN44" i="20" s="1"/>
  <c r="DR44" i="20"/>
  <c r="BU31" i="20"/>
  <c r="BT31" i="20"/>
  <c r="BV31" i="20" s="1"/>
  <c r="BG88" i="20"/>
  <c r="BH88" i="20" s="1"/>
  <c r="DU48" i="20"/>
  <c r="BF30" i="20"/>
  <c r="P30" i="20"/>
  <c r="BN30" i="20" s="1"/>
  <c r="DR30" i="20"/>
  <c r="FG30" i="20" s="1"/>
  <c r="FO60" i="20"/>
  <c r="DC60" i="20"/>
  <c r="DU51" i="20"/>
  <c r="EP59" i="20"/>
  <c r="BN37" i="20"/>
  <c r="BJ31" i="20"/>
  <c r="BK31" i="20" s="1"/>
  <c r="BC21" i="20"/>
  <c r="EB195" i="20"/>
  <c r="BQ195" i="20"/>
  <c r="BF385" i="20"/>
  <c r="CU385" i="20" s="1"/>
  <c r="DQ385" i="20"/>
  <c r="P385" i="20"/>
  <c r="DI328" i="20"/>
  <c r="FO328" i="20"/>
  <c r="CH239" i="20"/>
  <c r="AT239" i="20"/>
  <c r="CI239" i="20"/>
  <c r="BZ239" i="20"/>
  <c r="EH239" i="20" s="1"/>
  <c r="EJ239" i="20" s="1"/>
  <c r="EO239" i="20" s="1"/>
  <c r="BZ360" i="20"/>
  <c r="EH360" i="20" s="1"/>
  <c r="EJ360" i="20" s="1"/>
  <c r="AT360" i="20"/>
  <c r="AB360" i="20"/>
  <c r="BG360" i="20" s="1"/>
  <c r="GG360" i="20"/>
  <c r="GI360" i="20" s="1"/>
  <c r="DA360" i="20" s="1"/>
  <c r="CI360" i="20"/>
  <c r="CH360" i="20"/>
  <c r="GG385" i="20"/>
  <c r="GI385" i="20" s="1"/>
  <c r="DA385" i="20" s="1"/>
  <c r="CH385" i="20"/>
  <c r="BZ385" i="20"/>
  <c r="EH385" i="20" s="1"/>
  <c r="EJ385" i="20" s="1"/>
  <c r="EP385" i="20" s="1"/>
  <c r="CI385" i="20"/>
  <c r="BQ339" i="20"/>
  <c r="EB339" i="20"/>
  <c r="EB444" i="20"/>
  <c r="BQ444" i="20"/>
  <c r="CI443" i="20"/>
  <c r="CH443" i="20"/>
  <c r="BZ443" i="20"/>
  <c r="EH443" i="20" s="1"/>
  <c r="EJ443" i="20" s="1"/>
  <c r="EP443" i="20" s="1"/>
  <c r="BF402" i="20"/>
  <c r="CU402" i="20" s="1"/>
  <c r="P402" i="20"/>
  <c r="DQ402" i="20"/>
  <c r="AG399" i="20"/>
  <c r="AB448" i="20"/>
  <c r="GG448" i="20"/>
  <c r="GI448" i="20" s="1"/>
  <c r="DA448" i="20" s="1"/>
  <c r="BZ358" i="20"/>
  <c r="EH358" i="20" s="1"/>
  <c r="EJ358" i="20" s="1"/>
  <c r="GG358" i="20"/>
  <c r="GI358" i="20" s="1"/>
  <c r="DA358" i="20" s="1"/>
  <c r="CH358" i="20"/>
  <c r="CI358" i="20"/>
  <c r="AB358" i="20"/>
  <c r="AT358" i="20"/>
  <c r="EB288" i="20"/>
  <c r="BQ288" i="20"/>
  <c r="BJ409" i="20"/>
  <c r="FB355" i="20"/>
  <c r="FC355" i="20" s="1"/>
  <c r="FD355" i="20" s="1"/>
  <c r="CI279" i="20"/>
  <c r="CH279" i="20"/>
  <c r="BZ279" i="20"/>
  <c r="EH279" i="20" s="1"/>
  <c r="EJ279" i="20" s="1"/>
  <c r="BN282" i="20"/>
  <c r="CW282" i="20" s="1"/>
  <c r="BQ282" i="20"/>
  <c r="EB282" i="20"/>
  <c r="FB246" i="20"/>
  <c r="FC246" i="20" s="1"/>
  <c r="FD246" i="20" s="1"/>
  <c r="BF245" i="20"/>
  <c r="CU245" i="20" s="1"/>
  <c r="P245" i="20"/>
  <c r="DQ245" i="20"/>
  <c r="BJ252" i="20"/>
  <c r="BG352" i="20"/>
  <c r="BP352" i="20" s="1"/>
  <c r="DQ371" i="20"/>
  <c r="P371" i="20"/>
  <c r="BN371" i="20" s="1"/>
  <c r="CW371" i="20" s="1"/>
  <c r="BF371" i="20"/>
  <c r="CU371" i="20" s="1"/>
  <c r="DI420" i="20"/>
  <c r="FO420" i="20"/>
  <c r="DQ251" i="20"/>
  <c r="P251" i="20"/>
  <c r="BN251" i="20" s="1"/>
  <c r="CW251" i="20" s="1"/>
  <c r="BF251" i="20"/>
  <c r="CU251" i="20" s="1"/>
  <c r="ET253" i="20"/>
  <c r="ES253" i="20" s="1"/>
  <c r="AG253" i="20"/>
  <c r="BG362" i="20"/>
  <c r="BH362" i="20" s="1"/>
  <c r="CI307" i="20"/>
  <c r="CH307" i="20"/>
  <c r="BZ307" i="20"/>
  <c r="EH307" i="20" s="1"/>
  <c r="EJ307" i="20" s="1"/>
  <c r="AG317" i="20"/>
  <c r="BF264" i="20"/>
  <c r="CU264" i="20" s="1"/>
  <c r="DQ264" i="20"/>
  <c r="P264" i="20"/>
  <c r="BN264" i="20" s="1"/>
  <c r="CW264" i="20" s="1"/>
  <c r="FO307" i="20"/>
  <c r="DC307" i="20"/>
  <c r="CH337" i="20"/>
  <c r="CI337" i="20"/>
  <c r="BZ337" i="20"/>
  <c r="EH337" i="20" s="1"/>
  <c r="EJ337" i="20" s="1"/>
  <c r="AG319" i="20"/>
  <c r="ET319" i="20"/>
  <c r="ES319" i="20" s="1"/>
  <c r="AB366" i="20"/>
  <c r="EJ330" i="20"/>
  <c r="AT341" i="20"/>
  <c r="CH321" i="20"/>
  <c r="CI321" i="20"/>
  <c r="BZ321" i="20"/>
  <c r="EH321" i="20" s="1"/>
  <c r="EJ321" i="20" s="1"/>
  <c r="EP321" i="20" s="1"/>
  <c r="AG275" i="20"/>
  <c r="BF314" i="20"/>
  <c r="CU314" i="20" s="1"/>
  <c r="P314" i="20"/>
  <c r="DQ314" i="20"/>
  <c r="EP180" i="20"/>
  <c r="EO180" i="20"/>
  <c r="BG249" i="20"/>
  <c r="BP249" i="20" s="1"/>
  <c r="AB271" i="20"/>
  <c r="P312" i="20"/>
  <c r="DQ312" i="20"/>
  <c r="BF312" i="20"/>
  <c r="CU312" i="20" s="1"/>
  <c r="CI349" i="20"/>
  <c r="CH349" i="20"/>
  <c r="BZ349" i="20"/>
  <c r="EH349" i="20" s="1"/>
  <c r="EJ349" i="20" s="1"/>
  <c r="BF305" i="20"/>
  <c r="CU305" i="20" s="1"/>
  <c r="P305" i="20"/>
  <c r="DQ305" i="20"/>
  <c r="DI310" i="20"/>
  <c r="FO310" i="20"/>
  <c r="DU309" i="20"/>
  <c r="AT332" i="20"/>
  <c r="DU305" i="20"/>
  <c r="CJ235" i="20"/>
  <c r="EP301" i="20"/>
  <c r="EP304" i="20"/>
  <c r="BG310" i="20"/>
  <c r="BH310" i="20" s="1"/>
  <c r="DU384" i="20"/>
  <c r="BJ197" i="20"/>
  <c r="BQ387" i="20"/>
  <c r="EB387" i="20"/>
  <c r="P382" i="20"/>
  <c r="BF382" i="20"/>
  <c r="CU382" i="20" s="1"/>
  <c r="DQ382" i="20"/>
  <c r="BJ382" i="20"/>
  <c r="BK382" i="20" s="1"/>
  <c r="CV382" i="20" s="1"/>
  <c r="EP223" i="20"/>
  <c r="EO311" i="20"/>
  <c r="EB218" i="20"/>
  <c r="BQ218" i="20"/>
  <c r="DQ168" i="20"/>
  <c r="BF168" i="20"/>
  <c r="CU168" i="20" s="1"/>
  <c r="P168" i="20"/>
  <c r="BN168" i="20" s="1"/>
  <c r="CW168" i="20" s="1"/>
  <c r="BG218" i="20"/>
  <c r="BP218" i="20" s="1"/>
  <c r="BQ161" i="20"/>
  <c r="BH229" i="20"/>
  <c r="ET436" i="20"/>
  <c r="ES436" i="20" s="1"/>
  <c r="AG436" i="20"/>
  <c r="EB221" i="20"/>
  <c r="CH456" i="20"/>
  <c r="DQ227" i="20"/>
  <c r="P227" i="20"/>
  <c r="BN227" i="20" s="1"/>
  <c r="CW227" i="20" s="1"/>
  <c r="BF227" i="20"/>
  <c r="CU227" i="20" s="1"/>
  <c r="DQ182" i="20"/>
  <c r="P182" i="20"/>
  <c r="BF182" i="20"/>
  <c r="CU182" i="20" s="1"/>
  <c r="DQ177" i="20"/>
  <c r="P177" i="20"/>
  <c r="BF177" i="20"/>
  <c r="CU177" i="20" s="1"/>
  <c r="DU169" i="20"/>
  <c r="EB182" i="20"/>
  <c r="BG182" i="20"/>
  <c r="BH182" i="20" s="1"/>
  <c r="BG152" i="20"/>
  <c r="BH152" i="20" s="1"/>
  <c r="BG172" i="20"/>
  <c r="BH172" i="20" s="1"/>
  <c r="BT147" i="20"/>
  <c r="BV147" i="20" s="1"/>
  <c r="BC380" i="20"/>
  <c r="FB126" i="20"/>
  <c r="FC126" i="20" s="1"/>
  <c r="FD126" i="20" s="1"/>
  <c r="AT105" i="20"/>
  <c r="BJ141" i="20"/>
  <c r="BG114" i="20"/>
  <c r="BH114" i="20" s="1"/>
  <c r="DR99" i="20"/>
  <c r="BF99" i="20"/>
  <c r="CU99" i="20" s="1"/>
  <c r="P99" i="20"/>
  <c r="FG148" i="20"/>
  <c r="FH148" i="20" s="1"/>
  <c r="FB136" i="20"/>
  <c r="FC136" i="20" s="1"/>
  <c r="FD136" i="20" s="1"/>
  <c r="AU85" i="20"/>
  <c r="AT85" i="20"/>
  <c r="AU86" i="20"/>
  <c r="AT86" i="20"/>
  <c r="AT99" i="20"/>
  <c r="FO89" i="20"/>
  <c r="DC89" i="20"/>
  <c r="FO79" i="20"/>
  <c r="DC79" i="20"/>
  <c r="ET69" i="20"/>
  <c r="ES69" i="20" s="1"/>
  <c r="FB69" i="20" s="1"/>
  <c r="FC69" i="20" s="1"/>
  <c r="FD69" i="20" s="1"/>
  <c r="AG69" i="20"/>
  <c r="BM63" i="20"/>
  <c r="BN63" i="20" s="1"/>
  <c r="BU52" i="20"/>
  <c r="BT52" i="20"/>
  <c r="BV52" i="20" s="1"/>
  <c r="BM60" i="20"/>
  <c r="BN60" i="20" s="1"/>
  <c r="CW60" i="20" s="1"/>
  <c r="DR128" i="20"/>
  <c r="FG128" i="20" s="1"/>
  <c r="BF128" i="20"/>
  <c r="CU128" i="20" s="1"/>
  <c r="AT107" i="20"/>
  <c r="AY107" i="20" s="1"/>
  <c r="CH102" i="20"/>
  <c r="AB102" i="20"/>
  <c r="BG102" i="20" s="1"/>
  <c r="CI102" i="20"/>
  <c r="BZ102" i="20"/>
  <c r="EH102" i="20" s="1"/>
  <c r="EJ102" i="20" s="1"/>
  <c r="EP102" i="20" s="1"/>
  <c r="BS102" i="20"/>
  <c r="AT88" i="20"/>
  <c r="ET56" i="20"/>
  <c r="ES56" i="20" s="1"/>
  <c r="AG56" i="20"/>
  <c r="BJ128" i="20"/>
  <c r="FB94" i="20"/>
  <c r="FC94" i="20" s="1"/>
  <c r="FD94" i="20" s="1"/>
  <c r="CJ74" i="20"/>
  <c r="CQ74" i="20" s="1"/>
  <c r="CS74" i="20" s="1"/>
  <c r="CX74" i="20" s="1"/>
  <c r="EO89" i="20"/>
  <c r="CH83" i="20"/>
  <c r="BZ83" i="20"/>
  <c r="EH83" i="20" s="1"/>
  <c r="EJ83" i="20" s="1"/>
  <c r="GF83" i="20"/>
  <c r="BS83" i="20"/>
  <c r="CI83" i="20"/>
  <c r="AV83" i="20"/>
  <c r="EM64" i="20"/>
  <c r="FG63" i="20"/>
  <c r="FH63" i="20" s="1"/>
  <c r="ET51" i="20"/>
  <c r="ES51" i="20" s="1"/>
  <c r="AG51" i="20"/>
  <c r="FB49" i="20"/>
  <c r="FC49" i="20" s="1"/>
  <c r="FD49" i="20" s="1"/>
  <c r="BF46" i="20"/>
  <c r="P46" i="20"/>
  <c r="BN46" i="20" s="1"/>
  <c r="DR46" i="20"/>
  <c r="BM69" i="20"/>
  <c r="BN69" i="20" s="1"/>
  <c r="CW69" i="20" s="1"/>
  <c r="P35" i="20"/>
  <c r="BN35" i="20" s="1"/>
  <c r="DR35" i="20"/>
  <c r="BF35" i="20"/>
  <c r="FB29" i="20"/>
  <c r="FC29" i="20" s="1"/>
  <c r="FD29" i="20" s="1"/>
  <c r="AT52" i="20"/>
  <c r="AU52" i="20"/>
  <c r="BU34" i="20"/>
  <c r="BT34" i="20"/>
  <c r="BV34" i="20" s="1"/>
  <c r="AU34" i="20"/>
  <c r="AT34" i="20"/>
  <c r="BF42" i="20"/>
  <c r="P42" i="20"/>
  <c r="BN42" i="20" s="1"/>
  <c r="DR42" i="20"/>
  <c r="AU37" i="20"/>
  <c r="AT37" i="20"/>
  <c r="DU26" i="20"/>
  <c r="ET41" i="20"/>
  <c r="ES41" i="20" s="1"/>
  <c r="AG41" i="20"/>
  <c r="FG37" i="20"/>
  <c r="FH37" i="20" s="1"/>
  <c r="DX23" i="20"/>
  <c r="DW23" i="20"/>
  <c r="BJ21" i="20"/>
  <c r="BK21" i="20" s="1"/>
  <c r="AX24" i="20"/>
  <c r="AY24" i="20" s="1"/>
  <c r="BB23" i="20"/>
  <c r="EC23" i="20" s="1"/>
  <c r="BZ192" i="20"/>
  <c r="EH192" i="20" s="1"/>
  <c r="EJ192" i="20" s="1"/>
  <c r="CI192" i="20"/>
  <c r="AT192" i="20"/>
  <c r="CH192" i="20"/>
  <c r="GG192" i="20"/>
  <c r="GI192" i="20" s="1"/>
  <c r="DA192" i="20" s="1"/>
  <c r="BZ184" i="20"/>
  <c r="EH184" i="20" s="1"/>
  <c r="EJ184" i="20" s="1"/>
  <c r="CH184" i="20"/>
  <c r="AT184" i="20"/>
  <c r="CI184" i="20"/>
  <c r="AB248" i="20"/>
  <c r="BQ345" i="20"/>
  <c r="EB345" i="20"/>
  <c r="BF336" i="20"/>
  <c r="CU336" i="20" s="1"/>
  <c r="P336" i="20"/>
  <c r="DQ336" i="20"/>
  <c r="BQ270" i="20"/>
  <c r="EB270" i="20"/>
  <c r="FO289" i="20"/>
  <c r="DC289" i="20"/>
  <c r="ET290" i="20"/>
  <c r="ES290" i="20" s="1"/>
  <c r="AG290" i="20"/>
  <c r="BZ284" i="20"/>
  <c r="EH284" i="20" s="1"/>
  <c r="EJ284" i="20" s="1"/>
  <c r="AT284" i="20"/>
  <c r="GG284" i="20"/>
  <c r="GI284" i="20" s="1"/>
  <c r="DA284" i="20" s="1"/>
  <c r="CI284" i="20"/>
  <c r="CH284" i="20"/>
  <c r="FB425" i="20"/>
  <c r="FC425" i="20" s="1"/>
  <c r="FD425" i="20" s="1"/>
  <c r="CI414" i="20"/>
  <c r="BZ414" i="20"/>
  <c r="EH414" i="20" s="1"/>
  <c r="EJ414" i="20" s="1"/>
  <c r="GG414" i="20"/>
  <c r="GI414" i="20" s="1"/>
  <c r="DA414" i="20" s="1"/>
  <c r="CH414" i="20"/>
  <c r="AB426" i="20"/>
  <c r="BG426" i="20" s="1"/>
  <c r="DI448" i="20"/>
  <c r="FO448" i="20"/>
  <c r="GG443" i="20"/>
  <c r="GI443" i="20" s="1"/>
  <c r="DA443" i="20" s="1"/>
  <c r="AT414" i="20"/>
  <c r="P437" i="20"/>
  <c r="BF437" i="20"/>
  <c r="CU437" i="20" s="1"/>
  <c r="DQ437" i="20"/>
  <c r="P397" i="20"/>
  <c r="DQ397" i="20"/>
  <c r="BF397" i="20"/>
  <c r="CU397" i="20" s="1"/>
  <c r="BJ399" i="20"/>
  <c r="CM400" i="20"/>
  <c r="CM448" i="20"/>
  <c r="AB280" i="20"/>
  <c r="AB279" i="20"/>
  <c r="BG279" i="20" s="1"/>
  <c r="DC285" i="20"/>
  <c r="FO285" i="20"/>
  <c r="BZ364" i="20"/>
  <c r="EH364" i="20" s="1"/>
  <c r="EJ364" i="20" s="1"/>
  <c r="AT364" i="20"/>
  <c r="CI364" i="20"/>
  <c r="CH364" i="20"/>
  <c r="GG364" i="20"/>
  <c r="GI364" i="20" s="1"/>
  <c r="DA364" i="20" s="1"/>
  <c r="AG352" i="20"/>
  <c r="P361" i="20"/>
  <c r="DQ361" i="20"/>
  <c r="BF361" i="20"/>
  <c r="CU361" i="20" s="1"/>
  <c r="CI287" i="20"/>
  <c r="GG287" i="20"/>
  <c r="GI287" i="20" s="1"/>
  <c r="DA287" i="20" s="1"/>
  <c r="CH287" i="20"/>
  <c r="BZ287" i="20"/>
  <c r="EH287" i="20" s="1"/>
  <c r="EJ287" i="20" s="1"/>
  <c r="AG277" i="20"/>
  <c r="AT352" i="20"/>
  <c r="BN359" i="20"/>
  <c r="CW359" i="20" s="1"/>
  <c r="CI353" i="20"/>
  <c r="CH353" i="20"/>
  <c r="BZ353" i="20"/>
  <c r="EH353" i="20" s="1"/>
  <c r="EJ353" i="20" s="1"/>
  <c r="AT353" i="20"/>
  <c r="DQ419" i="20"/>
  <c r="P419" i="20"/>
  <c r="BN419" i="20" s="1"/>
  <c r="CW419" i="20" s="1"/>
  <c r="BF419" i="20"/>
  <c r="CU419" i="20" s="1"/>
  <c r="EB259" i="20"/>
  <c r="BQ259" i="20"/>
  <c r="CI393" i="20"/>
  <c r="AT393" i="20"/>
  <c r="CH393" i="20"/>
  <c r="BZ393" i="20"/>
  <c r="EH393" i="20" s="1"/>
  <c r="EJ393" i="20" s="1"/>
  <c r="CM306" i="20"/>
  <c r="FB381" i="20"/>
  <c r="FC381" i="20" s="1"/>
  <c r="FD381" i="20" s="1"/>
  <c r="DQ362" i="20"/>
  <c r="P362" i="20"/>
  <c r="BN362" i="20" s="1"/>
  <c r="CW362" i="20" s="1"/>
  <c r="BJ362" i="20"/>
  <c r="BF362" i="20"/>
  <c r="CU362" i="20" s="1"/>
  <c r="ET307" i="20"/>
  <c r="ES307" i="20" s="1"/>
  <c r="AG307" i="20"/>
  <c r="AT321" i="20"/>
  <c r="BJ262" i="20"/>
  <c r="BJ321" i="20"/>
  <c r="ET341" i="20"/>
  <c r="ES341" i="20" s="1"/>
  <c r="AG341" i="20"/>
  <c r="AG268" i="20"/>
  <c r="GG349" i="20"/>
  <c r="GI349" i="20" s="1"/>
  <c r="DA349" i="20" s="1"/>
  <c r="BQ325" i="20"/>
  <c r="EB325" i="20"/>
  <c r="AG278" i="20"/>
  <c r="FB180" i="20"/>
  <c r="FC180" i="20" s="1"/>
  <c r="FD180" i="20" s="1"/>
  <c r="EB305" i="20"/>
  <c r="DQ372" i="20"/>
  <c r="P372" i="20"/>
  <c r="BN372" i="20" s="1"/>
  <c r="CW372" i="20" s="1"/>
  <c r="BF372" i="20"/>
  <c r="CU372" i="20" s="1"/>
  <c r="BF269" i="20"/>
  <c r="CU269" i="20" s="1"/>
  <c r="P269" i="20"/>
  <c r="DQ269" i="20"/>
  <c r="ET249" i="20"/>
  <c r="ES249" i="20" s="1"/>
  <c r="FB249" i="20" s="1"/>
  <c r="FC249" i="20" s="1"/>
  <c r="FD249" i="20" s="1"/>
  <c r="AG249" i="20"/>
  <c r="BP382" i="20"/>
  <c r="BF229" i="20"/>
  <c r="DQ229" i="20"/>
  <c r="P229" i="20"/>
  <c r="BN229" i="20" s="1"/>
  <c r="BJ229" i="20"/>
  <c r="EO249" i="20"/>
  <c r="EB384" i="20"/>
  <c r="EB235" i="20"/>
  <c r="DQ434" i="20"/>
  <c r="P434" i="20"/>
  <c r="BN434" i="20" s="1"/>
  <c r="CW434" i="20" s="1"/>
  <c r="BF434" i="20"/>
  <c r="CU434" i="20" s="1"/>
  <c r="U434" i="20"/>
  <c r="T434" i="20" s="1"/>
  <c r="BP220" i="20"/>
  <c r="CI432" i="20"/>
  <c r="AT432" i="20"/>
  <c r="BZ432" i="20"/>
  <c r="EH432" i="20" s="1"/>
  <c r="EJ432" i="20" s="1"/>
  <c r="GG432" i="20"/>
  <c r="GI432" i="20" s="1"/>
  <c r="DA432" i="20" s="1"/>
  <c r="AT157" i="20"/>
  <c r="CI435" i="20"/>
  <c r="BZ435" i="20"/>
  <c r="EH435" i="20" s="1"/>
  <c r="EJ435" i="20" s="1"/>
  <c r="GG435" i="20"/>
  <c r="GI435" i="20" s="1"/>
  <c r="DA435" i="20" s="1"/>
  <c r="EO218" i="20"/>
  <c r="EP218" i="20"/>
  <c r="U451" i="20"/>
  <c r="T451" i="20" s="1"/>
  <c r="P451" i="20"/>
  <c r="DQ451" i="20"/>
  <c r="BF451" i="20"/>
  <c r="CU451" i="20" s="1"/>
  <c r="BJ451" i="20"/>
  <c r="CJ157" i="20"/>
  <c r="AT299" i="20"/>
  <c r="FO178" i="20"/>
  <c r="DC178" i="20"/>
  <c r="GG453" i="20"/>
  <c r="GI453" i="20" s="1"/>
  <c r="DA453" i="20" s="1"/>
  <c r="CI453" i="20"/>
  <c r="BZ453" i="20"/>
  <c r="EH453" i="20" s="1"/>
  <c r="EJ453" i="20" s="1"/>
  <c r="AT453" i="20"/>
  <c r="BJ222" i="20"/>
  <c r="ET430" i="20"/>
  <c r="ES430" i="20" s="1"/>
  <c r="AG430" i="20"/>
  <c r="AG456" i="20"/>
  <c r="ET456" i="20"/>
  <c r="ES456" i="20" s="1"/>
  <c r="BF453" i="20"/>
  <c r="CU453" i="20" s="1"/>
  <c r="EG453" i="20"/>
  <c r="DQ453" i="20"/>
  <c r="P453" i="20"/>
  <c r="BN453" i="20" s="1"/>
  <c r="CW453" i="20" s="1"/>
  <c r="BG168" i="20"/>
  <c r="BP168" i="20" s="1"/>
  <c r="CJ166" i="20"/>
  <c r="CQ166" i="20" s="1"/>
  <c r="CS166" i="20" s="1"/>
  <c r="CX166" i="20" s="1"/>
  <c r="AT172" i="20"/>
  <c r="EM172" i="20"/>
  <c r="AT170" i="20"/>
  <c r="AG159" i="20"/>
  <c r="ET159" i="20"/>
  <c r="ES159" i="20" s="1"/>
  <c r="DR145" i="20"/>
  <c r="FG145" i="20" s="1"/>
  <c r="BF145" i="20"/>
  <c r="CU145" i="20" s="1"/>
  <c r="ET396" i="20"/>
  <c r="ES396" i="20" s="1"/>
  <c r="EU396" i="20" s="1"/>
  <c r="EX396" i="20" s="1"/>
  <c r="EY396" i="20" s="1"/>
  <c r="AG396" i="20"/>
  <c r="EL171" i="20"/>
  <c r="CZ171" i="20" s="1"/>
  <c r="FO148" i="20"/>
  <c r="DI148" i="20"/>
  <c r="BP178" i="20"/>
  <c r="BG299" i="20"/>
  <c r="BP299" i="20" s="1"/>
  <c r="BG166" i="20"/>
  <c r="BH166" i="20" s="1"/>
  <c r="BB297" i="20"/>
  <c r="EC297" i="20" s="1"/>
  <c r="DV297" i="20" s="1"/>
  <c r="AR297" i="20"/>
  <c r="DR147" i="20"/>
  <c r="FG147" i="20" s="1"/>
  <c r="BF147" i="20"/>
  <c r="CU147" i="20" s="1"/>
  <c r="BG143" i="20"/>
  <c r="BH143" i="20" s="1"/>
  <c r="AU141" i="20"/>
  <c r="AT141" i="20"/>
  <c r="GG120" i="20"/>
  <c r="CL120" i="20"/>
  <c r="CM120" i="20" s="1"/>
  <c r="BG158" i="20"/>
  <c r="BP158" i="20" s="1"/>
  <c r="BG147" i="20"/>
  <c r="BH147" i="20" s="1"/>
  <c r="FB140" i="20"/>
  <c r="FC140" i="20" s="1"/>
  <c r="FD140" i="20" s="1"/>
  <c r="AT134" i="20"/>
  <c r="AU115" i="20"/>
  <c r="AT115" i="20"/>
  <c r="DR97" i="20"/>
  <c r="P97" i="20"/>
  <c r="BF97" i="20"/>
  <c r="ET87" i="20"/>
  <c r="ES87" i="20" s="1"/>
  <c r="AG87" i="20"/>
  <c r="AG90" i="20"/>
  <c r="ET90" i="20"/>
  <c r="ES90" i="20" s="1"/>
  <c r="CJ142" i="20"/>
  <c r="FB138" i="20"/>
  <c r="FC138" i="20" s="1"/>
  <c r="FD138" i="20" s="1"/>
  <c r="BM120" i="20"/>
  <c r="BN120" i="20" s="1"/>
  <c r="CW120" i="20" s="1"/>
  <c r="BJ99" i="20"/>
  <c r="EP93" i="20"/>
  <c r="EO93" i="20"/>
  <c r="FB101" i="20"/>
  <c r="FC101" i="20" s="1"/>
  <c r="FD101" i="20" s="1"/>
  <c r="DI9" i="20"/>
  <c r="DI8" i="20"/>
  <c r="DI6" i="20"/>
  <c r="DI7" i="20" s="1"/>
  <c r="BG89" i="20"/>
  <c r="BH89" i="20" s="1"/>
  <c r="BM86" i="20"/>
  <c r="BN86" i="20" s="1"/>
  <c r="CW86" i="20" s="1"/>
  <c r="BT131" i="20"/>
  <c r="BV131" i="20" s="1"/>
  <c r="FB109" i="20"/>
  <c r="FC109" i="20" s="1"/>
  <c r="FD109" i="20" s="1"/>
  <c r="BG97" i="20"/>
  <c r="BH97" i="20" s="1"/>
  <c r="ET62" i="20"/>
  <c r="ES62" i="20" s="1"/>
  <c r="AG62" i="20"/>
  <c r="AU49" i="20"/>
  <c r="AT49" i="20"/>
  <c r="BG66" i="20"/>
  <c r="BH66" i="20" s="1"/>
  <c r="BJ48" i="20"/>
  <c r="BK48" i="20" s="1"/>
  <c r="BT114" i="20"/>
  <c r="BV114" i="20" s="1"/>
  <c r="CH99" i="20"/>
  <c r="GG99" i="20"/>
  <c r="GI99" i="20" s="1"/>
  <c r="DA99" i="20" s="1"/>
  <c r="BZ99" i="20"/>
  <c r="EH99" i="20" s="1"/>
  <c r="EJ99" i="20" s="1"/>
  <c r="EP99" i="20" s="1"/>
  <c r="AB99" i="20"/>
  <c r="BS99" i="20"/>
  <c r="CI99" i="20"/>
  <c r="BJ95" i="20"/>
  <c r="BM77" i="20"/>
  <c r="BN77" i="20" s="1"/>
  <c r="CW77" i="20" s="1"/>
  <c r="AT68" i="20"/>
  <c r="AT112" i="20"/>
  <c r="BM80" i="20"/>
  <c r="BN80" i="20" s="1"/>
  <c r="CW80" i="20" s="1"/>
  <c r="BT129" i="20"/>
  <c r="BV129" i="20" s="1"/>
  <c r="EM88" i="20"/>
  <c r="FO75" i="20"/>
  <c r="DC75" i="20"/>
  <c r="FO72" i="20"/>
  <c r="DC72" i="20"/>
  <c r="EB68" i="20"/>
  <c r="FG55" i="20"/>
  <c r="FH55" i="20" s="1"/>
  <c r="DR34" i="20"/>
  <c r="FG34" i="20" s="1"/>
  <c r="BF34" i="20"/>
  <c r="P34" i="20"/>
  <c r="BN34" i="20" s="1"/>
  <c r="FB34" i="20"/>
  <c r="FC34" i="20" s="1"/>
  <c r="FD34" i="20" s="1"/>
  <c r="ET47" i="20"/>
  <c r="ES47" i="20" s="1"/>
  <c r="AG47" i="20"/>
  <c r="BF38" i="20"/>
  <c r="P38" i="20"/>
  <c r="BN38" i="20" s="1"/>
  <c r="DR38" i="20"/>
  <c r="FG38" i="20" s="1"/>
  <c r="AT87" i="20"/>
  <c r="EP68" i="20"/>
  <c r="ET44" i="20"/>
  <c r="ES44" i="20" s="1"/>
  <c r="AG44" i="20"/>
  <c r="BU40" i="20"/>
  <c r="BT40" i="20"/>
  <c r="BV40" i="20" s="1"/>
  <c r="GI30" i="20"/>
  <c r="BG111" i="20"/>
  <c r="BH111" i="20" s="1"/>
  <c r="BK111" i="20" s="1"/>
  <c r="BU27" i="20"/>
  <c r="BT27" i="20"/>
  <c r="BV27" i="20" s="1"/>
  <c r="DX36" i="20"/>
  <c r="DW36" i="20"/>
  <c r="BJ27" i="20"/>
  <c r="BK27" i="20" s="1"/>
  <c r="DX22" i="20"/>
  <c r="DW22" i="20"/>
  <c r="FG29" i="20"/>
  <c r="FH29" i="20" s="1"/>
  <c r="DX27" i="20"/>
  <c r="DW27" i="20"/>
  <c r="DX41" i="20"/>
  <c r="DW41" i="20"/>
  <c r="ET32" i="20"/>
  <c r="ES32" i="20" s="1"/>
  <c r="AG32" i="20"/>
  <c r="BZ357" i="20"/>
  <c r="EH357" i="20" s="1"/>
  <c r="EJ357" i="20" s="1"/>
  <c r="EP357" i="20" s="1"/>
  <c r="GG357" i="20"/>
  <c r="GI357" i="20" s="1"/>
  <c r="DA357" i="20" s="1"/>
  <c r="AT357" i="20"/>
  <c r="CI357" i="20"/>
  <c r="CH357" i="20"/>
  <c r="AB357" i="20"/>
  <c r="BG357" i="20" s="1"/>
  <c r="CI373" i="20"/>
  <c r="CH373" i="20"/>
  <c r="BZ373" i="20"/>
  <c r="EH373" i="20" s="1"/>
  <c r="EJ373" i="20" s="1"/>
  <c r="BZ293" i="20"/>
  <c r="EH293" i="20" s="1"/>
  <c r="EJ293" i="20" s="1"/>
  <c r="GG293" i="20"/>
  <c r="GI293" i="20" s="1"/>
  <c r="DA293" i="20" s="1"/>
  <c r="CI293" i="20"/>
  <c r="CH293" i="20"/>
  <c r="AT293" i="20"/>
  <c r="BF280" i="20"/>
  <c r="CU280" i="20" s="1"/>
  <c r="P280" i="20"/>
  <c r="DQ280" i="20"/>
  <c r="BG252" i="20"/>
  <c r="BH252" i="20" s="1"/>
  <c r="GG277" i="20"/>
  <c r="GI277" i="20" s="1"/>
  <c r="DA277" i="20" s="1"/>
  <c r="CH277" i="20"/>
  <c r="BZ277" i="20"/>
  <c r="EH277" i="20" s="1"/>
  <c r="EJ277" i="20" s="1"/>
  <c r="EP277" i="20" s="1"/>
  <c r="AT277" i="20"/>
  <c r="CI277" i="20"/>
  <c r="DC378" i="20"/>
  <c r="FO378" i="20"/>
  <c r="FB359" i="20"/>
  <c r="FC359" i="20" s="1"/>
  <c r="FD359" i="20" s="1"/>
  <c r="ET419" i="20"/>
  <c r="ES419" i="20" s="1"/>
  <c r="AG419" i="20"/>
  <c r="FB418" i="20"/>
  <c r="FC418" i="20" s="1"/>
  <c r="FD418" i="20" s="1"/>
  <c r="DC255" i="20"/>
  <c r="FO255" i="20"/>
  <c r="DI313" i="20"/>
  <c r="FO313" i="20"/>
  <c r="CI306" i="20"/>
  <c r="AT306" i="20"/>
  <c r="CH306" i="20"/>
  <c r="BZ306" i="20"/>
  <c r="EH306" i="20" s="1"/>
  <c r="EJ306" i="20" s="1"/>
  <c r="EP306" i="20" s="1"/>
  <c r="BQ292" i="20"/>
  <c r="EB292" i="20"/>
  <c r="BF327" i="20"/>
  <c r="CU327" i="20" s="1"/>
  <c r="P327" i="20"/>
  <c r="BN327" i="20" s="1"/>
  <c r="CW327" i="20" s="1"/>
  <c r="DQ327" i="20"/>
  <c r="DI319" i="20"/>
  <c r="FO319" i="20"/>
  <c r="EB324" i="20"/>
  <c r="BQ324" i="20"/>
  <c r="CI331" i="20"/>
  <c r="CH331" i="20"/>
  <c r="BZ331" i="20"/>
  <c r="EH331" i="20" s="1"/>
  <c r="EJ331" i="20" s="1"/>
  <c r="BQ257" i="20"/>
  <c r="EB257" i="20"/>
  <c r="CI381" i="20"/>
  <c r="BZ381" i="20"/>
  <c r="EH381" i="20" s="1"/>
  <c r="EJ381" i="20" s="1"/>
  <c r="GG381" i="20"/>
  <c r="GI381" i="20" s="1"/>
  <c r="DA381" i="20" s="1"/>
  <c r="CH381" i="20"/>
  <c r="CI263" i="20"/>
  <c r="AT263" i="20"/>
  <c r="CH263" i="20"/>
  <c r="BZ263" i="20"/>
  <c r="EH263" i="20" s="1"/>
  <c r="EJ263" i="20" s="1"/>
  <c r="EP263" i="20" s="1"/>
  <c r="FO368" i="20"/>
  <c r="DI368" i="20"/>
  <c r="P273" i="20"/>
  <c r="DQ273" i="20"/>
  <c r="BF273" i="20"/>
  <c r="CU273" i="20" s="1"/>
  <c r="BF237" i="20"/>
  <c r="P237" i="20"/>
  <c r="DQ237" i="20"/>
  <c r="BJ273" i="20"/>
  <c r="ET179" i="20"/>
  <c r="ES179" i="20" s="1"/>
  <c r="AG179" i="20"/>
  <c r="BF230" i="20"/>
  <c r="CU230" i="20" s="1"/>
  <c r="P230" i="20"/>
  <c r="BJ230" i="20"/>
  <c r="DQ230" i="20"/>
  <c r="DQ303" i="20"/>
  <c r="BF303" i="20"/>
  <c r="CU303" i="20" s="1"/>
  <c r="P303" i="20"/>
  <c r="FQ267" i="20"/>
  <c r="DF267" i="20"/>
  <c r="BP224" i="20"/>
  <c r="BH224" i="20"/>
  <c r="DQ218" i="20"/>
  <c r="BJ218" i="20"/>
  <c r="BF218" i="20"/>
  <c r="P218" i="20"/>
  <c r="BG384" i="20"/>
  <c r="BH384" i="20" s="1"/>
  <c r="EB311" i="20"/>
  <c r="BQ311" i="20"/>
  <c r="FQ308" i="20"/>
  <c r="DF308" i="20"/>
  <c r="EB225" i="20"/>
  <c r="BQ225" i="20"/>
  <c r="ET223" i="20"/>
  <c r="ES223" i="20" s="1"/>
  <c r="AG223" i="20"/>
  <c r="ET455" i="20"/>
  <c r="ES455" i="20" s="1"/>
  <c r="AG455" i="20"/>
  <c r="BG396" i="20"/>
  <c r="BP396" i="20" s="1"/>
  <c r="BH222" i="20"/>
  <c r="DU168" i="20"/>
  <c r="DQ170" i="20"/>
  <c r="P170" i="20"/>
  <c r="BF170" i="20"/>
  <c r="CU170" i="20" s="1"/>
  <c r="EB435" i="20"/>
  <c r="DU222" i="20"/>
  <c r="FH142" i="20"/>
  <c r="FB142" i="20"/>
  <c r="FC142" i="20" s="1"/>
  <c r="FD142" i="20" s="1"/>
  <c r="AT143" i="20"/>
  <c r="FB141" i="20"/>
  <c r="FC141" i="20" s="1"/>
  <c r="FD141" i="20" s="1"/>
  <c r="DR135" i="20"/>
  <c r="FG135" i="20" s="1"/>
  <c r="BF135" i="20"/>
  <c r="CU135" i="20" s="1"/>
  <c r="FO129" i="20"/>
  <c r="DC129" i="20"/>
  <c r="DR125" i="20"/>
  <c r="BF125" i="20"/>
  <c r="CU125" i="20" s="1"/>
  <c r="FB118" i="20"/>
  <c r="FC118" i="20" s="1"/>
  <c r="FD118" i="20" s="1"/>
  <c r="EB115" i="20"/>
  <c r="DR132" i="20"/>
  <c r="EB122" i="20"/>
  <c r="ET91" i="20"/>
  <c r="ES91" i="20" s="1"/>
  <c r="FG91" i="20" s="1"/>
  <c r="FH91" i="20" s="1"/>
  <c r="AG91" i="20"/>
  <c r="DC88" i="20"/>
  <c r="FO88" i="20"/>
  <c r="BM81" i="20"/>
  <c r="BN81" i="20" s="1"/>
  <c r="CW81" i="20" s="1"/>
  <c r="BM70" i="20"/>
  <c r="BN70" i="20" s="1"/>
  <c r="CW70" i="20" s="1"/>
  <c r="DC61" i="20"/>
  <c r="FO61" i="20"/>
  <c r="BG121" i="20"/>
  <c r="BH121" i="20" s="1"/>
  <c r="BM79" i="20"/>
  <c r="BN79" i="20" s="1"/>
  <c r="CW79" i="20" s="1"/>
  <c r="AJ100" i="20"/>
  <c r="AJ104" i="20"/>
  <c r="AJ97" i="20"/>
  <c r="AJ95" i="20"/>
  <c r="AJ103" i="20"/>
  <c r="AJ101" i="20"/>
  <c r="ET93" i="20"/>
  <c r="ES93" i="20" s="1"/>
  <c r="FG93" i="20" s="1"/>
  <c r="FH93" i="20" s="1"/>
  <c r="AG93" i="20"/>
  <c r="DU90" i="20"/>
  <c r="BM74" i="20"/>
  <c r="BN74" i="20" s="1"/>
  <c r="CW74" i="20" s="1"/>
  <c r="ET67" i="20"/>
  <c r="ES67" i="20" s="1"/>
  <c r="AG67" i="20"/>
  <c r="CH64" i="20"/>
  <c r="GF64" i="20"/>
  <c r="GI64" i="20" s="1"/>
  <c r="BZ64" i="20"/>
  <c r="EH64" i="20" s="1"/>
  <c r="EJ64" i="20" s="1"/>
  <c r="CI64" i="20"/>
  <c r="BS64" i="20"/>
  <c r="AV64" i="20"/>
  <c r="DF79" i="20"/>
  <c r="AT109" i="20"/>
  <c r="AG64" i="20"/>
  <c r="ET64" i="20"/>
  <c r="ES64" i="20" s="1"/>
  <c r="BM59" i="20"/>
  <c r="BN59" i="20" s="1"/>
  <c r="CW59" i="20" s="1"/>
  <c r="AU45" i="20"/>
  <c r="AT45" i="20"/>
  <c r="BU30" i="20"/>
  <c r="BT30" i="20"/>
  <c r="BV30" i="20" s="1"/>
  <c r="AG60" i="20"/>
  <c r="ET60" i="20"/>
  <c r="ES60" i="20" s="1"/>
  <c r="FG60" i="20" s="1"/>
  <c r="FH60" i="20" s="1"/>
  <c r="BM62" i="20"/>
  <c r="BN62" i="20" s="1"/>
  <c r="CW62" i="20" s="1"/>
  <c r="BU23" i="20"/>
  <c r="BT23" i="20"/>
  <c r="BV23" i="20" s="1"/>
  <c r="ET46" i="20"/>
  <c r="ES46" i="20" s="1"/>
  <c r="AG46" i="20"/>
  <c r="BU42" i="20"/>
  <c r="BT42" i="20"/>
  <c r="BV42" i="20" s="1"/>
  <c r="FG108" i="20"/>
  <c r="FH108" i="20" s="1"/>
  <c r="BG79" i="20"/>
  <c r="BH79" i="20" s="1"/>
  <c r="AT65" i="20"/>
  <c r="BG53" i="20"/>
  <c r="BH53" i="20" s="1"/>
  <c r="FB30" i="20"/>
  <c r="FC30" i="20" s="1"/>
  <c r="FD30" i="20" s="1"/>
  <c r="BU68" i="20"/>
  <c r="BW68" i="20" s="1"/>
  <c r="BX68" i="20" s="1"/>
  <c r="EQ68" i="20" s="1"/>
  <c r="DR23" i="20"/>
  <c r="BF23" i="20"/>
  <c r="P23" i="20"/>
  <c r="BN23" i="20" s="1"/>
  <c r="ET27" i="20"/>
  <c r="ES27" i="20" s="1"/>
  <c r="AG27" i="20"/>
  <c r="DX35" i="20"/>
  <c r="DW35" i="20"/>
  <c r="ET28" i="20"/>
  <c r="ES28" i="20" s="1"/>
  <c r="AG28" i="20"/>
  <c r="DX28" i="20"/>
  <c r="DW28" i="20"/>
  <c r="BG55" i="20"/>
  <c r="BH55" i="20" s="1"/>
  <c r="EB287" i="20"/>
  <c r="BQ287" i="20"/>
  <c r="EB246" i="20"/>
  <c r="BQ246" i="20"/>
  <c r="ET242" i="20"/>
  <c r="ES242" i="20" s="1"/>
  <c r="AG242" i="20"/>
  <c r="DI347" i="20"/>
  <c r="FO347" i="20"/>
  <c r="BJ280" i="20"/>
  <c r="BJ296" i="20"/>
  <c r="BQ279" i="20"/>
  <c r="EB279" i="20"/>
  <c r="DI359" i="20"/>
  <c r="FO359" i="20"/>
  <c r="ET252" i="20"/>
  <c r="ES252" i="20" s="1"/>
  <c r="AG252" i="20"/>
  <c r="FB347" i="20"/>
  <c r="FC347" i="20" s="1"/>
  <c r="FD347" i="20" s="1"/>
  <c r="BF343" i="20"/>
  <c r="CU343" i="20" s="1"/>
  <c r="DQ343" i="20"/>
  <c r="P343" i="20"/>
  <c r="BQ348" i="20"/>
  <c r="EB348" i="20"/>
  <c r="ET260" i="20"/>
  <c r="ES260" i="20" s="1"/>
  <c r="AG260" i="20"/>
  <c r="CI256" i="20"/>
  <c r="GG256" i="20"/>
  <c r="GI256" i="20" s="1"/>
  <c r="DA256" i="20" s="1"/>
  <c r="CH256" i="20"/>
  <c r="BZ256" i="20"/>
  <c r="EH256" i="20" s="1"/>
  <c r="EJ256" i="20" s="1"/>
  <c r="BZ375" i="20"/>
  <c r="EH375" i="20" s="1"/>
  <c r="EJ375" i="20" s="1"/>
  <c r="CI375" i="20"/>
  <c r="CH375" i="20"/>
  <c r="DI320" i="20"/>
  <c r="FO320" i="20"/>
  <c r="FB329" i="20"/>
  <c r="FC329" i="20" s="1"/>
  <c r="FD329" i="20" s="1"/>
  <c r="P331" i="20"/>
  <c r="DQ331" i="20"/>
  <c r="BF331" i="20"/>
  <c r="CU331" i="20" s="1"/>
  <c r="DQ276" i="20"/>
  <c r="P276" i="20"/>
  <c r="BN276" i="20" s="1"/>
  <c r="CW276" i="20" s="1"/>
  <c r="BJ276" i="20"/>
  <c r="BF276" i="20"/>
  <c r="CU276" i="20" s="1"/>
  <c r="AB341" i="20"/>
  <c r="CI315" i="20"/>
  <c r="AT315" i="20"/>
  <c r="CH315" i="20"/>
  <c r="BZ315" i="20"/>
  <c r="EH315" i="20" s="1"/>
  <c r="EJ315" i="20" s="1"/>
  <c r="CI273" i="20"/>
  <c r="GG273" i="20"/>
  <c r="GI273" i="20" s="1"/>
  <c r="DA273" i="20" s="1"/>
  <c r="CH273" i="20"/>
  <c r="BZ273" i="20"/>
  <c r="EH273" i="20" s="1"/>
  <c r="EJ273" i="20" s="1"/>
  <c r="DQ301" i="20"/>
  <c r="BJ301" i="20"/>
  <c r="BF301" i="20"/>
  <c r="CU301" i="20" s="1"/>
  <c r="P301" i="20"/>
  <c r="DQ350" i="20"/>
  <c r="P350" i="20"/>
  <c r="BN350" i="20" s="1"/>
  <c r="CW350" i="20" s="1"/>
  <c r="BF350" i="20"/>
  <c r="CU350" i="20" s="1"/>
  <c r="EO190" i="20"/>
  <c r="EP190" i="20"/>
  <c r="DL190" i="20"/>
  <c r="FQ190" i="20"/>
  <c r="CI350" i="20"/>
  <c r="CH350" i="20"/>
  <c r="BZ350" i="20"/>
  <c r="EH350" i="20" s="1"/>
  <c r="EJ350" i="20" s="1"/>
  <c r="DQ349" i="20"/>
  <c r="P349" i="20"/>
  <c r="BN349" i="20" s="1"/>
  <c r="CW349" i="20" s="1"/>
  <c r="BF349" i="20"/>
  <c r="CU349" i="20" s="1"/>
  <c r="BQ304" i="20"/>
  <c r="EB304" i="20"/>
  <c r="FQ382" i="20"/>
  <c r="DF382" i="20"/>
  <c r="P309" i="20"/>
  <c r="BF309" i="20"/>
  <c r="CU309" i="20" s="1"/>
  <c r="BJ309" i="20"/>
  <c r="BK309" i="20" s="1"/>
  <c r="CV309" i="20" s="1"/>
  <c r="DQ309" i="20"/>
  <c r="BF433" i="20"/>
  <c r="CU433" i="20" s="1"/>
  <c r="U433" i="20"/>
  <c r="T433" i="20" s="1"/>
  <c r="DQ433" i="20"/>
  <c r="P433" i="20"/>
  <c r="BN433" i="20" s="1"/>
  <c r="CW433" i="20" s="1"/>
  <c r="BP267" i="20"/>
  <c r="BR267" i="20" s="1"/>
  <c r="BH267" i="20"/>
  <c r="ET452" i="20"/>
  <c r="ES452" i="20" s="1"/>
  <c r="AG452" i="20"/>
  <c r="ET217" i="20"/>
  <c r="ES217" i="20" s="1"/>
  <c r="AG217" i="20"/>
  <c r="U431" i="20"/>
  <c r="T431" i="20" s="1"/>
  <c r="P431" i="20"/>
  <c r="DQ431" i="20"/>
  <c r="BF431" i="20"/>
  <c r="CU431" i="20" s="1"/>
  <c r="BZ421" i="20"/>
  <c r="EH421" i="20" s="1"/>
  <c r="EJ421" i="20" s="1"/>
  <c r="CI421" i="20"/>
  <c r="GG421" i="20"/>
  <c r="GI421" i="20" s="1"/>
  <c r="DA421" i="20" s="1"/>
  <c r="AT166" i="20"/>
  <c r="EM166" i="20"/>
  <c r="DU227" i="20"/>
  <c r="AG158" i="20"/>
  <c r="ET158" i="20"/>
  <c r="ES158" i="20" s="1"/>
  <c r="DU204" i="20"/>
  <c r="FG152" i="20"/>
  <c r="FH152" i="20" s="1"/>
  <c r="BG123" i="20"/>
  <c r="BH123" i="20" s="1"/>
  <c r="DC86" i="20"/>
  <c r="FO86" i="20"/>
  <c r="CI88" i="20"/>
  <c r="BS88" i="20"/>
  <c r="BZ88" i="20"/>
  <c r="EH88" i="20" s="1"/>
  <c r="EJ88" i="20" s="1"/>
  <c r="CH88" i="20"/>
  <c r="GF88" i="20"/>
  <c r="GI88" i="20" s="1"/>
  <c r="DA88" i="20" s="1"/>
  <c r="DR138" i="20"/>
  <c r="FG138" i="20" s="1"/>
  <c r="BF138" i="20"/>
  <c r="CU138" i="20" s="1"/>
  <c r="AG82" i="20"/>
  <c r="ET82" i="20"/>
  <c r="ES82" i="20" s="1"/>
  <c r="FG82" i="20" s="1"/>
  <c r="FH82" i="20" s="1"/>
  <c r="BZ80" i="20"/>
  <c r="EH80" i="20" s="1"/>
  <c r="EJ80" i="20" s="1"/>
  <c r="GF80" i="20"/>
  <c r="CI80" i="20"/>
  <c r="BS80" i="20"/>
  <c r="AV80" i="20"/>
  <c r="CH80" i="20"/>
  <c r="AT69" i="20"/>
  <c r="AU69" i="20"/>
  <c r="AX110" i="20"/>
  <c r="CH105" i="20"/>
  <c r="CJ105" i="20" s="1"/>
  <c r="CQ105" i="20" s="1"/>
  <c r="CS105" i="20" s="1"/>
  <c r="FB81" i="20"/>
  <c r="FC81" i="20" s="1"/>
  <c r="FD81" i="20" s="1"/>
  <c r="AU78" i="20"/>
  <c r="AT78" i="20"/>
  <c r="AG48" i="20"/>
  <c r="ET48" i="20"/>
  <c r="ES48" i="20" s="1"/>
  <c r="BM83" i="20"/>
  <c r="BN83" i="20" s="1"/>
  <c r="CW83" i="20" s="1"/>
  <c r="FB79" i="20"/>
  <c r="FC79" i="20" s="1"/>
  <c r="FD79" i="20" s="1"/>
  <c r="BM71" i="20"/>
  <c r="BN71" i="20" s="1"/>
  <c r="CW71" i="20" s="1"/>
  <c r="BG136" i="20"/>
  <c r="BH136" i="20" s="1"/>
  <c r="FB128" i="20"/>
  <c r="FC128" i="20" s="1"/>
  <c r="FD128" i="20" s="1"/>
  <c r="AG105" i="20"/>
  <c r="ET105" i="20"/>
  <c r="ES105" i="20" s="1"/>
  <c r="FG105" i="20" s="1"/>
  <c r="FH105" i="20" s="1"/>
  <c r="GF76" i="20"/>
  <c r="EM76" i="20"/>
  <c r="CI76" i="20"/>
  <c r="BS76" i="20"/>
  <c r="AV76" i="20"/>
  <c r="CH76" i="20"/>
  <c r="BZ76" i="20"/>
  <c r="EH76" i="20" s="1"/>
  <c r="EJ76" i="20" s="1"/>
  <c r="CH58" i="20"/>
  <c r="BZ58" i="20"/>
  <c r="EH58" i="20" s="1"/>
  <c r="EJ58" i="20" s="1"/>
  <c r="CI58" i="20"/>
  <c r="GF58" i="20"/>
  <c r="GI58" i="20" s="1"/>
  <c r="DA58" i="20" s="1"/>
  <c r="BS58" i="20"/>
  <c r="AV58" i="20"/>
  <c r="EM58" i="20"/>
  <c r="EB120" i="20"/>
  <c r="FB106" i="20"/>
  <c r="FC106" i="20" s="1"/>
  <c r="FD106" i="20" s="1"/>
  <c r="CH91" i="20"/>
  <c r="BZ91" i="20"/>
  <c r="EH91" i="20" s="1"/>
  <c r="EJ91" i="20" s="1"/>
  <c r="CI91" i="20"/>
  <c r="GF91" i="20"/>
  <c r="GI91" i="20" s="1"/>
  <c r="DA91" i="20" s="1"/>
  <c r="BS91" i="20"/>
  <c r="AV91" i="20"/>
  <c r="AU82" i="20"/>
  <c r="AT82" i="20"/>
  <c r="BM75" i="20"/>
  <c r="BN75" i="20" s="1"/>
  <c r="CW75" i="20" s="1"/>
  <c r="BM72" i="20"/>
  <c r="BN72" i="20" s="1"/>
  <c r="CW72" i="20" s="1"/>
  <c r="AT61" i="20"/>
  <c r="DU46" i="20"/>
  <c r="ET42" i="20"/>
  <c r="ES42" i="20" s="1"/>
  <c r="AG42" i="20"/>
  <c r="FG79" i="20"/>
  <c r="FH79" i="20" s="1"/>
  <c r="BZ69" i="20"/>
  <c r="EH69" i="20" s="1"/>
  <c r="EJ69" i="20" s="1"/>
  <c r="GF69" i="20"/>
  <c r="GI69" i="20" s="1"/>
  <c r="DA69" i="20" s="1"/>
  <c r="CI69" i="20"/>
  <c r="BS69" i="20"/>
  <c r="AV69" i="20"/>
  <c r="CH69" i="20"/>
  <c r="P27" i="20"/>
  <c r="DR27" i="20"/>
  <c r="BF27" i="20"/>
  <c r="AT81" i="20"/>
  <c r="AG71" i="20"/>
  <c r="ET71" i="20"/>
  <c r="ES71" i="20" s="1"/>
  <c r="FG71" i="20" s="1"/>
  <c r="FH71" i="20" s="1"/>
  <c r="DF68" i="20"/>
  <c r="FQ68" i="20"/>
  <c r="AT70" i="20"/>
  <c r="BM65" i="20"/>
  <c r="BN65" i="20" s="1"/>
  <c r="CW65" i="20" s="1"/>
  <c r="DU50" i="20"/>
  <c r="P40" i="20"/>
  <c r="BN40" i="20" s="1"/>
  <c r="BF40" i="20"/>
  <c r="DR40" i="20"/>
  <c r="BU35" i="20"/>
  <c r="BT35" i="20"/>
  <c r="BV35" i="20" s="1"/>
  <c r="FB25" i="20"/>
  <c r="FC25" i="20" s="1"/>
  <c r="FD25" i="20" s="1"/>
  <c r="DX21" i="20"/>
  <c r="DW21" i="20"/>
  <c r="DX47" i="20"/>
  <c r="DW47" i="20"/>
  <c r="DW24" i="20"/>
  <c r="DX24" i="20"/>
  <c r="BJ52" i="20"/>
  <c r="BK52" i="20" s="1"/>
  <c r="BC22" i="20"/>
  <c r="DX31" i="20"/>
  <c r="DW31" i="20"/>
  <c r="ET23" i="20"/>
  <c r="ES23" i="20" s="1"/>
  <c r="AG23" i="20"/>
  <c r="AG20" i="20"/>
  <c r="ET20" i="20"/>
  <c r="ES20" i="20" s="1"/>
  <c r="FG20" i="20" s="1"/>
  <c r="FH20" i="20" s="1"/>
  <c r="BZ186" i="20"/>
  <c r="EH186" i="20" s="1"/>
  <c r="EJ186" i="20" s="1"/>
  <c r="EP186" i="20" s="1"/>
  <c r="CH186" i="20"/>
  <c r="AT186" i="20"/>
  <c r="CI186" i="20"/>
  <c r="EL472" i="20"/>
  <c r="BF210" i="20"/>
  <c r="CU210" i="20" s="1"/>
  <c r="P210" i="20"/>
  <c r="BN210" i="20" s="1"/>
  <c r="CW210" i="20" s="1"/>
  <c r="DQ210" i="20"/>
  <c r="EB200" i="20"/>
  <c r="BQ200" i="20"/>
  <c r="BZ240" i="20"/>
  <c r="EH240" i="20" s="1"/>
  <c r="EJ240" i="20" s="1"/>
  <c r="CH240" i="20"/>
  <c r="AT240" i="20"/>
  <c r="CI240" i="20"/>
  <c r="CI195" i="20"/>
  <c r="GG195" i="20"/>
  <c r="GI195" i="20" s="1"/>
  <c r="DA195" i="20" s="1"/>
  <c r="CH195" i="20"/>
  <c r="BZ195" i="20"/>
  <c r="EH195" i="20" s="1"/>
  <c r="EJ195" i="20" s="1"/>
  <c r="EP195" i="20" s="1"/>
  <c r="AT195" i="20"/>
  <c r="BQ323" i="20"/>
  <c r="EB323" i="20"/>
  <c r="AG385" i="20"/>
  <c r="BN244" i="20"/>
  <c r="CW244" i="20" s="1"/>
  <c r="CI328" i="20"/>
  <c r="CH328" i="20"/>
  <c r="BZ328" i="20"/>
  <c r="EH328" i="20" s="1"/>
  <c r="EJ328" i="20" s="1"/>
  <c r="EP328" i="20" s="1"/>
  <c r="CI334" i="20"/>
  <c r="CH334" i="20"/>
  <c r="BZ334" i="20"/>
  <c r="EH334" i="20" s="1"/>
  <c r="EJ334" i="20" s="1"/>
  <c r="DQ270" i="20"/>
  <c r="P270" i="20"/>
  <c r="BN270" i="20" s="1"/>
  <c r="CW270" i="20" s="1"/>
  <c r="BF270" i="20"/>
  <c r="CU270" i="20" s="1"/>
  <c r="P334" i="20"/>
  <c r="DQ334" i="20"/>
  <c r="BF334" i="20"/>
  <c r="CU334" i="20" s="1"/>
  <c r="EB445" i="20"/>
  <c r="BQ445" i="20"/>
  <c r="CI194" i="20"/>
  <c r="BZ194" i="20"/>
  <c r="EH194" i="20" s="1"/>
  <c r="EJ194" i="20" s="1"/>
  <c r="GG194" i="20"/>
  <c r="GI194" i="20" s="1"/>
  <c r="DA194" i="20" s="1"/>
  <c r="CH194" i="20"/>
  <c r="AB194" i="20"/>
  <c r="BJ443" i="20"/>
  <c r="CI427" i="20"/>
  <c r="BZ427" i="20"/>
  <c r="EH427" i="20" s="1"/>
  <c r="EJ427" i="20" s="1"/>
  <c r="EP427" i="20" s="1"/>
  <c r="GG427" i="20"/>
  <c r="GI427" i="20" s="1"/>
  <c r="DA427" i="20" s="1"/>
  <c r="CH427" i="20"/>
  <c r="BF441" i="20"/>
  <c r="CU441" i="20" s="1"/>
  <c r="P441" i="20"/>
  <c r="DQ441" i="20"/>
  <c r="BF405" i="20"/>
  <c r="CU405" i="20" s="1"/>
  <c r="P405" i="20"/>
  <c r="BN405" i="20" s="1"/>
  <c r="CW405" i="20" s="1"/>
  <c r="DQ405" i="20"/>
  <c r="DQ438" i="20"/>
  <c r="P438" i="20"/>
  <c r="BN438" i="20" s="1"/>
  <c r="CW438" i="20" s="1"/>
  <c r="BF438" i="20"/>
  <c r="CU438" i="20" s="1"/>
  <c r="FB448" i="20"/>
  <c r="FC448" i="20" s="1"/>
  <c r="FD448" i="20" s="1"/>
  <c r="BJ416" i="20"/>
  <c r="CI397" i="20"/>
  <c r="BZ397" i="20"/>
  <c r="EH397" i="20" s="1"/>
  <c r="EJ397" i="20" s="1"/>
  <c r="CH397" i="20"/>
  <c r="BF379" i="20"/>
  <c r="CU379" i="20" s="1"/>
  <c r="P379" i="20"/>
  <c r="DQ379" i="20"/>
  <c r="DI246" i="20"/>
  <c r="FO246" i="20"/>
  <c r="DQ291" i="20"/>
  <c r="P291" i="20"/>
  <c r="BF291" i="20"/>
  <c r="CU291" i="20" s="1"/>
  <c r="DQ287" i="20"/>
  <c r="BF287" i="20"/>
  <c r="CU287" i="20" s="1"/>
  <c r="P287" i="20"/>
  <c r="DQ242" i="20"/>
  <c r="P242" i="20"/>
  <c r="BF242" i="20"/>
  <c r="CU242" i="20" s="1"/>
  <c r="BZ401" i="20"/>
  <c r="EH401" i="20" s="1"/>
  <c r="EJ401" i="20" s="1"/>
  <c r="GG401" i="20"/>
  <c r="GI401" i="20" s="1"/>
  <c r="DA401" i="20" s="1"/>
  <c r="CH401" i="20"/>
  <c r="AT401" i="20"/>
  <c r="CI401" i="20"/>
  <c r="CI374" i="20"/>
  <c r="CH374" i="20"/>
  <c r="BZ374" i="20"/>
  <c r="EH374" i="20" s="1"/>
  <c r="EJ374" i="20" s="1"/>
  <c r="EO374" i="20" s="1"/>
  <c r="FB370" i="20"/>
  <c r="FC370" i="20" s="1"/>
  <c r="FD370" i="20" s="1"/>
  <c r="DQ265" i="20"/>
  <c r="P265" i="20"/>
  <c r="BN265" i="20" s="1"/>
  <c r="CW265" i="20" s="1"/>
  <c r="BF265" i="20"/>
  <c r="CU265" i="20" s="1"/>
  <c r="AT254" i="20"/>
  <c r="CI254" i="20"/>
  <c r="CH254" i="20"/>
  <c r="BZ254" i="20"/>
  <c r="EH254" i="20" s="1"/>
  <c r="EJ254" i="20" s="1"/>
  <c r="EP254" i="20" s="1"/>
  <c r="AT280" i="20"/>
  <c r="CI285" i="20"/>
  <c r="CH285" i="20"/>
  <c r="AT285" i="20"/>
  <c r="BZ285" i="20"/>
  <c r="EH285" i="20" s="1"/>
  <c r="EJ285" i="20" s="1"/>
  <c r="EP285" i="20" s="1"/>
  <c r="CH252" i="20"/>
  <c r="BZ252" i="20"/>
  <c r="EH252" i="20" s="1"/>
  <c r="EJ252" i="20" s="1"/>
  <c r="AT252" i="20"/>
  <c r="CI252" i="20"/>
  <c r="DQ279" i="20"/>
  <c r="P279" i="20"/>
  <c r="BN279" i="20" s="1"/>
  <c r="CW279" i="20" s="1"/>
  <c r="BF279" i="20"/>
  <c r="CU279" i="20" s="1"/>
  <c r="AG363" i="20"/>
  <c r="ET363" i="20"/>
  <c r="ES363" i="20" s="1"/>
  <c r="BF373" i="20"/>
  <c r="CU373" i="20" s="1"/>
  <c r="P373" i="20"/>
  <c r="DQ373" i="20"/>
  <c r="AB374" i="20"/>
  <c r="BG374" i="20" s="1"/>
  <c r="EB373" i="20"/>
  <c r="BQ373" i="20"/>
  <c r="AB254" i="20"/>
  <c r="EB343" i="20"/>
  <c r="BQ343" i="20"/>
  <c r="CI420" i="20"/>
  <c r="AT420" i="20"/>
  <c r="CH420" i="20"/>
  <c r="BZ420" i="20"/>
  <c r="EH420" i="20" s="1"/>
  <c r="EJ420" i="20" s="1"/>
  <c r="EP420" i="20" s="1"/>
  <c r="AB420" i="20"/>
  <c r="BG420" i="20" s="1"/>
  <c r="AB253" i="20"/>
  <c r="AB293" i="20"/>
  <c r="BG293" i="20" s="1"/>
  <c r="CI242" i="20"/>
  <c r="GG242" i="20"/>
  <c r="GI242" i="20" s="1"/>
  <c r="DA242" i="20" s="1"/>
  <c r="CH242" i="20"/>
  <c r="BZ242" i="20"/>
  <c r="EH242" i="20" s="1"/>
  <c r="EJ242" i="20" s="1"/>
  <c r="BN351" i="20"/>
  <c r="CW351" i="20" s="1"/>
  <c r="AB306" i="20"/>
  <c r="DQ375" i="20"/>
  <c r="P375" i="20"/>
  <c r="BN375" i="20" s="1"/>
  <c r="CW375" i="20" s="1"/>
  <c r="BF375" i="20"/>
  <c r="CU375" i="20" s="1"/>
  <c r="BJ266" i="20"/>
  <c r="DI338" i="20"/>
  <c r="FO338" i="20"/>
  <c r="BJ292" i="20"/>
  <c r="BF337" i="20"/>
  <c r="CU337" i="20" s="1"/>
  <c r="DQ337" i="20"/>
  <c r="P337" i="20"/>
  <c r="BN337" i="20" s="1"/>
  <c r="CW337" i="20" s="1"/>
  <c r="FB390" i="20"/>
  <c r="FC390" i="20" s="1"/>
  <c r="FD390" i="20" s="1"/>
  <c r="GG253" i="20"/>
  <c r="GI253" i="20" s="1"/>
  <c r="DA253" i="20" s="1"/>
  <c r="BJ375" i="20"/>
  <c r="BJ325" i="20"/>
  <c r="CI268" i="20"/>
  <c r="BZ268" i="20"/>
  <c r="EH268" i="20" s="1"/>
  <c r="EJ268" i="20" s="1"/>
  <c r="CH268" i="20"/>
  <c r="GG268" i="20"/>
  <c r="GI268" i="20" s="1"/>
  <c r="DA268" i="20" s="1"/>
  <c r="FB326" i="20"/>
  <c r="FC326" i="20" s="1"/>
  <c r="FD326" i="20" s="1"/>
  <c r="BF315" i="20"/>
  <c r="CU315" i="20" s="1"/>
  <c r="P315" i="20"/>
  <c r="DQ315" i="20"/>
  <c r="AB350" i="20"/>
  <c r="BG230" i="20"/>
  <c r="BH230" i="20" s="1"/>
  <c r="EP388" i="20"/>
  <c r="EO388" i="20"/>
  <c r="CH190" i="20"/>
  <c r="CJ190" i="20" s="1"/>
  <c r="CQ190" i="20" s="1"/>
  <c r="CS190" i="20" s="1"/>
  <c r="CX190" i="20" s="1"/>
  <c r="BH236" i="20"/>
  <c r="BP236" i="20"/>
  <c r="EP312" i="20"/>
  <c r="EO312" i="20"/>
  <c r="DU311" i="20"/>
  <c r="BF235" i="20"/>
  <c r="P235" i="20"/>
  <c r="DQ235" i="20"/>
  <c r="ET190" i="20"/>
  <c r="ES190" i="20" s="1"/>
  <c r="AG190" i="20"/>
  <c r="BF304" i="20"/>
  <c r="CU304" i="20" s="1"/>
  <c r="P304" i="20"/>
  <c r="DQ304" i="20"/>
  <c r="AB273" i="20"/>
  <c r="BJ304" i="20"/>
  <c r="BJ303" i="20"/>
  <c r="BK303" i="20" s="1"/>
  <c r="CV303" i="20" s="1"/>
  <c r="BJ237" i="20"/>
  <c r="ET233" i="20"/>
  <c r="ES233" i="20" s="1"/>
  <c r="AG233" i="20"/>
  <c r="BF300" i="20"/>
  <c r="CU300" i="20" s="1"/>
  <c r="P300" i="20"/>
  <c r="DQ300" i="20"/>
  <c r="DL310" i="20"/>
  <c r="FQ310" i="20"/>
  <c r="DQ225" i="20"/>
  <c r="P225" i="20"/>
  <c r="BN225" i="20" s="1"/>
  <c r="BF225" i="20"/>
  <c r="BJ225" i="20"/>
  <c r="EB308" i="20"/>
  <c r="AT173" i="20"/>
  <c r="EM173" i="20"/>
  <c r="EL173" i="20" s="1"/>
  <c r="CZ173" i="20" s="1"/>
  <c r="BQ435" i="20"/>
  <c r="ET450" i="20"/>
  <c r="ES450" i="20" s="1"/>
  <c r="AG450" i="20"/>
  <c r="ET178" i="20"/>
  <c r="ES178" i="20" s="1"/>
  <c r="AG178" i="20"/>
  <c r="ET202" i="20"/>
  <c r="ES202" i="20" s="1"/>
  <c r="AG202" i="20"/>
  <c r="EB392" i="20"/>
  <c r="BQ392" i="20"/>
  <c r="BJ312" i="20"/>
  <c r="BK312" i="20" s="1"/>
  <c r="CV312" i="20" s="1"/>
  <c r="BJ170" i="20"/>
  <c r="DI142" i="20"/>
  <c r="FO142" i="20"/>
  <c r="DU183" i="20"/>
  <c r="AU147" i="20"/>
  <c r="AT147" i="20"/>
  <c r="FB139" i="20"/>
  <c r="FC139" i="20" s="1"/>
  <c r="FD139" i="20" s="1"/>
  <c r="BG175" i="20"/>
  <c r="BP175" i="20" s="1"/>
  <c r="EB227" i="20"/>
  <c r="EG163" i="20"/>
  <c r="EP163" i="20" s="1"/>
  <c r="CH163" i="20"/>
  <c r="CJ163" i="20" s="1"/>
  <c r="CQ163" i="20" s="1"/>
  <c r="CS163" i="20" s="1"/>
  <c r="BG215" i="20"/>
  <c r="BP215" i="20" s="1"/>
  <c r="FB135" i="20"/>
  <c r="FC135" i="20" s="1"/>
  <c r="FD135" i="20" s="1"/>
  <c r="FB122" i="20"/>
  <c r="FC122" i="20" s="1"/>
  <c r="FD122" i="20" s="1"/>
  <c r="BG129" i="20"/>
  <c r="BH129" i="20" s="1"/>
  <c r="FO136" i="20"/>
  <c r="DC136" i="20"/>
  <c r="BH118" i="20"/>
  <c r="BK118" i="20" s="1"/>
  <c r="BG137" i="20"/>
  <c r="BH137" i="20" s="1"/>
  <c r="AT128" i="20"/>
  <c r="BK117" i="20"/>
  <c r="CV117" i="20" s="1"/>
  <c r="DC114" i="20"/>
  <c r="FO114" i="20"/>
  <c r="CI96" i="20"/>
  <c r="BS96" i="20"/>
  <c r="CH96" i="20"/>
  <c r="BZ96" i="20"/>
  <c r="EH96" i="20" s="1"/>
  <c r="EJ96" i="20" s="1"/>
  <c r="AB96" i="20"/>
  <c r="BG96" i="20" s="1"/>
  <c r="GG96" i="20"/>
  <c r="GI96" i="20" s="1"/>
  <c r="DA96" i="20" s="1"/>
  <c r="GF84" i="20"/>
  <c r="GI84" i="20" s="1"/>
  <c r="DA84" i="20" s="1"/>
  <c r="BS84" i="20"/>
  <c r="CI84" i="20"/>
  <c r="CH84" i="20"/>
  <c r="BZ84" i="20"/>
  <c r="EH84" i="20" s="1"/>
  <c r="EJ84" i="20" s="1"/>
  <c r="AV84" i="20"/>
  <c r="EB77" i="20"/>
  <c r="BJ125" i="20"/>
  <c r="FH118" i="20"/>
  <c r="BB108" i="20"/>
  <c r="EC108" i="20" s="1"/>
  <c r="GG98" i="20"/>
  <c r="GI98" i="20" s="1"/>
  <c r="DA98" i="20" s="1"/>
  <c r="CI98" i="20"/>
  <c r="BS98" i="20"/>
  <c r="CH98" i="20"/>
  <c r="AB98" i="20"/>
  <c r="BZ98" i="20"/>
  <c r="EH98" i="20" s="1"/>
  <c r="EJ98" i="20" s="1"/>
  <c r="BM91" i="20"/>
  <c r="BN91" i="20" s="1"/>
  <c r="CW91" i="20" s="1"/>
  <c r="ET80" i="20"/>
  <c r="ES80" i="20" s="1"/>
  <c r="AG80" i="20"/>
  <c r="FO68" i="20"/>
  <c r="DC68" i="20"/>
  <c r="P48" i="20"/>
  <c r="BN48" i="20" s="1"/>
  <c r="DR48" i="20"/>
  <c r="BF48" i="20"/>
  <c r="GF106" i="20"/>
  <c r="BZ106" i="20"/>
  <c r="EH106" i="20" s="1"/>
  <c r="EJ106" i="20" s="1"/>
  <c r="BM106" i="20"/>
  <c r="BN106" i="20" s="1"/>
  <c r="GF87" i="20"/>
  <c r="CI87" i="20"/>
  <c r="CH87" i="20"/>
  <c r="BZ87" i="20"/>
  <c r="EH87" i="20" s="1"/>
  <c r="EJ87" i="20" s="1"/>
  <c r="BS87" i="20"/>
  <c r="AV87" i="20"/>
  <c r="ET78" i="20"/>
  <c r="ES78" i="20" s="1"/>
  <c r="AG78" i="20"/>
  <c r="GF73" i="20"/>
  <c r="GI73" i="20" s="1"/>
  <c r="DA73" i="20" s="1"/>
  <c r="EM73" i="20"/>
  <c r="CH73" i="20"/>
  <c r="BZ73" i="20"/>
  <c r="EH73" i="20" s="1"/>
  <c r="EJ73" i="20" s="1"/>
  <c r="AV73" i="20"/>
  <c r="CI73" i="20"/>
  <c r="BS73" i="20"/>
  <c r="DC57" i="20"/>
  <c r="FO57" i="20"/>
  <c r="DC53" i="20"/>
  <c r="FO53" i="20"/>
  <c r="DC116" i="20"/>
  <c r="FO116" i="20"/>
  <c r="BG91" i="20"/>
  <c r="BH91" i="20" s="1"/>
  <c r="EM84" i="20"/>
  <c r="CJ77" i="20"/>
  <c r="CQ77" i="20" s="1"/>
  <c r="CS77" i="20" s="1"/>
  <c r="CX77" i="20" s="1"/>
  <c r="CJ139" i="20"/>
  <c r="BJ134" i="20"/>
  <c r="BH113" i="20"/>
  <c r="FG81" i="20"/>
  <c r="FH81" i="20" s="1"/>
  <c r="ET58" i="20"/>
  <c r="ES58" i="20" s="1"/>
  <c r="AG58" i="20"/>
  <c r="BM61" i="20"/>
  <c r="BN61" i="20" s="1"/>
  <c r="CW61" i="20" s="1"/>
  <c r="BM54" i="20"/>
  <c r="BN54" i="20" s="1"/>
  <c r="CW54" i="20" s="1"/>
  <c r="BU46" i="20"/>
  <c r="BT46" i="20"/>
  <c r="BV46" i="20" s="1"/>
  <c r="DR26" i="20"/>
  <c r="FG26" i="20" s="1"/>
  <c r="BF26" i="20"/>
  <c r="P26" i="20"/>
  <c r="DU92" i="20"/>
  <c r="FO71" i="20"/>
  <c r="DC71" i="20"/>
  <c r="AG40" i="20"/>
  <c r="ET40" i="20"/>
  <c r="ES40" i="20" s="1"/>
  <c r="DU30" i="20"/>
  <c r="BG62" i="20"/>
  <c r="BH62" i="20" s="1"/>
  <c r="FG107" i="20"/>
  <c r="FH107" i="20" s="1"/>
  <c r="FB68" i="20"/>
  <c r="FC68" i="20" s="1"/>
  <c r="FD68" i="20" s="1"/>
  <c r="CJ31" i="20"/>
  <c r="CQ31" i="20" s="1"/>
  <c r="BU21" i="20"/>
  <c r="BT21" i="20"/>
  <c r="BV21" i="20" s="1"/>
  <c r="BG70" i="20"/>
  <c r="BH70" i="20" s="1"/>
  <c r="BG60" i="20"/>
  <c r="BH60" i="20" s="1"/>
  <c r="CJ67" i="20"/>
  <c r="CQ67" i="20" s="1"/>
  <c r="CS67" i="20" s="1"/>
  <c r="CX67" i="20" s="1"/>
  <c r="BG65" i="20"/>
  <c r="BH65" i="20" s="1"/>
  <c r="BU50" i="20"/>
  <c r="BT50" i="20"/>
  <c r="BV50" i="20" s="1"/>
  <c r="DU34" i="20"/>
  <c r="AU29" i="20"/>
  <c r="AT29" i="20"/>
  <c r="BG83" i="20"/>
  <c r="BH83" i="20" s="1"/>
  <c r="EP61" i="20"/>
  <c r="BJ35" i="20"/>
  <c r="BK35" i="20" s="1"/>
  <c r="BJ50" i="20"/>
  <c r="BK50" i="20" s="1"/>
  <c r="AW486" i="5"/>
  <c r="DO486" i="5"/>
  <c r="FA436" i="5"/>
  <c r="CO436" i="5"/>
  <c r="CU361" i="5"/>
  <c r="FA361" i="5"/>
  <c r="FC444" i="5"/>
  <c r="CX444" i="5"/>
  <c r="FC421" i="5"/>
  <c r="CX421" i="5"/>
  <c r="CX398" i="5"/>
  <c r="FC398" i="5"/>
  <c r="FC361" i="5"/>
  <c r="CX361" i="5"/>
  <c r="CX399" i="5"/>
  <c r="FC399" i="5"/>
  <c r="CX257" i="5"/>
  <c r="FC257" i="5"/>
  <c r="AW477" i="5"/>
  <c r="DO477" i="5"/>
  <c r="FC327" i="5"/>
  <c r="CX327" i="5"/>
  <c r="CU377" i="5"/>
  <c r="FA377" i="5"/>
  <c r="FA416" i="5"/>
  <c r="CU416" i="5"/>
  <c r="CO409" i="5"/>
  <c r="FA409" i="5"/>
  <c r="CU334" i="5"/>
  <c r="FA334" i="5"/>
  <c r="FC149" i="5"/>
  <c r="FC309" i="5"/>
  <c r="CX309" i="5"/>
  <c r="FC449" i="5"/>
  <c r="CX449" i="5"/>
  <c r="FC388" i="5"/>
  <c r="CX388" i="5"/>
  <c r="FC392" i="5"/>
  <c r="CX392" i="5"/>
  <c r="CX391" i="5"/>
  <c r="FC391" i="5"/>
  <c r="AW476" i="5"/>
  <c r="DO476" i="5"/>
  <c r="AW153" i="5"/>
  <c r="CH153" i="5" s="1"/>
  <c r="CX329" i="5"/>
  <c r="FA352" i="5"/>
  <c r="CO352" i="5"/>
  <c r="FA330" i="5"/>
  <c r="CO330" i="5"/>
  <c r="FU282" i="5"/>
  <c r="CM282" i="5" s="1"/>
  <c r="FA441" i="5"/>
  <c r="CU441" i="5"/>
  <c r="FA344" i="5"/>
  <c r="CO344" i="5"/>
  <c r="FA290" i="5"/>
  <c r="CU290" i="5"/>
  <c r="CU393" i="5"/>
  <c r="FA393" i="5"/>
  <c r="CO347" i="5"/>
  <c r="FA347" i="5"/>
  <c r="FA356" i="5"/>
  <c r="CO356" i="5"/>
  <c r="EG486" i="5"/>
  <c r="EJ486" i="5" s="1"/>
  <c r="EK486" i="5" s="1"/>
  <c r="FC445" i="5"/>
  <c r="CX445" i="5"/>
  <c r="AW483" i="5"/>
  <c r="DO483" i="5"/>
  <c r="AL20" i="5"/>
  <c r="AO20" i="5"/>
  <c r="FA366" i="5"/>
  <c r="CO366" i="5"/>
  <c r="CX153" i="5"/>
  <c r="FC153" i="5"/>
  <c r="FA384" i="5"/>
  <c r="CO384" i="5"/>
  <c r="FA358" i="5"/>
  <c r="CO358" i="5"/>
  <c r="FU431" i="5"/>
  <c r="CM431" i="5" s="1"/>
  <c r="FA354" i="5"/>
  <c r="CO354" i="5"/>
  <c r="CU298" i="5"/>
  <c r="FA298" i="5"/>
  <c r="FC425" i="5"/>
  <c r="CX425" i="5"/>
  <c r="FA258" i="5"/>
  <c r="CO258" i="5"/>
  <c r="CX441" i="5"/>
  <c r="FC441" i="5"/>
  <c r="FC380" i="5"/>
  <c r="CX380" i="5"/>
  <c r="FC350" i="5"/>
  <c r="CX350" i="5"/>
  <c r="CX280" i="5"/>
  <c r="FC280" i="5"/>
  <c r="CX386" i="5"/>
  <c r="FC386" i="5"/>
  <c r="CX422" i="5"/>
  <c r="FC422" i="5"/>
  <c r="FC323" i="5"/>
  <c r="CX323" i="5"/>
  <c r="FU413" i="5"/>
  <c r="CM413" i="5" s="1"/>
  <c r="FA345" i="5"/>
  <c r="CU345" i="5"/>
  <c r="FA286" i="5"/>
  <c r="CU286" i="5"/>
  <c r="FA153" i="5"/>
  <c r="CU153" i="5"/>
  <c r="FU373" i="5"/>
  <c r="CM373" i="5" s="1"/>
  <c r="FU274" i="5"/>
  <c r="CM274" i="5" s="1"/>
  <c r="FU419" i="5"/>
  <c r="CM419" i="5" s="1"/>
  <c r="FA437" i="5"/>
  <c r="CU437" i="5"/>
  <c r="FC150" i="5"/>
  <c r="CX150" i="5"/>
  <c r="AW496" i="5"/>
  <c r="DO496" i="5"/>
  <c r="AW472" i="5"/>
  <c r="DO472" i="5"/>
  <c r="EG472" i="5" s="1"/>
  <c r="EJ472" i="5" s="1"/>
  <c r="EK472" i="5" s="1"/>
  <c r="EG483" i="5"/>
  <c r="EJ483" i="5" s="1"/>
  <c r="EK483" i="5" s="1"/>
  <c r="CX363" i="5"/>
  <c r="FC363" i="5"/>
  <c r="FA452" i="5"/>
  <c r="CU452" i="5"/>
  <c r="CX152" i="5"/>
  <c r="FC152" i="5"/>
  <c r="FA394" i="5"/>
  <c r="CU394" i="5"/>
  <c r="CO446" i="5"/>
  <c r="FA446" i="5"/>
  <c r="CU401" i="5"/>
  <c r="FA401" i="5"/>
  <c r="FU261" i="5"/>
  <c r="CM261" i="5" s="1"/>
  <c r="FA420" i="5"/>
  <c r="CO420" i="5"/>
  <c r="FA340" i="5"/>
  <c r="CO340" i="5"/>
  <c r="CU346" i="5"/>
  <c r="FA346" i="5"/>
  <c r="FC297" i="5"/>
  <c r="CX297" i="5"/>
  <c r="AW480" i="5"/>
  <c r="DO480" i="5"/>
  <c r="EG480" i="5" s="1"/>
  <c r="EJ480" i="5" s="1"/>
  <c r="EK480" i="5" s="1"/>
  <c r="CX367" i="5"/>
  <c r="FC367" i="5"/>
  <c r="AO21" i="5"/>
  <c r="AL21" i="5"/>
  <c r="FU365" i="5"/>
  <c r="CM365" i="5" s="1"/>
  <c r="CO362" i="5"/>
  <c r="FA362" i="5"/>
  <c r="FU296" i="5"/>
  <c r="CM296" i="5" s="1"/>
  <c r="CU425" i="5"/>
  <c r="FA425" i="5"/>
  <c r="FA348" i="5"/>
  <c r="CO348" i="5"/>
  <c r="FA380" i="5"/>
  <c r="CU380" i="5"/>
  <c r="CX151" i="5"/>
  <c r="FC151" i="5"/>
  <c r="FA404" i="5"/>
  <c r="CU404" i="5"/>
  <c r="CU386" i="5"/>
  <c r="FA386" i="5"/>
  <c r="FA306" i="5"/>
  <c r="CU306" i="5"/>
  <c r="AW478" i="5"/>
  <c r="DO478" i="5"/>
  <c r="EG478" i="5" s="1"/>
  <c r="EJ478" i="5" s="1"/>
  <c r="EK478" i="5" s="1"/>
  <c r="CX254" i="5"/>
  <c r="FC254" i="5"/>
  <c r="FC266" i="5"/>
  <c r="CX266" i="5"/>
  <c r="CX418" i="5"/>
  <c r="FC418" i="5"/>
  <c r="AW494" i="5"/>
  <c r="DO494" i="5"/>
  <c r="EG494" i="5" s="1"/>
  <c r="EJ494" i="5" s="1"/>
  <c r="EK494" i="5" s="1"/>
  <c r="AW479" i="5"/>
  <c r="DO479" i="5"/>
  <c r="EG479" i="5" s="1"/>
  <c r="EJ479" i="5" s="1"/>
  <c r="EK479" i="5" s="1"/>
  <c r="AL22" i="5"/>
  <c r="FU322" i="5"/>
  <c r="CM322" i="5" s="1"/>
  <c r="FU295" i="5"/>
  <c r="CM295" i="5" s="1"/>
  <c r="FU288" i="5"/>
  <c r="CM288" i="5" s="1"/>
  <c r="FU357" i="5"/>
  <c r="CM357" i="5" s="1"/>
  <c r="FA424" i="5"/>
  <c r="CU424" i="5"/>
  <c r="AU81" i="5"/>
  <c r="AU60" i="5"/>
  <c r="AU92" i="5"/>
  <c r="AU134" i="5"/>
  <c r="AU71" i="5"/>
  <c r="AU113" i="5"/>
  <c r="AU145" i="5"/>
  <c r="AU78" i="5"/>
  <c r="AU132" i="5"/>
  <c r="DD51" i="5"/>
  <c r="AR51" i="5"/>
  <c r="AR43" i="5"/>
  <c r="DD43" i="5"/>
  <c r="DD27" i="5"/>
  <c r="AR27" i="5"/>
  <c r="AR31" i="5"/>
  <c r="DD31" i="5"/>
  <c r="R38" i="5"/>
  <c r="EF38" i="5" s="1"/>
  <c r="EE38" i="5" s="1"/>
  <c r="EN38" i="5" s="1"/>
  <c r="EO38" i="5" s="1"/>
  <c r="EP38" i="5" s="1"/>
  <c r="AU38" i="5"/>
  <c r="AV38" i="5" s="1"/>
  <c r="AW38" i="5" s="1"/>
  <c r="R50" i="5"/>
  <c r="AU50" i="5"/>
  <c r="AV50" i="5" s="1"/>
  <c r="AW50" i="5" s="1"/>
  <c r="AR25" i="5"/>
  <c r="DD25" i="5"/>
  <c r="AZ39" i="5"/>
  <c r="DD39" i="5"/>
  <c r="AR39" i="5"/>
  <c r="R42" i="5"/>
  <c r="AU42" i="5"/>
  <c r="AV42" i="5" s="1"/>
  <c r="AW42" i="5" s="1"/>
  <c r="DC443" i="5"/>
  <c r="AR443" i="5"/>
  <c r="CG443" i="5" s="1"/>
  <c r="DC411" i="5"/>
  <c r="AR411" i="5"/>
  <c r="CG411" i="5" s="1"/>
  <c r="DC371" i="5"/>
  <c r="AR371" i="5"/>
  <c r="CG371" i="5" s="1"/>
  <c r="DC303" i="5"/>
  <c r="AR303" i="5"/>
  <c r="CG303" i="5" s="1"/>
  <c r="DC271" i="5"/>
  <c r="AR271" i="5"/>
  <c r="CG271" i="5" s="1"/>
  <c r="BC317" i="5"/>
  <c r="DN317" i="5"/>
  <c r="DC288" i="5"/>
  <c r="AR288" i="5"/>
  <c r="CG288" i="5" s="1"/>
  <c r="AR260" i="5"/>
  <c r="CG260" i="5" s="1"/>
  <c r="DC260" i="5"/>
  <c r="BC300" i="5"/>
  <c r="DN300" i="5"/>
  <c r="DN284" i="5"/>
  <c r="BC284" i="5"/>
  <c r="BC268" i="5"/>
  <c r="DN268" i="5"/>
  <c r="DN267" i="5"/>
  <c r="BC267" i="5"/>
  <c r="BC257" i="5"/>
  <c r="DN257" i="5"/>
  <c r="DN338" i="5"/>
  <c r="BC338" i="5"/>
  <c r="AS306" i="5"/>
  <c r="BB306" i="5" s="1"/>
  <c r="AS254" i="5"/>
  <c r="AT254" i="5" s="1"/>
  <c r="DN252" i="5"/>
  <c r="BC252" i="5"/>
  <c r="AS312" i="5"/>
  <c r="BB312" i="5" s="1"/>
  <c r="BL428" i="5"/>
  <c r="DT428" i="5" s="1"/>
  <c r="DV428" i="5" s="1"/>
  <c r="BT428" i="5"/>
  <c r="BU428" i="5"/>
  <c r="AF389" i="5"/>
  <c r="BL389" i="5"/>
  <c r="DT389" i="5" s="1"/>
  <c r="DV389" i="5" s="1"/>
  <c r="EB389" i="5" s="1"/>
  <c r="BT389" i="5"/>
  <c r="BU389" i="5"/>
  <c r="FS389" i="5"/>
  <c r="FU389" i="5" s="1"/>
  <c r="CM389" i="5" s="1"/>
  <c r="BL349" i="5"/>
  <c r="DT349" i="5" s="1"/>
  <c r="DV349" i="5" s="1"/>
  <c r="BT349" i="5"/>
  <c r="BU349" i="5"/>
  <c r="BU275" i="5"/>
  <c r="BL275" i="5"/>
  <c r="DT275" i="5" s="1"/>
  <c r="DV275" i="5" s="1"/>
  <c r="EB275" i="5" s="1"/>
  <c r="BT275" i="5"/>
  <c r="BT437" i="5"/>
  <c r="BU437" i="5"/>
  <c r="BL437" i="5"/>
  <c r="DT437" i="5" s="1"/>
  <c r="DV437" i="5" s="1"/>
  <c r="BL405" i="5"/>
  <c r="DT405" i="5" s="1"/>
  <c r="DV405" i="5" s="1"/>
  <c r="EB405" i="5" s="1"/>
  <c r="BT405" i="5"/>
  <c r="BU405" i="5"/>
  <c r="AF376" i="5"/>
  <c r="BT376" i="5"/>
  <c r="FS376" i="5"/>
  <c r="FU376" i="5" s="1"/>
  <c r="CM376" i="5" s="1"/>
  <c r="BU376" i="5"/>
  <c r="BL376" i="5"/>
  <c r="DT376" i="5" s="1"/>
  <c r="DV376" i="5" s="1"/>
  <c r="BU346" i="5"/>
  <c r="BT346" i="5"/>
  <c r="BL346" i="5"/>
  <c r="DT346" i="5" s="1"/>
  <c r="DV346" i="5" s="1"/>
  <c r="EB346" i="5" s="1"/>
  <c r="BL318" i="5"/>
  <c r="DT318" i="5" s="1"/>
  <c r="DV318" i="5" s="1"/>
  <c r="EB318" i="5" s="1"/>
  <c r="BT318" i="5"/>
  <c r="BU318" i="5"/>
  <c r="AF276" i="5"/>
  <c r="BL276" i="5"/>
  <c r="DT276" i="5" s="1"/>
  <c r="DV276" i="5" s="1"/>
  <c r="EB276" i="5" s="1"/>
  <c r="BT276" i="5"/>
  <c r="FS276" i="5"/>
  <c r="FU276" i="5" s="1"/>
  <c r="CM276" i="5" s="1"/>
  <c r="BU276" i="5"/>
  <c r="AF430" i="5"/>
  <c r="BL430" i="5"/>
  <c r="DT430" i="5" s="1"/>
  <c r="DV430" i="5" s="1"/>
  <c r="EA430" i="5" s="1"/>
  <c r="BU430" i="5"/>
  <c r="BT430" i="5"/>
  <c r="FS430" i="5"/>
  <c r="FU430" i="5" s="1"/>
  <c r="CM430" i="5" s="1"/>
  <c r="AF447" i="5"/>
  <c r="BL447" i="5"/>
  <c r="DT447" i="5" s="1"/>
  <c r="DV447" i="5" s="1"/>
  <c r="BT447" i="5"/>
  <c r="FS447" i="5"/>
  <c r="FU447" i="5" s="1"/>
  <c r="CM447" i="5" s="1"/>
  <c r="BU447" i="5"/>
  <c r="AF415" i="5"/>
  <c r="BL415" i="5"/>
  <c r="DT415" i="5" s="1"/>
  <c r="DV415" i="5" s="1"/>
  <c r="BT415" i="5"/>
  <c r="FS415" i="5"/>
  <c r="FU415" i="5" s="1"/>
  <c r="CM415" i="5" s="1"/>
  <c r="BU415" i="5"/>
  <c r="BL382" i="5"/>
  <c r="DT382" i="5" s="1"/>
  <c r="DV382" i="5" s="1"/>
  <c r="EB382" i="5" s="1"/>
  <c r="BT382" i="5"/>
  <c r="BU382" i="5"/>
  <c r="AF336" i="5"/>
  <c r="BL336" i="5"/>
  <c r="DT336" i="5" s="1"/>
  <c r="DV336" i="5" s="1"/>
  <c r="BT336" i="5"/>
  <c r="BU336" i="5"/>
  <c r="AF273" i="5"/>
  <c r="BL273" i="5"/>
  <c r="DT273" i="5" s="1"/>
  <c r="DV273" i="5" s="1"/>
  <c r="EB273" i="5" s="1"/>
  <c r="BT273" i="5"/>
  <c r="BU273" i="5"/>
  <c r="AZ434" i="5"/>
  <c r="CI434" i="5" s="1"/>
  <c r="AR434" i="5"/>
  <c r="CG434" i="5" s="1"/>
  <c r="DC434" i="5"/>
  <c r="AZ396" i="5"/>
  <c r="CI396" i="5" s="1"/>
  <c r="DC396" i="5"/>
  <c r="AR396" i="5"/>
  <c r="CG396" i="5" s="1"/>
  <c r="AS371" i="5"/>
  <c r="BB371" i="5" s="1"/>
  <c r="AZ376" i="5"/>
  <c r="CI376" i="5" s="1"/>
  <c r="DC376" i="5"/>
  <c r="AR376" i="5"/>
  <c r="CG376" i="5" s="1"/>
  <c r="AZ365" i="5"/>
  <c r="CI365" i="5" s="1"/>
  <c r="AR365" i="5"/>
  <c r="CG365" i="5" s="1"/>
  <c r="DC365" i="5"/>
  <c r="AZ339" i="5"/>
  <c r="CI339" i="5" s="1"/>
  <c r="AR339" i="5"/>
  <c r="CG339" i="5" s="1"/>
  <c r="DC339" i="5"/>
  <c r="AR321" i="5"/>
  <c r="CG321" i="5" s="1"/>
  <c r="DC321" i="5"/>
  <c r="BL407" i="5"/>
  <c r="DT407" i="5" s="1"/>
  <c r="DV407" i="5" s="1"/>
  <c r="BT407" i="5"/>
  <c r="BU407" i="5"/>
  <c r="AF362" i="5"/>
  <c r="BL362" i="5"/>
  <c r="DT362" i="5" s="1"/>
  <c r="DV362" i="5" s="1"/>
  <c r="BT362" i="5"/>
  <c r="BU362" i="5"/>
  <c r="FS362" i="5"/>
  <c r="FU362" i="5" s="1"/>
  <c r="CM362" i="5" s="1"/>
  <c r="AF301" i="5"/>
  <c r="BL301" i="5"/>
  <c r="DT301" i="5" s="1"/>
  <c r="DV301" i="5" s="1"/>
  <c r="BT301" i="5"/>
  <c r="BU301" i="5"/>
  <c r="BT319" i="5"/>
  <c r="BU319" i="5"/>
  <c r="BL319" i="5"/>
  <c r="DT319" i="5" s="1"/>
  <c r="DV319" i="5" s="1"/>
  <c r="EB319" i="5" s="1"/>
  <c r="AF305" i="5"/>
  <c r="BL305" i="5"/>
  <c r="DT305" i="5" s="1"/>
  <c r="DV305" i="5" s="1"/>
  <c r="BT305" i="5"/>
  <c r="BU305" i="5"/>
  <c r="BC500" i="5"/>
  <c r="BD500" i="5" s="1"/>
  <c r="DN500" i="5"/>
  <c r="DN470" i="5"/>
  <c r="BC470" i="5"/>
  <c r="BD470" i="5" s="1"/>
  <c r="AZ148" i="5"/>
  <c r="CI148" i="5" s="1"/>
  <c r="DD148" i="5"/>
  <c r="ES148" i="5" s="1"/>
  <c r="AR148" i="5"/>
  <c r="CG148" i="5" s="1"/>
  <c r="BL272" i="5"/>
  <c r="DT272" i="5" s="1"/>
  <c r="DV272" i="5" s="1"/>
  <c r="BT272" i="5"/>
  <c r="FS272" i="5"/>
  <c r="FU272" i="5" s="1"/>
  <c r="CM272" i="5" s="1"/>
  <c r="BU272" i="5"/>
  <c r="BL452" i="5"/>
  <c r="DT452" i="5" s="1"/>
  <c r="DV452" i="5" s="1"/>
  <c r="BT452" i="5"/>
  <c r="BU452" i="5"/>
  <c r="DN494" i="5"/>
  <c r="BC494" i="5"/>
  <c r="AF331" i="5"/>
  <c r="BT331" i="5"/>
  <c r="BU331" i="5"/>
  <c r="BL331" i="5"/>
  <c r="DT331" i="5" s="1"/>
  <c r="DV331" i="5" s="1"/>
  <c r="AS359" i="5"/>
  <c r="AT359" i="5" s="1"/>
  <c r="DD42" i="5"/>
  <c r="AR42" i="5"/>
  <c r="AS380" i="5"/>
  <c r="BB380" i="5" s="1"/>
  <c r="DG20" i="5"/>
  <c r="DG31" i="5"/>
  <c r="DG38" i="5"/>
  <c r="DG51" i="5"/>
  <c r="CU357" i="5"/>
  <c r="FA357" i="5"/>
  <c r="CO397" i="5"/>
  <c r="FA397" i="5"/>
  <c r="FA429" i="5"/>
  <c r="CU429" i="5"/>
  <c r="AV277" i="5"/>
  <c r="EN381" i="5"/>
  <c r="EO381" i="5" s="1"/>
  <c r="EP381" i="5" s="1"/>
  <c r="S273" i="5"/>
  <c r="EF273" i="5"/>
  <c r="EE273" i="5" s="1"/>
  <c r="EN153" i="5"/>
  <c r="EO153" i="5" s="1"/>
  <c r="EP153" i="5" s="1"/>
  <c r="FA278" i="5"/>
  <c r="CU278" i="5"/>
  <c r="CU350" i="5"/>
  <c r="FA350" i="5"/>
  <c r="FA374" i="5"/>
  <c r="CO374" i="5"/>
  <c r="BY257" i="5"/>
  <c r="EN425" i="5"/>
  <c r="EO425" i="5" s="1"/>
  <c r="EP425" i="5" s="1"/>
  <c r="EN401" i="5"/>
  <c r="EO401" i="5" s="1"/>
  <c r="EP401" i="5" s="1"/>
  <c r="EN358" i="5"/>
  <c r="EO358" i="5" s="1"/>
  <c r="EP358" i="5" s="1"/>
  <c r="AV267" i="5"/>
  <c r="BV34" i="5"/>
  <c r="CC34" i="5" s="1"/>
  <c r="CE34" i="5" s="1"/>
  <c r="AT474" i="5"/>
  <c r="AS364" i="5"/>
  <c r="BB364" i="5" s="1"/>
  <c r="BB297" i="5"/>
  <c r="FA335" i="5"/>
  <c r="CO335" i="5"/>
  <c r="BY256" i="5"/>
  <c r="AZ420" i="5"/>
  <c r="CI420" i="5" s="1"/>
  <c r="EN380" i="5"/>
  <c r="EO380" i="5" s="1"/>
  <c r="EP380" i="5" s="1"/>
  <c r="EN290" i="5"/>
  <c r="EO290" i="5" s="1"/>
  <c r="EP290" i="5" s="1"/>
  <c r="S271" i="5"/>
  <c r="EF271" i="5"/>
  <c r="EE271" i="5" s="1"/>
  <c r="BV21" i="5"/>
  <c r="CC21" i="5" s="1"/>
  <c r="FA432" i="5"/>
  <c r="CO432" i="5"/>
  <c r="AZ354" i="5"/>
  <c r="CI354" i="5" s="1"/>
  <c r="AV339" i="5"/>
  <c r="EN302" i="5"/>
  <c r="EO302" i="5" s="1"/>
  <c r="EP302" i="5" s="1"/>
  <c r="BF30" i="5"/>
  <c r="BH30" i="5" s="1"/>
  <c r="BG30" i="5"/>
  <c r="AT263" i="5"/>
  <c r="BG42" i="5"/>
  <c r="BF42" i="5"/>
  <c r="BH42" i="5" s="1"/>
  <c r="EN481" i="5"/>
  <c r="EO481" i="5" s="1"/>
  <c r="EP481" i="5" s="1"/>
  <c r="DG498" i="5"/>
  <c r="BJ148" i="5"/>
  <c r="EC148" i="5" s="1"/>
  <c r="EB148" i="5" s="1"/>
  <c r="CO385" i="5"/>
  <c r="FA385" i="5"/>
  <c r="AV371" i="5"/>
  <c r="AZ262" i="5"/>
  <c r="CI262" i="5" s="1"/>
  <c r="BF41" i="5"/>
  <c r="BH41" i="5" s="1"/>
  <c r="BG41" i="5"/>
  <c r="BJ149" i="5"/>
  <c r="EC149" i="5" s="1"/>
  <c r="EB149" i="5" s="1"/>
  <c r="AT491" i="5"/>
  <c r="AT499" i="5"/>
  <c r="EN364" i="5"/>
  <c r="EO364" i="5" s="1"/>
  <c r="EP364" i="5" s="1"/>
  <c r="EN327" i="5"/>
  <c r="EO327" i="5" s="1"/>
  <c r="EP327" i="5" s="1"/>
  <c r="EN487" i="5"/>
  <c r="EO487" i="5" s="1"/>
  <c r="EP487" i="5" s="1"/>
  <c r="AV101" i="5"/>
  <c r="BY382" i="5"/>
  <c r="AS384" i="5"/>
  <c r="AT384" i="5" s="1"/>
  <c r="EN349" i="5"/>
  <c r="EO349" i="5" s="1"/>
  <c r="EP349" i="5" s="1"/>
  <c r="BV47" i="5"/>
  <c r="CC47" i="5" s="1"/>
  <c r="BF23" i="5"/>
  <c r="BH23" i="5" s="1"/>
  <c r="BG23" i="5"/>
  <c r="BB479" i="5"/>
  <c r="BB478" i="5"/>
  <c r="AT471" i="5"/>
  <c r="EO476" i="5"/>
  <c r="EP476" i="5" s="1"/>
  <c r="DX483" i="5"/>
  <c r="EG477" i="5"/>
  <c r="EJ477" i="5" s="1"/>
  <c r="EK477" i="5" s="1"/>
  <c r="DO489" i="5"/>
  <c r="DO473" i="5"/>
  <c r="EG473" i="5" s="1"/>
  <c r="EJ473" i="5" s="1"/>
  <c r="EK473" i="5" s="1"/>
  <c r="EG476" i="5"/>
  <c r="EJ476" i="5" s="1"/>
  <c r="EK476" i="5" s="1"/>
  <c r="EN452" i="5"/>
  <c r="EO452" i="5" s="1"/>
  <c r="EP452" i="5" s="1"/>
  <c r="EG496" i="5"/>
  <c r="EJ496" i="5" s="1"/>
  <c r="EK496" i="5" s="1"/>
  <c r="DH496" i="5" s="1"/>
  <c r="FS452" i="5"/>
  <c r="FU452" i="5" s="1"/>
  <c r="CM452" i="5" s="1"/>
  <c r="DX479" i="5"/>
  <c r="BB483" i="5"/>
  <c r="EN488" i="5"/>
  <c r="EO488" i="5" s="1"/>
  <c r="EP488" i="5" s="1"/>
  <c r="CE478" i="5"/>
  <c r="DX494" i="5"/>
  <c r="AT484" i="5"/>
  <c r="DX472" i="5"/>
  <c r="AU85" i="5"/>
  <c r="AU64" i="5"/>
  <c r="AU106" i="5"/>
  <c r="AU138" i="5"/>
  <c r="AU75" i="5"/>
  <c r="AU117" i="5"/>
  <c r="R53" i="5"/>
  <c r="EF53" i="5" s="1"/>
  <c r="AU53" i="5"/>
  <c r="AU94" i="5"/>
  <c r="DD37" i="5"/>
  <c r="AR37" i="5"/>
  <c r="AU24" i="5"/>
  <c r="AV24" i="5" s="1"/>
  <c r="AW24" i="5" s="1"/>
  <c r="R32" i="5"/>
  <c r="AU32" i="5"/>
  <c r="AV32" i="5" s="1"/>
  <c r="AW32" i="5" s="1"/>
  <c r="AU49" i="5"/>
  <c r="AV49" i="5" s="1"/>
  <c r="AW49" i="5" s="1"/>
  <c r="AU52" i="5"/>
  <c r="AV52" i="5" s="1"/>
  <c r="AW52" i="5" s="1"/>
  <c r="R37" i="5"/>
  <c r="EF37" i="5" s="1"/>
  <c r="EE37" i="5" s="1"/>
  <c r="EN37" i="5" s="1"/>
  <c r="EO37" i="5" s="1"/>
  <c r="EP37" i="5" s="1"/>
  <c r="AU37" i="5"/>
  <c r="AV37" i="5" s="1"/>
  <c r="AW37" i="5" s="1"/>
  <c r="R41" i="5"/>
  <c r="EF41" i="5" s="1"/>
  <c r="EE41" i="5" s="1"/>
  <c r="AU41" i="5"/>
  <c r="AV41" i="5" s="1"/>
  <c r="AW41" i="5" s="1"/>
  <c r="AR44" i="5"/>
  <c r="DD44" i="5"/>
  <c r="AR439" i="5"/>
  <c r="CG439" i="5" s="1"/>
  <c r="DC439" i="5"/>
  <c r="DC407" i="5"/>
  <c r="AR407" i="5"/>
  <c r="CG407" i="5" s="1"/>
  <c r="DC359" i="5"/>
  <c r="AR359" i="5"/>
  <c r="CG359" i="5" s="1"/>
  <c r="AR299" i="5"/>
  <c r="CG299" i="5" s="1"/>
  <c r="DC299" i="5"/>
  <c r="DC267" i="5"/>
  <c r="AR267" i="5"/>
  <c r="CG267" i="5" s="1"/>
  <c r="DC326" i="5"/>
  <c r="AR326" i="5"/>
  <c r="CG326" i="5" s="1"/>
  <c r="AR316" i="5"/>
  <c r="CG316" i="5" s="1"/>
  <c r="DC316" i="5"/>
  <c r="DC284" i="5"/>
  <c r="AR284" i="5"/>
  <c r="CG284" i="5" s="1"/>
  <c r="AR256" i="5"/>
  <c r="CG256" i="5" s="1"/>
  <c r="DC256" i="5"/>
  <c r="DC297" i="5"/>
  <c r="AR297" i="5"/>
  <c r="CG297" i="5" s="1"/>
  <c r="DC281" i="5"/>
  <c r="AR281" i="5"/>
  <c r="CG281" i="5" s="1"/>
  <c r="DC265" i="5"/>
  <c r="AR265" i="5"/>
  <c r="CG265" i="5" s="1"/>
  <c r="DN263" i="5"/>
  <c r="BC263" i="5"/>
  <c r="DN253" i="5"/>
  <c r="BC253" i="5"/>
  <c r="AZ414" i="5"/>
  <c r="CI414" i="5" s="1"/>
  <c r="AR414" i="5"/>
  <c r="CG414" i="5" s="1"/>
  <c r="DC414" i="5"/>
  <c r="AS335" i="5"/>
  <c r="BB335" i="5" s="1"/>
  <c r="AS300" i="5"/>
  <c r="AT300" i="5" s="1"/>
  <c r="AS322" i="5"/>
  <c r="AT322" i="5" s="1"/>
  <c r="AS308" i="5"/>
  <c r="BB308" i="5" s="1"/>
  <c r="AS284" i="5"/>
  <c r="BB284" i="5" s="1"/>
  <c r="BT424" i="5"/>
  <c r="BU424" i="5"/>
  <c r="BL424" i="5"/>
  <c r="DT424" i="5" s="1"/>
  <c r="DV424" i="5" s="1"/>
  <c r="EB424" i="5" s="1"/>
  <c r="BL394" i="5"/>
  <c r="DT394" i="5" s="1"/>
  <c r="DV394" i="5" s="1"/>
  <c r="EB394" i="5" s="1"/>
  <c r="BT394" i="5"/>
  <c r="BU394" i="5"/>
  <c r="BL345" i="5"/>
  <c r="DT345" i="5" s="1"/>
  <c r="DV345" i="5" s="1"/>
  <c r="EB345" i="5" s="1"/>
  <c r="BT345" i="5"/>
  <c r="BU345" i="5"/>
  <c r="AS410" i="5"/>
  <c r="BB410" i="5" s="1"/>
  <c r="BU263" i="5"/>
  <c r="BL263" i="5"/>
  <c r="DT263" i="5" s="1"/>
  <c r="DV263" i="5" s="1"/>
  <c r="EA263" i="5" s="1"/>
  <c r="BT263" i="5"/>
  <c r="BT433" i="5"/>
  <c r="BU433" i="5"/>
  <c r="BL433" i="5"/>
  <c r="DT433" i="5" s="1"/>
  <c r="DV433" i="5" s="1"/>
  <c r="EB433" i="5" s="1"/>
  <c r="BL401" i="5"/>
  <c r="DT401" i="5" s="1"/>
  <c r="DV401" i="5" s="1"/>
  <c r="EB401" i="5" s="1"/>
  <c r="BT401" i="5"/>
  <c r="BU401" i="5"/>
  <c r="BT372" i="5"/>
  <c r="FS372" i="5"/>
  <c r="FU372" i="5" s="1"/>
  <c r="CM372" i="5" s="1"/>
  <c r="BU372" i="5"/>
  <c r="BL372" i="5"/>
  <c r="DT372" i="5" s="1"/>
  <c r="DV372" i="5" s="1"/>
  <c r="EB372" i="5" s="1"/>
  <c r="AF342" i="5"/>
  <c r="BU342" i="5"/>
  <c r="BT342" i="5"/>
  <c r="BL342" i="5"/>
  <c r="DT342" i="5" s="1"/>
  <c r="DV342" i="5" s="1"/>
  <c r="BL314" i="5"/>
  <c r="DT314" i="5" s="1"/>
  <c r="DV314" i="5" s="1"/>
  <c r="EB314" i="5" s="1"/>
  <c r="BT314" i="5"/>
  <c r="BU314" i="5"/>
  <c r="AF270" i="5"/>
  <c r="BL270" i="5"/>
  <c r="DT270" i="5" s="1"/>
  <c r="DV270" i="5" s="1"/>
  <c r="EB270" i="5" s="1"/>
  <c r="BT270" i="5"/>
  <c r="FS270" i="5"/>
  <c r="FU270" i="5" s="1"/>
  <c r="CM270" i="5" s="1"/>
  <c r="BU270" i="5"/>
  <c r="AF426" i="5"/>
  <c r="BL426" i="5"/>
  <c r="DT426" i="5" s="1"/>
  <c r="DV426" i="5" s="1"/>
  <c r="EB426" i="5" s="1"/>
  <c r="BT426" i="5"/>
  <c r="BU426" i="5"/>
  <c r="FS426" i="5"/>
  <c r="FU426" i="5" s="1"/>
  <c r="CM426" i="5" s="1"/>
  <c r="AF443" i="5"/>
  <c r="BL443" i="5"/>
  <c r="DT443" i="5" s="1"/>
  <c r="DV443" i="5" s="1"/>
  <c r="BT443" i="5"/>
  <c r="FS443" i="5"/>
  <c r="FU443" i="5" s="1"/>
  <c r="CM443" i="5" s="1"/>
  <c r="BU443" i="5"/>
  <c r="BL411" i="5"/>
  <c r="DT411" i="5" s="1"/>
  <c r="DV411" i="5" s="1"/>
  <c r="BT411" i="5"/>
  <c r="FS411" i="5"/>
  <c r="FU411" i="5" s="1"/>
  <c r="CM411" i="5" s="1"/>
  <c r="BU411" i="5"/>
  <c r="AF378" i="5"/>
  <c r="BL378" i="5"/>
  <c r="DT378" i="5" s="1"/>
  <c r="DV378" i="5" s="1"/>
  <c r="EB378" i="5" s="1"/>
  <c r="BT378" i="5"/>
  <c r="FS378" i="5"/>
  <c r="FU378" i="5" s="1"/>
  <c r="CM378" i="5" s="1"/>
  <c r="BU378" i="5"/>
  <c r="BL289" i="5"/>
  <c r="DT289" i="5" s="1"/>
  <c r="DV289" i="5" s="1"/>
  <c r="BT289" i="5"/>
  <c r="FS289" i="5"/>
  <c r="FU289" i="5" s="1"/>
  <c r="CM289" i="5" s="1"/>
  <c r="BU289" i="5"/>
  <c r="AZ442" i="5"/>
  <c r="CI442" i="5" s="1"/>
  <c r="DC442" i="5"/>
  <c r="AR442" i="5"/>
  <c r="CG442" i="5" s="1"/>
  <c r="BL307" i="5"/>
  <c r="DT307" i="5" s="1"/>
  <c r="DV307" i="5" s="1"/>
  <c r="EB307" i="5" s="1"/>
  <c r="BT307" i="5"/>
  <c r="BU307" i="5"/>
  <c r="FS307" i="5"/>
  <c r="FU307" i="5" s="1"/>
  <c r="CM307" i="5" s="1"/>
  <c r="AF304" i="5"/>
  <c r="BL304" i="5"/>
  <c r="DT304" i="5" s="1"/>
  <c r="DV304" i="5" s="1"/>
  <c r="BT304" i="5"/>
  <c r="BU304" i="5"/>
  <c r="FS304" i="5"/>
  <c r="FU304" i="5" s="1"/>
  <c r="CM304" i="5" s="1"/>
  <c r="BU271" i="5"/>
  <c r="BL271" i="5"/>
  <c r="DT271" i="5" s="1"/>
  <c r="DV271" i="5" s="1"/>
  <c r="BT271" i="5"/>
  <c r="AZ314" i="5"/>
  <c r="CI314" i="5" s="1"/>
  <c r="DC314" i="5"/>
  <c r="AR314" i="5"/>
  <c r="CG314" i="5" s="1"/>
  <c r="AZ270" i="5"/>
  <c r="CI270" i="5" s="1"/>
  <c r="DC270" i="5"/>
  <c r="AR270" i="5"/>
  <c r="CG270" i="5" s="1"/>
  <c r="DD99" i="5"/>
  <c r="ES99" i="5" s="1"/>
  <c r="AR99" i="5"/>
  <c r="CG99" i="5" s="1"/>
  <c r="BL402" i="5"/>
  <c r="DT402" i="5" s="1"/>
  <c r="DV402" i="5" s="1"/>
  <c r="BT402" i="5"/>
  <c r="BU402" i="5"/>
  <c r="AF358" i="5"/>
  <c r="BL358" i="5"/>
  <c r="DT358" i="5" s="1"/>
  <c r="DV358" i="5" s="1"/>
  <c r="BT358" i="5"/>
  <c r="FS358" i="5"/>
  <c r="FU358" i="5" s="1"/>
  <c r="CM358" i="5" s="1"/>
  <c r="BU358" i="5"/>
  <c r="BU297" i="5"/>
  <c r="BL297" i="5"/>
  <c r="DT297" i="5" s="1"/>
  <c r="DV297" i="5" s="1"/>
  <c r="EB297" i="5" s="1"/>
  <c r="BT297" i="5"/>
  <c r="BT315" i="5"/>
  <c r="FS315" i="5"/>
  <c r="FU315" i="5" s="1"/>
  <c r="CM315" i="5" s="1"/>
  <c r="BU315" i="5"/>
  <c r="BL315" i="5"/>
  <c r="DT315" i="5" s="1"/>
  <c r="DV315" i="5" s="1"/>
  <c r="EB315" i="5" s="1"/>
  <c r="AF299" i="5"/>
  <c r="BL299" i="5"/>
  <c r="DT299" i="5" s="1"/>
  <c r="DV299" i="5" s="1"/>
  <c r="BT299" i="5"/>
  <c r="BU299" i="5"/>
  <c r="DN473" i="5"/>
  <c r="BC473" i="5"/>
  <c r="BL334" i="5"/>
  <c r="DT334" i="5" s="1"/>
  <c r="DV334" i="5" s="1"/>
  <c r="BU334" i="5"/>
  <c r="BT334" i="5"/>
  <c r="BL347" i="5"/>
  <c r="DT347" i="5" s="1"/>
  <c r="DV347" i="5" s="1"/>
  <c r="EB347" i="5" s="1"/>
  <c r="BT347" i="5"/>
  <c r="FS347" i="5"/>
  <c r="FU347" i="5" s="1"/>
  <c r="CM347" i="5" s="1"/>
  <c r="BU347" i="5"/>
  <c r="BE95" i="5"/>
  <c r="BU95" i="5"/>
  <c r="FS95" i="5"/>
  <c r="FU95" i="5" s="1"/>
  <c r="CM95" i="5" s="1"/>
  <c r="BL95" i="5"/>
  <c r="DT95" i="5" s="1"/>
  <c r="DV95" i="5" s="1"/>
  <c r="EB95" i="5" s="1"/>
  <c r="BT95" i="5"/>
  <c r="BV95" i="5" s="1"/>
  <c r="CC95" i="5" s="1"/>
  <c r="AR34" i="5"/>
  <c r="DD34" i="5"/>
  <c r="AS441" i="5"/>
  <c r="AT441" i="5" s="1"/>
  <c r="DG23" i="5"/>
  <c r="DG34" i="5"/>
  <c r="DG41" i="5"/>
  <c r="DG217" i="5"/>
  <c r="EN445" i="5"/>
  <c r="EO445" i="5" s="1"/>
  <c r="EP445" i="5" s="1"/>
  <c r="EN485" i="5"/>
  <c r="EO485" i="5" s="1"/>
  <c r="EP485" i="5" s="1"/>
  <c r="EN101" i="5"/>
  <c r="EO101" i="5" s="1"/>
  <c r="EP101" i="5" s="1"/>
  <c r="FS428" i="5"/>
  <c r="FU428" i="5" s="1"/>
  <c r="CM428" i="5" s="1"/>
  <c r="FS319" i="5"/>
  <c r="FU319" i="5" s="1"/>
  <c r="CM319" i="5" s="1"/>
  <c r="FS305" i="5"/>
  <c r="FU305" i="5" s="1"/>
  <c r="CM305" i="5" s="1"/>
  <c r="CO389" i="5"/>
  <c r="FA389" i="5"/>
  <c r="EN421" i="5"/>
  <c r="EO421" i="5" s="1"/>
  <c r="EP421" i="5" s="1"/>
  <c r="EN341" i="5"/>
  <c r="EO341" i="5" s="1"/>
  <c r="EP341" i="5" s="1"/>
  <c r="S277" i="5"/>
  <c r="EF277" i="5"/>
  <c r="EE277" i="5" s="1"/>
  <c r="BV20" i="5"/>
  <c r="CC20" i="5" s="1"/>
  <c r="EN480" i="5"/>
  <c r="EO480" i="5" s="1"/>
  <c r="EP480" i="5" s="1"/>
  <c r="EA437" i="5"/>
  <c r="EB437" i="5"/>
  <c r="AT397" i="5"/>
  <c r="AS420" i="5"/>
  <c r="AT420" i="5" s="1"/>
  <c r="FS318" i="5"/>
  <c r="FU318" i="5" s="1"/>
  <c r="CM318" i="5" s="1"/>
  <c r="CU342" i="5"/>
  <c r="FA342" i="5"/>
  <c r="FA390" i="5"/>
  <c r="CO390" i="5"/>
  <c r="EN384" i="5"/>
  <c r="EO384" i="5" s="1"/>
  <c r="EP384" i="5" s="1"/>
  <c r="AV102" i="5"/>
  <c r="EN449" i="5"/>
  <c r="EO449" i="5" s="1"/>
  <c r="EP449" i="5" s="1"/>
  <c r="AT490" i="5"/>
  <c r="EG489" i="5"/>
  <c r="EJ489" i="5" s="1"/>
  <c r="EK489" i="5" s="1"/>
  <c r="FA327" i="5"/>
  <c r="CU327" i="5"/>
  <c r="EN409" i="5"/>
  <c r="EO409" i="5" s="1"/>
  <c r="EP409" i="5" s="1"/>
  <c r="AZ380" i="5"/>
  <c r="CI380" i="5" s="1"/>
  <c r="EN340" i="5"/>
  <c r="EO340" i="5" s="1"/>
  <c r="EP340" i="5" s="1"/>
  <c r="EN48" i="5"/>
  <c r="EO48" i="5" s="1"/>
  <c r="EP48" i="5" s="1"/>
  <c r="EN398" i="5"/>
  <c r="EO398" i="5" s="1"/>
  <c r="EP398" i="5" s="1"/>
  <c r="AT469" i="5"/>
  <c r="AT485" i="5"/>
  <c r="EA415" i="5"/>
  <c r="BY386" i="5"/>
  <c r="AT259" i="5"/>
  <c r="EN413" i="5"/>
  <c r="EO413" i="5" s="1"/>
  <c r="EP413" i="5" s="1"/>
  <c r="EN393" i="5"/>
  <c r="EO393" i="5" s="1"/>
  <c r="EP393" i="5" s="1"/>
  <c r="AZ372" i="5"/>
  <c r="CI372" i="5" s="1"/>
  <c r="DC372" i="5"/>
  <c r="AR372" i="5"/>
  <c r="CG372" i="5" s="1"/>
  <c r="EN298" i="5"/>
  <c r="EO298" i="5" s="1"/>
  <c r="EP298" i="5" s="1"/>
  <c r="AV270" i="5"/>
  <c r="BF38" i="5"/>
  <c r="BH38" i="5" s="1"/>
  <c r="BG38" i="5"/>
  <c r="CC42" i="5"/>
  <c r="CE42" i="5" s="1"/>
  <c r="AV99" i="5"/>
  <c r="AT291" i="5"/>
  <c r="FS271" i="5"/>
  <c r="FU271" i="5" s="1"/>
  <c r="CM271" i="5" s="1"/>
  <c r="AV396" i="5"/>
  <c r="AV288" i="5"/>
  <c r="CC41" i="5"/>
  <c r="AT475" i="5"/>
  <c r="EN492" i="5"/>
  <c r="EO492" i="5" s="1"/>
  <c r="EP492" i="5" s="1"/>
  <c r="AV100" i="5"/>
  <c r="AT284" i="5"/>
  <c r="FS263" i="5"/>
  <c r="FU263" i="5" s="1"/>
  <c r="CM263" i="5" s="1"/>
  <c r="AZ364" i="5"/>
  <c r="CI364" i="5" s="1"/>
  <c r="EN342" i="5"/>
  <c r="EO342" i="5" s="1"/>
  <c r="EP342" i="5" s="1"/>
  <c r="S278" i="5"/>
  <c r="EF278" i="5"/>
  <c r="EE278" i="5" s="1"/>
  <c r="EN278" i="5" s="1"/>
  <c r="EO278" i="5" s="1"/>
  <c r="EP278" i="5" s="1"/>
  <c r="EN41" i="5"/>
  <c r="BF36" i="5"/>
  <c r="BH36" i="5" s="1"/>
  <c r="BG36" i="5"/>
  <c r="DG28" i="5"/>
  <c r="BY261" i="5"/>
  <c r="BV217" i="5"/>
  <c r="CC217" i="5" s="1"/>
  <c r="EN103" i="5"/>
  <c r="EO103" i="5" s="1"/>
  <c r="EP103" i="5" s="1"/>
  <c r="FS382" i="5"/>
  <c r="FU382" i="5" s="1"/>
  <c r="CM382" i="5" s="1"/>
  <c r="BY367" i="5"/>
  <c r="AT355" i="5"/>
  <c r="AS412" i="5"/>
  <c r="BB412" i="5" s="1"/>
  <c r="BY274" i="5"/>
  <c r="EN422" i="5"/>
  <c r="EO422" i="5" s="1"/>
  <c r="EP422" i="5" s="1"/>
  <c r="AZ402" i="5"/>
  <c r="CI402" i="5" s="1"/>
  <c r="EN378" i="5"/>
  <c r="EO378" i="5" s="1"/>
  <c r="EP378" i="5" s="1"/>
  <c r="EN360" i="5"/>
  <c r="EO360" i="5" s="1"/>
  <c r="EP360" i="5" s="1"/>
  <c r="BF39" i="5"/>
  <c r="BH39" i="5" s="1"/>
  <c r="BG39" i="5"/>
  <c r="BY331" i="5"/>
  <c r="BY310" i="5"/>
  <c r="BB486" i="5"/>
  <c r="CE489" i="5"/>
  <c r="CE476" i="5"/>
  <c r="BB472" i="5"/>
  <c r="EO477" i="5"/>
  <c r="EP477" i="5" s="1"/>
  <c r="DX470" i="5"/>
  <c r="AV442" i="5"/>
  <c r="EO496" i="5"/>
  <c r="EP496" i="5" s="1"/>
  <c r="AT492" i="5"/>
  <c r="EN489" i="5"/>
  <c r="EO489" i="5" s="1"/>
  <c r="EP489" i="5" s="1"/>
  <c r="DX493" i="5"/>
  <c r="AU123" i="5"/>
  <c r="AU127" i="5"/>
  <c r="AU57" i="5"/>
  <c r="AU89" i="5"/>
  <c r="AU131" i="5"/>
  <c r="AU68" i="5"/>
  <c r="AU110" i="5"/>
  <c r="AU142" i="5"/>
  <c r="AU79" i="5"/>
  <c r="AU121" i="5"/>
  <c r="AU66" i="5"/>
  <c r="AU120" i="5"/>
  <c r="AR49" i="5"/>
  <c r="DD49" i="5"/>
  <c r="ES49" i="5" s="1"/>
  <c r="AR23" i="5"/>
  <c r="DD23" i="5"/>
  <c r="DD24" i="5"/>
  <c r="AR24" i="5"/>
  <c r="DD26" i="5"/>
  <c r="AR26" i="5"/>
  <c r="AU28" i="5"/>
  <c r="AV28" i="5" s="1"/>
  <c r="AW28" i="5" s="1"/>
  <c r="AU44" i="5"/>
  <c r="AV44" i="5" s="1"/>
  <c r="AW44" i="5" s="1"/>
  <c r="AR52" i="5"/>
  <c r="DD52" i="5"/>
  <c r="AU29" i="5"/>
  <c r="AV29" i="5" s="1"/>
  <c r="AW29" i="5" s="1"/>
  <c r="AU33" i="5"/>
  <c r="AV33" i="5" s="1"/>
  <c r="AW33" i="5" s="1"/>
  <c r="AR435" i="5"/>
  <c r="CG435" i="5" s="1"/>
  <c r="DC435" i="5"/>
  <c r="DC403" i="5"/>
  <c r="AR403" i="5"/>
  <c r="CG403" i="5" s="1"/>
  <c r="DC379" i="5"/>
  <c r="AR379" i="5"/>
  <c r="CG379" i="5" s="1"/>
  <c r="DN323" i="5"/>
  <c r="BC323" i="5"/>
  <c r="DC295" i="5"/>
  <c r="AR295" i="5"/>
  <c r="CG295" i="5" s="1"/>
  <c r="DC263" i="5"/>
  <c r="AR263" i="5"/>
  <c r="CG263" i="5" s="1"/>
  <c r="BC325" i="5"/>
  <c r="BD325" i="5" s="1"/>
  <c r="DN325" i="5"/>
  <c r="AR312" i="5"/>
  <c r="CG312" i="5" s="1"/>
  <c r="DC312" i="5"/>
  <c r="AR280" i="5"/>
  <c r="CG280" i="5" s="1"/>
  <c r="DC280" i="5"/>
  <c r="DC313" i="5"/>
  <c r="AR313" i="5"/>
  <c r="CG313" i="5" s="1"/>
  <c r="DN296" i="5"/>
  <c r="BC296" i="5"/>
  <c r="BC280" i="5"/>
  <c r="DN280" i="5"/>
  <c r="BC264" i="5"/>
  <c r="DN264" i="5"/>
  <c r="DN259" i="5"/>
  <c r="DN405" i="5"/>
  <c r="BC405" i="5"/>
  <c r="AS331" i="5"/>
  <c r="AT331" i="5" s="1"/>
  <c r="AS285" i="5"/>
  <c r="BB285" i="5" s="1"/>
  <c r="AS319" i="5"/>
  <c r="BB319" i="5" s="1"/>
  <c r="AS279" i="5"/>
  <c r="BB279" i="5" s="1"/>
  <c r="AS280" i="5"/>
  <c r="BB280" i="5" s="1"/>
  <c r="AF420" i="5"/>
  <c r="BT420" i="5"/>
  <c r="FS420" i="5"/>
  <c r="FU420" i="5" s="1"/>
  <c r="CM420" i="5" s="1"/>
  <c r="BU420" i="5"/>
  <c r="BL420" i="5"/>
  <c r="DT420" i="5" s="1"/>
  <c r="DV420" i="5" s="1"/>
  <c r="EB420" i="5" s="1"/>
  <c r="BL387" i="5"/>
  <c r="DT387" i="5" s="1"/>
  <c r="DV387" i="5" s="1"/>
  <c r="EB387" i="5" s="1"/>
  <c r="BT387" i="5"/>
  <c r="BU387" i="5"/>
  <c r="BL341" i="5"/>
  <c r="DT341" i="5" s="1"/>
  <c r="DV341" i="5" s="1"/>
  <c r="EA341" i="5" s="1"/>
  <c r="BT341" i="5"/>
  <c r="BU341" i="5"/>
  <c r="BL321" i="5"/>
  <c r="DT321" i="5" s="1"/>
  <c r="DV321" i="5" s="1"/>
  <c r="EB321" i="5" s="1"/>
  <c r="BT321" i="5"/>
  <c r="BU321" i="5"/>
  <c r="AF259" i="5"/>
  <c r="BU259" i="5"/>
  <c r="BL259" i="5"/>
  <c r="DT259" i="5" s="1"/>
  <c r="DV259" i="5" s="1"/>
  <c r="EB259" i="5" s="1"/>
  <c r="BT259" i="5"/>
  <c r="FS259" i="5"/>
  <c r="FU259" i="5" s="1"/>
  <c r="CM259" i="5" s="1"/>
  <c r="BT429" i="5"/>
  <c r="BU429" i="5"/>
  <c r="BL429" i="5"/>
  <c r="DT429" i="5" s="1"/>
  <c r="DV429" i="5" s="1"/>
  <c r="EB429" i="5" s="1"/>
  <c r="AF390" i="5"/>
  <c r="BL390" i="5"/>
  <c r="DT390" i="5" s="1"/>
  <c r="DV390" i="5" s="1"/>
  <c r="EB390" i="5" s="1"/>
  <c r="BT390" i="5"/>
  <c r="FS390" i="5"/>
  <c r="FU390" i="5" s="1"/>
  <c r="CM390" i="5" s="1"/>
  <c r="BU390" i="5"/>
  <c r="BL369" i="5"/>
  <c r="DT369" i="5" s="1"/>
  <c r="DV369" i="5" s="1"/>
  <c r="BU369" i="5"/>
  <c r="BT369" i="5"/>
  <c r="BV369" i="5" s="1"/>
  <c r="AS405" i="5"/>
  <c r="BB405" i="5" s="1"/>
  <c r="BL310" i="5"/>
  <c r="DT310" i="5" s="1"/>
  <c r="DV310" i="5" s="1"/>
  <c r="EB310" i="5" s="1"/>
  <c r="BT310" i="5"/>
  <c r="BU310" i="5"/>
  <c r="BL266" i="5"/>
  <c r="DT266" i="5" s="1"/>
  <c r="DV266" i="5" s="1"/>
  <c r="BT266" i="5"/>
  <c r="BU266" i="5"/>
  <c r="BL418" i="5"/>
  <c r="DT418" i="5" s="1"/>
  <c r="DV418" i="5" s="1"/>
  <c r="EB418" i="5" s="1"/>
  <c r="BT418" i="5"/>
  <c r="BU418" i="5"/>
  <c r="AF439" i="5"/>
  <c r="BL439" i="5"/>
  <c r="DT439" i="5" s="1"/>
  <c r="DV439" i="5" s="1"/>
  <c r="EB439" i="5" s="1"/>
  <c r="BT439" i="5"/>
  <c r="BV439" i="5" s="1"/>
  <c r="CC439" i="5" s="1"/>
  <c r="FS439" i="5"/>
  <c r="FU439" i="5" s="1"/>
  <c r="CM439" i="5" s="1"/>
  <c r="BU439" i="5"/>
  <c r="BL406" i="5"/>
  <c r="DT406" i="5" s="1"/>
  <c r="DV406" i="5" s="1"/>
  <c r="EA406" i="5" s="1"/>
  <c r="BT406" i="5"/>
  <c r="FS406" i="5"/>
  <c r="FU406" i="5" s="1"/>
  <c r="CM406" i="5" s="1"/>
  <c r="BU406" i="5"/>
  <c r="AF374" i="5"/>
  <c r="BL374" i="5"/>
  <c r="DT374" i="5" s="1"/>
  <c r="DV374" i="5" s="1"/>
  <c r="EB374" i="5" s="1"/>
  <c r="BT374" i="5"/>
  <c r="FS374" i="5"/>
  <c r="FU374" i="5" s="1"/>
  <c r="CM374" i="5" s="1"/>
  <c r="BU374" i="5"/>
  <c r="AF282" i="5"/>
  <c r="BL282" i="5"/>
  <c r="DT282" i="5" s="1"/>
  <c r="DV282" i="5" s="1"/>
  <c r="EA282" i="5" s="1"/>
  <c r="BT282" i="5"/>
  <c r="BU282" i="5"/>
  <c r="BL252" i="5"/>
  <c r="DT252" i="5" s="1"/>
  <c r="DV252" i="5" s="1"/>
  <c r="EA252" i="5" s="1"/>
  <c r="BT252" i="5"/>
  <c r="BU252" i="5"/>
  <c r="FS252" i="5"/>
  <c r="FU252" i="5" s="1"/>
  <c r="CM252" i="5" s="1"/>
  <c r="BU303" i="5"/>
  <c r="BL303" i="5"/>
  <c r="DT303" i="5" s="1"/>
  <c r="DV303" i="5" s="1"/>
  <c r="BT303" i="5"/>
  <c r="FS303" i="5"/>
  <c r="FU303" i="5" s="1"/>
  <c r="CM303" i="5" s="1"/>
  <c r="AF302" i="5"/>
  <c r="BT302" i="5"/>
  <c r="BU302" i="5"/>
  <c r="BL302" i="5"/>
  <c r="DT302" i="5" s="1"/>
  <c r="DV302" i="5" s="1"/>
  <c r="BU267" i="5"/>
  <c r="BL267" i="5"/>
  <c r="DT267" i="5" s="1"/>
  <c r="DV267" i="5" s="1"/>
  <c r="BT267" i="5"/>
  <c r="AZ266" i="5"/>
  <c r="CI266" i="5" s="1"/>
  <c r="DC266" i="5"/>
  <c r="AR266" i="5"/>
  <c r="CG266" i="5" s="1"/>
  <c r="BL397" i="5"/>
  <c r="DT397" i="5" s="1"/>
  <c r="DV397" i="5" s="1"/>
  <c r="EB397" i="5" s="1"/>
  <c r="BT397" i="5"/>
  <c r="FS397" i="5"/>
  <c r="FU397" i="5" s="1"/>
  <c r="CM397" i="5" s="1"/>
  <c r="BU397" i="5"/>
  <c r="BL351" i="5"/>
  <c r="DT351" i="5" s="1"/>
  <c r="DV351" i="5" s="1"/>
  <c r="BT351" i="5"/>
  <c r="BU351" i="5"/>
  <c r="FS351" i="5"/>
  <c r="FU351" i="5" s="1"/>
  <c r="CM351" i="5" s="1"/>
  <c r="BL293" i="5"/>
  <c r="DT293" i="5" s="1"/>
  <c r="DV293" i="5" s="1"/>
  <c r="BT293" i="5"/>
  <c r="BU293" i="5"/>
  <c r="FS293" i="5"/>
  <c r="FU293" i="5" s="1"/>
  <c r="CM293" i="5" s="1"/>
  <c r="BT311" i="5"/>
  <c r="FS311" i="5"/>
  <c r="FU311" i="5" s="1"/>
  <c r="CM311" i="5" s="1"/>
  <c r="BL311" i="5"/>
  <c r="DT311" i="5" s="1"/>
  <c r="DV311" i="5" s="1"/>
  <c r="EB311" i="5" s="1"/>
  <c r="BU311" i="5"/>
  <c r="AF295" i="5"/>
  <c r="BL295" i="5"/>
  <c r="DT295" i="5" s="1"/>
  <c r="DV295" i="5" s="1"/>
  <c r="BT295" i="5"/>
  <c r="BU295" i="5"/>
  <c r="DN490" i="5"/>
  <c r="BC490" i="5"/>
  <c r="BD490" i="5" s="1"/>
  <c r="DN469" i="5"/>
  <c r="BC469" i="5"/>
  <c r="BD469" i="5" s="1"/>
  <c r="DN491" i="5"/>
  <c r="BC491" i="5"/>
  <c r="BD491" i="5" s="1"/>
  <c r="AF338" i="5"/>
  <c r="BU338" i="5"/>
  <c r="BT338" i="5"/>
  <c r="BL338" i="5"/>
  <c r="DT338" i="5" s="1"/>
  <c r="DV338" i="5" s="1"/>
  <c r="AS148" i="5"/>
  <c r="AT148" i="5" s="1"/>
  <c r="BL325" i="5"/>
  <c r="DT325" i="5" s="1"/>
  <c r="DV325" i="5" s="1"/>
  <c r="BT325" i="5"/>
  <c r="BU325" i="5"/>
  <c r="AF363" i="5"/>
  <c r="BL363" i="5"/>
  <c r="DT363" i="5" s="1"/>
  <c r="DV363" i="5" s="1"/>
  <c r="BT363" i="5"/>
  <c r="BU363" i="5"/>
  <c r="DG26" i="5"/>
  <c r="DG37" i="5"/>
  <c r="CX148" i="5"/>
  <c r="FC148" i="5"/>
  <c r="EN152" i="5"/>
  <c r="EO152" i="5" s="1"/>
  <c r="EP152" i="5" s="1"/>
  <c r="AT337" i="5"/>
  <c r="AT273" i="5"/>
  <c r="CU381" i="5"/>
  <c r="FA381" i="5"/>
  <c r="EN377" i="5"/>
  <c r="EO377" i="5" s="1"/>
  <c r="EP377" i="5" s="1"/>
  <c r="AV295" i="5"/>
  <c r="BI151" i="5"/>
  <c r="BJ151" i="5" s="1"/>
  <c r="EC151" i="5" s="1"/>
  <c r="EB151" i="5" s="1"/>
  <c r="FS345" i="5"/>
  <c r="FU345" i="5" s="1"/>
  <c r="CM345" i="5" s="1"/>
  <c r="FA294" i="5"/>
  <c r="CO294" i="5"/>
  <c r="FA422" i="5"/>
  <c r="CU422" i="5"/>
  <c r="AV263" i="5"/>
  <c r="BF40" i="5"/>
  <c r="BH40" i="5" s="1"/>
  <c r="BG40" i="5"/>
  <c r="BI40" i="5" s="1"/>
  <c r="BF32" i="5"/>
  <c r="BH32" i="5" s="1"/>
  <c r="BG32" i="5"/>
  <c r="CC24" i="5"/>
  <c r="BY306" i="5"/>
  <c r="EN416" i="5"/>
  <c r="EO416" i="5" s="1"/>
  <c r="EP416" i="5" s="1"/>
  <c r="EN475" i="5"/>
  <c r="EO475" i="5" s="1"/>
  <c r="EP475" i="5" s="1"/>
  <c r="FS325" i="5"/>
  <c r="FU325" i="5" s="1"/>
  <c r="CM325" i="5" s="1"/>
  <c r="AV376" i="5"/>
  <c r="BF43" i="5"/>
  <c r="BH43" i="5" s="1"/>
  <c r="BG43" i="5"/>
  <c r="BG35" i="5"/>
  <c r="BF35" i="5"/>
  <c r="BH35" i="5" s="1"/>
  <c r="FA433" i="5"/>
  <c r="CU433" i="5"/>
  <c r="BG153" i="5"/>
  <c r="BI153" i="5" s="1"/>
  <c r="BJ153" i="5" s="1"/>
  <c r="EC153" i="5" s="1"/>
  <c r="EB153" i="5" s="1"/>
  <c r="EA407" i="5"/>
  <c r="BY278" i="5"/>
  <c r="FA262" i="5"/>
  <c r="CU262" i="5"/>
  <c r="EN350" i="5"/>
  <c r="EO350" i="5" s="1"/>
  <c r="EP350" i="5" s="1"/>
  <c r="S254" i="5"/>
  <c r="EF254" i="5"/>
  <c r="EE254" i="5" s="1"/>
  <c r="CC46" i="5"/>
  <c r="CE46" i="5" s="1"/>
  <c r="EN356" i="5"/>
  <c r="EO356" i="5" s="1"/>
  <c r="EP356" i="5" s="1"/>
  <c r="DG42" i="5"/>
  <c r="FS402" i="5"/>
  <c r="FU402" i="5" s="1"/>
  <c r="CM402" i="5" s="1"/>
  <c r="AS347" i="5"/>
  <c r="BB347" i="5" s="1"/>
  <c r="FS338" i="5"/>
  <c r="FU338" i="5" s="1"/>
  <c r="CM338" i="5" s="1"/>
  <c r="AT325" i="5"/>
  <c r="AT258" i="5"/>
  <c r="EN389" i="5"/>
  <c r="EO389" i="5" s="1"/>
  <c r="EP389" i="5" s="1"/>
  <c r="EN368" i="5"/>
  <c r="EO368" i="5"/>
  <c r="EP368" i="5" s="1"/>
  <c r="AV316" i="5"/>
  <c r="EN258" i="5"/>
  <c r="EO258" i="5" s="1"/>
  <c r="EP258" i="5" s="1"/>
  <c r="DG25" i="5"/>
  <c r="FS429" i="5"/>
  <c r="FU429" i="5" s="1"/>
  <c r="CM429" i="5" s="1"/>
  <c r="FA448" i="5"/>
  <c r="CU448" i="5"/>
  <c r="AJ23" i="5"/>
  <c r="AN22" i="5"/>
  <c r="DO22" i="5" s="1"/>
  <c r="BY273" i="5"/>
  <c r="EN149" i="5"/>
  <c r="EO149" i="5" s="1"/>
  <c r="EP149" i="5" s="1"/>
  <c r="S100" i="5"/>
  <c r="EF100" i="5"/>
  <c r="EE100" i="5" s="1"/>
  <c r="EN100" i="5" s="1"/>
  <c r="EN104" i="5"/>
  <c r="EO104" i="5" s="1"/>
  <c r="EP104" i="5" s="1"/>
  <c r="FS433" i="5"/>
  <c r="FU433" i="5" s="1"/>
  <c r="CM433" i="5" s="1"/>
  <c r="FS336" i="5"/>
  <c r="FU336" i="5" s="1"/>
  <c r="CM336" i="5" s="1"/>
  <c r="AT324" i="5"/>
  <c r="AT304" i="5"/>
  <c r="FA402" i="5"/>
  <c r="CU402" i="5"/>
  <c r="AZ342" i="5"/>
  <c r="CI342" i="5" s="1"/>
  <c r="BV36" i="5"/>
  <c r="CC36" i="5" s="1"/>
  <c r="EN388" i="5"/>
  <c r="EO388" i="5" s="1"/>
  <c r="EP388" i="5" s="1"/>
  <c r="EN446" i="5"/>
  <c r="EO446" i="5" s="1"/>
  <c r="EP446" i="5" s="1"/>
  <c r="FA453" i="5"/>
  <c r="CU453" i="5"/>
  <c r="BB476" i="5"/>
  <c r="EN150" i="5"/>
  <c r="EO150" i="5" s="1"/>
  <c r="EP150" i="5" s="1"/>
  <c r="BY431" i="5"/>
  <c r="EA420" i="5"/>
  <c r="BB355" i="5"/>
  <c r="AT312" i="5"/>
  <c r="EN282" i="5"/>
  <c r="EO282" i="5" s="1"/>
  <c r="EP282" i="5" s="1"/>
  <c r="CC39" i="5"/>
  <c r="CE39" i="5" s="1"/>
  <c r="FS331" i="5"/>
  <c r="FU331" i="5" s="1"/>
  <c r="CM331" i="5" s="1"/>
  <c r="FS310" i="5"/>
  <c r="FU310" i="5" s="1"/>
  <c r="CM310" i="5" s="1"/>
  <c r="DX480" i="5"/>
  <c r="BB494" i="5"/>
  <c r="DX481" i="5"/>
  <c r="CE494" i="5"/>
  <c r="AW487" i="5"/>
  <c r="DX476" i="5"/>
  <c r="BB480" i="5"/>
  <c r="BB473" i="5"/>
  <c r="EN478" i="5"/>
  <c r="EO478" i="5" s="1"/>
  <c r="EP478" i="5" s="1"/>
  <c r="EO498" i="5"/>
  <c r="EP498" i="5" s="1"/>
  <c r="AV435" i="5"/>
  <c r="DX478" i="5"/>
  <c r="AT500" i="5"/>
  <c r="BB477" i="5"/>
  <c r="AU93" i="5"/>
  <c r="AU135" i="5"/>
  <c r="AU72" i="5"/>
  <c r="AU114" i="5"/>
  <c r="AU146" i="5"/>
  <c r="AU83" i="5"/>
  <c r="AU125" i="5"/>
  <c r="AU82" i="5"/>
  <c r="AU136" i="5"/>
  <c r="AR40" i="5"/>
  <c r="DD40" i="5"/>
  <c r="AU36" i="5"/>
  <c r="AV36" i="5" s="1"/>
  <c r="AW36" i="5" s="1"/>
  <c r="DD22" i="5"/>
  <c r="AR22" i="5"/>
  <c r="AU26" i="5"/>
  <c r="AV26" i="5" s="1"/>
  <c r="AW26" i="5" s="1"/>
  <c r="R43" i="5"/>
  <c r="EF43" i="5" s="1"/>
  <c r="EE43" i="5" s="1"/>
  <c r="AU43" i="5"/>
  <c r="AV43" i="5" s="1"/>
  <c r="AW43" i="5" s="1"/>
  <c r="AR50" i="5"/>
  <c r="DD50" i="5"/>
  <c r="AU27" i="5"/>
  <c r="AV27" i="5" s="1"/>
  <c r="AW27" i="5" s="1"/>
  <c r="AU56" i="5"/>
  <c r="AR431" i="5"/>
  <c r="CG431" i="5" s="1"/>
  <c r="DC431" i="5"/>
  <c r="DC399" i="5"/>
  <c r="AR399" i="5"/>
  <c r="CG399" i="5" s="1"/>
  <c r="DC367" i="5"/>
  <c r="AR367" i="5"/>
  <c r="CG367" i="5" s="1"/>
  <c r="DN319" i="5"/>
  <c r="BC319" i="5"/>
  <c r="DC291" i="5"/>
  <c r="AR291" i="5"/>
  <c r="CG291" i="5" s="1"/>
  <c r="DC259" i="5"/>
  <c r="AR259" i="5"/>
  <c r="CG259" i="5" s="1"/>
  <c r="DC323" i="5"/>
  <c r="AR323" i="5"/>
  <c r="CG323" i="5" s="1"/>
  <c r="DC308" i="5"/>
  <c r="AR308" i="5"/>
  <c r="CG308" i="5" s="1"/>
  <c r="AR276" i="5"/>
  <c r="CG276" i="5" s="1"/>
  <c r="DC276" i="5"/>
  <c r="DC309" i="5"/>
  <c r="AR309" i="5"/>
  <c r="CG309" i="5" s="1"/>
  <c r="AR293" i="5"/>
  <c r="CG293" i="5" s="1"/>
  <c r="DC293" i="5"/>
  <c r="DC277" i="5"/>
  <c r="AR277" i="5"/>
  <c r="CG277" i="5" s="1"/>
  <c r="DC261" i="5"/>
  <c r="AR261" i="5"/>
  <c r="CG261" i="5" s="1"/>
  <c r="DN255" i="5"/>
  <c r="BC255" i="5"/>
  <c r="DN266" i="5"/>
  <c r="BC266" i="5"/>
  <c r="DN396" i="5"/>
  <c r="BC396" i="5"/>
  <c r="AS315" i="5"/>
  <c r="BB315" i="5" s="1"/>
  <c r="AS275" i="5"/>
  <c r="AT275" i="5" s="1"/>
  <c r="AS276" i="5"/>
  <c r="BB276" i="5" s="1"/>
  <c r="BL451" i="5"/>
  <c r="DT451" i="5" s="1"/>
  <c r="DV451" i="5" s="1"/>
  <c r="BT451" i="5"/>
  <c r="FS451" i="5"/>
  <c r="FU451" i="5" s="1"/>
  <c r="CM451" i="5" s="1"/>
  <c r="BU451" i="5"/>
  <c r="BT416" i="5"/>
  <c r="BU416" i="5"/>
  <c r="BL416" i="5"/>
  <c r="DT416" i="5" s="1"/>
  <c r="DV416" i="5" s="1"/>
  <c r="EB416" i="5" s="1"/>
  <c r="BL383" i="5"/>
  <c r="DT383" i="5" s="1"/>
  <c r="DV383" i="5" s="1"/>
  <c r="EB383" i="5" s="1"/>
  <c r="BT383" i="5"/>
  <c r="BU383" i="5"/>
  <c r="BL317" i="5"/>
  <c r="DT317" i="5" s="1"/>
  <c r="DV317" i="5" s="1"/>
  <c r="BT317" i="5"/>
  <c r="FS317" i="5"/>
  <c r="FU317" i="5" s="1"/>
  <c r="CM317" i="5" s="1"/>
  <c r="BU317" i="5"/>
  <c r="AF255" i="5"/>
  <c r="BT255" i="5"/>
  <c r="BU255" i="5"/>
  <c r="BL255" i="5"/>
  <c r="DT255" i="5" s="1"/>
  <c r="DV255" i="5" s="1"/>
  <c r="EB255" i="5" s="1"/>
  <c r="BL425" i="5"/>
  <c r="DT425" i="5" s="1"/>
  <c r="DV425" i="5" s="1"/>
  <c r="EA425" i="5" s="1"/>
  <c r="BU425" i="5"/>
  <c r="BT425" i="5"/>
  <c r="AS393" i="5"/>
  <c r="BL393" i="5"/>
  <c r="DT393" i="5" s="1"/>
  <c r="DV393" i="5" s="1"/>
  <c r="EB393" i="5" s="1"/>
  <c r="BT393" i="5"/>
  <c r="BU393" i="5"/>
  <c r="BL365" i="5"/>
  <c r="DT365" i="5" s="1"/>
  <c r="DV365" i="5" s="1"/>
  <c r="EA365" i="5" s="1"/>
  <c r="BU365" i="5"/>
  <c r="BT365" i="5"/>
  <c r="BL306" i="5"/>
  <c r="DT306" i="5" s="1"/>
  <c r="DV306" i="5" s="1"/>
  <c r="BU306" i="5"/>
  <c r="BT306" i="5"/>
  <c r="BL260" i="5"/>
  <c r="DT260" i="5" s="1"/>
  <c r="DV260" i="5" s="1"/>
  <c r="EA260" i="5" s="1"/>
  <c r="BT260" i="5"/>
  <c r="BU260" i="5"/>
  <c r="AS261" i="5"/>
  <c r="BB261" i="5" s="1"/>
  <c r="AF414" i="5"/>
  <c r="BL414" i="5"/>
  <c r="DT414" i="5" s="1"/>
  <c r="DV414" i="5" s="1"/>
  <c r="EB414" i="5" s="1"/>
  <c r="BT414" i="5"/>
  <c r="FS414" i="5"/>
  <c r="FU414" i="5" s="1"/>
  <c r="CM414" i="5" s="1"/>
  <c r="BU414" i="5"/>
  <c r="AS435" i="5"/>
  <c r="BT435" i="5"/>
  <c r="BU435" i="5"/>
  <c r="BL435" i="5"/>
  <c r="DT435" i="5" s="1"/>
  <c r="DV435" i="5" s="1"/>
  <c r="EA435" i="5" s="1"/>
  <c r="AF403" i="5"/>
  <c r="BL403" i="5"/>
  <c r="DT403" i="5" s="1"/>
  <c r="DV403" i="5" s="1"/>
  <c r="EB403" i="5" s="1"/>
  <c r="BT403" i="5"/>
  <c r="FS403" i="5"/>
  <c r="FU403" i="5" s="1"/>
  <c r="CM403" i="5" s="1"/>
  <c r="BU403" i="5"/>
  <c r="BL348" i="5"/>
  <c r="DT348" i="5" s="1"/>
  <c r="DV348" i="5" s="1"/>
  <c r="EB348" i="5" s="1"/>
  <c r="BT348" i="5"/>
  <c r="FS348" i="5"/>
  <c r="FU348" i="5" s="1"/>
  <c r="CM348" i="5" s="1"/>
  <c r="BU348" i="5"/>
  <c r="BL320" i="5"/>
  <c r="DT320" i="5" s="1"/>
  <c r="DV320" i="5" s="1"/>
  <c r="EB320" i="5" s="1"/>
  <c r="BT320" i="5"/>
  <c r="BU320" i="5"/>
  <c r="AF278" i="5"/>
  <c r="BL278" i="5"/>
  <c r="DT278" i="5" s="1"/>
  <c r="DV278" i="5" s="1"/>
  <c r="EA278" i="5" s="1"/>
  <c r="BT278" i="5"/>
  <c r="BU278" i="5"/>
  <c r="AZ426" i="5"/>
  <c r="CI426" i="5" s="1"/>
  <c r="AR426" i="5"/>
  <c r="CG426" i="5" s="1"/>
  <c r="DC426" i="5"/>
  <c r="DN279" i="5"/>
  <c r="BC279" i="5"/>
  <c r="BU284" i="5"/>
  <c r="BL284" i="5"/>
  <c r="DT284" i="5" s="1"/>
  <c r="DV284" i="5" s="1"/>
  <c r="BT284" i="5"/>
  <c r="BC270" i="5"/>
  <c r="BL298" i="5"/>
  <c r="DT298" i="5" s="1"/>
  <c r="DV298" i="5" s="1"/>
  <c r="EA298" i="5" s="1"/>
  <c r="BT298" i="5"/>
  <c r="BU298" i="5"/>
  <c r="BL261" i="5"/>
  <c r="DT261" i="5" s="1"/>
  <c r="DV261" i="5" s="1"/>
  <c r="BT261" i="5"/>
  <c r="BU261" i="5"/>
  <c r="AZ310" i="5"/>
  <c r="CI310" i="5" s="1"/>
  <c r="AR310" i="5"/>
  <c r="CG310" i="5" s="1"/>
  <c r="DC310" i="5"/>
  <c r="AZ382" i="5"/>
  <c r="CI382" i="5" s="1"/>
  <c r="AR382" i="5"/>
  <c r="CG382" i="5" s="1"/>
  <c r="DC382" i="5"/>
  <c r="AS350" i="5"/>
  <c r="AT350" i="5" s="1"/>
  <c r="BL343" i="5"/>
  <c r="DT343" i="5" s="1"/>
  <c r="DV343" i="5" s="1"/>
  <c r="BT343" i="5"/>
  <c r="FS343" i="5"/>
  <c r="FU343" i="5" s="1"/>
  <c r="CM343" i="5" s="1"/>
  <c r="BU343" i="5"/>
  <c r="BU308" i="5"/>
  <c r="FS308" i="5"/>
  <c r="FU308" i="5" s="1"/>
  <c r="CM308" i="5" s="1"/>
  <c r="BL308" i="5"/>
  <c r="DT308" i="5" s="1"/>
  <c r="DV308" i="5" s="1"/>
  <c r="BT308" i="5"/>
  <c r="BL291" i="5"/>
  <c r="DT291" i="5" s="1"/>
  <c r="DV291" i="5" s="1"/>
  <c r="BT291" i="5"/>
  <c r="FS291" i="5"/>
  <c r="FU291" i="5" s="1"/>
  <c r="CM291" i="5" s="1"/>
  <c r="BU291" i="5"/>
  <c r="DN472" i="5"/>
  <c r="BC472" i="5"/>
  <c r="BD472" i="5" s="1"/>
  <c r="DN499" i="5"/>
  <c r="BC499" i="5"/>
  <c r="BD499" i="5" s="1"/>
  <c r="DN482" i="5"/>
  <c r="BC482" i="5"/>
  <c r="BD482" i="5" s="1"/>
  <c r="BL330" i="5"/>
  <c r="DT330" i="5" s="1"/>
  <c r="DV330" i="5" s="1"/>
  <c r="BT330" i="5"/>
  <c r="FS330" i="5"/>
  <c r="FU330" i="5" s="1"/>
  <c r="CM330" i="5" s="1"/>
  <c r="BU330" i="5"/>
  <c r="BL102" i="5"/>
  <c r="DT102" i="5" s="1"/>
  <c r="DV102" i="5" s="1"/>
  <c r="EB102" i="5" s="1"/>
  <c r="BT102" i="5"/>
  <c r="BU102" i="5"/>
  <c r="FS102" i="5"/>
  <c r="FU102" i="5" s="1"/>
  <c r="CM102" i="5" s="1"/>
  <c r="BE102" i="5"/>
  <c r="BL410" i="5"/>
  <c r="DT410" i="5" s="1"/>
  <c r="DV410" i="5" s="1"/>
  <c r="EA410" i="5" s="1"/>
  <c r="BT410" i="5"/>
  <c r="BU410" i="5"/>
  <c r="FS99" i="5"/>
  <c r="FU99" i="5" s="1"/>
  <c r="CM99" i="5" s="1"/>
  <c r="BL99" i="5"/>
  <c r="DT99" i="5" s="1"/>
  <c r="DV99" i="5" s="1"/>
  <c r="EB99" i="5" s="1"/>
  <c r="BT99" i="5"/>
  <c r="BE99" i="5"/>
  <c r="BU99" i="5"/>
  <c r="BL98" i="5"/>
  <c r="DT98" i="5" s="1"/>
  <c r="DV98" i="5" s="1"/>
  <c r="EA98" i="5" s="1"/>
  <c r="BT98" i="5"/>
  <c r="BE98" i="5"/>
  <c r="BU98" i="5"/>
  <c r="FS98" i="5"/>
  <c r="FU98" i="5" s="1"/>
  <c r="CM98" i="5" s="1"/>
  <c r="BL367" i="5"/>
  <c r="DT367" i="5" s="1"/>
  <c r="DV367" i="5" s="1"/>
  <c r="BT367" i="5"/>
  <c r="BU367" i="5"/>
  <c r="FS101" i="5"/>
  <c r="FU101" i="5" s="1"/>
  <c r="CM101" i="5" s="1"/>
  <c r="BL101" i="5"/>
  <c r="DT101" i="5" s="1"/>
  <c r="DV101" i="5" s="1"/>
  <c r="BT101" i="5"/>
  <c r="BE101" i="5"/>
  <c r="BU101" i="5"/>
  <c r="AS342" i="5"/>
  <c r="BB342" i="5" s="1"/>
  <c r="DG22" i="5"/>
  <c r="DG33" i="5"/>
  <c r="EN493" i="5"/>
  <c r="EO493" i="5" s="1"/>
  <c r="EP493" i="5" s="1"/>
  <c r="DD101" i="5"/>
  <c r="ES101" i="5" s="1"/>
  <c r="AR101" i="5"/>
  <c r="CG101" i="5" s="1"/>
  <c r="AS356" i="5"/>
  <c r="BB356" i="5" s="1"/>
  <c r="FA325" i="5"/>
  <c r="CU325" i="5"/>
  <c r="FA333" i="5"/>
  <c r="CO333" i="5"/>
  <c r="FA349" i="5"/>
  <c r="CU349" i="5"/>
  <c r="CU373" i="5"/>
  <c r="FA373" i="5"/>
  <c r="EN352" i="5"/>
  <c r="EO352" i="5" s="1"/>
  <c r="EP352" i="5" s="1"/>
  <c r="AZ337" i="5"/>
  <c r="CI337" i="5" s="1"/>
  <c r="AR337" i="5"/>
  <c r="CG337" i="5" s="1"/>
  <c r="DC337" i="5"/>
  <c r="AV256" i="5"/>
  <c r="BV29" i="5"/>
  <c r="CC29" i="5" s="1"/>
  <c r="EA439" i="5"/>
  <c r="FS320" i="5"/>
  <c r="FU320" i="5" s="1"/>
  <c r="CM320" i="5" s="1"/>
  <c r="FA428" i="5"/>
  <c r="CU428" i="5"/>
  <c r="AV359" i="5"/>
  <c r="FA440" i="5"/>
  <c r="CU440" i="5"/>
  <c r="EA402" i="5"/>
  <c r="EB402" i="5"/>
  <c r="EA349" i="5"/>
  <c r="EA315" i="5"/>
  <c r="AV414" i="5"/>
  <c r="AZ355" i="5"/>
  <c r="CI355" i="5" s="1"/>
  <c r="DC355" i="5"/>
  <c r="AR355" i="5"/>
  <c r="CG355" i="5" s="1"/>
  <c r="BV32" i="5"/>
  <c r="CC32" i="5" s="1"/>
  <c r="CE32" i="5" s="1"/>
  <c r="DG24" i="5"/>
  <c r="FS306" i="5"/>
  <c r="FU306" i="5" s="1"/>
  <c r="CM306" i="5" s="1"/>
  <c r="BV150" i="5"/>
  <c r="CC150" i="5" s="1"/>
  <c r="AT96" i="5"/>
  <c r="EN333" i="5"/>
  <c r="EO333" i="5" s="1"/>
  <c r="EP333" i="5" s="1"/>
  <c r="AV280" i="5"/>
  <c r="BV43" i="5"/>
  <c r="CC43" i="5" s="1"/>
  <c r="FA364" i="5"/>
  <c r="CO364" i="5"/>
  <c r="EN470" i="5"/>
  <c r="EO470" i="5" s="1"/>
  <c r="EP470" i="5" s="1"/>
  <c r="BV151" i="5"/>
  <c r="CC151" i="5" s="1"/>
  <c r="FS437" i="5"/>
  <c r="FU437" i="5" s="1"/>
  <c r="CM437" i="5" s="1"/>
  <c r="BY357" i="5"/>
  <c r="AS343" i="5"/>
  <c r="BB343" i="5" s="1"/>
  <c r="FS301" i="5"/>
  <c r="FU301" i="5" s="1"/>
  <c r="CM301" i="5" s="1"/>
  <c r="FS278" i="5"/>
  <c r="FU278" i="5" s="1"/>
  <c r="CM278" i="5" s="1"/>
  <c r="AZ413" i="5"/>
  <c r="CI413" i="5" s="1"/>
  <c r="AZ393" i="5"/>
  <c r="CI393" i="5" s="1"/>
  <c r="EN317" i="5"/>
  <c r="EO317" i="5" s="1"/>
  <c r="EP317" i="5" s="1"/>
  <c r="AV266" i="5"/>
  <c r="BV30" i="5"/>
  <c r="CC30" i="5" s="1"/>
  <c r="EN151" i="5"/>
  <c r="EO151" i="5" s="1"/>
  <c r="EP151" i="5" s="1"/>
  <c r="EN102" i="5"/>
  <c r="EO102" i="5" s="1"/>
  <c r="EP102" i="5" s="1"/>
  <c r="FA449" i="5"/>
  <c r="CU449" i="5"/>
  <c r="AT488" i="5"/>
  <c r="EA376" i="5"/>
  <c r="EB415" i="5"/>
  <c r="BY321" i="5"/>
  <c r="AT285" i="5"/>
  <c r="AV310" i="5"/>
  <c r="BF33" i="5"/>
  <c r="BH33" i="5" s="1"/>
  <c r="BG33" i="5"/>
  <c r="FA412" i="5"/>
  <c r="CO412" i="5"/>
  <c r="DV149" i="5"/>
  <c r="FS273" i="5"/>
  <c r="FU273" i="5" s="1"/>
  <c r="CM273" i="5" s="1"/>
  <c r="FS299" i="5"/>
  <c r="FU299" i="5" s="1"/>
  <c r="CM299" i="5" s="1"/>
  <c r="FS275" i="5"/>
  <c r="FU275" i="5" s="1"/>
  <c r="CM275" i="5" s="1"/>
  <c r="EN433" i="5"/>
  <c r="EO433" i="5" s="1"/>
  <c r="EP433" i="5" s="1"/>
  <c r="AV382" i="5"/>
  <c r="AZ388" i="5"/>
  <c r="CI388" i="5" s="1"/>
  <c r="BY416" i="5"/>
  <c r="EB407" i="5"/>
  <c r="AT352" i="5"/>
  <c r="BY313" i="5"/>
  <c r="FS298" i="5"/>
  <c r="FU298" i="5" s="1"/>
  <c r="CM298" i="5" s="1"/>
  <c r="BY269" i="5"/>
  <c r="AZ422" i="5"/>
  <c r="CI422" i="5" s="1"/>
  <c r="AZ378" i="5"/>
  <c r="CI378" i="5" s="1"/>
  <c r="AZ360" i="5"/>
  <c r="CI360" i="5" s="1"/>
  <c r="EN331" i="5"/>
  <c r="EO331" i="5" s="1"/>
  <c r="EP331" i="5" s="1"/>
  <c r="DG39" i="5"/>
  <c r="EB349" i="5"/>
  <c r="DX474" i="5"/>
  <c r="DX497" i="5"/>
  <c r="CE498" i="5"/>
  <c r="AT495" i="5"/>
  <c r="DX482" i="5"/>
  <c r="DX491" i="5"/>
  <c r="BB481" i="5"/>
  <c r="AS453" i="5"/>
  <c r="BB453" i="5" s="1"/>
  <c r="DG500" i="5"/>
  <c r="AV431" i="5"/>
  <c r="DG495" i="5"/>
  <c r="AU65" i="5"/>
  <c r="AU139" i="5"/>
  <c r="AU118" i="5"/>
  <c r="AV118" i="5" s="1"/>
  <c r="AU54" i="5"/>
  <c r="AU87" i="5"/>
  <c r="AU129" i="5"/>
  <c r="AU108" i="5"/>
  <c r="AU58" i="5"/>
  <c r="AR33" i="5"/>
  <c r="DD33" i="5"/>
  <c r="AU31" i="5"/>
  <c r="AV31" i="5" s="1"/>
  <c r="AW31" i="5" s="1"/>
  <c r="DD35" i="5"/>
  <c r="ES35" i="5" s="1"/>
  <c r="AR35" i="5"/>
  <c r="DD20" i="5"/>
  <c r="AR20" i="5"/>
  <c r="AU23" i="5"/>
  <c r="AV23" i="5" s="1"/>
  <c r="AW23" i="5" s="1"/>
  <c r="AU35" i="5"/>
  <c r="AV35" i="5" s="1"/>
  <c r="AW35" i="5" s="1"/>
  <c r="AZ45" i="5"/>
  <c r="DD45" i="5"/>
  <c r="AR45" i="5"/>
  <c r="AU22" i="5"/>
  <c r="AV22" i="5" s="1"/>
  <c r="AW22" i="5" s="1"/>
  <c r="DC427" i="5"/>
  <c r="AR427" i="5"/>
  <c r="CG427" i="5" s="1"/>
  <c r="DC395" i="5"/>
  <c r="AR395" i="5"/>
  <c r="CG395" i="5" s="1"/>
  <c r="DC287" i="5"/>
  <c r="AR287" i="5"/>
  <c r="CG287" i="5" s="1"/>
  <c r="DC255" i="5"/>
  <c r="AR255" i="5"/>
  <c r="CG255" i="5" s="1"/>
  <c r="DC322" i="5"/>
  <c r="AR322" i="5"/>
  <c r="CG322" i="5" s="1"/>
  <c r="AR304" i="5"/>
  <c r="CG304" i="5" s="1"/>
  <c r="DC304" i="5"/>
  <c r="AR272" i="5"/>
  <c r="CG272" i="5" s="1"/>
  <c r="DC272" i="5"/>
  <c r="DN308" i="5"/>
  <c r="BC308" i="5"/>
  <c r="DN292" i="5"/>
  <c r="BC292" i="5"/>
  <c r="BC276" i="5"/>
  <c r="DN276" i="5"/>
  <c r="BC260" i="5"/>
  <c r="DN260" i="5"/>
  <c r="DN262" i="5"/>
  <c r="BC262" i="5"/>
  <c r="AZ392" i="5"/>
  <c r="CI392" i="5" s="1"/>
  <c r="DC392" i="5"/>
  <c r="AR392" i="5"/>
  <c r="CG392" i="5" s="1"/>
  <c r="AS333" i="5"/>
  <c r="BB333" i="5" s="1"/>
  <c r="AS260" i="5"/>
  <c r="BB260" i="5" s="1"/>
  <c r="AS311" i="5"/>
  <c r="BB311" i="5" s="1"/>
  <c r="AS262" i="5"/>
  <c r="AT262" i="5" s="1"/>
  <c r="BT444" i="5"/>
  <c r="BU444" i="5"/>
  <c r="BL444" i="5"/>
  <c r="DT444" i="5" s="1"/>
  <c r="DV444" i="5" s="1"/>
  <c r="AF412" i="5"/>
  <c r="BT412" i="5"/>
  <c r="FS412" i="5"/>
  <c r="FU412" i="5" s="1"/>
  <c r="CM412" i="5" s="1"/>
  <c r="BU412" i="5"/>
  <c r="BL412" i="5"/>
  <c r="DT412" i="5" s="1"/>
  <c r="DV412" i="5" s="1"/>
  <c r="EB412" i="5" s="1"/>
  <c r="BL379" i="5"/>
  <c r="DT379" i="5" s="1"/>
  <c r="DV379" i="5" s="1"/>
  <c r="EB379" i="5" s="1"/>
  <c r="BT379" i="5"/>
  <c r="FS379" i="5"/>
  <c r="FU379" i="5" s="1"/>
  <c r="CM379" i="5" s="1"/>
  <c r="BU379" i="5"/>
  <c r="BL313" i="5"/>
  <c r="DT313" i="5" s="1"/>
  <c r="DV313" i="5" s="1"/>
  <c r="EB313" i="5" s="1"/>
  <c r="BT313" i="5"/>
  <c r="BU313" i="5"/>
  <c r="BL421" i="5"/>
  <c r="DT421" i="5" s="1"/>
  <c r="DV421" i="5" s="1"/>
  <c r="EB421" i="5" s="1"/>
  <c r="BU421" i="5"/>
  <c r="BT421" i="5"/>
  <c r="BL398" i="5"/>
  <c r="DT398" i="5" s="1"/>
  <c r="DV398" i="5" s="1"/>
  <c r="EB398" i="5" s="1"/>
  <c r="BT398" i="5"/>
  <c r="BU398" i="5"/>
  <c r="BU361" i="5"/>
  <c r="BL361" i="5"/>
  <c r="DT361" i="5" s="1"/>
  <c r="DV361" i="5" s="1"/>
  <c r="BT361" i="5"/>
  <c r="AS340" i="5"/>
  <c r="BB340" i="5" s="1"/>
  <c r="BL300" i="5"/>
  <c r="DT300" i="5" s="1"/>
  <c r="DV300" i="5" s="1"/>
  <c r="BT300" i="5"/>
  <c r="BU300" i="5"/>
  <c r="AF256" i="5"/>
  <c r="BL256" i="5"/>
  <c r="DT256" i="5" s="1"/>
  <c r="DV256" i="5" s="1"/>
  <c r="EB256" i="5" s="1"/>
  <c r="BT256" i="5"/>
  <c r="BU256" i="5"/>
  <c r="AS253" i="5"/>
  <c r="AT253" i="5" s="1"/>
  <c r="AF396" i="5"/>
  <c r="BT396" i="5"/>
  <c r="FS396" i="5"/>
  <c r="FU396" i="5" s="1"/>
  <c r="CM396" i="5" s="1"/>
  <c r="BU396" i="5"/>
  <c r="BL396" i="5"/>
  <c r="DT396" i="5" s="1"/>
  <c r="DV396" i="5" s="1"/>
  <c r="BT431" i="5"/>
  <c r="BU431" i="5"/>
  <c r="BL431" i="5"/>
  <c r="DT431" i="5" s="1"/>
  <c r="DV431" i="5" s="1"/>
  <c r="EB431" i="5" s="1"/>
  <c r="BL399" i="5"/>
  <c r="DT399" i="5" s="1"/>
  <c r="DV399" i="5" s="1"/>
  <c r="EB399" i="5" s="1"/>
  <c r="BT399" i="5"/>
  <c r="BU399" i="5"/>
  <c r="BL344" i="5"/>
  <c r="DT344" i="5" s="1"/>
  <c r="DV344" i="5" s="1"/>
  <c r="EB344" i="5" s="1"/>
  <c r="BT344" i="5"/>
  <c r="FS344" i="5"/>
  <c r="FU344" i="5" s="1"/>
  <c r="CM344" i="5" s="1"/>
  <c r="BU344" i="5"/>
  <c r="BL316" i="5"/>
  <c r="DT316" i="5" s="1"/>
  <c r="DV316" i="5" s="1"/>
  <c r="EB316" i="5" s="1"/>
  <c r="BT316" i="5"/>
  <c r="FS316" i="5"/>
  <c r="FU316" i="5" s="1"/>
  <c r="CM316" i="5" s="1"/>
  <c r="BU316" i="5"/>
  <c r="AF274" i="5"/>
  <c r="BL274" i="5"/>
  <c r="DT274" i="5" s="1"/>
  <c r="DV274" i="5" s="1"/>
  <c r="EB274" i="5" s="1"/>
  <c r="BT274" i="5"/>
  <c r="BU274" i="5"/>
  <c r="AR96" i="5"/>
  <c r="CG96" i="5" s="1"/>
  <c r="DD96" i="5"/>
  <c r="ES96" i="5" s="1"/>
  <c r="AZ418" i="5"/>
  <c r="CI418" i="5" s="1"/>
  <c r="AR418" i="5"/>
  <c r="CG418" i="5" s="1"/>
  <c r="DC418" i="5"/>
  <c r="DN275" i="5"/>
  <c r="BC275" i="5"/>
  <c r="BL294" i="5"/>
  <c r="DT294" i="5" s="1"/>
  <c r="DV294" i="5" s="1"/>
  <c r="BT294" i="5"/>
  <c r="BU294" i="5"/>
  <c r="FS294" i="5"/>
  <c r="FU294" i="5" s="1"/>
  <c r="CM294" i="5" s="1"/>
  <c r="AF257" i="5"/>
  <c r="BL257" i="5"/>
  <c r="DT257" i="5" s="1"/>
  <c r="DV257" i="5" s="1"/>
  <c r="EB257" i="5" s="1"/>
  <c r="BT257" i="5"/>
  <c r="BU257" i="5"/>
  <c r="AS346" i="5"/>
  <c r="BB346" i="5" s="1"/>
  <c r="AZ336" i="5"/>
  <c r="CI336" i="5" s="1"/>
  <c r="AR336" i="5"/>
  <c r="CG336" i="5" s="1"/>
  <c r="DC336" i="5"/>
  <c r="DD97" i="5"/>
  <c r="ES97" i="5" s="1"/>
  <c r="AR97" i="5"/>
  <c r="AF385" i="5"/>
  <c r="BL385" i="5"/>
  <c r="DT385" i="5" s="1"/>
  <c r="DV385" i="5" s="1"/>
  <c r="EB385" i="5" s="1"/>
  <c r="BU385" i="5"/>
  <c r="FS385" i="5"/>
  <c r="FU385" i="5" s="1"/>
  <c r="CM385" i="5" s="1"/>
  <c r="BT385" i="5"/>
  <c r="BL339" i="5"/>
  <c r="DT339" i="5" s="1"/>
  <c r="DV339" i="5" s="1"/>
  <c r="EA339" i="5" s="1"/>
  <c r="BT339" i="5"/>
  <c r="FS339" i="5"/>
  <c r="FU339" i="5" s="1"/>
  <c r="CM339" i="5" s="1"/>
  <c r="BU339" i="5"/>
  <c r="BL269" i="5"/>
  <c r="DT269" i="5" s="1"/>
  <c r="DV269" i="5" s="1"/>
  <c r="BT269" i="5"/>
  <c r="BU269" i="5"/>
  <c r="AF368" i="5"/>
  <c r="BT368" i="5"/>
  <c r="FS368" i="5"/>
  <c r="FU368" i="5" s="1"/>
  <c r="CM368" i="5" s="1"/>
  <c r="BU368" i="5"/>
  <c r="BL368" i="5"/>
  <c r="DT368" i="5" s="1"/>
  <c r="DV368" i="5" s="1"/>
  <c r="DN474" i="5"/>
  <c r="BC474" i="5"/>
  <c r="BD474" i="5" s="1"/>
  <c r="DN498" i="5"/>
  <c r="BC498" i="5"/>
  <c r="BD498" i="5" s="1"/>
  <c r="FS97" i="5"/>
  <c r="FU97" i="5" s="1"/>
  <c r="BL97" i="5"/>
  <c r="DT97" i="5" s="1"/>
  <c r="DV97" i="5" s="1"/>
  <c r="EB97" i="5" s="1"/>
  <c r="BT97" i="5"/>
  <c r="BE97" i="5"/>
  <c r="BU97" i="5"/>
  <c r="AS286" i="5"/>
  <c r="BL286" i="5"/>
  <c r="DT286" i="5" s="1"/>
  <c r="DV286" i="5" s="1"/>
  <c r="BT286" i="5"/>
  <c r="BU286" i="5"/>
  <c r="AF328" i="5"/>
  <c r="BL328" i="5"/>
  <c r="DT328" i="5" s="1"/>
  <c r="DV328" i="5" s="1"/>
  <c r="BT328" i="5"/>
  <c r="FS328" i="5"/>
  <c r="FU328" i="5" s="1"/>
  <c r="CM328" i="5" s="1"/>
  <c r="BU328" i="5"/>
  <c r="AS290" i="5"/>
  <c r="BL290" i="5"/>
  <c r="DT290" i="5" s="1"/>
  <c r="DV290" i="5" s="1"/>
  <c r="BT290" i="5"/>
  <c r="BU290" i="5"/>
  <c r="AF347" i="5"/>
  <c r="BL332" i="5"/>
  <c r="DT332" i="5" s="1"/>
  <c r="DV332" i="5" s="1"/>
  <c r="EA332" i="5" s="1"/>
  <c r="BT332" i="5"/>
  <c r="FS332" i="5"/>
  <c r="FU332" i="5" s="1"/>
  <c r="CM332" i="5" s="1"/>
  <c r="BU332" i="5"/>
  <c r="BL355" i="5"/>
  <c r="DT355" i="5" s="1"/>
  <c r="DV355" i="5" s="1"/>
  <c r="BU355" i="5"/>
  <c r="FS355" i="5"/>
  <c r="FU355" i="5" s="1"/>
  <c r="CM355" i="5" s="1"/>
  <c r="BT355" i="5"/>
  <c r="AS423" i="5"/>
  <c r="AT423" i="5" s="1"/>
  <c r="DG40" i="5"/>
  <c r="FS267" i="5"/>
  <c r="FU267" i="5" s="1"/>
  <c r="CM267" i="5" s="1"/>
  <c r="FA317" i="5"/>
  <c r="CO317" i="5"/>
  <c r="FA341" i="5"/>
  <c r="CU341" i="5"/>
  <c r="CU421" i="5"/>
  <c r="FA421" i="5"/>
  <c r="AZ410" i="5"/>
  <c r="CI410" i="5" s="1"/>
  <c r="AR410" i="5"/>
  <c r="CG410" i="5" s="1"/>
  <c r="DC410" i="5"/>
  <c r="EN366" i="5"/>
  <c r="EO366" i="5" s="1"/>
  <c r="EP366" i="5" s="1"/>
  <c r="EN286" i="5"/>
  <c r="EO286" i="5" s="1"/>
  <c r="EP286" i="5" s="1"/>
  <c r="BY320" i="5"/>
  <c r="BF50" i="5"/>
  <c r="BH50" i="5" s="1"/>
  <c r="BG50" i="5"/>
  <c r="BV153" i="5"/>
  <c r="CC153" i="5" s="1"/>
  <c r="CE153" i="5" s="1"/>
  <c r="CJ153" i="5" s="1"/>
  <c r="AR100" i="5"/>
  <c r="CG100" i="5" s="1"/>
  <c r="DD100" i="5"/>
  <c r="ES100" i="5" s="1"/>
  <c r="EA394" i="5"/>
  <c r="FA406" i="5"/>
  <c r="CO406" i="5"/>
  <c r="EN390" i="5"/>
  <c r="EO390" i="5" s="1"/>
  <c r="EP390" i="5" s="1"/>
  <c r="AV276" i="5"/>
  <c r="AV259" i="5"/>
  <c r="BF48" i="5"/>
  <c r="BH48" i="5" s="1"/>
  <c r="BG48" i="5"/>
  <c r="DG32" i="5"/>
  <c r="BF24" i="5"/>
  <c r="BH24" i="5" s="1"/>
  <c r="BG24" i="5"/>
  <c r="BL96" i="5"/>
  <c r="DT96" i="5" s="1"/>
  <c r="DV96" i="5" s="1"/>
  <c r="EB96" i="5" s="1"/>
  <c r="BT96" i="5"/>
  <c r="BE96" i="5"/>
  <c r="BU96" i="5"/>
  <c r="FS96" i="5"/>
  <c r="FU96" i="5" s="1"/>
  <c r="CM96" i="5" s="1"/>
  <c r="FA388" i="5"/>
  <c r="CU388" i="5"/>
  <c r="EN148" i="5"/>
  <c r="EO148" i="5" s="1"/>
  <c r="EP148" i="5" s="1"/>
  <c r="ET148" i="5"/>
  <c r="EA428" i="5"/>
  <c r="EA416" i="5"/>
  <c r="BB359" i="5"/>
  <c r="BY281" i="5"/>
  <c r="EN428" i="5"/>
  <c r="EO428" i="5" s="1"/>
  <c r="EP428" i="5" s="1"/>
  <c r="EN397" i="5"/>
  <c r="EO397" i="5" s="1"/>
  <c r="EP397" i="5" s="1"/>
  <c r="AV365" i="5"/>
  <c r="BG27" i="5"/>
  <c r="BF27" i="5"/>
  <c r="BH27" i="5" s="1"/>
  <c r="DG21" i="5"/>
  <c r="AV260" i="5"/>
  <c r="AT493" i="5"/>
  <c r="BY408" i="5"/>
  <c r="FS341" i="5"/>
  <c r="FU341" i="5" s="1"/>
  <c r="CM341" i="5" s="1"/>
  <c r="AS367" i="5"/>
  <c r="AT367" i="5" s="1"/>
  <c r="AT272" i="5"/>
  <c r="FA368" i="5"/>
  <c r="CO368" i="5"/>
  <c r="EN361" i="5"/>
  <c r="EO361" i="5" s="1"/>
  <c r="EP361" i="5" s="1"/>
  <c r="EN347" i="5"/>
  <c r="EO347" i="5" s="1"/>
  <c r="EP347" i="5" s="1"/>
  <c r="AV293" i="5"/>
  <c r="DG30" i="5"/>
  <c r="EB298" i="5"/>
  <c r="AR103" i="5"/>
  <c r="CG103" i="5" s="1"/>
  <c r="DD103" i="5"/>
  <c r="ES103" i="5" s="1"/>
  <c r="BY435" i="5"/>
  <c r="EA414" i="5"/>
  <c r="EA345" i="5"/>
  <c r="FS321" i="5"/>
  <c r="FU321" i="5" s="1"/>
  <c r="CM321" i="5" s="1"/>
  <c r="AZ389" i="5"/>
  <c r="CI389" i="5" s="1"/>
  <c r="EN357" i="5"/>
  <c r="EO357" i="5" s="1"/>
  <c r="EP357" i="5" s="1"/>
  <c r="S274" i="5"/>
  <c r="EF274" i="5"/>
  <c r="EE274" i="5" s="1"/>
  <c r="EN274" i="5" s="1"/>
  <c r="DG49" i="5"/>
  <c r="EH38" i="5"/>
  <c r="BF25" i="5"/>
  <c r="BH25" i="5" s="1"/>
  <c r="BG25" i="5"/>
  <c r="BF26" i="5"/>
  <c r="BH26" i="5" s="1"/>
  <c r="BG26" i="5"/>
  <c r="BY383" i="5"/>
  <c r="FS369" i="5"/>
  <c r="FU369" i="5" s="1"/>
  <c r="CM369" i="5" s="1"/>
  <c r="BY314" i="5"/>
  <c r="BY299" i="5"/>
  <c r="BY275" i="5"/>
  <c r="AZ433" i="5"/>
  <c r="CI433" i="5" s="1"/>
  <c r="EN412" i="5"/>
  <c r="EO412" i="5" s="1"/>
  <c r="EP412" i="5" s="1"/>
  <c r="EN338" i="5"/>
  <c r="EO338" i="5" s="1"/>
  <c r="EP338" i="5" s="1"/>
  <c r="AZ274" i="5"/>
  <c r="CI274" i="5" s="1"/>
  <c r="BG52" i="5"/>
  <c r="BI52" i="5" s="1"/>
  <c r="BF52" i="5"/>
  <c r="BH52" i="5" s="1"/>
  <c r="BF28" i="5"/>
  <c r="BH28" i="5" s="1"/>
  <c r="BG28" i="5"/>
  <c r="EN429" i="5"/>
  <c r="EO429" i="5" s="1"/>
  <c r="EP429" i="5" s="1"/>
  <c r="EN370" i="5"/>
  <c r="EO370" i="5" s="1"/>
  <c r="EP370" i="5" s="1"/>
  <c r="EN95" i="5"/>
  <c r="EO95" i="5" s="1"/>
  <c r="EP95" i="5" s="1"/>
  <c r="FS416" i="5"/>
  <c r="FU416" i="5" s="1"/>
  <c r="CM416" i="5" s="1"/>
  <c r="EA405" i="5"/>
  <c r="AS358" i="5"/>
  <c r="AT358" i="5" s="1"/>
  <c r="AS351" i="5"/>
  <c r="BB351" i="5" s="1"/>
  <c r="BB352" i="5"/>
  <c r="FS334" i="5"/>
  <c r="FU334" i="5" s="1"/>
  <c r="CM334" i="5" s="1"/>
  <c r="FS313" i="5"/>
  <c r="FU313" i="5" s="1"/>
  <c r="CM313" i="5" s="1"/>
  <c r="BB318" i="5"/>
  <c r="FS269" i="5"/>
  <c r="FU269" i="5" s="1"/>
  <c r="CM269" i="5" s="1"/>
  <c r="FA331" i="5"/>
  <c r="CU331" i="5"/>
  <c r="EN374" i="5"/>
  <c r="EO374" i="5" s="1"/>
  <c r="EP374" i="5" s="1"/>
  <c r="AZ331" i="5"/>
  <c r="CI331" i="5" s="1"/>
  <c r="AZ282" i="5"/>
  <c r="CI282" i="5" s="1"/>
  <c r="AV148" i="5"/>
  <c r="EB425" i="5"/>
  <c r="AS446" i="5"/>
  <c r="AT446" i="5" s="1"/>
  <c r="DX489" i="5"/>
  <c r="BB496" i="5"/>
  <c r="AV443" i="5"/>
  <c r="DO497" i="5"/>
  <c r="EG497" i="5" s="1"/>
  <c r="EJ497" i="5" s="1"/>
  <c r="EK497" i="5" s="1"/>
  <c r="DO481" i="5"/>
  <c r="EG481" i="5" s="1"/>
  <c r="EJ481" i="5" s="1"/>
  <c r="EK481" i="5" s="1"/>
  <c r="BB489" i="5"/>
  <c r="EN486" i="5"/>
  <c r="EO486" i="5" s="1"/>
  <c r="EP486" i="5" s="1"/>
  <c r="DX477" i="5"/>
  <c r="DX490" i="5"/>
  <c r="AU61" i="5"/>
  <c r="AU107" i="5"/>
  <c r="AU76" i="5"/>
  <c r="AU69" i="5"/>
  <c r="AU111" i="5"/>
  <c r="AU143" i="5"/>
  <c r="AU80" i="5"/>
  <c r="AU122" i="5"/>
  <c r="AU59" i="5"/>
  <c r="AU91" i="5"/>
  <c r="AU133" i="5"/>
  <c r="AU124" i="5"/>
  <c r="AU74" i="5"/>
  <c r="AU30" i="5"/>
  <c r="AV30" i="5" s="1"/>
  <c r="AW30" i="5" s="1"/>
  <c r="AR30" i="5"/>
  <c r="DD30" i="5"/>
  <c r="R47" i="5"/>
  <c r="EF47" i="5" s="1"/>
  <c r="EE47" i="5" s="1"/>
  <c r="EN47" i="5" s="1"/>
  <c r="EO47" i="5" s="1"/>
  <c r="EP47" i="5" s="1"/>
  <c r="AU47" i="5"/>
  <c r="AV47" i="5" s="1"/>
  <c r="AW47" i="5" s="1"/>
  <c r="R21" i="5"/>
  <c r="EF21" i="5" s="1"/>
  <c r="EE21" i="5" s="1"/>
  <c r="EG21" i="5" s="1"/>
  <c r="EJ21" i="5" s="1"/>
  <c r="EK21" i="5" s="1"/>
  <c r="AU21" i="5"/>
  <c r="AV21" i="5" s="1"/>
  <c r="AW21" i="5" s="1"/>
  <c r="AU34" i="5"/>
  <c r="AV34" i="5" s="1"/>
  <c r="AW34" i="5" s="1"/>
  <c r="AZ44" i="5"/>
  <c r="AU48" i="5"/>
  <c r="AV48" i="5" s="1"/>
  <c r="AW48" i="5" s="1"/>
  <c r="DC423" i="5"/>
  <c r="AR423" i="5"/>
  <c r="CG423" i="5" s="1"/>
  <c r="DC391" i="5"/>
  <c r="AR391" i="5"/>
  <c r="CG391" i="5" s="1"/>
  <c r="DC375" i="5"/>
  <c r="AR375" i="5"/>
  <c r="CG375" i="5" s="1"/>
  <c r="DC315" i="5"/>
  <c r="AR315" i="5"/>
  <c r="CG315" i="5" s="1"/>
  <c r="DC283" i="5"/>
  <c r="AR283" i="5"/>
  <c r="CG283" i="5" s="1"/>
  <c r="BC321" i="5"/>
  <c r="DN321" i="5"/>
  <c r="DC300" i="5"/>
  <c r="AR300" i="5"/>
  <c r="CG300" i="5" s="1"/>
  <c r="AR305" i="5"/>
  <c r="CG305" i="5" s="1"/>
  <c r="DC305" i="5"/>
  <c r="AR289" i="5"/>
  <c r="CG289" i="5" s="1"/>
  <c r="DC289" i="5"/>
  <c r="DC273" i="5"/>
  <c r="AR273" i="5"/>
  <c r="CG273" i="5" s="1"/>
  <c r="DC257" i="5"/>
  <c r="AR257" i="5"/>
  <c r="CG257" i="5" s="1"/>
  <c r="BC269" i="5"/>
  <c r="DN269" i="5"/>
  <c r="BC441" i="5"/>
  <c r="DN441" i="5"/>
  <c r="DN409" i="5"/>
  <c r="BC409" i="5"/>
  <c r="DN384" i="5"/>
  <c r="BC384" i="5"/>
  <c r="BC281" i="5"/>
  <c r="DN281" i="5"/>
  <c r="AS328" i="5"/>
  <c r="BB328" i="5" s="1"/>
  <c r="S346" i="5"/>
  <c r="EF346" i="5"/>
  <c r="EE346" i="5" s="1"/>
  <c r="AS329" i="5"/>
  <c r="BB329" i="5" s="1"/>
  <c r="AS268" i="5"/>
  <c r="BB268" i="5" s="1"/>
  <c r="AS301" i="5"/>
  <c r="AT301" i="5" s="1"/>
  <c r="AS294" i="5"/>
  <c r="AT294" i="5" s="1"/>
  <c r="BL440" i="5"/>
  <c r="DT440" i="5" s="1"/>
  <c r="DV440" i="5" s="1"/>
  <c r="EB440" i="5" s="1"/>
  <c r="BT440" i="5"/>
  <c r="BU440" i="5"/>
  <c r="BT408" i="5"/>
  <c r="BU408" i="5"/>
  <c r="BL408" i="5"/>
  <c r="DT408" i="5" s="1"/>
  <c r="DV408" i="5" s="1"/>
  <c r="EA408" i="5" s="1"/>
  <c r="AF375" i="5"/>
  <c r="BL375" i="5"/>
  <c r="DT375" i="5" s="1"/>
  <c r="DV375" i="5" s="1"/>
  <c r="EB375" i="5" s="1"/>
  <c r="BT375" i="5"/>
  <c r="BU375" i="5"/>
  <c r="BL309" i="5"/>
  <c r="DT309" i="5" s="1"/>
  <c r="DV309" i="5" s="1"/>
  <c r="EB309" i="5" s="1"/>
  <c r="BT309" i="5"/>
  <c r="BU309" i="5"/>
  <c r="BL449" i="5"/>
  <c r="DT449" i="5" s="1"/>
  <c r="DV449" i="5" s="1"/>
  <c r="BT449" i="5"/>
  <c r="BU449" i="5"/>
  <c r="BL417" i="5"/>
  <c r="DT417" i="5" s="1"/>
  <c r="DV417" i="5" s="1"/>
  <c r="EB417" i="5" s="1"/>
  <c r="BT417" i="5"/>
  <c r="BV417" i="5" s="1"/>
  <c r="CC417" i="5" s="1"/>
  <c r="BU417" i="5"/>
  <c r="BT388" i="5"/>
  <c r="BU388" i="5"/>
  <c r="BL388" i="5"/>
  <c r="DT388" i="5" s="1"/>
  <c r="DV388" i="5" s="1"/>
  <c r="EB388" i="5" s="1"/>
  <c r="BL357" i="5"/>
  <c r="DT357" i="5" s="1"/>
  <c r="DV357" i="5" s="1"/>
  <c r="EB357" i="5" s="1"/>
  <c r="BU357" i="5"/>
  <c r="BT357" i="5"/>
  <c r="AS344" i="5"/>
  <c r="BB344" i="5" s="1"/>
  <c r="BL296" i="5"/>
  <c r="DT296" i="5" s="1"/>
  <c r="DV296" i="5" s="1"/>
  <c r="BT296" i="5"/>
  <c r="BU296" i="5"/>
  <c r="AF442" i="5"/>
  <c r="BL442" i="5"/>
  <c r="DT442" i="5" s="1"/>
  <c r="DV442" i="5" s="1"/>
  <c r="BT442" i="5"/>
  <c r="BU442" i="5"/>
  <c r="FS442" i="5"/>
  <c r="FU442" i="5" s="1"/>
  <c r="CM442" i="5" s="1"/>
  <c r="BT392" i="5"/>
  <c r="BU392" i="5"/>
  <c r="BL392" i="5"/>
  <c r="DT392" i="5" s="1"/>
  <c r="DV392" i="5" s="1"/>
  <c r="EB392" i="5" s="1"/>
  <c r="AF427" i="5"/>
  <c r="BL427" i="5"/>
  <c r="DT427" i="5" s="1"/>
  <c r="DV427" i="5" s="1"/>
  <c r="EB427" i="5" s="1"/>
  <c r="BT427" i="5"/>
  <c r="FS427" i="5"/>
  <c r="FU427" i="5" s="1"/>
  <c r="CM427" i="5" s="1"/>
  <c r="BU427" i="5"/>
  <c r="BU391" i="5"/>
  <c r="BL391" i="5"/>
  <c r="DT391" i="5" s="1"/>
  <c r="DV391" i="5" s="1"/>
  <c r="EA391" i="5" s="1"/>
  <c r="BT391" i="5"/>
  <c r="BL340" i="5"/>
  <c r="DT340" i="5" s="1"/>
  <c r="DV340" i="5" s="1"/>
  <c r="EA340" i="5" s="1"/>
  <c r="BT340" i="5"/>
  <c r="FS340" i="5"/>
  <c r="FU340" i="5" s="1"/>
  <c r="CM340" i="5" s="1"/>
  <c r="BU340" i="5"/>
  <c r="AF312" i="5"/>
  <c r="BL312" i="5"/>
  <c r="DT312" i="5" s="1"/>
  <c r="DV312" i="5" s="1"/>
  <c r="BT312" i="5"/>
  <c r="BU312" i="5"/>
  <c r="FS312" i="5"/>
  <c r="FU312" i="5" s="1"/>
  <c r="CM312" i="5" s="1"/>
  <c r="AF262" i="5"/>
  <c r="BL262" i="5"/>
  <c r="DT262" i="5" s="1"/>
  <c r="DV262" i="5" s="1"/>
  <c r="BT262" i="5"/>
  <c r="BU262" i="5"/>
  <c r="AR104" i="5"/>
  <c r="CG104" i="5" s="1"/>
  <c r="DD104" i="5"/>
  <c r="ES104" i="5" s="1"/>
  <c r="BL448" i="5"/>
  <c r="DT448" i="5" s="1"/>
  <c r="DV448" i="5" s="1"/>
  <c r="BT448" i="5"/>
  <c r="BU448" i="5"/>
  <c r="AZ438" i="5"/>
  <c r="CI438" i="5" s="1"/>
  <c r="AR438" i="5"/>
  <c r="CG438" i="5" s="1"/>
  <c r="DC438" i="5"/>
  <c r="AR102" i="5"/>
  <c r="CG102" i="5" s="1"/>
  <c r="DD102" i="5"/>
  <c r="ES102" i="5" s="1"/>
  <c r="BL285" i="5"/>
  <c r="DT285" i="5" s="1"/>
  <c r="DV285" i="5" s="1"/>
  <c r="BT285" i="5"/>
  <c r="FS285" i="5"/>
  <c r="FU285" i="5" s="1"/>
  <c r="CM285" i="5" s="1"/>
  <c r="BU285" i="5"/>
  <c r="AF253" i="5"/>
  <c r="BL253" i="5"/>
  <c r="DT253" i="5" s="1"/>
  <c r="DV253" i="5" s="1"/>
  <c r="BT253" i="5"/>
  <c r="FS253" i="5"/>
  <c r="FU253" i="5" s="1"/>
  <c r="CM253" i="5" s="1"/>
  <c r="BU253" i="5"/>
  <c r="AZ351" i="5"/>
  <c r="CI351" i="5" s="1"/>
  <c r="AR351" i="5"/>
  <c r="CG351" i="5" s="1"/>
  <c r="DC351" i="5"/>
  <c r="AR332" i="5"/>
  <c r="CG332" i="5" s="1"/>
  <c r="DC332" i="5"/>
  <c r="BU450" i="5"/>
  <c r="FS450" i="5"/>
  <c r="FU450" i="5" s="1"/>
  <c r="CM450" i="5" s="1"/>
  <c r="BL450" i="5"/>
  <c r="DT450" i="5" s="1"/>
  <c r="DV450" i="5" s="1"/>
  <c r="BT450" i="5"/>
  <c r="BL381" i="5"/>
  <c r="DT381" i="5" s="1"/>
  <c r="DV381" i="5" s="1"/>
  <c r="BU381" i="5"/>
  <c r="BT381" i="5"/>
  <c r="AF265" i="5"/>
  <c r="BL265" i="5"/>
  <c r="DT265" i="5" s="1"/>
  <c r="DV265" i="5" s="1"/>
  <c r="BT265" i="5"/>
  <c r="FS265" i="5"/>
  <c r="FU265" i="5" s="1"/>
  <c r="CM265" i="5" s="1"/>
  <c r="BU265" i="5"/>
  <c r="AF364" i="5"/>
  <c r="BT364" i="5"/>
  <c r="FS364" i="5"/>
  <c r="FU364" i="5" s="1"/>
  <c r="CM364" i="5" s="1"/>
  <c r="BU364" i="5"/>
  <c r="BL364" i="5"/>
  <c r="DT364" i="5" s="1"/>
  <c r="DV364" i="5" s="1"/>
  <c r="EA364" i="5" s="1"/>
  <c r="BC479" i="5"/>
  <c r="BD479" i="5" s="1"/>
  <c r="DN479" i="5"/>
  <c r="BC471" i="5"/>
  <c r="BD471" i="5" s="1"/>
  <c r="DN471" i="5"/>
  <c r="DN497" i="5"/>
  <c r="BC497" i="5"/>
  <c r="AF453" i="5"/>
  <c r="BL453" i="5"/>
  <c r="DT453" i="5" s="1"/>
  <c r="DV453" i="5" s="1"/>
  <c r="BT453" i="5"/>
  <c r="BU453" i="5"/>
  <c r="BT359" i="5"/>
  <c r="BU359" i="5"/>
  <c r="BL359" i="5"/>
  <c r="DT359" i="5" s="1"/>
  <c r="DV359" i="5" s="1"/>
  <c r="BL103" i="5"/>
  <c r="DT103" i="5" s="1"/>
  <c r="DV103" i="5" s="1"/>
  <c r="EB103" i="5" s="1"/>
  <c r="BT103" i="5"/>
  <c r="BE103" i="5"/>
  <c r="BU103" i="5"/>
  <c r="FS103" i="5"/>
  <c r="FU103" i="5" s="1"/>
  <c r="CM103" i="5" s="1"/>
  <c r="AF335" i="5"/>
  <c r="BT335" i="5"/>
  <c r="FS335" i="5"/>
  <c r="FU335" i="5" s="1"/>
  <c r="CM335" i="5" s="1"/>
  <c r="BU335" i="5"/>
  <c r="BL335" i="5"/>
  <c r="DT335" i="5" s="1"/>
  <c r="DV335" i="5" s="1"/>
  <c r="AS381" i="5"/>
  <c r="BB381" i="5" s="1"/>
  <c r="DG27" i="5"/>
  <c r="DG47" i="5"/>
  <c r="EA388" i="5"/>
  <c r="EN330" i="5"/>
  <c r="EO330" i="5" s="1"/>
  <c r="EP330" i="5" s="1"/>
  <c r="DG45" i="5"/>
  <c r="BF29" i="5"/>
  <c r="BH29" i="5" s="1"/>
  <c r="BG29" i="5"/>
  <c r="EN334" i="5"/>
  <c r="EO334" i="5" s="1"/>
  <c r="EP334" i="5" s="1"/>
  <c r="DG50" i="5"/>
  <c r="EN432" i="5"/>
  <c r="EO432" i="5" s="1"/>
  <c r="EP432" i="5" s="1"/>
  <c r="ES153" i="5"/>
  <c r="ET153" i="5" s="1"/>
  <c r="AT405" i="5"/>
  <c r="EA276" i="5"/>
  <c r="FA302" i="5"/>
  <c r="CU302" i="5"/>
  <c r="FA398" i="5"/>
  <c r="CU398" i="5"/>
  <c r="CO430" i="5"/>
  <c r="FA430" i="5"/>
  <c r="EA259" i="5"/>
  <c r="EN405" i="5"/>
  <c r="EO405" i="5" s="1"/>
  <c r="EP405" i="5" s="1"/>
  <c r="EN373" i="5"/>
  <c r="EO373" i="5" s="1"/>
  <c r="EP373" i="5" s="1"/>
  <c r="AV95" i="5"/>
  <c r="AT482" i="5"/>
  <c r="FS424" i="5"/>
  <c r="FU424" i="5" s="1"/>
  <c r="CM424" i="5" s="1"/>
  <c r="EA401" i="5"/>
  <c r="BY359" i="5"/>
  <c r="FS342" i="5"/>
  <c r="FU342" i="5" s="1"/>
  <c r="CM342" i="5" s="1"/>
  <c r="AT335" i="5"/>
  <c r="FS302" i="5"/>
  <c r="FU302" i="5" s="1"/>
  <c r="CM302" i="5" s="1"/>
  <c r="AZ333" i="5"/>
  <c r="CI333" i="5" s="1"/>
  <c r="EN294" i="5"/>
  <c r="EO294" i="5" s="1"/>
  <c r="EP294" i="5" s="1"/>
  <c r="AV275" i="5"/>
  <c r="BF51" i="5"/>
  <c r="BH51" i="5" s="1"/>
  <c r="BG51" i="5"/>
  <c r="CC27" i="5"/>
  <c r="EN98" i="5"/>
  <c r="EO98" i="5" s="1"/>
  <c r="EP98" i="5" s="1"/>
  <c r="FS408" i="5"/>
  <c r="FU408" i="5" s="1"/>
  <c r="CM408" i="5" s="1"/>
  <c r="FS255" i="5"/>
  <c r="FU255" i="5" s="1"/>
  <c r="CM255" i="5" s="1"/>
  <c r="AV289" i="5"/>
  <c r="BG46" i="5"/>
  <c r="BF46" i="5"/>
  <c r="BH46" i="5" s="1"/>
  <c r="EN35" i="5"/>
  <c r="EO35" i="5" s="1"/>
  <c r="EP35" i="5" s="1"/>
  <c r="ET35" i="5"/>
  <c r="EN21" i="5"/>
  <c r="BY349" i="5"/>
  <c r="FS417" i="5"/>
  <c r="FU417" i="5" s="1"/>
  <c r="CM417" i="5" s="1"/>
  <c r="AS152" i="5"/>
  <c r="AT152" i="5" s="1"/>
  <c r="FS435" i="5"/>
  <c r="FU435" i="5" s="1"/>
  <c r="CM435" i="5" s="1"/>
  <c r="EN408" i="5"/>
  <c r="EO408" i="5" s="1"/>
  <c r="EP408" i="5" s="1"/>
  <c r="EN386" i="5"/>
  <c r="EO386" i="5" s="1"/>
  <c r="EP386" i="5" s="1"/>
  <c r="EN306" i="5"/>
  <c r="EO306" i="5" s="1"/>
  <c r="EP306" i="5" s="1"/>
  <c r="EN254" i="5"/>
  <c r="EO254" i="5" s="1"/>
  <c r="EP254" i="5" s="1"/>
  <c r="EN484" i="5"/>
  <c r="EO484" i="5" s="1"/>
  <c r="EP484" i="5" s="1"/>
  <c r="FS401" i="5"/>
  <c r="FU401" i="5" s="1"/>
  <c r="CM401" i="5" s="1"/>
  <c r="EA398" i="5"/>
  <c r="FS383" i="5"/>
  <c r="FU383" i="5" s="1"/>
  <c r="CM383" i="5" s="1"/>
  <c r="BY369" i="5"/>
  <c r="FS314" i="5"/>
  <c r="FU314" i="5" s="1"/>
  <c r="CM314" i="5" s="1"/>
  <c r="AT276" i="5"/>
  <c r="FA274" i="5"/>
  <c r="CU274" i="5"/>
  <c r="FA282" i="5"/>
  <c r="CU282" i="5"/>
  <c r="FA378" i="5"/>
  <c r="CO378" i="5"/>
  <c r="EN430" i="5"/>
  <c r="EO430" i="5" s="1"/>
  <c r="EP430" i="5" s="1"/>
  <c r="AZ412" i="5"/>
  <c r="CI412" i="5" s="1"/>
  <c r="AV269" i="5"/>
  <c r="ET49" i="5"/>
  <c r="EN49" i="5"/>
  <c r="EO49" i="5" s="1"/>
  <c r="EP49" i="5" s="1"/>
  <c r="BG44" i="5"/>
  <c r="BF44" i="5"/>
  <c r="BH44" i="5" s="1"/>
  <c r="AS385" i="5"/>
  <c r="BB385" i="5" s="1"/>
  <c r="AZ429" i="5"/>
  <c r="CI429" i="5" s="1"/>
  <c r="AT470" i="5"/>
  <c r="EA397" i="5"/>
  <c r="BY334" i="5"/>
  <c r="BY262" i="5"/>
  <c r="AZ440" i="5"/>
  <c r="CI440" i="5" s="1"/>
  <c r="AV411" i="5"/>
  <c r="EN385" i="5"/>
  <c r="EO385" i="5"/>
  <c r="EP385" i="5" s="1"/>
  <c r="AV321" i="5"/>
  <c r="BF31" i="5"/>
  <c r="BH31" i="5" s="1"/>
  <c r="BG31" i="5"/>
  <c r="BI31" i="5" s="1"/>
  <c r="EN441" i="5"/>
  <c r="EO441" i="5" s="1"/>
  <c r="EP441" i="5" s="1"/>
  <c r="DX473" i="5"/>
  <c r="DX475" i="5"/>
  <c r="EN491" i="5"/>
  <c r="EO491" i="5" s="1"/>
  <c r="EP491" i="5" s="1"/>
  <c r="DX499" i="5"/>
  <c r="EN440" i="5"/>
  <c r="EO440" i="5" s="1"/>
  <c r="EP440" i="5" s="1"/>
  <c r="DX484" i="5"/>
  <c r="BB497" i="5"/>
  <c r="CE491" i="5"/>
  <c r="DX485" i="5"/>
  <c r="DX487" i="5"/>
  <c r="FS448" i="5"/>
  <c r="FU448" i="5" s="1"/>
  <c r="CM448" i="5" s="1"/>
  <c r="EO482" i="5"/>
  <c r="EP482" i="5" s="1"/>
  <c r="AU73" i="5"/>
  <c r="AU115" i="5"/>
  <c r="AU147" i="5"/>
  <c r="AU84" i="5"/>
  <c r="AU126" i="5"/>
  <c r="AU63" i="5"/>
  <c r="AU105" i="5"/>
  <c r="AU137" i="5"/>
  <c r="AU140" i="5"/>
  <c r="AU90" i="5"/>
  <c r="DD47" i="5"/>
  <c r="ES47" i="5" s="1"/>
  <c r="AR47" i="5"/>
  <c r="AR38" i="5"/>
  <c r="DD38" i="5"/>
  <c r="ES38" i="5" s="1"/>
  <c r="AR29" i="5"/>
  <c r="DD29" i="5"/>
  <c r="AR36" i="5"/>
  <c r="DD36" i="5"/>
  <c r="R45" i="5"/>
  <c r="EF45" i="5" s="1"/>
  <c r="EE45" i="5" s="1"/>
  <c r="EN45" i="5" s="1"/>
  <c r="AU45" i="5"/>
  <c r="AV45" i="5" s="1"/>
  <c r="AW45" i="5" s="1"/>
  <c r="EF20" i="5"/>
  <c r="EE20" i="5" s="1"/>
  <c r="EG20" i="5" s="1"/>
  <c r="EJ20" i="5" s="1"/>
  <c r="EK20" i="5" s="1"/>
  <c r="AU20" i="5"/>
  <c r="AV20" i="5" s="1"/>
  <c r="AW20" i="5" s="1"/>
  <c r="AR41" i="5"/>
  <c r="DD41" i="5"/>
  <c r="ES41" i="5" s="1"/>
  <c r="R46" i="5"/>
  <c r="EF46" i="5" s="1"/>
  <c r="EE46" i="5" s="1"/>
  <c r="EN46" i="5" s="1"/>
  <c r="AU46" i="5"/>
  <c r="AV46" i="5" s="1"/>
  <c r="AW46" i="5" s="1"/>
  <c r="DD48" i="5"/>
  <c r="ES48" i="5" s="1"/>
  <c r="AR48" i="5"/>
  <c r="AR451" i="5"/>
  <c r="CG451" i="5" s="1"/>
  <c r="DC451" i="5"/>
  <c r="DC419" i="5"/>
  <c r="AR419" i="5"/>
  <c r="CG419" i="5" s="1"/>
  <c r="DC387" i="5"/>
  <c r="AR387" i="5"/>
  <c r="CG387" i="5" s="1"/>
  <c r="AR363" i="5"/>
  <c r="CG363" i="5" s="1"/>
  <c r="DC363" i="5"/>
  <c r="AR311" i="5"/>
  <c r="CG311" i="5" s="1"/>
  <c r="DC311" i="5"/>
  <c r="DC279" i="5"/>
  <c r="AR279" i="5"/>
  <c r="CG279" i="5" s="1"/>
  <c r="DC319" i="5"/>
  <c r="AR319" i="5"/>
  <c r="CG319" i="5" s="1"/>
  <c r="DC296" i="5"/>
  <c r="AR296" i="5"/>
  <c r="CG296" i="5" s="1"/>
  <c r="AR268" i="5"/>
  <c r="CG268" i="5" s="1"/>
  <c r="DC268" i="5"/>
  <c r="BC304" i="5"/>
  <c r="DN304" i="5"/>
  <c r="DN288" i="5"/>
  <c r="BC272" i="5"/>
  <c r="BD272" i="5" s="1"/>
  <c r="DN272" i="5"/>
  <c r="BC256" i="5"/>
  <c r="DN256" i="5"/>
  <c r="BC265" i="5"/>
  <c r="DN265" i="5"/>
  <c r="DN421" i="5"/>
  <c r="BC421" i="5"/>
  <c r="S392" i="5"/>
  <c r="EF392" i="5"/>
  <c r="EE392" i="5" s="1"/>
  <c r="AS264" i="5"/>
  <c r="BB264" i="5" s="1"/>
  <c r="AS323" i="5"/>
  <c r="BB323" i="5" s="1"/>
  <c r="AF436" i="5"/>
  <c r="BL436" i="5"/>
  <c r="DT436" i="5" s="1"/>
  <c r="DV436" i="5" s="1"/>
  <c r="BT436" i="5"/>
  <c r="FS436" i="5"/>
  <c r="FU436" i="5" s="1"/>
  <c r="CM436" i="5" s="1"/>
  <c r="BU436" i="5"/>
  <c r="BT404" i="5"/>
  <c r="BU404" i="5"/>
  <c r="BL404" i="5"/>
  <c r="DT404" i="5" s="1"/>
  <c r="DV404" i="5" s="1"/>
  <c r="AF371" i="5"/>
  <c r="BL371" i="5"/>
  <c r="DT371" i="5" s="1"/>
  <c r="DV371" i="5" s="1"/>
  <c r="BT371" i="5"/>
  <c r="BU371" i="5"/>
  <c r="BL287" i="5"/>
  <c r="DT287" i="5" s="1"/>
  <c r="DV287" i="5" s="1"/>
  <c r="BT287" i="5"/>
  <c r="FS287" i="5"/>
  <c r="FU287" i="5" s="1"/>
  <c r="CM287" i="5" s="1"/>
  <c r="BU287" i="5"/>
  <c r="BU445" i="5"/>
  <c r="BL445" i="5"/>
  <c r="DT445" i="5" s="1"/>
  <c r="DV445" i="5" s="1"/>
  <c r="BT445" i="5"/>
  <c r="BL413" i="5"/>
  <c r="DT413" i="5" s="1"/>
  <c r="DV413" i="5" s="1"/>
  <c r="EB413" i="5" s="1"/>
  <c r="BT413" i="5"/>
  <c r="BV413" i="5" s="1"/>
  <c r="CC413" i="5" s="1"/>
  <c r="CE413" i="5" s="1"/>
  <c r="CJ413" i="5" s="1"/>
  <c r="BU413" i="5"/>
  <c r="AF384" i="5"/>
  <c r="BT384" i="5"/>
  <c r="FS384" i="5"/>
  <c r="FU384" i="5" s="1"/>
  <c r="CM384" i="5" s="1"/>
  <c r="BU384" i="5"/>
  <c r="BL384" i="5"/>
  <c r="DT384" i="5" s="1"/>
  <c r="DV384" i="5" s="1"/>
  <c r="EB384" i="5" s="1"/>
  <c r="AF354" i="5"/>
  <c r="BT354" i="5"/>
  <c r="BV354" i="5" s="1"/>
  <c r="CC354" i="5" s="1"/>
  <c r="CE354" i="5" s="1"/>
  <c r="CJ354" i="5" s="1"/>
  <c r="BU354" i="5"/>
  <c r="FS354" i="5"/>
  <c r="FU354" i="5" s="1"/>
  <c r="CM354" i="5" s="1"/>
  <c r="BL354" i="5"/>
  <c r="DT354" i="5" s="1"/>
  <c r="DV354" i="5" s="1"/>
  <c r="AF324" i="5"/>
  <c r="BL324" i="5"/>
  <c r="DT324" i="5" s="1"/>
  <c r="DV324" i="5" s="1"/>
  <c r="EB324" i="5" s="1"/>
  <c r="BT324" i="5"/>
  <c r="FS324" i="5"/>
  <c r="FU324" i="5" s="1"/>
  <c r="CM324" i="5" s="1"/>
  <c r="BU324" i="5"/>
  <c r="AF292" i="5"/>
  <c r="BU292" i="5"/>
  <c r="BL292" i="5"/>
  <c r="DT292" i="5" s="1"/>
  <c r="DV292" i="5" s="1"/>
  <c r="BT292" i="5"/>
  <c r="FS292" i="5"/>
  <c r="FU292" i="5" s="1"/>
  <c r="CM292" i="5" s="1"/>
  <c r="AF438" i="5"/>
  <c r="BL438" i="5"/>
  <c r="DT438" i="5" s="1"/>
  <c r="DV438" i="5" s="1"/>
  <c r="EA438" i="5" s="1"/>
  <c r="BU438" i="5"/>
  <c r="FS438" i="5"/>
  <c r="FU438" i="5" s="1"/>
  <c r="CM438" i="5" s="1"/>
  <c r="BT438" i="5"/>
  <c r="BL377" i="5"/>
  <c r="DT377" i="5" s="1"/>
  <c r="DV377" i="5" s="1"/>
  <c r="EA377" i="5" s="1"/>
  <c r="BU377" i="5"/>
  <c r="BT377" i="5"/>
  <c r="BL423" i="5"/>
  <c r="DT423" i="5" s="1"/>
  <c r="DV423" i="5" s="1"/>
  <c r="BT423" i="5"/>
  <c r="BV423" i="5" s="1"/>
  <c r="CC423" i="5" s="1"/>
  <c r="FS423" i="5"/>
  <c r="FU423" i="5" s="1"/>
  <c r="CM423" i="5" s="1"/>
  <c r="BU423" i="5"/>
  <c r="AF395" i="5"/>
  <c r="BL395" i="5"/>
  <c r="DT395" i="5" s="1"/>
  <c r="DV395" i="5" s="1"/>
  <c r="EA395" i="5" s="1"/>
  <c r="BT395" i="5"/>
  <c r="FS395" i="5"/>
  <c r="FU395" i="5" s="1"/>
  <c r="CM395" i="5" s="1"/>
  <c r="BU395" i="5"/>
  <c r="AR320" i="5"/>
  <c r="CG320" i="5" s="1"/>
  <c r="DC320" i="5"/>
  <c r="AF258" i="5"/>
  <c r="BL258" i="5"/>
  <c r="DT258" i="5" s="1"/>
  <c r="DV258" i="5" s="1"/>
  <c r="EB258" i="5" s="1"/>
  <c r="BT258" i="5"/>
  <c r="FS258" i="5"/>
  <c r="FU258" i="5" s="1"/>
  <c r="CM258" i="5" s="1"/>
  <c r="BU258" i="5"/>
  <c r="BU283" i="5"/>
  <c r="FS283" i="5"/>
  <c r="FU283" i="5" s="1"/>
  <c r="CM283" i="5" s="1"/>
  <c r="BL283" i="5"/>
  <c r="DT283" i="5" s="1"/>
  <c r="DV283" i="5" s="1"/>
  <c r="BT283" i="5"/>
  <c r="AF360" i="5"/>
  <c r="BT360" i="5"/>
  <c r="FS360" i="5"/>
  <c r="FU360" i="5" s="1"/>
  <c r="CM360" i="5" s="1"/>
  <c r="BL360" i="5"/>
  <c r="DT360" i="5" s="1"/>
  <c r="DV360" i="5" s="1"/>
  <c r="BU360" i="5"/>
  <c r="AF281" i="5"/>
  <c r="BT281" i="5"/>
  <c r="BV281" i="5" s="1"/>
  <c r="BU281" i="5"/>
  <c r="BL281" i="5"/>
  <c r="DT281" i="5" s="1"/>
  <c r="DV281" i="5" s="1"/>
  <c r="EB281" i="5" s="1"/>
  <c r="AZ400" i="5"/>
  <c r="CI400" i="5" s="1"/>
  <c r="DC400" i="5"/>
  <c r="AR400" i="5"/>
  <c r="CG400" i="5" s="1"/>
  <c r="AS379" i="5"/>
  <c r="AT379" i="5" s="1"/>
  <c r="AZ328" i="5"/>
  <c r="CI328" i="5" s="1"/>
  <c r="AR328" i="5"/>
  <c r="CG328" i="5" s="1"/>
  <c r="DC328" i="5"/>
  <c r="AF446" i="5"/>
  <c r="BL446" i="5"/>
  <c r="DT446" i="5" s="1"/>
  <c r="DV446" i="5" s="1"/>
  <c r="BT446" i="5"/>
  <c r="BU446" i="5"/>
  <c r="FS446" i="5"/>
  <c r="FU446" i="5" s="1"/>
  <c r="CM446" i="5" s="1"/>
  <c r="BL370" i="5"/>
  <c r="DT370" i="5" s="1"/>
  <c r="DV370" i="5" s="1"/>
  <c r="BT370" i="5"/>
  <c r="FS370" i="5"/>
  <c r="FU370" i="5" s="1"/>
  <c r="CM370" i="5" s="1"/>
  <c r="BU370" i="5"/>
  <c r="AF326" i="5"/>
  <c r="BL326" i="5"/>
  <c r="DT326" i="5" s="1"/>
  <c r="DV326" i="5" s="1"/>
  <c r="BT326" i="5"/>
  <c r="FS326" i="5"/>
  <c r="FU326" i="5" s="1"/>
  <c r="CM326" i="5" s="1"/>
  <c r="BU326" i="5"/>
  <c r="DN475" i="5"/>
  <c r="BC475" i="5"/>
  <c r="BD475" i="5" s="1"/>
  <c r="BC487" i="5"/>
  <c r="BD487" i="5" s="1"/>
  <c r="DN487" i="5"/>
  <c r="AR150" i="5"/>
  <c r="CG150" i="5" s="1"/>
  <c r="DD150" i="5"/>
  <c r="ES150" i="5" s="1"/>
  <c r="AR152" i="5"/>
  <c r="CG152" i="5" s="1"/>
  <c r="DD152" i="5"/>
  <c r="ES152" i="5" s="1"/>
  <c r="AF264" i="5"/>
  <c r="BL264" i="5"/>
  <c r="DT264" i="5" s="1"/>
  <c r="DV264" i="5" s="1"/>
  <c r="BT264" i="5"/>
  <c r="FS264" i="5"/>
  <c r="FU264" i="5" s="1"/>
  <c r="CM264" i="5" s="1"/>
  <c r="BU264" i="5"/>
  <c r="AF334" i="5"/>
  <c r="BL333" i="5"/>
  <c r="DT333" i="5" s="1"/>
  <c r="DV333" i="5" s="1"/>
  <c r="BT333" i="5"/>
  <c r="FS333" i="5"/>
  <c r="FU333" i="5" s="1"/>
  <c r="CM333" i="5" s="1"/>
  <c r="BU333" i="5"/>
  <c r="BT327" i="5"/>
  <c r="BU327" i="5"/>
  <c r="BL327" i="5"/>
  <c r="DT327" i="5" s="1"/>
  <c r="DV327" i="5" s="1"/>
  <c r="AF268" i="5"/>
  <c r="BL268" i="5"/>
  <c r="DT268" i="5" s="1"/>
  <c r="DV268" i="5" s="1"/>
  <c r="BT268" i="5"/>
  <c r="BU268" i="5"/>
  <c r="BL100" i="5"/>
  <c r="DT100" i="5" s="1"/>
  <c r="DV100" i="5" s="1"/>
  <c r="EB100" i="5" s="1"/>
  <c r="BT100" i="5"/>
  <c r="BE100" i="5"/>
  <c r="BU100" i="5"/>
  <c r="FS100" i="5"/>
  <c r="FU100" i="5" s="1"/>
  <c r="CM100" i="5" s="1"/>
  <c r="DD32" i="5"/>
  <c r="AR32" i="5"/>
  <c r="AS374" i="5"/>
  <c r="BB374" i="5" s="1"/>
  <c r="DG35" i="5"/>
  <c r="DG52" i="5"/>
  <c r="BJ150" i="5"/>
  <c r="EC150" i="5" s="1"/>
  <c r="EB150" i="5" s="1"/>
  <c r="EA100" i="5"/>
  <c r="FS346" i="5"/>
  <c r="FU346" i="5" s="1"/>
  <c r="CM346" i="5" s="1"/>
  <c r="AT342" i="5"/>
  <c r="FS284" i="5"/>
  <c r="FU284" i="5" s="1"/>
  <c r="CM284" i="5" s="1"/>
  <c r="EA270" i="5"/>
  <c r="CU413" i="5"/>
  <c r="FA413" i="5"/>
  <c r="FS260" i="5"/>
  <c r="FU260" i="5" s="1"/>
  <c r="CM260" i="5" s="1"/>
  <c r="EN394" i="5"/>
  <c r="EO394" i="5" s="1"/>
  <c r="EP394" i="5" s="1"/>
  <c r="AV326" i="5"/>
  <c r="AV281" i="5"/>
  <c r="BF45" i="5"/>
  <c r="BH45" i="5" s="1"/>
  <c r="BG45" i="5"/>
  <c r="DG29" i="5"/>
  <c r="AT343" i="5"/>
  <c r="AV313" i="5"/>
  <c r="EN444" i="5"/>
  <c r="EO444" i="5" s="1"/>
  <c r="EP444" i="5" s="1"/>
  <c r="EA424" i="5"/>
  <c r="FS393" i="5"/>
  <c r="FU393" i="5" s="1"/>
  <c r="CM393" i="5" s="1"/>
  <c r="EA371" i="5"/>
  <c r="AT280" i="5"/>
  <c r="EN348" i="5"/>
  <c r="EO348" i="5" s="1"/>
  <c r="EP348" i="5" s="1"/>
  <c r="AV312" i="5"/>
  <c r="AV272" i="5"/>
  <c r="AV255" i="5"/>
  <c r="DG48" i="5"/>
  <c r="BV40" i="5"/>
  <c r="CC40" i="5" s="1"/>
  <c r="EN483" i="5"/>
  <c r="EO483" i="5" s="1"/>
  <c r="EP483" i="5" s="1"/>
  <c r="AT498" i="5"/>
  <c r="ET99" i="5"/>
  <c r="EN99" i="5"/>
  <c r="EO99" i="5" s="1"/>
  <c r="EP99" i="5" s="1"/>
  <c r="EB428" i="5"/>
  <c r="FS405" i="5"/>
  <c r="FU405" i="5" s="1"/>
  <c r="CM405" i="5" s="1"/>
  <c r="EA393" i="5"/>
  <c r="FS359" i="5"/>
  <c r="FU359" i="5" s="1"/>
  <c r="CM359" i="5" s="1"/>
  <c r="AT308" i="5"/>
  <c r="AT279" i="5"/>
  <c r="AZ397" i="5"/>
  <c r="CI397" i="5" s="1"/>
  <c r="EN344" i="5"/>
  <c r="EO344" i="5" s="1"/>
  <c r="EP344" i="5" s="1"/>
  <c r="AZ329" i="5"/>
  <c r="CI329" i="5" s="1"/>
  <c r="AR329" i="5"/>
  <c r="CG329" i="5" s="1"/>
  <c r="DC329" i="5"/>
  <c r="BG21" i="5"/>
  <c r="BF21" i="5"/>
  <c r="BH21" i="5" s="1"/>
  <c r="FS268" i="5"/>
  <c r="FU268" i="5" s="1"/>
  <c r="CM268" i="5" s="1"/>
  <c r="EN448" i="5"/>
  <c r="EO448" i="5" s="1"/>
  <c r="EP448" i="5" s="1"/>
  <c r="AV152" i="5"/>
  <c r="EB435" i="5"/>
  <c r="AT410" i="5"/>
  <c r="EB282" i="5"/>
  <c r="FA360" i="5"/>
  <c r="CO360" i="5"/>
  <c r="FA254" i="5"/>
  <c r="CU254" i="5"/>
  <c r="BY255" i="5"/>
  <c r="EN424" i="5"/>
  <c r="EO424" i="5" s="1"/>
  <c r="EP424" i="5" s="1"/>
  <c r="EN404" i="5"/>
  <c r="EO404" i="5" s="1"/>
  <c r="EP404" i="5" s="1"/>
  <c r="AZ347" i="5"/>
  <c r="CI347" i="5" s="1"/>
  <c r="AV284" i="5"/>
  <c r="FS349" i="5"/>
  <c r="FU349" i="5" s="1"/>
  <c r="CM349" i="5" s="1"/>
  <c r="EN436" i="5"/>
  <c r="EO436" i="5" s="1"/>
  <c r="EP436" i="5" s="1"/>
  <c r="DV148" i="5"/>
  <c r="EN97" i="5"/>
  <c r="EO97" i="5" s="1"/>
  <c r="EP97" i="5" s="1"/>
  <c r="BY407" i="5"/>
  <c r="FS371" i="5"/>
  <c r="FU371" i="5" s="1"/>
  <c r="CM371" i="5" s="1"/>
  <c r="AS450" i="5"/>
  <c r="BB450" i="5" s="1"/>
  <c r="AT299" i="5"/>
  <c r="BY300" i="5"/>
  <c r="BY277" i="5"/>
  <c r="AZ306" i="5"/>
  <c r="CI306" i="5" s="1"/>
  <c r="AZ254" i="5"/>
  <c r="CI254" i="5" s="1"/>
  <c r="FS381" i="5"/>
  <c r="FU381" i="5" s="1"/>
  <c r="CM381" i="5" s="1"/>
  <c r="AT338" i="5"/>
  <c r="BV26" i="5"/>
  <c r="CC26" i="5" s="1"/>
  <c r="CE26" i="5" s="1"/>
  <c r="DG469" i="5"/>
  <c r="EN96" i="5"/>
  <c r="EO96" i="5" s="1"/>
  <c r="EP96" i="5" s="1"/>
  <c r="ET96" i="5"/>
  <c r="EA421" i="5"/>
  <c r="BY401" i="5"/>
  <c r="EA390" i="5"/>
  <c r="EA319" i="5"/>
  <c r="FA370" i="5"/>
  <c r="CO370" i="5"/>
  <c r="AV407" i="5"/>
  <c r="AV367" i="5"/>
  <c r="EN346" i="5"/>
  <c r="EO346" i="5" s="1"/>
  <c r="EP346" i="5" s="1"/>
  <c r="EN335" i="5"/>
  <c r="EO335" i="5" s="1"/>
  <c r="EP335" i="5" s="1"/>
  <c r="AV287" i="5"/>
  <c r="BV44" i="5"/>
  <c r="CC44" i="5" s="1"/>
  <c r="CE44" i="5" s="1"/>
  <c r="EN406" i="5"/>
  <c r="EO406" i="5" s="1"/>
  <c r="EP406" i="5" s="1"/>
  <c r="AZ370" i="5"/>
  <c r="CI370" i="5" s="1"/>
  <c r="EN495" i="5"/>
  <c r="EO495" i="5" s="1"/>
  <c r="EP495" i="5" s="1"/>
  <c r="BV152" i="5"/>
  <c r="CC152" i="5" s="1"/>
  <c r="AV150" i="5"/>
  <c r="EB364" i="5"/>
  <c r="FS262" i="5"/>
  <c r="FU262" i="5" s="1"/>
  <c r="CM262" i="5" s="1"/>
  <c r="AZ374" i="5"/>
  <c r="CI374" i="5" s="1"/>
  <c r="EN353" i="5"/>
  <c r="EO353" i="5" s="1"/>
  <c r="EP353" i="5" s="1"/>
  <c r="AV314" i="5"/>
  <c r="BF47" i="5"/>
  <c r="BH47" i="5" s="1"/>
  <c r="BG47" i="5"/>
  <c r="BV31" i="5"/>
  <c r="CC31" i="5" s="1"/>
  <c r="EB365" i="5"/>
  <c r="AT351" i="5"/>
  <c r="CE488" i="5"/>
  <c r="AV438" i="5"/>
  <c r="CE486" i="5"/>
  <c r="AU77" i="5"/>
  <c r="AU119" i="5"/>
  <c r="AU55" i="5"/>
  <c r="AU88" i="5"/>
  <c r="AU130" i="5"/>
  <c r="AU67" i="5"/>
  <c r="AU109" i="5"/>
  <c r="AU141" i="5"/>
  <c r="AU62" i="5"/>
  <c r="AU116" i="5"/>
  <c r="AR28" i="5"/>
  <c r="DD28" i="5"/>
  <c r="R40" i="5"/>
  <c r="AU40" i="5"/>
  <c r="AV40" i="5" s="1"/>
  <c r="AW40" i="5" s="1"/>
  <c r="AU51" i="5"/>
  <c r="AV51" i="5" s="1"/>
  <c r="AW51" i="5" s="1"/>
  <c r="R25" i="5"/>
  <c r="AU25" i="5"/>
  <c r="AV25" i="5" s="1"/>
  <c r="AW25" i="5" s="1"/>
  <c r="R39" i="5"/>
  <c r="AU39" i="5"/>
  <c r="AV39" i="5" s="1"/>
  <c r="AW39" i="5" s="1"/>
  <c r="AR46" i="5"/>
  <c r="DD46" i="5"/>
  <c r="ES46" i="5" s="1"/>
  <c r="AR447" i="5"/>
  <c r="CG447" i="5" s="1"/>
  <c r="DC447" i="5"/>
  <c r="DC415" i="5"/>
  <c r="AR415" i="5"/>
  <c r="CG415" i="5" s="1"/>
  <c r="DC383" i="5"/>
  <c r="AR383" i="5"/>
  <c r="CG383" i="5" s="1"/>
  <c r="AR307" i="5"/>
  <c r="CG307" i="5" s="1"/>
  <c r="DC307" i="5"/>
  <c r="DC275" i="5"/>
  <c r="AR275" i="5"/>
  <c r="CG275" i="5" s="1"/>
  <c r="DC318" i="5"/>
  <c r="AR318" i="5"/>
  <c r="CG318" i="5" s="1"/>
  <c r="DC292" i="5"/>
  <c r="AR292" i="5"/>
  <c r="CG292" i="5" s="1"/>
  <c r="AR264" i="5"/>
  <c r="CG264" i="5" s="1"/>
  <c r="DC264" i="5"/>
  <c r="DC301" i="5"/>
  <c r="AR301" i="5"/>
  <c r="CG301" i="5" s="1"/>
  <c r="AR285" i="5"/>
  <c r="CG285" i="5" s="1"/>
  <c r="DC285" i="5"/>
  <c r="DC269" i="5"/>
  <c r="AR269" i="5"/>
  <c r="CG269" i="5" s="1"/>
  <c r="AR253" i="5"/>
  <c r="CG253" i="5" s="1"/>
  <c r="DC253" i="5"/>
  <c r="BC261" i="5"/>
  <c r="DN261" i="5"/>
  <c r="AS332" i="5"/>
  <c r="BB332" i="5" s="1"/>
  <c r="AZ417" i="5"/>
  <c r="CI417" i="5" s="1"/>
  <c r="AR417" i="5"/>
  <c r="CG417" i="5" s="1"/>
  <c r="DC417" i="5"/>
  <c r="AR252" i="5"/>
  <c r="CG252" i="5" s="1"/>
  <c r="DC252" i="5"/>
  <c r="AS269" i="5"/>
  <c r="BB269" i="5" s="1"/>
  <c r="AS303" i="5"/>
  <c r="BB303" i="5" s="1"/>
  <c r="AS288" i="5"/>
  <c r="AT288" i="5" s="1"/>
  <c r="BL432" i="5"/>
  <c r="DT432" i="5" s="1"/>
  <c r="DV432" i="5" s="1"/>
  <c r="BT432" i="5"/>
  <c r="FS432" i="5"/>
  <c r="FU432" i="5" s="1"/>
  <c r="CM432" i="5" s="1"/>
  <c r="BU432" i="5"/>
  <c r="AF400" i="5"/>
  <c r="BT400" i="5"/>
  <c r="FS400" i="5"/>
  <c r="FU400" i="5" s="1"/>
  <c r="CM400" i="5" s="1"/>
  <c r="BU400" i="5"/>
  <c r="BL400" i="5"/>
  <c r="DT400" i="5" s="1"/>
  <c r="DV400" i="5" s="1"/>
  <c r="EB400" i="5" s="1"/>
  <c r="AF353" i="5"/>
  <c r="BL353" i="5"/>
  <c r="DT353" i="5" s="1"/>
  <c r="DV353" i="5" s="1"/>
  <c r="BT353" i="5"/>
  <c r="BU353" i="5"/>
  <c r="FS353" i="5"/>
  <c r="FU353" i="5" s="1"/>
  <c r="CM353" i="5" s="1"/>
  <c r="BU279" i="5"/>
  <c r="BL279" i="5"/>
  <c r="DT279" i="5" s="1"/>
  <c r="DV279" i="5" s="1"/>
  <c r="FS279" i="5"/>
  <c r="FU279" i="5" s="1"/>
  <c r="CM279" i="5" s="1"/>
  <c r="BT279" i="5"/>
  <c r="BL441" i="5"/>
  <c r="DT441" i="5" s="1"/>
  <c r="DV441" i="5" s="1"/>
  <c r="BT441" i="5"/>
  <c r="BU441" i="5"/>
  <c r="BL409" i="5"/>
  <c r="DT409" i="5" s="1"/>
  <c r="DV409" i="5" s="1"/>
  <c r="EB409" i="5" s="1"/>
  <c r="BT409" i="5"/>
  <c r="FS409" i="5"/>
  <c r="FU409" i="5" s="1"/>
  <c r="CM409" i="5" s="1"/>
  <c r="BU409" i="5"/>
  <c r="AF380" i="5"/>
  <c r="BT380" i="5"/>
  <c r="BU380" i="5"/>
  <c r="BL380" i="5"/>
  <c r="DT380" i="5" s="1"/>
  <c r="DV380" i="5" s="1"/>
  <c r="EA380" i="5" s="1"/>
  <c r="BU350" i="5"/>
  <c r="BT350" i="5"/>
  <c r="BL350" i="5"/>
  <c r="DT350" i="5" s="1"/>
  <c r="DV350" i="5" s="1"/>
  <c r="EA350" i="5" s="1"/>
  <c r="BL322" i="5"/>
  <c r="DT322" i="5" s="1"/>
  <c r="DV322" i="5" s="1"/>
  <c r="EA322" i="5" s="1"/>
  <c r="BT322" i="5"/>
  <c r="BU322" i="5"/>
  <c r="AF280" i="5"/>
  <c r="BL280" i="5"/>
  <c r="DT280" i="5" s="1"/>
  <c r="DV280" i="5" s="1"/>
  <c r="EB280" i="5" s="1"/>
  <c r="BT280" i="5"/>
  <c r="BU280" i="5"/>
  <c r="AF434" i="5"/>
  <c r="BL434" i="5"/>
  <c r="DT434" i="5" s="1"/>
  <c r="DV434" i="5" s="1"/>
  <c r="EB434" i="5" s="1"/>
  <c r="BU434" i="5"/>
  <c r="FS434" i="5"/>
  <c r="FU434" i="5" s="1"/>
  <c r="CM434" i="5" s="1"/>
  <c r="BT434" i="5"/>
  <c r="BL373" i="5"/>
  <c r="DT373" i="5" s="1"/>
  <c r="DV373" i="5" s="1"/>
  <c r="BU373" i="5"/>
  <c r="BT373" i="5"/>
  <c r="BL419" i="5"/>
  <c r="DT419" i="5" s="1"/>
  <c r="DV419" i="5" s="1"/>
  <c r="BT419" i="5"/>
  <c r="BU419" i="5"/>
  <c r="BL386" i="5"/>
  <c r="DT386" i="5" s="1"/>
  <c r="DV386" i="5" s="1"/>
  <c r="EB386" i="5" s="1"/>
  <c r="BU386" i="5"/>
  <c r="BT386" i="5"/>
  <c r="BU254" i="5"/>
  <c r="BL254" i="5"/>
  <c r="DT254" i="5" s="1"/>
  <c r="DV254" i="5" s="1"/>
  <c r="BT254" i="5"/>
  <c r="AR95" i="5"/>
  <c r="CG95" i="5" s="1"/>
  <c r="DD95" i="5"/>
  <c r="ES95" i="5" s="1"/>
  <c r="DC450" i="5"/>
  <c r="AR450" i="5"/>
  <c r="CG450" i="5" s="1"/>
  <c r="BT356" i="5"/>
  <c r="FS356" i="5"/>
  <c r="FU356" i="5" s="1"/>
  <c r="CM356" i="5" s="1"/>
  <c r="BL356" i="5"/>
  <c r="DT356" i="5" s="1"/>
  <c r="DV356" i="5" s="1"/>
  <c r="EB356" i="5" s="1"/>
  <c r="BU356" i="5"/>
  <c r="AS408" i="5"/>
  <c r="BB408" i="5" s="1"/>
  <c r="AF277" i="5"/>
  <c r="BT277" i="5"/>
  <c r="BU277" i="5"/>
  <c r="BL277" i="5"/>
  <c r="DT277" i="5" s="1"/>
  <c r="DV277" i="5" s="1"/>
  <c r="EB277" i="5" s="1"/>
  <c r="AS375" i="5"/>
  <c r="BB375" i="5" s="1"/>
  <c r="AZ369" i="5"/>
  <c r="CI369" i="5" s="1"/>
  <c r="AR369" i="5"/>
  <c r="CG369" i="5" s="1"/>
  <c r="DC369" i="5"/>
  <c r="AZ343" i="5"/>
  <c r="CI343" i="5" s="1"/>
  <c r="AR343" i="5"/>
  <c r="CG343" i="5" s="1"/>
  <c r="DC343" i="5"/>
  <c r="AZ324" i="5"/>
  <c r="CI324" i="5" s="1"/>
  <c r="AR324" i="5"/>
  <c r="CG324" i="5" s="1"/>
  <c r="DC324" i="5"/>
  <c r="AF422" i="5"/>
  <c r="BL422" i="5"/>
  <c r="DT422" i="5" s="1"/>
  <c r="DV422" i="5" s="1"/>
  <c r="EB422" i="5" s="1"/>
  <c r="BT422" i="5"/>
  <c r="BU422" i="5"/>
  <c r="BL366" i="5"/>
  <c r="DT366" i="5" s="1"/>
  <c r="DV366" i="5" s="1"/>
  <c r="BT366" i="5"/>
  <c r="FS366" i="5"/>
  <c r="FU366" i="5" s="1"/>
  <c r="CM366" i="5" s="1"/>
  <c r="BU366" i="5"/>
  <c r="AF337" i="5"/>
  <c r="BL337" i="5"/>
  <c r="DT337" i="5" s="1"/>
  <c r="DV337" i="5" s="1"/>
  <c r="FS337" i="5"/>
  <c r="FU337" i="5" s="1"/>
  <c r="CM337" i="5" s="1"/>
  <c r="BT337" i="5"/>
  <c r="BU337" i="5"/>
  <c r="BT323" i="5"/>
  <c r="BU323" i="5"/>
  <c r="BL323" i="5"/>
  <c r="DT323" i="5" s="1"/>
  <c r="DV323" i="5" s="1"/>
  <c r="EA323" i="5" s="1"/>
  <c r="DN480" i="5"/>
  <c r="BC480" i="5"/>
  <c r="DN484" i="5"/>
  <c r="BC484" i="5"/>
  <c r="BD484" i="5" s="1"/>
  <c r="DN493" i="5"/>
  <c r="BC493" i="5"/>
  <c r="BD493" i="5" s="1"/>
  <c r="AZ149" i="5"/>
  <c r="CI149" i="5" s="1"/>
  <c r="AR149" i="5"/>
  <c r="CG149" i="5" s="1"/>
  <c r="DD149" i="5"/>
  <c r="ES149" i="5" s="1"/>
  <c r="AR151" i="5"/>
  <c r="CG151" i="5" s="1"/>
  <c r="DD151" i="5"/>
  <c r="ES151" i="5" s="1"/>
  <c r="CG97" i="5"/>
  <c r="CM97" i="5"/>
  <c r="DN489" i="5"/>
  <c r="BC489" i="5"/>
  <c r="BD489" i="5" s="1"/>
  <c r="BL352" i="5"/>
  <c r="DT352" i="5" s="1"/>
  <c r="DV352" i="5" s="1"/>
  <c r="BT352" i="5"/>
  <c r="BU352" i="5"/>
  <c r="FS352" i="5"/>
  <c r="FU352" i="5" s="1"/>
  <c r="CM352" i="5" s="1"/>
  <c r="BC495" i="5"/>
  <c r="BD495" i="5" s="1"/>
  <c r="DN495" i="5"/>
  <c r="BL329" i="5"/>
  <c r="DT329" i="5" s="1"/>
  <c r="DV329" i="5" s="1"/>
  <c r="BT329" i="5"/>
  <c r="BU329" i="5"/>
  <c r="BU288" i="5"/>
  <c r="BL288" i="5"/>
  <c r="DT288" i="5" s="1"/>
  <c r="DV288" i="5" s="1"/>
  <c r="BT288" i="5"/>
  <c r="FS104" i="5"/>
  <c r="FU104" i="5" s="1"/>
  <c r="CM104" i="5" s="1"/>
  <c r="BL104" i="5"/>
  <c r="DT104" i="5" s="1"/>
  <c r="DV104" i="5" s="1"/>
  <c r="EB104" i="5" s="1"/>
  <c r="BT104" i="5"/>
  <c r="BE104" i="5"/>
  <c r="BU104" i="5"/>
  <c r="AS339" i="5"/>
  <c r="BB339" i="5" s="1"/>
  <c r="DG43" i="5"/>
  <c r="DG46" i="5"/>
  <c r="FS394" i="5"/>
  <c r="FU394" i="5" s="1"/>
  <c r="CM394" i="5" s="1"/>
  <c r="AS362" i="5"/>
  <c r="AT362" i="5" s="1"/>
  <c r="BY296" i="5"/>
  <c r="CU405" i="5"/>
  <c r="FA405" i="5"/>
  <c r="BY260" i="5"/>
  <c r="AV439" i="5"/>
  <c r="EN362" i="5"/>
  <c r="EO362" i="5" s="1"/>
  <c r="EP362" i="5" s="1"/>
  <c r="EN345" i="5"/>
  <c r="EO345" i="5"/>
  <c r="EP345" i="5" s="1"/>
  <c r="AV319" i="5"/>
  <c r="BV45" i="5"/>
  <c r="CC45" i="5" s="1"/>
  <c r="CE45" i="5" s="1"/>
  <c r="BF37" i="5"/>
  <c r="BH37" i="5" s="1"/>
  <c r="BG37" i="5"/>
  <c r="BG20" i="5"/>
  <c r="BF20" i="5"/>
  <c r="BH20" i="5" s="1"/>
  <c r="AV273" i="5"/>
  <c r="EA99" i="5"/>
  <c r="EA417" i="5"/>
  <c r="FS377" i="5"/>
  <c r="FU377" i="5" s="1"/>
  <c r="CM377" i="5" s="1"/>
  <c r="BY361" i="5"/>
  <c r="EB371" i="5"/>
  <c r="AS363" i="5"/>
  <c r="AT363" i="5" s="1"/>
  <c r="BY295" i="5"/>
  <c r="BY282" i="5"/>
  <c r="AV387" i="5"/>
  <c r="AV369" i="5"/>
  <c r="AV303" i="5"/>
  <c r="EA431" i="5"/>
  <c r="BY398" i="5"/>
  <c r="BF34" i="5"/>
  <c r="BH34" i="5" s="1"/>
  <c r="BG34" i="5"/>
  <c r="CU445" i="5"/>
  <c r="FA445" i="5"/>
  <c r="EN499" i="5"/>
  <c r="EO499" i="5" s="1"/>
  <c r="EP499" i="5" s="1"/>
  <c r="FS410" i="5"/>
  <c r="FU410" i="5" s="1"/>
  <c r="CM410" i="5" s="1"/>
  <c r="FS387" i="5"/>
  <c r="FU387" i="5" s="1"/>
  <c r="CM387" i="5" s="1"/>
  <c r="FS290" i="5"/>
  <c r="FU290" i="5" s="1"/>
  <c r="CM290" i="5" s="1"/>
  <c r="FS256" i="5"/>
  <c r="FU256" i="5" s="1"/>
  <c r="CM256" i="5" s="1"/>
  <c r="EN420" i="5"/>
  <c r="EO420" i="5" s="1"/>
  <c r="EP420" i="5" s="1"/>
  <c r="EN325" i="5"/>
  <c r="EO325" i="5" s="1"/>
  <c r="EP325" i="5" s="1"/>
  <c r="AV271" i="5"/>
  <c r="FA444" i="5"/>
  <c r="CU444" i="5"/>
  <c r="AR98" i="5"/>
  <c r="CG98" i="5" s="1"/>
  <c r="DD98" i="5"/>
  <c r="ES98" i="5" s="1"/>
  <c r="FA408" i="5"/>
  <c r="CU408" i="5"/>
  <c r="AZ404" i="5"/>
  <c r="CI404" i="5" s="1"/>
  <c r="AV379" i="5"/>
  <c r="EN354" i="5"/>
  <c r="EO354" i="5" s="1"/>
  <c r="EP354" i="5" s="1"/>
  <c r="AV343" i="5"/>
  <c r="AV279" i="5"/>
  <c r="AR21" i="5"/>
  <c r="DD21" i="5"/>
  <c r="ES21" i="5" s="1"/>
  <c r="EN453" i="5"/>
  <c r="EO453" i="5" s="1"/>
  <c r="EP453" i="5" s="1"/>
  <c r="EA104" i="5"/>
  <c r="FS407" i="5"/>
  <c r="FU407" i="5" s="1"/>
  <c r="CM407" i="5" s="1"/>
  <c r="FS300" i="5"/>
  <c r="FU300" i="5" s="1"/>
  <c r="CM300" i="5" s="1"/>
  <c r="FS277" i="5"/>
  <c r="FU277" i="5" s="1"/>
  <c r="CM277" i="5" s="1"/>
  <c r="FA353" i="5"/>
  <c r="CO353" i="5"/>
  <c r="EA256" i="5"/>
  <c r="EN437" i="5"/>
  <c r="EO437" i="5" s="1"/>
  <c r="EP437" i="5" s="1"/>
  <c r="AV403" i="5"/>
  <c r="AZ386" i="5"/>
  <c r="CI386" i="5" s="1"/>
  <c r="AV332" i="5"/>
  <c r="AV297" i="5"/>
  <c r="EN262" i="5"/>
  <c r="EO262" i="5" s="1"/>
  <c r="EP262" i="5" s="1"/>
  <c r="AV252" i="5"/>
  <c r="BF49" i="5"/>
  <c r="BH49" i="5" s="1"/>
  <c r="BG49" i="5"/>
  <c r="BF22" i="5"/>
  <c r="BH22" i="5" s="1"/>
  <c r="BG22" i="5"/>
  <c r="BY381" i="5"/>
  <c r="FS286" i="5"/>
  <c r="FU286" i="5" s="1"/>
  <c r="CM286" i="5" s="1"/>
  <c r="BV149" i="5"/>
  <c r="CC149" i="5" s="1"/>
  <c r="EA103" i="5"/>
  <c r="AS348" i="5"/>
  <c r="AT348" i="5" s="1"/>
  <c r="EA310" i="5"/>
  <c r="CU338" i="5"/>
  <c r="FA338" i="5"/>
  <c r="AZ430" i="5"/>
  <c r="CI430" i="5" s="1"/>
  <c r="AZ346" i="5"/>
  <c r="CI346" i="5" s="1"/>
  <c r="AZ335" i="5"/>
  <c r="CI335" i="5" s="1"/>
  <c r="AV265" i="5"/>
  <c r="DG44" i="5"/>
  <c r="DG36" i="5"/>
  <c r="EN471" i="5"/>
  <c r="EO471" i="5" s="1"/>
  <c r="EP471" i="5" s="1"/>
  <c r="EM496" i="5"/>
  <c r="DG496" i="5"/>
  <c r="EL496" i="5"/>
  <c r="DV152" i="5"/>
  <c r="BY399" i="5"/>
  <c r="BY350" i="5"/>
  <c r="EB376" i="5"/>
  <c r="EN402" i="5"/>
  <c r="EO402" i="5" s="1"/>
  <c r="EP402" i="5" s="1"/>
  <c r="AZ385" i="5"/>
  <c r="CI385" i="5" s="1"/>
  <c r="AV309" i="5"/>
  <c r="AZ278" i="5"/>
  <c r="CI278" i="5" s="1"/>
  <c r="AV337" i="5"/>
  <c r="CE474" i="5"/>
  <c r="DX488" i="5"/>
  <c r="FS453" i="5"/>
  <c r="FU453" i="5" s="1"/>
  <c r="CM453" i="5" s="1"/>
  <c r="DX471" i="5"/>
  <c r="DX492" i="5"/>
  <c r="AV434" i="5"/>
  <c r="CE472" i="5"/>
  <c r="DX486" i="5"/>
  <c r="AF97" i="5"/>
  <c r="AZ41" i="5"/>
  <c r="R29" i="5"/>
  <c r="EF29" i="5" s="1"/>
  <c r="EE29" i="5" s="1"/>
  <c r="AF409" i="5"/>
  <c r="R52" i="5"/>
  <c r="EF52" i="5" s="1"/>
  <c r="EE52" i="5" s="1"/>
  <c r="EN52" i="5" s="1"/>
  <c r="AF287" i="5"/>
  <c r="AF341" i="5"/>
  <c r="AS369" i="5"/>
  <c r="AF369" i="5"/>
  <c r="AF289" i="5"/>
  <c r="R44" i="5"/>
  <c r="EF44" i="5" s="1"/>
  <c r="EE44" i="5" s="1"/>
  <c r="AF387" i="5"/>
  <c r="AF366" i="5"/>
  <c r="AF293" i="5"/>
  <c r="AF406" i="5"/>
  <c r="AF451" i="5"/>
  <c r="AS428" i="5"/>
  <c r="AF428" i="5"/>
  <c r="AF418" i="5"/>
  <c r="AF266" i="5"/>
  <c r="AF283" i="5"/>
  <c r="AZ450" i="5"/>
  <c r="CI450" i="5" s="1"/>
  <c r="AF298" i="5"/>
  <c r="AF267" i="5"/>
  <c r="AS394" i="5"/>
  <c r="AF394" i="5"/>
  <c r="AS345" i="5"/>
  <c r="AF345" i="5"/>
  <c r="AF413" i="5"/>
  <c r="AF372" i="5"/>
  <c r="AF340" i="5"/>
  <c r="AS271" i="5"/>
  <c r="AF271" i="5"/>
  <c r="AF370" i="5"/>
  <c r="AZ151" i="5"/>
  <c r="CI151" i="5" s="1"/>
  <c r="AF452" i="5"/>
  <c r="AF343" i="5"/>
  <c r="AF297" i="5"/>
  <c r="AF417" i="5"/>
  <c r="AF381" i="5"/>
  <c r="AF383" i="5"/>
  <c r="AF405" i="5"/>
  <c r="AS365" i="5"/>
  <c r="AF365" i="5"/>
  <c r="AS295" i="5"/>
  <c r="AS282" i="5"/>
  <c r="AF294" i="5"/>
  <c r="AF279" i="5"/>
  <c r="AF419" i="5"/>
  <c r="AF379" i="5"/>
  <c r="AF275" i="5"/>
  <c r="AS449" i="5"/>
  <c r="AF449" i="5"/>
  <c r="AF361" i="5"/>
  <c r="AF306" i="5"/>
  <c r="AF260" i="5"/>
  <c r="AS278" i="5"/>
  <c r="AF399" i="5"/>
  <c r="AF330" i="5"/>
  <c r="AF424" i="5"/>
  <c r="AS411" i="5"/>
  <c r="AF445" i="5"/>
  <c r="AS357" i="5"/>
  <c r="AF357" i="5"/>
  <c r="AF300" i="5"/>
  <c r="AS392" i="5"/>
  <c r="AF392" i="5"/>
  <c r="AF391" i="5"/>
  <c r="AF261" i="5"/>
  <c r="AF323" i="5"/>
  <c r="AS416" i="5"/>
  <c r="AF416" i="5"/>
  <c r="AF321" i="5"/>
  <c r="AF441" i="5"/>
  <c r="AF296" i="5"/>
  <c r="AZ96" i="5"/>
  <c r="CI96" i="5" s="1"/>
  <c r="AF307" i="5"/>
  <c r="AF402" i="5"/>
  <c r="AF351" i="5"/>
  <c r="AF322" i="5"/>
  <c r="AF317" i="5"/>
  <c r="AF437" i="5"/>
  <c r="AF398" i="5"/>
  <c r="AF350" i="5"/>
  <c r="AF386" i="5"/>
  <c r="AF320" i="5"/>
  <c r="AS422" i="5"/>
  <c r="AF397" i="5"/>
  <c r="AF269" i="5"/>
  <c r="AF291" i="5"/>
  <c r="AF315" i="5"/>
  <c r="AF313" i="5"/>
  <c r="AF263" i="5"/>
  <c r="AF433" i="5"/>
  <c r="AF346" i="5"/>
  <c r="AF377" i="5"/>
  <c r="AF431" i="5"/>
  <c r="AF382" i="5"/>
  <c r="AF316" i="5"/>
  <c r="AF285" i="5"/>
  <c r="AF339" i="5"/>
  <c r="S150" i="5"/>
  <c r="AF303" i="5"/>
  <c r="AF309" i="5"/>
  <c r="AS320" i="5"/>
  <c r="AF429" i="5"/>
  <c r="AS373" i="5"/>
  <c r="AF373" i="5"/>
  <c r="AF252" i="5"/>
  <c r="AF448" i="5"/>
  <c r="AF450" i="5"/>
  <c r="AS407" i="5"/>
  <c r="AF407" i="5"/>
  <c r="AF319" i="5"/>
  <c r="AF435" i="5"/>
  <c r="AF333" i="5"/>
  <c r="AS296" i="5"/>
  <c r="AS257" i="5"/>
  <c r="AS444" i="5"/>
  <c r="AF444" i="5"/>
  <c r="AF404" i="5"/>
  <c r="AF425" i="5"/>
  <c r="AF318" i="5"/>
  <c r="AF423" i="5"/>
  <c r="AF254" i="5"/>
  <c r="AF356" i="5"/>
  <c r="AF432" i="5"/>
  <c r="AF411" i="5"/>
  <c r="AF393" i="5"/>
  <c r="AG52" i="5"/>
  <c r="AF52" i="5"/>
  <c r="AG34" i="5"/>
  <c r="AF34" i="5"/>
  <c r="AF440" i="5"/>
  <c r="AF421" i="5"/>
  <c r="AF314" i="5"/>
  <c r="AF348" i="5"/>
  <c r="AF311" i="5"/>
  <c r="AZ150" i="5"/>
  <c r="CI150" i="5" s="1"/>
  <c r="AZ152" i="5"/>
  <c r="CI152" i="5" s="1"/>
  <c r="AF401" i="5"/>
  <c r="S312" i="5"/>
  <c r="AS349" i="5"/>
  <c r="AF349" i="5"/>
  <c r="AF310" i="5"/>
  <c r="AF344" i="5"/>
  <c r="AF284" i="5"/>
  <c r="AF308" i="5"/>
  <c r="AF408" i="5"/>
  <c r="AF388" i="5"/>
  <c r="AS100" i="5"/>
  <c r="AG35" i="5"/>
  <c r="AF35" i="5"/>
  <c r="AG43" i="5"/>
  <c r="AF43" i="5"/>
  <c r="AG45" i="5"/>
  <c r="AF45" i="5"/>
  <c r="AG27" i="5"/>
  <c r="AF27" i="5"/>
  <c r="AG44" i="5"/>
  <c r="AF44" i="5"/>
  <c r="AG26" i="5"/>
  <c r="AF26" i="5"/>
  <c r="AS99" i="5"/>
  <c r="AF272" i="5"/>
  <c r="AG42" i="5"/>
  <c r="AF42" i="5"/>
  <c r="AG24" i="5"/>
  <c r="AF24" i="5"/>
  <c r="AG96" i="5"/>
  <c r="AG46" i="5"/>
  <c r="AF46" i="5"/>
  <c r="AG28" i="5"/>
  <c r="AF28" i="5"/>
  <c r="AG29" i="5"/>
  <c r="AF29" i="5"/>
  <c r="AG37" i="5"/>
  <c r="AF37" i="5"/>
  <c r="S97" i="5"/>
  <c r="AF290" i="5"/>
  <c r="AG39" i="5"/>
  <c r="AF39" i="5"/>
  <c r="AG47" i="5"/>
  <c r="AF47" i="5"/>
  <c r="AG38" i="5"/>
  <c r="AF38" i="5"/>
  <c r="AF98" i="5"/>
  <c r="AG36" i="5"/>
  <c r="AF36" i="5"/>
  <c r="AG31" i="5"/>
  <c r="AF31" i="5"/>
  <c r="S488" i="5"/>
  <c r="AF352" i="5"/>
  <c r="AG40" i="5"/>
  <c r="AF40" i="5"/>
  <c r="AG23" i="5"/>
  <c r="AF23" i="5"/>
  <c r="S96" i="5"/>
  <c r="AG41" i="5"/>
  <c r="AF41" i="5"/>
  <c r="AS97" i="5"/>
  <c r="AF286" i="5"/>
  <c r="AG33" i="5"/>
  <c r="AF33" i="5"/>
  <c r="AG30" i="5"/>
  <c r="AF30" i="5"/>
  <c r="AG49" i="5"/>
  <c r="AF49" i="5"/>
  <c r="AG50" i="5"/>
  <c r="AF50" i="5"/>
  <c r="AG32" i="5"/>
  <c r="AF32" i="5"/>
  <c r="AF410" i="5"/>
  <c r="AG51" i="5"/>
  <c r="AF51" i="5"/>
  <c r="AG48" i="5"/>
  <c r="AF48" i="5"/>
  <c r="AG25" i="5"/>
  <c r="AF25" i="5"/>
  <c r="AJ109" i="5"/>
  <c r="AJ200" i="5"/>
  <c r="AJ219" i="5"/>
  <c r="AJ173" i="5"/>
  <c r="S151" i="5"/>
  <c r="S152" i="5"/>
  <c r="S153" i="5"/>
  <c r="S149" i="5"/>
  <c r="AS150" i="5"/>
  <c r="AT150" i="5" s="1"/>
  <c r="S476" i="5"/>
  <c r="S481" i="5"/>
  <c r="S496" i="5"/>
  <c r="S485" i="5"/>
  <c r="S483" i="5"/>
  <c r="S478" i="5"/>
  <c r="S477" i="5"/>
  <c r="S492" i="5"/>
  <c r="FV500" i="5"/>
  <c r="AS360" i="5"/>
  <c r="AS270" i="5"/>
  <c r="AS442" i="5"/>
  <c r="AS426" i="5"/>
  <c r="AS389" i="5"/>
  <c r="AS430" i="5"/>
  <c r="AS447" i="5"/>
  <c r="AS406" i="5"/>
  <c r="AS289" i="5"/>
  <c r="AS400" i="5"/>
  <c r="AS287" i="5"/>
  <c r="AS403" i="5"/>
  <c r="AS378" i="5"/>
  <c r="AS317" i="5"/>
  <c r="AS314" i="5"/>
  <c r="AS376" i="5"/>
  <c r="S386" i="5"/>
  <c r="S398" i="5"/>
  <c r="AS336" i="5"/>
  <c r="AS316" i="5"/>
  <c r="AS307" i="5"/>
  <c r="AZ451" i="5"/>
  <c r="CI451" i="5" s="1"/>
  <c r="AZ447" i="5"/>
  <c r="CI447" i="5" s="1"/>
  <c r="AZ435" i="5"/>
  <c r="CI435" i="5" s="1"/>
  <c r="AZ439" i="5"/>
  <c r="CI439" i="5" s="1"/>
  <c r="AZ443" i="5"/>
  <c r="CI443" i="5" s="1"/>
  <c r="AZ431" i="5"/>
  <c r="CI431" i="5" s="1"/>
  <c r="AZ427" i="5"/>
  <c r="CI427" i="5" s="1"/>
  <c r="AZ411" i="5"/>
  <c r="CI411" i="5" s="1"/>
  <c r="AZ415" i="5"/>
  <c r="CI415" i="5" s="1"/>
  <c r="AZ419" i="5"/>
  <c r="CI419" i="5" s="1"/>
  <c r="AZ423" i="5"/>
  <c r="CI423" i="5" s="1"/>
  <c r="AZ407" i="5"/>
  <c r="CI407" i="5" s="1"/>
  <c r="AZ399" i="5"/>
  <c r="CI399" i="5" s="1"/>
  <c r="AZ403" i="5"/>
  <c r="CI403" i="5" s="1"/>
  <c r="AZ391" i="5"/>
  <c r="CI391" i="5" s="1"/>
  <c r="AZ395" i="5"/>
  <c r="CI395" i="5" s="1"/>
  <c r="S394" i="5"/>
  <c r="S390" i="5"/>
  <c r="AZ383" i="5"/>
  <c r="CI383" i="5" s="1"/>
  <c r="AZ387" i="5"/>
  <c r="CI387" i="5" s="1"/>
  <c r="AZ379" i="5"/>
  <c r="CI379" i="5" s="1"/>
  <c r="AZ375" i="5"/>
  <c r="CI375" i="5" s="1"/>
  <c r="AZ371" i="5"/>
  <c r="CI371" i="5" s="1"/>
  <c r="AZ367" i="5"/>
  <c r="CI367" i="5" s="1"/>
  <c r="AZ363" i="5"/>
  <c r="CI363" i="5" s="1"/>
  <c r="AZ359" i="5"/>
  <c r="CI359" i="5" s="1"/>
  <c r="AZ326" i="5"/>
  <c r="CI326" i="5" s="1"/>
  <c r="AZ322" i="5"/>
  <c r="CI322" i="5" s="1"/>
  <c r="AZ318" i="5"/>
  <c r="CI318" i="5" s="1"/>
  <c r="AZ316" i="5"/>
  <c r="CI316" i="5" s="1"/>
  <c r="AZ315" i="5"/>
  <c r="CI315" i="5" s="1"/>
  <c r="AZ323" i="5"/>
  <c r="CI323" i="5" s="1"/>
  <c r="AZ319" i="5"/>
  <c r="CI319" i="5" s="1"/>
  <c r="AZ308" i="5"/>
  <c r="CI308" i="5" s="1"/>
  <c r="AZ312" i="5"/>
  <c r="CI312" i="5" s="1"/>
  <c r="AZ313" i="5"/>
  <c r="CI313" i="5" s="1"/>
  <c r="AZ311" i="5"/>
  <c r="CI311" i="5" s="1"/>
  <c r="AZ309" i="5"/>
  <c r="CI309" i="5" s="1"/>
  <c r="AZ304" i="5"/>
  <c r="CI304" i="5" s="1"/>
  <c r="AZ305" i="5"/>
  <c r="CI305" i="5" s="1"/>
  <c r="AZ303" i="5"/>
  <c r="CI303" i="5" s="1"/>
  <c r="AZ307" i="5"/>
  <c r="CI307" i="5" s="1"/>
  <c r="AZ292" i="5"/>
  <c r="CI292" i="5" s="1"/>
  <c r="AZ301" i="5"/>
  <c r="CI301" i="5" s="1"/>
  <c r="AZ291" i="5"/>
  <c r="CI291" i="5" s="1"/>
  <c r="AZ296" i="5"/>
  <c r="CI296" i="5" s="1"/>
  <c r="AZ297" i="5"/>
  <c r="CI297" i="5" s="1"/>
  <c r="AZ295" i="5"/>
  <c r="CI295" i="5" s="1"/>
  <c r="AZ300" i="5"/>
  <c r="CI300" i="5" s="1"/>
  <c r="AZ293" i="5"/>
  <c r="CI293" i="5" s="1"/>
  <c r="AZ299" i="5"/>
  <c r="CI299" i="5" s="1"/>
  <c r="AZ275" i="5"/>
  <c r="CI275" i="5" s="1"/>
  <c r="AZ280" i="5"/>
  <c r="CI280" i="5" s="1"/>
  <c r="AZ281" i="5"/>
  <c r="CI281" i="5" s="1"/>
  <c r="AZ279" i="5"/>
  <c r="CI279" i="5" s="1"/>
  <c r="AZ284" i="5"/>
  <c r="CI284" i="5" s="1"/>
  <c r="AZ277" i="5"/>
  <c r="CI277" i="5" s="1"/>
  <c r="AZ283" i="5"/>
  <c r="CI283" i="5" s="1"/>
  <c r="AZ288" i="5"/>
  <c r="CI288" i="5" s="1"/>
  <c r="AZ289" i="5"/>
  <c r="CI289" i="5" s="1"/>
  <c r="AZ273" i="5"/>
  <c r="CI273" i="5" s="1"/>
  <c r="AZ287" i="5"/>
  <c r="CI287" i="5" s="1"/>
  <c r="AZ276" i="5"/>
  <c r="CI276" i="5" s="1"/>
  <c r="AZ285" i="5"/>
  <c r="CI285" i="5" s="1"/>
  <c r="S448" i="5"/>
  <c r="S430" i="5"/>
  <c r="S439" i="5"/>
  <c r="S431" i="5"/>
  <c r="S423" i="5"/>
  <c r="S408" i="5"/>
  <c r="S406" i="5"/>
  <c r="S393" i="5"/>
  <c r="S385" i="5"/>
  <c r="S375" i="5"/>
  <c r="S370" i="5"/>
  <c r="S359" i="5"/>
  <c r="S355" i="5"/>
  <c r="S351" i="5"/>
  <c r="S343" i="5"/>
  <c r="S335" i="5"/>
  <c r="S329" i="5"/>
  <c r="S302" i="5"/>
  <c r="S295" i="5"/>
  <c r="S345" i="5"/>
  <c r="S453" i="5"/>
  <c r="S445" i="5"/>
  <c r="S429" i="5"/>
  <c r="S419" i="5"/>
  <c r="S404" i="5"/>
  <c r="S402" i="5"/>
  <c r="S379" i="5"/>
  <c r="S374" i="5"/>
  <c r="S363" i="5"/>
  <c r="S358" i="5"/>
  <c r="S350" i="5"/>
  <c r="S342" i="5"/>
  <c r="S332" i="5"/>
  <c r="S309" i="5"/>
  <c r="S307" i="5"/>
  <c r="S297" i="5"/>
  <c r="S282" i="5"/>
  <c r="S436" i="5"/>
  <c r="S416" i="5"/>
  <c r="S414" i="5"/>
  <c r="S400" i="5"/>
  <c r="S395" i="5"/>
  <c r="S387" i="5"/>
  <c r="S381" i="5"/>
  <c r="S368" i="5"/>
  <c r="S365" i="5"/>
  <c r="S333" i="5"/>
  <c r="S318" i="5"/>
  <c r="S316" i="5"/>
  <c r="S310" i="5"/>
  <c r="S286" i="5"/>
  <c r="S451" i="5"/>
  <c r="S443" i="5"/>
  <c r="S434" i="5"/>
  <c r="S426" i="5"/>
  <c r="S412" i="5"/>
  <c r="S410" i="5"/>
  <c r="S382" i="5"/>
  <c r="S371" i="5"/>
  <c r="S366" i="5"/>
  <c r="S352" i="5"/>
  <c r="S340" i="5"/>
  <c r="S336" i="5"/>
  <c r="S328" i="5"/>
  <c r="S326" i="5"/>
  <c r="S324" i="5"/>
  <c r="S322" i="5"/>
  <c r="S320" i="5"/>
  <c r="S314" i="5"/>
  <c r="S290" i="5"/>
  <c r="S450" i="5"/>
  <c r="S437" i="5"/>
  <c r="S401" i="5"/>
  <c r="S452" i="5"/>
  <c r="S444" i="5"/>
  <c r="S417" i="5"/>
  <c r="S440" i="5"/>
  <c r="S432" i="5"/>
  <c r="S424" i="5"/>
  <c r="S422" i="5"/>
  <c r="S407" i="5"/>
  <c r="S397" i="5"/>
  <c r="S389" i="5"/>
  <c r="S376" i="5"/>
  <c r="S373" i="5"/>
  <c r="S360" i="5"/>
  <c r="S357" i="5"/>
  <c r="S353" i="5"/>
  <c r="S349" i="5"/>
  <c r="S341" i="5"/>
  <c r="S334" i="5"/>
  <c r="S305" i="5"/>
  <c r="S303" i="5"/>
  <c r="S294" i="5"/>
  <c r="S413" i="5"/>
  <c r="S449" i="5"/>
  <c r="S438" i="5"/>
  <c r="S420" i="5"/>
  <c r="S418" i="5"/>
  <c r="S403" i="5"/>
  <c r="S380" i="5"/>
  <c r="S377" i="5"/>
  <c r="S364" i="5"/>
  <c r="S361" i="5"/>
  <c r="S354" i="5"/>
  <c r="S347" i="5"/>
  <c r="S339" i="5"/>
  <c r="S330" i="5"/>
  <c r="S306" i="5"/>
  <c r="S285" i="5"/>
  <c r="S283" i="5"/>
  <c r="S435" i="5"/>
  <c r="S415" i="5"/>
  <c r="S399" i="5"/>
  <c r="S391" i="5"/>
  <c r="S383" i="5"/>
  <c r="S378" i="5"/>
  <c r="S367" i="5"/>
  <c r="S362" i="5"/>
  <c r="S313" i="5"/>
  <c r="S311" i="5"/>
  <c r="S289" i="5"/>
  <c r="S287" i="5"/>
  <c r="S447" i="5"/>
  <c r="S442" i="5"/>
  <c r="S427" i="5"/>
  <c r="S411" i="5"/>
  <c r="S372" i="5"/>
  <c r="S369" i="5"/>
  <c r="S356" i="5"/>
  <c r="S348" i="5"/>
  <c r="S344" i="5"/>
  <c r="S331" i="5"/>
  <c r="S327" i="5"/>
  <c r="S315" i="5"/>
  <c r="S301" i="5"/>
  <c r="S299" i="5"/>
  <c r="S293" i="5"/>
  <c r="S291" i="5"/>
  <c r="S446" i="5"/>
  <c r="S428" i="5"/>
  <c r="S337" i="5"/>
  <c r="AZ272" i="5"/>
  <c r="CI272" i="5" s="1"/>
  <c r="AZ259" i="5"/>
  <c r="CI259" i="5" s="1"/>
  <c r="AZ260" i="5"/>
  <c r="CI260" i="5" s="1"/>
  <c r="AZ265" i="5"/>
  <c r="CI265" i="5" s="1"/>
  <c r="AZ263" i="5"/>
  <c r="CI263" i="5" s="1"/>
  <c r="AZ264" i="5"/>
  <c r="CI264" i="5" s="1"/>
  <c r="AZ261" i="5"/>
  <c r="CI261" i="5" s="1"/>
  <c r="AZ267" i="5"/>
  <c r="CI267" i="5" s="1"/>
  <c r="AZ268" i="5"/>
  <c r="CI268" i="5" s="1"/>
  <c r="AZ256" i="5"/>
  <c r="CI256" i="5" s="1"/>
  <c r="AZ257" i="5"/>
  <c r="CI257" i="5" s="1"/>
  <c r="AZ271" i="5"/>
  <c r="CI271" i="5" s="1"/>
  <c r="AZ255" i="5"/>
  <c r="CI255" i="5" s="1"/>
  <c r="AZ269" i="5"/>
  <c r="CI269" i="5" s="1"/>
  <c r="AZ253" i="5"/>
  <c r="CI253" i="5" s="1"/>
  <c r="S43" i="5"/>
  <c r="R27" i="5"/>
  <c r="EF27" i="5" s="1"/>
  <c r="EE27" i="5" s="1"/>
  <c r="EN27" i="5" s="1"/>
  <c r="R26" i="5"/>
  <c r="EF26" i="5" s="1"/>
  <c r="EE26" i="5" s="1"/>
  <c r="EN26" i="5" s="1"/>
  <c r="R23" i="5"/>
  <c r="EF23" i="5" s="1"/>
  <c r="EE23" i="5" s="1"/>
  <c r="EN23" i="5" s="1"/>
  <c r="R22" i="5"/>
  <c r="EF22" i="5" s="1"/>
  <c r="EE22" i="5" s="1"/>
  <c r="EG22" i="5" s="1"/>
  <c r="EJ22" i="5" s="1"/>
  <c r="EK22" i="5" s="1"/>
  <c r="AZ50" i="5"/>
  <c r="AZ25" i="5"/>
  <c r="AZ48" i="5"/>
  <c r="R34" i="5"/>
  <c r="EF34" i="5" s="1"/>
  <c r="EE34" i="5" s="1"/>
  <c r="EN34" i="5" s="1"/>
  <c r="R28" i="5"/>
  <c r="R51" i="5"/>
  <c r="EF51" i="5" s="1"/>
  <c r="EE51" i="5" s="1"/>
  <c r="AZ52" i="5"/>
  <c r="R33" i="5"/>
  <c r="EF33" i="5" s="1"/>
  <c r="EE33" i="5" s="1"/>
  <c r="S41" i="5"/>
  <c r="AZ49" i="5"/>
  <c r="S45" i="5"/>
  <c r="AZ33" i="5"/>
  <c r="R30" i="5"/>
  <c r="EF30" i="5" s="1"/>
  <c r="EE30" i="5" s="1"/>
  <c r="AZ29" i="5"/>
  <c r="AZ28" i="5"/>
  <c r="AZ27" i="5"/>
  <c r="AZ22" i="5"/>
  <c r="S37" i="5"/>
  <c r="AZ35" i="5"/>
  <c r="AZ31" i="5"/>
  <c r="AZ24" i="5"/>
  <c r="S21" i="5"/>
  <c r="S49" i="5"/>
  <c r="S29" i="5"/>
  <c r="AZ21" i="5"/>
  <c r="AZ26" i="5"/>
  <c r="AZ20" i="5"/>
  <c r="S48" i="5"/>
  <c r="AZ40" i="5"/>
  <c r="AZ38" i="5"/>
  <c r="AZ43" i="5"/>
  <c r="R36" i="5"/>
  <c r="EF36" i="5" s="1"/>
  <c r="EE36" i="5" s="1"/>
  <c r="AZ30" i="5"/>
  <c r="R24" i="5"/>
  <c r="EF24" i="5" s="1"/>
  <c r="EE24" i="5" s="1"/>
  <c r="AZ36" i="5"/>
  <c r="AZ47" i="5"/>
  <c r="AZ51" i="5"/>
  <c r="S35" i="5"/>
  <c r="AZ37" i="5"/>
  <c r="R31" i="5"/>
  <c r="EF31" i="5" s="1"/>
  <c r="EE31" i="5" s="1"/>
  <c r="AZ23" i="5"/>
  <c r="M134" i="5"/>
  <c r="Y119" i="5"/>
  <c r="E106" i="5"/>
  <c r="AV70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AF156" i="5"/>
  <c r="AG157" i="5"/>
  <c r="AG156" i="5"/>
  <c r="AF167" i="5"/>
  <c r="AH157" i="5"/>
  <c r="V210" i="5"/>
  <c r="V209" i="5"/>
  <c r="V208" i="5"/>
  <c r="V206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V167" i="5"/>
  <c r="V163" i="5"/>
  <c r="V247" i="5"/>
  <c r="V245" i="5"/>
  <c r="V244" i="5"/>
  <c r="V243" i="5"/>
  <c r="V242" i="5"/>
  <c r="V241" i="5"/>
  <c r="V240" i="5"/>
  <c r="V239" i="5"/>
  <c r="V238" i="5"/>
  <c r="V237" i="5"/>
  <c r="V236" i="5"/>
  <c r="V235" i="5"/>
  <c r="V231" i="5"/>
  <c r="V229" i="5"/>
  <c r="V228" i="5"/>
  <c r="V227" i="5"/>
  <c r="V225" i="5"/>
  <c r="V224" i="5"/>
  <c r="K227" i="5"/>
  <c r="N227" i="5" s="1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16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K218" i="5"/>
  <c r="N218" i="5" s="1"/>
  <c r="K219" i="5"/>
  <c r="N219" i="5" s="1"/>
  <c r="K220" i="5"/>
  <c r="N220" i="5" s="1"/>
  <c r="K221" i="5"/>
  <c r="N221" i="5" s="1"/>
  <c r="K222" i="5"/>
  <c r="N222" i="5" s="1"/>
  <c r="K223" i="5"/>
  <c r="N223" i="5" s="1"/>
  <c r="K224" i="5"/>
  <c r="N224" i="5" s="1"/>
  <c r="K225" i="5"/>
  <c r="N225" i="5" s="1"/>
  <c r="K226" i="5"/>
  <c r="N226" i="5" s="1"/>
  <c r="K228" i="5"/>
  <c r="N228" i="5" s="1"/>
  <c r="K229" i="5"/>
  <c r="N229" i="5" s="1"/>
  <c r="K230" i="5"/>
  <c r="N230" i="5" s="1"/>
  <c r="K231" i="5"/>
  <c r="N231" i="5" s="1"/>
  <c r="K232" i="5"/>
  <c r="N232" i="5" s="1"/>
  <c r="K233" i="5"/>
  <c r="N233" i="5" s="1"/>
  <c r="K234" i="5"/>
  <c r="N234" i="5" s="1"/>
  <c r="K235" i="5"/>
  <c r="N235" i="5" s="1"/>
  <c r="K236" i="5"/>
  <c r="N236" i="5" s="1"/>
  <c r="K237" i="5"/>
  <c r="N237" i="5" s="1"/>
  <c r="K238" i="5"/>
  <c r="N238" i="5" s="1"/>
  <c r="K239" i="5"/>
  <c r="N239" i="5" s="1"/>
  <c r="K240" i="5"/>
  <c r="N240" i="5" s="1"/>
  <c r="K241" i="5"/>
  <c r="N241" i="5" s="1"/>
  <c r="K242" i="5"/>
  <c r="N242" i="5" s="1"/>
  <c r="K243" i="5"/>
  <c r="N243" i="5" s="1"/>
  <c r="K244" i="5"/>
  <c r="N244" i="5" s="1"/>
  <c r="K245" i="5"/>
  <c r="N245" i="5" s="1"/>
  <c r="K246" i="5"/>
  <c r="N246" i="5" s="1"/>
  <c r="K247" i="5"/>
  <c r="N247" i="5" s="1"/>
  <c r="K216" i="5"/>
  <c r="N216" i="5" s="1"/>
  <c r="R236" i="5"/>
  <c r="EF236" i="5" s="1"/>
  <c r="EE236" i="5" s="1"/>
  <c r="V215" i="5"/>
  <c r="V214" i="5"/>
  <c r="V213" i="5"/>
  <c r="V212" i="5"/>
  <c r="V211" i="5"/>
  <c r="V207" i="5"/>
  <c r="V205" i="5"/>
  <c r="V204" i="5"/>
  <c r="V203" i="5"/>
  <c r="V202" i="5"/>
  <c r="V201" i="5"/>
  <c r="V200" i="5"/>
  <c r="V199" i="5"/>
  <c r="V198" i="5"/>
  <c r="V197" i="5"/>
  <c r="V196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83" i="5"/>
  <c r="K182" i="5"/>
  <c r="K181" i="5"/>
  <c r="K180" i="5"/>
  <c r="K179" i="5"/>
  <c r="K178" i="5"/>
  <c r="K177" i="5"/>
  <c r="K176" i="5"/>
  <c r="K175" i="5"/>
  <c r="K170" i="5"/>
  <c r="K171" i="5"/>
  <c r="K172" i="5"/>
  <c r="K173" i="5"/>
  <c r="K174" i="5"/>
  <c r="K169" i="5"/>
  <c r="J170" i="5"/>
  <c r="DS170" i="5" s="1"/>
  <c r="J171" i="5"/>
  <c r="DS171" i="5" s="1"/>
  <c r="J172" i="5"/>
  <c r="DS172" i="5" s="1"/>
  <c r="J173" i="5"/>
  <c r="DS173" i="5" s="1"/>
  <c r="J174" i="5"/>
  <c r="DS174" i="5" s="1"/>
  <c r="J175" i="5"/>
  <c r="DS175" i="5" s="1"/>
  <c r="J176" i="5"/>
  <c r="DS176" i="5" s="1"/>
  <c r="J177" i="5"/>
  <c r="DS177" i="5" s="1"/>
  <c r="J178" i="5"/>
  <c r="DS178" i="5" s="1"/>
  <c r="J179" i="5"/>
  <c r="DS179" i="5" s="1"/>
  <c r="J180" i="5"/>
  <c r="DS180" i="5" s="1"/>
  <c r="J181" i="5"/>
  <c r="DS181" i="5" s="1"/>
  <c r="J182" i="5"/>
  <c r="DS182" i="5" s="1"/>
  <c r="J183" i="5"/>
  <c r="DS183" i="5" s="1"/>
  <c r="J184" i="5"/>
  <c r="DS184" i="5" s="1"/>
  <c r="J185" i="5"/>
  <c r="DS185" i="5" s="1"/>
  <c r="J186" i="5"/>
  <c r="DS186" i="5" s="1"/>
  <c r="J187" i="5"/>
  <c r="DS187" i="5" s="1"/>
  <c r="J188" i="5"/>
  <c r="DS188" i="5" s="1"/>
  <c r="J189" i="5"/>
  <c r="DS189" i="5" s="1"/>
  <c r="J190" i="5"/>
  <c r="DS190" i="5" s="1"/>
  <c r="J191" i="5"/>
  <c r="DS191" i="5" s="1"/>
  <c r="J192" i="5"/>
  <c r="DS192" i="5" s="1"/>
  <c r="J193" i="5"/>
  <c r="DS193" i="5" s="1"/>
  <c r="J194" i="5"/>
  <c r="DS194" i="5" s="1"/>
  <c r="J195" i="5"/>
  <c r="DS195" i="5" s="1"/>
  <c r="J169" i="5"/>
  <c r="DS169" i="5" s="1"/>
  <c r="V195" i="5"/>
  <c r="V194" i="5"/>
  <c r="V193" i="5"/>
  <c r="V192" i="5"/>
  <c r="V191" i="5"/>
  <c r="V190" i="5"/>
  <c r="V189" i="5"/>
  <c r="V188" i="5"/>
  <c r="V187" i="5"/>
  <c r="V186" i="5"/>
  <c r="V185" i="5"/>
  <c r="V184" i="5"/>
  <c r="V183" i="5"/>
  <c r="V182" i="5"/>
  <c r="V181" i="5"/>
  <c r="V180" i="5"/>
  <c r="V179" i="5"/>
  <c r="V178" i="5"/>
  <c r="V177" i="5"/>
  <c r="V176" i="5"/>
  <c r="V175" i="5"/>
  <c r="V174" i="5"/>
  <c r="V173" i="5"/>
  <c r="V172" i="5"/>
  <c r="V171" i="5"/>
  <c r="V170" i="5"/>
  <c r="V169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I195" i="5"/>
  <c r="I193" i="5"/>
  <c r="I182" i="5"/>
  <c r="I180" i="5"/>
  <c r="I178" i="5"/>
  <c r="I176" i="5"/>
  <c r="I170" i="5"/>
  <c r="I171" i="5"/>
  <c r="I172" i="5"/>
  <c r="I173" i="5"/>
  <c r="I174" i="5"/>
  <c r="I175" i="5"/>
  <c r="I177" i="5"/>
  <c r="I179" i="5"/>
  <c r="I181" i="5"/>
  <c r="I183" i="5"/>
  <c r="I184" i="5"/>
  <c r="I185" i="5"/>
  <c r="I186" i="5"/>
  <c r="I187" i="5"/>
  <c r="I188" i="5"/>
  <c r="I189" i="5"/>
  <c r="I190" i="5"/>
  <c r="I191" i="5"/>
  <c r="I192" i="5"/>
  <c r="I194" i="5"/>
  <c r="I169" i="5"/>
  <c r="I211" i="5"/>
  <c r="I210" i="5"/>
  <c r="I203" i="5"/>
  <c r="I202" i="5"/>
  <c r="I197" i="5"/>
  <c r="I198" i="5"/>
  <c r="I199" i="5"/>
  <c r="I200" i="5"/>
  <c r="I201" i="5"/>
  <c r="I204" i="5"/>
  <c r="I205" i="5"/>
  <c r="I206" i="5"/>
  <c r="I207" i="5"/>
  <c r="I208" i="5"/>
  <c r="I209" i="5"/>
  <c r="I212" i="5"/>
  <c r="I213" i="5"/>
  <c r="I214" i="5"/>
  <c r="I215" i="5"/>
  <c r="I196" i="5"/>
  <c r="E215" i="5"/>
  <c r="E214" i="5"/>
  <c r="E207" i="5"/>
  <c r="E206" i="5"/>
  <c r="E197" i="5"/>
  <c r="E198" i="5"/>
  <c r="E199" i="5"/>
  <c r="E200" i="5"/>
  <c r="E201" i="5"/>
  <c r="E202" i="5"/>
  <c r="E203" i="5"/>
  <c r="E204" i="5"/>
  <c r="E205" i="5"/>
  <c r="E208" i="5"/>
  <c r="E209" i="5"/>
  <c r="E210" i="5"/>
  <c r="E211" i="5"/>
  <c r="E212" i="5"/>
  <c r="E213" i="5"/>
  <c r="E196" i="5"/>
  <c r="M125" i="5"/>
  <c r="M126" i="5"/>
  <c r="M127" i="5"/>
  <c r="M128" i="5"/>
  <c r="M129" i="5"/>
  <c r="M130" i="5"/>
  <c r="M131" i="5"/>
  <c r="M132" i="5"/>
  <c r="M133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24" i="5"/>
  <c r="I132" i="5"/>
  <c r="I131" i="5"/>
  <c r="I130" i="5"/>
  <c r="I129" i="5"/>
  <c r="I128" i="5"/>
  <c r="I125" i="5"/>
  <c r="I126" i="5"/>
  <c r="I127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24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AE248" i="5"/>
  <c r="AE249" i="5"/>
  <c r="AE250" i="5"/>
  <c r="AE251" i="5"/>
  <c r="V251" i="5"/>
  <c r="V250" i="5"/>
  <c r="V249" i="5"/>
  <c r="V248" i="5"/>
  <c r="K249" i="5"/>
  <c r="K250" i="5"/>
  <c r="K251" i="5"/>
  <c r="K248" i="5"/>
  <c r="I249" i="5"/>
  <c r="I250" i="5"/>
  <c r="I251" i="5"/>
  <c r="I248" i="5"/>
  <c r="AD166" i="5"/>
  <c r="AD167" i="5"/>
  <c r="AG158" i="5"/>
  <c r="AH158" i="5"/>
  <c r="AG159" i="5"/>
  <c r="AH159" i="5"/>
  <c r="AG160" i="5"/>
  <c r="AH160" i="5"/>
  <c r="AG161" i="5"/>
  <c r="AH161" i="5"/>
  <c r="AG162" i="5"/>
  <c r="AH162" i="5"/>
  <c r="AG163" i="5"/>
  <c r="AH163" i="5"/>
  <c r="AG164" i="5"/>
  <c r="AH164" i="5"/>
  <c r="AG165" i="5"/>
  <c r="AH165" i="5"/>
  <c r="AG166" i="5"/>
  <c r="AH166" i="5"/>
  <c r="AG167" i="5"/>
  <c r="AH167" i="5"/>
  <c r="AH156" i="5"/>
  <c r="AF157" i="5"/>
  <c r="AF158" i="5"/>
  <c r="AF159" i="5"/>
  <c r="AF160" i="5"/>
  <c r="AF161" i="5"/>
  <c r="AF162" i="5"/>
  <c r="AF163" i="5"/>
  <c r="AF164" i="5"/>
  <c r="AF165" i="5"/>
  <c r="AF166" i="5"/>
  <c r="I157" i="5"/>
  <c r="I158" i="5"/>
  <c r="I159" i="5"/>
  <c r="I160" i="5"/>
  <c r="I161" i="5"/>
  <c r="I162" i="5"/>
  <c r="I163" i="5"/>
  <c r="I164" i="5"/>
  <c r="I165" i="5"/>
  <c r="I166" i="5"/>
  <c r="I167" i="5"/>
  <c r="I156" i="5"/>
  <c r="V159" i="5"/>
  <c r="AA123" i="5"/>
  <c r="E123" i="5"/>
  <c r="E122" i="5"/>
  <c r="E121" i="5"/>
  <c r="E120" i="5"/>
  <c r="E119" i="5"/>
  <c r="E107" i="5"/>
  <c r="E108" i="5"/>
  <c r="E109" i="5"/>
  <c r="E110" i="5"/>
  <c r="E111" i="5"/>
  <c r="E112" i="5"/>
  <c r="E113" i="5"/>
  <c r="E114" i="5"/>
  <c r="E115" i="5"/>
  <c r="E116" i="5"/>
  <c r="E117" i="5"/>
  <c r="E105" i="5"/>
  <c r="K123" i="5"/>
  <c r="N123" i="5" s="1"/>
  <c r="K122" i="5"/>
  <c r="K121" i="5"/>
  <c r="K120" i="5"/>
  <c r="K119" i="5"/>
  <c r="K118" i="5"/>
  <c r="N118" i="5" s="1"/>
  <c r="K117" i="5"/>
  <c r="N117" i="5" s="1"/>
  <c r="K116" i="5"/>
  <c r="K115" i="5"/>
  <c r="N115" i="5" s="1"/>
  <c r="K114" i="5"/>
  <c r="K113" i="5"/>
  <c r="K111" i="5"/>
  <c r="K110" i="5"/>
  <c r="K109" i="5"/>
  <c r="K108" i="5"/>
  <c r="N108" i="5" s="1"/>
  <c r="K106" i="5"/>
  <c r="K105" i="5"/>
  <c r="I107" i="5"/>
  <c r="O107" i="5" s="1"/>
  <c r="I108" i="5"/>
  <c r="I111" i="5"/>
  <c r="I112" i="5"/>
  <c r="O112" i="5" s="1"/>
  <c r="I113" i="5"/>
  <c r="I114" i="5"/>
  <c r="I115" i="5"/>
  <c r="I116" i="5"/>
  <c r="I117" i="5"/>
  <c r="I118" i="5"/>
  <c r="I119" i="5"/>
  <c r="I120" i="5"/>
  <c r="I121" i="5"/>
  <c r="I122" i="5"/>
  <c r="I123" i="5"/>
  <c r="M106" i="5"/>
  <c r="O106" i="5" s="1"/>
  <c r="M107" i="5"/>
  <c r="M108" i="5"/>
  <c r="O108" i="5" s="1"/>
  <c r="M109" i="5"/>
  <c r="O109" i="5" s="1"/>
  <c r="M110" i="5"/>
  <c r="O110" i="5" s="1"/>
  <c r="M111" i="5"/>
  <c r="O111" i="5" s="1"/>
  <c r="M112" i="5"/>
  <c r="M113" i="5"/>
  <c r="O113" i="5" s="1"/>
  <c r="M114" i="5"/>
  <c r="O114" i="5" s="1"/>
  <c r="M115" i="5"/>
  <c r="O115" i="5" s="1"/>
  <c r="M116" i="5"/>
  <c r="O116" i="5" s="1"/>
  <c r="M117" i="5"/>
  <c r="O117" i="5" s="1"/>
  <c r="M118" i="5"/>
  <c r="O118" i="5" s="1"/>
  <c r="M119" i="5"/>
  <c r="O119" i="5" s="1"/>
  <c r="M120" i="5"/>
  <c r="O120" i="5" s="1"/>
  <c r="M121" i="5"/>
  <c r="O121" i="5" s="1"/>
  <c r="M122" i="5"/>
  <c r="O122" i="5" s="1"/>
  <c r="M123" i="5"/>
  <c r="O123" i="5" s="1"/>
  <c r="M105" i="5"/>
  <c r="O105" i="5" s="1"/>
  <c r="H123" i="5"/>
  <c r="DY123" i="5" s="1"/>
  <c r="H122" i="5"/>
  <c r="H121" i="5"/>
  <c r="H120" i="5"/>
  <c r="H119" i="5"/>
  <c r="H118" i="5"/>
  <c r="H117" i="5"/>
  <c r="H116" i="5"/>
  <c r="H115" i="5"/>
  <c r="H114" i="5"/>
  <c r="H113" i="5"/>
  <c r="H112" i="5"/>
  <c r="H111" i="5"/>
  <c r="H108" i="5"/>
  <c r="H107" i="5"/>
  <c r="H106" i="5"/>
  <c r="H109" i="5"/>
  <c r="H110" i="5"/>
  <c r="H105" i="5"/>
  <c r="R107" i="5"/>
  <c r="EF107" i="5" s="1"/>
  <c r="EE107" i="5" s="1"/>
  <c r="R108" i="5"/>
  <c r="EF108" i="5" s="1"/>
  <c r="EE108" i="5" s="1"/>
  <c r="R109" i="5"/>
  <c r="EF109" i="5" s="1"/>
  <c r="EE109" i="5" s="1"/>
  <c r="R110" i="5"/>
  <c r="EF110" i="5" s="1"/>
  <c r="EE110" i="5" s="1"/>
  <c r="R111" i="5"/>
  <c r="EF111" i="5" s="1"/>
  <c r="EE111" i="5" s="1"/>
  <c r="R112" i="5"/>
  <c r="EF112" i="5" s="1"/>
  <c r="EE112" i="5" s="1"/>
  <c r="R113" i="5"/>
  <c r="EF113" i="5" s="1"/>
  <c r="EE113" i="5" s="1"/>
  <c r="R114" i="5"/>
  <c r="EF114" i="5" s="1"/>
  <c r="EE114" i="5" s="1"/>
  <c r="R115" i="5"/>
  <c r="EF115" i="5" s="1"/>
  <c r="EE115" i="5" s="1"/>
  <c r="R116" i="5"/>
  <c r="EF116" i="5" s="1"/>
  <c r="EE116" i="5" s="1"/>
  <c r="R117" i="5"/>
  <c r="EF117" i="5" s="1"/>
  <c r="EE117" i="5" s="1"/>
  <c r="R118" i="5"/>
  <c r="EF118" i="5" s="1"/>
  <c r="EE118" i="5" s="1"/>
  <c r="R119" i="5"/>
  <c r="EF119" i="5" s="1"/>
  <c r="EE119" i="5" s="1"/>
  <c r="R120" i="5"/>
  <c r="EF120" i="5" s="1"/>
  <c r="EE120" i="5" s="1"/>
  <c r="R121" i="5"/>
  <c r="EF121" i="5" s="1"/>
  <c r="EE121" i="5" s="1"/>
  <c r="R122" i="5"/>
  <c r="EF122" i="5" s="1"/>
  <c r="EE122" i="5" s="1"/>
  <c r="R123" i="5"/>
  <c r="EF123" i="5" s="1"/>
  <c r="EE123" i="5" s="1"/>
  <c r="R106" i="5"/>
  <c r="EF106" i="5" s="1"/>
  <c r="EE106" i="5" s="1"/>
  <c r="R105" i="5"/>
  <c r="EF105" i="5" s="1"/>
  <c r="EE105" i="5" s="1"/>
  <c r="R94" i="5"/>
  <c r="EF94" i="5" s="1"/>
  <c r="EE94" i="5" s="1"/>
  <c r="M94" i="5"/>
  <c r="J94" i="5"/>
  <c r="DS94" i="5" s="1"/>
  <c r="H94" i="5"/>
  <c r="R93" i="5"/>
  <c r="EF93" i="5" s="1"/>
  <c r="EE93" i="5" s="1"/>
  <c r="M93" i="5"/>
  <c r="J93" i="5"/>
  <c r="DS93" i="5" s="1"/>
  <c r="H93" i="5"/>
  <c r="R92" i="5"/>
  <c r="EF92" i="5" s="1"/>
  <c r="EE92" i="5" s="1"/>
  <c r="M92" i="5"/>
  <c r="J92" i="5"/>
  <c r="DS92" i="5" s="1"/>
  <c r="H92" i="5"/>
  <c r="R91" i="5"/>
  <c r="EF91" i="5" s="1"/>
  <c r="EE91" i="5" s="1"/>
  <c r="M91" i="5"/>
  <c r="J91" i="5"/>
  <c r="DS91" i="5" s="1"/>
  <c r="H91" i="5"/>
  <c r="R90" i="5"/>
  <c r="EF90" i="5" s="1"/>
  <c r="EE90" i="5" s="1"/>
  <c r="M90" i="5"/>
  <c r="J90" i="5"/>
  <c r="DS90" i="5" s="1"/>
  <c r="H90" i="5"/>
  <c r="R89" i="5"/>
  <c r="EF89" i="5" s="1"/>
  <c r="EE89" i="5" s="1"/>
  <c r="M89" i="5"/>
  <c r="J89" i="5"/>
  <c r="DS89" i="5" s="1"/>
  <c r="H89" i="5"/>
  <c r="R88" i="5"/>
  <c r="EF88" i="5" s="1"/>
  <c r="EE88" i="5" s="1"/>
  <c r="M88" i="5"/>
  <c r="J88" i="5"/>
  <c r="DS88" i="5" s="1"/>
  <c r="H88" i="5"/>
  <c r="R79" i="5"/>
  <c r="EF79" i="5" s="1"/>
  <c r="EE79" i="5" s="1"/>
  <c r="M79" i="5"/>
  <c r="J79" i="5"/>
  <c r="DS79" i="5" s="1"/>
  <c r="H79" i="5"/>
  <c r="R78" i="5"/>
  <c r="EF78" i="5" s="1"/>
  <c r="EE78" i="5" s="1"/>
  <c r="M78" i="5"/>
  <c r="J78" i="5"/>
  <c r="DS78" i="5" s="1"/>
  <c r="H78" i="5"/>
  <c r="R77" i="5"/>
  <c r="EF77" i="5" s="1"/>
  <c r="EE77" i="5" s="1"/>
  <c r="M77" i="5"/>
  <c r="J77" i="5"/>
  <c r="DS77" i="5" s="1"/>
  <c r="H77" i="5"/>
  <c r="R76" i="5"/>
  <c r="EF76" i="5" s="1"/>
  <c r="EE76" i="5" s="1"/>
  <c r="M76" i="5"/>
  <c r="J76" i="5"/>
  <c r="DS76" i="5" s="1"/>
  <c r="H76" i="5"/>
  <c r="M69" i="5"/>
  <c r="J69" i="5"/>
  <c r="DS69" i="5" s="1"/>
  <c r="H69" i="5"/>
  <c r="M66" i="5"/>
  <c r="J66" i="5"/>
  <c r="DS66" i="5" s="1"/>
  <c r="H66" i="5"/>
  <c r="R69" i="5"/>
  <c r="EF69" i="5" s="1"/>
  <c r="EE69" i="5" s="1"/>
  <c r="R66" i="5"/>
  <c r="EF66" i="5" s="1"/>
  <c r="EE66" i="5" s="1"/>
  <c r="R62" i="5"/>
  <c r="EF62" i="5" s="1"/>
  <c r="EE62" i="5" s="1"/>
  <c r="M62" i="5"/>
  <c r="J62" i="5"/>
  <c r="DS62" i="5" s="1"/>
  <c r="H62" i="5"/>
  <c r="R60" i="5"/>
  <c r="EF60" i="5" s="1"/>
  <c r="EE60" i="5" s="1"/>
  <c r="M60" i="5"/>
  <c r="J60" i="5"/>
  <c r="DS60" i="5" s="1"/>
  <c r="H60" i="5"/>
  <c r="R54" i="5"/>
  <c r="EF54" i="5" s="1"/>
  <c r="EE54" i="5" s="1"/>
  <c r="R55" i="5"/>
  <c r="EF55" i="5" s="1"/>
  <c r="EE55" i="5" s="1"/>
  <c r="R56" i="5"/>
  <c r="EF56" i="5" s="1"/>
  <c r="EE56" i="5" s="1"/>
  <c r="R57" i="5"/>
  <c r="EF57" i="5" s="1"/>
  <c r="EE57" i="5" s="1"/>
  <c r="R58" i="5"/>
  <c r="EF58" i="5" s="1"/>
  <c r="EE58" i="5" s="1"/>
  <c r="R59" i="5"/>
  <c r="EF59" i="5" s="1"/>
  <c r="EE59" i="5" s="1"/>
  <c r="R61" i="5"/>
  <c r="EF61" i="5" s="1"/>
  <c r="EE61" i="5" s="1"/>
  <c r="R63" i="5"/>
  <c r="EF63" i="5" s="1"/>
  <c r="EE63" i="5" s="1"/>
  <c r="R64" i="5"/>
  <c r="EF64" i="5" s="1"/>
  <c r="EE64" i="5" s="1"/>
  <c r="R65" i="5"/>
  <c r="EF65" i="5" s="1"/>
  <c r="EE65" i="5" s="1"/>
  <c r="R67" i="5"/>
  <c r="EF67" i="5" s="1"/>
  <c r="EE67" i="5" s="1"/>
  <c r="R68" i="5"/>
  <c r="EF68" i="5" s="1"/>
  <c r="EE68" i="5" s="1"/>
  <c r="R70" i="5"/>
  <c r="EF70" i="5" s="1"/>
  <c r="EE70" i="5" s="1"/>
  <c r="R71" i="5"/>
  <c r="EF71" i="5" s="1"/>
  <c r="EE71" i="5" s="1"/>
  <c r="R72" i="5"/>
  <c r="EF72" i="5" s="1"/>
  <c r="EE72" i="5" s="1"/>
  <c r="R73" i="5"/>
  <c r="EF73" i="5" s="1"/>
  <c r="EE73" i="5" s="1"/>
  <c r="R74" i="5"/>
  <c r="EF74" i="5" s="1"/>
  <c r="EE74" i="5" s="1"/>
  <c r="R75" i="5"/>
  <c r="EF75" i="5" s="1"/>
  <c r="EE75" i="5" s="1"/>
  <c r="R80" i="5"/>
  <c r="EF80" i="5" s="1"/>
  <c r="EE80" i="5" s="1"/>
  <c r="R81" i="5"/>
  <c r="EF81" i="5" s="1"/>
  <c r="EE81" i="5" s="1"/>
  <c r="R82" i="5"/>
  <c r="EF82" i="5" s="1"/>
  <c r="EE82" i="5" s="1"/>
  <c r="R83" i="5"/>
  <c r="EF83" i="5" s="1"/>
  <c r="EE83" i="5" s="1"/>
  <c r="R84" i="5"/>
  <c r="EF84" i="5" s="1"/>
  <c r="EE84" i="5" s="1"/>
  <c r="R85" i="5"/>
  <c r="EF85" i="5" s="1"/>
  <c r="EE85" i="5" s="1"/>
  <c r="R86" i="5"/>
  <c r="EF86" i="5" s="1"/>
  <c r="EE86" i="5" s="1"/>
  <c r="R87" i="5"/>
  <c r="EF87" i="5" s="1"/>
  <c r="EE87" i="5" s="1"/>
  <c r="BH162" i="20" l="1"/>
  <c r="BD162" i="20" s="1"/>
  <c r="BE162" i="20" s="1"/>
  <c r="CQ309" i="20"/>
  <c r="DF57" i="20"/>
  <c r="BK423" i="20"/>
  <c r="CV423" i="20" s="1"/>
  <c r="FQ172" i="20"/>
  <c r="CJ338" i="20"/>
  <c r="CQ338" i="20" s="1"/>
  <c r="FO442" i="20"/>
  <c r="FO263" i="20"/>
  <c r="DC202" i="20"/>
  <c r="GG208" i="20"/>
  <c r="GI208" i="20" s="1"/>
  <c r="DA208" i="20" s="1"/>
  <c r="DI166" i="20"/>
  <c r="CJ241" i="20"/>
  <c r="CQ241" i="20" s="1"/>
  <c r="CS241" i="20" s="1"/>
  <c r="CX241" i="20" s="1"/>
  <c r="CJ344" i="20"/>
  <c r="CQ344" i="20" s="1"/>
  <c r="CS344" i="20" s="1"/>
  <c r="CX344" i="20" s="1"/>
  <c r="DK344" i="20" s="1"/>
  <c r="CJ345" i="20"/>
  <c r="CQ345" i="20" s="1"/>
  <c r="CS345" i="20" s="1"/>
  <c r="CX345" i="20" s="1"/>
  <c r="CQ304" i="20"/>
  <c r="BR193" i="20"/>
  <c r="BH193" i="20"/>
  <c r="FO381" i="20"/>
  <c r="FQ116" i="20"/>
  <c r="CJ365" i="20"/>
  <c r="CQ365" i="20" s="1"/>
  <c r="CS365" i="20" s="1"/>
  <c r="CX365" i="20" s="1"/>
  <c r="CJ261" i="20"/>
  <c r="BN358" i="20"/>
  <c r="CW358" i="20" s="1"/>
  <c r="BN378" i="20"/>
  <c r="CW378" i="20" s="1"/>
  <c r="CJ333" i="20"/>
  <c r="CQ333" i="20" s="1"/>
  <c r="BM247" i="20"/>
  <c r="BN247" i="20" s="1"/>
  <c r="CW247" i="20" s="1"/>
  <c r="CJ228" i="20"/>
  <c r="DC281" i="20"/>
  <c r="FO330" i="20"/>
  <c r="BK231" i="20"/>
  <c r="CV231" i="20" s="1"/>
  <c r="CQ301" i="20"/>
  <c r="CS301" i="20" s="1"/>
  <c r="CX301" i="20" s="1"/>
  <c r="CJ314" i="20"/>
  <c r="CJ445" i="20"/>
  <c r="CQ445" i="20" s="1"/>
  <c r="CS445" i="20" s="1"/>
  <c r="CX445" i="20" s="1"/>
  <c r="DK445" i="20" s="1"/>
  <c r="FO358" i="20"/>
  <c r="BU79" i="20"/>
  <c r="BW79" i="20" s="1"/>
  <c r="BX79" i="20" s="1"/>
  <c r="EQ79" i="20" s="1"/>
  <c r="DC189" i="20"/>
  <c r="CJ290" i="20"/>
  <c r="CQ290" i="20" s="1"/>
  <c r="CS290" i="20" s="1"/>
  <c r="CX290" i="20" s="1"/>
  <c r="FO228" i="20"/>
  <c r="CJ356" i="20"/>
  <c r="CQ193" i="20"/>
  <c r="CS193" i="20" s="1"/>
  <c r="CX193" i="20" s="1"/>
  <c r="FO428" i="20"/>
  <c r="FO208" i="20"/>
  <c r="DI418" i="20"/>
  <c r="CJ257" i="20"/>
  <c r="CQ257" i="20" s="1"/>
  <c r="CS257" i="20" s="1"/>
  <c r="CX257" i="20" s="1"/>
  <c r="DK257" i="20" s="1"/>
  <c r="FO288" i="20"/>
  <c r="FB166" i="20"/>
  <c r="FC166" i="20" s="1"/>
  <c r="FD166" i="20" s="1"/>
  <c r="FO282" i="20"/>
  <c r="CS202" i="20"/>
  <c r="CX202" i="20" s="1"/>
  <c r="DE202" i="20" s="1"/>
  <c r="BP176" i="20"/>
  <c r="FB212" i="20"/>
  <c r="FC212" i="20" s="1"/>
  <c r="FD212" i="20" s="1"/>
  <c r="BM177" i="20"/>
  <c r="BN177" i="20" s="1"/>
  <c r="CW177" i="20" s="1"/>
  <c r="GG177" i="20"/>
  <c r="GI177" i="20" s="1"/>
  <c r="DA177" i="20" s="1"/>
  <c r="DF177" i="20" s="1"/>
  <c r="CJ234" i="20"/>
  <c r="CQ234" i="20" s="1"/>
  <c r="CS234" i="20" s="1"/>
  <c r="CX234" i="20" s="1"/>
  <c r="DK234" i="20" s="1"/>
  <c r="CJ403" i="20"/>
  <c r="CQ403" i="20" s="1"/>
  <c r="CS403" i="20" s="1"/>
  <c r="CX403" i="20" s="1"/>
  <c r="FR403" i="20" s="1"/>
  <c r="CQ177" i="20"/>
  <c r="CS177" i="20" s="1"/>
  <c r="CX177" i="20" s="1"/>
  <c r="FR177" i="20" s="1"/>
  <c r="CJ258" i="20"/>
  <c r="EB240" i="20"/>
  <c r="BN447" i="20"/>
  <c r="CW447" i="20" s="1"/>
  <c r="CJ288" i="20"/>
  <c r="CQ288" i="20" s="1"/>
  <c r="CS288" i="20" s="1"/>
  <c r="CX288" i="20" s="1"/>
  <c r="DK288" i="20" s="1"/>
  <c r="CJ275" i="20"/>
  <c r="CQ275" i="20" s="1"/>
  <c r="CS275" i="20" s="1"/>
  <c r="CX275" i="20" s="1"/>
  <c r="DK275" i="20" s="1"/>
  <c r="BN202" i="20"/>
  <c r="CW202" i="20" s="1"/>
  <c r="CJ209" i="20"/>
  <c r="CQ209" i="20" s="1"/>
  <c r="BK364" i="20"/>
  <c r="CV364" i="20" s="1"/>
  <c r="DJ364" i="20" s="1"/>
  <c r="CJ408" i="20"/>
  <c r="CQ408" i="20" s="1"/>
  <c r="CS408" i="20" s="1"/>
  <c r="CX408" i="20" s="1"/>
  <c r="FR408" i="20" s="1"/>
  <c r="BN413" i="20"/>
  <c r="CW413" i="20" s="1"/>
  <c r="EO289" i="20"/>
  <c r="FO447" i="20"/>
  <c r="CJ394" i="20"/>
  <c r="CQ394" i="20" s="1"/>
  <c r="CS394" i="20" s="1"/>
  <c r="CX394" i="20" s="1"/>
  <c r="FR394" i="20" s="1"/>
  <c r="CJ316" i="20"/>
  <c r="CJ265" i="20"/>
  <c r="CQ265" i="20" s="1"/>
  <c r="CS265" i="20" s="1"/>
  <c r="CX265" i="20" s="1"/>
  <c r="CJ259" i="20"/>
  <c r="CJ282" i="20"/>
  <c r="CQ282" i="20" s="1"/>
  <c r="CS282" i="20" s="1"/>
  <c r="CX282" i="20" s="1"/>
  <c r="DK282" i="20" s="1"/>
  <c r="CJ292" i="20"/>
  <c r="CQ292" i="20" s="1"/>
  <c r="AY297" i="20"/>
  <c r="AZ297" i="20" s="1"/>
  <c r="CJ390" i="20"/>
  <c r="CQ390" i="20" s="1"/>
  <c r="CS390" i="20" s="1"/>
  <c r="CX390" i="20" s="1"/>
  <c r="DK390" i="20" s="1"/>
  <c r="CJ286" i="20"/>
  <c r="CQ286" i="20" s="1"/>
  <c r="CS286" i="20" s="1"/>
  <c r="CX286" i="20" s="1"/>
  <c r="FR286" i="20" s="1"/>
  <c r="CJ329" i="20"/>
  <c r="FO364" i="20"/>
  <c r="CJ274" i="20"/>
  <c r="CQ274" i="20" s="1"/>
  <c r="CS274" i="20" s="1"/>
  <c r="CX274" i="20" s="1"/>
  <c r="DK274" i="20" s="1"/>
  <c r="CJ278" i="20"/>
  <c r="CQ278" i="20" s="1"/>
  <c r="CS278" i="20" s="1"/>
  <c r="CX278" i="20" s="1"/>
  <c r="FR278" i="20" s="1"/>
  <c r="CJ327" i="20"/>
  <c r="CQ327" i="20" s="1"/>
  <c r="CS327" i="20" s="1"/>
  <c r="CX327" i="20" s="1"/>
  <c r="CJ319" i="20"/>
  <c r="CQ319" i="20" s="1"/>
  <c r="CS319" i="20" s="1"/>
  <c r="CX319" i="20" s="1"/>
  <c r="FR319" i="20" s="1"/>
  <c r="EG435" i="20"/>
  <c r="EP435" i="20" s="1"/>
  <c r="T435" i="20"/>
  <c r="EG421" i="20"/>
  <c r="T421" i="20"/>
  <c r="CJ418" i="20"/>
  <c r="CQ418" i="20" s="1"/>
  <c r="CS418" i="20" s="1"/>
  <c r="CX418" i="20" s="1"/>
  <c r="FR418" i="20" s="1"/>
  <c r="EG452" i="20"/>
  <c r="EP452" i="20" s="1"/>
  <c r="DU452" i="20" s="1"/>
  <c r="EL452" i="20" s="1"/>
  <c r="CZ452" i="20" s="1"/>
  <c r="DH452" i="20" s="1"/>
  <c r="T452" i="20"/>
  <c r="EG429" i="20"/>
  <c r="T429" i="20"/>
  <c r="BK413" i="20"/>
  <c r="CV413" i="20" s="1"/>
  <c r="FP413" i="20" s="1"/>
  <c r="EG432" i="20"/>
  <c r="EP432" i="20" s="1"/>
  <c r="DU432" i="20" s="1"/>
  <c r="T432" i="20"/>
  <c r="EG430" i="20"/>
  <c r="EP430" i="20" s="1"/>
  <c r="DU430" i="20" s="1"/>
  <c r="EL430" i="20" s="1"/>
  <c r="CZ430" i="20" s="1"/>
  <c r="T430" i="20"/>
  <c r="EG456" i="20"/>
  <c r="EP456" i="20" s="1"/>
  <c r="DU456" i="20" s="1"/>
  <c r="EL456" i="20" s="1"/>
  <c r="CZ456" i="20" s="1"/>
  <c r="CJ294" i="20"/>
  <c r="CQ294" i="20" s="1"/>
  <c r="CS294" i="20" s="1"/>
  <c r="CX294" i="20" s="1"/>
  <c r="BN178" i="20"/>
  <c r="CW178" i="20" s="1"/>
  <c r="BN377" i="20"/>
  <c r="CW377" i="20" s="1"/>
  <c r="BN255" i="20"/>
  <c r="CW255" i="20" s="1"/>
  <c r="BN330" i="20"/>
  <c r="CW330" i="20" s="1"/>
  <c r="CJ347" i="20"/>
  <c r="CQ347" i="20" s="1"/>
  <c r="CS347" i="20" s="1"/>
  <c r="CX347" i="20" s="1"/>
  <c r="DK347" i="20" s="1"/>
  <c r="FA193" i="20"/>
  <c r="CS178" i="20"/>
  <c r="CX178" i="20" s="1"/>
  <c r="DE178" i="20" s="1"/>
  <c r="BT92" i="20"/>
  <c r="BV92" i="20" s="1"/>
  <c r="FB427" i="20"/>
  <c r="FC427" i="20" s="1"/>
  <c r="FD427" i="20" s="1"/>
  <c r="DI146" i="20"/>
  <c r="FO345" i="20"/>
  <c r="BK553" i="20"/>
  <c r="CV553" i="20" s="1"/>
  <c r="DD553" i="20" s="1"/>
  <c r="DE551" i="20"/>
  <c r="FR551" i="20"/>
  <c r="BN189" i="20"/>
  <c r="CW189" i="20" s="1"/>
  <c r="BR556" i="20"/>
  <c r="BC558" i="20"/>
  <c r="CQ557" i="20"/>
  <c r="CS557" i="20" s="1"/>
  <c r="CX557" i="20" s="1"/>
  <c r="FR557" i="20" s="1"/>
  <c r="FA553" i="20"/>
  <c r="FE553" i="20" s="1"/>
  <c r="DU553" i="20"/>
  <c r="DW553" i="20" s="1"/>
  <c r="BC556" i="20"/>
  <c r="FR556" i="20"/>
  <c r="DE556" i="20"/>
  <c r="BK165" i="20"/>
  <c r="CV165" i="20" s="1"/>
  <c r="EU498" i="20"/>
  <c r="EX498" i="20" s="1"/>
  <c r="EY498" i="20" s="1"/>
  <c r="DV498" i="20" s="1"/>
  <c r="FO427" i="20"/>
  <c r="BK184" i="20"/>
  <c r="CV184" i="20" s="1"/>
  <c r="DJ184" i="20" s="1"/>
  <c r="BN280" i="20"/>
  <c r="CW280" i="20" s="1"/>
  <c r="BP315" i="20"/>
  <c r="CQ165" i="20"/>
  <c r="CS165" i="20" s="1"/>
  <c r="CX165" i="20" s="1"/>
  <c r="DE165" i="20" s="1"/>
  <c r="CL247" i="20"/>
  <c r="CM247" i="20" s="1"/>
  <c r="CJ187" i="20"/>
  <c r="BN365" i="20"/>
  <c r="CW365" i="20" s="1"/>
  <c r="GG247" i="20"/>
  <c r="GI247" i="20" s="1"/>
  <c r="DA247" i="20" s="1"/>
  <c r="DF247" i="20" s="1"/>
  <c r="BK320" i="20"/>
  <c r="CV320" i="20" s="1"/>
  <c r="FP320" i="20" s="1"/>
  <c r="GG263" i="20"/>
  <c r="GI263" i="20" s="1"/>
  <c r="DA263" i="20" s="1"/>
  <c r="DF263" i="20" s="1"/>
  <c r="GG271" i="20"/>
  <c r="GI271" i="20" s="1"/>
  <c r="DA271" i="20" s="1"/>
  <c r="DF271" i="20" s="1"/>
  <c r="BM263" i="20"/>
  <c r="BN263" i="20" s="1"/>
  <c r="CW263" i="20" s="1"/>
  <c r="CL263" i="20"/>
  <c r="CM263" i="20" s="1"/>
  <c r="FO306" i="20"/>
  <c r="GG165" i="20"/>
  <c r="GI165" i="20" s="1"/>
  <c r="DA165" i="20" s="1"/>
  <c r="DF165" i="20" s="1"/>
  <c r="DF55" i="20"/>
  <c r="BK286" i="20"/>
  <c r="CV286" i="20" s="1"/>
  <c r="FP286" i="20" s="1"/>
  <c r="BM165" i="20"/>
  <c r="BN165" i="20" s="1"/>
  <c r="CW165" i="20" s="1"/>
  <c r="FO351" i="20"/>
  <c r="EP370" i="20"/>
  <c r="DU370" i="20" s="1"/>
  <c r="FO271" i="20"/>
  <c r="FO286" i="20"/>
  <c r="CM351" i="20"/>
  <c r="CS338" i="20"/>
  <c r="CX338" i="20" s="1"/>
  <c r="DK338" i="20" s="1"/>
  <c r="BK338" i="20"/>
  <c r="CV338" i="20" s="1"/>
  <c r="DJ338" i="20" s="1"/>
  <c r="DL140" i="20"/>
  <c r="CL271" i="20"/>
  <c r="CM271" i="20" s="1"/>
  <c r="EO320" i="20"/>
  <c r="CJ211" i="20"/>
  <c r="CQ211" i="20" s="1"/>
  <c r="CS211" i="20" s="1"/>
  <c r="CX211" i="20" s="1"/>
  <c r="BN297" i="20"/>
  <c r="CW297" i="20" s="1"/>
  <c r="GG174" i="20"/>
  <c r="GI174" i="20" s="1"/>
  <c r="DA174" i="20" s="1"/>
  <c r="FQ174" i="20" s="1"/>
  <c r="CQ174" i="20"/>
  <c r="CS174" i="20" s="1"/>
  <c r="CX174" i="20" s="1"/>
  <c r="FR174" i="20" s="1"/>
  <c r="CL213" i="20"/>
  <c r="CM213" i="20" s="1"/>
  <c r="FB155" i="20"/>
  <c r="FC155" i="20" s="1"/>
  <c r="FD155" i="20" s="1"/>
  <c r="CS297" i="20"/>
  <c r="CX297" i="20" s="1"/>
  <c r="DE297" i="20" s="1"/>
  <c r="FQ327" i="20"/>
  <c r="FQ217" i="20"/>
  <c r="GG213" i="20"/>
  <c r="GI213" i="20" s="1"/>
  <c r="DA213" i="20" s="1"/>
  <c r="FQ213" i="20" s="1"/>
  <c r="BM271" i="20"/>
  <c r="BN271" i="20" s="1"/>
  <c r="CW271" i="20" s="1"/>
  <c r="FA155" i="20"/>
  <c r="BH284" i="20"/>
  <c r="BK284" i="20" s="1"/>
  <c r="CV284" i="20" s="1"/>
  <c r="BM174" i="20"/>
  <c r="BN174" i="20" s="1"/>
  <c r="CW174" i="20" s="1"/>
  <c r="CK228" i="20"/>
  <c r="BM228" i="20"/>
  <c r="BN228" i="20" s="1"/>
  <c r="CW228" i="20" s="1"/>
  <c r="CL228" i="20"/>
  <c r="BM213" i="20"/>
  <c r="BN213" i="20" s="1"/>
  <c r="CW213" i="20" s="1"/>
  <c r="BM208" i="20"/>
  <c r="BN208" i="20" s="1"/>
  <c r="CW208" i="20" s="1"/>
  <c r="CL208" i="20"/>
  <c r="CM208" i="20" s="1"/>
  <c r="CQ554" i="20"/>
  <c r="CS554" i="20" s="1"/>
  <c r="CX554" i="20" s="1"/>
  <c r="DE554" i="20" s="1"/>
  <c r="CQ553" i="20"/>
  <c r="CS553" i="20" s="1"/>
  <c r="CX553" i="20" s="1"/>
  <c r="DE553" i="20" s="1"/>
  <c r="FO297" i="20"/>
  <c r="EC472" i="20"/>
  <c r="EU472" i="20" s="1"/>
  <c r="EX472" i="20" s="1"/>
  <c r="EY472" i="20" s="1"/>
  <c r="DY551" i="20"/>
  <c r="DZ551" i="20" s="1"/>
  <c r="EU501" i="20"/>
  <c r="EX501" i="20" s="1"/>
  <c r="EY501" i="20" s="1"/>
  <c r="CJ415" i="20"/>
  <c r="CQ415" i="20" s="1"/>
  <c r="CS415" i="20" s="1"/>
  <c r="CX415" i="20" s="1"/>
  <c r="DE415" i="20" s="1"/>
  <c r="EB372" i="20"/>
  <c r="DC446" i="20"/>
  <c r="FO444" i="20"/>
  <c r="CQ552" i="20"/>
  <c r="CS552" i="20" s="1"/>
  <c r="CX552" i="20" s="1"/>
  <c r="DE552" i="20" s="1"/>
  <c r="FA552" i="20"/>
  <c r="FE552" i="20" s="1"/>
  <c r="FF552" i="20" s="1"/>
  <c r="FA551" i="20"/>
  <c r="FE551" i="20" s="1"/>
  <c r="FF551" i="20" s="1"/>
  <c r="FE550" i="20"/>
  <c r="FF550" i="20" s="1"/>
  <c r="BP550" i="20"/>
  <c r="BR550" i="20" s="1"/>
  <c r="BQ209" i="20"/>
  <c r="CQ555" i="20"/>
  <c r="CS555" i="20" s="1"/>
  <c r="CX555" i="20" s="1"/>
  <c r="DE555" i="20" s="1"/>
  <c r="BR555" i="20"/>
  <c r="EB364" i="20"/>
  <c r="BH445" i="20"/>
  <c r="BK445" i="20" s="1"/>
  <c r="CV445" i="20" s="1"/>
  <c r="BP445" i="20"/>
  <c r="BR445" i="20" s="1"/>
  <c r="BQ232" i="20"/>
  <c r="BR232" i="20" s="1"/>
  <c r="BQ261" i="20"/>
  <c r="BR261" i="20" s="1"/>
  <c r="CJ264" i="20"/>
  <c r="CQ264" i="20" s="1"/>
  <c r="CS264" i="20" s="1"/>
  <c r="CX264" i="20" s="1"/>
  <c r="BK342" i="20"/>
  <c r="CV342" i="20" s="1"/>
  <c r="FP342" i="20" s="1"/>
  <c r="FI384" i="21"/>
  <c r="DD384" i="21"/>
  <c r="EW167" i="21"/>
  <c r="BO116" i="21"/>
  <c r="BO149" i="21"/>
  <c r="BJ234" i="21"/>
  <c r="AZ422" i="21"/>
  <c r="BH239" i="21"/>
  <c r="BJ239" i="21" s="1"/>
  <c r="BH220" i="21"/>
  <c r="BJ220" i="21" s="1"/>
  <c r="EG433" i="21"/>
  <c r="ET183" i="21"/>
  <c r="EU183" i="21"/>
  <c r="EV183" i="21" s="1"/>
  <c r="AZ297" i="21"/>
  <c r="BC297" i="21" s="1"/>
  <c r="CN297" i="21" s="1"/>
  <c r="BO26" i="21"/>
  <c r="EU30" i="21"/>
  <c r="EV30" i="21" s="1"/>
  <c r="CB254" i="21"/>
  <c r="CI254" i="21" s="1"/>
  <c r="CK254" i="21" s="1"/>
  <c r="CP254" i="21" s="1"/>
  <c r="EH99" i="21"/>
  <c r="DM99" i="21" s="1"/>
  <c r="FH268" i="21"/>
  <c r="EH445" i="21"/>
  <c r="CB435" i="21"/>
  <c r="CI435" i="21" s="1"/>
  <c r="CK435" i="21" s="1"/>
  <c r="CP435" i="21" s="1"/>
  <c r="CB347" i="21"/>
  <c r="CI347" i="21" s="1"/>
  <c r="CK347" i="21" s="1"/>
  <c r="CP347" i="21" s="1"/>
  <c r="DD265" i="21"/>
  <c r="EH346" i="21"/>
  <c r="BJ372" i="21"/>
  <c r="BI268" i="21"/>
  <c r="BJ268" i="21" s="1"/>
  <c r="DT268" i="21"/>
  <c r="BC130" i="21"/>
  <c r="CN130" i="21" s="1"/>
  <c r="EU169" i="21"/>
  <c r="EV169" i="21" s="1"/>
  <c r="ET35" i="21"/>
  <c r="EU35" i="21" s="1"/>
  <c r="EV35" i="21" s="1"/>
  <c r="AZ285" i="21"/>
  <c r="BJ373" i="21"/>
  <c r="CB352" i="21"/>
  <c r="CI352" i="21" s="1"/>
  <c r="CK352" i="21" s="1"/>
  <c r="CP352" i="21" s="1"/>
  <c r="AZ373" i="21"/>
  <c r="FG144" i="21"/>
  <c r="DA144" i="21"/>
  <c r="ET60" i="21"/>
  <c r="EU60" i="21" s="1"/>
  <c r="EV60" i="21" s="1"/>
  <c r="EY60" i="21"/>
  <c r="EZ60" i="21" s="1"/>
  <c r="CB96" i="21"/>
  <c r="CI96" i="21" s="1"/>
  <c r="CK96" i="21" s="1"/>
  <c r="CP96" i="21" s="1"/>
  <c r="EZ32" i="21"/>
  <c r="BO21" i="21"/>
  <c r="CB431" i="21"/>
  <c r="CI431" i="21" s="1"/>
  <c r="CK431" i="21" s="1"/>
  <c r="CP431" i="21" s="1"/>
  <c r="EH311" i="21"/>
  <c r="CB255" i="21"/>
  <c r="CI255" i="21" s="1"/>
  <c r="CK255" i="21" s="1"/>
  <c r="CP255" i="21" s="1"/>
  <c r="CK40" i="21"/>
  <c r="EH266" i="21"/>
  <c r="BJ381" i="21"/>
  <c r="BH157" i="21"/>
  <c r="CK38" i="21"/>
  <c r="AZ391" i="21"/>
  <c r="AZ365" i="21"/>
  <c r="EG259" i="21"/>
  <c r="AZ155" i="21"/>
  <c r="EY144" i="21"/>
  <c r="EZ144" i="21" s="1"/>
  <c r="BI233" i="21"/>
  <c r="DT233" i="21"/>
  <c r="CB376" i="21"/>
  <c r="CI376" i="21" s="1"/>
  <c r="CK376" i="21" s="1"/>
  <c r="CP376" i="21" s="1"/>
  <c r="CK422" i="21"/>
  <c r="CP422" i="21" s="1"/>
  <c r="ET28" i="21"/>
  <c r="EU28" i="21" s="1"/>
  <c r="EV28" i="21" s="1"/>
  <c r="BH315" i="21"/>
  <c r="BH334" i="21"/>
  <c r="FI429" i="21"/>
  <c r="EY75" i="21"/>
  <c r="EZ75" i="21" s="1"/>
  <c r="FJ56" i="21"/>
  <c r="CW56" i="21"/>
  <c r="CK242" i="21"/>
  <c r="AZ432" i="21"/>
  <c r="EG423" i="21"/>
  <c r="CB104" i="21"/>
  <c r="CI104" i="21" s="1"/>
  <c r="CK104" i="21" s="1"/>
  <c r="DB166" i="21"/>
  <c r="CB393" i="21"/>
  <c r="CI393" i="21" s="1"/>
  <c r="FJ135" i="21"/>
  <c r="BH177" i="21"/>
  <c r="BJ177" i="21" s="1"/>
  <c r="ET360" i="21"/>
  <c r="EU360" i="21" s="1"/>
  <c r="EV360" i="21" s="1"/>
  <c r="AZ355" i="21"/>
  <c r="CB292" i="21"/>
  <c r="CI292" i="21" s="1"/>
  <c r="DY199" i="21"/>
  <c r="EH199" i="21" s="1"/>
  <c r="DM199" i="21" s="1"/>
  <c r="ED199" i="21" s="1"/>
  <c r="CR199" i="21" s="1"/>
  <c r="CZ199" i="21" s="1"/>
  <c r="BZ199" i="21"/>
  <c r="CB199" i="21" s="1"/>
  <c r="CI199" i="21" s="1"/>
  <c r="CK199" i="21" s="1"/>
  <c r="CP199" i="21" s="1"/>
  <c r="BI234" i="21"/>
  <c r="DT234" i="21"/>
  <c r="BH170" i="21"/>
  <c r="AZ170" i="21"/>
  <c r="BC170" i="21" s="1"/>
  <c r="CN170" i="21" s="1"/>
  <c r="CB320" i="21"/>
  <c r="CI320" i="21" s="1"/>
  <c r="ER161" i="21"/>
  <c r="BP20" i="21"/>
  <c r="EI20" i="21" s="1"/>
  <c r="CB379" i="21"/>
  <c r="CI379" i="21" s="1"/>
  <c r="CK379" i="21" s="1"/>
  <c r="CP379" i="21" s="1"/>
  <c r="CB63" i="21"/>
  <c r="CI63" i="21" s="1"/>
  <c r="CK63" i="21" s="1"/>
  <c r="CB64" i="21"/>
  <c r="CI64" i="21" s="1"/>
  <c r="CK64" i="21" s="1"/>
  <c r="CP64" i="21" s="1"/>
  <c r="BJ338" i="21"/>
  <c r="CK436" i="21"/>
  <c r="CP436" i="21" s="1"/>
  <c r="CB426" i="21"/>
  <c r="CI426" i="21" s="1"/>
  <c r="CK426" i="21" s="1"/>
  <c r="CP426" i="21" s="1"/>
  <c r="CK402" i="21"/>
  <c r="CP402" i="21" s="1"/>
  <c r="AZ301" i="21"/>
  <c r="FG199" i="21"/>
  <c r="CU199" i="21"/>
  <c r="CK224" i="21"/>
  <c r="CP224" i="21" s="1"/>
  <c r="FJ93" i="21"/>
  <c r="CW93" i="21"/>
  <c r="BI335" i="21"/>
  <c r="DT335" i="21"/>
  <c r="BF225" i="21"/>
  <c r="CO225" i="21" s="1"/>
  <c r="CK225" i="21"/>
  <c r="CP225" i="21" s="1"/>
  <c r="CK179" i="21"/>
  <c r="CP179" i="21" s="1"/>
  <c r="BJ422" i="21"/>
  <c r="AZ393" i="21"/>
  <c r="ET199" i="21"/>
  <c r="EU199" i="21"/>
  <c r="EV199" i="21" s="1"/>
  <c r="DY210" i="21"/>
  <c r="EH210" i="21" s="1"/>
  <c r="DM210" i="21" s="1"/>
  <c r="BZ210" i="21"/>
  <c r="CB210" i="21" s="1"/>
  <c r="CI210" i="21" s="1"/>
  <c r="CK210" i="21" s="1"/>
  <c r="CP210" i="21" s="1"/>
  <c r="BH321" i="21"/>
  <c r="BO23" i="21"/>
  <c r="BP23" i="21" s="1"/>
  <c r="EI23" i="21" s="1"/>
  <c r="EU116" i="21"/>
  <c r="EV116" i="21" s="1"/>
  <c r="ET66" i="21"/>
  <c r="EU66" i="21" s="1"/>
  <c r="EV66" i="21" s="1"/>
  <c r="CK237" i="21"/>
  <c r="CP237" i="21" s="1"/>
  <c r="BJ430" i="21"/>
  <c r="BJ153" i="21"/>
  <c r="BJ290" i="21"/>
  <c r="CK222" i="21"/>
  <c r="EU297" i="21"/>
  <c r="EV297" i="21" s="1"/>
  <c r="CK228" i="21"/>
  <c r="BH377" i="21"/>
  <c r="BH419" i="21"/>
  <c r="DY203" i="21"/>
  <c r="EH203" i="21" s="1"/>
  <c r="DM203" i="21" s="1"/>
  <c r="BZ203" i="21"/>
  <c r="CB203" i="21" s="1"/>
  <c r="CI203" i="21" s="1"/>
  <c r="CK203" i="21" s="1"/>
  <c r="CP203" i="21" s="1"/>
  <c r="FG210" i="21"/>
  <c r="CU210" i="21"/>
  <c r="BO79" i="21"/>
  <c r="BP79" i="21" s="1"/>
  <c r="EI79" i="21" s="1"/>
  <c r="CB72" i="21"/>
  <c r="CI72" i="21" s="1"/>
  <c r="CK72" i="21" s="1"/>
  <c r="CP72" i="21" s="1"/>
  <c r="CK338" i="21"/>
  <c r="CP338" i="21" s="1"/>
  <c r="CB437" i="21"/>
  <c r="CI437" i="21" s="1"/>
  <c r="CK437" i="21" s="1"/>
  <c r="CP437" i="21" s="1"/>
  <c r="BH174" i="21"/>
  <c r="BJ174" i="21" s="1"/>
  <c r="AZ353" i="21"/>
  <c r="BH187" i="21"/>
  <c r="BJ187" i="21" s="1"/>
  <c r="BH442" i="21"/>
  <c r="AZ344" i="21"/>
  <c r="BI256" i="21"/>
  <c r="BJ256" i="21" s="1"/>
  <c r="DT256" i="21"/>
  <c r="FI134" i="21"/>
  <c r="CX134" i="21"/>
  <c r="ET56" i="21"/>
  <c r="EU56" i="21" s="1"/>
  <c r="EV56" i="21" s="1"/>
  <c r="EY56" i="21"/>
  <c r="EZ56" i="21" s="1"/>
  <c r="CB61" i="21"/>
  <c r="CI61" i="21" s="1"/>
  <c r="CK61" i="21" s="1"/>
  <c r="CP61" i="21" s="1"/>
  <c r="CB207" i="21"/>
  <c r="CI207" i="21" s="1"/>
  <c r="CK207" i="21" s="1"/>
  <c r="CP207" i="21" s="1"/>
  <c r="AZ254" i="21"/>
  <c r="CB380" i="21"/>
  <c r="CI380" i="21" s="1"/>
  <c r="CI382" i="21"/>
  <c r="EH437" i="21"/>
  <c r="DA142" i="21"/>
  <c r="FG142" i="21"/>
  <c r="CB258" i="21"/>
  <c r="CI258" i="21" s="1"/>
  <c r="CK258" i="21" s="1"/>
  <c r="CP258" i="21" s="1"/>
  <c r="EZ128" i="21"/>
  <c r="CB387" i="21"/>
  <c r="CI387" i="21" s="1"/>
  <c r="CK387" i="21" s="1"/>
  <c r="CP387" i="21" s="1"/>
  <c r="BO69" i="21"/>
  <c r="CK150" i="21"/>
  <c r="CP150" i="21" s="1"/>
  <c r="CB411" i="21"/>
  <c r="CI411" i="21" s="1"/>
  <c r="CK411" i="21" s="1"/>
  <c r="CP411" i="21" s="1"/>
  <c r="CB266" i="21"/>
  <c r="CI266" i="21" s="1"/>
  <c r="CK266" i="21" s="1"/>
  <c r="CP266" i="21" s="1"/>
  <c r="CB312" i="21"/>
  <c r="CI312" i="21" s="1"/>
  <c r="CK312" i="21" s="1"/>
  <c r="CP312" i="21" s="1"/>
  <c r="BO30" i="21"/>
  <c r="CB289" i="21"/>
  <c r="CI289" i="21" s="1"/>
  <c r="CK289" i="21" s="1"/>
  <c r="CP289" i="21" s="1"/>
  <c r="CW289" i="21" s="1"/>
  <c r="BH179" i="21"/>
  <c r="BJ179" i="21" s="1"/>
  <c r="CV81" i="21"/>
  <c r="FH81" i="21"/>
  <c r="BH216" i="21"/>
  <c r="EG279" i="21"/>
  <c r="CB284" i="21"/>
  <c r="CI284" i="21" s="1"/>
  <c r="CK284" i="21" s="1"/>
  <c r="CP284" i="21" s="1"/>
  <c r="EH354" i="21"/>
  <c r="CS6" i="21"/>
  <c r="CS7" i="21" s="1"/>
  <c r="EG371" i="21"/>
  <c r="BH441" i="21"/>
  <c r="CU171" i="21"/>
  <c r="FG171" i="21"/>
  <c r="EU225" i="21"/>
  <c r="EV225" i="21" s="1"/>
  <c r="ET225" i="21"/>
  <c r="CB90" i="21"/>
  <c r="CI90" i="21" s="1"/>
  <c r="CK90" i="21" s="1"/>
  <c r="CP90" i="21" s="1"/>
  <c r="DC90" i="21" s="1"/>
  <c r="BJ355" i="21"/>
  <c r="CB392" i="21"/>
  <c r="CI392" i="21" s="1"/>
  <c r="CK392" i="21" s="1"/>
  <c r="CP392" i="21" s="1"/>
  <c r="BH255" i="21"/>
  <c r="ET426" i="21"/>
  <c r="EU426" i="21"/>
  <c r="EV426" i="21" s="1"/>
  <c r="AZ193" i="21"/>
  <c r="BJ321" i="21"/>
  <c r="AZ311" i="21"/>
  <c r="AZ249" i="21"/>
  <c r="BC249" i="21" s="1"/>
  <c r="CN249" i="21" s="1"/>
  <c r="BZ201" i="21"/>
  <c r="CB201" i="21" s="1"/>
  <c r="CI201" i="21" s="1"/>
  <c r="CK201" i="21" s="1"/>
  <c r="CP201" i="21" s="1"/>
  <c r="BI426" i="21"/>
  <c r="DT426" i="21"/>
  <c r="DT385" i="21"/>
  <c r="BI385" i="21"/>
  <c r="BJ385" i="21" s="1"/>
  <c r="BI428" i="21"/>
  <c r="DT428" i="21"/>
  <c r="AV164" i="21"/>
  <c r="AW164" i="21" s="1"/>
  <c r="BC164" i="21"/>
  <c r="EZ131" i="21"/>
  <c r="EG296" i="21"/>
  <c r="CK357" i="21"/>
  <c r="CP357" i="21" s="1"/>
  <c r="FJ357" i="21" s="1"/>
  <c r="DQ38" i="21"/>
  <c r="CK361" i="21"/>
  <c r="CP361" i="21" s="1"/>
  <c r="CK236" i="21"/>
  <c r="CP236" i="21" s="1"/>
  <c r="DC236" i="21" s="1"/>
  <c r="EH342" i="21"/>
  <c r="EH449" i="21"/>
  <c r="AZ354" i="21"/>
  <c r="BH346" i="21"/>
  <c r="BI221" i="21"/>
  <c r="BJ221" i="21" s="1"/>
  <c r="DT221" i="21"/>
  <c r="BJ255" i="21"/>
  <c r="CK354" i="21"/>
  <c r="CP354" i="21" s="1"/>
  <c r="CB418" i="21"/>
  <c r="CI418" i="21" s="1"/>
  <c r="CK418" i="21" s="1"/>
  <c r="CP418" i="21" s="1"/>
  <c r="FJ418" i="21" s="1"/>
  <c r="AZ154" i="21"/>
  <c r="FJ323" i="21"/>
  <c r="FJ180" i="21"/>
  <c r="EG444" i="21"/>
  <c r="EH444" i="21"/>
  <c r="DM444" i="21" s="1"/>
  <c r="DY194" i="21"/>
  <c r="EH194" i="21" s="1"/>
  <c r="DM194" i="21" s="1"/>
  <c r="BZ194" i="21"/>
  <c r="CB194" i="21" s="1"/>
  <c r="CI194" i="21" s="1"/>
  <c r="CK194" i="21" s="1"/>
  <c r="CP194" i="21" s="1"/>
  <c r="BO35" i="21"/>
  <c r="CB365" i="21"/>
  <c r="CI365" i="21" s="1"/>
  <c r="CK365" i="21" s="1"/>
  <c r="CP365" i="21" s="1"/>
  <c r="BO49" i="21"/>
  <c r="CB384" i="21"/>
  <c r="CI384" i="21" s="1"/>
  <c r="CK384" i="21" s="1"/>
  <c r="CP384" i="21" s="1"/>
  <c r="CK36" i="21"/>
  <c r="CB414" i="21"/>
  <c r="CI414" i="21" s="1"/>
  <c r="CK414" i="21" s="1"/>
  <c r="CP414" i="21" s="1"/>
  <c r="CB318" i="21"/>
  <c r="CI318" i="21" s="1"/>
  <c r="BO25" i="21"/>
  <c r="AZ379" i="21"/>
  <c r="CK446" i="21"/>
  <c r="CP446" i="21" s="1"/>
  <c r="AZ416" i="21"/>
  <c r="CU134" i="21"/>
  <c r="FG134" i="21"/>
  <c r="DT237" i="21"/>
  <c r="BI237" i="21"/>
  <c r="BJ237" i="21" s="1"/>
  <c r="CU194" i="21"/>
  <c r="FG194" i="21"/>
  <c r="BH372" i="21"/>
  <c r="CK273" i="21"/>
  <c r="CP273" i="21" s="1"/>
  <c r="BJ181" i="21"/>
  <c r="CK148" i="21"/>
  <c r="CP148" i="21" s="1"/>
  <c r="BH246" i="21"/>
  <c r="BJ246" i="21" s="1"/>
  <c r="CK248" i="21"/>
  <c r="CP248" i="21" s="1"/>
  <c r="CK413" i="21"/>
  <c r="CP413" i="21" s="1"/>
  <c r="AY321" i="21"/>
  <c r="AZ321" i="21" s="1"/>
  <c r="AZ160" i="21"/>
  <c r="BP149" i="21"/>
  <c r="EI149" i="21" s="1"/>
  <c r="EH149" i="21" s="1"/>
  <c r="DM149" i="21" s="1"/>
  <c r="DA141" i="21"/>
  <c r="FG141" i="21"/>
  <c r="CB340" i="21"/>
  <c r="CI340" i="21" s="1"/>
  <c r="EG365" i="21"/>
  <c r="BO126" i="21"/>
  <c r="AZ236" i="21"/>
  <c r="EH421" i="21"/>
  <c r="BI334" i="21"/>
  <c r="DT334" i="21"/>
  <c r="CU123" i="21"/>
  <c r="FG123" i="21"/>
  <c r="FG241" i="21"/>
  <c r="CU241" i="21"/>
  <c r="BZ204" i="21"/>
  <c r="CB204" i="21" s="1"/>
  <c r="CI204" i="21" s="1"/>
  <c r="CK204" i="21" s="1"/>
  <c r="CP204" i="21" s="1"/>
  <c r="CB394" i="21"/>
  <c r="CI394" i="21" s="1"/>
  <c r="CK394" i="21" s="1"/>
  <c r="CP394" i="21" s="1"/>
  <c r="EY30" i="21"/>
  <c r="EZ30" i="21" s="1"/>
  <c r="ET171" i="21"/>
  <c r="EU171" i="21" s="1"/>
  <c r="EV171" i="21" s="1"/>
  <c r="AZ272" i="21"/>
  <c r="BJ442" i="21"/>
  <c r="CB373" i="21"/>
  <c r="CI373" i="21" s="1"/>
  <c r="CK373" i="21" s="1"/>
  <c r="CP373" i="21" s="1"/>
  <c r="BJ419" i="21"/>
  <c r="CB322" i="21"/>
  <c r="CI322" i="21" s="1"/>
  <c r="CK322" i="21" s="1"/>
  <c r="CP322" i="21" s="1"/>
  <c r="CK447" i="21"/>
  <c r="CP447" i="21" s="1"/>
  <c r="DY193" i="21"/>
  <c r="EH193" i="21" s="1"/>
  <c r="DM193" i="21" s="1"/>
  <c r="BZ193" i="21"/>
  <c r="CB193" i="21" s="1"/>
  <c r="CI193" i="21" s="1"/>
  <c r="CK193" i="21" s="1"/>
  <c r="CP193" i="21" s="1"/>
  <c r="DQ42" i="21"/>
  <c r="CK218" i="21"/>
  <c r="CO13" i="21"/>
  <c r="BJ233" i="21"/>
  <c r="CB321" i="21"/>
  <c r="CI321" i="21" s="1"/>
  <c r="CK321" i="21" s="1"/>
  <c r="CP321" i="21" s="1"/>
  <c r="CB288" i="21"/>
  <c r="CI288" i="21" s="1"/>
  <c r="CK288" i="21" s="1"/>
  <c r="CP288" i="21" s="1"/>
  <c r="BO39" i="21"/>
  <c r="CB449" i="21"/>
  <c r="CI449" i="21" s="1"/>
  <c r="EG424" i="21"/>
  <c r="EH424" i="21"/>
  <c r="DM424" i="21" s="1"/>
  <c r="BI320" i="21"/>
  <c r="BJ320" i="21" s="1"/>
  <c r="DT320" i="21"/>
  <c r="EY141" i="21"/>
  <c r="EZ141" i="21"/>
  <c r="FG193" i="21"/>
  <c r="CU193" i="21"/>
  <c r="AZ421" i="21"/>
  <c r="BC421" i="21" s="1"/>
  <c r="CN421" i="21" s="1"/>
  <c r="BN309" i="20"/>
  <c r="CW309" i="20" s="1"/>
  <c r="DC299" i="20"/>
  <c r="BQ251" i="20"/>
  <c r="BP167" i="20"/>
  <c r="BR167" i="20" s="1"/>
  <c r="BN262" i="20"/>
  <c r="CW262" i="20" s="1"/>
  <c r="EB264" i="20"/>
  <c r="FO274" i="20"/>
  <c r="CQ197" i="20"/>
  <c r="CS197" i="20" s="1"/>
  <c r="CX197" i="20" s="1"/>
  <c r="BU90" i="20"/>
  <c r="BW90" i="20" s="1"/>
  <c r="BX90" i="20" s="1"/>
  <c r="EQ90" i="20" s="1"/>
  <c r="CQ221" i="20"/>
  <c r="CS221" i="20" s="1"/>
  <c r="BQ375" i="20"/>
  <c r="BR375" i="20" s="1"/>
  <c r="FQ178" i="20"/>
  <c r="DF228" i="20"/>
  <c r="BU55" i="20"/>
  <c r="BW55" i="20" s="1"/>
  <c r="BX55" i="20" s="1"/>
  <c r="EQ55" i="20" s="1"/>
  <c r="EB369" i="20"/>
  <c r="BK550" i="20"/>
  <c r="CV550" i="20" s="1"/>
  <c r="BD550" i="20"/>
  <c r="BE550" i="20" s="1"/>
  <c r="DE550" i="20"/>
  <c r="FR550" i="20"/>
  <c r="BD556" i="20"/>
  <c r="BE556" i="20" s="1"/>
  <c r="BK556" i="20"/>
  <c r="CV556" i="20" s="1"/>
  <c r="FR555" i="20"/>
  <c r="EZ555" i="20"/>
  <c r="DU555" i="20"/>
  <c r="FA555" i="20"/>
  <c r="DD554" i="20"/>
  <c r="FP554" i="20"/>
  <c r="FA558" i="20"/>
  <c r="EZ558" i="20"/>
  <c r="DU558" i="20"/>
  <c r="EZ557" i="20"/>
  <c r="DU557" i="20"/>
  <c r="FA557" i="20"/>
  <c r="FP551" i="20"/>
  <c r="DD551" i="20"/>
  <c r="FP553" i="20"/>
  <c r="FQ552" i="20"/>
  <c r="DF552" i="20"/>
  <c r="FP552" i="20"/>
  <c r="DD552" i="20"/>
  <c r="DF557" i="20"/>
  <c r="FQ557" i="20"/>
  <c r="FA554" i="20"/>
  <c r="EZ554" i="20"/>
  <c r="DU554" i="20"/>
  <c r="DJ558" i="20"/>
  <c r="FP558" i="20"/>
  <c r="FP557" i="20"/>
  <c r="DD557" i="20"/>
  <c r="EL550" i="20"/>
  <c r="CZ550" i="20" s="1"/>
  <c r="DX550" i="20"/>
  <c r="DW550" i="20"/>
  <c r="FT551" i="20"/>
  <c r="DH551" i="20"/>
  <c r="FE556" i="20"/>
  <c r="FF556" i="20" s="1"/>
  <c r="EL556" i="20"/>
  <c r="CZ556" i="20" s="1"/>
  <c r="DX556" i="20"/>
  <c r="DW556" i="20"/>
  <c r="FR558" i="20"/>
  <c r="DK558" i="20"/>
  <c r="FQ554" i="20"/>
  <c r="DF554" i="20"/>
  <c r="DF555" i="20"/>
  <c r="FQ555" i="20"/>
  <c r="BK555" i="20"/>
  <c r="CV555" i="20" s="1"/>
  <c r="BD555" i="20"/>
  <c r="BE555" i="20" s="1"/>
  <c r="EL552" i="20"/>
  <c r="CZ552" i="20" s="1"/>
  <c r="DX552" i="20"/>
  <c r="DW552" i="20"/>
  <c r="DL444" i="20"/>
  <c r="DL238" i="20"/>
  <c r="CJ198" i="20"/>
  <c r="CQ198" i="20" s="1"/>
  <c r="CS198" i="20" s="1"/>
  <c r="CX198" i="20" s="1"/>
  <c r="CJ289" i="20"/>
  <c r="BR312" i="20"/>
  <c r="BW152" i="20"/>
  <c r="BX152" i="20" s="1"/>
  <c r="EQ152" i="20" s="1"/>
  <c r="EP152" i="20" s="1"/>
  <c r="DU152" i="20" s="1"/>
  <c r="BQ198" i="20"/>
  <c r="FB154" i="20"/>
  <c r="FC154" i="20" s="1"/>
  <c r="FD154" i="20" s="1"/>
  <c r="BW148" i="20"/>
  <c r="BX148" i="20" s="1"/>
  <c r="EQ148" i="20" s="1"/>
  <c r="EP148" i="20" s="1"/>
  <c r="DU148" i="20" s="1"/>
  <c r="DC102" i="20"/>
  <c r="BH444" i="20"/>
  <c r="BK444" i="20" s="1"/>
  <c r="CV444" i="20" s="1"/>
  <c r="CJ326" i="20"/>
  <c r="CQ326" i="20" s="1"/>
  <c r="CS326" i="20" s="1"/>
  <c r="CX326" i="20" s="1"/>
  <c r="FR326" i="20" s="1"/>
  <c r="BP444" i="20"/>
  <c r="BR444" i="20" s="1"/>
  <c r="BN357" i="20"/>
  <c r="CW357" i="20" s="1"/>
  <c r="CJ406" i="20"/>
  <c r="CQ406" i="20" s="1"/>
  <c r="CS406" i="20" s="1"/>
  <c r="CX406" i="20" s="1"/>
  <c r="DE406" i="20" s="1"/>
  <c r="BR500" i="20"/>
  <c r="EP417" i="20"/>
  <c r="DU417" i="20" s="1"/>
  <c r="EL417" i="20" s="1"/>
  <c r="CZ417" i="20" s="1"/>
  <c r="EU487" i="20"/>
  <c r="EX487" i="20" s="1"/>
  <c r="EY487" i="20" s="1"/>
  <c r="DC341" i="20"/>
  <c r="EP238" i="20"/>
  <c r="DU238" i="20" s="1"/>
  <c r="EL238" i="20" s="1"/>
  <c r="CZ238" i="20" s="1"/>
  <c r="BP339" i="20"/>
  <c r="BR339" i="20" s="1"/>
  <c r="BQ316" i="20"/>
  <c r="BQ204" i="20"/>
  <c r="EB358" i="20"/>
  <c r="EB357" i="20"/>
  <c r="FO403" i="20"/>
  <c r="FR167" i="20"/>
  <c r="BT95" i="20"/>
  <c r="BV95" i="20" s="1"/>
  <c r="BP432" i="20"/>
  <c r="BR211" i="20"/>
  <c r="DL274" i="20"/>
  <c r="EZ497" i="20"/>
  <c r="BT105" i="20"/>
  <c r="BV105" i="20" s="1"/>
  <c r="FA497" i="20"/>
  <c r="FO171" i="20"/>
  <c r="BQ407" i="20"/>
  <c r="FO186" i="20"/>
  <c r="FQ338" i="20"/>
  <c r="EB342" i="20"/>
  <c r="EB309" i="20"/>
  <c r="EP55" i="20"/>
  <c r="CJ359" i="20"/>
  <c r="CQ359" i="20" s="1"/>
  <c r="CS359" i="20" s="1"/>
  <c r="CX359" i="20" s="1"/>
  <c r="DK359" i="20" s="1"/>
  <c r="EB437" i="20"/>
  <c r="BN241" i="20"/>
  <c r="CW241" i="20" s="1"/>
  <c r="EU486" i="20"/>
  <c r="EX486" i="20" s="1"/>
  <c r="EY486" i="20" s="1"/>
  <c r="DV486" i="20" s="1"/>
  <c r="FG32" i="20"/>
  <c r="FH32" i="20" s="1"/>
  <c r="BN221" i="20"/>
  <c r="CS310" i="20"/>
  <c r="CX310" i="20" s="1"/>
  <c r="FR310" i="20" s="1"/>
  <c r="BR497" i="20"/>
  <c r="BN430" i="20"/>
  <c r="CW430" i="20" s="1"/>
  <c r="BP202" i="20"/>
  <c r="EP258" i="20"/>
  <c r="DU258" i="20" s="1"/>
  <c r="EL258" i="20" s="1"/>
  <c r="CZ258" i="20" s="1"/>
  <c r="BK149" i="20"/>
  <c r="CV149" i="20" s="1"/>
  <c r="DJ149" i="20" s="1"/>
  <c r="BP418" i="20"/>
  <c r="BR418" i="20" s="1"/>
  <c r="BH298" i="20"/>
  <c r="BK298" i="20" s="1"/>
  <c r="CV298" i="20" s="1"/>
  <c r="DI400" i="20"/>
  <c r="EB472" i="20"/>
  <c r="BN230" i="20"/>
  <c r="CW230" i="20" s="1"/>
  <c r="EO234" i="20"/>
  <c r="CJ238" i="20"/>
  <c r="CQ238" i="20" s="1"/>
  <c r="CS238" i="20" s="1"/>
  <c r="CX238" i="20" s="1"/>
  <c r="FR238" i="20" s="1"/>
  <c r="BH418" i="20"/>
  <c r="BK418" i="20" s="1"/>
  <c r="CV418" i="20" s="1"/>
  <c r="EB207" i="20"/>
  <c r="EB409" i="20"/>
  <c r="BQ230" i="20"/>
  <c r="BH455" i="20"/>
  <c r="BK455" i="20" s="1"/>
  <c r="CV455" i="20" s="1"/>
  <c r="BR481" i="20"/>
  <c r="EB285" i="20"/>
  <c r="CS47" i="20"/>
  <c r="DI253" i="20"/>
  <c r="BQ256" i="20"/>
  <c r="CJ335" i="20"/>
  <c r="EP212" i="20"/>
  <c r="DU212" i="20" s="1"/>
  <c r="EL212" i="20" s="1"/>
  <c r="CZ212" i="20" s="1"/>
  <c r="FQ346" i="20"/>
  <c r="BQ389" i="20"/>
  <c r="BR236" i="20"/>
  <c r="DF61" i="20"/>
  <c r="FQ362" i="20"/>
  <c r="BN256" i="20"/>
  <c r="CW256" i="20" s="1"/>
  <c r="CJ55" i="20"/>
  <c r="CQ55" i="20" s="1"/>
  <c r="CS55" i="20" s="1"/>
  <c r="CX55" i="20" s="1"/>
  <c r="BP190" i="20"/>
  <c r="DC254" i="20"/>
  <c r="EO444" i="20"/>
  <c r="FQ288" i="20"/>
  <c r="BP179" i="20"/>
  <c r="CQ154" i="20"/>
  <c r="CS154" i="20" s="1"/>
  <c r="BQ258" i="20"/>
  <c r="BR483" i="20"/>
  <c r="BR387" i="20"/>
  <c r="DF75" i="20"/>
  <c r="DI311" i="20"/>
  <c r="DL167" i="20"/>
  <c r="CQ261" i="20"/>
  <c r="CS261" i="20" s="1"/>
  <c r="CX261" i="20" s="1"/>
  <c r="DE261" i="20" s="1"/>
  <c r="BQ371" i="20"/>
  <c r="BR371" i="20" s="1"/>
  <c r="BK300" i="20"/>
  <c r="CV300" i="20" s="1"/>
  <c r="DD300" i="20" s="1"/>
  <c r="EB366" i="20"/>
  <c r="FQ86" i="20"/>
  <c r="BK496" i="20"/>
  <c r="BW151" i="20"/>
  <c r="BX151" i="20" s="1"/>
  <c r="EQ151" i="20" s="1"/>
  <c r="EP151" i="20" s="1"/>
  <c r="DU151" i="20" s="1"/>
  <c r="CS206" i="20"/>
  <c r="CX206" i="20" s="1"/>
  <c r="FR206" i="20" s="1"/>
  <c r="BH105" i="20"/>
  <c r="BK105" i="20" s="1"/>
  <c r="CQ81" i="20"/>
  <c r="CS81" i="20" s="1"/>
  <c r="CX81" i="20" s="1"/>
  <c r="DE81" i="20" s="1"/>
  <c r="DC133" i="20"/>
  <c r="BW143" i="20"/>
  <c r="BX143" i="20" s="1"/>
  <c r="EQ143" i="20" s="1"/>
  <c r="EP143" i="20" s="1"/>
  <c r="DU143" i="20" s="1"/>
  <c r="DI188" i="20"/>
  <c r="EO313" i="20"/>
  <c r="BQ370" i="20"/>
  <c r="CH430" i="20"/>
  <c r="CJ430" i="20" s="1"/>
  <c r="CQ430" i="20" s="1"/>
  <c r="CS430" i="20" s="1"/>
  <c r="CX430" i="20" s="1"/>
  <c r="DE430" i="20" s="1"/>
  <c r="BR210" i="20"/>
  <c r="CJ377" i="20"/>
  <c r="CQ377" i="20" s="1"/>
  <c r="CS377" i="20" s="1"/>
  <c r="CX377" i="20" s="1"/>
  <c r="DE377" i="20" s="1"/>
  <c r="DC422" i="20"/>
  <c r="EB442" i="20"/>
  <c r="EB187" i="20"/>
  <c r="BQ453" i="20"/>
  <c r="BQ196" i="20"/>
  <c r="EP448" i="20"/>
  <c r="DU448" i="20" s="1"/>
  <c r="BQ350" i="20"/>
  <c r="DL123" i="20"/>
  <c r="DC232" i="20"/>
  <c r="EP365" i="20"/>
  <c r="DU365" i="20" s="1"/>
  <c r="EL365" i="20" s="1"/>
  <c r="CZ365" i="20" s="1"/>
  <c r="BH101" i="20"/>
  <c r="BK101" i="20" s="1"/>
  <c r="CV101" i="20" s="1"/>
  <c r="CQ59" i="20"/>
  <c r="CS59" i="20" s="1"/>
  <c r="CX59" i="20" s="1"/>
  <c r="DE59" i="20" s="1"/>
  <c r="CJ92" i="20"/>
  <c r="CQ92" i="20" s="1"/>
  <c r="CS92" i="20" s="1"/>
  <c r="CX92" i="20" s="1"/>
  <c r="DK92" i="20" s="1"/>
  <c r="BM101" i="20"/>
  <c r="BN101" i="20" s="1"/>
  <c r="CW101" i="20" s="1"/>
  <c r="BW141" i="20"/>
  <c r="BX141" i="20" s="1"/>
  <c r="EQ141" i="20" s="1"/>
  <c r="EP141" i="20" s="1"/>
  <c r="DU141" i="20" s="1"/>
  <c r="EP94" i="20"/>
  <c r="DU94" i="20" s="1"/>
  <c r="FO151" i="20"/>
  <c r="DF309" i="20"/>
  <c r="BT53" i="20"/>
  <c r="BV53" i="20" s="1"/>
  <c r="BQ283" i="20"/>
  <c r="CQ121" i="20"/>
  <c r="CS121" i="20" s="1"/>
  <c r="CX121" i="20" s="1"/>
  <c r="DK121" i="20" s="1"/>
  <c r="BQ289" i="20"/>
  <c r="BR289" i="20" s="1"/>
  <c r="DL319" i="20"/>
  <c r="FR53" i="20"/>
  <c r="BN232" i="20"/>
  <c r="CW232" i="20" s="1"/>
  <c r="EP336" i="20"/>
  <c r="DU336" i="20" s="1"/>
  <c r="FB206" i="20"/>
  <c r="FC206" i="20" s="1"/>
  <c r="FD206" i="20" s="1"/>
  <c r="BN385" i="20"/>
  <c r="CW385" i="20" s="1"/>
  <c r="EB236" i="20"/>
  <c r="BW116" i="20"/>
  <c r="BX116" i="20" s="1"/>
  <c r="EQ116" i="20" s="1"/>
  <c r="EP116" i="20" s="1"/>
  <c r="EB376" i="20"/>
  <c r="BR309" i="20"/>
  <c r="CJ79" i="20"/>
  <c r="CQ79" i="20" s="1"/>
  <c r="CS79" i="20" s="1"/>
  <c r="CX79" i="20" s="1"/>
  <c r="DE79" i="20" s="1"/>
  <c r="BN415" i="20"/>
  <c r="CW415" i="20" s="1"/>
  <c r="FQ282" i="20"/>
  <c r="BW113" i="20"/>
  <c r="BX113" i="20" s="1"/>
  <c r="EQ113" i="20" s="1"/>
  <c r="EP113" i="20" s="1"/>
  <c r="DU113" i="20" s="1"/>
  <c r="EB391" i="20"/>
  <c r="EO78" i="20"/>
  <c r="BP227" i="20"/>
  <c r="BR227" i="20" s="1"/>
  <c r="EB362" i="20"/>
  <c r="DI234" i="20"/>
  <c r="FB339" i="20"/>
  <c r="FC339" i="20" s="1"/>
  <c r="FD339" i="20" s="1"/>
  <c r="CJ398" i="20"/>
  <c r="CQ398" i="20" s="1"/>
  <c r="CS398" i="20" s="1"/>
  <c r="CX398" i="20" s="1"/>
  <c r="DK398" i="20" s="1"/>
  <c r="DL333" i="20"/>
  <c r="EB421" i="20"/>
  <c r="EP275" i="20"/>
  <c r="DU275" i="20" s="1"/>
  <c r="EO386" i="20"/>
  <c r="DL393" i="20"/>
  <c r="BT94" i="20"/>
  <c r="BV94" i="20" s="1"/>
  <c r="EB349" i="20"/>
  <c r="BN296" i="20"/>
  <c r="CW296" i="20" s="1"/>
  <c r="FO139" i="20"/>
  <c r="FQ403" i="20"/>
  <c r="EB334" i="20"/>
  <c r="CQ95" i="20"/>
  <c r="CS95" i="20" s="1"/>
  <c r="CX95" i="20" s="1"/>
  <c r="BT106" i="20"/>
  <c r="BV106" i="20" s="1"/>
  <c r="CJ320" i="20"/>
  <c r="CQ320" i="20" s="1"/>
  <c r="CS320" i="20" s="1"/>
  <c r="CX320" i="20" s="1"/>
  <c r="DK320" i="20" s="1"/>
  <c r="FB267" i="20"/>
  <c r="FC267" i="20" s="1"/>
  <c r="FD267" i="20" s="1"/>
  <c r="CJ372" i="20"/>
  <c r="CQ372" i="20" s="1"/>
  <c r="CS372" i="20" s="1"/>
  <c r="CX372" i="20" s="1"/>
  <c r="FO317" i="20"/>
  <c r="BH209" i="20"/>
  <c r="BK209" i="20" s="1"/>
  <c r="CV209" i="20" s="1"/>
  <c r="DC384" i="20"/>
  <c r="BP209" i="20"/>
  <c r="FQ305" i="20"/>
  <c r="DL372" i="20"/>
  <c r="EB500" i="20"/>
  <c r="BP423" i="20"/>
  <c r="BR423" i="20" s="1"/>
  <c r="FO239" i="20"/>
  <c r="DL320" i="20"/>
  <c r="BQ255" i="20"/>
  <c r="CJ101" i="20"/>
  <c r="CQ101" i="20" s="1"/>
  <c r="CS101" i="20" s="1"/>
  <c r="CX101" i="20" s="1"/>
  <c r="DF67" i="20"/>
  <c r="EB344" i="20"/>
  <c r="DF377" i="20"/>
  <c r="BK437" i="20"/>
  <c r="CV437" i="20" s="1"/>
  <c r="DD437" i="20" s="1"/>
  <c r="FO137" i="20"/>
  <c r="CJ94" i="20"/>
  <c r="CQ94" i="20" s="1"/>
  <c r="CS94" i="20" s="1"/>
  <c r="CX94" i="20" s="1"/>
  <c r="DE94" i="20" s="1"/>
  <c r="BN409" i="20"/>
  <c r="CW409" i="20" s="1"/>
  <c r="FO240" i="20"/>
  <c r="DK147" i="20"/>
  <c r="FQ405" i="20"/>
  <c r="BK499" i="20"/>
  <c r="FB284" i="20"/>
  <c r="FC284" i="20" s="1"/>
  <c r="FD284" i="20" s="1"/>
  <c r="CJ362" i="20"/>
  <c r="CQ362" i="20" s="1"/>
  <c r="CS362" i="20" s="1"/>
  <c r="CX362" i="20" s="1"/>
  <c r="FG103" i="20"/>
  <c r="FH103" i="20" s="1"/>
  <c r="EB378" i="20"/>
  <c r="FQ92" i="20"/>
  <c r="CJ444" i="20"/>
  <c r="CQ444" i="20" s="1"/>
  <c r="CS444" i="20" s="1"/>
  <c r="CX444" i="20" s="1"/>
  <c r="FR444" i="20" s="1"/>
  <c r="BK376" i="20"/>
  <c r="CV376" i="20" s="1"/>
  <c r="FP376" i="20" s="1"/>
  <c r="BQ354" i="20"/>
  <c r="BH264" i="20"/>
  <c r="BK264" i="20" s="1"/>
  <c r="CV264" i="20" s="1"/>
  <c r="DJ264" i="20" s="1"/>
  <c r="CJ276" i="20"/>
  <c r="CQ276" i="20" s="1"/>
  <c r="CS276" i="20" s="1"/>
  <c r="CX276" i="20" s="1"/>
  <c r="BQ306" i="20"/>
  <c r="BK304" i="20"/>
  <c r="CV304" i="20" s="1"/>
  <c r="DD304" i="20" s="1"/>
  <c r="BN435" i="20"/>
  <c r="CW435" i="20" s="1"/>
  <c r="BW146" i="20"/>
  <c r="BX146" i="20" s="1"/>
  <c r="EQ146" i="20" s="1"/>
  <c r="EP146" i="20" s="1"/>
  <c r="DU146" i="20" s="1"/>
  <c r="DI150" i="20"/>
  <c r="EB418" i="20"/>
  <c r="BR302" i="20"/>
  <c r="CQ122" i="20"/>
  <c r="CS122" i="20" s="1"/>
  <c r="CX122" i="20" s="1"/>
  <c r="FR122" i="20" s="1"/>
  <c r="BG95" i="20"/>
  <c r="BH95" i="20" s="1"/>
  <c r="BK95" i="20" s="1"/>
  <c r="CV95" i="20" s="1"/>
  <c r="EO324" i="20"/>
  <c r="DL286" i="20"/>
  <c r="BR264" i="20"/>
  <c r="CJ405" i="20"/>
  <c r="CQ405" i="20" s="1"/>
  <c r="CS405" i="20" s="1"/>
  <c r="CX405" i="20" s="1"/>
  <c r="BP451" i="20"/>
  <c r="BR451" i="20" s="1"/>
  <c r="BK125" i="20"/>
  <c r="CV125" i="20" s="1"/>
  <c r="FP125" i="20" s="1"/>
  <c r="FO298" i="20"/>
  <c r="BK151" i="20"/>
  <c r="CV151" i="20" s="1"/>
  <c r="FP151" i="20" s="1"/>
  <c r="CJ269" i="20"/>
  <c r="CJ346" i="20"/>
  <c r="CQ346" i="20" s="1"/>
  <c r="CS346" i="20" s="1"/>
  <c r="CX346" i="20" s="1"/>
  <c r="BN341" i="20"/>
  <c r="CW341" i="20" s="1"/>
  <c r="BK451" i="20"/>
  <c r="CV451" i="20" s="1"/>
  <c r="FP451" i="20" s="1"/>
  <c r="BH424" i="20"/>
  <c r="BK424" i="20" s="1"/>
  <c r="CV424" i="20" s="1"/>
  <c r="FB85" i="20"/>
  <c r="FC85" i="20" s="1"/>
  <c r="FD85" i="20" s="1"/>
  <c r="FQ304" i="20"/>
  <c r="FO408" i="20"/>
  <c r="CJ379" i="20"/>
  <c r="DL148" i="20"/>
  <c r="EO356" i="20"/>
  <c r="EP356" i="20"/>
  <c r="DU356" i="20" s="1"/>
  <c r="EL356" i="20" s="1"/>
  <c r="CZ356" i="20" s="1"/>
  <c r="DL265" i="20"/>
  <c r="FQ265" i="20"/>
  <c r="EO418" i="20"/>
  <c r="EP418" i="20"/>
  <c r="DU418" i="20" s="1"/>
  <c r="EL418" i="20" s="1"/>
  <c r="CZ418" i="20" s="1"/>
  <c r="BN170" i="20"/>
  <c r="CW170" i="20" s="1"/>
  <c r="FQ272" i="20"/>
  <c r="FB176" i="20"/>
  <c r="FC176" i="20" s="1"/>
  <c r="FD176" i="20" s="1"/>
  <c r="BH348" i="20"/>
  <c r="BK348" i="20" s="1"/>
  <c r="CV348" i="20" s="1"/>
  <c r="EC485" i="20"/>
  <c r="EU485" i="20" s="1"/>
  <c r="EX485" i="20" s="1"/>
  <c r="EY485" i="20" s="1"/>
  <c r="BP376" i="20"/>
  <c r="BR376" i="20" s="1"/>
  <c r="EP416" i="20"/>
  <c r="DU416" i="20" s="1"/>
  <c r="EL416" i="20" s="1"/>
  <c r="CZ416" i="20" s="1"/>
  <c r="BK301" i="20"/>
  <c r="CV301" i="20" s="1"/>
  <c r="FP301" i="20" s="1"/>
  <c r="FB156" i="20"/>
  <c r="FC156" i="20" s="1"/>
  <c r="FD156" i="20" s="1"/>
  <c r="BT65" i="20"/>
  <c r="BV65" i="20" s="1"/>
  <c r="FO430" i="20"/>
  <c r="DF232" i="20"/>
  <c r="BX139" i="20"/>
  <c r="EQ139" i="20" s="1"/>
  <c r="EP139" i="20" s="1"/>
  <c r="DU139" i="20" s="1"/>
  <c r="BP320" i="20"/>
  <c r="FO357" i="20"/>
  <c r="CQ156" i="20"/>
  <c r="CS156" i="20" s="1"/>
  <c r="BQ355" i="20"/>
  <c r="EB273" i="20"/>
  <c r="BH210" i="20"/>
  <c r="BK210" i="20" s="1"/>
  <c r="CV210" i="20" s="1"/>
  <c r="EP359" i="20"/>
  <c r="DU359" i="20" s="1"/>
  <c r="EL359" i="20" s="1"/>
  <c r="CZ359" i="20" s="1"/>
  <c r="FO153" i="20"/>
  <c r="FO424" i="20"/>
  <c r="BP434" i="20"/>
  <c r="BR434" i="20" s="1"/>
  <c r="EB337" i="20"/>
  <c r="FQ241" i="20"/>
  <c r="BH434" i="20"/>
  <c r="BK434" i="20" s="1"/>
  <c r="CV434" i="20" s="1"/>
  <c r="BN248" i="20"/>
  <c r="CW248" i="20" s="1"/>
  <c r="BN26" i="20"/>
  <c r="GI106" i="20"/>
  <c r="EB271" i="20"/>
  <c r="FO206" i="20"/>
  <c r="BN266" i="20"/>
  <c r="CW266" i="20" s="1"/>
  <c r="BQ417" i="20"/>
  <c r="FQ394" i="20"/>
  <c r="FO455" i="20"/>
  <c r="DL428" i="20"/>
  <c r="FB172" i="20"/>
  <c r="FC172" i="20" s="1"/>
  <c r="FD172" i="20" s="1"/>
  <c r="CQ160" i="20"/>
  <c r="CS160" i="20" s="1"/>
  <c r="BP348" i="20"/>
  <c r="BR348" i="20" s="1"/>
  <c r="FO335" i="20"/>
  <c r="GI80" i="20"/>
  <c r="DA80" i="20" s="1"/>
  <c r="FQ80" i="20" s="1"/>
  <c r="DL326" i="20"/>
  <c r="BQ224" i="20"/>
  <c r="BR224" i="20" s="1"/>
  <c r="BK415" i="20"/>
  <c r="CV415" i="20" s="1"/>
  <c r="FP415" i="20" s="1"/>
  <c r="BQ393" i="20"/>
  <c r="EO405" i="20"/>
  <c r="DK179" i="20"/>
  <c r="FO157" i="20"/>
  <c r="EB330" i="20"/>
  <c r="BP159" i="20"/>
  <c r="BT103" i="20"/>
  <c r="BV103" i="20" s="1"/>
  <c r="BW37" i="20"/>
  <c r="BX37" i="20" s="1"/>
  <c r="EQ37" i="20" s="1"/>
  <c r="BQ192" i="20"/>
  <c r="BR192" i="20" s="1"/>
  <c r="CJ213" i="20"/>
  <c r="CS29" i="20"/>
  <c r="DF53" i="20"/>
  <c r="EB368" i="20"/>
  <c r="BR311" i="20"/>
  <c r="FO339" i="20"/>
  <c r="DC339" i="20"/>
  <c r="BQ353" i="20"/>
  <c r="BN336" i="20"/>
  <c r="CW336" i="20" s="1"/>
  <c r="DF365" i="20"/>
  <c r="GI65" i="20"/>
  <c r="DA65" i="20" s="1"/>
  <c r="DF65" i="20" s="1"/>
  <c r="FO346" i="20"/>
  <c r="DF113" i="20"/>
  <c r="BK204" i="20"/>
  <c r="CV204" i="20" s="1"/>
  <c r="FP204" i="20" s="1"/>
  <c r="CJ255" i="20"/>
  <c r="CQ255" i="20" s="1"/>
  <c r="CS255" i="20" s="1"/>
  <c r="CX255" i="20" s="1"/>
  <c r="DE255" i="20" s="1"/>
  <c r="BW29" i="20"/>
  <c r="BX29" i="20" s="1"/>
  <c r="EQ29" i="20" s="1"/>
  <c r="DL390" i="20"/>
  <c r="CJ423" i="20"/>
  <c r="CQ423" i="20" s="1"/>
  <c r="CS423" i="20" s="1"/>
  <c r="CX423" i="20" s="1"/>
  <c r="FR423" i="20" s="1"/>
  <c r="FQ351" i="20"/>
  <c r="BW59" i="20"/>
  <c r="BX59" i="20" s="1"/>
  <c r="EQ59" i="20" s="1"/>
  <c r="DF115" i="20"/>
  <c r="FQ115" i="20"/>
  <c r="DC452" i="20"/>
  <c r="EB351" i="20"/>
  <c r="BH367" i="20"/>
  <c r="BK367" i="20" s="1"/>
  <c r="CV367" i="20" s="1"/>
  <c r="DD367" i="20" s="1"/>
  <c r="BK225" i="20"/>
  <c r="BN287" i="20"/>
  <c r="CW287" i="20" s="1"/>
  <c r="BN268" i="20"/>
  <c r="CW268" i="20" s="1"/>
  <c r="CJ188" i="20"/>
  <c r="CQ188" i="20" s="1"/>
  <c r="CS188" i="20" s="1"/>
  <c r="CX188" i="20" s="1"/>
  <c r="DK188" i="20" s="1"/>
  <c r="DF128" i="20"/>
  <c r="CQ120" i="20"/>
  <c r="CS120" i="20" s="1"/>
  <c r="CX120" i="20" s="1"/>
  <c r="FR120" i="20" s="1"/>
  <c r="FQ134" i="20"/>
  <c r="BX153" i="20"/>
  <c r="EQ153" i="20" s="1"/>
  <c r="EP153" i="20" s="1"/>
  <c r="DU153" i="20" s="1"/>
  <c r="DL354" i="20"/>
  <c r="CJ247" i="20"/>
  <c r="FQ94" i="20"/>
  <c r="CQ164" i="20"/>
  <c r="CS164" i="20" s="1"/>
  <c r="FO392" i="20"/>
  <c r="EP344" i="20"/>
  <c r="DU344" i="20" s="1"/>
  <c r="EL344" i="20" s="1"/>
  <c r="CZ344" i="20" s="1"/>
  <c r="BP361" i="20"/>
  <c r="BP183" i="20"/>
  <c r="BH361" i="20"/>
  <c r="BK361" i="20" s="1"/>
  <c r="CV361" i="20" s="1"/>
  <c r="DI144" i="20"/>
  <c r="CJ343" i="20"/>
  <c r="CQ343" i="20" s="1"/>
  <c r="CS343" i="20" s="1"/>
  <c r="CX343" i="20" s="1"/>
  <c r="CJ200" i="20"/>
  <c r="CQ200" i="20" s="1"/>
  <c r="CS200" i="20" s="1"/>
  <c r="CX200" i="20" s="1"/>
  <c r="FR200" i="20" s="1"/>
  <c r="FQ114" i="20"/>
  <c r="DK311" i="20"/>
  <c r="BQ340" i="20"/>
  <c r="BR240" i="20"/>
  <c r="BN451" i="20"/>
  <c r="CW451" i="20" s="1"/>
  <c r="FB486" i="20"/>
  <c r="FC486" i="20" s="1"/>
  <c r="FD486" i="20" s="1"/>
  <c r="EP79" i="20"/>
  <c r="DU79" i="20" s="1"/>
  <c r="DF125" i="20"/>
  <c r="EP437" i="20"/>
  <c r="DU437" i="20" s="1"/>
  <c r="EL437" i="20" s="1"/>
  <c r="CZ437" i="20" s="1"/>
  <c r="BN403" i="20"/>
  <c r="CW403" i="20" s="1"/>
  <c r="EO231" i="20"/>
  <c r="CJ56" i="20"/>
  <c r="CQ56" i="20" s="1"/>
  <c r="CS56" i="20" s="1"/>
  <c r="CX56" i="20" s="1"/>
  <c r="DE56" i="20" s="1"/>
  <c r="BP414" i="20"/>
  <c r="GI56" i="20"/>
  <c r="DA56" i="20" s="1"/>
  <c r="FQ56" i="20" s="1"/>
  <c r="FQ455" i="20"/>
  <c r="DF455" i="20"/>
  <c r="DF406" i="20"/>
  <c r="FQ406" i="20"/>
  <c r="EP200" i="20"/>
  <c r="DU200" i="20" s="1"/>
  <c r="EO200" i="20"/>
  <c r="EB449" i="20"/>
  <c r="BQ327" i="20"/>
  <c r="BR327" i="20" s="1"/>
  <c r="BU63" i="20"/>
  <c r="BW63" i="20" s="1"/>
  <c r="BX63" i="20" s="1"/>
  <c r="EQ63" i="20" s="1"/>
  <c r="EO209" i="20"/>
  <c r="FB430" i="20"/>
  <c r="FC430" i="20" s="1"/>
  <c r="FD430" i="20" s="1"/>
  <c r="BP415" i="20"/>
  <c r="DC131" i="20"/>
  <c r="FA156" i="20"/>
  <c r="FQ72" i="20"/>
  <c r="FA496" i="20"/>
  <c r="CJ351" i="20"/>
  <c r="EO395" i="20"/>
  <c r="EB321" i="20"/>
  <c r="DF336" i="20"/>
  <c r="DI250" i="20"/>
  <c r="CJ296" i="20"/>
  <c r="CQ296" i="20" s="1"/>
  <c r="CS296" i="20" s="1"/>
  <c r="CX296" i="20" s="1"/>
  <c r="FR296" i="20" s="1"/>
  <c r="BN407" i="20"/>
  <c r="CW407" i="20" s="1"/>
  <c r="BP329" i="20"/>
  <c r="DL211" i="20"/>
  <c r="BP354" i="20"/>
  <c r="BR195" i="20"/>
  <c r="EO65" i="20"/>
  <c r="EZ496" i="20"/>
  <c r="FO302" i="20"/>
  <c r="BR454" i="20"/>
  <c r="FB450" i="20"/>
  <c r="FC450" i="20" s="1"/>
  <c r="FD450" i="20" s="1"/>
  <c r="BN273" i="20"/>
  <c r="CW273" i="20" s="1"/>
  <c r="FO369" i="20"/>
  <c r="BK233" i="20"/>
  <c r="CJ354" i="20"/>
  <c r="CQ354" i="20" s="1"/>
  <c r="CS354" i="20" s="1"/>
  <c r="CX354" i="20" s="1"/>
  <c r="FR354" i="20" s="1"/>
  <c r="CJ409" i="20"/>
  <c r="CQ409" i="20" s="1"/>
  <c r="CS409" i="20" s="1"/>
  <c r="CX409" i="20" s="1"/>
  <c r="DE409" i="20" s="1"/>
  <c r="FQ143" i="20"/>
  <c r="DC436" i="20"/>
  <c r="BN161" i="20"/>
  <c r="CW161" i="20" s="1"/>
  <c r="BN261" i="20"/>
  <c r="CW261" i="20" s="1"/>
  <c r="BN305" i="20"/>
  <c r="CW305" i="20" s="1"/>
  <c r="EB299" i="20"/>
  <c r="BN222" i="20"/>
  <c r="DE125" i="20"/>
  <c r="CJ417" i="20"/>
  <c r="CQ417" i="20" s="1"/>
  <c r="CS417" i="20" s="1"/>
  <c r="CX417" i="20" s="1"/>
  <c r="DK417" i="20" s="1"/>
  <c r="BN429" i="20"/>
  <c r="CW429" i="20" s="1"/>
  <c r="BN426" i="20"/>
  <c r="CW426" i="20" s="1"/>
  <c r="BN432" i="20"/>
  <c r="CW432" i="20" s="1"/>
  <c r="BK265" i="20"/>
  <c r="CV265" i="20" s="1"/>
  <c r="DJ265" i="20" s="1"/>
  <c r="CQ396" i="20"/>
  <c r="CS396" i="20" s="1"/>
  <c r="CX396" i="20" s="1"/>
  <c r="EB239" i="20"/>
  <c r="GI83" i="20"/>
  <c r="DA83" i="20" s="1"/>
  <c r="FQ83" i="20" s="1"/>
  <c r="BK329" i="20"/>
  <c r="CV329" i="20" s="1"/>
  <c r="DD329" i="20" s="1"/>
  <c r="CQ222" i="20"/>
  <c r="CS222" i="20" s="1"/>
  <c r="FO360" i="20"/>
  <c r="EP314" i="20"/>
  <c r="DU314" i="20" s="1"/>
  <c r="EL314" i="20" s="1"/>
  <c r="CZ314" i="20" s="1"/>
  <c r="DL398" i="20"/>
  <c r="FO383" i="20"/>
  <c r="BH289" i="20"/>
  <c r="BK289" i="20" s="1"/>
  <c r="CV289" i="20" s="1"/>
  <c r="BW115" i="20"/>
  <c r="BX115" i="20" s="1"/>
  <c r="EQ115" i="20" s="1"/>
  <c r="EP115" i="20" s="1"/>
  <c r="DU115" i="20" s="1"/>
  <c r="CJ411" i="20"/>
  <c r="FO326" i="20"/>
  <c r="DW496" i="20"/>
  <c r="DY496" i="20" s="1"/>
  <c r="DZ496" i="20" s="1"/>
  <c r="BK150" i="20"/>
  <c r="CV150" i="20" s="1"/>
  <c r="FP150" i="20" s="1"/>
  <c r="GI87" i="20"/>
  <c r="DA87" i="20" s="1"/>
  <c r="FQ87" i="20" s="1"/>
  <c r="CJ456" i="20"/>
  <c r="DL445" i="20"/>
  <c r="GI93" i="20"/>
  <c r="DA93" i="20" s="1"/>
  <c r="FQ93" i="20" s="1"/>
  <c r="FQ298" i="20"/>
  <c r="DC196" i="20"/>
  <c r="DF77" i="20"/>
  <c r="CS45" i="20"/>
  <c r="DL292" i="20"/>
  <c r="FQ292" i="20"/>
  <c r="BX132" i="20"/>
  <c r="EQ132" i="20" s="1"/>
  <c r="EP132" i="20" s="1"/>
  <c r="DU132" i="20" s="1"/>
  <c r="EB194" i="20"/>
  <c r="FB424" i="20"/>
  <c r="FC424" i="20" s="1"/>
  <c r="FD424" i="20" s="1"/>
  <c r="FQ82" i="20"/>
  <c r="DL246" i="20"/>
  <c r="FO415" i="20"/>
  <c r="BK145" i="20"/>
  <c r="CV145" i="20" s="1"/>
  <c r="DJ145" i="20" s="1"/>
  <c r="FO432" i="20"/>
  <c r="EB314" i="20"/>
  <c r="BP231" i="20"/>
  <c r="BR231" i="20" s="1"/>
  <c r="CJ245" i="20"/>
  <c r="BR431" i="20"/>
  <c r="BH259" i="20"/>
  <c r="BK259" i="20" s="1"/>
  <c r="CV259" i="20" s="1"/>
  <c r="BP409" i="20"/>
  <c r="BR409" i="20" s="1"/>
  <c r="BR479" i="20"/>
  <c r="BK132" i="20"/>
  <c r="CV132" i="20" s="1"/>
  <c r="FP132" i="20" s="1"/>
  <c r="EB451" i="20"/>
  <c r="BH409" i="20"/>
  <c r="BK409" i="20" s="1"/>
  <c r="CV409" i="20" s="1"/>
  <c r="FQ257" i="20"/>
  <c r="EO269" i="20"/>
  <c r="DL294" i="20"/>
  <c r="CH452" i="20"/>
  <c r="CJ452" i="20" s="1"/>
  <c r="CJ212" i="20"/>
  <c r="CQ212" i="20" s="1"/>
  <c r="CS212" i="20" s="1"/>
  <c r="CX212" i="20" s="1"/>
  <c r="DK212" i="20" s="1"/>
  <c r="CJ232" i="20"/>
  <c r="CQ232" i="20" s="1"/>
  <c r="CS232" i="20" s="1"/>
  <c r="CX232" i="20" s="1"/>
  <c r="DE232" i="20" s="1"/>
  <c r="BQ425" i="20"/>
  <c r="EB431" i="20"/>
  <c r="GI76" i="20"/>
  <c r="DA76" i="20" s="1"/>
  <c r="DF76" i="20" s="1"/>
  <c r="BW82" i="20"/>
  <c r="BX82" i="20" s="1"/>
  <c r="EQ82" i="20" s="1"/>
  <c r="GI63" i="20"/>
  <c r="BK417" i="20"/>
  <c r="CV417" i="20" s="1"/>
  <c r="FP417" i="20" s="1"/>
  <c r="BR276" i="20"/>
  <c r="CJ231" i="20"/>
  <c r="CQ231" i="20" s="1"/>
  <c r="CS231" i="20" s="1"/>
  <c r="CX231" i="20" s="1"/>
  <c r="DK231" i="20" s="1"/>
  <c r="FP76" i="20"/>
  <c r="BN404" i="20"/>
  <c r="CW404" i="20" s="1"/>
  <c r="BP259" i="20"/>
  <c r="BR259" i="20" s="1"/>
  <c r="FG28" i="20"/>
  <c r="FH28" i="20" s="1"/>
  <c r="BR220" i="20"/>
  <c r="BH195" i="20"/>
  <c r="BK195" i="20" s="1"/>
  <c r="CV195" i="20" s="1"/>
  <c r="BN277" i="20"/>
  <c r="CW277" i="20" s="1"/>
  <c r="AY106" i="20"/>
  <c r="AZ106" i="20" s="1"/>
  <c r="BH326" i="20"/>
  <c r="BK326" i="20" s="1"/>
  <c r="CV326" i="20" s="1"/>
  <c r="FP326" i="20" s="1"/>
  <c r="BK219" i="20"/>
  <c r="BW57" i="20"/>
  <c r="BX57" i="20" s="1"/>
  <c r="EQ57" i="20" s="1"/>
  <c r="BP245" i="20"/>
  <c r="BN267" i="20"/>
  <c r="CW267" i="20" s="1"/>
  <c r="CJ378" i="20"/>
  <c r="CQ378" i="20" s="1"/>
  <c r="CS378" i="20" s="1"/>
  <c r="CX378" i="20" s="1"/>
  <c r="FR378" i="20" s="1"/>
  <c r="DL418" i="20"/>
  <c r="FQ74" i="20"/>
  <c r="BP453" i="20"/>
  <c r="BK237" i="20"/>
  <c r="DL180" i="20"/>
  <c r="BH363" i="20"/>
  <c r="BK363" i="20" s="1"/>
  <c r="CV363" i="20" s="1"/>
  <c r="EB426" i="20"/>
  <c r="EB220" i="20"/>
  <c r="DC356" i="20"/>
  <c r="BN185" i="20"/>
  <c r="CW185" i="20" s="1"/>
  <c r="CQ103" i="20"/>
  <c r="CS103" i="20" s="1"/>
  <c r="CX103" i="20" s="1"/>
  <c r="EB293" i="20"/>
  <c r="FC239" i="20"/>
  <c r="FD239" i="20" s="1"/>
  <c r="EP259" i="20"/>
  <c r="DU259" i="20" s="1"/>
  <c r="EL259" i="20" s="1"/>
  <c r="CZ259" i="20" s="1"/>
  <c r="BN27" i="20"/>
  <c r="FQ202" i="20"/>
  <c r="BN199" i="20"/>
  <c r="CW199" i="20" s="1"/>
  <c r="FQ391" i="20"/>
  <c r="BQ326" i="20"/>
  <c r="BR326" i="20" s="1"/>
  <c r="BP165" i="20"/>
  <c r="BR165" i="20" s="1"/>
  <c r="BP198" i="20"/>
  <c r="EP438" i="20"/>
  <c r="DU438" i="20" s="1"/>
  <c r="EL438" i="20" s="1"/>
  <c r="CZ438" i="20" s="1"/>
  <c r="GG103" i="20"/>
  <c r="GI103" i="20" s="1"/>
  <c r="DA103" i="20" s="1"/>
  <c r="FO316" i="20"/>
  <c r="GG102" i="20"/>
  <c r="GI102" i="20" s="1"/>
  <c r="DA102" i="20" s="1"/>
  <c r="FQ102" i="20" s="1"/>
  <c r="FQ387" i="20"/>
  <c r="BN233" i="20"/>
  <c r="BR482" i="20"/>
  <c r="BN399" i="20"/>
  <c r="CW399" i="20" s="1"/>
  <c r="CQ308" i="20"/>
  <c r="CS308" i="20" s="1"/>
  <c r="CX308" i="20" s="1"/>
  <c r="DC124" i="20"/>
  <c r="DI394" i="20"/>
  <c r="EP362" i="20"/>
  <c r="DU362" i="20" s="1"/>
  <c r="BQ318" i="20"/>
  <c r="BR318" i="20" s="1"/>
  <c r="DL147" i="20"/>
  <c r="BK198" i="20"/>
  <c r="CV198" i="20" s="1"/>
  <c r="FP198" i="20" s="1"/>
  <c r="EP346" i="20"/>
  <c r="DU346" i="20" s="1"/>
  <c r="EL346" i="20" s="1"/>
  <c r="CZ346" i="20" s="1"/>
  <c r="BH269" i="20"/>
  <c r="BK269" i="20" s="1"/>
  <c r="CV269" i="20" s="1"/>
  <c r="CQ267" i="20"/>
  <c r="CS267" i="20" s="1"/>
  <c r="CX267" i="20" s="1"/>
  <c r="DE267" i="20" s="1"/>
  <c r="BP394" i="20"/>
  <c r="BX136" i="20"/>
  <c r="EQ136" i="20" s="1"/>
  <c r="EP136" i="20" s="1"/>
  <c r="DU136" i="20" s="1"/>
  <c r="BX150" i="20"/>
  <c r="EQ150" i="20" s="1"/>
  <c r="EP150" i="20" s="1"/>
  <c r="FB116" i="20"/>
  <c r="FC116" i="20" s="1"/>
  <c r="FD116" i="20" s="1"/>
  <c r="BN242" i="20"/>
  <c r="CW242" i="20" s="1"/>
  <c r="BQ266" i="20"/>
  <c r="BP269" i="20"/>
  <c r="BR269" i="20" s="1"/>
  <c r="EP232" i="20"/>
  <c r="DU232" i="20" s="1"/>
  <c r="FO191" i="20"/>
  <c r="BH394" i="20"/>
  <c r="BK394" i="20" s="1"/>
  <c r="CV394" i="20" s="1"/>
  <c r="DJ394" i="20" s="1"/>
  <c r="BD164" i="20"/>
  <c r="BE164" i="20" s="1"/>
  <c r="FO161" i="20"/>
  <c r="DL440" i="20"/>
  <c r="FQ423" i="20"/>
  <c r="CS173" i="20"/>
  <c r="CX173" i="20" s="1"/>
  <c r="BP258" i="20"/>
  <c r="DL275" i="20"/>
  <c r="BP188" i="20"/>
  <c r="BN392" i="20"/>
  <c r="CW392" i="20" s="1"/>
  <c r="BH258" i="20"/>
  <c r="BK258" i="20" s="1"/>
  <c r="CV258" i="20" s="1"/>
  <c r="FP258" i="20" s="1"/>
  <c r="BX149" i="20"/>
  <c r="EQ149" i="20" s="1"/>
  <c r="EP149" i="20" s="1"/>
  <c r="DU149" i="20" s="1"/>
  <c r="BH188" i="20"/>
  <c r="BK188" i="20" s="1"/>
  <c r="CV188" i="20" s="1"/>
  <c r="BN406" i="20"/>
  <c r="CW406" i="20" s="1"/>
  <c r="BK278" i="20"/>
  <c r="CV278" i="20" s="1"/>
  <c r="FP278" i="20" s="1"/>
  <c r="DE138" i="20"/>
  <c r="DF335" i="20"/>
  <c r="FQ335" i="20"/>
  <c r="FQ313" i="20"/>
  <c r="DL313" i="20"/>
  <c r="FQ70" i="20"/>
  <c r="DF70" i="20"/>
  <c r="EO276" i="20"/>
  <c r="EP276" i="20"/>
  <c r="DU276" i="20" s="1"/>
  <c r="EL276" i="20" s="1"/>
  <c r="CZ276" i="20" s="1"/>
  <c r="EP228" i="20"/>
  <c r="DU228" i="20" s="1"/>
  <c r="EL228" i="20" s="1"/>
  <c r="CZ228" i="20" s="1"/>
  <c r="EO228" i="20"/>
  <c r="BP395" i="20"/>
  <c r="BR395" i="20" s="1"/>
  <c r="BH395" i="20"/>
  <c r="BK395" i="20" s="1"/>
  <c r="CV395" i="20" s="1"/>
  <c r="BH212" i="20"/>
  <c r="BK212" i="20" s="1"/>
  <c r="CV212" i="20" s="1"/>
  <c r="EB381" i="20"/>
  <c r="BQ381" i="20"/>
  <c r="BR381" i="20" s="1"/>
  <c r="DC261" i="20"/>
  <c r="DL179" i="20"/>
  <c r="CH432" i="20"/>
  <c r="CJ432" i="20" s="1"/>
  <c r="CQ432" i="20" s="1"/>
  <c r="CS432" i="20" s="1"/>
  <c r="CX432" i="20" s="1"/>
  <c r="DE432" i="20" s="1"/>
  <c r="BN308" i="20"/>
  <c r="CW308" i="20" s="1"/>
  <c r="EB438" i="20"/>
  <c r="DL175" i="20"/>
  <c r="CJ90" i="20"/>
  <c r="CQ90" i="20" s="1"/>
  <c r="CS90" i="20" s="1"/>
  <c r="CX90" i="20" s="1"/>
  <c r="DE90" i="20" s="1"/>
  <c r="BW127" i="20"/>
  <c r="BX127" i="20" s="1"/>
  <c r="EQ127" i="20" s="1"/>
  <c r="EP127" i="20" s="1"/>
  <c r="DU127" i="20" s="1"/>
  <c r="CQ303" i="20"/>
  <c r="CS303" i="20" s="1"/>
  <c r="CX303" i="20" s="1"/>
  <c r="BP265" i="20"/>
  <c r="BR265" i="20" s="1"/>
  <c r="BQ406" i="20"/>
  <c r="CS324" i="20"/>
  <c r="CX324" i="20" s="1"/>
  <c r="FR324" i="20" s="1"/>
  <c r="BN343" i="20"/>
  <c r="CW343" i="20" s="1"/>
  <c r="DK145" i="20"/>
  <c r="BN95" i="20"/>
  <c r="CW95" i="20" s="1"/>
  <c r="BP364" i="20"/>
  <c r="BR364" i="20" s="1"/>
  <c r="FO244" i="20"/>
  <c r="FB53" i="20"/>
  <c r="FC53" i="20" s="1"/>
  <c r="FD53" i="20" s="1"/>
  <c r="FQ90" i="20"/>
  <c r="BP338" i="20"/>
  <c r="BR338" i="20" s="1"/>
  <c r="BN421" i="20"/>
  <c r="CW421" i="20" s="1"/>
  <c r="DF392" i="20"/>
  <c r="BH163" i="20"/>
  <c r="BK163" i="20" s="1"/>
  <c r="FG57" i="20"/>
  <c r="FH57" i="20" s="1"/>
  <c r="DE115" i="20"/>
  <c r="DL347" i="20"/>
  <c r="FQ409" i="20"/>
  <c r="BK170" i="20"/>
  <c r="CV170" i="20" s="1"/>
  <c r="FP170" i="20" s="1"/>
  <c r="BQ332" i="20"/>
  <c r="EB404" i="20"/>
  <c r="BW67" i="20"/>
  <c r="BX67" i="20" s="1"/>
  <c r="EQ67" i="20" s="1"/>
  <c r="DL231" i="20"/>
  <c r="FQ368" i="20"/>
  <c r="CQ63" i="20"/>
  <c r="CS63" i="20" s="1"/>
  <c r="BP170" i="20"/>
  <c r="BR170" i="20" s="1"/>
  <c r="EB359" i="20"/>
  <c r="DF66" i="20"/>
  <c r="BN391" i="20"/>
  <c r="CW391" i="20" s="1"/>
  <c r="DL181" i="20"/>
  <c r="EP188" i="20"/>
  <c r="DU188" i="20" s="1"/>
  <c r="CS25" i="20"/>
  <c r="FO376" i="20"/>
  <c r="DL395" i="20"/>
  <c r="FQ378" i="20"/>
  <c r="BN303" i="20"/>
  <c r="CW303" i="20" s="1"/>
  <c r="FC161" i="20"/>
  <c r="FD161" i="20" s="1"/>
  <c r="BP228" i="20"/>
  <c r="BK128" i="20"/>
  <c r="CV128" i="20" s="1"/>
  <c r="FP128" i="20" s="1"/>
  <c r="FQ430" i="20"/>
  <c r="EP446" i="20"/>
  <c r="DU446" i="20" s="1"/>
  <c r="DF343" i="20"/>
  <c r="DE82" i="20"/>
  <c r="EO290" i="20"/>
  <c r="FB183" i="20"/>
  <c r="FC183" i="20" s="1"/>
  <c r="FD183" i="20" s="1"/>
  <c r="BP450" i="20"/>
  <c r="DL209" i="20"/>
  <c r="DE75" i="20"/>
  <c r="BH450" i="20"/>
  <c r="BK450" i="20" s="1"/>
  <c r="CV450" i="20" s="1"/>
  <c r="BR299" i="20"/>
  <c r="BP204" i="20"/>
  <c r="EB482" i="20"/>
  <c r="BH156" i="20"/>
  <c r="BD156" i="20" s="1"/>
  <c r="BE156" i="20" s="1"/>
  <c r="EO402" i="20"/>
  <c r="FQ85" i="20"/>
  <c r="DF85" i="20"/>
  <c r="DF138" i="20"/>
  <c r="FQ138" i="20"/>
  <c r="DL410" i="20"/>
  <c r="FQ410" i="20"/>
  <c r="FQ81" i="20"/>
  <c r="DF81" i="20"/>
  <c r="FR148" i="20"/>
  <c r="BH368" i="20"/>
  <c r="BK368" i="20" s="1"/>
  <c r="CV368" i="20" s="1"/>
  <c r="EM109" i="20"/>
  <c r="FQ408" i="20"/>
  <c r="BQ328" i="20"/>
  <c r="BB109" i="20"/>
  <c r="EC109" i="20" s="1"/>
  <c r="EU109" i="20" s="1"/>
  <c r="EX109" i="20" s="1"/>
  <c r="EY109" i="20" s="1"/>
  <c r="FB384" i="20"/>
  <c r="FC384" i="20" s="1"/>
  <c r="FD384" i="20" s="1"/>
  <c r="CQ312" i="20"/>
  <c r="CS312" i="20" s="1"/>
  <c r="CX312" i="20" s="1"/>
  <c r="BK197" i="20"/>
  <c r="CV197" i="20" s="1"/>
  <c r="FP197" i="20" s="1"/>
  <c r="EU491" i="20"/>
  <c r="EX491" i="20" s="1"/>
  <c r="EY491" i="20" s="1"/>
  <c r="DV491" i="20" s="1"/>
  <c r="EP378" i="20"/>
  <c r="DU378" i="20" s="1"/>
  <c r="BW28" i="20"/>
  <c r="BX28" i="20" s="1"/>
  <c r="EQ28" i="20" s="1"/>
  <c r="CJ317" i="20"/>
  <c r="BR304" i="20"/>
  <c r="CQ380" i="20"/>
  <c r="CS380" i="20" s="1"/>
  <c r="CX380" i="20" s="1"/>
  <c r="BU97" i="20"/>
  <c r="BW97" i="20" s="1"/>
  <c r="BX97" i="20" s="1"/>
  <c r="EQ97" i="20" s="1"/>
  <c r="BH262" i="20"/>
  <c r="BK262" i="20" s="1"/>
  <c r="CV262" i="20" s="1"/>
  <c r="BK157" i="20"/>
  <c r="CV157" i="20" s="1"/>
  <c r="FP157" i="20" s="1"/>
  <c r="BP368" i="20"/>
  <c r="BR368" i="20" s="1"/>
  <c r="FQ261" i="20"/>
  <c r="BN218" i="20"/>
  <c r="DL417" i="20"/>
  <c r="BP161" i="20"/>
  <c r="BR161" i="20" s="1"/>
  <c r="DI173" i="20"/>
  <c r="BH380" i="20"/>
  <c r="BD380" i="20" s="1"/>
  <c r="BE380" i="20" s="1"/>
  <c r="BR303" i="20"/>
  <c r="CJ395" i="20"/>
  <c r="CQ395" i="20" s="1"/>
  <c r="CS395" i="20" s="1"/>
  <c r="CX395" i="20" s="1"/>
  <c r="DK395" i="20" s="1"/>
  <c r="CQ143" i="20"/>
  <c r="CS143" i="20" s="1"/>
  <c r="CX143" i="20" s="1"/>
  <c r="DK143" i="20" s="1"/>
  <c r="DC258" i="20"/>
  <c r="DL424" i="20"/>
  <c r="EO292" i="20"/>
  <c r="BP398" i="20"/>
  <c r="BR398" i="20" s="1"/>
  <c r="BH398" i="20"/>
  <c r="BK398" i="20" s="1"/>
  <c r="CV398" i="20" s="1"/>
  <c r="FP398" i="20" s="1"/>
  <c r="BH454" i="20"/>
  <c r="BK454" i="20" s="1"/>
  <c r="CV454" i="20" s="1"/>
  <c r="CJ386" i="20"/>
  <c r="CQ386" i="20" s="1"/>
  <c r="CS386" i="20" s="1"/>
  <c r="CX386" i="20" s="1"/>
  <c r="FR386" i="20" s="1"/>
  <c r="BS109" i="20"/>
  <c r="CJ424" i="20"/>
  <c r="CQ424" i="20" s="1"/>
  <c r="CS424" i="20" s="1"/>
  <c r="CX424" i="20" s="1"/>
  <c r="DK424" i="20" s="1"/>
  <c r="DF59" i="20"/>
  <c r="FQ59" i="20"/>
  <c r="FQ297" i="20"/>
  <c r="DF297" i="20"/>
  <c r="FQ449" i="20"/>
  <c r="DF449" i="20"/>
  <c r="DF258" i="20"/>
  <c r="FQ258" i="20"/>
  <c r="DL295" i="20"/>
  <c r="FQ295" i="20"/>
  <c r="FO370" i="20"/>
  <c r="DC370" i="20"/>
  <c r="CL450" i="20"/>
  <c r="CM450" i="20" s="1"/>
  <c r="GG450" i="20"/>
  <c r="GI450" i="20" s="1"/>
  <c r="DA450" i="20" s="1"/>
  <c r="FQ450" i="20" s="1"/>
  <c r="BM450" i="20"/>
  <c r="BN450" i="20" s="1"/>
  <c r="CW450" i="20" s="1"/>
  <c r="CL215" i="20"/>
  <c r="CM215" i="20" s="1"/>
  <c r="CQ215" i="20" s="1"/>
  <c r="CS215" i="20" s="1"/>
  <c r="CX215" i="20" s="1"/>
  <c r="GG215" i="20"/>
  <c r="GI215" i="20" s="1"/>
  <c r="DA215" i="20" s="1"/>
  <c r="BM215" i="20"/>
  <c r="BN215" i="20" s="1"/>
  <c r="CW215" i="20" s="1"/>
  <c r="CK331" i="20"/>
  <c r="CL331" i="20"/>
  <c r="BM331" i="20"/>
  <c r="BN331" i="20" s="1"/>
  <c r="CW331" i="20" s="1"/>
  <c r="FB274" i="20"/>
  <c r="FC274" i="20" s="1"/>
  <c r="FD274" i="20" s="1"/>
  <c r="BK478" i="20"/>
  <c r="CK411" i="20"/>
  <c r="CL411" i="20"/>
  <c r="BM411" i="20"/>
  <c r="BN411" i="20" s="1"/>
  <c r="CW411" i="20" s="1"/>
  <c r="GG411" i="20"/>
  <c r="GI411" i="20" s="1"/>
  <c r="DA411" i="20" s="1"/>
  <c r="CK269" i="20"/>
  <c r="CL269" i="20"/>
  <c r="BM269" i="20"/>
  <c r="BN269" i="20" s="1"/>
  <c r="CW269" i="20" s="1"/>
  <c r="GG269" i="20"/>
  <c r="GI269" i="20" s="1"/>
  <c r="DA269" i="20" s="1"/>
  <c r="CL129" i="20"/>
  <c r="CM129" i="20" s="1"/>
  <c r="CQ129" i="20" s="1"/>
  <c r="CS129" i="20" s="1"/>
  <c r="CX129" i="20" s="1"/>
  <c r="BM129" i="20"/>
  <c r="BN129" i="20" s="1"/>
  <c r="CW129" i="20" s="1"/>
  <c r="GG129" i="20"/>
  <c r="GI129" i="20" s="1"/>
  <c r="DA129" i="20" s="1"/>
  <c r="DF129" i="20" s="1"/>
  <c r="CL300" i="20"/>
  <c r="CM300" i="20" s="1"/>
  <c r="CQ300" i="20" s="1"/>
  <c r="CS300" i="20" s="1"/>
  <c r="CX300" i="20" s="1"/>
  <c r="BM300" i="20"/>
  <c r="BN300" i="20" s="1"/>
  <c r="CW300" i="20" s="1"/>
  <c r="GG300" i="20"/>
  <c r="GI300" i="20" s="1"/>
  <c r="DA300" i="20" s="1"/>
  <c r="BH291" i="20"/>
  <c r="BK291" i="20" s="1"/>
  <c r="CV291" i="20" s="1"/>
  <c r="BP206" i="20"/>
  <c r="BR206" i="20" s="1"/>
  <c r="CK285" i="20"/>
  <c r="CL285" i="20"/>
  <c r="BM285" i="20"/>
  <c r="BN285" i="20" s="1"/>
  <c r="CW285" i="20" s="1"/>
  <c r="CL169" i="20"/>
  <c r="CM169" i="20" s="1"/>
  <c r="CQ169" i="20" s="1"/>
  <c r="CS169" i="20" s="1"/>
  <c r="CX169" i="20" s="1"/>
  <c r="GG169" i="20"/>
  <c r="GI169" i="20" s="1"/>
  <c r="DA169" i="20" s="1"/>
  <c r="BM169" i="20"/>
  <c r="BN169" i="20" s="1"/>
  <c r="CW169" i="20" s="1"/>
  <c r="FQ289" i="20"/>
  <c r="BN283" i="20"/>
  <c r="CW283" i="20" s="1"/>
  <c r="BR480" i="20"/>
  <c r="CS52" i="20"/>
  <c r="CK342" i="20"/>
  <c r="CL342" i="20"/>
  <c r="BM342" i="20"/>
  <c r="BN342" i="20" s="1"/>
  <c r="CW342" i="20" s="1"/>
  <c r="CL235" i="20"/>
  <c r="CM235" i="20" s="1"/>
  <c r="CQ235" i="20" s="1"/>
  <c r="CS235" i="20" s="1"/>
  <c r="BM235" i="20"/>
  <c r="BN235" i="20" s="1"/>
  <c r="GG235" i="20"/>
  <c r="GI235" i="20" s="1"/>
  <c r="CK352" i="20"/>
  <c r="CL352" i="20"/>
  <c r="BM352" i="20"/>
  <c r="BN352" i="20" s="1"/>
  <c r="CW352" i="20" s="1"/>
  <c r="CL456" i="20"/>
  <c r="CM456" i="20" s="1"/>
  <c r="BM456" i="20"/>
  <c r="BN456" i="20" s="1"/>
  <c r="CW456" i="20" s="1"/>
  <c r="CL133" i="20"/>
  <c r="CM133" i="20" s="1"/>
  <c r="CQ133" i="20" s="1"/>
  <c r="CS133" i="20" s="1"/>
  <c r="CX133" i="20" s="1"/>
  <c r="DE133" i="20" s="1"/>
  <c r="GG133" i="20"/>
  <c r="GI133" i="20" s="1"/>
  <c r="DA133" i="20" s="1"/>
  <c r="BM133" i="20"/>
  <c r="BN133" i="20" s="1"/>
  <c r="CW133" i="20" s="1"/>
  <c r="CK441" i="20"/>
  <c r="CL441" i="20"/>
  <c r="BM441" i="20"/>
  <c r="BN441" i="20" s="1"/>
  <c r="CW441" i="20" s="1"/>
  <c r="BH412" i="20"/>
  <c r="BK412" i="20" s="1"/>
  <c r="CV412" i="20" s="1"/>
  <c r="BN363" i="20"/>
  <c r="CW363" i="20" s="1"/>
  <c r="FQ386" i="20"/>
  <c r="BW122" i="20"/>
  <c r="BX122" i="20" s="1"/>
  <c r="EQ122" i="20" s="1"/>
  <c r="EP122" i="20" s="1"/>
  <c r="DU122" i="20" s="1"/>
  <c r="CK258" i="20"/>
  <c r="CL258" i="20"/>
  <c r="BM258" i="20"/>
  <c r="BN258" i="20" s="1"/>
  <c r="CW258" i="20" s="1"/>
  <c r="CL389" i="20"/>
  <c r="CM389" i="20" s="1"/>
  <c r="CQ389" i="20" s="1"/>
  <c r="CS389" i="20" s="1"/>
  <c r="CX389" i="20" s="1"/>
  <c r="FR389" i="20" s="1"/>
  <c r="BM389" i="20"/>
  <c r="BN389" i="20" s="1"/>
  <c r="CW389" i="20" s="1"/>
  <c r="GG389" i="20"/>
  <c r="GI389" i="20" s="1"/>
  <c r="DA389" i="20" s="1"/>
  <c r="CL249" i="20"/>
  <c r="CM249" i="20" s="1"/>
  <c r="CQ249" i="20" s="1"/>
  <c r="CS249" i="20" s="1"/>
  <c r="BM249" i="20"/>
  <c r="BN249" i="20" s="1"/>
  <c r="GG249" i="20"/>
  <c r="GI249" i="20" s="1"/>
  <c r="CS298" i="20"/>
  <c r="CX298" i="20" s="1"/>
  <c r="DK298" i="20" s="1"/>
  <c r="BQ448" i="20"/>
  <c r="EC475" i="20"/>
  <c r="EU475" i="20" s="1"/>
  <c r="EX475" i="20" s="1"/>
  <c r="EY475" i="20" s="1"/>
  <c r="FP311" i="20"/>
  <c r="BK316" i="20"/>
  <c r="CV316" i="20" s="1"/>
  <c r="FP316" i="20" s="1"/>
  <c r="CL449" i="20"/>
  <c r="CM449" i="20" s="1"/>
  <c r="BM449" i="20"/>
  <c r="BN449" i="20" s="1"/>
  <c r="CW449" i="20" s="1"/>
  <c r="FQ303" i="20"/>
  <c r="FG36" i="20"/>
  <c r="FH36" i="20" s="1"/>
  <c r="FB162" i="20"/>
  <c r="FC162" i="20" s="1"/>
  <c r="FD162" i="20" s="1"/>
  <c r="EO398" i="20"/>
  <c r="CL124" i="20"/>
  <c r="CM124" i="20" s="1"/>
  <c r="CQ124" i="20" s="1"/>
  <c r="CS124" i="20" s="1"/>
  <c r="CX124" i="20" s="1"/>
  <c r="BM124" i="20"/>
  <c r="BN124" i="20" s="1"/>
  <c r="CW124" i="20" s="1"/>
  <c r="GL124" i="20"/>
  <c r="GG124" i="20"/>
  <c r="GI124" i="20" s="1"/>
  <c r="DA124" i="20" s="1"/>
  <c r="CK307" i="20"/>
  <c r="CL307" i="20"/>
  <c r="BM307" i="20"/>
  <c r="BN307" i="20" s="1"/>
  <c r="CW307" i="20" s="1"/>
  <c r="CK302" i="20"/>
  <c r="CL302" i="20"/>
  <c r="BM302" i="20"/>
  <c r="BN302" i="20" s="1"/>
  <c r="CW302" i="20" s="1"/>
  <c r="CL384" i="20"/>
  <c r="CM384" i="20" s="1"/>
  <c r="CQ384" i="20" s="1"/>
  <c r="CS384" i="20" s="1"/>
  <c r="CX384" i="20" s="1"/>
  <c r="FR384" i="20" s="1"/>
  <c r="BM384" i="20"/>
  <c r="BN384" i="20" s="1"/>
  <c r="CW384" i="20" s="1"/>
  <c r="GG384" i="20"/>
  <c r="GI384" i="20" s="1"/>
  <c r="DA384" i="20" s="1"/>
  <c r="EO306" i="20"/>
  <c r="GG331" i="20"/>
  <c r="GI331" i="20" s="1"/>
  <c r="DA331" i="20" s="1"/>
  <c r="FQ331" i="20" s="1"/>
  <c r="CJ272" i="20"/>
  <c r="CQ272" i="20" s="1"/>
  <c r="CS272" i="20" s="1"/>
  <c r="CX272" i="20" s="1"/>
  <c r="BH155" i="20"/>
  <c r="BD155" i="20" s="1"/>
  <c r="BE155" i="20" s="1"/>
  <c r="EO333" i="20"/>
  <c r="CQ233" i="20"/>
  <c r="CS233" i="20" s="1"/>
  <c r="CL132" i="20"/>
  <c r="CM132" i="20" s="1"/>
  <c r="CQ132" i="20" s="1"/>
  <c r="CS132" i="20" s="1"/>
  <c r="CX132" i="20" s="1"/>
  <c r="BM132" i="20"/>
  <c r="BN132" i="20" s="1"/>
  <c r="CW132" i="20" s="1"/>
  <c r="GG132" i="20"/>
  <c r="GI132" i="20" s="1"/>
  <c r="DA132" i="20" s="1"/>
  <c r="CL137" i="20"/>
  <c r="CM137" i="20" s="1"/>
  <c r="CQ137" i="20" s="1"/>
  <c r="CS137" i="20" s="1"/>
  <c r="CX137" i="20" s="1"/>
  <c r="BM137" i="20"/>
  <c r="BN137" i="20" s="1"/>
  <c r="CW137" i="20" s="1"/>
  <c r="GG137" i="20"/>
  <c r="GI137" i="20" s="1"/>
  <c r="DA137" i="20" s="1"/>
  <c r="FQ137" i="20" s="1"/>
  <c r="GG149" i="20"/>
  <c r="GI149" i="20" s="1"/>
  <c r="DA149" i="20" s="1"/>
  <c r="BM149" i="20"/>
  <c r="BN149" i="20" s="1"/>
  <c r="CW149" i="20" s="1"/>
  <c r="AR149" i="20"/>
  <c r="CL149" i="20"/>
  <c r="CM149" i="20" s="1"/>
  <c r="CQ149" i="20" s="1"/>
  <c r="CS149" i="20" s="1"/>
  <c r="CX149" i="20" s="1"/>
  <c r="CL157" i="20"/>
  <c r="CM157" i="20" s="1"/>
  <c r="CQ157" i="20" s="1"/>
  <c r="CS157" i="20" s="1"/>
  <c r="CX157" i="20" s="1"/>
  <c r="BM157" i="20"/>
  <c r="BN157" i="20" s="1"/>
  <c r="CW157" i="20" s="1"/>
  <c r="GG157" i="20"/>
  <c r="GI157" i="20" s="1"/>
  <c r="DA157" i="20" s="1"/>
  <c r="DC456" i="20"/>
  <c r="BP344" i="20"/>
  <c r="BR344" i="20" s="1"/>
  <c r="CQ66" i="20"/>
  <c r="CS66" i="20" s="1"/>
  <c r="CX66" i="20" s="1"/>
  <c r="DE66" i="20" s="1"/>
  <c r="BP390" i="20"/>
  <c r="FQ369" i="20"/>
  <c r="DL344" i="20"/>
  <c r="DC169" i="20"/>
  <c r="CL136" i="20"/>
  <c r="CM136" i="20" s="1"/>
  <c r="CQ136" i="20" s="1"/>
  <c r="CS136" i="20" s="1"/>
  <c r="CX136" i="20" s="1"/>
  <c r="GG136" i="20"/>
  <c r="GI136" i="20" s="1"/>
  <c r="DA136" i="20" s="1"/>
  <c r="BM136" i="20"/>
  <c r="BN136" i="20" s="1"/>
  <c r="CW136" i="20" s="1"/>
  <c r="CK335" i="20"/>
  <c r="CL335" i="20"/>
  <c r="BM335" i="20"/>
  <c r="BN335" i="20" s="1"/>
  <c r="CW335" i="20" s="1"/>
  <c r="CL204" i="20"/>
  <c r="CM204" i="20" s="1"/>
  <c r="CQ204" i="20" s="1"/>
  <c r="CS204" i="20" s="1"/>
  <c r="CX204" i="20" s="1"/>
  <c r="DE204" i="20" s="1"/>
  <c r="GG204" i="20"/>
  <c r="GI204" i="20" s="1"/>
  <c r="DA204" i="20" s="1"/>
  <c r="BM204" i="20"/>
  <c r="BN204" i="20" s="1"/>
  <c r="CW204" i="20" s="1"/>
  <c r="CK356" i="20"/>
  <c r="BM356" i="20"/>
  <c r="BN356" i="20" s="1"/>
  <c r="CW356" i="20" s="1"/>
  <c r="GG356" i="20"/>
  <c r="GI356" i="20" s="1"/>
  <c r="DA356" i="20" s="1"/>
  <c r="CL356" i="20"/>
  <c r="BM151" i="20"/>
  <c r="BN151" i="20" s="1"/>
  <c r="CW151" i="20" s="1"/>
  <c r="GG151" i="20"/>
  <c r="GI151" i="20" s="1"/>
  <c r="DA151" i="20" s="1"/>
  <c r="AR151" i="20"/>
  <c r="CL151" i="20"/>
  <c r="CM151" i="20" s="1"/>
  <c r="CQ151" i="20" s="1"/>
  <c r="CS151" i="20" s="1"/>
  <c r="CX151" i="20" s="1"/>
  <c r="CL452" i="20"/>
  <c r="CM452" i="20" s="1"/>
  <c r="BM452" i="20"/>
  <c r="BN452" i="20" s="1"/>
  <c r="CW452" i="20" s="1"/>
  <c r="GI62" i="20"/>
  <c r="DA62" i="20" s="1"/>
  <c r="DF62" i="20" s="1"/>
  <c r="DC204" i="20"/>
  <c r="FO204" i="20"/>
  <c r="CL127" i="20"/>
  <c r="CM127" i="20" s="1"/>
  <c r="CQ127" i="20" s="1"/>
  <c r="CS127" i="20" s="1"/>
  <c r="CX127" i="20" s="1"/>
  <c r="DE127" i="20" s="1"/>
  <c r="BM127" i="20"/>
  <c r="BN127" i="20" s="1"/>
  <c r="CW127" i="20" s="1"/>
  <c r="GG127" i="20"/>
  <c r="GI127" i="20" s="1"/>
  <c r="DA127" i="20" s="1"/>
  <c r="CL236" i="20"/>
  <c r="CM236" i="20" s="1"/>
  <c r="CQ236" i="20" s="1"/>
  <c r="CS236" i="20" s="1"/>
  <c r="BM236" i="20"/>
  <c r="BN236" i="20" s="1"/>
  <c r="GG236" i="20"/>
  <c r="GI236" i="20" s="1"/>
  <c r="CL176" i="20"/>
  <c r="CM176" i="20" s="1"/>
  <c r="CQ176" i="20" s="1"/>
  <c r="CS176" i="20" s="1"/>
  <c r="CX176" i="20" s="1"/>
  <c r="FR176" i="20" s="1"/>
  <c r="GG176" i="20"/>
  <c r="GI176" i="20" s="1"/>
  <c r="DA176" i="20" s="1"/>
  <c r="BM176" i="20"/>
  <c r="BN176" i="20" s="1"/>
  <c r="CW176" i="20" s="1"/>
  <c r="CL220" i="20"/>
  <c r="CM220" i="20" s="1"/>
  <c r="CQ220" i="20" s="1"/>
  <c r="CS220" i="20" s="1"/>
  <c r="BM220" i="20"/>
  <c r="BN220" i="20" s="1"/>
  <c r="GG220" i="20"/>
  <c r="GI220" i="20" s="1"/>
  <c r="EU455" i="20"/>
  <c r="EX455" i="20" s="1"/>
  <c r="EY455" i="20" s="1"/>
  <c r="BP417" i="20"/>
  <c r="EO390" i="20"/>
  <c r="CK314" i="20"/>
  <c r="BM314" i="20"/>
  <c r="BN314" i="20" s="1"/>
  <c r="CW314" i="20" s="1"/>
  <c r="CL314" i="20"/>
  <c r="GG314" i="20"/>
  <c r="GI314" i="20" s="1"/>
  <c r="DA314" i="20" s="1"/>
  <c r="CK361" i="20"/>
  <c r="CL361" i="20"/>
  <c r="BM361" i="20"/>
  <c r="BN361" i="20" s="1"/>
  <c r="CW361" i="20" s="1"/>
  <c r="CL171" i="20"/>
  <c r="CM171" i="20" s="1"/>
  <c r="CQ171" i="20" s="1"/>
  <c r="CS171" i="20" s="1"/>
  <c r="CX171" i="20" s="1"/>
  <c r="DE171" i="20" s="1"/>
  <c r="GG171" i="20"/>
  <c r="GI171" i="20" s="1"/>
  <c r="DA171" i="20" s="1"/>
  <c r="BM171" i="20"/>
  <c r="BN171" i="20" s="1"/>
  <c r="CW171" i="20" s="1"/>
  <c r="GG302" i="20"/>
  <c r="GI302" i="20" s="1"/>
  <c r="DA302" i="20" s="1"/>
  <c r="EO244" i="20"/>
  <c r="CK373" i="20"/>
  <c r="BM373" i="20"/>
  <c r="BN373" i="20" s="1"/>
  <c r="CW373" i="20" s="1"/>
  <c r="CL373" i="20"/>
  <c r="CQ382" i="20"/>
  <c r="CS382" i="20" s="1"/>
  <c r="CX382" i="20" s="1"/>
  <c r="CJ93" i="20"/>
  <c r="CQ93" i="20" s="1"/>
  <c r="CS93" i="20" s="1"/>
  <c r="CX93" i="20" s="1"/>
  <c r="FR93" i="20" s="1"/>
  <c r="CK316" i="20"/>
  <c r="CL316" i="20"/>
  <c r="GG316" i="20"/>
  <c r="GI316" i="20" s="1"/>
  <c r="DA316" i="20" s="1"/>
  <c r="BM316" i="20"/>
  <c r="BN316" i="20" s="1"/>
  <c r="CW316" i="20" s="1"/>
  <c r="CK239" i="20"/>
  <c r="CL239" i="20"/>
  <c r="BM239" i="20"/>
  <c r="BN239" i="20" s="1"/>
  <c r="CW239" i="20" s="1"/>
  <c r="CK329" i="20"/>
  <c r="GG329" i="20"/>
  <c r="GI329" i="20" s="1"/>
  <c r="DA329" i="20" s="1"/>
  <c r="BM329" i="20"/>
  <c r="BN329" i="20" s="1"/>
  <c r="CW329" i="20" s="1"/>
  <c r="CL329" i="20"/>
  <c r="GG36" i="20"/>
  <c r="GI36" i="20" s="1"/>
  <c r="CL36" i="20"/>
  <c r="CM36" i="20" s="1"/>
  <c r="CQ36" i="20" s="1"/>
  <c r="CS36" i="20" s="1"/>
  <c r="BM36" i="20"/>
  <c r="BN36" i="20" s="1"/>
  <c r="CK446" i="20"/>
  <c r="BM446" i="20"/>
  <c r="BN446" i="20" s="1"/>
  <c r="CW446" i="20" s="1"/>
  <c r="CL446" i="20"/>
  <c r="BR343" i="20"/>
  <c r="DL146" i="20"/>
  <c r="BM103" i="20"/>
  <c r="BN103" i="20" s="1"/>
  <c r="CW103" i="20" s="1"/>
  <c r="BP334" i="20"/>
  <c r="BR334" i="20" s="1"/>
  <c r="CQ20" i="20"/>
  <c r="CS20" i="20" s="1"/>
  <c r="CK334" i="20"/>
  <c r="CL334" i="20"/>
  <c r="BM334" i="20"/>
  <c r="BN334" i="20" s="1"/>
  <c r="CW334" i="20" s="1"/>
  <c r="BM153" i="20"/>
  <c r="BN153" i="20" s="1"/>
  <c r="CW153" i="20" s="1"/>
  <c r="GG153" i="20"/>
  <c r="GI153" i="20" s="1"/>
  <c r="DA153" i="20" s="1"/>
  <c r="AR153" i="20"/>
  <c r="CL153" i="20"/>
  <c r="CM153" i="20" s="1"/>
  <c r="CQ153" i="20" s="1"/>
  <c r="CS153" i="20" s="1"/>
  <c r="CX153" i="20" s="1"/>
  <c r="FR153" i="20" s="1"/>
  <c r="CL383" i="20"/>
  <c r="CM383" i="20" s="1"/>
  <c r="CQ383" i="20" s="1"/>
  <c r="CS383" i="20" s="1"/>
  <c r="CX383" i="20" s="1"/>
  <c r="BM383" i="20"/>
  <c r="BN383" i="20" s="1"/>
  <c r="CW383" i="20" s="1"/>
  <c r="GG383" i="20"/>
  <c r="GI383" i="20" s="1"/>
  <c r="DA383" i="20" s="1"/>
  <c r="FO329" i="20"/>
  <c r="DC329" i="20"/>
  <c r="CK186" i="20"/>
  <c r="CL186" i="20"/>
  <c r="BM186" i="20"/>
  <c r="BN186" i="20" s="1"/>
  <c r="CW186" i="20" s="1"/>
  <c r="CK379" i="20"/>
  <c r="GG379" i="20"/>
  <c r="GI379" i="20" s="1"/>
  <c r="DA379" i="20" s="1"/>
  <c r="BM379" i="20"/>
  <c r="BN379" i="20" s="1"/>
  <c r="CW379" i="20" s="1"/>
  <c r="CL379" i="20"/>
  <c r="DC126" i="20"/>
  <c r="BH390" i="20"/>
  <c r="BK390" i="20" s="1"/>
  <c r="CV390" i="20" s="1"/>
  <c r="CQ142" i="20"/>
  <c r="CS142" i="20" s="1"/>
  <c r="CX142" i="20" s="1"/>
  <c r="FR142" i="20" s="1"/>
  <c r="GG104" i="20"/>
  <c r="GI104" i="20" s="1"/>
  <c r="DA104" i="20" s="1"/>
  <c r="EP367" i="20"/>
  <c r="DU367" i="20" s="1"/>
  <c r="FR140" i="20"/>
  <c r="FQ276" i="20"/>
  <c r="CQ218" i="20"/>
  <c r="CS218" i="20" s="1"/>
  <c r="CK339" i="20"/>
  <c r="CL339" i="20"/>
  <c r="BM339" i="20"/>
  <c r="BN339" i="20" s="1"/>
  <c r="CW339" i="20" s="1"/>
  <c r="CK196" i="20"/>
  <c r="BM196" i="20"/>
  <c r="BN196" i="20" s="1"/>
  <c r="CW196" i="20" s="1"/>
  <c r="CL196" i="20"/>
  <c r="CK315" i="20"/>
  <c r="CL315" i="20"/>
  <c r="BM315" i="20"/>
  <c r="BN315" i="20" s="1"/>
  <c r="CW315" i="20" s="1"/>
  <c r="BR225" i="20"/>
  <c r="FA396" i="20"/>
  <c r="BH343" i="20"/>
  <c r="BK343" i="20" s="1"/>
  <c r="CV343" i="20" s="1"/>
  <c r="BK406" i="20"/>
  <c r="CV406" i="20" s="1"/>
  <c r="DD406" i="20" s="1"/>
  <c r="BP316" i="20"/>
  <c r="CK367" i="20"/>
  <c r="BM367" i="20"/>
  <c r="BN367" i="20" s="1"/>
  <c r="CW367" i="20" s="1"/>
  <c r="CL367" i="20"/>
  <c r="GG367" i="20"/>
  <c r="GI367" i="20" s="1"/>
  <c r="DA367" i="20" s="1"/>
  <c r="CK245" i="20"/>
  <c r="CL245" i="20"/>
  <c r="BM245" i="20"/>
  <c r="BN245" i="20" s="1"/>
  <c r="CW245" i="20" s="1"/>
  <c r="CL431" i="20"/>
  <c r="CM431" i="20" s="1"/>
  <c r="BM431" i="20"/>
  <c r="BN431" i="20" s="1"/>
  <c r="CW431" i="20" s="1"/>
  <c r="GG431" i="20"/>
  <c r="GI431" i="20" s="1"/>
  <c r="DA431" i="20" s="1"/>
  <c r="BH431" i="20"/>
  <c r="BK431" i="20" s="1"/>
  <c r="CV431" i="20" s="1"/>
  <c r="FQ141" i="20"/>
  <c r="DL182" i="20"/>
  <c r="CK397" i="20"/>
  <c r="BM397" i="20"/>
  <c r="BN397" i="20" s="1"/>
  <c r="CW397" i="20" s="1"/>
  <c r="CL397" i="20"/>
  <c r="CL135" i="20"/>
  <c r="CM135" i="20" s="1"/>
  <c r="CQ135" i="20" s="1"/>
  <c r="CS135" i="20" s="1"/>
  <c r="CX135" i="20" s="1"/>
  <c r="GG135" i="20"/>
  <c r="GI135" i="20" s="1"/>
  <c r="DA135" i="20" s="1"/>
  <c r="BM135" i="20"/>
  <c r="BN135" i="20" s="1"/>
  <c r="CW135" i="20" s="1"/>
  <c r="CK353" i="20"/>
  <c r="BM353" i="20"/>
  <c r="BN353" i="20" s="1"/>
  <c r="CW353" i="20" s="1"/>
  <c r="CL353" i="20"/>
  <c r="CL97" i="20"/>
  <c r="CM97" i="20" s="1"/>
  <c r="GG97" i="20"/>
  <c r="GI97" i="20" s="1"/>
  <c r="DA97" i="20" s="1"/>
  <c r="BQ291" i="20"/>
  <c r="BR291" i="20" s="1"/>
  <c r="EU164" i="20"/>
  <c r="EX164" i="20" s="1"/>
  <c r="EY164" i="20" s="1"/>
  <c r="FA164" i="20" s="1"/>
  <c r="BM109" i="20"/>
  <c r="BN109" i="20" s="1"/>
  <c r="BP406" i="20"/>
  <c r="CL150" i="20"/>
  <c r="CM150" i="20" s="1"/>
  <c r="CQ150" i="20" s="1"/>
  <c r="CS150" i="20" s="1"/>
  <c r="CX150" i="20" s="1"/>
  <c r="BM150" i="20"/>
  <c r="BN150" i="20" s="1"/>
  <c r="CW150" i="20" s="1"/>
  <c r="GG150" i="20"/>
  <c r="GI150" i="20" s="1"/>
  <c r="DA150" i="20" s="1"/>
  <c r="AR150" i="20"/>
  <c r="BZ109" i="20"/>
  <c r="EH109" i="20" s="1"/>
  <c r="EJ109" i="20" s="1"/>
  <c r="BN207" i="20"/>
  <c r="CW207" i="20" s="1"/>
  <c r="BP424" i="20"/>
  <c r="BR424" i="20" s="1"/>
  <c r="CK317" i="20"/>
  <c r="CL317" i="20"/>
  <c r="BM317" i="20"/>
  <c r="BN317" i="20" s="1"/>
  <c r="CW317" i="20" s="1"/>
  <c r="CK402" i="20"/>
  <c r="BM402" i="20"/>
  <c r="BN402" i="20" s="1"/>
  <c r="CW402" i="20" s="1"/>
  <c r="CL402" i="20"/>
  <c r="CK437" i="20"/>
  <c r="CL437" i="20"/>
  <c r="BM437" i="20"/>
  <c r="BN437" i="20" s="1"/>
  <c r="CW437" i="20" s="1"/>
  <c r="CL422" i="20"/>
  <c r="CM422" i="20" s="1"/>
  <c r="GG422" i="20"/>
  <c r="GI422" i="20" s="1"/>
  <c r="DA422" i="20" s="1"/>
  <c r="BM422" i="20"/>
  <c r="BN422" i="20" s="1"/>
  <c r="CW422" i="20" s="1"/>
  <c r="FH141" i="20"/>
  <c r="S110" i="20"/>
  <c r="GF110" i="20" s="1"/>
  <c r="GI110" i="20" s="1"/>
  <c r="BR503" i="20"/>
  <c r="FC254" i="20"/>
  <c r="FD254" i="20" s="1"/>
  <c r="CL436" i="20"/>
  <c r="CM436" i="20" s="1"/>
  <c r="BM436" i="20"/>
  <c r="BN436" i="20" s="1"/>
  <c r="CW436" i="20" s="1"/>
  <c r="CL455" i="20"/>
  <c r="CM455" i="20" s="1"/>
  <c r="BM455" i="20"/>
  <c r="BN455" i="20" s="1"/>
  <c r="CW455" i="20" s="1"/>
  <c r="CL126" i="20"/>
  <c r="CM126" i="20" s="1"/>
  <c r="CQ126" i="20" s="1"/>
  <c r="CS126" i="20" s="1"/>
  <c r="CX126" i="20" s="1"/>
  <c r="GG126" i="20"/>
  <c r="GI126" i="20" s="1"/>
  <c r="DA126" i="20" s="1"/>
  <c r="BM126" i="20"/>
  <c r="BN126" i="20" s="1"/>
  <c r="CW126" i="20" s="1"/>
  <c r="GL126" i="20"/>
  <c r="EG422" i="20"/>
  <c r="EP422" i="20" s="1"/>
  <c r="DU422" i="20" s="1"/>
  <c r="EL422" i="20" s="1"/>
  <c r="CZ422" i="20" s="1"/>
  <c r="CH422" i="20"/>
  <c r="CJ422" i="20" s="1"/>
  <c r="BH344" i="20"/>
  <c r="BK344" i="20" s="1"/>
  <c r="CV344" i="20" s="1"/>
  <c r="GF109" i="20"/>
  <c r="GI109" i="20" s="1"/>
  <c r="GG446" i="20"/>
  <c r="GI446" i="20" s="1"/>
  <c r="DA446" i="20" s="1"/>
  <c r="FQ446" i="20" s="1"/>
  <c r="DL433" i="20"/>
  <c r="GG441" i="20"/>
  <c r="GI441" i="20" s="1"/>
  <c r="DA441" i="20" s="1"/>
  <c r="DF441" i="20" s="1"/>
  <c r="EO286" i="20"/>
  <c r="CK291" i="20"/>
  <c r="BM291" i="20"/>
  <c r="BN291" i="20" s="1"/>
  <c r="CW291" i="20" s="1"/>
  <c r="CL291" i="20"/>
  <c r="CL139" i="20"/>
  <c r="CM139" i="20" s="1"/>
  <c r="CQ139" i="20" s="1"/>
  <c r="CS139" i="20" s="1"/>
  <c r="CX139" i="20" s="1"/>
  <c r="DE139" i="20" s="1"/>
  <c r="BM139" i="20"/>
  <c r="BN139" i="20" s="1"/>
  <c r="CW139" i="20" s="1"/>
  <c r="GG139" i="20"/>
  <c r="GI139" i="20" s="1"/>
  <c r="DA139" i="20" s="1"/>
  <c r="CK254" i="20"/>
  <c r="BM254" i="20"/>
  <c r="BN254" i="20" s="1"/>
  <c r="CW254" i="20" s="1"/>
  <c r="CL254" i="20"/>
  <c r="CS49" i="20"/>
  <c r="CL299" i="20"/>
  <c r="CM299" i="20" s="1"/>
  <c r="CQ299" i="20" s="1"/>
  <c r="CS299" i="20" s="1"/>
  <c r="CX299" i="20" s="1"/>
  <c r="BM299" i="20"/>
  <c r="BN299" i="20" s="1"/>
  <c r="CW299" i="20" s="1"/>
  <c r="GG299" i="20"/>
  <c r="GI299" i="20" s="1"/>
  <c r="DA299" i="20" s="1"/>
  <c r="FC120" i="20"/>
  <c r="FD120" i="20" s="1"/>
  <c r="BW81" i="20"/>
  <c r="BX81" i="20" s="1"/>
  <c r="EQ81" i="20" s="1"/>
  <c r="BP157" i="20"/>
  <c r="BR157" i="20" s="1"/>
  <c r="EP399" i="20"/>
  <c r="DU399" i="20" s="1"/>
  <c r="BP278" i="20"/>
  <c r="BP413" i="20"/>
  <c r="BR413" i="20" s="1"/>
  <c r="DL374" i="20"/>
  <c r="BK161" i="20"/>
  <c r="CV161" i="20" s="1"/>
  <c r="DD161" i="20" s="1"/>
  <c r="BP181" i="20"/>
  <c r="BR181" i="20" s="1"/>
  <c r="CL219" i="20"/>
  <c r="CM219" i="20" s="1"/>
  <c r="CQ219" i="20" s="1"/>
  <c r="CS219" i="20" s="1"/>
  <c r="BM219" i="20"/>
  <c r="BN219" i="20" s="1"/>
  <c r="GG219" i="20"/>
  <c r="GI219" i="20" s="1"/>
  <c r="GG28" i="20"/>
  <c r="GI28" i="20" s="1"/>
  <c r="CL28" i="20"/>
  <c r="CM28" i="20" s="1"/>
  <c r="CQ28" i="20" s="1"/>
  <c r="CS28" i="20" s="1"/>
  <c r="BM28" i="20"/>
  <c r="BN28" i="20" s="1"/>
  <c r="CK187" i="20"/>
  <c r="CL187" i="20"/>
  <c r="BM187" i="20"/>
  <c r="BN187" i="20" s="1"/>
  <c r="CW187" i="20" s="1"/>
  <c r="CL131" i="20"/>
  <c r="CM131" i="20" s="1"/>
  <c r="CQ131" i="20" s="1"/>
  <c r="CS131" i="20" s="1"/>
  <c r="CX131" i="20" s="1"/>
  <c r="DE131" i="20" s="1"/>
  <c r="BM131" i="20"/>
  <c r="BN131" i="20" s="1"/>
  <c r="CW131" i="20" s="1"/>
  <c r="GG131" i="20"/>
  <c r="GI131" i="20" s="1"/>
  <c r="DA131" i="20" s="1"/>
  <c r="EZ492" i="20"/>
  <c r="DL184" i="20"/>
  <c r="CK370" i="20"/>
  <c r="BM370" i="20"/>
  <c r="BN370" i="20" s="1"/>
  <c r="CW370" i="20" s="1"/>
  <c r="CL370" i="20"/>
  <c r="CK289" i="20"/>
  <c r="BM289" i="20"/>
  <c r="BN289" i="20" s="1"/>
  <c r="CW289" i="20" s="1"/>
  <c r="CL289" i="20"/>
  <c r="CK259" i="20"/>
  <c r="CL259" i="20"/>
  <c r="BM259" i="20"/>
  <c r="BN259" i="20" s="1"/>
  <c r="CW259" i="20" s="1"/>
  <c r="GG259" i="20"/>
  <c r="GI259" i="20" s="1"/>
  <c r="DA259" i="20" s="1"/>
  <c r="CL388" i="20"/>
  <c r="CM388" i="20" s="1"/>
  <c r="CQ388" i="20" s="1"/>
  <c r="CS388" i="20" s="1"/>
  <c r="CX388" i="20" s="1"/>
  <c r="BM388" i="20"/>
  <c r="BN388" i="20" s="1"/>
  <c r="CW388" i="20" s="1"/>
  <c r="GG388" i="20"/>
  <c r="GI388" i="20" s="1"/>
  <c r="DA388" i="20" s="1"/>
  <c r="FQ187" i="20"/>
  <c r="FQ245" i="20"/>
  <c r="DF451" i="20"/>
  <c r="DE113" i="20"/>
  <c r="DF117" i="20"/>
  <c r="FR217" i="20"/>
  <c r="EZ155" i="20"/>
  <c r="DU155" i="20"/>
  <c r="EO101" i="20"/>
  <c r="DE114" i="20"/>
  <c r="EP63" i="20"/>
  <c r="DU63" i="20" s="1"/>
  <c r="FR86" i="20"/>
  <c r="EO342" i="20"/>
  <c r="EP411" i="20"/>
  <c r="DU411" i="20" s="1"/>
  <c r="EP415" i="20"/>
  <c r="DU415" i="20" s="1"/>
  <c r="EL415" i="20" s="1"/>
  <c r="CZ415" i="20" s="1"/>
  <c r="FQ437" i="20"/>
  <c r="EO406" i="20"/>
  <c r="EP409" i="20"/>
  <c r="DU409" i="20" s="1"/>
  <c r="EP379" i="20"/>
  <c r="DU379" i="20" s="1"/>
  <c r="FQ296" i="20"/>
  <c r="FQ255" i="20"/>
  <c r="FQ161" i="20"/>
  <c r="DF170" i="20"/>
  <c r="FA162" i="20"/>
  <c r="DF130" i="20"/>
  <c r="DE134" i="20"/>
  <c r="DM120" i="21"/>
  <c r="BC179" i="21"/>
  <c r="CN179" i="21" s="1"/>
  <c r="FG352" i="21"/>
  <c r="CU352" i="21"/>
  <c r="EH339" i="21"/>
  <c r="EG339" i="21"/>
  <c r="FG341" i="21"/>
  <c r="DA341" i="21"/>
  <c r="AZ201" i="21"/>
  <c r="AY201" i="21"/>
  <c r="BH201" i="21" s="1"/>
  <c r="CU393" i="21"/>
  <c r="FG393" i="21"/>
  <c r="FJ413" i="21"/>
  <c r="DC413" i="21"/>
  <c r="EG312" i="21"/>
  <c r="EH312" i="21"/>
  <c r="FL209" i="21"/>
  <c r="DF209" i="21"/>
  <c r="ET393" i="21"/>
  <c r="EU393" i="21" s="1"/>
  <c r="EV393" i="21" s="1"/>
  <c r="BP119" i="21"/>
  <c r="EI119" i="21" s="1"/>
  <c r="EH119" i="21" s="1"/>
  <c r="DT63" i="21"/>
  <c r="BC275" i="21"/>
  <c r="CN275" i="21" s="1"/>
  <c r="BF233" i="21"/>
  <c r="CO233" i="21" s="1"/>
  <c r="CK233" i="21"/>
  <c r="CP233" i="21" s="1"/>
  <c r="DN479" i="21"/>
  <c r="ES479" i="21"/>
  <c r="EW479" i="21" s="1"/>
  <c r="ER479" i="21"/>
  <c r="BC378" i="21"/>
  <c r="CN378" i="21" s="1"/>
  <c r="CW312" i="21"/>
  <c r="FJ312" i="21"/>
  <c r="CW422" i="21"/>
  <c r="FJ422" i="21"/>
  <c r="ED166" i="21"/>
  <c r="CR166" i="21" s="1"/>
  <c r="EG408" i="21"/>
  <c r="EH408" i="21"/>
  <c r="EU24" i="21"/>
  <c r="EV24" i="21" s="1"/>
  <c r="ET24" i="21"/>
  <c r="EM24" i="21"/>
  <c r="EP24" i="21" s="1"/>
  <c r="EQ24" i="21" s="1"/>
  <c r="CV300" i="21"/>
  <c r="FH300" i="21"/>
  <c r="DC273" i="21"/>
  <c r="FJ273" i="21"/>
  <c r="FG178" i="21"/>
  <c r="DA178" i="21"/>
  <c r="BC186" i="21"/>
  <c r="CN186" i="21" s="1"/>
  <c r="FI388" i="21"/>
  <c r="DD388" i="21"/>
  <c r="FG340" i="21"/>
  <c r="CU340" i="21"/>
  <c r="AT24" i="21"/>
  <c r="DU24" i="21" s="1"/>
  <c r="AP25" i="21"/>
  <c r="AQ25" i="21" s="1"/>
  <c r="AQ24" i="21"/>
  <c r="AY332" i="21"/>
  <c r="BH332" i="21" s="1"/>
  <c r="BJ332" i="21" s="1"/>
  <c r="AY387" i="21"/>
  <c r="BH387" i="21" s="1"/>
  <c r="BJ387" i="21" s="1"/>
  <c r="DT336" i="21"/>
  <c r="BI336" i="21"/>
  <c r="DM445" i="21"/>
  <c r="EU178" i="21"/>
  <c r="EV178" i="21" s="1"/>
  <c r="ET178" i="21"/>
  <c r="DA444" i="21"/>
  <c r="FG444" i="21"/>
  <c r="ED271" i="21"/>
  <c r="CR271" i="21" s="1"/>
  <c r="ET432" i="21"/>
  <c r="EU432" i="21" s="1"/>
  <c r="EV432" i="21" s="1"/>
  <c r="CU223" i="21"/>
  <c r="FG223" i="21"/>
  <c r="FJ338" i="21"/>
  <c r="DC338" i="21"/>
  <c r="EG369" i="21"/>
  <c r="EH369" i="21"/>
  <c r="AZ233" i="21"/>
  <c r="EG401" i="21"/>
  <c r="EH401" i="21"/>
  <c r="ET328" i="21"/>
  <c r="EU328" i="21" s="1"/>
  <c r="EV328" i="21" s="1"/>
  <c r="CX283" i="21"/>
  <c r="FI283" i="21"/>
  <c r="DM331" i="21"/>
  <c r="DQ41" i="21"/>
  <c r="DM449" i="21"/>
  <c r="BI261" i="21"/>
  <c r="DT261" i="21"/>
  <c r="DM279" i="21"/>
  <c r="DC334" i="21"/>
  <c r="FJ334" i="21"/>
  <c r="BC496" i="21"/>
  <c r="DU496" i="21"/>
  <c r="DA346" i="21"/>
  <c r="FG346" i="21"/>
  <c r="FG424" i="21"/>
  <c r="DA424" i="21"/>
  <c r="BC349" i="21"/>
  <c r="CN349" i="21" s="1"/>
  <c r="BC416" i="21"/>
  <c r="CN416" i="21" s="1"/>
  <c r="FH148" i="21"/>
  <c r="DB148" i="21"/>
  <c r="BO127" i="21"/>
  <c r="EY126" i="21"/>
  <c r="EZ126" i="21"/>
  <c r="EH64" i="21"/>
  <c r="EG64" i="21"/>
  <c r="CV328" i="21"/>
  <c r="FH328" i="21"/>
  <c r="EH395" i="21"/>
  <c r="EG395" i="21"/>
  <c r="CK223" i="21"/>
  <c r="CP223" i="21" s="1"/>
  <c r="EH90" i="21"/>
  <c r="EG90" i="21"/>
  <c r="ET229" i="21"/>
  <c r="EU229" i="21" s="1"/>
  <c r="EV229" i="21" s="1"/>
  <c r="FJ241" i="21"/>
  <c r="CW241" i="21"/>
  <c r="BC124" i="21"/>
  <c r="CN124" i="21" s="1"/>
  <c r="CX410" i="21"/>
  <c r="FI410" i="21"/>
  <c r="CX92" i="21"/>
  <c r="FI92" i="21"/>
  <c r="AZ445" i="21"/>
  <c r="BH445" i="21"/>
  <c r="BJ445" i="21" s="1"/>
  <c r="BL104" i="21"/>
  <c r="BN104" i="21" s="1"/>
  <c r="BM104" i="21"/>
  <c r="BO104" i="21" s="1"/>
  <c r="FH205" i="21"/>
  <c r="CV205" i="21"/>
  <c r="BH356" i="21"/>
  <c r="BJ356" i="21" s="1"/>
  <c r="AZ356" i="21"/>
  <c r="DB338" i="21"/>
  <c r="FH338" i="21"/>
  <c r="FG375" i="21"/>
  <c r="CU375" i="21"/>
  <c r="ED232" i="21"/>
  <c r="CR232" i="21" s="1"/>
  <c r="EG426" i="21"/>
  <c r="EH426" i="21"/>
  <c r="FI331" i="21"/>
  <c r="CX331" i="21"/>
  <c r="FI435" i="21"/>
  <c r="CX435" i="21"/>
  <c r="AZ420" i="21"/>
  <c r="BH420" i="21"/>
  <c r="BJ420" i="21" s="1"/>
  <c r="BC442" i="21"/>
  <c r="CN442" i="21" s="1"/>
  <c r="ED407" i="21"/>
  <c r="CR407" i="21" s="1"/>
  <c r="AU23" i="21"/>
  <c r="AR23" i="21"/>
  <c r="FI320" i="21"/>
  <c r="CX320" i="21"/>
  <c r="DM269" i="21"/>
  <c r="BC432" i="21"/>
  <c r="CN432" i="21" s="1"/>
  <c r="AY408" i="21"/>
  <c r="BH408" i="21" s="1"/>
  <c r="BJ408" i="21" s="1"/>
  <c r="BC232" i="21"/>
  <c r="CN232" i="21" s="1"/>
  <c r="BC113" i="21"/>
  <c r="CN113" i="21" s="1"/>
  <c r="FJ101" i="21"/>
  <c r="CW101" i="21"/>
  <c r="DA369" i="21"/>
  <c r="FG369" i="21"/>
  <c r="EG422" i="21"/>
  <c r="EH422" i="21"/>
  <c r="BC84" i="21"/>
  <c r="CN84" i="21" s="1"/>
  <c r="BF19" i="21"/>
  <c r="CK19" i="21"/>
  <c r="BC72" i="21"/>
  <c r="CN72" i="21" s="1"/>
  <c r="CV211" i="21"/>
  <c r="FH211" i="21"/>
  <c r="BC368" i="21"/>
  <c r="CN368" i="21" s="1"/>
  <c r="BF178" i="21"/>
  <c r="CO178" i="21" s="1"/>
  <c r="CK178" i="21"/>
  <c r="CP178" i="21" s="1"/>
  <c r="DR162" i="21"/>
  <c r="BI162" i="21"/>
  <c r="BJ162" i="21" s="1"/>
  <c r="ET63" i="21"/>
  <c r="EU63" i="21" s="1"/>
  <c r="EV63" i="21" s="1"/>
  <c r="EY63" i="21"/>
  <c r="EZ63" i="21" s="1"/>
  <c r="ED492" i="21"/>
  <c r="ET370" i="21"/>
  <c r="EU370" i="21" s="1"/>
  <c r="EV370" i="21" s="1"/>
  <c r="FI249" i="21"/>
  <c r="CX249" i="21"/>
  <c r="BC159" i="21"/>
  <c r="AV159" i="21"/>
  <c r="AW159" i="21" s="1"/>
  <c r="FJ332" i="21"/>
  <c r="DC332" i="21"/>
  <c r="ES157" i="21"/>
  <c r="ER157" i="21"/>
  <c r="EW157" i="21" s="1"/>
  <c r="DM157" i="21"/>
  <c r="BC65" i="21"/>
  <c r="CN65" i="21" s="1"/>
  <c r="CW439" i="21"/>
  <c r="FJ439" i="21"/>
  <c r="DM246" i="21"/>
  <c r="ED181" i="21"/>
  <c r="CR181" i="21" s="1"/>
  <c r="EH373" i="21"/>
  <c r="EG373" i="21"/>
  <c r="ET444" i="21"/>
  <c r="EU444" i="21" s="1"/>
  <c r="EV444" i="21" s="1"/>
  <c r="DT57" i="21"/>
  <c r="CU432" i="21"/>
  <c r="FG432" i="21"/>
  <c r="BC57" i="21"/>
  <c r="CN57" i="21" s="1"/>
  <c r="FI401" i="21"/>
  <c r="DD401" i="21"/>
  <c r="FI408" i="21"/>
  <c r="CX408" i="21"/>
  <c r="FG250" i="21"/>
  <c r="DA250" i="21"/>
  <c r="FJ373" i="21"/>
  <c r="DC373" i="21"/>
  <c r="EY57" i="21"/>
  <c r="EZ57" i="21" s="1"/>
  <c r="ET57" i="21"/>
  <c r="EU57" i="21" s="1"/>
  <c r="EV57" i="21" s="1"/>
  <c r="FJ388" i="21"/>
  <c r="DC388" i="21"/>
  <c r="ED187" i="21"/>
  <c r="CR187" i="21" s="1"/>
  <c r="FG277" i="21"/>
  <c r="DA277" i="21"/>
  <c r="DN192" i="21"/>
  <c r="EM192" i="21"/>
  <c r="EP192" i="21" s="1"/>
  <c r="EQ192" i="21" s="1"/>
  <c r="ES192" i="21" s="1"/>
  <c r="DT114" i="21"/>
  <c r="EU424" i="21"/>
  <c r="EV424" i="21" s="1"/>
  <c r="ET424" i="21"/>
  <c r="BF45" i="21"/>
  <c r="CK45" i="21"/>
  <c r="ET174" i="21"/>
  <c r="EU174" i="21" s="1"/>
  <c r="EV174" i="21" s="1"/>
  <c r="EZ130" i="21"/>
  <c r="ET277" i="21"/>
  <c r="EU277" i="21" s="1"/>
  <c r="EV277" i="21" s="1"/>
  <c r="BH294" i="21"/>
  <c r="AZ294" i="21"/>
  <c r="AZ370" i="21"/>
  <c r="BH370" i="21"/>
  <c r="AY395" i="21"/>
  <c r="AZ395" i="21" s="1"/>
  <c r="BJ354" i="21"/>
  <c r="FJ331" i="21"/>
  <c r="CW331" i="21"/>
  <c r="ET210" i="21"/>
  <c r="EU210" i="21"/>
  <c r="EV210" i="21" s="1"/>
  <c r="CB249" i="21"/>
  <c r="CI249" i="21" s="1"/>
  <c r="CK249" i="21" s="1"/>
  <c r="CP249" i="21" s="1"/>
  <c r="DM206" i="21"/>
  <c r="DT275" i="21"/>
  <c r="BI275" i="21"/>
  <c r="BJ275" i="21" s="1"/>
  <c r="BC129" i="21"/>
  <c r="CN129" i="21" s="1"/>
  <c r="DD441" i="21"/>
  <c r="FI441" i="21"/>
  <c r="AY435" i="21"/>
  <c r="BH435" i="21" s="1"/>
  <c r="BJ435" i="21" s="1"/>
  <c r="ET380" i="21"/>
  <c r="EU380" i="21" s="1"/>
  <c r="EV380" i="21" s="1"/>
  <c r="ET251" i="21"/>
  <c r="EU251" i="21" s="1"/>
  <c r="EV251" i="21" s="1"/>
  <c r="DM346" i="21"/>
  <c r="CU126" i="21"/>
  <c r="FG126" i="21"/>
  <c r="BP128" i="21"/>
  <c r="EI128" i="21" s="1"/>
  <c r="EH128" i="21" s="1"/>
  <c r="DM150" i="21"/>
  <c r="EH336" i="21"/>
  <c r="EG336" i="21"/>
  <c r="DA382" i="21"/>
  <c r="FG382" i="21"/>
  <c r="CI395" i="21"/>
  <c r="CK395" i="21" s="1"/>
  <c r="CP395" i="21" s="1"/>
  <c r="BF23" i="21"/>
  <c r="CK23" i="21"/>
  <c r="BC114" i="21"/>
  <c r="CN114" i="21" s="1"/>
  <c r="FJ90" i="21"/>
  <c r="BC83" i="21"/>
  <c r="CN83" i="21" s="1"/>
  <c r="DM202" i="21"/>
  <c r="CB336" i="21"/>
  <c r="CI336" i="21" s="1"/>
  <c r="CK336" i="21" s="1"/>
  <c r="CP336" i="21" s="1"/>
  <c r="BE108" i="21"/>
  <c r="BF108" i="21" s="1"/>
  <c r="FX108" i="21"/>
  <c r="GA108" i="21" s="1"/>
  <c r="O109" i="21"/>
  <c r="CA108" i="21"/>
  <c r="BZ108" i="21"/>
  <c r="BR108" i="21"/>
  <c r="DZ108" i="21" s="1"/>
  <c r="EB108" i="21" s="1"/>
  <c r="T108" i="21"/>
  <c r="EE108" i="21"/>
  <c r="AN108" i="21"/>
  <c r="AQ108" i="21" s="1"/>
  <c r="AT108" i="21"/>
  <c r="DU108" i="21" s="1"/>
  <c r="BK108" i="21"/>
  <c r="ET264" i="21"/>
  <c r="EU264" i="21" s="1"/>
  <c r="EV264" i="21" s="1"/>
  <c r="ET433" i="21"/>
  <c r="EU433" i="21" s="1"/>
  <c r="EV433" i="21" s="1"/>
  <c r="FJ426" i="21"/>
  <c r="CW426" i="21"/>
  <c r="EW494" i="21"/>
  <c r="FG380" i="21"/>
  <c r="CU380" i="21"/>
  <c r="EG406" i="21"/>
  <c r="EH406" i="21"/>
  <c r="AZ449" i="21"/>
  <c r="BH449" i="21"/>
  <c r="AY449" i="21"/>
  <c r="AY291" i="21"/>
  <c r="AZ291" i="21" s="1"/>
  <c r="BC388" i="21"/>
  <c r="CN388" i="21" s="1"/>
  <c r="FJ141" i="21"/>
  <c r="DC141" i="21"/>
  <c r="BC116" i="21"/>
  <c r="CN116" i="21" s="1"/>
  <c r="CV279" i="21"/>
  <c r="FH279" i="21"/>
  <c r="EH267" i="21"/>
  <c r="EG267" i="21"/>
  <c r="BH207" i="21"/>
  <c r="AY207" i="21"/>
  <c r="AZ207" i="21" s="1"/>
  <c r="GA119" i="21"/>
  <c r="CS119" i="21" s="1"/>
  <c r="GC119" i="21"/>
  <c r="ED274" i="21"/>
  <c r="CR274" i="21" s="1"/>
  <c r="FI336" i="21"/>
  <c r="CX336" i="21"/>
  <c r="FG433" i="21"/>
  <c r="DA433" i="21"/>
  <c r="FG100" i="21"/>
  <c r="CU100" i="21"/>
  <c r="CM4" i="21"/>
  <c r="ET375" i="21"/>
  <c r="EU375" i="21" s="1"/>
  <c r="EV375" i="21" s="1"/>
  <c r="ED169" i="21"/>
  <c r="CR169" i="21" s="1"/>
  <c r="DP169" i="21"/>
  <c r="DB369" i="21"/>
  <c r="FH369" i="21"/>
  <c r="CB441" i="21"/>
  <c r="CI441" i="21" s="1"/>
  <c r="CK441" i="21" s="1"/>
  <c r="CP441" i="21" s="1"/>
  <c r="ED247" i="21"/>
  <c r="CR247" i="21" s="1"/>
  <c r="BC78" i="21"/>
  <c r="CN78" i="21" s="1"/>
  <c r="FJ406" i="21"/>
  <c r="DC406" i="21"/>
  <c r="BZ200" i="21"/>
  <c r="CB200" i="21" s="1"/>
  <c r="CI200" i="21" s="1"/>
  <c r="CK200" i="21" s="1"/>
  <c r="CP200" i="21" s="1"/>
  <c r="BJ384" i="21"/>
  <c r="EG291" i="21"/>
  <c r="EH291" i="21"/>
  <c r="ET259" i="21"/>
  <c r="EU259" i="21" s="1"/>
  <c r="EV259" i="21" s="1"/>
  <c r="BF230" i="21"/>
  <c r="CK230" i="21"/>
  <c r="DT492" i="21"/>
  <c r="BI492" i="21"/>
  <c r="BJ492" i="21" s="1"/>
  <c r="CU299" i="21"/>
  <c r="FG299" i="21"/>
  <c r="BF219" i="21"/>
  <c r="CK219" i="21"/>
  <c r="DD200" i="21"/>
  <c r="FI200" i="21"/>
  <c r="DC291" i="21"/>
  <c r="FJ291" i="21"/>
  <c r="DM314" i="21"/>
  <c r="DM122" i="21"/>
  <c r="BC245" i="21"/>
  <c r="CN245" i="21" s="1"/>
  <c r="DD173" i="21"/>
  <c r="FI173" i="21"/>
  <c r="CS17" i="21"/>
  <c r="CS16" i="21"/>
  <c r="CS14" i="21"/>
  <c r="CS15" i="21" s="1"/>
  <c r="FJ132" i="21"/>
  <c r="CW132" i="21"/>
  <c r="BC70" i="21"/>
  <c r="CN70" i="21" s="1"/>
  <c r="DM117" i="21"/>
  <c r="ED117" i="21" s="1"/>
  <c r="BH203" i="21"/>
  <c r="BJ203" i="21" s="1"/>
  <c r="AZ203" i="21"/>
  <c r="BC257" i="21"/>
  <c r="CN257" i="21" s="1"/>
  <c r="ET177" i="21"/>
  <c r="EU177" i="21" s="1"/>
  <c r="EV177" i="21" s="1"/>
  <c r="FI419" i="21"/>
  <c r="CX419" i="21"/>
  <c r="BM92" i="21"/>
  <c r="BL92" i="21"/>
  <c r="BN92" i="21" s="1"/>
  <c r="EH384" i="21"/>
  <c r="EG384" i="21"/>
  <c r="DB118" i="21"/>
  <c r="FH118" i="21"/>
  <c r="ET200" i="21"/>
  <c r="EU200" i="21" s="1"/>
  <c r="EV200" i="21" s="1"/>
  <c r="FH343" i="21"/>
  <c r="CV343" i="21"/>
  <c r="DB152" i="21"/>
  <c r="FH152" i="21"/>
  <c r="BH433" i="21"/>
  <c r="BJ433" i="21" s="1"/>
  <c r="AZ433" i="21"/>
  <c r="FH103" i="21"/>
  <c r="CV103" i="21"/>
  <c r="FH424" i="21"/>
  <c r="DB424" i="21"/>
  <c r="FH248" i="21"/>
  <c r="CV248" i="21"/>
  <c r="ED348" i="21"/>
  <c r="CR348" i="21" s="1"/>
  <c r="BP88" i="21"/>
  <c r="EI88" i="21" s="1"/>
  <c r="BC239" i="21"/>
  <c r="CN239" i="21" s="1"/>
  <c r="DC149" i="21"/>
  <c r="FJ149" i="21"/>
  <c r="AZ163" i="21"/>
  <c r="BH163" i="21"/>
  <c r="BJ163" i="21" s="1"/>
  <c r="FJ365" i="21"/>
  <c r="DC365" i="21"/>
  <c r="CV326" i="21"/>
  <c r="FH326" i="21"/>
  <c r="DM234" i="21"/>
  <c r="FI382" i="21"/>
  <c r="DD382" i="21"/>
  <c r="DM112" i="21"/>
  <c r="CU233" i="21"/>
  <c r="FG233" i="21"/>
  <c r="DM293" i="21"/>
  <c r="EU101" i="21"/>
  <c r="EV101" i="21" s="1"/>
  <c r="ET101" i="21"/>
  <c r="EY101" i="21"/>
  <c r="EZ101" i="21" s="1"/>
  <c r="DD273" i="21"/>
  <c r="FI273" i="21"/>
  <c r="ET233" i="21"/>
  <c r="EU233" i="21" s="1"/>
  <c r="EV233" i="21" s="1"/>
  <c r="BO52" i="21"/>
  <c r="BP52" i="21" s="1"/>
  <c r="EI52" i="21" s="1"/>
  <c r="CX206" i="21"/>
  <c r="FI206" i="21"/>
  <c r="DA174" i="21"/>
  <c r="FG174" i="21"/>
  <c r="DA276" i="21"/>
  <c r="FG276" i="21"/>
  <c r="CX86" i="21"/>
  <c r="FI86" i="21"/>
  <c r="BC189" i="21"/>
  <c r="CN189" i="21" s="1"/>
  <c r="DM95" i="21"/>
  <c r="ED303" i="21"/>
  <c r="CR303" i="21" s="1"/>
  <c r="CX422" i="21"/>
  <c r="FI422" i="21"/>
  <c r="BI328" i="21"/>
  <c r="BJ328" i="21" s="1"/>
  <c r="DT328" i="21"/>
  <c r="CX380" i="21"/>
  <c r="FI380" i="21"/>
  <c r="EW161" i="21"/>
  <c r="EX161" i="21" s="1"/>
  <c r="DS161" i="21" s="1"/>
  <c r="EX494" i="21"/>
  <c r="EH387" i="21"/>
  <c r="EG387" i="21"/>
  <c r="EH334" i="21"/>
  <c r="EG334" i="21"/>
  <c r="BC132" i="21"/>
  <c r="CN132" i="21" s="1"/>
  <c r="BF250" i="21"/>
  <c r="CO250" i="21" s="1"/>
  <c r="CK250" i="21"/>
  <c r="CP250" i="21" s="1"/>
  <c r="BP127" i="21"/>
  <c r="EI127" i="21" s="1"/>
  <c r="EH127" i="21" s="1"/>
  <c r="FJ387" i="21"/>
  <c r="DC387" i="21"/>
  <c r="DM283" i="21"/>
  <c r="AZ426" i="21"/>
  <c r="AY426" i="21"/>
  <c r="BH426" i="21" s="1"/>
  <c r="BJ426" i="21" s="1"/>
  <c r="DD90" i="21"/>
  <c r="FI90" i="21"/>
  <c r="BF229" i="21"/>
  <c r="CK229" i="21"/>
  <c r="AZ261" i="21"/>
  <c r="BH261" i="21"/>
  <c r="ET346" i="21"/>
  <c r="EU346" i="21" s="1"/>
  <c r="EV346" i="21" s="1"/>
  <c r="DM144" i="21"/>
  <c r="CW207" i="21"/>
  <c r="FJ207" i="21"/>
  <c r="EG331" i="21"/>
  <c r="ET275" i="21"/>
  <c r="EU275" i="21" s="1"/>
  <c r="EV275" i="21" s="1"/>
  <c r="EH305" i="21"/>
  <c r="EG305" i="21"/>
  <c r="CW64" i="21"/>
  <c r="FJ64" i="21"/>
  <c r="AR110" i="21"/>
  <c r="DM207" i="21"/>
  <c r="ED224" i="21"/>
  <c r="CR224" i="21" s="1"/>
  <c r="EG257" i="21"/>
  <c r="EH257" i="21"/>
  <c r="FG280" i="21"/>
  <c r="DA280" i="21"/>
  <c r="DC305" i="21"/>
  <c r="FJ305" i="21"/>
  <c r="CW92" i="21"/>
  <c r="FJ92" i="21"/>
  <c r="BH384" i="21"/>
  <c r="AZ384" i="21"/>
  <c r="BC394" i="21"/>
  <c r="CN394" i="21" s="1"/>
  <c r="BC417" i="21"/>
  <c r="CN417" i="21" s="1"/>
  <c r="BF375" i="21"/>
  <c r="CO375" i="21" s="1"/>
  <c r="CK375" i="21"/>
  <c r="CP375" i="21" s="1"/>
  <c r="CV351" i="21"/>
  <c r="FH351" i="21"/>
  <c r="EH441" i="21"/>
  <c r="EG441" i="21"/>
  <c r="BC139" i="21"/>
  <c r="CN139" i="21" s="1"/>
  <c r="DM110" i="21"/>
  <c r="ET230" i="21"/>
  <c r="EU230" i="21" s="1"/>
  <c r="EV230" i="21" s="1"/>
  <c r="ET280" i="21"/>
  <c r="EU280" i="21"/>
  <c r="EV280" i="21" s="1"/>
  <c r="DM419" i="21"/>
  <c r="DC384" i="21"/>
  <c r="FJ384" i="21"/>
  <c r="DM200" i="21"/>
  <c r="BL64" i="21"/>
  <c r="BN64" i="21" s="1"/>
  <c r="BM64" i="21"/>
  <c r="DM134" i="21"/>
  <c r="DT264" i="21"/>
  <c r="BI264" i="21"/>
  <c r="BJ264" i="21" s="1"/>
  <c r="EH425" i="21"/>
  <c r="EG425" i="21"/>
  <c r="EY25" i="21"/>
  <c r="EZ25" i="21"/>
  <c r="CX347" i="21"/>
  <c r="FI347" i="21"/>
  <c r="FJ133" i="21"/>
  <c r="CW133" i="21"/>
  <c r="DC357" i="21"/>
  <c r="BF280" i="21"/>
  <c r="CO280" i="21" s="1"/>
  <c r="CK280" i="21"/>
  <c r="CP280" i="21" s="1"/>
  <c r="BF177" i="21"/>
  <c r="CO177" i="21" s="1"/>
  <c r="CK177" i="21"/>
  <c r="CP177" i="21" s="1"/>
  <c r="DA200" i="21"/>
  <c r="FG200" i="21"/>
  <c r="BC423" i="21"/>
  <c r="CN423" i="21" s="1"/>
  <c r="BF25" i="21"/>
  <c r="CK25" i="21"/>
  <c r="BC123" i="21"/>
  <c r="CN123" i="21" s="1"/>
  <c r="DM115" i="21"/>
  <c r="EY24" i="21"/>
  <c r="EZ24" i="21" s="1"/>
  <c r="ET224" i="21"/>
  <c r="EU224" i="21" s="1"/>
  <c r="EV224" i="21" s="1"/>
  <c r="DA259" i="21"/>
  <c r="FG259" i="21"/>
  <c r="BC187" i="21"/>
  <c r="CN187" i="21" s="1"/>
  <c r="EH309" i="21"/>
  <c r="EG309" i="21"/>
  <c r="DA177" i="21"/>
  <c r="FG177" i="21"/>
  <c r="BP22" i="21"/>
  <c r="EI22" i="21" s="1"/>
  <c r="FH309" i="21"/>
  <c r="DB309" i="21"/>
  <c r="EG289" i="21"/>
  <c r="CW100" i="21"/>
  <c r="FJ100" i="21"/>
  <c r="CW53" i="21"/>
  <c r="FJ53" i="21"/>
  <c r="AU105" i="21"/>
  <c r="AR105" i="21"/>
  <c r="BC141" i="21"/>
  <c r="CN141" i="21" s="1"/>
  <c r="CK430" i="21"/>
  <c r="CP430" i="21" s="1"/>
  <c r="BC303" i="21"/>
  <c r="CN303" i="21" s="1"/>
  <c r="DT236" i="21"/>
  <c r="BI236" i="21"/>
  <c r="BJ236" i="21" s="1"/>
  <c r="DB277" i="21"/>
  <c r="FH277" i="21"/>
  <c r="BC137" i="21"/>
  <c r="CN137" i="21" s="1"/>
  <c r="BP113" i="21"/>
  <c r="EI113" i="21" s="1"/>
  <c r="EH113" i="21" s="1"/>
  <c r="ET390" i="21"/>
  <c r="EU390" i="21" s="1"/>
  <c r="EV390" i="21" s="1"/>
  <c r="CB438" i="21"/>
  <c r="CI438" i="21" s="1"/>
  <c r="CK438" i="21" s="1"/>
  <c r="CP438" i="21" s="1"/>
  <c r="AY347" i="21"/>
  <c r="AZ347" i="21" s="1"/>
  <c r="AY310" i="21"/>
  <c r="BH310" i="21" s="1"/>
  <c r="BJ310" i="21" s="1"/>
  <c r="DM145" i="21"/>
  <c r="DM136" i="21"/>
  <c r="CW358" i="21"/>
  <c r="FJ358" i="21"/>
  <c r="BC265" i="21"/>
  <c r="CN265" i="21" s="1"/>
  <c r="DT269" i="21"/>
  <c r="BI269" i="21"/>
  <c r="BJ269" i="21" s="1"/>
  <c r="EY52" i="21"/>
  <c r="EZ52" i="21" s="1"/>
  <c r="ET52" i="21"/>
  <c r="BC191" i="21"/>
  <c r="CN191" i="21" s="1"/>
  <c r="EY46" i="21"/>
  <c r="EZ46" i="21" s="1"/>
  <c r="CU131" i="21"/>
  <c r="FG131" i="21"/>
  <c r="BC115" i="21"/>
  <c r="CN115" i="21" s="1"/>
  <c r="BI390" i="21"/>
  <c r="BJ390" i="21" s="1"/>
  <c r="DT390" i="21"/>
  <c r="BC91" i="21"/>
  <c r="CN91" i="21" s="1"/>
  <c r="AY306" i="21"/>
  <c r="BH306" i="21" s="1"/>
  <c r="BJ306" i="21" s="1"/>
  <c r="ET33" i="21"/>
  <c r="EU33" i="21" s="1"/>
  <c r="EV33" i="21" s="1"/>
  <c r="EU26" i="21"/>
  <c r="EV26" i="21" s="1"/>
  <c r="ET26" i="21"/>
  <c r="BL105" i="21"/>
  <c r="BN105" i="21" s="1"/>
  <c r="BM105" i="21"/>
  <c r="ET466" i="21"/>
  <c r="EU466" i="21" s="1"/>
  <c r="EV466" i="21" s="1"/>
  <c r="EM466" i="21"/>
  <c r="EP466" i="21" s="1"/>
  <c r="EQ466" i="21" s="1"/>
  <c r="CB428" i="21"/>
  <c r="CI428" i="21" s="1"/>
  <c r="CK428" i="21" s="1"/>
  <c r="CP428" i="21" s="1"/>
  <c r="CX438" i="21"/>
  <c r="FI438" i="21"/>
  <c r="ED183" i="21"/>
  <c r="CR183" i="21" s="1"/>
  <c r="CX289" i="21"/>
  <c r="FI289" i="21"/>
  <c r="DR486" i="21"/>
  <c r="ED370" i="21"/>
  <c r="CR370" i="21" s="1"/>
  <c r="EG347" i="21"/>
  <c r="EH347" i="21"/>
  <c r="CB310" i="21"/>
  <c r="CI310" i="21" s="1"/>
  <c r="CK310" i="21" s="1"/>
  <c r="CP310" i="21" s="1"/>
  <c r="CB62" i="21"/>
  <c r="CI62" i="21" s="1"/>
  <c r="CK62" i="21" s="1"/>
  <c r="ED343" i="21"/>
  <c r="CR343" i="21" s="1"/>
  <c r="ET269" i="21"/>
  <c r="EU269" i="21" s="1"/>
  <c r="EV269" i="21" s="1"/>
  <c r="EW107" i="21"/>
  <c r="BC90" i="21"/>
  <c r="CN90" i="21" s="1"/>
  <c r="BC102" i="21"/>
  <c r="CN102" i="21" s="1"/>
  <c r="AV165" i="21"/>
  <c r="AW165" i="21" s="1"/>
  <c r="BC165" i="21"/>
  <c r="CN165" i="21" s="1"/>
  <c r="ES163" i="21"/>
  <c r="ER163" i="21"/>
  <c r="BC174" i="21"/>
  <c r="CN174" i="21" s="1"/>
  <c r="DM98" i="21"/>
  <c r="FJ262" i="21"/>
  <c r="DC262" i="21"/>
  <c r="EH379" i="21"/>
  <c r="EG379" i="21"/>
  <c r="DM435" i="21"/>
  <c r="FG440" i="21"/>
  <c r="DA440" i="21"/>
  <c r="ET49" i="21"/>
  <c r="EU49" i="21" s="1"/>
  <c r="EV49" i="21" s="1"/>
  <c r="FJ204" i="21"/>
  <c r="CW204" i="21"/>
  <c r="DU213" i="21"/>
  <c r="AV213" i="21"/>
  <c r="AW213" i="21" s="1"/>
  <c r="EH411" i="21"/>
  <c r="EG411" i="21"/>
  <c r="EU44" i="21"/>
  <c r="EV44" i="21" s="1"/>
  <c r="ET44" i="21"/>
  <c r="EY44" i="21"/>
  <c r="EZ44" i="21" s="1"/>
  <c r="AY105" i="21"/>
  <c r="AZ105" i="21" s="1"/>
  <c r="BC105" i="21" s="1"/>
  <c r="BC295" i="21"/>
  <c r="CN295" i="21" s="1"/>
  <c r="BC126" i="21"/>
  <c r="CN126" i="21" s="1"/>
  <c r="BC386" i="21"/>
  <c r="CN386" i="21" s="1"/>
  <c r="CU430" i="21"/>
  <c r="FG430" i="21"/>
  <c r="DM289" i="21"/>
  <c r="AV154" i="21"/>
  <c r="AW154" i="21" s="1"/>
  <c r="BC154" i="21"/>
  <c r="EU42" i="21"/>
  <c r="EV42" i="21" s="1"/>
  <c r="ET42" i="21"/>
  <c r="EY42" i="21"/>
  <c r="EZ42" i="21" s="1"/>
  <c r="BC136" i="21"/>
  <c r="CN136" i="21" s="1"/>
  <c r="CV92" i="21"/>
  <c r="FH92" i="21"/>
  <c r="EH352" i="21"/>
  <c r="EG352" i="21"/>
  <c r="DC208" i="21"/>
  <c r="FJ208" i="21"/>
  <c r="DT69" i="21"/>
  <c r="DD417" i="21"/>
  <c r="FI417" i="21"/>
  <c r="DC379" i="21"/>
  <c r="FJ379" i="21"/>
  <c r="DD259" i="21"/>
  <c r="FI259" i="21"/>
  <c r="FJ306" i="21"/>
  <c r="DC306" i="21"/>
  <c r="CV260" i="21"/>
  <c r="FH260" i="21"/>
  <c r="ET354" i="21"/>
  <c r="EU354" i="21" s="1"/>
  <c r="EV354" i="21" s="1"/>
  <c r="CW411" i="21"/>
  <c r="FJ411" i="21"/>
  <c r="EH429" i="21"/>
  <c r="EG429" i="21"/>
  <c r="BF221" i="21"/>
  <c r="CO221" i="21" s="1"/>
  <c r="CK221" i="21"/>
  <c r="CP221" i="21" s="1"/>
  <c r="ET83" i="21"/>
  <c r="EU83" i="21" s="1"/>
  <c r="EV83" i="21" s="1"/>
  <c r="EY83" i="21"/>
  <c r="EZ83" i="21" s="1"/>
  <c r="BC119" i="21"/>
  <c r="CN119" i="21" s="1"/>
  <c r="DB314" i="21"/>
  <c r="FH314" i="21"/>
  <c r="BC481" i="21"/>
  <c r="DU481" i="21"/>
  <c r="EM481" i="21" s="1"/>
  <c r="EP481" i="21" s="1"/>
  <c r="EQ481" i="21" s="1"/>
  <c r="DP28" i="21"/>
  <c r="DO28" i="21"/>
  <c r="DQ28" i="21" s="1"/>
  <c r="CM3" i="21"/>
  <c r="BI176" i="21"/>
  <c r="DT176" i="21"/>
  <c r="DM208" i="21"/>
  <c r="CW102" i="21"/>
  <c r="FJ102" i="21"/>
  <c r="DP21" i="21"/>
  <c r="DO21" i="21"/>
  <c r="DQ21" i="21" s="1"/>
  <c r="EH383" i="21"/>
  <c r="EG383" i="21"/>
  <c r="ET440" i="21"/>
  <c r="EU440" i="21" s="1"/>
  <c r="EV440" i="21" s="1"/>
  <c r="DM70" i="21"/>
  <c r="DD394" i="21"/>
  <c r="FI394" i="21"/>
  <c r="CU313" i="21"/>
  <c r="FG313" i="21"/>
  <c r="FI428" i="21"/>
  <c r="CX428" i="21"/>
  <c r="FI288" i="21"/>
  <c r="CX288" i="21"/>
  <c r="DC429" i="21"/>
  <c r="FJ429" i="21"/>
  <c r="DC251" i="21"/>
  <c r="FJ251" i="21"/>
  <c r="DT83" i="21"/>
  <c r="DC148" i="21"/>
  <c r="FJ148" i="21"/>
  <c r="BC176" i="21"/>
  <c r="CN176" i="21" s="1"/>
  <c r="FJ248" i="21"/>
  <c r="CW248" i="21"/>
  <c r="ET373" i="21"/>
  <c r="EU373" i="21" s="1"/>
  <c r="EV373" i="21" s="1"/>
  <c r="FI352" i="21"/>
  <c r="CX352" i="21"/>
  <c r="ET381" i="21"/>
  <c r="EU381" i="21"/>
  <c r="EV381" i="21" s="1"/>
  <c r="ET362" i="21"/>
  <c r="EU362" i="21" s="1"/>
  <c r="EV362" i="21" s="1"/>
  <c r="ED439" i="21"/>
  <c r="CR439" i="21" s="1"/>
  <c r="CW96" i="21"/>
  <c r="FJ96" i="21"/>
  <c r="ET176" i="21"/>
  <c r="EU176" i="21"/>
  <c r="EV176" i="21" s="1"/>
  <c r="BC74" i="21"/>
  <c r="CN74" i="21" s="1"/>
  <c r="EG59" i="21"/>
  <c r="EH59" i="21"/>
  <c r="DT67" i="21"/>
  <c r="FJ383" i="21"/>
  <c r="DC383" i="21"/>
  <c r="EH416" i="21"/>
  <c r="EG416" i="21"/>
  <c r="FG188" i="21"/>
  <c r="DA188" i="21"/>
  <c r="DN483" i="21"/>
  <c r="ES483" i="21"/>
  <c r="ER483" i="21"/>
  <c r="DM259" i="21"/>
  <c r="CX411" i="21"/>
  <c r="FI411" i="21"/>
  <c r="EH376" i="21"/>
  <c r="EG376" i="21"/>
  <c r="AZ202" i="21"/>
  <c r="ET313" i="21"/>
  <c r="EU313" i="21" s="1"/>
  <c r="EV313" i="21" s="1"/>
  <c r="BJ282" i="21"/>
  <c r="BC272" i="21"/>
  <c r="CN272" i="21" s="1"/>
  <c r="FI345" i="21"/>
  <c r="DD345" i="21"/>
  <c r="FG373" i="21"/>
  <c r="DA373" i="21"/>
  <c r="AY270" i="21"/>
  <c r="BH270" i="21" s="1"/>
  <c r="BJ270" i="21" s="1"/>
  <c r="DQ27" i="21"/>
  <c r="BC94" i="21"/>
  <c r="CN94" i="21" s="1"/>
  <c r="FJ128" i="21"/>
  <c r="CW128" i="21"/>
  <c r="ED225" i="21"/>
  <c r="CR225" i="21" s="1"/>
  <c r="DU166" i="21"/>
  <c r="AV166" i="21"/>
  <c r="AW166" i="21" s="1"/>
  <c r="FJ99" i="21"/>
  <c r="CW99" i="21"/>
  <c r="CB59" i="21"/>
  <c r="CI59" i="21" s="1"/>
  <c r="CK59" i="21" s="1"/>
  <c r="CP59" i="21" s="1"/>
  <c r="CP8" i="21" s="1"/>
  <c r="BC140" i="21"/>
  <c r="CN140" i="21" s="1"/>
  <c r="CU189" i="21"/>
  <c r="FG189" i="21"/>
  <c r="ET78" i="21"/>
  <c r="EU78" i="21" s="1"/>
  <c r="EV78" i="21" s="1"/>
  <c r="EY78" i="21"/>
  <c r="EZ78" i="21" s="1"/>
  <c r="ET67" i="21"/>
  <c r="EU67" i="21" s="1"/>
  <c r="EV67" i="21" s="1"/>
  <c r="EY67" i="21"/>
  <c r="EZ67" i="21" s="1"/>
  <c r="EW21" i="21"/>
  <c r="FB21" i="21" s="1"/>
  <c r="ED21" i="21" s="1"/>
  <c r="AY383" i="21"/>
  <c r="BH383" i="21" s="1"/>
  <c r="AY409" i="21"/>
  <c r="BH409" i="21"/>
  <c r="BJ409" i="21" s="1"/>
  <c r="AZ409" i="21"/>
  <c r="DC359" i="21"/>
  <c r="FJ359" i="21"/>
  <c r="DM221" i="21"/>
  <c r="BJ315" i="21"/>
  <c r="ET188" i="21"/>
  <c r="EU188" i="21" s="1"/>
  <c r="EV188" i="21" s="1"/>
  <c r="BN118" i="21"/>
  <c r="BP118" i="21" s="1"/>
  <c r="EI118" i="21" s="1"/>
  <c r="EH118" i="21" s="1"/>
  <c r="BO118" i="21"/>
  <c r="AY411" i="21"/>
  <c r="AZ411" i="21" s="1"/>
  <c r="FI356" i="21"/>
  <c r="CX356" i="21"/>
  <c r="BC182" i="21"/>
  <c r="CN182" i="21" s="1"/>
  <c r="FJ376" i="21"/>
  <c r="DC376" i="21"/>
  <c r="ET84" i="21"/>
  <c r="EU84" i="21" s="1"/>
  <c r="EV84" i="21" s="1"/>
  <c r="BC281" i="21"/>
  <c r="CN281" i="21" s="1"/>
  <c r="ED485" i="21"/>
  <c r="DP485" i="21"/>
  <c r="DO485" i="21"/>
  <c r="DQ485" i="21"/>
  <c r="AY335" i="21"/>
  <c r="BH335" i="21" s="1"/>
  <c r="BJ335" i="21" s="1"/>
  <c r="BC273" i="21"/>
  <c r="CN273" i="21" s="1"/>
  <c r="EG392" i="21"/>
  <c r="EH392" i="21"/>
  <c r="ED304" i="21"/>
  <c r="CR304" i="21" s="1"/>
  <c r="BH251" i="21"/>
  <c r="AZ251" i="21"/>
  <c r="ED240" i="21"/>
  <c r="CR240" i="21" s="1"/>
  <c r="FG381" i="21"/>
  <c r="CU381" i="21"/>
  <c r="CU362" i="21"/>
  <c r="FG362" i="21"/>
  <c r="EX156" i="21"/>
  <c r="DS156" i="21" s="1"/>
  <c r="EW156" i="21"/>
  <c r="EY146" i="21"/>
  <c r="EZ146" i="21" s="1"/>
  <c r="BC197" i="21"/>
  <c r="CN197" i="21" s="1"/>
  <c r="ED213" i="21"/>
  <c r="FJ189" i="21"/>
  <c r="CW189" i="21"/>
  <c r="FI409" i="21"/>
  <c r="DD409" i="21"/>
  <c r="EH358" i="21"/>
  <c r="EG358" i="21"/>
  <c r="DB267" i="21"/>
  <c r="FH267" i="21"/>
  <c r="BC323" i="21"/>
  <c r="CN323" i="21" s="1"/>
  <c r="FI398" i="21"/>
  <c r="DD398" i="21"/>
  <c r="DP45" i="21"/>
  <c r="DO45" i="21"/>
  <c r="DQ45" i="21" s="1"/>
  <c r="BC238" i="21"/>
  <c r="CN238" i="21" s="1"/>
  <c r="DQ47" i="21"/>
  <c r="DM341" i="21"/>
  <c r="BJ400" i="21"/>
  <c r="AY376" i="21"/>
  <c r="BH376" i="21" s="1"/>
  <c r="DT84" i="21"/>
  <c r="EX485" i="21"/>
  <c r="EG335" i="21"/>
  <c r="EH335" i="21"/>
  <c r="ED493" i="21"/>
  <c r="FJ392" i="21"/>
  <c r="CW392" i="21"/>
  <c r="DQ473" i="21"/>
  <c r="DR473" i="21" s="1"/>
  <c r="DS473" i="21" s="1"/>
  <c r="FI440" i="21"/>
  <c r="DD440" i="21"/>
  <c r="DM245" i="21"/>
  <c r="BM59" i="21"/>
  <c r="BL59" i="21"/>
  <c r="BN59" i="21" s="1"/>
  <c r="CU234" i="21"/>
  <c r="FG234" i="21"/>
  <c r="BC282" i="21"/>
  <c r="CN282" i="21" s="1"/>
  <c r="AZ339" i="21"/>
  <c r="BH339" i="21"/>
  <c r="AY339" i="21"/>
  <c r="FI416" i="21"/>
  <c r="CX416" i="21"/>
  <c r="BO133" i="21"/>
  <c r="BP133" i="21" s="1"/>
  <c r="EI133" i="21" s="1"/>
  <c r="EH133" i="21" s="1"/>
  <c r="DM272" i="21"/>
  <c r="CK234" i="21"/>
  <c r="CP234" i="21" s="1"/>
  <c r="FG349" i="21"/>
  <c r="CU349" i="21"/>
  <c r="CV100" i="21"/>
  <c r="FH100" i="21"/>
  <c r="FI376" i="21"/>
  <c r="DD376" i="21"/>
  <c r="DM433" i="21"/>
  <c r="FJ335" i="21"/>
  <c r="CW335" i="21"/>
  <c r="EU320" i="21"/>
  <c r="EV320" i="21" s="1"/>
  <c r="ET320" i="21"/>
  <c r="BC399" i="21"/>
  <c r="CN399" i="21" s="1"/>
  <c r="BC357" i="21"/>
  <c r="CN357" i="21" s="1"/>
  <c r="BC359" i="21"/>
  <c r="CN359" i="21" s="1"/>
  <c r="BO131" i="21"/>
  <c r="BP131" i="21" s="1"/>
  <c r="EI131" i="21" s="1"/>
  <c r="EH131" i="21" s="1"/>
  <c r="BC393" i="21"/>
  <c r="CN393" i="21" s="1"/>
  <c r="FH175" i="21"/>
  <c r="CV175" i="21"/>
  <c r="BP46" i="21"/>
  <c r="EI46" i="21" s="1"/>
  <c r="BC255" i="21"/>
  <c r="CN255" i="21" s="1"/>
  <c r="CD4" i="21"/>
  <c r="BP35" i="21"/>
  <c r="EI35" i="21" s="1"/>
  <c r="DM427" i="21"/>
  <c r="DM140" i="21"/>
  <c r="DM147" i="21"/>
  <c r="DT101" i="21"/>
  <c r="ET340" i="21"/>
  <c r="EU340" i="21" s="1"/>
  <c r="EV340" i="21" s="1"/>
  <c r="CX279" i="21"/>
  <c r="FI279" i="21"/>
  <c r="DC342" i="21"/>
  <c r="FJ342" i="21"/>
  <c r="CB408" i="21"/>
  <c r="CI408" i="21" s="1"/>
  <c r="CK408" i="21" s="1"/>
  <c r="CP408" i="21" s="1"/>
  <c r="EU109" i="21"/>
  <c r="EV109" i="21" s="1"/>
  <c r="ET109" i="21"/>
  <c r="EY109" i="21"/>
  <c r="EZ109" i="21" s="1"/>
  <c r="AY336" i="21"/>
  <c r="BH336" i="21" s="1"/>
  <c r="DQ475" i="21"/>
  <c r="DR475" i="21" s="1"/>
  <c r="FJ425" i="21"/>
  <c r="DC425" i="21"/>
  <c r="BC128" i="21"/>
  <c r="CN128" i="21" s="1"/>
  <c r="EH332" i="21"/>
  <c r="EG332" i="21"/>
  <c r="EH273" i="21"/>
  <c r="EG273" i="21"/>
  <c r="ET431" i="21"/>
  <c r="EU431" i="21" s="1"/>
  <c r="EV431" i="21" s="1"/>
  <c r="DN495" i="21"/>
  <c r="ER495" i="21"/>
  <c r="ES495" i="21"/>
  <c r="CW324" i="21"/>
  <c r="FJ324" i="21"/>
  <c r="BC177" i="21"/>
  <c r="CN177" i="21" s="1"/>
  <c r="EG249" i="21"/>
  <c r="EH249" i="21"/>
  <c r="AY196" i="21"/>
  <c r="BH196" i="21" s="1"/>
  <c r="BJ196" i="21" s="1"/>
  <c r="BJ391" i="21"/>
  <c r="ET382" i="21"/>
  <c r="EU382" i="21" s="1"/>
  <c r="EV382" i="21" s="1"/>
  <c r="FJ151" i="21"/>
  <c r="DC151" i="21"/>
  <c r="ET114" i="21"/>
  <c r="EU114" i="21" s="1"/>
  <c r="EV114" i="21" s="1"/>
  <c r="EY114" i="21"/>
  <c r="EZ114" i="21" s="1"/>
  <c r="ET250" i="21"/>
  <c r="EU250" i="21" s="1"/>
  <c r="EV250" i="21" s="1"/>
  <c r="CV299" i="21"/>
  <c r="FH299" i="21"/>
  <c r="BC313" i="21"/>
  <c r="CN313" i="21" s="1"/>
  <c r="BC88" i="21"/>
  <c r="CN88" i="21" s="1"/>
  <c r="DT210" i="21"/>
  <c r="BI210" i="21"/>
  <c r="BJ210" i="21" s="1"/>
  <c r="EL9" i="21"/>
  <c r="EL8" i="21" s="1"/>
  <c r="EL7" i="21" s="1"/>
  <c r="ET92" i="21"/>
  <c r="EU92" i="21" s="1"/>
  <c r="EV92" i="21" s="1"/>
  <c r="EY92" i="21"/>
  <c r="EZ92" i="21" s="1"/>
  <c r="AR193" i="21"/>
  <c r="AU193" i="21"/>
  <c r="BI224" i="21"/>
  <c r="BJ224" i="21" s="1"/>
  <c r="DT224" i="21"/>
  <c r="BC146" i="21"/>
  <c r="CN146" i="21" s="1"/>
  <c r="FJ309" i="21"/>
  <c r="DC309" i="21"/>
  <c r="ET314" i="21"/>
  <c r="EU314" i="21" s="1"/>
  <c r="EV314" i="21" s="1"/>
  <c r="FJ370" i="21"/>
  <c r="CW370" i="21"/>
  <c r="BC98" i="21"/>
  <c r="CN98" i="21" s="1"/>
  <c r="EG306" i="21"/>
  <c r="EH306" i="21"/>
  <c r="BC184" i="21"/>
  <c r="CN184" i="21" s="1"/>
  <c r="ET430" i="21"/>
  <c r="EU430" i="21"/>
  <c r="EV430" i="21" s="1"/>
  <c r="BC222" i="21"/>
  <c r="AY289" i="21"/>
  <c r="BH289" i="21" s="1"/>
  <c r="BJ289" i="21" s="1"/>
  <c r="DT194" i="21"/>
  <c r="BI194" i="21"/>
  <c r="BJ194" i="21" s="1"/>
  <c r="EG310" i="21"/>
  <c r="EH310" i="21"/>
  <c r="BH352" i="21"/>
  <c r="AZ352" i="21"/>
  <c r="CX194" i="21"/>
  <c r="FI194" i="21"/>
  <c r="BC145" i="21"/>
  <c r="CN145" i="21" s="1"/>
  <c r="BO68" i="21"/>
  <c r="BP68" i="21" s="1"/>
  <c r="EI68" i="21" s="1"/>
  <c r="DQ29" i="21"/>
  <c r="DP29" i="21"/>
  <c r="DO29" i="21"/>
  <c r="ET352" i="21"/>
  <c r="EU352" i="21" s="1"/>
  <c r="EV352" i="21" s="1"/>
  <c r="ET316" i="21"/>
  <c r="EU316" i="21" s="1"/>
  <c r="EV316" i="21" s="1"/>
  <c r="AV168" i="21"/>
  <c r="AW168" i="21" s="1"/>
  <c r="BC168" i="21"/>
  <c r="CN168" i="21" s="1"/>
  <c r="BO78" i="21"/>
  <c r="BP78" i="21" s="1"/>
  <c r="EI78" i="21" s="1"/>
  <c r="DM255" i="21"/>
  <c r="FI255" i="21"/>
  <c r="CX255" i="21"/>
  <c r="AY312" i="21"/>
  <c r="AZ312" i="21" s="1"/>
  <c r="DM299" i="21"/>
  <c r="FG320" i="21"/>
  <c r="CU320" i="21"/>
  <c r="BH357" i="21"/>
  <c r="BJ357" i="21" s="1"/>
  <c r="FI263" i="21"/>
  <c r="DD263" i="21"/>
  <c r="BH382" i="21"/>
  <c r="AZ382" i="21"/>
  <c r="AY382" i="21"/>
  <c r="BJ365" i="21"/>
  <c r="EH413" i="21"/>
  <c r="EG413" i="21"/>
  <c r="DM437" i="21"/>
  <c r="EY45" i="21"/>
  <c r="EZ45" i="21" s="1"/>
  <c r="DA146" i="21"/>
  <c r="FG146" i="21"/>
  <c r="FI89" i="21"/>
  <c r="CX89" i="21"/>
  <c r="DP48" i="21"/>
  <c r="DO48" i="21"/>
  <c r="BC66" i="21"/>
  <c r="CN66" i="21" s="1"/>
  <c r="FG187" i="21"/>
  <c r="DA187" i="21"/>
  <c r="CX59" i="21"/>
  <c r="FI59" i="21"/>
  <c r="BO128" i="21"/>
  <c r="ET115" i="21"/>
  <c r="EU115" i="21" s="1"/>
  <c r="EV115" i="21" s="1"/>
  <c r="EY115" i="21"/>
  <c r="EZ115" i="21" s="1"/>
  <c r="DO24" i="21"/>
  <c r="DP24" i="21"/>
  <c r="BO73" i="21"/>
  <c r="BP73" i="21" s="1"/>
  <c r="EI73" i="21" s="1"/>
  <c r="FI207" i="21"/>
  <c r="CX207" i="21"/>
  <c r="DT78" i="21"/>
  <c r="DT53" i="21"/>
  <c r="BO125" i="21"/>
  <c r="BP125" i="21" s="1"/>
  <c r="EI125" i="21" s="1"/>
  <c r="EH125" i="21" s="1"/>
  <c r="ED235" i="21"/>
  <c r="CR235" i="21" s="1"/>
  <c r="ER23" i="21"/>
  <c r="ES23" i="21"/>
  <c r="FJ256" i="21"/>
  <c r="DC256" i="21"/>
  <c r="ET296" i="21"/>
  <c r="EU296" i="21" s="1"/>
  <c r="EV296" i="21" s="1"/>
  <c r="BM86" i="21"/>
  <c r="BL86" i="21"/>
  <c r="BN86" i="21" s="1"/>
  <c r="FJ237" i="21"/>
  <c r="CW237" i="21"/>
  <c r="ET51" i="21"/>
  <c r="BJ309" i="21"/>
  <c r="FI339" i="21"/>
  <c r="CX339" i="21"/>
  <c r="DM252" i="21"/>
  <c r="CW416" i="21"/>
  <c r="FJ416" i="21"/>
  <c r="BH431" i="21"/>
  <c r="AZ431" i="21"/>
  <c r="AY431" i="21"/>
  <c r="ET384" i="21"/>
  <c r="EU384" i="21" s="1"/>
  <c r="EV384" i="21" s="1"/>
  <c r="DT402" i="21"/>
  <c r="BI402" i="21"/>
  <c r="BJ402" i="21" s="1"/>
  <c r="EH92" i="21"/>
  <c r="EG92" i="21"/>
  <c r="BP65" i="21"/>
  <c r="EI65" i="21" s="1"/>
  <c r="BO151" i="21"/>
  <c r="BP151" i="21" s="1"/>
  <c r="EI151" i="21" s="1"/>
  <c r="EH151" i="21" s="1"/>
  <c r="ET349" i="21"/>
  <c r="EU349" i="21" s="1"/>
  <c r="EV349" i="21" s="1"/>
  <c r="BC209" i="21"/>
  <c r="CN209" i="21" s="1"/>
  <c r="FJ400" i="21"/>
  <c r="DC400" i="21"/>
  <c r="DM239" i="21"/>
  <c r="CX312" i="21"/>
  <c r="FI312" i="21"/>
  <c r="BI466" i="21"/>
  <c r="BJ466" i="21" s="1"/>
  <c r="DT466" i="21"/>
  <c r="BP30" i="21"/>
  <c r="EI30" i="21" s="1"/>
  <c r="EY29" i="21"/>
  <c r="EZ29" i="21"/>
  <c r="CK380" i="21"/>
  <c r="CP380" i="21" s="1"/>
  <c r="FG431" i="21"/>
  <c r="DA431" i="21"/>
  <c r="EU261" i="21"/>
  <c r="EV261" i="21" s="1"/>
  <c r="ET261" i="21"/>
  <c r="FJ436" i="21"/>
  <c r="DC436" i="21"/>
  <c r="CU221" i="21"/>
  <c r="FG221" i="21"/>
  <c r="ET492" i="21"/>
  <c r="EU492" i="21" s="1"/>
  <c r="EV492" i="21" s="1"/>
  <c r="EM492" i="21"/>
  <c r="EP492" i="21" s="1"/>
  <c r="EQ492" i="21" s="1"/>
  <c r="BC234" i="21"/>
  <c r="CN234" i="21" s="1"/>
  <c r="AY345" i="21"/>
  <c r="BH345" i="21" s="1"/>
  <c r="BJ345" i="21" s="1"/>
  <c r="DA390" i="21"/>
  <c r="FG390" i="21"/>
  <c r="DT496" i="21"/>
  <c r="BI496" i="21"/>
  <c r="BJ496" i="21" s="1"/>
  <c r="DM323" i="21"/>
  <c r="ED489" i="21"/>
  <c r="DP489" i="21"/>
  <c r="DQ489" i="21" s="1"/>
  <c r="DO489" i="21"/>
  <c r="BP39" i="21"/>
  <c r="EI39" i="21" s="1"/>
  <c r="ED424" i="21"/>
  <c r="CR424" i="21" s="1"/>
  <c r="ET248" i="21"/>
  <c r="EU248" i="21" s="1"/>
  <c r="EV248" i="21" s="1"/>
  <c r="ET351" i="21"/>
  <c r="EU351" i="21" s="1"/>
  <c r="EV351" i="21" s="1"/>
  <c r="BC157" i="21"/>
  <c r="AV157" i="21"/>
  <c r="AW157" i="21" s="1"/>
  <c r="ET260" i="21"/>
  <c r="EU260" i="21"/>
  <c r="EV260" i="21" s="1"/>
  <c r="DC337" i="21"/>
  <c r="FJ337" i="21"/>
  <c r="FJ444" i="21"/>
  <c r="DC444" i="21"/>
  <c r="FI103" i="21"/>
  <c r="CX103" i="21"/>
  <c r="BJ313" i="21"/>
  <c r="CW435" i="21"/>
  <c r="FJ435" i="21"/>
  <c r="ET194" i="21"/>
  <c r="EU194" i="21" s="1"/>
  <c r="EV194" i="21" s="1"/>
  <c r="EM194" i="21"/>
  <c r="EP194" i="21" s="1"/>
  <c r="EQ194" i="21" s="1"/>
  <c r="EH361" i="21"/>
  <c r="EG361" i="21"/>
  <c r="FG385" i="21"/>
  <c r="CU385" i="21"/>
  <c r="DM58" i="21"/>
  <c r="DT242" i="21"/>
  <c r="BI242" i="21"/>
  <c r="BJ242" i="21" s="1"/>
  <c r="DO22" i="21"/>
  <c r="DP22" i="21"/>
  <c r="ED230" i="21"/>
  <c r="FJ270" i="21"/>
  <c r="DC270" i="21"/>
  <c r="EU319" i="21"/>
  <c r="EV319" i="21" s="1"/>
  <c r="ET319" i="21"/>
  <c r="ET374" i="21"/>
  <c r="EU374" i="21" s="1"/>
  <c r="EV374" i="21" s="1"/>
  <c r="DM322" i="21"/>
  <c r="ET298" i="21"/>
  <c r="EU298" i="21" s="1"/>
  <c r="EV298" i="21" s="1"/>
  <c r="ET422" i="21"/>
  <c r="EU422" i="21" s="1"/>
  <c r="EV422" i="21" s="1"/>
  <c r="BC334" i="21"/>
  <c r="CN334" i="21" s="1"/>
  <c r="EH71" i="21"/>
  <c r="EG71" i="21"/>
  <c r="ET338" i="21"/>
  <c r="EU338" i="21" s="1"/>
  <c r="EV338" i="21" s="1"/>
  <c r="BH447" i="21"/>
  <c r="BJ447" i="21" s="1"/>
  <c r="ED217" i="21"/>
  <c r="DB406" i="21"/>
  <c r="FH406" i="21"/>
  <c r="FJ347" i="21"/>
  <c r="CW347" i="21"/>
  <c r="DD406" i="21"/>
  <c r="FI406" i="21"/>
  <c r="BC231" i="21"/>
  <c r="CN231" i="21" s="1"/>
  <c r="BC365" i="21"/>
  <c r="CN365" i="21" s="1"/>
  <c r="BJ418" i="21"/>
  <c r="EH270" i="21"/>
  <c r="EG270" i="21"/>
  <c r="CU374" i="21"/>
  <c r="FG374" i="21"/>
  <c r="EX473" i="21"/>
  <c r="CU125" i="21"/>
  <c r="FG125" i="21"/>
  <c r="BI298" i="21"/>
  <c r="BJ298" i="21" s="1"/>
  <c r="DT298" i="21"/>
  <c r="FI317" i="21"/>
  <c r="DD317" i="21"/>
  <c r="EH388" i="21"/>
  <c r="EG388" i="21"/>
  <c r="BL71" i="21"/>
  <c r="BN71" i="21" s="1"/>
  <c r="BM71" i="21"/>
  <c r="FG338" i="21"/>
  <c r="DA338" i="21"/>
  <c r="BC373" i="21"/>
  <c r="CN373" i="21" s="1"/>
  <c r="EX167" i="21"/>
  <c r="AU166" i="21"/>
  <c r="AR166" i="21"/>
  <c r="EH89" i="21"/>
  <c r="EG89" i="21"/>
  <c r="BC76" i="21"/>
  <c r="CN76" i="21" s="1"/>
  <c r="BC147" i="21"/>
  <c r="CN147" i="21" s="1"/>
  <c r="FJ58" i="21"/>
  <c r="CW58" i="21"/>
  <c r="DT218" i="21"/>
  <c r="BI218" i="21"/>
  <c r="BJ218" i="21" s="1"/>
  <c r="FJ116" i="21"/>
  <c r="CW116" i="21"/>
  <c r="BI175" i="21"/>
  <c r="BJ175" i="21" s="1"/>
  <c r="DT175" i="21"/>
  <c r="EH102" i="21"/>
  <c r="EG102" i="21"/>
  <c r="DT115" i="21"/>
  <c r="ED233" i="21"/>
  <c r="CR233" i="21" s="1"/>
  <c r="DM192" i="21"/>
  <c r="ET53" i="21"/>
  <c r="EU53" i="21" s="1"/>
  <c r="EV53" i="21" s="1"/>
  <c r="BJ157" i="21"/>
  <c r="AU217" i="21"/>
  <c r="AR217" i="21"/>
  <c r="BH330" i="21"/>
  <c r="AZ330" i="21"/>
  <c r="FJ120" i="21"/>
  <c r="DC120" i="21"/>
  <c r="FI187" i="21"/>
  <c r="DD187" i="21"/>
  <c r="DA296" i="21"/>
  <c r="FG296" i="21"/>
  <c r="EG86" i="21"/>
  <c r="EH86" i="21"/>
  <c r="EH409" i="21"/>
  <c r="EG409" i="21"/>
  <c r="EU51" i="21"/>
  <c r="EV51" i="21" s="1"/>
  <c r="CW339" i="21"/>
  <c r="FJ339" i="21"/>
  <c r="DM280" i="21"/>
  <c r="DM311" i="21"/>
  <c r="DP494" i="21"/>
  <c r="DO494" i="21"/>
  <c r="ED494" i="21"/>
  <c r="ET226" i="21"/>
  <c r="EU226" i="21" s="1"/>
  <c r="EV226" i="21" s="1"/>
  <c r="BJ393" i="21"/>
  <c r="DQ477" i="21"/>
  <c r="DR477" i="21" s="1"/>
  <c r="DS477" i="21" s="1"/>
  <c r="FJ278" i="21"/>
  <c r="DC278" i="21"/>
  <c r="ET343" i="21"/>
  <c r="EU343" i="21" s="1"/>
  <c r="EV343" i="21" s="1"/>
  <c r="FJ150" i="21"/>
  <c r="DC150" i="21"/>
  <c r="DM155" i="21"/>
  <c r="ER155" i="21"/>
  <c r="ES155" i="21"/>
  <c r="FI202" i="21"/>
  <c r="CX202" i="21"/>
  <c r="BF29" i="21"/>
  <c r="CK29" i="21"/>
  <c r="FG357" i="21"/>
  <c r="DA357" i="21"/>
  <c r="FG261" i="21"/>
  <c r="CU261" i="21"/>
  <c r="DC427" i="21"/>
  <c r="FJ427" i="21"/>
  <c r="ED282" i="21"/>
  <c r="CR282" i="21" s="1"/>
  <c r="DM78" i="21"/>
  <c r="BF390" i="21"/>
  <c r="CO390" i="21" s="1"/>
  <c r="CK390" i="21"/>
  <c r="CP390" i="21" s="1"/>
  <c r="EM496" i="21"/>
  <c r="EP496" i="21" s="1"/>
  <c r="EQ496" i="21" s="1"/>
  <c r="EU496" i="21"/>
  <c r="EV496" i="21" s="1"/>
  <c r="ET496" i="21"/>
  <c r="ET299" i="21"/>
  <c r="EU299" i="21" s="1"/>
  <c r="EV299" i="21" s="1"/>
  <c r="ET201" i="21"/>
  <c r="EU201" i="21" s="1"/>
  <c r="EV201" i="21" s="1"/>
  <c r="EX489" i="21"/>
  <c r="FJ236" i="21"/>
  <c r="BC422" i="21"/>
  <c r="CN422" i="21" s="1"/>
  <c r="EH438" i="21"/>
  <c r="EG438" i="21"/>
  <c r="FG248" i="21"/>
  <c r="CU248" i="21"/>
  <c r="CU351" i="21"/>
  <c r="FG351" i="21"/>
  <c r="FI426" i="21"/>
  <c r="CX426" i="21"/>
  <c r="FG260" i="21"/>
  <c r="CU260" i="21"/>
  <c r="FJ103" i="21"/>
  <c r="CW103" i="21"/>
  <c r="DT95" i="21"/>
  <c r="DM164" i="21"/>
  <c r="EY26" i="21"/>
  <c r="EZ26" i="21" s="1"/>
  <c r="EG382" i="21"/>
  <c r="EH382" i="21"/>
  <c r="ET385" i="21"/>
  <c r="EU385" i="21" s="1"/>
  <c r="EV385" i="21" s="1"/>
  <c r="ET242" i="21"/>
  <c r="EU242" i="21" s="1"/>
  <c r="EV242" i="21" s="1"/>
  <c r="CK449" i="21"/>
  <c r="CP449" i="21" s="1"/>
  <c r="FG319" i="21"/>
  <c r="DA319" i="21"/>
  <c r="FI443" i="21"/>
  <c r="CX443" i="21"/>
  <c r="ED244" i="21"/>
  <c r="CR244" i="21" s="1"/>
  <c r="CW71" i="21"/>
  <c r="FJ71" i="21"/>
  <c r="CX447" i="21"/>
  <c r="FI447" i="21"/>
  <c r="BC134" i="21"/>
  <c r="CN134" i="21" s="1"/>
  <c r="ED326" i="21"/>
  <c r="CR326" i="21" s="1"/>
  <c r="FJ191" i="21"/>
  <c r="CW191" i="21"/>
  <c r="AR213" i="21"/>
  <c r="AU213" i="21"/>
  <c r="BM89" i="21"/>
  <c r="BL89" i="21"/>
  <c r="BN89" i="21" s="1"/>
  <c r="BC190" i="21"/>
  <c r="CN190" i="21" s="1"/>
  <c r="DD208" i="21"/>
  <c r="FI208" i="21"/>
  <c r="FJ74" i="21"/>
  <c r="CW74" i="21"/>
  <c r="EU187" i="21"/>
  <c r="EV187" i="21" s="1"/>
  <c r="ET187" i="21"/>
  <c r="CK212" i="21"/>
  <c r="CO12" i="21"/>
  <c r="ET19" i="21"/>
  <c r="EU19" i="21" s="1"/>
  <c r="EV19" i="21" s="1"/>
  <c r="EH302" i="21"/>
  <c r="EG302" i="21"/>
  <c r="DT201" i="21"/>
  <c r="BI201" i="21"/>
  <c r="CB192" i="21"/>
  <c r="CI192" i="21" s="1"/>
  <c r="CK192" i="21" s="1"/>
  <c r="CP192" i="21" s="1"/>
  <c r="ET45" i="21"/>
  <c r="EU45" i="21" s="1"/>
  <c r="EV45" i="21" s="1"/>
  <c r="CK51" i="21"/>
  <c r="BC112" i="21"/>
  <c r="CN112" i="21" s="1"/>
  <c r="ET173" i="21"/>
  <c r="EU173" i="21" s="1"/>
  <c r="EV173" i="21" s="1"/>
  <c r="EG330" i="21"/>
  <c r="EH330" i="21"/>
  <c r="EH333" i="21"/>
  <c r="EG333" i="21"/>
  <c r="BP87" i="21"/>
  <c r="EI87" i="21" s="1"/>
  <c r="FI120" i="21"/>
  <c r="DD120" i="21"/>
  <c r="FI246" i="21"/>
  <c r="DD246" i="21"/>
  <c r="CB86" i="21"/>
  <c r="CI86" i="21" s="1"/>
  <c r="CK86" i="21" s="1"/>
  <c r="CP86" i="21" s="1"/>
  <c r="CK381" i="21"/>
  <c r="CP381" i="21" s="1"/>
  <c r="BC364" i="21"/>
  <c r="CN364" i="21" s="1"/>
  <c r="FJ409" i="21"/>
  <c r="DC409" i="21"/>
  <c r="ED268" i="21"/>
  <c r="CR268" i="21" s="1"/>
  <c r="DP33" i="21"/>
  <c r="DO33" i="21"/>
  <c r="DQ33" i="21"/>
  <c r="CW82" i="21"/>
  <c r="FJ82" i="21"/>
  <c r="AZ178" i="21"/>
  <c r="DA384" i="21"/>
  <c r="FG384" i="21"/>
  <c r="ET449" i="21"/>
  <c r="EU449" i="21" s="1"/>
  <c r="EV449" i="21" s="1"/>
  <c r="BF226" i="21"/>
  <c r="CK226" i="21"/>
  <c r="BC254" i="21"/>
  <c r="CN254" i="21" s="1"/>
  <c r="DQ471" i="21"/>
  <c r="DR471" i="21" s="1"/>
  <c r="DS471" i="21" s="1"/>
  <c r="ET232" i="21"/>
  <c r="EU232" i="21"/>
  <c r="EV232" i="21" s="1"/>
  <c r="BC287" i="21"/>
  <c r="CN287" i="21" s="1"/>
  <c r="FG343" i="21"/>
  <c r="CU343" i="21"/>
  <c r="BJ434" i="21"/>
  <c r="CK173" i="21"/>
  <c r="CP173" i="21" s="1"/>
  <c r="CW279" i="21"/>
  <c r="FJ279" i="21"/>
  <c r="FJ377" i="21"/>
  <c r="DC377" i="21"/>
  <c r="CU442" i="21"/>
  <c r="FG442" i="21"/>
  <c r="DP216" i="21"/>
  <c r="DO216" i="21"/>
  <c r="ED216" i="21"/>
  <c r="CW97" i="21"/>
  <c r="FJ97" i="21"/>
  <c r="CB202" i="21"/>
  <c r="CI202" i="21" s="1"/>
  <c r="CK202" i="21" s="1"/>
  <c r="CP202" i="21" s="1"/>
  <c r="CV430" i="21"/>
  <c r="FH430" i="21"/>
  <c r="ET357" i="21"/>
  <c r="EU357" i="21" s="1"/>
  <c r="EV357" i="21" s="1"/>
  <c r="DA413" i="21"/>
  <c r="FG413" i="21"/>
  <c r="BC219" i="21"/>
  <c r="ED389" i="21"/>
  <c r="CR389" i="21" s="1"/>
  <c r="ED313" i="21"/>
  <c r="CR313" i="21" s="1"/>
  <c r="FI292" i="21"/>
  <c r="DD292" i="21"/>
  <c r="ET221" i="21"/>
  <c r="EU221" i="21" s="1"/>
  <c r="EV221" i="21" s="1"/>
  <c r="BJ423" i="21"/>
  <c r="DM378" i="21"/>
  <c r="EO37" i="21"/>
  <c r="AZ292" i="21"/>
  <c r="BH292" i="21"/>
  <c r="FJ361" i="21"/>
  <c r="DC361" i="21"/>
  <c r="ED482" i="21"/>
  <c r="DP482" i="21"/>
  <c r="DQ482" i="21"/>
  <c r="DO482" i="21"/>
  <c r="BH176" i="21"/>
  <c r="DB337" i="21"/>
  <c r="FH337" i="21"/>
  <c r="ET95" i="21"/>
  <c r="EU95" i="21" s="1"/>
  <c r="EV95" i="21" s="1"/>
  <c r="FI366" i="21"/>
  <c r="CX366" i="21"/>
  <c r="DN476" i="21"/>
  <c r="ES476" i="21"/>
  <c r="ER476" i="21"/>
  <c r="DM421" i="21"/>
  <c r="DM292" i="21"/>
  <c r="BI401" i="21"/>
  <c r="BJ401" i="21" s="1"/>
  <c r="DT401" i="21"/>
  <c r="ED327" i="21"/>
  <c r="CR327" i="21" s="1"/>
  <c r="EY95" i="21"/>
  <c r="EZ95" i="21" s="1"/>
  <c r="FG378" i="21"/>
  <c r="DA378" i="21"/>
  <c r="DD270" i="21"/>
  <c r="FI270" i="21"/>
  <c r="AY443" i="21"/>
  <c r="BH443" i="21" s="1"/>
  <c r="BJ443" i="21" s="1"/>
  <c r="AZ443" i="21"/>
  <c r="EW468" i="21"/>
  <c r="EX468" i="21" s="1"/>
  <c r="BC259" i="21"/>
  <c r="CN259" i="21" s="1"/>
  <c r="DT93" i="21"/>
  <c r="CU422" i="21"/>
  <c r="FG422" i="21"/>
  <c r="FG135" i="21"/>
  <c r="CU135" i="21"/>
  <c r="FJ447" i="21"/>
  <c r="CW447" i="21"/>
  <c r="ET262" i="21"/>
  <c r="EU262" i="21" s="1"/>
  <c r="EV262" i="21" s="1"/>
  <c r="BC341" i="21"/>
  <c r="CN341" i="21" s="1"/>
  <c r="BC68" i="21"/>
  <c r="CN68" i="21" s="1"/>
  <c r="ED188" i="21"/>
  <c r="CR188" i="21" s="1"/>
  <c r="FI245" i="21"/>
  <c r="DD245" i="21"/>
  <c r="EZ34" i="21"/>
  <c r="FH60" i="21"/>
  <c r="CV60" i="21"/>
  <c r="AT169" i="21"/>
  <c r="DU169" i="21" s="1"/>
  <c r="DN169" i="21" s="1"/>
  <c r="DO169" i="21" s="1"/>
  <c r="AP170" i="21"/>
  <c r="ET253" i="21"/>
  <c r="EU253" i="21" s="1"/>
  <c r="EV253" i="21" s="1"/>
  <c r="CU240" i="21"/>
  <c r="FG240" i="21"/>
  <c r="CO10" i="21"/>
  <c r="CO11" i="21" s="1"/>
  <c r="DT189" i="21"/>
  <c r="BI189" i="21"/>
  <c r="BJ189" i="21" s="1"/>
  <c r="CW193" i="21"/>
  <c r="FJ193" i="21"/>
  <c r="FI192" i="21"/>
  <c r="CX192" i="21"/>
  <c r="DR159" i="21"/>
  <c r="BI159" i="21"/>
  <c r="BJ159" i="21" s="1"/>
  <c r="DT207" i="21"/>
  <c r="BI207" i="21"/>
  <c r="DA173" i="21"/>
  <c r="FG173" i="21"/>
  <c r="CB330" i="21"/>
  <c r="CI330" i="21" s="1"/>
  <c r="CK330" i="21" s="1"/>
  <c r="CP330" i="21" s="1"/>
  <c r="EG100" i="21"/>
  <c r="EH100" i="21"/>
  <c r="CK293" i="21"/>
  <c r="CP293" i="21" s="1"/>
  <c r="BC320" i="21"/>
  <c r="CN320" i="21" s="1"/>
  <c r="DC297" i="21"/>
  <c r="FJ297" i="21"/>
  <c r="ED362" i="21"/>
  <c r="CR362" i="21" s="1"/>
  <c r="ET402" i="21"/>
  <c r="EU402" i="21" s="1"/>
  <c r="EV402" i="21" s="1"/>
  <c r="DT228" i="21"/>
  <c r="BI228" i="21"/>
  <c r="BJ228" i="21" s="1"/>
  <c r="FG366" i="21"/>
  <c r="CU366" i="21"/>
  <c r="FI437" i="21"/>
  <c r="DD437" i="21"/>
  <c r="DD431" i="21"/>
  <c r="FI431" i="21"/>
  <c r="CK362" i="21"/>
  <c r="CP362" i="21" s="1"/>
  <c r="FH372" i="21"/>
  <c r="CV372" i="21"/>
  <c r="BJ431" i="21"/>
  <c r="DA449" i="21"/>
  <c r="FG449" i="21"/>
  <c r="ED167" i="21"/>
  <c r="CR167" i="21" s="1"/>
  <c r="DO167" i="21"/>
  <c r="DP167" i="21"/>
  <c r="DQ167" i="21" s="1"/>
  <c r="DR167" i="21" s="1"/>
  <c r="DM227" i="21"/>
  <c r="ED211" i="21"/>
  <c r="CR211" i="21" s="1"/>
  <c r="CU232" i="21"/>
  <c r="FG232" i="21"/>
  <c r="DT169" i="21"/>
  <c r="BI169" i="21"/>
  <c r="BJ169" i="21" s="1"/>
  <c r="BJ238" i="21"/>
  <c r="ET442" i="21"/>
  <c r="EU442" i="21" s="1"/>
  <c r="EV442" i="21" s="1"/>
  <c r="ED191" i="21"/>
  <c r="CR191" i="21" s="1"/>
  <c r="BJ331" i="21"/>
  <c r="EL39" i="21"/>
  <c r="EK39" i="21" s="1"/>
  <c r="Y39" i="21"/>
  <c r="BC133" i="21"/>
  <c r="CN133" i="21" s="1"/>
  <c r="ET333" i="21"/>
  <c r="EU333" i="21" s="1"/>
  <c r="EV333" i="21" s="1"/>
  <c r="EH380" i="21"/>
  <c r="EG380" i="21"/>
  <c r="ET413" i="21"/>
  <c r="EU413" i="21" s="1"/>
  <c r="EV413" i="21" s="1"/>
  <c r="BI346" i="21"/>
  <c r="BJ346" i="21" s="1"/>
  <c r="DT346" i="21"/>
  <c r="BC151" i="21"/>
  <c r="CN151" i="21" s="1"/>
  <c r="BJ438" i="21"/>
  <c r="EG345" i="21"/>
  <c r="EH345" i="21"/>
  <c r="BP38" i="21"/>
  <c r="EI38" i="21" s="1"/>
  <c r="BC315" i="21"/>
  <c r="CN315" i="21" s="1"/>
  <c r="BP126" i="21"/>
  <c r="EI126" i="21" s="1"/>
  <c r="EH126" i="21" s="1"/>
  <c r="AY316" i="21"/>
  <c r="BH316" i="21" s="1"/>
  <c r="DA201" i="21"/>
  <c r="FG201" i="21"/>
  <c r="DM278" i="21"/>
  <c r="DT449" i="21"/>
  <c r="BI449" i="21"/>
  <c r="EX482" i="21"/>
  <c r="BC389" i="21"/>
  <c r="CN389" i="21" s="1"/>
  <c r="CK285" i="21"/>
  <c r="CP285" i="21" s="1"/>
  <c r="FJ286" i="21"/>
  <c r="DC286" i="21"/>
  <c r="EU75" i="21"/>
  <c r="EV75" i="21" s="1"/>
  <c r="ED182" i="21"/>
  <c r="CR182" i="21" s="1"/>
  <c r="ED446" i="21"/>
  <c r="CR446" i="21" s="1"/>
  <c r="FH199" i="21"/>
  <c r="CV199" i="21"/>
  <c r="DT406" i="21"/>
  <c r="BI406" i="21"/>
  <c r="BJ406" i="21" s="1"/>
  <c r="ET401" i="21"/>
  <c r="EU401" i="21" s="1"/>
  <c r="EV401" i="21" s="1"/>
  <c r="CV224" i="21"/>
  <c r="FH224" i="21"/>
  <c r="BC397" i="21"/>
  <c r="CN397" i="21" s="1"/>
  <c r="ED237" i="21"/>
  <c r="CR237" i="21" s="1"/>
  <c r="ET378" i="21"/>
  <c r="EU378" i="21" s="1"/>
  <c r="EV378" i="21" s="1"/>
  <c r="EH443" i="21"/>
  <c r="EG443" i="21"/>
  <c r="DP468" i="21"/>
  <c r="ED468" i="21"/>
  <c r="DO468" i="21"/>
  <c r="CW368" i="21"/>
  <c r="FJ368" i="21"/>
  <c r="EY93" i="21"/>
  <c r="EZ93" i="21" s="1"/>
  <c r="ET93" i="21"/>
  <c r="EU93" i="21" s="1"/>
  <c r="EV93" i="21" s="1"/>
  <c r="DM241" i="21"/>
  <c r="FH340" i="21"/>
  <c r="CV340" i="21"/>
  <c r="EG54" i="21"/>
  <c r="EH54" i="21"/>
  <c r="AV217" i="21"/>
  <c r="AW217" i="21" s="1"/>
  <c r="BC217" i="21"/>
  <c r="CK397" i="21"/>
  <c r="CP397" i="21" s="1"/>
  <c r="CX71" i="21"/>
  <c r="FI71" i="21"/>
  <c r="EG374" i="21"/>
  <c r="EH374" i="21"/>
  <c r="BH440" i="21"/>
  <c r="BJ440" i="21" s="1"/>
  <c r="AZ440" i="21"/>
  <c r="CK382" i="21"/>
  <c r="CP382" i="21" s="1"/>
  <c r="BC355" i="21"/>
  <c r="CN355" i="21" s="1"/>
  <c r="EG61" i="21"/>
  <c r="EH61" i="21"/>
  <c r="CB263" i="21"/>
  <c r="CI263" i="21" s="1"/>
  <c r="CK263" i="21" s="1"/>
  <c r="CP263" i="21" s="1"/>
  <c r="EU285" i="21"/>
  <c r="EV285" i="21" s="1"/>
  <c r="ET285" i="21"/>
  <c r="CK319" i="21"/>
  <c r="CP319" i="21" s="1"/>
  <c r="BO48" i="21"/>
  <c r="BP48" i="21" s="1"/>
  <c r="EI48" i="21" s="1"/>
  <c r="AR104" i="21"/>
  <c r="AU104" i="21"/>
  <c r="BF170" i="21"/>
  <c r="CO170" i="21" s="1"/>
  <c r="CK170" i="21"/>
  <c r="CP170" i="21" s="1"/>
  <c r="ET240" i="21"/>
  <c r="EU240" i="21" s="1"/>
  <c r="EV240" i="21" s="1"/>
  <c r="DT73" i="21"/>
  <c r="FG165" i="21"/>
  <c r="CU165" i="21"/>
  <c r="CM14" i="21"/>
  <c r="CM15" i="21" s="1"/>
  <c r="CM16" i="21"/>
  <c r="CM17" i="21"/>
  <c r="EZ148" i="21"/>
  <c r="ET179" i="21"/>
  <c r="EU179" i="21" s="1"/>
  <c r="EV179" i="21" s="1"/>
  <c r="FG175" i="21"/>
  <c r="CU175" i="21"/>
  <c r="ET228" i="21"/>
  <c r="EU228" i="21" s="1"/>
  <c r="EV228" i="21" s="1"/>
  <c r="BP21" i="21"/>
  <c r="EI21" i="21" s="1"/>
  <c r="ED197" i="21"/>
  <c r="CR197" i="21" s="1"/>
  <c r="CW137" i="21"/>
  <c r="FJ137" i="21"/>
  <c r="BC286" i="21"/>
  <c r="CN286" i="21" s="1"/>
  <c r="FI346" i="21"/>
  <c r="DD346" i="21"/>
  <c r="EY35" i="21"/>
  <c r="EZ35" i="21" s="1"/>
  <c r="DC169" i="21"/>
  <c r="FJ169" i="21"/>
  <c r="CB265" i="21"/>
  <c r="CI265" i="21" s="1"/>
  <c r="CK265" i="21" s="1"/>
  <c r="CP265" i="21" s="1"/>
  <c r="ED261" i="21"/>
  <c r="CR261" i="21" s="1"/>
  <c r="BC192" i="21"/>
  <c r="CN192" i="21" s="1"/>
  <c r="AV192" i="21"/>
  <c r="AW192" i="21" s="1"/>
  <c r="FH269" i="21"/>
  <c r="DB269" i="21"/>
  <c r="BC381" i="21"/>
  <c r="CN381" i="21" s="1"/>
  <c r="DM68" i="21"/>
  <c r="FG186" i="21"/>
  <c r="DA186" i="21"/>
  <c r="EH367" i="21"/>
  <c r="EG367" i="21"/>
  <c r="BM82" i="21"/>
  <c r="BL82" i="21"/>
  <c r="BN82" i="21" s="1"/>
  <c r="ET257" i="21"/>
  <c r="EU257" i="21" s="1"/>
  <c r="EV257" i="21" s="1"/>
  <c r="CB307" i="21"/>
  <c r="CI307" i="21" s="1"/>
  <c r="CK307" i="21" s="1"/>
  <c r="CP307" i="21" s="1"/>
  <c r="DT208" i="21"/>
  <c r="BI208" i="21"/>
  <c r="BJ208" i="21" s="1"/>
  <c r="FG293" i="21"/>
  <c r="DA293" i="21"/>
  <c r="CB419" i="21"/>
  <c r="CI419" i="21" s="1"/>
  <c r="CK419" i="21" s="1"/>
  <c r="CP419" i="21" s="1"/>
  <c r="BH415" i="21"/>
  <c r="BJ415" i="21" s="1"/>
  <c r="AY415" i="21"/>
  <c r="AZ415" i="21" s="1"/>
  <c r="FL344" i="21"/>
  <c r="CZ344" i="21"/>
  <c r="BJ416" i="21"/>
  <c r="EG448" i="21"/>
  <c r="ED180" i="21"/>
  <c r="CR180" i="21" s="1"/>
  <c r="DM377" i="21"/>
  <c r="BJ192" i="21"/>
  <c r="BJ322" i="21"/>
  <c r="EG295" i="21"/>
  <c r="ED402" i="21"/>
  <c r="CR402" i="21" s="1"/>
  <c r="BJ439" i="21"/>
  <c r="DB253" i="21"/>
  <c r="FH253" i="21"/>
  <c r="EY122" i="21"/>
  <c r="EZ122" i="21" s="1"/>
  <c r="ET122" i="21"/>
  <c r="EU122" i="21" s="1"/>
  <c r="EV122" i="21" s="1"/>
  <c r="BC215" i="21"/>
  <c r="AV215" i="21"/>
  <c r="AW215" i="21" s="1"/>
  <c r="CK351" i="21"/>
  <c r="CP351" i="21" s="1"/>
  <c r="ET196" i="21"/>
  <c r="EU196" i="21" s="1"/>
  <c r="EV196" i="21" s="1"/>
  <c r="CB417" i="21"/>
  <c r="CI417" i="21" s="1"/>
  <c r="CK417" i="21" s="1"/>
  <c r="CP417" i="21" s="1"/>
  <c r="AZ283" i="21"/>
  <c r="AY283" i="21"/>
  <c r="BH283" i="21" s="1"/>
  <c r="BJ283" i="21" s="1"/>
  <c r="CB316" i="21"/>
  <c r="CI316" i="21" s="1"/>
  <c r="CK316" i="21" s="1"/>
  <c r="CP316" i="21" s="1"/>
  <c r="FG356" i="21"/>
  <c r="CU356" i="21"/>
  <c r="BH222" i="21"/>
  <c r="BJ222" i="21" s="1"/>
  <c r="BL83" i="21"/>
  <c r="BN83" i="21" s="1"/>
  <c r="BM83" i="21"/>
  <c r="ED177" i="21"/>
  <c r="CR177" i="21" s="1"/>
  <c r="ET235" i="21"/>
  <c r="EU235" i="21" s="1"/>
  <c r="EV235" i="21" s="1"/>
  <c r="FG265" i="21"/>
  <c r="DA265" i="21"/>
  <c r="AY284" i="21"/>
  <c r="BH284" i="21" s="1"/>
  <c r="BJ284" i="21" s="1"/>
  <c r="ED372" i="21"/>
  <c r="CR372" i="21" s="1"/>
  <c r="BP25" i="21"/>
  <c r="EI25" i="21" s="1"/>
  <c r="ED355" i="21"/>
  <c r="CR355" i="21" s="1"/>
  <c r="BH257" i="21"/>
  <c r="BJ257" i="21" s="1"/>
  <c r="BH403" i="21"/>
  <c r="BJ403" i="21" s="1"/>
  <c r="AZ403" i="21"/>
  <c r="ET291" i="21"/>
  <c r="EU291" i="21" s="1"/>
  <c r="EV291" i="21" s="1"/>
  <c r="AZ448" i="21"/>
  <c r="BJ441" i="21"/>
  <c r="DM248" i="21"/>
  <c r="AZ402" i="21"/>
  <c r="CU423" i="21"/>
  <c r="FG423" i="21"/>
  <c r="EG405" i="21"/>
  <c r="EH405" i="21"/>
  <c r="EU155" i="21"/>
  <c r="EV155" i="21" s="1"/>
  <c r="FI201" i="21"/>
  <c r="DD201" i="21"/>
  <c r="BI344" i="21"/>
  <c r="BJ344" i="21" s="1"/>
  <c r="DT344" i="21"/>
  <c r="AZ221" i="21"/>
  <c r="BC470" i="21"/>
  <c r="DU470" i="21"/>
  <c r="EM470" i="21" s="1"/>
  <c r="EP470" i="21" s="1"/>
  <c r="EQ470" i="21" s="1"/>
  <c r="AZ439" i="21"/>
  <c r="ED480" i="21"/>
  <c r="DP480" i="21"/>
  <c r="DO480" i="21"/>
  <c r="CB374" i="21"/>
  <c r="CI374" i="21" s="1"/>
  <c r="CK374" i="21" s="1"/>
  <c r="CP374" i="21" s="1"/>
  <c r="DN472" i="21"/>
  <c r="ES472" i="21"/>
  <c r="ER472" i="21"/>
  <c r="FH412" i="21"/>
  <c r="DB412" i="21"/>
  <c r="CU285" i="21"/>
  <c r="FG285" i="21"/>
  <c r="FJ89" i="21"/>
  <c r="CW89" i="21"/>
  <c r="BC208" i="21"/>
  <c r="CN208" i="21" s="1"/>
  <c r="DM103" i="21"/>
  <c r="DN168" i="21"/>
  <c r="DP168" i="21" s="1"/>
  <c r="EM168" i="21"/>
  <c r="EP168" i="21" s="1"/>
  <c r="EQ168" i="21" s="1"/>
  <c r="BI253" i="21"/>
  <c r="BJ253" i="21" s="1"/>
  <c r="DT253" i="21"/>
  <c r="CV240" i="21"/>
  <c r="FH240" i="21"/>
  <c r="CO16" i="21"/>
  <c r="CX112" i="21"/>
  <c r="FI112" i="21"/>
  <c r="CS13" i="21"/>
  <c r="CS10" i="21"/>
  <c r="CS11" i="21" s="1"/>
  <c r="CS12" i="21"/>
  <c r="CU179" i="21"/>
  <c r="FG179" i="21"/>
  <c r="DM152" i="21"/>
  <c r="ED286" i="21"/>
  <c r="CR286" i="21" s="1"/>
  <c r="CW235" i="21"/>
  <c r="FJ235" i="21"/>
  <c r="DC295" i="21"/>
  <c r="FJ295" i="21"/>
  <c r="DO37" i="21"/>
  <c r="DQ37" i="21" s="1"/>
  <c r="DP37" i="21"/>
  <c r="BC73" i="21"/>
  <c r="CN73" i="21" s="1"/>
  <c r="CU402" i="21"/>
  <c r="FG402" i="21"/>
  <c r="EH431" i="21"/>
  <c r="EG431" i="21"/>
  <c r="DA257" i="21"/>
  <c r="FG257" i="21"/>
  <c r="FG310" i="21"/>
  <c r="DA310" i="21"/>
  <c r="AY307" i="21"/>
  <c r="AZ307" i="21" s="1"/>
  <c r="ET397" i="21"/>
  <c r="EU397" i="21" s="1"/>
  <c r="EV397" i="21" s="1"/>
  <c r="CW349" i="21"/>
  <c r="FJ349" i="21"/>
  <c r="BM63" i="21"/>
  <c r="BL63" i="21"/>
  <c r="BN63" i="21" s="1"/>
  <c r="BI494" i="21"/>
  <c r="BJ494" i="21" s="1"/>
  <c r="DT494" i="21"/>
  <c r="BC266" i="21"/>
  <c r="CN266" i="21" s="1"/>
  <c r="BC193" i="21"/>
  <c r="CN193" i="21" s="1"/>
  <c r="AV193" i="21"/>
  <c r="AW193" i="21" s="1"/>
  <c r="ED496" i="21"/>
  <c r="ED171" i="21"/>
  <c r="CR171" i="21" s="1"/>
  <c r="EG403" i="21"/>
  <c r="FG196" i="21"/>
  <c r="CU196" i="21"/>
  <c r="ET31" i="21"/>
  <c r="EU31" i="21" s="1"/>
  <c r="EV31" i="21" s="1"/>
  <c r="EY31" i="21"/>
  <c r="EZ31" i="21" s="1"/>
  <c r="FI335" i="21"/>
  <c r="CX335" i="21"/>
  <c r="DT100" i="21"/>
  <c r="FG99" i="21"/>
  <c r="CU99" i="21"/>
  <c r="FI418" i="21"/>
  <c r="DD418" i="21"/>
  <c r="FI316" i="21"/>
  <c r="DD316" i="21"/>
  <c r="DM201" i="21"/>
  <c r="BC488" i="21"/>
  <c r="DU488" i="21"/>
  <c r="EM488" i="21" s="1"/>
  <c r="EP488" i="21" s="1"/>
  <c r="EQ488" i="21" s="1"/>
  <c r="AV194" i="21"/>
  <c r="AW194" i="21" s="1"/>
  <c r="BC194" i="21"/>
  <c r="CN194" i="21" s="1"/>
  <c r="AT195" i="21"/>
  <c r="DU195" i="21" s="1"/>
  <c r="AP196" i="21"/>
  <c r="BC67" i="21"/>
  <c r="CN67" i="21" s="1"/>
  <c r="ED319" i="21"/>
  <c r="CR319" i="21" s="1"/>
  <c r="DP495" i="21"/>
  <c r="DO495" i="21"/>
  <c r="DQ495" i="21" s="1"/>
  <c r="ED495" i="21"/>
  <c r="DM340" i="21"/>
  <c r="ED178" i="21"/>
  <c r="CR178" i="21" s="1"/>
  <c r="BC127" i="21"/>
  <c r="CN127" i="21" s="1"/>
  <c r="CW402" i="21"/>
  <c r="FJ402" i="21"/>
  <c r="BC493" i="21"/>
  <c r="DU493" i="21"/>
  <c r="EM493" i="21" s="1"/>
  <c r="EP493" i="21" s="1"/>
  <c r="EQ493" i="21" s="1"/>
  <c r="DD258" i="21"/>
  <c r="FI258" i="21"/>
  <c r="BC391" i="21"/>
  <c r="CN391" i="21" s="1"/>
  <c r="CV87" i="21"/>
  <c r="FH87" i="21"/>
  <c r="CW54" i="21"/>
  <c r="FJ54" i="21"/>
  <c r="AV153" i="21"/>
  <c r="AW153" i="21" s="1"/>
  <c r="BC153" i="21"/>
  <c r="DA262" i="21"/>
  <c r="FG262" i="21"/>
  <c r="BC301" i="21"/>
  <c r="CN301" i="21" s="1"/>
  <c r="CW61" i="21"/>
  <c r="FJ61" i="21"/>
  <c r="EH263" i="21"/>
  <c r="EG263" i="21"/>
  <c r="CK187" i="21"/>
  <c r="CP187" i="21" s="1"/>
  <c r="BI316" i="21"/>
  <c r="DT316" i="21"/>
  <c r="DT89" i="21"/>
  <c r="ET170" i="21"/>
  <c r="EU170" i="21" s="1"/>
  <c r="EV170" i="21" s="1"/>
  <c r="EY73" i="21"/>
  <c r="EZ73" i="21" s="1"/>
  <c r="ET73" i="21"/>
  <c r="EU73" i="21" s="1"/>
  <c r="EV73" i="21" s="1"/>
  <c r="ET165" i="21"/>
  <c r="EU165" i="21" s="1"/>
  <c r="EV165" i="21" s="1"/>
  <c r="CK232" i="21"/>
  <c r="CP232" i="21" s="1"/>
  <c r="DM242" i="21"/>
  <c r="ET175" i="21"/>
  <c r="EU175" i="21" s="1"/>
  <c r="EV175" i="21" s="1"/>
  <c r="EX153" i="21"/>
  <c r="DS153" i="21" s="1"/>
  <c r="DT212" i="21"/>
  <c r="BI212" i="21"/>
  <c r="BJ212" i="21" s="1"/>
  <c r="BC244" i="21"/>
  <c r="CN244" i="21" s="1"/>
  <c r="CK174" i="21"/>
  <c r="CP174" i="21" s="1"/>
  <c r="CK346" i="21"/>
  <c r="CP346" i="21" s="1"/>
  <c r="EG265" i="21"/>
  <c r="EH265" i="21"/>
  <c r="ET303" i="21"/>
  <c r="EU303" i="21" s="1"/>
  <c r="EV303" i="21" s="1"/>
  <c r="DP34" i="21"/>
  <c r="DO34" i="21"/>
  <c r="DQ34" i="21" s="1"/>
  <c r="FJ190" i="21"/>
  <c r="CW190" i="21"/>
  <c r="FI364" i="21"/>
  <c r="CX364" i="21"/>
  <c r="ET366" i="21"/>
  <c r="EU366" i="21" s="1"/>
  <c r="EV366" i="21" s="1"/>
  <c r="DC437" i="21"/>
  <c r="FJ437" i="21"/>
  <c r="FI448" i="21"/>
  <c r="DD448" i="21"/>
  <c r="EH82" i="21"/>
  <c r="EG82" i="21"/>
  <c r="ET310" i="21"/>
  <c r="EU310" i="21" s="1"/>
  <c r="EV310" i="21" s="1"/>
  <c r="FG397" i="21"/>
  <c r="DA397" i="21"/>
  <c r="ET446" i="21"/>
  <c r="EU446" i="21" s="1"/>
  <c r="EV446" i="21" s="1"/>
  <c r="EH63" i="21"/>
  <c r="EG63" i="21"/>
  <c r="DA150" i="21"/>
  <c r="FG150" i="21"/>
  <c r="BC427" i="21"/>
  <c r="CN427" i="21" s="1"/>
  <c r="ED214" i="21"/>
  <c r="DP214" i="21"/>
  <c r="DO214" i="21"/>
  <c r="DT299" i="21"/>
  <c r="BI299" i="21"/>
  <c r="BJ299" i="21" s="1"/>
  <c r="FJ329" i="21"/>
  <c r="CW329" i="21"/>
  <c r="DC253" i="21"/>
  <c r="FJ253" i="21"/>
  <c r="DM266" i="21"/>
  <c r="DR474" i="21"/>
  <c r="BC223" i="21"/>
  <c r="CN223" i="21" s="1"/>
  <c r="AY447" i="21"/>
  <c r="AZ447" i="21" s="1"/>
  <c r="ET305" i="21"/>
  <c r="EU305" i="21" s="1"/>
  <c r="EV305" i="21" s="1"/>
  <c r="FG333" i="21"/>
  <c r="CU333" i="21"/>
  <c r="FJ290" i="21"/>
  <c r="CW290" i="21"/>
  <c r="EH196" i="21"/>
  <c r="BC401" i="21"/>
  <c r="CN401" i="21" s="1"/>
  <c r="ED275" i="21"/>
  <c r="CR275" i="21" s="1"/>
  <c r="EH417" i="21"/>
  <c r="EG417" i="21"/>
  <c r="BC285" i="21"/>
  <c r="CN285" i="21" s="1"/>
  <c r="CB345" i="21"/>
  <c r="CI345" i="21" s="1"/>
  <c r="CK345" i="21" s="1"/>
  <c r="CP345" i="21" s="1"/>
  <c r="DC412" i="21"/>
  <c r="FJ412" i="21"/>
  <c r="EG316" i="21"/>
  <c r="EH316" i="21"/>
  <c r="CM8" i="21"/>
  <c r="FG235" i="21"/>
  <c r="CU235" i="21"/>
  <c r="ED264" i="21"/>
  <c r="CR264" i="21" s="1"/>
  <c r="DN194" i="21"/>
  <c r="FI284" i="21"/>
  <c r="DD284" i="21"/>
  <c r="FG103" i="21"/>
  <c r="CU103" i="21"/>
  <c r="BC246" i="21"/>
  <c r="CN246" i="21" s="1"/>
  <c r="CK231" i="21"/>
  <c r="CP231" i="21" s="1"/>
  <c r="BC360" i="21"/>
  <c r="CN360" i="21" s="1"/>
  <c r="BC353" i="21"/>
  <c r="CN353" i="21" s="1"/>
  <c r="ET423" i="21"/>
  <c r="EU423" i="21" s="1"/>
  <c r="EV423" i="21" s="1"/>
  <c r="FH264" i="21"/>
  <c r="DB264" i="21"/>
  <c r="BC321" i="21"/>
  <c r="CN321" i="21" s="1"/>
  <c r="ET155" i="21"/>
  <c r="CB443" i="21"/>
  <c r="CI443" i="21" s="1"/>
  <c r="CK443" i="21" s="1"/>
  <c r="CP443" i="21" s="1"/>
  <c r="EU307" i="21"/>
  <c r="EV307" i="21" s="1"/>
  <c r="ET307" i="21"/>
  <c r="DM393" i="21"/>
  <c r="CX374" i="21"/>
  <c r="FI374" i="21"/>
  <c r="ED357" i="21"/>
  <c r="CR357" i="21" s="1"/>
  <c r="DM281" i="21"/>
  <c r="CK440" i="21"/>
  <c r="CP440" i="21" s="1"/>
  <c r="FG148" i="21"/>
  <c r="DA148" i="21"/>
  <c r="AU169" i="21"/>
  <c r="AR169" i="21"/>
  <c r="EY51" i="21"/>
  <c r="EZ51" i="21" s="1"/>
  <c r="EU164" i="21"/>
  <c r="EV164" i="21" s="1"/>
  <c r="ET164" i="21"/>
  <c r="EM164" i="21"/>
  <c r="EP164" i="21" s="1"/>
  <c r="EQ164" i="21" s="1"/>
  <c r="ES164" i="21" s="1"/>
  <c r="DM253" i="21"/>
  <c r="BC183" i="21"/>
  <c r="CN183" i="21" s="1"/>
  <c r="FI66" i="21"/>
  <c r="CX66" i="21"/>
  <c r="EG72" i="21"/>
  <c r="EH72" i="21"/>
  <c r="FG170" i="21"/>
  <c r="CU170" i="21"/>
  <c r="ED218" i="21"/>
  <c r="BL75" i="21"/>
  <c r="BN75" i="21" s="1"/>
  <c r="BM75" i="21"/>
  <c r="EW153" i="21"/>
  <c r="DM138" i="21"/>
  <c r="BP69" i="21"/>
  <c r="EI69" i="21" s="1"/>
  <c r="FJ282" i="21"/>
  <c r="DC282" i="21"/>
  <c r="FH58" i="21"/>
  <c r="CV58" i="21"/>
  <c r="BC144" i="21"/>
  <c r="CN144" i="21" s="1"/>
  <c r="CU303" i="21"/>
  <c r="FG303" i="21"/>
  <c r="EG359" i="21"/>
  <c r="EH359" i="21"/>
  <c r="ET186" i="21"/>
  <c r="EU186" i="21" s="1"/>
  <c r="EV186" i="21" s="1"/>
  <c r="CB367" i="21"/>
  <c r="CI367" i="21" s="1"/>
  <c r="CK367" i="21" s="1"/>
  <c r="CP367" i="21" s="1"/>
  <c r="DM448" i="21"/>
  <c r="CX82" i="21"/>
  <c r="FI82" i="21"/>
  <c r="EG353" i="21"/>
  <c r="CU446" i="21"/>
  <c r="FG446" i="21"/>
  <c r="CK34" i="21"/>
  <c r="ET208" i="21"/>
  <c r="EU208" i="21" s="1"/>
  <c r="EV208" i="21" s="1"/>
  <c r="ET293" i="21"/>
  <c r="EU293" i="21" s="1"/>
  <c r="EV293" i="21" s="1"/>
  <c r="EG415" i="21"/>
  <c r="EH415" i="21"/>
  <c r="BP49" i="21"/>
  <c r="EI49" i="21" s="1"/>
  <c r="FH150" i="21"/>
  <c r="DB150" i="21"/>
  <c r="FL290" i="21"/>
  <c r="CZ290" i="21"/>
  <c r="DN465" i="21"/>
  <c r="ER465" i="21"/>
  <c r="ES465" i="21"/>
  <c r="DT58" i="21"/>
  <c r="DT383" i="21"/>
  <c r="BI383" i="21"/>
  <c r="EM217" i="21"/>
  <c r="EP217" i="21" s="1"/>
  <c r="EQ217" i="21" s="1"/>
  <c r="DM277" i="21"/>
  <c r="FH333" i="21"/>
  <c r="CV333" i="21"/>
  <c r="EZ135" i="21"/>
  <c r="FG305" i="21"/>
  <c r="DA305" i="21"/>
  <c r="BC290" i="21"/>
  <c r="CN290" i="21" s="1"/>
  <c r="CB391" i="21"/>
  <c r="CI391" i="21" s="1"/>
  <c r="CK391" i="21" s="1"/>
  <c r="CP391" i="21" s="1"/>
  <c r="EW465" i="21"/>
  <c r="DT122" i="21"/>
  <c r="BH281" i="21"/>
  <c r="BJ281" i="21" s="1"/>
  <c r="CK424" i="21"/>
  <c r="CP424" i="21" s="1"/>
  <c r="BC86" i="21"/>
  <c r="CN86" i="21" s="1"/>
  <c r="BJ323" i="21"/>
  <c r="BC425" i="21"/>
  <c r="CN425" i="21" s="1"/>
  <c r="DM436" i="21"/>
  <c r="ET356" i="21"/>
  <c r="EU356" i="21" s="1"/>
  <c r="EV356" i="21" s="1"/>
  <c r="EU406" i="21"/>
  <c r="EV406" i="21" s="1"/>
  <c r="EH83" i="21"/>
  <c r="EG83" i="21"/>
  <c r="BC62" i="21"/>
  <c r="CD3" i="21"/>
  <c r="EH284" i="21"/>
  <c r="EG284" i="21"/>
  <c r="DM385" i="21"/>
  <c r="BC227" i="21"/>
  <c r="CN227" i="21" s="1"/>
  <c r="CB442" i="21"/>
  <c r="CI442" i="21" s="1"/>
  <c r="CK442" i="21" s="1"/>
  <c r="CP442" i="21" s="1"/>
  <c r="DT185" i="21"/>
  <c r="BI185" i="21"/>
  <c r="BJ185" i="21" s="1"/>
  <c r="FI403" i="21"/>
  <c r="DD403" i="21"/>
  <c r="BC410" i="21"/>
  <c r="CN410" i="21" s="1"/>
  <c r="CK152" i="21"/>
  <c r="CP152" i="21" s="1"/>
  <c r="BO106" i="21"/>
  <c r="BP106" i="21" s="1"/>
  <c r="EI106" i="21" s="1"/>
  <c r="EH106" i="21" s="1"/>
  <c r="ED351" i="21"/>
  <c r="CR351" i="21" s="1"/>
  <c r="AP111" i="21"/>
  <c r="AT110" i="21"/>
  <c r="DU110" i="21" s="1"/>
  <c r="CB405" i="21"/>
  <c r="CI405" i="21" s="1"/>
  <c r="CK405" i="21" s="1"/>
  <c r="CP405" i="21" s="1"/>
  <c r="BF49" i="21"/>
  <c r="CK49" i="21"/>
  <c r="ET344" i="21"/>
  <c r="EU344" i="21" s="1"/>
  <c r="EV344" i="21" s="1"/>
  <c r="ED186" i="21"/>
  <c r="CR186" i="21" s="1"/>
  <c r="CU307" i="21"/>
  <c r="FG307" i="21"/>
  <c r="CX54" i="21"/>
  <c r="FI54" i="21"/>
  <c r="EX480" i="21"/>
  <c r="BJ397" i="21"/>
  <c r="EH440" i="21"/>
  <c r="EG440" i="21"/>
  <c r="CK341" i="21"/>
  <c r="CP341" i="21" s="1"/>
  <c r="FI75" i="21"/>
  <c r="CX75" i="21"/>
  <c r="DM236" i="21"/>
  <c r="EG410" i="21"/>
  <c r="EH410" i="21"/>
  <c r="FJ271" i="21"/>
  <c r="DC271" i="21"/>
  <c r="BI339" i="21"/>
  <c r="BJ339" i="21" s="1"/>
  <c r="DT339" i="21"/>
  <c r="FJ185" i="21"/>
  <c r="CW185" i="21"/>
  <c r="BM76" i="21"/>
  <c r="BL76" i="21"/>
  <c r="BN76" i="21" s="1"/>
  <c r="BE99" i="21"/>
  <c r="BF99" i="21" s="1"/>
  <c r="CO99" i="21" s="1"/>
  <c r="AZ99" i="21"/>
  <c r="DM243" i="21"/>
  <c r="EH66" i="21"/>
  <c r="EG66" i="21"/>
  <c r="BO135" i="21"/>
  <c r="EH75" i="21"/>
  <c r="EG75" i="21"/>
  <c r="DR155" i="21"/>
  <c r="BI155" i="21"/>
  <c r="BJ155" i="21" s="1"/>
  <c r="DT288" i="21"/>
  <c r="BI288" i="21"/>
  <c r="CW303" i="21"/>
  <c r="FJ303" i="21"/>
  <c r="EY152" i="21"/>
  <c r="EZ152" i="21" s="1"/>
  <c r="EH287" i="21"/>
  <c r="EG287" i="21"/>
  <c r="CW354" i="21"/>
  <c r="FJ354" i="21"/>
  <c r="ET212" i="21"/>
  <c r="EU212" i="21" s="1"/>
  <c r="EV212" i="21" s="1"/>
  <c r="EW212" i="21" s="1"/>
  <c r="BO29" i="21"/>
  <c r="BP29" i="21" s="1"/>
  <c r="EI29" i="21" s="1"/>
  <c r="CW410" i="21"/>
  <c r="FJ410" i="21"/>
  <c r="DO32" i="21"/>
  <c r="DP32" i="21"/>
  <c r="EH307" i="21"/>
  <c r="EG307" i="21"/>
  <c r="ED487" i="21"/>
  <c r="DP487" i="21"/>
  <c r="DO487" i="21"/>
  <c r="DQ487" i="21" s="1"/>
  <c r="CW350" i="21"/>
  <c r="FJ350" i="21"/>
  <c r="FJ317" i="21"/>
  <c r="DC317" i="21"/>
  <c r="ET376" i="21"/>
  <c r="EU376" i="21" s="1"/>
  <c r="EV376" i="21" s="1"/>
  <c r="CB415" i="21"/>
  <c r="CI415" i="21" s="1"/>
  <c r="CK415" i="21" s="1"/>
  <c r="CP415" i="21" s="1"/>
  <c r="ED173" i="21"/>
  <c r="CR173" i="21" s="1"/>
  <c r="FH131" i="21"/>
  <c r="CV131" i="21"/>
  <c r="EG329" i="21"/>
  <c r="EH329" i="21"/>
  <c r="FG435" i="21"/>
  <c r="CU435" i="21"/>
  <c r="ED484" i="21"/>
  <c r="DP484" i="21"/>
  <c r="DO484" i="21"/>
  <c r="EU40" i="21"/>
  <c r="EV40" i="21" s="1"/>
  <c r="ET40" i="21"/>
  <c r="CU205" i="21"/>
  <c r="FG205" i="21"/>
  <c r="FJ80" i="21"/>
  <c r="CW80" i="21"/>
  <c r="DM148" i="21"/>
  <c r="EG396" i="21"/>
  <c r="EH396" i="21"/>
  <c r="DQ25" i="21"/>
  <c r="FH138" i="21"/>
  <c r="CV138" i="21"/>
  <c r="EU180" i="21"/>
  <c r="EV180" i="21" s="1"/>
  <c r="ET180" i="21"/>
  <c r="ED412" i="21"/>
  <c r="CR412" i="21" s="1"/>
  <c r="BC181" i="21"/>
  <c r="CN181" i="21" s="1"/>
  <c r="DM338" i="21"/>
  <c r="FJ321" i="21"/>
  <c r="DC321" i="21"/>
  <c r="FI391" i="21"/>
  <c r="CX391" i="21"/>
  <c r="CW70" i="21"/>
  <c r="FJ70" i="21"/>
  <c r="EH325" i="21"/>
  <c r="EG325" i="21"/>
  <c r="DM94" i="21"/>
  <c r="BO70" i="21"/>
  <c r="BP70" i="21" s="1"/>
  <c r="EI70" i="21" s="1"/>
  <c r="FI281" i="21"/>
  <c r="CX281" i="21"/>
  <c r="DB390" i="21"/>
  <c r="FH390" i="21"/>
  <c r="ET117" i="21"/>
  <c r="EU117" i="21" s="1"/>
  <c r="EV117" i="21" s="1"/>
  <c r="EZ117" i="21"/>
  <c r="FH308" i="21"/>
  <c r="CV308" i="21"/>
  <c r="DM342" i="21"/>
  <c r="FJ399" i="21"/>
  <c r="CW399" i="21"/>
  <c r="DP40" i="21"/>
  <c r="DO40" i="21"/>
  <c r="EH442" i="21"/>
  <c r="EG442" i="21"/>
  <c r="BC311" i="21"/>
  <c r="CN311" i="21" s="1"/>
  <c r="BJ444" i="21"/>
  <c r="FJ403" i="21"/>
  <c r="DC403" i="21"/>
  <c r="DM354" i="21"/>
  <c r="CW446" i="21"/>
  <c r="FJ446" i="21"/>
  <c r="ED229" i="21"/>
  <c r="AY263" i="21"/>
  <c r="BH263" i="21" s="1"/>
  <c r="BJ263" i="21" s="1"/>
  <c r="FG272" i="21"/>
  <c r="CU272" i="21"/>
  <c r="CS9" i="21"/>
  <c r="AZ242" i="21"/>
  <c r="AY405" i="21"/>
  <c r="BH405" i="21" s="1"/>
  <c r="BJ405" i="21" s="1"/>
  <c r="EY49" i="21"/>
  <c r="EY97" i="21"/>
  <c r="EZ97" i="21" s="1"/>
  <c r="EH447" i="21"/>
  <c r="AY366" i="21"/>
  <c r="BH366" i="21" s="1"/>
  <c r="BJ366" i="21" s="1"/>
  <c r="DM53" i="21"/>
  <c r="ED444" i="21"/>
  <c r="CR444" i="21" s="1"/>
  <c r="BC344" i="21"/>
  <c r="CN344" i="21" s="1"/>
  <c r="AZ322" i="21"/>
  <c r="EW486" i="21"/>
  <c r="EX486" i="21" s="1"/>
  <c r="EH76" i="21"/>
  <c r="EG76" i="21"/>
  <c r="ED203" i="21"/>
  <c r="CR203" i="21" s="1"/>
  <c r="CB66" i="21"/>
  <c r="CI66" i="21" s="1"/>
  <c r="CK66" i="21" s="1"/>
  <c r="CP66" i="21" s="1"/>
  <c r="BC53" i="21"/>
  <c r="CN53" i="21" s="1"/>
  <c r="EM193" i="21"/>
  <c r="EP193" i="21" s="1"/>
  <c r="EQ193" i="21" s="1"/>
  <c r="ET193" i="21"/>
  <c r="EU193" i="21" s="1"/>
  <c r="EV193" i="21" s="1"/>
  <c r="CB75" i="21"/>
  <c r="CI75" i="21" s="1"/>
  <c r="CK75" i="21" s="1"/>
  <c r="CP75" i="21" s="1"/>
  <c r="FG132" i="21"/>
  <c r="CU132" i="21"/>
  <c r="AY198" i="21"/>
  <c r="BH198" i="21" s="1"/>
  <c r="BJ198" i="21" s="1"/>
  <c r="DM223" i="21"/>
  <c r="ED193" i="21"/>
  <c r="CR193" i="21" s="1"/>
  <c r="DO193" i="21"/>
  <c r="DP193" i="21"/>
  <c r="AU165" i="21"/>
  <c r="AR165" i="21"/>
  <c r="DQ19" i="21"/>
  <c r="ET288" i="21"/>
  <c r="EU288" i="21"/>
  <c r="EV288" i="21" s="1"/>
  <c r="DA152" i="21"/>
  <c r="FG152" i="21"/>
  <c r="FG231" i="21"/>
  <c r="CU231" i="21"/>
  <c r="DB274" i="21"/>
  <c r="FH274" i="21"/>
  <c r="DA140" i="21"/>
  <c r="FG140" i="21"/>
  <c r="CB287" i="21"/>
  <c r="CI287" i="21" s="1"/>
  <c r="CK287" i="21" s="1"/>
  <c r="CP287" i="21" s="1"/>
  <c r="ET318" i="21"/>
  <c r="EU318" i="21" s="1"/>
  <c r="EV318" i="21" s="1"/>
  <c r="ED175" i="21"/>
  <c r="CR175" i="21" s="1"/>
  <c r="ET438" i="21"/>
  <c r="EU438" i="21" s="1"/>
  <c r="EV438" i="21" s="1"/>
  <c r="DT91" i="21"/>
  <c r="ED179" i="21"/>
  <c r="CR179" i="21" s="1"/>
  <c r="CB272" i="21"/>
  <c r="CI272" i="21" s="1"/>
  <c r="CK272" i="21" s="1"/>
  <c r="CP272" i="21" s="1"/>
  <c r="BC375" i="21"/>
  <c r="CN375" i="21" s="1"/>
  <c r="EG317" i="21"/>
  <c r="EH317" i="21"/>
  <c r="FH55" i="21"/>
  <c r="CV55" i="21"/>
  <c r="BP114" i="21"/>
  <c r="EI114" i="21" s="1"/>
  <c r="EH114" i="21" s="1"/>
  <c r="DT262" i="21"/>
  <c r="BI262" i="21"/>
  <c r="BI360" i="21"/>
  <c r="BJ360" i="21" s="1"/>
  <c r="DT360" i="21"/>
  <c r="EX484" i="21"/>
  <c r="BC210" i="21"/>
  <c r="CN210" i="21" s="1"/>
  <c r="ET205" i="21"/>
  <c r="EU205" i="21" s="1"/>
  <c r="EV205" i="21" s="1"/>
  <c r="BH262" i="21"/>
  <c r="FI266" i="21"/>
  <c r="CX266" i="21"/>
  <c r="EH356" i="21"/>
  <c r="EG356" i="21"/>
  <c r="ET159" i="21"/>
  <c r="DM353" i="21"/>
  <c r="CV82" i="21"/>
  <c r="FH82" i="21"/>
  <c r="DC302" i="21"/>
  <c r="FJ302" i="21"/>
  <c r="BI375" i="21"/>
  <c r="BJ375" i="21" s="1"/>
  <c r="DT375" i="21"/>
  <c r="EH391" i="21"/>
  <c r="EG391" i="21"/>
  <c r="BJ273" i="21"/>
  <c r="BH295" i="21"/>
  <c r="ET309" i="21"/>
  <c r="EU309" i="21" s="1"/>
  <c r="EV309" i="21" s="1"/>
  <c r="DD373" i="21"/>
  <c r="FI373" i="21"/>
  <c r="ED210" i="21"/>
  <c r="CR210" i="21" s="1"/>
  <c r="DM360" i="21"/>
  <c r="FH446" i="21"/>
  <c r="CV446" i="21"/>
  <c r="CB283" i="21"/>
  <c r="CI283" i="21" s="1"/>
  <c r="CK283" i="21" s="1"/>
  <c r="CP283" i="21" s="1"/>
  <c r="DM222" i="21"/>
  <c r="AZ418" i="21"/>
  <c r="BP36" i="21"/>
  <c r="EI36" i="21" s="1"/>
  <c r="EH301" i="21"/>
  <c r="EG301" i="21"/>
  <c r="EG283" i="21"/>
  <c r="AZ302" i="21"/>
  <c r="BJ371" i="21"/>
  <c r="DT216" i="21"/>
  <c r="BI216" i="21"/>
  <c r="BJ216" i="21" s="1"/>
  <c r="AQ195" i="21"/>
  <c r="FG102" i="21"/>
  <c r="CU102" i="21"/>
  <c r="FG151" i="21"/>
  <c r="DA151" i="21"/>
  <c r="FH293" i="21"/>
  <c r="DB293" i="21"/>
  <c r="BC469" i="21"/>
  <c r="DU469" i="21"/>
  <c r="EM469" i="21" s="1"/>
  <c r="EP469" i="21" s="1"/>
  <c r="EQ469" i="21" s="1"/>
  <c r="EG400" i="21"/>
  <c r="EH400" i="21"/>
  <c r="CS4" i="21"/>
  <c r="CX405" i="21"/>
  <c r="FI405" i="21"/>
  <c r="BF97" i="21"/>
  <c r="CO97" i="21" s="1"/>
  <c r="FI257" i="21"/>
  <c r="DD257" i="21"/>
  <c r="DB297" i="21"/>
  <c r="FH297" i="21"/>
  <c r="AZ438" i="21"/>
  <c r="DT66" i="21"/>
  <c r="CW72" i="21"/>
  <c r="FJ72" i="21"/>
  <c r="FJ197" i="21"/>
  <c r="CW197" i="21"/>
  <c r="BC214" i="21"/>
  <c r="AV214" i="21"/>
  <c r="AW214" i="21" s="1"/>
  <c r="FJ448" i="21"/>
  <c r="DC448" i="21"/>
  <c r="BI376" i="21"/>
  <c r="DT376" i="21"/>
  <c r="FL190" i="21"/>
  <c r="CZ190" i="21"/>
  <c r="DT217" i="21"/>
  <c r="BI217" i="21"/>
  <c r="BJ217" i="21" s="1"/>
  <c r="BC437" i="21"/>
  <c r="CN437" i="21" s="1"/>
  <c r="DM65" i="21"/>
  <c r="EG96" i="21"/>
  <c r="EH96" i="21"/>
  <c r="ET218" i="21"/>
  <c r="EU218" i="21" s="1"/>
  <c r="EV218" i="21" s="1"/>
  <c r="CU204" i="21"/>
  <c r="FG204" i="21"/>
  <c r="FI330" i="21"/>
  <c r="DD330" i="21"/>
  <c r="CB76" i="21"/>
  <c r="CI76" i="21" s="1"/>
  <c r="CK76" i="21" s="1"/>
  <c r="CP76" i="21" s="1"/>
  <c r="CI267" i="21"/>
  <c r="CK267" i="21" s="1"/>
  <c r="CP267" i="21" s="1"/>
  <c r="BC229" i="21"/>
  <c r="ET279" i="21"/>
  <c r="EU279" i="21" s="1"/>
  <c r="EV279" i="21" s="1"/>
  <c r="EY20" i="21"/>
  <c r="EZ20" i="21" s="1"/>
  <c r="CX72" i="21"/>
  <c r="FI72" i="21"/>
  <c r="CA111" i="21"/>
  <c r="BR111" i="21"/>
  <c r="DZ111" i="21" s="1"/>
  <c r="EB111" i="21" s="1"/>
  <c r="BZ111" i="21"/>
  <c r="CB111" i="21" s="1"/>
  <c r="CI111" i="21" s="1"/>
  <c r="CK111" i="21" s="1"/>
  <c r="FY111" i="21"/>
  <c r="GA111" i="21" s="1"/>
  <c r="BK111" i="21"/>
  <c r="T111" i="21"/>
  <c r="BE111" i="21"/>
  <c r="BF111" i="21" s="1"/>
  <c r="DT193" i="21"/>
  <c r="BI193" i="21"/>
  <c r="BJ193" i="21" s="1"/>
  <c r="BC95" i="21"/>
  <c r="CN95" i="21" s="1"/>
  <c r="BC56" i="21"/>
  <c r="CN56" i="21" s="1"/>
  <c r="DT232" i="21"/>
  <c r="BI232" i="21"/>
  <c r="BJ232" i="21" s="1"/>
  <c r="CM10" i="21"/>
  <c r="CM11" i="21" s="1"/>
  <c r="CK24" i="21"/>
  <c r="EY140" i="21"/>
  <c r="EZ140" i="21" s="1"/>
  <c r="BC237" i="21"/>
  <c r="CN237" i="21" s="1"/>
  <c r="BC346" i="21"/>
  <c r="CN346" i="21" s="1"/>
  <c r="ET395" i="21"/>
  <c r="EU395" i="21" s="1"/>
  <c r="EV395" i="21" s="1"/>
  <c r="DQ43" i="21"/>
  <c r="FI311" i="21"/>
  <c r="CX311" i="21"/>
  <c r="AY296" i="21"/>
  <c r="BH296" i="21" s="1"/>
  <c r="BJ296" i="21" s="1"/>
  <c r="CU438" i="21"/>
  <c r="FG438" i="21"/>
  <c r="DC369" i="21"/>
  <c r="FJ369" i="21"/>
  <c r="EX487" i="21"/>
  <c r="EH350" i="21"/>
  <c r="EG350" i="21"/>
  <c r="ED328" i="21"/>
  <c r="CR328" i="21" s="1"/>
  <c r="DM195" i="21"/>
  <c r="FI420" i="21"/>
  <c r="DD420" i="21"/>
  <c r="ET447" i="21"/>
  <c r="EU447" i="21" s="1"/>
  <c r="EV447" i="21" s="1"/>
  <c r="BO93" i="21"/>
  <c r="BP93" i="21" s="1"/>
  <c r="EI93" i="21" s="1"/>
  <c r="CB356" i="21"/>
  <c r="CI356" i="21" s="1"/>
  <c r="CK356" i="21" s="1"/>
  <c r="CP356" i="21" s="1"/>
  <c r="CK37" i="21"/>
  <c r="EU159" i="21"/>
  <c r="EV159" i="21" s="1"/>
  <c r="EW159" i="21" s="1"/>
  <c r="EH254" i="21"/>
  <c r="EG254" i="21"/>
  <c r="CB353" i="21"/>
  <c r="CI353" i="21" s="1"/>
  <c r="CK353" i="21" s="1"/>
  <c r="CP353" i="21" s="1"/>
  <c r="EG294" i="21"/>
  <c r="EH294" i="21"/>
  <c r="BI247" i="21"/>
  <c r="BJ247" i="21" s="1"/>
  <c r="DT247" i="21"/>
  <c r="CW326" i="21"/>
  <c r="FJ326" i="21"/>
  <c r="BC419" i="21"/>
  <c r="CN419" i="21" s="1"/>
  <c r="BP124" i="21"/>
  <c r="EI124" i="21" s="1"/>
  <c r="EH124" i="21" s="1"/>
  <c r="AZ414" i="21"/>
  <c r="BH414" i="21"/>
  <c r="BJ414" i="21" s="1"/>
  <c r="EG418" i="21"/>
  <c r="EH418" i="21"/>
  <c r="CX83" i="21"/>
  <c r="FI83" i="21"/>
  <c r="DD301" i="21"/>
  <c r="FI301" i="21"/>
  <c r="CM9" i="21"/>
  <c r="BH318" i="21"/>
  <c r="BJ318" i="21" s="1"/>
  <c r="AZ318" i="21"/>
  <c r="EY88" i="21"/>
  <c r="EZ88" i="21" s="1"/>
  <c r="ET88" i="21"/>
  <c r="EU88" i="21" s="1"/>
  <c r="EV88" i="21" s="1"/>
  <c r="CK260" i="21"/>
  <c r="CP260" i="21" s="1"/>
  <c r="CK299" i="21"/>
  <c r="CP299" i="21" s="1"/>
  <c r="DP467" i="21"/>
  <c r="DO467" i="21"/>
  <c r="ED467" i="21"/>
  <c r="AZ429" i="21"/>
  <c r="BC185" i="21"/>
  <c r="CN185" i="21" s="1"/>
  <c r="DA330" i="21"/>
  <c r="FG330" i="21"/>
  <c r="EG252" i="21"/>
  <c r="BH417" i="21"/>
  <c r="BJ417" i="21" s="1"/>
  <c r="FH93" i="21"/>
  <c r="CV93" i="21"/>
  <c r="CS3" i="21"/>
  <c r="AZ396" i="21"/>
  <c r="CU97" i="21"/>
  <c r="FG97" i="21"/>
  <c r="DM262" i="21"/>
  <c r="DM434" i="21"/>
  <c r="BC71" i="21"/>
  <c r="CN71" i="21" s="1"/>
  <c r="EH366" i="21"/>
  <c r="EG366" i="21"/>
  <c r="EW475" i="21"/>
  <c r="EX475" i="21" s="1"/>
  <c r="FJ98" i="21"/>
  <c r="CW98" i="21"/>
  <c r="BC97" i="21"/>
  <c r="CN97" i="21" s="1"/>
  <c r="ET231" i="21"/>
  <c r="EU231" i="21" s="1"/>
  <c r="EV231" i="21" s="1"/>
  <c r="AU192" i="21"/>
  <c r="AR192" i="21"/>
  <c r="CW179" i="21"/>
  <c r="FJ179" i="21"/>
  <c r="DT180" i="21"/>
  <c r="BI180" i="21"/>
  <c r="BJ180" i="21" s="1"/>
  <c r="DP36" i="21"/>
  <c r="DO36" i="21"/>
  <c r="DQ36" i="21" s="1"/>
  <c r="FI99" i="21"/>
  <c r="CX99" i="21"/>
  <c r="BC180" i="21"/>
  <c r="CN180" i="21" s="1"/>
  <c r="AU168" i="21"/>
  <c r="AR168" i="21"/>
  <c r="DC201" i="21"/>
  <c r="FJ201" i="21"/>
  <c r="ED228" i="21"/>
  <c r="BC135" i="21"/>
  <c r="CN135" i="21" s="1"/>
  <c r="BM61" i="21"/>
  <c r="BL61" i="21"/>
  <c r="BN61" i="21" s="1"/>
  <c r="ES19" i="21"/>
  <c r="ER19" i="21"/>
  <c r="ET204" i="21"/>
  <c r="EU204" i="21" s="1"/>
  <c r="EV204" i="21" s="1"/>
  <c r="BC101" i="21"/>
  <c r="CN101" i="21" s="1"/>
  <c r="BC89" i="21"/>
  <c r="CN89" i="21" s="1"/>
  <c r="CK340" i="21"/>
  <c r="CP340" i="21" s="1"/>
  <c r="BM99" i="21"/>
  <c r="BL99" i="21"/>
  <c r="BN99" i="21" s="1"/>
  <c r="BC169" i="21"/>
  <c r="CN169" i="21" s="1"/>
  <c r="FG236" i="21"/>
  <c r="DA236" i="21"/>
  <c r="BL72" i="21"/>
  <c r="BN72" i="21" s="1"/>
  <c r="BM72" i="21"/>
  <c r="BO72" i="21" s="1"/>
  <c r="ET222" i="21"/>
  <c r="EU222" i="21" s="1"/>
  <c r="EV222" i="21" s="1"/>
  <c r="FH188" i="21"/>
  <c r="DB188" i="21"/>
  <c r="BC52" i="21"/>
  <c r="CN52" i="21" s="1"/>
  <c r="BC250" i="21"/>
  <c r="CN250" i="21" s="1"/>
  <c r="EZ50" i="21"/>
  <c r="CV75" i="21"/>
  <c r="FH75" i="21"/>
  <c r="DM198" i="21"/>
  <c r="AU167" i="21"/>
  <c r="AR167" i="21"/>
  <c r="BC143" i="21"/>
  <c r="CN143" i="21" s="1"/>
  <c r="ET20" i="21"/>
  <c r="FJ258" i="21"/>
  <c r="DC258" i="21"/>
  <c r="BC125" i="21"/>
  <c r="CN125" i="21" s="1"/>
  <c r="DC298" i="21"/>
  <c r="FJ298" i="21"/>
  <c r="DT87" i="21"/>
  <c r="BC324" i="21"/>
  <c r="CN324" i="21" s="1"/>
  <c r="EU185" i="21"/>
  <c r="EV185" i="21" s="1"/>
  <c r="ET185" i="21"/>
  <c r="EG338" i="21"/>
  <c r="DA395" i="21"/>
  <c r="FG395" i="21"/>
  <c r="BC434" i="21"/>
  <c r="CN434" i="21" s="1"/>
  <c r="CK296" i="21"/>
  <c r="CP296" i="21" s="1"/>
  <c r="BJ367" i="21"/>
  <c r="EY33" i="21"/>
  <c r="EZ33" i="21" s="1"/>
  <c r="DT173" i="21"/>
  <c r="BI173" i="21"/>
  <c r="BJ173" i="21" s="1"/>
  <c r="ET377" i="21"/>
  <c r="EU377" i="21" s="1"/>
  <c r="EV377" i="21" s="1"/>
  <c r="ED386" i="21"/>
  <c r="CR386" i="21" s="1"/>
  <c r="AY398" i="21"/>
  <c r="AZ398" i="21" s="1"/>
  <c r="CK186" i="21"/>
  <c r="CP186" i="21" s="1"/>
  <c r="DM420" i="21"/>
  <c r="EY53" i="21"/>
  <c r="EZ53" i="21" s="1"/>
  <c r="FI198" i="21"/>
  <c r="CX198" i="21"/>
  <c r="DY205" i="21"/>
  <c r="EH205" i="21" s="1"/>
  <c r="BZ205" i="21"/>
  <c r="CB205" i="21" s="1"/>
  <c r="CI205" i="21" s="1"/>
  <c r="CK205" i="21" s="1"/>
  <c r="CP205" i="21" s="1"/>
  <c r="DC315" i="21"/>
  <c r="FJ315" i="21"/>
  <c r="FI415" i="21"/>
  <c r="DD415" i="21"/>
  <c r="DN490" i="21"/>
  <c r="ES490" i="21"/>
  <c r="ER490" i="21"/>
  <c r="EY89" i="21"/>
  <c r="EZ89" i="21" s="1"/>
  <c r="BH206" i="21"/>
  <c r="BJ206" i="21" s="1"/>
  <c r="AZ206" i="21"/>
  <c r="FJ266" i="21"/>
  <c r="CW266" i="21"/>
  <c r="CK421" i="21"/>
  <c r="CP421" i="21" s="1"/>
  <c r="BC121" i="21"/>
  <c r="CN121" i="21" s="1"/>
  <c r="FJ281" i="21"/>
  <c r="CW281" i="21"/>
  <c r="FJ254" i="21"/>
  <c r="CW254" i="21"/>
  <c r="DC294" i="21"/>
  <c r="FJ294" i="21"/>
  <c r="BC298" i="21"/>
  <c r="CN298" i="21" s="1"/>
  <c r="FJ364" i="21"/>
  <c r="CW364" i="21"/>
  <c r="DC394" i="21"/>
  <c r="FJ394" i="21"/>
  <c r="FH319" i="21"/>
  <c r="DB319" i="21"/>
  <c r="DD334" i="21"/>
  <c r="FI334" i="21"/>
  <c r="BC271" i="21"/>
  <c r="CN271" i="21" s="1"/>
  <c r="FH280" i="21"/>
  <c r="DB280" i="21"/>
  <c r="DD371" i="21"/>
  <c r="FI371" i="21"/>
  <c r="DC325" i="21"/>
  <c r="FJ325" i="21"/>
  <c r="AY288" i="21"/>
  <c r="AZ288" i="21" s="1"/>
  <c r="CX393" i="21"/>
  <c r="FI393" i="21"/>
  <c r="ED466" i="21"/>
  <c r="DB122" i="21"/>
  <c r="FH122" i="21"/>
  <c r="DA292" i="21"/>
  <c r="FG292" i="21"/>
  <c r="BJ341" i="21"/>
  <c r="BJ285" i="21"/>
  <c r="CD1" i="21"/>
  <c r="ED256" i="21"/>
  <c r="CR256" i="21" s="1"/>
  <c r="BH276" i="21"/>
  <c r="BJ276" i="21" s="1"/>
  <c r="AY276" i="21"/>
  <c r="AZ276" i="21" s="1"/>
  <c r="FJ389" i="21"/>
  <c r="DC389" i="21"/>
  <c r="AZ278" i="21"/>
  <c r="ED285" i="21"/>
  <c r="CR285" i="21" s="1"/>
  <c r="DT88" i="21"/>
  <c r="BC385" i="21"/>
  <c r="CN385" i="21" s="1"/>
  <c r="FI399" i="21"/>
  <c r="CX399" i="21"/>
  <c r="CX100" i="21"/>
  <c r="FI100" i="21"/>
  <c r="DP30" i="21"/>
  <c r="DO30" i="21"/>
  <c r="DC355" i="21"/>
  <c r="FJ355" i="21"/>
  <c r="AY195" i="21"/>
  <c r="BH195" i="21" s="1"/>
  <c r="BJ195" i="21" s="1"/>
  <c r="ET330" i="21"/>
  <c r="EU330" i="21" s="1"/>
  <c r="EV330" i="21" s="1"/>
  <c r="EH414" i="21"/>
  <c r="CK165" i="21"/>
  <c r="CP165" i="21" s="1"/>
  <c r="ET272" i="21"/>
  <c r="EU272" i="21" s="1"/>
  <c r="EV272" i="21" s="1"/>
  <c r="CS8" i="21"/>
  <c r="ET216" i="21"/>
  <c r="CK292" i="21"/>
  <c r="CP292" i="21" s="1"/>
  <c r="AZ241" i="21"/>
  <c r="DP51" i="21"/>
  <c r="DO51" i="21"/>
  <c r="CB366" i="21"/>
  <c r="CI366" i="21" s="1"/>
  <c r="CK366" i="21" s="1"/>
  <c r="CP366" i="21" s="1"/>
  <c r="BC441" i="21"/>
  <c r="CN441" i="21" s="1"/>
  <c r="BI164" i="21"/>
  <c r="BJ164" i="21" s="1"/>
  <c r="DR164" i="21"/>
  <c r="CU279" i="21"/>
  <c r="FG279" i="21"/>
  <c r="BP135" i="21"/>
  <c r="EI135" i="21" s="1"/>
  <c r="EH135" i="21" s="1"/>
  <c r="AR218" i="21"/>
  <c r="CX287" i="21"/>
  <c r="FI287" i="21"/>
  <c r="CX350" i="21"/>
  <c r="FI350" i="21"/>
  <c r="FJ255" i="21"/>
  <c r="CW255" i="21"/>
  <c r="EH321" i="21"/>
  <c r="EG321" i="21"/>
  <c r="DA309" i="21"/>
  <c r="FG309" i="21"/>
  <c r="DT307" i="21"/>
  <c r="BI307" i="21"/>
  <c r="CX442" i="21"/>
  <c r="FI442" i="21"/>
  <c r="DC378" i="21"/>
  <c r="FJ378" i="21"/>
  <c r="BC220" i="21"/>
  <c r="CN220" i="21" s="1"/>
  <c r="CM6" i="21"/>
  <c r="CM7" i="21" s="1"/>
  <c r="BO40" i="21"/>
  <c r="BP40" i="21" s="1"/>
  <c r="EI40" i="21" s="1"/>
  <c r="ES160" i="21"/>
  <c r="ER160" i="21"/>
  <c r="DM160" i="21"/>
  <c r="EU236" i="21"/>
  <c r="EV236" i="21" s="1"/>
  <c r="ET236" i="21"/>
  <c r="BO51" i="21"/>
  <c r="BP51" i="21" s="1"/>
  <c r="EI51" i="21" s="1"/>
  <c r="FJ95" i="21"/>
  <c r="CW95" i="21"/>
  <c r="BO41" i="21"/>
  <c r="BP41" i="21" s="1"/>
  <c r="EI41" i="21" s="1"/>
  <c r="DD247" i="21"/>
  <c r="FI247" i="21"/>
  <c r="ET290" i="21"/>
  <c r="EU290" i="21" s="1"/>
  <c r="EV290" i="21" s="1"/>
  <c r="CK26" i="21"/>
  <c r="EU20" i="21"/>
  <c r="EV20" i="21" s="1"/>
  <c r="EW20" i="21" s="1"/>
  <c r="EH258" i="21"/>
  <c r="EG258" i="21"/>
  <c r="CK320" i="21"/>
  <c r="CP320" i="21" s="1"/>
  <c r="BP26" i="21"/>
  <c r="EI26" i="21" s="1"/>
  <c r="CK277" i="21"/>
  <c r="CP277" i="21" s="1"/>
  <c r="EG298" i="21"/>
  <c r="EH298" i="21"/>
  <c r="DM337" i="21"/>
  <c r="ET87" i="21"/>
  <c r="EU87" i="21" s="1"/>
  <c r="EV87" i="21" s="1"/>
  <c r="EY87" i="21"/>
  <c r="EZ87" i="21" s="1"/>
  <c r="FJ168" i="21"/>
  <c r="CW168" i="21"/>
  <c r="BP139" i="21"/>
  <c r="EI139" i="21" s="1"/>
  <c r="EH139" i="21" s="1"/>
  <c r="CU185" i="21"/>
  <c r="FG185" i="21"/>
  <c r="FG436" i="21"/>
  <c r="DA436" i="21"/>
  <c r="DM121" i="21"/>
  <c r="DM296" i="21"/>
  <c r="DT377" i="21"/>
  <c r="BI377" i="21"/>
  <c r="BJ377" i="21" s="1"/>
  <c r="ED189" i="21"/>
  <c r="CR189" i="21" s="1"/>
  <c r="EH398" i="21"/>
  <c r="EG398" i="21"/>
  <c r="FG227" i="21"/>
  <c r="CU227" i="21"/>
  <c r="DP49" i="21"/>
  <c r="DO49" i="21"/>
  <c r="DQ49" i="21" s="1"/>
  <c r="FG237" i="21"/>
  <c r="CU237" i="21"/>
  <c r="FJ420" i="21"/>
  <c r="DC420" i="21"/>
  <c r="AZ104" i="21"/>
  <c r="BC104" i="21" s="1"/>
  <c r="FG137" i="21"/>
  <c r="CU137" i="21"/>
  <c r="BI424" i="21"/>
  <c r="BJ424" i="21" s="1"/>
  <c r="DT424" i="21"/>
  <c r="ED469" i="21"/>
  <c r="EH368" i="21"/>
  <c r="EG368" i="21"/>
  <c r="EG364" i="21"/>
  <c r="EH364" i="21"/>
  <c r="EG394" i="21"/>
  <c r="EH394" i="21"/>
  <c r="DT382" i="21"/>
  <c r="BI382" i="21"/>
  <c r="BJ382" i="21" s="1"/>
  <c r="CW94" i="21"/>
  <c r="FJ94" i="21"/>
  <c r="BH371" i="21"/>
  <c r="AZ371" i="21"/>
  <c r="DM52" i="21"/>
  <c r="CK393" i="21"/>
  <c r="CP393" i="21" s="1"/>
  <c r="AZ172" i="21"/>
  <c r="DC301" i="21"/>
  <c r="FJ301" i="21"/>
  <c r="CM1" i="21"/>
  <c r="FI318" i="21"/>
  <c r="DD318" i="21"/>
  <c r="CK333" i="21"/>
  <c r="CP333" i="21" s="1"/>
  <c r="BJ184" i="21"/>
  <c r="EH276" i="21"/>
  <c r="EG276" i="21"/>
  <c r="BI380" i="21"/>
  <c r="BJ380" i="21" s="1"/>
  <c r="DT380" i="21"/>
  <c r="BC120" i="21"/>
  <c r="CN120" i="21" s="1"/>
  <c r="FG337" i="21"/>
  <c r="DA337" i="21"/>
  <c r="BH186" i="21"/>
  <c r="BJ186" i="21" s="1"/>
  <c r="CX195" i="21"/>
  <c r="FI195" i="21"/>
  <c r="CU416" i="21"/>
  <c r="FG416" i="21"/>
  <c r="BC400" i="21"/>
  <c r="CN400" i="21" s="1"/>
  <c r="CK30" i="21"/>
  <c r="ED470" i="21"/>
  <c r="CV304" i="21"/>
  <c r="FH304" i="21"/>
  <c r="ED165" i="21"/>
  <c r="CR165" i="21" s="1"/>
  <c r="DT219" i="21"/>
  <c r="BI219" i="21"/>
  <c r="BJ219" i="21" s="1"/>
  <c r="BC377" i="21"/>
  <c r="CN377" i="21" s="1"/>
  <c r="DM219" i="21"/>
  <c r="AY413" i="21"/>
  <c r="AZ413" i="21" s="1"/>
  <c r="DA295" i="21"/>
  <c r="FG295" i="21"/>
  <c r="CX322" i="21"/>
  <c r="FI322" i="21"/>
  <c r="FH407" i="21"/>
  <c r="CV407" i="21"/>
  <c r="EX471" i="21"/>
  <c r="ED176" i="21"/>
  <c r="CR176" i="21" s="1"/>
  <c r="ES158" i="21"/>
  <c r="ER158" i="21"/>
  <c r="BC243" i="21"/>
  <c r="CN243" i="21" s="1"/>
  <c r="DM142" i="21"/>
  <c r="CX307" i="21"/>
  <c r="FI307" i="21"/>
  <c r="CX329" i="21"/>
  <c r="FI329" i="21"/>
  <c r="BC363" i="21"/>
  <c r="CN363" i="21" s="1"/>
  <c r="FJ269" i="21"/>
  <c r="DC269" i="21"/>
  <c r="ET265" i="21"/>
  <c r="EU265" i="21"/>
  <c r="EV265" i="21" s="1"/>
  <c r="DM399" i="21"/>
  <c r="CW396" i="21"/>
  <c r="FJ396" i="21"/>
  <c r="DD377" i="21"/>
  <c r="FI377" i="21"/>
  <c r="ED174" i="21"/>
  <c r="CR174" i="21" s="1"/>
  <c r="EX467" i="21"/>
  <c r="AY96" i="21"/>
  <c r="AZ96" i="21" s="1"/>
  <c r="BE96" i="21"/>
  <c r="BF96" i="21" s="1"/>
  <c r="CO96" i="21" s="1"/>
  <c r="FI141" i="21"/>
  <c r="DD141" i="21"/>
  <c r="EH204" i="21"/>
  <c r="ET89" i="21"/>
  <c r="EU89" i="21" s="1"/>
  <c r="EV89" i="21" s="1"/>
  <c r="CX340" i="21"/>
  <c r="FI340" i="21"/>
  <c r="DT75" i="21"/>
  <c r="FJ264" i="21"/>
  <c r="DC264" i="21"/>
  <c r="BC149" i="21"/>
  <c r="CN149" i="21" s="1"/>
  <c r="CK261" i="21"/>
  <c r="CP261" i="21" s="1"/>
  <c r="EN1" i="21"/>
  <c r="EN3" i="21"/>
  <c r="EN4" i="21"/>
  <c r="CM13" i="21"/>
  <c r="DN165" i="21"/>
  <c r="DP165" i="21" s="1"/>
  <c r="EM165" i="21"/>
  <c r="EP165" i="21" s="1"/>
  <c r="EQ165" i="21" s="1"/>
  <c r="ED250" i="21"/>
  <c r="CR250" i="21" s="1"/>
  <c r="FH80" i="21"/>
  <c r="CV80" i="21"/>
  <c r="BH258" i="21"/>
  <c r="BJ258" i="21" s="1"/>
  <c r="AZ258" i="21"/>
  <c r="BZ196" i="21"/>
  <c r="CB196" i="21" s="1"/>
  <c r="CI196" i="21" s="1"/>
  <c r="CK196" i="21" s="1"/>
  <c r="CP196" i="21" s="1"/>
  <c r="DM295" i="21"/>
  <c r="BC61" i="21"/>
  <c r="CN61" i="21" s="1"/>
  <c r="BO139" i="21"/>
  <c r="BJ342" i="21"/>
  <c r="CK32" i="21"/>
  <c r="CB311" i="21"/>
  <c r="CI311" i="21" s="1"/>
  <c r="CK311" i="21" s="1"/>
  <c r="CP311" i="21" s="1"/>
  <c r="BC380" i="21"/>
  <c r="CN380" i="21" s="1"/>
  <c r="BI295" i="21"/>
  <c r="BJ295" i="21" s="1"/>
  <c r="DT295" i="21"/>
  <c r="BO45" i="21"/>
  <c r="BP45" i="21" s="1"/>
  <c r="EI45" i="21" s="1"/>
  <c r="CB398" i="21"/>
  <c r="CI398" i="21" s="1"/>
  <c r="CK398" i="21" s="1"/>
  <c r="CP398" i="21" s="1"/>
  <c r="DP35" i="21"/>
  <c r="DQ35" i="21" s="1"/>
  <c r="DO35" i="21"/>
  <c r="BF227" i="21"/>
  <c r="CO227" i="21" s="1"/>
  <c r="CK227" i="21"/>
  <c r="CP227" i="21" s="1"/>
  <c r="AZ362" i="21"/>
  <c r="CK432" i="21"/>
  <c r="CP432" i="21" s="1"/>
  <c r="EU237" i="21"/>
  <c r="EV237" i="21" s="1"/>
  <c r="ET237" i="21"/>
  <c r="DN212" i="21"/>
  <c r="DM423" i="21"/>
  <c r="DP491" i="21"/>
  <c r="ED491" i="21"/>
  <c r="DO491" i="21"/>
  <c r="EM104" i="21"/>
  <c r="EP104" i="21" s="1"/>
  <c r="EQ104" i="21" s="1"/>
  <c r="EY137" i="21"/>
  <c r="EZ137" i="21" s="1"/>
  <c r="BH182" i="21"/>
  <c r="BJ182" i="21" s="1"/>
  <c r="FI254" i="21"/>
  <c r="CX254" i="21"/>
  <c r="ET361" i="21"/>
  <c r="EU361" i="21" s="1"/>
  <c r="EV361" i="21" s="1"/>
  <c r="ED172" i="21"/>
  <c r="CR172" i="21" s="1"/>
  <c r="CK343" i="21"/>
  <c r="CP343" i="21" s="1"/>
  <c r="BH361" i="21"/>
  <c r="BJ361" i="21" s="1"/>
  <c r="AZ361" i="21"/>
  <c r="DD427" i="21"/>
  <c r="FI427" i="21"/>
  <c r="ED315" i="21"/>
  <c r="CR315" i="21" s="1"/>
  <c r="DM371" i="21"/>
  <c r="CK433" i="21"/>
  <c r="CP433" i="21" s="1"/>
  <c r="DM308" i="21"/>
  <c r="EH288" i="21"/>
  <c r="EG288" i="21"/>
  <c r="ED185" i="21"/>
  <c r="CR185" i="21" s="1"/>
  <c r="ET292" i="21"/>
  <c r="EU292" i="21"/>
  <c r="EV292" i="21" s="1"/>
  <c r="DC414" i="21"/>
  <c r="FJ414" i="21"/>
  <c r="BH331" i="21"/>
  <c r="AZ331" i="21"/>
  <c r="DT301" i="21"/>
  <c r="BI301" i="21"/>
  <c r="BJ301" i="21" s="1"/>
  <c r="CK318" i="21"/>
  <c r="CP318" i="21" s="1"/>
  <c r="DA418" i="21"/>
  <c r="FG418" i="21"/>
  <c r="FJ181" i="21"/>
  <c r="CW181" i="21"/>
  <c r="ET416" i="21"/>
  <c r="EU416" i="21" s="1"/>
  <c r="EV416" i="21" s="1"/>
  <c r="AZ329" i="21"/>
  <c r="AZ374" i="21"/>
  <c r="BH374" i="21"/>
  <c r="BJ374" i="21" s="1"/>
  <c r="BI412" i="21"/>
  <c r="BJ412" i="21" s="1"/>
  <c r="DT412" i="21"/>
  <c r="CS1" i="21"/>
  <c r="CS2" i="21" s="1"/>
  <c r="AZ327" i="21"/>
  <c r="EG404" i="21"/>
  <c r="EH404" i="21"/>
  <c r="ED432" i="21"/>
  <c r="CR432" i="21" s="1"/>
  <c r="ET295" i="21"/>
  <c r="EU295" i="21" s="1"/>
  <c r="EV295" i="21" s="1"/>
  <c r="BJ410" i="21"/>
  <c r="FI357" i="21"/>
  <c r="DD357" i="21"/>
  <c r="CX76" i="21"/>
  <c r="FI76" i="21"/>
  <c r="BM66" i="21"/>
  <c r="BL66" i="21"/>
  <c r="BN66" i="21" s="1"/>
  <c r="FJ167" i="21"/>
  <c r="CW167" i="21"/>
  <c r="FI354" i="21"/>
  <c r="CX354" i="21"/>
  <c r="FJ252" i="21"/>
  <c r="DC252" i="21"/>
  <c r="CW328" i="21"/>
  <c r="FJ328" i="21"/>
  <c r="FG447" i="21"/>
  <c r="CU447" i="21"/>
  <c r="AY325" i="21"/>
  <c r="AZ325" i="21" s="1"/>
  <c r="FJ284" i="21"/>
  <c r="DC284" i="21"/>
  <c r="BL96" i="21"/>
  <c r="BN96" i="21" s="1"/>
  <c r="BM96" i="21"/>
  <c r="CI119" i="21"/>
  <c r="CK119" i="21" s="1"/>
  <c r="CP119" i="21" s="1"/>
  <c r="CP10" i="21" s="1"/>
  <c r="CP11" i="21" s="1"/>
  <c r="CW175" i="21"/>
  <c r="FJ175" i="21"/>
  <c r="BJ292" i="21"/>
  <c r="DT188" i="21"/>
  <c r="BI188" i="21"/>
  <c r="BJ188" i="21" s="1"/>
  <c r="ED212" i="21"/>
  <c r="DO212" i="21"/>
  <c r="DP212" i="21"/>
  <c r="DQ212" i="21" s="1"/>
  <c r="EY38" i="21"/>
  <c r="EZ38" i="21" s="1"/>
  <c r="BC142" i="21"/>
  <c r="CN142" i="21" s="1"/>
  <c r="DT116" i="21"/>
  <c r="BC247" i="21"/>
  <c r="CN247" i="21" s="1"/>
  <c r="CB198" i="21"/>
  <c r="CI198" i="21" s="1"/>
  <c r="CK198" i="21" s="1"/>
  <c r="CP198" i="21" s="1"/>
  <c r="CM12" i="21"/>
  <c r="CU290" i="21"/>
  <c r="FG290" i="21"/>
  <c r="BC59" i="21"/>
  <c r="CN59" i="21" s="1"/>
  <c r="EY108" i="21"/>
  <c r="EZ108" i="21" s="1"/>
  <c r="ET108" i="21"/>
  <c r="EU108" i="21" s="1"/>
  <c r="EV108" i="21" s="1"/>
  <c r="ED300" i="21"/>
  <c r="CR300" i="21" s="1"/>
  <c r="BP98" i="21"/>
  <c r="EI98" i="21" s="1"/>
  <c r="BC161" i="21"/>
  <c r="AV161" i="21"/>
  <c r="AW161" i="21" s="1"/>
  <c r="EG297" i="21"/>
  <c r="EH297" i="21"/>
  <c r="ET436" i="21"/>
  <c r="EU436" i="21" s="1"/>
  <c r="EV436" i="21" s="1"/>
  <c r="EH320" i="21"/>
  <c r="FI365" i="21"/>
  <c r="DD365" i="21"/>
  <c r="DA421" i="21"/>
  <c r="FG421" i="21"/>
  <c r="DT77" i="21"/>
  <c r="DT167" i="21"/>
  <c r="BI167" i="21"/>
  <c r="BJ167" i="21" s="1"/>
  <c r="CW423" i="21"/>
  <c r="FJ423" i="21"/>
  <c r="CK313" i="21"/>
  <c r="CP313" i="21" s="1"/>
  <c r="BJ272" i="21"/>
  <c r="BJ429" i="21"/>
  <c r="DC371" i="21"/>
  <c r="FJ371" i="21"/>
  <c r="DM397" i="21"/>
  <c r="FJ288" i="21"/>
  <c r="CW288" i="21"/>
  <c r="EY100" i="21"/>
  <c r="EZ100" i="21" s="1"/>
  <c r="ED375" i="21"/>
  <c r="CR375" i="21" s="1"/>
  <c r="ED194" i="21"/>
  <c r="CR194" i="21" s="1"/>
  <c r="DP194" i="21"/>
  <c r="DO194" i="21"/>
  <c r="EX478" i="21"/>
  <c r="DD414" i="21"/>
  <c r="FI414" i="21"/>
  <c r="DT352" i="21"/>
  <c r="BI352" i="21"/>
  <c r="BJ352" i="21" s="1"/>
  <c r="EG420" i="21"/>
  <c r="ET301" i="21"/>
  <c r="EU301" i="21"/>
  <c r="EV301" i="21" s="1"/>
  <c r="EG318" i="21"/>
  <c r="EH318" i="21"/>
  <c r="ED381" i="21"/>
  <c r="CR381" i="21" s="1"/>
  <c r="CX96" i="21"/>
  <c r="FI96" i="21"/>
  <c r="DT379" i="21"/>
  <c r="BI379" i="21"/>
  <c r="BJ379" i="21" s="1"/>
  <c r="ET418" i="21"/>
  <c r="EU418" i="21" s="1"/>
  <c r="EV418" i="21" s="1"/>
  <c r="ET337" i="21"/>
  <c r="EU337" i="21" s="1"/>
  <c r="EV337" i="21" s="1"/>
  <c r="ED168" i="21"/>
  <c r="CR168" i="21" s="1"/>
  <c r="BC379" i="21"/>
  <c r="CN379" i="21" s="1"/>
  <c r="FJ195" i="21"/>
  <c r="CW195" i="21"/>
  <c r="ET336" i="21"/>
  <c r="EU336" i="21" s="1"/>
  <c r="EV336" i="21" s="1"/>
  <c r="FH421" i="21"/>
  <c r="DB421" i="21"/>
  <c r="CX102" i="21"/>
  <c r="FI102" i="21"/>
  <c r="CU326" i="21"/>
  <c r="FG326" i="21"/>
  <c r="EG255" i="21"/>
  <c r="BJ271" i="21"/>
  <c r="AY404" i="21"/>
  <c r="BH404" i="21" s="1"/>
  <c r="BJ404" i="21" s="1"/>
  <c r="BC69" i="21"/>
  <c r="CN69" i="21" s="1"/>
  <c r="FJ322" i="21"/>
  <c r="CW322" i="21"/>
  <c r="DT171" i="21"/>
  <c r="BI171" i="21"/>
  <c r="BJ171" i="21" s="1"/>
  <c r="BL62" i="21"/>
  <c r="BN62" i="21" s="1"/>
  <c r="BM62" i="21"/>
  <c r="CX61" i="21"/>
  <c r="FI61" i="21"/>
  <c r="FB107" i="21"/>
  <c r="DR107" i="21" s="1"/>
  <c r="EX107" i="21"/>
  <c r="BJ294" i="21"/>
  <c r="DA318" i="21"/>
  <c r="FG318" i="21"/>
  <c r="ET435" i="21"/>
  <c r="EU435" i="21" s="1"/>
  <c r="EV435" i="21" s="1"/>
  <c r="DD421" i="21"/>
  <c r="FI421" i="21"/>
  <c r="BJ330" i="21"/>
  <c r="DM251" i="21"/>
  <c r="FJ83" i="21"/>
  <c r="CW83" i="21"/>
  <c r="BC236" i="21"/>
  <c r="CN236" i="21" s="1"/>
  <c r="CK385" i="21"/>
  <c r="CP385" i="21" s="1"/>
  <c r="FH342" i="21"/>
  <c r="DB342" i="21"/>
  <c r="DM403" i="21"/>
  <c r="DA291" i="21"/>
  <c r="FG291" i="21"/>
  <c r="BC350" i="21"/>
  <c r="CN350" i="21" s="1"/>
  <c r="BL54" i="21"/>
  <c r="BN54" i="21" s="1"/>
  <c r="BM54" i="21"/>
  <c r="ES215" i="21"/>
  <c r="ER215" i="21"/>
  <c r="EW215" i="21" s="1"/>
  <c r="DM215" i="21"/>
  <c r="BO34" i="21"/>
  <c r="BP34" i="21" s="1"/>
  <c r="EI34" i="21" s="1"/>
  <c r="EY132" i="21"/>
  <c r="EZ132" i="21" s="1"/>
  <c r="EY133" i="21"/>
  <c r="EZ133" i="21" s="1"/>
  <c r="BO146" i="21"/>
  <c r="BP146" i="21" s="1"/>
  <c r="EI146" i="21" s="1"/>
  <c r="EH146" i="21" s="1"/>
  <c r="BC64" i="21"/>
  <c r="CN64" i="21" s="1"/>
  <c r="CI147" i="21"/>
  <c r="CK147" i="21" s="1"/>
  <c r="CP147" i="21" s="1"/>
  <c r="EZ151" i="21"/>
  <c r="ED220" i="21"/>
  <c r="CR220" i="21" s="1"/>
  <c r="FJ85" i="21"/>
  <c r="CW85" i="21"/>
  <c r="FJ244" i="21"/>
  <c r="DC244" i="21"/>
  <c r="ET273" i="21"/>
  <c r="EU273" i="21" s="1"/>
  <c r="EV273" i="21" s="1"/>
  <c r="BP102" i="21"/>
  <c r="EI102" i="21" s="1"/>
  <c r="BO123" i="21"/>
  <c r="BP123" i="21" s="1"/>
  <c r="EI123" i="21" s="1"/>
  <c r="EH123" i="21" s="1"/>
  <c r="ET276" i="21"/>
  <c r="EU276" i="21" s="1"/>
  <c r="EV276" i="21" s="1"/>
  <c r="BC54" i="21"/>
  <c r="CN54" i="21" s="1"/>
  <c r="BC358" i="21"/>
  <c r="CN358" i="21" s="1"/>
  <c r="ET68" i="21"/>
  <c r="EU68" i="21" s="1"/>
  <c r="EV68" i="21" s="1"/>
  <c r="EY68" i="21"/>
  <c r="EZ68" i="21" s="1"/>
  <c r="BO98" i="21"/>
  <c r="DA316" i="21"/>
  <c r="FG316" i="21"/>
  <c r="BI407" i="21"/>
  <c r="BJ407" i="21" s="1"/>
  <c r="DT407" i="21"/>
  <c r="BC436" i="21"/>
  <c r="CN436" i="21" s="1"/>
  <c r="ET59" i="21"/>
  <c r="EU59" i="21" s="1"/>
  <c r="EV59" i="21" s="1"/>
  <c r="CB445" i="21"/>
  <c r="CI445" i="21" s="1"/>
  <c r="CK445" i="21" s="1"/>
  <c r="CP445" i="21" s="1"/>
  <c r="DT97" i="21"/>
  <c r="BO101" i="21"/>
  <c r="BP101" i="21" s="1"/>
  <c r="EI101" i="21" s="1"/>
  <c r="CX204" i="21"/>
  <c r="FI204" i="21"/>
  <c r="AP219" i="21"/>
  <c r="AT218" i="21"/>
  <c r="BJ448" i="21"/>
  <c r="ES154" i="21"/>
  <c r="ER154" i="21"/>
  <c r="DM154" i="21"/>
  <c r="ET227" i="21"/>
  <c r="EU227" i="21" s="1"/>
  <c r="EV227" i="21" s="1"/>
  <c r="ET421" i="21"/>
  <c r="EU421" i="21" s="1"/>
  <c r="EV421" i="21" s="1"/>
  <c r="ET74" i="21"/>
  <c r="EU74" i="21" s="1"/>
  <c r="EV74" i="21" s="1"/>
  <c r="EZ150" i="21"/>
  <c r="ET369" i="21"/>
  <c r="EU369" i="21" s="1"/>
  <c r="EV369" i="21" s="1"/>
  <c r="ET437" i="21"/>
  <c r="EU437" i="21" s="1"/>
  <c r="EV437" i="21" s="1"/>
  <c r="EY77" i="21"/>
  <c r="EZ77" i="21" s="1"/>
  <c r="ET77" i="21"/>
  <c r="EU77" i="21" s="1"/>
  <c r="EV77" i="21" s="1"/>
  <c r="DM238" i="21"/>
  <c r="ES491" i="21"/>
  <c r="EW491" i="21" s="1"/>
  <c r="EX491" i="21" s="1"/>
  <c r="ET331" i="21"/>
  <c r="EU331" i="21" s="1"/>
  <c r="EV331" i="21" s="1"/>
  <c r="ET341" i="21"/>
  <c r="EU341" i="21" s="1"/>
  <c r="EV341" i="21" s="1"/>
  <c r="DA361" i="21"/>
  <c r="FG361" i="21"/>
  <c r="AU214" i="21"/>
  <c r="AR214" i="21"/>
  <c r="DP26" i="21"/>
  <c r="DO26" i="21"/>
  <c r="AR194" i="21"/>
  <c r="AU194" i="21"/>
  <c r="AY428" i="21"/>
  <c r="BH428" i="21" s="1"/>
  <c r="BJ428" i="21" s="1"/>
  <c r="AZ367" i="21"/>
  <c r="FH235" i="21"/>
  <c r="CV235" i="21"/>
  <c r="CK276" i="21"/>
  <c r="CP276" i="21" s="1"/>
  <c r="DM390" i="21"/>
  <c r="FG96" i="21"/>
  <c r="CU96" i="21"/>
  <c r="CU8" i="21" s="1"/>
  <c r="FI392" i="21"/>
  <c r="CX392" i="21"/>
  <c r="BI214" i="21"/>
  <c r="BJ214" i="21" s="1"/>
  <c r="DT214" i="21"/>
  <c r="FG336" i="21"/>
  <c r="CU336" i="21"/>
  <c r="FG409" i="21"/>
  <c r="DA409" i="21"/>
  <c r="CV171" i="21"/>
  <c r="FH171" i="21"/>
  <c r="FH252" i="21"/>
  <c r="DB252" i="21"/>
  <c r="ED170" i="21"/>
  <c r="CR170" i="21" s="1"/>
  <c r="CB404" i="21"/>
  <c r="CI404" i="21" s="1"/>
  <c r="CK404" i="21" s="1"/>
  <c r="CP404" i="21" s="1"/>
  <c r="CK240" i="21"/>
  <c r="CP240" i="21" s="1"/>
  <c r="ET58" i="21"/>
  <c r="EU58" i="21" s="1"/>
  <c r="EV58" i="21" s="1"/>
  <c r="BJ266" i="21"/>
  <c r="ET363" i="21"/>
  <c r="EU363" i="21" s="1"/>
  <c r="EV363" i="21" s="1"/>
  <c r="EH62" i="21"/>
  <c r="EG62" i="21"/>
  <c r="DM363" i="21"/>
  <c r="BH368" i="21"/>
  <c r="BJ368" i="21" s="1"/>
  <c r="ES20" i="21"/>
  <c r="ER20" i="21"/>
  <c r="CK188" i="21"/>
  <c r="CP188" i="21" s="1"/>
  <c r="FI272" i="21"/>
  <c r="CX272" i="21"/>
  <c r="AY317" i="21"/>
  <c r="BH317" i="21" s="1"/>
  <c r="BJ317" i="21" s="1"/>
  <c r="ET383" i="21"/>
  <c r="EU383" i="21" s="1"/>
  <c r="EV383" i="21" s="1"/>
  <c r="EZ49" i="21"/>
  <c r="BC173" i="21"/>
  <c r="CN173" i="21" s="1"/>
  <c r="CU133" i="21"/>
  <c r="FG133" i="21"/>
  <c r="DT92" i="21"/>
  <c r="FJ245" i="21"/>
  <c r="DC245" i="21"/>
  <c r="EY19" i="21"/>
  <c r="EZ19" i="21" s="1"/>
  <c r="FJ68" i="21"/>
  <c r="CW68" i="21"/>
  <c r="BM90" i="21"/>
  <c r="BL90" i="21"/>
  <c r="BN90" i="21" s="1"/>
  <c r="DT249" i="21"/>
  <c r="BI249" i="21"/>
  <c r="BJ249" i="21" s="1"/>
  <c r="ET234" i="21"/>
  <c r="EU234" i="21" s="1"/>
  <c r="EV234" i="21" s="1"/>
  <c r="EY40" i="21"/>
  <c r="EZ40" i="21" s="1"/>
  <c r="FG130" i="21"/>
  <c r="CU130" i="21"/>
  <c r="ET189" i="21"/>
  <c r="EU189" i="21" s="1"/>
  <c r="EV189" i="21" s="1"/>
  <c r="EU22" i="21"/>
  <c r="EV22" i="21" s="1"/>
  <c r="ET22" i="21"/>
  <c r="EM22" i="21"/>
  <c r="EP22" i="21" s="1"/>
  <c r="EQ22" i="21" s="1"/>
  <c r="EU69" i="21"/>
  <c r="EV69" i="21" s="1"/>
  <c r="ET69" i="21"/>
  <c r="EY69" i="21"/>
  <c r="EZ69" i="21" s="1"/>
  <c r="CB257" i="21"/>
  <c r="CI257" i="21" s="1"/>
  <c r="CK257" i="21" s="1"/>
  <c r="CP257" i="21" s="1"/>
  <c r="DA273" i="21"/>
  <c r="FG273" i="21"/>
  <c r="BI170" i="21"/>
  <c r="BJ170" i="21" s="1"/>
  <c r="DT170" i="21"/>
  <c r="BI297" i="21"/>
  <c r="BJ297" i="21" s="1"/>
  <c r="DT297" i="21"/>
  <c r="FI196" i="21"/>
  <c r="CX196" i="21"/>
  <c r="BJ302" i="21"/>
  <c r="DT68" i="21"/>
  <c r="ED349" i="21"/>
  <c r="CR349" i="21" s="1"/>
  <c r="ET407" i="21"/>
  <c r="EU407" i="21" s="1"/>
  <c r="EV407" i="21" s="1"/>
  <c r="FG128" i="21"/>
  <c r="CU128" i="21"/>
  <c r="BJ311" i="21"/>
  <c r="DD379" i="21"/>
  <c r="FI379" i="21"/>
  <c r="DT59" i="21"/>
  <c r="ET97" i="21"/>
  <c r="EU97" i="21" s="1"/>
  <c r="EV97" i="21" s="1"/>
  <c r="BH204" i="21"/>
  <c r="BJ204" i="21" s="1"/>
  <c r="AZ204" i="21"/>
  <c r="BI314" i="21"/>
  <c r="BJ314" i="21" s="1"/>
  <c r="DT314" i="21"/>
  <c r="DN217" i="21"/>
  <c r="DP217" i="21" s="1"/>
  <c r="AY305" i="21"/>
  <c r="AZ305" i="21" s="1"/>
  <c r="DM365" i="21"/>
  <c r="BP116" i="21"/>
  <c r="EI116" i="21" s="1"/>
  <c r="EH116" i="21" s="1"/>
  <c r="CB259" i="21"/>
  <c r="CI259" i="21" s="1"/>
  <c r="CK259" i="21" s="1"/>
  <c r="CP259" i="21" s="1"/>
  <c r="BC262" i="21"/>
  <c r="CN262" i="21" s="1"/>
  <c r="DT74" i="21"/>
  <c r="DM231" i="21"/>
  <c r="FG437" i="21"/>
  <c r="DA437" i="21"/>
  <c r="CX64" i="21"/>
  <c r="FI64" i="21"/>
  <c r="EU207" i="21"/>
  <c r="EV207" i="21" s="1"/>
  <c r="FG354" i="21"/>
  <c r="CU354" i="21"/>
  <c r="CX423" i="21"/>
  <c r="FI423" i="21"/>
  <c r="CB206" i="21"/>
  <c r="CI206" i="21" s="1"/>
  <c r="CK206" i="21" s="1"/>
  <c r="CP206" i="21" s="1"/>
  <c r="CU331" i="21"/>
  <c r="FG331" i="21"/>
  <c r="BI326" i="21"/>
  <c r="BJ326" i="21" s="1"/>
  <c r="DT326" i="21"/>
  <c r="FH167" i="21"/>
  <c r="CV167" i="21"/>
  <c r="DC314" i="21"/>
  <c r="FJ314" i="21"/>
  <c r="BJ394" i="21"/>
  <c r="EW474" i="21"/>
  <c r="EX474" i="21" s="1"/>
  <c r="EG428" i="21"/>
  <c r="EH428" i="21"/>
  <c r="BC444" i="21"/>
  <c r="CN444" i="21" s="1"/>
  <c r="DO478" i="21"/>
  <c r="DP478" i="21"/>
  <c r="EY23" i="21"/>
  <c r="EZ23" i="21"/>
  <c r="ET219" i="21"/>
  <c r="EU219" i="21" s="1"/>
  <c r="EV219" i="21" s="1"/>
  <c r="BI333" i="21"/>
  <c r="BJ333" i="21" s="1"/>
  <c r="DT333" i="21"/>
  <c r="BC79" i="21"/>
  <c r="CN79" i="21" s="1"/>
  <c r="AZ392" i="21"/>
  <c r="BH392" i="21"/>
  <c r="BJ392" i="21" s="1"/>
  <c r="ET91" i="21"/>
  <c r="EU91" i="21" s="1"/>
  <c r="EV91" i="21" s="1"/>
  <c r="ET214" i="21"/>
  <c r="EU214" i="21" s="1"/>
  <c r="EV214" i="21" s="1"/>
  <c r="EM214" i="21"/>
  <c r="EP214" i="21" s="1"/>
  <c r="EQ214" i="21" s="1"/>
  <c r="BJ353" i="21"/>
  <c r="ET409" i="21"/>
  <c r="EU409" i="21" s="1"/>
  <c r="EV409" i="21" s="1"/>
  <c r="EM162" i="21"/>
  <c r="EP162" i="21" s="1"/>
  <c r="EQ162" i="21" s="1"/>
  <c r="ET326" i="21"/>
  <c r="EU326" i="21" s="1"/>
  <c r="EV326" i="21" s="1"/>
  <c r="EY28" i="21"/>
  <c r="EZ28" i="21" s="1"/>
  <c r="ET48" i="21"/>
  <c r="EU48" i="21" s="1"/>
  <c r="EV48" i="21" s="1"/>
  <c r="AZ200" i="21"/>
  <c r="BH200" i="21"/>
  <c r="BJ200" i="21" s="1"/>
  <c r="DT120" i="21"/>
  <c r="DD310" i="21"/>
  <c r="FI310" i="21"/>
  <c r="BJ378" i="21"/>
  <c r="DM84" i="21"/>
  <c r="FH256" i="21"/>
  <c r="DB256" i="21"/>
  <c r="FI291" i="21"/>
  <c r="DD291" i="21"/>
  <c r="ED260" i="21"/>
  <c r="CR260" i="21" s="1"/>
  <c r="DT251" i="21"/>
  <c r="BI251" i="21"/>
  <c r="BJ251" i="21" s="1"/>
  <c r="DT337" i="21"/>
  <c r="BI337" i="21"/>
  <c r="BJ337" i="21" s="1"/>
  <c r="ET223" i="21"/>
  <c r="EU223" i="21" s="1"/>
  <c r="EV223" i="21" s="1"/>
  <c r="DT370" i="21"/>
  <c r="BI370" i="21"/>
  <c r="BJ370" i="21" s="1"/>
  <c r="FI413" i="21"/>
  <c r="DD413" i="21"/>
  <c r="AV155" i="21"/>
  <c r="AW155" i="21" s="1"/>
  <c r="BC155" i="21"/>
  <c r="FJ363" i="21"/>
  <c r="DC363" i="21"/>
  <c r="BC354" i="21"/>
  <c r="CN354" i="21" s="1"/>
  <c r="FG363" i="21"/>
  <c r="DA363" i="21"/>
  <c r="DM430" i="21"/>
  <c r="ED184" i="21"/>
  <c r="CR184" i="21" s="1"/>
  <c r="ED324" i="21"/>
  <c r="CR324" i="21" s="1"/>
  <c r="FQ348" i="20"/>
  <c r="DL348" i="20"/>
  <c r="DL434" i="20"/>
  <c r="FQ434" i="20"/>
  <c r="FQ359" i="20"/>
  <c r="DL359" i="20"/>
  <c r="EP257" i="20"/>
  <c r="DU257" i="20" s="1"/>
  <c r="EL257" i="20" s="1"/>
  <c r="CZ257" i="20" s="1"/>
  <c r="EO257" i="20"/>
  <c r="DL210" i="20"/>
  <c r="FQ210" i="20"/>
  <c r="DK180" i="20"/>
  <c r="DF78" i="20"/>
  <c r="EP53" i="20"/>
  <c r="DU53" i="20" s="1"/>
  <c r="EB415" i="20"/>
  <c r="BQ415" i="20"/>
  <c r="BR288" i="20"/>
  <c r="DE116" i="20"/>
  <c r="EO327" i="20"/>
  <c r="CJ243" i="20"/>
  <c r="CQ243" i="20" s="1"/>
  <c r="CS243" i="20" s="1"/>
  <c r="CX243" i="20" s="1"/>
  <c r="FQ456" i="20"/>
  <c r="BW66" i="20"/>
  <c r="BX66" i="20" s="1"/>
  <c r="EQ66" i="20" s="1"/>
  <c r="BU93" i="20"/>
  <c r="BT93" i="20"/>
  <c r="BV93" i="20" s="1"/>
  <c r="BK484" i="20"/>
  <c r="FH135" i="20"/>
  <c r="CS30" i="20"/>
  <c r="DE72" i="20"/>
  <c r="DL438" i="20"/>
  <c r="BG440" i="20"/>
  <c r="BP440" i="20" s="1"/>
  <c r="EP296" i="20"/>
  <c r="DU296" i="20" s="1"/>
  <c r="DE61" i="20"/>
  <c r="DL244" i="20"/>
  <c r="BH160" i="20"/>
  <c r="BK160" i="20" s="1"/>
  <c r="CH421" i="20"/>
  <c r="CJ421" i="20" s="1"/>
  <c r="CQ421" i="20" s="1"/>
  <c r="CS421" i="20" s="1"/>
  <c r="CX421" i="20" s="1"/>
  <c r="CJ263" i="20"/>
  <c r="DF452" i="20"/>
  <c r="FQ306" i="20"/>
  <c r="FQ416" i="20"/>
  <c r="FG120" i="20"/>
  <c r="FH120" i="20" s="1"/>
  <c r="CJ455" i="20"/>
  <c r="BQ441" i="20"/>
  <c r="DL328" i="20"/>
  <c r="CS44" i="20"/>
  <c r="EO442" i="20"/>
  <c r="EO400" i="20"/>
  <c r="DL278" i="20"/>
  <c r="BH330" i="20"/>
  <c r="BK330" i="20" s="1"/>
  <c r="CV330" i="20" s="1"/>
  <c r="BP330" i="20"/>
  <c r="BR330" i="20" s="1"/>
  <c r="FQ400" i="20"/>
  <c r="DL400" i="20"/>
  <c r="EZ156" i="20"/>
  <c r="EG455" i="20"/>
  <c r="EP455" i="20" s="1"/>
  <c r="DU455" i="20" s="1"/>
  <c r="BK502" i="20"/>
  <c r="EP103" i="20"/>
  <c r="DU103" i="20" s="1"/>
  <c r="BH192" i="20"/>
  <c r="BK192" i="20" s="1"/>
  <c r="CV192" i="20" s="1"/>
  <c r="FP192" i="20" s="1"/>
  <c r="BK473" i="20"/>
  <c r="BP180" i="20"/>
  <c r="BG257" i="20"/>
  <c r="BH257" i="20" s="1"/>
  <c r="BK257" i="20" s="1"/>
  <c r="CV257" i="20" s="1"/>
  <c r="FQ321" i="20"/>
  <c r="DL454" i="20"/>
  <c r="EB247" i="20"/>
  <c r="EU502" i="20"/>
  <c r="EX502" i="20" s="1"/>
  <c r="EY502" i="20" s="1"/>
  <c r="DV502" i="20" s="1"/>
  <c r="BH302" i="20"/>
  <c r="BK302" i="20" s="1"/>
  <c r="CV302" i="20" s="1"/>
  <c r="DD302" i="20" s="1"/>
  <c r="EZ162" i="20"/>
  <c r="DC176" i="20"/>
  <c r="DE89" i="20"/>
  <c r="EZ193" i="20"/>
  <c r="EP424" i="20"/>
  <c r="DU424" i="20" s="1"/>
  <c r="EL424" i="20" s="1"/>
  <c r="CZ424" i="20" s="1"/>
  <c r="EB429" i="20"/>
  <c r="EO419" i="20"/>
  <c r="FQ370" i="20"/>
  <c r="FQ330" i="20"/>
  <c r="BH272" i="20"/>
  <c r="BK272" i="20" s="1"/>
  <c r="CV272" i="20" s="1"/>
  <c r="BN25" i="20"/>
  <c r="FQ317" i="20"/>
  <c r="FB193" i="20"/>
  <c r="FC193" i="20" s="1"/>
  <c r="FD193" i="20" s="1"/>
  <c r="EC477" i="20"/>
  <c r="EU477" i="20" s="1"/>
  <c r="EX477" i="20" s="1"/>
  <c r="EY477" i="20" s="1"/>
  <c r="DL227" i="20"/>
  <c r="BQ390" i="20"/>
  <c r="EB390" i="20"/>
  <c r="BW145" i="20"/>
  <c r="BX145" i="20" s="1"/>
  <c r="EQ145" i="20" s="1"/>
  <c r="EP145" i="20" s="1"/>
  <c r="DU145" i="20" s="1"/>
  <c r="DI172" i="20"/>
  <c r="CJ302" i="20"/>
  <c r="GI119" i="20"/>
  <c r="DA119" i="20" s="1"/>
  <c r="FQ119" i="20" s="1"/>
  <c r="FG75" i="20"/>
  <c r="FH75" i="20" s="1"/>
  <c r="EP343" i="20"/>
  <c r="DU343" i="20" s="1"/>
  <c r="EO343" i="20"/>
  <c r="FQ413" i="20"/>
  <c r="DF413" i="20"/>
  <c r="FQ212" i="20"/>
  <c r="BP386" i="20"/>
  <c r="FQ144" i="20"/>
  <c r="AY455" i="20"/>
  <c r="EP245" i="20"/>
  <c r="DU245" i="20" s="1"/>
  <c r="EL245" i="20" s="1"/>
  <c r="CZ245" i="20" s="1"/>
  <c r="EB367" i="20"/>
  <c r="BQ367" i="20"/>
  <c r="BR367" i="20" s="1"/>
  <c r="EP440" i="20"/>
  <c r="DU440" i="20" s="1"/>
  <c r="EL440" i="20" s="1"/>
  <c r="CZ440" i="20" s="1"/>
  <c r="EO440" i="20"/>
  <c r="CS416" i="20"/>
  <c r="CX416" i="20" s="1"/>
  <c r="FR416" i="20" s="1"/>
  <c r="BQ427" i="20"/>
  <c r="BR427" i="20" s="1"/>
  <c r="BP184" i="20"/>
  <c r="BR184" i="20" s="1"/>
  <c r="EP187" i="20"/>
  <c r="DU187" i="20" s="1"/>
  <c r="EL187" i="20" s="1"/>
  <c r="CZ187" i="20" s="1"/>
  <c r="CJ370" i="20"/>
  <c r="DI260" i="20"/>
  <c r="FO260" i="20"/>
  <c r="DL290" i="20"/>
  <c r="DL200" i="20"/>
  <c r="CS39" i="20"/>
  <c r="EO102" i="20"/>
  <c r="BH400" i="20"/>
  <c r="BK400" i="20" s="1"/>
  <c r="CV400" i="20" s="1"/>
  <c r="BQ329" i="20"/>
  <c r="EB329" i="20"/>
  <c r="BW135" i="20"/>
  <c r="BX135" i="20" s="1"/>
  <c r="EQ135" i="20" s="1"/>
  <c r="EP135" i="20" s="1"/>
  <c r="FR152" i="20"/>
  <c r="FQ247" i="20"/>
  <c r="FQ337" i="20"/>
  <c r="FQ412" i="20"/>
  <c r="CJ330" i="20"/>
  <c r="CQ330" i="20" s="1"/>
  <c r="CS330" i="20" s="1"/>
  <c r="CX330" i="20" s="1"/>
  <c r="DE330" i="20" s="1"/>
  <c r="CJ313" i="20"/>
  <c r="CQ313" i="20" s="1"/>
  <c r="CS313" i="20" s="1"/>
  <c r="CX313" i="20" s="1"/>
  <c r="FR313" i="20" s="1"/>
  <c r="EB315" i="20"/>
  <c r="BQ315" i="20"/>
  <c r="EO338" i="20"/>
  <c r="EP338" i="20"/>
  <c r="DU338" i="20" s="1"/>
  <c r="EL338" i="20" s="1"/>
  <c r="CZ338" i="20" s="1"/>
  <c r="BP324" i="20"/>
  <c r="BR324" i="20" s="1"/>
  <c r="CS209" i="20"/>
  <c r="CX209" i="20" s="1"/>
  <c r="FR209" i="20" s="1"/>
  <c r="CJ251" i="20"/>
  <c r="CQ251" i="20" s="1"/>
  <c r="CS251" i="20" s="1"/>
  <c r="CX251" i="20" s="1"/>
  <c r="FR57" i="20"/>
  <c r="BH296" i="20"/>
  <c r="BK296" i="20" s="1"/>
  <c r="CV296" i="20" s="1"/>
  <c r="EB245" i="20"/>
  <c r="BQ245" i="20"/>
  <c r="EG436" i="20"/>
  <c r="EP436" i="20" s="1"/>
  <c r="DU436" i="20" s="1"/>
  <c r="EL436" i="20" s="1"/>
  <c r="CZ436" i="20" s="1"/>
  <c r="DH436" i="20" s="1"/>
  <c r="CH436" i="20"/>
  <c r="CJ436" i="20" s="1"/>
  <c r="AB109" i="20"/>
  <c r="BG109" i="20" s="1"/>
  <c r="BH109" i="20" s="1"/>
  <c r="BK109" i="20" s="1"/>
  <c r="AV109" i="20"/>
  <c r="AY109" i="20" s="1"/>
  <c r="CH109" i="20"/>
  <c r="CJ109" i="20" s="1"/>
  <c r="CQ109" i="20" s="1"/>
  <c r="CS109" i="20" s="1"/>
  <c r="CS168" i="20"/>
  <c r="CX168" i="20" s="1"/>
  <c r="FR168" i="20" s="1"/>
  <c r="CH435" i="20"/>
  <c r="CJ435" i="20" s="1"/>
  <c r="CQ435" i="20" s="1"/>
  <c r="CS435" i="20" s="1"/>
  <c r="CX435" i="20" s="1"/>
  <c r="EP230" i="20"/>
  <c r="DU230" i="20" s="1"/>
  <c r="BR345" i="20"/>
  <c r="BP336" i="20"/>
  <c r="BR336" i="20" s="1"/>
  <c r="BH246" i="20"/>
  <c r="BK246" i="20" s="1"/>
  <c r="CV246" i="20" s="1"/>
  <c r="DJ246" i="20" s="1"/>
  <c r="BP246" i="20"/>
  <c r="BR246" i="20" s="1"/>
  <c r="CS50" i="20"/>
  <c r="CJ336" i="20"/>
  <c r="CQ336" i="20" s="1"/>
  <c r="CS336" i="20" s="1"/>
  <c r="CX336" i="20" s="1"/>
  <c r="BQ180" i="20"/>
  <c r="EB180" i="20"/>
  <c r="CJ352" i="20"/>
  <c r="BH428" i="20"/>
  <c r="BK428" i="20" s="1"/>
  <c r="CV428" i="20" s="1"/>
  <c r="FP428" i="20" s="1"/>
  <c r="BQ365" i="20"/>
  <c r="EB365" i="20"/>
  <c r="FR70" i="20"/>
  <c r="DE70" i="20"/>
  <c r="BP171" i="20"/>
  <c r="BR171" i="20" s="1"/>
  <c r="BH171" i="20"/>
  <c r="BK171" i="20" s="1"/>
  <c r="CV171" i="20" s="1"/>
  <c r="DD171" i="20" s="1"/>
  <c r="BW23" i="20"/>
  <c r="BX23" i="20" s="1"/>
  <c r="EQ23" i="20" s="1"/>
  <c r="EB234" i="20"/>
  <c r="CS438" i="20"/>
  <c r="CX438" i="20" s="1"/>
  <c r="DK438" i="20" s="1"/>
  <c r="BQ377" i="20"/>
  <c r="BR377" i="20" s="1"/>
  <c r="EB377" i="20"/>
  <c r="FQ142" i="20"/>
  <c r="DL142" i="20"/>
  <c r="BK391" i="20"/>
  <c r="CV391" i="20" s="1"/>
  <c r="DD391" i="20" s="1"/>
  <c r="BW43" i="20"/>
  <c r="BX43" i="20" s="1"/>
  <c r="EQ43" i="20" s="1"/>
  <c r="BW119" i="20"/>
  <c r="BX119" i="20" s="1"/>
  <c r="EQ119" i="20" s="1"/>
  <c r="EP119" i="20" s="1"/>
  <c r="DU119" i="20" s="1"/>
  <c r="CJ419" i="20"/>
  <c r="CQ419" i="20" s="1"/>
  <c r="CS419" i="20" s="1"/>
  <c r="CX419" i="20" s="1"/>
  <c r="DK419" i="20" s="1"/>
  <c r="BH371" i="20"/>
  <c r="BK371" i="20" s="1"/>
  <c r="CV371" i="20" s="1"/>
  <c r="BW137" i="20"/>
  <c r="BX137" i="20" s="1"/>
  <c r="EQ137" i="20" s="1"/>
  <c r="EP137" i="20" s="1"/>
  <c r="DU137" i="20" s="1"/>
  <c r="BP340" i="20"/>
  <c r="BK130" i="20"/>
  <c r="CV130" i="20" s="1"/>
  <c r="DD130" i="20" s="1"/>
  <c r="BK232" i="20"/>
  <c r="CV232" i="20" s="1"/>
  <c r="FP232" i="20" s="1"/>
  <c r="FR130" i="20"/>
  <c r="DE130" i="20"/>
  <c r="BP241" i="20"/>
  <c r="FH30" i="20"/>
  <c r="CS224" i="20"/>
  <c r="BH345" i="20"/>
  <c r="BK345" i="20" s="1"/>
  <c r="CV345" i="20" s="1"/>
  <c r="DJ345" i="20" s="1"/>
  <c r="BP443" i="20"/>
  <c r="BR443" i="20" s="1"/>
  <c r="EZ500" i="20"/>
  <c r="CJ413" i="20"/>
  <c r="CQ413" i="20" s="1"/>
  <c r="CS413" i="20" s="1"/>
  <c r="CX413" i="20" s="1"/>
  <c r="DE413" i="20" s="1"/>
  <c r="FB76" i="20"/>
  <c r="FC76" i="20" s="1"/>
  <c r="FD76" i="20" s="1"/>
  <c r="DY35" i="20"/>
  <c r="BH396" i="20"/>
  <c r="BD396" i="20" s="1"/>
  <c r="BE396" i="20" s="1"/>
  <c r="BP250" i="20"/>
  <c r="BR403" i="20"/>
  <c r="CJ104" i="20"/>
  <c r="CQ104" i="20" s="1"/>
  <c r="CS104" i="20" s="1"/>
  <c r="CX104" i="20" s="1"/>
  <c r="DF415" i="20"/>
  <c r="BW74" i="20"/>
  <c r="BX74" i="20" s="1"/>
  <c r="EQ74" i="20" s="1"/>
  <c r="FA500" i="20"/>
  <c r="BQ185" i="20"/>
  <c r="EB185" i="20"/>
  <c r="FQ436" i="20"/>
  <c r="BW142" i="20"/>
  <c r="BX142" i="20" s="1"/>
  <c r="EQ142" i="20" s="1"/>
  <c r="EP142" i="20" s="1"/>
  <c r="DU142" i="20" s="1"/>
  <c r="CJ366" i="20"/>
  <c r="CQ366" i="20" s="1"/>
  <c r="CS366" i="20" s="1"/>
  <c r="CX366" i="20" s="1"/>
  <c r="DK366" i="20" s="1"/>
  <c r="FA482" i="20"/>
  <c r="BP428" i="20"/>
  <c r="BR428" i="20" s="1"/>
  <c r="FB215" i="20"/>
  <c r="FC215" i="20" s="1"/>
  <c r="FD215" i="20" s="1"/>
  <c r="CS183" i="20"/>
  <c r="CX183" i="20" s="1"/>
  <c r="EB313" i="20"/>
  <c r="BQ313" i="20"/>
  <c r="BR313" i="20" s="1"/>
  <c r="DE117" i="20"/>
  <c r="EB286" i="20"/>
  <c r="BP391" i="20"/>
  <c r="BR391" i="20" s="1"/>
  <c r="CJ399" i="20"/>
  <c r="CQ399" i="20" s="1"/>
  <c r="CS399" i="20" s="1"/>
  <c r="CX399" i="20" s="1"/>
  <c r="DL234" i="20"/>
  <c r="DL188" i="20"/>
  <c r="CJ96" i="20"/>
  <c r="CQ96" i="20" s="1"/>
  <c r="CS96" i="20" s="1"/>
  <c r="CX96" i="20" s="1"/>
  <c r="FR96" i="20" s="1"/>
  <c r="BH340" i="20"/>
  <c r="BK340" i="20" s="1"/>
  <c r="CV340" i="20" s="1"/>
  <c r="DX500" i="20"/>
  <c r="FG24" i="20"/>
  <c r="FH24" i="20" s="1"/>
  <c r="DL419" i="20"/>
  <c r="FQ419" i="20"/>
  <c r="BH416" i="20"/>
  <c r="BK416" i="20" s="1"/>
  <c r="CV416" i="20" s="1"/>
  <c r="BP416" i="20"/>
  <c r="DX482" i="20"/>
  <c r="DW482" i="20"/>
  <c r="CJ87" i="20"/>
  <c r="CQ87" i="20" s="1"/>
  <c r="CS87" i="20" s="1"/>
  <c r="CX87" i="20" s="1"/>
  <c r="DE87" i="20" s="1"/>
  <c r="BP217" i="20"/>
  <c r="EO345" i="20"/>
  <c r="EP345" i="20"/>
  <c r="DU345" i="20" s="1"/>
  <c r="EL345" i="20" s="1"/>
  <c r="CZ345" i="20" s="1"/>
  <c r="EP347" i="20"/>
  <c r="DU347" i="20" s="1"/>
  <c r="EL347" i="20" s="1"/>
  <c r="CZ347" i="20" s="1"/>
  <c r="EO347" i="20"/>
  <c r="EO317" i="20"/>
  <c r="EP317" i="20"/>
  <c r="DU317" i="20" s="1"/>
  <c r="EL317" i="20" s="1"/>
  <c r="CZ317" i="20" s="1"/>
  <c r="BQ414" i="20"/>
  <c r="CJ425" i="20"/>
  <c r="CQ425" i="20" s="1"/>
  <c r="CS425" i="20" s="1"/>
  <c r="CX425" i="20" s="1"/>
  <c r="FR425" i="20" s="1"/>
  <c r="CJ65" i="20"/>
  <c r="CQ65" i="20" s="1"/>
  <c r="CS65" i="20" s="1"/>
  <c r="CX65" i="20" s="1"/>
  <c r="DE65" i="20" s="1"/>
  <c r="BK176" i="20"/>
  <c r="CV176" i="20" s="1"/>
  <c r="FP176" i="20" s="1"/>
  <c r="CJ285" i="20"/>
  <c r="BW123" i="20"/>
  <c r="BX123" i="20" s="1"/>
  <c r="EQ123" i="20" s="1"/>
  <c r="EP123" i="20" s="1"/>
  <c r="EP329" i="20"/>
  <c r="DU329" i="20" s="1"/>
  <c r="EO246" i="20"/>
  <c r="DY49" i="20"/>
  <c r="EZ482" i="20"/>
  <c r="BQ320" i="20"/>
  <c r="EB320" i="20"/>
  <c r="BP332" i="20"/>
  <c r="BK443" i="20"/>
  <c r="CV443" i="20" s="1"/>
  <c r="DJ443" i="20" s="1"/>
  <c r="BH297" i="20"/>
  <c r="BD297" i="20" s="1"/>
  <c r="BE297" i="20" s="1"/>
  <c r="EP255" i="20"/>
  <c r="DU255" i="20" s="1"/>
  <c r="BP452" i="20"/>
  <c r="DE78" i="20"/>
  <c r="EO354" i="20"/>
  <c r="DW500" i="20"/>
  <c r="FA494" i="20"/>
  <c r="BR412" i="20"/>
  <c r="DL240" i="20"/>
  <c r="CJ437" i="20"/>
  <c r="BH247" i="20"/>
  <c r="BK247" i="20" s="1"/>
  <c r="CV247" i="20" s="1"/>
  <c r="DD247" i="20" s="1"/>
  <c r="BW124" i="20"/>
  <c r="BX124" i="20" s="1"/>
  <c r="EQ124" i="20" s="1"/>
  <c r="EP124" i="20" s="1"/>
  <c r="BP173" i="20"/>
  <c r="BR173" i="20" s="1"/>
  <c r="DY22" i="20"/>
  <c r="BP435" i="20"/>
  <c r="BR435" i="20" s="1"/>
  <c r="DL173" i="20"/>
  <c r="CJ441" i="20"/>
  <c r="BH335" i="20"/>
  <c r="BK335" i="20" s="1"/>
  <c r="CV335" i="20" s="1"/>
  <c r="DD335" i="20" s="1"/>
  <c r="EO274" i="20"/>
  <c r="EP274" i="20"/>
  <c r="DU274" i="20" s="1"/>
  <c r="EL274" i="20" s="1"/>
  <c r="CZ274" i="20" s="1"/>
  <c r="EO428" i="20"/>
  <c r="EP428" i="20"/>
  <c r="DU428" i="20" s="1"/>
  <c r="EL428" i="20" s="1"/>
  <c r="CZ428" i="20" s="1"/>
  <c r="CS31" i="20"/>
  <c r="EO97" i="20"/>
  <c r="BH276" i="20"/>
  <c r="BK276" i="20" s="1"/>
  <c r="CV276" i="20" s="1"/>
  <c r="BW147" i="20"/>
  <c r="BX147" i="20" s="1"/>
  <c r="EQ147" i="20" s="1"/>
  <c r="EP147" i="20" s="1"/>
  <c r="DI140" i="20"/>
  <c r="AY105" i="20"/>
  <c r="BC105" i="20" s="1"/>
  <c r="CJ358" i="20"/>
  <c r="CQ358" i="20" s="1"/>
  <c r="CS358" i="20" s="1"/>
  <c r="CX358" i="20" s="1"/>
  <c r="DE358" i="20" s="1"/>
  <c r="BW44" i="20"/>
  <c r="BX44" i="20" s="1"/>
  <c r="EQ44" i="20" s="1"/>
  <c r="EZ494" i="20"/>
  <c r="BK285" i="20"/>
  <c r="CV285" i="20" s="1"/>
  <c r="DD285" i="20" s="1"/>
  <c r="CJ85" i="20"/>
  <c r="CQ85" i="20" s="1"/>
  <c r="CS85" i="20" s="1"/>
  <c r="CX85" i="20" s="1"/>
  <c r="FR85" i="20" s="1"/>
  <c r="EP335" i="20"/>
  <c r="DU335" i="20" s="1"/>
  <c r="EL335" i="20" s="1"/>
  <c r="CZ335" i="20" s="1"/>
  <c r="EP241" i="20"/>
  <c r="DU241" i="20" s="1"/>
  <c r="EL241" i="20" s="1"/>
  <c r="CZ241" i="20" s="1"/>
  <c r="DC215" i="20"/>
  <c r="FO215" i="20"/>
  <c r="EO95" i="20"/>
  <c r="DY43" i="20"/>
  <c r="BH402" i="20"/>
  <c r="BK402" i="20" s="1"/>
  <c r="CV402" i="20" s="1"/>
  <c r="BR247" i="20"/>
  <c r="CJ97" i="20"/>
  <c r="BH403" i="20"/>
  <c r="BK403" i="20" s="1"/>
  <c r="CV403" i="20" s="1"/>
  <c r="FP403" i="20" s="1"/>
  <c r="FG72" i="20"/>
  <c r="FH72" i="20" s="1"/>
  <c r="FB72" i="20"/>
  <c r="FC72" i="20" s="1"/>
  <c r="FD72" i="20" s="1"/>
  <c r="BH287" i="20"/>
  <c r="BK287" i="20" s="1"/>
  <c r="CV287" i="20" s="1"/>
  <c r="BP287" i="20"/>
  <c r="BR287" i="20" s="1"/>
  <c r="BH433" i="20"/>
  <c r="BK433" i="20" s="1"/>
  <c r="CV433" i="20" s="1"/>
  <c r="DJ433" i="20" s="1"/>
  <c r="BP433" i="20"/>
  <c r="BR433" i="20" s="1"/>
  <c r="EP211" i="20"/>
  <c r="DU211" i="20" s="1"/>
  <c r="EO211" i="20"/>
  <c r="FQ425" i="20"/>
  <c r="DL425" i="20"/>
  <c r="EB294" i="20"/>
  <c r="BQ294" i="20"/>
  <c r="EP264" i="20"/>
  <c r="DU264" i="20" s="1"/>
  <c r="EO285" i="20"/>
  <c r="FB82" i="20"/>
  <c r="FC82" i="20" s="1"/>
  <c r="FD82" i="20" s="1"/>
  <c r="CU13" i="20"/>
  <c r="CJ381" i="20"/>
  <c r="CQ381" i="20" s="1"/>
  <c r="CS381" i="20" s="1"/>
  <c r="CX381" i="20" s="1"/>
  <c r="FR381" i="20" s="1"/>
  <c r="EO250" i="20"/>
  <c r="BH218" i="20"/>
  <c r="BP310" i="20"/>
  <c r="BR310" i="20" s="1"/>
  <c r="CJ325" i="20"/>
  <c r="CQ325" i="20" s="1"/>
  <c r="CS325" i="20" s="1"/>
  <c r="CX325" i="20" s="1"/>
  <c r="CJ250" i="20"/>
  <c r="CQ250" i="20" s="1"/>
  <c r="CS250" i="20" s="1"/>
  <c r="CX250" i="20" s="1"/>
  <c r="CJ410" i="20"/>
  <c r="CQ410" i="20" s="1"/>
  <c r="CS410" i="20" s="1"/>
  <c r="CX410" i="20" s="1"/>
  <c r="BP407" i="20"/>
  <c r="BH211" i="20"/>
  <c r="BK211" i="20" s="1"/>
  <c r="CV211" i="20" s="1"/>
  <c r="EO377" i="20"/>
  <c r="EP377" i="20"/>
  <c r="DU377" i="20" s="1"/>
  <c r="EL377" i="20" s="1"/>
  <c r="CZ377" i="20" s="1"/>
  <c r="EB183" i="20"/>
  <c r="BQ183" i="20"/>
  <c r="BP154" i="20"/>
  <c r="BR154" i="20" s="1"/>
  <c r="BH154" i="20"/>
  <c r="DI175" i="20"/>
  <c r="FO175" i="20"/>
  <c r="BH378" i="20"/>
  <c r="BK378" i="20" s="1"/>
  <c r="CV378" i="20" s="1"/>
  <c r="DD378" i="20" s="1"/>
  <c r="CJ58" i="20"/>
  <c r="CQ58" i="20" s="1"/>
  <c r="CS58" i="20" s="1"/>
  <c r="CX58" i="20" s="1"/>
  <c r="DE58" i="20" s="1"/>
  <c r="BP372" i="20"/>
  <c r="BR372" i="20" s="1"/>
  <c r="BP294" i="20"/>
  <c r="FG69" i="20"/>
  <c r="FH69" i="20" s="1"/>
  <c r="FQ322" i="20"/>
  <c r="FA492" i="20"/>
  <c r="CJ322" i="20"/>
  <c r="CQ322" i="20" s="1"/>
  <c r="CS322" i="20" s="1"/>
  <c r="CX322" i="20" s="1"/>
  <c r="BH313" i="20"/>
  <c r="BK313" i="20" s="1"/>
  <c r="CV313" i="20" s="1"/>
  <c r="BP333" i="20"/>
  <c r="BH408" i="20"/>
  <c r="BK408" i="20" s="1"/>
  <c r="CV408" i="20" s="1"/>
  <c r="DW497" i="20"/>
  <c r="DY497" i="20" s="1"/>
  <c r="DZ497" i="20" s="1"/>
  <c r="FQ376" i="20"/>
  <c r="EB175" i="20"/>
  <c r="BQ175" i="20"/>
  <c r="BR175" i="20" s="1"/>
  <c r="EB361" i="20"/>
  <c r="BQ361" i="20"/>
  <c r="BW35" i="20"/>
  <c r="BX35" i="20" s="1"/>
  <c r="EQ35" i="20" s="1"/>
  <c r="DY28" i="20"/>
  <c r="BW52" i="20"/>
  <c r="BX52" i="20" s="1"/>
  <c r="EQ52" i="20" s="1"/>
  <c r="CJ253" i="20"/>
  <c r="CQ253" i="20" s="1"/>
  <c r="CS253" i="20" s="1"/>
  <c r="CX253" i="20" s="1"/>
  <c r="DK253" i="20" s="1"/>
  <c r="EO368" i="20"/>
  <c r="BP285" i="20"/>
  <c r="BR285" i="20" s="1"/>
  <c r="FO293" i="20"/>
  <c r="CJ340" i="20"/>
  <c r="CQ340" i="20" s="1"/>
  <c r="CS340" i="20" s="1"/>
  <c r="CX340" i="20" s="1"/>
  <c r="FR340" i="20" s="1"/>
  <c r="BP191" i="20"/>
  <c r="FO127" i="20"/>
  <c r="DC127" i="20"/>
  <c r="CJ295" i="20"/>
  <c r="CQ295" i="20" s="1"/>
  <c r="CS295" i="20" s="1"/>
  <c r="CX295" i="20" s="1"/>
  <c r="CJ199" i="20"/>
  <c r="CQ199" i="20" s="1"/>
  <c r="CS199" i="20" s="1"/>
  <c r="CX199" i="20" s="1"/>
  <c r="DL206" i="20"/>
  <c r="BW77" i="20"/>
  <c r="BX77" i="20" s="1"/>
  <c r="EQ77" i="20" s="1"/>
  <c r="CS223" i="20"/>
  <c r="DI183" i="20"/>
  <c r="FO183" i="20"/>
  <c r="EG450" i="20"/>
  <c r="EP450" i="20" s="1"/>
  <c r="DU450" i="20" s="1"/>
  <c r="EL450" i="20" s="1"/>
  <c r="CZ450" i="20" s="1"/>
  <c r="CH450" i="20"/>
  <c r="CJ450" i="20" s="1"/>
  <c r="CJ98" i="20"/>
  <c r="CQ98" i="20" s="1"/>
  <c r="CS98" i="20" s="1"/>
  <c r="CX98" i="20" s="1"/>
  <c r="FR98" i="20" s="1"/>
  <c r="BW40" i="20"/>
  <c r="BX40" i="20" s="1"/>
  <c r="EQ40" i="20" s="1"/>
  <c r="BR378" i="20"/>
  <c r="CJ239" i="20"/>
  <c r="CJ100" i="20"/>
  <c r="CQ100" i="20" s="1"/>
  <c r="CS100" i="20" s="1"/>
  <c r="CX100" i="20" s="1"/>
  <c r="BR262" i="20"/>
  <c r="EP423" i="20"/>
  <c r="DU423" i="20" s="1"/>
  <c r="BW128" i="20"/>
  <c r="BX128" i="20" s="1"/>
  <c r="EQ128" i="20" s="1"/>
  <c r="EP128" i="20" s="1"/>
  <c r="FB501" i="20"/>
  <c r="FC501" i="20" s="1"/>
  <c r="FD501" i="20" s="1"/>
  <c r="CS333" i="20"/>
  <c r="CX333" i="20" s="1"/>
  <c r="DK333" i="20" s="1"/>
  <c r="BN39" i="20"/>
  <c r="BR169" i="20"/>
  <c r="EO385" i="20"/>
  <c r="CJ192" i="20"/>
  <c r="CQ192" i="20" s="1"/>
  <c r="CS192" i="20" s="1"/>
  <c r="CX192" i="20" s="1"/>
  <c r="DK192" i="20" s="1"/>
  <c r="BH235" i="20"/>
  <c r="BK235" i="20" s="1"/>
  <c r="BH274" i="20"/>
  <c r="BK274" i="20" s="1"/>
  <c r="CV274" i="20" s="1"/>
  <c r="FH39" i="20"/>
  <c r="BW20" i="20"/>
  <c r="BX20" i="20" s="1"/>
  <c r="EQ20" i="20" s="1"/>
  <c r="CS161" i="20"/>
  <c r="CX161" i="20" s="1"/>
  <c r="EB250" i="20"/>
  <c r="BQ250" i="20"/>
  <c r="CS33" i="20"/>
  <c r="CS175" i="20"/>
  <c r="CX175" i="20" s="1"/>
  <c r="BP213" i="20"/>
  <c r="BR213" i="20" s="1"/>
  <c r="BH213" i="20"/>
  <c r="BK213" i="20" s="1"/>
  <c r="CV213" i="20" s="1"/>
  <c r="BH449" i="20"/>
  <c r="BP449" i="20"/>
  <c r="BR449" i="20" s="1"/>
  <c r="FQ355" i="20"/>
  <c r="DL355" i="20"/>
  <c r="EO198" i="20"/>
  <c r="EP198" i="20"/>
  <c r="DU198" i="20" s="1"/>
  <c r="EL198" i="20" s="1"/>
  <c r="CZ198" i="20" s="1"/>
  <c r="FB240" i="20"/>
  <c r="FC240" i="20" s="1"/>
  <c r="FD240" i="20" s="1"/>
  <c r="BW50" i="20"/>
  <c r="BX50" i="20" s="1"/>
  <c r="EQ50" i="20" s="1"/>
  <c r="BW21" i="20"/>
  <c r="BX21" i="20" s="1"/>
  <c r="EQ21" i="20" s="1"/>
  <c r="CJ420" i="20"/>
  <c r="CQ420" i="20" s="1"/>
  <c r="CS420" i="20" s="1"/>
  <c r="CX420" i="20" s="1"/>
  <c r="FR420" i="20" s="1"/>
  <c r="CJ186" i="20"/>
  <c r="DY31" i="20"/>
  <c r="CU12" i="20"/>
  <c r="DY41" i="20"/>
  <c r="BH249" i="20"/>
  <c r="BK249" i="20" s="1"/>
  <c r="BP266" i="20"/>
  <c r="FH96" i="20"/>
  <c r="EB272" i="20"/>
  <c r="BQ272" i="20"/>
  <c r="BR272" i="20" s="1"/>
  <c r="EO302" i="20"/>
  <c r="EP302" i="20"/>
  <c r="DU302" i="20" s="1"/>
  <c r="EL302" i="20" s="1"/>
  <c r="CZ302" i="20" s="1"/>
  <c r="FO388" i="20"/>
  <c r="DC388" i="20"/>
  <c r="BQ401" i="20"/>
  <c r="EB401" i="20"/>
  <c r="CJ369" i="20"/>
  <c r="CQ369" i="20" s="1"/>
  <c r="CS369" i="20" s="1"/>
  <c r="CX369" i="20" s="1"/>
  <c r="DK369" i="20" s="1"/>
  <c r="CJ376" i="20"/>
  <c r="CQ376" i="20" s="1"/>
  <c r="CS376" i="20" s="1"/>
  <c r="CX376" i="20" s="1"/>
  <c r="BH288" i="20"/>
  <c r="BK288" i="20" s="1"/>
  <c r="CV288" i="20" s="1"/>
  <c r="FP288" i="20" s="1"/>
  <c r="BK162" i="20"/>
  <c r="BP392" i="20"/>
  <c r="BR392" i="20" s="1"/>
  <c r="DY21" i="20"/>
  <c r="FB44" i="20"/>
  <c r="FC44" i="20" s="1"/>
  <c r="FD44" i="20" s="1"/>
  <c r="DY27" i="20"/>
  <c r="BW30" i="20"/>
  <c r="BX30" i="20" s="1"/>
  <c r="EQ30" i="20" s="1"/>
  <c r="FH101" i="20"/>
  <c r="BN97" i="20"/>
  <c r="CW97" i="20" s="1"/>
  <c r="CH453" i="20"/>
  <c r="CJ453" i="20" s="1"/>
  <c r="CQ453" i="20" s="1"/>
  <c r="CS453" i="20" s="1"/>
  <c r="CX453" i="20" s="1"/>
  <c r="CJ337" i="20"/>
  <c r="CQ337" i="20" s="1"/>
  <c r="CS337" i="20" s="1"/>
  <c r="CX337" i="20" s="1"/>
  <c r="BW144" i="20"/>
  <c r="BX144" i="20" s="1"/>
  <c r="EQ144" i="20" s="1"/>
  <c r="EP144" i="20" s="1"/>
  <c r="BW86" i="20"/>
  <c r="BX86" i="20" s="1"/>
  <c r="EQ86" i="20" s="1"/>
  <c r="EU473" i="20"/>
  <c r="EX473" i="20" s="1"/>
  <c r="EY473" i="20" s="1"/>
  <c r="FA473" i="20" s="1"/>
  <c r="BP238" i="20"/>
  <c r="BR238" i="20" s="1"/>
  <c r="CJ207" i="20"/>
  <c r="CQ207" i="20" s="1"/>
  <c r="CS207" i="20" s="1"/>
  <c r="CX207" i="20" s="1"/>
  <c r="FR146" i="20"/>
  <c r="DK146" i="20"/>
  <c r="FQ145" i="20"/>
  <c r="DL145" i="20"/>
  <c r="FR128" i="20"/>
  <c r="DE128" i="20"/>
  <c r="EO72" i="20"/>
  <c r="EP72" i="20"/>
  <c r="DU72" i="20" s="1"/>
  <c r="FB114" i="20"/>
  <c r="FC114" i="20" s="1"/>
  <c r="FD114" i="20" s="1"/>
  <c r="FB232" i="20"/>
  <c r="FC232" i="20" s="1"/>
  <c r="FD232" i="20" s="1"/>
  <c r="BP286" i="20"/>
  <c r="BR286" i="20" s="1"/>
  <c r="EB166" i="20"/>
  <c r="BQ166" i="20"/>
  <c r="BP347" i="20"/>
  <c r="BR347" i="20" s="1"/>
  <c r="CJ84" i="20"/>
  <c r="CQ84" i="20" s="1"/>
  <c r="CS84" i="20" s="1"/>
  <c r="CX84" i="20" s="1"/>
  <c r="DE84" i="20" s="1"/>
  <c r="CJ252" i="20"/>
  <c r="CQ252" i="20" s="1"/>
  <c r="CS252" i="20" s="1"/>
  <c r="CX252" i="20" s="1"/>
  <c r="FR252" i="20" s="1"/>
  <c r="CJ397" i="20"/>
  <c r="CJ240" i="20"/>
  <c r="CQ240" i="20" s="1"/>
  <c r="CS240" i="20" s="1"/>
  <c r="CX240" i="20" s="1"/>
  <c r="FR240" i="20" s="1"/>
  <c r="CJ80" i="20"/>
  <c r="CQ80" i="20" s="1"/>
  <c r="CS80" i="20" s="1"/>
  <c r="CX80" i="20" s="1"/>
  <c r="FR80" i="20" s="1"/>
  <c r="EO263" i="20"/>
  <c r="CJ287" i="20"/>
  <c r="CQ287" i="20" s="1"/>
  <c r="CS287" i="20" s="1"/>
  <c r="CX287" i="20" s="1"/>
  <c r="CJ279" i="20"/>
  <c r="CQ279" i="20" s="1"/>
  <c r="CS279" i="20" s="1"/>
  <c r="CX279" i="20" s="1"/>
  <c r="BP268" i="20"/>
  <c r="BP174" i="20"/>
  <c r="CJ407" i="20"/>
  <c r="CQ407" i="20" s="1"/>
  <c r="CS407" i="20" s="1"/>
  <c r="CX407" i="20" s="1"/>
  <c r="DE407" i="20" s="1"/>
  <c r="CJ361" i="20"/>
  <c r="CJ412" i="20"/>
  <c r="CQ412" i="20" s="1"/>
  <c r="CS412" i="20" s="1"/>
  <c r="CX412" i="20" s="1"/>
  <c r="DK412" i="20" s="1"/>
  <c r="BP242" i="20"/>
  <c r="BP239" i="20"/>
  <c r="BR239" i="20" s="1"/>
  <c r="CJ442" i="20"/>
  <c r="CQ442" i="20" s="1"/>
  <c r="CS442" i="20" s="1"/>
  <c r="CX442" i="20" s="1"/>
  <c r="DK442" i="20" s="1"/>
  <c r="EO272" i="20"/>
  <c r="EP272" i="20"/>
  <c r="DU272" i="20" s="1"/>
  <c r="EL272" i="20" s="1"/>
  <c r="CZ272" i="20" s="1"/>
  <c r="FB369" i="20"/>
  <c r="FC369" i="20" s="1"/>
  <c r="FD369" i="20" s="1"/>
  <c r="BU85" i="20"/>
  <c r="BT85" i="20"/>
  <c r="BV85" i="20" s="1"/>
  <c r="EB229" i="20"/>
  <c r="BQ229" i="20"/>
  <c r="BR229" i="20" s="1"/>
  <c r="EB174" i="20"/>
  <c r="BQ174" i="20"/>
  <c r="EB300" i="20"/>
  <c r="BQ300" i="20"/>
  <c r="BR300" i="20" s="1"/>
  <c r="EB215" i="20"/>
  <c r="BQ215" i="20"/>
  <c r="BR215" i="20" s="1"/>
  <c r="BG325" i="20"/>
  <c r="BH325" i="20" s="1"/>
  <c r="BK325" i="20" s="1"/>
  <c r="CV325" i="20" s="1"/>
  <c r="BQ295" i="20"/>
  <c r="EB295" i="20"/>
  <c r="CJ427" i="20"/>
  <c r="CQ427" i="20" s="1"/>
  <c r="CS427" i="20" s="1"/>
  <c r="CX427" i="20" s="1"/>
  <c r="FR427" i="20" s="1"/>
  <c r="CJ69" i="20"/>
  <c r="CQ69" i="20" s="1"/>
  <c r="CS69" i="20" s="1"/>
  <c r="CX69" i="20" s="1"/>
  <c r="DE69" i="20" s="1"/>
  <c r="CJ88" i="20"/>
  <c r="CQ88" i="20" s="1"/>
  <c r="CS88" i="20" s="1"/>
  <c r="CX88" i="20" s="1"/>
  <c r="FR88" i="20" s="1"/>
  <c r="CJ273" i="20"/>
  <c r="CQ273" i="20" s="1"/>
  <c r="CS273" i="20" s="1"/>
  <c r="CX273" i="20" s="1"/>
  <c r="FR273" i="20" s="1"/>
  <c r="BP422" i="20"/>
  <c r="BP389" i="20"/>
  <c r="BH221" i="20"/>
  <c r="EB274" i="20"/>
  <c r="EP369" i="20"/>
  <c r="DU369" i="20" s="1"/>
  <c r="FQ340" i="20"/>
  <c r="FQ279" i="20"/>
  <c r="FO143" i="20"/>
  <c r="DI143" i="20"/>
  <c r="EB301" i="20"/>
  <c r="BQ301" i="20"/>
  <c r="BR301" i="20" s="1"/>
  <c r="FO267" i="20"/>
  <c r="DC267" i="20"/>
  <c r="DC353" i="20"/>
  <c r="FO353" i="20"/>
  <c r="EO85" i="20"/>
  <c r="EP85" i="20"/>
  <c r="DU85" i="20" s="1"/>
  <c r="BK193" i="20"/>
  <c r="CV193" i="20" s="1"/>
  <c r="BD193" i="20"/>
  <c r="BE193" i="20" s="1"/>
  <c r="FO404" i="20"/>
  <c r="DC404" i="20"/>
  <c r="FB174" i="20"/>
  <c r="FC174" i="20" s="1"/>
  <c r="FD174" i="20" s="1"/>
  <c r="BQ212" i="20"/>
  <c r="BR212" i="20" s="1"/>
  <c r="EB212" i="20"/>
  <c r="EB228" i="20"/>
  <c r="BQ228" i="20"/>
  <c r="BQ263" i="20"/>
  <c r="BR263" i="20" s="1"/>
  <c r="EB263" i="20"/>
  <c r="FB236" i="20"/>
  <c r="FC236" i="20" s="1"/>
  <c r="FD236" i="20" s="1"/>
  <c r="EO247" i="20"/>
  <c r="CJ334" i="20"/>
  <c r="CJ195" i="20"/>
  <c r="CQ195" i="20" s="1"/>
  <c r="CS195" i="20" s="1"/>
  <c r="CX195" i="20" s="1"/>
  <c r="DE195" i="20" s="1"/>
  <c r="DY24" i="20"/>
  <c r="CJ91" i="20"/>
  <c r="CQ91" i="20" s="1"/>
  <c r="CS91" i="20" s="1"/>
  <c r="CX91" i="20" s="1"/>
  <c r="FR91" i="20" s="1"/>
  <c r="CJ256" i="20"/>
  <c r="CQ256" i="20" s="1"/>
  <c r="CS256" i="20" s="1"/>
  <c r="CX256" i="20" s="1"/>
  <c r="DE256" i="20" s="1"/>
  <c r="BP384" i="20"/>
  <c r="BR384" i="20" s="1"/>
  <c r="CJ306" i="20"/>
  <c r="CQ306" i="20" s="1"/>
  <c r="CS306" i="20" s="1"/>
  <c r="CX306" i="20" s="1"/>
  <c r="FR306" i="20" s="1"/>
  <c r="CJ277" i="20"/>
  <c r="CQ277" i="20" s="1"/>
  <c r="CS277" i="20" s="1"/>
  <c r="CX277" i="20" s="1"/>
  <c r="DE277" i="20" s="1"/>
  <c r="CJ357" i="20"/>
  <c r="CQ357" i="20" s="1"/>
  <c r="CS357" i="20" s="1"/>
  <c r="CX357" i="20" s="1"/>
  <c r="FR357" i="20" s="1"/>
  <c r="DY36" i="20"/>
  <c r="CJ393" i="20"/>
  <c r="CQ393" i="20" s="1"/>
  <c r="CS393" i="20" s="1"/>
  <c r="CX393" i="20" s="1"/>
  <c r="FR393" i="20" s="1"/>
  <c r="CJ353" i="20"/>
  <c r="CJ364" i="20"/>
  <c r="CQ364" i="20" s="1"/>
  <c r="CS364" i="20" s="1"/>
  <c r="CX364" i="20" s="1"/>
  <c r="DK364" i="20" s="1"/>
  <c r="CJ83" i="20"/>
  <c r="CQ83" i="20" s="1"/>
  <c r="CS83" i="20" s="1"/>
  <c r="CX83" i="20" s="1"/>
  <c r="DE83" i="20" s="1"/>
  <c r="BW89" i="20"/>
  <c r="BX89" i="20" s="1"/>
  <c r="EQ89" i="20" s="1"/>
  <c r="BW31" i="20"/>
  <c r="BX31" i="20" s="1"/>
  <c r="EQ31" i="20" s="1"/>
  <c r="CJ280" i="20"/>
  <c r="CQ280" i="20" s="1"/>
  <c r="CS280" i="20" s="1"/>
  <c r="CX280" i="20" s="1"/>
  <c r="CJ260" i="20"/>
  <c r="CQ260" i="20" s="1"/>
  <c r="CS260" i="20" s="1"/>
  <c r="CX260" i="20" s="1"/>
  <c r="DK260" i="20" s="1"/>
  <c r="FQ183" i="20"/>
  <c r="BH240" i="20"/>
  <c r="BK240" i="20" s="1"/>
  <c r="CV240" i="20" s="1"/>
  <c r="CJ368" i="20"/>
  <c r="CQ368" i="20" s="1"/>
  <c r="CS368" i="20" s="1"/>
  <c r="CX368" i="20" s="1"/>
  <c r="BW36" i="20"/>
  <c r="BX36" i="20" s="1"/>
  <c r="EQ36" i="20" s="1"/>
  <c r="EB172" i="20"/>
  <c r="BQ172" i="20"/>
  <c r="EB394" i="20"/>
  <c r="BQ394" i="20"/>
  <c r="EO413" i="20"/>
  <c r="EP413" i="20"/>
  <c r="DU413" i="20" s="1"/>
  <c r="EL413" i="20" s="1"/>
  <c r="CZ413" i="20" s="1"/>
  <c r="EB219" i="20"/>
  <c r="BQ219" i="20"/>
  <c r="BR219" i="20" s="1"/>
  <c r="CS43" i="20"/>
  <c r="BH436" i="20"/>
  <c r="BP436" i="20"/>
  <c r="BQ388" i="20"/>
  <c r="EB388" i="20"/>
  <c r="BK387" i="20"/>
  <c r="CV387" i="20" s="1"/>
  <c r="AY23" i="20"/>
  <c r="AZ23" i="20" s="1"/>
  <c r="FO130" i="20"/>
  <c r="DC130" i="20"/>
  <c r="FB263" i="20"/>
  <c r="FC263" i="20" s="1"/>
  <c r="FD263" i="20" s="1"/>
  <c r="BP282" i="20"/>
  <c r="BR282" i="20" s="1"/>
  <c r="BW133" i="20"/>
  <c r="BX133" i="20" s="1"/>
  <c r="EQ133" i="20" s="1"/>
  <c r="EP133" i="20" s="1"/>
  <c r="BW129" i="20"/>
  <c r="BX129" i="20" s="1"/>
  <c r="EQ129" i="20" s="1"/>
  <c r="EP129" i="20" s="1"/>
  <c r="CJ284" i="20"/>
  <c r="CQ284" i="20" s="1"/>
  <c r="CS284" i="20" s="1"/>
  <c r="CX284" i="20" s="1"/>
  <c r="FR284" i="20" s="1"/>
  <c r="CJ443" i="20"/>
  <c r="CQ443" i="20" s="1"/>
  <c r="CS443" i="20" s="1"/>
  <c r="CX443" i="20" s="1"/>
  <c r="DK443" i="20" s="1"/>
  <c r="CJ448" i="20"/>
  <c r="CQ448" i="20" s="1"/>
  <c r="CS448" i="20" s="1"/>
  <c r="CX448" i="20" s="1"/>
  <c r="FR448" i="20" s="1"/>
  <c r="CJ332" i="20"/>
  <c r="CQ332" i="20" s="1"/>
  <c r="CS332" i="20" s="1"/>
  <c r="CX332" i="20" s="1"/>
  <c r="CJ262" i="20"/>
  <c r="CQ262" i="20" s="1"/>
  <c r="CS262" i="20" s="1"/>
  <c r="CX262" i="20" s="1"/>
  <c r="CJ71" i="20"/>
  <c r="CQ71" i="20" s="1"/>
  <c r="CS71" i="20" s="1"/>
  <c r="CX71" i="20" s="1"/>
  <c r="FR71" i="20" s="1"/>
  <c r="BH169" i="20"/>
  <c r="BK169" i="20" s="1"/>
  <c r="CV169" i="20" s="1"/>
  <c r="CJ318" i="20"/>
  <c r="CQ318" i="20" s="1"/>
  <c r="CS318" i="20" s="1"/>
  <c r="CX318" i="20" s="1"/>
  <c r="CJ400" i="20"/>
  <c r="CQ400" i="20" s="1"/>
  <c r="CS400" i="20" s="1"/>
  <c r="CX400" i="20" s="1"/>
  <c r="CJ404" i="20"/>
  <c r="CQ404" i="20" s="1"/>
  <c r="CS404" i="20" s="1"/>
  <c r="CX404" i="20" s="1"/>
  <c r="DE404" i="20" s="1"/>
  <c r="CJ281" i="20"/>
  <c r="CQ281" i="20" s="1"/>
  <c r="CS281" i="20" s="1"/>
  <c r="CX281" i="20" s="1"/>
  <c r="DE281" i="20" s="1"/>
  <c r="CJ283" i="20"/>
  <c r="CQ283" i="20" s="1"/>
  <c r="CS283" i="20" s="1"/>
  <c r="CX283" i="20" s="1"/>
  <c r="FR283" i="20" s="1"/>
  <c r="BG430" i="20"/>
  <c r="BH430" i="20" s="1"/>
  <c r="BK430" i="20" s="1"/>
  <c r="CV430" i="20" s="1"/>
  <c r="BT72" i="20"/>
  <c r="BV72" i="20" s="1"/>
  <c r="BU72" i="20"/>
  <c r="BG290" i="20"/>
  <c r="BH290" i="20" s="1"/>
  <c r="BK290" i="20" s="1"/>
  <c r="CV290" i="20" s="1"/>
  <c r="FB219" i="20"/>
  <c r="FC219" i="20" s="1"/>
  <c r="FD219" i="20" s="1"/>
  <c r="FG43" i="20"/>
  <c r="FH43" i="20" s="1"/>
  <c r="BG317" i="20"/>
  <c r="BH317" i="20" s="1"/>
  <c r="BK317" i="20" s="1"/>
  <c r="CV317" i="20" s="1"/>
  <c r="EO265" i="20"/>
  <c r="EP265" i="20"/>
  <c r="DU265" i="20" s="1"/>
  <c r="EL265" i="20" s="1"/>
  <c r="CZ265" i="20" s="1"/>
  <c r="BU56" i="20"/>
  <c r="BT56" i="20"/>
  <c r="BV56" i="20" s="1"/>
  <c r="BQ176" i="20"/>
  <c r="BR176" i="20" s="1"/>
  <c r="EB176" i="20"/>
  <c r="EP56" i="20"/>
  <c r="DU56" i="20" s="1"/>
  <c r="EO56" i="20"/>
  <c r="CJ268" i="20"/>
  <c r="CQ268" i="20" s="1"/>
  <c r="CS268" i="20" s="1"/>
  <c r="CX268" i="20" s="1"/>
  <c r="FR268" i="20" s="1"/>
  <c r="CJ254" i="20"/>
  <c r="FH128" i="20"/>
  <c r="BW131" i="20"/>
  <c r="BX131" i="20" s="1"/>
  <c r="EQ131" i="20" s="1"/>
  <c r="EP131" i="20" s="1"/>
  <c r="CJ60" i="20"/>
  <c r="CQ60" i="20" s="1"/>
  <c r="CS60" i="20" s="1"/>
  <c r="CX60" i="20" s="1"/>
  <c r="DE60" i="20" s="1"/>
  <c r="CH429" i="20"/>
  <c r="CJ429" i="20" s="1"/>
  <c r="CQ429" i="20" s="1"/>
  <c r="CS429" i="20" s="1"/>
  <c r="CX429" i="20" s="1"/>
  <c r="CJ371" i="20"/>
  <c r="CQ371" i="20" s="1"/>
  <c r="CS371" i="20" s="1"/>
  <c r="CX371" i="20" s="1"/>
  <c r="CJ339" i="20"/>
  <c r="BP342" i="20"/>
  <c r="BR342" i="20" s="1"/>
  <c r="CJ191" i="20"/>
  <c r="CQ191" i="20" s="1"/>
  <c r="CS191" i="20" s="1"/>
  <c r="CX191" i="20" s="1"/>
  <c r="FR191" i="20" s="1"/>
  <c r="FR123" i="20"/>
  <c r="DK123" i="20"/>
  <c r="BH319" i="20"/>
  <c r="BK319" i="20" s="1"/>
  <c r="CV319" i="20" s="1"/>
  <c r="DJ319" i="20" s="1"/>
  <c r="BP319" i="20"/>
  <c r="BW32" i="20"/>
  <c r="BX32" i="20" s="1"/>
  <c r="EQ32" i="20" s="1"/>
  <c r="BU78" i="20"/>
  <c r="BT78" i="20"/>
  <c r="BV78" i="20" s="1"/>
  <c r="CJ106" i="20"/>
  <c r="CQ106" i="20" s="1"/>
  <c r="CS106" i="20" s="1"/>
  <c r="BW126" i="20"/>
  <c r="BX126" i="20" s="1"/>
  <c r="EQ126" i="20" s="1"/>
  <c r="EP126" i="20" s="1"/>
  <c r="DU126" i="20" s="1"/>
  <c r="BP437" i="20"/>
  <c r="BR437" i="20" s="1"/>
  <c r="EG392" i="20"/>
  <c r="EP392" i="20" s="1"/>
  <c r="DU392" i="20" s="1"/>
  <c r="EL392" i="20" s="1"/>
  <c r="CZ392" i="20" s="1"/>
  <c r="CH392" i="20"/>
  <c r="CJ392" i="20" s="1"/>
  <c r="CQ392" i="20" s="1"/>
  <c r="CS392" i="20" s="1"/>
  <c r="CX392" i="20" s="1"/>
  <c r="N164" i="5"/>
  <c r="O164" i="5"/>
  <c r="O200" i="5"/>
  <c r="N91" i="5"/>
  <c r="O91" i="5"/>
  <c r="O141" i="5"/>
  <c r="N141" i="5"/>
  <c r="O212" i="5"/>
  <c r="O69" i="5"/>
  <c r="N69" i="5"/>
  <c r="N116" i="5"/>
  <c r="N163" i="5"/>
  <c r="O163" i="5"/>
  <c r="N248" i="5"/>
  <c r="O248" i="5"/>
  <c r="O124" i="5"/>
  <c r="N124" i="5"/>
  <c r="O140" i="5"/>
  <c r="N140" i="5"/>
  <c r="O131" i="5"/>
  <c r="N131" i="5"/>
  <c r="O209" i="5"/>
  <c r="O199" i="5"/>
  <c r="N194" i="5"/>
  <c r="O194" i="5"/>
  <c r="N185" i="5"/>
  <c r="O185" i="5"/>
  <c r="N173" i="5"/>
  <c r="O173" i="5"/>
  <c r="N193" i="5"/>
  <c r="O193" i="5"/>
  <c r="EA383" i="5"/>
  <c r="BV361" i="5"/>
  <c r="BI35" i="5"/>
  <c r="BV394" i="5"/>
  <c r="CC394" i="5" s="1"/>
  <c r="CE394" i="5" s="1"/>
  <c r="CJ394" i="5" s="1"/>
  <c r="AT252" i="5"/>
  <c r="N62" i="5"/>
  <c r="O62" i="5"/>
  <c r="N93" i="5"/>
  <c r="O93" i="5"/>
  <c r="N162" i="5"/>
  <c r="O162" i="5"/>
  <c r="N251" i="5"/>
  <c r="O251" i="5"/>
  <c r="O147" i="5"/>
  <c r="N147" i="5"/>
  <c r="O139" i="5"/>
  <c r="N139" i="5"/>
  <c r="O130" i="5"/>
  <c r="N130" i="5"/>
  <c r="O208" i="5"/>
  <c r="O198" i="5"/>
  <c r="N192" i="5"/>
  <c r="O192" i="5"/>
  <c r="N184" i="5"/>
  <c r="O184" i="5"/>
  <c r="N172" i="5"/>
  <c r="O172" i="5"/>
  <c r="N195" i="5"/>
  <c r="O195" i="5"/>
  <c r="EA379" i="5"/>
  <c r="BC258" i="5"/>
  <c r="N77" i="5"/>
  <c r="O77" i="5"/>
  <c r="O132" i="5"/>
  <c r="N132" i="5"/>
  <c r="N174" i="5"/>
  <c r="O174" i="5"/>
  <c r="O146" i="5"/>
  <c r="N146" i="5"/>
  <c r="O138" i="5"/>
  <c r="N138" i="5"/>
  <c r="O129" i="5"/>
  <c r="N129" i="5"/>
  <c r="O197" i="5"/>
  <c r="N183" i="5"/>
  <c r="O183" i="5"/>
  <c r="EA307" i="5"/>
  <c r="N161" i="5"/>
  <c r="O161" i="5"/>
  <c r="N191" i="5"/>
  <c r="O191" i="5"/>
  <c r="N60" i="5"/>
  <c r="O60" i="5"/>
  <c r="N76" i="5"/>
  <c r="O76" i="5"/>
  <c r="N78" i="5"/>
  <c r="O78" i="5"/>
  <c r="O88" i="5"/>
  <c r="N88" i="5"/>
  <c r="N90" i="5"/>
  <c r="O90" i="5"/>
  <c r="N92" i="5"/>
  <c r="O92" i="5"/>
  <c r="N94" i="5"/>
  <c r="O94" i="5"/>
  <c r="N119" i="5"/>
  <c r="N156" i="5"/>
  <c r="O156" i="5"/>
  <c r="N160" i="5"/>
  <c r="O160" i="5"/>
  <c r="N249" i="5"/>
  <c r="O249" i="5"/>
  <c r="O145" i="5"/>
  <c r="N145" i="5"/>
  <c r="O137" i="5"/>
  <c r="N137" i="5"/>
  <c r="O128" i="5"/>
  <c r="N128" i="5"/>
  <c r="O196" i="5"/>
  <c r="O206" i="5"/>
  <c r="O202" i="5"/>
  <c r="N190" i="5"/>
  <c r="O190" i="5"/>
  <c r="N181" i="5"/>
  <c r="O181" i="5"/>
  <c r="N170" i="5"/>
  <c r="O170" i="5"/>
  <c r="EB260" i="5"/>
  <c r="BB334" i="5"/>
  <c r="BI27" i="5"/>
  <c r="N186" i="5"/>
  <c r="O186" i="5"/>
  <c r="N171" i="5"/>
  <c r="O171" i="5"/>
  <c r="N111" i="5"/>
  <c r="N120" i="5"/>
  <c r="N167" i="5"/>
  <c r="O167" i="5"/>
  <c r="N159" i="5"/>
  <c r="O159" i="5"/>
  <c r="O144" i="5"/>
  <c r="N144" i="5"/>
  <c r="O136" i="5"/>
  <c r="N136" i="5"/>
  <c r="O127" i="5"/>
  <c r="N127" i="5"/>
  <c r="O215" i="5"/>
  <c r="O205" i="5"/>
  <c r="O203" i="5"/>
  <c r="N189" i="5"/>
  <c r="O189" i="5"/>
  <c r="N179" i="5"/>
  <c r="O179" i="5"/>
  <c r="N176" i="5"/>
  <c r="O176" i="5"/>
  <c r="EA413" i="5"/>
  <c r="BV432" i="5"/>
  <c r="CC432" i="5" s="1"/>
  <c r="CE432" i="5" s="1"/>
  <c r="CJ432" i="5" s="1"/>
  <c r="BV339" i="5"/>
  <c r="CC339" i="5" s="1"/>
  <c r="CE339" i="5" s="1"/>
  <c r="CJ339" i="5" s="1"/>
  <c r="BV424" i="5"/>
  <c r="CC424" i="5" s="1"/>
  <c r="CE424" i="5" s="1"/>
  <c r="CJ424" i="5" s="1"/>
  <c r="N79" i="5"/>
  <c r="O79" i="5"/>
  <c r="N182" i="5"/>
  <c r="O182" i="5"/>
  <c r="O134" i="5"/>
  <c r="N134" i="5"/>
  <c r="N250" i="5"/>
  <c r="O250" i="5"/>
  <c r="O207" i="5"/>
  <c r="N66" i="5"/>
  <c r="O66" i="5"/>
  <c r="N113" i="5"/>
  <c r="N121" i="5"/>
  <c r="N166" i="5"/>
  <c r="O166" i="5"/>
  <c r="N158" i="5"/>
  <c r="O158" i="5"/>
  <c r="O143" i="5"/>
  <c r="N143" i="5"/>
  <c r="O135" i="5"/>
  <c r="N135" i="5"/>
  <c r="O126" i="5"/>
  <c r="N126" i="5"/>
  <c r="O214" i="5"/>
  <c r="O204" i="5"/>
  <c r="O210" i="5"/>
  <c r="N188" i="5"/>
  <c r="O188" i="5"/>
  <c r="N177" i="5"/>
  <c r="O177" i="5"/>
  <c r="N178" i="5"/>
  <c r="O178" i="5"/>
  <c r="AW252" i="5"/>
  <c r="CH252" i="5" s="1"/>
  <c r="BD480" i="5"/>
  <c r="BV408" i="5"/>
  <c r="BB384" i="5"/>
  <c r="BC425" i="5"/>
  <c r="EL487" i="5"/>
  <c r="N89" i="5"/>
  <c r="O89" i="5"/>
  <c r="N169" i="5"/>
  <c r="O169" i="5"/>
  <c r="N114" i="5"/>
  <c r="N122" i="5"/>
  <c r="N165" i="5"/>
  <c r="O165" i="5"/>
  <c r="N157" i="5"/>
  <c r="O157" i="5"/>
  <c r="O142" i="5"/>
  <c r="N142" i="5"/>
  <c r="O133" i="5"/>
  <c r="N133" i="5"/>
  <c r="O125" i="5"/>
  <c r="N125" i="5"/>
  <c r="O213" i="5"/>
  <c r="O201" i="5"/>
  <c r="O211" i="5"/>
  <c r="N187" i="5"/>
  <c r="O187" i="5"/>
  <c r="N175" i="5"/>
  <c r="O175" i="5"/>
  <c r="N180" i="5"/>
  <c r="O180" i="5"/>
  <c r="CC281" i="5"/>
  <c r="EA427" i="5"/>
  <c r="EB430" i="5"/>
  <c r="DN486" i="5"/>
  <c r="AK161" i="5"/>
  <c r="BV333" i="5"/>
  <c r="CC333" i="5" s="1"/>
  <c r="CE333" i="5" s="1"/>
  <c r="CJ333" i="5" s="1"/>
  <c r="BV375" i="5"/>
  <c r="CC375" i="5" s="1"/>
  <c r="BV320" i="5"/>
  <c r="BI20" i="5"/>
  <c r="AT374" i="5"/>
  <c r="EA313" i="5"/>
  <c r="AW326" i="5"/>
  <c r="CH326" i="5" s="1"/>
  <c r="EA321" i="5"/>
  <c r="BV398" i="5"/>
  <c r="EA297" i="5"/>
  <c r="BV304" i="5"/>
  <c r="CC304" i="5" s="1"/>
  <c r="BB326" i="5"/>
  <c r="DY108" i="5"/>
  <c r="EA346" i="5"/>
  <c r="AT412" i="5"/>
  <c r="AK157" i="5"/>
  <c r="BV258" i="5"/>
  <c r="CC258" i="5" s="1"/>
  <c r="CE258" i="5" s="1"/>
  <c r="CJ258" i="5" s="1"/>
  <c r="BV102" i="5"/>
  <c r="CC102" i="5" s="1"/>
  <c r="BV348" i="5"/>
  <c r="CC348" i="5" s="1"/>
  <c r="CE348" i="5" s="1"/>
  <c r="CJ348" i="5" s="1"/>
  <c r="BV310" i="5"/>
  <c r="CC310" i="5" s="1"/>
  <c r="AT305" i="5"/>
  <c r="BV342" i="5"/>
  <c r="CC342" i="5" s="1"/>
  <c r="CE342" i="5" s="1"/>
  <c r="CJ342" i="5" s="1"/>
  <c r="EA382" i="5"/>
  <c r="AT277" i="5"/>
  <c r="BV264" i="5"/>
  <c r="CC264" i="5" s="1"/>
  <c r="EA273" i="5"/>
  <c r="AT306" i="5"/>
  <c r="EA426" i="5"/>
  <c r="EA320" i="5"/>
  <c r="EA316" i="5"/>
  <c r="BV269" i="5"/>
  <c r="CC269" i="5" s="1"/>
  <c r="BV295" i="5"/>
  <c r="BV418" i="5"/>
  <c r="CC418" i="5" s="1"/>
  <c r="BC298" i="5"/>
  <c r="AT330" i="5"/>
  <c r="EB340" i="5"/>
  <c r="EB339" i="5"/>
  <c r="AT333" i="5"/>
  <c r="BV332" i="5"/>
  <c r="CC332" i="5" s="1"/>
  <c r="CE332" i="5" s="1"/>
  <c r="CJ332" i="5" s="1"/>
  <c r="BV397" i="5"/>
  <c r="CC397" i="5" s="1"/>
  <c r="CE397" i="5" s="1"/>
  <c r="CJ397" i="5" s="1"/>
  <c r="BV358" i="5"/>
  <c r="CC358" i="5" s="1"/>
  <c r="CE358" i="5" s="1"/>
  <c r="CJ358" i="5" s="1"/>
  <c r="BB388" i="5"/>
  <c r="AT388" i="5"/>
  <c r="AK164" i="5"/>
  <c r="BV279" i="5"/>
  <c r="CC279" i="5" s="1"/>
  <c r="EA309" i="5"/>
  <c r="EA311" i="5"/>
  <c r="EA357" i="5"/>
  <c r="AT364" i="5"/>
  <c r="AW364" i="5" s="1"/>
  <c r="CH364" i="5" s="1"/>
  <c r="BV381" i="5"/>
  <c r="AT380" i="5"/>
  <c r="EA433" i="5"/>
  <c r="BV367" i="5"/>
  <c r="CC367" i="5" s="1"/>
  <c r="BV425" i="5"/>
  <c r="CC425" i="5" s="1"/>
  <c r="CE425" i="5" s="1"/>
  <c r="CJ425" i="5" s="1"/>
  <c r="BV319" i="5"/>
  <c r="CC319" i="5" s="1"/>
  <c r="BV382" i="5"/>
  <c r="FC440" i="5"/>
  <c r="DH487" i="5"/>
  <c r="BB322" i="5"/>
  <c r="EA403" i="5"/>
  <c r="BV266" i="5"/>
  <c r="CC266" i="5" s="1"/>
  <c r="BV447" i="5"/>
  <c r="CC447" i="5" s="1"/>
  <c r="BV359" i="5"/>
  <c r="BV450" i="5"/>
  <c r="CC450" i="5" s="1"/>
  <c r="BV448" i="5"/>
  <c r="CC448" i="5" s="1"/>
  <c r="CE448" i="5" s="1"/>
  <c r="CJ448" i="5" s="1"/>
  <c r="FD448" i="5" s="1"/>
  <c r="BV449" i="5"/>
  <c r="CC449" i="5" s="1"/>
  <c r="CE449" i="5" s="1"/>
  <c r="CJ449" i="5" s="1"/>
  <c r="BD384" i="5"/>
  <c r="EB252" i="5"/>
  <c r="BV451" i="5"/>
  <c r="CC451" i="5" s="1"/>
  <c r="BI43" i="5"/>
  <c r="EO41" i="5"/>
  <c r="EP41" i="5" s="1"/>
  <c r="EQ487" i="5"/>
  <c r="BV305" i="5"/>
  <c r="CC305" i="5" s="1"/>
  <c r="BV407" i="5"/>
  <c r="BV349" i="5"/>
  <c r="BV428" i="5"/>
  <c r="CC428" i="5" s="1"/>
  <c r="CE428" i="5" s="1"/>
  <c r="CJ428" i="5" s="1"/>
  <c r="AK160" i="5"/>
  <c r="S38" i="5"/>
  <c r="S46" i="5"/>
  <c r="EA372" i="5"/>
  <c r="BV400" i="5"/>
  <c r="CC400" i="5" s="1"/>
  <c r="CE400" i="5" s="1"/>
  <c r="CJ400" i="5" s="1"/>
  <c r="FD400" i="5" s="1"/>
  <c r="BI21" i="5"/>
  <c r="EA314" i="5"/>
  <c r="BV391" i="5"/>
  <c r="CC391" i="5" s="1"/>
  <c r="BV415" i="5"/>
  <c r="CC415" i="5" s="1"/>
  <c r="BC433" i="5"/>
  <c r="BV323" i="5"/>
  <c r="CC323" i="5" s="1"/>
  <c r="DY113" i="5"/>
  <c r="BV434" i="5"/>
  <c r="CC434" i="5" s="1"/>
  <c r="CE434" i="5" s="1"/>
  <c r="CJ434" i="5" s="1"/>
  <c r="ET97" i="5"/>
  <c r="EA347" i="5"/>
  <c r="BB281" i="5"/>
  <c r="BD281" i="5" s="1"/>
  <c r="BI33" i="5"/>
  <c r="BV298" i="5"/>
  <c r="CC298" i="5" s="1"/>
  <c r="CE298" i="5" s="1"/>
  <c r="CJ298" i="5" s="1"/>
  <c r="BV393" i="5"/>
  <c r="CC393" i="5" s="1"/>
  <c r="CE393" i="5" s="1"/>
  <c r="CJ393" i="5" s="1"/>
  <c r="BV255" i="5"/>
  <c r="AT255" i="5"/>
  <c r="BV430" i="5"/>
  <c r="CC430" i="5" s="1"/>
  <c r="CE430" i="5" s="1"/>
  <c r="CJ430" i="5" s="1"/>
  <c r="CX404" i="5"/>
  <c r="S47" i="5"/>
  <c r="EA97" i="5"/>
  <c r="BI37" i="5"/>
  <c r="BV422" i="5"/>
  <c r="CC422" i="5" s="1"/>
  <c r="CE422" i="5" s="1"/>
  <c r="CJ422" i="5" s="1"/>
  <c r="AW281" i="5"/>
  <c r="CH281" i="5" s="1"/>
  <c r="FB281" i="5" s="1"/>
  <c r="CC408" i="5"/>
  <c r="CE408" i="5" s="1"/>
  <c r="CJ408" i="5" s="1"/>
  <c r="BI26" i="5"/>
  <c r="BV330" i="5"/>
  <c r="CC330" i="5" s="1"/>
  <c r="CE330" i="5" s="1"/>
  <c r="CJ330" i="5" s="1"/>
  <c r="BV403" i="5"/>
  <c r="CC403" i="5" s="1"/>
  <c r="BV306" i="5"/>
  <c r="CC306" i="5" s="1"/>
  <c r="CE306" i="5" s="1"/>
  <c r="CJ306" i="5" s="1"/>
  <c r="BV406" i="5"/>
  <c r="CC406" i="5" s="1"/>
  <c r="CE406" i="5" s="1"/>
  <c r="CJ406" i="5" s="1"/>
  <c r="BI28" i="5"/>
  <c r="BI48" i="5"/>
  <c r="BJ48" i="5" s="1"/>
  <c r="EC48" i="5" s="1"/>
  <c r="EA387" i="5"/>
  <c r="DN388" i="5"/>
  <c r="EB98" i="5"/>
  <c r="EA275" i="5"/>
  <c r="BD259" i="5"/>
  <c r="BV297" i="5"/>
  <c r="CC297" i="5" s="1"/>
  <c r="BI23" i="5"/>
  <c r="BI30" i="5"/>
  <c r="BJ30" i="5" s="1"/>
  <c r="EC30" i="5" s="1"/>
  <c r="BV362" i="5"/>
  <c r="CC362" i="5" s="1"/>
  <c r="CE362" i="5" s="1"/>
  <c r="CJ362" i="5" s="1"/>
  <c r="DY115" i="5"/>
  <c r="DY116" i="5"/>
  <c r="S44" i="5"/>
  <c r="EB263" i="5"/>
  <c r="EQ496" i="5"/>
  <c r="EA255" i="5"/>
  <c r="EA348" i="5"/>
  <c r="BV373" i="5"/>
  <c r="CC373" i="5" s="1"/>
  <c r="CE373" i="5" s="1"/>
  <c r="CJ373" i="5" s="1"/>
  <c r="EB406" i="5"/>
  <c r="EB408" i="5"/>
  <c r="EA378" i="5"/>
  <c r="BV287" i="5"/>
  <c r="CC287" i="5" s="1"/>
  <c r="BV312" i="5"/>
  <c r="CC312" i="5" s="1"/>
  <c r="BV296" i="5"/>
  <c r="CC296" i="5" s="1"/>
  <c r="CE296" i="5" s="1"/>
  <c r="CJ296" i="5" s="1"/>
  <c r="EA440" i="5"/>
  <c r="BV328" i="5"/>
  <c r="CC328" i="5" s="1"/>
  <c r="BV260" i="5"/>
  <c r="BV383" i="5"/>
  <c r="BV325" i="5"/>
  <c r="CC325" i="5" s="1"/>
  <c r="CE325" i="5" s="1"/>
  <c r="CJ325" i="5" s="1"/>
  <c r="BV321" i="5"/>
  <c r="BV401" i="5"/>
  <c r="CE264" i="5"/>
  <c r="CJ264" i="5" s="1"/>
  <c r="FD264" i="5" s="1"/>
  <c r="DY107" i="5"/>
  <c r="AK159" i="5"/>
  <c r="AW297" i="5"/>
  <c r="CH297" i="5" s="1"/>
  <c r="BV366" i="5"/>
  <c r="CC366" i="5" s="1"/>
  <c r="CE366" i="5" s="1"/>
  <c r="CJ366" i="5" s="1"/>
  <c r="BI29" i="5"/>
  <c r="BB300" i="5"/>
  <c r="BI25" i="5"/>
  <c r="BV412" i="5"/>
  <c r="CC412" i="5" s="1"/>
  <c r="CE412" i="5" s="1"/>
  <c r="CJ412" i="5" s="1"/>
  <c r="FD412" i="5" s="1"/>
  <c r="BD255" i="5"/>
  <c r="BV374" i="5"/>
  <c r="CC374" i="5" s="1"/>
  <c r="CE374" i="5" s="1"/>
  <c r="CJ374" i="5" s="1"/>
  <c r="BV429" i="5"/>
  <c r="CC429" i="5" s="1"/>
  <c r="CE429" i="5" s="1"/>
  <c r="CJ429" i="5" s="1"/>
  <c r="BV270" i="5"/>
  <c r="CC270" i="5" s="1"/>
  <c r="CE270" i="5" s="1"/>
  <c r="CJ270" i="5" s="1"/>
  <c r="BV301" i="5"/>
  <c r="CC301" i="5" s="1"/>
  <c r="BD338" i="5"/>
  <c r="EA400" i="5"/>
  <c r="EA418" i="5"/>
  <c r="EA434" i="5"/>
  <c r="BB254" i="5"/>
  <c r="AT371" i="5"/>
  <c r="EB410" i="5"/>
  <c r="BD263" i="5"/>
  <c r="DY111" i="5"/>
  <c r="DY119" i="5"/>
  <c r="AK165" i="5"/>
  <c r="S23" i="5"/>
  <c r="EA281" i="5"/>
  <c r="BV277" i="5"/>
  <c r="EA389" i="5"/>
  <c r="BV436" i="5"/>
  <c r="CC436" i="5" s="1"/>
  <c r="CE436" i="5" s="1"/>
  <c r="CJ436" i="5" s="1"/>
  <c r="BV262" i="5"/>
  <c r="BV357" i="5"/>
  <c r="CC357" i="5" s="1"/>
  <c r="CE357" i="5" s="1"/>
  <c r="CJ357" i="5" s="1"/>
  <c r="BI24" i="5"/>
  <c r="BJ24" i="5" s="1"/>
  <c r="EC24" i="5" s="1"/>
  <c r="BV399" i="5"/>
  <c r="BV396" i="5"/>
  <c r="CC396" i="5" s="1"/>
  <c r="CE396" i="5" s="1"/>
  <c r="CJ396" i="5" s="1"/>
  <c r="BV300" i="5"/>
  <c r="EA429" i="5"/>
  <c r="BV351" i="5"/>
  <c r="CC351" i="5" s="1"/>
  <c r="BV341" i="5"/>
  <c r="CC341" i="5" s="1"/>
  <c r="CE341" i="5" s="1"/>
  <c r="CJ341" i="5" s="1"/>
  <c r="BV307" i="5"/>
  <c r="CC307" i="5" s="1"/>
  <c r="BV336" i="5"/>
  <c r="CC336" i="5" s="1"/>
  <c r="CE336" i="5" s="1"/>
  <c r="CJ336" i="5" s="1"/>
  <c r="DY112" i="5"/>
  <c r="DY120" i="5"/>
  <c r="EA385" i="5"/>
  <c r="BV288" i="5"/>
  <c r="CC288" i="5" s="1"/>
  <c r="BV441" i="5"/>
  <c r="CC441" i="5" s="1"/>
  <c r="CE441" i="5" s="1"/>
  <c r="CJ441" i="5" s="1"/>
  <c r="BV326" i="5"/>
  <c r="CC326" i="5" s="1"/>
  <c r="EA318" i="5"/>
  <c r="BI44" i="5"/>
  <c r="BJ44" i="5" s="1"/>
  <c r="EC44" i="5" s="1"/>
  <c r="BI46" i="5"/>
  <c r="BV427" i="5"/>
  <c r="CC427" i="5" s="1"/>
  <c r="AT311" i="5"/>
  <c r="BV379" i="5"/>
  <c r="CC379" i="5" s="1"/>
  <c r="BV291" i="5"/>
  <c r="CC291" i="5" s="1"/>
  <c r="BV343" i="5"/>
  <c r="CC343" i="5" s="1"/>
  <c r="EO100" i="5"/>
  <c r="EP100" i="5" s="1"/>
  <c r="BV363" i="5"/>
  <c r="CC363" i="5" s="1"/>
  <c r="CE363" i="5" s="1"/>
  <c r="CJ363" i="5" s="1"/>
  <c r="BV338" i="5"/>
  <c r="CC338" i="5" s="1"/>
  <c r="CE338" i="5" s="1"/>
  <c r="CJ338" i="5" s="1"/>
  <c r="BV311" i="5"/>
  <c r="CC311" i="5" s="1"/>
  <c r="BV267" i="5"/>
  <c r="CC267" i="5" s="1"/>
  <c r="BV303" i="5"/>
  <c r="CC303" i="5" s="1"/>
  <c r="BD258" i="5"/>
  <c r="BV426" i="5"/>
  <c r="CC426" i="5" s="1"/>
  <c r="FC281" i="5"/>
  <c r="DY118" i="5"/>
  <c r="DY121" i="5"/>
  <c r="AK163" i="5"/>
  <c r="S20" i="5"/>
  <c r="EA392" i="5"/>
  <c r="CE152" i="5"/>
  <c r="CJ152" i="5" s="1"/>
  <c r="AT332" i="5"/>
  <c r="BV292" i="5"/>
  <c r="CC292" i="5" s="1"/>
  <c r="BD304" i="5"/>
  <c r="BI51" i="5"/>
  <c r="BI50" i="5"/>
  <c r="BV284" i="5"/>
  <c r="CC284" i="5" s="1"/>
  <c r="BV365" i="5"/>
  <c r="CC365" i="5" s="1"/>
  <c r="CE365" i="5" s="1"/>
  <c r="CJ365" i="5" s="1"/>
  <c r="BV317" i="5"/>
  <c r="CC317" i="5" s="1"/>
  <c r="CE317" i="5" s="1"/>
  <c r="CJ317" i="5" s="1"/>
  <c r="BV347" i="5"/>
  <c r="CC347" i="5" s="1"/>
  <c r="CE347" i="5" s="1"/>
  <c r="CJ347" i="5" s="1"/>
  <c r="BK65" i="20"/>
  <c r="CV65" i="20" s="1"/>
  <c r="BK62" i="20"/>
  <c r="CV62" i="20" s="1"/>
  <c r="FQ373" i="20"/>
  <c r="DF373" i="20"/>
  <c r="DU357" i="20"/>
  <c r="BK172" i="20"/>
  <c r="CV172" i="20" s="1"/>
  <c r="DD382" i="20"/>
  <c r="FP382" i="20"/>
  <c r="BK419" i="20"/>
  <c r="CV419" i="20" s="1"/>
  <c r="BK268" i="20"/>
  <c r="CV268" i="20" s="1"/>
  <c r="BK321" i="20"/>
  <c r="CV321" i="20" s="1"/>
  <c r="FQ291" i="20"/>
  <c r="DF291" i="20"/>
  <c r="BK196" i="20"/>
  <c r="CV196" i="20" s="1"/>
  <c r="BK83" i="20"/>
  <c r="CV83" i="20" s="1"/>
  <c r="BK137" i="20"/>
  <c r="CV137" i="20" s="1"/>
  <c r="FP303" i="20"/>
  <c r="DD303" i="20"/>
  <c r="BK55" i="20"/>
  <c r="CV55" i="20" s="1"/>
  <c r="BK143" i="20"/>
  <c r="CV143" i="20" s="1"/>
  <c r="DU108" i="20"/>
  <c r="BK332" i="20"/>
  <c r="CV332" i="20" s="1"/>
  <c r="BK331" i="20"/>
  <c r="CV331" i="20" s="1"/>
  <c r="BK242" i="20"/>
  <c r="CV242" i="20" s="1"/>
  <c r="BK283" i="20"/>
  <c r="CV283" i="20" s="1"/>
  <c r="DD312" i="20"/>
  <c r="FP312" i="20"/>
  <c r="DL253" i="20"/>
  <c r="FQ253" i="20"/>
  <c r="BK292" i="20"/>
  <c r="CV292" i="20" s="1"/>
  <c r="BK373" i="20"/>
  <c r="CV373" i="20" s="1"/>
  <c r="DL293" i="20"/>
  <c r="FQ293" i="20"/>
  <c r="BK294" i="20"/>
  <c r="CV294" i="20" s="1"/>
  <c r="DU117" i="20"/>
  <c r="BK147" i="20"/>
  <c r="CV147" i="20" s="1"/>
  <c r="DL453" i="20"/>
  <c r="FQ453" i="20"/>
  <c r="BK88" i="20"/>
  <c r="CV88" i="20" s="1"/>
  <c r="BK422" i="20"/>
  <c r="CV422" i="20" s="1"/>
  <c r="BK251" i="20"/>
  <c r="CV251" i="20" s="1"/>
  <c r="BK388" i="20"/>
  <c r="CV388" i="20" s="1"/>
  <c r="BK53" i="20"/>
  <c r="CV53" i="20" s="1"/>
  <c r="DU306" i="20"/>
  <c r="BK89" i="20"/>
  <c r="CV89" i="20" s="1"/>
  <c r="FQ287" i="20"/>
  <c r="DF287" i="20"/>
  <c r="BK182" i="20"/>
  <c r="CV182" i="20" s="1"/>
  <c r="DL448" i="20"/>
  <c r="FQ448" i="20"/>
  <c r="BK94" i="20"/>
  <c r="CV94" i="20" s="1"/>
  <c r="BK389" i="20"/>
  <c r="CV389" i="20" s="1"/>
  <c r="BK153" i="20"/>
  <c r="CV153" i="20" s="1"/>
  <c r="DU250" i="20"/>
  <c r="BK60" i="20"/>
  <c r="CV60" i="20" s="1"/>
  <c r="BK405" i="20"/>
  <c r="CV405" i="20" s="1"/>
  <c r="FQ427" i="20"/>
  <c r="DL427" i="20"/>
  <c r="FQ194" i="20"/>
  <c r="DL194" i="20"/>
  <c r="DF186" i="20"/>
  <c r="FQ186" i="20"/>
  <c r="DF273" i="20"/>
  <c r="FQ273" i="20"/>
  <c r="BK372" i="20"/>
  <c r="CV372" i="20" s="1"/>
  <c r="BK66" i="20"/>
  <c r="CV66" i="20" s="1"/>
  <c r="BK97" i="20"/>
  <c r="CV97" i="20" s="1"/>
  <c r="DU443" i="20"/>
  <c r="BK324" i="20"/>
  <c r="CV324" i="20" s="1"/>
  <c r="BK275" i="20"/>
  <c r="CV275" i="20" s="1"/>
  <c r="DV480" i="20"/>
  <c r="FA480" i="20"/>
  <c r="EZ480" i="20"/>
  <c r="BK70" i="20"/>
  <c r="CV70" i="20" s="1"/>
  <c r="BK230" i="20"/>
  <c r="CV230" i="20" s="1"/>
  <c r="DU254" i="20"/>
  <c r="BK438" i="20"/>
  <c r="CV438" i="20" s="1"/>
  <c r="FQ334" i="20"/>
  <c r="DF334" i="20"/>
  <c r="FQ195" i="20"/>
  <c r="DF195" i="20"/>
  <c r="BK79" i="20"/>
  <c r="CV79" i="20" s="1"/>
  <c r="DU99" i="20"/>
  <c r="DU121" i="20"/>
  <c r="FQ280" i="20"/>
  <c r="DF280" i="20"/>
  <c r="BK328" i="20"/>
  <c r="CV328" i="20" s="1"/>
  <c r="BK129" i="20"/>
  <c r="CV129" i="20" s="1"/>
  <c r="DN173" i="20"/>
  <c r="FT173" i="20"/>
  <c r="BK393" i="20"/>
  <c r="CV393" i="20" s="1"/>
  <c r="DU385" i="20"/>
  <c r="DU95" i="20"/>
  <c r="BK385" i="20"/>
  <c r="CV385" i="20" s="1"/>
  <c r="DV479" i="20"/>
  <c r="FA479" i="20"/>
  <c r="EZ479" i="20"/>
  <c r="BK397" i="20"/>
  <c r="CV397" i="20" s="1"/>
  <c r="DL401" i="20"/>
  <c r="FQ401" i="20"/>
  <c r="BK411" i="20"/>
  <c r="CV411" i="20" s="1"/>
  <c r="DU263" i="20"/>
  <c r="BK166" i="20"/>
  <c r="CV166" i="20" s="1"/>
  <c r="DL443" i="20"/>
  <c r="FQ443" i="20"/>
  <c r="BK310" i="20"/>
  <c r="CV310" i="20" s="1"/>
  <c r="BK234" i="20"/>
  <c r="CV234" i="20" s="1"/>
  <c r="DU426" i="20"/>
  <c r="DU246" i="20"/>
  <c r="BK439" i="20"/>
  <c r="CV439" i="20" s="1"/>
  <c r="BK277" i="20"/>
  <c r="CV277" i="20" s="1"/>
  <c r="DX34" i="20"/>
  <c r="DW34" i="20"/>
  <c r="DE67" i="20"/>
  <c r="FR67" i="20"/>
  <c r="EB78" i="20"/>
  <c r="BM98" i="20"/>
  <c r="BN98" i="20" s="1"/>
  <c r="CW98" i="20" s="1"/>
  <c r="BG98" i="20"/>
  <c r="BH98" i="20" s="1"/>
  <c r="FP90" i="20"/>
  <c r="DD90" i="20"/>
  <c r="EP84" i="20"/>
  <c r="EO84" i="20"/>
  <c r="FP117" i="20"/>
  <c r="DD117" i="20"/>
  <c r="BK183" i="20"/>
  <c r="CV183" i="20" s="1"/>
  <c r="BQ178" i="20"/>
  <c r="BR178" i="20" s="1"/>
  <c r="EB178" i="20"/>
  <c r="EL383" i="20"/>
  <c r="CZ383" i="20" s="1"/>
  <c r="FB300" i="20"/>
  <c r="FC300" i="20" s="1"/>
  <c r="FD300" i="20" s="1"/>
  <c r="EP268" i="20"/>
  <c r="EO268" i="20"/>
  <c r="FO337" i="20"/>
  <c r="DI337" i="20"/>
  <c r="DU420" i="20"/>
  <c r="DC373" i="20"/>
  <c r="FO373" i="20"/>
  <c r="FO287" i="20"/>
  <c r="DC287" i="20"/>
  <c r="EO397" i="20"/>
  <c r="EP397" i="20"/>
  <c r="FB405" i="20"/>
  <c r="FC405" i="20" s="1"/>
  <c r="FD405" i="20" s="1"/>
  <c r="DC334" i="20"/>
  <c r="FO334" i="20"/>
  <c r="DU247" i="20"/>
  <c r="DU195" i="20"/>
  <c r="EO240" i="20"/>
  <c r="EP240" i="20"/>
  <c r="CS48" i="20"/>
  <c r="EB71" i="20"/>
  <c r="BK72" i="20"/>
  <c r="CV72" i="20" s="1"/>
  <c r="EP76" i="20"/>
  <c r="EO76" i="20"/>
  <c r="DU97" i="20"/>
  <c r="DU111" i="20"/>
  <c r="FB158" i="20"/>
  <c r="FC158" i="20" s="1"/>
  <c r="FD158" i="20" s="1"/>
  <c r="EU158" i="20"/>
  <c r="EX158" i="20" s="1"/>
  <c r="EY158" i="20" s="1"/>
  <c r="BK173" i="20"/>
  <c r="CV173" i="20" s="1"/>
  <c r="BK267" i="20"/>
  <c r="CV267" i="20" s="1"/>
  <c r="FB309" i="20"/>
  <c r="FC309" i="20" s="1"/>
  <c r="FD309" i="20" s="1"/>
  <c r="DD383" i="20"/>
  <c r="FP383" i="20"/>
  <c r="FB350" i="20"/>
  <c r="FC350" i="20" s="1"/>
  <c r="FD350" i="20" s="1"/>
  <c r="FQ262" i="20"/>
  <c r="DF262" i="20"/>
  <c r="FB260" i="20"/>
  <c r="FC260" i="20" s="1"/>
  <c r="FD260" i="20" s="1"/>
  <c r="FB27" i="20"/>
  <c r="FC27" i="20" s="1"/>
  <c r="FD27" i="20" s="1"/>
  <c r="CU97" i="20"/>
  <c r="FG125" i="20"/>
  <c r="FH125" i="20" s="1"/>
  <c r="BK144" i="20"/>
  <c r="CV144" i="20" s="1"/>
  <c r="BH215" i="20"/>
  <c r="BP292" i="20"/>
  <c r="BR292" i="20" s="1"/>
  <c r="BK347" i="20"/>
  <c r="CV347" i="20" s="1"/>
  <c r="FB280" i="20"/>
  <c r="FC280" i="20" s="1"/>
  <c r="FD280" i="20" s="1"/>
  <c r="DU68" i="20"/>
  <c r="FQ99" i="20"/>
  <c r="DF99" i="20"/>
  <c r="FB62" i="20"/>
  <c r="FC62" i="20" s="1"/>
  <c r="FD62" i="20" s="1"/>
  <c r="FG62" i="20"/>
  <c r="FH62" i="20" s="1"/>
  <c r="BK126" i="20"/>
  <c r="CV126" i="20" s="1"/>
  <c r="DZ396" i="20"/>
  <c r="CY396" i="20" s="1"/>
  <c r="BQ396" i="20"/>
  <c r="BR396" i="20" s="1"/>
  <c r="FB453" i="20"/>
  <c r="FC453" i="20" s="1"/>
  <c r="FD453" i="20" s="1"/>
  <c r="DU218" i="20"/>
  <c r="EB249" i="20"/>
  <c r="BQ249" i="20"/>
  <c r="BR249" i="20" s="1"/>
  <c r="FB341" i="20"/>
  <c r="FC341" i="20" s="1"/>
  <c r="FD341" i="20" s="1"/>
  <c r="EL390" i="20"/>
  <c r="CZ390" i="20" s="1"/>
  <c r="EP374" i="20"/>
  <c r="BK295" i="20"/>
  <c r="CV295" i="20" s="1"/>
  <c r="FQ192" i="20"/>
  <c r="DL192" i="20"/>
  <c r="FG41" i="20"/>
  <c r="FH41" i="20" s="1"/>
  <c r="FB41" i="20"/>
  <c r="FC41" i="20" s="1"/>
  <c r="FD41" i="20" s="1"/>
  <c r="BW34" i="20"/>
  <c r="BX34" i="20" s="1"/>
  <c r="EQ34" i="20" s="1"/>
  <c r="EB56" i="20"/>
  <c r="DU102" i="20"/>
  <c r="BK63" i="20"/>
  <c r="FG99" i="20"/>
  <c r="FH99" i="20" s="1"/>
  <c r="EL172" i="20"/>
  <c r="CZ172" i="20" s="1"/>
  <c r="DC177" i="20"/>
  <c r="FO177" i="20"/>
  <c r="FB227" i="20"/>
  <c r="FC227" i="20" s="1"/>
  <c r="FD227" i="20" s="1"/>
  <c r="BK229" i="20"/>
  <c r="FB168" i="20"/>
  <c r="FC168" i="20" s="1"/>
  <c r="FD168" i="20" s="1"/>
  <c r="DU223" i="20"/>
  <c r="EL384" i="20"/>
  <c r="CZ384" i="20" s="1"/>
  <c r="EL387" i="20"/>
  <c r="CZ387" i="20" s="1"/>
  <c r="DC312" i="20"/>
  <c r="FO312" i="20"/>
  <c r="FB314" i="20"/>
  <c r="FC314" i="20" s="1"/>
  <c r="FD314" i="20" s="1"/>
  <c r="EP261" i="20"/>
  <c r="EO261" i="20"/>
  <c r="FB253" i="20"/>
  <c r="FC253" i="20" s="1"/>
  <c r="FD253" i="20" s="1"/>
  <c r="BK359" i="20"/>
  <c r="CV359" i="20" s="1"/>
  <c r="FB42" i="20"/>
  <c r="FC42" i="20" s="1"/>
  <c r="FD42" i="20" s="1"/>
  <c r="DW48" i="20"/>
  <c r="DX48" i="20"/>
  <c r="FG44" i="20"/>
  <c r="FH44" i="20" s="1"/>
  <c r="DX38" i="20"/>
  <c r="DW38" i="20"/>
  <c r="FQ54" i="20"/>
  <c r="DF54" i="20"/>
  <c r="BK115" i="20"/>
  <c r="CV115" i="20" s="1"/>
  <c r="BK142" i="20"/>
  <c r="CV142" i="20" s="1"/>
  <c r="CU16" i="20"/>
  <c r="BR177" i="20"/>
  <c r="FB202" i="20"/>
  <c r="FC202" i="20" s="1"/>
  <c r="FD202" i="20" s="1"/>
  <c r="BN197" i="20"/>
  <c r="CW197" i="20" s="1"/>
  <c r="EP372" i="20"/>
  <c r="EO372" i="20"/>
  <c r="FB292" i="20"/>
  <c r="FC292" i="20" s="1"/>
  <c r="FD292" i="20" s="1"/>
  <c r="FB262" i="20"/>
  <c r="FC262" i="20" s="1"/>
  <c r="FD262" i="20" s="1"/>
  <c r="FB348" i="20"/>
  <c r="FC348" i="20" s="1"/>
  <c r="FD348" i="20" s="1"/>
  <c r="EP280" i="20"/>
  <c r="EO280" i="20"/>
  <c r="EV3" i="20"/>
  <c r="EV4" i="20"/>
  <c r="EV1" i="20"/>
  <c r="EO104" i="20"/>
  <c r="EP104" i="20"/>
  <c r="EL298" i="20"/>
  <c r="CZ298" i="20" s="1"/>
  <c r="EL308" i="20"/>
  <c r="CZ308" i="20" s="1"/>
  <c r="BK174" i="20"/>
  <c r="CV174" i="20" s="1"/>
  <c r="BK228" i="20"/>
  <c r="CV228" i="20" s="1"/>
  <c r="FQ230" i="20"/>
  <c r="DF230" i="20"/>
  <c r="EO262" i="20"/>
  <c r="EP262" i="20"/>
  <c r="FO321" i="20"/>
  <c r="DI321" i="20"/>
  <c r="DI257" i="20"/>
  <c r="FO257" i="20"/>
  <c r="FB252" i="20"/>
  <c r="FC252" i="20" s="1"/>
  <c r="FD252" i="20" s="1"/>
  <c r="EO71" i="20"/>
  <c r="EP71" i="20"/>
  <c r="BC108" i="20"/>
  <c r="AZ108" i="20"/>
  <c r="FB73" i="20"/>
  <c r="FC73" i="20" s="1"/>
  <c r="FD73" i="20" s="1"/>
  <c r="AB107" i="20"/>
  <c r="CI107" i="20"/>
  <c r="BS107" i="20"/>
  <c r="CH107" i="20"/>
  <c r="BZ107" i="20"/>
  <c r="EH107" i="20" s="1"/>
  <c r="EJ107" i="20" s="1"/>
  <c r="BM107" i="20"/>
  <c r="BN107" i="20" s="1"/>
  <c r="GG107" i="20"/>
  <c r="GI107" i="20" s="1"/>
  <c r="BH158" i="20"/>
  <c r="FH145" i="20"/>
  <c r="EU380" i="20"/>
  <c r="EX380" i="20" s="1"/>
  <c r="EY380" i="20" s="1"/>
  <c r="FB380" i="20"/>
  <c r="FC380" i="20" s="1"/>
  <c r="FD380" i="20" s="1"/>
  <c r="FB429" i="20"/>
  <c r="FC429" i="20" s="1"/>
  <c r="FD429" i="20" s="1"/>
  <c r="EO316" i="20"/>
  <c r="EP316" i="20"/>
  <c r="EO325" i="20"/>
  <c r="EP325" i="20"/>
  <c r="FO439" i="20"/>
  <c r="DI439" i="20"/>
  <c r="EP425" i="20"/>
  <c r="EO425" i="20"/>
  <c r="FQ342" i="20"/>
  <c r="DF342" i="20"/>
  <c r="DF404" i="20"/>
  <c r="FQ404" i="20"/>
  <c r="EL221" i="20"/>
  <c r="CS440" i="20"/>
  <c r="CX440" i="20" s="1"/>
  <c r="BP234" i="20"/>
  <c r="BR234" i="20" s="1"/>
  <c r="DV472" i="20"/>
  <c r="FA472" i="20"/>
  <c r="EZ472" i="20"/>
  <c r="BQ473" i="20"/>
  <c r="BR473" i="20" s="1"/>
  <c r="EB473" i="20"/>
  <c r="DU320" i="20"/>
  <c r="DL270" i="20"/>
  <c r="FQ270" i="20"/>
  <c r="DF196" i="20"/>
  <c r="FQ196" i="20"/>
  <c r="DV483" i="20"/>
  <c r="FA483" i="20"/>
  <c r="EZ483" i="20"/>
  <c r="EU499" i="20"/>
  <c r="EX499" i="20" s="1"/>
  <c r="EY499" i="20" s="1"/>
  <c r="FB499" i="20"/>
  <c r="FC499" i="20" s="1"/>
  <c r="FD499" i="20" s="1"/>
  <c r="BH346" i="20"/>
  <c r="BG281" i="20"/>
  <c r="BP281" i="20" s="1"/>
  <c r="DI340" i="20"/>
  <c r="FO340" i="20"/>
  <c r="BQ386" i="20"/>
  <c r="EB386" i="20"/>
  <c r="FB477" i="20"/>
  <c r="FC477" i="20" s="1"/>
  <c r="FD477" i="20" s="1"/>
  <c r="EO447" i="20"/>
  <c r="EP447" i="20"/>
  <c r="FB410" i="20"/>
  <c r="FC410" i="20" s="1"/>
  <c r="FD410" i="20" s="1"/>
  <c r="EP323" i="20"/>
  <c r="BK238" i="20"/>
  <c r="CV238" i="20" s="1"/>
  <c r="FQ243" i="20"/>
  <c r="DL243" i="20"/>
  <c r="CS46" i="20"/>
  <c r="EL444" i="20"/>
  <c r="CZ444" i="20" s="1"/>
  <c r="EB408" i="20"/>
  <c r="BQ408" i="20"/>
  <c r="BR408" i="20" s="1"/>
  <c r="BQ244" i="20"/>
  <c r="EB244" i="20"/>
  <c r="DL198" i="20"/>
  <c r="FQ198" i="20"/>
  <c r="EB493" i="20"/>
  <c r="BQ493" i="20"/>
  <c r="BR493" i="20" s="1"/>
  <c r="DV501" i="20"/>
  <c r="EZ501" i="20"/>
  <c r="FA501" i="20"/>
  <c r="EU297" i="20"/>
  <c r="EX297" i="20" s="1"/>
  <c r="EY297" i="20" s="1"/>
  <c r="BP331" i="20"/>
  <c r="BR331" i="20" s="1"/>
  <c r="FO416" i="20"/>
  <c r="DI416" i="20"/>
  <c r="FB290" i="20"/>
  <c r="FC290" i="20" s="1"/>
  <c r="FD290" i="20" s="1"/>
  <c r="FO209" i="20"/>
  <c r="DI209" i="20"/>
  <c r="EL503" i="20"/>
  <c r="DX503" i="20"/>
  <c r="DW503" i="20"/>
  <c r="BU73" i="20"/>
  <c r="BT73" i="20"/>
  <c r="BV73" i="20" s="1"/>
  <c r="BW46" i="20"/>
  <c r="BX46" i="20" s="1"/>
  <c r="EQ46" i="20" s="1"/>
  <c r="EB58" i="20"/>
  <c r="BK113" i="20"/>
  <c r="CV113" i="20" s="1"/>
  <c r="DE77" i="20"/>
  <c r="FR77" i="20"/>
  <c r="FG78" i="20"/>
  <c r="FH78" i="20" s="1"/>
  <c r="FB78" i="20"/>
  <c r="FC78" i="20" s="1"/>
  <c r="FD78" i="20" s="1"/>
  <c r="BT96" i="20"/>
  <c r="BV96" i="20" s="1"/>
  <c r="BU96" i="20"/>
  <c r="DF421" i="20"/>
  <c r="FQ421" i="20"/>
  <c r="EL219" i="20"/>
  <c r="EL237" i="20"/>
  <c r="FB235" i="20"/>
  <c r="FC235" i="20" s="1"/>
  <c r="FD235" i="20" s="1"/>
  <c r="EL311" i="20"/>
  <c r="CZ311" i="20" s="1"/>
  <c r="FB375" i="20"/>
  <c r="FC375" i="20" s="1"/>
  <c r="FD375" i="20" s="1"/>
  <c r="EP242" i="20"/>
  <c r="DU242" i="20" s="1"/>
  <c r="EO242" i="20"/>
  <c r="DF285" i="20"/>
  <c r="FQ285" i="20"/>
  <c r="DF254" i="20"/>
  <c r="FQ254" i="20"/>
  <c r="CJ401" i="20"/>
  <c r="CQ401" i="20" s="1"/>
  <c r="CS401" i="20" s="1"/>
  <c r="CX401" i="20" s="1"/>
  <c r="FB287" i="20"/>
  <c r="FC287" i="20" s="1"/>
  <c r="FD287" i="20" s="1"/>
  <c r="DC441" i="20"/>
  <c r="FO441" i="20"/>
  <c r="FB334" i="20"/>
  <c r="FC334" i="20" s="1"/>
  <c r="FD334" i="20" s="1"/>
  <c r="DY47" i="20"/>
  <c r="DD58" i="20"/>
  <c r="FP58" i="20"/>
  <c r="DW46" i="20"/>
  <c r="DX46" i="20"/>
  <c r="BT91" i="20"/>
  <c r="BV91" i="20" s="1"/>
  <c r="BU91" i="20"/>
  <c r="CJ76" i="20"/>
  <c r="CQ76" i="20" s="1"/>
  <c r="CS76" i="20" s="1"/>
  <c r="CX76" i="20" s="1"/>
  <c r="EO88" i="20"/>
  <c r="EP88" i="20"/>
  <c r="DZ158" i="20"/>
  <c r="BQ158" i="20"/>
  <c r="BR158" i="20" s="1"/>
  <c r="EG431" i="20"/>
  <c r="EP431" i="20" s="1"/>
  <c r="CH431" i="20"/>
  <c r="CJ431" i="20" s="1"/>
  <c r="EB452" i="20"/>
  <c r="BQ452" i="20"/>
  <c r="EL303" i="20"/>
  <c r="CZ303" i="20" s="1"/>
  <c r="BN301" i="20"/>
  <c r="CW301" i="20" s="1"/>
  <c r="FB276" i="20"/>
  <c r="FC276" i="20" s="1"/>
  <c r="FD276" i="20" s="1"/>
  <c r="FB343" i="20"/>
  <c r="FC343" i="20" s="1"/>
  <c r="FD343" i="20" s="1"/>
  <c r="BQ252" i="20"/>
  <c r="EB252" i="20"/>
  <c r="BK59" i="20"/>
  <c r="CV59" i="20" s="1"/>
  <c r="CJ64" i="20"/>
  <c r="CQ64" i="20" s="1"/>
  <c r="CS64" i="20" s="1"/>
  <c r="CU104" i="20"/>
  <c r="DC135" i="20"/>
  <c r="FO135" i="20"/>
  <c r="EL225" i="20"/>
  <c r="BK222" i="20"/>
  <c r="FB218" i="20"/>
  <c r="FC218" i="20" s="1"/>
  <c r="FD218" i="20" s="1"/>
  <c r="FO303" i="20"/>
  <c r="DC303" i="20"/>
  <c r="FQ381" i="20"/>
  <c r="DL381" i="20"/>
  <c r="EP331" i="20"/>
  <c r="EO331" i="20"/>
  <c r="EO351" i="20"/>
  <c r="EP351" i="20"/>
  <c r="DF277" i="20"/>
  <c r="FQ277" i="20"/>
  <c r="EO293" i="20"/>
  <c r="EP293" i="20"/>
  <c r="AZ24" i="20"/>
  <c r="FB47" i="20"/>
  <c r="FC47" i="20" s="1"/>
  <c r="FD47" i="20" s="1"/>
  <c r="BK77" i="20"/>
  <c r="CV77" i="20" s="1"/>
  <c r="CJ99" i="20"/>
  <c r="CQ99" i="20" s="1"/>
  <c r="CS99" i="20" s="1"/>
  <c r="CX99" i="20" s="1"/>
  <c r="FP93" i="20"/>
  <c r="DD93" i="20"/>
  <c r="DU93" i="20"/>
  <c r="EB90" i="20"/>
  <c r="EB87" i="20"/>
  <c r="GK120" i="20"/>
  <c r="GI120" i="20"/>
  <c r="DA120" i="20" s="1"/>
  <c r="EP453" i="20"/>
  <c r="FB436" i="20"/>
  <c r="FC436" i="20" s="1"/>
  <c r="FD436" i="20" s="1"/>
  <c r="DC451" i="20"/>
  <c r="FO451" i="20"/>
  <c r="FB372" i="20"/>
  <c r="FC372" i="20" s="1"/>
  <c r="FD372" i="20" s="1"/>
  <c r="BK354" i="20"/>
  <c r="CV354" i="20" s="1"/>
  <c r="BK250" i="20"/>
  <c r="CV250" i="20" s="1"/>
  <c r="DC397" i="20"/>
  <c r="FO397" i="20"/>
  <c r="DX26" i="20"/>
  <c r="DW26" i="20"/>
  <c r="BK69" i="20"/>
  <c r="CV69" i="20" s="1"/>
  <c r="FG56" i="20"/>
  <c r="FH56" i="20" s="1"/>
  <c r="FB56" i="20"/>
  <c r="FC56" i="20" s="1"/>
  <c r="FD56" i="20" s="1"/>
  <c r="EB69" i="20"/>
  <c r="EL309" i="20"/>
  <c r="CZ309" i="20" s="1"/>
  <c r="DC305" i="20"/>
  <c r="FO305" i="20"/>
  <c r="FB312" i="20"/>
  <c r="FC312" i="20" s="1"/>
  <c r="FD312" i="20" s="1"/>
  <c r="BQ317" i="20"/>
  <c r="EB317" i="20"/>
  <c r="BP353" i="20"/>
  <c r="BH353" i="20"/>
  <c r="FB251" i="20"/>
  <c r="FC251" i="20" s="1"/>
  <c r="FD251" i="20" s="1"/>
  <c r="FB245" i="20"/>
  <c r="FC245" i="20" s="1"/>
  <c r="FD245" i="20" s="1"/>
  <c r="EO254" i="20"/>
  <c r="EB399" i="20"/>
  <c r="BQ399" i="20"/>
  <c r="FQ360" i="20"/>
  <c r="DL360" i="20"/>
  <c r="DF239" i="20"/>
  <c r="FQ239" i="20"/>
  <c r="BW38" i="20"/>
  <c r="BX38" i="20" s="1"/>
  <c r="EQ38" i="20" s="1"/>
  <c r="BK131" i="20"/>
  <c r="CV131" i="20" s="1"/>
  <c r="FO141" i="20"/>
  <c r="DI141" i="20"/>
  <c r="CU17" i="20"/>
  <c r="BH177" i="20"/>
  <c r="FB422" i="20"/>
  <c r="FC422" i="20" s="1"/>
  <c r="FD422" i="20" s="1"/>
  <c r="FB308" i="20"/>
  <c r="FC308" i="20" s="1"/>
  <c r="FD308" i="20" s="1"/>
  <c r="DC197" i="20"/>
  <c r="FO197" i="20"/>
  <c r="DL366" i="20"/>
  <c r="FQ366" i="20"/>
  <c r="DI292" i="20"/>
  <c r="FO292" i="20"/>
  <c r="EP341" i="20"/>
  <c r="EO341" i="20"/>
  <c r="DC266" i="20"/>
  <c r="FO266" i="20"/>
  <c r="BQ241" i="20"/>
  <c r="EB241" i="20"/>
  <c r="FO352" i="20"/>
  <c r="DC352" i="20"/>
  <c r="DI440" i="20"/>
  <c r="FO440" i="20"/>
  <c r="CJ426" i="20"/>
  <c r="CQ426" i="20" s="1"/>
  <c r="CS426" i="20" s="1"/>
  <c r="CX426" i="20" s="1"/>
  <c r="DY20" i="20"/>
  <c r="FG31" i="20"/>
  <c r="FH31" i="20" s="1"/>
  <c r="FG90" i="20"/>
  <c r="FH90" i="20" s="1"/>
  <c r="BK57" i="20"/>
  <c r="CV57" i="20" s="1"/>
  <c r="BK92" i="20"/>
  <c r="CV92" i="20" s="1"/>
  <c r="FQ121" i="20"/>
  <c r="DL121" i="20"/>
  <c r="FB454" i="20"/>
  <c r="FC454" i="20" s="1"/>
  <c r="FD454" i="20" s="1"/>
  <c r="EL235" i="20"/>
  <c r="FB387" i="20"/>
  <c r="FC387" i="20" s="1"/>
  <c r="FD387" i="20" s="1"/>
  <c r="FQ266" i="20"/>
  <c r="DF266" i="20"/>
  <c r="FQ407" i="20"/>
  <c r="DF407" i="20"/>
  <c r="DC407" i="20"/>
  <c r="FO407" i="20"/>
  <c r="EO426" i="20"/>
  <c r="BG270" i="20"/>
  <c r="BP270" i="20" s="1"/>
  <c r="BR270" i="20" s="1"/>
  <c r="FB31" i="20"/>
  <c r="FC31" i="20" s="1"/>
  <c r="FD31" i="20" s="1"/>
  <c r="EO60" i="20"/>
  <c r="EP60" i="20"/>
  <c r="FB80" i="20"/>
  <c r="FC80" i="20" s="1"/>
  <c r="FD80" i="20" s="1"/>
  <c r="BK124" i="20"/>
  <c r="CV124" i="20" s="1"/>
  <c r="DU154" i="20"/>
  <c r="FA154" i="20"/>
  <c r="EZ154" i="20"/>
  <c r="DZ380" i="20"/>
  <c r="CY380" i="20" s="1"/>
  <c r="BQ380" i="20"/>
  <c r="BR380" i="20" s="1"/>
  <c r="FB421" i="20"/>
  <c r="FC421" i="20" s="1"/>
  <c r="FD421" i="20" s="1"/>
  <c r="BH261" i="20"/>
  <c r="DC367" i="20"/>
  <c r="FO367" i="20"/>
  <c r="FQ371" i="20"/>
  <c r="DL371" i="20"/>
  <c r="EP403" i="20"/>
  <c r="EO403" i="20"/>
  <c r="BH446" i="20"/>
  <c r="BP446" i="20"/>
  <c r="EO340" i="20"/>
  <c r="EP340" i="20"/>
  <c r="FB272" i="20"/>
  <c r="FC272" i="20" s="1"/>
  <c r="FD272" i="20" s="1"/>
  <c r="BP405" i="20"/>
  <c r="BR405" i="20" s="1"/>
  <c r="BP283" i="20"/>
  <c r="FB198" i="20"/>
  <c r="FC198" i="20" s="1"/>
  <c r="FD198" i="20" s="1"/>
  <c r="BP337" i="20"/>
  <c r="BR337" i="20" s="1"/>
  <c r="FB191" i="20"/>
  <c r="FC191" i="20" s="1"/>
  <c r="FD191" i="20" s="1"/>
  <c r="EL174" i="20"/>
  <c r="CZ174" i="20" s="1"/>
  <c r="BH263" i="20"/>
  <c r="FO241" i="20"/>
  <c r="DC241" i="20"/>
  <c r="BQ402" i="20"/>
  <c r="BR402" i="20" s="1"/>
  <c r="EB402" i="20"/>
  <c r="DJ231" i="20"/>
  <c r="FP231" i="20"/>
  <c r="FB248" i="20"/>
  <c r="FC248" i="20" s="1"/>
  <c r="FD248" i="20" s="1"/>
  <c r="EB488" i="20"/>
  <c r="BQ488" i="20"/>
  <c r="BR488" i="20" s="1"/>
  <c r="DX33" i="20"/>
  <c r="DW33" i="20"/>
  <c r="BP411" i="20"/>
  <c r="BR411" i="20" s="1"/>
  <c r="FB322" i="20"/>
  <c r="FC322" i="20" s="1"/>
  <c r="FD322" i="20" s="1"/>
  <c r="BH318" i="20"/>
  <c r="BP373" i="20"/>
  <c r="BR373" i="20" s="1"/>
  <c r="BP397" i="20"/>
  <c r="BR397" i="20" s="1"/>
  <c r="EO281" i="20"/>
  <c r="EP281" i="20"/>
  <c r="FQ283" i="20"/>
  <c r="DF283" i="20"/>
  <c r="FB386" i="20"/>
  <c r="FC386" i="20" s="1"/>
  <c r="FD386" i="20" s="1"/>
  <c r="FP67" i="20"/>
  <c r="DD67" i="20"/>
  <c r="EL161" i="20"/>
  <c r="CZ161" i="20" s="1"/>
  <c r="EL368" i="20"/>
  <c r="CZ368" i="20" s="1"/>
  <c r="DU442" i="20"/>
  <c r="FR428" i="20"/>
  <c r="DK428" i="20"/>
  <c r="BP328" i="20"/>
  <c r="FB323" i="20"/>
  <c r="FC323" i="20" s="1"/>
  <c r="FD323" i="20" s="1"/>
  <c r="FB199" i="20"/>
  <c r="FC199" i="20" s="1"/>
  <c r="FD199" i="20" s="1"/>
  <c r="FO211" i="20"/>
  <c r="DI211" i="20"/>
  <c r="EP191" i="20"/>
  <c r="EL167" i="20"/>
  <c r="CZ167" i="20" s="1"/>
  <c r="EL398" i="20"/>
  <c r="CZ398" i="20" s="1"/>
  <c r="FB473" i="20"/>
  <c r="FC473" i="20" s="1"/>
  <c r="FD473" i="20" s="1"/>
  <c r="EL182" i="20"/>
  <c r="CZ182" i="20" s="1"/>
  <c r="EL224" i="20"/>
  <c r="BP277" i="20"/>
  <c r="FO290" i="20"/>
  <c r="DI290" i="20"/>
  <c r="DL191" i="20"/>
  <c r="FQ191" i="20"/>
  <c r="FQ185" i="20"/>
  <c r="DF185" i="20"/>
  <c r="EZ503" i="20"/>
  <c r="FB58" i="20"/>
  <c r="FC58" i="20" s="1"/>
  <c r="FD58" i="20" s="1"/>
  <c r="FG58" i="20"/>
  <c r="FH58" i="20" s="1"/>
  <c r="EP73" i="20"/>
  <c r="EO73" i="20"/>
  <c r="EB80" i="20"/>
  <c r="BT98" i="20"/>
  <c r="BV98" i="20" s="1"/>
  <c r="BU98" i="20"/>
  <c r="DU163" i="20"/>
  <c r="EZ163" i="20"/>
  <c r="FA163" i="20"/>
  <c r="FQ429" i="20"/>
  <c r="DF429" i="20"/>
  <c r="FP181" i="20"/>
  <c r="DJ181" i="20"/>
  <c r="DC300" i="20"/>
  <c r="FO300" i="20"/>
  <c r="DK190" i="20"/>
  <c r="FR190" i="20"/>
  <c r="CJ242" i="20"/>
  <c r="CQ242" i="20" s="1"/>
  <c r="CS242" i="20" s="1"/>
  <c r="CX242" i="20" s="1"/>
  <c r="EB363" i="20"/>
  <c r="BQ363" i="20"/>
  <c r="BR363" i="20" s="1"/>
  <c r="FO291" i="20"/>
  <c r="DC291" i="20"/>
  <c r="DI405" i="20"/>
  <c r="FO405" i="20"/>
  <c r="DU328" i="20"/>
  <c r="FB210" i="20"/>
  <c r="FC210" i="20" s="1"/>
  <c r="FD210" i="20" s="1"/>
  <c r="EU23" i="20"/>
  <c r="EX23" i="20" s="1"/>
  <c r="EY23" i="20" s="1"/>
  <c r="FB23" i="20"/>
  <c r="FC23" i="20" s="1"/>
  <c r="FD23" i="20" s="1"/>
  <c r="BK75" i="20"/>
  <c r="CV75" i="20" s="1"/>
  <c r="FQ91" i="20"/>
  <c r="DL91" i="20"/>
  <c r="BK135" i="20"/>
  <c r="CV135" i="20" s="1"/>
  <c r="BT88" i="20"/>
  <c r="BV88" i="20" s="1"/>
  <c r="BU88" i="20"/>
  <c r="BK123" i="20"/>
  <c r="CV123" i="20" s="1"/>
  <c r="EL204" i="20"/>
  <c r="CZ204" i="20" s="1"/>
  <c r="FB452" i="20"/>
  <c r="FC452" i="20" s="1"/>
  <c r="FD452" i="20" s="1"/>
  <c r="DC309" i="20"/>
  <c r="FO309" i="20"/>
  <c r="EO350" i="20"/>
  <c r="EP350" i="20"/>
  <c r="DC301" i="20"/>
  <c r="FO301" i="20"/>
  <c r="EO315" i="20"/>
  <c r="EP315" i="20"/>
  <c r="BH255" i="20"/>
  <c r="BP255" i="20"/>
  <c r="FO343" i="20"/>
  <c r="DC343" i="20"/>
  <c r="FB28" i="20"/>
  <c r="FC28" i="20" s="1"/>
  <c r="FD28" i="20" s="1"/>
  <c r="CS40" i="20"/>
  <c r="EB67" i="20"/>
  <c r="CU100" i="20"/>
  <c r="DA100" i="20"/>
  <c r="EB91" i="20"/>
  <c r="FO170" i="20"/>
  <c r="DC170" i="20"/>
  <c r="FB303" i="20"/>
  <c r="FC303" i="20" s="1"/>
  <c r="FD303" i="20" s="1"/>
  <c r="FB237" i="20"/>
  <c r="FC237" i="20" s="1"/>
  <c r="FD237" i="20" s="1"/>
  <c r="EO381" i="20"/>
  <c r="EP381" i="20"/>
  <c r="CJ331" i="20"/>
  <c r="DC280" i="20"/>
  <c r="FO280" i="20"/>
  <c r="BH377" i="20"/>
  <c r="FB87" i="20"/>
  <c r="FC87" i="20" s="1"/>
  <c r="FD87" i="20" s="1"/>
  <c r="FG87" i="20"/>
  <c r="FH87" i="20" s="1"/>
  <c r="DI145" i="20"/>
  <c r="FO145" i="20"/>
  <c r="FO453" i="20"/>
  <c r="DI453" i="20"/>
  <c r="FB451" i="20"/>
  <c r="FC451" i="20" s="1"/>
  <c r="FD451" i="20" s="1"/>
  <c r="FQ432" i="20"/>
  <c r="DF432" i="20"/>
  <c r="EG434" i="20"/>
  <c r="EP434" i="20" s="1"/>
  <c r="CH434" i="20"/>
  <c r="CJ434" i="20" s="1"/>
  <c r="CQ434" i="20" s="1"/>
  <c r="CS434" i="20" s="1"/>
  <c r="CX434" i="20" s="1"/>
  <c r="FB362" i="20"/>
  <c r="FC362" i="20" s="1"/>
  <c r="FD362" i="20" s="1"/>
  <c r="BQ277" i="20"/>
  <c r="EB277" i="20"/>
  <c r="BP279" i="20"/>
  <c r="BR279" i="20" s="1"/>
  <c r="BH279" i="20"/>
  <c r="FB397" i="20"/>
  <c r="FC397" i="20" s="1"/>
  <c r="FD397" i="20" s="1"/>
  <c r="EO186" i="20"/>
  <c r="BM102" i="20"/>
  <c r="BN102" i="20" s="1"/>
  <c r="CW102" i="20" s="1"/>
  <c r="BH102" i="20"/>
  <c r="BK116" i="20"/>
  <c r="CV116" i="20" s="1"/>
  <c r="BK140" i="20"/>
  <c r="CV140" i="20" s="1"/>
  <c r="EL169" i="20"/>
  <c r="CZ169" i="20" s="1"/>
  <c r="FB177" i="20"/>
  <c r="FC177" i="20" s="1"/>
  <c r="FD177" i="20" s="1"/>
  <c r="BK453" i="20"/>
  <c r="CV453" i="20" s="1"/>
  <c r="DU304" i="20"/>
  <c r="EL305" i="20"/>
  <c r="CZ305" i="20" s="1"/>
  <c r="FB179" i="20"/>
  <c r="FC179" i="20" s="1"/>
  <c r="FD179" i="20" s="1"/>
  <c r="BN312" i="20"/>
  <c r="CW312" i="20" s="1"/>
  <c r="DC314" i="20"/>
  <c r="FO314" i="20"/>
  <c r="BH314" i="20"/>
  <c r="BG358" i="20"/>
  <c r="BP358" i="20" s="1"/>
  <c r="BR358" i="20" s="1"/>
  <c r="CJ385" i="20"/>
  <c r="CQ385" i="20" s="1"/>
  <c r="CS385" i="20" s="1"/>
  <c r="CX385" i="20" s="1"/>
  <c r="BH360" i="20"/>
  <c r="BP360" i="20"/>
  <c r="FB385" i="20"/>
  <c r="FC385" i="20" s="1"/>
  <c r="FD385" i="20" s="1"/>
  <c r="CS34" i="20"/>
  <c r="DU70" i="20"/>
  <c r="EB54" i="20"/>
  <c r="DK172" i="20"/>
  <c r="FR172" i="20"/>
  <c r="BP182" i="20"/>
  <c r="BR182" i="20" s="1"/>
  <c r="DU267" i="20"/>
  <c r="DC308" i="20"/>
  <c r="FO308" i="20"/>
  <c r="FB197" i="20"/>
  <c r="FC197" i="20" s="1"/>
  <c r="FD197" i="20" s="1"/>
  <c r="FB332" i="20"/>
  <c r="FC332" i="20" s="1"/>
  <c r="FD332" i="20" s="1"/>
  <c r="EO366" i="20"/>
  <c r="EP366" i="20"/>
  <c r="BK307" i="20"/>
  <c r="CV307" i="20" s="1"/>
  <c r="FB319" i="20"/>
  <c r="FC319" i="20" s="1"/>
  <c r="FD319" i="20" s="1"/>
  <c r="CJ341" i="20"/>
  <c r="CQ341" i="20" s="1"/>
  <c r="CS341" i="20" s="1"/>
  <c r="CX341" i="20" s="1"/>
  <c r="EO251" i="20"/>
  <c r="EP251" i="20"/>
  <c r="BQ296" i="20"/>
  <c r="BR296" i="20" s="1"/>
  <c r="EB296" i="20"/>
  <c r="FB352" i="20"/>
  <c r="FC352" i="20" s="1"/>
  <c r="FD352" i="20" s="1"/>
  <c r="EO355" i="20"/>
  <c r="EP355" i="20"/>
  <c r="FB440" i="20"/>
  <c r="FC440" i="20" s="1"/>
  <c r="FD440" i="20" s="1"/>
  <c r="FQ426" i="20"/>
  <c r="DF426" i="20"/>
  <c r="CS38" i="20"/>
  <c r="EU107" i="20"/>
  <c r="EX107" i="20" s="1"/>
  <c r="EY107" i="20" s="1"/>
  <c r="EB83" i="20"/>
  <c r="FG134" i="20"/>
  <c r="FH134" i="20" s="1"/>
  <c r="BH456" i="20"/>
  <c r="EG454" i="20"/>
  <c r="EP454" i="20" s="1"/>
  <c r="CH454" i="20"/>
  <c r="CJ454" i="20" s="1"/>
  <c r="CQ454" i="20" s="1"/>
  <c r="CS454" i="20" s="1"/>
  <c r="CX454" i="20" s="1"/>
  <c r="EB197" i="20"/>
  <c r="BQ197" i="20"/>
  <c r="BR197" i="20" s="1"/>
  <c r="DI354" i="20"/>
  <c r="FO354" i="20"/>
  <c r="BN387" i="20"/>
  <c r="CW387" i="20" s="1"/>
  <c r="CS387" i="20"/>
  <c r="CX387" i="20" s="1"/>
  <c r="BR274" i="20"/>
  <c r="CJ271" i="20"/>
  <c r="FB318" i="20"/>
  <c r="FC318" i="20" s="1"/>
  <c r="FD318" i="20" s="1"/>
  <c r="BQ346" i="20"/>
  <c r="BR346" i="20" s="1"/>
  <c r="EB346" i="20"/>
  <c r="FB257" i="20"/>
  <c r="FC257" i="20" s="1"/>
  <c r="FD257" i="20" s="1"/>
  <c r="EP260" i="20"/>
  <c r="EO260" i="20"/>
  <c r="FQ250" i="20"/>
  <c r="DL250" i="20"/>
  <c r="FO252" i="20"/>
  <c r="DI252" i="20"/>
  <c r="DC363" i="20"/>
  <c r="FO363" i="20"/>
  <c r="EP407" i="20"/>
  <c r="EO407" i="20"/>
  <c r="FB409" i="20"/>
  <c r="FC409" i="20" s="1"/>
  <c r="FD409" i="20" s="1"/>
  <c r="EO443" i="20"/>
  <c r="BW48" i="20"/>
  <c r="BX48" i="20" s="1"/>
  <c r="EQ48" i="20" s="1"/>
  <c r="EP62" i="20"/>
  <c r="EO62" i="20"/>
  <c r="BW22" i="20"/>
  <c r="BX22" i="20" s="1"/>
  <c r="EQ22" i="20" s="1"/>
  <c r="BK127" i="20"/>
  <c r="CV127" i="20" s="1"/>
  <c r="BK133" i="20"/>
  <c r="CV133" i="20" s="1"/>
  <c r="DW297" i="20"/>
  <c r="DX297" i="20"/>
  <c r="EL297" i="20"/>
  <c r="CZ297" i="20" s="1"/>
  <c r="BH299" i="20"/>
  <c r="BH429" i="20"/>
  <c r="BP429" i="20"/>
  <c r="BR429" i="20" s="1"/>
  <c r="FB391" i="20"/>
  <c r="FC391" i="20" s="1"/>
  <c r="FD391" i="20" s="1"/>
  <c r="EL389" i="20"/>
  <c r="CZ389" i="20" s="1"/>
  <c r="CS305" i="20"/>
  <c r="CX305" i="20" s="1"/>
  <c r="EL181" i="20"/>
  <c r="CZ181" i="20" s="1"/>
  <c r="EO326" i="20"/>
  <c r="EP326" i="20"/>
  <c r="EO321" i="20"/>
  <c r="DL325" i="20"/>
  <c r="FQ325" i="20"/>
  <c r="BK266" i="20"/>
  <c r="CV266" i="20" s="1"/>
  <c r="BK370" i="20"/>
  <c r="CV370" i="20" s="1"/>
  <c r="CJ402" i="20"/>
  <c r="FB439" i="20"/>
  <c r="FC439" i="20" s="1"/>
  <c r="FD439" i="20" s="1"/>
  <c r="EO339" i="20"/>
  <c r="EP339" i="20"/>
  <c r="CJ323" i="20"/>
  <c r="CQ323" i="20" s="1"/>
  <c r="CS323" i="20" s="1"/>
  <c r="CX323" i="20" s="1"/>
  <c r="CJ342" i="20"/>
  <c r="CJ248" i="20"/>
  <c r="CQ248" i="20" s="1"/>
  <c r="CS248" i="20" s="1"/>
  <c r="CX248" i="20" s="1"/>
  <c r="DX25" i="20"/>
  <c r="DW25" i="20"/>
  <c r="BW120" i="20"/>
  <c r="BX120" i="20" s="1"/>
  <c r="EQ120" i="20" s="1"/>
  <c r="EP120" i="20" s="1"/>
  <c r="EL290" i="20"/>
  <c r="CZ290" i="20" s="1"/>
  <c r="FB296" i="20"/>
  <c r="FC296" i="20" s="1"/>
  <c r="FD296" i="20" s="1"/>
  <c r="FB406" i="20"/>
  <c r="FC406" i="20" s="1"/>
  <c r="FD406" i="20" s="1"/>
  <c r="BH187" i="20"/>
  <c r="BQ191" i="20"/>
  <c r="EB191" i="20"/>
  <c r="FB241" i="20"/>
  <c r="FC241" i="20" s="1"/>
  <c r="FD241" i="20" s="1"/>
  <c r="EL178" i="20"/>
  <c r="CZ178" i="20" s="1"/>
  <c r="EL175" i="20"/>
  <c r="CZ175" i="20" s="1"/>
  <c r="EB186" i="20"/>
  <c r="BQ186" i="20"/>
  <c r="CJ189" i="20"/>
  <c r="CQ189" i="20" s="1"/>
  <c r="CS189" i="20" s="1"/>
  <c r="CX189" i="20" s="1"/>
  <c r="BP385" i="20"/>
  <c r="EO283" i="20"/>
  <c r="EP283" i="20"/>
  <c r="FP78" i="20"/>
  <c r="DD78" i="20"/>
  <c r="BP393" i="20"/>
  <c r="DI323" i="20"/>
  <c r="FO323" i="20"/>
  <c r="BQ475" i="20"/>
  <c r="BR475" i="20" s="1"/>
  <c r="EB475" i="20"/>
  <c r="FQ345" i="20"/>
  <c r="DL345" i="20"/>
  <c r="BK239" i="20"/>
  <c r="CV239" i="20" s="1"/>
  <c r="BH208" i="20"/>
  <c r="BP208" i="20"/>
  <c r="BR208" i="20" s="1"/>
  <c r="BQ486" i="20"/>
  <c r="BR486" i="20" s="1"/>
  <c r="EB486" i="20"/>
  <c r="BH375" i="20"/>
  <c r="BP251" i="20"/>
  <c r="BP252" i="20"/>
  <c r="FB416" i="20"/>
  <c r="FC416" i="20" s="1"/>
  <c r="FD416" i="20" s="1"/>
  <c r="BG322" i="20"/>
  <c r="BP322" i="20" s="1"/>
  <c r="BR322" i="20" s="1"/>
  <c r="BP196" i="20"/>
  <c r="FA503" i="20"/>
  <c r="BP186" i="20"/>
  <c r="DX30" i="20"/>
  <c r="DW30" i="20"/>
  <c r="CJ73" i="20"/>
  <c r="CQ73" i="20" s="1"/>
  <c r="CS73" i="20" s="1"/>
  <c r="CX73" i="20" s="1"/>
  <c r="FG48" i="20"/>
  <c r="FH48" i="20" s="1"/>
  <c r="BU84" i="20"/>
  <c r="BT84" i="20"/>
  <c r="BV84" i="20" s="1"/>
  <c r="CU10" i="20"/>
  <c r="CU11" i="20" s="1"/>
  <c r="FB225" i="20"/>
  <c r="FC225" i="20" s="1"/>
  <c r="FD225" i="20" s="1"/>
  <c r="DD309" i="20"/>
  <c r="FP309" i="20"/>
  <c r="BG273" i="20"/>
  <c r="BH273" i="20" s="1"/>
  <c r="DU312" i="20"/>
  <c r="EL292" i="20"/>
  <c r="CZ292" i="20" s="1"/>
  <c r="FQ242" i="20"/>
  <c r="DF242" i="20"/>
  <c r="FO279" i="20"/>
  <c r="DI279" i="20"/>
  <c r="EP252" i="20"/>
  <c r="EO252" i="20"/>
  <c r="EP288" i="20"/>
  <c r="EO288" i="20"/>
  <c r="EO401" i="20"/>
  <c r="EP401" i="20"/>
  <c r="FB379" i="20"/>
  <c r="FC379" i="20" s="1"/>
  <c r="FD379" i="20" s="1"/>
  <c r="CJ194" i="20"/>
  <c r="CQ194" i="20" s="1"/>
  <c r="CS194" i="20" s="1"/>
  <c r="CX194" i="20" s="1"/>
  <c r="FO270" i="20"/>
  <c r="DI270" i="20"/>
  <c r="CJ328" i="20"/>
  <c r="CQ328" i="20" s="1"/>
  <c r="CS328" i="20" s="1"/>
  <c r="CX328" i="20" s="1"/>
  <c r="DW50" i="20"/>
  <c r="DX50" i="20"/>
  <c r="FG27" i="20"/>
  <c r="FH27" i="20" s="1"/>
  <c r="BU58" i="20"/>
  <c r="BT58" i="20"/>
  <c r="BV58" i="20" s="1"/>
  <c r="BU76" i="20"/>
  <c r="BT76" i="20"/>
  <c r="BV76" i="20" s="1"/>
  <c r="DC138" i="20"/>
  <c r="FO138" i="20"/>
  <c r="CJ350" i="20"/>
  <c r="CQ350" i="20" s="1"/>
  <c r="CS350" i="20" s="1"/>
  <c r="CX350" i="20" s="1"/>
  <c r="CJ315" i="20"/>
  <c r="DC331" i="20"/>
  <c r="FO331" i="20"/>
  <c r="CJ375" i="20"/>
  <c r="CQ375" i="20" s="1"/>
  <c r="CS375" i="20" s="1"/>
  <c r="CX375" i="20" s="1"/>
  <c r="EP256" i="20"/>
  <c r="EO256" i="20"/>
  <c r="CS23" i="20"/>
  <c r="FG64" i="20"/>
  <c r="FH64" i="20" s="1"/>
  <c r="FB64" i="20"/>
  <c r="FC64" i="20" s="1"/>
  <c r="FD64" i="20" s="1"/>
  <c r="FG67" i="20"/>
  <c r="FH67" i="20" s="1"/>
  <c r="FB67" i="20"/>
  <c r="FC67" i="20" s="1"/>
  <c r="FD67" i="20" s="1"/>
  <c r="EB93" i="20"/>
  <c r="DU134" i="20"/>
  <c r="EL222" i="20"/>
  <c r="BQ223" i="20"/>
  <c r="BR223" i="20" s="1"/>
  <c r="EB223" i="20"/>
  <c r="FB230" i="20"/>
  <c r="FC230" i="20" s="1"/>
  <c r="FD230" i="20" s="1"/>
  <c r="EB179" i="20"/>
  <c r="BQ179" i="20"/>
  <c r="BN237" i="20"/>
  <c r="CS237" i="20"/>
  <c r="BP379" i="20"/>
  <c r="BP357" i="20"/>
  <c r="BR357" i="20" s="1"/>
  <c r="BH357" i="20"/>
  <c r="FB32" i="20"/>
  <c r="FC32" i="20" s="1"/>
  <c r="FD32" i="20" s="1"/>
  <c r="BW27" i="20"/>
  <c r="BX27" i="20" s="1"/>
  <c r="EQ27" i="20" s="1"/>
  <c r="FB60" i="20"/>
  <c r="FC60" i="20" s="1"/>
  <c r="FD60" i="20" s="1"/>
  <c r="DK166" i="20"/>
  <c r="FR166" i="20"/>
  <c r="DI434" i="20"/>
  <c r="FO434" i="20"/>
  <c r="EL233" i="20"/>
  <c r="FB269" i="20"/>
  <c r="FC269" i="20" s="1"/>
  <c r="FD269" i="20" s="1"/>
  <c r="DL349" i="20"/>
  <c r="FQ349" i="20"/>
  <c r="EP393" i="20"/>
  <c r="EO393" i="20"/>
  <c r="EP353" i="20"/>
  <c r="EO353" i="20"/>
  <c r="EP287" i="20"/>
  <c r="EO287" i="20"/>
  <c r="DC361" i="20"/>
  <c r="FO361" i="20"/>
  <c r="EO364" i="20"/>
  <c r="EP364" i="20"/>
  <c r="DL252" i="20"/>
  <c r="FQ252" i="20"/>
  <c r="BG248" i="20"/>
  <c r="BP248" i="20" s="1"/>
  <c r="BR248" i="20" s="1"/>
  <c r="DY23" i="20"/>
  <c r="FG46" i="20"/>
  <c r="FH46" i="20" s="1"/>
  <c r="DE74" i="20"/>
  <c r="FR74" i="20"/>
  <c r="CJ102" i="20"/>
  <c r="CQ102" i="20" s="1"/>
  <c r="CS102" i="20" s="1"/>
  <c r="CX102" i="20" s="1"/>
  <c r="DH170" i="20"/>
  <c r="FT170" i="20"/>
  <c r="DI182" i="20"/>
  <c r="FO182" i="20"/>
  <c r="BP166" i="20"/>
  <c r="FB382" i="20"/>
  <c r="FC382" i="20" s="1"/>
  <c r="FD382" i="20" s="1"/>
  <c r="DU321" i="20"/>
  <c r="EB319" i="20"/>
  <c r="BQ319" i="20"/>
  <c r="EO420" i="20"/>
  <c r="DC245" i="20"/>
  <c r="FO245" i="20"/>
  <c r="EP279" i="20"/>
  <c r="EO279" i="20"/>
  <c r="FB402" i="20"/>
  <c r="FC402" i="20" s="1"/>
  <c r="FD402" i="20" s="1"/>
  <c r="EO427" i="20"/>
  <c r="FQ385" i="20"/>
  <c r="DF385" i="20"/>
  <c r="FO385" i="20"/>
  <c r="DC385" i="20"/>
  <c r="FB46" i="20"/>
  <c r="FC46" i="20" s="1"/>
  <c r="FD46" i="20" s="1"/>
  <c r="EP54" i="20"/>
  <c r="EO54" i="20"/>
  <c r="EB73" i="20"/>
  <c r="BM100" i="20"/>
  <c r="BN100" i="20" s="1"/>
  <c r="CW100" i="20" s="1"/>
  <c r="BH100" i="20"/>
  <c r="ES54" i="20"/>
  <c r="ET9" i="20"/>
  <c r="ET8" i="20" s="1"/>
  <c r="ET7" i="20" s="1"/>
  <c r="BW125" i="20"/>
  <c r="BX125" i="20" s="1"/>
  <c r="EQ125" i="20" s="1"/>
  <c r="EP125" i="20" s="1"/>
  <c r="FB91" i="20"/>
  <c r="FC91" i="20" s="1"/>
  <c r="FD91" i="20" s="1"/>
  <c r="EL166" i="20"/>
  <c r="CZ166" i="20" s="1"/>
  <c r="FB178" i="20"/>
  <c r="FC178" i="20" s="1"/>
  <c r="FD178" i="20" s="1"/>
  <c r="BP172" i="20"/>
  <c r="BH168" i="20"/>
  <c r="FB432" i="20"/>
  <c r="FC432" i="20" s="1"/>
  <c r="FD432" i="20" s="1"/>
  <c r="EB422" i="20"/>
  <c r="BQ422" i="20"/>
  <c r="DF341" i="20"/>
  <c r="FQ341" i="20"/>
  <c r="CJ355" i="20"/>
  <c r="CQ355" i="20" s="1"/>
  <c r="CS355" i="20" s="1"/>
  <c r="CX355" i="20" s="1"/>
  <c r="FO443" i="20"/>
  <c r="DI443" i="20"/>
  <c r="DX37" i="20"/>
  <c r="DW37" i="20"/>
  <c r="BW26" i="20"/>
  <c r="BX26" i="20" s="1"/>
  <c r="EQ26" i="20" s="1"/>
  <c r="FB83" i="20"/>
  <c r="FC83" i="20" s="1"/>
  <c r="FD83" i="20" s="1"/>
  <c r="FO134" i="20"/>
  <c r="DC134" i="20"/>
  <c r="DC449" i="20"/>
  <c r="FO449" i="20"/>
  <c r="EZ396" i="20"/>
  <c r="FB220" i="20"/>
  <c r="FC220" i="20" s="1"/>
  <c r="FD220" i="20" s="1"/>
  <c r="DC387" i="20"/>
  <c r="FO387" i="20"/>
  <c r="DU382" i="20"/>
  <c r="BP349" i="20"/>
  <c r="BR349" i="20" s="1"/>
  <c r="EO332" i="20"/>
  <c r="EP332" i="20"/>
  <c r="EP271" i="20"/>
  <c r="EO271" i="20"/>
  <c r="DI318" i="20"/>
  <c r="FO318" i="20"/>
  <c r="FB346" i="20"/>
  <c r="FC346" i="20" s="1"/>
  <c r="FD346" i="20" s="1"/>
  <c r="BG254" i="20"/>
  <c r="BH254" i="20" s="1"/>
  <c r="EP352" i="20"/>
  <c r="EO352" i="20"/>
  <c r="FB363" i="20"/>
  <c r="FC363" i="20" s="1"/>
  <c r="FD363" i="20" s="1"/>
  <c r="FO409" i="20"/>
  <c r="DC409" i="20"/>
  <c r="FB407" i="20"/>
  <c r="FC407" i="20" s="1"/>
  <c r="FD407" i="20" s="1"/>
  <c r="FB35" i="20"/>
  <c r="FC35" i="20" s="1"/>
  <c r="FD35" i="20" s="1"/>
  <c r="FG50" i="20"/>
  <c r="FH50" i="20" s="1"/>
  <c r="BU71" i="20"/>
  <c r="BT71" i="20"/>
  <c r="BV71" i="20" s="1"/>
  <c r="EB85" i="20"/>
  <c r="FP82" i="20"/>
  <c r="DD82" i="20"/>
  <c r="FG83" i="20"/>
  <c r="FH83" i="20" s="1"/>
  <c r="FQ122" i="20"/>
  <c r="DL122" i="20"/>
  <c r="FR144" i="20"/>
  <c r="DK144" i="20"/>
  <c r="CS227" i="20"/>
  <c r="CX227" i="20" s="1"/>
  <c r="EP421" i="20"/>
  <c r="BP388" i="20"/>
  <c r="DL318" i="20"/>
  <c r="FQ318" i="20"/>
  <c r="FB256" i="20"/>
  <c r="FC256" i="20" s="1"/>
  <c r="FD256" i="20" s="1"/>
  <c r="EO361" i="20"/>
  <c r="EP361" i="20"/>
  <c r="BK241" i="20"/>
  <c r="CV241" i="20" s="1"/>
  <c r="FQ402" i="20"/>
  <c r="DF402" i="20"/>
  <c r="EO408" i="20"/>
  <c r="EP408" i="20"/>
  <c r="BP438" i="20"/>
  <c r="BR438" i="20" s="1"/>
  <c r="FQ323" i="20"/>
  <c r="DL323" i="20"/>
  <c r="EP248" i="20"/>
  <c r="EO248" i="20"/>
  <c r="BP359" i="20"/>
  <c r="BR359" i="20" s="1"/>
  <c r="FQ399" i="20"/>
  <c r="DF399" i="20"/>
  <c r="FB187" i="20"/>
  <c r="FC187" i="20" s="1"/>
  <c r="FD187" i="20" s="1"/>
  <c r="FO198" i="20"/>
  <c r="DI198" i="20"/>
  <c r="EL333" i="20"/>
  <c r="CZ333" i="20" s="1"/>
  <c r="DX52" i="20"/>
  <c r="DW52" i="20"/>
  <c r="DD178" i="20"/>
  <c r="FP178" i="20"/>
  <c r="FO248" i="20"/>
  <c r="DC248" i="20"/>
  <c r="DC207" i="20"/>
  <c r="FO207" i="20"/>
  <c r="DX492" i="20"/>
  <c r="EL492" i="20"/>
  <c r="DW492" i="20"/>
  <c r="BP321" i="20"/>
  <c r="BR321" i="20" s="1"/>
  <c r="FB277" i="20"/>
  <c r="FC277" i="20" s="1"/>
  <c r="FD277" i="20" s="1"/>
  <c r="BH427" i="20"/>
  <c r="FQ189" i="20"/>
  <c r="DF189" i="20"/>
  <c r="DF281" i="20"/>
  <c r="FQ281" i="20"/>
  <c r="DC283" i="20"/>
  <c r="FO283" i="20"/>
  <c r="FB487" i="20"/>
  <c r="FC487" i="20" s="1"/>
  <c r="FD487" i="20" s="1"/>
  <c r="BH352" i="20"/>
  <c r="EP239" i="20"/>
  <c r="BH243" i="20"/>
  <c r="BP243" i="20"/>
  <c r="BR243" i="20" s="1"/>
  <c r="FB475" i="20"/>
  <c r="FC475" i="20" s="1"/>
  <c r="FD475" i="20" s="1"/>
  <c r="EL206" i="20"/>
  <c r="CZ206" i="20" s="1"/>
  <c r="EO208" i="20"/>
  <c r="EP208" i="20"/>
  <c r="DU406" i="20"/>
  <c r="EP322" i="20"/>
  <c r="EO322" i="20"/>
  <c r="DU209" i="20"/>
  <c r="DU61" i="20"/>
  <c r="BK120" i="20"/>
  <c r="CV120" i="20" s="1"/>
  <c r="BK91" i="20"/>
  <c r="CV91" i="20" s="1"/>
  <c r="DF98" i="20"/>
  <c r="FQ98" i="20"/>
  <c r="FQ84" i="20"/>
  <c r="DF84" i="20"/>
  <c r="BK114" i="20"/>
  <c r="CV114" i="20" s="1"/>
  <c r="BK159" i="20"/>
  <c r="BD159" i="20"/>
  <c r="BE159" i="20" s="1"/>
  <c r="EL183" i="20"/>
  <c r="CZ183" i="20" s="1"/>
  <c r="FP148" i="20"/>
  <c r="DJ148" i="20"/>
  <c r="EB233" i="20"/>
  <c r="BQ233" i="20"/>
  <c r="BR233" i="20" s="1"/>
  <c r="FB304" i="20"/>
  <c r="FC304" i="20" s="1"/>
  <c r="FD304" i="20" s="1"/>
  <c r="DU388" i="20"/>
  <c r="EO294" i="20"/>
  <c r="EP294" i="20"/>
  <c r="BH374" i="20"/>
  <c r="BP374" i="20"/>
  <c r="BR374" i="20" s="1"/>
  <c r="FO265" i="20"/>
  <c r="DI265" i="20"/>
  <c r="FO242" i="20"/>
  <c r="DC242" i="20"/>
  <c r="FB291" i="20"/>
  <c r="FC291" i="20" s="1"/>
  <c r="FD291" i="20" s="1"/>
  <c r="DU400" i="20"/>
  <c r="DU427" i="20"/>
  <c r="FO210" i="20"/>
  <c r="DI210" i="20"/>
  <c r="BU69" i="20"/>
  <c r="BT69" i="20"/>
  <c r="BV69" i="20" s="1"/>
  <c r="EP91" i="20"/>
  <c r="EO91" i="20"/>
  <c r="FQ58" i="20"/>
  <c r="DF58" i="20"/>
  <c r="BU80" i="20"/>
  <c r="BT80" i="20"/>
  <c r="BV80" i="20" s="1"/>
  <c r="DD202" i="20"/>
  <c r="FP202" i="20"/>
  <c r="EL176" i="20"/>
  <c r="CZ176" i="20" s="1"/>
  <c r="FB433" i="20"/>
  <c r="FC433" i="20" s="1"/>
  <c r="FD433" i="20" s="1"/>
  <c r="FB301" i="20"/>
  <c r="FC301" i="20" s="1"/>
  <c r="FD301" i="20" s="1"/>
  <c r="FQ315" i="20"/>
  <c r="DF315" i="20"/>
  <c r="FB331" i="20"/>
  <c r="FC331" i="20" s="1"/>
  <c r="FD331" i="20" s="1"/>
  <c r="EB64" i="20"/>
  <c r="FO132" i="20"/>
  <c r="DC132" i="20"/>
  <c r="BK134" i="20"/>
  <c r="CV134" i="20" s="1"/>
  <c r="FB170" i="20"/>
  <c r="FC170" i="20" s="1"/>
  <c r="FD170" i="20" s="1"/>
  <c r="EL168" i="20"/>
  <c r="CZ168" i="20" s="1"/>
  <c r="FB223" i="20"/>
  <c r="FC223" i="20" s="1"/>
  <c r="FD223" i="20" s="1"/>
  <c r="BK224" i="20"/>
  <c r="DC273" i="20"/>
  <c r="FO273" i="20"/>
  <c r="EP373" i="20"/>
  <c r="EO373" i="20"/>
  <c r="EU108" i="20"/>
  <c r="EX108" i="20" s="1"/>
  <c r="EY108" i="20" s="1"/>
  <c r="FA108" i="20" s="1"/>
  <c r="BK86" i="20"/>
  <c r="CV86" i="20" s="1"/>
  <c r="FB159" i="20"/>
  <c r="FC159" i="20" s="1"/>
  <c r="FD159" i="20" s="1"/>
  <c r="EU159" i="20"/>
  <c r="EX159" i="20" s="1"/>
  <c r="EY159" i="20" s="1"/>
  <c r="EB456" i="20"/>
  <c r="BQ456" i="20"/>
  <c r="BR456" i="20" s="1"/>
  <c r="EG451" i="20"/>
  <c r="EP451" i="20" s="1"/>
  <c r="CH451" i="20"/>
  <c r="CJ451" i="20" s="1"/>
  <c r="CQ451" i="20" s="1"/>
  <c r="CS451" i="20" s="1"/>
  <c r="CX451" i="20" s="1"/>
  <c r="BQ268" i="20"/>
  <c r="EB268" i="20"/>
  <c r="BQ307" i="20"/>
  <c r="EB307" i="20"/>
  <c r="FB361" i="20"/>
  <c r="FC361" i="20" s="1"/>
  <c r="FD361" i="20" s="1"/>
  <c r="EP445" i="20"/>
  <c r="EO445" i="20"/>
  <c r="BH426" i="20"/>
  <c r="BP426" i="20"/>
  <c r="BR426" i="20" s="1"/>
  <c r="DL284" i="20"/>
  <c r="FQ284" i="20"/>
  <c r="FB336" i="20"/>
  <c r="FC336" i="20" s="1"/>
  <c r="FD336" i="20" s="1"/>
  <c r="EO328" i="20"/>
  <c r="EO192" i="20"/>
  <c r="EP192" i="20"/>
  <c r="DD73" i="20"/>
  <c r="FP73" i="20"/>
  <c r="DU118" i="20"/>
  <c r="EL118" i="20" s="1"/>
  <c r="BN182" i="20"/>
  <c r="CW182" i="20" s="1"/>
  <c r="CS182" i="20"/>
  <c r="CX182" i="20" s="1"/>
  <c r="BR218" i="20"/>
  <c r="DC382" i="20"/>
  <c r="FO382" i="20"/>
  <c r="EP349" i="20"/>
  <c r="EO349" i="20"/>
  <c r="DU180" i="20"/>
  <c r="BQ275" i="20"/>
  <c r="EB275" i="20"/>
  <c r="EO330" i="20"/>
  <c r="EP330" i="20"/>
  <c r="EP337" i="20"/>
  <c r="EO337" i="20"/>
  <c r="BK337" i="20"/>
  <c r="CV337" i="20" s="1"/>
  <c r="FB264" i="20"/>
  <c r="FC264" i="20" s="1"/>
  <c r="FD264" i="20" s="1"/>
  <c r="EP307" i="20"/>
  <c r="EO307" i="20"/>
  <c r="BK362" i="20"/>
  <c r="CV362" i="20" s="1"/>
  <c r="DI371" i="20"/>
  <c r="FO371" i="20"/>
  <c r="FR234" i="20"/>
  <c r="EO360" i="20"/>
  <c r="EP360" i="20"/>
  <c r="CS27" i="20"/>
  <c r="CJ54" i="20"/>
  <c r="CQ54" i="20" s="1"/>
  <c r="CS54" i="20" s="1"/>
  <c r="CX54" i="20" s="1"/>
  <c r="EO100" i="20"/>
  <c r="EP100" i="20"/>
  <c r="FB93" i="20"/>
  <c r="FC93" i="20" s="1"/>
  <c r="FD93" i="20" s="1"/>
  <c r="EB432" i="20"/>
  <c r="BQ432" i="20"/>
  <c r="FQ350" i="20"/>
  <c r="DL350" i="20"/>
  <c r="EP394" i="20"/>
  <c r="EO394" i="20"/>
  <c r="BH327" i="20"/>
  <c r="BP419" i="20"/>
  <c r="EP270" i="20"/>
  <c r="EO270" i="20"/>
  <c r="FB21" i="20"/>
  <c r="FC21" i="20" s="1"/>
  <c r="FD21" i="20" s="1"/>
  <c r="EU21" i="20"/>
  <c r="EX21" i="20" s="1"/>
  <c r="EY21" i="20" s="1"/>
  <c r="DC96" i="20"/>
  <c r="FO96" i="20"/>
  <c r="DE68" i="20"/>
  <c r="FR68" i="20"/>
  <c r="BT104" i="20"/>
  <c r="BV104" i="20" s="1"/>
  <c r="BU104" i="20"/>
  <c r="DU86" i="20"/>
  <c r="EL299" i="20"/>
  <c r="CZ299" i="20" s="1"/>
  <c r="BH175" i="20"/>
  <c r="FB449" i="20"/>
  <c r="FC449" i="20" s="1"/>
  <c r="FD449" i="20" s="1"/>
  <c r="BK305" i="20"/>
  <c r="CV305" i="20" s="1"/>
  <c r="FB354" i="20"/>
  <c r="FC354" i="20" s="1"/>
  <c r="FD354" i="20" s="1"/>
  <c r="BK349" i="20"/>
  <c r="CV349" i="20" s="1"/>
  <c r="BQ379" i="20"/>
  <c r="EB379" i="20"/>
  <c r="FB399" i="20"/>
  <c r="FC399" i="20" s="1"/>
  <c r="FD399" i="20" s="1"/>
  <c r="EP439" i="20"/>
  <c r="EO439" i="20"/>
  <c r="BN21" i="20"/>
  <c r="CS21" i="20"/>
  <c r="BT60" i="20"/>
  <c r="BV60" i="20" s="1"/>
  <c r="BU60" i="20"/>
  <c r="FB90" i="20"/>
  <c r="FC90" i="20" s="1"/>
  <c r="FD90" i="20" s="1"/>
  <c r="FB217" i="20"/>
  <c r="FC217" i="20" s="1"/>
  <c r="FD217" i="20" s="1"/>
  <c r="DC421" i="20"/>
  <c r="FO421" i="20"/>
  <c r="FB222" i="20"/>
  <c r="FC222" i="20" s="1"/>
  <c r="FD222" i="20" s="1"/>
  <c r="EG391" i="20"/>
  <c r="EP391" i="20" s="1"/>
  <c r="CH391" i="20"/>
  <c r="CJ391" i="20" s="1"/>
  <c r="CQ391" i="20" s="1"/>
  <c r="CS391" i="20" s="1"/>
  <c r="CX391" i="20" s="1"/>
  <c r="DU310" i="20"/>
  <c r="BK308" i="20"/>
  <c r="CV308" i="20" s="1"/>
  <c r="DC268" i="20"/>
  <c r="FO268" i="20"/>
  <c r="EO318" i="20"/>
  <c r="EP318" i="20"/>
  <c r="FO256" i="20"/>
  <c r="DC256" i="20"/>
  <c r="EP291" i="20"/>
  <c r="EO291" i="20"/>
  <c r="DU402" i="20"/>
  <c r="DF339" i="20"/>
  <c r="FQ339" i="20"/>
  <c r="EL215" i="20"/>
  <c r="CZ215" i="20" s="1"/>
  <c r="FQ199" i="20"/>
  <c r="DF199" i="20"/>
  <c r="DF208" i="20"/>
  <c r="FQ208" i="20"/>
  <c r="BQ476" i="20"/>
  <c r="BR476" i="20" s="1"/>
  <c r="EB476" i="20"/>
  <c r="BP307" i="20"/>
  <c r="FO296" i="20"/>
  <c r="DC296" i="20"/>
  <c r="FO406" i="20"/>
  <c r="DC406" i="20"/>
  <c r="BK386" i="20"/>
  <c r="CV386" i="20" s="1"/>
  <c r="FB243" i="20"/>
  <c r="FC243" i="20" s="1"/>
  <c r="FD243" i="20" s="1"/>
  <c r="FO185" i="20"/>
  <c r="DC185" i="20"/>
  <c r="BR187" i="20"/>
  <c r="EL476" i="20"/>
  <c r="BP439" i="20"/>
  <c r="BR439" i="20" s="1"/>
  <c r="EP196" i="20"/>
  <c r="EO196" i="20"/>
  <c r="BQ485" i="20"/>
  <c r="BR485" i="20" s="1"/>
  <c r="EB485" i="20"/>
  <c r="DX494" i="20"/>
  <c r="DW494" i="20"/>
  <c r="EL494" i="20"/>
  <c r="BG207" i="20"/>
  <c r="BH207" i="20" s="1"/>
  <c r="FB283" i="20"/>
  <c r="FC283" i="20" s="1"/>
  <c r="FD283" i="20" s="1"/>
  <c r="BQ484" i="20"/>
  <c r="BR484" i="20" s="1"/>
  <c r="EB484" i="20"/>
  <c r="EL354" i="20"/>
  <c r="CZ354" i="20" s="1"/>
  <c r="FQ442" i="20"/>
  <c r="DL442" i="20"/>
  <c r="DF207" i="20"/>
  <c r="FQ207" i="20"/>
  <c r="BQ502" i="20"/>
  <c r="BR502" i="20" s="1"/>
  <c r="EB502" i="20"/>
  <c r="DX498" i="20"/>
  <c r="DW498" i="20"/>
  <c r="EL498" i="20"/>
  <c r="DW44" i="20"/>
  <c r="DX44" i="20"/>
  <c r="DJ167" i="20"/>
  <c r="FP167" i="20"/>
  <c r="CS292" i="20"/>
  <c r="CX292" i="20" s="1"/>
  <c r="BP370" i="20"/>
  <c r="BK414" i="20"/>
  <c r="CV414" i="20" s="1"/>
  <c r="DX45" i="20"/>
  <c r="DW45" i="20"/>
  <c r="DL324" i="20"/>
  <c r="FQ324" i="20"/>
  <c r="EL313" i="20"/>
  <c r="CZ313" i="20" s="1"/>
  <c r="BQ335" i="20"/>
  <c r="BR335" i="20" s="1"/>
  <c r="EB335" i="20"/>
  <c r="BQ360" i="20"/>
  <c r="EB360" i="20"/>
  <c r="FQ73" i="20"/>
  <c r="DF73" i="20"/>
  <c r="BU87" i="20"/>
  <c r="BT87" i="20"/>
  <c r="BV87" i="20" s="1"/>
  <c r="DF96" i="20"/>
  <c r="FQ96" i="20"/>
  <c r="BQ450" i="20"/>
  <c r="EB450" i="20"/>
  <c r="FB233" i="20"/>
  <c r="FC233" i="20" s="1"/>
  <c r="FD233" i="20" s="1"/>
  <c r="BN304" i="20"/>
  <c r="CW304" i="20" s="1"/>
  <c r="CS304" i="20"/>
  <c r="CX304" i="20" s="1"/>
  <c r="BK190" i="20"/>
  <c r="CV190" i="20" s="1"/>
  <c r="FB315" i="20"/>
  <c r="FC315" i="20" s="1"/>
  <c r="FD315" i="20" s="1"/>
  <c r="BP293" i="20"/>
  <c r="BR293" i="20" s="1"/>
  <c r="BH293" i="20"/>
  <c r="BK260" i="20"/>
  <c r="CV260" i="20" s="1"/>
  <c r="FB279" i="20"/>
  <c r="FC279" i="20" s="1"/>
  <c r="FD279" i="20" s="1"/>
  <c r="DU285" i="20"/>
  <c r="CJ374" i="20"/>
  <c r="CQ374" i="20" s="1"/>
  <c r="CS374" i="20" s="1"/>
  <c r="CX374" i="20" s="1"/>
  <c r="DC379" i="20"/>
  <c r="FO379" i="20"/>
  <c r="FO438" i="20"/>
  <c r="DI438" i="20"/>
  <c r="EO194" i="20"/>
  <c r="EP194" i="20"/>
  <c r="FB270" i="20"/>
  <c r="FC270" i="20" s="1"/>
  <c r="FD270" i="20" s="1"/>
  <c r="BR200" i="20"/>
  <c r="DU186" i="20"/>
  <c r="FG40" i="20"/>
  <c r="FH40" i="20" s="1"/>
  <c r="BK71" i="20"/>
  <c r="CV71" i="20" s="1"/>
  <c r="EB82" i="20"/>
  <c r="BK141" i="20"/>
  <c r="CV141" i="20" s="1"/>
  <c r="EL227" i="20"/>
  <c r="CZ227" i="20" s="1"/>
  <c r="EG433" i="20"/>
  <c r="EP433" i="20" s="1"/>
  <c r="CH433" i="20"/>
  <c r="CJ433" i="20" s="1"/>
  <c r="CQ433" i="20" s="1"/>
  <c r="CS433" i="20" s="1"/>
  <c r="CX433" i="20" s="1"/>
  <c r="DI349" i="20"/>
  <c r="FO349" i="20"/>
  <c r="EP375" i="20"/>
  <c r="EO375" i="20"/>
  <c r="FQ256" i="20"/>
  <c r="DF256" i="20"/>
  <c r="FG23" i="20"/>
  <c r="FH23" i="20" s="1"/>
  <c r="BW42" i="20"/>
  <c r="BX42" i="20" s="1"/>
  <c r="EQ42" i="20" s="1"/>
  <c r="BU64" i="20"/>
  <c r="BT64" i="20"/>
  <c r="BV64" i="20" s="1"/>
  <c r="BK74" i="20"/>
  <c r="CV74" i="20" s="1"/>
  <c r="CU101" i="20"/>
  <c r="DA101" i="20"/>
  <c r="FG132" i="20"/>
  <c r="FH132" i="20" s="1"/>
  <c r="EB455" i="20"/>
  <c r="BQ455" i="20"/>
  <c r="BR455" i="20" s="1"/>
  <c r="DV455" i="20"/>
  <c r="FB273" i="20"/>
  <c r="FC273" i="20" s="1"/>
  <c r="FD273" i="20" s="1"/>
  <c r="FB327" i="20"/>
  <c r="FC327" i="20" s="1"/>
  <c r="FD327" i="20" s="1"/>
  <c r="CJ373" i="20"/>
  <c r="BT99" i="20"/>
  <c r="BV99" i="20" s="1"/>
  <c r="BU99" i="20"/>
  <c r="FG97" i="20"/>
  <c r="FH97" i="20" s="1"/>
  <c r="BK138" i="20"/>
  <c r="CV138" i="20" s="1"/>
  <c r="FB396" i="20"/>
  <c r="FC396" i="20" s="1"/>
  <c r="FD396" i="20" s="1"/>
  <c r="FT171" i="20"/>
  <c r="DH171" i="20"/>
  <c r="DZ159" i="20"/>
  <c r="BQ159" i="20"/>
  <c r="BQ430" i="20"/>
  <c r="EB430" i="20"/>
  <c r="FB434" i="20"/>
  <c r="FC434" i="20" s="1"/>
  <c r="FD434" i="20" s="1"/>
  <c r="DC269" i="20"/>
  <c r="FO269" i="20"/>
  <c r="FB307" i="20"/>
  <c r="FC307" i="20" s="1"/>
  <c r="FD307" i="20" s="1"/>
  <c r="FO419" i="20"/>
  <c r="DI419" i="20"/>
  <c r="BG355" i="20"/>
  <c r="BP355" i="20" s="1"/>
  <c r="FB437" i="20"/>
  <c r="FC437" i="20" s="1"/>
  <c r="FD437" i="20" s="1"/>
  <c r="CJ414" i="20"/>
  <c r="CQ414" i="20" s="1"/>
  <c r="CS414" i="20" s="1"/>
  <c r="CX414" i="20" s="1"/>
  <c r="BB24" i="20"/>
  <c r="EC24" i="20" s="1"/>
  <c r="EU24" i="20" s="1"/>
  <c r="EX24" i="20" s="1"/>
  <c r="EY24" i="20" s="1"/>
  <c r="AX25" i="20"/>
  <c r="FG51" i="20"/>
  <c r="FH51" i="20" s="1"/>
  <c r="FB51" i="20"/>
  <c r="FC51" i="20" s="1"/>
  <c r="FD51" i="20" s="1"/>
  <c r="BU83" i="20"/>
  <c r="BT83" i="20"/>
  <c r="BV83" i="20" s="1"/>
  <c r="BC107" i="20"/>
  <c r="AZ107" i="20"/>
  <c r="BK206" i="20"/>
  <c r="CV206" i="20" s="1"/>
  <c r="DU150" i="20"/>
  <c r="FB456" i="20"/>
  <c r="FB182" i="20"/>
  <c r="FC182" i="20" s="1"/>
  <c r="FD182" i="20" s="1"/>
  <c r="BN382" i="20"/>
  <c r="CW382" i="20" s="1"/>
  <c r="BK180" i="20"/>
  <c r="CV180" i="20" s="1"/>
  <c r="CJ349" i="20"/>
  <c r="CQ349" i="20" s="1"/>
  <c r="CS349" i="20" s="1"/>
  <c r="CX349" i="20" s="1"/>
  <c r="CJ321" i="20"/>
  <c r="CQ321" i="20" s="1"/>
  <c r="CS321" i="20" s="1"/>
  <c r="CX321" i="20" s="1"/>
  <c r="BH369" i="20"/>
  <c r="DI264" i="20"/>
  <c r="FO264" i="20"/>
  <c r="CJ307" i="20"/>
  <c r="BP362" i="20"/>
  <c r="BR362" i="20" s="1"/>
  <c r="DF358" i="20"/>
  <c r="FQ358" i="20"/>
  <c r="DC402" i="20"/>
  <c r="FO402" i="20"/>
  <c r="DU75" i="20"/>
  <c r="DU55" i="20"/>
  <c r="BT100" i="20"/>
  <c r="BV100" i="20" s="1"/>
  <c r="BU100" i="20"/>
  <c r="DK119" i="20"/>
  <c r="FR119" i="20"/>
  <c r="FH147" i="20"/>
  <c r="BK227" i="20"/>
  <c r="CV227" i="20" s="1"/>
  <c r="FB435" i="20"/>
  <c r="FC435" i="20" s="1"/>
  <c r="FD435" i="20" s="1"/>
  <c r="CS229" i="20"/>
  <c r="EL249" i="20"/>
  <c r="EL179" i="20"/>
  <c r="CZ179" i="20" s="1"/>
  <c r="EP319" i="20"/>
  <c r="EO319" i="20"/>
  <c r="FB443" i="20"/>
  <c r="FC443" i="20" s="1"/>
  <c r="FD443" i="20" s="1"/>
  <c r="CJ270" i="20"/>
  <c r="CQ270" i="20" s="1"/>
  <c r="CS270" i="20" s="1"/>
  <c r="CX270" i="20" s="1"/>
  <c r="DY32" i="20"/>
  <c r="FB22" i="20"/>
  <c r="FC22" i="20" s="1"/>
  <c r="FD22" i="20" s="1"/>
  <c r="EU22" i="20"/>
  <c r="EX22" i="20" s="1"/>
  <c r="EY22" i="20" s="1"/>
  <c r="FH38" i="20"/>
  <c r="EW38" i="20" s="1"/>
  <c r="FH26" i="20"/>
  <c r="DU300" i="20"/>
  <c r="FQ332" i="20"/>
  <c r="DL332" i="20"/>
  <c r="FO325" i="20"/>
  <c r="DI325" i="20"/>
  <c r="EP266" i="20"/>
  <c r="EO266" i="20"/>
  <c r="BH356" i="20"/>
  <c r="CJ246" i="20"/>
  <c r="CQ246" i="20" s="1"/>
  <c r="CS246" i="20" s="1"/>
  <c r="CX246" i="20" s="1"/>
  <c r="DF352" i="20"/>
  <c r="FQ352" i="20"/>
  <c r="FB295" i="20"/>
  <c r="FC295" i="20" s="1"/>
  <c r="FD295" i="20" s="1"/>
  <c r="CJ439" i="20"/>
  <c r="CQ439" i="20" s="1"/>
  <c r="CS439" i="20" s="1"/>
  <c r="CX439" i="20" s="1"/>
  <c r="FB36" i="20"/>
  <c r="FC36" i="20" s="1"/>
  <c r="FD36" i="20" s="1"/>
  <c r="FG52" i="20"/>
  <c r="FH52" i="20" s="1"/>
  <c r="CJ62" i="20"/>
  <c r="CQ62" i="20" s="1"/>
  <c r="CS62" i="20" s="1"/>
  <c r="CX62" i="20" s="1"/>
  <c r="FG47" i="20"/>
  <c r="FH47" i="20" s="1"/>
  <c r="BK84" i="20"/>
  <c r="CV84" i="20" s="1"/>
  <c r="FO391" i="20"/>
  <c r="DC391" i="20"/>
  <c r="DC429" i="20"/>
  <c r="FO429" i="20"/>
  <c r="DU236" i="20"/>
  <c r="EO278" i="20"/>
  <c r="EP278" i="20"/>
  <c r="FB268" i="20"/>
  <c r="FC268" i="20" s="1"/>
  <c r="FD268" i="20" s="1"/>
  <c r="BK351" i="20"/>
  <c r="CV351" i="20" s="1"/>
  <c r="CJ291" i="20"/>
  <c r="EO363" i="20"/>
  <c r="EP363" i="20"/>
  <c r="CJ446" i="20"/>
  <c r="DF248" i="20"/>
  <c r="FQ248" i="20"/>
  <c r="EL202" i="20"/>
  <c r="CZ202" i="20" s="1"/>
  <c r="BP275" i="20"/>
  <c r="DL264" i="20"/>
  <c r="FQ264" i="20"/>
  <c r="BG404" i="20"/>
  <c r="BH404" i="20" s="1"/>
  <c r="FB426" i="20"/>
  <c r="FC426" i="20" s="1"/>
  <c r="FD426" i="20" s="1"/>
  <c r="EO199" i="20"/>
  <c r="EP199" i="20"/>
  <c r="FO187" i="20"/>
  <c r="DC187" i="20"/>
  <c r="EU476" i="20"/>
  <c r="EX476" i="20" s="1"/>
  <c r="EY476" i="20" s="1"/>
  <c r="FB476" i="20"/>
  <c r="FC476" i="20" s="1"/>
  <c r="FD476" i="20" s="1"/>
  <c r="FO412" i="20"/>
  <c r="DI412" i="20"/>
  <c r="FO243" i="20"/>
  <c r="DI243" i="20"/>
  <c r="DW40" i="20"/>
  <c r="DX40" i="20"/>
  <c r="EL177" i="20"/>
  <c r="CZ177" i="20" s="1"/>
  <c r="CS225" i="20"/>
  <c r="CJ196" i="20"/>
  <c r="FB207" i="20"/>
  <c r="FC207" i="20" s="1"/>
  <c r="FD207" i="20" s="1"/>
  <c r="EL229" i="20"/>
  <c r="BP351" i="20"/>
  <c r="BR351" i="20" s="1"/>
  <c r="FO277" i="20"/>
  <c r="DC277" i="20"/>
  <c r="BG448" i="20"/>
  <c r="BH448" i="20" s="1"/>
  <c r="BK334" i="20"/>
  <c r="CV334" i="20" s="1"/>
  <c r="EP210" i="20"/>
  <c r="EO210" i="20"/>
  <c r="DV481" i="20"/>
  <c r="EZ481" i="20"/>
  <c r="FA481" i="20"/>
  <c r="BP230" i="20"/>
  <c r="BP260" i="20"/>
  <c r="BH399" i="20"/>
  <c r="BP399" i="20"/>
  <c r="EL405" i="20"/>
  <c r="CZ405" i="20" s="1"/>
  <c r="BP244" i="20"/>
  <c r="BH244" i="20"/>
  <c r="BQ188" i="20"/>
  <c r="EB188" i="20"/>
  <c r="BQ478" i="20"/>
  <c r="BR478" i="20" s="1"/>
  <c r="EB478" i="20"/>
  <c r="EU484" i="20"/>
  <c r="EX484" i="20" s="1"/>
  <c r="EY484" i="20" s="1"/>
  <c r="FB484" i="20"/>
  <c r="FC484" i="20" s="1"/>
  <c r="FD484" i="20" s="1"/>
  <c r="DX29" i="20"/>
  <c r="DW29" i="20"/>
  <c r="BH447" i="20"/>
  <c r="BP447" i="20"/>
  <c r="BR447" i="20" s="1"/>
  <c r="BH442" i="20"/>
  <c r="BP442" i="20"/>
  <c r="BR442" i="20" s="1"/>
  <c r="BH200" i="20"/>
  <c r="BR189" i="20"/>
  <c r="FA498" i="20"/>
  <c r="BP295" i="20"/>
  <c r="FP339" i="20"/>
  <c r="DD339" i="20"/>
  <c r="EU489" i="20"/>
  <c r="EX489" i="20" s="1"/>
  <c r="EY489" i="20" s="1"/>
  <c r="CS42" i="20"/>
  <c r="EL217" i="20"/>
  <c r="CZ217" i="20" s="1"/>
  <c r="BH381" i="20"/>
  <c r="BH441" i="20"/>
  <c r="BP441" i="20"/>
  <c r="FB360" i="20"/>
  <c r="FC360" i="20" s="1"/>
  <c r="FD360" i="20" s="1"/>
  <c r="BG185" i="20"/>
  <c r="BH185" i="20" s="1"/>
  <c r="BH199" i="20"/>
  <c r="BK54" i="20"/>
  <c r="CV54" i="20" s="1"/>
  <c r="EP87" i="20"/>
  <c r="EO87" i="20"/>
  <c r="BM96" i="20"/>
  <c r="BN96" i="20" s="1"/>
  <c r="CW96" i="20" s="1"/>
  <c r="BH96" i="20"/>
  <c r="BK146" i="20"/>
  <c r="CV146" i="20" s="1"/>
  <c r="BQ202" i="20"/>
  <c r="EB202" i="20"/>
  <c r="FQ435" i="20"/>
  <c r="DF435" i="20"/>
  <c r="EL197" i="20"/>
  <c r="CZ197" i="20" s="1"/>
  <c r="DC304" i="20"/>
  <c r="FO304" i="20"/>
  <c r="BG350" i="20"/>
  <c r="BP350" i="20" s="1"/>
  <c r="DF268" i="20"/>
  <c r="FQ268" i="20"/>
  <c r="BG253" i="20"/>
  <c r="BP253" i="20" s="1"/>
  <c r="FB373" i="20"/>
  <c r="FC373" i="20" s="1"/>
  <c r="FD373" i="20" s="1"/>
  <c r="BK379" i="20"/>
  <c r="CV379" i="20" s="1"/>
  <c r="FB265" i="20"/>
  <c r="FC265" i="20" s="1"/>
  <c r="FD265" i="20" s="1"/>
  <c r="FB242" i="20"/>
  <c r="FC242" i="20" s="1"/>
  <c r="FD242" i="20" s="1"/>
  <c r="EO334" i="20"/>
  <c r="EP334" i="20"/>
  <c r="BQ385" i="20"/>
  <c r="EB385" i="20"/>
  <c r="EO195" i="20"/>
  <c r="FQ69" i="20"/>
  <c r="DF69" i="20"/>
  <c r="FP56" i="20"/>
  <c r="DD56" i="20"/>
  <c r="FB48" i="20"/>
  <c r="FC48" i="20" s="1"/>
  <c r="FD48" i="20" s="1"/>
  <c r="EP58" i="20"/>
  <c r="EO58" i="20"/>
  <c r="FB105" i="20"/>
  <c r="FC105" i="20" s="1"/>
  <c r="FD105" i="20" s="1"/>
  <c r="EU105" i="20"/>
  <c r="EX105" i="20" s="1"/>
  <c r="EY105" i="20" s="1"/>
  <c r="AX111" i="20"/>
  <c r="DC431" i="20"/>
  <c r="FO431" i="20"/>
  <c r="BQ217" i="20"/>
  <c r="EB217" i="20"/>
  <c r="DI433" i="20"/>
  <c r="FO433" i="20"/>
  <c r="DI350" i="20"/>
  <c r="FO350" i="20"/>
  <c r="DI276" i="20"/>
  <c r="FO276" i="20"/>
  <c r="FB40" i="20"/>
  <c r="FC40" i="20" s="1"/>
  <c r="FD40" i="20" s="1"/>
  <c r="CU103" i="20"/>
  <c r="FT165" i="20"/>
  <c r="DH165" i="20"/>
  <c r="DD165" i="20"/>
  <c r="FP165" i="20"/>
  <c r="DC230" i="20"/>
  <c r="FO230" i="20"/>
  <c r="BK315" i="20"/>
  <c r="CV315" i="20" s="1"/>
  <c r="BQ419" i="20"/>
  <c r="EB419" i="20"/>
  <c r="CJ293" i="20"/>
  <c r="CQ293" i="20" s="1"/>
  <c r="CS293" i="20" s="1"/>
  <c r="CX293" i="20" s="1"/>
  <c r="FH34" i="20"/>
  <c r="BM99" i="20"/>
  <c r="BN99" i="20" s="1"/>
  <c r="CW99" i="20" s="1"/>
  <c r="BG99" i="20"/>
  <c r="BH99" i="20" s="1"/>
  <c r="FH138" i="20"/>
  <c r="DI147" i="20"/>
  <c r="FO147" i="20"/>
  <c r="FB455" i="20"/>
  <c r="FC455" i="20" s="1"/>
  <c r="FD455" i="20" s="1"/>
  <c r="CS309" i="20"/>
  <c r="CX309" i="20" s="1"/>
  <c r="FB229" i="20"/>
  <c r="FC229" i="20" s="1"/>
  <c r="FD229" i="20" s="1"/>
  <c r="BQ278" i="20"/>
  <c r="EB278" i="20"/>
  <c r="FQ353" i="20"/>
  <c r="DF353" i="20"/>
  <c r="BQ352" i="20"/>
  <c r="BR352" i="20" s="1"/>
  <c r="EB352" i="20"/>
  <c r="FO437" i="20"/>
  <c r="DC437" i="20"/>
  <c r="DL414" i="20"/>
  <c r="FQ414" i="20"/>
  <c r="EO284" i="20"/>
  <c r="EP284" i="20"/>
  <c r="DC336" i="20"/>
  <c r="FO336" i="20"/>
  <c r="CJ184" i="20"/>
  <c r="CQ184" i="20" s="1"/>
  <c r="CS184" i="20" s="1"/>
  <c r="CX184" i="20" s="1"/>
  <c r="FG80" i="20"/>
  <c r="FH80" i="20" s="1"/>
  <c r="FG35" i="20"/>
  <c r="FH35" i="20" s="1"/>
  <c r="DC128" i="20"/>
  <c r="FO128" i="20"/>
  <c r="FP85" i="20"/>
  <c r="DD85" i="20"/>
  <c r="DI227" i="20"/>
  <c r="FO227" i="20"/>
  <c r="EB436" i="20"/>
  <c r="BQ436" i="20"/>
  <c r="DU301" i="20"/>
  <c r="BK179" i="20"/>
  <c r="CV179" i="20" s="1"/>
  <c r="BG366" i="20"/>
  <c r="BP366" i="20" s="1"/>
  <c r="BR366" i="20" s="1"/>
  <c r="DF307" i="20"/>
  <c r="FQ307" i="20"/>
  <c r="BG306" i="20"/>
  <c r="BP306" i="20" s="1"/>
  <c r="FB371" i="20"/>
  <c r="FC371" i="20" s="1"/>
  <c r="FD371" i="20" s="1"/>
  <c r="EO358" i="20"/>
  <c r="EP358" i="20"/>
  <c r="DU386" i="20"/>
  <c r="DU59" i="20"/>
  <c r="DX51" i="20"/>
  <c r="DW51" i="20"/>
  <c r="BU54" i="20"/>
  <c r="BT54" i="20"/>
  <c r="BV54" i="20" s="1"/>
  <c r="EB99" i="20"/>
  <c r="AB112" i="20"/>
  <c r="CI112" i="20"/>
  <c r="BS112" i="20"/>
  <c r="CH112" i="20"/>
  <c r="BZ112" i="20"/>
  <c r="EH112" i="20" s="1"/>
  <c r="EJ112" i="20" s="1"/>
  <c r="BM112" i="20"/>
  <c r="BN112" i="20" s="1"/>
  <c r="GG112" i="20"/>
  <c r="GI112" i="20" s="1"/>
  <c r="FB160" i="20"/>
  <c r="FC160" i="20" s="1"/>
  <c r="FD160" i="20" s="1"/>
  <c r="EU160" i="20"/>
  <c r="EX160" i="20" s="1"/>
  <c r="EY160" i="20" s="1"/>
  <c r="DC435" i="20"/>
  <c r="FO435" i="20"/>
  <c r="BR382" i="20"/>
  <c r="EL324" i="20"/>
  <c r="CZ324" i="20" s="1"/>
  <c r="DL251" i="20"/>
  <c r="FQ251" i="20"/>
  <c r="EP253" i="20"/>
  <c r="EO253" i="20"/>
  <c r="FO348" i="20"/>
  <c r="DI348" i="20"/>
  <c r="EO357" i="20"/>
  <c r="DW42" i="20"/>
  <c r="DX42" i="20"/>
  <c r="FB89" i="20"/>
  <c r="FC89" i="20" s="1"/>
  <c r="FD89" i="20" s="1"/>
  <c r="BW114" i="20"/>
  <c r="BX114" i="20" s="1"/>
  <c r="EQ114" i="20" s="1"/>
  <c r="EP114" i="20" s="1"/>
  <c r="EG449" i="20"/>
  <c r="EP449" i="20" s="1"/>
  <c r="CH449" i="20"/>
  <c r="CJ449" i="20" s="1"/>
  <c r="BK217" i="20"/>
  <c r="CV217" i="20" s="1"/>
  <c r="CJ230" i="20"/>
  <c r="CQ230" i="20" s="1"/>
  <c r="CS230" i="20" s="1"/>
  <c r="CX230" i="20" s="1"/>
  <c r="BG341" i="20"/>
  <c r="BH341" i="20" s="1"/>
  <c r="CJ266" i="20"/>
  <c r="CQ266" i="20" s="1"/>
  <c r="CS266" i="20" s="1"/>
  <c r="CX266" i="20" s="1"/>
  <c r="DL260" i="20"/>
  <c r="FQ260" i="20"/>
  <c r="EP282" i="20"/>
  <c r="EO282" i="20"/>
  <c r="FO295" i="20"/>
  <c r="DI295" i="20"/>
  <c r="BK407" i="20"/>
  <c r="CV407" i="20" s="1"/>
  <c r="DC399" i="20"/>
  <c r="FO399" i="20"/>
  <c r="DL439" i="20"/>
  <c r="FQ439" i="20"/>
  <c r="FG21" i="20"/>
  <c r="FH21" i="20" s="1"/>
  <c r="DF60" i="20"/>
  <c r="FQ60" i="20"/>
  <c r="EB76" i="20"/>
  <c r="BK87" i="20"/>
  <c r="CV87" i="20" s="1"/>
  <c r="FG95" i="20"/>
  <c r="FH95" i="20" s="1"/>
  <c r="EP429" i="20"/>
  <c r="BR314" i="20"/>
  <c r="EP376" i="20"/>
  <c r="EO376" i="20"/>
  <c r="BQ333" i="20"/>
  <c r="EB333" i="20"/>
  <c r="EO348" i="20"/>
  <c r="EP348" i="20"/>
  <c r="DK294" i="20"/>
  <c r="FR294" i="20"/>
  <c r="EP295" i="20"/>
  <c r="EO295" i="20"/>
  <c r="CJ363" i="20"/>
  <c r="CQ363" i="20" s="1"/>
  <c r="CS363" i="20" s="1"/>
  <c r="CX363" i="20" s="1"/>
  <c r="BK365" i="20"/>
  <c r="CV365" i="20" s="1"/>
  <c r="EB446" i="20"/>
  <c r="BQ446" i="20"/>
  <c r="BH425" i="20"/>
  <c r="BP425" i="20"/>
  <c r="DU342" i="20"/>
  <c r="CS210" i="20"/>
  <c r="CX210" i="20" s="1"/>
  <c r="EL157" i="20"/>
  <c r="CZ157" i="20" s="1"/>
  <c r="EP404" i="20"/>
  <c r="EO404" i="20"/>
  <c r="FO426" i="20"/>
  <c r="DC426" i="20"/>
  <c r="EB487" i="20"/>
  <c r="BQ487" i="20"/>
  <c r="BR487" i="20" s="1"/>
  <c r="FB491" i="20"/>
  <c r="FC491" i="20" s="1"/>
  <c r="FD491" i="20" s="1"/>
  <c r="EL327" i="20"/>
  <c r="CZ327" i="20" s="1"/>
  <c r="BP365" i="20"/>
  <c r="BP410" i="20"/>
  <c r="BH410" i="20"/>
  <c r="FB185" i="20"/>
  <c r="FC185" i="20" s="1"/>
  <c r="FD185" i="20" s="1"/>
  <c r="DD423" i="20"/>
  <c r="FP423" i="20"/>
  <c r="EL489" i="20"/>
  <c r="BK186" i="20"/>
  <c r="CV186" i="20" s="1"/>
  <c r="CS35" i="20"/>
  <c r="DX39" i="20"/>
  <c r="DW39" i="20"/>
  <c r="FB340" i="20"/>
  <c r="FC340" i="20" s="1"/>
  <c r="FD340" i="20" s="1"/>
  <c r="FB188" i="20"/>
  <c r="FC188" i="20" s="1"/>
  <c r="FD188" i="20" s="1"/>
  <c r="EU478" i="20"/>
  <c r="EX478" i="20" s="1"/>
  <c r="EY478" i="20" s="1"/>
  <c r="FB478" i="20"/>
  <c r="FC478" i="20" s="1"/>
  <c r="FD478" i="20" s="1"/>
  <c r="EU490" i="20"/>
  <c r="EX490" i="20" s="1"/>
  <c r="EY490" i="20" s="1"/>
  <c r="CJ447" i="20"/>
  <c r="CQ447" i="20" s="1"/>
  <c r="CS447" i="20" s="1"/>
  <c r="CX447" i="20" s="1"/>
  <c r="EO243" i="20"/>
  <c r="EP243" i="20"/>
  <c r="EO207" i="20"/>
  <c r="EP207" i="20"/>
  <c r="BQ495" i="20"/>
  <c r="BR495" i="20" s="1"/>
  <c r="EB495" i="20"/>
  <c r="BQ281" i="20"/>
  <c r="EB281" i="20"/>
  <c r="CJ208" i="20"/>
  <c r="BQ474" i="20"/>
  <c r="BR474" i="20" s="1"/>
  <c r="EB474" i="20"/>
  <c r="EB489" i="20"/>
  <c r="BQ489" i="20"/>
  <c r="BR489" i="20" s="1"/>
  <c r="BW70" i="20"/>
  <c r="BX70" i="20" s="1"/>
  <c r="EQ70" i="20" s="1"/>
  <c r="EL289" i="20"/>
  <c r="CZ289" i="20" s="1"/>
  <c r="FB209" i="20"/>
  <c r="FC209" i="20" s="1"/>
  <c r="FD209" i="20" s="1"/>
  <c r="CJ185" i="20"/>
  <c r="CQ185" i="20" s="1"/>
  <c r="CS185" i="20" s="1"/>
  <c r="CX185" i="20" s="1"/>
  <c r="BK191" i="20"/>
  <c r="CV191" i="20" s="1"/>
  <c r="BH189" i="20"/>
  <c r="BK61" i="20"/>
  <c r="CV61" i="20" s="1"/>
  <c r="EO98" i="20"/>
  <c r="EP98" i="20"/>
  <c r="EP96" i="20"/>
  <c r="EO96" i="20"/>
  <c r="BK392" i="20"/>
  <c r="CV392" i="20" s="1"/>
  <c r="BQ190" i="20"/>
  <c r="EB190" i="20"/>
  <c r="BK236" i="20"/>
  <c r="DC315" i="20"/>
  <c r="FO315" i="20"/>
  <c r="FB337" i="20"/>
  <c r="FC337" i="20" s="1"/>
  <c r="FD337" i="20" s="1"/>
  <c r="DI375" i="20"/>
  <c r="FO375" i="20"/>
  <c r="BH420" i="20"/>
  <c r="BP420" i="20"/>
  <c r="BR420" i="20" s="1"/>
  <c r="DF397" i="20"/>
  <c r="FQ397" i="20"/>
  <c r="FB438" i="20"/>
  <c r="FC438" i="20" s="1"/>
  <c r="FD438" i="20" s="1"/>
  <c r="FB441" i="20"/>
  <c r="FC441" i="20" s="1"/>
  <c r="FD441" i="20" s="1"/>
  <c r="FB20" i="20"/>
  <c r="FC20" i="20" s="1"/>
  <c r="FD20" i="20" s="1"/>
  <c r="EU20" i="20"/>
  <c r="EX20" i="20" s="1"/>
  <c r="EY20" i="20" s="1"/>
  <c r="FB71" i="20"/>
  <c r="FC71" i="20" s="1"/>
  <c r="FD71" i="20" s="1"/>
  <c r="EP69" i="20"/>
  <c r="EO69" i="20"/>
  <c r="BK139" i="20"/>
  <c r="CV139" i="20" s="1"/>
  <c r="EP80" i="20"/>
  <c r="EO80" i="20"/>
  <c r="FQ88" i="20"/>
  <c r="DF88" i="20"/>
  <c r="BK122" i="20"/>
  <c r="CV122" i="20" s="1"/>
  <c r="FB431" i="20"/>
  <c r="FC431" i="20" s="1"/>
  <c r="FD431" i="20" s="1"/>
  <c r="FB349" i="20"/>
  <c r="FC349" i="20" s="1"/>
  <c r="FD349" i="20" s="1"/>
  <c r="DU190" i="20"/>
  <c r="EO273" i="20"/>
  <c r="EP273" i="20"/>
  <c r="EL419" i="20"/>
  <c r="CZ419" i="20" s="1"/>
  <c r="EL395" i="20"/>
  <c r="CZ395" i="20" s="1"/>
  <c r="BQ260" i="20"/>
  <c r="EB260" i="20"/>
  <c r="FQ361" i="20"/>
  <c r="DF361" i="20"/>
  <c r="EB242" i="20"/>
  <c r="BQ242" i="20"/>
  <c r="EB60" i="20"/>
  <c r="EO64" i="20"/>
  <c r="EP64" i="20"/>
  <c r="DA95" i="20"/>
  <c r="CU95" i="20"/>
  <c r="BK81" i="20"/>
  <c r="CV81" i="20" s="1"/>
  <c r="DU130" i="20"/>
  <c r="FO125" i="20"/>
  <c r="DC125" i="20"/>
  <c r="BK136" i="20"/>
  <c r="CV136" i="20" s="1"/>
  <c r="BK432" i="20"/>
  <c r="CV432" i="20" s="1"/>
  <c r="BK384" i="20"/>
  <c r="CV384" i="20" s="1"/>
  <c r="DI327" i="20"/>
  <c r="FO327" i="20"/>
  <c r="DU277" i="20"/>
  <c r="BK252" i="20"/>
  <c r="CV252" i="20" s="1"/>
  <c r="DF357" i="20"/>
  <c r="FQ357" i="20"/>
  <c r="BK80" i="20"/>
  <c r="CV80" i="20" s="1"/>
  <c r="EB62" i="20"/>
  <c r="EO99" i="20"/>
  <c r="DI372" i="20"/>
  <c r="FO372" i="20"/>
  <c r="BQ341" i="20"/>
  <c r="EB341" i="20"/>
  <c r="DI362" i="20"/>
  <c r="FO362" i="20"/>
  <c r="FB419" i="20"/>
  <c r="FC419" i="20" s="1"/>
  <c r="FD419" i="20" s="1"/>
  <c r="DL364" i="20"/>
  <c r="FQ364" i="20"/>
  <c r="EO414" i="20"/>
  <c r="EP414" i="20"/>
  <c r="EB290" i="20"/>
  <c r="BQ290" i="20"/>
  <c r="DU244" i="20"/>
  <c r="EP184" i="20"/>
  <c r="EO184" i="20"/>
  <c r="FG42" i="20"/>
  <c r="FH42" i="20" s="1"/>
  <c r="BK103" i="20"/>
  <c r="CV103" i="20" s="1"/>
  <c r="EP83" i="20"/>
  <c r="EO83" i="20"/>
  <c r="BU102" i="20"/>
  <c r="BT102" i="20"/>
  <c r="BV102" i="20" s="1"/>
  <c r="FO99" i="20"/>
  <c r="DC99" i="20"/>
  <c r="BK121" i="20"/>
  <c r="CV121" i="20" s="1"/>
  <c r="BK152" i="20"/>
  <c r="CV152" i="20" s="1"/>
  <c r="DI168" i="20"/>
  <c r="FO168" i="20"/>
  <c r="FB305" i="20"/>
  <c r="FC305" i="20" s="1"/>
  <c r="FD305" i="20" s="1"/>
  <c r="BG271" i="20"/>
  <c r="BP271" i="20" s="1"/>
  <c r="BR271" i="20" s="1"/>
  <c r="EL286" i="20"/>
  <c r="CZ286" i="20" s="1"/>
  <c r="BR369" i="20"/>
  <c r="BQ253" i="20"/>
  <c r="EB253" i="20"/>
  <c r="FO251" i="20"/>
  <c r="DI251" i="20"/>
  <c r="EO277" i="20"/>
  <c r="EO213" i="20"/>
  <c r="EP213" i="20"/>
  <c r="CJ360" i="20"/>
  <c r="CQ360" i="20" s="1"/>
  <c r="CS360" i="20" s="1"/>
  <c r="CX360" i="20" s="1"/>
  <c r="FB99" i="20"/>
  <c r="FC99" i="20" s="1"/>
  <c r="FD99" i="20" s="1"/>
  <c r="CU14" i="20"/>
  <c r="CU15" i="20" s="1"/>
  <c r="DZ160" i="20"/>
  <c r="BQ160" i="20"/>
  <c r="BR160" i="20" s="1"/>
  <c r="BK435" i="20"/>
  <c r="CV435" i="20" s="1"/>
  <c r="BP421" i="20"/>
  <c r="BR421" i="20" s="1"/>
  <c r="BH421" i="20"/>
  <c r="BK452" i="20"/>
  <c r="CV452" i="20" s="1"/>
  <c r="DI332" i="20"/>
  <c r="FO332" i="20"/>
  <c r="DC262" i="20"/>
  <c r="FO262" i="20"/>
  <c r="BK333" i="20"/>
  <c r="CV333" i="20" s="1"/>
  <c r="FB266" i="20"/>
  <c r="FC266" i="20" s="1"/>
  <c r="FD266" i="20" s="1"/>
  <c r="FB24" i="20"/>
  <c r="FC24" i="20" s="1"/>
  <c r="FD24" i="20" s="1"/>
  <c r="FB45" i="20"/>
  <c r="FC45" i="20" s="1"/>
  <c r="FD45" i="20" s="1"/>
  <c r="FG45" i="20"/>
  <c r="FH45" i="20" s="1"/>
  <c r="EB89" i="20"/>
  <c r="BM104" i="20"/>
  <c r="BN104" i="20" s="1"/>
  <c r="CW104" i="20" s="1"/>
  <c r="BG104" i="20"/>
  <c r="BH104" i="20" s="1"/>
  <c r="EB168" i="20"/>
  <c r="BQ168" i="20"/>
  <c r="BR168" i="20" s="1"/>
  <c r="FO454" i="20"/>
  <c r="DI454" i="20"/>
  <c r="FB224" i="20"/>
  <c r="FC224" i="20" s="1"/>
  <c r="FD224" i="20" s="1"/>
  <c r="FB190" i="20"/>
  <c r="FC190" i="20" s="1"/>
  <c r="FD190" i="20" s="1"/>
  <c r="FR181" i="20"/>
  <c r="DK181" i="20"/>
  <c r="FB325" i="20"/>
  <c r="FC325" i="20" s="1"/>
  <c r="FD325" i="20" s="1"/>
  <c r="FB321" i="20"/>
  <c r="FC321" i="20" s="1"/>
  <c r="FD321" i="20" s="1"/>
  <c r="DL375" i="20"/>
  <c r="FQ375" i="20"/>
  <c r="DL420" i="20"/>
  <c r="FQ420" i="20"/>
  <c r="BK245" i="20"/>
  <c r="CV245" i="20" s="1"/>
  <c r="BG194" i="20"/>
  <c r="BH194" i="20" s="1"/>
  <c r="CS26" i="20"/>
  <c r="BU62" i="20"/>
  <c r="BT62" i="20"/>
  <c r="BV62" i="20" s="1"/>
  <c r="DF71" i="20"/>
  <c r="FQ71" i="20"/>
  <c r="BK68" i="20"/>
  <c r="CV68" i="20" s="1"/>
  <c r="BK119" i="20"/>
  <c r="CV119" i="20" s="1"/>
  <c r="FR141" i="20"/>
  <c r="DK141" i="20"/>
  <c r="FB333" i="20"/>
  <c r="FC333" i="20" s="1"/>
  <c r="FD333" i="20" s="1"/>
  <c r="BG256" i="20"/>
  <c r="BH256" i="20" s="1"/>
  <c r="CJ348" i="20"/>
  <c r="CQ348" i="20" s="1"/>
  <c r="CS348" i="20" s="1"/>
  <c r="CX348" i="20" s="1"/>
  <c r="FB367" i="20"/>
  <c r="FC367" i="20" s="1"/>
  <c r="FD367" i="20" s="1"/>
  <c r="EP371" i="20"/>
  <c r="EO371" i="20"/>
  <c r="DF363" i="20"/>
  <c r="FQ363" i="20"/>
  <c r="BQ416" i="20"/>
  <c r="EB416" i="20"/>
  <c r="EO412" i="20"/>
  <c r="EP412" i="20"/>
  <c r="BP323" i="20"/>
  <c r="BR323" i="20" s="1"/>
  <c r="BH323" i="20"/>
  <c r="FO272" i="20"/>
  <c r="DI272" i="20"/>
  <c r="CS170" i="20"/>
  <c r="CX170" i="20" s="1"/>
  <c r="EL473" i="20"/>
  <c r="DV487" i="20"/>
  <c r="FA487" i="20"/>
  <c r="EZ487" i="20"/>
  <c r="EL269" i="20"/>
  <c r="CZ269" i="20" s="1"/>
  <c r="BG280" i="20"/>
  <c r="BP280" i="20" s="1"/>
  <c r="BR280" i="20" s="1"/>
  <c r="FB412" i="20"/>
  <c r="FC412" i="20" s="1"/>
  <c r="FD412" i="20" s="1"/>
  <c r="EO410" i="20"/>
  <c r="EP410" i="20"/>
  <c r="EB440" i="20"/>
  <c r="BQ440" i="20"/>
  <c r="DU231" i="20"/>
  <c r="BQ499" i="20"/>
  <c r="BR499" i="20" s="1"/>
  <c r="EB499" i="20"/>
  <c r="BW138" i="20"/>
  <c r="BX138" i="20" s="1"/>
  <c r="EQ138" i="20" s="1"/>
  <c r="EP138" i="20" s="1"/>
  <c r="DJ282" i="20"/>
  <c r="FP282" i="20"/>
  <c r="FO322" i="20"/>
  <c r="DI322" i="20"/>
  <c r="EP189" i="20"/>
  <c r="EO189" i="20"/>
  <c r="EL474" i="20"/>
  <c r="BK336" i="20"/>
  <c r="CV336" i="20" s="1"/>
  <c r="CJ244" i="20"/>
  <c r="CQ244" i="20" s="1"/>
  <c r="CS244" i="20" s="1"/>
  <c r="CX244" i="20" s="1"/>
  <c r="BQ477" i="20"/>
  <c r="BR477" i="20" s="1"/>
  <c r="EB477" i="20"/>
  <c r="EB490" i="20"/>
  <c r="BQ490" i="20"/>
  <c r="BR490" i="20" s="1"/>
  <c r="FQ447" i="20"/>
  <c r="DF447" i="20"/>
  <c r="BQ410" i="20"/>
  <c r="EB410" i="20"/>
  <c r="EL234" i="20"/>
  <c r="CZ234" i="20" s="1"/>
  <c r="DC199" i="20"/>
  <c r="FO199" i="20"/>
  <c r="FB211" i="20"/>
  <c r="FC211" i="20" s="1"/>
  <c r="FD211" i="20" s="1"/>
  <c r="EU495" i="20"/>
  <c r="EX495" i="20" s="1"/>
  <c r="EY495" i="20" s="1"/>
  <c r="FB495" i="20"/>
  <c r="FC495" i="20" s="1"/>
  <c r="FD495" i="20" s="1"/>
  <c r="EB491" i="20"/>
  <c r="BQ491" i="20"/>
  <c r="BR491" i="20" s="1"/>
  <c r="EL499" i="20"/>
  <c r="EZ498" i="20"/>
  <c r="BH401" i="20"/>
  <c r="BP401" i="20"/>
  <c r="FB281" i="20"/>
  <c r="FC281" i="20" s="1"/>
  <c r="FD281" i="20" s="1"/>
  <c r="EU474" i="20"/>
  <c r="EX474" i="20" s="1"/>
  <c r="EY474" i="20" s="1"/>
  <c r="FB474" i="20"/>
  <c r="FC474" i="20" s="1"/>
  <c r="FD474" i="20" s="1"/>
  <c r="FB493" i="20"/>
  <c r="FC493" i="20" s="1"/>
  <c r="FD493" i="20" s="1"/>
  <c r="EU493" i="20"/>
  <c r="EX493" i="20" s="1"/>
  <c r="EY493" i="20" s="1"/>
  <c r="BQ501" i="20"/>
  <c r="BR501" i="20" s="1"/>
  <c r="EB501" i="20"/>
  <c r="EO441" i="20"/>
  <c r="EP441" i="20"/>
  <c r="EB284" i="20"/>
  <c r="BQ284" i="20"/>
  <c r="BR284" i="20" s="1"/>
  <c r="EP185" i="20"/>
  <c r="EO185" i="20"/>
  <c r="BK488" i="20"/>
  <c r="EC488" i="20"/>
  <c r="EU488" i="20" s="1"/>
  <c r="EX488" i="20" s="1"/>
  <c r="EY488" i="20" s="1"/>
  <c r="CR104" i="5"/>
  <c r="FC104" i="5"/>
  <c r="DG386" i="5"/>
  <c r="FB326" i="5"/>
  <c r="CP326" i="5"/>
  <c r="FC346" i="5"/>
  <c r="CX346" i="5"/>
  <c r="AW379" i="5"/>
  <c r="CH379" i="5" s="1"/>
  <c r="FC314" i="5"/>
  <c r="CX314" i="5"/>
  <c r="CX435" i="5"/>
  <c r="FC435" i="5"/>
  <c r="CR427" i="5"/>
  <c r="FC427" i="5"/>
  <c r="DG417" i="5"/>
  <c r="DG398" i="5"/>
  <c r="CX273" i="5"/>
  <c r="FC273" i="5"/>
  <c r="CR343" i="5"/>
  <c r="FC343" i="5"/>
  <c r="DG320" i="5"/>
  <c r="DG403" i="5"/>
  <c r="CR311" i="5"/>
  <c r="FC311" i="5"/>
  <c r="DG439" i="5"/>
  <c r="AW441" i="5"/>
  <c r="CH441" i="5" s="1"/>
  <c r="DG372" i="5"/>
  <c r="AW384" i="5"/>
  <c r="CH384" i="5" s="1"/>
  <c r="FC430" i="5"/>
  <c r="CR430" i="5"/>
  <c r="DG276" i="5"/>
  <c r="AW348" i="5"/>
  <c r="CH348" i="5" s="1"/>
  <c r="CR352" i="5"/>
  <c r="FC352" i="5"/>
  <c r="FC434" i="5"/>
  <c r="CR434" i="5"/>
  <c r="CX268" i="5"/>
  <c r="FC268" i="5"/>
  <c r="FC100" i="5"/>
  <c r="CR100" i="5"/>
  <c r="CR395" i="5"/>
  <c r="FC395" i="5"/>
  <c r="DG324" i="5"/>
  <c r="AW152" i="5"/>
  <c r="CH152" i="5" s="1"/>
  <c r="CR340" i="5"/>
  <c r="FC340" i="5"/>
  <c r="AW446" i="5"/>
  <c r="CH446" i="5" s="1"/>
  <c r="AW358" i="5"/>
  <c r="CH358" i="5" s="1"/>
  <c r="CX321" i="5"/>
  <c r="FC321" i="5"/>
  <c r="DG399" i="5"/>
  <c r="DG259" i="5"/>
  <c r="CR347" i="5"/>
  <c r="FC347" i="5"/>
  <c r="FC315" i="5"/>
  <c r="CR315" i="5"/>
  <c r="DG307" i="5"/>
  <c r="AW359" i="5"/>
  <c r="CH359" i="5" s="1"/>
  <c r="CO95" i="5"/>
  <c r="FA95" i="5"/>
  <c r="CR432" i="5"/>
  <c r="FC432" i="5"/>
  <c r="CX260" i="5"/>
  <c r="FC260" i="5"/>
  <c r="FC258" i="5"/>
  <c r="CR258" i="5"/>
  <c r="DG357" i="5"/>
  <c r="DG375" i="5"/>
  <c r="AW294" i="5"/>
  <c r="CH294" i="5" s="1"/>
  <c r="DG316" i="5"/>
  <c r="DG431" i="5"/>
  <c r="AW253" i="5"/>
  <c r="CH253" i="5" s="1"/>
  <c r="DG379" i="5"/>
  <c r="FC293" i="5"/>
  <c r="CR293" i="5"/>
  <c r="FC263" i="5"/>
  <c r="CX263" i="5"/>
  <c r="DG426" i="5"/>
  <c r="FC372" i="5"/>
  <c r="CR372" i="5"/>
  <c r="AW150" i="5"/>
  <c r="CH150" i="5" s="1"/>
  <c r="FB252" i="5"/>
  <c r="CP252" i="5"/>
  <c r="DG434" i="5"/>
  <c r="FC255" i="5"/>
  <c r="CX255" i="5"/>
  <c r="CR312" i="5"/>
  <c r="FC312" i="5"/>
  <c r="DG388" i="5"/>
  <c r="AW301" i="5"/>
  <c r="CH301" i="5" s="1"/>
  <c r="CX269" i="5"/>
  <c r="FC269" i="5"/>
  <c r="FC332" i="5"/>
  <c r="CR332" i="5"/>
  <c r="AW262" i="5"/>
  <c r="CH262" i="5" s="1"/>
  <c r="AW350" i="5"/>
  <c r="CH350" i="5" s="1"/>
  <c r="DG153" i="5"/>
  <c r="FC397" i="5"/>
  <c r="CR397" i="5"/>
  <c r="CX382" i="5"/>
  <c r="FC382" i="5"/>
  <c r="FC271" i="5"/>
  <c r="CX271" i="5"/>
  <c r="DG347" i="5"/>
  <c r="DG314" i="5"/>
  <c r="AW322" i="5"/>
  <c r="CH322" i="5" s="1"/>
  <c r="EL22" i="5"/>
  <c r="EM22" i="5"/>
  <c r="AW362" i="5"/>
  <c r="CH362" i="5" s="1"/>
  <c r="DG356" i="5"/>
  <c r="DG400" i="5"/>
  <c r="FC262" i="5"/>
  <c r="CX262" i="5"/>
  <c r="FC349" i="5"/>
  <c r="CX349" i="5"/>
  <c r="CR354" i="5"/>
  <c r="FC354" i="5"/>
  <c r="EL20" i="5"/>
  <c r="EM20" i="5"/>
  <c r="FC401" i="5"/>
  <c r="CX401" i="5"/>
  <c r="CR103" i="5"/>
  <c r="FC103" i="5"/>
  <c r="DG392" i="5"/>
  <c r="DH481" i="5"/>
  <c r="EL481" i="5"/>
  <c r="EM481" i="5"/>
  <c r="AW367" i="5"/>
  <c r="CH367" i="5" s="1"/>
  <c r="CR344" i="5"/>
  <c r="FC344" i="5"/>
  <c r="DG348" i="5"/>
  <c r="DG255" i="5"/>
  <c r="FC338" i="5"/>
  <c r="CX338" i="5"/>
  <c r="FC252" i="5"/>
  <c r="CR252" i="5"/>
  <c r="DG418" i="5"/>
  <c r="DG387" i="5"/>
  <c r="CX318" i="5"/>
  <c r="FC318" i="5"/>
  <c r="DG378" i="5"/>
  <c r="AW300" i="5"/>
  <c r="CH300" i="5" s="1"/>
  <c r="DG275" i="5"/>
  <c r="AW254" i="5"/>
  <c r="CH254" i="5" s="1"/>
  <c r="DH478" i="5"/>
  <c r="EL478" i="5"/>
  <c r="EQ478" i="5" s="1"/>
  <c r="EM478" i="5"/>
  <c r="AW363" i="5"/>
  <c r="CH363" i="5" s="1"/>
  <c r="CR366" i="5"/>
  <c r="FC366" i="5"/>
  <c r="FC356" i="5"/>
  <c r="CR356" i="5"/>
  <c r="AW288" i="5"/>
  <c r="CH288" i="5" s="1"/>
  <c r="DG100" i="5"/>
  <c r="FC253" i="5"/>
  <c r="CR253" i="5"/>
  <c r="EL21" i="5"/>
  <c r="EM21" i="5"/>
  <c r="CX313" i="5"/>
  <c r="FC313" i="5"/>
  <c r="AW423" i="5"/>
  <c r="CH423" i="5" s="1"/>
  <c r="FC412" i="5"/>
  <c r="CR412" i="5"/>
  <c r="FC275" i="5"/>
  <c r="CX275" i="5"/>
  <c r="FA101" i="5"/>
  <c r="CO101" i="5"/>
  <c r="CR374" i="5"/>
  <c r="FC374" i="5"/>
  <c r="AW420" i="5"/>
  <c r="CH420" i="5" s="1"/>
  <c r="FC270" i="5"/>
  <c r="CR270" i="5"/>
  <c r="DG346" i="5"/>
  <c r="FB297" i="5"/>
  <c r="CV297" i="5"/>
  <c r="CX394" i="5"/>
  <c r="FC394" i="5"/>
  <c r="DG277" i="5"/>
  <c r="FC400" i="5"/>
  <c r="CR400" i="5"/>
  <c r="FC393" i="5"/>
  <c r="CX393" i="5"/>
  <c r="FC333" i="5"/>
  <c r="CR333" i="5"/>
  <c r="FA104" i="5"/>
  <c r="CO104" i="5"/>
  <c r="CX334" i="5"/>
  <c r="FC334" i="5"/>
  <c r="CR339" i="5"/>
  <c r="FC339" i="5"/>
  <c r="DG313" i="5"/>
  <c r="CR330" i="5"/>
  <c r="FC330" i="5"/>
  <c r="CR403" i="5"/>
  <c r="FC403" i="5"/>
  <c r="FC331" i="5"/>
  <c r="CX331" i="5"/>
  <c r="CX402" i="5"/>
  <c r="FC402" i="5"/>
  <c r="FC345" i="5"/>
  <c r="CX345" i="5"/>
  <c r="DG321" i="5"/>
  <c r="AW331" i="5"/>
  <c r="CH331" i="5" s="1"/>
  <c r="FC307" i="5"/>
  <c r="CR307" i="5"/>
  <c r="CR289" i="5"/>
  <c r="FC289" i="5"/>
  <c r="CX452" i="5"/>
  <c r="FC452" i="5"/>
  <c r="CR276" i="5"/>
  <c r="FC276" i="5"/>
  <c r="CX410" i="5"/>
  <c r="FC410" i="5"/>
  <c r="CR353" i="5"/>
  <c r="FC353" i="5"/>
  <c r="FC283" i="5"/>
  <c r="CR283" i="5"/>
  <c r="FC324" i="5"/>
  <c r="CR324" i="5"/>
  <c r="CR436" i="5"/>
  <c r="FC436" i="5"/>
  <c r="CO103" i="5"/>
  <c r="FA103" i="5"/>
  <c r="CO100" i="5"/>
  <c r="FA100" i="5"/>
  <c r="FC355" i="5"/>
  <c r="CR355" i="5"/>
  <c r="FC396" i="5"/>
  <c r="CR396" i="5"/>
  <c r="CR101" i="5"/>
  <c r="FC101" i="5"/>
  <c r="CR414" i="5"/>
  <c r="FC414" i="5"/>
  <c r="DG416" i="5"/>
  <c r="AW275" i="5"/>
  <c r="CH275" i="5" s="1"/>
  <c r="FC433" i="5"/>
  <c r="CX433" i="5"/>
  <c r="AW148" i="5"/>
  <c r="CH148" i="5" s="1"/>
  <c r="FC259" i="5"/>
  <c r="CR259" i="5"/>
  <c r="FC420" i="5"/>
  <c r="CR420" i="5"/>
  <c r="DG315" i="5"/>
  <c r="CR411" i="5"/>
  <c r="FC411" i="5"/>
  <c r="DG270" i="5"/>
  <c r="CQ354" i="5"/>
  <c r="FD354" i="5"/>
  <c r="FD413" i="5"/>
  <c r="CW413" i="5"/>
  <c r="EB287" i="5"/>
  <c r="EA287" i="5"/>
  <c r="FA319" i="5"/>
  <c r="CU319" i="5"/>
  <c r="FA387" i="5"/>
  <c r="CU387" i="5"/>
  <c r="CX448" i="5"/>
  <c r="FC448" i="5"/>
  <c r="DG340" i="5"/>
  <c r="EN33" i="5"/>
  <c r="EO33" i="5" s="1"/>
  <c r="EP33" i="5" s="1"/>
  <c r="CW148" i="5"/>
  <c r="FD148" i="5"/>
  <c r="CE27" i="5"/>
  <c r="EA386" i="5"/>
  <c r="EA356" i="5"/>
  <c r="DI27" i="5"/>
  <c r="DJ27" i="5"/>
  <c r="FC364" i="5"/>
  <c r="CR364" i="5"/>
  <c r="CC381" i="5"/>
  <c r="CE381" i="5" s="1"/>
  <c r="CJ381" i="5" s="1"/>
  <c r="CO332" i="5"/>
  <c r="FA332" i="5"/>
  <c r="CE312" i="5"/>
  <c r="CJ312" i="5" s="1"/>
  <c r="EB449" i="5"/>
  <c r="EA449" i="5"/>
  <c r="EN305" i="5"/>
  <c r="EO305" i="5" s="1"/>
  <c r="EP305" i="5" s="1"/>
  <c r="FA315" i="5"/>
  <c r="CO315" i="5"/>
  <c r="AV59" i="5"/>
  <c r="AV111" i="5"/>
  <c r="AV61" i="5"/>
  <c r="EB377" i="5"/>
  <c r="ET38" i="5"/>
  <c r="EI38" i="5" s="1"/>
  <c r="AW311" i="5"/>
  <c r="CH311" i="5" s="1"/>
  <c r="DI32" i="5"/>
  <c r="DJ32" i="5"/>
  <c r="AW412" i="5"/>
  <c r="CH412" i="5" s="1"/>
  <c r="FA410" i="5"/>
  <c r="CU410" i="5"/>
  <c r="EB355" i="5"/>
  <c r="EA355" i="5"/>
  <c r="CE328" i="5"/>
  <c r="CJ328" i="5" s="1"/>
  <c r="BF97" i="5"/>
  <c r="BH97" i="5" s="1"/>
  <c r="BG97" i="5"/>
  <c r="CE269" i="5"/>
  <c r="CJ269" i="5" s="1"/>
  <c r="CR294" i="5"/>
  <c r="FC294" i="5"/>
  <c r="FC316" i="5"/>
  <c r="CR316" i="5"/>
  <c r="CC399" i="5"/>
  <c r="CE399" i="5" s="1"/>
  <c r="CJ399" i="5" s="1"/>
  <c r="FD396" i="5"/>
  <c r="CQ396" i="5"/>
  <c r="CC300" i="5"/>
  <c r="CE300" i="5" s="1"/>
  <c r="CJ300" i="5" s="1"/>
  <c r="CC398" i="5"/>
  <c r="CE398" i="5" s="1"/>
  <c r="CJ398" i="5" s="1"/>
  <c r="EN322" i="5"/>
  <c r="EO322" i="5" s="1"/>
  <c r="EP322" i="5" s="1"/>
  <c r="EN427" i="5"/>
  <c r="EO427" i="5" s="1"/>
  <c r="EP427" i="5" s="1"/>
  <c r="ES33" i="5"/>
  <c r="ET33" i="5" s="1"/>
  <c r="DG252" i="5"/>
  <c r="ET151" i="5"/>
  <c r="DG98" i="5"/>
  <c r="EN24" i="5"/>
  <c r="DG402" i="5"/>
  <c r="DI33" i="5"/>
  <c r="DJ33" i="5"/>
  <c r="BF99" i="5"/>
  <c r="BH99" i="5" s="1"/>
  <c r="BG99" i="5"/>
  <c r="BG102" i="5"/>
  <c r="BF102" i="5"/>
  <c r="BH102" i="5" s="1"/>
  <c r="EB291" i="5"/>
  <c r="EA291" i="5"/>
  <c r="EB343" i="5"/>
  <c r="EA343" i="5"/>
  <c r="EN310" i="5"/>
  <c r="EO310" i="5" s="1"/>
  <c r="EP310" i="5" s="1"/>
  <c r="EN426" i="5"/>
  <c r="EO426" i="5" s="1"/>
  <c r="EP426" i="5" s="1"/>
  <c r="CC320" i="5"/>
  <c r="CE320" i="5" s="1"/>
  <c r="CJ320" i="5" s="1"/>
  <c r="CE403" i="5"/>
  <c r="CJ403" i="5" s="1"/>
  <c r="FD306" i="5"/>
  <c r="CW306" i="5"/>
  <c r="FD393" i="5"/>
  <c r="CW393" i="5"/>
  <c r="CC255" i="5"/>
  <c r="CE255" i="5" s="1"/>
  <c r="CJ255" i="5" s="1"/>
  <c r="CC383" i="5"/>
  <c r="CE383" i="5" s="1"/>
  <c r="CJ383" i="5" s="1"/>
  <c r="EB451" i="5"/>
  <c r="EA451" i="5"/>
  <c r="EN277" i="5"/>
  <c r="EO277" i="5" s="1"/>
  <c r="EP277" i="5" s="1"/>
  <c r="EN308" i="5"/>
  <c r="EO308" i="5" s="1"/>
  <c r="EP308" i="5" s="1"/>
  <c r="AV56" i="5"/>
  <c r="DG410" i="5"/>
  <c r="ET152" i="5"/>
  <c r="DI37" i="5"/>
  <c r="DK37" i="5" s="1"/>
  <c r="DJ37" i="5"/>
  <c r="EA363" i="5"/>
  <c r="EB363" i="5"/>
  <c r="CE351" i="5"/>
  <c r="CJ351" i="5" s="1"/>
  <c r="CQ406" i="5"/>
  <c r="FD406" i="5"/>
  <c r="CE418" i="5"/>
  <c r="CJ418" i="5" s="1"/>
  <c r="BD405" i="5"/>
  <c r="EN312" i="5"/>
  <c r="EO312" i="5" s="1"/>
  <c r="EP312" i="5" s="1"/>
  <c r="BD323" i="5"/>
  <c r="AT450" i="5"/>
  <c r="AW305" i="5"/>
  <c r="CH305" i="5" s="1"/>
  <c r="EN372" i="5"/>
  <c r="EO372" i="5" s="1"/>
  <c r="EP372" i="5" s="1"/>
  <c r="AW397" i="5"/>
  <c r="CH397" i="5" s="1"/>
  <c r="EB341" i="5"/>
  <c r="FC428" i="5"/>
  <c r="CX428" i="5"/>
  <c r="BF95" i="5"/>
  <c r="BH95" i="5" s="1"/>
  <c r="BG95" i="5"/>
  <c r="EA334" i="5"/>
  <c r="EB334" i="5"/>
  <c r="BD473" i="5"/>
  <c r="FD358" i="5"/>
  <c r="CQ358" i="5"/>
  <c r="FA270" i="5"/>
  <c r="CO270" i="5"/>
  <c r="CE307" i="5"/>
  <c r="CJ307" i="5" s="1"/>
  <c r="FD270" i="5"/>
  <c r="CQ270" i="5"/>
  <c r="FD342" i="5"/>
  <c r="CW342" i="5"/>
  <c r="CC401" i="5"/>
  <c r="CE401" i="5" s="1"/>
  <c r="CJ401" i="5" s="1"/>
  <c r="FA265" i="5"/>
  <c r="CO265" i="5"/>
  <c r="CU284" i="5"/>
  <c r="FA284" i="5"/>
  <c r="EN299" i="5"/>
  <c r="EO299" i="5" s="1"/>
  <c r="EP299" i="5" s="1"/>
  <c r="ES44" i="5"/>
  <c r="ET44" i="5" s="1"/>
  <c r="AV117" i="5"/>
  <c r="AV64" i="5"/>
  <c r="AW484" i="5"/>
  <c r="DO484" i="5"/>
  <c r="EG484" i="5" s="1"/>
  <c r="EJ484" i="5" s="1"/>
  <c r="EK484" i="5" s="1"/>
  <c r="DH473" i="5"/>
  <c r="EL473" i="5"/>
  <c r="EM473" i="5"/>
  <c r="AW499" i="5"/>
  <c r="DO499" i="5"/>
  <c r="EG499" i="5" s="1"/>
  <c r="EJ499" i="5" s="1"/>
  <c r="EK499" i="5" s="1"/>
  <c r="ET46" i="5"/>
  <c r="AT264" i="5"/>
  <c r="EN29" i="5"/>
  <c r="EO29" i="5" s="1"/>
  <c r="EP29" i="5" s="1"/>
  <c r="EA409" i="5"/>
  <c r="CE319" i="5"/>
  <c r="CJ319" i="5" s="1"/>
  <c r="EB362" i="5"/>
  <c r="EA362" i="5"/>
  <c r="EN339" i="5"/>
  <c r="EO339" i="5" s="1"/>
  <c r="EP339" i="5" s="1"/>
  <c r="FD430" i="5"/>
  <c r="CQ430" i="5"/>
  <c r="CC349" i="5"/>
  <c r="CE349" i="5" s="1"/>
  <c r="CJ349" i="5" s="1"/>
  <c r="FD428" i="5"/>
  <c r="CW428" i="5"/>
  <c r="EN411" i="5"/>
  <c r="EO411" i="5" s="1"/>
  <c r="EP411" i="5" s="1"/>
  <c r="ES51" i="5"/>
  <c r="ET51" i="5" s="1"/>
  <c r="AV113" i="5"/>
  <c r="AV60" i="5"/>
  <c r="BB301" i="5"/>
  <c r="BB441" i="5"/>
  <c r="AT328" i="5"/>
  <c r="AT347" i="5"/>
  <c r="CX375" i="5"/>
  <c r="FC375" i="5"/>
  <c r="BB362" i="5"/>
  <c r="BB262" i="5"/>
  <c r="ER487" i="5"/>
  <c r="CV149" i="5"/>
  <c r="FB149" i="5"/>
  <c r="AT375" i="5"/>
  <c r="FR198" i="5"/>
  <c r="AY198" i="5"/>
  <c r="CE288" i="5"/>
  <c r="CJ288" i="5" s="1"/>
  <c r="EN369" i="5"/>
  <c r="EO369" i="5" s="1"/>
  <c r="EP369" i="5" s="1"/>
  <c r="CQ333" i="5"/>
  <c r="FD333" i="5"/>
  <c r="AR110" i="5"/>
  <c r="DD110" i="5"/>
  <c r="DD119" i="5"/>
  <c r="AR119" i="5"/>
  <c r="CG119" i="5" s="1"/>
  <c r="FR121" i="5"/>
  <c r="AY113" i="5"/>
  <c r="AZ113" i="5" s="1"/>
  <c r="CI113" i="5" s="1"/>
  <c r="FR113" i="5"/>
  <c r="FS109" i="5"/>
  <c r="BT118" i="5"/>
  <c r="BU118" i="5"/>
  <c r="BE118" i="5"/>
  <c r="FS118" i="5"/>
  <c r="BL118" i="5"/>
  <c r="DT118" i="5" s="1"/>
  <c r="DV118" i="5" s="1"/>
  <c r="DF116" i="5"/>
  <c r="DC116" i="5"/>
  <c r="DC108" i="5"/>
  <c r="DF108" i="5"/>
  <c r="J156" i="5"/>
  <c r="DS156" i="5" s="1"/>
  <c r="DC156" i="5"/>
  <c r="AR156" i="5"/>
  <c r="J160" i="5"/>
  <c r="DS160" i="5" s="1"/>
  <c r="AR160" i="5"/>
  <c r="DC160" i="5"/>
  <c r="AU157" i="5"/>
  <c r="AV157" i="5" s="1"/>
  <c r="AU165" i="5"/>
  <c r="AV165" i="5" s="1"/>
  <c r="BL161" i="5"/>
  <c r="DT161" i="5" s="1"/>
  <c r="DV161" i="5" s="1"/>
  <c r="FR161" i="5"/>
  <c r="FU161" i="5" s="1"/>
  <c r="BU161" i="5"/>
  <c r="AY161" i="5"/>
  <c r="AZ161" i="5" s="1"/>
  <c r="AN161" i="5"/>
  <c r="DO161" i="5" s="1"/>
  <c r="FR250" i="5"/>
  <c r="AY250" i="5"/>
  <c r="DY250" i="5"/>
  <c r="DY126" i="5"/>
  <c r="DF126" i="5"/>
  <c r="DC126" i="5"/>
  <c r="DC134" i="5"/>
  <c r="DY134" i="5"/>
  <c r="DF134" i="5"/>
  <c r="DC142" i="5"/>
  <c r="DY142" i="5"/>
  <c r="DF142" i="5"/>
  <c r="DN145" i="5"/>
  <c r="DN137" i="5"/>
  <c r="DN129" i="5"/>
  <c r="FR146" i="5"/>
  <c r="AY146" i="5"/>
  <c r="AZ146" i="5" s="1"/>
  <c r="CI146" i="5" s="1"/>
  <c r="BE146" i="5"/>
  <c r="BU146" i="5"/>
  <c r="BT146" i="5"/>
  <c r="BL146" i="5"/>
  <c r="DT146" i="5" s="1"/>
  <c r="DV146" i="5" s="1"/>
  <c r="AY138" i="5"/>
  <c r="AZ138" i="5" s="1"/>
  <c r="CI138" i="5" s="1"/>
  <c r="FR138" i="5"/>
  <c r="FU138" i="5" s="1"/>
  <c r="CM138" i="5" s="1"/>
  <c r="BU138" i="5"/>
  <c r="BL138" i="5"/>
  <c r="DT138" i="5" s="1"/>
  <c r="DV138" i="5" s="1"/>
  <c r="BT138" i="5"/>
  <c r="BE138" i="5"/>
  <c r="BF138" i="5" s="1"/>
  <c r="BH138" i="5" s="1"/>
  <c r="FR125" i="5"/>
  <c r="AY125" i="5"/>
  <c r="BL125" i="5"/>
  <c r="DT125" i="5" s="1"/>
  <c r="DV125" i="5" s="1"/>
  <c r="BT125" i="5"/>
  <c r="BV125" i="5" s="1"/>
  <c r="CC125" i="5" s="1"/>
  <c r="CE125" i="5" s="1"/>
  <c r="CJ125" i="5" s="1"/>
  <c r="BE125" i="5"/>
  <c r="BU125" i="5"/>
  <c r="BF146" i="5"/>
  <c r="BH146" i="5" s="1"/>
  <c r="BG146" i="5"/>
  <c r="DY211" i="5"/>
  <c r="DF211" i="5"/>
  <c r="DF201" i="5"/>
  <c r="DY201" i="5"/>
  <c r="DY215" i="5"/>
  <c r="DF215" i="5"/>
  <c r="FR207" i="5"/>
  <c r="AY207" i="5"/>
  <c r="AY197" i="5"/>
  <c r="FR197" i="5"/>
  <c r="AU212" i="5"/>
  <c r="AU204" i="5"/>
  <c r="AU196" i="5"/>
  <c r="FR188" i="5"/>
  <c r="AY188" i="5"/>
  <c r="AY177" i="5"/>
  <c r="FR177" i="5"/>
  <c r="FR178" i="5"/>
  <c r="AY178" i="5"/>
  <c r="DF170" i="5"/>
  <c r="DF178" i="5"/>
  <c r="DF186" i="5"/>
  <c r="DF194" i="5"/>
  <c r="AU192" i="5"/>
  <c r="AV192" i="5" s="1"/>
  <c r="AU184" i="5"/>
  <c r="AU176" i="5"/>
  <c r="FS170" i="5"/>
  <c r="BL170" i="5"/>
  <c r="DT170" i="5" s="1"/>
  <c r="DV170" i="5" s="1"/>
  <c r="EB170" i="5" s="1"/>
  <c r="BT170" i="5"/>
  <c r="BU170" i="5"/>
  <c r="FS182" i="5"/>
  <c r="BL182" i="5"/>
  <c r="DT182" i="5" s="1"/>
  <c r="DV182" i="5" s="1"/>
  <c r="BT182" i="5"/>
  <c r="BU182" i="5"/>
  <c r="BU189" i="5"/>
  <c r="FS189" i="5"/>
  <c r="BL189" i="5"/>
  <c r="DT189" i="5" s="1"/>
  <c r="DV189" i="5" s="1"/>
  <c r="BT189" i="5"/>
  <c r="AU226" i="5"/>
  <c r="AU224" i="5"/>
  <c r="AU233" i="5"/>
  <c r="AU241" i="5"/>
  <c r="BL247" i="5"/>
  <c r="DT247" i="5" s="1"/>
  <c r="DV247" i="5" s="1"/>
  <c r="FS247" i="5"/>
  <c r="FU247" i="5" s="1"/>
  <c r="CM247" i="5" s="1"/>
  <c r="BT247" i="5"/>
  <c r="BU247" i="5"/>
  <c r="BL239" i="5"/>
  <c r="DT239" i="5" s="1"/>
  <c r="DV239" i="5" s="1"/>
  <c r="FS239" i="5"/>
  <c r="BT239" i="5"/>
  <c r="BU239" i="5"/>
  <c r="BL231" i="5"/>
  <c r="DT231" i="5" s="1"/>
  <c r="DV231" i="5" s="1"/>
  <c r="FS231" i="5"/>
  <c r="FU231" i="5" s="1"/>
  <c r="CM231" i="5" s="1"/>
  <c r="BT231" i="5"/>
  <c r="BU231" i="5"/>
  <c r="BL222" i="5"/>
  <c r="DT222" i="5" s="1"/>
  <c r="DV222" i="5" s="1"/>
  <c r="BT222" i="5"/>
  <c r="BV222" i="5" s="1"/>
  <c r="CC222" i="5" s="1"/>
  <c r="BU222" i="5"/>
  <c r="FS222" i="5"/>
  <c r="DY219" i="5"/>
  <c r="DF219" i="5"/>
  <c r="DY227" i="5"/>
  <c r="DF227" i="5"/>
  <c r="DY235" i="5"/>
  <c r="DF235" i="5"/>
  <c r="DY243" i="5"/>
  <c r="DF243" i="5"/>
  <c r="DC59" i="5"/>
  <c r="DF59" i="5"/>
  <c r="DC67" i="5"/>
  <c r="DF67" i="5"/>
  <c r="DF75" i="5"/>
  <c r="DC75" i="5"/>
  <c r="DC83" i="5"/>
  <c r="DF83" i="5"/>
  <c r="DF91" i="5"/>
  <c r="DC91" i="5"/>
  <c r="AR90" i="5"/>
  <c r="CG90" i="5" s="1"/>
  <c r="DD90" i="5"/>
  <c r="ES90" i="5" s="1"/>
  <c r="AR82" i="5"/>
  <c r="CG82" i="5" s="1"/>
  <c r="DD82" i="5"/>
  <c r="AR74" i="5"/>
  <c r="CG74" i="5" s="1"/>
  <c r="DD74" i="5"/>
  <c r="AR66" i="5"/>
  <c r="CG66" i="5" s="1"/>
  <c r="DD66" i="5"/>
  <c r="AR58" i="5"/>
  <c r="CG58" i="5" s="1"/>
  <c r="DD58" i="5"/>
  <c r="ES58" i="5" s="1"/>
  <c r="S52" i="5"/>
  <c r="BC293" i="5"/>
  <c r="DN293" i="5"/>
  <c r="DN356" i="5"/>
  <c r="BC356" i="5"/>
  <c r="BD356" i="5" s="1"/>
  <c r="BC289" i="5"/>
  <c r="DN289" i="5"/>
  <c r="DN399" i="5"/>
  <c r="BC399" i="5"/>
  <c r="BC347" i="5"/>
  <c r="BD347" i="5" s="1"/>
  <c r="DN347" i="5"/>
  <c r="DN420" i="5"/>
  <c r="BC420" i="5"/>
  <c r="DN341" i="5"/>
  <c r="BC341" i="5"/>
  <c r="DN397" i="5"/>
  <c r="BC397" i="5"/>
  <c r="BD397" i="5" s="1"/>
  <c r="BC452" i="5"/>
  <c r="DN452" i="5"/>
  <c r="DN324" i="5"/>
  <c r="BC324" i="5"/>
  <c r="BD324" i="5" s="1"/>
  <c r="BC382" i="5"/>
  <c r="DN382" i="5"/>
  <c r="BC310" i="5"/>
  <c r="DN310" i="5"/>
  <c r="DN395" i="5"/>
  <c r="BC395" i="5"/>
  <c r="DN309" i="5"/>
  <c r="BC309" i="5"/>
  <c r="BC402" i="5"/>
  <c r="DN402" i="5"/>
  <c r="DN302" i="5"/>
  <c r="BC302" i="5"/>
  <c r="DN375" i="5"/>
  <c r="BC375" i="5"/>
  <c r="BD375" i="5" s="1"/>
  <c r="DN430" i="5"/>
  <c r="BC430" i="5"/>
  <c r="BC390" i="5"/>
  <c r="DN390" i="5"/>
  <c r="BB403" i="5"/>
  <c r="AT403" i="5"/>
  <c r="DN478" i="5"/>
  <c r="BC478" i="5"/>
  <c r="BD478" i="5" s="1"/>
  <c r="DN153" i="5"/>
  <c r="AS433" i="5"/>
  <c r="BB433" i="5" s="1"/>
  <c r="BD433" i="5" s="1"/>
  <c r="BB416" i="5"/>
  <c r="AT416" i="5"/>
  <c r="AS391" i="5"/>
  <c r="AT391" i="5" s="1"/>
  <c r="AS445" i="5"/>
  <c r="BB445" i="5" s="1"/>
  <c r="DG152" i="5"/>
  <c r="DI46" i="5"/>
  <c r="DJ46" i="5"/>
  <c r="EB288" i="5"/>
  <c r="EA288" i="5"/>
  <c r="FA97" i="5"/>
  <c r="CO97" i="5"/>
  <c r="EN324" i="5"/>
  <c r="EO324" i="5" s="1"/>
  <c r="EP324" i="5" s="1"/>
  <c r="CU369" i="5"/>
  <c r="FA369" i="5"/>
  <c r="BV419" i="5"/>
  <c r="CC419" i="5" s="1"/>
  <c r="CE419" i="5" s="1"/>
  <c r="CJ419" i="5" s="1"/>
  <c r="BV322" i="5"/>
  <c r="CC322" i="5" s="1"/>
  <c r="CE322" i="5" s="1"/>
  <c r="CJ322" i="5" s="1"/>
  <c r="BV380" i="5"/>
  <c r="CC380" i="5" s="1"/>
  <c r="CE380" i="5" s="1"/>
  <c r="CJ380" i="5" s="1"/>
  <c r="EB441" i="5"/>
  <c r="EA441" i="5"/>
  <c r="EN417" i="5"/>
  <c r="EO417" i="5" s="1"/>
  <c r="EP417" i="5" s="1"/>
  <c r="FA269" i="5"/>
  <c r="CU269" i="5"/>
  <c r="CO292" i="5"/>
  <c r="FA292" i="5"/>
  <c r="FA383" i="5"/>
  <c r="CU383" i="5"/>
  <c r="AV62" i="5"/>
  <c r="AV77" i="5"/>
  <c r="CE31" i="5"/>
  <c r="AW338" i="5"/>
  <c r="CH338" i="5" s="1"/>
  <c r="FA329" i="5"/>
  <c r="CU329" i="5"/>
  <c r="CX359" i="5"/>
  <c r="FC359" i="5"/>
  <c r="AW498" i="5"/>
  <c r="DO498" i="5"/>
  <c r="EG498" i="5" s="1"/>
  <c r="EJ498" i="5" s="1"/>
  <c r="EK498" i="5" s="1"/>
  <c r="DG150" i="5"/>
  <c r="BF100" i="5"/>
  <c r="BH100" i="5" s="1"/>
  <c r="BG100" i="5"/>
  <c r="EB333" i="5"/>
  <c r="EA333" i="5"/>
  <c r="EB264" i="5"/>
  <c r="EA264" i="5"/>
  <c r="EA326" i="5"/>
  <c r="EB326" i="5"/>
  <c r="BV446" i="5"/>
  <c r="CC446" i="5" s="1"/>
  <c r="CE446" i="5" s="1"/>
  <c r="CJ446" i="5" s="1"/>
  <c r="FA400" i="5"/>
  <c r="CO400" i="5"/>
  <c r="EB360" i="5"/>
  <c r="EA360" i="5"/>
  <c r="BV324" i="5"/>
  <c r="CC324" i="5" s="1"/>
  <c r="CE324" i="5" s="1"/>
  <c r="CJ324" i="5" s="1"/>
  <c r="DG413" i="5"/>
  <c r="BV404" i="5"/>
  <c r="CC404" i="5" s="1"/>
  <c r="CE404" i="5" s="1"/>
  <c r="CJ404" i="5" s="1"/>
  <c r="EN319" i="5"/>
  <c r="EO319" i="5" s="1"/>
  <c r="EP319" i="5" s="1"/>
  <c r="EN387" i="5"/>
  <c r="EO387" i="5" s="1"/>
  <c r="EP387" i="5" s="1"/>
  <c r="BJ31" i="5"/>
  <c r="EC31" i="5" s="1"/>
  <c r="BB363" i="5"/>
  <c r="AW276" i="5"/>
  <c r="CH276" i="5" s="1"/>
  <c r="FC417" i="5"/>
  <c r="CX417" i="5"/>
  <c r="CE38" i="5"/>
  <c r="CE48" i="5"/>
  <c r="DI50" i="5"/>
  <c r="DJ50" i="5"/>
  <c r="BF103" i="5"/>
  <c r="BH103" i="5" s="1"/>
  <c r="BG103" i="5"/>
  <c r="BV364" i="5"/>
  <c r="CC364" i="5" s="1"/>
  <c r="CE364" i="5" s="1"/>
  <c r="CJ364" i="5" s="1"/>
  <c r="BV253" i="5"/>
  <c r="CC253" i="5" s="1"/>
  <c r="CE253" i="5" s="1"/>
  <c r="CJ253" i="5" s="1"/>
  <c r="CO102" i="5"/>
  <c r="FA102" i="5"/>
  <c r="EA312" i="5"/>
  <c r="EB312" i="5"/>
  <c r="BV392" i="5"/>
  <c r="CC392" i="5" s="1"/>
  <c r="CE392" i="5" s="1"/>
  <c r="CJ392" i="5" s="1"/>
  <c r="EB296" i="5"/>
  <c r="EA296" i="5"/>
  <c r="BV388" i="5"/>
  <c r="CC388" i="5" s="1"/>
  <c r="CE388" i="5" s="1"/>
  <c r="CJ388" i="5" s="1"/>
  <c r="BD269" i="5"/>
  <c r="FA305" i="5"/>
  <c r="CU305" i="5"/>
  <c r="EN315" i="5"/>
  <c r="EO315" i="5" s="1"/>
  <c r="EP315" i="5" s="1"/>
  <c r="ET47" i="5"/>
  <c r="DI21" i="5"/>
  <c r="DJ21" i="5"/>
  <c r="FC267" i="5"/>
  <c r="CX267" i="5"/>
  <c r="DI40" i="5"/>
  <c r="DJ40" i="5"/>
  <c r="EA328" i="5"/>
  <c r="EB328" i="5"/>
  <c r="BV97" i="5"/>
  <c r="CC97" i="5" s="1"/>
  <c r="CE97" i="5" s="1"/>
  <c r="CJ97" i="5" s="1"/>
  <c r="EB269" i="5"/>
  <c r="EA269" i="5"/>
  <c r="DG385" i="5"/>
  <c r="BV316" i="5"/>
  <c r="CC316" i="5" s="1"/>
  <c r="CE316" i="5" s="1"/>
  <c r="CJ316" i="5" s="1"/>
  <c r="EB300" i="5"/>
  <c r="EA300" i="5"/>
  <c r="BD262" i="5"/>
  <c r="BD308" i="5"/>
  <c r="CU255" i="5"/>
  <c r="FA255" i="5"/>
  <c r="AV87" i="5"/>
  <c r="AV65" i="5"/>
  <c r="DX500" i="5"/>
  <c r="DG349" i="5"/>
  <c r="FC298" i="5"/>
  <c r="CX298" i="5"/>
  <c r="EO274" i="5"/>
  <c r="EP274" i="5" s="1"/>
  <c r="BJ33" i="5"/>
  <c r="EC33" i="5" s="1"/>
  <c r="EA422" i="5"/>
  <c r="FC278" i="5"/>
  <c r="CX278" i="5"/>
  <c r="CE151" i="5"/>
  <c r="CJ151" i="5" s="1"/>
  <c r="CE35" i="5"/>
  <c r="FC320" i="5"/>
  <c r="CX320" i="5"/>
  <c r="DG430" i="5"/>
  <c r="BF101" i="5"/>
  <c r="BH101" i="5" s="1"/>
  <c r="BG101" i="5"/>
  <c r="BV99" i="5"/>
  <c r="CC99" i="5" s="1"/>
  <c r="CE99" i="5" s="1"/>
  <c r="CJ99" i="5" s="1"/>
  <c r="CR102" i="5"/>
  <c r="FC102" i="5"/>
  <c r="BV308" i="5"/>
  <c r="CC308" i="5" s="1"/>
  <c r="CE308" i="5" s="1"/>
  <c r="CJ308" i="5" s="1"/>
  <c r="AS383" i="5"/>
  <c r="AT383" i="5" s="1"/>
  <c r="CU310" i="5"/>
  <c r="FA310" i="5"/>
  <c r="FA426" i="5"/>
  <c r="CO426" i="5"/>
  <c r="BV414" i="5"/>
  <c r="CC414" i="5" s="1"/>
  <c r="CE414" i="5" s="1"/>
  <c r="CJ414" i="5" s="1"/>
  <c r="DG393" i="5"/>
  <c r="DG383" i="5"/>
  <c r="EN293" i="5"/>
  <c r="EO293" i="5" s="1"/>
  <c r="EP293" i="5" s="1"/>
  <c r="FA323" i="5"/>
  <c r="CU323" i="5"/>
  <c r="FA367" i="5"/>
  <c r="CU367" i="5"/>
  <c r="AV93" i="5"/>
  <c r="EO52" i="5"/>
  <c r="EP52" i="5" s="1"/>
  <c r="AW304" i="5"/>
  <c r="CH304" i="5" s="1"/>
  <c r="AJ24" i="5"/>
  <c r="AK24" i="5" s="1"/>
  <c r="AN23" i="5"/>
  <c r="DO23" i="5" s="1"/>
  <c r="EG23" i="5" s="1"/>
  <c r="EJ23" i="5" s="1"/>
  <c r="EK23" i="5" s="1"/>
  <c r="AW258" i="5"/>
  <c r="CH258" i="5" s="1"/>
  <c r="AW306" i="5"/>
  <c r="CH306" i="5" s="1"/>
  <c r="CE24" i="5"/>
  <c r="CE311" i="5"/>
  <c r="CJ311" i="5" s="1"/>
  <c r="EB351" i="5"/>
  <c r="EA351" i="5"/>
  <c r="FA266" i="5"/>
  <c r="CU266" i="5"/>
  <c r="BV302" i="5"/>
  <c r="CC302" i="5" s="1"/>
  <c r="CE302" i="5" s="1"/>
  <c r="CJ302" i="5" s="1"/>
  <c r="CC369" i="5"/>
  <c r="CE369" i="5" s="1"/>
  <c r="CJ369" i="5" s="1"/>
  <c r="DG429" i="5"/>
  <c r="BV387" i="5"/>
  <c r="CC387" i="5" s="1"/>
  <c r="CE387" i="5" s="1"/>
  <c r="CJ387" i="5" s="1"/>
  <c r="BD280" i="5"/>
  <c r="FA312" i="5"/>
  <c r="CO312" i="5"/>
  <c r="AV79" i="5"/>
  <c r="AV123" i="5"/>
  <c r="EA374" i="5"/>
  <c r="EB278" i="5"/>
  <c r="AW284" i="5"/>
  <c r="CH284" i="5" s="1"/>
  <c r="CE22" i="5"/>
  <c r="AS415" i="5"/>
  <c r="BB415" i="5" s="1"/>
  <c r="AT327" i="5"/>
  <c r="AT261" i="5"/>
  <c r="BB420" i="5"/>
  <c r="EA358" i="5"/>
  <c r="EB358" i="5"/>
  <c r="EN270" i="5"/>
  <c r="EO270" i="5" s="1"/>
  <c r="EP270" i="5" s="1"/>
  <c r="FC304" i="5"/>
  <c r="CR304" i="5"/>
  <c r="BV289" i="5"/>
  <c r="CC289" i="5" s="1"/>
  <c r="CE289" i="5" s="1"/>
  <c r="CJ289" i="5" s="1"/>
  <c r="CR426" i="5"/>
  <c r="FC426" i="5"/>
  <c r="DG401" i="5"/>
  <c r="DG424" i="5"/>
  <c r="EN265" i="5"/>
  <c r="EO265" i="5" s="1"/>
  <c r="EP265" i="5" s="1"/>
  <c r="EN284" i="5"/>
  <c r="EO284" i="5" s="1"/>
  <c r="EP284" i="5" s="1"/>
  <c r="CU299" i="5"/>
  <c r="FA299" i="5"/>
  <c r="AW471" i="5"/>
  <c r="DO471" i="5"/>
  <c r="EG471" i="5" s="1"/>
  <c r="EJ471" i="5" s="1"/>
  <c r="EK471" i="5" s="1"/>
  <c r="EA102" i="5"/>
  <c r="CE52" i="5"/>
  <c r="AW491" i="5"/>
  <c r="DO491" i="5"/>
  <c r="EG491" i="5" s="1"/>
  <c r="EJ491" i="5" s="1"/>
  <c r="EK491" i="5" s="1"/>
  <c r="EO46" i="5"/>
  <c r="EP46" i="5" s="1"/>
  <c r="EA96" i="5"/>
  <c r="EA274" i="5"/>
  <c r="AT268" i="5"/>
  <c r="BB423" i="5"/>
  <c r="DJ20" i="5"/>
  <c r="DI20" i="5"/>
  <c r="BV331" i="5"/>
  <c r="CC331" i="5" s="1"/>
  <c r="CE331" i="5" s="1"/>
  <c r="CJ331" i="5" s="1"/>
  <c r="BV452" i="5"/>
  <c r="CC452" i="5" s="1"/>
  <c r="CE452" i="5" s="1"/>
  <c r="CJ452" i="5" s="1"/>
  <c r="FA148" i="5"/>
  <c r="CU148" i="5"/>
  <c r="CO339" i="5"/>
  <c r="FA339" i="5"/>
  <c r="BV273" i="5"/>
  <c r="CC273" i="5" s="1"/>
  <c r="CE273" i="5" s="1"/>
  <c r="CJ273" i="5" s="1"/>
  <c r="FC376" i="5"/>
  <c r="CR376" i="5"/>
  <c r="BV437" i="5"/>
  <c r="CC437" i="5" s="1"/>
  <c r="CE437" i="5" s="1"/>
  <c r="CJ437" i="5" s="1"/>
  <c r="CU271" i="5"/>
  <c r="FA271" i="5"/>
  <c r="FA443" i="5"/>
  <c r="CO443" i="5"/>
  <c r="ES31" i="5"/>
  <c r="ET31" i="5" s="1"/>
  <c r="EB395" i="5"/>
  <c r="BB379" i="5"/>
  <c r="DH480" i="5"/>
  <c r="EM480" i="5"/>
  <c r="EL480" i="5"/>
  <c r="CX419" i="5"/>
  <c r="FC419" i="5"/>
  <c r="AT381" i="5"/>
  <c r="DH486" i="5"/>
  <c r="EL486" i="5"/>
  <c r="EM486" i="5"/>
  <c r="BB358" i="5"/>
  <c r="AY114" i="5"/>
  <c r="AZ114" i="5" s="1"/>
  <c r="CI114" i="5" s="1"/>
  <c r="FR114" i="5"/>
  <c r="DF109" i="5"/>
  <c r="DC109" i="5"/>
  <c r="AU166" i="5"/>
  <c r="AV166" i="5" s="1"/>
  <c r="DY251" i="5"/>
  <c r="AY251" i="5"/>
  <c r="FR251" i="5"/>
  <c r="AY147" i="5"/>
  <c r="FR147" i="5"/>
  <c r="FU147" i="5" s="1"/>
  <c r="CM147" i="5" s="1"/>
  <c r="BT147" i="5"/>
  <c r="BE147" i="5"/>
  <c r="BU147" i="5"/>
  <c r="BL147" i="5"/>
  <c r="DT147" i="5" s="1"/>
  <c r="DV147" i="5" s="1"/>
  <c r="AU213" i="5"/>
  <c r="AY179" i="5"/>
  <c r="FR179" i="5"/>
  <c r="DF193" i="5"/>
  <c r="AU185" i="5"/>
  <c r="AU240" i="5"/>
  <c r="BL232" i="5"/>
  <c r="DT232" i="5" s="1"/>
  <c r="DV232" i="5" s="1"/>
  <c r="BT232" i="5"/>
  <c r="BU232" i="5"/>
  <c r="FS232" i="5"/>
  <c r="DY226" i="5"/>
  <c r="DF226" i="5"/>
  <c r="AR83" i="5"/>
  <c r="CG83" i="5" s="1"/>
  <c r="DD83" i="5"/>
  <c r="ES83" i="5" s="1"/>
  <c r="BC348" i="5"/>
  <c r="DN348" i="5"/>
  <c r="DN334" i="5"/>
  <c r="BC334" i="5"/>
  <c r="BD334" i="5" s="1"/>
  <c r="BC286" i="5"/>
  <c r="DN286" i="5"/>
  <c r="BC295" i="5"/>
  <c r="DN295" i="5"/>
  <c r="AY101" i="5"/>
  <c r="AZ101" i="5" s="1"/>
  <c r="CI101" i="5" s="1"/>
  <c r="AY104" i="5"/>
  <c r="FA253" i="5"/>
  <c r="CO253" i="5"/>
  <c r="AR111" i="5"/>
  <c r="DD111" i="5"/>
  <c r="ES111" i="5" s="1"/>
  <c r="AR120" i="5"/>
  <c r="CG120" i="5" s="1"/>
  <c r="DD120" i="5"/>
  <c r="DY114" i="5"/>
  <c r="DY122" i="5"/>
  <c r="BF118" i="5"/>
  <c r="BH118" i="5" s="1"/>
  <c r="BG118" i="5"/>
  <c r="FR120" i="5"/>
  <c r="FR112" i="5"/>
  <c r="FS110" i="5"/>
  <c r="BL119" i="5"/>
  <c r="DT119" i="5" s="1"/>
  <c r="BT119" i="5"/>
  <c r="BU119" i="5"/>
  <c r="BE119" i="5"/>
  <c r="BF119" i="5" s="1"/>
  <c r="BH119" i="5" s="1"/>
  <c r="DF115" i="5"/>
  <c r="DC115" i="5"/>
  <c r="DC107" i="5"/>
  <c r="DF107" i="5"/>
  <c r="DC167" i="5"/>
  <c r="AR167" i="5"/>
  <c r="AR159" i="5"/>
  <c r="DC159" i="5"/>
  <c r="AU160" i="5"/>
  <c r="AV160" i="5" s="1"/>
  <c r="BL156" i="5"/>
  <c r="DT156" i="5" s="1"/>
  <c r="DV156" i="5" s="1"/>
  <c r="EB156" i="5" s="1"/>
  <c r="BU156" i="5"/>
  <c r="AY156" i="5"/>
  <c r="FR156" i="5"/>
  <c r="FU156" i="5" s="1"/>
  <c r="BT156" i="5"/>
  <c r="AN156" i="5"/>
  <c r="DO156" i="5" s="1"/>
  <c r="AY160" i="5"/>
  <c r="FR160" i="5"/>
  <c r="FU160" i="5" s="1"/>
  <c r="BL160" i="5"/>
  <c r="DT160" i="5" s="1"/>
  <c r="DV160" i="5" s="1"/>
  <c r="BU160" i="5"/>
  <c r="AN160" i="5"/>
  <c r="DO160" i="5" s="1"/>
  <c r="AK166" i="5"/>
  <c r="AK158" i="5"/>
  <c r="DY249" i="5"/>
  <c r="AY249" i="5"/>
  <c r="FR249" i="5"/>
  <c r="DC127" i="5"/>
  <c r="DY127" i="5"/>
  <c r="DF127" i="5"/>
  <c r="DC135" i="5"/>
  <c r="DY135" i="5"/>
  <c r="DF135" i="5"/>
  <c r="DF143" i="5"/>
  <c r="DY143" i="5"/>
  <c r="DC143" i="5"/>
  <c r="DN144" i="5"/>
  <c r="DN136" i="5"/>
  <c r="DN128" i="5"/>
  <c r="AY145" i="5"/>
  <c r="AZ145" i="5" s="1"/>
  <c r="CI145" i="5" s="1"/>
  <c r="FR145" i="5"/>
  <c r="BT145" i="5"/>
  <c r="BE145" i="5"/>
  <c r="BG145" i="5" s="1"/>
  <c r="BU145" i="5"/>
  <c r="BL145" i="5"/>
  <c r="DT145" i="5" s="1"/>
  <c r="DV145" i="5" s="1"/>
  <c r="AY137" i="5"/>
  <c r="AZ137" i="5" s="1"/>
  <c r="CI137" i="5" s="1"/>
  <c r="FR137" i="5"/>
  <c r="BL137" i="5"/>
  <c r="DT137" i="5" s="1"/>
  <c r="DV137" i="5" s="1"/>
  <c r="BT137" i="5"/>
  <c r="BE137" i="5"/>
  <c r="BG137" i="5" s="1"/>
  <c r="BU137" i="5"/>
  <c r="FR128" i="5"/>
  <c r="FU128" i="5" s="1"/>
  <c r="CM128" i="5" s="1"/>
  <c r="AY128" i="5"/>
  <c r="BT128" i="5"/>
  <c r="BE128" i="5"/>
  <c r="BG128" i="5" s="1"/>
  <c r="BU128" i="5"/>
  <c r="BL128" i="5"/>
  <c r="DT128" i="5" s="1"/>
  <c r="DV128" i="5" s="1"/>
  <c r="BF137" i="5"/>
  <c r="BH137" i="5" s="1"/>
  <c r="DY210" i="5"/>
  <c r="DF210" i="5"/>
  <c r="DY200" i="5"/>
  <c r="DF200" i="5"/>
  <c r="FR196" i="5"/>
  <c r="AY196" i="5"/>
  <c r="AY206" i="5"/>
  <c r="FR206" i="5"/>
  <c r="FR202" i="5"/>
  <c r="AY202" i="5"/>
  <c r="AU211" i="5"/>
  <c r="AU203" i="5"/>
  <c r="AY169" i="5"/>
  <c r="FR169" i="5"/>
  <c r="AY187" i="5"/>
  <c r="FR187" i="5"/>
  <c r="AY175" i="5"/>
  <c r="FR175" i="5"/>
  <c r="FR180" i="5"/>
  <c r="AY180" i="5"/>
  <c r="DF171" i="5"/>
  <c r="DF179" i="5"/>
  <c r="DF187" i="5"/>
  <c r="DF195" i="5"/>
  <c r="R191" i="5"/>
  <c r="EF191" i="5" s="1"/>
  <c r="EE191" i="5" s="1"/>
  <c r="AU191" i="5"/>
  <c r="R183" i="5"/>
  <c r="EF183" i="5" s="1"/>
  <c r="EE183" i="5" s="1"/>
  <c r="AU183" i="5"/>
  <c r="AU175" i="5"/>
  <c r="BT175" i="5"/>
  <c r="BL175" i="5"/>
  <c r="DT175" i="5" s="1"/>
  <c r="DV175" i="5" s="1"/>
  <c r="BU175" i="5"/>
  <c r="FS175" i="5"/>
  <c r="BU183" i="5"/>
  <c r="FS183" i="5"/>
  <c r="BL183" i="5"/>
  <c r="DT183" i="5" s="1"/>
  <c r="DV183" i="5" s="1"/>
  <c r="BT183" i="5"/>
  <c r="FS188" i="5"/>
  <c r="BL188" i="5"/>
  <c r="DT188" i="5" s="1"/>
  <c r="DV188" i="5" s="1"/>
  <c r="EB188" i="5" s="1"/>
  <c r="BT188" i="5"/>
  <c r="BU188" i="5"/>
  <c r="AU222" i="5"/>
  <c r="AU225" i="5"/>
  <c r="AU234" i="5"/>
  <c r="AU242" i="5"/>
  <c r="FS246" i="5"/>
  <c r="FU246" i="5" s="1"/>
  <c r="BL246" i="5"/>
  <c r="DT246" i="5" s="1"/>
  <c r="DV246" i="5" s="1"/>
  <c r="BT246" i="5"/>
  <c r="BU246" i="5"/>
  <c r="BL238" i="5"/>
  <c r="DT238" i="5" s="1"/>
  <c r="DV238" i="5" s="1"/>
  <c r="FS238" i="5"/>
  <c r="FU238" i="5" s="1"/>
  <c r="CM238" i="5" s="1"/>
  <c r="BT238" i="5"/>
  <c r="BU238" i="5"/>
  <c r="FS230" i="5"/>
  <c r="FU230" i="5" s="1"/>
  <c r="BL230" i="5"/>
  <c r="DT230" i="5" s="1"/>
  <c r="DV230" i="5" s="1"/>
  <c r="BT230" i="5"/>
  <c r="BU230" i="5"/>
  <c r="BT221" i="5"/>
  <c r="BU221" i="5"/>
  <c r="FS221" i="5"/>
  <c r="BL221" i="5"/>
  <c r="DT221" i="5" s="1"/>
  <c r="DV221" i="5" s="1"/>
  <c r="DY220" i="5"/>
  <c r="DF220" i="5"/>
  <c r="DY228" i="5"/>
  <c r="DF228" i="5"/>
  <c r="DY236" i="5"/>
  <c r="DF236" i="5"/>
  <c r="DY244" i="5"/>
  <c r="DF244" i="5"/>
  <c r="DF60" i="5"/>
  <c r="DC60" i="5"/>
  <c r="DF68" i="5"/>
  <c r="DC68" i="5"/>
  <c r="DC76" i="5"/>
  <c r="DF76" i="5"/>
  <c r="DC84" i="5"/>
  <c r="DF84" i="5"/>
  <c r="DC92" i="5"/>
  <c r="DF92" i="5"/>
  <c r="DD89" i="5"/>
  <c r="AR89" i="5"/>
  <c r="CG89" i="5" s="1"/>
  <c r="AR81" i="5"/>
  <c r="CG81" i="5" s="1"/>
  <c r="DD81" i="5"/>
  <c r="AR73" i="5"/>
  <c r="CG73" i="5" s="1"/>
  <c r="DD73" i="5"/>
  <c r="ES73" i="5" s="1"/>
  <c r="AR65" i="5"/>
  <c r="CG65" i="5" s="1"/>
  <c r="DD65" i="5"/>
  <c r="AR57" i="5"/>
  <c r="CG57" i="5" s="1"/>
  <c r="DD57" i="5"/>
  <c r="BC299" i="5"/>
  <c r="BD299" i="5" s="1"/>
  <c r="DN299" i="5"/>
  <c r="DN369" i="5"/>
  <c r="BC369" i="5"/>
  <c r="BC311" i="5"/>
  <c r="BD311" i="5" s="1"/>
  <c r="DN311" i="5"/>
  <c r="DN415" i="5"/>
  <c r="BC415" i="5"/>
  <c r="DN354" i="5"/>
  <c r="BC354" i="5"/>
  <c r="DN438" i="5"/>
  <c r="BC438" i="5"/>
  <c r="DN349" i="5"/>
  <c r="BC349" i="5"/>
  <c r="DN407" i="5"/>
  <c r="BC407" i="5"/>
  <c r="DN401" i="5"/>
  <c r="BC401" i="5"/>
  <c r="DN326" i="5"/>
  <c r="BC326" i="5"/>
  <c r="BD326" i="5" s="1"/>
  <c r="BC410" i="5"/>
  <c r="BD410" i="5" s="1"/>
  <c r="DN410" i="5"/>
  <c r="DN316" i="5"/>
  <c r="BC316" i="5"/>
  <c r="DN400" i="5"/>
  <c r="BC400" i="5"/>
  <c r="DN332" i="5"/>
  <c r="BC332" i="5"/>
  <c r="BD332" i="5" s="1"/>
  <c r="DN404" i="5"/>
  <c r="BC404" i="5"/>
  <c r="BC329" i="5"/>
  <c r="BD329" i="5" s="1"/>
  <c r="DN329" i="5"/>
  <c r="DN385" i="5"/>
  <c r="BC385" i="5"/>
  <c r="BD385" i="5" s="1"/>
  <c r="DN448" i="5"/>
  <c r="BC448" i="5"/>
  <c r="BC394" i="5"/>
  <c r="DN394" i="5"/>
  <c r="BB430" i="5"/>
  <c r="AT430" i="5"/>
  <c r="DN483" i="5"/>
  <c r="BC483" i="5"/>
  <c r="BD483" i="5" s="1"/>
  <c r="DN152" i="5"/>
  <c r="AK23" i="5"/>
  <c r="AS448" i="5"/>
  <c r="AT448" i="5" s="1"/>
  <c r="AT411" i="5"/>
  <c r="BB411" i="5"/>
  <c r="AS451" i="5"/>
  <c r="AT451" i="5" s="1"/>
  <c r="CX453" i="5"/>
  <c r="FC453" i="5"/>
  <c r="BI22" i="5"/>
  <c r="BJ22" i="5" s="1"/>
  <c r="EC22" i="5" s="1"/>
  <c r="DG371" i="5"/>
  <c r="BJ20" i="5"/>
  <c r="EC20" i="5" s="1"/>
  <c r="AS101" i="5"/>
  <c r="AT101" i="5" s="1"/>
  <c r="CO324" i="5"/>
  <c r="FA324" i="5"/>
  <c r="BV254" i="5"/>
  <c r="CC254" i="5" s="1"/>
  <c r="CE254" i="5" s="1"/>
  <c r="CJ254" i="5" s="1"/>
  <c r="EB419" i="5"/>
  <c r="EA419" i="5"/>
  <c r="CE279" i="5"/>
  <c r="CJ279" i="5" s="1"/>
  <c r="BV353" i="5"/>
  <c r="CC353" i="5" s="1"/>
  <c r="CE353" i="5" s="1"/>
  <c r="CJ353" i="5" s="1"/>
  <c r="AS293" i="5"/>
  <c r="BB293" i="5" s="1"/>
  <c r="CU417" i="5"/>
  <c r="FA417" i="5"/>
  <c r="EN269" i="5"/>
  <c r="EO269" i="5" s="1"/>
  <c r="EP269" i="5" s="1"/>
  <c r="EN292" i="5"/>
  <c r="EO292" i="5" s="1"/>
  <c r="EP292" i="5" s="1"/>
  <c r="EN383" i="5"/>
  <c r="EO383" i="5" s="1"/>
  <c r="EP383" i="5" s="1"/>
  <c r="BI47" i="5"/>
  <c r="FC381" i="5"/>
  <c r="CX381" i="5"/>
  <c r="AW299" i="5"/>
  <c r="CH299" i="5" s="1"/>
  <c r="BJ21" i="5"/>
  <c r="EC21" i="5" s="1"/>
  <c r="DI48" i="5"/>
  <c r="DJ48" i="5"/>
  <c r="AW343" i="5"/>
  <c r="CH343" i="5" s="1"/>
  <c r="FC284" i="5"/>
  <c r="CX284" i="5"/>
  <c r="BV100" i="5"/>
  <c r="CC100" i="5" s="1"/>
  <c r="CE100" i="5" s="1"/>
  <c r="CJ100" i="5" s="1"/>
  <c r="BV327" i="5"/>
  <c r="CC327" i="5" s="1"/>
  <c r="CE327" i="5" s="1"/>
  <c r="CJ327" i="5" s="1"/>
  <c r="EB446" i="5"/>
  <c r="EA446" i="5"/>
  <c r="EN400" i="5"/>
  <c r="EO400" i="5" s="1"/>
  <c r="EP400" i="5" s="1"/>
  <c r="CR360" i="5"/>
  <c r="FC360" i="5"/>
  <c r="BV395" i="5"/>
  <c r="CC395" i="5" s="1"/>
  <c r="CE395" i="5" s="1"/>
  <c r="CJ395" i="5" s="1"/>
  <c r="BV377" i="5"/>
  <c r="CC377" i="5" s="1"/>
  <c r="CE377" i="5" s="1"/>
  <c r="CJ377" i="5" s="1"/>
  <c r="FC292" i="5"/>
  <c r="CR292" i="5"/>
  <c r="DG384" i="5"/>
  <c r="BV445" i="5"/>
  <c r="CC445" i="5" s="1"/>
  <c r="CE445" i="5" s="1"/>
  <c r="CJ445" i="5" s="1"/>
  <c r="CO279" i="5"/>
  <c r="FA279" i="5"/>
  <c r="FA419" i="5"/>
  <c r="CU419" i="5"/>
  <c r="AV105" i="5"/>
  <c r="BJ46" i="5"/>
  <c r="EC46" i="5" s="1"/>
  <c r="FC302" i="5"/>
  <c r="CX302" i="5"/>
  <c r="AW405" i="5"/>
  <c r="CH405" i="5" s="1"/>
  <c r="EA335" i="5"/>
  <c r="EB335" i="5"/>
  <c r="BV103" i="5"/>
  <c r="CC103" i="5" s="1"/>
  <c r="CE103" i="5" s="1"/>
  <c r="CJ103" i="5" s="1"/>
  <c r="BV453" i="5"/>
  <c r="CC453" i="5" s="1"/>
  <c r="CE453" i="5" s="1"/>
  <c r="CJ453" i="5" s="1"/>
  <c r="EB381" i="5"/>
  <c r="EA381" i="5"/>
  <c r="EN351" i="5"/>
  <c r="EO351" i="5" s="1"/>
  <c r="EP351" i="5" s="1"/>
  <c r="EA253" i="5"/>
  <c r="EB253" i="5"/>
  <c r="EN438" i="5"/>
  <c r="EO438" i="5" s="1"/>
  <c r="EP438" i="5" s="1"/>
  <c r="CR442" i="5"/>
  <c r="FC442" i="5"/>
  <c r="BV309" i="5"/>
  <c r="CC309" i="5" s="1"/>
  <c r="CE309" i="5" s="1"/>
  <c r="CJ309" i="5" s="1"/>
  <c r="FA257" i="5"/>
  <c r="CU257" i="5"/>
  <c r="FA300" i="5"/>
  <c r="CU300" i="5"/>
  <c r="FA375" i="5"/>
  <c r="CU375" i="5"/>
  <c r="AV122" i="5"/>
  <c r="AV69" i="5"/>
  <c r="DG425" i="5"/>
  <c r="EN22" i="5"/>
  <c r="EO22" i="5" s="1"/>
  <c r="EP22" i="5" s="1"/>
  <c r="EQ22" i="5" s="1"/>
  <c r="BJ26" i="5"/>
  <c r="EC26" i="5" s="1"/>
  <c r="DG298" i="5"/>
  <c r="FC341" i="5"/>
  <c r="CX341" i="5"/>
  <c r="EN20" i="5"/>
  <c r="EO20" i="5" s="1"/>
  <c r="EP20" i="5" s="1"/>
  <c r="BV290" i="5"/>
  <c r="CC290" i="5" s="1"/>
  <c r="CE290" i="5" s="1"/>
  <c r="CJ290" i="5" s="1"/>
  <c r="DG97" i="5"/>
  <c r="EB368" i="5"/>
  <c r="EA368" i="5"/>
  <c r="BV294" i="5"/>
  <c r="CC294" i="5" s="1"/>
  <c r="CE294" i="5" s="1"/>
  <c r="CJ294" i="5" s="1"/>
  <c r="CO96" i="5"/>
  <c r="FA96" i="5"/>
  <c r="AS425" i="5"/>
  <c r="BB425" i="5" s="1"/>
  <c r="BD425" i="5" s="1"/>
  <c r="BV421" i="5"/>
  <c r="CC421" i="5" s="1"/>
  <c r="CE421" i="5" s="1"/>
  <c r="CJ421" i="5" s="1"/>
  <c r="CR379" i="5"/>
  <c r="FC379" i="5"/>
  <c r="EA444" i="5"/>
  <c r="EB444" i="5"/>
  <c r="EN255" i="5"/>
  <c r="EO255" i="5" s="1"/>
  <c r="EP255" i="5" s="1"/>
  <c r="AV58" i="5"/>
  <c r="CE49" i="5"/>
  <c r="AW488" i="5"/>
  <c r="DO488" i="5"/>
  <c r="EG488" i="5" s="1"/>
  <c r="EJ488" i="5" s="1"/>
  <c r="EK488" i="5" s="1"/>
  <c r="FC301" i="5"/>
  <c r="CX301" i="5"/>
  <c r="CE43" i="5"/>
  <c r="AW96" i="5"/>
  <c r="CH96" i="5" s="1"/>
  <c r="FA355" i="5"/>
  <c r="CO355" i="5"/>
  <c r="BV101" i="5"/>
  <c r="CC101" i="5" s="1"/>
  <c r="CE101" i="5" s="1"/>
  <c r="CJ101" i="5" s="1"/>
  <c r="FC98" i="5"/>
  <c r="CR98" i="5"/>
  <c r="EB308" i="5"/>
  <c r="EA308" i="5"/>
  <c r="DG414" i="5"/>
  <c r="EA306" i="5"/>
  <c r="EB306" i="5"/>
  <c r="BB393" i="5"/>
  <c r="AT393" i="5"/>
  <c r="CO293" i="5"/>
  <c r="FA293" i="5"/>
  <c r="EN323" i="5"/>
  <c r="EO323" i="5" s="1"/>
  <c r="EP323" i="5" s="1"/>
  <c r="EN367" i="5"/>
  <c r="EO367" i="5" s="1"/>
  <c r="EP367" i="5" s="1"/>
  <c r="AV82" i="5"/>
  <c r="AW324" i="5"/>
  <c r="CH324" i="5" s="1"/>
  <c r="AW325" i="5"/>
  <c r="CH325" i="5" s="1"/>
  <c r="DN254" i="5"/>
  <c r="BC254" i="5"/>
  <c r="BD254" i="5" s="1"/>
  <c r="BJ43" i="5"/>
  <c r="EC43" i="5" s="1"/>
  <c r="BI32" i="5"/>
  <c r="BJ32" i="5" s="1"/>
  <c r="EC32" i="5" s="1"/>
  <c r="ET100" i="5"/>
  <c r="EN266" i="5"/>
  <c r="EO266" i="5" s="1"/>
  <c r="EP266" i="5" s="1"/>
  <c r="BV252" i="5"/>
  <c r="CC252" i="5" s="1"/>
  <c r="CE252" i="5" s="1"/>
  <c r="CJ252" i="5" s="1"/>
  <c r="CC321" i="5"/>
  <c r="CE321" i="5" s="1"/>
  <c r="CJ321" i="5" s="1"/>
  <c r="FA379" i="5"/>
  <c r="CO379" i="5"/>
  <c r="BI39" i="5"/>
  <c r="ET41" i="5"/>
  <c r="AT356" i="5"/>
  <c r="CE25" i="5"/>
  <c r="AT346" i="5"/>
  <c r="EN43" i="5"/>
  <c r="EO43" i="5" s="1"/>
  <c r="EP43" i="5" s="1"/>
  <c r="AW485" i="5"/>
  <c r="DO485" i="5"/>
  <c r="EG485" i="5" s="1"/>
  <c r="EJ485" i="5" s="1"/>
  <c r="EK485" i="5" s="1"/>
  <c r="DH489" i="5"/>
  <c r="EL489" i="5"/>
  <c r="EM489" i="5"/>
  <c r="DG437" i="5"/>
  <c r="CE20" i="5"/>
  <c r="ES34" i="5"/>
  <c r="ET34" i="5" s="1"/>
  <c r="AS104" i="5"/>
  <c r="AT104" i="5" s="1"/>
  <c r="BV315" i="5"/>
  <c r="CC315" i="5" s="1"/>
  <c r="CE315" i="5" s="1"/>
  <c r="CJ315" i="5" s="1"/>
  <c r="FA442" i="5"/>
  <c r="CO442" i="5"/>
  <c r="EA289" i="5"/>
  <c r="EB289" i="5"/>
  <c r="BV411" i="5"/>
  <c r="CC411" i="5" s="1"/>
  <c r="CE411" i="5" s="1"/>
  <c r="CJ411" i="5" s="1"/>
  <c r="FA281" i="5"/>
  <c r="CU281" i="5"/>
  <c r="EN316" i="5"/>
  <c r="EO316" i="5" s="1"/>
  <c r="EP316" i="5" s="1"/>
  <c r="FA359" i="5"/>
  <c r="CU359" i="5"/>
  <c r="ES37" i="5"/>
  <c r="ET37" i="5" s="1"/>
  <c r="BB446" i="5"/>
  <c r="BB331" i="5"/>
  <c r="DG148" i="5"/>
  <c r="BI42" i="5"/>
  <c r="BJ42" i="5" s="1"/>
  <c r="EC42" i="5" s="1"/>
  <c r="EO26" i="5"/>
  <c r="EP26" i="5" s="1"/>
  <c r="DI31" i="5"/>
  <c r="DJ31" i="5"/>
  <c r="EB452" i="5"/>
  <c r="EA452" i="5"/>
  <c r="CE301" i="5"/>
  <c r="CJ301" i="5" s="1"/>
  <c r="FA396" i="5"/>
  <c r="CO396" i="5"/>
  <c r="DG273" i="5"/>
  <c r="BV318" i="5"/>
  <c r="CC318" i="5" s="1"/>
  <c r="CE318" i="5" s="1"/>
  <c r="CJ318" i="5" s="1"/>
  <c r="BV376" i="5"/>
  <c r="CC376" i="5" s="1"/>
  <c r="CE376" i="5" s="1"/>
  <c r="CJ376" i="5" s="1"/>
  <c r="BV275" i="5"/>
  <c r="CC275" i="5" s="1"/>
  <c r="CE275" i="5" s="1"/>
  <c r="CJ275" i="5" s="1"/>
  <c r="FC389" i="5"/>
  <c r="CR389" i="5"/>
  <c r="BD300" i="5"/>
  <c r="EN271" i="5"/>
  <c r="EO271" i="5" s="1"/>
  <c r="EP271" i="5" s="1"/>
  <c r="EN443" i="5"/>
  <c r="EO443" i="5" s="1"/>
  <c r="EP443" i="5" s="1"/>
  <c r="AV71" i="5"/>
  <c r="AV81" i="5"/>
  <c r="FC357" i="5"/>
  <c r="CX357" i="5"/>
  <c r="AT385" i="5"/>
  <c r="AT453" i="5"/>
  <c r="BB348" i="5"/>
  <c r="FC282" i="5"/>
  <c r="CX282" i="5"/>
  <c r="EB380" i="5"/>
  <c r="BB275" i="5"/>
  <c r="BD275" i="5" s="1"/>
  <c r="AR117" i="5"/>
  <c r="CG117" i="5" s="1"/>
  <c r="DD117" i="5"/>
  <c r="FR122" i="5"/>
  <c r="AZ147" i="5"/>
  <c r="CI147" i="5" s="1"/>
  <c r="DF185" i="5"/>
  <c r="AU244" i="5"/>
  <c r="DC82" i="5"/>
  <c r="DF82" i="5"/>
  <c r="DN371" i="5"/>
  <c r="BC371" i="5"/>
  <c r="BD371" i="5" s="1"/>
  <c r="DG376" i="5"/>
  <c r="FD441" i="5"/>
  <c r="CW441" i="5"/>
  <c r="CO307" i="5"/>
  <c r="FA307" i="5"/>
  <c r="EB423" i="5"/>
  <c r="EA423" i="5"/>
  <c r="AR112" i="5"/>
  <c r="DD112" i="5"/>
  <c r="AR121" i="5"/>
  <c r="CG121" i="5" s="1"/>
  <c r="DD121" i="5"/>
  <c r="ES121" i="5" s="1"/>
  <c r="FR119" i="5"/>
  <c r="FR111" i="5"/>
  <c r="FU111" i="5" s="1"/>
  <c r="AY111" i="5"/>
  <c r="AZ111" i="5" s="1"/>
  <c r="BE111" i="5"/>
  <c r="BF111" i="5" s="1"/>
  <c r="BH111" i="5" s="1"/>
  <c r="BU111" i="5"/>
  <c r="FS111" i="5"/>
  <c r="BL111" i="5"/>
  <c r="DT111" i="5" s="1"/>
  <c r="DV111" i="5" s="1"/>
  <c r="BT111" i="5"/>
  <c r="BT120" i="5"/>
  <c r="BE120" i="5"/>
  <c r="BF120" i="5" s="1"/>
  <c r="BH120" i="5" s="1"/>
  <c r="BU120" i="5"/>
  <c r="BL120" i="5"/>
  <c r="DT120" i="5" s="1"/>
  <c r="DV120" i="5" s="1"/>
  <c r="DC114" i="5"/>
  <c r="DF114" i="5"/>
  <c r="DF119" i="5"/>
  <c r="DC119" i="5"/>
  <c r="DC166" i="5"/>
  <c r="AR166" i="5"/>
  <c r="J158" i="5"/>
  <c r="DS158" i="5" s="1"/>
  <c r="DC158" i="5"/>
  <c r="AR158" i="5"/>
  <c r="AU163" i="5"/>
  <c r="AV163" i="5" s="1"/>
  <c r="BL167" i="5"/>
  <c r="DT167" i="5" s="1"/>
  <c r="DV167" i="5" s="1"/>
  <c r="BU167" i="5"/>
  <c r="AY167" i="5"/>
  <c r="FR167" i="5"/>
  <c r="FU167" i="5" s="1"/>
  <c r="AN167" i="5"/>
  <c r="DO167" i="5" s="1"/>
  <c r="BU159" i="5"/>
  <c r="AY159" i="5"/>
  <c r="FR159" i="5"/>
  <c r="FU159" i="5" s="1"/>
  <c r="BL159" i="5"/>
  <c r="DT159" i="5" s="1"/>
  <c r="DV159" i="5" s="1"/>
  <c r="AN159" i="5"/>
  <c r="DO159" i="5" s="1"/>
  <c r="DC248" i="5"/>
  <c r="AR248" i="5"/>
  <c r="CG248" i="5" s="1"/>
  <c r="AU248" i="5"/>
  <c r="AV248" i="5" s="1"/>
  <c r="DC128" i="5"/>
  <c r="DY128" i="5"/>
  <c r="DF128" i="5"/>
  <c r="DF136" i="5"/>
  <c r="DC136" i="5"/>
  <c r="DY136" i="5"/>
  <c r="DC144" i="5"/>
  <c r="DY144" i="5"/>
  <c r="DF144" i="5"/>
  <c r="AZ128" i="5"/>
  <c r="CI128" i="5" s="1"/>
  <c r="DN143" i="5"/>
  <c r="DN135" i="5"/>
  <c r="DN127" i="5"/>
  <c r="AY144" i="5"/>
  <c r="AZ144" i="5" s="1"/>
  <c r="CI144" i="5" s="1"/>
  <c r="FR144" i="5"/>
  <c r="FU144" i="5" s="1"/>
  <c r="CM144" i="5" s="1"/>
  <c r="BL144" i="5"/>
  <c r="DT144" i="5" s="1"/>
  <c r="DV144" i="5" s="1"/>
  <c r="BT144" i="5"/>
  <c r="BV144" i="5" s="1"/>
  <c r="CC144" i="5" s="1"/>
  <c r="CE144" i="5" s="1"/>
  <c r="CJ144" i="5" s="1"/>
  <c r="BE144" i="5"/>
  <c r="BF144" i="5" s="1"/>
  <c r="BH144" i="5" s="1"/>
  <c r="BU144" i="5"/>
  <c r="FR136" i="5"/>
  <c r="FU136" i="5" s="1"/>
  <c r="CM136" i="5" s="1"/>
  <c r="AY136" i="5"/>
  <c r="AZ136" i="5" s="1"/>
  <c r="CI136" i="5" s="1"/>
  <c r="BL136" i="5"/>
  <c r="DT136" i="5" s="1"/>
  <c r="DV136" i="5" s="1"/>
  <c r="BT136" i="5"/>
  <c r="BE136" i="5"/>
  <c r="BG136" i="5" s="1"/>
  <c r="BU136" i="5"/>
  <c r="AY129" i="5"/>
  <c r="AZ129" i="5" s="1"/>
  <c r="CI129" i="5" s="1"/>
  <c r="FR129" i="5"/>
  <c r="BL129" i="5"/>
  <c r="DT129" i="5" s="1"/>
  <c r="DV129" i="5" s="1"/>
  <c r="BT129" i="5"/>
  <c r="BE129" i="5"/>
  <c r="BF129" i="5" s="1"/>
  <c r="BH129" i="5" s="1"/>
  <c r="BU129" i="5"/>
  <c r="DY209" i="5"/>
  <c r="DF209" i="5"/>
  <c r="DF199" i="5"/>
  <c r="DY199" i="5"/>
  <c r="AY215" i="5"/>
  <c r="FR215" i="5"/>
  <c r="AY205" i="5"/>
  <c r="FR205" i="5"/>
  <c r="AY203" i="5"/>
  <c r="FR203" i="5"/>
  <c r="AU210" i="5"/>
  <c r="AU202" i="5"/>
  <c r="FR186" i="5"/>
  <c r="AY186" i="5"/>
  <c r="AY174" i="5"/>
  <c r="FR174" i="5"/>
  <c r="FR182" i="5"/>
  <c r="AY182" i="5"/>
  <c r="DF172" i="5"/>
  <c r="DF180" i="5"/>
  <c r="DF188" i="5"/>
  <c r="AU190" i="5"/>
  <c r="AU182" i="5"/>
  <c r="AU174" i="5"/>
  <c r="BT176" i="5"/>
  <c r="BU176" i="5"/>
  <c r="FS176" i="5"/>
  <c r="BL176" i="5"/>
  <c r="DT176" i="5" s="1"/>
  <c r="DV176" i="5" s="1"/>
  <c r="EB176" i="5" s="1"/>
  <c r="BU195" i="5"/>
  <c r="FS195" i="5"/>
  <c r="BL195" i="5"/>
  <c r="DT195" i="5" s="1"/>
  <c r="DV195" i="5" s="1"/>
  <c r="EB195" i="5" s="1"/>
  <c r="BT195" i="5"/>
  <c r="BU187" i="5"/>
  <c r="FS187" i="5"/>
  <c r="BL187" i="5"/>
  <c r="DT187" i="5" s="1"/>
  <c r="DV187" i="5" s="1"/>
  <c r="EB187" i="5" s="1"/>
  <c r="BT187" i="5"/>
  <c r="AU221" i="5"/>
  <c r="AU227" i="5"/>
  <c r="AU235" i="5"/>
  <c r="AU243" i="5"/>
  <c r="BT245" i="5"/>
  <c r="BV245" i="5" s="1"/>
  <c r="CC245" i="5" s="1"/>
  <c r="BU245" i="5"/>
  <c r="BL245" i="5"/>
  <c r="DT245" i="5" s="1"/>
  <c r="DV245" i="5" s="1"/>
  <c r="FS245" i="5"/>
  <c r="FU245" i="5" s="1"/>
  <c r="CM245" i="5" s="1"/>
  <c r="BT237" i="5"/>
  <c r="BU237" i="5"/>
  <c r="BL237" i="5"/>
  <c r="DT237" i="5" s="1"/>
  <c r="DV237" i="5" s="1"/>
  <c r="FS237" i="5"/>
  <c r="BT229" i="5"/>
  <c r="BV229" i="5" s="1"/>
  <c r="CC229" i="5" s="1"/>
  <c r="BU229" i="5"/>
  <c r="BL229" i="5"/>
  <c r="DT229" i="5" s="1"/>
  <c r="DV229" i="5" s="1"/>
  <c r="FS229" i="5"/>
  <c r="FU229" i="5" s="1"/>
  <c r="CM229" i="5" s="1"/>
  <c r="BU220" i="5"/>
  <c r="FS220" i="5"/>
  <c r="FU220" i="5" s="1"/>
  <c r="BL220" i="5"/>
  <c r="DT220" i="5" s="1"/>
  <c r="DV220" i="5" s="1"/>
  <c r="BT220" i="5"/>
  <c r="DY221" i="5"/>
  <c r="DF221" i="5"/>
  <c r="FU221" i="5"/>
  <c r="DY229" i="5"/>
  <c r="DF229" i="5"/>
  <c r="DY237" i="5"/>
  <c r="DF237" i="5"/>
  <c r="FU237" i="5"/>
  <c r="DY245" i="5"/>
  <c r="DF245" i="5"/>
  <c r="DC53" i="5"/>
  <c r="DF53" i="5"/>
  <c r="DC61" i="5"/>
  <c r="DF61" i="5"/>
  <c r="DF69" i="5"/>
  <c r="DC69" i="5"/>
  <c r="DF77" i="5"/>
  <c r="DC77" i="5"/>
  <c r="DF85" i="5"/>
  <c r="DC85" i="5"/>
  <c r="DF93" i="5"/>
  <c r="DC93" i="5"/>
  <c r="DD88" i="5"/>
  <c r="AR88" i="5"/>
  <c r="CG88" i="5" s="1"/>
  <c r="AR80" i="5"/>
  <c r="CG80" i="5" s="1"/>
  <c r="DD80" i="5"/>
  <c r="AR72" i="5"/>
  <c r="CG72" i="5" s="1"/>
  <c r="DD72" i="5"/>
  <c r="AR64" i="5"/>
  <c r="DD64" i="5"/>
  <c r="AR56" i="5"/>
  <c r="CG56" i="5" s="1"/>
  <c r="DD56" i="5"/>
  <c r="S28" i="5"/>
  <c r="EF28" i="5"/>
  <c r="EE28" i="5" s="1"/>
  <c r="DN301" i="5"/>
  <c r="BC301" i="5"/>
  <c r="DN372" i="5"/>
  <c r="BC372" i="5"/>
  <c r="BC313" i="5"/>
  <c r="DN313" i="5"/>
  <c r="BC435" i="5"/>
  <c r="DN435" i="5"/>
  <c r="DN361" i="5"/>
  <c r="BC361" i="5"/>
  <c r="DN449" i="5"/>
  <c r="BC449" i="5"/>
  <c r="BC353" i="5"/>
  <c r="DN353" i="5"/>
  <c r="BC422" i="5"/>
  <c r="DN422" i="5"/>
  <c r="DN437" i="5"/>
  <c r="BC437" i="5"/>
  <c r="DN328" i="5"/>
  <c r="BC328" i="5"/>
  <c r="BD328" i="5" s="1"/>
  <c r="DN412" i="5"/>
  <c r="BC412" i="5"/>
  <c r="BD412" i="5" s="1"/>
  <c r="DN318" i="5"/>
  <c r="BC318" i="5"/>
  <c r="BD318" i="5" s="1"/>
  <c r="BC414" i="5"/>
  <c r="DN414" i="5"/>
  <c r="DN342" i="5"/>
  <c r="BC342" i="5"/>
  <c r="BD342" i="5" s="1"/>
  <c r="DN419" i="5"/>
  <c r="BC419" i="5"/>
  <c r="BC335" i="5"/>
  <c r="BD335" i="5" s="1"/>
  <c r="DN335" i="5"/>
  <c r="DN393" i="5"/>
  <c r="BC393" i="5"/>
  <c r="BD393" i="5" s="1"/>
  <c r="BB307" i="5"/>
  <c r="AT307" i="5"/>
  <c r="AS390" i="5"/>
  <c r="BB390" i="5" s="1"/>
  <c r="BB360" i="5"/>
  <c r="AT360" i="5"/>
  <c r="DN485" i="5"/>
  <c r="BC485" i="5"/>
  <c r="BD485" i="5" s="1"/>
  <c r="DN151" i="5"/>
  <c r="AY95" i="5"/>
  <c r="AZ95" i="5" s="1"/>
  <c r="CI95" i="5" s="1"/>
  <c r="AT282" i="5"/>
  <c r="BB282" i="5"/>
  <c r="AS395" i="5"/>
  <c r="BB395" i="5" s="1"/>
  <c r="AS413" i="5"/>
  <c r="BB413" i="5" s="1"/>
  <c r="CX277" i="5"/>
  <c r="FC277" i="5"/>
  <c r="CO98" i="5"/>
  <c r="FA98" i="5"/>
  <c r="CE323" i="5"/>
  <c r="CJ323" i="5" s="1"/>
  <c r="CQ366" i="5"/>
  <c r="FD366" i="5"/>
  <c r="AS386" i="5"/>
  <c r="BB386" i="5" s="1"/>
  <c r="EB254" i="5"/>
  <c r="EA254" i="5"/>
  <c r="FC279" i="5"/>
  <c r="CR279" i="5"/>
  <c r="EB353" i="5"/>
  <c r="EA353" i="5"/>
  <c r="AS274" i="5"/>
  <c r="BB274" i="5" s="1"/>
  <c r="EN285" i="5"/>
  <c r="EO285" i="5" s="1"/>
  <c r="EP285" i="5" s="1"/>
  <c r="FA318" i="5"/>
  <c r="CU318" i="5"/>
  <c r="FA415" i="5"/>
  <c r="CO415" i="5"/>
  <c r="EF39" i="5"/>
  <c r="EE39" i="5" s="1"/>
  <c r="S39" i="5"/>
  <c r="S40" i="5"/>
  <c r="EF40" i="5"/>
  <c r="EE40" i="5" s="1"/>
  <c r="AV88" i="5"/>
  <c r="BJ47" i="5"/>
  <c r="EC47" i="5" s="1"/>
  <c r="DG364" i="5"/>
  <c r="AW332" i="5"/>
  <c r="CH332" i="5" s="1"/>
  <c r="AW410" i="5"/>
  <c r="CH410" i="5" s="1"/>
  <c r="AW342" i="5"/>
  <c r="CH342" i="5" s="1"/>
  <c r="AS409" i="5"/>
  <c r="BB409" i="5" s="1"/>
  <c r="BD409" i="5" s="1"/>
  <c r="BV360" i="5"/>
  <c r="CC360" i="5" s="1"/>
  <c r="CE360" i="5" s="1"/>
  <c r="CJ360" i="5" s="1"/>
  <c r="FD258" i="5"/>
  <c r="CQ258" i="5"/>
  <c r="CE292" i="5"/>
  <c r="CJ292" i="5" s="1"/>
  <c r="EA445" i="5"/>
  <c r="EB445" i="5"/>
  <c r="EN279" i="5"/>
  <c r="EO279" i="5" s="1"/>
  <c r="EP279" i="5" s="1"/>
  <c r="EN419" i="5"/>
  <c r="EO419" i="5" s="1"/>
  <c r="EP419" i="5" s="1"/>
  <c r="ES36" i="5"/>
  <c r="ET36" i="5" s="1"/>
  <c r="AV90" i="5"/>
  <c r="AV63" i="5"/>
  <c r="EN36" i="5"/>
  <c r="EO36" i="5" s="1"/>
  <c r="EP36" i="5" s="1"/>
  <c r="AW470" i="5"/>
  <c r="DO470" i="5"/>
  <c r="EG470" i="5" s="1"/>
  <c r="EJ470" i="5" s="1"/>
  <c r="EK470" i="5" s="1"/>
  <c r="FC408" i="5"/>
  <c r="CX408" i="5"/>
  <c r="FC424" i="5"/>
  <c r="CX424" i="5"/>
  <c r="DJ45" i="5"/>
  <c r="DI45" i="5"/>
  <c r="DG103" i="5"/>
  <c r="EB453" i="5"/>
  <c r="EA453" i="5"/>
  <c r="CE450" i="5"/>
  <c r="CJ450" i="5" s="1"/>
  <c r="CO351" i="5"/>
  <c r="FA351" i="5"/>
  <c r="CO438" i="5"/>
  <c r="FA438" i="5"/>
  <c r="CC262" i="5"/>
  <c r="CE262" i="5" s="1"/>
  <c r="CJ262" i="5" s="1"/>
  <c r="CE417" i="5"/>
  <c r="CJ417" i="5" s="1"/>
  <c r="DG309" i="5"/>
  <c r="FD408" i="5"/>
  <c r="CW408" i="5"/>
  <c r="AS321" i="5"/>
  <c r="AT321" i="5" s="1"/>
  <c r="EN257" i="5"/>
  <c r="EO257" i="5" s="1"/>
  <c r="EP257" i="5" s="1"/>
  <c r="EN300" i="5"/>
  <c r="EO300" i="5" s="1"/>
  <c r="EP300" i="5" s="1"/>
  <c r="EN375" i="5"/>
  <c r="EO375" i="5" s="1"/>
  <c r="EP375" i="5" s="1"/>
  <c r="ES30" i="5"/>
  <c r="AV80" i="5"/>
  <c r="AV76" i="5"/>
  <c r="ET95" i="5"/>
  <c r="DI49" i="5"/>
  <c r="DJ49" i="5"/>
  <c r="DK49" i="5" s="1"/>
  <c r="DI30" i="5"/>
  <c r="DJ30" i="5"/>
  <c r="FC96" i="5"/>
  <c r="CR96" i="5"/>
  <c r="AT323" i="5"/>
  <c r="EA277" i="5"/>
  <c r="FD332" i="5"/>
  <c r="CQ332" i="5"/>
  <c r="EB290" i="5"/>
  <c r="EA290" i="5"/>
  <c r="EB294" i="5"/>
  <c r="EA294" i="5"/>
  <c r="CE379" i="5"/>
  <c r="CJ379" i="5" s="1"/>
  <c r="FA392" i="5"/>
  <c r="CU392" i="5"/>
  <c r="EN272" i="5"/>
  <c r="EO272" i="5" s="1"/>
  <c r="EP272" i="5" s="1"/>
  <c r="FA287" i="5"/>
  <c r="CO287" i="5"/>
  <c r="ES20" i="5"/>
  <c r="ET20" i="5" s="1"/>
  <c r="AV54" i="5"/>
  <c r="AW352" i="5"/>
  <c r="CH352" i="5" s="1"/>
  <c r="CE30" i="5"/>
  <c r="CE150" i="5"/>
  <c r="CJ150" i="5" s="1"/>
  <c r="EN355" i="5"/>
  <c r="EO355" i="5" s="1"/>
  <c r="EP355" i="5" s="1"/>
  <c r="DG151" i="5"/>
  <c r="EB101" i="5"/>
  <c r="EA101" i="5"/>
  <c r="CR99" i="5"/>
  <c r="FC99" i="5"/>
  <c r="CE102" i="5"/>
  <c r="CJ102" i="5" s="1"/>
  <c r="FD330" i="5"/>
  <c r="CQ330" i="5"/>
  <c r="CR308" i="5"/>
  <c r="FC308" i="5"/>
  <c r="CE284" i="5"/>
  <c r="CJ284" i="5" s="1"/>
  <c r="CR348" i="5"/>
  <c r="FC348" i="5"/>
  <c r="AS421" i="5"/>
  <c r="BB421" i="5" s="1"/>
  <c r="BD421" i="5" s="1"/>
  <c r="FD425" i="5"/>
  <c r="CW425" i="5"/>
  <c r="CR317" i="5"/>
  <c r="FC317" i="5"/>
  <c r="FA309" i="5"/>
  <c r="CU309" i="5"/>
  <c r="CO259" i="5"/>
  <c r="FA259" i="5"/>
  <c r="FA399" i="5"/>
  <c r="CU399" i="5"/>
  <c r="ES22" i="5"/>
  <c r="ET22" i="5" s="1"/>
  <c r="AV114" i="5"/>
  <c r="AW500" i="5"/>
  <c r="DO500" i="5"/>
  <c r="EG500" i="5" s="1"/>
  <c r="EJ500" i="5" s="1"/>
  <c r="EK500" i="5" s="1"/>
  <c r="CX336" i="5"/>
  <c r="FC336" i="5"/>
  <c r="DN100" i="5"/>
  <c r="AW273" i="5"/>
  <c r="CH273" i="5" s="1"/>
  <c r="CW325" i="5"/>
  <c r="FD325" i="5"/>
  <c r="EA338" i="5"/>
  <c r="EB338" i="5"/>
  <c r="CC295" i="5"/>
  <c r="CE295" i="5" s="1"/>
  <c r="CJ295" i="5" s="1"/>
  <c r="FC303" i="5"/>
  <c r="CR303" i="5"/>
  <c r="CQ374" i="5"/>
  <c r="FD374" i="5"/>
  <c r="FC439" i="5"/>
  <c r="CR439" i="5"/>
  <c r="CE266" i="5"/>
  <c r="CJ266" i="5" s="1"/>
  <c r="EA369" i="5"/>
  <c r="EB369" i="5"/>
  <c r="CW429" i="5"/>
  <c r="FD429" i="5"/>
  <c r="DG420" i="5"/>
  <c r="EN379" i="5"/>
  <c r="EO379" i="5" s="1"/>
  <c r="EP379" i="5" s="1"/>
  <c r="ES26" i="5"/>
  <c r="AV120" i="5"/>
  <c r="AV89" i="5"/>
  <c r="BJ39" i="5"/>
  <c r="EC39" i="5" s="1"/>
  <c r="DJ28" i="5"/>
  <c r="DI28" i="5"/>
  <c r="CE41" i="5"/>
  <c r="EA399" i="5"/>
  <c r="AW469" i="5"/>
  <c r="DO469" i="5"/>
  <c r="EG469" i="5" s="1"/>
  <c r="EJ469" i="5" s="1"/>
  <c r="EK469" i="5" s="1"/>
  <c r="AW490" i="5"/>
  <c r="DO490" i="5"/>
  <c r="EG490" i="5" s="1"/>
  <c r="EJ490" i="5" s="1"/>
  <c r="EK490" i="5" s="1"/>
  <c r="CE37" i="5"/>
  <c r="ET101" i="5"/>
  <c r="DI34" i="5"/>
  <c r="DJ34" i="5"/>
  <c r="FD347" i="5"/>
  <c r="CQ347" i="5"/>
  <c r="CE297" i="5"/>
  <c r="CJ297" i="5" s="1"/>
  <c r="FA314" i="5"/>
  <c r="CU314" i="5"/>
  <c r="CE304" i="5"/>
  <c r="CJ304" i="5" s="1"/>
  <c r="EN442" i="5"/>
  <c r="EO442" i="5" s="1"/>
  <c r="EP442" i="5" s="1"/>
  <c r="EB411" i="5"/>
  <c r="EA411" i="5"/>
  <c r="CE426" i="5"/>
  <c r="CJ426" i="5" s="1"/>
  <c r="DG433" i="5"/>
  <c r="FD424" i="5"/>
  <c r="CW424" i="5"/>
  <c r="EN281" i="5"/>
  <c r="EO281" i="5" s="1"/>
  <c r="EP281" i="5" s="1"/>
  <c r="CO316" i="5"/>
  <c r="FA316" i="5"/>
  <c r="EN359" i="5"/>
  <c r="EO359" i="5" s="1"/>
  <c r="EP359" i="5" s="1"/>
  <c r="AV94" i="5"/>
  <c r="AV75" i="5"/>
  <c r="AV85" i="5"/>
  <c r="DH477" i="5"/>
  <c r="EL477" i="5"/>
  <c r="EM477" i="5"/>
  <c r="CR95" i="5"/>
  <c r="FC95" i="5"/>
  <c r="EN31" i="5"/>
  <c r="EO31" i="5" s="1"/>
  <c r="EP31" i="5" s="1"/>
  <c r="AW263" i="5"/>
  <c r="CH263" i="5" s="1"/>
  <c r="EO45" i="5"/>
  <c r="EP45" i="5" s="1"/>
  <c r="CE305" i="5"/>
  <c r="CJ305" i="5" s="1"/>
  <c r="EA301" i="5"/>
  <c r="EB301" i="5"/>
  <c r="CC407" i="5"/>
  <c r="CE407" i="5" s="1"/>
  <c r="CJ407" i="5" s="1"/>
  <c r="EN365" i="5"/>
  <c r="EO365" i="5"/>
  <c r="EP365" i="5" s="1"/>
  <c r="EN396" i="5"/>
  <c r="EO396" i="5" s="1"/>
  <c r="EP396" i="5" s="1"/>
  <c r="CC382" i="5"/>
  <c r="CE382" i="5" s="1"/>
  <c r="CJ382" i="5" s="1"/>
  <c r="CR447" i="5"/>
  <c r="FC447" i="5"/>
  <c r="DG318" i="5"/>
  <c r="EN260" i="5"/>
  <c r="EO260" i="5" s="1"/>
  <c r="EP260" i="5" s="1"/>
  <c r="CO303" i="5"/>
  <c r="FA303" i="5"/>
  <c r="AV78" i="5"/>
  <c r="AO22" i="5"/>
  <c r="DH479" i="5"/>
  <c r="EL479" i="5"/>
  <c r="EM479" i="5"/>
  <c r="BB350" i="5"/>
  <c r="EB391" i="5"/>
  <c r="EB332" i="5"/>
  <c r="CX261" i="5"/>
  <c r="FC261" i="5"/>
  <c r="FC274" i="5"/>
  <c r="CX274" i="5"/>
  <c r="FB153" i="5"/>
  <c r="CV153" i="5"/>
  <c r="AT260" i="5"/>
  <c r="BE108" i="5"/>
  <c r="BF108" i="5" s="1"/>
  <c r="BH108" i="5" s="1"/>
  <c r="BU108" i="5"/>
  <c r="FS108" i="5"/>
  <c r="BL108" i="5"/>
  <c r="DT108" i="5" s="1"/>
  <c r="DV108" i="5" s="1"/>
  <c r="BT108" i="5"/>
  <c r="BX123" i="5"/>
  <c r="BY123" i="5" s="1"/>
  <c r="FS123" i="5"/>
  <c r="DC133" i="5"/>
  <c r="DY133" i="5"/>
  <c r="DF133" i="5"/>
  <c r="DN146" i="5"/>
  <c r="FR139" i="5"/>
  <c r="FU139" i="5" s="1"/>
  <c r="CM139" i="5" s="1"/>
  <c r="AY139" i="5"/>
  <c r="AZ139" i="5" s="1"/>
  <c r="CI139" i="5" s="1"/>
  <c r="BE139" i="5"/>
  <c r="BF139" i="5" s="1"/>
  <c r="BH139" i="5" s="1"/>
  <c r="BU139" i="5"/>
  <c r="BL139" i="5"/>
  <c r="DT139" i="5" s="1"/>
  <c r="DV139" i="5" s="1"/>
  <c r="BT139" i="5"/>
  <c r="DY212" i="5"/>
  <c r="DF212" i="5"/>
  <c r="AU205" i="5"/>
  <c r="AY176" i="5"/>
  <c r="FR176" i="5"/>
  <c r="EB189" i="5"/>
  <c r="FS190" i="5"/>
  <c r="BL190" i="5"/>
  <c r="DT190" i="5" s="1"/>
  <c r="DV190" i="5" s="1"/>
  <c r="EB190" i="5" s="1"/>
  <c r="BT190" i="5"/>
  <c r="BU190" i="5"/>
  <c r="AU232" i="5"/>
  <c r="BL223" i="5"/>
  <c r="DT223" i="5" s="1"/>
  <c r="DV223" i="5" s="1"/>
  <c r="BT223" i="5"/>
  <c r="BU223" i="5"/>
  <c r="FS223" i="5"/>
  <c r="DF66" i="5"/>
  <c r="DC66" i="5"/>
  <c r="AR91" i="5"/>
  <c r="CG91" i="5" s="1"/>
  <c r="DD91" i="5"/>
  <c r="ES91" i="5" s="1"/>
  <c r="AR59" i="5"/>
  <c r="CG59" i="5" s="1"/>
  <c r="DD59" i="5"/>
  <c r="ES59" i="5" s="1"/>
  <c r="DN287" i="5"/>
  <c r="BC287" i="5"/>
  <c r="BC418" i="5"/>
  <c r="DN418" i="5"/>
  <c r="DN322" i="5"/>
  <c r="BC322" i="5"/>
  <c r="BD322" i="5" s="1"/>
  <c r="DN379" i="5"/>
  <c r="BC379" i="5"/>
  <c r="BD379" i="5" s="1"/>
  <c r="BC439" i="5"/>
  <c r="DN439" i="5"/>
  <c r="BC386" i="5"/>
  <c r="DN386" i="5"/>
  <c r="AS432" i="5"/>
  <c r="AT432" i="5" s="1"/>
  <c r="AT320" i="5"/>
  <c r="BB320" i="5"/>
  <c r="DG99" i="5"/>
  <c r="AW280" i="5"/>
  <c r="CH280" i="5" s="1"/>
  <c r="CE326" i="5"/>
  <c r="CJ326" i="5" s="1"/>
  <c r="AR105" i="5"/>
  <c r="DD105" i="5"/>
  <c r="AR113" i="5"/>
  <c r="CG113" i="5" s="1"/>
  <c r="DD113" i="5"/>
  <c r="DD122" i="5"/>
  <c r="AR122" i="5"/>
  <c r="CG122" i="5" s="1"/>
  <c r="AY118" i="5"/>
  <c r="AZ118" i="5" s="1"/>
  <c r="FR118" i="5"/>
  <c r="FU118" i="5" s="1"/>
  <c r="FR108" i="5"/>
  <c r="FU108" i="5" s="1"/>
  <c r="AY108" i="5"/>
  <c r="AZ108" i="5" s="1"/>
  <c r="BL113" i="5"/>
  <c r="DT113" i="5" s="1"/>
  <c r="DV113" i="5" s="1"/>
  <c r="BT113" i="5"/>
  <c r="FS113" i="5"/>
  <c r="FU113" i="5" s="1"/>
  <c r="CM113" i="5" s="1"/>
  <c r="BU113" i="5"/>
  <c r="BE113" i="5"/>
  <c r="BL121" i="5"/>
  <c r="DT121" i="5" s="1"/>
  <c r="DV121" i="5" s="1"/>
  <c r="BT121" i="5"/>
  <c r="BE121" i="5"/>
  <c r="BF121" i="5" s="1"/>
  <c r="BH121" i="5" s="1"/>
  <c r="BU121" i="5"/>
  <c r="DC113" i="5"/>
  <c r="DF113" i="5"/>
  <c r="DC120" i="5"/>
  <c r="DF120" i="5"/>
  <c r="AR165" i="5"/>
  <c r="DC165" i="5"/>
  <c r="DC157" i="5"/>
  <c r="AR157" i="5"/>
  <c r="AU162" i="5"/>
  <c r="AV162" i="5" s="1"/>
  <c r="BL166" i="5"/>
  <c r="DT166" i="5" s="1"/>
  <c r="DV166" i="5" s="1"/>
  <c r="BU166" i="5"/>
  <c r="AY166" i="5"/>
  <c r="FR166" i="5"/>
  <c r="FU166" i="5" s="1"/>
  <c r="AN166" i="5"/>
  <c r="DO166" i="5" s="1"/>
  <c r="BT158" i="5"/>
  <c r="BU158" i="5"/>
  <c r="BL158" i="5"/>
  <c r="DT158" i="5" s="1"/>
  <c r="DV158" i="5" s="1"/>
  <c r="EB158" i="5" s="1"/>
  <c r="AY158" i="5"/>
  <c r="FR158" i="5"/>
  <c r="FU158" i="5" s="1"/>
  <c r="AN158" i="5"/>
  <c r="DO158" i="5" s="1"/>
  <c r="DC249" i="5"/>
  <c r="AR249" i="5"/>
  <c r="CG249" i="5" s="1"/>
  <c r="BL248" i="5"/>
  <c r="DT248" i="5" s="1"/>
  <c r="DV248" i="5" s="1"/>
  <c r="FS248" i="5"/>
  <c r="BU248" i="5"/>
  <c r="AU249" i="5"/>
  <c r="AV249" i="5" s="1"/>
  <c r="FU129" i="5"/>
  <c r="CM129" i="5" s="1"/>
  <c r="DC129" i="5"/>
  <c r="DY129" i="5"/>
  <c r="DF129" i="5"/>
  <c r="DC137" i="5"/>
  <c r="DY137" i="5"/>
  <c r="DF137" i="5"/>
  <c r="FU137" i="5"/>
  <c r="CM137" i="5" s="1"/>
  <c r="FU145" i="5"/>
  <c r="CM145" i="5" s="1"/>
  <c r="DC145" i="5"/>
  <c r="DY145" i="5"/>
  <c r="DF145" i="5"/>
  <c r="DN142" i="5"/>
  <c r="DN134" i="5"/>
  <c r="DN126" i="5"/>
  <c r="FR143" i="5"/>
  <c r="BE143" i="5"/>
  <c r="BG143" i="5" s="1"/>
  <c r="BL143" i="5"/>
  <c r="DT143" i="5" s="1"/>
  <c r="DV143" i="5" s="1"/>
  <c r="BU143" i="5"/>
  <c r="BT143" i="5"/>
  <c r="AY135" i="5"/>
  <c r="AZ135" i="5" s="1"/>
  <c r="CI135" i="5" s="1"/>
  <c r="FR135" i="5"/>
  <c r="FU135" i="5" s="1"/>
  <c r="CM135" i="5" s="1"/>
  <c r="BU135" i="5"/>
  <c r="BL135" i="5"/>
  <c r="DT135" i="5" s="1"/>
  <c r="DV135" i="5" s="1"/>
  <c r="BT135" i="5"/>
  <c r="BE135" i="5"/>
  <c r="AY130" i="5"/>
  <c r="AZ130" i="5" s="1"/>
  <c r="CI130" i="5" s="1"/>
  <c r="FR130" i="5"/>
  <c r="FU130" i="5" s="1"/>
  <c r="CM130" i="5" s="1"/>
  <c r="BE130" i="5"/>
  <c r="BF130" i="5" s="1"/>
  <c r="BH130" i="5" s="1"/>
  <c r="BL130" i="5"/>
  <c r="DT130" i="5" s="1"/>
  <c r="DV130" i="5" s="1"/>
  <c r="BT130" i="5"/>
  <c r="BU130" i="5"/>
  <c r="BF143" i="5"/>
  <c r="BH143" i="5" s="1"/>
  <c r="BF135" i="5"/>
  <c r="BH135" i="5" s="1"/>
  <c r="BG135" i="5"/>
  <c r="BI135" i="5" s="1"/>
  <c r="DY208" i="5"/>
  <c r="DF208" i="5"/>
  <c r="DY198" i="5"/>
  <c r="DF198" i="5"/>
  <c r="AY214" i="5"/>
  <c r="FR214" i="5"/>
  <c r="FR204" i="5"/>
  <c r="AY204" i="5"/>
  <c r="AY210" i="5"/>
  <c r="FR210" i="5"/>
  <c r="AU209" i="5"/>
  <c r="AU201" i="5"/>
  <c r="FR194" i="5"/>
  <c r="AY194" i="5"/>
  <c r="AY185" i="5"/>
  <c r="FR185" i="5"/>
  <c r="AY173" i="5"/>
  <c r="FR173" i="5"/>
  <c r="AY193" i="5"/>
  <c r="FR193" i="5"/>
  <c r="DF173" i="5"/>
  <c r="DF181" i="5"/>
  <c r="DF189" i="5"/>
  <c r="AU189" i="5"/>
  <c r="AU181" i="5"/>
  <c r="AU173" i="5"/>
  <c r="BL169" i="5"/>
  <c r="DT169" i="5" s="1"/>
  <c r="DV169" i="5" s="1"/>
  <c r="EB169" i="5" s="1"/>
  <c r="BT169" i="5"/>
  <c r="BU169" i="5"/>
  <c r="FS169" i="5"/>
  <c r="BT177" i="5"/>
  <c r="FS177" i="5"/>
  <c r="BL177" i="5"/>
  <c r="DT177" i="5" s="1"/>
  <c r="DV177" i="5" s="1"/>
  <c r="EB177" i="5" s="1"/>
  <c r="BU177" i="5"/>
  <c r="FS194" i="5"/>
  <c r="BL194" i="5"/>
  <c r="DT194" i="5" s="1"/>
  <c r="DV194" i="5" s="1"/>
  <c r="EB194" i="5" s="1"/>
  <c r="BT194" i="5"/>
  <c r="BU194" i="5"/>
  <c r="FS186" i="5"/>
  <c r="BL186" i="5"/>
  <c r="DT186" i="5" s="1"/>
  <c r="DV186" i="5" s="1"/>
  <c r="EB186" i="5" s="1"/>
  <c r="BT186" i="5"/>
  <c r="BV186" i="5" s="1"/>
  <c r="CC186" i="5" s="1"/>
  <c r="BU186" i="5"/>
  <c r="AU220" i="5"/>
  <c r="AU228" i="5"/>
  <c r="AU236" i="5"/>
  <c r="AU245" i="5"/>
  <c r="BL244" i="5"/>
  <c r="DT244" i="5" s="1"/>
  <c r="DV244" i="5" s="1"/>
  <c r="FS244" i="5"/>
  <c r="FU244" i="5" s="1"/>
  <c r="CM244" i="5" s="1"/>
  <c r="BT244" i="5"/>
  <c r="BU244" i="5"/>
  <c r="BL236" i="5"/>
  <c r="DT236" i="5" s="1"/>
  <c r="DV236" i="5" s="1"/>
  <c r="FS236" i="5"/>
  <c r="FU236" i="5" s="1"/>
  <c r="CM236" i="5" s="1"/>
  <c r="BT236" i="5"/>
  <c r="BU236" i="5"/>
  <c r="BL228" i="5"/>
  <c r="DT228" i="5" s="1"/>
  <c r="DV228" i="5" s="1"/>
  <c r="FS228" i="5"/>
  <c r="FU228" i="5" s="1"/>
  <c r="CM228" i="5" s="1"/>
  <c r="BT228" i="5"/>
  <c r="BU228" i="5"/>
  <c r="FS219" i="5"/>
  <c r="FU219" i="5" s="1"/>
  <c r="BL219" i="5"/>
  <c r="DT219" i="5" s="1"/>
  <c r="DV219" i="5" s="1"/>
  <c r="BT219" i="5"/>
  <c r="BU219" i="5"/>
  <c r="DY222" i="5"/>
  <c r="DF222" i="5"/>
  <c r="FU222" i="5"/>
  <c r="DY230" i="5"/>
  <c r="DF230" i="5"/>
  <c r="DY238" i="5"/>
  <c r="DF238" i="5"/>
  <c r="DY246" i="5"/>
  <c r="DF246" i="5"/>
  <c r="AK167" i="5"/>
  <c r="AO167" i="5" s="1"/>
  <c r="DC54" i="5"/>
  <c r="DF54" i="5"/>
  <c r="DC62" i="5"/>
  <c r="DF62" i="5"/>
  <c r="DC70" i="5"/>
  <c r="DF70" i="5"/>
  <c r="DC78" i="5"/>
  <c r="DF78" i="5"/>
  <c r="DC86" i="5"/>
  <c r="DF86" i="5"/>
  <c r="DC94" i="5"/>
  <c r="DF94" i="5"/>
  <c r="AR87" i="5"/>
  <c r="CG87" i="5" s="1"/>
  <c r="DD87" i="5"/>
  <c r="ES87" i="5" s="1"/>
  <c r="AR79" i="5"/>
  <c r="CG79" i="5" s="1"/>
  <c r="DD79" i="5"/>
  <c r="AR71" i="5"/>
  <c r="CG71" i="5" s="1"/>
  <c r="DD71" i="5"/>
  <c r="AR63" i="5"/>
  <c r="DD63" i="5"/>
  <c r="AR55" i="5"/>
  <c r="CG55" i="5" s="1"/>
  <c r="DD55" i="5"/>
  <c r="DN315" i="5"/>
  <c r="BC315" i="5"/>
  <c r="BD315" i="5" s="1"/>
  <c r="DN411" i="5"/>
  <c r="BC411" i="5"/>
  <c r="BD411" i="5" s="1"/>
  <c r="DN362" i="5"/>
  <c r="BC362" i="5"/>
  <c r="BC283" i="5"/>
  <c r="DN283" i="5"/>
  <c r="DN364" i="5"/>
  <c r="BC364" i="5"/>
  <c r="BD364" i="5" s="1"/>
  <c r="DN413" i="5"/>
  <c r="BC413" i="5"/>
  <c r="DN357" i="5"/>
  <c r="BC357" i="5"/>
  <c r="DN424" i="5"/>
  <c r="BC424" i="5"/>
  <c r="DN450" i="5"/>
  <c r="BC450" i="5"/>
  <c r="BD450" i="5" s="1"/>
  <c r="BC336" i="5"/>
  <c r="DN336" i="5"/>
  <c r="BC426" i="5"/>
  <c r="DN426" i="5"/>
  <c r="BC333" i="5"/>
  <c r="BD333" i="5" s="1"/>
  <c r="DN333" i="5"/>
  <c r="DN416" i="5"/>
  <c r="BC416" i="5"/>
  <c r="DN350" i="5"/>
  <c r="BC350" i="5"/>
  <c r="DN429" i="5"/>
  <c r="BC429" i="5"/>
  <c r="BC343" i="5"/>
  <c r="BD343" i="5" s="1"/>
  <c r="DN343" i="5"/>
  <c r="BC406" i="5"/>
  <c r="DN406" i="5"/>
  <c r="BB287" i="5"/>
  <c r="AT287" i="5"/>
  <c r="AS368" i="5"/>
  <c r="BB368" i="5" s="1"/>
  <c r="DN496" i="5"/>
  <c r="BC496" i="5"/>
  <c r="BD496" i="5" s="1"/>
  <c r="AS431" i="5"/>
  <c r="BB431" i="5" s="1"/>
  <c r="BB392" i="5"/>
  <c r="AT392" i="5"/>
  <c r="AT449" i="5"/>
  <c r="BB449" i="5"/>
  <c r="AT295" i="5"/>
  <c r="BB295" i="5"/>
  <c r="BB369" i="5"/>
  <c r="AT369" i="5"/>
  <c r="DJ36" i="5"/>
  <c r="DI36" i="5"/>
  <c r="CE33" i="5"/>
  <c r="CX300" i="5"/>
  <c r="FC300" i="5"/>
  <c r="CX256" i="5"/>
  <c r="FC256" i="5"/>
  <c r="FC377" i="5"/>
  <c r="CX377" i="5"/>
  <c r="BG104" i="5"/>
  <c r="BF104" i="5"/>
  <c r="BH104" i="5" s="1"/>
  <c r="BV329" i="5"/>
  <c r="CC329" i="5" s="1"/>
  <c r="CE329" i="5" s="1"/>
  <c r="CJ329" i="5" s="1"/>
  <c r="CR97" i="5"/>
  <c r="FC97" i="5"/>
  <c r="FA151" i="5"/>
  <c r="CU151" i="5"/>
  <c r="EA366" i="5"/>
  <c r="EB366" i="5"/>
  <c r="FD373" i="5"/>
  <c r="CW373" i="5"/>
  <c r="FC409" i="5"/>
  <c r="CR409" i="5"/>
  <c r="EB279" i="5"/>
  <c r="EA279" i="5"/>
  <c r="FD432" i="5"/>
  <c r="CQ432" i="5"/>
  <c r="AS310" i="5"/>
  <c r="BB310" i="5" s="1"/>
  <c r="CO285" i="5"/>
  <c r="FA285" i="5"/>
  <c r="EN318" i="5"/>
  <c r="EO318" i="5" s="1"/>
  <c r="EP318" i="5" s="1"/>
  <c r="EN415" i="5"/>
  <c r="EO415" i="5" s="1"/>
  <c r="EP415" i="5" s="1"/>
  <c r="ES28" i="5"/>
  <c r="ET28" i="5" s="1"/>
  <c r="AW374" i="5"/>
  <c r="CH374" i="5" s="1"/>
  <c r="EN30" i="5"/>
  <c r="EO30" i="5" s="1"/>
  <c r="EP30" i="5" s="1"/>
  <c r="DG435" i="5"/>
  <c r="FC405" i="5"/>
  <c r="CX405" i="5"/>
  <c r="EB323" i="5"/>
  <c r="DI52" i="5"/>
  <c r="DJ52" i="5"/>
  <c r="CR370" i="5"/>
  <c r="FC370" i="5"/>
  <c r="EN328" i="5"/>
  <c r="EO328" i="5" s="1"/>
  <c r="EP328" i="5" s="1"/>
  <c r="DG281" i="5"/>
  <c r="DG258" i="5"/>
  <c r="EB292" i="5"/>
  <c r="EA292" i="5"/>
  <c r="FC384" i="5"/>
  <c r="CR384" i="5"/>
  <c r="BV371" i="5"/>
  <c r="CC371" i="5" s="1"/>
  <c r="CE371" i="5" s="1"/>
  <c r="CJ371" i="5" s="1"/>
  <c r="FD436" i="5"/>
  <c r="CQ436" i="5"/>
  <c r="EN268" i="5"/>
  <c r="EO268" i="5" s="1"/>
  <c r="EP268" i="5" s="1"/>
  <c r="EN311" i="5"/>
  <c r="EO311" i="5" s="1"/>
  <c r="EP311" i="5" s="1"/>
  <c r="EN451" i="5"/>
  <c r="EO451" i="5" s="1"/>
  <c r="EP451" i="5" s="1"/>
  <c r="AV115" i="5"/>
  <c r="ET21" i="5"/>
  <c r="AW335" i="5"/>
  <c r="CH335" i="5" s="1"/>
  <c r="AW482" i="5"/>
  <c r="DO482" i="5"/>
  <c r="EG482" i="5" s="1"/>
  <c r="EJ482" i="5" s="1"/>
  <c r="EK482" i="5" s="1"/>
  <c r="AS419" i="5"/>
  <c r="BB419" i="5" s="1"/>
  <c r="FC335" i="5"/>
  <c r="CR335" i="5"/>
  <c r="EA359" i="5"/>
  <c r="EB359" i="5"/>
  <c r="CR265" i="5"/>
  <c r="FC265" i="5"/>
  <c r="EA450" i="5"/>
  <c r="EB450" i="5"/>
  <c r="EB262" i="5"/>
  <c r="EA262" i="5"/>
  <c r="CE427" i="5"/>
  <c r="CJ427" i="5" s="1"/>
  <c r="BV442" i="5"/>
  <c r="CC442" i="5" s="1"/>
  <c r="CE442" i="5" s="1"/>
  <c r="CJ442" i="5" s="1"/>
  <c r="CW357" i="5"/>
  <c r="FD357" i="5"/>
  <c r="FA273" i="5"/>
  <c r="CU273" i="5"/>
  <c r="CU391" i="5"/>
  <c r="FA391" i="5"/>
  <c r="AW380" i="5"/>
  <c r="CH380" i="5" s="1"/>
  <c r="BJ25" i="5"/>
  <c r="EC25" i="5" s="1"/>
  <c r="AW333" i="5"/>
  <c r="CH333" i="5" s="1"/>
  <c r="EA258" i="5"/>
  <c r="FD153" i="5"/>
  <c r="CW153" i="5"/>
  <c r="BB290" i="5"/>
  <c r="AT290" i="5"/>
  <c r="BV286" i="5"/>
  <c r="CC286" i="5" s="1"/>
  <c r="CE286" i="5" s="1"/>
  <c r="CJ286" i="5" s="1"/>
  <c r="FC368" i="5"/>
  <c r="CR368" i="5"/>
  <c r="FD339" i="5"/>
  <c r="CQ339" i="5"/>
  <c r="BV274" i="5"/>
  <c r="CC274" i="5" s="1"/>
  <c r="CE274" i="5" s="1"/>
  <c r="CJ274" i="5" s="1"/>
  <c r="BV431" i="5"/>
  <c r="CC431" i="5" s="1"/>
  <c r="CE431" i="5" s="1"/>
  <c r="CJ431" i="5" s="1"/>
  <c r="BV256" i="5"/>
  <c r="CC256" i="5" s="1"/>
  <c r="CE256" i="5" s="1"/>
  <c r="CJ256" i="5" s="1"/>
  <c r="CC361" i="5"/>
  <c r="CE361" i="5" s="1"/>
  <c r="CJ361" i="5" s="1"/>
  <c r="DG421" i="5"/>
  <c r="BV444" i="5"/>
  <c r="CC444" i="5" s="1"/>
  <c r="CE444" i="5" s="1"/>
  <c r="CJ444" i="5" s="1"/>
  <c r="EN392" i="5"/>
  <c r="EO392" i="5" s="1"/>
  <c r="EP392" i="5" s="1"/>
  <c r="BD260" i="5"/>
  <c r="CO272" i="5"/>
  <c r="FA272" i="5"/>
  <c r="EN287" i="5"/>
  <c r="EO287" i="5" s="1"/>
  <c r="EP287" i="5" s="1"/>
  <c r="ES45" i="5"/>
  <c r="DG407" i="5"/>
  <c r="AW285" i="5"/>
  <c r="CH285" i="5" s="1"/>
  <c r="AT339" i="5"/>
  <c r="CX306" i="5"/>
  <c r="FC306" i="5"/>
  <c r="CE29" i="5"/>
  <c r="BG98" i="5"/>
  <c r="BF98" i="5"/>
  <c r="BH98" i="5" s="1"/>
  <c r="DG102" i="5"/>
  <c r="EA330" i="5"/>
  <c r="EB330" i="5"/>
  <c r="EN382" i="5"/>
  <c r="EO382" i="5" s="1"/>
  <c r="EP382" i="5" s="1"/>
  <c r="BV261" i="5"/>
  <c r="CC261" i="5" s="1"/>
  <c r="CE261" i="5" s="1"/>
  <c r="CJ261" i="5" s="1"/>
  <c r="EA284" i="5"/>
  <c r="EB284" i="5"/>
  <c r="BV278" i="5"/>
  <c r="CC278" i="5" s="1"/>
  <c r="CE278" i="5" s="1"/>
  <c r="CJ278" i="5" s="1"/>
  <c r="CQ348" i="5"/>
  <c r="FD348" i="5"/>
  <c r="FD365" i="5"/>
  <c r="CW365" i="5"/>
  <c r="CQ317" i="5"/>
  <c r="FD317" i="5"/>
  <c r="BV416" i="5"/>
  <c r="CC416" i="5" s="1"/>
  <c r="CE416" i="5" s="1"/>
  <c r="CJ416" i="5" s="1"/>
  <c r="AS292" i="5"/>
  <c r="BB292" i="5" s="1"/>
  <c r="BD292" i="5" s="1"/>
  <c r="EN309" i="5"/>
  <c r="EO309" i="5" s="1"/>
  <c r="EP309" i="5" s="1"/>
  <c r="EN259" i="5"/>
  <c r="EO259" i="5" s="1"/>
  <c r="EP259" i="5" s="1"/>
  <c r="EN399" i="5"/>
  <c r="EO399" i="5" s="1"/>
  <c r="EP399" i="5" s="1"/>
  <c r="AV72" i="5"/>
  <c r="CX310" i="5"/>
  <c r="FC310" i="5"/>
  <c r="ET150" i="5"/>
  <c r="EA344" i="5"/>
  <c r="FC429" i="5"/>
  <c r="CX429" i="5"/>
  <c r="DI42" i="5"/>
  <c r="DJ42" i="5"/>
  <c r="AW337" i="5"/>
  <c r="CH337" i="5" s="1"/>
  <c r="DI26" i="5"/>
  <c r="DJ26" i="5"/>
  <c r="EB325" i="5"/>
  <c r="EA325" i="5"/>
  <c r="FD338" i="5"/>
  <c r="CW338" i="5"/>
  <c r="EB295" i="5"/>
  <c r="EA295" i="5"/>
  <c r="BV293" i="5"/>
  <c r="CC293" i="5" s="1"/>
  <c r="CE293" i="5" s="1"/>
  <c r="CJ293" i="5" s="1"/>
  <c r="FD397" i="5"/>
  <c r="CQ397" i="5"/>
  <c r="CE267" i="5"/>
  <c r="CJ267" i="5" s="1"/>
  <c r="CE303" i="5"/>
  <c r="CJ303" i="5" s="1"/>
  <c r="DG374" i="5"/>
  <c r="CE439" i="5"/>
  <c r="CJ439" i="5" s="1"/>
  <c r="EA266" i="5"/>
  <c r="EB266" i="5"/>
  <c r="AS414" i="5"/>
  <c r="AT414" i="5" s="1"/>
  <c r="FA313" i="5"/>
  <c r="CU313" i="5"/>
  <c r="CU263" i="5"/>
  <c r="FA263" i="5"/>
  <c r="FA403" i="5"/>
  <c r="CO403" i="5"/>
  <c r="ES52" i="5"/>
  <c r="ET52" i="5" s="1"/>
  <c r="AV66" i="5"/>
  <c r="AV57" i="5"/>
  <c r="DN278" i="5"/>
  <c r="BC278" i="5"/>
  <c r="EQ480" i="5"/>
  <c r="FC305" i="5"/>
  <c r="CX305" i="5"/>
  <c r="CE95" i="5"/>
  <c r="CJ95" i="5" s="1"/>
  <c r="BD486" i="5"/>
  <c r="BV299" i="5"/>
  <c r="CC299" i="5" s="1"/>
  <c r="CE299" i="5" s="1"/>
  <c r="CJ299" i="5" s="1"/>
  <c r="BV402" i="5"/>
  <c r="CC402" i="5" s="1"/>
  <c r="CE402" i="5" s="1"/>
  <c r="CJ402" i="5" s="1"/>
  <c r="EN314" i="5"/>
  <c r="EO314" i="5" s="1"/>
  <c r="EP314" i="5" s="1"/>
  <c r="EA304" i="5"/>
  <c r="EB304" i="5"/>
  <c r="CR378" i="5"/>
  <c r="FC378" i="5"/>
  <c r="BV314" i="5"/>
  <c r="CC314" i="5" s="1"/>
  <c r="CE314" i="5" s="1"/>
  <c r="CJ314" i="5" s="1"/>
  <c r="BV345" i="5"/>
  <c r="CC345" i="5" s="1"/>
  <c r="CE345" i="5" s="1"/>
  <c r="CJ345" i="5" s="1"/>
  <c r="FA297" i="5"/>
  <c r="CU297" i="5"/>
  <c r="FA326" i="5"/>
  <c r="CO326" i="5"/>
  <c r="FA407" i="5"/>
  <c r="CU407" i="5"/>
  <c r="AW330" i="5"/>
  <c r="CH330" i="5" s="1"/>
  <c r="AT344" i="5"/>
  <c r="AT319" i="5"/>
  <c r="AW474" i="5"/>
  <c r="DO474" i="5"/>
  <c r="EG474" i="5" s="1"/>
  <c r="EJ474" i="5" s="1"/>
  <c r="EK474" i="5" s="1"/>
  <c r="ET26" i="5"/>
  <c r="BD494" i="5"/>
  <c r="CR272" i="5"/>
  <c r="FC272" i="5"/>
  <c r="EA305" i="5"/>
  <c r="EB305" i="5"/>
  <c r="CU365" i="5"/>
  <c r="FA365" i="5"/>
  <c r="DG382" i="5"/>
  <c r="CE447" i="5"/>
  <c r="CJ447" i="5" s="1"/>
  <c r="BV389" i="5"/>
  <c r="CC389" i="5" s="1"/>
  <c r="CE389" i="5" s="1"/>
  <c r="CJ389" i="5" s="1"/>
  <c r="BD252" i="5"/>
  <c r="CU260" i="5"/>
  <c r="FA260" i="5"/>
  <c r="EN303" i="5"/>
  <c r="EO303" i="5" s="1"/>
  <c r="EP303" i="5" s="1"/>
  <c r="ES27" i="5"/>
  <c r="ET27" i="5" s="1"/>
  <c r="AT269" i="5"/>
  <c r="BB367" i="5"/>
  <c r="FC365" i="5"/>
  <c r="CX365" i="5"/>
  <c r="AT329" i="5"/>
  <c r="BB288" i="5"/>
  <c r="BD288" i="5" s="1"/>
  <c r="AO160" i="5"/>
  <c r="DY202" i="5"/>
  <c r="DF202" i="5"/>
  <c r="AY100" i="5"/>
  <c r="AZ100" i="5" s="1"/>
  <c r="CI100" i="5" s="1"/>
  <c r="AT100" i="5"/>
  <c r="BB296" i="5"/>
  <c r="BD296" i="5" s="1"/>
  <c r="AT296" i="5"/>
  <c r="CO264" i="5"/>
  <c r="FA264" i="5"/>
  <c r="DG408" i="5"/>
  <c r="EN329" i="5"/>
  <c r="EO329" i="5" s="1"/>
  <c r="EP329" i="5" s="1"/>
  <c r="EA327" i="5"/>
  <c r="EB327" i="5"/>
  <c r="AR106" i="5"/>
  <c r="DD106" i="5"/>
  <c r="AR114" i="5"/>
  <c r="CG114" i="5" s="1"/>
  <c r="DD114" i="5"/>
  <c r="ES114" i="5" s="1"/>
  <c r="AR123" i="5"/>
  <c r="CG123" i="5" s="1"/>
  <c r="DD123" i="5"/>
  <c r="ET118" i="5"/>
  <c r="EN118" i="5"/>
  <c r="EO118" i="5" s="1"/>
  <c r="EP118" i="5" s="1"/>
  <c r="DY117" i="5"/>
  <c r="AY117" i="5"/>
  <c r="AZ117" i="5" s="1"/>
  <c r="CI117" i="5" s="1"/>
  <c r="FR117" i="5"/>
  <c r="FR107" i="5"/>
  <c r="BL114" i="5"/>
  <c r="DT114" i="5" s="1"/>
  <c r="DV114" i="5" s="1"/>
  <c r="BT114" i="5"/>
  <c r="FS114" i="5"/>
  <c r="BE114" i="5"/>
  <c r="BF114" i="5" s="1"/>
  <c r="BH114" i="5" s="1"/>
  <c r="BU114" i="5"/>
  <c r="BL122" i="5"/>
  <c r="DT122" i="5" s="1"/>
  <c r="DV122" i="5" s="1"/>
  <c r="BT122" i="5"/>
  <c r="BE122" i="5"/>
  <c r="BF122" i="5" s="1"/>
  <c r="BH122" i="5" s="1"/>
  <c r="BU122" i="5"/>
  <c r="DF112" i="5"/>
  <c r="DC112" i="5"/>
  <c r="DC121" i="5"/>
  <c r="DF121" i="5"/>
  <c r="DC164" i="5"/>
  <c r="AR164" i="5"/>
  <c r="AU161" i="5"/>
  <c r="AV161" i="5" s="1"/>
  <c r="BL165" i="5"/>
  <c r="DT165" i="5" s="1"/>
  <c r="DV165" i="5" s="1"/>
  <c r="BU165" i="5"/>
  <c r="AY165" i="5"/>
  <c r="FR165" i="5"/>
  <c r="FU165" i="5" s="1"/>
  <c r="AN165" i="5"/>
  <c r="DO165" i="5" s="1"/>
  <c r="BL157" i="5"/>
  <c r="DT157" i="5" s="1"/>
  <c r="DV157" i="5" s="1"/>
  <c r="AY157" i="5"/>
  <c r="FR157" i="5"/>
  <c r="FU157" i="5" s="1"/>
  <c r="BU157" i="5"/>
  <c r="AN157" i="5"/>
  <c r="DO157" i="5" s="1"/>
  <c r="AR250" i="5"/>
  <c r="CG250" i="5" s="1"/>
  <c r="DC250" i="5"/>
  <c r="BL251" i="5"/>
  <c r="DT251" i="5" s="1"/>
  <c r="DV251" i="5" s="1"/>
  <c r="FS251" i="5"/>
  <c r="BU251" i="5"/>
  <c r="AU250" i="5"/>
  <c r="AV250" i="5" s="1"/>
  <c r="DC130" i="5"/>
  <c r="DF130" i="5"/>
  <c r="DY130" i="5"/>
  <c r="DC138" i="5"/>
  <c r="DY138" i="5"/>
  <c r="DF138" i="5"/>
  <c r="DY146" i="5"/>
  <c r="DF146" i="5"/>
  <c r="FU146" i="5"/>
  <c r="CM146" i="5" s="1"/>
  <c r="DC146" i="5"/>
  <c r="DN141" i="5"/>
  <c r="DN133" i="5"/>
  <c r="DN125" i="5"/>
  <c r="FR142" i="5"/>
  <c r="BE142" i="5"/>
  <c r="BG142" i="5" s="1"/>
  <c r="BU142" i="5"/>
  <c r="BL142" i="5"/>
  <c r="DT142" i="5" s="1"/>
  <c r="DV142" i="5" s="1"/>
  <c r="BT142" i="5"/>
  <c r="FR134" i="5"/>
  <c r="FU134" i="5" s="1"/>
  <c r="CM134" i="5" s="1"/>
  <c r="AY134" i="5"/>
  <c r="AZ134" i="5" s="1"/>
  <c r="CI134" i="5" s="1"/>
  <c r="BT134" i="5"/>
  <c r="BE134" i="5"/>
  <c r="BF134" i="5" s="1"/>
  <c r="BH134" i="5" s="1"/>
  <c r="BU134" i="5"/>
  <c r="BL134" i="5"/>
  <c r="DT134" i="5" s="1"/>
  <c r="DV134" i="5" s="1"/>
  <c r="FR131" i="5"/>
  <c r="AY131" i="5"/>
  <c r="AZ131" i="5" s="1"/>
  <c r="CI131" i="5" s="1"/>
  <c r="BE131" i="5"/>
  <c r="BU131" i="5"/>
  <c r="BL131" i="5"/>
  <c r="DT131" i="5" s="1"/>
  <c r="DV131" i="5" s="1"/>
  <c r="BT131" i="5"/>
  <c r="BF142" i="5"/>
  <c r="BH142" i="5" s="1"/>
  <c r="BF125" i="5"/>
  <c r="BH125" i="5" s="1"/>
  <c r="BG125" i="5"/>
  <c r="DF205" i="5"/>
  <c r="DY205" i="5"/>
  <c r="DF197" i="5"/>
  <c r="DY197" i="5"/>
  <c r="AY213" i="5"/>
  <c r="FR213" i="5"/>
  <c r="AY201" i="5"/>
  <c r="FR201" i="5"/>
  <c r="AY211" i="5"/>
  <c r="FR211" i="5"/>
  <c r="AU208" i="5"/>
  <c r="AU200" i="5"/>
  <c r="FR192" i="5"/>
  <c r="AY192" i="5"/>
  <c r="FR184" i="5"/>
  <c r="AY184" i="5"/>
  <c r="FR172" i="5"/>
  <c r="AY172" i="5"/>
  <c r="AY195" i="5"/>
  <c r="AZ195" i="5" s="1"/>
  <c r="CI195" i="5" s="1"/>
  <c r="FR195" i="5"/>
  <c r="FU195" i="5" s="1"/>
  <c r="CM195" i="5" s="1"/>
  <c r="DF174" i="5"/>
  <c r="FU182" i="5"/>
  <c r="CM182" i="5" s="1"/>
  <c r="DF182" i="5"/>
  <c r="DF190" i="5"/>
  <c r="AU188" i="5"/>
  <c r="AU180" i="5"/>
  <c r="AU172" i="5"/>
  <c r="BL174" i="5"/>
  <c r="DT174" i="5" s="1"/>
  <c r="DV174" i="5" s="1"/>
  <c r="EB174" i="5" s="1"/>
  <c r="BT174" i="5"/>
  <c r="FS174" i="5"/>
  <c r="FU174" i="5" s="1"/>
  <c r="CM174" i="5" s="1"/>
  <c r="BU174" i="5"/>
  <c r="FS178" i="5"/>
  <c r="BL178" i="5"/>
  <c r="DT178" i="5" s="1"/>
  <c r="DV178" i="5" s="1"/>
  <c r="EB178" i="5" s="1"/>
  <c r="BT178" i="5"/>
  <c r="BU178" i="5"/>
  <c r="BU193" i="5"/>
  <c r="FS193" i="5"/>
  <c r="BL193" i="5"/>
  <c r="DT193" i="5" s="1"/>
  <c r="DV193" i="5" s="1"/>
  <c r="EB193" i="5" s="1"/>
  <c r="BT193" i="5"/>
  <c r="BU185" i="5"/>
  <c r="FS185" i="5"/>
  <c r="BL185" i="5"/>
  <c r="DT185" i="5" s="1"/>
  <c r="DV185" i="5" s="1"/>
  <c r="EB185" i="5" s="1"/>
  <c r="BT185" i="5"/>
  <c r="AU217" i="5"/>
  <c r="AU229" i="5"/>
  <c r="AU237" i="5"/>
  <c r="AU246" i="5"/>
  <c r="BL243" i="5"/>
  <c r="DT243" i="5" s="1"/>
  <c r="DV243" i="5" s="1"/>
  <c r="FS243" i="5"/>
  <c r="FU243" i="5" s="1"/>
  <c r="CM243" i="5" s="1"/>
  <c r="BT243" i="5"/>
  <c r="BU243" i="5"/>
  <c r="BL235" i="5"/>
  <c r="DT235" i="5" s="1"/>
  <c r="DV235" i="5" s="1"/>
  <c r="FS235" i="5"/>
  <c r="FU235" i="5" s="1"/>
  <c r="CM235" i="5" s="1"/>
  <c r="BT235" i="5"/>
  <c r="BV235" i="5" s="1"/>
  <c r="CC235" i="5" s="1"/>
  <c r="BU235" i="5"/>
  <c r="FS226" i="5"/>
  <c r="FU226" i="5" s="1"/>
  <c r="BL226" i="5"/>
  <c r="DT226" i="5" s="1"/>
  <c r="DV226" i="5" s="1"/>
  <c r="BT226" i="5"/>
  <c r="BU226" i="5"/>
  <c r="FS218" i="5"/>
  <c r="BL218" i="5"/>
  <c r="DT218" i="5" s="1"/>
  <c r="DV218" i="5" s="1"/>
  <c r="BT218" i="5"/>
  <c r="BV218" i="5" s="1"/>
  <c r="CC218" i="5" s="1"/>
  <c r="BU218" i="5"/>
  <c r="DY223" i="5"/>
  <c r="DF223" i="5"/>
  <c r="FU223" i="5"/>
  <c r="DY231" i="5"/>
  <c r="DF231" i="5"/>
  <c r="DY239" i="5"/>
  <c r="DF239" i="5"/>
  <c r="FU239" i="5"/>
  <c r="CM239" i="5" s="1"/>
  <c r="DY247" i="5"/>
  <c r="DF247" i="5"/>
  <c r="DC55" i="5"/>
  <c r="DF55" i="5"/>
  <c r="DC63" i="5"/>
  <c r="DF63" i="5"/>
  <c r="DF71" i="5"/>
  <c r="DC71" i="5"/>
  <c r="DC79" i="5"/>
  <c r="DF79" i="5"/>
  <c r="DC87" i="5"/>
  <c r="DF87" i="5"/>
  <c r="AR94" i="5"/>
  <c r="CG94" i="5" s="1"/>
  <c r="DD94" i="5"/>
  <c r="ES94" i="5" s="1"/>
  <c r="AR86" i="5"/>
  <c r="CG86" i="5" s="1"/>
  <c r="DD86" i="5"/>
  <c r="ES86" i="5" s="1"/>
  <c r="AR78" i="5"/>
  <c r="CG78" i="5" s="1"/>
  <c r="DD78" i="5"/>
  <c r="ES78" i="5" s="1"/>
  <c r="AR70" i="5"/>
  <c r="CG70" i="5" s="1"/>
  <c r="DD70" i="5"/>
  <c r="ES70" i="5" s="1"/>
  <c r="AR62" i="5"/>
  <c r="CG62" i="5" s="1"/>
  <c r="DD62" i="5"/>
  <c r="ES62" i="5" s="1"/>
  <c r="AR54" i="5"/>
  <c r="CG54" i="5" s="1"/>
  <c r="DD54" i="5"/>
  <c r="ES54" i="5" s="1"/>
  <c r="BC337" i="5"/>
  <c r="BD337" i="5" s="1"/>
  <c r="DN337" i="5"/>
  <c r="DN327" i="5"/>
  <c r="BC327" i="5"/>
  <c r="BD327" i="5" s="1"/>
  <c r="BC427" i="5"/>
  <c r="DN427" i="5"/>
  <c r="DN367" i="5"/>
  <c r="BC367" i="5"/>
  <c r="BD367" i="5" s="1"/>
  <c r="BC285" i="5"/>
  <c r="BD285" i="5" s="1"/>
  <c r="DN285" i="5"/>
  <c r="DN377" i="5"/>
  <c r="BC377" i="5"/>
  <c r="BC294" i="5"/>
  <c r="DN294" i="5"/>
  <c r="BC360" i="5"/>
  <c r="BD360" i="5" s="1"/>
  <c r="DN360" i="5"/>
  <c r="DN432" i="5"/>
  <c r="BC432" i="5"/>
  <c r="BC290" i="5"/>
  <c r="BD290" i="5" s="1"/>
  <c r="DN290" i="5"/>
  <c r="BC340" i="5"/>
  <c r="BD340" i="5" s="1"/>
  <c r="DN340" i="5"/>
  <c r="DN434" i="5"/>
  <c r="BC434" i="5"/>
  <c r="DN365" i="5"/>
  <c r="BC365" i="5"/>
  <c r="DN436" i="5"/>
  <c r="BC436" i="5"/>
  <c r="BC358" i="5"/>
  <c r="BD358" i="5" s="1"/>
  <c r="DN358" i="5"/>
  <c r="DN445" i="5"/>
  <c r="BC445" i="5"/>
  <c r="BC351" i="5"/>
  <c r="BD351" i="5" s="1"/>
  <c r="DN351" i="5"/>
  <c r="DN408" i="5"/>
  <c r="BC408" i="5"/>
  <c r="BD408" i="5" s="1"/>
  <c r="BB316" i="5"/>
  <c r="AT316" i="5"/>
  <c r="BB376" i="5"/>
  <c r="AT376" i="5"/>
  <c r="BB400" i="5"/>
  <c r="AT400" i="5"/>
  <c r="BB389" i="5"/>
  <c r="AT389" i="5"/>
  <c r="BB426" i="5"/>
  <c r="AT426" i="5"/>
  <c r="DN481" i="5"/>
  <c r="BC481" i="5"/>
  <c r="BD481" i="5" s="1"/>
  <c r="AY98" i="5"/>
  <c r="AZ98" i="5" s="1"/>
  <c r="CI98" i="5" s="1"/>
  <c r="AY99" i="5"/>
  <c r="AZ99" i="5" s="1"/>
  <c r="CI99" i="5" s="1"/>
  <c r="AT99" i="5"/>
  <c r="AY102" i="5"/>
  <c r="AZ102" i="5" s="1"/>
  <c r="CI102" i="5" s="1"/>
  <c r="BB349" i="5"/>
  <c r="AT349" i="5"/>
  <c r="BB373" i="5"/>
  <c r="AT373" i="5"/>
  <c r="DN150" i="5"/>
  <c r="AS398" i="5"/>
  <c r="AT398" i="5" s="1"/>
  <c r="AS399" i="5"/>
  <c r="BB399" i="5" s="1"/>
  <c r="BB345" i="5"/>
  <c r="AT345" i="5"/>
  <c r="ER496" i="5"/>
  <c r="BI49" i="5"/>
  <c r="CX290" i="5"/>
  <c r="FC290" i="5"/>
  <c r="DG394" i="5"/>
  <c r="BJ37" i="5"/>
  <c r="EC37" i="5" s="1"/>
  <c r="DJ43" i="5"/>
  <c r="DI43" i="5"/>
  <c r="BV104" i="5"/>
  <c r="CC104" i="5" s="1"/>
  <c r="CE104" i="5" s="1"/>
  <c r="CJ104" i="5" s="1"/>
  <c r="EB329" i="5"/>
  <c r="EA329" i="5"/>
  <c r="BV352" i="5"/>
  <c r="CC352" i="5" s="1"/>
  <c r="CE352" i="5" s="1"/>
  <c r="CJ352" i="5" s="1"/>
  <c r="BV337" i="5"/>
  <c r="CC337" i="5" s="1"/>
  <c r="CE337" i="5" s="1"/>
  <c r="CJ337" i="5" s="1"/>
  <c r="EN343" i="5"/>
  <c r="EO343" i="5" s="1"/>
  <c r="EP343" i="5" s="1"/>
  <c r="BV356" i="5"/>
  <c r="CC356" i="5" s="1"/>
  <c r="CE356" i="5" s="1"/>
  <c r="CJ356" i="5" s="1"/>
  <c r="BV386" i="5"/>
  <c r="CC386" i="5" s="1"/>
  <c r="CE386" i="5" s="1"/>
  <c r="CJ386" i="5" s="1"/>
  <c r="BV280" i="5"/>
  <c r="CC280" i="5" s="1"/>
  <c r="CE280" i="5" s="1"/>
  <c r="CJ280" i="5" s="1"/>
  <c r="BV350" i="5"/>
  <c r="CC350" i="5" s="1"/>
  <c r="CE350" i="5" s="1"/>
  <c r="CJ350" i="5" s="1"/>
  <c r="BV409" i="5"/>
  <c r="CC409" i="5" s="1"/>
  <c r="CE409" i="5" s="1"/>
  <c r="CJ409" i="5" s="1"/>
  <c r="EA432" i="5"/>
  <c r="EB432" i="5"/>
  <c r="EN252" i="5"/>
  <c r="EO252" i="5" s="1"/>
  <c r="EP252" i="5" s="1"/>
  <c r="FA301" i="5"/>
  <c r="CU301" i="5"/>
  <c r="CU275" i="5"/>
  <c r="FA275" i="5"/>
  <c r="EN447" i="5"/>
  <c r="EO447" i="5" s="1"/>
  <c r="EP447" i="5" s="1"/>
  <c r="AV109" i="5"/>
  <c r="AV55" i="5"/>
  <c r="ET30" i="5"/>
  <c r="DG282" i="5"/>
  <c r="DG428" i="5"/>
  <c r="BV268" i="5"/>
  <c r="CC268" i="5" s="1"/>
  <c r="CE268" i="5" s="1"/>
  <c r="CJ268" i="5" s="1"/>
  <c r="AS102" i="5"/>
  <c r="AT102" i="5" s="1"/>
  <c r="CU152" i="5"/>
  <c r="FA152" i="5"/>
  <c r="BV370" i="5"/>
  <c r="CC370" i="5" s="1"/>
  <c r="CE370" i="5" s="1"/>
  <c r="CJ370" i="5" s="1"/>
  <c r="CO328" i="5"/>
  <c r="FA328" i="5"/>
  <c r="BV283" i="5"/>
  <c r="CC283" i="5" s="1"/>
  <c r="CE283" i="5" s="1"/>
  <c r="CJ283" i="5" s="1"/>
  <c r="BV438" i="5"/>
  <c r="CC438" i="5" s="1"/>
  <c r="CE438" i="5" s="1"/>
  <c r="CJ438" i="5" s="1"/>
  <c r="EB354" i="5"/>
  <c r="EA354" i="5"/>
  <c r="BV384" i="5"/>
  <c r="CC384" i="5" s="1"/>
  <c r="CE384" i="5" s="1"/>
  <c r="CJ384" i="5" s="1"/>
  <c r="EA436" i="5"/>
  <c r="EB436" i="5"/>
  <c r="AS256" i="5"/>
  <c r="BB256" i="5" s="1"/>
  <c r="BD256" i="5" s="1"/>
  <c r="CU268" i="5"/>
  <c r="FA268" i="5"/>
  <c r="FA311" i="5"/>
  <c r="CO311" i="5"/>
  <c r="CO451" i="5"/>
  <c r="FA451" i="5"/>
  <c r="ES29" i="5"/>
  <c r="ET29" i="5" s="1"/>
  <c r="EA375" i="5"/>
  <c r="EO21" i="5"/>
  <c r="EP21" i="5" s="1"/>
  <c r="ET98" i="5"/>
  <c r="BJ51" i="5"/>
  <c r="EC51" i="5" s="1"/>
  <c r="BJ29" i="5"/>
  <c r="EC29" i="5" s="1"/>
  <c r="AS404" i="5"/>
  <c r="AT404" i="5" s="1"/>
  <c r="BV335" i="5"/>
  <c r="CC335" i="5" s="1"/>
  <c r="CE335" i="5" s="1"/>
  <c r="CJ335" i="5" s="1"/>
  <c r="BD497" i="5"/>
  <c r="BV265" i="5"/>
  <c r="CC265" i="5" s="1"/>
  <c r="CE265" i="5" s="1"/>
  <c r="CJ265" i="5" s="1"/>
  <c r="FC450" i="5"/>
  <c r="CR450" i="5"/>
  <c r="AS366" i="5"/>
  <c r="AT366" i="5" s="1"/>
  <c r="CR285" i="5"/>
  <c r="FC285" i="5"/>
  <c r="BV340" i="5"/>
  <c r="CC340" i="5" s="1"/>
  <c r="CE340" i="5" s="1"/>
  <c r="CJ340" i="5" s="1"/>
  <c r="DG427" i="5"/>
  <c r="EA442" i="5"/>
  <c r="EB442" i="5"/>
  <c r="BV440" i="5"/>
  <c r="CC440" i="5" s="1"/>
  <c r="CE440" i="5" s="1"/>
  <c r="CJ440" i="5" s="1"/>
  <c r="EN273" i="5"/>
  <c r="EO273" i="5" s="1"/>
  <c r="EP273" i="5" s="1"/>
  <c r="EN391" i="5"/>
  <c r="EO391" i="5" s="1"/>
  <c r="EP391" i="5" s="1"/>
  <c r="EB322" i="5"/>
  <c r="BJ28" i="5"/>
  <c r="EC28" i="5" s="1"/>
  <c r="DG339" i="5"/>
  <c r="BJ27" i="5"/>
  <c r="EC27" i="5" s="1"/>
  <c r="BG96" i="5"/>
  <c r="BF96" i="5"/>
  <c r="BH96" i="5" s="1"/>
  <c r="EA324" i="5"/>
  <c r="BV355" i="5"/>
  <c r="CC355" i="5" s="1"/>
  <c r="CE355" i="5" s="1"/>
  <c r="CJ355" i="5" s="1"/>
  <c r="AS354" i="5"/>
  <c r="AT354" i="5" s="1"/>
  <c r="EA286" i="5"/>
  <c r="EB286" i="5"/>
  <c r="BV368" i="5"/>
  <c r="CC368" i="5" s="1"/>
  <c r="CE368" i="5" s="1"/>
  <c r="CJ368" i="5" s="1"/>
  <c r="EN336" i="5"/>
  <c r="EO336" i="5" s="1"/>
  <c r="EP336" i="5" s="1"/>
  <c r="BV257" i="5"/>
  <c r="CC257" i="5" s="1"/>
  <c r="CE257" i="5" s="1"/>
  <c r="CJ257" i="5" s="1"/>
  <c r="DG274" i="5"/>
  <c r="BV344" i="5"/>
  <c r="CC344" i="5" s="1"/>
  <c r="CE344" i="5" s="1"/>
  <c r="CJ344" i="5" s="1"/>
  <c r="EB396" i="5"/>
  <c r="EA396" i="5"/>
  <c r="DG256" i="5"/>
  <c r="EB361" i="5"/>
  <c r="EA361" i="5"/>
  <c r="DG412" i="5"/>
  <c r="AS298" i="5"/>
  <c r="BB298" i="5" s="1"/>
  <c r="BD298" i="5" s="1"/>
  <c r="EN304" i="5"/>
  <c r="EO304" i="5" s="1"/>
  <c r="EP304" i="5" s="1"/>
  <c r="FA395" i="5"/>
  <c r="CO395" i="5"/>
  <c r="AV108" i="5"/>
  <c r="DX495" i="5"/>
  <c r="DI39" i="5"/>
  <c r="DJ39" i="5"/>
  <c r="EA412" i="5"/>
  <c r="EA280" i="5"/>
  <c r="ET102" i="5"/>
  <c r="DI22" i="5"/>
  <c r="DJ22" i="5"/>
  <c r="BV98" i="5"/>
  <c r="CC98" i="5" s="1"/>
  <c r="CE98" i="5" s="1"/>
  <c r="CJ98" i="5" s="1"/>
  <c r="BV410" i="5"/>
  <c r="CC410" i="5" s="1"/>
  <c r="CE410" i="5" s="1"/>
  <c r="CJ410" i="5" s="1"/>
  <c r="FA382" i="5"/>
  <c r="CU382" i="5"/>
  <c r="EB261" i="5"/>
  <c r="EA261" i="5"/>
  <c r="BV435" i="5"/>
  <c r="CC435" i="5" s="1"/>
  <c r="CE435" i="5" s="1"/>
  <c r="CJ435" i="5" s="1"/>
  <c r="EB317" i="5"/>
  <c r="EA317" i="5"/>
  <c r="AS309" i="5"/>
  <c r="AT309" i="5" s="1"/>
  <c r="FA261" i="5"/>
  <c r="CU261" i="5"/>
  <c r="EN276" i="5"/>
  <c r="EO276" i="5" s="1"/>
  <c r="EP276" i="5" s="1"/>
  <c r="FA291" i="5"/>
  <c r="CO291" i="5"/>
  <c r="EN431" i="5"/>
  <c r="EO431" i="5" s="1"/>
  <c r="EP431" i="5" s="1"/>
  <c r="AT303" i="5"/>
  <c r="CE36" i="5"/>
  <c r="AV86" i="5"/>
  <c r="EA384" i="5"/>
  <c r="EA257" i="5"/>
  <c r="CX325" i="5"/>
  <c r="FC325" i="5"/>
  <c r="BJ40" i="5"/>
  <c r="EC40" i="5" s="1"/>
  <c r="AS439" i="5"/>
  <c r="AT439" i="5" s="1"/>
  <c r="AS427" i="5"/>
  <c r="BB427" i="5" s="1"/>
  <c r="AS440" i="5"/>
  <c r="AT440" i="5" s="1"/>
  <c r="EA293" i="5"/>
  <c r="EB293" i="5"/>
  <c r="DG397" i="5"/>
  <c r="EA267" i="5"/>
  <c r="EB267" i="5"/>
  <c r="EA303" i="5"/>
  <c r="EB303" i="5"/>
  <c r="BV282" i="5"/>
  <c r="CC282" i="5" s="1"/>
  <c r="CE282" i="5" s="1"/>
  <c r="CJ282" i="5" s="1"/>
  <c r="CR390" i="5"/>
  <c r="FC390" i="5"/>
  <c r="BV259" i="5"/>
  <c r="CC259" i="5" s="1"/>
  <c r="CE259" i="5" s="1"/>
  <c r="CJ259" i="5" s="1"/>
  <c r="AS313" i="5"/>
  <c r="AT313" i="5" s="1"/>
  <c r="EN313" i="5"/>
  <c r="EO313" i="5" s="1"/>
  <c r="EP313" i="5" s="1"/>
  <c r="EN263" i="5"/>
  <c r="EO263" i="5" s="1"/>
  <c r="EP263" i="5" s="1"/>
  <c r="EN403" i="5"/>
  <c r="EO403" i="5" s="1"/>
  <c r="EP403" i="5" s="1"/>
  <c r="ES24" i="5"/>
  <c r="ET24" i="5" s="1"/>
  <c r="AV110" i="5"/>
  <c r="ET103" i="5"/>
  <c r="BC277" i="5"/>
  <c r="BD277" i="5" s="1"/>
  <c r="DN277" i="5"/>
  <c r="FC319" i="5"/>
  <c r="CX319" i="5"/>
  <c r="DG95" i="5"/>
  <c r="AS424" i="5"/>
  <c r="AT424" i="5" s="1"/>
  <c r="EB299" i="5"/>
  <c r="EA299" i="5"/>
  <c r="BV378" i="5"/>
  <c r="CC378" i="5" s="1"/>
  <c r="CE378" i="5" s="1"/>
  <c r="CJ378" i="5" s="1"/>
  <c r="CR443" i="5"/>
  <c r="FC443" i="5"/>
  <c r="BV433" i="5"/>
  <c r="CC433" i="5" s="1"/>
  <c r="CE433" i="5" s="1"/>
  <c r="CJ433" i="5" s="1"/>
  <c r="DG345" i="5"/>
  <c r="AS266" i="5"/>
  <c r="BB266" i="5" s="1"/>
  <c r="BD266" i="5" s="1"/>
  <c r="EN414" i="5"/>
  <c r="EO414" i="5" s="1"/>
  <c r="EP414" i="5" s="1"/>
  <c r="EN297" i="5"/>
  <c r="EO297" i="5" s="1"/>
  <c r="EP297" i="5" s="1"/>
  <c r="EN326" i="5"/>
  <c r="EO326" i="5" s="1"/>
  <c r="EP326" i="5" s="1"/>
  <c r="EN407" i="5"/>
  <c r="EO407" i="5" s="1"/>
  <c r="EP407" i="5" s="1"/>
  <c r="AW388" i="5"/>
  <c r="CH388" i="5" s="1"/>
  <c r="AV112" i="5"/>
  <c r="DG149" i="5"/>
  <c r="CE21" i="5"/>
  <c r="ET45" i="5"/>
  <c r="AT315" i="5"/>
  <c r="DI51" i="5"/>
  <c r="DJ51" i="5"/>
  <c r="AS402" i="5"/>
  <c r="BB402" i="5" s="1"/>
  <c r="BV272" i="5"/>
  <c r="CC272" i="5" s="1"/>
  <c r="CE272" i="5" s="1"/>
  <c r="CJ272" i="5" s="1"/>
  <c r="CR362" i="5"/>
  <c r="FC362" i="5"/>
  <c r="EN321" i="5"/>
  <c r="EO321" i="5" s="1"/>
  <c r="EP321" i="5" s="1"/>
  <c r="EN434" i="5"/>
  <c r="EO434" i="5" s="1"/>
  <c r="EP434" i="5" s="1"/>
  <c r="EA447" i="5"/>
  <c r="EB447" i="5"/>
  <c r="BV346" i="5"/>
  <c r="CC346" i="5" s="1"/>
  <c r="CE346" i="5" s="1"/>
  <c r="CJ346" i="5" s="1"/>
  <c r="BV405" i="5"/>
  <c r="CC405" i="5" s="1"/>
  <c r="CE405" i="5" s="1"/>
  <c r="CJ405" i="5" s="1"/>
  <c r="AS438" i="5"/>
  <c r="BB438" i="5" s="1"/>
  <c r="DG389" i="5"/>
  <c r="CU288" i="5"/>
  <c r="FA288" i="5"/>
  <c r="FA371" i="5"/>
  <c r="CU371" i="5"/>
  <c r="EF42" i="5"/>
  <c r="EE42" i="5" s="1"/>
  <c r="S42" i="5"/>
  <c r="S50" i="5"/>
  <c r="EF50" i="5"/>
  <c r="EE50" i="5" s="1"/>
  <c r="ES43" i="5"/>
  <c r="ET43" i="5" s="1"/>
  <c r="AV92" i="5"/>
  <c r="CX295" i="5"/>
  <c r="FC295" i="5"/>
  <c r="DH494" i="5"/>
  <c r="EL494" i="5"/>
  <c r="EM494" i="5"/>
  <c r="DH483" i="5"/>
  <c r="EL483" i="5"/>
  <c r="EM483" i="5"/>
  <c r="FC373" i="5"/>
  <c r="CX373" i="5"/>
  <c r="AR109" i="5"/>
  <c r="DD109" i="5"/>
  <c r="ES109" i="5" s="1"/>
  <c r="DF117" i="5"/>
  <c r="DC117" i="5"/>
  <c r="AU158" i="5"/>
  <c r="AV158" i="5" s="1"/>
  <c r="DY125" i="5"/>
  <c r="DF125" i="5"/>
  <c r="FU125" i="5"/>
  <c r="CM125" i="5" s="1"/>
  <c r="DC125" i="5"/>
  <c r="DN138" i="5"/>
  <c r="AY126" i="5"/>
  <c r="AZ126" i="5" s="1"/>
  <c r="CI126" i="5" s="1"/>
  <c r="FR126" i="5"/>
  <c r="FU126" i="5" s="1"/>
  <c r="CM126" i="5" s="1"/>
  <c r="BT126" i="5"/>
  <c r="BL126" i="5"/>
  <c r="DT126" i="5" s="1"/>
  <c r="DV126" i="5" s="1"/>
  <c r="BE126" i="5"/>
  <c r="BG126" i="5" s="1"/>
  <c r="BU126" i="5"/>
  <c r="DY214" i="5"/>
  <c r="DF214" i="5"/>
  <c r="AU197" i="5"/>
  <c r="FU169" i="5"/>
  <c r="CM169" i="5" s="1"/>
  <c r="DF169" i="5"/>
  <c r="AU193" i="5"/>
  <c r="BL171" i="5"/>
  <c r="DT171" i="5" s="1"/>
  <c r="DV171" i="5" s="1"/>
  <c r="EB171" i="5" s="1"/>
  <c r="BT171" i="5"/>
  <c r="BU171" i="5"/>
  <c r="FS171" i="5"/>
  <c r="BL216" i="5"/>
  <c r="DT216" i="5" s="1"/>
  <c r="DV216" i="5" s="1"/>
  <c r="BT216" i="5"/>
  <c r="BU216" i="5"/>
  <c r="FS216" i="5"/>
  <c r="FU216" i="5" s="1"/>
  <c r="DY218" i="5"/>
  <c r="DF218" i="5"/>
  <c r="FU218" i="5"/>
  <c r="DY242" i="5"/>
  <c r="DF242" i="5"/>
  <c r="DC74" i="5"/>
  <c r="DF74" i="5"/>
  <c r="AR75" i="5"/>
  <c r="CG75" i="5" s="1"/>
  <c r="DD75" i="5"/>
  <c r="ES75" i="5" s="1"/>
  <c r="BC391" i="5"/>
  <c r="DN391" i="5"/>
  <c r="DN389" i="5"/>
  <c r="BC389" i="5"/>
  <c r="BD389" i="5" s="1"/>
  <c r="BC387" i="5"/>
  <c r="DN387" i="5"/>
  <c r="BC370" i="5"/>
  <c r="DN370" i="5"/>
  <c r="BB447" i="5"/>
  <c r="AT447" i="5"/>
  <c r="DN149" i="5"/>
  <c r="BB428" i="5"/>
  <c r="AT428" i="5"/>
  <c r="CW152" i="5"/>
  <c r="FD152" i="5"/>
  <c r="AW308" i="5"/>
  <c r="CH308" i="5" s="1"/>
  <c r="AR107" i="5"/>
  <c r="DD107" i="5"/>
  <c r="ES107" i="5" s="1"/>
  <c r="AR115" i="5"/>
  <c r="CG115" i="5" s="1"/>
  <c r="DD115" i="5"/>
  <c r="ES115" i="5" s="1"/>
  <c r="FR116" i="5"/>
  <c r="AY116" i="5"/>
  <c r="AZ116" i="5" s="1"/>
  <c r="CI116" i="5" s="1"/>
  <c r="FS105" i="5"/>
  <c r="BE115" i="5"/>
  <c r="BG115" i="5" s="1"/>
  <c r="BU115" i="5"/>
  <c r="BL115" i="5"/>
  <c r="DT115" i="5" s="1"/>
  <c r="DV115" i="5" s="1"/>
  <c r="BT115" i="5"/>
  <c r="FS115" i="5"/>
  <c r="BL123" i="5"/>
  <c r="DT123" i="5" s="1"/>
  <c r="DV123" i="5" s="1"/>
  <c r="BT123" i="5"/>
  <c r="BE123" i="5"/>
  <c r="BF123" i="5" s="1"/>
  <c r="BH123" i="5" s="1"/>
  <c r="BU123" i="5"/>
  <c r="DF111" i="5"/>
  <c r="DC111" i="5"/>
  <c r="DF122" i="5"/>
  <c r="DC122" i="5"/>
  <c r="DC163" i="5"/>
  <c r="AR163" i="5"/>
  <c r="AU156" i="5"/>
  <c r="AV156" i="5" s="1"/>
  <c r="AU164" i="5"/>
  <c r="AV164" i="5" s="1"/>
  <c r="BL164" i="5"/>
  <c r="DT164" i="5" s="1"/>
  <c r="DV164" i="5" s="1"/>
  <c r="BU164" i="5"/>
  <c r="AY164" i="5"/>
  <c r="FR164" i="5"/>
  <c r="FU164" i="5" s="1"/>
  <c r="AN164" i="5"/>
  <c r="DO164" i="5" s="1"/>
  <c r="AK162" i="5"/>
  <c r="DC251" i="5"/>
  <c r="AR251" i="5"/>
  <c r="CG251" i="5" s="1"/>
  <c r="BL250" i="5"/>
  <c r="DT250" i="5" s="1"/>
  <c r="DV250" i="5" s="1"/>
  <c r="FS250" i="5"/>
  <c r="BU250" i="5"/>
  <c r="AU251" i="5"/>
  <c r="AV251" i="5" s="1"/>
  <c r="DY131" i="5"/>
  <c r="DF131" i="5"/>
  <c r="FU131" i="5"/>
  <c r="CM131" i="5" s="1"/>
  <c r="DC131" i="5"/>
  <c r="DY139" i="5"/>
  <c r="DF139" i="5"/>
  <c r="DC139" i="5"/>
  <c r="DC147" i="5"/>
  <c r="DY147" i="5"/>
  <c r="DF147" i="5"/>
  <c r="AZ125" i="5"/>
  <c r="CI125" i="5" s="1"/>
  <c r="DN140" i="5"/>
  <c r="DN132" i="5"/>
  <c r="DN124" i="5"/>
  <c r="AY141" i="5"/>
  <c r="AZ141" i="5" s="1"/>
  <c r="CI141" i="5" s="1"/>
  <c r="FR141" i="5"/>
  <c r="FU141" i="5" s="1"/>
  <c r="CM141" i="5" s="1"/>
  <c r="BL141" i="5"/>
  <c r="DT141" i="5" s="1"/>
  <c r="DV141" i="5" s="1"/>
  <c r="BE141" i="5"/>
  <c r="BG141" i="5" s="1"/>
  <c r="BU141" i="5"/>
  <c r="BT141" i="5"/>
  <c r="AY133" i="5"/>
  <c r="AZ133" i="5" s="1"/>
  <c r="CI133" i="5" s="1"/>
  <c r="FR133" i="5"/>
  <c r="FU133" i="5" s="1"/>
  <c r="CM133" i="5" s="1"/>
  <c r="BL133" i="5"/>
  <c r="DT133" i="5" s="1"/>
  <c r="DV133" i="5" s="1"/>
  <c r="BT133" i="5"/>
  <c r="BE133" i="5"/>
  <c r="BG133" i="5" s="1"/>
  <c r="BU133" i="5"/>
  <c r="AY132" i="5"/>
  <c r="AZ132" i="5" s="1"/>
  <c r="CI132" i="5" s="1"/>
  <c r="FR132" i="5"/>
  <c r="BL132" i="5"/>
  <c r="DT132" i="5" s="1"/>
  <c r="DV132" i="5" s="1"/>
  <c r="BT132" i="5"/>
  <c r="BE132" i="5"/>
  <c r="BG132" i="5" s="1"/>
  <c r="BU132" i="5"/>
  <c r="DY196" i="5"/>
  <c r="DF196" i="5"/>
  <c r="DY204" i="5"/>
  <c r="DF204" i="5"/>
  <c r="DY206" i="5"/>
  <c r="DF206" i="5"/>
  <c r="AY212" i="5"/>
  <c r="FR212" i="5"/>
  <c r="FR200" i="5"/>
  <c r="AY200" i="5"/>
  <c r="AU215" i="5"/>
  <c r="AV215" i="5" s="1"/>
  <c r="AU207" i="5"/>
  <c r="AU199" i="5"/>
  <c r="AY191" i="5"/>
  <c r="FR191" i="5"/>
  <c r="AY183" i="5"/>
  <c r="FR183" i="5"/>
  <c r="FU183" i="5" s="1"/>
  <c r="CM183" i="5" s="1"/>
  <c r="AY171" i="5"/>
  <c r="FR171" i="5"/>
  <c r="AR195" i="5"/>
  <c r="CG195" i="5" s="1"/>
  <c r="DC195" i="5"/>
  <c r="DF175" i="5"/>
  <c r="DF183" i="5"/>
  <c r="DF191" i="5"/>
  <c r="AU195" i="5"/>
  <c r="AV195" i="5" s="1"/>
  <c r="R187" i="5"/>
  <c r="EF187" i="5" s="1"/>
  <c r="EE187" i="5" s="1"/>
  <c r="AU187" i="5"/>
  <c r="R179" i="5"/>
  <c r="EF179" i="5" s="1"/>
  <c r="EE179" i="5" s="1"/>
  <c r="AU179" i="5"/>
  <c r="AV179" i="5" s="1"/>
  <c r="R171" i="5"/>
  <c r="EF171" i="5" s="1"/>
  <c r="EE171" i="5" s="1"/>
  <c r="AU171" i="5"/>
  <c r="EB183" i="5"/>
  <c r="EB175" i="5"/>
  <c r="BL173" i="5"/>
  <c r="DT173" i="5" s="1"/>
  <c r="DV173" i="5" s="1"/>
  <c r="EB173" i="5" s="1"/>
  <c r="BT173" i="5"/>
  <c r="BU173" i="5"/>
  <c r="FS173" i="5"/>
  <c r="BU179" i="5"/>
  <c r="FS179" i="5"/>
  <c r="FU179" i="5" s="1"/>
  <c r="CM179" i="5" s="1"/>
  <c r="BL179" i="5"/>
  <c r="DT179" i="5" s="1"/>
  <c r="DV179" i="5" s="1"/>
  <c r="EB179" i="5" s="1"/>
  <c r="BT179" i="5"/>
  <c r="FS192" i="5"/>
  <c r="FU192" i="5" s="1"/>
  <c r="CM192" i="5" s="1"/>
  <c r="BL192" i="5"/>
  <c r="DT192" i="5" s="1"/>
  <c r="DV192" i="5" s="1"/>
  <c r="EB192" i="5" s="1"/>
  <c r="BT192" i="5"/>
  <c r="BU192" i="5"/>
  <c r="FS184" i="5"/>
  <c r="FU184" i="5" s="1"/>
  <c r="CM184" i="5" s="1"/>
  <c r="BL184" i="5"/>
  <c r="DT184" i="5" s="1"/>
  <c r="DV184" i="5" s="1"/>
  <c r="EB184" i="5" s="1"/>
  <c r="BT184" i="5"/>
  <c r="BU184" i="5"/>
  <c r="AU218" i="5"/>
  <c r="AU230" i="5"/>
  <c r="AU238" i="5"/>
  <c r="AU247" i="5"/>
  <c r="BL242" i="5"/>
  <c r="DT242" i="5" s="1"/>
  <c r="DV242" i="5" s="1"/>
  <c r="FS242" i="5"/>
  <c r="FU242" i="5" s="1"/>
  <c r="CM242" i="5" s="1"/>
  <c r="BT242" i="5"/>
  <c r="BU242" i="5"/>
  <c r="FS234" i="5"/>
  <c r="FU234" i="5" s="1"/>
  <c r="BL234" i="5"/>
  <c r="DT234" i="5" s="1"/>
  <c r="DV234" i="5" s="1"/>
  <c r="BT234" i="5"/>
  <c r="BU234" i="5"/>
  <c r="BT225" i="5"/>
  <c r="BU225" i="5"/>
  <c r="BL225" i="5"/>
  <c r="DT225" i="5" s="1"/>
  <c r="DV225" i="5" s="1"/>
  <c r="FS225" i="5"/>
  <c r="FU225" i="5" s="1"/>
  <c r="CM225" i="5" s="1"/>
  <c r="DF216" i="5"/>
  <c r="DY216" i="5"/>
  <c r="DY224" i="5"/>
  <c r="DF224" i="5"/>
  <c r="FU232" i="5"/>
  <c r="DY232" i="5"/>
  <c r="DF232" i="5"/>
  <c r="DF240" i="5"/>
  <c r="DY240" i="5"/>
  <c r="BL227" i="5"/>
  <c r="DT227" i="5" s="1"/>
  <c r="DV227" i="5" s="1"/>
  <c r="FS227" i="5"/>
  <c r="FU227" i="5" s="1"/>
  <c r="CM227" i="5" s="1"/>
  <c r="BT227" i="5"/>
  <c r="BU227" i="5"/>
  <c r="DF56" i="5"/>
  <c r="DC56" i="5"/>
  <c r="DC64" i="5"/>
  <c r="DF64" i="5"/>
  <c r="DC72" i="5"/>
  <c r="DF72" i="5"/>
  <c r="DC80" i="5"/>
  <c r="DF80" i="5"/>
  <c r="DC88" i="5"/>
  <c r="DF88" i="5"/>
  <c r="AR93" i="5"/>
  <c r="CG93" i="5" s="1"/>
  <c r="DD93" i="5"/>
  <c r="ES93" i="5" s="1"/>
  <c r="AR85" i="5"/>
  <c r="CG85" i="5" s="1"/>
  <c r="DD85" i="5"/>
  <c r="ES85" i="5" s="1"/>
  <c r="AR77" i="5"/>
  <c r="CG77" i="5" s="1"/>
  <c r="DD77" i="5"/>
  <c r="AR69" i="5"/>
  <c r="CG69" i="5" s="1"/>
  <c r="DD69" i="5"/>
  <c r="ES69" i="5" s="1"/>
  <c r="DD61" i="5"/>
  <c r="AR61" i="5"/>
  <c r="CG61" i="5" s="1"/>
  <c r="AR53" i="5"/>
  <c r="CG53" i="5" s="1"/>
  <c r="DD53" i="5"/>
  <c r="ES53" i="5" s="1"/>
  <c r="DN428" i="5"/>
  <c r="BC428" i="5"/>
  <c r="BD428" i="5" s="1"/>
  <c r="DN331" i="5"/>
  <c r="BC331" i="5"/>
  <c r="BD331" i="5" s="1"/>
  <c r="BC442" i="5"/>
  <c r="DN442" i="5"/>
  <c r="BC378" i="5"/>
  <c r="DN378" i="5"/>
  <c r="DN306" i="5"/>
  <c r="BC306" i="5"/>
  <c r="BD306" i="5" s="1"/>
  <c r="DN380" i="5"/>
  <c r="BC380" i="5"/>
  <c r="BD380" i="5" s="1"/>
  <c r="DN303" i="5"/>
  <c r="BC303" i="5"/>
  <c r="BD303" i="5" s="1"/>
  <c r="DN373" i="5"/>
  <c r="BC373" i="5"/>
  <c r="BD373" i="5" s="1"/>
  <c r="BC440" i="5"/>
  <c r="DN440" i="5"/>
  <c r="DN314" i="5"/>
  <c r="BC314" i="5"/>
  <c r="BC352" i="5"/>
  <c r="BD352" i="5" s="1"/>
  <c r="DN352" i="5"/>
  <c r="DN443" i="5"/>
  <c r="BC443" i="5"/>
  <c r="DN368" i="5"/>
  <c r="BC368" i="5"/>
  <c r="DN282" i="5"/>
  <c r="BC282" i="5"/>
  <c r="BD282" i="5" s="1"/>
  <c r="BC363" i="5"/>
  <c r="BD363" i="5" s="1"/>
  <c r="DN363" i="5"/>
  <c r="BC453" i="5"/>
  <c r="BD453" i="5" s="1"/>
  <c r="DN453" i="5"/>
  <c r="DN355" i="5"/>
  <c r="BC355" i="5"/>
  <c r="BD355" i="5" s="1"/>
  <c r="DN423" i="5"/>
  <c r="BC423" i="5"/>
  <c r="BD423" i="5" s="1"/>
  <c r="AT336" i="5"/>
  <c r="BB336" i="5"/>
  <c r="BB314" i="5"/>
  <c r="AT314" i="5"/>
  <c r="BB289" i="5"/>
  <c r="AT289" i="5"/>
  <c r="AS436" i="5"/>
  <c r="BB436" i="5" s="1"/>
  <c r="BB442" i="5"/>
  <c r="AT442" i="5"/>
  <c r="DN476" i="5"/>
  <c r="BC476" i="5"/>
  <c r="BD476" i="5" s="1"/>
  <c r="AY97" i="5"/>
  <c r="AZ97" i="5" s="1"/>
  <c r="CI97" i="5" s="1"/>
  <c r="AT97" i="5"/>
  <c r="AY103" i="5"/>
  <c r="AZ103" i="5" s="1"/>
  <c r="CI103" i="5" s="1"/>
  <c r="BB444" i="5"/>
  <c r="AT444" i="5"/>
  <c r="AT407" i="5"/>
  <c r="BB407" i="5"/>
  <c r="BB422" i="5"/>
  <c r="AT422" i="5"/>
  <c r="BB278" i="5"/>
  <c r="AT278" i="5"/>
  <c r="BB365" i="5"/>
  <c r="AT365" i="5"/>
  <c r="BB271" i="5"/>
  <c r="AT271" i="5"/>
  <c r="DG263" i="5"/>
  <c r="CE149" i="5"/>
  <c r="CJ149" i="5" s="1"/>
  <c r="BJ49" i="5"/>
  <c r="EC49" i="5" s="1"/>
  <c r="CX407" i="5"/>
  <c r="FC407" i="5"/>
  <c r="BI34" i="5"/>
  <c r="DG104" i="5"/>
  <c r="EB352" i="5"/>
  <c r="EA352" i="5"/>
  <c r="CU149" i="5"/>
  <c r="FA149" i="5"/>
  <c r="FC337" i="5"/>
  <c r="CR337" i="5"/>
  <c r="CW422" i="5"/>
  <c r="FD422" i="5"/>
  <c r="CO343" i="5"/>
  <c r="FA343" i="5"/>
  <c r="FA450" i="5"/>
  <c r="CO450" i="5"/>
  <c r="EA373" i="5"/>
  <c r="EB373" i="5"/>
  <c r="DG280" i="5"/>
  <c r="DG409" i="5"/>
  <c r="AS434" i="5"/>
  <c r="BB434" i="5" s="1"/>
  <c r="FA252" i="5"/>
  <c r="CO252" i="5"/>
  <c r="BD261" i="5"/>
  <c r="EN301" i="5"/>
  <c r="EO301" i="5" s="1"/>
  <c r="EP301" i="5" s="1"/>
  <c r="EN275" i="5"/>
  <c r="EO275" i="5" s="1"/>
  <c r="EP275" i="5" s="1"/>
  <c r="FA447" i="5"/>
  <c r="CO447" i="5"/>
  <c r="S25" i="5"/>
  <c r="EF25" i="5"/>
  <c r="EE25" i="5" s="1"/>
  <c r="AV116" i="5"/>
  <c r="AV119" i="5"/>
  <c r="AW351" i="5"/>
  <c r="CH351" i="5" s="1"/>
  <c r="AS452" i="5"/>
  <c r="BB452" i="5" s="1"/>
  <c r="DG406" i="5"/>
  <c r="CX371" i="5"/>
  <c r="FC371" i="5"/>
  <c r="CE40" i="5"/>
  <c r="DI29" i="5"/>
  <c r="DJ29" i="5"/>
  <c r="DK29" i="5" s="1"/>
  <c r="DJ35" i="5"/>
  <c r="DI35" i="5"/>
  <c r="EA268" i="5"/>
  <c r="EB268" i="5"/>
  <c r="EA370" i="5"/>
  <c r="EB370" i="5"/>
  <c r="CE281" i="5"/>
  <c r="CJ281" i="5" s="1"/>
  <c r="EA283" i="5"/>
  <c r="EB283" i="5"/>
  <c r="EN320" i="5"/>
  <c r="EO320" i="5" s="1"/>
  <c r="EP320" i="5" s="1"/>
  <c r="CR423" i="5"/>
  <c r="FC423" i="5"/>
  <c r="FC438" i="5"/>
  <c r="CR438" i="5"/>
  <c r="FC287" i="5"/>
  <c r="CR287" i="5"/>
  <c r="FA296" i="5"/>
  <c r="CU296" i="5"/>
  <c r="EN363" i="5"/>
  <c r="EO363" i="5" s="1"/>
  <c r="EP363" i="5" s="1"/>
  <c r="AV73" i="5"/>
  <c r="CE28" i="5"/>
  <c r="CX383" i="5"/>
  <c r="FC383" i="5"/>
  <c r="EN51" i="5"/>
  <c r="EO51" i="5" s="1"/>
  <c r="EP51" i="5" s="1"/>
  <c r="FC342" i="5"/>
  <c r="CX342" i="5"/>
  <c r="EO34" i="5"/>
  <c r="EP34" i="5" s="1"/>
  <c r="AS98" i="5"/>
  <c r="AT98" i="5" s="1"/>
  <c r="CC359" i="5"/>
  <c r="CE359" i="5" s="1"/>
  <c r="CJ359" i="5" s="1"/>
  <c r="EB265" i="5"/>
  <c r="EA265" i="5"/>
  <c r="AS387" i="5"/>
  <c r="BB387" i="5" s="1"/>
  <c r="BV285" i="5"/>
  <c r="CC285" i="5" s="1"/>
  <c r="CE285" i="5" s="1"/>
  <c r="CJ285" i="5" s="1"/>
  <c r="CE375" i="5"/>
  <c r="CJ375" i="5" s="1"/>
  <c r="DG440" i="5"/>
  <c r="DN346" i="5"/>
  <c r="BC346" i="5"/>
  <c r="BD346" i="5" s="1"/>
  <c r="EN289" i="5"/>
  <c r="EO289" i="5" s="1"/>
  <c r="EP289" i="5" s="1"/>
  <c r="FA283" i="5"/>
  <c r="CO283" i="5"/>
  <c r="FA423" i="5"/>
  <c r="CO423" i="5"/>
  <c r="AV91" i="5"/>
  <c r="AV107" i="5"/>
  <c r="DH497" i="5"/>
  <c r="EL497" i="5"/>
  <c r="EM497" i="5"/>
  <c r="BJ52" i="5"/>
  <c r="EC52" i="5" s="1"/>
  <c r="FC369" i="5"/>
  <c r="CX369" i="5"/>
  <c r="DN274" i="5"/>
  <c r="BC274" i="5"/>
  <c r="AW272" i="5"/>
  <c r="CH272" i="5" s="1"/>
  <c r="AW493" i="5"/>
  <c r="DO493" i="5"/>
  <c r="EG493" i="5" s="1"/>
  <c r="EJ493" i="5" s="1"/>
  <c r="EK493" i="5" s="1"/>
  <c r="EO23" i="5"/>
  <c r="EP23" i="5" s="1"/>
  <c r="BV96" i="5"/>
  <c r="CC96" i="5" s="1"/>
  <c r="CE96" i="5" s="1"/>
  <c r="CJ96" i="5" s="1"/>
  <c r="BJ50" i="5"/>
  <c r="EC50" i="5" s="1"/>
  <c r="BB286" i="5"/>
  <c r="AT286" i="5"/>
  <c r="BV385" i="5"/>
  <c r="CC385" i="5" s="1"/>
  <c r="CE385" i="5" s="1"/>
  <c r="CJ385" i="5" s="1"/>
  <c r="CU336" i="5"/>
  <c r="FA336" i="5"/>
  <c r="DG257" i="5"/>
  <c r="EN418" i="5"/>
  <c r="EO418" i="5" s="1"/>
  <c r="EP418" i="5" s="1"/>
  <c r="DG344" i="5"/>
  <c r="BV313" i="5"/>
  <c r="CC313" i="5" s="1"/>
  <c r="CE313" i="5" s="1"/>
  <c r="CJ313" i="5" s="1"/>
  <c r="AS370" i="5"/>
  <c r="BB370" i="5" s="1"/>
  <c r="BD276" i="5"/>
  <c r="CO304" i="5"/>
  <c r="FA304" i="5"/>
  <c r="EN395" i="5"/>
  <c r="EO395" i="5" s="1"/>
  <c r="EP395" i="5" s="1"/>
  <c r="AW495" i="5"/>
  <c r="DO495" i="5"/>
  <c r="EG495" i="5" s="1"/>
  <c r="EJ495" i="5" s="1"/>
  <c r="EK495" i="5" s="1"/>
  <c r="DI24" i="5"/>
  <c r="DJ24" i="5"/>
  <c r="EN337" i="5"/>
  <c r="EO337" i="5" s="1"/>
  <c r="EP337" i="5" s="1"/>
  <c r="EB350" i="5"/>
  <c r="CE367" i="5"/>
  <c r="CJ367" i="5" s="1"/>
  <c r="AS103" i="5"/>
  <c r="AT103" i="5" s="1"/>
  <c r="FC291" i="5"/>
  <c r="CR291" i="5"/>
  <c r="BD279" i="5"/>
  <c r="AT435" i="5"/>
  <c r="BB435" i="5"/>
  <c r="CC260" i="5"/>
  <c r="CE260" i="5" s="1"/>
  <c r="CJ260" i="5" s="1"/>
  <c r="AS418" i="5"/>
  <c r="BB418" i="5" s="1"/>
  <c r="FC451" i="5"/>
  <c r="CR451" i="5"/>
  <c r="EN261" i="5"/>
  <c r="EO261" i="5" s="1"/>
  <c r="EP261" i="5" s="1"/>
  <c r="CO276" i="5"/>
  <c r="FA276" i="5"/>
  <c r="EN291" i="5"/>
  <c r="EO291" i="5" s="1"/>
  <c r="EP291" i="5" s="1"/>
  <c r="FA431" i="5"/>
  <c r="CU431" i="5"/>
  <c r="ES40" i="5"/>
  <c r="ET40" i="5" s="1"/>
  <c r="AW371" i="5"/>
  <c r="CH371" i="5" s="1"/>
  <c r="AW312" i="5"/>
  <c r="CH312" i="5" s="1"/>
  <c r="ET149" i="5"/>
  <c r="FC351" i="5"/>
  <c r="CR351" i="5"/>
  <c r="AS341" i="5"/>
  <c r="BB341" i="5" s="1"/>
  <c r="CE310" i="5"/>
  <c r="CJ310" i="5" s="1"/>
  <c r="BV390" i="5"/>
  <c r="CC390" i="5" s="1"/>
  <c r="CE390" i="5" s="1"/>
  <c r="CJ390" i="5" s="1"/>
  <c r="FD341" i="5"/>
  <c r="CW341" i="5"/>
  <c r="BV420" i="5"/>
  <c r="CC420" i="5" s="1"/>
  <c r="CE420" i="5" s="1"/>
  <c r="CJ420" i="5" s="1"/>
  <c r="EN280" i="5"/>
  <c r="EO280" i="5" s="1"/>
  <c r="EP280" i="5" s="1"/>
  <c r="FA295" i="5"/>
  <c r="CU295" i="5"/>
  <c r="EN435" i="5"/>
  <c r="EO435" i="5" s="1"/>
  <c r="EP435" i="5" s="1"/>
  <c r="ES23" i="5"/>
  <c r="ET23" i="5" s="1"/>
  <c r="AV121" i="5"/>
  <c r="AV68" i="5"/>
  <c r="AW355" i="5"/>
  <c r="CH355" i="5" s="1"/>
  <c r="BI36" i="5"/>
  <c r="AW259" i="5"/>
  <c r="CH259" i="5" s="1"/>
  <c r="ET48" i="5"/>
  <c r="CE50" i="5"/>
  <c r="AS417" i="5"/>
  <c r="BB417" i="5" s="1"/>
  <c r="DI23" i="5"/>
  <c r="DJ23" i="5"/>
  <c r="BV334" i="5"/>
  <c r="CC334" i="5" s="1"/>
  <c r="CE334" i="5" s="1"/>
  <c r="CJ334" i="5" s="1"/>
  <c r="FA99" i="5"/>
  <c r="CO99" i="5"/>
  <c r="BV271" i="5"/>
  <c r="CC271" i="5" s="1"/>
  <c r="CE271" i="5" s="1"/>
  <c r="CJ271" i="5" s="1"/>
  <c r="AS267" i="5"/>
  <c r="AT267" i="5" s="1"/>
  <c r="BV443" i="5"/>
  <c r="CC443" i="5" s="1"/>
  <c r="CE443" i="5" s="1"/>
  <c r="CJ443" i="5" s="1"/>
  <c r="AS401" i="5"/>
  <c r="AT401" i="5" s="1"/>
  <c r="BV372" i="5"/>
  <c r="CC372" i="5" s="1"/>
  <c r="CE372" i="5" s="1"/>
  <c r="CJ372" i="5" s="1"/>
  <c r="BV263" i="5"/>
  <c r="CC263" i="5" s="1"/>
  <c r="CE263" i="5" s="1"/>
  <c r="CJ263" i="5" s="1"/>
  <c r="FA414" i="5"/>
  <c r="CO414" i="5"/>
  <c r="EN256" i="5"/>
  <c r="EO256" i="5" s="1"/>
  <c r="EP256" i="5" s="1"/>
  <c r="CU267" i="5"/>
  <c r="FA267" i="5"/>
  <c r="EN439" i="5"/>
  <c r="EO439" i="5" s="1"/>
  <c r="EP439" i="5" s="1"/>
  <c r="S32" i="5"/>
  <c r="EF32" i="5"/>
  <c r="EE32" i="5" s="1"/>
  <c r="AV53" i="5"/>
  <c r="BJ23" i="5"/>
  <c r="EC23" i="5" s="1"/>
  <c r="AT408" i="5"/>
  <c r="BI41" i="5"/>
  <c r="DX498" i="5"/>
  <c r="EO27" i="5"/>
  <c r="EP27" i="5" s="1"/>
  <c r="AW255" i="5"/>
  <c r="CH255" i="5" s="1"/>
  <c r="BC273" i="5"/>
  <c r="BD273" i="5" s="1"/>
  <c r="DN273" i="5"/>
  <c r="DI38" i="5"/>
  <c r="DJ38" i="5"/>
  <c r="EB272" i="5"/>
  <c r="EA272" i="5"/>
  <c r="DG319" i="5"/>
  <c r="FA321" i="5"/>
  <c r="CU321" i="5"/>
  <c r="FA376" i="5"/>
  <c r="CO376" i="5"/>
  <c r="CO434" i="5"/>
  <c r="FA434" i="5"/>
  <c r="CR415" i="5"/>
  <c r="FC415" i="5"/>
  <c r="BV276" i="5"/>
  <c r="CC276" i="5" s="1"/>
  <c r="CE276" i="5" s="1"/>
  <c r="CJ276" i="5" s="1"/>
  <c r="DG405" i="5"/>
  <c r="BD268" i="5"/>
  <c r="EN288" i="5"/>
  <c r="EO288" i="5" s="1"/>
  <c r="EP288" i="5" s="1"/>
  <c r="EN371" i="5"/>
  <c r="EO371" i="5" s="1"/>
  <c r="EP371" i="5" s="1"/>
  <c r="FC288" i="5"/>
  <c r="CX288" i="5"/>
  <c r="CX322" i="5"/>
  <c r="FC322" i="5"/>
  <c r="BB253" i="5"/>
  <c r="BD253" i="5" s="1"/>
  <c r="FB318" i="5"/>
  <c r="CV318" i="5"/>
  <c r="BB294" i="5"/>
  <c r="DH472" i="5"/>
  <c r="EL472" i="5"/>
  <c r="EM472" i="5"/>
  <c r="FC413" i="5"/>
  <c r="CX413" i="5"/>
  <c r="AT340" i="5"/>
  <c r="CX431" i="5"/>
  <c r="FC431" i="5"/>
  <c r="FB334" i="5"/>
  <c r="CV334" i="5"/>
  <c r="FS117" i="5"/>
  <c r="FU117" i="5" s="1"/>
  <c r="CM117" i="5" s="1"/>
  <c r="BL117" i="5"/>
  <c r="DT117" i="5" s="1"/>
  <c r="DV117" i="5" s="1"/>
  <c r="BT117" i="5"/>
  <c r="BU117" i="5"/>
  <c r="BE117" i="5"/>
  <c r="BG117" i="5" s="1"/>
  <c r="DC161" i="5"/>
  <c r="AR161" i="5"/>
  <c r="BU162" i="5"/>
  <c r="FR162" i="5"/>
  <c r="FU162" i="5" s="1"/>
  <c r="AY162" i="5"/>
  <c r="BL162" i="5"/>
  <c r="DT162" i="5" s="1"/>
  <c r="DV162" i="5" s="1"/>
  <c r="AN162" i="5"/>
  <c r="DO162" i="5" s="1"/>
  <c r="DF141" i="5"/>
  <c r="DY141" i="5"/>
  <c r="DC141" i="5"/>
  <c r="DN130" i="5"/>
  <c r="BF147" i="5"/>
  <c r="BH147" i="5" s="1"/>
  <c r="BG147" i="5"/>
  <c r="AY208" i="5"/>
  <c r="FR208" i="5"/>
  <c r="AY189" i="5"/>
  <c r="FR189" i="5"/>
  <c r="DF177" i="5"/>
  <c r="FU177" i="5"/>
  <c r="CM177" i="5" s="1"/>
  <c r="AU177" i="5"/>
  <c r="AU169" i="5"/>
  <c r="BU181" i="5"/>
  <c r="FS181" i="5"/>
  <c r="BL181" i="5"/>
  <c r="DT181" i="5" s="1"/>
  <c r="DV181" i="5" s="1"/>
  <c r="EB181" i="5" s="1"/>
  <c r="BT181" i="5"/>
  <c r="AU223" i="5"/>
  <c r="BU240" i="5"/>
  <c r="BL240" i="5"/>
  <c r="DT240" i="5" s="1"/>
  <c r="DV240" i="5" s="1"/>
  <c r="FS240" i="5"/>
  <c r="FU240" i="5" s="1"/>
  <c r="CM240" i="5" s="1"/>
  <c r="BT240" i="5"/>
  <c r="DY234" i="5"/>
  <c r="DF234" i="5"/>
  <c r="DC58" i="5"/>
  <c r="DF58" i="5"/>
  <c r="DC90" i="5"/>
  <c r="DF90" i="5"/>
  <c r="AR67" i="5"/>
  <c r="CG67" i="5" s="1"/>
  <c r="DD67" i="5"/>
  <c r="ES67" i="5" s="1"/>
  <c r="FT119" i="5"/>
  <c r="DU119" i="5"/>
  <c r="DN291" i="5"/>
  <c r="BC291" i="5"/>
  <c r="BD291" i="5" s="1"/>
  <c r="BC339" i="5"/>
  <c r="BD339" i="5" s="1"/>
  <c r="DN339" i="5"/>
  <c r="DN444" i="5"/>
  <c r="BC444" i="5"/>
  <c r="DN307" i="5"/>
  <c r="BC307" i="5"/>
  <c r="BD307" i="5" s="1"/>
  <c r="BB378" i="5"/>
  <c r="AT378" i="5"/>
  <c r="DN477" i="5"/>
  <c r="BC477" i="5"/>
  <c r="BD477" i="5" s="1"/>
  <c r="DI44" i="5"/>
  <c r="DJ44" i="5"/>
  <c r="AR108" i="5"/>
  <c r="DD108" i="5"/>
  <c r="ES108" i="5" s="1"/>
  <c r="DD116" i="5"/>
  <c r="AR116" i="5"/>
  <c r="CG116" i="5" s="1"/>
  <c r="BF113" i="5"/>
  <c r="BH113" i="5" s="1"/>
  <c r="BG113" i="5"/>
  <c r="AY123" i="5"/>
  <c r="AZ123" i="5" s="1"/>
  <c r="CI123" i="5" s="1"/>
  <c r="FR123" i="5"/>
  <c r="FU123" i="5" s="1"/>
  <c r="CM123" i="5" s="1"/>
  <c r="AY115" i="5"/>
  <c r="AZ115" i="5" s="1"/>
  <c r="CI115" i="5" s="1"/>
  <c r="FR115" i="5"/>
  <c r="FU115" i="5" s="1"/>
  <c r="CM115" i="5" s="1"/>
  <c r="FS106" i="5"/>
  <c r="FS116" i="5"/>
  <c r="BE116" i="5"/>
  <c r="BF116" i="5" s="1"/>
  <c r="BH116" i="5" s="1"/>
  <c r="BL116" i="5"/>
  <c r="DT116" i="5" s="1"/>
  <c r="DV116" i="5" s="1"/>
  <c r="BT116" i="5"/>
  <c r="BU116" i="5"/>
  <c r="DC105" i="5"/>
  <c r="DF105" i="5"/>
  <c r="DF110" i="5"/>
  <c r="DC110" i="5"/>
  <c r="DC123" i="5"/>
  <c r="DF123" i="5"/>
  <c r="J162" i="5"/>
  <c r="DS162" i="5" s="1"/>
  <c r="AR162" i="5"/>
  <c r="DC162" i="5"/>
  <c r="AU159" i="5"/>
  <c r="AV159" i="5" s="1"/>
  <c r="AU167" i="5"/>
  <c r="AV167" i="5" s="1"/>
  <c r="AY163" i="5"/>
  <c r="FR163" i="5"/>
  <c r="FU163" i="5" s="1"/>
  <c r="BL163" i="5"/>
  <c r="DT163" i="5" s="1"/>
  <c r="DV163" i="5" s="1"/>
  <c r="BU163" i="5"/>
  <c r="AN163" i="5"/>
  <c r="DO163" i="5" s="1"/>
  <c r="AO161" i="5"/>
  <c r="FR248" i="5"/>
  <c r="FU248" i="5" s="1"/>
  <c r="CM248" i="5" s="1"/>
  <c r="DY248" i="5"/>
  <c r="AY248" i="5"/>
  <c r="BU249" i="5"/>
  <c r="BL249" i="5"/>
  <c r="DT249" i="5" s="1"/>
  <c r="DV249" i="5" s="1"/>
  <c r="FS249" i="5"/>
  <c r="DC124" i="5"/>
  <c r="DY124" i="5"/>
  <c r="DF124" i="5"/>
  <c r="DC132" i="5"/>
  <c r="DY132" i="5"/>
  <c r="DF132" i="5"/>
  <c r="FU132" i="5"/>
  <c r="CM132" i="5" s="1"/>
  <c r="DC140" i="5"/>
  <c r="DY140" i="5"/>
  <c r="DF140" i="5"/>
  <c r="DN147" i="5"/>
  <c r="DN139" i="5"/>
  <c r="DN131" i="5"/>
  <c r="AY124" i="5"/>
  <c r="AZ124" i="5" s="1"/>
  <c r="CI124" i="5" s="1"/>
  <c r="FR124" i="5"/>
  <c r="FU124" i="5" s="1"/>
  <c r="CM124" i="5" s="1"/>
  <c r="BT124" i="5"/>
  <c r="BE124" i="5"/>
  <c r="BF124" i="5" s="1"/>
  <c r="BH124" i="5" s="1"/>
  <c r="BU124" i="5"/>
  <c r="BL124" i="5"/>
  <c r="DT124" i="5" s="1"/>
  <c r="DV124" i="5" s="1"/>
  <c r="AY140" i="5"/>
  <c r="AZ140" i="5" s="1"/>
  <c r="CI140" i="5" s="1"/>
  <c r="FR140" i="5"/>
  <c r="FU140" i="5" s="1"/>
  <c r="CM140" i="5" s="1"/>
  <c r="BL140" i="5"/>
  <c r="DT140" i="5" s="1"/>
  <c r="DV140" i="5" s="1"/>
  <c r="BT140" i="5"/>
  <c r="BE140" i="5"/>
  <c r="BG140" i="5" s="1"/>
  <c r="BU140" i="5"/>
  <c r="AY127" i="5"/>
  <c r="AZ127" i="5" s="1"/>
  <c r="CI127" i="5" s="1"/>
  <c r="FR127" i="5"/>
  <c r="FU127" i="5" s="1"/>
  <c r="CM127" i="5" s="1"/>
  <c r="BL127" i="5"/>
  <c r="DT127" i="5" s="1"/>
  <c r="DV127" i="5" s="1"/>
  <c r="BT127" i="5"/>
  <c r="BE127" i="5"/>
  <c r="BG127" i="5" s="1"/>
  <c r="BU127" i="5"/>
  <c r="BF131" i="5"/>
  <c r="BH131" i="5" s="1"/>
  <c r="BG131" i="5"/>
  <c r="DY213" i="5"/>
  <c r="DF213" i="5"/>
  <c r="DF203" i="5"/>
  <c r="DY203" i="5"/>
  <c r="DY207" i="5"/>
  <c r="DF207" i="5"/>
  <c r="AY209" i="5"/>
  <c r="FR209" i="5"/>
  <c r="AY199" i="5"/>
  <c r="FR199" i="5"/>
  <c r="AU214" i="5"/>
  <c r="AV214" i="5" s="1"/>
  <c r="AU206" i="5"/>
  <c r="AU198" i="5"/>
  <c r="FR190" i="5"/>
  <c r="FU190" i="5" s="1"/>
  <c r="CM190" i="5" s="1"/>
  <c r="AY190" i="5"/>
  <c r="AY181" i="5"/>
  <c r="FR181" i="5"/>
  <c r="FR170" i="5"/>
  <c r="AY170" i="5"/>
  <c r="DC192" i="5"/>
  <c r="AR192" i="5"/>
  <c r="CG192" i="5" s="1"/>
  <c r="DF176" i="5"/>
  <c r="DF184" i="5"/>
  <c r="DF192" i="5"/>
  <c r="AU194" i="5"/>
  <c r="AU186" i="5"/>
  <c r="AU178" i="5"/>
  <c r="AU170" i="5"/>
  <c r="AV170" i="5" s="1"/>
  <c r="EB182" i="5"/>
  <c r="BL172" i="5"/>
  <c r="DT172" i="5" s="1"/>
  <c r="DV172" i="5" s="1"/>
  <c r="EB172" i="5" s="1"/>
  <c r="BT172" i="5"/>
  <c r="BU172" i="5"/>
  <c r="FS172" i="5"/>
  <c r="FS180" i="5"/>
  <c r="FU180" i="5" s="1"/>
  <c r="CM180" i="5" s="1"/>
  <c r="BL180" i="5"/>
  <c r="DT180" i="5" s="1"/>
  <c r="DV180" i="5" s="1"/>
  <c r="EB180" i="5" s="1"/>
  <c r="BT180" i="5"/>
  <c r="BU180" i="5"/>
  <c r="BU191" i="5"/>
  <c r="FS191" i="5"/>
  <c r="FU191" i="5" s="1"/>
  <c r="CM191" i="5" s="1"/>
  <c r="BL191" i="5"/>
  <c r="DT191" i="5" s="1"/>
  <c r="DV191" i="5" s="1"/>
  <c r="EB191" i="5" s="1"/>
  <c r="BT191" i="5"/>
  <c r="AU219" i="5"/>
  <c r="R231" i="5"/>
  <c r="EF231" i="5" s="1"/>
  <c r="EE231" i="5" s="1"/>
  <c r="AU231" i="5"/>
  <c r="R239" i="5"/>
  <c r="EF239" i="5" s="1"/>
  <c r="EE239" i="5" s="1"/>
  <c r="AU239" i="5"/>
  <c r="BL241" i="5"/>
  <c r="DT241" i="5" s="1"/>
  <c r="DV241" i="5" s="1"/>
  <c r="FS241" i="5"/>
  <c r="FU241" i="5" s="1"/>
  <c r="CM241" i="5" s="1"/>
  <c r="BT241" i="5"/>
  <c r="BU241" i="5"/>
  <c r="BL233" i="5"/>
  <c r="DT233" i="5" s="1"/>
  <c r="DV233" i="5" s="1"/>
  <c r="BT233" i="5"/>
  <c r="BU233" i="5"/>
  <c r="FS233" i="5"/>
  <c r="FU233" i="5" s="1"/>
  <c r="BL224" i="5"/>
  <c r="DT224" i="5" s="1"/>
  <c r="DV224" i="5" s="1"/>
  <c r="FS224" i="5"/>
  <c r="FU224" i="5" s="1"/>
  <c r="CM224" i="5" s="1"/>
  <c r="BT224" i="5"/>
  <c r="BU224" i="5"/>
  <c r="DF217" i="5"/>
  <c r="FU217" i="5"/>
  <c r="DY217" i="5"/>
  <c r="DX217" i="5" s="1"/>
  <c r="DY225" i="5"/>
  <c r="DF225" i="5"/>
  <c r="DF233" i="5"/>
  <c r="DY233" i="5"/>
  <c r="DY241" i="5"/>
  <c r="DF241" i="5"/>
  <c r="CM237" i="5"/>
  <c r="AK156" i="5"/>
  <c r="DC57" i="5"/>
  <c r="DF57" i="5"/>
  <c r="DF65" i="5"/>
  <c r="DC65" i="5"/>
  <c r="DF73" i="5"/>
  <c r="DC73" i="5"/>
  <c r="DC81" i="5"/>
  <c r="DF81" i="5"/>
  <c r="DC89" i="5"/>
  <c r="DF89" i="5"/>
  <c r="AR92" i="5"/>
  <c r="CG92" i="5" s="1"/>
  <c r="DD92" i="5"/>
  <c r="ES92" i="5" s="1"/>
  <c r="AR84" i="5"/>
  <c r="CG84" i="5" s="1"/>
  <c r="DD84" i="5"/>
  <c r="ES84" i="5" s="1"/>
  <c r="AR76" i="5"/>
  <c r="CG76" i="5" s="1"/>
  <c r="DD76" i="5"/>
  <c r="ES76" i="5" s="1"/>
  <c r="DD68" i="5"/>
  <c r="ES68" i="5" s="1"/>
  <c r="AR68" i="5"/>
  <c r="CG68" i="5" s="1"/>
  <c r="AR60" i="5"/>
  <c r="CG60" i="5" s="1"/>
  <c r="DD60" i="5"/>
  <c r="ES60" i="5" s="1"/>
  <c r="DC106" i="5"/>
  <c r="DF106" i="5"/>
  <c r="BC446" i="5"/>
  <c r="BD446" i="5" s="1"/>
  <c r="DN446" i="5"/>
  <c r="BC344" i="5"/>
  <c r="BD344" i="5" s="1"/>
  <c r="DN344" i="5"/>
  <c r="BC447" i="5"/>
  <c r="DN447" i="5"/>
  <c r="DN383" i="5"/>
  <c r="BC383" i="5"/>
  <c r="DN330" i="5"/>
  <c r="BC330" i="5"/>
  <c r="BD330" i="5" s="1"/>
  <c r="DN403" i="5"/>
  <c r="BC403" i="5"/>
  <c r="BD403" i="5" s="1"/>
  <c r="BC305" i="5"/>
  <c r="BD305" i="5" s="1"/>
  <c r="DN305" i="5"/>
  <c r="DN376" i="5"/>
  <c r="BC376" i="5"/>
  <c r="DN417" i="5"/>
  <c r="BC417" i="5"/>
  <c r="DN320" i="5"/>
  <c r="BC320" i="5"/>
  <c r="BD320" i="5" s="1"/>
  <c r="BC366" i="5"/>
  <c r="DN366" i="5"/>
  <c r="DN451" i="5"/>
  <c r="BC451" i="5"/>
  <c r="DN381" i="5"/>
  <c r="BC381" i="5"/>
  <c r="BD381" i="5" s="1"/>
  <c r="DN297" i="5"/>
  <c r="BC297" i="5"/>
  <c r="BD297" i="5" s="1"/>
  <c r="BC374" i="5"/>
  <c r="BD374" i="5" s="1"/>
  <c r="DN374" i="5"/>
  <c r="DN345" i="5"/>
  <c r="BC345" i="5"/>
  <c r="DN359" i="5"/>
  <c r="BC359" i="5"/>
  <c r="BD359" i="5" s="1"/>
  <c r="BC431" i="5"/>
  <c r="DN431" i="5"/>
  <c r="BC398" i="5"/>
  <c r="DN398" i="5"/>
  <c r="BB317" i="5"/>
  <c r="BD317" i="5" s="1"/>
  <c r="AT317" i="5"/>
  <c r="AT406" i="5"/>
  <c r="BB406" i="5"/>
  <c r="AS372" i="5"/>
  <c r="BB372" i="5" s="1"/>
  <c r="AT270" i="5"/>
  <c r="BB270" i="5"/>
  <c r="BD270" i="5" s="1"/>
  <c r="DN492" i="5"/>
  <c r="BC492" i="5"/>
  <c r="BD492" i="5" s="1"/>
  <c r="DN96" i="5"/>
  <c r="DN488" i="5"/>
  <c r="BC488" i="5"/>
  <c r="BD488" i="5" s="1"/>
  <c r="DN97" i="5"/>
  <c r="BC312" i="5"/>
  <c r="BD312" i="5" s="1"/>
  <c r="DN312" i="5"/>
  <c r="BB257" i="5"/>
  <c r="BD257" i="5" s="1"/>
  <c r="AT257" i="5"/>
  <c r="AS429" i="5"/>
  <c r="AT429" i="5" s="1"/>
  <c r="AZ104" i="5"/>
  <c r="CI104" i="5" s="1"/>
  <c r="AS437" i="5"/>
  <c r="BB437" i="5" s="1"/>
  <c r="BB357" i="5"/>
  <c r="AT357" i="5"/>
  <c r="AT394" i="5"/>
  <c r="BB394" i="5"/>
  <c r="DG297" i="5"/>
  <c r="DX496" i="5"/>
  <c r="DI496" i="5"/>
  <c r="DJ496" i="5"/>
  <c r="CX286" i="5"/>
  <c r="FC286" i="5"/>
  <c r="CX387" i="5"/>
  <c r="FC387" i="5"/>
  <c r="BJ34" i="5"/>
  <c r="EC34" i="5" s="1"/>
  <c r="EB337" i="5"/>
  <c r="EA337" i="5"/>
  <c r="DG422" i="5"/>
  <c r="CC277" i="5"/>
  <c r="CE277" i="5" s="1"/>
  <c r="CJ277" i="5" s="1"/>
  <c r="EN450" i="5"/>
  <c r="EO450" i="5" s="1"/>
  <c r="EP450" i="5" s="1"/>
  <c r="FD434" i="5"/>
  <c r="CQ434" i="5"/>
  <c r="AS361" i="5"/>
  <c r="BB361" i="5" s="1"/>
  <c r="AS283" i="5"/>
  <c r="BB283" i="5" s="1"/>
  <c r="EN253" i="5"/>
  <c r="EO253" i="5" s="1"/>
  <c r="EP253" i="5" s="1"/>
  <c r="EN264" i="5"/>
  <c r="EO264" i="5" s="1"/>
  <c r="EP264" i="5" s="1"/>
  <c r="EN307" i="5"/>
  <c r="EO307" i="5" s="1"/>
  <c r="EP307" i="5" s="1"/>
  <c r="AV67" i="5"/>
  <c r="DG365" i="5"/>
  <c r="DX469" i="5"/>
  <c r="DG260" i="5"/>
  <c r="CE51" i="5"/>
  <c r="AW279" i="5"/>
  <c r="CH279" i="5" s="1"/>
  <c r="BI45" i="5"/>
  <c r="BJ45" i="5" s="1"/>
  <c r="EC45" i="5" s="1"/>
  <c r="CR264" i="5"/>
  <c r="FC264" i="5"/>
  <c r="CU150" i="5"/>
  <c r="FA150" i="5"/>
  <c r="CR326" i="5"/>
  <c r="FC326" i="5"/>
  <c r="FC446" i="5"/>
  <c r="CR446" i="5"/>
  <c r="AS382" i="5"/>
  <c r="BB382" i="5" s="1"/>
  <c r="CU320" i="5"/>
  <c r="FA320" i="5"/>
  <c r="CE423" i="5"/>
  <c r="CJ423" i="5" s="1"/>
  <c r="CE287" i="5"/>
  <c r="CJ287" i="5" s="1"/>
  <c r="EA404" i="5"/>
  <c r="EB404" i="5"/>
  <c r="AS302" i="5"/>
  <c r="BB302" i="5" s="1"/>
  <c r="DN392" i="5"/>
  <c r="BC392" i="5"/>
  <c r="BD392" i="5" s="1"/>
  <c r="EN296" i="5"/>
  <c r="EO296" i="5" s="1"/>
  <c r="EP296" i="5" s="1"/>
  <c r="CU363" i="5"/>
  <c r="FA363" i="5"/>
  <c r="AV84" i="5"/>
  <c r="DI47" i="5"/>
  <c r="DJ47" i="5"/>
  <c r="AS443" i="5"/>
  <c r="BB443" i="5" s="1"/>
  <c r="EN332" i="5"/>
  <c r="EO332" i="5" s="1"/>
  <c r="EP332" i="5" s="1"/>
  <c r="EB285" i="5"/>
  <c r="EA285" i="5"/>
  <c r="EA448" i="5"/>
  <c r="EB448" i="5"/>
  <c r="CE391" i="5"/>
  <c r="CJ391" i="5" s="1"/>
  <c r="FD449" i="5"/>
  <c r="CW449" i="5"/>
  <c r="BD441" i="5"/>
  <c r="CO289" i="5"/>
  <c r="FA289" i="5"/>
  <c r="EN283" i="5"/>
  <c r="EO283" i="5" s="1"/>
  <c r="EP283" i="5" s="1"/>
  <c r="EN423" i="5"/>
  <c r="EO423" i="5" s="1"/>
  <c r="EP423" i="5" s="1"/>
  <c r="AV74" i="5"/>
  <c r="FC416" i="5"/>
  <c r="CX416" i="5"/>
  <c r="DG96" i="5"/>
  <c r="EN410" i="5"/>
  <c r="EO410" i="5" s="1"/>
  <c r="EP410" i="5" s="1"/>
  <c r="EB438" i="5"/>
  <c r="FC328" i="5"/>
  <c r="CR328" i="5"/>
  <c r="FC385" i="5"/>
  <c r="CR385" i="5"/>
  <c r="FA418" i="5"/>
  <c r="CU418" i="5"/>
  <c r="BD388" i="5"/>
  <c r="FA322" i="5"/>
  <c r="CU322" i="5"/>
  <c r="FA427" i="5"/>
  <c r="CO427" i="5"/>
  <c r="EN44" i="5"/>
  <c r="EO44" i="5" s="1"/>
  <c r="EP44" i="5" s="1"/>
  <c r="CX299" i="5"/>
  <c r="FC299" i="5"/>
  <c r="DG415" i="5"/>
  <c r="FC437" i="5"/>
  <c r="CX437" i="5"/>
  <c r="EO24" i="5"/>
  <c r="EP24" i="5" s="1"/>
  <c r="FA337" i="5"/>
  <c r="CO337" i="5"/>
  <c r="EA367" i="5"/>
  <c r="EB367" i="5"/>
  <c r="CE291" i="5"/>
  <c r="CJ291" i="5" s="1"/>
  <c r="CE343" i="5"/>
  <c r="CJ343" i="5" s="1"/>
  <c r="AS396" i="5"/>
  <c r="BB396" i="5" s="1"/>
  <c r="BD396" i="5" s="1"/>
  <c r="FD298" i="5"/>
  <c r="CW298" i="5"/>
  <c r="CE451" i="5"/>
  <c r="CJ451" i="5" s="1"/>
  <c r="FA277" i="5"/>
  <c r="CU277" i="5"/>
  <c r="FA308" i="5"/>
  <c r="CO308" i="5"/>
  <c r="BD319" i="5"/>
  <c r="AV83" i="5"/>
  <c r="ET104" i="5"/>
  <c r="DI25" i="5"/>
  <c r="DJ25" i="5"/>
  <c r="BJ35" i="5"/>
  <c r="EC35" i="5" s="1"/>
  <c r="AS95" i="5"/>
  <c r="AT95" i="5" s="1"/>
  <c r="DG311" i="5"/>
  <c r="AS353" i="5"/>
  <c r="BB353" i="5" s="1"/>
  <c r="EB302" i="5"/>
  <c r="EA302" i="5"/>
  <c r="CR406" i="5"/>
  <c r="FC406" i="5"/>
  <c r="DG310" i="5"/>
  <c r="DG390" i="5"/>
  <c r="BD264" i="5"/>
  <c r="CU280" i="5"/>
  <c r="FA280" i="5"/>
  <c r="EN295" i="5"/>
  <c r="EO295" i="5" s="1"/>
  <c r="EP295" i="5" s="1"/>
  <c r="FA435" i="5"/>
  <c r="CU435" i="5"/>
  <c r="AW492" i="5"/>
  <c r="DO492" i="5"/>
  <c r="EG492" i="5" s="1"/>
  <c r="EJ492" i="5" s="1"/>
  <c r="EK492" i="5" s="1"/>
  <c r="BJ36" i="5"/>
  <c r="EC36" i="5" s="1"/>
  <c r="AW475" i="5"/>
  <c r="DO475" i="5"/>
  <c r="EG475" i="5" s="1"/>
  <c r="EJ475" i="5" s="1"/>
  <c r="EK475" i="5" s="1"/>
  <c r="AW291" i="5"/>
  <c r="CH291" i="5" s="1"/>
  <c r="BI38" i="5"/>
  <c r="BJ38" i="5" s="1"/>
  <c r="EC38" i="5" s="1"/>
  <c r="FA372" i="5"/>
  <c r="CO372" i="5"/>
  <c r="DI41" i="5"/>
  <c r="DJ41" i="5"/>
  <c r="CR358" i="5"/>
  <c r="FC358" i="5"/>
  <c r="EB271" i="5"/>
  <c r="EA271" i="5"/>
  <c r="EB443" i="5"/>
  <c r="EA443" i="5"/>
  <c r="EB342" i="5"/>
  <c r="EA342" i="5"/>
  <c r="CW394" i="5"/>
  <c r="FD394" i="5"/>
  <c r="CU256" i="5"/>
  <c r="FA256" i="5"/>
  <c r="EN267" i="5"/>
  <c r="EO267" i="5" s="1"/>
  <c r="EP267" i="5" s="1"/>
  <c r="CO439" i="5"/>
  <c r="FA439" i="5"/>
  <c r="EE53" i="5"/>
  <c r="AV106" i="5"/>
  <c r="DH476" i="5"/>
  <c r="EL476" i="5"/>
  <c r="EM476" i="5"/>
  <c r="CE47" i="5"/>
  <c r="EA95" i="5"/>
  <c r="BJ41" i="5"/>
  <c r="EC41" i="5" s="1"/>
  <c r="AW277" i="5"/>
  <c r="CH277" i="5" s="1"/>
  <c r="DN271" i="5"/>
  <c r="BC271" i="5"/>
  <c r="EB331" i="5"/>
  <c r="EA331" i="5"/>
  <c r="FD362" i="5"/>
  <c r="CQ362" i="5"/>
  <c r="AS377" i="5"/>
  <c r="AT377" i="5" s="1"/>
  <c r="EN376" i="5"/>
  <c r="EO376" i="5" s="1"/>
  <c r="EP376" i="5" s="1"/>
  <c r="EB336" i="5"/>
  <c r="EA336" i="5"/>
  <c r="CE415" i="5"/>
  <c r="CJ415" i="5" s="1"/>
  <c r="AS265" i="5"/>
  <c r="BB265" i="5" s="1"/>
  <c r="BD265" i="5" s="1"/>
  <c r="BD284" i="5"/>
  <c r="FA411" i="5"/>
  <c r="CO411" i="5"/>
  <c r="ES39" i="5"/>
  <c r="ET39" i="5" s="1"/>
  <c r="FC296" i="5"/>
  <c r="CX296" i="5"/>
  <c r="CV151" i="5"/>
  <c r="FB151" i="5"/>
  <c r="AH128" i="5"/>
  <c r="AE128" i="5"/>
  <c r="AG128" i="5" s="1"/>
  <c r="AG170" i="5"/>
  <c r="AG194" i="5"/>
  <c r="AF231" i="5"/>
  <c r="AH231" i="5"/>
  <c r="AG231" i="5"/>
  <c r="AH140" i="5"/>
  <c r="AE140" i="5"/>
  <c r="AG140" i="5" s="1"/>
  <c r="AG215" i="5"/>
  <c r="AF219" i="5"/>
  <c r="AH219" i="5"/>
  <c r="AG219" i="5"/>
  <c r="AE66" i="5"/>
  <c r="AF66" i="5" s="1"/>
  <c r="AE90" i="5"/>
  <c r="AF90" i="5" s="1"/>
  <c r="AH111" i="5"/>
  <c r="AE111" i="5"/>
  <c r="AG111" i="5" s="1"/>
  <c r="AF248" i="5"/>
  <c r="AH129" i="5"/>
  <c r="AE129" i="5"/>
  <c r="AG129" i="5" s="1"/>
  <c r="AH141" i="5"/>
  <c r="AE141" i="5"/>
  <c r="AG141" i="5" s="1"/>
  <c r="AG204" i="5"/>
  <c r="AG171" i="5"/>
  <c r="AG183" i="5"/>
  <c r="AG195" i="5"/>
  <c r="AG220" i="5"/>
  <c r="AH220" i="5"/>
  <c r="AF220" i="5"/>
  <c r="AG232" i="5"/>
  <c r="AH232" i="5"/>
  <c r="AF232" i="5"/>
  <c r="AG244" i="5"/>
  <c r="AH244" i="5"/>
  <c r="AF244" i="5"/>
  <c r="AE55" i="5"/>
  <c r="AE67" i="5"/>
  <c r="AE79" i="5"/>
  <c r="AF79" i="5" s="1"/>
  <c r="AE91" i="5"/>
  <c r="AF91" i="5" s="1"/>
  <c r="AE106" i="5"/>
  <c r="AH112" i="5"/>
  <c r="AE112" i="5"/>
  <c r="AG112" i="5" s="1"/>
  <c r="AG205" i="5"/>
  <c r="AG182" i="5"/>
  <c r="AF243" i="5"/>
  <c r="AG243" i="5"/>
  <c r="AH243" i="5"/>
  <c r="AE54" i="5"/>
  <c r="AE78" i="5"/>
  <c r="AF78" i="5" s="1"/>
  <c r="AE110" i="5"/>
  <c r="AG110" i="5" s="1"/>
  <c r="AF251" i="5"/>
  <c r="AH130" i="5"/>
  <c r="AE130" i="5"/>
  <c r="AG130" i="5" s="1"/>
  <c r="AH142" i="5"/>
  <c r="AE142" i="5"/>
  <c r="AG142" i="5" s="1"/>
  <c r="AG203" i="5"/>
  <c r="AG172" i="5"/>
  <c r="AG184" i="5"/>
  <c r="AG221" i="5"/>
  <c r="AF221" i="5"/>
  <c r="AH221" i="5"/>
  <c r="AG233" i="5"/>
  <c r="AF233" i="5"/>
  <c r="AH233" i="5"/>
  <c r="AG245" i="5"/>
  <c r="AF245" i="5"/>
  <c r="AH245" i="5"/>
  <c r="AE56" i="5"/>
  <c r="AE68" i="5"/>
  <c r="AE80" i="5"/>
  <c r="AE92" i="5"/>
  <c r="AG185" i="5"/>
  <c r="AE57" i="5"/>
  <c r="AH108" i="5"/>
  <c r="AE108" i="5"/>
  <c r="AN108" i="5" s="1"/>
  <c r="DO108" i="5" s="1"/>
  <c r="EG108" i="5" s="1"/>
  <c r="EJ108" i="5" s="1"/>
  <c r="EK108" i="5" s="1"/>
  <c r="AE132" i="5"/>
  <c r="AG132" i="5" s="1"/>
  <c r="AH132" i="5"/>
  <c r="AH144" i="5"/>
  <c r="AE144" i="5"/>
  <c r="AG144" i="5" s="1"/>
  <c r="AG201" i="5"/>
  <c r="AG174" i="5"/>
  <c r="AG186" i="5"/>
  <c r="AH223" i="5"/>
  <c r="AG223" i="5"/>
  <c r="AF223" i="5"/>
  <c r="AH235" i="5"/>
  <c r="AG235" i="5"/>
  <c r="AF235" i="5"/>
  <c r="AE235" i="5"/>
  <c r="AD235" i="5" s="1"/>
  <c r="AH247" i="5"/>
  <c r="AG247" i="5"/>
  <c r="AF247" i="5"/>
  <c r="AE58" i="5"/>
  <c r="AE70" i="5"/>
  <c r="AE82" i="5"/>
  <c r="AE94" i="5"/>
  <c r="AF94" i="5" s="1"/>
  <c r="FV95" i="5"/>
  <c r="AE109" i="5"/>
  <c r="AG109" i="5" s="1"/>
  <c r="AH143" i="5"/>
  <c r="AE143" i="5"/>
  <c r="AG143" i="5" s="1"/>
  <c r="AG222" i="5"/>
  <c r="AH222" i="5"/>
  <c r="AF222" i="5"/>
  <c r="AE81" i="5"/>
  <c r="AH107" i="5"/>
  <c r="AE107" i="5"/>
  <c r="AN107" i="5" s="1"/>
  <c r="DO107" i="5" s="1"/>
  <c r="EG107" i="5" s="1"/>
  <c r="EJ107" i="5" s="1"/>
  <c r="EK107" i="5" s="1"/>
  <c r="FX123" i="5"/>
  <c r="AH133" i="5"/>
  <c r="AE133" i="5"/>
  <c r="AG133" i="5" s="1"/>
  <c r="AH145" i="5"/>
  <c r="AE145" i="5"/>
  <c r="AG145" i="5" s="1"/>
  <c r="AG196" i="5"/>
  <c r="AE196" i="5"/>
  <c r="AG200" i="5"/>
  <c r="AG175" i="5"/>
  <c r="AG187" i="5"/>
  <c r="AF224" i="5"/>
  <c r="AH224" i="5"/>
  <c r="AG224" i="5"/>
  <c r="AF236" i="5"/>
  <c r="AH236" i="5"/>
  <c r="AG236" i="5"/>
  <c r="AE59" i="5"/>
  <c r="AE71" i="5"/>
  <c r="AE83" i="5"/>
  <c r="AH118" i="5"/>
  <c r="AG202" i="5"/>
  <c r="AG173" i="5"/>
  <c r="AE93" i="5"/>
  <c r="AF93" i="5" s="1"/>
  <c r="AF249" i="5"/>
  <c r="AE105" i="5"/>
  <c r="AH119" i="5"/>
  <c r="AE119" i="5"/>
  <c r="AG119" i="5" s="1"/>
  <c r="AH134" i="5"/>
  <c r="AE134" i="5"/>
  <c r="AG134" i="5" s="1"/>
  <c r="AH146" i="5"/>
  <c r="AE146" i="5"/>
  <c r="AG146" i="5" s="1"/>
  <c r="AG213" i="5"/>
  <c r="AG199" i="5"/>
  <c r="AG176" i="5"/>
  <c r="AG188" i="5"/>
  <c r="AH225" i="5"/>
  <c r="AF225" i="5"/>
  <c r="AG225" i="5"/>
  <c r="AH237" i="5"/>
  <c r="AG237" i="5"/>
  <c r="AF237" i="5"/>
  <c r="AE60" i="5"/>
  <c r="AF60" i="5" s="1"/>
  <c r="AE72" i="5"/>
  <c r="AE84" i="5"/>
  <c r="AH117" i="5"/>
  <c r="AE117" i="5"/>
  <c r="AG117" i="5" s="1"/>
  <c r="AH120" i="5"/>
  <c r="AE120" i="5"/>
  <c r="AG120" i="5" s="1"/>
  <c r="AH135" i="5"/>
  <c r="AE135" i="5"/>
  <c r="AG135" i="5" s="1"/>
  <c r="AH147" i="5"/>
  <c r="AE147" i="5"/>
  <c r="AG147" i="5" s="1"/>
  <c r="AG212" i="5"/>
  <c r="AG198" i="5"/>
  <c r="AG177" i="5"/>
  <c r="AG189" i="5"/>
  <c r="AF226" i="5"/>
  <c r="AH226" i="5"/>
  <c r="AG226" i="5"/>
  <c r="AF238" i="5"/>
  <c r="AH238" i="5"/>
  <c r="AG238" i="5"/>
  <c r="AE61" i="5"/>
  <c r="AE73" i="5"/>
  <c r="AE85" i="5"/>
  <c r="J106" i="5"/>
  <c r="DS106" i="5" s="1"/>
  <c r="AH116" i="5"/>
  <c r="AE116" i="5"/>
  <c r="AG116" i="5" s="1"/>
  <c r="AE121" i="5"/>
  <c r="AG121" i="5" s="1"/>
  <c r="AH121" i="5"/>
  <c r="AH248" i="5"/>
  <c r="AH124" i="5"/>
  <c r="AE124" i="5"/>
  <c r="AG124" i="5" s="1"/>
  <c r="AH136" i="5"/>
  <c r="AE136" i="5"/>
  <c r="AG136" i="5" s="1"/>
  <c r="AG211" i="5"/>
  <c r="AG197" i="5"/>
  <c r="AG178" i="5"/>
  <c r="AG190" i="5"/>
  <c r="AH227" i="5"/>
  <c r="AF227" i="5"/>
  <c r="AG227" i="5"/>
  <c r="AH239" i="5"/>
  <c r="AF239" i="5"/>
  <c r="AG239" i="5"/>
  <c r="AE62" i="5"/>
  <c r="AE74" i="5"/>
  <c r="AE86" i="5"/>
  <c r="AG246" i="5"/>
  <c r="AH246" i="5"/>
  <c r="AF246" i="5"/>
  <c r="AE69" i="5"/>
  <c r="AF69" i="5" s="1"/>
  <c r="AF118" i="5"/>
  <c r="AH115" i="5"/>
  <c r="AE115" i="5"/>
  <c r="AG115" i="5" s="1"/>
  <c r="AH122" i="5"/>
  <c r="AE122" i="5"/>
  <c r="AG122" i="5" s="1"/>
  <c r="AH251" i="5"/>
  <c r="AH125" i="5"/>
  <c r="AE125" i="5"/>
  <c r="AG125" i="5" s="1"/>
  <c r="AH137" i="5"/>
  <c r="AE137" i="5"/>
  <c r="AG137" i="5" s="1"/>
  <c r="AF135" i="5"/>
  <c r="AG210" i="5"/>
  <c r="AG206" i="5"/>
  <c r="AG179" i="5"/>
  <c r="AG191" i="5"/>
  <c r="AF216" i="5"/>
  <c r="AG216" i="5"/>
  <c r="AH216" i="5"/>
  <c r="AF228" i="5"/>
  <c r="AG228" i="5"/>
  <c r="AH228" i="5"/>
  <c r="AF240" i="5"/>
  <c r="AG240" i="5"/>
  <c r="AH240" i="5"/>
  <c r="AE63" i="5"/>
  <c r="AE75" i="5"/>
  <c r="AE87" i="5"/>
  <c r="AF250" i="5"/>
  <c r="AG234" i="5"/>
  <c r="AH234" i="5"/>
  <c r="AF234" i="5"/>
  <c r="AF92" i="5"/>
  <c r="AH114" i="5"/>
  <c r="AE114" i="5"/>
  <c r="AG114" i="5" s="1"/>
  <c r="AH123" i="5"/>
  <c r="AE123" i="5"/>
  <c r="AG123" i="5" s="1"/>
  <c r="AH250" i="5"/>
  <c r="AH126" i="5"/>
  <c r="AE126" i="5"/>
  <c r="AG126" i="5" s="1"/>
  <c r="AH138" i="5"/>
  <c r="AE138" i="5"/>
  <c r="AG138" i="5" s="1"/>
  <c r="AG209" i="5"/>
  <c r="AG207" i="5"/>
  <c r="AG180" i="5"/>
  <c r="AG192" i="5"/>
  <c r="AH217" i="5"/>
  <c r="AG217" i="5"/>
  <c r="AF217" i="5"/>
  <c r="AH229" i="5"/>
  <c r="AG229" i="5"/>
  <c r="AF229" i="5"/>
  <c r="AH241" i="5"/>
  <c r="AG241" i="5"/>
  <c r="AF241" i="5"/>
  <c r="AE64" i="5"/>
  <c r="AE76" i="5"/>
  <c r="AF76" i="5" s="1"/>
  <c r="AE88" i="5"/>
  <c r="AH131" i="5"/>
  <c r="AE131" i="5"/>
  <c r="AG131" i="5" s="1"/>
  <c r="I106" i="5"/>
  <c r="BE106" i="5" s="1"/>
  <c r="BF106" i="5" s="1"/>
  <c r="BH106" i="5" s="1"/>
  <c r="AH113" i="5"/>
  <c r="AE113" i="5"/>
  <c r="AG113" i="5" s="1"/>
  <c r="AH249" i="5"/>
  <c r="AH127" i="5"/>
  <c r="AE127" i="5"/>
  <c r="AG127" i="5" s="1"/>
  <c r="AH139" i="5"/>
  <c r="AE139" i="5"/>
  <c r="AG139" i="5" s="1"/>
  <c r="AG208" i="5"/>
  <c r="AG214" i="5"/>
  <c r="AG169" i="5"/>
  <c r="AG181" i="5"/>
  <c r="AG193" i="5"/>
  <c r="AF218" i="5"/>
  <c r="AH218" i="5"/>
  <c r="AG218" i="5"/>
  <c r="AF230" i="5"/>
  <c r="AG230" i="5"/>
  <c r="AH230" i="5"/>
  <c r="AF242" i="5"/>
  <c r="AG242" i="5"/>
  <c r="AH242" i="5"/>
  <c r="AE53" i="5"/>
  <c r="AE65" i="5"/>
  <c r="AE77" i="5"/>
  <c r="AF77" i="5" s="1"/>
  <c r="AE89" i="5"/>
  <c r="AF89" i="5" s="1"/>
  <c r="AJ110" i="5"/>
  <c r="AJ201" i="5"/>
  <c r="AJ220" i="5"/>
  <c r="AJ174" i="5"/>
  <c r="AE169" i="5"/>
  <c r="I90" i="5"/>
  <c r="AS90" i="5"/>
  <c r="AS76" i="5"/>
  <c r="I78" i="5"/>
  <c r="AS145" i="5"/>
  <c r="AS128" i="5"/>
  <c r="AS242" i="5"/>
  <c r="AS230" i="5"/>
  <c r="AS225" i="5"/>
  <c r="AS221" i="5"/>
  <c r="AS66" i="5"/>
  <c r="AS247" i="5"/>
  <c r="AS243" i="5"/>
  <c r="AS235" i="5"/>
  <c r="AS226" i="5"/>
  <c r="AS93" i="5"/>
  <c r="AS60" i="5"/>
  <c r="I94" i="5"/>
  <c r="AS244" i="5"/>
  <c r="AS240" i="5"/>
  <c r="AS236" i="5"/>
  <c r="AS232" i="5"/>
  <c r="AS228" i="5"/>
  <c r="AS227" i="5"/>
  <c r="AS245" i="5"/>
  <c r="AS241" i="5"/>
  <c r="S27" i="5"/>
  <c r="DK27" i="5" s="1"/>
  <c r="S26" i="5"/>
  <c r="S22" i="5"/>
  <c r="AV133" i="5"/>
  <c r="K203" i="5"/>
  <c r="N203" i="5" s="1"/>
  <c r="AS190" i="5"/>
  <c r="AS174" i="5"/>
  <c r="S51" i="5"/>
  <c r="S34" i="5"/>
  <c r="DK34" i="5" s="1"/>
  <c r="AS250" i="5"/>
  <c r="K212" i="5"/>
  <c r="N212" i="5" s="1"/>
  <c r="K206" i="5"/>
  <c r="N206" i="5" s="1"/>
  <c r="K200" i="5"/>
  <c r="N200" i="5" s="1"/>
  <c r="AS169" i="5"/>
  <c r="AS191" i="5"/>
  <c r="AE224" i="5"/>
  <c r="AE228" i="5"/>
  <c r="AD228" i="5" s="1"/>
  <c r="AE232" i="5"/>
  <c r="AD232" i="5" s="1"/>
  <c r="AE236" i="5"/>
  <c r="AD236" i="5" s="1"/>
  <c r="AE240" i="5"/>
  <c r="AD240" i="5" s="1"/>
  <c r="AE244" i="5"/>
  <c r="AD244" i="5" s="1"/>
  <c r="AV131" i="5"/>
  <c r="AA143" i="5"/>
  <c r="K211" i="5"/>
  <c r="N211" i="5" s="1"/>
  <c r="AS178" i="5"/>
  <c r="AE178" i="5"/>
  <c r="AD178" i="5" s="1"/>
  <c r="M182" i="5"/>
  <c r="AH182" i="5" s="1"/>
  <c r="M194" i="5"/>
  <c r="AH194" i="5" s="1"/>
  <c r="AE227" i="5"/>
  <c r="AD227" i="5" s="1"/>
  <c r="AE231" i="5"/>
  <c r="AD231" i="5" s="1"/>
  <c r="AE239" i="5"/>
  <c r="AD239" i="5" s="1"/>
  <c r="AE243" i="5"/>
  <c r="AD243" i="5" s="1"/>
  <c r="AE247" i="5"/>
  <c r="S33" i="5"/>
  <c r="DK33" i="5" s="1"/>
  <c r="AV134" i="5"/>
  <c r="AV138" i="5"/>
  <c r="AA142" i="5"/>
  <c r="AV146" i="5"/>
  <c r="K214" i="5"/>
  <c r="N214" i="5" s="1"/>
  <c r="K208" i="5"/>
  <c r="N208" i="5" s="1"/>
  <c r="K204" i="5"/>
  <c r="N204" i="5" s="1"/>
  <c r="K198" i="5"/>
  <c r="N198" i="5" s="1"/>
  <c r="AS189" i="5"/>
  <c r="AS173" i="5"/>
  <c r="AE173" i="5"/>
  <c r="AD173" i="5" s="1"/>
  <c r="AE185" i="5"/>
  <c r="AD185" i="5" s="1"/>
  <c r="AE189" i="5"/>
  <c r="AD189" i="5" s="1"/>
  <c r="AE193" i="5"/>
  <c r="AD193" i="5" s="1"/>
  <c r="AE218" i="5"/>
  <c r="AN218" i="5" s="1"/>
  <c r="DO218" i="5" s="1"/>
  <c r="AE226" i="5"/>
  <c r="AD226" i="5" s="1"/>
  <c r="AE230" i="5"/>
  <c r="AD230" i="5" s="1"/>
  <c r="AE234" i="5"/>
  <c r="AD234" i="5" s="1"/>
  <c r="AE238" i="5"/>
  <c r="AD238" i="5" s="1"/>
  <c r="AE242" i="5"/>
  <c r="AD242" i="5" s="1"/>
  <c r="AE246" i="5"/>
  <c r="S31" i="5"/>
  <c r="S24" i="5"/>
  <c r="DK24" i="5" s="1"/>
  <c r="S30" i="5"/>
  <c r="DK30" i="5" s="1"/>
  <c r="S36" i="5"/>
  <c r="S82" i="5"/>
  <c r="S58" i="5"/>
  <c r="S94" i="5"/>
  <c r="R192" i="5"/>
  <c r="EF192" i="5" s="1"/>
  <c r="EE192" i="5" s="1"/>
  <c r="R184" i="5"/>
  <c r="EF184" i="5" s="1"/>
  <c r="EE184" i="5" s="1"/>
  <c r="R176" i="5"/>
  <c r="EF176" i="5" s="1"/>
  <c r="EE176" i="5" s="1"/>
  <c r="R172" i="5"/>
  <c r="EF172" i="5" s="1"/>
  <c r="EE172" i="5" s="1"/>
  <c r="S87" i="5"/>
  <c r="S83" i="5"/>
  <c r="S75" i="5"/>
  <c r="S71" i="5"/>
  <c r="S65" i="5"/>
  <c r="S59" i="5"/>
  <c r="S55" i="5"/>
  <c r="S60" i="5"/>
  <c r="S62" i="5"/>
  <c r="S66" i="5"/>
  <c r="S93" i="5"/>
  <c r="S123" i="5"/>
  <c r="S119" i="5"/>
  <c r="S115" i="5"/>
  <c r="S111" i="5"/>
  <c r="S107" i="5"/>
  <c r="R157" i="5"/>
  <c r="EF157" i="5" s="1"/>
  <c r="EE157" i="5" s="1"/>
  <c r="EG157" i="5" s="1"/>
  <c r="EJ157" i="5" s="1"/>
  <c r="EK157" i="5" s="1"/>
  <c r="R161" i="5"/>
  <c r="EF161" i="5" s="1"/>
  <c r="EE161" i="5" s="1"/>
  <c r="EG161" i="5" s="1"/>
  <c r="EJ161" i="5" s="1"/>
  <c r="EK161" i="5" s="1"/>
  <c r="R165" i="5"/>
  <c r="EF165" i="5" s="1"/>
  <c r="EE165" i="5" s="1"/>
  <c r="EG165" i="5" s="1"/>
  <c r="EJ165" i="5" s="1"/>
  <c r="EK165" i="5" s="1"/>
  <c r="R213" i="5"/>
  <c r="EF213" i="5" s="1"/>
  <c r="EE213" i="5" s="1"/>
  <c r="R209" i="5"/>
  <c r="EF209" i="5" s="1"/>
  <c r="EE209" i="5" s="1"/>
  <c r="R205" i="5"/>
  <c r="EF205" i="5" s="1"/>
  <c r="EE205" i="5" s="1"/>
  <c r="R201" i="5"/>
  <c r="EF201" i="5" s="1"/>
  <c r="EE201" i="5" s="1"/>
  <c r="R197" i="5"/>
  <c r="EF197" i="5" s="1"/>
  <c r="EE197" i="5" s="1"/>
  <c r="R189" i="5"/>
  <c r="EF189" i="5" s="1"/>
  <c r="EE189" i="5" s="1"/>
  <c r="S236" i="5"/>
  <c r="R218" i="5"/>
  <c r="EF218" i="5" s="1"/>
  <c r="EE218" i="5" s="1"/>
  <c r="EG218" i="5" s="1"/>
  <c r="EJ218" i="5" s="1"/>
  <c r="EK218" i="5" s="1"/>
  <c r="R230" i="5"/>
  <c r="EF230" i="5" s="1"/>
  <c r="EE230" i="5" s="1"/>
  <c r="R234" i="5"/>
  <c r="EF234" i="5" s="1"/>
  <c r="EE234" i="5" s="1"/>
  <c r="S86" i="5"/>
  <c r="S64" i="5"/>
  <c r="S118" i="5"/>
  <c r="S114" i="5"/>
  <c r="R188" i="5"/>
  <c r="EF188" i="5" s="1"/>
  <c r="EE188" i="5" s="1"/>
  <c r="S84" i="5"/>
  <c r="S80" i="5"/>
  <c r="S72" i="5"/>
  <c r="S67" i="5"/>
  <c r="S61" i="5"/>
  <c r="S56" i="5"/>
  <c r="S79" i="5"/>
  <c r="S88" i="5"/>
  <c r="S89" i="5"/>
  <c r="S90" i="5"/>
  <c r="S91" i="5"/>
  <c r="S92" i="5"/>
  <c r="S106" i="5"/>
  <c r="S120" i="5"/>
  <c r="S116" i="5"/>
  <c r="S112" i="5"/>
  <c r="S108" i="5"/>
  <c r="R158" i="5"/>
  <c r="EF158" i="5" s="1"/>
  <c r="EE158" i="5" s="1"/>
  <c r="EG158" i="5" s="1"/>
  <c r="EJ158" i="5" s="1"/>
  <c r="EK158" i="5" s="1"/>
  <c r="R194" i="5"/>
  <c r="EF194" i="5" s="1"/>
  <c r="EE194" i="5" s="1"/>
  <c r="R190" i="5"/>
  <c r="EF190" i="5" s="1"/>
  <c r="EE190" i="5" s="1"/>
  <c r="R186" i="5"/>
  <c r="EF186" i="5" s="1"/>
  <c r="EE186" i="5" s="1"/>
  <c r="R182" i="5"/>
  <c r="EF182" i="5" s="1"/>
  <c r="EE182" i="5" s="1"/>
  <c r="R178" i="5"/>
  <c r="EF178" i="5" s="1"/>
  <c r="EE178" i="5" s="1"/>
  <c r="R174" i="5"/>
  <c r="EF174" i="5" s="1"/>
  <c r="EE174" i="5" s="1"/>
  <c r="R170" i="5"/>
  <c r="EF170" i="5" s="1"/>
  <c r="EE170" i="5" s="1"/>
  <c r="R229" i="5"/>
  <c r="EF229" i="5" s="1"/>
  <c r="EE229" i="5" s="1"/>
  <c r="R237" i="5"/>
  <c r="EF237" i="5" s="1"/>
  <c r="EE237" i="5" s="1"/>
  <c r="R241" i="5"/>
  <c r="EF241" i="5" s="1"/>
  <c r="EE241" i="5" s="1"/>
  <c r="S74" i="5"/>
  <c r="S70" i="5"/>
  <c r="S54" i="5"/>
  <c r="S69" i="5"/>
  <c r="S122" i="5"/>
  <c r="S110" i="5"/>
  <c r="R164" i="5"/>
  <c r="EF164" i="5" s="1"/>
  <c r="EE164" i="5" s="1"/>
  <c r="R180" i="5"/>
  <c r="EF180" i="5" s="1"/>
  <c r="EE180" i="5" s="1"/>
  <c r="R216" i="5"/>
  <c r="EF216" i="5" s="1"/>
  <c r="EE216" i="5" s="1"/>
  <c r="R219" i="5"/>
  <c r="EF219" i="5" s="1"/>
  <c r="EE219" i="5" s="1"/>
  <c r="S85" i="5"/>
  <c r="S81" i="5"/>
  <c r="S73" i="5"/>
  <c r="S68" i="5"/>
  <c r="S63" i="5"/>
  <c r="S57" i="5"/>
  <c r="S53" i="5"/>
  <c r="S76" i="5"/>
  <c r="S77" i="5"/>
  <c r="S78" i="5"/>
  <c r="S105" i="5"/>
  <c r="S121" i="5"/>
  <c r="S117" i="5"/>
  <c r="S113" i="5"/>
  <c r="S109" i="5"/>
  <c r="R163" i="5"/>
  <c r="EF163" i="5" s="1"/>
  <c r="EE163" i="5" s="1"/>
  <c r="R215" i="5"/>
  <c r="EF215" i="5" s="1"/>
  <c r="EE215" i="5" s="1"/>
  <c r="R211" i="5"/>
  <c r="EF211" i="5" s="1"/>
  <c r="EE211" i="5" s="1"/>
  <c r="R207" i="5"/>
  <c r="EF207" i="5" s="1"/>
  <c r="EE207" i="5" s="1"/>
  <c r="R203" i="5"/>
  <c r="EF203" i="5" s="1"/>
  <c r="EE203" i="5" s="1"/>
  <c r="R199" i="5"/>
  <c r="EF199" i="5" s="1"/>
  <c r="EE199" i="5" s="1"/>
  <c r="R195" i="5"/>
  <c r="EF195" i="5" s="1"/>
  <c r="EE195" i="5" s="1"/>
  <c r="S191" i="5"/>
  <c r="S183" i="5"/>
  <c r="R175" i="5"/>
  <c r="EF175" i="5" s="1"/>
  <c r="EE175" i="5" s="1"/>
  <c r="S171" i="5"/>
  <c r="AA119" i="5"/>
  <c r="FS119" i="5" s="1"/>
  <c r="FU119" i="5" s="1"/>
  <c r="CM119" i="5" s="1"/>
  <c r="J105" i="5"/>
  <c r="DS105" i="5" s="1"/>
  <c r="AA122" i="5"/>
  <c r="AA121" i="5"/>
  <c r="I105" i="5"/>
  <c r="BU105" i="5" s="1"/>
  <c r="AA120" i="5"/>
  <c r="AY120" i="5" s="1"/>
  <c r="AZ120" i="5" s="1"/>
  <c r="CI120" i="5" s="1"/>
  <c r="J248" i="5"/>
  <c r="DS248" i="5" s="1"/>
  <c r="AD218" i="5"/>
  <c r="AD246" i="5"/>
  <c r="AD224" i="5"/>
  <c r="AD247" i="5"/>
  <c r="AS160" i="5"/>
  <c r="AS187" i="5"/>
  <c r="AS179" i="5"/>
  <c r="AS175" i="5"/>
  <c r="AS171" i="5"/>
  <c r="AS192" i="5"/>
  <c r="AS184" i="5"/>
  <c r="AS176" i="5"/>
  <c r="AS172" i="5"/>
  <c r="AS162" i="5"/>
  <c r="R226" i="5"/>
  <c r="EF226" i="5" s="1"/>
  <c r="EE226" i="5" s="1"/>
  <c r="R217" i="5"/>
  <c r="EF217" i="5" s="1"/>
  <c r="EE217" i="5" s="1"/>
  <c r="EG217" i="5" s="1"/>
  <c r="EJ217" i="5" s="1"/>
  <c r="EK217" i="5" s="1"/>
  <c r="R235" i="5"/>
  <c r="EF235" i="5" s="1"/>
  <c r="EE235" i="5" s="1"/>
  <c r="R240" i="5"/>
  <c r="EF240" i="5" s="1"/>
  <c r="EE240" i="5" s="1"/>
  <c r="R221" i="5"/>
  <c r="EF221" i="5" s="1"/>
  <c r="EE221" i="5" s="1"/>
  <c r="AZ245" i="5"/>
  <c r="CI245" i="5" s="1"/>
  <c r="AZ233" i="5"/>
  <c r="R243" i="5"/>
  <c r="EF243" i="5" s="1"/>
  <c r="EE243" i="5" s="1"/>
  <c r="R232" i="5"/>
  <c r="EF232" i="5" s="1"/>
  <c r="EE232" i="5" s="1"/>
  <c r="R220" i="5"/>
  <c r="EF220" i="5" s="1"/>
  <c r="EE220" i="5" s="1"/>
  <c r="R247" i="5"/>
  <c r="EF247" i="5" s="1"/>
  <c r="EE247" i="5" s="1"/>
  <c r="R222" i="5"/>
  <c r="EF222" i="5" s="1"/>
  <c r="EE222" i="5" s="1"/>
  <c r="R242" i="5"/>
  <c r="EF242" i="5" s="1"/>
  <c r="EE242" i="5" s="1"/>
  <c r="R223" i="5"/>
  <c r="EF223" i="5" s="1"/>
  <c r="EE223" i="5" s="1"/>
  <c r="R225" i="5"/>
  <c r="EF225" i="5" s="1"/>
  <c r="EE225" i="5" s="1"/>
  <c r="AE245" i="5"/>
  <c r="AD245" i="5" s="1"/>
  <c r="R245" i="5"/>
  <c r="EF245" i="5" s="1"/>
  <c r="EE245" i="5" s="1"/>
  <c r="R238" i="5"/>
  <c r="EF238" i="5" s="1"/>
  <c r="EE238" i="5" s="1"/>
  <c r="R228" i="5"/>
  <c r="EF228" i="5" s="1"/>
  <c r="EE228" i="5" s="1"/>
  <c r="R244" i="5"/>
  <c r="EF244" i="5" s="1"/>
  <c r="EE244" i="5" s="1"/>
  <c r="R233" i="5"/>
  <c r="EF233" i="5" s="1"/>
  <c r="EE233" i="5" s="1"/>
  <c r="R227" i="5"/>
  <c r="EF227" i="5" s="1"/>
  <c r="EE227" i="5" s="1"/>
  <c r="M169" i="5"/>
  <c r="AH169" i="5" s="1"/>
  <c r="M171" i="5"/>
  <c r="AH171" i="5" s="1"/>
  <c r="M177" i="5"/>
  <c r="AH177" i="5" s="1"/>
  <c r="M181" i="5"/>
  <c r="AH181" i="5" s="1"/>
  <c r="M185" i="5"/>
  <c r="AH185" i="5" s="1"/>
  <c r="M189" i="5"/>
  <c r="AH189" i="5" s="1"/>
  <c r="M193" i="5"/>
  <c r="AH193" i="5" s="1"/>
  <c r="M213" i="5"/>
  <c r="AH213" i="5" s="1"/>
  <c r="M209" i="5"/>
  <c r="AH209" i="5" s="1"/>
  <c r="M205" i="5"/>
  <c r="AH205" i="5" s="1"/>
  <c r="M201" i="5"/>
  <c r="AH201" i="5" s="1"/>
  <c r="M197" i="5"/>
  <c r="AH197" i="5" s="1"/>
  <c r="AE241" i="5"/>
  <c r="AD241" i="5" s="1"/>
  <c r="AE237" i="5"/>
  <c r="AD237" i="5" s="1"/>
  <c r="AE233" i="5"/>
  <c r="AD233" i="5" s="1"/>
  <c r="AE229" i="5"/>
  <c r="AD229" i="5" s="1"/>
  <c r="AE225" i="5"/>
  <c r="AD225" i="5" s="1"/>
  <c r="AE221" i="5"/>
  <c r="AD221" i="5" s="1"/>
  <c r="AE216" i="5"/>
  <c r="AN216" i="5" s="1"/>
  <c r="DO216" i="5" s="1"/>
  <c r="M172" i="5"/>
  <c r="AH172" i="5" s="1"/>
  <c r="M176" i="5"/>
  <c r="AH176" i="5" s="1"/>
  <c r="M180" i="5"/>
  <c r="AH180" i="5" s="1"/>
  <c r="M184" i="5"/>
  <c r="AH184" i="5" s="1"/>
  <c r="M188" i="5"/>
  <c r="AH188" i="5" s="1"/>
  <c r="M192" i="5"/>
  <c r="AH192" i="5" s="1"/>
  <c r="M214" i="5"/>
  <c r="AH214" i="5" s="1"/>
  <c r="M210" i="5"/>
  <c r="AH210" i="5" s="1"/>
  <c r="M206" i="5"/>
  <c r="AH206" i="5" s="1"/>
  <c r="M202" i="5"/>
  <c r="AH202" i="5" s="1"/>
  <c r="M198" i="5"/>
  <c r="AH198" i="5" s="1"/>
  <c r="R246" i="5"/>
  <c r="EF246" i="5" s="1"/>
  <c r="EE246" i="5" s="1"/>
  <c r="R224" i="5"/>
  <c r="EF224" i="5" s="1"/>
  <c r="EE224" i="5" s="1"/>
  <c r="AE219" i="5"/>
  <c r="AD219" i="5" s="1"/>
  <c r="AE217" i="5"/>
  <c r="AN217" i="5" s="1"/>
  <c r="DO217" i="5" s="1"/>
  <c r="M173" i="5"/>
  <c r="AH173" i="5" s="1"/>
  <c r="M175" i="5"/>
  <c r="AH175" i="5" s="1"/>
  <c r="M179" i="5"/>
  <c r="AH179" i="5" s="1"/>
  <c r="M183" i="5"/>
  <c r="AH183" i="5" s="1"/>
  <c r="M187" i="5"/>
  <c r="AH187" i="5" s="1"/>
  <c r="M191" i="5"/>
  <c r="AH191" i="5" s="1"/>
  <c r="M195" i="5"/>
  <c r="AH195" i="5" s="1"/>
  <c r="M215" i="5"/>
  <c r="AH215" i="5" s="1"/>
  <c r="M211" i="5"/>
  <c r="AH211" i="5" s="1"/>
  <c r="M207" i="5"/>
  <c r="AH207" i="5" s="1"/>
  <c r="M203" i="5"/>
  <c r="AH203" i="5" s="1"/>
  <c r="M199" i="5"/>
  <c r="AH199" i="5" s="1"/>
  <c r="AE223" i="5"/>
  <c r="AD223" i="5" s="1"/>
  <c r="AE222" i="5"/>
  <c r="AD222" i="5" s="1"/>
  <c r="AE220" i="5"/>
  <c r="AD220" i="5" s="1"/>
  <c r="M174" i="5"/>
  <c r="AH174" i="5" s="1"/>
  <c r="M170" i="5"/>
  <c r="AH170" i="5" s="1"/>
  <c r="M178" i="5"/>
  <c r="AH178" i="5" s="1"/>
  <c r="M186" i="5"/>
  <c r="AH186" i="5" s="1"/>
  <c r="M190" i="5"/>
  <c r="AH190" i="5" s="1"/>
  <c r="M196" i="5"/>
  <c r="AH196" i="5" s="1"/>
  <c r="M212" i="5"/>
  <c r="AH212" i="5" s="1"/>
  <c r="M208" i="5"/>
  <c r="AH208" i="5" s="1"/>
  <c r="M204" i="5"/>
  <c r="AH204" i="5" s="1"/>
  <c r="M200" i="5"/>
  <c r="AH200" i="5" s="1"/>
  <c r="R198" i="5"/>
  <c r="EF198" i="5" s="1"/>
  <c r="EE198" i="5" s="1"/>
  <c r="AZ192" i="5"/>
  <c r="CI192" i="5" s="1"/>
  <c r="R193" i="5"/>
  <c r="EF193" i="5" s="1"/>
  <c r="EE193" i="5" s="1"/>
  <c r="R181" i="5"/>
  <c r="EF181" i="5" s="1"/>
  <c r="EE181" i="5" s="1"/>
  <c r="R202" i="5"/>
  <c r="EF202" i="5" s="1"/>
  <c r="EE202" i="5" s="1"/>
  <c r="R208" i="5"/>
  <c r="EF208" i="5" s="1"/>
  <c r="EE208" i="5" s="1"/>
  <c r="R169" i="5"/>
  <c r="EF169" i="5" s="1"/>
  <c r="EE169" i="5" s="1"/>
  <c r="AZ248" i="5"/>
  <c r="CI248" i="5" s="1"/>
  <c r="AZ250" i="5"/>
  <c r="CI250" i="5" s="1"/>
  <c r="R214" i="5"/>
  <c r="EF214" i="5" s="1"/>
  <c r="EE214" i="5" s="1"/>
  <c r="R200" i="5"/>
  <c r="EF200" i="5" s="1"/>
  <c r="EE200" i="5" s="1"/>
  <c r="R185" i="5"/>
  <c r="EF185" i="5" s="1"/>
  <c r="EE185" i="5" s="1"/>
  <c r="J250" i="5"/>
  <c r="DS250" i="5" s="1"/>
  <c r="R206" i="5"/>
  <c r="EF206" i="5" s="1"/>
  <c r="EE206" i="5" s="1"/>
  <c r="R177" i="5"/>
  <c r="EF177" i="5" s="1"/>
  <c r="EE177" i="5" s="1"/>
  <c r="H175" i="5"/>
  <c r="DY175" i="5" s="1"/>
  <c r="J249" i="5"/>
  <c r="DS249" i="5" s="1"/>
  <c r="J251" i="5"/>
  <c r="DS251" i="5" s="1"/>
  <c r="AZ249" i="5"/>
  <c r="CI249" i="5" s="1"/>
  <c r="J202" i="5"/>
  <c r="DS202" i="5" s="1"/>
  <c r="J207" i="5"/>
  <c r="DS207" i="5" s="1"/>
  <c r="J212" i="5"/>
  <c r="DS212" i="5" s="1"/>
  <c r="R210" i="5"/>
  <c r="EF210" i="5" s="1"/>
  <c r="EE210" i="5" s="1"/>
  <c r="AE215" i="5"/>
  <c r="AE206" i="5"/>
  <c r="H169" i="5"/>
  <c r="H192" i="5"/>
  <c r="DY192" i="5" s="1"/>
  <c r="H188" i="5"/>
  <c r="DY188" i="5" s="1"/>
  <c r="H184" i="5"/>
  <c r="DY184" i="5" s="1"/>
  <c r="H180" i="5"/>
  <c r="DY180" i="5" s="1"/>
  <c r="H176" i="5"/>
  <c r="DY176" i="5" s="1"/>
  <c r="H172" i="5"/>
  <c r="DY172" i="5" s="1"/>
  <c r="AE179" i="5"/>
  <c r="AD179" i="5" s="1"/>
  <c r="AE177" i="5"/>
  <c r="AD177" i="5" s="1"/>
  <c r="K196" i="5"/>
  <c r="N196" i="5" s="1"/>
  <c r="K210" i="5"/>
  <c r="N210" i="5" s="1"/>
  <c r="K202" i="5"/>
  <c r="N202" i="5" s="1"/>
  <c r="J200" i="5"/>
  <c r="DS200" i="5" s="1"/>
  <c r="J210" i="5"/>
  <c r="DS210" i="5" s="1"/>
  <c r="R212" i="5"/>
  <c r="EF212" i="5" s="1"/>
  <c r="EE212" i="5" s="1"/>
  <c r="R204" i="5"/>
  <c r="EF204" i="5" s="1"/>
  <c r="EE204" i="5" s="1"/>
  <c r="R196" i="5"/>
  <c r="EF196" i="5" s="1"/>
  <c r="EE196" i="5" s="1"/>
  <c r="AE207" i="5"/>
  <c r="H193" i="5"/>
  <c r="H189" i="5"/>
  <c r="DY189" i="5" s="1"/>
  <c r="H185" i="5"/>
  <c r="DY185" i="5" s="1"/>
  <c r="H181" i="5"/>
  <c r="DY181" i="5" s="1"/>
  <c r="H177" i="5"/>
  <c r="DY177" i="5" s="1"/>
  <c r="H173" i="5"/>
  <c r="DY173" i="5" s="1"/>
  <c r="AE195" i="5"/>
  <c r="AD195" i="5" s="1"/>
  <c r="AE191" i="5"/>
  <c r="AD191" i="5" s="1"/>
  <c r="AE187" i="5"/>
  <c r="AD187" i="5" s="1"/>
  <c r="AE183" i="5"/>
  <c r="AD183" i="5" s="1"/>
  <c r="AE174" i="5"/>
  <c r="AD174" i="5" s="1"/>
  <c r="AE172" i="5"/>
  <c r="AE171" i="5"/>
  <c r="J198" i="5"/>
  <c r="DS198" i="5" s="1"/>
  <c r="J208" i="5"/>
  <c r="DS208" i="5" s="1"/>
  <c r="AE214" i="5"/>
  <c r="R173" i="5"/>
  <c r="EF173" i="5" s="1"/>
  <c r="EE173" i="5" s="1"/>
  <c r="H194" i="5"/>
  <c r="DY194" i="5" s="1"/>
  <c r="H190" i="5"/>
  <c r="DY190" i="5" s="1"/>
  <c r="H186" i="5"/>
  <c r="DY186" i="5" s="1"/>
  <c r="H182" i="5"/>
  <c r="DY182" i="5" s="1"/>
  <c r="H178" i="5"/>
  <c r="DY178" i="5" s="1"/>
  <c r="H174" i="5"/>
  <c r="DY174" i="5" s="1"/>
  <c r="H170" i="5"/>
  <c r="DY170" i="5" s="1"/>
  <c r="AE194" i="5"/>
  <c r="AD194" i="5" s="1"/>
  <c r="AE192" i="5"/>
  <c r="AD192" i="5" s="1"/>
  <c r="AE190" i="5"/>
  <c r="AD190" i="5" s="1"/>
  <c r="AE188" i="5"/>
  <c r="AD188" i="5" s="1"/>
  <c r="AE186" i="5"/>
  <c r="AD186" i="5" s="1"/>
  <c r="AE184" i="5"/>
  <c r="AD184" i="5" s="1"/>
  <c r="AE182" i="5"/>
  <c r="AD182" i="5" s="1"/>
  <c r="AE180" i="5"/>
  <c r="AD180" i="5" s="1"/>
  <c r="AE176" i="5"/>
  <c r="AD176" i="5" s="1"/>
  <c r="AE175" i="5"/>
  <c r="AD175" i="5" s="1"/>
  <c r="AE170" i="5"/>
  <c r="J215" i="5"/>
  <c r="DS215" i="5" s="1"/>
  <c r="H195" i="5"/>
  <c r="DY195" i="5" s="1"/>
  <c r="H191" i="5"/>
  <c r="DY191" i="5" s="1"/>
  <c r="H187" i="5"/>
  <c r="DY187" i="5" s="1"/>
  <c r="H183" i="5"/>
  <c r="DY183" i="5" s="1"/>
  <c r="H179" i="5"/>
  <c r="DY179" i="5" s="1"/>
  <c r="H171" i="5"/>
  <c r="DY171" i="5" s="1"/>
  <c r="AE181" i="5"/>
  <c r="AD181" i="5" s="1"/>
  <c r="K215" i="5"/>
  <c r="N215" i="5" s="1"/>
  <c r="K213" i="5"/>
  <c r="N213" i="5" s="1"/>
  <c r="K209" i="5"/>
  <c r="N209" i="5" s="1"/>
  <c r="K207" i="5"/>
  <c r="N207" i="5" s="1"/>
  <c r="K205" i="5"/>
  <c r="N205" i="5" s="1"/>
  <c r="K201" i="5"/>
  <c r="N201" i="5" s="1"/>
  <c r="K199" i="5"/>
  <c r="N199" i="5" s="1"/>
  <c r="K197" i="5"/>
  <c r="N197" i="5" s="1"/>
  <c r="AE211" i="5"/>
  <c r="AE210" i="5"/>
  <c r="AE209" i="5"/>
  <c r="AE208" i="5"/>
  <c r="AE205" i="5"/>
  <c r="AE212" i="5"/>
  <c r="AE204" i="5"/>
  <c r="AE203" i="5"/>
  <c r="AE202" i="5"/>
  <c r="AE201" i="5"/>
  <c r="AE200" i="5"/>
  <c r="AE199" i="5"/>
  <c r="AE198" i="5"/>
  <c r="AN198" i="5" s="1"/>
  <c r="DO198" i="5" s="1"/>
  <c r="AE197" i="5"/>
  <c r="AE213" i="5"/>
  <c r="J197" i="5"/>
  <c r="DS197" i="5" s="1"/>
  <c r="J201" i="5"/>
  <c r="DS201" i="5" s="1"/>
  <c r="J209" i="5"/>
  <c r="DS209" i="5" s="1"/>
  <c r="R249" i="5"/>
  <c r="EF249" i="5" s="1"/>
  <c r="EE249" i="5" s="1"/>
  <c r="R248" i="5"/>
  <c r="EF248" i="5" s="1"/>
  <c r="EE248" i="5" s="1"/>
  <c r="R251" i="5"/>
  <c r="EF251" i="5" s="1"/>
  <c r="EE251" i="5" s="1"/>
  <c r="R250" i="5"/>
  <c r="EF250" i="5" s="1"/>
  <c r="EE250" i="5" s="1"/>
  <c r="R156" i="5"/>
  <c r="EF156" i="5" s="1"/>
  <c r="EE156" i="5" s="1"/>
  <c r="EG156" i="5" s="1"/>
  <c r="EJ156" i="5" s="1"/>
  <c r="EK156" i="5" s="1"/>
  <c r="R167" i="5"/>
  <c r="EF167" i="5" s="1"/>
  <c r="EE167" i="5" s="1"/>
  <c r="EG167" i="5" s="1"/>
  <c r="EJ167" i="5" s="1"/>
  <c r="EK167" i="5" s="1"/>
  <c r="R166" i="5"/>
  <c r="EF166" i="5" s="1"/>
  <c r="EE166" i="5" s="1"/>
  <c r="R160" i="5"/>
  <c r="EF160" i="5" s="1"/>
  <c r="EE160" i="5" s="1"/>
  <c r="EG160" i="5" s="1"/>
  <c r="EJ160" i="5" s="1"/>
  <c r="EK160" i="5" s="1"/>
  <c r="J159" i="5"/>
  <c r="DS159" i="5" s="1"/>
  <c r="J157" i="5"/>
  <c r="DS157" i="5" s="1"/>
  <c r="J163" i="5"/>
  <c r="DS163" i="5" s="1"/>
  <c r="J161" i="5"/>
  <c r="DS161" i="5" s="1"/>
  <c r="J167" i="5"/>
  <c r="DS167" i="5" s="1"/>
  <c r="J165" i="5"/>
  <c r="DS165" i="5" s="1"/>
  <c r="AZ167" i="5"/>
  <c r="AZ166" i="5"/>
  <c r="AZ164" i="5"/>
  <c r="AZ163" i="5"/>
  <c r="AZ162" i="5"/>
  <c r="AZ160" i="5"/>
  <c r="AZ159" i="5"/>
  <c r="AZ158" i="5"/>
  <c r="AZ157" i="5"/>
  <c r="AZ156" i="5"/>
  <c r="J164" i="5"/>
  <c r="DS164" i="5" s="1"/>
  <c r="J166" i="5"/>
  <c r="DS166" i="5" s="1"/>
  <c r="R159" i="5"/>
  <c r="EF159" i="5" s="1"/>
  <c r="EE159" i="5" s="1"/>
  <c r="EG159" i="5" s="1"/>
  <c r="EJ159" i="5" s="1"/>
  <c r="EK159" i="5" s="1"/>
  <c r="R162" i="5"/>
  <c r="EF162" i="5" s="1"/>
  <c r="EE162" i="5" s="1"/>
  <c r="EG162" i="5" s="1"/>
  <c r="EJ162" i="5" s="1"/>
  <c r="EK162" i="5" s="1"/>
  <c r="I66" i="5"/>
  <c r="I76" i="5"/>
  <c r="DY76" i="5" s="1"/>
  <c r="I89" i="5"/>
  <c r="DY89" i="5" s="1"/>
  <c r="I62" i="5"/>
  <c r="I79" i="5"/>
  <c r="DY79" i="5" s="1"/>
  <c r="I91" i="5"/>
  <c r="DY91" i="5" s="1"/>
  <c r="I77" i="5"/>
  <c r="I92" i="5"/>
  <c r="I93" i="5"/>
  <c r="I88" i="5"/>
  <c r="DY88" i="5" s="1"/>
  <c r="I69" i="5"/>
  <c r="I60" i="5"/>
  <c r="BR306" i="20" l="1"/>
  <c r="DK345" i="20"/>
  <c r="FR345" i="20"/>
  <c r="BR370" i="20"/>
  <c r="BW92" i="20"/>
  <c r="BX92" i="20" s="1"/>
  <c r="EQ92" i="20" s="1"/>
  <c r="FQ271" i="20"/>
  <c r="FP364" i="20"/>
  <c r="FQ263" i="20"/>
  <c r="DK418" i="20"/>
  <c r="DD413" i="20"/>
  <c r="CQ263" i="20"/>
  <c r="CS263" i="20" s="1"/>
  <c r="CX263" i="20" s="1"/>
  <c r="DE263" i="20" s="1"/>
  <c r="DJ286" i="20"/>
  <c r="FR202" i="20"/>
  <c r="BC297" i="20"/>
  <c r="FR390" i="20"/>
  <c r="FP184" i="20"/>
  <c r="FR347" i="20"/>
  <c r="BR315" i="20"/>
  <c r="FQ177" i="20"/>
  <c r="FR282" i="20"/>
  <c r="FR165" i="20"/>
  <c r="FR288" i="20"/>
  <c r="FR178" i="20"/>
  <c r="FE558" i="20"/>
  <c r="CQ247" i="20"/>
  <c r="CS247" i="20" s="1"/>
  <c r="CX247" i="20" s="1"/>
  <c r="DE247" i="20" s="1"/>
  <c r="FF553" i="20"/>
  <c r="DX553" i="20"/>
  <c r="DY553" i="20" s="1"/>
  <c r="DZ553" i="20" s="1"/>
  <c r="EL553" i="20"/>
  <c r="CZ553" i="20" s="1"/>
  <c r="DH553" i="20" s="1"/>
  <c r="FR552" i="20"/>
  <c r="DJ320" i="20"/>
  <c r="DE557" i="20"/>
  <c r="FE557" i="20"/>
  <c r="FF557" i="20" s="1"/>
  <c r="DY550" i="20"/>
  <c r="DZ550" i="20" s="1"/>
  <c r="FR554" i="20"/>
  <c r="FR553" i="20"/>
  <c r="FR338" i="20"/>
  <c r="FP338" i="20"/>
  <c r="DE365" i="20"/>
  <c r="FR365" i="20"/>
  <c r="CQ271" i="20"/>
  <c r="CS271" i="20" s="1"/>
  <c r="CX271" i="20" s="1"/>
  <c r="DE271" i="20" s="1"/>
  <c r="FQ165" i="20"/>
  <c r="BR230" i="20"/>
  <c r="BR251" i="20"/>
  <c r="FE155" i="20"/>
  <c r="FF155" i="20" s="1"/>
  <c r="EA155" i="20" s="1"/>
  <c r="BR255" i="20"/>
  <c r="CQ351" i="20"/>
  <c r="CS351" i="20" s="1"/>
  <c r="CX351" i="20" s="1"/>
  <c r="FR351" i="20" s="1"/>
  <c r="DK286" i="20"/>
  <c r="BW105" i="20"/>
  <c r="BX105" i="20" s="1"/>
  <c r="EQ105" i="20" s="1"/>
  <c r="EP105" i="20" s="1"/>
  <c r="EZ105" i="20" s="1"/>
  <c r="DF213" i="20"/>
  <c r="DF174" i="20"/>
  <c r="DE174" i="20"/>
  <c r="FR297" i="20"/>
  <c r="CQ213" i="20"/>
  <c r="CS213" i="20" s="1"/>
  <c r="CX213" i="20" s="1"/>
  <c r="FR213" i="20" s="1"/>
  <c r="DK408" i="20"/>
  <c r="CQ208" i="20"/>
  <c r="CS208" i="20" s="1"/>
  <c r="CX208" i="20" s="1"/>
  <c r="FR208" i="20" s="1"/>
  <c r="DK319" i="20"/>
  <c r="DD342" i="20"/>
  <c r="CM228" i="20"/>
  <c r="CQ228" i="20" s="1"/>
  <c r="CS228" i="20" s="1"/>
  <c r="CX228" i="20" s="1"/>
  <c r="DE228" i="20" s="1"/>
  <c r="BD455" i="20"/>
  <c r="BE455" i="20" s="1"/>
  <c r="BK380" i="20"/>
  <c r="CV380" i="20" s="1"/>
  <c r="FE555" i="20"/>
  <c r="FF555" i="20" s="1"/>
  <c r="BR209" i="20"/>
  <c r="FE554" i="20"/>
  <c r="FF554" i="20" s="1"/>
  <c r="BR425" i="20"/>
  <c r="FH170" i="21"/>
  <c r="CV170" i="21"/>
  <c r="EW155" i="21"/>
  <c r="AZ196" i="21"/>
  <c r="AZ335" i="21"/>
  <c r="BO66" i="21"/>
  <c r="CX17" i="21"/>
  <c r="DC418" i="21"/>
  <c r="BO89" i="21"/>
  <c r="ER164" i="21"/>
  <c r="EW164" i="21" s="1"/>
  <c r="AZ263" i="21"/>
  <c r="FL199" i="21"/>
  <c r="FJ210" i="21"/>
  <c r="CW210" i="21"/>
  <c r="AZ317" i="21"/>
  <c r="BO99" i="21"/>
  <c r="EX21" i="21"/>
  <c r="CB108" i="21"/>
  <c r="CI108" i="21" s="1"/>
  <c r="CK108" i="21" s="1"/>
  <c r="BJ334" i="21"/>
  <c r="DQ40" i="21"/>
  <c r="CO17" i="21"/>
  <c r="DD16" i="21"/>
  <c r="CO9" i="21"/>
  <c r="AZ195" i="21"/>
  <c r="AV195" i="21" s="1"/>
  <c r="AW195" i="21" s="1"/>
  <c r="FJ289" i="21"/>
  <c r="FP54" i="21"/>
  <c r="BH398" i="21"/>
  <c r="BJ398" i="21" s="1"/>
  <c r="BJ449" i="21"/>
  <c r="BO54" i="21"/>
  <c r="AZ405" i="21"/>
  <c r="DQ216" i="21"/>
  <c r="DR216" i="21" s="1"/>
  <c r="DC225" i="21"/>
  <c r="FJ225" i="21"/>
  <c r="FJ199" i="21"/>
  <c r="CW199" i="21"/>
  <c r="CW203" i="21"/>
  <c r="FJ203" i="21"/>
  <c r="CX8" i="21"/>
  <c r="BO62" i="21"/>
  <c r="AZ198" i="21"/>
  <c r="AZ376" i="21"/>
  <c r="BC160" i="21"/>
  <c r="AV160" i="21"/>
  <c r="AW160" i="21" s="1"/>
  <c r="CU12" i="21"/>
  <c r="CW10" i="21"/>
  <c r="CW11" i="21" s="1"/>
  <c r="FH130" i="21"/>
  <c r="CV130" i="21"/>
  <c r="EX159" i="21"/>
  <c r="DS159" i="21" s="1"/>
  <c r="BH307" i="21"/>
  <c r="EW19" i="21"/>
  <c r="BH411" i="21"/>
  <c r="BJ411" i="21" s="1"/>
  <c r="DA17" i="21"/>
  <c r="FJ194" i="21"/>
  <c r="CW194" i="21"/>
  <c r="DQ48" i="21"/>
  <c r="CX6" i="21"/>
  <c r="CX7" i="21" s="1"/>
  <c r="FJ224" i="21"/>
  <c r="CW224" i="21"/>
  <c r="FP59" i="21"/>
  <c r="AZ284" i="21"/>
  <c r="AZ345" i="21"/>
  <c r="CU6" i="21"/>
  <c r="CU7" i="21" s="1"/>
  <c r="FP57" i="21"/>
  <c r="DA13" i="21"/>
  <c r="DQ32" i="21"/>
  <c r="CG4" i="21"/>
  <c r="BJ261" i="21"/>
  <c r="EU216" i="21"/>
  <c r="EV216" i="21" s="1"/>
  <c r="EW216" i="21" s="1"/>
  <c r="ED107" i="21"/>
  <c r="EG12" i="21"/>
  <c r="BO59" i="21"/>
  <c r="BP59" i="21" s="1"/>
  <c r="EI59" i="21" s="1"/>
  <c r="EW163" i="21"/>
  <c r="BH347" i="21"/>
  <c r="BJ347" i="21" s="1"/>
  <c r="BJ207" i="21"/>
  <c r="DE403" i="20"/>
  <c r="BR198" i="20"/>
  <c r="DJ150" i="20"/>
  <c r="EL558" i="20"/>
  <c r="CZ558" i="20" s="1"/>
  <c r="DW558" i="20"/>
  <c r="DX558" i="20"/>
  <c r="FF558" i="20"/>
  <c r="DY556" i="20"/>
  <c r="DZ556" i="20" s="1"/>
  <c r="EL554" i="20"/>
  <c r="CZ554" i="20" s="1"/>
  <c r="DX554" i="20"/>
  <c r="DW554" i="20"/>
  <c r="FT556" i="20"/>
  <c r="DH556" i="20"/>
  <c r="DW555" i="20"/>
  <c r="EL555" i="20"/>
  <c r="CZ555" i="20" s="1"/>
  <c r="DX555" i="20"/>
  <c r="FT550" i="20"/>
  <c r="DH550" i="20"/>
  <c r="DD556" i="20"/>
  <c r="FP556" i="20"/>
  <c r="DY552" i="20"/>
  <c r="DZ552" i="20" s="1"/>
  <c r="FT552" i="20"/>
  <c r="DH552" i="20"/>
  <c r="DD555" i="20"/>
  <c r="FP555" i="20"/>
  <c r="EA551" i="20"/>
  <c r="CY551" i="20"/>
  <c r="FP550" i="20"/>
  <c r="DD550" i="20"/>
  <c r="FT553" i="20"/>
  <c r="DW557" i="20"/>
  <c r="EL557" i="20"/>
  <c r="CZ557" i="20" s="1"/>
  <c r="DX557" i="20"/>
  <c r="BR316" i="20"/>
  <c r="DK122" i="20"/>
  <c r="FR94" i="20"/>
  <c r="FR377" i="20"/>
  <c r="EZ486" i="20"/>
  <c r="FA486" i="20"/>
  <c r="BR393" i="20"/>
  <c r="BR328" i="20"/>
  <c r="DK310" i="20"/>
  <c r="BR350" i="20"/>
  <c r="BR204" i="20"/>
  <c r="BW95" i="20"/>
  <c r="BX95" i="20" s="1"/>
  <c r="EQ95" i="20" s="1"/>
  <c r="FE497" i="20"/>
  <c r="FF497" i="20" s="1"/>
  <c r="EA497" i="20" s="1"/>
  <c r="BR340" i="20"/>
  <c r="BR407" i="20"/>
  <c r="FP300" i="20"/>
  <c r="BR389" i="20"/>
  <c r="BW53" i="20"/>
  <c r="BX53" i="20" s="1"/>
  <c r="EQ53" i="20" s="1"/>
  <c r="DD415" i="20"/>
  <c r="FP149" i="20"/>
  <c r="BR266" i="20"/>
  <c r="BR179" i="20"/>
  <c r="BR432" i="20"/>
  <c r="DD301" i="20"/>
  <c r="FR275" i="20"/>
  <c r="EZ502" i="20"/>
  <c r="FR359" i="20"/>
  <c r="DE378" i="20"/>
  <c r="BR202" i="20"/>
  <c r="BR417" i="20"/>
  <c r="DK238" i="20"/>
  <c r="FR92" i="20"/>
  <c r="DE55" i="20"/>
  <c r="FR55" i="20"/>
  <c r="DK206" i="20"/>
  <c r="DK120" i="20"/>
  <c r="DJ151" i="20"/>
  <c r="FP265" i="20"/>
  <c r="BR353" i="20"/>
  <c r="DJ376" i="20"/>
  <c r="DJ326" i="20"/>
  <c r="BC106" i="20"/>
  <c r="DD125" i="20"/>
  <c r="DJ192" i="20"/>
  <c r="FR79" i="20"/>
  <c r="FP329" i="20"/>
  <c r="DK200" i="20"/>
  <c r="DD157" i="20"/>
  <c r="BR190" i="20"/>
  <c r="BR258" i="20"/>
  <c r="FQ62" i="20"/>
  <c r="DD204" i="20"/>
  <c r="BR414" i="20"/>
  <c r="FP437" i="20"/>
  <c r="FA502" i="20"/>
  <c r="FR59" i="20"/>
  <c r="CQ97" i="20"/>
  <c r="CS97" i="20" s="1"/>
  <c r="CX97" i="20" s="1"/>
  <c r="DE97" i="20" s="1"/>
  <c r="FR81" i="20"/>
  <c r="BR196" i="20"/>
  <c r="FP264" i="20"/>
  <c r="DD132" i="20"/>
  <c r="FR121" i="20"/>
  <c r="BR320" i="20"/>
  <c r="BW106" i="20"/>
  <c r="BX106" i="20" s="1"/>
  <c r="EQ106" i="20" s="1"/>
  <c r="EP106" i="20" s="1"/>
  <c r="FA106" i="20" s="1"/>
  <c r="DK444" i="20"/>
  <c r="BR180" i="20"/>
  <c r="FR344" i="20"/>
  <c r="DD451" i="20"/>
  <c r="BR283" i="20"/>
  <c r="FR398" i="20"/>
  <c r="FT452" i="20"/>
  <c r="BR329" i="20"/>
  <c r="FP145" i="20"/>
  <c r="CQ436" i="20"/>
  <c r="CS436" i="20" s="1"/>
  <c r="CX436" i="20" s="1"/>
  <c r="DE436" i="20" s="1"/>
  <c r="DK209" i="20"/>
  <c r="BR453" i="20"/>
  <c r="FR320" i="20"/>
  <c r="BR188" i="20"/>
  <c r="DJ198" i="20"/>
  <c r="BW94" i="20"/>
  <c r="BX94" i="20" s="1"/>
  <c r="EQ94" i="20" s="1"/>
  <c r="DJ417" i="20"/>
  <c r="DE423" i="20"/>
  <c r="DF331" i="20"/>
  <c r="FR298" i="20"/>
  <c r="DD258" i="20"/>
  <c r="EZ164" i="20"/>
  <c r="FE164" i="20" s="1"/>
  <c r="FF164" i="20" s="1"/>
  <c r="EA164" i="20" s="1"/>
  <c r="DK346" i="20"/>
  <c r="FR346" i="20"/>
  <c r="FQ76" i="20"/>
  <c r="CM289" i="20"/>
  <c r="CQ289" i="20" s="1"/>
  <c r="CS289" i="20" s="1"/>
  <c r="CX289" i="20" s="1"/>
  <c r="DE289" i="20" s="1"/>
  <c r="CQ449" i="20"/>
  <c r="CS449" i="20" s="1"/>
  <c r="CX449" i="20" s="1"/>
  <c r="DE449" i="20" s="1"/>
  <c r="BR278" i="20"/>
  <c r="FR260" i="20"/>
  <c r="DK386" i="20"/>
  <c r="FP304" i="20"/>
  <c r="BW65" i="20"/>
  <c r="BX65" i="20" s="1"/>
  <c r="EQ65" i="20" s="1"/>
  <c r="FR143" i="20"/>
  <c r="BR354" i="20"/>
  <c r="DK394" i="20"/>
  <c r="FR84" i="20"/>
  <c r="DF80" i="20"/>
  <c r="DK416" i="20"/>
  <c r="FE480" i="20"/>
  <c r="FF480" i="20" s="1"/>
  <c r="FQ65" i="20"/>
  <c r="FR255" i="20"/>
  <c r="BR361" i="20"/>
  <c r="FE496" i="20"/>
  <c r="FF496" i="20" s="1"/>
  <c r="EA496" i="20" s="1"/>
  <c r="CQ450" i="20"/>
  <c r="CS450" i="20" s="1"/>
  <c r="CX450" i="20" s="1"/>
  <c r="DE450" i="20" s="1"/>
  <c r="BR159" i="20"/>
  <c r="DF83" i="20"/>
  <c r="BR394" i="20"/>
  <c r="BW103" i="20"/>
  <c r="BX103" i="20" s="1"/>
  <c r="EQ103" i="20" s="1"/>
  <c r="DK326" i="20"/>
  <c r="DK393" i="20"/>
  <c r="BR415" i="20"/>
  <c r="BR228" i="20"/>
  <c r="DD403" i="20"/>
  <c r="FP161" i="20"/>
  <c r="FR395" i="20"/>
  <c r="BR355" i="20"/>
  <c r="BK221" i="20"/>
  <c r="DF56" i="20"/>
  <c r="BD163" i="20"/>
  <c r="BE163" i="20" s="1"/>
  <c r="DD128" i="20"/>
  <c r="BR450" i="20"/>
  <c r="DF93" i="20"/>
  <c r="FR212" i="20"/>
  <c r="FE156" i="20"/>
  <c r="FF156" i="20" s="1"/>
  <c r="EA156" i="20" s="1"/>
  <c r="DE308" i="20"/>
  <c r="FR308" i="20"/>
  <c r="FR56" i="20"/>
  <c r="BR183" i="20"/>
  <c r="DD176" i="20"/>
  <c r="DK313" i="20"/>
  <c r="BK156" i="20"/>
  <c r="FQ129" i="20"/>
  <c r="CQ456" i="20"/>
  <c r="CS456" i="20" s="1"/>
  <c r="CX456" i="20" s="1"/>
  <c r="DE456" i="20" s="1"/>
  <c r="DK354" i="20"/>
  <c r="DF137" i="20"/>
  <c r="FP246" i="20"/>
  <c r="DF446" i="20"/>
  <c r="BR319" i="20"/>
  <c r="CM352" i="20"/>
  <c r="CQ352" i="20" s="1"/>
  <c r="CS352" i="20" s="1"/>
  <c r="CX352" i="20" s="1"/>
  <c r="DF87" i="20"/>
  <c r="CQ455" i="20"/>
  <c r="CS455" i="20" s="1"/>
  <c r="CX455" i="20" s="1"/>
  <c r="CQ452" i="20"/>
  <c r="CS452" i="20" s="1"/>
  <c r="CX452" i="20" s="1"/>
  <c r="FR452" i="20" s="1"/>
  <c r="FR261" i="20"/>
  <c r="CQ431" i="20"/>
  <c r="CS431" i="20" s="1"/>
  <c r="CX431" i="20" s="1"/>
  <c r="DE431" i="20" s="1"/>
  <c r="DK420" i="20"/>
  <c r="CM342" i="20"/>
  <c r="CQ342" i="20" s="1"/>
  <c r="CS342" i="20" s="1"/>
  <c r="CX342" i="20" s="1"/>
  <c r="DE342" i="20" s="1"/>
  <c r="FP443" i="20"/>
  <c r="FR274" i="20"/>
  <c r="EZ455" i="20"/>
  <c r="FR424" i="20"/>
  <c r="FR443" i="20"/>
  <c r="DK142" i="20"/>
  <c r="DK278" i="20"/>
  <c r="CM339" i="20"/>
  <c r="CQ339" i="20" s="1"/>
  <c r="CS339" i="20" s="1"/>
  <c r="CX339" i="20" s="1"/>
  <c r="BK218" i="20"/>
  <c r="FR430" i="20"/>
  <c r="FE492" i="20"/>
  <c r="FF492" i="20" s="1"/>
  <c r="FA455" i="20"/>
  <c r="FR231" i="20"/>
  <c r="FP367" i="20"/>
  <c r="CM353" i="20"/>
  <c r="CQ353" i="20" s="1"/>
  <c r="CS353" i="20" s="1"/>
  <c r="CX353" i="20" s="1"/>
  <c r="DK168" i="20"/>
  <c r="CM315" i="20"/>
  <c r="CQ315" i="20" s="1"/>
  <c r="CS315" i="20" s="1"/>
  <c r="CX315" i="20" s="1"/>
  <c r="FP454" i="20"/>
  <c r="DJ454" i="20"/>
  <c r="CM335" i="20"/>
  <c r="CQ335" i="20" s="1"/>
  <c r="CS335" i="20" s="1"/>
  <c r="CX335" i="20" s="1"/>
  <c r="DE335" i="20" s="1"/>
  <c r="DD197" i="20"/>
  <c r="DF450" i="20"/>
  <c r="CM285" i="20"/>
  <c r="CQ285" i="20" s="1"/>
  <c r="CS285" i="20" s="1"/>
  <c r="CX285" i="20" s="1"/>
  <c r="DE285" i="20" s="1"/>
  <c r="DF102" i="20"/>
  <c r="FA491" i="20"/>
  <c r="FR445" i="20"/>
  <c r="DE296" i="20"/>
  <c r="BD160" i="20"/>
  <c r="BE160" i="20" s="1"/>
  <c r="EZ491" i="20"/>
  <c r="DK153" i="20"/>
  <c r="CM196" i="20"/>
  <c r="CQ196" i="20" s="1"/>
  <c r="CS196" i="20" s="1"/>
  <c r="CX196" i="20" s="1"/>
  <c r="FR196" i="20" s="1"/>
  <c r="BR416" i="20"/>
  <c r="DD316" i="20"/>
  <c r="FQ441" i="20"/>
  <c r="FR438" i="20"/>
  <c r="BR245" i="20"/>
  <c r="FR412" i="20"/>
  <c r="FP130" i="20"/>
  <c r="BR406" i="20"/>
  <c r="FP394" i="20"/>
  <c r="DJ278" i="20"/>
  <c r="BR452" i="20"/>
  <c r="FR415" i="20"/>
  <c r="FR173" i="20"/>
  <c r="DK173" i="20"/>
  <c r="CM373" i="20"/>
  <c r="CQ373" i="20" s="1"/>
  <c r="CS373" i="20" s="1"/>
  <c r="CX373" i="20" s="1"/>
  <c r="FR373" i="20" s="1"/>
  <c r="DK324" i="20"/>
  <c r="DE124" i="20"/>
  <c r="FR124" i="20"/>
  <c r="FR333" i="20"/>
  <c r="DE389" i="20"/>
  <c r="FR90" i="20"/>
  <c r="BR191" i="20"/>
  <c r="DE93" i="20"/>
  <c r="DD170" i="20"/>
  <c r="FP345" i="20"/>
  <c r="BR446" i="20"/>
  <c r="CM397" i="20"/>
  <c r="CQ397" i="20" s="1"/>
  <c r="CS397" i="20" s="1"/>
  <c r="CX397" i="20" s="1"/>
  <c r="CM317" i="20"/>
  <c r="CQ317" i="20" s="1"/>
  <c r="CS317" i="20" s="1"/>
  <c r="CX317" i="20" s="1"/>
  <c r="DE317" i="20" s="1"/>
  <c r="DE384" i="20"/>
  <c r="BR332" i="20"/>
  <c r="DE85" i="20"/>
  <c r="CM187" i="20"/>
  <c r="CQ187" i="20" s="1"/>
  <c r="CS187" i="20" s="1"/>
  <c r="CX187" i="20" s="1"/>
  <c r="DE187" i="20" s="1"/>
  <c r="CM254" i="20"/>
  <c r="CQ254" i="20" s="1"/>
  <c r="CS254" i="20" s="1"/>
  <c r="CX254" i="20" s="1"/>
  <c r="CM302" i="20"/>
  <c r="CQ302" i="20" s="1"/>
  <c r="CS302" i="20" s="1"/>
  <c r="CX302" i="20" s="1"/>
  <c r="CM356" i="20"/>
  <c r="CQ356" i="20" s="1"/>
  <c r="CS356" i="20" s="1"/>
  <c r="CX356" i="20" s="1"/>
  <c r="DE356" i="20" s="1"/>
  <c r="DE383" i="20"/>
  <c r="FR383" i="20"/>
  <c r="DK150" i="20"/>
  <c r="FR150" i="20"/>
  <c r="CM245" i="20"/>
  <c r="CQ245" i="20" s="1"/>
  <c r="CS245" i="20" s="1"/>
  <c r="CX245" i="20" s="1"/>
  <c r="FR245" i="20" s="1"/>
  <c r="CM316" i="20"/>
  <c r="CQ316" i="20" s="1"/>
  <c r="CS316" i="20" s="1"/>
  <c r="CX316" i="20" s="1"/>
  <c r="FR204" i="20"/>
  <c r="FE500" i="20"/>
  <c r="FF500" i="20" s="1"/>
  <c r="CM259" i="20"/>
  <c r="CQ259" i="20" s="1"/>
  <c r="CS259" i="20" s="1"/>
  <c r="CX259" i="20" s="1"/>
  <c r="DE259" i="20" s="1"/>
  <c r="FP171" i="20"/>
  <c r="BB110" i="20"/>
  <c r="EC110" i="20" s="1"/>
  <c r="EU110" i="20" s="1"/>
  <c r="EX110" i="20" s="1"/>
  <c r="EY110" i="20" s="1"/>
  <c r="BR441" i="20"/>
  <c r="DJ398" i="20"/>
  <c r="CM437" i="20"/>
  <c r="CQ437" i="20" s="1"/>
  <c r="CS437" i="20" s="1"/>
  <c r="CX437" i="20" s="1"/>
  <c r="FR417" i="20"/>
  <c r="DE273" i="20"/>
  <c r="CM379" i="20"/>
  <c r="CQ379" i="20" s="1"/>
  <c r="CS379" i="20" s="1"/>
  <c r="CX379" i="20" s="1"/>
  <c r="DE379" i="20" s="1"/>
  <c r="CH110" i="20"/>
  <c r="CM402" i="20"/>
  <c r="CQ402" i="20" s="1"/>
  <c r="CS402" i="20" s="1"/>
  <c r="CX402" i="20" s="1"/>
  <c r="CM307" i="20"/>
  <c r="CQ307" i="20" s="1"/>
  <c r="CS307" i="20" s="1"/>
  <c r="CX307" i="20" s="1"/>
  <c r="DE307" i="20" s="1"/>
  <c r="EM110" i="20"/>
  <c r="EM4" i="20" s="1"/>
  <c r="CM446" i="20"/>
  <c r="CQ446" i="20" s="1"/>
  <c r="CS446" i="20" s="1"/>
  <c r="CX446" i="20" s="1"/>
  <c r="AB110" i="20"/>
  <c r="BG110" i="20" s="1"/>
  <c r="BH110" i="20" s="1"/>
  <c r="BK110" i="20" s="1"/>
  <c r="FE479" i="20"/>
  <c r="FF479" i="20" s="1"/>
  <c r="CI110" i="20"/>
  <c r="AV110" i="20"/>
  <c r="AY110" i="20" s="1"/>
  <c r="BS110" i="20"/>
  <c r="BU110" i="20" s="1"/>
  <c r="CM269" i="20"/>
  <c r="CQ269" i="20" s="1"/>
  <c r="CS269" i="20" s="1"/>
  <c r="CX269" i="20" s="1"/>
  <c r="DE269" i="20" s="1"/>
  <c r="BM110" i="20"/>
  <c r="BN110" i="20" s="1"/>
  <c r="DA14" i="20"/>
  <c r="DA15" i="20" s="1"/>
  <c r="CW10" i="20"/>
  <c r="CW11" i="20" s="1"/>
  <c r="BZ110" i="20"/>
  <c r="EH110" i="20" s="1"/>
  <c r="EJ110" i="20" s="1"/>
  <c r="BR360" i="20"/>
  <c r="CM361" i="20"/>
  <c r="CQ361" i="20" s="1"/>
  <c r="CS361" i="20" s="1"/>
  <c r="CX361" i="20" s="1"/>
  <c r="FR253" i="20"/>
  <c r="CM239" i="20"/>
  <c r="CQ239" i="20" s="1"/>
  <c r="CS239" i="20" s="1"/>
  <c r="CX239" i="20" s="1"/>
  <c r="BT109" i="20"/>
  <c r="BV109" i="20" s="1"/>
  <c r="BU109" i="20"/>
  <c r="CM331" i="20"/>
  <c r="CQ331" i="20" s="1"/>
  <c r="CS331" i="20" s="1"/>
  <c r="CX331" i="20" s="1"/>
  <c r="CM314" i="20"/>
  <c r="CQ314" i="20" s="1"/>
  <c r="CS314" i="20" s="1"/>
  <c r="CX314" i="20" s="1"/>
  <c r="DE314" i="20" s="1"/>
  <c r="CM441" i="20"/>
  <c r="CQ441" i="20" s="1"/>
  <c r="CS441" i="20" s="1"/>
  <c r="CX441" i="20" s="1"/>
  <c r="FR169" i="20"/>
  <c r="DE169" i="20"/>
  <c r="DE157" i="20"/>
  <c r="FR157" i="20"/>
  <c r="FR149" i="20"/>
  <c r="DK149" i="20"/>
  <c r="FR135" i="20"/>
  <c r="DE135" i="20"/>
  <c r="FR151" i="20"/>
  <c r="DK151" i="20"/>
  <c r="FR299" i="20"/>
  <c r="DE299" i="20"/>
  <c r="DE126" i="20"/>
  <c r="CX12" i="20"/>
  <c r="CX10" i="20"/>
  <c r="CX11" i="20" s="1"/>
  <c r="FR126" i="20"/>
  <c r="CX13" i="20"/>
  <c r="FR132" i="20"/>
  <c r="DE132" i="20"/>
  <c r="FP406" i="20"/>
  <c r="BK155" i="20"/>
  <c r="CW12" i="20"/>
  <c r="DL119" i="20"/>
  <c r="FQ126" i="20"/>
  <c r="DF126" i="20"/>
  <c r="DE129" i="20"/>
  <c r="FR129" i="20"/>
  <c r="FQ151" i="20"/>
  <c r="DL151" i="20"/>
  <c r="FQ269" i="20"/>
  <c r="DF269" i="20"/>
  <c r="BH271" i="20"/>
  <c r="BK271" i="20" s="1"/>
  <c r="CV271" i="20" s="1"/>
  <c r="FR66" i="20"/>
  <c r="DF388" i="20"/>
  <c r="FQ388" i="20"/>
  <c r="DF379" i="20"/>
  <c r="FQ379" i="20"/>
  <c r="BR390" i="20"/>
  <c r="FQ157" i="20"/>
  <c r="DF157" i="20"/>
  <c r="FE396" i="20"/>
  <c r="FF396" i="20" s="1"/>
  <c r="EA396" i="20" s="1"/>
  <c r="DA17" i="20"/>
  <c r="FQ139" i="20"/>
  <c r="DF139" i="20"/>
  <c r="FQ150" i="20"/>
  <c r="DL150" i="20"/>
  <c r="FQ356" i="20"/>
  <c r="DF356" i="20"/>
  <c r="FQ384" i="20"/>
  <c r="DF384" i="20"/>
  <c r="DE137" i="20"/>
  <c r="FR137" i="20"/>
  <c r="BR440" i="20"/>
  <c r="FR139" i="20"/>
  <c r="FR171" i="20"/>
  <c r="DF259" i="20"/>
  <c r="FQ259" i="20"/>
  <c r="CM186" i="20"/>
  <c r="CQ186" i="20" s="1"/>
  <c r="CS186" i="20" s="1"/>
  <c r="CX186" i="20" s="1"/>
  <c r="FQ411" i="20"/>
  <c r="DF411" i="20"/>
  <c r="DK425" i="20"/>
  <c r="FQ176" i="20"/>
  <c r="DF176" i="20"/>
  <c r="CM411" i="20"/>
  <c r="CQ411" i="20" s="1"/>
  <c r="CS411" i="20" s="1"/>
  <c r="CX411" i="20" s="1"/>
  <c r="DF204" i="20"/>
  <c r="FQ204" i="20"/>
  <c r="DF135" i="20"/>
  <c r="FQ135" i="20"/>
  <c r="DA16" i="20"/>
  <c r="FR131" i="20"/>
  <c r="CM291" i="20"/>
  <c r="CQ291" i="20" s="1"/>
  <c r="CS291" i="20" s="1"/>
  <c r="CX291" i="20" s="1"/>
  <c r="DF431" i="20"/>
  <c r="FQ431" i="20"/>
  <c r="DF383" i="20"/>
  <c r="FQ383" i="20"/>
  <c r="FQ149" i="20"/>
  <c r="DL149" i="20"/>
  <c r="FR215" i="20"/>
  <c r="DE215" i="20"/>
  <c r="FR192" i="20"/>
  <c r="FP302" i="20"/>
  <c r="FR133" i="20"/>
  <c r="DF302" i="20"/>
  <c r="FQ302" i="20"/>
  <c r="BR250" i="20"/>
  <c r="FQ329" i="20"/>
  <c r="DF329" i="20"/>
  <c r="FQ133" i="20"/>
  <c r="DF133" i="20"/>
  <c r="DF169" i="20"/>
  <c r="FQ169" i="20"/>
  <c r="FP433" i="20"/>
  <c r="CW13" i="20"/>
  <c r="CM370" i="20"/>
  <c r="CQ370" i="20" s="1"/>
  <c r="CS370" i="20" s="1"/>
  <c r="CX370" i="20" s="1"/>
  <c r="DE370" i="20" s="1"/>
  <c r="CM329" i="20"/>
  <c r="CQ329" i="20" s="1"/>
  <c r="CS329" i="20" s="1"/>
  <c r="CX329" i="20" s="1"/>
  <c r="DF171" i="20"/>
  <c r="FQ171" i="20"/>
  <c r="FQ127" i="20"/>
  <c r="DF127" i="20"/>
  <c r="DK306" i="20"/>
  <c r="DF422" i="20"/>
  <c r="FQ422" i="20"/>
  <c r="FQ132" i="20"/>
  <c r="DF132" i="20"/>
  <c r="FQ124" i="20"/>
  <c r="DF124" i="20"/>
  <c r="FQ153" i="20"/>
  <c r="DL153" i="20"/>
  <c r="DF136" i="20"/>
  <c r="FQ136" i="20"/>
  <c r="FQ389" i="20"/>
  <c r="DF389" i="20"/>
  <c r="FQ367" i="20"/>
  <c r="DF367" i="20"/>
  <c r="FR136" i="20"/>
  <c r="DE136" i="20"/>
  <c r="CM367" i="20"/>
  <c r="CQ367" i="20" s="1"/>
  <c r="CS367" i="20" s="1"/>
  <c r="CX367" i="20" s="1"/>
  <c r="FR367" i="20" s="1"/>
  <c r="CM334" i="20"/>
  <c r="CQ334" i="20" s="1"/>
  <c r="CS334" i="20" s="1"/>
  <c r="CX334" i="20" s="1"/>
  <c r="FQ316" i="20"/>
  <c r="DF316" i="20"/>
  <c r="FQ314" i="20"/>
  <c r="DF314" i="20"/>
  <c r="DF131" i="20"/>
  <c r="FQ131" i="20"/>
  <c r="CM258" i="20"/>
  <c r="CQ258" i="20" s="1"/>
  <c r="CS258" i="20" s="1"/>
  <c r="CX258" i="20" s="1"/>
  <c r="DE258" i="20" s="1"/>
  <c r="FQ299" i="20"/>
  <c r="DF299" i="20"/>
  <c r="FQ300" i="20"/>
  <c r="DF300" i="20"/>
  <c r="FR127" i="20"/>
  <c r="CQ422" i="20"/>
  <c r="CS422" i="20" s="1"/>
  <c r="CX422" i="20" s="1"/>
  <c r="DF215" i="20"/>
  <c r="FQ215" i="20"/>
  <c r="FR330" i="20"/>
  <c r="FR281" i="20"/>
  <c r="FR404" i="20"/>
  <c r="FR358" i="20"/>
  <c r="FR256" i="20"/>
  <c r="DE268" i="20"/>
  <c r="FR432" i="20"/>
  <c r="DE177" i="20"/>
  <c r="FE162" i="20"/>
  <c r="FF162" i="20" s="1"/>
  <c r="EA162" i="20" s="1"/>
  <c r="DE98" i="20"/>
  <c r="DE96" i="20"/>
  <c r="FR65" i="20"/>
  <c r="FR232" i="20"/>
  <c r="FR409" i="20"/>
  <c r="DE176" i="20"/>
  <c r="FR83" i="20"/>
  <c r="DE80" i="20"/>
  <c r="DE88" i="20"/>
  <c r="FR60" i="20"/>
  <c r="FR58" i="20"/>
  <c r="BC96" i="21"/>
  <c r="CN96" i="21" s="1"/>
  <c r="DR193" i="21"/>
  <c r="BC291" i="21"/>
  <c r="CN291" i="21" s="1"/>
  <c r="BC288" i="21"/>
  <c r="CN288" i="21" s="1"/>
  <c r="DM123" i="21"/>
  <c r="BC325" i="21"/>
  <c r="CN325" i="21" s="1"/>
  <c r="DQ169" i="21"/>
  <c r="DR169" i="21" s="1"/>
  <c r="BC411" i="21"/>
  <c r="CN411" i="21" s="1"/>
  <c r="BC312" i="21"/>
  <c r="CN312" i="21" s="1"/>
  <c r="DS167" i="21"/>
  <c r="CQ167" i="21"/>
  <c r="DS475" i="21"/>
  <c r="BC395" i="21"/>
  <c r="CN395" i="21" s="1"/>
  <c r="BC347" i="21"/>
  <c r="CN347" i="21" s="1"/>
  <c r="BC305" i="21"/>
  <c r="CN305" i="21" s="1"/>
  <c r="BC276" i="21"/>
  <c r="CN276" i="21" s="1"/>
  <c r="EW492" i="21"/>
  <c r="BC207" i="21"/>
  <c r="CN207" i="21" s="1"/>
  <c r="DM125" i="21"/>
  <c r="DM146" i="21"/>
  <c r="DM106" i="21"/>
  <c r="ES106" i="21"/>
  <c r="ER106" i="21"/>
  <c r="EW106" i="21" s="1"/>
  <c r="BC413" i="21"/>
  <c r="CN413" i="21" s="1"/>
  <c r="DM133" i="21"/>
  <c r="BC447" i="21"/>
  <c r="CN447" i="21" s="1"/>
  <c r="DM131" i="21"/>
  <c r="FJ318" i="21"/>
  <c r="DC318" i="21"/>
  <c r="FJ165" i="21"/>
  <c r="CW165" i="21"/>
  <c r="CP16" i="21"/>
  <c r="CP17" i="21"/>
  <c r="CP14" i="21"/>
  <c r="CP15" i="21" s="1"/>
  <c r="BC204" i="21"/>
  <c r="CN204" i="21" s="1"/>
  <c r="DM428" i="21"/>
  <c r="DU218" i="21"/>
  <c r="AV218" i="21"/>
  <c r="AW218" i="21" s="1"/>
  <c r="FH358" i="21"/>
  <c r="CV358" i="21"/>
  <c r="CW313" i="21"/>
  <c r="FJ313" i="21"/>
  <c r="ED371" i="21"/>
  <c r="CR371" i="21" s="1"/>
  <c r="FJ333" i="21"/>
  <c r="CW333" i="21"/>
  <c r="DM364" i="21"/>
  <c r="CV220" i="21"/>
  <c r="FH220" i="21"/>
  <c r="BC278" i="21"/>
  <c r="CN278" i="21" s="1"/>
  <c r="BO61" i="21"/>
  <c r="DM294" i="21"/>
  <c r="BM111" i="21"/>
  <c r="BL111" i="21"/>
  <c r="BN111" i="21" s="1"/>
  <c r="BC438" i="21"/>
  <c r="CN438" i="21" s="1"/>
  <c r="AU195" i="21"/>
  <c r="AR195" i="21"/>
  <c r="ED353" i="21"/>
  <c r="CR353" i="21" s="1"/>
  <c r="DM317" i="21"/>
  <c r="FJ341" i="21"/>
  <c r="DC341" i="21"/>
  <c r="FJ391" i="21"/>
  <c r="CW391" i="21"/>
  <c r="BJ316" i="21"/>
  <c r="FH391" i="21"/>
  <c r="CV391" i="21"/>
  <c r="FJ374" i="21"/>
  <c r="CW374" i="21"/>
  <c r="FL177" i="21"/>
  <c r="DF177" i="21"/>
  <c r="DB389" i="21"/>
  <c r="FH389" i="21"/>
  <c r="DM100" i="21"/>
  <c r="DM438" i="21"/>
  <c r="DM409" i="21"/>
  <c r="AZ289" i="21"/>
  <c r="DM416" i="21"/>
  <c r="FP56" i="21"/>
  <c r="ED289" i="21"/>
  <c r="CR289" i="21" s="1"/>
  <c r="AZ306" i="21"/>
  <c r="DA1" i="21"/>
  <c r="DA2" i="21" s="1"/>
  <c r="DC250" i="21"/>
  <c r="FJ250" i="21"/>
  <c r="FH239" i="21"/>
  <c r="CV239" i="21"/>
  <c r="DF169" i="21"/>
  <c r="FL169" i="21"/>
  <c r="BC233" i="21"/>
  <c r="CN233" i="21" s="1"/>
  <c r="BJ336" i="21"/>
  <c r="CW233" i="21"/>
  <c r="FJ233" i="21"/>
  <c r="ER214" i="21"/>
  <c r="ES214" i="21"/>
  <c r="EW214" i="21" s="1"/>
  <c r="EX20" i="21"/>
  <c r="FB20" i="21"/>
  <c r="AT219" i="21"/>
  <c r="AP220" i="21"/>
  <c r="AQ219" i="21"/>
  <c r="CV54" i="21"/>
  <c r="FH54" i="21"/>
  <c r="DB142" i="21"/>
  <c r="FH142" i="21"/>
  <c r="DM204" i="21"/>
  <c r="DB363" i="21"/>
  <c r="FH363" i="21"/>
  <c r="DB298" i="21"/>
  <c r="FH298" i="21"/>
  <c r="FJ205" i="21"/>
  <c r="CW205" i="21"/>
  <c r="FH135" i="21"/>
  <c r="CV135" i="21"/>
  <c r="BC396" i="21"/>
  <c r="CN396" i="21" s="1"/>
  <c r="BC318" i="21"/>
  <c r="CN318" i="21" s="1"/>
  <c r="DM350" i="21"/>
  <c r="CW75" i="21"/>
  <c r="FJ75" i="21"/>
  <c r="FL351" i="21"/>
  <c r="CZ351" i="21"/>
  <c r="FJ440" i="21"/>
  <c r="DC440" i="21"/>
  <c r="DM82" i="21"/>
  <c r="DR212" i="21"/>
  <c r="FJ187" i="21"/>
  <c r="DC187" i="21"/>
  <c r="DR480" i="21"/>
  <c r="DS480" i="21" s="1"/>
  <c r="BC448" i="21"/>
  <c r="CN448" i="21" s="1"/>
  <c r="FH397" i="21"/>
  <c r="DB397" i="21"/>
  <c r="DF389" i="21"/>
  <c r="FL389" i="21"/>
  <c r="DM89" i="21"/>
  <c r="FJ380" i="21"/>
  <c r="CW380" i="21"/>
  <c r="DM273" i="21"/>
  <c r="CW234" i="21"/>
  <c r="FJ234" i="21"/>
  <c r="FH140" i="21"/>
  <c r="DB140" i="21"/>
  <c r="FH272" i="21"/>
  <c r="CV272" i="21"/>
  <c r="FP58" i="21"/>
  <c r="CV102" i="21"/>
  <c r="FH102" i="21"/>
  <c r="CZ370" i="21"/>
  <c r="FL370" i="21"/>
  <c r="CU3" i="21"/>
  <c r="ED293" i="21"/>
  <c r="CR293" i="21" s="1"/>
  <c r="FH116" i="21"/>
  <c r="CV116" i="21"/>
  <c r="BM108" i="21"/>
  <c r="BL108" i="21"/>
  <c r="BN108" i="21" s="1"/>
  <c r="CV57" i="21"/>
  <c r="FH57" i="21"/>
  <c r="DM369" i="21"/>
  <c r="BC367" i="21"/>
  <c r="CN367" i="21" s="1"/>
  <c r="DQ491" i="21"/>
  <c r="DR491" i="21" s="1"/>
  <c r="DS491" i="21" s="1"/>
  <c r="FH380" i="21"/>
  <c r="CV380" i="21"/>
  <c r="DF250" i="21"/>
  <c r="FL250" i="21"/>
  <c r="DM139" i="21"/>
  <c r="DM205" i="21"/>
  <c r="DC353" i="21"/>
  <c r="FJ353" i="21"/>
  <c r="CZ210" i="21"/>
  <c r="FL210" i="21"/>
  <c r="ED243" i="21"/>
  <c r="CR243" i="21" s="1"/>
  <c r="DM440" i="21"/>
  <c r="CV290" i="21"/>
  <c r="FH290" i="21"/>
  <c r="DM359" i="21"/>
  <c r="BC307" i="21"/>
  <c r="CN307" i="21" s="1"/>
  <c r="DQ480" i="21"/>
  <c r="FJ362" i="21"/>
  <c r="CW362" i="21"/>
  <c r="FJ330" i="21"/>
  <c r="DC330" i="21"/>
  <c r="AT170" i="21"/>
  <c r="AP171" i="21"/>
  <c r="AQ170" i="21"/>
  <c r="DM302" i="21"/>
  <c r="DM382" i="21"/>
  <c r="CV422" i="21"/>
  <c r="FH422" i="21"/>
  <c r="DM86" i="21"/>
  <c r="DM71" i="21"/>
  <c r="ED323" i="21"/>
  <c r="CR323" i="21" s="1"/>
  <c r="FH393" i="21"/>
  <c r="CV393" i="21"/>
  <c r="CW59" i="21"/>
  <c r="FJ59" i="21"/>
  <c r="CG1" i="21"/>
  <c r="CP3" i="21"/>
  <c r="CG3" i="21"/>
  <c r="FP53" i="21"/>
  <c r="DS486" i="21"/>
  <c r="FH265" i="21"/>
  <c r="DB265" i="21"/>
  <c r="FJ438" i="21"/>
  <c r="CW438" i="21"/>
  <c r="DM384" i="21"/>
  <c r="FH245" i="21"/>
  <c r="DB245" i="21"/>
  <c r="FJ395" i="21"/>
  <c r="DC395" i="21"/>
  <c r="AZ435" i="21"/>
  <c r="CZ407" i="21"/>
  <c r="FL407" i="21"/>
  <c r="ED279" i="21"/>
  <c r="CR279" i="21" s="1"/>
  <c r="FH275" i="21"/>
  <c r="CV275" i="21"/>
  <c r="BO90" i="21"/>
  <c r="BP90" i="21" s="1"/>
  <c r="EI90" i="21" s="1"/>
  <c r="AZ428" i="21"/>
  <c r="BC331" i="21"/>
  <c r="CN331" i="21" s="1"/>
  <c r="FL315" i="21"/>
  <c r="DF315" i="21"/>
  <c r="DM368" i="21"/>
  <c r="DC296" i="21"/>
  <c r="FJ296" i="21"/>
  <c r="FH143" i="21"/>
  <c r="DB143" i="21"/>
  <c r="FH375" i="21"/>
  <c r="CV375" i="21"/>
  <c r="DM287" i="21"/>
  <c r="DM316" i="21"/>
  <c r="DM263" i="21"/>
  <c r="DN493" i="21"/>
  <c r="ES493" i="21"/>
  <c r="ER493" i="21"/>
  <c r="FL319" i="21"/>
  <c r="DF319" i="21"/>
  <c r="FL171" i="21"/>
  <c r="CZ171" i="21"/>
  <c r="BC415" i="21"/>
  <c r="CN415" i="21" s="1"/>
  <c r="FJ319" i="21"/>
  <c r="DC319" i="21"/>
  <c r="BC178" i="21"/>
  <c r="CN178" i="21" s="1"/>
  <c r="FL326" i="21"/>
  <c r="CZ326" i="21"/>
  <c r="DM270" i="21"/>
  <c r="DB334" i="21"/>
  <c r="FH334" i="21"/>
  <c r="DQ22" i="21"/>
  <c r="BP86" i="21"/>
  <c r="EI86" i="21" s="1"/>
  <c r="DM332" i="21"/>
  <c r="CV281" i="21"/>
  <c r="FH281" i="21"/>
  <c r="DN481" i="21"/>
  <c r="ES481" i="21"/>
  <c r="ER481" i="21"/>
  <c r="FP61" i="21"/>
  <c r="DB90" i="21"/>
  <c r="FH90" i="21"/>
  <c r="DB91" i="21"/>
  <c r="FH91" i="21"/>
  <c r="DM425" i="21"/>
  <c r="CV132" i="21"/>
  <c r="FH132" i="21"/>
  <c r="FH189" i="21"/>
  <c r="CV189" i="21"/>
  <c r="AU108" i="21"/>
  <c r="AR108" i="21"/>
  <c r="BH395" i="21"/>
  <c r="BJ395" i="21" s="1"/>
  <c r="CV442" i="21"/>
  <c r="FH442" i="21"/>
  <c r="DM64" i="21"/>
  <c r="ES24" i="21"/>
  <c r="ER24" i="21"/>
  <c r="EW24" i="21" s="1"/>
  <c r="DM339" i="21"/>
  <c r="DQ194" i="21"/>
  <c r="DR194" i="21" s="1"/>
  <c r="DM404" i="21"/>
  <c r="CM2" i="21"/>
  <c r="CD2" i="21"/>
  <c r="DM398" i="21"/>
  <c r="DB441" i="21"/>
  <c r="FH441" i="21"/>
  <c r="BP72" i="21"/>
  <c r="EI72" i="21" s="1"/>
  <c r="DM254" i="21"/>
  <c r="DB437" i="21"/>
  <c r="FH437" i="21"/>
  <c r="ED354" i="21"/>
  <c r="CR354" i="21" s="1"/>
  <c r="ED338" i="21"/>
  <c r="CR338" i="21" s="1"/>
  <c r="BC99" i="21"/>
  <c r="CN99" i="21" s="1"/>
  <c r="DC152" i="21"/>
  <c r="FJ152" i="21"/>
  <c r="DM83" i="21"/>
  <c r="DM415" i="21"/>
  <c r="BC403" i="21"/>
  <c r="CN403" i="21" s="1"/>
  <c r="BO83" i="21"/>
  <c r="BP83" i="21" s="1"/>
  <c r="EI83" i="21" s="1"/>
  <c r="FH381" i="21"/>
  <c r="CV381" i="21"/>
  <c r="ED241" i="21"/>
  <c r="CR241" i="21" s="1"/>
  <c r="ED292" i="21"/>
  <c r="CR292" i="21" s="1"/>
  <c r="DM92" i="21"/>
  <c r="BO86" i="21"/>
  <c r="DQ24" i="21"/>
  <c r="DM358" i="21"/>
  <c r="FP60" i="21"/>
  <c r="FH386" i="21"/>
  <c r="CV386" i="21"/>
  <c r="CV123" i="21"/>
  <c r="FH123" i="21"/>
  <c r="DM257" i="21"/>
  <c r="BO92" i="21"/>
  <c r="BP92" i="21" s="1"/>
  <c r="EI92" i="21" s="1"/>
  <c r="BP104" i="21"/>
  <c r="EI104" i="21" s="1"/>
  <c r="EH104" i="21" s="1"/>
  <c r="AZ387" i="21"/>
  <c r="CW385" i="21"/>
  <c r="FJ385" i="21"/>
  <c r="FL328" i="21"/>
  <c r="CZ328" i="21"/>
  <c r="DB146" i="21"/>
  <c r="FH146" i="21"/>
  <c r="ED221" i="21"/>
  <c r="CR221" i="21" s="1"/>
  <c r="DM267" i="21"/>
  <c r="BP62" i="21"/>
  <c r="EI62" i="21" s="1"/>
  <c r="BH325" i="21"/>
  <c r="BJ325" i="21" s="1"/>
  <c r="AZ111" i="21"/>
  <c r="BC111" i="21" s="1"/>
  <c r="AY111" i="21"/>
  <c r="DA3" i="21"/>
  <c r="DM127" i="21"/>
  <c r="CV114" i="21"/>
  <c r="FH114" i="21"/>
  <c r="DP479" i="21"/>
  <c r="DO479" i="21"/>
  <c r="FH69" i="21"/>
  <c r="CV69" i="21"/>
  <c r="FJ272" i="21"/>
  <c r="CW272" i="21"/>
  <c r="ED281" i="21"/>
  <c r="CR281" i="21" s="1"/>
  <c r="FL286" i="21"/>
  <c r="DF286" i="21"/>
  <c r="BC263" i="21"/>
  <c r="CN263" i="21" s="1"/>
  <c r="ED299" i="21"/>
  <c r="CR299" i="21" s="1"/>
  <c r="DB359" i="21"/>
  <c r="FH359" i="21"/>
  <c r="BC376" i="21"/>
  <c r="CN376" i="21" s="1"/>
  <c r="BC409" i="21"/>
  <c r="CN409" i="21" s="1"/>
  <c r="ED215" i="21"/>
  <c r="DQ215" i="21"/>
  <c r="DP215" i="21"/>
  <c r="DO215" i="21"/>
  <c r="CU10" i="21"/>
  <c r="CU11" i="21" s="1"/>
  <c r="CV97" i="21"/>
  <c r="FH97" i="21"/>
  <c r="CV181" i="21"/>
  <c r="FH181" i="21"/>
  <c r="CW419" i="21"/>
  <c r="FJ419" i="21"/>
  <c r="BH288" i="21"/>
  <c r="BJ288" i="21" s="1"/>
  <c r="FJ356" i="21"/>
  <c r="CW356" i="21"/>
  <c r="CV56" i="21"/>
  <c r="FH56" i="21"/>
  <c r="CV53" i="21"/>
  <c r="FH53" i="21"/>
  <c r="DB301" i="21"/>
  <c r="FH301" i="21"/>
  <c r="ED378" i="21"/>
  <c r="CR378" i="21" s="1"/>
  <c r="FH373" i="21"/>
  <c r="DB373" i="21"/>
  <c r="FH145" i="21"/>
  <c r="DB145" i="21"/>
  <c r="FH74" i="21"/>
  <c r="CV74" i="21"/>
  <c r="DM387" i="21"/>
  <c r="DM336" i="21"/>
  <c r="BC370" i="21"/>
  <c r="CN370" i="21" s="1"/>
  <c r="FL184" i="21"/>
  <c r="CZ184" i="21"/>
  <c r="BC361" i="21"/>
  <c r="CN361" i="21" s="1"/>
  <c r="BJ307" i="21"/>
  <c r="DB169" i="21"/>
  <c r="FH169" i="21"/>
  <c r="CW66" i="21"/>
  <c r="FJ66" i="21"/>
  <c r="ED277" i="21"/>
  <c r="CR277" i="21" s="1"/>
  <c r="DD14" i="21"/>
  <c r="DD15" i="21" s="1"/>
  <c r="FH192" i="21"/>
  <c r="CV192" i="21"/>
  <c r="DM62" i="21"/>
  <c r="EM108" i="21"/>
  <c r="EP108" i="21" s="1"/>
  <c r="EQ108" i="21" s="1"/>
  <c r="CX9" i="21"/>
  <c r="CF1" i="21"/>
  <c r="DM301" i="21"/>
  <c r="AP197" i="21"/>
  <c r="AT196" i="21"/>
  <c r="DU196" i="21" s="1"/>
  <c r="FH193" i="21"/>
  <c r="CV193" i="21"/>
  <c r="ED278" i="21"/>
  <c r="CR278" i="21" s="1"/>
  <c r="BC345" i="21"/>
  <c r="CN345" i="21" s="1"/>
  <c r="FH119" i="21"/>
  <c r="DB119" i="21"/>
  <c r="DB295" i="21"/>
  <c r="FH295" i="21"/>
  <c r="CU9" i="21"/>
  <c r="FH115" i="21"/>
  <c r="CV115" i="21"/>
  <c r="FH139" i="21"/>
  <c r="DB139" i="21"/>
  <c r="ED314" i="21"/>
  <c r="CR314" i="21" s="1"/>
  <c r="BH291" i="21"/>
  <c r="BJ291" i="21" s="1"/>
  <c r="BE109" i="21"/>
  <c r="BF109" i="21" s="1"/>
  <c r="FX109" i="21"/>
  <c r="GA109" i="21" s="1"/>
  <c r="CA109" i="21"/>
  <c r="BZ109" i="21"/>
  <c r="BR109" i="21"/>
  <c r="DZ109" i="21" s="1"/>
  <c r="EB109" i="21" s="1"/>
  <c r="BK109" i="21"/>
  <c r="AN109" i="21"/>
  <c r="AQ109" i="21" s="1"/>
  <c r="EE109" i="21"/>
  <c r="EE4" i="21" s="1"/>
  <c r="T109" i="21"/>
  <c r="AT109" i="21"/>
  <c r="DU109" i="21" s="1"/>
  <c r="AZ332" i="21"/>
  <c r="CP6" i="21"/>
  <c r="CP7" i="21" s="1"/>
  <c r="FJ259" i="21"/>
  <c r="DC259" i="21"/>
  <c r="DQ26" i="21"/>
  <c r="BP54" i="21"/>
  <c r="EI54" i="21" s="1"/>
  <c r="AZ404" i="21"/>
  <c r="BP66" i="21"/>
  <c r="EI66" i="21" s="1"/>
  <c r="CW343" i="21"/>
  <c r="FJ343" i="21"/>
  <c r="CV61" i="21"/>
  <c r="FH61" i="21"/>
  <c r="CX4" i="21"/>
  <c r="DQ30" i="21"/>
  <c r="FH121" i="21"/>
  <c r="DB121" i="21"/>
  <c r="FJ186" i="21"/>
  <c r="DC186" i="21"/>
  <c r="BP99" i="21"/>
  <c r="EI99" i="21" s="1"/>
  <c r="AZ296" i="21"/>
  <c r="CO6" i="21"/>
  <c r="CO7" i="21" s="1"/>
  <c r="FH311" i="21"/>
  <c r="CV311" i="21"/>
  <c r="ED436" i="21"/>
  <c r="CR436" i="21" s="1"/>
  <c r="DD17" i="21"/>
  <c r="DB427" i="21"/>
  <c r="FH427" i="21"/>
  <c r="FL178" i="21"/>
  <c r="DF178" i="21"/>
  <c r="DN195" i="21"/>
  <c r="DP195" i="21" s="1"/>
  <c r="EM195" i="21"/>
  <c r="EP195" i="21" s="1"/>
  <c r="EQ195" i="21" s="1"/>
  <c r="DM431" i="21"/>
  <c r="FL355" i="21"/>
  <c r="DF355" i="21"/>
  <c r="FL211" i="21"/>
  <c r="CZ211" i="21"/>
  <c r="BC330" i="21"/>
  <c r="CN330" i="21" s="1"/>
  <c r="BH312" i="21"/>
  <c r="BJ312" i="21" s="1"/>
  <c r="DM306" i="21"/>
  <c r="AZ336" i="21"/>
  <c r="FH182" i="21"/>
  <c r="CV182" i="21"/>
  <c r="AZ383" i="21"/>
  <c r="DM352" i="21"/>
  <c r="DM379" i="21"/>
  <c r="CU4" i="21"/>
  <c r="CV423" i="21"/>
  <c r="FH423" i="21"/>
  <c r="DB257" i="21"/>
  <c r="FH257" i="21"/>
  <c r="EX157" i="21"/>
  <c r="DS157" i="21" s="1"/>
  <c r="AZ408" i="21"/>
  <c r="ED449" i="21"/>
  <c r="CR449" i="21" s="1"/>
  <c r="AU24" i="21"/>
  <c r="AR24" i="21"/>
  <c r="DM297" i="21"/>
  <c r="BC258" i="21"/>
  <c r="CN258" i="21" s="1"/>
  <c r="DM394" i="21"/>
  <c r="FL444" i="21"/>
  <c r="DF444" i="21"/>
  <c r="ED342" i="21"/>
  <c r="CR342" i="21" s="1"/>
  <c r="AP112" i="21"/>
  <c r="AT111" i="21"/>
  <c r="DU111" i="21" s="1"/>
  <c r="AQ111" i="21"/>
  <c r="DC367" i="21"/>
  <c r="FJ367" i="21"/>
  <c r="BJ201" i="21"/>
  <c r="ED245" i="21"/>
  <c r="CR245" i="21" s="1"/>
  <c r="FL432" i="21"/>
  <c r="CZ432" i="21"/>
  <c r="DM414" i="21"/>
  <c r="FH321" i="21"/>
  <c r="DB321" i="21"/>
  <c r="DM196" i="21"/>
  <c r="DO472" i="21"/>
  <c r="DP472" i="21"/>
  <c r="FL197" i="21"/>
  <c r="CZ197" i="21"/>
  <c r="CW285" i="21"/>
  <c r="FJ285" i="21"/>
  <c r="DC293" i="21"/>
  <c r="FJ293" i="21"/>
  <c r="FJ86" i="21"/>
  <c r="CW86" i="21"/>
  <c r="CV76" i="21"/>
  <c r="FH76" i="21"/>
  <c r="FH66" i="21"/>
  <c r="CV66" i="21"/>
  <c r="DB323" i="21"/>
  <c r="FH323" i="21"/>
  <c r="DR485" i="21"/>
  <c r="DS485" i="21" s="1"/>
  <c r="CP1" i="21"/>
  <c r="FJ188" i="21"/>
  <c r="DC188" i="21"/>
  <c r="CW311" i="21"/>
  <c r="FJ311" i="21"/>
  <c r="DM72" i="21"/>
  <c r="BC439" i="21"/>
  <c r="CN439" i="21" s="1"/>
  <c r="FJ173" i="21"/>
  <c r="DC173" i="21"/>
  <c r="FL240" i="21"/>
  <c r="CZ240" i="21"/>
  <c r="DM59" i="21"/>
  <c r="FJ352" i="21"/>
  <c r="CW352" i="21"/>
  <c r="BC392" i="21"/>
  <c r="CN392" i="21" s="1"/>
  <c r="ES165" i="21"/>
  <c r="ER165" i="21"/>
  <c r="EW165" i="21" s="1"/>
  <c r="ED219" i="21"/>
  <c r="FL189" i="21"/>
  <c r="CZ189" i="21"/>
  <c r="FH434" i="21"/>
  <c r="CV434" i="21"/>
  <c r="BC302" i="21"/>
  <c r="CN302" i="21" s="1"/>
  <c r="DR487" i="21"/>
  <c r="DS487" i="21" s="1"/>
  <c r="FL357" i="21"/>
  <c r="DF357" i="21"/>
  <c r="DN470" i="21"/>
  <c r="ES470" i="21"/>
  <c r="ER470" i="21"/>
  <c r="DB259" i="21"/>
  <c r="FH259" i="21"/>
  <c r="DM333" i="21"/>
  <c r="FH134" i="21"/>
  <c r="CV134" i="21"/>
  <c r="ED272" i="21"/>
  <c r="CR272" i="21" s="1"/>
  <c r="DM113" i="21"/>
  <c r="DM119" i="21"/>
  <c r="FH79" i="21"/>
  <c r="CV79" i="21"/>
  <c r="DC257" i="21"/>
  <c r="FJ257" i="21"/>
  <c r="FJ445" i="21"/>
  <c r="DC445" i="21"/>
  <c r="EX215" i="21"/>
  <c r="FL194" i="21"/>
  <c r="CZ194" i="21"/>
  <c r="CZ300" i="21"/>
  <c r="FL300" i="21"/>
  <c r="DB400" i="21"/>
  <c r="FH400" i="21"/>
  <c r="ED420" i="21"/>
  <c r="CR420" i="21" s="1"/>
  <c r="BO76" i="21"/>
  <c r="BP76" i="21" s="1"/>
  <c r="EI76" i="21" s="1"/>
  <c r="FJ345" i="21"/>
  <c r="DC345" i="21"/>
  <c r="DQ214" i="21"/>
  <c r="DR214" i="21" s="1"/>
  <c r="ED242" i="21"/>
  <c r="CZ402" i="21"/>
  <c r="FL402" i="21"/>
  <c r="DM330" i="21"/>
  <c r="DF225" i="21"/>
  <c r="FL225" i="21"/>
  <c r="DM383" i="21"/>
  <c r="CV126" i="21"/>
  <c r="FH126" i="21"/>
  <c r="CZ348" i="21"/>
  <c r="FL348" i="21"/>
  <c r="FL187" i="21"/>
  <c r="DF187" i="21"/>
  <c r="FL174" i="21"/>
  <c r="DF174" i="21"/>
  <c r="CU13" i="21"/>
  <c r="DM418" i="21"/>
  <c r="FL179" i="21"/>
  <c r="CZ179" i="21"/>
  <c r="DM447" i="21"/>
  <c r="FH410" i="21"/>
  <c r="CV410" i="21"/>
  <c r="BC221" i="21"/>
  <c r="CN221" i="21" s="1"/>
  <c r="DM61" i="21"/>
  <c r="FH231" i="21"/>
  <c r="CV231" i="21"/>
  <c r="DR21" i="21"/>
  <c r="DS21" i="21" s="1"/>
  <c r="ED435" i="21"/>
  <c r="CR435" i="21" s="1"/>
  <c r="BC200" i="21"/>
  <c r="CN200" i="21" s="1"/>
  <c r="DQ51" i="21"/>
  <c r="AV169" i="21"/>
  <c r="AW169" i="21" s="1"/>
  <c r="DF412" i="21"/>
  <c r="FL412" i="21"/>
  <c r="FH183" i="21"/>
  <c r="DB183" i="21"/>
  <c r="DC316" i="21"/>
  <c r="FJ316" i="21"/>
  <c r="EW476" i="21"/>
  <c r="EX476" i="21" s="1"/>
  <c r="DQ494" i="21"/>
  <c r="DR494" i="21" s="1"/>
  <c r="DS494" i="21" s="1"/>
  <c r="BC251" i="21"/>
  <c r="CN251" i="21" s="1"/>
  <c r="CP9" i="21"/>
  <c r="BC261" i="21"/>
  <c r="CN261" i="21" s="1"/>
  <c r="ED430" i="21"/>
  <c r="CR430" i="21" s="1"/>
  <c r="DM116" i="21"/>
  <c r="FL375" i="21"/>
  <c r="CZ375" i="21"/>
  <c r="FL172" i="21"/>
  <c r="CZ172" i="21"/>
  <c r="FH243" i="21"/>
  <c r="CV243" i="21"/>
  <c r="CX3" i="21"/>
  <c r="BC241" i="21"/>
  <c r="CN241" i="21" s="1"/>
  <c r="DC421" i="21"/>
  <c r="FJ421" i="21"/>
  <c r="FH185" i="21"/>
  <c r="CV185" i="21"/>
  <c r="BC414" i="21"/>
  <c r="CN414" i="21" s="1"/>
  <c r="CO3" i="21"/>
  <c r="DM307" i="21"/>
  <c r="CV360" i="21"/>
  <c r="FH360" i="21"/>
  <c r="CW232" i="21"/>
  <c r="FJ232" i="21"/>
  <c r="FH194" i="21"/>
  <c r="CV194" i="21"/>
  <c r="EM169" i="21"/>
  <c r="EP169" i="21" s="1"/>
  <c r="EQ169" i="21" s="1"/>
  <c r="CZ261" i="21"/>
  <c r="FL261" i="21"/>
  <c r="FH355" i="21"/>
  <c r="DB355" i="21"/>
  <c r="FH133" i="21"/>
  <c r="CV133" i="21"/>
  <c r="DP476" i="21"/>
  <c r="DO476" i="21"/>
  <c r="CV287" i="21"/>
  <c r="FH287" i="21"/>
  <c r="FL244" i="21"/>
  <c r="DF244" i="21"/>
  <c r="EW496" i="21"/>
  <c r="BO71" i="21"/>
  <c r="BP71" i="21" s="1"/>
  <c r="EI71" i="21" s="1"/>
  <c r="EW23" i="21"/>
  <c r="FB23" i="21" s="1"/>
  <c r="BC196" i="21"/>
  <c r="CN196" i="21" s="1"/>
  <c r="ED341" i="21"/>
  <c r="CR341" i="21" s="1"/>
  <c r="CZ304" i="21"/>
  <c r="FL304" i="21"/>
  <c r="DM376" i="21"/>
  <c r="BO64" i="21"/>
  <c r="BP64" i="21" s="1"/>
  <c r="EI64" i="21" s="1"/>
  <c r="DM441" i="21"/>
  <c r="BC203" i="21"/>
  <c r="CN203" i="21" s="1"/>
  <c r="CV368" i="21"/>
  <c r="FH368" i="21"/>
  <c r="FL271" i="21"/>
  <c r="DF271" i="21"/>
  <c r="AP26" i="21"/>
  <c r="AT25" i="21"/>
  <c r="DU25" i="21" s="1"/>
  <c r="DM312" i="21"/>
  <c r="ES22" i="21"/>
  <c r="ER22" i="21"/>
  <c r="EW22" i="21" s="1"/>
  <c r="FH436" i="21"/>
  <c r="DB436" i="21"/>
  <c r="FJ432" i="21"/>
  <c r="CW432" i="21"/>
  <c r="ED295" i="21"/>
  <c r="CR295" i="21" s="1"/>
  <c r="CW261" i="21"/>
  <c r="FJ261" i="21"/>
  <c r="CX1" i="21"/>
  <c r="CX2" i="21" s="1"/>
  <c r="ED337" i="21"/>
  <c r="CR337" i="21" s="1"/>
  <c r="CX14" i="21"/>
  <c r="CX15" i="21" s="1"/>
  <c r="ED198" i="21"/>
  <c r="CR198" i="21" s="1"/>
  <c r="FJ340" i="21"/>
  <c r="CW340" i="21"/>
  <c r="DM366" i="21"/>
  <c r="DM124" i="21"/>
  <c r="CO8" i="21"/>
  <c r="DC267" i="21"/>
  <c r="FJ267" i="21"/>
  <c r="BJ376" i="21"/>
  <c r="BC418" i="21"/>
  <c r="CN418" i="21" s="1"/>
  <c r="DM391" i="21"/>
  <c r="FH210" i="21"/>
  <c r="CV210" i="21"/>
  <c r="BC405" i="21"/>
  <c r="CN405" i="21" s="1"/>
  <c r="DM442" i="21"/>
  <c r="ES217" i="21"/>
  <c r="ER217" i="21"/>
  <c r="ED253" i="21"/>
  <c r="CR253" i="21" s="1"/>
  <c r="CW231" i="21"/>
  <c r="FJ231" i="21"/>
  <c r="CV285" i="21"/>
  <c r="FH285" i="21"/>
  <c r="CV223" i="21"/>
  <c r="FH223" i="21"/>
  <c r="BC283" i="21"/>
  <c r="CN283" i="21" s="1"/>
  <c r="FJ382" i="21"/>
  <c r="DC382" i="21"/>
  <c r="DQ39" i="21"/>
  <c r="FL188" i="21"/>
  <c r="DF188" i="21"/>
  <c r="CZ268" i="21"/>
  <c r="FL268" i="21"/>
  <c r="CV112" i="21"/>
  <c r="FH112" i="21"/>
  <c r="CN13" i="21"/>
  <c r="CN10" i="21"/>
  <c r="CN11" i="21" s="1"/>
  <c r="CN12" i="21"/>
  <c r="DN496" i="21"/>
  <c r="ES496" i="21"/>
  <c r="ER496" i="21"/>
  <c r="ED322" i="21"/>
  <c r="CR322" i="21" s="1"/>
  <c r="BC431" i="21"/>
  <c r="CN431" i="21" s="1"/>
  <c r="CZ235" i="21"/>
  <c r="FL235" i="21"/>
  <c r="ED437" i="21"/>
  <c r="CR437" i="21" s="1"/>
  <c r="BC352" i="21"/>
  <c r="CN352" i="21" s="1"/>
  <c r="FH98" i="21"/>
  <c r="CV98" i="21"/>
  <c r="DA14" i="21"/>
  <c r="DA15" i="21" s="1"/>
  <c r="BC339" i="21"/>
  <c r="CN339" i="21" s="1"/>
  <c r="CU1" i="21"/>
  <c r="CU2" i="21" s="1"/>
  <c r="FJ428" i="21"/>
  <c r="CW428" i="21"/>
  <c r="FH78" i="21"/>
  <c r="CV78" i="21"/>
  <c r="BC449" i="21"/>
  <c r="CN449" i="21" s="1"/>
  <c r="FJ336" i="21"/>
  <c r="CW336" i="21"/>
  <c r="FH432" i="21"/>
  <c r="CV432" i="21"/>
  <c r="CV124" i="21"/>
  <c r="FH124" i="21"/>
  <c r="CV416" i="21"/>
  <c r="FH416" i="21"/>
  <c r="FL166" i="21"/>
  <c r="DF166" i="21"/>
  <c r="FJ393" i="21"/>
  <c r="CW393" i="21"/>
  <c r="AR25" i="21"/>
  <c r="FH173" i="21"/>
  <c r="DB173" i="21"/>
  <c r="BC374" i="21"/>
  <c r="CN374" i="21" s="1"/>
  <c r="FL185" i="21"/>
  <c r="CZ185" i="21"/>
  <c r="BC362" i="21"/>
  <c r="CN362" i="21" s="1"/>
  <c r="EX160" i="21"/>
  <c r="DS160" i="21" s="1"/>
  <c r="DM321" i="21"/>
  <c r="CX16" i="21"/>
  <c r="BC398" i="21"/>
  <c r="CN398" i="21" s="1"/>
  <c r="FH180" i="21"/>
  <c r="DB180" i="21"/>
  <c r="CV71" i="21"/>
  <c r="FH71" i="21"/>
  <c r="BC429" i="21"/>
  <c r="CN429" i="21" s="1"/>
  <c r="FH419" i="21"/>
  <c r="CV419" i="21"/>
  <c r="CO1" i="21"/>
  <c r="FJ76" i="21"/>
  <c r="CW76" i="21"/>
  <c r="CZ203" i="21"/>
  <c r="FL203" i="21"/>
  <c r="DM329" i="21"/>
  <c r="FL186" i="21"/>
  <c r="DF186" i="21"/>
  <c r="DB425" i="21"/>
  <c r="FH425" i="21"/>
  <c r="DS474" i="21"/>
  <c r="DN488" i="21"/>
  <c r="ES488" i="21"/>
  <c r="ER488" i="21"/>
  <c r="FJ307" i="21"/>
  <c r="CW307" i="21"/>
  <c r="FJ265" i="21"/>
  <c r="DC265" i="21"/>
  <c r="BC440" i="21"/>
  <c r="CN440" i="21" s="1"/>
  <c r="DQ468" i="21"/>
  <c r="DR468" i="21" s="1"/>
  <c r="DS468" i="21" s="1"/>
  <c r="AZ316" i="21"/>
  <c r="EY39" i="21"/>
  <c r="EZ39" i="21" s="1"/>
  <c r="ET39" i="21"/>
  <c r="EU39" i="21"/>
  <c r="EV39" i="21" s="1"/>
  <c r="DC390" i="21"/>
  <c r="FJ390" i="21"/>
  <c r="ED311" i="21"/>
  <c r="CR311" i="21" s="1"/>
  <c r="FH234" i="21"/>
  <c r="CV234" i="21"/>
  <c r="DM249" i="21"/>
  <c r="DA16" i="21"/>
  <c r="CP4" i="21"/>
  <c r="DM309" i="21"/>
  <c r="ED207" i="21"/>
  <c r="CR207" i="21" s="1"/>
  <c r="DD3" i="21"/>
  <c r="DD9" i="21"/>
  <c r="DD8" i="21"/>
  <c r="DD4" i="21"/>
  <c r="DD6" i="21"/>
  <c r="DD7" i="21" s="1"/>
  <c r="ED234" i="21"/>
  <c r="CR234" i="21" s="1"/>
  <c r="FL247" i="21"/>
  <c r="DF247" i="21"/>
  <c r="DM406" i="21"/>
  <c r="DM128" i="21"/>
  <c r="DM426" i="21"/>
  <c r="FH349" i="21"/>
  <c r="CV349" i="21"/>
  <c r="DM151" i="21"/>
  <c r="ED365" i="21"/>
  <c r="CR365" i="21" s="1"/>
  <c r="CZ381" i="21"/>
  <c r="FL381" i="21"/>
  <c r="CV59" i="21"/>
  <c r="FH59" i="21"/>
  <c r="BC329" i="21"/>
  <c r="CN329" i="21" s="1"/>
  <c r="CW227" i="21"/>
  <c r="FJ227" i="21"/>
  <c r="FH149" i="21"/>
  <c r="DB149" i="21"/>
  <c r="DB377" i="21"/>
  <c r="FH377" i="21"/>
  <c r="BC371" i="21"/>
  <c r="CN371" i="21" s="1"/>
  <c r="ED296" i="21"/>
  <c r="CR296" i="21" s="1"/>
  <c r="DM298" i="21"/>
  <c r="FH271" i="21"/>
  <c r="DB271" i="21"/>
  <c r="BC206" i="21"/>
  <c r="CN206" i="21" s="1"/>
  <c r="CV324" i="21"/>
  <c r="FH324" i="21"/>
  <c r="CV89" i="21"/>
  <c r="FH89" i="21"/>
  <c r="CF4" i="21"/>
  <c r="DM400" i="21"/>
  <c r="DQ193" i="21"/>
  <c r="FJ442" i="21"/>
  <c r="CW442" i="21"/>
  <c r="BJ383" i="21"/>
  <c r="FH246" i="21"/>
  <c r="DB246" i="21"/>
  <c r="DM417" i="21"/>
  <c r="ED266" i="21"/>
  <c r="CR266" i="21" s="1"/>
  <c r="DM63" i="21"/>
  <c r="FH266" i="21"/>
  <c r="CV266" i="21"/>
  <c r="CW12" i="21"/>
  <c r="FH208" i="21"/>
  <c r="DB208" i="21"/>
  <c r="DC417" i="21"/>
  <c r="FJ417" i="21"/>
  <c r="ED227" i="21"/>
  <c r="CR227" i="21" s="1"/>
  <c r="DM388" i="21"/>
  <c r="DN492" i="21"/>
  <c r="ES492" i="21"/>
  <c r="ER492" i="21"/>
  <c r="DM310" i="21"/>
  <c r="FH282" i="21"/>
  <c r="DB282" i="21"/>
  <c r="FH238" i="21"/>
  <c r="CV238" i="21"/>
  <c r="CV94" i="21"/>
  <c r="FH94" i="21"/>
  <c r="ED259" i="21"/>
  <c r="CR259" i="21" s="1"/>
  <c r="CV136" i="21"/>
  <c r="FH136" i="21"/>
  <c r="FL343" i="21"/>
  <c r="CZ343" i="21"/>
  <c r="DN466" i="21"/>
  <c r="ES466" i="21"/>
  <c r="EW466" i="21" s="1"/>
  <c r="ER466" i="21"/>
  <c r="AZ310" i="21"/>
  <c r="DC177" i="21"/>
  <c r="FJ177" i="21"/>
  <c r="FJ375" i="21"/>
  <c r="CW375" i="21"/>
  <c r="FL274" i="21"/>
  <c r="DF274" i="21"/>
  <c r="DB379" i="21"/>
  <c r="FH379" i="21"/>
  <c r="DM288" i="21"/>
  <c r="CW196" i="21"/>
  <c r="FJ196" i="21"/>
  <c r="EW160" i="21"/>
  <c r="EX212" i="21"/>
  <c r="DR467" i="21"/>
  <c r="DS467" i="21" s="1"/>
  <c r="CF3" i="21"/>
  <c r="CZ175" i="21"/>
  <c r="FL175" i="21"/>
  <c r="FL193" i="21"/>
  <c r="CZ193" i="21"/>
  <c r="DM76" i="21"/>
  <c r="BC242" i="21"/>
  <c r="CW13" i="21"/>
  <c r="DM405" i="21"/>
  <c r="FL372" i="21"/>
  <c r="CZ372" i="21"/>
  <c r="ED377" i="21"/>
  <c r="CR377" i="21" s="1"/>
  <c r="CU16" i="21"/>
  <c r="CU17" i="21"/>
  <c r="CU14" i="21"/>
  <c r="CU15" i="21" s="1"/>
  <c r="DM374" i="21"/>
  <c r="CZ446" i="21"/>
  <c r="FL446" i="21"/>
  <c r="DM126" i="21"/>
  <c r="FL191" i="21"/>
  <c r="CZ191" i="21"/>
  <c r="CV68" i="21"/>
  <c r="FH68" i="21"/>
  <c r="FJ202" i="21"/>
  <c r="CW202" i="21"/>
  <c r="FJ431" i="21"/>
  <c r="DC431" i="21"/>
  <c r="ED239" i="21"/>
  <c r="CR239" i="21" s="1"/>
  <c r="DM413" i="21"/>
  <c r="FH88" i="21"/>
  <c r="CV88" i="21"/>
  <c r="ED427" i="21"/>
  <c r="CR427" i="21" s="1"/>
  <c r="FH197" i="21"/>
  <c r="CV197" i="21"/>
  <c r="DM392" i="21"/>
  <c r="FH187" i="21"/>
  <c r="DB187" i="21"/>
  <c r="AU110" i="21"/>
  <c r="BC433" i="21"/>
  <c r="CN433" i="21" s="1"/>
  <c r="ED206" i="21"/>
  <c r="CR206" i="21" s="1"/>
  <c r="ED331" i="21"/>
  <c r="CR331" i="21" s="1"/>
  <c r="DM395" i="21"/>
  <c r="BC445" i="21"/>
  <c r="CN445" i="21" s="1"/>
  <c r="BC420" i="21"/>
  <c r="CN420" i="21" s="1"/>
  <c r="CW206" i="21"/>
  <c r="FJ206" i="21"/>
  <c r="FJ404" i="21"/>
  <c r="DC404" i="21"/>
  <c r="DM318" i="21"/>
  <c r="DM320" i="21"/>
  <c r="FJ119" i="21"/>
  <c r="DC119" i="21"/>
  <c r="CP12" i="21"/>
  <c r="EW158" i="21"/>
  <c r="EX158" i="21" s="1"/>
  <c r="DS158" i="21" s="1"/>
  <c r="FL176" i="21"/>
  <c r="CZ176" i="21"/>
  <c r="FH120" i="21"/>
  <c r="DB120" i="21"/>
  <c r="AQ196" i="21"/>
  <c r="FH385" i="21"/>
  <c r="CV385" i="21"/>
  <c r="DQ467" i="21"/>
  <c r="CO4" i="21"/>
  <c r="DN469" i="21"/>
  <c r="ES469" i="21"/>
  <c r="ER469" i="21"/>
  <c r="ED222" i="21"/>
  <c r="ED223" i="21"/>
  <c r="CR223" i="21" s="1"/>
  <c r="DM410" i="21"/>
  <c r="FH227" i="21"/>
  <c r="CV227" i="21"/>
  <c r="ED393" i="21"/>
  <c r="CR393" i="21" s="1"/>
  <c r="BH413" i="21"/>
  <c r="BJ413" i="21" s="1"/>
  <c r="ED201" i="21"/>
  <c r="CR201" i="21" s="1"/>
  <c r="BP82" i="21"/>
  <c r="EI82" i="21" s="1"/>
  <c r="DB315" i="21"/>
  <c r="FH315" i="21"/>
  <c r="EX155" i="21"/>
  <c r="DS155" i="21" s="1"/>
  <c r="DM361" i="21"/>
  <c r="ED252" i="21"/>
  <c r="CR252" i="21" s="1"/>
  <c r="DB177" i="21"/>
  <c r="FH177" i="21"/>
  <c r="ED433" i="21"/>
  <c r="CR433" i="21" s="1"/>
  <c r="FL439" i="21"/>
  <c r="CZ439" i="21"/>
  <c r="FH191" i="21"/>
  <c r="CV191" i="21"/>
  <c r="CV303" i="21"/>
  <c r="FH303" i="21"/>
  <c r="DC280" i="21"/>
  <c r="FJ280" i="21"/>
  <c r="ED200" i="21"/>
  <c r="CR200" i="21" s="1"/>
  <c r="DB417" i="21"/>
  <c r="FH417" i="21"/>
  <c r="BC426" i="21"/>
  <c r="CN426" i="21" s="1"/>
  <c r="FJ249" i="21"/>
  <c r="CW249" i="21"/>
  <c r="DM373" i="21"/>
  <c r="CV72" i="21"/>
  <c r="FH72" i="21"/>
  <c r="FL232" i="21"/>
  <c r="CZ232" i="21"/>
  <c r="DM422" i="21"/>
  <c r="BC356" i="21"/>
  <c r="CN356" i="21" s="1"/>
  <c r="CV354" i="21"/>
  <c r="FH354" i="21"/>
  <c r="BH305" i="21"/>
  <c r="BJ305" i="21" s="1"/>
  <c r="CZ349" i="21"/>
  <c r="FL349" i="21"/>
  <c r="CZ220" i="21"/>
  <c r="FL220" i="21"/>
  <c r="DS107" i="21"/>
  <c r="BO96" i="21"/>
  <c r="BP96" i="21" s="1"/>
  <c r="EI96" i="21" s="1"/>
  <c r="DC277" i="21"/>
  <c r="FJ277" i="21"/>
  <c r="FJ292" i="21"/>
  <c r="DC292" i="21"/>
  <c r="FL386" i="21"/>
  <c r="CZ386" i="21"/>
  <c r="FH101" i="21"/>
  <c r="CV101" i="21"/>
  <c r="ED195" i="21"/>
  <c r="CR195" i="21" s="1"/>
  <c r="DB346" i="21"/>
  <c r="FH346" i="21"/>
  <c r="FH95" i="21"/>
  <c r="CV95" i="21"/>
  <c r="CV86" i="21"/>
  <c r="FH86" i="21"/>
  <c r="ED340" i="21"/>
  <c r="CR340" i="21" s="1"/>
  <c r="BO82" i="21"/>
  <c r="DM443" i="21"/>
  <c r="CZ362" i="21"/>
  <c r="FL362" i="21"/>
  <c r="FH341" i="21"/>
  <c r="DB341" i="21"/>
  <c r="FH364" i="21"/>
  <c r="CV364" i="21"/>
  <c r="ED255" i="21"/>
  <c r="CR255" i="21" s="1"/>
  <c r="AZ270" i="21"/>
  <c r="ED208" i="21"/>
  <c r="CR208" i="21" s="1"/>
  <c r="CW221" i="21"/>
  <c r="FJ221" i="21"/>
  <c r="DM411" i="21"/>
  <c r="BO105" i="21"/>
  <c r="BP105" i="21" s="1"/>
  <c r="EI105" i="21" s="1"/>
  <c r="EH105" i="21" s="1"/>
  <c r="CW430" i="21"/>
  <c r="FJ430" i="21"/>
  <c r="FH70" i="21"/>
  <c r="CV70" i="21"/>
  <c r="FI119" i="21"/>
  <c r="FR53" i="21" s="1"/>
  <c r="DD119" i="21"/>
  <c r="DD1" i="21" s="1"/>
  <c r="DD2" i="21" s="1"/>
  <c r="ED202" i="21"/>
  <c r="CR202" i="21" s="1"/>
  <c r="ED445" i="21"/>
  <c r="CR445" i="21" s="1"/>
  <c r="CV232" i="21"/>
  <c r="FH232" i="21"/>
  <c r="DC178" i="21"/>
  <c r="FJ178" i="21"/>
  <c r="ED390" i="21"/>
  <c r="CR390" i="21" s="1"/>
  <c r="DO168" i="21"/>
  <c r="ED399" i="21"/>
  <c r="CR399" i="21" s="1"/>
  <c r="EW490" i="21"/>
  <c r="EX490" i="21" s="1"/>
  <c r="FH250" i="21"/>
  <c r="DB250" i="21"/>
  <c r="ED434" i="21"/>
  <c r="CR434" i="21" s="1"/>
  <c r="CW299" i="21"/>
  <c r="FJ299" i="21"/>
  <c r="CW283" i="21"/>
  <c r="FJ283" i="21"/>
  <c r="BJ262" i="21"/>
  <c r="BC322" i="21"/>
  <c r="CN322" i="21" s="1"/>
  <c r="DM325" i="21"/>
  <c r="DM396" i="21"/>
  <c r="FL275" i="21"/>
  <c r="CZ275" i="21"/>
  <c r="DM265" i="21"/>
  <c r="AZ366" i="21"/>
  <c r="CV73" i="21"/>
  <c r="FH73" i="21"/>
  <c r="BC284" i="21"/>
  <c r="CN284" i="21" s="1"/>
  <c r="FJ351" i="21"/>
  <c r="CW351" i="21"/>
  <c r="FL167" i="21"/>
  <c r="CZ167" i="21"/>
  <c r="CW381" i="21"/>
  <c r="FJ381" i="21"/>
  <c r="FH190" i="21"/>
  <c r="CV190" i="21"/>
  <c r="ED280" i="21"/>
  <c r="CR280" i="21" s="1"/>
  <c r="DO217" i="21"/>
  <c r="ES194" i="21"/>
  <c r="ER194" i="21"/>
  <c r="EW194" i="21" s="1"/>
  <c r="FL424" i="21"/>
  <c r="DF424" i="21"/>
  <c r="FH209" i="21"/>
  <c r="DB209" i="21"/>
  <c r="BC382" i="21"/>
  <c r="CN382" i="21" s="1"/>
  <c r="CV313" i="21"/>
  <c r="FH313" i="21"/>
  <c r="DB273" i="21"/>
  <c r="FH273" i="21"/>
  <c r="DM118" i="21"/>
  <c r="EW483" i="21"/>
  <c r="EX483" i="21" s="1"/>
  <c r="DB174" i="21"/>
  <c r="FH174" i="21"/>
  <c r="FH141" i="21"/>
  <c r="DB141" i="21"/>
  <c r="DC441" i="21"/>
  <c r="FJ441" i="21"/>
  <c r="ED346" i="21"/>
  <c r="CR346" i="21" s="1"/>
  <c r="FH249" i="21"/>
  <c r="CV249" i="21"/>
  <c r="ED269" i="21"/>
  <c r="CR269" i="21" s="1"/>
  <c r="DM90" i="21"/>
  <c r="CV113" i="21"/>
  <c r="FH113" i="21"/>
  <c r="DR478" i="21"/>
  <c r="DS478" i="21" s="1"/>
  <c r="DQ478" i="21"/>
  <c r="CZ170" i="21"/>
  <c r="FL170" i="21"/>
  <c r="FJ147" i="21"/>
  <c r="DC147" i="21"/>
  <c r="ED403" i="21"/>
  <c r="CR403" i="21" s="1"/>
  <c r="ED397" i="21"/>
  <c r="CR397" i="21" s="1"/>
  <c r="CW198" i="21"/>
  <c r="FJ198" i="21"/>
  <c r="ED308" i="21"/>
  <c r="CR308" i="21" s="1"/>
  <c r="FL165" i="21"/>
  <c r="CZ165" i="21"/>
  <c r="FJ320" i="21"/>
  <c r="CW320" i="21"/>
  <c r="CV52" i="21"/>
  <c r="FH52" i="21"/>
  <c r="ED262" i="21"/>
  <c r="CR262" i="21" s="1"/>
  <c r="CW260" i="21"/>
  <c r="FJ260" i="21"/>
  <c r="FH237" i="21"/>
  <c r="CV237" i="21"/>
  <c r="FL173" i="21"/>
  <c r="DF173" i="21"/>
  <c r="ED385" i="21"/>
  <c r="CR385" i="21" s="1"/>
  <c r="DC424" i="21"/>
  <c r="FJ424" i="21"/>
  <c r="EX465" i="21"/>
  <c r="BO63" i="21"/>
  <c r="BP63" i="21" s="1"/>
  <c r="EI63" i="21" s="1"/>
  <c r="CX13" i="21"/>
  <c r="CX12" i="21"/>
  <c r="CX10" i="21"/>
  <c r="CX11" i="21" s="1"/>
  <c r="BC402" i="21"/>
  <c r="CN402" i="21" s="1"/>
  <c r="FH286" i="21"/>
  <c r="DB286" i="21"/>
  <c r="DC397" i="21"/>
  <c r="FJ397" i="21"/>
  <c r="FL182" i="21"/>
  <c r="CZ182" i="21"/>
  <c r="DM345" i="21"/>
  <c r="BP89" i="21"/>
  <c r="EI89" i="21" s="1"/>
  <c r="DC449" i="21"/>
  <c r="FJ449" i="21"/>
  <c r="DF282" i="21"/>
  <c r="FL282" i="21"/>
  <c r="CV168" i="21"/>
  <c r="FH168" i="21"/>
  <c r="CW408" i="21"/>
  <c r="FJ408" i="21"/>
  <c r="DM335" i="21"/>
  <c r="BJ176" i="21"/>
  <c r="DC310" i="21"/>
  <c r="FJ310" i="21"/>
  <c r="EU52" i="21"/>
  <c r="EV52" i="21" s="1"/>
  <c r="ED419" i="21"/>
  <c r="CR419" i="21" s="1"/>
  <c r="DB394" i="21"/>
  <c r="FH394" i="21"/>
  <c r="DM305" i="21"/>
  <c r="FH83" i="21"/>
  <c r="CV83" i="21"/>
  <c r="FH84" i="21"/>
  <c r="CV84" i="21"/>
  <c r="CW223" i="21"/>
  <c r="FJ223" i="21"/>
  <c r="FH186" i="21"/>
  <c r="DB186" i="21"/>
  <c r="FH378" i="21"/>
  <c r="DB378" i="21"/>
  <c r="BC317" i="21"/>
  <c r="CN317" i="21" s="1"/>
  <c r="DB247" i="21"/>
  <c r="FH247" i="21"/>
  <c r="FJ433" i="21"/>
  <c r="DC433" i="21"/>
  <c r="FJ398" i="21"/>
  <c r="DC398" i="21"/>
  <c r="DO165" i="21"/>
  <c r="DO490" i="21"/>
  <c r="DP490" i="21"/>
  <c r="DM114" i="21"/>
  <c r="CW287" i="21"/>
  <c r="FJ287" i="21"/>
  <c r="DM75" i="21"/>
  <c r="ED236" i="21"/>
  <c r="CR236" i="21" s="1"/>
  <c r="CW405" i="21"/>
  <c r="FJ405" i="21"/>
  <c r="DP465" i="21"/>
  <c r="DO465" i="21"/>
  <c r="ED448" i="21"/>
  <c r="CR448" i="21" s="1"/>
  <c r="CW443" i="21"/>
  <c r="FJ443" i="21"/>
  <c r="FL264" i="21"/>
  <c r="DF264" i="21"/>
  <c r="DC346" i="21"/>
  <c r="FJ346" i="21"/>
  <c r="DF180" i="21"/>
  <c r="FL180" i="21"/>
  <c r="DM367" i="21"/>
  <c r="FL237" i="21"/>
  <c r="CZ237" i="21"/>
  <c r="CP13" i="21"/>
  <c r="DF327" i="21"/>
  <c r="FL327" i="21"/>
  <c r="FH254" i="21"/>
  <c r="CV254" i="21"/>
  <c r="ER192" i="21"/>
  <c r="DT17" i="21"/>
  <c r="DT16" i="21" s="1"/>
  <c r="DT14" i="21" s="1"/>
  <c r="DT13" i="21" s="1"/>
  <c r="EX495" i="21"/>
  <c r="EW495" i="21"/>
  <c r="BC335" i="21"/>
  <c r="CN335" i="21" s="1"/>
  <c r="DP483" i="21"/>
  <c r="DO483" i="21"/>
  <c r="DM429" i="21"/>
  <c r="FP55" i="21"/>
  <c r="DN213" i="21"/>
  <c r="EM213" i="21"/>
  <c r="EP213" i="21" s="1"/>
  <c r="EQ213" i="21" s="1"/>
  <c r="EX163" i="21"/>
  <c r="DS163" i="21" s="1"/>
  <c r="DM347" i="21"/>
  <c r="DA12" i="21"/>
  <c r="BC384" i="21"/>
  <c r="CN384" i="21" s="1"/>
  <c r="ED283" i="21"/>
  <c r="CR283" i="21" s="1"/>
  <c r="FL181" i="21"/>
  <c r="CZ181" i="21"/>
  <c r="BC201" i="21"/>
  <c r="CN201" i="21" s="1"/>
  <c r="DC276" i="21"/>
  <c r="FJ276" i="21"/>
  <c r="DM276" i="21"/>
  <c r="BC198" i="21"/>
  <c r="CN198" i="21" s="1"/>
  <c r="DM284" i="21"/>
  <c r="DB401" i="21"/>
  <c r="FH401" i="21"/>
  <c r="FH244" i="21"/>
  <c r="DB244" i="21"/>
  <c r="DM54" i="21"/>
  <c r="FH320" i="21"/>
  <c r="CV320" i="21"/>
  <c r="DO192" i="21"/>
  <c r="DP192" i="21"/>
  <c r="ED192" i="21"/>
  <c r="CR192" i="21" s="1"/>
  <c r="FH165" i="21"/>
  <c r="CV165" i="21"/>
  <c r="DA4" i="21"/>
  <c r="ED238" i="21"/>
  <c r="CR238" i="21" s="1"/>
  <c r="DM135" i="21"/>
  <c r="CZ285" i="21"/>
  <c r="FL285" i="21"/>
  <c r="BP61" i="21"/>
  <c r="EI61" i="21" s="1"/>
  <c r="ED360" i="21"/>
  <c r="CR360" i="21" s="1"/>
  <c r="DM66" i="21"/>
  <c r="DR495" i="21"/>
  <c r="CO14" i="21"/>
  <c r="CO15" i="21" s="1"/>
  <c r="ED248" i="21"/>
  <c r="CR248" i="21" s="1"/>
  <c r="DB151" i="21"/>
  <c r="FH151" i="21"/>
  <c r="CZ233" i="21"/>
  <c r="FL233" i="21"/>
  <c r="FH236" i="21"/>
  <c r="DB236" i="21"/>
  <c r="CZ324" i="21"/>
  <c r="FL324" i="21"/>
  <c r="ED231" i="21"/>
  <c r="CR231" i="21" s="1"/>
  <c r="ED251" i="21"/>
  <c r="CR251" i="21" s="1"/>
  <c r="DM356" i="21"/>
  <c r="ES193" i="21"/>
  <c r="ER193" i="21"/>
  <c r="EG13" i="21"/>
  <c r="BC292" i="21"/>
  <c r="CN292" i="21" s="1"/>
  <c r="FH365" i="21"/>
  <c r="DB365" i="21"/>
  <c r="FH128" i="21"/>
  <c r="CV128" i="21"/>
  <c r="BC202" i="21"/>
  <c r="CN202" i="21" s="1"/>
  <c r="DM334" i="21"/>
  <c r="DM291" i="21"/>
  <c r="FH388" i="21"/>
  <c r="DB388" i="21"/>
  <c r="AY108" i="21"/>
  <c r="AZ108" i="21" s="1"/>
  <c r="BC108" i="21" s="1"/>
  <c r="ED363" i="21"/>
  <c r="CR363" i="21" s="1"/>
  <c r="BC327" i="21"/>
  <c r="CN327" i="21" s="1"/>
  <c r="CW366" i="21"/>
  <c r="FJ366" i="21"/>
  <c r="DC263" i="21"/>
  <c r="FJ263" i="21"/>
  <c r="DM380" i="21"/>
  <c r="EX164" i="21"/>
  <c r="DS164" i="21" s="1"/>
  <c r="DN166" i="21"/>
  <c r="EM166" i="21"/>
  <c r="EP166" i="21" s="1"/>
  <c r="EQ166" i="21" s="1"/>
  <c r="CV65" i="21"/>
  <c r="FH65" i="21"/>
  <c r="BC172" i="21"/>
  <c r="CN172" i="21" s="1"/>
  <c r="DF256" i="21"/>
  <c r="FL256" i="21"/>
  <c r="FH144" i="21"/>
  <c r="DB144" i="21"/>
  <c r="FH67" i="21"/>
  <c r="CV67" i="21"/>
  <c r="ER168" i="21"/>
  <c r="ES168" i="21"/>
  <c r="ED421" i="21"/>
  <c r="CR421" i="21" s="1"/>
  <c r="DM102" i="21"/>
  <c r="FH184" i="21"/>
  <c r="CV184" i="21"/>
  <c r="FH357" i="21"/>
  <c r="DB357" i="21"/>
  <c r="CV176" i="21"/>
  <c r="FH176" i="21"/>
  <c r="CV137" i="21"/>
  <c r="FH137" i="21"/>
  <c r="DM408" i="21"/>
  <c r="DB262" i="21"/>
  <c r="FH262" i="21"/>
  <c r="ED423" i="21"/>
  <c r="CR423" i="21" s="1"/>
  <c r="DQ484" i="21"/>
  <c r="DR484" i="21" s="1"/>
  <c r="DS484" i="21" s="1"/>
  <c r="FH353" i="21"/>
  <c r="DB353" i="21"/>
  <c r="CV127" i="21"/>
  <c r="FH127" i="21"/>
  <c r="BC443" i="21"/>
  <c r="CN443" i="21" s="1"/>
  <c r="CV399" i="21"/>
  <c r="FH399" i="21"/>
  <c r="FL183" i="21"/>
  <c r="DF183" i="21"/>
  <c r="CZ224" i="21"/>
  <c r="FL224" i="21"/>
  <c r="DC200" i="21"/>
  <c r="FJ200" i="21"/>
  <c r="CV129" i="21"/>
  <c r="FH129" i="21"/>
  <c r="BC294" i="21"/>
  <c r="CN294" i="21" s="1"/>
  <c r="CV179" i="21"/>
  <c r="FH179" i="21"/>
  <c r="CV350" i="21"/>
  <c r="FH350" i="21"/>
  <c r="CZ260" i="21"/>
  <c r="FL260" i="21"/>
  <c r="FJ240" i="21"/>
  <c r="CW240" i="21"/>
  <c r="ES162" i="21"/>
  <c r="ER162" i="21"/>
  <c r="FH444" i="21"/>
  <c r="DB444" i="21"/>
  <c r="EW154" i="21"/>
  <c r="EX154" i="21" s="1"/>
  <c r="DS154" i="21" s="1"/>
  <c r="CV64" i="21"/>
  <c r="FH64" i="21"/>
  <c r="CZ168" i="21"/>
  <c r="FL168" i="21"/>
  <c r="DM258" i="21"/>
  <c r="AU218" i="21"/>
  <c r="FH125" i="21"/>
  <c r="CV125" i="21"/>
  <c r="EX19" i="21"/>
  <c r="FB19" i="21"/>
  <c r="ED19" i="21" s="1"/>
  <c r="DM96" i="21"/>
  <c r="FH344" i="21"/>
  <c r="CV344" i="21"/>
  <c r="FJ415" i="21"/>
  <c r="DC415" i="21"/>
  <c r="EM110" i="21"/>
  <c r="EP110" i="21" s="1"/>
  <c r="EQ110" i="21" s="1"/>
  <c r="BO75" i="21"/>
  <c r="BP75" i="21" s="1"/>
  <c r="EI75" i="21" s="1"/>
  <c r="FJ174" i="21"/>
  <c r="DC174" i="21"/>
  <c r="EX472" i="21"/>
  <c r="EW472" i="21"/>
  <c r="CW170" i="21"/>
  <c r="FJ170" i="21"/>
  <c r="DR482" i="21"/>
  <c r="DS482" i="21" s="1"/>
  <c r="FL313" i="21"/>
  <c r="CZ313" i="21"/>
  <c r="FJ192" i="21"/>
  <c r="CW192" i="21"/>
  <c r="FH147" i="21"/>
  <c r="DB147" i="21"/>
  <c r="DR489" i="21"/>
  <c r="DS489" i="21" s="1"/>
  <c r="CV255" i="21"/>
  <c r="FH255" i="21"/>
  <c r="DA10" i="21"/>
  <c r="DA11" i="21" s="1"/>
  <c r="CZ303" i="21"/>
  <c r="FL303" i="21"/>
  <c r="BC163" i="21"/>
  <c r="AV163" i="21"/>
  <c r="AW163" i="21" s="1"/>
  <c r="DC9" i="21"/>
  <c r="DC8" i="21"/>
  <c r="DC6" i="21"/>
  <c r="DC7" i="21" s="1"/>
  <c r="ED246" i="21"/>
  <c r="CR246" i="21" s="1"/>
  <c r="DM401" i="21"/>
  <c r="EX479" i="21"/>
  <c r="FR442" i="20"/>
  <c r="BR217" i="20"/>
  <c r="BR268" i="20"/>
  <c r="DD232" i="20"/>
  <c r="DY503" i="20"/>
  <c r="DZ503" i="20" s="1"/>
  <c r="BH440" i="20"/>
  <c r="BK440" i="20" s="1"/>
  <c r="CV440" i="20" s="1"/>
  <c r="BR419" i="20"/>
  <c r="BW93" i="20"/>
  <c r="BX93" i="20" s="1"/>
  <c r="EQ93" i="20" s="1"/>
  <c r="BK297" i="20"/>
  <c r="CV297" i="20" s="1"/>
  <c r="DD297" i="20" s="1"/>
  <c r="FP247" i="20"/>
  <c r="FR87" i="20"/>
  <c r="FP285" i="20"/>
  <c r="BC23" i="20"/>
  <c r="FP391" i="20"/>
  <c r="FP335" i="20"/>
  <c r="FE482" i="20"/>
  <c r="FF482" i="20" s="1"/>
  <c r="FE193" i="20"/>
  <c r="FF193" i="20" s="1"/>
  <c r="EA193" i="20" s="1"/>
  <c r="BP257" i="20"/>
  <c r="BR257" i="20" s="1"/>
  <c r="FR267" i="20"/>
  <c r="FE494" i="20"/>
  <c r="FF494" i="20" s="1"/>
  <c r="BC109" i="20"/>
  <c r="AZ109" i="20"/>
  <c r="FR410" i="20"/>
  <c r="DK410" i="20"/>
  <c r="DD296" i="20"/>
  <c r="FP296" i="20"/>
  <c r="BR386" i="20"/>
  <c r="FR413" i="20"/>
  <c r="FR195" i="20"/>
  <c r="FR257" i="20"/>
  <c r="DJ428" i="20"/>
  <c r="DK191" i="20"/>
  <c r="FR366" i="20"/>
  <c r="DK340" i="20"/>
  <c r="DK240" i="20"/>
  <c r="DK427" i="20"/>
  <c r="FT436" i="20"/>
  <c r="BW60" i="20"/>
  <c r="BX60" i="20" s="1"/>
  <c r="EQ60" i="20" s="1"/>
  <c r="AZ455" i="20"/>
  <c r="BC455" i="20"/>
  <c r="BW98" i="20"/>
  <c r="BX98" i="20" s="1"/>
  <c r="EQ98" i="20" s="1"/>
  <c r="DK381" i="20"/>
  <c r="FR406" i="20"/>
  <c r="AZ105" i="20"/>
  <c r="BR172" i="20"/>
  <c r="FE501" i="20"/>
  <c r="FF501" i="20" s="1"/>
  <c r="BR241" i="20"/>
  <c r="BR365" i="20"/>
  <c r="DY492" i="20"/>
  <c r="DZ492" i="20" s="1"/>
  <c r="DK448" i="20"/>
  <c r="BW72" i="20"/>
  <c r="BX72" i="20" s="1"/>
  <c r="EQ72" i="20" s="1"/>
  <c r="FR188" i="20"/>
  <c r="BR277" i="20"/>
  <c r="BW91" i="20"/>
  <c r="BX91" i="20" s="1"/>
  <c r="EQ91" i="20" s="1"/>
  <c r="FR369" i="20"/>
  <c r="BW87" i="20"/>
  <c r="BX87" i="20" s="1"/>
  <c r="EQ87" i="20" s="1"/>
  <c r="FR364" i="20"/>
  <c r="DY500" i="20"/>
  <c r="DZ500" i="20" s="1"/>
  <c r="FE481" i="20"/>
  <c r="FF481" i="20" s="1"/>
  <c r="BK396" i="20"/>
  <c r="CV396" i="20" s="1"/>
  <c r="BR295" i="20"/>
  <c r="BR436" i="20"/>
  <c r="BR410" i="20"/>
  <c r="DY39" i="20"/>
  <c r="BR422" i="20"/>
  <c r="DY297" i="20"/>
  <c r="DZ297" i="20" s="1"/>
  <c r="FP319" i="20"/>
  <c r="BH281" i="20"/>
  <c r="BK281" i="20" s="1"/>
  <c r="CV281" i="20" s="1"/>
  <c r="DK183" i="20"/>
  <c r="FR183" i="20"/>
  <c r="FR290" i="20"/>
  <c r="DK290" i="20"/>
  <c r="FR277" i="20"/>
  <c r="DY482" i="20"/>
  <c r="DZ482" i="20" s="1"/>
  <c r="FR407" i="20"/>
  <c r="DL17" i="20"/>
  <c r="DY44" i="20"/>
  <c r="BR401" i="20"/>
  <c r="CJ112" i="20"/>
  <c r="CQ112" i="20" s="1"/>
  <c r="CS112" i="20" s="1"/>
  <c r="BP185" i="20"/>
  <c r="BR185" i="20" s="1"/>
  <c r="BR166" i="20"/>
  <c r="DE71" i="20"/>
  <c r="DE283" i="20"/>
  <c r="BR333" i="20"/>
  <c r="BH253" i="20"/>
  <c r="BK253" i="20" s="1"/>
  <c r="CV253" i="20" s="1"/>
  <c r="CJ107" i="20"/>
  <c r="CQ107" i="20" s="1"/>
  <c r="CS107" i="20" s="1"/>
  <c r="DY50" i="20"/>
  <c r="DY38" i="20"/>
  <c r="DY42" i="20"/>
  <c r="DE357" i="20"/>
  <c r="DK252" i="20"/>
  <c r="DY51" i="20"/>
  <c r="DL14" i="20"/>
  <c r="DL15" i="20" s="1"/>
  <c r="DI14" i="20"/>
  <c r="DI15" i="20" s="1"/>
  <c r="BP325" i="20"/>
  <c r="BR325" i="20" s="1"/>
  <c r="DL16" i="20"/>
  <c r="FE163" i="20"/>
  <c r="FF163" i="20" s="1"/>
  <c r="EA163" i="20" s="1"/>
  <c r="BW85" i="20"/>
  <c r="BX85" i="20" s="1"/>
  <c r="EQ85" i="20" s="1"/>
  <c r="BR281" i="20"/>
  <c r="FP378" i="20"/>
  <c r="BW58" i="20"/>
  <c r="BX58" i="20" s="1"/>
  <c r="EQ58" i="20" s="1"/>
  <c r="BH358" i="20"/>
  <c r="BK358" i="20" s="1"/>
  <c r="CV358" i="20" s="1"/>
  <c r="BD154" i="20"/>
  <c r="BE154" i="20" s="1"/>
  <c r="BK154" i="20"/>
  <c r="DK175" i="20"/>
  <c r="FR175" i="20"/>
  <c r="BW78" i="20"/>
  <c r="BX78" i="20" s="1"/>
  <c r="EQ78" i="20" s="1"/>
  <c r="EW53" i="20"/>
  <c r="DE161" i="20"/>
  <c r="FR161" i="20"/>
  <c r="BR294" i="20"/>
  <c r="BR242" i="20"/>
  <c r="BR379" i="20"/>
  <c r="DC17" i="20"/>
  <c r="DY26" i="20"/>
  <c r="BW83" i="20"/>
  <c r="BX83" i="20" s="1"/>
  <c r="EQ83" i="20" s="1"/>
  <c r="DY494" i="20"/>
  <c r="DZ494" i="20" s="1"/>
  <c r="DY52" i="20"/>
  <c r="FP325" i="20"/>
  <c r="DJ325" i="20"/>
  <c r="DJ290" i="20"/>
  <c r="FP290" i="20"/>
  <c r="DD317" i="20"/>
  <c r="FP317" i="20"/>
  <c r="DD430" i="20"/>
  <c r="FP430" i="20"/>
  <c r="BW100" i="20"/>
  <c r="BX100" i="20" s="1"/>
  <c r="EQ100" i="20" s="1"/>
  <c r="BW99" i="20"/>
  <c r="BX99" i="20" s="1"/>
  <c r="EQ99" i="20" s="1"/>
  <c r="FR69" i="20"/>
  <c r="BW56" i="20"/>
  <c r="BX56" i="20" s="1"/>
  <c r="EQ56" i="20" s="1"/>
  <c r="BP430" i="20"/>
  <c r="BR430" i="20" s="1"/>
  <c r="CW14" i="20"/>
  <c r="CW15" i="20" s="1"/>
  <c r="DK91" i="20"/>
  <c r="DK9" i="20" s="1"/>
  <c r="BH248" i="20"/>
  <c r="BK248" i="20" s="1"/>
  <c r="CV248" i="20" s="1"/>
  <c r="BP273" i="20"/>
  <c r="BR273" i="20" s="1"/>
  <c r="DI1" i="20"/>
  <c r="DI2" i="20" s="1"/>
  <c r="FR376" i="20"/>
  <c r="DK376" i="20"/>
  <c r="CW3" i="20"/>
  <c r="DC14" i="20"/>
  <c r="DC15" i="20" s="1"/>
  <c r="DI13" i="20"/>
  <c r="BR385" i="20"/>
  <c r="DK284" i="20"/>
  <c r="BP317" i="20"/>
  <c r="BR317" i="20" s="1"/>
  <c r="BK436" i="20"/>
  <c r="CV436" i="20" s="1"/>
  <c r="BK449" i="20"/>
  <c r="CV449" i="20" s="1"/>
  <c r="BW102" i="20"/>
  <c r="BX102" i="20" s="1"/>
  <c r="EQ102" i="20" s="1"/>
  <c r="BP404" i="20"/>
  <c r="BR404" i="20" s="1"/>
  <c r="CW17" i="20"/>
  <c r="BR388" i="20"/>
  <c r="DY25" i="20"/>
  <c r="DY46" i="20"/>
  <c r="DY48" i="20"/>
  <c r="FR419" i="20"/>
  <c r="BW62" i="20"/>
  <c r="BX62" i="20" s="1"/>
  <c r="EQ62" i="20" s="1"/>
  <c r="DC13" i="20"/>
  <c r="BH270" i="20"/>
  <c r="BK270" i="20" s="1"/>
  <c r="CV270" i="20" s="1"/>
  <c r="DE392" i="20"/>
  <c r="FR392" i="20"/>
  <c r="BR174" i="20"/>
  <c r="DJ288" i="20"/>
  <c r="EO12" i="20"/>
  <c r="BW84" i="20"/>
  <c r="BX84" i="20" s="1"/>
  <c r="EQ84" i="20" s="1"/>
  <c r="FE503" i="20"/>
  <c r="FF503" i="20" s="1"/>
  <c r="DE388" i="20"/>
  <c r="FR388" i="20"/>
  <c r="BP290" i="20"/>
  <c r="BR290" i="20" s="1"/>
  <c r="DI16" i="20"/>
  <c r="BH350" i="20"/>
  <c r="BK350" i="20" s="1"/>
  <c r="CV350" i="20" s="1"/>
  <c r="DY29" i="20"/>
  <c r="FE487" i="20"/>
  <c r="FF487" i="20" s="1"/>
  <c r="BW76" i="20"/>
  <c r="BX76" i="20" s="1"/>
  <c r="EQ76" i="20" s="1"/>
  <c r="BW88" i="20"/>
  <c r="BX88" i="20" s="1"/>
  <c r="EQ88" i="20" s="1"/>
  <c r="FE154" i="20"/>
  <c r="FF154" i="20" s="1"/>
  <c r="EA154" i="20" s="1"/>
  <c r="DD387" i="20"/>
  <c r="FP387" i="20"/>
  <c r="DK368" i="20"/>
  <c r="FR368" i="20"/>
  <c r="DV473" i="20"/>
  <c r="EZ473" i="20"/>
  <c r="FE473" i="20" s="1"/>
  <c r="FF473" i="20" s="1"/>
  <c r="AF145" i="5"/>
  <c r="BI125" i="5"/>
  <c r="N105" i="5"/>
  <c r="DK21" i="5"/>
  <c r="BB391" i="5"/>
  <c r="BD391" i="5" s="1"/>
  <c r="BT162" i="5"/>
  <c r="BV162" i="5" s="1"/>
  <c r="CC162" i="5" s="1"/>
  <c r="N106" i="5"/>
  <c r="AD200" i="5"/>
  <c r="BV140" i="5"/>
  <c r="CC140" i="5" s="1"/>
  <c r="CE140" i="5" s="1"/>
  <c r="CJ140" i="5" s="1"/>
  <c r="BG108" i="5"/>
  <c r="AF120" i="5"/>
  <c r="AN199" i="5"/>
  <c r="DO199" i="5" s="1"/>
  <c r="AF119" i="5"/>
  <c r="AT368" i="5"/>
  <c r="BV113" i="5"/>
  <c r="CC113" i="5" s="1"/>
  <c r="CE113" i="5" s="1"/>
  <c r="CJ113" i="5" s="1"/>
  <c r="DK44" i="5"/>
  <c r="DK47" i="5"/>
  <c r="BI100" i="5"/>
  <c r="DK46" i="5"/>
  <c r="EQ483" i="5"/>
  <c r="BF132" i="5"/>
  <c r="BH132" i="5" s="1"/>
  <c r="AT293" i="5"/>
  <c r="FU175" i="5"/>
  <c r="CM175" i="5" s="1"/>
  <c r="AD212" i="5"/>
  <c r="AT445" i="5"/>
  <c r="BV191" i="5"/>
  <c r="CC191" i="5" s="1"/>
  <c r="FU171" i="5"/>
  <c r="CM171" i="5" s="1"/>
  <c r="DK39" i="5"/>
  <c r="BF140" i="5"/>
  <c r="BH140" i="5" s="1"/>
  <c r="CW448" i="5"/>
  <c r="EG166" i="5"/>
  <c r="EJ166" i="5" s="1"/>
  <c r="EK166" i="5" s="1"/>
  <c r="AS180" i="5"/>
  <c r="AS195" i="5"/>
  <c r="AS137" i="5"/>
  <c r="BD345" i="5"/>
  <c r="FU189" i="5"/>
  <c r="CM189" i="5" s="1"/>
  <c r="BG120" i="5"/>
  <c r="BI120" i="5" s="1"/>
  <c r="DK38" i="5"/>
  <c r="BV226" i="5"/>
  <c r="CC226" i="5" s="1"/>
  <c r="FU114" i="5"/>
  <c r="CM114" i="5" s="1"/>
  <c r="BD416" i="5"/>
  <c r="BV120" i="5"/>
  <c r="EQ481" i="5"/>
  <c r="ER481" i="5" s="1"/>
  <c r="AS167" i="5"/>
  <c r="EG164" i="5"/>
  <c r="EJ164" i="5" s="1"/>
  <c r="EK164" i="5" s="1"/>
  <c r="DK31" i="5"/>
  <c r="DK51" i="5"/>
  <c r="AS79" i="5"/>
  <c r="CQ400" i="5"/>
  <c r="BG114" i="5"/>
  <c r="DK52" i="5"/>
  <c r="BV111" i="5"/>
  <c r="CC111" i="5" s="1"/>
  <c r="CE111" i="5" s="1"/>
  <c r="BV188" i="5"/>
  <c r="CC188" i="5" s="1"/>
  <c r="FU178" i="5"/>
  <c r="CM178" i="5" s="1"/>
  <c r="BV135" i="5"/>
  <c r="CC135" i="5" s="1"/>
  <c r="CE135" i="5" s="1"/>
  <c r="CJ135" i="5" s="1"/>
  <c r="BV139" i="5"/>
  <c r="CC139" i="5" s="1"/>
  <c r="CE139" i="5" s="1"/>
  <c r="CJ139" i="5" s="1"/>
  <c r="AS62" i="5"/>
  <c r="AS91" i="5"/>
  <c r="BD271" i="5"/>
  <c r="DK25" i="5"/>
  <c r="BV224" i="5"/>
  <c r="CC224" i="5" s="1"/>
  <c r="BV241" i="5"/>
  <c r="CC241" i="5" s="1"/>
  <c r="FU181" i="5"/>
  <c r="CM181" i="5" s="1"/>
  <c r="BG121" i="5"/>
  <c r="BI121" i="5" s="1"/>
  <c r="AT436" i="5"/>
  <c r="DK50" i="5"/>
  <c r="BI108" i="5"/>
  <c r="BJ108" i="5" s="1"/>
  <c r="EC108" i="5" s="1"/>
  <c r="EB108" i="5" s="1"/>
  <c r="BF136" i="5"/>
  <c r="BH136" i="5" s="1"/>
  <c r="AS157" i="5"/>
  <c r="AS249" i="5"/>
  <c r="S239" i="5"/>
  <c r="BI142" i="5"/>
  <c r="BD362" i="5"/>
  <c r="FU193" i="5"/>
  <c r="CM193" i="5" s="1"/>
  <c r="BG144" i="5"/>
  <c r="BI144" i="5" s="1"/>
  <c r="BJ144" i="5" s="1"/>
  <c r="EC144" i="5" s="1"/>
  <c r="EB144" i="5" s="1"/>
  <c r="DK48" i="5"/>
  <c r="BV156" i="5"/>
  <c r="CC156" i="5" s="1"/>
  <c r="BV138" i="5"/>
  <c r="CC138" i="5" s="1"/>
  <c r="CE138" i="5" s="1"/>
  <c r="CJ138" i="5" s="1"/>
  <c r="CV281" i="5"/>
  <c r="BD314" i="5"/>
  <c r="AS181" i="5"/>
  <c r="AS89" i="5"/>
  <c r="FU176" i="5"/>
  <c r="CM176" i="5" s="1"/>
  <c r="CR176" i="5" s="1"/>
  <c r="AS165" i="5"/>
  <c r="EG163" i="5"/>
  <c r="EJ163" i="5" s="1"/>
  <c r="EK163" i="5" s="1"/>
  <c r="DK36" i="5"/>
  <c r="AS132" i="5"/>
  <c r="AN174" i="5"/>
  <c r="DO174" i="5" s="1"/>
  <c r="DK23" i="5"/>
  <c r="BD350" i="5"/>
  <c r="DK45" i="5"/>
  <c r="DI487" i="5"/>
  <c r="DJ487" i="5"/>
  <c r="BB398" i="5"/>
  <c r="BD398" i="5" s="1"/>
  <c r="BD294" i="5"/>
  <c r="BD426" i="5"/>
  <c r="FU194" i="5"/>
  <c r="CM194" i="5" s="1"/>
  <c r="BI143" i="5"/>
  <c r="BB432" i="5"/>
  <c r="BD432" i="5" s="1"/>
  <c r="AT419" i="5"/>
  <c r="AT443" i="5"/>
  <c r="BV129" i="5"/>
  <c r="CC129" i="5" s="1"/>
  <c r="CE129" i="5" s="1"/>
  <c r="CJ129" i="5" s="1"/>
  <c r="BI118" i="5"/>
  <c r="CQ264" i="5"/>
  <c r="BV182" i="5"/>
  <c r="CC182" i="5" s="1"/>
  <c r="BG111" i="5"/>
  <c r="BV132" i="5"/>
  <c r="CC132" i="5" s="1"/>
  <c r="CE132" i="5" s="1"/>
  <c r="CJ132" i="5" s="1"/>
  <c r="CQ132" i="5" s="1"/>
  <c r="AS158" i="5"/>
  <c r="AS183" i="5"/>
  <c r="BB183" i="5" s="1"/>
  <c r="AS185" i="5"/>
  <c r="AS177" i="5"/>
  <c r="BB177" i="5" s="1"/>
  <c r="AS182" i="5"/>
  <c r="AS69" i="5"/>
  <c r="AS129" i="5"/>
  <c r="AS146" i="5"/>
  <c r="AT146" i="5" s="1"/>
  <c r="AS77" i="5"/>
  <c r="AF108" i="5"/>
  <c r="BB429" i="5"/>
  <c r="BI131" i="5"/>
  <c r="AT387" i="5"/>
  <c r="BV123" i="5"/>
  <c r="CC123" i="5" s="1"/>
  <c r="CE123" i="5" s="1"/>
  <c r="CJ123" i="5" s="1"/>
  <c r="BV185" i="5"/>
  <c r="CC185" i="5" s="1"/>
  <c r="AT427" i="5"/>
  <c r="AW427" i="5" s="1"/>
  <c r="CH427" i="5" s="1"/>
  <c r="BD286" i="5"/>
  <c r="BI103" i="5"/>
  <c r="AS251" i="5"/>
  <c r="BB251" i="5" s="1"/>
  <c r="S179" i="5"/>
  <c r="BC179" i="5" s="1"/>
  <c r="EG174" i="5"/>
  <c r="EJ174" i="5" s="1"/>
  <c r="EK174" i="5" s="1"/>
  <c r="AS170" i="5"/>
  <c r="BD376" i="5"/>
  <c r="BI113" i="5"/>
  <c r="BJ113" i="5" s="1"/>
  <c r="EC113" i="5" s="1"/>
  <c r="EB113" i="5" s="1"/>
  <c r="FU116" i="5"/>
  <c r="CM116" i="5" s="1"/>
  <c r="BB354" i="5"/>
  <c r="BD354" i="5" s="1"/>
  <c r="BV243" i="5"/>
  <c r="CC243" i="5" s="1"/>
  <c r="AT431" i="5"/>
  <c r="AT266" i="5"/>
  <c r="DK28" i="5"/>
  <c r="BB321" i="5"/>
  <c r="BD321" i="5" s="1"/>
  <c r="AT438" i="5"/>
  <c r="AW438" i="5" s="1"/>
  <c r="CH438" i="5" s="1"/>
  <c r="AO158" i="5"/>
  <c r="BI146" i="5"/>
  <c r="AZ165" i="5"/>
  <c r="AN197" i="5"/>
  <c r="DO197" i="5" s="1"/>
  <c r="EG197" i="5" s="1"/>
  <c r="EJ197" i="5" s="1"/>
  <c r="EK197" i="5" s="1"/>
  <c r="AN172" i="5"/>
  <c r="DO172" i="5" s="1"/>
  <c r="EG172" i="5" s="1"/>
  <c r="EJ172" i="5" s="1"/>
  <c r="EK172" i="5" s="1"/>
  <c r="AS163" i="5"/>
  <c r="BB163" i="5" s="1"/>
  <c r="AS166" i="5"/>
  <c r="AS194" i="5"/>
  <c r="AF109" i="5"/>
  <c r="BI140" i="5"/>
  <c r="BV181" i="5"/>
  <c r="CC181" i="5" s="1"/>
  <c r="BB377" i="5"/>
  <c r="BI114" i="5"/>
  <c r="BV126" i="5"/>
  <c r="CC126" i="5" s="1"/>
  <c r="CE126" i="5" s="1"/>
  <c r="CJ126" i="5" s="1"/>
  <c r="FD126" i="5" s="1"/>
  <c r="FU173" i="5"/>
  <c r="CM173" i="5" s="1"/>
  <c r="DY106" i="5"/>
  <c r="BB366" i="5"/>
  <c r="AT402" i="5"/>
  <c r="BV119" i="5"/>
  <c r="BI101" i="5"/>
  <c r="EA13" i="5"/>
  <c r="AT415" i="5"/>
  <c r="AW415" i="5" s="1"/>
  <c r="CH415" i="5" s="1"/>
  <c r="BV189" i="5"/>
  <c r="CC189" i="5" s="1"/>
  <c r="CQ412" i="5"/>
  <c r="AF128" i="5"/>
  <c r="EG198" i="5"/>
  <c r="EJ198" i="5" s="1"/>
  <c r="EK198" i="5" s="1"/>
  <c r="S187" i="5"/>
  <c r="BC187" i="5" s="1"/>
  <c r="BU106" i="5"/>
  <c r="BF115" i="5"/>
  <c r="BH115" i="5" s="1"/>
  <c r="EA12" i="5"/>
  <c r="AT452" i="5"/>
  <c r="FU188" i="5"/>
  <c r="CM188" i="5" s="1"/>
  <c r="AS161" i="5"/>
  <c r="DK22" i="5"/>
  <c r="AD208" i="5"/>
  <c r="AS188" i="5"/>
  <c r="AS164" i="5"/>
  <c r="BB164" i="5" s="1"/>
  <c r="AS186" i="5"/>
  <c r="AS106" i="5"/>
  <c r="AT106" i="5" s="1"/>
  <c r="AW106" i="5" s="1"/>
  <c r="AF132" i="5"/>
  <c r="AF134" i="5"/>
  <c r="AN106" i="5"/>
  <c r="DO106" i="5" s="1"/>
  <c r="EG106" i="5" s="1"/>
  <c r="EJ106" i="5" s="1"/>
  <c r="EK106" i="5" s="1"/>
  <c r="BD447" i="5"/>
  <c r="BG124" i="5"/>
  <c r="BI124" i="5" s="1"/>
  <c r="BJ124" i="5" s="1"/>
  <c r="EC124" i="5" s="1"/>
  <c r="EB124" i="5" s="1"/>
  <c r="BF141" i="5"/>
  <c r="BH141" i="5" s="1"/>
  <c r="AT399" i="5"/>
  <c r="BB440" i="5"/>
  <c r="BD445" i="5"/>
  <c r="FU172" i="5"/>
  <c r="CM172" i="5" s="1"/>
  <c r="BG123" i="5"/>
  <c r="BI123" i="5" s="1"/>
  <c r="BJ123" i="5" s="1"/>
  <c r="EC123" i="5" s="1"/>
  <c r="EB123" i="5" s="1"/>
  <c r="FU185" i="5"/>
  <c r="CM185" i="5" s="1"/>
  <c r="FC185" i="5" s="1"/>
  <c r="BF126" i="5"/>
  <c r="BH126" i="5" s="1"/>
  <c r="BV143" i="5"/>
  <c r="AT395" i="5"/>
  <c r="BD301" i="5"/>
  <c r="BV237" i="5"/>
  <c r="CC237" i="5" s="1"/>
  <c r="BI136" i="5"/>
  <c r="FU187" i="5"/>
  <c r="CM187" i="5" s="1"/>
  <c r="CX187" i="5" s="1"/>
  <c r="BF128" i="5"/>
  <c r="BH128" i="5" s="1"/>
  <c r="BI95" i="5"/>
  <c r="BI102" i="5"/>
  <c r="AD210" i="5"/>
  <c r="AS156" i="5"/>
  <c r="EG199" i="5"/>
  <c r="EJ199" i="5" s="1"/>
  <c r="EK199" i="5" s="1"/>
  <c r="DK41" i="5"/>
  <c r="BD431" i="5"/>
  <c r="FU170" i="5"/>
  <c r="CM170" i="5" s="1"/>
  <c r="CX170" i="5" s="1"/>
  <c r="BI147" i="5"/>
  <c r="BV173" i="5"/>
  <c r="CC173" i="5" s="1"/>
  <c r="BI132" i="5"/>
  <c r="EQ21" i="5"/>
  <c r="BD278" i="5"/>
  <c r="FU186" i="5"/>
  <c r="CM186" i="5" s="1"/>
  <c r="EQ20" i="5"/>
  <c r="ER20" i="5" s="1"/>
  <c r="BB451" i="5"/>
  <c r="BD451" i="5" s="1"/>
  <c r="BV183" i="5"/>
  <c r="CC183" i="5" s="1"/>
  <c r="BF145" i="5"/>
  <c r="BH145" i="5" s="1"/>
  <c r="BI137" i="5"/>
  <c r="DK20" i="5"/>
  <c r="DV488" i="20"/>
  <c r="FA488" i="20"/>
  <c r="EZ488" i="20"/>
  <c r="BK104" i="20"/>
  <c r="CV104" i="20" s="1"/>
  <c r="BK448" i="20"/>
  <c r="CV448" i="20" s="1"/>
  <c r="BK207" i="20"/>
  <c r="CV207" i="20" s="1"/>
  <c r="BK254" i="20"/>
  <c r="CV254" i="20" s="1"/>
  <c r="BK194" i="20"/>
  <c r="CV194" i="20" s="1"/>
  <c r="FR101" i="20"/>
  <c r="DE101" i="20"/>
  <c r="FP103" i="20"/>
  <c r="DD103" i="20"/>
  <c r="BK273" i="20"/>
  <c r="CV273" i="20" s="1"/>
  <c r="BK256" i="20"/>
  <c r="CV256" i="20" s="1"/>
  <c r="DU125" i="20"/>
  <c r="DU120" i="20"/>
  <c r="BK341" i="20"/>
  <c r="CV341" i="20" s="1"/>
  <c r="BK404" i="20"/>
  <c r="CV404" i="20" s="1"/>
  <c r="CN3" i="20"/>
  <c r="DU138" i="20"/>
  <c r="DU114" i="20"/>
  <c r="BK99" i="20"/>
  <c r="CV99" i="20" s="1"/>
  <c r="DE300" i="20"/>
  <c r="FR300" i="20"/>
  <c r="FR243" i="20"/>
  <c r="DK243" i="20"/>
  <c r="DN424" i="20"/>
  <c r="FT424" i="20"/>
  <c r="FP68" i="20"/>
  <c r="DD68" i="20"/>
  <c r="EL409" i="20"/>
  <c r="CZ409" i="20" s="1"/>
  <c r="FP121" i="20"/>
  <c r="DJ121" i="20"/>
  <c r="DD450" i="20"/>
  <c r="FP450" i="20"/>
  <c r="FP80" i="20"/>
  <c r="DD80" i="20"/>
  <c r="EL277" i="20"/>
  <c r="CZ277" i="20" s="1"/>
  <c r="DD139" i="20"/>
  <c r="FP139" i="20"/>
  <c r="BK189" i="20"/>
  <c r="CV189" i="20" s="1"/>
  <c r="DV490" i="20"/>
  <c r="EZ490" i="20"/>
  <c r="FA490" i="20"/>
  <c r="DU376" i="20"/>
  <c r="DE230" i="20"/>
  <c r="FR230" i="20"/>
  <c r="CN1" i="20"/>
  <c r="DE309" i="20"/>
  <c r="FR309" i="20"/>
  <c r="DC103" i="20"/>
  <c r="FO103" i="20"/>
  <c r="EL264" i="20"/>
  <c r="CZ264" i="20" s="1"/>
  <c r="BK441" i="20"/>
  <c r="CV441" i="20" s="1"/>
  <c r="FT257" i="20"/>
  <c r="DN257" i="20"/>
  <c r="BK200" i="20"/>
  <c r="CV200" i="20" s="1"/>
  <c r="DN438" i="20"/>
  <c r="FT438" i="20"/>
  <c r="DV484" i="20"/>
  <c r="EZ484" i="20"/>
  <c r="FA484" i="20"/>
  <c r="BK399" i="20"/>
  <c r="CV399" i="20" s="1"/>
  <c r="FP334" i="20"/>
  <c r="DD334" i="20"/>
  <c r="DH177" i="20"/>
  <c r="FT177" i="20"/>
  <c r="DD343" i="20"/>
  <c r="FP343" i="20"/>
  <c r="FR439" i="20"/>
  <c r="DK439" i="20"/>
  <c r="EL296" i="20"/>
  <c r="CZ296" i="20" s="1"/>
  <c r="DK349" i="20"/>
  <c r="FR349" i="20"/>
  <c r="DU147" i="20"/>
  <c r="FO101" i="20"/>
  <c r="DC101" i="20"/>
  <c r="DU375" i="20"/>
  <c r="DU433" i="20"/>
  <c r="DJ260" i="20"/>
  <c r="FP260" i="20"/>
  <c r="FP190" i="20"/>
  <c r="DJ190" i="20"/>
  <c r="FT354" i="20"/>
  <c r="DN354" i="20"/>
  <c r="DH187" i="20"/>
  <c r="FT187" i="20"/>
  <c r="DU391" i="20"/>
  <c r="BW104" i="20"/>
  <c r="BX104" i="20" s="1"/>
  <c r="EQ104" i="20" s="1"/>
  <c r="FA21" i="20"/>
  <c r="EZ21" i="20"/>
  <c r="DH258" i="20"/>
  <c r="FT258" i="20"/>
  <c r="FT314" i="20"/>
  <c r="DH314" i="20"/>
  <c r="EL427" i="20"/>
  <c r="CZ427" i="20" s="1"/>
  <c r="FP114" i="20"/>
  <c r="DD114" i="20"/>
  <c r="EL406" i="20"/>
  <c r="CZ406" i="20" s="1"/>
  <c r="BK243" i="20"/>
  <c r="CV243" i="20" s="1"/>
  <c r="DU408" i="20"/>
  <c r="DU421" i="20"/>
  <c r="DH377" i="20"/>
  <c r="FT377" i="20"/>
  <c r="DN166" i="20"/>
  <c r="FT166" i="20"/>
  <c r="DU133" i="20"/>
  <c r="BP448" i="20"/>
  <c r="BR448" i="20" s="1"/>
  <c r="FP434" i="20"/>
  <c r="DJ434" i="20"/>
  <c r="DU364" i="20"/>
  <c r="BK357" i="20"/>
  <c r="CV357" i="20" s="1"/>
  <c r="FP412" i="20"/>
  <c r="DJ412" i="20"/>
  <c r="BK375" i="20"/>
  <c r="CV375" i="20" s="1"/>
  <c r="DK323" i="20"/>
  <c r="FR323" i="20"/>
  <c r="DE241" i="20"/>
  <c r="FR241" i="20"/>
  <c r="DE305" i="20"/>
  <c r="FR305" i="20"/>
  <c r="FP307" i="20"/>
  <c r="DD307" i="20"/>
  <c r="EB17" i="20"/>
  <c r="EB16" i="20" s="1"/>
  <c r="EB14" i="20" s="1"/>
  <c r="EB13" i="20" s="1"/>
  <c r="EL304" i="20"/>
  <c r="CZ304" i="20" s="1"/>
  <c r="BK102" i="20"/>
  <c r="CV102" i="20" s="1"/>
  <c r="DN418" i="20"/>
  <c r="FT418" i="20"/>
  <c r="BK255" i="20"/>
  <c r="CV255" i="20" s="1"/>
  <c r="DU73" i="20"/>
  <c r="BK318" i="20"/>
  <c r="CV318" i="20" s="1"/>
  <c r="DD195" i="20"/>
  <c r="FP195" i="20"/>
  <c r="EL343" i="20"/>
  <c r="CZ343" i="20" s="1"/>
  <c r="DH309" i="20"/>
  <c r="FT309" i="20"/>
  <c r="DU453" i="20"/>
  <c r="BR252" i="20"/>
  <c r="BR244" i="20"/>
  <c r="EL232" i="20"/>
  <c r="CZ232" i="20" s="1"/>
  <c r="DD289" i="20"/>
  <c r="FP289" i="20"/>
  <c r="FT335" i="20"/>
  <c r="DH335" i="20"/>
  <c r="FE483" i="20"/>
  <c r="FF483" i="20" s="1"/>
  <c r="FP272" i="20"/>
  <c r="DJ272" i="20"/>
  <c r="DU316" i="20"/>
  <c r="BG107" i="20"/>
  <c r="BH107" i="20" s="1"/>
  <c r="BK107" i="20" s="1"/>
  <c r="DH308" i="20"/>
  <c r="FT308" i="20"/>
  <c r="BH280" i="20"/>
  <c r="DJ144" i="20"/>
  <c r="FP144" i="20"/>
  <c r="FP97" i="20"/>
  <c r="DD97" i="20"/>
  <c r="EL195" i="20"/>
  <c r="CZ195" i="20" s="1"/>
  <c r="FP439" i="20"/>
  <c r="DJ439" i="20"/>
  <c r="DD385" i="20"/>
  <c r="FP385" i="20"/>
  <c r="FP66" i="20"/>
  <c r="DD66" i="20"/>
  <c r="EO13" i="20"/>
  <c r="FP242" i="20"/>
  <c r="DD242" i="20"/>
  <c r="FP143" i="20"/>
  <c r="DJ143" i="20"/>
  <c r="DU189" i="20"/>
  <c r="DK400" i="20"/>
  <c r="FR400" i="20"/>
  <c r="FR348" i="20"/>
  <c r="DK348" i="20"/>
  <c r="FT286" i="20"/>
  <c r="DN286" i="20"/>
  <c r="DU184" i="20"/>
  <c r="DE95" i="20"/>
  <c r="FR95" i="20"/>
  <c r="DN395" i="20"/>
  <c r="FT395" i="20"/>
  <c r="DU96" i="20"/>
  <c r="FT327" i="20"/>
  <c r="DN327" i="20"/>
  <c r="FT157" i="20"/>
  <c r="DH157" i="20"/>
  <c r="BK425" i="20"/>
  <c r="CV425" i="20" s="1"/>
  <c r="FR363" i="20"/>
  <c r="DE363" i="20"/>
  <c r="DD217" i="20"/>
  <c r="FP217" i="20"/>
  <c r="FT324" i="20"/>
  <c r="DN324" i="20"/>
  <c r="DK337" i="20"/>
  <c r="FR337" i="20"/>
  <c r="FP179" i="20"/>
  <c r="DJ179" i="20"/>
  <c r="DU284" i="20"/>
  <c r="DD379" i="20"/>
  <c r="FP379" i="20"/>
  <c r="FP146" i="20"/>
  <c r="DJ146" i="20"/>
  <c r="DU87" i="20"/>
  <c r="BK185" i="20"/>
  <c r="CV185" i="20" s="1"/>
  <c r="BK381" i="20"/>
  <c r="CV381" i="20" s="1"/>
  <c r="DE336" i="20"/>
  <c r="FR336" i="20"/>
  <c r="BK244" i="20"/>
  <c r="CV244" i="20" s="1"/>
  <c r="DU363" i="20"/>
  <c r="DU128" i="20"/>
  <c r="FR62" i="20"/>
  <c r="DE62" i="20"/>
  <c r="FP408" i="20"/>
  <c r="DJ408" i="20"/>
  <c r="DK270" i="20"/>
  <c r="FR270" i="20"/>
  <c r="EL329" i="20"/>
  <c r="CZ329" i="20" s="1"/>
  <c r="DJ180" i="20"/>
  <c r="FP180" i="20"/>
  <c r="DU194" i="20"/>
  <c r="BK293" i="20"/>
  <c r="CV293" i="20" s="1"/>
  <c r="DK322" i="20"/>
  <c r="FR322" i="20"/>
  <c r="DU196" i="20"/>
  <c r="EL402" i="20"/>
  <c r="CZ402" i="20" s="1"/>
  <c r="DU394" i="20"/>
  <c r="DE54" i="20"/>
  <c r="FR54" i="20"/>
  <c r="DJ362" i="20"/>
  <c r="FP362" i="20"/>
  <c r="DU337" i="20"/>
  <c r="DU192" i="20"/>
  <c r="BK426" i="20"/>
  <c r="CV426" i="20" s="1"/>
  <c r="FR265" i="20"/>
  <c r="DK265" i="20"/>
  <c r="EZ159" i="20"/>
  <c r="FA159" i="20"/>
  <c r="FT333" i="20"/>
  <c r="DN333" i="20"/>
  <c r="FR227" i="20"/>
  <c r="DK227" i="20"/>
  <c r="DD409" i="20"/>
  <c r="FP409" i="20"/>
  <c r="EL382" i="20"/>
  <c r="CZ382" i="20" s="1"/>
  <c r="DU144" i="20"/>
  <c r="DE102" i="20"/>
  <c r="FR102" i="20"/>
  <c r="DJ313" i="20"/>
  <c r="FP313" i="20"/>
  <c r="DH456" i="20"/>
  <c r="FT456" i="20"/>
  <c r="DJ340" i="20"/>
  <c r="FP340" i="20"/>
  <c r="DU252" i="20"/>
  <c r="FT292" i="20"/>
  <c r="DN292" i="20"/>
  <c r="DU339" i="20"/>
  <c r="DU326" i="20"/>
  <c r="FR429" i="20"/>
  <c r="DE429" i="20"/>
  <c r="DU366" i="20"/>
  <c r="FT169" i="20"/>
  <c r="DH169" i="20"/>
  <c r="BK279" i="20"/>
  <c r="CV279" i="20" s="1"/>
  <c r="EL230" i="20"/>
  <c r="CZ230" i="20" s="1"/>
  <c r="BK377" i="20"/>
  <c r="CV377" i="20" s="1"/>
  <c r="DC100" i="20"/>
  <c r="FO100" i="20"/>
  <c r="DD135" i="20"/>
  <c r="FP135" i="20"/>
  <c r="DJ212" i="20"/>
  <c r="FP212" i="20"/>
  <c r="FR198" i="20"/>
  <c r="DK198" i="20"/>
  <c r="BK263" i="20"/>
  <c r="CV263" i="20" s="1"/>
  <c r="DU340" i="20"/>
  <c r="DU60" i="20"/>
  <c r="DJ400" i="20"/>
  <c r="FP400" i="20"/>
  <c r="FP371" i="20"/>
  <c r="DJ371" i="20"/>
  <c r="FR99" i="20"/>
  <c r="DE99" i="20"/>
  <c r="DF104" i="20"/>
  <c r="FQ104" i="20"/>
  <c r="FR399" i="20"/>
  <c r="DE399" i="20"/>
  <c r="BK158" i="20"/>
  <c r="BD158" i="20"/>
  <c r="BE158" i="20" s="1"/>
  <c r="DU124" i="20"/>
  <c r="DU280" i="20"/>
  <c r="DD267" i="20"/>
  <c r="FP267" i="20"/>
  <c r="DU268" i="20"/>
  <c r="FT383" i="20"/>
  <c r="DH383" i="20"/>
  <c r="BK98" i="20"/>
  <c r="CV98" i="20" s="1"/>
  <c r="FP257" i="20"/>
  <c r="DJ257" i="20"/>
  <c r="DJ310" i="20"/>
  <c r="FP310" i="20"/>
  <c r="FP166" i="20"/>
  <c r="DJ166" i="20"/>
  <c r="EL385" i="20"/>
  <c r="CZ385" i="20" s="1"/>
  <c r="EL254" i="20"/>
  <c r="CZ254" i="20" s="1"/>
  <c r="FP147" i="20"/>
  <c r="DJ147" i="20"/>
  <c r="FP292" i="20"/>
  <c r="DJ292" i="20"/>
  <c r="FE472" i="20"/>
  <c r="FF472" i="20" s="1"/>
  <c r="FP172" i="20"/>
  <c r="DJ172" i="20"/>
  <c r="DV493" i="20"/>
  <c r="EZ493" i="20"/>
  <c r="FA493" i="20"/>
  <c r="DV495" i="20"/>
  <c r="FA495" i="20"/>
  <c r="EZ495" i="20"/>
  <c r="FT234" i="20"/>
  <c r="DN234" i="20"/>
  <c r="DE170" i="20"/>
  <c r="FR170" i="20"/>
  <c r="BP256" i="20"/>
  <c r="BR256" i="20" s="1"/>
  <c r="EL275" i="20"/>
  <c r="CZ275" i="20" s="1"/>
  <c r="DU83" i="20"/>
  <c r="FP432" i="20"/>
  <c r="DD432" i="20"/>
  <c r="FT419" i="20"/>
  <c r="DN419" i="20"/>
  <c r="DU273" i="20"/>
  <c r="DU80" i="20"/>
  <c r="EZ20" i="20"/>
  <c r="FA20" i="20"/>
  <c r="DU98" i="20"/>
  <c r="DJ191" i="20"/>
  <c r="FP191" i="20"/>
  <c r="DU207" i="20"/>
  <c r="DJ188" i="20"/>
  <c r="FP188" i="20"/>
  <c r="EL362" i="20"/>
  <c r="CZ362" i="20" s="1"/>
  <c r="DD87" i="20"/>
  <c r="FP87" i="20"/>
  <c r="CW4" i="20"/>
  <c r="BW54" i="20"/>
  <c r="BX54" i="20" s="1"/>
  <c r="EQ54" i="20" s="1"/>
  <c r="DU358" i="20"/>
  <c r="BH366" i="20"/>
  <c r="EL446" i="20"/>
  <c r="CZ446" i="20" s="1"/>
  <c r="DK327" i="20"/>
  <c r="FR327" i="20"/>
  <c r="DK293" i="20"/>
  <c r="FR293" i="20"/>
  <c r="BB111" i="20"/>
  <c r="EC111" i="20" s="1"/>
  <c r="AX112" i="20"/>
  <c r="DU58" i="20"/>
  <c r="BK96" i="20"/>
  <c r="CV96" i="20" s="1"/>
  <c r="DH217" i="20"/>
  <c r="FT217" i="20"/>
  <c r="BK442" i="20"/>
  <c r="CV442" i="20" s="1"/>
  <c r="DD330" i="20"/>
  <c r="FP330" i="20"/>
  <c r="DD101" i="20"/>
  <c r="FP101" i="20"/>
  <c r="FP74" i="20"/>
  <c r="DD74" i="20"/>
  <c r="DE304" i="20"/>
  <c r="FR304" i="20"/>
  <c r="DY45" i="20"/>
  <c r="DK292" i="20"/>
  <c r="FR292" i="20"/>
  <c r="DD308" i="20"/>
  <c r="FP308" i="20"/>
  <c r="DD305" i="20"/>
  <c r="FP305" i="20"/>
  <c r="BK175" i="20"/>
  <c r="CV175" i="20" s="1"/>
  <c r="DH241" i="20"/>
  <c r="FT241" i="20"/>
  <c r="DU330" i="20"/>
  <c r="DU91" i="20"/>
  <c r="DU208" i="20"/>
  <c r="DU248" i="20"/>
  <c r="DY37" i="20"/>
  <c r="DK251" i="20"/>
  <c r="FR251" i="20"/>
  <c r="DC16" i="20"/>
  <c r="DU279" i="20"/>
  <c r="DU393" i="20"/>
  <c r="DY30" i="20"/>
  <c r="BH322" i="20"/>
  <c r="FR189" i="20"/>
  <c r="DE189" i="20"/>
  <c r="FT175" i="20"/>
  <c r="DN175" i="20"/>
  <c r="DN272" i="20"/>
  <c r="FT272" i="20"/>
  <c r="DD266" i="20"/>
  <c r="FP266" i="20"/>
  <c r="DE387" i="20"/>
  <c r="FR387" i="20"/>
  <c r="DJ453" i="20"/>
  <c r="FP453" i="20"/>
  <c r="FR434" i="20"/>
  <c r="DK434" i="20"/>
  <c r="DU315" i="20"/>
  <c r="EL328" i="20"/>
  <c r="CZ328" i="20" s="1"/>
  <c r="FT437" i="20"/>
  <c r="DH437" i="20"/>
  <c r="FT347" i="20"/>
  <c r="DN347" i="20"/>
  <c r="DN167" i="20"/>
  <c r="FT167" i="20"/>
  <c r="EL442" i="20"/>
  <c r="CZ442" i="20" s="1"/>
  <c r="FT161" i="20"/>
  <c r="DH161" i="20"/>
  <c r="DU116" i="20"/>
  <c r="DU341" i="20"/>
  <c r="CW16" i="20"/>
  <c r="EL448" i="20"/>
  <c r="CZ448" i="20" s="1"/>
  <c r="FP298" i="20"/>
  <c r="DJ298" i="20"/>
  <c r="DU351" i="20"/>
  <c r="EL351" i="20" s="1"/>
  <c r="FP276" i="20"/>
  <c r="DJ276" i="20"/>
  <c r="DH259" i="20"/>
  <c r="FT259" i="20"/>
  <c r="DU431" i="20"/>
  <c r="DE76" i="20"/>
  <c r="FR76" i="20"/>
  <c r="BW96" i="20"/>
  <c r="BX96" i="20" s="1"/>
  <c r="EQ96" i="20" s="1"/>
  <c r="DX483" i="20"/>
  <c r="DW483" i="20"/>
  <c r="FP228" i="20"/>
  <c r="DD228" i="20"/>
  <c r="DJ295" i="20"/>
  <c r="FP295" i="20"/>
  <c r="EL255" i="20"/>
  <c r="CZ255" i="20" s="1"/>
  <c r="BP341" i="20"/>
  <c r="BR341" i="20" s="1"/>
  <c r="FT344" i="20"/>
  <c r="DN344" i="20"/>
  <c r="DY34" i="20"/>
  <c r="FP411" i="20"/>
  <c r="DD411" i="20"/>
  <c r="FP397" i="20"/>
  <c r="DD397" i="20"/>
  <c r="FP275" i="20"/>
  <c r="DJ275" i="20"/>
  <c r="FP372" i="20"/>
  <c r="DJ372" i="20"/>
  <c r="FE498" i="20"/>
  <c r="FF498" i="20" s="1"/>
  <c r="EL306" i="20"/>
  <c r="CZ306" i="20" s="1"/>
  <c r="FP331" i="20"/>
  <c r="DD331" i="20"/>
  <c r="EZ108" i="20"/>
  <c r="EL357" i="20"/>
  <c r="CZ357" i="20" s="1"/>
  <c r="DX487" i="20"/>
  <c r="DW487" i="20"/>
  <c r="DU410" i="20"/>
  <c r="FT269" i="20"/>
  <c r="DH269" i="20"/>
  <c r="DU435" i="20"/>
  <c r="DU123" i="20"/>
  <c r="DK360" i="20"/>
  <c r="FR360" i="20"/>
  <c r="DD81" i="20"/>
  <c r="FP81" i="20"/>
  <c r="FQ95" i="20"/>
  <c r="DF95" i="20"/>
  <c r="DA8" i="20"/>
  <c r="DA9" i="20"/>
  <c r="FT289" i="20"/>
  <c r="DH289" i="20"/>
  <c r="DV478" i="20"/>
  <c r="EZ478" i="20"/>
  <c r="FA478" i="20"/>
  <c r="FR210" i="20"/>
  <c r="DK210" i="20"/>
  <c r="DU295" i="20"/>
  <c r="DU282" i="20"/>
  <c r="CW6" i="20"/>
  <c r="CW7" i="20" s="1"/>
  <c r="FA160" i="20"/>
  <c r="EZ160" i="20"/>
  <c r="EL301" i="20"/>
  <c r="CZ301" i="20" s="1"/>
  <c r="DK453" i="20"/>
  <c r="FR453" i="20"/>
  <c r="DE103" i="20"/>
  <c r="FR103" i="20"/>
  <c r="DJ390" i="20"/>
  <c r="FP390" i="20"/>
  <c r="FT228" i="20"/>
  <c r="DH228" i="20"/>
  <c r="DD363" i="20"/>
  <c r="FP363" i="20"/>
  <c r="DH430" i="20"/>
  <c r="FT430" i="20"/>
  <c r="FT345" i="20"/>
  <c r="DN345" i="20"/>
  <c r="DU199" i="20"/>
  <c r="DU278" i="20"/>
  <c r="FR246" i="20"/>
  <c r="DK246" i="20"/>
  <c r="DD269" i="20"/>
  <c r="FP269" i="20"/>
  <c r="DN179" i="20"/>
  <c r="FT179" i="20"/>
  <c r="DE382" i="20"/>
  <c r="FR382" i="20"/>
  <c r="FP259" i="20"/>
  <c r="DD259" i="20"/>
  <c r="FP71" i="20"/>
  <c r="DD71" i="20"/>
  <c r="EL285" i="20"/>
  <c r="CZ285" i="20" s="1"/>
  <c r="DU439" i="20"/>
  <c r="DU270" i="20"/>
  <c r="DU360" i="20"/>
  <c r="DU307" i="20"/>
  <c r="EL180" i="20"/>
  <c r="CZ180" i="20" s="1"/>
  <c r="DU445" i="20"/>
  <c r="DU373" i="20"/>
  <c r="DN206" i="20"/>
  <c r="FT206" i="20"/>
  <c r="FT198" i="20"/>
  <c r="DN198" i="20"/>
  <c r="FP368" i="20"/>
  <c r="DJ368" i="20"/>
  <c r="DU271" i="20"/>
  <c r="DK264" i="20"/>
  <c r="FR264" i="20"/>
  <c r="FR435" i="20"/>
  <c r="DE435" i="20"/>
  <c r="DU256" i="20"/>
  <c r="FR328" i="20"/>
  <c r="DK328" i="20"/>
  <c r="DU401" i="20"/>
  <c r="BK429" i="20"/>
  <c r="CV429" i="20" s="1"/>
  <c r="FP133" i="20"/>
  <c r="DD133" i="20"/>
  <c r="DK454" i="20"/>
  <c r="FR454" i="20"/>
  <c r="DU355" i="20"/>
  <c r="DU251" i="20"/>
  <c r="DU135" i="20"/>
  <c r="FT305" i="20"/>
  <c r="DH305" i="20"/>
  <c r="FP140" i="20"/>
  <c r="DJ140" i="20"/>
  <c r="DU434" i="20"/>
  <c r="DI3" i="20"/>
  <c r="DU381" i="20"/>
  <c r="DE100" i="20"/>
  <c r="FR100" i="20"/>
  <c r="FT204" i="20"/>
  <c r="DH204" i="20"/>
  <c r="BP194" i="20"/>
  <c r="BR194" i="20" s="1"/>
  <c r="DH356" i="20"/>
  <c r="FT356" i="20"/>
  <c r="DN182" i="20"/>
  <c r="FT182" i="20"/>
  <c r="FP169" i="20"/>
  <c r="DD169" i="20"/>
  <c r="FR280" i="20"/>
  <c r="DE280" i="20"/>
  <c r="BK353" i="20"/>
  <c r="CV353" i="20" s="1"/>
  <c r="FQ120" i="20"/>
  <c r="DL120" i="20"/>
  <c r="DA13" i="20"/>
  <c r="DA10" i="20"/>
  <c r="DA11" i="20" s="1"/>
  <c r="DA12" i="20"/>
  <c r="FP77" i="20"/>
  <c r="DD77" i="20"/>
  <c r="FT422" i="20"/>
  <c r="DH422" i="20"/>
  <c r="FP113" i="20"/>
  <c r="DD113" i="20"/>
  <c r="CV12" i="20"/>
  <c r="CV13" i="20"/>
  <c r="CV10" i="20"/>
  <c r="CV11" i="20" s="1"/>
  <c r="EL320" i="20"/>
  <c r="CZ320" i="20" s="1"/>
  <c r="DX472" i="20"/>
  <c r="DW472" i="20"/>
  <c r="FR371" i="20"/>
  <c r="DK371" i="20"/>
  <c r="DJ142" i="20"/>
  <c r="FP142" i="20"/>
  <c r="DH384" i="20"/>
  <c r="FT384" i="20"/>
  <c r="DN172" i="20"/>
  <c r="FT172" i="20"/>
  <c r="DJ173" i="20"/>
  <c r="FP173" i="20"/>
  <c r="DU76" i="20"/>
  <c r="DU240" i="20"/>
  <c r="EL247" i="20"/>
  <c r="CZ247" i="20" s="1"/>
  <c r="DJ328" i="20"/>
  <c r="FP328" i="20"/>
  <c r="DJ324" i="20"/>
  <c r="FP324" i="20"/>
  <c r="FP153" i="20"/>
  <c r="DJ153" i="20"/>
  <c r="DD53" i="20"/>
  <c r="FP53" i="20"/>
  <c r="DD422" i="20"/>
  <c r="FP422" i="20"/>
  <c r="DD137" i="20"/>
  <c r="FP137" i="20"/>
  <c r="DJ321" i="20"/>
  <c r="FP321" i="20"/>
  <c r="DU412" i="20"/>
  <c r="DK295" i="20"/>
  <c r="FR295" i="20"/>
  <c r="FA24" i="20"/>
  <c r="EZ24" i="20"/>
  <c r="BK421" i="20"/>
  <c r="CV421" i="20" s="1"/>
  <c r="DU213" i="20"/>
  <c r="DU414" i="20"/>
  <c r="FP136" i="20"/>
  <c r="DD136" i="20"/>
  <c r="DU64" i="20"/>
  <c r="DU69" i="20"/>
  <c r="DU243" i="20"/>
  <c r="DD186" i="20"/>
  <c r="FP186" i="20"/>
  <c r="FT413" i="20"/>
  <c r="DH413" i="20"/>
  <c r="DH317" i="20"/>
  <c r="FT317" i="20"/>
  <c r="CN4" i="20"/>
  <c r="BU112" i="20"/>
  <c r="BT112" i="20"/>
  <c r="BV112" i="20" s="1"/>
  <c r="FC456" i="20"/>
  <c r="FD456" i="20" s="1"/>
  <c r="DH197" i="20"/>
  <c r="FT197" i="20"/>
  <c r="EL211" i="20"/>
  <c r="CZ211" i="20" s="1"/>
  <c r="BK447" i="20"/>
  <c r="CV447" i="20" s="1"/>
  <c r="DN405" i="20"/>
  <c r="FT405" i="20"/>
  <c r="DY40" i="20"/>
  <c r="DJ284" i="20"/>
  <c r="FP284" i="20"/>
  <c r="BK356" i="20"/>
  <c r="CV356" i="20" s="1"/>
  <c r="FP227" i="20"/>
  <c r="DJ227" i="20"/>
  <c r="AX26" i="20"/>
  <c r="BB25" i="20"/>
  <c r="EC25" i="20" s="1"/>
  <c r="EU25" i="20" s="1"/>
  <c r="EX25" i="20" s="1"/>
  <c r="EY25" i="20" s="1"/>
  <c r="AY25" i="20"/>
  <c r="FR414" i="20"/>
  <c r="DK414" i="20"/>
  <c r="BW64" i="20"/>
  <c r="BX64" i="20" s="1"/>
  <c r="EQ64" i="20" s="1"/>
  <c r="DN227" i="20"/>
  <c r="FT227" i="20"/>
  <c r="EL186" i="20"/>
  <c r="CZ186" i="20" s="1"/>
  <c r="DA4" i="20"/>
  <c r="FT313" i="20"/>
  <c r="DN313" i="20"/>
  <c r="FT276" i="20"/>
  <c r="DN276" i="20"/>
  <c r="DE287" i="20"/>
  <c r="FR287" i="20"/>
  <c r="DE451" i="20"/>
  <c r="FR451" i="20"/>
  <c r="DD86" i="20"/>
  <c r="FP86" i="20"/>
  <c r="DH176" i="20"/>
  <c r="FT176" i="20"/>
  <c r="BW69" i="20"/>
  <c r="BX69" i="20" s="1"/>
  <c r="EQ69" i="20" s="1"/>
  <c r="DN238" i="20"/>
  <c r="FT238" i="20"/>
  <c r="EL400" i="20"/>
  <c r="CZ400" i="20" s="1"/>
  <c r="FT183" i="20"/>
  <c r="DN183" i="20"/>
  <c r="EL200" i="20"/>
  <c r="CZ200" i="20" s="1"/>
  <c r="DN428" i="20"/>
  <c r="FT428" i="20"/>
  <c r="EL188" i="20"/>
  <c r="CZ188" i="20" s="1"/>
  <c r="EL367" i="20"/>
  <c r="CZ367" i="20" s="1"/>
  <c r="BW71" i="20"/>
  <c r="BX71" i="20" s="1"/>
  <c r="EQ71" i="20" s="1"/>
  <c r="DU332" i="20"/>
  <c r="DH415" i="20"/>
  <c r="FT415" i="20"/>
  <c r="EL321" i="20"/>
  <c r="CZ321" i="20" s="1"/>
  <c r="DN265" i="20"/>
  <c r="FT265" i="20"/>
  <c r="FR375" i="20"/>
  <c r="DK375" i="20"/>
  <c r="DE421" i="20"/>
  <c r="FR421" i="20"/>
  <c r="DE73" i="20"/>
  <c r="FR73" i="20"/>
  <c r="FT416" i="20"/>
  <c r="DN416" i="20"/>
  <c r="BR186" i="20"/>
  <c r="DH178" i="20"/>
  <c r="FT178" i="20"/>
  <c r="DK250" i="20"/>
  <c r="FR250" i="20"/>
  <c r="BK299" i="20"/>
  <c r="CV299" i="20" s="1"/>
  <c r="DU407" i="20"/>
  <c r="DU454" i="20"/>
  <c r="FT212" i="20"/>
  <c r="DN212" i="20"/>
  <c r="EL267" i="20"/>
  <c r="CZ267" i="20" s="1"/>
  <c r="BK360" i="20"/>
  <c r="CV360" i="20" s="1"/>
  <c r="DU131" i="20"/>
  <c r="FP123" i="20"/>
  <c r="DJ123" i="20"/>
  <c r="DL9" i="20"/>
  <c r="DL8" i="20"/>
  <c r="DL6" i="20"/>
  <c r="DL7" i="20" s="1"/>
  <c r="FA23" i="20"/>
  <c r="EZ23" i="20"/>
  <c r="DU191" i="20"/>
  <c r="DU281" i="20"/>
  <c r="FP124" i="20"/>
  <c r="DD124" i="20"/>
  <c r="EL399" i="20"/>
  <c r="CZ399" i="20" s="1"/>
  <c r="DD69" i="20"/>
  <c r="FP69" i="20"/>
  <c r="BC24" i="20"/>
  <c r="FR104" i="20"/>
  <c r="DE104" i="20"/>
  <c r="DH303" i="20"/>
  <c r="FT303" i="20"/>
  <c r="DN311" i="20"/>
  <c r="FT311" i="20"/>
  <c r="DJ240" i="20"/>
  <c r="FP240" i="20"/>
  <c r="FA297" i="20"/>
  <c r="EZ297" i="20"/>
  <c r="DJ238" i="20"/>
  <c r="FP238" i="20"/>
  <c r="DV477" i="20"/>
  <c r="FA477" i="20"/>
  <c r="EZ477" i="20"/>
  <c r="BK346" i="20"/>
  <c r="CV346" i="20" s="1"/>
  <c r="DU425" i="20"/>
  <c r="FP418" i="20"/>
  <c r="DJ418" i="20"/>
  <c r="DU104" i="20"/>
  <c r="DJ344" i="20"/>
  <c r="FP344" i="20"/>
  <c r="DH387" i="20"/>
  <c r="FT387" i="20"/>
  <c r="DN390" i="20"/>
  <c r="FT390" i="20"/>
  <c r="FP455" i="20"/>
  <c r="DD455" i="20"/>
  <c r="DD126" i="20"/>
  <c r="FP126" i="20"/>
  <c r="FP72" i="20"/>
  <c r="DD72" i="20"/>
  <c r="EL420" i="20"/>
  <c r="CZ420" i="20" s="1"/>
  <c r="EL426" i="20"/>
  <c r="CZ426" i="20" s="1"/>
  <c r="DI4" i="20"/>
  <c r="FP129" i="20"/>
  <c r="DD129" i="20"/>
  <c r="DD388" i="20"/>
  <c r="FP388" i="20"/>
  <c r="FP283" i="20"/>
  <c r="DD283" i="20"/>
  <c r="FP332" i="20"/>
  <c r="DJ332" i="20"/>
  <c r="FP83" i="20"/>
  <c r="DD83" i="20"/>
  <c r="DD62" i="20"/>
  <c r="FP62" i="20"/>
  <c r="DU441" i="20"/>
  <c r="FP445" i="20"/>
  <c r="DJ445" i="20"/>
  <c r="DD402" i="20"/>
  <c r="FP402" i="20"/>
  <c r="BR253" i="20"/>
  <c r="EL244" i="20"/>
  <c r="CZ244" i="20" s="1"/>
  <c r="DJ252" i="20"/>
  <c r="FP252" i="20"/>
  <c r="BR260" i="20"/>
  <c r="EL190" i="20"/>
  <c r="CZ190" i="20" s="1"/>
  <c r="DJ122" i="20"/>
  <c r="FP122" i="20"/>
  <c r="DE185" i="20"/>
  <c r="FR185" i="20"/>
  <c r="BK410" i="20"/>
  <c r="CV410" i="20" s="1"/>
  <c r="EL342" i="20"/>
  <c r="CZ342" i="20" s="1"/>
  <c r="EL423" i="20"/>
  <c r="CZ423" i="20" s="1"/>
  <c r="FP407" i="20"/>
  <c r="DD407" i="20"/>
  <c r="CW8" i="20"/>
  <c r="DU253" i="20"/>
  <c r="DI12" i="20"/>
  <c r="DF103" i="20"/>
  <c r="FQ103" i="20"/>
  <c r="DU334" i="20"/>
  <c r="EL378" i="20"/>
  <c r="CZ378" i="20" s="1"/>
  <c r="FP361" i="20"/>
  <c r="DD361" i="20"/>
  <c r="DD54" i="20"/>
  <c r="FP54" i="20"/>
  <c r="DW481" i="20"/>
  <c r="DX481" i="20"/>
  <c r="DH202" i="20"/>
  <c r="FT202" i="20"/>
  <c r="DJ424" i="20"/>
  <c r="FP424" i="20"/>
  <c r="DD351" i="20"/>
  <c r="FP351" i="20"/>
  <c r="FA22" i="20"/>
  <c r="EZ22" i="20"/>
  <c r="FR362" i="20"/>
  <c r="DK362" i="20"/>
  <c r="FP138" i="20"/>
  <c r="DD138" i="20"/>
  <c r="DH450" i="20"/>
  <c r="FT450" i="20"/>
  <c r="DY498" i="20"/>
  <c r="DZ498" i="20" s="1"/>
  <c r="BP207" i="20"/>
  <c r="BR207" i="20" s="1"/>
  <c r="FP386" i="20"/>
  <c r="DJ386" i="20"/>
  <c r="DH245" i="20"/>
  <c r="FT245" i="20"/>
  <c r="DU318" i="20"/>
  <c r="FR332" i="20"/>
  <c r="DK332" i="20"/>
  <c r="DU349" i="20"/>
  <c r="FR182" i="20"/>
  <c r="DK182" i="20"/>
  <c r="FP416" i="20"/>
  <c r="DJ416" i="20"/>
  <c r="BR307" i="20"/>
  <c r="DU451" i="20"/>
  <c r="BW80" i="20"/>
  <c r="BX80" i="20" s="1"/>
  <c r="EQ80" i="20" s="1"/>
  <c r="EL388" i="20"/>
  <c r="CZ388" i="20" s="1"/>
  <c r="DV475" i="20"/>
  <c r="EZ475" i="20"/>
  <c r="FA475" i="20"/>
  <c r="DU239" i="20"/>
  <c r="DE199" i="20"/>
  <c r="FR199" i="20"/>
  <c r="FR355" i="20"/>
  <c r="DK355" i="20"/>
  <c r="FB54" i="20"/>
  <c r="FC54" i="20" s="1"/>
  <c r="FD54" i="20" s="1"/>
  <c r="FG54" i="20"/>
  <c r="FH54" i="20" s="1"/>
  <c r="DU54" i="20"/>
  <c r="DU287" i="20"/>
  <c r="FT359" i="20"/>
  <c r="DN359" i="20"/>
  <c r="BK208" i="20"/>
  <c r="CV208" i="20" s="1"/>
  <c r="DU283" i="20"/>
  <c r="BK187" i="20"/>
  <c r="CV187" i="20" s="1"/>
  <c r="FP127" i="20"/>
  <c r="DD127" i="20"/>
  <c r="DU62" i="20"/>
  <c r="BK456" i="20"/>
  <c r="CV456" i="20" s="1"/>
  <c r="DE341" i="20"/>
  <c r="FR341" i="20"/>
  <c r="DE385" i="20"/>
  <c r="FR385" i="20"/>
  <c r="EL379" i="20"/>
  <c r="CZ379" i="20" s="1"/>
  <c r="FP116" i="20"/>
  <c r="DD116" i="20"/>
  <c r="FP291" i="20"/>
  <c r="DD291" i="20"/>
  <c r="FR272" i="20"/>
  <c r="DK272" i="20"/>
  <c r="DH174" i="20"/>
  <c r="FT174" i="20"/>
  <c r="BK446" i="20"/>
  <c r="CV446" i="20" s="1"/>
  <c r="AY111" i="20"/>
  <c r="DE426" i="20"/>
  <c r="FR426" i="20"/>
  <c r="FR276" i="20"/>
  <c r="DK276" i="20"/>
  <c r="FP250" i="20"/>
  <c r="DJ250" i="20"/>
  <c r="DU331" i="20"/>
  <c r="DJ395" i="20"/>
  <c r="FP395" i="20"/>
  <c r="BP254" i="20"/>
  <c r="BR254" i="20" s="1"/>
  <c r="FP262" i="20"/>
  <c r="DD262" i="20"/>
  <c r="BW73" i="20"/>
  <c r="BX73" i="20" s="1"/>
  <c r="EQ73" i="20" s="1"/>
  <c r="DX491" i="20"/>
  <c r="DW491" i="20"/>
  <c r="DU71" i="20"/>
  <c r="FP348" i="20"/>
  <c r="DJ348" i="20"/>
  <c r="FP115" i="20"/>
  <c r="DD115" i="20"/>
  <c r="DC10" i="20"/>
  <c r="DC11" i="20" s="1"/>
  <c r="DU374" i="20"/>
  <c r="FQ97" i="20"/>
  <c r="DF97" i="20"/>
  <c r="FT274" i="20"/>
  <c r="DN274" i="20"/>
  <c r="FA158" i="20"/>
  <c r="EZ158" i="20"/>
  <c r="DU84" i="20"/>
  <c r="DD277" i="20"/>
  <c r="FP277" i="20"/>
  <c r="EL263" i="20"/>
  <c r="CZ263" i="20" s="1"/>
  <c r="DW479" i="20"/>
  <c r="DX479" i="20"/>
  <c r="DD79" i="20"/>
  <c r="FP79" i="20"/>
  <c r="FP438" i="20"/>
  <c r="DJ438" i="20"/>
  <c r="DD230" i="20"/>
  <c r="FP230" i="20"/>
  <c r="DW480" i="20"/>
  <c r="DX480" i="20"/>
  <c r="DD389" i="20"/>
  <c r="FP389" i="20"/>
  <c r="FP182" i="20"/>
  <c r="DJ182" i="20"/>
  <c r="FP88" i="20"/>
  <c r="DD88" i="20"/>
  <c r="FP268" i="20"/>
  <c r="DD268" i="20"/>
  <c r="DV474" i="20"/>
  <c r="FA474" i="20"/>
  <c r="EZ474" i="20"/>
  <c r="DK244" i="20"/>
  <c r="FR244" i="20"/>
  <c r="DJ211" i="20"/>
  <c r="FP211" i="20"/>
  <c r="BK323" i="20"/>
  <c r="CV323" i="20" s="1"/>
  <c r="DU371" i="20"/>
  <c r="DJ119" i="20"/>
  <c r="FP119" i="20"/>
  <c r="FP274" i="20"/>
  <c r="DJ274" i="20"/>
  <c r="FP152" i="20"/>
  <c r="DJ152" i="20"/>
  <c r="FO95" i="20"/>
  <c r="DC95" i="20"/>
  <c r="CU4" i="20"/>
  <c r="CU6" i="20"/>
  <c r="CU7" i="20" s="1"/>
  <c r="CL3" i="20"/>
  <c r="CL1" i="20"/>
  <c r="CU1" i="20"/>
  <c r="CU9" i="20"/>
  <c r="CU3" i="20"/>
  <c r="CU8" i="20"/>
  <c r="CL4" i="20"/>
  <c r="FT346" i="20"/>
  <c r="DN346" i="20"/>
  <c r="BK420" i="20"/>
  <c r="CV420" i="20" s="1"/>
  <c r="DD392" i="20"/>
  <c r="FP392" i="20"/>
  <c r="DD61" i="20"/>
  <c r="FP61" i="20"/>
  <c r="FR447" i="20"/>
  <c r="DE447" i="20"/>
  <c r="EL336" i="20"/>
  <c r="CZ336" i="20" s="1"/>
  <c r="DU404" i="20"/>
  <c r="DU348" i="20"/>
  <c r="DU429" i="20"/>
  <c r="FR266" i="20"/>
  <c r="DE266" i="20"/>
  <c r="DU449" i="20"/>
  <c r="CW1" i="20"/>
  <c r="CW9" i="20"/>
  <c r="DI10" i="20"/>
  <c r="DI11" i="20" s="1"/>
  <c r="BG112" i="20"/>
  <c r="BH112" i="20" s="1"/>
  <c r="BK112" i="20" s="1"/>
  <c r="FR184" i="20"/>
  <c r="DK184" i="20"/>
  <c r="FT392" i="20"/>
  <c r="DH392" i="20"/>
  <c r="DA6" i="20"/>
  <c r="DA7" i="20" s="1"/>
  <c r="DW502" i="20"/>
  <c r="DX502" i="20"/>
  <c r="DV476" i="20"/>
  <c r="EZ476" i="20"/>
  <c r="FA476" i="20"/>
  <c r="DD84" i="20"/>
  <c r="FP84" i="20"/>
  <c r="DU266" i="20"/>
  <c r="BK369" i="20"/>
  <c r="CV369" i="20" s="1"/>
  <c r="DJ206" i="20"/>
  <c r="FP206" i="20"/>
  <c r="FP141" i="20"/>
  <c r="DJ141" i="20"/>
  <c r="EL310" i="20"/>
  <c r="CZ310" i="20" s="1"/>
  <c r="FT299" i="20"/>
  <c r="DH299" i="20"/>
  <c r="DU100" i="20"/>
  <c r="FR405" i="20"/>
  <c r="DK405" i="20"/>
  <c r="FP134" i="20"/>
  <c r="DD134" i="20"/>
  <c r="BK374" i="20"/>
  <c r="CV374" i="20" s="1"/>
  <c r="DJ91" i="20"/>
  <c r="FP91" i="20"/>
  <c r="FP120" i="20"/>
  <c r="DJ120" i="20"/>
  <c r="EL209" i="20"/>
  <c r="CZ209" i="20" s="1"/>
  <c r="DU322" i="20"/>
  <c r="DE207" i="20"/>
  <c r="FR207" i="20"/>
  <c r="BK427" i="20"/>
  <c r="CV427" i="20" s="1"/>
  <c r="DD241" i="20"/>
  <c r="FP241" i="20"/>
  <c r="BK168" i="20"/>
  <c r="CV168" i="20" s="1"/>
  <c r="BK100" i="20"/>
  <c r="CV100" i="20" s="1"/>
  <c r="DE303" i="20"/>
  <c r="FR303" i="20"/>
  <c r="DI17" i="20"/>
  <c r="DK194" i="20"/>
  <c r="FR194" i="20"/>
  <c r="DU288" i="20"/>
  <c r="BH306" i="20"/>
  <c r="DD239" i="20"/>
  <c r="FP239" i="20"/>
  <c r="FR211" i="20"/>
  <c r="DK211" i="20"/>
  <c r="DN417" i="20"/>
  <c r="FT417" i="20"/>
  <c r="FT290" i="20"/>
  <c r="DN290" i="20"/>
  <c r="DE248" i="20"/>
  <c r="FR248" i="20"/>
  <c r="EL411" i="20"/>
  <c r="CZ411" i="20" s="1"/>
  <c r="DD370" i="20"/>
  <c r="FP370" i="20"/>
  <c r="FT181" i="20"/>
  <c r="DN181" i="20"/>
  <c r="DH389" i="20"/>
  <c r="FT389" i="20"/>
  <c r="DJ444" i="20"/>
  <c r="FP444" i="20"/>
  <c r="DU350" i="20"/>
  <c r="FP75" i="20"/>
  <c r="DD75" i="20"/>
  <c r="DW486" i="20"/>
  <c r="DX486" i="20"/>
  <c r="FT398" i="20"/>
  <c r="DN398" i="20"/>
  <c r="DN368" i="20"/>
  <c r="FT368" i="20"/>
  <c r="BK261" i="20"/>
  <c r="CV261" i="20" s="1"/>
  <c r="FR262" i="20"/>
  <c r="DE262" i="20"/>
  <c r="FP92" i="20"/>
  <c r="DJ92" i="20"/>
  <c r="BK177" i="20"/>
  <c r="CV177" i="20" s="1"/>
  <c r="DU293" i="20"/>
  <c r="DK401" i="20"/>
  <c r="FR401" i="20"/>
  <c r="DA1" i="20"/>
  <c r="DA2" i="20" s="1"/>
  <c r="DU323" i="20"/>
  <c r="DU447" i="20"/>
  <c r="DV499" i="20"/>
  <c r="FA499" i="20"/>
  <c r="EZ499" i="20"/>
  <c r="DU325" i="20"/>
  <c r="BT107" i="20"/>
  <c r="BV107" i="20" s="1"/>
  <c r="BU107" i="20"/>
  <c r="DU262" i="20"/>
  <c r="FP174" i="20"/>
  <c r="DD174" i="20"/>
  <c r="BH355" i="20"/>
  <c r="DU372" i="20"/>
  <c r="DU261" i="20"/>
  <c r="DJ347" i="20"/>
  <c r="FP347" i="20"/>
  <c r="DU397" i="20"/>
  <c r="DJ183" i="20"/>
  <c r="FP183" i="20"/>
  <c r="FE486" i="20"/>
  <c r="FF486" i="20" s="1"/>
  <c r="DC12" i="20"/>
  <c r="EL443" i="20"/>
  <c r="CZ443" i="20" s="1"/>
  <c r="EL250" i="20"/>
  <c r="CZ250" i="20" s="1"/>
  <c r="DD89" i="20"/>
  <c r="FP89" i="20"/>
  <c r="DD373" i="20"/>
  <c r="FP373" i="20"/>
  <c r="FP196" i="20"/>
  <c r="DD196" i="20"/>
  <c r="FP419" i="20"/>
  <c r="DJ419" i="20"/>
  <c r="DD65" i="20"/>
  <c r="FP65" i="20"/>
  <c r="DU185" i="20"/>
  <c r="BK401" i="20"/>
  <c r="CV401" i="20" s="1"/>
  <c r="DD336" i="20"/>
  <c r="FP336" i="20"/>
  <c r="EL231" i="20"/>
  <c r="CZ231" i="20" s="1"/>
  <c r="DJ209" i="20"/>
  <c r="FP209" i="20"/>
  <c r="DD245" i="20"/>
  <c r="FP245" i="20"/>
  <c r="DJ333" i="20"/>
  <c r="FP333" i="20"/>
  <c r="DD452" i="20"/>
  <c r="FP452" i="20"/>
  <c r="FP435" i="20"/>
  <c r="DD435" i="20"/>
  <c r="DD384" i="20"/>
  <c r="FP384" i="20"/>
  <c r="FP95" i="20"/>
  <c r="DD95" i="20"/>
  <c r="DD365" i="20"/>
  <c r="FP365" i="20"/>
  <c r="EL386" i="20"/>
  <c r="CZ386" i="20" s="1"/>
  <c r="DK372" i="20"/>
  <c r="FR372" i="20"/>
  <c r="DD315" i="20"/>
  <c r="FP315" i="20"/>
  <c r="BK199" i="20"/>
  <c r="CV199" i="20" s="1"/>
  <c r="DV489" i="20"/>
  <c r="EZ489" i="20"/>
  <c r="FA489" i="20"/>
  <c r="DJ210" i="20"/>
  <c r="FP210" i="20"/>
  <c r="DU210" i="20"/>
  <c r="DV485" i="20"/>
  <c r="EZ485" i="20"/>
  <c r="FA485" i="20"/>
  <c r="EL236" i="20"/>
  <c r="EL300" i="20"/>
  <c r="CZ300" i="20" s="1"/>
  <c r="DU319" i="20"/>
  <c r="DK321" i="20"/>
  <c r="FR321" i="20"/>
  <c r="FQ101" i="20"/>
  <c r="DF101" i="20"/>
  <c r="DK433" i="20"/>
  <c r="FR433" i="20"/>
  <c r="FR374" i="20"/>
  <c r="DK374" i="20"/>
  <c r="DJ414" i="20"/>
  <c r="FP414" i="20"/>
  <c r="FT215" i="20"/>
  <c r="DH215" i="20"/>
  <c r="DU291" i="20"/>
  <c r="DE391" i="20"/>
  <c r="FR391" i="20"/>
  <c r="FP349" i="20"/>
  <c r="DJ349" i="20"/>
  <c r="DD431" i="20"/>
  <c r="FP431" i="20"/>
  <c r="BK327" i="20"/>
  <c r="CV327" i="20" s="1"/>
  <c r="FT440" i="20"/>
  <c r="DN440" i="20"/>
  <c r="DK279" i="20"/>
  <c r="FR279" i="20"/>
  <c r="DJ337" i="20"/>
  <c r="FP337" i="20"/>
  <c r="BR275" i="20"/>
  <c r="FP287" i="20"/>
  <c r="DD287" i="20"/>
  <c r="DU129" i="20"/>
  <c r="DN168" i="20"/>
  <c r="FT168" i="20"/>
  <c r="DU294" i="20"/>
  <c r="DD213" i="20"/>
  <c r="FP213" i="20"/>
  <c r="BK352" i="20"/>
  <c r="CV352" i="20" s="1"/>
  <c r="DU361" i="20"/>
  <c r="DU352" i="20"/>
  <c r="DE343" i="20"/>
  <c r="FR343" i="20"/>
  <c r="DU353" i="20"/>
  <c r="EL432" i="20"/>
  <c r="CZ432" i="20" s="1"/>
  <c r="FT338" i="20"/>
  <c r="DN338" i="20"/>
  <c r="DK350" i="20"/>
  <c r="FR350" i="20"/>
  <c r="EL312" i="20"/>
  <c r="CZ312" i="20" s="1"/>
  <c r="FR318" i="20"/>
  <c r="DK318" i="20"/>
  <c r="FT297" i="20"/>
  <c r="DH297" i="20"/>
  <c r="DU260" i="20"/>
  <c r="EL455" i="20"/>
  <c r="CZ455" i="20" s="1"/>
  <c r="DX455" i="20"/>
  <c r="DW455" i="20"/>
  <c r="BK314" i="20"/>
  <c r="CV314" i="20" s="1"/>
  <c r="DE312" i="20"/>
  <c r="FR312" i="20"/>
  <c r="FQ100" i="20"/>
  <c r="DF100" i="20"/>
  <c r="DE242" i="20"/>
  <c r="FR242" i="20"/>
  <c r="DY33" i="20"/>
  <c r="DU403" i="20"/>
  <c r="DK325" i="20"/>
  <c r="FR325" i="20"/>
  <c r="EL369" i="20"/>
  <c r="CZ369" i="20" s="1"/>
  <c r="FP57" i="20"/>
  <c r="DD57" i="20"/>
  <c r="DH302" i="20"/>
  <c r="FT302" i="20"/>
  <c r="FP131" i="20"/>
  <c r="DD131" i="20"/>
  <c r="BR399" i="20"/>
  <c r="EL370" i="20"/>
  <c r="CZ370" i="20" s="1"/>
  <c r="FP354" i="20"/>
  <c r="DJ354" i="20"/>
  <c r="FO104" i="20"/>
  <c r="DC104" i="20"/>
  <c r="FP59" i="20"/>
  <c r="DD59" i="20"/>
  <c r="DE301" i="20"/>
  <c r="FR301" i="20"/>
  <c r="DU88" i="20"/>
  <c r="DW501" i="20"/>
  <c r="DX501" i="20"/>
  <c r="DN444" i="20"/>
  <c r="FT444" i="20"/>
  <c r="DK440" i="20"/>
  <c r="FR440" i="20"/>
  <c r="FA380" i="20"/>
  <c r="EZ380" i="20"/>
  <c r="FT365" i="20"/>
  <c r="DH365" i="20"/>
  <c r="FT298" i="20"/>
  <c r="DN298" i="20"/>
  <c r="DE197" i="20"/>
  <c r="FR197" i="20"/>
  <c r="DJ359" i="20"/>
  <c r="FP359" i="20"/>
  <c r="EL223" i="20"/>
  <c r="EL218" i="20"/>
  <c r="BK215" i="20"/>
  <c r="CV215" i="20" s="1"/>
  <c r="FO97" i="20"/>
  <c r="DC97" i="20"/>
  <c r="EL246" i="20"/>
  <c r="CZ246" i="20" s="1"/>
  <c r="DJ234" i="20"/>
  <c r="FP234" i="20"/>
  <c r="DJ393" i="20"/>
  <c r="FP393" i="20"/>
  <c r="DA3" i="20"/>
  <c r="DD70" i="20"/>
  <c r="FP70" i="20"/>
  <c r="DJ405" i="20"/>
  <c r="FP405" i="20"/>
  <c r="FP60" i="20"/>
  <c r="DD60" i="20"/>
  <c r="DD94" i="20"/>
  <c r="FP94" i="20"/>
  <c r="DJ251" i="20"/>
  <c r="FP251" i="20"/>
  <c r="FP294" i="20"/>
  <c r="DJ294" i="20"/>
  <c r="FP55" i="20"/>
  <c r="DD55" i="20"/>
  <c r="AW377" i="5"/>
  <c r="CH377" i="5" s="1"/>
  <c r="CR174" i="5"/>
  <c r="FC174" i="5"/>
  <c r="FC180" i="5"/>
  <c r="CR180" i="5"/>
  <c r="FC175" i="5"/>
  <c r="CR175" i="5"/>
  <c r="FA251" i="5"/>
  <c r="CU251" i="5"/>
  <c r="AW366" i="5"/>
  <c r="CH366" i="5" s="1"/>
  <c r="FC239" i="5"/>
  <c r="CR239" i="5"/>
  <c r="CR172" i="5"/>
  <c r="FC172" i="5"/>
  <c r="CR134" i="5"/>
  <c r="FC134" i="5"/>
  <c r="FC244" i="5"/>
  <c r="CR244" i="5"/>
  <c r="DG186" i="5"/>
  <c r="FC130" i="5"/>
  <c r="CR130" i="5"/>
  <c r="DG188" i="5"/>
  <c r="EL23" i="5"/>
  <c r="EM23" i="5"/>
  <c r="CR231" i="5"/>
  <c r="FC231" i="5"/>
  <c r="CR247" i="5"/>
  <c r="FC247" i="5"/>
  <c r="FC178" i="5"/>
  <c r="CX178" i="5"/>
  <c r="CR124" i="5"/>
  <c r="FC124" i="5"/>
  <c r="AW313" i="5"/>
  <c r="CH313" i="5" s="1"/>
  <c r="FA250" i="5"/>
  <c r="CU250" i="5"/>
  <c r="FC224" i="5"/>
  <c r="CR224" i="5"/>
  <c r="CR241" i="5"/>
  <c r="FC241" i="5"/>
  <c r="DG191" i="5"/>
  <c r="FC240" i="5"/>
  <c r="CX240" i="5"/>
  <c r="AW98" i="5"/>
  <c r="CH98" i="5" s="1"/>
  <c r="DG192" i="5"/>
  <c r="CR235" i="5"/>
  <c r="FC235" i="5"/>
  <c r="AW321" i="5"/>
  <c r="CH321" i="5" s="1"/>
  <c r="DG187" i="5"/>
  <c r="FC186" i="5"/>
  <c r="CR186" i="5"/>
  <c r="CR114" i="5"/>
  <c r="FC114" i="5"/>
  <c r="EM217" i="5"/>
  <c r="EL217" i="5"/>
  <c r="FC119" i="5"/>
  <c r="CX119" i="5"/>
  <c r="AW95" i="5"/>
  <c r="CH95" i="5" s="1"/>
  <c r="CX191" i="5"/>
  <c r="FC191" i="5"/>
  <c r="CX181" i="5"/>
  <c r="FC181" i="5"/>
  <c r="CX140" i="5"/>
  <c r="FC140" i="5"/>
  <c r="CX123" i="5"/>
  <c r="FC123" i="5"/>
  <c r="FC192" i="5"/>
  <c r="CX192" i="5"/>
  <c r="DG173" i="5"/>
  <c r="CR133" i="5"/>
  <c r="FC133" i="5"/>
  <c r="AW424" i="5"/>
  <c r="CH424" i="5" s="1"/>
  <c r="EM174" i="5"/>
  <c r="DG174" i="5"/>
  <c r="EL174" i="5"/>
  <c r="FC182" i="5"/>
  <c r="CX182" i="5"/>
  <c r="FC194" i="5"/>
  <c r="CR194" i="5"/>
  <c r="AW101" i="5"/>
  <c r="CH101" i="5" s="1"/>
  <c r="AW451" i="5"/>
  <c r="CH451" i="5" s="1"/>
  <c r="CR193" i="5"/>
  <c r="FC193" i="5"/>
  <c r="DG172" i="5"/>
  <c r="FC184" i="5"/>
  <c r="CX184" i="5"/>
  <c r="CX177" i="5"/>
  <c r="FC177" i="5"/>
  <c r="FC225" i="5"/>
  <c r="CR225" i="5"/>
  <c r="AW354" i="5"/>
  <c r="CH354" i="5" s="1"/>
  <c r="FC236" i="5"/>
  <c r="CR236" i="5"/>
  <c r="DG194" i="5"/>
  <c r="AW432" i="5"/>
  <c r="CH432" i="5" s="1"/>
  <c r="AW104" i="5"/>
  <c r="CH104" i="5" s="1"/>
  <c r="CR238" i="5"/>
  <c r="FC238" i="5"/>
  <c r="CR127" i="5"/>
  <c r="FC127" i="5"/>
  <c r="AW401" i="5"/>
  <c r="CH401" i="5" s="1"/>
  <c r="DG179" i="5"/>
  <c r="CR116" i="5"/>
  <c r="FC116" i="5"/>
  <c r="AW440" i="5"/>
  <c r="CH440" i="5" s="1"/>
  <c r="DG185" i="5"/>
  <c r="CR195" i="5"/>
  <c r="FC195" i="5"/>
  <c r="AW414" i="5"/>
  <c r="CH414" i="5" s="1"/>
  <c r="DG169" i="5"/>
  <c r="FA248" i="5"/>
  <c r="CU248" i="5"/>
  <c r="FC228" i="5"/>
  <c r="CR228" i="5"/>
  <c r="AW103" i="5"/>
  <c r="CH103" i="5" s="1"/>
  <c r="CR227" i="5"/>
  <c r="FC227" i="5"/>
  <c r="FC171" i="5"/>
  <c r="CR171" i="5"/>
  <c r="DG193" i="5"/>
  <c r="FC229" i="5"/>
  <c r="CX229" i="5"/>
  <c r="AW383" i="5"/>
  <c r="CH383" i="5" s="1"/>
  <c r="FC190" i="5"/>
  <c r="CX190" i="5"/>
  <c r="FC248" i="5"/>
  <c r="CX248" i="5"/>
  <c r="CR189" i="5"/>
  <c r="FC189" i="5"/>
  <c r="CR117" i="5"/>
  <c r="FC117" i="5"/>
  <c r="FC242" i="5"/>
  <c r="CR242" i="5"/>
  <c r="DG184" i="5"/>
  <c r="CR179" i="5"/>
  <c r="FC179" i="5"/>
  <c r="CR183" i="5"/>
  <c r="FC183" i="5"/>
  <c r="AW309" i="5"/>
  <c r="CH309" i="5" s="1"/>
  <c r="AW404" i="5"/>
  <c r="CH404" i="5" s="1"/>
  <c r="CR243" i="5"/>
  <c r="FC243" i="5"/>
  <c r="FC173" i="5"/>
  <c r="CX173" i="5"/>
  <c r="FC135" i="5"/>
  <c r="CR135" i="5"/>
  <c r="DG190" i="5"/>
  <c r="DG195" i="5"/>
  <c r="DG180" i="5"/>
  <c r="FA192" i="5"/>
  <c r="CU192" i="5"/>
  <c r="DG181" i="5"/>
  <c r="AW267" i="5"/>
  <c r="CH267" i="5" s="1"/>
  <c r="FC169" i="5"/>
  <c r="CR169" i="5"/>
  <c r="CR126" i="5"/>
  <c r="FC126" i="5"/>
  <c r="AW439" i="5"/>
  <c r="CH439" i="5" s="1"/>
  <c r="DG177" i="5"/>
  <c r="AW448" i="5"/>
  <c r="CH448" i="5" s="1"/>
  <c r="FC188" i="5"/>
  <c r="CR188" i="5"/>
  <c r="DC228" i="5"/>
  <c r="AR228" i="5"/>
  <c r="CG228" i="5" s="1"/>
  <c r="DN65" i="5"/>
  <c r="AZ190" i="5"/>
  <c r="CI190" i="5" s="1"/>
  <c r="DC190" i="5"/>
  <c r="AR190" i="5"/>
  <c r="CG190" i="5" s="1"/>
  <c r="AF105" i="5"/>
  <c r="AN105" i="5"/>
  <c r="DO105" i="5" s="1"/>
  <c r="EG105" i="5" s="1"/>
  <c r="EJ105" i="5" s="1"/>
  <c r="EK105" i="5" s="1"/>
  <c r="DG331" i="5"/>
  <c r="DG448" i="5"/>
  <c r="DX297" i="5"/>
  <c r="CL297" i="5" s="1"/>
  <c r="CO68" i="5"/>
  <c r="FA68" i="5"/>
  <c r="CE224" i="5"/>
  <c r="CJ224" i="5" s="1"/>
  <c r="EA240" i="5"/>
  <c r="EB240" i="5"/>
  <c r="CX141" i="5"/>
  <c r="FC141" i="5"/>
  <c r="EQ472" i="5"/>
  <c r="ER472" i="5" s="1"/>
  <c r="FD310" i="5"/>
  <c r="CW310" i="5"/>
  <c r="EQ23" i="5"/>
  <c r="EN25" i="5"/>
  <c r="EO25" i="5" s="1"/>
  <c r="EP25" i="5" s="1"/>
  <c r="AW387" i="5"/>
  <c r="CH387" i="5" s="1"/>
  <c r="AW444" i="5"/>
  <c r="CH444" i="5" s="1"/>
  <c r="AW436" i="5"/>
  <c r="CH436" i="5" s="1"/>
  <c r="BD368" i="5"/>
  <c r="EN56" i="5"/>
  <c r="EO56" i="5" s="1"/>
  <c r="EP56" i="5" s="1"/>
  <c r="BJ132" i="5"/>
  <c r="EC132" i="5" s="1"/>
  <c r="EB132" i="5" s="1"/>
  <c r="BT164" i="5"/>
  <c r="BV164" i="5" s="1"/>
  <c r="CC164" i="5" s="1"/>
  <c r="CE164" i="5" s="1"/>
  <c r="EN122" i="5"/>
  <c r="EO122" i="5" s="1"/>
  <c r="EP122" i="5" s="1"/>
  <c r="CW123" i="5"/>
  <c r="FD123" i="5"/>
  <c r="BL105" i="5"/>
  <c r="DT105" i="5" s="1"/>
  <c r="DV105" i="5" s="1"/>
  <c r="EA216" i="5"/>
  <c r="EB216" i="5"/>
  <c r="DI483" i="5"/>
  <c r="DJ483" i="5"/>
  <c r="EN50" i="5"/>
  <c r="EO50" i="5" s="1"/>
  <c r="EP50" i="5" s="1"/>
  <c r="FD272" i="5"/>
  <c r="CQ272" i="5"/>
  <c r="FB388" i="5"/>
  <c r="CV388" i="5"/>
  <c r="FD282" i="5"/>
  <c r="CW282" i="5"/>
  <c r="CW410" i="5"/>
  <c r="FD410" i="5"/>
  <c r="FD355" i="5"/>
  <c r="CQ355" i="5"/>
  <c r="DG442" i="5"/>
  <c r="CQ283" i="5"/>
  <c r="FD283" i="5"/>
  <c r="CW386" i="5"/>
  <c r="FD386" i="5"/>
  <c r="CQ104" i="5"/>
  <c r="FD104" i="5"/>
  <c r="AW345" i="5"/>
  <c r="CH345" i="5" s="1"/>
  <c r="AW399" i="5"/>
  <c r="CH399" i="5" s="1"/>
  <c r="AW400" i="5"/>
  <c r="CH400" i="5" s="1"/>
  <c r="CO54" i="5"/>
  <c r="FA54" i="5"/>
  <c r="CO86" i="5"/>
  <c r="FA86" i="5"/>
  <c r="EN55" i="5"/>
  <c r="EO55" i="5" s="1"/>
  <c r="EP55" i="5" s="1"/>
  <c r="CO195" i="5"/>
  <c r="FA195" i="5"/>
  <c r="EN130" i="5"/>
  <c r="EO130" i="5" s="1"/>
  <c r="EP130" i="5" s="1"/>
  <c r="CU123" i="5"/>
  <c r="FA123" i="5"/>
  <c r="AW269" i="5"/>
  <c r="CH269" i="5" s="1"/>
  <c r="FD389" i="5"/>
  <c r="CQ389" i="5"/>
  <c r="DH474" i="5"/>
  <c r="EL474" i="5"/>
  <c r="EM474" i="5"/>
  <c r="FD314" i="5"/>
  <c r="CW314" i="5"/>
  <c r="FD299" i="5"/>
  <c r="CW299" i="5"/>
  <c r="FD293" i="5"/>
  <c r="CQ293" i="5"/>
  <c r="AW431" i="5"/>
  <c r="CH431" i="5" s="1"/>
  <c r="AW368" i="5"/>
  <c r="CH368" i="5" s="1"/>
  <c r="ES55" i="5"/>
  <c r="ET55" i="5" s="1"/>
  <c r="EB219" i="5"/>
  <c r="EA219" i="5"/>
  <c r="AV236" i="5"/>
  <c r="AV173" i="5"/>
  <c r="EL158" i="5"/>
  <c r="DG158" i="5"/>
  <c r="EM158" i="5"/>
  <c r="EB166" i="5"/>
  <c r="AL24" i="5"/>
  <c r="FD407" i="5"/>
  <c r="CW407" i="5"/>
  <c r="DX420" i="5"/>
  <c r="CL420" i="5" s="1"/>
  <c r="CP352" i="5"/>
  <c r="FB352" i="5"/>
  <c r="AW419" i="5"/>
  <c r="CH419" i="5" s="1"/>
  <c r="AW395" i="5"/>
  <c r="CH395" i="5" s="1"/>
  <c r="AW443" i="5"/>
  <c r="CH443" i="5" s="1"/>
  <c r="BD422" i="5"/>
  <c r="BD361" i="5"/>
  <c r="ES56" i="5"/>
  <c r="ET56" i="5" s="1"/>
  <c r="CO88" i="5"/>
  <c r="FA88" i="5"/>
  <c r="EN77" i="5"/>
  <c r="EO77" i="5" s="1"/>
  <c r="EP77" i="5" s="1"/>
  <c r="EN61" i="5"/>
  <c r="EO61" i="5" s="1"/>
  <c r="EP61" i="5" s="1"/>
  <c r="DG178" i="5"/>
  <c r="AV190" i="5"/>
  <c r="CR136" i="5"/>
  <c r="FC136" i="5"/>
  <c r="DG423" i="5"/>
  <c r="BG130" i="5"/>
  <c r="BI130" i="5" s="1"/>
  <c r="BJ130" i="5" s="1"/>
  <c r="EC130" i="5" s="1"/>
  <c r="EB130" i="5" s="1"/>
  <c r="FD315" i="5"/>
  <c r="CQ315" i="5"/>
  <c r="DX437" i="5"/>
  <c r="CL437" i="5" s="1"/>
  <c r="CP324" i="5"/>
  <c r="FB324" i="5"/>
  <c r="FD421" i="5"/>
  <c r="CW421" i="5"/>
  <c r="DG381" i="5"/>
  <c r="FD377" i="5"/>
  <c r="CW377" i="5"/>
  <c r="FD254" i="5"/>
  <c r="CW254" i="5"/>
  <c r="AW402" i="5"/>
  <c r="CH402" i="5" s="1"/>
  <c r="BB309" i="5"/>
  <c r="BD438" i="5"/>
  <c r="DG171" i="5"/>
  <c r="EN135" i="5"/>
  <c r="EO135" i="5" s="1"/>
  <c r="EP135" i="5" s="1"/>
  <c r="EN159" i="5"/>
  <c r="EO159" i="5" s="1"/>
  <c r="EP159" i="5" s="1"/>
  <c r="CR115" i="5"/>
  <c r="FC115" i="5"/>
  <c r="FA83" i="5"/>
  <c r="CO83" i="5"/>
  <c r="ES25" i="5"/>
  <c r="ET25" i="5" s="1"/>
  <c r="FD331" i="5"/>
  <c r="CW331" i="5"/>
  <c r="DH471" i="5"/>
  <c r="EL471" i="5"/>
  <c r="EM471" i="5"/>
  <c r="FB284" i="5"/>
  <c r="CV284" i="5"/>
  <c r="CP304" i="5"/>
  <c r="FB304" i="5"/>
  <c r="CP276" i="5"/>
  <c r="FB276" i="5"/>
  <c r="FD404" i="5"/>
  <c r="CW404" i="5"/>
  <c r="FD380" i="5"/>
  <c r="CW380" i="5"/>
  <c r="AW452" i="5"/>
  <c r="CH452" i="5" s="1"/>
  <c r="BB267" i="5"/>
  <c r="BD267" i="5" s="1"/>
  <c r="BD402" i="5"/>
  <c r="BD399" i="5"/>
  <c r="ET75" i="5"/>
  <c r="EN75" i="5"/>
  <c r="EO75" i="5" s="1"/>
  <c r="EP75" i="5" s="1"/>
  <c r="AV176" i="5"/>
  <c r="EN142" i="5"/>
  <c r="EO142" i="5" s="1"/>
  <c r="EP142" i="5" s="1"/>
  <c r="BT161" i="5"/>
  <c r="BV161" i="5" s="1"/>
  <c r="CC161" i="5" s="1"/>
  <c r="CE161" i="5" s="1"/>
  <c r="EN116" i="5"/>
  <c r="EO116" i="5" s="1"/>
  <c r="EP116" i="5" s="1"/>
  <c r="BI111" i="5"/>
  <c r="BJ111" i="5" s="1"/>
  <c r="EC111" i="5" s="1"/>
  <c r="EB111" i="5" s="1"/>
  <c r="FD319" i="5"/>
  <c r="CW319" i="5"/>
  <c r="FD401" i="5"/>
  <c r="CW401" i="5"/>
  <c r="DG451" i="5"/>
  <c r="FD320" i="5"/>
  <c r="CW320" i="5"/>
  <c r="DG291" i="5"/>
  <c r="CW300" i="5"/>
  <c r="FD300" i="5"/>
  <c r="CW269" i="5"/>
  <c r="FD269" i="5"/>
  <c r="FD381" i="5"/>
  <c r="CW381" i="5"/>
  <c r="DX315" i="5"/>
  <c r="CL315" i="5" s="1"/>
  <c r="DX321" i="5"/>
  <c r="CL321" i="5" s="1"/>
  <c r="FB423" i="5"/>
  <c r="CP423" i="5"/>
  <c r="FB350" i="5"/>
  <c r="CV350" i="5"/>
  <c r="FB301" i="5"/>
  <c r="CV301" i="5"/>
  <c r="DX379" i="5"/>
  <c r="CL379" i="5" s="1"/>
  <c r="DX399" i="5"/>
  <c r="CL399" i="5" s="1"/>
  <c r="CP358" i="5"/>
  <c r="FB358" i="5"/>
  <c r="FB348" i="5"/>
  <c r="CP348" i="5"/>
  <c r="DX417" i="5"/>
  <c r="CL417" i="5" s="1"/>
  <c r="BL66" i="5"/>
  <c r="DT66" i="5" s="1"/>
  <c r="DV66" i="5" s="1"/>
  <c r="BE66" i="5"/>
  <c r="BU66" i="5"/>
  <c r="BT66" i="5"/>
  <c r="FR66" i="5"/>
  <c r="FU66" i="5" s="1"/>
  <c r="CM66" i="5" s="1"/>
  <c r="DC178" i="5"/>
  <c r="AR178" i="5"/>
  <c r="CG178" i="5" s="1"/>
  <c r="DN89" i="5"/>
  <c r="DN119" i="5"/>
  <c r="AR144" i="5"/>
  <c r="CG144" i="5" s="1"/>
  <c r="DD144" i="5"/>
  <c r="ES144" i="5" s="1"/>
  <c r="AV144" i="5"/>
  <c r="AT251" i="5"/>
  <c r="BL92" i="5"/>
  <c r="DT92" i="5" s="1"/>
  <c r="DV92" i="5" s="1"/>
  <c r="BT92" i="5"/>
  <c r="BE92" i="5"/>
  <c r="BU92" i="5"/>
  <c r="FR92" i="5"/>
  <c r="FU92" i="5" s="1"/>
  <c r="CM92" i="5" s="1"/>
  <c r="FS209" i="5"/>
  <c r="FU209" i="5" s="1"/>
  <c r="CM209" i="5" s="1"/>
  <c r="BL209" i="5"/>
  <c r="DT209" i="5" s="1"/>
  <c r="DV209" i="5" s="1"/>
  <c r="BT209" i="5"/>
  <c r="BU209" i="5"/>
  <c r="AN170" i="5"/>
  <c r="DO170" i="5" s="1"/>
  <c r="AN171" i="5"/>
  <c r="DO171" i="5" s="1"/>
  <c r="AZ174" i="5"/>
  <c r="CI174" i="5" s="1"/>
  <c r="AR174" i="5"/>
  <c r="CG174" i="5" s="1"/>
  <c r="DC174" i="5"/>
  <c r="AR216" i="5"/>
  <c r="DC216" i="5"/>
  <c r="AV216" i="5"/>
  <c r="DC244" i="5"/>
  <c r="AR244" i="5"/>
  <c r="CG244" i="5" s="1"/>
  <c r="AZ227" i="5"/>
  <c r="CI227" i="5" s="1"/>
  <c r="AR227" i="5"/>
  <c r="CG227" i="5" s="1"/>
  <c r="DC227" i="5"/>
  <c r="AZ194" i="5"/>
  <c r="CI194" i="5" s="1"/>
  <c r="DC194" i="5"/>
  <c r="AR194" i="5"/>
  <c r="CG194" i="5" s="1"/>
  <c r="BX121" i="5"/>
  <c r="BY121" i="5" s="1"/>
  <c r="FS121" i="5"/>
  <c r="FU121" i="5" s="1"/>
  <c r="CM121" i="5" s="1"/>
  <c r="DN179" i="5"/>
  <c r="DN78" i="5"/>
  <c r="DN81" i="5"/>
  <c r="DN69" i="5"/>
  <c r="DN88" i="5"/>
  <c r="DN239" i="5"/>
  <c r="DN123" i="5"/>
  <c r="DN71" i="5"/>
  <c r="DC169" i="5"/>
  <c r="AR169" i="5"/>
  <c r="CG169" i="5" s="1"/>
  <c r="FS208" i="5"/>
  <c r="FU208" i="5" s="1"/>
  <c r="CM208" i="5" s="1"/>
  <c r="BL208" i="5"/>
  <c r="DT208" i="5" s="1"/>
  <c r="DV208" i="5" s="1"/>
  <c r="BT208" i="5"/>
  <c r="BU208" i="5"/>
  <c r="AR142" i="5"/>
  <c r="CG142" i="5" s="1"/>
  <c r="DD142" i="5"/>
  <c r="ES142" i="5" s="1"/>
  <c r="BX143" i="5"/>
  <c r="BY143" i="5" s="1"/>
  <c r="FS143" i="5"/>
  <c r="FU143" i="5" s="1"/>
  <c r="CM143" i="5" s="1"/>
  <c r="FS200" i="5"/>
  <c r="FU200" i="5" s="1"/>
  <c r="CM200" i="5" s="1"/>
  <c r="BT200" i="5"/>
  <c r="BU200" i="5"/>
  <c r="BL200" i="5"/>
  <c r="DT200" i="5" s="1"/>
  <c r="DV200" i="5" s="1"/>
  <c r="AR140" i="5"/>
  <c r="CG140" i="5" s="1"/>
  <c r="DD140" i="5"/>
  <c r="ES140" i="5" s="1"/>
  <c r="AZ241" i="5"/>
  <c r="CI241" i="5" s="1"/>
  <c r="AR241" i="5"/>
  <c r="CG241" i="5" s="1"/>
  <c r="DC241" i="5"/>
  <c r="DD141" i="5"/>
  <c r="ES141" i="5" s="1"/>
  <c r="AR141" i="5"/>
  <c r="CG141" i="5" s="1"/>
  <c r="AS127" i="5"/>
  <c r="AT127" i="5" s="1"/>
  <c r="AS144" i="5"/>
  <c r="AT144" i="5" s="1"/>
  <c r="BB227" i="5"/>
  <c r="AT227" i="5"/>
  <c r="AS139" i="5"/>
  <c r="AT139" i="5" s="1"/>
  <c r="BL94" i="5"/>
  <c r="DT94" i="5" s="1"/>
  <c r="DV94" i="5" s="1"/>
  <c r="BT94" i="5"/>
  <c r="BE94" i="5"/>
  <c r="BU94" i="5"/>
  <c r="FR94" i="5"/>
  <c r="FU94" i="5" s="1"/>
  <c r="CM94" i="5" s="1"/>
  <c r="AS92" i="5"/>
  <c r="AT79" i="5"/>
  <c r="AY79" i="5"/>
  <c r="AZ79" i="5" s="1"/>
  <c r="CI79" i="5" s="1"/>
  <c r="AS125" i="5"/>
  <c r="AT125" i="5" s="1"/>
  <c r="AS142" i="5"/>
  <c r="AT137" i="5"/>
  <c r="AH78" i="5"/>
  <c r="BL78" i="5"/>
  <c r="DT78" i="5" s="1"/>
  <c r="DV78" i="5" s="1"/>
  <c r="BT78" i="5"/>
  <c r="BE78" i="5"/>
  <c r="BU78" i="5"/>
  <c r="FR78" i="5"/>
  <c r="FU78" i="5" s="1"/>
  <c r="CM78" i="5" s="1"/>
  <c r="BB195" i="5"/>
  <c r="AT195" i="5"/>
  <c r="AT180" i="5"/>
  <c r="BB180" i="5"/>
  <c r="AT182" i="5"/>
  <c r="BB182" i="5"/>
  <c r="BB176" i="5"/>
  <c r="AT176" i="5"/>
  <c r="AN220" i="5"/>
  <c r="DO220" i="5" s="1"/>
  <c r="BB160" i="5"/>
  <c r="AT160" i="5"/>
  <c r="AF133" i="5"/>
  <c r="AT166" i="5"/>
  <c r="BB166" i="5"/>
  <c r="AS119" i="5"/>
  <c r="AS123" i="5"/>
  <c r="AS113" i="5"/>
  <c r="AT113" i="5" s="1"/>
  <c r="DG336" i="5"/>
  <c r="DG342" i="5"/>
  <c r="FB291" i="5"/>
  <c r="CP291" i="5"/>
  <c r="DX390" i="5"/>
  <c r="CL390" i="5" s="1"/>
  <c r="DX311" i="5"/>
  <c r="CL311" i="5" s="1"/>
  <c r="FD451" i="5"/>
  <c r="CQ451" i="5"/>
  <c r="DX422" i="5"/>
  <c r="CL422" i="5" s="1"/>
  <c r="AT437" i="5"/>
  <c r="AT372" i="5"/>
  <c r="BD366" i="5"/>
  <c r="EN65" i="5"/>
  <c r="EO65" i="5" s="1"/>
  <c r="EP65" i="5" s="1"/>
  <c r="BJ140" i="5"/>
  <c r="EC140" i="5" s="1"/>
  <c r="EB140" i="5" s="1"/>
  <c r="EN124" i="5"/>
  <c r="EO124" i="5" s="1"/>
  <c r="EP124" i="5" s="1"/>
  <c r="EN123" i="5"/>
  <c r="EO123" i="5" s="1"/>
  <c r="EP123" i="5" s="1"/>
  <c r="BV116" i="5"/>
  <c r="CC116" i="5" s="1"/>
  <c r="CE116" i="5" s="1"/>
  <c r="CJ116" i="5" s="1"/>
  <c r="BJ121" i="5"/>
  <c r="EC121" i="5" s="1"/>
  <c r="EB121" i="5" s="1"/>
  <c r="FA67" i="5"/>
  <c r="CO67" i="5"/>
  <c r="AV169" i="5"/>
  <c r="CE162" i="5"/>
  <c r="DI472" i="5"/>
  <c r="DJ472" i="5"/>
  <c r="FD271" i="5"/>
  <c r="CW271" i="5"/>
  <c r="DH493" i="5"/>
  <c r="EL493" i="5"/>
  <c r="EM493" i="5"/>
  <c r="DG268" i="5"/>
  <c r="DG352" i="5"/>
  <c r="AW278" i="5"/>
  <c r="CH278" i="5" s="1"/>
  <c r="AN200" i="5"/>
  <c r="DO200" i="5" s="1"/>
  <c r="EG200" i="5" s="1"/>
  <c r="EJ200" i="5" s="1"/>
  <c r="EK200" i="5" s="1"/>
  <c r="CG9" i="5"/>
  <c r="CG6" i="5"/>
  <c r="CG7" i="5" s="1"/>
  <c r="CG8" i="5"/>
  <c r="FA53" i="5"/>
  <c r="CO53" i="5"/>
  <c r="FA85" i="5"/>
  <c r="CO85" i="5"/>
  <c r="EN80" i="5"/>
  <c r="EO80" i="5" s="1"/>
  <c r="EP80" i="5" s="1"/>
  <c r="BV227" i="5"/>
  <c r="CC227" i="5" s="1"/>
  <c r="CE227" i="5" s="1"/>
  <c r="CJ227" i="5" s="1"/>
  <c r="EB225" i="5"/>
  <c r="EA225" i="5"/>
  <c r="BV242" i="5"/>
  <c r="CC242" i="5" s="1"/>
  <c r="AV230" i="5"/>
  <c r="EN147" i="5"/>
  <c r="EO147" i="5" s="1"/>
  <c r="EP147" i="5" s="1"/>
  <c r="EN251" i="5"/>
  <c r="EO251" i="5" s="1"/>
  <c r="EP251" i="5" s="1"/>
  <c r="EB164" i="5"/>
  <c r="BJ114" i="5"/>
  <c r="EC114" i="5" s="1"/>
  <c r="EB114" i="5" s="1"/>
  <c r="AV197" i="5"/>
  <c r="DG303" i="5"/>
  <c r="DG293" i="5"/>
  <c r="FD98" i="5"/>
  <c r="CQ98" i="5"/>
  <c r="DX412" i="5"/>
  <c r="CL412" i="5" s="1"/>
  <c r="DX256" i="5"/>
  <c r="CL256" i="5" s="1"/>
  <c r="CW257" i="5"/>
  <c r="FD257" i="5"/>
  <c r="DG436" i="5"/>
  <c r="DX428" i="5"/>
  <c r="CL428" i="5" s="1"/>
  <c r="FD356" i="5"/>
  <c r="CQ356" i="5"/>
  <c r="BD434" i="5"/>
  <c r="EN71" i="5"/>
  <c r="EO71" i="5" s="1"/>
  <c r="EP71" i="5" s="1"/>
  <c r="EB226" i="5"/>
  <c r="EA226" i="5"/>
  <c r="DG176" i="5"/>
  <c r="AV188" i="5"/>
  <c r="BJ142" i="5"/>
  <c r="EC142" i="5" s="1"/>
  <c r="EB142" i="5" s="1"/>
  <c r="AO163" i="5"/>
  <c r="EN164" i="5"/>
  <c r="EO164" i="5" s="1"/>
  <c r="EP164" i="5" s="1"/>
  <c r="AW296" i="5"/>
  <c r="CH296" i="5" s="1"/>
  <c r="CQ447" i="5"/>
  <c r="FD447" i="5"/>
  <c r="DG305" i="5"/>
  <c r="DX374" i="5"/>
  <c r="CL374" i="5" s="1"/>
  <c r="CW261" i="5"/>
  <c r="FD261" i="5"/>
  <c r="CP285" i="5"/>
  <c r="FB285" i="5"/>
  <c r="DX421" i="5"/>
  <c r="CL421" i="5" s="1"/>
  <c r="CQ442" i="5"/>
  <c r="FD442" i="5"/>
  <c r="DG366" i="5"/>
  <c r="BI104" i="5"/>
  <c r="BJ104" i="5" s="1"/>
  <c r="EC104" i="5" s="1"/>
  <c r="AW266" i="5"/>
  <c r="CH266" i="5" s="1"/>
  <c r="FA55" i="5"/>
  <c r="CO55" i="5"/>
  <c r="FA87" i="5"/>
  <c r="CO87" i="5"/>
  <c r="AS234" i="5"/>
  <c r="BB234" i="5" s="1"/>
  <c r="EB236" i="5"/>
  <c r="EA236" i="5"/>
  <c r="BV194" i="5"/>
  <c r="CC194" i="5" s="1"/>
  <c r="CE194" i="5" s="1"/>
  <c r="CJ194" i="5" s="1"/>
  <c r="AV181" i="5"/>
  <c r="AV209" i="5"/>
  <c r="CC143" i="5"/>
  <c r="CE143" i="5" s="1"/>
  <c r="CJ143" i="5" s="1"/>
  <c r="EN120" i="5"/>
  <c r="EO120" i="5" s="1"/>
  <c r="EP120" i="5" s="1"/>
  <c r="FA122" i="5"/>
  <c r="CU122" i="5"/>
  <c r="FD326" i="5"/>
  <c r="CQ326" i="5"/>
  <c r="CU91" i="5"/>
  <c r="FA91" i="5"/>
  <c r="CQ139" i="5"/>
  <c r="FD139" i="5"/>
  <c r="EQ479" i="5"/>
  <c r="ER479" i="5" s="1"/>
  <c r="DG301" i="5"/>
  <c r="DX433" i="5"/>
  <c r="CL433" i="5" s="1"/>
  <c r="FD304" i="5"/>
  <c r="CQ304" i="5"/>
  <c r="FD379" i="5"/>
  <c r="CQ379" i="5"/>
  <c r="DX364" i="5"/>
  <c r="CL364" i="5" s="1"/>
  <c r="AT418" i="5"/>
  <c r="AW307" i="5"/>
  <c r="CH307" i="5" s="1"/>
  <c r="BD372" i="5"/>
  <c r="CO56" i="5"/>
  <c r="FA56" i="5"/>
  <c r="ES88" i="5"/>
  <c r="AV227" i="5"/>
  <c r="BF127" i="5"/>
  <c r="BH127" i="5" s="1"/>
  <c r="FD129" i="5"/>
  <c r="CQ129" i="5"/>
  <c r="EN248" i="5"/>
  <c r="EO248" i="5" s="1"/>
  <c r="EP248" i="5" s="1"/>
  <c r="AY119" i="5"/>
  <c r="AZ119" i="5" s="1"/>
  <c r="CI119" i="5" s="1"/>
  <c r="CU121" i="5"/>
  <c r="FA121" i="5"/>
  <c r="DG380" i="5"/>
  <c r="AW393" i="5"/>
  <c r="CH393" i="5" s="1"/>
  <c r="FD445" i="5"/>
  <c r="CW445" i="5"/>
  <c r="FD395" i="5"/>
  <c r="CQ395" i="5"/>
  <c r="AT361" i="5"/>
  <c r="CO73" i="5"/>
  <c r="FA73" i="5"/>
  <c r="AS220" i="5"/>
  <c r="BB220" i="5" s="1"/>
  <c r="BV221" i="5"/>
  <c r="CC221" i="5" s="1"/>
  <c r="EB238" i="5"/>
  <c r="EA238" i="5"/>
  <c r="AV234" i="5"/>
  <c r="AV191" i="5"/>
  <c r="AV203" i="5"/>
  <c r="AO166" i="5"/>
  <c r="CE156" i="5"/>
  <c r="AT310" i="5"/>
  <c r="ER480" i="5"/>
  <c r="CW273" i="5"/>
  <c r="FD273" i="5"/>
  <c r="DX424" i="5"/>
  <c r="CL424" i="5" s="1"/>
  <c r="DG278" i="5"/>
  <c r="CW387" i="5"/>
  <c r="FD387" i="5"/>
  <c r="FB306" i="5"/>
  <c r="CV306" i="5"/>
  <c r="CQ99" i="5"/>
  <c r="FD99" i="5"/>
  <c r="DX385" i="5"/>
  <c r="CL385" i="5" s="1"/>
  <c r="DG360" i="5"/>
  <c r="DG264" i="5"/>
  <c r="FB338" i="5"/>
  <c r="CV338" i="5"/>
  <c r="FD322" i="5"/>
  <c r="CW322" i="5"/>
  <c r="BB383" i="5"/>
  <c r="AW391" i="5"/>
  <c r="CH391" i="5" s="1"/>
  <c r="AT433" i="5"/>
  <c r="BD310" i="5"/>
  <c r="CO58" i="5"/>
  <c r="FA58" i="5"/>
  <c r="CO90" i="5"/>
  <c r="FA90" i="5"/>
  <c r="AS216" i="5"/>
  <c r="AT216" i="5" s="1"/>
  <c r="EB231" i="5"/>
  <c r="EA231" i="5"/>
  <c r="EB247" i="5"/>
  <c r="EA247" i="5"/>
  <c r="AV226" i="5"/>
  <c r="BV170" i="5"/>
  <c r="CC170" i="5" s="1"/>
  <c r="BJ146" i="5"/>
  <c r="EC146" i="5" s="1"/>
  <c r="EB146" i="5" s="1"/>
  <c r="FD138" i="5"/>
  <c r="CQ138" i="5"/>
  <c r="EB161" i="5"/>
  <c r="EQ473" i="5"/>
  <c r="ER473" i="5" s="1"/>
  <c r="CV305" i="5"/>
  <c r="FB305" i="5"/>
  <c r="FD383" i="5"/>
  <c r="CW383" i="5"/>
  <c r="BJ102" i="5"/>
  <c r="EC102" i="5" s="1"/>
  <c r="DX402" i="5"/>
  <c r="CL402" i="5" s="1"/>
  <c r="BI97" i="5"/>
  <c r="FB412" i="5"/>
  <c r="CP412" i="5"/>
  <c r="DG377" i="5"/>
  <c r="DX416" i="5"/>
  <c r="CL416" i="5" s="1"/>
  <c r="CV363" i="5"/>
  <c r="FB363" i="5"/>
  <c r="DX275" i="5"/>
  <c r="CL275" i="5" s="1"/>
  <c r="DX418" i="5"/>
  <c r="CL418" i="5" s="1"/>
  <c r="DX392" i="5"/>
  <c r="CL392" i="5" s="1"/>
  <c r="DX356" i="5"/>
  <c r="CL356" i="5" s="1"/>
  <c r="CP294" i="5"/>
  <c r="FB294" i="5"/>
  <c r="FB384" i="5"/>
  <c r="CP384" i="5"/>
  <c r="FB379" i="5"/>
  <c r="CP379" i="5"/>
  <c r="DX386" i="5"/>
  <c r="CL386" i="5" s="1"/>
  <c r="EA249" i="5"/>
  <c r="EB249" i="5"/>
  <c r="AZ189" i="5"/>
  <c r="CI189" i="5" s="1"/>
  <c r="AR189" i="5"/>
  <c r="CG189" i="5" s="1"/>
  <c r="DC189" i="5"/>
  <c r="AZ240" i="5"/>
  <c r="CI240" i="5" s="1"/>
  <c r="AR240" i="5"/>
  <c r="CG240" i="5" s="1"/>
  <c r="DC240" i="5"/>
  <c r="DN73" i="5"/>
  <c r="AR145" i="5"/>
  <c r="CG145" i="5" s="1"/>
  <c r="DD145" i="5"/>
  <c r="ES145" i="5" s="1"/>
  <c r="AH77" i="5"/>
  <c r="BE77" i="5"/>
  <c r="BU77" i="5"/>
  <c r="FR77" i="5"/>
  <c r="FU77" i="5" s="1"/>
  <c r="CM77" i="5" s="1"/>
  <c r="BL77" i="5"/>
  <c r="DT77" i="5" s="1"/>
  <c r="DV77" i="5" s="1"/>
  <c r="BT77" i="5"/>
  <c r="AZ171" i="5"/>
  <c r="CI171" i="5" s="1"/>
  <c r="DC171" i="5"/>
  <c r="AR171" i="5"/>
  <c r="CG171" i="5" s="1"/>
  <c r="DC222" i="5"/>
  <c r="AR222" i="5"/>
  <c r="DC218" i="5"/>
  <c r="AR218" i="5"/>
  <c r="DC221" i="5"/>
  <c r="AR221" i="5"/>
  <c r="AZ214" i="5"/>
  <c r="CI214" i="5" s="1"/>
  <c r="DC214" i="5"/>
  <c r="AR214" i="5"/>
  <c r="CG214" i="5" s="1"/>
  <c r="AZ230" i="5"/>
  <c r="DC230" i="5"/>
  <c r="AR230" i="5"/>
  <c r="AZ237" i="5"/>
  <c r="CI237" i="5" s="1"/>
  <c r="DC237" i="5"/>
  <c r="AR237" i="5"/>
  <c r="CG237" i="5" s="1"/>
  <c r="BX122" i="5"/>
  <c r="BY122" i="5" s="1"/>
  <c r="FS122" i="5"/>
  <c r="FU122" i="5" s="1"/>
  <c r="CM122" i="5" s="1"/>
  <c r="DN183" i="5"/>
  <c r="DN77" i="5"/>
  <c r="DN85" i="5"/>
  <c r="DN54" i="5"/>
  <c r="DN116" i="5"/>
  <c r="DN79" i="5"/>
  <c r="DN93" i="5"/>
  <c r="DN75" i="5"/>
  <c r="DN94" i="5"/>
  <c r="AS193" i="5"/>
  <c r="BB193" i="5" s="1"/>
  <c r="FS214" i="5"/>
  <c r="FU214" i="5" s="1"/>
  <c r="CM214" i="5" s="1"/>
  <c r="BL214" i="5"/>
  <c r="DT214" i="5" s="1"/>
  <c r="DV214" i="5" s="1"/>
  <c r="BU214" i="5"/>
  <c r="AR138" i="5"/>
  <c r="CG138" i="5" s="1"/>
  <c r="DD138" i="5"/>
  <c r="ES138" i="5" s="1"/>
  <c r="AR143" i="5"/>
  <c r="CG143" i="5" s="1"/>
  <c r="DD143" i="5"/>
  <c r="ES143" i="5" s="1"/>
  <c r="BL206" i="5"/>
  <c r="DT206" i="5" s="1"/>
  <c r="DV206" i="5" s="1"/>
  <c r="BU206" i="5"/>
  <c r="FS206" i="5"/>
  <c r="FU206" i="5" s="1"/>
  <c r="CM206" i="5" s="1"/>
  <c r="AR136" i="5"/>
  <c r="CG136" i="5" s="1"/>
  <c r="DD136" i="5"/>
  <c r="ES136" i="5" s="1"/>
  <c r="AZ229" i="5"/>
  <c r="CI229" i="5" s="1"/>
  <c r="DC229" i="5"/>
  <c r="AR229" i="5"/>
  <c r="CG229" i="5" s="1"/>
  <c r="AR137" i="5"/>
  <c r="CG137" i="5" s="1"/>
  <c r="DD137" i="5"/>
  <c r="ES137" i="5" s="1"/>
  <c r="AT69" i="5"/>
  <c r="AY69" i="5"/>
  <c r="AZ69" i="5" s="1"/>
  <c r="CI69" i="5" s="1"/>
  <c r="AY92" i="5"/>
  <c r="AZ92" i="5" s="1"/>
  <c r="CI92" i="5" s="1"/>
  <c r="AT92" i="5"/>
  <c r="BB226" i="5"/>
  <c r="AT226" i="5"/>
  <c r="AT129" i="5"/>
  <c r="AT77" i="5"/>
  <c r="AY77" i="5"/>
  <c r="AZ77" i="5" s="1"/>
  <c r="CI77" i="5" s="1"/>
  <c r="AT178" i="5"/>
  <c r="BB178" i="5"/>
  <c r="BB171" i="5"/>
  <c r="AT171" i="5"/>
  <c r="BB170" i="5"/>
  <c r="AT170" i="5"/>
  <c r="BB173" i="5"/>
  <c r="AT173" i="5"/>
  <c r="AN201" i="5"/>
  <c r="DO201" i="5" s="1"/>
  <c r="AK217" i="5"/>
  <c r="AS118" i="5"/>
  <c r="AT118" i="5" s="1"/>
  <c r="AW118" i="5" s="1"/>
  <c r="AT167" i="5"/>
  <c r="BB167" i="5"/>
  <c r="BB158" i="5"/>
  <c r="AT158" i="5"/>
  <c r="AF112" i="5"/>
  <c r="AF140" i="5"/>
  <c r="AS114" i="5"/>
  <c r="DH475" i="5"/>
  <c r="EL475" i="5"/>
  <c r="EM475" i="5"/>
  <c r="FD287" i="5"/>
  <c r="CQ287" i="5"/>
  <c r="AW257" i="5"/>
  <c r="CH257" i="5" s="1"/>
  <c r="EN89" i="5"/>
  <c r="EO89" i="5" s="1"/>
  <c r="EP89" i="5" s="1"/>
  <c r="EA224" i="5"/>
  <c r="EB224" i="5"/>
  <c r="EA241" i="5"/>
  <c r="EB241" i="5"/>
  <c r="AV219" i="5"/>
  <c r="EN140" i="5"/>
  <c r="EO140" i="5" s="1"/>
  <c r="EP140" i="5" s="1"/>
  <c r="EN110" i="5"/>
  <c r="EO110" i="5" s="1"/>
  <c r="EP110" i="5" s="1"/>
  <c r="CO116" i="5"/>
  <c r="FA116" i="5"/>
  <c r="BJ147" i="5"/>
  <c r="EC147" i="5" s="1"/>
  <c r="EB147" i="5" s="1"/>
  <c r="EB162" i="5"/>
  <c r="BV117" i="5"/>
  <c r="CC117" i="5" s="1"/>
  <c r="CE117" i="5" s="1"/>
  <c r="CJ117" i="5" s="1"/>
  <c r="AV145" i="5"/>
  <c r="FD336" i="5"/>
  <c r="CW336" i="5"/>
  <c r="DX319" i="5"/>
  <c r="CL319" i="5" s="1"/>
  <c r="EN32" i="5"/>
  <c r="EO32" i="5" s="1"/>
  <c r="EP32" i="5" s="1"/>
  <c r="FB355" i="5"/>
  <c r="CP355" i="5"/>
  <c r="FB371" i="5"/>
  <c r="CV371" i="5"/>
  <c r="FD260" i="5"/>
  <c r="CW260" i="5"/>
  <c r="FD367" i="5"/>
  <c r="CW367" i="5"/>
  <c r="DH495" i="5"/>
  <c r="EL495" i="5"/>
  <c r="EM495" i="5"/>
  <c r="FD385" i="5"/>
  <c r="CQ385" i="5"/>
  <c r="CW149" i="5"/>
  <c r="FD149" i="5"/>
  <c r="AW289" i="5"/>
  <c r="CH289" i="5" s="1"/>
  <c r="FA61" i="5"/>
  <c r="CO61" i="5"/>
  <c r="BV179" i="5"/>
  <c r="CC179" i="5" s="1"/>
  <c r="DG175" i="5"/>
  <c r="EN139" i="5"/>
  <c r="EO139" i="5" s="1"/>
  <c r="EP139" i="5" s="1"/>
  <c r="AZ251" i="5"/>
  <c r="CI251" i="5" s="1"/>
  <c r="BG122" i="5"/>
  <c r="BI122" i="5" s="1"/>
  <c r="BJ122" i="5" s="1"/>
  <c r="EC122" i="5" s="1"/>
  <c r="EB122" i="5" s="1"/>
  <c r="BD387" i="5"/>
  <c r="CO75" i="5"/>
  <c r="FA75" i="5"/>
  <c r="BV171" i="5"/>
  <c r="CC171" i="5" s="1"/>
  <c r="CE171" i="5" s="1"/>
  <c r="CJ171" i="5" s="1"/>
  <c r="EQ494" i="5"/>
  <c r="ER494" i="5" s="1"/>
  <c r="DX389" i="5"/>
  <c r="CL389" i="5" s="1"/>
  <c r="DG317" i="5"/>
  <c r="DX427" i="5"/>
  <c r="CL427" i="5" s="1"/>
  <c r="AT265" i="5"/>
  <c r="AW376" i="5"/>
  <c r="CH376" i="5" s="1"/>
  <c r="FA62" i="5"/>
  <c r="CO62" i="5"/>
  <c r="CO94" i="5"/>
  <c r="FA94" i="5"/>
  <c r="EB243" i="5"/>
  <c r="EA243" i="5"/>
  <c r="AV217" i="5"/>
  <c r="BV178" i="5"/>
  <c r="CC178" i="5" s="1"/>
  <c r="BV131" i="5"/>
  <c r="CC131" i="5" s="1"/>
  <c r="CE131" i="5" s="1"/>
  <c r="CJ131" i="5" s="1"/>
  <c r="BV122" i="5"/>
  <c r="CC122" i="5" s="1"/>
  <c r="CE122" i="5" s="1"/>
  <c r="CJ122" i="5" s="1"/>
  <c r="FA114" i="5"/>
  <c r="CO114" i="5"/>
  <c r="DG327" i="5"/>
  <c r="AW319" i="5"/>
  <c r="CH319" i="5" s="1"/>
  <c r="CQ95" i="5"/>
  <c r="FD95" i="5"/>
  <c r="DG295" i="5"/>
  <c r="DX407" i="5"/>
  <c r="CL407" i="5" s="1"/>
  <c r="CQ427" i="5"/>
  <c r="FD427" i="5"/>
  <c r="DG359" i="5"/>
  <c r="FB335" i="5"/>
  <c r="CP335" i="5"/>
  <c r="DX435" i="5"/>
  <c r="CL435" i="5" s="1"/>
  <c r="AW392" i="5"/>
  <c r="CH392" i="5" s="1"/>
  <c r="AT292" i="5"/>
  <c r="ES63" i="5"/>
  <c r="ET78" i="5"/>
  <c r="EN78" i="5"/>
  <c r="EO78" i="5" s="1"/>
  <c r="EP78" i="5" s="1"/>
  <c r="AV228" i="5"/>
  <c r="BV169" i="5"/>
  <c r="CC169" i="5" s="1"/>
  <c r="BJ135" i="5"/>
  <c r="EC135" i="5" s="1"/>
  <c r="EB135" i="5" s="1"/>
  <c r="EN145" i="5"/>
  <c r="EO145" i="5" s="1"/>
  <c r="EP145" i="5" s="1"/>
  <c r="EN129" i="5"/>
  <c r="EO129" i="5" s="1"/>
  <c r="EP129" i="5" s="1"/>
  <c r="BV158" i="5"/>
  <c r="CC158" i="5" s="1"/>
  <c r="CE158" i="5" s="1"/>
  <c r="FC113" i="5"/>
  <c r="CR113" i="5"/>
  <c r="ES122" i="5"/>
  <c r="ET122" i="5" s="1"/>
  <c r="BD418" i="5"/>
  <c r="EN66" i="5"/>
  <c r="EO66" i="5" s="1"/>
  <c r="EP66" i="5" s="1"/>
  <c r="BV223" i="5"/>
  <c r="CC223" i="5" s="1"/>
  <c r="DG189" i="5"/>
  <c r="DI479" i="5"/>
  <c r="DJ479" i="5"/>
  <c r="CW382" i="5"/>
  <c r="FD382" i="5"/>
  <c r="AV142" i="5"/>
  <c r="DH500" i="5"/>
  <c r="EM500" i="5"/>
  <c r="EL500" i="5"/>
  <c r="FD102" i="5"/>
  <c r="CQ102" i="5"/>
  <c r="AW323" i="5"/>
  <c r="CH323" i="5" s="1"/>
  <c r="FD292" i="5"/>
  <c r="CQ292" i="5"/>
  <c r="FB342" i="5"/>
  <c r="CV342" i="5"/>
  <c r="EO39" i="5"/>
  <c r="EP39" i="5" s="1"/>
  <c r="EN39" i="5"/>
  <c r="DG254" i="5"/>
  <c r="AT409" i="5"/>
  <c r="BD419" i="5"/>
  <c r="ES64" i="5"/>
  <c r="ET93" i="5"/>
  <c r="EN93" i="5"/>
  <c r="EO93" i="5" s="1"/>
  <c r="EP93" i="5" s="1"/>
  <c r="EB229" i="5"/>
  <c r="EA229" i="5"/>
  <c r="EB245" i="5"/>
  <c r="EA245" i="5"/>
  <c r="AV202" i="5"/>
  <c r="CX144" i="5"/>
  <c r="FC144" i="5"/>
  <c r="AO157" i="5"/>
  <c r="ES112" i="5"/>
  <c r="ET112" i="5" s="1"/>
  <c r="EN82" i="5"/>
  <c r="EO82" i="5" s="1"/>
  <c r="EP82" i="5" s="1"/>
  <c r="FD411" i="5"/>
  <c r="CQ411" i="5"/>
  <c r="AW346" i="5"/>
  <c r="CH346" i="5" s="1"/>
  <c r="CW321" i="5"/>
  <c r="FD321" i="5"/>
  <c r="FB96" i="5"/>
  <c r="CP96" i="5"/>
  <c r="DX425" i="5"/>
  <c r="CL425" i="5" s="1"/>
  <c r="CW453" i="5"/>
  <c r="FD453" i="5"/>
  <c r="FD327" i="5"/>
  <c r="CW327" i="5"/>
  <c r="AT386" i="5"/>
  <c r="BB448" i="5"/>
  <c r="BD448" i="5" s="1"/>
  <c r="AW430" i="5"/>
  <c r="CH430" i="5" s="1"/>
  <c r="BD394" i="5"/>
  <c r="BD407" i="5"/>
  <c r="ES81" i="5"/>
  <c r="ET60" i="5"/>
  <c r="EN60" i="5"/>
  <c r="EO60" i="5"/>
  <c r="EP60" i="5" s="1"/>
  <c r="AV225" i="5"/>
  <c r="BV128" i="5"/>
  <c r="CC128" i="5" s="1"/>
  <c r="CE128" i="5" s="1"/>
  <c r="CJ128" i="5" s="1"/>
  <c r="EN143" i="5"/>
  <c r="EO143" i="5" s="1"/>
  <c r="EP143" i="5" s="1"/>
  <c r="BJ118" i="5"/>
  <c r="EC118" i="5" s="1"/>
  <c r="EB118" i="5" s="1"/>
  <c r="BV232" i="5"/>
  <c r="CC232" i="5" s="1"/>
  <c r="FD289" i="5"/>
  <c r="CQ289" i="5"/>
  <c r="AW261" i="5"/>
  <c r="CH261" i="5" s="1"/>
  <c r="FD388" i="5"/>
  <c r="CW388" i="5"/>
  <c r="FD253" i="5"/>
  <c r="CQ253" i="5"/>
  <c r="DH498" i="5"/>
  <c r="EL498" i="5"/>
  <c r="EM498" i="5"/>
  <c r="FD419" i="5"/>
  <c r="CW419" i="5"/>
  <c r="DG288" i="5"/>
  <c r="AW416" i="5"/>
  <c r="CH416" i="5" s="1"/>
  <c r="BB313" i="5"/>
  <c r="BD309" i="5"/>
  <c r="BD452" i="5"/>
  <c r="BD420" i="5"/>
  <c r="BD293" i="5"/>
  <c r="ES66" i="5"/>
  <c r="ET66" i="5" s="1"/>
  <c r="ET91" i="5"/>
  <c r="EN91" i="5"/>
  <c r="EO91" i="5" s="1"/>
  <c r="EP91" i="5" s="1"/>
  <c r="AV241" i="5"/>
  <c r="AV196" i="5"/>
  <c r="FU250" i="5"/>
  <c r="CM250" i="5" s="1"/>
  <c r="EN156" i="5"/>
  <c r="EO156" i="5" s="1"/>
  <c r="EP156" i="5" s="1"/>
  <c r="BG119" i="5"/>
  <c r="BI119" i="5" s="1"/>
  <c r="BJ119" i="5" s="1"/>
  <c r="EC119" i="5" s="1"/>
  <c r="EB119" i="5" s="1"/>
  <c r="AW375" i="5"/>
  <c r="CH375" i="5" s="1"/>
  <c r="AW347" i="5"/>
  <c r="CH347" i="5" s="1"/>
  <c r="DI473" i="5"/>
  <c r="DJ473" i="5"/>
  <c r="DG341" i="5"/>
  <c r="AW450" i="5"/>
  <c r="CH450" i="5" s="1"/>
  <c r="FD255" i="5"/>
  <c r="CW255" i="5"/>
  <c r="BJ97" i="5"/>
  <c r="EC97" i="5" s="1"/>
  <c r="DX270" i="5"/>
  <c r="CL270" i="5" s="1"/>
  <c r="FB148" i="5"/>
  <c r="CV148" i="5"/>
  <c r="DX255" i="5"/>
  <c r="CL255" i="5" s="1"/>
  <c r="FB322" i="5"/>
  <c r="CV322" i="5"/>
  <c r="DX347" i="5"/>
  <c r="CL347" i="5" s="1"/>
  <c r="FB262" i="5"/>
  <c r="CV262" i="5"/>
  <c r="DX388" i="5"/>
  <c r="CL388" i="5" s="1"/>
  <c r="DX375" i="5"/>
  <c r="CL375" i="5" s="1"/>
  <c r="CP446" i="5"/>
  <c r="FB446" i="5"/>
  <c r="DX324" i="5"/>
  <c r="CL324" i="5" s="1"/>
  <c r="DX398" i="5"/>
  <c r="CL398" i="5" s="1"/>
  <c r="AZ187" i="5"/>
  <c r="CI187" i="5" s="1"/>
  <c r="AR187" i="5"/>
  <c r="CG187" i="5" s="1"/>
  <c r="DC187" i="5"/>
  <c r="FR105" i="5"/>
  <c r="FU105" i="5" s="1"/>
  <c r="AY105" i="5"/>
  <c r="AZ105" i="5" s="1"/>
  <c r="FS142" i="5"/>
  <c r="FU142" i="5" s="1"/>
  <c r="CM142" i="5" s="1"/>
  <c r="BX142" i="5"/>
  <c r="BY142" i="5" s="1"/>
  <c r="AR147" i="5"/>
  <c r="CG147" i="5" s="1"/>
  <c r="DD147" i="5"/>
  <c r="ES147" i="5" s="1"/>
  <c r="AZ176" i="5"/>
  <c r="CI176" i="5" s="1"/>
  <c r="AR176" i="5"/>
  <c r="CG176" i="5" s="1"/>
  <c r="DC176" i="5"/>
  <c r="AY78" i="5"/>
  <c r="AZ78" i="5" s="1"/>
  <c r="CI78" i="5" s="1"/>
  <c r="AF213" i="5"/>
  <c r="FS213" i="5"/>
  <c r="FU213" i="5" s="1"/>
  <c r="CM213" i="5" s="1"/>
  <c r="BU213" i="5"/>
  <c r="BL213" i="5"/>
  <c r="DT213" i="5" s="1"/>
  <c r="DV213" i="5" s="1"/>
  <c r="AH91" i="5"/>
  <c r="BE91" i="5"/>
  <c r="BU91" i="5"/>
  <c r="FR91" i="5"/>
  <c r="FU91" i="5" s="1"/>
  <c r="CM91" i="5" s="1"/>
  <c r="BL91" i="5"/>
  <c r="DT91" i="5" s="1"/>
  <c r="DV91" i="5" s="1"/>
  <c r="BT91" i="5"/>
  <c r="FS215" i="5"/>
  <c r="FU215" i="5" s="1"/>
  <c r="CM215" i="5" s="1"/>
  <c r="BT215" i="5"/>
  <c r="BU215" i="5"/>
  <c r="BL215" i="5"/>
  <c r="DT215" i="5" s="1"/>
  <c r="DV215" i="5" s="1"/>
  <c r="EB215" i="5" s="1"/>
  <c r="EB200" i="5"/>
  <c r="AZ183" i="5"/>
  <c r="CI183" i="5" s="1"/>
  <c r="AR183" i="5"/>
  <c r="CG183" i="5" s="1"/>
  <c r="DC183" i="5"/>
  <c r="EA250" i="5"/>
  <c r="EB250" i="5"/>
  <c r="AZ185" i="5"/>
  <c r="CI185" i="5" s="1"/>
  <c r="AR185" i="5"/>
  <c r="CG185" i="5" s="1"/>
  <c r="DC185" i="5"/>
  <c r="DC242" i="5"/>
  <c r="AR242" i="5"/>
  <c r="CG242" i="5" s="1"/>
  <c r="DC226" i="5"/>
  <c r="AR226" i="5"/>
  <c r="AZ239" i="5"/>
  <c r="CI239" i="5" s="1"/>
  <c r="DC239" i="5"/>
  <c r="AR239" i="5"/>
  <c r="CG239" i="5" s="1"/>
  <c r="AZ224" i="5"/>
  <c r="CI224" i="5" s="1"/>
  <c r="DC224" i="5"/>
  <c r="AR224" i="5"/>
  <c r="CG224" i="5" s="1"/>
  <c r="AR238" i="5"/>
  <c r="CG238" i="5" s="1"/>
  <c r="DC238" i="5"/>
  <c r="AZ225" i="5"/>
  <c r="CI225" i="5" s="1"/>
  <c r="DC225" i="5"/>
  <c r="AR225" i="5"/>
  <c r="CG225" i="5" s="1"/>
  <c r="DN187" i="5"/>
  <c r="DN76" i="5"/>
  <c r="DN70" i="5"/>
  <c r="DN120" i="5"/>
  <c r="DN56" i="5"/>
  <c r="DN114" i="5"/>
  <c r="DN236" i="5"/>
  <c r="DN66" i="5"/>
  <c r="DN83" i="5"/>
  <c r="DN58" i="5"/>
  <c r="AZ198" i="5"/>
  <c r="CI198" i="5" s="1"/>
  <c r="DC198" i="5"/>
  <c r="AR198" i="5"/>
  <c r="CG198" i="5" s="1"/>
  <c r="AR134" i="5"/>
  <c r="CG134" i="5" s="1"/>
  <c r="DD134" i="5"/>
  <c r="ES134" i="5" s="1"/>
  <c r="AZ215" i="5"/>
  <c r="CI215" i="5" s="1"/>
  <c r="AR215" i="5"/>
  <c r="CG215" i="5" s="1"/>
  <c r="DC215" i="5"/>
  <c r="AR139" i="5"/>
  <c r="CG139" i="5" s="1"/>
  <c r="DD139" i="5"/>
  <c r="ES139" i="5" s="1"/>
  <c r="FS212" i="5"/>
  <c r="FU212" i="5" s="1"/>
  <c r="CM212" i="5" s="1"/>
  <c r="BL212" i="5"/>
  <c r="DT212" i="5" s="1"/>
  <c r="DV212" i="5" s="1"/>
  <c r="EB212" i="5" s="1"/>
  <c r="BT212" i="5"/>
  <c r="BU212" i="5"/>
  <c r="AR132" i="5"/>
  <c r="CG132" i="5" s="1"/>
  <c r="DD132" i="5"/>
  <c r="ES132" i="5" s="1"/>
  <c r="AR217" i="5"/>
  <c r="DC217" i="5"/>
  <c r="AZ207" i="5"/>
  <c r="CI207" i="5" s="1"/>
  <c r="AR207" i="5"/>
  <c r="CG207" i="5" s="1"/>
  <c r="DC207" i="5"/>
  <c r="AR133" i="5"/>
  <c r="CG133" i="5" s="1"/>
  <c r="DD133" i="5"/>
  <c r="ES133" i="5" s="1"/>
  <c r="AS131" i="5"/>
  <c r="AT131" i="5" s="1"/>
  <c r="AS124" i="5"/>
  <c r="AT124" i="5" s="1"/>
  <c r="AS126" i="5"/>
  <c r="AT126" i="5" s="1"/>
  <c r="AS143" i="5"/>
  <c r="AT143" i="5" s="1"/>
  <c r="AT91" i="5"/>
  <c r="AY91" i="5"/>
  <c r="AZ91" i="5" s="1"/>
  <c r="CI91" i="5" s="1"/>
  <c r="BB249" i="5"/>
  <c r="AT249" i="5"/>
  <c r="BB242" i="5"/>
  <c r="AT242" i="5"/>
  <c r="BB172" i="5"/>
  <c r="AT172" i="5"/>
  <c r="BB175" i="5"/>
  <c r="AT175" i="5"/>
  <c r="BB174" i="5"/>
  <c r="AT174" i="5"/>
  <c r="BB179" i="5"/>
  <c r="BD179" i="5" s="1"/>
  <c r="AT179" i="5"/>
  <c r="AK218" i="5"/>
  <c r="AS108" i="5"/>
  <c r="AT108" i="5" s="1"/>
  <c r="AW108" i="5" s="1"/>
  <c r="AS121" i="5"/>
  <c r="AK220" i="5"/>
  <c r="DG443" i="5"/>
  <c r="CW363" i="5"/>
  <c r="FD363" i="5"/>
  <c r="DG285" i="5"/>
  <c r="FD423" i="5"/>
  <c r="CQ423" i="5"/>
  <c r="FB279" i="5"/>
  <c r="CP279" i="5"/>
  <c r="DK496" i="5"/>
  <c r="DL496" i="5" s="1"/>
  <c r="DM496" i="5" s="1"/>
  <c r="CO76" i="5"/>
  <c r="FA76" i="5"/>
  <c r="AS223" i="5"/>
  <c r="BB223" i="5" s="1"/>
  <c r="FC237" i="5"/>
  <c r="CR237" i="5"/>
  <c r="BV172" i="5"/>
  <c r="CC172" i="5" s="1"/>
  <c r="AV178" i="5"/>
  <c r="BV124" i="5"/>
  <c r="CC124" i="5" s="1"/>
  <c r="CE124" i="5" s="1"/>
  <c r="CJ124" i="5" s="1"/>
  <c r="CR132" i="5"/>
  <c r="FC132" i="5"/>
  <c r="ES116" i="5"/>
  <c r="ET116" i="5" s="1"/>
  <c r="ET90" i="5"/>
  <c r="EN90" i="5"/>
  <c r="EO90" i="5" s="1"/>
  <c r="EP90" i="5" s="1"/>
  <c r="AS238" i="5"/>
  <c r="BB238" i="5" s="1"/>
  <c r="AV223" i="5"/>
  <c r="AV177" i="5"/>
  <c r="DG350" i="5"/>
  <c r="CW313" i="5"/>
  <c r="FD313" i="5"/>
  <c r="DX440" i="5"/>
  <c r="CL440" i="5" s="1"/>
  <c r="FD285" i="5"/>
  <c r="CQ285" i="5"/>
  <c r="ES32" i="5"/>
  <c r="ET32" i="5" s="1"/>
  <c r="DX280" i="5"/>
  <c r="CL280" i="5" s="1"/>
  <c r="AW271" i="5"/>
  <c r="CH271" i="5" s="1"/>
  <c r="BD443" i="5"/>
  <c r="ES61" i="5"/>
  <c r="ET61" i="5" s="1"/>
  <c r="CO93" i="5"/>
  <c r="FA93" i="5"/>
  <c r="EN72" i="5"/>
  <c r="EO72" i="5" s="1"/>
  <c r="EP72" i="5" s="1"/>
  <c r="EB227" i="5"/>
  <c r="EA227" i="5"/>
  <c r="BV225" i="5"/>
  <c r="CC225" i="5" s="1"/>
  <c r="CE225" i="5" s="1"/>
  <c r="CJ225" i="5" s="1"/>
  <c r="EA242" i="5"/>
  <c r="EB242" i="5"/>
  <c r="AV218" i="5"/>
  <c r="BV184" i="5"/>
  <c r="CC184" i="5" s="1"/>
  <c r="DG183" i="5"/>
  <c r="AV187" i="5"/>
  <c r="EN195" i="5"/>
  <c r="EO195" i="5" s="1"/>
  <c r="EP195" i="5" s="1"/>
  <c r="BV133" i="5"/>
  <c r="CC133" i="5" s="1"/>
  <c r="CE133" i="5" s="1"/>
  <c r="CJ133" i="5" s="1"/>
  <c r="CR139" i="5"/>
  <c r="FC139" i="5"/>
  <c r="AO162" i="5"/>
  <c r="EN111" i="5"/>
  <c r="EO111" i="5" s="1"/>
  <c r="EP111" i="5" s="1"/>
  <c r="ET111" i="5"/>
  <c r="BV115" i="5"/>
  <c r="CC115" i="5" s="1"/>
  <c r="CE115" i="5" s="1"/>
  <c r="CJ115" i="5" s="1"/>
  <c r="BE105" i="5"/>
  <c r="AW428" i="5"/>
  <c r="CH428" i="5" s="1"/>
  <c r="AW447" i="5"/>
  <c r="CH447" i="5" s="1"/>
  <c r="DY92" i="5"/>
  <c r="DJ494" i="5"/>
  <c r="DI494" i="5"/>
  <c r="EN42" i="5"/>
  <c r="EO42" i="5" s="1"/>
  <c r="EP42" i="5" s="1"/>
  <c r="CQ378" i="5"/>
  <c r="FD378" i="5"/>
  <c r="DG267" i="5"/>
  <c r="CW435" i="5"/>
  <c r="FD435" i="5"/>
  <c r="DG396" i="5"/>
  <c r="BI96" i="5"/>
  <c r="BJ96" i="5" s="1"/>
  <c r="EC96" i="5" s="1"/>
  <c r="FD384" i="5"/>
  <c r="CQ384" i="5"/>
  <c r="CQ370" i="5"/>
  <c r="FD370" i="5"/>
  <c r="DG432" i="5"/>
  <c r="DK43" i="5"/>
  <c r="AW349" i="5"/>
  <c r="CH349" i="5" s="1"/>
  <c r="BD436" i="5"/>
  <c r="BD377" i="5"/>
  <c r="BV134" i="5"/>
  <c r="CC134" i="5" s="1"/>
  <c r="CE134" i="5" s="1"/>
  <c r="CJ134" i="5" s="1"/>
  <c r="AY142" i="5"/>
  <c r="AZ142" i="5" s="1"/>
  <c r="CI142" i="5" s="1"/>
  <c r="ET138" i="5"/>
  <c r="EN138" i="5"/>
  <c r="EO138" i="5" s="1"/>
  <c r="EP138" i="5" s="1"/>
  <c r="ET121" i="5"/>
  <c r="EN121" i="5"/>
  <c r="EO121" i="5" s="1"/>
  <c r="EP121" i="5" s="1"/>
  <c r="ES106" i="5"/>
  <c r="ET106" i="5" s="1"/>
  <c r="DX382" i="5"/>
  <c r="CL382" i="5" s="1"/>
  <c r="AW344" i="5"/>
  <c r="CH344" i="5" s="1"/>
  <c r="DG304" i="5"/>
  <c r="FB337" i="5"/>
  <c r="CP337" i="5"/>
  <c r="BI98" i="5"/>
  <c r="BJ98" i="5" s="1"/>
  <c r="EC98" i="5" s="1"/>
  <c r="CW361" i="5"/>
  <c r="FD361" i="5"/>
  <c r="DG292" i="5"/>
  <c r="DX281" i="5"/>
  <c r="CL281" i="5" s="1"/>
  <c r="AT396" i="5"/>
  <c r="AT256" i="5"/>
  <c r="ET94" i="5"/>
  <c r="EN94" i="5"/>
  <c r="EO94" i="5" s="1"/>
  <c r="EP94" i="5" s="1"/>
  <c r="ET54" i="5"/>
  <c r="EN54" i="5"/>
  <c r="EO54" i="5" s="1"/>
  <c r="EP54" i="5" s="1"/>
  <c r="BV228" i="5"/>
  <c r="CC228" i="5" s="1"/>
  <c r="BV244" i="5"/>
  <c r="CC244" i="5" s="1"/>
  <c r="AV189" i="5"/>
  <c r="CX145" i="5"/>
  <c r="FC145" i="5"/>
  <c r="FC129" i="5"/>
  <c r="CR129" i="5"/>
  <c r="EN249" i="5"/>
  <c r="EO249" i="5" s="1"/>
  <c r="EP249" i="5" s="1"/>
  <c r="ES113" i="5"/>
  <c r="ET113" i="5" s="1"/>
  <c r="DY77" i="5"/>
  <c r="CV280" i="5"/>
  <c r="FB280" i="5"/>
  <c r="EA223" i="5"/>
  <c r="EB223" i="5"/>
  <c r="EN133" i="5"/>
  <c r="EO133" i="5" s="1"/>
  <c r="EP133" i="5" s="1"/>
  <c r="ET133" i="5"/>
  <c r="DX318" i="5"/>
  <c r="CL318" i="5" s="1"/>
  <c r="CW305" i="5"/>
  <c r="FD305" i="5"/>
  <c r="DG294" i="5"/>
  <c r="DX309" i="5"/>
  <c r="CL309" i="5" s="1"/>
  <c r="DG353" i="5"/>
  <c r="AW282" i="5"/>
  <c r="CH282" i="5" s="1"/>
  <c r="AT421" i="5"/>
  <c r="BD353" i="5"/>
  <c r="ET69" i="5"/>
  <c r="EN69" i="5"/>
  <c r="EO69" i="5" s="1"/>
  <c r="EP69" i="5" s="1"/>
  <c r="ET53" i="5"/>
  <c r="EN53" i="5"/>
  <c r="EO53" i="5"/>
  <c r="EP53" i="5" s="1"/>
  <c r="EH53" i="5"/>
  <c r="AV221" i="5"/>
  <c r="BV187" i="5"/>
  <c r="CC187" i="5" s="1"/>
  <c r="AV174" i="5"/>
  <c r="CR128" i="5"/>
  <c r="FC128" i="5"/>
  <c r="AO165" i="5"/>
  <c r="EN158" i="5"/>
  <c r="EO158" i="5" s="1"/>
  <c r="EP158" i="5" s="1"/>
  <c r="EQ158" i="5" s="1"/>
  <c r="EN114" i="5"/>
  <c r="EO114" i="5" s="1"/>
  <c r="EP114" i="5" s="1"/>
  <c r="ET114" i="5"/>
  <c r="AY122" i="5"/>
  <c r="AZ122" i="5" s="1"/>
  <c r="CI122" i="5" s="1"/>
  <c r="FD275" i="5"/>
  <c r="CW275" i="5"/>
  <c r="DG289" i="5"/>
  <c r="CQ252" i="5"/>
  <c r="FD252" i="5"/>
  <c r="DG306" i="5"/>
  <c r="DG308" i="5"/>
  <c r="DG253" i="5"/>
  <c r="FD103" i="5"/>
  <c r="CQ103" i="5"/>
  <c r="DX384" i="5"/>
  <c r="CL384" i="5" s="1"/>
  <c r="FD100" i="5"/>
  <c r="CQ100" i="5"/>
  <c r="CQ353" i="5"/>
  <c r="FD353" i="5"/>
  <c r="AT298" i="5"/>
  <c r="BD400" i="5"/>
  <c r="CO81" i="5"/>
  <c r="FA81" i="5"/>
  <c r="ET84" i="5"/>
  <c r="EN84" i="5"/>
  <c r="EO84" i="5" s="1"/>
  <c r="EP84" i="5" s="1"/>
  <c r="BC183" i="5"/>
  <c r="BV230" i="5"/>
  <c r="CC230" i="5" s="1"/>
  <c r="CE230" i="5" s="1"/>
  <c r="BV246" i="5"/>
  <c r="CC246" i="5" s="1"/>
  <c r="AV211" i="5"/>
  <c r="EO167" i="5"/>
  <c r="EP167" i="5" s="1"/>
  <c r="EN167" i="5"/>
  <c r="EB232" i="5"/>
  <c r="EA232" i="5"/>
  <c r="BV147" i="5"/>
  <c r="CC147" i="5" s="1"/>
  <c r="CE147" i="5" s="1"/>
  <c r="CJ147" i="5" s="1"/>
  <c r="DI480" i="5"/>
  <c r="DJ480" i="5"/>
  <c r="AW327" i="5"/>
  <c r="CH327" i="5" s="1"/>
  <c r="DX429" i="5"/>
  <c r="CL429" i="5" s="1"/>
  <c r="DG351" i="5"/>
  <c r="BJ101" i="5"/>
  <c r="EC101" i="5" s="1"/>
  <c r="CW151" i="5"/>
  <c r="FD151" i="5"/>
  <c r="DK40" i="5"/>
  <c r="FD364" i="5"/>
  <c r="CQ364" i="5"/>
  <c r="AV147" i="5"/>
  <c r="DX413" i="5"/>
  <c r="CL413" i="5" s="1"/>
  <c r="DG333" i="5"/>
  <c r="CO66" i="5"/>
  <c r="FA66" i="5"/>
  <c r="BC236" i="5"/>
  <c r="BV239" i="5"/>
  <c r="CC239" i="5" s="1"/>
  <c r="CE239" i="5" s="1"/>
  <c r="CJ239" i="5" s="1"/>
  <c r="AV184" i="5"/>
  <c r="AO159" i="5"/>
  <c r="AW328" i="5"/>
  <c r="CH328" i="5" s="1"/>
  <c r="AW264" i="5"/>
  <c r="CH264" i="5" s="1"/>
  <c r="DH484" i="5"/>
  <c r="EL484" i="5"/>
  <c r="EM484" i="5"/>
  <c r="CP397" i="5"/>
  <c r="FB397" i="5"/>
  <c r="EQ477" i="5"/>
  <c r="ER477" i="5" s="1"/>
  <c r="CW418" i="5"/>
  <c r="FD418" i="5"/>
  <c r="BI99" i="5"/>
  <c r="FD399" i="5"/>
  <c r="CW399" i="5"/>
  <c r="FD328" i="5"/>
  <c r="CQ328" i="5"/>
  <c r="DK32" i="5"/>
  <c r="DG449" i="5"/>
  <c r="AV137" i="5"/>
  <c r="DG287" i="5"/>
  <c r="CP362" i="5"/>
  <c r="FB362" i="5"/>
  <c r="CV150" i="5"/>
  <c r="FB150" i="5"/>
  <c r="FB359" i="5"/>
  <c r="CV359" i="5"/>
  <c r="DX372" i="5"/>
  <c r="CL372" i="5" s="1"/>
  <c r="DX439" i="5"/>
  <c r="CL439" i="5" s="1"/>
  <c r="AY94" i="5"/>
  <c r="AZ94" i="5" s="1"/>
  <c r="CI94" i="5" s="1"/>
  <c r="BE79" i="5"/>
  <c r="BU79" i="5"/>
  <c r="FR79" i="5"/>
  <c r="FU79" i="5" s="1"/>
  <c r="CM79" i="5" s="1"/>
  <c r="BL79" i="5"/>
  <c r="DT79" i="5" s="1"/>
  <c r="DV79" i="5" s="1"/>
  <c r="BT79" i="5"/>
  <c r="BU197" i="5"/>
  <c r="FS197" i="5"/>
  <c r="FU197" i="5" s="1"/>
  <c r="CM197" i="5" s="1"/>
  <c r="BT197" i="5"/>
  <c r="BL197" i="5"/>
  <c r="DT197" i="5" s="1"/>
  <c r="DV197" i="5" s="1"/>
  <c r="EB197" i="5" s="1"/>
  <c r="FS202" i="5"/>
  <c r="FU202" i="5" s="1"/>
  <c r="CM202" i="5" s="1"/>
  <c r="BT202" i="5"/>
  <c r="BU202" i="5"/>
  <c r="BL202" i="5"/>
  <c r="DT202" i="5" s="1"/>
  <c r="DV202" i="5" s="1"/>
  <c r="EB202" i="5" s="1"/>
  <c r="AZ191" i="5"/>
  <c r="CI191" i="5" s="1"/>
  <c r="AR191" i="5"/>
  <c r="CG191" i="5" s="1"/>
  <c r="DC191" i="5"/>
  <c r="AZ206" i="5"/>
  <c r="CI206" i="5" s="1"/>
  <c r="DC206" i="5"/>
  <c r="AR206" i="5"/>
  <c r="CG206" i="5" s="1"/>
  <c r="DC246" i="5"/>
  <c r="AR246" i="5"/>
  <c r="AZ243" i="5"/>
  <c r="CI243" i="5" s="1"/>
  <c r="AR243" i="5"/>
  <c r="CG243" i="5" s="1"/>
  <c r="DC243" i="5"/>
  <c r="DC234" i="5"/>
  <c r="AR234" i="5"/>
  <c r="DN191" i="5"/>
  <c r="DN53" i="5"/>
  <c r="EG216" i="5"/>
  <c r="EJ216" i="5" s="1"/>
  <c r="EK216" i="5" s="1"/>
  <c r="DN74" i="5"/>
  <c r="DN61" i="5"/>
  <c r="DN62" i="5"/>
  <c r="DN87" i="5"/>
  <c r="DN82" i="5"/>
  <c r="AZ202" i="5"/>
  <c r="CI202" i="5" s="1"/>
  <c r="DC202" i="5"/>
  <c r="AR202" i="5"/>
  <c r="CG202" i="5" s="1"/>
  <c r="DD130" i="5"/>
  <c r="ES130" i="5" s="1"/>
  <c r="AR130" i="5"/>
  <c r="CG130" i="5" s="1"/>
  <c r="AZ170" i="5"/>
  <c r="CI170" i="5" s="1"/>
  <c r="AR170" i="5"/>
  <c r="CG170" i="5" s="1"/>
  <c r="DC170" i="5"/>
  <c r="AZ197" i="5"/>
  <c r="CI197" i="5" s="1"/>
  <c r="AR197" i="5"/>
  <c r="CG197" i="5" s="1"/>
  <c r="DC197" i="5"/>
  <c r="AR135" i="5"/>
  <c r="CG135" i="5" s="1"/>
  <c r="DD135" i="5"/>
  <c r="ES135" i="5" s="1"/>
  <c r="AZ200" i="5"/>
  <c r="CI200" i="5" s="1"/>
  <c r="DC200" i="5"/>
  <c r="AR200" i="5"/>
  <c r="CG200" i="5" s="1"/>
  <c r="AR128" i="5"/>
  <c r="CG128" i="5" s="1"/>
  <c r="DD128" i="5"/>
  <c r="ES128" i="5" s="1"/>
  <c r="AV128" i="5"/>
  <c r="AZ199" i="5"/>
  <c r="CI199" i="5" s="1"/>
  <c r="AR199" i="5"/>
  <c r="CG199" i="5" s="1"/>
  <c r="DC199" i="5"/>
  <c r="AR129" i="5"/>
  <c r="CG129" i="5" s="1"/>
  <c r="DD129" i="5"/>
  <c r="ES129" i="5" s="1"/>
  <c r="AT228" i="5"/>
  <c r="BB228" i="5"/>
  <c r="BB235" i="5"/>
  <c r="AT235" i="5"/>
  <c r="AS134" i="5"/>
  <c r="AT134" i="5" s="1"/>
  <c r="AS141" i="5"/>
  <c r="AT141" i="5" s="1"/>
  <c r="BB181" i="5"/>
  <c r="AT181" i="5"/>
  <c r="BB185" i="5"/>
  <c r="AT185" i="5"/>
  <c r="AS116" i="5"/>
  <c r="AS117" i="5"/>
  <c r="AT117" i="5" s="1"/>
  <c r="AN196" i="5"/>
  <c r="DO196" i="5" s="1"/>
  <c r="EG196" i="5" s="1"/>
  <c r="EJ196" i="5" s="1"/>
  <c r="EK196" i="5" s="1"/>
  <c r="AS115" i="5"/>
  <c r="AT115" i="5" s="1"/>
  <c r="DJ476" i="5"/>
  <c r="DI476" i="5"/>
  <c r="DG302" i="5"/>
  <c r="DG438" i="5"/>
  <c r="AW357" i="5"/>
  <c r="CH357" i="5" s="1"/>
  <c r="AW406" i="5"/>
  <c r="CH406" i="5" s="1"/>
  <c r="EN81" i="5"/>
  <c r="EO81" i="5" s="1"/>
  <c r="EP81" i="5" s="1"/>
  <c r="ET81" i="5"/>
  <c r="AS231" i="5"/>
  <c r="AT231" i="5" s="1"/>
  <c r="FC245" i="5"/>
  <c r="CR245" i="5"/>
  <c r="AV239" i="5"/>
  <c r="EN192" i="5"/>
  <c r="EO192" i="5" s="1"/>
  <c r="EP192" i="5" s="1"/>
  <c r="AV198" i="5"/>
  <c r="FD140" i="5"/>
  <c r="CW140" i="5"/>
  <c r="BT163" i="5"/>
  <c r="BV163" i="5" s="1"/>
  <c r="CC163" i="5" s="1"/>
  <c r="CE163" i="5" s="1"/>
  <c r="EN162" i="5"/>
  <c r="EO162" i="5" s="1"/>
  <c r="EP162" i="5" s="1"/>
  <c r="AW340" i="5"/>
  <c r="CH340" i="5" s="1"/>
  <c r="DX405" i="5"/>
  <c r="CL405" i="5" s="1"/>
  <c r="FD263" i="5"/>
  <c r="CW263" i="5"/>
  <c r="FD420" i="5"/>
  <c r="CQ420" i="5"/>
  <c r="AW435" i="5"/>
  <c r="CH435" i="5" s="1"/>
  <c r="AV129" i="5"/>
  <c r="DX257" i="5"/>
  <c r="CL257" i="5" s="1"/>
  <c r="AW286" i="5"/>
  <c r="CH286" i="5" s="1"/>
  <c r="CP272" i="5"/>
  <c r="FB272" i="5"/>
  <c r="EQ497" i="5"/>
  <c r="ER497" i="5" s="1"/>
  <c r="DG283" i="5"/>
  <c r="CP351" i="5"/>
  <c r="FB351" i="5"/>
  <c r="DG373" i="5"/>
  <c r="DX263" i="5"/>
  <c r="CL263" i="5" s="1"/>
  <c r="AW314" i="5"/>
  <c r="CH314" i="5" s="1"/>
  <c r="BD378" i="5"/>
  <c r="AV247" i="5"/>
  <c r="AV199" i="5"/>
  <c r="BT250" i="5"/>
  <c r="BV250" i="5" s="1"/>
  <c r="CC250" i="5" s="1"/>
  <c r="CE250" i="5" s="1"/>
  <c r="CJ250" i="5" s="1"/>
  <c r="EN74" i="5"/>
  <c r="EO74" i="5" s="1"/>
  <c r="EP74" i="5" s="1"/>
  <c r="EN117" i="5"/>
  <c r="EO117" i="5" s="1"/>
  <c r="EP117" i="5" s="1"/>
  <c r="DX345" i="5"/>
  <c r="CL345" i="5" s="1"/>
  <c r="FD259" i="5"/>
  <c r="CQ259" i="5"/>
  <c r="CQ344" i="5"/>
  <c r="FD344" i="5"/>
  <c r="FD368" i="5"/>
  <c r="CQ368" i="5"/>
  <c r="DX339" i="5"/>
  <c r="CL339" i="5" s="1"/>
  <c r="FD337" i="5"/>
  <c r="CQ337" i="5"/>
  <c r="AW398" i="5"/>
  <c r="CH398" i="5" s="1"/>
  <c r="AW373" i="5"/>
  <c r="CH373" i="5" s="1"/>
  <c r="AW426" i="5"/>
  <c r="CH426" i="5" s="1"/>
  <c r="AW316" i="5"/>
  <c r="CH316" i="5" s="1"/>
  <c r="CO70" i="5"/>
  <c r="FA70" i="5"/>
  <c r="EN87" i="5"/>
  <c r="EO87" i="5" s="1"/>
  <c r="EP87" i="5" s="1"/>
  <c r="ET87" i="5"/>
  <c r="AV246" i="5"/>
  <c r="AV172" i="5"/>
  <c r="AV200" i="5"/>
  <c r="CR138" i="5"/>
  <c r="FC138" i="5"/>
  <c r="BT251" i="5"/>
  <c r="BV251" i="5" s="1"/>
  <c r="CC251" i="5" s="1"/>
  <c r="CE251" i="5" s="1"/>
  <c r="CJ251" i="5" s="1"/>
  <c r="BT165" i="5"/>
  <c r="BV165" i="5" s="1"/>
  <c r="CC165" i="5" s="1"/>
  <c r="CE165" i="5" s="1"/>
  <c r="AW100" i="5"/>
  <c r="CH100" i="5" s="1"/>
  <c r="AW329" i="5"/>
  <c r="CH329" i="5" s="1"/>
  <c r="CQ303" i="5"/>
  <c r="FD303" i="5"/>
  <c r="DG330" i="5"/>
  <c r="FD256" i="5"/>
  <c r="CW256" i="5"/>
  <c r="CW286" i="5"/>
  <c r="FD286" i="5"/>
  <c r="CP333" i="5"/>
  <c r="FB333" i="5"/>
  <c r="DG262" i="5"/>
  <c r="DG279" i="5"/>
  <c r="AN173" i="5"/>
  <c r="DO173" i="5" s="1"/>
  <c r="EG173" i="5" s="1"/>
  <c r="EJ173" i="5" s="1"/>
  <c r="EK173" i="5" s="1"/>
  <c r="BD429" i="5"/>
  <c r="BD336" i="5"/>
  <c r="BD357" i="5"/>
  <c r="ES71" i="5"/>
  <c r="ET71" i="5" s="1"/>
  <c r="ET70" i="5"/>
  <c r="EN70" i="5"/>
  <c r="EO70" i="5" s="1"/>
  <c r="EP70" i="5" s="1"/>
  <c r="BJ143" i="5"/>
  <c r="EC143" i="5" s="1"/>
  <c r="EB143" i="5" s="1"/>
  <c r="FD135" i="5"/>
  <c r="CQ135" i="5"/>
  <c r="CR137" i="5"/>
  <c r="FC137" i="5"/>
  <c r="AO164" i="5"/>
  <c r="EN157" i="5"/>
  <c r="EO157" i="5" s="1"/>
  <c r="EP157" i="5" s="1"/>
  <c r="EN113" i="5"/>
  <c r="EO113" i="5" s="1"/>
  <c r="EP113" i="5" s="1"/>
  <c r="CQ113" i="5"/>
  <c r="FD113" i="5"/>
  <c r="BG116" i="5"/>
  <c r="BI116" i="5" s="1"/>
  <c r="BJ116" i="5" s="1"/>
  <c r="EC116" i="5" s="1"/>
  <c r="EB116" i="5" s="1"/>
  <c r="FA113" i="5"/>
  <c r="CO113" i="5"/>
  <c r="AV130" i="5"/>
  <c r="BD287" i="5"/>
  <c r="AV205" i="5"/>
  <c r="DY94" i="5"/>
  <c r="DI477" i="5"/>
  <c r="DJ477" i="5"/>
  <c r="FD426" i="5"/>
  <c r="CQ426" i="5"/>
  <c r="FD297" i="5"/>
  <c r="CW297" i="5"/>
  <c r="FB273" i="5"/>
  <c r="CV273" i="5"/>
  <c r="DH470" i="5"/>
  <c r="EL470" i="5"/>
  <c r="EM470" i="5"/>
  <c r="CV410" i="5"/>
  <c r="FB410" i="5"/>
  <c r="BD437" i="5"/>
  <c r="BD435" i="5"/>
  <c r="ES72" i="5"/>
  <c r="ET72" i="5" s="1"/>
  <c r="CE229" i="5"/>
  <c r="CJ229" i="5" s="1"/>
  <c r="CE245" i="5"/>
  <c r="CJ245" i="5" s="1"/>
  <c r="AV210" i="5"/>
  <c r="BJ136" i="5"/>
  <c r="EC136" i="5" s="1"/>
  <c r="EB136" i="5" s="1"/>
  <c r="BF117" i="5"/>
  <c r="BH117" i="5" s="1"/>
  <c r="AV244" i="5"/>
  <c r="FD376" i="5"/>
  <c r="CQ376" i="5"/>
  <c r="FD301" i="5"/>
  <c r="CW301" i="5"/>
  <c r="AW356" i="5"/>
  <c r="CH356" i="5" s="1"/>
  <c r="DG444" i="5"/>
  <c r="FD294" i="5"/>
  <c r="CQ294" i="5"/>
  <c r="DX298" i="5"/>
  <c r="CL298" i="5" s="1"/>
  <c r="DG335" i="5"/>
  <c r="CQ279" i="5"/>
  <c r="FD279" i="5"/>
  <c r="AW411" i="5"/>
  <c r="CH411" i="5" s="1"/>
  <c r="AT434" i="5"/>
  <c r="BD369" i="5"/>
  <c r="ES57" i="5"/>
  <c r="ET57" i="5" s="1"/>
  <c r="CO89" i="5"/>
  <c r="FA89" i="5"/>
  <c r="BC191" i="5"/>
  <c r="EB230" i="5"/>
  <c r="EA230" i="5"/>
  <c r="EB246" i="5"/>
  <c r="EA246" i="5"/>
  <c r="AV175" i="5"/>
  <c r="BJ137" i="5"/>
  <c r="EC137" i="5" s="1"/>
  <c r="EB137" i="5" s="1"/>
  <c r="BT160" i="5"/>
  <c r="BV160" i="5" s="1"/>
  <c r="CC160" i="5" s="1"/>
  <c r="CE160" i="5" s="1"/>
  <c r="AS222" i="5"/>
  <c r="AT222" i="5" s="1"/>
  <c r="AV240" i="5"/>
  <c r="AV213" i="5"/>
  <c r="EN109" i="5"/>
  <c r="EO109" i="5"/>
  <c r="EP109" i="5" s="1"/>
  <c r="ET109" i="5"/>
  <c r="DH491" i="5"/>
  <c r="EL491" i="5"/>
  <c r="EM491" i="5"/>
  <c r="CQ311" i="5"/>
  <c r="FD311" i="5"/>
  <c r="FB258" i="5"/>
  <c r="CP258" i="5"/>
  <c r="AV136" i="5"/>
  <c r="DX349" i="5"/>
  <c r="CL349" i="5" s="1"/>
  <c r="DG300" i="5"/>
  <c r="DG269" i="5"/>
  <c r="DG296" i="5"/>
  <c r="FD446" i="5"/>
  <c r="CQ446" i="5"/>
  <c r="AW445" i="5"/>
  <c r="CH445" i="5" s="1"/>
  <c r="BB414" i="5"/>
  <c r="BD414" i="5" s="1"/>
  <c r="BD390" i="5"/>
  <c r="BD302" i="5"/>
  <c r="BD382" i="5"/>
  <c r="BD289" i="5"/>
  <c r="ES74" i="5"/>
  <c r="ET74" i="5" s="1"/>
  <c r="ET67" i="5"/>
  <c r="EN67" i="5"/>
  <c r="EO67" i="5" s="1"/>
  <c r="EP67" i="5" s="1"/>
  <c r="AV204" i="5"/>
  <c r="BG129" i="5"/>
  <c r="BI129" i="5" s="1"/>
  <c r="BJ129" i="5" s="1"/>
  <c r="EC129" i="5" s="1"/>
  <c r="EB129" i="5" s="1"/>
  <c r="FD125" i="5"/>
  <c r="CQ125" i="5"/>
  <c r="EN134" i="5"/>
  <c r="EO134" i="5" s="1"/>
  <c r="EP134" i="5" s="1"/>
  <c r="DY105" i="5"/>
  <c r="DG334" i="5"/>
  <c r="BJ99" i="5"/>
  <c r="EC99" i="5" s="1"/>
  <c r="FD296" i="5"/>
  <c r="CW296" i="5"/>
  <c r="EV21" i="5"/>
  <c r="DX21" i="5" s="1"/>
  <c r="ER21" i="5"/>
  <c r="FB288" i="5"/>
  <c r="CV288" i="5"/>
  <c r="ER478" i="5"/>
  <c r="FB367" i="5"/>
  <c r="CV367" i="5"/>
  <c r="DX400" i="5"/>
  <c r="CL400" i="5" s="1"/>
  <c r="DX314" i="5"/>
  <c r="CL314" i="5" s="1"/>
  <c r="DX434" i="5"/>
  <c r="CL434" i="5" s="1"/>
  <c r="DX316" i="5"/>
  <c r="CL316" i="5" s="1"/>
  <c r="DX320" i="5"/>
  <c r="CL320" i="5" s="1"/>
  <c r="BE93" i="5"/>
  <c r="BU93" i="5"/>
  <c r="FR93" i="5"/>
  <c r="FU93" i="5" s="1"/>
  <c r="CM93" i="5" s="1"/>
  <c r="BL93" i="5"/>
  <c r="DT93" i="5" s="1"/>
  <c r="DV93" i="5" s="1"/>
  <c r="BT93" i="5"/>
  <c r="BL207" i="5"/>
  <c r="DT207" i="5" s="1"/>
  <c r="DV207" i="5" s="1"/>
  <c r="EB207" i="5" s="1"/>
  <c r="BT207" i="5"/>
  <c r="BU207" i="5"/>
  <c r="FS207" i="5"/>
  <c r="FU207" i="5" s="1"/>
  <c r="CM207" i="5" s="1"/>
  <c r="AS212" i="5"/>
  <c r="BL204" i="5"/>
  <c r="DT204" i="5" s="1"/>
  <c r="DV204" i="5" s="1"/>
  <c r="FS204" i="5"/>
  <c r="FU204" i="5" s="1"/>
  <c r="CM204" i="5" s="1"/>
  <c r="BU204" i="5"/>
  <c r="AY88" i="5"/>
  <c r="AZ88" i="5" s="1"/>
  <c r="CI88" i="5" s="1"/>
  <c r="BB230" i="5"/>
  <c r="AT230" i="5"/>
  <c r="BE60" i="5"/>
  <c r="BU60" i="5"/>
  <c r="BL60" i="5"/>
  <c r="DT60" i="5" s="1"/>
  <c r="DV60" i="5" s="1"/>
  <c r="FR60" i="5"/>
  <c r="FU60" i="5" s="1"/>
  <c r="CM60" i="5" s="1"/>
  <c r="BT60" i="5"/>
  <c r="BL62" i="5"/>
  <c r="DT62" i="5" s="1"/>
  <c r="DV62" i="5" s="1"/>
  <c r="BT62" i="5"/>
  <c r="BE62" i="5"/>
  <c r="BU62" i="5"/>
  <c r="FR62" i="5"/>
  <c r="FU62" i="5" s="1"/>
  <c r="CM62" i="5" s="1"/>
  <c r="AD204" i="5"/>
  <c r="BU199" i="5"/>
  <c r="FS199" i="5"/>
  <c r="FU199" i="5" s="1"/>
  <c r="CM199" i="5" s="1"/>
  <c r="BL199" i="5"/>
  <c r="DT199" i="5" s="1"/>
  <c r="DV199" i="5" s="1"/>
  <c r="AF193" i="5"/>
  <c r="DY193" i="5"/>
  <c r="FS210" i="5"/>
  <c r="FU210" i="5" s="1"/>
  <c r="CM210" i="5" s="1"/>
  <c r="BL210" i="5"/>
  <c r="DT210" i="5" s="1"/>
  <c r="DV210" i="5" s="1"/>
  <c r="EB210" i="5" s="1"/>
  <c r="BT210" i="5"/>
  <c r="BU210" i="5"/>
  <c r="AZ193" i="5"/>
  <c r="CI193" i="5" s="1"/>
  <c r="AR193" i="5"/>
  <c r="CG193" i="5" s="1"/>
  <c r="DC193" i="5"/>
  <c r="AZ232" i="5"/>
  <c r="DC232" i="5"/>
  <c r="AR232" i="5"/>
  <c r="DC182" i="5"/>
  <c r="AR182" i="5"/>
  <c r="CG182" i="5" s="1"/>
  <c r="AR233" i="5"/>
  <c r="DC233" i="5"/>
  <c r="DC245" i="5"/>
  <c r="AR245" i="5"/>
  <c r="CG245" i="5" s="1"/>
  <c r="DN113" i="5"/>
  <c r="DN57" i="5"/>
  <c r="DN92" i="5"/>
  <c r="DN67" i="5"/>
  <c r="DN64" i="5"/>
  <c r="DN60" i="5"/>
  <c r="S231" i="5"/>
  <c r="AZ208" i="5"/>
  <c r="CI208" i="5" s="1"/>
  <c r="DC208" i="5"/>
  <c r="AR208" i="5"/>
  <c r="CG208" i="5" s="1"/>
  <c r="AR126" i="5"/>
  <c r="CG126" i="5" s="1"/>
  <c r="DD126" i="5"/>
  <c r="ES126" i="5" s="1"/>
  <c r="AZ201" i="5"/>
  <c r="CI201" i="5" s="1"/>
  <c r="AR201" i="5"/>
  <c r="CG201" i="5" s="1"/>
  <c r="DC201" i="5"/>
  <c r="AR131" i="5"/>
  <c r="CG131" i="5" s="1"/>
  <c r="DD131" i="5"/>
  <c r="ES131" i="5" s="1"/>
  <c r="AZ220" i="5"/>
  <c r="DC220" i="5"/>
  <c r="AR220" i="5"/>
  <c r="AZ204" i="5"/>
  <c r="CI204" i="5" s="1"/>
  <c r="DC204" i="5"/>
  <c r="AR204" i="5"/>
  <c r="CG204" i="5" s="1"/>
  <c r="AR124" i="5"/>
  <c r="CG124" i="5" s="1"/>
  <c r="CG4" i="5" s="1"/>
  <c r="DD124" i="5"/>
  <c r="ES124" i="5" s="1"/>
  <c r="AZ188" i="5"/>
  <c r="CI188" i="5" s="1"/>
  <c r="DC188" i="5"/>
  <c r="AR188" i="5"/>
  <c r="CG188" i="5" s="1"/>
  <c r="AZ203" i="5"/>
  <c r="CI203" i="5" s="1"/>
  <c r="AR203" i="5"/>
  <c r="CG203" i="5" s="1"/>
  <c r="DC203" i="5"/>
  <c r="AR125" i="5"/>
  <c r="CG125" i="5" s="1"/>
  <c r="DD125" i="5"/>
  <c r="ES125" i="5" s="1"/>
  <c r="AS136" i="5"/>
  <c r="AT136" i="5" s="1"/>
  <c r="AT232" i="5"/>
  <c r="BB232" i="5"/>
  <c r="AS130" i="5"/>
  <c r="AT130" i="5" s="1"/>
  <c r="AS147" i="5"/>
  <c r="AT147" i="5" s="1"/>
  <c r="AT62" i="5"/>
  <c r="AY62" i="5"/>
  <c r="AZ62" i="5" s="1"/>
  <c r="CI62" i="5" s="1"/>
  <c r="AT89" i="5"/>
  <c r="AY89" i="5"/>
  <c r="AZ89" i="5" s="1"/>
  <c r="CI89" i="5" s="1"/>
  <c r="AT116" i="5"/>
  <c r="AS133" i="5"/>
  <c r="AT133" i="5" s="1"/>
  <c r="AY66" i="5"/>
  <c r="AZ66" i="5" s="1"/>
  <c r="CI66" i="5" s="1"/>
  <c r="AT66" i="5"/>
  <c r="AT128" i="5"/>
  <c r="AT145" i="5"/>
  <c r="AY76" i="5"/>
  <c r="AZ76" i="5" s="1"/>
  <c r="CI76" i="5" s="1"/>
  <c r="AT76" i="5"/>
  <c r="AT184" i="5"/>
  <c r="BB184" i="5"/>
  <c r="BB187" i="5"/>
  <c r="BD187" i="5" s="1"/>
  <c r="AT187" i="5"/>
  <c r="AT186" i="5"/>
  <c r="BB186" i="5"/>
  <c r="BB189" i="5"/>
  <c r="AT189" i="5"/>
  <c r="FR106" i="5"/>
  <c r="FU106" i="5" s="1"/>
  <c r="AY106" i="5"/>
  <c r="AZ106" i="5" s="1"/>
  <c r="AT156" i="5"/>
  <c r="BB156" i="5"/>
  <c r="AS120" i="5"/>
  <c r="AT120" i="5" s="1"/>
  <c r="AT157" i="5"/>
  <c r="BB157" i="5"/>
  <c r="AT93" i="5"/>
  <c r="AY93" i="5"/>
  <c r="AZ93" i="5" s="1"/>
  <c r="CI93" i="5" s="1"/>
  <c r="FB277" i="5"/>
  <c r="CV277" i="5"/>
  <c r="DH492" i="5"/>
  <c r="EM492" i="5"/>
  <c r="EL492" i="5"/>
  <c r="DX310" i="5"/>
  <c r="CL310" i="5" s="1"/>
  <c r="FD343" i="5"/>
  <c r="CQ343" i="5"/>
  <c r="AV139" i="5"/>
  <c r="FB364" i="5"/>
  <c r="CP364" i="5"/>
  <c r="DG337" i="5"/>
  <c r="AW317" i="5"/>
  <c r="CH317" i="5" s="1"/>
  <c r="BD383" i="5"/>
  <c r="EN106" i="5"/>
  <c r="EO106" i="5" s="1"/>
  <c r="EP106" i="5" s="1"/>
  <c r="CO84" i="5"/>
  <c r="FA84" i="5"/>
  <c r="AS239" i="5"/>
  <c r="AT239" i="5" s="1"/>
  <c r="BV233" i="5"/>
  <c r="CC233" i="5" s="1"/>
  <c r="CE233" i="5" s="1"/>
  <c r="AV186" i="5"/>
  <c r="BT249" i="5"/>
  <c r="BV249" i="5" s="1"/>
  <c r="CC249" i="5" s="1"/>
  <c r="CE249" i="5" s="1"/>
  <c r="CJ249" i="5" s="1"/>
  <c r="EB163" i="5"/>
  <c r="BT106" i="5"/>
  <c r="BV106" i="5" s="1"/>
  <c r="CC106" i="5" s="1"/>
  <c r="CE106" i="5" s="1"/>
  <c r="BD444" i="5"/>
  <c r="BX119" i="5"/>
  <c r="BY119" i="5" s="1"/>
  <c r="CC119" i="5" s="1"/>
  <c r="CE119" i="5" s="1"/>
  <c r="CJ119" i="5" s="1"/>
  <c r="EN141" i="5"/>
  <c r="EO141" i="5" s="1"/>
  <c r="EP141" i="5" s="1"/>
  <c r="ET141" i="5"/>
  <c r="FD372" i="5"/>
  <c r="CQ372" i="5"/>
  <c r="FD334" i="5"/>
  <c r="CW334" i="5"/>
  <c r="AV135" i="5"/>
  <c r="DX344" i="5"/>
  <c r="CL344" i="5" s="1"/>
  <c r="DI497" i="5"/>
  <c r="DJ497" i="5"/>
  <c r="AT302" i="5"/>
  <c r="AW97" i="5"/>
  <c r="CH97" i="5" s="1"/>
  <c r="AW442" i="5"/>
  <c r="CH442" i="5" s="1"/>
  <c r="BD440" i="5"/>
  <c r="CO69" i="5"/>
  <c r="FA69" i="5"/>
  <c r="BC239" i="5"/>
  <c r="BV234" i="5"/>
  <c r="CC234" i="5" s="1"/>
  <c r="CO115" i="5"/>
  <c r="FA115" i="5"/>
  <c r="AV193" i="5"/>
  <c r="FD405" i="5"/>
  <c r="CW405" i="5"/>
  <c r="DG261" i="5"/>
  <c r="DG361" i="5"/>
  <c r="DG286" i="5"/>
  <c r="CW440" i="5"/>
  <c r="FD440" i="5"/>
  <c r="CQ265" i="5"/>
  <c r="FD265" i="5"/>
  <c r="DG354" i="5"/>
  <c r="FD409" i="5"/>
  <c r="CQ409" i="5"/>
  <c r="FD352" i="5"/>
  <c r="CQ352" i="5"/>
  <c r="AW102" i="5"/>
  <c r="CH102" i="5" s="1"/>
  <c r="BD427" i="5"/>
  <c r="ET63" i="5"/>
  <c r="EN63" i="5"/>
  <c r="EO63" i="5" s="1"/>
  <c r="EP63" i="5" s="1"/>
  <c r="AS217" i="5"/>
  <c r="AT217" i="5" s="1"/>
  <c r="EB218" i="5"/>
  <c r="EA218" i="5"/>
  <c r="AV237" i="5"/>
  <c r="BV193" i="5"/>
  <c r="CC193" i="5" s="1"/>
  <c r="CE193" i="5" s="1"/>
  <c r="CJ193" i="5" s="1"/>
  <c r="BJ125" i="5"/>
  <c r="EC125" i="5" s="1"/>
  <c r="EB125" i="5" s="1"/>
  <c r="EN146" i="5"/>
  <c r="EO146" i="5" s="1"/>
  <c r="EP146" i="5" s="1"/>
  <c r="EB165" i="5"/>
  <c r="EN112" i="5"/>
  <c r="EO112" i="5" s="1"/>
  <c r="EP112" i="5" s="1"/>
  <c r="AT341" i="5"/>
  <c r="FB330" i="5"/>
  <c r="CP330" i="5"/>
  <c r="BB424" i="5"/>
  <c r="BD424" i="5" s="1"/>
  <c r="DG266" i="5"/>
  <c r="FD267" i="5"/>
  <c r="CW267" i="5"/>
  <c r="CW431" i="5"/>
  <c r="FD431" i="5"/>
  <c r="AW290" i="5"/>
  <c r="CH290" i="5" s="1"/>
  <c r="DG450" i="5"/>
  <c r="AW295" i="5"/>
  <c r="CH295" i="5" s="1"/>
  <c r="AT353" i="5"/>
  <c r="CO71" i="5"/>
  <c r="FA71" i="5"/>
  <c r="EB228" i="5"/>
  <c r="EA228" i="5"/>
  <c r="EB244" i="5"/>
  <c r="EA244" i="5"/>
  <c r="AV220" i="5"/>
  <c r="AY143" i="5"/>
  <c r="AZ143" i="5" s="1"/>
  <c r="CI143" i="5" s="1"/>
  <c r="EN165" i="5"/>
  <c r="EO165" i="5" s="1"/>
  <c r="EP165" i="5" s="1"/>
  <c r="ES105" i="5"/>
  <c r="AV232" i="5"/>
  <c r="DY60" i="5"/>
  <c r="DG332" i="5"/>
  <c r="DH490" i="5"/>
  <c r="EL490" i="5"/>
  <c r="EM490" i="5"/>
  <c r="DG369" i="5"/>
  <c r="FD284" i="5"/>
  <c r="CW284" i="5"/>
  <c r="FD150" i="5"/>
  <c r="CW150" i="5"/>
  <c r="DG290" i="5"/>
  <c r="FD450" i="5"/>
  <c r="CQ450" i="5"/>
  <c r="FD360" i="5"/>
  <c r="CQ360" i="5"/>
  <c r="AT413" i="5"/>
  <c r="AT390" i="5"/>
  <c r="BD449" i="5"/>
  <c r="CO72" i="5"/>
  <c r="FA72" i="5"/>
  <c r="EN85" i="5"/>
  <c r="EO85" i="5" s="1"/>
  <c r="EP85" i="5" s="1"/>
  <c r="ET85" i="5"/>
  <c r="BV220" i="5"/>
  <c r="CC220" i="5" s="1"/>
  <c r="CE220" i="5" s="1"/>
  <c r="AV243" i="5"/>
  <c r="CW144" i="5"/>
  <c r="FD144" i="5"/>
  <c r="ET144" i="5"/>
  <c r="EN144" i="5"/>
  <c r="EO144" i="5" s="1"/>
  <c r="EP144" i="5" s="1"/>
  <c r="ET128" i="5"/>
  <c r="EN128" i="5"/>
  <c r="EO128" i="5" s="1"/>
  <c r="EP128" i="5" s="1"/>
  <c r="BT159" i="5"/>
  <c r="BV159" i="5" s="1"/>
  <c r="CC159" i="5" s="1"/>
  <c r="CE159" i="5" s="1"/>
  <c r="ES117" i="5"/>
  <c r="ET117" i="5" s="1"/>
  <c r="AW453" i="5"/>
  <c r="CH453" i="5" s="1"/>
  <c r="FD318" i="5"/>
  <c r="CW318" i="5"/>
  <c r="DX414" i="5"/>
  <c r="CL414" i="5" s="1"/>
  <c r="CW290" i="5"/>
  <c r="FD290" i="5"/>
  <c r="CW309" i="5"/>
  <c r="FD309" i="5"/>
  <c r="DX371" i="5"/>
  <c r="CL371" i="5" s="1"/>
  <c r="AW293" i="5"/>
  <c r="CH293" i="5" s="1"/>
  <c r="AT274" i="5"/>
  <c r="AT382" i="5"/>
  <c r="AT425" i="5"/>
  <c r="AL23" i="5"/>
  <c r="AO23" i="5"/>
  <c r="BD349" i="5"/>
  <c r="CO57" i="5"/>
  <c r="FA57" i="5"/>
  <c r="ES89" i="5"/>
  <c r="ET89" i="5" s="1"/>
  <c r="ET76" i="5"/>
  <c r="EN76" i="5"/>
  <c r="EO76" i="5" s="1"/>
  <c r="EP76" i="5" s="1"/>
  <c r="AS246" i="5"/>
  <c r="AT246" i="5" s="1"/>
  <c r="AV222" i="5"/>
  <c r="CE188" i="5"/>
  <c r="CJ188" i="5" s="1"/>
  <c r="EN127" i="5"/>
  <c r="EO127" i="5" s="1"/>
  <c r="EP127" i="5" s="1"/>
  <c r="FU249" i="5"/>
  <c r="CM249" i="5" s="1"/>
  <c r="EB160" i="5"/>
  <c r="EL156" i="5"/>
  <c r="EM156" i="5"/>
  <c r="DG156" i="5"/>
  <c r="DV119" i="5"/>
  <c r="BD295" i="5"/>
  <c r="DJ486" i="5"/>
  <c r="DI486" i="5"/>
  <c r="DG395" i="5"/>
  <c r="CW437" i="5"/>
  <c r="FD437" i="5"/>
  <c r="DX393" i="5"/>
  <c r="CL393" i="5" s="1"/>
  <c r="CQ97" i="5"/>
  <c r="FD97" i="5"/>
  <c r="FD392" i="5"/>
  <c r="CW392" i="5"/>
  <c r="BJ103" i="5"/>
  <c r="EC103" i="5" s="1"/>
  <c r="DG326" i="5"/>
  <c r="BJ100" i="5"/>
  <c r="EC100" i="5" s="1"/>
  <c r="BD395" i="5"/>
  <c r="CO74" i="5"/>
  <c r="FA74" i="5"/>
  <c r="EA222" i="5"/>
  <c r="EB222" i="5"/>
  <c r="EA239" i="5"/>
  <c r="EB239" i="5"/>
  <c r="AV233" i="5"/>
  <c r="EN126" i="5"/>
  <c r="EO126" i="5" s="1"/>
  <c r="EP126" i="5" s="1"/>
  <c r="FA119" i="5"/>
  <c r="CU119" i="5"/>
  <c r="FD288" i="5"/>
  <c r="CW288" i="5"/>
  <c r="DH499" i="5"/>
  <c r="EL499" i="5"/>
  <c r="EM499" i="5"/>
  <c r="DX252" i="5"/>
  <c r="CL252" i="5" s="1"/>
  <c r="DG355" i="5"/>
  <c r="FD312" i="5"/>
  <c r="CQ312" i="5"/>
  <c r="DX340" i="5"/>
  <c r="CL340" i="5" s="1"/>
  <c r="FB420" i="5"/>
  <c r="CP420" i="5"/>
  <c r="DJ478" i="5"/>
  <c r="DI478" i="5"/>
  <c r="FB300" i="5"/>
  <c r="CV300" i="5"/>
  <c r="DX387" i="5"/>
  <c r="CL387" i="5" s="1"/>
  <c r="DX348" i="5"/>
  <c r="CL348" i="5" s="1"/>
  <c r="EQ489" i="5"/>
  <c r="ER489" i="5" s="1"/>
  <c r="CP253" i="5"/>
  <c r="FB253" i="5"/>
  <c r="DX259" i="5"/>
  <c r="CL259" i="5" s="1"/>
  <c r="CV152" i="5"/>
  <c r="FB152" i="5"/>
  <c r="DX276" i="5"/>
  <c r="CL276" i="5" s="1"/>
  <c r="BL89" i="5"/>
  <c r="DT89" i="5" s="1"/>
  <c r="DV89" i="5" s="1"/>
  <c r="FR89" i="5"/>
  <c r="FU89" i="5" s="1"/>
  <c r="CM89" i="5" s="1"/>
  <c r="BT89" i="5"/>
  <c r="BV89" i="5" s="1"/>
  <c r="CC89" i="5" s="1"/>
  <c r="CE89" i="5" s="1"/>
  <c r="CJ89" i="5" s="1"/>
  <c r="BU89" i="5"/>
  <c r="BE89" i="5"/>
  <c r="BU201" i="5"/>
  <c r="FS201" i="5"/>
  <c r="FU201" i="5" s="1"/>
  <c r="CM201" i="5" s="1"/>
  <c r="BL201" i="5"/>
  <c r="DT201" i="5" s="1"/>
  <c r="DV201" i="5" s="1"/>
  <c r="BT201" i="5"/>
  <c r="BV201" i="5" s="1"/>
  <c r="CC201" i="5" s="1"/>
  <c r="CE201" i="5" s="1"/>
  <c r="CJ201" i="5" s="1"/>
  <c r="FS196" i="5"/>
  <c r="FU196" i="5" s="1"/>
  <c r="CM196" i="5" s="1"/>
  <c r="BL196" i="5"/>
  <c r="DT196" i="5" s="1"/>
  <c r="DV196" i="5" s="1"/>
  <c r="BU196" i="5"/>
  <c r="DC173" i="5"/>
  <c r="AR173" i="5"/>
  <c r="CG173" i="5" s="1"/>
  <c r="AZ235" i="5"/>
  <c r="CI235" i="5" s="1"/>
  <c r="AR235" i="5"/>
  <c r="CG235" i="5" s="1"/>
  <c r="DC235" i="5"/>
  <c r="EA248" i="5"/>
  <c r="EB248" i="5"/>
  <c r="DN117" i="5"/>
  <c r="DN63" i="5"/>
  <c r="DN91" i="5"/>
  <c r="DN72" i="5"/>
  <c r="DN86" i="5"/>
  <c r="DN55" i="5"/>
  <c r="AZ181" i="5"/>
  <c r="CI181" i="5" s="1"/>
  <c r="AR181" i="5"/>
  <c r="CG181" i="5" s="1"/>
  <c r="DC181" i="5"/>
  <c r="AZ212" i="5"/>
  <c r="CI212" i="5" s="1"/>
  <c r="DC212" i="5"/>
  <c r="AR212" i="5"/>
  <c r="CG212" i="5" s="1"/>
  <c r="AS248" i="5"/>
  <c r="AT248" i="5" s="1"/>
  <c r="AZ223" i="5"/>
  <c r="DC223" i="5"/>
  <c r="AR223" i="5"/>
  <c r="AZ205" i="5"/>
  <c r="CI205" i="5" s="1"/>
  <c r="AR205" i="5"/>
  <c r="CG205" i="5" s="1"/>
  <c r="DC205" i="5"/>
  <c r="AR127" i="5"/>
  <c r="CG127" i="5" s="1"/>
  <c r="DD127" i="5"/>
  <c r="ES127" i="5" s="1"/>
  <c r="AZ175" i="5"/>
  <c r="CI175" i="5" s="1"/>
  <c r="DC175" i="5"/>
  <c r="AR175" i="5"/>
  <c r="CG175" i="5" s="1"/>
  <c r="AZ210" i="5"/>
  <c r="CI210" i="5" s="1"/>
  <c r="DC210" i="5"/>
  <c r="AR210" i="5"/>
  <c r="CG210" i="5" s="1"/>
  <c r="AZ209" i="5"/>
  <c r="CI209" i="5" s="1"/>
  <c r="AR209" i="5"/>
  <c r="CG209" i="5" s="1"/>
  <c r="DC209" i="5"/>
  <c r="BB241" i="5"/>
  <c r="AT241" i="5"/>
  <c r="AT123" i="5"/>
  <c r="AT236" i="5"/>
  <c r="BB236" i="5"/>
  <c r="BB243" i="5"/>
  <c r="AT243" i="5"/>
  <c r="AT114" i="5"/>
  <c r="BB221" i="5"/>
  <c r="AT221" i="5"/>
  <c r="AT188" i="5"/>
  <c r="BB188" i="5"/>
  <c r="BB191" i="5"/>
  <c r="AT191" i="5"/>
  <c r="AT190" i="5"/>
  <c r="BB190" i="5"/>
  <c r="AT194" i="5"/>
  <c r="BB194" i="5"/>
  <c r="AK216" i="5"/>
  <c r="AS111" i="5"/>
  <c r="AT111" i="5" s="1"/>
  <c r="AW111" i="5" s="1"/>
  <c r="EI53" i="5"/>
  <c r="DG271" i="5"/>
  <c r="FD291" i="5"/>
  <c r="CQ291" i="5"/>
  <c r="DX415" i="5"/>
  <c r="CL415" i="5" s="1"/>
  <c r="AW394" i="5"/>
  <c r="CH394" i="5" s="1"/>
  <c r="AW429" i="5"/>
  <c r="CH429" i="5" s="1"/>
  <c r="BD417" i="5"/>
  <c r="ET73" i="5"/>
  <c r="EN73" i="5"/>
  <c r="EO73" i="5" s="1"/>
  <c r="EP73" i="5" s="1"/>
  <c r="EN57" i="5"/>
  <c r="EO57" i="5" s="1"/>
  <c r="EP57" i="5" s="1"/>
  <c r="AO156" i="5"/>
  <c r="EB233" i="5"/>
  <c r="EA233" i="5"/>
  <c r="AV231" i="5"/>
  <c r="BV180" i="5"/>
  <c r="CC180" i="5" s="1"/>
  <c r="DG182" i="5"/>
  <c r="AV206" i="5"/>
  <c r="BV127" i="5"/>
  <c r="CC127" i="5" s="1"/>
  <c r="CE127" i="5" s="1"/>
  <c r="CJ127" i="5" s="1"/>
  <c r="ET132" i="5"/>
  <c r="EN132" i="5"/>
  <c r="EO132" i="5"/>
  <c r="EP132" i="5" s="1"/>
  <c r="BL106" i="5"/>
  <c r="DT106" i="5" s="1"/>
  <c r="DV106" i="5" s="1"/>
  <c r="BV240" i="5"/>
  <c r="CC240" i="5" s="1"/>
  <c r="CE240" i="5" s="1"/>
  <c r="CJ240" i="5" s="1"/>
  <c r="CU249" i="5"/>
  <c r="FA249" i="5"/>
  <c r="BJ120" i="5"/>
  <c r="EC120" i="5" s="1"/>
  <c r="EB120" i="5" s="1"/>
  <c r="FD276" i="5"/>
  <c r="CQ276" i="5"/>
  <c r="DG272" i="5"/>
  <c r="FB259" i="5"/>
  <c r="CP259" i="5"/>
  <c r="BD274" i="5"/>
  <c r="FD375" i="5"/>
  <c r="CW375" i="5"/>
  <c r="DG265" i="5"/>
  <c r="CW281" i="5"/>
  <c r="FD281" i="5"/>
  <c r="DK35" i="5"/>
  <c r="DX409" i="5"/>
  <c r="CL409" i="5" s="1"/>
  <c r="AW365" i="5"/>
  <c r="CH365" i="5" s="1"/>
  <c r="ES77" i="5"/>
  <c r="ET77" i="5" s="1"/>
  <c r="EN88" i="5"/>
  <c r="EO88" i="5" s="1"/>
  <c r="EP88" i="5" s="1"/>
  <c r="ET88" i="5"/>
  <c r="ET64" i="5"/>
  <c r="EN64" i="5"/>
  <c r="EO64" i="5" s="1"/>
  <c r="EP64" i="5" s="1"/>
  <c r="EA234" i="5"/>
  <c r="EB234" i="5"/>
  <c r="AV238" i="5"/>
  <c r="AV171" i="5"/>
  <c r="FC147" i="5"/>
  <c r="CX147" i="5"/>
  <c r="EN131" i="5"/>
  <c r="EO131" i="5" s="1"/>
  <c r="EP131" i="5" s="1"/>
  <c r="BG106" i="5"/>
  <c r="BI106" i="5" s="1"/>
  <c r="BJ106" i="5" s="1"/>
  <c r="EC106" i="5" s="1"/>
  <c r="EB106" i="5" s="1"/>
  <c r="EN125" i="5"/>
  <c r="EO125" i="5" s="1"/>
  <c r="EP125" i="5" s="1"/>
  <c r="FD346" i="5"/>
  <c r="CW346" i="5"/>
  <c r="DG299" i="5"/>
  <c r="AW303" i="5"/>
  <c r="CH303" i="5" s="1"/>
  <c r="DX274" i="5"/>
  <c r="CL274" i="5" s="1"/>
  <c r="DG322" i="5"/>
  <c r="AT417" i="5"/>
  <c r="CQ340" i="5"/>
  <c r="FD340" i="5"/>
  <c r="AV126" i="5"/>
  <c r="FD438" i="5"/>
  <c r="CQ438" i="5"/>
  <c r="DX282" i="5"/>
  <c r="CL282" i="5" s="1"/>
  <c r="FD350" i="5"/>
  <c r="CW350" i="5"/>
  <c r="DX394" i="5"/>
  <c r="CL394" i="5" s="1"/>
  <c r="AN219" i="5"/>
  <c r="DO219" i="5" s="1"/>
  <c r="EG219" i="5" s="1"/>
  <c r="EJ219" i="5" s="1"/>
  <c r="EK219" i="5" s="1"/>
  <c r="AW389" i="5"/>
  <c r="CH389" i="5" s="1"/>
  <c r="BD365" i="5"/>
  <c r="CO78" i="5"/>
  <c r="FA78" i="5"/>
  <c r="EB235" i="5"/>
  <c r="EA235" i="5"/>
  <c r="BF133" i="5"/>
  <c r="BH133" i="5" s="1"/>
  <c r="BV142" i="5"/>
  <c r="CC142" i="5" s="1"/>
  <c r="CE142" i="5" s="1"/>
  <c r="CJ142" i="5" s="1"/>
  <c r="CX146" i="5"/>
  <c r="FC146" i="5"/>
  <c r="BT157" i="5"/>
  <c r="BV157" i="5" s="1"/>
  <c r="CC157" i="5" s="1"/>
  <c r="CE157" i="5" s="1"/>
  <c r="ES42" i="5"/>
  <c r="ET42" i="5" s="1"/>
  <c r="DG325" i="5"/>
  <c r="DK42" i="5"/>
  <c r="FD278" i="5"/>
  <c r="CW278" i="5"/>
  <c r="FD444" i="5"/>
  <c r="CW444" i="5"/>
  <c r="FD274" i="5"/>
  <c r="CW274" i="5"/>
  <c r="DX258" i="5"/>
  <c r="CL258" i="5" s="1"/>
  <c r="DG323" i="5"/>
  <c r="AW369" i="5"/>
  <c r="CH369" i="5" s="1"/>
  <c r="BB404" i="5"/>
  <c r="BD404" i="5" s="1"/>
  <c r="BD283" i="5"/>
  <c r="ES79" i="5"/>
  <c r="AV245" i="5"/>
  <c r="BV130" i="5"/>
  <c r="CC130" i="5" s="1"/>
  <c r="CE130" i="5" s="1"/>
  <c r="CJ130" i="5" s="1"/>
  <c r="DY62" i="5"/>
  <c r="BD386" i="5"/>
  <c r="AW260" i="5"/>
  <c r="CH260" i="5" s="1"/>
  <c r="DG391" i="5"/>
  <c r="FB263" i="5"/>
  <c r="CV263" i="5"/>
  <c r="DG411" i="5"/>
  <c r="CW295" i="5"/>
  <c r="FD295" i="5"/>
  <c r="ES50" i="5"/>
  <c r="ET50" i="5" s="1"/>
  <c r="DG101" i="5"/>
  <c r="FD417" i="5"/>
  <c r="CW417" i="5"/>
  <c r="FB332" i="5"/>
  <c r="CP332" i="5"/>
  <c r="AV141" i="5"/>
  <c r="FD323" i="5"/>
  <c r="CW323" i="5"/>
  <c r="AW360" i="5"/>
  <c r="CH360" i="5" s="1"/>
  <c r="EN28" i="5"/>
  <c r="EO28" i="5" s="1"/>
  <c r="EP28" i="5" s="1"/>
  <c r="ES80" i="5"/>
  <c r="ET80" i="5" s="1"/>
  <c r="EA220" i="5"/>
  <c r="EB220" i="5"/>
  <c r="EA237" i="5"/>
  <c r="EB237" i="5"/>
  <c r="BV176" i="5"/>
  <c r="CC176" i="5" s="1"/>
  <c r="CE176" i="5" s="1"/>
  <c r="CJ176" i="5" s="1"/>
  <c r="AV182" i="5"/>
  <c r="EB159" i="5"/>
  <c r="BT167" i="5"/>
  <c r="BV167" i="5" s="1"/>
  <c r="CC167" i="5" s="1"/>
  <c r="CE167" i="5" s="1"/>
  <c r="EN166" i="5"/>
  <c r="EO166" i="5" s="1"/>
  <c r="EP166" i="5" s="1"/>
  <c r="FA117" i="5"/>
  <c r="CO117" i="5"/>
  <c r="AW385" i="5"/>
  <c r="CH385" i="5" s="1"/>
  <c r="DX273" i="5"/>
  <c r="CL273" i="5" s="1"/>
  <c r="DG452" i="5"/>
  <c r="BB401" i="5"/>
  <c r="DI489" i="5"/>
  <c r="DJ489" i="5"/>
  <c r="CV325" i="5"/>
  <c r="FB325" i="5"/>
  <c r="CQ101" i="5"/>
  <c r="FD101" i="5"/>
  <c r="DH488" i="5"/>
  <c r="EL488" i="5"/>
  <c r="EM488" i="5"/>
  <c r="AV124" i="5"/>
  <c r="CV405" i="5"/>
  <c r="FB405" i="5"/>
  <c r="CP343" i="5"/>
  <c r="FB343" i="5"/>
  <c r="CV299" i="5"/>
  <c r="FB299" i="5"/>
  <c r="AT370" i="5"/>
  <c r="AT283" i="5"/>
  <c r="BB439" i="5"/>
  <c r="BD439" i="5" s="1"/>
  <c r="BD316" i="5"/>
  <c r="BD415" i="5"/>
  <c r="ES65" i="5"/>
  <c r="ET65" i="5" s="1"/>
  <c r="EB221" i="5"/>
  <c r="EA221" i="5"/>
  <c r="AV183" i="5"/>
  <c r="BV145" i="5"/>
  <c r="CC145" i="5" s="1"/>
  <c r="CE145" i="5" s="1"/>
  <c r="CJ145" i="5" s="1"/>
  <c r="EN107" i="5"/>
  <c r="EO107" i="5" s="1"/>
  <c r="EP107" i="5" s="1"/>
  <c r="ET107" i="5"/>
  <c r="ES120" i="5"/>
  <c r="ET120" i="5" s="1"/>
  <c r="DY66" i="5"/>
  <c r="BD348" i="5"/>
  <c r="AV185" i="5"/>
  <c r="BG139" i="5"/>
  <c r="BI139" i="5" s="1"/>
  <c r="BJ139" i="5" s="1"/>
  <c r="EC139" i="5" s="1"/>
  <c r="EB139" i="5" s="1"/>
  <c r="AW381" i="5"/>
  <c r="CH381" i="5" s="1"/>
  <c r="AV132" i="5"/>
  <c r="AW268" i="5"/>
  <c r="CH268" i="5" s="1"/>
  <c r="DX401" i="5"/>
  <c r="CL401" i="5" s="1"/>
  <c r="FD369" i="5"/>
  <c r="CW369" i="5"/>
  <c r="AJ25" i="5"/>
  <c r="AN24" i="5"/>
  <c r="DO24" i="5" s="1"/>
  <c r="EG24" i="5" s="1"/>
  <c r="EJ24" i="5" s="1"/>
  <c r="EK24" i="5" s="1"/>
  <c r="DX383" i="5"/>
  <c r="CL383" i="5" s="1"/>
  <c r="FD308" i="5"/>
  <c r="CQ308" i="5"/>
  <c r="DX430" i="5"/>
  <c r="CL430" i="5" s="1"/>
  <c r="FD316" i="5"/>
  <c r="CQ316" i="5"/>
  <c r="DG328" i="5"/>
  <c r="DG312" i="5"/>
  <c r="FD324" i="5"/>
  <c r="CQ324" i="5"/>
  <c r="AW403" i="5"/>
  <c r="CH403" i="5" s="1"/>
  <c r="BD430" i="5"/>
  <c r="BG134" i="5"/>
  <c r="BI134" i="5" s="1"/>
  <c r="BJ134" i="5" s="1"/>
  <c r="EC134" i="5" s="1"/>
  <c r="EB134" i="5" s="1"/>
  <c r="ES82" i="5"/>
  <c r="ET82" i="5" s="1"/>
  <c r="EN83" i="5"/>
  <c r="EO83" i="5" s="1"/>
  <c r="EP83" i="5" s="1"/>
  <c r="ET83" i="5"/>
  <c r="AS229" i="5"/>
  <c r="BB229" i="5" s="1"/>
  <c r="AV224" i="5"/>
  <c r="AV212" i="5"/>
  <c r="BG138" i="5"/>
  <c r="BI138" i="5" s="1"/>
  <c r="BJ138" i="5" s="1"/>
  <c r="EC138" i="5" s="1"/>
  <c r="EB138" i="5" s="1"/>
  <c r="EN160" i="5"/>
  <c r="EO160" i="5" s="1"/>
  <c r="EP160" i="5" s="1"/>
  <c r="EN108" i="5"/>
  <c r="EO108" i="5" s="1"/>
  <c r="EP108" i="5" s="1"/>
  <c r="ET108" i="5"/>
  <c r="BV118" i="5"/>
  <c r="CC118" i="5" s="1"/>
  <c r="CE118" i="5" s="1"/>
  <c r="ES119" i="5"/>
  <c r="ET119" i="5" s="1"/>
  <c r="CQ307" i="5"/>
  <c r="FD307" i="5"/>
  <c r="FD351" i="5"/>
  <c r="CQ351" i="5"/>
  <c r="DX410" i="5"/>
  <c r="CL410" i="5" s="1"/>
  <c r="DG343" i="5"/>
  <c r="CP311" i="5"/>
  <c r="FB311" i="5"/>
  <c r="DX313" i="5"/>
  <c r="CL313" i="5" s="1"/>
  <c r="DX277" i="5"/>
  <c r="CL277" i="5" s="1"/>
  <c r="DX357" i="5"/>
  <c r="CL357" i="5" s="1"/>
  <c r="DX307" i="5"/>
  <c r="CL307" i="5" s="1"/>
  <c r="CV441" i="5"/>
  <c r="FB441" i="5"/>
  <c r="DX403" i="5"/>
  <c r="CL403" i="5" s="1"/>
  <c r="EB201" i="5"/>
  <c r="AZ186" i="5"/>
  <c r="CI186" i="5" s="1"/>
  <c r="DC186" i="5"/>
  <c r="AR186" i="5"/>
  <c r="CG186" i="5" s="1"/>
  <c r="DN122" i="5"/>
  <c r="DN84" i="5"/>
  <c r="AT244" i="5"/>
  <c r="BB244" i="5"/>
  <c r="AT142" i="5"/>
  <c r="BL90" i="5"/>
  <c r="DT90" i="5" s="1"/>
  <c r="DV90" i="5" s="1"/>
  <c r="BT90" i="5"/>
  <c r="BE90" i="5"/>
  <c r="BU90" i="5"/>
  <c r="FR90" i="5"/>
  <c r="FU90" i="5" s="1"/>
  <c r="CM90" i="5" s="1"/>
  <c r="AZ231" i="5"/>
  <c r="CI231" i="5" s="1"/>
  <c r="AR231" i="5"/>
  <c r="CG231" i="5" s="1"/>
  <c r="DC231" i="5"/>
  <c r="AS94" i="5"/>
  <c r="AT94" i="5" s="1"/>
  <c r="DG404" i="5"/>
  <c r="DX260" i="5"/>
  <c r="CL260" i="5" s="1"/>
  <c r="BE69" i="5"/>
  <c r="BU69" i="5"/>
  <c r="FR69" i="5"/>
  <c r="FU69" i="5" s="1"/>
  <c r="CM69" i="5" s="1"/>
  <c r="BL69" i="5"/>
  <c r="DT69" i="5" s="1"/>
  <c r="DV69" i="5" s="1"/>
  <c r="BT69" i="5"/>
  <c r="DC184" i="5"/>
  <c r="AR184" i="5"/>
  <c r="CG184" i="5" s="1"/>
  <c r="AR172" i="5"/>
  <c r="CG172" i="5" s="1"/>
  <c r="DC172" i="5"/>
  <c r="EB208" i="5"/>
  <c r="BT88" i="5"/>
  <c r="BL88" i="5"/>
  <c r="DT88" i="5" s="1"/>
  <c r="DV88" i="5" s="1"/>
  <c r="BU88" i="5"/>
  <c r="BE88" i="5"/>
  <c r="FR88" i="5"/>
  <c r="FU88" i="5" s="1"/>
  <c r="CM88" i="5" s="1"/>
  <c r="BL76" i="5"/>
  <c r="DT76" i="5" s="1"/>
  <c r="DV76" i="5" s="1"/>
  <c r="BT76" i="5"/>
  <c r="BE76" i="5"/>
  <c r="BU76" i="5"/>
  <c r="FR76" i="5"/>
  <c r="FU76" i="5" s="1"/>
  <c r="CM76" i="5" s="1"/>
  <c r="EB209" i="5"/>
  <c r="BU205" i="5"/>
  <c r="FS205" i="5"/>
  <c r="FU205" i="5" s="1"/>
  <c r="CM205" i="5" s="1"/>
  <c r="BL205" i="5"/>
  <c r="DT205" i="5" s="1"/>
  <c r="DV205" i="5" s="1"/>
  <c r="DC177" i="5"/>
  <c r="AR177" i="5"/>
  <c r="CG177" i="5" s="1"/>
  <c r="J206" i="5"/>
  <c r="DS206" i="5" s="1"/>
  <c r="EB206" i="5" s="1"/>
  <c r="AF169" i="5"/>
  <c r="AK169" i="5" s="1"/>
  <c r="DY169" i="5"/>
  <c r="EB251" i="5"/>
  <c r="EA251" i="5"/>
  <c r="AZ179" i="5"/>
  <c r="CI179" i="5" s="1"/>
  <c r="AR179" i="5"/>
  <c r="CG179" i="5" s="1"/>
  <c r="DC179" i="5"/>
  <c r="J196" i="5"/>
  <c r="DS196" i="5" s="1"/>
  <c r="DC196" i="5"/>
  <c r="AR196" i="5"/>
  <c r="CG196" i="5" s="1"/>
  <c r="DC236" i="5"/>
  <c r="AR236" i="5"/>
  <c r="CG236" i="5" s="1"/>
  <c r="DC219" i="5"/>
  <c r="AR219" i="5"/>
  <c r="AZ247" i="5"/>
  <c r="CI247" i="5" s="1"/>
  <c r="AR247" i="5"/>
  <c r="CG247" i="5" s="1"/>
  <c r="DC247" i="5"/>
  <c r="BX120" i="5"/>
  <c r="BY120" i="5" s="1"/>
  <c r="CC120" i="5" s="1"/>
  <c r="CE120" i="5" s="1"/>
  <c r="CJ120" i="5" s="1"/>
  <c r="FS120" i="5"/>
  <c r="FU120" i="5" s="1"/>
  <c r="CM120" i="5" s="1"/>
  <c r="DN171" i="5"/>
  <c r="DN121" i="5"/>
  <c r="DN68" i="5"/>
  <c r="DN90" i="5"/>
  <c r="DN80" i="5"/>
  <c r="DN115" i="5"/>
  <c r="DN59" i="5"/>
  <c r="FS198" i="5"/>
  <c r="FU198" i="5" s="1"/>
  <c r="CM198" i="5" s="1"/>
  <c r="BL198" i="5"/>
  <c r="DT198" i="5" s="1"/>
  <c r="DV198" i="5" s="1"/>
  <c r="EB198" i="5" s="1"/>
  <c r="BT198" i="5"/>
  <c r="BU198" i="5"/>
  <c r="AR146" i="5"/>
  <c r="CG146" i="5" s="1"/>
  <c r="DD146" i="5"/>
  <c r="ES146" i="5" s="1"/>
  <c r="FS211" i="5"/>
  <c r="FU211" i="5" s="1"/>
  <c r="CM211" i="5" s="1"/>
  <c r="BL211" i="5"/>
  <c r="DT211" i="5" s="1"/>
  <c r="DV211" i="5" s="1"/>
  <c r="BU211" i="5"/>
  <c r="AZ211" i="5"/>
  <c r="CI211" i="5" s="1"/>
  <c r="AR211" i="5"/>
  <c r="CG211" i="5" s="1"/>
  <c r="DC211" i="5"/>
  <c r="AZ180" i="5"/>
  <c r="CI180" i="5" s="1"/>
  <c r="DC180" i="5"/>
  <c r="AR180" i="5"/>
  <c r="CG180" i="5" s="1"/>
  <c r="AF203" i="5"/>
  <c r="BU203" i="5"/>
  <c r="FS203" i="5"/>
  <c r="FU203" i="5" s="1"/>
  <c r="CM203" i="5" s="1"/>
  <c r="BL203" i="5"/>
  <c r="DT203" i="5" s="1"/>
  <c r="DV203" i="5" s="1"/>
  <c r="AZ213" i="5"/>
  <c r="CI213" i="5" s="1"/>
  <c r="AR213" i="5"/>
  <c r="CG213" i="5" s="1"/>
  <c r="DC213" i="5"/>
  <c r="BB245" i="5"/>
  <c r="AT245" i="5"/>
  <c r="AS140" i="5"/>
  <c r="AT140" i="5" s="1"/>
  <c r="AT119" i="5"/>
  <c r="BB240" i="5"/>
  <c r="AT240" i="5"/>
  <c r="AS135" i="5"/>
  <c r="AT135" i="5" s="1"/>
  <c r="AS159" i="5"/>
  <c r="BB159" i="5" s="1"/>
  <c r="AT60" i="5"/>
  <c r="AY60" i="5"/>
  <c r="AZ60" i="5" s="1"/>
  <c r="CI60" i="5" s="1"/>
  <c r="AS88" i="5"/>
  <c r="AT88" i="5" s="1"/>
  <c r="BB247" i="5"/>
  <c r="AT247" i="5"/>
  <c r="AS138" i="5"/>
  <c r="AT138" i="5" s="1"/>
  <c r="AT121" i="5"/>
  <c r="BB225" i="5"/>
  <c r="AT225" i="5"/>
  <c r="AT132" i="5"/>
  <c r="AS78" i="5"/>
  <c r="AT78" i="5" s="1"/>
  <c r="AY90" i="5"/>
  <c r="AZ90" i="5" s="1"/>
  <c r="CI90" i="5" s="1"/>
  <c r="AT90" i="5"/>
  <c r="AT192" i="5"/>
  <c r="BB192" i="5"/>
  <c r="BB169" i="5"/>
  <c r="AT169" i="5"/>
  <c r="BB250" i="5"/>
  <c r="AT250" i="5"/>
  <c r="AN169" i="5"/>
  <c r="DO169" i="5" s="1"/>
  <c r="BB165" i="5"/>
  <c r="AT165" i="5"/>
  <c r="AF106" i="5"/>
  <c r="AF107" i="5"/>
  <c r="AS122" i="5"/>
  <c r="AT122" i="5" s="1"/>
  <c r="BB161" i="5"/>
  <c r="AT161" i="5"/>
  <c r="BB162" i="5"/>
  <c r="AT162" i="5"/>
  <c r="AK219" i="5"/>
  <c r="FD415" i="5"/>
  <c r="CQ415" i="5"/>
  <c r="EF9" i="5"/>
  <c r="EF8" i="5" s="1"/>
  <c r="EF7" i="5" s="1"/>
  <c r="AV127" i="5"/>
  <c r="DG367" i="5"/>
  <c r="CW391" i="5"/>
  <c r="FD391" i="5"/>
  <c r="DX365" i="5"/>
  <c r="CL365" i="5" s="1"/>
  <c r="CW277" i="5"/>
  <c r="FD277" i="5"/>
  <c r="AW270" i="5"/>
  <c r="CH270" i="5" s="1"/>
  <c r="CO60" i="5"/>
  <c r="FA60" i="5"/>
  <c r="CU92" i="5"/>
  <c r="FA92" i="5"/>
  <c r="AV194" i="5"/>
  <c r="BJ131" i="5"/>
  <c r="EC131" i="5" s="1"/>
  <c r="EB131" i="5" s="1"/>
  <c r="EN105" i="5"/>
  <c r="EO105" i="5" s="1"/>
  <c r="EP105" i="5" s="1"/>
  <c r="ET105" i="5"/>
  <c r="AW378" i="5"/>
  <c r="CH378" i="5" s="1"/>
  <c r="EO58" i="5"/>
  <c r="EP58" i="5" s="1"/>
  <c r="ET58" i="5"/>
  <c r="EN58" i="5"/>
  <c r="EN161" i="5"/>
  <c r="EO161" i="5" s="1"/>
  <c r="EP161" i="5" s="1"/>
  <c r="DY78" i="5"/>
  <c r="FB255" i="5"/>
  <c r="CV255" i="5"/>
  <c r="AW408" i="5"/>
  <c r="CH408" i="5" s="1"/>
  <c r="FD443" i="5"/>
  <c r="CQ443" i="5"/>
  <c r="CQ390" i="5"/>
  <c r="FD390" i="5"/>
  <c r="CP312" i="5"/>
  <c r="FB312" i="5"/>
  <c r="FD96" i="5"/>
  <c r="CQ96" i="5"/>
  <c r="AV143" i="5"/>
  <c r="CW359" i="5"/>
  <c r="FD359" i="5"/>
  <c r="DG370" i="5"/>
  <c r="DX406" i="5"/>
  <c r="CL406" i="5" s="1"/>
  <c r="AW422" i="5"/>
  <c r="CH422" i="5" s="1"/>
  <c r="AW407" i="5"/>
  <c r="CH407" i="5" s="1"/>
  <c r="AW336" i="5"/>
  <c r="CH336" i="5" s="1"/>
  <c r="BD442" i="5"/>
  <c r="CO77" i="5"/>
  <c r="FA77" i="5"/>
  <c r="BC171" i="5"/>
  <c r="AS224" i="5"/>
  <c r="BB224" i="5" s="1"/>
  <c r="BV192" i="5"/>
  <c r="CC192" i="5" s="1"/>
  <c r="CE192" i="5" s="1"/>
  <c r="CJ192" i="5" s="1"/>
  <c r="AV207" i="5"/>
  <c r="BV141" i="5"/>
  <c r="CC141" i="5" s="1"/>
  <c r="CE141" i="5" s="1"/>
  <c r="CJ141" i="5" s="1"/>
  <c r="CR131" i="5"/>
  <c r="FC131" i="5"/>
  <c r="EN163" i="5"/>
  <c r="EO163" i="5" s="1"/>
  <c r="EP163" i="5" s="1"/>
  <c r="BT105" i="5"/>
  <c r="BV105" i="5" s="1"/>
  <c r="CC105" i="5" s="1"/>
  <c r="CE105" i="5" s="1"/>
  <c r="CP308" i="5"/>
  <c r="FB308" i="5"/>
  <c r="BD370" i="5"/>
  <c r="BV216" i="5"/>
  <c r="CC216" i="5" s="1"/>
  <c r="CR125" i="5"/>
  <c r="FC125" i="5"/>
  <c r="ER483" i="5"/>
  <c r="DG447" i="5"/>
  <c r="AW315" i="5"/>
  <c r="CH315" i="5" s="1"/>
  <c r="CW433" i="5"/>
  <c r="FD433" i="5"/>
  <c r="DX397" i="5"/>
  <c r="CL397" i="5" s="1"/>
  <c r="AV125" i="5"/>
  <c r="FD335" i="5"/>
  <c r="CQ335" i="5"/>
  <c r="AV140" i="5"/>
  <c r="FD268" i="5"/>
  <c r="CW268" i="5"/>
  <c r="FD280" i="5"/>
  <c r="CW280" i="5"/>
  <c r="DG329" i="5"/>
  <c r="AW99" i="5"/>
  <c r="CH99" i="5" s="1"/>
  <c r="EN79" i="5"/>
  <c r="EO79" i="5" s="1"/>
  <c r="EP79" i="5" s="1"/>
  <c r="ET79" i="5"/>
  <c r="AS233" i="5"/>
  <c r="BB233" i="5" s="1"/>
  <c r="AV229" i="5"/>
  <c r="BV174" i="5"/>
  <c r="CC174" i="5" s="1"/>
  <c r="CE174" i="5" s="1"/>
  <c r="CJ174" i="5" s="1"/>
  <c r="AV180" i="5"/>
  <c r="AV208" i="5"/>
  <c r="EN250" i="5"/>
  <c r="EO250" i="5" s="1"/>
  <c r="EP250" i="5" s="1"/>
  <c r="EB157" i="5"/>
  <c r="BV114" i="5"/>
  <c r="CC114" i="5" s="1"/>
  <c r="CE114" i="5" s="1"/>
  <c r="CJ114" i="5" s="1"/>
  <c r="ES123" i="5"/>
  <c r="ET123" i="5" s="1"/>
  <c r="DY69" i="5"/>
  <c r="DX408" i="5"/>
  <c r="CL408" i="5" s="1"/>
  <c r="FD345" i="5"/>
  <c r="CW345" i="5"/>
  <c r="CW402" i="5"/>
  <c r="FD402" i="5"/>
  <c r="FD439" i="5"/>
  <c r="CQ439" i="5"/>
  <c r="DK26" i="5"/>
  <c r="FD416" i="5"/>
  <c r="CW416" i="5"/>
  <c r="DG284" i="5"/>
  <c r="AW339" i="5"/>
  <c r="CH339" i="5" s="1"/>
  <c r="FB380" i="5"/>
  <c r="CV380" i="5"/>
  <c r="DH482" i="5"/>
  <c r="EL482" i="5"/>
  <c r="EM482" i="5"/>
  <c r="FD371" i="5"/>
  <c r="CW371" i="5"/>
  <c r="CP374" i="5"/>
  <c r="FB374" i="5"/>
  <c r="CW329" i="5"/>
  <c r="FD329" i="5"/>
  <c r="AW449" i="5"/>
  <c r="CH449" i="5" s="1"/>
  <c r="AW287" i="5"/>
  <c r="CH287" i="5" s="1"/>
  <c r="BD406" i="5"/>
  <c r="BD413" i="5"/>
  <c r="CO79" i="5"/>
  <c r="FA79" i="5"/>
  <c r="ET86" i="5"/>
  <c r="EN86" i="5"/>
  <c r="EO86" i="5" s="1"/>
  <c r="EP86" i="5" s="1"/>
  <c r="EN62" i="5"/>
  <c r="EO62" i="5" s="1"/>
  <c r="EP62" i="5" s="1"/>
  <c r="ET62" i="5"/>
  <c r="AS218" i="5"/>
  <c r="BB218" i="5" s="1"/>
  <c r="BV219" i="5"/>
  <c r="CC219" i="5" s="1"/>
  <c r="BV236" i="5"/>
  <c r="CC236" i="5" s="1"/>
  <c r="BV177" i="5"/>
  <c r="CC177" i="5" s="1"/>
  <c r="AV201" i="5"/>
  <c r="ET137" i="5"/>
  <c r="EN137" i="5"/>
  <c r="EO137" i="5" s="1"/>
  <c r="EP137" i="5" s="1"/>
  <c r="BT248" i="5"/>
  <c r="BV248" i="5" s="1"/>
  <c r="CC248" i="5" s="1"/>
  <c r="CE248" i="5" s="1"/>
  <c r="CJ248" i="5" s="1"/>
  <c r="BT166" i="5"/>
  <c r="BV166" i="5" s="1"/>
  <c r="CC166" i="5" s="1"/>
  <c r="CE166" i="5" s="1"/>
  <c r="BV121" i="5"/>
  <c r="DY93" i="5"/>
  <c r="AW320" i="5"/>
  <c r="CH320" i="5" s="1"/>
  <c r="FA59" i="5"/>
  <c r="CO59" i="5"/>
  <c r="BV190" i="5"/>
  <c r="CC190" i="5" s="1"/>
  <c r="BV108" i="5"/>
  <c r="CC108" i="5" s="1"/>
  <c r="CE108" i="5" s="1"/>
  <c r="DH469" i="5"/>
  <c r="EL469" i="5"/>
  <c r="EM469" i="5"/>
  <c r="FD266" i="5"/>
  <c r="CW266" i="5"/>
  <c r="DG338" i="5"/>
  <c r="FD262" i="5"/>
  <c r="CW262" i="5"/>
  <c r="DG453" i="5"/>
  <c r="DG445" i="5"/>
  <c r="EN40" i="5"/>
  <c r="EO40" i="5" s="1"/>
  <c r="EP40" i="5" s="1"/>
  <c r="BD313" i="5"/>
  <c r="CO80" i="5"/>
  <c r="FA80" i="5"/>
  <c r="AS219" i="5"/>
  <c r="BB219" i="5" s="1"/>
  <c r="AV235" i="5"/>
  <c r="BV195" i="5"/>
  <c r="CC195" i="5" s="1"/>
  <c r="CE195" i="5" s="1"/>
  <c r="CJ195" i="5" s="1"/>
  <c r="DG170" i="5"/>
  <c r="BV136" i="5"/>
  <c r="CC136" i="5" s="1"/>
  <c r="CE136" i="5" s="1"/>
  <c r="CJ136" i="5" s="1"/>
  <c r="EN136" i="5"/>
  <c r="EO136" i="5" s="1"/>
  <c r="EP136" i="5" s="1"/>
  <c r="ET136" i="5"/>
  <c r="EB167" i="5"/>
  <c r="EN119" i="5"/>
  <c r="EO119" i="5" s="1"/>
  <c r="EP119" i="5" s="1"/>
  <c r="DX376" i="5"/>
  <c r="CL376" i="5" s="1"/>
  <c r="DY90" i="5"/>
  <c r="DH485" i="5"/>
  <c r="EL485" i="5"/>
  <c r="EM485" i="5"/>
  <c r="DG368" i="5"/>
  <c r="DG446" i="5"/>
  <c r="DG419" i="5"/>
  <c r="BD401" i="5"/>
  <c r="CO65" i="5"/>
  <c r="FA65" i="5"/>
  <c r="ET92" i="5"/>
  <c r="EN92" i="5"/>
  <c r="EO92" i="5" s="1"/>
  <c r="EP92" i="5" s="1"/>
  <c r="ET68" i="5"/>
  <c r="EN68" i="5"/>
  <c r="EO68" i="5" s="1"/>
  <c r="EP68" i="5" s="1"/>
  <c r="BV238" i="5"/>
  <c r="CC238" i="5" s="1"/>
  <c r="AV242" i="5"/>
  <c r="BV175" i="5"/>
  <c r="CC175" i="5" s="1"/>
  <c r="BV137" i="5"/>
  <c r="CC137" i="5" s="1"/>
  <c r="CE137" i="5" s="1"/>
  <c r="CJ137" i="5" s="1"/>
  <c r="ET115" i="5"/>
  <c r="EN115" i="5"/>
  <c r="EO115" i="5" s="1"/>
  <c r="EP115" i="5" s="1"/>
  <c r="CU120" i="5"/>
  <c r="FA120" i="5"/>
  <c r="FU251" i="5"/>
  <c r="CM251" i="5" s="1"/>
  <c r="FD452" i="5"/>
  <c r="CW452" i="5"/>
  <c r="DG358" i="5"/>
  <c r="FD302" i="5"/>
  <c r="CW302" i="5"/>
  <c r="CQ414" i="5"/>
  <c r="FD414" i="5"/>
  <c r="DG441" i="5"/>
  <c r="BD341" i="5"/>
  <c r="CO82" i="5"/>
  <c r="FA82" i="5"/>
  <c r="EN59" i="5"/>
  <c r="EO59" i="5" s="1"/>
  <c r="EP59" i="5" s="1"/>
  <c r="ET59" i="5"/>
  <c r="AS237" i="5"/>
  <c r="BB237" i="5" s="1"/>
  <c r="BV231" i="5"/>
  <c r="CC231" i="5" s="1"/>
  <c r="CE231" i="5" s="1"/>
  <c r="CJ231" i="5" s="1"/>
  <c r="BV247" i="5"/>
  <c r="CC247" i="5" s="1"/>
  <c r="CE247" i="5" s="1"/>
  <c r="CJ247" i="5" s="1"/>
  <c r="BV146" i="5"/>
  <c r="CC146" i="5" s="1"/>
  <c r="CE146" i="5" s="1"/>
  <c r="CJ146" i="5" s="1"/>
  <c r="AY121" i="5"/>
  <c r="AZ121" i="5" s="1"/>
  <c r="CI121" i="5" s="1"/>
  <c r="CI13" i="5" s="1"/>
  <c r="ES110" i="5"/>
  <c r="ET110" i="5" s="1"/>
  <c r="FD349" i="5"/>
  <c r="CW349" i="5"/>
  <c r="DG362" i="5"/>
  <c r="EQ476" i="5"/>
  <c r="ER476" i="5" s="1"/>
  <c r="BJ95" i="5"/>
  <c r="EC95" i="5" s="1"/>
  <c r="DG363" i="5"/>
  <c r="FD403" i="5"/>
  <c r="CQ403" i="5"/>
  <c r="CW398" i="5"/>
  <c r="FD398" i="5"/>
  <c r="FB275" i="5"/>
  <c r="CV275" i="5"/>
  <c r="FB331" i="5"/>
  <c r="CV331" i="5"/>
  <c r="DX346" i="5"/>
  <c r="CL346" i="5" s="1"/>
  <c r="FB254" i="5"/>
  <c r="CV254" i="5"/>
  <c r="DX378" i="5"/>
  <c r="CL378" i="5" s="1"/>
  <c r="DI481" i="5"/>
  <c r="DJ481" i="5"/>
  <c r="ER22" i="5"/>
  <c r="EV22" i="5"/>
  <c r="DX22" i="5" s="1"/>
  <c r="DX426" i="5"/>
  <c r="CL426" i="5" s="1"/>
  <c r="DX431" i="5"/>
  <c r="CL431" i="5" s="1"/>
  <c r="EQ486" i="5"/>
  <c r="ER486" i="5" s="1"/>
  <c r="AF111" i="5"/>
  <c r="AF147" i="5"/>
  <c r="AF129" i="5"/>
  <c r="AF144" i="5"/>
  <c r="AD211" i="5"/>
  <c r="J213" i="5"/>
  <c r="DS213" i="5" s="1"/>
  <c r="EB213" i="5" s="1"/>
  <c r="AD209" i="5"/>
  <c r="J211" i="5"/>
  <c r="DS211" i="5" s="1"/>
  <c r="J199" i="5"/>
  <c r="DS199" i="5" s="1"/>
  <c r="EB199" i="5" s="1"/>
  <c r="AD202" i="5"/>
  <c r="AZ178" i="5"/>
  <c r="CI178" i="5" s="1"/>
  <c r="AH89" i="5"/>
  <c r="AF214" i="5"/>
  <c r="AG87" i="5"/>
  <c r="AF191" i="5"/>
  <c r="AF124" i="5"/>
  <c r="AG107" i="5"/>
  <c r="AG58" i="5"/>
  <c r="AG91" i="5"/>
  <c r="AF171" i="5"/>
  <c r="AK171" i="5" s="1"/>
  <c r="AG71" i="5"/>
  <c r="AD198" i="5"/>
  <c r="FX122" i="5"/>
  <c r="AF208" i="5"/>
  <c r="AF207" i="5"/>
  <c r="AG86" i="5"/>
  <c r="AF178" i="5"/>
  <c r="AF189" i="5"/>
  <c r="AF212" i="5"/>
  <c r="AH60" i="5"/>
  <c r="AF200" i="5"/>
  <c r="AK200" i="5" s="1"/>
  <c r="AG56" i="5"/>
  <c r="AD216" i="5"/>
  <c r="AD203" i="5"/>
  <c r="AF116" i="5"/>
  <c r="AG75" i="5"/>
  <c r="AF179" i="5"/>
  <c r="AG69" i="5"/>
  <c r="AG61" i="5"/>
  <c r="AG60" i="5"/>
  <c r="AF202" i="5"/>
  <c r="AF110" i="5"/>
  <c r="AF127" i="5"/>
  <c r="AG108" i="5"/>
  <c r="AK108" i="5" s="1"/>
  <c r="AG79" i="5"/>
  <c r="AF204" i="5"/>
  <c r="AG77" i="5"/>
  <c r="AG64" i="5"/>
  <c r="AD170" i="5"/>
  <c r="J214" i="5"/>
  <c r="DS214" i="5" s="1"/>
  <c r="AG65" i="5"/>
  <c r="AF181" i="5"/>
  <c r="AH69" i="5"/>
  <c r="AG74" i="5"/>
  <c r="AF197" i="5"/>
  <c r="AK197" i="5" s="1"/>
  <c r="AF137" i="5"/>
  <c r="AF121" i="5"/>
  <c r="AG94" i="5"/>
  <c r="AH79" i="5"/>
  <c r="AD171" i="5"/>
  <c r="AF209" i="5"/>
  <c r="AF188" i="5"/>
  <c r="AF125" i="5"/>
  <c r="AF141" i="5"/>
  <c r="AG59" i="5"/>
  <c r="AF196" i="5"/>
  <c r="AK196" i="5" s="1"/>
  <c r="AF122" i="5"/>
  <c r="AH94" i="5"/>
  <c r="AF186" i="5"/>
  <c r="AF123" i="5"/>
  <c r="AG57" i="5"/>
  <c r="AF142" i="5"/>
  <c r="AF130" i="5"/>
  <c r="AD206" i="5"/>
  <c r="AG63" i="5"/>
  <c r="AF177" i="5"/>
  <c r="AF138" i="5"/>
  <c r="AG93" i="5"/>
  <c r="AF187" i="5"/>
  <c r="AG92" i="5"/>
  <c r="AF184" i="5"/>
  <c r="AF195" i="5"/>
  <c r="AF143" i="5"/>
  <c r="AF215" i="5"/>
  <c r="AG53" i="5"/>
  <c r="AF206" i="5"/>
  <c r="AG62" i="5"/>
  <c r="AF211" i="5"/>
  <c r="AH93" i="5"/>
  <c r="AG82" i="5"/>
  <c r="AH92" i="5"/>
  <c r="AF115" i="5"/>
  <c r="AG67" i="5"/>
  <c r="AG90" i="5"/>
  <c r="AF194" i="5"/>
  <c r="AZ196" i="5"/>
  <c r="CI196" i="5" s="1"/>
  <c r="AD217" i="5"/>
  <c r="J204" i="5"/>
  <c r="DS204" i="5" s="1"/>
  <c r="EB204" i="5" s="1"/>
  <c r="AD172" i="5"/>
  <c r="AG88" i="5"/>
  <c r="AF192" i="5"/>
  <c r="AH62" i="5"/>
  <c r="AF198" i="5"/>
  <c r="AK198" i="5" s="1"/>
  <c r="AF176" i="5"/>
  <c r="AG81" i="5"/>
  <c r="AF174" i="5"/>
  <c r="AK174" i="5" s="1"/>
  <c r="AF185" i="5"/>
  <c r="AG80" i="5"/>
  <c r="AG78" i="5"/>
  <c r="AF182" i="5"/>
  <c r="AH90" i="5"/>
  <c r="J205" i="5"/>
  <c r="DS205" i="5" s="1"/>
  <c r="AD214" i="5"/>
  <c r="J203" i="5"/>
  <c r="DS203" i="5" s="1"/>
  <c r="EB203" i="5" s="1"/>
  <c r="AZ182" i="5"/>
  <c r="CI182" i="5" s="1"/>
  <c r="AD169" i="5"/>
  <c r="AH88" i="5"/>
  <c r="AF146" i="5"/>
  <c r="AF210" i="5"/>
  <c r="AG84" i="5"/>
  <c r="AF199" i="5"/>
  <c r="AK199" i="5" s="1"/>
  <c r="AG105" i="5"/>
  <c r="AF88" i="5"/>
  <c r="AF175" i="5"/>
  <c r="AF126" i="5"/>
  <c r="AG70" i="5"/>
  <c r="AF172" i="5"/>
  <c r="AK172" i="5" s="1"/>
  <c r="AF205" i="5"/>
  <c r="AG106" i="5"/>
  <c r="AF183" i="5"/>
  <c r="AF131" i="5"/>
  <c r="AG76" i="5"/>
  <c r="AF117" i="5"/>
  <c r="AG85" i="5"/>
  <c r="AH105" i="5"/>
  <c r="AG83" i="5"/>
  <c r="AF139" i="5"/>
  <c r="AH106" i="5"/>
  <c r="AG66" i="5"/>
  <c r="AF170" i="5"/>
  <c r="AK170" i="5" s="1"/>
  <c r="AG89" i="5"/>
  <c r="AH76" i="5"/>
  <c r="AF180" i="5"/>
  <c r="AF190" i="5"/>
  <c r="AF136" i="5"/>
  <c r="AG73" i="5"/>
  <c r="AG72" i="5"/>
  <c r="AF173" i="5"/>
  <c r="AK173" i="5" s="1"/>
  <c r="AF62" i="5"/>
  <c r="AF201" i="5"/>
  <c r="AK201" i="5" s="1"/>
  <c r="AG68" i="5"/>
  <c r="AF113" i="5"/>
  <c r="AG54" i="5"/>
  <c r="AG55" i="5"/>
  <c r="AF114" i="5"/>
  <c r="AH66" i="5"/>
  <c r="AJ111" i="5"/>
  <c r="AN111" i="5" s="1"/>
  <c r="DO111" i="5" s="1"/>
  <c r="EG111" i="5" s="1"/>
  <c r="EJ111" i="5" s="1"/>
  <c r="EK111" i="5" s="1"/>
  <c r="AJ202" i="5"/>
  <c r="AN202" i="5" s="1"/>
  <c r="DO202" i="5" s="1"/>
  <c r="AJ175" i="5"/>
  <c r="AJ221" i="5"/>
  <c r="AN221" i="5" s="1"/>
  <c r="DO221" i="5" s="1"/>
  <c r="EG221" i="5" s="1"/>
  <c r="EJ221" i="5" s="1"/>
  <c r="EK221" i="5" s="1"/>
  <c r="AS210" i="5"/>
  <c r="AS214" i="5"/>
  <c r="AS203" i="5"/>
  <c r="AS201" i="5"/>
  <c r="AS202" i="5"/>
  <c r="AS209" i="5"/>
  <c r="AS198" i="5"/>
  <c r="AS211" i="5"/>
  <c r="I109" i="5"/>
  <c r="AS105" i="5"/>
  <c r="AD142" i="5"/>
  <c r="AD143" i="5"/>
  <c r="K107" i="5"/>
  <c r="N107" i="5" s="1"/>
  <c r="K112" i="5"/>
  <c r="N112" i="5" s="1"/>
  <c r="S159" i="5"/>
  <c r="S156" i="5"/>
  <c r="S251" i="5"/>
  <c r="S204" i="5"/>
  <c r="S210" i="5"/>
  <c r="S169" i="5"/>
  <c r="S181" i="5"/>
  <c r="S224" i="5"/>
  <c r="S233" i="5"/>
  <c r="S232" i="5"/>
  <c r="S235" i="5"/>
  <c r="S217" i="5"/>
  <c r="DH217" i="5" s="1"/>
  <c r="S216" i="5"/>
  <c r="DH216" i="5" s="1"/>
  <c r="S164" i="5"/>
  <c r="S230" i="5"/>
  <c r="S218" i="5"/>
  <c r="S189" i="5"/>
  <c r="S197" i="5"/>
  <c r="S205" i="5"/>
  <c r="S213" i="5"/>
  <c r="S165" i="5"/>
  <c r="S157" i="5"/>
  <c r="S167" i="5"/>
  <c r="S248" i="5"/>
  <c r="S249" i="5"/>
  <c r="S196" i="5"/>
  <c r="S177" i="5"/>
  <c r="S206" i="5"/>
  <c r="S185" i="5"/>
  <c r="S198" i="5"/>
  <c r="DH198" i="5" s="1"/>
  <c r="S227" i="5"/>
  <c r="S245" i="5"/>
  <c r="S242" i="5"/>
  <c r="S220" i="5"/>
  <c r="S175" i="5"/>
  <c r="S199" i="5"/>
  <c r="S207" i="5"/>
  <c r="S215" i="5"/>
  <c r="S237" i="5"/>
  <c r="S229" i="5"/>
  <c r="S170" i="5"/>
  <c r="S178" i="5"/>
  <c r="S186" i="5"/>
  <c r="S194" i="5"/>
  <c r="S158" i="5"/>
  <c r="S188" i="5"/>
  <c r="S172" i="5"/>
  <c r="S184" i="5"/>
  <c r="S166" i="5"/>
  <c r="S250" i="5"/>
  <c r="S173" i="5"/>
  <c r="S214" i="5"/>
  <c r="S193" i="5"/>
  <c r="S238" i="5"/>
  <c r="S223" i="5"/>
  <c r="S247" i="5"/>
  <c r="S240" i="5"/>
  <c r="S219" i="5"/>
  <c r="S180" i="5"/>
  <c r="S234" i="5"/>
  <c r="S201" i="5"/>
  <c r="S209" i="5"/>
  <c r="S161" i="5"/>
  <c r="AD199" i="5"/>
  <c r="S162" i="5"/>
  <c r="S160" i="5"/>
  <c r="S212" i="5"/>
  <c r="S200" i="5"/>
  <c r="S208" i="5"/>
  <c r="S202" i="5"/>
  <c r="S246" i="5"/>
  <c r="S244" i="5"/>
  <c r="S228" i="5"/>
  <c r="S225" i="5"/>
  <c r="S222" i="5"/>
  <c r="S243" i="5"/>
  <c r="S221" i="5"/>
  <c r="S226" i="5"/>
  <c r="S195" i="5"/>
  <c r="S203" i="5"/>
  <c r="S211" i="5"/>
  <c r="S163" i="5"/>
  <c r="S241" i="5"/>
  <c r="S174" i="5"/>
  <c r="S182" i="5"/>
  <c r="S190" i="5"/>
  <c r="S176" i="5"/>
  <c r="S192" i="5"/>
  <c r="AD197" i="5"/>
  <c r="AD213" i="5"/>
  <c r="AD201" i="5"/>
  <c r="AD207" i="5"/>
  <c r="AD196" i="5"/>
  <c r="AD215" i="5"/>
  <c r="AD205" i="5"/>
  <c r="AZ234" i="5"/>
  <c r="AZ238" i="5"/>
  <c r="CI238" i="5" s="1"/>
  <c r="AZ221" i="5"/>
  <c r="AZ242" i="5"/>
  <c r="CI242" i="5" s="1"/>
  <c r="AZ219" i="5"/>
  <c r="AZ226" i="5"/>
  <c r="AZ222" i="5"/>
  <c r="AZ218" i="5"/>
  <c r="AZ216" i="5"/>
  <c r="AZ244" i="5"/>
  <c r="CI244" i="5" s="1"/>
  <c r="AZ236" i="5"/>
  <c r="CI236" i="5" s="1"/>
  <c r="AZ228" i="5"/>
  <c r="CI228" i="5" s="1"/>
  <c r="AZ246" i="5"/>
  <c r="AZ173" i="5"/>
  <c r="CI173" i="5" s="1"/>
  <c r="AZ177" i="5"/>
  <c r="CI177" i="5" s="1"/>
  <c r="AZ184" i="5"/>
  <c r="CI184" i="5" s="1"/>
  <c r="AZ172" i="5"/>
  <c r="CI172" i="5" s="1"/>
  <c r="AZ169" i="5"/>
  <c r="CI169" i="5" s="1"/>
  <c r="FR263" i="20" l="1"/>
  <c r="FR247" i="20"/>
  <c r="FR271" i="20"/>
  <c r="DY555" i="20"/>
  <c r="DZ555" i="20" s="1"/>
  <c r="DE351" i="20"/>
  <c r="CX6" i="20"/>
  <c r="CX7" i="20" s="1"/>
  <c r="DU105" i="20"/>
  <c r="FA105" i="20"/>
  <c r="FE105" i="20" s="1"/>
  <c r="FJ105" i="20" s="1"/>
  <c r="DZ105" i="20" s="1"/>
  <c r="DE213" i="20"/>
  <c r="DE208" i="20"/>
  <c r="FR228" i="20"/>
  <c r="DY554" i="20"/>
  <c r="DZ554" i="20" s="1"/>
  <c r="DY557" i="20"/>
  <c r="DZ557" i="20" s="1"/>
  <c r="DY558" i="20"/>
  <c r="DZ558" i="20" s="1"/>
  <c r="DB10" i="21"/>
  <c r="DB11" i="21" s="1"/>
  <c r="CW3" i="21"/>
  <c r="FS56" i="21"/>
  <c r="DC1" i="21"/>
  <c r="DC2" i="21" s="1"/>
  <c r="DC3" i="21"/>
  <c r="DS212" i="21"/>
  <c r="DC4" i="21"/>
  <c r="EX216" i="21"/>
  <c r="DS216" i="21" s="1"/>
  <c r="AV196" i="21"/>
  <c r="AW196" i="21" s="1"/>
  <c r="DO195" i="21"/>
  <c r="DQ195" i="21" s="1"/>
  <c r="DR195" i="21" s="1"/>
  <c r="FS60" i="21"/>
  <c r="EX23" i="21"/>
  <c r="BC195" i="21"/>
  <c r="CN195" i="21" s="1"/>
  <c r="BT110" i="20"/>
  <c r="BV110" i="20" s="1"/>
  <c r="EA556" i="20"/>
  <c r="CY556" i="20"/>
  <c r="EA552" i="20"/>
  <c r="CY552" i="20"/>
  <c r="EA550" i="20"/>
  <c r="CY550" i="20"/>
  <c r="EA553" i="20"/>
  <c r="CY553" i="20"/>
  <c r="DH555" i="20"/>
  <c r="FT555" i="20"/>
  <c r="DH557" i="20"/>
  <c r="FT557" i="20"/>
  <c r="AL551" i="20"/>
  <c r="FS551" i="20"/>
  <c r="FU551" i="20" s="1"/>
  <c r="DG551" i="20"/>
  <c r="FT554" i="20"/>
  <c r="DH554" i="20"/>
  <c r="FT558" i="20"/>
  <c r="DN558" i="20"/>
  <c r="CX8" i="20"/>
  <c r="FE502" i="20"/>
  <c r="FF502" i="20" s="1"/>
  <c r="CX9" i="20"/>
  <c r="FR97" i="20"/>
  <c r="DU106" i="20"/>
  <c r="EZ106" i="20"/>
  <c r="FE106" i="20" s="1"/>
  <c r="FJ106" i="20" s="1"/>
  <c r="DZ106" i="20" s="1"/>
  <c r="FR449" i="20"/>
  <c r="FR314" i="20"/>
  <c r="FR436" i="20"/>
  <c r="FR289" i="20"/>
  <c r="FR450" i="20"/>
  <c r="FE455" i="20"/>
  <c r="FF455" i="20" s="1"/>
  <c r="DE452" i="20"/>
  <c r="FE484" i="20"/>
  <c r="FF484" i="20" s="1"/>
  <c r="FR352" i="20"/>
  <c r="DE352" i="20"/>
  <c r="CJ110" i="20"/>
  <c r="CQ110" i="20" s="1"/>
  <c r="CS110" i="20" s="1"/>
  <c r="EM1" i="20"/>
  <c r="EM2" i="20" s="1"/>
  <c r="EM3" i="20"/>
  <c r="FE491" i="20"/>
  <c r="FF491" i="20" s="1"/>
  <c r="DE367" i="20"/>
  <c r="FR431" i="20"/>
  <c r="FR317" i="20"/>
  <c r="FR187" i="20"/>
  <c r="FR456" i="20"/>
  <c r="DE245" i="20"/>
  <c r="DE196" i="20"/>
  <c r="FR342" i="20"/>
  <c r="FR455" i="20"/>
  <c r="DE455" i="20"/>
  <c r="DE315" i="20"/>
  <c r="FR315" i="20"/>
  <c r="FR331" i="20"/>
  <c r="DE331" i="20"/>
  <c r="FR353" i="20"/>
  <c r="DE353" i="20"/>
  <c r="DE339" i="20"/>
  <c r="FR339" i="20"/>
  <c r="EA494" i="20"/>
  <c r="DE13" i="20"/>
  <c r="BC110" i="20"/>
  <c r="FR335" i="20"/>
  <c r="FP297" i="20"/>
  <c r="FR446" i="20"/>
  <c r="DE446" i="20"/>
  <c r="DE402" i="20"/>
  <c r="FR402" i="20"/>
  <c r="FR269" i="20"/>
  <c r="DE373" i="20"/>
  <c r="FR259" i="20"/>
  <c r="EA500" i="20"/>
  <c r="DK12" i="20"/>
  <c r="DE302" i="20"/>
  <c r="FR302" i="20"/>
  <c r="FR239" i="20"/>
  <c r="DE239" i="20"/>
  <c r="DE254" i="20"/>
  <c r="FR254" i="20"/>
  <c r="DE437" i="20"/>
  <c r="FR437" i="20"/>
  <c r="FR397" i="20"/>
  <c r="DE397" i="20"/>
  <c r="DK10" i="20"/>
  <c r="DK11" i="20" s="1"/>
  <c r="DK13" i="20"/>
  <c r="DF10" i="20"/>
  <c r="DF11" i="20" s="1"/>
  <c r="FR356" i="20"/>
  <c r="FR379" i="20"/>
  <c r="FR285" i="20"/>
  <c r="BW109" i="20"/>
  <c r="BX109" i="20" s="1"/>
  <c r="EQ109" i="20" s="1"/>
  <c r="EP109" i="20" s="1"/>
  <c r="FA109" i="20" s="1"/>
  <c r="FR361" i="20"/>
  <c r="DE361" i="20"/>
  <c r="FR334" i="20"/>
  <c r="DE334" i="20"/>
  <c r="DE441" i="20"/>
  <c r="FR441" i="20"/>
  <c r="DF12" i="20"/>
  <c r="AZ110" i="20"/>
  <c r="DF13" i="20"/>
  <c r="FR307" i="20"/>
  <c r="FR316" i="20"/>
  <c r="DE316" i="20"/>
  <c r="DF16" i="20"/>
  <c r="DE10" i="20"/>
  <c r="DE11" i="20" s="1"/>
  <c r="FR186" i="20"/>
  <c r="DE186" i="20"/>
  <c r="CX16" i="20"/>
  <c r="DE291" i="20"/>
  <c r="FR291" i="20"/>
  <c r="CX4" i="20"/>
  <c r="CO4" i="20"/>
  <c r="DF17" i="20"/>
  <c r="DL4" i="20"/>
  <c r="DE12" i="20"/>
  <c r="DF14" i="20"/>
  <c r="DF15" i="20" s="1"/>
  <c r="DE329" i="20"/>
  <c r="FR329" i="20"/>
  <c r="CX17" i="20"/>
  <c r="FR411" i="20"/>
  <c r="DE411" i="20"/>
  <c r="CX14" i="20"/>
  <c r="CX15" i="20" s="1"/>
  <c r="FR422" i="20"/>
  <c r="DE422" i="20"/>
  <c r="CX1" i="20"/>
  <c r="CO2" i="20" s="1"/>
  <c r="CX3" i="20"/>
  <c r="FR258" i="20"/>
  <c r="CO1" i="20"/>
  <c r="FR370" i="20"/>
  <c r="CO3" i="20"/>
  <c r="ES105" i="21"/>
  <c r="ER105" i="21"/>
  <c r="DM105" i="21"/>
  <c r="ED23" i="21"/>
  <c r="DR23" i="21"/>
  <c r="CQ194" i="21"/>
  <c r="CQ169" i="21"/>
  <c r="DB325" i="21"/>
  <c r="FH325" i="21"/>
  <c r="DP166" i="21"/>
  <c r="DO166" i="21"/>
  <c r="FL399" i="21"/>
  <c r="CZ399" i="21"/>
  <c r="ED388" i="21"/>
  <c r="CR388" i="21" s="1"/>
  <c r="ED298" i="21"/>
  <c r="CR298" i="21" s="1"/>
  <c r="ED306" i="21"/>
  <c r="CR306" i="21" s="1"/>
  <c r="DU219" i="21"/>
  <c r="AV219" i="21"/>
  <c r="AW219" i="21" s="1"/>
  <c r="DP213" i="21"/>
  <c r="DO213" i="21"/>
  <c r="FH433" i="21"/>
  <c r="DB433" i="21"/>
  <c r="DQ168" i="21"/>
  <c r="DR168" i="21" s="1"/>
  <c r="ED422" i="21"/>
  <c r="CR422" i="21" s="1"/>
  <c r="CZ227" i="21"/>
  <c r="FL227" i="21"/>
  <c r="DB398" i="21"/>
  <c r="FH398" i="21"/>
  <c r="ED366" i="21"/>
  <c r="CR366" i="21" s="1"/>
  <c r="ED333" i="21"/>
  <c r="CR333" i="21" s="1"/>
  <c r="DB376" i="21"/>
  <c r="FH376" i="21"/>
  <c r="ED339" i="21"/>
  <c r="CR339" i="21" s="1"/>
  <c r="ED287" i="21"/>
  <c r="CR287" i="21" s="1"/>
  <c r="FH396" i="21"/>
  <c r="CV396" i="21"/>
  <c r="ED317" i="21"/>
  <c r="CR317" i="21" s="1"/>
  <c r="ED364" i="21"/>
  <c r="CR364" i="21" s="1"/>
  <c r="ED380" i="21"/>
  <c r="CR380" i="21" s="1"/>
  <c r="FL251" i="21"/>
  <c r="DF251" i="21"/>
  <c r="FL360" i="21"/>
  <c r="CZ360" i="21"/>
  <c r="ED367" i="21"/>
  <c r="CR367" i="21" s="1"/>
  <c r="ED325" i="21"/>
  <c r="CR325" i="21" s="1"/>
  <c r="FR57" i="21"/>
  <c r="FS58" i="21"/>
  <c r="EW469" i="21"/>
  <c r="EX469" i="21" s="1"/>
  <c r="FR60" i="21"/>
  <c r="FL437" i="21"/>
  <c r="DF437" i="21"/>
  <c r="DB200" i="21"/>
  <c r="FH200" i="21"/>
  <c r="BC404" i="21"/>
  <c r="CN404" i="21" s="1"/>
  <c r="FH403" i="21"/>
  <c r="DB403" i="21"/>
  <c r="DB6" i="21"/>
  <c r="DB7" i="21" s="1"/>
  <c r="DB9" i="21"/>
  <c r="DB8" i="21"/>
  <c r="DB178" i="21"/>
  <c r="FH178" i="21"/>
  <c r="ED302" i="21"/>
  <c r="CR302" i="21" s="1"/>
  <c r="DB413" i="21"/>
  <c r="FH413" i="21"/>
  <c r="CQ193" i="21"/>
  <c r="ED401" i="21"/>
  <c r="CR401" i="21" s="1"/>
  <c r="DF421" i="21"/>
  <c r="FL421" i="21"/>
  <c r="FL231" i="21"/>
  <c r="CZ231" i="21"/>
  <c r="DQ192" i="21"/>
  <c r="DR192" i="21" s="1"/>
  <c r="ED321" i="21"/>
  <c r="CR321" i="21" s="1"/>
  <c r="DQ476" i="21"/>
  <c r="DR476" i="21"/>
  <c r="DS476" i="21" s="1"/>
  <c r="DF436" i="21"/>
  <c r="FL436" i="21"/>
  <c r="FB24" i="21"/>
  <c r="ED24" i="21" s="1"/>
  <c r="EX24" i="21"/>
  <c r="BC435" i="21"/>
  <c r="CN435" i="21" s="1"/>
  <c r="FS61" i="21"/>
  <c r="ED440" i="21"/>
  <c r="CR440" i="21" s="1"/>
  <c r="EX214" i="21"/>
  <c r="DS214" i="21" s="1"/>
  <c r="ED438" i="21"/>
  <c r="CR438" i="21" s="1"/>
  <c r="FL353" i="21"/>
  <c r="DF353" i="21"/>
  <c r="FH288" i="21"/>
  <c r="CV288" i="21"/>
  <c r="ER166" i="21"/>
  <c r="ES166" i="21"/>
  <c r="DF236" i="21"/>
  <c r="FL236" i="21"/>
  <c r="ED196" i="21"/>
  <c r="CR196" i="21" s="1"/>
  <c r="CZ221" i="21"/>
  <c r="FL221" i="21"/>
  <c r="ED404" i="21"/>
  <c r="CR404" i="21" s="1"/>
  <c r="CZ234" i="21"/>
  <c r="FL234" i="21"/>
  <c r="ES213" i="21"/>
  <c r="ER213" i="21"/>
  <c r="ED441" i="21"/>
  <c r="CR441" i="21" s="1"/>
  <c r="ED330" i="21"/>
  <c r="CR330" i="21" s="1"/>
  <c r="CZ195" i="21"/>
  <c r="FL195" i="21"/>
  <c r="FL239" i="21"/>
  <c r="CZ239" i="21"/>
  <c r="CZ311" i="21"/>
  <c r="FL311" i="21"/>
  <c r="CV10" i="21"/>
  <c r="CV11" i="21" s="1"/>
  <c r="CV13" i="21"/>
  <c r="CV12" i="21"/>
  <c r="ED414" i="21"/>
  <c r="CR414" i="21" s="1"/>
  <c r="FH318" i="21"/>
  <c r="DB318" i="21"/>
  <c r="ED429" i="21"/>
  <c r="CR429" i="21" s="1"/>
  <c r="FL296" i="21"/>
  <c r="DF296" i="21"/>
  <c r="ED442" i="21"/>
  <c r="CR442" i="21" s="1"/>
  <c r="FL435" i="21"/>
  <c r="CZ435" i="21"/>
  <c r="FH330" i="21"/>
  <c r="DB330" i="21"/>
  <c r="CW8" i="21"/>
  <c r="CW4" i="21"/>
  <c r="CW9" i="21"/>
  <c r="CW6" i="21"/>
  <c r="CW7" i="21" s="1"/>
  <c r="CZ423" i="21"/>
  <c r="FL423" i="21"/>
  <c r="EW168" i="21"/>
  <c r="EX168" i="21" s="1"/>
  <c r="ED334" i="21"/>
  <c r="CR334" i="21" s="1"/>
  <c r="FL201" i="21"/>
  <c r="DF201" i="21"/>
  <c r="FL198" i="21"/>
  <c r="CZ198" i="21"/>
  <c r="DB258" i="21"/>
  <c r="FH258" i="21"/>
  <c r="FL390" i="21"/>
  <c r="DF390" i="21"/>
  <c r="BC387" i="21"/>
  <c r="CN387" i="21" s="1"/>
  <c r="DO481" i="21"/>
  <c r="DP481" i="21"/>
  <c r="FH415" i="21"/>
  <c r="DB415" i="21"/>
  <c r="AT171" i="21"/>
  <c r="AP172" i="21"/>
  <c r="AQ171" i="21"/>
  <c r="ED335" i="21"/>
  <c r="CR335" i="21" s="1"/>
  <c r="CN9" i="21"/>
  <c r="FL269" i="21"/>
  <c r="DF269" i="21"/>
  <c r="FH284" i="21"/>
  <c r="DB284" i="21"/>
  <c r="FL433" i="21"/>
  <c r="DF433" i="21"/>
  <c r="ED358" i="21"/>
  <c r="CR358" i="21" s="1"/>
  <c r="DU170" i="21"/>
  <c r="AV170" i="21"/>
  <c r="AW170" i="21" s="1"/>
  <c r="FL371" i="21"/>
  <c r="DF371" i="21"/>
  <c r="FH395" i="21"/>
  <c r="DB395" i="21"/>
  <c r="DB294" i="21"/>
  <c r="FH294" i="21"/>
  <c r="FH420" i="21"/>
  <c r="DB420" i="21"/>
  <c r="ED400" i="21"/>
  <c r="CR400" i="21" s="1"/>
  <c r="CV362" i="21"/>
  <c r="FH362" i="21"/>
  <c r="FH449" i="21"/>
  <c r="DB449" i="21"/>
  <c r="FH431" i="21"/>
  <c r="DB431" i="21"/>
  <c r="ED379" i="21"/>
  <c r="CR379" i="21" s="1"/>
  <c r="BC332" i="21"/>
  <c r="CN332" i="21" s="1"/>
  <c r="ED387" i="21"/>
  <c r="CR387" i="21" s="1"/>
  <c r="FL299" i="21"/>
  <c r="CZ299" i="21"/>
  <c r="DF323" i="21"/>
  <c r="FL323" i="21"/>
  <c r="CZ289" i="21"/>
  <c r="FL289" i="21"/>
  <c r="CW1" i="21"/>
  <c r="CW2" i="21" s="1"/>
  <c r="EW162" i="21"/>
  <c r="EX162" i="21" s="1"/>
  <c r="DS162" i="21" s="1"/>
  <c r="FL419" i="21"/>
  <c r="CZ419" i="21"/>
  <c r="FL200" i="21"/>
  <c r="DF200" i="21"/>
  <c r="ED413" i="21"/>
  <c r="CR413" i="21" s="1"/>
  <c r="DP466" i="21"/>
  <c r="DO466" i="21"/>
  <c r="DF365" i="21"/>
  <c r="FL365" i="21"/>
  <c r="EX217" i="21"/>
  <c r="EW217" i="21"/>
  <c r="FL308" i="21"/>
  <c r="CZ308" i="21"/>
  <c r="FH392" i="21"/>
  <c r="CV392" i="21"/>
  <c r="DF314" i="21"/>
  <c r="FL314" i="21"/>
  <c r="ED276" i="21"/>
  <c r="CR276" i="21" s="1"/>
  <c r="CV356" i="21"/>
  <c r="FH356" i="21"/>
  <c r="CV352" i="21"/>
  <c r="FH352" i="21"/>
  <c r="DQ479" i="21"/>
  <c r="DR479" i="21"/>
  <c r="DS479" i="21" s="1"/>
  <c r="ED382" i="21"/>
  <c r="CR382" i="21" s="1"/>
  <c r="FL262" i="21"/>
  <c r="DF262" i="21"/>
  <c r="DP469" i="21"/>
  <c r="DO469" i="21"/>
  <c r="DF377" i="21"/>
  <c r="FL377" i="21"/>
  <c r="EX22" i="21"/>
  <c r="FB22" i="21"/>
  <c r="FS53" i="21"/>
  <c r="FH322" i="21"/>
  <c r="CV322" i="21"/>
  <c r="ED336" i="21"/>
  <c r="CR336" i="21" s="1"/>
  <c r="ED415" i="21"/>
  <c r="CR415" i="21" s="1"/>
  <c r="AU170" i="21"/>
  <c r="AR170" i="21"/>
  <c r="DR19" i="21"/>
  <c r="DS19" i="21" s="1"/>
  <c r="DR483" i="21"/>
  <c r="DS483" i="21" s="1"/>
  <c r="DQ483" i="21"/>
  <c r="CV402" i="21"/>
  <c r="FH402" i="21"/>
  <c r="ED411" i="21"/>
  <c r="CR411" i="21" s="1"/>
  <c r="CV405" i="21"/>
  <c r="FH405" i="21"/>
  <c r="DP470" i="21"/>
  <c r="DO470" i="21"/>
  <c r="ED297" i="21"/>
  <c r="CR297" i="21" s="1"/>
  <c r="FR56" i="21"/>
  <c r="FL246" i="21"/>
  <c r="DF246" i="21"/>
  <c r="CV261" i="21"/>
  <c r="FH261" i="21"/>
  <c r="ES104" i="21"/>
  <c r="ER104" i="21"/>
  <c r="EW104" i="21" s="1"/>
  <c r="DM104" i="21"/>
  <c r="ED408" i="21"/>
  <c r="CR408" i="21" s="1"/>
  <c r="DB327" i="21"/>
  <c r="FH327" i="21"/>
  <c r="FH335" i="21"/>
  <c r="CV335" i="21"/>
  <c r="CN8" i="21"/>
  <c r="FR61" i="21"/>
  <c r="FS54" i="21"/>
  <c r="AU196" i="21"/>
  <c r="AR196" i="21"/>
  <c r="FH445" i="21"/>
  <c r="DB445" i="21"/>
  <c r="ED405" i="21"/>
  <c r="CR405" i="21" s="1"/>
  <c r="ED288" i="21"/>
  <c r="CR288" i="21" s="1"/>
  <c r="FL207" i="21"/>
  <c r="CZ207" i="21"/>
  <c r="DC17" i="21"/>
  <c r="DC16" i="21"/>
  <c r="DC14" i="21"/>
  <c r="DC15" i="21" s="1"/>
  <c r="FL245" i="21"/>
  <c r="DF245" i="21"/>
  <c r="BC296" i="21"/>
  <c r="CN296" i="21" s="1"/>
  <c r="EM109" i="21"/>
  <c r="EP109" i="21" s="1"/>
  <c r="EQ109" i="21" s="1"/>
  <c r="FH263" i="21"/>
  <c r="DB263" i="21"/>
  <c r="FH438" i="21"/>
  <c r="CV438" i="21"/>
  <c r="FB106" i="21"/>
  <c r="DR106" i="21" s="1"/>
  <c r="EX106" i="21"/>
  <c r="ED396" i="21"/>
  <c r="CR396" i="21" s="1"/>
  <c r="FL223" i="21"/>
  <c r="CZ223" i="21"/>
  <c r="DF295" i="21"/>
  <c r="FL295" i="21"/>
  <c r="AP221" i="21"/>
  <c r="AT220" i="21"/>
  <c r="AQ220" i="21"/>
  <c r="BC289" i="21"/>
  <c r="CN289" i="21" s="1"/>
  <c r="CV312" i="21"/>
  <c r="FH312" i="21"/>
  <c r="ED318" i="21"/>
  <c r="CR318" i="21" s="1"/>
  <c r="CP2" i="21"/>
  <c r="CG2" i="21"/>
  <c r="FR55" i="21"/>
  <c r="ED307" i="21"/>
  <c r="CR307" i="21" s="1"/>
  <c r="ED394" i="21"/>
  <c r="CR394" i="21" s="1"/>
  <c r="CV370" i="21"/>
  <c r="FH370" i="21"/>
  <c r="FH409" i="21"/>
  <c r="DB409" i="21"/>
  <c r="CZ279" i="21"/>
  <c r="FL279" i="21"/>
  <c r="DB448" i="21"/>
  <c r="FH448" i="21"/>
  <c r="FH201" i="21"/>
  <c r="DB201" i="21"/>
  <c r="ED376" i="21"/>
  <c r="CR376" i="21" s="1"/>
  <c r="DB414" i="21"/>
  <c r="FH414" i="21"/>
  <c r="ED418" i="21"/>
  <c r="CR418" i="21" s="1"/>
  <c r="EW470" i="21"/>
  <c r="EX470" i="21" s="1"/>
  <c r="EW481" i="21"/>
  <c r="EX481" i="21" s="1"/>
  <c r="DB367" i="21"/>
  <c r="FH367" i="21"/>
  <c r="ED329" i="21"/>
  <c r="CR329" i="21" s="1"/>
  <c r="CZ430" i="21"/>
  <c r="FL430" i="21"/>
  <c r="FL243" i="21"/>
  <c r="CZ243" i="21"/>
  <c r="ED443" i="21"/>
  <c r="CR443" i="21" s="1"/>
  <c r="DB371" i="21"/>
  <c r="FH371" i="21"/>
  <c r="FH207" i="21"/>
  <c r="CV207" i="21"/>
  <c r="EO52" i="21"/>
  <c r="FH202" i="21"/>
  <c r="CV202" i="21"/>
  <c r="FL397" i="21"/>
  <c r="DF397" i="21"/>
  <c r="DF259" i="21"/>
  <c r="FL259" i="21"/>
  <c r="ED254" i="21"/>
  <c r="CR254" i="21" s="1"/>
  <c r="ED369" i="21"/>
  <c r="CR369" i="21" s="1"/>
  <c r="BC306" i="21"/>
  <c r="CN306" i="21" s="1"/>
  <c r="FL363" i="21"/>
  <c r="DF363" i="21"/>
  <c r="DB382" i="21"/>
  <c r="FH382" i="21"/>
  <c r="FL208" i="21"/>
  <c r="DF208" i="21"/>
  <c r="CZ393" i="21"/>
  <c r="FL393" i="21"/>
  <c r="ED392" i="21"/>
  <c r="CR392" i="21" s="1"/>
  <c r="BC316" i="21"/>
  <c r="CN316" i="21" s="1"/>
  <c r="DF337" i="21"/>
  <c r="FL337" i="21"/>
  <c r="FL341" i="21"/>
  <c r="DF341" i="21"/>
  <c r="CV241" i="21"/>
  <c r="FH241" i="21"/>
  <c r="FH251" i="21"/>
  <c r="DB251" i="21"/>
  <c r="AZ109" i="21"/>
  <c r="BC109" i="21" s="1"/>
  <c r="AY109" i="21"/>
  <c r="ED345" i="21"/>
  <c r="CR345" i="21" s="1"/>
  <c r="CW17" i="21"/>
  <c r="CW14" i="21"/>
  <c r="CW15" i="21" s="1"/>
  <c r="CW16" i="21"/>
  <c r="DB317" i="21"/>
  <c r="FH317" i="21"/>
  <c r="CV283" i="21"/>
  <c r="FH283" i="21"/>
  <c r="ED106" i="21"/>
  <c r="FS59" i="21"/>
  <c r="BO111" i="21"/>
  <c r="BP111" i="21" s="1"/>
  <c r="EI111" i="21" s="1"/>
  <c r="EH111" i="21" s="1"/>
  <c r="CV96" i="21"/>
  <c r="CV6" i="21" s="1"/>
  <c r="CV7" i="21" s="1"/>
  <c r="FH96" i="21"/>
  <c r="ED258" i="21"/>
  <c r="CR258" i="21" s="1"/>
  <c r="CV172" i="21"/>
  <c r="FH172" i="21"/>
  <c r="FL346" i="21"/>
  <c r="DF346" i="21"/>
  <c r="BC366" i="21"/>
  <c r="CN366" i="21" s="1"/>
  <c r="BC270" i="21"/>
  <c r="CN270" i="21" s="1"/>
  <c r="ED309" i="21"/>
  <c r="CR309" i="21" s="1"/>
  <c r="FH440" i="21"/>
  <c r="DB440" i="21"/>
  <c r="AT26" i="21"/>
  <c r="DU26" i="21" s="1"/>
  <c r="EM26" i="21" s="1"/>
  <c r="EP26" i="21" s="1"/>
  <c r="EQ26" i="21" s="1"/>
  <c r="AP27" i="21"/>
  <c r="AQ26" i="21"/>
  <c r="BM109" i="21"/>
  <c r="BL109" i="21"/>
  <c r="BN109" i="21" s="1"/>
  <c r="FL277" i="21"/>
  <c r="DF277" i="21"/>
  <c r="ED332" i="21"/>
  <c r="CR332" i="21" s="1"/>
  <c r="BO108" i="21"/>
  <c r="BP108" i="21" s="1"/>
  <c r="EI108" i="21" s="1"/>
  <c r="EH108" i="21" s="1"/>
  <c r="ED204" i="21"/>
  <c r="CR204" i="21" s="1"/>
  <c r="DN218" i="21"/>
  <c r="EM218" i="21"/>
  <c r="EP218" i="21" s="1"/>
  <c r="EQ218" i="21" s="1"/>
  <c r="DB305" i="21"/>
  <c r="FH305" i="21"/>
  <c r="CV411" i="21"/>
  <c r="FH411" i="21"/>
  <c r="ED417" i="21"/>
  <c r="CR417" i="21" s="1"/>
  <c r="ED426" i="21"/>
  <c r="CR426" i="21" s="1"/>
  <c r="EE3" i="21"/>
  <c r="EE1" i="21"/>
  <c r="EE2" i="21" s="1"/>
  <c r="FS55" i="21"/>
  <c r="CV374" i="21"/>
  <c r="FH374" i="21"/>
  <c r="ED391" i="21"/>
  <c r="CR391" i="21" s="1"/>
  <c r="FL420" i="21"/>
  <c r="DF420" i="21"/>
  <c r="AU109" i="21"/>
  <c r="AR109" i="21"/>
  <c r="ED398" i="21"/>
  <c r="CR398" i="21" s="1"/>
  <c r="EW493" i="21"/>
  <c r="EX493" i="21" s="1"/>
  <c r="ED368" i="21"/>
  <c r="CR368" i="21" s="1"/>
  <c r="ED384" i="21"/>
  <c r="CR384" i="21" s="1"/>
  <c r="FH233" i="21"/>
  <c r="CV233" i="21"/>
  <c r="FH292" i="21"/>
  <c r="DB292" i="21"/>
  <c r="EW192" i="21"/>
  <c r="EX192" i="21" s="1"/>
  <c r="CN6" i="21"/>
  <c r="CN7" i="21" s="1"/>
  <c r="FR58" i="21"/>
  <c r="FR64" i="21" s="1"/>
  <c r="DF427" i="21"/>
  <c r="FL427" i="21"/>
  <c r="FH329" i="21"/>
  <c r="CV329" i="21"/>
  <c r="FR59" i="21"/>
  <c r="FH418" i="21"/>
  <c r="DB418" i="21"/>
  <c r="ED352" i="21"/>
  <c r="CR352" i="21" s="1"/>
  <c r="FL278" i="21"/>
  <c r="DF278" i="21"/>
  <c r="CV99" i="21"/>
  <c r="FH99" i="21"/>
  <c r="DP493" i="21"/>
  <c r="DO493" i="21"/>
  <c r="FH345" i="21"/>
  <c r="DB345" i="21"/>
  <c r="ED273" i="21"/>
  <c r="CR273" i="21" s="1"/>
  <c r="FL283" i="21"/>
  <c r="CZ283" i="21"/>
  <c r="DF403" i="21"/>
  <c r="FL403" i="21"/>
  <c r="CV439" i="21"/>
  <c r="FH439" i="21"/>
  <c r="ER110" i="21"/>
  <c r="ES110" i="21"/>
  <c r="FL248" i="21"/>
  <c r="CZ248" i="21"/>
  <c r="ED284" i="21"/>
  <c r="CR284" i="21" s="1"/>
  <c r="FH384" i="21"/>
  <c r="DB384" i="21"/>
  <c r="DF448" i="21"/>
  <c r="FL448" i="21"/>
  <c r="FL385" i="21"/>
  <c r="CZ385" i="21"/>
  <c r="EX194" i="21"/>
  <c r="DS194" i="21" s="1"/>
  <c r="ED265" i="21"/>
  <c r="CR265" i="21" s="1"/>
  <c r="FL445" i="21"/>
  <c r="DF445" i="21"/>
  <c r="FH426" i="21"/>
  <c r="CV426" i="21"/>
  <c r="DF252" i="21"/>
  <c r="FL252" i="21"/>
  <c r="FL331" i="21"/>
  <c r="CZ331" i="21"/>
  <c r="CO2" i="21"/>
  <c r="CF2" i="21"/>
  <c r="ER169" i="21"/>
  <c r="ES169" i="21"/>
  <c r="ED383" i="21"/>
  <c r="CR383" i="21" s="1"/>
  <c r="AR111" i="21"/>
  <c r="AU111" i="21"/>
  <c r="FL449" i="21"/>
  <c r="DF449" i="21"/>
  <c r="BC383" i="21"/>
  <c r="CN383" i="21" s="1"/>
  <c r="ED431" i="21"/>
  <c r="CR431" i="21" s="1"/>
  <c r="CB109" i="21"/>
  <c r="CI109" i="21" s="1"/>
  <c r="CK109" i="21" s="1"/>
  <c r="ED267" i="21"/>
  <c r="CR267" i="21" s="1"/>
  <c r="FL292" i="21"/>
  <c r="DF292" i="21"/>
  <c r="FL338" i="21"/>
  <c r="DF338" i="21"/>
  <c r="FH331" i="21"/>
  <c r="CV331" i="21"/>
  <c r="ED205" i="21"/>
  <c r="CR205" i="21" s="1"/>
  <c r="DB13" i="21"/>
  <c r="ED428" i="21"/>
  <c r="CR428" i="21" s="1"/>
  <c r="ED409" i="21"/>
  <c r="CR409" i="21" s="1"/>
  <c r="FL322" i="21"/>
  <c r="CZ322" i="21"/>
  <c r="FL434" i="21"/>
  <c r="CZ434" i="21"/>
  <c r="AD167" i="21"/>
  <c r="FK167" i="21"/>
  <c r="FM167" i="21" s="1"/>
  <c r="CY167" i="21"/>
  <c r="DR465" i="21"/>
  <c r="DS465" i="21" s="1"/>
  <c r="DQ465" i="21"/>
  <c r="DR165" i="21"/>
  <c r="DQ165" i="21"/>
  <c r="FL202" i="21"/>
  <c r="CZ202" i="21"/>
  <c r="DC12" i="21"/>
  <c r="DC10" i="21"/>
  <c r="DC11" i="21" s="1"/>
  <c r="DC13" i="21"/>
  <c r="ED310" i="21"/>
  <c r="CR310" i="21" s="1"/>
  <c r="EX496" i="21"/>
  <c r="CV196" i="21"/>
  <c r="FH196" i="21"/>
  <c r="CV221" i="21"/>
  <c r="FH221" i="21"/>
  <c r="CZ272" i="21"/>
  <c r="FL272" i="21"/>
  <c r="DQ472" i="21"/>
  <c r="DR472" i="21" s="1"/>
  <c r="DS472" i="21" s="1"/>
  <c r="EM111" i="21"/>
  <c r="EP111" i="21" s="1"/>
  <c r="EQ111" i="21" s="1"/>
  <c r="BC408" i="21"/>
  <c r="CN408" i="21" s="1"/>
  <c r="FL293" i="21"/>
  <c r="DF293" i="21"/>
  <c r="DB12" i="21"/>
  <c r="ED416" i="21"/>
  <c r="CR416" i="21" s="1"/>
  <c r="ED294" i="21"/>
  <c r="CR294" i="21" s="1"/>
  <c r="ED395" i="21"/>
  <c r="CR395" i="21" s="1"/>
  <c r="DB302" i="21"/>
  <c r="FH302" i="21"/>
  <c r="DB276" i="21"/>
  <c r="FH276" i="21"/>
  <c r="FS57" i="21"/>
  <c r="EX193" i="21"/>
  <c r="DS193" i="21" s="1"/>
  <c r="ED305" i="21"/>
  <c r="CR305" i="21" s="1"/>
  <c r="FL255" i="21"/>
  <c r="CZ255" i="21"/>
  <c r="ED361" i="21"/>
  <c r="CR361" i="21" s="1"/>
  <c r="ED410" i="21"/>
  <c r="CR410" i="21" s="1"/>
  <c r="FL266" i="21"/>
  <c r="CZ266" i="21"/>
  <c r="CV206" i="21"/>
  <c r="FH206" i="21"/>
  <c r="ED406" i="21"/>
  <c r="CR406" i="21" s="1"/>
  <c r="AT112" i="21"/>
  <c r="AP113" i="21"/>
  <c r="AQ112" i="21"/>
  <c r="FL281" i="21"/>
  <c r="CZ281" i="21"/>
  <c r="BC428" i="21"/>
  <c r="CN428" i="21" s="1"/>
  <c r="EW193" i="21"/>
  <c r="ED320" i="21"/>
  <c r="CR320" i="21" s="1"/>
  <c r="FL238" i="21"/>
  <c r="CZ238" i="21"/>
  <c r="FL340" i="21"/>
  <c r="CZ340" i="21"/>
  <c r="EM25" i="21"/>
  <c r="EP25" i="21" s="1"/>
  <c r="EQ25" i="21" s="1"/>
  <c r="ED347" i="21"/>
  <c r="CR347" i="21" s="1"/>
  <c r="DQ217" i="21"/>
  <c r="DR217" i="21" s="1"/>
  <c r="DS217" i="21" s="1"/>
  <c r="EX492" i="21"/>
  <c r="ED249" i="21"/>
  <c r="CR249" i="21" s="1"/>
  <c r="EW488" i="21"/>
  <c r="EX488" i="21" s="1"/>
  <c r="AU25" i="21"/>
  <c r="DO496" i="21"/>
  <c r="DP496" i="21"/>
  <c r="FL342" i="21"/>
  <c r="DF342" i="21"/>
  <c r="BC336" i="21"/>
  <c r="CN336" i="21" s="1"/>
  <c r="DN196" i="21"/>
  <c r="DO196" i="21" s="1"/>
  <c r="EM196" i="21"/>
  <c r="EP196" i="21" s="1"/>
  <c r="EQ196" i="21" s="1"/>
  <c r="FL241" i="21"/>
  <c r="CZ241" i="21"/>
  <c r="ED263" i="21"/>
  <c r="CR263" i="21" s="1"/>
  <c r="FH307" i="21"/>
  <c r="CV307" i="21"/>
  <c r="FH447" i="21"/>
  <c r="CV447" i="21"/>
  <c r="FH347" i="21"/>
  <c r="CV347" i="21"/>
  <c r="ED20" i="21"/>
  <c r="DR20" i="21"/>
  <c r="DS20" i="21" s="1"/>
  <c r="DQ490" i="21"/>
  <c r="DR490" i="21" s="1"/>
  <c r="DS490" i="21" s="1"/>
  <c r="ED312" i="21"/>
  <c r="CR312" i="21" s="1"/>
  <c r="ED356" i="21"/>
  <c r="CR356" i="21" s="1"/>
  <c r="FH198" i="21"/>
  <c r="CV198" i="21"/>
  <c r="DF280" i="21"/>
  <c r="FL280" i="21"/>
  <c r="FL206" i="21"/>
  <c r="CZ206" i="21"/>
  <c r="BC310" i="21"/>
  <c r="CN310" i="21" s="1"/>
  <c r="DB429" i="21"/>
  <c r="FH429" i="21"/>
  <c r="FH339" i="21"/>
  <c r="CV339" i="21"/>
  <c r="CV203" i="21"/>
  <c r="FH203" i="21"/>
  <c r="ED447" i="21"/>
  <c r="CR447" i="21" s="1"/>
  <c r="ES195" i="21"/>
  <c r="ER195" i="21"/>
  <c r="AP198" i="21"/>
  <c r="AT197" i="21"/>
  <c r="AQ197" i="21"/>
  <c r="DR215" i="21"/>
  <c r="DS215" i="21" s="1"/>
  <c r="FL354" i="21"/>
  <c r="CZ354" i="21"/>
  <c r="ED425" i="21"/>
  <c r="CR425" i="21" s="1"/>
  <c r="ED270" i="21"/>
  <c r="CR270" i="21" s="1"/>
  <c r="ED316" i="21"/>
  <c r="CR316" i="21" s="1"/>
  <c r="FP64" i="21"/>
  <c r="ED359" i="21"/>
  <c r="CR359" i="21" s="1"/>
  <c r="ED350" i="21"/>
  <c r="CR350" i="21" s="1"/>
  <c r="FH278" i="21"/>
  <c r="DB278" i="21"/>
  <c r="CV204" i="21"/>
  <c r="FH204" i="21"/>
  <c r="FL192" i="21"/>
  <c r="CZ192" i="21"/>
  <c r="ED373" i="21"/>
  <c r="CR373" i="21" s="1"/>
  <c r="FH443" i="21"/>
  <c r="CV443" i="21"/>
  <c r="ED291" i="21"/>
  <c r="CR291" i="21" s="1"/>
  <c r="DS495" i="21"/>
  <c r="DD10" i="21"/>
  <c r="DD11" i="21" s="1"/>
  <c r="DD12" i="21"/>
  <c r="DD13" i="21"/>
  <c r="ED374" i="21"/>
  <c r="CR374" i="21" s="1"/>
  <c r="EX466" i="21"/>
  <c r="DP492" i="21"/>
  <c r="DO492" i="21"/>
  <c r="FR54" i="21"/>
  <c r="DO488" i="21"/>
  <c r="DP488" i="21"/>
  <c r="DF253" i="21"/>
  <c r="FL253" i="21"/>
  <c r="EX165" i="21"/>
  <c r="ED301" i="21"/>
  <c r="CR301" i="21" s="1"/>
  <c r="DB361" i="21"/>
  <c r="FH361" i="21"/>
  <c r="DF378" i="21"/>
  <c r="FL378" i="21"/>
  <c r="CV195" i="21"/>
  <c r="FH195" i="21"/>
  <c r="ED257" i="21"/>
  <c r="CR257" i="21" s="1"/>
  <c r="AR219" i="21"/>
  <c r="AU219" i="21"/>
  <c r="FH291" i="21"/>
  <c r="DB291" i="21"/>
  <c r="DJ440" i="20"/>
  <c r="FP440" i="20"/>
  <c r="DK6" i="20"/>
  <c r="DK7" i="20" s="1"/>
  <c r="DK8" i="20"/>
  <c r="EA482" i="20"/>
  <c r="DL1" i="20"/>
  <c r="DL2" i="20" s="1"/>
  <c r="DL3" i="20"/>
  <c r="FE21" i="20"/>
  <c r="FJ21" i="20" s="1"/>
  <c r="EA492" i="20"/>
  <c r="FE22" i="20"/>
  <c r="FF22" i="20" s="1"/>
  <c r="FE24" i="20"/>
  <c r="FJ24" i="20" s="1"/>
  <c r="FE476" i="20"/>
  <c r="FF476" i="20" s="1"/>
  <c r="FZ59" i="20"/>
  <c r="FE20" i="20"/>
  <c r="FF20" i="20" s="1"/>
  <c r="FE499" i="20"/>
  <c r="FF499" i="20" s="1"/>
  <c r="FE478" i="20"/>
  <c r="FF478" i="20" s="1"/>
  <c r="FE474" i="20"/>
  <c r="FF474" i="20" s="1"/>
  <c r="FE475" i="20"/>
  <c r="FF475" i="20" s="1"/>
  <c r="FE158" i="20"/>
  <c r="FF158" i="20" s="1"/>
  <c r="EA158" i="20" s="1"/>
  <c r="FE23" i="20"/>
  <c r="FJ23" i="20" s="1"/>
  <c r="EA498" i="20"/>
  <c r="DK16" i="20"/>
  <c r="DY455" i="20"/>
  <c r="DZ455" i="20" s="1"/>
  <c r="FE477" i="20"/>
  <c r="FF477" i="20" s="1"/>
  <c r="DF6" i="20"/>
  <c r="DF7" i="20" s="1"/>
  <c r="FE493" i="20"/>
  <c r="FF493" i="20" s="1"/>
  <c r="DX473" i="20"/>
  <c r="DW473" i="20"/>
  <c r="FZ62" i="20"/>
  <c r="FZ61" i="20"/>
  <c r="DK17" i="20"/>
  <c r="DF8" i="20"/>
  <c r="FP449" i="20"/>
  <c r="DD449" i="20"/>
  <c r="DK14" i="20"/>
  <c r="DK15" i="20" s="1"/>
  <c r="FZ56" i="20"/>
  <c r="DK4" i="20"/>
  <c r="DF1" i="20"/>
  <c r="DF2" i="20" s="1"/>
  <c r="FE159" i="20"/>
  <c r="FF159" i="20" s="1"/>
  <c r="EA159" i="20" s="1"/>
  <c r="DD436" i="20"/>
  <c r="FP436" i="20"/>
  <c r="EM172" i="5"/>
  <c r="EL172" i="5"/>
  <c r="AN109" i="5"/>
  <c r="DO109" i="5" s="1"/>
  <c r="N109" i="5"/>
  <c r="BI141" i="5"/>
  <c r="BJ141" i="5" s="1"/>
  <c r="EC141" i="5" s="1"/>
  <c r="EB141" i="5" s="1"/>
  <c r="FD132" i="5"/>
  <c r="AT223" i="5"/>
  <c r="CR185" i="5"/>
  <c r="DK487" i="5"/>
  <c r="DL487" i="5" s="1"/>
  <c r="DM487" i="5" s="1"/>
  <c r="ET142" i="5"/>
  <c r="EB196" i="5"/>
  <c r="ET129" i="5"/>
  <c r="EB211" i="5"/>
  <c r="ET127" i="5"/>
  <c r="BV76" i="5"/>
  <c r="CC76" i="5" s="1"/>
  <c r="CE76" i="5" s="1"/>
  <c r="CJ76" i="5" s="1"/>
  <c r="BV212" i="5"/>
  <c r="CC212" i="5" s="1"/>
  <c r="ET143" i="5"/>
  <c r="FC176" i="5"/>
  <c r="CC121" i="5"/>
  <c r="CE121" i="5" s="1"/>
  <c r="CJ121" i="5" s="1"/>
  <c r="ET125" i="5"/>
  <c r="BV77" i="5"/>
  <c r="CC77" i="5" s="1"/>
  <c r="CE77" i="5" s="1"/>
  <c r="CJ77" i="5" s="1"/>
  <c r="BV210" i="5"/>
  <c r="CC210" i="5" s="1"/>
  <c r="AK106" i="5"/>
  <c r="ET131" i="5"/>
  <c r="CE222" i="5"/>
  <c r="AT183" i="5"/>
  <c r="CE187" i="5"/>
  <c r="CJ187" i="5" s="1"/>
  <c r="AT163" i="5"/>
  <c r="AP163" i="5" s="1"/>
  <c r="AQ163" i="5" s="1"/>
  <c r="BB231" i="5"/>
  <c r="BT213" i="5"/>
  <c r="BV213" i="5" s="1"/>
  <c r="CC213" i="5" s="1"/>
  <c r="CE213" i="5" s="1"/>
  <c r="CJ213" i="5" s="1"/>
  <c r="BV78" i="5"/>
  <c r="CC78" i="5" s="1"/>
  <c r="CE78" i="5" s="1"/>
  <c r="CJ78" i="5" s="1"/>
  <c r="FC170" i="5"/>
  <c r="EB214" i="5"/>
  <c r="ET145" i="5"/>
  <c r="BI115" i="5"/>
  <c r="BJ115" i="5" s="1"/>
  <c r="EC115" i="5" s="1"/>
  <c r="EB115" i="5" s="1"/>
  <c r="DG115" i="5" s="1"/>
  <c r="BT203" i="5"/>
  <c r="BV203" i="5" s="1"/>
  <c r="CC203" i="5" s="1"/>
  <c r="CE203" i="5" s="1"/>
  <c r="CJ203" i="5" s="1"/>
  <c r="CQ203" i="5" s="1"/>
  <c r="CE182" i="5"/>
  <c r="CJ182" i="5" s="1"/>
  <c r="BV207" i="5"/>
  <c r="CC207" i="5" s="1"/>
  <c r="AT177" i="5"/>
  <c r="BV79" i="5"/>
  <c r="CC79" i="5" s="1"/>
  <c r="CE79" i="5" s="1"/>
  <c r="CJ79" i="5" s="1"/>
  <c r="ET139" i="5"/>
  <c r="AT164" i="5"/>
  <c r="BI126" i="5"/>
  <c r="BJ126" i="5" s="1"/>
  <c r="EC126" i="5" s="1"/>
  <c r="EB126" i="5" s="1"/>
  <c r="DG126" i="5" s="1"/>
  <c r="EV20" i="5"/>
  <c r="DX20" i="5" s="1"/>
  <c r="EQ156" i="5"/>
  <c r="CE178" i="5"/>
  <c r="CJ178" i="5" s="1"/>
  <c r="ET130" i="5"/>
  <c r="BI145" i="5"/>
  <c r="BJ145" i="5" s="1"/>
  <c r="EC145" i="5" s="1"/>
  <c r="EB145" i="5" s="1"/>
  <c r="CE190" i="5"/>
  <c r="CJ190" i="5" s="1"/>
  <c r="BV90" i="5"/>
  <c r="CC90" i="5" s="1"/>
  <c r="CE90" i="5" s="1"/>
  <c r="CJ90" i="5" s="1"/>
  <c r="CQ126" i="5"/>
  <c r="AT220" i="5"/>
  <c r="AW220" i="5" s="1"/>
  <c r="BV92" i="5"/>
  <c r="CC92" i="5" s="1"/>
  <c r="CE92" i="5" s="1"/>
  <c r="CJ92" i="5" s="1"/>
  <c r="FC187" i="5"/>
  <c r="BB246" i="5"/>
  <c r="CE175" i="5"/>
  <c r="CJ175" i="5" s="1"/>
  <c r="CJ13" i="5"/>
  <c r="AK107" i="5"/>
  <c r="BV69" i="5"/>
  <c r="CC69" i="5" s="1"/>
  <c r="CE69" i="5" s="1"/>
  <c r="CJ69" i="5" s="1"/>
  <c r="BB217" i="5"/>
  <c r="BB222" i="5"/>
  <c r="BI128" i="5"/>
  <c r="BJ128" i="5" s="1"/>
  <c r="EC128" i="5" s="1"/>
  <c r="EB128" i="5" s="1"/>
  <c r="EL260" i="20"/>
  <c r="CZ260" i="20" s="1"/>
  <c r="DN231" i="20"/>
  <c r="FT231" i="20"/>
  <c r="BK355" i="20"/>
  <c r="CV355" i="20" s="1"/>
  <c r="DD215" i="20"/>
  <c r="FP215" i="20"/>
  <c r="EL403" i="20"/>
  <c r="CZ403" i="20" s="1"/>
  <c r="DN443" i="20"/>
  <c r="FT443" i="20"/>
  <c r="EL397" i="20"/>
  <c r="CZ397" i="20" s="1"/>
  <c r="EA503" i="20"/>
  <c r="DD261" i="20"/>
  <c r="FP261" i="20"/>
  <c r="DJ323" i="20"/>
  <c r="FP323" i="20"/>
  <c r="DW474" i="20"/>
  <c r="DX474" i="20"/>
  <c r="EL374" i="20"/>
  <c r="CZ374" i="20" s="1"/>
  <c r="BC111" i="20"/>
  <c r="AZ111" i="20"/>
  <c r="FP410" i="20"/>
  <c r="DJ410" i="20"/>
  <c r="EL191" i="20"/>
  <c r="CZ191" i="20" s="1"/>
  <c r="DH267" i="20"/>
  <c r="FT267" i="20"/>
  <c r="DD356" i="20"/>
  <c r="FP356" i="20"/>
  <c r="EL445" i="20"/>
  <c r="CZ445" i="20" s="1"/>
  <c r="EL199" i="20"/>
  <c r="CZ199" i="20" s="1"/>
  <c r="EL341" i="20"/>
  <c r="CZ341" i="20" s="1"/>
  <c r="DN328" i="20"/>
  <c r="FT328" i="20"/>
  <c r="DJ175" i="20"/>
  <c r="FP175" i="20"/>
  <c r="FT254" i="20"/>
  <c r="DH254" i="20"/>
  <c r="DD263" i="20"/>
  <c r="FP263" i="20"/>
  <c r="EL326" i="20"/>
  <c r="CZ326" i="20" s="1"/>
  <c r="EL252" i="20"/>
  <c r="CZ252" i="20" s="1"/>
  <c r="EL192" i="20"/>
  <c r="CZ192" i="20" s="1"/>
  <c r="EL189" i="20"/>
  <c r="CZ189" i="20" s="1"/>
  <c r="EL316" i="20"/>
  <c r="CZ316" i="20" s="1"/>
  <c r="DD248" i="20"/>
  <c r="FP248" i="20"/>
  <c r="FE490" i="20"/>
  <c r="FF490" i="20" s="1"/>
  <c r="FP273" i="20"/>
  <c r="DD273" i="20"/>
  <c r="EL185" i="20"/>
  <c r="CZ185" i="20" s="1"/>
  <c r="EL266" i="20"/>
  <c r="CZ266" i="20" s="1"/>
  <c r="DY501" i="20"/>
  <c r="DZ501" i="20" s="1"/>
  <c r="EA501" i="20" s="1"/>
  <c r="DJ327" i="20"/>
  <c r="FP327" i="20"/>
  <c r="EL291" i="20"/>
  <c r="CZ291" i="20" s="1"/>
  <c r="DJ401" i="20"/>
  <c r="FP401" i="20"/>
  <c r="FT411" i="20"/>
  <c r="DH411" i="20"/>
  <c r="EL348" i="20"/>
  <c r="CZ348" i="20" s="1"/>
  <c r="FT336" i="20"/>
  <c r="DH336" i="20"/>
  <c r="DY491" i="20"/>
  <c r="DZ491" i="20" s="1"/>
  <c r="FT423" i="20"/>
  <c r="DH423" i="20"/>
  <c r="FT244" i="20"/>
  <c r="DN244" i="20"/>
  <c r="DN420" i="20"/>
  <c r="FT420" i="20"/>
  <c r="DX477" i="20"/>
  <c r="DW477" i="20"/>
  <c r="FT367" i="20"/>
  <c r="DH367" i="20"/>
  <c r="FP447" i="20"/>
  <c r="DD447" i="20"/>
  <c r="EL243" i="20"/>
  <c r="CZ243" i="20" s="1"/>
  <c r="CV8" i="20"/>
  <c r="DD353" i="20"/>
  <c r="FP353" i="20"/>
  <c r="EL278" i="20"/>
  <c r="CZ278" i="20" s="1"/>
  <c r="DH301" i="20"/>
  <c r="FT301" i="20"/>
  <c r="EL282" i="20"/>
  <c r="CZ282" i="20" s="1"/>
  <c r="DY487" i="20"/>
  <c r="DZ487" i="20" s="1"/>
  <c r="EA487" i="20" s="1"/>
  <c r="EL208" i="20"/>
  <c r="CZ208" i="20" s="1"/>
  <c r="FT275" i="20"/>
  <c r="DN275" i="20"/>
  <c r="DE9" i="20"/>
  <c r="DE8" i="20"/>
  <c r="DE6" i="20"/>
  <c r="DE7" i="20" s="1"/>
  <c r="DJ425" i="20"/>
  <c r="FP425" i="20"/>
  <c r="DH195" i="20"/>
  <c r="FT195" i="20"/>
  <c r="DJ318" i="20"/>
  <c r="FP318" i="20"/>
  <c r="FP375" i="20"/>
  <c r="DJ375" i="20"/>
  <c r="DD357" i="20"/>
  <c r="FP357" i="20"/>
  <c r="EL375" i="20"/>
  <c r="CZ375" i="20" s="1"/>
  <c r="FP200" i="20"/>
  <c r="DJ200" i="20"/>
  <c r="DX490" i="20"/>
  <c r="DW490" i="20"/>
  <c r="DH277" i="20"/>
  <c r="FT277" i="20"/>
  <c r="DJ448" i="20"/>
  <c r="FP448" i="20"/>
  <c r="FT369" i="20"/>
  <c r="DN369" i="20"/>
  <c r="EL294" i="20"/>
  <c r="CZ294" i="20" s="1"/>
  <c r="FT300" i="20"/>
  <c r="DH300" i="20"/>
  <c r="EL447" i="20"/>
  <c r="CZ447" i="20" s="1"/>
  <c r="DD177" i="20"/>
  <c r="FP177" i="20"/>
  <c r="DJ427" i="20"/>
  <c r="FP427" i="20"/>
  <c r="DJ9" i="20"/>
  <c r="DJ8" i="20"/>
  <c r="DJ6" i="20"/>
  <c r="DJ7" i="20" s="1"/>
  <c r="DK1" i="20"/>
  <c r="DK2" i="20" s="1"/>
  <c r="FP369" i="20"/>
  <c r="DJ369" i="20"/>
  <c r="DC3" i="20"/>
  <c r="DC1" i="20"/>
  <c r="DC2" i="20" s="1"/>
  <c r="DC9" i="20"/>
  <c r="DC8" i="20"/>
  <c r="DC6" i="20"/>
  <c r="DC7" i="20" s="1"/>
  <c r="DC4" i="20"/>
  <c r="DH379" i="20"/>
  <c r="FT379" i="20"/>
  <c r="DD187" i="20"/>
  <c r="FP187" i="20"/>
  <c r="DW475" i="20"/>
  <c r="DX475" i="20"/>
  <c r="EL334" i="20"/>
  <c r="CZ334" i="20" s="1"/>
  <c r="FT190" i="20"/>
  <c r="DN190" i="20"/>
  <c r="FT186" i="20"/>
  <c r="DH186" i="20"/>
  <c r="BC25" i="20"/>
  <c r="AZ25" i="20"/>
  <c r="CV9" i="20"/>
  <c r="DY472" i="20"/>
  <c r="DZ472" i="20" s="1"/>
  <c r="EA472" i="20" s="1"/>
  <c r="EL434" i="20"/>
  <c r="CZ434" i="20" s="1"/>
  <c r="EL401" i="20"/>
  <c r="CZ401" i="20" s="1"/>
  <c r="EL242" i="20"/>
  <c r="CZ242" i="20" s="1"/>
  <c r="EL431" i="20"/>
  <c r="CZ431" i="20" s="1"/>
  <c r="EL393" i="20"/>
  <c r="CZ393" i="20" s="1"/>
  <c r="DJ442" i="20"/>
  <c r="FP442" i="20"/>
  <c r="EL358" i="20"/>
  <c r="CZ358" i="20" s="1"/>
  <c r="DH385" i="20"/>
  <c r="FT385" i="20"/>
  <c r="DD98" i="20"/>
  <c r="FP98" i="20"/>
  <c r="EL339" i="20"/>
  <c r="CZ339" i="20" s="1"/>
  <c r="FT402" i="20"/>
  <c r="DH402" i="20"/>
  <c r="EL194" i="20"/>
  <c r="CZ194" i="20" s="1"/>
  <c r="FT427" i="20"/>
  <c r="DN427" i="20"/>
  <c r="DD399" i="20"/>
  <c r="FP399" i="20"/>
  <c r="DD189" i="20"/>
  <c r="FP189" i="20"/>
  <c r="FP404" i="20"/>
  <c r="DD404" i="20"/>
  <c r="FP207" i="20"/>
  <c r="DD207" i="20"/>
  <c r="FT455" i="20"/>
  <c r="DH455" i="20"/>
  <c r="FE485" i="20"/>
  <c r="FF485" i="20" s="1"/>
  <c r="EL262" i="20"/>
  <c r="CZ262" i="20" s="1"/>
  <c r="EL323" i="20"/>
  <c r="CZ323" i="20" s="1"/>
  <c r="EL288" i="20"/>
  <c r="CZ288" i="20" s="1"/>
  <c r="FP100" i="20"/>
  <c r="DD100" i="20"/>
  <c r="DN310" i="20"/>
  <c r="FT310" i="20"/>
  <c r="DK3" i="20"/>
  <c r="FX56" i="20"/>
  <c r="FX61" i="20"/>
  <c r="FX58" i="20"/>
  <c r="FX60" i="20"/>
  <c r="FX55" i="20"/>
  <c r="FX57" i="20"/>
  <c r="FX62" i="20"/>
  <c r="FX54" i="20"/>
  <c r="FX59" i="20"/>
  <c r="DJ13" i="20"/>
  <c r="DJ10" i="20"/>
  <c r="DJ11" i="20" s="1"/>
  <c r="DJ12" i="20"/>
  <c r="FP446" i="20"/>
  <c r="DD446" i="20"/>
  <c r="EL287" i="20"/>
  <c r="CZ287" i="20" s="1"/>
  <c r="FT378" i="20"/>
  <c r="DH378" i="20"/>
  <c r="EL441" i="20"/>
  <c r="CZ441" i="20" s="1"/>
  <c r="EL425" i="20"/>
  <c r="CZ425" i="20" s="1"/>
  <c r="DJ360" i="20"/>
  <c r="FP360" i="20"/>
  <c r="EZ25" i="20"/>
  <c r="FA25" i="20"/>
  <c r="FP350" i="20"/>
  <c r="DJ350" i="20"/>
  <c r="EL213" i="20"/>
  <c r="CZ213" i="20" s="1"/>
  <c r="EL412" i="20"/>
  <c r="CZ412" i="20" s="1"/>
  <c r="DW478" i="20"/>
  <c r="DX478" i="20"/>
  <c r="FT357" i="20"/>
  <c r="DH357" i="20"/>
  <c r="FT442" i="20"/>
  <c r="DN442" i="20"/>
  <c r="CY297" i="20"/>
  <c r="DX495" i="20"/>
  <c r="DW495" i="20"/>
  <c r="FP279" i="20"/>
  <c r="DJ279" i="20"/>
  <c r="DD426" i="20"/>
  <c r="FP426" i="20"/>
  <c r="EL337" i="20"/>
  <c r="CZ337" i="20" s="1"/>
  <c r="DJ381" i="20"/>
  <c r="FP381" i="20"/>
  <c r="EL284" i="20"/>
  <c r="CZ284" i="20" s="1"/>
  <c r="FT232" i="20"/>
  <c r="DH232" i="20"/>
  <c r="DF4" i="20"/>
  <c r="DH406" i="20"/>
  <c r="FT406" i="20"/>
  <c r="EL376" i="20"/>
  <c r="CZ376" i="20" s="1"/>
  <c r="DD256" i="20"/>
  <c r="FP256" i="20"/>
  <c r="FP104" i="20"/>
  <c r="DD104" i="20"/>
  <c r="CN2" i="20"/>
  <c r="CW2" i="20"/>
  <c r="DN246" i="20"/>
  <c r="FT246" i="20"/>
  <c r="DH312" i="20"/>
  <c r="FT312" i="20"/>
  <c r="EL361" i="20"/>
  <c r="CZ361" i="20" s="1"/>
  <c r="DW485" i="20"/>
  <c r="DX485" i="20"/>
  <c r="FE489" i="20"/>
  <c r="FF489" i="20" s="1"/>
  <c r="DN386" i="20"/>
  <c r="FT386" i="20"/>
  <c r="DN250" i="20"/>
  <c r="FT250" i="20"/>
  <c r="EL372" i="20"/>
  <c r="CZ372" i="20" s="1"/>
  <c r="BW107" i="20"/>
  <c r="BX107" i="20" s="1"/>
  <c r="EQ107" i="20" s="1"/>
  <c r="EP107" i="20" s="1"/>
  <c r="DX499" i="20"/>
  <c r="DW499" i="20"/>
  <c r="DW476" i="20"/>
  <c r="DX476" i="20"/>
  <c r="EL429" i="20"/>
  <c r="CZ429" i="20" s="1"/>
  <c r="EL404" i="20"/>
  <c r="CZ404" i="20" s="1"/>
  <c r="DY480" i="20"/>
  <c r="DZ480" i="20" s="1"/>
  <c r="EA480" i="20" s="1"/>
  <c r="DY479" i="20"/>
  <c r="DZ479" i="20" s="1"/>
  <c r="EA479" i="20" s="1"/>
  <c r="EL451" i="20"/>
  <c r="CZ451" i="20" s="1"/>
  <c r="EL318" i="20"/>
  <c r="CZ318" i="20" s="1"/>
  <c r="FT426" i="20"/>
  <c r="DH426" i="20"/>
  <c r="FP299" i="20"/>
  <c r="DD299" i="20"/>
  <c r="FT188" i="20"/>
  <c r="DN188" i="20"/>
  <c r="DN400" i="20"/>
  <c r="FT400" i="20"/>
  <c r="AX27" i="20"/>
  <c r="BB26" i="20"/>
  <c r="EC26" i="20" s="1"/>
  <c r="AY26" i="20"/>
  <c r="DD12" i="20"/>
  <c r="DD13" i="20"/>
  <c r="DD10" i="20"/>
  <c r="DD11" i="20" s="1"/>
  <c r="EL373" i="20"/>
  <c r="CZ373" i="20" s="1"/>
  <c r="DN180" i="20"/>
  <c r="FT180" i="20"/>
  <c r="EL360" i="20"/>
  <c r="CZ360" i="20" s="1"/>
  <c r="FT255" i="20"/>
  <c r="DH255" i="20"/>
  <c r="EL315" i="20"/>
  <c r="CZ315" i="20" s="1"/>
  <c r="EL330" i="20"/>
  <c r="CZ330" i="20" s="1"/>
  <c r="BB112" i="20"/>
  <c r="EC112" i="20" s="1"/>
  <c r="AX113" i="20"/>
  <c r="AY112" i="20"/>
  <c r="DD377" i="20"/>
  <c r="FP377" i="20"/>
  <c r="DH382" i="20"/>
  <c r="FT382" i="20"/>
  <c r="EL394" i="20"/>
  <c r="CZ394" i="20" s="1"/>
  <c r="BK280" i="20"/>
  <c r="CV280" i="20" s="1"/>
  <c r="DD358" i="20"/>
  <c r="FP358" i="20"/>
  <c r="EL408" i="20"/>
  <c r="CZ408" i="20" s="1"/>
  <c r="FZ60" i="20"/>
  <c r="DH409" i="20"/>
  <c r="FT409" i="20"/>
  <c r="FZ57" i="20"/>
  <c r="DF3" i="20"/>
  <c r="DD314" i="20"/>
  <c r="FP314" i="20"/>
  <c r="DH432" i="20"/>
  <c r="FT432" i="20"/>
  <c r="EL319" i="20"/>
  <c r="CZ319" i="20" s="1"/>
  <c r="DW489" i="20"/>
  <c r="DX489" i="20"/>
  <c r="FP168" i="20"/>
  <c r="DJ168" i="20"/>
  <c r="DN209" i="20"/>
  <c r="FT209" i="20"/>
  <c r="DJ374" i="20"/>
  <c r="FP374" i="20"/>
  <c r="CU2" i="20"/>
  <c r="CL2" i="20"/>
  <c r="EL331" i="20"/>
  <c r="CZ331" i="20" s="1"/>
  <c r="EL349" i="20"/>
  <c r="CZ349" i="20" s="1"/>
  <c r="DJ346" i="20"/>
  <c r="FP346" i="20"/>
  <c r="FE297" i="20"/>
  <c r="FF297" i="20" s="1"/>
  <c r="EA297" i="20" s="1"/>
  <c r="EL281" i="20"/>
  <c r="CZ281" i="20" s="1"/>
  <c r="EL332" i="20"/>
  <c r="CZ332" i="20" s="1"/>
  <c r="DN200" i="20"/>
  <c r="FT200" i="20"/>
  <c r="EL240" i="20"/>
  <c r="CZ240" i="20" s="1"/>
  <c r="EL355" i="20"/>
  <c r="CZ355" i="20" s="1"/>
  <c r="FP429" i="20"/>
  <c r="DD429" i="20"/>
  <c r="FT285" i="20"/>
  <c r="DH285" i="20"/>
  <c r="EL295" i="20"/>
  <c r="CZ295" i="20" s="1"/>
  <c r="EL435" i="20"/>
  <c r="CZ435" i="20" s="1"/>
  <c r="DN306" i="20"/>
  <c r="FT306" i="20"/>
  <c r="DN448" i="20"/>
  <c r="FT448" i="20"/>
  <c r="BK322" i="20"/>
  <c r="CV322" i="20" s="1"/>
  <c r="FZ55" i="20"/>
  <c r="EU111" i="20"/>
  <c r="EX111" i="20" s="1"/>
  <c r="EY111" i="20" s="1"/>
  <c r="FT362" i="20"/>
  <c r="DN362" i="20"/>
  <c r="EL207" i="20"/>
  <c r="CZ207" i="20" s="1"/>
  <c r="EL196" i="20"/>
  <c r="CZ196" i="20" s="1"/>
  <c r="DJ293" i="20"/>
  <c r="FP293" i="20"/>
  <c r="EL184" i="20"/>
  <c r="CZ184" i="20" s="1"/>
  <c r="EL453" i="20"/>
  <c r="CZ453" i="20" s="1"/>
  <c r="FZ54" i="20"/>
  <c r="EL433" i="20"/>
  <c r="CZ433" i="20" s="1"/>
  <c r="FP341" i="20"/>
  <c r="DD341" i="20"/>
  <c r="FE488" i="20"/>
  <c r="FF488" i="20" s="1"/>
  <c r="FT370" i="20"/>
  <c r="DH370" i="20"/>
  <c r="EL353" i="20"/>
  <c r="CZ353" i="20" s="1"/>
  <c r="EL352" i="20"/>
  <c r="CZ352" i="20" s="1"/>
  <c r="EL210" i="20"/>
  <c r="CZ210" i="20" s="1"/>
  <c r="EL261" i="20"/>
  <c r="CZ261" i="20" s="1"/>
  <c r="EL325" i="20"/>
  <c r="CZ325" i="20" s="1"/>
  <c r="FP281" i="20"/>
  <c r="DD281" i="20"/>
  <c r="EL350" i="20"/>
  <c r="CZ350" i="20" s="1"/>
  <c r="EL449" i="20"/>
  <c r="CZ449" i="20" s="1"/>
  <c r="FT263" i="20"/>
  <c r="DH263" i="20"/>
  <c r="EL283" i="20"/>
  <c r="CZ283" i="20" s="1"/>
  <c r="EL239" i="20"/>
  <c r="CZ239" i="20" s="1"/>
  <c r="DY481" i="20"/>
  <c r="DZ481" i="20" s="1"/>
  <c r="EA481" i="20" s="1"/>
  <c r="DH342" i="20"/>
  <c r="FT342" i="20"/>
  <c r="DH399" i="20"/>
  <c r="FT399" i="20"/>
  <c r="EL454" i="20"/>
  <c r="CZ454" i="20" s="1"/>
  <c r="BW112" i="20"/>
  <c r="BX112" i="20" s="1"/>
  <c r="EQ112" i="20" s="1"/>
  <c r="EP112" i="20" s="1"/>
  <c r="EL414" i="20"/>
  <c r="CZ414" i="20" s="1"/>
  <c r="FP421" i="20"/>
  <c r="DD421" i="20"/>
  <c r="FT320" i="20"/>
  <c r="DN320" i="20"/>
  <c r="FP270" i="20"/>
  <c r="DJ270" i="20"/>
  <c r="EL381" i="20"/>
  <c r="CZ381" i="20" s="1"/>
  <c r="EL271" i="20"/>
  <c r="CZ271" i="20" s="1"/>
  <c r="EL307" i="20"/>
  <c r="CZ307" i="20" s="1"/>
  <c r="EL270" i="20"/>
  <c r="CZ270" i="20" s="1"/>
  <c r="EL410" i="20"/>
  <c r="CZ410" i="20" s="1"/>
  <c r="EL279" i="20"/>
  <c r="CZ279" i="20" s="1"/>
  <c r="DD96" i="20"/>
  <c r="FP96" i="20"/>
  <c r="DH446" i="20"/>
  <c r="FT446" i="20"/>
  <c r="EL273" i="20"/>
  <c r="CZ273" i="20" s="1"/>
  <c r="DX493" i="20"/>
  <c r="DW493" i="20"/>
  <c r="EL268" i="20"/>
  <c r="CZ268" i="20" s="1"/>
  <c r="EL280" i="20"/>
  <c r="CZ280" i="20" s="1"/>
  <c r="EL340" i="20"/>
  <c r="CZ340" i="20" s="1"/>
  <c r="EL363" i="20"/>
  <c r="CZ363" i="20" s="1"/>
  <c r="FP185" i="20"/>
  <c r="DD185" i="20"/>
  <c r="FP253" i="20"/>
  <c r="DJ253" i="20"/>
  <c r="DH343" i="20"/>
  <c r="FT343" i="20"/>
  <c r="DD102" i="20"/>
  <c r="FP102" i="20"/>
  <c r="EL364" i="20"/>
  <c r="CZ364" i="20" s="1"/>
  <c r="EL421" i="20"/>
  <c r="CZ421" i="20" s="1"/>
  <c r="DJ243" i="20"/>
  <c r="FP243" i="20"/>
  <c r="EL391" i="20"/>
  <c r="CZ391" i="20" s="1"/>
  <c r="DW484" i="20"/>
  <c r="DX484" i="20"/>
  <c r="DD441" i="20"/>
  <c r="FP441" i="20"/>
  <c r="FP99" i="20"/>
  <c r="DD99" i="20"/>
  <c r="FZ58" i="20"/>
  <c r="DD254" i="20"/>
  <c r="FP254" i="20"/>
  <c r="FP420" i="20"/>
  <c r="DJ420" i="20"/>
  <c r="FP352" i="20"/>
  <c r="DD352" i="20"/>
  <c r="FP199" i="20"/>
  <c r="DD199" i="20"/>
  <c r="EL293" i="20"/>
  <c r="CZ293" i="20" s="1"/>
  <c r="DY486" i="20"/>
  <c r="DZ486" i="20" s="1"/>
  <c r="EA486" i="20" s="1"/>
  <c r="BK306" i="20"/>
  <c r="CV306" i="20" s="1"/>
  <c r="EL322" i="20"/>
  <c r="CZ322" i="20" s="1"/>
  <c r="DY502" i="20"/>
  <c r="DZ502" i="20" s="1"/>
  <c r="FP271" i="20"/>
  <c r="DD271" i="20"/>
  <c r="EL371" i="20"/>
  <c r="CZ371" i="20" s="1"/>
  <c r="FE380" i="20"/>
  <c r="FF380" i="20" s="1"/>
  <c r="EA380" i="20" s="1"/>
  <c r="DD456" i="20"/>
  <c r="FP456" i="20"/>
  <c r="DD208" i="20"/>
  <c r="FP208" i="20"/>
  <c r="DH388" i="20"/>
  <c r="FT388" i="20"/>
  <c r="EL253" i="20"/>
  <c r="CZ253" i="20" s="1"/>
  <c r="EL407" i="20"/>
  <c r="CZ407" i="20" s="1"/>
  <c r="DN321" i="20"/>
  <c r="FT321" i="20"/>
  <c r="FT211" i="20"/>
  <c r="DN211" i="20"/>
  <c r="CV6" i="20"/>
  <c r="CV7" i="20" s="1"/>
  <c r="FT247" i="20"/>
  <c r="DH247" i="20"/>
  <c r="DL13" i="20"/>
  <c r="DL10" i="20"/>
  <c r="DL11" i="20" s="1"/>
  <c r="DL12" i="20"/>
  <c r="EL251" i="20"/>
  <c r="CZ251" i="20" s="1"/>
  <c r="DF9" i="20"/>
  <c r="EL256" i="20"/>
  <c r="CZ256" i="20" s="1"/>
  <c r="EL439" i="20"/>
  <c r="CZ439" i="20" s="1"/>
  <c r="FE108" i="20"/>
  <c r="FF108" i="20" s="1"/>
  <c r="DY483" i="20"/>
  <c r="DZ483" i="20" s="1"/>
  <c r="EA483" i="20" s="1"/>
  <c r="CZ351" i="20"/>
  <c r="EL248" i="20"/>
  <c r="CZ248" i="20" s="1"/>
  <c r="BK366" i="20"/>
  <c r="CV366" i="20" s="1"/>
  <c r="FT230" i="20"/>
  <c r="DH230" i="20"/>
  <c r="EL366" i="20"/>
  <c r="CZ366" i="20" s="1"/>
  <c r="FT329" i="20"/>
  <c r="DH329" i="20"/>
  <c r="DJ244" i="20"/>
  <c r="FP244" i="20"/>
  <c r="DD255" i="20"/>
  <c r="FP255" i="20"/>
  <c r="DH304" i="20"/>
  <c r="FT304" i="20"/>
  <c r="DH296" i="20"/>
  <c r="FT296" i="20"/>
  <c r="FT264" i="20"/>
  <c r="DN264" i="20"/>
  <c r="FE160" i="20"/>
  <c r="FF160" i="20" s="1"/>
  <c r="EA160" i="20" s="1"/>
  <c r="FE495" i="20"/>
  <c r="FF495" i="20" s="1"/>
  <c r="DJ194" i="20"/>
  <c r="FP194" i="20"/>
  <c r="DW488" i="20"/>
  <c r="DX488" i="20"/>
  <c r="CR211" i="5"/>
  <c r="FC211" i="5"/>
  <c r="CR201" i="5"/>
  <c r="FC201" i="5"/>
  <c r="AW147" i="5"/>
  <c r="CH147" i="5" s="1"/>
  <c r="FC210" i="5"/>
  <c r="CR210" i="5"/>
  <c r="FC212" i="5"/>
  <c r="CX212" i="5"/>
  <c r="CR215" i="5"/>
  <c r="FC215" i="5"/>
  <c r="DG122" i="5"/>
  <c r="AW139" i="5"/>
  <c r="CH139" i="5" s="1"/>
  <c r="FC200" i="5"/>
  <c r="CR200" i="5"/>
  <c r="CR209" i="5"/>
  <c r="FC209" i="5"/>
  <c r="DG130" i="5"/>
  <c r="AW217" i="5"/>
  <c r="AP217" i="5"/>
  <c r="AQ217" i="5" s="1"/>
  <c r="AW133" i="5"/>
  <c r="CH133" i="5" s="1"/>
  <c r="AW131" i="5"/>
  <c r="CH131" i="5" s="1"/>
  <c r="AW138" i="5"/>
  <c r="CH138" i="5" s="1"/>
  <c r="DG139" i="5"/>
  <c r="AW117" i="5"/>
  <c r="CH117" i="5" s="1"/>
  <c r="DG202" i="5"/>
  <c r="CX142" i="5"/>
  <c r="FC142" i="5"/>
  <c r="DG119" i="5"/>
  <c r="AW113" i="5"/>
  <c r="CH113" i="5" s="1"/>
  <c r="EL111" i="5"/>
  <c r="DG111" i="5"/>
  <c r="EM111" i="5"/>
  <c r="AW135" i="5"/>
  <c r="CH135" i="5" s="1"/>
  <c r="CX143" i="5"/>
  <c r="FC143" i="5"/>
  <c r="AL108" i="5"/>
  <c r="AO108" i="5"/>
  <c r="AW78" i="5"/>
  <c r="CH78" i="5" s="1"/>
  <c r="AW239" i="5"/>
  <c r="CH239" i="5" s="1"/>
  <c r="CR199" i="5"/>
  <c r="FC199" i="5"/>
  <c r="AW216" i="5"/>
  <c r="AP216" i="5"/>
  <c r="AQ216" i="5" s="1"/>
  <c r="AW127" i="5"/>
  <c r="CH127" i="5" s="1"/>
  <c r="AW130" i="5"/>
  <c r="CH130" i="5" s="1"/>
  <c r="EM173" i="5"/>
  <c r="EL173" i="5"/>
  <c r="AW115" i="5"/>
  <c r="CH115" i="5" s="1"/>
  <c r="EG109" i="5"/>
  <c r="EJ109" i="5" s="1"/>
  <c r="EK109" i="5" s="1"/>
  <c r="AW88" i="5"/>
  <c r="CH88" i="5" s="1"/>
  <c r="EM198" i="5"/>
  <c r="DG198" i="5"/>
  <c r="EL198" i="5"/>
  <c r="CW119" i="5"/>
  <c r="FD119" i="5"/>
  <c r="CJ12" i="5"/>
  <c r="AW136" i="5"/>
  <c r="CH136" i="5" s="1"/>
  <c r="AW141" i="5"/>
  <c r="CH141" i="5" s="1"/>
  <c r="DG215" i="5"/>
  <c r="DG124" i="5"/>
  <c r="AW124" i="5"/>
  <c r="CH124" i="5" s="1"/>
  <c r="AW122" i="5"/>
  <c r="CH122" i="5" s="1"/>
  <c r="AW94" i="5"/>
  <c r="CH94" i="5" s="1"/>
  <c r="DG134" i="5"/>
  <c r="AW246" i="5"/>
  <c r="DG144" i="5"/>
  <c r="AW120" i="5"/>
  <c r="CH120" i="5" s="1"/>
  <c r="AW222" i="5"/>
  <c r="DG116" i="5"/>
  <c r="CW120" i="5"/>
  <c r="FD120" i="5"/>
  <c r="DG138" i="5"/>
  <c r="EQ106" i="5"/>
  <c r="DG106" i="5"/>
  <c r="EL106" i="5"/>
  <c r="EM106" i="5"/>
  <c r="AW248" i="5"/>
  <c r="CH248" i="5" s="1"/>
  <c r="DG210" i="5"/>
  <c r="DG129" i="5"/>
  <c r="AW231" i="5"/>
  <c r="CH231" i="5" s="1"/>
  <c r="AW134" i="5"/>
  <c r="CH134" i="5" s="1"/>
  <c r="DG212" i="5"/>
  <c r="DG123" i="5"/>
  <c r="DN222" i="5"/>
  <c r="BC222" i="5"/>
  <c r="BD222" i="5" s="1"/>
  <c r="DN205" i="5"/>
  <c r="BC205" i="5"/>
  <c r="CP99" i="5"/>
  <c r="FB99" i="5"/>
  <c r="FB408" i="5"/>
  <c r="CV408" i="5"/>
  <c r="AL219" i="5"/>
  <c r="AO219" i="5"/>
  <c r="AW119" i="5"/>
  <c r="CH119" i="5" s="1"/>
  <c r="FA236" i="5"/>
  <c r="CO236" i="5"/>
  <c r="BF90" i="5"/>
  <c r="BH90" i="5" s="1"/>
  <c r="BG90" i="5"/>
  <c r="CZ383" i="5"/>
  <c r="FF383" i="5"/>
  <c r="CT258" i="5"/>
  <c r="FF258" i="5"/>
  <c r="AL216" i="5"/>
  <c r="AO216" i="5"/>
  <c r="FA188" i="5"/>
  <c r="CO188" i="5"/>
  <c r="DI217" i="5"/>
  <c r="DJ217" i="5"/>
  <c r="FF263" i="5"/>
  <c r="CZ263" i="5"/>
  <c r="AO197" i="5"/>
  <c r="AL197" i="5"/>
  <c r="DN190" i="5"/>
  <c r="BC190" i="5"/>
  <c r="BD190" i="5" s="1"/>
  <c r="DN174" i="5"/>
  <c r="BC174" i="5"/>
  <c r="BD174" i="5" s="1"/>
  <c r="DN243" i="5"/>
  <c r="BC243" i="5"/>
  <c r="BD243" i="5" s="1"/>
  <c r="DN200" i="5"/>
  <c r="BC200" i="5"/>
  <c r="DN234" i="5"/>
  <c r="BC234" i="5"/>
  <c r="BD234" i="5" s="1"/>
  <c r="DN214" i="5"/>
  <c r="BC214" i="5"/>
  <c r="DN194" i="5"/>
  <c r="BC194" i="5"/>
  <c r="BD194" i="5" s="1"/>
  <c r="DN199" i="5"/>
  <c r="BC199" i="5"/>
  <c r="DN206" i="5"/>
  <c r="BC206" i="5"/>
  <c r="DN213" i="5"/>
  <c r="BC213" i="5"/>
  <c r="DN217" i="5"/>
  <c r="BC217" i="5"/>
  <c r="BD217" i="5" s="1"/>
  <c r="DN204" i="5"/>
  <c r="BC204" i="5"/>
  <c r="AT105" i="5"/>
  <c r="AW105" i="5" s="1"/>
  <c r="DH202" i="5"/>
  <c r="DG214" i="5"/>
  <c r="DG211" i="5"/>
  <c r="DX362" i="5"/>
  <c r="CL362" i="5" s="1"/>
  <c r="DX358" i="5"/>
  <c r="CL358" i="5" s="1"/>
  <c r="DX419" i="5"/>
  <c r="CL419" i="5" s="1"/>
  <c r="FD195" i="5"/>
  <c r="CQ195" i="5"/>
  <c r="CP339" i="5"/>
  <c r="FB339" i="5"/>
  <c r="DG131" i="5"/>
  <c r="DX367" i="5"/>
  <c r="CL367" i="5" s="1"/>
  <c r="DH169" i="5"/>
  <c r="DI169" i="5" s="1"/>
  <c r="EG169" i="5"/>
  <c r="EJ169" i="5" s="1"/>
  <c r="EK169" i="5" s="1"/>
  <c r="CX120" i="5"/>
  <c r="FC120" i="5"/>
  <c r="EN219" i="5"/>
  <c r="EO219" i="5" s="1"/>
  <c r="EP219" i="5" s="1"/>
  <c r="BT205" i="5"/>
  <c r="BV205" i="5" s="1"/>
  <c r="CC205" i="5" s="1"/>
  <c r="CE205" i="5" s="1"/>
  <c r="CJ205" i="5" s="1"/>
  <c r="BF76" i="5"/>
  <c r="BH76" i="5" s="1"/>
  <c r="BG76" i="5"/>
  <c r="DG208" i="5"/>
  <c r="DX312" i="5"/>
  <c r="CL312" i="5" s="1"/>
  <c r="FF401" i="5"/>
  <c r="CZ401" i="5"/>
  <c r="FF273" i="5"/>
  <c r="CZ273" i="5"/>
  <c r="DG220" i="5"/>
  <c r="CV365" i="5"/>
  <c r="FB365" i="5"/>
  <c r="DG120" i="5"/>
  <c r="CQ127" i="5"/>
  <c r="FD127" i="5"/>
  <c r="AW191" i="5"/>
  <c r="CH191" i="5" s="1"/>
  <c r="AW243" i="5"/>
  <c r="CH243" i="5" s="1"/>
  <c r="AW123" i="5"/>
  <c r="CH123" i="5" s="1"/>
  <c r="FA210" i="5"/>
  <c r="CO210" i="5"/>
  <c r="EN205" i="5"/>
  <c r="EO205" i="5" s="1"/>
  <c r="EP205" i="5" s="1"/>
  <c r="EN212" i="5"/>
  <c r="EO212" i="5" s="1"/>
  <c r="EP212" i="5" s="1"/>
  <c r="EN235" i="5"/>
  <c r="EO235" i="5" s="1"/>
  <c r="EP235" i="5" s="1"/>
  <c r="FC196" i="5"/>
  <c r="CR196" i="5"/>
  <c r="CQ89" i="5"/>
  <c r="FD89" i="5"/>
  <c r="FF348" i="5"/>
  <c r="CT348" i="5"/>
  <c r="ET126" i="5"/>
  <c r="FC249" i="5"/>
  <c r="CX249" i="5"/>
  <c r="CZ371" i="5"/>
  <c r="FF371" i="5"/>
  <c r="FB453" i="5"/>
  <c r="CV453" i="5"/>
  <c r="DI490" i="5"/>
  <c r="DJ490" i="5"/>
  <c r="DG228" i="5"/>
  <c r="DX450" i="5"/>
  <c r="CL450" i="5" s="1"/>
  <c r="AW341" i="5"/>
  <c r="CH341" i="5" s="1"/>
  <c r="DG125" i="5"/>
  <c r="DX354" i="5"/>
  <c r="CL354" i="5" s="1"/>
  <c r="DX286" i="5"/>
  <c r="CL286" i="5" s="1"/>
  <c r="DX261" i="5"/>
  <c r="CL261" i="5" s="1"/>
  <c r="FB442" i="5"/>
  <c r="CP442" i="5"/>
  <c r="AW187" i="5"/>
  <c r="CH187" i="5" s="1"/>
  <c r="EB60" i="5"/>
  <c r="EA60" i="5"/>
  <c r="BT204" i="5"/>
  <c r="BV204" i="5" s="1"/>
  <c r="CC204" i="5" s="1"/>
  <c r="CE204" i="5" s="1"/>
  <c r="CJ204" i="5" s="1"/>
  <c r="CR93" i="5"/>
  <c r="FC93" i="5"/>
  <c r="DX296" i="5"/>
  <c r="CL296" i="5" s="1"/>
  <c r="DG137" i="5"/>
  <c r="DG136" i="5"/>
  <c r="FD251" i="5"/>
  <c r="CW251" i="5"/>
  <c r="CP426" i="5"/>
  <c r="FB426" i="5"/>
  <c r="FB314" i="5"/>
  <c r="CV314" i="5"/>
  <c r="FF405" i="5"/>
  <c r="CZ405" i="5"/>
  <c r="CV357" i="5"/>
  <c r="FB357" i="5"/>
  <c r="CO129" i="5"/>
  <c r="FA129" i="5"/>
  <c r="EN200" i="5"/>
  <c r="EO200" i="5" s="1"/>
  <c r="EP200" i="5" s="1"/>
  <c r="FA170" i="5"/>
  <c r="CU170" i="5"/>
  <c r="CR197" i="5"/>
  <c r="FC197" i="5"/>
  <c r="CP264" i="5"/>
  <c r="FB264" i="5"/>
  <c r="DG108" i="5"/>
  <c r="EL108" i="5"/>
  <c r="EM108" i="5"/>
  <c r="CE244" i="5"/>
  <c r="CJ244" i="5" s="1"/>
  <c r="AW256" i="5"/>
  <c r="CH256" i="5" s="1"/>
  <c r="DX432" i="5"/>
  <c r="CL432" i="5" s="1"/>
  <c r="DG227" i="5"/>
  <c r="DX350" i="5"/>
  <c r="CL350" i="5" s="1"/>
  <c r="AW175" i="5"/>
  <c r="CH175" i="5" s="1"/>
  <c r="EN207" i="5"/>
  <c r="EO207" i="5" s="1"/>
  <c r="EP207" i="5" s="1"/>
  <c r="FA224" i="5"/>
  <c r="CO224" i="5"/>
  <c r="FA242" i="5"/>
  <c r="CO242" i="5"/>
  <c r="CO183" i="5"/>
  <c r="FA183" i="5"/>
  <c r="BV91" i="5"/>
  <c r="CC91" i="5" s="1"/>
  <c r="CE91" i="5" s="1"/>
  <c r="CJ91" i="5" s="1"/>
  <c r="CZ388" i="5"/>
  <c r="FF388" i="5"/>
  <c r="CP347" i="5"/>
  <c r="FB347" i="5"/>
  <c r="FB346" i="5"/>
  <c r="CV346" i="5"/>
  <c r="DG245" i="5"/>
  <c r="AW409" i="5"/>
  <c r="CH409" i="5" s="1"/>
  <c r="EQ500" i="5"/>
  <c r="ER500" i="5" s="1"/>
  <c r="FB319" i="5"/>
  <c r="CV319" i="5"/>
  <c r="CQ131" i="5"/>
  <c r="FD131" i="5"/>
  <c r="EQ475" i="5"/>
  <c r="ER475" i="5" s="1"/>
  <c r="AW158" i="5"/>
  <c r="AP158" i="5"/>
  <c r="AQ158" i="5" s="1"/>
  <c r="AL217" i="5"/>
  <c r="AO217" i="5"/>
  <c r="AW171" i="5"/>
  <c r="CH171" i="5" s="1"/>
  <c r="AP171" i="5"/>
  <c r="AQ171" i="5" s="1"/>
  <c r="AW69" i="5"/>
  <c r="CH69" i="5" s="1"/>
  <c r="AT224" i="5"/>
  <c r="FA136" i="5"/>
  <c r="CO136" i="5"/>
  <c r="CQ77" i="5"/>
  <c r="FD77" i="5"/>
  <c r="CO189" i="5"/>
  <c r="FA189" i="5"/>
  <c r="CZ416" i="5"/>
  <c r="FF416" i="5"/>
  <c r="FF402" i="5"/>
  <c r="CZ402" i="5"/>
  <c r="DG128" i="5"/>
  <c r="FD194" i="5"/>
  <c r="CQ194" i="5"/>
  <c r="CE185" i="5"/>
  <c r="CJ185" i="5" s="1"/>
  <c r="DX293" i="5"/>
  <c r="CL293" i="5" s="1"/>
  <c r="DG141" i="5"/>
  <c r="CG1" i="5"/>
  <c r="EB78" i="5"/>
  <c r="EA78" i="5"/>
  <c r="BV94" i="5"/>
  <c r="CC94" i="5" s="1"/>
  <c r="CE94" i="5" s="1"/>
  <c r="CJ94" i="5" s="1"/>
  <c r="CG17" i="5"/>
  <c r="CG14" i="5"/>
  <c r="CG15" i="5" s="1"/>
  <c r="CG16" i="5"/>
  <c r="CO169" i="5"/>
  <c r="FA169" i="5"/>
  <c r="EN227" i="5"/>
  <c r="EO227" i="5" s="1"/>
  <c r="EP227" i="5" s="1"/>
  <c r="EN174" i="5"/>
  <c r="EO174" i="5" s="1"/>
  <c r="AW251" i="5"/>
  <c r="CH251" i="5" s="1"/>
  <c r="BV66" i="5"/>
  <c r="CC66" i="5" s="1"/>
  <c r="CE66" i="5" s="1"/>
  <c r="CJ66" i="5" s="1"/>
  <c r="AO24" i="5"/>
  <c r="ER158" i="5"/>
  <c r="EQ474" i="5"/>
  <c r="ER474" i="5" s="1"/>
  <c r="FB400" i="5"/>
  <c r="CP400" i="5"/>
  <c r="CE173" i="5"/>
  <c r="CJ173" i="5" s="1"/>
  <c r="CE241" i="5"/>
  <c r="CJ241" i="5" s="1"/>
  <c r="DX448" i="5"/>
  <c r="CL448" i="5" s="1"/>
  <c r="FA190" i="5"/>
  <c r="CU190" i="5"/>
  <c r="DX190" i="5"/>
  <c r="CL190" i="5" s="1"/>
  <c r="CP103" i="5"/>
  <c r="FB103" i="5"/>
  <c r="DX169" i="5"/>
  <c r="CL169" i="5" s="1"/>
  <c r="FB440" i="5"/>
  <c r="CV440" i="5"/>
  <c r="FB104" i="5"/>
  <c r="CP104" i="5"/>
  <c r="DX172" i="5"/>
  <c r="CL172" i="5" s="1"/>
  <c r="DX174" i="5"/>
  <c r="CL174" i="5" s="1"/>
  <c r="DX187" i="5"/>
  <c r="CL187" i="5" s="1"/>
  <c r="DX192" i="5"/>
  <c r="CL192" i="5" s="1"/>
  <c r="DN180" i="5"/>
  <c r="BC180" i="5"/>
  <c r="BD180" i="5" s="1"/>
  <c r="DN235" i="5"/>
  <c r="BC235" i="5"/>
  <c r="BD235" i="5" s="1"/>
  <c r="AW250" i="5"/>
  <c r="CH250" i="5" s="1"/>
  <c r="CR89" i="5"/>
  <c r="FC89" i="5"/>
  <c r="FD193" i="5"/>
  <c r="CQ193" i="5"/>
  <c r="CR62" i="5"/>
  <c r="FC62" i="5"/>
  <c r="EN199" i="5"/>
  <c r="EO199" i="5"/>
  <c r="EP199" i="5" s="1"/>
  <c r="EN246" i="5"/>
  <c r="EO246" i="5"/>
  <c r="EP246" i="5" s="1"/>
  <c r="DG207" i="5"/>
  <c r="CT372" i="5"/>
  <c r="FF372" i="5"/>
  <c r="DX287" i="5"/>
  <c r="CL287" i="5" s="1"/>
  <c r="CP328" i="5"/>
  <c r="FB328" i="5"/>
  <c r="FB327" i="5"/>
  <c r="CV327" i="5"/>
  <c r="DX306" i="5"/>
  <c r="CL306" i="5" s="1"/>
  <c r="EH3" i="5"/>
  <c r="EH4" i="5"/>
  <c r="EH1" i="5"/>
  <c r="AW421" i="5"/>
  <c r="CH421" i="5" s="1"/>
  <c r="FF309" i="5"/>
  <c r="CZ309" i="5"/>
  <c r="CE228" i="5"/>
  <c r="CJ228" i="5" s="1"/>
  <c r="AW396" i="5"/>
  <c r="CH396" i="5" s="1"/>
  <c r="CQ134" i="5"/>
  <c r="FD134" i="5"/>
  <c r="DX396" i="5"/>
  <c r="CL396" i="5" s="1"/>
  <c r="FB428" i="5"/>
  <c r="CV428" i="5"/>
  <c r="DX183" i="5"/>
  <c r="CL183" i="5" s="1"/>
  <c r="FB271" i="5"/>
  <c r="CV271" i="5"/>
  <c r="FF440" i="5"/>
  <c r="CZ440" i="5"/>
  <c r="DX443" i="5"/>
  <c r="CL443" i="5" s="1"/>
  <c r="AO220" i="5"/>
  <c r="AL220" i="5"/>
  <c r="AW223" i="5"/>
  <c r="CO207" i="5"/>
  <c r="FA207" i="5"/>
  <c r="CE212" i="5"/>
  <c r="CJ212" i="5" s="1"/>
  <c r="EN224" i="5"/>
  <c r="EO224" i="5" s="1"/>
  <c r="EP224" i="5" s="1"/>
  <c r="EN242" i="5"/>
  <c r="EO242" i="5" s="1"/>
  <c r="EP242" i="5" s="1"/>
  <c r="EB91" i="5"/>
  <c r="EA91" i="5"/>
  <c r="CW213" i="5"/>
  <c r="FD213" i="5"/>
  <c r="EN176" i="5"/>
  <c r="EO176" i="5" s="1"/>
  <c r="EP176" i="5" s="1"/>
  <c r="FB450" i="5"/>
  <c r="CP450" i="5"/>
  <c r="FF435" i="5"/>
  <c r="CZ435" i="5"/>
  <c r="DX295" i="5"/>
  <c r="CL295" i="5" s="1"/>
  <c r="FD178" i="5"/>
  <c r="CW178" i="5"/>
  <c r="FD171" i="5"/>
  <c r="CQ171" i="5"/>
  <c r="EQ495" i="5"/>
  <c r="ER495" i="5" s="1"/>
  <c r="CZ319" i="5"/>
  <c r="FF319" i="5"/>
  <c r="DI475" i="5"/>
  <c r="DJ475" i="5"/>
  <c r="AW146" i="5"/>
  <c r="CH146" i="5" s="1"/>
  <c r="AW143" i="5"/>
  <c r="CH143" i="5" s="1"/>
  <c r="FC206" i="5"/>
  <c r="CR206" i="5"/>
  <c r="CO138" i="5"/>
  <c r="FA138" i="5"/>
  <c r="EN230" i="5"/>
  <c r="EO230" i="5" s="1"/>
  <c r="EP230" i="5" s="1"/>
  <c r="EN218" i="5"/>
  <c r="EO218" i="5" s="1"/>
  <c r="EP218" i="5" s="1"/>
  <c r="EA77" i="5"/>
  <c r="EB77" i="5"/>
  <c r="CU145" i="5"/>
  <c r="FA145" i="5"/>
  <c r="CZ424" i="5"/>
  <c r="FF424" i="5"/>
  <c r="DX303" i="5"/>
  <c r="CL303" i="5" s="1"/>
  <c r="DG114" i="5"/>
  <c r="BX4" i="5"/>
  <c r="DX268" i="5"/>
  <c r="CL268" i="5" s="1"/>
  <c r="DK472" i="5"/>
  <c r="DL472" i="5" s="1"/>
  <c r="DM472" i="5" s="1"/>
  <c r="AW164" i="5"/>
  <c r="AP164" i="5"/>
  <c r="AQ164" i="5" s="1"/>
  <c r="AW180" i="5"/>
  <c r="CH180" i="5" s="1"/>
  <c r="EA94" i="5"/>
  <c r="EB94" i="5"/>
  <c r="EN169" i="5"/>
  <c r="EO169" i="5" s="1"/>
  <c r="EP169" i="5" s="1"/>
  <c r="FA227" i="5"/>
  <c r="CO227" i="5"/>
  <c r="FA174" i="5"/>
  <c r="CO174" i="5"/>
  <c r="DG197" i="5"/>
  <c r="EM197" i="5"/>
  <c r="EL197" i="5"/>
  <c r="AW125" i="5"/>
  <c r="CH125" i="5" s="1"/>
  <c r="CT379" i="5"/>
  <c r="FF379" i="5"/>
  <c r="DX171" i="5"/>
  <c r="CL171" i="5" s="1"/>
  <c r="DX381" i="5"/>
  <c r="CL381" i="5" s="1"/>
  <c r="FB443" i="5"/>
  <c r="CP443" i="5"/>
  <c r="FB368" i="5"/>
  <c r="CP368" i="5"/>
  <c r="DI474" i="5"/>
  <c r="DJ474" i="5"/>
  <c r="FB444" i="5"/>
  <c r="CV444" i="5"/>
  <c r="FD224" i="5"/>
  <c r="CQ224" i="5"/>
  <c r="AK105" i="5"/>
  <c r="EN190" i="5"/>
  <c r="EO190" i="5" s="1"/>
  <c r="EP190" i="5" s="1"/>
  <c r="DX177" i="5"/>
  <c r="CL177" i="5" s="1"/>
  <c r="FB267" i="5"/>
  <c r="CV267" i="5"/>
  <c r="DX179" i="5"/>
  <c r="CL179" i="5" s="1"/>
  <c r="CP432" i="5"/>
  <c r="FB432" i="5"/>
  <c r="DX173" i="5"/>
  <c r="CL173" i="5" s="1"/>
  <c r="CP95" i="5"/>
  <c r="FB95" i="5"/>
  <c r="DX191" i="5"/>
  <c r="CL191" i="5" s="1"/>
  <c r="CP366" i="5"/>
  <c r="FB366" i="5"/>
  <c r="FC208" i="5"/>
  <c r="CR208" i="5"/>
  <c r="AL174" i="5"/>
  <c r="AO174" i="5"/>
  <c r="FD76" i="5"/>
  <c r="CQ76" i="5"/>
  <c r="CV260" i="5"/>
  <c r="FB260" i="5"/>
  <c r="FF259" i="5"/>
  <c r="CT259" i="5"/>
  <c r="DL160" i="5"/>
  <c r="BC160" i="5"/>
  <c r="BD160" i="5" s="1"/>
  <c r="DN220" i="5"/>
  <c r="BC220" i="5"/>
  <c r="BD220" i="5" s="1"/>
  <c r="DG213" i="5"/>
  <c r="FF431" i="5"/>
  <c r="CZ431" i="5"/>
  <c r="DX441" i="5"/>
  <c r="CL441" i="5" s="1"/>
  <c r="FB287" i="5"/>
  <c r="CP287" i="5"/>
  <c r="CZ408" i="5"/>
  <c r="FF408" i="5"/>
  <c r="FB407" i="5"/>
  <c r="CV407" i="5"/>
  <c r="DX370" i="5"/>
  <c r="CL370" i="5" s="1"/>
  <c r="FF365" i="5"/>
  <c r="CZ365" i="5"/>
  <c r="AW162" i="5"/>
  <c r="AP162" i="5"/>
  <c r="AQ162" i="5" s="1"/>
  <c r="AL106" i="5"/>
  <c r="AO106" i="5"/>
  <c r="AW132" i="5"/>
  <c r="CH132" i="5" s="1"/>
  <c r="EN211" i="5"/>
  <c r="EO211" i="5" s="1"/>
  <c r="EP211" i="5" s="1"/>
  <c r="EN236" i="5"/>
  <c r="EO236" i="5" s="1"/>
  <c r="EP236" i="5" s="1"/>
  <c r="DG251" i="5"/>
  <c r="CX205" i="5"/>
  <c r="FC205" i="5"/>
  <c r="EA76" i="5"/>
  <c r="EB76" i="5"/>
  <c r="FA172" i="5"/>
  <c r="CO172" i="5"/>
  <c r="FF260" i="5"/>
  <c r="CZ260" i="5"/>
  <c r="FD90" i="5"/>
  <c r="CQ90" i="5"/>
  <c r="FF277" i="5"/>
  <c r="CZ277" i="5"/>
  <c r="AW370" i="5"/>
  <c r="CH370" i="5" s="1"/>
  <c r="DK489" i="5"/>
  <c r="DL489" i="5" s="1"/>
  <c r="DM489" i="5" s="1"/>
  <c r="DX325" i="5"/>
  <c r="CL325" i="5" s="1"/>
  <c r="FD142" i="5"/>
  <c r="CW142" i="5"/>
  <c r="CZ274" i="5"/>
  <c r="FF274" i="5"/>
  <c r="FF409" i="5"/>
  <c r="CT409" i="5"/>
  <c r="AW241" i="5"/>
  <c r="CH241" i="5" s="1"/>
  <c r="EN181" i="5"/>
  <c r="EO181" i="5" s="1"/>
  <c r="EP181" i="5" s="1"/>
  <c r="EA89" i="5"/>
  <c r="EB89" i="5"/>
  <c r="DK478" i="5"/>
  <c r="DL478" i="5" s="1"/>
  <c r="DM478" i="5" s="1"/>
  <c r="AW425" i="5"/>
  <c r="CH425" i="5" s="1"/>
  <c r="DX290" i="5"/>
  <c r="CL290" i="5" s="1"/>
  <c r="DX266" i="5"/>
  <c r="CL266" i="5" s="1"/>
  <c r="CP97" i="5"/>
  <c r="FB97" i="5"/>
  <c r="DK497" i="5"/>
  <c r="DL497" i="5" s="1"/>
  <c r="DM497" i="5" s="1"/>
  <c r="EL163" i="5"/>
  <c r="EM163" i="5"/>
  <c r="DG163" i="5"/>
  <c r="FF310" i="5"/>
  <c r="CZ310" i="5"/>
  <c r="AW66" i="5"/>
  <c r="CH66" i="5" s="1"/>
  <c r="AT237" i="5"/>
  <c r="EN188" i="5"/>
  <c r="EO188" i="5" s="1"/>
  <c r="EP188" i="5" s="1"/>
  <c r="EN220" i="5"/>
  <c r="EO220" i="5" s="1"/>
  <c r="EP220" i="5" s="1"/>
  <c r="CO126" i="5"/>
  <c r="FA126" i="5"/>
  <c r="EN193" i="5"/>
  <c r="EO193" i="5"/>
  <c r="EP193" i="5" s="1"/>
  <c r="BG60" i="5"/>
  <c r="BF60" i="5"/>
  <c r="BH60" i="5" s="1"/>
  <c r="CR207" i="5"/>
  <c r="FC207" i="5"/>
  <c r="BF93" i="5"/>
  <c r="BH93" i="5" s="1"/>
  <c r="BG93" i="5"/>
  <c r="CT400" i="5"/>
  <c r="FF400" i="5"/>
  <c r="FD245" i="5"/>
  <c r="CQ245" i="5"/>
  <c r="EQ470" i="5"/>
  <c r="ER470" i="5" s="1"/>
  <c r="CJ10" i="5"/>
  <c r="CJ11" i="5" s="1"/>
  <c r="DK476" i="5"/>
  <c r="DL476" i="5" s="1"/>
  <c r="DM476" i="5" s="1"/>
  <c r="AW228" i="5"/>
  <c r="CH228" i="5" s="1"/>
  <c r="CO199" i="5"/>
  <c r="FA199" i="5"/>
  <c r="CO130" i="5"/>
  <c r="FA130" i="5"/>
  <c r="CQ79" i="5"/>
  <c r="FD79" i="5"/>
  <c r="DX333" i="5"/>
  <c r="CL333" i="5" s="1"/>
  <c r="DX289" i="5"/>
  <c r="CL289" i="5" s="1"/>
  <c r="CV282" i="5"/>
  <c r="FB282" i="5"/>
  <c r="DG223" i="5"/>
  <c r="DX304" i="5"/>
  <c r="CL304" i="5" s="1"/>
  <c r="BF105" i="5"/>
  <c r="BH105" i="5" s="1"/>
  <c r="BG105" i="5"/>
  <c r="CQ133" i="5"/>
  <c r="FD133" i="5"/>
  <c r="CE184" i="5"/>
  <c r="CJ184" i="5" s="1"/>
  <c r="AL218" i="5"/>
  <c r="AO218" i="5"/>
  <c r="AP172" i="5"/>
  <c r="AQ172" i="5" s="1"/>
  <c r="AW172" i="5"/>
  <c r="CH172" i="5" s="1"/>
  <c r="AW249" i="5"/>
  <c r="CH249" i="5" s="1"/>
  <c r="CO134" i="5"/>
  <c r="FA134" i="5"/>
  <c r="AS206" i="5"/>
  <c r="AT206" i="5" s="1"/>
  <c r="EN185" i="5"/>
  <c r="EO185" i="5" s="1"/>
  <c r="EP185" i="5" s="1"/>
  <c r="CX91" i="5"/>
  <c r="FC91" i="5"/>
  <c r="CX213" i="5"/>
  <c r="FC213" i="5"/>
  <c r="FA176" i="5"/>
  <c r="CO176" i="5"/>
  <c r="CZ375" i="5"/>
  <c r="FF375" i="5"/>
  <c r="DG229" i="5"/>
  <c r="DX254" i="5"/>
  <c r="CL254" i="5" s="1"/>
  <c r="DI500" i="5"/>
  <c r="DJ500" i="5"/>
  <c r="CR13" i="5"/>
  <c r="CR10" i="5"/>
  <c r="CR11" i="5" s="1"/>
  <c r="CR12" i="5"/>
  <c r="DX327" i="5"/>
  <c r="CL327" i="5" s="1"/>
  <c r="DX317" i="5"/>
  <c r="CL317" i="5" s="1"/>
  <c r="CP289" i="5"/>
  <c r="FB289" i="5"/>
  <c r="DJ495" i="5"/>
  <c r="DI495" i="5"/>
  <c r="DG241" i="5"/>
  <c r="AW129" i="5"/>
  <c r="CH129" i="5" s="1"/>
  <c r="AW126" i="5"/>
  <c r="CH126" i="5" s="1"/>
  <c r="CO137" i="5"/>
  <c r="FA137" i="5"/>
  <c r="CX122" i="5"/>
  <c r="FC122" i="5"/>
  <c r="CR77" i="5"/>
  <c r="FC77" i="5"/>
  <c r="DG249" i="5"/>
  <c r="CT356" i="5"/>
  <c r="FF356" i="5"/>
  <c r="DG247" i="5"/>
  <c r="DX264" i="5"/>
  <c r="CL264" i="5" s="1"/>
  <c r="AW361" i="5"/>
  <c r="CH361" i="5" s="1"/>
  <c r="DX380" i="5"/>
  <c r="CL380" i="5" s="1"/>
  <c r="CT364" i="5"/>
  <c r="FF364" i="5"/>
  <c r="CZ433" i="5"/>
  <c r="FF433" i="5"/>
  <c r="DG236" i="5"/>
  <c r="FB266" i="5"/>
  <c r="CV266" i="5"/>
  <c r="FF421" i="5"/>
  <c r="CZ421" i="5"/>
  <c r="FF374" i="5"/>
  <c r="CT374" i="5"/>
  <c r="DG142" i="5"/>
  <c r="DG226" i="5"/>
  <c r="CT412" i="5"/>
  <c r="FF412" i="5"/>
  <c r="EL164" i="5"/>
  <c r="EM164" i="5"/>
  <c r="DG164" i="5"/>
  <c r="CE242" i="5"/>
  <c r="CJ242" i="5" s="1"/>
  <c r="CG3" i="5"/>
  <c r="DX352" i="5"/>
  <c r="CL352" i="5" s="1"/>
  <c r="DX336" i="5"/>
  <c r="CL336" i="5" s="1"/>
  <c r="AW195" i="5"/>
  <c r="CH195" i="5" s="1"/>
  <c r="AW137" i="5"/>
  <c r="CH137" i="5" s="1"/>
  <c r="CU140" i="5"/>
  <c r="CU10" i="5" s="1"/>
  <c r="CU11" i="5" s="1"/>
  <c r="FA140" i="5"/>
  <c r="FC92" i="5"/>
  <c r="CX92" i="5"/>
  <c r="BF66" i="5"/>
  <c r="BH66" i="5" s="1"/>
  <c r="BG66" i="5"/>
  <c r="CT315" i="5"/>
  <c r="FF315" i="5"/>
  <c r="EQ471" i="5"/>
  <c r="ER471" i="5" s="1"/>
  <c r="CV402" i="5"/>
  <c r="FB402" i="5"/>
  <c r="CZ437" i="5"/>
  <c r="FF437" i="5"/>
  <c r="CE237" i="5"/>
  <c r="CJ237" i="5" s="1"/>
  <c r="FB399" i="5"/>
  <c r="CV399" i="5"/>
  <c r="CP451" i="5"/>
  <c r="FB451" i="5"/>
  <c r="CV321" i="5"/>
  <c r="FB321" i="5"/>
  <c r="BI127" i="5"/>
  <c r="FB313" i="5"/>
  <c r="CV313" i="5"/>
  <c r="DN212" i="5"/>
  <c r="BC212" i="5"/>
  <c r="DX363" i="5"/>
  <c r="CL363" i="5" s="1"/>
  <c r="DX368" i="5"/>
  <c r="CL368" i="5" s="1"/>
  <c r="AL107" i="5"/>
  <c r="AO107" i="5"/>
  <c r="FF307" i="5"/>
  <c r="CT307" i="5"/>
  <c r="FB403" i="5"/>
  <c r="CP403" i="5"/>
  <c r="DX265" i="5"/>
  <c r="CL265" i="5" s="1"/>
  <c r="CU205" i="5"/>
  <c r="FA205" i="5"/>
  <c r="FD182" i="5"/>
  <c r="CW182" i="5"/>
  <c r="DL163" i="5"/>
  <c r="BC163" i="5"/>
  <c r="BD163" i="5" s="1"/>
  <c r="BC250" i="5"/>
  <c r="BD250" i="5" s="1"/>
  <c r="DN250" i="5"/>
  <c r="DN197" i="5"/>
  <c r="BC197" i="5"/>
  <c r="DL156" i="5"/>
  <c r="BC156" i="5"/>
  <c r="BD156" i="5" s="1"/>
  <c r="CI17" i="5"/>
  <c r="CI14" i="5"/>
  <c r="CI15" i="5" s="1"/>
  <c r="CI16" i="5"/>
  <c r="DN211" i="5"/>
  <c r="BC211" i="5"/>
  <c r="DN228" i="5"/>
  <c r="BC228" i="5"/>
  <c r="BD228" i="5" s="1"/>
  <c r="DL162" i="5"/>
  <c r="BC162" i="5"/>
  <c r="BD162" i="5" s="1"/>
  <c r="DN240" i="5"/>
  <c r="BC240" i="5"/>
  <c r="BD240" i="5" s="1"/>
  <c r="DL166" i="5"/>
  <c r="BC166" i="5"/>
  <c r="BD166" i="5" s="1"/>
  <c r="DN170" i="5"/>
  <c r="BC170" i="5"/>
  <c r="BD170" i="5" s="1"/>
  <c r="DN242" i="5"/>
  <c r="BC242" i="5"/>
  <c r="BD242" i="5" s="1"/>
  <c r="DN249" i="5"/>
  <c r="BC249" i="5"/>
  <c r="BD249" i="5" s="1"/>
  <c r="DN189" i="5"/>
  <c r="BC189" i="5"/>
  <c r="BD189" i="5" s="1"/>
  <c r="DN233" i="5"/>
  <c r="BC233" i="5"/>
  <c r="BD233" i="5" s="1"/>
  <c r="DL159" i="5"/>
  <c r="BC159" i="5"/>
  <c r="BD159" i="5" s="1"/>
  <c r="BB201" i="5"/>
  <c r="AT201" i="5"/>
  <c r="AL200" i="5"/>
  <c r="AO200" i="5"/>
  <c r="CQ137" i="5"/>
  <c r="FD137" i="5"/>
  <c r="CT376" i="5"/>
  <c r="FF376" i="5"/>
  <c r="CQ136" i="5"/>
  <c r="FD136" i="5"/>
  <c r="DX445" i="5"/>
  <c r="CL445" i="5" s="1"/>
  <c r="EQ469" i="5"/>
  <c r="ER469" i="5" s="1"/>
  <c r="CE177" i="5"/>
  <c r="CJ177" i="5" s="1"/>
  <c r="DX284" i="5"/>
  <c r="CL284" i="5" s="1"/>
  <c r="CQ174" i="5"/>
  <c r="FD174" i="5"/>
  <c r="DX329" i="5"/>
  <c r="CL329" i="5" s="1"/>
  <c r="BD171" i="5"/>
  <c r="CP378" i="5"/>
  <c r="FB378" i="5"/>
  <c r="AW169" i="5"/>
  <c r="CH169" i="5" s="1"/>
  <c r="AP169" i="5"/>
  <c r="AQ169" i="5" s="1"/>
  <c r="AW225" i="5"/>
  <c r="CH225" i="5" s="1"/>
  <c r="AW245" i="5"/>
  <c r="CH245" i="5" s="1"/>
  <c r="CR203" i="5"/>
  <c r="FC203" i="5"/>
  <c r="FA211" i="5"/>
  <c r="CO211" i="5"/>
  <c r="CU146" i="5"/>
  <c r="FA146" i="5"/>
  <c r="AS208" i="5"/>
  <c r="AT208" i="5" s="1"/>
  <c r="FA196" i="5"/>
  <c r="CO196" i="5"/>
  <c r="FC88" i="5"/>
  <c r="CR88" i="5"/>
  <c r="FA184" i="5"/>
  <c r="CU184" i="5"/>
  <c r="EA90" i="5"/>
  <c r="EB90" i="5"/>
  <c r="CT403" i="5"/>
  <c r="FF403" i="5"/>
  <c r="CT430" i="5"/>
  <c r="FF430" i="5"/>
  <c r="EQ488" i="5"/>
  <c r="ER488" i="5" s="1"/>
  <c r="EM159" i="5"/>
  <c r="EL159" i="5"/>
  <c r="DG159" i="5"/>
  <c r="DH219" i="5"/>
  <c r="AW417" i="5"/>
  <c r="CH417" i="5" s="1"/>
  <c r="FD240" i="5"/>
  <c r="CW240" i="5"/>
  <c r="DX182" i="5"/>
  <c r="CL182" i="5" s="1"/>
  <c r="FB429" i="5"/>
  <c r="CV429" i="5"/>
  <c r="AW188" i="5"/>
  <c r="CH188" i="5" s="1"/>
  <c r="AT159" i="5"/>
  <c r="FA175" i="5"/>
  <c r="CO175" i="5"/>
  <c r="CU181" i="5"/>
  <c r="FA181" i="5"/>
  <c r="DG248" i="5"/>
  <c r="CU173" i="5"/>
  <c r="FA173" i="5"/>
  <c r="CI12" i="5"/>
  <c r="DG239" i="5"/>
  <c r="DX395" i="5"/>
  <c r="CL395" i="5" s="1"/>
  <c r="AW382" i="5"/>
  <c r="CH382" i="5" s="1"/>
  <c r="DX332" i="5"/>
  <c r="CL332" i="5" s="1"/>
  <c r="CE186" i="5"/>
  <c r="CJ186" i="5" s="1"/>
  <c r="AW353" i="5"/>
  <c r="CH353" i="5" s="1"/>
  <c r="CP102" i="5"/>
  <c r="FB102" i="5"/>
  <c r="CE234" i="5"/>
  <c r="FF344" i="5"/>
  <c r="CT344" i="5"/>
  <c r="FD249" i="5"/>
  <c r="CW249" i="5"/>
  <c r="AP157" i="5"/>
  <c r="AQ157" i="5" s="1"/>
  <c r="AW157" i="5"/>
  <c r="AW184" i="5"/>
  <c r="CH184" i="5" s="1"/>
  <c r="AW62" i="5"/>
  <c r="CH62" i="5" s="1"/>
  <c r="FA208" i="5"/>
  <c r="CO208" i="5"/>
  <c r="AS200" i="5"/>
  <c r="AT200" i="5" s="1"/>
  <c r="CO193" i="5"/>
  <c r="FA193" i="5"/>
  <c r="BG62" i="5"/>
  <c r="BF62" i="5"/>
  <c r="BH62" i="5" s="1"/>
  <c r="AW144" i="5"/>
  <c r="CH144" i="5" s="1"/>
  <c r="FF320" i="5"/>
  <c r="CZ320" i="5"/>
  <c r="FF434" i="5"/>
  <c r="CT434" i="5"/>
  <c r="DX269" i="5"/>
  <c r="CL269" i="5" s="1"/>
  <c r="DG246" i="5"/>
  <c r="DX335" i="5"/>
  <c r="CL335" i="5" s="1"/>
  <c r="FD229" i="5"/>
  <c r="CW229" i="5"/>
  <c r="DJ470" i="5"/>
  <c r="DI470" i="5"/>
  <c r="DK477" i="5"/>
  <c r="DL477" i="5" s="1"/>
  <c r="DM477" i="5" s="1"/>
  <c r="CG10" i="5"/>
  <c r="CG11" i="5" s="1"/>
  <c r="CZ345" i="5"/>
  <c r="FF345" i="5"/>
  <c r="CW250" i="5"/>
  <c r="FD250" i="5"/>
  <c r="CV435" i="5"/>
  <c r="FB435" i="5"/>
  <c r="AW183" i="5"/>
  <c r="CH183" i="5" s="1"/>
  <c r="CO135" i="5"/>
  <c r="FA135" i="5"/>
  <c r="CO206" i="5"/>
  <c r="FA206" i="5"/>
  <c r="EB79" i="5"/>
  <c r="EA79" i="5"/>
  <c r="FF439" i="5"/>
  <c r="CT439" i="5"/>
  <c r="DX351" i="5"/>
  <c r="CL351" i="5" s="1"/>
  <c r="CE246" i="5"/>
  <c r="FF281" i="5"/>
  <c r="CZ281" i="5"/>
  <c r="DK494" i="5"/>
  <c r="DL494" i="5" s="1"/>
  <c r="DM494" i="5" s="1"/>
  <c r="FD115" i="5"/>
  <c r="CQ115" i="5"/>
  <c r="CZ280" i="5"/>
  <c r="FF280" i="5"/>
  <c r="EN217" i="5"/>
  <c r="EO217" i="5" s="1"/>
  <c r="FA198" i="5"/>
  <c r="CO198" i="5"/>
  <c r="CO225" i="5"/>
  <c r="FA225" i="5"/>
  <c r="FA239" i="5"/>
  <c r="CO239" i="5"/>
  <c r="CO185" i="5"/>
  <c r="FA185" i="5"/>
  <c r="EM200" i="5"/>
  <c r="DG200" i="5"/>
  <c r="EL200" i="5"/>
  <c r="EN187" i="5"/>
  <c r="EO187" i="5" s="1"/>
  <c r="EP187" i="5" s="1"/>
  <c r="FF324" i="5"/>
  <c r="CT324" i="5"/>
  <c r="FF347" i="5"/>
  <c r="CT347" i="5"/>
  <c r="FF255" i="5"/>
  <c r="CZ255" i="5"/>
  <c r="CT270" i="5"/>
  <c r="FF270" i="5"/>
  <c r="DX341" i="5"/>
  <c r="CL341" i="5" s="1"/>
  <c r="FB375" i="5"/>
  <c r="CV375" i="5"/>
  <c r="FB261" i="5"/>
  <c r="CV261" i="5"/>
  <c r="CQ128" i="5"/>
  <c r="FD128" i="5"/>
  <c r="CP430" i="5"/>
  <c r="FB430" i="5"/>
  <c r="FF425" i="5"/>
  <c r="CZ425" i="5"/>
  <c r="DX189" i="5"/>
  <c r="CL189" i="5" s="1"/>
  <c r="FB376" i="5"/>
  <c r="CP376" i="5"/>
  <c r="FF389" i="5"/>
  <c r="CT389" i="5"/>
  <c r="DX175" i="5"/>
  <c r="CL175" i="5" s="1"/>
  <c r="DH201" i="5"/>
  <c r="AW178" i="5"/>
  <c r="CH178" i="5" s="1"/>
  <c r="AW226" i="5"/>
  <c r="AT219" i="5"/>
  <c r="BT214" i="5"/>
  <c r="BV214" i="5" s="1"/>
  <c r="CC214" i="5" s="1"/>
  <c r="CE214" i="5" s="1"/>
  <c r="CJ214" i="5" s="1"/>
  <c r="FA214" i="5"/>
  <c r="CO214" i="5"/>
  <c r="EN222" i="5"/>
  <c r="EO222" i="5" s="1"/>
  <c r="EP222" i="5" s="1"/>
  <c r="FF275" i="5"/>
  <c r="CZ275" i="5"/>
  <c r="DX377" i="5"/>
  <c r="CL377" i="5" s="1"/>
  <c r="EL161" i="5"/>
  <c r="DG161" i="5"/>
  <c r="EM161" i="5"/>
  <c r="AW433" i="5"/>
  <c r="CH433" i="5" s="1"/>
  <c r="CP307" i="5"/>
  <c r="FB307" i="5"/>
  <c r="CZ428" i="5"/>
  <c r="FF428" i="5"/>
  <c r="FF256" i="5"/>
  <c r="CZ256" i="5"/>
  <c r="CO9" i="5"/>
  <c r="CO8" i="5"/>
  <c r="CO6" i="5"/>
  <c r="CO7" i="5" s="1"/>
  <c r="EQ493" i="5"/>
  <c r="ER493" i="5" s="1"/>
  <c r="FF311" i="5"/>
  <c r="CT311" i="5"/>
  <c r="DH220" i="5"/>
  <c r="AT234" i="5"/>
  <c r="AW79" i="5"/>
  <c r="CH79" i="5" s="1"/>
  <c r="BB216" i="5"/>
  <c r="FA141" i="5"/>
  <c r="CU141" i="5"/>
  <c r="CU142" i="5"/>
  <c r="FA142" i="5"/>
  <c r="FC121" i="5"/>
  <c r="CX121" i="5"/>
  <c r="CX13" i="5" s="1"/>
  <c r="FA244" i="5"/>
  <c r="CO244" i="5"/>
  <c r="DH171" i="5"/>
  <c r="DI171" i="5" s="1"/>
  <c r="EG171" i="5"/>
  <c r="EJ171" i="5" s="1"/>
  <c r="EK171" i="5" s="1"/>
  <c r="EA66" i="5"/>
  <c r="EB66" i="5"/>
  <c r="FF321" i="5"/>
  <c r="CZ321" i="5"/>
  <c r="FB415" i="5"/>
  <c r="CP415" i="5"/>
  <c r="DJ471" i="5"/>
  <c r="DI471" i="5"/>
  <c r="FB395" i="5"/>
  <c r="CP395" i="5"/>
  <c r="CV431" i="5"/>
  <c r="FB431" i="5"/>
  <c r="DX442" i="5"/>
  <c r="CL442" i="5" s="1"/>
  <c r="FB387" i="5"/>
  <c r="CV387" i="5"/>
  <c r="AT193" i="5"/>
  <c r="FB448" i="5"/>
  <c r="CV448" i="5"/>
  <c r="CM14" i="5"/>
  <c r="CM15" i="5" s="1"/>
  <c r="DX180" i="5"/>
  <c r="CL180" i="5" s="1"/>
  <c r="FB383" i="5"/>
  <c r="CV383" i="5"/>
  <c r="DX193" i="5"/>
  <c r="CL193" i="5" s="1"/>
  <c r="DL21" i="5"/>
  <c r="DM21" i="5" s="1"/>
  <c r="DX188" i="5"/>
  <c r="CL188" i="5" s="1"/>
  <c r="DN173" i="5"/>
  <c r="BC173" i="5"/>
  <c r="BD173" i="5" s="1"/>
  <c r="FR109" i="5"/>
  <c r="FU109" i="5" s="1"/>
  <c r="AY109" i="5"/>
  <c r="AZ109" i="5" s="1"/>
  <c r="BT109" i="5"/>
  <c r="DY109" i="5"/>
  <c r="BE109" i="5"/>
  <c r="BU109" i="5"/>
  <c r="BL109" i="5"/>
  <c r="DT109" i="5" s="1"/>
  <c r="DV109" i="5" s="1"/>
  <c r="AL198" i="5"/>
  <c r="AO198" i="5"/>
  <c r="FD192" i="5"/>
  <c r="CW192" i="5"/>
  <c r="EN172" i="5"/>
  <c r="EO172" i="5" s="1"/>
  <c r="EP172" i="5" s="1"/>
  <c r="EQ172" i="5" s="1"/>
  <c r="CV369" i="5"/>
  <c r="FB369" i="5"/>
  <c r="DN192" i="5"/>
  <c r="BC192" i="5"/>
  <c r="BD192" i="5" s="1"/>
  <c r="DN203" i="5"/>
  <c r="BC203" i="5"/>
  <c r="DN244" i="5"/>
  <c r="BC244" i="5"/>
  <c r="BD244" i="5" s="1"/>
  <c r="DN247" i="5"/>
  <c r="BC247" i="5"/>
  <c r="BD247" i="5" s="1"/>
  <c r="DN184" i="5"/>
  <c r="BC184" i="5"/>
  <c r="BD184" i="5" s="1"/>
  <c r="DN229" i="5"/>
  <c r="BC229" i="5"/>
  <c r="BD229" i="5" s="1"/>
  <c r="DN245" i="5"/>
  <c r="BC245" i="5"/>
  <c r="BD245" i="5" s="1"/>
  <c r="BC248" i="5"/>
  <c r="DN248" i="5"/>
  <c r="DN218" i="5"/>
  <c r="BC218" i="5"/>
  <c r="BD218" i="5" s="1"/>
  <c r="DN224" i="5"/>
  <c r="BC224" i="5"/>
  <c r="BD224" i="5" s="1"/>
  <c r="BE112" i="5"/>
  <c r="BU112" i="5"/>
  <c r="FS112" i="5"/>
  <c r="FU112" i="5" s="1"/>
  <c r="BL112" i="5"/>
  <c r="DT112" i="5" s="1"/>
  <c r="DV112" i="5" s="1"/>
  <c r="BT112" i="5"/>
  <c r="AY112" i="5"/>
  <c r="AZ112" i="5" s="1"/>
  <c r="AT198" i="5"/>
  <c r="BB198" i="5"/>
  <c r="BB203" i="5"/>
  <c r="AT203" i="5"/>
  <c r="AL170" i="5"/>
  <c r="AO170" i="5"/>
  <c r="AL172" i="5"/>
  <c r="AO172" i="5"/>
  <c r="DG203" i="5"/>
  <c r="DG199" i="5"/>
  <c r="EL199" i="5"/>
  <c r="EM199" i="5"/>
  <c r="DK481" i="5"/>
  <c r="DL481" i="5" s="1"/>
  <c r="DM481" i="5" s="1"/>
  <c r="FF346" i="5"/>
  <c r="CZ346" i="5"/>
  <c r="FD175" i="5"/>
  <c r="CQ175" i="5"/>
  <c r="DX170" i="5"/>
  <c r="CL170" i="5" s="1"/>
  <c r="DI469" i="5"/>
  <c r="DJ469" i="5"/>
  <c r="FD121" i="5"/>
  <c r="CW121" i="5"/>
  <c r="CE236" i="5"/>
  <c r="CJ236" i="5" s="1"/>
  <c r="FB449" i="5"/>
  <c r="CV449" i="5"/>
  <c r="EQ482" i="5"/>
  <c r="ER482" i="5" s="1"/>
  <c r="CV422" i="5"/>
  <c r="FB422" i="5"/>
  <c r="DG113" i="5"/>
  <c r="AP161" i="5"/>
  <c r="AQ161" i="5" s="1"/>
  <c r="AW161" i="5"/>
  <c r="AW165" i="5"/>
  <c r="AP165" i="5"/>
  <c r="AQ165" i="5" s="1"/>
  <c r="AW60" i="5"/>
  <c r="CH60" i="5" s="1"/>
  <c r="EN247" i="5"/>
  <c r="EO247" i="5"/>
  <c r="EP247" i="5" s="1"/>
  <c r="EN196" i="5"/>
  <c r="EO196" i="5" s="1"/>
  <c r="EP196" i="5" s="1"/>
  <c r="AO169" i="5"/>
  <c r="AL169" i="5"/>
  <c r="BG88" i="5"/>
  <c r="BI88" i="5" s="1"/>
  <c r="BF88" i="5"/>
  <c r="BH88" i="5" s="1"/>
  <c r="EN184" i="5"/>
  <c r="EO184" i="5" s="1"/>
  <c r="EP184" i="5" s="1"/>
  <c r="EN231" i="5"/>
  <c r="EO231" i="5" s="1"/>
  <c r="EP231" i="5" s="1"/>
  <c r="AW142" i="5"/>
  <c r="CH142" i="5" s="1"/>
  <c r="FF357" i="5"/>
  <c r="CZ357" i="5"/>
  <c r="EM24" i="5"/>
  <c r="EL24" i="5"/>
  <c r="EL221" i="5"/>
  <c r="EM221" i="5"/>
  <c r="DG221" i="5"/>
  <c r="DI488" i="5"/>
  <c r="DJ488" i="5"/>
  <c r="DX452" i="5"/>
  <c r="CL452" i="5" s="1"/>
  <c r="CP385" i="5"/>
  <c r="FB385" i="5"/>
  <c r="FD130" i="5"/>
  <c r="CQ130" i="5"/>
  <c r="DX323" i="5"/>
  <c r="CL323" i="5" s="1"/>
  <c r="FF394" i="5"/>
  <c r="CZ394" i="5"/>
  <c r="CZ282" i="5"/>
  <c r="FF282" i="5"/>
  <c r="DX322" i="5"/>
  <c r="CL322" i="5" s="1"/>
  <c r="AW221" i="5"/>
  <c r="AP221" i="5"/>
  <c r="AQ221" i="5" s="1"/>
  <c r="DL22" i="5"/>
  <c r="DM22" i="5" s="1"/>
  <c r="EN175" i="5"/>
  <c r="EO175" i="5" s="1"/>
  <c r="EP175" i="5" s="1"/>
  <c r="EN223" i="5"/>
  <c r="EO223" i="5" s="1"/>
  <c r="EP223" i="5" s="1"/>
  <c r="EN173" i="5"/>
  <c r="EO173" i="5"/>
  <c r="EP173" i="5" s="1"/>
  <c r="CT276" i="5"/>
  <c r="FF276" i="5"/>
  <c r="CI10" i="5"/>
  <c r="CI11" i="5" s="1"/>
  <c r="DX326" i="5"/>
  <c r="CL326" i="5" s="1"/>
  <c r="DG145" i="5"/>
  <c r="AW274" i="5"/>
  <c r="CH274" i="5" s="1"/>
  <c r="AW390" i="5"/>
  <c r="CH390" i="5" s="1"/>
  <c r="DX369" i="5"/>
  <c r="CL369" i="5" s="1"/>
  <c r="FB290" i="5"/>
  <c r="CV290" i="5"/>
  <c r="EM165" i="5"/>
  <c r="DG165" i="5"/>
  <c r="EL165" i="5"/>
  <c r="EL218" i="5"/>
  <c r="EM218" i="5"/>
  <c r="DG218" i="5"/>
  <c r="DX361" i="5"/>
  <c r="CL361" i="5" s="1"/>
  <c r="AW302" i="5"/>
  <c r="CH302" i="5" s="1"/>
  <c r="AW93" i="5"/>
  <c r="CH93" i="5" s="1"/>
  <c r="AW189" i="5"/>
  <c r="CH189" i="5" s="1"/>
  <c r="AW76" i="5"/>
  <c r="CH76" i="5" s="1"/>
  <c r="EN208" i="5"/>
  <c r="EO208" i="5" s="1"/>
  <c r="EP208" i="5" s="1"/>
  <c r="FA182" i="5"/>
  <c r="CU182" i="5"/>
  <c r="BT199" i="5"/>
  <c r="BV199" i="5" s="1"/>
  <c r="CC199" i="5" s="1"/>
  <c r="CE199" i="5" s="1"/>
  <c r="CJ199" i="5" s="1"/>
  <c r="BV62" i="5"/>
  <c r="CC62" i="5" s="1"/>
  <c r="CE62" i="5" s="1"/>
  <c r="CJ62" i="5" s="1"/>
  <c r="CE207" i="5"/>
  <c r="CJ207" i="5" s="1"/>
  <c r="ET134" i="5"/>
  <c r="FB445" i="5"/>
  <c r="CV445" i="5"/>
  <c r="AW434" i="5"/>
  <c r="CH434" i="5" s="1"/>
  <c r="DX444" i="5"/>
  <c r="CL444" i="5" s="1"/>
  <c r="CG12" i="5"/>
  <c r="DX262" i="5"/>
  <c r="CL262" i="5" s="1"/>
  <c r="CV329" i="5"/>
  <c r="FB329" i="5"/>
  <c r="CV398" i="5"/>
  <c r="FB398" i="5"/>
  <c r="FB286" i="5"/>
  <c r="CV286" i="5"/>
  <c r="DX438" i="5"/>
  <c r="CL438" i="5" s="1"/>
  <c r="AW235" i="5"/>
  <c r="CH235" i="5" s="1"/>
  <c r="EN197" i="5"/>
  <c r="EO197" i="5" s="1"/>
  <c r="EP197" i="5" s="1"/>
  <c r="FA202" i="5"/>
  <c r="CO202" i="5"/>
  <c r="EN234" i="5"/>
  <c r="EO234" i="5" s="1"/>
  <c r="EP234" i="5" s="1"/>
  <c r="EN206" i="5"/>
  <c r="EO206" i="5" s="1"/>
  <c r="EP206" i="5" s="1"/>
  <c r="BV202" i="5"/>
  <c r="CC202" i="5" s="1"/>
  <c r="CE202" i="5" s="1"/>
  <c r="CJ202" i="5" s="1"/>
  <c r="CR79" i="5"/>
  <c r="FC79" i="5"/>
  <c r="DK480" i="5"/>
  <c r="DL480" i="5" s="1"/>
  <c r="DM480" i="5" s="1"/>
  <c r="DX253" i="5"/>
  <c r="CL253" i="5" s="1"/>
  <c r="DX353" i="5"/>
  <c r="CL353" i="5" s="1"/>
  <c r="DX294" i="5"/>
  <c r="CL294" i="5" s="1"/>
  <c r="CZ318" i="5"/>
  <c r="FF318" i="5"/>
  <c r="FB344" i="5"/>
  <c r="CP344" i="5"/>
  <c r="DG242" i="5"/>
  <c r="AW179" i="5"/>
  <c r="CH179" i="5" s="1"/>
  <c r="AT229" i="5"/>
  <c r="EN198" i="5"/>
  <c r="EO198" i="5" s="1"/>
  <c r="EP198" i="5" s="1"/>
  <c r="EQ198" i="5" s="1"/>
  <c r="EN225" i="5"/>
  <c r="EO225" i="5" s="1"/>
  <c r="EP225" i="5" s="1"/>
  <c r="EN239" i="5"/>
  <c r="EO239" i="5" s="1"/>
  <c r="EP239" i="5" s="1"/>
  <c r="BF91" i="5"/>
  <c r="BH91" i="5" s="1"/>
  <c r="BG91" i="5"/>
  <c r="CU187" i="5"/>
  <c r="FA187" i="5"/>
  <c r="FB416" i="5"/>
  <c r="CV416" i="5"/>
  <c r="EQ498" i="5"/>
  <c r="ER498" i="5" s="1"/>
  <c r="CE223" i="5"/>
  <c r="CM13" i="5"/>
  <c r="DG243" i="5"/>
  <c r="AW265" i="5"/>
  <c r="CH265" i="5" s="1"/>
  <c r="DG224" i="5"/>
  <c r="FB257" i="5"/>
  <c r="CV257" i="5"/>
  <c r="AW173" i="5"/>
  <c r="CH173" i="5" s="1"/>
  <c r="AP173" i="5"/>
  <c r="AQ173" i="5" s="1"/>
  <c r="CU229" i="5"/>
  <c r="FA229" i="5"/>
  <c r="BT206" i="5"/>
  <c r="BV206" i="5" s="1"/>
  <c r="CC206" i="5" s="1"/>
  <c r="CE206" i="5" s="1"/>
  <c r="CJ206" i="5" s="1"/>
  <c r="EN214" i="5"/>
  <c r="EO214" i="5" s="1"/>
  <c r="EP214" i="5" s="1"/>
  <c r="CO171" i="5"/>
  <c r="FA171" i="5"/>
  <c r="BF77" i="5"/>
  <c r="BH77" i="5" s="1"/>
  <c r="BG77" i="5"/>
  <c r="EN240" i="5"/>
  <c r="EO240" i="5" s="1"/>
  <c r="EP240" i="5" s="1"/>
  <c r="DG231" i="5"/>
  <c r="DX278" i="5"/>
  <c r="CL278" i="5" s="1"/>
  <c r="BJ127" i="5"/>
  <c r="EC127" i="5" s="1"/>
  <c r="EB127" i="5" s="1"/>
  <c r="DX301" i="5"/>
  <c r="CL301" i="5" s="1"/>
  <c r="CU9" i="5"/>
  <c r="CU8" i="5"/>
  <c r="CU6" i="5"/>
  <c r="CU7" i="5" s="1"/>
  <c r="DG225" i="5"/>
  <c r="DI493" i="5"/>
  <c r="DJ493" i="5"/>
  <c r="ET124" i="5"/>
  <c r="DX342" i="5"/>
  <c r="CL342" i="5" s="1"/>
  <c r="AW176" i="5"/>
  <c r="CH176" i="5" s="1"/>
  <c r="CR78" i="5"/>
  <c r="FC78" i="5"/>
  <c r="EN244" i="5"/>
  <c r="EO244" i="5" s="1"/>
  <c r="EP244" i="5" s="1"/>
  <c r="DH170" i="5"/>
  <c r="DI170" i="5" s="1"/>
  <c r="BF92" i="5"/>
  <c r="BH92" i="5" s="1"/>
  <c r="BG92" i="5"/>
  <c r="FA178" i="5"/>
  <c r="CU178" i="5"/>
  <c r="FF417" i="5"/>
  <c r="CZ417" i="5"/>
  <c r="CE189" i="5"/>
  <c r="CJ189" i="5" s="1"/>
  <c r="CE183" i="5"/>
  <c r="CJ183" i="5" s="1"/>
  <c r="CT420" i="5"/>
  <c r="FF420" i="5"/>
  <c r="FB345" i="5"/>
  <c r="CV345" i="5"/>
  <c r="FF297" i="5"/>
  <c r="CZ297" i="5"/>
  <c r="CP439" i="5"/>
  <c r="FB439" i="5"/>
  <c r="CM17" i="5"/>
  <c r="FB404" i="5"/>
  <c r="CV404" i="5"/>
  <c r="CV401" i="5"/>
  <c r="FB401" i="5"/>
  <c r="CP101" i="5"/>
  <c r="FB101" i="5"/>
  <c r="FB98" i="5"/>
  <c r="CP98" i="5"/>
  <c r="DN175" i="5"/>
  <c r="BC175" i="5"/>
  <c r="BD175" i="5" s="1"/>
  <c r="AT202" i="5"/>
  <c r="BB202" i="5"/>
  <c r="DG201" i="5"/>
  <c r="FD145" i="5"/>
  <c r="CW145" i="5"/>
  <c r="DG233" i="5"/>
  <c r="AW140" i="5"/>
  <c r="CH140" i="5" s="1"/>
  <c r="FA235" i="5"/>
  <c r="CO235" i="5"/>
  <c r="DX337" i="5"/>
  <c r="CL337" i="5" s="1"/>
  <c r="DN219" i="5"/>
  <c r="BC219" i="5"/>
  <c r="BD219" i="5" s="1"/>
  <c r="DN196" i="5"/>
  <c r="BC196" i="5"/>
  <c r="BB211" i="5"/>
  <c r="AT211" i="5"/>
  <c r="DN176" i="5"/>
  <c r="BC176" i="5"/>
  <c r="BD176" i="5" s="1"/>
  <c r="DN195" i="5"/>
  <c r="BC195" i="5"/>
  <c r="BD195" i="5" s="1"/>
  <c r="DN246" i="5"/>
  <c r="BC246" i="5"/>
  <c r="BD246" i="5" s="1"/>
  <c r="DL161" i="5"/>
  <c r="BC161" i="5"/>
  <c r="BD161" i="5" s="1"/>
  <c r="DN223" i="5"/>
  <c r="BC223" i="5"/>
  <c r="BD223" i="5" s="1"/>
  <c r="DN172" i="5"/>
  <c r="BC172" i="5"/>
  <c r="BD172" i="5" s="1"/>
  <c r="DN237" i="5"/>
  <c r="BC237" i="5"/>
  <c r="BD237" i="5" s="1"/>
  <c r="DN227" i="5"/>
  <c r="BC227" i="5"/>
  <c r="BD227" i="5" s="1"/>
  <c r="DL167" i="5"/>
  <c r="BC167" i="5"/>
  <c r="BD167" i="5" s="1"/>
  <c r="DN230" i="5"/>
  <c r="BC230" i="5"/>
  <c r="BD230" i="5" s="1"/>
  <c r="DN181" i="5"/>
  <c r="BC181" i="5"/>
  <c r="BD181" i="5" s="1"/>
  <c r="BE107" i="5"/>
  <c r="BU107" i="5"/>
  <c r="FS107" i="5"/>
  <c r="FU107" i="5" s="1"/>
  <c r="BL107" i="5"/>
  <c r="DT107" i="5" s="1"/>
  <c r="DV107" i="5" s="1"/>
  <c r="BT107" i="5"/>
  <c r="AY107" i="5"/>
  <c r="AZ107" i="5" s="1"/>
  <c r="BB209" i="5"/>
  <c r="AT209" i="5"/>
  <c r="AT214" i="5"/>
  <c r="BB214" i="5"/>
  <c r="AK202" i="5"/>
  <c r="FF426" i="5"/>
  <c r="CT426" i="5"/>
  <c r="FF378" i="5"/>
  <c r="CT378" i="5"/>
  <c r="CW146" i="5"/>
  <c r="FD146" i="5"/>
  <c r="CX251" i="5"/>
  <c r="FC251" i="5"/>
  <c r="EQ485" i="5"/>
  <c r="ER485" i="5" s="1"/>
  <c r="DX338" i="5"/>
  <c r="CL338" i="5" s="1"/>
  <c r="CE219" i="5"/>
  <c r="DI482" i="5"/>
  <c r="DJ482" i="5"/>
  <c r="FD114" i="5"/>
  <c r="CQ114" i="5"/>
  <c r="FF406" i="5"/>
  <c r="CT406" i="5"/>
  <c r="AW121" i="5"/>
  <c r="CH121" i="5" s="1"/>
  <c r="BV198" i="5"/>
  <c r="CC198" i="5" s="1"/>
  <c r="CE198" i="5" s="1"/>
  <c r="CJ198" i="5" s="1"/>
  <c r="FA247" i="5"/>
  <c r="CO247" i="5"/>
  <c r="EL196" i="5"/>
  <c r="EM196" i="5"/>
  <c r="DG196" i="5"/>
  <c r="DG206" i="5"/>
  <c r="DG209" i="5"/>
  <c r="CQ69" i="5"/>
  <c r="FD69" i="5"/>
  <c r="FA231" i="5"/>
  <c r="CO231" i="5"/>
  <c r="AS215" i="5"/>
  <c r="BB215" i="5" s="1"/>
  <c r="FF313" i="5"/>
  <c r="CZ313" i="5"/>
  <c r="AJ26" i="5"/>
  <c r="AN25" i="5"/>
  <c r="DO25" i="5" s="1"/>
  <c r="AK25" i="5"/>
  <c r="CV268" i="5"/>
  <c r="FB268" i="5"/>
  <c r="FD176" i="5"/>
  <c r="CQ176" i="5"/>
  <c r="DX391" i="5"/>
  <c r="CL391" i="5" s="1"/>
  <c r="DG235" i="5"/>
  <c r="FB303" i="5"/>
  <c r="CP303" i="5"/>
  <c r="DX272" i="5"/>
  <c r="CL272" i="5" s="1"/>
  <c r="CV394" i="5"/>
  <c r="FB394" i="5"/>
  <c r="DX271" i="5"/>
  <c r="CL271" i="5" s="1"/>
  <c r="AW194" i="5"/>
  <c r="CH194" i="5" s="1"/>
  <c r="EN209" i="5"/>
  <c r="EO209" i="5" s="1"/>
  <c r="EP209" i="5" s="1"/>
  <c r="AS196" i="5"/>
  <c r="BB196" i="5" s="1"/>
  <c r="DH197" i="5"/>
  <c r="CZ387" i="5"/>
  <c r="FF387" i="5"/>
  <c r="DX355" i="5"/>
  <c r="CL355" i="5" s="1"/>
  <c r="EQ499" i="5"/>
  <c r="ER499" i="5" s="1"/>
  <c r="DG222" i="5"/>
  <c r="FF393" i="5"/>
  <c r="CZ393" i="5"/>
  <c r="FD188" i="5"/>
  <c r="CQ188" i="5"/>
  <c r="AW413" i="5"/>
  <c r="CH413" i="5" s="1"/>
  <c r="FB295" i="5"/>
  <c r="CV295" i="5"/>
  <c r="EQ492" i="5"/>
  <c r="ER492" i="5" s="1"/>
  <c r="AK221" i="5"/>
  <c r="BB239" i="5"/>
  <c r="BD239" i="5" s="1"/>
  <c r="CO125" i="5"/>
  <c r="FA125" i="5"/>
  <c r="CO124" i="5"/>
  <c r="CO4" i="5" s="1"/>
  <c r="FA124" i="5"/>
  <c r="CO131" i="5"/>
  <c r="FA131" i="5"/>
  <c r="CO245" i="5"/>
  <c r="FA245" i="5"/>
  <c r="EN182" i="5"/>
  <c r="EO182" i="5" s="1"/>
  <c r="EP182" i="5" s="1"/>
  <c r="EB62" i="5"/>
  <c r="EA62" i="5"/>
  <c r="BB248" i="5"/>
  <c r="CZ314" i="5"/>
  <c r="FF314" i="5"/>
  <c r="DX334" i="5"/>
  <c r="CL334" i="5" s="1"/>
  <c r="CZ349" i="5"/>
  <c r="FF349" i="5"/>
  <c r="EQ491" i="5"/>
  <c r="ER491" i="5" s="1"/>
  <c r="DG230" i="5"/>
  <c r="FF298" i="5"/>
  <c r="CZ298" i="5"/>
  <c r="CG13" i="5"/>
  <c r="DX330" i="5"/>
  <c r="CL330" i="5" s="1"/>
  <c r="CP316" i="5"/>
  <c r="FB316" i="5"/>
  <c r="FF257" i="5"/>
  <c r="CZ257" i="5"/>
  <c r="FB340" i="5"/>
  <c r="CP340" i="5"/>
  <c r="AW177" i="5"/>
  <c r="CH177" i="5" s="1"/>
  <c r="AT233" i="5"/>
  <c r="CO197" i="5"/>
  <c r="FA197" i="5"/>
  <c r="EN202" i="5"/>
  <c r="EO202" i="5" s="1"/>
  <c r="EP202" i="5" s="1"/>
  <c r="EN243" i="5"/>
  <c r="EO243" i="5" s="1"/>
  <c r="EP243" i="5" s="1"/>
  <c r="FC202" i="5"/>
  <c r="CR202" i="5"/>
  <c r="EQ484" i="5"/>
  <c r="ER484" i="5" s="1"/>
  <c r="FD239" i="5"/>
  <c r="CQ239" i="5"/>
  <c r="FF413" i="5"/>
  <c r="CZ413" i="5"/>
  <c r="FD147" i="5"/>
  <c r="CW147" i="5"/>
  <c r="BD183" i="5"/>
  <c r="DX308" i="5"/>
  <c r="CL308" i="5" s="1"/>
  <c r="FF382" i="5"/>
  <c r="CZ382" i="5"/>
  <c r="FB349" i="5"/>
  <c r="CV349" i="5"/>
  <c r="FD124" i="5"/>
  <c r="CQ124" i="5"/>
  <c r="DX285" i="5"/>
  <c r="CL285" i="5" s="1"/>
  <c r="AW242" i="5"/>
  <c r="CH242" i="5" s="1"/>
  <c r="AW91" i="5"/>
  <c r="CH91" i="5" s="1"/>
  <c r="AZ217" i="5"/>
  <c r="CE217" i="5"/>
  <c r="CO139" i="5"/>
  <c r="FA139" i="5"/>
  <c r="DG250" i="5"/>
  <c r="CU147" i="5"/>
  <c r="FA147" i="5"/>
  <c r="DI498" i="5"/>
  <c r="DJ498" i="5"/>
  <c r="FB323" i="5"/>
  <c r="CV323" i="5"/>
  <c r="CM12" i="5"/>
  <c r="AW292" i="5"/>
  <c r="CH292" i="5" s="1"/>
  <c r="CZ407" i="5"/>
  <c r="FF407" i="5"/>
  <c r="FF427" i="5"/>
  <c r="CT427" i="5"/>
  <c r="CQ117" i="5"/>
  <c r="FD117" i="5"/>
  <c r="AW167" i="5"/>
  <c r="AP167" i="5"/>
  <c r="AQ167" i="5" s="1"/>
  <c r="AW77" i="5"/>
  <c r="CH77" i="5" s="1"/>
  <c r="AW92" i="5"/>
  <c r="CH92" i="5" s="1"/>
  <c r="EN229" i="5"/>
  <c r="EO229" i="5" s="1"/>
  <c r="EP229" i="5" s="1"/>
  <c r="FC214" i="5"/>
  <c r="CR214" i="5"/>
  <c r="CO237" i="5"/>
  <c r="FA237" i="5"/>
  <c r="EN171" i="5"/>
  <c r="EO171" i="5" s="1"/>
  <c r="EP171" i="5" s="1"/>
  <c r="CU240" i="5"/>
  <c r="FA240" i="5"/>
  <c r="FF386" i="5"/>
  <c r="CZ386" i="5"/>
  <c r="FB391" i="5"/>
  <c r="CV391" i="5"/>
  <c r="AW310" i="5"/>
  <c r="CH310" i="5" s="1"/>
  <c r="DG238" i="5"/>
  <c r="AW418" i="5"/>
  <c r="CH418" i="5" s="1"/>
  <c r="CW143" i="5"/>
  <c r="FD143" i="5"/>
  <c r="DX366" i="5"/>
  <c r="CL366" i="5" s="1"/>
  <c r="FB296" i="5"/>
  <c r="CV296" i="5"/>
  <c r="DX176" i="5"/>
  <c r="CL176" i="5" s="1"/>
  <c r="FD227" i="5"/>
  <c r="CQ227" i="5"/>
  <c r="BX1" i="5"/>
  <c r="AW372" i="5"/>
  <c r="CH372" i="5" s="1"/>
  <c r="AW166" i="5"/>
  <c r="AP166" i="5"/>
  <c r="AQ166" i="5" s="1"/>
  <c r="FC94" i="5"/>
  <c r="CR94" i="5"/>
  <c r="AW227" i="5"/>
  <c r="CH227" i="5" s="1"/>
  <c r="AS205" i="5"/>
  <c r="BB205" i="5" s="1"/>
  <c r="BV200" i="5"/>
  <c r="CC200" i="5" s="1"/>
  <c r="CE200" i="5" s="1"/>
  <c r="CJ200" i="5" s="1"/>
  <c r="BV208" i="5"/>
  <c r="CC208" i="5" s="1"/>
  <c r="CE208" i="5" s="1"/>
  <c r="CJ208" i="5" s="1"/>
  <c r="FA194" i="5"/>
  <c r="CO194" i="5"/>
  <c r="FD92" i="5"/>
  <c r="CW92" i="5"/>
  <c r="CU144" i="5"/>
  <c r="FA144" i="5"/>
  <c r="EN178" i="5"/>
  <c r="EO178" i="5" s="1"/>
  <c r="EP178" i="5" s="1"/>
  <c r="CZ399" i="5"/>
  <c r="FF399" i="5"/>
  <c r="DX451" i="5"/>
  <c r="CL451" i="5" s="1"/>
  <c r="FB419" i="5"/>
  <c r="CV419" i="5"/>
  <c r="DG166" i="5"/>
  <c r="EL166" i="5"/>
  <c r="EM166" i="5"/>
  <c r="FB269" i="5"/>
  <c r="CV269" i="5"/>
  <c r="DK483" i="5"/>
  <c r="DL483" i="5" s="1"/>
  <c r="DM483" i="5" s="1"/>
  <c r="DX331" i="5"/>
  <c r="CL331" i="5" s="1"/>
  <c r="FA228" i="5"/>
  <c r="CO228" i="5"/>
  <c r="CM16" i="5"/>
  <c r="FB309" i="5"/>
  <c r="CV309" i="5"/>
  <c r="CP414" i="5"/>
  <c r="FB414" i="5"/>
  <c r="DX185" i="5"/>
  <c r="CL185" i="5" s="1"/>
  <c r="DX194" i="5"/>
  <c r="CL194" i="5" s="1"/>
  <c r="FB354" i="5"/>
  <c r="CP354" i="5"/>
  <c r="EG201" i="5"/>
  <c r="EJ201" i="5" s="1"/>
  <c r="EK201" i="5" s="1"/>
  <c r="EM201" i="5" s="1"/>
  <c r="FB424" i="5"/>
  <c r="CV424" i="5"/>
  <c r="DX186" i="5"/>
  <c r="CL186" i="5" s="1"/>
  <c r="CV377" i="5"/>
  <c r="FB377" i="5"/>
  <c r="DN186" i="5"/>
  <c r="BC186" i="5"/>
  <c r="BD186" i="5" s="1"/>
  <c r="BC251" i="5"/>
  <c r="BD251" i="5" s="1"/>
  <c r="DN251" i="5"/>
  <c r="CV320" i="5"/>
  <c r="FB320" i="5"/>
  <c r="DX299" i="5"/>
  <c r="CL299" i="5" s="1"/>
  <c r="EN210" i="5"/>
  <c r="EO210" i="5"/>
  <c r="EP210" i="5" s="1"/>
  <c r="FF252" i="5"/>
  <c r="CT252" i="5"/>
  <c r="AW89" i="5"/>
  <c r="CH89" i="5" s="1"/>
  <c r="DN226" i="5"/>
  <c r="BC226" i="5"/>
  <c r="BD226" i="5" s="1"/>
  <c r="DN202" i="5"/>
  <c r="BC202" i="5"/>
  <c r="DN209" i="5"/>
  <c r="BC209" i="5"/>
  <c r="DN238" i="5"/>
  <c r="BC238" i="5"/>
  <c r="BD238" i="5" s="1"/>
  <c r="DN188" i="5"/>
  <c r="BC188" i="5"/>
  <c r="BD188" i="5" s="1"/>
  <c r="DN215" i="5"/>
  <c r="BC215" i="5"/>
  <c r="DN198" i="5"/>
  <c r="BC198" i="5"/>
  <c r="BD198" i="5" s="1"/>
  <c r="DL157" i="5"/>
  <c r="BC157" i="5"/>
  <c r="BD157" i="5" s="1"/>
  <c r="DL164" i="5"/>
  <c r="BC164" i="5"/>
  <c r="BD164" i="5" s="1"/>
  <c r="DN169" i="5"/>
  <c r="BC169" i="5"/>
  <c r="BD169" i="5" s="1"/>
  <c r="DH221" i="5"/>
  <c r="EB205" i="5"/>
  <c r="FD247" i="5"/>
  <c r="CQ247" i="5"/>
  <c r="CE238" i="5"/>
  <c r="CJ238" i="5" s="1"/>
  <c r="DJ485" i="5"/>
  <c r="DI485" i="5"/>
  <c r="DX453" i="5"/>
  <c r="CL453" i="5" s="1"/>
  <c r="FD190" i="5"/>
  <c r="CW190" i="5"/>
  <c r="CW248" i="5"/>
  <c r="FD248" i="5"/>
  <c r="EL157" i="5"/>
  <c r="DG157" i="5"/>
  <c r="EM157" i="5"/>
  <c r="FB315" i="5"/>
  <c r="CP315" i="5"/>
  <c r="CE216" i="5"/>
  <c r="AW192" i="5"/>
  <c r="CH192" i="5" s="1"/>
  <c r="EN213" i="5"/>
  <c r="EO213" i="5" s="1"/>
  <c r="EP213" i="5" s="1"/>
  <c r="FA180" i="5"/>
  <c r="CO180" i="5"/>
  <c r="BT211" i="5"/>
  <c r="BV211" i="5" s="1"/>
  <c r="CC211" i="5" s="1"/>
  <c r="CE211" i="5" s="1"/>
  <c r="CJ211" i="5" s="1"/>
  <c r="EN179" i="5"/>
  <c r="EO179" i="5" s="1"/>
  <c r="EP179" i="5" s="1"/>
  <c r="CU177" i="5"/>
  <c r="FA177" i="5"/>
  <c r="FC76" i="5"/>
  <c r="CR76" i="5"/>
  <c r="EB88" i="5"/>
  <c r="EA88" i="5"/>
  <c r="EA69" i="5"/>
  <c r="EB69" i="5"/>
  <c r="AW244" i="5"/>
  <c r="CH244" i="5" s="1"/>
  <c r="FA186" i="5"/>
  <c r="CO186" i="5"/>
  <c r="DX343" i="5"/>
  <c r="CL343" i="5" s="1"/>
  <c r="DX328" i="5"/>
  <c r="CL328" i="5" s="1"/>
  <c r="DG237" i="5"/>
  <c r="CP360" i="5"/>
  <c r="FB360" i="5"/>
  <c r="DX411" i="5"/>
  <c r="CL411" i="5" s="1"/>
  <c r="CE180" i="5"/>
  <c r="CJ180" i="5" s="1"/>
  <c r="AW114" i="5"/>
  <c r="CH114" i="5" s="1"/>
  <c r="FA209" i="5"/>
  <c r="CO209" i="5"/>
  <c r="AS207" i="5"/>
  <c r="BB207" i="5" s="1"/>
  <c r="BT196" i="5"/>
  <c r="BV196" i="5" s="1"/>
  <c r="CC196" i="5" s="1"/>
  <c r="CE196" i="5" s="1"/>
  <c r="CJ196" i="5" s="1"/>
  <c r="BF89" i="5"/>
  <c r="BH89" i="5" s="1"/>
  <c r="BG89" i="5"/>
  <c r="FF340" i="5"/>
  <c r="CT340" i="5"/>
  <c r="DJ499" i="5"/>
  <c r="DI499" i="5"/>
  <c r="ER156" i="5"/>
  <c r="CP293" i="5"/>
  <c r="FB293" i="5"/>
  <c r="DG244" i="5"/>
  <c r="AW156" i="5"/>
  <c r="AP156" i="5"/>
  <c r="AQ156" i="5" s="1"/>
  <c r="AW145" i="5"/>
  <c r="CH145" i="5" s="1"/>
  <c r="EN203" i="5"/>
  <c r="EO203" i="5" s="1"/>
  <c r="EP203" i="5" s="1"/>
  <c r="FA204" i="5"/>
  <c r="CU204" i="5"/>
  <c r="EN201" i="5"/>
  <c r="EO201" i="5" s="1"/>
  <c r="EP201" i="5" s="1"/>
  <c r="EN245" i="5"/>
  <c r="EO245" i="5" s="1"/>
  <c r="EP245" i="5" s="1"/>
  <c r="BV60" i="5"/>
  <c r="CC60" i="5" s="1"/>
  <c r="CE60" i="5" s="1"/>
  <c r="CJ60" i="5" s="1"/>
  <c r="FC204" i="5"/>
  <c r="CX204" i="5"/>
  <c r="BV93" i="5"/>
  <c r="CC93" i="5" s="1"/>
  <c r="CE93" i="5" s="1"/>
  <c r="CJ93" i="5" s="1"/>
  <c r="DJ491" i="5"/>
  <c r="DI491" i="5"/>
  <c r="BD191" i="5"/>
  <c r="FB411" i="5"/>
  <c r="CP411" i="5"/>
  <c r="DG143" i="5"/>
  <c r="DH173" i="5"/>
  <c r="DI173" i="5" s="1"/>
  <c r="FB100" i="5"/>
  <c r="CP100" i="5"/>
  <c r="CE235" i="5"/>
  <c r="CJ235" i="5" s="1"/>
  <c r="DX283" i="5"/>
  <c r="CL283" i="5" s="1"/>
  <c r="CE181" i="5"/>
  <c r="CJ181" i="5" s="1"/>
  <c r="CO128" i="5"/>
  <c r="FA128" i="5"/>
  <c r="FA243" i="5"/>
  <c r="CO243" i="5"/>
  <c r="EN191" i="5"/>
  <c r="EO191" i="5" s="1"/>
  <c r="EP191" i="5" s="1"/>
  <c r="BG79" i="5"/>
  <c r="BF79" i="5"/>
  <c r="BH79" i="5" s="1"/>
  <c r="DX449" i="5"/>
  <c r="CL449" i="5" s="1"/>
  <c r="DI484" i="5"/>
  <c r="DJ484" i="5"/>
  <c r="BD236" i="5"/>
  <c r="AW298" i="5"/>
  <c r="CH298" i="5" s="1"/>
  <c r="CT384" i="5"/>
  <c r="FF384" i="5"/>
  <c r="FD225" i="5"/>
  <c r="CQ225" i="5"/>
  <c r="AP174" i="5"/>
  <c r="AQ174" i="5" s="1"/>
  <c r="AW174" i="5"/>
  <c r="CH174" i="5" s="1"/>
  <c r="EN215" i="5"/>
  <c r="EO215" i="5" s="1"/>
  <c r="EP215" i="5" s="1"/>
  <c r="EN238" i="5"/>
  <c r="EO238" i="5" s="1"/>
  <c r="EP238" i="5" s="1"/>
  <c r="BV215" i="5"/>
  <c r="CC215" i="5" s="1"/>
  <c r="CE215" i="5" s="1"/>
  <c r="CJ215" i="5" s="1"/>
  <c r="DH172" i="5"/>
  <c r="DI172" i="5" s="1"/>
  <c r="AT218" i="5"/>
  <c r="DH199" i="5"/>
  <c r="DX288" i="5"/>
  <c r="CL288" i="5" s="1"/>
  <c r="CE232" i="5"/>
  <c r="AW386" i="5"/>
  <c r="CH386" i="5" s="1"/>
  <c r="CM10" i="5"/>
  <c r="CM11" i="5" s="1"/>
  <c r="DG135" i="5"/>
  <c r="DX359" i="5"/>
  <c r="CL359" i="5" s="1"/>
  <c r="CE179" i="5"/>
  <c r="CJ179" i="5" s="1"/>
  <c r="EL162" i="5"/>
  <c r="EM162" i="5"/>
  <c r="DG162" i="5"/>
  <c r="AW170" i="5"/>
  <c r="CH170" i="5" s="1"/>
  <c r="AP170" i="5"/>
  <c r="AQ170" i="5" s="1"/>
  <c r="AT238" i="5"/>
  <c r="FA143" i="5"/>
  <c r="CU143" i="5"/>
  <c r="CU1" i="5" s="1"/>
  <c r="CU2" i="5" s="1"/>
  <c r="EN237" i="5"/>
  <c r="EO237" i="5" s="1"/>
  <c r="EP237" i="5" s="1"/>
  <c r="CZ392" i="5"/>
  <c r="FF392" i="5"/>
  <c r="DG146" i="5"/>
  <c r="DX360" i="5"/>
  <c r="CL360" i="5" s="1"/>
  <c r="CE221" i="5"/>
  <c r="DX305" i="5"/>
  <c r="CL305" i="5" s="1"/>
  <c r="DX436" i="5"/>
  <c r="CL436" i="5" s="1"/>
  <c r="DH200" i="5"/>
  <c r="DG121" i="5"/>
  <c r="DG140" i="5"/>
  <c r="AW437" i="5"/>
  <c r="CH437" i="5" s="1"/>
  <c r="FF390" i="5"/>
  <c r="CT390" i="5"/>
  <c r="BF78" i="5"/>
  <c r="BH78" i="5" s="1"/>
  <c r="BG78" i="5"/>
  <c r="EN241" i="5"/>
  <c r="EO241" i="5" s="1"/>
  <c r="EP241" i="5" s="1"/>
  <c r="EN194" i="5"/>
  <c r="EO194" i="5" s="1"/>
  <c r="EP194" i="5" s="1"/>
  <c r="EN216" i="5"/>
  <c r="EO216" i="5" s="1"/>
  <c r="EP216" i="5" s="1"/>
  <c r="BV209" i="5"/>
  <c r="CC209" i="5" s="1"/>
  <c r="CE209" i="5" s="1"/>
  <c r="CJ209" i="5" s="1"/>
  <c r="EA92" i="5"/>
  <c r="EB92" i="5"/>
  <c r="AS197" i="5"/>
  <c r="BB197" i="5" s="1"/>
  <c r="DX291" i="5"/>
  <c r="CL291" i="5" s="1"/>
  <c r="CV452" i="5"/>
  <c r="FB452" i="5"/>
  <c r="DX423" i="5"/>
  <c r="CL423" i="5" s="1"/>
  <c r="FB438" i="5"/>
  <c r="CP438" i="5"/>
  <c r="EL219" i="5"/>
  <c r="EM219" i="5"/>
  <c r="DG219" i="5"/>
  <c r="CE243" i="5"/>
  <c r="CJ243" i="5" s="1"/>
  <c r="DG216" i="5"/>
  <c r="EL216" i="5"/>
  <c r="EM216" i="5"/>
  <c r="CP436" i="5"/>
  <c r="FB436" i="5"/>
  <c r="DG240" i="5"/>
  <c r="EN228" i="5"/>
  <c r="EO228" i="5" s="1"/>
  <c r="EP228" i="5" s="1"/>
  <c r="DX181" i="5"/>
  <c r="CL181" i="5" s="1"/>
  <c r="DX195" i="5"/>
  <c r="CL195" i="5" s="1"/>
  <c r="DX184" i="5"/>
  <c r="CL184" i="5" s="1"/>
  <c r="EG202" i="5"/>
  <c r="EJ202" i="5" s="1"/>
  <c r="EK202" i="5" s="1"/>
  <c r="EM202" i="5" s="1"/>
  <c r="EG220" i="5"/>
  <c r="EJ220" i="5" s="1"/>
  <c r="EK220" i="5" s="1"/>
  <c r="EL220" i="5" s="1"/>
  <c r="BI133" i="5"/>
  <c r="BJ133" i="5" s="1"/>
  <c r="EC133" i="5" s="1"/>
  <c r="EB133" i="5" s="1"/>
  <c r="DN241" i="5"/>
  <c r="BC241" i="5"/>
  <c r="BD241" i="5" s="1"/>
  <c r="DN177" i="5"/>
  <c r="BC177" i="5"/>
  <c r="BD177" i="5" s="1"/>
  <c r="AO173" i="5"/>
  <c r="AL173" i="5"/>
  <c r="AO171" i="5"/>
  <c r="AL171" i="5"/>
  <c r="BF69" i="5"/>
  <c r="BH69" i="5" s="1"/>
  <c r="BG69" i="5"/>
  <c r="AW283" i="5"/>
  <c r="CH283" i="5" s="1"/>
  <c r="CP389" i="5"/>
  <c r="FB389" i="5"/>
  <c r="FD201" i="5"/>
  <c r="CQ201" i="5"/>
  <c r="CV373" i="5"/>
  <c r="FB373" i="5"/>
  <c r="AW181" i="5"/>
  <c r="CH181" i="5" s="1"/>
  <c r="DN225" i="5"/>
  <c r="BC225" i="5"/>
  <c r="BD225" i="5" s="1"/>
  <c r="DN178" i="5"/>
  <c r="BC178" i="5"/>
  <c r="BD178" i="5" s="1"/>
  <c r="DN232" i="5"/>
  <c r="BC232" i="5"/>
  <c r="BD232" i="5" s="1"/>
  <c r="AO199" i="5"/>
  <c r="AL199" i="5"/>
  <c r="DN182" i="5"/>
  <c r="BC182" i="5"/>
  <c r="BD182" i="5" s="1"/>
  <c r="DN221" i="5"/>
  <c r="BC221" i="5"/>
  <c r="BD221" i="5" s="1"/>
  <c r="DN208" i="5"/>
  <c r="BC208" i="5"/>
  <c r="DN201" i="5"/>
  <c r="BC201" i="5"/>
  <c r="BD201" i="5" s="1"/>
  <c r="DN193" i="5"/>
  <c r="BC193" i="5"/>
  <c r="BD193" i="5" s="1"/>
  <c r="DL158" i="5"/>
  <c r="DM158" i="5" s="1"/>
  <c r="BC158" i="5"/>
  <c r="BD158" i="5" s="1"/>
  <c r="DN207" i="5"/>
  <c r="BC207" i="5"/>
  <c r="DN185" i="5"/>
  <c r="BC185" i="5"/>
  <c r="BD185" i="5" s="1"/>
  <c r="DL165" i="5"/>
  <c r="BC165" i="5"/>
  <c r="BD165" i="5" s="1"/>
  <c r="DN216" i="5"/>
  <c r="BC216" i="5"/>
  <c r="BD216" i="5" s="1"/>
  <c r="DN210" i="5"/>
  <c r="BC210" i="5"/>
  <c r="AT212" i="5"/>
  <c r="BB212" i="5"/>
  <c r="AT210" i="5"/>
  <c r="BB210" i="5"/>
  <c r="AJ176" i="5"/>
  <c r="AN176" i="5" s="1"/>
  <c r="DO176" i="5" s="1"/>
  <c r="AN175" i="5"/>
  <c r="DO175" i="5" s="1"/>
  <c r="AO201" i="5"/>
  <c r="AL201" i="5"/>
  <c r="AK175" i="5"/>
  <c r="DG204" i="5"/>
  <c r="AL196" i="5"/>
  <c r="AO196" i="5"/>
  <c r="AK111" i="5"/>
  <c r="FD231" i="5"/>
  <c r="CQ231" i="5"/>
  <c r="DX446" i="5"/>
  <c r="CL446" i="5" s="1"/>
  <c r="EL167" i="5"/>
  <c r="EM167" i="5"/>
  <c r="DG167" i="5"/>
  <c r="FF397" i="5"/>
  <c r="CT397" i="5"/>
  <c r="DX447" i="5"/>
  <c r="CL447" i="5" s="1"/>
  <c r="CW141" i="5"/>
  <c r="FD141" i="5"/>
  <c r="CV336" i="5"/>
  <c r="FB336" i="5"/>
  <c r="FB270" i="5"/>
  <c r="CP270" i="5"/>
  <c r="AW90" i="5"/>
  <c r="CH90" i="5" s="1"/>
  <c r="AW247" i="5"/>
  <c r="CH247" i="5" s="1"/>
  <c r="AW240" i="5"/>
  <c r="CH240" i="5" s="1"/>
  <c r="FA213" i="5"/>
  <c r="CU213" i="5"/>
  <c r="EN180" i="5"/>
  <c r="EO180" i="5" s="1"/>
  <c r="EP180" i="5" s="1"/>
  <c r="FC198" i="5"/>
  <c r="CR198" i="5"/>
  <c r="CO179" i="5"/>
  <c r="FA179" i="5"/>
  <c r="EN177" i="5"/>
  <c r="EO177" i="5" s="1"/>
  <c r="EP177" i="5" s="1"/>
  <c r="BV88" i="5"/>
  <c r="CC88" i="5" s="1"/>
  <c r="CE88" i="5" s="1"/>
  <c r="CJ88" i="5" s="1"/>
  <c r="CR69" i="5"/>
  <c r="FC69" i="5"/>
  <c r="DX404" i="5"/>
  <c r="CL404" i="5" s="1"/>
  <c r="FC90" i="5"/>
  <c r="CR90" i="5"/>
  <c r="EN186" i="5"/>
  <c r="EO186" i="5" s="1"/>
  <c r="EP186" i="5" s="1"/>
  <c r="FF410" i="5"/>
  <c r="CZ410" i="5"/>
  <c r="CV381" i="5"/>
  <c r="FB381" i="5"/>
  <c r="DG234" i="5"/>
  <c r="CT415" i="5"/>
  <c r="FF415" i="5"/>
  <c r="AW190" i="5"/>
  <c r="CH190" i="5" s="1"/>
  <c r="AW236" i="5"/>
  <c r="CH236" i="5" s="1"/>
  <c r="FA127" i="5"/>
  <c r="CO127" i="5"/>
  <c r="CO12" i="5" s="1"/>
  <c r="FA212" i="5"/>
  <c r="CU212" i="5"/>
  <c r="AS204" i="5"/>
  <c r="AT204" i="5" s="1"/>
  <c r="DK486" i="5"/>
  <c r="DL486" i="5" s="1"/>
  <c r="DM486" i="5" s="1"/>
  <c r="EL160" i="5"/>
  <c r="EM160" i="5"/>
  <c r="DG160" i="5"/>
  <c r="FF414" i="5"/>
  <c r="CT414" i="5"/>
  <c r="EQ490" i="5"/>
  <c r="ER490" i="5" s="1"/>
  <c r="ET146" i="5"/>
  <c r="CP317" i="5"/>
  <c r="FB317" i="5"/>
  <c r="DI492" i="5"/>
  <c r="DJ492" i="5"/>
  <c r="AW186" i="5"/>
  <c r="CH186" i="5" s="1"/>
  <c r="AW128" i="5"/>
  <c r="CH128" i="5" s="1"/>
  <c r="AW116" i="5"/>
  <c r="CH116" i="5" s="1"/>
  <c r="AW232" i="5"/>
  <c r="CO203" i="5"/>
  <c r="FA203" i="5"/>
  <c r="EN204" i="5"/>
  <c r="EO204" i="5" s="1"/>
  <c r="EP204" i="5" s="1"/>
  <c r="CO201" i="5"/>
  <c r="FA201" i="5"/>
  <c r="DN231" i="5"/>
  <c r="BC231" i="5"/>
  <c r="BD231" i="5" s="1"/>
  <c r="EN233" i="5"/>
  <c r="EO233" i="5" s="1"/>
  <c r="EP233" i="5" s="1"/>
  <c r="EN232" i="5"/>
  <c r="EO232" i="5" s="1"/>
  <c r="EP232" i="5" s="1"/>
  <c r="CE210" i="5"/>
  <c r="CJ210" i="5" s="1"/>
  <c r="CR60" i="5"/>
  <c r="FC60" i="5"/>
  <c r="AW230" i="5"/>
  <c r="EA93" i="5"/>
  <c r="EB93" i="5"/>
  <c r="FF316" i="5"/>
  <c r="CT316" i="5"/>
  <c r="DX300" i="5"/>
  <c r="CL300" i="5" s="1"/>
  <c r="CP356" i="5"/>
  <c r="FB356" i="5"/>
  <c r="DX279" i="5"/>
  <c r="CL279" i="5" s="1"/>
  <c r="CE218" i="5"/>
  <c r="FF339" i="5"/>
  <c r="CT339" i="5"/>
  <c r="DX373" i="5"/>
  <c r="CL373" i="5" s="1"/>
  <c r="CP406" i="5"/>
  <c r="FB406" i="5"/>
  <c r="DX302" i="5"/>
  <c r="CL302" i="5" s="1"/>
  <c r="DH196" i="5"/>
  <c r="AW185" i="5"/>
  <c r="CH185" i="5" s="1"/>
  <c r="FA200" i="5"/>
  <c r="CO200" i="5"/>
  <c r="EN170" i="5"/>
  <c r="EO170" i="5" s="1"/>
  <c r="EP170" i="5" s="1"/>
  <c r="CU191" i="5"/>
  <c r="FA191" i="5"/>
  <c r="BV197" i="5"/>
  <c r="CC197" i="5" s="1"/>
  <c r="CE197" i="5" s="1"/>
  <c r="CJ197" i="5" s="1"/>
  <c r="CZ429" i="5"/>
  <c r="FF429" i="5"/>
  <c r="DG232" i="5"/>
  <c r="FD187" i="5"/>
  <c r="CW187" i="5"/>
  <c r="DX292" i="5"/>
  <c r="CL292" i="5" s="1"/>
  <c r="DX267" i="5"/>
  <c r="CL267" i="5" s="1"/>
  <c r="CP447" i="5"/>
  <c r="FB447" i="5"/>
  <c r="CE172" i="5"/>
  <c r="CJ172" i="5" s="1"/>
  <c r="FA133" i="5"/>
  <c r="CO133" i="5"/>
  <c r="CO132" i="5"/>
  <c r="CO10" i="5" s="1"/>
  <c r="CO11" i="5" s="1"/>
  <c r="FA132" i="5"/>
  <c r="FA215" i="5"/>
  <c r="CO215" i="5"/>
  <c r="FA238" i="5"/>
  <c r="CO238" i="5"/>
  <c r="EN226" i="5"/>
  <c r="EO226" i="5" s="1"/>
  <c r="EP226" i="5" s="1"/>
  <c r="EN183" i="5"/>
  <c r="EO183" i="5"/>
  <c r="EP183" i="5" s="1"/>
  <c r="FF398" i="5"/>
  <c r="CZ398" i="5"/>
  <c r="DK473" i="5"/>
  <c r="DL473" i="5" s="1"/>
  <c r="DM473" i="5" s="1"/>
  <c r="CX250" i="5"/>
  <c r="FC250" i="5"/>
  <c r="DG118" i="5"/>
  <c r="DX118" i="5" s="1"/>
  <c r="DK479" i="5"/>
  <c r="DL479" i="5" s="1"/>
  <c r="DM479" i="5" s="1"/>
  <c r="CE169" i="5"/>
  <c r="CJ169" i="5" s="1"/>
  <c r="FB392" i="5"/>
  <c r="CV392" i="5"/>
  <c r="CW122" i="5"/>
  <c r="FD122" i="5"/>
  <c r="DG147" i="5"/>
  <c r="ET140" i="5"/>
  <c r="AS213" i="5"/>
  <c r="AT213" i="5" s="1"/>
  <c r="DH218" i="5"/>
  <c r="EN221" i="5"/>
  <c r="EO221" i="5" s="1"/>
  <c r="EP221" i="5" s="1"/>
  <c r="DH174" i="5"/>
  <c r="DI174" i="5" s="1"/>
  <c r="EN189" i="5"/>
  <c r="EO189" i="5" s="1"/>
  <c r="EP189" i="5" s="1"/>
  <c r="FF418" i="5"/>
  <c r="CZ418" i="5"/>
  <c r="CE170" i="5"/>
  <c r="CJ170" i="5" s="1"/>
  <c r="FF385" i="5"/>
  <c r="CT385" i="5"/>
  <c r="CV393" i="5"/>
  <c r="FB393" i="5"/>
  <c r="ET147" i="5"/>
  <c r="BX3" i="5"/>
  <c r="CV278" i="5"/>
  <c r="FB278" i="5"/>
  <c r="FD116" i="5"/>
  <c r="CQ116" i="5"/>
  <c r="CE191" i="5"/>
  <c r="CJ191" i="5" s="1"/>
  <c r="FF422" i="5"/>
  <c r="CZ422" i="5"/>
  <c r="AP160" i="5"/>
  <c r="AQ160" i="5" s="1"/>
  <c r="AW160" i="5"/>
  <c r="AW182" i="5"/>
  <c r="CH182" i="5" s="1"/>
  <c r="FD78" i="5"/>
  <c r="CQ78" i="5"/>
  <c r="BF94" i="5"/>
  <c r="BH94" i="5" s="1"/>
  <c r="BG94" i="5"/>
  <c r="FA241" i="5"/>
  <c r="CO241" i="5"/>
  <c r="CR66" i="5"/>
  <c r="FC66" i="5"/>
  <c r="ET135" i="5"/>
  <c r="FB427" i="5"/>
  <c r="CP427" i="5"/>
  <c r="DX178" i="5"/>
  <c r="CL178" i="5" s="1"/>
  <c r="CE226" i="5"/>
  <c r="DG132" i="5"/>
  <c r="AS199" i="5"/>
  <c r="BB199" i="5" s="1"/>
  <c r="DK217" i="5"/>
  <c r="BI117" i="5"/>
  <c r="BJ117" i="5" s="1"/>
  <c r="EC117" i="5" s="1"/>
  <c r="EB117" i="5" s="1"/>
  <c r="EV23" i="5"/>
  <c r="ER23" i="5"/>
  <c r="EG170" i="5"/>
  <c r="EJ170" i="5" s="1"/>
  <c r="EK170" i="5" s="1"/>
  <c r="FW120" i="5"/>
  <c r="AH109" i="5"/>
  <c r="AK109" i="5" s="1"/>
  <c r="FW119" i="5"/>
  <c r="AJ112" i="5"/>
  <c r="AN112" i="5" s="1"/>
  <c r="DO112" i="5" s="1"/>
  <c r="AJ203" i="5"/>
  <c r="AN203" i="5" s="1"/>
  <c r="DO203" i="5" s="1"/>
  <c r="AJ222" i="5"/>
  <c r="I110" i="5"/>
  <c r="N110" i="5" s="1"/>
  <c r="EA502" i="20" l="1"/>
  <c r="BW110" i="20"/>
  <c r="BX110" i="20" s="1"/>
  <c r="EQ110" i="20" s="1"/>
  <c r="EP110" i="20" s="1"/>
  <c r="CV9" i="21"/>
  <c r="CV8" i="21"/>
  <c r="DB17" i="21"/>
  <c r="DS23" i="21"/>
  <c r="CV16" i="21"/>
  <c r="CV17" i="21"/>
  <c r="FS64" i="21"/>
  <c r="CE4" i="21"/>
  <c r="DP196" i="21"/>
  <c r="DQ196" i="21" s="1"/>
  <c r="DR196" i="21" s="1"/>
  <c r="DF16" i="21"/>
  <c r="EA558" i="20"/>
  <c r="CY558" i="20"/>
  <c r="EA554" i="20"/>
  <c r="CY554" i="20"/>
  <c r="EA557" i="20"/>
  <c r="CY557" i="20"/>
  <c r="CY555" i="20"/>
  <c r="EA555" i="20"/>
  <c r="DG553" i="20"/>
  <c r="FS553" i="20"/>
  <c r="FU553" i="20" s="1"/>
  <c r="AL553" i="20"/>
  <c r="DG550" i="20"/>
  <c r="AL550" i="20"/>
  <c r="FS550" i="20"/>
  <c r="FU550" i="20" s="1"/>
  <c r="FS552" i="20"/>
  <c r="FU552" i="20" s="1"/>
  <c r="DG552" i="20"/>
  <c r="AL552" i="20"/>
  <c r="FS556" i="20"/>
  <c r="FU556" i="20" s="1"/>
  <c r="DG556" i="20"/>
  <c r="AL556" i="20"/>
  <c r="DE17" i="20"/>
  <c r="EA491" i="20"/>
  <c r="DE16" i="20"/>
  <c r="DE14" i="20"/>
  <c r="DE15" i="20" s="1"/>
  <c r="CX2" i="20"/>
  <c r="DE4" i="20"/>
  <c r="GA59" i="20"/>
  <c r="FJ20" i="20"/>
  <c r="EL20" i="20" s="1"/>
  <c r="FF106" i="20"/>
  <c r="EA106" i="20" s="1"/>
  <c r="GA62" i="20"/>
  <c r="GA56" i="20"/>
  <c r="GA57" i="20"/>
  <c r="FF23" i="20"/>
  <c r="DE3" i="20"/>
  <c r="DE1" i="20"/>
  <c r="DE2" i="20" s="1"/>
  <c r="DU109" i="20"/>
  <c r="EZ109" i="20"/>
  <c r="GA60" i="20"/>
  <c r="GA55" i="20"/>
  <c r="GA58" i="20"/>
  <c r="GA61" i="20"/>
  <c r="GA54" i="20"/>
  <c r="FJ22" i="20"/>
  <c r="EL22" i="20" s="1"/>
  <c r="FF21" i="20"/>
  <c r="ES111" i="21"/>
  <c r="ER111" i="21"/>
  <c r="DM111" i="21"/>
  <c r="DM108" i="21"/>
  <c r="ES108" i="21"/>
  <c r="ER108" i="21"/>
  <c r="EW108" i="21" s="1"/>
  <c r="CQ168" i="21"/>
  <c r="DS168" i="21"/>
  <c r="DS192" i="21"/>
  <c r="CQ192" i="21"/>
  <c r="FL270" i="21"/>
  <c r="DF270" i="21"/>
  <c r="DB306" i="21"/>
  <c r="FH306" i="21"/>
  <c r="CZ196" i="21"/>
  <c r="FL196" i="21"/>
  <c r="CZ336" i="21"/>
  <c r="FL336" i="21"/>
  <c r="DQ466" i="21"/>
  <c r="DR466" i="21" s="1"/>
  <c r="DS466" i="21" s="1"/>
  <c r="FL374" i="21"/>
  <c r="CZ374" i="21"/>
  <c r="FL425" i="21"/>
  <c r="DF425" i="21"/>
  <c r="FL320" i="21"/>
  <c r="CZ320" i="21"/>
  <c r="EW110" i="21"/>
  <c r="FB110" i="21" s="1"/>
  <c r="DO218" i="21"/>
  <c r="DP218" i="21"/>
  <c r="CN3" i="21"/>
  <c r="DF17" i="21"/>
  <c r="DF317" i="21"/>
  <c r="FL317" i="21"/>
  <c r="FL257" i="21"/>
  <c r="DF257" i="21"/>
  <c r="FL410" i="21"/>
  <c r="CZ410" i="21"/>
  <c r="FL431" i="21"/>
  <c r="DF431" i="21"/>
  <c r="CZ443" i="21"/>
  <c r="FL443" i="21"/>
  <c r="CZ396" i="21"/>
  <c r="FL396" i="21"/>
  <c r="FL413" i="21"/>
  <c r="DF413" i="21"/>
  <c r="FL387" i="21"/>
  <c r="DF387" i="21"/>
  <c r="DF14" i="21"/>
  <c r="DF15" i="21" s="1"/>
  <c r="FL440" i="21"/>
  <c r="DF440" i="21"/>
  <c r="FL310" i="21"/>
  <c r="DF310" i="21"/>
  <c r="FH383" i="21"/>
  <c r="DB383" i="21"/>
  <c r="CZ391" i="21"/>
  <c r="FL391" i="21"/>
  <c r="DF369" i="21"/>
  <c r="FL369" i="21"/>
  <c r="CE1" i="21"/>
  <c r="FL376" i="21"/>
  <c r="DF376" i="21"/>
  <c r="CZ408" i="21"/>
  <c r="FL408" i="21"/>
  <c r="FL330" i="21"/>
  <c r="DF330" i="21"/>
  <c r="CZ366" i="21"/>
  <c r="FL366" i="21"/>
  <c r="CZ249" i="21"/>
  <c r="FL249" i="21"/>
  <c r="FL265" i="21"/>
  <c r="DF265" i="21"/>
  <c r="FL204" i="21"/>
  <c r="CZ204" i="21"/>
  <c r="FL254" i="21"/>
  <c r="CZ254" i="21"/>
  <c r="FL288" i="21"/>
  <c r="CZ288" i="21"/>
  <c r="FH332" i="21"/>
  <c r="DB332" i="21"/>
  <c r="DF361" i="21"/>
  <c r="FL361" i="21"/>
  <c r="CZ416" i="21"/>
  <c r="FL416" i="21"/>
  <c r="DB270" i="21"/>
  <c r="FH270" i="21"/>
  <c r="CN14" i="21"/>
  <c r="CN15" i="21" s="1"/>
  <c r="DS106" i="21"/>
  <c r="FL411" i="21"/>
  <c r="CZ411" i="21"/>
  <c r="AR171" i="21"/>
  <c r="AU171" i="21"/>
  <c r="DN219" i="21"/>
  <c r="EM219" i="21"/>
  <c r="EP219" i="21" s="1"/>
  <c r="EQ219" i="21" s="1"/>
  <c r="CN1" i="21"/>
  <c r="FL309" i="21"/>
  <c r="DF309" i="21"/>
  <c r="ER218" i="21"/>
  <c r="ES218" i="21"/>
  <c r="FL428" i="21"/>
  <c r="CZ428" i="21"/>
  <c r="CV366" i="21"/>
  <c r="FH366" i="21"/>
  <c r="AP173" i="21"/>
  <c r="AT172" i="21"/>
  <c r="AQ172" i="21"/>
  <c r="FH435" i="21"/>
  <c r="CV435" i="21"/>
  <c r="DU171" i="21"/>
  <c r="AV171" i="21"/>
  <c r="AW171" i="21" s="1"/>
  <c r="CN16" i="21"/>
  <c r="DF263" i="21"/>
  <c r="FL263" i="21"/>
  <c r="DF276" i="21"/>
  <c r="FL276" i="21"/>
  <c r="DN170" i="21"/>
  <c r="EM170" i="21"/>
  <c r="EP170" i="21" s="1"/>
  <c r="EQ170" i="21" s="1"/>
  <c r="FL441" i="21"/>
  <c r="DF441" i="21"/>
  <c r="DF306" i="21"/>
  <c r="FL306" i="21"/>
  <c r="CZ350" i="21"/>
  <c r="FL350" i="21"/>
  <c r="EW195" i="21"/>
  <c r="EX195" i="21" s="1"/>
  <c r="DS195" i="21" s="1"/>
  <c r="FL384" i="21"/>
  <c r="DF384" i="21"/>
  <c r="CN4" i="21"/>
  <c r="CZ358" i="21"/>
  <c r="FL358" i="21"/>
  <c r="FL356" i="21"/>
  <c r="CZ356" i="21"/>
  <c r="DB14" i="21"/>
  <c r="DB15" i="21" s="1"/>
  <c r="FL383" i="21"/>
  <c r="DF383" i="21"/>
  <c r="DQ481" i="21"/>
  <c r="DR481" i="21" s="1"/>
  <c r="DS481" i="21" s="1"/>
  <c r="DF429" i="21"/>
  <c r="FL429" i="21"/>
  <c r="EW213" i="21"/>
  <c r="EX213" i="21" s="1"/>
  <c r="DF367" i="21"/>
  <c r="FL367" i="21"/>
  <c r="FL339" i="21"/>
  <c r="CZ339" i="21"/>
  <c r="CZ422" i="21"/>
  <c r="FL422" i="21"/>
  <c r="DR24" i="21"/>
  <c r="DS24" i="21" s="1"/>
  <c r="DQ166" i="21"/>
  <c r="DR166" i="21" s="1"/>
  <c r="FL364" i="21"/>
  <c r="CZ364" i="21"/>
  <c r="CR17" i="21"/>
  <c r="AU197" i="21"/>
  <c r="AR197" i="21"/>
  <c r="DU197" i="21"/>
  <c r="AV197" i="21"/>
  <c r="AW197" i="21" s="1"/>
  <c r="CR14" i="21"/>
  <c r="CR15" i="21" s="1"/>
  <c r="FL352" i="21"/>
  <c r="CZ352" i="21"/>
  <c r="DF318" i="21"/>
  <c r="FL318" i="21"/>
  <c r="ED22" i="21"/>
  <c r="DR22" i="21"/>
  <c r="DS22" i="21" s="1"/>
  <c r="FL334" i="21"/>
  <c r="DF334" i="21"/>
  <c r="DB404" i="21"/>
  <c r="FH404" i="21"/>
  <c r="AP199" i="21"/>
  <c r="AT198" i="21"/>
  <c r="AQ198" i="21"/>
  <c r="CZ347" i="21"/>
  <c r="FL347" i="21"/>
  <c r="FH428" i="21"/>
  <c r="CV428" i="21"/>
  <c r="FL205" i="21"/>
  <c r="CZ205" i="21"/>
  <c r="FH316" i="21"/>
  <c r="DB316" i="21"/>
  <c r="CZ287" i="21"/>
  <c r="FL287" i="21"/>
  <c r="AD194" i="21"/>
  <c r="FK194" i="21"/>
  <c r="FM194" i="21" s="1"/>
  <c r="CY194" i="21"/>
  <c r="CN17" i="21"/>
  <c r="FL332" i="21"/>
  <c r="DF332" i="21"/>
  <c r="CZ392" i="21"/>
  <c r="FL392" i="21"/>
  <c r="CZ329" i="21"/>
  <c r="FL329" i="21"/>
  <c r="FB104" i="21"/>
  <c r="DR104" i="21" s="1"/>
  <c r="EX104" i="21"/>
  <c r="EW166" i="21"/>
  <c r="EX166" i="21" s="1"/>
  <c r="FL291" i="21"/>
  <c r="DF291" i="21"/>
  <c r="DB16" i="21"/>
  <c r="AR112" i="21"/>
  <c r="AU112" i="21"/>
  <c r="DF305" i="21"/>
  <c r="FL305" i="21"/>
  <c r="DR469" i="21"/>
  <c r="DS469" i="21" s="1"/>
  <c r="DQ469" i="21"/>
  <c r="DF409" i="21"/>
  <c r="FL409" i="21"/>
  <c r="ES196" i="21"/>
  <c r="ER196" i="21"/>
  <c r="DU112" i="21"/>
  <c r="AV112" i="21"/>
  <c r="AW112" i="21" s="1"/>
  <c r="EW169" i="21"/>
  <c r="EX169" i="21" s="1"/>
  <c r="DS169" i="21" s="1"/>
  <c r="BO109" i="21"/>
  <c r="DF345" i="21"/>
  <c r="FL345" i="21"/>
  <c r="FK193" i="21"/>
  <c r="FM193" i="21" s="1"/>
  <c r="CY193" i="21"/>
  <c r="AD193" i="21"/>
  <c r="CR16" i="21"/>
  <c r="FL298" i="21"/>
  <c r="DF298" i="21"/>
  <c r="FL447" i="21"/>
  <c r="CZ447" i="21"/>
  <c r="FH408" i="21"/>
  <c r="CV408" i="21"/>
  <c r="FL426" i="21"/>
  <c r="CZ426" i="21"/>
  <c r="AU26" i="21"/>
  <c r="AR26" i="21"/>
  <c r="FH289" i="21"/>
  <c r="FQ53" i="21" s="1"/>
  <c r="CV289" i="21"/>
  <c r="CV3" i="21" s="1"/>
  <c r="DF301" i="21"/>
  <c r="FL301" i="21"/>
  <c r="FL273" i="21"/>
  <c r="DF273" i="21"/>
  <c r="FL368" i="21"/>
  <c r="CZ368" i="21"/>
  <c r="AP28" i="21"/>
  <c r="AT27" i="21"/>
  <c r="DU27" i="21" s="1"/>
  <c r="AQ27" i="21"/>
  <c r="DB296" i="21"/>
  <c r="DB4" i="21" s="1"/>
  <c r="FH296" i="21"/>
  <c r="FL388" i="21"/>
  <c r="DF388" i="21"/>
  <c r="FH336" i="21"/>
  <c r="CV336" i="21"/>
  <c r="ER26" i="21"/>
  <c r="ES26" i="21"/>
  <c r="DF394" i="21"/>
  <c r="FL394" i="21"/>
  <c r="AU220" i="21"/>
  <c r="AR220" i="21"/>
  <c r="FL414" i="21"/>
  <c r="DF414" i="21"/>
  <c r="FL321" i="21"/>
  <c r="DF321" i="21"/>
  <c r="FL380" i="21"/>
  <c r="CZ380" i="21"/>
  <c r="DF401" i="21"/>
  <c r="FL401" i="21"/>
  <c r="CZ312" i="21"/>
  <c r="FL312" i="21"/>
  <c r="ES25" i="21"/>
  <c r="ER25" i="21"/>
  <c r="FL406" i="21"/>
  <c r="DF406" i="21"/>
  <c r="DF267" i="21"/>
  <c r="FL267" i="21"/>
  <c r="FL284" i="21"/>
  <c r="DF284" i="21"/>
  <c r="FL418" i="21"/>
  <c r="DF418" i="21"/>
  <c r="CZ307" i="21"/>
  <c r="FL307" i="21"/>
  <c r="DU220" i="21"/>
  <c r="AV220" i="21"/>
  <c r="AW220" i="21" s="1"/>
  <c r="DF404" i="21"/>
  <c r="FL404" i="21"/>
  <c r="CQ195" i="21"/>
  <c r="DQ213" i="21"/>
  <c r="DR213" i="21" s="1"/>
  <c r="DQ493" i="21"/>
  <c r="DR493" i="21" s="1"/>
  <c r="DS493" i="21" s="1"/>
  <c r="DQ488" i="21"/>
  <c r="DR488" i="21"/>
  <c r="DS488" i="21" s="1"/>
  <c r="FL373" i="21"/>
  <c r="DF373" i="21"/>
  <c r="DF316" i="21"/>
  <c r="FL316" i="21"/>
  <c r="FL417" i="21"/>
  <c r="DF417" i="21"/>
  <c r="AT221" i="21"/>
  <c r="AP222" i="21"/>
  <c r="AQ221" i="21"/>
  <c r="CE3" i="21"/>
  <c r="DF297" i="21"/>
  <c r="FL297" i="21"/>
  <c r="DF415" i="21"/>
  <c r="FL415" i="21"/>
  <c r="FL333" i="21"/>
  <c r="CZ333" i="21"/>
  <c r="CV14" i="21"/>
  <c r="CV15" i="21" s="1"/>
  <c r="DF294" i="21"/>
  <c r="FL294" i="21"/>
  <c r="AP114" i="21"/>
  <c r="AT113" i="21"/>
  <c r="AQ113" i="21"/>
  <c r="DQ492" i="21"/>
  <c r="DR492" i="21" s="1"/>
  <c r="DS492" i="21" s="1"/>
  <c r="DQ496" i="21"/>
  <c r="DR496" i="21"/>
  <c r="DS496" i="21" s="1"/>
  <c r="FL398" i="21"/>
  <c r="DF398" i="21"/>
  <c r="DR470" i="21"/>
  <c r="DS470" i="21" s="1"/>
  <c r="DQ470" i="21"/>
  <c r="FL400" i="21"/>
  <c r="DF400" i="21"/>
  <c r="FL302" i="21"/>
  <c r="DF302" i="21"/>
  <c r="FH310" i="21"/>
  <c r="DB310" i="21"/>
  <c r="CZ405" i="21"/>
  <c r="FL405" i="21"/>
  <c r="DF379" i="21"/>
  <c r="FL379" i="21"/>
  <c r="AD169" i="21"/>
  <c r="DE169" i="21"/>
  <c r="FK169" i="21"/>
  <c r="FM169" i="21" s="1"/>
  <c r="FL359" i="21"/>
  <c r="DF359" i="21"/>
  <c r="DS165" i="21"/>
  <c r="CQ165" i="21"/>
  <c r="BP109" i="21"/>
  <c r="EI109" i="21" s="1"/>
  <c r="EH109" i="21" s="1"/>
  <c r="DF258" i="21"/>
  <c r="FL258" i="21"/>
  <c r="DB387" i="21"/>
  <c r="FH387" i="21"/>
  <c r="FL395" i="21"/>
  <c r="DF395" i="21"/>
  <c r="FL382" i="21"/>
  <c r="DF382" i="21"/>
  <c r="FL335" i="21"/>
  <c r="CZ335" i="21"/>
  <c r="CZ442" i="21"/>
  <c r="FL442" i="21"/>
  <c r="CZ438" i="21"/>
  <c r="FL438" i="21"/>
  <c r="DF325" i="21"/>
  <c r="FL325" i="21"/>
  <c r="EW105" i="21"/>
  <c r="EX105" i="21" s="1"/>
  <c r="FF24" i="20"/>
  <c r="CV4" i="20"/>
  <c r="CV14" i="20"/>
  <c r="CV15" i="20" s="1"/>
  <c r="FJ108" i="20"/>
  <c r="EL108" i="20" s="1"/>
  <c r="CZ17" i="20"/>
  <c r="FF105" i="20"/>
  <c r="EA105" i="20" s="1"/>
  <c r="DY473" i="20"/>
  <c r="DZ473" i="20" s="1"/>
  <c r="EA473" i="20" s="1"/>
  <c r="EQ164" i="5"/>
  <c r="EQ160" i="5"/>
  <c r="EP174" i="5"/>
  <c r="EQ174" i="5" s="1"/>
  <c r="ER174" i="5" s="1"/>
  <c r="BI91" i="5"/>
  <c r="BI105" i="5"/>
  <c r="EQ167" i="5"/>
  <c r="EQ166" i="5"/>
  <c r="BD210" i="5"/>
  <c r="EQ159" i="5"/>
  <c r="AK176" i="5"/>
  <c r="BI62" i="5"/>
  <c r="EQ196" i="5"/>
  <c r="EQ218" i="5"/>
  <c r="CR14" i="5"/>
  <c r="CR15" i="5" s="1"/>
  <c r="DL20" i="5"/>
  <c r="DM20" i="5" s="1"/>
  <c r="EQ165" i="5"/>
  <c r="BV109" i="5"/>
  <c r="CC109" i="5" s="1"/>
  <c r="CE109" i="5" s="1"/>
  <c r="EQ108" i="5"/>
  <c r="EQ157" i="5"/>
  <c r="EQ200" i="5"/>
  <c r="CX14" i="5"/>
  <c r="CX15" i="5" s="1"/>
  <c r="DN17" i="5"/>
  <c r="DN16" i="5" s="1"/>
  <c r="DN14" i="5" s="1"/>
  <c r="DN13" i="5" s="1"/>
  <c r="BD202" i="5"/>
  <c r="AP220" i="5"/>
  <c r="AQ220" i="5" s="1"/>
  <c r="EQ221" i="5"/>
  <c r="AW163" i="5"/>
  <c r="EQ161" i="5"/>
  <c r="DL217" i="5"/>
  <c r="EQ162" i="5"/>
  <c r="EQ219" i="5"/>
  <c r="ER219" i="5" s="1"/>
  <c r="FJ55" i="5"/>
  <c r="CQ13" i="5"/>
  <c r="FD203" i="5"/>
  <c r="CX10" i="5"/>
  <c r="CX11" i="5" s="1"/>
  <c r="EQ216" i="5"/>
  <c r="BI89" i="5"/>
  <c r="EQ197" i="5"/>
  <c r="BB208" i="5"/>
  <c r="BD208" i="5" s="1"/>
  <c r="DJ169" i="5"/>
  <c r="DK169" i="5" s="1"/>
  <c r="EQ111" i="5"/>
  <c r="EQ173" i="5"/>
  <c r="EQ199" i="5"/>
  <c r="AJ177" i="5"/>
  <c r="AN177" i="5" s="1"/>
  <c r="DO177" i="5" s="1"/>
  <c r="DH177" i="5" s="1"/>
  <c r="BD209" i="5"/>
  <c r="BI92" i="5"/>
  <c r="FA107" i="20"/>
  <c r="EZ107" i="20"/>
  <c r="DU107" i="20"/>
  <c r="DU112" i="20"/>
  <c r="FT351" i="20"/>
  <c r="DH351" i="20"/>
  <c r="FT239" i="20"/>
  <c r="DH239" i="20"/>
  <c r="FT350" i="20"/>
  <c r="DN350" i="20"/>
  <c r="FT433" i="20"/>
  <c r="DN433" i="20"/>
  <c r="DN295" i="20"/>
  <c r="FT295" i="20"/>
  <c r="FT240" i="20"/>
  <c r="DN240" i="20"/>
  <c r="DH281" i="20"/>
  <c r="FT281" i="20"/>
  <c r="DY489" i="20"/>
  <c r="DZ489" i="20" s="1"/>
  <c r="EA489" i="20" s="1"/>
  <c r="AX114" i="20"/>
  <c r="BB113" i="20"/>
  <c r="AY113" i="20"/>
  <c r="FT315" i="20"/>
  <c r="DH315" i="20"/>
  <c r="BC26" i="20"/>
  <c r="AZ26" i="20"/>
  <c r="FA110" i="20"/>
  <c r="EZ110" i="20"/>
  <c r="DU110" i="20"/>
  <c r="DN412" i="20"/>
  <c r="FT412" i="20"/>
  <c r="FT358" i="20"/>
  <c r="DH358" i="20"/>
  <c r="EL106" i="20"/>
  <c r="CV1" i="20"/>
  <c r="CV16" i="20"/>
  <c r="DY477" i="20"/>
  <c r="DZ477" i="20" s="1"/>
  <c r="EA477" i="20" s="1"/>
  <c r="DH316" i="20"/>
  <c r="FT316" i="20"/>
  <c r="FT293" i="20"/>
  <c r="DN293" i="20"/>
  <c r="DH280" i="20"/>
  <c r="FT280" i="20"/>
  <c r="FT381" i="20"/>
  <c r="DN381" i="20"/>
  <c r="FA111" i="20"/>
  <c r="EZ111" i="20"/>
  <c r="FT349" i="20"/>
  <c r="DN349" i="20"/>
  <c r="DD280" i="20"/>
  <c r="DD1" i="20" s="1"/>
  <c r="DD2" i="20" s="1"/>
  <c r="FP280" i="20"/>
  <c r="EU112" i="20"/>
  <c r="EX112" i="20" s="1"/>
  <c r="EY112" i="20" s="1"/>
  <c r="FA112" i="20" s="1"/>
  <c r="EU26" i="20"/>
  <c r="EX26" i="20" s="1"/>
  <c r="EY26" i="20" s="1"/>
  <c r="DH361" i="20"/>
  <c r="FT361" i="20"/>
  <c r="DY495" i="20"/>
  <c r="DZ495" i="20" s="1"/>
  <c r="EA495" i="20" s="1"/>
  <c r="FT441" i="20"/>
  <c r="DH441" i="20"/>
  <c r="FT431" i="20"/>
  <c r="DH431" i="20"/>
  <c r="FT401" i="20"/>
  <c r="DN401" i="20"/>
  <c r="DH334" i="20"/>
  <c r="FT334" i="20"/>
  <c r="DN294" i="20"/>
  <c r="FT294" i="20"/>
  <c r="FT199" i="20"/>
  <c r="DH199" i="20"/>
  <c r="DY474" i="20"/>
  <c r="DZ474" i="20" s="1"/>
  <c r="EA474" i="20" s="1"/>
  <c r="DN260" i="20"/>
  <c r="FT260" i="20"/>
  <c r="DN453" i="20"/>
  <c r="FT453" i="20"/>
  <c r="DN332" i="20"/>
  <c r="FT332" i="20"/>
  <c r="FT319" i="20"/>
  <c r="DN319" i="20"/>
  <c r="FT330" i="20"/>
  <c r="DH330" i="20"/>
  <c r="BB27" i="20"/>
  <c r="EC27" i="20" s="1"/>
  <c r="AX28" i="20"/>
  <c r="AY27" i="20"/>
  <c r="DH429" i="20"/>
  <c r="FT429" i="20"/>
  <c r="DY478" i="20"/>
  <c r="DZ478" i="20" s="1"/>
  <c r="EA478" i="20" s="1"/>
  <c r="FT213" i="20"/>
  <c r="DH213" i="20"/>
  <c r="DY490" i="20"/>
  <c r="DZ490" i="20" s="1"/>
  <c r="EA490" i="20" s="1"/>
  <c r="FT278" i="20"/>
  <c r="DN278" i="20"/>
  <c r="FT192" i="20"/>
  <c r="DN192" i="20"/>
  <c r="FP355" i="20"/>
  <c r="DJ355" i="20"/>
  <c r="FT248" i="20"/>
  <c r="DH248" i="20"/>
  <c r="FT407" i="20"/>
  <c r="DH407" i="20"/>
  <c r="DN253" i="20"/>
  <c r="FT253" i="20"/>
  <c r="DN371" i="20"/>
  <c r="FT371" i="20"/>
  <c r="FT268" i="20"/>
  <c r="DH268" i="20"/>
  <c r="DN410" i="20"/>
  <c r="FT410" i="20"/>
  <c r="DN439" i="20"/>
  <c r="FT439" i="20"/>
  <c r="DY484" i="20"/>
  <c r="DZ484" i="20" s="1"/>
  <c r="EA484" i="20" s="1"/>
  <c r="DH307" i="20"/>
  <c r="FT307" i="20"/>
  <c r="DH261" i="20"/>
  <c r="FT261" i="20"/>
  <c r="DH352" i="20"/>
  <c r="FT352" i="20"/>
  <c r="FT196" i="20"/>
  <c r="DH196" i="20"/>
  <c r="FT207" i="20"/>
  <c r="DH207" i="20"/>
  <c r="CM3" i="20"/>
  <c r="DN408" i="20"/>
  <c r="FT408" i="20"/>
  <c r="FT451" i="20"/>
  <c r="DH451" i="20"/>
  <c r="FS297" i="20"/>
  <c r="FU297" i="20" s="1"/>
  <c r="AL297" i="20"/>
  <c r="DG297" i="20"/>
  <c r="FX65" i="20"/>
  <c r="DY475" i="20"/>
  <c r="DZ475" i="20" s="1"/>
  <c r="EA475" i="20" s="1"/>
  <c r="EL21" i="20"/>
  <c r="DZ21" i="20"/>
  <c r="FT208" i="20"/>
  <c r="DH208" i="20"/>
  <c r="FT282" i="20"/>
  <c r="DN282" i="20"/>
  <c r="DN243" i="20"/>
  <c r="FT243" i="20"/>
  <c r="DN252" i="20"/>
  <c r="FT252" i="20"/>
  <c r="DH341" i="20"/>
  <c r="FT341" i="20"/>
  <c r="DH397" i="20"/>
  <c r="FT397" i="20"/>
  <c r="EA455" i="20"/>
  <c r="CY455" i="20"/>
  <c r="CV17" i="20"/>
  <c r="DN322" i="20"/>
  <c r="FT322" i="20"/>
  <c r="DH391" i="20"/>
  <c r="FT391" i="20"/>
  <c r="FT271" i="20"/>
  <c r="DH271" i="20"/>
  <c r="FT283" i="20"/>
  <c r="DH283" i="20"/>
  <c r="FZ65" i="20"/>
  <c r="FP322" i="20"/>
  <c r="DJ322" i="20"/>
  <c r="FT435" i="20"/>
  <c r="DH435" i="20"/>
  <c r="CZ16" i="20"/>
  <c r="CZ14" i="20"/>
  <c r="CZ15" i="20" s="1"/>
  <c r="DN355" i="20"/>
  <c r="FT355" i="20"/>
  <c r="EL23" i="20"/>
  <c r="DZ23" i="20"/>
  <c r="DD6" i="20"/>
  <c r="DD7" i="20" s="1"/>
  <c r="DY476" i="20"/>
  <c r="DZ476" i="20" s="1"/>
  <c r="EA476" i="20" s="1"/>
  <c r="FT372" i="20"/>
  <c r="DN372" i="20"/>
  <c r="FT376" i="20"/>
  <c r="DN376" i="20"/>
  <c r="DN337" i="20"/>
  <c r="FT337" i="20"/>
  <c r="CV3" i="20"/>
  <c r="FE25" i="20"/>
  <c r="FF25" i="20" s="1"/>
  <c r="DH287" i="20"/>
  <c r="FT287" i="20"/>
  <c r="DN288" i="20"/>
  <c r="FT288" i="20"/>
  <c r="DH262" i="20"/>
  <c r="FT262" i="20"/>
  <c r="DN434" i="20"/>
  <c r="FT434" i="20"/>
  <c r="DH185" i="20"/>
  <c r="FT185" i="20"/>
  <c r="DH189" i="20"/>
  <c r="FT189" i="20"/>
  <c r="FP366" i="20"/>
  <c r="DJ366" i="20"/>
  <c r="DN251" i="20"/>
  <c r="FT251" i="20"/>
  <c r="FT366" i="20"/>
  <c r="DN366" i="20"/>
  <c r="FT421" i="20"/>
  <c r="DH421" i="20"/>
  <c r="DH363" i="20"/>
  <c r="FT363" i="20"/>
  <c r="FT273" i="20"/>
  <c r="DH273" i="20"/>
  <c r="DN454" i="20"/>
  <c r="FT454" i="20"/>
  <c r="FT449" i="20"/>
  <c r="DH449" i="20"/>
  <c r="FT353" i="20"/>
  <c r="DH353" i="20"/>
  <c r="DD8" i="20"/>
  <c r="DY485" i="20"/>
  <c r="DZ485" i="20" s="1"/>
  <c r="EA485" i="20" s="1"/>
  <c r="FT323" i="20"/>
  <c r="DN323" i="20"/>
  <c r="DN393" i="20"/>
  <c r="FT393" i="20"/>
  <c r="DH242" i="20"/>
  <c r="FT242" i="20"/>
  <c r="FT445" i="20"/>
  <c r="DN445" i="20"/>
  <c r="CM4" i="20"/>
  <c r="CM1" i="20"/>
  <c r="FT256" i="20"/>
  <c r="DH256" i="20"/>
  <c r="DJ306" i="20"/>
  <c r="FP306" i="20"/>
  <c r="FT364" i="20"/>
  <c r="DN364" i="20"/>
  <c r="DY493" i="20"/>
  <c r="DZ493" i="20" s="1"/>
  <c r="EA493" i="20" s="1"/>
  <c r="DN279" i="20"/>
  <c r="FT279" i="20"/>
  <c r="DN414" i="20"/>
  <c r="FT414" i="20"/>
  <c r="FT210" i="20"/>
  <c r="DN210" i="20"/>
  <c r="DN184" i="20"/>
  <c r="FT184" i="20"/>
  <c r="DH331" i="20"/>
  <c r="FT331" i="20"/>
  <c r="DN394" i="20"/>
  <c r="FT394" i="20"/>
  <c r="FT360" i="20"/>
  <c r="DN360" i="20"/>
  <c r="DH373" i="20"/>
  <c r="FT373" i="20"/>
  <c r="DD9" i="20"/>
  <c r="FT318" i="20"/>
  <c r="DN318" i="20"/>
  <c r="DH404" i="20"/>
  <c r="FT404" i="20"/>
  <c r="FT284" i="20"/>
  <c r="DN284" i="20"/>
  <c r="FT194" i="20"/>
  <c r="DN194" i="20"/>
  <c r="FT375" i="20"/>
  <c r="DN375" i="20"/>
  <c r="DN348" i="20"/>
  <c r="FT348" i="20"/>
  <c r="DH291" i="20"/>
  <c r="FT291" i="20"/>
  <c r="DH266" i="20"/>
  <c r="FT266" i="20"/>
  <c r="DY488" i="20"/>
  <c r="DZ488" i="20" s="1"/>
  <c r="EA488" i="20" s="1"/>
  <c r="EL24" i="20"/>
  <c r="DZ24" i="20"/>
  <c r="FT340" i="20"/>
  <c r="DN340" i="20"/>
  <c r="DN270" i="20"/>
  <c r="FT270" i="20"/>
  <c r="DN325" i="20"/>
  <c r="FT325" i="20"/>
  <c r="BC112" i="20"/>
  <c r="AZ112" i="20"/>
  <c r="DY499" i="20"/>
  <c r="DZ499" i="20" s="1"/>
  <c r="EA499" i="20" s="1"/>
  <c r="FT425" i="20"/>
  <c r="DN425" i="20"/>
  <c r="DH339" i="20"/>
  <c r="FT339" i="20"/>
  <c r="DH447" i="20"/>
  <c r="FT447" i="20"/>
  <c r="EL105" i="20"/>
  <c r="DN326" i="20"/>
  <c r="FT326" i="20"/>
  <c r="DN191" i="20"/>
  <c r="FT191" i="20"/>
  <c r="DN374" i="20"/>
  <c r="FT374" i="20"/>
  <c r="DH403" i="20"/>
  <c r="FT403" i="20"/>
  <c r="AW200" i="5"/>
  <c r="CH200" i="5" s="1"/>
  <c r="AP200" i="5"/>
  <c r="AQ200" i="5" s="1"/>
  <c r="AW204" i="5"/>
  <c r="CH204" i="5" s="1"/>
  <c r="DG133" i="5"/>
  <c r="DG117" i="5"/>
  <c r="EP217" i="5"/>
  <c r="EQ217" i="5" s="1"/>
  <c r="ER217" i="5" s="1"/>
  <c r="DM217" i="5" s="1"/>
  <c r="AW213" i="5"/>
  <c r="CH213" i="5" s="1"/>
  <c r="AW206" i="5"/>
  <c r="CH206" i="5" s="1"/>
  <c r="EG177" i="5"/>
  <c r="EJ177" i="5" s="1"/>
  <c r="EK177" i="5" s="1"/>
  <c r="CZ178" i="5"/>
  <c r="FF178" i="5"/>
  <c r="DK492" i="5"/>
  <c r="DL492" i="5" s="1"/>
  <c r="DM492" i="5" s="1"/>
  <c r="CZ404" i="5"/>
  <c r="FF404" i="5"/>
  <c r="CP247" i="5"/>
  <c r="FB247" i="5"/>
  <c r="AL176" i="5"/>
  <c r="AO176" i="5"/>
  <c r="AW210" i="5"/>
  <c r="CH210" i="5" s="1"/>
  <c r="BB213" i="5"/>
  <c r="CQ209" i="5"/>
  <c r="FD209" i="5"/>
  <c r="CT436" i="5"/>
  <c r="FF436" i="5"/>
  <c r="FB170" i="5"/>
  <c r="CV170" i="5"/>
  <c r="AW218" i="5"/>
  <c r="AP218" i="5"/>
  <c r="AQ218" i="5" s="1"/>
  <c r="FD181" i="5"/>
  <c r="CW181" i="5"/>
  <c r="DK491" i="5"/>
  <c r="DL491" i="5" s="1"/>
  <c r="DM491" i="5" s="1"/>
  <c r="FF328" i="5"/>
  <c r="CT328" i="5"/>
  <c r="FF453" i="5"/>
  <c r="CZ453" i="5"/>
  <c r="CX17" i="5"/>
  <c r="CT194" i="5"/>
  <c r="FF194" i="5"/>
  <c r="FB292" i="5"/>
  <c r="CP292" i="5"/>
  <c r="FF355" i="5"/>
  <c r="CT355" i="5"/>
  <c r="FF338" i="5"/>
  <c r="CZ338" i="5"/>
  <c r="CV140" i="5"/>
  <c r="FB140" i="5"/>
  <c r="EL201" i="5"/>
  <c r="EQ201" i="5" s="1"/>
  <c r="FB176" i="5"/>
  <c r="CP176" i="5"/>
  <c r="FJ61" i="5"/>
  <c r="FJ54" i="5"/>
  <c r="CU3" i="5"/>
  <c r="CQ206" i="5"/>
  <c r="FD206" i="5"/>
  <c r="DX243" i="5"/>
  <c r="CL243" i="5" s="1"/>
  <c r="FF438" i="5"/>
  <c r="CT438" i="5"/>
  <c r="CQ207" i="5"/>
  <c r="FD207" i="5"/>
  <c r="FB76" i="5"/>
  <c r="CP76" i="5"/>
  <c r="ER165" i="5"/>
  <c r="DJ221" i="5"/>
  <c r="DX221" i="5"/>
  <c r="DI221" i="5"/>
  <c r="CV142" i="5"/>
  <c r="FB142" i="5"/>
  <c r="BV112" i="5"/>
  <c r="CC112" i="5" s="1"/>
  <c r="CE112" i="5" s="1"/>
  <c r="CT188" i="5"/>
  <c r="FF188" i="5"/>
  <c r="DG79" i="5"/>
  <c r="DK470" i="5"/>
  <c r="DL470" i="5" s="1"/>
  <c r="DM470" i="5" s="1"/>
  <c r="ER159" i="5"/>
  <c r="DG90" i="5"/>
  <c r="FB245" i="5"/>
  <c r="CP245" i="5"/>
  <c r="FF329" i="5"/>
  <c r="CZ329" i="5"/>
  <c r="AT196" i="5"/>
  <c r="BD211" i="5"/>
  <c r="DM156" i="5"/>
  <c r="FF336" i="5"/>
  <c r="CZ336" i="5"/>
  <c r="FD242" i="5"/>
  <c r="CQ242" i="5"/>
  <c r="DX226" i="5"/>
  <c r="CZ380" i="5"/>
  <c r="FF380" i="5"/>
  <c r="CP126" i="5"/>
  <c r="FB126" i="5"/>
  <c r="BI60" i="5"/>
  <c r="CZ266" i="5"/>
  <c r="FF266" i="5"/>
  <c r="CR16" i="5"/>
  <c r="AL105" i="5"/>
  <c r="AO105" i="5"/>
  <c r="DJ171" i="5"/>
  <c r="DJ172" i="5"/>
  <c r="DK172" i="5" s="1"/>
  <c r="DG78" i="5"/>
  <c r="CW91" i="5"/>
  <c r="FD91" i="5"/>
  <c r="CV256" i="5"/>
  <c r="FB256" i="5"/>
  <c r="DX228" i="5"/>
  <c r="CL228" i="5" s="1"/>
  <c r="DX212" i="5"/>
  <c r="CL212" i="5" s="1"/>
  <c r="DX215" i="5"/>
  <c r="CL215" i="5" s="1"/>
  <c r="CW10" i="5"/>
  <c r="CW11" i="5" s="1"/>
  <c r="CW12" i="5"/>
  <c r="CW13" i="5"/>
  <c r="CP117" i="5"/>
  <c r="FB117" i="5"/>
  <c r="FB138" i="5"/>
  <c r="CP138" i="5"/>
  <c r="AN222" i="5"/>
  <c r="AK222" i="5"/>
  <c r="AS107" i="5"/>
  <c r="AT107" i="5" s="1"/>
  <c r="AW107" i="5" s="1"/>
  <c r="AS112" i="5"/>
  <c r="AT112" i="5" s="1"/>
  <c r="AW112" i="5" s="1"/>
  <c r="FD210" i="5"/>
  <c r="CQ210" i="5"/>
  <c r="AL175" i="5"/>
  <c r="AO175" i="5"/>
  <c r="ER216" i="5"/>
  <c r="AK112" i="5"/>
  <c r="CZ359" i="5"/>
  <c r="FF359" i="5"/>
  <c r="CV386" i="5"/>
  <c r="FB386" i="5"/>
  <c r="BI79" i="5"/>
  <c r="BJ79" i="5" s="1"/>
  <c r="EC79" i="5" s="1"/>
  <c r="DK499" i="5"/>
  <c r="DL499" i="5" s="1"/>
  <c r="DM499" i="5" s="1"/>
  <c r="CZ331" i="5"/>
  <c r="FF331" i="5"/>
  <c r="CT176" i="5"/>
  <c r="FF176" i="5"/>
  <c r="DX250" i="5"/>
  <c r="CL250" i="5" s="1"/>
  <c r="CV91" i="5"/>
  <c r="FB91" i="5"/>
  <c r="DX209" i="5"/>
  <c r="CL209" i="5" s="1"/>
  <c r="ER196" i="5"/>
  <c r="AW214" i="5"/>
  <c r="CH214" i="5" s="1"/>
  <c r="BF107" i="5"/>
  <c r="BH107" i="5" s="1"/>
  <c r="BG107" i="5"/>
  <c r="AW211" i="5"/>
  <c r="CH211" i="5" s="1"/>
  <c r="BJ92" i="5"/>
  <c r="EC92" i="5" s="1"/>
  <c r="FJ60" i="5"/>
  <c r="AW229" i="5"/>
  <c r="CH229" i="5" s="1"/>
  <c r="CT353" i="5"/>
  <c r="FF353" i="5"/>
  <c r="CQ62" i="5"/>
  <c r="FD62" i="5"/>
  <c r="CZ361" i="5"/>
  <c r="FF361" i="5"/>
  <c r="DI199" i="5"/>
  <c r="DJ199" i="5"/>
  <c r="DX199" i="5"/>
  <c r="CL199" i="5" s="1"/>
  <c r="AT207" i="5"/>
  <c r="FF351" i="5"/>
  <c r="CT351" i="5"/>
  <c r="DX246" i="5"/>
  <c r="FB184" i="5"/>
  <c r="CV184" i="5"/>
  <c r="DX239" i="5"/>
  <c r="CL239" i="5" s="1"/>
  <c r="FB188" i="5"/>
  <c r="CP188" i="5"/>
  <c r="AW201" i="5"/>
  <c r="CH201" i="5" s="1"/>
  <c r="AP201" i="5"/>
  <c r="AQ201" i="5" s="1"/>
  <c r="BD197" i="5"/>
  <c r="AT205" i="5"/>
  <c r="FB361" i="5"/>
  <c r="CV361" i="5"/>
  <c r="CZ254" i="5"/>
  <c r="FF254" i="5"/>
  <c r="FF304" i="5"/>
  <c r="CT304" i="5"/>
  <c r="FB228" i="5"/>
  <c r="CP228" i="5"/>
  <c r="AW237" i="5"/>
  <c r="CH237" i="5" s="1"/>
  <c r="BB206" i="5"/>
  <c r="BD206" i="5" s="1"/>
  <c r="FF179" i="5"/>
  <c r="CT179" i="5"/>
  <c r="CR17" i="5"/>
  <c r="CV146" i="5"/>
  <c r="FB146" i="5"/>
  <c r="DG91" i="5"/>
  <c r="FF169" i="5"/>
  <c r="CT169" i="5"/>
  <c r="CG2" i="5"/>
  <c r="BX2" i="5"/>
  <c r="AP175" i="5"/>
  <c r="AQ175" i="5" s="1"/>
  <c r="FD244" i="5"/>
  <c r="CQ244" i="5"/>
  <c r="CV191" i="5"/>
  <c r="FB191" i="5"/>
  <c r="CZ419" i="5"/>
  <c r="FF419" i="5"/>
  <c r="FF362" i="5"/>
  <c r="CT362" i="5"/>
  <c r="DX214" i="5"/>
  <c r="CL214" i="5" s="1"/>
  <c r="BD214" i="5"/>
  <c r="BI90" i="5"/>
  <c r="FB248" i="5"/>
  <c r="CV248" i="5"/>
  <c r="ER198" i="5"/>
  <c r="FB130" i="5"/>
  <c r="CP130" i="5"/>
  <c r="ER111" i="5"/>
  <c r="EV111" i="5"/>
  <c r="DL111" i="5" s="1"/>
  <c r="DH203" i="5"/>
  <c r="DI203" i="5" s="1"/>
  <c r="EG203" i="5"/>
  <c r="EJ203" i="5" s="1"/>
  <c r="EK203" i="5" s="1"/>
  <c r="BI94" i="5"/>
  <c r="BJ94" i="5" s="1"/>
  <c r="EC94" i="5" s="1"/>
  <c r="CJ14" i="5"/>
  <c r="CJ15" i="5" s="1"/>
  <c r="CJ16" i="5"/>
  <c r="CJ17" i="5"/>
  <c r="FD169" i="5"/>
  <c r="CQ169" i="5"/>
  <c r="CP116" i="5"/>
  <c r="FB116" i="5"/>
  <c r="ER160" i="5"/>
  <c r="DX234" i="5"/>
  <c r="FF447" i="5"/>
  <c r="CT447" i="5"/>
  <c r="ER167" i="5"/>
  <c r="DM167" i="5" s="1"/>
  <c r="AL111" i="5"/>
  <c r="AO111" i="5"/>
  <c r="AW212" i="5"/>
  <c r="CH212" i="5" s="1"/>
  <c r="DM165" i="5"/>
  <c r="CP283" i="5"/>
  <c r="FB283" i="5"/>
  <c r="DI216" i="5"/>
  <c r="DJ216" i="5"/>
  <c r="DX216" i="5"/>
  <c r="CQ215" i="5"/>
  <c r="FD215" i="5"/>
  <c r="CT283" i="5"/>
  <c r="FF283" i="5"/>
  <c r="CQ93" i="5"/>
  <c r="FD93" i="5"/>
  <c r="DX244" i="5"/>
  <c r="CL244" i="5" s="1"/>
  <c r="ER157" i="5"/>
  <c r="BD215" i="5"/>
  <c r="FF299" i="5"/>
  <c r="CZ299" i="5"/>
  <c r="FD208" i="5"/>
  <c r="CQ208" i="5"/>
  <c r="CV310" i="5"/>
  <c r="FB310" i="5"/>
  <c r="DX222" i="5"/>
  <c r="FF272" i="5"/>
  <c r="CT272" i="5"/>
  <c r="DX206" i="5"/>
  <c r="CL206" i="5" s="1"/>
  <c r="AW209" i="5"/>
  <c r="CH209" i="5" s="1"/>
  <c r="DI201" i="5"/>
  <c r="DJ201" i="5"/>
  <c r="DX201" i="5"/>
  <c r="CL201" i="5" s="1"/>
  <c r="FD183" i="5"/>
  <c r="CQ183" i="5"/>
  <c r="FF342" i="5"/>
  <c r="CZ342" i="5"/>
  <c r="FJ62" i="5"/>
  <c r="DX225" i="5"/>
  <c r="CL225" i="5" s="1"/>
  <c r="CU4" i="5"/>
  <c r="CZ278" i="5"/>
  <c r="FF278" i="5"/>
  <c r="BI77" i="5"/>
  <c r="BJ77" i="5" s="1"/>
  <c r="EC77" i="5" s="1"/>
  <c r="BJ91" i="5"/>
  <c r="EC91" i="5" s="1"/>
  <c r="CZ444" i="5"/>
  <c r="FF444" i="5"/>
  <c r="FD199" i="5"/>
  <c r="CQ199" i="5"/>
  <c r="CP189" i="5"/>
  <c r="FB189" i="5"/>
  <c r="CP390" i="5"/>
  <c r="FB390" i="5"/>
  <c r="FF452" i="5"/>
  <c r="CZ452" i="5"/>
  <c r="ER221" i="5"/>
  <c r="DK469" i="5"/>
  <c r="DL469" i="5" s="1"/>
  <c r="DM469" i="5" s="1"/>
  <c r="DX203" i="5"/>
  <c r="CL203" i="5" s="1"/>
  <c r="DJ203" i="5"/>
  <c r="CV417" i="5"/>
  <c r="FB417" i="5"/>
  <c r="FB225" i="5"/>
  <c r="CP225" i="5"/>
  <c r="FD177" i="5"/>
  <c r="CW177" i="5"/>
  <c r="CT368" i="5"/>
  <c r="FF368" i="5"/>
  <c r="DX247" i="5"/>
  <c r="CL247" i="5" s="1"/>
  <c r="CP129" i="5"/>
  <c r="FB129" i="5"/>
  <c r="CZ327" i="5"/>
  <c r="FF327" i="5"/>
  <c r="FF289" i="5"/>
  <c r="CT289" i="5"/>
  <c r="FF290" i="5"/>
  <c r="CZ290" i="5"/>
  <c r="DG89" i="5"/>
  <c r="FF370" i="5"/>
  <c r="CT370" i="5"/>
  <c r="FF177" i="5"/>
  <c r="CZ177" i="5"/>
  <c r="FF171" i="5"/>
  <c r="CT171" i="5"/>
  <c r="DI197" i="5"/>
  <c r="DJ197" i="5"/>
  <c r="DX197" i="5"/>
  <c r="CL197" i="5" s="1"/>
  <c r="FB396" i="5"/>
  <c r="CP396" i="5"/>
  <c r="DJ174" i="5"/>
  <c r="FD66" i="5"/>
  <c r="CQ66" i="5"/>
  <c r="CO16" i="5"/>
  <c r="CO14" i="5"/>
  <c r="CO15" i="5" s="1"/>
  <c r="CO17" i="5"/>
  <c r="FD185" i="5"/>
  <c r="CQ185" i="5"/>
  <c r="FB175" i="5"/>
  <c r="CP175" i="5"/>
  <c r="DX227" i="5"/>
  <c r="CL227" i="5" s="1"/>
  <c r="CU14" i="5"/>
  <c r="CU15" i="5" s="1"/>
  <c r="CU17" i="5"/>
  <c r="CU16" i="5"/>
  <c r="CQ12" i="5"/>
  <c r="FF261" i="5"/>
  <c r="CZ261" i="5"/>
  <c r="FF312" i="5"/>
  <c r="CT312" i="5"/>
  <c r="BI76" i="5"/>
  <c r="BJ76" i="5" s="1"/>
  <c r="EC76" i="5" s="1"/>
  <c r="EL169" i="5"/>
  <c r="EM169" i="5"/>
  <c r="AT215" i="5"/>
  <c r="BJ90" i="5"/>
  <c r="EC90" i="5" s="1"/>
  <c r="FB239" i="5"/>
  <c r="CP239" i="5"/>
  <c r="CV147" i="5"/>
  <c r="FB147" i="5"/>
  <c r="EG112" i="5"/>
  <c r="EJ112" i="5" s="1"/>
  <c r="EK112" i="5" s="1"/>
  <c r="EL170" i="5"/>
  <c r="EM170" i="5"/>
  <c r="FF292" i="5"/>
  <c r="CT292" i="5"/>
  <c r="DG93" i="5"/>
  <c r="FD88" i="5"/>
  <c r="CQ88" i="5"/>
  <c r="FB90" i="5"/>
  <c r="CP90" i="5"/>
  <c r="CV181" i="5"/>
  <c r="FB181" i="5"/>
  <c r="BI69" i="5"/>
  <c r="BJ69" i="5" s="1"/>
  <c r="EC69" i="5" s="1"/>
  <c r="FF181" i="5"/>
  <c r="CZ181" i="5"/>
  <c r="DX240" i="5"/>
  <c r="CL240" i="5" s="1"/>
  <c r="CT291" i="5"/>
  <c r="FF291" i="5"/>
  <c r="CT360" i="5"/>
  <c r="FF360" i="5"/>
  <c r="FF288" i="5"/>
  <c r="CZ288" i="5"/>
  <c r="DK484" i="5"/>
  <c r="DL484" i="5" s="1"/>
  <c r="DM484" i="5" s="1"/>
  <c r="FB114" i="5"/>
  <c r="CP114" i="5"/>
  <c r="FB244" i="5"/>
  <c r="CP244" i="5"/>
  <c r="CT186" i="5"/>
  <c r="FF186" i="5"/>
  <c r="FF185" i="5"/>
  <c r="CT185" i="5"/>
  <c r="FD200" i="5"/>
  <c r="CQ200" i="5"/>
  <c r="FB92" i="5"/>
  <c r="CV92" i="5"/>
  <c r="FB242" i="5"/>
  <c r="CP242" i="5"/>
  <c r="AW233" i="5"/>
  <c r="DG62" i="5"/>
  <c r="FB194" i="5"/>
  <c r="CP194" i="5"/>
  <c r="DX235" i="5"/>
  <c r="CL235" i="5" s="1"/>
  <c r="BD196" i="5"/>
  <c r="CT337" i="5"/>
  <c r="FF337" i="5"/>
  <c r="DX233" i="5"/>
  <c r="FD189" i="5"/>
  <c r="CQ189" i="5"/>
  <c r="FJ58" i="5"/>
  <c r="CP179" i="5"/>
  <c r="FB179" i="5"/>
  <c r="CP434" i="5"/>
  <c r="FB434" i="5"/>
  <c r="CT326" i="5"/>
  <c r="FF326" i="5"/>
  <c r="CZ322" i="5"/>
  <c r="FF322" i="5"/>
  <c r="FF170" i="5"/>
  <c r="CZ170" i="5"/>
  <c r="AW203" i="5"/>
  <c r="CH203" i="5" s="1"/>
  <c r="AP203" i="5"/>
  <c r="AQ203" i="5" s="1"/>
  <c r="FB79" i="5"/>
  <c r="CP79" i="5"/>
  <c r="CO1" i="5"/>
  <c r="CO2" i="5" s="1"/>
  <c r="ER161" i="5"/>
  <c r="DM161" i="5" s="1"/>
  <c r="FB178" i="5"/>
  <c r="CV178" i="5"/>
  <c r="ER200" i="5"/>
  <c r="CV382" i="5"/>
  <c r="FB382" i="5"/>
  <c r="BD212" i="5"/>
  <c r="CP137" i="5"/>
  <c r="FB137" i="5"/>
  <c r="FF264" i="5"/>
  <c r="CT264" i="5"/>
  <c r="DX241" i="5"/>
  <c r="CL241" i="5" s="1"/>
  <c r="FF317" i="5"/>
  <c r="CT317" i="5"/>
  <c r="FD184" i="5"/>
  <c r="CW184" i="5"/>
  <c r="BI93" i="5"/>
  <c r="BJ93" i="5" s="1"/>
  <c r="EC93" i="5" s="1"/>
  <c r="CP66" i="5"/>
  <c r="FB66" i="5"/>
  <c r="CP132" i="5"/>
  <c r="FB132" i="5"/>
  <c r="DJ173" i="5"/>
  <c r="FF381" i="5"/>
  <c r="CZ381" i="5"/>
  <c r="DG94" i="5"/>
  <c r="FF268" i="5"/>
  <c r="CZ268" i="5"/>
  <c r="DK475" i="5"/>
  <c r="DL475" i="5" s="1"/>
  <c r="DM475" i="5" s="1"/>
  <c r="FD228" i="5"/>
  <c r="CQ228" i="5"/>
  <c r="FF306" i="5"/>
  <c r="CZ306" i="5"/>
  <c r="FB250" i="5"/>
  <c r="CV250" i="5"/>
  <c r="CZ192" i="5"/>
  <c r="FF192" i="5"/>
  <c r="CT174" i="5"/>
  <c r="FF174" i="5"/>
  <c r="FF448" i="5"/>
  <c r="CZ448" i="5"/>
  <c r="FB251" i="5"/>
  <c r="CV251" i="5"/>
  <c r="AW224" i="5"/>
  <c r="CH224" i="5" s="1"/>
  <c r="ER108" i="5"/>
  <c r="EV108" i="5"/>
  <c r="DL108" i="5" s="1"/>
  <c r="CQ10" i="5"/>
  <c r="CQ11" i="5" s="1"/>
  <c r="CW204" i="5"/>
  <c r="FD204" i="5"/>
  <c r="FB341" i="5"/>
  <c r="CV341" i="5"/>
  <c r="DX220" i="5"/>
  <c r="DI220" i="5"/>
  <c r="DJ220" i="5"/>
  <c r="BD199" i="5"/>
  <c r="ER106" i="5"/>
  <c r="EV106" i="5"/>
  <c r="DL106" i="5" s="1"/>
  <c r="DM106" i="5" s="1"/>
  <c r="FB94" i="5"/>
  <c r="CP94" i="5"/>
  <c r="FB141" i="5"/>
  <c r="CV141" i="5"/>
  <c r="DJ198" i="5"/>
  <c r="DX198" i="5"/>
  <c r="CL198" i="5" s="1"/>
  <c r="DI198" i="5"/>
  <c r="FB127" i="5"/>
  <c r="CP127" i="5"/>
  <c r="CP131" i="5"/>
  <c r="FB131" i="5"/>
  <c r="AL109" i="5"/>
  <c r="AO109" i="5"/>
  <c r="FD191" i="5"/>
  <c r="CW191" i="5"/>
  <c r="CQ172" i="5"/>
  <c r="FD172" i="5"/>
  <c r="DX232" i="5"/>
  <c r="CZ302" i="5"/>
  <c r="FF302" i="5"/>
  <c r="FB128" i="5"/>
  <c r="CP128" i="5"/>
  <c r="FB236" i="5"/>
  <c r="CP236" i="5"/>
  <c r="FF446" i="5"/>
  <c r="CT446" i="5"/>
  <c r="CZ184" i="5"/>
  <c r="FF184" i="5"/>
  <c r="FD243" i="5"/>
  <c r="CQ243" i="5"/>
  <c r="CT423" i="5"/>
  <c r="FF423" i="5"/>
  <c r="FF305" i="5"/>
  <c r="CZ305" i="5"/>
  <c r="FF343" i="5"/>
  <c r="CT343" i="5"/>
  <c r="DG69" i="5"/>
  <c r="FB192" i="5"/>
  <c r="CV192" i="5"/>
  <c r="DK485" i="5"/>
  <c r="DL485" i="5" s="1"/>
  <c r="DM485" i="5" s="1"/>
  <c r="BB204" i="5"/>
  <c r="FF451" i="5"/>
  <c r="CT451" i="5"/>
  <c r="FB372" i="5"/>
  <c r="CP372" i="5"/>
  <c r="FF285" i="5"/>
  <c r="CT285" i="5"/>
  <c r="AP177" i="5"/>
  <c r="AQ177" i="5" s="1"/>
  <c r="DX230" i="5"/>
  <c r="CZ334" i="5"/>
  <c r="FF334" i="5"/>
  <c r="CV413" i="5"/>
  <c r="FB413" i="5"/>
  <c r="FF271" i="5"/>
  <c r="CZ271" i="5"/>
  <c r="AL25" i="5"/>
  <c r="AO25" i="5"/>
  <c r="FD198" i="5"/>
  <c r="CQ198" i="5"/>
  <c r="FJ57" i="5"/>
  <c r="CV173" i="5"/>
  <c r="FB173" i="5"/>
  <c r="FB265" i="5"/>
  <c r="CP265" i="5"/>
  <c r="FF294" i="5"/>
  <c r="CT294" i="5"/>
  <c r="FD202" i="5"/>
  <c r="CQ202" i="5"/>
  <c r="CZ262" i="5"/>
  <c r="FF262" i="5"/>
  <c r="CP93" i="5"/>
  <c r="FB93" i="5"/>
  <c r="EQ24" i="5"/>
  <c r="ER24" i="5" s="1"/>
  <c r="BG112" i="5"/>
  <c r="BF112" i="5"/>
  <c r="BH112" i="5" s="1"/>
  <c r="AW193" i="5"/>
  <c r="CH193" i="5" s="1"/>
  <c r="AW234" i="5"/>
  <c r="FF377" i="5"/>
  <c r="CZ377" i="5"/>
  <c r="DJ200" i="5"/>
  <c r="DX200" i="5"/>
  <c r="CL200" i="5" s="1"/>
  <c r="DI200" i="5"/>
  <c r="FF269" i="5"/>
  <c r="CZ269" i="5"/>
  <c r="CV144" i="5"/>
  <c r="FB144" i="5"/>
  <c r="FB353" i="5"/>
  <c r="CP353" i="5"/>
  <c r="FB169" i="5"/>
  <c r="CP169" i="5"/>
  <c r="AK177" i="5"/>
  <c r="AW208" i="5"/>
  <c r="CH208" i="5" s="1"/>
  <c r="FF363" i="5"/>
  <c r="CZ363" i="5"/>
  <c r="FD237" i="5"/>
  <c r="CQ237" i="5"/>
  <c r="FF352" i="5"/>
  <c r="CT352" i="5"/>
  <c r="ER164" i="5"/>
  <c r="DM164" i="5" s="1"/>
  <c r="DX223" i="5"/>
  <c r="DX251" i="5"/>
  <c r="CL251" i="5" s="1"/>
  <c r="FF303" i="5"/>
  <c r="CT303" i="5"/>
  <c r="DG77" i="5"/>
  <c r="FF295" i="5"/>
  <c r="CZ295" i="5"/>
  <c r="DX207" i="5"/>
  <c r="CL207" i="5" s="1"/>
  <c r="CP409" i="5"/>
  <c r="FB409" i="5"/>
  <c r="FF350" i="5"/>
  <c r="CZ350" i="5"/>
  <c r="CT432" i="5"/>
  <c r="FF432" i="5"/>
  <c r="FF354" i="5"/>
  <c r="CT354" i="5"/>
  <c r="FF450" i="5"/>
  <c r="CT450" i="5"/>
  <c r="CV123" i="5"/>
  <c r="FB123" i="5"/>
  <c r="EM220" i="5"/>
  <c r="FD205" i="5"/>
  <c r="CW205" i="5"/>
  <c r="BB200" i="5"/>
  <c r="BD200" i="5" s="1"/>
  <c r="CP115" i="5"/>
  <c r="FB115" i="5"/>
  <c r="FB78" i="5"/>
  <c r="CP78" i="5"/>
  <c r="CH13" i="5"/>
  <c r="CH10" i="5"/>
  <c r="CH11" i="5" s="1"/>
  <c r="CH12" i="5"/>
  <c r="CP113" i="5"/>
  <c r="FB113" i="5"/>
  <c r="EL202" i="5"/>
  <c r="EQ202" i="5" s="1"/>
  <c r="DX23" i="5"/>
  <c r="DL23" i="5"/>
  <c r="DM23" i="5" s="1"/>
  <c r="FF300" i="5"/>
  <c r="CZ300" i="5"/>
  <c r="DX204" i="5"/>
  <c r="CL204" i="5" s="1"/>
  <c r="DH175" i="5"/>
  <c r="EG175" i="5"/>
  <c r="EJ175" i="5" s="1"/>
  <c r="EK175" i="5" s="1"/>
  <c r="FB437" i="5"/>
  <c r="CV437" i="5"/>
  <c r="ER162" i="5"/>
  <c r="DM162" i="5" s="1"/>
  <c r="FD235" i="5"/>
  <c r="CQ235" i="5"/>
  <c r="FD60" i="5"/>
  <c r="CQ60" i="5"/>
  <c r="FD180" i="5"/>
  <c r="CQ180" i="5"/>
  <c r="DX237" i="5"/>
  <c r="CL237" i="5" s="1"/>
  <c r="CP89" i="5"/>
  <c r="FB89" i="5"/>
  <c r="CP227" i="5"/>
  <c r="FB227" i="5"/>
  <c r="CV418" i="5"/>
  <c r="FB418" i="5"/>
  <c r="CP77" i="5"/>
  <c r="FB77" i="5"/>
  <c r="DK498" i="5"/>
  <c r="DL498" i="5" s="1"/>
  <c r="DM498" i="5" s="1"/>
  <c r="CV177" i="5"/>
  <c r="FB177" i="5"/>
  <c r="CT330" i="5"/>
  <c r="FF330" i="5"/>
  <c r="FF391" i="5"/>
  <c r="CZ391" i="5"/>
  <c r="EG25" i="5"/>
  <c r="EJ25" i="5" s="1"/>
  <c r="EK25" i="5" s="1"/>
  <c r="AK203" i="5"/>
  <c r="DK482" i="5"/>
  <c r="DL482" i="5" s="1"/>
  <c r="DM482" i="5" s="1"/>
  <c r="BV107" i="5"/>
  <c r="CC107" i="5" s="1"/>
  <c r="CE107" i="5" s="1"/>
  <c r="AW202" i="5"/>
  <c r="CH202" i="5" s="1"/>
  <c r="AP202" i="5"/>
  <c r="AQ202" i="5" s="1"/>
  <c r="FJ56" i="5"/>
  <c r="CZ301" i="5"/>
  <c r="FF301" i="5"/>
  <c r="DX242" i="5"/>
  <c r="CL242" i="5" s="1"/>
  <c r="CT253" i="5"/>
  <c r="FF253" i="5"/>
  <c r="DI218" i="5"/>
  <c r="DJ218" i="5"/>
  <c r="DX218" i="5"/>
  <c r="FB274" i="5"/>
  <c r="CV274" i="5"/>
  <c r="CZ323" i="5"/>
  <c r="FF323" i="5"/>
  <c r="DJ170" i="5"/>
  <c r="DK170" i="5" s="1"/>
  <c r="BD248" i="5"/>
  <c r="BD203" i="5"/>
  <c r="CX12" i="5"/>
  <c r="DG66" i="5"/>
  <c r="CO3" i="5"/>
  <c r="FF189" i="5"/>
  <c r="CT189" i="5"/>
  <c r="CZ341" i="5"/>
  <c r="FF341" i="5"/>
  <c r="FD186" i="5"/>
  <c r="CQ186" i="5"/>
  <c r="CT395" i="5"/>
  <c r="FF395" i="5"/>
  <c r="CZ182" i="5"/>
  <c r="FF182" i="5"/>
  <c r="FF445" i="5"/>
  <c r="CZ445" i="5"/>
  <c r="FF265" i="5"/>
  <c r="CT265" i="5"/>
  <c r="ER172" i="5"/>
  <c r="BI66" i="5"/>
  <c r="BJ66" i="5" s="1"/>
  <c r="EC66" i="5" s="1"/>
  <c r="DX236" i="5"/>
  <c r="CL236" i="5" s="1"/>
  <c r="DX229" i="5"/>
  <c r="CL229" i="5" s="1"/>
  <c r="CP370" i="5"/>
  <c r="FB370" i="5"/>
  <c r="CZ441" i="5"/>
  <c r="FF441" i="5"/>
  <c r="DX213" i="5"/>
  <c r="CL213" i="5" s="1"/>
  <c r="FF191" i="5"/>
  <c r="CZ191" i="5"/>
  <c r="FF183" i="5"/>
  <c r="CT183" i="5"/>
  <c r="CT287" i="5"/>
  <c r="FF287" i="5"/>
  <c r="CU13" i="5"/>
  <c r="CZ190" i="5"/>
  <c r="FF190" i="5"/>
  <c r="CP69" i="5"/>
  <c r="FB69" i="5"/>
  <c r="DG60" i="5"/>
  <c r="DK490" i="5"/>
  <c r="DL490" i="5" s="1"/>
  <c r="DM490" i="5" s="1"/>
  <c r="CZ367" i="5"/>
  <c r="FF367" i="5"/>
  <c r="CT358" i="5"/>
  <c r="FF358" i="5"/>
  <c r="BD213" i="5"/>
  <c r="BD205" i="5"/>
  <c r="CP134" i="5"/>
  <c r="FB134" i="5"/>
  <c r="DX210" i="5"/>
  <c r="CL210" i="5" s="1"/>
  <c r="CV122" i="5"/>
  <c r="FB122" i="5"/>
  <c r="CP136" i="5"/>
  <c r="FB136" i="5"/>
  <c r="CP135" i="5"/>
  <c r="FB135" i="5"/>
  <c r="CP139" i="5"/>
  <c r="FB139" i="5"/>
  <c r="AS109" i="5"/>
  <c r="AT109" i="5" s="1"/>
  <c r="AW109" i="5" s="1"/>
  <c r="FF279" i="5"/>
  <c r="CT279" i="5"/>
  <c r="FB186" i="5"/>
  <c r="CP186" i="5"/>
  <c r="FB190" i="5"/>
  <c r="CV190" i="5"/>
  <c r="DH176" i="5"/>
  <c r="EG176" i="5"/>
  <c r="EJ176" i="5" s="1"/>
  <c r="EK176" i="5" s="1"/>
  <c r="BD207" i="5"/>
  <c r="CO13" i="5"/>
  <c r="DX219" i="5"/>
  <c r="DI219" i="5"/>
  <c r="DJ219" i="5"/>
  <c r="DG92" i="5"/>
  <c r="AW238" i="5"/>
  <c r="CH238" i="5" s="1"/>
  <c r="FD179" i="5"/>
  <c r="CQ179" i="5"/>
  <c r="CZ449" i="5"/>
  <c r="FF449" i="5"/>
  <c r="BJ89" i="5"/>
  <c r="EC89" i="5" s="1"/>
  <c r="CQ211" i="5"/>
  <c r="FD211" i="5"/>
  <c r="CQ238" i="5"/>
  <c r="FD238" i="5"/>
  <c r="AT199" i="5"/>
  <c r="DM157" i="5"/>
  <c r="CX16" i="5"/>
  <c r="FF366" i="5"/>
  <c r="CT366" i="5"/>
  <c r="DX238" i="5"/>
  <c r="CL238" i="5" s="1"/>
  <c r="AJ27" i="5"/>
  <c r="AN26" i="5"/>
  <c r="DO26" i="5" s="1"/>
  <c r="AK26" i="5"/>
  <c r="AT197" i="5"/>
  <c r="FJ59" i="5"/>
  <c r="CP235" i="5"/>
  <c r="FB235" i="5"/>
  <c r="CV302" i="5"/>
  <c r="FB302" i="5"/>
  <c r="FF369" i="5"/>
  <c r="CZ369" i="5"/>
  <c r="BJ88" i="5"/>
  <c r="EC88" i="5" s="1"/>
  <c r="FD236" i="5"/>
  <c r="CQ236" i="5"/>
  <c r="AW198" i="5"/>
  <c r="CH198" i="5" s="1"/>
  <c r="AP198" i="5"/>
  <c r="AQ198" i="5" s="1"/>
  <c r="CT180" i="5"/>
  <c r="FF180" i="5"/>
  <c r="FD214" i="5"/>
  <c r="CQ214" i="5"/>
  <c r="CT175" i="5"/>
  <c r="FF175" i="5"/>
  <c r="CP183" i="5"/>
  <c r="FB183" i="5"/>
  <c r="BJ62" i="5"/>
  <c r="EC62" i="5" s="1"/>
  <c r="FF332" i="5"/>
  <c r="CT332" i="5"/>
  <c r="FF284" i="5"/>
  <c r="CZ284" i="5"/>
  <c r="DM159" i="5"/>
  <c r="CP195" i="5"/>
  <c r="FB195" i="5"/>
  <c r="DX249" i="5"/>
  <c r="CL249" i="5" s="1"/>
  <c r="FB249" i="5"/>
  <c r="CV249" i="5"/>
  <c r="EQ163" i="5"/>
  <c r="ER163" i="5" s="1"/>
  <c r="DM163" i="5" s="1"/>
  <c r="CV425" i="5"/>
  <c r="FB425" i="5"/>
  <c r="FF325" i="5"/>
  <c r="CZ325" i="5"/>
  <c r="DG76" i="5"/>
  <c r="FF173" i="5"/>
  <c r="CZ173" i="5"/>
  <c r="DK474" i="5"/>
  <c r="DL474" i="5" s="1"/>
  <c r="DM474" i="5" s="1"/>
  <c r="CP125" i="5"/>
  <c r="FB125" i="5"/>
  <c r="FB180" i="5"/>
  <c r="CP180" i="5"/>
  <c r="CV143" i="5"/>
  <c r="FB143" i="5"/>
  <c r="FD212" i="5"/>
  <c r="CW212" i="5"/>
  <c r="CT443" i="5"/>
  <c r="FF443" i="5"/>
  <c r="CT396" i="5"/>
  <c r="FF396" i="5"/>
  <c r="CV421" i="5"/>
  <c r="FB421" i="5"/>
  <c r="CU12" i="5"/>
  <c r="FF187" i="5"/>
  <c r="CZ187" i="5"/>
  <c r="FD241" i="5"/>
  <c r="CQ241" i="5"/>
  <c r="FD94" i="5"/>
  <c r="CQ94" i="5"/>
  <c r="FF293" i="5"/>
  <c r="CT293" i="5"/>
  <c r="FF286" i="5"/>
  <c r="CZ286" i="5"/>
  <c r="CP243" i="5"/>
  <c r="FB243" i="5"/>
  <c r="FB119" i="5"/>
  <c r="CV119" i="5"/>
  <c r="CP231" i="5"/>
  <c r="FB231" i="5"/>
  <c r="CV120" i="5"/>
  <c r="FB120" i="5"/>
  <c r="FB88" i="5"/>
  <c r="CP88" i="5"/>
  <c r="ER173" i="5"/>
  <c r="DJ202" i="5"/>
  <c r="DX202" i="5"/>
  <c r="CL202" i="5" s="1"/>
  <c r="DI202" i="5"/>
  <c r="FB133" i="5"/>
  <c r="CP133" i="5"/>
  <c r="FR110" i="5"/>
  <c r="FU110" i="5" s="1"/>
  <c r="AY110" i="5"/>
  <c r="AZ110" i="5" s="1"/>
  <c r="BL110" i="5"/>
  <c r="DT110" i="5" s="1"/>
  <c r="DV110" i="5" s="1"/>
  <c r="BT110" i="5"/>
  <c r="DY110" i="5"/>
  <c r="BE110" i="5"/>
  <c r="BU110" i="5"/>
  <c r="AN110" i="5"/>
  <c r="DO110" i="5" s="1"/>
  <c r="FB182" i="5"/>
  <c r="CV182" i="5"/>
  <c r="CW170" i="5"/>
  <c r="FD170" i="5"/>
  <c r="FF267" i="5"/>
  <c r="CZ267" i="5"/>
  <c r="FD197" i="5"/>
  <c r="CQ197" i="5"/>
  <c r="CP185" i="5"/>
  <c r="FB185" i="5"/>
  <c r="FF373" i="5"/>
  <c r="CZ373" i="5"/>
  <c r="CV240" i="5"/>
  <c r="FB240" i="5"/>
  <c r="FF195" i="5"/>
  <c r="CT195" i="5"/>
  <c r="BI78" i="5"/>
  <c r="BJ78" i="5" s="1"/>
  <c r="EC78" i="5" s="1"/>
  <c r="FB174" i="5"/>
  <c r="CP174" i="5"/>
  <c r="FB298" i="5"/>
  <c r="CV298" i="5"/>
  <c r="FB145" i="5"/>
  <c r="CV145" i="5"/>
  <c r="FD196" i="5"/>
  <c r="CQ196" i="5"/>
  <c r="CT411" i="5"/>
  <c r="FF411" i="5"/>
  <c r="DG88" i="5"/>
  <c r="DG205" i="5"/>
  <c r="ER166" i="5"/>
  <c r="DM166" i="5" s="1"/>
  <c r="FF308" i="5"/>
  <c r="CT308" i="5"/>
  <c r="AO221" i="5"/>
  <c r="AL221" i="5"/>
  <c r="DJ196" i="5"/>
  <c r="DX196" i="5"/>
  <c r="CL196" i="5" s="1"/>
  <c r="DI196" i="5"/>
  <c r="DK196" i="5" s="1"/>
  <c r="CV121" i="5"/>
  <c r="FB121" i="5"/>
  <c r="AL202" i="5"/>
  <c r="AO202" i="5"/>
  <c r="AP176" i="5"/>
  <c r="AQ176" i="5" s="1"/>
  <c r="DK493" i="5"/>
  <c r="DL493" i="5" s="1"/>
  <c r="DM493" i="5" s="1"/>
  <c r="DG127" i="5"/>
  <c r="DX231" i="5"/>
  <c r="CL231" i="5" s="1"/>
  <c r="DX224" i="5"/>
  <c r="CL224" i="5" s="1"/>
  <c r="ER218" i="5"/>
  <c r="DK488" i="5"/>
  <c r="DL488" i="5" s="1"/>
  <c r="DM488" i="5" s="1"/>
  <c r="CP60" i="5"/>
  <c r="FB60" i="5"/>
  <c r="ER199" i="5"/>
  <c r="BF109" i="5"/>
  <c r="BH109" i="5" s="1"/>
  <c r="BG109" i="5"/>
  <c r="FF193" i="5"/>
  <c r="CT193" i="5"/>
  <c r="FF442" i="5"/>
  <c r="CT442" i="5"/>
  <c r="DK471" i="5"/>
  <c r="DL471" i="5" s="1"/>
  <c r="DM471" i="5" s="1"/>
  <c r="EL171" i="5"/>
  <c r="EM171" i="5"/>
  <c r="FB433" i="5"/>
  <c r="CV433" i="5"/>
  <c r="AP219" i="5"/>
  <c r="AQ219" i="5" s="1"/>
  <c r="AW219" i="5"/>
  <c r="CT335" i="5"/>
  <c r="FF335" i="5"/>
  <c r="FB62" i="5"/>
  <c r="CP62" i="5"/>
  <c r="DX248" i="5"/>
  <c r="CL248" i="5" s="1"/>
  <c r="AW159" i="5"/>
  <c r="AP159" i="5"/>
  <c r="AQ159" i="5" s="1"/>
  <c r="DK495" i="5"/>
  <c r="DL495" i="5" s="1"/>
  <c r="DM495" i="5" s="1"/>
  <c r="DK500" i="5"/>
  <c r="DL500" i="5" s="1"/>
  <c r="DM500" i="5" s="1"/>
  <c r="CX4" i="5"/>
  <c r="CX9" i="5"/>
  <c r="CX3" i="5"/>
  <c r="CX1" i="5"/>
  <c r="CX2" i="5" s="1"/>
  <c r="CX6" i="5"/>
  <c r="CX7" i="5" s="1"/>
  <c r="CX8" i="5"/>
  <c r="FB172" i="5"/>
  <c r="CP172" i="5"/>
  <c r="BJ105" i="5"/>
  <c r="EC105" i="5" s="1"/>
  <c r="EB105" i="5" s="1"/>
  <c r="FF333" i="5"/>
  <c r="CT333" i="5"/>
  <c r="BJ60" i="5"/>
  <c r="EC60" i="5" s="1"/>
  <c r="FB241" i="5"/>
  <c r="CP241" i="5"/>
  <c r="DM160" i="5"/>
  <c r="ER197" i="5"/>
  <c r="EQ169" i="5"/>
  <c r="FF172" i="5"/>
  <c r="CT172" i="5"/>
  <c r="FD173" i="5"/>
  <c r="CW173" i="5"/>
  <c r="FB171" i="5"/>
  <c r="CP171" i="5"/>
  <c r="DX245" i="5"/>
  <c r="CL245" i="5" s="1"/>
  <c r="CZ296" i="5"/>
  <c r="FF296" i="5"/>
  <c r="CV187" i="5"/>
  <c r="FB187" i="5"/>
  <c r="DX208" i="5"/>
  <c r="CL208" i="5" s="1"/>
  <c r="DX211" i="5"/>
  <c r="CL211" i="5" s="1"/>
  <c r="BD204" i="5"/>
  <c r="FB124" i="5"/>
  <c r="CP124" i="5"/>
  <c r="AH110" i="5"/>
  <c r="AK110" i="5" s="1"/>
  <c r="AJ113" i="5"/>
  <c r="AJ204" i="5"/>
  <c r="AJ223" i="5"/>
  <c r="AJ178" i="5"/>
  <c r="DJ16" i="20" l="1"/>
  <c r="DJ14" i="20"/>
  <c r="DJ15" i="20" s="1"/>
  <c r="DJ17" i="20"/>
  <c r="DD17" i="20"/>
  <c r="DD14" i="20"/>
  <c r="DD15" i="20" s="1"/>
  <c r="DD16" i="20"/>
  <c r="CV1" i="21"/>
  <c r="CV2" i="21" s="1"/>
  <c r="FQ57" i="21"/>
  <c r="CZ14" i="21"/>
  <c r="CZ15" i="21" s="1"/>
  <c r="FQ60" i="21"/>
  <c r="FQ61" i="21"/>
  <c r="DB3" i="21"/>
  <c r="DG557" i="20"/>
  <c r="FS557" i="20"/>
  <c r="FU557" i="20" s="1"/>
  <c r="AL557" i="20"/>
  <c r="AL555" i="20"/>
  <c r="DG555" i="20"/>
  <c r="FS555" i="20"/>
  <c r="FU555" i="20" s="1"/>
  <c r="FS554" i="20"/>
  <c r="FU554" i="20" s="1"/>
  <c r="AL554" i="20"/>
  <c r="DG554" i="20"/>
  <c r="FS558" i="20"/>
  <c r="FU558" i="20" s="1"/>
  <c r="DM558" i="20"/>
  <c r="AL558" i="20"/>
  <c r="DZ20" i="20"/>
  <c r="EA20" i="20" s="1"/>
  <c r="EA23" i="20"/>
  <c r="DZ22" i="20"/>
  <c r="EA22" i="20" s="1"/>
  <c r="GA65" i="20"/>
  <c r="EA21" i="20"/>
  <c r="FE109" i="20"/>
  <c r="FJ109" i="20" s="1"/>
  <c r="DZ109" i="20" s="1"/>
  <c r="EA24" i="20"/>
  <c r="DZ108" i="20"/>
  <c r="EA108" i="20" s="1"/>
  <c r="DS213" i="21"/>
  <c r="CQ196" i="21"/>
  <c r="DR110" i="21"/>
  <c r="ED110" i="21"/>
  <c r="DS104" i="21"/>
  <c r="AR113" i="21"/>
  <c r="AU113" i="21"/>
  <c r="AT28" i="21"/>
  <c r="DU28" i="21" s="1"/>
  <c r="AP29" i="21"/>
  <c r="AQ28" i="21"/>
  <c r="FB105" i="21"/>
  <c r="ES219" i="21"/>
  <c r="ER219" i="21"/>
  <c r="DN112" i="21"/>
  <c r="EM112" i="21"/>
  <c r="EP112" i="21" s="1"/>
  <c r="EQ112" i="21" s="1"/>
  <c r="ED104" i="21"/>
  <c r="ER170" i="21"/>
  <c r="ES170" i="21"/>
  <c r="DO219" i="21"/>
  <c r="DP219" i="21"/>
  <c r="FQ56" i="21"/>
  <c r="AD195" i="21"/>
  <c r="CY195" i="21"/>
  <c r="FK195" i="21"/>
  <c r="FM195" i="21" s="1"/>
  <c r="EW196" i="21"/>
  <c r="EX196" i="21" s="1"/>
  <c r="DS196" i="21" s="1"/>
  <c r="DP170" i="21"/>
  <c r="DO170" i="21"/>
  <c r="DQ218" i="21"/>
  <c r="DR218" i="21" s="1"/>
  <c r="FB25" i="21"/>
  <c r="EW25" i="21"/>
  <c r="EX25" i="21" s="1"/>
  <c r="DB1" i="21"/>
  <c r="DB2" i="21" s="1"/>
  <c r="CZ16" i="21"/>
  <c r="CY168" i="21"/>
  <c r="FK168" i="21"/>
  <c r="FM168" i="21" s="1"/>
  <c r="AD168" i="21"/>
  <c r="EX110" i="21"/>
  <c r="DS166" i="21"/>
  <c r="CQ166" i="21"/>
  <c r="FK165" i="21"/>
  <c r="FM165" i="21" s="1"/>
  <c r="AD165" i="21"/>
  <c r="CY165" i="21"/>
  <c r="EM27" i="21"/>
  <c r="EP27" i="21" s="1"/>
  <c r="EQ27" i="21" s="1"/>
  <c r="FK192" i="21"/>
  <c r="FM192" i="21" s="1"/>
  <c r="AD192" i="21"/>
  <c r="CY192" i="21"/>
  <c r="FQ59" i="21"/>
  <c r="CZ17" i="21"/>
  <c r="DM109" i="21"/>
  <c r="ES109" i="21"/>
  <c r="EW109" i="21" s="1"/>
  <c r="ER109" i="21"/>
  <c r="DU198" i="21"/>
  <c r="AV198" i="21"/>
  <c r="AW198" i="21" s="1"/>
  <c r="AT199" i="21"/>
  <c r="AP200" i="21"/>
  <c r="AQ199" i="21"/>
  <c r="DU113" i="21"/>
  <c r="AV113" i="21"/>
  <c r="AW113" i="21" s="1"/>
  <c r="AP115" i="21"/>
  <c r="AT114" i="21"/>
  <c r="AQ114" i="21"/>
  <c r="DN220" i="21"/>
  <c r="EM220" i="21"/>
  <c r="EP220" i="21" s="1"/>
  <c r="EQ220" i="21" s="1"/>
  <c r="CV4" i="21"/>
  <c r="EX108" i="21"/>
  <c r="FB108" i="21"/>
  <c r="DR108" i="21" s="1"/>
  <c r="DS108" i="21" s="1"/>
  <c r="EW218" i="21"/>
  <c r="EX218" i="21" s="1"/>
  <c r="DN171" i="21"/>
  <c r="EM171" i="21"/>
  <c r="EP171" i="21" s="1"/>
  <c r="EQ171" i="21" s="1"/>
  <c r="ED108" i="21"/>
  <c r="FQ55" i="21"/>
  <c r="AU221" i="21"/>
  <c r="AR221" i="21"/>
  <c r="EW26" i="21"/>
  <c r="EX26" i="21" s="1"/>
  <c r="AU27" i="21"/>
  <c r="AR27" i="21"/>
  <c r="FQ54" i="21"/>
  <c r="DN197" i="21"/>
  <c r="EM197" i="21"/>
  <c r="EP197" i="21" s="1"/>
  <c r="EQ197" i="21" s="1"/>
  <c r="AU172" i="21"/>
  <c r="AR172" i="21"/>
  <c r="EX111" i="21"/>
  <c r="FB111" i="21"/>
  <c r="DR111" i="21" s="1"/>
  <c r="DU221" i="21"/>
  <c r="AV221" i="21"/>
  <c r="AW221" i="21" s="1"/>
  <c r="DU172" i="21"/>
  <c r="AV172" i="21"/>
  <c r="AW172" i="21" s="1"/>
  <c r="CN2" i="21"/>
  <c r="CE2" i="21"/>
  <c r="AP223" i="21"/>
  <c r="AT222" i="21"/>
  <c r="AQ222" i="21"/>
  <c r="AT173" i="21"/>
  <c r="AP174" i="21"/>
  <c r="AQ173" i="21"/>
  <c r="EW111" i="21"/>
  <c r="FQ58" i="21"/>
  <c r="AR198" i="21"/>
  <c r="AU198" i="21"/>
  <c r="DD3" i="20"/>
  <c r="FY57" i="20"/>
  <c r="FJ25" i="20"/>
  <c r="EL25" i="20" s="1"/>
  <c r="FE110" i="20"/>
  <c r="FJ110" i="20" s="1"/>
  <c r="DZ110" i="20" s="1"/>
  <c r="FE107" i="20"/>
  <c r="FJ107" i="20" s="1"/>
  <c r="DZ107" i="20" s="1"/>
  <c r="FY55" i="20"/>
  <c r="DH17" i="20"/>
  <c r="EZ112" i="20"/>
  <c r="FE112" i="20" s="1"/>
  <c r="FJ112" i="20" s="1"/>
  <c r="DJ1" i="20"/>
  <c r="DJ2" i="20" s="1"/>
  <c r="FY61" i="20"/>
  <c r="FY56" i="20"/>
  <c r="DJ4" i="20"/>
  <c r="DK216" i="5"/>
  <c r="DK200" i="5"/>
  <c r="DL200" i="5" s="1"/>
  <c r="DK201" i="5"/>
  <c r="EV24" i="5"/>
  <c r="DK198" i="5"/>
  <c r="DK199" i="5"/>
  <c r="DL199" i="5" s="1"/>
  <c r="DK221" i="5"/>
  <c r="DK218" i="5"/>
  <c r="DX108" i="5"/>
  <c r="DK203" i="5"/>
  <c r="DL203" i="5" s="1"/>
  <c r="DK219" i="5"/>
  <c r="DL219" i="5" s="1"/>
  <c r="DM219" i="5" s="1"/>
  <c r="DK197" i="5"/>
  <c r="DL169" i="5"/>
  <c r="CK169" i="5" s="1"/>
  <c r="DX106" i="5"/>
  <c r="DM108" i="5"/>
  <c r="FY62" i="20"/>
  <c r="DN14" i="20"/>
  <c r="DN15" i="20" s="1"/>
  <c r="DN17" i="20"/>
  <c r="DN16" i="20"/>
  <c r="DD4" i="20"/>
  <c r="AX115" i="20"/>
  <c r="BB114" i="20"/>
  <c r="AY114" i="20"/>
  <c r="DJ3" i="20"/>
  <c r="FA26" i="20"/>
  <c r="EZ26" i="20"/>
  <c r="FE111" i="20"/>
  <c r="FF111" i="20" s="1"/>
  <c r="AL455" i="20"/>
  <c r="DG455" i="20"/>
  <c r="FS455" i="20"/>
  <c r="FU455" i="20" s="1"/>
  <c r="FY59" i="20"/>
  <c r="BC27" i="20"/>
  <c r="AZ27" i="20"/>
  <c r="FY54" i="20"/>
  <c r="DH16" i="20"/>
  <c r="DH14" i="20"/>
  <c r="DH15" i="20" s="1"/>
  <c r="FY58" i="20"/>
  <c r="AX29" i="20"/>
  <c r="BB28" i="20"/>
  <c r="EC28" i="20" s="1"/>
  <c r="AY28" i="20"/>
  <c r="CV2" i="20"/>
  <c r="CM2" i="20"/>
  <c r="BC113" i="20"/>
  <c r="AZ113" i="20"/>
  <c r="FY60" i="20"/>
  <c r="EU27" i="20"/>
  <c r="EX27" i="20" s="1"/>
  <c r="EY27" i="20" s="1"/>
  <c r="EC113" i="20"/>
  <c r="BD113" i="20"/>
  <c r="BE113" i="20" s="1"/>
  <c r="BG110" i="5"/>
  <c r="BF110" i="5"/>
  <c r="BH110" i="5" s="1"/>
  <c r="AW197" i="5"/>
  <c r="CH197" i="5" s="1"/>
  <c r="AP197" i="5"/>
  <c r="AQ197" i="5" s="1"/>
  <c r="FF242" i="5"/>
  <c r="CT242" i="5"/>
  <c r="CZ204" i="5"/>
  <c r="FF204" i="5"/>
  <c r="FF235" i="5"/>
  <c r="CT235" i="5"/>
  <c r="CT201" i="5"/>
  <c r="FF201" i="5"/>
  <c r="FB212" i="5"/>
  <c r="CV212" i="5"/>
  <c r="CT214" i="5"/>
  <c r="FF214" i="5"/>
  <c r="BI107" i="5"/>
  <c r="DL221" i="5"/>
  <c r="DM221" i="5" s="1"/>
  <c r="DL172" i="5"/>
  <c r="DL170" i="5"/>
  <c r="CP200" i="5"/>
  <c r="FB200" i="5"/>
  <c r="CP198" i="5"/>
  <c r="FB198" i="5"/>
  <c r="AL26" i="5"/>
  <c r="AO26" i="5"/>
  <c r="AO203" i="5"/>
  <c r="AL203" i="5"/>
  <c r="CP13" i="5"/>
  <c r="CP12" i="5"/>
  <c r="CP10" i="5"/>
  <c r="CP11" i="5" s="1"/>
  <c r="CT200" i="5"/>
  <c r="FF200" i="5"/>
  <c r="CP193" i="5"/>
  <c r="FB193" i="5"/>
  <c r="BJ107" i="5"/>
  <c r="EC107" i="5" s="1"/>
  <c r="EB107" i="5" s="1"/>
  <c r="CZ212" i="5"/>
  <c r="FF212" i="5"/>
  <c r="DK171" i="5"/>
  <c r="DL171" i="5" s="1"/>
  <c r="EQ220" i="5"/>
  <c r="ER220" i="5" s="1"/>
  <c r="AN223" i="5"/>
  <c r="AK223" i="5"/>
  <c r="AN204" i="5"/>
  <c r="AK204" i="5"/>
  <c r="AS110" i="5"/>
  <c r="AT110" i="5" s="1"/>
  <c r="AW110" i="5" s="1"/>
  <c r="AN178" i="5"/>
  <c r="AK178" i="5"/>
  <c r="BI109" i="5"/>
  <c r="BJ109" i="5" s="1"/>
  <c r="EC109" i="5" s="1"/>
  <c r="EB109" i="5" s="1"/>
  <c r="FF231" i="5"/>
  <c r="CT231" i="5"/>
  <c r="DL196" i="5"/>
  <c r="BV110" i="5"/>
  <c r="CC110" i="5" s="1"/>
  <c r="CE110" i="5" s="1"/>
  <c r="EG26" i="5"/>
  <c r="EJ26" i="5" s="1"/>
  <c r="EK26" i="5" s="1"/>
  <c r="CT210" i="5"/>
  <c r="FF210" i="5"/>
  <c r="CT236" i="5"/>
  <c r="FF236" i="5"/>
  <c r="DL218" i="5"/>
  <c r="DM218" i="5" s="1"/>
  <c r="EL25" i="5"/>
  <c r="EM25" i="5"/>
  <c r="CP203" i="5"/>
  <c r="FB203" i="5"/>
  <c r="FF240" i="5"/>
  <c r="CZ240" i="5"/>
  <c r="DL197" i="5"/>
  <c r="FB237" i="5"/>
  <c r="CP237" i="5"/>
  <c r="FB229" i="5"/>
  <c r="CV229" i="5"/>
  <c r="CV9" i="5"/>
  <c r="CV8" i="5"/>
  <c r="CV6" i="5"/>
  <c r="CV7" i="5" s="1"/>
  <c r="AL112" i="5"/>
  <c r="AO112" i="5"/>
  <c r="FJ65" i="5"/>
  <c r="CV213" i="5"/>
  <c r="FB213" i="5"/>
  <c r="DK173" i="5"/>
  <c r="DL173" i="5" s="1"/>
  <c r="CT196" i="5"/>
  <c r="CT17" i="5" s="1"/>
  <c r="FF196" i="5"/>
  <c r="CW16" i="5"/>
  <c r="CW14" i="5"/>
  <c r="CW15" i="5" s="1"/>
  <c r="CW17" i="5"/>
  <c r="CV10" i="5"/>
  <c r="CV11" i="5" s="1"/>
  <c r="CV12" i="5"/>
  <c r="CV13" i="5"/>
  <c r="AJ28" i="5"/>
  <c r="AN27" i="5"/>
  <c r="DO27" i="5" s="1"/>
  <c r="AK27" i="5"/>
  <c r="FF207" i="5"/>
  <c r="CT207" i="5"/>
  <c r="FF251" i="5"/>
  <c r="CZ251" i="5"/>
  <c r="FB208" i="5"/>
  <c r="CP208" i="5"/>
  <c r="BI112" i="5"/>
  <c r="BJ112" i="5" s="1"/>
  <c r="EC112" i="5" s="1"/>
  <c r="EB112" i="5" s="1"/>
  <c r="DK220" i="5"/>
  <c r="DL220" i="5" s="1"/>
  <c r="DM220" i="5" s="1"/>
  <c r="AW215" i="5"/>
  <c r="CH215" i="5" s="1"/>
  <c r="FF227" i="5"/>
  <c r="CT227" i="5"/>
  <c r="FF203" i="5"/>
  <c r="CT203" i="5"/>
  <c r="DL201" i="5"/>
  <c r="CT244" i="5"/>
  <c r="FF244" i="5"/>
  <c r="DL216" i="5"/>
  <c r="DM216" i="5" s="1"/>
  <c r="EM203" i="5"/>
  <c r="EL203" i="5"/>
  <c r="FB214" i="5"/>
  <c r="CP214" i="5"/>
  <c r="FF250" i="5"/>
  <c r="CZ250" i="5"/>
  <c r="DX111" i="5"/>
  <c r="CW4" i="5"/>
  <c r="CW9" i="5"/>
  <c r="CW3" i="5"/>
  <c r="CW8" i="5"/>
  <c r="CW1" i="5"/>
  <c r="CW2" i="5" s="1"/>
  <c r="CW6" i="5"/>
  <c r="CW7" i="5" s="1"/>
  <c r="AW196" i="5"/>
  <c r="CH196" i="5" s="1"/>
  <c r="CH14" i="5" s="1"/>
  <c r="CH15" i="5" s="1"/>
  <c r="AP196" i="5"/>
  <c r="AQ196" i="5" s="1"/>
  <c r="FF243" i="5"/>
  <c r="CT243" i="5"/>
  <c r="EL177" i="5"/>
  <c r="EM177" i="5"/>
  <c r="CT208" i="5"/>
  <c r="FF208" i="5"/>
  <c r="FF249" i="5"/>
  <c r="CZ249" i="5"/>
  <c r="FF238" i="5"/>
  <c r="CT238" i="5"/>
  <c r="AW199" i="5"/>
  <c r="CH199" i="5" s="1"/>
  <c r="AP199" i="5"/>
  <c r="AQ199" i="5" s="1"/>
  <c r="FF237" i="5"/>
  <c r="CT237" i="5"/>
  <c r="AL177" i="5"/>
  <c r="AO177" i="5"/>
  <c r="DL198" i="5"/>
  <c r="FB224" i="5"/>
  <c r="CP224" i="5"/>
  <c r="CP209" i="5"/>
  <c r="FB209" i="5"/>
  <c r="AW205" i="5"/>
  <c r="CH205" i="5" s="1"/>
  <c r="CT239" i="5"/>
  <c r="FF239" i="5"/>
  <c r="DI177" i="5"/>
  <c r="DJ177" i="5"/>
  <c r="CV204" i="5"/>
  <c r="FB204" i="5"/>
  <c r="AN113" i="5"/>
  <c r="AK113" i="5"/>
  <c r="DG105" i="5"/>
  <c r="EL105" i="5"/>
  <c r="EM105" i="5"/>
  <c r="DX205" i="5"/>
  <c r="CL205" i="5" s="1"/>
  <c r="CT202" i="5"/>
  <c r="FF202" i="5"/>
  <c r="FF213" i="5"/>
  <c r="CZ213" i="5"/>
  <c r="FF229" i="5"/>
  <c r="CZ229" i="5"/>
  <c r="CP202" i="5"/>
  <c r="FB202" i="5"/>
  <c r="EM175" i="5"/>
  <c r="EL175" i="5"/>
  <c r="CT198" i="5"/>
  <c r="FF198" i="5"/>
  <c r="ER169" i="5"/>
  <c r="DM169" i="5" s="1"/>
  <c r="FF247" i="5"/>
  <c r="CT247" i="5"/>
  <c r="CQ16" i="5"/>
  <c r="CQ14" i="5"/>
  <c r="CQ15" i="5" s="1"/>
  <c r="CQ17" i="5"/>
  <c r="DM111" i="5"/>
  <c r="CP211" i="5"/>
  <c r="FB211" i="5"/>
  <c r="FF209" i="5"/>
  <c r="CT209" i="5"/>
  <c r="AO222" i="5"/>
  <c r="AL222" i="5"/>
  <c r="CT228" i="5"/>
  <c r="FF228" i="5"/>
  <c r="FF211" i="5"/>
  <c r="CT211" i="5"/>
  <c r="FF245" i="5"/>
  <c r="CT245" i="5"/>
  <c r="CZ248" i="5"/>
  <c r="FF248" i="5"/>
  <c r="EG110" i="5"/>
  <c r="EJ110" i="5" s="1"/>
  <c r="EK110" i="5" s="1"/>
  <c r="DK202" i="5"/>
  <c r="DL202" i="5" s="1"/>
  <c r="EM176" i="5"/>
  <c r="EL176" i="5"/>
  <c r="DJ175" i="5"/>
  <c r="DI175" i="5"/>
  <c r="DX24" i="5"/>
  <c r="DL24" i="5"/>
  <c r="DM24" i="5" s="1"/>
  <c r="CT206" i="5"/>
  <c r="FF206" i="5"/>
  <c r="AW207" i="5"/>
  <c r="CH207" i="5" s="1"/>
  <c r="DO222" i="5"/>
  <c r="AP222" i="5"/>
  <c r="AQ222" i="5" s="1"/>
  <c r="ER201" i="5"/>
  <c r="DK174" i="5"/>
  <c r="DL174" i="5" s="1"/>
  <c r="AL110" i="5"/>
  <c r="AO110" i="5"/>
  <c r="CT224" i="5"/>
  <c r="FF224" i="5"/>
  <c r="FB238" i="5"/>
  <c r="CP238" i="5"/>
  <c r="DI176" i="5"/>
  <c r="DJ176" i="5"/>
  <c r="ER202" i="5"/>
  <c r="CH17" i="5"/>
  <c r="FF241" i="5"/>
  <c r="CT241" i="5"/>
  <c r="FF197" i="5"/>
  <c r="CT197" i="5"/>
  <c r="FF225" i="5"/>
  <c r="CT225" i="5"/>
  <c r="FE169" i="5"/>
  <c r="FG169" i="5" s="1"/>
  <c r="CS169" i="5"/>
  <c r="CP201" i="5"/>
  <c r="FB201" i="5"/>
  <c r="CT199" i="5"/>
  <c r="FF199" i="5"/>
  <c r="FF215" i="5"/>
  <c r="CT215" i="5"/>
  <c r="FB210" i="5"/>
  <c r="CP210" i="5"/>
  <c r="FB206" i="5"/>
  <c r="CP206" i="5"/>
  <c r="EQ170" i="5"/>
  <c r="ER170" i="5" s="1"/>
  <c r="EQ171" i="5"/>
  <c r="ER171" i="5" s="1"/>
  <c r="AJ114" i="5"/>
  <c r="AJ205" i="5"/>
  <c r="AJ224" i="5"/>
  <c r="AJ179" i="5"/>
  <c r="FF110" i="20" l="1"/>
  <c r="EA110" i="20" s="1"/>
  <c r="DS111" i="21"/>
  <c r="FQ64" i="21"/>
  <c r="FF109" i="20"/>
  <c r="EA109" i="20" s="1"/>
  <c r="EL109" i="20"/>
  <c r="DZ25" i="20"/>
  <c r="EA25" i="20" s="1"/>
  <c r="FF107" i="20"/>
  <c r="EA107" i="20" s="1"/>
  <c r="DS218" i="21"/>
  <c r="DU114" i="21"/>
  <c r="AV114" i="21"/>
  <c r="AW114" i="21" s="1"/>
  <c r="ER197" i="21"/>
  <c r="ES197" i="21"/>
  <c r="AP116" i="21"/>
  <c r="AT115" i="21"/>
  <c r="AQ115" i="21"/>
  <c r="DQ219" i="21"/>
  <c r="DR219" i="21" s="1"/>
  <c r="DS219" i="21" s="1"/>
  <c r="DP197" i="21"/>
  <c r="DO197" i="21"/>
  <c r="DE166" i="21"/>
  <c r="AD166" i="21"/>
  <c r="FK166" i="21"/>
  <c r="FM166" i="21" s="1"/>
  <c r="DN113" i="21"/>
  <c r="EM113" i="21"/>
  <c r="EP113" i="21" s="1"/>
  <c r="EQ113" i="21" s="1"/>
  <c r="EW170" i="21"/>
  <c r="EX170" i="21" s="1"/>
  <c r="DN221" i="21"/>
  <c r="EM221" i="21"/>
  <c r="EP221" i="21" s="1"/>
  <c r="EQ221" i="21" s="1"/>
  <c r="ER220" i="21"/>
  <c r="ES220" i="21"/>
  <c r="AR114" i="21"/>
  <c r="AU114" i="21"/>
  <c r="ES112" i="21"/>
  <c r="ER112" i="21"/>
  <c r="DU199" i="21"/>
  <c r="AV199" i="21"/>
  <c r="AW199" i="21" s="1"/>
  <c r="DP112" i="21"/>
  <c r="DO112" i="21"/>
  <c r="EW219" i="21"/>
  <c r="EX219" i="21" s="1"/>
  <c r="FB26" i="21"/>
  <c r="DR105" i="21"/>
  <c r="DS105" i="21" s="1"/>
  <c r="ED105" i="21"/>
  <c r="DP220" i="21"/>
  <c r="DO220" i="21"/>
  <c r="AR199" i="21"/>
  <c r="AU199" i="21"/>
  <c r="AP201" i="21"/>
  <c r="AT200" i="21"/>
  <c r="AQ200" i="21"/>
  <c r="ED111" i="21"/>
  <c r="DN198" i="21"/>
  <c r="EM198" i="21"/>
  <c r="EP198" i="21" s="1"/>
  <c r="EQ198" i="21" s="1"/>
  <c r="AU173" i="21"/>
  <c r="AR173" i="21"/>
  <c r="FB109" i="21"/>
  <c r="DR109" i="21" s="1"/>
  <c r="DS109" i="21" s="1"/>
  <c r="EX109" i="21"/>
  <c r="AT174" i="21"/>
  <c r="AP175" i="21"/>
  <c r="AQ174" i="21"/>
  <c r="AU28" i="21"/>
  <c r="AR28" i="21"/>
  <c r="ED25" i="21"/>
  <c r="DR25" i="21"/>
  <c r="DS25" i="21" s="1"/>
  <c r="EM28" i="21"/>
  <c r="EP28" i="21" s="1"/>
  <c r="EQ28" i="21" s="1"/>
  <c r="DU222" i="21"/>
  <c r="AV222" i="21"/>
  <c r="AW222" i="21" s="1"/>
  <c r="DP171" i="21"/>
  <c r="DO171" i="21"/>
  <c r="DS110" i="21"/>
  <c r="AP30" i="21"/>
  <c r="AT29" i="21"/>
  <c r="DU29" i="21" s="1"/>
  <c r="AQ29" i="21"/>
  <c r="AP224" i="21"/>
  <c r="AT223" i="21"/>
  <c r="AQ223" i="21"/>
  <c r="ES171" i="21"/>
  <c r="ER171" i="21"/>
  <c r="DQ170" i="21"/>
  <c r="DR170" i="21"/>
  <c r="DN172" i="21"/>
  <c r="EM172" i="21"/>
  <c r="EP172" i="21" s="1"/>
  <c r="EQ172" i="21" s="1"/>
  <c r="AD196" i="21"/>
  <c r="CY196" i="21"/>
  <c r="FK196" i="21"/>
  <c r="FM196" i="21" s="1"/>
  <c r="DU173" i="21"/>
  <c r="AV173" i="21"/>
  <c r="AW173" i="21" s="1"/>
  <c r="AU222" i="21"/>
  <c r="AR222" i="21"/>
  <c r="ES27" i="21"/>
  <c r="ER27" i="21"/>
  <c r="FJ111" i="20"/>
  <c r="EL111" i="20" s="1"/>
  <c r="DZ112" i="20"/>
  <c r="EL112" i="20"/>
  <c r="BC28" i="20"/>
  <c r="AZ28" i="20"/>
  <c r="FY65" i="20"/>
  <c r="EL107" i="20"/>
  <c r="FF112" i="20"/>
  <c r="EL110" i="20"/>
  <c r="EU28" i="20"/>
  <c r="EX28" i="20" s="1"/>
  <c r="EY28" i="20" s="1"/>
  <c r="FA27" i="20"/>
  <c r="EZ27" i="20"/>
  <c r="AX30" i="20"/>
  <c r="BB29" i="20"/>
  <c r="EC29" i="20" s="1"/>
  <c r="AY29" i="20"/>
  <c r="FE26" i="20"/>
  <c r="FJ26" i="20" s="1"/>
  <c r="AZ114" i="20"/>
  <c r="BC114" i="20"/>
  <c r="EC114" i="20"/>
  <c r="BD114" i="20"/>
  <c r="BE114" i="20" s="1"/>
  <c r="DV113" i="20"/>
  <c r="EU113" i="20"/>
  <c r="EX113" i="20" s="1"/>
  <c r="EY113" i="20" s="1"/>
  <c r="AX116" i="20"/>
  <c r="BB115" i="20"/>
  <c r="AY115" i="20"/>
  <c r="DM171" i="5"/>
  <c r="CK171" i="5"/>
  <c r="DM174" i="5"/>
  <c r="CK174" i="5"/>
  <c r="EL112" i="5"/>
  <c r="DG112" i="5"/>
  <c r="EM112" i="5"/>
  <c r="DM173" i="5"/>
  <c r="CK173" i="5"/>
  <c r="DG109" i="5"/>
  <c r="EL109" i="5"/>
  <c r="EM109" i="5"/>
  <c r="AN205" i="5"/>
  <c r="AK205" i="5"/>
  <c r="CZ205" i="5"/>
  <c r="FF205" i="5"/>
  <c r="AL113" i="5"/>
  <c r="AO113" i="5"/>
  <c r="DM198" i="5"/>
  <c r="CK198" i="5"/>
  <c r="EV25" i="5"/>
  <c r="EQ25" i="5"/>
  <c r="ER25" i="5" s="1"/>
  <c r="EL26" i="5"/>
  <c r="EM26" i="5"/>
  <c r="AL223" i="5"/>
  <c r="AO223" i="5"/>
  <c r="CP197" i="5"/>
  <c r="FB197" i="5"/>
  <c r="DO113" i="5"/>
  <c r="AP113" i="5"/>
  <c r="AQ113" i="5" s="1"/>
  <c r="FB205" i="5"/>
  <c r="CV205" i="5"/>
  <c r="CV4" i="5" s="1"/>
  <c r="DM201" i="5"/>
  <c r="CK201" i="5"/>
  <c r="DM197" i="5"/>
  <c r="CK197" i="5"/>
  <c r="DO223" i="5"/>
  <c r="AP223" i="5"/>
  <c r="AQ223" i="5" s="1"/>
  <c r="DK175" i="5"/>
  <c r="DL175" i="5" s="1"/>
  <c r="DH222" i="5"/>
  <c r="EG222" i="5"/>
  <c r="EJ222" i="5" s="1"/>
  <c r="EK222" i="5" s="1"/>
  <c r="EQ175" i="5"/>
  <c r="ER175" i="5" s="1"/>
  <c r="CL17" i="5"/>
  <c r="DM199" i="5"/>
  <c r="CK199" i="5"/>
  <c r="AL178" i="5"/>
  <c r="AO178" i="5"/>
  <c r="DG107" i="5"/>
  <c r="EL107" i="5"/>
  <c r="EM107" i="5"/>
  <c r="DM200" i="5"/>
  <c r="CK200" i="5"/>
  <c r="BI110" i="5"/>
  <c r="BJ110" i="5" s="1"/>
  <c r="EC110" i="5" s="1"/>
  <c r="EB110" i="5" s="1"/>
  <c r="DM202" i="5"/>
  <c r="CK202" i="5"/>
  <c r="EQ177" i="5"/>
  <c r="ER177" i="5" s="1"/>
  <c r="CL16" i="5"/>
  <c r="AO27" i="5"/>
  <c r="AL27" i="5"/>
  <c r="CV1" i="5"/>
  <c r="CV2" i="5" s="1"/>
  <c r="DO178" i="5"/>
  <c r="AP178" i="5"/>
  <c r="AQ178" i="5" s="1"/>
  <c r="CT16" i="5"/>
  <c r="AN114" i="5"/>
  <c r="AK114" i="5"/>
  <c r="DL176" i="5"/>
  <c r="DK176" i="5"/>
  <c r="CP207" i="5"/>
  <c r="FB207" i="5"/>
  <c r="EQ203" i="5"/>
  <c r="ER203" i="5" s="1"/>
  <c r="DM203" i="5" s="1"/>
  <c r="EG27" i="5"/>
  <c r="EJ27" i="5" s="1"/>
  <c r="EK27" i="5" s="1"/>
  <c r="CT14" i="5"/>
  <c r="CT15" i="5" s="1"/>
  <c r="EQ176" i="5"/>
  <c r="ER176" i="5" s="1"/>
  <c r="CL14" i="5"/>
  <c r="CL15" i="5" s="1"/>
  <c r="DK177" i="5"/>
  <c r="DL177" i="5"/>
  <c r="CK203" i="5"/>
  <c r="AJ29" i="5"/>
  <c r="AN28" i="5"/>
  <c r="DO28" i="5" s="1"/>
  <c r="AK28" i="5"/>
  <c r="CV3" i="5"/>
  <c r="AN179" i="5"/>
  <c r="AK179" i="5"/>
  <c r="CV14" i="5"/>
  <c r="CV15" i="5" s="1"/>
  <c r="CP199" i="5"/>
  <c r="FB199" i="5"/>
  <c r="CP215" i="5"/>
  <c r="FB215" i="5"/>
  <c r="DM196" i="5"/>
  <c r="CK196" i="5"/>
  <c r="AL204" i="5"/>
  <c r="AO204" i="5"/>
  <c r="DM170" i="5"/>
  <c r="CK170" i="5"/>
  <c r="AN224" i="5"/>
  <c r="AK224" i="5"/>
  <c r="CV17" i="5"/>
  <c r="EQ105" i="5"/>
  <c r="ER105" i="5" s="1"/>
  <c r="FB196" i="5"/>
  <c r="CP196" i="5"/>
  <c r="CH16" i="5"/>
  <c r="DO204" i="5"/>
  <c r="AP204" i="5"/>
  <c r="AQ204" i="5" s="1"/>
  <c r="DM172" i="5"/>
  <c r="CK172" i="5"/>
  <c r="AJ115" i="5"/>
  <c r="AJ206" i="5"/>
  <c r="AJ225" i="5"/>
  <c r="AJ180" i="5"/>
  <c r="M53" i="5"/>
  <c r="M54" i="5"/>
  <c r="M55" i="5"/>
  <c r="M56" i="5"/>
  <c r="M57" i="5"/>
  <c r="M58" i="5"/>
  <c r="M59" i="5"/>
  <c r="M61" i="5"/>
  <c r="M63" i="5"/>
  <c r="M64" i="5"/>
  <c r="M65" i="5"/>
  <c r="M67" i="5"/>
  <c r="M68" i="5"/>
  <c r="M70" i="5"/>
  <c r="M71" i="5"/>
  <c r="M72" i="5"/>
  <c r="M73" i="5"/>
  <c r="M74" i="5"/>
  <c r="M75" i="5"/>
  <c r="M80" i="5"/>
  <c r="M81" i="5"/>
  <c r="M82" i="5"/>
  <c r="M83" i="5"/>
  <c r="M84" i="5"/>
  <c r="M85" i="5"/>
  <c r="M86" i="5"/>
  <c r="M87" i="5"/>
  <c r="J53" i="5"/>
  <c r="DS53" i="5" s="1"/>
  <c r="J54" i="5"/>
  <c r="DS54" i="5" s="1"/>
  <c r="J55" i="5"/>
  <c r="DS55" i="5" s="1"/>
  <c r="J56" i="5"/>
  <c r="DS56" i="5" s="1"/>
  <c r="J57" i="5"/>
  <c r="DS57" i="5" s="1"/>
  <c r="J58" i="5"/>
  <c r="DS58" i="5" s="1"/>
  <c r="J59" i="5"/>
  <c r="DS59" i="5" s="1"/>
  <c r="J61" i="5"/>
  <c r="DS61" i="5" s="1"/>
  <c r="J63" i="5"/>
  <c r="DS63" i="5" s="1"/>
  <c r="J64" i="5"/>
  <c r="DS64" i="5" s="1"/>
  <c r="J65" i="5"/>
  <c r="DS65" i="5" s="1"/>
  <c r="J67" i="5"/>
  <c r="DS67" i="5" s="1"/>
  <c r="J68" i="5"/>
  <c r="DS68" i="5" s="1"/>
  <c r="J70" i="5"/>
  <c r="DS70" i="5" s="1"/>
  <c r="J71" i="5"/>
  <c r="DS71" i="5" s="1"/>
  <c r="J72" i="5"/>
  <c r="DS72" i="5" s="1"/>
  <c r="J73" i="5"/>
  <c r="DS73" i="5" s="1"/>
  <c r="J74" i="5"/>
  <c r="DS74" i="5" s="1"/>
  <c r="J75" i="5"/>
  <c r="DS75" i="5" s="1"/>
  <c r="J80" i="5"/>
  <c r="DS80" i="5" s="1"/>
  <c r="J81" i="5"/>
  <c r="DS81" i="5" s="1"/>
  <c r="J82" i="5"/>
  <c r="DS82" i="5" s="1"/>
  <c r="J83" i="5"/>
  <c r="DS83" i="5" s="1"/>
  <c r="J84" i="5"/>
  <c r="DS84" i="5" s="1"/>
  <c r="J85" i="5"/>
  <c r="DS85" i="5" s="1"/>
  <c r="J86" i="5"/>
  <c r="DS86" i="5" s="1"/>
  <c r="J87" i="5"/>
  <c r="DS87" i="5" s="1"/>
  <c r="DZ111" i="20" l="1"/>
  <c r="EA111" i="20" s="1"/>
  <c r="EW220" i="21"/>
  <c r="EX220" i="21" s="1"/>
  <c r="AT30" i="21"/>
  <c r="DU30" i="21" s="1"/>
  <c r="AP31" i="21"/>
  <c r="AQ30" i="21"/>
  <c r="ER221" i="21"/>
  <c r="ES221" i="21"/>
  <c r="AT201" i="21"/>
  <c r="AP202" i="21"/>
  <c r="AQ201" i="21"/>
  <c r="DP221" i="21"/>
  <c r="DO221" i="21"/>
  <c r="DQ171" i="21"/>
  <c r="DR171" i="21" s="1"/>
  <c r="DU200" i="21"/>
  <c r="AV200" i="21"/>
  <c r="AW200" i="21" s="1"/>
  <c r="EW27" i="21"/>
  <c r="FB27" i="21" s="1"/>
  <c r="ES113" i="21"/>
  <c r="ER113" i="21"/>
  <c r="DN222" i="21"/>
  <c r="EM222" i="21"/>
  <c r="EP222" i="21" s="1"/>
  <c r="EQ222" i="21" s="1"/>
  <c r="DP113" i="21"/>
  <c r="DO113" i="21"/>
  <c r="AT224" i="21"/>
  <c r="AP225" i="21"/>
  <c r="AQ224" i="21"/>
  <c r="EM29" i="21"/>
  <c r="EP29" i="21" s="1"/>
  <c r="EQ29" i="21" s="1"/>
  <c r="ER28" i="21"/>
  <c r="ES28" i="21"/>
  <c r="DQ220" i="21"/>
  <c r="DR220" i="21" s="1"/>
  <c r="DN173" i="21"/>
  <c r="EM173" i="21"/>
  <c r="EP173" i="21" s="1"/>
  <c r="EQ173" i="21" s="1"/>
  <c r="DQ197" i="21"/>
  <c r="DR197" i="21" s="1"/>
  <c r="ED109" i="21"/>
  <c r="AU29" i="21"/>
  <c r="AR29" i="21"/>
  <c r="ER172" i="21"/>
  <c r="ES172" i="21"/>
  <c r="AU174" i="21"/>
  <c r="AR174" i="21"/>
  <c r="AU115" i="21"/>
  <c r="AR115" i="21"/>
  <c r="DP172" i="21"/>
  <c r="DO172" i="21"/>
  <c r="AP176" i="21"/>
  <c r="AT175" i="21"/>
  <c r="AQ175" i="21"/>
  <c r="DQ112" i="21"/>
  <c r="DU115" i="21"/>
  <c r="AV115" i="21"/>
  <c r="AW115" i="21" s="1"/>
  <c r="ED26" i="21"/>
  <c r="DR26" i="21"/>
  <c r="DS26" i="21" s="1"/>
  <c r="DS170" i="21"/>
  <c r="CQ170" i="21"/>
  <c r="AP117" i="21"/>
  <c r="AT116" i="21"/>
  <c r="AQ116" i="21"/>
  <c r="DP198" i="21"/>
  <c r="DO198" i="21"/>
  <c r="EW197" i="21"/>
  <c r="EX197" i="21" s="1"/>
  <c r="EW112" i="21"/>
  <c r="FB112" i="21" s="1"/>
  <c r="ED112" i="21" s="1"/>
  <c r="CR112" i="21" s="1"/>
  <c r="DU174" i="21"/>
  <c r="AV174" i="21"/>
  <c r="AW174" i="21" s="1"/>
  <c r="EW171" i="21"/>
  <c r="EX171" i="21" s="1"/>
  <c r="AU223" i="21"/>
  <c r="AR223" i="21"/>
  <c r="DN114" i="21"/>
  <c r="EM114" i="21"/>
  <c r="EP114" i="21" s="1"/>
  <c r="EQ114" i="21" s="1"/>
  <c r="AU200" i="21"/>
  <c r="AR200" i="21"/>
  <c r="DN199" i="21"/>
  <c r="EM199" i="21"/>
  <c r="EP199" i="21" s="1"/>
  <c r="EQ199" i="21" s="1"/>
  <c r="DU223" i="21"/>
  <c r="AV223" i="21"/>
  <c r="AW223" i="21" s="1"/>
  <c r="ES198" i="21"/>
  <c r="ER198" i="21"/>
  <c r="EQ112" i="5"/>
  <c r="EV112" i="5" s="1"/>
  <c r="DL112" i="5" s="1"/>
  <c r="EQ107" i="5"/>
  <c r="EQ109" i="5"/>
  <c r="EL26" i="20"/>
  <c r="DZ26" i="20"/>
  <c r="EU29" i="20"/>
  <c r="EX29" i="20" s="1"/>
  <c r="EY29" i="20" s="1"/>
  <c r="AX31" i="20"/>
  <c r="BB30" i="20"/>
  <c r="EC30" i="20" s="1"/>
  <c r="AY30" i="20"/>
  <c r="EZ28" i="20"/>
  <c r="FA28" i="20"/>
  <c r="BC115" i="20"/>
  <c r="AZ115" i="20"/>
  <c r="FE27" i="20"/>
  <c r="FF27" i="20" s="1"/>
  <c r="EC115" i="20"/>
  <c r="BD115" i="20"/>
  <c r="BE115" i="20" s="1"/>
  <c r="AX117" i="20"/>
  <c r="BB116" i="20"/>
  <c r="AY116" i="20"/>
  <c r="FA113" i="20"/>
  <c r="EZ113" i="20"/>
  <c r="DV114" i="20"/>
  <c r="EU114" i="20"/>
  <c r="EX114" i="20" s="1"/>
  <c r="EY114" i="20" s="1"/>
  <c r="DX113" i="20"/>
  <c r="DW113" i="20"/>
  <c r="FF26" i="20"/>
  <c r="AZ29" i="20"/>
  <c r="BC29" i="20"/>
  <c r="EA112" i="20"/>
  <c r="DM175" i="5"/>
  <c r="CK175" i="5"/>
  <c r="CY170" i="5"/>
  <c r="FE170" i="5"/>
  <c r="FG170" i="5" s="1"/>
  <c r="AN115" i="5"/>
  <c r="AK115" i="5"/>
  <c r="CP16" i="5"/>
  <c r="CP17" i="5"/>
  <c r="CP14" i="5"/>
  <c r="CP15" i="5" s="1"/>
  <c r="FE203" i="5"/>
  <c r="FG203" i="5" s="1"/>
  <c r="CS203" i="5"/>
  <c r="CS202" i="5"/>
  <c r="FE202" i="5"/>
  <c r="FG202" i="5" s="1"/>
  <c r="EL222" i="5"/>
  <c r="EM222" i="5"/>
  <c r="CS198" i="5"/>
  <c r="FE198" i="5"/>
  <c r="FG198" i="5" s="1"/>
  <c r="DO205" i="5"/>
  <c r="AP205" i="5"/>
  <c r="AQ205" i="5" s="1"/>
  <c r="DH178" i="5"/>
  <c r="EG178" i="5"/>
  <c r="EJ178" i="5" s="1"/>
  <c r="EK178" i="5" s="1"/>
  <c r="DI222" i="5"/>
  <c r="DJ222" i="5"/>
  <c r="FE201" i="5"/>
  <c r="FG201" i="5" s="1"/>
  <c r="CS201" i="5"/>
  <c r="CS196" i="5"/>
  <c r="FE196" i="5"/>
  <c r="FG196" i="5" s="1"/>
  <c r="AO179" i="5"/>
  <c r="AL179" i="5"/>
  <c r="DM177" i="5"/>
  <c r="CK177" i="5"/>
  <c r="ER109" i="5"/>
  <c r="EV109" i="5"/>
  <c r="DL109" i="5" s="1"/>
  <c r="ER112" i="5"/>
  <c r="CS172" i="5"/>
  <c r="FE172" i="5"/>
  <c r="FG172" i="5" s="1"/>
  <c r="DO179" i="5"/>
  <c r="AP179" i="5"/>
  <c r="AQ179" i="5" s="1"/>
  <c r="CS200" i="5"/>
  <c r="FE200" i="5"/>
  <c r="FG200" i="5" s="1"/>
  <c r="FE199" i="5"/>
  <c r="FG199" i="5" s="1"/>
  <c r="CS199" i="5"/>
  <c r="AN180" i="5"/>
  <c r="AK180" i="5"/>
  <c r="AL224" i="5"/>
  <c r="AO224" i="5"/>
  <c r="EV105" i="5"/>
  <c r="DM176" i="5"/>
  <c r="CK176" i="5"/>
  <c r="DG110" i="5"/>
  <c r="EL110" i="5"/>
  <c r="EM110" i="5"/>
  <c r="EQ26" i="5"/>
  <c r="EV26" i="5" s="1"/>
  <c r="CS174" i="5"/>
  <c r="FE174" i="5"/>
  <c r="FG174" i="5" s="1"/>
  <c r="AN225" i="5"/>
  <c r="AK225" i="5"/>
  <c r="DO224" i="5"/>
  <c r="AP224" i="5"/>
  <c r="AQ224" i="5" s="1"/>
  <c r="AO28" i="5"/>
  <c r="AL28" i="5"/>
  <c r="AL114" i="5"/>
  <c r="AO114" i="5"/>
  <c r="CZ17" i="5"/>
  <c r="CZ14" i="5"/>
  <c r="CZ15" i="5" s="1"/>
  <c r="CZ16" i="5"/>
  <c r="CY173" i="5"/>
  <c r="FE173" i="5"/>
  <c r="FG173" i="5" s="1"/>
  <c r="AN206" i="5"/>
  <c r="AK206" i="5"/>
  <c r="EG28" i="5"/>
  <c r="EJ28" i="5" s="1"/>
  <c r="EK28" i="5" s="1"/>
  <c r="EM27" i="5"/>
  <c r="EL27" i="5"/>
  <c r="DO114" i="5"/>
  <c r="AP114" i="5"/>
  <c r="AQ114" i="5" s="1"/>
  <c r="ER107" i="5"/>
  <c r="EV107" i="5"/>
  <c r="DL107" i="5" s="1"/>
  <c r="DM107" i="5" s="1"/>
  <c r="DH223" i="5"/>
  <c r="EG223" i="5"/>
  <c r="EJ223" i="5" s="1"/>
  <c r="EK223" i="5" s="1"/>
  <c r="DH113" i="5"/>
  <c r="EG113" i="5"/>
  <c r="EJ113" i="5" s="1"/>
  <c r="EK113" i="5" s="1"/>
  <c r="CV16" i="5"/>
  <c r="FE171" i="5"/>
  <c r="FG171" i="5" s="1"/>
  <c r="CS171" i="5"/>
  <c r="DH204" i="5"/>
  <c r="EG204" i="5"/>
  <c r="EJ204" i="5" s="1"/>
  <c r="EK204" i="5" s="1"/>
  <c r="AJ30" i="5"/>
  <c r="AN29" i="5"/>
  <c r="DO29" i="5" s="1"/>
  <c r="AK29" i="5"/>
  <c r="FE197" i="5"/>
  <c r="FG197" i="5" s="1"/>
  <c r="CS197" i="5"/>
  <c r="DX25" i="5"/>
  <c r="DL25" i="5"/>
  <c r="DM25" i="5" s="1"/>
  <c r="AO205" i="5"/>
  <c r="AL205" i="5"/>
  <c r="AJ116" i="5"/>
  <c r="AJ207" i="5"/>
  <c r="AJ226" i="5"/>
  <c r="AJ181" i="5"/>
  <c r="X201" i="5"/>
  <c r="X198" i="5"/>
  <c r="X202" i="5"/>
  <c r="X200" i="5"/>
  <c r="X175" i="5"/>
  <c r="X171" i="5"/>
  <c r="H80" i="5"/>
  <c r="H81" i="5"/>
  <c r="H82" i="5"/>
  <c r="H83" i="5"/>
  <c r="H84" i="5"/>
  <c r="H85" i="5"/>
  <c r="H86" i="5"/>
  <c r="H87" i="5"/>
  <c r="H53" i="5"/>
  <c r="H54" i="5"/>
  <c r="H55" i="5"/>
  <c r="H56" i="5"/>
  <c r="H57" i="5"/>
  <c r="H58" i="5"/>
  <c r="H59" i="5"/>
  <c r="H61" i="5"/>
  <c r="H63" i="5"/>
  <c r="H64" i="5"/>
  <c r="H65" i="5"/>
  <c r="H67" i="5"/>
  <c r="H68" i="5"/>
  <c r="H70" i="5"/>
  <c r="H71" i="5"/>
  <c r="H72" i="5"/>
  <c r="H73" i="5"/>
  <c r="H74" i="5"/>
  <c r="H75" i="5"/>
  <c r="DR112" i="21" l="1"/>
  <c r="EX112" i="21"/>
  <c r="ED27" i="21"/>
  <c r="DR27" i="21"/>
  <c r="DS220" i="21"/>
  <c r="CQ220" i="21"/>
  <c r="DS112" i="21"/>
  <c r="CQ112" i="21"/>
  <c r="DS197" i="21"/>
  <c r="CQ197" i="21"/>
  <c r="DP222" i="21"/>
  <c r="DO222" i="21"/>
  <c r="EX27" i="21"/>
  <c r="AP118" i="21"/>
  <c r="AT117" i="21"/>
  <c r="DU117" i="21" s="1"/>
  <c r="AQ117" i="21"/>
  <c r="DS171" i="21"/>
  <c r="CQ171" i="21"/>
  <c r="ER199" i="21"/>
  <c r="ES199" i="21"/>
  <c r="DO199" i="21"/>
  <c r="DP199" i="21"/>
  <c r="DQ221" i="21"/>
  <c r="DR221" i="21" s="1"/>
  <c r="ES222" i="21"/>
  <c r="ER222" i="21"/>
  <c r="EW113" i="21"/>
  <c r="EX113" i="21" s="1"/>
  <c r="DN200" i="21"/>
  <c r="EM200" i="21"/>
  <c r="EP200" i="21" s="1"/>
  <c r="EQ200" i="21" s="1"/>
  <c r="DQ198" i="21"/>
  <c r="DR198" i="21" s="1"/>
  <c r="AR116" i="21"/>
  <c r="AU116" i="21"/>
  <c r="ES114" i="21"/>
  <c r="ER114" i="21"/>
  <c r="AP203" i="21"/>
  <c r="AT202" i="21"/>
  <c r="AQ202" i="21"/>
  <c r="EW172" i="21"/>
  <c r="EX172" i="21" s="1"/>
  <c r="DO114" i="21"/>
  <c r="DP114" i="21"/>
  <c r="DU201" i="21"/>
  <c r="AV201" i="21"/>
  <c r="AW201" i="21" s="1"/>
  <c r="CZ112" i="21"/>
  <c r="FL112" i="21"/>
  <c r="DN223" i="21"/>
  <c r="EM223" i="21"/>
  <c r="EP223" i="21" s="1"/>
  <c r="EQ223" i="21" s="1"/>
  <c r="AR175" i="21"/>
  <c r="AU175" i="21"/>
  <c r="DU175" i="21"/>
  <c r="AV175" i="21"/>
  <c r="AW175" i="21" s="1"/>
  <c r="EW221" i="21"/>
  <c r="EX221" i="21" s="1"/>
  <c r="ES173" i="21"/>
  <c r="ER173" i="21"/>
  <c r="DN115" i="21"/>
  <c r="EM115" i="21"/>
  <c r="EP115" i="21" s="1"/>
  <c r="EQ115" i="21" s="1"/>
  <c r="AT176" i="21"/>
  <c r="AP177" i="21"/>
  <c r="AQ176" i="21"/>
  <c r="ER29" i="21"/>
  <c r="ES29" i="21"/>
  <c r="AR30" i="21"/>
  <c r="AU30" i="21"/>
  <c r="AU201" i="21"/>
  <c r="AR201" i="21"/>
  <c r="DQ172" i="21"/>
  <c r="DR172" i="21" s="1"/>
  <c r="AU224" i="21"/>
  <c r="AR224" i="21"/>
  <c r="AP32" i="21"/>
  <c r="AT31" i="21"/>
  <c r="DU31" i="21" s="1"/>
  <c r="AQ31" i="21"/>
  <c r="DU116" i="21"/>
  <c r="AV116" i="21"/>
  <c r="AW116" i="21" s="1"/>
  <c r="DP173" i="21"/>
  <c r="DO173" i="21"/>
  <c r="AP226" i="21"/>
  <c r="AT225" i="21"/>
  <c r="AQ225" i="21"/>
  <c r="EM30" i="21"/>
  <c r="EP30" i="21" s="1"/>
  <c r="EQ30" i="21" s="1"/>
  <c r="DU224" i="21"/>
  <c r="AV224" i="21"/>
  <c r="AW224" i="21" s="1"/>
  <c r="EW198" i="21"/>
  <c r="EX198" i="21" s="1"/>
  <c r="CY170" i="21"/>
  <c r="AD170" i="21"/>
  <c r="FK170" i="21"/>
  <c r="FM170" i="21" s="1"/>
  <c r="EW28" i="21"/>
  <c r="FB28" i="21" s="1"/>
  <c r="DN174" i="21"/>
  <c r="EM174" i="21"/>
  <c r="EP174" i="21" s="1"/>
  <c r="EQ174" i="21" s="1"/>
  <c r="DQ113" i="21"/>
  <c r="N71" i="5"/>
  <c r="O71" i="5"/>
  <c r="N59" i="5"/>
  <c r="O59" i="5"/>
  <c r="N58" i="5"/>
  <c r="O58" i="5"/>
  <c r="O85" i="5"/>
  <c r="N85" i="5"/>
  <c r="N68" i="5"/>
  <c r="O68" i="5"/>
  <c r="N57" i="5"/>
  <c r="O57" i="5"/>
  <c r="N84" i="5"/>
  <c r="O84" i="5"/>
  <c r="AF83" i="5"/>
  <c r="N83" i="5"/>
  <c r="O83" i="5"/>
  <c r="O72" i="5"/>
  <c r="N72" i="5"/>
  <c r="N87" i="5"/>
  <c r="O87" i="5"/>
  <c r="N70" i="5"/>
  <c r="O70" i="5"/>
  <c r="AS70" i="5" s="1"/>
  <c r="N67" i="5"/>
  <c r="O67" i="5"/>
  <c r="O56" i="5"/>
  <c r="N56" i="5"/>
  <c r="N65" i="5"/>
  <c r="O65" i="5"/>
  <c r="N82" i="5"/>
  <c r="O82" i="5"/>
  <c r="N86" i="5"/>
  <c r="O86" i="5"/>
  <c r="N75" i="5"/>
  <c r="O75" i="5"/>
  <c r="N55" i="5"/>
  <c r="O55" i="5"/>
  <c r="N74" i="5"/>
  <c r="O74" i="5"/>
  <c r="O64" i="5"/>
  <c r="N64" i="5"/>
  <c r="N54" i="5"/>
  <c r="O54" i="5"/>
  <c r="N81" i="5"/>
  <c r="O81" i="5"/>
  <c r="N61" i="5"/>
  <c r="O61" i="5"/>
  <c r="N73" i="5"/>
  <c r="O73" i="5"/>
  <c r="N63" i="5"/>
  <c r="O63" i="5"/>
  <c r="O53" i="5"/>
  <c r="N53" i="5"/>
  <c r="O80" i="5"/>
  <c r="N80" i="5"/>
  <c r="DM112" i="5"/>
  <c r="ER26" i="5"/>
  <c r="DX107" i="5"/>
  <c r="DX109" i="5"/>
  <c r="FJ27" i="20"/>
  <c r="AZ116" i="20"/>
  <c r="BC116" i="20"/>
  <c r="FE28" i="20"/>
  <c r="FJ28" i="20" s="1"/>
  <c r="EC116" i="20"/>
  <c r="BD116" i="20"/>
  <c r="BE116" i="20" s="1"/>
  <c r="DV115" i="20"/>
  <c r="EU115" i="20"/>
  <c r="EX115" i="20" s="1"/>
  <c r="EY115" i="20" s="1"/>
  <c r="BC30" i="20"/>
  <c r="AZ30" i="20"/>
  <c r="FA29" i="20"/>
  <c r="EZ29" i="20"/>
  <c r="DY113" i="20"/>
  <c r="FA114" i="20"/>
  <c r="EZ114" i="20"/>
  <c r="AX118" i="20"/>
  <c r="BB117" i="20"/>
  <c r="AY117" i="20"/>
  <c r="EU30" i="20"/>
  <c r="EX30" i="20" s="1"/>
  <c r="EY30" i="20" s="1"/>
  <c r="DX114" i="20"/>
  <c r="DW114" i="20"/>
  <c r="AX32" i="20"/>
  <c r="BB31" i="20"/>
  <c r="EC31" i="20" s="1"/>
  <c r="AY31" i="20"/>
  <c r="FE113" i="20"/>
  <c r="FJ113" i="20" s="1"/>
  <c r="EL113" i="20" s="1"/>
  <c r="CZ113" i="20" s="1"/>
  <c r="EA26" i="20"/>
  <c r="AF82" i="5"/>
  <c r="DH114" i="5"/>
  <c r="EG114" i="5"/>
  <c r="EJ114" i="5" s="1"/>
  <c r="EK114" i="5" s="1"/>
  <c r="AL180" i="5"/>
  <c r="AO180" i="5"/>
  <c r="DO115" i="5"/>
  <c r="AP115" i="5"/>
  <c r="AQ115" i="5" s="1"/>
  <c r="AF74" i="5"/>
  <c r="AF81" i="5"/>
  <c r="AN181" i="5"/>
  <c r="AK181" i="5"/>
  <c r="AL29" i="5"/>
  <c r="AO29" i="5"/>
  <c r="EM113" i="5"/>
  <c r="EL113" i="5"/>
  <c r="EQ27" i="5"/>
  <c r="EV27" i="5" s="1"/>
  <c r="DH224" i="5"/>
  <c r="EG224" i="5"/>
  <c r="EJ224" i="5" s="1"/>
  <c r="EK224" i="5" s="1"/>
  <c r="DO180" i="5"/>
  <c r="AP180" i="5"/>
  <c r="AQ180" i="5" s="1"/>
  <c r="FE177" i="5"/>
  <c r="FG177" i="5" s="1"/>
  <c r="CY177" i="5"/>
  <c r="EQ222" i="5"/>
  <c r="ER222" i="5" s="1"/>
  <c r="AF53" i="5"/>
  <c r="EG29" i="5"/>
  <c r="EJ29" i="5" s="1"/>
  <c r="EK29" i="5" s="1"/>
  <c r="EM204" i="5"/>
  <c r="EL204" i="5"/>
  <c r="DI113" i="5"/>
  <c r="DJ113" i="5"/>
  <c r="AO225" i="5"/>
  <c r="AL225" i="5"/>
  <c r="EQ110" i="5"/>
  <c r="ER110" i="5" s="1"/>
  <c r="AN226" i="5"/>
  <c r="AK226" i="5"/>
  <c r="AN207" i="5"/>
  <c r="AK207" i="5"/>
  <c r="AJ31" i="5"/>
  <c r="AN30" i="5"/>
  <c r="DO30" i="5" s="1"/>
  <c r="AK30" i="5"/>
  <c r="DJ204" i="5"/>
  <c r="DI204" i="5"/>
  <c r="EL223" i="5"/>
  <c r="EM223" i="5"/>
  <c r="EL28" i="5"/>
  <c r="EM28" i="5"/>
  <c r="DO225" i="5"/>
  <c r="AP225" i="5"/>
  <c r="AQ225" i="5" s="1"/>
  <c r="FE176" i="5"/>
  <c r="FG176" i="5" s="1"/>
  <c r="CS176" i="5"/>
  <c r="DK222" i="5"/>
  <c r="DL222" i="5" s="1"/>
  <c r="AF61" i="5"/>
  <c r="AF87" i="5"/>
  <c r="AF59" i="5"/>
  <c r="AN116" i="5"/>
  <c r="AK116" i="5"/>
  <c r="DI223" i="5"/>
  <c r="DJ223" i="5"/>
  <c r="EL178" i="5"/>
  <c r="EM178" i="5"/>
  <c r="AF75" i="5"/>
  <c r="AF63" i="5"/>
  <c r="AF58" i="5"/>
  <c r="AF85" i="5"/>
  <c r="AL206" i="5"/>
  <c r="AO206" i="5"/>
  <c r="DX26" i="5"/>
  <c r="DL26" i="5"/>
  <c r="DM26" i="5" s="1"/>
  <c r="DL105" i="5"/>
  <c r="DM105" i="5" s="1"/>
  <c r="DX105" i="5"/>
  <c r="DI178" i="5"/>
  <c r="DJ178" i="5"/>
  <c r="DH205" i="5"/>
  <c r="EG205" i="5"/>
  <c r="EJ205" i="5" s="1"/>
  <c r="EK205" i="5" s="1"/>
  <c r="AF68" i="5"/>
  <c r="DO206" i="5"/>
  <c r="AP206" i="5"/>
  <c r="AQ206" i="5" s="1"/>
  <c r="DH179" i="5"/>
  <c r="EG179" i="5"/>
  <c r="EJ179" i="5" s="1"/>
  <c r="EK179" i="5" s="1"/>
  <c r="CS175" i="5"/>
  <c r="FE175" i="5"/>
  <c r="FG175" i="5" s="1"/>
  <c r="DM109" i="5"/>
  <c r="DX112" i="5"/>
  <c r="AL115" i="5"/>
  <c r="AO115" i="5"/>
  <c r="AF72" i="5"/>
  <c r="AF56" i="5"/>
  <c r="AF70" i="5"/>
  <c r="AF54" i="5"/>
  <c r="AF73" i="5"/>
  <c r="AF86" i="5"/>
  <c r="AF65" i="5"/>
  <c r="AF80" i="5"/>
  <c r="AF64" i="5"/>
  <c r="AF55" i="5"/>
  <c r="AF67" i="5"/>
  <c r="AF71" i="5"/>
  <c r="AF84" i="5"/>
  <c r="AF57" i="5"/>
  <c r="X203" i="5"/>
  <c r="X196" i="5"/>
  <c r="AJ117" i="5"/>
  <c r="AJ208" i="5"/>
  <c r="AJ227" i="5"/>
  <c r="AJ182" i="5"/>
  <c r="X172" i="5"/>
  <c r="X169" i="5"/>
  <c r="X176" i="5"/>
  <c r="X174" i="5"/>
  <c r="X173" i="5"/>
  <c r="X170" i="5"/>
  <c r="AS86" i="5"/>
  <c r="I73" i="5"/>
  <c r="I68" i="5"/>
  <c r="I63" i="5"/>
  <c r="DY63" i="5" s="1"/>
  <c r="I57" i="5"/>
  <c r="DY57" i="5" s="1"/>
  <c r="I53" i="5"/>
  <c r="DY53" i="5" s="1"/>
  <c r="I85" i="5"/>
  <c r="DY85" i="5" s="1"/>
  <c r="I81" i="5"/>
  <c r="DY81" i="5" s="1"/>
  <c r="I74" i="5"/>
  <c r="I70" i="5"/>
  <c r="I64" i="5"/>
  <c r="I58" i="5"/>
  <c r="DY58" i="5" s="1"/>
  <c r="I54" i="5"/>
  <c r="DY54" i="5" s="1"/>
  <c r="I86" i="5"/>
  <c r="DY86" i="5" s="1"/>
  <c r="I82" i="5"/>
  <c r="I65" i="5"/>
  <c r="I59" i="5"/>
  <c r="I55" i="5"/>
  <c r="I87" i="5"/>
  <c r="I83" i="5"/>
  <c r="DY83" i="5" s="1"/>
  <c r="I75" i="5"/>
  <c r="DY75" i="5" s="1"/>
  <c r="I72" i="5"/>
  <c r="I67" i="5"/>
  <c r="I56" i="5"/>
  <c r="I84" i="5"/>
  <c r="I80" i="5"/>
  <c r="I71" i="5"/>
  <c r="I61" i="5"/>
  <c r="DY61" i="5" s="1"/>
  <c r="EX28" i="21" l="1"/>
  <c r="FB113" i="21"/>
  <c r="ED113" i="21" s="1"/>
  <c r="CR113" i="21" s="1"/>
  <c r="CZ113" i="21" s="1"/>
  <c r="ED28" i="21"/>
  <c r="DR28" i="21"/>
  <c r="DS28" i="21" s="1"/>
  <c r="DS172" i="21"/>
  <c r="CQ172" i="21"/>
  <c r="DS221" i="21"/>
  <c r="CQ221" i="21"/>
  <c r="DS198" i="21"/>
  <c r="CQ198" i="21"/>
  <c r="EW222" i="21"/>
  <c r="EX222" i="21" s="1"/>
  <c r="DU202" i="21"/>
  <c r="AV202" i="21"/>
  <c r="AW202" i="21" s="1"/>
  <c r="DR117" i="21"/>
  <c r="EM117" i="21"/>
  <c r="EP117" i="21" s="1"/>
  <c r="EQ117" i="21" s="1"/>
  <c r="DQ199" i="21"/>
  <c r="DR199" i="21" s="1"/>
  <c r="EW199" i="21"/>
  <c r="EX199" i="21" s="1"/>
  <c r="DN224" i="21"/>
  <c r="EM224" i="21"/>
  <c r="EP224" i="21" s="1"/>
  <c r="EQ224" i="21" s="1"/>
  <c r="DU176" i="21"/>
  <c r="AV176" i="21"/>
  <c r="AW176" i="21" s="1"/>
  <c r="AU202" i="21"/>
  <c r="AR202" i="21"/>
  <c r="ES115" i="21"/>
  <c r="ER115" i="21"/>
  <c r="AU225" i="21"/>
  <c r="AR225" i="21"/>
  <c r="DP115" i="21"/>
  <c r="DO115" i="21"/>
  <c r="AP204" i="21"/>
  <c r="AT203" i="21"/>
  <c r="AQ203" i="21"/>
  <c r="AP119" i="21"/>
  <c r="AT118" i="21"/>
  <c r="AQ118" i="21"/>
  <c r="DQ114" i="21"/>
  <c r="AP178" i="21"/>
  <c r="AT177" i="21"/>
  <c r="AQ177" i="21"/>
  <c r="AR117" i="21"/>
  <c r="AU117" i="21"/>
  <c r="ES30" i="21"/>
  <c r="ER30" i="21"/>
  <c r="DU225" i="21"/>
  <c r="AV225" i="21"/>
  <c r="AW225" i="21" s="1"/>
  <c r="EW173" i="21"/>
  <c r="EX173" i="21" s="1"/>
  <c r="EW114" i="21"/>
  <c r="EX114" i="21" s="1"/>
  <c r="FK197" i="21"/>
  <c r="FM197" i="21" s="1"/>
  <c r="AD197" i="21"/>
  <c r="CY197" i="21"/>
  <c r="DQ222" i="21"/>
  <c r="DR222" i="21" s="1"/>
  <c r="DN116" i="21"/>
  <c r="EM116" i="21"/>
  <c r="EP116" i="21" s="1"/>
  <c r="EQ116" i="21" s="1"/>
  <c r="DN175" i="21"/>
  <c r="EM175" i="21"/>
  <c r="EP175" i="21" s="1"/>
  <c r="EQ175" i="21" s="1"/>
  <c r="AD112" i="21"/>
  <c r="CY112" i="21"/>
  <c r="FK112" i="21"/>
  <c r="FM112" i="21" s="1"/>
  <c r="AU176" i="21"/>
  <c r="AR176" i="21"/>
  <c r="ES174" i="21"/>
  <c r="ER174" i="21"/>
  <c r="AU31" i="21"/>
  <c r="AR31" i="21"/>
  <c r="ES200" i="21"/>
  <c r="ER200" i="21"/>
  <c r="CY171" i="21"/>
  <c r="AD171" i="21"/>
  <c r="FK171" i="21"/>
  <c r="FM171" i="21" s="1"/>
  <c r="DO174" i="21"/>
  <c r="DP174" i="21"/>
  <c r="EM31" i="21"/>
  <c r="EP31" i="21" s="1"/>
  <c r="EQ31" i="21" s="1"/>
  <c r="DO200" i="21"/>
  <c r="DP200" i="21"/>
  <c r="CY220" i="21"/>
  <c r="AD220" i="21"/>
  <c r="FK220" i="21"/>
  <c r="FM220" i="21" s="1"/>
  <c r="AT32" i="21"/>
  <c r="DU32" i="21" s="1"/>
  <c r="AP33" i="21"/>
  <c r="AQ32" i="21"/>
  <c r="ES223" i="21"/>
  <c r="ER223" i="21"/>
  <c r="DN201" i="21"/>
  <c r="EM201" i="21"/>
  <c r="EP201" i="21" s="1"/>
  <c r="EQ201" i="21" s="1"/>
  <c r="FB29" i="21"/>
  <c r="EW29" i="21"/>
  <c r="EX29" i="21" s="1"/>
  <c r="AP227" i="21"/>
  <c r="AT226" i="21"/>
  <c r="AQ226" i="21"/>
  <c r="DP223" i="21"/>
  <c r="DO223" i="21"/>
  <c r="FL113" i="21"/>
  <c r="DS27" i="21"/>
  <c r="DQ173" i="21"/>
  <c r="DR173" i="21" s="1"/>
  <c r="FF28" i="20"/>
  <c r="DM222" i="5"/>
  <c r="AS58" i="5"/>
  <c r="AT58" i="5" s="1"/>
  <c r="AS80" i="5"/>
  <c r="AS72" i="5"/>
  <c r="AT72" i="5" s="1"/>
  <c r="ER27" i="5"/>
  <c r="AS64" i="5"/>
  <c r="AT64" i="5" s="1"/>
  <c r="AS84" i="5"/>
  <c r="AT84" i="5" s="1"/>
  <c r="AS68" i="5"/>
  <c r="AT68" i="5" s="1"/>
  <c r="AS56" i="5"/>
  <c r="AS82" i="5"/>
  <c r="AS57" i="5"/>
  <c r="AT57" i="5" s="1"/>
  <c r="AS83" i="5"/>
  <c r="AT83" i="5" s="1"/>
  <c r="AS67" i="5"/>
  <c r="AS55" i="5"/>
  <c r="AS75" i="5"/>
  <c r="EL28" i="20"/>
  <c r="DZ28" i="20"/>
  <c r="FT113" i="20"/>
  <c r="DH113" i="20"/>
  <c r="DZ113" i="20"/>
  <c r="EU31" i="20"/>
  <c r="EX31" i="20" s="1"/>
  <c r="EY31" i="20" s="1"/>
  <c r="BB32" i="20"/>
  <c r="EC32" i="20" s="1"/>
  <c r="AX33" i="20"/>
  <c r="AY32" i="20"/>
  <c r="BB118" i="20"/>
  <c r="EC118" i="20" s="1"/>
  <c r="AX119" i="20"/>
  <c r="AY118" i="20"/>
  <c r="FE29" i="20"/>
  <c r="FF29" i="20" s="1"/>
  <c r="FA30" i="20"/>
  <c r="EZ30" i="20"/>
  <c r="FE114" i="20"/>
  <c r="FF114" i="20" s="1"/>
  <c r="DV116" i="20"/>
  <c r="EU116" i="20"/>
  <c r="EX116" i="20" s="1"/>
  <c r="EY116" i="20" s="1"/>
  <c r="FF113" i="20"/>
  <c r="EL27" i="20"/>
  <c r="DZ27" i="20"/>
  <c r="EA27" i="20" s="1"/>
  <c r="FA115" i="20"/>
  <c r="EZ115" i="20"/>
  <c r="DW115" i="20"/>
  <c r="DX115" i="20"/>
  <c r="BC31" i="20"/>
  <c r="AZ31" i="20"/>
  <c r="DY114" i="20"/>
  <c r="BC117" i="20"/>
  <c r="AZ117" i="20"/>
  <c r="EC117" i="20"/>
  <c r="BD117" i="20"/>
  <c r="BE117" i="20" s="1"/>
  <c r="BE71" i="5"/>
  <c r="BU71" i="5"/>
  <c r="FR71" i="5"/>
  <c r="FU71" i="5" s="1"/>
  <c r="CM71" i="5" s="1"/>
  <c r="BL71" i="5"/>
  <c r="DT71" i="5" s="1"/>
  <c r="DV71" i="5" s="1"/>
  <c r="BT71" i="5"/>
  <c r="BE64" i="5"/>
  <c r="BU64" i="5"/>
  <c r="BL64" i="5"/>
  <c r="DT64" i="5" s="1"/>
  <c r="DV64" i="5" s="1"/>
  <c r="FR64" i="5"/>
  <c r="FU64" i="5" s="1"/>
  <c r="BT64" i="5"/>
  <c r="BE73" i="5"/>
  <c r="BU73" i="5"/>
  <c r="FR73" i="5"/>
  <c r="FU73" i="5" s="1"/>
  <c r="CM73" i="5" s="1"/>
  <c r="BL73" i="5"/>
  <c r="DT73" i="5" s="1"/>
  <c r="DV73" i="5" s="1"/>
  <c r="BT73" i="5"/>
  <c r="AS63" i="5"/>
  <c r="AS87" i="5"/>
  <c r="AY72" i="5"/>
  <c r="AZ72" i="5" s="1"/>
  <c r="CI72" i="5" s="1"/>
  <c r="AS59" i="5"/>
  <c r="AN117" i="5"/>
  <c r="AK117" i="5"/>
  <c r="AO116" i="5"/>
  <c r="AL116" i="5"/>
  <c r="DH225" i="5"/>
  <c r="EG225" i="5"/>
  <c r="EJ225" i="5" s="1"/>
  <c r="EK225" i="5" s="1"/>
  <c r="EG30" i="5"/>
  <c r="EJ30" i="5" s="1"/>
  <c r="EK30" i="5" s="1"/>
  <c r="BL87" i="5"/>
  <c r="DT87" i="5" s="1"/>
  <c r="DV87" i="5" s="1"/>
  <c r="BE87" i="5"/>
  <c r="BT87" i="5"/>
  <c r="BU87" i="5"/>
  <c r="FR87" i="5"/>
  <c r="FU87" i="5" s="1"/>
  <c r="CM87" i="5" s="1"/>
  <c r="BL68" i="5"/>
  <c r="DT68" i="5" s="1"/>
  <c r="DV68" i="5" s="1"/>
  <c r="BT68" i="5"/>
  <c r="BU68" i="5"/>
  <c r="BE68" i="5"/>
  <c r="FR68" i="5"/>
  <c r="FU68" i="5" s="1"/>
  <c r="CM68" i="5" s="1"/>
  <c r="BL80" i="5"/>
  <c r="DT80" i="5" s="1"/>
  <c r="DV80" i="5" s="1"/>
  <c r="BT80" i="5"/>
  <c r="BE80" i="5"/>
  <c r="BU80" i="5"/>
  <c r="FR80" i="5"/>
  <c r="FU80" i="5" s="1"/>
  <c r="CM80" i="5" s="1"/>
  <c r="BL70" i="5"/>
  <c r="DT70" i="5" s="1"/>
  <c r="DV70" i="5" s="1"/>
  <c r="BT70" i="5"/>
  <c r="BE70" i="5"/>
  <c r="BU70" i="5"/>
  <c r="FR70" i="5"/>
  <c r="FU70" i="5" s="1"/>
  <c r="CM70" i="5" s="1"/>
  <c r="AY80" i="5"/>
  <c r="AZ80" i="5" s="1"/>
  <c r="CI80" i="5" s="1"/>
  <c r="AT80" i="5"/>
  <c r="BL59" i="5"/>
  <c r="DT59" i="5" s="1"/>
  <c r="DV59" i="5" s="1"/>
  <c r="BT59" i="5"/>
  <c r="BE59" i="5"/>
  <c r="BU59" i="5"/>
  <c r="FR59" i="5"/>
  <c r="FU59" i="5" s="1"/>
  <c r="CM59" i="5" s="1"/>
  <c r="BL74" i="5"/>
  <c r="DT74" i="5" s="1"/>
  <c r="DV74" i="5" s="1"/>
  <c r="BT74" i="5"/>
  <c r="BE74" i="5"/>
  <c r="BU74" i="5"/>
  <c r="FR74" i="5"/>
  <c r="FU74" i="5" s="1"/>
  <c r="CM74" i="5" s="1"/>
  <c r="AY81" i="5"/>
  <c r="AZ81" i="5" s="1"/>
  <c r="CI81" i="5" s="1"/>
  <c r="AY65" i="5"/>
  <c r="AZ65" i="5" s="1"/>
  <c r="CI65" i="5" s="1"/>
  <c r="EL205" i="5"/>
  <c r="EM205" i="5"/>
  <c r="DO116" i="5"/>
  <c r="AP116" i="5"/>
  <c r="AQ116" i="5" s="1"/>
  <c r="AJ32" i="5"/>
  <c r="AN31" i="5"/>
  <c r="DO31" i="5" s="1"/>
  <c r="AK31" i="5"/>
  <c r="DX27" i="5"/>
  <c r="DL27" i="5"/>
  <c r="DM27" i="5" s="1"/>
  <c r="BL55" i="5"/>
  <c r="DT55" i="5" s="1"/>
  <c r="DV55" i="5" s="1"/>
  <c r="BT55" i="5"/>
  <c r="BE55" i="5"/>
  <c r="BU55" i="5"/>
  <c r="FR55" i="5"/>
  <c r="FU55" i="5" s="1"/>
  <c r="CM55" i="5" s="1"/>
  <c r="AY58" i="5"/>
  <c r="AZ58" i="5" s="1"/>
  <c r="CI58" i="5" s="1"/>
  <c r="BL84" i="5"/>
  <c r="DT84" i="5" s="1"/>
  <c r="DV84" i="5" s="1"/>
  <c r="BT84" i="5"/>
  <c r="BE84" i="5"/>
  <c r="BU84" i="5"/>
  <c r="FR84" i="5"/>
  <c r="FU84" i="5" s="1"/>
  <c r="CM84" i="5" s="1"/>
  <c r="BE56" i="5"/>
  <c r="BU56" i="5"/>
  <c r="FR56" i="5"/>
  <c r="FU56" i="5" s="1"/>
  <c r="CM56" i="5" s="1"/>
  <c r="BL56" i="5"/>
  <c r="DT56" i="5" s="1"/>
  <c r="DV56" i="5" s="1"/>
  <c r="BT56" i="5"/>
  <c r="BE65" i="5"/>
  <c r="BU65" i="5"/>
  <c r="FR65" i="5"/>
  <c r="FU65" i="5" s="1"/>
  <c r="CM65" i="5" s="1"/>
  <c r="BL65" i="5"/>
  <c r="DT65" i="5" s="1"/>
  <c r="DV65" i="5" s="1"/>
  <c r="BT65" i="5"/>
  <c r="BE81" i="5"/>
  <c r="BU81" i="5"/>
  <c r="BL81" i="5"/>
  <c r="DT81" i="5" s="1"/>
  <c r="DV81" i="5" s="1"/>
  <c r="BT81" i="5"/>
  <c r="FR81" i="5"/>
  <c r="FU81" i="5" s="1"/>
  <c r="CM81" i="5" s="1"/>
  <c r="AS81" i="5"/>
  <c r="AT81" i="5" s="1"/>
  <c r="AY64" i="5"/>
  <c r="AZ64" i="5" s="1"/>
  <c r="AY84" i="5"/>
  <c r="AZ84" i="5" s="1"/>
  <c r="CI84" i="5" s="1"/>
  <c r="AY68" i="5"/>
  <c r="AZ68" i="5" s="1"/>
  <c r="CI68" i="5" s="1"/>
  <c r="AT56" i="5"/>
  <c r="AY56" i="5"/>
  <c r="AZ56" i="5" s="1"/>
  <c r="CI56" i="5" s="1"/>
  <c r="AT82" i="5"/>
  <c r="AY82" i="5"/>
  <c r="AZ82" i="5" s="1"/>
  <c r="CI82" i="5" s="1"/>
  <c r="AS65" i="5"/>
  <c r="AT65" i="5" s="1"/>
  <c r="DY84" i="5"/>
  <c r="DI205" i="5"/>
  <c r="DJ205" i="5"/>
  <c r="DY80" i="5"/>
  <c r="EQ28" i="5"/>
  <c r="EV28" i="5" s="1"/>
  <c r="AL207" i="5"/>
  <c r="AO207" i="5"/>
  <c r="EQ113" i="5"/>
  <c r="ER113" i="5" s="1"/>
  <c r="EV110" i="5"/>
  <c r="AY61" i="5"/>
  <c r="AZ61" i="5" s="1"/>
  <c r="CI61" i="5" s="1"/>
  <c r="AY71" i="5"/>
  <c r="AZ71" i="5" s="1"/>
  <c r="CI71" i="5" s="1"/>
  <c r="EL179" i="5"/>
  <c r="EM179" i="5"/>
  <c r="DY59" i="5"/>
  <c r="DO207" i="5"/>
  <c r="AP207" i="5"/>
  <c r="AQ207" i="5" s="1"/>
  <c r="DK113" i="5"/>
  <c r="DH180" i="5"/>
  <c r="EG180" i="5"/>
  <c r="EJ180" i="5" s="1"/>
  <c r="EK180" i="5" s="1"/>
  <c r="DY64" i="5"/>
  <c r="BT82" i="5"/>
  <c r="FR82" i="5"/>
  <c r="FU82" i="5" s="1"/>
  <c r="CM82" i="5" s="1"/>
  <c r="BL82" i="5"/>
  <c r="DT82" i="5" s="1"/>
  <c r="DV82" i="5" s="1"/>
  <c r="BU82" i="5"/>
  <c r="BE82" i="5"/>
  <c r="AY53" i="5"/>
  <c r="AZ53" i="5" s="1"/>
  <c r="CI53" i="5" s="1"/>
  <c r="BL72" i="5"/>
  <c r="DT72" i="5" s="1"/>
  <c r="DV72" i="5" s="1"/>
  <c r="BT72" i="5"/>
  <c r="BE72" i="5"/>
  <c r="BU72" i="5"/>
  <c r="FR72" i="5"/>
  <c r="FU72" i="5" s="1"/>
  <c r="CM72" i="5" s="1"/>
  <c r="BL53" i="5"/>
  <c r="DT53" i="5" s="1"/>
  <c r="DV53" i="5" s="1"/>
  <c r="BT53" i="5"/>
  <c r="BE53" i="5"/>
  <c r="BU53" i="5"/>
  <c r="FR53" i="5"/>
  <c r="FU53" i="5" s="1"/>
  <c r="CM53" i="5" s="1"/>
  <c r="AS53" i="5"/>
  <c r="AT53" i="5" s="1"/>
  <c r="AS61" i="5"/>
  <c r="AT61" i="5" s="1"/>
  <c r="AY86" i="5"/>
  <c r="AZ86" i="5" s="1"/>
  <c r="CI86" i="5" s="1"/>
  <c r="AT86" i="5"/>
  <c r="AS71" i="5"/>
  <c r="AT71" i="5" s="1"/>
  <c r="DI179" i="5"/>
  <c r="DJ179" i="5"/>
  <c r="DY68" i="5"/>
  <c r="DK178" i="5"/>
  <c r="DL178" i="5" s="1"/>
  <c r="EQ223" i="5"/>
  <c r="ER223" i="5" s="1"/>
  <c r="AL226" i="5"/>
  <c r="AO226" i="5"/>
  <c r="EQ204" i="5"/>
  <c r="ER204" i="5" s="1"/>
  <c r="DY74" i="5"/>
  <c r="EM114" i="5"/>
  <c r="EL114" i="5"/>
  <c r="BT67" i="5"/>
  <c r="BU67" i="5"/>
  <c r="BE67" i="5"/>
  <c r="FR67" i="5"/>
  <c r="FU67" i="5" s="1"/>
  <c r="CM67" i="5" s="1"/>
  <c r="BL67" i="5"/>
  <c r="DT67" i="5" s="1"/>
  <c r="DV67" i="5" s="1"/>
  <c r="AY85" i="5"/>
  <c r="AZ85" i="5" s="1"/>
  <c r="CI85" i="5" s="1"/>
  <c r="AY73" i="5"/>
  <c r="AZ73" i="5" s="1"/>
  <c r="CI73" i="5" s="1"/>
  <c r="BL86" i="5"/>
  <c r="DT86" i="5" s="1"/>
  <c r="DV86" i="5" s="1"/>
  <c r="BT86" i="5"/>
  <c r="BE86" i="5"/>
  <c r="BU86" i="5"/>
  <c r="FR86" i="5"/>
  <c r="FU86" i="5" s="1"/>
  <c r="CM86" i="5" s="1"/>
  <c r="AS85" i="5"/>
  <c r="AT85" i="5" s="1"/>
  <c r="AY70" i="5"/>
  <c r="AZ70" i="5" s="1"/>
  <c r="CI70" i="5" s="1"/>
  <c r="AT70" i="5"/>
  <c r="AS73" i="5"/>
  <c r="AT73" i="5" s="1"/>
  <c r="BE75" i="5"/>
  <c r="BU75" i="5"/>
  <c r="FR75" i="5"/>
  <c r="FU75" i="5" s="1"/>
  <c r="CM75" i="5" s="1"/>
  <c r="BL75" i="5"/>
  <c r="DT75" i="5" s="1"/>
  <c r="DV75" i="5" s="1"/>
  <c r="BT75" i="5"/>
  <c r="BV75" i="5" s="1"/>
  <c r="CC75" i="5" s="1"/>
  <c r="CE75" i="5" s="1"/>
  <c r="CJ75" i="5" s="1"/>
  <c r="BT54" i="5"/>
  <c r="BE54" i="5"/>
  <c r="BU54" i="5"/>
  <c r="BL54" i="5"/>
  <c r="DT54" i="5" s="1"/>
  <c r="DV54" i="5" s="1"/>
  <c r="FR54" i="5"/>
  <c r="FU54" i="5" s="1"/>
  <c r="CM54" i="5" s="1"/>
  <c r="BL57" i="5"/>
  <c r="DT57" i="5" s="1"/>
  <c r="DV57" i="5" s="1"/>
  <c r="BT57" i="5"/>
  <c r="BE57" i="5"/>
  <c r="BU57" i="5"/>
  <c r="FR57" i="5"/>
  <c r="FU57" i="5" s="1"/>
  <c r="CM57" i="5" s="1"/>
  <c r="AS54" i="5"/>
  <c r="AT54" i="5" s="1"/>
  <c r="AS74" i="5"/>
  <c r="AY57" i="5"/>
  <c r="AZ57" i="5" s="1"/>
  <c r="CI57" i="5" s="1"/>
  <c r="AY83" i="5"/>
  <c r="AZ83" i="5" s="1"/>
  <c r="CI83" i="5" s="1"/>
  <c r="AT67" i="5"/>
  <c r="AY67" i="5"/>
  <c r="AZ67" i="5" s="1"/>
  <c r="CI67" i="5" s="1"/>
  <c r="AT55" i="5"/>
  <c r="AY55" i="5"/>
  <c r="AZ55" i="5" s="1"/>
  <c r="CI55" i="5" s="1"/>
  <c r="AT75" i="5"/>
  <c r="AY75" i="5"/>
  <c r="AZ75" i="5" s="1"/>
  <c r="CI75" i="5" s="1"/>
  <c r="AN182" i="5"/>
  <c r="AK182" i="5"/>
  <c r="DY56" i="5"/>
  <c r="EQ178" i="5"/>
  <c r="ER178" i="5" s="1"/>
  <c r="DY71" i="5"/>
  <c r="DK204" i="5"/>
  <c r="DL204" i="5" s="1"/>
  <c r="DO226" i="5"/>
  <c r="AP226" i="5"/>
  <c r="AQ226" i="5" s="1"/>
  <c r="EL224" i="5"/>
  <c r="EM224" i="5"/>
  <c r="DI114" i="5"/>
  <c r="DJ114" i="5"/>
  <c r="FR85" i="5"/>
  <c r="FU85" i="5" s="1"/>
  <c r="CM85" i="5" s="1"/>
  <c r="BL85" i="5"/>
  <c r="DT85" i="5" s="1"/>
  <c r="DV85" i="5" s="1"/>
  <c r="BT85" i="5"/>
  <c r="BE85" i="5"/>
  <c r="BU85" i="5"/>
  <c r="BT61" i="5"/>
  <c r="BE61" i="5"/>
  <c r="FR61" i="5"/>
  <c r="FU61" i="5" s="1"/>
  <c r="CM61" i="5" s="1"/>
  <c r="BL61" i="5"/>
  <c r="DT61" i="5" s="1"/>
  <c r="DV61" i="5" s="1"/>
  <c r="BU61" i="5"/>
  <c r="FR83" i="5"/>
  <c r="FU83" i="5" s="1"/>
  <c r="CM83" i="5" s="1"/>
  <c r="BL83" i="5"/>
  <c r="DT83" i="5" s="1"/>
  <c r="DV83" i="5" s="1"/>
  <c r="BT83" i="5"/>
  <c r="BE83" i="5"/>
  <c r="BU83" i="5"/>
  <c r="BL58" i="5"/>
  <c r="DT58" i="5" s="1"/>
  <c r="DV58" i="5" s="1"/>
  <c r="BT58" i="5"/>
  <c r="BE58" i="5"/>
  <c r="BU58" i="5"/>
  <c r="FR58" i="5"/>
  <c r="FU58" i="5" s="1"/>
  <c r="CM58" i="5" s="1"/>
  <c r="BE63" i="5"/>
  <c r="BU63" i="5"/>
  <c r="BL63" i="5"/>
  <c r="DT63" i="5" s="1"/>
  <c r="DV63" i="5" s="1"/>
  <c r="FR63" i="5"/>
  <c r="FU63" i="5" s="1"/>
  <c r="BT63" i="5"/>
  <c r="AY54" i="5"/>
  <c r="AZ54" i="5" s="1"/>
  <c r="CI54" i="5" s="1"/>
  <c r="AY74" i="5"/>
  <c r="AZ74" i="5" s="1"/>
  <c r="CI74" i="5" s="1"/>
  <c r="AT74" i="5"/>
  <c r="AN227" i="5"/>
  <c r="AK227" i="5"/>
  <c r="DY67" i="5"/>
  <c r="DH206" i="5"/>
  <c r="EG206" i="5"/>
  <c r="EJ206" i="5" s="1"/>
  <c r="EK206" i="5" s="1"/>
  <c r="DY72" i="5"/>
  <c r="DY87" i="5"/>
  <c r="DY55" i="5"/>
  <c r="DI224" i="5"/>
  <c r="DJ224" i="5"/>
  <c r="AO181" i="5"/>
  <c r="AL181" i="5"/>
  <c r="DY82" i="5"/>
  <c r="AT63" i="5"/>
  <c r="AY63" i="5"/>
  <c r="AZ63" i="5" s="1"/>
  <c r="AT87" i="5"/>
  <c r="AY87" i="5"/>
  <c r="AZ87" i="5" s="1"/>
  <c r="CI87" i="5" s="1"/>
  <c r="AT59" i="5"/>
  <c r="AY59" i="5"/>
  <c r="AZ59" i="5" s="1"/>
  <c r="CI59" i="5" s="1"/>
  <c r="AN208" i="5"/>
  <c r="AK208" i="5"/>
  <c r="DY73" i="5"/>
  <c r="DY65" i="5"/>
  <c r="DY70" i="5"/>
  <c r="DK223" i="5"/>
  <c r="DL223" i="5" s="1"/>
  <c r="AL30" i="5"/>
  <c r="AO30" i="5"/>
  <c r="EL29" i="5"/>
  <c r="EM29" i="5"/>
  <c r="DO181" i="5"/>
  <c r="AP181" i="5"/>
  <c r="AQ181" i="5" s="1"/>
  <c r="DH115" i="5"/>
  <c r="EG115" i="5"/>
  <c r="EJ115" i="5" s="1"/>
  <c r="EK115" i="5" s="1"/>
  <c r="AH75" i="5"/>
  <c r="AH83" i="5"/>
  <c r="AH81" i="5"/>
  <c r="AH61" i="5"/>
  <c r="AH87" i="5"/>
  <c r="AH85" i="5"/>
  <c r="AH71" i="5"/>
  <c r="AH55" i="5"/>
  <c r="AH53" i="5"/>
  <c r="AH72" i="5"/>
  <c r="AH59" i="5"/>
  <c r="AH57" i="5"/>
  <c r="AH65" i="5"/>
  <c r="AH63" i="5"/>
  <c r="AH70" i="5"/>
  <c r="AH74" i="5"/>
  <c r="AH82" i="5"/>
  <c r="AH68" i="5"/>
  <c r="AH80" i="5"/>
  <c r="AH86" i="5"/>
  <c r="AH73" i="5"/>
  <c r="AH84" i="5"/>
  <c r="AH54" i="5"/>
  <c r="AH56" i="5"/>
  <c r="AH58" i="5"/>
  <c r="AH67" i="5"/>
  <c r="AH64" i="5"/>
  <c r="AJ118" i="5"/>
  <c r="AJ209" i="5"/>
  <c r="AJ228" i="5"/>
  <c r="AJ183" i="5"/>
  <c r="X199" i="5"/>
  <c r="X197" i="5"/>
  <c r="FB114" i="21" l="1"/>
  <c r="ED114" i="21" s="1"/>
  <c r="CR114" i="21" s="1"/>
  <c r="DR113" i="21"/>
  <c r="DS222" i="21"/>
  <c r="EW30" i="21"/>
  <c r="FB30" i="21" s="1"/>
  <c r="DQ200" i="21"/>
  <c r="DR200" i="21" s="1"/>
  <c r="DP116" i="21"/>
  <c r="DO116" i="21"/>
  <c r="DN202" i="21"/>
  <c r="EM202" i="21"/>
  <c r="EP202" i="21" s="1"/>
  <c r="EQ202" i="21" s="1"/>
  <c r="DQ174" i="21"/>
  <c r="DR174" i="21" s="1"/>
  <c r="AP120" i="21"/>
  <c r="AT119" i="21"/>
  <c r="AQ119" i="21"/>
  <c r="DN225" i="21"/>
  <c r="EM225" i="21"/>
  <c r="EP225" i="21" s="1"/>
  <c r="EQ225" i="21" s="1"/>
  <c r="DS199" i="21"/>
  <c r="CQ199" i="21"/>
  <c r="ES117" i="21"/>
  <c r="ER117" i="21"/>
  <c r="AU118" i="21"/>
  <c r="AR118" i="21"/>
  <c r="DU118" i="21"/>
  <c r="AV118" i="21"/>
  <c r="AW118" i="21" s="1"/>
  <c r="DQ223" i="21"/>
  <c r="DR223" i="21" s="1"/>
  <c r="AR203" i="21"/>
  <c r="AU203" i="21"/>
  <c r="AP34" i="21"/>
  <c r="AT33" i="21"/>
  <c r="DU33" i="21" s="1"/>
  <c r="AQ33" i="21"/>
  <c r="EM32" i="21"/>
  <c r="EP32" i="21" s="1"/>
  <c r="EQ32" i="21" s="1"/>
  <c r="DU226" i="21"/>
  <c r="AV226" i="21"/>
  <c r="AW226" i="21" s="1"/>
  <c r="EW200" i="21"/>
  <c r="EX200" i="21" s="1"/>
  <c r="DQ115" i="21"/>
  <c r="DR115" i="21" s="1"/>
  <c r="CY221" i="21"/>
  <c r="FK221" i="21"/>
  <c r="FM221" i="21" s="1"/>
  <c r="AD221" i="21"/>
  <c r="ER175" i="21"/>
  <c r="ES175" i="21"/>
  <c r="ES31" i="21"/>
  <c r="ER31" i="21"/>
  <c r="AP228" i="21"/>
  <c r="AT227" i="21"/>
  <c r="AQ227" i="21"/>
  <c r="AU177" i="21"/>
  <c r="AR177" i="21"/>
  <c r="ES116" i="21"/>
  <c r="ER116" i="21"/>
  <c r="FK172" i="21"/>
  <c r="FM172" i="21" s="1"/>
  <c r="AD172" i="21"/>
  <c r="CY172" i="21"/>
  <c r="CQ173" i="21"/>
  <c r="DS173" i="21"/>
  <c r="AR32" i="21"/>
  <c r="AU32" i="21"/>
  <c r="AU226" i="21"/>
  <c r="AR226" i="21"/>
  <c r="EW174" i="21"/>
  <c r="EX174" i="21" s="1"/>
  <c r="CZ114" i="21"/>
  <c r="FL114" i="21"/>
  <c r="EW115" i="21"/>
  <c r="FB115" i="21" s="1"/>
  <c r="ED115" i="21" s="1"/>
  <c r="CR115" i="21" s="1"/>
  <c r="ES224" i="21"/>
  <c r="ER224" i="21"/>
  <c r="AD198" i="21"/>
  <c r="FK198" i="21"/>
  <c r="FM198" i="21" s="1"/>
  <c r="CY198" i="21"/>
  <c r="ES201" i="21"/>
  <c r="ER201" i="21"/>
  <c r="AP179" i="21"/>
  <c r="AT178" i="21"/>
  <c r="AQ178" i="21"/>
  <c r="DP201" i="21"/>
  <c r="DO201" i="21"/>
  <c r="DN176" i="21"/>
  <c r="EM176" i="21"/>
  <c r="EP176" i="21" s="1"/>
  <c r="EQ176" i="21" s="1"/>
  <c r="DO224" i="21"/>
  <c r="DP224" i="21"/>
  <c r="DU177" i="21"/>
  <c r="AV177" i="21"/>
  <c r="AW177" i="21" s="1"/>
  <c r="DO175" i="21"/>
  <c r="DP175" i="21"/>
  <c r="DU203" i="21"/>
  <c r="AV203" i="21"/>
  <c r="AW203" i="21" s="1"/>
  <c r="AT204" i="21"/>
  <c r="AP205" i="21"/>
  <c r="AQ204" i="21"/>
  <c r="ED29" i="21"/>
  <c r="DR29" i="21"/>
  <c r="DS29" i="21" s="1"/>
  <c r="EW223" i="21"/>
  <c r="EX223" i="21" s="1"/>
  <c r="EA28" i="20"/>
  <c r="FJ114" i="20"/>
  <c r="EL114" i="20" s="1"/>
  <c r="CZ114" i="20" s="1"/>
  <c r="FT114" i="20" s="1"/>
  <c r="BV64" i="5"/>
  <c r="CC64" i="5" s="1"/>
  <c r="CE64" i="5" s="1"/>
  <c r="BV68" i="5"/>
  <c r="CC68" i="5" s="1"/>
  <c r="CE68" i="5" s="1"/>
  <c r="CJ68" i="5" s="1"/>
  <c r="ER28" i="5"/>
  <c r="BV61" i="5"/>
  <c r="CC61" i="5" s="1"/>
  <c r="CE61" i="5" s="1"/>
  <c r="CJ61" i="5" s="1"/>
  <c r="BV83" i="5"/>
  <c r="CC83" i="5" s="1"/>
  <c r="CE83" i="5" s="1"/>
  <c r="CJ83" i="5" s="1"/>
  <c r="BV70" i="5"/>
  <c r="CC70" i="5" s="1"/>
  <c r="CE70" i="5" s="1"/>
  <c r="CJ70" i="5" s="1"/>
  <c r="BV82" i="5"/>
  <c r="CC82" i="5" s="1"/>
  <c r="CE82" i="5" s="1"/>
  <c r="CJ82" i="5" s="1"/>
  <c r="FD82" i="5" s="1"/>
  <c r="BV85" i="5"/>
  <c r="CC85" i="5" s="1"/>
  <c r="CE85" i="5" s="1"/>
  <c r="CJ85" i="5" s="1"/>
  <c r="BV53" i="5"/>
  <c r="CC53" i="5" s="1"/>
  <c r="CE53" i="5" s="1"/>
  <c r="CJ53" i="5" s="1"/>
  <c r="DY1" i="5"/>
  <c r="DY2" i="5" s="1"/>
  <c r="BV65" i="5"/>
  <c r="CC65" i="5" s="1"/>
  <c r="CE65" i="5" s="1"/>
  <c r="CJ65" i="5" s="1"/>
  <c r="CQ65" i="5" s="1"/>
  <c r="FE30" i="20"/>
  <c r="FF30" i="20" s="1"/>
  <c r="FJ29" i="20"/>
  <c r="EU32" i="20"/>
  <c r="EX32" i="20" s="1"/>
  <c r="EY32" i="20" s="1"/>
  <c r="AZ118" i="20"/>
  <c r="BC118" i="20"/>
  <c r="DV117" i="20"/>
  <c r="EU117" i="20"/>
  <c r="EX117" i="20" s="1"/>
  <c r="EY117" i="20" s="1"/>
  <c r="AX120" i="20"/>
  <c r="BB119" i="20"/>
  <c r="AY119" i="20"/>
  <c r="DZ118" i="20"/>
  <c r="EU118" i="20"/>
  <c r="EX118" i="20" s="1"/>
  <c r="EY118" i="20" s="1"/>
  <c r="FA116" i="20"/>
  <c r="EZ116" i="20"/>
  <c r="DX116" i="20"/>
  <c r="DW116" i="20"/>
  <c r="AZ32" i="20"/>
  <c r="BC32" i="20"/>
  <c r="FA31" i="20"/>
  <c r="EZ31" i="20"/>
  <c r="DY115" i="20"/>
  <c r="AX34" i="20"/>
  <c r="BB33" i="20"/>
  <c r="EC33" i="20" s="1"/>
  <c r="AY33" i="20"/>
  <c r="FE115" i="20"/>
  <c r="FF115" i="20" s="1"/>
  <c r="CY113" i="20"/>
  <c r="EA113" i="20"/>
  <c r="AW71" i="5"/>
  <c r="CH71" i="5" s="1"/>
  <c r="AW65" i="5"/>
  <c r="CH65" i="5" s="1"/>
  <c r="AW73" i="5"/>
  <c r="CH73" i="5" s="1"/>
  <c r="AW61" i="5"/>
  <c r="CH61" i="5" s="1"/>
  <c r="AW53" i="5"/>
  <c r="CH53" i="5" s="1"/>
  <c r="DX28" i="5"/>
  <c r="DL28" i="5"/>
  <c r="DM28" i="5" s="1"/>
  <c r="DM223" i="5"/>
  <c r="AW81" i="5"/>
  <c r="CH81" i="5" s="1"/>
  <c r="AW85" i="5"/>
  <c r="CH85" i="5" s="1"/>
  <c r="DO208" i="5"/>
  <c r="AP208" i="5"/>
  <c r="AQ208" i="5" s="1"/>
  <c r="EM206" i="5"/>
  <c r="EL206" i="5"/>
  <c r="CR83" i="5"/>
  <c r="FC83" i="5"/>
  <c r="CQ85" i="5"/>
  <c r="FD85" i="5"/>
  <c r="AW55" i="5"/>
  <c r="CH55" i="5" s="1"/>
  <c r="EA86" i="5"/>
  <c r="EB86" i="5"/>
  <c r="EA82" i="5"/>
  <c r="EB82" i="5"/>
  <c r="EB59" i="5"/>
  <c r="EA59" i="5"/>
  <c r="CR80" i="5"/>
  <c r="FC80" i="5"/>
  <c r="CQ68" i="5"/>
  <c r="FD68" i="5"/>
  <c r="EL30" i="5"/>
  <c r="EM30" i="5"/>
  <c r="AW72" i="5"/>
  <c r="CH72" i="5" s="1"/>
  <c r="BF73" i="5"/>
  <c r="BH73" i="5" s="1"/>
  <c r="BG73" i="5"/>
  <c r="CR71" i="5"/>
  <c r="FC71" i="5"/>
  <c r="AN118" i="5"/>
  <c r="DO118" i="5" s="1"/>
  <c r="AK118" i="5"/>
  <c r="DI115" i="5"/>
  <c r="DJ115" i="5"/>
  <c r="DI206" i="5"/>
  <c r="DJ206" i="5"/>
  <c r="AW54" i="5"/>
  <c r="CH54" i="5" s="1"/>
  <c r="BF58" i="5"/>
  <c r="BH58" i="5" s="1"/>
  <c r="BG58" i="5"/>
  <c r="EB85" i="5"/>
  <c r="EA85" i="5"/>
  <c r="DH226" i="5"/>
  <c r="EG226" i="5"/>
  <c r="EJ226" i="5" s="1"/>
  <c r="EK226" i="5" s="1"/>
  <c r="CR57" i="5"/>
  <c r="FC57" i="5"/>
  <c r="BG54" i="5"/>
  <c r="BF54" i="5"/>
  <c r="BH54" i="5" s="1"/>
  <c r="AW70" i="5"/>
  <c r="CH70" i="5" s="1"/>
  <c r="BV67" i="5"/>
  <c r="CC67" i="5" s="1"/>
  <c r="CE67" i="5" s="1"/>
  <c r="CJ67" i="5" s="1"/>
  <c r="BF72" i="5"/>
  <c r="BH72" i="5" s="1"/>
  <c r="BG72" i="5"/>
  <c r="CR82" i="5"/>
  <c r="FC82" i="5"/>
  <c r="EV113" i="5"/>
  <c r="AW82" i="5"/>
  <c r="CH82" i="5" s="1"/>
  <c r="AW64" i="5"/>
  <c r="EA65" i="5"/>
  <c r="EB65" i="5"/>
  <c r="BF56" i="5"/>
  <c r="BH56" i="5" s="1"/>
  <c r="BG56" i="5"/>
  <c r="CR55" i="5"/>
  <c r="FC55" i="5"/>
  <c r="AO31" i="5"/>
  <c r="AL31" i="5"/>
  <c r="EQ205" i="5"/>
  <c r="ER205" i="5" s="1"/>
  <c r="BF74" i="5"/>
  <c r="BH74" i="5" s="1"/>
  <c r="BG74" i="5"/>
  <c r="AW80" i="5"/>
  <c r="CH80" i="5" s="1"/>
  <c r="EA68" i="5"/>
  <c r="EB68" i="5"/>
  <c r="EL225" i="5"/>
  <c r="EM225" i="5"/>
  <c r="DH181" i="5"/>
  <c r="EG181" i="5"/>
  <c r="EJ181" i="5" s="1"/>
  <c r="EK181" i="5" s="1"/>
  <c r="AW59" i="5"/>
  <c r="CH59" i="5" s="1"/>
  <c r="BV63" i="5"/>
  <c r="CC63" i="5" s="1"/>
  <c r="CE63" i="5" s="1"/>
  <c r="BV58" i="5"/>
  <c r="CC58" i="5" s="1"/>
  <c r="CE58" i="5" s="1"/>
  <c r="CJ58" i="5" s="1"/>
  <c r="EA61" i="5"/>
  <c r="EB61" i="5"/>
  <c r="CR85" i="5"/>
  <c r="FC85" i="5"/>
  <c r="AW67" i="5"/>
  <c r="CH67" i="5" s="1"/>
  <c r="BV54" i="5"/>
  <c r="CC54" i="5" s="1"/>
  <c r="CE54" i="5" s="1"/>
  <c r="CJ54" i="5" s="1"/>
  <c r="EQ114" i="5"/>
  <c r="ER114" i="5" s="1"/>
  <c r="DK179" i="5"/>
  <c r="DL179" i="5" s="1"/>
  <c r="CM4" i="5"/>
  <c r="CM9" i="5"/>
  <c r="CM3" i="5"/>
  <c r="CM8" i="5"/>
  <c r="CM1" i="5"/>
  <c r="CM2" i="5" s="1"/>
  <c r="CM6" i="5"/>
  <c r="CM7" i="5" s="1"/>
  <c r="CR53" i="5"/>
  <c r="FC53" i="5"/>
  <c r="BV72" i="5"/>
  <c r="CC72" i="5" s="1"/>
  <c r="CE72" i="5" s="1"/>
  <c r="CJ72" i="5" s="1"/>
  <c r="DH207" i="5"/>
  <c r="EG207" i="5"/>
  <c r="EJ207" i="5" s="1"/>
  <c r="EK207" i="5" s="1"/>
  <c r="CR65" i="5"/>
  <c r="FC65" i="5"/>
  <c r="CR84" i="5"/>
  <c r="FC84" i="5"/>
  <c r="EG31" i="5"/>
  <c r="EJ31" i="5" s="1"/>
  <c r="EK31" i="5" s="1"/>
  <c r="BV74" i="5"/>
  <c r="CC74" i="5" s="1"/>
  <c r="CE74" i="5" s="1"/>
  <c r="CJ74" i="5" s="1"/>
  <c r="BF80" i="5"/>
  <c r="BH80" i="5" s="1"/>
  <c r="BG80" i="5"/>
  <c r="CR87" i="5"/>
  <c r="FC87" i="5"/>
  <c r="DI225" i="5"/>
  <c r="DJ225" i="5"/>
  <c r="BF71" i="5"/>
  <c r="BH71" i="5" s="1"/>
  <c r="BG71" i="5"/>
  <c r="DK224" i="5"/>
  <c r="DL224" i="5" s="1"/>
  <c r="EA58" i="5"/>
  <c r="EB58" i="5"/>
  <c r="FC61" i="5"/>
  <c r="CR61" i="5"/>
  <c r="DM204" i="5"/>
  <c r="CK204" i="5"/>
  <c r="AL182" i="5"/>
  <c r="AO182" i="5"/>
  <c r="BF57" i="5"/>
  <c r="BH57" i="5" s="1"/>
  <c r="BG57" i="5"/>
  <c r="CQ75" i="5"/>
  <c r="FD75" i="5"/>
  <c r="EA72" i="5"/>
  <c r="EB72" i="5"/>
  <c r="DK205" i="5"/>
  <c r="DL205" i="5" s="1"/>
  <c r="AW56" i="5"/>
  <c r="CH56" i="5" s="1"/>
  <c r="CR81" i="5"/>
  <c r="FC81" i="5"/>
  <c r="BG55" i="5"/>
  <c r="BF55" i="5"/>
  <c r="BH55" i="5" s="1"/>
  <c r="AJ33" i="5"/>
  <c r="AN32" i="5"/>
  <c r="DO32" i="5" s="1"/>
  <c r="AK32" i="5"/>
  <c r="EA74" i="5"/>
  <c r="EB74" i="5"/>
  <c r="FC70" i="5"/>
  <c r="CR70" i="5"/>
  <c r="BV80" i="5"/>
  <c r="CC80" i="5" s="1"/>
  <c r="CE80" i="5" s="1"/>
  <c r="CJ80" i="5" s="1"/>
  <c r="EA64" i="5"/>
  <c r="EB64" i="5"/>
  <c r="EQ29" i="5"/>
  <c r="ER29" i="5" s="1"/>
  <c r="AW87" i="5"/>
  <c r="CH87" i="5" s="1"/>
  <c r="AL227" i="5"/>
  <c r="AO227" i="5"/>
  <c r="EA63" i="5"/>
  <c r="EB63" i="5"/>
  <c r="BF61" i="5"/>
  <c r="BH61" i="5" s="1"/>
  <c r="BG61" i="5"/>
  <c r="DK114" i="5"/>
  <c r="DO182" i="5"/>
  <c r="AP182" i="5"/>
  <c r="AQ182" i="5" s="1"/>
  <c r="AW83" i="5"/>
  <c r="CH83" i="5" s="1"/>
  <c r="BV57" i="5"/>
  <c r="CC57" i="5" s="1"/>
  <c r="CE57" i="5" s="1"/>
  <c r="CJ57" i="5" s="1"/>
  <c r="EA75" i="5"/>
  <c r="EB75" i="5"/>
  <c r="FC86" i="5"/>
  <c r="CR86" i="5"/>
  <c r="BF53" i="5"/>
  <c r="BH53" i="5" s="1"/>
  <c r="BG53" i="5"/>
  <c r="EL180" i="5"/>
  <c r="EM180" i="5"/>
  <c r="AW68" i="5"/>
  <c r="CH68" i="5" s="1"/>
  <c r="BV81" i="5"/>
  <c r="CC81" i="5" s="1"/>
  <c r="CE81" i="5" s="1"/>
  <c r="CJ81" i="5" s="1"/>
  <c r="BF65" i="5"/>
  <c r="BH65" i="5" s="1"/>
  <c r="BG65" i="5"/>
  <c r="BI65" i="5" s="1"/>
  <c r="BF84" i="5"/>
  <c r="BH84" i="5" s="1"/>
  <c r="BG84" i="5"/>
  <c r="BV55" i="5"/>
  <c r="CC55" i="5" s="1"/>
  <c r="CE55" i="5" s="1"/>
  <c r="CJ55" i="5" s="1"/>
  <c r="CR59" i="5"/>
  <c r="FC59" i="5"/>
  <c r="EA80" i="5"/>
  <c r="EB80" i="5"/>
  <c r="BV87" i="5"/>
  <c r="CC87" i="5" s="1"/>
  <c r="CE87" i="5" s="1"/>
  <c r="CJ87" i="5" s="1"/>
  <c r="BV73" i="5"/>
  <c r="CC73" i="5" s="1"/>
  <c r="CE73" i="5" s="1"/>
  <c r="CJ73" i="5" s="1"/>
  <c r="DY4" i="5"/>
  <c r="AN183" i="5"/>
  <c r="AK183" i="5"/>
  <c r="DO227" i="5"/>
  <c r="AP227" i="5"/>
  <c r="AQ227" i="5" s="1"/>
  <c r="BG83" i="5"/>
  <c r="BF83" i="5"/>
  <c r="BH83" i="5" s="1"/>
  <c r="FD61" i="5"/>
  <c r="CQ61" i="5"/>
  <c r="AW57" i="5"/>
  <c r="CH57" i="5" s="1"/>
  <c r="EA57" i="5"/>
  <c r="EB57" i="5"/>
  <c r="CR75" i="5"/>
  <c r="FC75" i="5"/>
  <c r="EA67" i="5"/>
  <c r="EB67" i="5"/>
  <c r="FD53" i="5"/>
  <c r="CQ53" i="5"/>
  <c r="CI1" i="5"/>
  <c r="BZ3" i="5"/>
  <c r="CI6" i="5"/>
  <c r="CI7" i="5" s="1"/>
  <c r="BZ1" i="5"/>
  <c r="CI4" i="5"/>
  <c r="CI9" i="5"/>
  <c r="CI3" i="5"/>
  <c r="CI8" i="5"/>
  <c r="BZ4" i="5"/>
  <c r="DI180" i="5"/>
  <c r="DJ180" i="5"/>
  <c r="EB81" i="5"/>
  <c r="EA81" i="5"/>
  <c r="BV56" i="5"/>
  <c r="CC56" i="5" s="1"/>
  <c r="CE56" i="5" s="1"/>
  <c r="CJ56" i="5" s="1"/>
  <c r="BV84" i="5"/>
  <c r="CC84" i="5" s="1"/>
  <c r="CE84" i="5" s="1"/>
  <c r="CJ84" i="5" s="1"/>
  <c r="EB55" i="5"/>
  <c r="EA55" i="5"/>
  <c r="BF70" i="5"/>
  <c r="BH70" i="5" s="1"/>
  <c r="BG70" i="5"/>
  <c r="FC68" i="5"/>
  <c r="CR68" i="5"/>
  <c r="BG87" i="5"/>
  <c r="BF87" i="5"/>
  <c r="BH87" i="5" s="1"/>
  <c r="AL117" i="5"/>
  <c r="AO117" i="5"/>
  <c r="EA73" i="5"/>
  <c r="EB73" i="5"/>
  <c r="BG64" i="5"/>
  <c r="BF64" i="5"/>
  <c r="BH64" i="5" s="1"/>
  <c r="DY3" i="5"/>
  <c r="AN228" i="5"/>
  <c r="AK228" i="5"/>
  <c r="AW63" i="5"/>
  <c r="AW74" i="5"/>
  <c r="CH74" i="5" s="1"/>
  <c r="BF63" i="5"/>
  <c r="BH63" i="5" s="1"/>
  <c r="BG63" i="5"/>
  <c r="CQ83" i="5"/>
  <c r="FD83" i="5"/>
  <c r="AW75" i="5"/>
  <c r="CH75" i="5" s="1"/>
  <c r="FC54" i="5"/>
  <c r="CR54" i="5"/>
  <c r="BF86" i="5"/>
  <c r="BH86" i="5" s="1"/>
  <c r="BG86" i="5"/>
  <c r="FC67" i="5"/>
  <c r="CR67" i="5"/>
  <c r="AW86" i="5"/>
  <c r="CH86" i="5" s="1"/>
  <c r="EB53" i="5"/>
  <c r="EA53" i="5"/>
  <c r="BF82" i="5"/>
  <c r="BH82" i="5" s="1"/>
  <c r="BG82" i="5"/>
  <c r="EQ179" i="5"/>
  <c r="ER179" i="5" s="1"/>
  <c r="AW84" i="5"/>
  <c r="CH84" i="5" s="1"/>
  <c r="EA56" i="5"/>
  <c r="EB56" i="5"/>
  <c r="EA84" i="5"/>
  <c r="EB84" i="5"/>
  <c r="DH116" i="5"/>
  <c r="EG116" i="5"/>
  <c r="EJ116" i="5" s="1"/>
  <c r="EK116" i="5" s="1"/>
  <c r="BG59" i="5"/>
  <c r="BF59" i="5"/>
  <c r="BH59" i="5" s="1"/>
  <c r="FD70" i="5"/>
  <c r="CQ70" i="5"/>
  <c r="BF68" i="5"/>
  <c r="BH68" i="5" s="1"/>
  <c r="BG68" i="5"/>
  <c r="EB87" i="5"/>
  <c r="EA87" i="5"/>
  <c r="DO117" i="5"/>
  <c r="AP117" i="5"/>
  <c r="AQ117" i="5" s="1"/>
  <c r="CR73" i="5"/>
  <c r="FC73" i="5"/>
  <c r="BV71" i="5"/>
  <c r="CC71" i="5" s="1"/>
  <c r="CE71" i="5" s="1"/>
  <c r="CJ71" i="5" s="1"/>
  <c r="AN209" i="5"/>
  <c r="AK209" i="5"/>
  <c r="EL115" i="5"/>
  <c r="EM115" i="5"/>
  <c r="AL208" i="5"/>
  <c r="AO208" i="5"/>
  <c r="FC58" i="5"/>
  <c r="CR58" i="5"/>
  <c r="EA83" i="5"/>
  <c r="EB83" i="5"/>
  <c r="BF85" i="5"/>
  <c r="BH85" i="5" s="1"/>
  <c r="BG85" i="5"/>
  <c r="EQ224" i="5"/>
  <c r="ER224" i="5" s="1"/>
  <c r="EA54" i="5"/>
  <c r="EB54" i="5"/>
  <c r="BF75" i="5"/>
  <c r="BH75" i="5" s="1"/>
  <c r="BG75" i="5"/>
  <c r="BV86" i="5"/>
  <c r="CC86" i="5" s="1"/>
  <c r="CE86" i="5" s="1"/>
  <c r="CJ86" i="5" s="1"/>
  <c r="BG67" i="5"/>
  <c r="BF67" i="5"/>
  <c r="BH67" i="5" s="1"/>
  <c r="DM178" i="5"/>
  <c r="CK178" i="5"/>
  <c r="FC72" i="5"/>
  <c r="CR72" i="5"/>
  <c r="DL110" i="5"/>
  <c r="DM110" i="5" s="1"/>
  <c r="DX110" i="5"/>
  <c r="BG81" i="5"/>
  <c r="BF81" i="5"/>
  <c r="BH81" i="5" s="1"/>
  <c r="CR56" i="5"/>
  <c r="FC56" i="5"/>
  <c r="AW58" i="5"/>
  <c r="CH58" i="5" s="1"/>
  <c r="FC74" i="5"/>
  <c r="CR74" i="5"/>
  <c r="BV59" i="5"/>
  <c r="CC59" i="5" s="1"/>
  <c r="CE59" i="5" s="1"/>
  <c r="CJ59" i="5" s="1"/>
  <c r="EA70" i="5"/>
  <c r="EB70" i="5"/>
  <c r="EA71" i="5"/>
  <c r="EB71" i="5"/>
  <c r="AJ119" i="5"/>
  <c r="AJ210" i="5"/>
  <c r="X204" i="5"/>
  <c r="AJ229" i="5"/>
  <c r="AJ184" i="5"/>
  <c r="X177" i="5"/>
  <c r="CQ113" i="21" l="1"/>
  <c r="DS113" i="21"/>
  <c r="DR114" i="21"/>
  <c r="DS223" i="21"/>
  <c r="CQ223" i="21"/>
  <c r="FL115" i="21"/>
  <c r="CZ115" i="21"/>
  <c r="CQ115" i="21"/>
  <c r="DS200" i="21"/>
  <c r="CQ200" i="21"/>
  <c r="ED30" i="21"/>
  <c r="DR30" i="21"/>
  <c r="DS174" i="21"/>
  <c r="CQ174" i="21"/>
  <c r="EW117" i="21"/>
  <c r="EX117" i="21" s="1"/>
  <c r="DS117" i="21" s="1"/>
  <c r="DO225" i="21"/>
  <c r="DP225" i="21"/>
  <c r="AT120" i="21"/>
  <c r="AP121" i="21"/>
  <c r="AQ120" i="21"/>
  <c r="EW116" i="21"/>
  <c r="EX116" i="21" s="1"/>
  <c r="ES202" i="21"/>
  <c r="ER202" i="21"/>
  <c r="AU204" i="21"/>
  <c r="AR204" i="21"/>
  <c r="EW224" i="21"/>
  <c r="EX224" i="21" s="1"/>
  <c r="DP202" i="21"/>
  <c r="DO202" i="21"/>
  <c r="ER225" i="21"/>
  <c r="ES225" i="21"/>
  <c r="AP180" i="21"/>
  <c r="AT179" i="21"/>
  <c r="AQ179" i="21"/>
  <c r="AU119" i="21"/>
  <c r="AR119" i="21"/>
  <c r="AP206" i="21"/>
  <c r="AT205" i="21"/>
  <c r="AQ205" i="21"/>
  <c r="AU33" i="21"/>
  <c r="AR33" i="21"/>
  <c r="DQ116" i="21"/>
  <c r="DQ201" i="21"/>
  <c r="DR201" i="21" s="1"/>
  <c r="DU178" i="21"/>
  <c r="AV178" i="21"/>
  <c r="AW178" i="21" s="1"/>
  <c r="EX115" i="21"/>
  <c r="DS115" i="21" s="1"/>
  <c r="AU227" i="21"/>
  <c r="AR227" i="21"/>
  <c r="AP35" i="21"/>
  <c r="AT34" i="21"/>
  <c r="DU34" i="21" s="1"/>
  <c r="AQ34" i="21"/>
  <c r="AR178" i="21"/>
  <c r="AU178" i="21"/>
  <c r="DN203" i="21"/>
  <c r="EM203" i="21"/>
  <c r="EP203" i="21" s="1"/>
  <c r="EQ203" i="21" s="1"/>
  <c r="DU227" i="21"/>
  <c r="AV227" i="21"/>
  <c r="AW227" i="21" s="1"/>
  <c r="AP229" i="21"/>
  <c r="AT228" i="21"/>
  <c r="AQ228" i="21"/>
  <c r="DU204" i="21"/>
  <c r="AV204" i="21"/>
  <c r="AW204" i="21" s="1"/>
  <c r="DQ175" i="21"/>
  <c r="DR175" i="21" s="1"/>
  <c r="EW31" i="21"/>
  <c r="EX31" i="21" s="1"/>
  <c r="EX30" i="21"/>
  <c r="DO176" i="21"/>
  <c r="DP176" i="21"/>
  <c r="FK199" i="21"/>
  <c r="FM199" i="21" s="1"/>
  <c r="AD199" i="21"/>
  <c r="CY199" i="21"/>
  <c r="DE173" i="21"/>
  <c r="AD173" i="21"/>
  <c r="FK173" i="21"/>
  <c r="FM173" i="21" s="1"/>
  <c r="ES32" i="21"/>
  <c r="ER32" i="21"/>
  <c r="DU119" i="21"/>
  <c r="AV119" i="21"/>
  <c r="AW119" i="21" s="1"/>
  <c r="DN177" i="21"/>
  <c r="EM177" i="21"/>
  <c r="EP177" i="21" s="1"/>
  <c r="EQ177" i="21" s="1"/>
  <c r="EW175" i="21"/>
  <c r="EX175" i="21" s="1"/>
  <c r="DN118" i="21"/>
  <c r="EM118" i="21"/>
  <c r="EP118" i="21" s="1"/>
  <c r="EQ118" i="21" s="1"/>
  <c r="DQ224" i="21"/>
  <c r="DR224" i="21" s="1"/>
  <c r="EW201" i="21"/>
  <c r="EX201" i="21" s="1"/>
  <c r="DN226" i="21"/>
  <c r="EM226" i="21"/>
  <c r="EP226" i="21" s="1"/>
  <c r="EQ226" i="21" s="1"/>
  <c r="EM33" i="21"/>
  <c r="EP33" i="21" s="1"/>
  <c r="EQ33" i="21" s="1"/>
  <c r="ES176" i="21"/>
  <c r="ER176" i="21"/>
  <c r="DH114" i="20"/>
  <c r="FJ115" i="20"/>
  <c r="EL115" i="20" s="1"/>
  <c r="CZ115" i="20" s="1"/>
  <c r="FT115" i="20" s="1"/>
  <c r="DZ114" i="20"/>
  <c r="CQ82" i="5"/>
  <c r="BI70" i="5"/>
  <c r="BI55" i="5"/>
  <c r="BJ55" i="5" s="1"/>
  <c r="EC55" i="5" s="1"/>
  <c r="BI57" i="5"/>
  <c r="FD65" i="5"/>
  <c r="BI81" i="5"/>
  <c r="BI67" i="5"/>
  <c r="BJ67" i="5" s="1"/>
  <c r="EC67" i="5" s="1"/>
  <c r="BI73" i="5"/>
  <c r="CA3" i="5"/>
  <c r="EV114" i="5"/>
  <c r="DX114" i="5" s="1"/>
  <c r="CL114" i="5" s="1"/>
  <c r="FF114" i="5" s="1"/>
  <c r="BI56" i="5"/>
  <c r="BI74" i="5"/>
  <c r="BJ74" i="5" s="1"/>
  <c r="EC74" i="5" s="1"/>
  <c r="BI85" i="5"/>
  <c r="BI59" i="5"/>
  <c r="BI64" i="5"/>
  <c r="BJ64" i="5" s="1"/>
  <c r="EC64" i="5" s="1"/>
  <c r="BI61" i="5"/>
  <c r="CJ1" i="5"/>
  <c r="CA2" i="5" s="1"/>
  <c r="BI75" i="5"/>
  <c r="BI58" i="5"/>
  <c r="FA117" i="20"/>
  <c r="EZ117" i="20"/>
  <c r="BB120" i="20"/>
  <c r="AX121" i="20"/>
  <c r="AY120" i="20"/>
  <c r="DW117" i="20"/>
  <c r="DX117" i="20"/>
  <c r="FJ30" i="20"/>
  <c r="BC119" i="20"/>
  <c r="AZ119" i="20"/>
  <c r="EL29" i="20"/>
  <c r="DZ29" i="20"/>
  <c r="EA29" i="20" s="1"/>
  <c r="DY116" i="20"/>
  <c r="BC33" i="20"/>
  <c r="AZ33" i="20"/>
  <c r="FA118" i="20"/>
  <c r="EZ118" i="20"/>
  <c r="EZ32" i="20"/>
  <c r="FA32" i="20"/>
  <c r="EU33" i="20"/>
  <c r="EX33" i="20" s="1"/>
  <c r="EY33" i="20" s="1"/>
  <c r="DG113" i="20"/>
  <c r="AL113" i="20"/>
  <c r="FS113" i="20"/>
  <c r="FU113" i="20" s="1"/>
  <c r="AX35" i="20"/>
  <c r="BB34" i="20"/>
  <c r="EC34" i="20" s="1"/>
  <c r="AY34" i="20"/>
  <c r="FE31" i="20"/>
  <c r="FJ31" i="20" s="1"/>
  <c r="FE116" i="20"/>
  <c r="FF116" i="20" s="1"/>
  <c r="EC119" i="20"/>
  <c r="BD119" i="20"/>
  <c r="BE119" i="20" s="1"/>
  <c r="DM179" i="5"/>
  <c r="CK179" i="5"/>
  <c r="DG53" i="5"/>
  <c r="FB74" i="5"/>
  <c r="CP74" i="5"/>
  <c r="CJ4" i="5"/>
  <c r="CQ87" i="5"/>
  <c r="FD87" i="5"/>
  <c r="AJ34" i="5"/>
  <c r="AN33" i="5"/>
  <c r="DO33" i="5" s="1"/>
  <c r="AK33" i="5"/>
  <c r="DM205" i="5"/>
  <c r="CK205" i="5"/>
  <c r="DM224" i="5"/>
  <c r="CK224" i="5"/>
  <c r="EL207" i="5"/>
  <c r="EM207" i="5"/>
  <c r="DG65" i="5"/>
  <c r="DG82" i="5"/>
  <c r="FB81" i="5"/>
  <c r="CP81" i="5"/>
  <c r="AN210" i="5"/>
  <c r="AK210" i="5"/>
  <c r="DG73" i="5"/>
  <c r="AN119" i="5"/>
  <c r="AK119" i="5"/>
  <c r="BJ81" i="5"/>
  <c r="EC81" i="5" s="1"/>
  <c r="BJ59" i="5"/>
  <c r="EC59" i="5" s="1"/>
  <c r="CP84" i="5"/>
  <c r="FB84" i="5"/>
  <c r="CP86" i="5"/>
  <c r="FB86" i="5"/>
  <c r="BJ70" i="5"/>
  <c r="EC70" i="5" s="1"/>
  <c r="DK180" i="5"/>
  <c r="DL180" i="5" s="1"/>
  <c r="CA1" i="5"/>
  <c r="BI83" i="5"/>
  <c r="BJ83" i="5" s="1"/>
  <c r="EC83" i="5" s="1"/>
  <c r="DG80" i="5"/>
  <c r="BJ65" i="5"/>
  <c r="EC65" i="5" s="1"/>
  <c r="DH182" i="5"/>
  <c r="EG182" i="5"/>
  <c r="EJ182" i="5" s="1"/>
  <c r="EK182" i="5" s="1"/>
  <c r="FD80" i="5"/>
  <c r="CQ80" i="5"/>
  <c r="DG72" i="5"/>
  <c r="CY204" i="5"/>
  <c r="FE204" i="5"/>
  <c r="FG204" i="5" s="1"/>
  <c r="BI71" i="5"/>
  <c r="BJ71" i="5" s="1"/>
  <c r="EC71" i="5" s="1"/>
  <c r="FD74" i="5"/>
  <c r="CQ74" i="5"/>
  <c r="DI207" i="5"/>
  <c r="DJ207" i="5"/>
  <c r="FD58" i="5"/>
  <c r="CQ58" i="5"/>
  <c r="EQ225" i="5"/>
  <c r="ER225" i="5" s="1"/>
  <c r="BI72" i="5"/>
  <c r="BJ72" i="5" s="1"/>
  <c r="EC72" i="5" s="1"/>
  <c r="CP54" i="5"/>
  <c r="FB54" i="5"/>
  <c r="CP71" i="5"/>
  <c r="FB71" i="5"/>
  <c r="CI2" i="5"/>
  <c r="BZ2" i="5"/>
  <c r="CJ6" i="5"/>
  <c r="CJ7" i="5" s="1"/>
  <c r="DG57" i="5"/>
  <c r="CQ81" i="5"/>
  <c r="FD81" i="5"/>
  <c r="CQ54" i="5"/>
  <c r="FD54" i="5"/>
  <c r="DG68" i="5"/>
  <c r="EL226" i="5"/>
  <c r="EM226" i="5"/>
  <c r="DG86" i="5"/>
  <c r="EQ206" i="5"/>
  <c r="ER206" i="5" s="1"/>
  <c r="FB61" i="5"/>
  <c r="CP61" i="5"/>
  <c r="DG70" i="5"/>
  <c r="DH117" i="5"/>
  <c r="EG117" i="5"/>
  <c r="EJ117" i="5" s="1"/>
  <c r="EK117" i="5" s="1"/>
  <c r="CP75" i="5"/>
  <c r="FB75" i="5"/>
  <c r="FD86" i="5"/>
  <c r="CQ86" i="5"/>
  <c r="BJ85" i="5"/>
  <c r="EC85" i="5" s="1"/>
  <c r="EQ115" i="5"/>
  <c r="EV115" i="5" s="1"/>
  <c r="DX115" i="5" s="1"/>
  <c r="CL115" i="5" s="1"/>
  <c r="EL116" i="5"/>
  <c r="EM116" i="5"/>
  <c r="AL228" i="5"/>
  <c r="AO228" i="5"/>
  <c r="DG55" i="5"/>
  <c r="DH227" i="5"/>
  <c r="EG227" i="5"/>
  <c r="EJ227" i="5" s="1"/>
  <c r="EK227" i="5" s="1"/>
  <c r="DG75" i="5"/>
  <c r="CP87" i="5"/>
  <c r="FB87" i="5"/>
  <c r="EL31" i="5"/>
  <c r="EM31" i="5"/>
  <c r="FD67" i="5"/>
  <c r="CQ67" i="5"/>
  <c r="DI226" i="5"/>
  <c r="DJ226" i="5"/>
  <c r="DK206" i="5"/>
  <c r="DL206" i="5" s="1"/>
  <c r="BJ73" i="5"/>
  <c r="EC73" i="5" s="1"/>
  <c r="AL209" i="5"/>
  <c r="AO209" i="5"/>
  <c r="CP57" i="5"/>
  <c r="FB57" i="5"/>
  <c r="AO183" i="5"/>
  <c r="AL183" i="5"/>
  <c r="CP68" i="5"/>
  <c r="FB68" i="5"/>
  <c r="DG74" i="5"/>
  <c r="DK225" i="5"/>
  <c r="DL225" i="5" s="1"/>
  <c r="FD72" i="5"/>
  <c r="CQ72" i="5"/>
  <c r="CP67" i="5"/>
  <c r="FB67" i="5"/>
  <c r="FB59" i="5"/>
  <c r="CP59" i="5"/>
  <c r="FB80" i="5"/>
  <c r="CP80" i="5"/>
  <c r="CQ59" i="5"/>
  <c r="FD59" i="5"/>
  <c r="DG83" i="5"/>
  <c r="FD84" i="5"/>
  <c r="CQ84" i="5"/>
  <c r="AN184" i="5"/>
  <c r="AK184" i="5"/>
  <c r="BJ75" i="5"/>
  <c r="EC75" i="5" s="1"/>
  <c r="DO209" i="5"/>
  <c r="AP209" i="5"/>
  <c r="AQ209" i="5" s="1"/>
  <c r="BI68" i="5"/>
  <c r="DG84" i="5"/>
  <c r="BI82" i="5"/>
  <c r="BJ82" i="5" s="1"/>
  <c r="EC82" i="5" s="1"/>
  <c r="BI86" i="5"/>
  <c r="BJ86" i="5" s="1"/>
  <c r="EC86" i="5" s="1"/>
  <c r="BI63" i="5"/>
  <c r="BI87" i="5"/>
  <c r="BJ87" i="5" s="1"/>
  <c r="EC87" i="5" s="1"/>
  <c r="CQ56" i="5"/>
  <c r="FD56" i="5"/>
  <c r="CJ3" i="5"/>
  <c r="CA4" i="5"/>
  <c r="DO183" i="5"/>
  <c r="AP183" i="5"/>
  <c r="AQ183" i="5" s="1"/>
  <c r="CQ55" i="5"/>
  <c r="FD55" i="5"/>
  <c r="FD57" i="5"/>
  <c r="CQ57" i="5"/>
  <c r="BJ61" i="5"/>
  <c r="EC61" i="5" s="1"/>
  <c r="EV29" i="5"/>
  <c r="DG58" i="5"/>
  <c r="FL58" i="5"/>
  <c r="FL54" i="5"/>
  <c r="FL55" i="5"/>
  <c r="FL59" i="5"/>
  <c r="FL56" i="5"/>
  <c r="FL57" i="5"/>
  <c r="FL61" i="5"/>
  <c r="FL60" i="5"/>
  <c r="FL62" i="5"/>
  <c r="EL181" i="5"/>
  <c r="EM181" i="5"/>
  <c r="CP82" i="5"/>
  <c r="FB82" i="5"/>
  <c r="FB70" i="5"/>
  <c r="CP70" i="5"/>
  <c r="DG85" i="5"/>
  <c r="DK115" i="5"/>
  <c r="DL115" i="5" s="1"/>
  <c r="FB72" i="5"/>
  <c r="CP72" i="5"/>
  <c r="DG59" i="5"/>
  <c r="FB55" i="5"/>
  <c r="CP55" i="5"/>
  <c r="DH208" i="5"/>
  <c r="EG208" i="5"/>
  <c r="EJ208" i="5" s="1"/>
  <c r="EK208" i="5" s="1"/>
  <c r="CP73" i="5"/>
  <c r="FB73" i="5"/>
  <c r="DG87" i="5"/>
  <c r="DJ116" i="5"/>
  <c r="DI116" i="5"/>
  <c r="DG71" i="5"/>
  <c r="FB58" i="5"/>
  <c r="CP58" i="5"/>
  <c r="DG54" i="5"/>
  <c r="CQ71" i="5"/>
  <c r="FD71" i="5"/>
  <c r="BJ68" i="5"/>
  <c r="EC68" i="5" s="1"/>
  <c r="BJ63" i="5"/>
  <c r="EC63" i="5" s="1"/>
  <c r="CJ8" i="5"/>
  <c r="DG67" i="5"/>
  <c r="BI84" i="5"/>
  <c r="BJ84" i="5" s="1"/>
  <c r="EC84" i="5" s="1"/>
  <c r="EQ180" i="5"/>
  <c r="ER180" i="5" s="1"/>
  <c r="DG63" i="5"/>
  <c r="AL32" i="5"/>
  <c r="AO32" i="5"/>
  <c r="CP56" i="5"/>
  <c r="FB56" i="5"/>
  <c r="BJ57" i="5"/>
  <c r="EC57" i="5" s="1"/>
  <c r="CR1" i="5"/>
  <c r="CR2" i="5" s="1"/>
  <c r="CR6" i="5"/>
  <c r="CR7" i="5" s="1"/>
  <c r="CR4" i="5"/>
  <c r="CR9" i="5"/>
  <c r="CR3" i="5"/>
  <c r="CR8" i="5"/>
  <c r="DI181" i="5"/>
  <c r="DJ181" i="5"/>
  <c r="DX113" i="5"/>
  <c r="CL113" i="5" s="1"/>
  <c r="DL113" i="5"/>
  <c r="AL118" i="5"/>
  <c r="AO118" i="5"/>
  <c r="CP65" i="5"/>
  <c r="FB65" i="5"/>
  <c r="DO228" i="5"/>
  <c r="AP228" i="5"/>
  <c r="AQ228" i="5" s="1"/>
  <c r="AN229" i="5"/>
  <c r="AK229" i="5"/>
  <c r="CY178" i="5"/>
  <c r="FE178" i="5"/>
  <c r="FG178" i="5" s="1"/>
  <c r="DG56" i="5"/>
  <c r="DG81" i="5"/>
  <c r="CJ9" i="5"/>
  <c r="CQ73" i="5"/>
  <c r="FD73" i="5"/>
  <c r="BI53" i="5"/>
  <c r="BJ53" i="5" s="1"/>
  <c r="EC53" i="5" s="1"/>
  <c r="FB83" i="5"/>
  <c r="CP83" i="5"/>
  <c r="DG64" i="5"/>
  <c r="EG32" i="5"/>
  <c r="EJ32" i="5" s="1"/>
  <c r="EK32" i="5" s="1"/>
  <c r="BI80" i="5"/>
  <c r="BJ80" i="5" s="1"/>
  <c r="EC80" i="5" s="1"/>
  <c r="DG61" i="5"/>
  <c r="BJ56" i="5"/>
  <c r="EC56" i="5" s="1"/>
  <c r="BI54" i="5"/>
  <c r="BJ54" i="5" s="1"/>
  <c r="EC54" i="5" s="1"/>
  <c r="BJ58" i="5"/>
  <c r="EC58" i="5" s="1"/>
  <c r="EG118" i="5"/>
  <c r="EJ118" i="5" s="1"/>
  <c r="EK118" i="5" s="1"/>
  <c r="DL118" i="5"/>
  <c r="EQ30" i="5"/>
  <c r="EV30" i="5" s="1"/>
  <c r="FB85" i="5"/>
  <c r="CP85" i="5"/>
  <c r="BY1" i="5"/>
  <c r="CH4" i="5"/>
  <c r="CH3" i="5"/>
  <c r="CH8" i="5"/>
  <c r="BY4" i="5"/>
  <c r="CH1" i="5"/>
  <c r="BY3" i="5"/>
  <c r="CH6" i="5"/>
  <c r="CH7" i="5" s="1"/>
  <c r="CH9" i="5"/>
  <c r="FB53" i="5"/>
  <c r="CP53" i="5"/>
  <c r="AJ120" i="5"/>
  <c r="AJ211" i="5"/>
  <c r="AJ230" i="5"/>
  <c r="X178" i="5"/>
  <c r="AJ185" i="5"/>
  <c r="FB116" i="21" l="1"/>
  <c r="ED116" i="21" s="1"/>
  <c r="CR116" i="21" s="1"/>
  <c r="DS30" i="21"/>
  <c r="CQ114" i="21"/>
  <c r="DS114" i="21"/>
  <c r="AD113" i="21"/>
  <c r="CY113" i="21"/>
  <c r="FK113" i="21"/>
  <c r="FM113" i="21" s="1"/>
  <c r="DS201" i="21"/>
  <c r="CQ201" i="21"/>
  <c r="DS175" i="21"/>
  <c r="CQ175" i="21"/>
  <c r="DS224" i="21"/>
  <c r="CQ224" i="21"/>
  <c r="DN227" i="21"/>
  <c r="EM227" i="21"/>
  <c r="EP227" i="21" s="1"/>
  <c r="EQ227" i="21" s="1"/>
  <c r="ER203" i="21"/>
  <c r="ES203" i="21"/>
  <c r="EW32" i="21"/>
  <c r="FB32" i="21" s="1"/>
  <c r="DO203" i="21"/>
  <c r="DP203" i="21"/>
  <c r="AP181" i="21"/>
  <c r="AT180" i="21"/>
  <c r="AQ180" i="21"/>
  <c r="FK174" i="21"/>
  <c r="FM174" i="21" s="1"/>
  <c r="DE174" i="21"/>
  <c r="AD174" i="21"/>
  <c r="EW225" i="21"/>
  <c r="EX225" i="21" s="1"/>
  <c r="DU120" i="21"/>
  <c r="AV120" i="21"/>
  <c r="AW120" i="21" s="1"/>
  <c r="ES177" i="21"/>
  <c r="ER177" i="21"/>
  <c r="AU179" i="21"/>
  <c r="AR179" i="21"/>
  <c r="AT35" i="21"/>
  <c r="DU35" i="21" s="1"/>
  <c r="AP36" i="21"/>
  <c r="AQ35" i="21"/>
  <c r="AD200" i="21"/>
  <c r="DE200" i="21"/>
  <c r="FK200" i="21"/>
  <c r="FM200" i="21" s="1"/>
  <c r="AV228" i="21"/>
  <c r="AW228" i="21" s="1"/>
  <c r="DU228" i="21"/>
  <c r="DU179" i="21"/>
  <c r="AV179" i="21"/>
  <c r="AW179" i="21" s="1"/>
  <c r="EW176" i="21"/>
  <c r="EX176" i="21" s="1"/>
  <c r="DP177" i="21"/>
  <c r="DO177" i="21"/>
  <c r="DQ202" i="21"/>
  <c r="DR202" i="21" s="1"/>
  <c r="FK115" i="21"/>
  <c r="FM115" i="21" s="1"/>
  <c r="CY115" i="21"/>
  <c r="AD115" i="21"/>
  <c r="DQ176" i="21"/>
  <c r="DR176" i="21" s="1"/>
  <c r="DN204" i="21"/>
  <c r="EM204" i="21"/>
  <c r="EP204" i="21" s="1"/>
  <c r="EQ204" i="21" s="1"/>
  <c r="DN119" i="21"/>
  <c r="EM119" i="21"/>
  <c r="EP119" i="21" s="1"/>
  <c r="EQ119" i="21" s="1"/>
  <c r="DN178" i="21"/>
  <c r="EM178" i="21"/>
  <c r="EP178" i="21" s="1"/>
  <c r="EQ178" i="21" s="1"/>
  <c r="EW202" i="21"/>
  <c r="EX202" i="21" s="1"/>
  <c r="DU205" i="21"/>
  <c r="AV205" i="21"/>
  <c r="AW205" i="21" s="1"/>
  <c r="AP230" i="21"/>
  <c r="AT229" i="21"/>
  <c r="AQ229" i="21"/>
  <c r="ES33" i="21"/>
  <c r="ER33" i="21"/>
  <c r="AU34" i="21"/>
  <c r="AR34" i="21"/>
  <c r="AR228" i="21"/>
  <c r="AU228" i="21"/>
  <c r="EM34" i="21"/>
  <c r="EP34" i="21" s="1"/>
  <c r="EQ34" i="21" s="1"/>
  <c r="FB31" i="21"/>
  <c r="ES118" i="21"/>
  <c r="ER118" i="21"/>
  <c r="AU205" i="21"/>
  <c r="AR205" i="21"/>
  <c r="AP207" i="21"/>
  <c r="AT206" i="21"/>
  <c r="AQ206" i="21"/>
  <c r="DO118" i="21"/>
  <c r="DP118" i="21"/>
  <c r="FK223" i="21"/>
  <c r="FM223" i="21" s="1"/>
  <c r="AD223" i="21"/>
  <c r="CY223" i="21"/>
  <c r="AT121" i="21"/>
  <c r="AP122" i="21"/>
  <c r="AQ121" i="21"/>
  <c r="DQ225" i="21"/>
  <c r="DR225" i="21" s="1"/>
  <c r="ES226" i="21"/>
  <c r="ER226" i="21"/>
  <c r="DP226" i="21"/>
  <c r="DO226" i="21"/>
  <c r="CZ116" i="21"/>
  <c r="FL116" i="21"/>
  <c r="AU120" i="21"/>
  <c r="AR120" i="21"/>
  <c r="DH115" i="20"/>
  <c r="DZ115" i="20"/>
  <c r="EA115" i="20" s="1"/>
  <c r="CY114" i="20"/>
  <c r="EA114" i="20"/>
  <c r="FJ116" i="20"/>
  <c r="EL116" i="20" s="1"/>
  <c r="CZ116" i="20" s="1"/>
  <c r="FT116" i="20" s="1"/>
  <c r="FF31" i="20"/>
  <c r="CJ2" i="5"/>
  <c r="FM62" i="5"/>
  <c r="CT114" i="5"/>
  <c r="CQ4" i="5"/>
  <c r="CQ1" i="5"/>
  <c r="CQ2" i="5" s="1"/>
  <c r="FM57" i="5"/>
  <c r="FM54" i="5"/>
  <c r="FM55" i="5"/>
  <c r="FM60" i="5"/>
  <c r="ER30" i="5"/>
  <c r="CQ3" i="5"/>
  <c r="DL114" i="5"/>
  <c r="EL31" i="20"/>
  <c r="DZ31" i="20"/>
  <c r="BB35" i="20"/>
  <c r="EC35" i="20" s="1"/>
  <c r="AX36" i="20"/>
  <c r="AY35" i="20"/>
  <c r="FE118" i="20"/>
  <c r="FF118" i="20" s="1"/>
  <c r="EA118" i="20" s="1"/>
  <c r="DV119" i="20"/>
  <c r="EU119" i="20"/>
  <c r="EX119" i="20" s="1"/>
  <c r="EY119" i="20" s="1"/>
  <c r="DY117" i="20"/>
  <c r="AZ120" i="20"/>
  <c r="BC120" i="20"/>
  <c r="BC34" i="20"/>
  <c r="AZ34" i="20"/>
  <c r="AX122" i="20"/>
  <c r="BB121" i="20"/>
  <c r="AY121" i="20"/>
  <c r="FE117" i="20"/>
  <c r="FF117" i="20" s="1"/>
  <c r="EU34" i="20"/>
  <c r="EX34" i="20" s="1"/>
  <c r="EY34" i="20" s="1"/>
  <c r="FE32" i="20"/>
  <c r="FJ32" i="20" s="1"/>
  <c r="EC120" i="20"/>
  <c r="BD120" i="20"/>
  <c r="BE120" i="20" s="1"/>
  <c r="EZ33" i="20"/>
  <c r="FA33" i="20"/>
  <c r="EL30" i="20"/>
  <c r="DZ30" i="20"/>
  <c r="EA30" i="20" s="1"/>
  <c r="CK115" i="5"/>
  <c r="DM206" i="5"/>
  <c r="CK206" i="5"/>
  <c r="FF115" i="5"/>
  <c r="CT115" i="5"/>
  <c r="DX30" i="5"/>
  <c r="DL30" i="5"/>
  <c r="DM225" i="5"/>
  <c r="CK225" i="5"/>
  <c r="FM56" i="5"/>
  <c r="CQ6" i="5"/>
  <c r="CQ7" i="5" s="1"/>
  <c r="ER115" i="5"/>
  <c r="DM115" i="5" s="1"/>
  <c r="DO210" i="5"/>
  <c r="AP210" i="5"/>
  <c r="AQ210" i="5" s="1"/>
  <c r="CS224" i="5"/>
  <c r="FE224" i="5"/>
  <c r="FG224" i="5" s="1"/>
  <c r="AN230" i="5"/>
  <c r="AK230" i="5"/>
  <c r="FK54" i="5"/>
  <c r="FK55" i="5"/>
  <c r="FK59" i="5"/>
  <c r="FK56" i="5"/>
  <c r="FK60" i="5"/>
  <c r="FK57" i="5"/>
  <c r="FK58" i="5"/>
  <c r="FK61" i="5"/>
  <c r="FK62" i="5"/>
  <c r="EL118" i="5"/>
  <c r="EM118" i="5"/>
  <c r="DK181" i="5"/>
  <c r="DL181" i="5" s="1"/>
  <c r="FM59" i="5"/>
  <c r="CQ9" i="5"/>
  <c r="DK207" i="5"/>
  <c r="DL207" i="5" s="1"/>
  <c r="AL119" i="5"/>
  <c r="AO119" i="5"/>
  <c r="DH183" i="5"/>
  <c r="EG183" i="5"/>
  <c r="EJ183" i="5" s="1"/>
  <c r="EK183" i="5" s="1"/>
  <c r="CP4" i="5"/>
  <c r="CP9" i="5"/>
  <c r="CP3" i="5"/>
  <c r="CP1" i="5"/>
  <c r="CP2" i="5" s="1"/>
  <c r="CP6" i="5"/>
  <c r="CP7" i="5" s="1"/>
  <c r="CP8" i="5"/>
  <c r="DH228" i="5"/>
  <c r="EG228" i="5"/>
  <c r="EJ228" i="5" s="1"/>
  <c r="EK228" i="5" s="1"/>
  <c r="AN211" i="5"/>
  <c r="AK211" i="5"/>
  <c r="DK116" i="5"/>
  <c r="EL208" i="5"/>
  <c r="EM208" i="5"/>
  <c r="DO119" i="5"/>
  <c r="AP119" i="5"/>
  <c r="AQ119" i="5" s="1"/>
  <c r="CY205" i="5"/>
  <c r="FE205" i="5"/>
  <c r="FG205" i="5" s="1"/>
  <c r="EL32" i="5"/>
  <c r="EM32" i="5"/>
  <c r="AN120" i="5"/>
  <c r="AK120" i="5"/>
  <c r="DI208" i="5"/>
  <c r="DJ208" i="5"/>
  <c r="DH209" i="5"/>
  <c r="EG209" i="5"/>
  <c r="EJ209" i="5" s="1"/>
  <c r="EK209" i="5" s="1"/>
  <c r="FM58" i="5"/>
  <c r="DK226" i="5"/>
  <c r="DL226" i="5" s="1"/>
  <c r="CQ8" i="5"/>
  <c r="AL33" i="5"/>
  <c r="AO33" i="5"/>
  <c r="FE179" i="5"/>
  <c r="FG179" i="5" s="1"/>
  <c r="CS179" i="5"/>
  <c r="CH2" i="5"/>
  <c r="BY2" i="5"/>
  <c r="AO229" i="5"/>
  <c r="AL229" i="5"/>
  <c r="DX29" i="5"/>
  <c r="DL29" i="5"/>
  <c r="DM29" i="5" s="1"/>
  <c r="AL184" i="5"/>
  <c r="AO184" i="5"/>
  <c r="FM61" i="5"/>
  <c r="EQ116" i="5"/>
  <c r="ER116" i="5" s="1"/>
  <c r="EQ226" i="5"/>
  <c r="ER226" i="5" s="1"/>
  <c r="EG33" i="5"/>
  <c r="EJ33" i="5" s="1"/>
  <c r="EK33" i="5" s="1"/>
  <c r="DO184" i="5"/>
  <c r="AP184" i="5"/>
  <c r="AQ184" i="5" s="1"/>
  <c r="EM227" i="5"/>
  <c r="EL227" i="5"/>
  <c r="EL117" i="5"/>
  <c r="EM117" i="5"/>
  <c r="EL182" i="5"/>
  <c r="EM182" i="5"/>
  <c r="EQ207" i="5"/>
  <c r="ER207" i="5" s="1"/>
  <c r="AJ35" i="5"/>
  <c r="AN34" i="5"/>
  <c r="DO34" i="5" s="1"/>
  <c r="AK34" i="5"/>
  <c r="DO229" i="5"/>
  <c r="AP229" i="5"/>
  <c r="AQ229" i="5" s="1"/>
  <c r="CK113" i="5"/>
  <c r="DM113" i="5"/>
  <c r="AN185" i="5"/>
  <c r="AK185" i="5"/>
  <c r="FF113" i="5"/>
  <c r="CT113" i="5"/>
  <c r="EQ181" i="5"/>
  <c r="ER181" i="5" s="1"/>
  <c r="FL65" i="5"/>
  <c r="EQ31" i="5"/>
  <c r="ER31" i="5" s="1"/>
  <c r="DI227" i="5"/>
  <c r="DJ227" i="5"/>
  <c r="DI117" i="5"/>
  <c r="DJ117" i="5"/>
  <c r="DJ182" i="5"/>
  <c r="DI182" i="5"/>
  <c r="DM180" i="5"/>
  <c r="CK180" i="5"/>
  <c r="AL210" i="5"/>
  <c r="AO210" i="5"/>
  <c r="AJ121" i="5"/>
  <c r="X205" i="5"/>
  <c r="AJ212" i="5"/>
  <c r="X179" i="5"/>
  <c r="AJ231" i="5"/>
  <c r="X224" i="5"/>
  <c r="AJ186" i="5"/>
  <c r="CY114" i="21" l="1"/>
  <c r="FK114" i="21"/>
  <c r="FM114" i="21" s="1"/>
  <c r="AD114" i="21"/>
  <c r="DR116" i="21"/>
  <c r="DS225" i="21"/>
  <c r="CQ225" i="21"/>
  <c r="DS176" i="21"/>
  <c r="CQ176" i="21"/>
  <c r="ED32" i="21"/>
  <c r="DR32" i="21"/>
  <c r="DN205" i="21"/>
  <c r="EM205" i="21"/>
  <c r="EP205" i="21" s="1"/>
  <c r="EQ205" i="21" s="1"/>
  <c r="AP182" i="21"/>
  <c r="AT181" i="21"/>
  <c r="AQ181" i="21"/>
  <c r="DN179" i="21"/>
  <c r="EM179" i="21"/>
  <c r="EP179" i="21" s="1"/>
  <c r="EQ179" i="21" s="1"/>
  <c r="DN228" i="21"/>
  <c r="EM228" i="21"/>
  <c r="EP228" i="21" s="1"/>
  <c r="EQ228" i="21" s="1"/>
  <c r="DQ203" i="21"/>
  <c r="DR203" i="21" s="1"/>
  <c r="DU229" i="21"/>
  <c r="AV229" i="21"/>
  <c r="AW229" i="21" s="1"/>
  <c r="AP231" i="21"/>
  <c r="AT230" i="21"/>
  <c r="AQ230" i="21"/>
  <c r="DU206" i="21"/>
  <c r="AV206" i="21"/>
  <c r="AW206" i="21" s="1"/>
  <c r="ER178" i="21"/>
  <c r="ES178" i="21"/>
  <c r="EX32" i="21"/>
  <c r="AT207" i="21"/>
  <c r="AP208" i="21"/>
  <c r="AQ207" i="21"/>
  <c r="DP178" i="21"/>
  <c r="DO178" i="21"/>
  <c r="EW203" i="21"/>
  <c r="EX203" i="21" s="1"/>
  <c r="EW118" i="21"/>
  <c r="FB118" i="21" s="1"/>
  <c r="ED118" i="21" s="1"/>
  <c r="CR118" i="21" s="1"/>
  <c r="DP119" i="21"/>
  <c r="DO119" i="21"/>
  <c r="AU35" i="21"/>
  <c r="AR35" i="21"/>
  <c r="ER227" i="21"/>
  <c r="ES227" i="21"/>
  <c r="ER204" i="21"/>
  <c r="ES204" i="21"/>
  <c r="AP37" i="21"/>
  <c r="AT36" i="21"/>
  <c r="DU36" i="21" s="1"/>
  <c r="AQ36" i="21"/>
  <c r="DO227" i="21"/>
  <c r="DP227" i="21"/>
  <c r="DQ118" i="21"/>
  <c r="ES119" i="21"/>
  <c r="ER119" i="21"/>
  <c r="EW226" i="21"/>
  <c r="EX226" i="21" s="1"/>
  <c r="DQ226" i="21"/>
  <c r="DR226" i="21" s="1"/>
  <c r="DS226" i="21" s="1"/>
  <c r="DO204" i="21"/>
  <c r="DP204" i="21"/>
  <c r="ES34" i="21"/>
  <c r="ER34" i="21"/>
  <c r="EW177" i="21"/>
  <c r="EX177" i="21" s="1"/>
  <c r="AD175" i="21"/>
  <c r="FK175" i="21"/>
  <c r="FM175" i="21" s="1"/>
  <c r="CY175" i="21"/>
  <c r="EM35" i="21"/>
  <c r="EP35" i="21" s="1"/>
  <c r="EQ35" i="21" s="1"/>
  <c r="AR180" i="21"/>
  <c r="AU180" i="21"/>
  <c r="AD201" i="21"/>
  <c r="FK201" i="21"/>
  <c r="FM201" i="21" s="1"/>
  <c r="DE201" i="21"/>
  <c r="AR206" i="21"/>
  <c r="AU206" i="21"/>
  <c r="CY224" i="21"/>
  <c r="AD224" i="21"/>
  <c r="FK224" i="21"/>
  <c r="FM224" i="21" s="1"/>
  <c r="AU121" i="21"/>
  <c r="AR121" i="21"/>
  <c r="DN120" i="21"/>
  <c r="EM120" i="21"/>
  <c r="EP120" i="21" s="1"/>
  <c r="EQ120" i="21" s="1"/>
  <c r="DU180" i="21"/>
  <c r="AV180" i="21"/>
  <c r="AW180" i="21" s="1"/>
  <c r="ED31" i="21"/>
  <c r="DR31" i="21"/>
  <c r="DS31" i="21" s="1"/>
  <c r="AT122" i="21"/>
  <c r="AP123" i="21"/>
  <c r="AQ122" i="21"/>
  <c r="AR229" i="21"/>
  <c r="AU229" i="21"/>
  <c r="DU121" i="21"/>
  <c r="AV121" i="21"/>
  <c r="AW121" i="21" s="1"/>
  <c r="EW33" i="21"/>
  <c r="EX33" i="21" s="1"/>
  <c r="DQ177" i="21"/>
  <c r="DR177" i="21" s="1"/>
  <c r="DS202" i="21"/>
  <c r="CQ202" i="21"/>
  <c r="DZ116" i="20"/>
  <c r="CY116" i="20" s="1"/>
  <c r="DG116" i="20" s="1"/>
  <c r="DH116" i="20"/>
  <c r="CY115" i="20"/>
  <c r="AL115" i="20" s="1"/>
  <c r="AL114" i="20"/>
  <c r="FS114" i="20"/>
  <c r="FU114" i="20" s="1"/>
  <c r="DG114" i="20"/>
  <c r="FJ117" i="20"/>
  <c r="EL117" i="20" s="1"/>
  <c r="CZ117" i="20" s="1"/>
  <c r="FT117" i="20" s="1"/>
  <c r="EA31" i="20"/>
  <c r="DM30" i="5"/>
  <c r="EV116" i="5"/>
  <c r="DX116" i="5" s="1"/>
  <c r="CL116" i="5" s="1"/>
  <c r="CT116" i="5" s="1"/>
  <c r="DM226" i="5"/>
  <c r="FM65" i="5"/>
  <c r="DM114" i="5"/>
  <c r="CK114" i="5"/>
  <c r="EL32" i="20"/>
  <c r="DZ32" i="20"/>
  <c r="EU35" i="20"/>
  <c r="EX35" i="20" s="1"/>
  <c r="EY35" i="20" s="1"/>
  <c r="BB122" i="20"/>
  <c r="AX123" i="20"/>
  <c r="AY122" i="20"/>
  <c r="EC121" i="20"/>
  <c r="BD121" i="20"/>
  <c r="BE121" i="20" s="1"/>
  <c r="FA34" i="20"/>
  <c r="EZ34" i="20"/>
  <c r="DV120" i="20"/>
  <c r="EU120" i="20"/>
  <c r="EX120" i="20" s="1"/>
  <c r="EY120" i="20" s="1"/>
  <c r="FA119" i="20"/>
  <c r="EZ119" i="20"/>
  <c r="BC35" i="20"/>
  <c r="AZ35" i="20"/>
  <c r="DX119" i="20"/>
  <c r="DW119" i="20"/>
  <c r="FF32" i="20"/>
  <c r="BC121" i="20"/>
  <c r="AZ121" i="20"/>
  <c r="AX37" i="20"/>
  <c r="BB36" i="20"/>
  <c r="EC36" i="20" s="1"/>
  <c r="AY36" i="20"/>
  <c r="FE33" i="20"/>
  <c r="FF33" i="20" s="1"/>
  <c r="DM181" i="5"/>
  <c r="CK181" i="5"/>
  <c r="EQ118" i="5"/>
  <c r="ER118" i="5" s="1"/>
  <c r="DM118" i="5" s="1"/>
  <c r="AN121" i="5"/>
  <c r="AK121" i="5"/>
  <c r="EQ227" i="5"/>
  <c r="ER227" i="5" s="1"/>
  <c r="DK208" i="5"/>
  <c r="DL208" i="5" s="1"/>
  <c r="AN186" i="5"/>
  <c r="AK186" i="5"/>
  <c r="CS180" i="5"/>
  <c r="FE180" i="5"/>
  <c r="FG180" i="5" s="1"/>
  <c r="DO185" i="5"/>
  <c r="AP185" i="5"/>
  <c r="AQ185" i="5" s="1"/>
  <c r="DO230" i="5"/>
  <c r="AP230" i="5"/>
  <c r="AQ230" i="5" s="1"/>
  <c r="DK117" i="5"/>
  <c r="AL34" i="5"/>
  <c r="AO34" i="5"/>
  <c r="EQ32" i="5"/>
  <c r="ER32" i="5" s="1"/>
  <c r="DK227" i="5"/>
  <c r="DL227" i="5" s="1"/>
  <c r="AO185" i="5"/>
  <c r="AL185" i="5"/>
  <c r="AJ36" i="5"/>
  <c r="AN35" i="5"/>
  <c r="DO35" i="5" s="1"/>
  <c r="AK35" i="5"/>
  <c r="EL228" i="5"/>
  <c r="EM228" i="5"/>
  <c r="AL230" i="5"/>
  <c r="AO230" i="5"/>
  <c r="EV31" i="5"/>
  <c r="DH184" i="5"/>
  <c r="EG184" i="5"/>
  <c r="EJ184" i="5" s="1"/>
  <c r="EK184" i="5" s="1"/>
  <c r="AN231" i="5"/>
  <c r="AK231" i="5"/>
  <c r="DK182" i="5"/>
  <c r="DL182" i="5" s="1"/>
  <c r="FE113" i="5"/>
  <c r="FG113" i="5" s="1"/>
  <c r="CS113" i="5"/>
  <c r="X113" i="5"/>
  <c r="DH119" i="5"/>
  <c r="EG119" i="5"/>
  <c r="EJ119" i="5" s="1"/>
  <c r="EK119" i="5" s="1"/>
  <c r="DJ228" i="5"/>
  <c r="DI228" i="5"/>
  <c r="EL183" i="5"/>
  <c r="EM183" i="5"/>
  <c r="EQ117" i="5"/>
  <c r="EV117" i="5" s="1"/>
  <c r="DX117" i="5" s="1"/>
  <c r="CL117" i="5" s="1"/>
  <c r="EG34" i="5"/>
  <c r="EJ34" i="5" s="1"/>
  <c r="EK34" i="5" s="1"/>
  <c r="EQ182" i="5"/>
  <c r="ER182" i="5" s="1"/>
  <c r="EL33" i="5"/>
  <c r="EM33" i="5"/>
  <c r="CS206" i="5"/>
  <c r="FE206" i="5"/>
  <c r="FG206" i="5" s="1"/>
  <c r="EL209" i="5"/>
  <c r="EM209" i="5"/>
  <c r="AL120" i="5"/>
  <c r="AO120" i="5"/>
  <c r="AL211" i="5"/>
  <c r="AO211" i="5"/>
  <c r="DJ183" i="5"/>
  <c r="DI183" i="5"/>
  <c r="DM207" i="5"/>
  <c r="CK207" i="5"/>
  <c r="AN212" i="5"/>
  <c r="AK212" i="5"/>
  <c r="DH229" i="5"/>
  <c r="EG229" i="5"/>
  <c r="EJ229" i="5" s="1"/>
  <c r="EK229" i="5" s="1"/>
  <c r="DJ209" i="5"/>
  <c r="DI209" i="5"/>
  <c r="DO120" i="5"/>
  <c r="AP120" i="5"/>
  <c r="AQ120" i="5" s="1"/>
  <c r="EQ208" i="5"/>
  <c r="ER208" i="5" s="1"/>
  <c r="DO211" i="5"/>
  <c r="AP211" i="5"/>
  <c r="AQ211" i="5" s="1"/>
  <c r="DH210" i="5"/>
  <c r="EG210" i="5"/>
  <c r="EJ210" i="5" s="1"/>
  <c r="EK210" i="5" s="1"/>
  <c r="FE225" i="5"/>
  <c r="FG225" i="5" s="1"/>
  <c r="CS225" i="5"/>
  <c r="CS115" i="5"/>
  <c r="FE115" i="5"/>
  <c r="FG115" i="5" s="1"/>
  <c r="FK65" i="5"/>
  <c r="X115" i="5"/>
  <c r="AJ122" i="5"/>
  <c r="AJ213" i="5"/>
  <c r="X206" i="5"/>
  <c r="X225" i="5"/>
  <c r="AJ232" i="5"/>
  <c r="AJ187" i="5"/>
  <c r="X180" i="5"/>
  <c r="DS116" i="21" l="1"/>
  <c r="CQ116" i="21"/>
  <c r="DR118" i="21"/>
  <c r="FS116" i="20"/>
  <c r="FU116" i="20" s="1"/>
  <c r="DG115" i="20"/>
  <c r="CQ118" i="21"/>
  <c r="DS203" i="21"/>
  <c r="CQ203" i="21"/>
  <c r="DS177" i="21"/>
  <c r="CQ177" i="21"/>
  <c r="FL118" i="21"/>
  <c r="DF118" i="21"/>
  <c r="ES120" i="21"/>
  <c r="ER120" i="21"/>
  <c r="DO120" i="21"/>
  <c r="DP120" i="21"/>
  <c r="DQ119" i="21"/>
  <c r="ES228" i="21"/>
  <c r="ER228" i="21"/>
  <c r="AP232" i="21"/>
  <c r="AT231" i="21"/>
  <c r="AQ231" i="21"/>
  <c r="EX118" i="21"/>
  <c r="DS118" i="21" s="1"/>
  <c r="FB33" i="21"/>
  <c r="EW119" i="21"/>
  <c r="FB119" i="21" s="1"/>
  <c r="ED119" i="21" s="1"/>
  <c r="CR119" i="21" s="1"/>
  <c r="AU181" i="21"/>
  <c r="AR181" i="21"/>
  <c r="DU230" i="21"/>
  <c r="AV230" i="21"/>
  <c r="AW230" i="21" s="1"/>
  <c r="EW34" i="21"/>
  <c r="FB34" i="21" s="1"/>
  <c r="DO228" i="21"/>
  <c r="DP228" i="21"/>
  <c r="DO179" i="21"/>
  <c r="DP179" i="21"/>
  <c r="DQ178" i="21"/>
  <c r="DR178" i="21" s="1"/>
  <c r="DU181" i="21"/>
  <c r="AV181" i="21"/>
  <c r="AW181" i="21" s="1"/>
  <c r="EW227" i="21"/>
  <c r="EX227" i="21" s="1"/>
  <c r="DN121" i="21"/>
  <c r="EM121" i="21"/>
  <c r="EP121" i="21" s="1"/>
  <c r="EQ121" i="21" s="1"/>
  <c r="AU207" i="21"/>
  <c r="AR207" i="21"/>
  <c r="ES205" i="21"/>
  <c r="ER205" i="21"/>
  <c r="AP209" i="21"/>
  <c r="AT208" i="21"/>
  <c r="AQ208" i="21"/>
  <c r="DP205" i="21"/>
  <c r="DO205" i="21"/>
  <c r="DN180" i="21"/>
  <c r="EM180" i="21"/>
  <c r="EP180" i="21" s="1"/>
  <c r="EQ180" i="21" s="1"/>
  <c r="DQ227" i="21"/>
  <c r="DR227" i="21" s="1"/>
  <c r="DU207" i="21"/>
  <c r="AV207" i="21"/>
  <c r="AW207" i="21" s="1"/>
  <c r="DS32" i="21"/>
  <c r="DU122" i="21"/>
  <c r="AV122" i="21"/>
  <c r="AW122" i="21" s="1"/>
  <c r="DN229" i="21"/>
  <c r="EM229" i="21"/>
  <c r="EP229" i="21" s="1"/>
  <c r="EQ229" i="21" s="1"/>
  <c r="DQ204" i="21"/>
  <c r="DR204" i="21" s="1"/>
  <c r="AR36" i="21"/>
  <c r="AU36" i="21"/>
  <c r="EM36" i="21"/>
  <c r="EP36" i="21" s="1"/>
  <c r="EQ36" i="21" s="1"/>
  <c r="FK176" i="21"/>
  <c r="FM176" i="21" s="1"/>
  <c r="CY176" i="21"/>
  <c r="AD176" i="21"/>
  <c r="AP183" i="21"/>
  <c r="AT182" i="21"/>
  <c r="AQ182" i="21"/>
  <c r="ES35" i="21"/>
  <c r="ER35" i="21"/>
  <c r="AP38" i="21"/>
  <c r="AT37" i="21"/>
  <c r="DU37" i="21" s="1"/>
  <c r="AQ37" i="21"/>
  <c r="EW178" i="21"/>
  <c r="EX178" i="21" s="1"/>
  <c r="AD225" i="21"/>
  <c r="DE225" i="21"/>
  <c r="FK225" i="21"/>
  <c r="FM225" i="21" s="1"/>
  <c r="AD202" i="21"/>
  <c r="FK202" i="21"/>
  <c r="FM202" i="21" s="1"/>
  <c r="CY202" i="21"/>
  <c r="EW204" i="21"/>
  <c r="EX204" i="21" s="1"/>
  <c r="DN206" i="21"/>
  <c r="EM206" i="21"/>
  <c r="EP206" i="21" s="1"/>
  <c r="EQ206" i="21" s="1"/>
  <c r="ER179" i="21"/>
  <c r="ES179" i="21"/>
  <c r="AU122" i="21"/>
  <c r="AR122" i="21"/>
  <c r="AT123" i="21"/>
  <c r="AP124" i="21"/>
  <c r="AQ123" i="21"/>
  <c r="AR230" i="21"/>
  <c r="AU230" i="21"/>
  <c r="AL116" i="20"/>
  <c r="EA116" i="20"/>
  <c r="DH117" i="20"/>
  <c r="FS115" i="20"/>
  <c r="FU115" i="20" s="1"/>
  <c r="FJ33" i="20"/>
  <c r="EL33" i="20" s="1"/>
  <c r="DZ117" i="20"/>
  <c r="FF116" i="5"/>
  <c r="EV32" i="5"/>
  <c r="DL32" i="5" s="1"/>
  <c r="DM32" i="5" s="1"/>
  <c r="DL116" i="5"/>
  <c r="ER117" i="5"/>
  <c r="X114" i="5"/>
  <c r="CS114" i="5"/>
  <c r="FE114" i="5"/>
  <c r="FG114" i="5" s="1"/>
  <c r="DW120" i="20"/>
  <c r="DX120" i="20"/>
  <c r="FE34" i="20"/>
  <c r="FF34" i="20" s="1"/>
  <c r="BC122" i="20"/>
  <c r="AZ122" i="20"/>
  <c r="AX124" i="20"/>
  <c r="BB123" i="20"/>
  <c r="AY123" i="20"/>
  <c r="EC122" i="20"/>
  <c r="BD122" i="20"/>
  <c r="BE122" i="20" s="1"/>
  <c r="DY119" i="20"/>
  <c r="EU36" i="20"/>
  <c r="EX36" i="20" s="1"/>
  <c r="EY36" i="20" s="1"/>
  <c r="AX38" i="20"/>
  <c r="BB37" i="20"/>
  <c r="EC37" i="20" s="1"/>
  <c r="AY37" i="20"/>
  <c r="DV121" i="20"/>
  <c r="EU121" i="20"/>
  <c r="EX121" i="20" s="1"/>
  <c r="EY121" i="20" s="1"/>
  <c r="FA35" i="20"/>
  <c r="EZ35" i="20"/>
  <c r="BC36" i="20"/>
  <c r="AZ36" i="20"/>
  <c r="FE119" i="20"/>
  <c r="FF119" i="20" s="1"/>
  <c r="FA120" i="20"/>
  <c r="EZ120" i="20"/>
  <c r="EA32" i="20"/>
  <c r="CT117" i="5"/>
  <c r="FF117" i="5"/>
  <c r="DL117" i="5"/>
  <c r="DM227" i="5"/>
  <c r="CK227" i="5"/>
  <c r="X227" i="5" s="1"/>
  <c r="AN232" i="5"/>
  <c r="AK232" i="5"/>
  <c r="EL229" i="5"/>
  <c r="EM229" i="5"/>
  <c r="AL35" i="5"/>
  <c r="AO35" i="5"/>
  <c r="DJ229" i="5"/>
  <c r="DI229" i="5"/>
  <c r="EQ33" i="5"/>
  <c r="EV33" i="5" s="1"/>
  <c r="EM184" i="5"/>
  <c r="EL184" i="5"/>
  <c r="EG35" i="5"/>
  <c r="EJ35" i="5" s="1"/>
  <c r="EK35" i="5" s="1"/>
  <c r="DH185" i="5"/>
  <c r="EG185" i="5"/>
  <c r="EJ185" i="5" s="1"/>
  <c r="EK185" i="5" s="1"/>
  <c r="DO121" i="5"/>
  <c r="AP121" i="5"/>
  <c r="AQ121" i="5" s="1"/>
  <c r="DJ184" i="5"/>
  <c r="DI184" i="5"/>
  <c r="DM208" i="5"/>
  <c r="CK208" i="5"/>
  <c r="AN213" i="5"/>
  <c r="AK213" i="5"/>
  <c r="DH120" i="5"/>
  <c r="EG120" i="5"/>
  <c r="EJ120" i="5" s="1"/>
  <c r="EK120" i="5" s="1"/>
  <c r="DO212" i="5"/>
  <c r="AP212" i="5"/>
  <c r="AQ212" i="5" s="1"/>
  <c r="DK228" i="5"/>
  <c r="DL228" i="5" s="1"/>
  <c r="DX31" i="5"/>
  <c r="DL31" i="5"/>
  <c r="DM31" i="5" s="1"/>
  <c r="AL212" i="5"/>
  <c r="AO212" i="5"/>
  <c r="AJ37" i="5"/>
  <c r="AN36" i="5"/>
  <c r="DO36" i="5" s="1"/>
  <c r="AK36" i="5"/>
  <c r="FE207" i="5"/>
  <c r="FG207" i="5" s="1"/>
  <c r="CS207" i="5"/>
  <c r="AN122" i="5"/>
  <c r="AK122" i="5"/>
  <c r="DI210" i="5"/>
  <c r="DJ210" i="5"/>
  <c r="EQ209" i="5"/>
  <c r="ER209" i="5" s="1"/>
  <c r="EL34" i="5"/>
  <c r="EM34" i="5"/>
  <c r="EL119" i="5"/>
  <c r="EM119" i="5"/>
  <c r="DM182" i="5"/>
  <c r="CK182" i="5"/>
  <c r="FE181" i="5"/>
  <c r="FG181" i="5" s="1"/>
  <c r="CY181" i="5"/>
  <c r="DK209" i="5"/>
  <c r="DL209" i="5" s="1"/>
  <c r="DK183" i="5"/>
  <c r="DL183" i="5" s="1"/>
  <c r="DI119" i="5"/>
  <c r="DJ119" i="5"/>
  <c r="EQ183" i="5"/>
  <c r="ER183" i="5" s="1"/>
  <c r="EL210" i="5"/>
  <c r="EM210" i="5"/>
  <c r="AN187" i="5"/>
  <c r="AK187" i="5"/>
  <c r="DH211" i="5"/>
  <c r="EG211" i="5"/>
  <c r="EJ211" i="5" s="1"/>
  <c r="EK211" i="5" s="1"/>
  <c r="AL231" i="5"/>
  <c r="AO231" i="5"/>
  <c r="EQ228" i="5"/>
  <c r="ER228" i="5" s="1"/>
  <c r="DH230" i="5"/>
  <c r="EG230" i="5"/>
  <c r="EJ230" i="5" s="1"/>
  <c r="EK230" i="5" s="1"/>
  <c r="AL186" i="5"/>
  <c r="AO186" i="5"/>
  <c r="DO231" i="5"/>
  <c r="AP231" i="5"/>
  <c r="AQ231" i="5" s="1"/>
  <c r="DO186" i="5"/>
  <c r="AP186" i="5"/>
  <c r="AQ186" i="5" s="1"/>
  <c r="AO121" i="5"/>
  <c r="AL121" i="5"/>
  <c r="AJ123" i="5"/>
  <c r="X207" i="5"/>
  <c r="AJ214" i="5"/>
  <c r="AJ233" i="5"/>
  <c r="AJ188" i="5"/>
  <c r="X181" i="5"/>
  <c r="FK116" i="21" l="1"/>
  <c r="FM116" i="21" s="1"/>
  <c r="AD116" i="21"/>
  <c r="CY116" i="21"/>
  <c r="EX119" i="21"/>
  <c r="DZ33" i="20"/>
  <c r="EA33" i="20" s="1"/>
  <c r="DS227" i="21"/>
  <c r="CQ227" i="21"/>
  <c r="DR119" i="21"/>
  <c r="DS204" i="21"/>
  <c r="CQ204" i="21"/>
  <c r="CQ178" i="21"/>
  <c r="DS178" i="21"/>
  <c r="FL119" i="21"/>
  <c r="DF119" i="21"/>
  <c r="ED34" i="21"/>
  <c r="DR34" i="21"/>
  <c r="DO206" i="21"/>
  <c r="DP206" i="21"/>
  <c r="DU231" i="21"/>
  <c r="AV231" i="21"/>
  <c r="AW231" i="21" s="1"/>
  <c r="EW228" i="21"/>
  <c r="EX228" i="21" s="1"/>
  <c r="DQ120" i="21"/>
  <c r="DQ179" i="21"/>
  <c r="DR179" i="21" s="1"/>
  <c r="EW120" i="21"/>
  <c r="FB120" i="21" s="1"/>
  <c r="ED120" i="21" s="1"/>
  <c r="CR120" i="21" s="1"/>
  <c r="AU231" i="21"/>
  <c r="AR231" i="21"/>
  <c r="DN122" i="21"/>
  <c r="EM122" i="21"/>
  <c r="EP122" i="21" s="1"/>
  <c r="EQ122" i="21" s="1"/>
  <c r="AU37" i="21"/>
  <c r="AR37" i="21"/>
  <c r="DN207" i="21"/>
  <c r="EM207" i="21"/>
  <c r="EP207" i="21" s="1"/>
  <c r="EQ207" i="21" s="1"/>
  <c r="DN181" i="21"/>
  <c r="EM181" i="21"/>
  <c r="EP181" i="21" s="1"/>
  <c r="EQ181" i="21" s="1"/>
  <c r="EW35" i="21"/>
  <c r="FB35" i="21" s="1"/>
  <c r="ER180" i="21"/>
  <c r="ES180" i="21"/>
  <c r="EX34" i="21"/>
  <c r="ES36" i="21"/>
  <c r="ER36" i="21"/>
  <c r="ES229" i="21"/>
  <c r="ER229" i="21"/>
  <c r="DQ228" i="21"/>
  <c r="DR228" i="21" s="1"/>
  <c r="DP180" i="21"/>
  <c r="DO180" i="21"/>
  <c r="ES206" i="21"/>
  <c r="ER206" i="21"/>
  <c r="DO121" i="21"/>
  <c r="DP121" i="21"/>
  <c r="EM37" i="21"/>
  <c r="EP37" i="21" s="1"/>
  <c r="EQ37" i="21" s="1"/>
  <c r="AU123" i="21"/>
  <c r="AR123" i="21"/>
  <c r="AU182" i="21"/>
  <c r="AR182" i="21"/>
  <c r="DQ205" i="21"/>
  <c r="DR205" i="21" s="1"/>
  <c r="AD177" i="21"/>
  <c r="DE177" i="21"/>
  <c r="FK177" i="21"/>
  <c r="FM177" i="21" s="1"/>
  <c r="DU182" i="21"/>
  <c r="AV182" i="21"/>
  <c r="AW182" i="21" s="1"/>
  <c r="DN230" i="21"/>
  <c r="EM230" i="21"/>
  <c r="EP230" i="21" s="1"/>
  <c r="EQ230" i="21" s="1"/>
  <c r="DO229" i="21"/>
  <c r="DP229" i="21"/>
  <c r="DU123" i="21"/>
  <c r="AV123" i="21"/>
  <c r="AW123" i="21" s="1"/>
  <c r="AP184" i="21"/>
  <c r="AT183" i="21"/>
  <c r="AQ183" i="21"/>
  <c r="AR208" i="21"/>
  <c r="AU208" i="21"/>
  <c r="AD203" i="21"/>
  <c r="CY203" i="21"/>
  <c r="FK203" i="21"/>
  <c r="FM203" i="21" s="1"/>
  <c r="EW179" i="21"/>
  <c r="EX179" i="21" s="1"/>
  <c r="AP233" i="21"/>
  <c r="AT232" i="21"/>
  <c r="AQ232" i="21"/>
  <c r="AT38" i="21"/>
  <c r="DU38" i="21" s="1"/>
  <c r="AP39" i="21"/>
  <c r="AQ38" i="21"/>
  <c r="DU208" i="21"/>
  <c r="AV208" i="21"/>
  <c r="AW208" i="21" s="1"/>
  <c r="AT209" i="21"/>
  <c r="AP210" i="21"/>
  <c r="AQ209" i="21"/>
  <c r="ED33" i="21"/>
  <c r="DR33" i="21"/>
  <c r="DS33" i="21" s="1"/>
  <c r="ER121" i="21"/>
  <c r="ES121" i="21"/>
  <c r="AP125" i="21"/>
  <c r="AT124" i="21"/>
  <c r="AQ124" i="21"/>
  <c r="EW205" i="21"/>
  <c r="EX205" i="21" s="1"/>
  <c r="DE118" i="21"/>
  <c r="FK118" i="21"/>
  <c r="FM118" i="21" s="1"/>
  <c r="AD118" i="21"/>
  <c r="CY117" i="20"/>
  <c r="EA117" i="20"/>
  <c r="DX32" i="5"/>
  <c r="ER33" i="5"/>
  <c r="CK116" i="5"/>
  <c r="DM116" i="5"/>
  <c r="FA36" i="20"/>
  <c r="EZ36" i="20"/>
  <c r="AX125" i="20"/>
  <c r="BB124" i="20"/>
  <c r="AY124" i="20"/>
  <c r="DY120" i="20"/>
  <c r="FJ119" i="20"/>
  <c r="EL119" i="20" s="1"/>
  <c r="CZ119" i="20" s="1"/>
  <c r="BB38" i="20"/>
  <c r="EC38" i="20" s="1"/>
  <c r="AX39" i="20"/>
  <c r="AY38" i="20"/>
  <c r="FJ34" i="20"/>
  <c r="EU37" i="20"/>
  <c r="EX37" i="20" s="1"/>
  <c r="EY37" i="20" s="1"/>
  <c r="FE120" i="20"/>
  <c r="FF120" i="20" s="1"/>
  <c r="FE35" i="20"/>
  <c r="FF35" i="20" s="1"/>
  <c r="FA121" i="20"/>
  <c r="EZ121" i="20"/>
  <c r="BC123" i="20"/>
  <c r="AZ123" i="20"/>
  <c r="DX121" i="20"/>
  <c r="DW121" i="20"/>
  <c r="DV122" i="20"/>
  <c r="EU122" i="20"/>
  <c r="EX122" i="20" s="1"/>
  <c r="EY122" i="20" s="1"/>
  <c r="EC123" i="20"/>
  <c r="BD123" i="20"/>
  <c r="BE123" i="20" s="1"/>
  <c r="AZ37" i="20"/>
  <c r="BC37" i="20"/>
  <c r="DX33" i="5"/>
  <c r="DL33" i="5"/>
  <c r="DM209" i="5"/>
  <c r="CK209" i="5"/>
  <c r="AO187" i="5"/>
  <c r="AL187" i="5"/>
  <c r="AJ38" i="5"/>
  <c r="AN37" i="5"/>
  <c r="DO37" i="5" s="1"/>
  <c r="AK37" i="5"/>
  <c r="DH212" i="5"/>
  <c r="EG212" i="5"/>
  <c r="EJ212" i="5" s="1"/>
  <c r="EK212" i="5" s="1"/>
  <c r="AN123" i="5"/>
  <c r="AK123" i="5"/>
  <c r="DH186" i="5"/>
  <c r="EG186" i="5"/>
  <c r="EJ186" i="5" s="1"/>
  <c r="EK186" i="5" s="1"/>
  <c r="DI230" i="5"/>
  <c r="DJ230" i="5"/>
  <c r="DO187" i="5"/>
  <c r="AP187" i="5"/>
  <c r="AQ187" i="5" s="1"/>
  <c r="DK210" i="5"/>
  <c r="DL210" i="5" s="1"/>
  <c r="EL120" i="5"/>
  <c r="EM120" i="5"/>
  <c r="DM183" i="5"/>
  <c r="CK183" i="5"/>
  <c r="AL122" i="5"/>
  <c r="AO122" i="5"/>
  <c r="DM117" i="5"/>
  <c r="CK117" i="5"/>
  <c r="EQ210" i="5"/>
  <c r="ER210" i="5" s="1"/>
  <c r="EQ119" i="5"/>
  <c r="ER119" i="5" s="1"/>
  <c r="DO122" i="5"/>
  <c r="AP122" i="5"/>
  <c r="AQ122" i="5" s="1"/>
  <c r="AL213" i="5"/>
  <c r="AO213" i="5"/>
  <c r="EL185" i="5"/>
  <c r="EM185" i="5"/>
  <c r="DI120" i="5"/>
  <c r="DJ120" i="5"/>
  <c r="DO213" i="5"/>
  <c r="AP213" i="5"/>
  <c r="AQ213" i="5" s="1"/>
  <c r="DI185" i="5"/>
  <c r="DJ185" i="5"/>
  <c r="DK229" i="5"/>
  <c r="DL229" i="5" s="1"/>
  <c r="EQ229" i="5"/>
  <c r="ER229" i="5" s="1"/>
  <c r="DH121" i="5"/>
  <c r="EG121" i="5"/>
  <c r="EJ121" i="5" s="1"/>
  <c r="EK121" i="5" s="1"/>
  <c r="AN188" i="5"/>
  <c r="AK188" i="5"/>
  <c r="AN233" i="5"/>
  <c r="AK233" i="5"/>
  <c r="DH231" i="5"/>
  <c r="EG231" i="5"/>
  <c r="EJ231" i="5" s="1"/>
  <c r="EK231" i="5" s="1"/>
  <c r="EQ34" i="5"/>
  <c r="EV34" i="5" s="1"/>
  <c r="FE208" i="5"/>
  <c r="FG208" i="5" s="1"/>
  <c r="CS208" i="5"/>
  <c r="AL232" i="5"/>
  <c r="AO232" i="5"/>
  <c r="DM228" i="5"/>
  <c r="CK228" i="5"/>
  <c r="DO232" i="5"/>
  <c r="AP232" i="5"/>
  <c r="AQ232" i="5" s="1"/>
  <c r="EL211" i="5"/>
  <c r="EM211" i="5"/>
  <c r="AO36" i="5"/>
  <c r="AL36" i="5"/>
  <c r="EL35" i="5"/>
  <c r="EM35" i="5"/>
  <c r="AN214" i="5"/>
  <c r="AK214" i="5"/>
  <c r="DI211" i="5"/>
  <c r="DJ211" i="5"/>
  <c r="EG36" i="5"/>
  <c r="EJ36" i="5" s="1"/>
  <c r="EK36" i="5" s="1"/>
  <c r="DK184" i="5"/>
  <c r="DL184" i="5" s="1"/>
  <c r="EQ184" i="5"/>
  <c r="ER184" i="5" s="1"/>
  <c r="FE227" i="5"/>
  <c r="FG227" i="5" s="1"/>
  <c r="CS227" i="5"/>
  <c r="EL230" i="5"/>
  <c r="EM230" i="5"/>
  <c r="DK119" i="5"/>
  <c r="CY182" i="5"/>
  <c r="FE182" i="5"/>
  <c r="FG182" i="5" s="1"/>
  <c r="AJ124" i="5"/>
  <c r="X208" i="5"/>
  <c r="AJ215" i="5"/>
  <c r="AJ234" i="5"/>
  <c r="AJ189" i="5"/>
  <c r="X182" i="5"/>
  <c r="DS179" i="21" l="1"/>
  <c r="CQ179" i="21"/>
  <c r="FL120" i="21"/>
  <c r="DF120" i="21"/>
  <c r="ED35" i="21"/>
  <c r="DR35" i="21"/>
  <c r="DR120" i="21"/>
  <c r="DS228" i="21"/>
  <c r="EM38" i="21"/>
  <c r="EP38" i="21" s="1"/>
  <c r="EQ38" i="21" s="1"/>
  <c r="AU232" i="21"/>
  <c r="AR232" i="21"/>
  <c r="EX120" i="21"/>
  <c r="EW36" i="21"/>
  <c r="FB36" i="21" s="1"/>
  <c r="DN182" i="21"/>
  <c r="EM182" i="21"/>
  <c r="EP182" i="21" s="1"/>
  <c r="EQ182" i="21" s="1"/>
  <c r="AP234" i="21"/>
  <c r="AT233" i="21"/>
  <c r="AQ233" i="21"/>
  <c r="EX35" i="21"/>
  <c r="DQ206" i="21"/>
  <c r="DR206" i="21" s="1"/>
  <c r="ES230" i="21"/>
  <c r="ER230" i="21"/>
  <c r="DN231" i="21"/>
  <c r="EM231" i="21"/>
  <c r="EP231" i="21" s="1"/>
  <c r="EQ231" i="21" s="1"/>
  <c r="DS34" i="21"/>
  <c r="DN208" i="21"/>
  <c r="EM208" i="21"/>
  <c r="EP208" i="21" s="1"/>
  <c r="EQ208" i="21" s="1"/>
  <c r="AP40" i="21"/>
  <c r="AT39" i="21"/>
  <c r="DU39" i="21" s="1"/>
  <c r="AQ39" i="21"/>
  <c r="ES37" i="21"/>
  <c r="ER37" i="21"/>
  <c r="ES207" i="21"/>
  <c r="ER207" i="21"/>
  <c r="AT210" i="21"/>
  <c r="AP211" i="21"/>
  <c r="AQ210" i="21"/>
  <c r="DS205" i="21"/>
  <c r="CQ205" i="21"/>
  <c r="DO207" i="21"/>
  <c r="DP207" i="21"/>
  <c r="DQ229" i="21"/>
  <c r="DR229" i="21" s="1"/>
  <c r="DP181" i="21"/>
  <c r="DO181" i="21"/>
  <c r="AR124" i="21"/>
  <c r="AU124" i="21"/>
  <c r="DQ121" i="21"/>
  <c r="AD178" i="21"/>
  <c r="FK178" i="21"/>
  <c r="FM178" i="21" s="1"/>
  <c r="DE178" i="21"/>
  <c r="AU209" i="21"/>
  <c r="AR209" i="21"/>
  <c r="DU232" i="21"/>
  <c r="AV232" i="21"/>
  <c r="AW232" i="21" s="1"/>
  <c r="DU124" i="21"/>
  <c r="AV124" i="21"/>
  <c r="AW124" i="21" s="1"/>
  <c r="AU183" i="21"/>
  <c r="AR183" i="21"/>
  <c r="EW206" i="21"/>
  <c r="EX206" i="21" s="1"/>
  <c r="FK204" i="21"/>
  <c r="FM204" i="21" s="1"/>
  <c r="CY204" i="21"/>
  <c r="AD204" i="21"/>
  <c r="DU209" i="21"/>
  <c r="AV209" i="21"/>
  <c r="AW209" i="21" s="1"/>
  <c r="AU38" i="21"/>
  <c r="AR38" i="21"/>
  <c r="AP126" i="21"/>
  <c r="AT125" i="21"/>
  <c r="AQ125" i="21"/>
  <c r="DU183" i="21"/>
  <c r="AV183" i="21"/>
  <c r="AW183" i="21" s="1"/>
  <c r="ER122" i="21"/>
  <c r="ES122" i="21"/>
  <c r="AT184" i="21"/>
  <c r="AP185" i="21"/>
  <c r="AQ184" i="21"/>
  <c r="DQ180" i="21"/>
  <c r="DR180" i="21" s="1"/>
  <c r="DP122" i="21"/>
  <c r="DO122" i="21"/>
  <c r="DS119" i="21"/>
  <c r="CQ119" i="21"/>
  <c r="EW229" i="21"/>
  <c r="EX229" i="21" s="1"/>
  <c r="EW180" i="21"/>
  <c r="EX180" i="21" s="1"/>
  <c r="EW121" i="21"/>
  <c r="FB121" i="21" s="1"/>
  <c r="CY227" i="21"/>
  <c r="AD227" i="21"/>
  <c r="FK227" i="21"/>
  <c r="FM227" i="21" s="1"/>
  <c r="DO230" i="21"/>
  <c r="DP230" i="21"/>
  <c r="ER181" i="21"/>
  <c r="ES181" i="21"/>
  <c r="DN123" i="21"/>
  <c r="EM123" i="21"/>
  <c r="EP123" i="21" s="1"/>
  <c r="EQ123" i="21" s="1"/>
  <c r="FJ35" i="20"/>
  <c r="EL35" i="20" s="1"/>
  <c r="DG117" i="20"/>
  <c r="FS117" i="20"/>
  <c r="FU117" i="20" s="1"/>
  <c r="AL117" i="20"/>
  <c r="DM33" i="5"/>
  <c r="ER34" i="5"/>
  <c r="X116" i="5"/>
  <c r="CS116" i="5"/>
  <c r="FE116" i="5"/>
  <c r="FG116" i="5" s="1"/>
  <c r="EV119" i="5"/>
  <c r="DX119" i="5" s="1"/>
  <c r="CL119" i="5" s="1"/>
  <c r="FA122" i="20"/>
  <c r="EZ122" i="20"/>
  <c r="DW122" i="20"/>
  <c r="DX122" i="20"/>
  <c r="FT119" i="20"/>
  <c r="DN119" i="20"/>
  <c r="FJ120" i="20"/>
  <c r="EL120" i="20" s="1"/>
  <c r="CZ120" i="20" s="1"/>
  <c r="AX126" i="20"/>
  <c r="BB125" i="20"/>
  <c r="AY125" i="20"/>
  <c r="FE36" i="20"/>
  <c r="FJ36" i="20" s="1"/>
  <c r="EL34" i="20"/>
  <c r="DZ34" i="20"/>
  <c r="EA34" i="20" s="1"/>
  <c r="BC38" i="20"/>
  <c r="AZ38" i="20"/>
  <c r="FA37" i="20"/>
  <c r="EZ37" i="20"/>
  <c r="BB39" i="20"/>
  <c r="EC39" i="20" s="1"/>
  <c r="AX40" i="20"/>
  <c r="AY39" i="20"/>
  <c r="FE121" i="20"/>
  <c r="FJ121" i="20" s="1"/>
  <c r="EL121" i="20" s="1"/>
  <c r="CZ121" i="20" s="1"/>
  <c r="EU38" i="20"/>
  <c r="EX38" i="20" s="1"/>
  <c r="EY38" i="20" s="1"/>
  <c r="AZ124" i="20"/>
  <c r="BC124" i="20"/>
  <c r="DY121" i="20"/>
  <c r="DV123" i="20"/>
  <c r="EU123" i="20"/>
  <c r="EX123" i="20" s="1"/>
  <c r="EY123" i="20" s="1"/>
  <c r="EC124" i="20"/>
  <c r="BD124" i="20"/>
  <c r="BE124" i="20" s="1"/>
  <c r="DZ119" i="20"/>
  <c r="DM229" i="5"/>
  <c r="CK229" i="5"/>
  <c r="X229" i="5" s="1"/>
  <c r="DM184" i="5"/>
  <c r="CK184" i="5"/>
  <c r="DX34" i="5"/>
  <c r="DL34" i="5"/>
  <c r="AL214" i="5"/>
  <c r="AO214" i="5"/>
  <c r="AL233" i="5"/>
  <c r="AO233" i="5"/>
  <c r="DK230" i="5"/>
  <c r="DL230" i="5" s="1"/>
  <c r="DO214" i="5"/>
  <c r="AP214" i="5"/>
  <c r="AQ214" i="5" s="1"/>
  <c r="DH232" i="5"/>
  <c r="EG232" i="5"/>
  <c r="EJ232" i="5" s="1"/>
  <c r="EK232" i="5" s="1"/>
  <c r="DO233" i="5"/>
  <c r="AP233" i="5"/>
  <c r="AQ233" i="5" s="1"/>
  <c r="EQ185" i="5"/>
  <c r="ER185" i="5" s="1"/>
  <c r="EL186" i="5"/>
  <c r="EM186" i="5"/>
  <c r="AJ39" i="5"/>
  <c r="AN38" i="5"/>
  <c r="DO38" i="5" s="1"/>
  <c r="AK38" i="5"/>
  <c r="AN124" i="5"/>
  <c r="AK124" i="5"/>
  <c r="AL188" i="5"/>
  <c r="AO188" i="5"/>
  <c r="EQ120" i="5"/>
  <c r="EV120" i="5" s="1"/>
  <c r="DJ186" i="5"/>
  <c r="DI186" i="5"/>
  <c r="EQ35" i="5"/>
  <c r="EV35" i="5" s="1"/>
  <c r="DO188" i="5"/>
  <c r="AP188" i="5"/>
  <c r="AQ188" i="5" s="1"/>
  <c r="DK185" i="5"/>
  <c r="DL185" i="5" s="1"/>
  <c r="FE117" i="5"/>
  <c r="FG117" i="5" s="1"/>
  <c r="CS117" i="5"/>
  <c r="X117" i="5"/>
  <c r="AL123" i="5"/>
  <c r="AO123" i="5"/>
  <c r="AN215" i="5"/>
  <c r="AK215" i="5"/>
  <c r="DO123" i="5"/>
  <c r="AP123" i="5"/>
  <c r="AQ123" i="5" s="1"/>
  <c r="FE209" i="5"/>
  <c r="FG209" i="5" s="1"/>
  <c r="CS209" i="5"/>
  <c r="EL121" i="5"/>
  <c r="EM121" i="5"/>
  <c r="EQ230" i="5"/>
  <c r="ER230" i="5" s="1"/>
  <c r="EL36" i="5"/>
  <c r="EM36" i="5"/>
  <c r="DI121" i="5"/>
  <c r="DJ121" i="5"/>
  <c r="DH213" i="5"/>
  <c r="EG213" i="5"/>
  <c r="EJ213" i="5" s="1"/>
  <c r="EK213" i="5" s="1"/>
  <c r="DH122" i="5"/>
  <c r="EG122" i="5"/>
  <c r="EJ122" i="5" s="1"/>
  <c r="EK122" i="5" s="1"/>
  <c r="EL212" i="5"/>
  <c r="EM212" i="5"/>
  <c r="CS228" i="5"/>
  <c r="FE228" i="5"/>
  <c r="FG228" i="5" s="1"/>
  <c r="DM210" i="5"/>
  <c r="CK210" i="5"/>
  <c r="AN189" i="5"/>
  <c r="AK189" i="5"/>
  <c r="EL231" i="5"/>
  <c r="EM231" i="5"/>
  <c r="DH187" i="5"/>
  <c r="EG187" i="5"/>
  <c r="EJ187" i="5" s="1"/>
  <c r="EK187" i="5" s="1"/>
  <c r="DJ212" i="5"/>
  <c r="DI212" i="5"/>
  <c r="AN234" i="5"/>
  <c r="AK234" i="5"/>
  <c r="DK211" i="5"/>
  <c r="DL211" i="5" s="1"/>
  <c r="EQ211" i="5"/>
  <c r="ER211" i="5" s="1"/>
  <c r="DI231" i="5"/>
  <c r="DJ231" i="5"/>
  <c r="DK120" i="5"/>
  <c r="CZ119" i="5"/>
  <c r="FF119" i="5"/>
  <c r="FE183" i="5"/>
  <c r="FG183" i="5" s="1"/>
  <c r="CS183" i="5"/>
  <c r="AL37" i="5"/>
  <c r="AO37" i="5"/>
  <c r="EG37" i="5"/>
  <c r="EJ37" i="5" s="1"/>
  <c r="EK37" i="5" s="1"/>
  <c r="AJ125" i="5"/>
  <c r="X228" i="5"/>
  <c r="X209" i="5"/>
  <c r="AJ235" i="5"/>
  <c r="X183" i="5"/>
  <c r="AJ190" i="5"/>
  <c r="DS229" i="21" l="1"/>
  <c r="DS35" i="21"/>
  <c r="ED36" i="21"/>
  <c r="DR36" i="21"/>
  <c r="ED121" i="21"/>
  <c r="CR121" i="21" s="1"/>
  <c r="DR121" i="21"/>
  <c r="DS180" i="21"/>
  <c r="CQ180" i="21"/>
  <c r="DS206" i="21"/>
  <c r="CQ206" i="21"/>
  <c r="AT234" i="21"/>
  <c r="AP235" i="21"/>
  <c r="AQ234" i="21"/>
  <c r="EW207" i="21"/>
  <c r="EX207" i="21" s="1"/>
  <c r="EX36" i="21"/>
  <c r="EM39" i="21"/>
  <c r="EP39" i="21" s="1"/>
  <c r="EQ39" i="21" s="1"/>
  <c r="FK205" i="21"/>
  <c r="FM205" i="21" s="1"/>
  <c r="CY205" i="21"/>
  <c r="AD205" i="21"/>
  <c r="AT211" i="21"/>
  <c r="AQ211" i="21"/>
  <c r="EW122" i="21"/>
  <c r="EX122" i="21" s="1"/>
  <c r="EW181" i="21"/>
  <c r="EX181" i="21" s="1"/>
  <c r="DN183" i="21"/>
  <c r="EM183" i="21"/>
  <c r="EP183" i="21" s="1"/>
  <c r="EQ183" i="21" s="1"/>
  <c r="AT40" i="21"/>
  <c r="DU40" i="21" s="1"/>
  <c r="AP41" i="21"/>
  <c r="AQ40" i="21"/>
  <c r="AR233" i="21"/>
  <c r="AU233" i="21"/>
  <c r="AR184" i="21"/>
  <c r="AU184" i="21"/>
  <c r="DU125" i="21"/>
  <c r="AV125" i="21"/>
  <c r="AW125" i="21" s="1"/>
  <c r="DO208" i="21"/>
  <c r="DP208" i="21"/>
  <c r="ER38" i="21"/>
  <c r="ES38" i="21"/>
  <c r="DP182" i="21"/>
  <c r="DO182" i="21"/>
  <c r="DQ230" i="21"/>
  <c r="DR230" i="21" s="1"/>
  <c r="DS230" i="21" s="1"/>
  <c r="AT126" i="21"/>
  <c r="AP127" i="21"/>
  <c r="AQ126" i="21"/>
  <c r="DN124" i="21"/>
  <c r="EM124" i="21"/>
  <c r="EP124" i="21" s="1"/>
  <c r="EQ124" i="21" s="1"/>
  <c r="DQ181" i="21"/>
  <c r="DR181" i="21" s="1"/>
  <c r="ES231" i="21"/>
  <c r="ER231" i="21"/>
  <c r="CQ120" i="21"/>
  <c r="DS120" i="21"/>
  <c r="ES182" i="21"/>
  <c r="ER182" i="21"/>
  <c r="DP231" i="21"/>
  <c r="DO231" i="21"/>
  <c r="DP123" i="21"/>
  <c r="DO123" i="21"/>
  <c r="EX121" i="21"/>
  <c r="EW230" i="21"/>
  <c r="EX230" i="21" s="1"/>
  <c r="FK119" i="21"/>
  <c r="FM119" i="21" s="1"/>
  <c r="AD119" i="21"/>
  <c r="DE119" i="21"/>
  <c r="AR210" i="21"/>
  <c r="AU210" i="21"/>
  <c r="DU184" i="21"/>
  <c r="AV184" i="21"/>
  <c r="AW184" i="21" s="1"/>
  <c r="AR125" i="21"/>
  <c r="AU125" i="21"/>
  <c r="DN209" i="21"/>
  <c r="EM209" i="21"/>
  <c r="EP209" i="21" s="1"/>
  <c r="EQ209" i="21" s="1"/>
  <c r="DQ122" i="21"/>
  <c r="DN232" i="21"/>
  <c r="EM232" i="21"/>
  <c r="EP232" i="21" s="1"/>
  <c r="EQ232" i="21" s="1"/>
  <c r="EW37" i="21"/>
  <c r="EX37" i="21" s="1"/>
  <c r="AR39" i="21"/>
  <c r="AU39" i="21"/>
  <c r="AT185" i="21"/>
  <c r="AP186" i="21"/>
  <c r="AQ185" i="21"/>
  <c r="DQ207" i="21"/>
  <c r="DR207" i="21" s="1"/>
  <c r="AD179" i="21"/>
  <c r="CY179" i="21"/>
  <c r="FK179" i="21"/>
  <c r="FM179" i="21" s="1"/>
  <c r="DU233" i="21"/>
  <c r="AV233" i="21"/>
  <c r="AW233" i="21" s="1"/>
  <c r="DU210" i="21"/>
  <c r="AV210" i="21"/>
  <c r="AW210" i="21" s="1"/>
  <c r="ES123" i="21"/>
  <c r="ER123" i="21"/>
  <c r="ER208" i="21"/>
  <c r="ES208" i="21"/>
  <c r="DZ121" i="20"/>
  <c r="CY121" i="20" s="1"/>
  <c r="DZ35" i="20"/>
  <c r="EA35" i="20" s="1"/>
  <c r="FF36" i="20"/>
  <c r="FF121" i="20"/>
  <c r="DZ120" i="20"/>
  <c r="EA120" i="20" s="1"/>
  <c r="DM34" i="5"/>
  <c r="DM230" i="5"/>
  <c r="ER35" i="5"/>
  <c r="DL119" i="5"/>
  <c r="EL36" i="20"/>
  <c r="DZ36" i="20"/>
  <c r="FE37" i="20"/>
  <c r="FF37" i="20" s="1"/>
  <c r="AX127" i="20"/>
  <c r="BB126" i="20"/>
  <c r="AY126" i="20"/>
  <c r="EA119" i="20"/>
  <c r="CY119" i="20"/>
  <c r="FT120" i="20"/>
  <c r="DN120" i="20"/>
  <c r="FA38" i="20"/>
  <c r="EZ38" i="20"/>
  <c r="DV124" i="20"/>
  <c r="EU124" i="20"/>
  <c r="EX124" i="20" s="1"/>
  <c r="EY124" i="20" s="1"/>
  <c r="DX123" i="20"/>
  <c r="DW123" i="20"/>
  <c r="BC39" i="20"/>
  <c r="AZ39" i="20"/>
  <c r="BB40" i="20"/>
  <c r="EC40" i="20" s="1"/>
  <c r="AX41" i="20"/>
  <c r="AY40" i="20"/>
  <c r="BC125" i="20"/>
  <c r="AZ125" i="20"/>
  <c r="DY122" i="20"/>
  <c r="FE122" i="20"/>
  <c r="FJ122" i="20" s="1"/>
  <c r="EL122" i="20" s="1"/>
  <c r="CZ122" i="20" s="1"/>
  <c r="FA123" i="20"/>
  <c r="EZ123" i="20"/>
  <c r="DN121" i="20"/>
  <c r="FT121" i="20"/>
  <c r="EU39" i="20"/>
  <c r="EX39" i="20" s="1"/>
  <c r="EY39" i="20" s="1"/>
  <c r="EC125" i="20"/>
  <c r="BD125" i="20"/>
  <c r="BE125" i="20" s="1"/>
  <c r="DX120" i="5"/>
  <c r="CL120" i="5" s="1"/>
  <c r="DL120" i="5"/>
  <c r="DM185" i="5"/>
  <c r="CK185" i="5"/>
  <c r="DX35" i="5"/>
  <c r="DL35" i="5"/>
  <c r="DM35" i="5" s="1"/>
  <c r="AN125" i="5"/>
  <c r="AK125" i="5"/>
  <c r="EQ186" i="5"/>
  <c r="ER186" i="5" s="1"/>
  <c r="DH214" i="5"/>
  <c r="EG214" i="5"/>
  <c r="EJ214" i="5" s="1"/>
  <c r="EK214" i="5" s="1"/>
  <c r="AN190" i="5"/>
  <c r="AK190" i="5"/>
  <c r="AL234" i="5"/>
  <c r="AO234" i="5"/>
  <c r="AO189" i="5"/>
  <c r="AL189" i="5"/>
  <c r="EL122" i="5"/>
  <c r="EM122" i="5"/>
  <c r="AL215" i="5"/>
  <c r="AO215" i="5"/>
  <c r="AL124" i="5"/>
  <c r="AO124" i="5"/>
  <c r="DM211" i="5"/>
  <c r="CK211" i="5"/>
  <c r="EQ36" i="5"/>
  <c r="ER36" i="5" s="1"/>
  <c r="DO234" i="5"/>
  <c r="AP234" i="5"/>
  <c r="AQ234" i="5" s="1"/>
  <c r="DO189" i="5"/>
  <c r="AP189" i="5"/>
  <c r="AQ189" i="5" s="1"/>
  <c r="DJ122" i="5"/>
  <c r="DI122" i="5"/>
  <c r="DO215" i="5"/>
  <c r="AP215" i="5"/>
  <c r="AQ215" i="5" s="1"/>
  <c r="DK186" i="5"/>
  <c r="DL186" i="5" s="1"/>
  <c r="DO124" i="5"/>
  <c r="AP124" i="5"/>
  <c r="AQ124" i="5" s="1"/>
  <c r="CY184" i="5"/>
  <c r="FE184" i="5"/>
  <c r="FG184" i="5" s="1"/>
  <c r="AN235" i="5"/>
  <c r="AK235" i="5"/>
  <c r="DK212" i="5"/>
  <c r="DL212" i="5" s="1"/>
  <c r="FE210" i="5"/>
  <c r="FG210" i="5" s="1"/>
  <c r="CS210" i="5"/>
  <c r="EM213" i="5"/>
  <c r="EL213" i="5"/>
  <c r="AL38" i="5"/>
  <c r="AO38" i="5"/>
  <c r="DH233" i="5"/>
  <c r="EG233" i="5"/>
  <c r="EJ233" i="5" s="1"/>
  <c r="EK233" i="5" s="1"/>
  <c r="DK231" i="5"/>
  <c r="DL231" i="5" s="1"/>
  <c r="DJ213" i="5"/>
  <c r="DI213" i="5"/>
  <c r="EQ121" i="5"/>
  <c r="ER121" i="5" s="1"/>
  <c r="EG38" i="5"/>
  <c r="EJ38" i="5" s="1"/>
  <c r="EK38" i="5" s="1"/>
  <c r="EL232" i="5"/>
  <c r="EM232" i="5"/>
  <c r="EL187" i="5"/>
  <c r="EM187" i="5"/>
  <c r="ER120" i="5"/>
  <c r="AJ40" i="5"/>
  <c r="AN39" i="5"/>
  <c r="DO39" i="5" s="1"/>
  <c r="AK39" i="5"/>
  <c r="DI232" i="5"/>
  <c r="DJ232" i="5"/>
  <c r="FE229" i="5"/>
  <c r="FG229" i="5" s="1"/>
  <c r="CY229" i="5"/>
  <c r="EQ231" i="5"/>
  <c r="ER231" i="5" s="1"/>
  <c r="EQ212" i="5"/>
  <c r="ER212" i="5" s="1"/>
  <c r="DH123" i="5"/>
  <c r="EG123" i="5"/>
  <c r="EJ123" i="5" s="1"/>
  <c r="EK123" i="5" s="1"/>
  <c r="EM37" i="5"/>
  <c r="EL37" i="5"/>
  <c r="DI187" i="5"/>
  <c r="DJ187" i="5"/>
  <c r="DK121" i="5"/>
  <c r="DH188" i="5"/>
  <c r="EG188" i="5"/>
  <c r="EJ188" i="5" s="1"/>
  <c r="EK188" i="5" s="1"/>
  <c r="AJ126" i="5"/>
  <c r="X210" i="5"/>
  <c r="AJ236" i="5"/>
  <c r="X184" i="5"/>
  <c r="AJ191" i="5"/>
  <c r="CY120" i="20" l="1"/>
  <c r="DM120" i="20" s="1"/>
  <c r="EA36" i="20"/>
  <c r="DS181" i="21"/>
  <c r="CQ181" i="21"/>
  <c r="DS207" i="21"/>
  <c r="CQ207" i="21"/>
  <c r="DU211" i="21"/>
  <c r="AV211" i="21"/>
  <c r="AW211" i="21" s="1"/>
  <c r="ER232" i="21"/>
  <c r="ES232" i="21"/>
  <c r="DQ231" i="21"/>
  <c r="DR231" i="21" s="1"/>
  <c r="DN125" i="21"/>
  <c r="EM125" i="21"/>
  <c r="EP125" i="21" s="1"/>
  <c r="EQ125" i="21" s="1"/>
  <c r="AU126" i="21"/>
  <c r="AR126" i="21"/>
  <c r="AT127" i="21"/>
  <c r="AP128" i="21"/>
  <c r="AQ127" i="21"/>
  <c r="DQ123" i="21"/>
  <c r="DR123" i="21" s="1"/>
  <c r="DQ208" i="21"/>
  <c r="DR208" i="21" s="1"/>
  <c r="DO232" i="21"/>
  <c r="DP232" i="21"/>
  <c r="AU234" i="21"/>
  <c r="AR234" i="21"/>
  <c r="AU185" i="21"/>
  <c r="AR185" i="21"/>
  <c r="ER209" i="21"/>
  <c r="ES209" i="21"/>
  <c r="FK120" i="21"/>
  <c r="FM120" i="21" s="1"/>
  <c r="DE120" i="21"/>
  <c r="AD120" i="21"/>
  <c r="AU40" i="21"/>
  <c r="AR40" i="21"/>
  <c r="FB122" i="21"/>
  <c r="ED122" i="21" s="1"/>
  <c r="CR122" i="21" s="1"/>
  <c r="AT186" i="21"/>
  <c r="AP187" i="21"/>
  <c r="AQ186" i="21"/>
  <c r="EW182" i="21"/>
  <c r="EX182" i="21" s="1"/>
  <c r="DN210" i="21"/>
  <c r="EM210" i="21"/>
  <c r="EP210" i="21" s="1"/>
  <c r="EQ210" i="21" s="1"/>
  <c r="DP209" i="21"/>
  <c r="DO209" i="21"/>
  <c r="EW231" i="21"/>
  <c r="EX231" i="21" s="1"/>
  <c r="AP42" i="21"/>
  <c r="AT41" i="21"/>
  <c r="DU41" i="21" s="1"/>
  <c r="AQ41" i="21"/>
  <c r="DE180" i="21"/>
  <c r="AD180" i="21"/>
  <c r="FK180" i="21"/>
  <c r="FM180" i="21" s="1"/>
  <c r="FB37" i="21"/>
  <c r="EW208" i="21"/>
  <c r="EX208" i="21" s="1"/>
  <c r="EW123" i="21"/>
  <c r="FB123" i="21" s="1"/>
  <c r="ED123" i="21" s="1"/>
  <c r="CR123" i="21" s="1"/>
  <c r="EM40" i="21"/>
  <c r="EP40" i="21" s="1"/>
  <c r="EQ40" i="21" s="1"/>
  <c r="DU185" i="21"/>
  <c r="AV185" i="21"/>
  <c r="AW185" i="21" s="1"/>
  <c r="DN233" i="21"/>
  <c r="EM233" i="21"/>
  <c r="EP233" i="21" s="1"/>
  <c r="EQ233" i="21" s="1"/>
  <c r="ES183" i="21"/>
  <c r="ER183" i="21"/>
  <c r="CQ121" i="21"/>
  <c r="DS121" i="21"/>
  <c r="AR211" i="21"/>
  <c r="AU211" i="21"/>
  <c r="DO183" i="21"/>
  <c r="DP183" i="21"/>
  <c r="DF121" i="21"/>
  <c r="FL121" i="21"/>
  <c r="DU126" i="21"/>
  <c r="AV126" i="21"/>
  <c r="AW126" i="21" s="1"/>
  <c r="EW38" i="21"/>
  <c r="FB38" i="21" s="1"/>
  <c r="DU234" i="21"/>
  <c r="AV234" i="21"/>
  <c r="AW234" i="21" s="1"/>
  <c r="ER124" i="21"/>
  <c r="ES124" i="21"/>
  <c r="DS36" i="21"/>
  <c r="DQ182" i="21"/>
  <c r="DR182" i="21" s="1"/>
  <c r="ER39" i="21"/>
  <c r="ES39" i="21"/>
  <c r="AT235" i="21"/>
  <c r="AP236" i="21"/>
  <c r="AQ235" i="21"/>
  <c r="FK206" i="21"/>
  <c r="FM206" i="21" s="1"/>
  <c r="AD206" i="21"/>
  <c r="CY206" i="21"/>
  <c r="DN184" i="21"/>
  <c r="EM184" i="21"/>
  <c r="EP184" i="21" s="1"/>
  <c r="EQ184" i="21" s="1"/>
  <c r="DP124" i="21"/>
  <c r="DO124" i="21"/>
  <c r="EA121" i="20"/>
  <c r="FJ37" i="20"/>
  <c r="EL37" i="20" s="1"/>
  <c r="FF122" i="20"/>
  <c r="EV121" i="5"/>
  <c r="DX121" i="5" s="1"/>
  <c r="CL121" i="5" s="1"/>
  <c r="FF121" i="5" s="1"/>
  <c r="EV36" i="5"/>
  <c r="DL36" i="5" s="1"/>
  <c r="DM36" i="5" s="1"/>
  <c r="DM119" i="5"/>
  <c r="CK119" i="5"/>
  <c r="FT122" i="20"/>
  <c r="DN122" i="20"/>
  <c r="DZ122" i="20"/>
  <c r="FE38" i="20"/>
  <c r="FJ38" i="20" s="1"/>
  <c r="BB41" i="20"/>
  <c r="EC41" i="20" s="1"/>
  <c r="AX42" i="20"/>
  <c r="AY41" i="20"/>
  <c r="FA124" i="20"/>
  <c r="EZ124" i="20"/>
  <c r="EU40" i="20"/>
  <c r="EX40" i="20" s="1"/>
  <c r="EY40" i="20" s="1"/>
  <c r="DX124" i="20"/>
  <c r="DW124" i="20"/>
  <c r="DY123" i="20"/>
  <c r="DV125" i="20"/>
  <c r="EU125" i="20"/>
  <c r="EX125" i="20" s="1"/>
  <c r="EY125" i="20" s="1"/>
  <c r="AL119" i="20"/>
  <c r="FS119" i="20"/>
  <c r="FU119" i="20" s="1"/>
  <c r="DM119" i="20"/>
  <c r="FA39" i="20"/>
  <c r="EZ39" i="20"/>
  <c r="FS121" i="20"/>
  <c r="FU121" i="20" s="1"/>
  <c r="DM121" i="20"/>
  <c r="AL121" i="20"/>
  <c r="FE123" i="20"/>
  <c r="FF123" i="20" s="1"/>
  <c r="BC126" i="20"/>
  <c r="AZ126" i="20"/>
  <c r="EC126" i="20"/>
  <c r="BD126" i="20"/>
  <c r="BE126" i="20" s="1"/>
  <c r="BC40" i="20"/>
  <c r="AZ40" i="20"/>
  <c r="BB127" i="20"/>
  <c r="AX128" i="20"/>
  <c r="AY127" i="20"/>
  <c r="DM231" i="5"/>
  <c r="CK231" i="5"/>
  <c r="DM186" i="5"/>
  <c r="CK186" i="5"/>
  <c r="X186" i="5" s="1"/>
  <c r="DM212" i="5"/>
  <c r="CK212" i="5"/>
  <c r="DK232" i="5"/>
  <c r="DL232" i="5" s="1"/>
  <c r="EQ232" i="5"/>
  <c r="ER232" i="5" s="1"/>
  <c r="AL190" i="5"/>
  <c r="AO190" i="5"/>
  <c r="AL125" i="5"/>
  <c r="AO125" i="5"/>
  <c r="AN236" i="5"/>
  <c r="AK236" i="5"/>
  <c r="DK187" i="5"/>
  <c r="DL187" i="5" s="1"/>
  <c r="AL39" i="5"/>
  <c r="AO39" i="5"/>
  <c r="DH124" i="5"/>
  <c r="EG124" i="5"/>
  <c r="EJ124" i="5" s="1"/>
  <c r="EK124" i="5" s="1"/>
  <c r="DH189" i="5"/>
  <c r="EG189" i="5"/>
  <c r="EJ189" i="5" s="1"/>
  <c r="EK189" i="5" s="1"/>
  <c r="FE211" i="5"/>
  <c r="FG211" i="5" s="1"/>
  <c r="CS211" i="5"/>
  <c r="DO190" i="5"/>
  <c r="AP190" i="5"/>
  <c r="AQ190" i="5" s="1"/>
  <c r="DO125" i="5"/>
  <c r="AP125" i="5"/>
  <c r="AQ125" i="5" s="1"/>
  <c r="EQ37" i="5"/>
  <c r="EV37" i="5" s="1"/>
  <c r="EG39" i="5"/>
  <c r="EJ39" i="5" s="1"/>
  <c r="EK39" i="5" s="1"/>
  <c r="EM38" i="5"/>
  <c r="EL38" i="5"/>
  <c r="EM233" i="5"/>
  <c r="EL233" i="5"/>
  <c r="AN126" i="5"/>
  <c r="AK126" i="5"/>
  <c r="AJ41" i="5"/>
  <c r="AN40" i="5"/>
  <c r="DO40" i="5" s="1"/>
  <c r="AK40" i="5"/>
  <c r="DI233" i="5"/>
  <c r="DJ233" i="5"/>
  <c r="DH234" i="5"/>
  <c r="EG234" i="5"/>
  <c r="EJ234" i="5" s="1"/>
  <c r="EK234" i="5" s="1"/>
  <c r="EQ122" i="5"/>
  <c r="EV122" i="5" s="1"/>
  <c r="EL188" i="5"/>
  <c r="EM188" i="5"/>
  <c r="EL214" i="5"/>
  <c r="EM214" i="5"/>
  <c r="FE185" i="5"/>
  <c r="FG185" i="5" s="1"/>
  <c r="CS185" i="5"/>
  <c r="EL123" i="5"/>
  <c r="EM123" i="5"/>
  <c r="DI188" i="5"/>
  <c r="DJ188" i="5"/>
  <c r="DI123" i="5"/>
  <c r="DJ123" i="5"/>
  <c r="DO235" i="5"/>
  <c r="AP235" i="5"/>
  <c r="AQ235" i="5" s="1"/>
  <c r="DH215" i="5"/>
  <c r="EG215" i="5"/>
  <c r="EJ215" i="5" s="1"/>
  <c r="EK215" i="5" s="1"/>
  <c r="DI214" i="5"/>
  <c r="DJ214" i="5"/>
  <c r="CZ121" i="5"/>
  <c r="AL235" i="5"/>
  <c r="AO235" i="5"/>
  <c r="AN191" i="5"/>
  <c r="AK191" i="5"/>
  <c r="EQ187" i="5"/>
  <c r="ER187" i="5" s="1"/>
  <c r="DK213" i="5"/>
  <c r="DL213" i="5" s="1"/>
  <c r="EQ213" i="5"/>
  <c r="ER213" i="5" s="1"/>
  <c r="DK122" i="5"/>
  <c r="DM120" i="5"/>
  <c r="CK120" i="5"/>
  <c r="FF120" i="5"/>
  <c r="CZ120" i="5"/>
  <c r="AJ127" i="5"/>
  <c r="X211" i="5"/>
  <c r="AJ237" i="5"/>
  <c r="X185" i="5"/>
  <c r="AJ192" i="5"/>
  <c r="AL120" i="20" l="1"/>
  <c r="FS120" i="20"/>
  <c r="FU120" i="20" s="1"/>
  <c r="EX123" i="21"/>
  <c r="DS231" i="21"/>
  <c r="CQ231" i="21"/>
  <c r="CQ123" i="21"/>
  <c r="DS123" i="21"/>
  <c r="ED38" i="21"/>
  <c r="DR38" i="21"/>
  <c r="DS208" i="21"/>
  <c r="CQ208" i="21"/>
  <c r="CZ123" i="21"/>
  <c r="FL123" i="21"/>
  <c r="DS182" i="21"/>
  <c r="CQ182" i="21"/>
  <c r="DP210" i="21"/>
  <c r="DO210" i="21"/>
  <c r="DF122" i="21"/>
  <c r="FL122" i="21"/>
  <c r="DO125" i="21"/>
  <c r="DP125" i="21"/>
  <c r="DQ232" i="21"/>
  <c r="DR232" i="21" s="1"/>
  <c r="ER210" i="21"/>
  <c r="ES210" i="21"/>
  <c r="AP129" i="21"/>
  <c r="AT128" i="21"/>
  <c r="AQ128" i="21"/>
  <c r="EW124" i="21"/>
  <c r="FB124" i="21" s="1"/>
  <c r="ED124" i="21" s="1"/>
  <c r="CR124" i="21" s="1"/>
  <c r="EW39" i="21"/>
  <c r="FB39" i="21" s="1"/>
  <c r="DU127" i="21"/>
  <c r="AV127" i="21"/>
  <c r="AW127" i="21" s="1"/>
  <c r="ER40" i="21"/>
  <c r="ES40" i="21"/>
  <c r="DQ209" i="21"/>
  <c r="DR209" i="21" s="1"/>
  <c r="EW183" i="21"/>
  <c r="EX183" i="21" s="1"/>
  <c r="DN234" i="21"/>
  <c r="EM234" i="21"/>
  <c r="EP234" i="21" s="1"/>
  <c r="EQ234" i="21" s="1"/>
  <c r="EW232" i="21"/>
  <c r="EX232" i="21" s="1"/>
  <c r="DQ124" i="21"/>
  <c r="DR124" i="21" s="1"/>
  <c r="EX38" i="21"/>
  <c r="AU235" i="21"/>
  <c r="AR235" i="21"/>
  <c r="AD121" i="21"/>
  <c r="DE121" i="21"/>
  <c r="FK121" i="21"/>
  <c r="FM121" i="21" s="1"/>
  <c r="DP233" i="21"/>
  <c r="DO233" i="21"/>
  <c r="ED37" i="21"/>
  <c r="DR37" i="21"/>
  <c r="DS37" i="21" s="1"/>
  <c r="DN211" i="21"/>
  <c r="EM211" i="21"/>
  <c r="EP211" i="21" s="1"/>
  <c r="EQ211" i="21" s="1"/>
  <c r="DU235" i="21"/>
  <c r="AV235" i="21"/>
  <c r="AW235" i="21" s="1"/>
  <c r="ES125" i="21"/>
  <c r="ER125" i="21"/>
  <c r="EW209" i="21"/>
  <c r="EX209" i="21" s="1"/>
  <c r="DR122" i="21"/>
  <c r="AT42" i="21"/>
  <c r="DU42" i="21" s="1"/>
  <c r="AP43" i="21"/>
  <c r="AQ42" i="21"/>
  <c r="ER233" i="21"/>
  <c r="ES233" i="21"/>
  <c r="AT187" i="21"/>
  <c r="AP188" i="21"/>
  <c r="AQ187" i="21"/>
  <c r="DP184" i="21"/>
  <c r="DO184" i="21"/>
  <c r="DN126" i="21"/>
  <c r="EM126" i="21"/>
  <c r="EP126" i="21" s="1"/>
  <c r="EQ126" i="21" s="1"/>
  <c r="AD207" i="21"/>
  <c r="CY207" i="21"/>
  <c r="FK207" i="21"/>
  <c r="FM207" i="21" s="1"/>
  <c r="DN185" i="21"/>
  <c r="EM185" i="21"/>
  <c r="EP185" i="21" s="1"/>
  <c r="EQ185" i="21" s="1"/>
  <c r="DQ183" i="21"/>
  <c r="DR183" i="21" s="1"/>
  <c r="AP237" i="21"/>
  <c r="AT236" i="21"/>
  <c r="AQ236" i="21"/>
  <c r="AU186" i="21"/>
  <c r="AR186" i="21"/>
  <c r="AU41" i="21"/>
  <c r="AR41" i="21"/>
  <c r="AD181" i="21"/>
  <c r="FK181" i="21"/>
  <c r="FM181" i="21" s="1"/>
  <c r="CY181" i="21"/>
  <c r="AR127" i="21"/>
  <c r="AU127" i="21"/>
  <c r="DU186" i="21"/>
  <c r="AV186" i="21"/>
  <c r="AW186" i="21" s="1"/>
  <c r="ES184" i="21"/>
  <c r="ER184" i="21"/>
  <c r="EM41" i="21"/>
  <c r="EP41" i="21" s="1"/>
  <c r="EQ41" i="21" s="1"/>
  <c r="DZ37" i="20"/>
  <c r="EA37" i="20" s="1"/>
  <c r="FF38" i="20"/>
  <c r="DX36" i="5"/>
  <c r="ER122" i="5"/>
  <c r="DL121" i="5"/>
  <c r="DM232" i="5"/>
  <c r="X119" i="5"/>
  <c r="CY119" i="5"/>
  <c r="FE119" i="5"/>
  <c r="FG119" i="5" s="1"/>
  <c r="EL38" i="20"/>
  <c r="DZ38" i="20"/>
  <c r="FJ123" i="20"/>
  <c r="EL123" i="20" s="1"/>
  <c r="CZ123" i="20" s="1"/>
  <c r="EU41" i="20"/>
  <c r="EX41" i="20" s="1"/>
  <c r="EY41" i="20" s="1"/>
  <c r="AZ127" i="20"/>
  <c r="BC127" i="20"/>
  <c r="EA122" i="20"/>
  <c r="CY122" i="20"/>
  <c r="AX129" i="20"/>
  <c r="BB128" i="20"/>
  <c r="AY128" i="20"/>
  <c r="FA125" i="20"/>
  <c r="EZ125" i="20"/>
  <c r="FA40" i="20"/>
  <c r="EZ40" i="20"/>
  <c r="EC127" i="20"/>
  <c r="BD127" i="20"/>
  <c r="BE127" i="20" s="1"/>
  <c r="FE39" i="20"/>
  <c r="FF39" i="20" s="1"/>
  <c r="DX125" i="20"/>
  <c r="DW125" i="20"/>
  <c r="DV126" i="20"/>
  <c r="EU126" i="20"/>
  <c r="EX126" i="20" s="1"/>
  <c r="EY126" i="20" s="1"/>
  <c r="FE124" i="20"/>
  <c r="FJ124" i="20" s="1"/>
  <c r="EL124" i="20" s="1"/>
  <c r="CZ124" i="20" s="1"/>
  <c r="BC41" i="20"/>
  <c r="AZ41" i="20"/>
  <c r="DY124" i="20"/>
  <c r="AX43" i="20"/>
  <c r="BB42" i="20"/>
  <c r="EC42" i="20" s="1"/>
  <c r="AY42" i="20"/>
  <c r="DX37" i="5"/>
  <c r="DL37" i="5"/>
  <c r="DM213" i="5"/>
  <c r="CK213" i="5"/>
  <c r="X213" i="5" s="1"/>
  <c r="DX122" i="5"/>
  <c r="CL122" i="5" s="1"/>
  <c r="DL122" i="5"/>
  <c r="DI215" i="5"/>
  <c r="DJ215" i="5"/>
  <c r="AN237" i="5"/>
  <c r="AK237" i="5"/>
  <c r="DH235" i="5"/>
  <c r="EG235" i="5"/>
  <c r="EJ235" i="5" s="1"/>
  <c r="EK235" i="5" s="1"/>
  <c r="EG40" i="5"/>
  <c r="EJ40" i="5" s="1"/>
  <c r="EK40" i="5" s="1"/>
  <c r="EQ233" i="5"/>
  <c r="ER233" i="5" s="1"/>
  <c r="ER37" i="5"/>
  <c r="DJ189" i="5"/>
  <c r="DI189" i="5"/>
  <c r="DO236" i="5"/>
  <c r="AP236" i="5"/>
  <c r="AQ236" i="5" s="1"/>
  <c r="AJ42" i="5"/>
  <c r="AN41" i="5"/>
  <c r="DO41" i="5" s="1"/>
  <c r="AK41" i="5"/>
  <c r="EL124" i="5"/>
  <c r="EM124" i="5"/>
  <c r="AN127" i="5"/>
  <c r="AK127" i="5"/>
  <c r="DK123" i="5"/>
  <c r="EQ214" i="5"/>
  <c r="ER214" i="5" s="1"/>
  <c r="AO126" i="5"/>
  <c r="AL126" i="5"/>
  <c r="EQ38" i="5"/>
  <c r="ER38" i="5" s="1"/>
  <c r="DH125" i="5"/>
  <c r="EG125" i="5"/>
  <c r="EJ125" i="5" s="1"/>
  <c r="EK125" i="5" s="1"/>
  <c r="DI124" i="5"/>
  <c r="DJ124" i="5"/>
  <c r="FE212" i="5"/>
  <c r="FG212" i="5" s="1"/>
  <c r="CY212" i="5"/>
  <c r="CY120" i="5"/>
  <c r="FE120" i="5"/>
  <c r="FG120" i="5" s="1"/>
  <c r="X120" i="5"/>
  <c r="DO126" i="5"/>
  <c r="AP126" i="5"/>
  <c r="AQ126" i="5" s="1"/>
  <c r="EQ188" i="5"/>
  <c r="ER188" i="5" s="1"/>
  <c r="DI234" i="5"/>
  <c r="DJ234" i="5"/>
  <c r="EL39" i="5"/>
  <c r="EM39" i="5"/>
  <c r="DH190" i="5"/>
  <c r="EG190" i="5"/>
  <c r="EJ190" i="5" s="1"/>
  <c r="EK190" i="5" s="1"/>
  <c r="CS186" i="5"/>
  <c r="FE186" i="5"/>
  <c r="FG186" i="5" s="1"/>
  <c r="EL234" i="5"/>
  <c r="EM234" i="5"/>
  <c r="DK214" i="5"/>
  <c r="DL214" i="5" s="1"/>
  <c r="DK188" i="5"/>
  <c r="DL188" i="5" s="1"/>
  <c r="AN192" i="5"/>
  <c r="AK192" i="5"/>
  <c r="AO191" i="5"/>
  <c r="AL191" i="5"/>
  <c r="EL215" i="5"/>
  <c r="EM215" i="5"/>
  <c r="DO191" i="5"/>
  <c r="AP191" i="5"/>
  <c r="AQ191" i="5" s="1"/>
  <c r="DK233" i="5"/>
  <c r="DL233" i="5" s="1"/>
  <c r="DM187" i="5"/>
  <c r="CK187" i="5"/>
  <c r="FE231" i="5"/>
  <c r="FG231" i="5" s="1"/>
  <c r="CS231" i="5"/>
  <c r="EQ123" i="5"/>
  <c r="ER123" i="5" s="1"/>
  <c r="AL40" i="5"/>
  <c r="AO40" i="5"/>
  <c r="EL189" i="5"/>
  <c r="EM189" i="5"/>
  <c r="AL236" i="5"/>
  <c r="AO236" i="5"/>
  <c r="AJ128" i="5"/>
  <c r="X212" i="5"/>
  <c r="X231" i="5"/>
  <c r="AJ238" i="5"/>
  <c r="AJ193" i="5"/>
  <c r="EX39" i="21" l="1"/>
  <c r="CQ124" i="21"/>
  <c r="DS183" i="21"/>
  <c r="CQ183" i="21"/>
  <c r="ED39" i="21"/>
  <c r="DR39" i="21"/>
  <c r="DS39" i="21" s="1"/>
  <c r="FL124" i="21"/>
  <c r="CZ124" i="21"/>
  <c r="AT129" i="21"/>
  <c r="AP130" i="21"/>
  <c r="AQ129" i="21"/>
  <c r="AU42" i="21"/>
  <c r="AR42" i="21"/>
  <c r="AT43" i="21"/>
  <c r="DU43" i="21" s="1"/>
  <c r="AP44" i="21"/>
  <c r="AQ43" i="21"/>
  <c r="AR187" i="21"/>
  <c r="AU187" i="21"/>
  <c r="EW233" i="21"/>
  <c r="EX233" i="21" s="1"/>
  <c r="ER234" i="21"/>
  <c r="ES234" i="21"/>
  <c r="DQ125" i="21"/>
  <c r="DR125" i="21" s="1"/>
  <c r="AU236" i="21"/>
  <c r="AR236" i="21"/>
  <c r="CQ122" i="21"/>
  <c r="DS122" i="21"/>
  <c r="DP234" i="21"/>
  <c r="DO234" i="21"/>
  <c r="DU236" i="21"/>
  <c r="AV236" i="21"/>
  <c r="AW236" i="21" s="1"/>
  <c r="EM42" i="21"/>
  <c r="EP42" i="21" s="1"/>
  <c r="EQ42" i="21" s="1"/>
  <c r="FK182" i="21"/>
  <c r="FM182" i="21" s="1"/>
  <c r="CY182" i="21"/>
  <c r="AD182" i="21"/>
  <c r="EW184" i="21"/>
  <c r="EX184" i="21" s="1"/>
  <c r="DP185" i="21"/>
  <c r="DO185" i="21"/>
  <c r="DP211" i="21"/>
  <c r="DO211" i="21"/>
  <c r="DN127" i="21"/>
  <c r="EM127" i="21"/>
  <c r="EP127" i="21" s="1"/>
  <c r="EQ127" i="21" s="1"/>
  <c r="DE208" i="21"/>
  <c r="AD208" i="21"/>
  <c r="FK208" i="21"/>
  <c r="FM208" i="21" s="1"/>
  <c r="AT188" i="21"/>
  <c r="AP189" i="21"/>
  <c r="AQ188" i="21"/>
  <c r="AP238" i="21"/>
  <c r="AT237" i="21"/>
  <c r="AQ237" i="21"/>
  <c r="DN235" i="21"/>
  <c r="EM235" i="21"/>
  <c r="EP235" i="21" s="1"/>
  <c r="EQ235" i="21" s="1"/>
  <c r="DU128" i="21"/>
  <c r="AV128" i="21"/>
  <c r="AW128" i="21" s="1"/>
  <c r="EW40" i="21"/>
  <c r="FB40" i="21" s="1"/>
  <c r="DS38" i="21"/>
  <c r="ES41" i="21"/>
  <c r="ER41" i="21"/>
  <c r="DN186" i="21"/>
  <c r="EM186" i="21"/>
  <c r="EP186" i="21" s="1"/>
  <c r="EQ186" i="21" s="1"/>
  <c r="DQ233" i="21"/>
  <c r="DR233" i="21" s="1"/>
  <c r="DS232" i="21"/>
  <c r="CQ232" i="21"/>
  <c r="ES211" i="21"/>
  <c r="ER211" i="21"/>
  <c r="ES126" i="21"/>
  <c r="ER126" i="21"/>
  <c r="DQ210" i="21"/>
  <c r="DR210" i="21" s="1"/>
  <c r="DP126" i="21"/>
  <c r="DO126" i="21"/>
  <c r="EX124" i="21"/>
  <c r="DS124" i="21" s="1"/>
  <c r="CY123" i="21"/>
  <c r="AD123" i="21"/>
  <c r="FK123" i="21"/>
  <c r="FM123" i="21" s="1"/>
  <c r="DU187" i="21"/>
  <c r="AV187" i="21"/>
  <c r="AW187" i="21" s="1"/>
  <c r="EW125" i="21"/>
  <c r="FB125" i="21" s="1"/>
  <c r="ED125" i="21" s="1"/>
  <c r="CR125" i="21" s="1"/>
  <c r="DQ184" i="21"/>
  <c r="DR184" i="21" s="1"/>
  <c r="AD231" i="21"/>
  <c r="FK231" i="21"/>
  <c r="FM231" i="21" s="1"/>
  <c r="CY231" i="21"/>
  <c r="EW210" i="21"/>
  <c r="EX210" i="21" s="1"/>
  <c r="DS209" i="21"/>
  <c r="CQ209" i="21"/>
  <c r="ES185" i="21"/>
  <c r="ER185" i="21"/>
  <c r="AU128" i="21"/>
  <c r="AR128" i="21"/>
  <c r="FF124" i="20"/>
  <c r="DZ124" i="20"/>
  <c r="CY124" i="20" s="1"/>
  <c r="FJ39" i="20"/>
  <c r="EL39" i="20" s="1"/>
  <c r="EA38" i="20"/>
  <c r="CK121" i="5"/>
  <c r="DM121" i="5"/>
  <c r="DM233" i="5"/>
  <c r="DM37" i="5"/>
  <c r="FT124" i="20"/>
  <c r="DH124" i="20"/>
  <c r="BC42" i="20"/>
  <c r="AZ42" i="20"/>
  <c r="DY125" i="20"/>
  <c r="EZ41" i="20"/>
  <c r="FA41" i="20"/>
  <c r="EU42" i="20"/>
  <c r="EX42" i="20" s="1"/>
  <c r="EY42" i="20" s="1"/>
  <c r="AX44" i="20"/>
  <c r="BB43" i="20"/>
  <c r="EC43" i="20" s="1"/>
  <c r="AY43" i="20"/>
  <c r="FA126" i="20"/>
  <c r="EZ126" i="20"/>
  <c r="DV127" i="20"/>
  <c r="EU127" i="20"/>
  <c r="EX127" i="20" s="1"/>
  <c r="EY127" i="20" s="1"/>
  <c r="DX126" i="20"/>
  <c r="DW126" i="20"/>
  <c r="FE40" i="20"/>
  <c r="FJ40" i="20" s="1"/>
  <c r="BC128" i="20"/>
  <c r="AZ128" i="20"/>
  <c r="DZ123" i="20"/>
  <c r="EC128" i="20"/>
  <c r="BD128" i="20"/>
  <c r="BE128" i="20" s="1"/>
  <c r="FT123" i="20"/>
  <c r="DN123" i="20"/>
  <c r="FE125" i="20"/>
  <c r="FF125" i="20" s="1"/>
  <c r="AX130" i="20"/>
  <c r="BB129" i="20"/>
  <c r="AY129" i="20"/>
  <c r="FS122" i="20"/>
  <c r="FU122" i="20" s="1"/>
  <c r="DM122" i="20"/>
  <c r="AL122" i="20"/>
  <c r="DM188" i="5"/>
  <c r="CK188" i="5"/>
  <c r="DK215" i="5"/>
  <c r="DL215" i="5" s="1"/>
  <c r="AJ43" i="5"/>
  <c r="AN42" i="5"/>
  <c r="DO42" i="5" s="1"/>
  <c r="AK42" i="5"/>
  <c r="AL192" i="5"/>
  <c r="AO192" i="5"/>
  <c r="EQ39" i="5"/>
  <c r="ER39" i="5" s="1"/>
  <c r="DK124" i="5"/>
  <c r="AL41" i="5"/>
  <c r="AO41" i="5"/>
  <c r="AN193" i="5"/>
  <c r="AK193" i="5"/>
  <c r="DI125" i="5"/>
  <c r="DJ125" i="5"/>
  <c r="CZ122" i="5"/>
  <c r="FF122" i="5"/>
  <c r="DO192" i="5"/>
  <c r="AP192" i="5"/>
  <c r="AQ192" i="5" s="1"/>
  <c r="EV123" i="5"/>
  <c r="DX123" i="5" s="1"/>
  <c r="CL123" i="5" s="1"/>
  <c r="DH191" i="5"/>
  <c r="EG191" i="5"/>
  <c r="EJ191" i="5" s="1"/>
  <c r="EK191" i="5" s="1"/>
  <c r="EL40" i="5"/>
  <c r="EM40" i="5"/>
  <c r="EV38" i="5"/>
  <c r="AL127" i="5"/>
  <c r="AO127" i="5"/>
  <c r="DH236" i="5"/>
  <c r="EG236" i="5"/>
  <c r="EJ236" i="5" s="1"/>
  <c r="EK236" i="5" s="1"/>
  <c r="EL235" i="5"/>
  <c r="EM235" i="5"/>
  <c r="FE213" i="5"/>
  <c r="FG213" i="5" s="1"/>
  <c r="CY213" i="5"/>
  <c r="EL125" i="5"/>
  <c r="EM125" i="5"/>
  <c r="DL234" i="5"/>
  <c r="DK234" i="5"/>
  <c r="AN238" i="5"/>
  <c r="AK238" i="5"/>
  <c r="EQ215" i="5"/>
  <c r="ER215" i="5" s="1"/>
  <c r="DM214" i="5"/>
  <c r="CK214" i="5"/>
  <c r="X214" i="5" s="1"/>
  <c r="EL190" i="5"/>
  <c r="EM190" i="5"/>
  <c r="DO127" i="5"/>
  <c r="AP127" i="5"/>
  <c r="AQ127" i="5" s="1"/>
  <c r="DK189" i="5"/>
  <c r="DL189" i="5" s="1"/>
  <c r="DI235" i="5"/>
  <c r="DJ235" i="5"/>
  <c r="FE187" i="5"/>
  <c r="FG187" i="5" s="1"/>
  <c r="CY187" i="5"/>
  <c r="DJ190" i="5"/>
  <c r="DI190" i="5"/>
  <c r="DH126" i="5"/>
  <c r="EG126" i="5"/>
  <c r="EJ126" i="5" s="1"/>
  <c r="EK126" i="5" s="1"/>
  <c r="EG41" i="5"/>
  <c r="EJ41" i="5" s="1"/>
  <c r="EK41" i="5" s="1"/>
  <c r="EQ189" i="5"/>
  <c r="ER189" i="5" s="1"/>
  <c r="CK122" i="5"/>
  <c r="DM122" i="5"/>
  <c r="AO237" i="5"/>
  <c r="AL237" i="5"/>
  <c r="AN128" i="5"/>
  <c r="AK128" i="5"/>
  <c r="EQ234" i="5"/>
  <c r="ER234" i="5" s="1"/>
  <c r="EQ124" i="5"/>
  <c r="ER124" i="5" s="1"/>
  <c r="DO237" i="5"/>
  <c r="AP237" i="5"/>
  <c r="AQ237" i="5" s="1"/>
  <c r="X187" i="5"/>
  <c r="AJ129" i="5"/>
  <c r="AJ239" i="5"/>
  <c r="AJ194" i="5"/>
  <c r="EX40" i="21" l="1"/>
  <c r="DZ39" i="20"/>
  <c r="EA39" i="20" s="1"/>
  <c r="DS210" i="21"/>
  <c r="CQ210" i="21"/>
  <c r="DS233" i="21"/>
  <c r="CQ233" i="21"/>
  <c r="CQ125" i="21"/>
  <c r="ED40" i="21"/>
  <c r="DR40" i="21"/>
  <c r="DS40" i="21" s="1"/>
  <c r="DS184" i="21"/>
  <c r="CQ184" i="21"/>
  <c r="FL125" i="21"/>
  <c r="CZ125" i="21"/>
  <c r="ES127" i="21"/>
  <c r="ER127" i="21"/>
  <c r="DO186" i="21"/>
  <c r="DP186" i="21"/>
  <c r="EX125" i="21"/>
  <c r="DS125" i="21" s="1"/>
  <c r="AU43" i="21"/>
  <c r="AR43" i="21"/>
  <c r="AP45" i="21"/>
  <c r="AT44" i="21"/>
  <c r="DU44" i="21" s="1"/>
  <c r="AQ44" i="21"/>
  <c r="ER186" i="21"/>
  <c r="ES186" i="21"/>
  <c r="DU237" i="21"/>
  <c r="AV237" i="21"/>
  <c r="AW237" i="21" s="1"/>
  <c r="DP127" i="21"/>
  <c r="DO127" i="21"/>
  <c r="DN128" i="21"/>
  <c r="EM128" i="21"/>
  <c r="EP128" i="21" s="1"/>
  <c r="EQ128" i="21" s="1"/>
  <c r="AP131" i="21"/>
  <c r="AT130" i="21"/>
  <c r="AQ130" i="21"/>
  <c r="AP239" i="21"/>
  <c r="AT238" i="21"/>
  <c r="AQ238" i="21"/>
  <c r="DN236" i="21"/>
  <c r="EM236" i="21"/>
  <c r="EP236" i="21" s="1"/>
  <c r="EQ236" i="21" s="1"/>
  <c r="EW41" i="21"/>
  <c r="EX41" i="21" s="1"/>
  <c r="DN187" i="21"/>
  <c r="EM187" i="21"/>
  <c r="EP187" i="21" s="1"/>
  <c r="EQ187" i="21" s="1"/>
  <c r="ES235" i="21"/>
  <c r="ER235" i="21"/>
  <c r="DO235" i="21"/>
  <c r="DP235" i="21"/>
  <c r="AU237" i="21"/>
  <c r="AR237" i="21"/>
  <c r="AR188" i="21"/>
  <c r="AU188" i="21"/>
  <c r="DQ234" i="21"/>
  <c r="DR234" i="21" s="1"/>
  <c r="DQ126" i="21"/>
  <c r="EW126" i="21"/>
  <c r="EX126" i="21" s="1"/>
  <c r="AT189" i="21"/>
  <c r="AP190" i="21"/>
  <c r="AQ189" i="21"/>
  <c r="EW234" i="21"/>
  <c r="EX234" i="21" s="1"/>
  <c r="EM43" i="21"/>
  <c r="EP43" i="21" s="1"/>
  <c r="EQ43" i="21" s="1"/>
  <c r="DU188" i="21"/>
  <c r="AV188" i="21"/>
  <c r="AW188" i="21" s="1"/>
  <c r="FK183" i="21"/>
  <c r="FM183" i="21" s="1"/>
  <c r="DE183" i="21"/>
  <c r="AD183" i="21"/>
  <c r="DQ211" i="21"/>
  <c r="DR211" i="21" s="1"/>
  <c r="ES42" i="21"/>
  <c r="ER42" i="21"/>
  <c r="EW211" i="21"/>
  <c r="EX211" i="21" s="1"/>
  <c r="AD122" i="21"/>
  <c r="DE122" i="21"/>
  <c r="FK122" i="21"/>
  <c r="FM122" i="21" s="1"/>
  <c r="DQ185" i="21"/>
  <c r="DR185" i="21" s="1"/>
  <c r="AU129" i="21"/>
  <c r="AR129" i="21"/>
  <c r="DU129" i="21"/>
  <c r="AV129" i="21"/>
  <c r="AW129" i="21" s="1"/>
  <c r="EW185" i="21"/>
  <c r="EX185" i="21" s="1"/>
  <c r="FK209" i="21"/>
  <c r="FM209" i="21" s="1"/>
  <c r="AD209" i="21"/>
  <c r="DE209" i="21"/>
  <c r="AD232" i="21"/>
  <c r="FK232" i="21"/>
  <c r="FM232" i="21" s="1"/>
  <c r="CY232" i="21"/>
  <c r="FK124" i="21"/>
  <c r="FM124" i="21" s="1"/>
  <c r="AD124" i="21"/>
  <c r="CY124" i="21"/>
  <c r="EA124" i="20"/>
  <c r="X121" i="5"/>
  <c r="CY121" i="5"/>
  <c r="FE121" i="5"/>
  <c r="FG121" i="5" s="1"/>
  <c r="EV124" i="5"/>
  <c r="DX124" i="5" s="1"/>
  <c r="CL124" i="5" s="1"/>
  <c r="CT124" i="5" s="1"/>
  <c r="EL40" i="20"/>
  <c r="DZ40" i="20"/>
  <c r="EA123" i="20"/>
  <c r="CY123" i="20"/>
  <c r="BC43" i="20"/>
  <c r="AZ43" i="20"/>
  <c r="EU43" i="20"/>
  <c r="EX43" i="20" s="1"/>
  <c r="EY43" i="20" s="1"/>
  <c r="EC129" i="20"/>
  <c r="BD129" i="20"/>
  <c r="BE129" i="20" s="1"/>
  <c r="DY126" i="20"/>
  <c r="AX45" i="20"/>
  <c r="BB44" i="20"/>
  <c r="EC44" i="20" s="1"/>
  <c r="AY44" i="20"/>
  <c r="FE41" i="20"/>
  <c r="FJ41" i="20" s="1"/>
  <c r="AX131" i="20"/>
  <c r="BB130" i="20"/>
  <c r="AY130" i="20"/>
  <c r="FA127" i="20"/>
  <c r="EZ127" i="20"/>
  <c r="EZ42" i="20"/>
  <c r="FA42" i="20"/>
  <c r="FS124" i="20"/>
  <c r="FU124" i="20" s="1"/>
  <c r="DG124" i="20"/>
  <c r="AL124" i="20"/>
  <c r="AZ129" i="20"/>
  <c r="BC129" i="20"/>
  <c r="FJ125" i="20"/>
  <c r="EL125" i="20" s="1"/>
  <c r="CZ125" i="20" s="1"/>
  <c r="DX127" i="20"/>
  <c r="DW127" i="20"/>
  <c r="FF40" i="20"/>
  <c r="FE126" i="20"/>
  <c r="FF126" i="20" s="1"/>
  <c r="DV128" i="20"/>
  <c r="EU128" i="20"/>
  <c r="EX128" i="20" s="1"/>
  <c r="EY128" i="20" s="1"/>
  <c r="DM215" i="5"/>
  <c r="CK215" i="5"/>
  <c r="DO238" i="5"/>
  <c r="AP238" i="5"/>
  <c r="AQ238" i="5" s="1"/>
  <c r="EL236" i="5"/>
  <c r="EM236" i="5"/>
  <c r="AL42" i="5"/>
  <c r="AO42" i="5"/>
  <c r="EQ190" i="5"/>
  <c r="ER190" i="5" s="1"/>
  <c r="DM234" i="5"/>
  <c r="DJ236" i="5"/>
  <c r="DI236" i="5"/>
  <c r="EQ40" i="5"/>
  <c r="ER40" i="5" s="1"/>
  <c r="EG42" i="5"/>
  <c r="EJ42" i="5" s="1"/>
  <c r="EK42" i="5" s="1"/>
  <c r="AN194" i="5"/>
  <c r="AK194" i="5"/>
  <c r="AL128" i="5"/>
  <c r="AO128" i="5"/>
  <c r="FE214" i="5"/>
  <c r="FG214" i="5" s="1"/>
  <c r="CS214" i="5"/>
  <c r="EL191" i="5"/>
  <c r="EM191" i="5"/>
  <c r="AJ44" i="5"/>
  <c r="AN43" i="5"/>
  <c r="DO43" i="5" s="1"/>
  <c r="AK43" i="5"/>
  <c r="EL41" i="5"/>
  <c r="EM41" i="5"/>
  <c r="EQ125" i="5"/>
  <c r="ER125" i="5" s="1"/>
  <c r="DJ191" i="5"/>
  <c r="DI191" i="5"/>
  <c r="AN239" i="5"/>
  <c r="AK239" i="5"/>
  <c r="EL126" i="5"/>
  <c r="EM126" i="5"/>
  <c r="FF123" i="5"/>
  <c r="CZ123" i="5"/>
  <c r="DO128" i="5"/>
  <c r="AP128" i="5"/>
  <c r="AQ128" i="5" s="1"/>
  <c r="DK235" i="5"/>
  <c r="DL235" i="5" s="1"/>
  <c r="DH237" i="5"/>
  <c r="EG237" i="5"/>
  <c r="EJ237" i="5" s="1"/>
  <c r="EK237" i="5" s="1"/>
  <c r="DM189" i="5"/>
  <c r="CK189" i="5"/>
  <c r="DX38" i="5"/>
  <c r="DL38" i="5"/>
  <c r="DM38" i="5" s="1"/>
  <c r="DK125" i="5"/>
  <c r="EV39" i="5"/>
  <c r="AN129" i="5"/>
  <c r="AK129" i="5"/>
  <c r="DJ126" i="5"/>
  <c r="DI126" i="5"/>
  <c r="AO193" i="5"/>
  <c r="AL193" i="5"/>
  <c r="CS188" i="5"/>
  <c r="FE188" i="5"/>
  <c r="FG188" i="5" s="1"/>
  <c r="DK190" i="5"/>
  <c r="DL190" i="5" s="1"/>
  <c r="AL238" i="5"/>
  <c r="AO238" i="5"/>
  <c r="DH192" i="5"/>
  <c r="EG192" i="5"/>
  <c r="EJ192" i="5" s="1"/>
  <c r="EK192" i="5" s="1"/>
  <c r="DO193" i="5"/>
  <c r="AP193" i="5"/>
  <c r="AQ193" i="5" s="1"/>
  <c r="CY122" i="5"/>
  <c r="FE122" i="5"/>
  <c r="FG122" i="5" s="1"/>
  <c r="X122" i="5"/>
  <c r="DH127" i="5"/>
  <c r="EG127" i="5"/>
  <c r="EJ127" i="5" s="1"/>
  <c r="EK127" i="5" s="1"/>
  <c r="EQ235" i="5"/>
  <c r="ER235" i="5" s="1"/>
  <c r="DL123" i="5"/>
  <c r="AJ130" i="5"/>
  <c r="AJ240" i="5"/>
  <c r="AJ195" i="5"/>
  <c r="X188" i="5"/>
  <c r="DS211" i="21" l="1"/>
  <c r="CQ211" i="21"/>
  <c r="DS234" i="21"/>
  <c r="CQ234" i="21"/>
  <c r="AR44" i="21"/>
  <c r="AU44" i="21"/>
  <c r="AP191" i="21"/>
  <c r="AT190" i="21"/>
  <c r="AQ190" i="21"/>
  <c r="AU238" i="21"/>
  <c r="AR238" i="21"/>
  <c r="EW235" i="21"/>
  <c r="EX235" i="21" s="1"/>
  <c r="DQ186" i="21"/>
  <c r="DR186" i="21" s="1"/>
  <c r="DU189" i="21"/>
  <c r="AV189" i="21"/>
  <c r="AW189" i="21" s="1"/>
  <c r="DU238" i="21"/>
  <c r="AV238" i="21"/>
  <c r="AW238" i="21" s="1"/>
  <c r="DQ235" i="21"/>
  <c r="DR235" i="21" s="1"/>
  <c r="FB41" i="21"/>
  <c r="DN129" i="21"/>
  <c r="EM129" i="21"/>
  <c r="EP129" i="21" s="1"/>
  <c r="EQ129" i="21" s="1"/>
  <c r="FB126" i="21"/>
  <c r="ED126" i="21" s="1"/>
  <c r="CR126" i="21" s="1"/>
  <c r="AR130" i="21"/>
  <c r="AU130" i="21"/>
  <c r="DU130" i="21"/>
  <c r="AV130" i="21"/>
  <c r="AW130" i="21" s="1"/>
  <c r="ER43" i="21"/>
  <c r="ES43" i="21"/>
  <c r="DO236" i="21"/>
  <c r="DP236" i="21"/>
  <c r="AP132" i="21"/>
  <c r="AT131" i="21"/>
  <c r="AQ131" i="21"/>
  <c r="ER187" i="21"/>
  <c r="ES187" i="21"/>
  <c r="AR189" i="21"/>
  <c r="AU189" i="21"/>
  <c r="ES128" i="21"/>
  <c r="ER128" i="21"/>
  <c r="DP128" i="21"/>
  <c r="DO128" i="21"/>
  <c r="FK125" i="21"/>
  <c r="FM125" i="21" s="1"/>
  <c r="AD125" i="21"/>
  <c r="CY125" i="21"/>
  <c r="AP46" i="21"/>
  <c r="AT45" i="21"/>
  <c r="DU45" i="21" s="1"/>
  <c r="AQ45" i="21"/>
  <c r="DQ127" i="21"/>
  <c r="AD233" i="21"/>
  <c r="FK233" i="21"/>
  <c r="FM233" i="21" s="1"/>
  <c r="CY233" i="21"/>
  <c r="DO187" i="21"/>
  <c r="DP187" i="21"/>
  <c r="ES236" i="21"/>
  <c r="ER236" i="21"/>
  <c r="AP240" i="21"/>
  <c r="AT239" i="21"/>
  <c r="AQ239" i="21"/>
  <c r="EM44" i="21"/>
  <c r="EP44" i="21" s="1"/>
  <c r="EQ44" i="21" s="1"/>
  <c r="EW127" i="21"/>
  <c r="FB127" i="21" s="1"/>
  <c r="ED127" i="21" s="1"/>
  <c r="CR127" i="21" s="1"/>
  <c r="FK184" i="21"/>
  <c r="FM184" i="21" s="1"/>
  <c r="AD184" i="21"/>
  <c r="CY184" i="21"/>
  <c r="EW42" i="21"/>
  <c r="EX42" i="21" s="1"/>
  <c r="AD210" i="21"/>
  <c r="CY210" i="21"/>
  <c r="FK210" i="21"/>
  <c r="FM210" i="21" s="1"/>
  <c r="EW186" i="21"/>
  <c r="EX186" i="21" s="1"/>
  <c r="DN188" i="21"/>
  <c r="EM188" i="21"/>
  <c r="EP188" i="21" s="1"/>
  <c r="EQ188" i="21" s="1"/>
  <c r="DS185" i="21"/>
  <c r="CQ185" i="21"/>
  <c r="DN237" i="21"/>
  <c r="EM237" i="21"/>
  <c r="EP237" i="21" s="1"/>
  <c r="EQ237" i="21" s="1"/>
  <c r="FF41" i="20"/>
  <c r="FF124" i="5"/>
  <c r="EV125" i="5"/>
  <c r="DX125" i="5" s="1"/>
  <c r="CL125" i="5" s="1"/>
  <c r="FF125" i="5" s="1"/>
  <c r="EV40" i="5"/>
  <c r="DL124" i="5"/>
  <c r="EL41" i="20"/>
  <c r="DZ41" i="20"/>
  <c r="FA128" i="20"/>
  <c r="EZ128" i="20"/>
  <c r="FS123" i="20"/>
  <c r="FU123" i="20" s="1"/>
  <c r="DM123" i="20"/>
  <c r="AL123" i="20"/>
  <c r="FE127" i="20"/>
  <c r="FJ127" i="20" s="1"/>
  <c r="EL127" i="20" s="1"/>
  <c r="CZ127" i="20" s="1"/>
  <c r="BC44" i="20"/>
  <c r="AZ44" i="20"/>
  <c r="DV129" i="20"/>
  <c r="EU129" i="20"/>
  <c r="EX129" i="20" s="1"/>
  <c r="EY129" i="20" s="1"/>
  <c r="FJ126" i="20"/>
  <c r="EU44" i="20"/>
  <c r="EX44" i="20" s="1"/>
  <c r="EY44" i="20" s="1"/>
  <c r="BC130" i="20"/>
  <c r="AZ130" i="20"/>
  <c r="BB45" i="20"/>
  <c r="EC45" i="20" s="1"/>
  <c r="AX46" i="20"/>
  <c r="AY45" i="20"/>
  <c r="DY127" i="20"/>
  <c r="FE42" i="20"/>
  <c r="FJ42" i="20" s="1"/>
  <c r="EC130" i="20"/>
  <c r="BD130" i="20"/>
  <c r="BE130" i="20" s="1"/>
  <c r="EA40" i="20"/>
  <c r="AX132" i="20"/>
  <c r="BB131" i="20"/>
  <c r="AY131" i="20"/>
  <c r="FA43" i="20"/>
  <c r="EZ43" i="20"/>
  <c r="DX128" i="20"/>
  <c r="DW128" i="20"/>
  <c r="DH125" i="20"/>
  <c r="FT125" i="20"/>
  <c r="DZ125" i="20"/>
  <c r="DM235" i="5"/>
  <c r="CK235" i="5"/>
  <c r="DM190" i="5"/>
  <c r="CK190" i="5"/>
  <c r="DK126" i="5"/>
  <c r="DH128" i="5"/>
  <c r="EG128" i="5"/>
  <c r="EJ128" i="5" s="1"/>
  <c r="EK128" i="5" s="1"/>
  <c r="AJ45" i="5"/>
  <c r="AN44" i="5"/>
  <c r="DO44" i="5" s="1"/>
  <c r="AK44" i="5"/>
  <c r="DX40" i="5"/>
  <c r="DL40" i="5"/>
  <c r="DM40" i="5" s="1"/>
  <c r="FE189" i="5"/>
  <c r="FG189" i="5" s="1"/>
  <c r="CS189" i="5"/>
  <c r="DK236" i="5"/>
  <c r="DL236" i="5" s="1"/>
  <c r="EQ236" i="5"/>
  <c r="ER236" i="5" s="1"/>
  <c r="DM123" i="5"/>
  <c r="CK123" i="5"/>
  <c r="AO129" i="5"/>
  <c r="AL129" i="5"/>
  <c r="AL194" i="5"/>
  <c r="AO194" i="5"/>
  <c r="EL237" i="5"/>
  <c r="EM237" i="5"/>
  <c r="CT125" i="5"/>
  <c r="DO194" i="5"/>
  <c r="AP194" i="5"/>
  <c r="AQ194" i="5" s="1"/>
  <c r="DH238" i="5"/>
  <c r="EG238" i="5"/>
  <c r="EJ238" i="5" s="1"/>
  <c r="EK238" i="5" s="1"/>
  <c r="DJ127" i="5"/>
  <c r="DI127" i="5"/>
  <c r="EL192" i="5"/>
  <c r="EM192" i="5"/>
  <c r="DX39" i="5"/>
  <c r="DL39" i="5"/>
  <c r="DM39" i="5" s="1"/>
  <c r="DI237" i="5"/>
  <c r="DJ237" i="5"/>
  <c r="EQ126" i="5"/>
  <c r="ER126" i="5" s="1"/>
  <c r="DO129" i="5"/>
  <c r="AP129" i="5"/>
  <c r="AQ129" i="5" s="1"/>
  <c r="AN240" i="5"/>
  <c r="AK240" i="5"/>
  <c r="DJ192" i="5"/>
  <c r="DI192" i="5"/>
  <c r="AL239" i="5"/>
  <c r="AO239" i="5"/>
  <c r="EQ41" i="5"/>
  <c r="ER41" i="5" s="1"/>
  <c r="EQ191" i="5"/>
  <c r="ER191" i="5" s="1"/>
  <c r="EM42" i="5"/>
  <c r="EL42" i="5"/>
  <c r="EL127" i="5"/>
  <c r="EM127" i="5"/>
  <c r="AN195" i="5"/>
  <c r="AK195" i="5"/>
  <c r="AN130" i="5"/>
  <c r="AK130" i="5"/>
  <c r="DO239" i="5"/>
  <c r="AP239" i="5"/>
  <c r="AQ239" i="5" s="1"/>
  <c r="AO43" i="5"/>
  <c r="AL43" i="5"/>
  <c r="FE215" i="5"/>
  <c r="FG215" i="5" s="1"/>
  <c r="CS215" i="5"/>
  <c r="DH193" i="5"/>
  <c r="EG193" i="5"/>
  <c r="EJ193" i="5" s="1"/>
  <c r="EK193" i="5" s="1"/>
  <c r="DK191" i="5"/>
  <c r="DL191" i="5" s="1"/>
  <c r="EG43" i="5"/>
  <c r="EJ43" i="5" s="1"/>
  <c r="EK43" i="5" s="1"/>
  <c r="AJ131" i="5"/>
  <c r="X215" i="5"/>
  <c r="AJ241" i="5"/>
  <c r="X189" i="5"/>
  <c r="CZ127" i="21" l="1"/>
  <c r="FL127" i="21"/>
  <c r="DS186" i="21"/>
  <c r="CQ186" i="21"/>
  <c r="DR127" i="21"/>
  <c r="EW128" i="21"/>
  <c r="FB128" i="21" s="1"/>
  <c r="ED128" i="21" s="1"/>
  <c r="CR128" i="21" s="1"/>
  <c r="DN189" i="21"/>
  <c r="EM189" i="21"/>
  <c r="EP189" i="21" s="1"/>
  <c r="EQ189" i="21" s="1"/>
  <c r="AR239" i="21"/>
  <c r="AU239" i="21"/>
  <c r="DQ236" i="21"/>
  <c r="DR236" i="21" s="1"/>
  <c r="DQ128" i="21"/>
  <c r="DR128" i="21" s="1"/>
  <c r="EX127" i="21"/>
  <c r="ER237" i="21"/>
  <c r="ES237" i="21"/>
  <c r="DQ187" i="21"/>
  <c r="DR187" i="21" s="1"/>
  <c r="DO237" i="21"/>
  <c r="DP237" i="21"/>
  <c r="EW43" i="21"/>
  <c r="EX43" i="21" s="1"/>
  <c r="AR190" i="21"/>
  <c r="AU190" i="21"/>
  <c r="DS235" i="21"/>
  <c r="CQ235" i="21"/>
  <c r="DN238" i="21"/>
  <c r="EM238" i="21"/>
  <c r="EP238" i="21" s="1"/>
  <c r="EQ238" i="21" s="1"/>
  <c r="DU239" i="21"/>
  <c r="AV239" i="21"/>
  <c r="AW239" i="21" s="1"/>
  <c r="DU131" i="21"/>
  <c r="AV131" i="21"/>
  <c r="AW131" i="21" s="1"/>
  <c r="DP188" i="21"/>
  <c r="DO188" i="21"/>
  <c r="DU190" i="21"/>
  <c r="AV190" i="21"/>
  <c r="AW190" i="21" s="1"/>
  <c r="AP241" i="21"/>
  <c r="AT240" i="21"/>
  <c r="AQ240" i="21"/>
  <c r="AP133" i="21"/>
  <c r="AT132" i="21"/>
  <c r="AQ132" i="21"/>
  <c r="DN130" i="21"/>
  <c r="EM130" i="21"/>
  <c r="EP130" i="21" s="1"/>
  <c r="EQ130" i="21" s="1"/>
  <c r="AT191" i="21"/>
  <c r="AQ191" i="21"/>
  <c r="FB42" i="21"/>
  <c r="ES44" i="21"/>
  <c r="ER44" i="21"/>
  <c r="FK185" i="21"/>
  <c r="FM185" i="21" s="1"/>
  <c r="AD185" i="21"/>
  <c r="CY185" i="21"/>
  <c r="AR45" i="21"/>
  <c r="AU45" i="21"/>
  <c r="EM45" i="21"/>
  <c r="EP45" i="21" s="1"/>
  <c r="EQ45" i="21" s="1"/>
  <c r="FL126" i="21"/>
  <c r="CZ126" i="21"/>
  <c r="AD234" i="21"/>
  <c r="CY234" i="21"/>
  <c r="FK234" i="21"/>
  <c r="FM234" i="21" s="1"/>
  <c r="AR131" i="21"/>
  <c r="AU131" i="21"/>
  <c r="AP47" i="21"/>
  <c r="AT46" i="21"/>
  <c r="DU46" i="21" s="1"/>
  <c r="AQ46" i="21"/>
  <c r="ES129" i="21"/>
  <c r="ER129" i="21"/>
  <c r="DR126" i="21"/>
  <c r="EW187" i="21"/>
  <c r="EX187" i="21" s="1"/>
  <c r="EW236" i="21"/>
  <c r="EX236" i="21" s="1"/>
  <c r="DO129" i="21"/>
  <c r="DP129" i="21"/>
  <c r="ED41" i="21"/>
  <c r="DR41" i="21"/>
  <c r="DS41" i="21" s="1"/>
  <c r="CY211" i="21"/>
  <c r="FK211" i="21"/>
  <c r="FM211" i="21" s="1"/>
  <c r="AD211" i="21"/>
  <c r="ES188" i="21"/>
  <c r="ER188" i="21"/>
  <c r="EA41" i="20"/>
  <c r="FF127" i="20"/>
  <c r="EV126" i="5"/>
  <c r="DX126" i="5" s="1"/>
  <c r="CL126" i="5" s="1"/>
  <c r="CT126" i="5" s="1"/>
  <c r="DL125" i="5"/>
  <c r="EV41" i="5"/>
  <c r="DM124" i="5"/>
  <c r="CK124" i="5"/>
  <c r="DZ127" i="20"/>
  <c r="FT127" i="20"/>
  <c r="DH127" i="20"/>
  <c r="EL42" i="20"/>
  <c r="DZ42" i="20"/>
  <c r="CY125" i="20"/>
  <c r="EA125" i="20"/>
  <c r="FE43" i="20"/>
  <c r="FF43" i="20" s="1"/>
  <c r="FA44" i="20"/>
  <c r="EZ44" i="20"/>
  <c r="DX129" i="20"/>
  <c r="DW129" i="20"/>
  <c r="EL126" i="20"/>
  <c r="CZ126" i="20" s="1"/>
  <c r="DZ126" i="20"/>
  <c r="FA129" i="20"/>
  <c r="EZ129" i="20"/>
  <c r="DV130" i="20"/>
  <c r="EU130" i="20"/>
  <c r="EX130" i="20" s="1"/>
  <c r="EY130" i="20" s="1"/>
  <c r="AZ45" i="20"/>
  <c r="BC45" i="20"/>
  <c r="DY128" i="20"/>
  <c r="AZ131" i="20"/>
  <c r="BC131" i="20"/>
  <c r="AX47" i="20"/>
  <c r="BB46" i="20"/>
  <c r="EC46" i="20" s="1"/>
  <c r="AY46" i="20"/>
  <c r="EC131" i="20"/>
  <c r="BD131" i="20"/>
  <c r="BE131" i="20" s="1"/>
  <c r="FF42" i="20"/>
  <c r="EU45" i="20"/>
  <c r="EX45" i="20" s="1"/>
  <c r="EY45" i="20" s="1"/>
  <c r="FE128" i="20"/>
  <c r="FF128" i="20" s="1"/>
  <c r="AX133" i="20"/>
  <c r="BB132" i="20"/>
  <c r="AY132" i="20"/>
  <c r="DM191" i="5"/>
  <c r="CK191" i="5"/>
  <c r="AN241" i="5"/>
  <c r="AK241" i="5"/>
  <c r="EL43" i="5"/>
  <c r="EM43" i="5"/>
  <c r="EQ127" i="5"/>
  <c r="ER127" i="5" s="1"/>
  <c r="DX41" i="5"/>
  <c r="DL41" i="5"/>
  <c r="DM41" i="5" s="1"/>
  <c r="EM238" i="5"/>
  <c r="EL238" i="5"/>
  <c r="CY190" i="5"/>
  <c r="FE190" i="5"/>
  <c r="FG190" i="5" s="1"/>
  <c r="AN131" i="5"/>
  <c r="AK131" i="5"/>
  <c r="DH239" i="5"/>
  <c r="EG239" i="5"/>
  <c r="EJ239" i="5" s="1"/>
  <c r="EK239" i="5" s="1"/>
  <c r="EQ192" i="5"/>
  <c r="ER192" i="5" s="1"/>
  <c r="AL44" i="5"/>
  <c r="AO44" i="5"/>
  <c r="AO130" i="5"/>
  <c r="AL130" i="5"/>
  <c r="EQ42" i="5"/>
  <c r="EV42" i="5" s="1"/>
  <c r="DK127" i="5"/>
  <c r="DH194" i="5"/>
  <c r="EG194" i="5"/>
  <c r="EJ194" i="5" s="1"/>
  <c r="EK194" i="5" s="1"/>
  <c r="EG44" i="5"/>
  <c r="EJ44" i="5" s="1"/>
  <c r="EK44" i="5" s="1"/>
  <c r="DH129" i="5"/>
  <c r="EG129" i="5"/>
  <c r="EJ129" i="5" s="1"/>
  <c r="EK129" i="5" s="1"/>
  <c r="DI193" i="5"/>
  <c r="DJ193" i="5"/>
  <c r="DO130" i="5"/>
  <c r="AP130" i="5"/>
  <c r="AQ130" i="5" s="1"/>
  <c r="DK192" i="5"/>
  <c r="DL192" i="5" s="1"/>
  <c r="FE123" i="5"/>
  <c r="FG123" i="5" s="1"/>
  <c r="CY123" i="5"/>
  <c r="X123" i="5"/>
  <c r="AJ46" i="5"/>
  <c r="AN45" i="5"/>
  <c r="DO45" i="5" s="1"/>
  <c r="AK45" i="5"/>
  <c r="EL193" i="5"/>
  <c r="EM193" i="5"/>
  <c r="AO195" i="5"/>
  <c r="AL195" i="5"/>
  <c r="EM128" i="5"/>
  <c r="EL128" i="5"/>
  <c r="FE235" i="5"/>
  <c r="FG235" i="5" s="1"/>
  <c r="CS235" i="5"/>
  <c r="DI238" i="5"/>
  <c r="DJ238" i="5"/>
  <c r="DO195" i="5"/>
  <c r="AP195" i="5"/>
  <c r="AQ195" i="5" s="1"/>
  <c r="AO240" i="5"/>
  <c r="AL240" i="5"/>
  <c r="DK237" i="5"/>
  <c r="DL237" i="5" s="1"/>
  <c r="DI128" i="5"/>
  <c r="DJ128" i="5"/>
  <c r="DM236" i="5"/>
  <c r="CK236" i="5"/>
  <c r="DO240" i="5"/>
  <c r="AP240" i="5"/>
  <c r="AQ240" i="5" s="1"/>
  <c r="EQ237" i="5"/>
  <c r="ER237" i="5" s="1"/>
  <c r="AJ132" i="5"/>
  <c r="X190" i="5"/>
  <c r="X235" i="5"/>
  <c r="AJ242" i="5"/>
  <c r="FB43" i="21" l="1"/>
  <c r="CQ128" i="21"/>
  <c r="CQ236" i="21"/>
  <c r="DS236" i="21"/>
  <c r="FL128" i="21"/>
  <c r="CZ128" i="21"/>
  <c r="DS187" i="21"/>
  <c r="CQ187" i="21"/>
  <c r="ED43" i="21"/>
  <c r="DR43" i="21"/>
  <c r="DS43" i="21" s="1"/>
  <c r="DU132" i="21"/>
  <c r="AV132" i="21"/>
  <c r="AW132" i="21" s="1"/>
  <c r="DU240" i="21"/>
  <c r="AV240" i="21"/>
  <c r="AW240" i="21" s="1"/>
  <c r="DN190" i="21"/>
  <c r="EM190" i="21"/>
  <c r="EP190" i="21" s="1"/>
  <c r="EQ190" i="21" s="1"/>
  <c r="AR240" i="21"/>
  <c r="AU240" i="21"/>
  <c r="ER45" i="21"/>
  <c r="ES45" i="21"/>
  <c r="DN131" i="21"/>
  <c r="EM131" i="21"/>
  <c r="EP131" i="21" s="1"/>
  <c r="EQ131" i="21" s="1"/>
  <c r="AU132" i="21"/>
  <c r="AR132" i="21"/>
  <c r="EW188" i="21"/>
  <c r="EX188" i="21" s="1"/>
  <c r="ER238" i="21"/>
  <c r="ES238" i="21"/>
  <c r="EM46" i="21"/>
  <c r="EP46" i="21" s="1"/>
  <c r="EQ46" i="21" s="1"/>
  <c r="DP238" i="21"/>
  <c r="DO238" i="21"/>
  <c r="EX128" i="21"/>
  <c r="DS128" i="21" s="1"/>
  <c r="DP130" i="21"/>
  <c r="DO130" i="21"/>
  <c r="DN239" i="21"/>
  <c r="EM239" i="21"/>
  <c r="EP239" i="21" s="1"/>
  <c r="EQ239" i="21" s="1"/>
  <c r="DQ129" i="21"/>
  <c r="CY235" i="21"/>
  <c r="AD235" i="21"/>
  <c r="FK235" i="21"/>
  <c r="FM235" i="21" s="1"/>
  <c r="EW129" i="21"/>
  <c r="FB129" i="21" s="1"/>
  <c r="ED129" i="21" s="1"/>
  <c r="CR129" i="21" s="1"/>
  <c r="AT133" i="21"/>
  <c r="AP134" i="21"/>
  <c r="AQ133" i="21"/>
  <c r="ER189" i="21"/>
  <c r="ES189" i="21"/>
  <c r="EW44" i="21"/>
  <c r="FB44" i="21" s="1"/>
  <c r="CQ127" i="21"/>
  <c r="DS127" i="21"/>
  <c r="AU46" i="21"/>
  <c r="AR46" i="21"/>
  <c r="EW237" i="21"/>
  <c r="EX237" i="21" s="1"/>
  <c r="FK186" i="21"/>
  <c r="FM186" i="21" s="1"/>
  <c r="AD186" i="21"/>
  <c r="DE186" i="21"/>
  <c r="ED42" i="21"/>
  <c r="DR42" i="21"/>
  <c r="DS42" i="21" s="1"/>
  <c r="AT47" i="21"/>
  <c r="DU47" i="21" s="1"/>
  <c r="AP48" i="21"/>
  <c r="AQ47" i="21"/>
  <c r="DQ188" i="21"/>
  <c r="DR188" i="21" s="1"/>
  <c r="AR191" i="21"/>
  <c r="AU191" i="21"/>
  <c r="ER130" i="21"/>
  <c r="ES130" i="21"/>
  <c r="DQ237" i="21"/>
  <c r="DR237" i="21" s="1"/>
  <c r="AT241" i="21"/>
  <c r="AP242" i="21"/>
  <c r="AQ241" i="21"/>
  <c r="DO189" i="21"/>
  <c r="DP189" i="21"/>
  <c r="CQ126" i="21"/>
  <c r="DS126" i="21"/>
  <c r="DU191" i="21"/>
  <c r="AV191" i="21"/>
  <c r="AW191" i="21" s="1"/>
  <c r="FJ128" i="20"/>
  <c r="EL128" i="20" s="1"/>
  <c r="CZ128" i="20" s="1"/>
  <c r="DH128" i="20" s="1"/>
  <c r="DL126" i="5"/>
  <c r="FF126" i="5"/>
  <c r="CK125" i="5"/>
  <c r="DM125" i="5"/>
  <c r="ER42" i="5"/>
  <c r="CS124" i="5"/>
  <c r="FE124" i="5"/>
  <c r="FG124" i="5" s="1"/>
  <c r="EZ130" i="20"/>
  <c r="FA130" i="20"/>
  <c r="DY129" i="20"/>
  <c r="FS125" i="20"/>
  <c r="FU125" i="20" s="1"/>
  <c r="DG125" i="20"/>
  <c r="AL125" i="20"/>
  <c r="EA42" i="20"/>
  <c r="FE44" i="20"/>
  <c r="FJ44" i="20" s="1"/>
  <c r="BC46" i="20"/>
  <c r="AZ46" i="20"/>
  <c r="EA126" i="20"/>
  <c r="CY126" i="20"/>
  <c r="DV131" i="20"/>
  <c r="EU131" i="20"/>
  <c r="EX131" i="20" s="1"/>
  <c r="EY131" i="20" s="1"/>
  <c r="EU46" i="20"/>
  <c r="EX46" i="20" s="1"/>
  <c r="EY46" i="20" s="1"/>
  <c r="FE129" i="20"/>
  <c r="FJ129" i="20" s="1"/>
  <c r="EL129" i="20" s="1"/>
  <c r="CZ129" i="20" s="1"/>
  <c r="FT126" i="20"/>
  <c r="DH126" i="20"/>
  <c r="BC132" i="20"/>
  <c r="AZ132" i="20"/>
  <c r="AX48" i="20"/>
  <c r="BB47" i="20"/>
  <c r="EC47" i="20" s="1"/>
  <c r="AY47" i="20"/>
  <c r="FJ43" i="20"/>
  <c r="EC132" i="20"/>
  <c r="BD132" i="20"/>
  <c r="BE132" i="20" s="1"/>
  <c r="DX130" i="20"/>
  <c r="DW130" i="20"/>
  <c r="AX134" i="20"/>
  <c r="BB133" i="20"/>
  <c r="AY133" i="20"/>
  <c r="EZ45" i="20"/>
  <c r="FA45" i="20"/>
  <c r="EA127" i="20"/>
  <c r="CY127" i="20"/>
  <c r="DM192" i="5"/>
  <c r="CK192" i="5"/>
  <c r="DX42" i="5"/>
  <c r="DL42" i="5"/>
  <c r="DM42" i="5" s="1"/>
  <c r="EQ128" i="5"/>
  <c r="ER128" i="5" s="1"/>
  <c r="AJ47" i="5"/>
  <c r="AN46" i="5"/>
  <c r="DO46" i="5" s="1"/>
  <c r="AK46" i="5"/>
  <c r="EV127" i="5"/>
  <c r="DX127" i="5" s="1"/>
  <c r="CL127" i="5" s="1"/>
  <c r="DH240" i="5"/>
  <c r="EG240" i="5"/>
  <c r="EJ240" i="5" s="1"/>
  <c r="EK240" i="5" s="1"/>
  <c r="AN132" i="5"/>
  <c r="AK132" i="5"/>
  <c r="CS236" i="5"/>
  <c r="FE236" i="5"/>
  <c r="FG236" i="5" s="1"/>
  <c r="EL194" i="5"/>
  <c r="EM194" i="5"/>
  <c r="CK126" i="5"/>
  <c r="DM126" i="5"/>
  <c r="DM237" i="5"/>
  <c r="CK237" i="5"/>
  <c r="DH195" i="5"/>
  <c r="EG195" i="5"/>
  <c r="EJ195" i="5" s="1"/>
  <c r="EK195" i="5" s="1"/>
  <c r="DI194" i="5"/>
  <c r="DJ194" i="5"/>
  <c r="EQ43" i="5"/>
  <c r="ER43" i="5" s="1"/>
  <c r="EL44" i="5"/>
  <c r="EM44" i="5"/>
  <c r="EQ238" i="5"/>
  <c r="ER238" i="5" s="1"/>
  <c r="EL129" i="5"/>
  <c r="EM129" i="5"/>
  <c r="EL239" i="5"/>
  <c r="EM239" i="5"/>
  <c r="AL241" i="5"/>
  <c r="AO241" i="5"/>
  <c r="AN242" i="5"/>
  <c r="AK242" i="5"/>
  <c r="DH130" i="5"/>
  <c r="EG130" i="5"/>
  <c r="EJ130" i="5" s="1"/>
  <c r="EK130" i="5" s="1"/>
  <c r="DK128" i="5"/>
  <c r="DK238" i="5"/>
  <c r="DL238" i="5" s="1"/>
  <c r="EQ193" i="5"/>
  <c r="ER193" i="5" s="1"/>
  <c r="DI129" i="5"/>
  <c r="DJ129" i="5"/>
  <c r="DI239" i="5"/>
  <c r="DJ239" i="5"/>
  <c r="DO241" i="5"/>
  <c r="AP241" i="5"/>
  <c r="AQ241" i="5" s="1"/>
  <c r="DK193" i="5"/>
  <c r="DL193" i="5" s="1"/>
  <c r="AL45" i="5"/>
  <c r="AO45" i="5"/>
  <c r="AL131" i="5"/>
  <c r="AO131" i="5"/>
  <c r="FE191" i="5"/>
  <c r="FG191" i="5" s="1"/>
  <c r="CY191" i="5"/>
  <c r="EG45" i="5"/>
  <c r="EJ45" i="5" s="1"/>
  <c r="EK45" i="5" s="1"/>
  <c r="DO131" i="5"/>
  <c r="AP131" i="5"/>
  <c r="AQ131" i="5" s="1"/>
  <c r="X191" i="5"/>
  <c r="X236" i="5"/>
  <c r="AJ133" i="5"/>
  <c r="AJ243" i="5"/>
  <c r="FT128" i="20" l="1"/>
  <c r="DS188" i="21"/>
  <c r="CQ188" i="21"/>
  <c r="ED44" i="21"/>
  <c r="DR44" i="21"/>
  <c r="CZ129" i="21"/>
  <c r="FL129" i="21"/>
  <c r="DR129" i="21"/>
  <c r="DS237" i="21"/>
  <c r="CQ237" i="21"/>
  <c r="ES239" i="21"/>
  <c r="ER239" i="21"/>
  <c r="DO239" i="21"/>
  <c r="DP239" i="21"/>
  <c r="ES131" i="21"/>
  <c r="ER131" i="21"/>
  <c r="EX129" i="21"/>
  <c r="DN240" i="21"/>
  <c r="EM240" i="21"/>
  <c r="EP240" i="21" s="1"/>
  <c r="EQ240" i="21" s="1"/>
  <c r="DN191" i="21"/>
  <c r="EM191" i="21"/>
  <c r="EP191" i="21" s="1"/>
  <c r="EQ191" i="21" s="1"/>
  <c r="DQ130" i="21"/>
  <c r="DR130" i="21" s="1"/>
  <c r="DN132" i="21"/>
  <c r="EM132" i="21"/>
  <c r="EP132" i="21" s="1"/>
  <c r="EQ132" i="21" s="1"/>
  <c r="DP131" i="21"/>
  <c r="DO131" i="21"/>
  <c r="AP49" i="21"/>
  <c r="AT48" i="21"/>
  <c r="DU48" i="21" s="1"/>
  <c r="AQ48" i="21"/>
  <c r="DQ238" i="21"/>
  <c r="DR238" i="21" s="1"/>
  <c r="FK187" i="21"/>
  <c r="FM187" i="21" s="1"/>
  <c r="AD187" i="21"/>
  <c r="DE187" i="21"/>
  <c r="DU133" i="21"/>
  <c r="AV133" i="21"/>
  <c r="AW133" i="21" s="1"/>
  <c r="AR47" i="21"/>
  <c r="AU47" i="21"/>
  <c r="DQ189" i="21"/>
  <c r="DR189" i="21" s="1"/>
  <c r="AU133" i="21"/>
  <c r="AR133" i="21"/>
  <c r="ER190" i="21"/>
  <c r="ES190" i="21"/>
  <c r="AR241" i="21"/>
  <c r="AU241" i="21"/>
  <c r="CY127" i="21"/>
  <c r="FK127" i="21"/>
  <c r="FM127" i="21" s="1"/>
  <c r="AD127" i="21"/>
  <c r="ES46" i="21"/>
  <c r="ER46" i="21"/>
  <c r="FK126" i="21"/>
  <c r="FM126" i="21" s="1"/>
  <c r="CY126" i="21"/>
  <c r="AD126" i="21"/>
  <c r="AP135" i="21"/>
  <c r="AT134" i="21"/>
  <c r="AQ134" i="21"/>
  <c r="DP190" i="21"/>
  <c r="DO190" i="21"/>
  <c r="DU241" i="21"/>
  <c r="AV241" i="21"/>
  <c r="AW241" i="21" s="1"/>
  <c r="EX44" i="21"/>
  <c r="EW238" i="21"/>
  <c r="EX238" i="21" s="1"/>
  <c r="AD236" i="21"/>
  <c r="DE236" i="21"/>
  <c r="FK236" i="21"/>
  <c r="FM236" i="21" s="1"/>
  <c r="EM47" i="21"/>
  <c r="EP47" i="21" s="1"/>
  <c r="EQ47" i="21" s="1"/>
  <c r="EW130" i="21"/>
  <c r="FB130" i="21" s="1"/>
  <c r="ED130" i="21" s="1"/>
  <c r="CR130" i="21" s="1"/>
  <c r="EW45" i="21"/>
  <c r="FB45" i="21" s="1"/>
  <c r="AP243" i="21"/>
  <c r="AT242" i="21"/>
  <c r="AQ242" i="21"/>
  <c r="EW189" i="21"/>
  <c r="EX189" i="21" s="1"/>
  <c r="FK128" i="21"/>
  <c r="FM128" i="21" s="1"/>
  <c r="AD128" i="21"/>
  <c r="CY128" i="21"/>
  <c r="DZ128" i="20"/>
  <c r="CS125" i="5"/>
  <c r="FE125" i="5"/>
  <c r="FG125" i="5" s="1"/>
  <c r="FT129" i="20"/>
  <c r="DH129" i="20"/>
  <c r="EL44" i="20"/>
  <c r="DZ44" i="20"/>
  <c r="DZ129" i="20"/>
  <c r="FE45" i="20"/>
  <c r="FJ45" i="20" s="1"/>
  <c r="DV132" i="20"/>
  <c r="EU132" i="20"/>
  <c r="EX132" i="20" s="1"/>
  <c r="EY132" i="20" s="1"/>
  <c r="BC47" i="20"/>
  <c r="AZ47" i="20"/>
  <c r="DG127" i="20"/>
  <c r="AL127" i="20"/>
  <c r="FS127" i="20"/>
  <c r="FU127" i="20" s="1"/>
  <c r="AZ133" i="20"/>
  <c r="BC133" i="20"/>
  <c r="BB48" i="20"/>
  <c r="EC48" i="20" s="1"/>
  <c r="AX49" i="20"/>
  <c r="AY48" i="20"/>
  <c r="FF129" i="20"/>
  <c r="FS126" i="20"/>
  <c r="FU126" i="20" s="1"/>
  <c r="DG126" i="20"/>
  <c r="AL126" i="20"/>
  <c r="EC133" i="20"/>
  <c r="BD133" i="20"/>
  <c r="BE133" i="20" s="1"/>
  <c r="FE130" i="20"/>
  <c r="FF130" i="20" s="1"/>
  <c r="DY130" i="20"/>
  <c r="FA46" i="20"/>
  <c r="EZ46" i="20"/>
  <c r="FF44" i="20"/>
  <c r="EU47" i="20"/>
  <c r="EX47" i="20" s="1"/>
  <c r="EY47" i="20" s="1"/>
  <c r="EL43" i="20"/>
  <c r="DZ43" i="20"/>
  <c r="EA43" i="20" s="1"/>
  <c r="FA131" i="20"/>
  <c r="EZ131" i="20"/>
  <c r="AX135" i="20"/>
  <c r="BB134" i="20"/>
  <c r="AY134" i="20"/>
  <c r="DX131" i="20"/>
  <c r="DW131" i="20"/>
  <c r="DH241" i="5"/>
  <c r="EG241" i="5"/>
  <c r="EJ241" i="5" s="1"/>
  <c r="EK241" i="5" s="1"/>
  <c r="CT127" i="5"/>
  <c r="FF127" i="5"/>
  <c r="AN133" i="5"/>
  <c r="AK133" i="5"/>
  <c r="EL195" i="5"/>
  <c r="EM195" i="5"/>
  <c r="AL46" i="5"/>
  <c r="AO46" i="5"/>
  <c r="AN243" i="5"/>
  <c r="AK243" i="5"/>
  <c r="EQ194" i="5"/>
  <c r="ER194" i="5" s="1"/>
  <c r="DK239" i="5"/>
  <c r="DL239" i="5" s="1"/>
  <c r="EQ239" i="5"/>
  <c r="ER239" i="5" s="1"/>
  <c r="DI195" i="5"/>
  <c r="DJ195" i="5"/>
  <c r="EG46" i="5"/>
  <c r="EJ46" i="5" s="1"/>
  <c r="EK46" i="5" s="1"/>
  <c r="DL127" i="5"/>
  <c r="DM238" i="5"/>
  <c r="CK238" i="5"/>
  <c r="DK194" i="5"/>
  <c r="DL194" i="5" s="1"/>
  <c r="EL130" i="5"/>
  <c r="EM130" i="5"/>
  <c r="EQ44" i="5"/>
  <c r="ER44" i="5" s="1"/>
  <c r="FE237" i="5"/>
  <c r="FG237" i="5" s="1"/>
  <c r="CS237" i="5"/>
  <c r="AO132" i="5"/>
  <c r="AL132" i="5"/>
  <c r="AJ48" i="5"/>
  <c r="AN47" i="5"/>
  <c r="DO47" i="5" s="1"/>
  <c r="AK47" i="5"/>
  <c r="DH131" i="5"/>
  <c r="EG131" i="5"/>
  <c r="EJ131" i="5" s="1"/>
  <c r="EK131" i="5" s="1"/>
  <c r="DK129" i="5"/>
  <c r="EQ129" i="5"/>
  <c r="ER129" i="5" s="1"/>
  <c r="DO132" i="5"/>
  <c r="AP132" i="5"/>
  <c r="AQ132" i="5" s="1"/>
  <c r="DI130" i="5"/>
  <c r="DJ130" i="5"/>
  <c r="AO242" i="5"/>
  <c r="AL242" i="5"/>
  <c r="EV43" i="5"/>
  <c r="EV128" i="5"/>
  <c r="DM193" i="5"/>
  <c r="CK193" i="5"/>
  <c r="FE126" i="5"/>
  <c r="FG126" i="5" s="1"/>
  <c r="CS126" i="5"/>
  <c r="EM240" i="5"/>
  <c r="EL240" i="5"/>
  <c r="CY192" i="5"/>
  <c r="FE192" i="5"/>
  <c r="FG192" i="5" s="1"/>
  <c r="EL45" i="5"/>
  <c r="EM45" i="5"/>
  <c r="DO242" i="5"/>
  <c r="AP242" i="5"/>
  <c r="AQ242" i="5" s="1"/>
  <c r="DI240" i="5"/>
  <c r="DJ240" i="5"/>
  <c r="AJ134" i="5"/>
  <c r="X192" i="5"/>
  <c r="X237" i="5"/>
  <c r="AJ244" i="5"/>
  <c r="ED45" i="21" l="1"/>
  <c r="DR45" i="21"/>
  <c r="CQ130" i="21"/>
  <c r="DS238" i="21"/>
  <c r="CQ238" i="21"/>
  <c r="FL130" i="21"/>
  <c r="CZ130" i="21"/>
  <c r="DS189" i="21"/>
  <c r="CQ189" i="21"/>
  <c r="EX130" i="21"/>
  <c r="DS130" i="21" s="1"/>
  <c r="EW190" i="21"/>
  <c r="EX190" i="21" s="1"/>
  <c r="DP240" i="21"/>
  <c r="DO240" i="21"/>
  <c r="DN241" i="21"/>
  <c r="EM241" i="21"/>
  <c r="EP241" i="21" s="1"/>
  <c r="EQ241" i="21" s="1"/>
  <c r="DQ239" i="21"/>
  <c r="DR239" i="21" s="1"/>
  <c r="DQ190" i="21"/>
  <c r="DR190" i="21" s="1"/>
  <c r="DN133" i="21"/>
  <c r="EM133" i="21"/>
  <c r="EP133" i="21" s="1"/>
  <c r="EQ133" i="21" s="1"/>
  <c r="EW239" i="21"/>
  <c r="EX239" i="21" s="1"/>
  <c r="ES240" i="21"/>
  <c r="ER240" i="21"/>
  <c r="AU134" i="21"/>
  <c r="AR134" i="21"/>
  <c r="FK237" i="21"/>
  <c r="FM237" i="21" s="1"/>
  <c r="AD237" i="21"/>
  <c r="CY237" i="21"/>
  <c r="ES132" i="21"/>
  <c r="ER132" i="21"/>
  <c r="DU134" i="21"/>
  <c r="AV134" i="21"/>
  <c r="AW134" i="21" s="1"/>
  <c r="AT135" i="21"/>
  <c r="AP136" i="21"/>
  <c r="AQ135" i="21"/>
  <c r="CQ129" i="21"/>
  <c r="DS129" i="21"/>
  <c r="ES47" i="21"/>
  <c r="ER47" i="21"/>
  <c r="AU242" i="21"/>
  <c r="AR242" i="21"/>
  <c r="DU242" i="21"/>
  <c r="AV242" i="21"/>
  <c r="AW242" i="21" s="1"/>
  <c r="AU48" i="21"/>
  <c r="AR48" i="21"/>
  <c r="ER191" i="21"/>
  <c r="ES191" i="21"/>
  <c r="EM48" i="21"/>
  <c r="EP48" i="21" s="1"/>
  <c r="EQ48" i="21" s="1"/>
  <c r="DS44" i="21"/>
  <c r="EW46" i="21"/>
  <c r="FB46" i="21" s="1"/>
  <c r="AP50" i="21"/>
  <c r="AT49" i="21"/>
  <c r="DU49" i="21" s="1"/>
  <c r="AQ49" i="21"/>
  <c r="EX45" i="21"/>
  <c r="DQ131" i="21"/>
  <c r="FK188" i="21"/>
  <c r="FM188" i="21" s="1"/>
  <c r="DE188" i="21"/>
  <c r="AD188" i="21"/>
  <c r="DP132" i="21"/>
  <c r="DO132" i="21"/>
  <c r="DP191" i="21"/>
  <c r="DO191" i="21"/>
  <c r="EW131" i="21"/>
  <c r="FB131" i="21" s="1"/>
  <c r="ED131" i="21" s="1"/>
  <c r="CR131" i="21" s="1"/>
  <c r="AT243" i="21"/>
  <c r="AP244" i="21"/>
  <c r="AQ243" i="21"/>
  <c r="EA128" i="20"/>
  <c r="CY128" i="20"/>
  <c r="FF45" i="20"/>
  <c r="EV129" i="5"/>
  <c r="DX129" i="5" s="1"/>
  <c r="CL129" i="5" s="1"/>
  <c r="CT129" i="5" s="1"/>
  <c r="EV44" i="5"/>
  <c r="EL45" i="20"/>
  <c r="DZ45" i="20"/>
  <c r="FJ130" i="20"/>
  <c r="FA132" i="20"/>
  <c r="EZ132" i="20"/>
  <c r="FE46" i="20"/>
  <c r="FJ46" i="20" s="1"/>
  <c r="BC48" i="20"/>
  <c r="AZ48" i="20"/>
  <c r="DX132" i="20"/>
  <c r="DW132" i="20"/>
  <c r="EA129" i="20"/>
  <c r="CY129" i="20"/>
  <c r="DY131" i="20"/>
  <c r="AZ134" i="20"/>
  <c r="BC134" i="20"/>
  <c r="BB49" i="20"/>
  <c r="EC49" i="20" s="1"/>
  <c r="AX50" i="20"/>
  <c r="AY49" i="20"/>
  <c r="EA44" i="20"/>
  <c r="EC134" i="20"/>
  <c r="BD134" i="20"/>
  <c r="BE134" i="20" s="1"/>
  <c r="EU48" i="20"/>
  <c r="EX48" i="20" s="1"/>
  <c r="EY48" i="20" s="1"/>
  <c r="AX136" i="20"/>
  <c r="BB135" i="20"/>
  <c r="AY135" i="20"/>
  <c r="FE131" i="20"/>
  <c r="FJ131" i="20" s="1"/>
  <c r="EL131" i="20" s="1"/>
  <c r="CZ131" i="20" s="1"/>
  <c r="DV133" i="20"/>
  <c r="EU133" i="20"/>
  <c r="EX133" i="20" s="1"/>
  <c r="EY133" i="20" s="1"/>
  <c r="EZ47" i="20"/>
  <c r="FA47" i="20"/>
  <c r="DM194" i="5"/>
  <c r="CK194" i="5"/>
  <c r="FE193" i="5"/>
  <c r="FG193" i="5" s="1"/>
  <c r="CS193" i="5"/>
  <c r="DI131" i="5"/>
  <c r="DJ131" i="5"/>
  <c r="AN134" i="5"/>
  <c r="AK134" i="5"/>
  <c r="AL47" i="5"/>
  <c r="AO47" i="5"/>
  <c r="CK127" i="5"/>
  <c r="DM127" i="5"/>
  <c r="DM239" i="5"/>
  <c r="CK239" i="5"/>
  <c r="EQ195" i="5"/>
  <c r="ER195" i="5" s="1"/>
  <c r="DX128" i="5"/>
  <c r="CL128" i="5" s="1"/>
  <c r="DL128" i="5"/>
  <c r="EG47" i="5"/>
  <c r="EJ47" i="5" s="1"/>
  <c r="EK47" i="5" s="1"/>
  <c r="AL133" i="5"/>
  <c r="AO133" i="5"/>
  <c r="EL46" i="5"/>
  <c r="EM46" i="5"/>
  <c r="DX44" i="5"/>
  <c r="DL44" i="5"/>
  <c r="DM44" i="5" s="1"/>
  <c r="DX43" i="5"/>
  <c r="DL43" i="5"/>
  <c r="DM43" i="5" s="1"/>
  <c r="AJ49" i="5"/>
  <c r="AN48" i="5"/>
  <c r="DO48" i="5" s="1"/>
  <c r="AK48" i="5"/>
  <c r="EQ240" i="5"/>
  <c r="ER240" i="5" s="1"/>
  <c r="EQ130" i="5"/>
  <c r="EV130" i="5" s="1"/>
  <c r="DX130" i="5" s="1"/>
  <c r="CL130" i="5" s="1"/>
  <c r="AL243" i="5"/>
  <c r="AO243" i="5"/>
  <c r="DH132" i="5"/>
  <c r="EG132" i="5"/>
  <c r="EJ132" i="5" s="1"/>
  <c r="EK132" i="5" s="1"/>
  <c r="DO133" i="5"/>
  <c r="AP133" i="5"/>
  <c r="AQ133" i="5" s="1"/>
  <c r="DK240" i="5"/>
  <c r="DL240" i="5" s="1"/>
  <c r="DK195" i="5"/>
  <c r="DL195" i="5" s="1"/>
  <c r="DO243" i="5"/>
  <c r="AP243" i="5"/>
  <c r="AQ243" i="5" s="1"/>
  <c r="EL241" i="5"/>
  <c r="EM241" i="5"/>
  <c r="EQ45" i="5"/>
  <c r="ER45" i="5" s="1"/>
  <c r="AN244" i="5"/>
  <c r="AK244" i="5"/>
  <c r="DH242" i="5"/>
  <c r="EG242" i="5"/>
  <c r="EJ242" i="5" s="1"/>
  <c r="EK242" i="5" s="1"/>
  <c r="DK130" i="5"/>
  <c r="EL131" i="5"/>
  <c r="EM131" i="5"/>
  <c r="FE238" i="5"/>
  <c r="FG238" i="5" s="1"/>
  <c r="CS238" i="5"/>
  <c r="DI241" i="5"/>
  <c r="DJ241" i="5"/>
  <c r="AJ135" i="5"/>
  <c r="X238" i="5"/>
  <c r="AJ245" i="5"/>
  <c r="X193" i="5"/>
  <c r="EX131" i="21" l="1"/>
  <c r="DR131" i="21"/>
  <c r="DS239" i="21"/>
  <c r="CQ239" i="21"/>
  <c r="DS190" i="21"/>
  <c r="CQ190" i="21"/>
  <c r="DS131" i="21"/>
  <c r="CQ131" i="21"/>
  <c r="ED46" i="21"/>
  <c r="DR46" i="21"/>
  <c r="DS46" i="21" s="1"/>
  <c r="ES133" i="21"/>
  <c r="ER133" i="21"/>
  <c r="EW47" i="21"/>
  <c r="FB47" i="21" s="1"/>
  <c r="EM49" i="21"/>
  <c r="EP49" i="21" s="1"/>
  <c r="EQ49" i="21" s="1"/>
  <c r="DN134" i="21"/>
  <c r="EM134" i="21"/>
  <c r="EP134" i="21" s="1"/>
  <c r="EQ134" i="21" s="1"/>
  <c r="FL131" i="21"/>
  <c r="CZ131" i="21"/>
  <c r="DP241" i="21"/>
  <c r="DO241" i="21"/>
  <c r="DP133" i="21"/>
  <c r="DO133" i="21"/>
  <c r="FK129" i="21"/>
  <c r="FM129" i="21" s="1"/>
  <c r="CY129" i="21"/>
  <c r="AD129" i="21"/>
  <c r="EW132" i="21"/>
  <c r="FB132" i="21" s="1"/>
  <c r="ED132" i="21" s="1"/>
  <c r="CR132" i="21" s="1"/>
  <c r="EX46" i="21"/>
  <c r="DQ132" i="21"/>
  <c r="DU135" i="21"/>
  <c r="AV135" i="21"/>
  <c r="AW135" i="21" s="1"/>
  <c r="AP51" i="21"/>
  <c r="AT50" i="21"/>
  <c r="DU50" i="21" s="1"/>
  <c r="AQ50" i="21"/>
  <c r="FK238" i="21"/>
  <c r="FM238" i="21" s="1"/>
  <c r="AD238" i="21"/>
  <c r="CY238" i="21"/>
  <c r="DN242" i="21"/>
  <c r="EM242" i="21"/>
  <c r="EP242" i="21" s="1"/>
  <c r="EQ242" i="21" s="1"/>
  <c r="AP137" i="21"/>
  <c r="AT136" i="21"/>
  <c r="AQ136" i="21"/>
  <c r="DQ240" i="21"/>
  <c r="DR240" i="21" s="1"/>
  <c r="AU243" i="21"/>
  <c r="AR243" i="21"/>
  <c r="ES48" i="21"/>
  <c r="ER48" i="21"/>
  <c r="DQ191" i="21"/>
  <c r="DR191" i="21" s="1"/>
  <c r="AU135" i="21"/>
  <c r="AR135" i="21"/>
  <c r="AU49" i="21"/>
  <c r="AR49" i="21"/>
  <c r="AP245" i="21"/>
  <c r="AT244" i="21"/>
  <c r="AQ244" i="21"/>
  <c r="EW240" i="21"/>
  <c r="EX240" i="21" s="1"/>
  <c r="FK130" i="21"/>
  <c r="FM130" i="21" s="1"/>
  <c r="AD130" i="21"/>
  <c r="CY130" i="21"/>
  <c r="DS45" i="21"/>
  <c r="ES241" i="21"/>
  <c r="ER241" i="21"/>
  <c r="FK189" i="21"/>
  <c r="FM189" i="21" s="1"/>
  <c r="AD189" i="21"/>
  <c r="CY189" i="21"/>
  <c r="DU243" i="21"/>
  <c r="AV243" i="21"/>
  <c r="AW243" i="21" s="1"/>
  <c r="EW191" i="21"/>
  <c r="EX191" i="21" s="1"/>
  <c r="FS128" i="20"/>
  <c r="FU128" i="20" s="1"/>
  <c r="AL128" i="20"/>
  <c r="DG128" i="20"/>
  <c r="EA45" i="20"/>
  <c r="DL129" i="5"/>
  <c r="DM129" i="5" s="1"/>
  <c r="FF129" i="5"/>
  <c r="ER130" i="5"/>
  <c r="FT131" i="20"/>
  <c r="DH131" i="20"/>
  <c r="DZ131" i="20"/>
  <c r="EL46" i="20"/>
  <c r="DZ46" i="20"/>
  <c r="DW133" i="20"/>
  <c r="DX133" i="20"/>
  <c r="AZ135" i="20"/>
  <c r="BC135" i="20"/>
  <c r="DV134" i="20"/>
  <c r="EU134" i="20"/>
  <c r="EX134" i="20" s="1"/>
  <c r="EY134" i="20" s="1"/>
  <c r="BC49" i="20"/>
  <c r="AZ49" i="20"/>
  <c r="EL130" i="20"/>
  <c r="CZ130" i="20" s="1"/>
  <c r="DZ130" i="20"/>
  <c r="EC135" i="20"/>
  <c r="BD135" i="20"/>
  <c r="BE135" i="20" s="1"/>
  <c r="AX51" i="20"/>
  <c r="BB50" i="20"/>
  <c r="EC50" i="20" s="1"/>
  <c r="AY50" i="20"/>
  <c r="DY132" i="20"/>
  <c r="FF46" i="20"/>
  <c r="EU49" i="20"/>
  <c r="EX49" i="20" s="1"/>
  <c r="EY49" i="20" s="1"/>
  <c r="FA48" i="20"/>
  <c r="EZ48" i="20"/>
  <c r="FE47" i="20"/>
  <c r="FJ47" i="20" s="1"/>
  <c r="FF131" i="20"/>
  <c r="FE132" i="20"/>
  <c r="FF132" i="20" s="1"/>
  <c r="AX137" i="20"/>
  <c r="BB136" i="20"/>
  <c r="AY136" i="20"/>
  <c r="FA133" i="20"/>
  <c r="EZ133" i="20"/>
  <c r="FS129" i="20"/>
  <c r="FU129" i="20" s="1"/>
  <c r="DG129" i="20"/>
  <c r="AL129" i="20"/>
  <c r="DL130" i="5"/>
  <c r="CT130" i="5"/>
  <c r="FF130" i="5"/>
  <c r="DO244" i="5"/>
  <c r="AP244" i="5"/>
  <c r="AQ244" i="5" s="1"/>
  <c r="EV45" i="5"/>
  <c r="EL132" i="5"/>
  <c r="EM132" i="5"/>
  <c r="AL134" i="5"/>
  <c r="AO134" i="5"/>
  <c r="EL242" i="5"/>
  <c r="EM242" i="5"/>
  <c r="DM195" i="5"/>
  <c r="CK195" i="5"/>
  <c r="DI132" i="5"/>
  <c r="DJ132" i="5"/>
  <c r="AL48" i="5"/>
  <c r="AO48" i="5"/>
  <c r="EQ46" i="5"/>
  <c r="EV46" i="5" s="1"/>
  <c r="DO134" i="5"/>
  <c r="AP134" i="5"/>
  <c r="AQ134" i="5" s="1"/>
  <c r="DK241" i="5"/>
  <c r="DL241" i="5" s="1"/>
  <c r="DI242" i="5"/>
  <c r="DJ242" i="5"/>
  <c r="EG48" i="5"/>
  <c r="EJ48" i="5" s="1"/>
  <c r="EK48" i="5" s="1"/>
  <c r="FE239" i="5"/>
  <c r="FG239" i="5" s="1"/>
  <c r="CS239" i="5"/>
  <c r="EQ241" i="5"/>
  <c r="ER241" i="5" s="1"/>
  <c r="DM240" i="5"/>
  <c r="CK240" i="5"/>
  <c r="AJ50" i="5"/>
  <c r="AN49" i="5"/>
  <c r="DO49" i="5" s="1"/>
  <c r="AK49" i="5"/>
  <c r="DK131" i="5"/>
  <c r="AN245" i="5"/>
  <c r="AK245" i="5"/>
  <c r="CK129" i="5"/>
  <c r="AN135" i="5"/>
  <c r="AK135" i="5"/>
  <c r="AL244" i="5"/>
  <c r="AO244" i="5"/>
  <c r="DH133" i="5"/>
  <c r="EG133" i="5"/>
  <c r="EJ133" i="5" s="1"/>
  <c r="EK133" i="5" s="1"/>
  <c r="EL47" i="5"/>
  <c r="EM47" i="5"/>
  <c r="FE127" i="5"/>
  <c r="FG127" i="5" s="1"/>
  <c r="CS127" i="5"/>
  <c r="EQ131" i="5"/>
  <c r="EV131" i="5" s="1"/>
  <c r="DM128" i="5"/>
  <c r="CK128" i="5"/>
  <c r="CS194" i="5"/>
  <c r="FE194" i="5"/>
  <c r="FG194" i="5" s="1"/>
  <c r="DH243" i="5"/>
  <c r="EG243" i="5"/>
  <c r="EJ243" i="5" s="1"/>
  <c r="EK243" i="5" s="1"/>
  <c r="FF128" i="5"/>
  <c r="CT128" i="5"/>
  <c r="X239" i="5"/>
  <c r="AJ136" i="5"/>
  <c r="AJ246" i="5"/>
  <c r="X194" i="5"/>
  <c r="DS240" i="21" l="1"/>
  <c r="CQ240" i="21"/>
  <c r="ED47" i="21"/>
  <c r="DR47" i="21"/>
  <c r="FL132" i="21"/>
  <c r="CZ132" i="21"/>
  <c r="DR132" i="21"/>
  <c r="DS191" i="21"/>
  <c r="CQ191" i="21"/>
  <c r="ES242" i="21"/>
  <c r="ER242" i="21"/>
  <c r="DP134" i="21"/>
  <c r="DO134" i="21"/>
  <c r="AR136" i="21"/>
  <c r="AU136" i="21"/>
  <c r="AU244" i="21"/>
  <c r="AR244" i="21"/>
  <c r="EX47" i="21"/>
  <c r="DN243" i="21"/>
  <c r="EM243" i="21"/>
  <c r="EP243" i="21" s="1"/>
  <c r="EQ243" i="21" s="1"/>
  <c r="AT137" i="21"/>
  <c r="AP138" i="21"/>
  <c r="AQ137" i="21"/>
  <c r="EM50" i="21"/>
  <c r="EP50" i="21" s="1"/>
  <c r="EQ50" i="21" s="1"/>
  <c r="DU244" i="21"/>
  <c r="AV244" i="21"/>
  <c r="AW244" i="21" s="1"/>
  <c r="AT51" i="21"/>
  <c r="DU51" i="21" s="1"/>
  <c r="AP52" i="21"/>
  <c r="AQ51" i="21"/>
  <c r="DN135" i="21"/>
  <c r="EM135" i="21"/>
  <c r="EP135" i="21" s="1"/>
  <c r="EQ135" i="21" s="1"/>
  <c r="DU136" i="21"/>
  <c r="AV136" i="21"/>
  <c r="AW136" i="21" s="1"/>
  <c r="DO242" i="21"/>
  <c r="DP242" i="21"/>
  <c r="AU50" i="21"/>
  <c r="AR50" i="21"/>
  <c r="CY131" i="21"/>
  <c r="AD131" i="21"/>
  <c r="FK131" i="21"/>
  <c r="FM131" i="21" s="1"/>
  <c r="EW241" i="21"/>
  <c r="EX241" i="21" s="1"/>
  <c r="ER49" i="21"/>
  <c r="ES49" i="21"/>
  <c r="DQ133" i="21"/>
  <c r="DR133" i="21" s="1"/>
  <c r="EX132" i="21"/>
  <c r="FK190" i="21"/>
  <c r="FM190" i="21" s="1"/>
  <c r="AD190" i="21"/>
  <c r="CY190" i="21"/>
  <c r="DQ241" i="21"/>
  <c r="DR241" i="21" s="1"/>
  <c r="EW48" i="21"/>
  <c r="FB48" i="21" s="1"/>
  <c r="FB133" i="21"/>
  <c r="ED133" i="21" s="1"/>
  <c r="CR133" i="21" s="1"/>
  <c r="EW133" i="21"/>
  <c r="EX133" i="21" s="1"/>
  <c r="FK239" i="21"/>
  <c r="FM239" i="21" s="1"/>
  <c r="AD239" i="21"/>
  <c r="CY239" i="21"/>
  <c r="ER134" i="21"/>
  <c r="ES134" i="21"/>
  <c r="AP246" i="21"/>
  <c r="AT245" i="21"/>
  <c r="AQ245" i="21"/>
  <c r="EA46" i="20"/>
  <c r="FF47" i="20"/>
  <c r="EL47" i="20"/>
  <c r="DZ47" i="20"/>
  <c r="BC136" i="20"/>
  <c r="AZ136" i="20"/>
  <c r="AX52" i="20"/>
  <c r="BB51" i="20"/>
  <c r="EC51" i="20" s="1"/>
  <c r="AY51" i="20"/>
  <c r="FT130" i="20"/>
  <c r="DH130" i="20"/>
  <c r="DY133" i="20"/>
  <c r="EZ49" i="20"/>
  <c r="FA49" i="20"/>
  <c r="EC136" i="20"/>
  <c r="BD136" i="20"/>
  <c r="BE136" i="20" s="1"/>
  <c r="FA134" i="20"/>
  <c r="EZ134" i="20"/>
  <c r="FE133" i="20"/>
  <c r="FJ133" i="20" s="1"/>
  <c r="FJ132" i="20"/>
  <c r="DV135" i="20"/>
  <c r="EU135" i="20"/>
  <c r="EX135" i="20" s="1"/>
  <c r="EY135" i="20" s="1"/>
  <c r="DX134" i="20"/>
  <c r="DW134" i="20"/>
  <c r="EA131" i="20"/>
  <c r="CY131" i="20"/>
  <c r="BB137" i="20"/>
  <c r="AX138" i="20"/>
  <c r="AY137" i="20"/>
  <c r="FE48" i="20"/>
  <c r="FJ48" i="20" s="1"/>
  <c r="BC50" i="20"/>
  <c r="AZ50" i="20"/>
  <c r="EU50" i="20"/>
  <c r="EX50" i="20" s="1"/>
  <c r="EY50" i="20" s="1"/>
  <c r="CY130" i="20"/>
  <c r="EA130" i="20"/>
  <c r="DX131" i="5"/>
  <c r="CL131" i="5" s="1"/>
  <c r="DL131" i="5"/>
  <c r="DM241" i="5"/>
  <c r="CK241" i="5"/>
  <c r="DX46" i="5"/>
  <c r="DL46" i="5"/>
  <c r="DO135" i="5"/>
  <c r="AP135" i="5"/>
  <c r="AQ135" i="5" s="1"/>
  <c r="DI133" i="5"/>
  <c r="DJ133" i="5"/>
  <c r="CK130" i="5"/>
  <c r="DM130" i="5"/>
  <c r="ER131" i="5"/>
  <c r="EL133" i="5"/>
  <c r="EM133" i="5"/>
  <c r="EL243" i="5"/>
  <c r="EM243" i="5"/>
  <c r="DK132" i="5"/>
  <c r="EV132" i="5"/>
  <c r="DX132" i="5" s="1"/>
  <c r="CL132" i="5" s="1"/>
  <c r="EQ132" i="5"/>
  <c r="ER132" i="5" s="1"/>
  <c r="AN136" i="5"/>
  <c r="AK136" i="5"/>
  <c r="AO245" i="5"/>
  <c r="AL245" i="5"/>
  <c r="DO245" i="5"/>
  <c r="AP245" i="5"/>
  <c r="AQ245" i="5" s="1"/>
  <c r="DI243" i="5"/>
  <c r="DJ243" i="5"/>
  <c r="AO135" i="5"/>
  <c r="AL135" i="5"/>
  <c r="AL49" i="5"/>
  <c r="AO49" i="5"/>
  <c r="DH134" i="5"/>
  <c r="EG134" i="5"/>
  <c r="EJ134" i="5" s="1"/>
  <c r="EK134" i="5" s="1"/>
  <c r="FE195" i="5"/>
  <c r="FG195" i="5" s="1"/>
  <c r="CS195" i="5"/>
  <c r="DX45" i="5"/>
  <c r="DL45" i="5"/>
  <c r="DM45" i="5" s="1"/>
  <c r="EG49" i="5"/>
  <c r="EJ49" i="5" s="1"/>
  <c r="EK49" i="5" s="1"/>
  <c r="AJ51" i="5"/>
  <c r="AN50" i="5"/>
  <c r="DO50" i="5" s="1"/>
  <c r="AK50" i="5"/>
  <c r="EM48" i="5"/>
  <c r="EL48" i="5"/>
  <c r="ER46" i="5"/>
  <c r="DH244" i="5"/>
  <c r="EG244" i="5"/>
  <c r="EJ244" i="5" s="1"/>
  <c r="EK244" i="5" s="1"/>
  <c r="AN246" i="5"/>
  <c r="AK246" i="5"/>
  <c r="CS128" i="5"/>
  <c r="FE128" i="5"/>
  <c r="FG128" i="5" s="1"/>
  <c r="EQ47" i="5"/>
  <c r="ER47" i="5" s="1"/>
  <c r="CS129" i="5"/>
  <c r="FE129" i="5"/>
  <c r="FG129" i="5" s="1"/>
  <c r="FE240" i="5"/>
  <c r="FG240" i="5" s="1"/>
  <c r="CY240" i="5"/>
  <c r="EQ242" i="5"/>
  <c r="ER242" i="5" s="1"/>
  <c r="DK242" i="5"/>
  <c r="DL242" i="5" s="1"/>
  <c r="X240" i="5"/>
  <c r="AJ137" i="5"/>
  <c r="AJ247" i="5"/>
  <c r="X195" i="5"/>
  <c r="DS133" i="21" l="1"/>
  <c r="CQ133" i="21"/>
  <c r="ED48" i="21"/>
  <c r="DR48" i="21"/>
  <c r="DS241" i="21"/>
  <c r="CQ241" i="21"/>
  <c r="DP243" i="21"/>
  <c r="DO243" i="21"/>
  <c r="DQ134" i="21"/>
  <c r="DR134" i="21" s="1"/>
  <c r="DU137" i="21"/>
  <c r="AV137" i="21"/>
  <c r="AW137" i="21" s="1"/>
  <c r="DU245" i="21"/>
  <c r="AV245" i="21"/>
  <c r="AW245" i="21" s="1"/>
  <c r="ES50" i="21"/>
  <c r="ER50" i="21"/>
  <c r="DQ242" i="21"/>
  <c r="DR242" i="21" s="1"/>
  <c r="EW242" i="21"/>
  <c r="EX242" i="21" s="1"/>
  <c r="AU137" i="21"/>
  <c r="AR137" i="21"/>
  <c r="FL133" i="21"/>
  <c r="CZ133" i="21"/>
  <c r="DN136" i="21"/>
  <c r="EM136" i="21"/>
  <c r="EP136" i="21" s="1"/>
  <c r="EQ136" i="21" s="1"/>
  <c r="FK191" i="21"/>
  <c r="FM191" i="21" s="1"/>
  <c r="AD191" i="21"/>
  <c r="CY191" i="21"/>
  <c r="AU245" i="21"/>
  <c r="AR245" i="21"/>
  <c r="ES135" i="21"/>
  <c r="ER135" i="21"/>
  <c r="ER243" i="21"/>
  <c r="ES243" i="21"/>
  <c r="EX48" i="21"/>
  <c r="DO135" i="21"/>
  <c r="DP135" i="21"/>
  <c r="CQ132" i="21"/>
  <c r="DS132" i="21"/>
  <c r="AT246" i="21"/>
  <c r="AP247" i="21"/>
  <c r="AQ246" i="21"/>
  <c r="AU51" i="21"/>
  <c r="AR51" i="21"/>
  <c r="AP139" i="21"/>
  <c r="AT138" i="21"/>
  <c r="AQ138" i="21"/>
  <c r="AP53" i="21"/>
  <c r="AT52" i="21"/>
  <c r="AQ52" i="21"/>
  <c r="EW134" i="21"/>
  <c r="FB134" i="21" s="1"/>
  <c r="ED134" i="21" s="1"/>
  <c r="CR134" i="21" s="1"/>
  <c r="EM51" i="21"/>
  <c r="EP51" i="21" s="1"/>
  <c r="EQ51" i="21" s="1"/>
  <c r="DS47" i="21"/>
  <c r="EW49" i="21"/>
  <c r="FB49" i="21" s="1"/>
  <c r="DN244" i="21"/>
  <c r="EM244" i="21"/>
  <c r="EP244" i="21" s="1"/>
  <c r="EQ244" i="21" s="1"/>
  <c r="FK240" i="21"/>
  <c r="FM240" i="21" s="1"/>
  <c r="AD240" i="21"/>
  <c r="CY240" i="21"/>
  <c r="EA47" i="20"/>
  <c r="FF48" i="20"/>
  <c r="EV47" i="5"/>
  <c r="EL133" i="20"/>
  <c r="CZ133" i="20" s="1"/>
  <c r="DZ133" i="20"/>
  <c r="FA50" i="20"/>
  <c r="EZ50" i="20"/>
  <c r="EL132" i="20"/>
  <c r="CZ132" i="20" s="1"/>
  <c r="DZ132" i="20"/>
  <c r="AX53" i="20"/>
  <c r="BB52" i="20"/>
  <c r="EC52" i="20" s="1"/>
  <c r="AY52" i="20"/>
  <c r="AZ137" i="20"/>
  <c r="BC137" i="20"/>
  <c r="FF133" i="20"/>
  <c r="DY134" i="20"/>
  <c r="AX139" i="20"/>
  <c r="BB138" i="20"/>
  <c r="AY138" i="20"/>
  <c r="EL48" i="20"/>
  <c r="DZ48" i="20"/>
  <c r="FE134" i="20"/>
  <c r="FJ134" i="20" s="1"/>
  <c r="EL134" i="20" s="1"/>
  <c r="CZ134" i="20" s="1"/>
  <c r="FA135" i="20"/>
  <c r="EZ135" i="20"/>
  <c r="EC137" i="20"/>
  <c r="BD137" i="20"/>
  <c r="BE137" i="20" s="1"/>
  <c r="DX135" i="20"/>
  <c r="DW135" i="20"/>
  <c r="FE49" i="20"/>
  <c r="FF49" i="20" s="1"/>
  <c r="FS131" i="20"/>
  <c r="FU131" i="20" s="1"/>
  <c r="DG131" i="20"/>
  <c r="AL131" i="20"/>
  <c r="FS130" i="20"/>
  <c r="FU130" i="20" s="1"/>
  <c r="DG130" i="20"/>
  <c r="AL130" i="20"/>
  <c r="DV136" i="20"/>
  <c r="EU136" i="20"/>
  <c r="EX136" i="20" s="1"/>
  <c r="EY136" i="20" s="1"/>
  <c r="BC51" i="20"/>
  <c r="AZ51" i="20"/>
  <c r="EU51" i="20"/>
  <c r="EX51" i="20" s="1"/>
  <c r="EY51" i="20" s="1"/>
  <c r="DX47" i="5"/>
  <c r="DL47" i="5"/>
  <c r="DM47" i="5" s="1"/>
  <c r="AL136" i="5"/>
  <c r="AO136" i="5"/>
  <c r="EQ243" i="5"/>
  <c r="ER243" i="5" s="1"/>
  <c r="EQ48" i="5"/>
  <c r="ER48" i="5" s="1"/>
  <c r="DO136" i="5"/>
  <c r="AP136" i="5"/>
  <c r="AQ136" i="5" s="1"/>
  <c r="DH135" i="5"/>
  <c r="EG135" i="5"/>
  <c r="EJ135" i="5" s="1"/>
  <c r="EK135" i="5" s="1"/>
  <c r="DM242" i="5"/>
  <c r="CK242" i="5"/>
  <c r="AN247" i="5"/>
  <c r="AK247" i="5"/>
  <c r="EQ133" i="5"/>
  <c r="EV133" i="5" s="1"/>
  <c r="DM46" i="5"/>
  <c r="DK243" i="5"/>
  <c r="DL243" i="5" s="1"/>
  <c r="CT132" i="5"/>
  <c r="FF132" i="5"/>
  <c r="AL246" i="5"/>
  <c r="AO246" i="5"/>
  <c r="EG50" i="5"/>
  <c r="EJ50" i="5" s="1"/>
  <c r="EK50" i="5" s="1"/>
  <c r="EL134" i="5"/>
  <c r="EM134" i="5"/>
  <c r="CS241" i="5"/>
  <c r="FE241" i="5"/>
  <c r="FG241" i="5" s="1"/>
  <c r="AN137" i="5"/>
  <c r="AK137" i="5"/>
  <c r="DO246" i="5"/>
  <c r="AP246" i="5"/>
  <c r="AQ246" i="5" s="1"/>
  <c r="AJ52" i="5"/>
  <c r="AN51" i="5"/>
  <c r="DO51" i="5" s="1"/>
  <c r="AK51" i="5"/>
  <c r="DI134" i="5"/>
  <c r="DJ134" i="5"/>
  <c r="DH245" i="5"/>
  <c r="EG245" i="5"/>
  <c r="EJ245" i="5" s="1"/>
  <c r="EK245" i="5" s="1"/>
  <c r="CS130" i="5"/>
  <c r="FE130" i="5"/>
  <c r="FG130" i="5" s="1"/>
  <c r="AL50" i="5"/>
  <c r="AO50" i="5"/>
  <c r="EL244" i="5"/>
  <c r="EM244" i="5"/>
  <c r="DL132" i="5"/>
  <c r="DM131" i="5"/>
  <c r="CK131" i="5"/>
  <c r="DJ244" i="5"/>
  <c r="DI244" i="5"/>
  <c r="EL49" i="5"/>
  <c r="EM49" i="5"/>
  <c r="DK133" i="5"/>
  <c r="CT131" i="5"/>
  <c r="FF131" i="5"/>
  <c r="AJ138" i="5"/>
  <c r="X241" i="5"/>
  <c r="AJ248" i="5"/>
  <c r="EX49" i="21" l="1"/>
  <c r="CQ134" i="21"/>
  <c r="CZ134" i="21"/>
  <c r="FL134" i="21"/>
  <c r="AP140" i="21"/>
  <c r="AT139" i="21"/>
  <c r="AQ139" i="21"/>
  <c r="AT247" i="21"/>
  <c r="AP248" i="21"/>
  <c r="AQ247" i="21"/>
  <c r="DU246" i="21"/>
  <c r="AV246" i="21"/>
  <c r="AW246" i="21" s="1"/>
  <c r="DQ135" i="21"/>
  <c r="DN245" i="21"/>
  <c r="EM245" i="21"/>
  <c r="EP245" i="21" s="1"/>
  <c r="EQ245" i="21" s="1"/>
  <c r="DS242" i="21"/>
  <c r="DN137" i="21"/>
  <c r="EM137" i="21"/>
  <c r="EP137" i="21" s="1"/>
  <c r="EQ137" i="21" s="1"/>
  <c r="DU138" i="21"/>
  <c r="AV138" i="21"/>
  <c r="AW138" i="21" s="1"/>
  <c r="AD132" i="21"/>
  <c r="FK132" i="21"/>
  <c r="FM132" i="21" s="1"/>
  <c r="CY132" i="21"/>
  <c r="ED49" i="21"/>
  <c r="DR49" i="21"/>
  <c r="DS49" i="21" s="1"/>
  <c r="DQ243" i="21"/>
  <c r="DR243" i="21" s="1"/>
  <c r="ES51" i="21"/>
  <c r="ER51" i="21"/>
  <c r="AU138" i="21"/>
  <c r="AR138" i="21"/>
  <c r="FK241" i="21"/>
  <c r="FM241" i="21" s="1"/>
  <c r="AD241" i="21"/>
  <c r="CY241" i="21"/>
  <c r="AR246" i="21"/>
  <c r="AU246" i="21"/>
  <c r="EW243" i="21"/>
  <c r="EX243" i="21" s="1"/>
  <c r="EX134" i="21"/>
  <c r="DS134" i="21" s="1"/>
  <c r="DS48" i="21"/>
  <c r="DP244" i="21"/>
  <c r="DO244" i="21"/>
  <c r="EW135" i="21"/>
  <c r="FB135" i="21" s="1"/>
  <c r="ED135" i="21" s="1"/>
  <c r="CR135" i="21" s="1"/>
  <c r="AR52" i="21"/>
  <c r="AU52" i="21"/>
  <c r="EW50" i="21"/>
  <c r="EX50" i="21" s="1"/>
  <c r="DU52" i="21"/>
  <c r="AV52" i="21"/>
  <c r="ES136" i="21"/>
  <c r="ER136" i="21"/>
  <c r="FK133" i="21"/>
  <c r="FM133" i="21" s="1"/>
  <c r="CY133" i="21"/>
  <c r="AD133" i="21"/>
  <c r="ER244" i="21"/>
  <c r="ES244" i="21"/>
  <c r="AT53" i="21"/>
  <c r="AP54" i="21"/>
  <c r="AQ53" i="21"/>
  <c r="DP136" i="21"/>
  <c r="DO136" i="21"/>
  <c r="FJ49" i="20"/>
  <c r="EL49" i="20" s="1"/>
  <c r="EA48" i="20"/>
  <c r="DZ134" i="20"/>
  <c r="CY134" i="20" s="1"/>
  <c r="ER133" i="5"/>
  <c r="FT134" i="20"/>
  <c r="DH134" i="20"/>
  <c r="BC138" i="20"/>
  <c r="AZ138" i="20"/>
  <c r="BC52" i="20"/>
  <c r="AZ52" i="20"/>
  <c r="FE135" i="20"/>
  <c r="FJ135" i="20" s="1"/>
  <c r="EL135" i="20" s="1"/>
  <c r="CZ135" i="20" s="1"/>
  <c r="EC138" i="20"/>
  <c r="BD138" i="20"/>
  <c r="BE138" i="20" s="1"/>
  <c r="EU52" i="20"/>
  <c r="EX52" i="20" s="1"/>
  <c r="EY52" i="20" s="1"/>
  <c r="FE50" i="20"/>
  <c r="FJ50" i="20" s="1"/>
  <c r="DY135" i="20"/>
  <c r="BB139" i="20"/>
  <c r="AX140" i="20"/>
  <c r="AY139" i="20"/>
  <c r="BB53" i="20"/>
  <c r="AX54" i="20"/>
  <c r="AY53" i="20"/>
  <c r="FA136" i="20"/>
  <c r="EZ136" i="20"/>
  <c r="EZ51" i="20"/>
  <c r="FA51" i="20"/>
  <c r="DW136" i="20"/>
  <c r="DX136" i="20"/>
  <c r="FF134" i="20"/>
  <c r="DV137" i="20"/>
  <c r="EU137" i="20"/>
  <c r="EX137" i="20" s="1"/>
  <c r="EY137" i="20" s="1"/>
  <c r="CY132" i="20"/>
  <c r="EA132" i="20"/>
  <c r="EA133" i="20"/>
  <c r="CY133" i="20"/>
  <c r="DZ49" i="20"/>
  <c r="EA49" i="20" s="1"/>
  <c r="FT132" i="20"/>
  <c r="DH132" i="20"/>
  <c r="FT133" i="20"/>
  <c r="DH133" i="20"/>
  <c r="DX133" i="5"/>
  <c r="CL133" i="5" s="1"/>
  <c r="DL133" i="5"/>
  <c r="DM243" i="5"/>
  <c r="CK243" i="5"/>
  <c r="X243" i="5" s="1"/>
  <c r="EQ49" i="5"/>
  <c r="ER49" i="5" s="1"/>
  <c r="AL51" i="5"/>
  <c r="AO51" i="5"/>
  <c r="DO247" i="5"/>
  <c r="AP247" i="5"/>
  <c r="AQ247" i="5" s="1"/>
  <c r="EV48" i="5"/>
  <c r="DO137" i="5"/>
  <c r="AP137" i="5"/>
  <c r="AQ137" i="5" s="1"/>
  <c r="DH136" i="5"/>
  <c r="EG136" i="5"/>
  <c r="EJ136" i="5" s="1"/>
  <c r="EK136" i="5" s="1"/>
  <c r="EQ244" i="5"/>
  <c r="ER244" i="5" s="1"/>
  <c r="AL247" i="5"/>
  <c r="AO247" i="5"/>
  <c r="AN248" i="5"/>
  <c r="AK248" i="5"/>
  <c r="DK244" i="5"/>
  <c r="DL244" i="5" s="1"/>
  <c r="EG51" i="5"/>
  <c r="EJ51" i="5" s="1"/>
  <c r="EK51" i="5" s="1"/>
  <c r="FE242" i="5"/>
  <c r="FG242" i="5" s="1"/>
  <c r="CS242" i="5"/>
  <c r="AJ53" i="5"/>
  <c r="AN52" i="5"/>
  <c r="DO52" i="5" s="1"/>
  <c r="AK52" i="5"/>
  <c r="EQ134" i="5"/>
  <c r="EV134" i="5" s="1"/>
  <c r="DX134" i="5" s="1"/>
  <c r="CL134" i="5" s="1"/>
  <c r="AN138" i="5"/>
  <c r="AK138" i="5"/>
  <c r="CS131" i="5"/>
  <c r="FE131" i="5"/>
  <c r="FG131" i="5" s="1"/>
  <c r="EL50" i="5"/>
  <c r="EM50" i="5"/>
  <c r="EL135" i="5"/>
  <c r="EM135" i="5"/>
  <c r="EL245" i="5"/>
  <c r="EM245" i="5"/>
  <c r="DH246" i="5"/>
  <c r="EG246" i="5"/>
  <c r="EJ246" i="5" s="1"/>
  <c r="EK246" i="5" s="1"/>
  <c r="DI135" i="5"/>
  <c r="DJ135" i="5"/>
  <c r="CK132" i="5"/>
  <c r="DM132" i="5"/>
  <c r="DI245" i="5"/>
  <c r="DJ245" i="5"/>
  <c r="AL137" i="5"/>
  <c r="AO137" i="5"/>
  <c r="DK134" i="5"/>
  <c r="AJ139" i="5"/>
  <c r="AJ249" i="5"/>
  <c r="X242" i="5"/>
  <c r="EA134" i="20" l="1"/>
  <c r="DR135" i="21"/>
  <c r="FL135" i="21"/>
  <c r="CZ135" i="21"/>
  <c r="DS243" i="21"/>
  <c r="CQ243" i="21"/>
  <c r="DN138" i="21"/>
  <c r="EM138" i="21"/>
  <c r="EP138" i="21" s="1"/>
  <c r="EQ138" i="21" s="1"/>
  <c r="EX135" i="21"/>
  <c r="DO137" i="21"/>
  <c r="DP137" i="21"/>
  <c r="EW244" i="21"/>
  <c r="EX244" i="21" s="1"/>
  <c r="DN246" i="21"/>
  <c r="EM246" i="21"/>
  <c r="EP246" i="21" s="1"/>
  <c r="EQ246" i="21" s="1"/>
  <c r="ES137" i="21"/>
  <c r="ER137" i="21"/>
  <c r="DU53" i="21"/>
  <c r="AV53" i="21"/>
  <c r="AW53" i="21" s="1"/>
  <c r="DU247" i="21"/>
  <c r="AV247" i="21"/>
  <c r="AW247" i="21" s="1"/>
  <c r="EW136" i="21"/>
  <c r="FB136" i="21" s="1"/>
  <c r="ED136" i="21" s="1"/>
  <c r="CR136" i="21" s="1"/>
  <c r="AU139" i="21"/>
  <c r="AR139" i="21"/>
  <c r="DQ244" i="21"/>
  <c r="DR244" i="21" s="1"/>
  <c r="DQ136" i="21"/>
  <c r="AU53" i="21"/>
  <c r="AR53" i="21"/>
  <c r="DU139" i="21"/>
  <c r="AV139" i="21"/>
  <c r="AW139" i="21" s="1"/>
  <c r="AW52" i="21"/>
  <c r="AT140" i="21"/>
  <c r="AP141" i="21"/>
  <c r="AQ140" i="21"/>
  <c r="DO245" i="21"/>
  <c r="DP245" i="21"/>
  <c r="AT54" i="21"/>
  <c r="AP55" i="21"/>
  <c r="AQ54" i="21"/>
  <c r="AT248" i="21"/>
  <c r="AP249" i="21"/>
  <c r="AQ248" i="21"/>
  <c r="ER245" i="21"/>
  <c r="ES245" i="21"/>
  <c r="AR247" i="21"/>
  <c r="AU247" i="21"/>
  <c r="EW51" i="21"/>
  <c r="EX51" i="21" s="1"/>
  <c r="DN52" i="21"/>
  <c r="EM52" i="21"/>
  <c r="EP52" i="21" s="1"/>
  <c r="EQ52" i="21" s="1"/>
  <c r="FB50" i="21"/>
  <c r="AD134" i="21"/>
  <c r="FK134" i="21"/>
  <c r="FM134" i="21" s="1"/>
  <c r="CY134" i="21"/>
  <c r="ER134" i="5"/>
  <c r="DL134" i="5"/>
  <c r="FT135" i="20"/>
  <c r="DH135" i="20"/>
  <c r="EL50" i="20"/>
  <c r="DZ50" i="20"/>
  <c r="DZ135" i="20"/>
  <c r="FS132" i="20"/>
  <c r="FU132" i="20" s="1"/>
  <c r="DG132" i="20"/>
  <c r="AL132" i="20"/>
  <c r="DX137" i="20"/>
  <c r="DW137" i="20"/>
  <c r="FE51" i="20"/>
  <c r="FF51" i="20" s="1"/>
  <c r="BC53" i="20"/>
  <c r="AZ53" i="20"/>
  <c r="DV138" i="20"/>
  <c r="EU138" i="20"/>
  <c r="EX138" i="20" s="1"/>
  <c r="EY138" i="20" s="1"/>
  <c r="BB54" i="20"/>
  <c r="AX55" i="20"/>
  <c r="AY54" i="20"/>
  <c r="EC53" i="20"/>
  <c r="BD53" i="20"/>
  <c r="FF135" i="20"/>
  <c r="AZ139" i="20"/>
  <c r="BC139" i="20"/>
  <c r="FF50" i="20"/>
  <c r="FS133" i="20"/>
  <c r="FU133" i="20" s="1"/>
  <c r="DG133" i="20"/>
  <c r="AL133" i="20"/>
  <c r="BB140" i="20"/>
  <c r="AX141" i="20"/>
  <c r="AY140" i="20"/>
  <c r="EC139" i="20"/>
  <c r="BD139" i="20"/>
  <c r="BE139" i="20" s="1"/>
  <c r="FA137" i="20"/>
  <c r="EZ137" i="20"/>
  <c r="DY136" i="20"/>
  <c r="FE136" i="20"/>
  <c r="FJ136" i="20" s="1"/>
  <c r="EL136" i="20" s="1"/>
  <c r="CZ136" i="20" s="1"/>
  <c r="FA52" i="20"/>
  <c r="EZ52" i="20"/>
  <c r="DG134" i="20"/>
  <c r="AL134" i="20"/>
  <c r="FS134" i="20"/>
  <c r="FU134" i="20" s="1"/>
  <c r="DM244" i="5"/>
  <c r="CK244" i="5"/>
  <c r="EQ135" i="5"/>
  <c r="ER135" i="5" s="1"/>
  <c r="FF134" i="5"/>
  <c r="CT134" i="5"/>
  <c r="EL136" i="5"/>
  <c r="EM136" i="5"/>
  <c r="EL51" i="5"/>
  <c r="EM51" i="5"/>
  <c r="DK135" i="5"/>
  <c r="EQ50" i="5"/>
  <c r="ER50" i="5" s="1"/>
  <c r="AL52" i="5"/>
  <c r="AO52" i="5"/>
  <c r="DI136" i="5"/>
  <c r="DJ136" i="5"/>
  <c r="EL246" i="5"/>
  <c r="EM246" i="5"/>
  <c r="EG52" i="5"/>
  <c r="EJ52" i="5" s="1"/>
  <c r="EK52" i="5" s="1"/>
  <c r="AL248" i="5"/>
  <c r="AO248" i="5"/>
  <c r="EV49" i="5"/>
  <c r="AN249" i="5"/>
  <c r="AK249" i="5"/>
  <c r="DI246" i="5"/>
  <c r="DJ246" i="5"/>
  <c r="AJ54" i="5"/>
  <c r="AN53" i="5"/>
  <c r="AK53" i="5"/>
  <c r="DO248" i="5"/>
  <c r="AP248" i="5"/>
  <c r="AQ248" i="5" s="1"/>
  <c r="DH137" i="5"/>
  <c r="EG137" i="5"/>
  <c r="EJ137" i="5" s="1"/>
  <c r="EK137" i="5" s="1"/>
  <c r="AN139" i="5"/>
  <c r="AK139" i="5"/>
  <c r="AL138" i="5"/>
  <c r="AO138" i="5"/>
  <c r="DX48" i="5"/>
  <c r="DL48" i="5"/>
  <c r="DM48" i="5" s="1"/>
  <c r="FE243" i="5"/>
  <c r="FG243" i="5" s="1"/>
  <c r="CS243" i="5"/>
  <c r="DO138" i="5"/>
  <c r="AP138" i="5"/>
  <c r="AQ138" i="5" s="1"/>
  <c r="DK245" i="5"/>
  <c r="DL245" i="5" s="1"/>
  <c r="EQ245" i="5"/>
  <c r="ER245" i="5" s="1"/>
  <c r="DH247" i="5"/>
  <c r="EG247" i="5"/>
  <c r="EJ247" i="5" s="1"/>
  <c r="EK247" i="5" s="1"/>
  <c r="CK133" i="5"/>
  <c r="DM133" i="5"/>
  <c r="FE132" i="5"/>
  <c r="FG132" i="5" s="1"/>
  <c r="CS132" i="5"/>
  <c r="CT133" i="5"/>
  <c r="FF133" i="5"/>
  <c r="AJ140" i="5"/>
  <c r="AJ250" i="5"/>
  <c r="DR136" i="21" l="1"/>
  <c r="CQ136" i="21"/>
  <c r="CZ136" i="21"/>
  <c r="FL136" i="21"/>
  <c r="DS244" i="21"/>
  <c r="CQ244" i="21"/>
  <c r="DU248" i="21"/>
  <c r="AV248" i="21"/>
  <c r="AW248" i="21" s="1"/>
  <c r="DQ245" i="21"/>
  <c r="DR245" i="21" s="1"/>
  <c r="EW137" i="21"/>
  <c r="FB137" i="21" s="1"/>
  <c r="ED137" i="21" s="1"/>
  <c r="CR137" i="21" s="1"/>
  <c r="AU140" i="21"/>
  <c r="AR140" i="21"/>
  <c r="EW245" i="21"/>
  <c r="EX245" i="21" s="1"/>
  <c r="AT249" i="21"/>
  <c r="AP250" i="21"/>
  <c r="AQ249" i="21"/>
  <c r="DU54" i="21"/>
  <c r="AV54" i="21"/>
  <c r="AW54" i="21" s="1"/>
  <c r="ER246" i="21"/>
  <c r="ES246" i="21"/>
  <c r="DQ137" i="21"/>
  <c r="DR137" i="21" s="1"/>
  <c r="DN247" i="21"/>
  <c r="EM247" i="21"/>
  <c r="EP247" i="21" s="1"/>
  <c r="EQ247" i="21" s="1"/>
  <c r="DN139" i="21"/>
  <c r="EM139" i="21"/>
  <c r="EP139" i="21" s="1"/>
  <c r="EQ139" i="21" s="1"/>
  <c r="DP246" i="21"/>
  <c r="DO246" i="21"/>
  <c r="ES138" i="21"/>
  <c r="ER138" i="21"/>
  <c r="EX136" i="21"/>
  <c r="DS136" i="21" s="1"/>
  <c r="AT141" i="21"/>
  <c r="AP142" i="21"/>
  <c r="AQ141" i="21"/>
  <c r="DP138" i="21"/>
  <c r="DO138" i="21"/>
  <c r="DU140" i="21"/>
  <c r="AV140" i="21"/>
  <c r="AW140" i="21" s="1"/>
  <c r="FB51" i="21"/>
  <c r="FK243" i="21"/>
  <c r="FM243" i="21" s="1"/>
  <c r="AD243" i="21"/>
  <c r="CY243" i="21"/>
  <c r="AT55" i="21"/>
  <c r="AQ55" i="21"/>
  <c r="AP56" i="21"/>
  <c r="AR248" i="21"/>
  <c r="AU248" i="21"/>
  <c r="ER52" i="21"/>
  <c r="ES52" i="21"/>
  <c r="AU54" i="21"/>
  <c r="AR54" i="21"/>
  <c r="DN53" i="21"/>
  <c r="EM53" i="21"/>
  <c r="EP53" i="21" s="1"/>
  <c r="EQ53" i="21" s="1"/>
  <c r="ED50" i="21"/>
  <c r="DR50" i="21"/>
  <c r="DS50" i="21" s="1"/>
  <c r="DP52" i="21"/>
  <c r="DO52" i="21"/>
  <c r="CQ135" i="21"/>
  <c r="DS135" i="21"/>
  <c r="FJ51" i="20"/>
  <c r="DZ51" i="20" s="1"/>
  <c r="EA51" i="20" s="1"/>
  <c r="FF136" i="20"/>
  <c r="DZ136" i="20"/>
  <c r="EV50" i="5"/>
  <c r="DM134" i="5"/>
  <c r="EV135" i="5"/>
  <c r="DX135" i="5" s="1"/>
  <c r="CL135" i="5" s="1"/>
  <c r="FF135" i="5" s="1"/>
  <c r="CK134" i="5"/>
  <c r="FE137" i="20"/>
  <c r="FJ137" i="20" s="1"/>
  <c r="EL137" i="20" s="1"/>
  <c r="CZ137" i="20" s="1"/>
  <c r="FE52" i="20"/>
  <c r="FJ52" i="20" s="1"/>
  <c r="EL51" i="20"/>
  <c r="DX138" i="20"/>
  <c r="DW138" i="20"/>
  <c r="EZ138" i="20"/>
  <c r="FA138" i="20"/>
  <c r="AZ140" i="20"/>
  <c r="BC140" i="20"/>
  <c r="BE53" i="20"/>
  <c r="DV139" i="20"/>
  <c r="EU139" i="20"/>
  <c r="EX139" i="20" s="1"/>
  <c r="EY139" i="20" s="1"/>
  <c r="AX142" i="20"/>
  <c r="BB141" i="20"/>
  <c r="AY141" i="20"/>
  <c r="DV53" i="20"/>
  <c r="EU53" i="20"/>
  <c r="EX53" i="20" s="1"/>
  <c r="EY53" i="20" s="1"/>
  <c r="CY135" i="20"/>
  <c r="EA135" i="20"/>
  <c r="EC140" i="20"/>
  <c r="BD140" i="20"/>
  <c r="BE140" i="20" s="1"/>
  <c r="BC54" i="20"/>
  <c r="AZ54" i="20"/>
  <c r="EA50" i="20"/>
  <c r="DH136" i="20"/>
  <c r="FT136" i="20"/>
  <c r="AX56" i="20"/>
  <c r="BB55" i="20"/>
  <c r="AY55" i="20"/>
  <c r="EC54" i="20"/>
  <c r="BD54" i="20"/>
  <c r="BE54" i="20" s="1"/>
  <c r="DY137" i="20"/>
  <c r="DM245" i="5"/>
  <c r="CK245" i="5"/>
  <c r="EL137" i="5"/>
  <c r="EM137" i="5"/>
  <c r="DK246" i="5"/>
  <c r="DL246" i="5" s="1"/>
  <c r="DX50" i="5"/>
  <c r="DL50" i="5"/>
  <c r="DM50" i="5" s="1"/>
  <c r="DJ247" i="5"/>
  <c r="DI247" i="5"/>
  <c r="DI137" i="5"/>
  <c r="DJ137" i="5"/>
  <c r="AO249" i="5"/>
  <c r="AL249" i="5"/>
  <c r="EQ246" i="5"/>
  <c r="ER246" i="5" s="1"/>
  <c r="DO249" i="5"/>
  <c r="AP249" i="5"/>
  <c r="AQ249" i="5" s="1"/>
  <c r="CT135" i="5"/>
  <c r="DH248" i="5"/>
  <c r="EG248" i="5"/>
  <c r="EJ248" i="5" s="1"/>
  <c r="EK248" i="5" s="1"/>
  <c r="DX49" i="5"/>
  <c r="DL49" i="5"/>
  <c r="DM49" i="5" s="1"/>
  <c r="DK136" i="5"/>
  <c r="EM247" i="5"/>
  <c r="EL247" i="5"/>
  <c r="AL53" i="5"/>
  <c r="AO53" i="5"/>
  <c r="EQ51" i="5"/>
  <c r="EV51" i="5" s="1"/>
  <c r="CS134" i="5"/>
  <c r="FE134" i="5"/>
  <c r="FG134" i="5" s="1"/>
  <c r="AN250" i="5"/>
  <c r="AK250" i="5"/>
  <c r="DO53" i="5"/>
  <c r="AP53" i="5"/>
  <c r="AN140" i="5"/>
  <c r="AK140" i="5"/>
  <c r="AL139" i="5"/>
  <c r="AO139" i="5"/>
  <c r="AJ55" i="5"/>
  <c r="AN54" i="5"/>
  <c r="AK54" i="5"/>
  <c r="EQ136" i="5"/>
  <c r="ER136" i="5" s="1"/>
  <c r="CS244" i="5"/>
  <c r="FE244" i="5"/>
  <c r="FG244" i="5" s="1"/>
  <c r="CS133" i="5"/>
  <c r="FE133" i="5"/>
  <c r="FG133" i="5" s="1"/>
  <c r="DH138" i="5"/>
  <c r="EG138" i="5"/>
  <c r="EJ138" i="5" s="1"/>
  <c r="EK138" i="5" s="1"/>
  <c r="DO139" i="5"/>
  <c r="AP139" i="5"/>
  <c r="AQ139" i="5" s="1"/>
  <c r="EM52" i="5"/>
  <c r="EL52" i="5"/>
  <c r="AJ141" i="5"/>
  <c r="AJ251" i="5"/>
  <c r="X244" i="5"/>
  <c r="X125" i="5"/>
  <c r="X128" i="5"/>
  <c r="X133" i="5"/>
  <c r="EX137" i="21" l="1"/>
  <c r="EA136" i="20"/>
  <c r="CY136" i="20"/>
  <c r="AL136" i="20" s="1"/>
  <c r="DZ137" i="20"/>
  <c r="CY137" i="20" s="1"/>
  <c r="DS245" i="21"/>
  <c r="CQ245" i="21"/>
  <c r="CZ137" i="21"/>
  <c r="FL137" i="21"/>
  <c r="CQ137" i="21"/>
  <c r="DS137" i="21"/>
  <c r="DN54" i="21"/>
  <c r="EM54" i="21"/>
  <c r="EP54" i="21" s="1"/>
  <c r="EQ54" i="21" s="1"/>
  <c r="DQ52" i="21"/>
  <c r="AU249" i="21"/>
  <c r="AR249" i="21"/>
  <c r="DN140" i="21"/>
  <c r="EM140" i="21"/>
  <c r="EP140" i="21" s="1"/>
  <c r="EQ140" i="21" s="1"/>
  <c r="DU141" i="21"/>
  <c r="AV141" i="21"/>
  <c r="AW141" i="21" s="1"/>
  <c r="ES53" i="21"/>
  <c r="ER53" i="21"/>
  <c r="DQ246" i="21"/>
  <c r="DR246" i="21" s="1"/>
  <c r="FB138" i="21"/>
  <c r="ED138" i="21" s="1"/>
  <c r="CR138" i="21" s="1"/>
  <c r="EX138" i="21"/>
  <c r="EW138" i="21"/>
  <c r="ES139" i="21"/>
  <c r="ER139" i="21"/>
  <c r="DN248" i="21"/>
  <c r="EM248" i="21"/>
  <c r="EP248" i="21" s="1"/>
  <c r="EQ248" i="21" s="1"/>
  <c r="FK135" i="21"/>
  <c r="FM135" i="21" s="1"/>
  <c r="CY135" i="21"/>
  <c r="AD135" i="21"/>
  <c r="DO139" i="21"/>
  <c r="DP139" i="21"/>
  <c r="FK244" i="21"/>
  <c r="FM244" i="21" s="1"/>
  <c r="AD244" i="21"/>
  <c r="DE244" i="21"/>
  <c r="ED51" i="21"/>
  <c r="DR51" i="21"/>
  <c r="DS51" i="21" s="1"/>
  <c r="DQ138" i="21"/>
  <c r="ES247" i="21"/>
  <c r="ER247" i="21"/>
  <c r="EW246" i="21"/>
  <c r="EX246" i="21" s="1"/>
  <c r="AU141" i="21"/>
  <c r="AR141" i="21"/>
  <c r="DO53" i="21"/>
  <c r="DP53" i="21"/>
  <c r="DP247" i="21"/>
  <c r="DO247" i="21"/>
  <c r="AT250" i="21"/>
  <c r="AP251" i="21"/>
  <c r="AQ250" i="21"/>
  <c r="AP57" i="21"/>
  <c r="AT56" i="21"/>
  <c r="AQ56" i="21"/>
  <c r="DU55" i="21"/>
  <c r="AV55" i="21"/>
  <c r="AW55" i="21" s="1"/>
  <c r="DU249" i="21"/>
  <c r="AV249" i="21"/>
  <c r="AW249" i="21" s="1"/>
  <c r="AT142" i="21"/>
  <c r="AP143" i="21"/>
  <c r="AQ142" i="21"/>
  <c r="EW52" i="21"/>
  <c r="FB52" i="21" s="1"/>
  <c r="AU55" i="21"/>
  <c r="AR55" i="21"/>
  <c r="AD136" i="21"/>
  <c r="CY136" i="21"/>
  <c r="FK136" i="21"/>
  <c r="FM136" i="21" s="1"/>
  <c r="EV136" i="5"/>
  <c r="DX136" i="5" s="1"/>
  <c r="CL136" i="5" s="1"/>
  <c r="DM246" i="5"/>
  <c r="ER51" i="5"/>
  <c r="DL135" i="5"/>
  <c r="DL136" i="5"/>
  <c r="CK136" i="5" s="1"/>
  <c r="EL52" i="20"/>
  <c r="DZ52" i="20"/>
  <c r="FT137" i="20"/>
  <c r="DH137" i="20"/>
  <c r="EC55" i="20"/>
  <c r="BD55" i="20"/>
  <c r="BE55" i="20" s="1"/>
  <c r="DW139" i="20"/>
  <c r="DX139" i="20"/>
  <c r="DY138" i="20"/>
  <c r="EZ53" i="20"/>
  <c r="FA53" i="20"/>
  <c r="DW53" i="20"/>
  <c r="DX53" i="20"/>
  <c r="DV54" i="20"/>
  <c r="EU54" i="20"/>
  <c r="EX54" i="20" s="1"/>
  <c r="EY54" i="20" s="1"/>
  <c r="DV140" i="20"/>
  <c r="EU140" i="20"/>
  <c r="EX140" i="20" s="1"/>
  <c r="EY140" i="20" s="1"/>
  <c r="BC141" i="20"/>
  <c r="AZ141" i="20"/>
  <c r="FF137" i="20"/>
  <c r="EA137" i="20" s="1"/>
  <c r="EC141" i="20"/>
  <c r="BD141" i="20"/>
  <c r="BE141" i="20" s="1"/>
  <c r="FF52" i="20"/>
  <c r="AX57" i="20"/>
  <c r="BB56" i="20"/>
  <c r="AY56" i="20"/>
  <c r="AX143" i="20"/>
  <c r="BB142" i="20"/>
  <c r="AY142" i="20"/>
  <c r="BC55" i="20"/>
  <c r="AZ55" i="20"/>
  <c r="FS135" i="20"/>
  <c r="FU135" i="20" s="1"/>
  <c r="DG135" i="20"/>
  <c r="AL135" i="20"/>
  <c r="FA139" i="20"/>
  <c r="EZ139" i="20"/>
  <c r="FE138" i="20"/>
  <c r="FF138" i="20" s="1"/>
  <c r="EM138" i="5"/>
  <c r="EL138" i="5"/>
  <c r="DJ138" i="5"/>
  <c r="DI138" i="5"/>
  <c r="AO54" i="5"/>
  <c r="AL54" i="5"/>
  <c r="DH53" i="5"/>
  <c r="EG53" i="5"/>
  <c r="EJ53" i="5" s="1"/>
  <c r="EK53" i="5" s="1"/>
  <c r="EL248" i="5"/>
  <c r="EM248" i="5"/>
  <c r="DH139" i="5"/>
  <c r="EG139" i="5"/>
  <c r="EJ139" i="5" s="1"/>
  <c r="EK139" i="5" s="1"/>
  <c r="DO54" i="5"/>
  <c r="AP54" i="5"/>
  <c r="AQ54" i="5" s="1"/>
  <c r="AL250" i="5"/>
  <c r="AO250" i="5"/>
  <c r="DI248" i="5"/>
  <c r="DJ248" i="5"/>
  <c r="AJ56" i="5"/>
  <c r="AN55" i="5"/>
  <c r="AK55" i="5"/>
  <c r="DO250" i="5"/>
  <c r="AP250" i="5"/>
  <c r="AQ250" i="5" s="1"/>
  <c r="EQ247" i="5"/>
  <c r="ER247" i="5" s="1"/>
  <c r="EQ52" i="5"/>
  <c r="EV52" i="5" s="1"/>
  <c r="AN251" i="5"/>
  <c r="AK251" i="5"/>
  <c r="AN141" i="5"/>
  <c r="AK141" i="5"/>
  <c r="AO140" i="5"/>
  <c r="AL140" i="5"/>
  <c r="DK137" i="5"/>
  <c r="EQ137" i="5"/>
  <c r="ER137" i="5" s="1"/>
  <c r="DO140" i="5"/>
  <c r="AP140" i="5"/>
  <c r="AQ140" i="5" s="1"/>
  <c r="DX51" i="5"/>
  <c r="DL51" i="5"/>
  <c r="DM51" i="5" s="1"/>
  <c r="DK247" i="5"/>
  <c r="DL247" i="5" s="1"/>
  <c r="FE245" i="5"/>
  <c r="FG245" i="5" s="1"/>
  <c r="CS245" i="5"/>
  <c r="CT136" i="5"/>
  <c r="FF136" i="5"/>
  <c r="AQ53" i="5"/>
  <c r="DH249" i="5"/>
  <c r="EG249" i="5"/>
  <c r="EJ249" i="5" s="1"/>
  <c r="EK249" i="5" s="1"/>
  <c r="X130" i="5"/>
  <c r="AJ142" i="5"/>
  <c r="X245" i="5"/>
  <c r="AJ252" i="5"/>
  <c r="X134" i="5"/>
  <c r="X132" i="5"/>
  <c r="X126" i="5"/>
  <c r="DG136" i="20" l="1"/>
  <c r="FS136" i="20"/>
  <c r="FU136" i="20" s="1"/>
  <c r="DR138" i="21"/>
  <c r="CQ138" i="21"/>
  <c r="DS138" i="21"/>
  <c r="ED52" i="21"/>
  <c r="CR52" i="21" s="1"/>
  <c r="DR52" i="21"/>
  <c r="DS246" i="21"/>
  <c r="CQ246" i="21"/>
  <c r="DN249" i="21"/>
  <c r="EM249" i="21"/>
  <c r="EP249" i="21" s="1"/>
  <c r="EQ249" i="21" s="1"/>
  <c r="AP144" i="21"/>
  <c r="AT143" i="21"/>
  <c r="AQ143" i="21"/>
  <c r="EW53" i="21"/>
  <c r="EX53" i="21" s="1"/>
  <c r="DO140" i="21"/>
  <c r="DP140" i="21"/>
  <c r="DN55" i="21"/>
  <c r="EM55" i="21"/>
  <c r="EP55" i="21" s="1"/>
  <c r="EQ55" i="21" s="1"/>
  <c r="DU56" i="21"/>
  <c r="AV56" i="21"/>
  <c r="ER54" i="21"/>
  <c r="ES54" i="21"/>
  <c r="DN141" i="21"/>
  <c r="EM141" i="21"/>
  <c r="EP141" i="21" s="1"/>
  <c r="EQ141" i="21" s="1"/>
  <c r="AP58" i="21"/>
  <c r="AT57" i="21"/>
  <c r="AQ57" i="21"/>
  <c r="DP54" i="21"/>
  <c r="DO54" i="21"/>
  <c r="ER140" i="21"/>
  <c r="ES140" i="21"/>
  <c r="AU250" i="21"/>
  <c r="AR250" i="21"/>
  <c r="CZ138" i="21"/>
  <c r="FL138" i="21"/>
  <c r="AP252" i="21"/>
  <c r="AT251" i="21"/>
  <c r="AQ251" i="21"/>
  <c r="CY137" i="21"/>
  <c r="FK137" i="21"/>
  <c r="FM137" i="21" s="1"/>
  <c r="AD137" i="21"/>
  <c r="EX52" i="21"/>
  <c r="ES248" i="21"/>
  <c r="ER248" i="21"/>
  <c r="DQ247" i="21"/>
  <c r="DR247" i="21" s="1"/>
  <c r="DP248" i="21"/>
  <c r="DO248" i="21"/>
  <c r="EW247" i="21"/>
  <c r="EX247" i="21" s="1"/>
  <c r="DU142" i="21"/>
  <c r="AV142" i="21"/>
  <c r="AW142" i="21" s="1"/>
  <c r="DQ139" i="21"/>
  <c r="DU250" i="21"/>
  <c r="AV250" i="21"/>
  <c r="AW250" i="21" s="1"/>
  <c r="EW139" i="21"/>
  <c r="EX139" i="21" s="1"/>
  <c r="FK245" i="21"/>
  <c r="FM245" i="21" s="1"/>
  <c r="AD245" i="21"/>
  <c r="DE245" i="21"/>
  <c r="AR56" i="21"/>
  <c r="AU56" i="21"/>
  <c r="AU142" i="21"/>
  <c r="AR142" i="21"/>
  <c r="DQ53" i="21"/>
  <c r="FJ138" i="20"/>
  <c r="EL138" i="20" s="1"/>
  <c r="CZ138" i="20" s="1"/>
  <c r="FT138" i="20" s="1"/>
  <c r="CK135" i="5"/>
  <c r="DM135" i="5"/>
  <c r="DM136" i="5"/>
  <c r="AX58" i="20"/>
  <c r="BB57" i="20"/>
  <c r="AY57" i="20"/>
  <c r="DX54" i="20"/>
  <c r="DW54" i="20"/>
  <c r="BC142" i="20"/>
  <c r="AZ142" i="20"/>
  <c r="EC142" i="20"/>
  <c r="BD142" i="20"/>
  <c r="BE142" i="20" s="1"/>
  <c r="FE53" i="20"/>
  <c r="FF53" i="20" s="1"/>
  <c r="AX144" i="20"/>
  <c r="BB143" i="20"/>
  <c r="AY143" i="20"/>
  <c r="DV141" i="20"/>
  <c r="EU141" i="20"/>
  <c r="EX141" i="20" s="1"/>
  <c r="EY141" i="20" s="1"/>
  <c r="FA140" i="20"/>
  <c r="EZ140" i="20"/>
  <c r="DY53" i="20"/>
  <c r="DY139" i="20"/>
  <c r="DW140" i="20"/>
  <c r="DX140" i="20"/>
  <c r="EA52" i="20"/>
  <c r="FE139" i="20"/>
  <c r="FF139" i="20" s="1"/>
  <c r="BC56" i="20"/>
  <c r="AZ56" i="20"/>
  <c r="DG137" i="20"/>
  <c r="AL137" i="20"/>
  <c r="FS137" i="20"/>
  <c r="FU137" i="20" s="1"/>
  <c r="EC56" i="20"/>
  <c r="BD56" i="20"/>
  <c r="FA54" i="20"/>
  <c r="EZ54" i="20"/>
  <c r="DV55" i="20"/>
  <c r="EU55" i="20"/>
  <c r="EX55" i="20" s="1"/>
  <c r="EY55" i="20" s="1"/>
  <c r="DX52" i="5"/>
  <c r="DL52" i="5"/>
  <c r="DM247" i="5"/>
  <c r="CK247" i="5"/>
  <c r="AL251" i="5"/>
  <c r="AO251" i="5"/>
  <c r="DH250" i="5"/>
  <c r="EG250" i="5"/>
  <c r="EJ250" i="5" s="1"/>
  <c r="EK250" i="5" s="1"/>
  <c r="DO55" i="5"/>
  <c r="AP55" i="5"/>
  <c r="EL139" i="5"/>
  <c r="EM139" i="5"/>
  <c r="DK138" i="5"/>
  <c r="DH54" i="5"/>
  <c r="EG54" i="5"/>
  <c r="EJ54" i="5" s="1"/>
  <c r="EK54" i="5" s="1"/>
  <c r="ER52" i="5"/>
  <c r="AJ57" i="5"/>
  <c r="AN56" i="5"/>
  <c r="AK56" i="5"/>
  <c r="DI139" i="5"/>
  <c r="DJ139" i="5"/>
  <c r="DH140" i="5"/>
  <c r="EG140" i="5"/>
  <c r="EJ140" i="5" s="1"/>
  <c r="EK140" i="5" s="1"/>
  <c r="EQ138" i="5"/>
  <c r="ER138" i="5" s="1"/>
  <c r="AL55" i="5"/>
  <c r="AO55" i="5"/>
  <c r="AN252" i="5"/>
  <c r="AK252" i="5"/>
  <c r="DK248" i="5"/>
  <c r="DL248" i="5" s="1"/>
  <c r="EQ248" i="5"/>
  <c r="ER248" i="5" s="1"/>
  <c r="EM249" i="5"/>
  <c r="EL249" i="5"/>
  <c r="EV137" i="5"/>
  <c r="AL141" i="5"/>
  <c r="AO141" i="5"/>
  <c r="EM53" i="5"/>
  <c r="EL53" i="5"/>
  <c r="DO251" i="5"/>
  <c r="AP251" i="5"/>
  <c r="AQ251" i="5" s="1"/>
  <c r="AN142" i="5"/>
  <c r="AK142" i="5"/>
  <c r="DI249" i="5"/>
  <c r="DJ249" i="5"/>
  <c r="DO141" i="5"/>
  <c r="AP141" i="5"/>
  <c r="AQ141" i="5" s="1"/>
  <c r="DI53" i="5"/>
  <c r="DJ53" i="5"/>
  <c r="CS136" i="5"/>
  <c r="FE136" i="5"/>
  <c r="FG136" i="5" s="1"/>
  <c r="X127" i="5"/>
  <c r="X131" i="5"/>
  <c r="X129" i="5"/>
  <c r="AJ143" i="5"/>
  <c r="X247" i="5"/>
  <c r="AJ253" i="5"/>
  <c r="FJ53" i="20" l="1"/>
  <c r="EL53" i="20" s="1"/>
  <c r="CZ53" i="20" s="1"/>
  <c r="FT53" i="20" s="1"/>
  <c r="DQ140" i="21"/>
  <c r="AU143" i="21"/>
  <c r="AR143" i="21"/>
  <c r="ES55" i="21"/>
  <c r="ER55" i="21"/>
  <c r="FB139" i="21"/>
  <c r="ED139" i="21" s="1"/>
  <c r="CR139" i="21" s="1"/>
  <c r="DN250" i="21"/>
  <c r="EM250" i="21"/>
  <c r="EP250" i="21" s="1"/>
  <c r="EQ250" i="21" s="1"/>
  <c r="DU143" i="21"/>
  <c r="AV143" i="21"/>
  <c r="AW143" i="21" s="1"/>
  <c r="EW248" i="21"/>
  <c r="EX248" i="21" s="1"/>
  <c r="ES249" i="21"/>
  <c r="ER249" i="21"/>
  <c r="DP55" i="21"/>
  <c r="DO55" i="21"/>
  <c r="FB53" i="21"/>
  <c r="ED53" i="21" s="1"/>
  <c r="CR53" i="21" s="1"/>
  <c r="DO249" i="21"/>
  <c r="DP249" i="21"/>
  <c r="AP145" i="21"/>
  <c r="AT144" i="21"/>
  <c r="AQ144" i="21"/>
  <c r="DN142" i="21"/>
  <c r="EM142" i="21"/>
  <c r="EP142" i="21" s="1"/>
  <c r="EQ142" i="21" s="1"/>
  <c r="DQ54" i="21"/>
  <c r="FK246" i="21"/>
  <c r="FM246" i="21" s="1"/>
  <c r="DE246" i="21"/>
  <c r="AD246" i="21"/>
  <c r="AW56" i="21"/>
  <c r="DU251" i="21"/>
  <c r="AV251" i="21"/>
  <c r="AW251" i="21" s="1"/>
  <c r="CZ13" i="21"/>
  <c r="CZ12" i="21"/>
  <c r="CZ10" i="21"/>
  <c r="CZ11" i="21" s="1"/>
  <c r="AU57" i="21"/>
  <c r="AR57" i="21"/>
  <c r="DN56" i="21"/>
  <c r="EM56" i="21"/>
  <c r="EP56" i="21" s="1"/>
  <c r="EQ56" i="21" s="1"/>
  <c r="DU57" i="21"/>
  <c r="AV57" i="21"/>
  <c r="AW57" i="21" s="1"/>
  <c r="DS52" i="21"/>
  <c r="CQ52" i="21"/>
  <c r="AT58" i="21"/>
  <c r="AP59" i="21"/>
  <c r="AQ58" i="21"/>
  <c r="FL52" i="21"/>
  <c r="CZ52" i="21"/>
  <c r="EW54" i="21"/>
  <c r="EX54" i="21" s="1"/>
  <c r="AU251" i="21"/>
  <c r="AR251" i="21"/>
  <c r="AP253" i="21"/>
  <c r="AT252" i="21"/>
  <c r="AQ252" i="21"/>
  <c r="EW140" i="21"/>
  <c r="FB140" i="21" s="1"/>
  <c r="ED140" i="21" s="1"/>
  <c r="CR140" i="21" s="1"/>
  <c r="DQ248" i="21"/>
  <c r="DR248" i="21" s="1"/>
  <c r="ES141" i="21"/>
  <c r="ER141" i="21"/>
  <c r="DS247" i="21"/>
  <c r="CQ247" i="21"/>
  <c r="DP141" i="21"/>
  <c r="DO141" i="21"/>
  <c r="AD138" i="21"/>
  <c r="FK138" i="21"/>
  <c r="FM138" i="21" s="1"/>
  <c r="CY138" i="21"/>
  <c r="DH138" i="20"/>
  <c r="DZ138" i="20"/>
  <c r="EA138" i="20" s="1"/>
  <c r="FJ139" i="20"/>
  <c r="EL139" i="20" s="1"/>
  <c r="CZ139" i="20" s="1"/>
  <c r="DH139" i="20" s="1"/>
  <c r="CS135" i="5"/>
  <c r="FE135" i="5"/>
  <c r="FG135" i="5" s="1"/>
  <c r="X135" i="5"/>
  <c r="FA141" i="20"/>
  <c r="EZ141" i="20"/>
  <c r="DY54" i="20"/>
  <c r="BE56" i="20"/>
  <c r="FE54" i="20"/>
  <c r="FF54" i="20" s="1"/>
  <c r="DW141" i="20"/>
  <c r="DX141" i="20"/>
  <c r="EC57" i="20"/>
  <c r="BD57" i="20"/>
  <c r="BE57" i="20" s="1"/>
  <c r="EC143" i="20"/>
  <c r="BD143" i="20"/>
  <c r="BE143" i="20" s="1"/>
  <c r="EZ55" i="20"/>
  <c r="FA55" i="20"/>
  <c r="AX145" i="20"/>
  <c r="BB144" i="20"/>
  <c r="AY144" i="20"/>
  <c r="AX59" i="20"/>
  <c r="BB58" i="20"/>
  <c r="AY58" i="20"/>
  <c r="BC57" i="20"/>
  <c r="AZ57" i="20"/>
  <c r="DV56" i="20"/>
  <c r="EU56" i="20"/>
  <c r="EX56" i="20" s="1"/>
  <c r="EY56" i="20" s="1"/>
  <c r="DW55" i="20"/>
  <c r="DX55" i="20"/>
  <c r="DV142" i="20"/>
  <c r="EU142" i="20"/>
  <c r="EX142" i="20" s="1"/>
  <c r="EY142" i="20" s="1"/>
  <c r="AZ143" i="20"/>
  <c r="BC143" i="20"/>
  <c r="FE140" i="20"/>
  <c r="FF140" i="20" s="1"/>
  <c r="DY140" i="20"/>
  <c r="DM248" i="5"/>
  <c r="CK248" i="5"/>
  <c r="AN143" i="5"/>
  <c r="AK143" i="5"/>
  <c r="AL142" i="5"/>
  <c r="AO142" i="5"/>
  <c r="AO252" i="5"/>
  <c r="AL252" i="5"/>
  <c r="DJ140" i="5"/>
  <c r="DI140" i="5"/>
  <c r="DJ54" i="5"/>
  <c r="DI54" i="5"/>
  <c r="DI250" i="5"/>
  <c r="DJ250" i="5"/>
  <c r="DO252" i="5"/>
  <c r="AP252" i="5"/>
  <c r="AQ252" i="5" s="1"/>
  <c r="EQ249" i="5"/>
  <c r="ER249" i="5" s="1"/>
  <c r="DK139" i="5"/>
  <c r="DH251" i="5"/>
  <c r="EG251" i="5"/>
  <c r="EJ251" i="5" s="1"/>
  <c r="EK251" i="5" s="1"/>
  <c r="AL56" i="5"/>
  <c r="AO56" i="5"/>
  <c r="FE247" i="5"/>
  <c r="FG247" i="5" s="1"/>
  <c r="CS247" i="5"/>
  <c r="EQ53" i="5"/>
  <c r="ER53" i="5" s="1"/>
  <c r="DO56" i="5"/>
  <c r="AP56" i="5"/>
  <c r="AQ56" i="5" s="1"/>
  <c r="EQ139" i="5"/>
  <c r="EV139" i="5" s="1"/>
  <c r="DO142" i="5"/>
  <c r="AP142" i="5"/>
  <c r="AQ142" i="5" s="1"/>
  <c r="DH141" i="5"/>
  <c r="EG141" i="5"/>
  <c r="EJ141" i="5" s="1"/>
  <c r="EK141" i="5" s="1"/>
  <c r="EV138" i="5"/>
  <c r="DX138" i="5" s="1"/>
  <c r="CL138" i="5" s="1"/>
  <c r="AJ58" i="5"/>
  <c r="AN57" i="5"/>
  <c r="AK57" i="5"/>
  <c r="AQ55" i="5"/>
  <c r="DK53" i="5"/>
  <c r="DH55" i="5"/>
  <c r="EG55" i="5"/>
  <c r="EJ55" i="5" s="1"/>
  <c r="EK55" i="5" s="1"/>
  <c r="DM52" i="5"/>
  <c r="DX137" i="5"/>
  <c r="CL137" i="5" s="1"/>
  <c r="DL137" i="5"/>
  <c r="AN253" i="5"/>
  <c r="AK253" i="5"/>
  <c r="DK249" i="5"/>
  <c r="DL249" i="5" s="1"/>
  <c r="EM140" i="5"/>
  <c r="EL140" i="5"/>
  <c r="EL54" i="5"/>
  <c r="EM54" i="5"/>
  <c r="EM250" i="5"/>
  <c r="EL250" i="5"/>
  <c r="X136" i="5"/>
  <c r="X124" i="5"/>
  <c r="AJ144" i="5"/>
  <c r="AJ254" i="5"/>
  <c r="DZ53" i="20" l="1"/>
  <c r="DH53" i="20"/>
  <c r="FT139" i="20"/>
  <c r="DS248" i="21"/>
  <c r="CQ248" i="21"/>
  <c r="FL140" i="21"/>
  <c r="DF140" i="21"/>
  <c r="DR140" i="21"/>
  <c r="CZ53" i="21"/>
  <c r="FL53" i="21"/>
  <c r="CY12" i="21"/>
  <c r="CY13" i="21"/>
  <c r="CY10" i="21"/>
  <c r="CY11" i="21" s="1"/>
  <c r="DN251" i="21"/>
  <c r="EM251" i="21"/>
  <c r="EP251" i="21" s="1"/>
  <c r="EQ251" i="21" s="1"/>
  <c r="EM143" i="21"/>
  <c r="EP143" i="21" s="1"/>
  <c r="EQ143" i="21" s="1"/>
  <c r="DN143" i="21"/>
  <c r="DP56" i="21"/>
  <c r="DO56" i="21"/>
  <c r="EW249" i="21"/>
  <c r="EX249" i="21" s="1"/>
  <c r="DQ141" i="21"/>
  <c r="DR141" i="21" s="1"/>
  <c r="FL139" i="21"/>
  <c r="DF139" i="21"/>
  <c r="ES56" i="21"/>
  <c r="ER56" i="21"/>
  <c r="AP254" i="21"/>
  <c r="AT253" i="21"/>
  <c r="AQ253" i="21"/>
  <c r="DE247" i="21"/>
  <c r="FK247" i="21"/>
  <c r="FM247" i="21" s="1"/>
  <c r="AD247" i="21"/>
  <c r="EW141" i="21"/>
  <c r="FB141" i="21" s="1"/>
  <c r="ED141" i="21" s="1"/>
  <c r="CR141" i="21" s="1"/>
  <c r="ES142" i="21"/>
  <c r="ER142" i="21"/>
  <c r="DQ55" i="21"/>
  <c r="ES250" i="21"/>
  <c r="ER250" i="21"/>
  <c r="AR58" i="21"/>
  <c r="AU58" i="21"/>
  <c r="DP142" i="21"/>
  <c r="DO142" i="21"/>
  <c r="DN57" i="21"/>
  <c r="EM57" i="21"/>
  <c r="EP57" i="21" s="1"/>
  <c r="EQ57" i="21" s="1"/>
  <c r="AT59" i="21"/>
  <c r="AP60" i="21"/>
  <c r="AQ59" i="21"/>
  <c r="AU144" i="21"/>
  <c r="AR144" i="21"/>
  <c r="DU252" i="21"/>
  <c r="AV252" i="21"/>
  <c r="AW252" i="21" s="1"/>
  <c r="DU144" i="21"/>
  <c r="AV144" i="21"/>
  <c r="AW144" i="21" s="1"/>
  <c r="DR139" i="21"/>
  <c r="DP250" i="21"/>
  <c r="DO250" i="21"/>
  <c r="DU58" i="21"/>
  <c r="AV58" i="21"/>
  <c r="EX140" i="21"/>
  <c r="CY52" i="21"/>
  <c r="FK52" i="21"/>
  <c r="AP146" i="21"/>
  <c r="AT145" i="21"/>
  <c r="AQ145" i="21"/>
  <c r="FB54" i="21"/>
  <c r="ED54" i="21" s="1"/>
  <c r="CR54" i="21" s="1"/>
  <c r="EW55" i="21"/>
  <c r="EX55" i="21" s="1"/>
  <c r="DR53" i="21"/>
  <c r="AU252" i="21"/>
  <c r="AR252" i="21"/>
  <c r="DQ249" i="21"/>
  <c r="DR249" i="21" s="1"/>
  <c r="CY138" i="20"/>
  <c r="FS138" i="20" s="1"/>
  <c r="FU138" i="20" s="1"/>
  <c r="FJ54" i="20"/>
  <c r="EL54" i="20" s="1"/>
  <c r="CZ54" i="20" s="1"/>
  <c r="DH54" i="20" s="1"/>
  <c r="FJ140" i="20"/>
  <c r="EL140" i="20" s="1"/>
  <c r="CZ140" i="20" s="1"/>
  <c r="DN140" i="20" s="1"/>
  <c r="DZ139" i="20"/>
  <c r="ER139" i="5"/>
  <c r="EA53" i="20"/>
  <c r="CY53" i="20"/>
  <c r="AX146" i="20"/>
  <c r="BB145" i="20"/>
  <c r="AY145" i="20"/>
  <c r="FE141" i="20"/>
  <c r="FF141" i="20" s="1"/>
  <c r="DH10" i="20"/>
  <c r="DH11" i="20" s="1"/>
  <c r="DH13" i="20"/>
  <c r="DH12" i="20"/>
  <c r="FE55" i="20"/>
  <c r="FJ55" i="20" s="1"/>
  <c r="BC58" i="20"/>
  <c r="AZ58" i="20"/>
  <c r="DY141" i="20"/>
  <c r="DV143" i="20"/>
  <c r="EU143" i="20"/>
  <c r="EX143" i="20" s="1"/>
  <c r="EY143" i="20" s="1"/>
  <c r="FA142" i="20"/>
  <c r="EZ142" i="20"/>
  <c r="DY55" i="20"/>
  <c r="FA56" i="20"/>
  <c r="EZ56" i="20"/>
  <c r="AX60" i="20"/>
  <c r="BB59" i="20"/>
  <c r="AY59" i="20"/>
  <c r="DX142" i="20"/>
  <c r="DW142" i="20"/>
  <c r="EC58" i="20"/>
  <c r="BD58" i="20"/>
  <c r="DX56" i="20"/>
  <c r="DW56" i="20"/>
  <c r="BC144" i="20"/>
  <c r="AZ144" i="20"/>
  <c r="DV57" i="20"/>
  <c r="EU57" i="20"/>
  <c r="EX57" i="20" s="1"/>
  <c r="EY57" i="20" s="1"/>
  <c r="EC144" i="20"/>
  <c r="BD144" i="20"/>
  <c r="BE144" i="20" s="1"/>
  <c r="DX139" i="5"/>
  <c r="CL139" i="5" s="1"/>
  <c r="DL139" i="5"/>
  <c r="DH252" i="5"/>
  <c r="EG252" i="5"/>
  <c r="EJ252" i="5" s="1"/>
  <c r="EK252" i="5" s="1"/>
  <c r="EQ250" i="5"/>
  <c r="ER250" i="5" s="1"/>
  <c r="AL253" i="5"/>
  <c r="AO253" i="5"/>
  <c r="EM141" i="5"/>
  <c r="EL141" i="5"/>
  <c r="DH56" i="5"/>
  <c r="EG56" i="5"/>
  <c r="EJ56" i="5" s="1"/>
  <c r="EK56" i="5" s="1"/>
  <c r="EL251" i="5"/>
  <c r="EM251" i="5"/>
  <c r="DO253" i="5"/>
  <c r="AP253" i="5"/>
  <c r="AQ253" i="5" s="1"/>
  <c r="DI141" i="5"/>
  <c r="DJ141" i="5"/>
  <c r="DI251" i="5"/>
  <c r="DJ251" i="5"/>
  <c r="DK250" i="5"/>
  <c r="DL250" i="5" s="1"/>
  <c r="AN254" i="5"/>
  <c r="AK254" i="5"/>
  <c r="DM137" i="5"/>
  <c r="CK137" i="5"/>
  <c r="EV53" i="5"/>
  <c r="DX53" i="5" s="1"/>
  <c r="CL53" i="5" s="1"/>
  <c r="DK54" i="5"/>
  <c r="AL143" i="5"/>
  <c r="AO143" i="5"/>
  <c r="EQ54" i="5"/>
  <c r="ER54" i="5" s="1"/>
  <c r="FF137" i="5"/>
  <c r="CT137" i="5"/>
  <c r="DH142" i="5"/>
  <c r="EG142" i="5"/>
  <c r="EJ142" i="5" s="1"/>
  <c r="EK142" i="5" s="1"/>
  <c r="DO143" i="5"/>
  <c r="AP143" i="5"/>
  <c r="AQ143" i="5" s="1"/>
  <c r="AN144" i="5"/>
  <c r="AK144" i="5"/>
  <c r="EQ140" i="5"/>
  <c r="ER140" i="5" s="1"/>
  <c r="AL57" i="5"/>
  <c r="AO57" i="5"/>
  <c r="DK140" i="5"/>
  <c r="DL138" i="5"/>
  <c r="CT138" i="5"/>
  <c r="FF138" i="5"/>
  <c r="DO57" i="5"/>
  <c r="AP57" i="5"/>
  <c r="AQ57" i="5" s="1"/>
  <c r="CY248" i="5"/>
  <c r="FE248" i="5"/>
  <c r="FG248" i="5" s="1"/>
  <c r="DM249" i="5"/>
  <c r="CK249" i="5"/>
  <c r="EL55" i="5"/>
  <c r="EM55" i="5"/>
  <c r="DJ55" i="5"/>
  <c r="DI55" i="5"/>
  <c r="AJ59" i="5"/>
  <c r="AN58" i="5"/>
  <c r="AK58" i="5"/>
  <c r="X137" i="5"/>
  <c r="AJ145" i="5"/>
  <c r="X248" i="5"/>
  <c r="AJ255" i="5"/>
  <c r="FT140" i="20" l="1"/>
  <c r="AL138" i="20"/>
  <c r="CQ249" i="21"/>
  <c r="DS249" i="21"/>
  <c r="DF141" i="21"/>
  <c r="FL141" i="21"/>
  <c r="CQ141" i="21"/>
  <c r="AU59" i="21"/>
  <c r="AR59" i="21"/>
  <c r="FM52" i="21"/>
  <c r="DP251" i="21"/>
  <c r="DO251" i="21"/>
  <c r="AW58" i="21"/>
  <c r="DQ142" i="21"/>
  <c r="EX141" i="21"/>
  <c r="DS141" i="21" s="1"/>
  <c r="DU59" i="21"/>
  <c r="AV59" i="21"/>
  <c r="AW59" i="21" s="1"/>
  <c r="DN58" i="21"/>
  <c r="EM58" i="21"/>
  <c r="EP58" i="21" s="1"/>
  <c r="EQ58" i="21" s="1"/>
  <c r="ES57" i="21"/>
  <c r="ER57" i="21"/>
  <c r="DQ250" i="21"/>
  <c r="DR250" i="21" s="1"/>
  <c r="DP143" i="21"/>
  <c r="DO143" i="21"/>
  <c r="DP57" i="21"/>
  <c r="DO57" i="21"/>
  <c r="DS139" i="21"/>
  <c r="CQ139" i="21"/>
  <c r="EW250" i="21"/>
  <c r="EX250" i="21" s="1"/>
  <c r="AU253" i="21"/>
  <c r="AR253" i="21"/>
  <c r="DS140" i="21"/>
  <c r="CQ140" i="21"/>
  <c r="ES143" i="21"/>
  <c r="ER143" i="21"/>
  <c r="FB55" i="21"/>
  <c r="ED55" i="21" s="1"/>
  <c r="CR55" i="21" s="1"/>
  <c r="EM144" i="21"/>
  <c r="EP144" i="21" s="1"/>
  <c r="EQ144" i="21" s="1"/>
  <c r="DN144" i="21"/>
  <c r="DU253" i="21"/>
  <c r="AV253" i="21"/>
  <c r="AW253" i="21" s="1"/>
  <c r="AP255" i="21"/>
  <c r="AT254" i="21"/>
  <c r="AQ254" i="21"/>
  <c r="ES251" i="21"/>
  <c r="ER251" i="21"/>
  <c r="AU145" i="21"/>
  <c r="AR145" i="21"/>
  <c r="EX56" i="21"/>
  <c r="EW56" i="21"/>
  <c r="FB56" i="21" s="1"/>
  <c r="ED56" i="21" s="1"/>
  <c r="CR56" i="21" s="1"/>
  <c r="FK248" i="21"/>
  <c r="FM248" i="21" s="1"/>
  <c r="AD248" i="21"/>
  <c r="CY248" i="21"/>
  <c r="DQ56" i="21"/>
  <c r="CQ53" i="21"/>
  <c r="DS53" i="21"/>
  <c r="DN252" i="21"/>
  <c r="EM252" i="21"/>
  <c r="EP252" i="21" s="1"/>
  <c r="EQ252" i="21" s="1"/>
  <c r="EW142" i="21"/>
  <c r="EX142" i="21" s="1"/>
  <c r="AP61" i="21"/>
  <c r="AT60" i="21"/>
  <c r="AQ60" i="21"/>
  <c r="FL54" i="21"/>
  <c r="CZ54" i="21"/>
  <c r="DU145" i="21"/>
  <c r="AV145" i="21"/>
  <c r="AW145" i="21" s="1"/>
  <c r="AT146" i="21"/>
  <c r="AP147" i="21"/>
  <c r="AQ146" i="21"/>
  <c r="DR54" i="21"/>
  <c r="DG138" i="20"/>
  <c r="FT54" i="20"/>
  <c r="FJ141" i="20"/>
  <c r="EL141" i="20" s="1"/>
  <c r="CZ141" i="20" s="1"/>
  <c r="FT141" i="20" s="1"/>
  <c r="DZ54" i="20"/>
  <c r="EA54" i="20" s="1"/>
  <c r="EA139" i="20"/>
  <c r="CY139" i="20"/>
  <c r="FF55" i="20"/>
  <c r="DZ140" i="20"/>
  <c r="EV140" i="5"/>
  <c r="DX140" i="5" s="1"/>
  <c r="CL140" i="5" s="1"/>
  <c r="CZ140" i="5" s="1"/>
  <c r="EL55" i="20"/>
  <c r="CZ55" i="20" s="1"/>
  <c r="DZ55" i="20"/>
  <c r="DX57" i="20"/>
  <c r="DW57" i="20"/>
  <c r="DV58" i="20"/>
  <c r="EU58" i="20"/>
  <c r="EX58" i="20" s="1"/>
  <c r="EY58" i="20" s="1"/>
  <c r="FE56" i="20"/>
  <c r="FF56" i="20" s="1"/>
  <c r="BC145" i="20"/>
  <c r="AZ145" i="20"/>
  <c r="DG53" i="20"/>
  <c r="FS53" i="20"/>
  <c r="EC145" i="20"/>
  <c r="BD145" i="20"/>
  <c r="BE145" i="20" s="1"/>
  <c r="DY142" i="20"/>
  <c r="DV144" i="20"/>
  <c r="EU144" i="20"/>
  <c r="EX144" i="20" s="1"/>
  <c r="EY144" i="20" s="1"/>
  <c r="BB146" i="20"/>
  <c r="AX147" i="20"/>
  <c r="AY146" i="20"/>
  <c r="FA57" i="20"/>
  <c r="EZ57" i="20"/>
  <c r="DY56" i="20"/>
  <c r="FE142" i="20"/>
  <c r="FJ142" i="20" s="1"/>
  <c r="EL142" i="20" s="1"/>
  <c r="CZ142" i="20" s="1"/>
  <c r="BE58" i="20"/>
  <c r="DX143" i="20"/>
  <c r="DW143" i="20"/>
  <c r="AZ59" i="20"/>
  <c r="BC59" i="20"/>
  <c r="AX61" i="20"/>
  <c r="BB60" i="20"/>
  <c r="AY60" i="20"/>
  <c r="EC59" i="20"/>
  <c r="BD59" i="20"/>
  <c r="BE59" i="20" s="1"/>
  <c r="FA143" i="20"/>
  <c r="EZ143" i="20"/>
  <c r="DM250" i="5"/>
  <c r="CK250" i="5"/>
  <c r="DO58" i="5"/>
  <c r="AP58" i="5"/>
  <c r="AQ58" i="5" s="1"/>
  <c r="EQ55" i="5"/>
  <c r="EV55" i="5" s="1"/>
  <c r="DX55" i="5" s="1"/>
  <c r="CL55" i="5" s="1"/>
  <c r="AJ60" i="5"/>
  <c r="AN59" i="5"/>
  <c r="AK59" i="5"/>
  <c r="FE249" i="5"/>
  <c r="FG249" i="5" s="1"/>
  <c r="CY249" i="5"/>
  <c r="CK138" i="5"/>
  <c r="DM138" i="5"/>
  <c r="AL144" i="5"/>
  <c r="AO144" i="5"/>
  <c r="CT53" i="5"/>
  <c r="FF53" i="5"/>
  <c r="EQ251" i="5"/>
  <c r="ER251" i="5" s="1"/>
  <c r="DO144" i="5"/>
  <c r="AP144" i="5"/>
  <c r="AQ144" i="5" s="1"/>
  <c r="DK251" i="5"/>
  <c r="DL251" i="5" s="1"/>
  <c r="EL56" i="5"/>
  <c r="EM56" i="5"/>
  <c r="EM252" i="5"/>
  <c r="EL252" i="5"/>
  <c r="AO58" i="5"/>
  <c r="AL58" i="5"/>
  <c r="EV54" i="5"/>
  <c r="DX54" i="5" s="1"/>
  <c r="CL54" i="5" s="1"/>
  <c r="FE137" i="5"/>
  <c r="FG137" i="5" s="1"/>
  <c r="CS137" i="5"/>
  <c r="DJ56" i="5"/>
  <c r="DI56" i="5"/>
  <c r="DI252" i="5"/>
  <c r="DJ252" i="5"/>
  <c r="AN255" i="5"/>
  <c r="AK255" i="5"/>
  <c r="DK55" i="5"/>
  <c r="DH143" i="5"/>
  <c r="EG143" i="5"/>
  <c r="EJ143" i="5" s="1"/>
  <c r="EK143" i="5" s="1"/>
  <c r="DK141" i="5"/>
  <c r="EQ141" i="5"/>
  <c r="ER141" i="5" s="1"/>
  <c r="DM139" i="5"/>
  <c r="CK139" i="5"/>
  <c r="EL142" i="5"/>
  <c r="EM142" i="5"/>
  <c r="AL254" i="5"/>
  <c r="AO254" i="5"/>
  <c r="CT139" i="5"/>
  <c r="FF139" i="5"/>
  <c r="DH253" i="5"/>
  <c r="EG253" i="5"/>
  <c r="EJ253" i="5" s="1"/>
  <c r="EK253" i="5" s="1"/>
  <c r="AN145" i="5"/>
  <c r="AK145" i="5"/>
  <c r="DH57" i="5"/>
  <c r="EG57" i="5"/>
  <c r="EJ57" i="5" s="1"/>
  <c r="EK57" i="5" s="1"/>
  <c r="DI142" i="5"/>
  <c r="DJ142" i="5"/>
  <c r="DO254" i="5"/>
  <c r="AP254" i="5"/>
  <c r="AQ254" i="5" s="1"/>
  <c r="DL53" i="5"/>
  <c r="AJ146" i="5"/>
  <c r="X249" i="5"/>
  <c r="AJ256" i="5"/>
  <c r="DZ141" i="20" l="1"/>
  <c r="EA141" i="20" s="1"/>
  <c r="DS250" i="21"/>
  <c r="CQ250" i="21"/>
  <c r="FL56" i="21"/>
  <c r="CZ56" i="21"/>
  <c r="DR56" i="21"/>
  <c r="AR146" i="21"/>
  <c r="AU146" i="21"/>
  <c r="DQ57" i="21"/>
  <c r="AU254" i="21"/>
  <c r="AR254" i="21"/>
  <c r="FB142" i="21"/>
  <c r="ED142" i="21" s="1"/>
  <c r="CR142" i="21" s="1"/>
  <c r="CZ55" i="21"/>
  <c r="FL55" i="21"/>
  <c r="ES252" i="21"/>
  <c r="ER252" i="21"/>
  <c r="EW143" i="21"/>
  <c r="EX143" i="21" s="1"/>
  <c r="EW251" i="21"/>
  <c r="EX251" i="21" s="1"/>
  <c r="FK140" i="21"/>
  <c r="FM140" i="21" s="1"/>
  <c r="AD140" i="21"/>
  <c r="DE140" i="21"/>
  <c r="DN253" i="21"/>
  <c r="EM253" i="21"/>
  <c r="EP253" i="21" s="1"/>
  <c r="EQ253" i="21" s="1"/>
  <c r="CY53" i="21"/>
  <c r="FK53" i="21"/>
  <c r="ES58" i="21"/>
  <c r="ER58" i="21"/>
  <c r="AD141" i="21"/>
  <c r="DE141" i="21"/>
  <c r="FK141" i="21"/>
  <c r="FM141" i="21" s="1"/>
  <c r="DU60" i="21"/>
  <c r="AV60" i="21"/>
  <c r="AW60" i="21" s="1"/>
  <c r="DP144" i="21"/>
  <c r="DO144" i="21"/>
  <c r="DO252" i="21"/>
  <c r="DP252" i="21"/>
  <c r="AP148" i="21"/>
  <c r="AT147" i="21"/>
  <c r="AQ147" i="21"/>
  <c r="DU254" i="21"/>
  <c r="AV254" i="21"/>
  <c r="AW254" i="21" s="1"/>
  <c r="EW57" i="21"/>
  <c r="FB57" i="21" s="1"/>
  <c r="DO58" i="21"/>
  <c r="DP58" i="21"/>
  <c r="DN59" i="21"/>
  <c r="EM59" i="21"/>
  <c r="EP59" i="21" s="1"/>
  <c r="EQ59" i="21" s="1"/>
  <c r="DU146" i="21"/>
  <c r="AV146" i="21"/>
  <c r="AW146" i="21" s="1"/>
  <c r="AP256" i="21"/>
  <c r="AT255" i="21"/>
  <c r="AQ255" i="21"/>
  <c r="AP62" i="21"/>
  <c r="AT61" i="21"/>
  <c r="AQ61" i="21"/>
  <c r="CQ54" i="21"/>
  <c r="DS54" i="21"/>
  <c r="DR55" i="21"/>
  <c r="DQ251" i="21"/>
  <c r="DR251" i="21" s="1"/>
  <c r="DQ143" i="21"/>
  <c r="ES144" i="21"/>
  <c r="ER144" i="21"/>
  <c r="CY249" i="21"/>
  <c r="AD249" i="21"/>
  <c r="FK249" i="21"/>
  <c r="FM249" i="21" s="1"/>
  <c r="DN145" i="21"/>
  <c r="EM145" i="21"/>
  <c r="EP145" i="21" s="1"/>
  <c r="EQ145" i="21" s="1"/>
  <c r="AU60" i="21"/>
  <c r="AR60" i="21"/>
  <c r="FK139" i="21"/>
  <c r="FM139" i="21" s="1"/>
  <c r="AD139" i="21"/>
  <c r="DE139" i="21"/>
  <c r="DN141" i="20"/>
  <c r="FF142" i="20"/>
  <c r="CY54" i="20"/>
  <c r="EA140" i="20"/>
  <c r="CY140" i="20"/>
  <c r="DG139" i="20"/>
  <c r="AL139" i="20"/>
  <c r="FS139" i="20"/>
  <c r="FU139" i="20" s="1"/>
  <c r="DL55" i="5"/>
  <c r="CK55" i="5" s="1"/>
  <c r="ER55" i="5"/>
  <c r="EV141" i="5"/>
  <c r="DX141" i="5" s="1"/>
  <c r="CL141" i="5" s="1"/>
  <c r="FF141" i="5" s="1"/>
  <c r="FF140" i="5"/>
  <c r="DL54" i="5"/>
  <c r="CK54" i="5" s="1"/>
  <c r="DL140" i="5"/>
  <c r="DZ142" i="20"/>
  <c r="FT142" i="20"/>
  <c r="DN142" i="20"/>
  <c r="FE143" i="20"/>
  <c r="FJ143" i="20" s="1"/>
  <c r="EL143" i="20" s="1"/>
  <c r="CZ143" i="20" s="1"/>
  <c r="DX58" i="20"/>
  <c r="DW58" i="20"/>
  <c r="BC146" i="20"/>
  <c r="AZ146" i="20"/>
  <c r="FA144" i="20"/>
  <c r="EZ144" i="20"/>
  <c r="DY57" i="20"/>
  <c r="DV59" i="20"/>
  <c r="EU59" i="20"/>
  <c r="EX59" i="20" s="1"/>
  <c r="EY59" i="20" s="1"/>
  <c r="DY143" i="20"/>
  <c r="AX148" i="20"/>
  <c r="BB147" i="20"/>
  <c r="AY147" i="20"/>
  <c r="DX144" i="20"/>
  <c r="DW144" i="20"/>
  <c r="DV145" i="20"/>
  <c r="EU145" i="20"/>
  <c r="EX145" i="20" s="1"/>
  <c r="EY145" i="20" s="1"/>
  <c r="FU53" i="20"/>
  <c r="EC146" i="20"/>
  <c r="BD146" i="20"/>
  <c r="BE146" i="20" s="1"/>
  <c r="EC60" i="20"/>
  <c r="BD60" i="20"/>
  <c r="FJ56" i="20"/>
  <c r="EL56" i="20" s="1"/>
  <c r="CZ56" i="20" s="1"/>
  <c r="AX62" i="20"/>
  <c r="BB61" i="20"/>
  <c r="AY61" i="20"/>
  <c r="EA55" i="20"/>
  <c r="CY55" i="20"/>
  <c r="AZ60" i="20"/>
  <c r="BC60" i="20"/>
  <c r="FE57" i="20"/>
  <c r="FF57" i="20" s="1"/>
  <c r="FA58" i="20"/>
  <c r="EZ58" i="20"/>
  <c r="FT55" i="20"/>
  <c r="DH55" i="20"/>
  <c r="DM251" i="5"/>
  <c r="CK251" i="5"/>
  <c r="DM55" i="5"/>
  <c r="CT55" i="5"/>
  <c r="FF55" i="5"/>
  <c r="DK142" i="5"/>
  <c r="CT10" i="5"/>
  <c r="CT11" i="5" s="1"/>
  <c r="CT13" i="5"/>
  <c r="CT12" i="5"/>
  <c r="AN256" i="5"/>
  <c r="AK256" i="5"/>
  <c r="CS138" i="5"/>
  <c r="FE138" i="5"/>
  <c r="FG138" i="5" s="1"/>
  <c r="X138" i="5"/>
  <c r="EL57" i="5"/>
  <c r="EM57" i="5"/>
  <c r="CZ141" i="5"/>
  <c r="AL255" i="5"/>
  <c r="AO255" i="5"/>
  <c r="CT54" i="5"/>
  <c r="FF54" i="5"/>
  <c r="DH58" i="5"/>
  <c r="EG58" i="5"/>
  <c r="EJ58" i="5" s="1"/>
  <c r="EK58" i="5" s="1"/>
  <c r="EQ56" i="5"/>
  <c r="EV56" i="5" s="1"/>
  <c r="DJ57" i="5"/>
  <c r="DI57" i="5"/>
  <c r="AL145" i="5"/>
  <c r="AO145" i="5"/>
  <c r="DO59" i="5"/>
  <c r="AP59" i="5"/>
  <c r="CK53" i="5"/>
  <c r="DM53" i="5"/>
  <c r="DO145" i="5"/>
  <c r="AP145" i="5"/>
  <c r="AQ145" i="5" s="1"/>
  <c r="DK252" i="5"/>
  <c r="DL252" i="5" s="1"/>
  <c r="EQ252" i="5"/>
  <c r="ER252" i="5" s="1"/>
  <c r="DH144" i="5"/>
  <c r="EG144" i="5"/>
  <c r="EJ144" i="5" s="1"/>
  <c r="EK144" i="5" s="1"/>
  <c r="AJ61" i="5"/>
  <c r="AN60" i="5"/>
  <c r="AK60" i="5"/>
  <c r="DO255" i="5"/>
  <c r="AP255" i="5"/>
  <c r="AQ255" i="5" s="1"/>
  <c r="EL253" i="5"/>
  <c r="EM253" i="5"/>
  <c r="EQ142" i="5"/>
  <c r="ER142" i="5" s="1"/>
  <c r="EM143" i="5"/>
  <c r="EL143" i="5"/>
  <c r="DK56" i="5"/>
  <c r="FE250" i="5"/>
  <c r="FG250" i="5" s="1"/>
  <c r="CY250" i="5"/>
  <c r="AN146" i="5"/>
  <c r="AK146" i="5"/>
  <c r="AL59" i="5"/>
  <c r="AO59" i="5"/>
  <c r="DH254" i="5"/>
  <c r="EG254" i="5"/>
  <c r="EJ254" i="5" s="1"/>
  <c r="EK254" i="5" s="1"/>
  <c r="DI253" i="5"/>
  <c r="DJ253" i="5"/>
  <c r="CS139" i="5"/>
  <c r="FE139" i="5"/>
  <c r="FG139" i="5" s="1"/>
  <c r="X139" i="5"/>
  <c r="DI143" i="5"/>
  <c r="DJ143" i="5"/>
  <c r="AJ147" i="5"/>
  <c r="X250" i="5"/>
  <c r="AJ257" i="5"/>
  <c r="CY141" i="20" l="1"/>
  <c r="DS251" i="21"/>
  <c r="CQ251" i="21"/>
  <c r="ED57" i="21"/>
  <c r="CR57" i="21" s="1"/>
  <c r="DR57" i="21"/>
  <c r="AU61" i="21"/>
  <c r="AR61" i="21"/>
  <c r="FL142" i="21"/>
  <c r="DF142" i="21"/>
  <c r="DP145" i="21"/>
  <c r="DO145" i="21"/>
  <c r="ES59" i="21"/>
  <c r="ER59" i="21"/>
  <c r="DN60" i="21"/>
  <c r="EM60" i="21"/>
  <c r="EP60" i="21" s="1"/>
  <c r="EQ60" i="21" s="1"/>
  <c r="AT256" i="21"/>
  <c r="AP257" i="21"/>
  <c r="AQ256" i="21"/>
  <c r="DP59" i="21"/>
  <c r="DO59" i="21"/>
  <c r="DN146" i="21"/>
  <c r="EM146" i="21"/>
  <c r="EP146" i="21" s="1"/>
  <c r="EQ146" i="21" s="1"/>
  <c r="CY17" i="21"/>
  <c r="CY14" i="21"/>
  <c r="CY15" i="21" s="1"/>
  <c r="CY16" i="21"/>
  <c r="DQ58" i="21"/>
  <c r="DP253" i="21"/>
  <c r="DO253" i="21"/>
  <c r="EW58" i="21"/>
  <c r="FB58" i="21" s="1"/>
  <c r="FB143" i="21"/>
  <c r="ED143" i="21" s="1"/>
  <c r="CR143" i="21" s="1"/>
  <c r="DQ252" i="21"/>
  <c r="DR252" i="21" s="1"/>
  <c r="CY54" i="21"/>
  <c r="FK54" i="21"/>
  <c r="FM54" i="21" s="1"/>
  <c r="DU61" i="21"/>
  <c r="AV61" i="21"/>
  <c r="AW61" i="21" s="1"/>
  <c r="AT62" i="21"/>
  <c r="AP63" i="21"/>
  <c r="AQ62" i="21"/>
  <c r="AR255" i="21"/>
  <c r="AU255" i="21"/>
  <c r="EW144" i="21"/>
  <c r="FB144" i="21" s="1"/>
  <c r="EX57" i="21"/>
  <c r="DS56" i="21"/>
  <c r="CQ56" i="21"/>
  <c r="DU255" i="21"/>
  <c r="AV255" i="21"/>
  <c r="AW255" i="21" s="1"/>
  <c r="ER145" i="21"/>
  <c r="ES145" i="21"/>
  <c r="EW252" i="21"/>
  <c r="EX252" i="21" s="1"/>
  <c r="DQ144" i="21"/>
  <c r="DN254" i="21"/>
  <c r="EM254" i="21"/>
  <c r="EP254" i="21" s="1"/>
  <c r="EQ254" i="21" s="1"/>
  <c r="AU147" i="21"/>
  <c r="AR147" i="21"/>
  <c r="FM53" i="21"/>
  <c r="DE250" i="21"/>
  <c r="AD250" i="21"/>
  <c r="FK250" i="21"/>
  <c r="FM250" i="21" s="1"/>
  <c r="DU147" i="21"/>
  <c r="AV147" i="21"/>
  <c r="AW147" i="21" s="1"/>
  <c r="DS55" i="21"/>
  <c r="CQ55" i="21"/>
  <c r="AP149" i="21"/>
  <c r="AT148" i="21"/>
  <c r="AQ148" i="21"/>
  <c r="ES253" i="21"/>
  <c r="ER253" i="21"/>
  <c r="DR142" i="21"/>
  <c r="DG54" i="20"/>
  <c r="FS54" i="20"/>
  <c r="FU54" i="20" s="1"/>
  <c r="FJ57" i="20"/>
  <c r="EL57" i="20" s="1"/>
  <c r="CZ57" i="20" s="1"/>
  <c r="FT57" i="20" s="1"/>
  <c r="DG13" i="20"/>
  <c r="DG10" i="20"/>
  <c r="DG11" i="20" s="1"/>
  <c r="DG12" i="20"/>
  <c r="FF143" i="20"/>
  <c r="AL140" i="20"/>
  <c r="FS140" i="20"/>
  <c r="FU140" i="20" s="1"/>
  <c r="DM140" i="20"/>
  <c r="DM54" i="5"/>
  <c r="DL141" i="5"/>
  <c r="CK141" i="5" s="1"/>
  <c r="DM140" i="5"/>
  <c r="CK140" i="5"/>
  <c r="ER56" i="5"/>
  <c r="DM141" i="5"/>
  <c r="BC61" i="20"/>
  <c r="AZ61" i="20"/>
  <c r="EC61" i="20"/>
  <c r="BD61" i="20"/>
  <c r="BE61" i="20" s="1"/>
  <c r="DZ143" i="20"/>
  <c r="BB62" i="20"/>
  <c r="AX63" i="20"/>
  <c r="AY62" i="20"/>
  <c r="BC147" i="20"/>
  <c r="AZ147" i="20"/>
  <c r="FS55" i="20"/>
  <c r="DG55" i="20"/>
  <c r="DH56" i="20"/>
  <c r="FT56" i="20"/>
  <c r="DV60" i="20"/>
  <c r="EU60" i="20"/>
  <c r="EX60" i="20" s="1"/>
  <c r="EY60" i="20" s="1"/>
  <c r="DV146" i="20"/>
  <c r="EU146" i="20"/>
  <c r="EX146" i="20" s="1"/>
  <c r="EY146" i="20" s="1"/>
  <c r="EC147" i="20"/>
  <c r="BD147" i="20"/>
  <c r="BE147" i="20" s="1"/>
  <c r="FS141" i="20"/>
  <c r="FU141" i="20" s="1"/>
  <c r="AL141" i="20"/>
  <c r="DM141" i="20"/>
  <c r="FT143" i="20"/>
  <c r="DN143" i="20"/>
  <c r="BB148" i="20"/>
  <c r="AX149" i="20"/>
  <c r="AY148" i="20"/>
  <c r="FA59" i="20"/>
  <c r="EZ59" i="20"/>
  <c r="DY58" i="20"/>
  <c r="DW59" i="20"/>
  <c r="DX59" i="20"/>
  <c r="DZ56" i="20"/>
  <c r="FE58" i="20"/>
  <c r="FJ58" i="20" s="1"/>
  <c r="EL58" i="20" s="1"/>
  <c r="CZ58" i="20" s="1"/>
  <c r="BE60" i="20"/>
  <c r="FA145" i="20"/>
  <c r="EZ145" i="20"/>
  <c r="EA142" i="20"/>
  <c r="CY142" i="20"/>
  <c r="DW145" i="20"/>
  <c r="DX145" i="20"/>
  <c r="DY144" i="20"/>
  <c r="FE144" i="20"/>
  <c r="FJ144" i="20" s="1"/>
  <c r="EL144" i="20" s="1"/>
  <c r="CZ144" i="20" s="1"/>
  <c r="DX56" i="5"/>
  <c r="CL56" i="5" s="1"/>
  <c r="DL56" i="5"/>
  <c r="EL144" i="5"/>
  <c r="EM144" i="5"/>
  <c r="DI58" i="5"/>
  <c r="DJ58" i="5"/>
  <c r="AL146" i="5"/>
  <c r="AO146" i="5"/>
  <c r="DH255" i="5"/>
  <c r="EG255" i="5"/>
  <c r="EJ255" i="5" s="1"/>
  <c r="EK255" i="5" s="1"/>
  <c r="DJ144" i="5"/>
  <c r="DI144" i="5"/>
  <c r="FE53" i="5"/>
  <c r="CS53" i="5"/>
  <c r="DH59" i="5"/>
  <c r="EG59" i="5"/>
  <c r="EJ59" i="5" s="1"/>
  <c r="EK59" i="5" s="1"/>
  <c r="AN257" i="5"/>
  <c r="AK257" i="5"/>
  <c r="CS12" i="5"/>
  <c r="CS10" i="5"/>
  <c r="CS11" i="5" s="1"/>
  <c r="CS13" i="5"/>
  <c r="DO146" i="5"/>
  <c r="AP146" i="5"/>
  <c r="AQ146" i="5" s="1"/>
  <c r="DK57" i="5"/>
  <c r="CS55" i="5"/>
  <c r="FE55" i="5"/>
  <c r="FG55" i="5" s="1"/>
  <c r="DO256" i="5"/>
  <c r="AP256" i="5"/>
  <c r="AQ256" i="5" s="1"/>
  <c r="EV142" i="5"/>
  <c r="DX142" i="5" s="1"/>
  <c r="CL142" i="5" s="1"/>
  <c r="EQ57" i="5"/>
  <c r="ER57" i="5" s="1"/>
  <c r="AQ59" i="5"/>
  <c r="AN147" i="5"/>
  <c r="AK147" i="5"/>
  <c r="DK253" i="5"/>
  <c r="DL253" i="5" s="1"/>
  <c r="AL60" i="5"/>
  <c r="AO60" i="5"/>
  <c r="EL254" i="5"/>
  <c r="EM254" i="5"/>
  <c r="DM252" i="5"/>
  <c r="CK252" i="5"/>
  <c r="CY141" i="5"/>
  <c r="FE141" i="5"/>
  <c r="FG141" i="5" s="1"/>
  <c r="DO60" i="5"/>
  <c r="AP60" i="5"/>
  <c r="AQ60" i="5" s="1"/>
  <c r="DJ254" i="5"/>
  <c r="DI254" i="5"/>
  <c r="EQ253" i="5"/>
  <c r="ER253" i="5" s="1"/>
  <c r="AJ62" i="5"/>
  <c r="AN61" i="5"/>
  <c r="AK61" i="5"/>
  <c r="FE251" i="5"/>
  <c r="FG251" i="5" s="1"/>
  <c r="CY251" i="5"/>
  <c r="EQ143" i="5"/>
  <c r="EV143" i="5" s="1"/>
  <c r="DK143" i="5"/>
  <c r="DH145" i="5"/>
  <c r="EG145" i="5"/>
  <c r="EJ145" i="5" s="1"/>
  <c r="EK145" i="5" s="1"/>
  <c r="FE54" i="5"/>
  <c r="FG54" i="5" s="1"/>
  <c r="CS54" i="5"/>
  <c r="EL58" i="5"/>
  <c r="EM58" i="5"/>
  <c r="AL256" i="5"/>
  <c r="AO256" i="5"/>
  <c r="AJ148" i="5"/>
  <c r="AJ258" i="5"/>
  <c r="X251" i="5"/>
  <c r="DS252" i="21" l="1"/>
  <c r="CQ252" i="21"/>
  <c r="ED144" i="21"/>
  <c r="CR144" i="21" s="1"/>
  <c r="DR144" i="21"/>
  <c r="ED58" i="21"/>
  <c r="CR58" i="21" s="1"/>
  <c r="DR58" i="21"/>
  <c r="DU256" i="21"/>
  <c r="AV256" i="21"/>
  <c r="AW256" i="21" s="1"/>
  <c r="ES60" i="21"/>
  <c r="ER60" i="21"/>
  <c r="CQ142" i="21"/>
  <c r="DS142" i="21"/>
  <c r="AU148" i="21"/>
  <c r="AR148" i="21"/>
  <c r="CY56" i="21"/>
  <c r="FK56" i="21"/>
  <c r="FM56" i="21" s="1"/>
  <c r="AU256" i="21"/>
  <c r="AR256" i="21"/>
  <c r="EW59" i="21"/>
  <c r="EX59" i="21" s="1"/>
  <c r="FK55" i="21"/>
  <c r="CY55" i="21"/>
  <c r="AP258" i="21"/>
  <c r="AT257" i="21"/>
  <c r="AQ257" i="21"/>
  <c r="EX58" i="21"/>
  <c r="DQ145" i="21"/>
  <c r="DR143" i="21"/>
  <c r="EX144" i="21"/>
  <c r="EW145" i="21"/>
  <c r="EX145" i="21" s="1"/>
  <c r="ES146" i="21"/>
  <c r="ER146" i="21"/>
  <c r="CQ57" i="21"/>
  <c r="DS57" i="21"/>
  <c r="DN61" i="21"/>
  <c r="EM61" i="21"/>
  <c r="EP61" i="21" s="1"/>
  <c r="EQ61" i="21" s="1"/>
  <c r="DP146" i="21"/>
  <c r="DO146" i="21"/>
  <c r="CZ57" i="21"/>
  <c r="FL57" i="21"/>
  <c r="DN255" i="21"/>
  <c r="EM255" i="21"/>
  <c r="EP255" i="21" s="1"/>
  <c r="EQ255" i="21" s="1"/>
  <c r="DQ253" i="21"/>
  <c r="DR253" i="21" s="1"/>
  <c r="ER254" i="21"/>
  <c r="ES254" i="21"/>
  <c r="FK251" i="21"/>
  <c r="FM251" i="21" s="1"/>
  <c r="AD251" i="21"/>
  <c r="DE251" i="21"/>
  <c r="DE17" i="21"/>
  <c r="DE16" i="21"/>
  <c r="DE14" i="21"/>
  <c r="DE15" i="21" s="1"/>
  <c r="DP254" i="21"/>
  <c r="DO254" i="21"/>
  <c r="AT63" i="21"/>
  <c r="AP64" i="21"/>
  <c r="AQ63" i="21"/>
  <c r="DQ59" i="21"/>
  <c r="DN147" i="21"/>
  <c r="EM147" i="21"/>
  <c r="EP147" i="21" s="1"/>
  <c r="EQ147" i="21" s="1"/>
  <c r="DO60" i="21"/>
  <c r="DP60" i="21"/>
  <c r="DF143" i="21"/>
  <c r="FL143" i="21"/>
  <c r="EW253" i="21"/>
  <c r="EX253" i="21" s="1"/>
  <c r="DU148" i="21"/>
  <c r="AV148" i="21"/>
  <c r="AW148" i="21" s="1"/>
  <c r="AT149" i="21"/>
  <c r="AP150" i="21"/>
  <c r="AQ149" i="21"/>
  <c r="AR62" i="21"/>
  <c r="AU62" i="21"/>
  <c r="DU62" i="21"/>
  <c r="AV62" i="21"/>
  <c r="AW62" i="21" s="1"/>
  <c r="DH57" i="20"/>
  <c r="DZ57" i="20"/>
  <c r="EV57" i="5"/>
  <c r="DX57" i="5" s="1"/>
  <c r="CL57" i="5" s="1"/>
  <c r="CT57" i="5" s="1"/>
  <c r="DX143" i="5"/>
  <c r="CL143" i="5" s="1"/>
  <c r="FF143" i="5" s="1"/>
  <c r="DL143" i="5"/>
  <c r="ER143" i="5"/>
  <c r="X140" i="5"/>
  <c r="CY140" i="5"/>
  <c r="FE140" i="5"/>
  <c r="FG140" i="5" s="1"/>
  <c r="DH58" i="20"/>
  <c r="FT58" i="20"/>
  <c r="DZ58" i="20"/>
  <c r="DN144" i="20"/>
  <c r="FT144" i="20"/>
  <c r="DZ144" i="20"/>
  <c r="AZ148" i="20"/>
  <c r="BC148" i="20"/>
  <c r="FA146" i="20"/>
  <c r="EZ146" i="20"/>
  <c r="FU55" i="20"/>
  <c r="DM142" i="20"/>
  <c r="FS142" i="20"/>
  <c r="FU142" i="20" s="1"/>
  <c r="AL142" i="20"/>
  <c r="EZ60" i="20"/>
  <c r="FA60" i="20"/>
  <c r="AX150" i="20"/>
  <c r="BB149" i="20"/>
  <c r="AY149" i="20"/>
  <c r="FF144" i="20"/>
  <c r="DY59" i="20"/>
  <c r="DW60" i="20"/>
  <c r="DX60" i="20"/>
  <c r="CY143" i="20"/>
  <c r="EA143" i="20"/>
  <c r="EC148" i="20"/>
  <c r="BD148" i="20"/>
  <c r="BE148" i="20" s="1"/>
  <c r="FE145" i="20"/>
  <c r="FJ145" i="20" s="1"/>
  <c r="EL145" i="20" s="1"/>
  <c r="CZ145" i="20" s="1"/>
  <c r="FF58" i="20"/>
  <c r="BC62" i="20"/>
  <c r="AZ62" i="20"/>
  <c r="DX146" i="20"/>
  <c r="DW146" i="20"/>
  <c r="DY145" i="20"/>
  <c r="AX64" i="20"/>
  <c r="BB63" i="20"/>
  <c r="AY63" i="20"/>
  <c r="DV61" i="20"/>
  <c r="EU61" i="20"/>
  <c r="EX61" i="20" s="1"/>
  <c r="EY61" i="20" s="1"/>
  <c r="FE59" i="20"/>
  <c r="FF59" i="20" s="1"/>
  <c r="EC62" i="20"/>
  <c r="BD62" i="20"/>
  <c r="BE62" i="20" s="1"/>
  <c r="CY56" i="20"/>
  <c r="EA56" i="20"/>
  <c r="DV147" i="20"/>
  <c r="EU147" i="20"/>
  <c r="EX147" i="20" s="1"/>
  <c r="EY147" i="20" s="1"/>
  <c r="DM253" i="5"/>
  <c r="CK253" i="5"/>
  <c r="DO147" i="5"/>
  <c r="AP147" i="5"/>
  <c r="AQ147" i="5" s="1"/>
  <c r="FF142" i="5"/>
  <c r="CZ142" i="5"/>
  <c r="AL257" i="5"/>
  <c r="AO257" i="5"/>
  <c r="DK144" i="5"/>
  <c r="DK254" i="5"/>
  <c r="DL254" i="5" s="1"/>
  <c r="DI145" i="5"/>
  <c r="DJ145" i="5"/>
  <c r="EQ254" i="5"/>
  <c r="ER254" i="5" s="1"/>
  <c r="DO257" i="5"/>
  <c r="AP257" i="5"/>
  <c r="AQ257" i="5" s="1"/>
  <c r="EQ144" i="5"/>
  <c r="EV144" i="5" s="1"/>
  <c r="DX144" i="5" s="1"/>
  <c r="CL144" i="5" s="1"/>
  <c r="AO147" i="5"/>
  <c r="AL147" i="5"/>
  <c r="EM145" i="5"/>
  <c r="EL145" i="5"/>
  <c r="AN258" i="5"/>
  <c r="AK258" i="5"/>
  <c r="AN148" i="5"/>
  <c r="AK148" i="5"/>
  <c r="AL61" i="5"/>
  <c r="AO61" i="5"/>
  <c r="DH60" i="5"/>
  <c r="EG60" i="5"/>
  <c r="EJ60" i="5" s="1"/>
  <c r="EK60" i="5" s="1"/>
  <c r="DH256" i="5"/>
  <c r="EG256" i="5"/>
  <c r="EJ256" i="5" s="1"/>
  <c r="EK256" i="5" s="1"/>
  <c r="EL255" i="5"/>
  <c r="EM255" i="5"/>
  <c r="DL142" i="5"/>
  <c r="CK143" i="5"/>
  <c r="DM143" i="5"/>
  <c r="DO61" i="5"/>
  <c r="AP61" i="5"/>
  <c r="AQ61" i="5" s="1"/>
  <c r="EL59" i="5"/>
  <c r="EM59" i="5"/>
  <c r="DI255" i="5"/>
  <c r="DJ255" i="5"/>
  <c r="AJ63" i="5"/>
  <c r="AN62" i="5"/>
  <c r="AK62" i="5"/>
  <c r="DH146" i="5"/>
  <c r="EG146" i="5"/>
  <c r="EJ146" i="5" s="1"/>
  <c r="EK146" i="5" s="1"/>
  <c r="DI59" i="5"/>
  <c r="DJ59" i="5"/>
  <c r="DM56" i="5"/>
  <c r="CK56" i="5"/>
  <c r="DK58" i="5"/>
  <c r="EQ58" i="5"/>
  <c r="EV58" i="5" s="1"/>
  <c r="DX58" i="5" s="1"/>
  <c r="CL58" i="5" s="1"/>
  <c r="FF56" i="5"/>
  <c r="CT56" i="5"/>
  <c r="CZ143" i="5"/>
  <c r="CS252" i="5"/>
  <c r="FE252" i="5"/>
  <c r="FG252" i="5" s="1"/>
  <c r="FG53" i="5"/>
  <c r="X141" i="5"/>
  <c r="AJ149" i="5"/>
  <c r="X252" i="5"/>
  <c r="AJ259" i="5"/>
  <c r="FB59" i="21" l="1"/>
  <c r="ED59" i="21" s="1"/>
  <c r="CR59" i="21" s="1"/>
  <c r="DR59" i="21"/>
  <c r="DS59" i="21" s="1"/>
  <c r="CQ59" i="21"/>
  <c r="DS253" i="21"/>
  <c r="CQ253" i="21"/>
  <c r="ER147" i="21"/>
  <c r="ES147" i="21"/>
  <c r="EW254" i="21"/>
  <c r="EX254" i="21" s="1"/>
  <c r="FB145" i="21"/>
  <c r="ED145" i="21" s="1"/>
  <c r="CR145" i="21" s="1"/>
  <c r="AP65" i="21"/>
  <c r="AT64" i="21"/>
  <c r="AQ64" i="21"/>
  <c r="CQ143" i="21"/>
  <c r="DS143" i="21"/>
  <c r="DN62" i="21"/>
  <c r="EM62" i="21"/>
  <c r="EP62" i="21" s="1"/>
  <c r="EQ62" i="21" s="1"/>
  <c r="EW60" i="21"/>
  <c r="EX60" i="21" s="1"/>
  <c r="EW146" i="21"/>
  <c r="EX146" i="21" s="1"/>
  <c r="DO147" i="21"/>
  <c r="DP147" i="21"/>
  <c r="DU63" i="21"/>
  <c r="AV63" i="21"/>
  <c r="AW63" i="21" s="1"/>
  <c r="DE142" i="21"/>
  <c r="AD142" i="21"/>
  <c r="FK142" i="21"/>
  <c r="FM142" i="21" s="1"/>
  <c r="DQ254" i="21"/>
  <c r="DR254" i="21" s="1"/>
  <c r="DQ60" i="21"/>
  <c r="ES255" i="21"/>
  <c r="ER255" i="21"/>
  <c r="DQ146" i="21"/>
  <c r="AP259" i="21"/>
  <c r="AT258" i="21"/>
  <c r="AQ258" i="21"/>
  <c r="DU149" i="21"/>
  <c r="AV149" i="21"/>
  <c r="AW149" i="21" s="1"/>
  <c r="DS58" i="21"/>
  <c r="CQ58" i="21"/>
  <c r="AU63" i="21"/>
  <c r="AR63" i="21"/>
  <c r="AU149" i="21"/>
  <c r="AR149" i="21"/>
  <c r="DN256" i="21"/>
  <c r="EM256" i="21"/>
  <c r="EP256" i="21" s="1"/>
  <c r="EQ256" i="21" s="1"/>
  <c r="FL58" i="21"/>
  <c r="CZ58" i="21"/>
  <c r="CY57" i="21"/>
  <c r="FK57" i="21"/>
  <c r="DU257" i="21"/>
  <c r="AV257" i="21"/>
  <c r="AW257" i="21" s="1"/>
  <c r="AT150" i="21"/>
  <c r="AP151" i="21"/>
  <c r="AQ150" i="21"/>
  <c r="DN148" i="21"/>
  <c r="EM148" i="21"/>
  <c r="EP148" i="21" s="1"/>
  <c r="EQ148" i="21" s="1"/>
  <c r="FM55" i="21"/>
  <c r="DS144" i="21"/>
  <c r="CQ144" i="21"/>
  <c r="AR257" i="21"/>
  <c r="AU257" i="21"/>
  <c r="FL144" i="21"/>
  <c r="DF144" i="21"/>
  <c r="DO255" i="21"/>
  <c r="DP255" i="21"/>
  <c r="ER61" i="21"/>
  <c r="ES61" i="21"/>
  <c r="DE252" i="21"/>
  <c r="AD252" i="21"/>
  <c r="FK252" i="21"/>
  <c r="FM252" i="21" s="1"/>
  <c r="DP61" i="21"/>
  <c r="DO61" i="21"/>
  <c r="CZ59" i="21"/>
  <c r="FL59" i="21"/>
  <c r="FJ59" i="20"/>
  <c r="EL59" i="20" s="1"/>
  <c r="CZ59" i="20" s="1"/>
  <c r="FT59" i="20" s="1"/>
  <c r="CY57" i="20"/>
  <c r="EA57" i="20"/>
  <c r="ER144" i="5"/>
  <c r="FF57" i="5"/>
  <c r="DL57" i="5"/>
  <c r="ER58" i="5"/>
  <c r="DL58" i="5"/>
  <c r="DL144" i="5"/>
  <c r="CK144" i="5" s="1"/>
  <c r="FT145" i="20"/>
  <c r="DN145" i="20"/>
  <c r="DZ145" i="20"/>
  <c r="EC149" i="20"/>
  <c r="BD149" i="20"/>
  <c r="BE149" i="20" s="1"/>
  <c r="AX65" i="20"/>
  <c r="BB64" i="20"/>
  <c r="AY64" i="20"/>
  <c r="FA147" i="20"/>
  <c r="EZ147" i="20"/>
  <c r="FF145" i="20"/>
  <c r="AL143" i="20"/>
  <c r="FS143" i="20"/>
  <c r="FU143" i="20" s="1"/>
  <c r="DM143" i="20"/>
  <c r="BB150" i="20"/>
  <c r="AX151" i="20"/>
  <c r="AY150" i="20"/>
  <c r="CY58" i="20"/>
  <c r="EA58" i="20"/>
  <c r="EC63" i="20"/>
  <c r="BD63" i="20"/>
  <c r="BE63" i="20" s="1"/>
  <c r="DV148" i="20"/>
  <c r="EU148" i="20"/>
  <c r="EX148" i="20" s="1"/>
  <c r="EY148" i="20" s="1"/>
  <c r="BC149" i="20"/>
  <c r="AZ149" i="20"/>
  <c r="DX147" i="20"/>
  <c r="DW147" i="20"/>
  <c r="FE146" i="20"/>
  <c r="FJ146" i="20" s="1"/>
  <c r="EL146" i="20" s="1"/>
  <c r="CZ146" i="20" s="1"/>
  <c r="DY146" i="20"/>
  <c r="DY60" i="20"/>
  <c r="FS56" i="20"/>
  <c r="DG56" i="20"/>
  <c r="EZ61" i="20"/>
  <c r="FA61" i="20"/>
  <c r="DV62" i="20"/>
  <c r="EU62" i="20"/>
  <c r="EX62" i="20" s="1"/>
  <c r="EY62" i="20" s="1"/>
  <c r="DX61" i="20"/>
  <c r="DW61" i="20"/>
  <c r="FE60" i="20"/>
  <c r="FF60" i="20" s="1"/>
  <c r="AZ63" i="20"/>
  <c r="BC63" i="20"/>
  <c r="CY144" i="20"/>
  <c r="EA144" i="20"/>
  <c r="CK58" i="5"/>
  <c r="DM58" i="5"/>
  <c r="DM142" i="5"/>
  <c r="CK142" i="5"/>
  <c r="AN149" i="5"/>
  <c r="AK149" i="5"/>
  <c r="DK255" i="5"/>
  <c r="DL255" i="5" s="1"/>
  <c r="AL148" i="5"/>
  <c r="AO148" i="5"/>
  <c r="DK145" i="5"/>
  <c r="CT58" i="5"/>
  <c r="FF58" i="5"/>
  <c r="DK59" i="5"/>
  <c r="EQ255" i="5"/>
  <c r="ER255" i="5" s="1"/>
  <c r="DO148" i="5"/>
  <c r="AP148" i="5"/>
  <c r="AQ148" i="5" s="1"/>
  <c r="FF144" i="5"/>
  <c r="CZ144" i="5"/>
  <c r="EL146" i="5"/>
  <c r="EM146" i="5"/>
  <c r="EQ59" i="5"/>
  <c r="EV59" i="5" s="1"/>
  <c r="DX59" i="5" s="1"/>
  <c r="CL59" i="5" s="1"/>
  <c r="DI146" i="5"/>
  <c r="DJ146" i="5"/>
  <c r="DI256" i="5"/>
  <c r="DJ256" i="5"/>
  <c r="DO258" i="5"/>
  <c r="AP258" i="5"/>
  <c r="AQ258" i="5" s="1"/>
  <c r="FE253" i="5"/>
  <c r="FG253" i="5" s="1"/>
  <c r="CS253" i="5"/>
  <c r="DM254" i="5"/>
  <c r="CK254" i="5"/>
  <c r="AL62" i="5"/>
  <c r="AO62" i="5"/>
  <c r="DH61" i="5"/>
  <c r="EG61" i="5"/>
  <c r="EJ61" i="5" s="1"/>
  <c r="EK61" i="5" s="1"/>
  <c r="EL60" i="5"/>
  <c r="EM60" i="5"/>
  <c r="EQ145" i="5"/>
  <c r="ER145" i="5" s="1"/>
  <c r="DH257" i="5"/>
  <c r="EG257" i="5"/>
  <c r="EJ257" i="5" s="1"/>
  <c r="EK257" i="5" s="1"/>
  <c r="AO258" i="5"/>
  <c r="AL258" i="5"/>
  <c r="CS56" i="5"/>
  <c r="FE56" i="5"/>
  <c r="DO62" i="5"/>
  <c r="AP62" i="5"/>
  <c r="AQ62" i="5" s="1"/>
  <c r="DJ60" i="5"/>
  <c r="DI60" i="5"/>
  <c r="EL256" i="5"/>
  <c r="EM256" i="5"/>
  <c r="DH147" i="5"/>
  <c r="EG147" i="5"/>
  <c r="EJ147" i="5" s="1"/>
  <c r="EK147" i="5" s="1"/>
  <c r="AN259" i="5"/>
  <c r="AK259" i="5"/>
  <c r="AJ64" i="5"/>
  <c r="AN63" i="5"/>
  <c r="AK63" i="5"/>
  <c r="CY143" i="5"/>
  <c r="FE143" i="5"/>
  <c r="FG143" i="5" s="1"/>
  <c r="X143" i="5"/>
  <c r="AJ150" i="5"/>
  <c r="X254" i="5"/>
  <c r="X253" i="5"/>
  <c r="AJ260" i="5"/>
  <c r="FB60" i="21" l="1"/>
  <c r="ED60" i="21" s="1"/>
  <c r="CR60" i="21" s="1"/>
  <c r="DR60" i="21"/>
  <c r="CQ60" i="21"/>
  <c r="DS60" i="21"/>
  <c r="CQ254" i="21"/>
  <c r="DS254" i="21"/>
  <c r="DP62" i="21"/>
  <c r="DO62" i="21"/>
  <c r="AR64" i="21"/>
  <c r="AU64" i="21"/>
  <c r="FL145" i="21"/>
  <c r="DF145" i="21"/>
  <c r="ER148" i="21"/>
  <c r="ES148" i="21"/>
  <c r="EW255" i="21"/>
  <c r="EX255" i="21" s="1"/>
  <c r="DP256" i="21"/>
  <c r="DO256" i="21"/>
  <c r="DP148" i="21"/>
  <c r="DO148" i="21"/>
  <c r="DN63" i="21"/>
  <c r="EM63" i="21"/>
  <c r="EP63" i="21" s="1"/>
  <c r="EQ63" i="21" s="1"/>
  <c r="DQ147" i="21"/>
  <c r="AD253" i="21"/>
  <c r="DE253" i="21"/>
  <c r="FK253" i="21"/>
  <c r="FM253" i="21" s="1"/>
  <c r="DQ255" i="21"/>
  <c r="DR255" i="21" s="1"/>
  <c r="AT151" i="21"/>
  <c r="AP152" i="21"/>
  <c r="AQ151" i="21"/>
  <c r="DU150" i="21"/>
  <c r="AV150" i="21"/>
  <c r="AW150" i="21" s="1"/>
  <c r="EW147" i="21"/>
  <c r="EX147" i="21" s="1"/>
  <c r="FB146" i="21"/>
  <c r="ED146" i="21" s="1"/>
  <c r="CR146" i="21" s="1"/>
  <c r="CY59" i="21"/>
  <c r="FK59" i="21"/>
  <c r="FM59" i="21" s="1"/>
  <c r="AD143" i="21"/>
  <c r="DE143" i="21"/>
  <c r="FK143" i="21"/>
  <c r="FM143" i="21" s="1"/>
  <c r="AU150" i="21"/>
  <c r="AR150" i="21"/>
  <c r="EW61" i="21"/>
  <c r="EX61" i="21" s="1"/>
  <c r="DN257" i="21"/>
  <c r="EM257" i="21"/>
  <c r="EP257" i="21" s="1"/>
  <c r="EQ257" i="21" s="1"/>
  <c r="CY58" i="21"/>
  <c r="FK58" i="21"/>
  <c r="DR145" i="21"/>
  <c r="AD144" i="21"/>
  <c r="FK144" i="21"/>
  <c r="FM144" i="21" s="1"/>
  <c r="DE144" i="21"/>
  <c r="AT259" i="21"/>
  <c r="AP260" i="21"/>
  <c r="AQ259" i="21"/>
  <c r="ES256" i="21"/>
  <c r="ER256" i="21"/>
  <c r="DN149" i="21"/>
  <c r="EM149" i="21"/>
  <c r="EP149" i="21" s="1"/>
  <c r="EQ149" i="21" s="1"/>
  <c r="FL60" i="21"/>
  <c r="CZ60" i="21"/>
  <c r="AU258" i="21"/>
  <c r="AR258" i="21"/>
  <c r="DU64" i="21"/>
  <c r="AV64" i="21"/>
  <c r="AW64" i="21" s="1"/>
  <c r="AP66" i="21"/>
  <c r="AT65" i="21"/>
  <c r="AQ65" i="21"/>
  <c r="DQ61" i="21"/>
  <c r="FM57" i="21"/>
  <c r="DU258" i="21"/>
  <c r="AV258" i="21"/>
  <c r="AW258" i="21" s="1"/>
  <c r="ES62" i="21"/>
  <c r="ER62" i="21"/>
  <c r="DZ146" i="20"/>
  <c r="CY146" i="20" s="1"/>
  <c r="DH59" i="20"/>
  <c r="DZ59" i="20"/>
  <c r="DG57" i="20"/>
  <c r="FS57" i="20"/>
  <c r="FU57" i="20" s="1"/>
  <c r="DM144" i="5"/>
  <c r="DM57" i="5"/>
  <c r="CK57" i="5"/>
  <c r="DN146" i="20"/>
  <c r="FT146" i="20"/>
  <c r="DW62" i="20"/>
  <c r="DX62" i="20"/>
  <c r="DY147" i="20"/>
  <c r="FS58" i="20"/>
  <c r="FU58" i="20" s="1"/>
  <c r="DG58" i="20"/>
  <c r="EA145" i="20"/>
  <c r="CY145" i="20"/>
  <c r="FE147" i="20"/>
  <c r="FF147" i="20" s="1"/>
  <c r="FF146" i="20"/>
  <c r="AZ150" i="20"/>
  <c r="BC150" i="20"/>
  <c r="AX152" i="20"/>
  <c r="BB151" i="20"/>
  <c r="AY151" i="20"/>
  <c r="BC64" i="20"/>
  <c r="AZ64" i="20"/>
  <c r="FU56" i="20"/>
  <c r="EZ148" i="20"/>
  <c r="FA148" i="20"/>
  <c r="DV63" i="20"/>
  <c r="EU63" i="20"/>
  <c r="EX63" i="20" s="1"/>
  <c r="EY63" i="20" s="1"/>
  <c r="EC150" i="20"/>
  <c r="BD150" i="20"/>
  <c r="BE150" i="20" s="1"/>
  <c r="EC64" i="20"/>
  <c r="BD64" i="20"/>
  <c r="BE64" i="20" s="1"/>
  <c r="FA62" i="20"/>
  <c r="EZ62" i="20"/>
  <c r="DW148" i="20"/>
  <c r="DX148" i="20"/>
  <c r="AX66" i="20"/>
  <c r="BB65" i="20"/>
  <c r="AY65" i="20"/>
  <c r="DV149" i="20"/>
  <c r="EU149" i="20"/>
  <c r="EX149" i="20" s="1"/>
  <c r="EY149" i="20" s="1"/>
  <c r="FE61" i="20"/>
  <c r="FF61" i="20" s="1"/>
  <c r="FJ60" i="20"/>
  <c r="EL60" i="20" s="1"/>
  <c r="CZ60" i="20" s="1"/>
  <c r="FS144" i="20"/>
  <c r="FU144" i="20" s="1"/>
  <c r="DM144" i="20"/>
  <c r="AL144" i="20"/>
  <c r="DY61" i="20"/>
  <c r="DL59" i="5"/>
  <c r="CT59" i="5"/>
  <c r="FF59" i="5"/>
  <c r="DM255" i="5"/>
  <c r="CK255" i="5"/>
  <c r="EM61" i="5"/>
  <c r="EL61" i="5"/>
  <c r="EQ256" i="5"/>
  <c r="ER256" i="5" s="1"/>
  <c r="DH62" i="5"/>
  <c r="EG62" i="5"/>
  <c r="EJ62" i="5" s="1"/>
  <c r="EK62" i="5" s="1"/>
  <c r="EL257" i="5"/>
  <c r="EM257" i="5"/>
  <c r="DI61" i="5"/>
  <c r="DJ61" i="5"/>
  <c r="ER59" i="5"/>
  <c r="FE142" i="5"/>
  <c r="FG142" i="5" s="1"/>
  <c r="CY142" i="5"/>
  <c r="X142" i="5"/>
  <c r="DH148" i="5"/>
  <c r="EG148" i="5"/>
  <c r="EJ148" i="5" s="1"/>
  <c r="EK148" i="5" s="1"/>
  <c r="AL63" i="5"/>
  <c r="AO63" i="5"/>
  <c r="DJ257" i="5"/>
  <c r="DI257" i="5"/>
  <c r="DH258" i="5"/>
  <c r="EG258" i="5"/>
  <c r="EJ258" i="5" s="1"/>
  <c r="EK258" i="5" s="1"/>
  <c r="DJ147" i="5"/>
  <c r="DI147" i="5"/>
  <c r="AN260" i="5"/>
  <c r="AK260" i="5"/>
  <c r="AN150" i="5"/>
  <c r="AK150" i="5"/>
  <c r="AO259" i="5"/>
  <c r="AL259" i="5"/>
  <c r="EV145" i="5"/>
  <c r="DK256" i="5"/>
  <c r="DL256" i="5" s="1"/>
  <c r="EQ146" i="5"/>
  <c r="EV146" i="5" s="1"/>
  <c r="DX146" i="5" s="1"/>
  <c r="CL146" i="5" s="1"/>
  <c r="FE144" i="5"/>
  <c r="FG144" i="5" s="1"/>
  <c r="CY144" i="5"/>
  <c r="DO63" i="5"/>
  <c r="AP63" i="5"/>
  <c r="AQ63" i="5" s="1"/>
  <c r="FG56" i="5"/>
  <c r="DO259" i="5"/>
  <c r="AP259" i="5"/>
  <c r="AQ259" i="5" s="1"/>
  <c r="CY254" i="5"/>
  <c r="FE254" i="5"/>
  <c r="FG254" i="5" s="1"/>
  <c r="AJ65" i="5"/>
  <c r="AN64" i="5"/>
  <c r="AK64" i="5"/>
  <c r="EL147" i="5"/>
  <c r="EM147" i="5"/>
  <c r="DK60" i="5"/>
  <c r="DK146" i="5"/>
  <c r="AL149" i="5"/>
  <c r="AO149" i="5"/>
  <c r="EQ60" i="5"/>
  <c r="EV60" i="5" s="1"/>
  <c r="DX60" i="5" s="1"/>
  <c r="CL60" i="5" s="1"/>
  <c r="CS17" i="5"/>
  <c r="CS14" i="5"/>
  <c r="CS15" i="5" s="1"/>
  <c r="CS16" i="5"/>
  <c r="DO149" i="5"/>
  <c r="AP149" i="5"/>
  <c r="AQ149" i="5" s="1"/>
  <c r="CS58" i="5"/>
  <c r="FE58" i="5"/>
  <c r="FG58" i="5" s="1"/>
  <c r="X144" i="5"/>
  <c r="AJ151" i="5"/>
  <c r="AJ261" i="5"/>
  <c r="EA146" i="20" l="1"/>
  <c r="DS255" i="21"/>
  <c r="CQ255" i="21"/>
  <c r="DQ256" i="21"/>
  <c r="DR256" i="21" s="1"/>
  <c r="AT66" i="21"/>
  <c r="AP67" i="21"/>
  <c r="AQ66" i="21"/>
  <c r="FB61" i="21"/>
  <c r="ED61" i="21" s="1"/>
  <c r="CR61" i="21" s="1"/>
  <c r="DS145" i="21"/>
  <c r="CQ145" i="21"/>
  <c r="AT152" i="21"/>
  <c r="AQ152" i="21"/>
  <c r="AU65" i="21"/>
  <c r="AR65" i="21"/>
  <c r="ER149" i="21"/>
  <c r="ES149" i="21"/>
  <c r="DP257" i="21"/>
  <c r="DO257" i="21"/>
  <c r="DP149" i="21"/>
  <c r="DO149" i="21"/>
  <c r="CY254" i="21"/>
  <c r="FK254" i="21"/>
  <c r="FM254" i="21" s="1"/>
  <c r="AD254" i="21"/>
  <c r="FM58" i="21"/>
  <c r="DN64" i="21"/>
  <c r="EM64" i="21"/>
  <c r="EP64" i="21" s="1"/>
  <c r="EQ64" i="21" s="1"/>
  <c r="DU151" i="21"/>
  <c r="AV151" i="21"/>
  <c r="AW151" i="21" s="1"/>
  <c r="EW256" i="21"/>
  <c r="EX256" i="21" s="1"/>
  <c r="EW62" i="21"/>
  <c r="FB62" i="21" s="1"/>
  <c r="ED62" i="21" s="1"/>
  <c r="ES63" i="21"/>
  <c r="ER63" i="21"/>
  <c r="FK60" i="21"/>
  <c r="FM60" i="21" s="1"/>
  <c r="CY60" i="21"/>
  <c r="AU259" i="21"/>
  <c r="AR259" i="21"/>
  <c r="DP63" i="21"/>
  <c r="DO63" i="21"/>
  <c r="DU65" i="21"/>
  <c r="AV65" i="21"/>
  <c r="AW65" i="21" s="1"/>
  <c r="DN150" i="21"/>
  <c r="EM150" i="21"/>
  <c r="EP150" i="21" s="1"/>
  <c r="EQ150" i="21" s="1"/>
  <c r="ES257" i="21"/>
  <c r="ER257" i="21"/>
  <c r="EW148" i="21"/>
  <c r="EX148" i="21" s="1"/>
  <c r="DQ62" i="21"/>
  <c r="DR62" i="21" s="1"/>
  <c r="DN258" i="21"/>
  <c r="EM258" i="21"/>
  <c r="EP258" i="21" s="1"/>
  <c r="EQ258" i="21" s="1"/>
  <c r="AT260" i="21"/>
  <c r="AP261" i="21"/>
  <c r="AQ260" i="21"/>
  <c r="DR146" i="21"/>
  <c r="FB147" i="21"/>
  <c r="ED147" i="21" s="1"/>
  <c r="CR147" i="21" s="1"/>
  <c r="AU151" i="21"/>
  <c r="AR151" i="21"/>
  <c r="DU259" i="21"/>
  <c r="AV259" i="21"/>
  <c r="AW259" i="21" s="1"/>
  <c r="DQ148" i="21"/>
  <c r="FL146" i="21"/>
  <c r="DF146" i="21"/>
  <c r="FJ61" i="20"/>
  <c r="EL61" i="20" s="1"/>
  <c r="CZ61" i="20" s="1"/>
  <c r="FT61" i="20" s="1"/>
  <c r="EA59" i="20"/>
  <c r="CY59" i="20"/>
  <c r="FJ147" i="20"/>
  <c r="EL147" i="20" s="1"/>
  <c r="CZ147" i="20" s="1"/>
  <c r="FT147" i="20" s="1"/>
  <c r="CS57" i="5"/>
  <c r="FE57" i="5"/>
  <c r="FG57" i="5" s="1"/>
  <c r="ER60" i="5"/>
  <c r="DL146" i="5"/>
  <c r="CK146" i="5" s="1"/>
  <c r="DL60" i="5"/>
  <c r="ER146" i="5"/>
  <c r="DM146" i="5" s="1"/>
  <c r="EZ149" i="20"/>
  <c r="FA149" i="20"/>
  <c r="BB66" i="20"/>
  <c r="AX67" i="20"/>
  <c r="AY66" i="20"/>
  <c r="FE148" i="20"/>
  <c r="FF148" i="20" s="1"/>
  <c r="BB152" i="20"/>
  <c r="AX153" i="20"/>
  <c r="AY152" i="20"/>
  <c r="DY62" i="20"/>
  <c r="DX149" i="20"/>
  <c r="DW149" i="20"/>
  <c r="FT60" i="20"/>
  <c r="DH60" i="20"/>
  <c r="DY148" i="20"/>
  <c r="DV64" i="20"/>
  <c r="EU64" i="20"/>
  <c r="EX64" i="20" s="1"/>
  <c r="EY64" i="20" s="1"/>
  <c r="DV150" i="20"/>
  <c r="EU150" i="20"/>
  <c r="EX150" i="20" s="1"/>
  <c r="EY150" i="20" s="1"/>
  <c r="FS145" i="20"/>
  <c r="FU145" i="20" s="1"/>
  <c r="DM145" i="20"/>
  <c r="AL145" i="20"/>
  <c r="DM146" i="20"/>
  <c r="AL146" i="20"/>
  <c r="FS146" i="20"/>
  <c r="FU146" i="20" s="1"/>
  <c r="FA63" i="20"/>
  <c r="EZ63" i="20"/>
  <c r="BC65" i="20"/>
  <c r="AZ65" i="20"/>
  <c r="DX63" i="20"/>
  <c r="DW63" i="20"/>
  <c r="BC151" i="20"/>
  <c r="AZ151" i="20"/>
  <c r="EC65" i="20"/>
  <c r="BD65" i="20"/>
  <c r="BE65" i="20" s="1"/>
  <c r="FE62" i="20"/>
  <c r="FJ62" i="20" s="1"/>
  <c r="EL62" i="20" s="1"/>
  <c r="CZ62" i="20" s="1"/>
  <c r="EC151" i="20"/>
  <c r="BD151" i="20"/>
  <c r="BE151" i="20" s="1"/>
  <c r="DZ60" i="20"/>
  <c r="CK60" i="5"/>
  <c r="DM256" i="5"/>
  <c r="CK256" i="5"/>
  <c r="EM258" i="5"/>
  <c r="EL258" i="5"/>
  <c r="EQ61" i="5"/>
  <c r="ER61" i="5" s="1"/>
  <c r="DJ258" i="5"/>
  <c r="DI258" i="5"/>
  <c r="DI148" i="5"/>
  <c r="DJ148" i="5"/>
  <c r="CY16" i="5"/>
  <c r="CY14" i="5"/>
  <c r="CY15" i="5" s="1"/>
  <c r="CY17" i="5"/>
  <c r="EL148" i="5"/>
  <c r="EM148" i="5"/>
  <c r="DK61" i="5"/>
  <c r="AO150" i="5"/>
  <c r="AL150" i="5"/>
  <c r="DK257" i="5"/>
  <c r="DL257" i="5" s="1"/>
  <c r="EQ257" i="5"/>
  <c r="ER257" i="5" s="1"/>
  <c r="DH259" i="5"/>
  <c r="EG259" i="5"/>
  <c r="EJ259" i="5" s="1"/>
  <c r="EK259" i="5" s="1"/>
  <c r="DO150" i="5"/>
  <c r="AP150" i="5"/>
  <c r="AQ150" i="5" s="1"/>
  <c r="FE255" i="5"/>
  <c r="FG255" i="5" s="1"/>
  <c r="CY255" i="5"/>
  <c r="FF60" i="5"/>
  <c r="CT60" i="5"/>
  <c r="AL64" i="5"/>
  <c r="AO64" i="5"/>
  <c r="CZ146" i="5"/>
  <c r="FF146" i="5"/>
  <c r="AL260" i="5"/>
  <c r="AO260" i="5"/>
  <c r="EL62" i="5"/>
  <c r="EM62" i="5"/>
  <c r="DK147" i="5"/>
  <c r="AN261" i="5"/>
  <c r="AK261" i="5"/>
  <c r="EQ147" i="5"/>
  <c r="ER147" i="5" s="1"/>
  <c r="DO64" i="5"/>
  <c r="AP64" i="5"/>
  <c r="AQ64" i="5" s="1"/>
  <c r="DO260" i="5"/>
  <c r="AP260" i="5"/>
  <c r="AQ260" i="5" s="1"/>
  <c r="DI62" i="5"/>
  <c r="DJ62" i="5"/>
  <c r="AN151" i="5"/>
  <c r="AK151" i="5"/>
  <c r="AJ66" i="5"/>
  <c r="AN65" i="5"/>
  <c r="AK65" i="5"/>
  <c r="DH149" i="5"/>
  <c r="EG149" i="5"/>
  <c r="EJ149" i="5" s="1"/>
  <c r="EK149" i="5" s="1"/>
  <c r="DH63" i="5"/>
  <c r="EG63" i="5"/>
  <c r="EJ63" i="5" s="1"/>
  <c r="EK63" i="5" s="1"/>
  <c r="DX145" i="5"/>
  <c r="CL145" i="5" s="1"/>
  <c r="DL145" i="5"/>
  <c r="CK59" i="5"/>
  <c r="DM59" i="5"/>
  <c r="AJ152" i="5"/>
  <c r="AJ262" i="5"/>
  <c r="X255" i="5"/>
  <c r="DS256" i="21" l="1"/>
  <c r="CQ256" i="21"/>
  <c r="EX62" i="21"/>
  <c r="DS62" i="21" s="1"/>
  <c r="EW149" i="21"/>
  <c r="FB149" i="21" s="1"/>
  <c r="ED149" i="21" s="1"/>
  <c r="CR149" i="21" s="1"/>
  <c r="DN65" i="21"/>
  <c r="EM65" i="21"/>
  <c r="EP65" i="21" s="1"/>
  <c r="EQ65" i="21" s="1"/>
  <c r="AU66" i="21"/>
  <c r="AR66" i="21"/>
  <c r="FB148" i="21"/>
  <c r="ER150" i="21"/>
  <c r="ES150" i="21"/>
  <c r="CZ61" i="21"/>
  <c r="FL61" i="21"/>
  <c r="DQ63" i="21"/>
  <c r="DR63" i="21" s="1"/>
  <c r="AP68" i="21"/>
  <c r="AT67" i="21"/>
  <c r="AQ67" i="21"/>
  <c r="ER258" i="21"/>
  <c r="ES258" i="21"/>
  <c r="DP258" i="21"/>
  <c r="DO258" i="21"/>
  <c r="EW257" i="21"/>
  <c r="EX257" i="21" s="1"/>
  <c r="AR152" i="21"/>
  <c r="AU152" i="21"/>
  <c r="FK145" i="21"/>
  <c r="FM145" i="21" s="1"/>
  <c r="DE145" i="21"/>
  <c r="AD145" i="21"/>
  <c r="DP64" i="21"/>
  <c r="DO64" i="21"/>
  <c r="DR147" i="21"/>
  <c r="DQ257" i="21"/>
  <c r="DR257" i="21" s="1"/>
  <c r="DU152" i="21"/>
  <c r="AV152" i="21"/>
  <c r="AW152" i="21" s="1"/>
  <c r="DO150" i="21"/>
  <c r="DP150" i="21"/>
  <c r="DN259" i="21"/>
  <c r="EM259" i="21"/>
  <c r="EP259" i="21" s="1"/>
  <c r="EQ259" i="21" s="1"/>
  <c r="DR61" i="21"/>
  <c r="AU260" i="21"/>
  <c r="AR260" i="21"/>
  <c r="AD255" i="21"/>
  <c r="FK255" i="21"/>
  <c r="FM255" i="21" s="1"/>
  <c r="CY255" i="21"/>
  <c r="DN151" i="21"/>
  <c r="EM151" i="21"/>
  <c r="EP151" i="21" s="1"/>
  <c r="EQ151" i="21" s="1"/>
  <c r="AT261" i="21"/>
  <c r="AP262" i="21"/>
  <c r="AQ261" i="21"/>
  <c r="ER64" i="21"/>
  <c r="ES64" i="21"/>
  <c r="DU66" i="21"/>
  <c r="AV66" i="21"/>
  <c r="AW66" i="21" s="1"/>
  <c r="DF147" i="21"/>
  <c r="FL147" i="21"/>
  <c r="CQ146" i="21"/>
  <c r="DS146" i="21"/>
  <c r="DU260" i="21"/>
  <c r="AV260" i="21"/>
  <c r="AW260" i="21" s="1"/>
  <c r="EW63" i="21"/>
  <c r="FB63" i="21" s="1"/>
  <c r="ED63" i="21" s="1"/>
  <c r="DQ149" i="21"/>
  <c r="DR149" i="21" s="1"/>
  <c r="DH61" i="20"/>
  <c r="DZ61" i="20"/>
  <c r="EA61" i="20" s="1"/>
  <c r="DZ147" i="20"/>
  <c r="EA147" i="20" s="1"/>
  <c r="DN147" i="20"/>
  <c r="FS59" i="20"/>
  <c r="FU59" i="20" s="1"/>
  <c r="DG59" i="20"/>
  <c r="DZ62" i="20"/>
  <c r="FF62" i="20"/>
  <c r="DM60" i="5"/>
  <c r="FE149" i="20"/>
  <c r="FJ149" i="20" s="1"/>
  <c r="EL149" i="20" s="1"/>
  <c r="CZ149" i="20" s="1"/>
  <c r="EA60" i="20"/>
  <c r="CY60" i="20"/>
  <c r="FE63" i="20"/>
  <c r="FJ63" i="20" s="1"/>
  <c r="EL63" i="20" s="1"/>
  <c r="DW64" i="20"/>
  <c r="DX64" i="20"/>
  <c r="EZ64" i="20"/>
  <c r="FA64" i="20"/>
  <c r="DV65" i="20"/>
  <c r="EU65" i="20"/>
  <c r="EX65" i="20" s="1"/>
  <c r="EY65" i="20" s="1"/>
  <c r="DY149" i="20"/>
  <c r="FJ148" i="20"/>
  <c r="EL148" i="20" s="1"/>
  <c r="CZ148" i="20" s="1"/>
  <c r="DV151" i="20"/>
  <c r="EU151" i="20"/>
  <c r="EX151" i="20" s="1"/>
  <c r="EY151" i="20" s="1"/>
  <c r="FA150" i="20"/>
  <c r="EZ150" i="20"/>
  <c r="BC66" i="20"/>
  <c r="AZ66" i="20"/>
  <c r="DY63" i="20"/>
  <c r="DX150" i="20"/>
  <c r="DW150" i="20"/>
  <c r="AZ152" i="20"/>
  <c r="BC152" i="20"/>
  <c r="BB67" i="20"/>
  <c r="AX68" i="20"/>
  <c r="AY67" i="20"/>
  <c r="EC66" i="20"/>
  <c r="BD66" i="20"/>
  <c r="BE66" i="20" s="1"/>
  <c r="BB153" i="20"/>
  <c r="AY153" i="20"/>
  <c r="DH62" i="20"/>
  <c r="FT62" i="20"/>
  <c r="EC152" i="20"/>
  <c r="BD152" i="20"/>
  <c r="BE152" i="20" s="1"/>
  <c r="DH150" i="5"/>
  <c r="EG150" i="5"/>
  <c r="EJ150" i="5" s="1"/>
  <c r="EK150" i="5" s="1"/>
  <c r="EQ148" i="5"/>
  <c r="ER148" i="5" s="1"/>
  <c r="DO151" i="5"/>
  <c r="AP151" i="5"/>
  <c r="AQ151" i="5" s="1"/>
  <c r="EL149" i="5"/>
  <c r="EM149" i="5"/>
  <c r="EV147" i="5"/>
  <c r="DX147" i="5" s="1"/>
  <c r="CL147" i="5" s="1"/>
  <c r="EQ62" i="5"/>
  <c r="EV62" i="5" s="1"/>
  <c r="EL259" i="5"/>
  <c r="EM259" i="5"/>
  <c r="FE256" i="5"/>
  <c r="FG256" i="5" s="1"/>
  <c r="CY256" i="5"/>
  <c r="AN152" i="5"/>
  <c r="AK152" i="5"/>
  <c r="AL151" i="5"/>
  <c r="AO151" i="5"/>
  <c r="DH64" i="5"/>
  <c r="EG64" i="5"/>
  <c r="EJ64" i="5" s="1"/>
  <c r="EK64" i="5" s="1"/>
  <c r="DM257" i="5"/>
  <c r="CK257" i="5"/>
  <c r="CS59" i="5"/>
  <c r="FE59" i="5"/>
  <c r="DI149" i="5"/>
  <c r="DJ149" i="5"/>
  <c r="DK62" i="5"/>
  <c r="DI259" i="5"/>
  <c r="DJ259" i="5"/>
  <c r="AL65" i="5"/>
  <c r="AO65" i="5"/>
  <c r="AL261" i="5"/>
  <c r="AO261" i="5"/>
  <c r="EV61" i="5"/>
  <c r="DX61" i="5" s="1"/>
  <c r="CL61" i="5" s="1"/>
  <c r="FE60" i="5"/>
  <c r="FG60" i="5" s="1"/>
  <c r="CS60" i="5"/>
  <c r="CK145" i="5"/>
  <c r="DM145" i="5"/>
  <c r="DO65" i="5"/>
  <c r="AP65" i="5"/>
  <c r="AQ65" i="5" s="1"/>
  <c r="DH260" i="5"/>
  <c r="EG260" i="5"/>
  <c r="EJ260" i="5" s="1"/>
  <c r="EK260" i="5" s="1"/>
  <c r="DO261" i="5"/>
  <c r="AP261" i="5"/>
  <c r="AQ261" i="5" s="1"/>
  <c r="DI63" i="5"/>
  <c r="DJ63" i="5"/>
  <c r="CZ145" i="5"/>
  <c r="FF145" i="5"/>
  <c r="AJ67" i="5"/>
  <c r="AN66" i="5"/>
  <c r="AK66" i="5"/>
  <c r="DK148" i="5"/>
  <c r="EQ258" i="5"/>
  <c r="ER258" i="5" s="1"/>
  <c r="CY146" i="5"/>
  <c r="FE146" i="5"/>
  <c r="FG146" i="5" s="1"/>
  <c r="AN262" i="5"/>
  <c r="AK262" i="5"/>
  <c r="EL63" i="5"/>
  <c r="EM63" i="5"/>
  <c r="DK258" i="5"/>
  <c r="DL258" i="5" s="1"/>
  <c r="AJ153" i="5"/>
  <c r="X146" i="5"/>
  <c r="X256" i="5"/>
  <c r="X257" i="5"/>
  <c r="AJ263" i="5"/>
  <c r="CY61" i="20" l="1"/>
  <c r="CQ149" i="21"/>
  <c r="DS257" i="21"/>
  <c r="CQ257" i="21"/>
  <c r="FL149" i="21"/>
  <c r="DF149" i="21"/>
  <c r="DN260" i="21"/>
  <c r="EM260" i="21"/>
  <c r="EP260" i="21" s="1"/>
  <c r="EQ260" i="21" s="1"/>
  <c r="CQ61" i="21"/>
  <c r="DS61" i="21"/>
  <c r="ED148" i="21"/>
  <c r="CR148" i="21" s="1"/>
  <c r="DR148" i="21"/>
  <c r="AR67" i="21"/>
  <c r="AU67" i="21"/>
  <c r="DS147" i="21"/>
  <c r="CQ147" i="21"/>
  <c r="DQ150" i="21"/>
  <c r="ES65" i="21"/>
  <c r="ER65" i="21"/>
  <c r="DN152" i="21"/>
  <c r="EM152" i="21"/>
  <c r="EP152" i="21" s="1"/>
  <c r="EQ152" i="21" s="1"/>
  <c r="DP65" i="21"/>
  <c r="DO65" i="21"/>
  <c r="EW258" i="21"/>
  <c r="EX258" i="21" s="1"/>
  <c r="AP69" i="21"/>
  <c r="AT68" i="21"/>
  <c r="AQ68" i="21"/>
  <c r="EW64" i="21"/>
  <c r="EX64" i="21" s="1"/>
  <c r="DE146" i="21"/>
  <c r="AD146" i="21"/>
  <c r="FK146" i="21"/>
  <c r="FM146" i="21" s="1"/>
  <c r="AR261" i="21"/>
  <c r="AU261" i="21"/>
  <c r="EX149" i="21"/>
  <c r="DS149" i="21" s="1"/>
  <c r="ES259" i="21"/>
  <c r="ER259" i="21"/>
  <c r="AP263" i="21"/>
  <c r="AT262" i="21"/>
  <c r="AQ262" i="21"/>
  <c r="DP259" i="21"/>
  <c r="DO259" i="21"/>
  <c r="DU261" i="21"/>
  <c r="AV261" i="21"/>
  <c r="AW261" i="21" s="1"/>
  <c r="ES151" i="21"/>
  <c r="ER151" i="21"/>
  <c r="FK256" i="21"/>
  <c r="FM256" i="21" s="1"/>
  <c r="DE256" i="21"/>
  <c r="AD256" i="21"/>
  <c r="DP151" i="21"/>
  <c r="DO151" i="21"/>
  <c r="DU67" i="21"/>
  <c r="AV67" i="21"/>
  <c r="AW67" i="21" s="1"/>
  <c r="EX63" i="21"/>
  <c r="DS63" i="21" s="1"/>
  <c r="EW150" i="21"/>
  <c r="EX150" i="21" s="1"/>
  <c r="DQ64" i="21"/>
  <c r="DN66" i="21"/>
  <c r="EM66" i="21"/>
  <c r="EP66" i="21" s="1"/>
  <c r="EQ66" i="21" s="1"/>
  <c r="DQ258" i="21"/>
  <c r="DR258" i="21" s="1"/>
  <c r="EA62" i="20"/>
  <c r="CY62" i="20"/>
  <c r="DG62" i="20" s="1"/>
  <c r="CY147" i="20"/>
  <c r="FF63" i="20"/>
  <c r="FF149" i="20"/>
  <c r="FT149" i="20"/>
  <c r="DN149" i="20"/>
  <c r="DZ149" i="20"/>
  <c r="FT148" i="20"/>
  <c r="DN148" i="20"/>
  <c r="FE64" i="20"/>
  <c r="FJ64" i="20" s="1"/>
  <c r="DV66" i="20"/>
  <c r="EU66" i="20"/>
  <c r="EX66" i="20" s="1"/>
  <c r="EY66" i="20" s="1"/>
  <c r="DG60" i="20"/>
  <c r="FS60" i="20"/>
  <c r="FE150" i="20"/>
  <c r="FF150" i="20" s="1"/>
  <c r="DX151" i="20"/>
  <c r="DW151" i="20"/>
  <c r="DY150" i="20"/>
  <c r="EC67" i="20"/>
  <c r="BD67" i="20"/>
  <c r="BE67" i="20" s="1"/>
  <c r="DV152" i="20"/>
  <c r="EU152" i="20"/>
  <c r="EX152" i="20" s="1"/>
  <c r="EY152" i="20" s="1"/>
  <c r="EC153" i="20"/>
  <c r="BD153" i="20"/>
  <c r="BE153" i="20" s="1"/>
  <c r="BC67" i="20"/>
  <c r="AZ67" i="20"/>
  <c r="FA65" i="20"/>
  <c r="EZ65" i="20"/>
  <c r="DY64" i="20"/>
  <c r="DZ63" i="20"/>
  <c r="BC153" i="20"/>
  <c r="AZ153" i="20"/>
  <c r="AX69" i="20"/>
  <c r="BB68" i="20"/>
  <c r="AY68" i="20"/>
  <c r="EZ151" i="20"/>
  <c r="FA151" i="20"/>
  <c r="DX65" i="20"/>
  <c r="DW65" i="20"/>
  <c r="DZ148" i="20"/>
  <c r="DX62" i="5"/>
  <c r="CL62" i="5" s="1"/>
  <c r="DL62" i="5"/>
  <c r="EQ259" i="5"/>
  <c r="ER259" i="5" s="1"/>
  <c r="DK149" i="5"/>
  <c r="AJ68" i="5"/>
  <c r="AN67" i="5"/>
  <c r="AK67" i="5"/>
  <c r="DJ64" i="5"/>
  <c r="DI64" i="5"/>
  <c r="DH151" i="5"/>
  <c r="EG151" i="5"/>
  <c r="EJ151" i="5" s="1"/>
  <c r="EK151" i="5" s="1"/>
  <c r="AN263" i="5"/>
  <c r="AK263" i="5"/>
  <c r="DH65" i="5"/>
  <c r="EG65" i="5"/>
  <c r="EJ65" i="5" s="1"/>
  <c r="EK65" i="5" s="1"/>
  <c r="ER62" i="5"/>
  <c r="EV148" i="5"/>
  <c r="DX148" i="5" s="1"/>
  <c r="CL148" i="5" s="1"/>
  <c r="DO262" i="5"/>
  <c r="AP262" i="5"/>
  <c r="AQ262" i="5" s="1"/>
  <c r="EL260" i="5"/>
  <c r="EM260" i="5"/>
  <c r="DI260" i="5"/>
  <c r="DJ260" i="5"/>
  <c r="FG59" i="5"/>
  <c r="AL152" i="5"/>
  <c r="AO152" i="5"/>
  <c r="CT61" i="5"/>
  <c r="FF61" i="5"/>
  <c r="DO152" i="5"/>
  <c r="AP152" i="5"/>
  <c r="AQ152" i="5" s="1"/>
  <c r="CZ147" i="5"/>
  <c r="FF147" i="5"/>
  <c r="EM150" i="5"/>
  <c r="EL150" i="5"/>
  <c r="DO66" i="5"/>
  <c r="AP66" i="5"/>
  <c r="AQ66" i="5" s="1"/>
  <c r="DM258" i="5"/>
  <c r="CK258" i="5"/>
  <c r="CY145" i="5"/>
  <c r="FE145" i="5"/>
  <c r="FG145" i="5" s="1"/>
  <c r="X145" i="5"/>
  <c r="EQ63" i="5"/>
  <c r="ER63" i="5" s="1"/>
  <c r="DK259" i="5"/>
  <c r="DL259" i="5" s="1"/>
  <c r="CY257" i="5"/>
  <c r="FE257" i="5"/>
  <c r="FG257" i="5" s="1"/>
  <c r="DI150" i="5"/>
  <c r="DJ150" i="5"/>
  <c r="DK63" i="5"/>
  <c r="AN153" i="5"/>
  <c r="AK153" i="5"/>
  <c r="AO262" i="5"/>
  <c r="AL262" i="5"/>
  <c r="AO66" i="5"/>
  <c r="AL66" i="5"/>
  <c r="DH261" i="5"/>
  <c r="EG261" i="5"/>
  <c r="EJ261" i="5" s="1"/>
  <c r="EK261" i="5" s="1"/>
  <c r="EQ149" i="5"/>
  <c r="ER149" i="5" s="1"/>
  <c r="DL147" i="5"/>
  <c r="EL64" i="5"/>
  <c r="EM64" i="5"/>
  <c r="DL61" i="5"/>
  <c r="AJ264" i="5"/>
  <c r="FB64" i="21" l="1"/>
  <c r="ED64" i="21" s="1"/>
  <c r="CR64" i="21" s="1"/>
  <c r="EA63" i="20"/>
  <c r="FS62" i="20"/>
  <c r="FU62" i="20" s="1"/>
  <c r="FS61" i="20"/>
  <c r="FU61" i="20" s="1"/>
  <c r="DG61" i="20"/>
  <c r="DS258" i="21"/>
  <c r="CQ258" i="21"/>
  <c r="AU262" i="21"/>
  <c r="AR262" i="21"/>
  <c r="ER66" i="21"/>
  <c r="ES66" i="21"/>
  <c r="DU262" i="21"/>
  <c r="AV262" i="21"/>
  <c r="AW262" i="21" s="1"/>
  <c r="DE147" i="21"/>
  <c r="AD147" i="21"/>
  <c r="FK147" i="21"/>
  <c r="FM147" i="21" s="1"/>
  <c r="ES260" i="21"/>
  <c r="ER260" i="21"/>
  <c r="DF148" i="21"/>
  <c r="FL148" i="21"/>
  <c r="FK61" i="21"/>
  <c r="CY61" i="21"/>
  <c r="DN67" i="21"/>
  <c r="EM67" i="21"/>
  <c r="EP67" i="21" s="1"/>
  <c r="EQ67" i="21" s="1"/>
  <c r="DP260" i="21"/>
  <c r="DO260" i="21"/>
  <c r="FB150" i="21"/>
  <c r="ED150" i="21" s="1"/>
  <c r="CR150" i="21" s="1"/>
  <c r="AP70" i="21"/>
  <c r="AT69" i="21"/>
  <c r="AQ69" i="21"/>
  <c r="AR68" i="21"/>
  <c r="AU68" i="21"/>
  <c r="EW151" i="21"/>
  <c r="FB151" i="21" s="1"/>
  <c r="ED151" i="21" s="1"/>
  <c r="CR151" i="21" s="1"/>
  <c r="EW65" i="21"/>
  <c r="EX65" i="21" s="1"/>
  <c r="EW259" i="21"/>
  <c r="EX259" i="21" s="1"/>
  <c r="DQ65" i="21"/>
  <c r="AD257" i="21"/>
  <c r="FK257" i="21"/>
  <c r="FM257" i="21" s="1"/>
  <c r="DE257" i="21"/>
  <c r="AP264" i="21"/>
  <c r="AT263" i="21"/>
  <c r="AQ263" i="21"/>
  <c r="DQ151" i="21"/>
  <c r="DR151" i="21" s="1"/>
  <c r="ES152" i="21"/>
  <c r="ER152" i="21"/>
  <c r="FK149" i="21"/>
  <c r="FM149" i="21" s="1"/>
  <c r="DE149" i="21"/>
  <c r="AD149" i="21"/>
  <c r="DP66" i="21"/>
  <c r="DO66" i="21"/>
  <c r="DS148" i="21"/>
  <c r="CQ148" i="21"/>
  <c r="FL64" i="21"/>
  <c r="CZ64" i="21"/>
  <c r="DU68" i="21"/>
  <c r="AV68" i="21"/>
  <c r="AW68" i="21" s="1"/>
  <c r="DN261" i="21"/>
  <c r="EM261" i="21"/>
  <c r="EP261" i="21" s="1"/>
  <c r="EQ261" i="21" s="1"/>
  <c r="DQ259" i="21"/>
  <c r="DR259" i="21" s="1"/>
  <c r="DO152" i="21"/>
  <c r="DP152" i="21"/>
  <c r="FF64" i="20"/>
  <c r="FS147" i="20"/>
  <c r="FU147" i="20" s="1"/>
  <c r="DM147" i="20"/>
  <c r="AL147" i="20"/>
  <c r="EV149" i="5"/>
  <c r="DX149" i="5" s="1"/>
  <c r="CL149" i="5" s="1"/>
  <c r="FF149" i="5" s="1"/>
  <c r="EL64" i="20"/>
  <c r="DZ64" i="20"/>
  <c r="EA64" i="20" s="1"/>
  <c r="EA148" i="20"/>
  <c r="CY148" i="20"/>
  <c r="FE65" i="20"/>
  <c r="FJ65" i="20" s="1"/>
  <c r="DW152" i="20"/>
  <c r="DX152" i="20"/>
  <c r="FJ150" i="20"/>
  <c r="FA66" i="20"/>
  <c r="EZ66" i="20"/>
  <c r="FE151" i="20"/>
  <c r="FF151" i="20" s="1"/>
  <c r="DV67" i="20"/>
  <c r="EU67" i="20"/>
  <c r="EX67" i="20" s="1"/>
  <c r="EY67" i="20" s="1"/>
  <c r="DX66" i="20"/>
  <c r="DW66" i="20"/>
  <c r="EA149" i="20"/>
  <c r="CY149" i="20"/>
  <c r="DY65" i="20"/>
  <c r="FA152" i="20"/>
  <c r="EZ152" i="20"/>
  <c r="FU60" i="20"/>
  <c r="AZ68" i="20"/>
  <c r="BC68" i="20"/>
  <c r="EC68" i="20"/>
  <c r="BD68" i="20"/>
  <c r="BE68" i="20" s="1"/>
  <c r="DV153" i="20"/>
  <c r="EU153" i="20"/>
  <c r="EX153" i="20" s="1"/>
  <c r="EY153" i="20" s="1"/>
  <c r="AX70" i="20"/>
  <c r="BB69" i="20"/>
  <c r="AY69" i="20"/>
  <c r="DY151" i="20"/>
  <c r="DM259" i="5"/>
  <c r="CK259" i="5"/>
  <c r="X259" i="5" s="1"/>
  <c r="AO263" i="5"/>
  <c r="AL263" i="5"/>
  <c r="AJ69" i="5"/>
  <c r="AN68" i="5"/>
  <c r="AK68" i="5"/>
  <c r="DO153" i="5"/>
  <c r="AP153" i="5"/>
  <c r="AQ153" i="5" s="1"/>
  <c r="DH152" i="5"/>
  <c r="EG152" i="5"/>
  <c r="EJ152" i="5" s="1"/>
  <c r="EK152" i="5" s="1"/>
  <c r="EQ260" i="5"/>
  <c r="ER260" i="5" s="1"/>
  <c r="DO263" i="5"/>
  <c r="AP263" i="5"/>
  <c r="AQ263" i="5" s="1"/>
  <c r="EL151" i="5"/>
  <c r="EM151" i="5"/>
  <c r="AL153" i="5"/>
  <c r="AO153" i="5"/>
  <c r="EL261" i="5"/>
  <c r="EM261" i="5"/>
  <c r="CK61" i="5"/>
  <c r="DM61" i="5"/>
  <c r="DI261" i="5"/>
  <c r="DJ261" i="5"/>
  <c r="EV63" i="5"/>
  <c r="DX63" i="5" s="1"/>
  <c r="DH66" i="5"/>
  <c r="EG66" i="5"/>
  <c r="EJ66" i="5" s="1"/>
  <c r="EK66" i="5" s="1"/>
  <c r="DH262" i="5"/>
  <c r="EG262" i="5"/>
  <c r="EJ262" i="5" s="1"/>
  <c r="EK262" i="5" s="1"/>
  <c r="DI151" i="5"/>
  <c r="DJ151" i="5"/>
  <c r="CZ148" i="5"/>
  <c r="FF148" i="5"/>
  <c r="DK64" i="5"/>
  <c r="CS258" i="5"/>
  <c r="FE258" i="5"/>
  <c r="FG258" i="5" s="1"/>
  <c r="EQ150" i="5"/>
  <c r="ER150" i="5" s="1"/>
  <c r="X258" i="5"/>
  <c r="EQ64" i="5"/>
  <c r="ER64" i="5" s="1"/>
  <c r="DK150" i="5"/>
  <c r="CK62" i="5"/>
  <c r="DM62" i="5"/>
  <c r="CK147" i="5"/>
  <c r="DM147" i="5"/>
  <c r="EL65" i="5"/>
  <c r="EM65" i="5"/>
  <c r="AO67" i="5"/>
  <c r="AL67" i="5"/>
  <c r="CT62" i="5"/>
  <c r="FF62" i="5"/>
  <c r="AN264" i="5"/>
  <c r="AK264" i="5"/>
  <c r="DK260" i="5"/>
  <c r="DL260" i="5" s="1"/>
  <c r="DJ65" i="5"/>
  <c r="DI65" i="5"/>
  <c r="DO67" i="5"/>
  <c r="AP67" i="5"/>
  <c r="AQ67" i="5" s="1"/>
  <c r="DL148" i="5"/>
  <c r="AJ265" i="5"/>
  <c r="DR150" i="21" l="1"/>
  <c r="FB65" i="21"/>
  <c r="ED65" i="21" s="1"/>
  <c r="CR65" i="21" s="1"/>
  <c r="DR64" i="21"/>
  <c r="CQ259" i="21"/>
  <c r="DS259" i="21"/>
  <c r="CQ151" i="21"/>
  <c r="DF151" i="21"/>
  <c r="FL151" i="21"/>
  <c r="FM61" i="21"/>
  <c r="DN68" i="21"/>
  <c r="EM68" i="21"/>
  <c r="EP68" i="21" s="1"/>
  <c r="EQ68" i="21" s="1"/>
  <c r="ER67" i="21"/>
  <c r="ES67" i="21"/>
  <c r="DQ260" i="21"/>
  <c r="DR260" i="21" s="1"/>
  <c r="FK148" i="21"/>
  <c r="FM148" i="21" s="1"/>
  <c r="DE148" i="21"/>
  <c r="AD148" i="21"/>
  <c r="AU263" i="21"/>
  <c r="AR263" i="21"/>
  <c r="AT264" i="21"/>
  <c r="AP265" i="21"/>
  <c r="AQ264" i="21"/>
  <c r="EW260" i="21"/>
  <c r="EX260" i="21" s="1"/>
  <c r="EX151" i="21"/>
  <c r="DS151" i="21" s="1"/>
  <c r="DN262" i="21"/>
  <c r="EM262" i="21"/>
  <c r="EP262" i="21" s="1"/>
  <c r="EQ262" i="21" s="1"/>
  <c r="DO261" i="21"/>
  <c r="DP261" i="21"/>
  <c r="DQ66" i="21"/>
  <c r="EW66" i="21"/>
  <c r="FB66" i="21" s="1"/>
  <c r="ED66" i="21" s="1"/>
  <c r="CR66" i="21" s="1"/>
  <c r="DP67" i="21"/>
  <c r="DO67" i="21"/>
  <c r="CZ65" i="21"/>
  <c r="FL65" i="21"/>
  <c r="AU69" i="21"/>
  <c r="AR69" i="21"/>
  <c r="DU69" i="21"/>
  <c r="AV69" i="21"/>
  <c r="AW69" i="21" s="1"/>
  <c r="DS150" i="21"/>
  <c r="CQ150" i="21"/>
  <c r="ER261" i="21"/>
  <c r="ES261" i="21"/>
  <c r="EW152" i="21"/>
  <c r="FB152" i="21" s="1"/>
  <c r="ED152" i="21" s="1"/>
  <c r="CR152" i="21" s="1"/>
  <c r="AT70" i="21"/>
  <c r="AP71" i="21"/>
  <c r="AQ70" i="21"/>
  <c r="DE258" i="21"/>
  <c r="FK258" i="21"/>
  <c r="FM258" i="21" s="1"/>
  <c r="AD258" i="21"/>
  <c r="DU263" i="21"/>
  <c r="AV263" i="21"/>
  <c r="AW263" i="21" s="1"/>
  <c r="DQ152" i="21"/>
  <c r="DF150" i="21"/>
  <c r="FL150" i="21"/>
  <c r="FJ151" i="20"/>
  <c r="FF65" i="20"/>
  <c r="CZ149" i="5"/>
  <c r="EV64" i="5"/>
  <c r="DX64" i="5" s="1"/>
  <c r="DL149" i="5"/>
  <c r="EL65" i="20"/>
  <c r="CZ65" i="20" s="1"/>
  <c r="DZ65" i="20"/>
  <c r="EC69" i="20"/>
  <c r="BD69" i="20"/>
  <c r="BE69" i="20" s="1"/>
  <c r="EL150" i="20"/>
  <c r="CZ150" i="20" s="1"/>
  <c r="DZ150" i="20"/>
  <c r="DV68" i="20"/>
  <c r="EU68" i="20"/>
  <c r="EX68" i="20" s="1"/>
  <c r="EY68" i="20" s="1"/>
  <c r="FE152" i="20"/>
  <c r="FF152" i="20" s="1"/>
  <c r="FA67" i="20"/>
  <c r="EZ67" i="20"/>
  <c r="DX67" i="20"/>
  <c r="DW67" i="20"/>
  <c r="DY152" i="20"/>
  <c r="DM148" i="20"/>
  <c r="AL148" i="20"/>
  <c r="FS148" i="20"/>
  <c r="FU148" i="20" s="1"/>
  <c r="BC69" i="20"/>
  <c r="AZ69" i="20"/>
  <c r="FS149" i="20"/>
  <c r="FU149" i="20" s="1"/>
  <c r="DM149" i="20"/>
  <c r="AL149" i="20"/>
  <c r="EZ153" i="20"/>
  <c r="FA153" i="20"/>
  <c r="FE66" i="20"/>
  <c r="FF66" i="20" s="1"/>
  <c r="AX71" i="20"/>
  <c r="BB70" i="20"/>
  <c r="AY70" i="20"/>
  <c r="DX153" i="20"/>
  <c r="DW153" i="20"/>
  <c r="DY66" i="20"/>
  <c r="DM260" i="5"/>
  <c r="CK260" i="5"/>
  <c r="AJ70" i="5"/>
  <c r="AN69" i="5"/>
  <c r="AK69" i="5"/>
  <c r="AN265" i="5"/>
  <c r="AK265" i="5"/>
  <c r="DM148" i="5"/>
  <c r="CK148" i="5"/>
  <c r="DO264" i="5"/>
  <c r="AP264" i="5"/>
  <c r="AQ264" i="5" s="1"/>
  <c r="EQ65" i="5"/>
  <c r="EV65" i="5" s="1"/>
  <c r="DX65" i="5" s="1"/>
  <c r="CL65" i="5" s="1"/>
  <c r="EL262" i="5"/>
  <c r="EM262" i="5"/>
  <c r="FE61" i="5"/>
  <c r="CS61" i="5"/>
  <c r="DH263" i="5"/>
  <c r="EG263" i="5"/>
  <c r="EJ263" i="5" s="1"/>
  <c r="EK263" i="5" s="1"/>
  <c r="EM152" i="5"/>
  <c r="EL152" i="5"/>
  <c r="EV150" i="5"/>
  <c r="DX150" i="5" s="1"/>
  <c r="CL150" i="5" s="1"/>
  <c r="DI262" i="5"/>
  <c r="DJ262" i="5"/>
  <c r="DJ152" i="5"/>
  <c r="DI152" i="5"/>
  <c r="FE259" i="5"/>
  <c r="FG259" i="5" s="1"/>
  <c r="CS259" i="5"/>
  <c r="DH67" i="5"/>
  <c r="EG67" i="5"/>
  <c r="EJ67" i="5" s="1"/>
  <c r="EK67" i="5" s="1"/>
  <c r="FE147" i="5"/>
  <c r="FG147" i="5" s="1"/>
  <c r="CY147" i="5"/>
  <c r="X147" i="5"/>
  <c r="EL66" i="5"/>
  <c r="EM66" i="5"/>
  <c r="EQ261" i="5"/>
  <c r="ER261" i="5" s="1"/>
  <c r="DK261" i="5"/>
  <c r="DL261" i="5" s="1"/>
  <c r="DK151" i="5"/>
  <c r="DJ66" i="5"/>
  <c r="DI66" i="5"/>
  <c r="DH153" i="5"/>
  <c r="EG153" i="5"/>
  <c r="EJ153" i="5" s="1"/>
  <c r="EK153" i="5" s="1"/>
  <c r="CS62" i="5"/>
  <c r="FE62" i="5"/>
  <c r="FG62" i="5" s="1"/>
  <c r="EQ151" i="5"/>
  <c r="ER151" i="5" s="1"/>
  <c r="AL264" i="5"/>
  <c r="AO264" i="5"/>
  <c r="DK65" i="5"/>
  <c r="AL68" i="5"/>
  <c r="AO68" i="5"/>
  <c r="DO68" i="5"/>
  <c r="AP68" i="5"/>
  <c r="AQ68" i="5" s="1"/>
  <c r="DL63" i="5"/>
  <c r="DM63" i="5" s="1"/>
  <c r="AJ266" i="5"/>
  <c r="DS64" i="21" l="1"/>
  <c r="CQ64" i="21"/>
  <c r="DR65" i="21"/>
  <c r="CQ260" i="21"/>
  <c r="DS260" i="21"/>
  <c r="DF152" i="21"/>
  <c r="FL152" i="21"/>
  <c r="CR12" i="21"/>
  <c r="CR13" i="21"/>
  <c r="CR10" i="21"/>
  <c r="CR11" i="21" s="1"/>
  <c r="CZ66" i="21"/>
  <c r="FL66" i="21"/>
  <c r="DR152" i="21"/>
  <c r="DR66" i="21"/>
  <c r="ER68" i="21"/>
  <c r="ES68" i="21"/>
  <c r="DP68" i="21"/>
  <c r="DO68" i="21"/>
  <c r="DU264" i="21"/>
  <c r="AV264" i="21"/>
  <c r="AW264" i="21" s="1"/>
  <c r="DN263" i="21"/>
  <c r="EM263" i="21"/>
  <c r="EP263" i="21" s="1"/>
  <c r="EQ263" i="21" s="1"/>
  <c r="AR70" i="21"/>
  <c r="AU70" i="21"/>
  <c r="DU70" i="21"/>
  <c r="AV70" i="21"/>
  <c r="AW70" i="21" s="1"/>
  <c r="DQ261" i="21"/>
  <c r="DR261" i="21" s="1"/>
  <c r="DQ67" i="21"/>
  <c r="ER262" i="21"/>
  <c r="ES262" i="21"/>
  <c r="AT265" i="21"/>
  <c r="AP266" i="21"/>
  <c r="AQ265" i="21"/>
  <c r="EX66" i="21"/>
  <c r="DP262" i="21"/>
  <c r="DO262" i="21"/>
  <c r="AD151" i="21"/>
  <c r="DE151" i="21"/>
  <c r="FK151" i="21"/>
  <c r="FM151" i="21" s="1"/>
  <c r="DN69" i="21"/>
  <c r="EM69" i="21"/>
  <c r="EP69" i="21" s="1"/>
  <c r="EQ69" i="21" s="1"/>
  <c r="EW261" i="21"/>
  <c r="EX261" i="21" s="1"/>
  <c r="EW67" i="21"/>
  <c r="FB67" i="21" s="1"/>
  <c r="ED67" i="21" s="1"/>
  <c r="CR67" i="21" s="1"/>
  <c r="AT71" i="21"/>
  <c r="AP72" i="21"/>
  <c r="AQ71" i="21"/>
  <c r="EX152" i="21"/>
  <c r="AD150" i="21"/>
  <c r="DE150" i="21"/>
  <c r="FK150" i="21"/>
  <c r="FM150" i="21" s="1"/>
  <c r="AR264" i="21"/>
  <c r="AU264" i="21"/>
  <c r="FK259" i="21"/>
  <c r="FM259" i="21" s="1"/>
  <c r="AD259" i="21"/>
  <c r="DE259" i="21"/>
  <c r="FJ66" i="20"/>
  <c r="EL66" i="20" s="1"/>
  <c r="CZ66" i="20" s="1"/>
  <c r="FT66" i="20" s="1"/>
  <c r="EL151" i="20"/>
  <c r="CZ151" i="20" s="1"/>
  <c r="DZ151" i="20"/>
  <c r="EV151" i="5"/>
  <c r="DX151" i="5" s="1"/>
  <c r="CL151" i="5" s="1"/>
  <c r="DL64" i="5"/>
  <c r="DM64" i="5" s="1"/>
  <c r="DM149" i="5"/>
  <c r="CK149" i="5"/>
  <c r="EC70" i="20"/>
  <c r="BD70" i="20"/>
  <c r="BE70" i="20" s="1"/>
  <c r="FJ152" i="20"/>
  <c r="DY153" i="20"/>
  <c r="DV69" i="20"/>
  <c r="EU69" i="20"/>
  <c r="EX69" i="20" s="1"/>
  <c r="EY69" i="20" s="1"/>
  <c r="EZ68" i="20"/>
  <c r="FA68" i="20"/>
  <c r="BC70" i="20"/>
  <c r="AZ70" i="20"/>
  <c r="DY67" i="20"/>
  <c r="DW68" i="20"/>
  <c r="DX68" i="20"/>
  <c r="FE153" i="20"/>
  <c r="FF153" i="20" s="1"/>
  <c r="EA150" i="20"/>
  <c r="CY150" i="20"/>
  <c r="EA65" i="20"/>
  <c r="CY65" i="20"/>
  <c r="BB71" i="20"/>
  <c r="AX72" i="20"/>
  <c r="AY71" i="20"/>
  <c r="FE67" i="20"/>
  <c r="FF67" i="20" s="1"/>
  <c r="FT150" i="20"/>
  <c r="DN150" i="20"/>
  <c r="FT65" i="20"/>
  <c r="DH65" i="20"/>
  <c r="FF65" i="5"/>
  <c r="CT65" i="5"/>
  <c r="DL65" i="5"/>
  <c r="DM261" i="5"/>
  <c r="CK261" i="5"/>
  <c r="DK152" i="5"/>
  <c r="EL263" i="5"/>
  <c r="EM263" i="5"/>
  <c r="ER65" i="5"/>
  <c r="AL69" i="5"/>
  <c r="AO69" i="5"/>
  <c r="EQ152" i="5"/>
  <c r="ER152" i="5" s="1"/>
  <c r="DI263" i="5"/>
  <c r="DJ263" i="5"/>
  <c r="DO69" i="5"/>
  <c r="AP69" i="5"/>
  <c r="AQ69" i="5" s="1"/>
  <c r="EQ66" i="5"/>
  <c r="ER66" i="5" s="1"/>
  <c r="EL153" i="5"/>
  <c r="EM153" i="5"/>
  <c r="AJ71" i="5"/>
  <c r="AN70" i="5"/>
  <c r="AK70" i="5"/>
  <c r="AL265" i="5"/>
  <c r="AO265" i="5"/>
  <c r="DO265" i="5"/>
  <c r="AP265" i="5"/>
  <c r="AQ265" i="5" s="1"/>
  <c r="DJ153" i="5"/>
  <c r="DI153" i="5"/>
  <c r="DK262" i="5"/>
  <c r="DL262" i="5" s="1"/>
  <c r="FG61" i="5"/>
  <c r="DH264" i="5"/>
  <c r="EG264" i="5"/>
  <c r="EJ264" i="5" s="1"/>
  <c r="EK264" i="5" s="1"/>
  <c r="FE260" i="5"/>
  <c r="FG260" i="5" s="1"/>
  <c r="CY260" i="5"/>
  <c r="CY148" i="5"/>
  <c r="FE148" i="5"/>
  <c r="FG148" i="5" s="1"/>
  <c r="X148" i="5"/>
  <c r="DH68" i="5"/>
  <c r="EG68" i="5"/>
  <c r="EJ68" i="5" s="1"/>
  <c r="EK68" i="5" s="1"/>
  <c r="CZ151" i="5"/>
  <c r="FF151" i="5"/>
  <c r="DK66" i="5"/>
  <c r="EM67" i="5"/>
  <c r="EL67" i="5"/>
  <c r="AN266" i="5"/>
  <c r="AK266" i="5"/>
  <c r="DI67" i="5"/>
  <c r="DJ67" i="5"/>
  <c r="CZ150" i="5"/>
  <c r="FF150" i="5"/>
  <c r="EQ262" i="5"/>
  <c r="ER262" i="5" s="1"/>
  <c r="DL150" i="5"/>
  <c r="AJ267" i="5"/>
  <c r="X260" i="5"/>
  <c r="DS65" i="21" l="1"/>
  <c r="CQ65" i="21"/>
  <c r="CY64" i="21"/>
  <c r="FK64" i="21"/>
  <c r="FM64" i="21" s="1"/>
  <c r="CZ67" i="21"/>
  <c r="FL67" i="21"/>
  <c r="DR67" i="21"/>
  <c r="ES69" i="21"/>
  <c r="ER69" i="21"/>
  <c r="DQ262" i="21"/>
  <c r="DR262" i="21" s="1"/>
  <c r="DS152" i="21"/>
  <c r="CQ152" i="21"/>
  <c r="AP267" i="21"/>
  <c r="AT266" i="21"/>
  <c r="AQ266" i="21"/>
  <c r="DN264" i="21"/>
  <c r="EM264" i="21"/>
  <c r="EP264" i="21" s="1"/>
  <c r="EQ264" i="21" s="1"/>
  <c r="AU71" i="21"/>
  <c r="AR71" i="21"/>
  <c r="DU265" i="21"/>
  <c r="AV265" i="21"/>
  <c r="AW265" i="21" s="1"/>
  <c r="EW262" i="21"/>
  <c r="EX262" i="21" s="1"/>
  <c r="DS66" i="21"/>
  <c r="CQ66" i="21"/>
  <c r="AP73" i="21"/>
  <c r="AT72" i="21"/>
  <c r="AQ72" i="21"/>
  <c r="EX67" i="21"/>
  <c r="DN70" i="21"/>
  <c r="EM70" i="21"/>
  <c r="EP70" i="21" s="1"/>
  <c r="EQ70" i="21" s="1"/>
  <c r="DP69" i="21"/>
  <c r="DO69" i="21"/>
  <c r="DS261" i="21"/>
  <c r="CQ261" i="21"/>
  <c r="DF12" i="21"/>
  <c r="DF13" i="21"/>
  <c r="DF10" i="21"/>
  <c r="DF11" i="21" s="1"/>
  <c r="DQ68" i="21"/>
  <c r="AU265" i="21"/>
  <c r="AR265" i="21"/>
  <c r="DP263" i="21"/>
  <c r="DO263" i="21"/>
  <c r="EW68" i="21"/>
  <c r="FB68" i="21" s="1"/>
  <c r="ED68" i="21" s="1"/>
  <c r="CR68" i="21" s="1"/>
  <c r="DU71" i="21"/>
  <c r="AV71" i="21"/>
  <c r="AW71" i="21" s="1"/>
  <c r="ES263" i="21"/>
  <c r="ER263" i="21"/>
  <c r="CY260" i="21"/>
  <c r="AD260" i="21"/>
  <c r="FK260" i="21"/>
  <c r="FM260" i="21" s="1"/>
  <c r="DH66" i="20"/>
  <c r="DZ66" i="20"/>
  <c r="CY66" i="20" s="1"/>
  <c r="DG66" i="20" s="1"/>
  <c r="EA151" i="20"/>
  <c r="CY151" i="20"/>
  <c r="DN151" i="20"/>
  <c r="FT151" i="20"/>
  <c r="DL151" i="5"/>
  <c r="EV152" i="5"/>
  <c r="DX152" i="5" s="1"/>
  <c r="CL152" i="5" s="1"/>
  <c r="EV66" i="5"/>
  <c r="DX66" i="5" s="1"/>
  <c r="CL66" i="5" s="1"/>
  <c r="CT66" i="5" s="1"/>
  <c r="X149" i="5"/>
  <c r="CY149" i="5"/>
  <c r="FE149" i="5"/>
  <c r="FG149" i="5" s="1"/>
  <c r="FJ67" i="20"/>
  <c r="AZ71" i="20"/>
  <c r="BC71" i="20"/>
  <c r="FE68" i="20"/>
  <c r="FJ68" i="20" s="1"/>
  <c r="EL68" i="20" s="1"/>
  <c r="CZ68" i="20" s="1"/>
  <c r="AX73" i="20"/>
  <c r="BB72" i="20"/>
  <c r="AY72" i="20"/>
  <c r="EC71" i="20"/>
  <c r="BD71" i="20"/>
  <c r="BE71" i="20" s="1"/>
  <c r="FJ153" i="20"/>
  <c r="EL153" i="20" s="1"/>
  <c r="CZ153" i="20" s="1"/>
  <c r="DG65" i="20"/>
  <c r="FS65" i="20"/>
  <c r="FA69" i="20"/>
  <c r="EZ69" i="20"/>
  <c r="EL152" i="20"/>
  <c r="CZ152" i="20" s="1"/>
  <c r="DZ152" i="20"/>
  <c r="DM150" i="20"/>
  <c r="AL150" i="20"/>
  <c r="FS150" i="20"/>
  <c r="FU150" i="20" s="1"/>
  <c r="DY68" i="20"/>
  <c r="DV70" i="20"/>
  <c r="EU70" i="20"/>
  <c r="EX70" i="20" s="1"/>
  <c r="EY70" i="20" s="1"/>
  <c r="DX69" i="20"/>
  <c r="DW69" i="20"/>
  <c r="DM150" i="5"/>
  <c r="CK150" i="5"/>
  <c r="DI68" i="5"/>
  <c r="DJ68" i="5"/>
  <c r="DK153" i="5"/>
  <c r="AJ72" i="5"/>
  <c r="AN71" i="5"/>
  <c r="AK71" i="5"/>
  <c r="FF152" i="5"/>
  <c r="CZ152" i="5"/>
  <c r="DL152" i="5"/>
  <c r="DK67" i="5"/>
  <c r="EM264" i="5"/>
  <c r="EL264" i="5"/>
  <c r="AO266" i="5"/>
  <c r="AL266" i="5"/>
  <c r="EM68" i="5"/>
  <c r="EL68" i="5"/>
  <c r="DI264" i="5"/>
  <c r="DJ264" i="5"/>
  <c r="DH265" i="5"/>
  <c r="EG265" i="5"/>
  <c r="EJ265" i="5" s="1"/>
  <c r="EK265" i="5" s="1"/>
  <c r="DM65" i="5"/>
  <c r="CK65" i="5"/>
  <c r="DH69" i="5"/>
  <c r="EG69" i="5"/>
  <c r="EJ69" i="5" s="1"/>
  <c r="EK69" i="5" s="1"/>
  <c r="CY261" i="5"/>
  <c r="FE261" i="5"/>
  <c r="FG261" i="5" s="1"/>
  <c r="AO70" i="5"/>
  <c r="AL70" i="5"/>
  <c r="DK263" i="5"/>
  <c r="DL263" i="5" s="1"/>
  <c r="EQ263" i="5"/>
  <c r="ER263" i="5" s="1"/>
  <c r="DO266" i="5"/>
  <c r="AP266" i="5"/>
  <c r="AQ266" i="5" s="1"/>
  <c r="AN267" i="5"/>
  <c r="AK267" i="5"/>
  <c r="EQ67" i="5"/>
  <c r="EV67" i="5" s="1"/>
  <c r="DX67" i="5" s="1"/>
  <c r="CL67" i="5" s="1"/>
  <c r="DM262" i="5"/>
  <c r="CK262" i="5"/>
  <c r="DO70" i="5"/>
  <c r="AP70" i="5"/>
  <c r="AQ70" i="5" s="1"/>
  <c r="EQ153" i="5"/>
  <c r="ER153" i="5" s="1"/>
  <c r="AJ268" i="5"/>
  <c r="X261" i="5"/>
  <c r="FK65" i="21" l="1"/>
  <c r="FM65" i="21" s="1"/>
  <c r="CY65" i="21"/>
  <c r="FS66" i="20"/>
  <c r="FU66" i="20" s="1"/>
  <c r="FL68" i="21"/>
  <c r="CZ68" i="21"/>
  <c r="DS262" i="21"/>
  <c r="CQ262" i="21"/>
  <c r="DR68" i="21"/>
  <c r="AU266" i="21"/>
  <c r="AR266" i="21"/>
  <c r="EW263" i="21"/>
  <c r="EX263" i="21" s="1"/>
  <c r="DE152" i="21"/>
  <c r="FK152" i="21"/>
  <c r="FM152" i="21" s="1"/>
  <c r="AD152" i="21"/>
  <c r="CQ12" i="21"/>
  <c r="T12" i="21" s="1"/>
  <c r="CQ10" i="21"/>
  <c r="CQ13" i="21"/>
  <c r="T13" i="21" s="1"/>
  <c r="DN265" i="21"/>
  <c r="EM265" i="21"/>
  <c r="EP265" i="21" s="1"/>
  <c r="EQ265" i="21" s="1"/>
  <c r="EW69" i="21"/>
  <c r="EX69" i="21" s="1"/>
  <c r="EX68" i="21"/>
  <c r="DO70" i="21"/>
  <c r="DP70" i="21"/>
  <c r="CQ67" i="21"/>
  <c r="DS67" i="21"/>
  <c r="DQ263" i="21"/>
  <c r="DR263" i="21" s="1"/>
  <c r="AU72" i="21"/>
  <c r="AR72" i="21"/>
  <c r="DO264" i="21"/>
  <c r="DP264" i="21"/>
  <c r="DU72" i="21"/>
  <c r="AV72" i="21"/>
  <c r="AW72" i="21" s="1"/>
  <c r="AT267" i="21"/>
  <c r="AP268" i="21"/>
  <c r="AQ267" i="21"/>
  <c r="ES70" i="21"/>
  <c r="ER70" i="21"/>
  <c r="AP74" i="21"/>
  <c r="AT73" i="21"/>
  <c r="AQ73" i="21"/>
  <c r="DN71" i="21"/>
  <c r="EM71" i="21"/>
  <c r="EP71" i="21" s="1"/>
  <c r="EQ71" i="21" s="1"/>
  <c r="CY66" i="21"/>
  <c r="FK66" i="21"/>
  <c r="FM66" i="21" s="1"/>
  <c r="AD261" i="21"/>
  <c r="CY261" i="21"/>
  <c r="FK261" i="21"/>
  <c r="FM261" i="21" s="1"/>
  <c r="DQ69" i="21"/>
  <c r="DU266" i="21"/>
  <c r="AV266" i="21"/>
  <c r="AW266" i="21" s="1"/>
  <c r="ES264" i="21"/>
  <c r="ER264" i="21"/>
  <c r="EA66" i="20"/>
  <c r="AL151" i="20"/>
  <c r="FS151" i="20"/>
  <c r="FU151" i="20" s="1"/>
  <c r="DM151" i="20"/>
  <c r="FF66" i="5"/>
  <c r="DL66" i="5"/>
  <c r="EV153" i="5"/>
  <c r="DX153" i="5" s="1"/>
  <c r="CL153" i="5" s="1"/>
  <c r="DM151" i="5"/>
  <c r="CK151" i="5"/>
  <c r="ER67" i="5"/>
  <c r="DL153" i="5"/>
  <c r="DM153" i="5" s="1"/>
  <c r="FT68" i="20"/>
  <c r="DH68" i="20"/>
  <c r="DZ68" i="20"/>
  <c r="AZ72" i="20"/>
  <c r="BC72" i="20"/>
  <c r="FT153" i="20"/>
  <c r="DN153" i="20"/>
  <c r="CZ10" i="20"/>
  <c r="CZ11" i="20" s="1"/>
  <c r="CZ12" i="20"/>
  <c r="CZ13" i="20"/>
  <c r="FE69" i="20"/>
  <c r="FF69" i="20" s="1"/>
  <c r="FU65" i="20"/>
  <c r="AX74" i="20"/>
  <c r="BB73" i="20"/>
  <c r="AY73" i="20"/>
  <c r="EL67" i="20"/>
  <c r="CZ67" i="20" s="1"/>
  <c r="DZ67" i="20"/>
  <c r="EC72" i="20"/>
  <c r="BD72" i="20"/>
  <c r="BE72" i="20" s="1"/>
  <c r="DY69" i="20"/>
  <c r="DV71" i="20"/>
  <c r="EU71" i="20"/>
  <c r="EX71" i="20" s="1"/>
  <c r="EY71" i="20" s="1"/>
  <c r="EZ70" i="20"/>
  <c r="FA70" i="20"/>
  <c r="FT152" i="20"/>
  <c r="DN152" i="20"/>
  <c r="FF68" i="20"/>
  <c r="EA152" i="20"/>
  <c r="CY152" i="20"/>
  <c r="DX70" i="20"/>
  <c r="DW70" i="20"/>
  <c r="DZ153" i="20"/>
  <c r="DM263" i="5"/>
  <c r="CK263" i="5"/>
  <c r="DL67" i="5"/>
  <c r="CT67" i="5"/>
  <c r="FF67" i="5"/>
  <c r="DK264" i="5"/>
  <c r="DL264" i="5" s="1"/>
  <c r="DJ265" i="5"/>
  <c r="DI265" i="5"/>
  <c r="AJ73" i="5"/>
  <c r="AN72" i="5"/>
  <c r="AK72" i="5"/>
  <c r="DM152" i="5"/>
  <c r="CK152" i="5"/>
  <c r="DJ69" i="5"/>
  <c r="DI69" i="5"/>
  <c r="AN268" i="5"/>
  <c r="AK268" i="5"/>
  <c r="DO267" i="5"/>
  <c r="AP267" i="5"/>
  <c r="AQ267" i="5" s="1"/>
  <c r="DH70" i="5"/>
  <c r="EG70" i="5"/>
  <c r="EJ70" i="5" s="1"/>
  <c r="EK70" i="5" s="1"/>
  <c r="DH266" i="5"/>
  <c r="EG266" i="5"/>
  <c r="EJ266" i="5" s="1"/>
  <c r="EK266" i="5" s="1"/>
  <c r="CK66" i="5"/>
  <c r="DM66" i="5"/>
  <c r="CS65" i="5"/>
  <c r="FE65" i="5"/>
  <c r="DK68" i="5"/>
  <c r="CY262" i="5"/>
  <c r="FE262" i="5"/>
  <c r="FG262" i="5" s="1"/>
  <c r="EQ68" i="5"/>
  <c r="ER68" i="5" s="1"/>
  <c r="AL71" i="5"/>
  <c r="AO71" i="5"/>
  <c r="CY150" i="5"/>
  <c r="FE150" i="5"/>
  <c r="FG150" i="5" s="1"/>
  <c r="X150" i="5"/>
  <c r="AO267" i="5"/>
  <c r="AL267" i="5"/>
  <c r="EL69" i="5"/>
  <c r="EM69" i="5"/>
  <c r="FF153" i="5"/>
  <c r="CZ153" i="5"/>
  <c r="CL10" i="5"/>
  <c r="CL11" i="5" s="1"/>
  <c r="CL12" i="5"/>
  <c r="CL13" i="5"/>
  <c r="EL265" i="5"/>
  <c r="EM265" i="5"/>
  <c r="EQ264" i="5"/>
  <c r="ER264" i="5" s="1"/>
  <c r="DO71" i="5"/>
  <c r="AP71" i="5"/>
  <c r="AQ71" i="5" s="1"/>
  <c r="X152" i="5"/>
  <c r="X262" i="5"/>
  <c r="AJ269" i="5"/>
  <c r="FB69" i="21" l="1"/>
  <c r="ED69" i="21" s="1"/>
  <c r="CR69" i="21" s="1"/>
  <c r="DR69" i="21"/>
  <c r="DS69" i="21" s="1"/>
  <c r="CQ69" i="21"/>
  <c r="DS263" i="21"/>
  <c r="CQ263" i="21"/>
  <c r="AP75" i="21"/>
  <c r="AT74" i="21"/>
  <c r="AQ74" i="21"/>
  <c r="AU267" i="21"/>
  <c r="AR267" i="21"/>
  <c r="DU267" i="21"/>
  <c r="AV267" i="21"/>
  <c r="AW267" i="21" s="1"/>
  <c r="DE13" i="21"/>
  <c r="DE12" i="21"/>
  <c r="DE10" i="21"/>
  <c r="DE11" i="21" s="1"/>
  <c r="FL69" i="21"/>
  <c r="CZ69" i="21"/>
  <c r="DP265" i="21"/>
  <c r="DO265" i="21"/>
  <c r="EW70" i="21"/>
  <c r="EX70" i="21" s="1"/>
  <c r="EW264" i="21"/>
  <c r="EX264" i="21" s="1"/>
  <c r="DQ264" i="21"/>
  <c r="DR264" i="21" s="1"/>
  <c r="CQ68" i="21"/>
  <c r="DS68" i="21"/>
  <c r="ES265" i="21"/>
  <c r="ER265" i="21"/>
  <c r="DN72" i="21"/>
  <c r="EM72" i="21"/>
  <c r="EP72" i="21" s="1"/>
  <c r="EQ72" i="21" s="1"/>
  <c r="CY67" i="21"/>
  <c r="FK67" i="21"/>
  <c r="FM67" i="21" s="1"/>
  <c r="AP269" i="21"/>
  <c r="AT268" i="21"/>
  <c r="AQ268" i="21"/>
  <c r="DU73" i="21"/>
  <c r="AV73" i="21"/>
  <c r="AW73" i="21" s="1"/>
  <c r="FK262" i="21"/>
  <c r="FM262" i="21" s="1"/>
  <c r="AD262" i="21"/>
  <c r="DE262" i="21"/>
  <c r="DQ70" i="21"/>
  <c r="T10" i="21"/>
  <c r="CQ11" i="21"/>
  <c r="T11" i="21" s="1"/>
  <c r="DP71" i="21"/>
  <c r="DO71" i="21"/>
  <c r="DN266" i="21"/>
  <c r="EM266" i="21"/>
  <c r="EP266" i="21" s="1"/>
  <c r="EQ266" i="21" s="1"/>
  <c r="AU73" i="21"/>
  <c r="AR73" i="21"/>
  <c r="ER71" i="21"/>
  <c r="ES71" i="21"/>
  <c r="FJ69" i="20"/>
  <c r="EL69" i="20" s="1"/>
  <c r="CZ69" i="20" s="1"/>
  <c r="FT69" i="20" s="1"/>
  <c r="CK153" i="5"/>
  <c r="CY153" i="5" s="1"/>
  <c r="X151" i="5"/>
  <c r="CY151" i="5"/>
  <c r="FE151" i="5"/>
  <c r="FG151" i="5" s="1"/>
  <c r="DY70" i="20"/>
  <c r="BB74" i="20"/>
  <c r="AX75" i="20"/>
  <c r="AY74" i="20"/>
  <c r="EZ71" i="20"/>
  <c r="FA71" i="20"/>
  <c r="DV72" i="20"/>
  <c r="EU72" i="20"/>
  <c r="EX72" i="20" s="1"/>
  <c r="EY72" i="20" s="1"/>
  <c r="DM152" i="20"/>
  <c r="AL152" i="20"/>
  <c r="FS152" i="20"/>
  <c r="FU152" i="20" s="1"/>
  <c r="DW71" i="20"/>
  <c r="DX71" i="20"/>
  <c r="EA67" i="20"/>
  <c r="CY67" i="20"/>
  <c r="FT67" i="20"/>
  <c r="DH67" i="20"/>
  <c r="EA68" i="20"/>
  <c r="CY68" i="20"/>
  <c r="BC73" i="20"/>
  <c r="AZ73" i="20"/>
  <c r="EA153" i="20"/>
  <c r="CY153" i="20"/>
  <c r="FE70" i="20"/>
  <c r="FJ70" i="20" s="1"/>
  <c r="EL70" i="20" s="1"/>
  <c r="CZ70" i="20" s="1"/>
  <c r="EC73" i="20"/>
  <c r="BD73" i="20"/>
  <c r="BE73" i="20" s="1"/>
  <c r="DN10" i="20"/>
  <c r="DN11" i="20" s="1"/>
  <c r="DN13" i="20"/>
  <c r="DN12" i="20"/>
  <c r="DH71" i="5"/>
  <c r="EG71" i="5"/>
  <c r="EJ71" i="5" s="1"/>
  <c r="EK71" i="5" s="1"/>
  <c r="EL70" i="5"/>
  <c r="EM70" i="5"/>
  <c r="FE152" i="5"/>
  <c r="FG152" i="5" s="1"/>
  <c r="CY152" i="5"/>
  <c r="DM264" i="5"/>
  <c r="CK264" i="5"/>
  <c r="EV68" i="5"/>
  <c r="DH267" i="5"/>
  <c r="EG267" i="5"/>
  <c r="EJ267" i="5" s="1"/>
  <c r="EK267" i="5" s="1"/>
  <c r="DO72" i="5"/>
  <c r="AP72" i="5"/>
  <c r="AQ72" i="5" s="1"/>
  <c r="CK12" i="5"/>
  <c r="N12" i="5" s="1"/>
  <c r="CK13" i="5"/>
  <c r="N13" i="5" s="1"/>
  <c r="CK10" i="5"/>
  <c r="DI70" i="5"/>
  <c r="DJ70" i="5"/>
  <c r="EQ265" i="5"/>
  <c r="ER265" i="5" s="1"/>
  <c r="AN269" i="5"/>
  <c r="AK269" i="5"/>
  <c r="CZ12" i="5"/>
  <c r="CZ13" i="5"/>
  <c r="CZ10" i="5"/>
  <c r="CZ11" i="5" s="1"/>
  <c r="AL268" i="5"/>
  <c r="AO268" i="5"/>
  <c r="AJ74" i="5"/>
  <c r="AN73" i="5"/>
  <c r="AK73" i="5"/>
  <c r="FG65" i="5"/>
  <c r="AO72" i="5"/>
  <c r="AL72" i="5"/>
  <c r="CS66" i="5"/>
  <c r="FE66" i="5"/>
  <c r="FG66" i="5" s="1"/>
  <c r="DO268" i="5"/>
  <c r="AP268" i="5"/>
  <c r="AQ268" i="5" s="1"/>
  <c r="DK265" i="5"/>
  <c r="DL265" i="5" s="1"/>
  <c r="CK67" i="5"/>
  <c r="DM67" i="5"/>
  <c r="EL266" i="5"/>
  <c r="EM266" i="5"/>
  <c r="DK69" i="5"/>
  <c r="FE263" i="5"/>
  <c r="FG263" i="5" s="1"/>
  <c r="CY263" i="5"/>
  <c r="EQ69" i="5"/>
  <c r="EV69" i="5" s="1"/>
  <c r="DX69" i="5" s="1"/>
  <c r="CL69" i="5" s="1"/>
  <c r="DI266" i="5"/>
  <c r="DJ266" i="5"/>
  <c r="X264" i="5"/>
  <c r="X263" i="5"/>
  <c r="AJ270" i="5"/>
  <c r="DS264" i="21" l="1"/>
  <c r="CQ264" i="21"/>
  <c r="DQ265" i="21"/>
  <c r="DR265" i="21" s="1"/>
  <c r="FB70" i="21"/>
  <c r="ED70" i="21" s="1"/>
  <c r="CR70" i="21" s="1"/>
  <c r="DN73" i="21"/>
  <c r="EM73" i="21"/>
  <c r="EP73" i="21" s="1"/>
  <c r="EQ73" i="21" s="1"/>
  <c r="AR268" i="21"/>
  <c r="AU268" i="21"/>
  <c r="ES72" i="21"/>
  <c r="ER72" i="21"/>
  <c r="AU74" i="21"/>
  <c r="AR74" i="21"/>
  <c r="AP270" i="21"/>
  <c r="AT269" i="21"/>
  <c r="AQ269" i="21"/>
  <c r="DP266" i="21"/>
  <c r="DO266" i="21"/>
  <c r="DU74" i="21"/>
  <c r="AV74" i="21"/>
  <c r="AW74" i="21" s="1"/>
  <c r="EW71" i="21"/>
  <c r="FB71" i="21" s="1"/>
  <c r="ED71" i="21" s="1"/>
  <c r="CR71" i="21" s="1"/>
  <c r="DQ71" i="21"/>
  <c r="EW265" i="21"/>
  <c r="EX265" i="21" s="1"/>
  <c r="AT75" i="21"/>
  <c r="AP76" i="21"/>
  <c r="AQ75" i="21"/>
  <c r="DE263" i="21"/>
  <c r="FK263" i="21"/>
  <c r="FM263" i="21" s="1"/>
  <c r="AD263" i="21"/>
  <c r="DN267" i="21"/>
  <c r="EM267" i="21"/>
  <c r="EP267" i="21" s="1"/>
  <c r="EQ267" i="21" s="1"/>
  <c r="FK68" i="21"/>
  <c r="FM68" i="21" s="1"/>
  <c r="CY68" i="21"/>
  <c r="CY69" i="21"/>
  <c r="FK69" i="21"/>
  <c r="FM69" i="21" s="1"/>
  <c r="DU268" i="21"/>
  <c r="AV268" i="21"/>
  <c r="AW268" i="21" s="1"/>
  <c r="ES266" i="21"/>
  <c r="ER266" i="21"/>
  <c r="DP72" i="21"/>
  <c r="DO72" i="21"/>
  <c r="DH69" i="20"/>
  <c r="DZ69" i="20"/>
  <c r="CK11" i="5"/>
  <c r="N11" i="5" s="1"/>
  <c r="N10" i="5"/>
  <c r="FE153" i="5"/>
  <c r="FG153" i="5" s="1"/>
  <c r="FT70" i="20"/>
  <c r="DH70" i="20"/>
  <c r="DZ70" i="20"/>
  <c r="DW72" i="20"/>
  <c r="DX72" i="20"/>
  <c r="EC74" i="20"/>
  <c r="BD74" i="20"/>
  <c r="BE74" i="20" s="1"/>
  <c r="FF70" i="20"/>
  <c r="FE71" i="20"/>
  <c r="FF71" i="20" s="1"/>
  <c r="FS67" i="20"/>
  <c r="FU67" i="20" s="1"/>
  <c r="DG67" i="20"/>
  <c r="DY71" i="20"/>
  <c r="DV73" i="20"/>
  <c r="EU73" i="20"/>
  <c r="EX73" i="20" s="1"/>
  <c r="EY73" i="20" s="1"/>
  <c r="FS153" i="20"/>
  <c r="FU153" i="20" s="1"/>
  <c r="DM153" i="20"/>
  <c r="AL153" i="20"/>
  <c r="CY12" i="20"/>
  <c r="AB12" i="20" s="1"/>
  <c r="CY13" i="20"/>
  <c r="AB13" i="20" s="1"/>
  <c r="CY10" i="20"/>
  <c r="FS68" i="20"/>
  <c r="FU68" i="20" s="1"/>
  <c r="DG68" i="20"/>
  <c r="BC74" i="20"/>
  <c r="AZ74" i="20"/>
  <c r="FA72" i="20"/>
  <c r="EZ72" i="20"/>
  <c r="AX76" i="20"/>
  <c r="BB75" i="20"/>
  <c r="AY75" i="20"/>
  <c r="FF69" i="5"/>
  <c r="CT69" i="5"/>
  <c r="DL69" i="5"/>
  <c r="DM265" i="5"/>
  <c r="CK265" i="5"/>
  <c r="DK266" i="5"/>
  <c r="DL266" i="5" s="1"/>
  <c r="AL73" i="5"/>
  <c r="AO73" i="5"/>
  <c r="AL269" i="5"/>
  <c r="AO269" i="5"/>
  <c r="FE264" i="5"/>
  <c r="FG264" i="5" s="1"/>
  <c r="CS264" i="5"/>
  <c r="EQ266" i="5"/>
  <c r="ER266" i="5" s="1"/>
  <c r="DO73" i="5"/>
  <c r="AP73" i="5"/>
  <c r="AQ73" i="5" s="1"/>
  <c r="DO269" i="5"/>
  <c r="AP269" i="5"/>
  <c r="AQ269" i="5" s="1"/>
  <c r="AJ75" i="5"/>
  <c r="AN74" i="5"/>
  <c r="AK74" i="5"/>
  <c r="CY13" i="5"/>
  <c r="CY10" i="5"/>
  <c r="CY11" i="5" s="1"/>
  <c r="CY12" i="5"/>
  <c r="ER69" i="5"/>
  <c r="FE67" i="5"/>
  <c r="FG67" i="5" s="1"/>
  <c r="CS67" i="5"/>
  <c r="AN270" i="5"/>
  <c r="AK270" i="5"/>
  <c r="DH72" i="5"/>
  <c r="EG72" i="5"/>
  <c r="EJ72" i="5" s="1"/>
  <c r="EK72" i="5" s="1"/>
  <c r="DK70" i="5"/>
  <c r="EL267" i="5"/>
  <c r="EM267" i="5"/>
  <c r="EQ70" i="5"/>
  <c r="ER70" i="5" s="1"/>
  <c r="DI267" i="5"/>
  <c r="DJ267" i="5"/>
  <c r="EM71" i="5"/>
  <c r="EL71" i="5"/>
  <c r="DH268" i="5"/>
  <c r="EG268" i="5"/>
  <c r="EJ268" i="5" s="1"/>
  <c r="EK268" i="5" s="1"/>
  <c r="DX68" i="5"/>
  <c r="CL68" i="5" s="1"/>
  <c r="DL68" i="5"/>
  <c r="DJ71" i="5"/>
  <c r="DI71" i="5"/>
  <c r="X153" i="5"/>
  <c r="AJ271" i="5"/>
  <c r="DR71" i="21" l="1"/>
  <c r="CZ71" i="21"/>
  <c r="FL71" i="21"/>
  <c r="DS265" i="21"/>
  <c r="CQ265" i="21"/>
  <c r="EX71" i="21"/>
  <c r="DU269" i="21"/>
  <c r="AV269" i="21"/>
  <c r="AW269" i="21" s="1"/>
  <c r="AP271" i="21"/>
  <c r="AT270" i="21"/>
  <c r="AQ270" i="21"/>
  <c r="DQ72" i="21"/>
  <c r="ES267" i="21"/>
  <c r="ER267" i="21"/>
  <c r="EW72" i="21"/>
  <c r="EX72" i="21" s="1"/>
  <c r="EW266" i="21"/>
  <c r="EX266" i="21" s="1"/>
  <c r="ER73" i="21"/>
  <c r="ES73" i="21"/>
  <c r="AR75" i="21"/>
  <c r="AU75" i="21"/>
  <c r="DP73" i="21"/>
  <c r="DO73" i="21"/>
  <c r="DQ266" i="21"/>
  <c r="DR266" i="21" s="1"/>
  <c r="CZ70" i="21"/>
  <c r="FL70" i="21"/>
  <c r="DN74" i="21"/>
  <c r="EM74" i="21"/>
  <c r="EP74" i="21" s="1"/>
  <c r="EQ74" i="21" s="1"/>
  <c r="DP267" i="21"/>
  <c r="DO267" i="21"/>
  <c r="AU269" i="21"/>
  <c r="AR269" i="21"/>
  <c r="FK264" i="21"/>
  <c r="FM264" i="21" s="1"/>
  <c r="AD264" i="21"/>
  <c r="DE264" i="21"/>
  <c r="DN268" i="21"/>
  <c r="EM268" i="21"/>
  <c r="EP268" i="21" s="1"/>
  <c r="EQ268" i="21" s="1"/>
  <c r="AP77" i="21"/>
  <c r="AT76" i="21"/>
  <c r="AQ76" i="21"/>
  <c r="DU75" i="21"/>
  <c r="AV75" i="21"/>
  <c r="AW75" i="21" s="1"/>
  <c r="DR70" i="21"/>
  <c r="CY69" i="20"/>
  <c r="EA69" i="20"/>
  <c r="EC75" i="20"/>
  <c r="BD75" i="20"/>
  <c r="BE75" i="20" s="1"/>
  <c r="CY11" i="20"/>
  <c r="AB11" i="20" s="1"/>
  <c r="AB10" i="20"/>
  <c r="FA73" i="20"/>
  <c r="EZ73" i="20"/>
  <c r="AX77" i="20"/>
  <c r="BB76" i="20"/>
  <c r="AY76" i="20"/>
  <c r="DX73" i="20"/>
  <c r="DW73" i="20"/>
  <c r="FE72" i="20"/>
  <c r="FJ72" i="20" s="1"/>
  <c r="DV74" i="20"/>
  <c r="EU74" i="20"/>
  <c r="EX74" i="20" s="1"/>
  <c r="EY74" i="20" s="1"/>
  <c r="EA70" i="20"/>
  <c r="CY70" i="20"/>
  <c r="DM10" i="20"/>
  <c r="DM11" i="20" s="1"/>
  <c r="DM12" i="20"/>
  <c r="DM13" i="20"/>
  <c r="FJ71" i="20"/>
  <c r="EL71" i="20" s="1"/>
  <c r="CZ71" i="20" s="1"/>
  <c r="BC75" i="20"/>
  <c r="AZ75" i="20"/>
  <c r="DY72" i="20"/>
  <c r="DM266" i="5"/>
  <c r="CK266" i="5"/>
  <c r="DK267" i="5"/>
  <c r="DL267" i="5" s="1"/>
  <c r="EM72" i="5"/>
  <c r="EL72" i="5"/>
  <c r="DH73" i="5"/>
  <c r="EG73" i="5"/>
  <c r="EJ73" i="5" s="1"/>
  <c r="EK73" i="5" s="1"/>
  <c r="FF68" i="5"/>
  <c r="CT68" i="5"/>
  <c r="EV70" i="5"/>
  <c r="DX70" i="5" s="1"/>
  <c r="CL70" i="5" s="1"/>
  <c r="AO270" i="5"/>
  <c r="AL270" i="5"/>
  <c r="AO74" i="5"/>
  <c r="AL74" i="5"/>
  <c r="CK68" i="5"/>
  <c r="DM68" i="5"/>
  <c r="EL268" i="5"/>
  <c r="EM268" i="5"/>
  <c r="DO270" i="5"/>
  <c r="AP270" i="5"/>
  <c r="AQ270" i="5" s="1"/>
  <c r="DO74" i="5"/>
  <c r="AP74" i="5"/>
  <c r="AQ74" i="5" s="1"/>
  <c r="CS265" i="5"/>
  <c r="FE265" i="5"/>
  <c r="FG265" i="5" s="1"/>
  <c r="DI72" i="5"/>
  <c r="DJ72" i="5"/>
  <c r="DI268" i="5"/>
  <c r="DJ268" i="5"/>
  <c r="AJ76" i="5"/>
  <c r="AN75" i="5"/>
  <c r="AK75" i="5"/>
  <c r="EQ71" i="5"/>
  <c r="ER71" i="5" s="1"/>
  <c r="EQ267" i="5"/>
  <c r="ER267" i="5" s="1"/>
  <c r="DM69" i="5"/>
  <c r="CK69" i="5"/>
  <c r="DH269" i="5"/>
  <c r="EG269" i="5"/>
  <c r="EJ269" i="5" s="1"/>
  <c r="EK269" i="5" s="1"/>
  <c r="AN271" i="5"/>
  <c r="AK271" i="5"/>
  <c r="DK71" i="5"/>
  <c r="X265" i="5"/>
  <c r="AJ272" i="5"/>
  <c r="DS266" i="21" l="1"/>
  <c r="CQ266" i="21"/>
  <c r="ES268" i="21"/>
  <c r="ER268" i="21"/>
  <c r="DP268" i="21"/>
  <c r="DO268" i="21"/>
  <c r="FB72" i="21"/>
  <c r="ED72" i="21" s="1"/>
  <c r="CR72" i="21" s="1"/>
  <c r="DQ267" i="21"/>
  <c r="DR267" i="21" s="1"/>
  <c r="EW267" i="21"/>
  <c r="EX267" i="21" s="1"/>
  <c r="AU270" i="21"/>
  <c r="AR270" i="21"/>
  <c r="DN269" i="21"/>
  <c r="EM269" i="21"/>
  <c r="EP269" i="21" s="1"/>
  <c r="EQ269" i="21" s="1"/>
  <c r="EW73" i="21"/>
  <c r="FB73" i="21" s="1"/>
  <c r="ED73" i="21" s="1"/>
  <c r="CR73" i="21" s="1"/>
  <c r="ES74" i="21"/>
  <c r="ER74" i="21"/>
  <c r="DU270" i="21"/>
  <c r="AV270" i="21"/>
  <c r="AW270" i="21" s="1"/>
  <c r="DS70" i="21"/>
  <c r="CQ70" i="21"/>
  <c r="FK265" i="21"/>
  <c r="FM265" i="21" s="1"/>
  <c r="AD265" i="21"/>
  <c r="DE265" i="21"/>
  <c r="AP78" i="21"/>
  <c r="AT77" i="21"/>
  <c r="AQ77" i="21"/>
  <c r="AP272" i="21"/>
  <c r="AT271" i="21"/>
  <c r="AQ271" i="21"/>
  <c r="DN75" i="21"/>
  <c r="EM75" i="21"/>
  <c r="EP75" i="21" s="1"/>
  <c r="EQ75" i="21" s="1"/>
  <c r="DO74" i="21"/>
  <c r="DP74" i="21"/>
  <c r="AU76" i="21"/>
  <c r="AR76" i="21"/>
  <c r="DQ73" i="21"/>
  <c r="DU76" i="21"/>
  <c r="AV76" i="21"/>
  <c r="AW76" i="21" s="1"/>
  <c r="DS71" i="21"/>
  <c r="CQ71" i="21"/>
  <c r="FS69" i="20"/>
  <c r="FU69" i="20" s="1"/>
  <c r="DG69" i="20"/>
  <c r="EL72" i="20"/>
  <c r="CZ72" i="20" s="1"/>
  <c r="DZ72" i="20"/>
  <c r="EZ74" i="20"/>
  <c r="FA74" i="20"/>
  <c r="BB77" i="20"/>
  <c r="AX78" i="20"/>
  <c r="AY77" i="20"/>
  <c r="FF72" i="20"/>
  <c r="FE73" i="20"/>
  <c r="FJ73" i="20" s="1"/>
  <c r="EL73" i="20" s="1"/>
  <c r="CZ73" i="20" s="1"/>
  <c r="FT71" i="20"/>
  <c r="DH71" i="20"/>
  <c r="DG70" i="20"/>
  <c r="FS70" i="20"/>
  <c r="FU70" i="20" s="1"/>
  <c r="DY73" i="20"/>
  <c r="DV75" i="20"/>
  <c r="EU75" i="20"/>
  <c r="EX75" i="20" s="1"/>
  <c r="EY75" i="20" s="1"/>
  <c r="BC76" i="20"/>
  <c r="AZ76" i="20"/>
  <c r="DX74" i="20"/>
  <c r="DW74" i="20"/>
  <c r="EC76" i="20"/>
  <c r="BD76" i="20"/>
  <c r="BE76" i="20" s="1"/>
  <c r="DZ71" i="20"/>
  <c r="DM267" i="5"/>
  <c r="CK267" i="5"/>
  <c r="X267" i="5" s="1"/>
  <c r="DL71" i="5"/>
  <c r="EQ72" i="5"/>
  <c r="ER72" i="5" s="1"/>
  <c r="EL269" i="5"/>
  <c r="EM269" i="5"/>
  <c r="EV71" i="5"/>
  <c r="DX71" i="5" s="1"/>
  <c r="CL71" i="5" s="1"/>
  <c r="DI73" i="5"/>
  <c r="DJ73" i="5"/>
  <c r="DO75" i="5"/>
  <c r="AP75" i="5"/>
  <c r="AQ75" i="5" s="1"/>
  <c r="AJ77" i="5"/>
  <c r="AN76" i="5"/>
  <c r="AK76" i="5"/>
  <c r="DH74" i="5"/>
  <c r="EG74" i="5"/>
  <c r="EJ74" i="5" s="1"/>
  <c r="EK74" i="5" s="1"/>
  <c r="FE68" i="5"/>
  <c r="FG68" i="5" s="1"/>
  <c r="CS68" i="5"/>
  <c r="AL75" i="5"/>
  <c r="AO75" i="5"/>
  <c r="CS69" i="5"/>
  <c r="FE69" i="5"/>
  <c r="FG69" i="5" s="1"/>
  <c r="DK268" i="5"/>
  <c r="DL268" i="5" s="1"/>
  <c r="DH270" i="5"/>
  <c r="EG270" i="5"/>
  <c r="EJ270" i="5" s="1"/>
  <c r="EK270" i="5" s="1"/>
  <c r="DL70" i="5"/>
  <c r="CT70" i="5"/>
  <c r="FF70" i="5"/>
  <c r="CY266" i="5"/>
  <c r="FE266" i="5"/>
  <c r="FG266" i="5" s="1"/>
  <c r="DI269" i="5"/>
  <c r="DJ269" i="5"/>
  <c r="AN272" i="5"/>
  <c r="AK272" i="5"/>
  <c r="AO271" i="5"/>
  <c r="AL271" i="5"/>
  <c r="DO271" i="5"/>
  <c r="AP271" i="5"/>
  <c r="AQ271" i="5" s="1"/>
  <c r="DK72" i="5"/>
  <c r="EQ268" i="5"/>
  <c r="ER268" i="5" s="1"/>
  <c r="EL73" i="5"/>
  <c r="EM73" i="5"/>
  <c r="X266" i="5"/>
  <c r="AJ273" i="5"/>
  <c r="DR73" i="21" l="1"/>
  <c r="FL73" i="21"/>
  <c r="CZ73" i="21"/>
  <c r="DS267" i="21"/>
  <c r="CQ267" i="21"/>
  <c r="DQ74" i="21"/>
  <c r="ES269" i="21"/>
  <c r="ER269" i="21"/>
  <c r="DU77" i="21"/>
  <c r="AV77" i="21"/>
  <c r="AW77" i="21" s="1"/>
  <c r="CY70" i="21"/>
  <c r="FK70" i="21"/>
  <c r="FM70" i="21" s="1"/>
  <c r="ER75" i="21"/>
  <c r="ES75" i="21"/>
  <c r="EX73" i="21"/>
  <c r="DP269" i="21"/>
  <c r="DO269" i="21"/>
  <c r="CZ72" i="21"/>
  <c r="FL72" i="21"/>
  <c r="DQ268" i="21"/>
  <c r="DR268" i="21" s="1"/>
  <c r="AU271" i="21"/>
  <c r="AR271" i="21"/>
  <c r="EW268" i="21"/>
  <c r="EX268" i="21" s="1"/>
  <c r="DP75" i="21"/>
  <c r="DO75" i="21"/>
  <c r="EW74" i="21"/>
  <c r="FB74" i="21" s="1"/>
  <c r="ED74" i="21" s="1"/>
  <c r="CR74" i="21" s="1"/>
  <c r="AP273" i="21"/>
  <c r="AT272" i="21"/>
  <c r="AQ272" i="21"/>
  <c r="FK266" i="21"/>
  <c r="FM266" i="21" s="1"/>
  <c r="AD266" i="21"/>
  <c r="CY266" i="21"/>
  <c r="DU271" i="21"/>
  <c r="AV271" i="21"/>
  <c r="AW271" i="21" s="1"/>
  <c r="AU77" i="21"/>
  <c r="AR77" i="21"/>
  <c r="AP79" i="21"/>
  <c r="AT78" i="21"/>
  <c r="AQ78" i="21"/>
  <c r="DN76" i="21"/>
  <c r="EM76" i="21"/>
  <c r="EP76" i="21" s="1"/>
  <c r="EQ76" i="21" s="1"/>
  <c r="DN270" i="21"/>
  <c r="EM270" i="21"/>
  <c r="EP270" i="21" s="1"/>
  <c r="EQ270" i="21" s="1"/>
  <c r="CY71" i="21"/>
  <c r="FK71" i="21"/>
  <c r="FM71" i="21" s="1"/>
  <c r="DR72" i="21"/>
  <c r="DZ73" i="20"/>
  <c r="FT73" i="20"/>
  <c r="DH73" i="20"/>
  <c r="AX79" i="20"/>
  <c r="BB78" i="20"/>
  <c r="AY78" i="20"/>
  <c r="EA71" i="20"/>
  <c r="CY71" i="20"/>
  <c r="FF73" i="20"/>
  <c r="DV76" i="20"/>
  <c r="EU76" i="20"/>
  <c r="EX76" i="20" s="1"/>
  <c r="EY76" i="20" s="1"/>
  <c r="EC77" i="20"/>
  <c r="BD77" i="20"/>
  <c r="BE77" i="20" s="1"/>
  <c r="FA75" i="20"/>
  <c r="EZ75" i="20"/>
  <c r="FE74" i="20"/>
  <c r="FJ74" i="20" s="1"/>
  <c r="EL74" i="20" s="1"/>
  <c r="CZ74" i="20" s="1"/>
  <c r="DY74" i="20"/>
  <c r="DX75" i="20"/>
  <c r="DW75" i="20"/>
  <c r="EA72" i="20"/>
  <c r="CY72" i="20"/>
  <c r="BC77" i="20"/>
  <c r="AZ77" i="20"/>
  <c r="FT72" i="20"/>
  <c r="DH72" i="20"/>
  <c r="AN273" i="5"/>
  <c r="AK273" i="5"/>
  <c r="AL272" i="5"/>
  <c r="AO272" i="5"/>
  <c r="AJ78" i="5"/>
  <c r="AN77" i="5"/>
  <c r="AK77" i="5"/>
  <c r="EQ269" i="5"/>
  <c r="ER269" i="5" s="1"/>
  <c r="DH271" i="5"/>
  <c r="EG271" i="5"/>
  <c r="EJ271" i="5" s="1"/>
  <c r="EK271" i="5" s="1"/>
  <c r="DO272" i="5"/>
  <c r="AP272" i="5"/>
  <c r="AQ272" i="5" s="1"/>
  <c r="CK70" i="5"/>
  <c r="DM70" i="5"/>
  <c r="EL270" i="5"/>
  <c r="EM270" i="5"/>
  <c r="DH75" i="5"/>
  <c r="EG75" i="5"/>
  <c r="EJ75" i="5" s="1"/>
  <c r="EK75" i="5" s="1"/>
  <c r="EV72" i="5"/>
  <c r="DX72" i="5" s="1"/>
  <c r="CL72" i="5" s="1"/>
  <c r="DK269" i="5"/>
  <c r="DL269" i="5" s="1"/>
  <c r="DI270" i="5"/>
  <c r="DJ270" i="5"/>
  <c r="EM74" i="5"/>
  <c r="EL74" i="5"/>
  <c r="DK73" i="5"/>
  <c r="DM268" i="5"/>
  <c r="CK268" i="5"/>
  <c r="DI74" i="5"/>
  <c r="DJ74" i="5"/>
  <c r="DM71" i="5"/>
  <c r="CK71" i="5"/>
  <c r="EQ73" i="5"/>
  <c r="EV73" i="5" s="1"/>
  <c r="DX73" i="5" s="1"/>
  <c r="CL73" i="5" s="1"/>
  <c r="AO76" i="5"/>
  <c r="AL76" i="5"/>
  <c r="FF71" i="5"/>
  <c r="CT71" i="5"/>
  <c r="FE267" i="5"/>
  <c r="FG267" i="5" s="1"/>
  <c r="CY267" i="5"/>
  <c r="DO76" i="5"/>
  <c r="AP76" i="5"/>
  <c r="AQ76" i="5" s="1"/>
  <c r="AJ274" i="5"/>
  <c r="DR74" i="21" l="1"/>
  <c r="DS268" i="21"/>
  <c r="CQ268" i="21"/>
  <c r="FL74" i="21"/>
  <c r="CZ74" i="21"/>
  <c r="DU78" i="21"/>
  <c r="AV78" i="21"/>
  <c r="AW78" i="21" s="1"/>
  <c r="DO76" i="21"/>
  <c r="DP76" i="21"/>
  <c r="DU272" i="21"/>
  <c r="AV272" i="21"/>
  <c r="AW272" i="21" s="1"/>
  <c r="EW269" i="21"/>
  <c r="EX269" i="21" s="1"/>
  <c r="DO270" i="21"/>
  <c r="DP270" i="21"/>
  <c r="AP80" i="21"/>
  <c r="AT79" i="21"/>
  <c r="AQ79" i="21"/>
  <c r="AT273" i="21"/>
  <c r="AP274" i="21"/>
  <c r="AQ273" i="21"/>
  <c r="EX74" i="21"/>
  <c r="AU272" i="21"/>
  <c r="AR272" i="21"/>
  <c r="AD267" i="21"/>
  <c r="DE267" i="21"/>
  <c r="FK267" i="21"/>
  <c r="FM267" i="21" s="1"/>
  <c r="DQ75" i="21"/>
  <c r="ER270" i="21"/>
  <c r="ES270" i="21"/>
  <c r="AU78" i="21"/>
  <c r="AR78" i="21"/>
  <c r="ES76" i="21"/>
  <c r="ER76" i="21"/>
  <c r="EW75" i="21"/>
  <c r="EX75" i="21" s="1"/>
  <c r="DQ269" i="21"/>
  <c r="DR269" i="21" s="1"/>
  <c r="DN271" i="21"/>
  <c r="EM271" i="21"/>
  <c r="EP271" i="21" s="1"/>
  <c r="EQ271" i="21" s="1"/>
  <c r="DN77" i="21"/>
  <c r="EM77" i="21"/>
  <c r="EP77" i="21" s="1"/>
  <c r="EQ77" i="21" s="1"/>
  <c r="CQ72" i="21"/>
  <c r="DS72" i="21"/>
  <c r="CQ73" i="21"/>
  <c r="DS73" i="21"/>
  <c r="DZ74" i="20"/>
  <c r="CY74" i="20" s="1"/>
  <c r="ER73" i="5"/>
  <c r="DH74" i="20"/>
  <c r="FT74" i="20"/>
  <c r="FE75" i="20"/>
  <c r="FJ75" i="20" s="1"/>
  <c r="EZ76" i="20"/>
  <c r="FA76" i="20"/>
  <c r="AX80" i="20"/>
  <c r="BB79" i="20"/>
  <c r="AY79" i="20"/>
  <c r="FF74" i="20"/>
  <c r="DX76" i="20"/>
  <c r="DW76" i="20"/>
  <c r="BC78" i="20"/>
  <c r="AZ78" i="20"/>
  <c r="FS72" i="20"/>
  <c r="FU72" i="20" s="1"/>
  <c r="DG72" i="20"/>
  <c r="EC78" i="20"/>
  <c r="BD78" i="20"/>
  <c r="BE78" i="20" s="1"/>
  <c r="DY75" i="20"/>
  <c r="DV77" i="20"/>
  <c r="EU77" i="20"/>
  <c r="EX77" i="20" s="1"/>
  <c r="EY77" i="20" s="1"/>
  <c r="DG71" i="20"/>
  <c r="FS71" i="20"/>
  <c r="FU71" i="20" s="1"/>
  <c r="EA73" i="20"/>
  <c r="CY73" i="20"/>
  <c r="DM269" i="5"/>
  <c r="CK269" i="5"/>
  <c r="DL73" i="5"/>
  <c r="FF73" i="5"/>
  <c r="CT73" i="5"/>
  <c r="DI75" i="5"/>
  <c r="DJ75" i="5"/>
  <c r="DH272" i="5"/>
  <c r="EG272" i="5"/>
  <c r="EJ272" i="5" s="1"/>
  <c r="EK272" i="5" s="1"/>
  <c r="DH76" i="5"/>
  <c r="EG76" i="5"/>
  <c r="EJ76" i="5" s="1"/>
  <c r="EK76" i="5" s="1"/>
  <c r="DK74" i="5"/>
  <c r="EL271" i="5"/>
  <c r="EM271" i="5"/>
  <c r="CS71" i="5"/>
  <c r="FE71" i="5"/>
  <c r="FG71" i="5" s="1"/>
  <c r="FE268" i="5"/>
  <c r="FG268" i="5" s="1"/>
  <c r="CY268" i="5"/>
  <c r="DK270" i="5"/>
  <c r="DL270" i="5" s="1"/>
  <c r="EQ270" i="5"/>
  <c r="ER270" i="5" s="1"/>
  <c r="DI271" i="5"/>
  <c r="DJ271" i="5"/>
  <c r="CT72" i="5"/>
  <c r="FF72" i="5"/>
  <c r="AL273" i="5"/>
  <c r="AO273" i="5"/>
  <c r="DO273" i="5"/>
  <c r="AP273" i="5"/>
  <c r="AQ273" i="5" s="1"/>
  <c r="EQ74" i="5"/>
  <c r="ER74" i="5" s="1"/>
  <c r="CS70" i="5"/>
  <c r="FE70" i="5"/>
  <c r="FG70" i="5" s="1"/>
  <c r="AL77" i="5"/>
  <c r="AO77" i="5"/>
  <c r="DO77" i="5"/>
  <c r="AP77" i="5"/>
  <c r="AQ77" i="5" s="1"/>
  <c r="AN274" i="5"/>
  <c r="AK274" i="5"/>
  <c r="EL75" i="5"/>
  <c r="EM75" i="5"/>
  <c r="AJ79" i="5"/>
  <c r="AN78" i="5"/>
  <c r="AK78" i="5"/>
  <c r="DL72" i="5"/>
  <c r="X268" i="5"/>
  <c r="AJ275" i="5"/>
  <c r="DS269" i="21" l="1"/>
  <c r="CQ269" i="21"/>
  <c r="FB75" i="21"/>
  <c r="ED75" i="21" s="1"/>
  <c r="CR75" i="21" s="1"/>
  <c r="EW76" i="21"/>
  <c r="FB76" i="21" s="1"/>
  <c r="ED76" i="21" s="1"/>
  <c r="CR76" i="21" s="1"/>
  <c r="DN272" i="21"/>
  <c r="EM272" i="21"/>
  <c r="EP272" i="21" s="1"/>
  <c r="EQ272" i="21" s="1"/>
  <c r="FK73" i="21"/>
  <c r="FM73" i="21" s="1"/>
  <c r="CY73" i="21"/>
  <c r="DQ76" i="21"/>
  <c r="DR76" i="21" s="1"/>
  <c r="CY72" i="21"/>
  <c r="FK72" i="21"/>
  <c r="FM72" i="21" s="1"/>
  <c r="AU273" i="21"/>
  <c r="AR273" i="21"/>
  <c r="DN78" i="21"/>
  <c r="EM78" i="21"/>
  <c r="EP78" i="21" s="1"/>
  <c r="EQ78" i="21" s="1"/>
  <c r="ER77" i="21"/>
  <c r="ES77" i="21"/>
  <c r="AT274" i="21"/>
  <c r="AP275" i="21"/>
  <c r="AQ274" i="21"/>
  <c r="DQ270" i="21"/>
  <c r="DR270" i="21" s="1"/>
  <c r="DO77" i="21"/>
  <c r="DP77" i="21"/>
  <c r="DU273" i="21"/>
  <c r="AV273" i="21"/>
  <c r="AW273" i="21" s="1"/>
  <c r="ER271" i="21"/>
  <c r="ES271" i="21"/>
  <c r="AU79" i="21"/>
  <c r="AR79" i="21"/>
  <c r="CY268" i="21"/>
  <c r="FK268" i="21"/>
  <c r="FM268" i="21" s="1"/>
  <c r="AD268" i="21"/>
  <c r="EW270" i="21"/>
  <c r="EX270" i="21" s="1"/>
  <c r="DO271" i="21"/>
  <c r="DP271" i="21"/>
  <c r="DU79" i="21"/>
  <c r="AV79" i="21"/>
  <c r="AW79" i="21" s="1"/>
  <c r="AT80" i="21"/>
  <c r="AP81" i="21"/>
  <c r="AQ80" i="21"/>
  <c r="DS74" i="21"/>
  <c r="CQ74" i="21"/>
  <c r="FF75" i="20"/>
  <c r="EA74" i="20"/>
  <c r="EL75" i="20"/>
  <c r="CZ75" i="20" s="1"/>
  <c r="DZ75" i="20"/>
  <c r="DY76" i="20"/>
  <c r="AZ79" i="20"/>
  <c r="BC79" i="20"/>
  <c r="DV78" i="20"/>
  <c r="EU78" i="20"/>
  <c r="EX78" i="20" s="1"/>
  <c r="EY78" i="20" s="1"/>
  <c r="EC79" i="20"/>
  <c r="BD79" i="20"/>
  <c r="BE79" i="20" s="1"/>
  <c r="AX81" i="20"/>
  <c r="BB80" i="20"/>
  <c r="AY80" i="20"/>
  <c r="EZ77" i="20"/>
  <c r="FA77" i="20"/>
  <c r="FE76" i="20"/>
  <c r="FF76" i="20" s="1"/>
  <c r="DG74" i="20"/>
  <c r="FS74" i="20"/>
  <c r="FU74" i="20" s="1"/>
  <c r="DX77" i="20"/>
  <c r="DW77" i="20"/>
  <c r="FS73" i="20"/>
  <c r="FU73" i="20" s="1"/>
  <c r="DG73" i="20"/>
  <c r="DM270" i="5"/>
  <c r="CK270" i="5"/>
  <c r="DO78" i="5"/>
  <c r="AP78" i="5"/>
  <c r="AQ78" i="5" s="1"/>
  <c r="AJ80" i="5"/>
  <c r="AN79" i="5"/>
  <c r="AK79" i="5"/>
  <c r="DH273" i="5"/>
  <c r="EG273" i="5"/>
  <c r="EJ273" i="5" s="1"/>
  <c r="EK273" i="5" s="1"/>
  <c r="EQ271" i="5"/>
  <c r="ER271" i="5" s="1"/>
  <c r="EQ75" i="5"/>
  <c r="EV75" i="5" s="1"/>
  <c r="DX75" i="5" s="1"/>
  <c r="CL75" i="5" s="1"/>
  <c r="DK75" i="5"/>
  <c r="AN275" i="5"/>
  <c r="AK275" i="5"/>
  <c r="AO274" i="5"/>
  <c r="AL274" i="5"/>
  <c r="DO274" i="5"/>
  <c r="AP274" i="5"/>
  <c r="AQ274" i="5" s="1"/>
  <c r="EL76" i="5"/>
  <c r="EM76" i="5"/>
  <c r="DI76" i="5"/>
  <c r="DJ76" i="5"/>
  <c r="DM73" i="5"/>
  <c r="CK73" i="5"/>
  <c r="CK72" i="5"/>
  <c r="DM72" i="5"/>
  <c r="AL78" i="5"/>
  <c r="AO78" i="5"/>
  <c r="DH77" i="5"/>
  <c r="EG77" i="5"/>
  <c r="EJ77" i="5" s="1"/>
  <c r="EK77" i="5" s="1"/>
  <c r="EV74" i="5"/>
  <c r="DX74" i="5" s="1"/>
  <c r="CL74" i="5" s="1"/>
  <c r="EL272" i="5"/>
  <c r="EM272" i="5"/>
  <c r="CY269" i="5"/>
  <c r="FE269" i="5"/>
  <c r="FG269" i="5" s="1"/>
  <c r="DK271" i="5"/>
  <c r="DL271" i="5" s="1"/>
  <c r="DI272" i="5"/>
  <c r="DJ272" i="5"/>
  <c r="X269" i="5"/>
  <c r="AJ276" i="5"/>
  <c r="DS270" i="21" l="1"/>
  <c r="CQ270" i="21"/>
  <c r="CZ76" i="21"/>
  <c r="FL76" i="21"/>
  <c r="CQ76" i="21"/>
  <c r="CY74" i="21"/>
  <c r="FK74" i="21"/>
  <c r="FM74" i="21" s="1"/>
  <c r="ES272" i="21"/>
  <c r="ER272" i="21"/>
  <c r="AR80" i="21"/>
  <c r="AU80" i="21"/>
  <c r="DP78" i="21"/>
  <c r="DO78" i="21"/>
  <c r="DO272" i="21"/>
  <c r="DP272" i="21"/>
  <c r="EW77" i="21"/>
  <c r="EX77" i="21" s="1"/>
  <c r="DU274" i="21"/>
  <c r="AV274" i="21"/>
  <c r="AW274" i="21" s="1"/>
  <c r="DQ271" i="21"/>
  <c r="DR271" i="21" s="1"/>
  <c r="EX76" i="21"/>
  <c r="DS76" i="21" s="1"/>
  <c r="DU80" i="21"/>
  <c r="AV80" i="21"/>
  <c r="AW80" i="21" s="1"/>
  <c r="DN273" i="21"/>
  <c r="EM273" i="21"/>
  <c r="EP273" i="21" s="1"/>
  <c r="EQ273" i="21" s="1"/>
  <c r="AR274" i="21"/>
  <c r="AU274" i="21"/>
  <c r="AT81" i="21"/>
  <c r="AP82" i="21"/>
  <c r="AQ81" i="21"/>
  <c r="CZ75" i="21"/>
  <c r="FL75" i="21"/>
  <c r="DN79" i="21"/>
  <c r="EM79" i="21"/>
  <c r="EP79" i="21" s="1"/>
  <c r="EQ79" i="21" s="1"/>
  <c r="DQ77" i="21"/>
  <c r="FK269" i="21"/>
  <c r="FM269" i="21" s="1"/>
  <c r="AD269" i="21"/>
  <c r="DE269" i="21"/>
  <c r="AT275" i="21"/>
  <c r="AP276" i="21"/>
  <c r="AQ275" i="21"/>
  <c r="ES78" i="21"/>
  <c r="ER78" i="21"/>
  <c r="EW271" i="21"/>
  <c r="EX271" i="21" s="1"/>
  <c r="DR75" i="21"/>
  <c r="DL74" i="5"/>
  <c r="CK74" i="5" s="1"/>
  <c r="DL75" i="5"/>
  <c r="FE77" i="20"/>
  <c r="FJ77" i="20" s="1"/>
  <c r="EL77" i="20" s="1"/>
  <c r="CZ77" i="20" s="1"/>
  <c r="DV79" i="20"/>
  <c r="EU79" i="20"/>
  <c r="EX79" i="20" s="1"/>
  <c r="EY79" i="20" s="1"/>
  <c r="FA78" i="20"/>
  <c r="EZ78" i="20"/>
  <c r="DX78" i="20"/>
  <c r="DW78" i="20"/>
  <c r="EC80" i="20"/>
  <c r="BD80" i="20"/>
  <c r="BE80" i="20" s="1"/>
  <c r="DY77" i="20"/>
  <c r="FJ76" i="20"/>
  <c r="EL76" i="20" s="1"/>
  <c r="CZ76" i="20" s="1"/>
  <c r="AX82" i="20"/>
  <c r="BB81" i="20"/>
  <c r="AY81" i="20"/>
  <c r="CY75" i="20"/>
  <c r="EA75" i="20"/>
  <c r="BC80" i="20"/>
  <c r="AZ80" i="20"/>
  <c r="DH75" i="20"/>
  <c r="FT75" i="20"/>
  <c r="DM271" i="5"/>
  <c r="CK271" i="5"/>
  <c r="CK75" i="5"/>
  <c r="FF75" i="5"/>
  <c r="CT75" i="5"/>
  <c r="AL79" i="5"/>
  <c r="AO79" i="5"/>
  <c r="CS72" i="5"/>
  <c r="FE72" i="5"/>
  <c r="FG72" i="5" s="1"/>
  <c r="DO79" i="5"/>
  <c r="AP79" i="5"/>
  <c r="AQ79" i="5" s="1"/>
  <c r="AO275" i="5"/>
  <c r="AL275" i="5"/>
  <c r="EQ272" i="5"/>
  <c r="ER272" i="5" s="1"/>
  <c r="CS73" i="5"/>
  <c r="FE73" i="5"/>
  <c r="FG73" i="5" s="1"/>
  <c r="DH274" i="5"/>
  <c r="EG274" i="5"/>
  <c r="EJ274" i="5" s="1"/>
  <c r="EK274" i="5" s="1"/>
  <c r="ER75" i="5"/>
  <c r="DM75" i="5" s="1"/>
  <c r="AJ81" i="5"/>
  <c r="AN80" i="5"/>
  <c r="AK80" i="5"/>
  <c r="DI273" i="5"/>
  <c r="DJ273" i="5"/>
  <c r="AN276" i="5"/>
  <c r="AK276" i="5"/>
  <c r="CT74" i="5"/>
  <c r="FF74" i="5"/>
  <c r="DK76" i="5"/>
  <c r="EQ76" i="5"/>
  <c r="ER76" i="5" s="1"/>
  <c r="DK272" i="5"/>
  <c r="DL272" i="5" s="1"/>
  <c r="EL77" i="5"/>
  <c r="EM77" i="5"/>
  <c r="DH78" i="5"/>
  <c r="EG78" i="5"/>
  <c r="EJ78" i="5" s="1"/>
  <c r="EK78" i="5" s="1"/>
  <c r="DI77" i="5"/>
  <c r="DJ77" i="5"/>
  <c r="DO275" i="5"/>
  <c r="AP275" i="5"/>
  <c r="AQ275" i="5" s="1"/>
  <c r="EM273" i="5"/>
  <c r="EL273" i="5"/>
  <c r="CS270" i="5"/>
  <c r="FE270" i="5"/>
  <c r="FG270" i="5" s="1"/>
  <c r="X270" i="5"/>
  <c r="AJ277" i="5"/>
  <c r="DS271" i="21" l="1"/>
  <c r="CQ271" i="21"/>
  <c r="DU275" i="21"/>
  <c r="AV275" i="21"/>
  <c r="AW275" i="21" s="1"/>
  <c r="DP79" i="21"/>
  <c r="DO79" i="21"/>
  <c r="AR275" i="21"/>
  <c r="AU275" i="21"/>
  <c r="FB77" i="21"/>
  <c r="ED77" i="21" s="1"/>
  <c r="CR77" i="21" s="1"/>
  <c r="AU81" i="21"/>
  <c r="AR81" i="21"/>
  <c r="DN274" i="21"/>
  <c r="EM274" i="21"/>
  <c r="EP274" i="21" s="1"/>
  <c r="EQ274" i="21" s="1"/>
  <c r="DQ272" i="21"/>
  <c r="DR272" i="21" s="1"/>
  <c r="AT82" i="21"/>
  <c r="AP83" i="21"/>
  <c r="AQ82" i="21"/>
  <c r="EW78" i="21"/>
  <c r="EX78" i="21" s="1"/>
  <c r="AT276" i="21"/>
  <c r="AP277" i="21"/>
  <c r="AQ276" i="21"/>
  <c r="DU81" i="21"/>
  <c r="AV81" i="21"/>
  <c r="AW81" i="21" s="1"/>
  <c r="CY76" i="21"/>
  <c r="FK76" i="21"/>
  <c r="FM76" i="21" s="1"/>
  <c r="EW272" i="21"/>
  <c r="EX272" i="21" s="1"/>
  <c r="DQ78" i="21"/>
  <c r="ES273" i="21"/>
  <c r="ER273" i="21"/>
  <c r="ES79" i="21"/>
  <c r="ER79" i="21"/>
  <c r="DO273" i="21"/>
  <c r="DP273" i="21"/>
  <c r="CQ75" i="21"/>
  <c r="DS75" i="21"/>
  <c r="FK270" i="21"/>
  <c r="FM270" i="21" s="1"/>
  <c r="DE270" i="21"/>
  <c r="AD270" i="21"/>
  <c r="DN80" i="21"/>
  <c r="EM80" i="21"/>
  <c r="EP80" i="21" s="1"/>
  <c r="EQ80" i="21" s="1"/>
  <c r="DM74" i="5"/>
  <c r="DZ77" i="20"/>
  <c r="DH77" i="20"/>
  <c r="FT77" i="20"/>
  <c r="FE78" i="20"/>
  <c r="FF78" i="20" s="1"/>
  <c r="FS75" i="20"/>
  <c r="FU75" i="20" s="1"/>
  <c r="DG75" i="20"/>
  <c r="DV80" i="20"/>
  <c r="EU80" i="20"/>
  <c r="EX80" i="20" s="1"/>
  <c r="EY80" i="20" s="1"/>
  <c r="FF77" i="20"/>
  <c r="BC81" i="20"/>
  <c r="AZ81" i="20"/>
  <c r="BB82" i="20"/>
  <c r="AX83" i="20"/>
  <c r="AY82" i="20"/>
  <c r="DY78" i="20"/>
  <c r="FA79" i="20"/>
  <c r="EZ79" i="20"/>
  <c r="EC81" i="20"/>
  <c r="BD81" i="20"/>
  <c r="BE81" i="20" s="1"/>
  <c r="FT76" i="20"/>
  <c r="DH76" i="20"/>
  <c r="DX79" i="20"/>
  <c r="DW79" i="20"/>
  <c r="DZ76" i="20"/>
  <c r="DM272" i="5"/>
  <c r="CK272" i="5"/>
  <c r="AL80" i="5"/>
  <c r="AO80" i="5"/>
  <c r="DO80" i="5"/>
  <c r="AP80" i="5"/>
  <c r="AQ80" i="5" s="1"/>
  <c r="EQ77" i="5"/>
  <c r="EV77" i="5" s="1"/>
  <c r="DX77" i="5" s="1"/>
  <c r="CL77" i="5" s="1"/>
  <c r="DK77" i="5"/>
  <c r="EV76" i="5"/>
  <c r="AJ82" i="5"/>
  <c r="AN81" i="5"/>
  <c r="AK81" i="5"/>
  <c r="EL78" i="5"/>
  <c r="EM78" i="5"/>
  <c r="CS74" i="5"/>
  <c r="FE74" i="5"/>
  <c r="FG74" i="5" s="1"/>
  <c r="EQ273" i="5"/>
  <c r="ER273" i="5" s="1"/>
  <c r="DI78" i="5"/>
  <c r="DJ78" i="5"/>
  <c r="AL276" i="5"/>
  <c r="AO276" i="5"/>
  <c r="EM274" i="5"/>
  <c r="EL274" i="5"/>
  <c r="CS75" i="5"/>
  <c r="FE75" i="5"/>
  <c r="FG75" i="5" s="1"/>
  <c r="DH275" i="5"/>
  <c r="EG275" i="5"/>
  <c r="EJ275" i="5" s="1"/>
  <c r="EK275" i="5" s="1"/>
  <c r="AN277" i="5"/>
  <c r="AK277" i="5"/>
  <c r="DO276" i="5"/>
  <c r="AP276" i="5"/>
  <c r="AQ276" i="5" s="1"/>
  <c r="DI274" i="5"/>
  <c r="DJ274" i="5"/>
  <c r="DH79" i="5"/>
  <c r="EG79" i="5"/>
  <c r="EJ79" i="5" s="1"/>
  <c r="EK79" i="5" s="1"/>
  <c r="FE271" i="5"/>
  <c r="FG271" i="5" s="1"/>
  <c r="CY271" i="5"/>
  <c r="DK273" i="5"/>
  <c r="DL273" i="5" s="1"/>
  <c r="X271" i="5"/>
  <c r="AJ278" i="5"/>
  <c r="ES274" i="21" l="1"/>
  <c r="ER274" i="21"/>
  <c r="DP274" i="21"/>
  <c r="DO274" i="21"/>
  <c r="EW273" i="21"/>
  <c r="EX273" i="21" s="1"/>
  <c r="AT277" i="21"/>
  <c r="AP278" i="21"/>
  <c r="AQ277" i="21"/>
  <c r="DU276" i="21"/>
  <c r="AV276" i="21"/>
  <c r="AW276" i="21" s="1"/>
  <c r="DQ79" i="21"/>
  <c r="DP80" i="21"/>
  <c r="DO80" i="21"/>
  <c r="FB78" i="21"/>
  <c r="ED78" i="21" s="1"/>
  <c r="CR78" i="21" s="1"/>
  <c r="AU82" i="21"/>
  <c r="AR82" i="21"/>
  <c r="DN275" i="21"/>
  <c r="EM275" i="21"/>
  <c r="EP275" i="21" s="1"/>
  <c r="EQ275" i="21" s="1"/>
  <c r="DN81" i="21"/>
  <c r="EM81" i="21"/>
  <c r="EP81" i="21" s="1"/>
  <c r="EQ81" i="21" s="1"/>
  <c r="AP84" i="21"/>
  <c r="AT83" i="21"/>
  <c r="AQ83" i="21"/>
  <c r="FK271" i="21"/>
  <c r="FM271" i="21" s="1"/>
  <c r="AD271" i="21"/>
  <c r="DE271" i="21"/>
  <c r="DS272" i="21"/>
  <c r="CQ272" i="21"/>
  <c r="DQ273" i="21"/>
  <c r="DR273" i="21" s="1"/>
  <c r="EW79" i="21"/>
  <c r="FB79" i="21" s="1"/>
  <c r="ED79" i="21" s="1"/>
  <c r="CR79" i="21" s="1"/>
  <c r="AU276" i="21"/>
  <c r="AR276" i="21"/>
  <c r="DU82" i="21"/>
  <c r="AV82" i="21"/>
  <c r="AW82" i="21" s="1"/>
  <c r="CZ77" i="21"/>
  <c r="FL77" i="21"/>
  <c r="ES80" i="21"/>
  <c r="ER80" i="21"/>
  <c r="FK75" i="21"/>
  <c r="FM75" i="21" s="1"/>
  <c r="CY75" i="21"/>
  <c r="DR77" i="21"/>
  <c r="EZ80" i="20"/>
  <c r="FA80" i="20"/>
  <c r="EA76" i="20"/>
  <c r="CY76" i="20"/>
  <c r="DX80" i="20"/>
  <c r="DW80" i="20"/>
  <c r="DY79" i="20"/>
  <c r="DV81" i="20"/>
  <c r="EU81" i="20"/>
  <c r="EX81" i="20" s="1"/>
  <c r="EY81" i="20" s="1"/>
  <c r="AZ82" i="20"/>
  <c r="BC82" i="20"/>
  <c r="FE79" i="20"/>
  <c r="FJ79" i="20" s="1"/>
  <c r="EL79" i="20" s="1"/>
  <c r="CZ79" i="20" s="1"/>
  <c r="AX84" i="20"/>
  <c r="BB83" i="20"/>
  <c r="AY83" i="20"/>
  <c r="FJ78" i="20"/>
  <c r="EC82" i="20"/>
  <c r="BD82" i="20"/>
  <c r="BE82" i="20" s="1"/>
  <c r="CY77" i="20"/>
  <c r="EA77" i="20"/>
  <c r="DM273" i="5"/>
  <c r="CK273" i="5"/>
  <c r="DL77" i="5"/>
  <c r="FF77" i="5"/>
  <c r="CT77" i="5"/>
  <c r="EQ274" i="5"/>
  <c r="ER274" i="5" s="1"/>
  <c r="DH276" i="5"/>
  <c r="EG276" i="5"/>
  <c r="EJ276" i="5" s="1"/>
  <c r="EK276" i="5" s="1"/>
  <c r="ER77" i="5"/>
  <c r="DK274" i="5"/>
  <c r="DL274" i="5" s="1"/>
  <c r="DO277" i="5"/>
  <c r="AP277" i="5"/>
  <c r="AQ277" i="5" s="1"/>
  <c r="DH80" i="5"/>
  <c r="EG80" i="5"/>
  <c r="EJ80" i="5" s="1"/>
  <c r="EK80" i="5" s="1"/>
  <c r="AN278" i="5"/>
  <c r="AK278" i="5"/>
  <c r="EQ78" i="5"/>
  <c r="ER78" i="5" s="1"/>
  <c r="EL79" i="5"/>
  <c r="EM79" i="5"/>
  <c r="EL275" i="5"/>
  <c r="EM275" i="5"/>
  <c r="AL81" i="5"/>
  <c r="AO81" i="5"/>
  <c r="DI79" i="5"/>
  <c r="DJ79" i="5"/>
  <c r="DI275" i="5"/>
  <c r="DJ275" i="5"/>
  <c r="DK78" i="5"/>
  <c r="DO81" i="5"/>
  <c r="AP81" i="5"/>
  <c r="AQ81" i="5" s="1"/>
  <c r="DX76" i="5"/>
  <c r="CL76" i="5" s="1"/>
  <c r="DL76" i="5"/>
  <c r="AL277" i="5"/>
  <c r="AO277" i="5"/>
  <c r="AJ83" i="5"/>
  <c r="AN82" i="5"/>
  <c r="AK82" i="5"/>
  <c r="FE272" i="5"/>
  <c r="FG272" i="5" s="1"/>
  <c r="CS272" i="5"/>
  <c r="AJ279" i="5"/>
  <c r="X272" i="5"/>
  <c r="DR79" i="21" l="1"/>
  <c r="FL79" i="21"/>
  <c r="CZ79" i="21"/>
  <c r="DS273" i="21"/>
  <c r="CQ273" i="21"/>
  <c r="CQ77" i="21"/>
  <c r="DS77" i="21"/>
  <c r="DP275" i="21"/>
  <c r="DO275" i="21"/>
  <c r="DP81" i="21"/>
  <c r="DO81" i="21"/>
  <c r="DN276" i="21"/>
  <c r="EM276" i="21"/>
  <c r="EP276" i="21" s="1"/>
  <c r="EQ276" i="21" s="1"/>
  <c r="FL78" i="21"/>
  <c r="CZ78" i="21"/>
  <c r="DU277" i="21"/>
  <c r="AV277" i="21"/>
  <c r="AW277" i="21" s="1"/>
  <c r="AP85" i="21"/>
  <c r="AT84" i="21"/>
  <c r="AQ84" i="21"/>
  <c r="DN82" i="21"/>
  <c r="EM82" i="21"/>
  <c r="EP82" i="21" s="1"/>
  <c r="EQ82" i="21" s="1"/>
  <c r="EX79" i="21"/>
  <c r="ES81" i="21"/>
  <c r="ER81" i="21"/>
  <c r="AT278" i="21"/>
  <c r="AP279" i="21"/>
  <c r="AQ278" i="21"/>
  <c r="DQ274" i="21"/>
  <c r="DR274" i="21" s="1"/>
  <c r="EW80" i="21"/>
  <c r="EX80" i="21" s="1"/>
  <c r="DQ80" i="21"/>
  <c r="EW274" i="21"/>
  <c r="EX274" i="21" s="1"/>
  <c r="AU277" i="21"/>
  <c r="AR277" i="21"/>
  <c r="AU83" i="21"/>
  <c r="AR83" i="21"/>
  <c r="ES275" i="21"/>
  <c r="ER275" i="21"/>
  <c r="FK272" i="21"/>
  <c r="FM272" i="21" s="1"/>
  <c r="AD272" i="21"/>
  <c r="CY272" i="21"/>
  <c r="DU83" i="21"/>
  <c r="AV83" i="21"/>
  <c r="AW83" i="21" s="1"/>
  <c r="DR78" i="21"/>
  <c r="FF79" i="20"/>
  <c r="EV78" i="5"/>
  <c r="DX78" i="5" s="1"/>
  <c r="CL78" i="5" s="1"/>
  <c r="CT78" i="5" s="1"/>
  <c r="FT79" i="20"/>
  <c r="DH79" i="20"/>
  <c r="DZ79" i="20"/>
  <c r="FS76" i="20"/>
  <c r="FU76" i="20" s="1"/>
  <c r="DG76" i="20"/>
  <c r="EC83" i="20"/>
  <c r="BD83" i="20"/>
  <c r="BE83" i="20" s="1"/>
  <c r="BC83" i="20"/>
  <c r="AZ83" i="20"/>
  <c r="DG77" i="20"/>
  <c r="FS77" i="20"/>
  <c r="FU77" i="20" s="1"/>
  <c r="EZ81" i="20"/>
  <c r="FA81" i="20"/>
  <c r="FE80" i="20"/>
  <c r="FF80" i="20" s="1"/>
  <c r="AX85" i="20"/>
  <c r="BB84" i="20"/>
  <c r="AY84" i="20"/>
  <c r="DW81" i="20"/>
  <c r="DX81" i="20"/>
  <c r="DY80" i="20"/>
  <c r="DV82" i="20"/>
  <c r="EU82" i="20"/>
  <c r="EX82" i="20" s="1"/>
  <c r="EY82" i="20" s="1"/>
  <c r="EL78" i="20"/>
  <c r="CZ78" i="20" s="1"/>
  <c r="DZ78" i="20"/>
  <c r="DM274" i="5"/>
  <c r="CK274" i="5"/>
  <c r="EQ275" i="5"/>
  <c r="ER275" i="5" s="1"/>
  <c r="EM80" i="5"/>
  <c r="EL80" i="5"/>
  <c r="DJ276" i="5"/>
  <c r="DI276" i="5"/>
  <c r="DJ80" i="5"/>
  <c r="DI80" i="5"/>
  <c r="DK275" i="5"/>
  <c r="DL275" i="5" s="1"/>
  <c r="EQ79" i="5"/>
  <c r="EV79" i="5" s="1"/>
  <c r="DX79" i="5" s="1"/>
  <c r="CL79" i="5" s="1"/>
  <c r="CK76" i="5"/>
  <c r="DM76" i="5"/>
  <c r="DH277" i="5"/>
  <c r="EG277" i="5"/>
  <c r="EJ277" i="5" s="1"/>
  <c r="EK277" i="5" s="1"/>
  <c r="DM77" i="5"/>
  <c r="CK77" i="5"/>
  <c r="AJ84" i="5"/>
  <c r="AN83" i="5"/>
  <c r="AK83" i="5"/>
  <c r="DK79" i="5"/>
  <c r="AN279" i="5"/>
  <c r="AK279" i="5"/>
  <c r="AL82" i="5"/>
  <c r="AO82" i="5"/>
  <c r="DH81" i="5"/>
  <c r="EG81" i="5"/>
  <c r="EJ81" i="5" s="1"/>
  <c r="EK81" i="5" s="1"/>
  <c r="AL278" i="5"/>
  <c r="AO278" i="5"/>
  <c r="CY273" i="5"/>
  <c r="FE273" i="5"/>
  <c r="FG273" i="5" s="1"/>
  <c r="CT76" i="5"/>
  <c r="FF76" i="5"/>
  <c r="DO82" i="5"/>
  <c r="AP82" i="5"/>
  <c r="AQ82" i="5" s="1"/>
  <c r="DO278" i="5"/>
  <c r="AP278" i="5"/>
  <c r="AQ278" i="5" s="1"/>
  <c r="EL276" i="5"/>
  <c r="EM276" i="5"/>
  <c r="X273" i="5"/>
  <c r="AJ280" i="5"/>
  <c r="X274" i="5"/>
  <c r="CQ274" i="21" l="1"/>
  <c r="DS274" i="21"/>
  <c r="AU84" i="21"/>
  <c r="AR84" i="21"/>
  <c r="DP276" i="21"/>
  <c r="DO276" i="21"/>
  <c r="ER82" i="21"/>
  <c r="ES82" i="21"/>
  <c r="EW275" i="21"/>
  <c r="EX275" i="21" s="1"/>
  <c r="ES276" i="21"/>
  <c r="ER276" i="21"/>
  <c r="DQ81" i="21"/>
  <c r="DN83" i="21"/>
  <c r="EM83" i="21"/>
  <c r="EP83" i="21" s="1"/>
  <c r="EQ83" i="21" s="1"/>
  <c r="DQ275" i="21"/>
  <c r="DR275" i="21" s="1"/>
  <c r="DP82" i="21"/>
  <c r="DO82" i="21"/>
  <c r="FB80" i="21"/>
  <c r="AP86" i="21"/>
  <c r="AT85" i="21"/>
  <c r="AQ85" i="21"/>
  <c r="CY77" i="21"/>
  <c r="FK77" i="21"/>
  <c r="FM77" i="21" s="1"/>
  <c r="DE273" i="21"/>
  <c r="FK273" i="21"/>
  <c r="FM273" i="21" s="1"/>
  <c r="AD273" i="21"/>
  <c r="DU84" i="21"/>
  <c r="AV84" i="21"/>
  <c r="AW84" i="21" s="1"/>
  <c r="AU278" i="21"/>
  <c r="AR278" i="21"/>
  <c r="AT279" i="21"/>
  <c r="AP280" i="21"/>
  <c r="AQ279" i="21"/>
  <c r="DN277" i="21"/>
  <c r="EM277" i="21"/>
  <c r="EP277" i="21" s="1"/>
  <c r="EQ277" i="21" s="1"/>
  <c r="DU278" i="21"/>
  <c r="AV278" i="21"/>
  <c r="AW278" i="21" s="1"/>
  <c r="CQ78" i="21"/>
  <c r="DS78" i="21"/>
  <c r="EW81" i="21"/>
  <c r="EX81" i="21" s="1"/>
  <c r="DS79" i="21"/>
  <c r="CQ79" i="21"/>
  <c r="FJ80" i="20"/>
  <c r="EL80" i="20" s="1"/>
  <c r="CZ80" i="20" s="1"/>
  <c r="DH80" i="20" s="1"/>
  <c r="FF78" i="5"/>
  <c r="DL78" i="5"/>
  <c r="ER79" i="5"/>
  <c r="DL79" i="5"/>
  <c r="DM79" i="5" s="1"/>
  <c r="FA82" i="20"/>
  <c r="EZ82" i="20"/>
  <c r="BB85" i="20"/>
  <c r="AX86" i="20"/>
  <c r="AY85" i="20"/>
  <c r="DV83" i="20"/>
  <c r="EU83" i="20"/>
  <c r="EX83" i="20" s="1"/>
  <c r="EY83" i="20" s="1"/>
  <c r="FT78" i="20"/>
  <c r="DH78" i="20"/>
  <c r="DW82" i="20"/>
  <c r="DX82" i="20"/>
  <c r="FE81" i="20"/>
  <c r="FJ81" i="20" s="1"/>
  <c r="EA79" i="20"/>
  <c r="CY79" i="20"/>
  <c r="EA78" i="20"/>
  <c r="CY78" i="20"/>
  <c r="DY81" i="20"/>
  <c r="BC84" i="20"/>
  <c r="AZ84" i="20"/>
  <c r="EC84" i="20"/>
  <c r="BD84" i="20"/>
  <c r="BE84" i="20" s="1"/>
  <c r="DM275" i="5"/>
  <c r="CK275" i="5"/>
  <c r="AO279" i="5"/>
  <c r="AL279" i="5"/>
  <c r="EQ80" i="5"/>
  <c r="ER80" i="5" s="1"/>
  <c r="FF79" i="5"/>
  <c r="CT79" i="5"/>
  <c r="DO279" i="5"/>
  <c r="AP279" i="5"/>
  <c r="AQ279" i="5" s="1"/>
  <c r="DH278" i="5"/>
  <c r="EG278" i="5"/>
  <c r="EJ278" i="5" s="1"/>
  <c r="EK278" i="5" s="1"/>
  <c r="EM277" i="5"/>
  <c r="EL277" i="5"/>
  <c r="EQ276" i="5"/>
  <c r="ER276" i="5" s="1"/>
  <c r="EM81" i="5"/>
  <c r="EL81" i="5"/>
  <c r="AL83" i="5"/>
  <c r="AO83" i="5"/>
  <c r="DI277" i="5"/>
  <c r="DJ277" i="5"/>
  <c r="DK80" i="5"/>
  <c r="DO83" i="5"/>
  <c r="AP83" i="5"/>
  <c r="AQ83" i="5" s="1"/>
  <c r="DH82" i="5"/>
  <c r="EG82" i="5"/>
  <c r="EJ82" i="5" s="1"/>
  <c r="EK82" i="5" s="1"/>
  <c r="DI81" i="5"/>
  <c r="DJ81" i="5"/>
  <c r="AJ85" i="5"/>
  <c r="AN84" i="5"/>
  <c r="AK84" i="5"/>
  <c r="CS76" i="5"/>
  <c r="FE76" i="5"/>
  <c r="FG76" i="5" s="1"/>
  <c r="DK276" i="5"/>
  <c r="DL276" i="5" s="1"/>
  <c r="CY274" i="5"/>
  <c r="FE274" i="5"/>
  <c r="FG274" i="5" s="1"/>
  <c r="AN280" i="5"/>
  <c r="AK280" i="5"/>
  <c r="CS77" i="5"/>
  <c r="FE77" i="5"/>
  <c r="FG77" i="5" s="1"/>
  <c r="AJ281" i="5"/>
  <c r="DS275" i="21" l="1"/>
  <c r="CQ275" i="21"/>
  <c r="ED80" i="21"/>
  <c r="CR80" i="21" s="1"/>
  <c r="DR80" i="21"/>
  <c r="ES83" i="21"/>
  <c r="ER83" i="21"/>
  <c r="AR279" i="21"/>
  <c r="AU279" i="21"/>
  <c r="EW276" i="21"/>
  <c r="EX276" i="21" s="1"/>
  <c r="ER277" i="21"/>
  <c r="ES277" i="21"/>
  <c r="AT280" i="21"/>
  <c r="AP281" i="21"/>
  <c r="AQ280" i="21"/>
  <c r="AP87" i="21"/>
  <c r="AT86" i="21"/>
  <c r="AQ86" i="21"/>
  <c r="FB81" i="21"/>
  <c r="ED81" i="21" s="1"/>
  <c r="CR81" i="21" s="1"/>
  <c r="DN278" i="21"/>
  <c r="EM278" i="21"/>
  <c r="EP278" i="21" s="1"/>
  <c r="EQ278" i="21" s="1"/>
  <c r="EW82" i="21"/>
  <c r="EX82" i="21" s="1"/>
  <c r="DO277" i="21"/>
  <c r="DP277" i="21"/>
  <c r="DQ276" i="21"/>
  <c r="DR276" i="21" s="1"/>
  <c r="FK79" i="21"/>
  <c r="FM79" i="21" s="1"/>
  <c r="CY79" i="21"/>
  <c r="DP83" i="21"/>
  <c r="DO83" i="21"/>
  <c r="DQ82" i="21"/>
  <c r="DU279" i="21"/>
  <c r="AV279" i="21"/>
  <c r="AW279" i="21" s="1"/>
  <c r="DU85" i="21"/>
  <c r="AV85" i="21"/>
  <c r="AW85" i="21" s="1"/>
  <c r="FK78" i="21"/>
  <c r="FM78" i="21" s="1"/>
  <c r="CY78" i="21"/>
  <c r="AR85" i="21"/>
  <c r="AU85" i="21"/>
  <c r="DN84" i="21"/>
  <c r="EM84" i="21"/>
  <c r="EP84" i="21" s="1"/>
  <c r="EQ84" i="21" s="1"/>
  <c r="AD274" i="21"/>
  <c r="DE274" i="21"/>
  <c r="FK274" i="21"/>
  <c r="FM274" i="21" s="1"/>
  <c r="FT80" i="20"/>
  <c r="DZ80" i="20"/>
  <c r="EV80" i="5"/>
  <c r="DX80" i="5" s="1"/>
  <c r="CL80" i="5" s="1"/>
  <c r="CT80" i="5" s="1"/>
  <c r="DM78" i="5"/>
  <c r="CK78" i="5"/>
  <c r="CK79" i="5"/>
  <c r="CS79" i="5" s="1"/>
  <c r="EL81" i="20"/>
  <c r="CZ81" i="20" s="1"/>
  <c r="DZ81" i="20"/>
  <c r="FS79" i="20"/>
  <c r="FU79" i="20" s="1"/>
  <c r="DG79" i="20"/>
  <c r="AX87" i="20"/>
  <c r="BB86" i="20"/>
  <c r="AY86" i="20"/>
  <c r="FA83" i="20"/>
  <c r="EZ83" i="20"/>
  <c r="DX83" i="20"/>
  <c r="DW83" i="20"/>
  <c r="FE82" i="20"/>
  <c r="FF82" i="20" s="1"/>
  <c r="EC85" i="20"/>
  <c r="BD85" i="20"/>
  <c r="BE85" i="20" s="1"/>
  <c r="FF81" i="20"/>
  <c r="DV84" i="20"/>
  <c r="EU84" i="20"/>
  <c r="EX84" i="20" s="1"/>
  <c r="EY84" i="20" s="1"/>
  <c r="FS78" i="20"/>
  <c r="FU78" i="20" s="1"/>
  <c r="DG78" i="20"/>
  <c r="DY82" i="20"/>
  <c r="BC85" i="20"/>
  <c r="AZ85" i="20"/>
  <c r="DM276" i="5"/>
  <c r="CK276" i="5"/>
  <c r="DO84" i="5"/>
  <c r="AP84" i="5"/>
  <c r="AQ84" i="5" s="1"/>
  <c r="DJ82" i="5"/>
  <c r="DI82" i="5"/>
  <c r="DK277" i="5"/>
  <c r="DL277" i="5" s="1"/>
  <c r="AJ86" i="5"/>
  <c r="AN85" i="5"/>
  <c r="AK85" i="5"/>
  <c r="EM278" i="5"/>
  <c r="EL278" i="5"/>
  <c r="DH83" i="5"/>
  <c r="EG83" i="5"/>
  <c r="EJ83" i="5" s="1"/>
  <c r="EK83" i="5" s="1"/>
  <c r="DI278" i="5"/>
  <c r="DJ278" i="5"/>
  <c r="EQ81" i="5"/>
  <c r="EV81" i="5" s="1"/>
  <c r="DX81" i="5" s="1"/>
  <c r="CL81" i="5" s="1"/>
  <c r="DH279" i="5"/>
  <c r="EG279" i="5"/>
  <c r="EJ279" i="5" s="1"/>
  <c r="EK279" i="5" s="1"/>
  <c r="AN281" i="5"/>
  <c r="AK281" i="5"/>
  <c r="DK81" i="5"/>
  <c r="FE275" i="5"/>
  <c r="FG275" i="5" s="1"/>
  <c r="CY275" i="5"/>
  <c r="DO280" i="5"/>
  <c r="AP280" i="5"/>
  <c r="AQ280" i="5" s="1"/>
  <c r="AL280" i="5"/>
  <c r="AO280" i="5"/>
  <c r="AL84" i="5"/>
  <c r="AO84" i="5"/>
  <c r="EL82" i="5"/>
  <c r="EM82" i="5"/>
  <c r="EQ277" i="5"/>
  <c r="ER277" i="5" s="1"/>
  <c r="X275" i="5"/>
  <c r="AJ282" i="5"/>
  <c r="FB82" i="21" l="1"/>
  <c r="ED82" i="21" s="1"/>
  <c r="CR82" i="21" s="1"/>
  <c r="DS276" i="21"/>
  <c r="CQ276" i="21"/>
  <c r="DU86" i="21"/>
  <c r="AV86" i="21"/>
  <c r="AW86" i="21" s="1"/>
  <c r="FL82" i="21"/>
  <c r="CZ82" i="21"/>
  <c r="DU280" i="21"/>
  <c r="AV280" i="21"/>
  <c r="AW280" i="21" s="1"/>
  <c r="DN279" i="21"/>
  <c r="EM279" i="21"/>
  <c r="EP279" i="21" s="1"/>
  <c r="EQ279" i="21" s="1"/>
  <c r="EW277" i="21"/>
  <c r="EX277" i="21" s="1"/>
  <c r="DO84" i="21"/>
  <c r="DP84" i="21"/>
  <c r="DN85" i="21"/>
  <c r="EM85" i="21"/>
  <c r="EP85" i="21" s="1"/>
  <c r="EQ85" i="21" s="1"/>
  <c r="ER84" i="21"/>
  <c r="ES84" i="21"/>
  <c r="AP88" i="21"/>
  <c r="AT87" i="21"/>
  <c r="AQ87" i="21"/>
  <c r="EW83" i="21"/>
  <c r="EX83" i="21" s="1"/>
  <c r="ES278" i="21"/>
  <c r="ER278" i="21"/>
  <c r="AU280" i="21"/>
  <c r="AR280" i="21"/>
  <c r="DR82" i="21"/>
  <c r="AT281" i="21"/>
  <c r="AP282" i="21"/>
  <c r="AQ281" i="21"/>
  <c r="CQ80" i="21"/>
  <c r="DS80" i="21"/>
  <c r="DP278" i="21"/>
  <c r="DO278" i="21"/>
  <c r="CZ80" i="21"/>
  <c r="FL80" i="21"/>
  <c r="CZ81" i="21"/>
  <c r="FL81" i="21"/>
  <c r="FK275" i="21"/>
  <c r="FM275" i="21" s="1"/>
  <c r="AD275" i="21"/>
  <c r="CY275" i="21"/>
  <c r="AU86" i="21"/>
  <c r="AR86" i="21"/>
  <c r="DQ83" i="21"/>
  <c r="DQ277" i="21"/>
  <c r="DR277" i="21" s="1"/>
  <c r="DR81" i="21"/>
  <c r="CY80" i="20"/>
  <c r="EA80" i="20"/>
  <c r="FE79" i="5"/>
  <c r="FG79" i="5" s="1"/>
  <c r="DL80" i="5"/>
  <c r="DM80" i="5" s="1"/>
  <c r="FF80" i="5"/>
  <c r="FE78" i="5"/>
  <c r="FG78" i="5" s="1"/>
  <c r="CS78" i="5"/>
  <c r="DX84" i="20"/>
  <c r="DW84" i="20"/>
  <c r="FE83" i="20"/>
  <c r="FJ83" i="20" s="1"/>
  <c r="EL83" i="20" s="1"/>
  <c r="CZ83" i="20" s="1"/>
  <c r="DV85" i="20"/>
  <c r="EU85" i="20"/>
  <c r="EX85" i="20" s="1"/>
  <c r="EY85" i="20" s="1"/>
  <c r="BC86" i="20"/>
  <c r="AZ86" i="20"/>
  <c r="EC86" i="20"/>
  <c r="BD86" i="20"/>
  <c r="BE86" i="20" s="1"/>
  <c r="FJ82" i="20"/>
  <c r="EL82" i="20" s="1"/>
  <c r="CZ82" i="20" s="1"/>
  <c r="AX88" i="20"/>
  <c r="BB87" i="20"/>
  <c r="AY87" i="20"/>
  <c r="EA81" i="20"/>
  <c r="CY81" i="20"/>
  <c r="FA84" i="20"/>
  <c r="EZ84" i="20"/>
  <c r="DY83" i="20"/>
  <c r="FT81" i="20"/>
  <c r="DH81" i="20"/>
  <c r="DM277" i="5"/>
  <c r="CK277" i="5"/>
  <c r="CT81" i="5"/>
  <c r="FF81" i="5"/>
  <c r="DL81" i="5"/>
  <c r="DK82" i="5"/>
  <c r="AN282" i="5"/>
  <c r="AK282" i="5"/>
  <c r="ER81" i="5"/>
  <c r="AL85" i="5"/>
  <c r="AO85" i="5"/>
  <c r="AL281" i="5"/>
  <c r="AO281" i="5"/>
  <c r="DO85" i="5"/>
  <c r="AP85" i="5"/>
  <c r="AQ85" i="5" s="1"/>
  <c r="DO281" i="5"/>
  <c r="AP281" i="5"/>
  <c r="AQ281" i="5" s="1"/>
  <c r="AJ87" i="5"/>
  <c r="AN86" i="5"/>
  <c r="AK86" i="5"/>
  <c r="DH84" i="5"/>
  <c r="EG84" i="5"/>
  <c r="EJ84" i="5" s="1"/>
  <c r="EK84" i="5" s="1"/>
  <c r="DK278" i="5"/>
  <c r="DL278" i="5" s="1"/>
  <c r="DH280" i="5"/>
  <c r="EG280" i="5"/>
  <c r="EJ280" i="5" s="1"/>
  <c r="EK280" i="5" s="1"/>
  <c r="EL83" i="5"/>
  <c r="EM83" i="5"/>
  <c r="EL279" i="5"/>
  <c r="EM279" i="5"/>
  <c r="DI83" i="5"/>
  <c r="DJ83" i="5"/>
  <c r="FE276" i="5"/>
  <c r="FG276" i="5" s="1"/>
  <c r="CS276" i="5"/>
  <c r="EQ82" i="5"/>
  <c r="ER82" i="5" s="1"/>
  <c r="DI279" i="5"/>
  <c r="DJ279" i="5"/>
  <c r="EQ278" i="5"/>
  <c r="ER278" i="5" s="1"/>
  <c r="AJ283" i="5"/>
  <c r="X276" i="5"/>
  <c r="DQ84" i="21" l="1"/>
  <c r="DQ278" i="21"/>
  <c r="DR278" i="21" s="1"/>
  <c r="DS277" i="21"/>
  <c r="CQ277" i="21"/>
  <c r="AU87" i="21"/>
  <c r="AR87" i="21"/>
  <c r="AP89" i="21"/>
  <c r="AT88" i="21"/>
  <c r="AQ88" i="21"/>
  <c r="DP85" i="21"/>
  <c r="DO85" i="21"/>
  <c r="AU281" i="21"/>
  <c r="AR281" i="21"/>
  <c r="ER279" i="21"/>
  <c r="ES279" i="21"/>
  <c r="AT282" i="21"/>
  <c r="AP283" i="21"/>
  <c r="AQ282" i="21"/>
  <c r="DN280" i="21"/>
  <c r="EM280" i="21"/>
  <c r="EP280" i="21" s="1"/>
  <c r="EQ280" i="21" s="1"/>
  <c r="EW84" i="21"/>
  <c r="EX84" i="21" s="1"/>
  <c r="DU281" i="21"/>
  <c r="AV281" i="21"/>
  <c r="AW281" i="21" s="1"/>
  <c r="DU87" i="21"/>
  <c r="AV87" i="21"/>
  <c r="AW87" i="21" s="1"/>
  <c r="DS82" i="21"/>
  <c r="CQ82" i="21"/>
  <c r="ES85" i="21"/>
  <c r="ER85" i="21"/>
  <c r="CY80" i="21"/>
  <c r="FK80" i="21"/>
  <c r="FM80" i="21" s="1"/>
  <c r="DN86" i="21"/>
  <c r="EM86" i="21"/>
  <c r="EP86" i="21" s="1"/>
  <c r="EQ86" i="21" s="1"/>
  <c r="FB83" i="21"/>
  <c r="ED83" i="21" s="1"/>
  <c r="CR83" i="21" s="1"/>
  <c r="DP279" i="21"/>
  <c r="DO279" i="21"/>
  <c r="CQ81" i="21"/>
  <c r="DS81" i="21"/>
  <c r="EW278" i="21"/>
  <c r="EX278" i="21" s="1"/>
  <c r="AD276" i="21"/>
  <c r="FK276" i="21"/>
  <c r="FM276" i="21" s="1"/>
  <c r="DE276" i="21"/>
  <c r="FS80" i="20"/>
  <c r="FU80" i="20" s="1"/>
  <c r="DG80" i="20"/>
  <c r="FF83" i="20"/>
  <c r="CK80" i="5"/>
  <c r="FT83" i="20"/>
  <c r="DH83" i="20"/>
  <c r="DZ83" i="20"/>
  <c r="AX89" i="20"/>
  <c r="BB88" i="20"/>
  <c r="AY88" i="20"/>
  <c r="DY84" i="20"/>
  <c r="DX85" i="20"/>
  <c r="DW85" i="20"/>
  <c r="DZ82" i="20"/>
  <c r="FT82" i="20"/>
  <c r="DH82" i="20"/>
  <c r="FA85" i="20"/>
  <c r="EZ85" i="20"/>
  <c r="FE84" i="20"/>
  <c r="FJ84" i="20" s="1"/>
  <c r="EL84" i="20" s="1"/>
  <c r="CZ84" i="20" s="1"/>
  <c r="BC87" i="20"/>
  <c r="AZ87" i="20"/>
  <c r="DV86" i="20"/>
  <c r="EU86" i="20"/>
  <c r="EX86" i="20" s="1"/>
  <c r="EY86" i="20" s="1"/>
  <c r="FS81" i="20"/>
  <c r="FU81" i="20" s="1"/>
  <c r="DG81" i="20"/>
  <c r="EC87" i="20"/>
  <c r="BD87" i="20"/>
  <c r="BE87" i="20" s="1"/>
  <c r="DM278" i="5"/>
  <c r="CK278" i="5"/>
  <c r="EQ279" i="5"/>
  <c r="ER279" i="5" s="1"/>
  <c r="DO282" i="5"/>
  <c r="AP282" i="5"/>
  <c r="AQ282" i="5" s="1"/>
  <c r="EV82" i="5"/>
  <c r="DX82" i="5" s="1"/>
  <c r="CL82" i="5" s="1"/>
  <c r="EL84" i="5"/>
  <c r="EM84" i="5"/>
  <c r="DH85" i="5"/>
  <c r="EG85" i="5"/>
  <c r="EJ85" i="5" s="1"/>
  <c r="EK85" i="5" s="1"/>
  <c r="DK279" i="5"/>
  <c r="DL279" i="5" s="1"/>
  <c r="EQ83" i="5"/>
  <c r="EV83" i="5" s="1"/>
  <c r="DX83" i="5" s="1"/>
  <c r="CL83" i="5" s="1"/>
  <c r="DI84" i="5"/>
  <c r="DJ84" i="5"/>
  <c r="EL280" i="5"/>
  <c r="EM280" i="5"/>
  <c r="AO86" i="5"/>
  <c r="AL86" i="5"/>
  <c r="DM81" i="5"/>
  <c r="CK81" i="5"/>
  <c r="AN283" i="5"/>
  <c r="AK283" i="5"/>
  <c r="DJ280" i="5"/>
  <c r="DI280" i="5"/>
  <c r="DO86" i="5"/>
  <c r="AP86" i="5"/>
  <c r="AQ86" i="5" s="1"/>
  <c r="AJ88" i="5"/>
  <c r="AN87" i="5"/>
  <c r="AK87" i="5"/>
  <c r="DK83" i="5"/>
  <c r="CY277" i="5"/>
  <c r="FE277" i="5"/>
  <c r="FG277" i="5" s="1"/>
  <c r="DH281" i="5"/>
  <c r="EG281" i="5"/>
  <c r="EJ281" i="5" s="1"/>
  <c r="EK281" i="5" s="1"/>
  <c r="AL282" i="5"/>
  <c r="AO282" i="5"/>
  <c r="X277" i="5"/>
  <c r="AJ284" i="5"/>
  <c r="FB84" i="21" l="1"/>
  <c r="ED84" i="21" s="1"/>
  <c r="CR84" i="21" s="1"/>
  <c r="DR84" i="21"/>
  <c r="DS278" i="21"/>
  <c r="CQ278" i="21"/>
  <c r="DS84" i="21"/>
  <c r="CQ84" i="21"/>
  <c r="FL84" i="21"/>
  <c r="CZ84" i="21"/>
  <c r="AU88" i="21"/>
  <c r="AR88" i="21"/>
  <c r="ES280" i="21"/>
  <c r="ER280" i="21"/>
  <c r="DU88" i="21"/>
  <c r="AV88" i="21"/>
  <c r="AW88" i="21" s="1"/>
  <c r="AP284" i="21"/>
  <c r="AT283" i="21"/>
  <c r="AQ283" i="21"/>
  <c r="AR282" i="21"/>
  <c r="AU282" i="21"/>
  <c r="CY82" i="21"/>
  <c r="FK82" i="21"/>
  <c r="FM82" i="21" s="1"/>
  <c r="EW279" i="21"/>
  <c r="EX279" i="21" s="1"/>
  <c r="DO86" i="21"/>
  <c r="DP86" i="21"/>
  <c r="AD277" i="21"/>
  <c r="FK277" i="21"/>
  <c r="FM277" i="21" s="1"/>
  <c r="DE277" i="21"/>
  <c r="FL83" i="21"/>
  <c r="CZ83" i="21"/>
  <c r="DQ85" i="21"/>
  <c r="DQ279" i="21"/>
  <c r="DR279" i="21" s="1"/>
  <c r="ES86" i="21"/>
  <c r="ER86" i="21"/>
  <c r="AT89" i="21"/>
  <c r="AP90" i="21"/>
  <c r="AQ89" i="21"/>
  <c r="DN87" i="21"/>
  <c r="EM87" i="21"/>
  <c r="EP87" i="21" s="1"/>
  <c r="EQ87" i="21" s="1"/>
  <c r="DO280" i="21"/>
  <c r="DP280" i="21"/>
  <c r="CY81" i="21"/>
  <c r="FK81" i="21"/>
  <c r="FM81" i="21" s="1"/>
  <c r="DN281" i="21"/>
  <c r="EM281" i="21"/>
  <c r="EP281" i="21" s="1"/>
  <c r="EQ281" i="21" s="1"/>
  <c r="DU282" i="21"/>
  <c r="AV282" i="21"/>
  <c r="AW282" i="21" s="1"/>
  <c r="EW85" i="21"/>
  <c r="FB85" i="21" s="1"/>
  <c r="ED85" i="21" s="1"/>
  <c r="CR85" i="21" s="1"/>
  <c r="DR83" i="21"/>
  <c r="FE80" i="5"/>
  <c r="FG80" i="5" s="1"/>
  <c r="CS80" i="5"/>
  <c r="ER83" i="5"/>
  <c r="DL83" i="5"/>
  <c r="DM83" i="5" s="1"/>
  <c r="DZ84" i="20"/>
  <c r="FT84" i="20"/>
  <c r="DH84" i="20"/>
  <c r="BB89" i="20"/>
  <c r="AX90" i="20"/>
  <c r="AY89" i="20"/>
  <c r="DY85" i="20"/>
  <c r="FF84" i="20"/>
  <c r="FE85" i="20"/>
  <c r="FJ85" i="20" s="1"/>
  <c r="EL85" i="20" s="1"/>
  <c r="CZ85" i="20" s="1"/>
  <c r="CY83" i="20"/>
  <c r="EA83" i="20"/>
  <c r="CY82" i="20"/>
  <c r="EA82" i="20"/>
  <c r="DV87" i="20"/>
  <c r="EU87" i="20"/>
  <c r="EX87" i="20" s="1"/>
  <c r="EY87" i="20" s="1"/>
  <c r="FA86" i="20"/>
  <c r="EZ86" i="20"/>
  <c r="BC88" i="20"/>
  <c r="AZ88" i="20"/>
  <c r="DX86" i="20"/>
  <c r="DW86" i="20"/>
  <c r="EC88" i="20"/>
  <c r="BD88" i="20"/>
  <c r="BE88" i="20" s="1"/>
  <c r="CT82" i="5"/>
  <c r="FF82" i="5"/>
  <c r="AN284" i="5"/>
  <c r="AK284" i="5"/>
  <c r="DI281" i="5"/>
  <c r="DJ281" i="5"/>
  <c r="CT83" i="5"/>
  <c r="FF83" i="5"/>
  <c r="DH86" i="5"/>
  <c r="EG86" i="5"/>
  <c r="EJ86" i="5" s="1"/>
  <c r="EK86" i="5" s="1"/>
  <c r="DH282" i="5"/>
  <c r="EG282" i="5"/>
  <c r="EJ282" i="5" s="1"/>
  <c r="EK282" i="5" s="1"/>
  <c r="EL281" i="5"/>
  <c r="EM281" i="5"/>
  <c r="DK280" i="5"/>
  <c r="DL280" i="5" s="1"/>
  <c r="DM279" i="5"/>
  <c r="CK279" i="5"/>
  <c r="EQ280" i="5"/>
  <c r="ER280" i="5" s="1"/>
  <c r="EL85" i="5"/>
  <c r="EM85" i="5"/>
  <c r="AO283" i="5"/>
  <c r="AL283" i="5"/>
  <c r="DJ85" i="5"/>
  <c r="DI85" i="5"/>
  <c r="DL82" i="5"/>
  <c r="AJ89" i="5"/>
  <c r="AN88" i="5"/>
  <c r="AK88" i="5"/>
  <c r="AL87" i="5"/>
  <c r="AO87" i="5"/>
  <c r="DO283" i="5"/>
  <c r="AP283" i="5"/>
  <c r="AQ283" i="5" s="1"/>
  <c r="DK84" i="5"/>
  <c r="CY278" i="5"/>
  <c r="FE278" i="5"/>
  <c r="FG278" i="5" s="1"/>
  <c r="DO87" i="5"/>
  <c r="AP87" i="5"/>
  <c r="AQ87" i="5" s="1"/>
  <c r="CS81" i="5"/>
  <c r="FE81" i="5"/>
  <c r="FG81" i="5" s="1"/>
  <c r="EQ84" i="5"/>
  <c r="ER84" i="5" s="1"/>
  <c r="X279" i="5"/>
  <c r="X278" i="5"/>
  <c r="AJ285" i="5"/>
  <c r="EX85" i="21" l="1"/>
  <c r="DS279" i="21"/>
  <c r="CQ279" i="21"/>
  <c r="DR85" i="21"/>
  <c r="FL85" i="21"/>
  <c r="CZ85" i="21"/>
  <c r="DQ86" i="21"/>
  <c r="DQ280" i="21"/>
  <c r="DR280" i="21" s="1"/>
  <c r="ER87" i="21"/>
  <c r="ES87" i="21"/>
  <c r="AU283" i="21"/>
  <c r="AR283" i="21"/>
  <c r="DU283" i="21"/>
  <c r="AV283" i="21"/>
  <c r="AW283" i="21" s="1"/>
  <c r="DU89" i="21"/>
  <c r="AV89" i="21"/>
  <c r="AW89" i="21" s="1"/>
  <c r="DN88" i="21"/>
  <c r="EM88" i="21"/>
  <c r="EP88" i="21" s="1"/>
  <c r="EQ88" i="21" s="1"/>
  <c r="DP87" i="21"/>
  <c r="DO87" i="21"/>
  <c r="AP91" i="21"/>
  <c r="AT90" i="21"/>
  <c r="AQ90" i="21"/>
  <c r="AT284" i="21"/>
  <c r="AP285" i="21"/>
  <c r="AQ284" i="21"/>
  <c r="CY84" i="21"/>
  <c r="FK84" i="21"/>
  <c r="FM84" i="21" s="1"/>
  <c r="DN282" i="21"/>
  <c r="EM282" i="21"/>
  <c r="EP282" i="21" s="1"/>
  <c r="EQ282" i="21" s="1"/>
  <c r="DP281" i="21"/>
  <c r="DO281" i="21"/>
  <c r="AU89" i="21"/>
  <c r="AR89" i="21"/>
  <c r="CQ83" i="21"/>
  <c r="DS83" i="21"/>
  <c r="EW86" i="21"/>
  <c r="FB86" i="21" s="1"/>
  <c r="ED86" i="21" s="1"/>
  <c r="CR86" i="21" s="1"/>
  <c r="FK278" i="21"/>
  <c r="FM278" i="21" s="1"/>
  <c r="DE278" i="21"/>
  <c r="AD278" i="21"/>
  <c r="ES281" i="21"/>
  <c r="ER281" i="21"/>
  <c r="EW280" i="21"/>
  <c r="EX280" i="21" s="1"/>
  <c r="CK83" i="5"/>
  <c r="CS83" i="5" s="1"/>
  <c r="DH85" i="20"/>
  <c r="FT85" i="20"/>
  <c r="DZ85" i="20"/>
  <c r="FE86" i="20"/>
  <c r="FJ86" i="20" s="1"/>
  <c r="EL86" i="20" s="1"/>
  <c r="CZ86" i="20" s="1"/>
  <c r="AZ89" i="20"/>
  <c r="BC89" i="20"/>
  <c r="FS83" i="20"/>
  <c r="FU83" i="20" s="1"/>
  <c r="DG83" i="20"/>
  <c r="AX91" i="20"/>
  <c r="BB90" i="20"/>
  <c r="AY90" i="20"/>
  <c r="EC89" i="20"/>
  <c r="BD89" i="20"/>
  <c r="BE89" i="20" s="1"/>
  <c r="DX87" i="20"/>
  <c r="DW87" i="20"/>
  <c r="FF85" i="20"/>
  <c r="DV88" i="20"/>
  <c r="EU88" i="20"/>
  <c r="EX88" i="20" s="1"/>
  <c r="EY88" i="20" s="1"/>
  <c r="DY86" i="20"/>
  <c r="FA87" i="20"/>
  <c r="EZ87" i="20"/>
  <c r="CY84" i="20"/>
  <c r="EA84" i="20"/>
  <c r="DG82" i="20"/>
  <c r="FS82" i="20"/>
  <c r="FU82" i="20" s="1"/>
  <c r="DM280" i="5"/>
  <c r="CK280" i="5"/>
  <c r="X280" i="5" s="1"/>
  <c r="AL88" i="5"/>
  <c r="AO88" i="5"/>
  <c r="AJ90" i="5"/>
  <c r="AN89" i="5"/>
  <c r="AK89" i="5"/>
  <c r="EM282" i="5"/>
  <c r="EL282" i="5"/>
  <c r="AO284" i="5"/>
  <c r="AL284" i="5"/>
  <c r="EQ281" i="5"/>
  <c r="ER281" i="5" s="1"/>
  <c r="CK82" i="5"/>
  <c r="DM82" i="5"/>
  <c r="DI282" i="5"/>
  <c r="DJ282" i="5"/>
  <c r="DO284" i="5"/>
  <c r="AP284" i="5"/>
  <c r="AQ284" i="5" s="1"/>
  <c r="DK281" i="5"/>
  <c r="DL281" i="5" s="1"/>
  <c r="DK85" i="5"/>
  <c r="FE279" i="5"/>
  <c r="FG279" i="5" s="1"/>
  <c r="CS279" i="5"/>
  <c r="EL86" i="5"/>
  <c r="EM86" i="5"/>
  <c r="AN285" i="5"/>
  <c r="AK285" i="5"/>
  <c r="DH283" i="5"/>
  <c r="EG283" i="5"/>
  <c r="EJ283" i="5" s="1"/>
  <c r="EK283" i="5" s="1"/>
  <c r="DI86" i="5"/>
  <c r="DJ86" i="5"/>
  <c r="DO88" i="5"/>
  <c r="AP88" i="5"/>
  <c r="AQ88" i="5" s="1"/>
  <c r="EV84" i="5"/>
  <c r="DX84" i="5" s="1"/>
  <c r="CL84" i="5" s="1"/>
  <c r="EQ85" i="5"/>
  <c r="EV85" i="5" s="1"/>
  <c r="DH87" i="5"/>
  <c r="EG87" i="5"/>
  <c r="EJ87" i="5" s="1"/>
  <c r="EK87" i="5" s="1"/>
  <c r="AJ286" i="5"/>
  <c r="CZ86" i="21" l="1"/>
  <c r="FL86" i="21"/>
  <c r="DS280" i="21"/>
  <c r="CQ280" i="21"/>
  <c r="DR86" i="21"/>
  <c r="DU90" i="21"/>
  <c r="AV90" i="21"/>
  <c r="AW90" i="21" s="1"/>
  <c r="DO88" i="21"/>
  <c r="DP88" i="21"/>
  <c r="AU90" i="21"/>
  <c r="AR90" i="21"/>
  <c r="AP92" i="21"/>
  <c r="AT91" i="21"/>
  <c r="AQ91" i="21"/>
  <c r="DN283" i="21"/>
  <c r="EM283" i="21"/>
  <c r="EP283" i="21" s="1"/>
  <c r="EQ283" i="21" s="1"/>
  <c r="FK83" i="21"/>
  <c r="FM83" i="21" s="1"/>
  <c r="CY83" i="21"/>
  <c r="DQ87" i="21"/>
  <c r="DN89" i="21"/>
  <c r="EM89" i="21"/>
  <c r="EP89" i="21" s="1"/>
  <c r="EQ89" i="21" s="1"/>
  <c r="DO282" i="21"/>
  <c r="DP282" i="21"/>
  <c r="EX86" i="21"/>
  <c r="ER88" i="21"/>
  <c r="ES88" i="21"/>
  <c r="DQ281" i="21"/>
  <c r="DR281" i="21" s="1"/>
  <c r="AU284" i="21"/>
  <c r="AR284" i="21"/>
  <c r="CQ85" i="21"/>
  <c r="DS85" i="21"/>
  <c r="ER282" i="21"/>
  <c r="ES282" i="21"/>
  <c r="AP286" i="21"/>
  <c r="AT285" i="21"/>
  <c r="AQ285" i="21"/>
  <c r="CY279" i="21"/>
  <c r="AD279" i="21"/>
  <c r="FK279" i="21"/>
  <c r="FM279" i="21" s="1"/>
  <c r="EW281" i="21"/>
  <c r="EX281" i="21" s="1"/>
  <c r="EW87" i="21"/>
  <c r="EX87" i="21" s="1"/>
  <c r="DU284" i="21"/>
  <c r="AV284" i="21"/>
  <c r="AW284" i="21" s="1"/>
  <c r="FE83" i="5"/>
  <c r="FG83" i="5" s="1"/>
  <c r="FT86" i="20"/>
  <c r="DH86" i="20"/>
  <c r="DZ86" i="20"/>
  <c r="FF86" i="20"/>
  <c r="FS84" i="20"/>
  <c r="FU84" i="20" s="1"/>
  <c r="DG84" i="20"/>
  <c r="CY85" i="20"/>
  <c r="EA85" i="20"/>
  <c r="FE87" i="20"/>
  <c r="FJ87" i="20" s="1"/>
  <c r="EL87" i="20" s="1"/>
  <c r="CZ87" i="20" s="1"/>
  <c r="EZ88" i="20"/>
  <c r="FA88" i="20"/>
  <c r="DV89" i="20"/>
  <c r="EU89" i="20"/>
  <c r="EX89" i="20" s="1"/>
  <c r="EY89" i="20" s="1"/>
  <c r="DX88" i="20"/>
  <c r="DW88" i="20"/>
  <c r="AZ90" i="20"/>
  <c r="BC90" i="20"/>
  <c r="DY87" i="20"/>
  <c r="EC90" i="20"/>
  <c r="BD90" i="20"/>
  <c r="BE90" i="20" s="1"/>
  <c r="AX92" i="20"/>
  <c r="BB91" i="20"/>
  <c r="AY91" i="20"/>
  <c r="DM281" i="5"/>
  <c r="CK281" i="5"/>
  <c r="DX85" i="5"/>
  <c r="CL85" i="5" s="1"/>
  <c r="DL85" i="5"/>
  <c r="EL283" i="5"/>
  <c r="EM283" i="5"/>
  <c r="AL89" i="5"/>
  <c r="AO89" i="5"/>
  <c r="CS82" i="5"/>
  <c r="FE82" i="5"/>
  <c r="FG82" i="5" s="1"/>
  <c r="DO89" i="5"/>
  <c r="AP89" i="5"/>
  <c r="AQ89" i="5" s="1"/>
  <c r="AL285" i="5"/>
  <c r="AO285" i="5"/>
  <c r="AJ91" i="5"/>
  <c r="AN90" i="5"/>
  <c r="AK90" i="5"/>
  <c r="DO285" i="5"/>
  <c r="AP285" i="5"/>
  <c r="AQ285" i="5" s="1"/>
  <c r="FF84" i="5"/>
  <c r="CT84" i="5"/>
  <c r="DH88" i="5"/>
  <c r="EG88" i="5"/>
  <c r="EJ88" i="5" s="1"/>
  <c r="EK88" i="5" s="1"/>
  <c r="EQ86" i="5"/>
  <c r="EV86" i="5" s="1"/>
  <c r="DX86" i="5" s="1"/>
  <c r="CL86" i="5" s="1"/>
  <c r="DH284" i="5"/>
  <c r="EG284" i="5"/>
  <c r="EJ284" i="5" s="1"/>
  <c r="EK284" i="5" s="1"/>
  <c r="FE280" i="5"/>
  <c r="FG280" i="5" s="1"/>
  <c r="CY280" i="5"/>
  <c r="DI283" i="5"/>
  <c r="DJ283" i="5"/>
  <c r="EM87" i="5"/>
  <c r="EL87" i="5"/>
  <c r="EQ282" i="5"/>
  <c r="ER282" i="5" s="1"/>
  <c r="ER85" i="5"/>
  <c r="AN286" i="5"/>
  <c r="AK286" i="5"/>
  <c r="DJ87" i="5"/>
  <c r="DI87" i="5"/>
  <c r="DK86" i="5"/>
  <c r="DK282" i="5"/>
  <c r="DL282" i="5" s="1"/>
  <c r="DL84" i="5"/>
  <c r="AJ287" i="5"/>
  <c r="DS281" i="21" l="1"/>
  <c r="CQ281" i="21"/>
  <c r="FB87" i="21"/>
  <c r="ED87" i="21" s="1"/>
  <c r="CR87" i="21" s="1"/>
  <c r="AT286" i="21"/>
  <c r="AP287" i="21"/>
  <c r="AQ286" i="21"/>
  <c r="AT92" i="21"/>
  <c r="AP93" i="21"/>
  <c r="AQ92" i="21"/>
  <c r="DP89" i="21"/>
  <c r="DO89" i="21"/>
  <c r="DU91" i="21"/>
  <c r="AV91" i="21"/>
  <c r="AW91" i="21" s="1"/>
  <c r="DN284" i="21"/>
  <c r="EM284" i="21"/>
  <c r="EP284" i="21" s="1"/>
  <c r="EQ284" i="21" s="1"/>
  <c r="AU285" i="21"/>
  <c r="AR285" i="21"/>
  <c r="DQ88" i="21"/>
  <c r="ES283" i="21"/>
  <c r="ER283" i="21"/>
  <c r="DO283" i="21"/>
  <c r="DP283" i="21"/>
  <c r="DN90" i="21"/>
  <c r="EM90" i="21"/>
  <c r="EP90" i="21" s="1"/>
  <c r="EQ90" i="21" s="1"/>
  <c r="CQ86" i="21"/>
  <c r="DS86" i="21"/>
  <c r="DU285" i="21"/>
  <c r="AV285" i="21"/>
  <c r="AW285" i="21" s="1"/>
  <c r="DE280" i="21"/>
  <c r="FK280" i="21"/>
  <c r="FM280" i="21" s="1"/>
  <c r="AD280" i="21"/>
  <c r="DQ282" i="21"/>
  <c r="DR282" i="21" s="1"/>
  <c r="EW282" i="21"/>
  <c r="EX282" i="21" s="1"/>
  <c r="ER89" i="21"/>
  <c r="ES89" i="21"/>
  <c r="AU91" i="21"/>
  <c r="AR91" i="21"/>
  <c r="CY85" i="21"/>
  <c r="FK85" i="21"/>
  <c r="FM85" i="21" s="1"/>
  <c r="EW88" i="21"/>
  <c r="EX88" i="21" s="1"/>
  <c r="FF87" i="20"/>
  <c r="ER86" i="5"/>
  <c r="DZ87" i="20"/>
  <c r="DH87" i="20"/>
  <c r="FT87" i="20"/>
  <c r="BC91" i="20"/>
  <c r="AZ91" i="20"/>
  <c r="DY88" i="20"/>
  <c r="EC91" i="20"/>
  <c r="BD91" i="20"/>
  <c r="BE91" i="20" s="1"/>
  <c r="FA89" i="20"/>
  <c r="EZ89" i="20"/>
  <c r="FS85" i="20"/>
  <c r="FU85" i="20" s="1"/>
  <c r="DG85" i="20"/>
  <c r="DV90" i="20"/>
  <c r="EU90" i="20"/>
  <c r="EX90" i="20" s="1"/>
  <c r="EY90" i="20" s="1"/>
  <c r="DW89" i="20"/>
  <c r="DX89" i="20"/>
  <c r="EA86" i="20"/>
  <c r="CY86" i="20"/>
  <c r="BB92" i="20"/>
  <c r="AX93" i="20"/>
  <c r="AY92" i="20"/>
  <c r="FE88" i="20"/>
  <c r="FJ88" i="20" s="1"/>
  <c r="EL88" i="20" s="1"/>
  <c r="CZ88" i="20" s="1"/>
  <c r="DM282" i="5"/>
  <c r="CK282" i="5"/>
  <c r="DL86" i="5"/>
  <c r="FF86" i="5"/>
  <c r="CT86" i="5"/>
  <c r="DO90" i="5"/>
  <c r="AP90" i="5"/>
  <c r="AQ90" i="5" s="1"/>
  <c r="AL286" i="5"/>
  <c r="AO286" i="5"/>
  <c r="DK283" i="5"/>
  <c r="DL283" i="5" s="1"/>
  <c r="EM88" i="5"/>
  <c r="EL88" i="5"/>
  <c r="AJ92" i="5"/>
  <c r="AN91" i="5"/>
  <c r="AK91" i="5"/>
  <c r="DM84" i="5"/>
  <c r="CK84" i="5"/>
  <c r="DO286" i="5"/>
  <c r="AP286" i="5"/>
  <c r="AQ286" i="5" s="1"/>
  <c r="DI88" i="5"/>
  <c r="DJ88" i="5"/>
  <c r="EQ283" i="5"/>
  <c r="ER283" i="5" s="1"/>
  <c r="EL284" i="5"/>
  <c r="EM284" i="5"/>
  <c r="CK85" i="5"/>
  <c r="DM85" i="5"/>
  <c r="DI284" i="5"/>
  <c r="DJ284" i="5"/>
  <c r="DH89" i="5"/>
  <c r="EG89" i="5"/>
  <c r="EJ89" i="5" s="1"/>
  <c r="EK89" i="5" s="1"/>
  <c r="CT85" i="5"/>
  <c r="FF85" i="5"/>
  <c r="AN287" i="5"/>
  <c r="AK287" i="5"/>
  <c r="EQ87" i="5"/>
  <c r="ER87" i="5" s="1"/>
  <c r="DH285" i="5"/>
  <c r="EG285" i="5"/>
  <c r="EJ285" i="5" s="1"/>
  <c r="EK285" i="5" s="1"/>
  <c r="FE281" i="5"/>
  <c r="FG281" i="5" s="1"/>
  <c r="CY281" i="5"/>
  <c r="DK87" i="5"/>
  <c r="AO90" i="5"/>
  <c r="AL90" i="5"/>
  <c r="AJ288" i="5"/>
  <c r="X281" i="5"/>
  <c r="DQ89" i="21" l="1"/>
  <c r="DQ283" i="21"/>
  <c r="DR283" i="21" s="1"/>
  <c r="FB88" i="21"/>
  <c r="ED88" i="21" s="1"/>
  <c r="CR88" i="21" s="1"/>
  <c r="EW89" i="21"/>
  <c r="FB89" i="21" s="1"/>
  <c r="ED89" i="21" s="1"/>
  <c r="CR89" i="21" s="1"/>
  <c r="AP94" i="21"/>
  <c r="AT93" i="21"/>
  <c r="AQ93" i="21"/>
  <c r="EW283" i="21"/>
  <c r="EX283" i="21" s="1"/>
  <c r="DU92" i="21"/>
  <c r="AV92" i="21"/>
  <c r="AW92" i="21" s="1"/>
  <c r="AU286" i="21"/>
  <c r="AR286" i="21"/>
  <c r="AT287" i="21"/>
  <c r="AP288" i="21"/>
  <c r="AQ287" i="21"/>
  <c r="DU286" i="21"/>
  <c r="AV286" i="21"/>
  <c r="AW286" i="21" s="1"/>
  <c r="ES284" i="21"/>
  <c r="ER284" i="21"/>
  <c r="FL87" i="21"/>
  <c r="CZ87" i="21"/>
  <c r="AU92" i="21"/>
  <c r="AR92" i="21"/>
  <c r="CY86" i="21"/>
  <c r="FK86" i="21"/>
  <c r="FM86" i="21" s="1"/>
  <c r="FK281" i="21"/>
  <c r="FM281" i="21" s="1"/>
  <c r="CY281" i="21"/>
  <c r="AD281" i="21"/>
  <c r="DS282" i="21"/>
  <c r="CQ282" i="21"/>
  <c r="ER90" i="21"/>
  <c r="ES90" i="21"/>
  <c r="DP284" i="21"/>
  <c r="DO284" i="21"/>
  <c r="DN91" i="21"/>
  <c r="EM91" i="21"/>
  <c r="EP91" i="21" s="1"/>
  <c r="EQ91" i="21" s="1"/>
  <c r="DN285" i="21"/>
  <c r="EM285" i="21"/>
  <c r="EP285" i="21" s="1"/>
  <c r="EQ285" i="21" s="1"/>
  <c r="DO90" i="21"/>
  <c r="DP90" i="21"/>
  <c r="DR87" i="21"/>
  <c r="FF88" i="20"/>
  <c r="BC92" i="20"/>
  <c r="AZ92" i="20"/>
  <c r="DY89" i="20"/>
  <c r="DZ88" i="20"/>
  <c r="EC92" i="20"/>
  <c r="BD92" i="20"/>
  <c r="BE92" i="20" s="1"/>
  <c r="DX90" i="20"/>
  <c r="DW90" i="20"/>
  <c r="BB93" i="20"/>
  <c r="AX94" i="20"/>
  <c r="AY93" i="20"/>
  <c r="EZ90" i="20"/>
  <c r="FA90" i="20"/>
  <c r="FS86" i="20"/>
  <c r="FU86" i="20" s="1"/>
  <c r="DG86" i="20"/>
  <c r="DV91" i="20"/>
  <c r="EU91" i="20"/>
  <c r="EX91" i="20" s="1"/>
  <c r="EY91" i="20" s="1"/>
  <c r="FT88" i="20"/>
  <c r="DH88" i="20"/>
  <c r="FE89" i="20"/>
  <c r="FF89" i="20" s="1"/>
  <c r="CY87" i="20"/>
  <c r="DG87" i="20" s="1"/>
  <c r="EA87" i="20"/>
  <c r="DM283" i="5"/>
  <c r="CK283" i="5"/>
  <c r="DI285" i="5"/>
  <c r="DJ285" i="5"/>
  <c r="EL89" i="5"/>
  <c r="EM89" i="5"/>
  <c r="AL91" i="5"/>
  <c r="AO91" i="5"/>
  <c r="AJ93" i="5"/>
  <c r="AN92" i="5"/>
  <c r="AK92" i="5"/>
  <c r="DH90" i="5"/>
  <c r="EG90" i="5"/>
  <c r="EJ90" i="5" s="1"/>
  <c r="EK90" i="5" s="1"/>
  <c r="EV87" i="5"/>
  <c r="DX87" i="5" s="1"/>
  <c r="CL87" i="5" s="1"/>
  <c r="DK284" i="5"/>
  <c r="DL284" i="5" s="1"/>
  <c r="DK88" i="5"/>
  <c r="EQ88" i="5"/>
  <c r="ER88" i="5" s="1"/>
  <c r="DJ89" i="5"/>
  <c r="DI89" i="5"/>
  <c r="AN288" i="5"/>
  <c r="AK288" i="5"/>
  <c r="AO287" i="5"/>
  <c r="AL287" i="5"/>
  <c r="DO287" i="5"/>
  <c r="AP287" i="5"/>
  <c r="AQ287" i="5" s="1"/>
  <c r="CS85" i="5"/>
  <c r="FE85" i="5"/>
  <c r="FG85" i="5" s="1"/>
  <c r="DH286" i="5"/>
  <c r="EG286" i="5"/>
  <c r="EJ286" i="5" s="1"/>
  <c r="EK286" i="5" s="1"/>
  <c r="DM86" i="5"/>
  <c r="CK86" i="5"/>
  <c r="FE84" i="5"/>
  <c r="FG84" i="5" s="1"/>
  <c r="CS84" i="5"/>
  <c r="CY282" i="5"/>
  <c r="FE282" i="5"/>
  <c r="FG282" i="5" s="1"/>
  <c r="DO91" i="5"/>
  <c r="AP91" i="5"/>
  <c r="AQ91" i="5" s="1"/>
  <c r="EL285" i="5"/>
  <c r="EM285" i="5"/>
  <c r="EQ284" i="5"/>
  <c r="ER284" i="5" s="1"/>
  <c r="AJ289" i="5"/>
  <c r="X282" i="5"/>
  <c r="CZ89" i="21" l="1"/>
  <c r="FL89" i="21"/>
  <c r="DR89" i="21"/>
  <c r="DN286" i="21"/>
  <c r="EM286" i="21"/>
  <c r="EP286" i="21" s="1"/>
  <c r="EQ286" i="21" s="1"/>
  <c r="DN92" i="21"/>
  <c r="EM92" i="21"/>
  <c r="EP92" i="21" s="1"/>
  <c r="EQ92" i="21" s="1"/>
  <c r="DU287" i="21"/>
  <c r="AV287" i="21"/>
  <c r="AW287" i="21" s="1"/>
  <c r="DE282" i="21"/>
  <c r="AD282" i="21"/>
  <c r="FK282" i="21"/>
  <c r="FM282" i="21" s="1"/>
  <c r="AU93" i="21"/>
  <c r="AR93" i="21"/>
  <c r="ES285" i="21"/>
  <c r="ER285" i="21"/>
  <c r="DQ284" i="21"/>
  <c r="DR284" i="21" s="1"/>
  <c r="EX89" i="21"/>
  <c r="DU93" i="21"/>
  <c r="AV93" i="21"/>
  <c r="AW93" i="21" s="1"/>
  <c r="AU287" i="21"/>
  <c r="AR287" i="21"/>
  <c r="FL88" i="21"/>
  <c r="CZ88" i="21"/>
  <c r="DQ90" i="21"/>
  <c r="EW90" i="21"/>
  <c r="EX90" i="21" s="1"/>
  <c r="AT94" i="21"/>
  <c r="AP95" i="21"/>
  <c r="AQ94" i="21"/>
  <c r="DP285" i="21"/>
  <c r="DO285" i="21"/>
  <c r="DS283" i="21"/>
  <c r="CQ283" i="21"/>
  <c r="CQ87" i="21"/>
  <c r="DS87" i="21"/>
  <c r="AP289" i="21"/>
  <c r="AT288" i="21"/>
  <c r="AQ288" i="21"/>
  <c r="DP91" i="21"/>
  <c r="DO91" i="21"/>
  <c r="ES91" i="21"/>
  <c r="ER91" i="21"/>
  <c r="EW284" i="21"/>
  <c r="EX284" i="21" s="1"/>
  <c r="DR88" i="21"/>
  <c r="FJ89" i="20"/>
  <c r="EL89" i="20" s="1"/>
  <c r="CZ89" i="20" s="1"/>
  <c r="FT89" i="20" s="1"/>
  <c r="FS87" i="20"/>
  <c r="FU87" i="20" s="1"/>
  <c r="BB94" i="20"/>
  <c r="AX95" i="20"/>
  <c r="AY94" i="20"/>
  <c r="DV92" i="20"/>
  <c r="EU92" i="20"/>
  <c r="EX92" i="20" s="1"/>
  <c r="EY92" i="20" s="1"/>
  <c r="EC93" i="20"/>
  <c r="BD93" i="20"/>
  <c r="BE93" i="20" s="1"/>
  <c r="EA88" i="20"/>
  <c r="CY88" i="20"/>
  <c r="FA91" i="20"/>
  <c r="EZ91" i="20"/>
  <c r="FE90" i="20"/>
  <c r="FJ90" i="20" s="1"/>
  <c r="EL90" i="20" s="1"/>
  <c r="CZ90" i="20" s="1"/>
  <c r="DX91" i="20"/>
  <c r="DW91" i="20"/>
  <c r="DY90" i="20"/>
  <c r="BC93" i="20"/>
  <c r="AZ93" i="20"/>
  <c r="DK89" i="5"/>
  <c r="DM284" i="5"/>
  <c r="CK284" i="5"/>
  <c r="CT87" i="5"/>
  <c r="FF87" i="5"/>
  <c r="EL90" i="5"/>
  <c r="EM90" i="5"/>
  <c r="EQ89" i="5"/>
  <c r="EV89" i="5" s="1"/>
  <c r="DX89" i="5" s="1"/>
  <c r="CL89" i="5" s="1"/>
  <c r="EV88" i="5"/>
  <c r="DX88" i="5" s="1"/>
  <c r="CL88" i="5" s="1"/>
  <c r="DH287" i="5"/>
  <c r="EG287" i="5"/>
  <c r="EJ287" i="5" s="1"/>
  <c r="EK287" i="5" s="1"/>
  <c r="DI90" i="5"/>
  <c r="DJ90" i="5"/>
  <c r="FE86" i="5"/>
  <c r="FG86" i="5" s="1"/>
  <c r="CS86" i="5"/>
  <c r="AO92" i="5"/>
  <c r="AL92" i="5"/>
  <c r="DK285" i="5"/>
  <c r="DL285" i="5" s="1"/>
  <c r="DO92" i="5"/>
  <c r="AP92" i="5"/>
  <c r="AQ92" i="5" s="1"/>
  <c r="DL87" i="5"/>
  <c r="EM286" i="5"/>
  <c r="EL286" i="5"/>
  <c r="AO288" i="5"/>
  <c r="AL288" i="5"/>
  <c r="AJ94" i="5"/>
  <c r="AN93" i="5"/>
  <c r="AK93" i="5"/>
  <c r="FE283" i="5"/>
  <c r="FG283" i="5" s="1"/>
  <c r="CS283" i="5"/>
  <c r="AN289" i="5"/>
  <c r="AK289" i="5"/>
  <c r="EQ285" i="5"/>
  <c r="ER285" i="5" s="1"/>
  <c r="DH91" i="5"/>
  <c r="EG91" i="5"/>
  <c r="EJ91" i="5" s="1"/>
  <c r="EK91" i="5" s="1"/>
  <c r="DI286" i="5"/>
  <c r="DJ286" i="5"/>
  <c r="DO288" i="5"/>
  <c r="AP288" i="5"/>
  <c r="AQ288" i="5" s="1"/>
  <c r="AJ290" i="5"/>
  <c r="X283" i="5"/>
  <c r="DS284" i="21" l="1"/>
  <c r="CQ284" i="21"/>
  <c r="DQ91" i="21"/>
  <c r="EW285" i="21"/>
  <c r="EX285" i="21" s="1"/>
  <c r="CY283" i="21"/>
  <c r="FK283" i="21"/>
  <c r="FM283" i="21" s="1"/>
  <c r="AD283" i="21"/>
  <c r="DQ285" i="21"/>
  <c r="DR285" i="21" s="1"/>
  <c r="DN287" i="21"/>
  <c r="EM287" i="21"/>
  <c r="EP287" i="21" s="1"/>
  <c r="EQ287" i="21" s="1"/>
  <c r="DU288" i="21"/>
  <c r="AV288" i="21"/>
  <c r="AW288" i="21" s="1"/>
  <c r="ES92" i="21"/>
  <c r="ER92" i="21"/>
  <c r="EW91" i="21"/>
  <c r="EX91" i="21" s="1"/>
  <c r="DO92" i="21"/>
  <c r="DP92" i="21"/>
  <c r="ER286" i="21"/>
  <c r="ES286" i="21"/>
  <c r="FK87" i="21"/>
  <c r="FM87" i="21" s="1"/>
  <c r="CY87" i="21"/>
  <c r="FB90" i="21"/>
  <c r="ED90" i="21" s="1"/>
  <c r="CR90" i="21" s="1"/>
  <c r="DP286" i="21"/>
  <c r="DO286" i="21"/>
  <c r="AR94" i="21"/>
  <c r="AU94" i="21"/>
  <c r="CQ89" i="21"/>
  <c r="DS89" i="21"/>
  <c r="AP96" i="21"/>
  <c r="AT95" i="21"/>
  <c r="AQ95" i="21"/>
  <c r="DN93" i="21"/>
  <c r="EM93" i="21"/>
  <c r="EP93" i="21" s="1"/>
  <c r="EQ93" i="21" s="1"/>
  <c r="AU288" i="21"/>
  <c r="AR288" i="21"/>
  <c r="AP290" i="21"/>
  <c r="AT289" i="21"/>
  <c r="AQ289" i="21"/>
  <c r="DU94" i="21"/>
  <c r="AV94" i="21"/>
  <c r="AW94" i="21" s="1"/>
  <c r="CQ88" i="21"/>
  <c r="DS88" i="21"/>
  <c r="DZ90" i="20"/>
  <c r="CY90" i="20" s="1"/>
  <c r="DH89" i="20"/>
  <c r="DZ89" i="20"/>
  <c r="ER89" i="5"/>
  <c r="DH90" i="20"/>
  <c r="FT90" i="20"/>
  <c r="DW92" i="20"/>
  <c r="DX92" i="20"/>
  <c r="DG88" i="20"/>
  <c r="FS88" i="20"/>
  <c r="FU88" i="20" s="1"/>
  <c r="AZ94" i="20"/>
  <c r="BC94" i="20"/>
  <c r="BB95" i="20"/>
  <c r="AX96" i="20"/>
  <c r="AY95" i="20"/>
  <c r="EC94" i="20"/>
  <c r="BD94" i="20"/>
  <c r="BE94" i="20" s="1"/>
  <c r="FF90" i="20"/>
  <c r="DY91" i="20"/>
  <c r="DV93" i="20"/>
  <c r="EU93" i="20"/>
  <c r="EX93" i="20" s="1"/>
  <c r="EY93" i="20" s="1"/>
  <c r="FE91" i="20"/>
  <c r="FF91" i="20" s="1"/>
  <c r="FA92" i="20"/>
  <c r="EZ92" i="20"/>
  <c r="DM285" i="5"/>
  <c r="CK285" i="5"/>
  <c r="FF89" i="5"/>
  <c r="CT89" i="5"/>
  <c r="DL89" i="5"/>
  <c r="DO93" i="5"/>
  <c r="AP93" i="5"/>
  <c r="AQ93" i="5" s="1"/>
  <c r="DH92" i="5"/>
  <c r="EG92" i="5"/>
  <c r="EJ92" i="5" s="1"/>
  <c r="EK92" i="5" s="1"/>
  <c r="DK90" i="5"/>
  <c r="EV90" i="5"/>
  <c r="DX90" i="5" s="1"/>
  <c r="CL90" i="5" s="1"/>
  <c r="EQ90" i="5"/>
  <c r="ER90" i="5" s="1"/>
  <c r="AJ95" i="5"/>
  <c r="AN94" i="5"/>
  <c r="AK94" i="5"/>
  <c r="EL287" i="5"/>
  <c r="EM287" i="5"/>
  <c r="DI287" i="5"/>
  <c r="DJ287" i="5"/>
  <c r="AL289" i="5"/>
  <c r="AO289" i="5"/>
  <c r="FF88" i="5"/>
  <c r="CT88" i="5"/>
  <c r="FE284" i="5"/>
  <c r="FG284" i="5" s="1"/>
  <c r="CY284" i="5"/>
  <c r="DH288" i="5"/>
  <c r="EG288" i="5"/>
  <c r="EJ288" i="5" s="1"/>
  <c r="EK288" i="5" s="1"/>
  <c r="DO289" i="5"/>
  <c r="AP289" i="5"/>
  <c r="AQ289" i="5" s="1"/>
  <c r="EQ286" i="5"/>
  <c r="ER286" i="5" s="1"/>
  <c r="AN290" i="5"/>
  <c r="AK290" i="5"/>
  <c r="DI91" i="5"/>
  <c r="DJ91" i="5"/>
  <c r="DK286" i="5"/>
  <c r="DL286" i="5" s="1"/>
  <c r="CK87" i="5"/>
  <c r="DM87" i="5"/>
  <c r="EM91" i="5"/>
  <c r="EL91" i="5"/>
  <c r="AL93" i="5"/>
  <c r="AO93" i="5"/>
  <c r="DL88" i="5"/>
  <c r="AJ291" i="5"/>
  <c r="X284" i="5"/>
  <c r="DS285" i="21" l="1"/>
  <c r="CQ285" i="21"/>
  <c r="DN94" i="21"/>
  <c r="EM94" i="21"/>
  <c r="EP94" i="21" s="1"/>
  <c r="EQ94" i="21" s="1"/>
  <c r="ES93" i="21"/>
  <c r="ER93" i="21"/>
  <c r="DN288" i="21"/>
  <c r="EM288" i="21"/>
  <c r="EP288" i="21" s="1"/>
  <c r="EQ288" i="21" s="1"/>
  <c r="EW286" i="21"/>
  <c r="EX286" i="21" s="1"/>
  <c r="DU289" i="21"/>
  <c r="AV289" i="21"/>
  <c r="AW289" i="21" s="1"/>
  <c r="AP97" i="21"/>
  <c r="AT96" i="21"/>
  <c r="AQ96" i="21"/>
  <c r="EW92" i="21"/>
  <c r="EX92" i="21" s="1"/>
  <c r="FK88" i="21"/>
  <c r="FM88" i="21" s="1"/>
  <c r="CY88" i="21"/>
  <c r="AR95" i="21"/>
  <c r="AU95" i="21"/>
  <c r="FB91" i="21"/>
  <c r="ED91" i="21" s="1"/>
  <c r="CR91" i="21" s="1"/>
  <c r="AP291" i="21"/>
  <c r="AT290" i="21"/>
  <c r="AQ290" i="21"/>
  <c r="DO287" i="21"/>
  <c r="DP287" i="21"/>
  <c r="DQ286" i="21"/>
  <c r="DR286" i="21" s="1"/>
  <c r="DQ92" i="21"/>
  <c r="ES287" i="21"/>
  <c r="ER287" i="21"/>
  <c r="DR90" i="21"/>
  <c r="AR289" i="21"/>
  <c r="AU289" i="21"/>
  <c r="DP93" i="21"/>
  <c r="DO93" i="21"/>
  <c r="FK284" i="21"/>
  <c r="FM284" i="21" s="1"/>
  <c r="DE284" i="21"/>
  <c r="AD284" i="21"/>
  <c r="DU95" i="21"/>
  <c r="AV95" i="21"/>
  <c r="AW95" i="21" s="1"/>
  <c r="CY89" i="21"/>
  <c r="FK89" i="21"/>
  <c r="FM89" i="21" s="1"/>
  <c r="DF90" i="21"/>
  <c r="FL90" i="21"/>
  <c r="FJ91" i="20"/>
  <c r="EL91" i="20" s="1"/>
  <c r="CZ91" i="20" s="1"/>
  <c r="DN91" i="20" s="1"/>
  <c r="EA90" i="20"/>
  <c r="EA89" i="20"/>
  <c r="CY89" i="20"/>
  <c r="DL90" i="5"/>
  <c r="CK90" i="5" s="1"/>
  <c r="FE92" i="20"/>
  <c r="FJ92" i="20" s="1"/>
  <c r="EL92" i="20" s="1"/>
  <c r="CZ92" i="20" s="1"/>
  <c r="DV94" i="20"/>
  <c r="EU94" i="20"/>
  <c r="EX94" i="20" s="1"/>
  <c r="EY94" i="20" s="1"/>
  <c r="BC95" i="20"/>
  <c r="AZ95" i="20"/>
  <c r="DY92" i="20"/>
  <c r="EC95" i="20"/>
  <c r="BD95" i="20"/>
  <c r="BE95" i="20" s="1"/>
  <c r="BB96" i="20"/>
  <c r="AX97" i="20"/>
  <c r="AY96" i="20"/>
  <c r="DX93" i="20"/>
  <c r="DW93" i="20"/>
  <c r="DG90" i="20"/>
  <c r="FS90" i="20"/>
  <c r="FU90" i="20" s="1"/>
  <c r="FA93" i="20"/>
  <c r="EZ93" i="20"/>
  <c r="DM286" i="5"/>
  <c r="CK286" i="5"/>
  <c r="DO94" i="5"/>
  <c r="AP94" i="5"/>
  <c r="AQ94" i="5" s="1"/>
  <c r="DI92" i="5"/>
  <c r="DJ92" i="5"/>
  <c r="AJ96" i="5"/>
  <c r="AN95" i="5"/>
  <c r="AK95" i="5"/>
  <c r="CK88" i="5"/>
  <c r="DM88" i="5"/>
  <c r="DH289" i="5"/>
  <c r="EG289" i="5"/>
  <c r="EJ289" i="5" s="1"/>
  <c r="EK289" i="5" s="1"/>
  <c r="DH93" i="5"/>
  <c r="EG93" i="5"/>
  <c r="EJ93" i="5" s="1"/>
  <c r="EK93" i="5" s="1"/>
  <c r="CT90" i="5"/>
  <c r="FF90" i="5"/>
  <c r="DM89" i="5"/>
  <c r="CK89" i="5"/>
  <c r="CS87" i="5"/>
  <c r="FE87" i="5"/>
  <c r="FG87" i="5" s="1"/>
  <c r="DI288" i="5"/>
  <c r="DJ288" i="5"/>
  <c r="DK287" i="5"/>
  <c r="DL287" i="5" s="1"/>
  <c r="AN291" i="5"/>
  <c r="AK291" i="5"/>
  <c r="DK91" i="5"/>
  <c r="EQ91" i="5"/>
  <c r="ER91" i="5" s="1"/>
  <c r="AL290" i="5"/>
  <c r="AO290" i="5"/>
  <c r="EM288" i="5"/>
  <c r="EL288" i="5"/>
  <c r="DO290" i="5"/>
  <c r="AP290" i="5"/>
  <c r="AQ290" i="5" s="1"/>
  <c r="EQ287" i="5"/>
  <c r="ER287" i="5" s="1"/>
  <c r="FE285" i="5"/>
  <c r="FG285" i="5" s="1"/>
  <c r="CS285" i="5"/>
  <c r="AO94" i="5"/>
  <c r="AL94" i="5"/>
  <c r="EL92" i="5"/>
  <c r="EM92" i="5"/>
  <c r="X285" i="5"/>
  <c r="AJ292" i="5"/>
  <c r="DS286" i="21" l="1"/>
  <c r="CQ286" i="21"/>
  <c r="DS90" i="21"/>
  <c r="CQ90" i="21"/>
  <c r="DN289" i="21"/>
  <c r="EM289" i="21"/>
  <c r="EP289" i="21" s="1"/>
  <c r="EQ289" i="21" s="1"/>
  <c r="DN95" i="21"/>
  <c r="EM95" i="21"/>
  <c r="EP95" i="21" s="1"/>
  <c r="EQ95" i="21" s="1"/>
  <c r="DU96" i="21"/>
  <c r="AV96" i="21"/>
  <c r="AW96" i="21" s="1"/>
  <c r="EW287" i="21"/>
  <c r="EX287" i="21" s="1"/>
  <c r="DP288" i="21"/>
  <c r="DO288" i="21"/>
  <c r="FB92" i="21"/>
  <c r="ED92" i="21" s="1"/>
  <c r="CR92" i="21" s="1"/>
  <c r="AT97" i="21"/>
  <c r="AP98" i="21"/>
  <c r="AQ97" i="21"/>
  <c r="EW93" i="21"/>
  <c r="FB93" i="21" s="1"/>
  <c r="ED93" i="21" s="1"/>
  <c r="CR93" i="21" s="1"/>
  <c r="ES94" i="21"/>
  <c r="ER94" i="21"/>
  <c r="AU96" i="21"/>
  <c r="AR96" i="21"/>
  <c r="ES288" i="21"/>
  <c r="ER288" i="21"/>
  <c r="DQ287" i="21"/>
  <c r="DR287" i="21" s="1"/>
  <c r="DP94" i="21"/>
  <c r="DO94" i="21"/>
  <c r="DF91" i="21"/>
  <c r="DF3" i="21" s="1"/>
  <c r="FL91" i="21"/>
  <c r="DQ93" i="21"/>
  <c r="AU290" i="21"/>
  <c r="AR290" i="21"/>
  <c r="CY285" i="21"/>
  <c r="AD285" i="21"/>
  <c r="FK285" i="21"/>
  <c r="FM285" i="21" s="1"/>
  <c r="DU290" i="21"/>
  <c r="AV290" i="21"/>
  <c r="AW290" i="21" s="1"/>
  <c r="AP292" i="21"/>
  <c r="AT291" i="21"/>
  <c r="AQ291" i="21"/>
  <c r="DR91" i="21"/>
  <c r="FT91" i="20"/>
  <c r="DZ91" i="20"/>
  <c r="FS89" i="20"/>
  <c r="FU89" i="20" s="1"/>
  <c r="DG89" i="20"/>
  <c r="DM90" i="5"/>
  <c r="EV91" i="5"/>
  <c r="DX91" i="5" s="1"/>
  <c r="CL91" i="5" s="1"/>
  <c r="FF91" i="5" s="1"/>
  <c r="FT92" i="20"/>
  <c r="DN92" i="20"/>
  <c r="DN9" i="20" s="1"/>
  <c r="DZ92" i="20"/>
  <c r="AZ96" i="20"/>
  <c r="BC96" i="20"/>
  <c r="FE93" i="20"/>
  <c r="FF93" i="20" s="1"/>
  <c r="EC96" i="20"/>
  <c r="BD96" i="20"/>
  <c r="BE96" i="20" s="1"/>
  <c r="FF92" i="20"/>
  <c r="AX98" i="20"/>
  <c r="BB97" i="20"/>
  <c r="AY97" i="20"/>
  <c r="DV95" i="20"/>
  <c r="EU95" i="20"/>
  <c r="EX95" i="20" s="1"/>
  <c r="EY95" i="20" s="1"/>
  <c r="FA94" i="20"/>
  <c r="EZ94" i="20"/>
  <c r="DY93" i="20"/>
  <c r="DX94" i="20"/>
  <c r="DW94" i="20"/>
  <c r="DK288" i="5"/>
  <c r="DL288" i="5" s="1"/>
  <c r="DI93" i="5"/>
  <c r="DJ93" i="5"/>
  <c r="EM289" i="5"/>
  <c r="EL289" i="5"/>
  <c r="DK92" i="5"/>
  <c r="EQ288" i="5"/>
  <c r="ER288" i="5" s="1"/>
  <c r="DI289" i="5"/>
  <c r="DJ289" i="5"/>
  <c r="EQ92" i="5"/>
  <c r="ER92" i="5" s="1"/>
  <c r="AO291" i="5"/>
  <c r="AL291" i="5"/>
  <c r="CS89" i="5"/>
  <c r="FE89" i="5"/>
  <c r="FG89" i="5" s="1"/>
  <c r="DH94" i="5"/>
  <c r="EG94" i="5"/>
  <c r="EJ94" i="5" s="1"/>
  <c r="EK94" i="5" s="1"/>
  <c r="DO291" i="5"/>
  <c r="AP291" i="5"/>
  <c r="AQ291" i="5" s="1"/>
  <c r="FE88" i="5"/>
  <c r="FG88" i="5" s="1"/>
  <c r="CS88" i="5"/>
  <c r="DH290" i="5"/>
  <c r="EG290" i="5"/>
  <c r="EJ290" i="5" s="1"/>
  <c r="EK290" i="5" s="1"/>
  <c r="AN292" i="5"/>
  <c r="AK292" i="5"/>
  <c r="AL95" i="5"/>
  <c r="AO95" i="5"/>
  <c r="CS90" i="5"/>
  <c r="FE90" i="5"/>
  <c r="FG90" i="5" s="1"/>
  <c r="DM287" i="5"/>
  <c r="CK287" i="5"/>
  <c r="DO95" i="5"/>
  <c r="AP95" i="5"/>
  <c r="AQ95" i="5" s="1"/>
  <c r="CY286" i="5"/>
  <c r="FE286" i="5"/>
  <c r="FG286" i="5" s="1"/>
  <c r="EL93" i="5"/>
  <c r="EM93" i="5"/>
  <c r="AJ97" i="5"/>
  <c r="AN96" i="5"/>
  <c r="AK96" i="5"/>
  <c r="X286" i="5"/>
  <c r="AJ293" i="5"/>
  <c r="CZ93" i="21" l="1"/>
  <c r="FL93" i="21"/>
  <c r="DR93" i="21"/>
  <c r="CZ92" i="21"/>
  <c r="FL92" i="21"/>
  <c r="DU97" i="21"/>
  <c r="AV97" i="21"/>
  <c r="AW97" i="21" s="1"/>
  <c r="DN96" i="21"/>
  <c r="EM96" i="21"/>
  <c r="EP96" i="21" s="1"/>
  <c r="EQ96" i="21" s="1"/>
  <c r="ES289" i="21"/>
  <c r="ER289" i="21"/>
  <c r="DP289" i="21"/>
  <c r="DO289" i="21"/>
  <c r="DN290" i="21"/>
  <c r="EM290" i="21"/>
  <c r="EP290" i="21" s="1"/>
  <c r="EQ290" i="21" s="1"/>
  <c r="DQ288" i="21"/>
  <c r="DR288" i="21" s="1"/>
  <c r="DS287" i="21"/>
  <c r="CQ287" i="21"/>
  <c r="DE90" i="21"/>
  <c r="FK90" i="21"/>
  <c r="FM90" i="21" s="1"/>
  <c r="DF1" i="21"/>
  <c r="DF2" i="21" s="1"/>
  <c r="DF4" i="21"/>
  <c r="AT98" i="21"/>
  <c r="AP99" i="21"/>
  <c r="AQ98" i="21"/>
  <c r="DF6" i="21"/>
  <c r="DF7" i="21" s="1"/>
  <c r="EW94" i="21"/>
  <c r="FB94" i="21" s="1"/>
  <c r="ED94" i="21" s="1"/>
  <c r="CR94" i="21" s="1"/>
  <c r="DF8" i="21"/>
  <c r="CQ91" i="21"/>
  <c r="DS91" i="21"/>
  <c r="DF9" i="21"/>
  <c r="DQ94" i="21"/>
  <c r="DR94" i="21" s="1"/>
  <c r="AU291" i="21"/>
  <c r="AR291" i="21"/>
  <c r="EW288" i="21"/>
  <c r="EX288" i="21" s="1"/>
  <c r="DU291" i="21"/>
  <c r="AV291" i="21"/>
  <c r="AW291" i="21" s="1"/>
  <c r="EX93" i="21"/>
  <c r="FK286" i="21"/>
  <c r="FM286" i="21" s="1"/>
  <c r="DE286" i="21"/>
  <c r="AD286" i="21"/>
  <c r="ER95" i="21"/>
  <c r="ES95" i="21"/>
  <c r="AT292" i="21"/>
  <c r="AP293" i="21"/>
  <c r="AQ292" i="21"/>
  <c r="DP95" i="21"/>
  <c r="DO95" i="21"/>
  <c r="AU97" i="21"/>
  <c r="AR97" i="21"/>
  <c r="DR92" i="21"/>
  <c r="DN1" i="20"/>
  <c r="DN2" i="20" s="1"/>
  <c r="DN3" i="20"/>
  <c r="EA91" i="20"/>
  <c r="CY91" i="20"/>
  <c r="DN4" i="20"/>
  <c r="DN6" i="20"/>
  <c r="DN7" i="20" s="1"/>
  <c r="DN8" i="20"/>
  <c r="CZ91" i="5"/>
  <c r="DL91" i="5"/>
  <c r="DY94" i="20"/>
  <c r="DV96" i="20"/>
  <c r="EU96" i="20"/>
  <c r="EX96" i="20" s="1"/>
  <c r="EY96" i="20" s="1"/>
  <c r="BC97" i="20"/>
  <c r="AZ97" i="20"/>
  <c r="EC97" i="20"/>
  <c r="BD97" i="20"/>
  <c r="BE97" i="20" s="1"/>
  <c r="FJ93" i="20"/>
  <c r="EL93" i="20" s="1"/>
  <c r="CZ93" i="20" s="1"/>
  <c r="EA92" i="20"/>
  <c r="CY92" i="20"/>
  <c r="AX99" i="20"/>
  <c r="BB98" i="20"/>
  <c r="AY98" i="20"/>
  <c r="FA95" i="20"/>
  <c r="EZ95" i="20"/>
  <c r="DW95" i="20"/>
  <c r="DX95" i="20"/>
  <c r="FE94" i="20"/>
  <c r="FF94" i="20" s="1"/>
  <c r="DM288" i="5"/>
  <c r="CK288" i="5"/>
  <c r="DO292" i="5"/>
  <c r="AP292" i="5"/>
  <c r="AQ292" i="5" s="1"/>
  <c r="DI94" i="5"/>
  <c r="DJ94" i="5"/>
  <c r="CS287" i="5"/>
  <c r="FE287" i="5"/>
  <c r="FG287" i="5" s="1"/>
  <c r="EL290" i="5"/>
  <c r="EM290" i="5"/>
  <c r="DK289" i="5"/>
  <c r="DL289" i="5" s="1"/>
  <c r="DK93" i="5"/>
  <c r="DO96" i="5"/>
  <c r="AP96" i="5"/>
  <c r="AQ96" i="5" s="1"/>
  <c r="AN293" i="5"/>
  <c r="AK293" i="5"/>
  <c r="AJ98" i="5"/>
  <c r="AN97" i="5"/>
  <c r="AK97" i="5"/>
  <c r="DI290" i="5"/>
  <c r="DJ290" i="5"/>
  <c r="DH95" i="5"/>
  <c r="EG95" i="5"/>
  <c r="EJ95" i="5" s="1"/>
  <c r="EK95" i="5" s="1"/>
  <c r="X287" i="5"/>
  <c r="EQ93" i="5"/>
  <c r="EV93" i="5" s="1"/>
  <c r="DX93" i="5" s="1"/>
  <c r="CL93" i="5" s="1"/>
  <c r="AO96" i="5"/>
  <c r="AL96" i="5"/>
  <c r="DH291" i="5"/>
  <c r="EG291" i="5"/>
  <c r="EJ291" i="5" s="1"/>
  <c r="EK291" i="5" s="1"/>
  <c r="EV92" i="5"/>
  <c r="DX92" i="5" s="1"/>
  <c r="CL92" i="5" s="1"/>
  <c r="EQ289" i="5"/>
  <c r="ER289" i="5" s="1"/>
  <c r="AO292" i="5"/>
  <c r="AL292" i="5"/>
  <c r="EM94" i="5"/>
  <c r="EL94" i="5"/>
  <c r="AJ294" i="5"/>
  <c r="DS288" i="21" l="1"/>
  <c r="CQ288" i="21"/>
  <c r="CZ94" i="21"/>
  <c r="FL94" i="21"/>
  <c r="CQ94" i="21"/>
  <c r="AD287" i="21"/>
  <c r="CY287" i="21"/>
  <c r="FK287" i="21"/>
  <c r="FM287" i="21" s="1"/>
  <c r="ER96" i="21"/>
  <c r="ES96" i="21"/>
  <c r="DN291" i="21"/>
  <c r="EM291" i="21"/>
  <c r="EP291" i="21" s="1"/>
  <c r="EQ291" i="21" s="1"/>
  <c r="DE91" i="21"/>
  <c r="DE6" i="21" s="1"/>
  <c r="DE7" i="21" s="1"/>
  <c r="FK91" i="21"/>
  <c r="FM91" i="21" s="1"/>
  <c r="DO96" i="21"/>
  <c r="DP96" i="21"/>
  <c r="EW95" i="21"/>
  <c r="EX95" i="21" s="1"/>
  <c r="DN97" i="21"/>
  <c r="EM97" i="21"/>
  <c r="EP97" i="21" s="1"/>
  <c r="EQ97" i="21" s="1"/>
  <c r="ES290" i="21"/>
  <c r="ER290" i="21"/>
  <c r="EX94" i="21"/>
  <c r="DS94" i="21" s="1"/>
  <c r="DO290" i="21"/>
  <c r="DP290" i="21"/>
  <c r="DQ95" i="21"/>
  <c r="DU98" i="21"/>
  <c r="AV98" i="21"/>
  <c r="AW98" i="21" s="1"/>
  <c r="CQ93" i="21"/>
  <c r="DS93" i="21"/>
  <c r="AP294" i="21"/>
  <c r="AT293" i="21"/>
  <c r="AQ293" i="21"/>
  <c r="AU98" i="21"/>
  <c r="AR98" i="21"/>
  <c r="DQ289" i="21"/>
  <c r="DR289" i="21" s="1"/>
  <c r="EW289" i="21"/>
  <c r="EX289" i="21" s="1"/>
  <c r="DS92" i="21"/>
  <c r="CQ92" i="21"/>
  <c r="AR292" i="21"/>
  <c r="AU292" i="21"/>
  <c r="DU292" i="21"/>
  <c r="AV292" i="21"/>
  <c r="AW292" i="21" s="1"/>
  <c r="AP100" i="21"/>
  <c r="AT99" i="21"/>
  <c r="AQ99" i="21"/>
  <c r="DM91" i="20"/>
  <c r="FS91" i="20"/>
  <c r="FU91" i="20" s="1"/>
  <c r="ER93" i="5"/>
  <c r="DM91" i="5"/>
  <c r="CK91" i="5"/>
  <c r="AZ98" i="20"/>
  <c r="BC98" i="20"/>
  <c r="EC98" i="20"/>
  <c r="BD98" i="20"/>
  <c r="BE98" i="20" s="1"/>
  <c r="FJ94" i="20"/>
  <c r="EL94" i="20" s="1"/>
  <c r="CZ94" i="20" s="1"/>
  <c r="AX100" i="20"/>
  <c r="BB99" i="20"/>
  <c r="AY99" i="20"/>
  <c r="EZ96" i="20"/>
  <c r="FA96" i="20"/>
  <c r="FE95" i="20"/>
  <c r="FF95" i="20" s="1"/>
  <c r="DM92" i="20"/>
  <c r="FS92" i="20"/>
  <c r="FU92" i="20" s="1"/>
  <c r="DX96" i="20"/>
  <c r="DW96" i="20"/>
  <c r="DY95" i="20"/>
  <c r="DH93" i="20"/>
  <c r="FT93" i="20"/>
  <c r="DV97" i="20"/>
  <c r="EU97" i="20"/>
  <c r="EX97" i="20" s="1"/>
  <c r="EY97" i="20" s="1"/>
  <c r="DZ93" i="20"/>
  <c r="DL93" i="5"/>
  <c r="DM289" i="5"/>
  <c r="CK289" i="5"/>
  <c r="FF93" i="5"/>
  <c r="CT93" i="5"/>
  <c r="EM291" i="5"/>
  <c r="EL291" i="5"/>
  <c r="DH96" i="5"/>
  <c r="EG96" i="5"/>
  <c r="EJ96" i="5" s="1"/>
  <c r="EK96" i="5" s="1"/>
  <c r="AL97" i="5"/>
  <c r="AO97" i="5"/>
  <c r="DK94" i="5"/>
  <c r="DK290" i="5"/>
  <c r="DL290" i="5" s="1"/>
  <c r="DO97" i="5"/>
  <c r="AP97" i="5"/>
  <c r="AQ97" i="5" s="1"/>
  <c r="AN294" i="5"/>
  <c r="AK294" i="5"/>
  <c r="AJ99" i="5"/>
  <c r="AN98" i="5"/>
  <c r="AK98" i="5"/>
  <c r="DH292" i="5"/>
  <c r="EG292" i="5"/>
  <c r="EJ292" i="5" s="1"/>
  <c r="EK292" i="5" s="1"/>
  <c r="AL293" i="5"/>
  <c r="AO293" i="5"/>
  <c r="DL92" i="5"/>
  <c r="DI291" i="5"/>
  <c r="DJ291" i="5"/>
  <c r="EL95" i="5"/>
  <c r="EM95" i="5"/>
  <c r="DO293" i="5"/>
  <c r="AP293" i="5"/>
  <c r="AQ293" i="5" s="1"/>
  <c r="EQ290" i="5"/>
  <c r="ER290" i="5" s="1"/>
  <c r="FE288" i="5"/>
  <c r="FG288" i="5" s="1"/>
  <c r="CY288" i="5"/>
  <c r="EQ94" i="5"/>
  <c r="ER94" i="5" s="1"/>
  <c r="CZ92" i="5"/>
  <c r="FF92" i="5"/>
  <c r="DJ95" i="5"/>
  <c r="DI95" i="5"/>
  <c r="X288" i="5"/>
  <c r="AJ295" i="5"/>
  <c r="FB95" i="21" l="1"/>
  <c r="ED95" i="21" s="1"/>
  <c r="CR95" i="21" s="1"/>
  <c r="CQ289" i="21"/>
  <c r="DS289" i="21"/>
  <c r="AU293" i="21"/>
  <c r="AR293" i="21"/>
  <c r="DO291" i="21"/>
  <c r="DP291" i="21"/>
  <c r="DQ96" i="21"/>
  <c r="AP295" i="21"/>
  <c r="AT294" i="21"/>
  <c r="AQ294" i="21"/>
  <c r="DN98" i="21"/>
  <c r="EM98" i="21"/>
  <c r="EP98" i="21" s="1"/>
  <c r="EQ98" i="21" s="1"/>
  <c r="CZ95" i="21"/>
  <c r="FL95" i="21"/>
  <c r="ES291" i="21"/>
  <c r="ER291" i="21"/>
  <c r="DE8" i="21"/>
  <c r="DU293" i="21"/>
  <c r="AV293" i="21"/>
  <c r="AW293" i="21" s="1"/>
  <c r="DQ290" i="21"/>
  <c r="DR290" i="21" s="1"/>
  <c r="DE9" i="21"/>
  <c r="EW290" i="21"/>
  <c r="EX290" i="21" s="1"/>
  <c r="CY94" i="21"/>
  <c r="FK94" i="21"/>
  <c r="FM94" i="21" s="1"/>
  <c r="AU99" i="21"/>
  <c r="AR99" i="21"/>
  <c r="DN292" i="21"/>
  <c r="EM292" i="21"/>
  <c r="EP292" i="21" s="1"/>
  <c r="EQ292" i="21" s="1"/>
  <c r="ES97" i="21"/>
  <c r="ER97" i="21"/>
  <c r="DR95" i="21"/>
  <c r="DO97" i="21"/>
  <c r="DP97" i="21"/>
  <c r="FK288" i="21"/>
  <c r="FM288" i="21" s="1"/>
  <c r="AD288" i="21"/>
  <c r="CY288" i="21"/>
  <c r="EW96" i="21"/>
  <c r="EX96" i="21" s="1"/>
  <c r="CY93" i="21"/>
  <c r="FK93" i="21"/>
  <c r="FM93" i="21" s="1"/>
  <c r="DU99" i="21"/>
  <c r="AV99" i="21"/>
  <c r="AW99" i="21" s="1"/>
  <c r="AP101" i="21"/>
  <c r="AT100" i="21"/>
  <c r="AQ100" i="21"/>
  <c r="CY92" i="21"/>
  <c r="FK92" i="21"/>
  <c r="FM92" i="21" s="1"/>
  <c r="FJ95" i="20"/>
  <c r="EL95" i="20" s="1"/>
  <c r="CZ95" i="20" s="1"/>
  <c r="DH95" i="20" s="1"/>
  <c r="CY91" i="5"/>
  <c r="FE91" i="5"/>
  <c r="FG91" i="5" s="1"/>
  <c r="DY96" i="20"/>
  <c r="DV98" i="20"/>
  <c r="EU98" i="20"/>
  <c r="EX98" i="20" s="1"/>
  <c r="EY98" i="20" s="1"/>
  <c r="DX97" i="20"/>
  <c r="DW97" i="20"/>
  <c r="FE96" i="20"/>
  <c r="FJ96" i="20" s="1"/>
  <c r="EL96" i="20" s="1"/>
  <c r="CZ96" i="20" s="1"/>
  <c r="CY93" i="20"/>
  <c r="EA93" i="20"/>
  <c r="DM8" i="20"/>
  <c r="DM6" i="20"/>
  <c r="DM7" i="20" s="1"/>
  <c r="DM9" i="20"/>
  <c r="BC99" i="20"/>
  <c r="AZ99" i="20"/>
  <c r="FA97" i="20"/>
  <c r="EZ97" i="20"/>
  <c r="EC99" i="20"/>
  <c r="BD99" i="20"/>
  <c r="BE99" i="20" s="1"/>
  <c r="FT94" i="20"/>
  <c r="DH94" i="20"/>
  <c r="AX101" i="20"/>
  <c r="BB100" i="20"/>
  <c r="AY100" i="20"/>
  <c r="DZ94" i="20"/>
  <c r="DM290" i="5"/>
  <c r="CK290" i="5"/>
  <c r="DH97" i="5"/>
  <c r="EG97" i="5"/>
  <c r="EJ97" i="5" s="1"/>
  <c r="EK97" i="5" s="1"/>
  <c r="DI96" i="5"/>
  <c r="DJ96" i="5"/>
  <c r="CZ4" i="5"/>
  <c r="CZ9" i="5"/>
  <c r="CZ3" i="5"/>
  <c r="CZ1" i="5"/>
  <c r="CZ2" i="5" s="1"/>
  <c r="CZ8" i="5"/>
  <c r="CZ6" i="5"/>
  <c r="CZ7" i="5" s="1"/>
  <c r="EQ291" i="5"/>
  <c r="ER291" i="5" s="1"/>
  <c r="DH293" i="5"/>
  <c r="EG293" i="5"/>
  <c r="EJ293" i="5" s="1"/>
  <c r="EK293" i="5" s="1"/>
  <c r="EL292" i="5"/>
  <c r="EM292" i="5"/>
  <c r="EV94" i="5"/>
  <c r="DX94" i="5" s="1"/>
  <c r="CL94" i="5" s="1"/>
  <c r="DI292" i="5"/>
  <c r="DJ292" i="5"/>
  <c r="EQ95" i="5"/>
  <c r="ER95" i="5" s="1"/>
  <c r="AO98" i="5"/>
  <c r="AL98" i="5"/>
  <c r="DO98" i="5"/>
  <c r="AP98" i="5"/>
  <c r="AQ98" i="5" s="1"/>
  <c r="AL294" i="5"/>
  <c r="AO294" i="5"/>
  <c r="FE289" i="5"/>
  <c r="FG289" i="5" s="1"/>
  <c r="CS289" i="5"/>
  <c r="DK95" i="5"/>
  <c r="DK291" i="5"/>
  <c r="DL291" i="5" s="1"/>
  <c r="AJ100" i="5"/>
  <c r="AN99" i="5"/>
  <c r="AK99" i="5"/>
  <c r="DO294" i="5"/>
  <c r="AP294" i="5"/>
  <c r="AQ294" i="5" s="1"/>
  <c r="AN295" i="5"/>
  <c r="AK295" i="5"/>
  <c r="CK92" i="5"/>
  <c r="DM92" i="5"/>
  <c r="EL96" i="5"/>
  <c r="EM96" i="5"/>
  <c r="DM93" i="5"/>
  <c r="CK93" i="5"/>
  <c r="AJ296" i="5"/>
  <c r="X289" i="5"/>
  <c r="FT95" i="20" l="1"/>
  <c r="CQ290" i="21"/>
  <c r="DS290" i="21"/>
  <c r="EW291" i="21"/>
  <c r="EX291" i="21" s="1"/>
  <c r="DN99" i="21"/>
  <c r="EM99" i="21"/>
  <c r="EP99" i="21" s="1"/>
  <c r="EQ99" i="21" s="1"/>
  <c r="EW97" i="21"/>
  <c r="EX97" i="21" s="1"/>
  <c r="DO98" i="21"/>
  <c r="DP98" i="21"/>
  <c r="AU294" i="21"/>
  <c r="AR294" i="21"/>
  <c r="ES98" i="21"/>
  <c r="ER98" i="21"/>
  <c r="DP292" i="21"/>
  <c r="DO292" i="21"/>
  <c r="DS95" i="21"/>
  <c r="CQ95" i="21"/>
  <c r="ES292" i="21"/>
  <c r="ER292" i="21"/>
  <c r="DQ291" i="21"/>
  <c r="DR291" i="21" s="1"/>
  <c r="FB96" i="21"/>
  <c r="ED96" i="21" s="1"/>
  <c r="CR96" i="21" s="1"/>
  <c r="DU294" i="21"/>
  <c r="AV294" i="21"/>
  <c r="AW294" i="21" s="1"/>
  <c r="DN293" i="21"/>
  <c r="EM293" i="21"/>
  <c r="EP293" i="21" s="1"/>
  <c r="EQ293" i="21" s="1"/>
  <c r="DU100" i="21"/>
  <c r="AV100" i="21"/>
  <c r="AW100" i="21" s="1"/>
  <c r="DQ97" i="21"/>
  <c r="AT295" i="21"/>
  <c r="AP296" i="21"/>
  <c r="AQ295" i="21"/>
  <c r="AU100" i="21"/>
  <c r="AR100" i="21"/>
  <c r="AP102" i="21"/>
  <c r="AT101" i="21"/>
  <c r="AQ101" i="21"/>
  <c r="FK289" i="21"/>
  <c r="FM289" i="21" s="1"/>
  <c r="AD289" i="21"/>
  <c r="CY289" i="21"/>
  <c r="FF96" i="20"/>
  <c r="DZ95" i="20"/>
  <c r="DZ96" i="20"/>
  <c r="EV95" i="5"/>
  <c r="DX95" i="5" s="1"/>
  <c r="CL95" i="5" s="1"/>
  <c r="FF95" i="5" s="1"/>
  <c r="EZ98" i="20"/>
  <c r="FA98" i="20"/>
  <c r="BC100" i="20"/>
  <c r="AZ100" i="20"/>
  <c r="DW98" i="20"/>
  <c r="DX98" i="20"/>
  <c r="EC100" i="20"/>
  <c r="BD100" i="20"/>
  <c r="BE100" i="20" s="1"/>
  <c r="AX102" i="20"/>
  <c r="BB101" i="20"/>
  <c r="AY101" i="20"/>
  <c r="DV99" i="20"/>
  <c r="EU99" i="20"/>
  <c r="EX99" i="20" s="1"/>
  <c r="EY99" i="20" s="1"/>
  <c r="EA94" i="20"/>
  <c r="CY94" i="20"/>
  <c r="FE97" i="20"/>
  <c r="FJ97" i="20" s="1"/>
  <c r="EL97" i="20" s="1"/>
  <c r="CZ97" i="20" s="1"/>
  <c r="FS93" i="20"/>
  <c r="FU93" i="20" s="1"/>
  <c r="DG93" i="20"/>
  <c r="DY97" i="20"/>
  <c r="FT96" i="20"/>
  <c r="DH96" i="20"/>
  <c r="DM291" i="5"/>
  <c r="CK291" i="5"/>
  <c r="DI293" i="5"/>
  <c r="DJ293" i="5"/>
  <c r="DO99" i="5"/>
  <c r="AP99" i="5"/>
  <c r="AQ99" i="5" s="1"/>
  <c r="EQ96" i="5"/>
  <c r="EV96" i="5" s="1"/>
  <c r="DX96" i="5" s="1"/>
  <c r="CL96" i="5" s="1"/>
  <c r="AJ101" i="5"/>
  <c r="AN100" i="5"/>
  <c r="AK100" i="5"/>
  <c r="DK96" i="5"/>
  <c r="CY92" i="5"/>
  <c r="FE92" i="5"/>
  <c r="FG92" i="5" s="1"/>
  <c r="DK292" i="5"/>
  <c r="DL292" i="5" s="1"/>
  <c r="EL97" i="5"/>
  <c r="EM97" i="5"/>
  <c r="DO295" i="5"/>
  <c r="AP295" i="5"/>
  <c r="AQ295" i="5" s="1"/>
  <c r="AN296" i="5"/>
  <c r="AK296" i="5"/>
  <c r="AL99" i="5"/>
  <c r="AO99" i="5"/>
  <c r="AL295" i="5"/>
  <c r="AO295" i="5"/>
  <c r="DH98" i="5"/>
  <c r="EG98" i="5"/>
  <c r="EJ98" i="5" s="1"/>
  <c r="EK98" i="5" s="1"/>
  <c r="CT94" i="5"/>
  <c r="FF94" i="5"/>
  <c r="DJ97" i="5"/>
  <c r="DI97" i="5"/>
  <c r="DL94" i="5"/>
  <c r="CY290" i="5"/>
  <c r="FE290" i="5"/>
  <c r="FG290" i="5" s="1"/>
  <c r="CS93" i="5"/>
  <c r="FE93" i="5"/>
  <c r="FG93" i="5" s="1"/>
  <c r="EQ292" i="5"/>
  <c r="ER292" i="5" s="1"/>
  <c r="DH294" i="5"/>
  <c r="EG294" i="5"/>
  <c r="EJ294" i="5" s="1"/>
  <c r="EK294" i="5" s="1"/>
  <c r="EL293" i="5"/>
  <c r="EM293" i="5"/>
  <c r="X290" i="5"/>
  <c r="AJ297" i="5"/>
  <c r="EA96" i="20" l="1"/>
  <c r="CY96" i="20"/>
  <c r="FS96" i="20" s="1"/>
  <c r="FU96" i="20" s="1"/>
  <c r="DS291" i="21"/>
  <c r="CQ291" i="21"/>
  <c r="DQ292" i="21"/>
  <c r="DR292" i="21" s="1"/>
  <c r="CY95" i="21"/>
  <c r="FK95" i="21"/>
  <c r="FM95" i="21" s="1"/>
  <c r="DU101" i="21"/>
  <c r="AV101" i="21"/>
  <c r="AW101" i="21" s="1"/>
  <c r="AU295" i="21"/>
  <c r="AR295" i="21"/>
  <c r="EW292" i="21"/>
  <c r="EX292" i="21" s="1"/>
  <c r="AT102" i="21"/>
  <c r="AP103" i="21"/>
  <c r="AQ102" i="21"/>
  <c r="FB97" i="21"/>
  <c r="ES99" i="21"/>
  <c r="ER99" i="21"/>
  <c r="DN100" i="21"/>
  <c r="EM100" i="21"/>
  <c r="EP100" i="21" s="1"/>
  <c r="EQ100" i="21" s="1"/>
  <c r="DO99" i="21"/>
  <c r="DP99" i="21"/>
  <c r="AU101" i="21"/>
  <c r="AR101" i="21"/>
  <c r="DQ98" i="21"/>
  <c r="DR98" i="21" s="1"/>
  <c r="ER293" i="21"/>
  <c r="ES293" i="21"/>
  <c r="AT296" i="21"/>
  <c r="AP297" i="21"/>
  <c r="AQ296" i="21"/>
  <c r="DP293" i="21"/>
  <c r="DO293" i="21"/>
  <c r="EW98" i="21"/>
  <c r="FB98" i="21" s="1"/>
  <c r="ED98" i="21" s="1"/>
  <c r="CR98" i="21" s="1"/>
  <c r="DR96" i="21"/>
  <c r="DN294" i="21"/>
  <c r="EM294" i="21"/>
  <c r="EP294" i="21" s="1"/>
  <c r="EQ294" i="21" s="1"/>
  <c r="DU295" i="21"/>
  <c r="AV295" i="21"/>
  <c r="AW295" i="21" s="1"/>
  <c r="FL96" i="21"/>
  <c r="CZ96" i="21"/>
  <c r="FK290" i="21"/>
  <c r="FM290" i="21" s="1"/>
  <c r="CY290" i="21"/>
  <c r="AD290" i="21"/>
  <c r="FF97" i="20"/>
  <c r="EA95" i="20"/>
  <c r="CY95" i="20"/>
  <c r="DZ97" i="20"/>
  <c r="ER96" i="5"/>
  <c r="CT95" i="5"/>
  <c r="DL95" i="5"/>
  <c r="DL96" i="5"/>
  <c r="DM96" i="5" s="1"/>
  <c r="DV100" i="20"/>
  <c r="EU100" i="20"/>
  <c r="EX100" i="20" s="1"/>
  <c r="EY100" i="20" s="1"/>
  <c r="FE98" i="20"/>
  <c r="FJ98" i="20" s="1"/>
  <c r="DY98" i="20"/>
  <c r="BC101" i="20"/>
  <c r="AZ101" i="20"/>
  <c r="FS94" i="20"/>
  <c r="FU94" i="20" s="1"/>
  <c r="DG94" i="20"/>
  <c r="EC101" i="20"/>
  <c r="BD101" i="20"/>
  <c r="BE101" i="20" s="1"/>
  <c r="DH97" i="20"/>
  <c r="FT97" i="20"/>
  <c r="EZ99" i="20"/>
  <c r="FA99" i="20"/>
  <c r="DX99" i="20"/>
  <c r="DW99" i="20"/>
  <c r="AX103" i="20"/>
  <c r="BB102" i="20"/>
  <c r="AY102" i="20"/>
  <c r="DM292" i="5"/>
  <c r="CK292" i="5"/>
  <c r="CT96" i="5"/>
  <c r="FF96" i="5"/>
  <c r="EQ293" i="5"/>
  <c r="ER293" i="5" s="1"/>
  <c r="AO100" i="5"/>
  <c r="AL100" i="5"/>
  <c r="DO100" i="5"/>
  <c r="AP100" i="5"/>
  <c r="AQ100" i="5" s="1"/>
  <c r="DH99" i="5"/>
  <c r="EG99" i="5"/>
  <c r="EJ99" i="5" s="1"/>
  <c r="EK99" i="5" s="1"/>
  <c r="CK94" i="5"/>
  <c r="DM94" i="5"/>
  <c r="DI294" i="5"/>
  <c r="DJ294" i="5"/>
  <c r="DK97" i="5"/>
  <c r="AJ102" i="5"/>
  <c r="AN101" i="5"/>
  <c r="AK101" i="5"/>
  <c r="EL294" i="5"/>
  <c r="EM294" i="5"/>
  <c r="EQ97" i="5"/>
  <c r="EV97" i="5" s="1"/>
  <c r="DX97" i="5" s="1"/>
  <c r="CL97" i="5" s="1"/>
  <c r="DK293" i="5"/>
  <c r="DL293" i="5" s="1"/>
  <c r="AO296" i="5"/>
  <c r="AL296" i="5"/>
  <c r="CS291" i="5"/>
  <c r="FE291" i="5"/>
  <c r="FG291" i="5" s="1"/>
  <c r="AN297" i="5"/>
  <c r="AK297" i="5"/>
  <c r="DO296" i="5"/>
  <c r="AP296" i="5"/>
  <c r="AQ296" i="5" s="1"/>
  <c r="CY9" i="5"/>
  <c r="CY8" i="5"/>
  <c r="CY6" i="5"/>
  <c r="CY7" i="5" s="1"/>
  <c r="EM98" i="5"/>
  <c r="EL98" i="5"/>
  <c r="DJ98" i="5"/>
  <c r="DI98" i="5"/>
  <c r="DH295" i="5"/>
  <c r="EG295" i="5"/>
  <c r="EJ295" i="5" s="1"/>
  <c r="EK295" i="5" s="1"/>
  <c r="AJ298" i="5"/>
  <c r="X291" i="5"/>
  <c r="DG96" i="20" l="1"/>
  <c r="EA97" i="20"/>
  <c r="EX98" i="21"/>
  <c r="DS98" i="21"/>
  <c r="CQ98" i="21"/>
  <c r="FL98" i="21"/>
  <c r="CZ98" i="21"/>
  <c r="DS292" i="21"/>
  <c r="CQ292" i="21"/>
  <c r="EW99" i="21"/>
  <c r="EX99" i="21" s="1"/>
  <c r="ER100" i="21"/>
  <c r="ES100" i="21"/>
  <c r="ED97" i="21"/>
  <c r="CR97" i="21" s="1"/>
  <c r="DR97" i="21"/>
  <c r="AT103" i="21"/>
  <c r="AQ103" i="21"/>
  <c r="DN295" i="21"/>
  <c r="EM295" i="21"/>
  <c r="EP295" i="21" s="1"/>
  <c r="EQ295" i="21" s="1"/>
  <c r="DU102" i="21"/>
  <c r="AV102" i="21"/>
  <c r="AW102" i="21" s="1"/>
  <c r="DP294" i="21"/>
  <c r="DO294" i="21"/>
  <c r="AU296" i="21"/>
  <c r="AR296" i="21"/>
  <c r="DN101" i="21"/>
  <c r="EM101" i="21"/>
  <c r="EP101" i="21" s="1"/>
  <c r="EQ101" i="21" s="1"/>
  <c r="DS96" i="21"/>
  <c r="CQ96" i="21"/>
  <c r="AP298" i="21"/>
  <c r="AT297" i="21"/>
  <c r="AQ297" i="21"/>
  <c r="AR102" i="21"/>
  <c r="AU102" i="21"/>
  <c r="DU296" i="21"/>
  <c r="AV296" i="21"/>
  <c r="AW296" i="21" s="1"/>
  <c r="ES294" i="21"/>
  <c r="ER294" i="21"/>
  <c r="DQ293" i="21"/>
  <c r="DR293" i="21" s="1"/>
  <c r="EW293" i="21"/>
  <c r="EX293" i="21" s="1"/>
  <c r="DQ99" i="21"/>
  <c r="FK291" i="21"/>
  <c r="FM291" i="21" s="1"/>
  <c r="DE291" i="21"/>
  <c r="AD291" i="21"/>
  <c r="DO100" i="21"/>
  <c r="DP100" i="21"/>
  <c r="FS95" i="20"/>
  <c r="FU95" i="20" s="1"/>
  <c r="DG95" i="20"/>
  <c r="CY97" i="20"/>
  <c r="DG97" i="20" s="1"/>
  <c r="CK96" i="5"/>
  <c r="FE96" i="5" s="1"/>
  <c r="FG96" i="5" s="1"/>
  <c r="DM95" i="5"/>
  <c r="CK95" i="5"/>
  <c r="EL98" i="20"/>
  <c r="CZ98" i="20" s="1"/>
  <c r="DZ98" i="20"/>
  <c r="DV101" i="20"/>
  <c r="EU101" i="20"/>
  <c r="EX101" i="20" s="1"/>
  <c r="EY101" i="20" s="1"/>
  <c r="FA100" i="20"/>
  <c r="EZ100" i="20"/>
  <c r="DX100" i="20"/>
  <c r="DW100" i="20"/>
  <c r="BC102" i="20"/>
  <c r="AZ102" i="20"/>
  <c r="DY99" i="20"/>
  <c r="FE99" i="20"/>
  <c r="FF99" i="20" s="1"/>
  <c r="EC102" i="20"/>
  <c r="BD102" i="20"/>
  <c r="BE102" i="20" s="1"/>
  <c r="BB103" i="20"/>
  <c r="AX104" i="20"/>
  <c r="AY103" i="20"/>
  <c r="FF98" i="20"/>
  <c r="CT97" i="5"/>
  <c r="FF97" i="5"/>
  <c r="DL97" i="5"/>
  <c r="DM293" i="5"/>
  <c r="CK293" i="5"/>
  <c r="X293" i="5" s="1"/>
  <c r="EQ294" i="5"/>
  <c r="ER294" i="5" s="1"/>
  <c r="AL101" i="5"/>
  <c r="AO101" i="5"/>
  <c r="CS94" i="5"/>
  <c r="FE94" i="5"/>
  <c r="FG94" i="5" s="1"/>
  <c r="EQ98" i="5"/>
  <c r="ER98" i="5" s="1"/>
  <c r="DO101" i="5"/>
  <c r="AP101" i="5"/>
  <c r="AQ101" i="5" s="1"/>
  <c r="EM99" i="5"/>
  <c r="EL99" i="5"/>
  <c r="DH296" i="5"/>
  <c r="EG296" i="5"/>
  <c r="EJ296" i="5" s="1"/>
  <c r="EK296" i="5" s="1"/>
  <c r="AJ103" i="5"/>
  <c r="AN102" i="5"/>
  <c r="AK102" i="5"/>
  <c r="DI99" i="5"/>
  <c r="DJ99" i="5"/>
  <c r="AO297" i="5"/>
  <c r="AL297" i="5"/>
  <c r="FE292" i="5"/>
  <c r="FG292" i="5" s="1"/>
  <c r="CS292" i="5"/>
  <c r="DO297" i="5"/>
  <c r="AP297" i="5"/>
  <c r="AQ297" i="5" s="1"/>
  <c r="ER97" i="5"/>
  <c r="DH100" i="5"/>
  <c r="EG100" i="5"/>
  <c r="EJ100" i="5" s="1"/>
  <c r="EK100" i="5" s="1"/>
  <c r="EL295" i="5"/>
  <c r="EM295" i="5"/>
  <c r="DI295" i="5"/>
  <c r="DJ295" i="5"/>
  <c r="DK98" i="5"/>
  <c r="CS96" i="5"/>
  <c r="AN298" i="5"/>
  <c r="AK298" i="5"/>
  <c r="DK294" i="5"/>
  <c r="DL294" i="5" s="1"/>
  <c r="AJ299" i="5"/>
  <c r="X292" i="5"/>
  <c r="FS97" i="20" l="1"/>
  <c r="FU97" i="20" s="1"/>
  <c r="DS293" i="21"/>
  <c r="CQ293" i="21"/>
  <c r="EW294" i="21"/>
  <c r="EX294" i="21" s="1"/>
  <c r="CZ97" i="21"/>
  <c r="FL97" i="21"/>
  <c r="DQ100" i="21"/>
  <c r="ER295" i="21"/>
  <c r="ES295" i="21"/>
  <c r="DO101" i="21"/>
  <c r="DP101" i="21"/>
  <c r="FB99" i="21"/>
  <c r="ED99" i="21" s="1"/>
  <c r="CR99" i="21" s="1"/>
  <c r="DQ294" i="21"/>
  <c r="DR294" i="21" s="1"/>
  <c r="CQ97" i="21"/>
  <c r="DS97" i="21"/>
  <c r="AU297" i="21"/>
  <c r="AR297" i="21"/>
  <c r="FK292" i="21"/>
  <c r="FM292" i="21" s="1"/>
  <c r="AD292" i="21"/>
  <c r="DE292" i="21"/>
  <c r="AU103" i="21"/>
  <c r="AR103" i="21"/>
  <c r="DU297" i="21"/>
  <c r="AV297" i="21"/>
  <c r="AW297" i="21" s="1"/>
  <c r="DN102" i="21"/>
  <c r="EM102" i="21"/>
  <c r="EP102" i="21" s="1"/>
  <c r="EQ102" i="21" s="1"/>
  <c r="AT298" i="21"/>
  <c r="AP299" i="21"/>
  <c r="AQ298" i="21"/>
  <c r="DP295" i="21"/>
  <c r="DO295" i="21"/>
  <c r="DN296" i="21"/>
  <c r="EM296" i="21"/>
  <c r="EP296" i="21" s="1"/>
  <c r="EQ296" i="21" s="1"/>
  <c r="FK98" i="21"/>
  <c r="FM98" i="21" s="1"/>
  <c r="CY98" i="21"/>
  <c r="DU103" i="21"/>
  <c r="AV103" i="21"/>
  <c r="AW103" i="21" s="1"/>
  <c r="EW100" i="21"/>
  <c r="FB100" i="21" s="1"/>
  <c r="ED100" i="21" s="1"/>
  <c r="CR100" i="21" s="1"/>
  <c r="FK96" i="21"/>
  <c r="FM96" i="21" s="1"/>
  <c r="CY96" i="21"/>
  <c r="ES101" i="21"/>
  <c r="ER101" i="21"/>
  <c r="FJ99" i="20"/>
  <c r="EL99" i="20" s="1"/>
  <c r="CZ99" i="20" s="1"/>
  <c r="FT99" i="20" s="1"/>
  <c r="CS95" i="5"/>
  <c r="FE95" i="5"/>
  <c r="FG95" i="5" s="1"/>
  <c r="FE100" i="20"/>
  <c r="FF100" i="20" s="1"/>
  <c r="BC103" i="20"/>
  <c r="AZ103" i="20"/>
  <c r="BB104" i="20"/>
  <c r="AY104" i="20"/>
  <c r="EZ101" i="20"/>
  <c r="FA101" i="20"/>
  <c r="EC103" i="20"/>
  <c r="BD103" i="20"/>
  <c r="BE103" i="20" s="1"/>
  <c r="DX101" i="20"/>
  <c r="DW101" i="20"/>
  <c r="EA98" i="20"/>
  <c r="CY98" i="20"/>
  <c r="DV102" i="20"/>
  <c r="EU102" i="20"/>
  <c r="EX102" i="20" s="1"/>
  <c r="EY102" i="20" s="1"/>
  <c r="FT98" i="20"/>
  <c r="DH98" i="20"/>
  <c r="DY100" i="20"/>
  <c r="DM294" i="5"/>
  <c r="CK294" i="5"/>
  <c r="X294" i="5" s="1"/>
  <c r="DK99" i="5"/>
  <c r="AO102" i="5"/>
  <c r="AL102" i="5"/>
  <c r="DH101" i="5"/>
  <c r="EG101" i="5"/>
  <c r="EJ101" i="5" s="1"/>
  <c r="EK101" i="5" s="1"/>
  <c r="DO102" i="5"/>
  <c r="AP102" i="5"/>
  <c r="AQ102" i="5" s="1"/>
  <c r="DH297" i="5"/>
  <c r="EG297" i="5"/>
  <c r="EJ297" i="5" s="1"/>
  <c r="EK297" i="5" s="1"/>
  <c r="DK295" i="5"/>
  <c r="DL295" i="5" s="1"/>
  <c r="AJ104" i="5"/>
  <c r="AN103" i="5"/>
  <c r="AK103" i="5"/>
  <c r="EV98" i="5"/>
  <c r="FE293" i="5"/>
  <c r="FG293" i="5" s="1"/>
  <c r="CS293" i="5"/>
  <c r="AL298" i="5"/>
  <c r="AO298" i="5"/>
  <c r="EM296" i="5"/>
  <c r="EL296" i="5"/>
  <c r="DO298" i="5"/>
  <c r="AP298" i="5"/>
  <c r="AQ298" i="5" s="1"/>
  <c r="EQ295" i="5"/>
  <c r="ER295" i="5" s="1"/>
  <c r="DI296" i="5"/>
  <c r="DJ296" i="5"/>
  <c r="DM97" i="5"/>
  <c r="CK97" i="5"/>
  <c r="EL100" i="5"/>
  <c r="EM100" i="5"/>
  <c r="EQ99" i="5"/>
  <c r="ER99" i="5" s="1"/>
  <c r="AN299" i="5"/>
  <c r="AK299" i="5"/>
  <c r="DJ100" i="5"/>
  <c r="DI100" i="5"/>
  <c r="AJ300" i="5"/>
  <c r="DH99" i="20" l="1"/>
  <c r="DS294" i="21"/>
  <c r="CQ294" i="21"/>
  <c r="DR100" i="21"/>
  <c r="FL100" i="21"/>
  <c r="CZ100" i="21"/>
  <c r="EX100" i="21"/>
  <c r="ES296" i="21"/>
  <c r="ER296" i="21"/>
  <c r="DQ101" i="21"/>
  <c r="DP296" i="21"/>
  <c r="DO296" i="21"/>
  <c r="DQ295" i="21"/>
  <c r="DR295" i="21" s="1"/>
  <c r="AU298" i="21"/>
  <c r="AR298" i="21"/>
  <c r="CZ99" i="21"/>
  <c r="FL99" i="21"/>
  <c r="AT299" i="21"/>
  <c r="AP300" i="21"/>
  <c r="AQ299" i="21"/>
  <c r="DU298" i="21"/>
  <c r="AV298" i="21"/>
  <c r="AW298" i="21" s="1"/>
  <c r="CY97" i="21"/>
  <c r="FK97" i="21"/>
  <c r="FM97" i="21" s="1"/>
  <c r="ER102" i="21"/>
  <c r="ES102" i="21"/>
  <c r="DN103" i="21"/>
  <c r="EM103" i="21"/>
  <c r="EP103" i="21" s="1"/>
  <c r="EQ103" i="21" s="1"/>
  <c r="EW295" i="21"/>
  <c r="EX295" i="21" s="1"/>
  <c r="DP102" i="21"/>
  <c r="DO102" i="21"/>
  <c r="DN297" i="21"/>
  <c r="EM297" i="21"/>
  <c r="EP297" i="21" s="1"/>
  <c r="EQ297" i="21" s="1"/>
  <c r="AD293" i="21"/>
  <c r="FK293" i="21"/>
  <c r="FM293" i="21" s="1"/>
  <c r="DE293" i="21"/>
  <c r="DR99" i="21"/>
  <c r="EW101" i="21"/>
  <c r="FB101" i="21" s="1"/>
  <c r="ED101" i="21" s="1"/>
  <c r="CR101" i="21" s="1"/>
  <c r="DZ99" i="20"/>
  <c r="FJ100" i="20"/>
  <c r="EL100" i="20" s="1"/>
  <c r="CZ100" i="20" s="1"/>
  <c r="FT100" i="20" s="1"/>
  <c r="FE101" i="20"/>
  <c r="FJ101" i="20" s="1"/>
  <c r="EL101" i="20" s="1"/>
  <c r="CZ101" i="20" s="1"/>
  <c r="DY101" i="20"/>
  <c r="AZ104" i="20"/>
  <c r="BC104" i="20"/>
  <c r="EC104" i="20"/>
  <c r="BD104" i="20"/>
  <c r="BE104" i="20" s="1"/>
  <c r="EZ102" i="20"/>
  <c r="FA102" i="20"/>
  <c r="DV103" i="20"/>
  <c r="EU103" i="20"/>
  <c r="EX103" i="20" s="1"/>
  <c r="EY103" i="20" s="1"/>
  <c r="DW102" i="20"/>
  <c r="DX102" i="20"/>
  <c r="FS98" i="20"/>
  <c r="FU98" i="20" s="1"/>
  <c r="DG98" i="20"/>
  <c r="DM295" i="5"/>
  <c r="CK295" i="5"/>
  <c r="DO103" i="5"/>
  <c r="AP103" i="5"/>
  <c r="AQ103" i="5" s="1"/>
  <c r="EL101" i="5"/>
  <c r="EM101" i="5"/>
  <c r="EQ296" i="5"/>
  <c r="ER296" i="5" s="1"/>
  <c r="AL299" i="5"/>
  <c r="AO299" i="5"/>
  <c r="AN104" i="5"/>
  <c r="AK104" i="5"/>
  <c r="DJ101" i="5"/>
  <c r="DI101" i="5"/>
  <c r="DO299" i="5"/>
  <c r="AP299" i="5"/>
  <c r="AQ299" i="5" s="1"/>
  <c r="DK296" i="5"/>
  <c r="DL296" i="5" s="1"/>
  <c r="EL297" i="5"/>
  <c r="EM297" i="5"/>
  <c r="EV99" i="5"/>
  <c r="DX99" i="5" s="1"/>
  <c r="CL99" i="5" s="1"/>
  <c r="DI297" i="5"/>
  <c r="DJ297" i="5"/>
  <c r="DX98" i="5"/>
  <c r="CL98" i="5" s="1"/>
  <c r="DL98" i="5"/>
  <c r="FE294" i="5"/>
  <c r="FG294" i="5" s="1"/>
  <c r="CS294" i="5"/>
  <c r="CS97" i="5"/>
  <c r="FE97" i="5"/>
  <c r="FG97" i="5" s="1"/>
  <c r="AN300" i="5"/>
  <c r="AK300" i="5"/>
  <c r="DK100" i="5"/>
  <c r="EQ100" i="5"/>
  <c r="EV100" i="5" s="1"/>
  <c r="DX100" i="5" s="1"/>
  <c r="CL100" i="5" s="1"/>
  <c r="DH298" i="5"/>
  <c r="EG298" i="5"/>
  <c r="EJ298" i="5" s="1"/>
  <c r="EK298" i="5" s="1"/>
  <c r="AL103" i="5"/>
  <c r="AO103" i="5"/>
  <c r="DH102" i="5"/>
  <c r="EG102" i="5"/>
  <c r="EJ102" i="5" s="1"/>
  <c r="EK102" i="5" s="1"/>
  <c r="AJ301" i="5"/>
  <c r="DZ101" i="20" l="1"/>
  <c r="CY101" i="20" s="1"/>
  <c r="DH100" i="20"/>
  <c r="DS295" i="21"/>
  <c r="CQ295" i="21"/>
  <c r="CZ101" i="21"/>
  <c r="FL101" i="21"/>
  <c r="DR101" i="21"/>
  <c r="DS99" i="21"/>
  <c r="CQ99" i="21"/>
  <c r="DU299" i="21"/>
  <c r="AV299" i="21"/>
  <c r="AW299" i="21" s="1"/>
  <c r="EX101" i="21"/>
  <c r="AT300" i="21"/>
  <c r="AP301" i="21"/>
  <c r="AQ300" i="21"/>
  <c r="AU299" i="21"/>
  <c r="AR299" i="21"/>
  <c r="DP103" i="21"/>
  <c r="DO103" i="21"/>
  <c r="DP297" i="21"/>
  <c r="DO297" i="21"/>
  <c r="EW296" i="21"/>
  <c r="EX296" i="21" s="1"/>
  <c r="FB102" i="21"/>
  <c r="ED102" i="21" s="1"/>
  <c r="CR102" i="21" s="1"/>
  <c r="EX102" i="21"/>
  <c r="EW102" i="21"/>
  <c r="DS100" i="21"/>
  <c r="CQ100" i="21"/>
  <c r="ES297" i="21"/>
  <c r="ER297" i="21"/>
  <c r="DQ102" i="21"/>
  <c r="AD294" i="21"/>
  <c r="DE294" i="21"/>
  <c r="FK294" i="21"/>
  <c r="FM294" i="21" s="1"/>
  <c r="DQ296" i="21"/>
  <c r="DR296" i="21" s="1"/>
  <c r="ES103" i="21"/>
  <c r="ER103" i="21"/>
  <c r="DN298" i="21"/>
  <c r="EM298" i="21"/>
  <c r="EP298" i="21" s="1"/>
  <c r="EQ298" i="21" s="1"/>
  <c r="EA99" i="20"/>
  <c r="CY99" i="20"/>
  <c r="FF101" i="20"/>
  <c r="DZ100" i="20"/>
  <c r="ER100" i="5"/>
  <c r="DH101" i="20"/>
  <c r="FT101" i="20"/>
  <c r="DW103" i="20"/>
  <c r="DX103" i="20"/>
  <c r="DY102" i="20"/>
  <c r="FE102" i="20"/>
  <c r="FF102" i="20" s="1"/>
  <c r="EZ103" i="20"/>
  <c r="FA103" i="20"/>
  <c r="DV104" i="20"/>
  <c r="EU104" i="20"/>
  <c r="EX104" i="20" s="1"/>
  <c r="EY104" i="20" s="1"/>
  <c r="DM296" i="5"/>
  <c r="CK296" i="5"/>
  <c r="EM298" i="5"/>
  <c r="EL298" i="5"/>
  <c r="DK101" i="5"/>
  <c r="AN301" i="5"/>
  <c r="AK301" i="5"/>
  <c r="AL300" i="5"/>
  <c r="AO300" i="5"/>
  <c r="DH299" i="5"/>
  <c r="EG299" i="5"/>
  <c r="EJ299" i="5" s="1"/>
  <c r="EK299" i="5" s="1"/>
  <c r="DJ298" i="5"/>
  <c r="DI298" i="5"/>
  <c r="CT99" i="5"/>
  <c r="FF99" i="5"/>
  <c r="EQ101" i="5"/>
  <c r="ER101" i="5" s="1"/>
  <c r="AL104" i="5"/>
  <c r="AO104" i="5"/>
  <c r="CT100" i="5"/>
  <c r="FF100" i="5"/>
  <c r="EQ297" i="5"/>
  <c r="ER297" i="5" s="1"/>
  <c r="DO104" i="5"/>
  <c r="AP104" i="5"/>
  <c r="AQ104" i="5" s="1"/>
  <c r="DH103" i="5"/>
  <c r="EG103" i="5"/>
  <c r="EJ103" i="5" s="1"/>
  <c r="EK103" i="5" s="1"/>
  <c r="DO300" i="5"/>
  <c r="AP300" i="5"/>
  <c r="AQ300" i="5" s="1"/>
  <c r="EL102" i="5"/>
  <c r="EM102" i="5"/>
  <c r="DL99" i="5"/>
  <c r="DI102" i="5"/>
  <c r="DJ102" i="5"/>
  <c r="DM98" i="5"/>
  <c r="CK98" i="5"/>
  <c r="CY295" i="5"/>
  <c r="FE295" i="5"/>
  <c r="FG295" i="5" s="1"/>
  <c r="DK297" i="5"/>
  <c r="DL297" i="5" s="1"/>
  <c r="DL100" i="5"/>
  <c r="CT98" i="5"/>
  <c r="FF98" i="5"/>
  <c r="X295" i="5"/>
  <c r="AJ302" i="5"/>
  <c r="EA101" i="20" l="1"/>
  <c r="DR102" i="21"/>
  <c r="DS296" i="21"/>
  <c r="CQ296" i="21"/>
  <c r="DS102" i="21"/>
  <c r="CQ102" i="21"/>
  <c r="FL102" i="21"/>
  <c r="CZ102" i="21"/>
  <c r="ES298" i="21"/>
  <c r="ER298" i="21"/>
  <c r="EQ9" i="21"/>
  <c r="AP302" i="21"/>
  <c r="AT301" i="21"/>
  <c r="AQ301" i="21"/>
  <c r="AU300" i="21"/>
  <c r="AR300" i="21"/>
  <c r="CY99" i="21"/>
  <c r="FK99" i="21"/>
  <c r="FM99" i="21" s="1"/>
  <c r="DU300" i="21"/>
  <c r="AV300" i="21"/>
  <c r="AW300" i="21" s="1"/>
  <c r="EW297" i="21"/>
  <c r="EX297" i="21" s="1"/>
  <c r="DS101" i="21"/>
  <c r="CQ101" i="21"/>
  <c r="EX103" i="21"/>
  <c r="FB103" i="21"/>
  <c r="ED103" i="21" s="1"/>
  <c r="CR103" i="21" s="1"/>
  <c r="EW103" i="21"/>
  <c r="DP298" i="21"/>
  <c r="DO298" i="21"/>
  <c r="DN299" i="21"/>
  <c r="EM299" i="21"/>
  <c r="EP299" i="21" s="1"/>
  <c r="EQ299" i="21" s="1"/>
  <c r="FK100" i="21"/>
  <c r="FM100" i="21" s="1"/>
  <c r="CY100" i="21"/>
  <c r="DQ103" i="21"/>
  <c r="FK295" i="21"/>
  <c r="FM295" i="21" s="1"/>
  <c r="DE295" i="21"/>
  <c r="AD295" i="21"/>
  <c r="DQ297" i="21"/>
  <c r="DR297" i="21" s="1"/>
  <c r="FS99" i="20"/>
  <c r="FU99" i="20" s="1"/>
  <c r="DG99" i="20"/>
  <c r="FJ102" i="20"/>
  <c r="EL102" i="20" s="1"/>
  <c r="CZ102" i="20" s="1"/>
  <c r="FT102" i="20" s="1"/>
  <c r="EA100" i="20"/>
  <c r="CY100" i="20"/>
  <c r="DW104" i="20"/>
  <c r="DX104" i="20"/>
  <c r="DY103" i="20"/>
  <c r="FA104" i="20"/>
  <c r="EZ104" i="20"/>
  <c r="FS101" i="20"/>
  <c r="FU101" i="20" s="1"/>
  <c r="DG101" i="20"/>
  <c r="FE103" i="20"/>
  <c r="FJ103" i="20" s="1"/>
  <c r="EL103" i="20" s="1"/>
  <c r="CZ103" i="20" s="1"/>
  <c r="DM297" i="5"/>
  <c r="CK297" i="5"/>
  <c r="AO301" i="5"/>
  <c r="AL301" i="5"/>
  <c r="DO301" i="5"/>
  <c r="AP301" i="5"/>
  <c r="AQ301" i="5" s="1"/>
  <c r="FE98" i="5"/>
  <c r="FG98" i="5" s="1"/>
  <c r="CS98" i="5"/>
  <c r="DH300" i="5"/>
  <c r="EG300" i="5"/>
  <c r="EJ300" i="5" s="1"/>
  <c r="EK300" i="5" s="1"/>
  <c r="DK298" i="5"/>
  <c r="DL298" i="5" s="1"/>
  <c r="EL103" i="5"/>
  <c r="EM103" i="5"/>
  <c r="DI103" i="5"/>
  <c r="DJ103" i="5"/>
  <c r="EL299" i="5"/>
  <c r="EM299" i="5"/>
  <c r="EQ298" i="5"/>
  <c r="ER298" i="5" s="1"/>
  <c r="DK102" i="5"/>
  <c r="DI299" i="5"/>
  <c r="DJ299" i="5"/>
  <c r="DM99" i="5"/>
  <c r="CK99" i="5"/>
  <c r="DH104" i="5"/>
  <c r="EG104" i="5"/>
  <c r="EJ104" i="5" s="1"/>
  <c r="EK104" i="5" s="1"/>
  <c r="EV101" i="5"/>
  <c r="DX101" i="5" s="1"/>
  <c r="CL101" i="5" s="1"/>
  <c r="CY296" i="5"/>
  <c r="FE296" i="5"/>
  <c r="FG296" i="5" s="1"/>
  <c r="EQ102" i="5"/>
  <c r="EV102" i="5" s="1"/>
  <c r="DX102" i="5" s="1"/>
  <c r="CL102" i="5" s="1"/>
  <c r="DM100" i="5"/>
  <c r="CK100" i="5"/>
  <c r="AN302" i="5"/>
  <c r="AK302" i="5"/>
  <c r="AJ303" i="5"/>
  <c r="X296" i="5"/>
  <c r="DR103" i="21" l="1"/>
  <c r="DH102" i="20"/>
  <c r="DS297" i="21"/>
  <c r="CQ297" i="21"/>
  <c r="DS103" i="21"/>
  <c r="CQ103" i="21"/>
  <c r="CZ103" i="21"/>
  <c r="FL103" i="21"/>
  <c r="CR9" i="21"/>
  <c r="CR8" i="21"/>
  <c r="CR6" i="21"/>
  <c r="CR7" i="21" s="1"/>
  <c r="CR1" i="21"/>
  <c r="CR4" i="21"/>
  <c r="CI4" i="21"/>
  <c r="CI1" i="21"/>
  <c r="CR3" i="21"/>
  <c r="DJ3" i="21" s="1"/>
  <c r="CI3" i="21"/>
  <c r="DN300" i="21"/>
  <c r="EM300" i="21"/>
  <c r="EP300" i="21" s="1"/>
  <c r="EQ300" i="21" s="1"/>
  <c r="AR301" i="21"/>
  <c r="AU301" i="21"/>
  <c r="DU301" i="21"/>
  <c r="AV301" i="21"/>
  <c r="AW301" i="21" s="1"/>
  <c r="ER9" i="21"/>
  <c r="ES9" i="21"/>
  <c r="ES8" i="21" s="1"/>
  <c r="EW298" i="21"/>
  <c r="EX298" i="21" s="1"/>
  <c r="AT302" i="21"/>
  <c r="AP303" i="21"/>
  <c r="AQ302" i="21"/>
  <c r="DO299" i="21"/>
  <c r="DP299" i="21"/>
  <c r="FK102" i="21"/>
  <c r="FM102" i="21" s="1"/>
  <c r="CY102" i="21"/>
  <c r="CY101" i="21"/>
  <c r="FK101" i="21"/>
  <c r="FM101" i="21" s="1"/>
  <c r="DQ298" i="21"/>
  <c r="DR298" i="21" s="1"/>
  <c r="DE296" i="21"/>
  <c r="AD296" i="21"/>
  <c r="FK296" i="21"/>
  <c r="FM296" i="21" s="1"/>
  <c r="ES299" i="21"/>
  <c r="ER299" i="21"/>
  <c r="DZ102" i="20"/>
  <c r="DG100" i="20"/>
  <c r="FS100" i="20"/>
  <c r="FU100" i="20" s="1"/>
  <c r="FT103" i="20"/>
  <c r="DH103" i="20"/>
  <c r="DZ103" i="20"/>
  <c r="FF103" i="20"/>
  <c r="FE104" i="20"/>
  <c r="FF104" i="20" s="1"/>
  <c r="DY104" i="20"/>
  <c r="CT102" i="5"/>
  <c r="FF102" i="5"/>
  <c r="DL102" i="5"/>
  <c r="DM298" i="5"/>
  <c r="CK298" i="5"/>
  <c r="EM104" i="5"/>
  <c r="EL104" i="5"/>
  <c r="DJ104" i="5"/>
  <c r="DI104" i="5"/>
  <c r="FE100" i="5"/>
  <c r="FG100" i="5" s="1"/>
  <c r="CS100" i="5"/>
  <c r="EL300" i="5"/>
  <c r="EM300" i="5"/>
  <c r="DH301" i="5"/>
  <c r="EG301" i="5"/>
  <c r="EJ301" i="5" s="1"/>
  <c r="EK301" i="5" s="1"/>
  <c r="CS99" i="5"/>
  <c r="FE99" i="5"/>
  <c r="FG99" i="5" s="1"/>
  <c r="ER102" i="5"/>
  <c r="EQ299" i="5"/>
  <c r="ER299" i="5" s="1"/>
  <c r="DJ300" i="5"/>
  <c r="DI300" i="5"/>
  <c r="AN303" i="5"/>
  <c r="AK303" i="5"/>
  <c r="DK299" i="5"/>
  <c r="DL299" i="5" s="1"/>
  <c r="DK103" i="5"/>
  <c r="FE297" i="5"/>
  <c r="FG297" i="5" s="1"/>
  <c r="CY297" i="5"/>
  <c r="AO302" i="5"/>
  <c r="AL302" i="5"/>
  <c r="DO302" i="5"/>
  <c r="AP302" i="5"/>
  <c r="AQ302" i="5" s="1"/>
  <c r="CT101" i="5"/>
  <c r="FF101" i="5"/>
  <c r="EQ103" i="5"/>
  <c r="ER103" i="5" s="1"/>
  <c r="DL101" i="5"/>
  <c r="AJ304" i="5"/>
  <c r="X297" i="5"/>
  <c r="CQ298" i="21" l="1"/>
  <c r="DS298" i="21"/>
  <c r="DN301" i="21"/>
  <c r="EM301" i="21"/>
  <c r="EP301" i="21" s="1"/>
  <c r="EQ301" i="21" s="1"/>
  <c r="ER8" i="21"/>
  <c r="EW299" i="21"/>
  <c r="EX299" i="21" s="1"/>
  <c r="FU57" i="21"/>
  <c r="FU61" i="21"/>
  <c r="FU56" i="21"/>
  <c r="FU58" i="21"/>
  <c r="FU53" i="21"/>
  <c r="FU55" i="21"/>
  <c r="FU59" i="21"/>
  <c r="FU60" i="21"/>
  <c r="FU54" i="21"/>
  <c r="CR2" i="21"/>
  <c r="CI2" i="21"/>
  <c r="DQ299" i="21"/>
  <c r="DR299" i="21" s="1"/>
  <c r="CZ3" i="21"/>
  <c r="CZ6" i="21"/>
  <c r="CZ7" i="21" s="1"/>
  <c r="CZ1" i="21"/>
  <c r="CZ2" i="21" s="1"/>
  <c r="CZ4" i="21"/>
  <c r="CZ9" i="21"/>
  <c r="CZ8" i="21"/>
  <c r="AU302" i="21"/>
  <c r="AR302" i="21"/>
  <c r="CY103" i="21"/>
  <c r="FK103" i="21"/>
  <c r="FM103" i="21" s="1"/>
  <c r="CQ8" i="21"/>
  <c r="CQ9" i="21"/>
  <c r="CQ6" i="21"/>
  <c r="ES300" i="21"/>
  <c r="ER300" i="21"/>
  <c r="DP300" i="21"/>
  <c r="DO300" i="21"/>
  <c r="AT303" i="21"/>
  <c r="AP304" i="21"/>
  <c r="AQ303" i="21"/>
  <c r="DU302" i="21"/>
  <c r="AV302" i="21"/>
  <c r="AW302" i="21" s="1"/>
  <c r="AD297" i="21"/>
  <c r="FK297" i="21"/>
  <c r="FM297" i="21" s="1"/>
  <c r="DE297" i="21"/>
  <c r="CY102" i="20"/>
  <c r="EA102" i="20"/>
  <c r="EV103" i="5"/>
  <c r="DX103" i="5" s="1"/>
  <c r="CL103" i="5" s="1"/>
  <c r="CT103" i="5" s="1"/>
  <c r="EA103" i="20"/>
  <c r="CY103" i="20"/>
  <c r="FJ104" i="20"/>
  <c r="EL104" i="20" s="1"/>
  <c r="CZ104" i="20" s="1"/>
  <c r="EY9" i="20"/>
  <c r="DM299" i="5"/>
  <c r="CK299" i="5"/>
  <c r="DO303" i="5"/>
  <c r="AP303" i="5"/>
  <c r="AQ303" i="5" s="1"/>
  <c r="EL301" i="5"/>
  <c r="EM301" i="5"/>
  <c r="EQ104" i="5"/>
  <c r="ER104" i="5" s="1"/>
  <c r="DK300" i="5"/>
  <c r="DL300" i="5" s="1"/>
  <c r="DI301" i="5"/>
  <c r="DJ301" i="5"/>
  <c r="FF103" i="5"/>
  <c r="FE298" i="5"/>
  <c r="FG298" i="5" s="1"/>
  <c r="CY298" i="5"/>
  <c r="EQ300" i="5"/>
  <c r="ER300" i="5" s="1"/>
  <c r="DH302" i="5"/>
  <c r="EG302" i="5"/>
  <c r="EJ302" i="5" s="1"/>
  <c r="EK302" i="5" s="1"/>
  <c r="DM102" i="5"/>
  <c r="CK102" i="5"/>
  <c r="DM101" i="5"/>
  <c r="CK101" i="5"/>
  <c r="DK104" i="5"/>
  <c r="AN304" i="5"/>
  <c r="AK304" i="5"/>
  <c r="AO303" i="5"/>
  <c r="AL303" i="5"/>
  <c r="X299" i="5"/>
  <c r="X298" i="5"/>
  <c r="AJ305" i="5"/>
  <c r="CQ299" i="21" l="1"/>
  <c r="DS299" i="21"/>
  <c r="FU64" i="21"/>
  <c r="DN302" i="21"/>
  <c r="EM302" i="21"/>
  <c r="EP302" i="21" s="1"/>
  <c r="EQ302" i="21" s="1"/>
  <c r="DU303" i="21"/>
  <c r="AV303" i="21"/>
  <c r="AW303" i="21" s="1"/>
  <c r="T8" i="21"/>
  <c r="EH3" i="21"/>
  <c r="EW300" i="21"/>
  <c r="EX300" i="21" s="1"/>
  <c r="T9" i="21"/>
  <c r="EH4" i="21"/>
  <c r="CY6" i="21"/>
  <c r="CY7" i="21" s="1"/>
  <c r="CY9" i="21"/>
  <c r="CY8" i="21"/>
  <c r="ES301" i="21"/>
  <c r="ER301" i="21"/>
  <c r="AU303" i="21"/>
  <c r="AR303" i="21"/>
  <c r="AP305" i="21"/>
  <c r="AT304" i="21"/>
  <c r="AQ304" i="21"/>
  <c r="T6" i="21"/>
  <c r="EH1" i="21"/>
  <c r="CQ7" i="21"/>
  <c r="DP301" i="21"/>
  <c r="DO301" i="21"/>
  <c r="DQ300" i="21"/>
  <c r="DR300" i="21" s="1"/>
  <c r="FK298" i="21"/>
  <c r="FM298" i="21" s="1"/>
  <c r="DE298" i="21"/>
  <c r="AD298" i="21"/>
  <c r="FS102" i="20"/>
  <c r="FU102" i="20" s="1"/>
  <c r="DG102" i="20"/>
  <c r="DL103" i="5"/>
  <c r="FT104" i="20"/>
  <c r="DH104" i="20"/>
  <c r="CZ9" i="20"/>
  <c r="CZ8" i="20"/>
  <c r="CZ6" i="20"/>
  <c r="CZ7" i="20" s="1"/>
  <c r="CQ4" i="20"/>
  <c r="CZ4" i="20"/>
  <c r="CQ1" i="20"/>
  <c r="CZ1" i="20"/>
  <c r="CQ3" i="20"/>
  <c r="CZ3" i="20"/>
  <c r="FS103" i="20"/>
  <c r="FU103" i="20" s="1"/>
  <c r="DG103" i="20"/>
  <c r="DZ104" i="20"/>
  <c r="FA9" i="20"/>
  <c r="FA8" i="20" s="1"/>
  <c r="EZ9" i="20"/>
  <c r="DM300" i="5"/>
  <c r="CK300" i="5"/>
  <c r="DO304" i="5"/>
  <c r="AP304" i="5"/>
  <c r="AQ304" i="5" s="1"/>
  <c r="DI302" i="5"/>
  <c r="DJ302" i="5"/>
  <c r="DK301" i="5"/>
  <c r="DL301" i="5" s="1"/>
  <c r="EQ301" i="5"/>
  <c r="ER301" i="5" s="1"/>
  <c r="AN305" i="5"/>
  <c r="AK305" i="5"/>
  <c r="EL302" i="5"/>
  <c r="EM302" i="5"/>
  <c r="EK9" i="5"/>
  <c r="DH303" i="5"/>
  <c r="EG303" i="5"/>
  <c r="EJ303" i="5" s="1"/>
  <c r="EK303" i="5" s="1"/>
  <c r="AL304" i="5"/>
  <c r="AO304" i="5"/>
  <c r="CS101" i="5"/>
  <c r="FE101" i="5"/>
  <c r="FG101" i="5" s="1"/>
  <c r="FE102" i="5"/>
  <c r="FG102" i="5" s="1"/>
  <c r="CS102" i="5"/>
  <c r="EV104" i="5"/>
  <c r="DX104" i="5" s="1"/>
  <c r="CL104" i="5" s="1"/>
  <c r="FE299" i="5"/>
  <c r="FG299" i="5" s="1"/>
  <c r="CY299" i="5"/>
  <c r="AJ306" i="5"/>
  <c r="DR3" i="20" l="1"/>
  <c r="DS300" i="21"/>
  <c r="CQ300" i="21"/>
  <c r="AU304" i="21"/>
  <c r="AR304" i="21"/>
  <c r="DN303" i="21"/>
  <c r="EM303" i="21"/>
  <c r="EP303" i="21" s="1"/>
  <c r="EQ303" i="21" s="1"/>
  <c r="ER302" i="21"/>
  <c r="ES302" i="21"/>
  <c r="AT305" i="21"/>
  <c r="AP306" i="21"/>
  <c r="AQ305" i="21"/>
  <c r="DP302" i="21"/>
  <c r="DO302" i="21"/>
  <c r="EH2" i="21"/>
  <c r="T7" i="21"/>
  <c r="DU304" i="21"/>
  <c r="AV304" i="21"/>
  <c r="AW304" i="21" s="1"/>
  <c r="EW301" i="21"/>
  <c r="EX301" i="21" s="1"/>
  <c r="DQ301" i="21"/>
  <c r="DR301" i="21" s="1"/>
  <c r="FK299" i="21"/>
  <c r="FM299" i="21" s="1"/>
  <c r="AD299" i="21"/>
  <c r="CY299" i="21"/>
  <c r="EZ8" i="20"/>
  <c r="CK103" i="5"/>
  <c r="DM103" i="5"/>
  <c r="EA104" i="20"/>
  <c r="CY104" i="20"/>
  <c r="DH6" i="20"/>
  <c r="DH7" i="20" s="1"/>
  <c r="DH9" i="20"/>
  <c r="DH1" i="20"/>
  <c r="DH2" i="20" s="1"/>
  <c r="DH4" i="20"/>
  <c r="DH3" i="20"/>
  <c r="DH8" i="20"/>
  <c r="CQ2" i="20"/>
  <c r="CZ2" i="20"/>
  <c r="GC54" i="20"/>
  <c r="GC57" i="20"/>
  <c r="GC58" i="20"/>
  <c r="GC59" i="20"/>
  <c r="GC62" i="20"/>
  <c r="GC60" i="20"/>
  <c r="GC61" i="20"/>
  <c r="GC55" i="20"/>
  <c r="GC56" i="20"/>
  <c r="EL9" i="5"/>
  <c r="EM9" i="5"/>
  <c r="EM8" i="5" s="1"/>
  <c r="EQ302" i="5"/>
  <c r="ER302" i="5" s="1"/>
  <c r="DK302" i="5"/>
  <c r="DL302" i="5" s="1"/>
  <c r="AO305" i="5"/>
  <c r="AL305" i="5"/>
  <c r="DO305" i="5"/>
  <c r="AP305" i="5"/>
  <c r="AQ305" i="5" s="1"/>
  <c r="DH304" i="5"/>
  <c r="EG304" i="5"/>
  <c r="EJ304" i="5" s="1"/>
  <c r="EK304" i="5" s="1"/>
  <c r="AN306" i="5"/>
  <c r="AK306" i="5"/>
  <c r="CT104" i="5"/>
  <c r="FF104" i="5"/>
  <c r="CL6" i="5"/>
  <c r="CL7" i="5" s="1"/>
  <c r="CL8" i="5"/>
  <c r="CL9" i="5"/>
  <c r="CC3" i="5"/>
  <c r="CL1" i="5"/>
  <c r="CL3" i="5"/>
  <c r="CC1" i="5"/>
  <c r="CC4" i="5"/>
  <c r="CL4" i="5"/>
  <c r="CY300" i="5"/>
  <c r="FE300" i="5"/>
  <c r="FG300" i="5" s="1"/>
  <c r="DM301" i="5"/>
  <c r="CK301" i="5"/>
  <c r="EL303" i="5"/>
  <c r="EM303" i="5"/>
  <c r="DI303" i="5"/>
  <c r="DJ303" i="5"/>
  <c r="DL104" i="5"/>
  <c r="X300" i="5"/>
  <c r="AJ307" i="5"/>
  <c r="DS301" i="21" l="1"/>
  <c r="CQ301" i="21"/>
  <c r="EW302" i="21"/>
  <c r="EX302" i="21" s="1"/>
  <c r="AT306" i="21"/>
  <c r="AP307" i="21"/>
  <c r="AQ306" i="21"/>
  <c r="DN304" i="21"/>
  <c r="EM304" i="21"/>
  <c r="EP304" i="21" s="1"/>
  <c r="EQ304" i="21" s="1"/>
  <c r="AR305" i="21"/>
  <c r="AU305" i="21"/>
  <c r="DO303" i="21"/>
  <c r="DP303" i="21"/>
  <c r="DQ302" i="21"/>
  <c r="DR302" i="21" s="1"/>
  <c r="CY300" i="21"/>
  <c r="AD300" i="21"/>
  <c r="FK300" i="21"/>
  <c r="FM300" i="21" s="1"/>
  <c r="DU305" i="21"/>
  <c r="AV305" i="21"/>
  <c r="AW305" i="21" s="1"/>
  <c r="ES303" i="21"/>
  <c r="ER303" i="21"/>
  <c r="FE103" i="5"/>
  <c r="FG103" i="5" s="1"/>
  <c r="CS103" i="5"/>
  <c r="DD3" i="5"/>
  <c r="GC65" i="20"/>
  <c r="DG104" i="20"/>
  <c r="FS104" i="20"/>
  <c r="FU104" i="20" s="1"/>
  <c r="CY8" i="20"/>
  <c r="CY6" i="20"/>
  <c r="CY9" i="20"/>
  <c r="DM302" i="5"/>
  <c r="CK302" i="5"/>
  <c r="FO61" i="5"/>
  <c r="FO55" i="5"/>
  <c r="FO58" i="5"/>
  <c r="FO59" i="5"/>
  <c r="FO62" i="5"/>
  <c r="FO54" i="5"/>
  <c r="FO57" i="5"/>
  <c r="FO60" i="5"/>
  <c r="FO56" i="5"/>
  <c r="CT3" i="5"/>
  <c r="CT4" i="5"/>
  <c r="CT8" i="5"/>
  <c r="CT9" i="5"/>
  <c r="CT6" i="5"/>
  <c r="CT7" i="5" s="1"/>
  <c r="CT1" i="5"/>
  <c r="CT2" i="5" s="1"/>
  <c r="AL306" i="5"/>
  <c r="AO306" i="5"/>
  <c r="CL2" i="5"/>
  <c r="CC2" i="5"/>
  <c r="DO306" i="5"/>
  <c r="AP306" i="5"/>
  <c r="AQ306" i="5" s="1"/>
  <c r="EM304" i="5"/>
  <c r="EL304" i="5"/>
  <c r="DK303" i="5"/>
  <c r="DL303" i="5" s="1"/>
  <c r="EQ303" i="5"/>
  <c r="ER303" i="5" s="1"/>
  <c r="DJ304" i="5"/>
  <c r="DI304" i="5"/>
  <c r="AN307" i="5"/>
  <c r="AK307" i="5"/>
  <c r="CY301" i="5"/>
  <c r="FE301" i="5"/>
  <c r="FG301" i="5" s="1"/>
  <c r="DM104" i="5"/>
  <c r="CK104" i="5"/>
  <c r="DH305" i="5"/>
  <c r="EG305" i="5"/>
  <c r="EJ305" i="5" s="1"/>
  <c r="EK305" i="5" s="1"/>
  <c r="EL8" i="5"/>
  <c r="AJ308" i="5"/>
  <c r="X301" i="5"/>
  <c r="DS302" i="21" l="1"/>
  <c r="CQ302" i="21"/>
  <c r="EW303" i="21"/>
  <c r="EX303" i="21" s="1"/>
  <c r="DQ303" i="21"/>
  <c r="DR303" i="21" s="1"/>
  <c r="DP304" i="21"/>
  <c r="DO304" i="21"/>
  <c r="AU306" i="21"/>
  <c r="AR306" i="21"/>
  <c r="AP308" i="21"/>
  <c r="AT307" i="21"/>
  <c r="AQ307" i="21"/>
  <c r="DU306" i="21"/>
  <c r="AV306" i="21"/>
  <c r="AW306" i="21" s="1"/>
  <c r="ER304" i="21"/>
  <c r="ES304" i="21"/>
  <c r="DN305" i="21"/>
  <c r="EM305" i="21"/>
  <c r="EP305" i="21" s="1"/>
  <c r="EQ305" i="21" s="1"/>
  <c r="DE301" i="21"/>
  <c r="AD301" i="21"/>
  <c r="FK301" i="21"/>
  <c r="FM301" i="21" s="1"/>
  <c r="AB9" i="20"/>
  <c r="EP4" i="20"/>
  <c r="DG8" i="20"/>
  <c r="DG6" i="20"/>
  <c r="DG7" i="20" s="1"/>
  <c r="DG9" i="20"/>
  <c r="CY7" i="20"/>
  <c r="AB6" i="20"/>
  <c r="EP1" i="20"/>
  <c r="EP3" i="20"/>
  <c r="AB8" i="20"/>
  <c r="DM303" i="5"/>
  <c r="CK303" i="5"/>
  <c r="DO307" i="5"/>
  <c r="AP307" i="5"/>
  <c r="AQ307" i="5" s="1"/>
  <c r="FO65" i="5"/>
  <c r="AN308" i="5"/>
  <c r="AK308" i="5"/>
  <c r="EL305" i="5"/>
  <c r="EM305" i="5"/>
  <c r="DK304" i="5"/>
  <c r="DL304" i="5" s="1"/>
  <c r="AL307" i="5"/>
  <c r="AO307" i="5"/>
  <c r="EQ304" i="5"/>
  <c r="ER304" i="5" s="1"/>
  <c r="DI305" i="5"/>
  <c r="DJ305" i="5"/>
  <c r="DH306" i="5"/>
  <c r="EG306" i="5"/>
  <c r="EJ306" i="5" s="1"/>
  <c r="EK306" i="5" s="1"/>
  <c r="CS104" i="5"/>
  <c r="FE104" i="5"/>
  <c r="FG104" i="5" s="1"/>
  <c r="CK6" i="5"/>
  <c r="N6" i="5" s="1"/>
  <c r="CK8" i="5"/>
  <c r="CK9" i="5"/>
  <c r="N9" i="5" s="1"/>
  <c r="FE302" i="5"/>
  <c r="FG302" i="5" s="1"/>
  <c r="CY302" i="5"/>
  <c r="X302" i="5"/>
  <c r="AJ309" i="5"/>
  <c r="DS303" i="21" l="1"/>
  <c r="CQ303" i="21"/>
  <c r="DU307" i="21"/>
  <c r="AV307" i="21"/>
  <c r="AW307" i="21" s="1"/>
  <c r="AT308" i="21"/>
  <c r="AP309" i="21"/>
  <c r="AQ308" i="21"/>
  <c r="AU307" i="21"/>
  <c r="AR307" i="21"/>
  <c r="DP305" i="21"/>
  <c r="DO305" i="21"/>
  <c r="ES305" i="21"/>
  <c r="ER305" i="21"/>
  <c r="EW304" i="21"/>
  <c r="EX304" i="21" s="1"/>
  <c r="DQ304" i="21"/>
  <c r="DR304" i="21" s="1"/>
  <c r="AD302" i="21"/>
  <c r="FK302" i="21"/>
  <c r="FM302" i="21" s="1"/>
  <c r="DE302" i="21"/>
  <c r="DN306" i="21"/>
  <c r="EM306" i="21"/>
  <c r="EP306" i="21" s="1"/>
  <c r="EQ306" i="21" s="1"/>
  <c r="EB3" i="5"/>
  <c r="N8" i="5"/>
  <c r="EP2" i="20"/>
  <c r="AB7" i="20"/>
  <c r="DM304" i="5"/>
  <c r="CK304" i="5"/>
  <c r="X304" i="5" s="1"/>
  <c r="DK305" i="5"/>
  <c r="DL305" i="5" s="1"/>
  <c r="EQ305" i="5"/>
  <c r="ER305" i="5" s="1"/>
  <c r="AO308" i="5"/>
  <c r="AL308" i="5"/>
  <c r="DO308" i="5"/>
  <c r="AP308" i="5"/>
  <c r="AQ308" i="5" s="1"/>
  <c r="EB4" i="5"/>
  <c r="CS8" i="5"/>
  <c r="CS9" i="5"/>
  <c r="CS6" i="5"/>
  <c r="CS7" i="5" s="1"/>
  <c r="EL306" i="5"/>
  <c r="EM306" i="5"/>
  <c r="DH307" i="5"/>
  <c r="EG307" i="5"/>
  <c r="EJ307" i="5" s="1"/>
  <c r="EK307" i="5" s="1"/>
  <c r="AN309" i="5"/>
  <c r="AK309" i="5"/>
  <c r="DJ306" i="5"/>
  <c r="DI306" i="5"/>
  <c r="FE303" i="5"/>
  <c r="FG303" i="5" s="1"/>
  <c r="CS303" i="5"/>
  <c r="EB1" i="5"/>
  <c r="CK7" i="5"/>
  <c r="AJ310" i="5"/>
  <c r="X303" i="5"/>
  <c r="DS304" i="21" l="1"/>
  <c r="CQ304" i="21"/>
  <c r="ES306" i="21"/>
  <c r="ER306" i="21"/>
  <c r="DQ305" i="21"/>
  <c r="DR305" i="21" s="1"/>
  <c r="DU308" i="21"/>
  <c r="AV308" i="21"/>
  <c r="AW308" i="21" s="1"/>
  <c r="DN307" i="21"/>
  <c r="EM307" i="21"/>
  <c r="EP307" i="21" s="1"/>
  <c r="EQ307" i="21" s="1"/>
  <c r="EW305" i="21"/>
  <c r="EX305" i="21" s="1"/>
  <c r="CY303" i="21"/>
  <c r="AD303" i="21"/>
  <c r="FK303" i="21"/>
  <c r="FM303" i="21" s="1"/>
  <c r="DP306" i="21"/>
  <c r="DO306" i="21"/>
  <c r="AU308" i="21"/>
  <c r="AR308" i="21"/>
  <c r="AT309" i="21"/>
  <c r="AP310" i="21"/>
  <c r="AQ309" i="21"/>
  <c r="EB2" i="5"/>
  <c r="N7" i="5"/>
  <c r="DM305" i="5"/>
  <c r="CK305" i="5"/>
  <c r="DH308" i="5"/>
  <c r="EG308" i="5"/>
  <c r="EJ308" i="5" s="1"/>
  <c r="EK308" i="5" s="1"/>
  <c r="EQ306" i="5"/>
  <c r="ER306" i="5" s="1"/>
  <c r="DK306" i="5"/>
  <c r="DL306" i="5" s="1"/>
  <c r="AL309" i="5"/>
  <c r="AO309" i="5"/>
  <c r="DO309" i="5"/>
  <c r="AP309" i="5"/>
  <c r="AQ309" i="5" s="1"/>
  <c r="EM307" i="5"/>
  <c r="EL307" i="5"/>
  <c r="AN310" i="5"/>
  <c r="AK310" i="5"/>
  <c r="DI307" i="5"/>
  <c r="DJ307" i="5"/>
  <c r="CS304" i="5"/>
  <c r="FE304" i="5"/>
  <c r="FG304" i="5" s="1"/>
  <c r="AJ311" i="5"/>
  <c r="DS305" i="21" l="1"/>
  <c r="CQ305" i="21"/>
  <c r="DQ306" i="21"/>
  <c r="DR306" i="21" s="1"/>
  <c r="AT310" i="21"/>
  <c r="AP311" i="21"/>
  <c r="AQ310" i="21"/>
  <c r="ER307" i="21"/>
  <c r="ES307" i="21"/>
  <c r="EW306" i="21"/>
  <c r="EX306" i="21" s="1"/>
  <c r="AR309" i="21"/>
  <c r="AU309" i="21"/>
  <c r="CY304" i="21"/>
  <c r="AD304" i="21"/>
  <c r="FK304" i="21"/>
  <c r="FM304" i="21" s="1"/>
  <c r="DU309" i="21"/>
  <c r="AV309" i="21"/>
  <c r="AW309" i="21" s="1"/>
  <c r="DP307" i="21"/>
  <c r="DO307" i="21"/>
  <c r="DN308" i="21"/>
  <c r="EM308" i="21"/>
  <c r="EP308" i="21" s="1"/>
  <c r="EQ308" i="21" s="1"/>
  <c r="DM306" i="5"/>
  <c r="CK306" i="5"/>
  <c r="DK307" i="5"/>
  <c r="DL307" i="5" s="1"/>
  <c r="AO310" i="5"/>
  <c r="AL310" i="5"/>
  <c r="DO310" i="5"/>
  <c r="AP310" i="5"/>
  <c r="AQ310" i="5" s="1"/>
  <c r="EQ307" i="5"/>
  <c r="ER307" i="5" s="1"/>
  <c r="AN311" i="5"/>
  <c r="AK311" i="5"/>
  <c r="EM308" i="5"/>
  <c r="EL308" i="5"/>
  <c r="DH309" i="5"/>
  <c r="EG309" i="5"/>
  <c r="EJ309" i="5" s="1"/>
  <c r="EK309" i="5" s="1"/>
  <c r="DI308" i="5"/>
  <c r="DJ308" i="5"/>
  <c r="FE305" i="5"/>
  <c r="FG305" i="5" s="1"/>
  <c r="CY305" i="5"/>
  <c r="X305" i="5"/>
  <c r="AJ312" i="5"/>
  <c r="DS306" i="21" l="1"/>
  <c r="CQ306" i="21"/>
  <c r="DN309" i="21"/>
  <c r="EM309" i="21"/>
  <c r="EP309" i="21" s="1"/>
  <c r="EQ309" i="21" s="1"/>
  <c r="DQ307" i="21"/>
  <c r="DR307" i="21" s="1"/>
  <c r="DU310" i="21"/>
  <c r="AV310" i="21"/>
  <c r="AW310" i="21" s="1"/>
  <c r="DO308" i="21"/>
  <c r="DP308" i="21"/>
  <c r="ES308" i="21"/>
  <c r="ER308" i="21"/>
  <c r="EW307" i="21"/>
  <c r="EX307" i="21" s="1"/>
  <c r="AU310" i="21"/>
  <c r="AR310" i="21"/>
  <c r="AT311" i="21"/>
  <c r="AP312" i="21"/>
  <c r="AQ311" i="21"/>
  <c r="AD305" i="21"/>
  <c r="DE305" i="21"/>
  <c r="FK305" i="21"/>
  <c r="FM305" i="21" s="1"/>
  <c r="AN312" i="5"/>
  <c r="AK312" i="5"/>
  <c r="DI309" i="5"/>
  <c r="DJ309" i="5"/>
  <c r="DH310" i="5"/>
  <c r="EG310" i="5"/>
  <c r="EJ310" i="5" s="1"/>
  <c r="EK310" i="5" s="1"/>
  <c r="EM309" i="5"/>
  <c r="EL309" i="5"/>
  <c r="EQ308" i="5"/>
  <c r="ER308" i="5" s="1"/>
  <c r="DO311" i="5"/>
  <c r="AP311" i="5"/>
  <c r="AQ311" i="5" s="1"/>
  <c r="DK308" i="5"/>
  <c r="DL308" i="5" s="1"/>
  <c r="AO311" i="5"/>
  <c r="AL311" i="5"/>
  <c r="DM307" i="5"/>
  <c r="CK307" i="5"/>
  <c r="CY306" i="5"/>
  <c r="FE306" i="5"/>
  <c r="FG306" i="5" s="1"/>
  <c r="X306" i="5"/>
  <c r="AJ313" i="5"/>
  <c r="DS307" i="21" l="1"/>
  <c r="CQ307" i="21"/>
  <c r="EW308" i="21"/>
  <c r="EX308" i="21" s="1"/>
  <c r="DN310" i="21"/>
  <c r="EM310" i="21"/>
  <c r="EP310" i="21" s="1"/>
  <c r="EQ310" i="21" s="1"/>
  <c r="DQ308" i="21"/>
  <c r="DR308" i="21" s="1"/>
  <c r="AP313" i="21"/>
  <c r="AT312" i="21"/>
  <c r="AQ312" i="21"/>
  <c r="ER309" i="21"/>
  <c r="ES309" i="21"/>
  <c r="AR311" i="21"/>
  <c r="AU311" i="21"/>
  <c r="FK306" i="21"/>
  <c r="FM306" i="21" s="1"/>
  <c r="DE306" i="21"/>
  <c r="AD306" i="21"/>
  <c r="DU311" i="21"/>
  <c r="AV311" i="21"/>
  <c r="AW311" i="21" s="1"/>
  <c r="DP309" i="21"/>
  <c r="DO309" i="21"/>
  <c r="DM308" i="5"/>
  <c r="CK308" i="5"/>
  <c r="AN313" i="5"/>
  <c r="AK313" i="5"/>
  <c r="EM310" i="5"/>
  <c r="EL310" i="5"/>
  <c r="DO312" i="5"/>
  <c r="AP312" i="5"/>
  <c r="AQ312" i="5" s="1"/>
  <c r="DJ310" i="5"/>
  <c r="DI310" i="5"/>
  <c r="EQ309" i="5"/>
  <c r="ER309" i="5" s="1"/>
  <c r="DH311" i="5"/>
  <c r="EG311" i="5"/>
  <c r="EJ311" i="5" s="1"/>
  <c r="EK311" i="5" s="1"/>
  <c r="DK309" i="5"/>
  <c r="DL309" i="5" s="1"/>
  <c r="CS307" i="5"/>
  <c r="FE307" i="5"/>
  <c r="FG307" i="5" s="1"/>
  <c r="AO312" i="5"/>
  <c r="AL312" i="5"/>
  <c r="X307" i="5"/>
  <c r="AJ314" i="5"/>
  <c r="DS308" i="21" l="1"/>
  <c r="CQ308" i="21"/>
  <c r="EW309" i="21"/>
  <c r="EX309" i="21" s="1"/>
  <c r="AU312" i="21"/>
  <c r="AR312" i="21"/>
  <c r="DN311" i="21"/>
  <c r="EM311" i="21"/>
  <c r="EP311" i="21" s="1"/>
  <c r="EQ311" i="21" s="1"/>
  <c r="AP314" i="21"/>
  <c r="AT313" i="21"/>
  <c r="AQ313" i="21"/>
  <c r="CY307" i="21"/>
  <c r="AD307" i="21"/>
  <c r="FK307" i="21"/>
  <c r="FM307" i="21" s="1"/>
  <c r="DQ309" i="21"/>
  <c r="DR309" i="21" s="1"/>
  <c r="DU312" i="21"/>
  <c r="AV312" i="21"/>
  <c r="AW312" i="21" s="1"/>
  <c r="ES310" i="21"/>
  <c r="ER310" i="21"/>
  <c r="DP310" i="21"/>
  <c r="DO310" i="21"/>
  <c r="DM309" i="5"/>
  <c r="CK309" i="5"/>
  <c r="DH312" i="5"/>
  <c r="EG312" i="5"/>
  <c r="EJ312" i="5" s="1"/>
  <c r="EK312" i="5" s="1"/>
  <c r="EM311" i="5"/>
  <c r="EL311" i="5"/>
  <c r="EQ310" i="5"/>
  <c r="ER310" i="5" s="1"/>
  <c r="AN314" i="5"/>
  <c r="AK314" i="5"/>
  <c r="DI311" i="5"/>
  <c r="DJ311" i="5"/>
  <c r="AL313" i="5"/>
  <c r="AO313" i="5"/>
  <c r="DO313" i="5"/>
  <c r="AP313" i="5"/>
  <c r="AQ313" i="5" s="1"/>
  <c r="DK310" i="5"/>
  <c r="DL310" i="5" s="1"/>
  <c r="CS308" i="5"/>
  <c r="FE308" i="5"/>
  <c r="FG308" i="5" s="1"/>
  <c r="AJ315" i="5"/>
  <c r="X308" i="5"/>
  <c r="DS309" i="21" l="1"/>
  <c r="CQ309" i="21"/>
  <c r="EW310" i="21"/>
  <c r="EX310" i="21" s="1"/>
  <c r="DP311" i="21"/>
  <c r="DO311" i="21"/>
  <c r="DU313" i="21"/>
  <c r="AV313" i="21"/>
  <c r="AW313" i="21" s="1"/>
  <c r="DN312" i="21"/>
  <c r="EM312" i="21"/>
  <c r="EP312" i="21" s="1"/>
  <c r="EQ312" i="21" s="1"/>
  <c r="ES311" i="21"/>
  <c r="ER311" i="21"/>
  <c r="DQ310" i="21"/>
  <c r="DR310" i="21" s="1"/>
  <c r="AR313" i="21"/>
  <c r="AU313" i="21"/>
  <c r="FK308" i="21"/>
  <c r="FM308" i="21" s="1"/>
  <c r="CY308" i="21"/>
  <c r="AD308" i="21"/>
  <c r="AT314" i="21"/>
  <c r="AP315" i="21"/>
  <c r="AQ314" i="21"/>
  <c r="DM310" i="5"/>
  <c r="CK310" i="5"/>
  <c r="X310" i="5" s="1"/>
  <c r="DH313" i="5"/>
  <c r="EG313" i="5"/>
  <c r="EJ313" i="5" s="1"/>
  <c r="EK313" i="5" s="1"/>
  <c r="AN315" i="5"/>
  <c r="AK315" i="5"/>
  <c r="EQ311" i="5"/>
  <c r="ER311" i="5" s="1"/>
  <c r="EL312" i="5"/>
  <c r="EM312" i="5"/>
  <c r="DK311" i="5"/>
  <c r="DL311" i="5" s="1"/>
  <c r="DI312" i="5"/>
  <c r="DJ312" i="5"/>
  <c r="AO314" i="5"/>
  <c r="AL314" i="5"/>
  <c r="CY309" i="5"/>
  <c r="FE309" i="5"/>
  <c r="FG309" i="5" s="1"/>
  <c r="DO314" i="5"/>
  <c r="AP314" i="5"/>
  <c r="AQ314" i="5" s="1"/>
  <c r="AJ316" i="5"/>
  <c r="X309" i="5"/>
  <c r="DS310" i="21" l="1"/>
  <c r="CQ310" i="21"/>
  <c r="AT315" i="21"/>
  <c r="AP316" i="21"/>
  <c r="AQ315" i="21"/>
  <c r="DU314" i="21"/>
  <c r="AV314" i="21"/>
  <c r="AW314" i="21" s="1"/>
  <c r="ES312" i="21"/>
  <c r="ER312" i="21"/>
  <c r="AU314" i="21"/>
  <c r="AR314" i="21"/>
  <c r="DN313" i="21"/>
  <c r="EM313" i="21"/>
  <c r="EP313" i="21" s="1"/>
  <c r="EQ313" i="21" s="1"/>
  <c r="EW311" i="21"/>
  <c r="EX311" i="21" s="1"/>
  <c r="DQ311" i="21"/>
  <c r="DR311" i="21" s="1"/>
  <c r="DP312" i="21"/>
  <c r="DO312" i="21"/>
  <c r="FK309" i="21"/>
  <c r="FM309" i="21" s="1"/>
  <c r="AD309" i="21"/>
  <c r="DE309" i="21"/>
  <c r="DM311" i="5"/>
  <c r="CK311" i="5"/>
  <c r="AN316" i="5"/>
  <c r="AK316" i="5"/>
  <c r="AO315" i="5"/>
  <c r="AL315" i="5"/>
  <c r="DO315" i="5"/>
  <c r="AP315" i="5"/>
  <c r="AQ315" i="5" s="1"/>
  <c r="EM313" i="5"/>
  <c r="EL313" i="5"/>
  <c r="DH314" i="5"/>
  <c r="EG314" i="5"/>
  <c r="EJ314" i="5" s="1"/>
  <c r="EK314" i="5" s="1"/>
  <c r="DJ313" i="5"/>
  <c r="DI313" i="5"/>
  <c r="DK312" i="5"/>
  <c r="DL312" i="5" s="1"/>
  <c r="CY310" i="5"/>
  <c r="FE310" i="5"/>
  <c r="FG310" i="5" s="1"/>
  <c r="EQ312" i="5"/>
  <c r="ER312" i="5" s="1"/>
  <c r="AJ317" i="5"/>
  <c r="DS311" i="21" l="1"/>
  <c r="CQ311" i="21"/>
  <c r="DQ312" i="21"/>
  <c r="DR312" i="21" s="1"/>
  <c r="ES313" i="21"/>
  <c r="ER313" i="21"/>
  <c r="DP313" i="21"/>
  <c r="DO313" i="21"/>
  <c r="AP317" i="21"/>
  <c r="AT316" i="21"/>
  <c r="AQ316" i="21"/>
  <c r="EW312" i="21"/>
  <c r="EX312" i="21" s="1"/>
  <c r="AD310" i="21"/>
  <c r="DE310" i="21"/>
  <c r="FK310" i="21"/>
  <c r="FM310" i="21" s="1"/>
  <c r="DN314" i="21"/>
  <c r="EM314" i="21"/>
  <c r="EP314" i="21" s="1"/>
  <c r="EQ314" i="21" s="1"/>
  <c r="AU315" i="21"/>
  <c r="AR315" i="21"/>
  <c r="DU315" i="21"/>
  <c r="AV315" i="21"/>
  <c r="AW315" i="21" s="1"/>
  <c r="DM312" i="5"/>
  <c r="CK312" i="5"/>
  <c r="DH315" i="5"/>
  <c r="EG315" i="5"/>
  <c r="EJ315" i="5" s="1"/>
  <c r="EK315" i="5" s="1"/>
  <c r="DK313" i="5"/>
  <c r="DL313" i="5" s="1"/>
  <c r="EL314" i="5"/>
  <c r="EM314" i="5"/>
  <c r="AL316" i="5"/>
  <c r="AO316" i="5"/>
  <c r="DO316" i="5"/>
  <c r="AP316" i="5"/>
  <c r="AQ316" i="5" s="1"/>
  <c r="EQ313" i="5"/>
  <c r="ER313" i="5" s="1"/>
  <c r="FE311" i="5"/>
  <c r="FG311" i="5" s="1"/>
  <c r="CS311" i="5"/>
  <c r="AN317" i="5"/>
  <c r="AK317" i="5"/>
  <c r="DI314" i="5"/>
  <c r="DJ314" i="5"/>
  <c r="X312" i="5"/>
  <c r="X311" i="5"/>
  <c r="AJ318" i="5"/>
  <c r="CQ312" i="21" l="1"/>
  <c r="DS312" i="21"/>
  <c r="DO314" i="21"/>
  <c r="DP314" i="21"/>
  <c r="AR316" i="21"/>
  <c r="AU316" i="21"/>
  <c r="EW313" i="21"/>
  <c r="EX313" i="21" s="1"/>
  <c r="ES314" i="21"/>
  <c r="ER314" i="21"/>
  <c r="DQ313" i="21"/>
  <c r="DR313" i="21" s="1"/>
  <c r="DN315" i="21"/>
  <c r="EM315" i="21"/>
  <c r="EP315" i="21" s="1"/>
  <c r="EQ315" i="21" s="1"/>
  <c r="AP318" i="21"/>
  <c r="AT317" i="21"/>
  <c r="AQ317" i="21"/>
  <c r="DU316" i="21"/>
  <c r="AV316" i="21"/>
  <c r="AW316" i="21" s="1"/>
  <c r="AD311" i="21"/>
  <c r="CY311" i="21"/>
  <c r="FK311" i="21"/>
  <c r="FM311" i="21" s="1"/>
  <c r="DM313" i="5"/>
  <c r="CK313" i="5"/>
  <c r="EQ314" i="5"/>
  <c r="ER314" i="5" s="1"/>
  <c r="DK314" i="5"/>
  <c r="DL314" i="5" s="1"/>
  <c r="DI315" i="5"/>
  <c r="DJ315" i="5"/>
  <c r="AN318" i="5"/>
  <c r="AK318" i="5"/>
  <c r="EL315" i="5"/>
  <c r="EM315" i="5"/>
  <c r="DH316" i="5"/>
  <c r="EG316" i="5"/>
  <c r="EJ316" i="5" s="1"/>
  <c r="EK316" i="5" s="1"/>
  <c r="AL317" i="5"/>
  <c r="AO317" i="5"/>
  <c r="FE312" i="5"/>
  <c r="FG312" i="5" s="1"/>
  <c r="CS312" i="5"/>
  <c r="DO317" i="5"/>
  <c r="AP317" i="5"/>
  <c r="AQ317" i="5" s="1"/>
  <c r="AJ319" i="5"/>
  <c r="CQ313" i="21" l="1"/>
  <c r="DS313" i="21"/>
  <c r="AP319" i="21"/>
  <c r="AT318" i="21"/>
  <c r="AQ318" i="21"/>
  <c r="DN316" i="21"/>
  <c r="EM316" i="21"/>
  <c r="EP316" i="21" s="1"/>
  <c r="EQ316" i="21" s="1"/>
  <c r="ER315" i="21"/>
  <c r="ES315" i="21"/>
  <c r="AU317" i="21"/>
  <c r="AR317" i="21"/>
  <c r="EW314" i="21"/>
  <c r="EX314" i="21" s="1"/>
  <c r="DQ314" i="21"/>
  <c r="DR314" i="21" s="1"/>
  <c r="DU317" i="21"/>
  <c r="AV317" i="21"/>
  <c r="AW317" i="21" s="1"/>
  <c r="DP315" i="21"/>
  <c r="DO315" i="21"/>
  <c r="CY312" i="21"/>
  <c r="FK312" i="21"/>
  <c r="FM312" i="21" s="1"/>
  <c r="AD312" i="21"/>
  <c r="DM314" i="5"/>
  <c r="CK314" i="5"/>
  <c r="DK315" i="5"/>
  <c r="DL315" i="5" s="1"/>
  <c r="DI316" i="5"/>
  <c r="DJ316" i="5"/>
  <c r="AN319" i="5"/>
  <c r="AK319" i="5"/>
  <c r="DH317" i="5"/>
  <c r="EG317" i="5"/>
  <c r="EJ317" i="5" s="1"/>
  <c r="EK317" i="5" s="1"/>
  <c r="EQ315" i="5"/>
  <c r="ER315" i="5" s="1"/>
  <c r="AL318" i="5"/>
  <c r="AO318" i="5"/>
  <c r="CY313" i="5"/>
  <c r="FE313" i="5"/>
  <c r="FG313" i="5" s="1"/>
  <c r="EM316" i="5"/>
  <c r="EL316" i="5"/>
  <c r="DO318" i="5"/>
  <c r="AP318" i="5"/>
  <c r="AQ318" i="5" s="1"/>
  <c r="X313" i="5"/>
  <c r="AJ320" i="5"/>
  <c r="DS314" i="21" l="1"/>
  <c r="CQ314" i="21"/>
  <c r="DN317" i="21"/>
  <c r="EM317" i="21"/>
  <c r="EP317" i="21" s="1"/>
  <c r="EQ317" i="21" s="1"/>
  <c r="AU318" i="21"/>
  <c r="AR318" i="21"/>
  <c r="DQ315" i="21"/>
  <c r="DR315" i="21" s="1"/>
  <c r="DU318" i="21"/>
  <c r="AV318" i="21"/>
  <c r="AW318" i="21" s="1"/>
  <c r="AP320" i="21"/>
  <c r="AT319" i="21"/>
  <c r="AQ319" i="21"/>
  <c r="ER316" i="21"/>
  <c r="ES316" i="21"/>
  <c r="EW315" i="21"/>
  <c r="EX315" i="21" s="1"/>
  <c r="DO316" i="21"/>
  <c r="DP316" i="21"/>
  <c r="CY313" i="21"/>
  <c r="AD313" i="21"/>
  <c r="FK313" i="21"/>
  <c r="FM313" i="21" s="1"/>
  <c r="DM315" i="5"/>
  <c r="CK315" i="5"/>
  <c r="AO319" i="5"/>
  <c r="AL319" i="5"/>
  <c r="DO319" i="5"/>
  <c r="AP319" i="5"/>
  <c r="AQ319" i="5" s="1"/>
  <c r="DH318" i="5"/>
  <c r="EG318" i="5"/>
  <c r="EJ318" i="5" s="1"/>
  <c r="EK318" i="5" s="1"/>
  <c r="AN320" i="5"/>
  <c r="AK320" i="5"/>
  <c r="EQ316" i="5"/>
  <c r="ER316" i="5" s="1"/>
  <c r="EL317" i="5"/>
  <c r="EM317" i="5"/>
  <c r="CY314" i="5"/>
  <c r="FE314" i="5"/>
  <c r="FG314" i="5" s="1"/>
  <c r="DK316" i="5"/>
  <c r="DL316" i="5" s="1"/>
  <c r="DI317" i="5"/>
  <c r="DJ317" i="5"/>
  <c r="X314" i="5"/>
  <c r="AJ321" i="5"/>
  <c r="DS315" i="21" l="1"/>
  <c r="CQ315" i="21"/>
  <c r="AU319" i="21"/>
  <c r="AR319" i="21"/>
  <c r="AP321" i="21"/>
  <c r="AT320" i="21"/>
  <c r="AQ320" i="21"/>
  <c r="DQ316" i="21"/>
  <c r="DR316" i="21" s="1"/>
  <c r="DU319" i="21"/>
  <c r="AV319" i="21"/>
  <c r="AW319" i="21" s="1"/>
  <c r="DN318" i="21"/>
  <c r="EM318" i="21"/>
  <c r="EP318" i="21" s="1"/>
  <c r="EQ318" i="21" s="1"/>
  <c r="ES317" i="21"/>
  <c r="ER317" i="21"/>
  <c r="EW316" i="21"/>
  <c r="EX316" i="21" s="1"/>
  <c r="DP317" i="21"/>
  <c r="DO317" i="21"/>
  <c r="AD314" i="21"/>
  <c r="DE314" i="21"/>
  <c r="FK314" i="21"/>
  <c r="FM314" i="21" s="1"/>
  <c r="DM316" i="5"/>
  <c r="CK316" i="5"/>
  <c r="DJ318" i="5"/>
  <c r="DI318" i="5"/>
  <c r="EQ317" i="5"/>
  <c r="ER317" i="5" s="1"/>
  <c r="DH319" i="5"/>
  <c r="EG319" i="5"/>
  <c r="EJ319" i="5" s="1"/>
  <c r="EK319" i="5" s="1"/>
  <c r="DK317" i="5"/>
  <c r="DL317" i="5" s="1"/>
  <c r="EL318" i="5"/>
  <c r="EM318" i="5"/>
  <c r="AL320" i="5"/>
  <c r="AO320" i="5"/>
  <c r="FE315" i="5"/>
  <c r="FG315" i="5" s="1"/>
  <c r="CS315" i="5"/>
  <c r="AN321" i="5"/>
  <c r="AK321" i="5"/>
  <c r="DO320" i="5"/>
  <c r="AP320" i="5"/>
  <c r="AQ320" i="5" s="1"/>
  <c r="X316" i="5"/>
  <c r="X315" i="5"/>
  <c r="AJ322" i="5"/>
  <c r="DS316" i="21" l="1"/>
  <c r="CQ316" i="21"/>
  <c r="DP318" i="21"/>
  <c r="DO318" i="21"/>
  <c r="DQ317" i="21"/>
  <c r="DR317" i="21" s="1"/>
  <c r="EW317" i="21"/>
  <c r="EX317" i="21" s="1"/>
  <c r="ES318" i="21"/>
  <c r="ER318" i="21"/>
  <c r="AU320" i="21"/>
  <c r="AR320" i="21"/>
  <c r="DN319" i="21"/>
  <c r="EM319" i="21"/>
  <c r="EP319" i="21" s="1"/>
  <c r="EQ319" i="21" s="1"/>
  <c r="DE315" i="21"/>
  <c r="FK315" i="21"/>
  <c r="FM315" i="21" s="1"/>
  <c r="AD315" i="21"/>
  <c r="DU320" i="21"/>
  <c r="AV320" i="21"/>
  <c r="AW320" i="21" s="1"/>
  <c r="AP322" i="21"/>
  <c r="AT321" i="21"/>
  <c r="AQ321" i="21"/>
  <c r="DM317" i="5"/>
  <c r="CK317" i="5"/>
  <c r="EL319" i="5"/>
  <c r="EM319" i="5"/>
  <c r="DJ319" i="5"/>
  <c r="DI319" i="5"/>
  <c r="DK318" i="5"/>
  <c r="DL318" i="5" s="1"/>
  <c r="DH320" i="5"/>
  <c r="EG320" i="5"/>
  <c r="EJ320" i="5" s="1"/>
  <c r="EK320" i="5" s="1"/>
  <c r="EQ318" i="5"/>
  <c r="ER318" i="5" s="1"/>
  <c r="AL321" i="5"/>
  <c r="AO321" i="5"/>
  <c r="FE316" i="5"/>
  <c r="FG316" i="5" s="1"/>
  <c r="CS316" i="5"/>
  <c r="AN322" i="5"/>
  <c r="AK322" i="5"/>
  <c r="DO321" i="5"/>
  <c r="AP321" i="5"/>
  <c r="AQ321" i="5" s="1"/>
  <c r="AJ323" i="5"/>
  <c r="CQ317" i="21" l="1"/>
  <c r="DS317" i="21"/>
  <c r="DU321" i="21"/>
  <c r="AV321" i="21"/>
  <c r="AW321" i="21" s="1"/>
  <c r="AT322" i="21"/>
  <c r="AP323" i="21"/>
  <c r="AQ322" i="21"/>
  <c r="EW318" i="21"/>
  <c r="EX318" i="21" s="1"/>
  <c r="ER319" i="21"/>
  <c r="ES319" i="21"/>
  <c r="DQ318" i="21"/>
  <c r="DR318" i="21" s="1"/>
  <c r="AR321" i="21"/>
  <c r="AU321" i="21"/>
  <c r="DO319" i="21"/>
  <c r="DP319" i="21"/>
  <c r="DN320" i="21"/>
  <c r="EM320" i="21"/>
  <c r="EP320" i="21" s="1"/>
  <c r="EQ320" i="21" s="1"/>
  <c r="AD316" i="21"/>
  <c r="DE316" i="21"/>
  <c r="FK316" i="21"/>
  <c r="FM316" i="21" s="1"/>
  <c r="DM318" i="5"/>
  <c r="CK318" i="5"/>
  <c r="DK319" i="5"/>
  <c r="DL319" i="5" s="1"/>
  <c r="AN323" i="5"/>
  <c r="AK323" i="5"/>
  <c r="DH321" i="5"/>
  <c r="EG321" i="5"/>
  <c r="EJ321" i="5" s="1"/>
  <c r="EK321" i="5" s="1"/>
  <c r="EQ319" i="5"/>
  <c r="ER319" i="5" s="1"/>
  <c r="AL322" i="5"/>
  <c r="AO322" i="5"/>
  <c r="EM320" i="5"/>
  <c r="EL320" i="5"/>
  <c r="FE317" i="5"/>
  <c r="FG317" i="5" s="1"/>
  <c r="CS317" i="5"/>
  <c r="DO322" i="5"/>
  <c r="AP322" i="5"/>
  <c r="AQ322" i="5" s="1"/>
  <c r="DI320" i="5"/>
  <c r="DJ320" i="5"/>
  <c r="X317" i="5"/>
  <c r="AJ324" i="5"/>
  <c r="DS318" i="21" l="1"/>
  <c r="CQ318" i="21"/>
  <c r="DQ319" i="21"/>
  <c r="DR319" i="21" s="1"/>
  <c r="ES320" i="21"/>
  <c r="ER320" i="21"/>
  <c r="AU322" i="21"/>
  <c r="AR322" i="21"/>
  <c r="AT323" i="21"/>
  <c r="AP324" i="21"/>
  <c r="AQ323" i="21"/>
  <c r="DP320" i="21"/>
  <c r="DO320" i="21"/>
  <c r="DN321" i="21"/>
  <c r="EM321" i="21"/>
  <c r="EP321" i="21" s="1"/>
  <c r="EQ321" i="21" s="1"/>
  <c r="EW319" i="21"/>
  <c r="EX319" i="21" s="1"/>
  <c r="DU322" i="21"/>
  <c r="AV322" i="21"/>
  <c r="AW322" i="21" s="1"/>
  <c r="DE317" i="21"/>
  <c r="FK317" i="21"/>
  <c r="FM317" i="21" s="1"/>
  <c r="AD317" i="21"/>
  <c r="DM319" i="5"/>
  <c r="CK319" i="5"/>
  <c r="DI321" i="5"/>
  <c r="DJ321" i="5"/>
  <c r="AO323" i="5"/>
  <c r="AL323" i="5"/>
  <c r="DO323" i="5"/>
  <c r="AP323" i="5"/>
  <c r="AQ323" i="5" s="1"/>
  <c r="EQ320" i="5"/>
  <c r="ER320" i="5" s="1"/>
  <c r="DK320" i="5"/>
  <c r="DL320" i="5" s="1"/>
  <c r="CY318" i="5"/>
  <c r="FE318" i="5"/>
  <c r="FG318" i="5" s="1"/>
  <c r="EL321" i="5"/>
  <c r="EM321" i="5"/>
  <c r="AN324" i="5"/>
  <c r="AK324" i="5"/>
  <c r="DH322" i="5"/>
  <c r="EG322" i="5"/>
  <c r="EJ322" i="5" s="1"/>
  <c r="EK322" i="5" s="1"/>
  <c r="AJ325" i="5"/>
  <c r="X318" i="5"/>
  <c r="DS319" i="21" l="1"/>
  <c r="CQ319" i="21"/>
  <c r="DN322" i="21"/>
  <c r="EM322" i="21"/>
  <c r="EP322" i="21" s="1"/>
  <c r="EQ322" i="21" s="1"/>
  <c r="DU323" i="21"/>
  <c r="AV323" i="21"/>
  <c r="AW323" i="21" s="1"/>
  <c r="EW320" i="21"/>
  <c r="EX320" i="21" s="1"/>
  <c r="DP321" i="21"/>
  <c r="DO321" i="21"/>
  <c r="AP325" i="21"/>
  <c r="AT324" i="21"/>
  <c r="AQ324" i="21"/>
  <c r="AD318" i="21"/>
  <c r="FK318" i="21"/>
  <c r="FM318" i="21" s="1"/>
  <c r="DE318" i="21"/>
  <c r="ER321" i="21"/>
  <c r="ES321" i="21"/>
  <c r="DQ320" i="21"/>
  <c r="DR320" i="21" s="1"/>
  <c r="AR323" i="21"/>
  <c r="AU323" i="21"/>
  <c r="DM320" i="5"/>
  <c r="CK320" i="5"/>
  <c r="EQ321" i="5"/>
  <c r="ER321" i="5" s="1"/>
  <c r="DH323" i="5"/>
  <c r="EG323" i="5"/>
  <c r="EJ323" i="5" s="1"/>
  <c r="EK323" i="5" s="1"/>
  <c r="EL322" i="5"/>
  <c r="EM322" i="5"/>
  <c r="DJ322" i="5"/>
  <c r="DI322" i="5"/>
  <c r="DK321" i="5"/>
  <c r="DL321" i="5" s="1"/>
  <c r="AL324" i="5"/>
  <c r="AO324" i="5"/>
  <c r="FE319" i="5"/>
  <c r="FG319" i="5" s="1"/>
  <c r="CY319" i="5"/>
  <c r="AN325" i="5"/>
  <c r="AK325" i="5"/>
  <c r="DO324" i="5"/>
  <c r="AP324" i="5"/>
  <c r="AQ324" i="5" s="1"/>
  <c r="X319" i="5"/>
  <c r="AJ326" i="5"/>
  <c r="DS320" i="21" l="1"/>
  <c r="CQ320" i="21"/>
  <c r="DU324" i="21"/>
  <c r="AV324" i="21"/>
  <c r="AW324" i="21" s="1"/>
  <c r="DQ321" i="21"/>
  <c r="DR321" i="21" s="1"/>
  <c r="ES322" i="21"/>
  <c r="ER322" i="21"/>
  <c r="DO322" i="21"/>
  <c r="DP322" i="21"/>
  <c r="AP326" i="21"/>
  <c r="AT325" i="21"/>
  <c r="AQ325" i="21"/>
  <c r="FK319" i="21"/>
  <c r="FM319" i="21" s="1"/>
  <c r="AD319" i="21"/>
  <c r="DE319" i="21"/>
  <c r="EW321" i="21"/>
  <c r="EX321" i="21" s="1"/>
  <c r="AR324" i="21"/>
  <c r="AU324" i="21"/>
  <c r="DN323" i="21"/>
  <c r="EM323" i="21"/>
  <c r="EP323" i="21" s="1"/>
  <c r="EQ323" i="21" s="1"/>
  <c r="DM321" i="5"/>
  <c r="CK321" i="5"/>
  <c r="EQ322" i="5"/>
  <c r="ER322" i="5" s="1"/>
  <c r="EL323" i="5"/>
  <c r="EM323" i="5"/>
  <c r="DI323" i="5"/>
  <c r="DJ323" i="5"/>
  <c r="DH324" i="5"/>
  <c r="EG324" i="5"/>
  <c r="EJ324" i="5" s="1"/>
  <c r="EK324" i="5" s="1"/>
  <c r="AN326" i="5"/>
  <c r="AK326" i="5"/>
  <c r="AL325" i="5"/>
  <c r="AO325" i="5"/>
  <c r="DK322" i="5"/>
  <c r="DL322" i="5" s="1"/>
  <c r="FE320" i="5"/>
  <c r="FG320" i="5" s="1"/>
  <c r="CY320" i="5"/>
  <c r="DO325" i="5"/>
  <c r="AP325" i="5"/>
  <c r="AQ325" i="5" s="1"/>
  <c r="X320" i="5"/>
  <c r="AJ327" i="5"/>
  <c r="DS321" i="21" l="1"/>
  <c r="CQ321" i="21"/>
  <c r="AU325" i="21"/>
  <c r="AR325" i="21"/>
  <c r="AP327" i="21"/>
  <c r="AT326" i="21"/>
  <c r="AQ326" i="21"/>
  <c r="DP323" i="21"/>
  <c r="DO323" i="21"/>
  <c r="DQ322" i="21"/>
  <c r="DR322" i="21" s="1"/>
  <c r="DU325" i="21"/>
  <c r="AV325" i="21"/>
  <c r="AW325" i="21" s="1"/>
  <c r="ES323" i="21"/>
  <c r="ER323" i="21"/>
  <c r="EW322" i="21"/>
  <c r="EX322" i="21" s="1"/>
  <c r="DN324" i="21"/>
  <c r="EM324" i="21"/>
  <c r="EP324" i="21" s="1"/>
  <c r="EQ324" i="21" s="1"/>
  <c r="FK320" i="21"/>
  <c r="FM320" i="21" s="1"/>
  <c r="AD320" i="21"/>
  <c r="CY320" i="21"/>
  <c r="DM322" i="5"/>
  <c r="CK322" i="5"/>
  <c r="DK323" i="5"/>
  <c r="DL323" i="5" s="1"/>
  <c r="AN327" i="5"/>
  <c r="AK327" i="5"/>
  <c r="EQ323" i="5"/>
  <c r="ER323" i="5" s="1"/>
  <c r="AL326" i="5"/>
  <c r="AO326" i="5"/>
  <c r="DH325" i="5"/>
  <c r="EG325" i="5"/>
  <c r="EJ325" i="5" s="1"/>
  <c r="EK325" i="5" s="1"/>
  <c r="DO326" i="5"/>
  <c r="AP326" i="5"/>
  <c r="AQ326" i="5" s="1"/>
  <c r="EM324" i="5"/>
  <c r="EL324" i="5"/>
  <c r="FE321" i="5"/>
  <c r="FG321" i="5" s="1"/>
  <c r="CY321" i="5"/>
  <c r="DI324" i="5"/>
  <c r="DJ324" i="5"/>
  <c r="AJ328" i="5"/>
  <c r="X321" i="5"/>
  <c r="DS322" i="21" l="1"/>
  <c r="CQ322" i="21"/>
  <c r="EW323" i="21"/>
  <c r="EX323" i="21" s="1"/>
  <c r="DN325" i="21"/>
  <c r="EM325" i="21"/>
  <c r="EP325" i="21" s="1"/>
  <c r="EQ325" i="21" s="1"/>
  <c r="ES324" i="21"/>
  <c r="ER324" i="21"/>
  <c r="DP324" i="21"/>
  <c r="DO324" i="21"/>
  <c r="AU326" i="21"/>
  <c r="AR326" i="21"/>
  <c r="DQ323" i="21"/>
  <c r="DR323" i="21" s="1"/>
  <c r="DU326" i="21"/>
  <c r="AV326" i="21"/>
  <c r="AW326" i="21" s="1"/>
  <c r="AT327" i="21"/>
  <c r="AP328" i="21"/>
  <c r="AQ327" i="21"/>
  <c r="FK321" i="21"/>
  <c r="FM321" i="21" s="1"/>
  <c r="AD321" i="21"/>
  <c r="DE321" i="21"/>
  <c r="DM323" i="5"/>
  <c r="CK323" i="5"/>
  <c r="EQ324" i="5"/>
  <c r="ER324" i="5" s="1"/>
  <c r="AO327" i="5"/>
  <c r="AL327" i="5"/>
  <c r="DH326" i="5"/>
  <c r="EG326" i="5"/>
  <c r="EJ326" i="5" s="1"/>
  <c r="EK326" i="5" s="1"/>
  <c r="DO327" i="5"/>
  <c r="AP327" i="5"/>
  <c r="AQ327" i="5" s="1"/>
  <c r="AN328" i="5"/>
  <c r="AK328" i="5"/>
  <c r="EL325" i="5"/>
  <c r="EM325" i="5"/>
  <c r="DI325" i="5"/>
  <c r="DJ325" i="5"/>
  <c r="DK324" i="5"/>
  <c r="DL324" i="5" s="1"/>
  <c r="CY322" i="5"/>
  <c r="FE322" i="5"/>
  <c r="FG322" i="5" s="1"/>
  <c r="X322" i="5"/>
  <c r="AJ329" i="5"/>
  <c r="DS323" i="21" l="1"/>
  <c r="CQ323" i="21"/>
  <c r="AU327" i="21"/>
  <c r="AR327" i="21"/>
  <c r="DU327" i="21"/>
  <c r="AV327" i="21"/>
  <c r="AW327" i="21" s="1"/>
  <c r="AT328" i="21"/>
  <c r="AP329" i="21"/>
  <c r="AQ328" i="21"/>
  <c r="DQ324" i="21"/>
  <c r="DR324" i="21" s="1"/>
  <c r="EW324" i="21"/>
  <c r="EX324" i="21" s="1"/>
  <c r="DP325" i="21"/>
  <c r="DO325" i="21"/>
  <c r="FK322" i="21"/>
  <c r="FM322" i="21" s="1"/>
  <c r="CY322" i="21"/>
  <c r="AD322" i="21"/>
  <c r="DN326" i="21"/>
  <c r="EM326" i="21"/>
  <c r="EP326" i="21" s="1"/>
  <c r="EQ326" i="21" s="1"/>
  <c r="ES325" i="21"/>
  <c r="ER325" i="21"/>
  <c r="DK325" i="5"/>
  <c r="DL325" i="5" s="1"/>
  <c r="DJ326" i="5"/>
  <c r="DI326" i="5"/>
  <c r="EL326" i="5"/>
  <c r="EM326" i="5"/>
  <c r="AN329" i="5"/>
  <c r="AK329" i="5"/>
  <c r="EQ325" i="5"/>
  <c r="ER325" i="5" s="1"/>
  <c r="AL328" i="5"/>
  <c r="AO328" i="5"/>
  <c r="DO328" i="5"/>
  <c r="AP328" i="5"/>
  <c r="AQ328" i="5" s="1"/>
  <c r="FE323" i="5"/>
  <c r="FG323" i="5" s="1"/>
  <c r="CY323" i="5"/>
  <c r="DM324" i="5"/>
  <c r="CK324" i="5"/>
  <c r="DH327" i="5"/>
  <c r="EG327" i="5"/>
  <c r="EJ327" i="5" s="1"/>
  <c r="EK327" i="5" s="1"/>
  <c r="X323" i="5"/>
  <c r="AJ330" i="5"/>
  <c r="DS324" i="21" l="1"/>
  <c r="CQ324" i="21"/>
  <c r="ES326" i="21"/>
  <c r="ER326" i="21"/>
  <c r="AU328" i="21"/>
  <c r="AR328" i="21"/>
  <c r="EW325" i="21"/>
  <c r="EX325" i="21" s="1"/>
  <c r="DP326" i="21"/>
  <c r="DO326" i="21"/>
  <c r="AP330" i="21"/>
  <c r="AT329" i="21"/>
  <c r="AQ329" i="21"/>
  <c r="DN327" i="21"/>
  <c r="EM327" i="21"/>
  <c r="EP327" i="21" s="1"/>
  <c r="EQ327" i="21" s="1"/>
  <c r="DQ325" i="21"/>
  <c r="DR325" i="21" s="1"/>
  <c r="AD323" i="21"/>
  <c r="DE323" i="21"/>
  <c r="FK323" i="21"/>
  <c r="FM323" i="21" s="1"/>
  <c r="DU328" i="21"/>
  <c r="AV328" i="21"/>
  <c r="AW328" i="21" s="1"/>
  <c r="DM325" i="5"/>
  <c r="CK325" i="5"/>
  <c r="AL329" i="5"/>
  <c r="AO329" i="5"/>
  <c r="DH328" i="5"/>
  <c r="EG328" i="5"/>
  <c r="EJ328" i="5" s="1"/>
  <c r="EK328" i="5" s="1"/>
  <c r="EQ326" i="5"/>
  <c r="ER326" i="5" s="1"/>
  <c r="DO329" i="5"/>
  <c r="AP329" i="5"/>
  <c r="AQ329" i="5" s="1"/>
  <c r="EL327" i="5"/>
  <c r="EM327" i="5"/>
  <c r="DK326" i="5"/>
  <c r="DL326" i="5" s="1"/>
  <c r="AN330" i="5"/>
  <c r="AK330" i="5"/>
  <c r="DI327" i="5"/>
  <c r="DJ327" i="5"/>
  <c r="FE324" i="5"/>
  <c r="FG324" i="5" s="1"/>
  <c r="CS324" i="5"/>
  <c r="AJ331" i="5"/>
  <c r="X324" i="5"/>
  <c r="DS325" i="21" l="1"/>
  <c r="CQ325" i="21"/>
  <c r="DU329" i="21"/>
  <c r="AV329" i="21"/>
  <c r="AW329" i="21" s="1"/>
  <c r="DN328" i="21"/>
  <c r="EM328" i="21"/>
  <c r="EP328" i="21" s="1"/>
  <c r="EQ328" i="21" s="1"/>
  <c r="AU329" i="21"/>
  <c r="AR329" i="21"/>
  <c r="DP327" i="21"/>
  <c r="DO327" i="21"/>
  <c r="DQ326" i="21"/>
  <c r="DR326" i="21" s="1"/>
  <c r="ER327" i="21"/>
  <c r="ES327" i="21"/>
  <c r="AT330" i="21"/>
  <c r="AP331" i="21"/>
  <c r="AQ330" i="21"/>
  <c r="EW326" i="21"/>
  <c r="EX326" i="21" s="1"/>
  <c r="CY324" i="21"/>
  <c r="AD324" i="21"/>
  <c r="FK324" i="21"/>
  <c r="FM324" i="21" s="1"/>
  <c r="DM326" i="5"/>
  <c r="CK326" i="5"/>
  <c r="AL330" i="5"/>
  <c r="AO330" i="5"/>
  <c r="EM328" i="5"/>
  <c r="EL328" i="5"/>
  <c r="DI328" i="5"/>
  <c r="DJ328" i="5"/>
  <c r="DO330" i="5"/>
  <c r="AP330" i="5"/>
  <c r="AQ330" i="5" s="1"/>
  <c r="EQ327" i="5"/>
  <c r="ER327" i="5" s="1"/>
  <c r="AN331" i="5"/>
  <c r="AK331" i="5"/>
  <c r="FE325" i="5"/>
  <c r="FG325" i="5" s="1"/>
  <c r="CY325" i="5"/>
  <c r="DK327" i="5"/>
  <c r="DL327" i="5" s="1"/>
  <c r="DH329" i="5"/>
  <c r="EG329" i="5"/>
  <c r="EJ329" i="5" s="1"/>
  <c r="EK329" i="5" s="1"/>
  <c r="X325" i="5"/>
  <c r="AJ332" i="5"/>
  <c r="DS326" i="21" l="1"/>
  <c r="CQ326" i="21"/>
  <c r="AP332" i="21"/>
  <c r="AT331" i="21"/>
  <c r="AQ331" i="21"/>
  <c r="EW327" i="21"/>
  <c r="EX327" i="21" s="1"/>
  <c r="AU330" i="21"/>
  <c r="AR330" i="21"/>
  <c r="DP328" i="21"/>
  <c r="DO328" i="21"/>
  <c r="AD325" i="21"/>
  <c r="DE325" i="21"/>
  <c r="FK325" i="21"/>
  <c r="FM325" i="21" s="1"/>
  <c r="DU330" i="21"/>
  <c r="AV330" i="21"/>
  <c r="AW330" i="21" s="1"/>
  <c r="DQ327" i="21"/>
  <c r="DR327" i="21" s="1"/>
  <c r="ER328" i="21"/>
  <c r="ES328" i="21"/>
  <c r="DN329" i="21"/>
  <c r="EM329" i="21"/>
  <c r="EP329" i="21" s="1"/>
  <c r="EQ329" i="21" s="1"/>
  <c r="DH330" i="5"/>
  <c r="EG330" i="5"/>
  <c r="EJ330" i="5" s="1"/>
  <c r="EK330" i="5" s="1"/>
  <c r="DK328" i="5"/>
  <c r="DL328" i="5" s="1"/>
  <c r="AN332" i="5"/>
  <c r="AK332" i="5"/>
  <c r="AO331" i="5"/>
  <c r="AL331" i="5"/>
  <c r="EQ328" i="5"/>
  <c r="ER328" i="5" s="1"/>
  <c r="DM327" i="5"/>
  <c r="CK327" i="5"/>
  <c r="DO331" i="5"/>
  <c r="AP331" i="5"/>
  <c r="AQ331" i="5" s="1"/>
  <c r="EL329" i="5"/>
  <c r="EM329" i="5"/>
  <c r="DI329" i="5"/>
  <c r="DJ329" i="5"/>
  <c r="CS326" i="5"/>
  <c r="FE326" i="5"/>
  <c r="FG326" i="5" s="1"/>
  <c r="AJ333" i="5"/>
  <c r="X326" i="5"/>
  <c r="DS327" i="21" l="1"/>
  <c r="CQ327" i="21"/>
  <c r="ER329" i="21"/>
  <c r="ES329" i="21"/>
  <c r="EW328" i="21"/>
  <c r="EX328" i="21" s="1"/>
  <c r="DN330" i="21"/>
  <c r="EM330" i="21"/>
  <c r="EP330" i="21" s="1"/>
  <c r="EQ330" i="21" s="1"/>
  <c r="AU331" i="21"/>
  <c r="AR331" i="21"/>
  <c r="DU331" i="21"/>
  <c r="AV331" i="21"/>
  <c r="AW331" i="21" s="1"/>
  <c r="AP333" i="21"/>
  <c r="AT332" i="21"/>
  <c r="AQ332" i="21"/>
  <c r="DO329" i="21"/>
  <c r="DP329" i="21"/>
  <c r="DQ328" i="21"/>
  <c r="DR328" i="21" s="1"/>
  <c r="AD326" i="21"/>
  <c r="FK326" i="21"/>
  <c r="FM326" i="21" s="1"/>
  <c r="CY326" i="21"/>
  <c r="DM328" i="5"/>
  <c r="CK328" i="5"/>
  <c r="EQ329" i="5"/>
  <c r="ER329" i="5" s="1"/>
  <c r="AL332" i="5"/>
  <c r="AO332" i="5"/>
  <c r="DO332" i="5"/>
  <c r="AP332" i="5"/>
  <c r="AQ332" i="5" s="1"/>
  <c r="AN333" i="5"/>
  <c r="AK333" i="5"/>
  <c r="FE327" i="5"/>
  <c r="FG327" i="5" s="1"/>
  <c r="CY327" i="5"/>
  <c r="EL330" i="5"/>
  <c r="EM330" i="5"/>
  <c r="DH331" i="5"/>
  <c r="EG331" i="5"/>
  <c r="EJ331" i="5" s="1"/>
  <c r="EK331" i="5" s="1"/>
  <c r="DK329" i="5"/>
  <c r="DL329" i="5" s="1"/>
  <c r="DJ330" i="5"/>
  <c r="DI330" i="5"/>
  <c r="AJ334" i="5"/>
  <c r="X327" i="5"/>
  <c r="DS328" i="21" l="1"/>
  <c r="CQ328" i="21"/>
  <c r="AR332" i="21"/>
  <c r="AU332" i="21"/>
  <c r="AP334" i="21"/>
  <c r="AT333" i="21"/>
  <c r="AQ333" i="21"/>
  <c r="DN331" i="21"/>
  <c r="EM331" i="21"/>
  <c r="EP331" i="21" s="1"/>
  <c r="EQ331" i="21" s="1"/>
  <c r="DQ329" i="21"/>
  <c r="DR329" i="21" s="1"/>
  <c r="DP330" i="21"/>
  <c r="DO330" i="21"/>
  <c r="DU332" i="21"/>
  <c r="AV332" i="21"/>
  <c r="AW332" i="21" s="1"/>
  <c r="ER330" i="21"/>
  <c r="ES330" i="21"/>
  <c r="EW329" i="21"/>
  <c r="EX329" i="21" s="1"/>
  <c r="AD327" i="21"/>
  <c r="DE327" i="21"/>
  <c r="FK327" i="21"/>
  <c r="FM327" i="21" s="1"/>
  <c r="DM329" i="5"/>
  <c r="CK329" i="5"/>
  <c r="DJ331" i="5"/>
  <c r="DI331" i="5"/>
  <c r="DH332" i="5"/>
  <c r="EG332" i="5"/>
  <c r="EJ332" i="5" s="1"/>
  <c r="EK332" i="5" s="1"/>
  <c r="EQ330" i="5"/>
  <c r="ER330" i="5" s="1"/>
  <c r="DK330" i="5"/>
  <c r="DL330" i="5" s="1"/>
  <c r="EL331" i="5"/>
  <c r="EM331" i="5"/>
  <c r="AO333" i="5"/>
  <c r="AL333" i="5"/>
  <c r="FE328" i="5"/>
  <c r="FG328" i="5" s="1"/>
  <c r="CS328" i="5"/>
  <c r="AN334" i="5"/>
  <c r="AK334" i="5"/>
  <c r="DO333" i="5"/>
  <c r="AP333" i="5"/>
  <c r="AQ333" i="5" s="1"/>
  <c r="X329" i="5"/>
  <c r="X328" i="5"/>
  <c r="AJ335" i="5"/>
  <c r="DS329" i="21" l="1"/>
  <c r="CQ329" i="21"/>
  <c r="AU333" i="21"/>
  <c r="AR333" i="21"/>
  <c r="DQ330" i="21"/>
  <c r="DR330" i="21" s="1"/>
  <c r="EW330" i="21"/>
  <c r="EX330" i="21" s="1"/>
  <c r="DO331" i="21"/>
  <c r="DP331" i="21"/>
  <c r="ES331" i="21"/>
  <c r="ER331" i="21"/>
  <c r="CY328" i="21"/>
  <c r="AD328" i="21"/>
  <c r="FK328" i="21"/>
  <c r="FM328" i="21" s="1"/>
  <c r="DN332" i="21"/>
  <c r="EM332" i="21"/>
  <c r="EP332" i="21" s="1"/>
  <c r="EQ332" i="21" s="1"/>
  <c r="DU333" i="21"/>
  <c r="AV333" i="21"/>
  <c r="AW333" i="21" s="1"/>
  <c r="AT334" i="21"/>
  <c r="AP335" i="21"/>
  <c r="AQ334" i="21"/>
  <c r="DM330" i="5"/>
  <c r="CK330" i="5"/>
  <c r="EM332" i="5"/>
  <c r="EL332" i="5"/>
  <c r="DI332" i="5"/>
  <c r="DJ332" i="5"/>
  <c r="DK331" i="5"/>
  <c r="DL331" i="5" s="1"/>
  <c r="AN335" i="5"/>
  <c r="AK335" i="5"/>
  <c r="DH333" i="5"/>
  <c r="EG333" i="5"/>
  <c r="EJ333" i="5" s="1"/>
  <c r="EK333" i="5" s="1"/>
  <c r="EQ331" i="5"/>
  <c r="ER331" i="5" s="1"/>
  <c r="AL334" i="5"/>
  <c r="AO334" i="5"/>
  <c r="FE329" i="5"/>
  <c r="FG329" i="5" s="1"/>
  <c r="CY329" i="5"/>
  <c r="DO334" i="5"/>
  <c r="AP334" i="5"/>
  <c r="AQ334" i="5" s="1"/>
  <c r="AJ336" i="5"/>
  <c r="DS330" i="21" l="1"/>
  <c r="CQ330" i="21"/>
  <c r="DN333" i="21"/>
  <c r="EM333" i="21"/>
  <c r="EP333" i="21" s="1"/>
  <c r="EQ333" i="21" s="1"/>
  <c r="ES332" i="21"/>
  <c r="ER332" i="21"/>
  <c r="AP336" i="21"/>
  <c r="AT335" i="21"/>
  <c r="AQ335" i="21"/>
  <c r="AU334" i="21"/>
  <c r="AR334" i="21"/>
  <c r="DQ331" i="21"/>
  <c r="DR331" i="21" s="1"/>
  <c r="DU334" i="21"/>
  <c r="AV334" i="21"/>
  <c r="AW334" i="21" s="1"/>
  <c r="DP332" i="21"/>
  <c r="DO332" i="21"/>
  <c r="EW331" i="21"/>
  <c r="EX331" i="21" s="1"/>
  <c r="CY329" i="21"/>
  <c r="AD329" i="21"/>
  <c r="FK329" i="21"/>
  <c r="FM329" i="21" s="1"/>
  <c r="DM331" i="5"/>
  <c r="CK331" i="5"/>
  <c r="DK332" i="5"/>
  <c r="DL332" i="5" s="1"/>
  <c r="EQ332" i="5"/>
  <c r="ER332" i="5" s="1"/>
  <c r="EL333" i="5"/>
  <c r="EM333" i="5"/>
  <c r="DH334" i="5"/>
  <c r="EG334" i="5"/>
  <c r="EJ334" i="5" s="1"/>
  <c r="EK334" i="5" s="1"/>
  <c r="DJ333" i="5"/>
  <c r="DI333" i="5"/>
  <c r="AN336" i="5"/>
  <c r="AK336" i="5"/>
  <c r="AO335" i="5"/>
  <c r="AL335" i="5"/>
  <c r="CS330" i="5"/>
  <c r="FE330" i="5"/>
  <c r="FG330" i="5" s="1"/>
  <c r="DO335" i="5"/>
  <c r="AP335" i="5"/>
  <c r="AQ335" i="5" s="1"/>
  <c r="X330" i="5"/>
  <c r="AJ337" i="5"/>
  <c r="DS331" i="21" l="1"/>
  <c r="CQ331" i="21"/>
  <c r="DQ332" i="21"/>
  <c r="DR332" i="21" s="1"/>
  <c r="AP337" i="21"/>
  <c r="AT336" i="21"/>
  <c r="AQ336" i="21"/>
  <c r="EW332" i="21"/>
  <c r="EX332" i="21" s="1"/>
  <c r="DN334" i="21"/>
  <c r="EM334" i="21"/>
  <c r="EP334" i="21" s="1"/>
  <c r="EQ334" i="21" s="1"/>
  <c r="ES333" i="21"/>
  <c r="ER333" i="21"/>
  <c r="AR335" i="21"/>
  <c r="AU335" i="21"/>
  <c r="DP333" i="21"/>
  <c r="DO333" i="21"/>
  <c r="DE330" i="21"/>
  <c r="AD330" i="21"/>
  <c r="FK330" i="21"/>
  <c r="FM330" i="21" s="1"/>
  <c r="DU335" i="21"/>
  <c r="AV335" i="21"/>
  <c r="AW335" i="21" s="1"/>
  <c r="DM332" i="5"/>
  <c r="CK332" i="5"/>
  <c r="EQ333" i="5"/>
  <c r="ER333" i="5" s="1"/>
  <c r="DO336" i="5"/>
  <c r="AP336" i="5"/>
  <c r="AQ336" i="5" s="1"/>
  <c r="AN337" i="5"/>
  <c r="AK337" i="5"/>
  <c r="DH335" i="5"/>
  <c r="EG335" i="5"/>
  <c r="EJ335" i="5" s="1"/>
  <c r="EK335" i="5" s="1"/>
  <c r="AL336" i="5"/>
  <c r="AO336" i="5"/>
  <c r="EL334" i="5"/>
  <c r="EM334" i="5"/>
  <c r="FE331" i="5"/>
  <c r="FG331" i="5" s="1"/>
  <c r="CY331" i="5"/>
  <c r="DK333" i="5"/>
  <c r="DL333" i="5" s="1"/>
  <c r="DJ334" i="5"/>
  <c r="DI334" i="5"/>
  <c r="X331" i="5"/>
  <c r="AJ338" i="5"/>
  <c r="DS332" i="21" l="1"/>
  <c r="CQ332" i="21"/>
  <c r="DN335" i="21"/>
  <c r="EM335" i="21"/>
  <c r="EP335" i="21" s="1"/>
  <c r="EQ335" i="21" s="1"/>
  <c r="ES334" i="21"/>
  <c r="ER334" i="21"/>
  <c r="DU336" i="21"/>
  <c r="AV336" i="21"/>
  <c r="AW336" i="21" s="1"/>
  <c r="DQ333" i="21"/>
  <c r="DR333" i="21" s="1"/>
  <c r="DP334" i="21"/>
  <c r="DO334" i="21"/>
  <c r="EW333" i="21"/>
  <c r="EX333" i="21" s="1"/>
  <c r="AP338" i="21"/>
  <c r="AT337" i="21"/>
  <c r="AQ337" i="21"/>
  <c r="AR336" i="21"/>
  <c r="AU336" i="21"/>
  <c r="AD331" i="21"/>
  <c r="FK331" i="21"/>
  <c r="FM331" i="21" s="1"/>
  <c r="CY331" i="21"/>
  <c r="DM333" i="5"/>
  <c r="CK333" i="5"/>
  <c r="AL337" i="5"/>
  <c r="AO337" i="5"/>
  <c r="DO337" i="5"/>
  <c r="AP337" i="5"/>
  <c r="AQ337" i="5" s="1"/>
  <c r="AN338" i="5"/>
  <c r="AK338" i="5"/>
  <c r="EQ334" i="5"/>
  <c r="ER334" i="5" s="1"/>
  <c r="DH336" i="5"/>
  <c r="EG336" i="5"/>
  <c r="EJ336" i="5" s="1"/>
  <c r="EK336" i="5" s="1"/>
  <c r="EL335" i="5"/>
  <c r="EM335" i="5"/>
  <c r="CS332" i="5"/>
  <c r="FE332" i="5"/>
  <c r="FG332" i="5" s="1"/>
  <c r="DK334" i="5"/>
  <c r="DL334" i="5" s="1"/>
  <c r="DI335" i="5"/>
  <c r="DJ335" i="5"/>
  <c r="X332" i="5"/>
  <c r="AJ339" i="5"/>
  <c r="CQ333" i="21" l="1"/>
  <c r="DS333" i="21"/>
  <c r="DQ334" i="21"/>
  <c r="DR334" i="21" s="1"/>
  <c r="DN336" i="21"/>
  <c r="EM336" i="21"/>
  <c r="EP336" i="21" s="1"/>
  <c r="EQ336" i="21" s="1"/>
  <c r="EW334" i="21"/>
  <c r="EX334" i="21" s="1"/>
  <c r="AT338" i="21"/>
  <c r="AP339" i="21"/>
  <c r="AQ338" i="21"/>
  <c r="ES335" i="21"/>
  <c r="ER335" i="21"/>
  <c r="DU337" i="21"/>
  <c r="AV337" i="21"/>
  <c r="AW337" i="21" s="1"/>
  <c r="DO335" i="21"/>
  <c r="DP335" i="21"/>
  <c r="AU337" i="21"/>
  <c r="AR337" i="21"/>
  <c r="AD332" i="21"/>
  <c r="FK332" i="21"/>
  <c r="FM332" i="21" s="1"/>
  <c r="DE332" i="21"/>
  <c r="DM334" i="5"/>
  <c r="CK334" i="5"/>
  <c r="AO338" i="5"/>
  <c r="AL338" i="5"/>
  <c r="DH337" i="5"/>
  <c r="EG337" i="5"/>
  <c r="EJ337" i="5" s="1"/>
  <c r="EK337" i="5" s="1"/>
  <c r="EL336" i="5"/>
  <c r="EM336" i="5"/>
  <c r="DO338" i="5"/>
  <c r="AP338" i="5"/>
  <c r="AQ338" i="5" s="1"/>
  <c r="DI336" i="5"/>
  <c r="DJ336" i="5"/>
  <c r="AN339" i="5"/>
  <c r="AK339" i="5"/>
  <c r="FE333" i="5"/>
  <c r="FG333" i="5" s="1"/>
  <c r="CS333" i="5"/>
  <c r="EQ335" i="5"/>
  <c r="ER335" i="5" s="1"/>
  <c r="DK335" i="5"/>
  <c r="DL335" i="5" s="1"/>
  <c r="AJ340" i="5"/>
  <c r="X333" i="5"/>
  <c r="DS334" i="21" l="1"/>
  <c r="CQ334" i="21"/>
  <c r="AU338" i="21"/>
  <c r="AR338" i="21"/>
  <c r="EW335" i="21"/>
  <c r="EX335" i="21" s="1"/>
  <c r="ES336" i="21"/>
  <c r="ER336" i="21"/>
  <c r="DO336" i="21"/>
  <c r="DP336" i="21"/>
  <c r="DU338" i="21"/>
  <c r="AV338" i="21"/>
  <c r="AW338" i="21" s="1"/>
  <c r="DN337" i="21"/>
  <c r="EM337" i="21"/>
  <c r="EP337" i="21" s="1"/>
  <c r="EQ337" i="21" s="1"/>
  <c r="DQ335" i="21"/>
  <c r="DR335" i="21" s="1"/>
  <c r="AP340" i="21"/>
  <c r="AT339" i="21"/>
  <c r="AQ339" i="21"/>
  <c r="CY333" i="21"/>
  <c r="AD333" i="21"/>
  <c r="FK333" i="21"/>
  <c r="FM333" i="21" s="1"/>
  <c r="DM335" i="5"/>
  <c r="CK335" i="5"/>
  <c r="DO339" i="5"/>
  <c r="AP339" i="5"/>
  <c r="AQ339" i="5" s="1"/>
  <c r="DJ337" i="5"/>
  <c r="DI337" i="5"/>
  <c r="EQ336" i="5"/>
  <c r="ER336" i="5" s="1"/>
  <c r="DK336" i="5"/>
  <c r="DL336" i="5" s="1"/>
  <c r="AL339" i="5"/>
  <c r="AO339" i="5"/>
  <c r="CY334" i="5"/>
  <c r="FE334" i="5"/>
  <c r="FG334" i="5" s="1"/>
  <c r="EL337" i="5"/>
  <c r="EM337" i="5"/>
  <c r="AN340" i="5"/>
  <c r="AK340" i="5"/>
  <c r="DH338" i="5"/>
  <c r="EG338" i="5"/>
  <c r="EJ338" i="5" s="1"/>
  <c r="EK338" i="5" s="1"/>
  <c r="AJ341" i="5"/>
  <c r="DS335" i="21" l="1"/>
  <c r="CQ335" i="21"/>
  <c r="AU339" i="21"/>
  <c r="AR339" i="21"/>
  <c r="DO337" i="21"/>
  <c r="DP337" i="21"/>
  <c r="ER337" i="21"/>
  <c r="ES337" i="21"/>
  <c r="AP341" i="21"/>
  <c r="AT340" i="21"/>
  <c r="AQ340" i="21"/>
  <c r="EW336" i="21"/>
  <c r="EX336" i="21" s="1"/>
  <c r="DQ336" i="21"/>
  <c r="DR336" i="21" s="1"/>
  <c r="AD334" i="21"/>
  <c r="FK334" i="21"/>
  <c r="FM334" i="21" s="1"/>
  <c r="DE334" i="21"/>
  <c r="DU339" i="21"/>
  <c r="AV339" i="21"/>
  <c r="AW339" i="21" s="1"/>
  <c r="DN338" i="21"/>
  <c r="EM338" i="21"/>
  <c r="EP338" i="21" s="1"/>
  <c r="EQ338" i="21" s="1"/>
  <c r="DM336" i="5"/>
  <c r="CK336" i="5"/>
  <c r="EQ337" i="5"/>
  <c r="ER337" i="5" s="1"/>
  <c r="DK337" i="5"/>
  <c r="DL337" i="5" s="1"/>
  <c r="DO340" i="5"/>
  <c r="AP340" i="5"/>
  <c r="AQ340" i="5" s="1"/>
  <c r="AN341" i="5"/>
  <c r="AK341" i="5"/>
  <c r="DI338" i="5"/>
  <c r="DJ338" i="5"/>
  <c r="DH339" i="5"/>
  <c r="EG339" i="5"/>
  <c r="EJ339" i="5" s="1"/>
  <c r="EK339" i="5" s="1"/>
  <c r="EL338" i="5"/>
  <c r="EM338" i="5"/>
  <c r="AL340" i="5"/>
  <c r="AO340" i="5"/>
  <c r="FE335" i="5"/>
  <c r="FG335" i="5" s="1"/>
  <c r="CS335" i="5"/>
  <c r="X334" i="5"/>
  <c r="AJ342" i="5"/>
  <c r="X335" i="5"/>
  <c r="DS336" i="21" l="1"/>
  <c r="CQ336" i="21"/>
  <c r="ES338" i="21"/>
  <c r="ER338" i="21"/>
  <c r="DN339" i="21"/>
  <c r="EM339" i="21"/>
  <c r="EP339" i="21" s="1"/>
  <c r="EQ339" i="21" s="1"/>
  <c r="AP342" i="21"/>
  <c r="AT341" i="21"/>
  <c r="AQ341" i="21"/>
  <c r="DU340" i="21"/>
  <c r="AV340" i="21"/>
  <c r="AW340" i="21" s="1"/>
  <c r="EW337" i="21"/>
  <c r="EX337" i="21" s="1"/>
  <c r="DP338" i="21"/>
  <c r="DO338" i="21"/>
  <c r="AR340" i="21"/>
  <c r="AU340" i="21"/>
  <c r="DQ337" i="21"/>
  <c r="DR337" i="21" s="1"/>
  <c r="FK335" i="21"/>
  <c r="FM335" i="21" s="1"/>
  <c r="CY335" i="21"/>
  <c r="AD335" i="21"/>
  <c r="DM337" i="5"/>
  <c r="CK337" i="5"/>
  <c r="EQ338" i="5"/>
  <c r="ER338" i="5" s="1"/>
  <c r="DH340" i="5"/>
  <c r="EG340" i="5"/>
  <c r="EJ340" i="5" s="1"/>
  <c r="EK340" i="5" s="1"/>
  <c r="EM339" i="5"/>
  <c r="EL339" i="5"/>
  <c r="DI339" i="5"/>
  <c r="DJ339" i="5"/>
  <c r="AN342" i="5"/>
  <c r="AK342" i="5"/>
  <c r="DK338" i="5"/>
  <c r="DL338" i="5" s="1"/>
  <c r="AO341" i="5"/>
  <c r="AL341" i="5"/>
  <c r="CY336" i="5"/>
  <c r="FE336" i="5"/>
  <c r="FG336" i="5" s="1"/>
  <c r="DO341" i="5"/>
  <c r="AP341" i="5"/>
  <c r="AQ341" i="5" s="1"/>
  <c r="X336" i="5"/>
  <c r="AJ343" i="5"/>
  <c r="DS337" i="21" l="1"/>
  <c r="CQ337" i="21"/>
  <c r="DQ338" i="21"/>
  <c r="DR338" i="21" s="1"/>
  <c r="DN340" i="21"/>
  <c r="EM340" i="21"/>
  <c r="EP340" i="21" s="1"/>
  <c r="EQ340" i="21" s="1"/>
  <c r="AP343" i="21"/>
  <c r="AT342" i="21"/>
  <c r="AQ342" i="21"/>
  <c r="DU341" i="21"/>
  <c r="AV341" i="21"/>
  <c r="AW341" i="21" s="1"/>
  <c r="AR341" i="21"/>
  <c r="AU341" i="21"/>
  <c r="ER339" i="21"/>
  <c r="ES339" i="21"/>
  <c r="DP339" i="21"/>
  <c r="DO339" i="21"/>
  <c r="EW338" i="21"/>
  <c r="EX338" i="21" s="1"/>
  <c r="AD336" i="21"/>
  <c r="CY336" i="21"/>
  <c r="FK336" i="21"/>
  <c r="FM336" i="21" s="1"/>
  <c r="DM338" i="5"/>
  <c r="CK338" i="5"/>
  <c r="EQ339" i="5"/>
  <c r="ER339" i="5" s="1"/>
  <c r="DI340" i="5"/>
  <c r="DJ340" i="5"/>
  <c r="EL340" i="5"/>
  <c r="EM340" i="5"/>
  <c r="AO342" i="5"/>
  <c r="AL342" i="5"/>
  <c r="DO342" i="5"/>
  <c r="AP342" i="5"/>
  <c r="AQ342" i="5" s="1"/>
  <c r="CS337" i="5"/>
  <c r="FE337" i="5"/>
  <c r="FG337" i="5" s="1"/>
  <c r="AN343" i="5"/>
  <c r="AK343" i="5"/>
  <c r="DH341" i="5"/>
  <c r="EG341" i="5"/>
  <c r="EJ341" i="5" s="1"/>
  <c r="EK341" i="5" s="1"/>
  <c r="DK339" i="5"/>
  <c r="DL339" i="5" s="1"/>
  <c r="AJ344" i="5"/>
  <c r="X337" i="5"/>
  <c r="DS338" i="21" l="1"/>
  <c r="CQ338" i="21"/>
  <c r="EW339" i="21"/>
  <c r="EX339" i="21" s="1"/>
  <c r="AU342" i="21"/>
  <c r="AR342" i="21"/>
  <c r="DU342" i="21"/>
  <c r="AV342" i="21"/>
  <c r="AW342" i="21" s="1"/>
  <c r="DN341" i="21"/>
  <c r="EM341" i="21"/>
  <c r="EP341" i="21" s="1"/>
  <c r="EQ341" i="21" s="1"/>
  <c r="AT343" i="21"/>
  <c r="AP344" i="21"/>
  <c r="AQ343" i="21"/>
  <c r="FK337" i="21"/>
  <c r="FM337" i="21" s="1"/>
  <c r="DE337" i="21"/>
  <c r="AD337" i="21"/>
  <c r="DQ339" i="21"/>
  <c r="DR339" i="21" s="1"/>
  <c r="ES340" i="21"/>
  <c r="ER340" i="21"/>
  <c r="DP340" i="21"/>
  <c r="DO340" i="21"/>
  <c r="DM339" i="5"/>
  <c r="CK339" i="5"/>
  <c r="AL343" i="5"/>
  <c r="AO343" i="5"/>
  <c r="DK340" i="5"/>
  <c r="DL340" i="5" s="1"/>
  <c r="DO343" i="5"/>
  <c r="AP343" i="5"/>
  <c r="AQ343" i="5" s="1"/>
  <c r="DH342" i="5"/>
  <c r="EG342" i="5"/>
  <c r="EJ342" i="5" s="1"/>
  <c r="EK342" i="5" s="1"/>
  <c r="EL341" i="5"/>
  <c r="EM341" i="5"/>
  <c r="FE338" i="5"/>
  <c r="FG338" i="5" s="1"/>
  <c r="CY338" i="5"/>
  <c r="EQ340" i="5"/>
  <c r="ER340" i="5" s="1"/>
  <c r="AN344" i="5"/>
  <c r="AK344" i="5"/>
  <c r="DJ341" i="5"/>
  <c r="DI341" i="5"/>
  <c r="X338" i="5"/>
  <c r="AJ345" i="5"/>
  <c r="DS339" i="21" l="1"/>
  <c r="CQ339" i="21"/>
  <c r="AU343" i="21"/>
  <c r="AR343" i="21"/>
  <c r="DQ340" i="21"/>
  <c r="DR340" i="21" s="1"/>
  <c r="DN342" i="21"/>
  <c r="EM342" i="21"/>
  <c r="EP342" i="21" s="1"/>
  <c r="EQ342" i="21" s="1"/>
  <c r="ER341" i="21"/>
  <c r="ES341" i="21"/>
  <c r="EW340" i="21"/>
  <c r="EX340" i="21" s="1"/>
  <c r="AT344" i="21"/>
  <c r="AP345" i="21"/>
  <c r="AQ344" i="21"/>
  <c r="DP341" i="21"/>
  <c r="DO341" i="21"/>
  <c r="FK338" i="21"/>
  <c r="FM338" i="21" s="1"/>
  <c r="DE338" i="21"/>
  <c r="AD338" i="21"/>
  <c r="DU343" i="21"/>
  <c r="AV343" i="21"/>
  <c r="AW343" i="21" s="1"/>
  <c r="DM340" i="5"/>
  <c r="CK340" i="5"/>
  <c r="DH343" i="5"/>
  <c r="EG343" i="5"/>
  <c r="EJ343" i="5" s="1"/>
  <c r="EK343" i="5" s="1"/>
  <c r="AN345" i="5"/>
  <c r="AK345" i="5"/>
  <c r="DK341" i="5"/>
  <c r="DL341" i="5" s="1"/>
  <c r="EQ341" i="5"/>
  <c r="ER341" i="5" s="1"/>
  <c r="AL344" i="5"/>
  <c r="AO344" i="5"/>
  <c r="EL342" i="5"/>
  <c r="EM342" i="5"/>
  <c r="FE339" i="5"/>
  <c r="FG339" i="5" s="1"/>
  <c r="CS339" i="5"/>
  <c r="DO344" i="5"/>
  <c r="AP344" i="5"/>
  <c r="AQ344" i="5" s="1"/>
  <c r="DI342" i="5"/>
  <c r="DJ342" i="5"/>
  <c r="X339" i="5"/>
  <c r="AJ346" i="5"/>
  <c r="DS340" i="21" l="1"/>
  <c r="CQ340" i="21"/>
  <c r="EW341" i="21"/>
  <c r="EX341" i="21" s="1"/>
  <c r="AR344" i="21"/>
  <c r="AU344" i="21"/>
  <c r="DN343" i="21"/>
  <c r="EM343" i="21"/>
  <c r="EP343" i="21" s="1"/>
  <c r="EQ343" i="21" s="1"/>
  <c r="DU344" i="21"/>
  <c r="AV344" i="21"/>
  <c r="AW344" i="21" s="1"/>
  <c r="DP342" i="21"/>
  <c r="DO342" i="21"/>
  <c r="AD339" i="21"/>
  <c r="FK339" i="21"/>
  <c r="FM339" i="21" s="1"/>
  <c r="CY339" i="21"/>
  <c r="DQ341" i="21"/>
  <c r="DR341" i="21" s="1"/>
  <c r="AP346" i="21"/>
  <c r="AT345" i="21"/>
  <c r="AQ345" i="21"/>
  <c r="ER342" i="21"/>
  <c r="ES342" i="21"/>
  <c r="DM341" i="5"/>
  <c r="CK341" i="5"/>
  <c r="AO345" i="5"/>
  <c r="AL345" i="5"/>
  <c r="DO345" i="5"/>
  <c r="AP345" i="5"/>
  <c r="AQ345" i="5" s="1"/>
  <c r="AN346" i="5"/>
  <c r="AK346" i="5"/>
  <c r="DK342" i="5"/>
  <c r="DL342" i="5" s="1"/>
  <c r="DI343" i="5"/>
  <c r="DJ343" i="5"/>
  <c r="EQ342" i="5"/>
  <c r="ER342" i="5" s="1"/>
  <c r="CS340" i="5"/>
  <c r="FE340" i="5"/>
  <c r="FG340" i="5" s="1"/>
  <c r="EM343" i="5"/>
  <c r="EL343" i="5"/>
  <c r="DH344" i="5"/>
  <c r="EG344" i="5"/>
  <c r="EJ344" i="5" s="1"/>
  <c r="EK344" i="5" s="1"/>
  <c r="X341" i="5"/>
  <c r="X340" i="5"/>
  <c r="AJ347" i="5"/>
  <c r="DS341" i="21" l="1"/>
  <c r="CQ341" i="21"/>
  <c r="DN344" i="21"/>
  <c r="EM344" i="21"/>
  <c r="EP344" i="21" s="1"/>
  <c r="EQ344" i="21" s="1"/>
  <c r="EW342" i="21"/>
  <c r="EX342" i="21" s="1"/>
  <c r="DU345" i="21"/>
  <c r="AV345" i="21"/>
  <c r="AW345" i="21" s="1"/>
  <c r="DQ342" i="21"/>
  <c r="DR342" i="21" s="1"/>
  <c r="ES343" i="21"/>
  <c r="ER343" i="21"/>
  <c r="DP343" i="21"/>
  <c r="DO343" i="21"/>
  <c r="AU345" i="21"/>
  <c r="AR345" i="21"/>
  <c r="AP347" i="21"/>
  <c r="AT346" i="21"/>
  <c r="AQ346" i="21"/>
  <c r="AD340" i="21"/>
  <c r="FK340" i="21"/>
  <c r="FM340" i="21" s="1"/>
  <c r="CY340" i="21"/>
  <c r="DM342" i="5"/>
  <c r="CK342" i="5"/>
  <c r="AO346" i="5"/>
  <c r="AL346" i="5"/>
  <c r="DO346" i="5"/>
  <c r="AP346" i="5"/>
  <c r="AQ346" i="5" s="1"/>
  <c r="DH345" i="5"/>
  <c r="EG345" i="5"/>
  <c r="EJ345" i="5" s="1"/>
  <c r="EK345" i="5" s="1"/>
  <c r="EL344" i="5"/>
  <c r="EM344" i="5"/>
  <c r="DI344" i="5"/>
  <c r="DJ344" i="5"/>
  <c r="DK343" i="5"/>
  <c r="DL343" i="5" s="1"/>
  <c r="AN347" i="5"/>
  <c r="AK347" i="5"/>
  <c r="EQ343" i="5"/>
  <c r="ER343" i="5" s="1"/>
  <c r="CY341" i="5"/>
  <c r="FE341" i="5"/>
  <c r="FG341" i="5" s="1"/>
  <c r="AJ348" i="5"/>
  <c r="DS342" i="21" l="1"/>
  <c r="CQ342" i="21"/>
  <c r="AT347" i="21"/>
  <c r="AP348" i="21"/>
  <c r="AQ347" i="21"/>
  <c r="DQ343" i="21"/>
  <c r="DR343" i="21" s="1"/>
  <c r="AU346" i="21"/>
  <c r="AR346" i="21"/>
  <c r="DU346" i="21"/>
  <c r="AV346" i="21"/>
  <c r="AW346" i="21" s="1"/>
  <c r="EW343" i="21"/>
  <c r="EX343" i="21" s="1"/>
  <c r="DP344" i="21"/>
  <c r="DO344" i="21"/>
  <c r="DN345" i="21"/>
  <c r="EM345" i="21"/>
  <c r="EP345" i="21" s="1"/>
  <c r="EQ345" i="21" s="1"/>
  <c r="ES344" i="21"/>
  <c r="ER344" i="21"/>
  <c r="FK341" i="21"/>
  <c r="FM341" i="21" s="1"/>
  <c r="DE341" i="21"/>
  <c r="AD341" i="21"/>
  <c r="DM343" i="5"/>
  <c r="CK343" i="5"/>
  <c r="EL345" i="5"/>
  <c r="EM345" i="5"/>
  <c r="DJ345" i="5"/>
  <c r="DI345" i="5"/>
  <c r="DH346" i="5"/>
  <c r="EG346" i="5"/>
  <c r="EJ346" i="5" s="1"/>
  <c r="EK346" i="5" s="1"/>
  <c r="DO347" i="5"/>
  <c r="AP347" i="5"/>
  <c r="AQ347" i="5" s="1"/>
  <c r="DK344" i="5"/>
  <c r="DL344" i="5" s="1"/>
  <c r="FE342" i="5"/>
  <c r="FG342" i="5" s="1"/>
  <c r="CY342" i="5"/>
  <c r="AL347" i="5"/>
  <c r="AO347" i="5"/>
  <c r="AN348" i="5"/>
  <c r="AK348" i="5"/>
  <c r="EQ344" i="5"/>
  <c r="ER344" i="5" s="1"/>
  <c r="AJ349" i="5"/>
  <c r="X342" i="5"/>
  <c r="DS343" i="21" l="1"/>
  <c r="CQ343" i="21"/>
  <c r="DQ344" i="21"/>
  <c r="DR344" i="21" s="1"/>
  <c r="ER345" i="21"/>
  <c r="ES345" i="21"/>
  <c r="EW344" i="21"/>
  <c r="EX344" i="21" s="1"/>
  <c r="DN346" i="21"/>
  <c r="EM346" i="21"/>
  <c r="EP346" i="21" s="1"/>
  <c r="EQ346" i="21" s="1"/>
  <c r="DU347" i="21"/>
  <c r="AV347" i="21"/>
  <c r="AW347" i="21" s="1"/>
  <c r="FK342" i="21"/>
  <c r="FM342" i="21" s="1"/>
  <c r="AD342" i="21"/>
  <c r="DE342" i="21"/>
  <c r="DP345" i="21"/>
  <c r="DO345" i="21"/>
  <c r="AR347" i="21"/>
  <c r="AU347" i="21"/>
  <c r="AP349" i="21"/>
  <c r="AT348" i="21"/>
  <c r="AQ348" i="21"/>
  <c r="DM344" i="5"/>
  <c r="CK344" i="5"/>
  <c r="EL346" i="5"/>
  <c r="EM346" i="5"/>
  <c r="DK345" i="5"/>
  <c r="DL345" i="5" s="1"/>
  <c r="EQ345" i="5"/>
  <c r="ER345" i="5" s="1"/>
  <c r="AN349" i="5"/>
  <c r="AK349" i="5"/>
  <c r="AL348" i="5"/>
  <c r="AO348" i="5"/>
  <c r="FE343" i="5"/>
  <c r="FG343" i="5" s="1"/>
  <c r="CS343" i="5"/>
  <c r="DI346" i="5"/>
  <c r="DJ346" i="5"/>
  <c r="DO348" i="5"/>
  <c r="AP348" i="5"/>
  <c r="AQ348" i="5" s="1"/>
  <c r="DH347" i="5"/>
  <c r="EG347" i="5"/>
  <c r="EJ347" i="5" s="1"/>
  <c r="EK347" i="5" s="1"/>
  <c r="AJ350" i="5"/>
  <c r="X343" i="5"/>
  <c r="CQ344" i="21" l="1"/>
  <c r="DS344" i="21"/>
  <c r="AT349" i="21"/>
  <c r="AP350" i="21"/>
  <c r="AQ349" i="21"/>
  <c r="DO346" i="21"/>
  <c r="DP346" i="21"/>
  <c r="DU348" i="21"/>
  <c r="AV348" i="21"/>
  <c r="AW348" i="21" s="1"/>
  <c r="ES346" i="21"/>
  <c r="ER346" i="21"/>
  <c r="AU348" i="21"/>
  <c r="AR348" i="21"/>
  <c r="DQ345" i="21"/>
  <c r="DR345" i="21" s="1"/>
  <c r="DN347" i="21"/>
  <c r="EM347" i="21"/>
  <c r="EP347" i="21" s="1"/>
  <c r="EQ347" i="21" s="1"/>
  <c r="AD343" i="21"/>
  <c r="FK343" i="21"/>
  <c r="FM343" i="21" s="1"/>
  <c r="CY343" i="21"/>
  <c r="EW345" i="21"/>
  <c r="EX345" i="21" s="1"/>
  <c r="DM345" i="5"/>
  <c r="CK345" i="5"/>
  <c r="EL347" i="5"/>
  <c r="EM347" i="5"/>
  <c r="DK346" i="5"/>
  <c r="DL346" i="5" s="1"/>
  <c r="EQ346" i="5"/>
  <c r="ER346" i="5" s="1"/>
  <c r="AN350" i="5"/>
  <c r="AK350" i="5"/>
  <c r="DI347" i="5"/>
  <c r="DJ347" i="5"/>
  <c r="AO349" i="5"/>
  <c r="AL349" i="5"/>
  <c r="CS344" i="5"/>
  <c r="FE344" i="5"/>
  <c r="FG344" i="5" s="1"/>
  <c r="DH348" i="5"/>
  <c r="EG348" i="5"/>
  <c r="EJ348" i="5" s="1"/>
  <c r="EK348" i="5" s="1"/>
  <c r="DO349" i="5"/>
  <c r="AP349" i="5"/>
  <c r="AQ349" i="5" s="1"/>
  <c r="X344" i="5"/>
  <c r="AJ351" i="5"/>
  <c r="DS345" i="21" l="1"/>
  <c r="CQ345" i="21"/>
  <c r="DO347" i="21"/>
  <c r="DP347" i="21"/>
  <c r="EW346" i="21"/>
  <c r="EX346" i="21" s="1"/>
  <c r="DQ346" i="21"/>
  <c r="DR346" i="21" s="1"/>
  <c r="AU349" i="21"/>
  <c r="AR349" i="21"/>
  <c r="AT350" i="21"/>
  <c r="AP351" i="21"/>
  <c r="AQ350" i="21"/>
  <c r="ER347" i="21"/>
  <c r="ES347" i="21"/>
  <c r="DN348" i="21"/>
  <c r="EM348" i="21"/>
  <c r="EP348" i="21" s="1"/>
  <c r="EQ348" i="21" s="1"/>
  <c r="DU349" i="21"/>
  <c r="AV349" i="21"/>
  <c r="AW349" i="21" s="1"/>
  <c r="CY344" i="21"/>
  <c r="AD344" i="21"/>
  <c r="FK344" i="21"/>
  <c r="FM344" i="21" s="1"/>
  <c r="DM346" i="5"/>
  <c r="CK346" i="5"/>
  <c r="DH349" i="5"/>
  <c r="EG349" i="5"/>
  <c r="EJ349" i="5" s="1"/>
  <c r="EK349" i="5" s="1"/>
  <c r="DK347" i="5"/>
  <c r="DL347" i="5" s="1"/>
  <c r="EQ347" i="5"/>
  <c r="ER347" i="5" s="1"/>
  <c r="AN351" i="5"/>
  <c r="AK351" i="5"/>
  <c r="EL348" i="5"/>
  <c r="EM348" i="5"/>
  <c r="AO350" i="5"/>
  <c r="AL350" i="5"/>
  <c r="CY345" i="5"/>
  <c r="FE345" i="5"/>
  <c r="FG345" i="5" s="1"/>
  <c r="DI348" i="5"/>
  <c r="DJ348" i="5"/>
  <c r="DO350" i="5"/>
  <c r="AP350" i="5"/>
  <c r="AQ350" i="5" s="1"/>
  <c r="X345" i="5"/>
  <c r="AJ352" i="5"/>
  <c r="DS346" i="21" l="1"/>
  <c r="CQ346" i="21"/>
  <c r="DU350" i="21"/>
  <c r="AV350" i="21"/>
  <c r="AW350" i="21" s="1"/>
  <c r="DP348" i="21"/>
  <c r="DO348" i="21"/>
  <c r="DN349" i="21"/>
  <c r="EM349" i="21"/>
  <c r="EP349" i="21" s="1"/>
  <c r="EQ349" i="21" s="1"/>
  <c r="AU350" i="21"/>
  <c r="AR350" i="21"/>
  <c r="EW347" i="21"/>
  <c r="EX347" i="21" s="1"/>
  <c r="DE345" i="21"/>
  <c r="AD345" i="21"/>
  <c r="FK345" i="21"/>
  <c r="FM345" i="21" s="1"/>
  <c r="ER348" i="21"/>
  <c r="ES348" i="21"/>
  <c r="AP352" i="21"/>
  <c r="AT351" i="21"/>
  <c r="AQ351" i="21"/>
  <c r="DQ347" i="21"/>
  <c r="DR347" i="21" s="1"/>
  <c r="DM347" i="5"/>
  <c r="CK347" i="5"/>
  <c r="EL349" i="5"/>
  <c r="EM349" i="5"/>
  <c r="DH350" i="5"/>
  <c r="EG350" i="5"/>
  <c r="EJ350" i="5" s="1"/>
  <c r="EK350" i="5" s="1"/>
  <c r="EQ348" i="5"/>
  <c r="ER348" i="5" s="1"/>
  <c r="DJ349" i="5"/>
  <c r="DI349" i="5"/>
  <c r="AN352" i="5"/>
  <c r="AK352" i="5"/>
  <c r="AL351" i="5"/>
  <c r="AO351" i="5"/>
  <c r="FE346" i="5"/>
  <c r="FG346" i="5" s="1"/>
  <c r="CY346" i="5"/>
  <c r="DK348" i="5"/>
  <c r="DL348" i="5" s="1"/>
  <c r="DO351" i="5"/>
  <c r="AP351" i="5"/>
  <c r="AQ351" i="5" s="1"/>
  <c r="X346" i="5"/>
  <c r="AJ353" i="5"/>
  <c r="DS347" i="21" l="1"/>
  <c r="CQ347" i="21"/>
  <c r="AP353" i="21"/>
  <c r="AT352" i="21"/>
  <c r="AQ352" i="21"/>
  <c r="AU351" i="21"/>
  <c r="AR351" i="21"/>
  <c r="DU351" i="21"/>
  <c r="AV351" i="21"/>
  <c r="AW351" i="21" s="1"/>
  <c r="DP349" i="21"/>
  <c r="DO349" i="21"/>
  <c r="ES349" i="21"/>
  <c r="ER349" i="21"/>
  <c r="EW348" i="21"/>
  <c r="EX348" i="21" s="1"/>
  <c r="DQ348" i="21"/>
  <c r="DR348" i="21" s="1"/>
  <c r="DN350" i="21"/>
  <c r="EM350" i="21"/>
  <c r="EP350" i="21" s="1"/>
  <c r="EQ350" i="21" s="1"/>
  <c r="AD346" i="21"/>
  <c r="FK346" i="21"/>
  <c r="FM346" i="21" s="1"/>
  <c r="DE346" i="21"/>
  <c r="DM348" i="5"/>
  <c r="CK348" i="5"/>
  <c r="EM350" i="5"/>
  <c r="EL350" i="5"/>
  <c r="AN353" i="5"/>
  <c r="AK353" i="5"/>
  <c r="DI350" i="5"/>
  <c r="DJ350" i="5"/>
  <c r="AL352" i="5"/>
  <c r="AO352" i="5"/>
  <c r="DO352" i="5"/>
  <c r="AP352" i="5"/>
  <c r="AQ352" i="5" s="1"/>
  <c r="EQ349" i="5"/>
  <c r="ER349" i="5" s="1"/>
  <c r="DK349" i="5"/>
  <c r="DL349" i="5" s="1"/>
  <c r="FE347" i="5"/>
  <c r="FG347" i="5" s="1"/>
  <c r="CS347" i="5"/>
  <c r="DH351" i="5"/>
  <c r="EG351" i="5"/>
  <c r="EJ351" i="5" s="1"/>
  <c r="EK351" i="5" s="1"/>
  <c r="AJ354" i="5"/>
  <c r="X347" i="5"/>
  <c r="DS348" i="21" l="1"/>
  <c r="CQ348" i="21"/>
  <c r="ER350" i="21"/>
  <c r="ES350" i="21"/>
  <c r="EW349" i="21"/>
  <c r="EX349" i="21" s="1"/>
  <c r="DU352" i="21"/>
  <c r="AV352" i="21"/>
  <c r="AW352" i="21" s="1"/>
  <c r="AU352" i="21"/>
  <c r="AR352" i="21"/>
  <c r="AD347" i="21"/>
  <c r="CY347" i="21"/>
  <c r="FK347" i="21"/>
  <c r="FM347" i="21" s="1"/>
  <c r="DO350" i="21"/>
  <c r="DP350" i="21"/>
  <c r="DQ349" i="21"/>
  <c r="DR349" i="21" s="1"/>
  <c r="DN351" i="21"/>
  <c r="EM351" i="21"/>
  <c r="EP351" i="21" s="1"/>
  <c r="EQ351" i="21" s="1"/>
  <c r="AP354" i="21"/>
  <c r="AT353" i="21"/>
  <c r="AQ353" i="21"/>
  <c r="DM349" i="5"/>
  <c r="CK349" i="5"/>
  <c r="X349" i="5" s="1"/>
  <c r="DO353" i="5"/>
  <c r="AP353" i="5"/>
  <c r="AQ353" i="5" s="1"/>
  <c r="AN354" i="5"/>
  <c r="AK354" i="5"/>
  <c r="EQ350" i="5"/>
  <c r="ER350" i="5" s="1"/>
  <c r="DH352" i="5"/>
  <c r="EG352" i="5"/>
  <c r="EJ352" i="5" s="1"/>
  <c r="EK352" i="5" s="1"/>
  <c r="DK350" i="5"/>
  <c r="DL350" i="5" s="1"/>
  <c r="AO353" i="5"/>
  <c r="AL353" i="5"/>
  <c r="DI351" i="5"/>
  <c r="DJ351" i="5"/>
  <c r="CS348" i="5"/>
  <c r="FE348" i="5"/>
  <c r="FG348" i="5" s="1"/>
  <c r="EM351" i="5"/>
  <c r="EL351" i="5"/>
  <c r="X348" i="5"/>
  <c r="AJ355" i="5"/>
  <c r="DS349" i="21" l="1"/>
  <c r="CQ349" i="21"/>
  <c r="DP351" i="21"/>
  <c r="DO351" i="21"/>
  <c r="DQ350" i="21"/>
  <c r="DR350" i="21" s="1"/>
  <c r="AP355" i="21"/>
  <c r="AT354" i="21"/>
  <c r="AQ354" i="21"/>
  <c r="ER351" i="21"/>
  <c r="ES351" i="21"/>
  <c r="DU353" i="21"/>
  <c r="AV353" i="21"/>
  <c r="AW353" i="21" s="1"/>
  <c r="EW350" i="21"/>
  <c r="EX350" i="21" s="1"/>
  <c r="AU353" i="21"/>
  <c r="AR353" i="21"/>
  <c r="DN352" i="21"/>
  <c r="EM352" i="21"/>
  <c r="EP352" i="21" s="1"/>
  <c r="EQ352" i="21" s="1"/>
  <c r="AD348" i="21"/>
  <c r="FK348" i="21"/>
  <c r="FM348" i="21" s="1"/>
  <c r="CY348" i="21"/>
  <c r="DM350" i="5"/>
  <c r="CK350" i="5"/>
  <c r="DO354" i="5"/>
  <c r="AP354" i="5"/>
  <c r="AQ354" i="5" s="1"/>
  <c r="DK351" i="5"/>
  <c r="DL351" i="5" s="1"/>
  <c r="AN355" i="5"/>
  <c r="AK355" i="5"/>
  <c r="DH353" i="5"/>
  <c r="EG353" i="5"/>
  <c r="EJ353" i="5" s="1"/>
  <c r="EK353" i="5" s="1"/>
  <c r="EL352" i="5"/>
  <c r="EM352" i="5"/>
  <c r="CY349" i="5"/>
  <c r="FE349" i="5"/>
  <c r="FG349" i="5" s="1"/>
  <c r="AL354" i="5"/>
  <c r="AO354" i="5"/>
  <c r="EQ351" i="5"/>
  <c r="ER351" i="5" s="1"/>
  <c r="DJ352" i="5"/>
  <c r="DI352" i="5"/>
  <c r="AJ356" i="5"/>
  <c r="DS350" i="21" l="1"/>
  <c r="CQ350" i="21"/>
  <c r="DP352" i="21"/>
  <c r="DO352" i="21"/>
  <c r="ER352" i="21"/>
  <c r="ES352" i="21"/>
  <c r="EW351" i="21"/>
  <c r="EX351" i="21" s="1"/>
  <c r="DN353" i="21"/>
  <c r="EM353" i="21"/>
  <c r="EP353" i="21" s="1"/>
  <c r="EQ353" i="21" s="1"/>
  <c r="AU354" i="21"/>
  <c r="AR354" i="21"/>
  <c r="DQ351" i="21"/>
  <c r="DR351" i="21" s="1"/>
  <c r="DU354" i="21"/>
  <c r="AV354" i="21"/>
  <c r="AW354" i="21" s="1"/>
  <c r="CY349" i="21"/>
  <c r="FK349" i="21"/>
  <c r="FM349" i="21" s="1"/>
  <c r="AD349" i="21"/>
  <c r="AP356" i="21"/>
  <c r="AT355" i="21"/>
  <c r="AQ355" i="21"/>
  <c r="DM351" i="5"/>
  <c r="CK351" i="5"/>
  <c r="AO355" i="5"/>
  <c r="AL355" i="5"/>
  <c r="AN356" i="5"/>
  <c r="AK356" i="5"/>
  <c r="DO355" i="5"/>
  <c r="AP355" i="5"/>
  <c r="AQ355" i="5" s="1"/>
  <c r="DK352" i="5"/>
  <c r="DL352" i="5" s="1"/>
  <c r="EQ352" i="5"/>
  <c r="ER352" i="5" s="1"/>
  <c r="DH354" i="5"/>
  <c r="EG354" i="5"/>
  <c r="EJ354" i="5" s="1"/>
  <c r="EK354" i="5" s="1"/>
  <c r="EL353" i="5"/>
  <c r="EM353" i="5"/>
  <c r="FE350" i="5"/>
  <c r="FG350" i="5" s="1"/>
  <c r="CY350" i="5"/>
  <c r="DI353" i="5"/>
  <c r="DJ353" i="5"/>
  <c r="AJ357" i="5"/>
  <c r="X350" i="5"/>
  <c r="DS351" i="21" l="1"/>
  <c r="CQ351" i="21"/>
  <c r="AP357" i="21"/>
  <c r="AT356" i="21"/>
  <c r="AQ356" i="21"/>
  <c r="DP353" i="21"/>
  <c r="DO353" i="21"/>
  <c r="ER353" i="21"/>
  <c r="ES353" i="21"/>
  <c r="DU355" i="21"/>
  <c r="AV355" i="21"/>
  <c r="AW355" i="21" s="1"/>
  <c r="DN354" i="21"/>
  <c r="EM354" i="21"/>
  <c r="EP354" i="21" s="1"/>
  <c r="EQ354" i="21" s="1"/>
  <c r="DQ352" i="21"/>
  <c r="DR352" i="21" s="1"/>
  <c r="AU355" i="21"/>
  <c r="AR355" i="21"/>
  <c r="EW352" i="21"/>
  <c r="EX352" i="21" s="1"/>
  <c r="CY350" i="21"/>
  <c r="AD350" i="21"/>
  <c r="FK350" i="21"/>
  <c r="FM350" i="21" s="1"/>
  <c r="DM352" i="5"/>
  <c r="CK352" i="5"/>
  <c r="DO356" i="5"/>
  <c r="AP356" i="5"/>
  <c r="AQ356" i="5" s="1"/>
  <c r="DH355" i="5"/>
  <c r="EG355" i="5"/>
  <c r="EJ355" i="5" s="1"/>
  <c r="EK355" i="5" s="1"/>
  <c r="AN357" i="5"/>
  <c r="AK357" i="5"/>
  <c r="AL356" i="5"/>
  <c r="AO356" i="5"/>
  <c r="DK353" i="5"/>
  <c r="DL353" i="5" s="1"/>
  <c r="EM354" i="5"/>
  <c r="EL354" i="5"/>
  <c r="DJ354" i="5"/>
  <c r="DI354" i="5"/>
  <c r="FE351" i="5"/>
  <c r="FG351" i="5" s="1"/>
  <c r="CS351" i="5"/>
  <c r="EQ353" i="5"/>
  <c r="ER353" i="5" s="1"/>
  <c r="X351" i="5"/>
  <c r="AJ358" i="5"/>
  <c r="DS352" i="21" l="1"/>
  <c r="CQ352" i="21"/>
  <c r="EW353" i="21"/>
  <c r="EX353" i="21" s="1"/>
  <c r="DU356" i="21"/>
  <c r="AV356" i="21"/>
  <c r="AW356" i="21" s="1"/>
  <c r="AP358" i="21"/>
  <c r="AT357" i="21"/>
  <c r="AQ357" i="21"/>
  <c r="DO354" i="21"/>
  <c r="DP354" i="21"/>
  <c r="DQ353" i="21"/>
  <c r="DR353" i="21" s="1"/>
  <c r="FK351" i="21"/>
  <c r="FM351" i="21" s="1"/>
  <c r="AD351" i="21"/>
  <c r="CY351" i="21"/>
  <c r="ES354" i="21"/>
  <c r="ER354" i="21"/>
  <c r="DN355" i="21"/>
  <c r="EM355" i="21"/>
  <c r="EP355" i="21" s="1"/>
  <c r="EQ355" i="21" s="1"/>
  <c r="AU356" i="21"/>
  <c r="AR356" i="21"/>
  <c r="DM353" i="5"/>
  <c r="CK353" i="5"/>
  <c r="X353" i="5" s="1"/>
  <c r="DK354" i="5"/>
  <c r="DL354" i="5" s="1"/>
  <c r="DJ355" i="5"/>
  <c r="DI355" i="5"/>
  <c r="EL355" i="5"/>
  <c r="EM355" i="5"/>
  <c r="AL357" i="5"/>
  <c r="AO357" i="5"/>
  <c r="EQ354" i="5"/>
  <c r="ER354" i="5" s="1"/>
  <c r="AN358" i="5"/>
  <c r="AK358" i="5"/>
  <c r="DH356" i="5"/>
  <c r="EG356" i="5"/>
  <c r="EJ356" i="5" s="1"/>
  <c r="EK356" i="5" s="1"/>
  <c r="DO357" i="5"/>
  <c r="AP357" i="5"/>
  <c r="AQ357" i="5" s="1"/>
  <c r="CS352" i="5"/>
  <c r="FE352" i="5"/>
  <c r="FG352" i="5" s="1"/>
  <c r="X352" i="5"/>
  <c r="AJ359" i="5"/>
  <c r="DS353" i="21" l="1"/>
  <c r="CQ353" i="21"/>
  <c r="ES355" i="21"/>
  <c r="ER355" i="21"/>
  <c r="AR357" i="21"/>
  <c r="AU357" i="21"/>
  <c r="DO355" i="21"/>
  <c r="DP355" i="21"/>
  <c r="DQ354" i="21"/>
  <c r="DR354" i="21" s="1"/>
  <c r="AD352" i="21"/>
  <c r="FK352" i="21"/>
  <c r="FM352" i="21" s="1"/>
  <c r="CY352" i="21"/>
  <c r="EW354" i="21"/>
  <c r="EX354" i="21" s="1"/>
  <c r="DU357" i="21"/>
  <c r="AV357" i="21"/>
  <c r="AW357" i="21" s="1"/>
  <c r="AP359" i="21"/>
  <c r="AT358" i="21"/>
  <c r="AQ358" i="21"/>
  <c r="DN356" i="21"/>
  <c r="EM356" i="21"/>
  <c r="EP356" i="21" s="1"/>
  <c r="EQ356" i="21" s="1"/>
  <c r="DM354" i="5"/>
  <c r="CK354" i="5"/>
  <c r="DO358" i="5"/>
  <c r="AP358" i="5"/>
  <c r="AQ358" i="5" s="1"/>
  <c r="EM356" i="5"/>
  <c r="EL356" i="5"/>
  <c r="EQ355" i="5"/>
  <c r="ER355" i="5" s="1"/>
  <c r="DK355" i="5"/>
  <c r="DL355" i="5" s="1"/>
  <c r="AN359" i="5"/>
  <c r="AK359" i="5"/>
  <c r="FE353" i="5"/>
  <c r="FG353" i="5" s="1"/>
  <c r="CS353" i="5"/>
  <c r="DJ356" i="5"/>
  <c r="DI356" i="5"/>
  <c r="AL358" i="5"/>
  <c r="AO358" i="5"/>
  <c r="DH357" i="5"/>
  <c r="EG357" i="5"/>
  <c r="EJ357" i="5" s="1"/>
  <c r="EK357" i="5" s="1"/>
  <c r="AJ360" i="5"/>
  <c r="DS354" i="21" l="1"/>
  <c r="CQ354" i="21"/>
  <c r="ER356" i="21"/>
  <c r="ES356" i="21"/>
  <c r="AP360" i="21"/>
  <c r="AT359" i="21"/>
  <c r="AQ359" i="21"/>
  <c r="DP356" i="21"/>
  <c r="DO356" i="21"/>
  <c r="DN357" i="21"/>
  <c r="EM357" i="21"/>
  <c r="EP357" i="21" s="1"/>
  <c r="EQ357" i="21" s="1"/>
  <c r="DU358" i="21"/>
  <c r="AV358" i="21"/>
  <c r="AW358" i="21" s="1"/>
  <c r="DQ355" i="21"/>
  <c r="DR355" i="21" s="1"/>
  <c r="EW355" i="21"/>
  <c r="EX355" i="21" s="1"/>
  <c r="FK353" i="21"/>
  <c r="FM353" i="21" s="1"/>
  <c r="AD353" i="21"/>
  <c r="DE353" i="21"/>
  <c r="AU358" i="21"/>
  <c r="AR358" i="21"/>
  <c r="DM355" i="5"/>
  <c r="CK355" i="5"/>
  <c r="DK356" i="5"/>
  <c r="DL356" i="5" s="1"/>
  <c r="AN360" i="5"/>
  <c r="AK360" i="5"/>
  <c r="EQ356" i="5"/>
  <c r="ER356" i="5" s="1"/>
  <c r="AL359" i="5"/>
  <c r="AO359" i="5"/>
  <c r="DO359" i="5"/>
  <c r="AP359" i="5"/>
  <c r="AQ359" i="5" s="1"/>
  <c r="DH358" i="5"/>
  <c r="EG358" i="5"/>
  <c r="EJ358" i="5" s="1"/>
  <c r="EK358" i="5" s="1"/>
  <c r="EL357" i="5"/>
  <c r="EM357" i="5"/>
  <c r="FE354" i="5"/>
  <c r="FG354" i="5" s="1"/>
  <c r="CS354" i="5"/>
  <c r="DI357" i="5"/>
  <c r="DJ357" i="5"/>
  <c r="AJ361" i="5"/>
  <c r="X354" i="5"/>
  <c r="DS355" i="21" l="1"/>
  <c r="CQ355" i="21"/>
  <c r="DN358" i="21"/>
  <c r="EM358" i="21"/>
  <c r="EP358" i="21" s="1"/>
  <c r="EQ358" i="21" s="1"/>
  <c r="DQ356" i="21"/>
  <c r="DR356" i="21" s="1"/>
  <c r="ES357" i="21"/>
  <c r="ER357" i="21"/>
  <c r="EW356" i="21"/>
  <c r="EX356" i="21" s="1"/>
  <c r="FK354" i="21"/>
  <c r="FM354" i="21" s="1"/>
  <c r="AD354" i="21"/>
  <c r="CY354" i="21"/>
  <c r="DP357" i="21"/>
  <c r="DO357" i="21"/>
  <c r="AU359" i="21"/>
  <c r="AR359" i="21"/>
  <c r="DU359" i="21"/>
  <c r="AV359" i="21"/>
  <c r="AW359" i="21" s="1"/>
  <c r="AP361" i="21"/>
  <c r="AT360" i="21"/>
  <c r="AQ360" i="21"/>
  <c r="DM356" i="5"/>
  <c r="CK356" i="5"/>
  <c r="AO360" i="5"/>
  <c r="AL360" i="5"/>
  <c r="AN361" i="5"/>
  <c r="AK361" i="5"/>
  <c r="DO360" i="5"/>
  <c r="AP360" i="5"/>
  <c r="AQ360" i="5" s="1"/>
  <c r="DJ358" i="5"/>
  <c r="DI358" i="5"/>
  <c r="DK357" i="5"/>
  <c r="DL357" i="5" s="1"/>
  <c r="DH359" i="5"/>
  <c r="EG359" i="5"/>
  <c r="EJ359" i="5" s="1"/>
  <c r="EK359" i="5" s="1"/>
  <c r="EM358" i="5"/>
  <c r="EL358" i="5"/>
  <c r="CS355" i="5"/>
  <c r="FE355" i="5"/>
  <c r="FG355" i="5" s="1"/>
  <c r="EQ357" i="5"/>
  <c r="ER357" i="5" s="1"/>
  <c r="X355" i="5"/>
  <c r="AJ362" i="5"/>
  <c r="DS356" i="21" l="1"/>
  <c r="CQ356" i="21"/>
  <c r="AP362" i="21"/>
  <c r="AT361" i="21"/>
  <c r="AQ361" i="21"/>
  <c r="DU360" i="21"/>
  <c r="AV360" i="21"/>
  <c r="AW360" i="21" s="1"/>
  <c r="DN359" i="21"/>
  <c r="EM359" i="21"/>
  <c r="EP359" i="21" s="1"/>
  <c r="EQ359" i="21" s="1"/>
  <c r="EW357" i="21"/>
  <c r="EX357" i="21" s="1"/>
  <c r="ES358" i="21"/>
  <c r="ER358" i="21"/>
  <c r="AR360" i="21"/>
  <c r="AU360" i="21"/>
  <c r="DQ357" i="21"/>
  <c r="DR357" i="21" s="1"/>
  <c r="FK355" i="21"/>
  <c r="FM355" i="21" s="1"/>
  <c r="AD355" i="21"/>
  <c r="DE355" i="21"/>
  <c r="DP358" i="21"/>
  <c r="DO358" i="21"/>
  <c r="DM357" i="5"/>
  <c r="CK357" i="5"/>
  <c r="DO361" i="5"/>
  <c r="AP361" i="5"/>
  <c r="AQ361" i="5" s="1"/>
  <c r="EM359" i="5"/>
  <c r="EL359" i="5"/>
  <c r="DH360" i="5"/>
  <c r="EG360" i="5"/>
  <c r="EJ360" i="5" s="1"/>
  <c r="EK360" i="5" s="1"/>
  <c r="AN362" i="5"/>
  <c r="AK362" i="5"/>
  <c r="DJ359" i="5"/>
  <c r="DI359" i="5"/>
  <c r="EQ358" i="5"/>
  <c r="ER358" i="5" s="1"/>
  <c r="DK358" i="5"/>
  <c r="DL358" i="5" s="1"/>
  <c r="FE356" i="5"/>
  <c r="FG356" i="5" s="1"/>
  <c r="CS356" i="5"/>
  <c r="AO361" i="5"/>
  <c r="AL361" i="5"/>
  <c r="X356" i="5"/>
  <c r="AJ363" i="5"/>
  <c r="DS357" i="21" l="1"/>
  <c r="CQ357" i="21"/>
  <c r="ER359" i="21"/>
  <c r="ES359" i="21"/>
  <c r="DN360" i="21"/>
  <c r="EM360" i="21"/>
  <c r="EP360" i="21" s="1"/>
  <c r="EQ360" i="21" s="1"/>
  <c r="EW358" i="21"/>
  <c r="EX358" i="21" s="1"/>
  <c r="AR361" i="21"/>
  <c r="AU361" i="21"/>
  <c r="DQ358" i="21"/>
  <c r="DR358" i="21" s="1"/>
  <c r="DO359" i="21"/>
  <c r="DP359" i="21"/>
  <c r="AP363" i="21"/>
  <c r="AT362" i="21"/>
  <c r="AQ362" i="21"/>
  <c r="DU361" i="21"/>
  <c r="AV361" i="21"/>
  <c r="AW361" i="21" s="1"/>
  <c r="AD356" i="21"/>
  <c r="FK356" i="21"/>
  <c r="FM356" i="21" s="1"/>
  <c r="CY356" i="21"/>
  <c r="DM358" i="5"/>
  <c r="CK358" i="5"/>
  <c r="EL360" i="5"/>
  <c r="EM360" i="5"/>
  <c r="DI360" i="5"/>
  <c r="DJ360" i="5"/>
  <c r="AN363" i="5"/>
  <c r="AK363" i="5"/>
  <c r="EQ359" i="5"/>
  <c r="ER359" i="5" s="1"/>
  <c r="DH361" i="5"/>
  <c r="EG361" i="5"/>
  <c r="EJ361" i="5" s="1"/>
  <c r="EK361" i="5" s="1"/>
  <c r="DK359" i="5"/>
  <c r="DL359" i="5" s="1"/>
  <c r="AL362" i="5"/>
  <c r="AO362" i="5"/>
  <c r="FE357" i="5"/>
  <c r="FG357" i="5" s="1"/>
  <c r="CY357" i="5"/>
  <c r="DO362" i="5"/>
  <c r="AP362" i="5"/>
  <c r="AQ362" i="5" s="1"/>
  <c r="AJ364" i="5"/>
  <c r="X357" i="5"/>
  <c r="DS358" i="21" l="1"/>
  <c r="CQ358" i="21"/>
  <c r="DQ359" i="21"/>
  <c r="DR359" i="21" s="1"/>
  <c r="DN361" i="21"/>
  <c r="EM361" i="21"/>
  <c r="EP361" i="21" s="1"/>
  <c r="EQ361" i="21" s="1"/>
  <c r="ER360" i="21"/>
  <c r="ES360" i="21"/>
  <c r="AT363" i="21"/>
  <c r="AP364" i="21"/>
  <c r="AQ363" i="21"/>
  <c r="DU362" i="21"/>
  <c r="AV362" i="21"/>
  <c r="AW362" i="21" s="1"/>
  <c r="FK357" i="21"/>
  <c r="FM357" i="21" s="1"/>
  <c r="AD357" i="21"/>
  <c r="DE357" i="21"/>
  <c r="AU362" i="21"/>
  <c r="AR362" i="21"/>
  <c r="DP360" i="21"/>
  <c r="DO360" i="21"/>
  <c r="EW359" i="21"/>
  <c r="EX359" i="21" s="1"/>
  <c r="DM359" i="5"/>
  <c r="CK359" i="5"/>
  <c r="AL363" i="5"/>
  <c r="AO363" i="5"/>
  <c r="DO363" i="5"/>
  <c r="AP363" i="5"/>
  <c r="AQ363" i="5" s="1"/>
  <c r="AN364" i="5"/>
  <c r="AK364" i="5"/>
  <c r="DK360" i="5"/>
  <c r="DL360" i="5" s="1"/>
  <c r="EM361" i="5"/>
  <c r="EL361" i="5"/>
  <c r="DH362" i="5"/>
  <c r="EG362" i="5"/>
  <c r="EJ362" i="5" s="1"/>
  <c r="EK362" i="5" s="1"/>
  <c r="DI361" i="5"/>
  <c r="DJ361" i="5"/>
  <c r="EQ360" i="5"/>
  <c r="ER360" i="5" s="1"/>
  <c r="FE358" i="5"/>
  <c r="FG358" i="5" s="1"/>
  <c r="CS358" i="5"/>
  <c r="AJ365" i="5"/>
  <c r="DS359" i="21" l="1"/>
  <c r="CQ359" i="21"/>
  <c r="DU363" i="21"/>
  <c r="AV363" i="21"/>
  <c r="AW363" i="21" s="1"/>
  <c r="ES361" i="21"/>
  <c r="ER361" i="21"/>
  <c r="DO361" i="21"/>
  <c r="DP361" i="21"/>
  <c r="AR363" i="21"/>
  <c r="AU363" i="21"/>
  <c r="AD358" i="21"/>
  <c r="FK358" i="21"/>
  <c r="FM358" i="21" s="1"/>
  <c r="CY358" i="21"/>
  <c r="DQ360" i="21"/>
  <c r="DR360" i="21" s="1"/>
  <c r="DN362" i="21"/>
  <c r="EM362" i="21"/>
  <c r="EP362" i="21" s="1"/>
  <c r="EQ362" i="21" s="1"/>
  <c r="AP365" i="21"/>
  <c r="AT364" i="21"/>
  <c r="AQ364" i="21"/>
  <c r="EW360" i="21"/>
  <c r="EX360" i="21" s="1"/>
  <c r="DM360" i="5"/>
  <c r="CK360" i="5"/>
  <c r="AO364" i="5"/>
  <c r="AL364" i="5"/>
  <c r="AN365" i="5"/>
  <c r="AK365" i="5"/>
  <c r="DH363" i="5"/>
  <c r="EG363" i="5"/>
  <c r="EJ363" i="5" s="1"/>
  <c r="EK363" i="5" s="1"/>
  <c r="DK361" i="5"/>
  <c r="DL361" i="5" s="1"/>
  <c r="EQ361" i="5"/>
  <c r="ER361" i="5" s="1"/>
  <c r="EL362" i="5"/>
  <c r="EM362" i="5"/>
  <c r="DI362" i="5"/>
  <c r="DJ362" i="5"/>
  <c r="FE359" i="5"/>
  <c r="FG359" i="5" s="1"/>
  <c r="CY359" i="5"/>
  <c r="DO364" i="5"/>
  <c r="AP364" i="5"/>
  <c r="AQ364" i="5" s="1"/>
  <c r="X358" i="5"/>
  <c r="X359" i="5"/>
  <c r="AJ366" i="5"/>
  <c r="DS360" i="21" l="1"/>
  <c r="CQ360" i="21"/>
  <c r="AR364" i="21"/>
  <c r="AU364" i="21"/>
  <c r="AT365" i="21"/>
  <c r="AP366" i="21"/>
  <c r="AQ365" i="21"/>
  <c r="ER362" i="21"/>
  <c r="ES362" i="21"/>
  <c r="DU364" i="21"/>
  <c r="AV364" i="21"/>
  <c r="AW364" i="21" s="1"/>
  <c r="DQ361" i="21"/>
  <c r="DR361" i="21" s="1"/>
  <c r="EW361" i="21"/>
  <c r="EX361" i="21" s="1"/>
  <c r="DP362" i="21"/>
  <c r="DO362" i="21"/>
  <c r="DN363" i="21"/>
  <c r="EM363" i="21"/>
  <c r="EP363" i="21" s="1"/>
  <c r="EQ363" i="21" s="1"/>
  <c r="DE359" i="21"/>
  <c r="AD359" i="21"/>
  <c r="FK359" i="21"/>
  <c r="FM359" i="21" s="1"/>
  <c r="DM361" i="5"/>
  <c r="CK361" i="5"/>
  <c r="EM363" i="5"/>
  <c r="EL363" i="5"/>
  <c r="AL365" i="5"/>
  <c r="AO365" i="5"/>
  <c r="DK362" i="5"/>
  <c r="DL362" i="5" s="1"/>
  <c r="AN366" i="5"/>
  <c r="AK366" i="5"/>
  <c r="DO365" i="5"/>
  <c r="AP365" i="5"/>
  <c r="AQ365" i="5" s="1"/>
  <c r="EQ362" i="5"/>
  <c r="ER362" i="5" s="1"/>
  <c r="DH364" i="5"/>
  <c r="EG364" i="5"/>
  <c r="EJ364" i="5" s="1"/>
  <c r="EK364" i="5" s="1"/>
  <c r="CS360" i="5"/>
  <c r="FE360" i="5"/>
  <c r="FG360" i="5" s="1"/>
  <c r="DJ363" i="5"/>
  <c r="DI363" i="5"/>
  <c r="X360" i="5"/>
  <c r="AJ367" i="5"/>
  <c r="DS361" i="21" l="1"/>
  <c r="CQ361" i="21"/>
  <c r="DQ362" i="21"/>
  <c r="DR362" i="21" s="1"/>
  <c r="ES363" i="21"/>
  <c r="ER363" i="21"/>
  <c r="DU365" i="21"/>
  <c r="AV365" i="21"/>
  <c r="AW365" i="21" s="1"/>
  <c r="FK360" i="21"/>
  <c r="FM360" i="21" s="1"/>
  <c r="CY360" i="21"/>
  <c r="AD360" i="21"/>
  <c r="DO363" i="21"/>
  <c r="DP363" i="21"/>
  <c r="DN364" i="21"/>
  <c r="EM364" i="21"/>
  <c r="EP364" i="21" s="1"/>
  <c r="EQ364" i="21" s="1"/>
  <c r="EW362" i="21"/>
  <c r="EX362" i="21" s="1"/>
  <c r="AR365" i="21"/>
  <c r="AU365" i="21"/>
  <c r="AP367" i="21"/>
  <c r="AT366" i="21"/>
  <c r="AQ366" i="21"/>
  <c r="DM362" i="5"/>
  <c r="CK362" i="5"/>
  <c r="EL364" i="5"/>
  <c r="EM364" i="5"/>
  <c r="DK363" i="5"/>
  <c r="DL363" i="5" s="1"/>
  <c r="EQ363" i="5"/>
  <c r="ER363" i="5" s="1"/>
  <c r="DJ364" i="5"/>
  <c r="DI364" i="5"/>
  <c r="DH365" i="5"/>
  <c r="EG365" i="5"/>
  <c r="EJ365" i="5" s="1"/>
  <c r="EK365" i="5" s="1"/>
  <c r="AN367" i="5"/>
  <c r="AK367" i="5"/>
  <c r="AL366" i="5"/>
  <c r="AO366" i="5"/>
  <c r="CY361" i="5"/>
  <c r="FE361" i="5"/>
  <c r="FG361" i="5" s="1"/>
  <c r="DO366" i="5"/>
  <c r="AP366" i="5"/>
  <c r="AQ366" i="5" s="1"/>
  <c r="X361" i="5"/>
  <c r="AJ368" i="5"/>
  <c r="DS362" i="21" l="1"/>
  <c r="CQ362" i="21"/>
  <c r="DP364" i="21"/>
  <c r="DO364" i="21"/>
  <c r="DU366" i="21"/>
  <c r="AV366" i="21"/>
  <c r="AW366" i="21" s="1"/>
  <c r="EW363" i="21"/>
  <c r="EX363" i="21" s="1"/>
  <c r="AU366" i="21"/>
  <c r="AR366" i="21"/>
  <c r="ES364" i="21"/>
  <c r="ER364" i="21"/>
  <c r="AT367" i="21"/>
  <c r="AP368" i="21"/>
  <c r="AQ367" i="21"/>
  <c r="DQ363" i="21"/>
  <c r="DR363" i="21" s="1"/>
  <c r="DN365" i="21"/>
  <c r="EM365" i="21"/>
  <c r="EP365" i="21" s="1"/>
  <c r="EQ365" i="21" s="1"/>
  <c r="AD361" i="21"/>
  <c r="FK361" i="21"/>
  <c r="FM361" i="21" s="1"/>
  <c r="DE361" i="21"/>
  <c r="DM363" i="5"/>
  <c r="CK363" i="5"/>
  <c r="DO367" i="5"/>
  <c r="AP367" i="5"/>
  <c r="AQ367" i="5" s="1"/>
  <c r="EL365" i="5"/>
  <c r="EM365" i="5"/>
  <c r="DI365" i="5"/>
  <c r="DJ365" i="5"/>
  <c r="EQ364" i="5"/>
  <c r="ER364" i="5" s="1"/>
  <c r="AL367" i="5"/>
  <c r="AO367" i="5"/>
  <c r="DH366" i="5"/>
  <c r="EG366" i="5"/>
  <c r="EJ366" i="5" s="1"/>
  <c r="EK366" i="5" s="1"/>
  <c r="DK364" i="5"/>
  <c r="DL364" i="5" s="1"/>
  <c r="FE362" i="5"/>
  <c r="FG362" i="5" s="1"/>
  <c r="CS362" i="5"/>
  <c r="AN368" i="5"/>
  <c r="AK368" i="5"/>
  <c r="X362" i="5"/>
  <c r="AJ369" i="5"/>
  <c r="DS363" i="21" l="1"/>
  <c r="CQ363" i="21"/>
  <c r="DP365" i="21"/>
  <c r="DO365" i="21"/>
  <c r="EW364" i="21"/>
  <c r="EX364" i="21" s="1"/>
  <c r="AU367" i="21"/>
  <c r="AR367" i="21"/>
  <c r="AP369" i="21"/>
  <c r="AT368" i="21"/>
  <c r="AQ368" i="21"/>
  <c r="DN366" i="21"/>
  <c r="EM366" i="21"/>
  <c r="EP366" i="21" s="1"/>
  <c r="EQ366" i="21" s="1"/>
  <c r="DQ364" i="21"/>
  <c r="DR364" i="21" s="1"/>
  <c r="ES365" i="21"/>
  <c r="ER365" i="21"/>
  <c r="DU367" i="21"/>
  <c r="AV367" i="21"/>
  <c r="AW367" i="21" s="1"/>
  <c r="CY362" i="21"/>
  <c r="AD362" i="21"/>
  <c r="FK362" i="21"/>
  <c r="FM362" i="21" s="1"/>
  <c r="DM364" i="5"/>
  <c r="CK364" i="5"/>
  <c r="EQ365" i="5"/>
  <c r="ER365" i="5" s="1"/>
  <c r="DK365" i="5"/>
  <c r="DL365" i="5" s="1"/>
  <c r="DI366" i="5"/>
  <c r="DJ366" i="5"/>
  <c r="DH367" i="5"/>
  <c r="EG367" i="5"/>
  <c r="EJ367" i="5" s="1"/>
  <c r="EK367" i="5" s="1"/>
  <c r="AN369" i="5"/>
  <c r="AK369" i="5"/>
  <c r="AO368" i="5"/>
  <c r="AL368" i="5"/>
  <c r="FE363" i="5"/>
  <c r="FG363" i="5" s="1"/>
  <c r="CY363" i="5"/>
  <c r="EL366" i="5"/>
  <c r="EM366" i="5"/>
  <c r="DO368" i="5"/>
  <c r="AP368" i="5"/>
  <c r="AQ368" i="5" s="1"/>
  <c r="AJ370" i="5"/>
  <c r="X363" i="5"/>
  <c r="DS364" i="21" l="1"/>
  <c r="CQ364" i="21"/>
  <c r="AU368" i="21"/>
  <c r="AR368" i="21"/>
  <c r="EW365" i="21"/>
  <c r="EX365" i="21" s="1"/>
  <c r="AT369" i="21"/>
  <c r="AP370" i="21"/>
  <c r="AQ369" i="21"/>
  <c r="DN367" i="21"/>
  <c r="EM367" i="21"/>
  <c r="EP367" i="21" s="1"/>
  <c r="EQ367" i="21" s="1"/>
  <c r="DU368" i="21"/>
  <c r="AV368" i="21"/>
  <c r="AW368" i="21" s="1"/>
  <c r="ES366" i="21"/>
  <c r="ER366" i="21"/>
  <c r="DQ365" i="21"/>
  <c r="DR365" i="21" s="1"/>
  <c r="DO366" i="21"/>
  <c r="DP366" i="21"/>
  <c r="FK363" i="21"/>
  <c r="FM363" i="21" s="1"/>
  <c r="AD363" i="21"/>
  <c r="DE363" i="21"/>
  <c r="DM365" i="5"/>
  <c r="CK365" i="5"/>
  <c r="X365" i="5" s="1"/>
  <c r="AN370" i="5"/>
  <c r="AK370" i="5"/>
  <c r="AL369" i="5"/>
  <c r="AO369" i="5"/>
  <c r="DO369" i="5"/>
  <c r="AP369" i="5"/>
  <c r="AQ369" i="5" s="1"/>
  <c r="EL367" i="5"/>
  <c r="EM367" i="5"/>
  <c r="FE364" i="5"/>
  <c r="FG364" i="5" s="1"/>
  <c r="CS364" i="5"/>
  <c r="DK366" i="5"/>
  <c r="DL366" i="5" s="1"/>
  <c r="DH368" i="5"/>
  <c r="EG368" i="5"/>
  <c r="EJ368" i="5" s="1"/>
  <c r="EK368" i="5" s="1"/>
  <c r="EQ366" i="5"/>
  <c r="ER366" i="5" s="1"/>
  <c r="DJ367" i="5"/>
  <c r="DI367" i="5"/>
  <c r="AJ371" i="5"/>
  <c r="X364" i="5"/>
  <c r="DS365" i="21" l="1"/>
  <c r="CQ365" i="21"/>
  <c r="EW366" i="21"/>
  <c r="EX366" i="21" s="1"/>
  <c r="ER367" i="21"/>
  <c r="ES367" i="21"/>
  <c r="AU369" i="21"/>
  <c r="AR369" i="21"/>
  <c r="DQ366" i="21"/>
  <c r="DR366" i="21" s="1"/>
  <c r="DN368" i="21"/>
  <c r="EM368" i="21"/>
  <c r="EP368" i="21" s="1"/>
  <c r="EQ368" i="21" s="1"/>
  <c r="AP371" i="21"/>
  <c r="AT370" i="21"/>
  <c r="AQ370" i="21"/>
  <c r="DU369" i="21"/>
  <c r="AV369" i="21"/>
  <c r="AW369" i="21" s="1"/>
  <c r="DO367" i="21"/>
  <c r="DP367" i="21"/>
  <c r="FK364" i="21"/>
  <c r="FM364" i="21" s="1"/>
  <c r="AD364" i="21"/>
  <c r="CY364" i="21"/>
  <c r="DM366" i="5"/>
  <c r="CK366" i="5"/>
  <c r="DJ368" i="5"/>
  <c r="DI368" i="5"/>
  <c r="DK367" i="5"/>
  <c r="DL367" i="5" s="1"/>
  <c r="AL370" i="5"/>
  <c r="AO370" i="5"/>
  <c r="DO370" i="5"/>
  <c r="AP370" i="5"/>
  <c r="AQ370" i="5" s="1"/>
  <c r="DH369" i="5"/>
  <c r="EG369" i="5"/>
  <c r="EJ369" i="5" s="1"/>
  <c r="EK369" i="5" s="1"/>
  <c r="FE365" i="5"/>
  <c r="FG365" i="5" s="1"/>
  <c r="CY365" i="5"/>
  <c r="EL368" i="5"/>
  <c r="EM368" i="5"/>
  <c r="AN371" i="5"/>
  <c r="AK371" i="5"/>
  <c r="EQ367" i="5"/>
  <c r="ER367" i="5" s="1"/>
  <c r="AJ372" i="5"/>
  <c r="DS366" i="21" l="1"/>
  <c r="CQ366" i="21"/>
  <c r="AU370" i="21"/>
  <c r="AR370" i="21"/>
  <c r="DQ367" i="21"/>
  <c r="DR367" i="21" s="1"/>
  <c r="ES368" i="21"/>
  <c r="ER368" i="21"/>
  <c r="DU370" i="21"/>
  <c r="AV370" i="21"/>
  <c r="AW370" i="21" s="1"/>
  <c r="DN369" i="21"/>
  <c r="EM369" i="21"/>
  <c r="EP369" i="21" s="1"/>
  <c r="EQ369" i="21" s="1"/>
  <c r="DO368" i="21"/>
  <c r="DP368" i="21"/>
  <c r="DE365" i="21"/>
  <c r="AD365" i="21"/>
  <c r="FK365" i="21"/>
  <c r="FM365" i="21" s="1"/>
  <c r="AP372" i="21"/>
  <c r="AT371" i="21"/>
  <c r="AQ371" i="21"/>
  <c r="EW367" i="21"/>
  <c r="EX367" i="21" s="1"/>
  <c r="DM367" i="5"/>
  <c r="CK367" i="5"/>
  <c r="EQ368" i="5"/>
  <c r="ER368" i="5" s="1"/>
  <c r="AN372" i="5"/>
  <c r="AK372" i="5"/>
  <c r="DK368" i="5"/>
  <c r="DL368" i="5" s="1"/>
  <c r="DI369" i="5"/>
  <c r="DJ369" i="5"/>
  <c r="EM369" i="5"/>
  <c r="EL369" i="5"/>
  <c r="AL371" i="5"/>
  <c r="AO371" i="5"/>
  <c r="FE366" i="5"/>
  <c r="FG366" i="5" s="1"/>
  <c r="CS366" i="5"/>
  <c r="DO371" i="5"/>
  <c r="AP371" i="5"/>
  <c r="AQ371" i="5" s="1"/>
  <c r="DH370" i="5"/>
  <c r="EG370" i="5"/>
  <c r="EJ370" i="5" s="1"/>
  <c r="EK370" i="5" s="1"/>
  <c r="X367" i="5"/>
  <c r="X366" i="5"/>
  <c r="AJ373" i="5"/>
  <c r="DS367" i="21" l="1"/>
  <c r="CQ367" i="21"/>
  <c r="AR371" i="21"/>
  <c r="AU371" i="21"/>
  <c r="DU371" i="21"/>
  <c r="AV371" i="21"/>
  <c r="AW371" i="21" s="1"/>
  <c r="ES369" i="21"/>
  <c r="ER369" i="21"/>
  <c r="DN370" i="21"/>
  <c r="EM370" i="21"/>
  <c r="EP370" i="21" s="1"/>
  <c r="EQ370" i="21" s="1"/>
  <c r="DQ368" i="21"/>
  <c r="DR368" i="21" s="1"/>
  <c r="EW368" i="21"/>
  <c r="EX368" i="21" s="1"/>
  <c r="AD366" i="21"/>
  <c r="CY366" i="21"/>
  <c r="FK366" i="21"/>
  <c r="FM366" i="21" s="1"/>
  <c r="AP373" i="21"/>
  <c r="AT372" i="21"/>
  <c r="AQ372" i="21"/>
  <c r="DO369" i="21"/>
  <c r="DP369" i="21"/>
  <c r="DM368" i="5"/>
  <c r="CK368" i="5"/>
  <c r="DO372" i="5"/>
  <c r="AP372" i="5"/>
  <c r="AQ372" i="5" s="1"/>
  <c r="EQ369" i="5"/>
  <c r="ER369" i="5" s="1"/>
  <c r="AN373" i="5"/>
  <c r="AK373" i="5"/>
  <c r="DI370" i="5"/>
  <c r="DJ370" i="5"/>
  <c r="AO372" i="5"/>
  <c r="AL372" i="5"/>
  <c r="CY367" i="5"/>
  <c r="FE367" i="5"/>
  <c r="FG367" i="5" s="1"/>
  <c r="EL370" i="5"/>
  <c r="EM370" i="5"/>
  <c r="DH371" i="5"/>
  <c r="EG371" i="5"/>
  <c r="EJ371" i="5" s="1"/>
  <c r="EK371" i="5" s="1"/>
  <c r="DK369" i="5"/>
  <c r="DL369" i="5" s="1"/>
  <c r="AJ374" i="5"/>
  <c r="DS368" i="21" l="1"/>
  <c r="CQ368" i="21"/>
  <c r="DQ369" i="21"/>
  <c r="DR369" i="21" s="1"/>
  <c r="AP374" i="21"/>
  <c r="AT373" i="21"/>
  <c r="AQ373" i="21"/>
  <c r="AR372" i="21"/>
  <c r="AU372" i="21"/>
  <c r="DP370" i="21"/>
  <c r="DO370" i="21"/>
  <c r="ES370" i="21"/>
  <c r="ER370" i="21"/>
  <c r="DE367" i="21"/>
  <c r="FK367" i="21"/>
  <c r="FM367" i="21" s="1"/>
  <c r="AD367" i="21"/>
  <c r="DU372" i="21"/>
  <c r="AV372" i="21"/>
  <c r="AW372" i="21" s="1"/>
  <c r="EW369" i="21"/>
  <c r="EX369" i="21" s="1"/>
  <c r="DN371" i="21"/>
  <c r="EM371" i="21"/>
  <c r="EP371" i="21" s="1"/>
  <c r="EQ371" i="21" s="1"/>
  <c r="DM369" i="5"/>
  <c r="CK369" i="5"/>
  <c r="DO373" i="5"/>
  <c r="AP373" i="5"/>
  <c r="AQ373" i="5" s="1"/>
  <c r="AN374" i="5"/>
  <c r="AK374" i="5"/>
  <c r="DH372" i="5"/>
  <c r="EG372" i="5"/>
  <c r="EJ372" i="5" s="1"/>
  <c r="EK372" i="5" s="1"/>
  <c r="EQ370" i="5"/>
  <c r="ER370" i="5" s="1"/>
  <c r="EL371" i="5"/>
  <c r="EM371" i="5"/>
  <c r="FE368" i="5"/>
  <c r="FG368" i="5" s="1"/>
  <c r="CS368" i="5"/>
  <c r="AL373" i="5"/>
  <c r="AO373" i="5"/>
  <c r="DI371" i="5"/>
  <c r="DJ371" i="5"/>
  <c r="DK370" i="5"/>
  <c r="DL370" i="5" s="1"/>
  <c r="X369" i="5"/>
  <c r="X368" i="5"/>
  <c r="AJ375" i="5"/>
  <c r="DS369" i="21" l="1"/>
  <c r="CQ369" i="21"/>
  <c r="DQ370" i="21"/>
  <c r="DR370" i="21" s="1"/>
  <c r="DP371" i="21"/>
  <c r="DO371" i="21"/>
  <c r="DU373" i="21"/>
  <c r="AV373" i="21"/>
  <c r="AW373" i="21" s="1"/>
  <c r="AT374" i="21"/>
  <c r="AP375" i="21"/>
  <c r="AQ374" i="21"/>
  <c r="DN372" i="21"/>
  <c r="EM372" i="21"/>
  <c r="EP372" i="21" s="1"/>
  <c r="EQ372" i="21" s="1"/>
  <c r="EW370" i="21"/>
  <c r="EX370" i="21" s="1"/>
  <c r="AU373" i="21"/>
  <c r="AR373" i="21"/>
  <c r="AD368" i="21"/>
  <c r="CY368" i="21"/>
  <c r="FK368" i="21"/>
  <c r="FM368" i="21" s="1"/>
  <c r="ER371" i="21"/>
  <c r="ES371" i="21"/>
  <c r="EL372" i="5"/>
  <c r="EM372" i="5"/>
  <c r="DO374" i="5"/>
  <c r="AP374" i="5"/>
  <c r="AQ374" i="5" s="1"/>
  <c r="AL374" i="5"/>
  <c r="AO374" i="5"/>
  <c r="DJ372" i="5"/>
  <c r="DI372" i="5"/>
  <c r="DH373" i="5"/>
  <c r="EG373" i="5"/>
  <c r="EJ373" i="5" s="1"/>
  <c r="EK373" i="5" s="1"/>
  <c r="AN375" i="5"/>
  <c r="AK375" i="5"/>
  <c r="EQ371" i="5"/>
  <c r="ER371" i="5" s="1"/>
  <c r="FE369" i="5"/>
  <c r="FG369" i="5" s="1"/>
  <c r="CY369" i="5"/>
  <c r="DM370" i="5"/>
  <c r="CK370" i="5"/>
  <c r="DK371" i="5"/>
  <c r="DL371" i="5" s="1"/>
  <c r="AJ376" i="5"/>
  <c r="DS370" i="21" l="1"/>
  <c r="CQ370" i="21"/>
  <c r="ES372" i="21"/>
  <c r="ER372" i="21"/>
  <c r="AU374" i="21"/>
  <c r="AR374" i="21"/>
  <c r="EW371" i="21"/>
  <c r="EX371" i="21" s="1"/>
  <c r="DU374" i="21"/>
  <c r="AV374" i="21"/>
  <c r="AW374" i="21" s="1"/>
  <c r="DE369" i="21"/>
  <c r="AD369" i="21"/>
  <c r="FK369" i="21"/>
  <c r="FM369" i="21" s="1"/>
  <c r="DP372" i="21"/>
  <c r="DO372" i="21"/>
  <c r="AT375" i="21"/>
  <c r="AP376" i="21"/>
  <c r="AQ375" i="21"/>
  <c r="DN373" i="21"/>
  <c r="EM373" i="21"/>
  <c r="EP373" i="21" s="1"/>
  <c r="EQ373" i="21" s="1"/>
  <c r="DQ371" i="21"/>
  <c r="DR371" i="21" s="1"/>
  <c r="DM371" i="5"/>
  <c r="CK371" i="5"/>
  <c r="DK372" i="5"/>
  <c r="DL372" i="5" s="1"/>
  <c r="AL375" i="5"/>
  <c r="AO375" i="5"/>
  <c r="AN376" i="5"/>
  <c r="AK376" i="5"/>
  <c r="DH374" i="5"/>
  <c r="EG374" i="5"/>
  <c r="EJ374" i="5" s="1"/>
  <c r="EK374" i="5" s="1"/>
  <c r="FE370" i="5"/>
  <c r="FG370" i="5" s="1"/>
  <c r="CS370" i="5"/>
  <c r="EL373" i="5"/>
  <c r="EM373" i="5"/>
  <c r="DO375" i="5"/>
  <c r="AP375" i="5"/>
  <c r="AQ375" i="5" s="1"/>
  <c r="DI373" i="5"/>
  <c r="DJ373" i="5"/>
  <c r="EQ372" i="5"/>
  <c r="ER372" i="5" s="1"/>
  <c r="X371" i="5"/>
  <c r="X370" i="5"/>
  <c r="AJ377" i="5"/>
  <c r="DS371" i="21" l="1"/>
  <c r="CQ371" i="21"/>
  <c r="AU375" i="21"/>
  <c r="AR375" i="21"/>
  <c r="DQ372" i="21"/>
  <c r="DR372" i="21" s="1"/>
  <c r="AT376" i="21"/>
  <c r="AP377" i="21"/>
  <c r="AQ376" i="21"/>
  <c r="DN374" i="21"/>
  <c r="EM374" i="21"/>
  <c r="EP374" i="21" s="1"/>
  <c r="EQ374" i="21" s="1"/>
  <c r="DU375" i="21"/>
  <c r="AV375" i="21"/>
  <c r="AW375" i="21" s="1"/>
  <c r="DP373" i="21"/>
  <c r="DO373" i="21"/>
  <c r="FK370" i="21"/>
  <c r="FM370" i="21" s="1"/>
  <c r="CY370" i="21"/>
  <c r="AD370" i="21"/>
  <c r="ES373" i="21"/>
  <c r="ER373" i="21"/>
  <c r="EW372" i="21"/>
  <c r="EX372" i="21" s="1"/>
  <c r="DM372" i="5"/>
  <c r="CK372" i="5"/>
  <c r="AO376" i="5"/>
  <c r="AL376" i="5"/>
  <c r="EQ373" i="5"/>
  <c r="ER373" i="5" s="1"/>
  <c r="DH375" i="5"/>
  <c r="EG375" i="5"/>
  <c r="EJ375" i="5" s="1"/>
  <c r="EK375" i="5" s="1"/>
  <c r="EL374" i="5"/>
  <c r="EM374" i="5"/>
  <c r="CY371" i="5"/>
  <c r="FE371" i="5"/>
  <c r="FG371" i="5" s="1"/>
  <c r="DO376" i="5"/>
  <c r="AP376" i="5"/>
  <c r="AQ376" i="5" s="1"/>
  <c r="AN377" i="5"/>
  <c r="AK377" i="5"/>
  <c r="DK373" i="5"/>
  <c r="DL373" i="5" s="1"/>
  <c r="DI374" i="5"/>
  <c r="DJ374" i="5"/>
  <c r="AJ378" i="5"/>
  <c r="DS372" i="21" l="1"/>
  <c r="CQ372" i="21"/>
  <c r="EW373" i="21"/>
  <c r="EX373" i="21" s="1"/>
  <c r="DQ373" i="21"/>
  <c r="DR373" i="21" s="1"/>
  <c r="DU376" i="21"/>
  <c r="AV376" i="21"/>
  <c r="AW376" i="21" s="1"/>
  <c r="DP374" i="21"/>
  <c r="DO374" i="21"/>
  <c r="AT377" i="21"/>
  <c r="AP378" i="21"/>
  <c r="AQ377" i="21"/>
  <c r="ER374" i="21"/>
  <c r="ES374" i="21"/>
  <c r="FK371" i="21"/>
  <c r="FM371" i="21" s="1"/>
  <c r="AD371" i="21"/>
  <c r="DE371" i="21"/>
  <c r="DN375" i="21"/>
  <c r="EM375" i="21"/>
  <c r="EP375" i="21" s="1"/>
  <c r="EQ375" i="21" s="1"/>
  <c r="AU376" i="21"/>
  <c r="AR376" i="21"/>
  <c r="DM373" i="5"/>
  <c r="CK373" i="5"/>
  <c r="EL375" i="5"/>
  <c r="EM375" i="5"/>
  <c r="DO377" i="5"/>
  <c r="AP377" i="5"/>
  <c r="AQ377" i="5" s="1"/>
  <c r="AL377" i="5"/>
  <c r="AO377" i="5"/>
  <c r="DH376" i="5"/>
  <c r="EG376" i="5"/>
  <c r="EJ376" i="5" s="1"/>
  <c r="EK376" i="5" s="1"/>
  <c r="DK374" i="5"/>
  <c r="DL374" i="5" s="1"/>
  <c r="AN378" i="5"/>
  <c r="AK378" i="5"/>
  <c r="FE372" i="5"/>
  <c r="FG372" i="5" s="1"/>
  <c r="CS372" i="5"/>
  <c r="DJ375" i="5"/>
  <c r="DI375" i="5"/>
  <c r="EQ374" i="5"/>
  <c r="ER374" i="5" s="1"/>
  <c r="AJ379" i="5"/>
  <c r="X372" i="5"/>
  <c r="DS373" i="21" l="1"/>
  <c r="CQ373" i="21"/>
  <c r="DQ374" i="21"/>
  <c r="DR374" i="21" s="1"/>
  <c r="EW374" i="21"/>
  <c r="EX374" i="21" s="1"/>
  <c r="AU377" i="21"/>
  <c r="AR377" i="21"/>
  <c r="DO375" i="21"/>
  <c r="DP375" i="21"/>
  <c r="AT378" i="21"/>
  <c r="AP379" i="21"/>
  <c r="AQ378" i="21"/>
  <c r="DU377" i="21"/>
  <c r="AV377" i="21"/>
  <c r="AW377" i="21" s="1"/>
  <c r="DN376" i="21"/>
  <c r="EM376" i="21"/>
  <c r="EP376" i="21" s="1"/>
  <c r="EQ376" i="21" s="1"/>
  <c r="AD372" i="21"/>
  <c r="FK372" i="21"/>
  <c r="FM372" i="21" s="1"/>
  <c r="CY372" i="21"/>
  <c r="ER375" i="21"/>
  <c r="ES375" i="21"/>
  <c r="DM374" i="5"/>
  <c r="CK374" i="5"/>
  <c r="DO378" i="5"/>
  <c r="AP378" i="5"/>
  <c r="AQ378" i="5" s="1"/>
  <c r="DH377" i="5"/>
  <c r="EG377" i="5"/>
  <c r="EJ377" i="5" s="1"/>
  <c r="EK377" i="5" s="1"/>
  <c r="EQ375" i="5"/>
  <c r="ER375" i="5" s="1"/>
  <c r="AN379" i="5"/>
  <c r="AK379" i="5"/>
  <c r="AL378" i="5"/>
  <c r="AO378" i="5"/>
  <c r="DK375" i="5"/>
  <c r="DL375" i="5" s="1"/>
  <c r="EL376" i="5"/>
  <c r="EM376" i="5"/>
  <c r="FE373" i="5"/>
  <c r="FG373" i="5" s="1"/>
  <c r="CY373" i="5"/>
  <c r="DI376" i="5"/>
  <c r="DJ376" i="5"/>
  <c r="X374" i="5"/>
  <c r="X373" i="5"/>
  <c r="AJ380" i="5"/>
  <c r="CQ374" i="21" l="1"/>
  <c r="DS374" i="21"/>
  <c r="DU378" i="21"/>
  <c r="AV378" i="21"/>
  <c r="AW378" i="21" s="1"/>
  <c r="DP376" i="21"/>
  <c r="DO376" i="21"/>
  <c r="ER376" i="21"/>
  <c r="ES376" i="21"/>
  <c r="DQ375" i="21"/>
  <c r="DR375" i="21" s="1"/>
  <c r="AU378" i="21"/>
  <c r="AR378" i="21"/>
  <c r="FK373" i="21"/>
  <c r="FM373" i="21" s="1"/>
  <c r="AD373" i="21"/>
  <c r="DE373" i="21"/>
  <c r="EW375" i="21"/>
  <c r="EX375" i="21" s="1"/>
  <c r="DN377" i="21"/>
  <c r="EM377" i="21"/>
  <c r="EP377" i="21" s="1"/>
  <c r="EQ377" i="21" s="1"/>
  <c r="AT379" i="21"/>
  <c r="AP380" i="21"/>
  <c r="AQ379" i="21"/>
  <c r="DM375" i="5"/>
  <c r="CK375" i="5"/>
  <c r="EM377" i="5"/>
  <c r="EL377" i="5"/>
  <c r="EQ376" i="5"/>
  <c r="ER376" i="5" s="1"/>
  <c r="AN380" i="5"/>
  <c r="AK380" i="5"/>
  <c r="DI377" i="5"/>
  <c r="DJ377" i="5"/>
  <c r="DK376" i="5"/>
  <c r="DL376" i="5" s="1"/>
  <c r="DH378" i="5"/>
  <c r="EG378" i="5"/>
  <c r="EJ378" i="5" s="1"/>
  <c r="EK378" i="5" s="1"/>
  <c r="AL379" i="5"/>
  <c r="AO379" i="5"/>
  <c r="FE374" i="5"/>
  <c r="FG374" i="5" s="1"/>
  <c r="CS374" i="5"/>
  <c r="DO379" i="5"/>
  <c r="AP379" i="5"/>
  <c r="AQ379" i="5" s="1"/>
  <c r="AJ381" i="5"/>
  <c r="DS375" i="21" l="1"/>
  <c r="CQ375" i="21"/>
  <c r="DU379" i="21"/>
  <c r="AV379" i="21"/>
  <c r="AW379" i="21" s="1"/>
  <c r="AP381" i="21"/>
  <c r="AT380" i="21"/>
  <c r="AQ380" i="21"/>
  <c r="DQ376" i="21"/>
  <c r="DR376" i="21" s="1"/>
  <c r="DP377" i="21"/>
  <c r="DO377" i="21"/>
  <c r="DN378" i="21"/>
  <c r="EM378" i="21"/>
  <c r="EP378" i="21" s="1"/>
  <c r="EQ378" i="21" s="1"/>
  <c r="AR379" i="21"/>
  <c r="AU379" i="21"/>
  <c r="ER377" i="21"/>
  <c r="ES377" i="21"/>
  <c r="EW376" i="21"/>
  <c r="EX376" i="21" s="1"/>
  <c r="AD374" i="21"/>
  <c r="FK374" i="21"/>
  <c r="FM374" i="21" s="1"/>
  <c r="CY374" i="21"/>
  <c r="DM376" i="5"/>
  <c r="CK376" i="5"/>
  <c r="AO380" i="5"/>
  <c r="AL380" i="5"/>
  <c r="EQ377" i="5"/>
  <c r="ER377" i="5" s="1"/>
  <c r="EM378" i="5"/>
  <c r="EL378" i="5"/>
  <c r="DH379" i="5"/>
  <c r="EG379" i="5"/>
  <c r="EJ379" i="5" s="1"/>
  <c r="EK379" i="5" s="1"/>
  <c r="CY375" i="5"/>
  <c r="FE375" i="5"/>
  <c r="FG375" i="5" s="1"/>
  <c r="DO380" i="5"/>
  <c r="AP380" i="5"/>
  <c r="AQ380" i="5" s="1"/>
  <c r="DJ378" i="5"/>
  <c r="DI378" i="5"/>
  <c r="AN381" i="5"/>
  <c r="AK381" i="5"/>
  <c r="DK377" i="5"/>
  <c r="DL377" i="5" s="1"/>
  <c r="X375" i="5"/>
  <c r="AJ382" i="5"/>
  <c r="DS376" i="21" l="1"/>
  <c r="CQ376" i="21"/>
  <c r="DP378" i="21"/>
  <c r="DO378" i="21"/>
  <c r="EW377" i="21"/>
  <c r="EX377" i="21" s="1"/>
  <c r="DU380" i="21"/>
  <c r="AV380" i="21"/>
  <c r="AW380" i="21" s="1"/>
  <c r="AT381" i="21"/>
  <c r="AP382" i="21"/>
  <c r="AQ381" i="21"/>
  <c r="ES378" i="21"/>
  <c r="ER378" i="21"/>
  <c r="DQ377" i="21"/>
  <c r="DR377" i="21" s="1"/>
  <c r="AD375" i="21"/>
  <c r="FK375" i="21"/>
  <c r="FM375" i="21" s="1"/>
  <c r="CY375" i="21"/>
  <c r="AU380" i="21"/>
  <c r="AR380" i="21"/>
  <c r="DN379" i="21"/>
  <c r="EM379" i="21"/>
  <c r="EP379" i="21" s="1"/>
  <c r="EQ379" i="21" s="1"/>
  <c r="DK378" i="5"/>
  <c r="DL378" i="5" s="1"/>
  <c r="EQ378" i="5"/>
  <c r="ER378" i="5" s="1"/>
  <c r="AN382" i="5"/>
  <c r="AK382" i="5"/>
  <c r="DH380" i="5"/>
  <c r="EG380" i="5"/>
  <c r="EJ380" i="5" s="1"/>
  <c r="EK380" i="5" s="1"/>
  <c r="EL379" i="5"/>
  <c r="EM379" i="5"/>
  <c r="DM377" i="5"/>
  <c r="CK377" i="5"/>
  <c r="AL381" i="5"/>
  <c r="AO381" i="5"/>
  <c r="FE376" i="5"/>
  <c r="FG376" i="5" s="1"/>
  <c r="CS376" i="5"/>
  <c r="DO381" i="5"/>
  <c r="AP381" i="5"/>
  <c r="AQ381" i="5" s="1"/>
  <c r="DJ379" i="5"/>
  <c r="DI379" i="5"/>
  <c r="AJ383" i="5"/>
  <c r="X376" i="5"/>
  <c r="DS377" i="21" l="1"/>
  <c r="CQ377" i="21"/>
  <c r="DO379" i="21"/>
  <c r="DP379" i="21"/>
  <c r="EW378" i="21"/>
  <c r="EX378" i="21" s="1"/>
  <c r="AU381" i="21"/>
  <c r="AR381" i="21"/>
  <c r="DQ378" i="21"/>
  <c r="DR378" i="21" s="1"/>
  <c r="AP383" i="21"/>
  <c r="AT382" i="21"/>
  <c r="AQ382" i="21"/>
  <c r="DU381" i="21"/>
  <c r="AV381" i="21"/>
  <c r="AW381" i="21" s="1"/>
  <c r="DN380" i="21"/>
  <c r="EM380" i="21"/>
  <c r="EP380" i="21" s="1"/>
  <c r="EQ380" i="21" s="1"/>
  <c r="FK376" i="21"/>
  <c r="FM376" i="21" s="1"/>
  <c r="DE376" i="21"/>
  <c r="AD376" i="21"/>
  <c r="ES379" i="21"/>
  <c r="ER379" i="21"/>
  <c r="DM378" i="5"/>
  <c r="CK378" i="5"/>
  <c r="EL380" i="5"/>
  <c r="EM380" i="5"/>
  <c r="DI380" i="5"/>
  <c r="DJ380" i="5"/>
  <c r="DO382" i="5"/>
  <c r="AP382" i="5"/>
  <c r="AQ382" i="5" s="1"/>
  <c r="DK379" i="5"/>
  <c r="DL379" i="5" s="1"/>
  <c r="FE377" i="5"/>
  <c r="FG377" i="5" s="1"/>
  <c r="CY377" i="5"/>
  <c r="AN383" i="5"/>
  <c r="AK383" i="5"/>
  <c r="AL382" i="5"/>
  <c r="AO382" i="5"/>
  <c r="DH381" i="5"/>
  <c r="EG381" i="5"/>
  <c r="EJ381" i="5" s="1"/>
  <c r="EK381" i="5" s="1"/>
  <c r="EQ379" i="5"/>
  <c r="ER379" i="5" s="1"/>
  <c r="AJ384" i="5"/>
  <c r="X377" i="5"/>
  <c r="DS378" i="21" l="1"/>
  <c r="CQ378" i="21"/>
  <c r="DN381" i="21"/>
  <c r="EM381" i="21"/>
  <c r="EP381" i="21" s="1"/>
  <c r="EQ381" i="21" s="1"/>
  <c r="DP380" i="21"/>
  <c r="DO380" i="21"/>
  <c r="ER380" i="21"/>
  <c r="ES380" i="21"/>
  <c r="DU382" i="21"/>
  <c r="AV382" i="21"/>
  <c r="AW382" i="21" s="1"/>
  <c r="AT383" i="21"/>
  <c r="AP384" i="21"/>
  <c r="AQ383" i="21"/>
  <c r="DE377" i="21"/>
  <c r="AD377" i="21"/>
  <c r="FK377" i="21"/>
  <c r="FM377" i="21" s="1"/>
  <c r="EW379" i="21"/>
  <c r="EX379" i="21" s="1"/>
  <c r="AU382" i="21"/>
  <c r="AR382" i="21"/>
  <c r="DQ379" i="21"/>
  <c r="DR379" i="21" s="1"/>
  <c r="DM379" i="5"/>
  <c r="CK379" i="5"/>
  <c r="DO383" i="5"/>
  <c r="AP383" i="5"/>
  <c r="AQ383" i="5" s="1"/>
  <c r="AL383" i="5"/>
  <c r="AO383" i="5"/>
  <c r="EQ380" i="5"/>
  <c r="ER380" i="5" s="1"/>
  <c r="EL381" i="5"/>
  <c r="EM381" i="5"/>
  <c r="FE378" i="5"/>
  <c r="FG378" i="5" s="1"/>
  <c r="CS378" i="5"/>
  <c r="DH382" i="5"/>
  <c r="EG382" i="5"/>
  <c r="EJ382" i="5" s="1"/>
  <c r="EK382" i="5" s="1"/>
  <c r="AN384" i="5"/>
  <c r="AK384" i="5"/>
  <c r="DK380" i="5"/>
  <c r="DL380" i="5" s="1"/>
  <c r="DI381" i="5"/>
  <c r="DJ381" i="5"/>
  <c r="AJ385" i="5"/>
  <c r="X378" i="5"/>
  <c r="DS379" i="21" l="1"/>
  <c r="CQ379" i="21"/>
  <c r="DU383" i="21"/>
  <c r="AV383" i="21"/>
  <c r="AW383" i="21" s="1"/>
  <c r="EW380" i="21"/>
  <c r="EX380" i="21" s="1"/>
  <c r="DQ380" i="21"/>
  <c r="DR380" i="21" s="1"/>
  <c r="DN382" i="21"/>
  <c r="EM382" i="21"/>
  <c r="EP382" i="21" s="1"/>
  <c r="EQ382" i="21" s="1"/>
  <c r="AU383" i="21"/>
  <c r="AR383" i="21"/>
  <c r="DP381" i="21"/>
  <c r="DO381" i="21"/>
  <c r="FK378" i="21"/>
  <c r="FM378" i="21" s="1"/>
  <c r="DE378" i="21"/>
  <c r="AD378" i="21"/>
  <c r="AP385" i="21"/>
  <c r="AT384" i="21"/>
  <c r="AQ384" i="21"/>
  <c r="ES381" i="21"/>
  <c r="ER381" i="21"/>
  <c r="DM380" i="5"/>
  <c r="CK380" i="5"/>
  <c r="X380" i="5" s="1"/>
  <c r="EL382" i="5"/>
  <c r="EM382" i="5"/>
  <c r="AO384" i="5"/>
  <c r="AL384" i="5"/>
  <c r="DO384" i="5"/>
  <c r="AP384" i="5"/>
  <c r="AQ384" i="5" s="1"/>
  <c r="DJ382" i="5"/>
  <c r="DI382" i="5"/>
  <c r="DK381" i="5"/>
  <c r="DL381" i="5" s="1"/>
  <c r="DH383" i="5"/>
  <c r="EG383" i="5"/>
  <c r="EJ383" i="5" s="1"/>
  <c r="EK383" i="5" s="1"/>
  <c r="CS379" i="5"/>
  <c r="FE379" i="5"/>
  <c r="FG379" i="5" s="1"/>
  <c r="AN385" i="5"/>
  <c r="AK385" i="5"/>
  <c r="EQ381" i="5"/>
  <c r="ER381" i="5" s="1"/>
  <c r="AJ386" i="5"/>
  <c r="X379" i="5"/>
  <c r="CQ380" i="21" l="1"/>
  <c r="DS380" i="21"/>
  <c r="DU384" i="21"/>
  <c r="AV384" i="21"/>
  <c r="AW384" i="21" s="1"/>
  <c r="AT385" i="21"/>
  <c r="AP386" i="21"/>
  <c r="AQ385" i="21"/>
  <c r="AR384" i="21"/>
  <c r="AU384" i="21"/>
  <c r="DP382" i="21"/>
  <c r="DO382" i="21"/>
  <c r="DN383" i="21"/>
  <c r="EM383" i="21"/>
  <c r="EP383" i="21" s="1"/>
  <c r="EQ383" i="21" s="1"/>
  <c r="EW381" i="21"/>
  <c r="EX381" i="21" s="1"/>
  <c r="DQ381" i="21"/>
  <c r="DR381" i="21" s="1"/>
  <c r="FK379" i="21"/>
  <c r="FM379" i="21" s="1"/>
  <c r="AD379" i="21"/>
  <c r="DE379" i="21"/>
  <c r="ES382" i="21"/>
  <c r="ER382" i="21"/>
  <c r="DM381" i="5"/>
  <c r="CK381" i="5"/>
  <c r="DH384" i="5"/>
  <c r="EG384" i="5"/>
  <c r="EJ384" i="5" s="1"/>
  <c r="EK384" i="5" s="1"/>
  <c r="EM383" i="5"/>
  <c r="EL383" i="5"/>
  <c r="DJ383" i="5"/>
  <c r="DI383" i="5"/>
  <c r="EQ382" i="5"/>
  <c r="ER382" i="5" s="1"/>
  <c r="AN386" i="5"/>
  <c r="AK386" i="5"/>
  <c r="AO385" i="5"/>
  <c r="AL385" i="5"/>
  <c r="DK382" i="5"/>
  <c r="DL382" i="5" s="1"/>
  <c r="FE380" i="5"/>
  <c r="FG380" i="5" s="1"/>
  <c r="CY380" i="5"/>
  <c r="DO385" i="5"/>
  <c r="AP385" i="5"/>
  <c r="AQ385" i="5" s="1"/>
  <c r="AJ387" i="5"/>
  <c r="CQ381" i="21" l="1"/>
  <c r="DS381" i="21"/>
  <c r="DO383" i="21"/>
  <c r="DP383" i="21"/>
  <c r="AU385" i="21"/>
  <c r="AR385" i="21"/>
  <c r="ES383" i="21"/>
  <c r="ER383" i="21"/>
  <c r="AP387" i="21"/>
  <c r="AT386" i="21"/>
  <c r="AQ386" i="21"/>
  <c r="EW382" i="21"/>
  <c r="EX382" i="21" s="1"/>
  <c r="DN384" i="21"/>
  <c r="EM384" i="21"/>
  <c r="EP384" i="21" s="1"/>
  <c r="EQ384" i="21" s="1"/>
  <c r="DU385" i="21"/>
  <c r="AV385" i="21"/>
  <c r="AW385" i="21" s="1"/>
  <c r="DQ382" i="21"/>
  <c r="DR382" i="21" s="1"/>
  <c r="FK380" i="21"/>
  <c r="FM380" i="21" s="1"/>
  <c r="CY380" i="21"/>
  <c r="AD380" i="21"/>
  <c r="DM382" i="5"/>
  <c r="CK382" i="5"/>
  <c r="EQ383" i="5"/>
  <c r="ER383" i="5" s="1"/>
  <c r="AL386" i="5"/>
  <c r="AO386" i="5"/>
  <c r="EL384" i="5"/>
  <c r="EM384" i="5"/>
  <c r="AN387" i="5"/>
  <c r="AK387" i="5"/>
  <c r="DH385" i="5"/>
  <c r="EG385" i="5"/>
  <c r="EJ385" i="5" s="1"/>
  <c r="EK385" i="5" s="1"/>
  <c r="DI384" i="5"/>
  <c r="DJ384" i="5"/>
  <c r="DK383" i="5"/>
  <c r="DL383" i="5" s="1"/>
  <c r="FE381" i="5"/>
  <c r="FG381" i="5" s="1"/>
  <c r="CY381" i="5"/>
  <c r="DO386" i="5"/>
  <c r="AP386" i="5"/>
  <c r="AQ386" i="5" s="1"/>
  <c r="AJ388" i="5"/>
  <c r="X381" i="5"/>
  <c r="DS382" i="21" l="1"/>
  <c r="CQ382" i="21"/>
  <c r="DO384" i="21"/>
  <c r="DP384" i="21"/>
  <c r="AU386" i="21"/>
  <c r="AR386" i="21"/>
  <c r="AP388" i="21"/>
  <c r="AT387" i="21"/>
  <c r="AQ387" i="21"/>
  <c r="ES384" i="21"/>
  <c r="ER384" i="21"/>
  <c r="DN385" i="21"/>
  <c r="EM385" i="21"/>
  <c r="EP385" i="21" s="1"/>
  <c r="EQ385" i="21" s="1"/>
  <c r="EW383" i="21"/>
  <c r="EX383" i="21" s="1"/>
  <c r="DU386" i="21"/>
  <c r="AV386" i="21"/>
  <c r="AW386" i="21" s="1"/>
  <c r="DQ383" i="21"/>
  <c r="DR383" i="21" s="1"/>
  <c r="AD381" i="21"/>
  <c r="FK381" i="21"/>
  <c r="FM381" i="21" s="1"/>
  <c r="CY381" i="21"/>
  <c r="DM383" i="5"/>
  <c r="CK383" i="5"/>
  <c r="DK384" i="5"/>
  <c r="DL384" i="5" s="1"/>
  <c r="EM385" i="5"/>
  <c r="EL385" i="5"/>
  <c r="EQ384" i="5"/>
  <c r="ER384" i="5" s="1"/>
  <c r="DH386" i="5"/>
  <c r="EG386" i="5"/>
  <c r="EJ386" i="5" s="1"/>
  <c r="EK386" i="5" s="1"/>
  <c r="DI385" i="5"/>
  <c r="DJ385" i="5"/>
  <c r="AN388" i="5"/>
  <c r="AK388" i="5"/>
  <c r="AL387" i="5"/>
  <c r="AO387" i="5"/>
  <c r="FE382" i="5"/>
  <c r="FG382" i="5" s="1"/>
  <c r="CY382" i="5"/>
  <c r="DO387" i="5"/>
  <c r="AP387" i="5"/>
  <c r="AQ387" i="5" s="1"/>
  <c r="X382" i="5"/>
  <c r="AJ389" i="5"/>
  <c r="DS383" i="21" l="1"/>
  <c r="CQ383" i="21"/>
  <c r="DP385" i="21"/>
  <c r="DO385" i="21"/>
  <c r="EW384" i="21"/>
  <c r="EX384" i="21" s="1"/>
  <c r="DN386" i="21"/>
  <c r="EM386" i="21"/>
  <c r="EP386" i="21" s="1"/>
  <c r="EQ386" i="21" s="1"/>
  <c r="AP389" i="21"/>
  <c r="AT388" i="21"/>
  <c r="AQ388" i="21"/>
  <c r="AR387" i="21"/>
  <c r="AU387" i="21"/>
  <c r="ES385" i="21"/>
  <c r="ER385" i="21"/>
  <c r="DQ384" i="21"/>
  <c r="DR384" i="21" s="1"/>
  <c r="FK382" i="21"/>
  <c r="FM382" i="21" s="1"/>
  <c r="DE382" i="21"/>
  <c r="AD382" i="21"/>
  <c r="DU387" i="21"/>
  <c r="AV387" i="21"/>
  <c r="AW387" i="21" s="1"/>
  <c r="DM384" i="5"/>
  <c r="CK384" i="5"/>
  <c r="AO388" i="5"/>
  <c r="AL388" i="5"/>
  <c r="EQ385" i="5"/>
  <c r="ER385" i="5" s="1"/>
  <c r="AN389" i="5"/>
  <c r="AK389" i="5"/>
  <c r="DH387" i="5"/>
  <c r="EG387" i="5"/>
  <c r="EJ387" i="5" s="1"/>
  <c r="EK387" i="5" s="1"/>
  <c r="DK385" i="5"/>
  <c r="DL385" i="5" s="1"/>
  <c r="EM386" i="5"/>
  <c r="EL386" i="5"/>
  <c r="CY383" i="5"/>
  <c r="FE383" i="5"/>
  <c r="FG383" i="5" s="1"/>
  <c r="DO388" i="5"/>
  <c r="AP388" i="5"/>
  <c r="AQ388" i="5" s="1"/>
  <c r="DJ386" i="5"/>
  <c r="DI386" i="5"/>
  <c r="AJ390" i="5"/>
  <c r="X383" i="5"/>
  <c r="CQ384" i="21" l="1"/>
  <c r="DS384" i="21"/>
  <c r="AU388" i="21"/>
  <c r="AR388" i="21"/>
  <c r="EW385" i="21"/>
  <c r="EX385" i="21" s="1"/>
  <c r="ES386" i="21"/>
  <c r="ER386" i="21"/>
  <c r="DQ385" i="21"/>
  <c r="DR385" i="21" s="1"/>
  <c r="DN387" i="21"/>
  <c r="EM387" i="21"/>
  <c r="EP387" i="21" s="1"/>
  <c r="EQ387" i="21" s="1"/>
  <c r="AT389" i="21"/>
  <c r="AP390" i="21"/>
  <c r="AQ389" i="21"/>
  <c r="DU388" i="21"/>
  <c r="AV388" i="21"/>
  <c r="AW388" i="21" s="1"/>
  <c r="DP386" i="21"/>
  <c r="DO386" i="21"/>
  <c r="FK383" i="21"/>
  <c r="FM383" i="21" s="1"/>
  <c r="DE383" i="21"/>
  <c r="AD383" i="21"/>
  <c r="DM385" i="5"/>
  <c r="CK385" i="5"/>
  <c r="EQ386" i="5"/>
  <c r="ER386" i="5" s="1"/>
  <c r="AN390" i="5"/>
  <c r="AK390" i="5"/>
  <c r="AO389" i="5"/>
  <c r="AL389" i="5"/>
  <c r="EL387" i="5"/>
  <c r="EM387" i="5"/>
  <c r="CS384" i="5"/>
  <c r="FE384" i="5"/>
  <c r="FG384" i="5" s="1"/>
  <c r="DO389" i="5"/>
  <c r="AP389" i="5"/>
  <c r="AQ389" i="5" s="1"/>
  <c r="DK386" i="5"/>
  <c r="DL386" i="5" s="1"/>
  <c r="DH388" i="5"/>
  <c r="EG388" i="5"/>
  <c r="EJ388" i="5" s="1"/>
  <c r="EK388" i="5" s="1"/>
  <c r="DJ387" i="5"/>
  <c r="DI387" i="5"/>
  <c r="X384" i="5"/>
  <c r="AJ391" i="5"/>
  <c r="DS385" i="21" l="1"/>
  <c r="CQ385" i="21"/>
  <c r="DQ386" i="21"/>
  <c r="DR386" i="21" s="1"/>
  <c r="DN388" i="21"/>
  <c r="EM388" i="21"/>
  <c r="EP388" i="21" s="1"/>
  <c r="EQ388" i="21" s="1"/>
  <c r="DU389" i="21"/>
  <c r="AV389" i="21"/>
  <c r="AW389" i="21" s="1"/>
  <c r="AR389" i="21"/>
  <c r="AU389" i="21"/>
  <c r="EW386" i="21"/>
  <c r="EX386" i="21" s="1"/>
  <c r="AT390" i="21"/>
  <c r="AP391" i="21"/>
  <c r="AQ390" i="21"/>
  <c r="DP387" i="21"/>
  <c r="DO387" i="21"/>
  <c r="ES387" i="21"/>
  <c r="ER387" i="21"/>
  <c r="DE384" i="21"/>
  <c r="AD384" i="21"/>
  <c r="FK384" i="21"/>
  <c r="FM384" i="21" s="1"/>
  <c r="DM386" i="5"/>
  <c r="CK386" i="5"/>
  <c r="AO390" i="5"/>
  <c r="AL390" i="5"/>
  <c r="AN391" i="5"/>
  <c r="AK391" i="5"/>
  <c r="DK387" i="5"/>
  <c r="DL387" i="5" s="1"/>
  <c r="DO390" i="5"/>
  <c r="AP390" i="5"/>
  <c r="AQ390" i="5" s="1"/>
  <c r="EL388" i="5"/>
  <c r="EM388" i="5"/>
  <c r="FE385" i="5"/>
  <c r="FG385" i="5" s="1"/>
  <c r="CS385" i="5"/>
  <c r="DH389" i="5"/>
  <c r="EG389" i="5"/>
  <c r="EJ389" i="5" s="1"/>
  <c r="EK389" i="5" s="1"/>
  <c r="DI388" i="5"/>
  <c r="DJ388" i="5"/>
  <c r="EQ387" i="5"/>
  <c r="ER387" i="5" s="1"/>
  <c r="X385" i="5"/>
  <c r="X386" i="5"/>
  <c r="AJ392" i="5"/>
  <c r="DS386" i="21" l="1"/>
  <c r="CQ386" i="21"/>
  <c r="DU390" i="21"/>
  <c r="AV390" i="21"/>
  <c r="AW390" i="21" s="1"/>
  <c r="EW387" i="21"/>
  <c r="EX387" i="21" s="1"/>
  <c r="DQ387" i="21"/>
  <c r="DR387" i="21" s="1"/>
  <c r="DN389" i="21"/>
  <c r="EM389" i="21"/>
  <c r="EP389" i="21" s="1"/>
  <c r="EQ389" i="21" s="1"/>
  <c r="DP388" i="21"/>
  <c r="DO388" i="21"/>
  <c r="AU390" i="21"/>
  <c r="AR390" i="21"/>
  <c r="FK385" i="21"/>
  <c r="FM385" i="21" s="1"/>
  <c r="CY385" i="21"/>
  <c r="AD385" i="21"/>
  <c r="AP392" i="21"/>
  <c r="AT391" i="21"/>
  <c r="AQ391" i="21"/>
  <c r="ES388" i="21"/>
  <c r="ER388" i="21"/>
  <c r="DM387" i="5"/>
  <c r="CK387" i="5"/>
  <c r="DI389" i="5"/>
  <c r="DJ389" i="5"/>
  <c r="EM389" i="5"/>
  <c r="EL389" i="5"/>
  <c r="AL391" i="5"/>
  <c r="AO391" i="5"/>
  <c r="AN392" i="5"/>
  <c r="AK392" i="5"/>
  <c r="EQ388" i="5"/>
  <c r="ER388" i="5" s="1"/>
  <c r="DO391" i="5"/>
  <c r="AP391" i="5"/>
  <c r="AQ391" i="5" s="1"/>
  <c r="FE386" i="5"/>
  <c r="FG386" i="5" s="1"/>
  <c r="CY386" i="5"/>
  <c r="DK388" i="5"/>
  <c r="DL388" i="5" s="1"/>
  <c r="DH390" i="5"/>
  <c r="EG390" i="5"/>
  <c r="EJ390" i="5" s="1"/>
  <c r="EK390" i="5" s="1"/>
  <c r="X387" i="5"/>
  <c r="AJ393" i="5"/>
  <c r="DS387" i="21" l="1"/>
  <c r="CQ387" i="21"/>
  <c r="DU391" i="21"/>
  <c r="AV391" i="21"/>
  <c r="AW391" i="21" s="1"/>
  <c r="AP393" i="21"/>
  <c r="AT392" i="21"/>
  <c r="AQ392" i="21"/>
  <c r="DO389" i="21"/>
  <c r="DP389" i="21"/>
  <c r="AU391" i="21"/>
  <c r="AR391" i="21"/>
  <c r="DQ388" i="21"/>
  <c r="DR388" i="21" s="1"/>
  <c r="EW388" i="21"/>
  <c r="EX388" i="21" s="1"/>
  <c r="AD386" i="21"/>
  <c r="FK386" i="21"/>
  <c r="FM386" i="21" s="1"/>
  <c r="CY386" i="21"/>
  <c r="ES389" i="21"/>
  <c r="ER389" i="21"/>
  <c r="DN390" i="21"/>
  <c r="EM390" i="21"/>
  <c r="EP390" i="21" s="1"/>
  <c r="EQ390" i="21" s="1"/>
  <c r="DO392" i="5"/>
  <c r="AP392" i="5"/>
  <c r="AQ392" i="5" s="1"/>
  <c r="AN393" i="5"/>
  <c r="AK393" i="5"/>
  <c r="DM388" i="5"/>
  <c r="CK388" i="5"/>
  <c r="EQ389" i="5"/>
  <c r="ER389" i="5" s="1"/>
  <c r="EL390" i="5"/>
  <c r="EM390" i="5"/>
  <c r="DH391" i="5"/>
  <c r="EG391" i="5"/>
  <c r="EJ391" i="5" s="1"/>
  <c r="EK391" i="5" s="1"/>
  <c r="DJ390" i="5"/>
  <c r="DI390" i="5"/>
  <c r="DK389" i="5"/>
  <c r="DL389" i="5" s="1"/>
  <c r="AO392" i="5"/>
  <c r="AL392" i="5"/>
  <c r="CY387" i="5"/>
  <c r="FE387" i="5"/>
  <c r="FG387" i="5" s="1"/>
  <c r="AJ394" i="5"/>
  <c r="DS388" i="21" l="1"/>
  <c r="CQ388" i="21"/>
  <c r="EW389" i="21"/>
  <c r="EX389" i="21" s="1"/>
  <c r="DO390" i="21"/>
  <c r="DP390" i="21"/>
  <c r="AU392" i="21"/>
  <c r="AR392" i="21"/>
  <c r="AP394" i="21"/>
  <c r="AT393" i="21"/>
  <c r="AQ393" i="21"/>
  <c r="ER390" i="21"/>
  <c r="ES390" i="21"/>
  <c r="DN391" i="21"/>
  <c r="EM391" i="21"/>
  <c r="EP391" i="21" s="1"/>
  <c r="EQ391" i="21" s="1"/>
  <c r="DQ389" i="21"/>
  <c r="DR389" i="21" s="1"/>
  <c r="FK387" i="21"/>
  <c r="FM387" i="21" s="1"/>
  <c r="AD387" i="21"/>
  <c r="DE387" i="21"/>
  <c r="DU392" i="21"/>
  <c r="AV392" i="21"/>
  <c r="AW392" i="21" s="1"/>
  <c r="DM389" i="5"/>
  <c r="CK389" i="5"/>
  <c r="DK390" i="5"/>
  <c r="DL390" i="5" s="1"/>
  <c r="CY388" i="5"/>
  <c r="FE388" i="5"/>
  <c r="FG388" i="5" s="1"/>
  <c r="EL391" i="5"/>
  <c r="EM391" i="5"/>
  <c r="DJ391" i="5"/>
  <c r="DI391" i="5"/>
  <c r="DO393" i="5"/>
  <c r="AP393" i="5"/>
  <c r="AQ393" i="5" s="1"/>
  <c r="AN394" i="5"/>
  <c r="AK394" i="5"/>
  <c r="AL393" i="5"/>
  <c r="AO393" i="5"/>
  <c r="EQ390" i="5"/>
  <c r="ER390" i="5" s="1"/>
  <c r="DH392" i="5"/>
  <c r="EG392" i="5"/>
  <c r="EJ392" i="5" s="1"/>
  <c r="EK392" i="5" s="1"/>
  <c r="AJ395" i="5"/>
  <c r="DS389" i="21" l="1"/>
  <c r="CQ389" i="21"/>
  <c r="EW390" i="21"/>
  <c r="EX390" i="21" s="1"/>
  <c r="DN392" i="21"/>
  <c r="EM392" i="21"/>
  <c r="EP392" i="21" s="1"/>
  <c r="EQ392" i="21" s="1"/>
  <c r="DP391" i="21"/>
  <c r="DO391" i="21"/>
  <c r="DQ390" i="21"/>
  <c r="DR390" i="21" s="1"/>
  <c r="DU393" i="21"/>
  <c r="AV393" i="21"/>
  <c r="AW393" i="21" s="1"/>
  <c r="AU393" i="21"/>
  <c r="AR393" i="21"/>
  <c r="ES391" i="21"/>
  <c r="ER391" i="21"/>
  <c r="DE388" i="21"/>
  <c r="AD388" i="21"/>
  <c r="FK388" i="21"/>
  <c r="FM388" i="21" s="1"/>
  <c r="AP395" i="21"/>
  <c r="AT394" i="21"/>
  <c r="AQ394" i="21"/>
  <c r="DM390" i="5"/>
  <c r="CK390" i="5"/>
  <c r="EQ391" i="5"/>
  <c r="ER391" i="5" s="1"/>
  <c r="AL394" i="5"/>
  <c r="AO394" i="5"/>
  <c r="DO394" i="5"/>
  <c r="AP394" i="5"/>
  <c r="AQ394" i="5" s="1"/>
  <c r="DI392" i="5"/>
  <c r="DJ392" i="5"/>
  <c r="DH393" i="5"/>
  <c r="EG393" i="5"/>
  <c r="EJ393" i="5" s="1"/>
  <c r="EK393" i="5" s="1"/>
  <c r="AN395" i="5"/>
  <c r="AK395" i="5"/>
  <c r="DK391" i="5"/>
  <c r="DL391" i="5" s="1"/>
  <c r="FE389" i="5"/>
  <c r="FG389" i="5" s="1"/>
  <c r="CS389" i="5"/>
  <c r="EL392" i="5"/>
  <c r="EM392" i="5"/>
  <c r="X388" i="5"/>
  <c r="AJ396" i="5"/>
  <c r="X389" i="5"/>
  <c r="CQ390" i="21" l="1"/>
  <c r="DS390" i="21"/>
  <c r="EW391" i="21"/>
  <c r="EX391" i="21" s="1"/>
  <c r="DN393" i="21"/>
  <c r="EM393" i="21"/>
  <c r="EP393" i="21" s="1"/>
  <c r="EQ393" i="21" s="1"/>
  <c r="AR394" i="21"/>
  <c r="AU394" i="21"/>
  <c r="AT395" i="21"/>
  <c r="AP396" i="21"/>
  <c r="AQ395" i="21"/>
  <c r="ES392" i="21"/>
  <c r="ER392" i="21"/>
  <c r="DQ391" i="21"/>
  <c r="DR391" i="21" s="1"/>
  <c r="DU394" i="21"/>
  <c r="AV394" i="21"/>
  <c r="AW394" i="21" s="1"/>
  <c r="DP392" i="21"/>
  <c r="DO392" i="21"/>
  <c r="AD389" i="21"/>
  <c r="DE389" i="21"/>
  <c r="FK389" i="21"/>
  <c r="FM389" i="21" s="1"/>
  <c r="DM391" i="5"/>
  <c r="CK391" i="5"/>
  <c r="AL395" i="5"/>
  <c r="AO395" i="5"/>
  <c r="DO395" i="5"/>
  <c r="AP395" i="5"/>
  <c r="AQ395" i="5" s="1"/>
  <c r="EM393" i="5"/>
  <c r="EL393" i="5"/>
  <c r="DJ393" i="5"/>
  <c r="DI393" i="5"/>
  <c r="DH394" i="5"/>
  <c r="EG394" i="5"/>
  <c r="EJ394" i="5" s="1"/>
  <c r="EK394" i="5" s="1"/>
  <c r="AN396" i="5"/>
  <c r="AK396" i="5"/>
  <c r="EQ392" i="5"/>
  <c r="ER392" i="5" s="1"/>
  <c r="FE390" i="5"/>
  <c r="FG390" i="5" s="1"/>
  <c r="CS390" i="5"/>
  <c r="DK392" i="5"/>
  <c r="DL392" i="5" s="1"/>
  <c r="X390" i="5"/>
  <c r="AJ397" i="5"/>
  <c r="DS391" i="21" l="1"/>
  <c r="CQ391" i="21"/>
  <c r="EW392" i="21"/>
  <c r="EX392" i="21" s="1"/>
  <c r="DO393" i="21"/>
  <c r="DP393" i="21"/>
  <c r="DN394" i="21"/>
  <c r="EM394" i="21"/>
  <c r="EP394" i="21" s="1"/>
  <c r="EQ394" i="21" s="1"/>
  <c r="DU395" i="21"/>
  <c r="AV395" i="21"/>
  <c r="AW395" i="21" s="1"/>
  <c r="DQ392" i="21"/>
  <c r="DR392" i="21" s="1"/>
  <c r="AU395" i="21"/>
  <c r="AR395" i="21"/>
  <c r="AP397" i="21"/>
  <c r="AT396" i="21"/>
  <c r="AQ396" i="21"/>
  <c r="ES393" i="21"/>
  <c r="ER393" i="21"/>
  <c r="DE390" i="21"/>
  <c r="FK390" i="21"/>
  <c r="FM390" i="21" s="1"/>
  <c r="AD390" i="21"/>
  <c r="DM392" i="5"/>
  <c r="CK392" i="5"/>
  <c r="X392" i="5" s="1"/>
  <c r="DO396" i="5"/>
  <c r="AP396" i="5"/>
  <c r="AQ396" i="5" s="1"/>
  <c r="AO396" i="5"/>
  <c r="AL396" i="5"/>
  <c r="EM394" i="5"/>
  <c r="EL394" i="5"/>
  <c r="DH395" i="5"/>
  <c r="EG395" i="5"/>
  <c r="EJ395" i="5" s="1"/>
  <c r="EK395" i="5" s="1"/>
  <c r="DI394" i="5"/>
  <c r="DJ394" i="5"/>
  <c r="AN397" i="5"/>
  <c r="AK397" i="5"/>
  <c r="DK393" i="5"/>
  <c r="DL393" i="5" s="1"/>
  <c r="CY391" i="5"/>
  <c r="FE391" i="5"/>
  <c r="FG391" i="5" s="1"/>
  <c r="EQ393" i="5"/>
  <c r="ER393" i="5" s="1"/>
  <c r="X391" i="5"/>
  <c r="AJ398" i="5"/>
  <c r="DS392" i="21" l="1"/>
  <c r="CQ392" i="21"/>
  <c r="DU396" i="21"/>
  <c r="AV396" i="21"/>
  <c r="AW396" i="21" s="1"/>
  <c r="EW393" i="21"/>
  <c r="EX393" i="21" s="1"/>
  <c r="DO394" i="21"/>
  <c r="DP394" i="21"/>
  <c r="AP398" i="21"/>
  <c r="AT397" i="21"/>
  <c r="AQ397" i="21"/>
  <c r="DQ393" i="21"/>
  <c r="DR393" i="21" s="1"/>
  <c r="ES394" i="21"/>
  <c r="ER394" i="21"/>
  <c r="DN395" i="21"/>
  <c r="EM395" i="21"/>
  <c r="EP395" i="21" s="1"/>
  <c r="EQ395" i="21" s="1"/>
  <c r="CY391" i="21"/>
  <c r="AD391" i="21"/>
  <c r="FK391" i="21"/>
  <c r="FM391" i="21" s="1"/>
  <c r="AR396" i="21"/>
  <c r="AU396" i="21"/>
  <c r="DM393" i="5"/>
  <c r="CK393" i="5"/>
  <c r="EQ394" i="5"/>
  <c r="ER394" i="5" s="1"/>
  <c r="AL397" i="5"/>
  <c r="AO397" i="5"/>
  <c r="DO397" i="5"/>
  <c r="AP397" i="5"/>
  <c r="AQ397" i="5" s="1"/>
  <c r="AN398" i="5"/>
  <c r="AK398" i="5"/>
  <c r="DK394" i="5"/>
  <c r="DL394" i="5" s="1"/>
  <c r="DH396" i="5"/>
  <c r="EG396" i="5"/>
  <c r="EJ396" i="5" s="1"/>
  <c r="EK396" i="5" s="1"/>
  <c r="EL395" i="5"/>
  <c r="EM395" i="5"/>
  <c r="FE392" i="5"/>
  <c r="FG392" i="5" s="1"/>
  <c r="CY392" i="5"/>
  <c r="DJ395" i="5"/>
  <c r="DI395" i="5"/>
  <c r="AJ399" i="5"/>
  <c r="CQ393" i="21" l="1"/>
  <c r="DS393" i="21"/>
  <c r="AR397" i="21"/>
  <c r="AU397" i="21"/>
  <c r="AT398" i="21"/>
  <c r="AP399" i="21"/>
  <c r="AQ398" i="21"/>
  <c r="DQ394" i="21"/>
  <c r="DR394" i="21" s="1"/>
  <c r="ES395" i="21"/>
  <c r="ER395" i="21"/>
  <c r="EW394" i="21"/>
  <c r="EX394" i="21" s="1"/>
  <c r="DP395" i="21"/>
  <c r="DO395" i="21"/>
  <c r="DN396" i="21"/>
  <c r="EM396" i="21"/>
  <c r="EP396" i="21" s="1"/>
  <c r="EQ396" i="21" s="1"/>
  <c r="FK392" i="21"/>
  <c r="FM392" i="21" s="1"/>
  <c r="CY392" i="21"/>
  <c r="AD392" i="21"/>
  <c r="DU397" i="21"/>
  <c r="AV397" i="21"/>
  <c r="AW397" i="21" s="1"/>
  <c r="DM394" i="5"/>
  <c r="CK394" i="5"/>
  <c r="DH397" i="5"/>
  <c r="EG397" i="5"/>
  <c r="EJ397" i="5" s="1"/>
  <c r="EK397" i="5" s="1"/>
  <c r="DI396" i="5"/>
  <c r="DJ396" i="5"/>
  <c r="EQ395" i="5"/>
  <c r="ER395" i="5" s="1"/>
  <c r="EL396" i="5"/>
  <c r="EM396" i="5"/>
  <c r="AN399" i="5"/>
  <c r="AK399" i="5"/>
  <c r="DK395" i="5"/>
  <c r="DL395" i="5" s="1"/>
  <c r="AL398" i="5"/>
  <c r="AO398" i="5"/>
  <c r="FE393" i="5"/>
  <c r="FG393" i="5" s="1"/>
  <c r="CY393" i="5"/>
  <c r="DO398" i="5"/>
  <c r="AP398" i="5"/>
  <c r="AQ398" i="5" s="1"/>
  <c r="X393" i="5"/>
  <c r="AJ400" i="5"/>
  <c r="DS394" i="21" l="1"/>
  <c r="CQ394" i="21"/>
  <c r="DN397" i="21"/>
  <c r="EM397" i="21"/>
  <c r="EP397" i="21" s="1"/>
  <c r="EQ397" i="21" s="1"/>
  <c r="DP396" i="21"/>
  <c r="DO396" i="21"/>
  <c r="EW395" i="21"/>
  <c r="EX395" i="21" s="1"/>
  <c r="ER396" i="21"/>
  <c r="ES396" i="21"/>
  <c r="DQ395" i="21"/>
  <c r="DR395" i="21" s="1"/>
  <c r="AU398" i="21"/>
  <c r="AR398" i="21"/>
  <c r="AP400" i="21"/>
  <c r="AT399" i="21"/>
  <c r="AQ399" i="21"/>
  <c r="DU398" i="21"/>
  <c r="AV398" i="21"/>
  <c r="AW398" i="21" s="1"/>
  <c r="AD393" i="21"/>
  <c r="CY393" i="21"/>
  <c r="FK393" i="21"/>
  <c r="FM393" i="21" s="1"/>
  <c r="DM395" i="5"/>
  <c r="CK395" i="5"/>
  <c r="DK396" i="5"/>
  <c r="DL396" i="5" s="1"/>
  <c r="AN400" i="5"/>
  <c r="AK400" i="5"/>
  <c r="AL399" i="5"/>
  <c r="AO399" i="5"/>
  <c r="EL397" i="5"/>
  <c r="EM397" i="5"/>
  <c r="DO399" i="5"/>
  <c r="AP399" i="5"/>
  <c r="AQ399" i="5" s="1"/>
  <c r="DI397" i="5"/>
  <c r="DJ397" i="5"/>
  <c r="DH398" i="5"/>
  <c r="EG398" i="5"/>
  <c r="EJ398" i="5" s="1"/>
  <c r="EK398" i="5" s="1"/>
  <c r="FE394" i="5"/>
  <c r="FG394" i="5" s="1"/>
  <c r="CY394" i="5"/>
  <c r="EQ396" i="5"/>
  <c r="ER396" i="5" s="1"/>
  <c r="AJ401" i="5"/>
  <c r="X394" i="5"/>
  <c r="DS395" i="21" l="1"/>
  <c r="CQ395" i="21"/>
  <c r="DQ396" i="21"/>
  <c r="DR396" i="21" s="1"/>
  <c r="AT400" i="21"/>
  <c r="AP401" i="21"/>
  <c r="AQ400" i="21"/>
  <c r="ER397" i="21"/>
  <c r="ES397" i="21"/>
  <c r="DN398" i="21"/>
  <c r="EM398" i="21"/>
  <c r="EP398" i="21" s="1"/>
  <c r="EQ398" i="21" s="1"/>
  <c r="DP397" i="21"/>
  <c r="DO397" i="21"/>
  <c r="AR399" i="21"/>
  <c r="AU399" i="21"/>
  <c r="EW396" i="21"/>
  <c r="EX396" i="21" s="1"/>
  <c r="FK394" i="21"/>
  <c r="FM394" i="21" s="1"/>
  <c r="AD394" i="21"/>
  <c r="DE394" i="21"/>
  <c r="DU399" i="21"/>
  <c r="AV399" i="21"/>
  <c r="AW399" i="21" s="1"/>
  <c r="DM396" i="5"/>
  <c r="CK396" i="5"/>
  <c r="EL398" i="5"/>
  <c r="EM398" i="5"/>
  <c r="AO400" i="5"/>
  <c r="AL400" i="5"/>
  <c r="DO400" i="5"/>
  <c r="AP400" i="5"/>
  <c r="AQ400" i="5" s="1"/>
  <c r="DK397" i="5"/>
  <c r="DL397" i="5" s="1"/>
  <c r="AN401" i="5"/>
  <c r="AK401" i="5"/>
  <c r="DI398" i="5"/>
  <c r="DJ398" i="5"/>
  <c r="DH399" i="5"/>
  <c r="EG399" i="5"/>
  <c r="EJ399" i="5" s="1"/>
  <c r="EK399" i="5" s="1"/>
  <c r="CS395" i="5"/>
  <c r="FE395" i="5"/>
  <c r="FG395" i="5" s="1"/>
  <c r="EQ397" i="5"/>
  <c r="ER397" i="5" s="1"/>
  <c r="AJ402" i="5"/>
  <c r="X395" i="5"/>
  <c r="DS396" i="21" l="1"/>
  <c r="CQ396" i="21"/>
  <c r="ES398" i="21"/>
  <c r="ER398" i="21"/>
  <c r="AU400" i="21"/>
  <c r="AR400" i="21"/>
  <c r="DP398" i="21"/>
  <c r="DO398" i="21"/>
  <c r="DQ397" i="21"/>
  <c r="DR397" i="21" s="1"/>
  <c r="AD395" i="21"/>
  <c r="FK395" i="21"/>
  <c r="FM395" i="21" s="1"/>
  <c r="DE395" i="21"/>
  <c r="DN399" i="21"/>
  <c r="EM399" i="21"/>
  <c r="EP399" i="21" s="1"/>
  <c r="EQ399" i="21" s="1"/>
  <c r="EW397" i="21"/>
  <c r="EX397" i="21" s="1"/>
  <c r="AT401" i="21"/>
  <c r="AP402" i="21"/>
  <c r="AQ401" i="21"/>
  <c r="DU400" i="21"/>
  <c r="AV400" i="21"/>
  <c r="AW400" i="21" s="1"/>
  <c r="DM397" i="5"/>
  <c r="CK397" i="5"/>
  <c r="EL399" i="5"/>
  <c r="EM399" i="5"/>
  <c r="DJ399" i="5"/>
  <c r="DI399" i="5"/>
  <c r="DK398" i="5"/>
  <c r="DL398" i="5" s="1"/>
  <c r="AL401" i="5"/>
  <c r="AO401" i="5"/>
  <c r="DO401" i="5"/>
  <c r="AP401" i="5"/>
  <c r="AQ401" i="5" s="1"/>
  <c r="FE396" i="5"/>
  <c r="FG396" i="5" s="1"/>
  <c r="CS396" i="5"/>
  <c r="DH400" i="5"/>
  <c r="EG400" i="5"/>
  <c r="EJ400" i="5" s="1"/>
  <c r="EK400" i="5" s="1"/>
  <c r="AN402" i="5"/>
  <c r="AK402" i="5"/>
  <c r="EQ398" i="5"/>
  <c r="ER398" i="5" s="1"/>
  <c r="X396" i="5"/>
  <c r="AJ403" i="5"/>
  <c r="DS397" i="21" l="1"/>
  <c r="CQ397" i="21"/>
  <c r="EM400" i="21"/>
  <c r="EP400" i="21" s="1"/>
  <c r="EQ400" i="21" s="1"/>
  <c r="DN400" i="21"/>
  <c r="ES399" i="21"/>
  <c r="ER399" i="21"/>
  <c r="DU401" i="21"/>
  <c r="AV401" i="21"/>
  <c r="AW401" i="21" s="1"/>
  <c r="EW398" i="21"/>
  <c r="EX398" i="21" s="1"/>
  <c r="AT402" i="21"/>
  <c r="AP403" i="21"/>
  <c r="AQ402" i="21"/>
  <c r="DQ398" i="21"/>
  <c r="DR398" i="21" s="1"/>
  <c r="AD396" i="21"/>
  <c r="CY396" i="21"/>
  <c r="FK396" i="21"/>
  <c r="FM396" i="21" s="1"/>
  <c r="AR401" i="21"/>
  <c r="AU401" i="21"/>
  <c r="DO399" i="21"/>
  <c r="DP399" i="21"/>
  <c r="DM398" i="5"/>
  <c r="CK398" i="5"/>
  <c r="AN403" i="5"/>
  <c r="AK403" i="5"/>
  <c r="DK399" i="5"/>
  <c r="DL399" i="5" s="1"/>
  <c r="DI400" i="5"/>
  <c r="DJ400" i="5"/>
  <c r="DH401" i="5"/>
  <c r="EG401" i="5"/>
  <c r="EJ401" i="5" s="1"/>
  <c r="EK401" i="5" s="1"/>
  <c r="EQ399" i="5"/>
  <c r="ER399" i="5" s="1"/>
  <c r="EL400" i="5"/>
  <c r="EM400" i="5"/>
  <c r="AL402" i="5"/>
  <c r="AO402" i="5"/>
  <c r="FE397" i="5"/>
  <c r="FG397" i="5" s="1"/>
  <c r="CS397" i="5"/>
  <c r="DO402" i="5"/>
  <c r="AP402" i="5"/>
  <c r="AQ402" i="5" s="1"/>
  <c r="X397" i="5"/>
  <c r="AJ404" i="5"/>
  <c r="DS398" i="21" l="1"/>
  <c r="CQ398" i="21"/>
  <c r="AU402" i="21"/>
  <c r="AR402" i="21"/>
  <c r="AT403" i="21"/>
  <c r="AP404" i="21"/>
  <c r="AQ403" i="21"/>
  <c r="EW399" i="21"/>
  <c r="EX399" i="21" s="1"/>
  <c r="DP400" i="21"/>
  <c r="DO400" i="21"/>
  <c r="ES400" i="21"/>
  <c r="ER400" i="21"/>
  <c r="DQ399" i="21"/>
  <c r="DR399" i="21" s="1"/>
  <c r="DU402" i="21"/>
  <c r="AV402" i="21"/>
  <c r="AW402" i="21" s="1"/>
  <c r="DN401" i="21"/>
  <c r="EM401" i="21"/>
  <c r="EP401" i="21" s="1"/>
  <c r="EQ401" i="21" s="1"/>
  <c r="FK397" i="21"/>
  <c r="FM397" i="21" s="1"/>
  <c r="DE397" i="21"/>
  <c r="AD397" i="21"/>
  <c r="DM399" i="5"/>
  <c r="CK399" i="5"/>
  <c r="DK400" i="5"/>
  <c r="DL400" i="5" s="1"/>
  <c r="AN404" i="5"/>
  <c r="AK404" i="5"/>
  <c r="EQ400" i="5"/>
  <c r="ER400" i="5" s="1"/>
  <c r="AL403" i="5"/>
  <c r="AO403" i="5"/>
  <c r="DH402" i="5"/>
  <c r="EG402" i="5"/>
  <c r="EJ402" i="5" s="1"/>
  <c r="EK402" i="5" s="1"/>
  <c r="DO403" i="5"/>
  <c r="AP403" i="5"/>
  <c r="AQ403" i="5" s="1"/>
  <c r="EM401" i="5"/>
  <c r="EL401" i="5"/>
  <c r="FE398" i="5"/>
  <c r="FG398" i="5" s="1"/>
  <c r="CY398" i="5"/>
  <c r="DI401" i="5"/>
  <c r="DJ401" i="5"/>
  <c r="X398" i="5"/>
  <c r="AJ405" i="5"/>
  <c r="DS399" i="21" l="1"/>
  <c r="CQ399" i="21"/>
  <c r="DO401" i="21"/>
  <c r="DP401" i="21"/>
  <c r="ER401" i="21"/>
  <c r="ES401" i="21"/>
  <c r="EW400" i="21"/>
  <c r="EX400" i="21" s="1"/>
  <c r="DN402" i="21"/>
  <c r="EM402" i="21"/>
  <c r="EP402" i="21" s="1"/>
  <c r="EQ402" i="21" s="1"/>
  <c r="AP405" i="21"/>
  <c r="AT404" i="21"/>
  <c r="AQ404" i="21"/>
  <c r="AU403" i="21"/>
  <c r="AR403" i="21"/>
  <c r="DQ400" i="21"/>
  <c r="DR400" i="21" s="1"/>
  <c r="DU403" i="21"/>
  <c r="AV403" i="21"/>
  <c r="AW403" i="21" s="1"/>
  <c r="AD398" i="21"/>
  <c r="FK398" i="21"/>
  <c r="FM398" i="21" s="1"/>
  <c r="DE398" i="21"/>
  <c r="DM400" i="5"/>
  <c r="CK400" i="5"/>
  <c r="AO404" i="5"/>
  <c r="AL404" i="5"/>
  <c r="DO404" i="5"/>
  <c r="AP404" i="5"/>
  <c r="AQ404" i="5" s="1"/>
  <c r="EL402" i="5"/>
  <c r="EM402" i="5"/>
  <c r="DK401" i="5"/>
  <c r="DL401" i="5" s="1"/>
  <c r="DI402" i="5"/>
  <c r="DJ402" i="5"/>
  <c r="DH403" i="5"/>
  <c r="EG403" i="5"/>
  <c r="EJ403" i="5" s="1"/>
  <c r="EK403" i="5" s="1"/>
  <c r="AN405" i="5"/>
  <c r="AK405" i="5"/>
  <c r="CY399" i="5"/>
  <c r="FE399" i="5"/>
  <c r="FG399" i="5" s="1"/>
  <c r="EQ401" i="5"/>
  <c r="ER401" i="5" s="1"/>
  <c r="X399" i="5"/>
  <c r="X400" i="5"/>
  <c r="AJ406" i="5"/>
  <c r="DS400" i="21" l="1"/>
  <c r="CQ400" i="21"/>
  <c r="DU404" i="21"/>
  <c r="AV404" i="21"/>
  <c r="AW404" i="21" s="1"/>
  <c r="AU404" i="21"/>
  <c r="AR404" i="21"/>
  <c r="EW401" i="21"/>
  <c r="EX401" i="21" s="1"/>
  <c r="DN403" i="21"/>
  <c r="EM403" i="21"/>
  <c r="EP403" i="21" s="1"/>
  <c r="EQ403" i="21" s="1"/>
  <c r="AT405" i="21"/>
  <c r="AP406" i="21"/>
  <c r="AQ405" i="21"/>
  <c r="ES402" i="21"/>
  <c r="ER402" i="21"/>
  <c r="DQ401" i="21"/>
  <c r="DR401" i="21" s="1"/>
  <c r="FK399" i="21"/>
  <c r="FM399" i="21" s="1"/>
  <c r="AD399" i="21"/>
  <c r="CY399" i="21"/>
  <c r="DP402" i="21"/>
  <c r="DO402" i="21"/>
  <c r="DM401" i="5"/>
  <c r="CK401" i="5"/>
  <c r="EQ402" i="5"/>
  <c r="ER402" i="5" s="1"/>
  <c r="EM403" i="5"/>
  <c r="EL403" i="5"/>
  <c r="DH404" i="5"/>
  <c r="EG404" i="5"/>
  <c r="EJ404" i="5" s="1"/>
  <c r="EK404" i="5" s="1"/>
  <c r="DK402" i="5"/>
  <c r="DL402" i="5" s="1"/>
  <c r="AL405" i="5"/>
  <c r="AO405" i="5"/>
  <c r="FE400" i="5"/>
  <c r="FG400" i="5" s="1"/>
  <c r="CS400" i="5"/>
  <c r="DO405" i="5"/>
  <c r="AP405" i="5"/>
  <c r="AQ405" i="5" s="1"/>
  <c r="DJ403" i="5"/>
  <c r="DI403" i="5"/>
  <c r="AN406" i="5"/>
  <c r="AK406" i="5"/>
  <c r="AJ407" i="5"/>
  <c r="DS401" i="21" l="1"/>
  <c r="CQ401" i="21"/>
  <c r="DU405" i="21"/>
  <c r="AV405" i="21"/>
  <c r="AW405" i="21" s="1"/>
  <c r="EW402" i="21"/>
  <c r="EX402" i="21" s="1"/>
  <c r="ES403" i="21"/>
  <c r="ER403" i="21"/>
  <c r="AT406" i="21"/>
  <c r="AP407" i="21"/>
  <c r="AQ406" i="21"/>
  <c r="AU405" i="21"/>
  <c r="AR405" i="21"/>
  <c r="DN404" i="21"/>
  <c r="EM404" i="21"/>
  <c r="EP404" i="21" s="1"/>
  <c r="EQ404" i="21" s="1"/>
  <c r="DP403" i="21"/>
  <c r="DO403" i="21"/>
  <c r="FK400" i="21"/>
  <c r="FM400" i="21" s="1"/>
  <c r="AD400" i="21"/>
  <c r="DE400" i="21"/>
  <c r="DQ402" i="21"/>
  <c r="DR402" i="21" s="1"/>
  <c r="DM402" i="5"/>
  <c r="CK402" i="5"/>
  <c r="EQ403" i="5"/>
  <c r="ER403" i="5" s="1"/>
  <c r="DH405" i="5"/>
  <c r="EG405" i="5"/>
  <c r="EJ405" i="5" s="1"/>
  <c r="EK405" i="5" s="1"/>
  <c r="AL406" i="5"/>
  <c r="AO406" i="5"/>
  <c r="DI404" i="5"/>
  <c r="DJ404" i="5"/>
  <c r="DO406" i="5"/>
  <c r="AP406" i="5"/>
  <c r="AQ406" i="5" s="1"/>
  <c r="EL404" i="5"/>
  <c r="EM404" i="5"/>
  <c r="AN407" i="5"/>
  <c r="AK407" i="5"/>
  <c r="DK403" i="5"/>
  <c r="DL403" i="5" s="1"/>
  <c r="FE401" i="5"/>
  <c r="FG401" i="5" s="1"/>
  <c r="CY401" i="5"/>
  <c r="X401" i="5"/>
  <c r="AJ408" i="5"/>
  <c r="DS402" i="21" l="1"/>
  <c r="CQ402" i="21"/>
  <c r="ES404" i="21"/>
  <c r="ER404" i="21"/>
  <c r="AU406" i="21"/>
  <c r="AR406" i="21"/>
  <c r="AT407" i="21"/>
  <c r="AP408" i="21"/>
  <c r="AQ407" i="21"/>
  <c r="EW403" i="21"/>
  <c r="EX403" i="21" s="1"/>
  <c r="DO404" i="21"/>
  <c r="DP404" i="21"/>
  <c r="DU406" i="21"/>
  <c r="AV406" i="21"/>
  <c r="AW406" i="21" s="1"/>
  <c r="DN405" i="21"/>
  <c r="EM405" i="21"/>
  <c r="EP405" i="21" s="1"/>
  <c r="EQ405" i="21" s="1"/>
  <c r="DQ403" i="21"/>
  <c r="DR403" i="21" s="1"/>
  <c r="AD401" i="21"/>
  <c r="FK401" i="21"/>
  <c r="FM401" i="21" s="1"/>
  <c r="DE401" i="21"/>
  <c r="DM403" i="5"/>
  <c r="CK403" i="5"/>
  <c r="AL407" i="5"/>
  <c r="AO407" i="5"/>
  <c r="EM405" i="5"/>
  <c r="EL405" i="5"/>
  <c r="EQ404" i="5"/>
  <c r="ER404" i="5" s="1"/>
  <c r="DI405" i="5"/>
  <c r="DJ405" i="5"/>
  <c r="DH406" i="5"/>
  <c r="EG406" i="5"/>
  <c r="EJ406" i="5" s="1"/>
  <c r="EK406" i="5" s="1"/>
  <c r="AN408" i="5"/>
  <c r="AK408" i="5"/>
  <c r="FE402" i="5"/>
  <c r="FG402" i="5" s="1"/>
  <c r="CY402" i="5"/>
  <c r="DO407" i="5"/>
  <c r="AP407" i="5"/>
  <c r="AQ407" i="5" s="1"/>
  <c r="DK404" i="5"/>
  <c r="DL404" i="5" s="1"/>
  <c r="X402" i="5"/>
  <c r="AJ409" i="5"/>
  <c r="DS403" i="21" l="1"/>
  <c r="CQ403" i="21"/>
  <c r="DO405" i="21"/>
  <c r="DP405" i="21"/>
  <c r="ES405" i="21"/>
  <c r="ER405" i="21"/>
  <c r="DQ404" i="21"/>
  <c r="DR404" i="21" s="1"/>
  <c r="AR407" i="21"/>
  <c r="AU407" i="21"/>
  <c r="EW404" i="21"/>
  <c r="EX404" i="21" s="1"/>
  <c r="DU407" i="21"/>
  <c r="AV407" i="21"/>
  <c r="AW407" i="21" s="1"/>
  <c r="DN406" i="21"/>
  <c r="EM406" i="21"/>
  <c r="EP406" i="21" s="1"/>
  <c r="EQ406" i="21" s="1"/>
  <c r="AD402" i="21"/>
  <c r="CY402" i="21"/>
  <c r="FK402" i="21"/>
  <c r="FM402" i="21" s="1"/>
  <c r="AT408" i="21"/>
  <c r="AP409" i="21"/>
  <c r="AQ408" i="21"/>
  <c r="DK405" i="5"/>
  <c r="DL405" i="5" s="1"/>
  <c r="AN409" i="5"/>
  <c r="AK409" i="5"/>
  <c r="AO408" i="5"/>
  <c r="AL408" i="5"/>
  <c r="EQ405" i="5"/>
  <c r="ER405" i="5" s="1"/>
  <c r="DH407" i="5"/>
  <c r="EG407" i="5"/>
  <c r="EJ407" i="5" s="1"/>
  <c r="EK407" i="5" s="1"/>
  <c r="DO408" i="5"/>
  <c r="AP408" i="5"/>
  <c r="AQ408" i="5" s="1"/>
  <c r="EL406" i="5"/>
  <c r="EM406" i="5"/>
  <c r="DM404" i="5"/>
  <c r="CK404" i="5"/>
  <c r="DJ406" i="5"/>
  <c r="DI406" i="5"/>
  <c r="CS403" i="5"/>
  <c r="FE403" i="5"/>
  <c r="FG403" i="5" s="1"/>
  <c r="X403" i="5"/>
  <c r="AJ410" i="5"/>
  <c r="DS404" i="21" l="1"/>
  <c r="CQ404" i="21"/>
  <c r="AU408" i="21"/>
  <c r="AR408" i="21"/>
  <c r="DU408" i="21"/>
  <c r="AV408" i="21"/>
  <c r="AW408" i="21" s="1"/>
  <c r="AT409" i="21"/>
  <c r="AP410" i="21"/>
  <c r="AQ409" i="21"/>
  <c r="DN407" i="21"/>
  <c r="EM407" i="21"/>
  <c r="EP407" i="21" s="1"/>
  <c r="EQ407" i="21" s="1"/>
  <c r="ES406" i="21"/>
  <c r="ER406" i="21"/>
  <c r="DP406" i="21"/>
  <c r="DO406" i="21"/>
  <c r="EW405" i="21"/>
  <c r="EX405" i="21" s="1"/>
  <c r="DQ405" i="21"/>
  <c r="DR405" i="21" s="1"/>
  <c r="DE403" i="21"/>
  <c r="FK403" i="21"/>
  <c r="FM403" i="21" s="1"/>
  <c r="AD403" i="21"/>
  <c r="DM405" i="5"/>
  <c r="CK405" i="5"/>
  <c r="FE404" i="5"/>
  <c r="FG404" i="5" s="1"/>
  <c r="CY404" i="5"/>
  <c r="EL407" i="5"/>
  <c r="EM407" i="5"/>
  <c r="AN410" i="5"/>
  <c r="AK410" i="5"/>
  <c r="EQ406" i="5"/>
  <c r="ER406" i="5" s="1"/>
  <c r="DK406" i="5"/>
  <c r="DL406" i="5" s="1"/>
  <c r="DJ407" i="5"/>
  <c r="DI407" i="5"/>
  <c r="AL409" i="5"/>
  <c r="AO409" i="5"/>
  <c r="DH408" i="5"/>
  <c r="EG408" i="5"/>
  <c r="EJ408" i="5" s="1"/>
  <c r="EK408" i="5" s="1"/>
  <c r="DO409" i="5"/>
  <c r="AP409" i="5"/>
  <c r="AQ409" i="5" s="1"/>
  <c r="X404" i="5"/>
  <c r="AJ411" i="5"/>
  <c r="DS405" i="21" l="1"/>
  <c r="CQ405" i="21"/>
  <c r="DQ406" i="21"/>
  <c r="DR406" i="21" s="1"/>
  <c r="ER407" i="21"/>
  <c r="ES407" i="21"/>
  <c r="DU409" i="21"/>
  <c r="AV409" i="21"/>
  <c r="AW409" i="21" s="1"/>
  <c r="EW406" i="21"/>
  <c r="EX406" i="21" s="1"/>
  <c r="DN408" i="21"/>
  <c r="EM408" i="21"/>
  <c r="EP408" i="21" s="1"/>
  <c r="EQ408" i="21" s="1"/>
  <c r="DP407" i="21"/>
  <c r="DO407" i="21"/>
  <c r="AU409" i="21"/>
  <c r="AR409" i="21"/>
  <c r="AD404" i="21"/>
  <c r="FK404" i="21"/>
  <c r="FM404" i="21" s="1"/>
  <c r="DE404" i="21"/>
  <c r="AP411" i="21"/>
  <c r="AT410" i="21"/>
  <c r="AQ410" i="21"/>
  <c r="DM406" i="5"/>
  <c r="CK406" i="5"/>
  <c r="X406" i="5" s="1"/>
  <c r="AL410" i="5"/>
  <c r="AO410" i="5"/>
  <c r="AN411" i="5"/>
  <c r="AK411" i="5"/>
  <c r="DK407" i="5"/>
  <c r="DL407" i="5" s="1"/>
  <c r="EQ407" i="5"/>
  <c r="ER407" i="5" s="1"/>
  <c r="DO410" i="5"/>
  <c r="AP410" i="5"/>
  <c r="AQ410" i="5" s="1"/>
  <c r="DH409" i="5"/>
  <c r="EG409" i="5"/>
  <c r="EJ409" i="5" s="1"/>
  <c r="EK409" i="5" s="1"/>
  <c r="EL408" i="5"/>
  <c r="EM408" i="5"/>
  <c r="FE405" i="5"/>
  <c r="FG405" i="5" s="1"/>
  <c r="CY405" i="5"/>
  <c r="DI408" i="5"/>
  <c r="DJ408" i="5"/>
  <c r="X405" i="5"/>
  <c r="AJ412" i="5"/>
  <c r="DS406" i="21" l="1"/>
  <c r="CQ406" i="21"/>
  <c r="ES408" i="21"/>
  <c r="ER408" i="21"/>
  <c r="AR410" i="21"/>
  <c r="AU410" i="21"/>
  <c r="DQ407" i="21"/>
  <c r="DR407" i="21" s="1"/>
  <c r="DP408" i="21"/>
  <c r="DO408" i="21"/>
  <c r="DU410" i="21"/>
  <c r="AV410" i="21"/>
  <c r="AW410" i="21" s="1"/>
  <c r="EW407" i="21"/>
  <c r="EX407" i="21" s="1"/>
  <c r="DN409" i="21"/>
  <c r="EM409" i="21"/>
  <c r="EP409" i="21" s="1"/>
  <c r="EQ409" i="21" s="1"/>
  <c r="AT411" i="21"/>
  <c r="AP412" i="21"/>
  <c r="AQ411" i="21"/>
  <c r="CY405" i="21"/>
  <c r="FK405" i="21"/>
  <c r="FM405" i="21" s="1"/>
  <c r="AD405" i="21"/>
  <c r="DM407" i="5"/>
  <c r="CK407" i="5"/>
  <c r="EM409" i="5"/>
  <c r="EL409" i="5"/>
  <c r="DO411" i="5"/>
  <c r="AP411" i="5"/>
  <c r="AQ411" i="5" s="1"/>
  <c r="AL411" i="5"/>
  <c r="AO411" i="5"/>
  <c r="DH410" i="5"/>
  <c r="EG410" i="5"/>
  <c r="EJ410" i="5" s="1"/>
  <c r="EK410" i="5" s="1"/>
  <c r="EQ408" i="5"/>
  <c r="ER408" i="5" s="1"/>
  <c r="AN412" i="5"/>
  <c r="AK412" i="5"/>
  <c r="DK408" i="5"/>
  <c r="DL408" i="5" s="1"/>
  <c r="FE406" i="5"/>
  <c r="FG406" i="5" s="1"/>
  <c r="CS406" i="5"/>
  <c r="DI409" i="5"/>
  <c r="DJ409" i="5"/>
  <c r="X407" i="5"/>
  <c r="AJ413" i="5"/>
  <c r="DS407" i="21" l="1"/>
  <c r="CQ407" i="21"/>
  <c r="AU411" i="21"/>
  <c r="AR411" i="21"/>
  <c r="DN410" i="21"/>
  <c r="EM410" i="21"/>
  <c r="EP410" i="21" s="1"/>
  <c r="EQ410" i="21" s="1"/>
  <c r="DU411" i="21"/>
  <c r="AV411" i="21"/>
  <c r="AW411" i="21" s="1"/>
  <c r="ES409" i="21"/>
  <c r="ER409" i="21"/>
  <c r="DQ408" i="21"/>
  <c r="DR408" i="21" s="1"/>
  <c r="EW408" i="21"/>
  <c r="EX408" i="21" s="1"/>
  <c r="AT412" i="21"/>
  <c r="AP413" i="21"/>
  <c r="AQ412" i="21"/>
  <c r="DO409" i="21"/>
  <c r="DP409" i="21"/>
  <c r="FK406" i="21"/>
  <c r="FM406" i="21" s="1"/>
  <c r="DE406" i="21"/>
  <c r="AD406" i="21"/>
  <c r="DM408" i="5"/>
  <c r="CK408" i="5"/>
  <c r="AO412" i="5"/>
  <c r="AL412" i="5"/>
  <c r="DO412" i="5"/>
  <c r="AP412" i="5"/>
  <c r="AQ412" i="5" s="1"/>
  <c r="DH411" i="5"/>
  <c r="EG411" i="5"/>
  <c r="EJ411" i="5" s="1"/>
  <c r="EK411" i="5" s="1"/>
  <c r="DI410" i="5"/>
  <c r="DJ410" i="5"/>
  <c r="AN413" i="5"/>
  <c r="AK413" i="5"/>
  <c r="EQ409" i="5"/>
  <c r="ER409" i="5" s="1"/>
  <c r="DK409" i="5"/>
  <c r="DL409" i="5" s="1"/>
  <c r="EM410" i="5"/>
  <c r="EL410" i="5"/>
  <c r="CY407" i="5"/>
  <c r="FE407" i="5"/>
  <c r="FG407" i="5" s="1"/>
  <c r="AJ414" i="5"/>
  <c r="DS408" i="21" l="1"/>
  <c r="CQ408" i="21"/>
  <c r="AU412" i="21"/>
  <c r="AR412" i="21"/>
  <c r="DQ409" i="21"/>
  <c r="DR409" i="21" s="1"/>
  <c r="DU412" i="21"/>
  <c r="AV412" i="21"/>
  <c r="AW412" i="21" s="1"/>
  <c r="AT413" i="21"/>
  <c r="AP414" i="21"/>
  <c r="AQ413" i="21"/>
  <c r="DN411" i="21"/>
  <c r="EM411" i="21"/>
  <c r="EP411" i="21" s="1"/>
  <c r="EQ411" i="21" s="1"/>
  <c r="EW409" i="21"/>
  <c r="EX409" i="21" s="1"/>
  <c r="ES410" i="21"/>
  <c r="ER410" i="21"/>
  <c r="DP410" i="21"/>
  <c r="DO410" i="21"/>
  <c r="CY407" i="21"/>
  <c r="AD407" i="21"/>
  <c r="FK407" i="21"/>
  <c r="FM407" i="21" s="1"/>
  <c r="DM409" i="5"/>
  <c r="CK409" i="5"/>
  <c r="EM411" i="5"/>
  <c r="EL411" i="5"/>
  <c r="DH412" i="5"/>
  <c r="EG412" i="5"/>
  <c r="EJ412" i="5" s="1"/>
  <c r="EK412" i="5" s="1"/>
  <c r="AL413" i="5"/>
  <c r="AO413" i="5"/>
  <c r="DO413" i="5"/>
  <c r="AP413" i="5"/>
  <c r="AQ413" i="5" s="1"/>
  <c r="DI411" i="5"/>
  <c r="DJ411" i="5"/>
  <c r="EQ410" i="5"/>
  <c r="ER410" i="5" s="1"/>
  <c r="FE408" i="5"/>
  <c r="FG408" i="5" s="1"/>
  <c r="CY408" i="5"/>
  <c r="AN414" i="5"/>
  <c r="AK414" i="5"/>
  <c r="DK410" i="5"/>
  <c r="DL410" i="5" s="1"/>
  <c r="X408" i="5"/>
  <c r="AJ415" i="5"/>
  <c r="DS409" i="21" l="1"/>
  <c r="CQ409" i="21"/>
  <c r="ES411" i="21"/>
  <c r="ER411" i="21"/>
  <c r="AR413" i="21"/>
  <c r="AU413" i="21"/>
  <c r="DN412" i="21"/>
  <c r="EM412" i="21"/>
  <c r="EP412" i="21" s="1"/>
  <c r="EQ412" i="21" s="1"/>
  <c r="EW410" i="21"/>
  <c r="EX410" i="21" s="1"/>
  <c r="DP411" i="21"/>
  <c r="DO411" i="21"/>
  <c r="AT414" i="21"/>
  <c r="AP415" i="21"/>
  <c r="AQ414" i="21"/>
  <c r="DQ410" i="21"/>
  <c r="DR410" i="21" s="1"/>
  <c r="DU413" i="21"/>
  <c r="AV413" i="21"/>
  <c r="AW413" i="21" s="1"/>
  <c r="CY408" i="21"/>
  <c r="AD408" i="21"/>
  <c r="FK408" i="21"/>
  <c r="FM408" i="21" s="1"/>
  <c r="DM410" i="5"/>
  <c r="CK410" i="5"/>
  <c r="EL412" i="5"/>
  <c r="EM412" i="5"/>
  <c r="DI412" i="5"/>
  <c r="DJ412" i="5"/>
  <c r="EQ411" i="5"/>
  <c r="ER411" i="5" s="1"/>
  <c r="DK411" i="5"/>
  <c r="DL411" i="5" s="1"/>
  <c r="AN415" i="5"/>
  <c r="AK415" i="5"/>
  <c r="AL414" i="5"/>
  <c r="AO414" i="5"/>
  <c r="FE409" i="5"/>
  <c r="FG409" i="5" s="1"/>
  <c r="CS409" i="5"/>
  <c r="DO414" i="5"/>
  <c r="AP414" i="5"/>
  <c r="AQ414" i="5" s="1"/>
  <c r="DH413" i="5"/>
  <c r="EG413" i="5"/>
  <c r="EJ413" i="5" s="1"/>
  <c r="EK413" i="5" s="1"/>
  <c r="AJ416" i="5"/>
  <c r="X409" i="5"/>
  <c r="DS410" i="21" l="1"/>
  <c r="CQ410" i="21"/>
  <c r="AU414" i="21"/>
  <c r="AR414" i="21"/>
  <c r="DU414" i="21"/>
  <c r="AV414" i="21"/>
  <c r="AW414" i="21" s="1"/>
  <c r="DN413" i="21"/>
  <c r="EM413" i="21"/>
  <c r="EP413" i="21" s="1"/>
  <c r="EQ413" i="21" s="1"/>
  <c r="DQ411" i="21"/>
  <c r="DR411" i="21" s="1"/>
  <c r="AT415" i="21"/>
  <c r="AP416" i="21"/>
  <c r="AQ415" i="21"/>
  <c r="ES412" i="21"/>
  <c r="ER412" i="21"/>
  <c r="DP412" i="21"/>
  <c r="DO412" i="21"/>
  <c r="EW411" i="21"/>
  <c r="EX411" i="21" s="1"/>
  <c r="DE409" i="21"/>
  <c r="FK409" i="21"/>
  <c r="FM409" i="21" s="1"/>
  <c r="AD409" i="21"/>
  <c r="DM411" i="5"/>
  <c r="CK411" i="5"/>
  <c r="DJ413" i="5"/>
  <c r="DI413" i="5"/>
  <c r="DK412" i="5"/>
  <c r="DL412" i="5" s="1"/>
  <c r="AN416" i="5"/>
  <c r="AK416" i="5"/>
  <c r="EM413" i="5"/>
  <c r="EL413" i="5"/>
  <c r="AL415" i="5"/>
  <c r="AO415" i="5"/>
  <c r="DO415" i="5"/>
  <c r="AP415" i="5"/>
  <c r="AQ415" i="5" s="1"/>
  <c r="EQ412" i="5"/>
  <c r="ER412" i="5" s="1"/>
  <c r="FE410" i="5"/>
  <c r="FG410" i="5" s="1"/>
  <c r="CY410" i="5"/>
  <c r="DH414" i="5"/>
  <c r="EG414" i="5"/>
  <c r="EJ414" i="5" s="1"/>
  <c r="EK414" i="5" s="1"/>
  <c r="AJ417" i="5"/>
  <c r="X410" i="5"/>
  <c r="DS411" i="21" l="1"/>
  <c r="CQ411" i="21"/>
  <c r="AP417" i="21"/>
  <c r="AT416" i="21"/>
  <c r="AQ416" i="21"/>
  <c r="EW412" i="21"/>
  <c r="EX412" i="21" s="1"/>
  <c r="AU415" i="21"/>
  <c r="AR415" i="21"/>
  <c r="DQ412" i="21"/>
  <c r="DR412" i="21" s="1"/>
  <c r="DN414" i="21"/>
  <c r="EM414" i="21"/>
  <c r="EP414" i="21" s="1"/>
  <c r="EQ414" i="21" s="1"/>
  <c r="ER413" i="21"/>
  <c r="ES413" i="21"/>
  <c r="AD410" i="21"/>
  <c r="FK410" i="21"/>
  <c r="FM410" i="21" s="1"/>
  <c r="CY410" i="21"/>
  <c r="DU415" i="21"/>
  <c r="AV415" i="21"/>
  <c r="AW415" i="21" s="1"/>
  <c r="DO413" i="21"/>
  <c r="DP413" i="21"/>
  <c r="DM412" i="5"/>
  <c r="CK412" i="5"/>
  <c r="AO416" i="5"/>
  <c r="AL416" i="5"/>
  <c r="DO416" i="5"/>
  <c r="AP416" i="5"/>
  <c r="AQ416" i="5" s="1"/>
  <c r="DH415" i="5"/>
  <c r="EG415" i="5"/>
  <c r="EJ415" i="5" s="1"/>
  <c r="EK415" i="5" s="1"/>
  <c r="AN417" i="5"/>
  <c r="AK417" i="5"/>
  <c r="EL414" i="5"/>
  <c r="EM414" i="5"/>
  <c r="DK413" i="5"/>
  <c r="DL413" i="5" s="1"/>
  <c r="DJ414" i="5"/>
  <c r="DI414" i="5"/>
  <c r="EQ413" i="5"/>
  <c r="ER413" i="5" s="1"/>
  <c r="CS411" i="5"/>
  <c r="FE411" i="5"/>
  <c r="FG411" i="5" s="1"/>
  <c r="X411" i="5"/>
  <c r="AJ418" i="5"/>
  <c r="DS412" i="21" l="1"/>
  <c r="CQ412" i="21"/>
  <c r="DQ413" i="21"/>
  <c r="DR413" i="21" s="1"/>
  <c r="EW413" i="21"/>
  <c r="EX413" i="21" s="1"/>
  <c r="DP414" i="21"/>
  <c r="DO414" i="21"/>
  <c r="DU416" i="21"/>
  <c r="AV416" i="21"/>
  <c r="AW416" i="21" s="1"/>
  <c r="DN415" i="21"/>
  <c r="EM415" i="21"/>
  <c r="EP415" i="21" s="1"/>
  <c r="EQ415" i="21" s="1"/>
  <c r="AT417" i="21"/>
  <c r="AP418" i="21"/>
  <c r="AQ417" i="21"/>
  <c r="ES414" i="21"/>
  <c r="ER414" i="21"/>
  <c r="FK411" i="21"/>
  <c r="FM411" i="21" s="1"/>
  <c r="AD411" i="21"/>
  <c r="CY411" i="21"/>
  <c r="AU416" i="21"/>
  <c r="AR416" i="21"/>
  <c r="DM413" i="5"/>
  <c r="CK413" i="5"/>
  <c r="EM415" i="5"/>
  <c r="EL415" i="5"/>
  <c r="AN418" i="5"/>
  <c r="AK418" i="5"/>
  <c r="DH416" i="5"/>
  <c r="EG416" i="5"/>
  <c r="EJ416" i="5" s="1"/>
  <c r="EK416" i="5" s="1"/>
  <c r="DK414" i="5"/>
  <c r="DL414" i="5" s="1"/>
  <c r="DI415" i="5"/>
  <c r="DJ415" i="5"/>
  <c r="AL417" i="5"/>
  <c r="AO417" i="5"/>
  <c r="FE412" i="5"/>
  <c r="FG412" i="5" s="1"/>
  <c r="CS412" i="5"/>
  <c r="EQ414" i="5"/>
  <c r="ER414" i="5" s="1"/>
  <c r="DO417" i="5"/>
  <c r="AP417" i="5"/>
  <c r="AQ417" i="5" s="1"/>
  <c r="X412" i="5"/>
  <c r="AJ419" i="5"/>
  <c r="DS413" i="21" l="1"/>
  <c r="CQ413" i="21"/>
  <c r="AU417" i="21"/>
  <c r="AR417" i="21"/>
  <c r="DP415" i="21"/>
  <c r="DO415" i="21"/>
  <c r="ES415" i="21"/>
  <c r="ER415" i="21"/>
  <c r="EW414" i="21"/>
  <c r="EX414" i="21" s="1"/>
  <c r="AT418" i="21"/>
  <c r="AP419" i="21"/>
  <c r="AQ418" i="21"/>
  <c r="DU417" i="21"/>
  <c r="AV417" i="21"/>
  <c r="AW417" i="21" s="1"/>
  <c r="DQ414" i="21"/>
  <c r="DR414" i="21" s="1"/>
  <c r="AD412" i="21"/>
  <c r="FK412" i="21"/>
  <c r="FM412" i="21" s="1"/>
  <c r="DE412" i="21"/>
  <c r="DN416" i="21"/>
  <c r="EM416" i="21"/>
  <c r="EP416" i="21" s="1"/>
  <c r="EQ416" i="21" s="1"/>
  <c r="DM414" i="5"/>
  <c r="CK414" i="5"/>
  <c r="DK415" i="5"/>
  <c r="DL415" i="5" s="1"/>
  <c r="EL416" i="5"/>
  <c r="EM416" i="5"/>
  <c r="DH417" i="5"/>
  <c r="EG417" i="5"/>
  <c r="EJ417" i="5" s="1"/>
  <c r="EK417" i="5" s="1"/>
  <c r="DI416" i="5"/>
  <c r="DJ416" i="5"/>
  <c r="DO418" i="5"/>
  <c r="AP418" i="5"/>
  <c r="AQ418" i="5" s="1"/>
  <c r="AN419" i="5"/>
  <c r="AK419" i="5"/>
  <c r="AL418" i="5"/>
  <c r="AO418" i="5"/>
  <c r="EQ415" i="5"/>
  <c r="ER415" i="5" s="1"/>
  <c r="FE413" i="5"/>
  <c r="FG413" i="5" s="1"/>
  <c r="CY413" i="5"/>
  <c r="AJ420" i="5"/>
  <c r="X413" i="5"/>
  <c r="DS414" i="21" l="1"/>
  <c r="CQ414" i="21"/>
  <c r="AU418" i="21"/>
  <c r="AR418" i="21"/>
  <c r="DU418" i="21"/>
  <c r="AV418" i="21"/>
  <c r="AW418" i="21" s="1"/>
  <c r="DQ415" i="21"/>
  <c r="DR415" i="21" s="1"/>
  <c r="DN417" i="21"/>
  <c r="EM417" i="21"/>
  <c r="EP417" i="21" s="1"/>
  <c r="EQ417" i="21" s="1"/>
  <c r="AT419" i="21"/>
  <c r="AP420" i="21"/>
  <c r="AQ419" i="21"/>
  <c r="DO416" i="21"/>
  <c r="DP416" i="21"/>
  <c r="AD413" i="21"/>
  <c r="FK413" i="21"/>
  <c r="FM413" i="21" s="1"/>
  <c r="DE413" i="21"/>
  <c r="ES416" i="21"/>
  <c r="ER416" i="21"/>
  <c r="EW415" i="21"/>
  <c r="EX415" i="21" s="1"/>
  <c r="DO419" i="5"/>
  <c r="AP419" i="5"/>
  <c r="AQ419" i="5" s="1"/>
  <c r="EQ416" i="5"/>
  <c r="ER416" i="5" s="1"/>
  <c r="EL417" i="5"/>
  <c r="EM417" i="5"/>
  <c r="AL419" i="5"/>
  <c r="AO419" i="5"/>
  <c r="DM415" i="5"/>
  <c r="CK415" i="5"/>
  <c r="FE414" i="5"/>
  <c r="FG414" i="5" s="1"/>
  <c r="CS414" i="5"/>
  <c r="DI417" i="5"/>
  <c r="DJ417" i="5"/>
  <c r="AN420" i="5"/>
  <c r="AK420" i="5"/>
  <c r="DH418" i="5"/>
  <c r="EG418" i="5"/>
  <c r="EJ418" i="5" s="1"/>
  <c r="EK418" i="5" s="1"/>
  <c r="DK416" i="5"/>
  <c r="DL416" i="5" s="1"/>
  <c r="AJ421" i="5"/>
  <c r="X414" i="5"/>
  <c r="DS415" i="21" l="1"/>
  <c r="CQ415" i="21"/>
  <c r="DU419" i="21"/>
  <c r="AV419" i="21"/>
  <c r="AW419" i="21" s="1"/>
  <c r="ER417" i="21"/>
  <c r="ES417" i="21"/>
  <c r="DQ416" i="21"/>
  <c r="DR416" i="21" s="1"/>
  <c r="DN418" i="21"/>
  <c r="EM418" i="21"/>
  <c r="EP418" i="21" s="1"/>
  <c r="EQ418" i="21" s="1"/>
  <c r="AU419" i="21"/>
  <c r="AR419" i="21"/>
  <c r="DP417" i="21"/>
  <c r="DO417" i="21"/>
  <c r="EW416" i="21"/>
  <c r="EX416" i="21" s="1"/>
  <c r="AT420" i="21"/>
  <c r="AP421" i="21"/>
  <c r="AQ420" i="21"/>
  <c r="FK414" i="21"/>
  <c r="FM414" i="21" s="1"/>
  <c r="AD414" i="21"/>
  <c r="DE414" i="21"/>
  <c r="AN421" i="5"/>
  <c r="AK421" i="5"/>
  <c r="AO420" i="5"/>
  <c r="AL420" i="5"/>
  <c r="DK417" i="5"/>
  <c r="DL417" i="5" s="1"/>
  <c r="EQ417" i="5"/>
  <c r="ER417" i="5" s="1"/>
  <c r="DO420" i="5"/>
  <c r="AP420" i="5"/>
  <c r="AQ420" i="5" s="1"/>
  <c r="DM416" i="5"/>
  <c r="CK416" i="5"/>
  <c r="X416" i="5" s="1"/>
  <c r="EL418" i="5"/>
  <c r="EM418" i="5"/>
  <c r="CS415" i="5"/>
  <c r="FE415" i="5"/>
  <c r="FG415" i="5" s="1"/>
  <c r="DI418" i="5"/>
  <c r="DJ418" i="5"/>
  <c r="DH419" i="5"/>
  <c r="EG419" i="5"/>
  <c r="EJ419" i="5" s="1"/>
  <c r="EK419" i="5" s="1"/>
  <c r="X415" i="5"/>
  <c r="AJ422" i="5"/>
  <c r="DS416" i="21" l="1"/>
  <c r="CQ416" i="21"/>
  <c r="DQ417" i="21"/>
  <c r="DR417" i="21" s="1"/>
  <c r="AT421" i="21"/>
  <c r="AP422" i="21"/>
  <c r="AQ421" i="21"/>
  <c r="DU420" i="21"/>
  <c r="AV420" i="21"/>
  <c r="AW420" i="21" s="1"/>
  <c r="AR420" i="21"/>
  <c r="AU420" i="21"/>
  <c r="DO418" i="21"/>
  <c r="DP418" i="21"/>
  <c r="DN419" i="21"/>
  <c r="EM419" i="21"/>
  <c r="EP419" i="21" s="1"/>
  <c r="EQ419" i="21" s="1"/>
  <c r="DE415" i="21"/>
  <c r="FK415" i="21"/>
  <c r="FM415" i="21" s="1"/>
  <c r="AD415" i="21"/>
  <c r="ES418" i="21"/>
  <c r="ER418" i="21"/>
  <c r="EW417" i="21"/>
  <c r="EX417" i="21" s="1"/>
  <c r="DM417" i="5"/>
  <c r="CK417" i="5"/>
  <c r="EQ418" i="5"/>
  <c r="ER418" i="5" s="1"/>
  <c r="AN422" i="5"/>
  <c r="AK422" i="5"/>
  <c r="EM419" i="5"/>
  <c r="EL419" i="5"/>
  <c r="FE416" i="5"/>
  <c r="FG416" i="5" s="1"/>
  <c r="CY416" i="5"/>
  <c r="DJ419" i="5"/>
  <c r="DI419" i="5"/>
  <c r="AL421" i="5"/>
  <c r="AO421" i="5"/>
  <c r="DK418" i="5"/>
  <c r="DL418" i="5" s="1"/>
  <c r="DH420" i="5"/>
  <c r="EG420" i="5"/>
  <c r="EJ420" i="5" s="1"/>
  <c r="EK420" i="5" s="1"/>
  <c r="DO421" i="5"/>
  <c r="AP421" i="5"/>
  <c r="AQ421" i="5" s="1"/>
  <c r="AJ423" i="5"/>
  <c r="DS417" i="21" l="1"/>
  <c r="CQ417" i="21"/>
  <c r="ES419" i="21"/>
  <c r="ER419" i="21"/>
  <c r="DQ418" i="21"/>
  <c r="DR418" i="21" s="1"/>
  <c r="AP423" i="21"/>
  <c r="AT422" i="21"/>
  <c r="AQ422" i="21"/>
  <c r="DU421" i="21"/>
  <c r="AV421" i="21"/>
  <c r="AW421" i="21" s="1"/>
  <c r="DN420" i="21"/>
  <c r="EM420" i="21"/>
  <c r="EP420" i="21" s="1"/>
  <c r="EQ420" i="21" s="1"/>
  <c r="EW418" i="21"/>
  <c r="EX418" i="21" s="1"/>
  <c r="AU421" i="21"/>
  <c r="AR421" i="21"/>
  <c r="AD416" i="21"/>
  <c r="CY416" i="21"/>
  <c r="FK416" i="21"/>
  <c r="FM416" i="21" s="1"/>
  <c r="DO419" i="21"/>
  <c r="DP419" i="21"/>
  <c r="DM418" i="5"/>
  <c r="CK418" i="5"/>
  <c r="AL422" i="5"/>
  <c r="AO422" i="5"/>
  <c r="EQ419" i="5"/>
  <c r="ER419" i="5" s="1"/>
  <c r="AN423" i="5"/>
  <c r="AK423" i="5"/>
  <c r="EL420" i="5"/>
  <c r="EM420" i="5"/>
  <c r="FE417" i="5"/>
  <c r="FG417" i="5" s="1"/>
  <c r="CY417" i="5"/>
  <c r="DO422" i="5"/>
  <c r="AP422" i="5"/>
  <c r="AQ422" i="5" s="1"/>
  <c r="DK419" i="5"/>
  <c r="DL419" i="5" s="1"/>
  <c r="DH421" i="5"/>
  <c r="EG421" i="5"/>
  <c r="EJ421" i="5" s="1"/>
  <c r="EK421" i="5" s="1"/>
  <c r="DI420" i="5"/>
  <c r="DJ420" i="5"/>
  <c r="X417" i="5"/>
  <c r="AJ424" i="5"/>
  <c r="DS418" i="21" l="1"/>
  <c r="CQ418" i="21"/>
  <c r="ER420" i="21"/>
  <c r="ES420" i="21"/>
  <c r="DQ419" i="21"/>
  <c r="DR419" i="21" s="1"/>
  <c r="DN421" i="21"/>
  <c r="EM421" i="21"/>
  <c r="EP421" i="21" s="1"/>
  <c r="EQ421" i="21" s="1"/>
  <c r="DO420" i="21"/>
  <c r="DP420" i="21"/>
  <c r="AP424" i="21"/>
  <c r="AT423" i="21"/>
  <c r="AQ423" i="21"/>
  <c r="DU422" i="21"/>
  <c r="AV422" i="21"/>
  <c r="AW422" i="21" s="1"/>
  <c r="FK417" i="21"/>
  <c r="FM417" i="21" s="1"/>
  <c r="AD417" i="21"/>
  <c r="DE417" i="21"/>
  <c r="AU422" i="21"/>
  <c r="AR422" i="21"/>
  <c r="EW419" i="21"/>
  <c r="EX419" i="21" s="1"/>
  <c r="DO423" i="5"/>
  <c r="AP423" i="5"/>
  <c r="AQ423" i="5" s="1"/>
  <c r="AL423" i="5"/>
  <c r="AO423" i="5"/>
  <c r="DH422" i="5"/>
  <c r="EG422" i="5"/>
  <c r="EJ422" i="5" s="1"/>
  <c r="EK422" i="5" s="1"/>
  <c r="DM419" i="5"/>
  <c r="CK419" i="5"/>
  <c r="FE418" i="5"/>
  <c r="FG418" i="5" s="1"/>
  <c r="CY418" i="5"/>
  <c r="AN424" i="5"/>
  <c r="AK424" i="5"/>
  <c r="DK420" i="5"/>
  <c r="DL420" i="5" s="1"/>
  <c r="EL421" i="5"/>
  <c r="EM421" i="5"/>
  <c r="DI421" i="5"/>
  <c r="DJ421" i="5"/>
  <c r="EQ420" i="5"/>
  <c r="ER420" i="5" s="1"/>
  <c r="AJ425" i="5"/>
  <c r="X418" i="5"/>
  <c r="CQ419" i="21" l="1"/>
  <c r="DS419" i="21"/>
  <c r="AT424" i="21"/>
  <c r="AP425" i="21"/>
  <c r="AQ424" i="21"/>
  <c r="AU423" i="21"/>
  <c r="AR423" i="21"/>
  <c r="ER421" i="21"/>
  <c r="ES421" i="21"/>
  <c r="DP421" i="21"/>
  <c r="DO421" i="21"/>
  <c r="DN422" i="21"/>
  <c r="EM422" i="21"/>
  <c r="EP422" i="21" s="1"/>
  <c r="EQ422" i="21" s="1"/>
  <c r="FK418" i="21"/>
  <c r="FM418" i="21" s="1"/>
  <c r="DE418" i="21"/>
  <c r="AD418" i="21"/>
  <c r="DU423" i="21"/>
  <c r="AV423" i="21"/>
  <c r="AW423" i="21" s="1"/>
  <c r="DQ420" i="21"/>
  <c r="DR420" i="21" s="1"/>
  <c r="EW420" i="21"/>
  <c r="EX420" i="21" s="1"/>
  <c r="DM420" i="5"/>
  <c r="CK420" i="5"/>
  <c r="CY419" i="5"/>
  <c r="FE419" i="5"/>
  <c r="FG419" i="5" s="1"/>
  <c r="AN425" i="5"/>
  <c r="AK425" i="5"/>
  <c r="DI422" i="5"/>
  <c r="DJ422" i="5"/>
  <c r="DO424" i="5"/>
  <c r="AP424" i="5"/>
  <c r="AQ424" i="5" s="1"/>
  <c r="DK421" i="5"/>
  <c r="DL421" i="5" s="1"/>
  <c r="EQ421" i="5"/>
  <c r="ER421" i="5" s="1"/>
  <c r="EM422" i="5"/>
  <c r="EL422" i="5"/>
  <c r="AO424" i="5"/>
  <c r="AL424" i="5"/>
  <c r="DH423" i="5"/>
  <c r="EG423" i="5"/>
  <c r="EJ423" i="5" s="1"/>
  <c r="EK423" i="5" s="1"/>
  <c r="X419" i="5"/>
  <c r="AJ426" i="5"/>
  <c r="DS420" i="21" l="1"/>
  <c r="CQ420" i="21"/>
  <c r="ES422" i="21"/>
  <c r="ER422" i="21"/>
  <c r="DO422" i="21"/>
  <c r="DP422" i="21"/>
  <c r="DN423" i="21"/>
  <c r="EM423" i="21"/>
  <c r="EP423" i="21" s="1"/>
  <c r="EQ423" i="21" s="1"/>
  <c r="EW421" i="21"/>
  <c r="EX421" i="21" s="1"/>
  <c r="AU424" i="21"/>
  <c r="AR424" i="21"/>
  <c r="AT425" i="21"/>
  <c r="AP426" i="21"/>
  <c r="AQ425" i="21"/>
  <c r="DQ421" i="21"/>
  <c r="DR421" i="21" s="1"/>
  <c r="DU424" i="21"/>
  <c r="AV424" i="21"/>
  <c r="AW424" i="21" s="1"/>
  <c r="AD419" i="21"/>
  <c r="FK419" i="21"/>
  <c r="FM419" i="21" s="1"/>
  <c r="CY419" i="21"/>
  <c r="DM421" i="5"/>
  <c r="CK421" i="5"/>
  <c r="DO425" i="5"/>
  <c r="AP425" i="5"/>
  <c r="AQ425" i="5" s="1"/>
  <c r="EQ422" i="5"/>
  <c r="ER422" i="5" s="1"/>
  <c r="DK422" i="5"/>
  <c r="DL422" i="5" s="1"/>
  <c r="DJ423" i="5"/>
  <c r="DI423" i="5"/>
  <c r="AN426" i="5"/>
  <c r="AK426" i="5"/>
  <c r="AL425" i="5"/>
  <c r="AO425" i="5"/>
  <c r="FE420" i="5"/>
  <c r="FG420" i="5" s="1"/>
  <c r="CS420" i="5"/>
  <c r="EM423" i="5"/>
  <c r="EL423" i="5"/>
  <c r="X420" i="5"/>
  <c r="DH424" i="5"/>
  <c r="EG424" i="5"/>
  <c r="EJ424" i="5" s="1"/>
  <c r="EK424" i="5" s="1"/>
  <c r="AJ427" i="5"/>
  <c r="DS421" i="21" l="1"/>
  <c r="CQ421" i="21"/>
  <c r="DN424" i="21"/>
  <c r="EM424" i="21"/>
  <c r="EP424" i="21" s="1"/>
  <c r="EQ424" i="21" s="1"/>
  <c r="DP423" i="21"/>
  <c r="DO423" i="21"/>
  <c r="DU425" i="21"/>
  <c r="AV425" i="21"/>
  <c r="AW425" i="21" s="1"/>
  <c r="AP427" i="21"/>
  <c r="AT426" i="21"/>
  <c r="AQ426" i="21"/>
  <c r="ES423" i="21"/>
  <c r="ER423" i="21"/>
  <c r="DQ422" i="21"/>
  <c r="DR422" i="21" s="1"/>
  <c r="FK420" i="21"/>
  <c r="FM420" i="21" s="1"/>
  <c r="AD420" i="21"/>
  <c r="DE420" i="21"/>
  <c r="AR425" i="21"/>
  <c r="AU425" i="21"/>
  <c r="EW422" i="21"/>
  <c r="EX422" i="21" s="1"/>
  <c r="DM422" i="5"/>
  <c r="CK422" i="5"/>
  <c r="AN427" i="5"/>
  <c r="AK427" i="5"/>
  <c r="EL424" i="5"/>
  <c r="EM424" i="5"/>
  <c r="DJ424" i="5"/>
  <c r="DI424" i="5"/>
  <c r="AL426" i="5"/>
  <c r="AO426" i="5"/>
  <c r="DH425" i="5"/>
  <c r="EG425" i="5"/>
  <c r="EJ425" i="5" s="1"/>
  <c r="EK425" i="5" s="1"/>
  <c r="DO426" i="5"/>
  <c r="AP426" i="5"/>
  <c r="AQ426" i="5" s="1"/>
  <c r="DK423" i="5"/>
  <c r="DL423" i="5" s="1"/>
  <c r="FE421" i="5"/>
  <c r="FG421" i="5" s="1"/>
  <c r="CY421" i="5"/>
  <c r="EQ423" i="5"/>
  <c r="ER423" i="5" s="1"/>
  <c r="AJ428" i="5"/>
  <c r="X421" i="5"/>
  <c r="DS422" i="21" l="1"/>
  <c r="CQ422" i="21"/>
  <c r="AR426" i="21"/>
  <c r="AU426" i="21"/>
  <c r="DN425" i="21"/>
  <c r="EM425" i="21"/>
  <c r="EP425" i="21" s="1"/>
  <c r="EQ425" i="21" s="1"/>
  <c r="DQ423" i="21"/>
  <c r="DR423" i="21" s="1"/>
  <c r="ER424" i="21"/>
  <c r="ES424" i="21"/>
  <c r="EW423" i="21"/>
  <c r="EX423" i="21" s="1"/>
  <c r="AP428" i="21"/>
  <c r="AT427" i="21"/>
  <c r="AQ427" i="21"/>
  <c r="DP424" i="21"/>
  <c r="DO424" i="21"/>
  <c r="AD421" i="21"/>
  <c r="DE421" i="21"/>
  <c r="FK421" i="21"/>
  <c r="FM421" i="21" s="1"/>
  <c r="DU426" i="21"/>
  <c r="AV426" i="21"/>
  <c r="AW426" i="21" s="1"/>
  <c r="DM423" i="5"/>
  <c r="CK423" i="5"/>
  <c r="DH426" i="5"/>
  <c r="EG426" i="5"/>
  <c r="EJ426" i="5" s="1"/>
  <c r="EK426" i="5" s="1"/>
  <c r="EQ424" i="5"/>
  <c r="ER424" i="5" s="1"/>
  <c r="EM425" i="5"/>
  <c r="EL425" i="5"/>
  <c r="AL427" i="5"/>
  <c r="AO427" i="5"/>
  <c r="DK424" i="5"/>
  <c r="DL424" i="5" s="1"/>
  <c r="AN428" i="5"/>
  <c r="AK428" i="5"/>
  <c r="DI425" i="5"/>
  <c r="DJ425" i="5"/>
  <c r="DO427" i="5"/>
  <c r="AP427" i="5"/>
  <c r="AQ427" i="5" s="1"/>
  <c r="FE422" i="5"/>
  <c r="FG422" i="5" s="1"/>
  <c r="CY422" i="5"/>
  <c r="AJ429" i="5"/>
  <c r="DS423" i="21" l="1"/>
  <c r="CQ423" i="21"/>
  <c r="DQ424" i="21"/>
  <c r="DR424" i="21" s="1"/>
  <c r="AU427" i="21"/>
  <c r="AR427" i="21"/>
  <c r="EW424" i="21"/>
  <c r="EX424" i="21" s="1"/>
  <c r="DN426" i="21"/>
  <c r="EM426" i="21"/>
  <c r="EP426" i="21" s="1"/>
  <c r="EQ426" i="21" s="1"/>
  <c r="DU427" i="21"/>
  <c r="AV427" i="21"/>
  <c r="AW427" i="21" s="1"/>
  <c r="AP429" i="21"/>
  <c r="AT428" i="21"/>
  <c r="AQ428" i="21"/>
  <c r="ER425" i="21"/>
  <c r="ES425" i="21"/>
  <c r="DP425" i="21"/>
  <c r="DO425" i="21"/>
  <c r="CY422" i="21"/>
  <c r="AD422" i="21"/>
  <c r="FK422" i="21"/>
  <c r="FM422" i="21" s="1"/>
  <c r="EQ425" i="5"/>
  <c r="ER425" i="5" s="1"/>
  <c r="AO428" i="5"/>
  <c r="AL428" i="5"/>
  <c r="DO428" i="5"/>
  <c r="AP428" i="5"/>
  <c r="AQ428" i="5" s="1"/>
  <c r="AN429" i="5"/>
  <c r="AK429" i="5"/>
  <c r="EM426" i="5"/>
  <c r="EL426" i="5"/>
  <c r="DM424" i="5"/>
  <c r="CK424" i="5"/>
  <c r="DJ426" i="5"/>
  <c r="DI426" i="5"/>
  <c r="DK425" i="5"/>
  <c r="DL425" i="5" s="1"/>
  <c r="CS423" i="5"/>
  <c r="FE423" i="5"/>
  <c r="FG423" i="5" s="1"/>
  <c r="DH427" i="5"/>
  <c r="EG427" i="5"/>
  <c r="EJ427" i="5" s="1"/>
  <c r="EK427" i="5" s="1"/>
  <c r="X422" i="5"/>
  <c r="AJ430" i="5"/>
  <c r="X423" i="5"/>
  <c r="DS424" i="21" l="1"/>
  <c r="CQ424" i="21"/>
  <c r="AU428" i="21"/>
  <c r="AR428" i="21"/>
  <c r="DN427" i="21"/>
  <c r="EM427" i="21"/>
  <c r="EP427" i="21" s="1"/>
  <c r="EQ427" i="21" s="1"/>
  <c r="DU428" i="21"/>
  <c r="AV428" i="21"/>
  <c r="AW428" i="21" s="1"/>
  <c r="DQ425" i="21"/>
  <c r="DR425" i="21" s="1"/>
  <c r="DP426" i="21"/>
  <c r="DO426" i="21"/>
  <c r="AT429" i="21"/>
  <c r="AP430" i="21"/>
  <c r="AQ429" i="21"/>
  <c r="ES426" i="21"/>
  <c r="ER426" i="21"/>
  <c r="CY423" i="21"/>
  <c r="AD423" i="21"/>
  <c r="FK423" i="21"/>
  <c r="FM423" i="21" s="1"/>
  <c r="EW425" i="21"/>
  <c r="EX425" i="21" s="1"/>
  <c r="DM425" i="5"/>
  <c r="CK425" i="5"/>
  <c r="AO429" i="5"/>
  <c r="AL429" i="5"/>
  <c r="DK426" i="5"/>
  <c r="DL426" i="5" s="1"/>
  <c r="AN430" i="5"/>
  <c r="AK430" i="5"/>
  <c r="DO429" i="5"/>
  <c r="AP429" i="5"/>
  <c r="AQ429" i="5" s="1"/>
  <c r="EL427" i="5"/>
  <c r="EM427" i="5"/>
  <c r="FE424" i="5"/>
  <c r="FG424" i="5" s="1"/>
  <c r="CY424" i="5"/>
  <c r="DH428" i="5"/>
  <c r="EG428" i="5"/>
  <c r="EJ428" i="5" s="1"/>
  <c r="EK428" i="5" s="1"/>
  <c r="DJ427" i="5"/>
  <c r="DI427" i="5"/>
  <c r="EQ426" i="5"/>
  <c r="ER426" i="5" s="1"/>
  <c r="X424" i="5"/>
  <c r="AJ431" i="5"/>
  <c r="DS425" i="21" l="1"/>
  <c r="CQ425" i="21"/>
  <c r="EW426" i="21"/>
  <c r="EX426" i="21" s="1"/>
  <c r="DU429" i="21"/>
  <c r="AV429" i="21"/>
  <c r="AW429" i="21" s="1"/>
  <c r="AP431" i="21"/>
  <c r="AT430" i="21"/>
  <c r="AQ430" i="21"/>
  <c r="DN428" i="21"/>
  <c r="EM428" i="21"/>
  <c r="EP428" i="21" s="1"/>
  <c r="EQ428" i="21" s="1"/>
  <c r="DQ426" i="21"/>
  <c r="DR426" i="21" s="1"/>
  <c r="AD424" i="21"/>
  <c r="FK424" i="21"/>
  <c r="FM424" i="21" s="1"/>
  <c r="DE424" i="21"/>
  <c r="AR429" i="21"/>
  <c r="AU429" i="21"/>
  <c r="ER427" i="21"/>
  <c r="ES427" i="21"/>
  <c r="DP427" i="21"/>
  <c r="DO427" i="21"/>
  <c r="DM426" i="5"/>
  <c r="CK426" i="5"/>
  <c r="EL428" i="5"/>
  <c r="EM428" i="5"/>
  <c r="DO430" i="5"/>
  <c r="AP430" i="5"/>
  <c r="AQ430" i="5" s="1"/>
  <c r="DJ428" i="5"/>
  <c r="DI428" i="5"/>
  <c r="AN431" i="5"/>
  <c r="AK431" i="5"/>
  <c r="EQ427" i="5"/>
  <c r="ER427" i="5" s="1"/>
  <c r="AL430" i="5"/>
  <c r="AO430" i="5"/>
  <c r="DK427" i="5"/>
  <c r="DL427" i="5" s="1"/>
  <c r="FE425" i="5"/>
  <c r="FG425" i="5" s="1"/>
  <c r="CY425" i="5"/>
  <c r="DH429" i="5"/>
  <c r="EG429" i="5"/>
  <c r="EJ429" i="5" s="1"/>
  <c r="EK429" i="5" s="1"/>
  <c r="AJ432" i="5"/>
  <c r="X425" i="5"/>
  <c r="DS426" i="21" l="1"/>
  <c r="CQ426" i="21"/>
  <c r="DQ427" i="21"/>
  <c r="DR427" i="21" s="1"/>
  <c r="ES428" i="21"/>
  <c r="ER428" i="21"/>
  <c r="AP432" i="21"/>
  <c r="AT431" i="21"/>
  <c r="AQ431" i="21"/>
  <c r="DP428" i="21"/>
  <c r="DO428" i="21"/>
  <c r="DU430" i="21"/>
  <c r="AV430" i="21"/>
  <c r="AW430" i="21" s="1"/>
  <c r="AD425" i="21"/>
  <c r="FK425" i="21"/>
  <c r="FM425" i="21" s="1"/>
  <c r="DE425" i="21"/>
  <c r="EW427" i="21"/>
  <c r="EX427" i="21" s="1"/>
  <c r="AU430" i="21"/>
  <c r="AR430" i="21"/>
  <c r="DN429" i="21"/>
  <c r="EM429" i="21"/>
  <c r="EP429" i="21" s="1"/>
  <c r="EQ429" i="21" s="1"/>
  <c r="DK428" i="5"/>
  <c r="DL428" i="5" s="1"/>
  <c r="AN432" i="5"/>
  <c r="AK432" i="5"/>
  <c r="DH430" i="5"/>
  <c r="EG430" i="5"/>
  <c r="EJ430" i="5" s="1"/>
  <c r="EK430" i="5" s="1"/>
  <c r="EL429" i="5"/>
  <c r="EM429" i="5"/>
  <c r="EQ428" i="5"/>
  <c r="ER428" i="5" s="1"/>
  <c r="DM427" i="5"/>
  <c r="CK427" i="5"/>
  <c r="DI429" i="5"/>
  <c r="DJ429" i="5"/>
  <c r="AL431" i="5"/>
  <c r="AO431" i="5"/>
  <c r="FE426" i="5"/>
  <c r="FG426" i="5" s="1"/>
  <c r="CS426" i="5"/>
  <c r="DO431" i="5"/>
  <c r="AP431" i="5"/>
  <c r="AQ431" i="5" s="1"/>
  <c r="AJ433" i="5"/>
  <c r="X426" i="5"/>
  <c r="DS427" i="21" l="1"/>
  <c r="CQ427" i="21"/>
  <c r="DN430" i="21"/>
  <c r="EM430" i="21"/>
  <c r="EP430" i="21" s="1"/>
  <c r="EQ430" i="21" s="1"/>
  <c r="DP429" i="21"/>
  <c r="DO429" i="21"/>
  <c r="DQ428" i="21"/>
  <c r="DR428" i="21" s="1"/>
  <c r="ES429" i="21"/>
  <c r="ER429" i="21"/>
  <c r="EW428" i="21"/>
  <c r="EX428" i="21" s="1"/>
  <c r="DU431" i="21"/>
  <c r="AV431" i="21"/>
  <c r="AW431" i="21" s="1"/>
  <c r="AU431" i="21"/>
  <c r="AR431" i="21"/>
  <c r="FK426" i="21"/>
  <c r="FM426" i="21" s="1"/>
  <c r="CY426" i="21"/>
  <c r="AD426" i="21"/>
  <c r="AP433" i="21"/>
  <c r="AT432" i="21"/>
  <c r="AQ432" i="21"/>
  <c r="DM428" i="5"/>
  <c r="CK428" i="5"/>
  <c r="EM430" i="5"/>
  <c r="EL430" i="5"/>
  <c r="DK429" i="5"/>
  <c r="DL429" i="5" s="1"/>
  <c r="AN433" i="5"/>
  <c r="AK433" i="5"/>
  <c r="DJ430" i="5"/>
  <c r="DI430" i="5"/>
  <c r="CS427" i="5"/>
  <c r="FE427" i="5"/>
  <c r="FG427" i="5" s="1"/>
  <c r="AL432" i="5"/>
  <c r="AO432" i="5"/>
  <c r="DH431" i="5"/>
  <c r="EG431" i="5"/>
  <c r="EJ431" i="5" s="1"/>
  <c r="EK431" i="5" s="1"/>
  <c r="DO432" i="5"/>
  <c r="AP432" i="5"/>
  <c r="AQ432" i="5" s="1"/>
  <c r="EQ429" i="5"/>
  <c r="ER429" i="5" s="1"/>
  <c r="AJ434" i="5"/>
  <c r="X427" i="5"/>
  <c r="DS428" i="21" l="1"/>
  <c r="CQ428" i="21"/>
  <c r="DU432" i="21"/>
  <c r="AV432" i="21"/>
  <c r="AW432" i="21" s="1"/>
  <c r="EW429" i="21"/>
  <c r="EX429" i="21" s="1"/>
  <c r="ES430" i="21"/>
  <c r="ER430" i="21"/>
  <c r="AU432" i="21"/>
  <c r="AR432" i="21"/>
  <c r="DP430" i="21"/>
  <c r="DO430" i="21"/>
  <c r="DQ429" i="21"/>
  <c r="DR429" i="21" s="1"/>
  <c r="DE427" i="21"/>
  <c r="FK427" i="21"/>
  <c r="FM427" i="21" s="1"/>
  <c r="AD427" i="21"/>
  <c r="AT433" i="21"/>
  <c r="AP434" i="21"/>
  <c r="AQ433" i="21"/>
  <c r="DN431" i="21"/>
  <c r="EM431" i="21"/>
  <c r="EP431" i="21" s="1"/>
  <c r="EQ431" i="21" s="1"/>
  <c r="DM429" i="5"/>
  <c r="CK429" i="5"/>
  <c r="AO433" i="5"/>
  <c r="AL433" i="5"/>
  <c r="EQ430" i="5"/>
  <c r="ER430" i="5" s="1"/>
  <c r="EM431" i="5"/>
  <c r="EL431" i="5"/>
  <c r="DI431" i="5"/>
  <c r="DJ431" i="5"/>
  <c r="AN434" i="5"/>
  <c r="AK434" i="5"/>
  <c r="DK430" i="5"/>
  <c r="DL430" i="5" s="1"/>
  <c r="DO433" i="5"/>
  <c r="AP433" i="5"/>
  <c r="AQ433" i="5" s="1"/>
  <c r="CY428" i="5"/>
  <c r="FE428" i="5"/>
  <c r="FG428" i="5" s="1"/>
  <c r="DH432" i="5"/>
  <c r="EG432" i="5"/>
  <c r="EJ432" i="5" s="1"/>
  <c r="EK432" i="5" s="1"/>
  <c r="X429" i="5"/>
  <c r="X428" i="5"/>
  <c r="AJ435" i="5"/>
  <c r="CQ429" i="21" l="1"/>
  <c r="DS429" i="21"/>
  <c r="AU433" i="21"/>
  <c r="AR433" i="21"/>
  <c r="DQ430" i="21"/>
  <c r="DR430" i="21" s="1"/>
  <c r="DU433" i="21"/>
  <c r="AV433" i="21"/>
  <c r="AW433" i="21" s="1"/>
  <c r="EW430" i="21"/>
  <c r="EX430" i="21" s="1"/>
  <c r="ES431" i="21"/>
  <c r="ER431" i="21"/>
  <c r="DO431" i="21"/>
  <c r="DP431" i="21"/>
  <c r="AP435" i="21"/>
  <c r="AT434" i="21"/>
  <c r="AQ434" i="21"/>
  <c r="DN432" i="21"/>
  <c r="EM432" i="21"/>
  <c r="EP432" i="21" s="1"/>
  <c r="EQ432" i="21" s="1"/>
  <c r="FK428" i="21"/>
  <c r="FM428" i="21" s="1"/>
  <c r="CY428" i="21"/>
  <c r="AD428" i="21"/>
  <c r="DM430" i="5"/>
  <c r="CK430" i="5"/>
  <c r="DH433" i="5"/>
  <c r="EG433" i="5"/>
  <c r="EJ433" i="5" s="1"/>
  <c r="EK433" i="5" s="1"/>
  <c r="AN435" i="5"/>
  <c r="AK435" i="5"/>
  <c r="EL432" i="5"/>
  <c r="EM432" i="5"/>
  <c r="AL434" i="5"/>
  <c r="AO434" i="5"/>
  <c r="DO434" i="5"/>
  <c r="AP434" i="5"/>
  <c r="AQ434" i="5" s="1"/>
  <c r="EQ431" i="5"/>
  <c r="ER431" i="5" s="1"/>
  <c r="DJ432" i="5"/>
  <c r="DI432" i="5"/>
  <c r="FE429" i="5"/>
  <c r="FG429" i="5" s="1"/>
  <c r="CY429" i="5"/>
  <c r="DK431" i="5"/>
  <c r="DL431" i="5" s="1"/>
  <c r="AJ436" i="5"/>
  <c r="DS430" i="21" l="1"/>
  <c r="CQ430" i="21"/>
  <c r="DP432" i="21"/>
  <c r="DO432" i="21"/>
  <c r="DN433" i="21"/>
  <c r="EM433" i="21"/>
  <c r="EP433" i="21" s="1"/>
  <c r="EQ433" i="21" s="1"/>
  <c r="AR434" i="21"/>
  <c r="AU434" i="21"/>
  <c r="AT435" i="21"/>
  <c r="AP436" i="21"/>
  <c r="AQ435" i="21"/>
  <c r="ES432" i="21"/>
  <c r="ER432" i="21"/>
  <c r="DQ431" i="21"/>
  <c r="DR431" i="21" s="1"/>
  <c r="DU434" i="21"/>
  <c r="AV434" i="21"/>
  <c r="AW434" i="21" s="1"/>
  <c r="EW431" i="21"/>
  <c r="EX431" i="21" s="1"/>
  <c r="DE429" i="21"/>
  <c r="AD429" i="21"/>
  <c r="FK429" i="21"/>
  <c r="FM429" i="21" s="1"/>
  <c r="DM431" i="5"/>
  <c r="CK431" i="5"/>
  <c r="AL435" i="5"/>
  <c r="AO435" i="5"/>
  <c r="EQ432" i="5"/>
  <c r="ER432" i="5" s="1"/>
  <c r="AN436" i="5"/>
  <c r="AK436" i="5"/>
  <c r="EL433" i="5"/>
  <c r="EM433" i="5"/>
  <c r="DJ433" i="5"/>
  <c r="DI433" i="5"/>
  <c r="DK432" i="5"/>
  <c r="DL432" i="5" s="1"/>
  <c r="DH434" i="5"/>
  <c r="EG434" i="5"/>
  <c r="EJ434" i="5" s="1"/>
  <c r="EK434" i="5" s="1"/>
  <c r="FE430" i="5"/>
  <c r="FG430" i="5" s="1"/>
  <c r="CS430" i="5"/>
  <c r="DO435" i="5"/>
  <c r="AP435" i="5"/>
  <c r="AQ435" i="5" s="1"/>
  <c r="X430" i="5"/>
  <c r="AJ437" i="5"/>
  <c r="DS431" i="21" l="1"/>
  <c r="CQ431" i="21"/>
  <c r="DN434" i="21"/>
  <c r="EM434" i="21"/>
  <c r="EP434" i="21" s="1"/>
  <c r="EQ434" i="21" s="1"/>
  <c r="AP437" i="21"/>
  <c r="AT436" i="21"/>
  <c r="AQ436" i="21"/>
  <c r="DU435" i="21"/>
  <c r="AV435" i="21"/>
  <c r="AW435" i="21" s="1"/>
  <c r="ES433" i="21"/>
  <c r="ER433" i="21"/>
  <c r="DO433" i="21"/>
  <c r="DP433" i="21"/>
  <c r="DQ432" i="21"/>
  <c r="DR432" i="21" s="1"/>
  <c r="AR435" i="21"/>
  <c r="AU435" i="21"/>
  <c r="CY430" i="21"/>
  <c r="FK430" i="21"/>
  <c r="FM430" i="21" s="1"/>
  <c r="AD430" i="21"/>
  <c r="EW432" i="21"/>
  <c r="EX432" i="21" s="1"/>
  <c r="DM432" i="5"/>
  <c r="CK432" i="5"/>
  <c r="DO436" i="5"/>
  <c r="AP436" i="5"/>
  <c r="AQ436" i="5" s="1"/>
  <c r="DK433" i="5"/>
  <c r="DL433" i="5" s="1"/>
  <c r="AL436" i="5"/>
  <c r="AO436" i="5"/>
  <c r="DJ434" i="5"/>
  <c r="DI434" i="5"/>
  <c r="AN437" i="5"/>
  <c r="AK437" i="5"/>
  <c r="DH435" i="5"/>
  <c r="EG435" i="5"/>
  <c r="EJ435" i="5" s="1"/>
  <c r="EK435" i="5" s="1"/>
  <c r="EM434" i="5"/>
  <c r="EL434" i="5"/>
  <c r="FE431" i="5"/>
  <c r="FG431" i="5" s="1"/>
  <c r="CY431" i="5"/>
  <c r="EQ433" i="5"/>
  <c r="ER433" i="5" s="1"/>
  <c r="X431" i="5"/>
  <c r="AJ438" i="5"/>
  <c r="DS432" i="21" l="1"/>
  <c r="CQ432" i="21"/>
  <c r="DU436" i="21"/>
  <c r="AV436" i="21"/>
  <c r="AW436" i="21" s="1"/>
  <c r="DQ433" i="21"/>
  <c r="DR433" i="21" s="1"/>
  <c r="AT437" i="21"/>
  <c r="AP438" i="21"/>
  <c r="AQ437" i="21"/>
  <c r="ES434" i="21"/>
  <c r="ER434" i="21"/>
  <c r="DP434" i="21"/>
  <c r="DO434" i="21"/>
  <c r="AR436" i="21"/>
  <c r="AU436" i="21"/>
  <c r="DE431" i="21"/>
  <c r="FK431" i="21"/>
  <c r="FM431" i="21" s="1"/>
  <c r="AD431" i="21"/>
  <c r="EW433" i="21"/>
  <c r="EX433" i="21" s="1"/>
  <c r="DN435" i="21"/>
  <c r="EM435" i="21"/>
  <c r="EP435" i="21" s="1"/>
  <c r="EQ435" i="21" s="1"/>
  <c r="DM433" i="5"/>
  <c r="CK433" i="5"/>
  <c r="DI435" i="5"/>
  <c r="DJ435" i="5"/>
  <c r="EL435" i="5"/>
  <c r="EM435" i="5"/>
  <c r="AO437" i="5"/>
  <c r="AL437" i="5"/>
  <c r="EQ434" i="5"/>
  <c r="ER434" i="5" s="1"/>
  <c r="AN438" i="5"/>
  <c r="AK438" i="5"/>
  <c r="DO437" i="5"/>
  <c r="AP437" i="5"/>
  <c r="AQ437" i="5" s="1"/>
  <c r="DH436" i="5"/>
  <c r="EG436" i="5"/>
  <c r="EJ436" i="5" s="1"/>
  <c r="EK436" i="5" s="1"/>
  <c r="DK434" i="5"/>
  <c r="DL434" i="5" s="1"/>
  <c r="CS432" i="5"/>
  <c r="FE432" i="5"/>
  <c r="FG432" i="5" s="1"/>
  <c r="AJ439" i="5"/>
  <c r="X432" i="5"/>
  <c r="DS433" i="21" l="1"/>
  <c r="CQ433" i="21"/>
  <c r="ES435" i="21"/>
  <c r="ER435" i="21"/>
  <c r="EW434" i="21"/>
  <c r="EX434" i="21" s="1"/>
  <c r="DQ434" i="21"/>
  <c r="DR434" i="21" s="1"/>
  <c r="DU437" i="21"/>
  <c r="AV437" i="21"/>
  <c r="AW437" i="21" s="1"/>
  <c r="DN436" i="21"/>
  <c r="EM436" i="21"/>
  <c r="EP436" i="21" s="1"/>
  <c r="EQ436" i="21" s="1"/>
  <c r="AP439" i="21"/>
  <c r="AT438" i="21"/>
  <c r="AQ438" i="21"/>
  <c r="FK432" i="21"/>
  <c r="FM432" i="21" s="1"/>
  <c r="AD432" i="21"/>
  <c r="CY432" i="21"/>
  <c r="DP435" i="21"/>
  <c r="DO435" i="21"/>
  <c r="AR437" i="21"/>
  <c r="AU437" i="21"/>
  <c r="DM434" i="5"/>
  <c r="CK434" i="5"/>
  <c r="DH437" i="5"/>
  <c r="EG437" i="5"/>
  <c r="EJ437" i="5" s="1"/>
  <c r="EK437" i="5" s="1"/>
  <c r="EQ435" i="5"/>
  <c r="ER435" i="5" s="1"/>
  <c r="AL438" i="5"/>
  <c r="AO438" i="5"/>
  <c r="DO438" i="5"/>
  <c r="AP438" i="5"/>
  <c r="AQ438" i="5" s="1"/>
  <c r="DK435" i="5"/>
  <c r="DL435" i="5" s="1"/>
  <c r="EM436" i="5"/>
  <c r="EL436" i="5"/>
  <c r="FE433" i="5"/>
  <c r="FG433" i="5" s="1"/>
  <c r="CY433" i="5"/>
  <c r="DI436" i="5"/>
  <c r="DJ436" i="5"/>
  <c r="AN439" i="5"/>
  <c r="AK439" i="5"/>
  <c r="X433" i="5"/>
  <c r="AJ440" i="5"/>
  <c r="DS434" i="21" l="1"/>
  <c r="CQ434" i="21"/>
  <c r="AU438" i="21"/>
  <c r="AR438" i="21"/>
  <c r="ER436" i="21"/>
  <c r="ES436" i="21"/>
  <c r="EW435" i="21"/>
  <c r="EX435" i="21" s="1"/>
  <c r="DU438" i="21"/>
  <c r="AV438" i="21"/>
  <c r="AW438" i="21" s="1"/>
  <c r="DN437" i="21"/>
  <c r="EM437" i="21"/>
  <c r="EP437" i="21" s="1"/>
  <c r="EQ437" i="21" s="1"/>
  <c r="FK433" i="21"/>
  <c r="FM433" i="21" s="1"/>
  <c r="AD433" i="21"/>
  <c r="DE433" i="21"/>
  <c r="DQ435" i="21"/>
  <c r="DR435" i="21" s="1"/>
  <c r="AP440" i="21"/>
  <c r="AT439" i="21"/>
  <c r="AQ439" i="21"/>
  <c r="DO436" i="21"/>
  <c r="DP436" i="21"/>
  <c r="DM435" i="5"/>
  <c r="CK435" i="5"/>
  <c r="EL437" i="5"/>
  <c r="EM437" i="5"/>
  <c r="EQ436" i="5"/>
  <c r="ER436" i="5" s="1"/>
  <c r="AL439" i="5"/>
  <c r="AO439" i="5"/>
  <c r="DJ437" i="5"/>
  <c r="DI437" i="5"/>
  <c r="AN440" i="5"/>
  <c r="AK440" i="5"/>
  <c r="FE434" i="5"/>
  <c r="FG434" i="5" s="1"/>
  <c r="CS434" i="5"/>
  <c r="DO439" i="5"/>
  <c r="AP439" i="5"/>
  <c r="AQ439" i="5" s="1"/>
  <c r="DK436" i="5"/>
  <c r="DL436" i="5" s="1"/>
  <c r="DH438" i="5"/>
  <c r="EG438" i="5"/>
  <c r="EJ438" i="5" s="1"/>
  <c r="EK438" i="5" s="1"/>
  <c r="X434" i="5"/>
  <c r="AJ441" i="5"/>
  <c r="DS435" i="21" l="1"/>
  <c r="CQ435" i="21"/>
  <c r="DQ436" i="21"/>
  <c r="DR436" i="21" s="1"/>
  <c r="DU439" i="21"/>
  <c r="AV439" i="21"/>
  <c r="AW439" i="21" s="1"/>
  <c r="AT440" i="21"/>
  <c r="AP441" i="21"/>
  <c r="AQ440" i="21"/>
  <c r="EW436" i="21"/>
  <c r="EX436" i="21" s="1"/>
  <c r="DP437" i="21"/>
  <c r="DO437" i="21"/>
  <c r="AU439" i="21"/>
  <c r="AR439" i="21"/>
  <c r="DN438" i="21"/>
  <c r="EM438" i="21"/>
  <c r="EP438" i="21" s="1"/>
  <c r="EQ438" i="21" s="1"/>
  <c r="FK434" i="21"/>
  <c r="FM434" i="21" s="1"/>
  <c r="AD434" i="21"/>
  <c r="CY434" i="21"/>
  <c r="ES437" i="21"/>
  <c r="ER437" i="21"/>
  <c r="DM436" i="5"/>
  <c r="CK436" i="5"/>
  <c r="AN441" i="5"/>
  <c r="AK441" i="5"/>
  <c r="EM438" i="5"/>
  <c r="EL438" i="5"/>
  <c r="AL440" i="5"/>
  <c r="AO440" i="5"/>
  <c r="DH439" i="5"/>
  <c r="EG439" i="5"/>
  <c r="EJ439" i="5" s="1"/>
  <c r="EK439" i="5" s="1"/>
  <c r="DO440" i="5"/>
  <c r="AP440" i="5"/>
  <c r="AQ440" i="5" s="1"/>
  <c r="EQ437" i="5"/>
  <c r="ER437" i="5" s="1"/>
  <c r="FE435" i="5"/>
  <c r="FG435" i="5" s="1"/>
  <c r="CY435" i="5"/>
  <c r="DJ438" i="5"/>
  <c r="DI438" i="5"/>
  <c r="DK437" i="5"/>
  <c r="DL437" i="5" s="1"/>
  <c r="AJ442" i="5"/>
  <c r="X435" i="5"/>
  <c r="DS436" i="21" l="1"/>
  <c r="CQ436" i="21"/>
  <c r="ES438" i="21"/>
  <c r="ER438" i="21"/>
  <c r="DN439" i="21"/>
  <c r="EM439" i="21"/>
  <c r="EP439" i="21" s="1"/>
  <c r="EQ439" i="21" s="1"/>
  <c r="EW437" i="21"/>
  <c r="EX437" i="21" s="1"/>
  <c r="DO438" i="21"/>
  <c r="DP438" i="21"/>
  <c r="AT441" i="21"/>
  <c r="AP442" i="21"/>
  <c r="AQ441" i="21"/>
  <c r="DQ437" i="21"/>
  <c r="DR437" i="21" s="1"/>
  <c r="DU440" i="21"/>
  <c r="AV440" i="21"/>
  <c r="AW440" i="21" s="1"/>
  <c r="CY435" i="21"/>
  <c r="AD435" i="21"/>
  <c r="FK435" i="21"/>
  <c r="FM435" i="21" s="1"/>
  <c r="AU440" i="21"/>
  <c r="AR440" i="21"/>
  <c r="DM437" i="5"/>
  <c r="CK437" i="5"/>
  <c r="AN442" i="5"/>
  <c r="AK442" i="5"/>
  <c r="EQ438" i="5"/>
  <c r="ER438" i="5" s="1"/>
  <c r="AL441" i="5"/>
  <c r="AO441" i="5"/>
  <c r="DO441" i="5"/>
  <c r="AP441" i="5"/>
  <c r="AQ441" i="5" s="1"/>
  <c r="DH440" i="5"/>
  <c r="EG440" i="5"/>
  <c r="EJ440" i="5" s="1"/>
  <c r="EK440" i="5" s="1"/>
  <c r="DK438" i="5"/>
  <c r="DL438" i="5" s="1"/>
  <c r="EM439" i="5"/>
  <c r="EL439" i="5"/>
  <c r="CS436" i="5"/>
  <c r="FE436" i="5"/>
  <c r="FG436" i="5" s="1"/>
  <c r="DI439" i="5"/>
  <c r="DJ439" i="5"/>
  <c r="AJ443" i="5"/>
  <c r="X436" i="5"/>
  <c r="DS437" i="21" l="1"/>
  <c r="CQ437" i="21"/>
  <c r="DU441" i="21"/>
  <c r="AV441" i="21"/>
  <c r="AW441" i="21" s="1"/>
  <c r="DQ438" i="21"/>
  <c r="DR438" i="21" s="1"/>
  <c r="EW438" i="21"/>
  <c r="EX438" i="21" s="1"/>
  <c r="DN440" i="21"/>
  <c r="EM440" i="21"/>
  <c r="EP440" i="21" s="1"/>
  <c r="EQ440" i="21" s="1"/>
  <c r="AP443" i="21"/>
  <c r="AT442" i="21"/>
  <c r="AQ442" i="21"/>
  <c r="ER439" i="21"/>
  <c r="ES439" i="21"/>
  <c r="AD436" i="21"/>
  <c r="DE436" i="21"/>
  <c r="FK436" i="21"/>
  <c r="FM436" i="21" s="1"/>
  <c r="AR441" i="21"/>
  <c r="AU441" i="21"/>
  <c r="DP439" i="21"/>
  <c r="DO439" i="21"/>
  <c r="DM438" i="5"/>
  <c r="CK438" i="5"/>
  <c r="EQ439" i="5"/>
  <c r="ER439" i="5" s="1"/>
  <c r="EM440" i="5"/>
  <c r="EL440" i="5"/>
  <c r="AO442" i="5"/>
  <c r="AL442" i="5"/>
  <c r="DO442" i="5"/>
  <c r="AP442" i="5"/>
  <c r="AQ442" i="5" s="1"/>
  <c r="FE437" i="5"/>
  <c r="FG437" i="5" s="1"/>
  <c r="CY437" i="5"/>
  <c r="AN443" i="5"/>
  <c r="AK443" i="5"/>
  <c r="DK439" i="5"/>
  <c r="DL439" i="5" s="1"/>
  <c r="DI440" i="5"/>
  <c r="DJ440" i="5"/>
  <c r="DH441" i="5"/>
  <c r="EG441" i="5"/>
  <c r="EJ441" i="5" s="1"/>
  <c r="EK441" i="5" s="1"/>
  <c r="X437" i="5"/>
  <c r="AJ444" i="5"/>
  <c r="DS438" i="21" l="1"/>
  <c r="CQ438" i="21"/>
  <c r="DQ439" i="21"/>
  <c r="DR439" i="21" s="1"/>
  <c r="ES440" i="21"/>
  <c r="ER440" i="21"/>
  <c r="EW439" i="21"/>
  <c r="EX439" i="21" s="1"/>
  <c r="DP440" i="21"/>
  <c r="DO440" i="21"/>
  <c r="DN441" i="21"/>
  <c r="EM441" i="21"/>
  <c r="EP441" i="21" s="1"/>
  <c r="EQ441" i="21" s="1"/>
  <c r="DU442" i="21"/>
  <c r="AV442" i="21"/>
  <c r="AW442" i="21" s="1"/>
  <c r="FK437" i="21"/>
  <c r="FM437" i="21" s="1"/>
  <c r="AD437" i="21"/>
  <c r="DE437" i="21"/>
  <c r="AU442" i="21"/>
  <c r="AR442" i="21"/>
  <c r="AT443" i="21"/>
  <c r="AP444" i="21"/>
  <c r="AQ443" i="21"/>
  <c r="AL443" i="5"/>
  <c r="AO443" i="5"/>
  <c r="EQ440" i="5"/>
  <c r="ER440" i="5" s="1"/>
  <c r="EL441" i="5"/>
  <c r="EM441" i="5"/>
  <c r="DM439" i="5"/>
  <c r="CK439" i="5"/>
  <c r="AN444" i="5"/>
  <c r="AK444" i="5"/>
  <c r="DJ441" i="5"/>
  <c r="DI441" i="5"/>
  <c r="DO443" i="5"/>
  <c r="AP443" i="5"/>
  <c r="AQ443" i="5" s="1"/>
  <c r="CS438" i="5"/>
  <c r="FE438" i="5"/>
  <c r="FG438" i="5" s="1"/>
  <c r="DK440" i="5"/>
  <c r="DL440" i="5" s="1"/>
  <c r="DH442" i="5"/>
  <c r="EG442" i="5"/>
  <c r="EJ442" i="5" s="1"/>
  <c r="EK442" i="5" s="1"/>
  <c r="X438" i="5"/>
  <c r="AJ445" i="5"/>
  <c r="DS439" i="21" l="1"/>
  <c r="CQ439" i="21"/>
  <c r="AT444" i="21"/>
  <c r="AP445" i="21"/>
  <c r="AQ444" i="21"/>
  <c r="DN442" i="21"/>
  <c r="EM442" i="21"/>
  <c r="EP442" i="21" s="1"/>
  <c r="EQ442" i="21" s="1"/>
  <c r="AU443" i="21"/>
  <c r="AR443" i="21"/>
  <c r="DO441" i="21"/>
  <c r="DP441" i="21"/>
  <c r="EW440" i="21"/>
  <c r="EX440" i="21" s="1"/>
  <c r="DU443" i="21"/>
  <c r="AV443" i="21"/>
  <c r="AW443" i="21" s="1"/>
  <c r="ES441" i="21"/>
  <c r="ER441" i="21"/>
  <c r="AD438" i="21"/>
  <c r="CY438" i="21"/>
  <c r="FK438" i="21"/>
  <c r="FM438" i="21" s="1"/>
  <c r="DQ440" i="21"/>
  <c r="DR440" i="21" s="1"/>
  <c r="DM440" i="5"/>
  <c r="CK440" i="5"/>
  <c r="FE439" i="5"/>
  <c r="FG439" i="5" s="1"/>
  <c r="CS439" i="5"/>
  <c r="AN445" i="5"/>
  <c r="AK445" i="5"/>
  <c r="EQ441" i="5"/>
  <c r="ER441" i="5" s="1"/>
  <c r="EL442" i="5"/>
  <c r="EM442" i="5"/>
  <c r="DK441" i="5"/>
  <c r="DL441" i="5" s="1"/>
  <c r="DH443" i="5"/>
  <c r="EG443" i="5"/>
  <c r="EJ443" i="5" s="1"/>
  <c r="EK443" i="5" s="1"/>
  <c r="DI442" i="5"/>
  <c r="DJ442" i="5"/>
  <c r="AO444" i="5"/>
  <c r="AL444" i="5"/>
  <c r="DO444" i="5"/>
  <c r="AP444" i="5"/>
  <c r="AQ444" i="5" s="1"/>
  <c r="X439" i="5"/>
  <c r="AJ446" i="5"/>
  <c r="DS440" i="21" l="1"/>
  <c r="CQ440" i="21"/>
  <c r="AP446" i="21"/>
  <c r="AT445" i="21"/>
  <c r="AQ445" i="21"/>
  <c r="EW441" i="21"/>
  <c r="EX441" i="21" s="1"/>
  <c r="DU444" i="21"/>
  <c r="AV444" i="21"/>
  <c r="AW444" i="21" s="1"/>
  <c r="ES442" i="21"/>
  <c r="ER442" i="21"/>
  <c r="FK439" i="21"/>
  <c r="FM439" i="21" s="1"/>
  <c r="CY439" i="21"/>
  <c r="AD439" i="21"/>
  <c r="DN443" i="21"/>
  <c r="EM443" i="21"/>
  <c r="EP443" i="21" s="1"/>
  <c r="EQ443" i="21" s="1"/>
  <c r="DQ441" i="21"/>
  <c r="DR441" i="21" s="1"/>
  <c r="DO442" i="21"/>
  <c r="DP442" i="21"/>
  <c r="AU444" i="21"/>
  <c r="AR444" i="21"/>
  <c r="DM441" i="5"/>
  <c r="CK441" i="5"/>
  <c r="X441" i="5" s="1"/>
  <c r="DK442" i="5"/>
  <c r="DL442" i="5" s="1"/>
  <c r="EL443" i="5"/>
  <c r="EM443" i="5"/>
  <c r="AO445" i="5"/>
  <c r="AL445" i="5"/>
  <c r="DI443" i="5"/>
  <c r="DJ443" i="5"/>
  <c r="DO445" i="5"/>
  <c r="AP445" i="5"/>
  <c r="AQ445" i="5" s="1"/>
  <c r="ER442" i="5"/>
  <c r="EQ442" i="5"/>
  <c r="AN446" i="5"/>
  <c r="AK446" i="5"/>
  <c r="DH444" i="5"/>
  <c r="EG444" i="5"/>
  <c r="EJ444" i="5" s="1"/>
  <c r="EK444" i="5" s="1"/>
  <c r="FE440" i="5"/>
  <c r="FG440" i="5" s="1"/>
  <c r="CY440" i="5"/>
  <c r="X440" i="5"/>
  <c r="AJ447" i="5"/>
  <c r="DS441" i="21" l="1"/>
  <c r="CQ441" i="21"/>
  <c r="DQ442" i="21"/>
  <c r="DR442" i="21" s="1"/>
  <c r="DO443" i="21"/>
  <c r="DP443" i="21"/>
  <c r="ES443" i="21"/>
  <c r="ER443" i="21"/>
  <c r="AP447" i="21"/>
  <c r="AT446" i="21"/>
  <c r="AQ446" i="21"/>
  <c r="EW442" i="21"/>
  <c r="EX442" i="21" s="1"/>
  <c r="DN444" i="21"/>
  <c r="EM444" i="21"/>
  <c r="EP444" i="21" s="1"/>
  <c r="EQ444" i="21" s="1"/>
  <c r="AU445" i="21"/>
  <c r="AR445" i="21"/>
  <c r="FK440" i="21"/>
  <c r="FM440" i="21" s="1"/>
  <c r="AD440" i="21"/>
  <c r="DE440" i="21"/>
  <c r="DU445" i="21"/>
  <c r="AV445" i="21"/>
  <c r="AW445" i="21" s="1"/>
  <c r="DM442" i="5"/>
  <c r="CK442" i="5"/>
  <c r="AL446" i="5"/>
  <c r="AO446" i="5"/>
  <c r="DO446" i="5"/>
  <c r="AP446" i="5"/>
  <c r="AQ446" i="5" s="1"/>
  <c r="EQ443" i="5"/>
  <c r="ER443" i="5" s="1"/>
  <c r="DH445" i="5"/>
  <c r="EG445" i="5"/>
  <c r="EJ445" i="5" s="1"/>
  <c r="EK445" i="5" s="1"/>
  <c r="AN447" i="5"/>
  <c r="AK447" i="5"/>
  <c r="EL444" i="5"/>
  <c r="EM444" i="5"/>
  <c r="CY441" i="5"/>
  <c r="FE441" i="5"/>
  <c r="FG441" i="5" s="1"/>
  <c r="DI444" i="5"/>
  <c r="DJ444" i="5"/>
  <c r="DK443" i="5"/>
  <c r="DL443" i="5" s="1"/>
  <c r="AJ448" i="5"/>
  <c r="DS442" i="21" l="1"/>
  <c r="CQ442" i="21"/>
  <c r="DN445" i="21"/>
  <c r="EM445" i="21"/>
  <c r="EP445" i="21" s="1"/>
  <c r="EQ445" i="21" s="1"/>
  <c r="DU446" i="21"/>
  <c r="AV446" i="21"/>
  <c r="AW446" i="21" s="1"/>
  <c r="EW443" i="21"/>
  <c r="EX443" i="21" s="1"/>
  <c r="DP444" i="21"/>
  <c r="DO444" i="21"/>
  <c r="AU446" i="21"/>
  <c r="AR446" i="21"/>
  <c r="AP448" i="21"/>
  <c r="AT447" i="21"/>
  <c r="AQ447" i="21"/>
  <c r="AD441" i="21"/>
  <c r="FK441" i="21"/>
  <c r="FM441" i="21" s="1"/>
  <c r="DE441" i="21"/>
  <c r="ES444" i="21"/>
  <c r="ER444" i="21"/>
  <c r="DQ443" i="21"/>
  <c r="DR443" i="21" s="1"/>
  <c r="DM443" i="5"/>
  <c r="CK443" i="5"/>
  <c r="DH446" i="5"/>
  <c r="EG446" i="5"/>
  <c r="EJ446" i="5" s="1"/>
  <c r="EK446" i="5" s="1"/>
  <c r="AL447" i="5"/>
  <c r="AO447" i="5"/>
  <c r="AN448" i="5"/>
  <c r="AK448" i="5"/>
  <c r="DO447" i="5"/>
  <c r="AP447" i="5"/>
  <c r="AQ447" i="5" s="1"/>
  <c r="EL445" i="5"/>
  <c r="EM445" i="5"/>
  <c r="FE442" i="5"/>
  <c r="FG442" i="5" s="1"/>
  <c r="CS442" i="5"/>
  <c r="EQ444" i="5"/>
  <c r="ER444" i="5" s="1"/>
  <c r="DK444" i="5"/>
  <c r="DL444" i="5" s="1"/>
  <c r="DJ445" i="5"/>
  <c r="DI445" i="5"/>
  <c r="AJ449" i="5"/>
  <c r="X442" i="5"/>
  <c r="DS443" i="21" l="1"/>
  <c r="CQ443" i="21"/>
  <c r="DU447" i="21"/>
  <c r="AV447" i="21"/>
  <c r="AW447" i="21" s="1"/>
  <c r="AR447" i="21"/>
  <c r="AU447" i="21"/>
  <c r="AT448" i="21"/>
  <c r="AP449" i="21"/>
  <c r="AQ448" i="21"/>
  <c r="ES445" i="21"/>
  <c r="ER445" i="21"/>
  <c r="DQ444" i="21"/>
  <c r="DR444" i="21" s="1"/>
  <c r="DO445" i="21"/>
  <c r="DP445" i="21"/>
  <c r="DN446" i="21"/>
  <c r="EM446" i="21"/>
  <c r="EP446" i="21" s="1"/>
  <c r="EQ446" i="21" s="1"/>
  <c r="FK442" i="21"/>
  <c r="FM442" i="21" s="1"/>
  <c r="CY442" i="21"/>
  <c r="AD442" i="21"/>
  <c r="EW444" i="21"/>
  <c r="EX444" i="21" s="1"/>
  <c r="DM444" i="5"/>
  <c r="CK444" i="5"/>
  <c r="AL448" i="5"/>
  <c r="AO448" i="5"/>
  <c r="DO448" i="5"/>
  <c r="AP448" i="5"/>
  <c r="AQ448" i="5" s="1"/>
  <c r="AN449" i="5"/>
  <c r="AK449" i="5"/>
  <c r="EL446" i="5"/>
  <c r="EM446" i="5"/>
  <c r="EQ445" i="5"/>
  <c r="ER445" i="5" s="1"/>
  <c r="DI446" i="5"/>
  <c r="DJ446" i="5"/>
  <c r="CS443" i="5"/>
  <c r="FE443" i="5"/>
  <c r="FG443" i="5" s="1"/>
  <c r="DK445" i="5"/>
  <c r="DL445" i="5" s="1"/>
  <c r="DH447" i="5"/>
  <c r="EG447" i="5"/>
  <c r="EJ447" i="5" s="1"/>
  <c r="EK447" i="5" s="1"/>
  <c r="AJ450" i="5"/>
  <c r="X443" i="5"/>
  <c r="DS444" i="21" l="1"/>
  <c r="CQ444" i="21"/>
  <c r="ES446" i="21"/>
  <c r="ER446" i="21"/>
  <c r="DQ445" i="21"/>
  <c r="DR445" i="21" s="1"/>
  <c r="DU448" i="21"/>
  <c r="AV448" i="21"/>
  <c r="AW448" i="21" s="1"/>
  <c r="DN447" i="21"/>
  <c r="EM447" i="21"/>
  <c r="EP447" i="21" s="1"/>
  <c r="EQ447" i="21" s="1"/>
  <c r="DP446" i="21"/>
  <c r="DO446" i="21"/>
  <c r="AU448" i="21"/>
  <c r="AR448" i="21"/>
  <c r="AD443" i="21"/>
  <c r="CY443" i="21"/>
  <c r="FK443" i="21"/>
  <c r="FM443" i="21" s="1"/>
  <c r="EW445" i="21"/>
  <c r="EX445" i="21" s="1"/>
  <c r="AT449" i="21"/>
  <c r="AQ449" i="21"/>
  <c r="DM445" i="5"/>
  <c r="CK445" i="5"/>
  <c r="AO449" i="5"/>
  <c r="AL449" i="5"/>
  <c r="AN450" i="5"/>
  <c r="AK450" i="5"/>
  <c r="DH448" i="5"/>
  <c r="EG448" i="5"/>
  <c r="EJ448" i="5" s="1"/>
  <c r="EK448" i="5" s="1"/>
  <c r="EL447" i="5"/>
  <c r="EM447" i="5"/>
  <c r="DI447" i="5"/>
  <c r="DJ447" i="5"/>
  <c r="DO449" i="5"/>
  <c r="AP449" i="5"/>
  <c r="AQ449" i="5" s="1"/>
  <c r="FE444" i="5"/>
  <c r="FG444" i="5" s="1"/>
  <c r="CY444" i="5"/>
  <c r="DK446" i="5"/>
  <c r="DL446" i="5" s="1"/>
  <c r="EQ446" i="5"/>
  <c r="ER446" i="5" s="1"/>
  <c r="X444" i="5"/>
  <c r="AJ451" i="5"/>
  <c r="DS445" i="21" l="1"/>
  <c r="CQ445" i="21"/>
  <c r="AU449" i="21"/>
  <c r="AR449" i="21"/>
  <c r="DQ446" i="21"/>
  <c r="DR446" i="21" s="1"/>
  <c r="DP447" i="21"/>
  <c r="DO447" i="21"/>
  <c r="FK444" i="21"/>
  <c r="FM444" i="21" s="1"/>
  <c r="DE444" i="21"/>
  <c r="AD444" i="21"/>
  <c r="DU449" i="21"/>
  <c r="AV449" i="21"/>
  <c r="ES447" i="21"/>
  <c r="ER447" i="21"/>
  <c r="DN448" i="21"/>
  <c r="EM448" i="21"/>
  <c r="EP448" i="21" s="1"/>
  <c r="EQ448" i="21" s="1"/>
  <c r="EW446" i="21"/>
  <c r="EX446" i="21" s="1"/>
  <c r="DM446" i="5"/>
  <c r="CK446" i="5"/>
  <c r="EL448" i="5"/>
  <c r="EM448" i="5"/>
  <c r="AO450" i="5"/>
  <c r="AL450" i="5"/>
  <c r="DO450" i="5"/>
  <c r="AP450" i="5"/>
  <c r="AQ450" i="5" s="1"/>
  <c r="DH449" i="5"/>
  <c r="EG449" i="5"/>
  <c r="EJ449" i="5" s="1"/>
  <c r="EK449" i="5" s="1"/>
  <c r="AN451" i="5"/>
  <c r="AK451" i="5"/>
  <c r="DK447" i="5"/>
  <c r="DL447" i="5" s="1"/>
  <c r="FE445" i="5"/>
  <c r="FG445" i="5" s="1"/>
  <c r="CY445" i="5"/>
  <c r="DJ448" i="5"/>
  <c r="DI448" i="5"/>
  <c r="EQ447" i="5"/>
  <c r="ER447" i="5" s="1"/>
  <c r="X445" i="5"/>
  <c r="AJ452" i="5"/>
  <c r="DS446" i="21" l="1"/>
  <c r="CQ446" i="21"/>
  <c r="AW449" i="21"/>
  <c r="AW17" i="21" s="1"/>
  <c r="AV17" i="21"/>
  <c r="AV16" i="21"/>
  <c r="EW447" i="21"/>
  <c r="EX447" i="21" s="1"/>
  <c r="ES448" i="21"/>
  <c r="ER448" i="21"/>
  <c r="DQ447" i="21"/>
  <c r="DR447" i="21" s="1"/>
  <c r="DE445" i="21"/>
  <c r="AD445" i="21"/>
  <c r="FK445" i="21"/>
  <c r="FM445" i="21" s="1"/>
  <c r="DO448" i="21"/>
  <c r="DP448" i="21"/>
  <c r="DN449" i="21"/>
  <c r="EM449" i="21"/>
  <c r="EP449" i="21" s="1"/>
  <c r="EQ449" i="21" s="1"/>
  <c r="DM447" i="5"/>
  <c r="CK447" i="5"/>
  <c r="AN452" i="5"/>
  <c r="AK452" i="5"/>
  <c r="AL451" i="5"/>
  <c r="AO451" i="5"/>
  <c r="DH450" i="5"/>
  <c r="EG450" i="5"/>
  <c r="EJ450" i="5" s="1"/>
  <c r="EK450" i="5" s="1"/>
  <c r="DO451" i="5"/>
  <c r="AP451" i="5"/>
  <c r="AQ451" i="5" s="1"/>
  <c r="EQ448" i="5"/>
  <c r="ER448" i="5" s="1"/>
  <c r="DK448" i="5"/>
  <c r="DL448" i="5" s="1"/>
  <c r="EM449" i="5"/>
  <c r="EL449" i="5"/>
  <c r="FE446" i="5"/>
  <c r="FG446" i="5" s="1"/>
  <c r="CS446" i="5"/>
  <c r="DI449" i="5"/>
  <c r="DJ449" i="5"/>
  <c r="X447" i="5"/>
  <c r="X446" i="5"/>
  <c r="AJ453" i="5"/>
  <c r="DS447" i="21" l="1"/>
  <c r="CQ447" i="21"/>
  <c r="DO449" i="21"/>
  <c r="DP449" i="21"/>
  <c r="DN17" i="21"/>
  <c r="DN1" i="21"/>
  <c r="DQ448" i="21"/>
  <c r="DR448" i="21" s="1"/>
  <c r="CY446" i="21"/>
  <c r="FK446" i="21"/>
  <c r="FM446" i="21" s="1"/>
  <c r="AD446" i="21"/>
  <c r="ER449" i="21"/>
  <c r="ES449" i="21"/>
  <c r="EW448" i="21"/>
  <c r="EX448" i="21" s="1"/>
  <c r="DM448" i="5"/>
  <c r="CK448" i="5"/>
  <c r="DI450" i="5"/>
  <c r="DJ450" i="5"/>
  <c r="AL452" i="5"/>
  <c r="AO452" i="5"/>
  <c r="EQ449" i="5"/>
  <c r="ER449" i="5" s="1"/>
  <c r="AN453" i="5"/>
  <c r="AK453" i="5"/>
  <c r="DO452" i="5"/>
  <c r="AP452" i="5"/>
  <c r="AQ452" i="5" s="1"/>
  <c r="EM450" i="5"/>
  <c r="EL450" i="5"/>
  <c r="DK449" i="5"/>
  <c r="DL449" i="5" s="1"/>
  <c r="FE447" i="5"/>
  <c r="FG447" i="5" s="1"/>
  <c r="CS447" i="5"/>
  <c r="DH451" i="5"/>
  <c r="EG451" i="5"/>
  <c r="EJ451" i="5" s="1"/>
  <c r="EK451" i="5" s="1"/>
  <c r="DS448" i="21" l="1"/>
  <c r="CQ448" i="21"/>
  <c r="EW449" i="21"/>
  <c r="EX449" i="21" s="1"/>
  <c r="DQ449" i="21"/>
  <c r="DR449" i="21" s="1"/>
  <c r="DN4" i="21"/>
  <c r="DN3" i="21"/>
  <c r="FK447" i="21"/>
  <c r="FM447" i="21" s="1"/>
  <c r="CY447" i="21"/>
  <c r="AD447" i="21"/>
  <c r="DP17" i="21"/>
  <c r="DP16" i="21" s="1"/>
  <c r="DO17" i="21"/>
  <c r="DM449" i="5"/>
  <c r="CK449" i="5"/>
  <c r="EQ450" i="5"/>
  <c r="ER450" i="5" s="1"/>
  <c r="DO453" i="5"/>
  <c r="AP453" i="5"/>
  <c r="EM451" i="5"/>
  <c r="EL451" i="5"/>
  <c r="DI451" i="5"/>
  <c r="DJ451" i="5"/>
  <c r="DH452" i="5"/>
  <c r="EG452" i="5"/>
  <c r="EJ452" i="5" s="1"/>
  <c r="EK452" i="5" s="1"/>
  <c r="DK450" i="5"/>
  <c r="DL450" i="5" s="1"/>
  <c r="AL453" i="5"/>
  <c r="AO453" i="5"/>
  <c r="CY448" i="5"/>
  <c r="FE448" i="5"/>
  <c r="FG448" i="5" s="1"/>
  <c r="X448" i="5"/>
  <c r="X449" i="5"/>
  <c r="DS449" i="21" l="1"/>
  <c r="CQ449" i="21"/>
  <c r="DO16" i="21"/>
  <c r="AD448" i="21"/>
  <c r="DE448" i="21"/>
  <c r="FK448" i="21"/>
  <c r="FM448" i="21" s="1"/>
  <c r="CY1" i="21"/>
  <c r="CY2" i="21" s="1"/>
  <c r="CY4" i="21"/>
  <c r="CY3" i="21"/>
  <c r="DM450" i="5"/>
  <c r="CK450" i="5"/>
  <c r="X450" i="5" s="1"/>
  <c r="DK451" i="5"/>
  <c r="DL451" i="5" s="1"/>
  <c r="EQ451" i="5"/>
  <c r="ER451" i="5" s="1"/>
  <c r="AQ453" i="5"/>
  <c r="AQ17" i="5" s="1"/>
  <c r="AP16" i="5"/>
  <c r="AP17" i="5"/>
  <c r="DH453" i="5"/>
  <c r="EG453" i="5"/>
  <c r="EJ453" i="5" s="1"/>
  <c r="EK453" i="5" s="1"/>
  <c r="EL452" i="5"/>
  <c r="EM452" i="5"/>
  <c r="DI452" i="5"/>
  <c r="DJ452" i="5"/>
  <c r="CY449" i="5"/>
  <c r="FE449" i="5"/>
  <c r="FG449" i="5" s="1"/>
  <c r="AD449" i="21" l="1"/>
  <c r="FK449" i="21"/>
  <c r="DE449" i="21"/>
  <c r="CQ17" i="21"/>
  <c r="CQ14" i="21"/>
  <c r="CQ16" i="21"/>
  <c r="CQ4" i="21"/>
  <c r="T4" i="21" s="1"/>
  <c r="CQ3" i="21"/>
  <c r="T3" i="21" s="1"/>
  <c r="CH1" i="21"/>
  <c r="DY1" i="21" s="1"/>
  <c r="CQ1" i="21"/>
  <c r="CH3" i="21"/>
  <c r="CH4" i="21"/>
  <c r="DM451" i="5"/>
  <c r="CK451" i="5"/>
  <c r="DK452" i="5"/>
  <c r="DL452" i="5" s="1"/>
  <c r="EM453" i="5"/>
  <c r="EL453" i="5"/>
  <c r="EQ452" i="5"/>
  <c r="ER452" i="5" s="1"/>
  <c r="DI453" i="5"/>
  <c r="DJ453" i="5"/>
  <c r="DH17" i="5"/>
  <c r="DH1" i="5"/>
  <c r="FE450" i="5"/>
  <c r="FG450" i="5" s="1"/>
  <c r="CS450" i="5"/>
  <c r="CQ2" i="21" l="1"/>
  <c r="T2" i="21" s="1"/>
  <c r="CH2" i="21"/>
  <c r="DY2" i="21" s="1"/>
  <c r="T1" i="21"/>
  <c r="T14" i="21"/>
  <c r="FA14" i="21"/>
  <c r="CQ15" i="21"/>
  <c r="FA17" i="21"/>
  <c r="T17" i="21"/>
  <c r="DE4" i="21"/>
  <c r="DE1" i="21"/>
  <c r="DE2" i="21" s="1"/>
  <c r="DE3" i="21"/>
  <c r="FM449" i="21"/>
  <c r="FM18" i="21" s="1"/>
  <c r="FT53" i="21"/>
  <c r="FT59" i="21"/>
  <c r="FT61" i="21"/>
  <c r="FT56" i="21"/>
  <c r="FT55" i="21"/>
  <c r="FT54" i="21"/>
  <c r="FT60" i="21"/>
  <c r="FT57" i="21"/>
  <c r="FT58" i="21"/>
  <c r="T16" i="21"/>
  <c r="FA16" i="21"/>
  <c r="DM452" i="5"/>
  <c r="CK452" i="5"/>
  <c r="EQ453" i="5"/>
  <c r="ER453" i="5" s="1"/>
  <c r="DK453" i="5"/>
  <c r="DL453" i="5" s="1"/>
  <c r="DH4" i="5"/>
  <c r="DH3" i="5"/>
  <c r="DJ17" i="5"/>
  <c r="DJ16" i="5" s="1"/>
  <c r="DI17" i="5"/>
  <c r="FE451" i="5"/>
  <c r="FG451" i="5" s="1"/>
  <c r="CS451" i="5"/>
  <c r="X451" i="5"/>
  <c r="FT64" i="21" l="1"/>
  <c r="FA15" i="21"/>
  <c r="T15" i="21"/>
  <c r="DM453" i="5"/>
  <c r="CK453" i="5"/>
  <c r="CS3" i="5"/>
  <c r="CS4" i="5"/>
  <c r="CS1" i="5"/>
  <c r="CS2" i="5" s="1"/>
  <c r="DI16" i="5"/>
  <c r="FE452" i="5"/>
  <c r="FG452" i="5" s="1"/>
  <c r="CY452" i="5"/>
  <c r="X452" i="5"/>
  <c r="CY453" i="5" l="1"/>
  <c r="FE453" i="5"/>
  <c r="CK14" i="5"/>
  <c r="N14" i="5" s="1"/>
  <c r="CK17" i="5"/>
  <c r="CK16" i="5"/>
  <c r="CB3" i="5"/>
  <c r="CB4" i="5"/>
  <c r="CK3" i="5"/>
  <c r="N3" i="5" s="1"/>
  <c r="CK1" i="5"/>
  <c r="N1" i="5" s="1"/>
  <c r="CK4" i="5"/>
  <c r="N4" i="5" s="1"/>
  <c r="CB1" i="5"/>
  <c r="DS1" i="5" s="1"/>
  <c r="X453" i="5"/>
  <c r="EU16" i="5" l="1"/>
  <c r="N16" i="5"/>
  <c r="EU17" i="5"/>
  <c r="N17" i="5"/>
  <c r="CK15" i="5"/>
  <c r="EU14" i="5"/>
  <c r="FG453" i="5"/>
  <c r="FG18" i="5" s="1"/>
  <c r="FN58" i="5"/>
  <c r="FN61" i="5"/>
  <c r="FN55" i="5"/>
  <c r="FN60" i="5"/>
  <c r="FN54" i="5"/>
  <c r="FN59" i="5"/>
  <c r="FN57" i="5"/>
  <c r="FN56" i="5"/>
  <c r="FN62" i="5"/>
  <c r="CB2" i="5"/>
  <c r="DS2" i="5" s="1"/>
  <c r="CK2" i="5"/>
  <c r="N2" i="5" s="1"/>
  <c r="CY1" i="5"/>
  <c r="CY2" i="5" s="1"/>
  <c r="CY3" i="5"/>
  <c r="CY4" i="5"/>
  <c r="EU15" i="5" l="1"/>
  <c r="N15" i="5"/>
  <c r="FN65" i="5"/>
  <c r="AX456" i="20" l="1"/>
  <c r="BB456" i="20" l="1"/>
  <c r="AY456" i="20"/>
  <c r="AZ456" i="20" l="1"/>
  <c r="BC456" i="20"/>
  <c r="EC456" i="20"/>
  <c r="BD456" i="20"/>
  <c r="BE456" i="20" s="1"/>
  <c r="DV456" i="20" l="1"/>
  <c r="EU456" i="20"/>
  <c r="EX456" i="20" s="1"/>
  <c r="EY456" i="20" s="1"/>
  <c r="DX456" i="20" l="1"/>
  <c r="DW456" i="20"/>
  <c r="EZ456" i="20"/>
  <c r="FA456" i="20"/>
  <c r="DY456" i="20" l="1"/>
  <c r="DZ456" i="20" s="1"/>
  <c r="CY456" i="20" s="1"/>
  <c r="FS456" i="20" s="1"/>
  <c r="FU456" i="20" s="1"/>
  <c r="FE456" i="20"/>
  <c r="FF456" i="20" s="1"/>
  <c r="EA456" i="20" l="1"/>
  <c r="DG456" i="20"/>
  <c r="AL456" i="20"/>
  <c r="AX298" i="20" l="1"/>
  <c r="BB298" i="20" l="1"/>
  <c r="AY298" i="20"/>
  <c r="BD298" i="20" l="1"/>
  <c r="BE298" i="20" s="1"/>
  <c r="EC298" i="20"/>
  <c r="BC298" i="20"/>
  <c r="AZ298" i="20"/>
  <c r="DV298" i="20" l="1"/>
  <c r="EU298" i="20"/>
  <c r="EX298" i="20" s="1"/>
  <c r="EY298" i="20" s="1"/>
  <c r="EZ298" i="20" l="1"/>
  <c r="FA298" i="20"/>
  <c r="DW298" i="20"/>
  <c r="DX298" i="20"/>
  <c r="FE298" i="20" l="1"/>
  <c r="FF298" i="20" s="1"/>
  <c r="DY298" i="20"/>
  <c r="DZ298" i="20" s="1"/>
  <c r="CY298" i="20" l="1"/>
  <c r="EA298" i="20"/>
  <c r="DM298" i="20" l="1"/>
  <c r="FS298" i="20"/>
  <c r="FU298" i="20" s="1"/>
  <c r="AL298" i="20"/>
  <c r="AX299" i="20" l="1"/>
  <c r="AY299" i="20" l="1"/>
  <c r="BB299" i="20"/>
  <c r="BC299" i="20" l="1"/>
  <c r="AZ299" i="20"/>
  <c r="BD299" i="20"/>
  <c r="BE299" i="20" s="1"/>
  <c r="EC299" i="20"/>
  <c r="EU299" i="20" l="1"/>
  <c r="EX299" i="20" s="1"/>
  <c r="EY299" i="20" s="1"/>
  <c r="DV299" i="20"/>
  <c r="DW299" i="20" l="1"/>
  <c r="DX299" i="20"/>
  <c r="FA299" i="20"/>
  <c r="EZ299" i="20"/>
  <c r="FE299" i="20" l="1"/>
  <c r="FF299" i="20" s="1"/>
  <c r="DY299" i="20"/>
  <c r="DZ299" i="20" s="1"/>
  <c r="EA299" i="20" l="1"/>
  <c r="CY299" i="20"/>
  <c r="DG299" i="20" l="1"/>
  <c r="AL299" i="20"/>
  <c r="FS299" i="20"/>
  <c r="FU299" i="20" s="1"/>
  <c r="AX165" i="20" l="1"/>
  <c r="AY165" i="20" l="1"/>
  <c r="BB165" i="20"/>
  <c r="AX166" i="20"/>
  <c r="BD165" i="20" l="1"/>
  <c r="BE165" i="20" s="1"/>
  <c r="EC165" i="20"/>
  <c r="BB166" i="20"/>
  <c r="AY166" i="20"/>
  <c r="AX167" i="20"/>
  <c r="BC165" i="20"/>
  <c r="AZ165" i="20"/>
  <c r="BD166" i="20" l="1"/>
  <c r="BE166" i="20" s="1"/>
  <c r="EC166" i="20"/>
  <c r="AZ166" i="20"/>
  <c r="BC166" i="20"/>
  <c r="DV165" i="20"/>
  <c r="EU165" i="20"/>
  <c r="EX165" i="20" s="1"/>
  <c r="EY165" i="20" s="1"/>
  <c r="BB167" i="20"/>
  <c r="AX168" i="20"/>
  <c r="AY167" i="20"/>
  <c r="BB168" i="20" l="1"/>
  <c r="AY168" i="20"/>
  <c r="AX169" i="20"/>
  <c r="AX170" i="20" s="1"/>
  <c r="EZ165" i="20"/>
  <c r="FA165" i="20"/>
  <c r="BD167" i="20"/>
  <c r="BE167" i="20" s="1"/>
  <c r="EC167" i="20"/>
  <c r="DW165" i="20"/>
  <c r="DX165" i="20"/>
  <c r="EU166" i="20"/>
  <c r="EX166" i="20" s="1"/>
  <c r="EY166" i="20" s="1"/>
  <c r="DV166" i="20"/>
  <c r="BC167" i="20"/>
  <c r="AZ167" i="20"/>
  <c r="BB170" i="20" l="1"/>
  <c r="AY170" i="20"/>
  <c r="AX171" i="20"/>
  <c r="FA166" i="20"/>
  <c r="EZ166" i="20"/>
  <c r="DY165" i="20"/>
  <c r="DZ165" i="20" s="1"/>
  <c r="AX157" i="20"/>
  <c r="AY169" i="20"/>
  <c r="BB169" i="20"/>
  <c r="DX166" i="20"/>
  <c r="DW166" i="20"/>
  <c r="EU167" i="20"/>
  <c r="EX167" i="20" s="1"/>
  <c r="EY167" i="20" s="1"/>
  <c r="DV167" i="20"/>
  <c r="FE165" i="20"/>
  <c r="FF165" i="20" s="1"/>
  <c r="BD168" i="20"/>
  <c r="BE168" i="20" s="1"/>
  <c r="EC168" i="20"/>
  <c r="BC168" i="20"/>
  <c r="AZ168" i="20"/>
  <c r="AX172" i="20" l="1"/>
  <c r="BB171" i="20"/>
  <c r="AY171" i="20"/>
  <c r="BC170" i="20"/>
  <c r="AZ170" i="20"/>
  <c r="DY166" i="20"/>
  <c r="DZ166" i="20" s="1"/>
  <c r="FE166" i="20"/>
  <c r="FF166" i="20" s="1"/>
  <c r="EC170" i="20"/>
  <c r="BD170" i="20"/>
  <c r="BE170" i="20" s="1"/>
  <c r="DV168" i="20"/>
  <c r="EU168" i="20"/>
  <c r="EX168" i="20" s="1"/>
  <c r="EY168" i="20" s="1"/>
  <c r="DX167" i="20"/>
  <c r="DW167" i="20"/>
  <c r="EZ167" i="20"/>
  <c r="FA167" i="20"/>
  <c r="BC169" i="20"/>
  <c r="AZ169" i="20"/>
  <c r="BB157" i="20"/>
  <c r="AX161" i="20"/>
  <c r="AY157" i="20"/>
  <c r="CY166" i="20"/>
  <c r="EA166" i="20"/>
  <c r="CY165" i="20"/>
  <c r="EA165" i="20"/>
  <c r="BD169" i="20"/>
  <c r="BE169" i="20" s="1"/>
  <c r="EC169" i="20"/>
  <c r="DY167" i="20" l="1"/>
  <c r="DZ167" i="20" s="1"/>
  <c r="BC171" i="20"/>
  <c r="AZ171" i="20"/>
  <c r="EU170" i="20"/>
  <c r="EX170" i="20" s="1"/>
  <c r="EY170" i="20" s="1"/>
  <c r="DV170" i="20"/>
  <c r="BD171" i="20"/>
  <c r="BE171" i="20" s="1"/>
  <c r="EC171" i="20"/>
  <c r="AX173" i="20"/>
  <c r="BB172" i="20"/>
  <c r="AY172" i="20"/>
  <c r="EU169" i="20"/>
  <c r="EX169" i="20" s="1"/>
  <c r="EY169" i="20" s="1"/>
  <c r="DV169" i="20"/>
  <c r="BC157" i="20"/>
  <c r="AZ157" i="20"/>
  <c r="BB161" i="20"/>
  <c r="AY161" i="20"/>
  <c r="FS165" i="20"/>
  <c r="FU165" i="20" s="1"/>
  <c r="DG165" i="20"/>
  <c r="AL165" i="20"/>
  <c r="DM166" i="20"/>
  <c r="AL166" i="20"/>
  <c r="FS166" i="20"/>
  <c r="FU166" i="20" s="1"/>
  <c r="FE167" i="20"/>
  <c r="FF167" i="20" s="1"/>
  <c r="EA167" i="20" s="1"/>
  <c r="EZ168" i="20"/>
  <c r="FA168" i="20"/>
  <c r="BD157" i="20"/>
  <c r="BE157" i="20" s="1"/>
  <c r="EC157" i="20"/>
  <c r="CY167" i="20"/>
  <c r="DX168" i="20"/>
  <c r="DW168" i="20"/>
  <c r="AX174" i="20" l="1"/>
  <c r="AY173" i="20"/>
  <c r="BB173" i="20"/>
  <c r="BD172" i="20"/>
  <c r="BE172" i="20" s="1"/>
  <c r="EC172" i="20"/>
  <c r="EZ170" i="20"/>
  <c r="FA170" i="20"/>
  <c r="DX170" i="20"/>
  <c r="DW170" i="20"/>
  <c r="BC172" i="20"/>
  <c r="AZ172" i="20"/>
  <c r="EU171" i="20"/>
  <c r="EX171" i="20" s="1"/>
  <c r="EY171" i="20" s="1"/>
  <c r="DV171" i="20"/>
  <c r="FE168" i="20"/>
  <c r="FF168" i="20" s="1"/>
  <c r="EU157" i="20"/>
  <c r="EX157" i="20" s="1"/>
  <c r="EY157" i="20" s="1"/>
  <c r="DV157" i="20"/>
  <c r="BD161" i="20"/>
  <c r="BE161" i="20" s="1"/>
  <c r="EC161" i="20"/>
  <c r="FS167" i="20"/>
  <c r="FU167" i="20" s="1"/>
  <c r="DM167" i="20"/>
  <c r="AL167" i="20"/>
  <c r="AZ161" i="20"/>
  <c r="BC161" i="20"/>
  <c r="DW169" i="20"/>
  <c r="DX169" i="20"/>
  <c r="DY168" i="20"/>
  <c r="DZ168" i="20" s="1"/>
  <c r="EZ169" i="20"/>
  <c r="FA169" i="20"/>
  <c r="DY170" i="20" l="1"/>
  <c r="DZ170" i="20" s="1"/>
  <c r="FE170" i="20"/>
  <c r="FF170" i="20" s="1"/>
  <c r="DX171" i="20"/>
  <c r="DW171" i="20"/>
  <c r="DY171" i="20" s="1"/>
  <c r="DZ171" i="20" s="1"/>
  <c r="DV172" i="20"/>
  <c r="EU172" i="20"/>
  <c r="EX172" i="20" s="1"/>
  <c r="EY172" i="20" s="1"/>
  <c r="BC173" i="20"/>
  <c r="AZ173" i="20"/>
  <c r="FA171" i="20"/>
  <c r="EZ171" i="20"/>
  <c r="FE171" i="20" s="1"/>
  <c r="FF171" i="20" s="1"/>
  <c r="BD173" i="20"/>
  <c r="BE173" i="20" s="1"/>
  <c r="EC173" i="20"/>
  <c r="AX175" i="20"/>
  <c r="BB174" i="20"/>
  <c r="AY174" i="20"/>
  <c r="DY169" i="20"/>
  <c r="DZ169" i="20" s="1"/>
  <c r="EA168" i="20"/>
  <c r="CY168" i="20"/>
  <c r="FE169" i="20"/>
  <c r="FF169" i="20" s="1"/>
  <c r="DV161" i="20"/>
  <c r="EU161" i="20"/>
  <c r="EX161" i="20" s="1"/>
  <c r="EY161" i="20" s="1"/>
  <c r="DW157" i="20"/>
  <c r="DX157" i="20"/>
  <c r="EZ157" i="20"/>
  <c r="FA157" i="20"/>
  <c r="EA170" i="20" l="1"/>
  <c r="CY170" i="20"/>
  <c r="AY175" i="20"/>
  <c r="BB175" i="20"/>
  <c r="AX176" i="20"/>
  <c r="EC174" i="20"/>
  <c r="BD174" i="20"/>
  <c r="BE174" i="20" s="1"/>
  <c r="EA171" i="20"/>
  <c r="CY171" i="20"/>
  <c r="BC174" i="20"/>
  <c r="AZ174" i="20"/>
  <c r="EU173" i="20"/>
  <c r="EX173" i="20" s="1"/>
  <c r="EY173" i="20" s="1"/>
  <c r="DV173" i="20"/>
  <c r="DG170" i="20"/>
  <c r="AL170" i="20"/>
  <c r="FS170" i="20"/>
  <c r="FU170" i="20" s="1"/>
  <c r="DX172" i="20"/>
  <c r="DW172" i="20"/>
  <c r="FA172" i="20"/>
  <c r="EZ172" i="20"/>
  <c r="FE157" i="20"/>
  <c r="FF157" i="20" s="1"/>
  <c r="DM168" i="20"/>
  <c r="FS168" i="20"/>
  <c r="FU168" i="20" s="1"/>
  <c r="AL168" i="20"/>
  <c r="EZ161" i="20"/>
  <c r="FA161" i="20"/>
  <c r="DY157" i="20"/>
  <c r="DZ157" i="20" s="1"/>
  <c r="DX161" i="20"/>
  <c r="DW161" i="20"/>
  <c r="CY169" i="20"/>
  <c r="EA169" i="20"/>
  <c r="DY172" i="20" l="1"/>
  <c r="DZ172" i="20" s="1"/>
  <c r="EZ173" i="20"/>
  <c r="FA173" i="20"/>
  <c r="FE172" i="20"/>
  <c r="FF172" i="20" s="1"/>
  <c r="EA172" i="20" s="1"/>
  <c r="AX177" i="20"/>
  <c r="AY176" i="20"/>
  <c r="BB176" i="20"/>
  <c r="EC175" i="20"/>
  <c r="BD175" i="20"/>
  <c r="BE175" i="20" s="1"/>
  <c r="CY172" i="20"/>
  <c r="DW173" i="20"/>
  <c r="DX173" i="20"/>
  <c r="AL171" i="20"/>
  <c r="FS171" i="20"/>
  <c r="FU171" i="20" s="1"/>
  <c r="DG171" i="20"/>
  <c r="EU174" i="20"/>
  <c r="EX174" i="20" s="1"/>
  <c r="EY174" i="20" s="1"/>
  <c r="DV174" i="20"/>
  <c r="BC175" i="20"/>
  <c r="AZ175" i="20"/>
  <c r="DY161" i="20"/>
  <c r="DZ161" i="20" s="1"/>
  <c r="EA157" i="20"/>
  <c r="CY157" i="20"/>
  <c r="DG169" i="20"/>
  <c r="FS169" i="20"/>
  <c r="FU169" i="20" s="1"/>
  <c r="AL169" i="20"/>
  <c r="FE161" i="20"/>
  <c r="FF161" i="20" s="1"/>
  <c r="DX174" i="20" l="1"/>
  <c r="DW174" i="20"/>
  <c r="DY174" i="20" s="1"/>
  <c r="DZ174" i="20" s="1"/>
  <c r="DY173" i="20"/>
  <c r="DZ173" i="20" s="1"/>
  <c r="CY173" i="20" s="1"/>
  <c r="DM172" i="20"/>
  <c r="AL172" i="20"/>
  <c r="FS172" i="20"/>
  <c r="FU172" i="20" s="1"/>
  <c r="DV175" i="20"/>
  <c r="EU175" i="20"/>
  <c r="EX175" i="20" s="1"/>
  <c r="EY175" i="20" s="1"/>
  <c r="FA174" i="20"/>
  <c r="EZ174" i="20"/>
  <c r="FE174" i="20" s="1"/>
  <c r="FF174" i="20" s="1"/>
  <c r="BD176" i="20"/>
  <c r="BE176" i="20" s="1"/>
  <c r="EC176" i="20"/>
  <c r="AZ176" i="20"/>
  <c r="BC176" i="20"/>
  <c r="AY177" i="20"/>
  <c r="BB177" i="20"/>
  <c r="AX178" i="20"/>
  <c r="FE173" i="20"/>
  <c r="FF173" i="20" s="1"/>
  <c r="EA173" i="20" s="1"/>
  <c r="DG157" i="20"/>
  <c r="AL157" i="20"/>
  <c r="FS157" i="20"/>
  <c r="FU157" i="20" s="1"/>
  <c r="CY161" i="20"/>
  <c r="EA161" i="20"/>
  <c r="BC177" i="20" l="1"/>
  <c r="AZ177" i="20"/>
  <c r="DX175" i="20"/>
  <c r="DW175" i="20"/>
  <c r="BD177" i="20"/>
  <c r="BE177" i="20" s="1"/>
  <c r="EC177" i="20"/>
  <c r="DV176" i="20"/>
  <c r="EU176" i="20"/>
  <c r="EX176" i="20" s="1"/>
  <c r="EY176" i="20" s="1"/>
  <c r="DM173" i="20"/>
  <c r="AL173" i="20"/>
  <c r="FS173" i="20"/>
  <c r="FU173" i="20" s="1"/>
  <c r="EZ175" i="20"/>
  <c r="FA175" i="20"/>
  <c r="CY174" i="20"/>
  <c r="EA174" i="20"/>
  <c r="AY178" i="20"/>
  <c r="BB178" i="20"/>
  <c r="AL161" i="20"/>
  <c r="DG161" i="20"/>
  <c r="FS161" i="20"/>
  <c r="FU161" i="20" s="1"/>
  <c r="DY175" i="20" l="1"/>
  <c r="DZ175" i="20" s="1"/>
  <c r="BD178" i="20"/>
  <c r="BE178" i="20" s="1"/>
  <c r="EC178" i="20"/>
  <c r="AZ178" i="20"/>
  <c r="BC178" i="20"/>
  <c r="FS174" i="20"/>
  <c r="FU174" i="20" s="1"/>
  <c r="DG174" i="20"/>
  <c r="AL174" i="20"/>
  <c r="FA176" i="20"/>
  <c r="EZ176" i="20"/>
  <c r="FE176" i="20" s="1"/>
  <c r="FF176" i="20" s="1"/>
  <c r="EU177" i="20"/>
  <c r="EX177" i="20" s="1"/>
  <c r="EY177" i="20" s="1"/>
  <c r="DV177" i="20"/>
  <c r="FE175" i="20"/>
  <c r="FF175" i="20" s="1"/>
  <c r="EA175" i="20" s="1"/>
  <c r="DX176" i="20"/>
  <c r="DW176" i="20"/>
  <c r="CY175" i="20"/>
  <c r="DY176" i="20" l="1"/>
  <c r="DZ176" i="20" s="1"/>
  <c r="CY176" i="20" s="1"/>
  <c r="FS175" i="20"/>
  <c r="FU175" i="20" s="1"/>
  <c r="DM175" i="20"/>
  <c r="AL175" i="20"/>
  <c r="FA177" i="20"/>
  <c r="EZ177" i="20"/>
  <c r="FE177" i="20" s="1"/>
  <c r="FF177" i="20" s="1"/>
  <c r="DX177" i="20"/>
  <c r="DW177" i="20"/>
  <c r="DV178" i="20"/>
  <c r="EU178" i="20"/>
  <c r="EX178" i="20" s="1"/>
  <c r="EY178" i="20" s="1"/>
  <c r="EA176" i="20" l="1"/>
  <c r="DY177" i="20"/>
  <c r="DZ177" i="20" s="1"/>
  <c r="CY177" i="20" s="1"/>
  <c r="EZ178" i="20"/>
  <c r="FA178" i="20"/>
  <c r="DW178" i="20"/>
  <c r="DX178" i="20"/>
  <c r="FS176" i="20"/>
  <c r="FU176" i="20" s="1"/>
  <c r="AL176" i="20"/>
  <c r="DG176" i="20"/>
  <c r="EA177" i="20" l="1"/>
  <c r="DY178" i="20"/>
  <c r="DZ178" i="20" s="1"/>
  <c r="FE178" i="20"/>
  <c r="FF178" i="20" s="1"/>
  <c r="AL177" i="20"/>
  <c r="DG177" i="20"/>
  <c r="FS177" i="20"/>
  <c r="FU177" i="20" s="1"/>
  <c r="CY178" i="20" l="1"/>
  <c r="EA178" i="20"/>
  <c r="DG178" i="20" l="1"/>
  <c r="FS178" i="20"/>
  <c r="FU178" i="20" s="1"/>
  <c r="AL178" i="20"/>
  <c r="AX381" i="20" l="1"/>
  <c r="AX382" i="20" s="1"/>
  <c r="AX383" i="20" l="1"/>
  <c r="BB382" i="20"/>
  <c r="AY382" i="20"/>
  <c r="AY381" i="20"/>
  <c r="BB381" i="20"/>
  <c r="AZ382" i="20" l="1"/>
  <c r="BC382" i="20"/>
  <c r="EC382" i="20"/>
  <c r="BD382" i="20"/>
  <c r="BE382" i="20" s="1"/>
  <c r="BB383" i="20"/>
  <c r="AX384" i="20"/>
  <c r="AY383" i="20"/>
  <c r="BD381" i="20"/>
  <c r="BE381" i="20" s="1"/>
  <c r="EC381" i="20"/>
  <c r="BC381" i="20"/>
  <c r="AZ381" i="20"/>
  <c r="EC383" i="20" l="1"/>
  <c r="BD383" i="20"/>
  <c r="BE383" i="20" s="1"/>
  <c r="DV382" i="20"/>
  <c r="EU382" i="20"/>
  <c r="EX382" i="20" s="1"/>
  <c r="EY382" i="20" s="1"/>
  <c r="AX385" i="20"/>
  <c r="BB384" i="20"/>
  <c r="AY384" i="20"/>
  <c r="BC383" i="20"/>
  <c r="AZ383" i="20"/>
  <c r="DV381" i="20"/>
  <c r="EU381" i="20"/>
  <c r="EX381" i="20" s="1"/>
  <c r="EY381" i="20" s="1"/>
  <c r="AY385" i="20" l="1"/>
  <c r="AX386" i="20"/>
  <c r="BB385" i="20"/>
  <c r="EZ382" i="20"/>
  <c r="FA382" i="20"/>
  <c r="AZ384" i="20"/>
  <c r="BC384" i="20"/>
  <c r="DW382" i="20"/>
  <c r="DX382" i="20"/>
  <c r="BD384" i="20"/>
  <c r="BE384" i="20" s="1"/>
  <c r="EC384" i="20"/>
  <c r="EU383" i="20"/>
  <c r="EX383" i="20" s="1"/>
  <c r="EY383" i="20" s="1"/>
  <c r="DV383" i="20"/>
  <c r="FA381" i="20"/>
  <c r="EZ381" i="20"/>
  <c r="DX381" i="20"/>
  <c r="DW381" i="20"/>
  <c r="FE381" i="20" l="1"/>
  <c r="FF381" i="20" s="1"/>
  <c r="EU384" i="20"/>
  <c r="EX384" i="20" s="1"/>
  <c r="EY384" i="20" s="1"/>
  <c r="DV384" i="20"/>
  <c r="DW383" i="20"/>
  <c r="DX383" i="20"/>
  <c r="FE382" i="20"/>
  <c r="FF382" i="20" s="1"/>
  <c r="BD385" i="20"/>
  <c r="BE385" i="20" s="1"/>
  <c r="EC385" i="20"/>
  <c r="EZ383" i="20"/>
  <c r="FA383" i="20"/>
  <c r="DY382" i="20"/>
  <c r="DZ382" i="20" s="1"/>
  <c r="CY382" i="20" s="1"/>
  <c r="AX387" i="20"/>
  <c r="BB386" i="20"/>
  <c r="AY386" i="20"/>
  <c r="BC385" i="20"/>
  <c r="AZ385" i="20"/>
  <c r="DY381" i="20"/>
  <c r="DZ381" i="20" s="1"/>
  <c r="AX388" i="20" l="1"/>
  <c r="BB387" i="20"/>
  <c r="AY387" i="20"/>
  <c r="AZ386" i="20"/>
  <c r="BC386" i="20"/>
  <c r="EA382" i="20"/>
  <c r="BD386" i="20"/>
  <c r="BE386" i="20" s="1"/>
  <c r="EC386" i="20"/>
  <c r="DG382" i="20"/>
  <c r="AL382" i="20"/>
  <c r="FS382" i="20"/>
  <c r="FU382" i="20" s="1"/>
  <c r="DY383" i="20"/>
  <c r="DZ383" i="20" s="1"/>
  <c r="CY383" i="20" s="1"/>
  <c r="DV385" i="20"/>
  <c r="EU385" i="20"/>
  <c r="EX385" i="20" s="1"/>
  <c r="EY385" i="20" s="1"/>
  <c r="DX384" i="20"/>
  <c r="DW384" i="20"/>
  <c r="FE383" i="20"/>
  <c r="FF383" i="20" s="1"/>
  <c r="EA383" i="20" s="1"/>
  <c r="FA384" i="20"/>
  <c r="EZ384" i="20"/>
  <c r="CY381" i="20"/>
  <c r="EA381" i="20"/>
  <c r="FE384" i="20" l="1"/>
  <c r="FF384" i="20" s="1"/>
  <c r="EZ385" i="20"/>
  <c r="FA385" i="20"/>
  <c r="FS383" i="20"/>
  <c r="FU383" i="20" s="1"/>
  <c r="AL383" i="20"/>
  <c r="DG383" i="20"/>
  <c r="DV386" i="20"/>
  <c r="EU386" i="20"/>
  <c r="EX386" i="20" s="1"/>
  <c r="EY386" i="20" s="1"/>
  <c r="BC387" i="20"/>
  <c r="AZ387" i="20"/>
  <c r="DY384" i="20"/>
  <c r="DZ384" i="20" s="1"/>
  <c r="DX385" i="20"/>
  <c r="DW385" i="20"/>
  <c r="BD387" i="20"/>
  <c r="BE387" i="20" s="1"/>
  <c r="EC387" i="20"/>
  <c r="AY388" i="20"/>
  <c r="BB388" i="20"/>
  <c r="AX389" i="20"/>
  <c r="DM381" i="20"/>
  <c r="FS381" i="20"/>
  <c r="FU381" i="20" s="1"/>
  <c r="AL381" i="20"/>
  <c r="DY385" i="20" l="1"/>
  <c r="DZ385" i="20" s="1"/>
  <c r="AX390" i="20"/>
  <c r="AY389" i="20"/>
  <c r="BB389" i="20"/>
  <c r="EU387" i="20"/>
  <c r="EX387" i="20" s="1"/>
  <c r="EY387" i="20" s="1"/>
  <c r="DV387" i="20"/>
  <c r="CY385" i="20"/>
  <c r="EC388" i="20"/>
  <c r="BD388" i="20"/>
  <c r="BE388" i="20" s="1"/>
  <c r="EZ386" i="20"/>
  <c r="FA386" i="20"/>
  <c r="CY384" i="20"/>
  <c r="EA384" i="20"/>
  <c r="AZ388" i="20"/>
  <c r="BC388" i="20"/>
  <c r="DW386" i="20"/>
  <c r="DX386" i="20"/>
  <c r="FE385" i="20"/>
  <c r="FF385" i="20" s="1"/>
  <c r="EA385" i="20" s="1"/>
  <c r="FE386" i="20" l="1"/>
  <c r="FF386" i="20" s="1"/>
  <c r="DG384" i="20"/>
  <c r="FS384" i="20"/>
  <c r="FU384" i="20" s="1"/>
  <c r="AL384" i="20"/>
  <c r="DY386" i="20"/>
  <c r="DZ386" i="20" s="1"/>
  <c r="EZ387" i="20"/>
  <c r="FA387" i="20"/>
  <c r="FS385" i="20"/>
  <c r="FU385" i="20" s="1"/>
  <c r="DG385" i="20"/>
  <c r="AL385" i="20"/>
  <c r="EC389" i="20"/>
  <c r="BD389" i="20"/>
  <c r="BE389" i="20" s="1"/>
  <c r="DW387" i="20"/>
  <c r="DX387" i="20"/>
  <c r="AZ389" i="20"/>
  <c r="BC389" i="20"/>
  <c r="DV388" i="20"/>
  <c r="EU388" i="20"/>
  <c r="EX388" i="20" s="1"/>
  <c r="EY388" i="20" s="1"/>
  <c r="BB390" i="20"/>
  <c r="AY390" i="20"/>
  <c r="DW388" i="20" l="1"/>
  <c r="DX388" i="20"/>
  <c r="EU389" i="20"/>
  <c r="EX389" i="20" s="1"/>
  <c r="EY389" i="20" s="1"/>
  <c r="DV389" i="20"/>
  <c r="FE387" i="20"/>
  <c r="FF387" i="20" s="1"/>
  <c r="EZ388" i="20"/>
  <c r="FA388" i="20"/>
  <c r="EA386" i="20"/>
  <c r="CY386" i="20"/>
  <c r="BD390" i="20"/>
  <c r="BE390" i="20" s="1"/>
  <c r="EC390" i="20"/>
  <c r="BC390" i="20"/>
  <c r="AZ390" i="20"/>
  <c r="DY387" i="20"/>
  <c r="DZ387" i="20" s="1"/>
  <c r="DV390" i="20" l="1"/>
  <c r="EU390" i="20"/>
  <c r="EX390" i="20" s="1"/>
  <c r="EY390" i="20" s="1"/>
  <c r="AL386" i="20"/>
  <c r="FS386" i="20"/>
  <c r="FU386" i="20" s="1"/>
  <c r="DM386" i="20"/>
  <c r="DX389" i="20"/>
  <c r="DW389" i="20"/>
  <c r="FA389" i="20"/>
  <c r="EZ389" i="20"/>
  <c r="FE389" i="20" s="1"/>
  <c r="FF389" i="20" s="1"/>
  <c r="EA387" i="20"/>
  <c r="CY387" i="20"/>
  <c r="FE388" i="20"/>
  <c r="FF388" i="20" s="1"/>
  <c r="DY388" i="20"/>
  <c r="DZ388" i="20" s="1"/>
  <c r="DY389" i="20" l="1"/>
  <c r="DZ389" i="20" s="1"/>
  <c r="CY389" i="20" s="1"/>
  <c r="FS387" i="20"/>
  <c r="FU387" i="20" s="1"/>
  <c r="DG387" i="20"/>
  <c r="AL387" i="20"/>
  <c r="EA388" i="20"/>
  <c r="CY388" i="20"/>
  <c r="EZ390" i="20"/>
  <c r="FA390" i="20"/>
  <c r="DG389" i="20"/>
  <c r="AL389" i="20"/>
  <c r="FS389" i="20"/>
  <c r="FU389" i="20" s="1"/>
  <c r="DX390" i="20"/>
  <c r="DW390" i="20"/>
  <c r="DY390" i="20" l="1"/>
  <c r="DZ390" i="20" s="1"/>
  <c r="CY390" i="20" s="1"/>
  <c r="EA389" i="20"/>
  <c r="FE390" i="20"/>
  <c r="FF390" i="20" s="1"/>
  <c r="EA390" i="20" s="1"/>
  <c r="FS388" i="20"/>
  <c r="FU388" i="20" s="1"/>
  <c r="DG388" i="20"/>
  <c r="AL388" i="20"/>
  <c r="DM390" i="20" l="1"/>
  <c r="AL390" i="20"/>
  <c r="FS390" i="20"/>
  <c r="FU390" i="20" s="1"/>
  <c r="AX218" i="20" l="1"/>
  <c r="AX219" i="20" l="1"/>
  <c r="AY218" i="20"/>
  <c r="BB218" i="20"/>
  <c r="EC218" i="20" l="1"/>
  <c r="BD218" i="20"/>
  <c r="BE218" i="20" s="1"/>
  <c r="BC218" i="20"/>
  <c r="AZ218" i="20"/>
  <c r="AY219" i="20"/>
  <c r="AX220" i="20"/>
  <c r="BB219" i="20"/>
  <c r="EC219" i="20" l="1"/>
  <c r="BD219" i="20"/>
  <c r="BE219" i="20" s="1"/>
  <c r="BB220" i="20"/>
  <c r="AY220" i="20"/>
  <c r="AX221" i="20"/>
  <c r="BC219" i="20"/>
  <c r="AZ219" i="20"/>
  <c r="DV218" i="20"/>
  <c r="EU218" i="20"/>
  <c r="EX218" i="20" s="1"/>
  <c r="EY218" i="20" s="1"/>
  <c r="AY221" i="20" l="1"/>
  <c r="AX222" i="20"/>
  <c r="BB221" i="20"/>
  <c r="EZ218" i="20"/>
  <c r="FA218" i="20"/>
  <c r="BC220" i="20"/>
  <c r="AZ220" i="20"/>
  <c r="DX218" i="20"/>
  <c r="DW218" i="20"/>
  <c r="EU219" i="20"/>
  <c r="EX219" i="20" s="1"/>
  <c r="EY219" i="20" s="1"/>
  <c r="DV219" i="20"/>
  <c r="EC220" i="20"/>
  <c r="BD220" i="20"/>
  <c r="BE220" i="20" s="1"/>
  <c r="DY218" i="20" l="1"/>
  <c r="DZ218" i="20" s="1"/>
  <c r="FA219" i="20"/>
  <c r="EZ219" i="20"/>
  <c r="FE219" i="20" s="1"/>
  <c r="FF219" i="20" s="1"/>
  <c r="DV220" i="20"/>
  <c r="EU220" i="20"/>
  <c r="EX220" i="20" s="1"/>
  <c r="EY220" i="20" s="1"/>
  <c r="DW219" i="20"/>
  <c r="DX219" i="20"/>
  <c r="BC221" i="20"/>
  <c r="AZ221" i="20"/>
  <c r="FE218" i="20"/>
  <c r="FF218" i="20" s="1"/>
  <c r="EA218" i="20" s="1"/>
  <c r="EC221" i="20"/>
  <c r="BD221" i="20"/>
  <c r="BE221" i="20" s="1"/>
  <c r="AY222" i="20"/>
  <c r="AX223" i="20"/>
  <c r="BB222" i="20"/>
  <c r="AZ222" i="20" l="1"/>
  <c r="BC222" i="20"/>
  <c r="DY219" i="20"/>
  <c r="DZ219" i="20" s="1"/>
  <c r="EA219" i="20" s="1"/>
  <c r="BD222" i="20"/>
  <c r="BE222" i="20" s="1"/>
  <c r="EC222" i="20"/>
  <c r="EZ220" i="20"/>
  <c r="FA220" i="20"/>
  <c r="AX224" i="20"/>
  <c r="AX226" i="20" s="1"/>
  <c r="AY223" i="20"/>
  <c r="BB223" i="20"/>
  <c r="DV221" i="20"/>
  <c r="EU221" i="20"/>
  <c r="EX221" i="20" s="1"/>
  <c r="EY221" i="20" s="1"/>
  <c r="DX220" i="20"/>
  <c r="DW220" i="20"/>
  <c r="BB226" i="20" l="1"/>
  <c r="AY226" i="20"/>
  <c r="DY220" i="20"/>
  <c r="DZ220" i="20" s="1"/>
  <c r="BD223" i="20"/>
  <c r="BE223" i="20" s="1"/>
  <c r="EC223" i="20"/>
  <c r="AY224" i="20"/>
  <c r="AX225" i="20"/>
  <c r="AX227" i="20" s="1"/>
  <c r="BB224" i="20"/>
  <c r="DV222" i="20"/>
  <c r="EU222" i="20"/>
  <c r="EX222" i="20" s="1"/>
  <c r="EY222" i="20" s="1"/>
  <c r="FE220" i="20"/>
  <c r="FF220" i="20" s="1"/>
  <c r="EA220" i="20" s="1"/>
  <c r="FA221" i="20"/>
  <c r="EZ221" i="20"/>
  <c r="BC223" i="20"/>
  <c r="AZ223" i="20"/>
  <c r="DW221" i="20"/>
  <c r="DX221" i="20"/>
  <c r="AZ226" i="20" l="1"/>
  <c r="BC226" i="20"/>
  <c r="EC226" i="20"/>
  <c r="BD226" i="20"/>
  <c r="BE226" i="20" s="1"/>
  <c r="DY221" i="20"/>
  <c r="DZ221" i="20" s="1"/>
  <c r="AX228" i="20"/>
  <c r="BB227" i="20"/>
  <c r="AY227" i="20"/>
  <c r="BC224" i="20"/>
  <c r="AZ224" i="20"/>
  <c r="FA222" i="20"/>
  <c r="EZ222" i="20"/>
  <c r="BB225" i="20"/>
  <c r="AY225" i="20"/>
  <c r="DW222" i="20"/>
  <c r="DX222" i="20"/>
  <c r="EC224" i="20"/>
  <c r="BD224" i="20"/>
  <c r="BE224" i="20" s="1"/>
  <c r="FE221" i="20"/>
  <c r="FF221" i="20" s="1"/>
  <c r="EA221" i="20" s="1"/>
  <c r="EU223" i="20"/>
  <c r="EX223" i="20" s="1"/>
  <c r="EY223" i="20" s="1"/>
  <c r="DV223" i="20"/>
  <c r="AX194" i="20"/>
  <c r="AX195" i="20" s="1"/>
  <c r="AX196" i="20" s="1"/>
  <c r="DV226" i="20" l="1"/>
  <c r="EU226" i="20"/>
  <c r="EX226" i="20" s="1"/>
  <c r="EY226" i="20" s="1"/>
  <c r="FE222" i="20"/>
  <c r="FF222" i="20" s="1"/>
  <c r="AX197" i="20"/>
  <c r="AY196" i="20"/>
  <c r="BB196" i="20"/>
  <c r="AY195" i="20"/>
  <c r="AZ227" i="20"/>
  <c r="BC227" i="20"/>
  <c r="EC227" i="20"/>
  <c r="BD227" i="20"/>
  <c r="BE227" i="20" s="1"/>
  <c r="AY228" i="20"/>
  <c r="BB228" i="20"/>
  <c r="BB195" i="20"/>
  <c r="BC195" i="20" s="1"/>
  <c r="AZ195" i="20"/>
  <c r="EU224" i="20"/>
  <c r="EX224" i="20" s="1"/>
  <c r="EY224" i="20" s="1"/>
  <c r="DV224" i="20"/>
  <c r="DX223" i="20"/>
  <c r="DW223" i="20"/>
  <c r="DY222" i="20"/>
  <c r="DZ222" i="20" s="1"/>
  <c r="EA222" i="20" s="1"/>
  <c r="AY194" i="20"/>
  <c r="BB194" i="20"/>
  <c r="AZ225" i="20"/>
  <c r="BC225" i="20"/>
  <c r="EZ223" i="20"/>
  <c r="FA223" i="20"/>
  <c r="EC225" i="20"/>
  <c r="BD225" i="20"/>
  <c r="BE225" i="20" s="1"/>
  <c r="EC195" i="20" l="1"/>
  <c r="BD195" i="20"/>
  <c r="BE195" i="20" s="1"/>
  <c r="FA226" i="20"/>
  <c r="EZ226" i="20"/>
  <c r="FE226" i="20" s="1"/>
  <c r="FF226" i="20" s="1"/>
  <c r="DX226" i="20"/>
  <c r="DW226" i="20"/>
  <c r="FE223" i="20"/>
  <c r="FF223" i="20" s="1"/>
  <c r="AZ228" i="20"/>
  <c r="BC228" i="20"/>
  <c r="BD196" i="20"/>
  <c r="BE196" i="20" s="1"/>
  <c r="EC196" i="20"/>
  <c r="BD228" i="20"/>
  <c r="BE228" i="20" s="1"/>
  <c r="EC228" i="20"/>
  <c r="BC196" i="20"/>
  <c r="AZ196" i="20"/>
  <c r="EU227" i="20"/>
  <c r="EX227" i="20" s="1"/>
  <c r="EY227" i="20" s="1"/>
  <c r="DV227" i="20"/>
  <c r="AX198" i="20"/>
  <c r="AY197" i="20"/>
  <c r="BB197" i="20"/>
  <c r="EZ224" i="20"/>
  <c r="FA224" i="20"/>
  <c r="EC194" i="20"/>
  <c r="BD194" i="20"/>
  <c r="BE194" i="20" s="1"/>
  <c r="AX229" i="20"/>
  <c r="AX230" i="20" s="1"/>
  <c r="AZ194" i="20"/>
  <c r="BC194" i="20"/>
  <c r="DX224" i="20"/>
  <c r="DW224" i="20"/>
  <c r="DY223" i="20"/>
  <c r="DZ223" i="20" s="1"/>
  <c r="DV195" i="20"/>
  <c r="EU195" i="20"/>
  <c r="EX195" i="20" s="1"/>
  <c r="EY195" i="20" s="1"/>
  <c r="EU225" i="20"/>
  <c r="EX225" i="20" s="1"/>
  <c r="EY225" i="20" s="1"/>
  <c r="DV225" i="20"/>
  <c r="EA223" i="20" l="1"/>
  <c r="DY226" i="20"/>
  <c r="DZ226" i="20" s="1"/>
  <c r="CY226" i="20" s="1"/>
  <c r="DY224" i="20"/>
  <c r="DZ224" i="20" s="1"/>
  <c r="AX231" i="20"/>
  <c r="AY230" i="20"/>
  <c r="BB230" i="20"/>
  <c r="AX199" i="20"/>
  <c r="AX201" i="20" s="1"/>
  <c r="AX203" i="20" s="1"/>
  <c r="AX205" i="20" s="1"/>
  <c r="BB198" i="20"/>
  <c r="AY198" i="20"/>
  <c r="AZ197" i="20"/>
  <c r="BC197" i="20"/>
  <c r="EU228" i="20"/>
  <c r="EX228" i="20" s="1"/>
  <c r="EY228" i="20" s="1"/>
  <c r="DV228" i="20"/>
  <c r="EC197" i="20"/>
  <c r="BD197" i="20"/>
  <c r="BE197" i="20" s="1"/>
  <c r="DW227" i="20"/>
  <c r="DX227" i="20"/>
  <c r="FA227" i="20"/>
  <c r="EZ227" i="20"/>
  <c r="DV196" i="20"/>
  <c r="EU196" i="20"/>
  <c r="EX196" i="20" s="1"/>
  <c r="EY196" i="20" s="1"/>
  <c r="DV194" i="20"/>
  <c r="EU194" i="20"/>
  <c r="EX194" i="20" s="1"/>
  <c r="EY194" i="20" s="1"/>
  <c r="FA225" i="20"/>
  <c r="EZ225" i="20"/>
  <c r="AY229" i="20"/>
  <c r="BB229" i="20"/>
  <c r="EZ195" i="20"/>
  <c r="FA195" i="20"/>
  <c r="FE224" i="20"/>
  <c r="FF224" i="20" s="1"/>
  <c r="EA224" i="20" s="1"/>
  <c r="DW225" i="20"/>
  <c r="DX225" i="20"/>
  <c r="DW195" i="20"/>
  <c r="DX195" i="20"/>
  <c r="BB205" i="20" l="1"/>
  <c r="AY205" i="20"/>
  <c r="BB203" i="20"/>
  <c r="AY203" i="20"/>
  <c r="FS226" i="20"/>
  <c r="FU226" i="20" s="1"/>
  <c r="AL226" i="20"/>
  <c r="DM226" i="20"/>
  <c r="EA226" i="20"/>
  <c r="FE227" i="20"/>
  <c r="FF227" i="20" s="1"/>
  <c r="BB201" i="20"/>
  <c r="AY201" i="20"/>
  <c r="FE225" i="20"/>
  <c r="FF225" i="20" s="1"/>
  <c r="DW196" i="20"/>
  <c r="DX196" i="20"/>
  <c r="DW228" i="20"/>
  <c r="DX228" i="20"/>
  <c r="DV197" i="20"/>
  <c r="EU197" i="20"/>
  <c r="EX197" i="20" s="1"/>
  <c r="EY197" i="20" s="1"/>
  <c r="BB199" i="20"/>
  <c r="AX200" i="20"/>
  <c r="AY199" i="20"/>
  <c r="EZ196" i="20"/>
  <c r="FA196" i="20"/>
  <c r="EC230" i="20"/>
  <c r="BD230" i="20"/>
  <c r="BE230" i="20" s="1"/>
  <c r="FA228" i="20"/>
  <c r="EZ228" i="20"/>
  <c r="BC198" i="20"/>
  <c r="AZ198" i="20"/>
  <c r="AZ230" i="20"/>
  <c r="BC230" i="20"/>
  <c r="DY227" i="20"/>
  <c r="DZ227" i="20" s="1"/>
  <c r="CY227" i="20" s="1"/>
  <c r="FE195" i="20"/>
  <c r="FF195" i="20" s="1"/>
  <c r="EC198" i="20"/>
  <c r="BD198" i="20"/>
  <c r="BE198" i="20" s="1"/>
  <c r="AX232" i="20"/>
  <c r="BB231" i="20"/>
  <c r="AY231" i="20"/>
  <c r="FA194" i="20"/>
  <c r="EZ194" i="20"/>
  <c r="EC229" i="20"/>
  <c r="BD229" i="20"/>
  <c r="BE229" i="20" s="1"/>
  <c r="DY195" i="20"/>
  <c r="DZ195" i="20" s="1"/>
  <c r="CY195" i="20" s="1"/>
  <c r="DX194" i="20"/>
  <c r="DW194" i="20"/>
  <c r="AZ229" i="20"/>
  <c r="BC229" i="20"/>
  <c r="DY225" i="20"/>
  <c r="DZ225" i="20" s="1"/>
  <c r="EA225" i="20" s="1"/>
  <c r="DY194" i="20" l="1"/>
  <c r="DZ194" i="20" s="1"/>
  <c r="BC205" i="20"/>
  <c r="AZ205" i="20"/>
  <c r="EC205" i="20"/>
  <c r="BD205" i="20"/>
  <c r="BE205" i="20" s="1"/>
  <c r="BC203" i="20"/>
  <c r="AZ203" i="20"/>
  <c r="FE228" i="20"/>
  <c r="FF228" i="20" s="1"/>
  <c r="EC203" i="20"/>
  <c r="BD203" i="20"/>
  <c r="BE203" i="20" s="1"/>
  <c r="BC201" i="20"/>
  <c r="AZ201" i="20"/>
  <c r="EC201" i="20"/>
  <c r="BD201" i="20"/>
  <c r="BE201" i="20" s="1"/>
  <c r="DW197" i="20"/>
  <c r="DX197" i="20"/>
  <c r="EU198" i="20"/>
  <c r="EX198" i="20" s="1"/>
  <c r="EY198" i="20" s="1"/>
  <c r="DV198" i="20"/>
  <c r="FE196" i="20"/>
  <c r="FF196" i="20" s="1"/>
  <c r="AX202" i="20"/>
  <c r="BB200" i="20"/>
  <c r="AY200" i="20"/>
  <c r="EA227" i="20"/>
  <c r="AZ231" i="20"/>
  <c r="BC231" i="20"/>
  <c r="DY228" i="20"/>
  <c r="DZ228" i="20" s="1"/>
  <c r="FS227" i="20"/>
  <c r="FU227" i="20" s="1"/>
  <c r="AL227" i="20"/>
  <c r="DM227" i="20"/>
  <c r="AZ199" i="20"/>
  <c r="BC199" i="20"/>
  <c r="EZ197" i="20"/>
  <c r="FA197" i="20"/>
  <c r="EC231" i="20"/>
  <c r="BD231" i="20"/>
  <c r="BE231" i="20" s="1"/>
  <c r="EU230" i="20"/>
  <c r="EX230" i="20" s="1"/>
  <c r="EY230" i="20" s="1"/>
  <c r="DV230" i="20"/>
  <c r="EC199" i="20"/>
  <c r="BD199" i="20"/>
  <c r="BE199" i="20" s="1"/>
  <c r="AY232" i="20"/>
  <c r="BB232" i="20"/>
  <c r="DY196" i="20"/>
  <c r="DZ196" i="20" s="1"/>
  <c r="FE194" i="20"/>
  <c r="FF194" i="20" s="1"/>
  <c r="EA194" i="20" s="1"/>
  <c r="FS195" i="20"/>
  <c r="FU195" i="20" s="1"/>
  <c r="DG195" i="20"/>
  <c r="AL195" i="20"/>
  <c r="DV229" i="20"/>
  <c r="EU229" i="20"/>
  <c r="EX229" i="20" s="1"/>
  <c r="EY229" i="20" s="1"/>
  <c r="CY194" i="20"/>
  <c r="EA195" i="20"/>
  <c r="DV205" i="20" l="1"/>
  <c r="EU205" i="20"/>
  <c r="EX205" i="20" s="1"/>
  <c r="EY205" i="20" s="1"/>
  <c r="DV203" i="20"/>
  <c r="EU203" i="20"/>
  <c r="EX203" i="20" s="1"/>
  <c r="EY203" i="20" s="1"/>
  <c r="DV201" i="20"/>
  <c r="EU201" i="20"/>
  <c r="EX201" i="20" s="1"/>
  <c r="EY201" i="20" s="1"/>
  <c r="EU199" i="20"/>
  <c r="EX199" i="20" s="1"/>
  <c r="EY199" i="20" s="1"/>
  <c r="DV199" i="20"/>
  <c r="DV231" i="20"/>
  <c r="EU231" i="20"/>
  <c r="EX231" i="20" s="1"/>
  <c r="EY231" i="20" s="1"/>
  <c r="BB202" i="20"/>
  <c r="AX204" i="20"/>
  <c r="AY202" i="20"/>
  <c r="DX230" i="20"/>
  <c r="DW230" i="20"/>
  <c r="EA196" i="20"/>
  <c r="CY196" i="20"/>
  <c r="DW198" i="20"/>
  <c r="DX198" i="20"/>
  <c r="BD232" i="20"/>
  <c r="BE232" i="20" s="1"/>
  <c r="EC232" i="20"/>
  <c r="EZ198" i="20"/>
  <c r="FA198" i="20"/>
  <c r="FA230" i="20"/>
  <c r="EZ230" i="20"/>
  <c r="EA228" i="20"/>
  <c r="CY228" i="20"/>
  <c r="AZ200" i="20"/>
  <c r="BC200" i="20"/>
  <c r="AZ232" i="20"/>
  <c r="BC232" i="20"/>
  <c r="FE197" i="20"/>
  <c r="FF197" i="20" s="1"/>
  <c r="EC200" i="20"/>
  <c r="BD200" i="20"/>
  <c r="BE200" i="20" s="1"/>
  <c r="DY197" i="20"/>
  <c r="DZ197" i="20" s="1"/>
  <c r="CY197" i="20" s="1"/>
  <c r="DW229" i="20"/>
  <c r="DX229" i="20"/>
  <c r="AX233" i="20"/>
  <c r="AX234" i="20" s="1"/>
  <c r="FA229" i="20"/>
  <c r="EZ229" i="20"/>
  <c r="FE229" i="20" s="1"/>
  <c r="FF229" i="20" s="1"/>
  <c r="AL194" i="20"/>
  <c r="FS194" i="20"/>
  <c r="FU194" i="20" s="1"/>
  <c r="DM194" i="20"/>
  <c r="FA205" i="20" l="1"/>
  <c r="EZ205" i="20"/>
  <c r="FE205" i="20" s="1"/>
  <c r="FF205" i="20" s="1"/>
  <c r="DX205" i="20"/>
  <c r="DW205" i="20"/>
  <c r="DY205" i="20" s="1"/>
  <c r="DZ205" i="20" s="1"/>
  <c r="CY205" i="20" s="1"/>
  <c r="FA203" i="20"/>
  <c r="EZ203" i="20"/>
  <c r="FE203" i="20" s="1"/>
  <c r="FF203" i="20" s="1"/>
  <c r="DX203" i="20"/>
  <c r="DW203" i="20"/>
  <c r="DY203" i="20" s="1"/>
  <c r="DZ203" i="20" s="1"/>
  <c r="CY203" i="20" s="1"/>
  <c r="FA201" i="20"/>
  <c r="EZ201" i="20"/>
  <c r="FE201" i="20" s="1"/>
  <c r="FF201" i="20" s="1"/>
  <c r="DX201" i="20"/>
  <c r="DW201" i="20"/>
  <c r="FE230" i="20"/>
  <c r="FF230" i="20" s="1"/>
  <c r="FE198" i="20"/>
  <c r="FF198" i="20" s="1"/>
  <c r="DY230" i="20"/>
  <c r="DZ230" i="20" s="1"/>
  <c r="DG228" i="20"/>
  <c r="FS228" i="20"/>
  <c r="FU228" i="20" s="1"/>
  <c r="AL228" i="20"/>
  <c r="AX206" i="20"/>
  <c r="AY204" i="20"/>
  <c r="BB204" i="20"/>
  <c r="DV232" i="20"/>
  <c r="EU232" i="20"/>
  <c r="EX232" i="20" s="1"/>
  <c r="EY232" i="20" s="1"/>
  <c r="EC202" i="20"/>
  <c r="BD202" i="20"/>
  <c r="BE202" i="20" s="1"/>
  <c r="AL196" i="20"/>
  <c r="FS196" i="20"/>
  <c r="FU196" i="20" s="1"/>
  <c r="DG196" i="20"/>
  <c r="FA231" i="20"/>
  <c r="EZ231" i="20"/>
  <c r="DY198" i="20"/>
  <c r="DZ198" i="20" s="1"/>
  <c r="BB234" i="20"/>
  <c r="AY234" i="20"/>
  <c r="AZ202" i="20"/>
  <c r="BC202" i="20"/>
  <c r="DV200" i="20"/>
  <c r="EU200" i="20"/>
  <c r="EX200" i="20" s="1"/>
  <c r="EY200" i="20" s="1"/>
  <c r="DX231" i="20"/>
  <c r="DW231" i="20"/>
  <c r="EA197" i="20"/>
  <c r="DW199" i="20"/>
  <c r="DX199" i="20"/>
  <c r="DG197" i="20"/>
  <c r="FS197" i="20"/>
  <c r="FU197" i="20" s="1"/>
  <c r="AL197" i="20"/>
  <c r="FA199" i="20"/>
  <c r="EZ199" i="20"/>
  <c r="DY229" i="20"/>
  <c r="DZ229" i="20" s="1"/>
  <c r="EA229" i="20" s="1"/>
  <c r="AY233" i="20"/>
  <c r="BB233" i="20"/>
  <c r="EA230" i="20" l="1"/>
  <c r="FS205" i="20"/>
  <c r="FU205" i="20" s="1"/>
  <c r="DM205" i="20"/>
  <c r="AL205" i="20"/>
  <c r="EA205" i="20"/>
  <c r="FS203" i="20"/>
  <c r="FU203" i="20" s="1"/>
  <c r="DG203" i="20"/>
  <c r="AL203" i="20"/>
  <c r="EA203" i="20"/>
  <c r="DY201" i="20"/>
  <c r="DZ201" i="20" s="1"/>
  <c r="EA201" i="20" s="1"/>
  <c r="CY230" i="20"/>
  <c r="DG230" i="20" s="1"/>
  <c r="DY231" i="20"/>
  <c r="DZ231" i="20" s="1"/>
  <c r="CY231" i="20" s="1"/>
  <c r="FE199" i="20"/>
  <c r="FF199" i="20" s="1"/>
  <c r="FA200" i="20"/>
  <c r="EZ200" i="20"/>
  <c r="FE200" i="20" s="1"/>
  <c r="FF200" i="20" s="1"/>
  <c r="DW200" i="20"/>
  <c r="DX200" i="20"/>
  <c r="BC234" i="20"/>
  <c r="AZ234" i="20"/>
  <c r="EC204" i="20"/>
  <c r="BD204" i="20"/>
  <c r="BE204" i="20" s="1"/>
  <c r="FS230" i="20"/>
  <c r="FU230" i="20" s="1"/>
  <c r="AL230" i="20"/>
  <c r="BC204" i="20"/>
  <c r="AZ204" i="20"/>
  <c r="EZ232" i="20"/>
  <c r="FA232" i="20"/>
  <c r="AX207" i="20"/>
  <c r="AY206" i="20"/>
  <c r="BB206" i="20"/>
  <c r="FE231" i="20"/>
  <c r="FF231" i="20" s="1"/>
  <c r="EC234" i="20"/>
  <c r="BD234" i="20"/>
  <c r="BE234" i="20" s="1"/>
  <c r="DV202" i="20"/>
  <c r="EU202" i="20"/>
  <c r="EX202" i="20" s="1"/>
  <c r="EY202" i="20" s="1"/>
  <c r="DY199" i="20"/>
  <c r="DZ199" i="20" s="1"/>
  <c r="EA198" i="20"/>
  <c r="CY198" i="20"/>
  <c r="DW232" i="20"/>
  <c r="DX232" i="20"/>
  <c r="AX235" i="20"/>
  <c r="BC233" i="20"/>
  <c r="AZ233" i="20"/>
  <c r="BD233" i="20"/>
  <c r="BE233" i="20" s="1"/>
  <c r="EC233" i="20"/>
  <c r="CY201" i="20" l="1"/>
  <c r="EA231" i="20"/>
  <c r="FS201" i="20"/>
  <c r="FU201" i="20" s="1"/>
  <c r="DG201" i="20"/>
  <c r="AL201" i="20"/>
  <c r="BC206" i="20"/>
  <c r="AZ206" i="20"/>
  <c r="EC206" i="20"/>
  <c r="BD206" i="20"/>
  <c r="BE206" i="20" s="1"/>
  <c r="DV234" i="20"/>
  <c r="EU234" i="20"/>
  <c r="EX234" i="20" s="1"/>
  <c r="EY234" i="20" s="1"/>
  <c r="DY232" i="20"/>
  <c r="DZ232" i="20" s="1"/>
  <c r="EZ202" i="20"/>
  <c r="FA202" i="20"/>
  <c r="DM198" i="20"/>
  <c r="FS198" i="20"/>
  <c r="FU198" i="20" s="1"/>
  <c r="AL198" i="20"/>
  <c r="DY200" i="20"/>
  <c r="DZ200" i="20" s="1"/>
  <c r="CY199" i="20"/>
  <c r="EA199" i="20"/>
  <c r="FE232" i="20"/>
  <c r="FF232" i="20" s="1"/>
  <c r="DV204" i="20"/>
  <c r="EU204" i="20"/>
  <c r="EX204" i="20" s="1"/>
  <c r="EY204" i="20" s="1"/>
  <c r="DW202" i="20"/>
  <c r="DX202" i="20"/>
  <c r="AX208" i="20"/>
  <c r="BB207" i="20"/>
  <c r="AY207" i="20"/>
  <c r="AL231" i="20"/>
  <c r="DM231" i="20"/>
  <c r="FS231" i="20"/>
  <c r="FU231" i="20" s="1"/>
  <c r="DV233" i="20"/>
  <c r="EU233" i="20"/>
  <c r="EX233" i="20" s="1"/>
  <c r="EY233" i="20" s="1"/>
  <c r="AY235" i="20"/>
  <c r="AX236" i="20"/>
  <c r="BB235" i="20"/>
  <c r="AZ207" i="20" l="1"/>
  <c r="BC207" i="20"/>
  <c r="DX204" i="20"/>
  <c r="DW204" i="20"/>
  <c r="DY204" i="20" s="1"/>
  <c r="DZ204" i="20" s="1"/>
  <c r="EC207" i="20"/>
  <c r="BD207" i="20"/>
  <c r="BE207" i="20" s="1"/>
  <c r="CY200" i="20"/>
  <c r="EA200" i="20"/>
  <c r="FE202" i="20"/>
  <c r="FF202" i="20" s="1"/>
  <c r="DX234" i="20"/>
  <c r="DW234" i="20"/>
  <c r="EA232" i="20"/>
  <c r="CY232" i="20"/>
  <c r="AX209" i="20"/>
  <c r="AY208" i="20"/>
  <c r="BB208" i="20"/>
  <c r="FA204" i="20"/>
  <c r="EZ204" i="20"/>
  <c r="DV206" i="20"/>
  <c r="EU206" i="20"/>
  <c r="EX206" i="20" s="1"/>
  <c r="EY206" i="20" s="1"/>
  <c r="DY202" i="20"/>
  <c r="DZ202" i="20" s="1"/>
  <c r="FS199" i="20"/>
  <c r="FU199" i="20" s="1"/>
  <c r="AL199" i="20"/>
  <c r="DG199" i="20"/>
  <c r="FA234" i="20"/>
  <c r="EZ234" i="20"/>
  <c r="FE234" i="20" s="1"/>
  <c r="FF234" i="20" s="1"/>
  <c r="DW233" i="20"/>
  <c r="DX233" i="20"/>
  <c r="FA233" i="20"/>
  <c r="EZ233" i="20"/>
  <c r="AZ235" i="20"/>
  <c r="BC235" i="20"/>
  <c r="EC235" i="20"/>
  <c r="BD235" i="20"/>
  <c r="BE235" i="20" s="1"/>
  <c r="AX237" i="20"/>
  <c r="AX238" i="20" s="1"/>
  <c r="BB236" i="20"/>
  <c r="AY236" i="20"/>
  <c r="FE233" i="20" l="1"/>
  <c r="FF233" i="20" s="1"/>
  <c r="DY234" i="20"/>
  <c r="DZ234" i="20" s="1"/>
  <c r="EC208" i="20"/>
  <c r="BD208" i="20"/>
  <c r="BE208" i="20" s="1"/>
  <c r="CY202" i="20"/>
  <c r="EA202" i="20"/>
  <c r="BC208" i="20"/>
  <c r="AZ208" i="20"/>
  <c r="FS232" i="20"/>
  <c r="FU232" i="20" s="1"/>
  <c r="DG232" i="20"/>
  <c r="AL232" i="20"/>
  <c r="DV207" i="20"/>
  <c r="EU207" i="20"/>
  <c r="EX207" i="20" s="1"/>
  <c r="EY207" i="20" s="1"/>
  <c r="FE204" i="20"/>
  <c r="FF204" i="20" s="1"/>
  <c r="EA204" i="20" s="1"/>
  <c r="BB209" i="20"/>
  <c r="AY209" i="20"/>
  <c r="AX210" i="20"/>
  <c r="CY204" i="20"/>
  <c r="DX206" i="20"/>
  <c r="DW206" i="20"/>
  <c r="EA234" i="20"/>
  <c r="CY234" i="20"/>
  <c r="AX239" i="20"/>
  <c r="AY238" i="20"/>
  <c r="BB238" i="20"/>
  <c r="DM200" i="20"/>
  <c r="AL200" i="20"/>
  <c r="FS200" i="20"/>
  <c r="FU200" i="20" s="1"/>
  <c r="EZ206" i="20"/>
  <c r="FA206" i="20"/>
  <c r="BC236" i="20"/>
  <c r="AZ236" i="20"/>
  <c r="EU235" i="20"/>
  <c r="EX235" i="20" s="1"/>
  <c r="EY235" i="20" s="1"/>
  <c r="DV235" i="20"/>
  <c r="BD236" i="20"/>
  <c r="BE236" i="20" s="1"/>
  <c r="EC236" i="20"/>
  <c r="AY237" i="20"/>
  <c r="BB237" i="20"/>
  <c r="DY233" i="20"/>
  <c r="DZ233" i="20" s="1"/>
  <c r="EA233" i="20" s="1"/>
  <c r="DY206" i="20" l="1"/>
  <c r="DZ206" i="20" s="1"/>
  <c r="AZ238" i="20"/>
  <c r="BC238" i="20"/>
  <c r="CY206" i="20"/>
  <c r="AL204" i="20"/>
  <c r="FS204" i="20"/>
  <c r="FU204" i="20" s="1"/>
  <c r="DG204" i="20"/>
  <c r="BC209" i="20"/>
  <c r="AZ209" i="20"/>
  <c r="AX211" i="20"/>
  <c r="AY210" i="20"/>
  <c r="BB210" i="20"/>
  <c r="EC209" i="20"/>
  <c r="BD209" i="20"/>
  <c r="BE209" i="20" s="1"/>
  <c r="DX207" i="20"/>
  <c r="DW207" i="20"/>
  <c r="FE206" i="20"/>
  <c r="FF206" i="20" s="1"/>
  <c r="EA206" i="20" s="1"/>
  <c r="EC238" i="20"/>
  <c r="BD238" i="20"/>
  <c r="BE238" i="20" s="1"/>
  <c r="AX240" i="20"/>
  <c r="AY239" i="20"/>
  <c r="BB239" i="20"/>
  <c r="DG202" i="20"/>
  <c r="FS202" i="20"/>
  <c r="FU202" i="20" s="1"/>
  <c r="AL202" i="20"/>
  <c r="FS234" i="20"/>
  <c r="FU234" i="20" s="1"/>
  <c r="AL234" i="20"/>
  <c r="DM234" i="20"/>
  <c r="EZ207" i="20"/>
  <c r="FA207" i="20"/>
  <c r="DV208" i="20"/>
  <c r="EU208" i="20"/>
  <c r="EX208" i="20" s="1"/>
  <c r="EY208" i="20" s="1"/>
  <c r="EC237" i="20"/>
  <c r="BD237" i="20"/>
  <c r="BE237" i="20" s="1"/>
  <c r="AZ237" i="20"/>
  <c r="BC237" i="20"/>
  <c r="DW235" i="20"/>
  <c r="DX235" i="20"/>
  <c r="EU236" i="20"/>
  <c r="EX236" i="20" s="1"/>
  <c r="EY236" i="20" s="1"/>
  <c r="DV236" i="20"/>
  <c r="FA235" i="20"/>
  <c r="EZ235" i="20"/>
  <c r="FE235" i="20" s="1"/>
  <c r="FF235" i="20" s="1"/>
  <c r="DY207" i="20" l="1"/>
  <c r="DZ207" i="20" s="1"/>
  <c r="CY207" i="20" s="1"/>
  <c r="FE207" i="20"/>
  <c r="FF207" i="20" s="1"/>
  <c r="BD239" i="20"/>
  <c r="BE239" i="20" s="1"/>
  <c r="EC239" i="20"/>
  <c r="AZ239" i="20"/>
  <c r="BC239" i="20"/>
  <c r="AX241" i="20"/>
  <c r="BB240" i="20"/>
  <c r="AY240" i="20"/>
  <c r="EC210" i="20"/>
  <c r="BD210" i="20"/>
  <c r="BE210" i="20" s="1"/>
  <c r="AX212" i="20"/>
  <c r="AX214" i="20" s="1"/>
  <c r="AX216" i="20" s="1"/>
  <c r="AY211" i="20"/>
  <c r="BB211" i="20"/>
  <c r="DG207" i="20"/>
  <c r="FS207" i="20"/>
  <c r="FU207" i="20" s="1"/>
  <c r="AL207" i="20"/>
  <c r="EA207" i="20"/>
  <c r="EU209" i="20"/>
  <c r="EX209" i="20" s="1"/>
  <c r="EY209" i="20" s="1"/>
  <c r="DV209" i="20"/>
  <c r="DX208" i="20"/>
  <c r="DW208" i="20"/>
  <c r="FA208" i="20"/>
  <c r="EZ208" i="20"/>
  <c r="FS206" i="20"/>
  <c r="FU206" i="20" s="1"/>
  <c r="AL206" i="20"/>
  <c r="DM206" i="20"/>
  <c r="DV238" i="20"/>
  <c r="EU238" i="20"/>
  <c r="EX238" i="20" s="1"/>
  <c r="EY238" i="20" s="1"/>
  <c r="BC210" i="20"/>
  <c r="AZ210" i="20"/>
  <c r="DY235" i="20"/>
  <c r="DZ235" i="20" s="1"/>
  <c r="EA235" i="20" s="1"/>
  <c r="EZ236" i="20"/>
  <c r="FA236" i="20"/>
  <c r="DV237" i="20"/>
  <c r="EU237" i="20"/>
  <c r="EX237" i="20" s="1"/>
  <c r="EY237" i="20" s="1"/>
  <c r="DW236" i="20"/>
  <c r="DX236" i="20"/>
  <c r="BB216" i="20" l="1"/>
  <c r="AY216" i="20"/>
  <c r="BB214" i="20"/>
  <c r="AY214" i="20"/>
  <c r="FA209" i="20"/>
  <c r="EZ209" i="20"/>
  <c r="BD211" i="20"/>
  <c r="BE211" i="20" s="1"/>
  <c r="EC211" i="20"/>
  <c r="BC211" i="20"/>
  <c r="AZ211" i="20"/>
  <c r="AY241" i="20"/>
  <c r="BB241" i="20"/>
  <c r="AX242" i="20"/>
  <c r="FE208" i="20"/>
  <c r="FF208" i="20" s="1"/>
  <c r="DW209" i="20"/>
  <c r="DX209" i="20"/>
  <c r="AX213" i="20"/>
  <c r="AY212" i="20"/>
  <c r="BB212" i="20"/>
  <c r="AZ240" i="20"/>
  <c r="BC240" i="20"/>
  <c r="EZ238" i="20"/>
  <c r="FA238" i="20"/>
  <c r="BD240" i="20"/>
  <c r="BE240" i="20" s="1"/>
  <c r="EC240" i="20"/>
  <c r="FE236" i="20"/>
  <c r="FF236" i="20" s="1"/>
  <c r="DX238" i="20"/>
  <c r="DW238" i="20"/>
  <c r="EU239" i="20"/>
  <c r="EX239" i="20" s="1"/>
  <c r="EY239" i="20" s="1"/>
  <c r="DV239" i="20"/>
  <c r="DY208" i="20"/>
  <c r="DZ208" i="20" s="1"/>
  <c r="DV210" i="20"/>
  <c r="EU210" i="20"/>
  <c r="EX210" i="20" s="1"/>
  <c r="EY210" i="20" s="1"/>
  <c r="EZ237" i="20"/>
  <c r="FA237" i="20"/>
  <c r="DW237" i="20"/>
  <c r="DX237" i="20"/>
  <c r="DY236" i="20"/>
  <c r="DZ236" i="20" s="1"/>
  <c r="FE209" i="20" l="1"/>
  <c r="FF209" i="20" s="1"/>
  <c r="BC216" i="20"/>
  <c r="AZ216" i="20"/>
  <c r="EC216" i="20"/>
  <c r="BD216" i="20"/>
  <c r="BE216" i="20" s="1"/>
  <c r="BC214" i="20"/>
  <c r="AZ214" i="20"/>
  <c r="EC214" i="20"/>
  <c r="BD214" i="20"/>
  <c r="BE214" i="20" s="1"/>
  <c r="DY238" i="20"/>
  <c r="DZ238" i="20" s="1"/>
  <c r="CY238" i="20" s="1"/>
  <c r="EA236" i="20"/>
  <c r="FE238" i="20"/>
  <c r="FF238" i="20" s="1"/>
  <c r="AZ212" i="20"/>
  <c r="BC212" i="20"/>
  <c r="EZ210" i="20"/>
  <c r="FA210" i="20"/>
  <c r="EC212" i="20"/>
  <c r="BD212" i="20"/>
  <c r="BE212" i="20" s="1"/>
  <c r="BD241" i="20"/>
  <c r="BE241" i="20" s="1"/>
  <c r="EC241" i="20"/>
  <c r="DX210" i="20"/>
  <c r="DW210" i="20"/>
  <c r="DV211" i="20"/>
  <c r="EU211" i="20"/>
  <c r="EX211" i="20" s="1"/>
  <c r="EY211" i="20" s="1"/>
  <c r="DY209" i="20"/>
  <c r="DZ209" i="20" s="1"/>
  <c r="CY209" i="20" s="1"/>
  <c r="CY208" i="20"/>
  <c r="EA208" i="20"/>
  <c r="DW239" i="20"/>
  <c r="DX239" i="20"/>
  <c r="DV240" i="20"/>
  <c r="EU240" i="20"/>
  <c r="EX240" i="20" s="1"/>
  <c r="EY240" i="20" s="1"/>
  <c r="AX215" i="20"/>
  <c r="BB213" i="20"/>
  <c r="AY213" i="20"/>
  <c r="AX243" i="20"/>
  <c r="AY242" i="20"/>
  <c r="BB242" i="20"/>
  <c r="AZ241" i="20"/>
  <c r="BC241" i="20"/>
  <c r="EZ239" i="20"/>
  <c r="FA239" i="20"/>
  <c r="DY237" i="20"/>
  <c r="DZ237" i="20" s="1"/>
  <c r="FE237" i="20"/>
  <c r="FF237" i="20" s="1"/>
  <c r="EA238" i="20" l="1"/>
  <c r="DV216" i="20"/>
  <c r="EU216" i="20"/>
  <c r="EX216" i="20" s="1"/>
  <c r="EY216" i="20" s="1"/>
  <c r="DY210" i="20"/>
  <c r="DZ210" i="20" s="1"/>
  <c r="DV214" i="20"/>
  <c r="EU214" i="20"/>
  <c r="EX214" i="20" s="1"/>
  <c r="EY214" i="20" s="1"/>
  <c r="EA209" i="20"/>
  <c r="DX240" i="20"/>
  <c r="DW240" i="20"/>
  <c r="DY240" i="20" s="1"/>
  <c r="DZ240" i="20" s="1"/>
  <c r="EZ211" i="20"/>
  <c r="FA211" i="20"/>
  <c r="DY239" i="20"/>
  <c r="DZ239" i="20" s="1"/>
  <c r="FS208" i="20"/>
  <c r="FU208" i="20" s="1"/>
  <c r="AL208" i="20"/>
  <c r="DG208" i="20"/>
  <c r="BC242" i="20"/>
  <c r="AZ242" i="20"/>
  <c r="FE239" i="20"/>
  <c r="FF239" i="20" s="1"/>
  <c r="FA240" i="20"/>
  <c r="EZ240" i="20"/>
  <c r="FE240" i="20" s="1"/>
  <c r="FF240" i="20" s="1"/>
  <c r="FS209" i="20"/>
  <c r="FU209" i="20" s="1"/>
  <c r="AL209" i="20"/>
  <c r="DM209" i="20"/>
  <c r="BD242" i="20"/>
  <c r="BE242" i="20" s="1"/>
  <c r="EC242" i="20"/>
  <c r="BC213" i="20"/>
  <c r="AZ213" i="20"/>
  <c r="DX211" i="20"/>
  <c r="DW211" i="20"/>
  <c r="DV241" i="20"/>
  <c r="EU241" i="20"/>
  <c r="EX241" i="20" s="1"/>
  <c r="EY241" i="20" s="1"/>
  <c r="FE210" i="20"/>
  <c r="FF210" i="20" s="1"/>
  <c r="EC213" i="20"/>
  <c r="BD213" i="20"/>
  <c r="BE213" i="20" s="1"/>
  <c r="AL238" i="20"/>
  <c r="FS238" i="20"/>
  <c r="FU238" i="20" s="1"/>
  <c r="DM238" i="20"/>
  <c r="EA210" i="20"/>
  <c r="CY210" i="20"/>
  <c r="DV212" i="20"/>
  <c r="EU212" i="20"/>
  <c r="EX212" i="20" s="1"/>
  <c r="EY212" i="20" s="1"/>
  <c r="BB243" i="20"/>
  <c r="AX244" i="20"/>
  <c r="AY243" i="20"/>
  <c r="BB215" i="20"/>
  <c r="AX217" i="20"/>
  <c r="AY215" i="20"/>
  <c r="EA237" i="20"/>
  <c r="FA216" i="20" l="1"/>
  <c r="EZ216" i="20"/>
  <c r="DX216" i="20"/>
  <c r="DW216" i="20"/>
  <c r="DY216" i="20" s="1"/>
  <c r="DZ216" i="20" s="1"/>
  <c r="DY211" i="20"/>
  <c r="DZ211" i="20" s="1"/>
  <c r="FA214" i="20"/>
  <c r="EZ214" i="20"/>
  <c r="FE214" i="20" s="1"/>
  <c r="FF214" i="20" s="1"/>
  <c r="DX214" i="20"/>
  <c r="DW214" i="20"/>
  <c r="CY211" i="20"/>
  <c r="BD215" i="20"/>
  <c r="BE215" i="20" s="1"/>
  <c r="EC215" i="20"/>
  <c r="FA241" i="20"/>
  <c r="EZ241" i="20"/>
  <c r="FE241" i="20" s="1"/>
  <c r="FF241" i="20" s="1"/>
  <c r="AZ243" i="20"/>
  <c r="BC243" i="20"/>
  <c r="FA212" i="20"/>
  <c r="EZ212" i="20"/>
  <c r="FE212" i="20" s="1"/>
  <c r="FF212" i="20" s="1"/>
  <c r="BB244" i="20"/>
  <c r="AX245" i="20"/>
  <c r="AY244" i="20"/>
  <c r="EA239" i="20"/>
  <c r="CY239" i="20"/>
  <c r="AZ215" i="20"/>
  <c r="BC215" i="20"/>
  <c r="AY217" i="20"/>
  <c r="BB217" i="20"/>
  <c r="EC243" i="20"/>
  <c r="BD243" i="20"/>
  <c r="BE243" i="20" s="1"/>
  <c r="DM210" i="20"/>
  <c r="AL210" i="20"/>
  <c r="FS210" i="20"/>
  <c r="FU210" i="20" s="1"/>
  <c r="EU242" i="20"/>
  <c r="EX242" i="20" s="1"/>
  <c r="EY242" i="20" s="1"/>
  <c r="DV242" i="20"/>
  <c r="DX212" i="20"/>
  <c r="DW212" i="20"/>
  <c r="FE211" i="20"/>
  <c r="FF211" i="20" s="1"/>
  <c r="EA211" i="20" s="1"/>
  <c r="DW241" i="20"/>
  <c r="DX241" i="20"/>
  <c r="EU213" i="20"/>
  <c r="EX213" i="20" s="1"/>
  <c r="EY213" i="20" s="1"/>
  <c r="DV213" i="20"/>
  <c r="CY240" i="20"/>
  <c r="EA240" i="20"/>
  <c r="DY214" i="20" l="1"/>
  <c r="DZ214" i="20" s="1"/>
  <c r="CY214" i="20" s="1"/>
  <c r="CY216" i="20"/>
  <c r="FE216" i="20"/>
  <c r="FF216" i="20"/>
  <c r="EA216" i="20" s="1"/>
  <c r="EA214" i="20"/>
  <c r="FS214" i="20"/>
  <c r="FU214" i="20" s="1"/>
  <c r="DG214" i="20"/>
  <c r="AL214" i="20"/>
  <c r="DY212" i="20"/>
  <c r="DZ212" i="20" s="1"/>
  <c r="CY212" i="20" s="1"/>
  <c r="AL239" i="20"/>
  <c r="DG239" i="20"/>
  <c r="FS239" i="20"/>
  <c r="FU239" i="20" s="1"/>
  <c r="AL240" i="20"/>
  <c r="DM240" i="20"/>
  <c r="FS240" i="20"/>
  <c r="FU240" i="20" s="1"/>
  <c r="DY241" i="20"/>
  <c r="DZ241" i="20" s="1"/>
  <c r="BC244" i="20"/>
  <c r="AZ244" i="20"/>
  <c r="AX246" i="20"/>
  <c r="AY245" i="20"/>
  <c r="BB245" i="20"/>
  <c r="DV243" i="20"/>
  <c r="EU243" i="20"/>
  <c r="EX243" i="20" s="1"/>
  <c r="EY243" i="20" s="1"/>
  <c r="EA212" i="20"/>
  <c r="EU215" i="20"/>
  <c r="EX215" i="20" s="1"/>
  <c r="EY215" i="20" s="1"/>
  <c r="DV215" i="20"/>
  <c r="EC217" i="20"/>
  <c r="BD217" i="20"/>
  <c r="BE217" i="20" s="1"/>
  <c r="BC217" i="20"/>
  <c r="AZ217" i="20"/>
  <c r="BD244" i="20"/>
  <c r="BE244" i="20" s="1"/>
  <c r="EC244" i="20"/>
  <c r="DW213" i="20"/>
  <c r="DX213" i="20"/>
  <c r="DW242" i="20"/>
  <c r="DX242" i="20"/>
  <c r="FA213" i="20"/>
  <c r="EZ213" i="20"/>
  <c r="FE213" i="20" s="1"/>
  <c r="FF213" i="20" s="1"/>
  <c r="FA242" i="20"/>
  <c r="EZ242" i="20"/>
  <c r="AL211" i="20"/>
  <c r="FS211" i="20"/>
  <c r="FU211" i="20" s="1"/>
  <c r="DM211" i="20"/>
  <c r="AX397" i="20"/>
  <c r="AX398" i="20" s="1"/>
  <c r="AX399" i="20" s="1"/>
  <c r="FE242" i="20" l="1"/>
  <c r="FF242" i="20" s="1"/>
  <c r="AY398" i="20"/>
  <c r="FS216" i="20"/>
  <c r="FU216" i="20" s="1"/>
  <c r="DG216" i="20"/>
  <c r="AL216" i="20"/>
  <c r="BB398" i="20"/>
  <c r="AL212" i="20"/>
  <c r="FS212" i="20"/>
  <c r="FU212" i="20" s="1"/>
  <c r="DM212" i="20"/>
  <c r="DV217" i="20"/>
  <c r="EU217" i="20"/>
  <c r="EX217" i="20" s="1"/>
  <c r="EY217" i="20" s="1"/>
  <c r="FA243" i="20"/>
  <c r="EZ243" i="20"/>
  <c r="FE243" i="20" s="1"/>
  <c r="FF243" i="20" s="1"/>
  <c r="DX215" i="20"/>
  <c r="DW215" i="20"/>
  <c r="EC245" i="20"/>
  <c r="BD245" i="20"/>
  <c r="BE245" i="20" s="1"/>
  <c r="AX247" i="20"/>
  <c r="AY246" i="20"/>
  <c r="BB246" i="20"/>
  <c r="FA215" i="20"/>
  <c r="EZ215" i="20"/>
  <c r="AZ245" i="20"/>
  <c r="BC245" i="20"/>
  <c r="DY242" i="20"/>
  <c r="DZ242" i="20" s="1"/>
  <c r="DV244" i="20"/>
  <c r="EU244" i="20"/>
  <c r="EX244" i="20" s="1"/>
  <c r="EY244" i="20" s="1"/>
  <c r="CY241" i="20"/>
  <c r="EA241" i="20"/>
  <c r="BB399" i="20"/>
  <c r="AY399" i="20"/>
  <c r="AX400" i="20"/>
  <c r="DW243" i="20"/>
  <c r="DX243" i="20"/>
  <c r="DY213" i="20"/>
  <c r="DZ213" i="20" s="1"/>
  <c r="AY397" i="20"/>
  <c r="BB397" i="20"/>
  <c r="EC398" i="20"/>
  <c r="BD398" i="20"/>
  <c r="BE398" i="20" s="1"/>
  <c r="AX300" i="20"/>
  <c r="AZ398" i="20"/>
  <c r="BC398" i="20"/>
  <c r="DY215" i="20" l="1"/>
  <c r="DZ215" i="20" s="1"/>
  <c r="FE215" i="20"/>
  <c r="FF215" i="20" s="1"/>
  <c r="FS241" i="20"/>
  <c r="FU241" i="20" s="1"/>
  <c r="DG241" i="20"/>
  <c r="AL241" i="20"/>
  <c r="BD399" i="20"/>
  <c r="BE399" i="20" s="1"/>
  <c r="EC399" i="20"/>
  <c r="BD246" i="20"/>
  <c r="BE246" i="20" s="1"/>
  <c r="EC246" i="20"/>
  <c r="EZ244" i="20"/>
  <c r="FA244" i="20"/>
  <c r="BC246" i="20"/>
  <c r="AZ246" i="20"/>
  <c r="DV245" i="20"/>
  <c r="EU245" i="20"/>
  <c r="EX245" i="20" s="1"/>
  <c r="EY245" i="20" s="1"/>
  <c r="DX244" i="20"/>
  <c r="DW244" i="20"/>
  <c r="BB247" i="20"/>
  <c r="AY247" i="20"/>
  <c r="AX248" i="20"/>
  <c r="EZ217" i="20"/>
  <c r="FA217" i="20"/>
  <c r="EA242" i="20"/>
  <c r="CY242" i="20"/>
  <c r="DW217" i="20"/>
  <c r="DX217" i="20"/>
  <c r="DY243" i="20"/>
  <c r="DZ243" i="20" s="1"/>
  <c r="AX401" i="20"/>
  <c r="BB400" i="20"/>
  <c r="AY400" i="20"/>
  <c r="CY215" i="20"/>
  <c r="EA215" i="20"/>
  <c r="EA213" i="20"/>
  <c r="CY213" i="20"/>
  <c r="BC399" i="20"/>
  <c r="AZ399" i="20"/>
  <c r="BB300" i="20"/>
  <c r="AY300" i="20"/>
  <c r="AX301" i="20"/>
  <c r="AX302" i="20" s="1"/>
  <c r="EU398" i="20"/>
  <c r="EX398" i="20" s="1"/>
  <c r="EY398" i="20" s="1"/>
  <c r="DV398" i="20"/>
  <c r="AZ397" i="20"/>
  <c r="BC397" i="20"/>
  <c r="BD397" i="20"/>
  <c r="BE397" i="20" s="1"/>
  <c r="EC397" i="20"/>
  <c r="DY244" i="20" l="1"/>
  <c r="DZ244" i="20" s="1"/>
  <c r="CY244" i="20" s="1"/>
  <c r="FS242" i="20"/>
  <c r="FU242" i="20" s="1"/>
  <c r="AL242" i="20"/>
  <c r="DG242" i="20"/>
  <c r="FS244" i="20"/>
  <c r="FU244" i="20" s="1"/>
  <c r="AL244" i="20"/>
  <c r="DM244" i="20"/>
  <c r="BB248" i="20"/>
  <c r="AY248" i="20"/>
  <c r="FA245" i="20"/>
  <c r="EZ245" i="20"/>
  <c r="AX303" i="20"/>
  <c r="BB302" i="20"/>
  <c r="AY302" i="20"/>
  <c r="DX245" i="20"/>
  <c r="DW245" i="20"/>
  <c r="DY245" i="20" s="1"/>
  <c r="DZ245" i="20" s="1"/>
  <c r="AL215" i="20"/>
  <c r="DG215" i="20"/>
  <c r="FS215" i="20"/>
  <c r="FU215" i="20" s="1"/>
  <c r="DV399" i="20"/>
  <c r="EU399" i="20"/>
  <c r="EX399" i="20" s="1"/>
  <c r="EY399" i="20" s="1"/>
  <c r="FE217" i="20"/>
  <c r="FF217" i="20" s="1"/>
  <c r="FE244" i="20"/>
  <c r="FF244" i="20" s="1"/>
  <c r="EA244" i="20" s="1"/>
  <c r="BC400" i="20"/>
  <c r="AZ400" i="20"/>
  <c r="DY217" i="20"/>
  <c r="DZ217" i="20" s="1"/>
  <c r="FS213" i="20"/>
  <c r="FU213" i="20" s="1"/>
  <c r="DG213" i="20"/>
  <c r="AL213" i="20"/>
  <c r="BD400" i="20"/>
  <c r="BE400" i="20" s="1"/>
  <c r="EC400" i="20"/>
  <c r="EC247" i="20"/>
  <c r="BD247" i="20"/>
  <c r="BE247" i="20" s="1"/>
  <c r="AX402" i="20"/>
  <c r="BB401" i="20"/>
  <c r="AY401" i="20"/>
  <c r="AZ247" i="20"/>
  <c r="BC247" i="20"/>
  <c r="DV246" i="20"/>
  <c r="EU246" i="20"/>
  <c r="EX246" i="20" s="1"/>
  <c r="EY246" i="20" s="1"/>
  <c r="EA243" i="20"/>
  <c r="CY243" i="20"/>
  <c r="DV397" i="20"/>
  <c r="EU397" i="20"/>
  <c r="EX397" i="20" s="1"/>
  <c r="EY397" i="20" s="1"/>
  <c r="FA398" i="20"/>
  <c r="EZ398" i="20"/>
  <c r="BB301" i="20"/>
  <c r="AY301" i="20"/>
  <c r="AZ300" i="20"/>
  <c r="BC300" i="20"/>
  <c r="BD300" i="20"/>
  <c r="BE300" i="20" s="1"/>
  <c r="EC300" i="20"/>
  <c r="DW398" i="20"/>
  <c r="DX398" i="20"/>
  <c r="FE245" i="20" l="1"/>
  <c r="FF245" i="20" s="1"/>
  <c r="FE398" i="20"/>
  <c r="FF398" i="20" s="1"/>
  <c r="AL243" i="20"/>
  <c r="FS243" i="20"/>
  <c r="FU243" i="20" s="1"/>
  <c r="DM243" i="20"/>
  <c r="DX246" i="20"/>
  <c r="DW246" i="20"/>
  <c r="DY246" i="20" s="1"/>
  <c r="DZ246" i="20" s="1"/>
  <c r="CY246" i="20" s="1"/>
  <c r="DW399" i="20"/>
  <c r="DX399" i="20"/>
  <c r="BD302" i="20"/>
  <c r="BE302" i="20" s="1"/>
  <c r="EC302" i="20"/>
  <c r="EZ399" i="20"/>
  <c r="FA399" i="20"/>
  <c r="FA246" i="20"/>
  <c r="EZ246" i="20"/>
  <c r="EC401" i="20"/>
  <c r="BD401" i="20"/>
  <c r="BE401" i="20" s="1"/>
  <c r="AZ248" i="20"/>
  <c r="BC248" i="20"/>
  <c r="AZ302" i="20"/>
  <c r="BC302" i="20"/>
  <c r="BC401" i="20"/>
  <c r="AZ401" i="20"/>
  <c r="EC248" i="20"/>
  <c r="BD248" i="20"/>
  <c r="BE248" i="20" s="1"/>
  <c r="EA245" i="20"/>
  <c r="CY245" i="20"/>
  <c r="AX403" i="20"/>
  <c r="AY402" i="20"/>
  <c r="BB402" i="20"/>
  <c r="EU247" i="20"/>
  <c r="EX247" i="20" s="1"/>
  <c r="EY247" i="20" s="1"/>
  <c r="DV247" i="20"/>
  <c r="DV400" i="20"/>
  <c r="EU400" i="20"/>
  <c r="EX400" i="20" s="1"/>
  <c r="EY400" i="20" s="1"/>
  <c r="BB303" i="20"/>
  <c r="AX304" i="20"/>
  <c r="AY303" i="20"/>
  <c r="CY217" i="20"/>
  <c r="EA217" i="20"/>
  <c r="DY398" i="20"/>
  <c r="DZ398" i="20" s="1"/>
  <c r="EU300" i="20"/>
  <c r="EX300" i="20" s="1"/>
  <c r="EY300" i="20" s="1"/>
  <c r="DV300" i="20"/>
  <c r="BC301" i="20"/>
  <c r="AZ301" i="20"/>
  <c r="EC301" i="20"/>
  <c r="BD301" i="20"/>
  <c r="BE301" i="20" s="1"/>
  <c r="EZ397" i="20"/>
  <c r="FA397" i="20"/>
  <c r="DX397" i="20"/>
  <c r="DW397" i="20"/>
  <c r="FE246" i="20" l="1"/>
  <c r="FF246" i="20" s="1"/>
  <c r="EA246" i="20" s="1"/>
  <c r="FE399" i="20"/>
  <c r="FF399" i="20" s="1"/>
  <c r="DV248" i="20"/>
  <c r="EU248" i="20"/>
  <c r="EX248" i="20" s="1"/>
  <c r="EY248" i="20" s="1"/>
  <c r="AL217" i="20"/>
  <c r="FS217" i="20"/>
  <c r="FU217" i="20" s="1"/>
  <c r="DG217" i="20"/>
  <c r="EZ247" i="20"/>
  <c r="FA247" i="20"/>
  <c r="AX305" i="20"/>
  <c r="BB304" i="20"/>
  <c r="AY304" i="20"/>
  <c r="DX400" i="20"/>
  <c r="DW400" i="20"/>
  <c r="DY400" i="20" s="1"/>
  <c r="DZ400" i="20" s="1"/>
  <c r="AZ303" i="20"/>
  <c r="BC303" i="20"/>
  <c r="EZ400" i="20"/>
  <c r="FA400" i="20"/>
  <c r="DY399" i="20"/>
  <c r="DZ399" i="20" s="1"/>
  <c r="AZ402" i="20"/>
  <c r="BC402" i="20"/>
  <c r="EU401" i="20"/>
  <c r="EX401" i="20" s="1"/>
  <c r="EY401" i="20" s="1"/>
  <c r="DV401" i="20"/>
  <c r="DV302" i="20"/>
  <c r="EU302" i="20"/>
  <c r="EX302" i="20" s="1"/>
  <c r="EY302" i="20" s="1"/>
  <c r="AL246" i="20"/>
  <c r="FS246" i="20"/>
  <c r="FU246" i="20" s="1"/>
  <c r="DM246" i="20"/>
  <c r="AX404" i="20"/>
  <c r="BB403" i="20"/>
  <c r="AY403" i="20"/>
  <c r="EC303" i="20"/>
  <c r="BD303" i="20"/>
  <c r="BE303" i="20" s="1"/>
  <c r="DW247" i="20"/>
  <c r="DX247" i="20"/>
  <c r="BD402" i="20"/>
  <c r="BE402" i="20" s="1"/>
  <c r="EC402" i="20"/>
  <c r="DG245" i="20"/>
  <c r="FS245" i="20"/>
  <c r="FU245" i="20" s="1"/>
  <c r="AL245" i="20"/>
  <c r="DV301" i="20"/>
  <c r="EU301" i="20"/>
  <c r="EX301" i="20" s="1"/>
  <c r="EY301" i="20" s="1"/>
  <c r="FE397" i="20"/>
  <c r="FF397" i="20" s="1"/>
  <c r="DX300" i="20"/>
  <c r="DW300" i="20"/>
  <c r="DY397" i="20"/>
  <c r="DZ397" i="20" s="1"/>
  <c r="CY398" i="20"/>
  <c r="EA398" i="20"/>
  <c r="FA300" i="20"/>
  <c r="EZ300" i="20"/>
  <c r="FE400" i="20" l="1"/>
  <c r="FF400" i="20" s="1"/>
  <c r="FA302" i="20"/>
  <c r="EZ302" i="20"/>
  <c r="FE302" i="20" s="1"/>
  <c r="FF302" i="20" s="1"/>
  <c r="EZ401" i="20"/>
  <c r="FA401" i="20"/>
  <c r="DW401" i="20"/>
  <c r="DX401" i="20"/>
  <c r="CY399" i="20"/>
  <c r="EA399" i="20"/>
  <c r="AZ304" i="20"/>
  <c r="BC304" i="20"/>
  <c r="BD304" i="20"/>
  <c r="BE304" i="20" s="1"/>
  <c r="EC304" i="20"/>
  <c r="AX306" i="20"/>
  <c r="AY305" i="20"/>
  <c r="BB305" i="20"/>
  <c r="DY300" i="20"/>
  <c r="DZ300" i="20" s="1"/>
  <c r="CY300" i="20" s="1"/>
  <c r="EU402" i="20"/>
  <c r="EX402" i="20" s="1"/>
  <c r="EY402" i="20" s="1"/>
  <c r="DV402" i="20"/>
  <c r="DY247" i="20"/>
  <c r="DZ247" i="20" s="1"/>
  <c r="FE247" i="20"/>
  <c r="FF247" i="20" s="1"/>
  <c r="BC403" i="20"/>
  <c r="AZ403" i="20"/>
  <c r="AX405" i="20"/>
  <c r="BB404" i="20"/>
  <c r="AY404" i="20"/>
  <c r="DW302" i="20"/>
  <c r="DX302" i="20"/>
  <c r="CY400" i="20"/>
  <c r="EA400" i="20"/>
  <c r="EU303" i="20"/>
  <c r="EX303" i="20" s="1"/>
  <c r="EY303" i="20" s="1"/>
  <c r="DV303" i="20"/>
  <c r="FA248" i="20"/>
  <c r="EZ248" i="20"/>
  <c r="BD403" i="20"/>
  <c r="BE403" i="20" s="1"/>
  <c r="EC403" i="20"/>
  <c r="DW248" i="20"/>
  <c r="DX248" i="20"/>
  <c r="FE300" i="20"/>
  <c r="FF300" i="20" s="1"/>
  <c r="EA397" i="20"/>
  <c r="CY397" i="20"/>
  <c r="EZ301" i="20"/>
  <c r="FA301" i="20"/>
  <c r="FS398" i="20"/>
  <c r="FU398" i="20" s="1"/>
  <c r="AL398" i="20"/>
  <c r="DM398" i="20"/>
  <c r="DX301" i="20"/>
  <c r="DW301" i="20"/>
  <c r="FE248" i="20" l="1"/>
  <c r="FF248" i="20" s="1"/>
  <c r="EA300" i="20"/>
  <c r="DX402" i="20"/>
  <c r="DW402" i="20"/>
  <c r="DY402" i="20" s="1"/>
  <c r="DZ402" i="20" s="1"/>
  <c r="FA303" i="20"/>
  <c r="EZ303" i="20"/>
  <c r="BD305" i="20"/>
  <c r="BE305" i="20" s="1"/>
  <c r="EC305" i="20"/>
  <c r="DY401" i="20"/>
  <c r="DZ401" i="20" s="1"/>
  <c r="AX406" i="20"/>
  <c r="AY405" i="20"/>
  <c r="BB405" i="20"/>
  <c r="EZ402" i="20"/>
  <c r="FA402" i="20"/>
  <c r="EU304" i="20"/>
  <c r="EX304" i="20" s="1"/>
  <c r="EY304" i="20" s="1"/>
  <c r="DV304" i="20"/>
  <c r="DW303" i="20"/>
  <c r="DX303" i="20"/>
  <c r="DG399" i="20"/>
  <c r="FS399" i="20"/>
  <c r="FU399" i="20" s="1"/>
  <c r="AL399" i="20"/>
  <c r="AL400" i="20"/>
  <c r="DM400" i="20"/>
  <c r="FS400" i="20"/>
  <c r="FU400" i="20" s="1"/>
  <c r="AZ305" i="20"/>
  <c r="BC305" i="20"/>
  <c r="DY248" i="20"/>
  <c r="DZ248" i="20" s="1"/>
  <c r="FE401" i="20"/>
  <c r="FF401" i="20" s="1"/>
  <c r="EA247" i="20"/>
  <c r="CY247" i="20"/>
  <c r="DY302" i="20"/>
  <c r="DZ302" i="20" s="1"/>
  <c r="BD404" i="20"/>
  <c r="BE404" i="20" s="1"/>
  <c r="EC404" i="20"/>
  <c r="AX307" i="20"/>
  <c r="AY306" i="20"/>
  <c r="BB306" i="20"/>
  <c r="EU403" i="20"/>
  <c r="EX403" i="20" s="1"/>
  <c r="EY403" i="20" s="1"/>
  <c r="DV403" i="20"/>
  <c r="AZ404" i="20"/>
  <c r="BC404" i="20"/>
  <c r="DG300" i="20"/>
  <c r="FS300" i="20"/>
  <c r="FU300" i="20" s="1"/>
  <c r="AL300" i="20"/>
  <c r="DY301" i="20"/>
  <c r="DZ301" i="20" s="1"/>
  <c r="FE301" i="20"/>
  <c r="FF301" i="20" s="1"/>
  <c r="FS397" i="20"/>
  <c r="FU397" i="20" s="1"/>
  <c r="AL397" i="20"/>
  <c r="DG397" i="20"/>
  <c r="FE303" i="20" l="1"/>
  <c r="FF303" i="20" s="1"/>
  <c r="FE402" i="20"/>
  <c r="FF402" i="20" s="1"/>
  <c r="DY303" i="20"/>
  <c r="DZ303" i="20" s="1"/>
  <c r="CY303" i="20" s="1"/>
  <c r="FA403" i="20"/>
  <c r="EZ403" i="20"/>
  <c r="FE403" i="20" s="1"/>
  <c r="FF403" i="20" s="1"/>
  <c r="EC405" i="20"/>
  <c r="BD405" i="20"/>
  <c r="BE405" i="20" s="1"/>
  <c r="AY406" i="20"/>
  <c r="BB406" i="20"/>
  <c r="AX407" i="20"/>
  <c r="DW304" i="20"/>
  <c r="DX304" i="20"/>
  <c r="AZ405" i="20"/>
  <c r="BC405" i="20"/>
  <c r="EA303" i="20"/>
  <c r="AZ306" i="20"/>
  <c r="BC306" i="20"/>
  <c r="CY302" i="20"/>
  <c r="EA302" i="20"/>
  <c r="FS247" i="20"/>
  <c r="FU247" i="20" s="1"/>
  <c r="AL247" i="20"/>
  <c r="DG247" i="20"/>
  <c r="EC306" i="20"/>
  <c r="BD306" i="20"/>
  <c r="BE306" i="20" s="1"/>
  <c r="AX308" i="20"/>
  <c r="AY307" i="20"/>
  <c r="BB307" i="20"/>
  <c r="DV404" i="20"/>
  <c r="EU404" i="20"/>
  <c r="EX404" i="20" s="1"/>
  <c r="EY404" i="20" s="1"/>
  <c r="EA402" i="20"/>
  <c r="CY402" i="20"/>
  <c r="FA304" i="20"/>
  <c r="EZ304" i="20"/>
  <c r="FE304" i="20" s="1"/>
  <c r="FF304" i="20" s="1"/>
  <c r="DX403" i="20"/>
  <c r="DW403" i="20"/>
  <c r="CY401" i="20"/>
  <c r="EA401" i="20"/>
  <c r="DV305" i="20"/>
  <c r="EU305" i="20"/>
  <c r="EX305" i="20" s="1"/>
  <c r="EY305" i="20" s="1"/>
  <c r="EA248" i="20"/>
  <c r="CY248" i="20"/>
  <c r="CY301" i="20"/>
  <c r="EA301" i="20"/>
  <c r="DY403" i="20" l="1"/>
  <c r="DZ403" i="20" s="1"/>
  <c r="AZ307" i="20"/>
  <c r="BC307" i="20"/>
  <c r="FA305" i="20"/>
  <c r="EZ305" i="20"/>
  <c r="FE305" i="20" s="1"/>
  <c r="FF305" i="20" s="1"/>
  <c r="DM401" i="20"/>
  <c r="FS401" i="20"/>
  <c r="FU401" i="20" s="1"/>
  <c r="AL401" i="20"/>
  <c r="BB308" i="20"/>
  <c r="AX309" i="20"/>
  <c r="AY308" i="20"/>
  <c r="DY304" i="20"/>
  <c r="DZ304" i="20" s="1"/>
  <c r="FS402" i="20"/>
  <c r="FU402" i="20" s="1"/>
  <c r="AL402" i="20"/>
  <c r="DG402" i="20"/>
  <c r="DW305" i="20"/>
  <c r="DX305" i="20"/>
  <c r="EU405" i="20"/>
  <c r="EX405" i="20" s="1"/>
  <c r="EY405" i="20" s="1"/>
  <c r="DV405" i="20"/>
  <c r="AL248" i="20"/>
  <c r="DG248" i="20"/>
  <c r="FS248" i="20"/>
  <c r="FU248" i="20" s="1"/>
  <c r="DV306" i="20"/>
  <c r="EU306" i="20"/>
  <c r="EX306" i="20" s="1"/>
  <c r="EY306" i="20" s="1"/>
  <c r="DG302" i="20"/>
  <c r="FS302" i="20"/>
  <c r="FU302" i="20" s="1"/>
  <c r="AL302" i="20"/>
  <c r="EA403" i="20"/>
  <c r="CY403" i="20"/>
  <c r="AX408" i="20"/>
  <c r="AY407" i="20"/>
  <c r="BB407" i="20"/>
  <c r="AZ406" i="20"/>
  <c r="BC406" i="20"/>
  <c r="EZ404" i="20"/>
  <c r="FA404" i="20"/>
  <c r="DX404" i="20"/>
  <c r="DW404" i="20"/>
  <c r="BD406" i="20"/>
  <c r="BE406" i="20" s="1"/>
  <c r="EC406" i="20"/>
  <c r="EC307" i="20"/>
  <c r="BD307" i="20"/>
  <c r="BE307" i="20" s="1"/>
  <c r="DG303" i="20"/>
  <c r="AL303" i="20"/>
  <c r="FS303" i="20"/>
  <c r="FU303" i="20" s="1"/>
  <c r="FS301" i="20"/>
  <c r="FU301" i="20" s="1"/>
  <c r="DG301" i="20"/>
  <c r="AL301" i="20"/>
  <c r="AX179" i="20"/>
  <c r="BB179" i="20" s="1"/>
  <c r="AY179" i="20" l="1"/>
  <c r="AZ179" i="20" s="1"/>
  <c r="EC179" i="20"/>
  <c r="BC179" i="20"/>
  <c r="BD179" i="20"/>
  <c r="EZ306" i="20"/>
  <c r="FA306" i="20"/>
  <c r="DW306" i="20"/>
  <c r="DX306" i="20"/>
  <c r="DX405" i="20"/>
  <c r="DW405" i="20"/>
  <c r="EZ405" i="20"/>
  <c r="FA405" i="20"/>
  <c r="DV307" i="20"/>
  <c r="EU307" i="20"/>
  <c r="EX307" i="20" s="1"/>
  <c r="EY307" i="20" s="1"/>
  <c r="DV406" i="20"/>
  <c r="EU406" i="20"/>
  <c r="EX406" i="20" s="1"/>
  <c r="EY406" i="20" s="1"/>
  <c r="DY305" i="20"/>
  <c r="DZ305" i="20" s="1"/>
  <c r="DY404" i="20"/>
  <c r="DZ404" i="20" s="1"/>
  <c r="CY304" i="20"/>
  <c r="EA304" i="20"/>
  <c r="FE404" i="20"/>
  <c r="FF404" i="20" s="1"/>
  <c r="BC308" i="20"/>
  <c r="AZ308" i="20"/>
  <c r="AX180" i="20"/>
  <c r="BB309" i="20"/>
  <c r="AX310" i="20"/>
  <c r="AY309" i="20"/>
  <c r="EC308" i="20"/>
  <c r="BD308" i="20"/>
  <c r="BE308" i="20" s="1"/>
  <c r="BD407" i="20"/>
  <c r="BE407" i="20" s="1"/>
  <c r="EC407" i="20"/>
  <c r="AZ407" i="20"/>
  <c r="BC407" i="20"/>
  <c r="AX409" i="20"/>
  <c r="AY408" i="20"/>
  <c r="BB408" i="20"/>
  <c r="DG403" i="20"/>
  <c r="AL403" i="20"/>
  <c r="FS403" i="20"/>
  <c r="FU403" i="20" s="1"/>
  <c r="DY405" i="20" l="1"/>
  <c r="DZ405" i="20" s="1"/>
  <c r="AY180" i="20"/>
  <c r="BB180" i="20"/>
  <c r="AX181" i="20"/>
  <c r="EZ406" i="20"/>
  <c r="FA406" i="20"/>
  <c r="DW307" i="20"/>
  <c r="DX307" i="20"/>
  <c r="DX406" i="20"/>
  <c r="DW406" i="20"/>
  <c r="DY406" i="20" s="1"/>
  <c r="DZ406" i="20" s="1"/>
  <c r="AX410" i="20"/>
  <c r="AY409" i="20"/>
  <c r="BB409" i="20"/>
  <c r="EC309" i="20"/>
  <c r="BD309" i="20"/>
  <c r="BE309" i="20" s="1"/>
  <c r="FS304" i="20"/>
  <c r="FU304" i="20" s="1"/>
  <c r="DG304" i="20"/>
  <c r="AL304" i="20"/>
  <c r="CY405" i="20"/>
  <c r="EA405" i="20"/>
  <c r="DV407" i="20"/>
  <c r="EU407" i="20"/>
  <c r="EX407" i="20" s="1"/>
  <c r="EY407" i="20" s="1"/>
  <c r="EC408" i="20"/>
  <c r="BD408" i="20"/>
  <c r="BE408" i="20" s="1"/>
  <c r="BC408" i="20"/>
  <c r="AZ408" i="20"/>
  <c r="EU308" i="20"/>
  <c r="EX308" i="20" s="1"/>
  <c r="EY308" i="20" s="1"/>
  <c r="DV308" i="20"/>
  <c r="EA404" i="20"/>
  <c r="CY404" i="20"/>
  <c r="FA307" i="20"/>
  <c r="EZ307" i="20"/>
  <c r="FE307" i="20" s="1"/>
  <c r="FF307" i="20" s="1"/>
  <c r="BC309" i="20"/>
  <c r="AZ309" i="20"/>
  <c r="CY305" i="20"/>
  <c r="EA305" i="20"/>
  <c r="FE405" i="20"/>
  <c r="FF405" i="20" s="1"/>
  <c r="DY306" i="20"/>
  <c r="DZ306" i="20" s="1"/>
  <c r="FE306" i="20"/>
  <c r="FF306" i="20" s="1"/>
  <c r="BE179" i="20"/>
  <c r="BB310" i="20"/>
  <c r="AX311" i="20"/>
  <c r="AY310" i="20"/>
  <c r="EU179" i="20"/>
  <c r="EX179" i="20" s="1"/>
  <c r="EY179" i="20" s="1"/>
  <c r="DV179" i="20"/>
  <c r="BC310" i="20" l="1"/>
  <c r="AZ310" i="20"/>
  <c r="EC310" i="20"/>
  <c r="BD310" i="20"/>
  <c r="BE310" i="20" s="1"/>
  <c r="DV408" i="20"/>
  <c r="EU408" i="20"/>
  <c r="EX408" i="20" s="1"/>
  <c r="EY408" i="20" s="1"/>
  <c r="FS305" i="20"/>
  <c r="FU305" i="20" s="1"/>
  <c r="AL305" i="20"/>
  <c r="DG305" i="20"/>
  <c r="DW179" i="20"/>
  <c r="DX179" i="20"/>
  <c r="DW407" i="20"/>
  <c r="DX407" i="20"/>
  <c r="AX312" i="20"/>
  <c r="AY311" i="20"/>
  <c r="BB311" i="20"/>
  <c r="FS405" i="20"/>
  <c r="FU405" i="20" s="1"/>
  <c r="AL405" i="20"/>
  <c r="DM405" i="20"/>
  <c r="BD409" i="20"/>
  <c r="BE409" i="20" s="1"/>
  <c r="EC409" i="20"/>
  <c r="AY410" i="20"/>
  <c r="BB410" i="20"/>
  <c r="AX411" i="20"/>
  <c r="AL404" i="20"/>
  <c r="DG404" i="20"/>
  <c r="FS404" i="20"/>
  <c r="FU404" i="20" s="1"/>
  <c r="CY306" i="20"/>
  <c r="EA306" i="20"/>
  <c r="BC409" i="20"/>
  <c r="AZ409" i="20"/>
  <c r="EZ407" i="20"/>
  <c r="FA407" i="20"/>
  <c r="DV309" i="20"/>
  <c r="EU309" i="20"/>
  <c r="EX309" i="20" s="1"/>
  <c r="EY309" i="20" s="1"/>
  <c r="DW308" i="20"/>
  <c r="DX308" i="20"/>
  <c r="AX182" i="20"/>
  <c r="AY181" i="20"/>
  <c r="BB181" i="20"/>
  <c r="FA308" i="20"/>
  <c r="EZ308" i="20"/>
  <c r="BD180" i="20"/>
  <c r="EC180" i="20"/>
  <c r="FA179" i="20"/>
  <c r="EZ179" i="20"/>
  <c r="CY406" i="20"/>
  <c r="DY307" i="20"/>
  <c r="DZ307" i="20" s="1"/>
  <c r="FE406" i="20"/>
  <c r="FF406" i="20" s="1"/>
  <c r="EA406" i="20" s="1"/>
  <c r="BC180" i="20"/>
  <c r="AZ180" i="20"/>
  <c r="FE308" i="20" l="1"/>
  <c r="FF308" i="20" s="1"/>
  <c r="AZ410" i="20"/>
  <c r="BC410" i="20"/>
  <c r="BB182" i="20"/>
  <c r="AY182" i="20"/>
  <c r="AX183" i="20"/>
  <c r="AX313" i="20"/>
  <c r="BB312" i="20"/>
  <c r="AY312" i="20"/>
  <c r="DY308" i="20"/>
  <c r="DZ308" i="20" s="1"/>
  <c r="BD311" i="20"/>
  <c r="BE311" i="20" s="1"/>
  <c r="EC311" i="20"/>
  <c r="DY407" i="20"/>
  <c r="DZ407" i="20" s="1"/>
  <c r="FE407" i="20"/>
  <c r="FF407" i="20" s="1"/>
  <c r="DV409" i="20"/>
  <c r="EU409" i="20"/>
  <c r="EX409" i="20" s="1"/>
  <c r="EY409" i="20" s="1"/>
  <c r="BE180" i="20"/>
  <c r="BC181" i="20"/>
  <c r="AZ181" i="20"/>
  <c r="FA309" i="20"/>
  <c r="EZ309" i="20"/>
  <c r="BD181" i="20"/>
  <c r="BE181" i="20" s="1"/>
  <c r="EC181" i="20"/>
  <c r="AZ311" i="20"/>
  <c r="BC311" i="20"/>
  <c r="DW309" i="20"/>
  <c r="DX309" i="20"/>
  <c r="DY179" i="20"/>
  <c r="DZ179" i="20" s="1"/>
  <c r="FS306" i="20"/>
  <c r="FU306" i="20" s="1"/>
  <c r="AL306" i="20"/>
  <c r="DM306" i="20"/>
  <c r="EU310" i="20"/>
  <c r="EX310" i="20" s="1"/>
  <c r="EY310" i="20" s="1"/>
  <c r="DV310" i="20"/>
  <c r="DV180" i="20"/>
  <c r="EU180" i="20"/>
  <c r="EX180" i="20" s="1"/>
  <c r="EY180" i="20" s="1"/>
  <c r="EA307" i="20"/>
  <c r="CY307" i="20"/>
  <c r="FS406" i="20"/>
  <c r="FU406" i="20" s="1"/>
  <c r="DG406" i="20"/>
  <c r="AL406" i="20"/>
  <c r="BB411" i="20"/>
  <c r="AY411" i="20"/>
  <c r="AX412" i="20"/>
  <c r="EZ408" i="20"/>
  <c r="FA408" i="20"/>
  <c r="DX408" i="20"/>
  <c r="DW408" i="20"/>
  <c r="FE179" i="20"/>
  <c r="FF179" i="20" s="1"/>
  <c r="EC410" i="20"/>
  <c r="BD410" i="20"/>
  <c r="BE410" i="20" s="1"/>
  <c r="FE309" i="20" l="1"/>
  <c r="FF309" i="20" s="1"/>
  <c r="FE408" i="20"/>
  <c r="FF408" i="20" s="1"/>
  <c r="AY412" i="20"/>
  <c r="BB412" i="20"/>
  <c r="AX413" i="20"/>
  <c r="FA409" i="20"/>
  <c r="EZ409" i="20"/>
  <c r="EA179" i="20"/>
  <c r="CY179" i="20"/>
  <c r="AZ411" i="20"/>
  <c r="BC411" i="20"/>
  <c r="EA407" i="20"/>
  <c r="CY407" i="20"/>
  <c r="AZ312" i="20"/>
  <c r="BC312" i="20"/>
  <c r="AX184" i="20"/>
  <c r="AY183" i="20"/>
  <c r="BB183" i="20"/>
  <c r="DX409" i="20"/>
  <c r="DW409" i="20"/>
  <c r="DW180" i="20"/>
  <c r="DX180" i="20"/>
  <c r="DX310" i="20"/>
  <c r="DW310" i="20"/>
  <c r="BC182" i="20"/>
  <c r="AZ182" i="20"/>
  <c r="EU181" i="20"/>
  <c r="EX181" i="20" s="1"/>
  <c r="EY181" i="20" s="1"/>
  <c r="DV181" i="20"/>
  <c r="EC411" i="20"/>
  <c r="BD411" i="20"/>
  <c r="BE411" i="20" s="1"/>
  <c r="EZ180" i="20"/>
  <c r="FA180" i="20"/>
  <c r="FA310" i="20"/>
  <c r="EZ310" i="20"/>
  <c r="EC182" i="20"/>
  <c r="BD182" i="20"/>
  <c r="DG307" i="20"/>
  <c r="AL307" i="20"/>
  <c r="FS307" i="20"/>
  <c r="FU307" i="20" s="1"/>
  <c r="CY308" i="20"/>
  <c r="EA308" i="20"/>
  <c r="AX314" i="20"/>
  <c r="BB313" i="20"/>
  <c r="AY313" i="20"/>
  <c r="EU410" i="20"/>
  <c r="EX410" i="20" s="1"/>
  <c r="EY410" i="20" s="1"/>
  <c r="DV410" i="20"/>
  <c r="DV311" i="20"/>
  <c r="EU311" i="20"/>
  <c r="EX311" i="20" s="1"/>
  <c r="EY311" i="20" s="1"/>
  <c r="BD312" i="20"/>
  <c r="BE312" i="20" s="1"/>
  <c r="EC312" i="20"/>
  <c r="DY309" i="20"/>
  <c r="DZ309" i="20" s="1"/>
  <c r="DY408" i="20"/>
  <c r="DZ408" i="20" s="1"/>
  <c r="FE310" i="20" l="1"/>
  <c r="FF310" i="20" s="1"/>
  <c r="DY409" i="20"/>
  <c r="DZ409" i="20" s="1"/>
  <c r="FE409" i="20"/>
  <c r="FF409" i="20" s="1"/>
  <c r="AX315" i="20"/>
  <c r="BB314" i="20"/>
  <c r="AY314" i="20"/>
  <c r="DG308" i="20"/>
  <c r="AL308" i="20"/>
  <c r="FS308" i="20"/>
  <c r="FU308" i="20" s="1"/>
  <c r="CY409" i="20"/>
  <c r="EA409" i="20"/>
  <c r="DV411" i="20"/>
  <c r="EU411" i="20"/>
  <c r="EX411" i="20" s="1"/>
  <c r="EY411" i="20" s="1"/>
  <c r="DW410" i="20"/>
  <c r="DX410" i="20"/>
  <c r="EC183" i="20"/>
  <c r="BD183" i="20"/>
  <c r="BE183" i="20" s="1"/>
  <c r="AL179" i="20"/>
  <c r="DM179" i="20"/>
  <c r="FS179" i="20"/>
  <c r="DY180" i="20"/>
  <c r="DZ180" i="20" s="1"/>
  <c r="AZ183" i="20"/>
  <c r="BC183" i="20"/>
  <c r="DG407" i="20"/>
  <c r="AL407" i="20"/>
  <c r="FS407" i="20"/>
  <c r="FU407" i="20" s="1"/>
  <c r="FA410" i="20"/>
  <c r="EZ410" i="20"/>
  <c r="DW181" i="20"/>
  <c r="DX181" i="20"/>
  <c r="DV312" i="20"/>
  <c r="EU312" i="20"/>
  <c r="EX312" i="20" s="1"/>
  <c r="EY312" i="20" s="1"/>
  <c r="AY413" i="20"/>
  <c r="BB413" i="20"/>
  <c r="AX414" i="20"/>
  <c r="BD313" i="20"/>
  <c r="BE313" i="20" s="1"/>
  <c r="EC313" i="20"/>
  <c r="AY184" i="20"/>
  <c r="BB184" i="20"/>
  <c r="BE182" i="20"/>
  <c r="FE180" i="20"/>
  <c r="FF180" i="20" s="1"/>
  <c r="EA408" i="20"/>
  <c r="CY408" i="20"/>
  <c r="EC412" i="20"/>
  <c r="BD412" i="20"/>
  <c r="BE412" i="20" s="1"/>
  <c r="DW311" i="20"/>
  <c r="DX311" i="20"/>
  <c r="AZ313" i="20"/>
  <c r="BC313" i="20"/>
  <c r="DV182" i="20"/>
  <c r="EU182" i="20"/>
  <c r="EX182" i="20" s="1"/>
  <c r="EY182" i="20" s="1"/>
  <c r="CY309" i="20"/>
  <c r="EA309" i="20"/>
  <c r="FA181" i="20"/>
  <c r="EZ181" i="20"/>
  <c r="FA311" i="20"/>
  <c r="EZ311" i="20"/>
  <c r="FE311" i="20" s="1"/>
  <c r="FF311" i="20" s="1"/>
  <c r="DY310" i="20"/>
  <c r="DZ310" i="20" s="1"/>
  <c r="BC412" i="20"/>
  <c r="AZ412" i="20"/>
  <c r="BC184" i="20" l="1"/>
  <c r="AZ184" i="20"/>
  <c r="EU313" i="20"/>
  <c r="EX313" i="20" s="1"/>
  <c r="EY313" i="20" s="1"/>
  <c r="DV313" i="20"/>
  <c r="BD413" i="20"/>
  <c r="BE413" i="20" s="1"/>
  <c r="EC413" i="20"/>
  <c r="DW312" i="20"/>
  <c r="DX312" i="20"/>
  <c r="DY181" i="20"/>
  <c r="DZ181" i="20" s="1"/>
  <c r="DW411" i="20"/>
  <c r="DX411" i="20"/>
  <c r="DG409" i="20"/>
  <c r="FS409" i="20"/>
  <c r="FU409" i="20" s="1"/>
  <c r="AL409" i="20"/>
  <c r="CY310" i="20"/>
  <c r="EA310" i="20"/>
  <c r="FE181" i="20"/>
  <c r="FF181" i="20" s="1"/>
  <c r="BC413" i="20"/>
  <c r="AZ413" i="20"/>
  <c r="EZ182" i="20"/>
  <c r="FA182" i="20"/>
  <c r="DM408" i="20"/>
  <c r="FS408" i="20"/>
  <c r="FU408" i="20" s="1"/>
  <c r="AL408" i="20"/>
  <c r="EA180" i="20"/>
  <c r="CY180" i="20"/>
  <c r="DX182" i="20"/>
  <c r="DW182" i="20"/>
  <c r="FA411" i="20"/>
  <c r="EZ411" i="20"/>
  <c r="FU179" i="20"/>
  <c r="AL309" i="20"/>
  <c r="DG309" i="20"/>
  <c r="FS309" i="20"/>
  <c r="FU309" i="20" s="1"/>
  <c r="DV412" i="20"/>
  <c r="EU412" i="20"/>
  <c r="EX412" i="20" s="1"/>
  <c r="EY412" i="20" s="1"/>
  <c r="AZ314" i="20"/>
  <c r="BC314" i="20"/>
  <c r="AY414" i="20"/>
  <c r="AX415" i="20"/>
  <c r="BB414" i="20"/>
  <c r="FA312" i="20"/>
  <c r="EZ312" i="20"/>
  <c r="FE410" i="20"/>
  <c r="FF410" i="20" s="1"/>
  <c r="DY410" i="20"/>
  <c r="DZ410" i="20" s="1"/>
  <c r="BD314" i="20"/>
  <c r="BE314" i="20" s="1"/>
  <c r="EC314" i="20"/>
  <c r="DV183" i="20"/>
  <c r="EU183" i="20"/>
  <c r="EX183" i="20" s="1"/>
  <c r="EY183" i="20" s="1"/>
  <c r="DY311" i="20"/>
  <c r="DZ311" i="20" s="1"/>
  <c r="EC184" i="20"/>
  <c r="BD184" i="20"/>
  <c r="BE184" i="20" s="1"/>
  <c r="AX316" i="20"/>
  <c r="AY315" i="20"/>
  <c r="BB315" i="20"/>
  <c r="DY182" i="20" l="1"/>
  <c r="DZ182" i="20" s="1"/>
  <c r="CY181" i="20"/>
  <c r="EA181" i="20"/>
  <c r="FE182" i="20"/>
  <c r="FF182" i="20" s="1"/>
  <c r="EA182" i="20" s="1"/>
  <c r="EZ183" i="20"/>
  <c r="FA183" i="20"/>
  <c r="DX183" i="20"/>
  <c r="DW183" i="20"/>
  <c r="EA410" i="20"/>
  <c r="CY410" i="20"/>
  <c r="DM310" i="20"/>
  <c r="AL310" i="20"/>
  <c r="FS310" i="20"/>
  <c r="FU310" i="20" s="1"/>
  <c r="EU314" i="20"/>
  <c r="EX314" i="20" s="1"/>
  <c r="EY314" i="20" s="1"/>
  <c r="DV314" i="20"/>
  <c r="FE312" i="20"/>
  <c r="FF312" i="20" s="1"/>
  <c r="BD414" i="20"/>
  <c r="BE414" i="20" s="1"/>
  <c r="EC414" i="20"/>
  <c r="BC414" i="20"/>
  <c r="AZ414" i="20"/>
  <c r="DY312" i="20"/>
  <c r="DZ312" i="20" s="1"/>
  <c r="AZ315" i="20"/>
  <c r="BC315" i="20"/>
  <c r="CY182" i="20"/>
  <c r="EU413" i="20"/>
  <c r="EX413" i="20" s="1"/>
  <c r="EY413" i="20" s="1"/>
  <c r="DV413" i="20"/>
  <c r="EZ412" i="20"/>
  <c r="FA412" i="20"/>
  <c r="DY411" i="20"/>
  <c r="DZ411" i="20" s="1"/>
  <c r="DW412" i="20"/>
  <c r="DX412" i="20"/>
  <c r="EC315" i="20"/>
  <c r="BD315" i="20"/>
  <c r="BE315" i="20" s="1"/>
  <c r="AX317" i="20"/>
  <c r="BB316" i="20"/>
  <c r="AY316" i="20"/>
  <c r="AL180" i="20"/>
  <c r="DM180" i="20"/>
  <c r="FS180" i="20"/>
  <c r="DW313" i="20"/>
  <c r="DX313" i="20"/>
  <c r="AY415" i="20"/>
  <c r="BB415" i="20"/>
  <c r="AX416" i="20"/>
  <c r="FE411" i="20"/>
  <c r="FF411" i="20" s="1"/>
  <c r="DV184" i="20"/>
  <c r="EU184" i="20"/>
  <c r="EX184" i="20" s="1"/>
  <c r="EY184" i="20" s="1"/>
  <c r="EZ313" i="20"/>
  <c r="FA313" i="20"/>
  <c r="CY311" i="20"/>
  <c r="EA311" i="20"/>
  <c r="DY183" i="20" l="1"/>
  <c r="DZ183" i="20" s="1"/>
  <c r="DM311" i="20"/>
  <c r="AL311" i="20"/>
  <c r="FS311" i="20"/>
  <c r="FU311" i="20" s="1"/>
  <c r="EC415" i="20"/>
  <c r="BD415" i="20"/>
  <c r="BE415" i="20" s="1"/>
  <c r="EC316" i="20"/>
  <c r="BD316" i="20"/>
  <c r="BE316" i="20" s="1"/>
  <c r="FU180" i="20"/>
  <c r="CY411" i="20"/>
  <c r="EA411" i="20"/>
  <c r="DV315" i="20"/>
  <c r="EU315" i="20"/>
  <c r="EX315" i="20" s="1"/>
  <c r="EY315" i="20" s="1"/>
  <c r="DY412" i="20"/>
  <c r="DZ412" i="20" s="1"/>
  <c r="DY313" i="20"/>
  <c r="DZ313" i="20" s="1"/>
  <c r="CY312" i="20"/>
  <c r="EA312" i="20"/>
  <c r="EU414" i="20"/>
  <c r="EX414" i="20" s="1"/>
  <c r="EY414" i="20" s="1"/>
  <c r="DV414" i="20"/>
  <c r="DM182" i="20"/>
  <c r="FS182" i="20"/>
  <c r="FU182" i="20" s="1"/>
  <c r="AL182" i="20"/>
  <c r="DW314" i="20"/>
  <c r="DX314" i="20"/>
  <c r="AX318" i="20"/>
  <c r="BB317" i="20"/>
  <c r="AY317" i="20"/>
  <c r="FE412" i="20"/>
  <c r="FF412" i="20" s="1"/>
  <c r="FE183" i="20"/>
  <c r="FF183" i="20" s="1"/>
  <c r="EA183" i="20" s="1"/>
  <c r="FA314" i="20"/>
  <c r="EZ314" i="20"/>
  <c r="FE314" i="20" s="1"/>
  <c r="FF314" i="20" s="1"/>
  <c r="AZ415" i="20"/>
  <c r="BC415" i="20"/>
  <c r="DW413" i="20"/>
  <c r="DX413" i="20"/>
  <c r="EZ184" i="20"/>
  <c r="FA184" i="20"/>
  <c r="DW184" i="20"/>
  <c r="DX184" i="20"/>
  <c r="FS410" i="20"/>
  <c r="FU410" i="20" s="1"/>
  <c r="AL410" i="20"/>
  <c r="DM410" i="20"/>
  <c r="FA413" i="20"/>
  <c r="EZ413" i="20"/>
  <c r="FE313" i="20"/>
  <c r="FF313" i="20" s="1"/>
  <c r="BC316" i="20"/>
  <c r="AZ316" i="20"/>
  <c r="AX417" i="20"/>
  <c r="AY416" i="20"/>
  <c r="BB416" i="20"/>
  <c r="CY183" i="20"/>
  <c r="AL181" i="20"/>
  <c r="DM181" i="20"/>
  <c r="FS181" i="20"/>
  <c r="FU181" i="20" s="1"/>
  <c r="DY314" i="20" l="1"/>
  <c r="DZ314" i="20" s="1"/>
  <c r="CY412" i="20"/>
  <c r="EA412" i="20"/>
  <c r="FE413" i="20"/>
  <c r="FF413" i="20" s="1"/>
  <c r="BC317" i="20"/>
  <c r="AZ317" i="20"/>
  <c r="FA315" i="20"/>
  <c r="EZ315" i="20"/>
  <c r="FE315" i="20" s="1"/>
  <c r="FF315" i="20" s="1"/>
  <c r="DW315" i="20"/>
  <c r="DX315" i="20"/>
  <c r="CY314" i="20"/>
  <c r="EA314" i="20"/>
  <c r="AX319" i="20"/>
  <c r="BB318" i="20"/>
  <c r="AY318" i="20"/>
  <c r="FE184" i="20"/>
  <c r="FF184" i="20" s="1"/>
  <c r="DV316" i="20"/>
  <c r="EU316" i="20"/>
  <c r="EX316" i="20" s="1"/>
  <c r="EY316" i="20" s="1"/>
  <c r="DW414" i="20"/>
  <c r="DX414" i="20"/>
  <c r="EU415" i="20"/>
  <c r="EX415" i="20" s="1"/>
  <c r="EY415" i="20" s="1"/>
  <c r="DV415" i="20"/>
  <c r="EC317" i="20"/>
  <c r="BD317" i="20"/>
  <c r="BE317" i="20" s="1"/>
  <c r="AL411" i="20"/>
  <c r="FS411" i="20"/>
  <c r="FU411" i="20" s="1"/>
  <c r="DG411" i="20"/>
  <c r="DM183" i="20"/>
  <c r="AL183" i="20"/>
  <c r="FS183" i="20"/>
  <c r="DY184" i="20"/>
  <c r="DZ184" i="20" s="1"/>
  <c r="BD416" i="20"/>
  <c r="BE416" i="20" s="1"/>
  <c r="EC416" i="20"/>
  <c r="DG312" i="20"/>
  <c r="FS312" i="20"/>
  <c r="FU312" i="20" s="1"/>
  <c r="AL312" i="20"/>
  <c r="EZ414" i="20"/>
  <c r="FA414" i="20"/>
  <c r="AZ416" i="20"/>
  <c r="BC416" i="20"/>
  <c r="EA313" i="20"/>
  <c r="CY313" i="20"/>
  <c r="DY413" i="20"/>
  <c r="DZ413" i="20" s="1"/>
  <c r="BB417" i="20"/>
  <c r="AX418" i="20"/>
  <c r="AY417" i="20"/>
  <c r="EC318" i="20" l="1"/>
  <c r="BD318" i="20"/>
  <c r="BE318" i="20" s="1"/>
  <c r="DY414" i="20"/>
  <c r="DZ414" i="20" s="1"/>
  <c r="EU416" i="20"/>
  <c r="EX416" i="20" s="1"/>
  <c r="EY416" i="20" s="1"/>
  <c r="DV416" i="20"/>
  <c r="AL314" i="20"/>
  <c r="DG314" i="20"/>
  <c r="FS314" i="20"/>
  <c r="FU314" i="20" s="1"/>
  <c r="EZ316" i="20"/>
  <c r="FA316" i="20"/>
  <c r="FU183" i="20"/>
  <c r="DW316" i="20"/>
  <c r="DX316" i="20"/>
  <c r="EA184" i="20"/>
  <c r="CY184" i="20"/>
  <c r="AX320" i="20"/>
  <c r="BB319" i="20"/>
  <c r="AY319" i="20"/>
  <c r="DY315" i="20"/>
  <c r="DZ315" i="20" s="1"/>
  <c r="FE414" i="20"/>
  <c r="FF414" i="20" s="1"/>
  <c r="BC318" i="20"/>
  <c r="AZ318" i="20"/>
  <c r="DW415" i="20"/>
  <c r="DX415" i="20"/>
  <c r="AZ417" i="20"/>
  <c r="BC417" i="20"/>
  <c r="EC417" i="20"/>
  <c r="BD417" i="20"/>
  <c r="BE417" i="20" s="1"/>
  <c r="DM313" i="20"/>
  <c r="AL313" i="20"/>
  <c r="FS313" i="20"/>
  <c r="FU313" i="20" s="1"/>
  <c r="EZ415" i="20"/>
  <c r="FA415" i="20"/>
  <c r="FS412" i="20"/>
  <c r="FU412" i="20" s="1"/>
  <c r="AL412" i="20"/>
  <c r="DM412" i="20"/>
  <c r="AY418" i="20"/>
  <c r="BB418" i="20"/>
  <c r="AX419" i="20"/>
  <c r="EA413" i="20"/>
  <c r="CY413" i="20"/>
  <c r="DV317" i="20"/>
  <c r="EU317" i="20"/>
  <c r="EX317" i="20" s="1"/>
  <c r="EY317" i="20" s="1"/>
  <c r="AZ418" i="20" l="1"/>
  <c r="BC418" i="20"/>
  <c r="DY316" i="20"/>
  <c r="DZ316" i="20" s="1"/>
  <c r="DV417" i="20"/>
  <c r="EU417" i="20"/>
  <c r="EX417" i="20" s="1"/>
  <c r="EY417" i="20" s="1"/>
  <c r="FS413" i="20"/>
  <c r="FU413" i="20" s="1"/>
  <c r="DG413" i="20"/>
  <c r="AL413" i="20"/>
  <c r="EZ416" i="20"/>
  <c r="FA416" i="20"/>
  <c r="FE415" i="20"/>
  <c r="FF415" i="20" s="1"/>
  <c r="CY414" i="20"/>
  <c r="EA414" i="20"/>
  <c r="CY315" i="20"/>
  <c r="EA315" i="20"/>
  <c r="EC319" i="20"/>
  <c r="BD319" i="20"/>
  <c r="BE319" i="20" s="1"/>
  <c r="FE316" i="20"/>
  <c r="FF316" i="20" s="1"/>
  <c r="DX317" i="20"/>
  <c r="DW317" i="20"/>
  <c r="AZ319" i="20"/>
  <c r="BC319" i="20"/>
  <c r="BB419" i="20"/>
  <c r="AY419" i="20"/>
  <c r="AX420" i="20"/>
  <c r="AX321" i="20"/>
  <c r="AY320" i="20"/>
  <c r="BB320" i="20"/>
  <c r="DY415" i="20"/>
  <c r="DZ415" i="20" s="1"/>
  <c r="FA317" i="20"/>
  <c r="EZ317" i="20"/>
  <c r="DW416" i="20"/>
  <c r="DX416" i="20"/>
  <c r="BD418" i="20"/>
  <c r="BE418" i="20" s="1"/>
  <c r="EC418" i="20"/>
  <c r="DM184" i="20"/>
  <c r="FS184" i="20"/>
  <c r="AL184" i="20"/>
  <c r="EU318" i="20"/>
  <c r="EX318" i="20" s="1"/>
  <c r="EY318" i="20" s="1"/>
  <c r="DV318" i="20"/>
  <c r="FE317" i="20" l="1"/>
  <c r="FF317" i="20" s="1"/>
  <c r="EA415" i="20"/>
  <c r="CY415" i="20"/>
  <c r="EU418" i="20"/>
  <c r="EX418" i="20" s="1"/>
  <c r="EY418" i="20" s="1"/>
  <c r="DV418" i="20"/>
  <c r="DM414" i="20"/>
  <c r="FS414" i="20"/>
  <c r="FU414" i="20" s="1"/>
  <c r="AL414" i="20"/>
  <c r="FU184" i="20"/>
  <c r="DW318" i="20"/>
  <c r="DX318" i="20"/>
  <c r="DY317" i="20"/>
  <c r="DZ317" i="20" s="1"/>
  <c r="EU319" i="20"/>
  <c r="EX319" i="20" s="1"/>
  <c r="EY319" i="20" s="1"/>
  <c r="DV319" i="20"/>
  <c r="EZ417" i="20"/>
  <c r="FA417" i="20"/>
  <c r="DY416" i="20"/>
  <c r="DZ416" i="20" s="1"/>
  <c r="AX322" i="20"/>
  <c r="BB321" i="20"/>
  <c r="AY321" i="20"/>
  <c r="DW417" i="20"/>
  <c r="DX417" i="20"/>
  <c r="DG315" i="20"/>
  <c r="FS315" i="20"/>
  <c r="FU315" i="20" s="1"/>
  <c r="AL315" i="20"/>
  <c r="AX421" i="20"/>
  <c r="BB420" i="20"/>
  <c r="AY420" i="20"/>
  <c r="CY316" i="20"/>
  <c r="EA316" i="20"/>
  <c r="EC320" i="20"/>
  <c r="BD320" i="20"/>
  <c r="BE320" i="20" s="1"/>
  <c r="FA318" i="20"/>
  <c r="EZ318" i="20"/>
  <c r="BC320" i="20"/>
  <c r="AZ320" i="20"/>
  <c r="BC419" i="20"/>
  <c r="AZ419" i="20"/>
  <c r="FE416" i="20"/>
  <c r="FF416" i="20" s="1"/>
  <c r="EC419" i="20"/>
  <c r="BD419" i="20"/>
  <c r="BE419" i="20" s="1"/>
  <c r="FE318" i="20" l="1"/>
  <c r="FF318" i="20" s="1"/>
  <c r="EA416" i="20"/>
  <c r="CY416" i="20"/>
  <c r="BC420" i="20"/>
  <c r="AZ420" i="20"/>
  <c r="AL316" i="20"/>
  <c r="FS316" i="20"/>
  <c r="FU316" i="20" s="1"/>
  <c r="DG316" i="20"/>
  <c r="BD420" i="20"/>
  <c r="BE420" i="20" s="1"/>
  <c r="EC420" i="20"/>
  <c r="AY421" i="20"/>
  <c r="BB421" i="20"/>
  <c r="AX422" i="20"/>
  <c r="DV320" i="20"/>
  <c r="EU320" i="20"/>
  <c r="EX320" i="20" s="1"/>
  <c r="EY320" i="20" s="1"/>
  <c r="BC321" i="20"/>
  <c r="AZ321" i="20"/>
  <c r="DY417" i="20"/>
  <c r="DZ417" i="20" s="1"/>
  <c r="DW319" i="20"/>
  <c r="DX319" i="20"/>
  <c r="EZ319" i="20"/>
  <c r="FA319" i="20"/>
  <c r="DW418" i="20"/>
  <c r="DX418" i="20"/>
  <c r="BD321" i="20"/>
  <c r="BE321" i="20" s="1"/>
  <c r="EC321" i="20"/>
  <c r="AX323" i="20"/>
  <c r="AY322" i="20"/>
  <c r="BB322" i="20"/>
  <c r="DV419" i="20"/>
  <c r="EU419" i="20"/>
  <c r="EX419" i="20" s="1"/>
  <c r="EY419" i="20" s="1"/>
  <c r="FE417" i="20"/>
  <c r="FF417" i="20" s="1"/>
  <c r="CY317" i="20"/>
  <c r="EA317" i="20"/>
  <c r="FA418" i="20"/>
  <c r="EZ418" i="20"/>
  <c r="FS415" i="20"/>
  <c r="FU415" i="20" s="1"/>
  <c r="DG415" i="20"/>
  <c r="AL415" i="20"/>
  <c r="DY318" i="20"/>
  <c r="DZ318" i="20" s="1"/>
  <c r="DY319" i="20" l="1"/>
  <c r="DZ319" i="20" s="1"/>
  <c r="CY319" i="20" s="1"/>
  <c r="EA417" i="20"/>
  <c r="CY417" i="20"/>
  <c r="AL319" i="20"/>
  <c r="FS319" i="20"/>
  <c r="FU319" i="20" s="1"/>
  <c r="DM319" i="20"/>
  <c r="BD421" i="20"/>
  <c r="BE421" i="20" s="1"/>
  <c r="EC421" i="20"/>
  <c r="DY418" i="20"/>
  <c r="DZ418" i="20" s="1"/>
  <c r="FE418" i="20"/>
  <c r="FF418" i="20" s="1"/>
  <c r="AZ421" i="20"/>
  <c r="BC421" i="20"/>
  <c r="EA318" i="20"/>
  <c r="CY318" i="20"/>
  <c r="EZ320" i="20"/>
  <c r="FA320" i="20"/>
  <c r="AY422" i="20"/>
  <c r="AX423" i="20"/>
  <c r="BB422" i="20"/>
  <c r="DG317" i="20"/>
  <c r="AL317" i="20"/>
  <c r="FS317" i="20"/>
  <c r="FU317" i="20" s="1"/>
  <c r="EC322" i="20"/>
  <c r="BD322" i="20"/>
  <c r="BE322" i="20" s="1"/>
  <c r="FE319" i="20"/>
  <c r="FF319" i="20" s="1"/>
  <c r="EA319" i="20" s="1"/>
  <c r="DX320" i="20"/>
  <c r="DW320" i="20"/>
  <c r="DY320" i="20" s="1"/>
  <c r="DZ320" i="20" s="1"/>
  <c r="DV420" i="20"/>
  <c r="EU420" i="20"/>
  <c r="EX420" i="20" s="1"/>
  <c r="EY420" i="20" s="1"/>
  <c r="DV321" i="20"/>
  <c r="EU321" i="20"/>
  <c r="EX321" i="20" s="1"/>
  <c r="EY321" i="20" s="1"/>
  <c r="DM416" i="20"/>
  <c r="FS416" i="20"/>
  <c r="FU416" i="20" s="1"/>
  <c r="AL416" i="20"/>
  <c r="EZ419" i="20"/>
  <c r="FA419" i="20"/>
  <c r="DW419" i="20"/>
  <c r="DX419" i="20"/>
  <c r="BC322" i="20"/>
  <c r="AZ322" i="20"/>
  <c r="AX324" i="20"/>
  <c r="AY323" i="20"/>
  <c r="BB323" i="20"/>
  <c r="CY418" i="20" l="1"/>
  <c r="EA418" i="20"/>
  <c r="BD422" i="20"/>
  <c r="BE422" i="20" s="1"/>
  <c r="EC422" i="20"/>
  <c r="BB423" i="20"/>
  <c r="AX424" i="20"/>
  <c r="AY423" i="20"/>
  <c r="DY419" i="20"/>
  <c r="DZ419" i="20" s="1"/>
  <c r="BD323" i="20"/>
  <c r="BE323" i="20" s="1"/>
  <c r="EC323" i="20"/>
  <c r="AX325" i="20"/>
  <c r="BB324" i="20"/>
  <c r="AY324" i="20"/>
  <c r="DW420" i="20"/>
  <c r="DX420" i="20"/>
  <c r="DV322" i="20"/>
  <c r="EU322" i="20"/>
  <c r="EX322" i="20" s="1"/>
  <c r="EY322" i="20" s="1"/>
  <c r="FE320" i="20"/>
  <c r="FF320" i="20" s="1"/>
  <c r="EA320" i="20" s="1"/>
  <c r="CY320" i="20"/>
  <c r="FE419" i="20"/>
  <c r="FF419" i="20" s="1"/>
  <c r="FA321" i="20"/>
  <c r="EZ321" i="20"/>
  <c r="DX321" i="20"/>
  <c r="DW321" i="20"/>
  <c r="AZ422" i="20"/>
  <c r="BC422" i="20"/>
  <c r="DM318" i="20"/>
  <c r="AL318" i="20"/>
  <c r="FS318" i="20"/>
  <c r="FU318" i="20" s="1"/>
  <c r="EZ420" i="20"/>
  <c r="FA420" i="20"/>
  <c r="FS417" i="20"/>
  <c r="FU417" i="20" s="1"/>
  <c r="AL417" i="20"/>
  <c r="DM417" i="20"/>
  <c r="BC323" i="20"/>
  <c r="AZ323" i="20"/>
  <c r="EU421" i="20"/>
  <c r="EX421" i="20" s="1"/>
  <c r="EY421" i="20" s="1"/>
  <c r="DV421" i="20"/>
  <c r="CY419" i="20" l="1"/>
  <c r="EA419" i="20"/>
  <c r="DW421" i="20"/>
  <c r="DX421" i="20"/>
  <c r="FS320" i="20"/>
  <c r="FU320" i="20" s="1"/>
  <c r="AL320" i="20"/>
  <c r="DM320" i="20"/>
  <c r="AZ324" i="20"/>
  <c r="BC324" i="20"/>
  <c r="FE420" i="20"/>
  <c r="FF420" i="20" s="1"/>
  <c r="EZ421" i="20"/>
  <c r="FA421" i="20"/>
  <c r="EZ322" i="20"/>
  <c r="FA322" i="20"/>
  <c r="DX322" i="20"/>
  <c r="DW322" i="20"/>
  <c r="DY420" i="20"/>
  <c r="DZ420" i="20" s="1"/>
  <c r="AX326" i="20"/>
  <c r="BB325" i="20"/>
  <c r="AY325" i="20"/>
  <c r="AZ423" i="20"/>
  <c r="BC423" i="20"/>
  <c r="EU323" i="20"/>
  <c r="EX323" i="20" s="1"/>
  <c r="EY323" i="20" s="1"/>
  <c r="DV323" i="20"/>
  <c r="BD423" i="20"/>
  <c r="BE423" i="20" s="1"/>
  <c r="EC423" i="20"/>
  <c r="EC324" i="20"/>
  <c r="BD324" i="20"/>
  <c r="BE324" i="20" s="1"/>
  <c r="AX425" i="20"/>
  <c r="AY424" i="20"/>
  <c r="BB424" i="20"/>
  <c r="EU422" i="20"/>
  <c r="EX422" i="20" s="1"/>
  <c r="EY422" i="20" s="1"/>
  <c r="DV422" i="20"/>
  <c r="DY321" i="20"/>
  <c r="DZ321" i="20" s="1"/>
  <c r="FE321" i="20"/>
  <c r="FF321" i="20" s="1"/>
  <c r="DM418" i="20"/>
  <c r="AL418" i="20"/>
  <c r="FS418" i="20"/>
  <c r="FU418" i="20" s="1"/>
  <c r="DY322" i="20" l="1"/>
  <c r="DZ322" i="20" s="1"/>
  <c r="CY420" i="20"/>
  <c r="EA420" i="20"/>
  <c r="AY326" i="20"/>
  <c r="AX327" i="20"/>
  <c r="BB326" i="20"/>
  <c r="AZ325" i="20"/>
  <c r="BC325" i="20"/>
  <c r="CY322" i="20"/>
  <c r="EZ422" i="20"/>
  <c r="FA422" i="20"/>
  <c r="CY321" i="20"/>
  <c r="EA321" i="20"/>
  <c r="BC424" i="20"/>
  <c r="AZ424" i="20"/>
  <c r="AY425" i="20"/>
  <c r="BB425" i="20"/>
  <c r="AX426" i="20"/>
  <c r="DY421" i="20"/>
  <c r="DZ421" i="20" s="1"/>
  <c r="FE322" i="20"/>
  <c r="FF322" i="20" s="1"/>
  <c r="EA322" i="20" s="1"/>
  <c r="FE421" i="20"/>
  <c r="FF421" i="20" s="1"/>
  <c r="BD424" i="20"/>
  <c r="BE424" i="20" s="1"/>
  <c r="EC424" i="20"/>
  <c r="EU423" i="20"/>
  <c r="EX423" i="20" s="1"/>
  <c r="EY423" i="20" s="1"/>
  <c r="DV423" i="20"/>
  <c r="DW323" i="20"/>
  <c r="DX323" i="20"/>
  <c r="EC325" i="20"/>
  <c r="BD325" i="20"/>
  <c r="BE325" i="20" s="1"/>
  <c r="DW422" i="20"/>
  <c r="DX422" i="20"/>
  <c r="DV324" i="20"/>
  <c r="EU324" i="20"/>
  <c r="EX324" i="20" s="1"/>
  <c r="EY324" i="20" s="1"/>
  <c r="EZ323" i="20"/>
  <c r="FA323" i="20"/>
  <c r="AL419" i="20"/>
  <c r="DM419" i="20"/>
  <c r="FS419" i="20"/>
  <c r="FU419" i="20" s="1"/>
  <c r="CY421" i="20" l="1"/>
  <c r="EA421" i="20"/>
  <c r="AZ425" i="20"/>
  <c r="BC425" i="20"/>
  <c r="FE422" i="20"/>
  <c r="FF422" i="20" s="1"/>
  <c r="BD425" i="20"/>
  <c r="BE425" i="20" s="1"/>
  <c r="EC425" i="20"/>
  <c r="FE323" i="20"/>
  <c r="FF323" i="20" s="1"/>
  <c r="DV325" i="20"/>
  <c r="EU325" i="20"/>
  <c r="EX325" i="20" s="1"/>
  <c r="EY325" i="20" s="1"/>
  <c r="EZ324" i="20"/>
  <c r="FA324" i="20"/>
  <c r="AL322" i="20"/>
  <c r="DM322" i="20"/>
  <c r="FS322" i="20"/>
  <c r="FU322" i="20" s="1"/>
  <c r="BD326" i="20"/>
  <c r="BE326" i="20" s="1"/>
  <c r="EC326" i="20"/>
  <c r="DW423" i="20"/>
  <c r="DX423" i="20"/>
  <c r="AY426" i="20"/>
  <c r="AX427" i="20"/>
  <c r="BB426" i="20"/>
  <c r="EZ423" i="20"/>
  <c r="FA423" i="20"/>
  <c r="AL321" i="20"/>
  <c r="DM321" i="20"/>
  <c r="FS321" i="20"/>
  <c r="FU321" i="20" s="1"/>
  <c r="DW324" i="20"/>
  <c r="DX324" i="20"/>
  <c r="DY422" i="20"/>
  <c r="DZ422" i="20" s="1"/>
  <c r="DY323" i="20"/>
  <c r="DZ323" i="20" s="1"/>
  <c r="AX328" i="20"/>
  <c r="AY327" i="20"/>
  <c r="BB327" i="20"/>
  <c r="BC326" i="20"/>
  <c r="AZ326" i="20"/>
  <c r="EU424" i="20"/>
  <c r="EX424" i="20" s="1"/>
  <c r="EY424" i="20" s="1"/>
  <c r="DV424" i="20"/>
  <c r="AL420" i="20"/>
  <c r="DM420" i="20"/>
  <c r="FS420" i="20"/>
  <c r="FU420" i="20" s="1"/>
  <c r="FE423" i="20" l="1"/>
  <c r="FF423" i="20" s="1"/>
  <c r="AZ426" i="20"/>
  <c r="BC426" i="20"/>
  <c r="BD426" i="20"/>
  <c r="BE426" i="20" s="1"/>
  <c r="EC426" i="20"/>
  <c r="CY323" i="20"/>
  <c r="EA323" i="20"/>
  <c r="AY427" i="20"/>
  <c r="BB427" i="20"/>
  <c r="AX428" i="20"/>
  <c r="DV326" i="20"/>
  <c r="EU326" i="20"/>
  <c r="EX326" i="20" s="1"/>
  <c r="EY326" i="20" s="1"/>
  <c r="FE324" i="20"/>
  <c r="FF324" i="20" s="1"/>
  <c r="EA422" i="20"/>
  <c r="CY422" i="20"/>
  <c r="DY324" i="20"/>
  <c r="DZ324" i="20" s="1"/>
  <c r="CY324" i="20" s="1"/>
  <c r="EZ424" i="20"/>
  <c r="FA424" i="20"/>
  <c r="EC327" i="20"/>
  <c r="BD327" i="20"/>
  <c r="BE327" i="20" s="1"/>
  <c r="BC327" i="20"/>
  <c r="AZ327" i="20"/>
  <c r="DW325" i="20"/>
  <c r="DX325" i="20"/>
  <c r="DV425" i="20"/>
  <c r="EU425" i="20"/>
  <c r="EX425" i="20" s="1"/>
  <c r="EY425" i="20" s="1"/>
  <c r="DY423" i="20"/>
  <c r="DZ423" i="20" s="1"/>
  <c r="DW424" i="20"/>
  <c r="DX424" i="20"/>
  <c r="FA325" i="20"/>
  <c r="EZ325" i="20"/>
  <c r="FE325" i="20" s="1"/>
  <c r="FF325" i="20" s="1"/>
  <c r="AX329" i="20"/>
  <c r="AY328" i="20"/>
  <c r="BB328" i="20"/>
  <c r="DG421" i="20"/>
  <c r="AL421" i="20"/>
  <c r="FS421" i="20"/>
  <c r="FU421" i="20" s="1"/>
  <c r="DY325" i="20" l="1"/>
  <c r="DZ325" i="20" s="1"/>
  <c r="FE424" i="20"/>
  <c r="FF424" i="20"/>
  <c r="EA325" i="20"/>
  <c r="CY325" i="20"/>
  <c r="BD328" i="20"/>
  <c r="BE328" i="20" s="1"/>
  <c r="EC328" i="20"/>
  <c r="BC328" i="20"/>
  <c r="AZ328" i="20"/>
  <c r="EA423" i="20"/>
  <c r="CY423" i="20"/>
  <c r="AL324" i="20"/>
  <c r="FS324" i="20"/>
  <c r="FU324" i="20" s="1"/>
  <c r="DM324" i="20"/>
  <c r="EC427" i="20"/>
  <c r="BD427" i="20"/>
  <c r="BE427" i="20" s="1"/>
  <c r="EU426" i="20"/>
  <c r="EX426" i="20" s="1"/>
  <c r="EY426" i="20" s="1"/>
  <c r="DV426" i="20"/>
  <c r="DG422" i="20"/>
  <c r="AL422" i="20"/>
  <c r="FS422" i="20"/>
  <c r="FU422" i="20" s="1"/>
  <c r="EZ425" i="20"/>
  <c r="FA425" i="20"/>
  <c r="EU327" i="20"/>
  <c r="EX327" i="20" s="1"/>
  <c r="EY327" i="20" s="1"/>
  <c r="DV327" i="20"/>
  <c r="EA324" i="20"/>
  <c r="DX326" i="20"/>
  <c r="DW326" i="20"/>
  <c r="AX330" i="20"/>
  <c r="AY329" i="20"/>
  <c r="BB329" i="20"/>
  <c r="AZ427" i="20"/>
  <c r="BC427" i="20"/>
  <c r="FS323" i="20"/>
  <c r="FU323" i="20" s="1"/>
  <c r="DM323" i="20"/>
  <c r="AL323" i="20"/>
  <c r="DW425" i="20"/>
  <c r="DX425" i="20"/>
  <c r="EZ326" i="20"/>
  <c r="FA326" i="20"/>
  <c r="BB428" i="20"/>
  <c r="AY428" i="20"/>
  <c r="AX429" i="20"/>
  <c r="DY424" i="20"/>
  <c r="DZ424" i="20" s="1"/>
  <c r="DY326" i="20" l="1"/>
  <c r="DZ326" i="20" s="1"/>
  <c r="EZ327" i="20"/>
  <c r="FA327" i="20"/>
  <c r="AY429" i="20"/>
  <c r="BB429" i="20"/>
  <c r="AX430" i="20"/>
  <c r="DX327" i="20"/>
  <c r="DW327" i="20"/>
  <c r="DW426" i="20"/>
  <c r="DX426" i="20"/>
  <c r="EU427" i="20"/>
  <c r="EX427" i="20" s="1"/>
  <c r="EY427" i="20" s="1"/>
  <c r="DV427" i="20"/>
  <c r="EZ426" i="20"/>
  <c r="FA426" i="20"/>
  <c r="DM325" i="20"/>
  <c r="AL325" i="20"/>
  <c r="FS325" i="20"/>
  <c r="FU325" i="20" s="1"/>
  <c r="CY424" i="20"/>
  <c r="EA424" i="20"/>
  <c r="BC428" i="20"/>
  <c r="AZ428" i="20"/>
  <c r="FE326" i="20"/>
  <c r="FF326" i="20" s="1"/>
  <c r="EA326" i="20" s="1"/>
  <c r="CY326" i="20"/>
  <c r="FE425" i="20"/>
  <c r="FF425" i="20" s="1"/>
  <c r="DY425" i="20"/>
  <c r="DZ425" i="20" s="1"/>
  <c r="BD329" i="20"/>
  <c r="BE329" i="20" s="1"/>
  <c r="EC329" i="20"/>
  <c r="EC428" i="20"/>
  <c r="BD428" i="20"/>
  <c r="BE428" i="20" s="1"/>
  <c r="DG423" i="20"/>
  <c r="AL423" i="20"/>
  <c r="FS423" i="20"/>
  <c r="FU423" i="20" s="1"/>
  <c r="EU328" i="20"/>
  <c r="EX328" i="20" s="1"/>
  <c r="EY328" i="20" s="1"/>
  <c r="DV328" i="20"/>
  <c r="AZ329" i="20"/>
  <c r="BC329" i="20"/>
  <c r="AX331" i="20"/>
  <c r="BB330" i="20"/>
  <c r="AY330" i="20"/>
  <c r="DY327" i="20" l="1"/>
  <c r="DZ327" i="20" s="1"/>
  <c r="EA425" i="20"/>
  <c r="CY425" i="20"/>
  <c r="DM326" i="20"/>
  <c r="AL326" i="20"/>
  <c r="FS326" i="20"/>
  <c r="FU326" i="20" s="1"/>
  <c r="BC330" i="20"/>
  <c r="AZ330" i="20"/>
  <c r="EU329" i="20"/>
  <c r="EX329" i="20" s="1"/>
  <c r="EY329" i="20" s="1"/>
  <c r="DV329" i="20"/>
  <c r="DW328" i="20"/>
  <c r="DX328" i="20"/>
  <c r="EZ427" i="20"/>
  <c r="FA427" i="20"/>
  <c r="BD429" i="20"/>
  <c r="BE429" i="20" s="1"/>
  <c r="EC429" i="20"/>
  <c r="EC330" i="20"/>
  <c r="BD330" i="20"/>
  <c r="BE330" i="20" s="1"/>
  <c r="AX332" i="20"/>
  <c r="AY331" i="20"/>
  <c r="BB331" i="20"/>
  <c r="FA328" i="20"/>
  <c r="EZ328" i="20"/>
  <c r="AZ429" i="20"/>
  <c r="BC429" i="20"/>
  <c r="FE426" i="20"/>
  <c r="FF426" i="20"/>
  <c r="DW427" i="20"/>
  <c r="DX427" i="20"/>
  <c r="DY426" i="20"/>
  <c r="DZ426" i="20" s="1"/>
  <c r="DV428" i="20"/>
  <c r="EU428" i="20"/>
  <c r="EX428" i="20" s="1"/>
  <c r="EY428" i="20" s="1"/>
  <c r="DM424" i="20"/>
  <c r="FS424" i="20"/>
  <c r="FU424" i="20" s="1"/>
  <c r="AL424" i="20"/>
  <c r="CY327" i="20"/>
  <c r="BB430" i="20"/>
  <c r="AX431" i="20"/>
  <c r="AY430" i="20"/>
  <c r="FE327" i="20"/>
  <c r="FF327" i="20" s="1"/>
  <c r="EA327" i="20" s="1"/>
  <c r="CY426" i="20" l="1"/>
  <c r="EA426" i="20"/>
  <c r="AZ331" i="20"/>
  <c r="BC331" i="20"/>
  <c r="AY431" i="20"/>
  <c r="BB431" i="20"/>
  <c r="AX432" i="20"/>
  <c r="AX333" i="20"/>
  <c r="BB332" i="20"/>
  <c r="AY332" i="20"/>
  <c r="EU429" i="20"/>
  <c r="EX429" i="20" s="1"/>
  <c r="EY429" i="20" s="1"/>
  <c r="DV429" i="20"/>
  <c r="DY328" i="20"/>
  <c r="DZ328" i="20" s="1"/>
  <c r="CY328" i="20" s="1"/>
  <c r="FE328" i="20"/>
  <c r="FF328" i="20" s="1"/>
  <c r="EC430" i="20"/>
  <c r="BD430" i="20"/>
  <c r="BE430" i="20" s="1"/>
  <c r="BC430" i="20"/>
  <c r="AZ430" i="20"/>
  <c r="DM327" i="20"/>
  <c r="AL327" i="20"/>
  <c r="FS327" i="20"/>
  <c r="FU327" i="20" s="1"/>
  <c r="FA428" i="20"/>
  <c r="EZ428" i="20"/>
  <c r="FE427" i="20"/>
  <c r="FF427" i="20" s="1"/>
  <c r="EZ329" i="20"/>
  <c r="FA329" i="20"/>
  <c r="DM425" i="20"/>
  <c r="AL425" i="20"/>
  <c r="FS425" i="20"/>
  <c r="FU425" i="20" s="1"/>
  <c r="EC331" i="20"/>
  <c r="BD331" i="20"/>
  <c r="BE331" i="20" s="1"/>
  <c r="DV330" i="20"/>
  <c r="EU330" i="20"/>
  <c r="EX330" i="20" s="1"/>
  <c r="EY330" i="20" s="1"/>
  <c r="DW329" i="20"/>
  <c r="DX329" i="20"/>
  <c r="DW428" i="20"/>
  <c r="DX428" i="20"/>
  <c r="DY427" i="20"/>
  <c r="DZ427" i="20" s="1"/>
  <c r="EA328" i="20" l="1"/>
  <c r="FE329" i="20"/>
  <c r="FF329" i="20" s="1"/>
  <c r="DV430" i="20"/>
  <c r="EU430" i="20"/>
  <c r="EX430" i="20" s="1"/>
  <c r="EY430" i="20" s="1"/>
  <c r="FA330" i="20"/>
  <c r="EZ330" i="20"/>
  <c r="FE330" i="20" s="1"/>
  <c r="FF330" i="20" s="1"/>
  <c r="EC332" i="20"/>
  <c r="BD332" i="20"/>
  <c r="BE332" i="20" s="1"/>
  <c r="DV331" i="20"/>
  <c r="EU331" i="20"/>
  <c r="EX331" i="20" s="1"/>
  <c r="EY331" i="20" s="1"/>
  <c r="DY428" i="20"/>
  <c r="DZ428" i="20" s="1"/>
  <c r="DX429" i="20"/>
  <c r="DW429" i="20"/>
  <c r="BC332" i="20"/>
  <c r="AZ332" i="20"/>
  <c r="BC431" i="20"/>
  <c r="AZ431" i="20"/>
  <c r="AL328" i="20"/>
  <c r="FS328" i="20"/>
  <c r="FU328" i="20" s="1"/>
  <c r="DM328" i="20"/>
  <c r="DY329" i="20"/>
  <c r="DZ329" i="20" s="1"/>
  <c r="CY329" i="20" s="1"/>
  <c r="DX330" i="20"/>
  <c r="DW330" i="20"/>
  <c r="BB333" i="20"/>
  <c r="AX334" i="20"/>
  <c r="AY333" i="20"/>
  <c r="AX433" i="20"/>
  <c r="BB432" i="20"/>
  <c r="AY432" i="20"/>
  <c r="FE428" i="20"/>
  <c r="FF428" i="20"/>
  <c r="EA427" i="20"/>
  <c r="CY427" i="20"/>
  <c r="EZ429" i="20"/>
  <c r="FA429" i="20"/>
  <c r="EC431" i="20"/>
  <c r="BD431" i="20"/>
  <c r="BE431" i="20" s="1"/>
  <c r="FS426" i="20"/>
  <c r="FU426" i="20" s="1"/>
  <c r="DG426" i="20"/>
  <c r="AL426" i="20"/>
  <c r="CY428" i="20" l="1"/>
  <c r="EA428" i="20"/>
  <c r="AL329" i="20"/>
  <c r="DG329" i="20"/>
  <c r="FS329" i="20"/>
  <c r="FU329" i="20" s="1"/>
  <c r="EA329" i="20"/>
  <c r="FE429" i="20"/>
  <c r="FF429" i="20" s="1"/>
  <c r="DW331" i="20"/>
  <c r="DX331" i="20"/>
  <c r="BC432" i="20"/>
  <c r="AZ432" i="20"/>
  <c r="AY334" i="20"/>
  <c r="BB334" i="20"/>
  <c r="AX335" i="20"/>
  <c r="DY429" i="20"/>
  <c r="DZ429" i="20" s="1"/>
  <c r="EZ331" i="20"/>
  <c r="FA331" i="20"/>
  <c r="BD432" i="20"/>
  <c r="BE432" i="20" s="1"/>
  <c r="EC432" i="20"/>
  <c r="DY330" i="20"/>
  <c r="DZ330" i="20" s="1"/>
  <c r="CY330" i="20" s="1"/>
  <c r="EU431" i="20"/>
  <c r="EX431" i="20" s="1"/>
  <c r="EY431" i="20" s="1"/>
  <c r="DV431" i="20"/>
  <c r="EU332" i="20"/>
  <c r="EX332" i="20" s="1"/>
  <c r="EY332" i="20" s="1"/>
  <c r="DV332" i="20"/>
  <c r="EZ430" i="20"/>
  <c r="FA430" i="20"/>
  <c r="EC333" i="20"/>
  <c r="BD333" i="20"/>
  <c r="BE333" i="20" s="1"/>
  <c r="AL427" i="20"/>
  <c r="DM427" i="20"/>
  <c r="FS427" i="20"/>
  <c r="FU427" i="20" s="1"/>
  <c r="AY433" i="20"/>
  <c r="BB433" i="20"/>
  <c r="AX434" i="20"/>
  <c r="AZ333" i="20"/>
  <c r="BC333" i="20"/>
  <c r="DW430" i="20"/>
  <c r="DX430" i="20"/>
  <c r="FE331" i="20" l="1"/>
  <c r="FF331" i="20" s="1"/>
  <c r="EA429" i="20"/>
  <c r="CY429" i="20"/>
  <c r="DW431" i="20"/>
  <c r="DX431" i="20"/>
  <c r="EZ431" i="20"/>
  <c r="FA431" i="20"/>
  <c r="AL330" i="20"/>
  <c r="DG330" i="20"/>
  <c r="FS330" i="20"/>
  <c r="FU330" i="20" s="1"/>
  <c r="EC334" i="20"/>
  <c r="BD334" i="20"/>
  <c r="BE334" i="20" s="1"/>
  <c r="EA330" i="20"/>
  <c r="EA331" i="20"/>
  <c r="EC433" i="20"/>
  <c r="BD433" i="20"/>
  <c r="BE433" i="20" s="1"/>
  <c r="FE430" i="20"/>
  <c r="FF430" i="20" s="1"/>
  <c r="EU432" i="20"/>
  <c r="EX432" i="20" s="1"/>
  <c r="EY432" i="20" s="1"/>
  <c r="DV432" i="20"/>
  <c r="DY430" i="20"/>
  <c r="DZ430" i="20" s="1"/>
  <c r="AX336" i="20"/>
  <c r="AY335" i="20"/>
  <c r="BB335" i="20"/>
  <c r="AY434" i="20"/>
  <c r="AX435" i="20"/>
  <c r="BB434" i="20"/>
  <c r="BC433" i="20"/>
  <c r="AZ433" i="20"/>
  <c r="DY331" i="20"/>
  <c r="DZ331" i="20" s="1"/>
  <c r="CY331" i="20" s="1"/>
  <c r="DV333" i="20"/>
  <c r="EU333" i="20"/>
  <c r="EX333" i="20" s="1"/>
  <c r="EY333" i="20" s="1"/>
  <c r="DW332" i="20"/>
  <c r="DX332" i="20"/>
  <c r="AZ334" i="20"/>
  <c r="BC334" i="20"/>
  <c r="FA332" i="20"/>
  <c r="EZ332" i="20"/>
  <c r="FS428" i="20"/>
  <c r="FU428" i="20" s="1"/>
  <c r="AL428" i="20"/>
  <c r="DM428" i="20"/>
  <c r="FE332" i="20" l="1"/>
  <c r="FF332" i="20" s="1"/>
  <c r="CY430" i="20"/>
  <c r="EA430" i="20"/>
  <c r="EZ432" i="20"/>
  <c r="FA432" i="20"/>
  <c r="DV433" i="20"/>
  <c r="EU433" i="20"/>
  <c r="EX433" i="20" s="1"/>
  <c r="EY433" i="20" s="1"/>
  <c r="EU334" i="20"/>
  <c r="EX334" i="20" s="1"/>
  <c r="EY334" i="20" s="1"/>
  <c r="DV334" i="20"/>
  <c r="AX337" i="20"/>
  <c r="AY336" i="20"/>
  <c r="BB336" i="20"/>
  <c r="DW432" i="20"/>
  <c r="DX432" i="20"/>
  <c r="DW333" i="20"/>
  <c r="DX333" i="20"/>
  <c r="FA333" i="20"/>
  <c r="EZ333" i="20"/>
  <c r="FE333" i="20" s="1"/>
  <c r="FF333" i="20" s="1"/>
  <c r="BD434" i="20"/>
  <c r="BE434" i="20" s="1"/>
  <c r="EC434" i="20"/>
  <c r="BC335" i="20"/>
  <c r="AZ335" i="20"/>
  <c r="DG331" i="20"/>
  <c r="FS331" i="20"/>
  <c r="FU331" i="20" s="1"/>
  <c r="AL331" i="20"/>
  <c r="FE431" i="20"/>
  <c r="FF431" i="20" s="1"/>
  <c r="AL429" i="20"/>
  <c r="FS429" i="20"/>
  <c r="FU429" i="20" s="1"/>
  <c r="DG429" i="20"/>
  <c r="EC335" i="20"/>
  <c r="BD335" i="20"/>
  <c r="BE335" i="20" s="1"/>
  <c r="DY332" i="20"/>
  <c r="DZ332" i="20" s="1"/>
  <c r="DY431" i="20"/>
  <c r="DZ431" i="20" s="1"/>
  <c r="AY435" i="20"/>
  <c r="BB435" i="20"/>
  <c r="AX436" i="20"/>
  <c r="AZ434" i="20"/>
  <c r="BC434" i="20"/>
  <c r="CY431" i="20" l="1"/>
  <c r="EA431" i="20"/>
  <c r="CY332" i="20"/>
  <c r="EA332" i="20"/>
  <c r="EU434" i="20"/>
  <c r="EX434" i="20" s="1"/>
  <c r="EY434" i="20" s="1"/>
  <c r="DV434" i="20"/>
  <c r="DY333" i="20"/>
  <c r="DZ333" i="20" s="1"/>
  <c r="CY333" i="20" s="1"/>
  <c r="BD336" i="20"/>
  <c r="BE336" i="20" s="1"/>
  <c r="EC336" i="20"/>
  <c r="AX338" i="20"/>
  <c r="BB337" i="20"/>
  <c r="AY337" i="20"/>
  <c r="EA333" i="20"/>
  <c r="DY432" i="20"/>
  <c r="DZ432" i="20" s="1"/>
  <c r="BC336" i="20"/>
  <c r="AZ336" i="20"/>
  <c r="EZ334" i="20"/>
  <c r="FA334" i="20"/>
  <c r="DW433" i="20"/>
  <c r="DX433" i="20"/>
  <c r="FE432" i="20"/>
  <c r="FF432" i="20" s="1"/>
  <c r="EC435" i="20"/>
  <c r="BD435" i="20"/>
  <c r="BE435" i="20" s="1"/>
  <c r="DW334" i="20"/>
  <c r="DX334" i="20"/>
  <c r="DV335" i="20"/>
  <c r="EU335" i="20"/>
  <c r="EX335" i="20" s="1"/>
  <c r="EY335" i="20" s="1"/>
  <c r="AX437" i="20"/>
  <c r="AY436" i="20"/>
  <c r="BB436" i="20"/>
  <c r="BC435" i="20"/>
  <c r="AZ435" i="20"/>
  <c r="FA433" i="20"/>
  <c r="EZ433" i="20"/>
  <c r="AL430" i="20"/>
  <c r="FS430" i="20"/>
  <c r="FU430" i="20" s="1"/>
  <c r="DG430" i="20"/>
  <c r="FE334" i="20" l="1"/>
  <c r="FF334" i="20" s="1"/>
  <c r="CY432" i="20"/>
  <c r="EA432" i="20"/>
  <c r="DV435" i="20"/>
  <c r="EU435" i="20"/>
  <c r="EX435" i="20" s="1"/>
  <c r="EY435" i="20" s="1"/>
  <c r="FE433" i="20"/>
  <c r="FF433" i="20" s="1"/>
  <c r="AX339" i="20"/>
  <c r="BB338" i="20"/>
  <c r="AY338" i="20"/>
  <c r="BC337" i="20"/>
  <c r="AZ337" i="20"/>
  <c r="EU336" i="20"/>
  <c r="EX336" i="20" s="1"/>
  <c r="EY336" i="20" s="1"/>
  <c r="DV336" i="20"/>
  <c r="AZ436" i="20"/>
  <c r="BC436" i="20"/>
  <c r="DX335" i="20"/>
  <c r="DW335" i="20"/>
  <c r="EC436" i="20"/>
  <c r="BD436" i="20"/>
  <c r="BE436" i="20" s="1"/>
  <c r="EZ335" i="20"/>
  <c r="FA335" i="20"/>
  <c r="FS332" i="20"/>
  <c r="FU332" i="20" s="1"/>
  <c r="AL332" i="20"/>
  <c r="DM332" i="20"/>
  <c r="FS333" i="20"/>
  <c r="FU333" i="20" s="1"/>
  <c r="AL333" i="20"/>
  <c r="DM333" i="20"/>
  <c r="BB437" i="20"/>
  <c r="AY437" i="20"/>
  <c r="AX438" i="20"/>
  <c r="DW434" i="20"/>
  <c r="DX434" i="20"/>
  <c r="DY334" i="20"/>
  <c r="DZ334" i="20" s="1"/>
  <c r="DY433" i="20"/>
  <c r="DZ433" i="20" s="1"/>
  <c r="BD337" i="20"/>
  <c r="BE337" i="20" s="1"/>
  <c r="EC337" i="20"/>
  <c r="EZ434" i="20"/>
  <c r="FA434" i="20"/>
  <c r="AL431" i="20"/>
  <c r="FS431" i="20"/>
  <c r="FU431" i="20" s="1"/>
  <c r="DG431" i="20"/>
  <c r="DY335" i="20" l="1"/>
  <c r="DZ335" i="20" s="1"/>
  <c r="FE335" i="20"/>
  <c r="FF335" i="20" s="1"/>
  <c r="EZ336" i="20"/>
  <c r="FA336" i="20"/>
  <c r="FE434" i="20"/>
  <c r="FF434" i="20" s="1"/>
  <c r="DW336" i="20"/>
  <c r="DX336" i="20"/>
  <c r="BD338" i="20"/>
  <c r="BE338" i="20" s="1"/>
  <c r="EC338" i="20"/>
  <c r="AX439" i="20"/>
  <c r="AY438" i="20"/>
  <c r="BB438" i="20"/>
  <c r="DW435" i="20"/>
  <c r="DX435" i="20"/>
  <c r="CY335" i="20"/>
  <c r="EA335" i="20"/>
  <c r="EA433" i="20"/>
  <c r="CY433" i="20"/>
  <c r="BC338" i="20"/>
  <c r="AZ338" i="20"/>
  <c r="AX340" i="20"/>
  <c r="AY339" i="20"/>
  <c r="BB339" i="20"/>
  <c r="EC437" i="20"/>
  <c r="BD437" i="20"/>
  <c r="BE437" i="20" s="1"/>
  <c r="DV436" i="20"/>
  <c r="EU436" i="20"/>
  <c r="EX436" i="20" s="1"/>
  <c r="EY436" i="20" s="1"/>
  <c r="DV337" i="20"/>
  <c r="EU337" i="20"/>
  <c r="EX337" i="20" s="1"/>
  <c r="EY337" i="20" s="1"/>
  <c r="EA334" i="20"/>
  <c r="CY334" i="20"/>
  <c r="DY434" i="20"/>
  <c r="DZ434" i="20" s="1"/>
  <c r="BC437" i="20"/>
  <c r="AZ437" i="20"/>
  <c r="FA435" i="20"/>
  <c r="EZ435" i="20"/>
  <c r="FS432" i="20"/>
  <c r="FU432" i="20" s="1"/>
  <c r="AL432" i="20"/>
  <c r="DG432" i="20"/>
  <c r="CY434" i="20" l="1"/>
  <c r="EA434" i="20"/>
  <c r="AZ339" i="20"/>
  <c r="BC339" i="20"/>
  <c r="EU437" i="20"/>
  <c r="EX437" i="20" s="1"/>
  <c r="EY437" i="20" s="1"/>
  <c r="DV437" i="20"/>
  <c r="AL433" i="20"/>
  <c r="DM433" i="20"/>
  <c r="FS433" i="20"/>
  <c r="FU433" i="20" s="1"/>
  <c r="DY435" i="20"/>
  <c r="DZ435" i="20" s="1"/>
  <c r="AX440" i="20"/>
  <c r="BB439" i="20"/>
  <c r="AY439" i="20"/>
  <c r="AX341" i="20"/>
  <c r="AY340" i="20"/>
  <c r="BB340" i="20"/>
  <c r="AZ438" i="20"/>
  <c r="BC438" i="20"/>
  <c r="DV338" i="20"/>
  <c r="EU338" i="20"/>
  <c r="EX338" i="20" s="1"/>
  <c r="EY338" i="20" s="1"/>
  <c r="EZ337" i="20"/>
  <c r="FA337" i="20"/>
  <c r="BD339" i="20"/>
  <c r="BE339" i="20" s="1"/>
  <c r="EC339" i="20"/>
  <c r="FS335" i="20"/>
  <c r="FU335" i="20" s="1"/>
  <c r="AL335" i="20"/>
  <c r="DG335" i="20"/>
  <c r="FE435" i="20"/>
  <c r="FF435" i="20" s="1"/>
  <c r="DG334" i="20"/>
  <c r="FS334" i="20"/>
  <c r="FU334" i="20" s="1"/>
  <c r="AL334" i="20"/>
  <c r="DY336" i="20"/>
  <c r="DZ336" i="20" s="1"/>
  <c r="CY336" i="20" s="1"/>
  <c r="DX337" i="20"/>
  <c r="DW337" i="20"/>
  <c r="DY337" i="20" s="1"/>
  <c r="DZ337" i="20" s="1"/>
  <c r="CY337" i="20" s="1"/>
  <c r="DX436" i="20"/>
  <c r="DW436" i="20"/>
  <c r="FE336" i="20"/>
  <c r="FF336" i="20" s="1"/>
  <c r="BD438" i="20"/>
  <c r="BE438" i="20" s="1"/>
  <c r="EC438" i="20"/>
  <c r="EZ436" i="20"/>
  <c r="FA436" i="20"/>
  <c r="EA336" i="20" l="1"/>
  <c r="DW338" i="20"/>
  <c r="DX338" i="20"/>
  <c r="DY436" i="20"/>
  <c r="DZ436" i="20"/>
  <c r="FA338" i="20"/>
  <c r="EZ338" i="20"/>
  <c r="EU438" i="20"/>
  <c r="EX438" i="20" s="1"/>
  <c r="EY438" i="20" s="1"/>
  <c r="DV438" i="20"/>
  <c r="AL336" i="20"/>
  <c r="FS336" i="20"/>
  <c r="FU336" i="20" s="1"/>
  <c r="DG336" i="20"/>
  <c r="EC340" i="20"/>
  <c r="BD340" i="20"/>
  <c r="BE340" i="20" s="1"/>
  <c r="AY341" i="20"/>
  <c r="AX342" i="20"/>
  <c r="BB341" i="20"/>
  <c r="BC439" i="20"/>
  <c r="AZ439" i="20"/>
  <c r="EA435" i="20"/>
  <c r="CY435" i="20"/>
  <c r="FE337" i="20"/>
  <c r="FF337" i="20" s="1"/>
  <c r="EA337" i="20" s="1"/>
  <c r="FE436" i="20"/>
  <c r="FF436" i="20" s="1"/>
  <c r="FS337" i="20"/>
  <c r="FU337" i="20" s="1"/>
  <c r="AL337" i="20"/>
  <c r="DM337" i="20"/>
  <c r="DW437" i="20"/>
  <c r="DX437" i="20"/>
  <c r="AZ340" i="20"/>
  <c r="BC340" i="20"/>
  <c r="BD439" i="20"/>
  <c r="BE439" i="20" s="1"/>
  <c r="EC439" i="20"/>
  <c r="AX441" i="20"/>
  <c r="BB440" i="20"/>
  <c r="AY440" i="20"/>
  <c r="FA437" i="20"/>
  <c r="EZ437" i="20"/>
  <c r="DV339" i="20"/>
  <c r="EU339" i="20"/>
  <c r="EX339" i="20" s="1"/>
  <c r="EY339" i="20" s="1"/>
  <c r="AL434" i="20"/>
  <c r="FS434" i="20"/>
  <c r="FU434" i="20" s="1"/>
  <c r="DM434" i="20"/>
  <c r="FE338" i="20" l="1"/>
  <c r="FF338" i="20" s="1"/>
  <c r="AL435" i="20"/>
  <c r="FS435" i="20"/>
  <c r="FU435" i="20" s="1"/>
  <c r="DG435" i="20"/>
  <c r="DW339" i="20"/>
  <c r="DX339" i="20"/>
  <c r="FE437" i="20"/>
  <c r="FF437" i="20" s="1"/>
  <c r="EU340" i="20"/>
  <c r="EX340" i="20" s="1"/>
  <c r="EY340" i="20" s="1"/>
  <c r="DV340" i="20"/>
  <c r="BB342" i="20"/>
  <c r="AX343" i="20"/>
  <c r="AY342" i="20"/>
  <c r="BC440" i="20"/>
  <c r="AZ440" i="20"/>
  <c r="DW438" i="20"/>
  <c r="DX438" i="20"/>
  <c r="EA436" i="20"/>
  <c r="CY436" i="20"/>
  <c r="BD341" i="20"/>
  <c r="BE341" i="20" s="1"/>
  <c r="EC341" i="20"/>
  <c r="EZ438" i="20"/>
  <c r="FA438" i="20"/>
  <c r="DY437" i="20"/>
  <c r="DZ437" i="20" s="1"/>
  <c r="FA339" i="20"/>
  <c r="EZ339" i="20"/>
  <c r="AY441" i="20"/>
  <c r="BB441" i="20"/>
  <c r="AX442" i="20"/>
  <c r="DV439" i="20"/>
  <c r="EU439" i="20"/>
  <c r="EX439" i="20" s="1"/>
  <c r="EY439" i="20" s="1"/>
  <c r="AZ341" i="20"/>
  <c r="BC341" i="20"/>
  <c r="EC440" i="20"/>
  <c r="BD440" i="20"/>
  <c r="BE440" i="20" s="1"/>
  <c r="DY338" i="20"/>
  <c r="DZ338" i="20" s="1"/>
  <c r="FE339" i="20" l="1"/>
  <c r="FF339" i="20" s="1"/>
  <c r="EA437" i="20"/>
  <c r="CY437" i="20"/>
  <c r="EU341" i="20"/>
  <c r="EX341" i="20" s="1"/>
  <c r="EY341" i="20" s="1"/>
  <c r="DV341" i="20"/>
  <c r="BD342" i="20"/>
  <c r="BE342" i="20" s="1"/>
  <c r="EC342" i="20"/>
  <c r="AX443" i="20"/>
  <c r="BB442" i="20"/>
  <c r="AY442" i="20"/>
  <c r="AX344" i="20"/>
  <c r="BB343" i="20"/>
  <c r="AY343" i="20"/>
  <c r="DY339" i="20"/>
  <c r="DZ339" i="20" s="1"/>
  <c r="DY438" i="20"/>
  <c r="DZ438" i="20" s="1"/>
  <c r="BC342" i="20"/>
  <c r="AZ342" i="20"/>
  <c r="FA340" i="20"/>
  <c r="EZ340" i="20"/>
  <c r="BC441" i="20"/>
  <c r="AZ441" i="20"/>
  <c r="FS436" i="20"/>
  <c r="FU436" i="20" s="1"/>
  <c r="AL436" i="20"/>
  <c r="DG436" i="20"/>
  <c r="DX340" i="20"/>
  <c r="DW340" i="20"/>
  <c r="BD441" i="20"/>
  <c r="BE441" i="20" s="1"/>
  <c r="EC441" i="20"/>
  <c r="FE438" i="20"/>
  <c r="FF438" i="20" s="1"/>
  <c r="CY338" i="20"/>
  <c r="EA338" i="20"/>
  <c r="EU440" i="20"/>
  <c r="EX440" i="20" s="1"/>
  <c r="EY440" i="20" s="1"/>
  <c r="DV440" i="20"/>
  <c r="EZ439" i="20"/>
  <c r="FA439" i="20"/>
  <c r="DW439" i="20"/>
  <c r="DX439" i="20"/>
  <c r="DY340" i="20" l="1"/>
  <c r="DZ340" i="20" s="1"/>
  <c r="FE340" i="20"/>
  <c r="FF340" i="20" s="1"/>
  <c r="CY438" i="20"/>
  <c r="EA438" i="20"/>
  <c r="BD343" i="20"/>
  <c r="BE343" i="20" s="1"/>
  <c r="EC343" i="20"/>
  <c r="BC343" i="20"/>
  <c r="AZ343" i="20"/>
  <c r="EZ440" i="20"/>
  <c r="FA440" i="20"/>
  <c r="DV441" i="20"/>
  <c r="EU441" i="20"/>
  <c r="EX441" i="20" s="1"/>
  <c r="EY441" i="20" s="1"/>
  <c r="DY439" i="20"/>
  <c r="DZ439" i="20" s="1"/>
  <c r="FE439" i="20"/>
  <c r="FF439" i="20" s="1"/>
  <c r="AZ442" i="20"/>
  <c r="BC442" i="20"/>
  <c r="DM338" i="20"/>
  <c r="AL338" i="20"/>
  <c r="FS338" i="20"/>
  <c r="FU338" i="20" s="1"/>
  <c r="EZ341" i="20"/>
  <c r="FA341" i="20"/>
  <c r="BD442" i="20"/>
  <c r="BE442" i="20" s="1"/>
  <c r="EC442" i="20"/>
  <c r="DV342" i="20"/>
  <c r="EU342" i="20"/>
  <c r="EX342" i="20" s="1"/>
  <c r="EY342" i="20" s="1"/>
  <c r="CY340" i="20"/>
  <c r="EA340" i="20"/>
  <c r="FS437" i="20"/>
  <c r="FU437" i="20" s="1"/>
  <c r="AL437" i="20"/>
  <c r="DG437" i="20"/>
  <c r="EA339" i="20"/>
  <c r="CY339" i="20"/>
  <c r="DW440" i="20"/>
  <c r="DX440" i="20"/>
  <c r="AX345" i="20"/>
  <c r="BB344" i="20"/>
  <c r="AY344" i="20"/>
  <c r="AY443" i="20"/>
  <c r="BB443" i="20"/>
  <c r="DX341" i="20"/>
  <c r="DW341" i="20"/>
  <c r="DY341" i="20" l="1"/>
  <c r="DZ341" i="20" s="1"/>
  <c r="FE341" i="20"/>
  <c r="FF341" i="20" s="1"/>
  <c r="EA439" i="20"/>
  <c r="CY439" i="20"/>
  <c r="DW342" i="20"/>
  <c r="DX342" i="20"/>
  <c r="EU442" i="20"/>
  <c r="EX442" i="20" s="1"/>
  <c r="EY442" i="20" s="1"/>
  <c r="DV442" i="20"/>
  <c r="BD443" i="20"/>
  <c r="BE443" i="20" s="1"/>
  <c r="EC443" i="20"/>
  <c r="AZ344" i="20"/>
  <c r="BC344" i="20"/>
  <c r="BD344" i="20"/>
  <c r="BE344" i="20" s="1"/>
  <c r="EC344" i="20"/>
  <c r="AX346" i="20"/>
  <c r="AY345" i="20"/>
  <c r="BB345" i="20"/>
  <c r="DX441" i="20"/>
  <c r="DW441" i="20"/>
  <c r="DG339" i="20"/>
  <c r="FS339" i="20"/>
  <c r="FU339" i="20" s="1"/>
  <c r="AL339" i="20"/>
  <c r="FA441" i="20"/>
  <c r="EZ441" i="20"/>
  <c r="FE440" i="20"/>
  <c r="FF440" i="20" s="1"/>
  <c r="EU343" i="20"/>
  <c r="EX343" i="20" s="1"/>
  <c r="EY343" i="20" s="1"/>
  <c r="DV343" i="20"/>
  <c r="DM340" i="20"/>
  <c r="AL340" i="20"/>
  <c r="FS340" i="20"/>
  <c r="FU340" i="20" s="1"/>
  <c r="EA341" i="20"/>
  <c r="CY341" i="20"/>
  <c r="BC443" i="20"/>
  <c r="AZ443" i="20"/>
  <c r="DY440" i="20"/>
  <c r="DZ440" i="20" s="1"/>
  <c r="FA342" i="20"/>
  <c r="EZ342" i="20"/>
  <c r="FE342" i="20" s="1"/>
  <c r="FF342" i="20" s="1"/>
  <c r="FS438" i="20"/>
  <c r="FU438" i="20" s="1"/>
  <c r="AL438" i="20"/>
  <c r="DM438" i="20"/>
  <c r="DY441" i="20" l="1"/>
  <c r="DZ441" i="20" s="1"/>
  <c r="FE441" i="20"/>
  <c r="FF441" i="20" s="1"/>
  <c r="CY440" i="20"/>
  <c r="EA440" i="20"/>
  <c r="BC345" i="20"/>
  <c r="AZ345" i="20"/>
  <c r="DV344" i="20"/>
  <c r="EU344" i="20"/>
  <c r="EX344" i="20" s="1"/>
  <c r="EY344" i="20" s="1"/>
  <c r="AL341" i="20"/>
  <c r="DG341" i="20"/>
  <c r="FS341" i="20"/>
  <c r="FU341" i="20" s="1"/>
  <c r="DX442" i="20"/>
  <c r="DW442" i="20"/>
  <c r="DY342" i="20"/>
  <c r="DZ342" i="20" s="1"/>
  <c r="BD345" i="20"/>
  <c r="BE345" i="20" s="1"/>
  <c r="EC345" i="20"/>
  <c r="AX347" i="20"/>
  <c r="AY346" i="20"/>
  <c r="BB346" i="20"/>
  <c r="DV443" i="20"/>
  <c r="EU443" i="20"/>
  <c r="EX443" i="20" s="1"/>
  <c r="EY443" i="20" s="1"/>
  <c r="FA442" i="20"/>
  <c r="EZ442" i="20"/>
  <c r="DW343" i="20"/>
  <c r="DX343" i="20"/>
  <c r="FS439" i="20"/>
  <c r="FU439" i="20" s="1"/>
  <c r="DM439" i="20"/>
  <c r="AL439" i="20"/>
  <c r="CY441" i="20"/>
  <c r="EA441" i="20"/>
  <c r="EZ343" i="20"/>
  <c r="FA343" i="20"/>
  <c r="FE442" i="20" l="1"/>
  <c r="FF442" i="20" s="1"/>
  <c r="EZ443" i="20"/>
  <c r="FA443" i="20"/>
  <c r="BD346" i="20"/>
  <c r="BE346" i="20" s="1"/>
  <c r="EC346" i="20"/>
  <c r="EA342" i="20"/>
  <c r="CY342" i="20"/>
  <c r="EZ344" i="20"/>
  <c r="FA344" i="20"/>
  <c r="DY343" i="20"/>
  <c r="DZ343" i="20" s="1"/>
  <c r="BC346" i="20"/>
  <c r="AZ346" i="20"/>
  <c r="AY347" i="20"/>
  <c r="BB347" i="20"/>
  <c r="AX348" i="20"/>
  <c r="DX344" i="20"/>
  <c r="DW344" i="20"/>
  <c r="DW443" i="20"/>
  <c r="DX443" i="20"/>
  <c r="DV345" i="20"/>
  <c r="EU345" i="20"/>
  <c r="EX345" i="20" s="1"/>
  <c r="EY345" i="20" s="1"/>
  <c r="DY442" i="20"/>
  <c r="DZ442" i="20" s="1"/>
  <c r="FE343" i="20"/>
  <c r="FF343" i="20" s="1"/>
  <c r="AL441" i="20"/>
  <c r="DG441" i="20"/>
  <c r="FS441" i="20"/>
  <c r="FU441" i="20" s="1"/>
  <c r="FS440" i="20"/>
  <c r="FU440" i="20" s="1"/>
  <c r="AL440" i="20"/>
  <c r="DM440" i="20"/>
  <c r="DY344" i="20" l="1"/>
  <c r="DZ344" i="20" s="1"/>
  <c r="DY443" i="20"/>
  <c r="DZ443" i="20" s="1"/>
  <c r="FE344" i="20"/>
  <c r="FF344" i="20" s="1"/>
  <c r="CY344" i="20"/>
  <c r="EA344" i="20"/>
  <c r="AX349" i="20"/>
  <c r="BB348" i="20"/>
  <c r="AY348" i="20"/>
  <c r="EA442" i="20"/>
  <c r="CY442" i="20"/>
  <c r="DX345" i="20"/>
  <c r="DW345" i="20"/>
  <c r="AZ347" i="20"/>
  <c r="BC347" i="20"/>
  <c r="DV346" i="20"/>
  <c r="EU346" i="20"/>
  <c r="EX346" i="20" s="1"/>
  <c r="EY346" i="20" s="1"/>
  <c r="CY443" i="20"/>
  <c r="EA443" i="20"/>
  <c r="EA343" i="20"/>
  <c r="CY343" i="20"/>
  <c r="FS342" i="20"/>
  <c r="FU342" i="20" s="1"/>
  <c r="DG342" i="20"/>
  <c r="AL342" i="20"/>
  <c r="FA345" i="20"/>
  <c r="EZ345" i="20"/>
  <c r="EC347" i="20"/>
  <c r="BD347" i="20"/>
  <c r="BE347" i="20" s="1"/>
  <c r="FE443" i="20"/>
  <c r="FF443" i="20" s="1"/>
  <c r="FE345" i="20" l="1"/>
  <c r="FF345" i="20" s="1"/>
  <c r="DV347" i="20"/>
  <c r="EU347" i="20"/>
  <c r="EX347" i="20" s="1"/>
  <c r="EY347" i="20" s="1"/>
  <c r="DG343" i="20"/>
  <c r="AL343" i="20"/>
  <c r="FS343" i="20"/>
  <c r="FU343" i="20" s="1"/>
  <c r="AL443" i="20"/>
  <c r="FS443" i="20"/>
  <c r="FU443" i="20" s="1"/>
  <c r="DM443" i="20"/>
  <c r="DW346" i="20"/>
  <c r="DX346" i="20"/>
  <c r="BC348" i="20"/>
  <c r="AZ348" i="20"/>
  <c r="AX350" i="20"/>
  <c r="AY349" i="20"/>
  <c r="BB349" i="20"/>
  <c r="EZ346" i="20"/>
  <c r="FA346" i="20"/>
  <c r="DY345" i="20"/>
  <c r="DZ345" i="20" s="1"/>
  <c r="BD348" i="20"/>
  <c r="BE348" i="20" s="1"/>
  <c r="EC348" i="20"/>
  <c r="DM442" i="20"/>
  <c r="FS442" i="20"/>
  <c r="FU442" i="20" s="1"/>
  <c r="AL442" i="20"/>
  <c r="DM344" i="20"/>
  <c r="FS344" i="20"/>
  <c r="FU344" i="20" s="1"/>
  <c r="AL344" i="20"/>
  <c r="FE346" i="20" l="1"/>
  <c r="FF346" i="20"/>
  <c r="BC349" i="20"/>
  <c r="AZ349" i="20"/>
  <c r="DY346" i="20"/>
  <c r="DZ346" i="20" s="1"/>
  <c r="DV348" i="20"/>
  <c r="EU348" i="20"/>
  <c r="EX348" i="20" s="1"/>
  <c r="EY348" i="20" s="1"/>
  <c r="EC349" i="20"/>
  <c r="BD349" i="20"/>
  <c r="BE349" i="20" s="1"/>
  <c r="FA347" i="20"/>
  <c r="EZ347" i="20"/>
  <c r="CY345" i="20"/>
  <c r="EA345" i="20"/>
  <c r="AX351" i="20"/>
  <c r="AY350" i="20"/>
  <c r="BB350" i="20"/>
  <c r="DX347" i="20"/>
  <c r="DW347" i="20"/>
  <c r="DY347" i="20" l="1"/>
  <c r="DZ347" i="20" s="1"/>
  <c r="FE347" i="20"/>
  <c r="FF347" i="20" s="1"/>
  <c r="EC350" i="20"/>
  <c r="BD350" i="20"/>
  <c r="BE350" i="20" s="1"/>
  <c r="BB351" i="20"/>
  <c r="AY351" i="20"/>
  <c r="AX352" i="20"/>
  <c r="EZ348" i="20"/>
  <c r="FA348" i="20"/>
  <c r="EA347" i="20"/>
  <c r="CY347" i="20"/>
  <c r="AZ350" i="20"/>
  <c r="BC350" i="20"/>
  <c r="FS345" i="20"/>
  <c r="FU345" i="20" s="1"/>
  <c r="AL345" i="20"/>
  <c r="DM345" i="20"/>
  <c r="DV349" i="20"/>
  <c r="EU349" i="20"/>
  <c r="EX349" i="20" s="1"/>
  <c r="EY349" i="20" s="1"/>
  <c r="DX348" i="20"/>
  <c r="DW348" i="20"/>
  <c r="EA346" i="20"/>
  <c r="CY346" i="20"/>
  <c r="DY348" i="20" l="1"/>
  <c r="DZ348" i="20" s="1"/>
  <c r="CY348" i="20" s="1"/>
  <c r="DM346" i="20"/>
  <c r="AL346" i="20"/>
  <c r="FS346" i="20"/>
  <c r="FU346" i="20" s="1"/>
  <c r="FA349" i="20"/>
  <c r="EZ349" i="20"/>
  <c r="FE349" i="20" s="1"/>
  <c r="FF349" i="20" s="1"/>
  <c r="FE348" i="20"/>
  <c r="FF348" i="20" s="1"/>
  <c r="EA348" i="20" s="1"/>
  <c r="DX349" i="20"/>
  <c r="DW349" i="20"/>
  <c r="BC351" i="20"/>
  <c r="AZ351" i="20"/>
  <c r="AL347" i="20"/>
  <c r="FS347" i="20"/>
  <c r="FU347" i="20" s="1"/>
  <c r="DM347" i="20"/>
  <c r="BB352" i="20"/>
  <c r="AY352" i="20"/>
  <c r="AX353" i="20"/>
  <c r="BD351" i="20"/>
  <c r="BE351" i="20" s="1"/>
  <c r="EC351" i="20"/>
  <c r="EU350" i="20"/>
  <c r="EX350" i="20" s="1"/>
  <c r="EY350" i="20" s="1"/>
  <c r="DV350" i="20"/>
  <c r="DY349" i="20" l="1"/>
  <c r="DZ349" i="20" s="1"/>
  <c r="DW350" i="20"/>
  <c r="DX350" i="20"/>
  <c r="BC352" i="20"/>
  <c r="AZ352" i="20"/>
  <c r="FA350" i="20"/>
  <c r="EZ350" i="20"/>
  <c r="CY349" i="20"/>
  <c r="EA349" i="20"/>
  <c r="FS348" i="20"/>
  <c r="FU348" i="20" s="1"/>
  <c r="DM348" i="20"/>
  <c r="AL348" i="20"/>
  <c r="AY353" i="20"/>
  <c r="BB353" i="20"/>
  <c r="AX354" i="20"/>
  <c r="DV351" i="20"/>
  <c r="EU351" i="20"/>
  <c r="EX351" i="20" s="1"/>
  <c r="EY351" i="20" s="1"/>
  <c r="EC352" i="20"/>
  <c r="BD352" i="20"/>
  <c r="BE352" i="20" s="1"/>
  <c r="FE350" i="20" l="1"/>
  <c r="FF350" i="20" s="1"/>
  <c r="EZ351" i="20"/>
  <c r="FA351" i="20"/>
  <c r="AZ353" i="20"/>
  <c r="BC353" i="20"/>
  <c r="EU352" i="20"/>
  <c r="EX352" i="20" s="1"/>
  <c r="EY352" i="20" s="1"/>
  <c r="DV352" i="20"/>
  <c r="AX355" i="20"/>
  <c r="BB354" i="20"/>
  <c r="AY354" i="20"/>
  <c r="DM349" i="20"/>
  <c r="FS349" i="20"/>
  <c r="FU349" i="20" s="1"/>
  <c r="AL349" i="20"/>
  <c r="BD353" i="20"/>
  <c r="BE353" i="20" s="1"/>
  <c r="EC353" i="20"/>
  <c r="DW351" i="20"/>
  <c r="DX351" i="20"/>
  <c r="DY350" i="20"/>
  <c r="DZ350" i="20" s="1"/>
  <c r="CY350" i="20" l="1"/>
  <c r="EA350" i="20"/>
  <c r="DY351" i="20"/>
  <c r="DZ351" i="20" s="1"/>
  <c r="CY351" i="20" s="1"/>
  <c r="DV353" i="20"/>
  <c r="EU353" i="20"/>
  <c r="EX353" i="20" s="1"/>
  <c r="EY353" i="20" s="1"/>
  <c r="AZ354" i="20"/>
  <c r="BC354" i="20"/>
  <c r="AY355" i="20"/>
  <c r="AX356" i="20"/>
  <c r="BB355" i="20"/>
  <c r="EZ352" i="20"/>
  <c r="FA352" i="20"/>
  <c r="BD354" i="20"/>
  <c r="BE354" i="20" s="1"/>
  <c r="EC354" i="20"/>
  <c r="DW352" i="20"/>
  <c r="DX352" i="20"/>
  <c r="FE351" i="20"/>
  <c r="FF351" i="20" s="1"/>
  <c r="EA351" i="20" s="1"/>
  <c r="DY352" i="20" l="1"/>
  <c r="DZ352" i="20" s="1"/>
  <c r="CY352" i="20" s="1"/>
  <c r="FE352" i="20"/>
  <c r="FF352" i="20" s="1"/>
  <c r="BC355" i="20"/>
  <c r="AZ355" i="20"/>
  <c r="EU354" i="20"/>
  <c r="EX354" i="20" s="1"/>
  <c r="EY354" i="20" s="1"/>
  <c r="DV354" i="20"/>
  <c r="FA353" i="20"/>
  <c r="EZ353" i="20"/>
  <c r="FE353" i="20" s="1"/>
  <c r="FF353" i="20" s="1"/>
  <c r="DX353" i="20"/>
  <c r="DW353" i="20"/>
  <c r="EC355" i="20"/>
  <c r="BD355" i="20"/>
  <c r="BE355" i="20" s="1"/>
  <c r="AX357" i="20"/>
  <c r="BB356" i="20"/>
  <c r="AY356" i="20"/>
  <c r="AL351" i="20"/>
  <c r="FS351" i="20"/>
  <c r="FU351" i="20" s="1"/>
  <c r="DG351" i="20"/>
  <c r="DM350" i="20"/>
  <c r="FS350" i="20"/>
  <c r="FU350" i="20" s="1"/>
  <c r="AL350" i="20"/>
  <c r="EA352" i="20" l="1"/>
  <c r="BD356" i="20"/>
  <c r="BE356" i="20" s="1"/>
  <c r="EC356" i="20"/>
  <c r="AX358" i="20"/>
  <c r="BB357" i="20"/>
  <c r="AY357" i="20"/>
  <c r="DY353" i="20"/>
  <c r="DZ353" i="20" s="1"/>
  <c r="AZ356" i="20"/>
  <c r="BC356" i="20"/>
  <c r="DV355" i="20"/>
  <c r="EU355" i="20"/>
  <c r="EX355" i="20" s="1"/>
  <c r="EY355" i="20" s="1"/>
  <c r="FA354" i="20"/>
  <c r="EZ354" i="20"/>
  <c r="DX354" i="20"/>
  <c r="DW354" i="20"/>
  <c r="AL352" i="20"/>
  <c r="DG352" i="20"/>
  <c r="FS352" i="20"/>
  <c r="FU352" i="20" s="1"/>
  <c r="FE354" i="20" l="1"/>
  <c r="FF354" i="20" s="1"/>
  <c r="DY354" i="20"/>
  <c r="DZ354" i="20" s="1"/>
  <c r="EZ355" i="20"/>
  <c r="FA355" i="20"/>
  <c r="DX355" i="20"/>
  <c r="DW355" i="20"/>
  <c r="BD357" i="20"/>
  <c r="BE357" i="20" s="1"/>
  <c r="EC357" i="20"/>
  <c r="CY354" i="20"/>
  <c r="EA354" i="20"/>
  <c r="EA353" i="20"/>
  <c r="CY353" i="20"/>
  <c r="AZ357" i="20"/>
  <c r="BC357" i="20"/>
  <c r="AX359" i="20"/>
  <c r="AY358" i="20"/>
  <c r="BB358" i="20"/>
  <c r="DV356" i="20"/>
  <c r="EU356" i="20"/>
  <c r="EX356" i="20" s="1"/>
  <c r="EY356" i="20" s="1"/>
  <c r="DX356" i="20" l="1"/>
  <c r="DW356" i="20"/>
  <c r="DY356" i="20" s="1"/>
  <c r="DZ356" i="20" s="1"/>
  <c r="BD358" i="20"/>
  <c r="BE358" i="20" s="1"/>
  <c r="EC358" i="20"/>
  <c r="AX360" i="20"/>
  <c r="AY359" i="20"/>
  <c r="BB359" i="20"/>
  <c r="AZ358" i="20"/>
  <c r="BC358" i="20"/>
  <c r="AL354" i="20"/>
  <c r="FS354" i="20"/>
  <c r="FU354" i="20" s="1"/>
  <c r="DM354" i="20"/>
  <c r="FA356" i="20"/>
  <c r="EZ356" i="20"/>
  <c r="DG353" i="20"/>
  <c r="AL353" i="20"/>
  <c r="FS353" i="20"/>
  <c r="FU353" i="20" s="1"/>
  <c r="EU357" i="20"/>
  <c r="EX357" i="20" s="1"/>
  <c r="EY357" i="20" s="1"/>
  <c r="DV357" i="20"/>
  <c r="DY355" i="20"/>
  <c r="DZ355" i="20" s="1"/>
  <c r="FE355" i="20"/>
  <c r="FF355" i="20" s="1"/>
  <c r="FE356" i="20" l="1"/>
  <c r="FF356" i="20" s="1"/>
  <c r="EZ357" i="20"/>
  <c r="FA357" i="20"/>
  <c r="AZ359" i="20"/>
  <c r="BC359" i="20"/>
  <c r="EA355" i="20"/>
  <c r="CY355" i="20"/>
  <c r="CY356" i="20"/>
  <c r="EA356" i="20"/>
  <c r="DX357" i="20"/>
  <c r="DW357" i="20"/>
  <c r="EC359" i="20"/>
  <c r="BD359" i="20"/>
  <c r="BE359" i="20" s="1"/>
  <c r="AX361" i="20"/>
  <c r="BB360" i="20"/>
  <c r="AY360" i="20"/>
  <c r="DV358" i="20"/>
  <c r="EU358" i="20"/>
  <c r="EX358" i="20" s="1"/>
  <c r="EY358" i="20" s="1"/>
  <c r="FA358" i="20" l="1"/>
  <c r="EZ358" i="20"/>
  <c r="FE358" i="20" s="1"/>
  <c r="FF358" i="20" s="1"/>
  <c r="BD360" i="20"/>
  <c r="BE360" i="20" s="1"/>
  <c r="EC360" i="20"/>
  <c r="DY357" i="20"/>
  <c r="DZ357" i="20" s="1"/>
  <c r="CY357" i="20" s="1"/>
  <c r="AL356" i="20"/>
  <c r="DG356" i="20"/>
  <c r="FS356" i="20"/>
  <c r="FU356" i="20" s="1"/>
  <c r="DW358" i="20"/>
  <c r="DX358" i="20"/>
  <c r="AY361" i="20"/>
  <c r="AX362" i="20"/>
  <c r="BB361" i="20"/>
  <c r="BC360" i="20"/>
  <c r="AZ360" i="20"/>
  <c r="DV359" i="20"/>
  <c r="EU359" i="20"/>
  <c r="EX359" i="20" s="1"/>
  <c r="EY359" i="20" s="1"/>
  <c r="FS355" i="20"/>
  <c r="FU355" i="20" s="1"/>
  <c r="DM355" i="20"/>
  <c r="AL355" i="20"/>
  <c r="FE357" i="20"/>
  <c r="FF357" i="20" s="1"/>
  <c r="EA357" i="20" s="1"/>
  <c r="EC361" i="20" l="1"/>
  <c r="BD361" i="20"/>
  <c r="BE361" i="20" s="1"/>
  <c r="DW359" i="20"/>
  <c r="DX359" i="20"/>
  <c r="AX363" i="20"/>
  <c r="AY362" i="20"/>
  <c r="BB362" i="20"/>
  <c r="DY358" i="20"/>
  <c r="DZ358" i="20" s="1"/>
  <c r="EZ359" i="20"/>
  <c r="FA359" i="20"/>
  <c r="BC361" i="20"/>
  <c r="AZ361" i="20"/>
  <c r="AL357" i="20"/>
  <c r="FS357" i="20"/>
  <c r="FU357" i="20" s="1"/>
  <c r="DG357" i="20"/>
  <c r="EU360" i="20"/>
  <c r="EX360" i="20" s="1"/>
  <c r="EY360" i="20" s="1"/>
  <c r="DV360" i="20"/>
  <c r="FE359" i="20" l="1"/>
  <c r="FF359" i="20" s="1"/>
  <c r="AZ362" i="20"/>
  <c r="BC362" i="20"/>
  <c r="DX360" i="20"/>
  <c r="DW360" i="20"/>
  <c r="BD362" i="20"/>
  <c r="BE362" i="20" s="1"/>
  <c r="EC362" i="20"/>
  <c r="AX364" i="20"/>
  <c r="AY363" i="20"/>
  <c r="BB363" i="20"/>
  <c r="EZ360" i="20"/>
  <c r="FA360" i="20"/>
  <c r="CY358" i="20"/>
  <c r="EA358" i="20"/>
  <c r="DY359" i="20"/>
  <c r="DZ359" i="20" s="1"/>
  <c r="DV361" i="20"/>
  <c r="EU361" i="20"/>
  <c r="EX361" i="20" s="1"/>
  <c r="EY361" i="20" s="1"/>
  <c r="CY359" i="20" l="1"/>
  <c r="EA359" i="20"/>
  <c r="BD363" i="20"/>
  <c r="BE363" i="20" s="1"/>
  <c r="EC363" i="20"/>
  <c r="FS358" i="20"/>
  <c r="FU358" i="20" s="1"/>
  <c r="AL358" i="20"/>
  <c r="DG358" i="20"/>
  <c r="BC363" i="20"/>
  <c r="AZ363" i="20"/>
  <c r="EZ361" i="20"/>
  <c r="FA361" i="20"/>
  <c r="FE360" i="20"/>
  <c r="FF360" i="20" s="1"/>
  <c r="BB364" i="20"/>
  <c r="AX365" i="20"/>
  <c r="AY364" i="20"/>
  <c r="DX361" i="20"/>
  <c r="DW361" i="20"/>
  <c r="DV362" i="20"/>
  <c r="EU362" i="20"/>
  <c r="EX362" i="20" s="1"/>
  <c r="EY362" i="20" s="1"/>
  <c r="DY360" i="20"/>
  <c r="DZ360" i="20" s="1"/>
  <c r="CY360" i="20" s="1"/>
  <c r="FA362" i="20" l="1"/>
  <c r="EZ362" i="20"/>
  <c r="FE362" i="20" s="1"/>
  <c r="FF362" i="20" s="1"/>
  <c r="AX366" i="20"/>
  <c r="BB365" i="20"/>
  <c r="AY365" i="20"/>
  <c r="DX362" i="20"/>
  <c r="DW362" i="20"/>
  <c r="BD364" i="20"/>
  <c r="BE364" i="20" s="1"/>
  <c r="EC364" i="20"/>
  <c r="FE361" i="20"/>
  <c r="FF361" i="20" s="1"/>
  <c r="DM360" i="20"/>
  <c r="AL360" i="20"/>
  <c r="FS360" i="20"/>
  <c r="FU360" i="20" s="1"/>
  <c r="BC364" i="20"/>
  <c r="AZ364" i="20"/>
  <c r="DY361" i="20"/>
  <c r="DZ361" i="20" s="1"/>
  <c r="EA360" i="20"/>
  <c r="DV363" i="20"/>
  <c r="EU363" i="20"/>
  <c r="EX363" i="20" s="1"/>
  <c r="EY363" i="20" s="1"/>
  <c r="DM359" i="20"/>
  <c r="FS359" i="20"/>
  <c r="FU359" i="20" s="1"/>
  <c r="AL359" i="20"/>
  <c r="DY362" i="20" l="1"/>
  <c r="DZ362" i="20" s="1"/>
  <c r="DX363" i="20"/>
  <c r="DW363" i="20"/>
  <c r="DY363" i="20" s="1"/>
  <c r="DZ363" i="20" s="1"/>
  <c r="EU364" i="20"/>
  <c r="EX364" i="20" s="1"/>
  <c r="EY364" i="20" s="1"/>
  <c r="DV364" i="20"/>
  <c r="CY361" i="20"/>
  <c r="EA361" i="20"/>
  <c r="BC365" i="20"/>
  <c r="AZ365" i="20"/>
  <c r="EA362" i="20"/>
  <c r="CY362" i="20"/>
  <c r="EZ363" i="20"/>
  <c r="FA363" i="20"/>
  <c r="EC365" i="20"/>
  <c r="BD365" i="20"/>
  <c r="BE365" i="20" s="1"/>
  <c r="AX367" i="20"/>
  <c r="AY366" i="20"/>
  <c r="BB366" i="20"/>
  <c r="BB367" i="20" l="1"/>
  <c r="AY367" i="20"/>
  <c r="AX368" i="20"/>
  <c r="BC366" i="20"/>
  <c r="AZ366" i="20"/>
  <c r="EU365" i="20"/>
  <c r="EX365" i="20" s="1"/>
  <c r="EY365" i="20" s="1"/>
  <c r="DV365" i="20"/>
  <c r="EC366" i="20"/>
  <c r="BD366" i="20"/>
  <c r="BE366" i="20" s="1"/>
  <c r="AL362" i="20"/>
  <c r="FS362" i="20"/>
  <c r="FU362" i="20" s="1"/>
  <c r="DM362" i="20"/>
  <c r="DX364" i="20"/>
  <c r="DW364" i="20"/>
  <c r="FE363" i="20"/>
  <c r="FF363" i="20" s="1"/>
  <c r="EA363" i="20" s="1"/>
  <c r="CY363" i="20"/>
  <c r="FS361" i="20"/>
  <c r="FU361" i="20" s="1"/>
  <c r="AL361" i="20"/>
  <c r="DG361" i="20"/>
  <c r="EZ364" i="20"/>
  <c r="FA364" i="20"/>
  <c r="DY364" i="20" l="1"/>
  <c r="DZ364" i="20" s="1"/>
  <c r="CY364" i="20" s="1"/>
  <c r="DW365" i="20"/>
  <c r="DX365" i="20"/>
  <c r="AY368" i="20"/>
  <c r="AX369" i="20"/>
  <c r="BB368" i="20"/>
  <c r="AL363" i="20"/>
  <c r="FS363" i="20"/>
  <c r="FU363" i="20" s="1"/>
  <c r="DG363" i="20"/>
  <c r="DV366" i="20"/>
  <c r="EU366" i="20"/>
  <c r="EX366" i="20" s="1"/>
  <c r="EY366" i="20" s="1"/>
  <c r="AZ367" i="20"/>
  <c r="BC367" i="20"/>
  <c r="FE364" i="20"/>
  <c r="FF364" i="20" s="1"/>
  <c r="EA364" i="20" s="1"/>
  <c r="EZ365" i="20"/>
  <c r="FA365" i="20"/>
  <c r="BD367" i="20"/>
  <c r="BE367" i="20" s="1"/>
  <c r="EC367" i="20"/>
  <c r="FE365" i="20" l="1"/>
  <c r="FF365" i="20" s="1"/>
  <c r="FA366" i="20"/>
  <c r="EZ366" i="20"/>
  <c r="FE366" i="20" s="1"/>
  <c r="FF366" i="20" s="1"/>
  <c r="DW366" i="20"/>
  <c r="DX366" i="20"/>
  <c r="AZ368" i="20"/>
  <c r="BC368" i="20"/>
  <c r="DV367" i="20"/>
  <c r="EU367" i="20"/>
  <c r="EX367" i="20" s="1"/>
  <c r="EY367" i="20" s="1"/>
  <c r="BD368" i="20"/>
  <c r="BE368" i="20" s="1"/>
  <c r="EC368" i="20"/>
  <c r="BB369" i="20"/>
  <c r="AY369" i="20"/>
  <c r="AX370" i="20"/>
  <c r="DY365" i="20"/>
  <c r="DZ365" i="20" s="1"/>
  <c r="AL364" i="20"/>
  <c r="FS364" i="20"/>
  <c r="FU364" i="20" s="1"/>
  <c r="DM364" i="20"/>
  <c r="BC369" i="20" l="1"/>
  <c r="AZ369" i="20"/>
  <c r="CY365" i="20"/>
  <c r="EA365" i="20"/>
  <c r="EU368" i="20"/>
  <c r="EX368" i="20" s="1"/>
  <c r="EY368" i="20" s="1"/>
  <c r="DV368" i="20"/>
  <c r="AX371" i="20"/>
  <c r="BB370" i="20"/>
  <c r="AY370" i="20"/>
  <c r="EC369" i="20"/>
  <c r="BD369" i="20"/>
  <c r="BE369" i="20" s="1"/>
  <c r="DW367" i="20"/>
  <c r="DX367" i="20"/>
  <c r="DY366" i="20"/>
  <c r="DZ366" i="20" s="1"/>
  <c r="FA367" i="20"/>
  <c r="EZ367" i="20"/>
  <c r="FE367" i="20" l="1"/>
  <c r="FF367" i="20" s="1"/>
  <c r="DY367" i="20"/>
  <c r="DZ367" i="20" s="1"/>
  <c r="EA367" i="20" s="1"/>
  <c r="EU369" i="20"/>
  <c r="EX369" i="20" s="1"/>
  <c r="EY369" i="20" s="1"/>
  <c r="DV369" i="20"/>
  <c r="AZ370" i="20"/>
  <c r="BC370" i="20"/>
  <c r="EA366" i="20"/>
  <c r="CY366" i="20"/>
  <c r="EZ368" i="20"/>
  <c r="FA368" i="20"/>
  <c r="EC370" i="20"/>
  <c r="BD370" i="20"/>
  <c r="BE370" i="20" s="1"/>
  <c r="AY371" i="20"/>
  <c r="BB371" i="20"/>
  <c r="AX372" i="20"/>
  <c r="DX368" i="20"/>
  <c r="DW368" i="20"/>
  <c r="AL365" i="20"/>
  <c r="DG365" i="20"/>
  <c r="FS365" i="20"/>
  <c r="FU365" i="20" s="1"/>
  <c r="CY367" i="20" l="1"/>
  <c r="DY368" i="20"/>
  <c r="DZ368" i="20" s="1"/>
  <c r="BC371" i="20"/>
  <c r="AZ371" i="20"/>
  <c r="EC371" i="20"/>
  <c r="BD371" i="20"/>
  <c r="BE371" i="20" s="1"/>
  <c r="FE368" i="20"/>
  <c r="FF368" i="20" s="1"/>
  <c r="DW369" i="20"/>
  <c r="DX369" i="20"/>
  <c r="DG367" i="20"/>
  <c r="FS367" i="20"/>
  <c r="FU367" i="20" s="1"/>
  <c r="AL367" i="20"/>
  <c r="BB372" i="20"/>
  <c r="AY372" i="20"/>
  <c r="AX373" i="20"/>
  <c r="EU370" i="20"/>
  <c r="EX370" i="20" s="1"/>
  <c r="EY370" i="20" s="1"/>
  <c r="DV370" i="20"/>
  <c r="DM366" i="20"/>
  <c r="AL366" i="20"/>
  <c r="FS366" i="20"/>
  <c r="FU366" i="20" s="1"/>
  <c r="FA369" i="20"/>
  <c r="EZ369" i="20"/>
  <c r="FE369" i="20" l="1"/>
  <c r="FF369" i="20" s="1"/>
  <c r="DW370" i="20"/>
  <c r="DX370" i="20"/>
  <c r="EC372" i="20"/>
  <c r="BD372" i="20"/>
  <c r="BE372" i="20" s="1"/>
  <c r="FA370" i="20"/>
  <c r="EZ370" i="20"/>
  <c r="AX374" i="20"/>
  <c r="AY373" i="20"/>
  <c r="BB373" i="20"/>
  <c r="BC372" i="20"/>
  <c r="AZ372" i="20"/>
  <c r="DY369" i="20"/>
  <c r="DZ369" i="20" s="1"/>
  <c r="EU371" i="20"/>
  <c r="EX371" i="20" s="1"/>
  <c r="EY371" i="20" s="1"/>
  <c r="DV371" i="20"/>
  <c r="CY368" i="20"/>
  <c r="EA368" i="20"/>
  <c r="FE370" i="20" l="1"/>
  <c r="FF370" i="20" s="1"/>
  <c r="FA371" i="20"/>
  <c r="EZ371" i="20"/>
  <c r="FE371" i="20" s="1"/>
  <c r="FF371" i="20" s="1"/>
  <c r="AL368" i="20"/>
  <c r="DM368" i="20"/>
  <c r="FS368" i="20"/>
  <c r="FU368" i="20" s="1"/>
  <c r="EA369" i="20"/>
  <c r="CY369" i="20"/>
  <c r="AX375" i="20"/>
  <c r="AY374" i="20"/>
  <c r="BB374" i="20"/>
  <c r="DX371" i="20"/>
  <c r="DW371" i="20"/>
  <c r="BD373" i="20"/>
  <c r="BE373" i="20" s="1"/>
  <c r="EC373" i="20"/>
  <c r="AZ373" i="20"/>
  <c r="BC373" i="20"/>
  <c r="DV372" i="20"/>
  <c r="EU372" i="20"/>
  <c r="EX372" i="20" s="1"/>
  <c r="EY372" i="20" s="1"/>
  <c r="DY370" i="20"/>
  <c r="DZ370" i="20" s="1"/>
  <c r="DY371" i="20" l="1"/>
  <c r="DZ371" i="20" s="1"/>
  <c r="DW372" i="20"/>
  <c r="DX372" i="20"/>
  <c r="EC374" i="20"/>
  <c r="BD374" i="20"/>
  <c r="BE374" i="20" s="1"/>
  <c r="EA371" i="20"/>
  <c r="CY371" i="20"/>
  <c r="AY375" i="20"/>
  <c r="BB375" i="20"/>
  <c r="FA372" i="20"/>
  <c r="EZ372" i="20"/>
  <c r="EU373" i="20"/>
  <c r="EX373" i="20" s="1"/>
  <c r="EY373" i="20" s="1"/>
  <c r="DV373" i="20"/>
  <c r="CY370" i="20"/>
  <c r="EA370" i="20"/>
  <c r="AZ374" i="20"/>
  <c r="BC374" i="20"/>
  <c r="AL369" i="20"/>
  <c r="DM369" i="20"/>
  <c r="FS369" i="20"/>
  <c r="FU369" i="20" s="1"/>
  <c r="FE372" i="20" l="1"/>
  <c r="FF372" i="20" s="1"/>
  <c r="FA373" i="20"/>
  <c r="EZ373" i="20"/>
  <c r="FE373" i="20" s="1"/>
  <c r="FF373" i="20" s="1"/>
  <c r="DX373" i="20"/>
  <c r="DW373" i="20"/>
  <c r="DY373" i="20" s="1"/>
  <c r="DZ373" i="20" s="1"/>
  <c r="AZ375" i="20"/>
  <c r="BC375" i="20"/>
  <c r="DM371" i="20"/>
  <c r="AL371" i="20"/>
  <c r="FS371" i="20"/>
  <c r="FU371" i="20" s="1"/>
  <c r="AL370" i="20"/>
  <c r="DG370" i="20"/>
  <c r="FS370" i="20"/>
  <c r="FU370" i="20" s="1"/>
  <c r="EC375" i="20"/>
  <c r="BD375" i="20"/>
  <c r="BE375" i="20" s="1"/>
  <c r="DV374" i="20"/>
  <c r="EU374" i="20"/>
  <c r="EX374" i="20" s="1"/>
  <c r="EY374" i="20" s="1"/>
  <c r="DY372" i="20"/>
  <c r="DZ372" i="20" s="1"/>
  <c r="CY372" i="20" s="1"/>
  <c r="EZ374" i="20" l="1"/>
  <c r="FA374" i="20"/>
  <c r="FS372" i="20"/>
  <c r="FU372" i="20" s="1"/>
  <c r="DM372" i="20"/>
  <c r="AL372" i="20"/>
  <c r="EU375" i="20"/>
  <c r="EX375" i="20" s="1"/>
  <c r="EY375" i="20" s="1"/>
  <c r="DV375" i="20"/>
  <c r="EA372" i="20"/>
  <c r="DX374" i="20"/>
  <c r="DW374" i="20"/>
  <c r="CY373" i="20"/>
  <c r="EA373" i="20"/>
  <c r="DY374" i="20" l="1"/>
  <c r="DZ374" i="20" s="1"/>
  <c r="AL373" i="20"/>
  <c r="FS373" i="20"/>
  <c r="FU373" i="20" s="1"/>
  <c r="DG373" i="20"/>
  <c r="CY374" i="20"/>
  <c r="DX375" i="20"/>
  <c r="DW375" i="20"/>
  <c r="FA375" i="20"/>
  <c r="EZ375" i="20"/>
  <c r="FE374" i="20"/>
  <c r="FF374" i="20" s="1"/>
  <c r="EA374" i="20" s="1"/>
  <c r="FE375" i="20" l="1"/>
  <c r="FF375" i="20" s="1"/>
  <c r="FS374" i="20"/>
  <c r="FU374" i="20" s="1"/>
  <c r="DM374" i="20"/>
  <c r="AL374" i="20"/>
  <c r="DY375" i="20"/>
  <c r="DZ375" i="20" s="1"/>
  <c r="CY375" i="20" l="1"/>
  <c r="EA375" i="20"/>
  <c r="FS375" i="20" l="1"/>
  <c r="FU375" i="20" s="1"/>
  <c r="DM375" i="20"/>
  <c r="AL375" i="20"/>
  <c r="AX185" i="20"/>
  <c r="AY185" i="20" s="1"/>
  <c r="AZ185" i="20" s="1"/>
  <c r="AX186" i="20"/>
  <c r="AY186" i="20" s="1"/>
  <c r="AZ186" i="20" s="1"/>
  <c r="AX249" i="20"/>
  <c r="AY249" i="20" s="1"/>
  <c r="AX376" i="20"/>
  <c r="AX377" i="20" s="1"/>
  <c r="AX391" i="20"/>
  <c r="AX392" i="20" s="1"/>
  <c r="AY392" i="20" s="1"/>
  <c r="AX444" i="20"/>
  <c r="AX445" i="20" s="1"/>
  <c r="AY445" i="20" s="1"/>
  <c r="AZ445" i="20" s="1"/>
  <c r="BB185" i="20"/>
  <c r="EC185" i="20" s="1"/>
  <c r="BB186" i="20"/>
  <c r="EC186" i="20" s="1"/>
  <c r="BB391" i="20"/>
  <c r="BD391" i="20" s="1"/>
  <c r="BE391" i="20" s="1"/>
  <c r="BB376" i="20" l="1"/>
  <c r="EC376" i="20" s="1"/>
  <c r="DV376" i="20" s="1"/>
  <c r="BD186" i="20"/>
  <c r="BD185" i="20"/>
  <c r="BE185" i="20" s="1"/>
  <c r="AX187" i="20"/>
  <c r="EC391" i="20"/>
  <c r="EU391" i="20" s="1"/>
  <c r="EX391" i="20" s="1"/>
  <c r="EY391" i="20" s="1"/>
  <c r="BC185" i="20"/>
  <c r="BC186" i="20"/>
  <c r="AY391" i="20"/>
  <c r="BC391" i="20" s="1"/>
  <c r="AY444" i="20"/>
  <c r="AZ444" i="20" s="1"/>
  <c r="EU376" i="20"/>
  <c r="EX376" i="20" s="1"/>
  <c r="EY376" i="20" s="1"/>
  <c r="EZ376" i="20" s="1"/>
  <c r="AZ392" i="20"/>
  <c r="DW376" i="20"/>
  <c r="DX376" i="20"/>
  <c r="AX378" i="20"/>
  <c r="AY377" i="20"/>
  <c r="BB377" i="20"/>
  <c r="AZ391" i="20"/>
  <c r="BD376" i="20"/>
  <c r="BE376" i="20" s="1"/>
  <c r="AZ249" i="20"/>
  <c r="BB392" i="20"/>
  <c r="AX393" i="20"/>
  <c r="AX250" i="20"/>
  <c r="BB249" i="20"/>
  <c r="BC249" i="20" s="1"/>
  <c r="DV391" i="20"/>
  <c r="BE186" i="20"/>
  <c r="EU186" i="20"/>
  <c r="EX186" i="20" s="1"/>
  <c r="EY186" i="20" s="1"/>
  <c r="DV186" i="20"/>
  <c r="DV185" i="20"/>
  <c r="EU185" i="20"/>
  <c r="EX185" i="20" s="1"/>
  <c r="EY185" i="20" s="1"/>
  <c r="BB445" i="20"/>
  <c r="AX446" i="20"/>
  <c r="AY376" i="20"/>
  <c r="BB444" i="20"/>
  <c r="AY187" i="20" l="1"/>
  <c r="BB187" i="20"/>
  <c r="AX188" i="20"/>
  <c r="BC444" i="20"/>
  <c r="FA376" i="20"/>
  <c r="AY393" i="20"/>
  <c r="BB393" i="20"/>
  <c r="AX394" i="20"/>
  <c r="BB250" i="20"/>
  <c r="AX251" i="20"/>
  <c r="AY250" i="20"/>
  <c r="AZ376" i="20"/>
  <c r="BC376" i="20"/>
  <c r="AX447" i="20"/>
  <c r="AY446" i="20"/>
  <c r="BB446" i="20"/>
  <c r="FE376" i="20"/>
  <c r="FF376" i="20" s="1"/>
  <c r="EZ186" i="20"/>
  <c r="FA186" i="20"/>
  <c r="BC377" i="20"/>
  <c r="AZ377" i="20"/>
  <c r="DW391" i="20"/>
  <c r="DX391" i="20"/>
  <c r="EC445" i="20"/>
  <c r="BD445" i="20"/>
  <c r="BE445" i="20" s="1"/>
  <c r="BC445" i="20"/>
  <c r="EC392" i="20"/>
  <c r="BD392" i="20"/>
  <c r="BE392" i="20" s="1"/>
  <c r="EC444" i="20"/>
  <c r="BD444" i="20"/>
  <c r="BE444" i="20" s="1"/>
  <c r="DW185" i="20"/>
  <c r="DX185" i="20"/>
  <c r="DW186" i="20"/>
  <c r="DX186" i="20"/>
  <c r="BB378" i="20"/>
  <c r="AX379" i="20"/>
  <c r="AY378" i="20"/>
  <c r="DY376" i="20"/>
  <c r="DZ376" i="20" s="1"/>
  <c r="BC392" i="20"/>
  <c r="EC249" i="20"/>
  <c r="BD249" i="20"/>
  <c r="BE249" i="20" s="1"/>
  <c r="FA185" i="20"/>
  <c r="EZ185" i="20"/>
  <c r="BD377" i="20"/>
  <c r="BE377" i="20" s="1"/>
  <c r="EC377" i="20"/>
  <c r="EZ391" i="20"/>
  <c r="FA391" i="20"/>
  <c r="BB188" i="20" l="1"/>
  <c r="AY188" i="20"/>
  <c r="AX189" i="20"/>
  <c r="EC187" i="20"/>
  <c r="BD187" i="20"/>
  <c r="BE187" i="20" s="1"/>
  <c r="AZ187" i="20"/>
  <c r="BC187" i="20"/>
  <c r="DV445" i="20"/>
  <c r="EU445" i="20"/>
  <c r="EX445" i="20" s="1"/>
  <c r="EY445" i="20" s="1"/>
  <c r="DY391" i="20"/>
  <c r="DZ391" i="20" s="1"/>
  <c r="EC446" i="20"/>
  <c r="BD446" i="20"/>
  <c r="BE446" i="20" s="1"/>
  <c r="EC378" i="20"/>
  <c r="BD378" i="20"/>
  <c r="BE378" i="20" s="1"/>
  <c r="FE186" i="20"/>
  <c r="FF186" i="20" s="1"/>
  <c r="FE391" i="20"/>
  <c r="FF391" i="20" s="1"/>
  <c r="BB447" i="20"/>
  <c r="AX448" i="20"/>
  <c r="AY447" i="20"/>
  <c r="BB379" i="20"/>
  <c r="AY379" i="20"/>
  <c r="AZ446" i="20"/>
  <c r="BC446" i="20"/>
  <c r="BC250" i="20"/>
  <c r="AZ250" i="20"/>
  <c r="AY394" i="20"/>
  <c r="AX395" i="20"/>
  <c r="BB394" i="20"/>
  <c r="FE185" i="20"/>
  <c r="FF185" i="20" s="1"/>
  <c r="BD393" i="20"/>
  <c r="BE393" i="20" s="1"/>
  <c r="EC393" i="20"/>
  <c r="CY376" i="20"/>
  <c r="EA376" i="20"/>
  <c r="BB251" i="20"/>
  <c r="AX252" i="20"/>
  <c r="AY251" i="20"/>
  <c r="EU392" i="20"/>
  <c r="EX392" i="20" s="1"/>
  <c r="EY392" i="20" s="1"/>
  <c r="DV392" i="20"/>
  <c r="BC393" i="20"/>
  <c r="AZ393" i="20"/>
  <c r="DV377" i="20"/>
  <c r="EU377" i="20"/>
  <c r="EX377" i="20" s="1"/>
  <c r="EY377" i="20" s="1"/>
  <c r="DY185" i="20"/>
  <c r="DZ185" i="20" s="1"/>
  <c r="EU444" i="20"/>
  <c r="EX444" i="20" s="1"/>
  <c r="EY444" i="20" s="1"/>
  <c r="DV444" i="20"/>
  <c r="DV249" i="20"/>
  <c r="EU249" i="20"/>
  <c r="EX249" i="20" s="1"/>
  <c r="EY249" i="20" s="1"/>
  <c r="BC378" i="20"/>
  <c r="AZ378" i="20"/>
  <c r="DY186" i="20"/>
  <c r="DZ186" i="20" s="1"/>
  <c r="EC250" i="20"/>
  <c r="BD250" i="20"/>
  <c r="BE250" i="20" s="1"/>
  <c r="EU187" i="20" l="1"/>
  <c r="EX187" i="20" s="1"/>
  <c r="EY187" i="20" s="1"/>
  <c r="DV187" i="20"/>
  <c r="AX190" i="20"/>
  <c r="BB189" i="20"/>
  <c r="AY189" i="20"/>
  <c r="AZ188" i="20"/>
  <c r="BC188" i="20"/>
  <c r="BD188" i="20"/>
  <c r="BE188" i="20" s="1"/>
  <c r="EC188" i="20"/>
  <c r="CY186" i="20"/>
  <c r="EA186" i="20"/>
  <c r="AZ379" i="20"/>
  <c r="BC379" i="20"/>
  <c r="FA392" i="20"/>
  <c r="EZ392" i="20"/>
  <c r="DV250" i="20"/>
  <c r="EU250" i="20"/>
  <c r="EX250" i="20" s="1"/>
  <c r="EY250" i="20" s="1"/>
  <c r="AZ251" i="20"/>
  <c r="BC251" i="20"/>
  <c r="EC251" i="20"/>
  <c r="BD251" i="20"/>
  <c r="BE251" i="20" s="1"/>
  <c r="FA249" i="20"/>
  <c r="EZ249" i="20"/>
  <c r="AX449" i="20"/>
  <c r="BB448" i="20"/>
  <c r="AY448" i="20"/>
  <c r="DV378" i="20"/>
  <c r="EU378" i="20"/>
  <c r="EX378" i="20" s="1"/>
  <c r="EY378" i="20" s="1"/>
  <c r="EU446" i="20"/>
  <c r="EX446" i="20" s="1"/>
  <c r="EY446" i="20" s="1"/>
  <c r="DV446" i="20"/>
  <c r="FA445" i="20"/>
  <c r="EZ445" i="20"/>
  <c r="EC379" i="20"/>
  <c r="BD379" i="20"/>
  <c r="BE379" i="20" s="1"/>
  <c r="EC447" i="20"/>
  <c r="BD447" i="20"/>
  <c r="BE447" i="20" s="1"/>
  <c r="DW249" i="20"/>
  <c r="DX249" i="20"/>
  <c r="EZ444" i="20"/>
  <c r="FA444" i="20"/>
  <c r="BC394" i="20"/>
  <c r="AZ394" i="20"/>
  <c r="DW445" i="20"/>
  <c r="DX445" i="20"/>
  <c r="DW392" i="20"/>
  <c r="DX392" i="20"/>
  <c r="AY252" i="20"/>
  <c r="AX253" i="20"/>
  <c r="BB252" i="20"/>
  <c r="DM376" i="20"/>
  <c r="FS376" i="20"/>
  <c r="FU376" i="20" s="1"/>
  <c r="AL376" i="20"/>
  <c r="EU393" i="20"/>
  <c r="EX393" i="20" s="1"/>
  <c r="EY393" i="20" s="1"/>
  <c r="DV393" i="20"/>
  <c r="BD394" i="20"/>
  <c r="BE394" i="20" s="1"/>
  <c r="EC394" i="20"/>
  <c r="EZ377" i="20"/>
  <c r="FA377" i="20"/>
  <c r="BC447" i="20"/>
  <c r="AZ447" i="20"/>
  <c r="CY391" i="20"/>
  <c r="EA391" i="20"/>
  <c r="DW444" i="20"/>
  <c r="DX444" i="20"/>
  <c r="EA185" i="20"/>
  <c r="CY185" i="20"/>
  <c r="AY395" i="20"/>
  <c r="BB395" i="20"/>
  <c r="DW377" i="20"/>
  <c r="DX377" i="20"/>
  <c r="BC189" i="20" l="1"/>
  <c r="AZ189" i="20"/>
  <c r="EC189" i="20"/>
  <c r="BD189" i="20"/>
  <c r="BE189" i="20" s="1"/>
  <c r="AY190" i="20"/>
  <c r="BB190" i="20"/>
  <c r="AX191" i="20"/>
  <c r="DV188" i="20"/>
  <c r="EU188" i="20"/>
  <c r="EX188" i="20" s="1"/>
  <c r="EY188" i="20" s="1"/>
  <c r="DW187" i="20"/>
  <c r="DX187" i="20"/>
  <c r="FA187" i="20"/>
  <c r="EZ187" i="20"/>
  <c r="FE187" i="20" s="1"/>
  <c r="FF187" i="20" s="1"/>
  <c r="EU394" i="20"/>
  <c r="EX394" i="20" s="1"/>
  <c r="EY394" i="20" s="1"/>
  <c r="DV394" i="20"/>
  <c r="FE249" i="20"/>
  <c r="FF249" i="20" s="1"/>
  <c r="DY249" i="20"/>
  <c r="DZ249" i="20" s="1"/>
  <c r="DW393" i="20"/>
  <c r="DX393" i="20"/>
  <c r="DW250" i="20"/>
  <c r="DX250" i="20"/>
  <c r="EZ393" i="20"/>
  <c r="FA393" i="20"/>
  <c r="FE445" i="20"/>
  <c r="FF445" i="20" s="1"/>
  <c r="AZ395" i="20"/>
  <c r="BC395" i="20"/>
  <c r="DG185" i="20"/>
  <c r="FS185" i="20"/>
  <c r="AL185" i="20"/>
  <c r="DY445" i="20"/>
  <c r="DZ445" i="20" s="1"/>
  <c r="FE444" i="20"/>
  <c r="FF444" i="20" s="1"/>
  <c r="DV447" i="20"/>
  <c r="EU447" i="20"/>
  <c r="EX447" i="20" s="1"/>
  <c r="EY447" i="20" s="1"/>
  <c r="FE377" i="20"/>
  <c r="FF377" i="20"/>
  <c r="DV379" i="20"/>
  <c r="EU379" i="20"/>
  <c r="EX379" i="20" s="1"/>
  <c r="EY379" i="20" s="1"/>
  <c r="DY377" i="20"/>
  <c r="DZ377" i="20" s="1"/>
  <c r="DW446" i="20"/>
  <c r="DX446" i="20"/>
  <c r="AZ252" i="20"/>
  <c r="BC252" i="20"/>
  <c r="FE392" i="20"/>
  <c r="FF392" i="20" s="1"/>
  <c r="DW378" i="20"/>
  <c r="DX378" i="20"/>
  <c r="AZ448" i="20"/>
  <c r="BC448" i="20"/>
  <c r="DY444" i="20"/>
  <c r="DZ444" i="20" s="1"/>
  <c r="AX450" i="20"/>
  <c r="BB449" i="20"/>
  <c r="AY449" i="20"/>
  <c r="DV251" i="20"/>
  <c r="EU251" i="20"/>
  <c r="EX251" i="20" s="1"/>
  <c r="EY251" i="20" s="1"/>
  <c r="EZ250" i="20"/>
  <c r="FA250" i="20"/>
  <c r="BD252" i="20"/>
  <c r="EC252" i="20"/>
  <c r="EZ446" i="20"/>
  <c r="FA446" i="20"/>
  <c r="BD448" i="20"/>
  <c r="BE448" i="20" s="1"/>
  <c r="EC448" i="20"/>
  <c r="AL391" i="20"/>
  <c r="FS391" i="20"/>
  <c r="FU391" i="20" s="1"/>
  <c r="DG391" i="20"/>
  <c r="BB253" i="20"/>
  <c r="AX254" i="20"/>
  <c r="AY253" i="20"/>
  <c r="BD395" i="20"/>
  <c r="BE395" i="20" s="1"/>
  <c r="EC395" i="20"/>
  <c r="EZ378" i="20"/>
  <c r="FA378" i="20"/>
  <c r="DY392" i="20"/>
  <c r="DZ392" i="20" s="1"/>
  <c r="FS186" i="20"/>
  <c r="FU186" i="20" s="1"/>
  <c r="DG186" i="20"/>
  <c r="AL186" i="20"/>
  <c r="EA249" i="20" l="1"/>
  <c r="BB191" i="20"/>
  <c r="AX192" i="20"/>
  <c r="AY191" i="20"/>
  <c r="DY187" i="20"/>
  <c r="DZ187" i="20" s="1"/>
  <c r="BD190" i="20"/>
  <c r="BE190" i="20" s="1"/>
  <c r="EC190" i="20"/>
  <c r="AZ190" i="20"/>
  <c r="BC190" i="20"/>
  <c r="DW188" i="20"/>
  <c r="DX188" i="20"/>
  <c r="DV189" i="20"/>
  <c r="EU189" i="20"/>
  <c r="EX189" i="20" s="1"/>
  <c r="EY189" i="20" s="1"/>
  <c r="FA188" i="20"/>
  <c r="EZ188" i="20"/>
  <c r="CY444" i="20"/>
  <c r="EA444" i="20"/>
  <c r="CY445" i="20"/>
  <c r="EA445" i="20"/>
  <c r="CY392" i="20"/>
  <c r="EA392" i="20"/>
  <c r="EZ447" i="20"/>
  <c r="FA447" i="20"/>
  <c r="DY250" i="20"/>
  <c r="DZ250" i="20" s="1"/>
  <c r="FE393" i="20"/>
  <c r="FF393" i="20" s="1"/>
  <c r="DY393" i="20"/>
  <c r="DZ393" i="20" s="1"/>
  <c r="DW379" i="20"/>
  <c r="DX379" i="20"/>
  <c r="EC253" i="20"/>
  <c r="BD253" i="20"/>
  <c r="BE253" i="20" s="1"/>
  <c r="FE378" i="20"/>
  <c r="FF378" i="20" s="1"/>
  <c r="DW447" i="20"/>
  <c r="DX447" i="20"/>
  <c r="FE446" i="20"/>
  <c r="FF446" i="20" s="1"/>
  <c r="DW394" i="20"/>
  <c r="DX394" i="20"/>
  <c r="EZ394" i="20"/>
  <c r="FA394" i="20"/>
  <c r="DY378" i="20"/>
  <c r="DZ378" i="20" s="1"/>
  <c r="BC449" i="20"/>
  <c r="AZ449" i="20"/>
  <c r="BB254" i="20"/>
  <c r="AX255" i="20"/>
  <c r="AY254" i="20"/>
  <c r="DV252" i="20"/>
  <c r="EU252" i="20"/>
  <c r="EX252" i="20" s="1"/>
  <c r="EY252" i="20" s="1"/>
  <c r="DY446" i="20"/>
  <c r="DZ446" i="20" s="1"/>
  <c r="EC449" i="20"/>
  <c r="BD449" i="20"/>
  <c r="BE449" i="20" s="1"/>
  <c r="BC253" i="20"/>
  <c r="AZ253" i="20"/>
  <c r="BB450" i="20"/>
  <c r="AX451" i="20"/>
  <c r="AY450" i="20"/>
  <c r="DV448" i="20"/>
  <c r="EU448" i="20"/>
  <c r="EX448" i="20" s="1"/>
  <c r="EY448" i="20" s="1"/>
  <c r="BE252" i="20"/>
  <c r="FE250" i="20"/>
  <c r="FF250" i="20" s="1"/>
  <c r="EZ251" i="20"/>
  <c r="FA251" i="20"/>
  <c r="DV395" i="20"/>
  <c r="EU395" i="20"/>
  <c r="EX395" i="20" s="1"/>
  <c r="EY395" i="20" s="1"/>
  <c r="CY377" i="20"/>
  <c r="EA377" i="20"/>
  <c r="DW251" i="20"/>
  <c r="DX251" i="20"/>
  <c r="EZ379" i="20"/>
  <c r="FA379" i="20"/>
  <c r="FU185" i="20"/>
  <c r="DV190" i="20" l="1"/>
  <c r="EU190" i="20"/>
  <c r="EX190" i="20" s="1"/>
  <c r="EY190" i="20" s="1"/>
  <c r="FE188" i="20"/>
  <c r="FF188" i="20" s="1"/>
  <c r="FA189" i="20"/>
  <c r="EZ189" i="20"/>
  <c r="DW189" i="20"/>
  <c r="DX189" i="20"/>
  <c r="CY187" i="20"/>
  <c r="EA187" i="20"/>
  <c r="BC191" i="20"/>
  <c r="AZ191" i="20"/>
  <c r="DY188" i="20"/>
  <c r="DZ188" i="20" s="1"/>
  <c r="AY192" i="20"/>
  <c r="BB192" i="20"/>
  <c r="EC191" i="20"/>
  <c r="BD191" i="20"/>
  <c r="BE191" i="20" s="1"/>
  <c r="CY446" i="20"/>
  <c r="EA446" i="20"/>
  <c r="CY378" i="20"/>
  <c r="EA378" i="20"/>
  <c r="FE251" i="20"/>
  <c r="FF251" i="20"/>
  <c r="FE394" i="20"/>
  <c r="FF394" i="20" s="1"/>
  <c r="DW448" i="20"/>
  <c r="DX448" i="20"/>
  <c r="DY394" i="20"/>
  <c r="DZ394" i="20" s="1"/>
  <c r="EU449" i="20"/>
  <c r="EX449" i="20" s="1"/>
  <c r="EY449" i="20" s="1"/>
  <c r="DV449" i="20"/>
  <c r="EZ448" i="20"/>
  <c r="FA448" i="20"/>
  <c r="AX452" i="20"/>
  <c r="BB451" i="20"/>
  <c r="AY451" i="20"/>
  <c r="BC450" i="20"/>
  <c r="AZ450" i="20"/>
  <c r="EC450" i="20"/>
  <c r="BD450" i="20"/>
  <c r="BE450" i="20" s="1"/>
  <c r="DY447" i="20"/>
  <c r="DZ447" i="20" s="1"/>
  <c r="EU253" i="20"/>
  <c r="EX253" i="20" s="1"/>
  <c r="EY253" i="20" s="1"/>
  <c r="DV253" i="20"/>
  <c r="AL392" i="20"/>
  <c r="FS392" i="20"/>
  <c r="FU392" i="20" s="1"/>
  <c r="DG392" i="20"/>
  <c r="FE379" i="20"/>
  <c r="FF379" i="20" s="1"/>
  <c r="DW252" i="20"/>
  <c r="DX252" i="20"/>
  <c r="EZ395" i="20"/>
  <c r="FA395" i="20"/>
  <c r="AZ254" i="20"/>
  <c r="BC254" i="20"/>
  <c r="DY379" i="20"/>
  <c r="DZ379" i="20" s="1"/>
  <c r="DM445" i="20"/>
  <c r="FS445" i="20"/>
  <c r="FU445" i="20" s="1"/>
  <c r="AL445" i="20"/>
  <c r="FE447" i="20"/>
  <c r="FF447" i="20" s="1"/>
  <c r="DY251" i="20"/>
  <c r="DZ251" i="20" s="1"/>
  <c r="EZ252" i="20"/>
  <c r="FA252" i="20"/>
  <c r="DW395" i="20"/>
  <c r="DX395" i="20"/>
  <c r="AY255" i="20"/>
  <c r="BB255" i="20"/>
  <c r="AX256" i="20"/>
  <c r="CY393" i="20"/>
  <c r="EA393" i="20"/>
  <c r="CY250" i="20"/>
  <c r="EA250" i="20"/>
  <c r="FS377" i="20"/>
  <c r="FU377" i="20" s="1"/>
  <c r="AL377" i="20"/>
  <c r="DG377" i="20"/>
  <c r="EC254" i="20"/>
  <c r="BD254" i="20"/>
  <c r="DM444" i="20"/>
  <c r="FS444" i="20"/>
  <c r="FU444" i="20" s="1"/>
  <c r="AL444" i="20"/>
  <c r="DY189" i="20" l="1"/>
  <c r="DZ189" i="20" s="1"/>
  <c r="DV191" i="20"/>
  <c r="EU191" i="20"/>
  <c r="EX191" i="20" s="1"/>
  <c r="EY191" i="20" s="1"/>
  <c r="BC192" i="20"/>
  <c r="AZ192" i="20"/>
  <c r="FE189" i="20"/>
  <c r="FF189" i="20" s="1"/>
  <c r="AL187" i="20"/>
  <c r="FS187" i="20"/>
  <c r="FU187" i="20" s="1"/>
  <c r="DG187" i="20"/>
  <c r="BD192" i="20"/>
  <c r="BE192" i="20" s="1"/>
  <c r="EC192" i="20"/>
  <c r="FA190" i="20"/>
  <c r="EZ190" i="20"/>
  <c r="CY188" i="20"/>
  <c r="EA188" i="20"/>
  <c r="DW190" i="20"/>
  <c r="DX190" i="20"/>
  <c r="EA379" i="20"/>
  <c r="CY379" i="20"/>
  <c r="EA447" i="20"/>
  <c r="CY447" i="20"/>
  <c r="DY448" i="20"/>
  <c r="DZ448" i="20" s="1"/>
  <c r="CY394" i="20"/>
  <c r="EA394" i="20"/>
  <c r="DV450" i="20"/>
  <c r="EU450" i="20"/>
  <c r="EX450" i="20" s="1"/>
  <c r="EY450" i="20" s="1"/>
  <c r="EZ253" i="20"/>
  <c r="FA253" i="20"/>
  <c r="FS393" i="20"/>
  <c r="FU393" i="20" s="1"/>
  <c r="AL393" i="20"/>
  <c r="DM393" i="20"/>
  <c r="AX257" i="20"/>
  <c r="BB256" i="20"/>
  <c r="AY256" i="20"/>
  <c r="BC451" i="20"/>
  <c r="AZ451" i="20"/>
  <c r="BE254" i="20"/>
  <c r="CY251" i="20"/>
  <c r="EA251" i="20"/>
  <c r="EU254" i="20"/>
  <c r="EX254" i="20" s="1"/>
  <c r="EY254" i="20" s="1"/>
  <c r="DV254" i="20"/>
  <c r="DM250" i="20"/>
  <c r="AL250" i="20"/>
  <c r="FS250" i="20"/>
  <c r="FU250" i="20" s="1"/>
  <c r="AX453" i="20"/>
  <c r="BB452" i="20"/>
  <c r="AY452" i="20"/>
  <c r="DW253" i="20"/>
  <c r="DX253" i="20"/>
  <c r="DY252" i="20"/>
  <c r="DZ252" i="20" s="1"/>
  <c r="BD255" i="20"/>
  <c r="BE255" i="20" s="1"/>
  <c r="EC255" i="20"/>
  <c r="AZ255" i="20"/>
  <c r="BC255" i="20"/>
  <c r="FE395" i="20"/>
  <c r="FF395" i="20" s="1"/>
  <c r="FE252" i="20"/>
  <c r="FF252" i="20" s="1"/>
  <c r="FE448" i="20"/>
  <c r="FF448" i="20" s="1"/>
  <c r="FS378" i="20"/>
  <c r="FU378" i="20" s="1"/>
  <c r="AL378" i="20"/>
  <c r="DG378" i="20"/>
  <c r="DY395" i="20"/>
  <c r="DZ395" i="20" s="1"/>
  <c r="DW449" i="20"/>
  <c r="DX449" i="20"/>
  <c r="EC451" i="20"/>
  <c r="BD451" i="20"/>
  <c r="BE451" i="20" s="1"/>
  <c r="FA449" i="20"/>
  <c r="EZ449" i="20"/>
  <c r="FS446" i="20"/>
  <c r="FU446" i="20" s="1"/>
  <c r="AL446" i="20"/>
  <c r="DG446" i="20"/>
  <c r="FE190" i="20" l="1"/>
  <c r="FF190" i="20"/>
  <c r="EU192" i="20"/>
  <c r="EX192" i="20" s="1"/>
  <c r="EY192" i="20" s="1"/>
  <c r="DV192" i="20"/>
  <c r="FA191" i="20"/>
  <c r="EZ191" i="20"/>
  <c r="FE191" i="20" s="1"/>
  <c r="FF191" i="20" s="1"/>
  <c r="DX191" i="20"/>
  <c r="DW191" i="20"/>
  <c r="DY191" i="20" s="1"/>
  <c r="DZ191" i="20" s="1"/>
  <c r="DY190" i="20"/>
  <c r="DZ190" i="20" s="1"/>
  <c r="DM188" i="20"/>
  <c r="AL188" i="20"/>
  <c r="FS188" i="20"/>
  <c r="FU188" i="20" s="1"/>
  <c r="CY189" i="20"/>
  <c r="EA189" i="20"/>
  <c r="CY448" i="20"/>
  <c r="EA448" i="20"/>
  <c r="CY252" i="20"/>
  <c r="EA252" i="20"/>
  <c r="EZ254" i="20"/>
  <c r="FA254" i="20"/>
  <c r="AL394" i="20"/>
  <c r="DM394" i="20"/>
  <c r="FS394" i="20"/>
  <c r="FU394" i="20" s="1"/>
  <c r="AX258" i="20"/>
  <c r="BB257" i="20"/>
  <c r="AY257" i="20"/>
  <c r="FS251" i="20"/>
  <c r="FU251" i="20" s="1"/>
  <c r="AL251" i="20"/>
  <c r="DM251" i="20"/>
  <c r="EU255" i="20"/>
  <c r="EX255" i="20" s="1"/>
  <c r="EY255" i="20" s="1"/>
  <c r="DV255" i="20"/>
  <c r="DY253" i="20"/>
  <c r="DZ253" i="20" s="1"/>
  <c r="FE449" i="20"/>
  <c r="FF449" i="20" s="1"/>
  <c r="FE253" i="20"/>
  <c r="FF253" i="20"/>
  <c r="FS447" i="20"/>
  <c r="FU447" i="20" s="1"/>
  <c r="AL447" i="20"/>
  <c r="DG447" i="20"/>
  <c r="BD256" i="20"/>
  <c r="EC256" i="20"/>
  <c r="FA450" i="20"/>
  <c r="EZ450" i="20"/>
  <c r="BB453" i="20"/>
  <c r="AX454" i="20"/>
  <c r="AY453" i="20"/>
  <c r="DW450" i="20"/>
  <c r="DX450" i="20"/>
  <c r="AL379" i="20"/>
  <c r="FS379" i="20"/>
  <c r="FU379" i="20" s="1"/>
  <c r="DG379" i="20"/>
  <c r="BC452" i="20"/>
  <c r="AZ452" i="20"/>
  <c r="DY449" i="20"/>
  <c r="DZ449" i="20" s="1"/>
  <c r="BC256" i="20"/>
  <c r="AZ256" i="20"/>
  <c r="EC452" i="20"/>
  <c r="BD452" i="20"/>
  <c r="BE452" i="20" s="1"/>
  <c r="EU451" i="20"/>
  <c r="EX451" i="20" s="1"/>
  <c r="EY451" i="20" s="1"/>
  <c r="DV451" i="20"/>
  <c r="EA395" i="20"/>
  <c r="CY395" i="20"/>
  <c r="DW254" i="20"/>
  <c r="DX254" i="20"/>
  <c r="AL189" i="20" l="1"/>
  <c r="DG189" i="20"/>
  <c r="FS189" i="20"/>
  <c r="FU189" i="20" s="1"/>
  <c r="DX192" i="20"/>
  <c r="DW192" i="20"/>
  <c r="DY192" i="20" s="1"/>
  <c r="DZ192" i="20" s="1"/>
  <c r="FA192" i="20"/>
  <c r="EZ192" i="20"/>
  <c r="FE192" i="20" s="1"/>
  <c r="FF192" i="20" s="1"/>
  <c r="EA190" i="20"/>
  <c r="CY190" i="20"/>
  <c r="CY191" i="20"/>
  <c r="EA191" i="20"/>
  <c r="CY253" i="20"/>
  <c r="EA253" i="20"/>
  <c r="EA449" i="20"/>
  <c r="CY449" i="20"/>
  <c r="DW255" i="20"/>
  <c r="DX255" i="20"/>
  <c r="BC257" i="20"/>
  <c r="AZ257" i="20"/>
  <c r="DW451" i="20"/>
  <c r="DX451" i="20"/>
  <c r="FA255" i="20"/>
  <c r="EZ255" i="20"/>
  <c r="EZ451" i="20"/>
  <c r="FA451" i="20"/>
  <c r="DY450" i="20"/>
  <c r="DZ450" i="20" s="1"/>
  <c r="FE450" i="20"/>
  <c r="FF450" i="20" s="1"/>
  <c r="EU256" i="20"/>
  <c r="EX256" i="20" s="1"/>
  <c r="EY256" i="20" s="1"/>
  <c r="DV256" i="20"/>
  <c r="AX259" i="20"/>
  <c r="BB258" i="20"/>
  <c r="AY258" i="20"/>
  <c r="EU452" i="20"/>
  <c r="EX452" i="20" s="1"/>
  <c r="EY452" i="20" s="1"/>
  <c r="DV452" i="20"/>
  <c r="BE256" i="20"/>
  <c r="FS252" i="20"/>
  <c r="FU252" i="20" s="1"/>
  <c r="DM252" i="20"/>
  <c r="AL252" i="20"/>
  <c r="BD257" i="20"/>
  <c r="BE257" i="20" s="1"/>
  <c r="EC257" i="20"/>
  <c r="BC453" i="20"/>
  <c r="AZ453" i="20"/>
  <c r="DM395" i="20"/>
  <c r="AL395" i="20"/>
  <c r="FS395" i="20"/>
  <c r="FU395" i="20" s="1"/>
  <c r="BB454" i="20"/>
  <c r="AY454" i="20"/>
  <c r="FE254" i="20"/>
  <c r="FF254" i="20" s="1"/>
  <c r="FS448" i="20"/>
  <c r="FU448" i="20" s="1"/>
  <c r="AL448" i="20"/>
  <c r="DM448" i="20"/>
  <c r="DY254" i="20"/>
  <c r="DZ254" i="20" s="1"/>
  <c r="BD453" i="20"/>
  <c r="BE453" i="20" s="1"/>
  <c r="EC453" i="20"/>
  <c r="DM190" i="20" l="1"/>
  <c r="FS190" i="20"/>
  <c r="FU190" i="20" s="1"/>
  <c r="AL190" i="20"/>
  <c r="EA192" i="20"/>
  <c r="CY192" i="20"/>
  <c r="FS191" i="20"/>
  <c r="FU191" i="20" s="1"/>
  <c r="AL191" i="20"/>
  <c r="DM191" i="20"/>
  <c r="DW256" i="20"/>
  <c r="DX256" i="20"/>
  <c r="DV257" i="20"/>
  <c r="EU257" i="20"/>
  <c r="EX257" i="20" s="1"/>
  <c r="EY257" i="20" s="1"/>
  <c r="DV453" i="20"/>
  <c r="EU453" i="20"/>
  <c r="EX453" i="20" s="1"/>
  <c r="EY453" i="20" s="1"/>
  <c r="BD258" i="20"/>
  <c r="BE258" i="20" s="1"/>
  <c r="EC258" i="20"/>
  <c r="FE255" i="20"/>
  <c r="FF255" i="20" s="1"/>
  <c r="DY451" i="20"/>
  <c r="DZ451" i="20" s="1"/>
  <c r="BC258" i="20"/>
  <c r="AZ258" i="20"/>
  <c r="AY259" i="20"/>
  <c r="AX260" i="20"/>
  <c r="BB259" i="20"/>
  <c r="CY254" i="20"/>
  <c r="EA254" i="20"/>
  <c r="FS449" i="20"/>
  <c r="FU449" i="20" s="1"/>
  <c r="AL449" i="20"/>
  <c r="DG449" i="20"/>
  <c r="FE451" i="20"/>
  <c r="FF451" i="20" s="1"/>
  <c r="EZ256" i="20"/>
  <c r="FA256" i="20"/>
  <c r="CY450" i="20"/>
  <c r="EA450" i="20"/>
  <c r="DY255" i="20"/>
  <c r="DZ255" i="20" s="1"/>
  <c r="AZ454" i="20"/>
  <c r="BC454" i="20"/>
  <c r="BD454" i="20"/>
  <c r="EC454" i="20"/>
  <c r="DW452" i="20"/>
  <c r="DX452" i="20"/>
  <c r="EZ452" i="20"/>
  <c r="FA452" i="20"/>
  <c r="FS253" i="20"/>
  <c r="DM253" i="20"/>
  <c r="AL253" i="20"/>
  <c r="DM192" i="20" l="1"/>
  <c r="AL192" i="20"/>
  <c r="FS192" i="20"/>
  <c r="FU192" i="20" s="1"/>
  <c r="CY451" i="20"/>
  <c r="EA451" i="20"/>
  <c r="CY255" i="20"/>
  <c r="EA255" i="20"/>
  <c r="FE452" i="20"/>
  <c r="FF452" i="20" s="1"/>
  <c r="BE454" i="20"/>
  <c r="FU253" i="20"/>
  <c r="DY452" i="20"/>
  <c r="DZ452" i="20" s="1"/>
  <c r="DV258" i="20"/>
  <c r="EU258" i="20"/>
  <c r="EX258" i="20" s="1"/>
  <c r="EY258" i="20" s="1"/>
  <c r="DG254" i="20"/>
  <c r="FS254" i="20"/>
  <c r="FU254" i="20" s="1"/>
  <c r="AL254" i="20"/>
  <c r="BB260" i="20"/>
  <c r="AX261" i="20"/>
  <c r="AY260" i="20"/>
  <c r="EZ453" i="20"/>
  <c r="FA453" i="20"/>
  <c r="AZ259" i="20"/>
  <c r="BC259" i="20"/>
  <c r="FE256" i="20"/>
  <c r="FF256" i="20" s="1"/>
  <c r="DW453" i="20"/>
  <c r="DX453" i="20"/>
  <c r="FA257" i="20"/>
  <c r="EZ257" i="20"/>
  <c r="DX257" i="20"/>
  <c r="DW257" i="20"/>
  <c r="BD259" i="20"/>
  <c r="BE259" i="20" s="1"/>
  <c r="EC259" i="20"/>
  <c r="AL450" i="20"/>
  <c r="FS450" i="20"/>
  <c r="FU450" i="20" s="1"/>
  <c r="DG450" i="20"/>
  <c r="DV454" i="20"/>
  <c r="EU454" i="20"/>
  <c r="EX454" i="20" s="1"/>
  <c r="EY454" i="20" s="1"/>
  <c r="DY256" i="20"/>
  <c r="DZ256" i="20" s="1"/>
  <c r="EU259" i="20" l="1"/>
  <c r="EX259" i="20" s="1"/>
  <c r="EY259" i="20" s="1"/>
  <c r="DV259" i="20"/>
  <c r="DY257" i="20"/>
  <c r="DZ257" i="20"/>
  <c r="EZ258" i="20"/>
  <c r="FA258" i="20"/>
  <c r="FE257" i="20"/>
  <c r="FF257" i="20"/>
  <c r="CY256" i="20"/>
  <c r="EA256" i="20"/>
  <c r="EA452" i="20"/>
  <c r="CY452" i="20"/>
  <c r="FE453" i="20"/>
  <c r="FF453" i="20" s="1"/>
  <c r="DW454" i="20"/>
  <c r="DX454" i="20"/>
  <c r="BC260" i="20"/>
  <c r="AZ260" i="20"/>
  <c r="EZ454" i="20"/>
  <c r="FA454" i="20"/>
  <c r="DW258" i="20"/>
  <c r="DX258" i="20"/>
  <c r="EC260" i="20"/>
  <c r="BD260" i="20"/>
  <c r="BE260" i="20" s="1"/>
  <c r="DG255" i="20"/>
  <c r="AL255" i="20"/>
  <c r="FS255" i="20"/>
  <c r="BB261" i="20"/>
  <c r="AY261" i="20"/>
  <c r="AX262" i="20"/>
  <c r="DY453" i="20"/>
  <c r="DZ453" i="20" s="1"/>
  <c r="DG451" i="20"/>
  <c r="AL451" i="20"/>
  <c r="FS451" i="20"/>
  <c r="FU451" i="20" s="1"/>
  <c r="CY453" i="20" l="1"/>
  <c r="EA453" i="20"/>
  <c r="FS256" i="20"/>
  <c r="FU256" i="20" s="1"/>
  <c r="DG256" i="20"/>
  <c r="AL256" i="20"/>
  <c r="EZ259" i="20"/>
  <c r="FA259" i="20"/>
  <c r="BC261" i="20"/>
  <c r="AZ261" i="20"/>
  <c r="DG17" i="20"/>
  <c r="FU255" i="20"/>
  <c r="DG14" i="20"/>
  <c r="DG15" i="20" s="1"/>
  <c r="BB262" i="20"/>
  <c r="AY262" i="20"/>
  <c r="AX263" i="20"/>
  <c r="CY257" i="20"/>
  <c r="EA257" i="20"/>
  <c r="DG16" i="20"/>
  <c r="FS452" i="20"/>
  <c r="FU452" i="20" s="1"/>
  <c r="DG452" i="20"/>
  <c r="AL452" i="20"/>
  <c r="FE454" i="20"/>
  <c r="FF454" i="20" s="1"/>
  <c r="EC261" i="20"/>
  <c r="BD261" i="20"/>
  <c r="FE258" i="20"/>
  <c r="FF258" i="20"/>
  <c r="DV260" i="20"/>
  <c r="EU260" i="20"/>
  <c r="EX260" i="20" s="1"/>
  <c r="EY260" i="20" s="1"/>
  <c r="DW259" i="20"/>
  <c r="DX259" i="20"/>
  <c r="DY258" i="20"/>
  <c r="DZ258" i="20" s="1"/>
  <c r="DY454" i="20"/>
  <c r="DZ454" i="20" s="1"/>
  <c r="CY454" i="20" l="1"/>
  <c r="EA454" i="20"/>
  <c r="CY258" i="20"/>
  <c r="EA258" i="20"/>
  <c r="EC262" i="20"/>
  <c r="BD262" i="20"/>
  <c r="BE262" i="20" s="1"/>
  <c r="DY259" i="20"/>
  <c r="DZ259" i="20" s="1"/>
  <c r="DW260" i="20"/>
  <c r="DX260" i="20"/>
  <c r="DV261" i="20"/>
  <c r="EU261" i="20"/>
  <c r="EX261" i="20" s="1"/>
  <c r="EY261" i="20" s="1"/>
  <c r="FE259" i="20"/>
  <c r="FF259" i="20" s="1"/>
  <c r="EZ260" i="20"/>
  <c r="FA260" i="20"/>
  <c r="DM257" i="20"/>
  <c r="FS257" i="20"/>
  <c r="FU257" i="20" s="1"/>
  <c r="AL257" i="20"/>
  <c r="BE261" i="20"/>
  <c r="AX264" i="20"/>
  <c r="BB263" i="20"/>
  <c r="AY263" i="20"/>
  <c r="FS453" i="20"/>
  <c r="FU453" i="20" s="1"/>
  <c r="DM453" i="20"/>
  <c r="AL453" i="20"/>
  <c r="BC262" i="20"/>
  <c r="AZ262" i="20"/>
  <c r="FA261" i="20" l="1"/>
  <c r="EZ261" i="20"/>
  <c r="DV262" i="20"/>
  <c r="EU262" i="20"/>
  <c r="EX262" i="20" s="1"/>
  <c r="EY262" i="20" s="1"/>
  <c r="DM17" i="20"/>
  <c r="DM14" i="20"/>
  <c r="DM15" i="20" s="1"/>
  <c r="DM16" i="20"/>
  <c r="DW261" i="20"/>
  <c r="DX261" i="20"/>
  <c r="DY260" i="20"/>
  <c r="DZ260" i="20" s="1"/>
  <c r="BD263" i="20"/>
  <c r="EC263" i="20"/>
  <c r="FE260" i="20"/>
  <c r="FF260" i="20" s="1"/>
  <c r="CY259" i="20"/>
  <c r="EA259" i="20"/>
  <c r="BC263" i="20"/>
  <c r="AZ263" i="20"/>
  <c r="FS258" i="20"/>
  <c r="FU258" i="20" s="1"/>
  <c r="AL258" i="20"/>
  <c r="DG258" i="20"/>
  <c r="AX265" i="20"/>
  <c r="BB264" i="20"/>
  <c r="AY264" i="20"/>
  <c r="FS454" i="20"/>
  <c r="DM454" i="20"/>
  <c r="AL454" i="20"/>
  <c r="FS259" i="20" l="1"/>
  <c r="FU259" i="20" s="1"/>
  <c r="DG259" i="20"/>
  <c r="AL259" i="20"/>
  <c r="EU263" i="20"/>
  <c r="EX263" i="20" s="1"/>
  <c r="EY263" i="20" s="1"/>
  <c r="DV263" i="20"/>
  <c r="BE263" i="20"/>
  <c r="CY260" i="20"/>
  <c r="EA260" i="20"/>
  <c r="DY261" i="20"/>
  <c r="DZ261" i="20" s="1"/>
  <c r="BD264" i="20"/>
  <c r="BE264" i="20" s="1"/>
  <c r="EC264" i="20"/>
  <c r="BC264" i="20"/>
  <c r="AZ264" i="20"/>
  <c r="BB265" i="20"/>
  <c r="AX266" i="20"/>
  <c r="AY265" i="20"/>
  <c r="DW262" i="20"/>
  <c r="DX262" i="20"/>
  <c r="FE261" i="20"/>
  <c r="FF261" i="20" s="1"/>
  <c r="FU454" i="20"/>
  <c r="EZ262" i="20"/>
  <c r="FA262" i="20"/>
  <c r="CY261" i="20" l="1"/>
  <c r="EA261" i="20"/>
  <c r="BB266" i="20"/>
  <c r="AX267" i="20"/>
  <c r="AY266" i="20"/>
  <c r="EC265" i="20"/>
  <c r="BD265" i="20"/>
  <c r="EU264" i="20"/>
  <c r="EX264" i="20" s="1"/>
  <c r="EY264" i="20" s="1"/>
  <c r="DV264" i="20"/>
  <c r="FE262" i="20"/>
  <c r="FF262" i="20" s="1"/>
  <c r="AZ265" i="20"/>
  <c r="BC265" i="20"/>
  <c r="DX263" i="20"/>
  <c r="DW263" i="20"/>
  <c r="EZ263" i="20"/>
  <c r="FA263" i="20"/>
  <c r="FS260" i="20"/>
  <c r="DM260" i="20"/>
  <c r="AL260" i="20"/>
  <c r="DY262" i="20"/>
  <c r="DZ262" i="20" s="1"/>
  <c r="EA262" i="20" l="1"/>
  <c r="CY262" i="20"/>
  <c r="FE263" i="20"/>
  <c r="FF263" i="20" s="1"/>
  <c r="BB267" i="20"/>
  <c r="AX268" i="20"/>
  <c r="AY267" i="20"/>
  <c r="FU260" i="20"/>
  <c r="EC266" i="20"/>
  <c r="BD266" i="20"/>
  <c r="BE266" i="20" s="1"/>
  <c r="DY263" i="20"/>
  <c r="DZ263" i="20" s="1"/>
  <c r="AZ266" i="20"/>
  <c r="BC266" i="20"/>
  <c r="EZ264" i="20"/>
  <c r="FA264" i="20"/>
  <c r="BE265" i="20"/>
  <c r="DV265" i="20"/>
  <c r="EU265" i="20"/>
  <c r="EX265" i="20" s="1"/>
  <c r="EY265" i="20" s="1"/>
  <c r="DW264" i="20"/>
  <c r="DX264" i="20"/>
  <c r="AL261" i="20"/>
  <c r="FS261" i="20"/>
  <c r="FU261" i="20" s="1"/>
  <c r="DG261" i="20"/>
  <c r="EA263" i="20" l="1"/>
  <c r="CY263" i="20"/>
  <c r="EU266" i="20"/>
  <c r="EX266" i="20" s="1"/>
  <c r="EY266" i="20" s="1"/>
  <c r="DV266" i="20"/>
  <c r="EZ265" i="20"/>
  <c r="FA265" i="20"/>
  <c r="BC267" i="20"/>
  <c r="AZ267" i="20"/>
  <c r="DW265" i="20"/>
  <c r="DX265" i="20"/>
  <c r="AY268" i="20"/>
  <c r="BB268" i="20"/>
  <c r="AX269" i="20"/>
  <c r="DY264" i="20"/>
  <c r="DZ264" i="20" s="1"/>
  <c r="BD267" i="20"/>
  <c r="BE267" i="20" s="1"/>
  <c r="EC267" i="20"/>
  <c r="FS262" i="20"/>
  <c r="DG262" i="20"/>
  <c r="AL262" i="20"/>
  <c r="FE264" i="20"/>
  <c r="FF264" i="20" s="1"/>
  <c r="CY264" i="20" l="1"/>
  <c r="EA264" i="20"/>
  <c r="DV267" i="20"/>
  <c r="EU267" i="20"/>
  <c r="EX267" i="20" s="1"/>
  <c r="EY267" i="20" s="1"/>
  <c r="BB269" i="20"/>
  <c r="AY269" i="20"/>
  <c r="AX270" i="20"/>
  <c r="DY265" i="20"/>
  <c r="DZ265" i="20" s="1"/>
  <c r="FE265" i="20"/>
  <c r="FF265" i="20" s="1"/>
  <c r="DW266" i="20"/>
  <c r="DX266" i="20"/>
  <c r="EZ266" i="20"/>
  <c r="FA266" i="20"/>
  <c r="FU262" i="20"/>
  <c r="AZ268" i="20"/>
  <c r="BC268" i="20"/>
  <c r="FS263" i="20"/>
  <c r="FU263" i="20" s="1"/>
  <c r="DG263" i="20"/>
  <c r="AL263" i="20"/>
  <c r="EC268" i="20"/>
  <c r="BD268" i="20"/>
  <c r="BE268" i="20" s="1"/>
  <c r="FE266" i="20" l="1"/>
  <c r="FF266" i="20"/>
  <c r="DV268" i="20"/>
  <c r="EU268" i="20"/>
  <c r="EX268" i="20" s="1"/>
  <c r="EY268" i="20" s="1"/>
  <c r="BD269" i="20"/>
  <c r="BE269" i="20" s="1"/>
  <c r="EC269" i="20"/>
  <c r="DY266" i="20"/>
  <c r="DZ266" i="20" s="1"/>
  <c r="CY265" i="20"/>
  <c r="EA265" i="20"/>
  <c r="AX271" i="20"/>
  <c r="AY270" i="20"/>
  <c r="BB270" i="20"/>
  <c r="AZ269" i="20"/>
  <c r="BC269" i="20"/>
  <c r="EZ267" i="20"/>
  <c r="FA267" i="20"/>
  <c r="DW267" i="20"/>
  <c r="DX267" i="20"/>
  <c r="DM264" i="20"/>
  <c r="FS264" i="20"/>
  <c r="AL264" i="20"/>
  <c r="CY266" i="20" l="1"/>
  <c r="EA266" i="20"/>
  <c r="AZ270" i="20"/>
  <c r="BC270" i="20"/>
  <c r="BD270" i="20"/>
  <c r="BE270" i="20" s="1"/>
  <c r="EC270" i="20"/>
  <c r="DV269" i="20"/>
  <c r="EU269" i="20"/>
  <c r="EX269" i="20" s="1"/>
  <c r="EY269" i="20" s="1"/>
  <c r="EZ268" i="20"/>
  <c r="FA268" i="20"/>
  <c r="AX272" i="20"/>
  <c r="BB271" i="20"/>
  <c r="AY271" i="20"/>
  <c r="FS265" i="20"/>
  <c r="FU265" i="20" s="1"/>
  <c r="DM265" i="20"/>
  <c r="AL265" i="20"/>
  <c r="DW268" i="20"/>
  <c r="DX268" i="20"/>
  <c r="DY267" i="20"/>
  <c r="DZ267" i="20" s="1"/>
  <c r="FU264" i="20"/>
  <c r="FE267" i="20"/>
  <c r="FF267" i="20" s="1"/>
  <c r="BC271" i="20" l="1"/>
  <c r="AZ271" i="20"/>
  <c r="BD271" i="20"/>
  <c r="BE271" i="20" s="1"/>
  <c r="EC271" i="20"/>
  <c r="AY272" i="20"/>
  <c r="BB272" i="20"/>
  <c r="AX273" i="20"/>
  <c r="EZ269" i="20"/>
  <c r="FA269" i="20"/>
  <c r="EU270" i="20"/>
  <c r="EX270" i="20" s="1"/>
  <c r="EY270" i="20" s="1"/>
  <c r="DV270" i="20"/>
  <c r="FE268" i="20"/>
  <c r="FF268" i="20" s="1"/>
  <c r="DW269" i="20"/>
  <c r="DX269" i="20"/>
  <c r="DY268" i="20"/>
  <c r="DZ268" i="20" s="1"/>
  <c r="EA267" i="20"/>
  <c r="CY267" i="20"/>
  <c r="FS266" i="20"/>
  <c r="DG266" i="20"/>
  <c r="AL266" i="20"/>
  <c r="EA268" i="20" l="1"/>
  <c r="CY268" i="20"/>
  <c r="FU266" i="20"/>
  <c r="FS267" i="20"/>
  <c r="FU267" i="20" s="1"/>
  <c r="DG267" i="20"/>
  <c r="AL267" i="20"/>
  <c r="BB273" i="20"/>
  <c r="AY273" i="20"/>
  <c r="AX274" i="20"/>
  <c r="DY269" i="20"/>
  <c r="DZ269" i="20" s="1"/>
  <c r="EZ270" i="20"/>
  <c r="FA270" i="20"/>
  <c r="FE269" i="20"/>
  <c r="FF269" i="20" s="1"/>
  <c r="BC272" i="20"/>
  <c r="AZ272" i="20"/>
  <c r="DW270" i="20"/>
  <c r="DX270" i="20"/>
  <c r="EC272" i="20"/>
  <c r="BD272" i="20"/>
  <c r="BE272" i="20" s="1"/>
  <c r="EU271" i="20"/>
  <c r="EX271" i="20" s="1"/>
  <c r="EY271" i="20" s="1"/>
  <c r="DV271" i="20"/>
  <c r="CY269" i="20" l="1"/>
  <c r="EA269" i="20"/>
  <c r="FE270" i="20"/>
  <c r="FF270" i="20" s="1"/>
  <c r="AX275" i="20"/>
  <c r="BB274" i="20"/>
  <c r="AY274" i="20"/>
  <c r="EC273" i="20"/>
  <c r="BD273" i="20"/>
  <c r="BE273" i="20" s="1"/>
  <c r="BC273" i="20"/>
  <c r="AZ273" i="20"/>
  <c r="DX271" i="20"/>
  <c r="DW271" i="20"/>
  <c r="EZ271" i="20"/>
  <c r="FA271" i="20"/>
  <c r="DV272" i="20"/>
  <c r="EU272" i="20"/>
  <c r="EX272" i="20" s="1"/>
  <c r="EY272" i="20" s="1"/>
  <c r="DY270" i="20"/>
  <c r="DZ270" i="20" s="1"/>
  <c r="FS268" i="20"/>
  <c r="FU268" i="20" s="1"/>
  <c r="DG268" i="20"/>
  <c r="AL268" i="20"/>
  <c r="CY270" i="20" l="1"/>
  <c r="EA270" i="20"/>
  <c r="FE271" i="20"/>
  <c r="FF271" i="20" s="1"/>
  <c r="BD274" i="20"/>
  <c r="BE274" i="20" s="1"/>
  <c r="EC274" i="20"/>
  <c r="EZ272" i="20"/>
  <c r="FA272" i="20"/>
  <c r="EU273" i="20"/>
  <c r="EX273" i="20" s="1"/>
  <c r="EY273" i="20" s="1"/>
  <c r="DV273" i="20"/>
  <c r="DW272" i="20"/>
  <c r="DX272" i="20"/>
  <c r="DY271" i="20"/>
  <c r="DZ271" i="20" s="1"/>
  <c r="BC274" i="20"/>
  <c r="AZ274" i="20"/>
  <c r="AY275" i="20"/>
  <c r="BB275" i="20"/>
  <c r="AX276" i="20"/>
  <c r="FS269" i="20"/>
  <c r="FU269" i="20" s="1"/>
  <c r="DG269" i="20"/>
  <c r="AL269" i="20"/>
  <c r="CY271" i="20" l="1"/>
  <c r="EA271" i="20"/>
  <c r="AX277" i="20"/>
  <c r="BB276" i="20"/>
  <c r="AY276" i="20"/>
  <c r="BC275" i="20"/>
  <c r="AZ275" i="20"/>
  <c r="DW273" i="20"/>
  <c r="DX273" i="20"/>
  <c r="DV274" i="20"/>
  <c r="EU274" i="20"/>
  <c r="EX274" i="20" s="1"/>
  <c r="EY274" i="20" s="1"/>
  <c r="EC275" i="20"/>
  <c r="BD275" i="20"/>
  <c r="BE275" i="20" s="1"/>
  <c r="DY272" i="20"/>
  <c r="DZ272" i="20" s="1"/>
  <c r="EZ273" i="20"/>
  <c r="FA273" i="20"/>
  <c r="FE272" i="20"/>
  <c r="FF272" i="20" s="1"/>
  <c r="DM270" i="20"/>
  <c r="FS270" i="20"/>
  <c r="FU270" i="20" s="1"/>
  <c r="AL270" i="20"/>
  <c r="EA272" i="20" l="1"/>
  <c r="CY272" i="20"/>
  <c r="DV275" i="20"/>
  <c r="EU275" i="20"/>
  <c r="EX275" i="20" s="1"/>
  <c r="EY275" i="20" s="1"/>
  <c r="FE273" i="20"/>
  <c r="FF273" i="20" s="1"/>
  <c r="FA274" i="20"/>
  <c r="EZ274" i="20"/>
  <c r="DY273" i="20"/>
  <c r="DZ273" i="20" s="1"/>
  <c r="BC276" i="20"/>
  <c r="AZ276" i="20"/>
  <c r="DW274" i="20"/>
  <c r="DX274" i="20"/>
  <c r="EC276" i="20"/>
  <c r="BD276" i="20"/>
  <c r="BE276" i="20" s="1"/>
  <c r="AX278" i="20"/>
  <c r="BB277" i="20"/>
  <c r="AY277" i="20"/>
  <c r="FS271" i="20"/>
  <c r="FU271" i="20" s="1"/>
  <c r="DG271" i="20"/>
  <c r="AL271" i="20"/>
  <c r="CY273" i="20" l="1"/>
  <c r="EA273" i="20"/>
  <c r="EC277" i="20"/>
  <c r="BD277" i="20"/>
  <c r="BE277" i="20" s="1"/>
  <c r="BB278" i="20"/>
  <c r="AX279" i="20"/>
  <c r="AY278" i="20"/>
  <c r="DY274" i="20"/>
  <c r="DZ274" i="20" s="1"/>
  <c r="FE274" i="20"/>
  <c r="FF274" i="20" s="1"/>
  <c r="AZ277" i="20"/>
  <c r="BC277" i="20"/>
  <c r="DV276" i="20"/>
  <c r="EU276" i="20"/>
  <c r="EX276" i="20" s="1"/>
  <c r="EY276" i="20" s="1"/>
  <c r="EZ275" i="20"/>
  <c r="FA275" i="20"/>
  <c r="DW275" i="20"/>
  <c r="DX275" i="20"/>
  <c r="AL272" i="20"/>
  <c r="FS272" i="20"/>
  <c r="FU272" i="20" s="1"/>
  <c r="DM272" i="20"/>
  <c r="DW276" i="20" l="1"/>
  <c r="DX276" i="20"/>
  <c r="DY275" i="20"/>
  <c r="DZ275" i="20" s="1"/>
  <c r="CY274" i="20"/>
  <c r="EA274" i="20"/>
  <c r="AZ278" i="20"/>
  <c r="BC278" i="20"/>
  <c r="EZ276" i="20"/>
  <c r="FA276" i="20"/>
  <c r="EC278" i="20"/>
  <c r="BD278" i="20"/>
  <c r="BE278" i="20" s="1"/>
  <c r="FE275" i="20"/>
  <c r="FF275" i="20" s="1"/>
  <c r="BB279" i="20"/>
  <c r="AX280" i="20"/>
  <c r="AY279" i="20"/>
  <c r="DV277" i="20"/>
  <c r="EU277" i="20"/>
  <c r="EX277" i="20" s="1"/>
  <c r="EY277" i="20" s="1"/>
  <c r="FS273" i="20"/>
  <c r="FU273" i="20" s="1"/>
  <c r="DG273" i="20"/>
  <c r="AL273" i="20"/>
  <c r="EZ277" i="20" l="1"/>
  <c r="FA277" i="20"/>
  <c r="BC279" i="20"/>
  <c r="AZ279" i="20"/>
  <c r="DV278" i="20"/>
  <c r="EU278" i="20"/>
  <c r="EX278" i="20" s="1"/>
  <c r="EY278" i="20" s="1"/>
  <c r="BD279" i="20"/>
  <c r="BE279" i="20" s="1"/>
  <c r="EC279" i="20"/>
  <c r="DM274" i="20"/>
  <c r="FS274" i="20"/>
  <c r="FU274" i="20" s="1"/>
  <c r="AL274" i="20"/>
  <c r="DW277" i="20"/>
  <c r="DX277" i="20"/>
  <c r="BB280" i="20"/>
  <c r="AY280" i="20"/>
  <c r="AX281" i="20"/>
  <c r="FE276" i="20"/>
  <c r="FF276" i="20" s="1"/>
  <c r="EA275" i="20"/>
  <c r="CY275" i="20"/>
  <c r="DY276" i="20"/>
  <c r="DZ276" i="20" s="1"/>
  <c r="CY276" i="20" l="1"/>
  <c r="EA276" i="20"/>
  <c r="BD280" i="20"/>
  <c r="BE280" i="20" s="1"/>
  <c r="EC280" i="20"/>
  <c r="AL275" i="20"/>
  <c r="DM275" i="20"/>
  <c r="FS275" i="20"/>
  <c r="FU275" i="20" s="1"/>
  <c r="DV279" i="20"/>
  <c r="EU279" i="20"/>
  <c r="EX279" i="20" s="1"/>
  <c r="EY279" i="20" s="1"/>
  <c r="AY281" i="20"/>
  <c r="BB281" i="20"/>
  <c r="AX282" i="20"/>
  <c r="FA278" i="20"/>
  <c r="EZ278" i="20"/>
  <c r="BC280" i="20"/>
  <c r="AZ280" i="20"/>
  <c r="DY277" i="20"/>
  <c r="DZ277" i="20" s="1"/>
  <c r="DW278" i="20"/>
  <c r="DX278" i="20"/>
  <c r="FE277" i="20"/>
  <c r="FF277" i="20" s="1"/>
  <c r="CY277" i="20" l="1"/>
  <c r="EA277" i="20"/>
  <c r="DY278" i="20"/>
  <c r="DZ278" i="20" s="1"/>
  <c r="FE278" i="20"/>
  <c r="FF278" i="20"/>
  <c r="EZ279" i="20"/>
  <c r="FA279" i="20"/>
  <c r="BD281" i="20"/>
  <c r="BE281" i="20" s="1"/>
  <c r="EC281" i="20"/>
  <c r="AZ281" i="20"/>
  <c r="BC281" i="20"/>
  <c r="DW279" i="20"/>
  <c r="DX279" i="20"/>
  <c r="BB282" i="20"/>
  <c r="AX283" i="20"/>
  <c r="AY282" i="20"/>
  <c r="DV280" i="20"/>
  <c r="EU280" i="20"/>
  <c r="EX280" i="20" s="1"/>
  <c r="EY280" i="20" s="1"/>
  <c r="FS276" i="20"/>
  <c r="FU276" i="20" s="1"/>
  <c r="AL276" i="20"/>
  <c r="DM276" i="20"/>
  <c r="EZ280" i="20" l="1"/>
  <c r="FA280" i="20"/>
  <c r="DW280" i="20"/>
  <c r="DX280" i="20"/>
  <c r="DY279" i="20"/>
  <c r="DZ279" i="20" s="1"/>
  <c r="DV281" i="20"/>
  <c r="EU281" i="20"/>
  <c r="EX281" i="20" s="1"/>
  <c r="EY281" i="20" s="1"/>
  <c r="FE279" i="20"/>
  <c r="FF279" i="20"/>
  <c r="BC282" i="20"/>
  <c r="AZ282" i="20"/>
  <c r="BB283" i="20"/>
  <c r="AX284" i="20"/>
  <c r="AY283" i="20"/>
  <c r="CY278" i="20"/>
  <c r="EA278" i="20"/>
  <c r="EC282" i="20"/>
  <c r="BD282" i="20"/>
  <c r="BE282" i="20" s="1"/>
  <c r="FS277" i="20"/>
  <c r="FU277" i="20" s="1"/>
  <c r="AL277" i="20"/>
  <c r="DG277" i="20"/>
  <c r="EC283" i="20" l="1"/>
  <c r="BD283" i="20"/>
  <c r="BE283" i="20" s="1"/>
  <c r="EA279" i="20"/>
  <c r="CY279" i="20"/>
  <c r="DV282" i="20"/>
  <c r="EU282" i="20"/>
  <c r="EX282" i="20" s="1"/>
  <c r="EY282" i="20" s="1"/>
  <c r="FS278" i="20"/>
  <c r="FU278" i="20" s="1"/>
  <c r="DM278" i="20"/>
  <c r="AL278" i="20"/>
  <c r="BB284" i="20"/>
  <c r="AX285" i="20"/>
  <c r="AY284" i="20"/>
  <c r="DW281" i="20"/>
  <c r="DX281" i="20"/>
  <c r="BC283" i="20"/>
  <c r="AZ283" i="20"/>
  <c r="EZ281" i="20"/>
  <c r="FA281" i="20"/>
  <c r="DY280" i="20"/>
  <c r="DZ280" i="20" s="1"/>
  <c r="FE280" i="20"/>
  <c r="FF280" i="20" s="1"/>
  <c r="EA280" i="20" l="1"/>
  <c r="CY280" i="20"/>
  <c r="FE281" i="20"/>
  <c r="FF281" i="20" s="1"/>
  <c r="DY281" i="20"/>
  <c r="DZ281" i="20" s="1"/>
  <c r="AZ284" i="20"/>
  <c r="BC284" i="20"/>
  <c r="AY285" i="20"/>
  <c r="BB285" i="20"/>
  <c r="AX286" i="20"/>
  <c r="EC284" i="20"/>
  <c r="BD284" i="20"/>
  <c r="BE284" i="20" s="1"/>
  <c r="EZ282" i="20"/>
  <c r="FA282" i="20"/>
  <c r="DW282" i="20"/>
  <c r="DX282" i="20"/>
  <c r="FS279" i="20"/>
  <c r="FU279" i="20" s="1"/>
  <c r="DM279" i="20"/>
  <c r="AL279" i="20"/>
  <c r="DV283" i="20"/>
  <c r="EU283" i="20"/>
  <c r="EX283" i="20" s="1"/>
  <c r="EY283" i="20" s="1"/>
  <c r="EA281" i="20" l="1"/>
  <c r="CY281" i="20"/>
  <c r="DV284" i="20"/>
  <c r="EU284" i="20"/>
  <c r="EX284" i="20" s="1"/>
  <c r="EY284" i="20" s="1"/>
  <c r="AZ285" i="20"/>
  <c r="BC285" i="20"/>
  <c r="DW283" i="20"/>
  <c r="DX283" i="20"/>
  <c r="DY282" i="20"/>
  <c r="DZ282" i="20" s="1"/>
  <c r="FE282" i="20"/>
  <c r="FF282" i="20" s="1"/>
  <c r="AX287" i="20"/>
  <c r="AY286" i="20"/>
  <c r="BB286" i="20"/>
  <c r="FA283" i="20"/>
  <c r="EZ283" i="20"/>
  <c r="EC285" i="20"/>
  <c r="BD285" i="20"/>
  <c r="BE285" i="20" s="1"/>
  <c r="FS280" i="20"/>
  <c r="FU280" i="20" s="1"/>
  <c r="AL280" i="20"/>
  <c r="DG280" i="20"/>
  <c r="CY282" i="20" l="1"/>
  <c r="EA282" i="20"/>
  <c r="BD286" i="20"/>
  <c r="BE286" i="20" s="1"/>
  <c r="EC286" i="20"/>
  <c r="AX288" i="20"/>
  <c r="BB287" i="20"/>
  <c r="AY287" i="20"/>
  <c r="DV285" i="20"/>
  <c r="EU285" i="20"/>
  <c r="EX285" i="20" s="1"/>
  <c r="EY285" i="20" s="1"/>
  <c r="BC286" i="20"/>
  <c r="AZ286" i="20"/>
  <c r="DY283" i="20"/>
  <c r="DZ283" i="20" s="1"/>
  <c r="FE283" i="20"/>
  <c r="FF283" i="20" s="1"/>
  <c r="EZ284" i="20"/>
  <c r="FA284" i="20"/>
  <c r="DW284" i="20"/>
  <c r="DX284" i="20"/>
  <c r="DG281" i="20"/>
  <c r="FS281" i="20"/>
  <c r="FU281" i="20" s="1"/>
  <c r="AL281" i="20"/>
  <c r="CY283" i="20" l="1"/>
  <c r="EA283" i="20"/>
  <c r="DY284" i="20"/>
  <c r="DZ284" i="20"/>
  <c r="DW285" i="20"/>
  <c r="DX285" i="20"/>
  <c r="EZ285" i="20"/>
  <c r="FA285" i="20"/>
  <c r="BC287" i="20"/>
  <c r="AZ287" i="20"/>
  <c r="BB288" i="20"/>
  <c r="AX289" i="20"/>
  <c r="AY288" i="20"/>
  <c r="FE284" i="20"/>
  <c r="FF284" i="20" s="1"/>
  <c r="BD287" i="20"/>
  <c r="BE287" i="20" s="1"/>
  <c r="EC287" i="20"/>
  <c r="DV286" i="20"/>
  <c r="EU286" i="20"/>
  <c r="EX286" i="20" s="1"/>
  <c r="EY286" i="20" s="1"/>
  <c r="DM282" i="20"/>
  <c r="FS282" i="20"/>
  <c r="FU282" i="20" s="1"/>
  <c r="AL282" i="20"/>
  <c r="BB289" i="20" l="1"/>
  <c r="AY289" i="20"/>
  <c r="AX290" i="20"/>
  <c r="EU287" i="20"/>
  <c r="EX287" i="20" s="1"/>
  <c r="EY287" i="20" s="1"/>
  <c r="DV287" i="20"/>
  <c r="EC288" i="20"/>
  <c r="BD288" i="20"/>
  <c r="BE288" i="20" s="1"/>
  <c r="FE285" i="20"/>
  <c r="FF285" i="20" s="1"/>
  <c r="EZ286" i="20"/>
  <c r="FA286" i="20"/>
  <c r="EA284" i="20"/>
  <c r="CY284" i="20"/>
  <c r="DW286" i="20"/>
  <c r="DX286" i="20"/>
  <c r="AZ288" i="20"/>
  <c r="BC288" i="20"/>
  <c r="DY285" i="20"/>
  <c r="DZ285" i="20" s="1"/>
  <c r="DG283" i="20"/>
  <c r="AL283" i="20"/>
  <c r="FS283" i="20"/>
  <c r="FU283" i="20" s="1"/>
  <c r="CY285" i="20" l="1"/>
  <c r="EA285" i="20"/>
  <c r="AL284" i="20"/>
  <c r="FS284" i="20"/>
  <c r="FU284" i="20" s="1"/>
  <c r="DM284" i="20"/>
  <c r="FE286" i="20"/>
  <c r="FF286" i="20" s="1"/>
  <c r="DV288" i="20"/>
  <c r="EU288" i="20"/>
  <c r="EX288" i="20" s="1"/>
  <c r="EY288" i="20" s="1"/>
  <c r="DX287" i="20"/>
  <c r="DW287" i="20"/>
  <c r="AZ289" i="20"/>
  <c r="BC289" i="20"/>
  <c r="DY286" i="20"/>
  <c r="DZ286" i="20" s="1"/>
  <c r="EZ287" i="20"/>
  <c r="FA287" i="20"/>
  <c r="AX291" i="20"/>
  <c r="AY290" i="20"/>
  <c r="BB290" i="20"/>
  <c r="EC289" i="20"/>
  <c r="BD289" i="20"/>
  <c r="BE289" i="20" s="1"/>
  <c r="DV289" i="20" l="1"/>
  <c r="EU289" i="20"/>
  <c r="EX289" i="20" s="1"/>
  <c r="EY289" i="20" s="1"/>
  <c r="CY286" i="20"/>
  <c r="EA286" i="20"/>
  <c r="EC290" i="20"/>
  <c r="BD290" i="20"/>
  <c r="BE290" i="20" s="1"/>
  <c r="AX292" i="20"/>
  <c r="BB291" i="20"/>
  <c r="AY291" i="20"/>
  <c r="FE287" i="20"/>
  <c r="FF287" i="20" s="1"/>
  <c r="DW288" i="20"/>
  <c r="DX288" i="20"/>
  <c r="BC290" i="20"/>
  <c r="AZ290" i="20"/>
  <c r="DY287" i="20"/>
  <c r="DZ287" i="20" s="1"/>
  <c r="EZ288" i="20"/>
  <c r="FA288" i="20"/>
  <c r="DG285" i="20"/>
  <c r="AL285" i="20"/>
  <c r="FS285" i="20"/>
  <c r="FU285" i="20" s="1"/>
  <c r="EA287" i="20" l="1"/>
  <c r="CY287" i="20"/>
  <c r="DY288" i="20"/>
  <c r="DZ288" i="20" s="1"/>
  <c r="FE288" i="20"/>
  <c r="FF288" i="20"/>
  <c r="BD291" i="20"/>
  <c r="BE291" i="20" s="1"/>
  <c r="EC291" i="20"/>
  <c r="BC291" i="20"/>
  <c r="AZ291" i="20"/>
  <c r="EZ289" i="20"/>
  <c r="FA289" i="20"/>
  <c r="BB292" i="20"/>
  <c r="AX293" i="20"/>
  <c r="AY292" i="20"/>
  <c r="DV290" i="20"/>
  <c r="EU290" i="20"/>
  <c r="EX290" i="20" s="1"/>
  <c r="EY290" i="20" s="1"/>
  <c r="DM286" i="20"/>
  <c r="FS286" i="20"/>
  <c r="FU286" i="20" s="1"/>
  <c r="AL286" i="20"/>
  <c r="DW289" i="20"/>
  <c r="DX289" i="20"/>
  <c r="EZ290" i="20" l="1"/>
  <c r="FA290" i="20"/>
  <c r="AX294" i="20"/>
  <c r="BB293" i="20"/>
  <c r="AY293" i="20"/>
  <c r="BC292" i="20"/>
  <c r="AZ292" i="20"/>
  <c r="BD292" i="20"/>
  <c r="BE292" i="20" s="1"/>
  <c r="EC292" i="20"/>
  <c r="FE289" i="20"/>
  <c r="FF289" i="20" s="1"/>
  <c r="DV291" i="20"/>
  <c r="EU291" i="20"/>
  <c r="EX291" i="20" s="1"/>
  <c r="EY291" i="20" s="1"/>
  <c r="EA288" i="20"/>
  <c r="CY288" i="20"/>
  <c r="DY289" i="20"/>
  <c r="DZ289" i="20" s="1"/>
  <c r="DX290" i="20"/>
  <c r="DW290" i="20"/>
  <c r="AL287" i="20"/>
  <c r="DG287" i="20"/>
  <c r="FS287" i="20"/>
  <c r="FU287" i="20" s="1"/>
  <c r="EA289" i="20" l="1"/>
  <c r="CY289" i="20"/>
  <c r="FS288" i="20"/>
  <c r="FU288" i="20" s="1"/>
  <c r="DM288" i="20"/>
  <c r="AL288" i="20"/>
  <c r="DW291" i="20"/>
  <c r="DX291" i="20"/>
  <c r="AZ293" i="20"/>
  <c r="BC293" i="20"/>
  <c r="DY290" i="20"/>
  <c r="DZ290" i="20" s="1"/>
  <c r="EZ291" i="20"/>
  <c r="FA291" i="20"/>
  <c r="DV292" i="20"/>
  <c r="EU292" i="20"/>
  <c r="EX292" i="20" s="1"/>
  <c r="EY292" i="20" s="1"/>
  <c r="BD293" i="20"/>
  <c r="BE293" i="20" s="1"/>
  <c r="EC293" i="20"/>
  <c r="BB294" i="20"/>
  <c r="AY294" i="20"/>
  <c r="AX295" i="20"/>
  <c r="FE290" i="20"/>
  <c r="FF290" i="20" s="1"/>
  <c r="CY290" i="20" l="1"/>
  <c r="EA290" i="20"/>
  <c r="AX296" i="20"/>
  <c r="BB295" i="20"/>
  <c r="AY295" i="20"/>
  <c r="AZ294" i="20"/>
  <c r="BC294" i="20"/>
  <c r="FE291" i="20"/>
  <c r="FF291" i="20" s="1"/>
  <c r="EU293" i="20"/>
  <c r="EX293" i="20" s="1"/>
  <c r="EY293" i="20" s="1"/>
  <c r="DV293" i="20"/>
  <c r="EC294" i="20"/>
  <c r="BD294" i="20"/>
  <c r="BE294" i="20" s="1"/>
  <c r="DW292" i="20"/>
  <c r="DX292" i="20"/>
  <c r="DG289" i="20"/>
  <c r="FS289" i="20"/>
  <c r="FU289" i="20" s="1"/>
  <c r="AL289" i="20"/>
  <c r="EZ292" i="20"/>
  <c r="FA292" i="20"/>
  <c r="DY291" i="20"/>
  <c r="DZ291" i="20" s="1"/>
  <c r="EA291" i="20" l="1"/>
  <c r="CY291" i="20"/>
  <c r="FE292" i="20"/>
  <c r="FF292" i="20" s="1"/>
  <c r="DY292" i="20"/>
  <c r="DZ292" i="20" s="1"/>
  <c r="DW293" i="20"/>
  <c r="DX293" i="20"/>
  <c r="AZ295" i="20"/>
  <c r="BC295" i="20"/>
  <c r="DV294" i="20"/>
  <c r="EU294" i="20"/>
  <c r="EX294" i="20" s="1"/>
  <c r="EY294" i="20" s="1"/>
  <c r="EZ293" i="20"/>
  <c r="FA293" i="20"/>
  <c r="BD295" i="20"/>
  <c r="BE295" i="20" s="1"/>
  <c r="EC295" i="20"/>
  <c r="AY296" i="20"/>
  <c r="BB296" i="20"/>
  <c r="DM290" i="20"/>
  <c r="FS290" i="20"/>
  <c r="FU290" i="20" s="1"/>
  <c r="AL290" i="20"/>
  <c r="EZ294" i="20" l="1"/>
  <c r="FA294" i="20"/>
  <c r="DY293" i="20"/>
  <c r="DZ293" i="20" s="1"/>
  <c r="EC296" i="20"/>
  <c r="BD296" i="20"/>
  <c r="DW294" i="20"/>
  <c r="DX294" i="20"/>
  <c r="BC296" i="20"/>
  <c r="AZ296" i="20"/>
  <c r="DV295" i="20"/>
  <c r="EU295" i="20"/>
  <c r="EX295" i="20" s="1"/>
  <c r="EY295" i="20" s="1"/>
  <c r="FE293" i="20"/>
  <c r="FF293" i="20" s="1"/>
  <c r="CY292" i="20"/>
  <c r="EA292" i="20"/>
  <c r="FS291" i="20"/>
  <c r="FU291" i="20" s="1"/>
  <c r="DG291" i="20"/>
  <c r="AL291" i="20"/>
  <c r="FS292" i="20" l="1"/>
  <c r="FU292" i="20" s="1"/>
  <c r="AL292" i="20"/>
  <c r="DM292" i="20"/>
  <c r="DW295" i="20"/>
  <c r="DX295" i="20"/>
  <c r="DY294" i="20"/>
  <c r="DZ294" i="20" s="1"/>
  <c r="BE296" i="20"/>
  <c r="BE17" i="20" s="1"/>
  <c r="BD16" i="20"/>
  <c r="BD17" i="20"/>
  <c r="DV296" i="20"/>
  <c r="EU296" i="20"/>
  <c r="EX296" i="20" s="1"/>
  <c r="EY296" i="20" s="1"/>
  <c r="EZ295" i="20"/>
  <c r="FA295" i="20"/>
  <c r="CY293" i="20"/>
  <c r="EA293" i="20"/>
  <c r="FE294" i="20"/>
  <c r="FF294" i="20" s="1"/>
  <c r="CY294" i="20" l="1"/>
  <c r="EA294" i="20"/>
  <c r="DM293" i="20"/>
  <c r="FS293" i="20"/>
  <c r="FU293" i="20" s="1"/>
  <c r="AL293" i="20"/>
  <c r="FE295" i="20"/>
  <c r="FF295" i="20" s="1"/>
  <c r="EZ296" i="20"/>
  <c r="FA296" i="20"/>
  <c r="DW296" i="20"/>
  <c r="DX296" i="20"/>
  <c r="DV1" i="20"/>
  <c r="DV17" i="20"/>
  <c r="DY295" i="20"/>
  <c r="DZ295" i="20" s="1"/>
  <c r="CY295" i="20" l="1"/>
  <c r="EA295" i="20"/>
  <c r="DX17" i="20"/>
  <c r="DX16" i="20" s="1"/>
  <c r="DW17" i="20"/>
  <c r="DV3" i="20"/>
  <c r="DV4" i="20"/>
  <c r="DY296" i="20"/>
  <c r="DZ296" i="20" s="1"/>
  <c r="FE296" i="20"/>
  <c r="FF296" i="20" s="1"/>
  <c r="FS294" i="20"/>
  <c r="FU294" i="20" s="1"/>
  <c r="DM294" i="20"/>
  <c r="AL294" i="20"/>
  <c r="DW16" i="20" l="1"/>
  <c r="CY296" i="20"/>
  <c r="EA296" i="20"/>
  <c r="FS295" i="20"/>
  <c r="FU295" i="20" s="1"/>
  <c r="DM295" i="20"/>
  <c r="AL295" i="20"/>
  <c r="DM4" i="20" l="1"/>
  <c r="DM1" i="20"/>
  <c r="DM2" i="20" s="1"/>
  <c r="DM3" i="20"/>
  <c r="FS296" i="20"/>
  <c r="AL296" i="20"/>
  <c r="DG296" i="20"/>
  <c r="CY16" i="20"/>
  <c r="CP3" i="20"/>
  <c r="CY3" i="20"/>
  <c r="AB3" i="20" s="1"/>
  <c r="CP4" i="20"/>
  <c r="CP1" i="20"/>
  <c r="EG1" i="20" s="1"/>
  <c r="CY4" i="20"/>
  <c r="AB4" i="20" s="1"/>
  <c r="CY17" i="20"/>
  <c r="CY1" i="20"/>
  <c r="AB1" i="20" s="1"/>
  <c r="CY14" i="20"/>
  <c r="CY15" i="20" s="1"/>
  <c r="CP2" i="20" l="1"/>
  <c r="EG2" i="20" s="1"/>
  <c r="CY2" i="20"/>
  <c r="AB2" i="20" s="1"/>
  <c r="FI15" i="20"/>
  <c r="AB15" i="20"/>
  <c r="DG3" i="20"/>
  <c r="DG1" i="20"/>
  <c r="DG2" i="20" s="1"/>
  <c r="DG4" i="20"/>
  <c r="AB16" i="20"/>
  <c r="FI16" i="20"/>
  <c r="FU296" i="20"/>
  <c r="FU19" i="20" s="1"/>
  <c r="GB60" i="20"/>
  <c r="GB59" i="20"/>
  <c r="GB58" i="20"/>
  <c r="GB61" i="20"/>
  <c r="GB62" i="20"/>
  <c r="GB56" i="20"/>
  <c r="GB55" i="20"/>
  <c r="GB54" i="20"/>
  <c r="GB57" i="20"/>
  <c r="FI14" i="20"/>
  <c r="AB14" i="20"/>
  <c r="FI17" i="20"/>
  <c r="AB17" i="20"/>
  <c r="GB65" i="20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tc={B63F8C54-14A8-4227-949B-5C1F436EA88A}</author>
  </authors>
  <commentList>
    <comment ref="D153" authorId="0" shapeId="0" xr:uid="{B63F8C54-14A8-4227-949B-5C1F436EA88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Slice -&gt; Lap splice 로 변경함</t>
      </text>
    </comment>
  </commentList>
</comments>
</file>

<file path=xl/sharedStrings.xml><?xml version="1.0" encoding="utf-8"?>
<sst xmlns="http://schemas.openxmlformats.org/spreadsheetml/2006/main" count="5133" uniqueCount="827">
  <si>
    <t>Specimen</t>
  </si>
  <si>
    <t>ACI, fs
Mpa</t>
    <phoneticPr fontId="4" type="noConversion"/>
  </si>
  <si>
    <t>ACI</t>
    <phoneticPr fontId="4" type="noConversion"/>
  </si>
  <si>
    <t>phi_o</t>
    <phoneticPr fontId="4" type="noConversion"/>
  </si>
  <si>
    <t>fy,
Mpa
(hook bar yield stress)</t>
    <phoneticPr fontId="4" type="noConversion"/>
  </si>
  <si>
    <r>
      <t>f</t>
    </r>
    <r>
      <rPr>
        <sz val="11"/>
        <color theme="1"/>
        <rFont val="맑은 고딕"/>
        <family val="3"/>
        <charset val="129"/>
        <scheme val="minor"/>
      </rPr>
      <t>s
Mpa</t>
    </r>
    <phoneticPr fontId="4" type="noConversion"/>
  </si>
  <si>
    <t>test/ACI</t>
    <phoneticPr fontId="4" type="noConversion"/>
  </si>
  <si>
    <t>total
length
mm</t>
    <phoneticPr fontId="4" type="noConversion"/>
  </si>
  <si>
    <t>a1</t>
    <phoneticPr fontId="4" type="noConversion"/>
  </si>
  <si>
    <t>a2</t>
    <phoneticPr fontId="4" type="noConversion"/>
  </si>
  <si>
    <t>ita2</t>
  </si>
  <si>
    <t>fbd</t>
  </si>
  <si>
    <t>fs,EC2</t>
  </si>
  <si>
    <t>alpha2 x
alpha3</t>
  </si>
  <si>
    <t>cmin</t>
    <phoneticPr fontId="6" type="noConversion"/>
  </si>
  <si>
    <t>cmax</t>
    <phoneticPr fontId="6" type="noConversion"/>
  </si>
  <si>
    <t>a2</t>
    <phoneticPr fontId="6" type="noConversion"/>
  </si>
  <si>
    <t>fbd0</t>
    <phoneticPr fontId="6" type="noConversion"/>
  </si>
  <si>
    <t>fbd</t>
    <phoneticPr fontId="6" type="noConversion"/>
  </si>
  <si>
    <t>fs,MC2010</t>
    <phoneticPr fontId="6" type="noConversion"/>
  </si>
  <si>
    <t>test/MC2010</t>
    <phoneticPr fontId="4" type="noConversion"/>
  </si>
  <si>
    <t>C1</t>
    <phoneticPr fontId="4" type="noConversion"/>
  </si>
  <si>
    <t>avg.tau1</t>
    <phoneticPr fontId="6" type="noConversion"/>
  </si>
  <si>
    <t>tau2</t>
  </si>
  <si>
    <t>fs</t>
  </si>
  <si>
    <t>test/proposed</t>
    <phoneticPr fontId="4" type="noConversion"/>
  </si>
  <si>
    <t>normal length</t>
    <phoneticPr fontId="4" type="noConversion"/>
  </si>
  <si>
    <t>avg</t>
    <phoneticPr fontId="4" type="noConversion"/>
  </si>
  <si>
    <t>max</t>
    <phoneticPr fontId="4" type="noConversion"/>
  </si>
  <si>
    <t>min</t>
    <phoneticPr fontId="4" type="noConversion"/>
  </si>
  <si>
    <t>alpha</t>
    <phoneticPr fontId="4" type="noConversion"/>
  </si>
  <si>
    <t>l1</t>
    <phoneticPr fontId="4" type="noConversion"/>
  </si>
  <si>
    <t>l2</t>
    <phoneticPr fontId="4" type="noConversion"/>
  </si>
  <si>
    <t>l3</t>
    <phoneticPr fontId="4" type="noConversion"/>
  </si>
  <si>
    <t>del_a</t>
    <phoneticPr fontId="4" type="noConversion"/>
  </si>
  <si>
    <t>avg. ep1,2</t>
    <phoneticPr fontId="4" type="noConversion"/>
  </si>
  <si>
    <t>del_c1</t>
    <phoneticPr fontId="4" type="noConversion"/>
  </si>
  <si>
    <t>del_f/s1</t>
    <phoneticPr fontId="4" type="noConversion"/>
  </si>
  <si>
    <t>tau2</t>
    <phoneticPr fontId="4" type="noConversion"/>
  </si>
  <si>
    <t>fs</t>
    <phoneticPr fontId="4" type="noConversion"/>
  </si>
  <si>
    <t>MC2010</t>
    <phoneticPr fontId="4" type="noConversion"/>
  </si>
  <si>
    <t>Proposed</t>
    <phoneticPr fontId="4" type="noConversion"/>
  </si>
  <si>
    <r>
      <t>below 0.</t>
    </r>
    <r>
      <rPr>
        <sz val="11"/>
        <color theme="1"/>
        <rFont val="맑은 고딕"/>
        <family val="3"/>
        <charset val="129"/>
        <scheme val="minor"/>
      </rPr>
      <t>6</t>
    </r>
    <phoneticPr fontId="4" type="noConversion"/>
  </si>
  <si>
    <r>
      <t>0.</t>
    </r>
    <r>
      <rPr>
        <sz val="11"/>
        <color theme="1"/>
        <rFont val="맑은 고딕"/>
        <family val="3"/>
        <charset val="129"/>
        <scheme val="minor"/>
      </rPr>
      <t>6</t>
    </r>
    <r>
      <rPr>
        <sz val="11"/>
        <color theme="1"/>
        <rFont val="맑은 고딕"/>
        <family val="3"/>
        <charset val="129"/>
        <scheme val="minor"/>
      </rPr>
      <t>-0.8</t>
    </r>
    <phoneticPr fontId="4" type="noConversion"/>
  </si>
  <si>
    <t>0.8-1.0</t>
    <phoneticPr fontId="4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</si>
  <si>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.0</t>
    </r>
    <r>
      <rPr>
        <sz val="11"/>
        <color theme="1"/>
        <rFont val="맑은 고딕"/>
        <family val="3"/>
        <charset val="129"/>
        <scheme val="minor"/>
      </rPr>
      <t>-1.</t>
    </r>
    <r>
      <rPr>
        <sz val="11"/>
        <color theme="1"/>
        <rFont val="맑은 고딕"/>
        <family val="3"/>
        <charset val="129"/>
        <scheme val="minor"/>
      </rPr>
      <t>2</t>
    </r>
    <phoneticPr fontId="4" type="noConversion"/>
  </si>
  <si>
    <r>
      <t>1.</t>
    </r>
    <r>
      <rPr>
        <sz val="11"/>
        <color theme="1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3"/>
        <charset val="129"/>
        <scheme val="minor"/>
      </rPr>
      <t>-1.</t>
    </r>
    <r>
      <rPr>
        <sz val="11"/>
        <color theme="1"/>
        <rFont val="맑은 고딕"/>
        <family val="3"/>
        <charset val="129"/>
        <scheme val="minor"/>
      </rPr>
      <t>4</t>
    </r>
    <phoneticPr fontId="4" type="noConversion"/>
  </si>
  <si>
    <r>
      <t>1.</t>
    </r>
    <r>
      <rPr>
        <sz val="11"/>
        <color theme="1"/>
        <rFont val="맑은 고딕"/>
        <family val="3"/>
        <charset val="129"/>
        <scheme val="minor"/>
      </rPr>
      <t>4</t>
    </r>
    <r>
      <rPr>
        <sz val="11"/>
        <color theme="1"/>
        <rFont val="맑은 고딕"/>
        <family val="3"/>
        <charset val="129"/>
        <scheme val="minor"/>
      </rPr>
      <t>-1</t>
    </r>
    <r>
      <rPr>
        <sz val="11"/>
        <color theme="1"/>
        <rFont val="맑은 고딕"/>
        <family val="3"/>
        <charset val="129"/>
        <scheme val="minor"/>
      </rPr>
      <t>.6</t>
    </r>
    <phoneticPr fontId="4" type="noConversion"/>
  </si>
  <si>
    <r>
      <t>1.</t>
    </r>
    <r>
      <rPr>
        <sz val="11"/>
        <color theme="1"/>
        <rFont val="맑은 고딕"/>
        <family val="3"/>
        <charset val="129"/>
        <scheme val="minor"/>
      </rPr>
      <t>6</t>
    </r>
    <r>
      <rPr>
        <sz val="11"/>
        <color theme="1"/>
        <rFont val="맑은 고딕"/>
        <family val="3"/>
        <charset val="129"/>
        <scheme val="minor"/>
      </rPr>
      <t>-1.</t>
    </r>
    <r>
      <rPr>
        <sz val="11"/>
        <color theme="1"/>
        <rFont val="맑은 고딕"/>
        <family val="3"/>
        <charset val="129"/>
        <scheme val="minor"/>
      </rPr>
      <t>8</t>
    </r>
    <phoneticPr fontId="4" type="noConversion"/>
  </si>
  <si>
    <r>
      <t>1.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1"/>
        <color theme="1"/>
        <rFont val="맑은 고딕"/>
        <family val="3"/>
        <charset val="129"/>
        <scheme val="minor"/>
      </rPr>
      <t>-</t>
    </r>
    <r>
      <rPr>
        <sz val="11"/>
        <color theme="1"/>
        <rFont val="맑은 고딕"/>
        <family val="3"/>
        <charset val="129"/>
        <scheme val="minor"/>
      </rPr>
      <t>2.0</t>
    </r>
    <phoneticPr fontId="4" type="noConversion"/>
  </si>
  <si>
    <r>
      <t xml:space="preserve">above </t>
    </r>
    <r>
      <rPr>
        <sz val="11"/>
        <color theme="1"/>
        <rFont val="맑은 고딕"/>
        <family val="3"/>
        <charset val="129"/>
        <scheme val="minor"/>
      </rPr>
      <t>2.0</t>
    </r>
    <phoneticPr fontId="4" type="noConversion"/>
  </si>
  <si>
    <t>Simplified</t>
    <phoneticPr fontId="4" type="noConversion"/>
  </si>
  <si>
    <t>db
mm
(bar)</t>
    <phoneticPr fontId="3" type="noConversion"/>
  </si>
  <si>
    <t>ch
in.
(clear spacing of headed bars)</t>
    <phoneticPr fontId="4" type="noConversion"/>
  </si>
  <si>
    <t>Thompson</t>
    <phoneticPr fontId="3" type="noConversion"/>
  </si>
  <si>
    <t>CCT</t>
    <phoneticPr fontId="4" type="noConversion"/>
  </si>
  <si>
    <t>Anh/Ab</t>
    <phoneticPr fontId="4" type="noConversion"/>
  </si>
  <si>
    <t>Ah/Ab</t>
    <phoneticPr fontId="4" type="noConversion"/>
  </si>
  <si>
    <t>Bottom cover, mm</t>
    <phoneticPr fontId="4" type="noConversion"/>
  </si>
  <si>
    <t>c/d_b</t>
    <phoneticPr fontId="4" type="noConversion"/>
  </si>
  <si>
    <t>c2/d_b</t>
    <phoneticPr fontId="4" type="noConversion"/>
  </si>
  <si>
    <t>phi</t>
    <phoneticPr fontId="4" type="noConversion"/>
  </si>
  <si>
    <t>fs,head</t>
    <phoneticPr fontId="4" type="noConversion"/>
  </si>
  <si>
    <t>xi</t>
    <phoneticPr fontId="4" type="noConversion"/>
  </si>
  <si>
    <t>fs,bond</t>
    <phoneticPr fontId="4" type="noConversion"/>
  </si>
  <si>
    <t>head eff.d</t>
    <phoneticPr fontId="4" type="noConversion"/>
  </si>
  <si>
    <t>76x38</t>
    <phoneticPr fontId="4" type="noConversion"/>
  </si>
  <si>
    <t>51x38</t>
    <phoneticPr fontId="4" type="noConversion"/>
  </si>
  <si>
    <t>dh=57</t>
    <phoneticPr fontId="4" type="noConversion"/>
  </si>
  <si>
    <t>38x38</t>
    <phoneticPr fontId="4" type="noConversion"/>
  </si>
  <si>
    <t>102x76</t>
    <phoneticPr fontId="4" type="noConversion"/>
  </si>
  <si>
    <t>76x102</t>
    <phoneticPr fontId="4" type="noConversion"/>
  </si>
  <si>
    <t>Confined</t>
    <phoneticPr fontId="4" type="noConversion"/>
  </si>
  <si>
    <t>st</t>
    <phoneticPr fontId="4" type="noConversion"/>
  </si>
  <si>
    <t>la
mm</t>
    <phoneticPr fontId="3" type="noConversion"/>
  </si>
  <si>
    <t>La/d_b</t>
    <phoneticPr fontId="4" type="noConversion"/>
  </si>
  <si>
    <t>Ld/d_b</t>
    <phoneticPr fontId="4" type="noConversion"/>
  </si>
  <si>
    <t>dh=38</t>
    <phoneticPr fontId="4" type="noConversion"/>
  </si>
  <si>
    <t>Fsu at La, test
Mpa</t>
    <phoneticPr fontId="4" type="noConversion"/>
  </si>
  <si>
    <t>dh=38c</t>
    <phoneticPr fontId="4" type="noConversion"/>
  </si>
  <si>
    <t>38x76c</t>
    <phoneticPr fontId="4" type="noConversion"/>
  </si>
  <si>
    <t>Wright</t>
    <phoneticPr fontId="4" type="noConversion"/>
  </si>
  <si>
    <t>Stub-beam</t>
    <phoneticPr fontId="4" type="noConversion"/>
  </si>
  <si>
    <t>2-TH06-NP-3S1-208-13</t>
  </si>
  <si>
    <t>2-TH04-NP-3S1-208-19</t>
    <phoneticPr fontId="4" type="noConversion"/>
  </si>
  <si>
    <t>2-TH07-NP-NS-208-16</t>
  </si>
  <si>
    <t>2-TH08-NP-NS-20B-16</t>
  </si>
  <si>
    <t>2-TH09-NP-NS-20B-16</t>
  </si>
  <si>
    <t>3-TH04-NP-4S1 -308-19</t>
  </si>
  <si>
    <t>3-TH05-NP-4S 1-308-19</t>
  </si>
  <si>
    <t>3-TH06-NP-4S1 -308-19</t>
  </si>
  <si>
    <t>3-TH 1O-NP-4S1-208-19</t>
  </si>
  <si>
    <t>3-THl 1-NP-451-208-19</t>
  </si>
  <si>
    <t>3-TH 12-NP-4S 1-208-19</t>
  </si>
  <si>
    <t>- 4-THO 1-P-NS-308-292</t>
  </si>
  <si>
    <t>* * 4-TH02-P-NS-308-292</t>
  </si>
  <si>
    <t>-4-TH3-P-NS-308-292</t>
    <phoneticPr fontId="4" type="noConversion"/>
  </si>
  <si>
    <t>-4-TH07-NP-3S1 -309-19</t>
  </si>
  <si>
    <t>4-TH08-NP-3S 1-309-19</t>
  </si>
  <si>
    <t>4-TH09-NP-3S 1-309-1 9</t>
  </si>
  <si>
    <t>4-TH1 O-NP-4S2-308-19</t>
  </si>
  <si>
    <t>4-TH11-NP-4S2-308-19</t>
  </si>
  <si>
    <t>4-TH12-NP-4S2-308-19</t>
  </si>
  <si>
    <t>4-TH13-NP-4S2-208-19</t>
  </si>
  <si>
    <t>4-TH14-NP-4S2-208-19</t>
  </si>
  <si>
    <t>4-TH15-NP-452-208-19</t>
  </si>
  <si>
    <t>- 4-TH 16-NP-551-308-19</t>
  </si>
  <si>
    <t>* *4-TH18-NP-5S1-308-19</t>
  </si>
  <si>
    <t>4-TH20-NP-5S1-208-19</t>
  </si>
  <si>
    <t>~ 4-TH21-NP-5S1-208-19</t>
  </si>
  <si>
    <t>-4-TH17-NP-551-308-19</t>
    <phoneticPr fontId="4" type="noConversion"/>
  </si>
  <si>
    <t>-4-TH19-NP-551-208-19</t>
    <phoneticPr fontId="4" type="noConversion"/>
  </si>
  <si>
    <t>#18-M-0.9L-(1)</t>
  </si>
  <si>
    <t>#18-M-0.7L-(1)</t>
  </si>
  <si>
    <t>#18-M-0.7L-2R-(1)</t>
  </si>
  <si>
    <t>#18-M-0.5L-(1)</t>
  </si>
  <si>
    <t>#11-M-0.9L-(1)</t>
  </si>
  <si>
    <t>#11-M-0.7L-(1)</t>
  </si>
  <si>
    <t>#11-M-0.7L-2R-(1)</t>
  </si>
  <si>
    <t>#11-M-0.5L-(1)</t>
  </si>
  <si>
    <t>#8-M-0.9L-(1)</t>
  </si>
  <si>
    <t>#8-M-0.7L-(1)</t>
  </si>
  <si>
    <t>#8-M-0.7L-2R-(1)</t>
  </si>
  <si>
    <t>#8-M-0.5L-(1)</t>
  </si>
  <si>
    <t>Nb</t>
    <phoneticPr fontId="4" type="noConversion"/>
  </si>
  <si>
    <t>hef</t>
    <phoneticPr fontId="4" type="noConversion"/>
  </si>
  <si>
    <t>Area ratio</t>
    <phoneticPr fontId="4" type="noConversion"/>
  </si>
  <si>
    <t>HD-10db-2C.1</t>
    <phoneticPr fontId="4" type="noConversion"/>
  </si>
  <si>
    <t>Chun</t>
    <phoneticPr fontId="4" type="noConversion"/>
  </si>
  <si>
    <t>D29-S2-F42-L15</t>
  </si>
  <si>
    <t>D29-S2-F42-L20</t>
  </si>
  <si>
    <t>D29-S2-F42-L25</t>
  </si>
  <si>
    <t>D29-S4-F42-L15</t>
  </si>
  <si>
    <t>D29-S4-F42-L20</t>
  </si>
  <si>
    <t>D25-S2-F42-L20</t>
  </si>
  <si>
    <t>D25-S2-F42-L25</t>
  </si>
  <si>
    <t>D29-S2-F21-L20</t>
  </si>
  <si>
    <t>D29-S2-F21-L25</t>
  </si>
  <si>
    <t>D29-S2-F42-L15-Con.</t>
  </si>
  <si>
    <t>D29-S2-F42-L20-Con.</t>
  </si>
  <si>
    <t>D29-S2-F42-L30</t>
  </si>
  <si>
    <t>D29-S2-C3.5-F42-L15</t>
  </si>
  <si>
    <t>D29-S2-C3.5-F42-L20</t>
  </si>
  <si>
    <t>D29-S2-C3.5-F42-L25</t>
  </si>
  <si>
    <t>D29-S2-F70-L15</t>
  </si>
  <si>
    <t>D29-S2-F70-L20</t>
  </si>
  <si>
    <t>D29-S2-F70-L25</t>
  </si>
  <si>
    <t>D29-S2-F42-L20-LCon.</t>
  </si>
  <si>
    <t>D29-S2-F42-L25-Lcon.</t>
  </si>
  <si>
    <t>D29-S2-F42-L15-Con.2</t>
  </si>
  <si>
    <t>D29-S2-F42-L20-Con.2</t>
  </si>
  <si>
    <t>D29-S2-F70-L15-Con.</t>
  </si>
  <si>
    <t>D29-S2-F70-L20-Con.</t>
  </si>
  <si>
    <t>D22-L4-C1-1</t>
  </si>
  <si>
    <t>D32-L4-C1-2</t>
    <phoneticPr fontId="4" type="noConversion"/>
  </si>
  <si>
    <t>D43-L7-C1-S42</t>
  </si>
  <si>
    <t>D43-L7-C1-S42-HP0.5</t>
  </si>
  <si>
    <t>D43-L7-C1-S70</t>
  </si>
  <si>
    <t>D43-L10-C1-S42</t>
  </si>
  <si>
    <t>D43-L10-C1-S70</t>
  </si>
  <si>
    <t>D43-L13-C1-S42</t>
  </si>
  <si>
    <t>D43-L13-C2-S42</t>
  </si>
  <si>
    <t>D43-L13-C1-S42-T1.5</t>
  </si>
  <si>
    <t>D43-L13-C2-S42-T1.5</t>
  </si>
  <si>
    <t>D43-L16-C1-S42</t>
  </si>
  <si>
    <t>D43-L16-C2-S42</t>
  </si>
  <si>
    <t>D43-L16-C1-S42-T1.5</t>
  </si>
  <si>
    <t>D43-L16-C2-S42-T1.5</t>
  </si>
  <si>
    <t>D57-L7-C1-S42</t>
  </si>
  <si>
    <t>D57-L7-C1-S42-HP0.5</t>
  </si>
  <si>
    <t>D57-L7-C1-S70</t>
  </si>
  <si>
    <t>D57-L10-C1-S42</t>
  </si>
  <si>
    <t>D57-L10-C1-S42-HP0.5</t>
  </si>
  <si>
    <t>D57-L10-C1-S70</t>
  </si>
  <si>
    <t>D57-L13-C1-S42</t>
  </si>
  <si>
    <t>D57-L13-C1-S42-HP0.5</t>
  </si>
  <si>
    <t>D57-L13-C1-S42-HP1.0a</t>
  </si>
  <si>
    <t>D57-L13-C1-S42-HP1.0b</t>
  </si>
  <si>
    <t>D57-L13-C2-S42</t>
  </si>
  <si>
    <t>D57-L16-C1-S42</t>
  </si>
  <si>
    <t>D57-L16-C2-S42</t>
  </si>
  <si>
    <t>D43-L10-C1-S42- HP0.5</t>
  </si>
  <si>
    <t>Bashandy</t>
    <phoneticPr fontId="4" type="noConversion"/>
  </si>
  <si>
    <t>shear failure</t>
    <phoneticPr fontId="4" type="noConversion"/>
  </si>
  <si>
    <t>fs,head
Modified</t>
    <phoneticPr fontId="4" type="noConversion"/>
  </si>
  <si>
    <t>fs,head
flexural</t>
    <phoneticPr fontId="4" type="noConversion"/>
  </si>
  <si>
    <t>head thickness</t>
    <phoneticPr fontId="4" type="noConversion"/>
  </si>
  <si>
    <t>head fy</t>
    <phoneticPr fontId="4" type="noConversion"/>
  </si>
  <si>
    <t>l3 by la/ld</t>
    <phoneticPr fontId="4" type="noConversion"/>
  </si>
  <si>
    <t>l2 by la/ld</t>
    <phoneticPr fontId="4" type="noConversion"/>
  </si>
  <si>
    <t>cs</t>
    <phoneticPr fontId="4" type="noConversion"/>
  </si>
  <si>
    <t>cmin</t>
    <phoneticPr fontId="4" type="noConversion"/>
  </si>
  <si>
    <t>cmax</t>
    <phoneticPr fontId="4" type="noConversion"/>
  </si>
  <si>
    <t>c</t>
    <phoneticPr fontId="4" type="noConversion"/>
  </si>
  <si>
    <t>w</t>
    <phoneticPr fontId="4" type="noConversion"/>
  </si>
  <si>
    <t>(cw+K)db</t>
    <phoneticPr fontId="4" type="noConversion"/>
  </si>
  <si>
    <t>Joint tau</t>
    <phoneticPr fontId="4" type="noConversion"/>
  </si>
  <si>
    <t>ACI 408 tau</t>
    <phoneticPr fontId="4" type="noConversion"/>
  </si>
  <si>
    <t>Total</t>
    <phoneticPr fontId="4" type="noConversion"/>
  </si>
  <si>
    <t>Splice</t>
    <phoneticPr fontId="4" type="noConversion"/>
  </si>
  <si>
    <t>Joint</t>
    <phoneticPr fontId="4" type="noConversion"/>
  </si>
  <si>
    <t>ACI 
보강</t>
    <phoneticPr fontId="4" type="noConversion"/>
  </si>
  <si>
    <t>Thompson 
보강</t>
    <phoneticPr fontId="4" type="noConversion"/>
  </si>
  <si>
    <t>Pro
보강</t>
    <phoneticPr fontId="4" type="noConversion"/>
  </si>
  <si>
    <t>Simple
보강</t>
    <phoneticPr fontId="4" type="noConversion"/>
  </si>
  <si>
    <t>cmin</t>
    <phoneticPr fontId="6" type="noConversion"/>
  </si>
  <si>
    <t>cmax</t>
    <phoneticPr fontId="6" type="noConversion"/>
  </si>
  <si>
    <t>a2</t>
    <phoneticPr fontId="6" type="noConversion"/>
  </si>
  <si>
    <t>kd</t>
    <phoneticPr fontId="6" type="noConversion"/>
  </si>
  <si>
    <t>Ktr</t>
    <phoneticPr fontId="6" type="noConversion"/>
  </si>
  <si>
    <t>a3</t>
    <phoneticPr fontId="6" type="noConversion"/>
  </si>
  <si>
    <t>ita3</t>
    <phoneticPr fontId="6" type="noConversion"/>
  </si>
  <si>
    <t>ita4</t>
    <phoneticPr fontId="6" type="noConversion"/>
  </si>
  <si>
    <t>fbd0</t>
    <phoneticPr fontId="6" type="noConversion"/>
  </si>
  <si>
    <t>Thompson</t>
    <phoneticPr fontId="4" type="noConversion"/>
  </si>
  <si>
    <t>ACI 408</t>
    <phoneticPr fontId="4" type="noConversion"/>
  </si>
  <si>
    <t>EC2</t>
    <phoneticPr fontId="4" type="noConversion"/>
  </si>
  <si>
    <t>cov</t>
    <phoneticPr fontId="4" type="noConversion"/>
  </si>
  <si>
    <t>CCT</t>
    <phoneticPr fontId="4" type="noConversion"/>
  </si>
  <si>
    <t>paper equation</t>
    <phoneticPr fontId="4" type="noConversion"/>
  </si>
  <si>
    <t>Ld</t>
    <phoneticPr fontId="4" type="noConversion"/>
  </si>
  <si>
    <t>fcm
Mpa</t>
    <phoneticPr fontId="3" type="noConversion"/>
  </si>
  <si>
    <t>b
mm</t>
    <phoneticPr fontId="4" type="noConversion"/>
  </si>
  <si>
    <t>cso,avg
mm</t>
    <phoneticPr fontId="4" type="noConversion"/>
  </si>
  <si>
    <t>cth
in.
(clear cover from tail of hook to col. back face)</t>
    <phoneticPr fontId="4" type="noConversion"/>
  </si>
  <si>
    <t>Nh
(num. of hooked bars)</t>
    <phoneticPr fontId="4" type="noConversion"/>
  </si>
  <si>
    <t>fyt
MPa</t>
    <phoneticPr fontId="4" type="noConversion"/>
  </si>
  <si>
    <t>dtr
in.
(trans. Rebar dia. Inside hook)</t>
    <phoneticPr fontId="4" type="noConversion"/>
  </si>
  <si>
    <t>Ntr
(num. of stirrups)</t>
    <phoneticPr fontId="4" type="noConversion"/>
  </si>
  <si>
    <t>ACI pullout</t>
    <phoneticPr fontId="4" type="noConversion"/>
  </si>
  <si>
    <t>cd</t>
    <phoneticPr fontId="4" type="noConversion"/>
  </si>
  <si>
    <t>a3</t>
    <phoneticPr fontId="4" type="noConversion"/>
  </si>
  <si>
    <t>fbd</t>
    <phoneticPr fontId="6" type="noConversion"/>
  </si>
  <si>
    <t>a1</t>
    <phoneticPr fontId="4" type="noConversion"/>
  </si>
  <si>
    <t>fs,MC2010</t>
    <phoneticPr fontId="6" type="noConversion"/>
  </si>
  <si>
    <t>test/ACI</t>
    <phoneticPr fontId="4" type="noConversion"/>
  </si>
  <si>
    <t>test/Thompson</t>
    <phoneticPr fontId="4" type="noConversion"/>
  </si>
  <si>
    <t>test/MC2010</t>
    <phoneticPr fontId="4" type="noConversion"/>
  </si>
  <si>
    <t>test/proposed</t>
    <phoneticPr fontId="4" type="noConversion"/>
  </si>
  <si>
    <t>Simplified</t>
    <phoneticPr fontId="4" type="noConversion"/>
  </si>
  <si>
    <t>ACI 
무보강</t>
    <phoneticPr fontId="4" type="noConversion"/>
  </si>
  <si>
    <t>Thompson 
무보강</t>
    <phoneticPr fontId="4" type="noConversion"/>
  </si>
  <si>
    <t>MC 
무보강</t>
    <phoneticPr fontId="4" type="noConversion"/>
  </si>
  <si>
    <t>Pro
무보강</t>
    <phoneticPr fontId="4" type="noConversion"/>
  </si>
  <si>
    <t>Simple
무보강</t>
    <phoneticPr fontId="4" type="noConversion"/>
  </si>
  <si>
    <t>total
length
mm</t>
    <phoneticPr fontId="4" type="noConversion"/>
  </si>
  <si>
    <t>normal length</t>
    <phoneticPr fontId="4" type="noConversion"/>
  </si>
  <si>
    <t>C1</t>
    <phoneticPr fontId="4" type="noConversion"/>
  </si>
  <si>
    <t>existing
modi.tau_u</t>
    <phoneticPr fontId="6" type="noConversion"/>
  </si>
  <si>
    <t>del_f/s1</t>
    <phoneticPr fontId="4" type="noConversion"/>
  </si>
  <si>
    <t>avg.tau1</t>
    <phoneticPr fontId="6" type="noConversion"/>
  </si>
  <si>
    <t>tau3</t>
    <phoneticPr fontId="4" type="noConversion"/>
  </si>
  <si>
    <t>무보강</t>
    <phoneticPr fontId="4" type="noConversion"/>
  </si>
  <si>
    <t>a2</t>
    <phoneticPr fontId="4" type="noConversion"/>
  </si>
  <si>
    <t>a3</t>
    <phoneticPr fontId="4" type="noConversion"/>
  </si>
  <si>
    <t>보강</t>
    <phoneticPr fontId="4" type="noConversion"/>
  </si>
  <si>
    <t>alpha</t>
    <phoneticPr fontId="4" type="noConversion"/>
  </si>
  <si>
    <t>l1</t>
    <phoneticPr fontId="4" type="noConversion"/>
  </si>
  <si>
    <t>del_a</t>
    <phoneticPr fontId="4" type="noConversion"/>
  </si>
  <si>
    <t>avg. ep1,2</t>
    <phoneticPr fontId="4" type="noConversion"/>
  </si>
  <si>
    <t>del_c1</t>
    <phoneticPr fontId="4" type="noConversion"/>
  </si>
  <si>
    <t>del_f</t>
    <phoneticPr fontId="4" type="noConversion"/>
  </si>
  <si>
    <t>tau1</t>
    <phoneticPr fontId="4" type="noConversion"/>
  </si>
  <si>
    <t>tau2</t>
    <phoneticPr fontId="4" type="noConversion"/>
  </si>
  <si>
    <t>l2</t>
    <phoneticPr fontId="4" type="noConversion"/>
  </si>
  <si>
    <t>l3</t>
    <phoneticPr fontId="4" type="noConversion"/>
  </si>
  <si>
    <t>fs</t>
    <phoneticPr fontId="4" type="noConversion"/>
  </si>
  <si>
    <t>l2 by la/ld</t>
    <phoneticPr fontId="4" type="noConversion"/>
  </si>
  <si>
    <t>l3 by la/ld</t>
    <phoneticPr fontId="4" type="noConversion"/>
  </si>
  <si>
    <t>ACI</t>
    <phoneticPr fontId="4" type="noConversion"/>
  </si>
  <si>
    <t>MC2010</t>
    <phoneticPr fontId="4" type="noConversion"/>
  </si>
  <si>
    <t>Proposed</t>
    <phoneticPr fontId="4" type="noConversion"/>
  </si>
  <si>
    <t>Thompson</t>
    <phoneticPr fontId="3" type="noConversion"/>
  </si>
  <si>
    <t>dh=38</t>
    <phoneticPr fontId="4" type="noConversion"/>
  </si>
  <si>
    <t>38x38</t>
    <phoneticPr fontId="4" type="noConversion"/>
  </si>
  <si>
    <t>CCT</t>
    <phoneticPr fontId="4" type="noConversion"/>
  </si>
  <si>
    <t>51x38</t>
    <phoneticPr fontId="4" type="noConversion"/>
  </si>
  <si>
    <t>38x51</t>
    <phoneticPr fontId="4" type="noConversion"/>
  </si>
  <si>
    <t>dh=57</t>
    <phoneticPr fontId="4" type="noConversion"/>
  </si>
  <si>
    <t>51x51</t>
    <phoneticPr fontId="4" type="noConversion"/>
  </si>
  <si>
    <t>76x38</t>
    <phoneticPr fontId="4" type="noConversion"/>
  </si>
  <si>
    <t>38x76</t>
    <phoneticPr fontId="4" type="noConversion"/>
  </si>
  <si>
    <t>76x76</t>
    <phoneticPr fontId="4" type="noConversion"/>
  </si>
  <si>
    <t>dh=52</t>
    <phoneticPr fontId="4" type="noConversion"/>
  </si>
  <si>
    <t>76x51</t>
    <phoneticPr fontId="4" type="noConversion"/>
  </si>
  <si>
    <t>51x76</t>
    <phoneticPr fontId="4" type="noConversion"/>
  </si>
  <si>
    <t>dh=76</t>
    <phoneticPr fontId="4" type="noConversion"/>
  </si>
  <si>
    <t>102x51</t>
    <phoneticPr fontId="4" type="noConversion"/>
  </si>
  <si>
    <t>51x102</t>
    <phoneticPr fontId="4" type="noConversion"/>
  </si>
  <si>
    <t>102x76</t>
    <phoneticPr fontId="4" type="noConversion"/>
  </si>
  <si>
    <t>76x102</t>
    <phoneticPr fontId="4" type="noConversion"/>
  </si>
  <si>
    <t>102x102</t>
    <phoneticPr fontId="4" type="noConversion"/>
  </si>
  <si>
    <t>Confined</t>
    <phoneticPr fontId="4" type="noConversion"/>
  </si>
  <si>
    <t>Lap splice</t>
    <phoneticPr fontId="4" type="noConversion"/>
  </si>
  <si>
    <t>dh=38c</t>
    <phoneticPr fontId="4" type="noConversion"/>
  </si>
  <si>
    <t>38x76c</t>
    <phoneticPr fontId="4" type="noConversion"/>
  </si>
  <si>
    <t>debonding</t>
    <phoneticPr fontId="4" type="noConversion"/>
  </si>
  <si>
    <t>Chun</t>
    <phoneticPr fontId="4" type="noConversion"/>
  </si>
  <si>
    <t>Wright</t>
    <phoneticPr fontId="4" type="noConversion"/>
  </si>
  <si>
    <t>1-TH01-P-NS-2DB-292</t>
    <phoneticPr fontId="4" type="noConversion"/>
  </si>
  <si>
    <t>1-TH02-P-NS-2DB-292</t>
    <phoneticPr fontId="4" type="noConversion"/>
  </si>
  <si>
    <t>1-TH03-P-NS-2DB-292</t>
    <phoneticPr fontId="4" type="noConversion"/>
  </si>
  <si>
    <t>2-TH04-NP-3S1-208-19</t>
    <phoneticPr fontId="4" type="noConversion"/>
  </si>
  <si>
    <t>2-TH05-NP-3S1-208-19</t>
    <phoneticPr fontId="4" type="noConversion"/>
  </si>
  <si>
    <t>-4-TH3-P-NS-308-292</t>
    <phoneticPr fontId="4" type="noConversion"/>
  </si>
  <si>
    <t>-4-TH17-NP-551-308-19</t>
    <phoneticPr fontId="4" type="noConversion"/>
  </si>
  <si>
    <t>-4-TH19-NP-551-208-19</t>
    <phoneticPr fontId="4" type="noConversion"/>
  </si>
  <si>
    <t>Hong 2007</t>
    <phoneticPr fontId="4" type="noConversion"/>
  </si>
  <si>
    <t>shear failure</t>
    <phoneticPr fontId="4" type="noConversion"/>
  </si>
  <si>
    <t>Joint type</t>
    <phoneticPr fontId="4" type="noConversion"/>
  </si>
  <si>
    <t>Chun 2016</t>
    <phoneticPr fontId="4" type="noConversion"/>
  </si>
  <si>
    <t>D22-L4-C1-2</t>
    <phoneticPr fontId="4" type="noConversion"/>
  </si>
  <si>
    <t>D32-L4-C1-1</t>
    <phoneticPr fontId="4" type="noConversion"/>
  </si>
  <si>
    <t>D32-L4-C1-2</t>
    <phoneticPr fontId="4" type="noConversion"/>
  </si>
  <si>
    <t>D22-L4-C1.5-1</t>
    <phoneticPr fontId="4" type="noConversion"/>
  </si>
  <si>
    <t>D22-L4-C1.5-2</t>
    <phoneticPr fontId="4" type="noConversion"/>
  </si>
  <si>
    <t>D22-L4-C1-Tr-1</t>
    <phoneticPr fontId="4" type="noConversion"/>
  </si>
  <si>
    <t>D22-L4-C1-Tr-2</t>
    <phoneticPr fontId="4" type="noConversion"/>
  </si>
  <si>
    <t>D22-L6-C1-1</t>
    <phoneticPr fontId="4" type="noConversion"/>
  </si>
  <si>
    <t>D22-L6-C1-2</t>
    <phoneticPr fontId="4" type="noConversion"/>
  </si>
  <si>
    <t>D32-L4-C1.5-1</t>
    <phoneticPr fontId="4" type="noConversion"/>
  </si>
  <si>
    <t>D32-L4-C1.5-2</t>
    <phoneticPr fontId="4" type="noConversion"/>
  </si>
  <si>
    <t>D32-L4-C1-Tr-1</t>
    <phoneticPr fontId="4" type="noConversion"/>
  </si>
  <si>
    <t>D32-L4-C1-Tr-2</t>
    <phoneticPr fontId="4" type="noConversion"/>
  </si>
  <si>
    <t>D32-L6-C1-1</t>
    <phoneticPr fontId="4" type="noConversion"/>
  </si>
  <si>
    <t>D32-L6-C1-2</t>
    <phoneticPr fontId="4" type="noConversion"/>
  </si>
  <si>
    <t>Chun 2017</t>
    <phoneticPr fontId="4" type="noConversion"/>
  </si>
  <si>
    <t>Bashandy</t>
    <phoneticPr fontId="4" type="noConversion"/>
  </si>
  <si>
    <t>T1</t>
    <phoneticPr fontId="4" type="noConversion"/>
  </si>
  <si>
    <r>
      <t>T2</t>
    </r>
    <r>
      <rPr>
        <sz val="11"/>
        <color theme="1"/>
        <rFont val="맑은 고딕"/>
        <family val="2"/>
        <charset val="129"/>
        <scheme val="minor"/>
      </rPr>
      <t/>
    </r>
  </si>
  <si>
    <r>
      <t>T3</t>
    </r>
    <r>
      <rPr>
        <sz val="11"/>
        <color theme="1"/>
        <rFont val="맑은 고딕"/>
        <family val="2"/>
        <charset val="129"/>
        <scheme val="minor"/>
      </rPr>
      <t/>
    </r>
  </si>
  <si>
    <r>
      <t>T4</t>
    </r>
    <r>
      <rPr>
        <sz val="11"/>
        <color theme="1"/>
        <rFont val="맑은 고딕"/>
        <family val="2"/>
        <charset val="129"/>
        <scheme val="minor"/>
      </rPr>
      <t/>
    </r>
  </si>
  <si>
    <r>
      <t>T5</t>
    </r>
    <r>
      <rPr>
        <sz val="11"/>
        <color theme="1"/>
        <rFont val="맑은 고딕"/>
        <family val="2"/>
        <charset val="129"/>
        <scheme val="minor"/>
      </rPr>
      <t/>
    </r>
  </si>
  <si>
    <r>
      <t>T6</t>
    </r>
    <r>
      <rPr>
        <sz val="11"/>
        <color theme="1"/>
        <rFont val="맑은 고딕"/>
        <family val="2"/>
        <charset val="129"/>
        <scheme val="minor"/>
      </rPr>
      <t/>
    </r>
  </si>
  <si>
    <r>
      <t>T7</t>
    </r>
    <r>
      <rPr>
        <sz val="11"/>
        <color theme="1"/>
        <rFont val="맑은 고딕"/>
        <family val="2"/>
        <charset val="129"/>
        <scheme val="minor"/>
      </rPr>
      <t/>
    </r>
  </si>
  <si>
    <r>
      <t>T8</t>
    </r>
    <r>
      <rPr>
        <sz val="11"/>
        <color theme="1"/>
        <rFont val="맑은 고딕"/>
        <family val="2"/>
        <charset val="129"/>
        <scheme val="minor"/>
      </rPr>
      <t/>
    </r>
  </si>
  <si>
    <r>
      <t>T9</t>
    </r>
    <r>
      <rPr>
        <sz val="11"/>
        <color theme="1"/>
        <rFont val="맑은 고딕"/>
        <family val="2"/>
        <charset val="129"/>
        <scheme val="minor"/>
      </rPr>
      <t/>
    </r>
  </si>
  <si>
    <r>
      <t>T10</t>
    </r>
    <r>
      <rPr>
        <sz val="11"/>
        <color theme="1"/>
        <rFont val="맑은 고딕"/>
        <family val="2"/>
        <charset val="129"/>
        <scheme val="minor"/>
      </rPr>
      <t/>
    </r>
  </si>
  <si>
    <r>
      <t>T11</t>
    </r>
    <r>
      <rPr>
        <sz val="11"/>
        <color theme="1"/>
        <rFont val="맑은 고딕"/>
        <family val="2"/>
        <charset val="129"/>
        <scheme val="minor"/>
      </rPr>
      <t/>
    </r>
  </si>
  <si>
    <r>
      <t>T12</t>
    </r>
    <r>
      <rPr>
        <sz val="11"/>
        <color theme="1"/>
        <rFont val="맑은 고딕"/>
        <family val="2"/>
        <charset val="129"/>
        <scheme val="minor"/>
      </rPr>
      <t/>
    </r>
  </si>
  <si>
    <r>
      <t>T13</t>
    </r>
    <r>
      <rPr>
        <sz val="11"/>
        <color theme="1"/>
        <rFont val="맑은 고딕"/>
        <family val="2"/>
        <charset val="129"/>
        <scheme val="minor"/>
      </rPr>
      <t/>
    </r>
  </si>
  <si>
    <r>
      <t>T14</t>
    </r>
    <r>
      <rPr>
        <sz val="11"/>
        <color theme="1"/>
        <rFont val="맑은 고딕"/>
        <family val="2"/>
        <charset val="129"/>
        <scheme val="minor"/>
      </rPr>
      <t/>
    </r>
  </si>
  <si>
    <r>
      <t>T15</t>
    </r>
    <r>
      <rPr>
        <sz val="11"/>
        <color theme="1"/>
        <rFont val="맑은 고딕"/>
        <family val="2"/>
        <charset val="129"/>
        <scheme val="minor"/>
      </rPr>
      <t/>
    </r>
  </si>
  <si>
    <r>
      <t>T16</t>
    </r>
    <r>
      <rPr>
        <sz val="11"/>
        <color theme="1"/>
        <rFont val="맑은 고딕"/>
        <family val="2"/>
        <charset val="129"/>
        <scheme val="minor"/>
      </rPr>
      <t/>
    </r>
  </si>
  <si>
    <r>
      <t>T17</t>
    </r>
    <r>
      <rPr>
        <sz val="11"/>
        <color theme="1"/>
        <rFont val="맑은 고딕"/>
        <family val="2"/>
        <charset val="129"/>
        <scheme val="minor"/>
      </rPr>
      <t/>
    </r>
  </si>
  <si>
    <r>
      <t>T18</t>
    </r>
    <r>
      <rPr>
        <sz val="11"/>
        <color theme="1"/>
        <rFont val="맑은 고딕"/>
        <family val="2"/>
        <charset val="129"/>
        <scheme val="minor"/>
      </rPr>
      <t/>
    </r>
  </si>
  <si>
    <r>
      <t>T19</t>
    </r>
    <r>
      <rPr>
        <sz val="11"/>
        <color theme="1"/>
        <rFont val="맑은 고딕"/>
        <family val="2"/>
        <charset val="129"/>
        <scheme val="minor"/>
      </rPr>
      <t/>
    </r>
  </si>
  <si>
    <r>
      <t>T20</t>
    </r>
    <r>
      <rPr>
        <sz val="11"/>
        <color theme="1"/>
        <rFont val="맑은 고딕"/>
        <family val="2"/>
        <charset val="129"/>
        <scheme val="minor"/>
      </rPr>
      <t/>
    </r>
  </si>
  <si>
    <r>
      <t>T21</t>
    </r>
    <r>
      <rPr>
        <sz val="11"/>
        <color theme="1"/>
        <rFont val="맑은 고딕"/>
        <family val="2"/>
        <charset val="129"/>
        <scheme val="minor"/>
      </rPr>
      <t/>
    </r>
  </si>
  <si>
    <r>
      <t>T22</t>
    </r>
    <r>
      <rPr>
        <sz val="11"/>
        <color theme="1"/>
        <rFont val="맑은 고딕"/>
        <family val="2"/>
        <charset val="129"/>
        <scheme val="minor"/>
      </rPr>
      <t/>
    </r>
  </si>
  <si>
    <r>
      <t>T23</t>
    </r>
    <r>
      <rPr>
        <sz val="11"/>
        <color theme="1"/>
        <rFont val="맑은 고딕"/>
        <family val="2"/>
        <charset val="129"/>
        <scheme val="minor"/>
      </rPr>
      <t/>
    </r>
  </si>
  <si>
    <r>
      <t>T24</t>
    </r>
    <r>
      <rPr>
        <sz val="11"/>
        <color theme="1"/>
        <rFont val="맑은 고딕"/>
        <family val="2"/>
        <charset val="129"/>
        <scheme val="minor"/>
      </rPr>
      <t/>
    </r>
  </si>
  <si>
    <r>
      <t>T25</t>
    </r>
    <r>
      <rPr>
        <sz val="11"/>
        <color theme="1"/>
        <rFont val="맑은 고딕"/>
        <family val="2"/>
        <charset val="129"/>
        <scheme val="minor"/>
      </rPr>
      <t/>
    </r>
  </si>
  <si>
    <r>
      <t>T26</t>
    </r>
    <r>
      <rPr>
        <sz val="11"/>
        <color theme="1"/>
        <rFont val="맑은 고딕"/>
        <family val="2"/>
        <charset val="129"/>
        <scheme val="minor"/>
      </rPr>
      <t/>
    </r>
  </si>
  <si>
    <r>
      <t>T27</t>
    </r>
    <r>
      <rPr>
        <sz val="11"/>
        <color theme="1"/>
        <rFont val="맑은 고딕"/>
        <family val="2"/>
        <charset val="129"/>
        <scheme val="minor"/>
      </rPr>
      <t/>
    </r>
  </si>
  <si>
    <r>
      <t>T28</t>
    </r>
    <r>
      <rPr>
        <sz val="11"/>
        <color theme="1"/>
        <rFont val="맑은 고딕"/>
        <family val="2"/>
        <charset val="129"/>
        <scheme val="minor"/>
      </rPr>
      <t/>
    </r>
  </si>
  <si>
    <r>
      <t>T29</t>
    </r>
    <r>
      <rPr>
        <sz val="11"/>
        <color theme="1"/>
        <rFont val="맑은 고딕"/>
        <family val="2"/>
        <charset val="129"/>
        <scheme val="minor"/>
      </rPr>
      <t/>
    </r>
  </si>
  <si>
    <r>
      <t>T30</t>
    </r>
    <r>
      <rPr>
        <sz val="11"/>
        <color theme="1"/>
        <rFont val="맑은 고딕"/>
        <family val="2"/>
        <charset val="129"/>
        <scheme val="minor"/>
      </rPr>
      <t/>
    </r>
  </si>
  <si>
    <r>
      <t>T31</t>
    </r>
    <r>
      <rPr>
        <sz val="11"/>
        <color theme="1"/>
        <rFont val="맑은 고딕"/>
        <family val="2"/>
        <charset val="129"/>
        <scheme val="minor"/>
      </rPr>
      <t/>
    </r>
  </si>
  <si>
    <r>
      <t>T32</t>
    </r>
    <r>
      <rPr>
        <sz val="11"/>
        <color theme="1"/>
        <rFont val="맑은 고딕"/>
        <family val="2"/>
        <charset val="129"/>
        <scheme val="minor"/>
      </rPr>
      <t/>
    </r>
  </si>
  <si>
    <t>Choi 2002</t>
    <phoneticPr fontId="4" type="noConversion"/>
  </si>
  <si>
    <t>HD-10db-2A.1</t>
    <phoneticPr fontId="4" type="noConversion"/>
  </si>
  <si>
    <t>HD-10db-2A.2</t>
    <phoneticPr fontId="4" type="noConversion"/>
  </si>
  <si>
    <t>HD-10db-2C.1</t>
    <phoneticPr fontId="4" type="noConversion"/>
  </si>
  <si>
    <t>HD-10db-2C.2</t>
    <phoneticPr fontId="4" type="noConversion"/>
  </si>
  <si>
    <t>Pullout</t>
    <phoneticPr fontId="4" type="noConversion"/>
  </si>
  <si>
    <t>MC 
보강</t>
    <phoneticPr fontId="4" type="noConversion"/>
  </si>
  <si>
    <t>차이값 보정</t>
    <phoneticPr fontId="4" type="noConversion"/>
  </si>
  <si>
    <t>head bearing</t>
    <phoneticPr fontId="4" type="noConversion"/>
  </si>
  <si>
    <t>dh/d_b</t>
    <phoneticPr fontId="4" type="noConversion"/>
  </si>
  <si>
    <t>Thompson</t>
    <phoneticPr fontId="4" type="noConversion"/>
  </si>
  <si>
    <t>ACI 318-14</t>
    <phoneticPr fontId="4" type="noConversion"/>
  </si>
  <si>
    <t>Thompson et al.</t>
    <phoneticPr fontId="4" type="noConversion"/>
  </si>
  <si>
    <t>fib MC 2010</t>
    <phoneticPr fontId="4" type="noConversion"/>
  </si>
  <si>
    <t>Chun</t>
    <phoneticPr fontId="4" type="noConversion"/>
  </si>
  <si>
    <t>phi</t>
    <phoneticPr fontId="4" type="noConversion"/>
  </si>
  <si>
    <t>test/Chun</t>
    <phoneticPr fontId="4" type="noConversion"/>
  </si>
  <si>
    <t>Eff. Anh/Ab</t>
    <phoneticPr fontId="4" type="noConversion"/>
  </si>
  <si>
    <t>eff. Anh/Ad</t>
    <phoneticPr fontId="4" type="noConversion"/>
  </si>
  <si>
    <t>Proposed method (Eq. (21))</t>
    <phoneticPr fontId="4" type="noConversion"/>
  </si>
  <si>
    <t>Proposed method (Eq. (22))</t>
    <phoneticPr fontId="4" type="noConversion"/>
  </si>
  <si>
    <t>Shao 2016</t>
    <phoneticPr fontId="4" type="noConversion"/>
  </si>
  <si>
    <t>Joint type</t>
    <phoneticPr fontId="4" type="noConversion"/>
  </si>
  <si>
    <t>8-5-T4.0-0-i-3-3-15.5</t>
  </si>
  <si>
    <t>8-5-T4.0-0-i-4-3-15.5</t>
  </si>
  <si>
    <t>8-5-T4.0-4#3-i-3-3-12.5</t>
  </si>
  <si>
    <t>8-5-T4.0-4#3-i-4-3-12.5</t>
  </si>
  <si>
    <t>8-5-T4.0-4#4-i-3-3-12.5</t>
  </si>
  <si>
    <t>8-5-T4.0-4#4-i-4-3-12.5</t>
  </si>
  <si>
    <t>8-5g-T4.0-0-i-2.5-3-12.5</t>
  </si>
  <si>
    <t>8-5g-T4.0-0-i-3.5-3-12.5</t>
  </si>
  <si>
    <t>8-5g-T4.0-5#3-i-2.5-3-9.5</t>
  </si>
  <si>
    <t>8-5g-T4.0-5#3-i-3.5-3-9.5</t>
  </si>
  <si>
    <t>8-5g-T4.0-4#4-i-2.5-3-9.5</t>
  </si>
  <si>
    <t>8-5g-T4.0-4#4-i-3.5-3-9.5</t>
  </si>
  <si>
    <t>8-5-T4.0-0-i-2.5-3-12.5</t>
  </si>
  <si>
    <t>8-5-T4.0-0-i-3.5-3-12.5</t>
  </si>
  <si>
    <t>8-5-T4.0-5#3-i-2.5-3-9.5</t>
  </si>
  <si>
    <t>8-5-T4.0-5#3-i-3.5-3-9.5</t>
  </si>
  <si>
    <t>8-5-T4.0-4#4-i-2.5-3-9.5</t>
  </si>
  <si>
    <t>8-5-T4.0-4#4-i-3.5-3-9.5</t>
  </si>
  <si>
    <t>8-8-F4.1-0-i-2.5-3-10.5</t>
  </si>
  <si>
    <t>8-8-F4.1-2#3-i-2.5-3-10</t>
  </si>
  <si>
    <t>(3@3)8-8-F4.1-0-i-2.5-3-10.5</t>
  </si>
  <si>
    <t>G2</t>
    <phoneticPr fontId="4" type="noConversion"/>
  </si>
  <si>
    <t>G3</t>
    <phoneticPr fontId="4" type="noConversion"/>
  </si>
  <si>
    <t>G4</t>
    <phoneticPr fontId="4" type="noConversion"/>
  </si>
  <si>
    <t>(3@3)8-8-F4.1-0-i-2.5-3-10.5-HP</t>
  </si>
  <si>
    <t>(3@3)8-8-F4.1-2#3-i-2.5-3-10</t>
  </si>
  <si>
    <t>(3@3)8-8-F4.1-2#3-i-2.5-3-10-HP</t>
  </si>
  <si>
    <t>(3@4)8-8-F4.1-0-i-2.5-3-10.5</t>
  </si>
  <si>
    <t>(3@4)8-8-F4.1-2#3-i-2.5-3-10</t>
  </si>
  <si>
    <t>(3@4)8-8-F4.1-2#3-i-2.5-3-10-HP</t>
  </si>
  <si>
    <t>(3@5)8-8-F4.1-0-i-2.5-3-10.5</t>
  </si>
  <si>
    <t>(3@5)8-8-F4.1-0-i-2.5-3-10.5-HP</t>
  </si>
  <si>
    <t>(3@5)8-8-F4.1-2#3-i-2.5-3-10.5</t>
  </si>
  <si>
    <t>(3@5)8-8-F4.1-2#3-i-2.5-3-10.5-HP</t>
  </si>
  <si>
    <t>G5</t>
    <phoneticPr fontId="4" type="noConversion"/>
  </si>
  <si>
    <t>8-12-F4.1-0-i-2.5-3-10</t>
  </si>
  <si>
    <t>8-12-F4.1-5#3-i-2.5-3-10</t>
  </si>
  <si>
    <t>(3@3)8-12-F4.1-0-i-2.5-3-10</t>
  </si>
  <si>
    <t>(3@3)8-12-F4.1-5#3-i-2.5-3-10</t>
  </si>
  <si>
    <t>(3@4)8-12-F4.1-0-i-2.5-3-10</t>
  </si>
  <si>
    <t>(3@4)8-12-F4.1-5#3-i-2.5-3-10</t>
  </si>
  <si>
    <t>(3@5)8-12-F4.1-0-i-2.5-3-10</t>
  </si>
  <si>
    <t>(3@5)8-12-F4.1-5#3-i-2.5-3-10</t>
  </si>
  <si>
    <t>G6</t>
    <phoneticPr fontId="4" type="noConversion"/>
  </si>
  <si>
    <t>8-5-S6.5-0-i-2.5-3-11.25</t>
  </si>
  <si>
    <t>8-5-S6.5-0-i-2.5-3-14.25</t>
  </si>
  <si>
    <t>8-5-O4.5-0-i-2.5-3-11.25</t>
  </si>
  <si>
    <t>8-5-O4.5-0-i-2.5-3-14.25</t>
  </si>
  <si>
    <t>8-5-S6.5-2#3-i-2.5-3-9.25</t>
  </si>
  <si>
    <t>8-5-S6.5-2#3-i-2.5-3-12.25</t>
  </si>
  <si>
    <t>8-5-O4.5-2#3-i-2.5-3-9.25</t>
  </si>
  <si>
    <t>8-5-O4.5-2#3-i-2.5-3-12.25</t>
  </si>
  <si>
    <t>8-5-S6.5-5#3-i-2.5-3-8.25</t>
  </si>
  <si>
    <t>8-5-S6.5-5#3-i-2.5-3-11.25</t>
  </si>
  <si>
    <t>8-5-O4.5-5#3-i-2.5-3-8.25</t>
  </si>
  <si>
    <t>8-5-O4.5-5#3-i-2.5-3-11.25</t>
  </si>
  <si>
    <t>G7</t>
    <phoneticPr fontId="4" type="noConversion"/>
  </si>
  <si>
    <t>8-5-T9.5-0-i-2.5-3-14.5</t>
  </si>
  <si>
    <t>8-5-O9.1-0-i-2.5-3-14.5</t>
  </si>
  <si>
    <t>8-5-T9.5-5#3-i-2.5-3-14.5</t>
  </si>
  <si>
    <t>8-5-O9.1-5#3-i-2.5-3-14.5</t>
  </si>
  <si>
    <t>(3@5.5)8-5-T9.5-0-i-2.5-3-14.5</t>
  </si>
  <si>
    <t>(3@5.5)8-5-O9.1-0-i-2.5-3-14.5</t>
  </si>
  <si>
    <t>(3@5.5)8-5-T9.5-5#3-i-2.5-3-14.5</t>
  </si>
  <si>
    <t>(3@5.5)8-5-O9.1-5#3-i-2.5-3-14.5</t>
  </si>
  <si>
    <t>(4@3.7)8-5-T9.5-0-i-2.5-3-14.5</t>
  </si>
  <si>
    <t>(4@3.7)8-5-O9.1-0-i-2.5-3-14.5</t>
  </si>
  <si>
    <t>(4@3.7)8-5-T9.5-5#3-i-2.5-3-14.5</t>
  </si>
  <si>
    <t>(4@3.7)8-5-O9.1-5#3-i-2.5-3-14.5</t>
  </si>
  <si>
    <t>G8</t>
    <phoneticPr fontId="4" type="noConversion"/>
  </si>
  <si>
    <t>8-15-T4.0-0-i-2.5-4.5-9.5</t>
  </si>
  <si>
    <t>8-15-S9.5-0-i-2.5-3-9.5</t>
  </si>
  <si>
    <t>8-15-S14.9-0-i-2.5-3-9.5</t>
  </si>
  <si>
    <t>8-15-T4.0-2#3-i-2.5-4.5-7</t>
  </si>
  <si>
    <t>8-15-S9.5-2#3-i-2.5-3-7</t>
  </si>
  <si>
    <t>8-15-S14.9-2#3-i-2.5-3-7</t>
  </si>
  <si>
    <t>8-15-T4.0-5#3-i-2.5-4.5-5.5</t>
  </si>
  <si>
    <t>8-15-S9.5-5#3-i-2.5-3-5.5</t>
  </si>
  <si>
    <t>8-15-S14.9-5#3-i-2.5-3-5.5</t>
  </si>
  <si>
    <t>G9</t>
    <phoneticPr fontId="4" type="noConversion"/>
  </si>
  <si>
    <t>8-8-T9.5-0-i-2.5-3-9.5</t>
  </si>
  <si>
    <t>8-8-T9.5-2#3-i-2.5-3-9.5</t>
  </si>
  <si>
    <t>(3@4)8-8-T9.5-0-i-2.5-3-9.5</t>
  </si>
  <si>
    <t>(3@4)8-8-T9.5-2#3-i-2.5-3-9.5</t>
  </si>
  <si>
    <t>(3@5)8-8-T9.5-0-i-2.5-3-9.5</t>
  </si>
  <si>
    <t>(3@5)8-8-T9.5-2#3-i-2.5-3-9.5</t>
  </si>
  <si>
    <t>(3@7)8-8-T9.5-0-i-2.5-3-9.5</t>
  </si>
  <si>
    <t>(3@7)8-8-T9.5-2#3-i-2.5-3-9.5</t>
  </si>
  <si>
    <t>8-8-T9.5-0-i-2.5-3-14.5</t>
  </si>
  <si>
    <t>(3@4)8-8-T9.5-0-i-2.5-3-14.5</t>
  </si>
  <si>
    <t>(3@4)8-8-T9.5-2#3-i-2.5-3-14.5</t>
  </si>
  <si>
    <t>(3@5)8-8-T9.5-0-i-2.5-3-14.5</t>
  </si>
  <si>
    <t>(3@5)8-8-T9.5-2#3-i-2.5-3-14.5</t>
  </si>
  <si>
    <t>(3@7)8-8-T9.5-0-i-2.5-3-14.5</t>
  </si>
  <si>
    <t>(3@7)8-8-T9.5-2#3-i-2.5-3-14.5</t>
  </si>
  <si>
    <t>G10</t>
    <phoneticPr fontId="4" type="noConversion"/>
  </si>
  <si>
    <t>(2@9)8-12-F4.1-0-i-2.5-3-12</t>
  </si>
  <si>
    <t>(2@9)8-12-F9.1-0-i-2.5-3-12</t>
  </si>
  <si>
    <t>(2@9)8-12-F4.1-5#3-i-2.5-3-12</t>
  </si>
  <si>
    <t>(2@9)8-12-F9.1-5#3-i-2.5-3-12</t>
  </si>
  <si>
    <t>(3@4.5)8-12-F4.1-0-i-2.5-3-12</t>
  </si>
  <si>
    <t>(3@4.5)8-12-F9.1-0-i-2.5-3-12</t>
  </si>
  <si>
    <t>(3@4.5)8-12-F4.1-5#3-i-2.5-3-12</t>
  </si>
  <si>
    <t>(3@4.5)8-12-F9.1-5#3-i-2.5-3-12</t>
  </si>
  <si>
    <t>(4@3)8-12-F4.1-0-i-2.5-3-12</t>
  </si>
  <si>
    <t>(4@3)8-12-F9.1-0-i-2.5-3-12</t>
  </si>
  <si>
    <t>(4@3)8-12-F4.1-5#3-i-2.5-3-12</t>
  </si>
  <si>
    <t>(4@3)8-12-F9.1-5#3-i-2.5-3-12</t>
  </si>
  <si>
    <t>G11</t>
    <phoneticPr fontId="4" type="noConversion"/>
  </si>
  <si>
    <t>8-8-O4.5-0-i-2.5-3-9.5</t>
  </si>
  <si>
    <t>(2@9)8-8-O4.5-0-i-2.5-3-9.5</t>
  </si>
  <si>
    <t>(2@7)8-8-O4.5-0-i-2.5-3-9.5</t>
  </si>
  <si>
    <t>(2@5)8-8-O4.5-0-i-2.5-3-9.5</t>
  </si>
  <si>
    <t>(2@3)8-8-O4.5-0-i-2.5-3-9.5</t>
  </si>
  <si>
    <t>(2@9)8-8-T4.0-0-i-2.5-3-9.5</t>
  </si>
  <si>
    <t>(2@9)8-8-T4.0-5#3-i-2.5-3-9.5</t>
  </si>
  <si>
    <t>(3@4.5)8-8-T4.0-0-i-2.5-3-9.5</t>
  </si>
  <si>
    <t>(3@4.5)8-8-T4.0-5#3-i-2.5-3-9.5</t>
  </si>
  <si>
    <t>(4@3)8-8-T4.0-0-i-2.5-3-9.5</t>
  </si>
  <si>
    <t>(4@3)8-8-T4.0-5#3-i-2.5-3-9.5</t>
  </si>
  <si>
    <t>(3@3)8-8-T4.0-0-i-2.5-3-9.5</t>
  </si>
  <si>
    <t>(3@3)8-8-T4.0-5#3-i-2.5-3-9.5</t>
  </si>
  <si>
    <t>G12</t>
    <phoneticPr fontId="4" type="noConversion"/>
  </si>
  <si>
    <t>8-5-F4.1-0-i-2.5-7-6</t>
  </si>
  <si>
    <t>8-5-F4.1-5#3-i-2.5-7-6</t>
  </si>
  <si>
    <t>(3@3)8-5-F4.1-0-i-2.5-7-6</t>
  </si>
  <si>
    <t>(3@3)8-5-F4.1-5#3-i-2.5-7-6</t>
  </si>
  <si>
    <t>(3@5)8-5-F4.1-0-i-2.5-7-6</t>
  </si>
  <si>
    <t>(3@5)8-5-F4.1-5#3-i-2.5-7-6</t>
  </si>
  <si>
    <t>(3@7)8-5-F4.1-0-i-2.5-7-6</t>
  </si>
  <si>
    <t>(3@7)8-5-F4.1-5#3-i-2.5-7-6</t>
  </si>
  <si>
    <t>8-5-F9.1-0-i-2.5-7-6</t>
  </si>
  <si>
    <t>8-5-F9.1-5#3-i-2.5-7-6</t>
  </si>
  <si>
    <t>(3@5.5)8-5-F9.1-0-i-2.5-7-6</t>
  </si>
  <si>
    <t>(3@5.5)8-5-F9.1-5#3-i-2.5-7-6</t>
  </si>
  <si>
    <t>(4@3.7)8-5-T9.5-0-i-2.5-6.5-6</t>
  </si>
  <si>
    <t>(4@3.7)8-5-F9.1-5#3-i-2.5-7-6</t>
  </si>
  <si>
    <t>G13</t>
    <phoneticPr fontId="4" type="noConversion"/>
  </si>
  <si>
    <t>5-5-F4.0-0-i-2.5-5-4</t>
  </si>
  <si>
    <t>5-5-F13.1-0-i-2.5-5-4</t>
  </si>
  <si>
    <t>5-5-F4.0-2#3-i-2.5-5-4</t>
  </si>
  <si>
    <t>5-5-F13.1-2#3-i-2.5-5-4</t>
  </si>
  <si>
    <t>5-5-F4.0-5#3-i-2.5-5-4</t>
  </si>
  <si>
    <t>5-5-F13.1-5#3-i-2.5-5-4</t>
  </si>
  <si>
    <t>5-5-F4.0-0-i-2.5-3-6</t>
  </si>
  <si>
    <t>5-5-F13.1-0-i-2.5-3-6</t>
  </si>
  <si>
    <t>5-5-F4.0-2#3-i-2.5-3-6</t>
  </si>
  <si>
    <t>5-5-F13.1-2#3-i-2.5-3-6</t>
  </si>
  <si>
    <t>5-5-F4.0-5#3-i-2.5-3-6</t>
  </si>
  <si>
    <t>G14</t>
    <phoneticPr fontId="4" type="noConversion"/>
  </si>
  <si>
    <t>5-12-F4.0-0-i-2.5-5-4</t>
  </si>
  <si>
    <t>5-12-F13.1-0-i-2.5-5-4</t>
  </si>
  <si>
    <t>5-12-F4.0-2#3-i-2.5-5-4</t>
  </si>
  <si>
    <t>5-12-F13.1-2#3-i-2.5-5-4</t>
  </si>
  <si>
    <t>5-12-F4.0-5#3-i-2.5-5-4</t>
  </si>
  <si>
    <t>5-12-F13.1-5#3-i-2.5-5-4</t>
  </si>
  <si>
    <t>5-12-F4.0-0-i-2.5-3-6</t>
  </si>
  <si>
    <t>5-12-F13.1-0-i-2.5-3-6</t>
  </si>
  <si>
    <t>(3@5.9)5-12-F4.0-0-i-2.5-4-5</t>
  </si>
  <si>
    <t>(3@5.9)5-12-F4.0-2#3-i-2.5-4-5</t>
  </si>
  <si>
    <t>(3@5.9)5-12-F4.0-5#3-i-2.5-4-5</t>
  </si>
  <si>
    <t>(4@3.9)5-12-F4.0-0-i-2.5-4-5</t>
  </si>
  <si>
    <t>(4@3.9)5-12-F4.0-2#3-i-2.5-4-5</t>
  </si>
  <si>
    <t>(4@3.9)5-12-F4.0-5#3-i-2.5-4-5</t>
  </si>
  <si>
    <t>G15</t>
    <phoneticPr fontId="4" type="noConversion"/>
  </si>
  <si>
    <t>11-5a-F3.8-0-i-2.5-3-17</t>
  </si>
  <si>
    <t>11-5a-F3.8-2#3-i-2.5-3-17</t>
  </si>
  <si>
    <t>11-5a-F3.8-6#3-i-2.5-3-17</t>
  </si>
  <si>
    <t>11-5a-F3.8-0-i-2.5-3-12</t>
  </si>
  <si>
    <t>11-5a-F3.8-2#3-i-2.5-3-12</t>
  </si>
  <si>
    <t>11-5a-F3.8-6#3-i-2.5-3-12</t>
  </si>
  <si>
    <t>11-5a-F8.6-0-i-2.5-3-12</t>
  </si>
  <si>
    <t>11-5a- F8.6-6#3-i-2.5-3-12</t>
  </si>
  <si>
    <t>G16</t>
    <phoneticPr fontId="4" type="noConversion"/>
  </si>
  <si>
    <t>8-8-F4.1-0-i-2.5-3-10-DB</t>
  </si>
  <si>
    <t>8-8-F9.1-0-i-2.5-3-10-DB</t>
  </si>
  <si>
    <t>8-8-F9.1-5#3-i-2.5-3-10-DB</t>
  </si>
  <si>
    <t>8-5-F4.1-0-i-2.5-3-10-DB</t>
  </si>
  <si>
    <t>8-5-F9.1-0-i-2.5-3-10-DB</t>
  </si>
  <si>
    <t>8-5-F4.1-3#4-i-2.5-3-10-DB</t>
  </si>
  <si>
    <t>8-5-F9.1-3#4-i-2.5-3-10-DB</t>
  </si>
  <si>
    <t>8-5-F4.1-5#3-i-2.5-3-10-DB</t>
  </si>
  <si>
    <t>8-5-F9.1-5#3-i-2.5-3-10-DB</t>
  </si>
  <si>
    <t>G17</t>
    <phoneticPr fontId="4" type="noConversion"/>
  </si>
  <si>
    <t>11-8-F3.8-0-i-2.5-3-14.5</t>
  </si>
  <si>
    <t>11-8-F3.8-2#3-i-2.5-3-14.5</t>
  </si>
  <si>
    <t>11-8-F3.8-6#3-i-2.5-3-14.5</t>
  </si>
  <si>
    <t>(3@5.35)11-8-F3.8-0-i-2.5-3-14.5</t>
  </si>
  <si>
    <t>(3@5.35)11-8-F3.8-2#3-i-2.5-3-14.5</t>
  </si>
  <si>
    <t>(3@5.35)11-8-F3.8-6#3-i-2.5-3-14.5</t>
  </si>
  <si>
    <t>8-8-O12.9-0-i-2.5-3-9.5</t>
  </si>
  <si>
    <t>8-8-S14.9-0-i-2.5-3-8.25</t>
  </si>
  <si>
    <t>8-8-O12.9-5#3-i-2.5-3-9.5</t>
  </si>
  <si>
    <t>8-8-S14.9-5#3-i-2.5-3-8.25</t>
  </si>
  <si>
    <t>G18</t>
    <phoneticPr fontId="4" type="noConversion"/>
  </si>
  <si>
    <t>11-5-F3.8-0-i-2.5-3-12</t>
  </si>
  <si>
    <t>11-5-F3.8-6#3-i-2.5-3-12</t>
  </si>
  <si>
    <t>11-5-F3.8-0-i-2.5-3-17</t>
  </si>
  <si>
    <t>11-5-F3.8-6#3-i-2.5-3-17</t>
  </si>
  <si>
    <t>11-5- F8.6-0-i-2.5-3-14.5</t>
  </si>
  <si>
    <t>11-5- F8.6-6#3-i-2.5-3-14.5</t>
  </si>
  <si>
    <t>(3@5.35)11-5- F8.6-0-i-2.5-3-14.5</t>
  </si>
  <si>
    <t>(3@5.35)11-5- F8.6-6#3-i-2.5-3-14.5</t>
  </si>
  <si>
    <t>G19</t>
    <phoneticPr fontId="4" type="noConversion"/>
  </si>
  <si>
    <t>11-12-O4.5-0-i-2.5-3-16.75</t>
  </si>
  <si>
    <t>11-12-S5.5-0-i-2.5-3-16.75</t>
  </si>
  <si>
    <t>11-12-O4.5-6#3-i-2.5-3-16.75</t>
  </si>
  <si>
    <t>11-12-S5.5-6#3-i-2.5-3-16.75</t>
  </si>
  <si>
    <t>(3@5.35)11-12-O4.5-0-i-2.5-3-16.75</t>
  </si>
  <si>
    <t>(3@5.35)11-12-S5.5-0-i-2.5-3-16.75</t>
  </si>
  <si>
    <t>(3@5.35)11-12-O4.5-6#3-i-2.5-3-16.75</t>
  </si>
  <si>
    <t>(3@5.35)11-12-S5.5-6#3-i-2.5-3-16.75</t>
  </si>
  <si>
    <t>G20</t>
    <phoneticPr fontId="4" type="noConversion"/>
  </si>
  <si>
    <t>11-5-O4.5-0-i-2.5-3-19.25</t>
  </si>
  <si>
    <t>11-5-S5.5-0-i-2.5-3-19.25</t>
  </si>
  <si>
    <t>11-5-O4.5-6#3-i-2.5-3-19.25</t>
  </si>
  <si>
    <t>11-5-S5.5-6#3-i-2.5-3-19.25</t>
  </si>
  <si>
    <t>(3@5.35)11-5-O4.5-0-i-2.5-3-19.25</t>
  </si>
  <si>
    <t>(3@5.35)11-5-S5.5-0-i-2.5-3-19.25</t>
  </si>
  <si>
    <t>(3@5.35)11-5-O4.5-6#3-i-2.5-3-19.25</t>
  </si>
  <si>
    <t>Punching shear</t>
    <phoneticPr fontId="4" type="noConversion"/>
  </si>
  <si>
    <t>fte</t>
    <phoneticPr fontId="4" type="noConversion"/>
  </si>
  <si>
    <t>Shao</t>
    <phoneticPr fontId="4" type="noConversion"/>
  </si>
  <si>
    <t>phi_cs</t>
    <phoneticPr fontId="4" type="noConversion"/>
  </si>
  <si>
    <t>shao</t>
    <phoneticPr fontId="4" type="noConversion"/>
  </si>
  <si>
    <t>Proposed</t>
    <phoneticPr fontId="4" type="noConversion"/>
  </si>
  <si>
    <t>(3@5.35)11-5-S5.5-6#3-i-2.5-3-19.25</t>
    <phoneticPr fontId="4" type="noConversion"/>
  </si>
  <si>
    <t>CCT</t>
    <phoneticPr fontId="4" type="noConversion"/>
  </si>
  <si>
    <t>Shao</t>
    <phoneticPr fontId="4" type="noConversion"/>
  </si>
  <si>
    <t>H-2-8-5-9-F4.1-I</t>
  </si>
  <si>
    <t>H-2-8-5-10.4-F4.1-I</t>
  </si>
  <si>
    <t>H-3-8-5-9-F4.1-I</t>
  </si>
  <si>
    <t>H-3-8-5-11.4-F4.1-I</t>
  </si>
  <si>
    <t>H-3-8-5-14-F4.1-I</t>
  </si>
  <si>
    <t>H-2-8-5-9-F4.1-II</t>
  </si>
  <si>
    <t>H-2-8-5-13-F4.1-II</t>
  </si>
  <si>
    <t>H-3-8-5-9-F4.1-II</t>
  </si>
  <si>
    <t>H-3-8-5-11-F4.1-II</t>
  </si>
  <si>
    <t>H-3-8-5-13-F4.1-II</t>
  </si>
  <si>
    <t>Pullout</t>
    <phoneticPr fontId="4" type="noConversion"/>
  </si>
  <si>
    <t>8-5-T9.5-8#5-6</t>
  </si>
  <si>
    <t>8-5-T4.0-8#5-6</t>
  </si>
  <si>
    <t>8-5-F4.1-8#5-6</t>
  </si>
  <si>
    <t>8-5-F9.1-8#5-6</t>
  </si>
  <si>
    <t>8-5-F4.1-2#8-6</t>
  </si>
  <si>
    <t>8-5-F9.1-2#8-6</t>
  </si>
  <si>
    <t>8-5-T4.0-2#8-6</t>
  </si>
  <si>
    <t>8-5-T9.5-2#8-6</t>
  </si>
  <si>
    <t>8-8-O12.9-6#5-6</t>
  </si>
  <si>
    <t>8-8-O9.1-6#5-6</t>
  </si>
  <si>
    <t>8-8-S6.5-6#5-6</t>
  </si>
  <si>
    <t>8-8-O4.5-6#5-6</t>
  </si>
  <si>
    <t>8-5-S14.9-6#5-6</t>
  </si>
  <si>
    <t>8-5-S6.5-6#5-6</t>
  </si>
  <si>
    <t>8-5-O12.9-6#5-6</t>
  </si>
  <si>
    <t>8-5-O4.5-6#5-6</t>
  </si>
  <si>
    <t>8-5-S9.5-6#5-6</t>
  </si>
  <si>
    <t>8-5-F4.1-6#5-63</t>
  </si>
  <si>
    <t>8-5-F4.1-0-6</t>
  </si>
  <si>
    <t>8-5-F4.1-2#5-6</t>
  </si>
  <si>
    <t>8-5-F4.1-4#5-6</t>
  </si>
  <si>
    <t>8-5-F4.1-6#5-6</t>
  </si>
  <si>
    <t>Splice</t>
    <phoneticPr fontId="4" type="noConversion"/>
  </si>
  <si>
    <t>(3)6-5-S4.0-12-0.5</t>
  </si>
  <si>
    <t>(3)6-5-S4.0-12-1.0</t>
  </si>
  <si>
    <t>(3)6-5-S4.0-12-1.9</t>
  </si>
  <si>
    <t>(3)6-12-S4.0-12-0.5</t>
  </si>
  <si>
    <t>(3)6-12-S4.0-12-1.0</t>
  </si>
  <si>
    <t>(3)6-12-S4.0-12-1.9</t>
  </si>
  <si>
    <t>기둥주근에 
의한 풀아웃 
강도증가 
가정</t>
    <phoneticPr fontId="4" type="noConversion"/>
  </si>
  <si>
    <t>Fh</t>
    <phoneticPr fontId="4" type="noConversion"/>
  </si>
  <si>
    <t>*</t>
    <phoneticPr fontId="4" type="noConversion"/>
  </si>
  <si>
    <t>Shao
무보강</t>
    <phoneticPr fontId="4" type="noConversion"/>
  </si>
  <si>
    <t>Shao
보강</t>
    <phoneticPr fontId="4" type="noConversion"/>
  </si>
  <si>
    <t>Sim</t>
    <phoneticPr fontId="4" type="noConversion"/>
  </si>
  <si>
    <t>Shao et al.</t>
    <phoneticPr fontId="4" type="noConversion"/>
  </si>
  <si>
    <t>Hong</t>
    <phoneticPr fontId="4" type="noConversion"/>
  </si>
  <si>
    <t>Choi</t>
    <phoneticPr fontId="4" type="noConversion"/>
  </si>
  <si>
    <t>G1</t>
    <phoneticPr fontId="4" type="noConversion"/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</si>
  <si>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</si>
  <si>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</si>
  <si>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</si>
  <si>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</si>
  <si>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</si>
  <si>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</si>
  <si>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</si>
  <si>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</si>
  <si>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</si>
  <si>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</si>
  <si>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</si>
  <si>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</si>
  <si>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</si>
  <si>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</si>
  <si>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</si>
  <si>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</si>
  <si>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</si>
  <si>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</si>
  <si>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</si>
  <si>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Author</t>
    <phoneticPr fontId="4" type="noConversion"/>
  </si>
  <si>
    <t>Year</t>
    <phoneticPr fontId="4" type="noConversion"/>
  </si>
  <si>
    <t>Test type</t>
    <phoneticPr fontId="4" type="noConversion"/>
  </si>
  <si>
    <t>Remark</t>
    <phoneticPr fontId="4" type="noConversion"/>
  </si>
  <si>
    <t>No.</t>
    <phoneticPr fontId="4" type="noConversion"/>
  </si>
  <si>
    <t>fy</t>
    <phoneticPr fontId="4" type="noConversion"/>
  </si>
  <si>
    <t>fcm</t>
    <phoneticPr fontId="3" type="noConversion"/>
  </si>
  <si>
    <t>db</t>
    <phoneticPr fontId="3" type="noConversion"/>
  </si>
  <si>
    <t>b</t>
    <phoneticPr fontId="4" type="noConversion"/>
  </si>
  <si>
    <t>cos,avg</t>
    <phoneticPr fontId="4" type="noConversion"/>
  </si>
  <si>
    <t>cth</t>
    <phoneticPr fontId="4" type="noConversion"/>
  </si>
  <si>
    <t>ch</t>
    <phoneticPr fontId="4" type="noConversion"/>
  </si>
  <si>
    <t>Nh</t>
    <phoneticPr fontId="4" type="noConversion"/>
  </si>
  <si>
    <t>Bottom cover</t>
    <phoneticPr fontId="4" type="noConversion"/>
  </si>
  <si>
    <t>Fsu at La, test</t>
    <phoneticPr fontId="4" type="noConversion"/>
  </si>
  <si>
    <t>dtr</t>
    <phoneticPr fontId="4" type="noConversion"/>
  </si>
  <si>
    <t>Ntr</t>
    <phoneticPr fontId="4" type="noConversion"/>
  </si>
  <si>
    <t>(2@9)8-8-T4.0-0-i-2.5-3-9.5</t>
    <phoneticPr fontId="4" type="noConversion"/>
  </si>
  <si>
    <t>8-5-T4.0-5#3-i-3.5-3-9.5</t>
    <phoneticPr fontId="4" type="noConversion"/>
  </si>
  <si>
    <t>8-5-T4.0-0-i-3.5-3-12.5</t>
    <phoneticPr fontId="4" type="noConversion"/>
  </si>
  <si>
    <t>JM-1</t>
    <phoneticPr fontId="4" type="noConversion"/>
  </si>
  <si>
    <t>JM-2</t>
    <phoneticPr fontId="4" type="noConversion"/>
  </si>
  <si>
    <t>D22-L4-C1-1</t>
    <phoneticPr fontId="4" type="noConversion"/>
  </si>
  <si>
    <t>D22-L20-C2-42</t>
  </si>
  <si>
    <t>D35-L20-C2-42</t>
  </si>
  <si>
    <t>D41-L7-C2-60</t>
  </si>
  <si>
    <t>D41-L7-C2-80</t>
  </si>
  <si>
    <t>D41-L10-C1-80</t>
  </si>
  <si>
    <t>D41-L10-C2-60</t>
  </si>
  <si>
    <t>D41-L10-C2-80</t>
  </si>
  <si>
    <t>D41-L13-C1-80</t>
  </si>
  <si>
    <t>D41-L13-C2-60</t>
  </si>
  <si>
    <t>D41-L13-C2-80</t>
  </si>
  <si>
    <t>D41-L16-C1-80</t>
  </si>
  <si>
    <t>D51-L7-C2-60</t>
  </si>
  <si>
    <t>D51-L7-C2-80</t>
  </si>
  <si>
    <t>D51-L10-C1-80</t>
  </si>
  <si>
    <t>D51-L10-C2-60</t>
  </si>
  <si>
    <t>D51-L10-C2-80</t>
  </si>
  <si>
    <t>D51-L13-C1-80</t>
  </si>
  <si>
    <t>D51-L13-C2-60</t>
  </si>
  <si>
    <t>D51-L13-C2-80</t>
  </si>
  <si>
    <t>D51-L16-C1-80</t>
  </si>
  <si>
    <t>D22-L20-C1-42-Tr</t>
  </si>
  <si>
    <t>D35-L20-C1-42-Tr</t>
  </si>
  <si>
    <t>D41-L7-C2-60-Tr</t>
  </si>
  <si>
    <t>D41-L10-C2-60-Tr</t>
  </si>
  <si>
    <t>D41-L13-C2-60-Tr</t>
  </si>
  <si>
    <t>D51-L7-C2-60-Tr</t>
  </si>
  <si>
    <t>D51-L10-C2-60-Tr</t>
  </si>
  <si>
    <t>D51-L13-C2-60-Tr</t>
  </si>
  <si>
    <t>D35-L16-C2-70-S2</t>
  </si>
  <si>
    <t>D35-L16-C3-70-S2</t>
  </si>
  <si>
    <t>D35-L20-C2-70-S2</t>
  </si>
  <si>
    <t>D35-L20-C3-70-S2</t>
  </si>
  <si>
    <t>D35-L23-C2-70-S2</t>
  </si>
  <si>
    <t>D35-L23-C3-70-S2</t>
  </si>
  <si>
    <t>Chun &amp; Kim</t>
    <phoneticPr fontId="4" type="noConversion"/>
  </si>
  <si>
    <t>yield strength of reinforcing bars, 철근 항복강도</t>
    <phoneticPr fontId="4" type="noConversion"/>
  </si>
  <si>
    <t>development length of headed bars, 확대머리 철근의 정착길이</t>
    <phoneticPr fontId="4" type="noConversion"/>
  </si>
  <si>
    <t>Concrete compressive strength, 콘크리트 압축강도</t>
    <phoneticPr fontId="4" type="noConversion"/>
  </si>
  <si>
    <t>reinforcing bar diameter, 철근의 지름</t>
    <phoneticPr fontId="4" type="noConversion"/>
  </si>
  <si>
    <t xml:space="preserve">width of column, 기둥 너비 </t>
    <phoneticPr fontId="4" type="noConversion"/>
  </si>
  <si>
    <t>average clear side cover of the headed bars,  (cso 측면 순피복두께)</t>
    <phoneticPr fontId="4" type="noConversion"/>
  </si>
  <si>
    <t xml:space="preserve">clear cover measured from the back of the head to the back of the member, </t>
    <phoneticPr fontId="4" type="noConversion"/>
  </si>
  <si>
    <t>one half of clear bar spacing</t>
    <phoneticPr fontId="4" type="noConversion"/>
  </si>
  <si>
    <t>number of headed bars</t>
    <phoneticPr fontId="4" type="noConversion"/>
  </si>
  <si>
    <t>thickness of bottom concrete cover</t>
    <phoneticPr fontId="4" type="noConversion"/>
  </si>
  <si>
    <t>the ratio of cross sectional area of headed bar to that of rebar</t>
    <phoneticPr fontId="4" type="noConversion"/>
  </si>
  <si>
    <t>bar diameter of confining reinforcement within joint region</t>
    <phoneticPr fontId="4" type="noConversion"/>
  </si>
  <si>
    <t>number of legs of confining reinforcement in joint region</t>
    <phoneticPr fontId="4" type="noConversion"/>
  </si>
  <si>
    <t>center to center distance of transverse bars</t>
    <phoneticPr fontId="4" type="noConversion"/>
  </si>
  <si>
    <t>8-5-T4.0-0-i-3-3-15.5</t>
    <phoneticPr fontId="4" type="noConversion"/>
  </si>
  <si>
    <t>임으로 복붙해온 값(비교하기 위한 값)</t>
    <phoneticPr fontId="4" type="noConversion"/>
  </si>
  <si>
    <t>. 2023</t>
    <phoneticPr fontId="4" type="noConversion"/>
  </si>
  <si>
    <t>Chun, Sim</t>
    <phoneticPr fontId="4" type="noConversion"/>
  </si>
  <si>
    <t>fs_shao
Mpa</t>
    <phoneticPr fontId="4" type="noConversion"/>
  </si>
  <si>
    <t>J</t>
    <phoneticPr fontId="4" type="noConversion"/>
  </si>
  <si>
    <t>D43-L7-C1-S42</t>
    <phoneticPr fontId="4" type="noConversion"/>
  </si>
  <si>
    <t>Group</t>
    <phoneticPr fontId="4" type="noConversion"/>
  </si>
  <si>
    <t>Ld/db</t>
    <phoneticPr fontId="4" type="noConversion"/>
  </si>
  <si>
    <t>Ld_1_g1</t>
    <phoneticPr fontId="4" type="noConversion"/>
  </si>
  <si>
    <t>Ld_1_g2</t>
    <phoneticPr fontId="4" type="noConversion"/>
  </si>
  <si>
    <t>ld_3_g9</t>
    <phoneticPr fontId="4" type="noConversion"/>
  </si>
  <si>
    <t>ld_3_g10, fcm_2_g11</t>
    <phoneticPr fontId="4" type="noConversion"/>
  </si>
  <si>
    <t>fcm_2_g12</t>
    <phoneticPr fontId="4" type="noConversion"/>
  </si>
  <si>
    <t>ld_3_g10</t>
    <phoneticPr fontId="4" type="noConversion"/>
  </si>
  <si>
    <t>11-12-O4.5-6#3-i-2.5-3-16.75</t>
    <phoneticPr fontId="4" type="noConversion"/>
  </si>
  <si>
    <t>cso/db</t>
    <phoneticPr fontId="4" type="noConversion"/>
  </si>
  <si>
    <t>cth/db</t>
    <phoneticPr fontId="4" type="noConversion"/>
  </si>
  <si>
    <t>ch/db</t>
    <phoneticPr fontId="4" type="noConversion"/>
  </si>
  <si>
    <t>cb/db</t>
    <phoneticPr fontId="4" type="noConversion"/>
  </si>
  <si>
    <t>Ntr</t>
    <phoneticPr fontId="4" type="noConversion"/>
  </si>
  <si>
    <t>C5</t>
    <phoneticPr fontId="4" type="noConversion"/>
  </si>
  <si>
    <t>C2</t>
    <phoneticPr fontId="4" type="noConversion"/>
  </si>
  <si>
    <t>Group_Ntr0</t>
    <phoneticPr fontId="4" type="noConversion"/>
  </si>
  <si>
    <t>C4_0</t>
    <phoneticPr fontId="4" type="noConversion"/>
  </si>
  <si>
    <t>C7_0</t>
  </si>
  <si>
    <t>C3</t>
    <phoneticPr fontId="4" type="noConversion"/>
  </si>
  <si>
    <t>C7</t>
    <phoneticPr fontId="4" type="noConversion"/>
  </si>
  <si>
    <t>C7_0</t>
    <phoneticPr fontId="4" type="noConversion"/>
  </si>
  <si>
    <t>C6</t>
    <phoneticPr fontId="4" type="noConversion"/>
  </si>
  <si>
    <t>C6_0</t>
    <phoneticPr fontId="4" type="noConversion"/>
  </si>
  <si>
    <t>C5_0</t>
    <phoneticPr fontId="4" type="noConversion"/>
  </si>
  <si>
    <t>C11</t>
    <phoneticPr fontId="4" type="noConversion"/>
  </si>
  <si>
    <t>C9</t>
    <phoneticPr fontId="4" type="noConversion"/>
  </si>
  <si>
    <t>C13</t>
    <phoneticPr fontId="4" type="noConversion"/>
  </si>
  <si>
    <t>C1</t>
    <phoneticPr fontId="4" type="noConversion"/>
  </si>
  <si>
    <t>C17</t>
    <phoneticPr fontId="4" type="noConversion"/>
  </si>
  <si>
    <t>C18</t>
    <phoneticPr fontId="4" type="noConversion"/>
  </si>
  <si>
    <t>C15_0</t>
    <phoneticPr fontId="4" type="noConversion"/>
  </si>
  <si>
    <t>C16_0</t>
    <phoneticPr fontId="4" type="noConversion"/>
  </si>
  <si>
    <t>db1</t>
  </si>
  <si>
    <t>db1</t>
    <phoneticPr fontId="4" type="noConversion"/>
  </si>
  <si>
    <t>db2</t>
  </si>
  <si>
    <t>db2</t>
    <phoneticPr fontId="4" type="noConversion"/>
  </si>
  <si>
    <t>db3</t>
    <phoneticPr fontId="4" type="noConversion"/>
  </si>
  <si>
    <t>fy1</t>
    <phoneticPr fontId="4" type="noConversion"/>
  </si>
  <si>
    <t>fy2</t>
    <phoneticPr fontId="4" type="noConversion"/>
  </si>
  <si>
    <t>cb1</t>
  </si>
  <si>
    <t>cb1</t>
    <phoneticPr fontId="4" type="noConversion"/>
  </si>
  <si>
    <t>cb2</t>
  </si>
  <si>
    <t>cb2</t>
    <phoneticPr fontId="4" type="noConversion"/>
  </si>
  <si>
    <t>cb3</t>
    <phoneticPr fontId="4" type="noConversion"/>
  </si>
  <si>
    <t>cb4</t>
    <phoneticPr fontId="4" type="noConversion"/>
  </si>
  <si>
    <t>Ld1</t>
  </si>
  <si>
    <t>Ld1</t>
    <phoneticPr fontId="4" type="noConversion"/>
  </si>
  <si>
    <t>Ld2</t>
    <phoneticPr fontId="4" type="noConversion"/>
  </si>
  <si>
    <t>Ld3</t>
  </si>
  <si>
    <t>Ld3</t>
    <phoneticPr fontId="4" type="noConversion"/>
  </si>
  <si>
    <t>Ld4</t>
    <phoneticPr fontId="4" type="noConversion"/>
  </si>
  <si>
    <t>fcm1</t>
    <phoneticPr fontId="4" type="noConversion"/>
  </si>
  <si>
    <t>fcm2</t>
    <phoneticPr fontId="4" type="noConversion"/>
  </si>
  <si>
    <t>fcm3</t>
  </si>
  <si>
    <t>fcm4</t>
    <phoneticPr fontId="4" type="noConversion"/>
  </si>
  <si>
    <t>fcm5</t>
    <phoneticPr fontId="4" type="noConversion"/>
  </si>
  <si>
    <t>fcm6</t>
  </si>
  <si>
    <t>fcm6</t>
    <phoneticPr fontId="4" type="noConversion"/>
  </si>
  <si>
    <t>cso1</t>
    <phoneticPr fontId="4" type="noConversion"/>
  </si>
  <si>
    <t>cso3</t>
    <phoneticPr fontId="4" type="noConversion"/>
  </si>
  <si>
    <t>cso2</t>
    <phoneticPr fontId="4" type="noConversion"/>
  </si>
  <si>
    <t>cso4</t>
    <phoneticPr fontId="4" type="noConversion"/>
  </si>
  <si>
    <t>csi1</t>
    <phoneticPr fontId="4" type="noConversion"/>
  </si>
  <si>
    <t>csi2</t>
    <phoneticPr fontId="4" type="noConversion"/>
  </si>
  <si>
    <t>csi4</t>
    <phoneticPr fontId="4" type="noConversion"/>
  </si>
  <si>
    <t>csi3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</si>
</sst>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_);[Red]\(0.0\)"/>
  </numFmts>
  <fonts count="16" x14ac:knownFonts="1">
    <font>
      <sz val="11"/>
      <color theme="1"/>
      <name val="맑은 고딕"/>
      <charset val="134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9"/>
      <name val="맑은 고딕"/>
      <family val="3"/>
      <charset val="134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color theme="1"/>
      <name val="맑은 고딕"/>
      <family val="3"/>
      <charset val="134"/>
      <scheme val="minor"/>
    </font>
    <font>
      <sz val="9"/>
      <color theme="1"/>
      <name val="SimSun"/>
    </font>
    <font>
      <sz val="9"/>
      <color theme="1"/>
      <name val="맑은 고딕"/>
      <family val="2"/>
      <charset val="129"/>
      <scheme val="minor"/>
    </font>
    <font>
      <sz val="9"/>
      <color rgb="FFFF0000"/>
      <name val="맑은 고딕"/>
      <family val="3"/>
      <scheme val="minor"/>
    </font>
    <font>
      <b/>
      <sz val="9"/>
      <color rgb="FFFF0000"/>
      <name val="맑은 고딕"/>
      <family val="3"/>
      <charset val="129"/>
      <scheme val="minor"/>
    </font>
    <font>
      <sz val="9"/>
      <name val="맑은 고딕"/>
      <family val="3"/>
      <scheme val="minor"/>
    </font>
    <font>
      <sz val="9"/>
      <name val="맑은 고딕"/>
      <family val="3"/>
      <charset val="129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757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124">
    <xf numFmtId="0" fontId="0" fillId="0" borderId="0" xfId="0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center" wrapText="1"/>
    </xf>
    <xf numFmtId="176" fontId="5" fillId="0" borderId="0" xfId="0" applyNumberFormat="1" applyFont="1">
      <alignment vertical="center"/>
    </xf>
    <xf numFmtId="0" fontId="7" fillId="0" borderId="0" xfId="0" applyFont="1">
      <alignment vertical="center"/>
    </xf>
    <xf numFmtId="0" fontId="7" fillId="4" borderId="0" xfId="0" applyFont="1" applyFill="1">
      <alignment vertical="center"/>
    </xf>
    <xf numFmtId="0" fontId="8" fillId="4" borderId="0" xfId="0" applyFont="1" applyFill="1">
      <alignment vertical="center"/>
    </xf>
    <xf numFmtId="0" fontId="7" fillId="0" borderId="0" xfId="0" applyFont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176" fontId="7" fillId="0" borderId="0" xfId="0" applyNumberFormat="1" applyFont="1">
      <alignment vertical="center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7" fillId="2" borderId="0" xfId="0" applyFont="1" applyFill="1" applyAlignment="1">
      <alignment vertical="center" wrapText="1"/>
    </xf>
    <xf numFmtId="176" fontId="7" fillId="2" borderId="0" xfId="0" applyNumberFormat="1" applyFont="1" applyFill="1" applyAlignment="1">
      <alignment vertical="center" wrapText="1"/>
    </xf>
    <xf numFmtId="176" fontId="7" fillId="0" borderId="0" xfId="0" applyNumberFormat="1" applyFont="1" applyAlignment="1">
      <alignment vertical="center" wrapText="1"/>
    </xf>
    <xf numFmtId="176" fontId="7" fillId="3" borderId="0" xfId="0" applyNumberFormat="1" applyFont="1" applyFill="1">
      <alignment vertical="center"/>
    </xf>
    <xf numFmtId="0" fontId="7" fillId="3" borderId="0" xfId="0" applyFont="1" applyFill="1">
      <alignment vertical="center"/>
    </xf>
    <xf numFmtId="0" fontId="9" fillId="3" borderId="0" xfId="0" applyFont="1" applyFill="1" applyAlignment="1">
      <alignment vertical="center" wrapText="1"/>
    </xf>
    <xf numFmtId="0" fontId="7" fillId="3" borderId="0" xfId="0" applyFont="1" applyFill="1" applyAlignment="1">
      <alignment horizontal="center" vertical="center"/>
    </xf>
    <xf numFmtId="177" fontId="7" fillId="3" borderId="0" xfId="0" applyNumberFormat="1" applyFont="1" applyFill="1">
      <alignment vertical="center"/>
    </xf>
    <xf numFmtId="177" fontId="7" fillId="0" borderId="0" xfId="0" applyNumberFormat="1" applyFont="1">
      <alignment vertical="center"/>
    </xf>
    <xf numFmtId="0" fontId="9" fillId="0" borderId="0" xfId="0" applyFont="1" applyAlignment="1">
      <alignment vertical="center" wrapText="1"/>
    </xf>
    <xf numFmtId="0" fontId="7" fillId="5" borderId="0" xfId="0" applyFont="1" applyFill="1">
      <alignment vertical="center"/>
    </xf>
    <xf numFmtId="0" fontId="9" fillId="5" borderId="0" xfId="0" applyFont="1" applyFill="1" applyAlignment="1">
      <alignment vertical="center" wrapText="1"/>
    </xf>
    <xf numFmtId="0" fontId="7" fillId="5" borderId="0" xfId="0" quotePrefix="1" applyFont="1" applyFill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176" fontId="7" fillId="5" borderId="0" xfId="0" applyNumberFormat="1" applyFont="1" applyFill="1">
      <alignment vertical="center"/>
    </xf>
    <xf numFmtId="177" fontId="7" fillId="5" borderId="0" xfId="0" applyNumberFormat="1" applyFont="1" applyFill="1">
      <alignment vertical="center"/>
    </xf>
    <xf numFmtId="0" fontId="7" fillId="0" borderId="0" xfId="0" quotePrefix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58" fontId="7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7" fillId="6" borderId="0" xfId="0" applyFont="1" applyFill="1">
      <alignment vertical="center"/>
    </xf>
    <xf numFmtId="0" fontId="7" fillId="7" borderId="0" xfId="0" applyFont="1" applyFill="1" applyAlignment="1">
      <alignment horizontal="center" vertical="center"/>
    </xf>
    <xf numFmtId="0" fontId="7" fillId="8" borderId="0" xfId="0" applyFont="1" applyFill="1">
      <alignment vertical="center"/>
    </xf>
    <xf numFmtId="0" fontId="7" fillId="8" borderId="0" xfId="0" applyFont="1" applyFill="1" applyAlignment="1">
      <alignment horizontal="center" vertical="center"/>
    </xf>
    <xf numFmtId="176" fontId="7" fillId="8" borderId="0" xfId="0" applyNumberFormat="1" applyFont="1" applyFill="1">
      <alignment vertical="center"/>
    </xf>
    <xf numFmtId="0" fontId="7" fillId="8" borderId="0" xfId="0" applyFont="1" applyFill="1" applyAlignment="1">
      <alignment vertical="center" wrapText="1"/>
    </xf>
    <xf numFmtId="0" fontId="9" fillId="8" borderId="0" xfId="0" applyFont="1" applyFill="1" applyAlignment="1">
      <alignment horizontal="center" vertical="center" wrapText="1"/>
    </xf>
    <xf numFmtId="0" fontId="11" fillId="0" borderId="0" xfId="1" applyFont="1">
      <alignment vertical="center"/>
    </xf>
    <xf numFmtId="0" fontId="7" fillId="2" borderId="0" xfId="0" applyFont="1" applyFill="1">
      <alignment vertical="center"/>
    </xf>
    <xf numFmtId="0" fontId="2" fillId="0" borderId="0" xfId="1">
      <alignment vertical="center"/>
    </xf>
    <xf numFmtId="0" fontId="7" fillId="9" borderId="0" xfId="0" applyFont="1" applyFill="1">
      <alignment vertical="center"/>
    </xf>
    <xf numFmtId="0" fontId="7" fillId="10" borderId="0" xfId="0" applyFont="1" applyFill="1">
      <alignment vertical="center"/>
    </xf>
    <xf numFmtId="0" fontId="7" fillId="10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9" fillId="2" borderId="0" xfId="0" applyFont="1" applyFill="1" applyAlignment="1">
      <alignment vertical="center" wrapText="1"/>
    </xf>
    <xf numFmtId="0" fontId="12" fillId="5" borderId="0" xfId="0" applyFont="1" applyFill="1">
      <alignment vertical="center"/>
    </xf>
    <xf numFmtId="0" fontId="12" fillId="0" borderId="0" xfId="0" applyFont="1" applyAlignment="1">
      <alignment vertical="center" wrapText="1"/>
    </xf>
    <xf numFmtId="0" fontId="8" fillId="0" borderId="0" xfId="0" applyFont="1">
      <alignment vertical="center"/>
    </xf>
    <xf numFmtId="0" fontId="8" fillId="7" borderId="0" xfId="0" applyFont="1" applyFill="1" applyAlignment="1">
      <alignment horizontal="center" vertical="center"/>
    </xf>
    <xf numFmtId="0" fontId="8" fillId="8" borderId="0" xfId="0" applyFont="1" applyFill="1">
      <alignment vertical="center"/>
    </xf>
    <xf numFmtId="176" fontId="8" fillId="0" borderId="0" xfId="0" applyNumberFormat="1" applyFont="1">
      <alignment vertical="center"/>
    </xf>
    <xf numFmtId="177" fontId="8" fillId="0" borderId="0" xfId="0" applyNumberFormat="1" applyFont="1">
      <alignment vertical="center"/>
    </xf>
    <xf numFmtId="0" fontId="8" fillId="10" borderId="0" xfId="0" applyFont="1" applyFill="1">
      <alignment vertical="center"/>
    </xf>
    <xf numFmtId="0" fontId="8" fillId="2" borderId="0" xfId="0" applyFont="1" applyFill="1">
      <alignment vertical="center"/>
    </xf>
    <xf numFmtId="0" fontId="13" fillId="0" borderId="0" xfId="0" applyFont="1" applyAlignment="1">
      <alignment horizontal="center" vertical="center"/>
    </xf>
    <xf numFmtId="3" fontId="9" fillId="0" borderId="0" xfId="0" applyNumberFormat="1" applyFont="1" applyAlignment="1">
      <alignment vertical="center" wrapText="1"/>
    </xf>
    <xf numFmtId="0" fontId="7" fillId="4" borderId="1" xfId="0" applyFont="1" applyFill="1" applyBorder="1">
      <alignment vertical="center"/>
    </xf>
    <xf numFmtId="0" fontId="7" fillId="4" borderId="1" xfId="0" applyFont="1" applyFill="1" applyBorder="1" applyAlignment="1">
      <alignment horizontal="center" vertical="center"/>
    </xf>
    <xf numFmtId="0" fontId="9" fillId="4" borderId="0" xfId="0" applyFont="1" applyFill="1" applyAlignment="1">
      <alignment vertical="center" wrapText="1"/>
    </xf>
    <xf numFmtId="0" fontId="8" fillId="4" borderId="0" xfId="0" applyFont="1" applyFill="1" applyAlignment="1">
      <alignment horizontal="center" vertical="center"/>
    </xf>
    <xf numFmtId="176" fontId="7" fillId="4" borderId="0" xfId="0" applyNumberFormat="1" applyFont="1" applyFill="1">
      <alignment vertical="center"/>
    </xf>
    <xf numFmtId="177" fontId="7" fillId="4" borderId="0" xfId="0" applyNumberFormat="1" applyFont="1" applyFill="1">
      <alignment vertical="center"/>
    </xf>
    <xf numFmtId="0" fontId="7" fillId="2" borderId="1" xfId="0" applyFont="1" applyFill="1" applyBorder="1" applyAlignment="1">
      <alignment horizontal="center" vertical="center"/>
    </xf>
    <xf numFmtId="176" fontId="7" fillId="2" borderId="0" xfId="0" applyNumberFormat="1" applyFont="1" applyFill="1">
      <alignment vertical="center"/>
    </xf>
    <xf numFmtId="176" fontId="8" fillId="2" borderId="0" xfId="0" applyNumberFormat="1" applyFont="1" applyFill="1">
      <alignment vertical="center"/>
    </xf>
    <xf numFmtId="0" fontId="7" fillId="11" borderId="0" xfId="0" applyFont="1" applyFill="1" applyAlignment="1">
      <alignment horizontal="center" vertical="center"/>
    </xf>
    <xf numFmtId="0" fontId="9" fillId="0" borderId="2" xfId="0" applyFont="1" applyBorder="1" applyAlignment="1">
      <alignment vertical="center" wrapText="1"/>
    </xf>
    <xf numFmtId="0" fontId="9" fillId="0" borderId="3" xfId="0" applyFont="1" applyBorder="1" applyAlignment="1">
      <alignment vertical="center" wrapText="1"/>
    </xf>
    <xf numFmtId="0" fontId="9" fillId="11" borderId="0" xfId="0" applyFont="1" applyFill="1" applyAlignment="1">
      <alignment vertical="center" wrapText="1"/>
    </xf>
    <xf numFmtId="0" fontId="7" fillId="13" borderId="0" xfId="0" applyFont="1" applyFill="1">
      <alignment vertical="center"/>
    </xf>
    <xf numFmtId="0" fontId="7" fillId="14" borderId="0" xfId="0" applyFont="1" applyFill="1">
      <alignment vertical="center"/>
    </xf>
    <xf numFmtId="0" fontId="7" fillId="15" borderId="0" xfId="0" applyFont="1" applyFill="1">
      <alignment vertical="center"/>
    </xf>
    <xf numFmtId="0" fontId="8" fillId="16" borderId="0" xfId="0" applyFont="1" applyFill="1" applyAlignment="1">
      <alignment horizontal="center" vertical="center"/>
    </xf>
    <xf numFmtId="0" fontId="7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7" fillId="17" borderId="0" xfId="0" applyFont="1" applyFill="1" applyAlignment="1">
      <alignment horizontal="center" vertical="center"/>
    </xf>
    <xf numFmtId="0" fontId="8" fillId="13" borderId="0" xfId="0" applyFont="1" applyFill="1" applyAlignment="1">
      <alignment horizontal="center" vertical="center"/>
    </xf>
    <xf numFmtId="0" fontId="7" fillId="13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7" fillId="19" borderId="0" xfId="0" applyFont="1" applyFill="1" applyAlignment="1">
      <alignment horizontal="center" vertical="center"/>
    </xf>
    <xf numFmtId="0" fontId="8" fillId="19" borderId="0" xfId="0" applyFont="1" applyFill="1" applyAlignment="1">
      <alignment horizontal="center" vertical="center"/>
    </xf>
    <xf numFmtId="0" fontId="7" fillId="20" borderId="0" xfId="0" applyFont="1" applyFill="1" applyAlignment="1">
      <alignment horizontal="center" vertical="center"/>
    </xf>
    <xf numFmtId="0" fontId="7" fillId="20" borderId="0" xfId="0" applyFont="1" applyFill="1">
      <alignment vertical="center"/>
    </xf>
    <xf numFmtId="0" fontId="7" fillId="21" borderId="0" xfId="0" applyFont="1" applyFill="1">
      <alignment vertical="center"/>
    </xf>
    <xf numFmtId="0" fontId="7" fillId="22" borderId="0" xfId="0" applyFont="1" applyFill="1">
      <alignment vertical="center"/>
    </xf>
    <xf numFmtId="0" fontId="7" fillId="23" borderId="0" xfId="0" applyFont="1" applyFill="1">
      <alignment vertical="center"/>
    </xf>
    <xf numFmtId="0" fontId="7" fillId="24" borderId="0" xfId="0" applyFont="1" applyFill="1">
      <alignment vertical="center"/>
    </xf>
    <xf numFmtId="0" fontId="7" fillId="25" borderId="0" xfId="0" applyFont="1" applyFill="1">
      <alignment vertical="center"/>
    </xf>
    <xf numFmtId="0" fontId="7" fillId="26" borderId="0" xfId="0" applyFont="1" applyFill="1">
      <alignment vertical="center"/>
    </xf>
    <xf numFmtId="0" fontId="7" fillId="19" borderId="0" xfId="0" applyFont="1" applyFill="1">
      <alignment vertical="center"/>
    </xf>
    <xf numFmtId="0" fontId="9" fillId="12" borderId="0" xfId="0" applyFont="1" applyFill="1" applyAlignment="1">
      <alignment vertical="center" wrapText="1"/>
    </xf>
    <xf numFmtId="0" fontId="7" fillId="18" borderId="0" xfId="0" applyFont="1" applyFill="1">
      <alignment vertical="center"/>
    </xf>
    <xf numFmtId="0" fontId="7" fillId="17" borderId="0" xfId="0" applyFont="1" applyFill="1">
      <alignment vertical="center"/>
    </xf>
    <xf numFmtId="0" fontId="7" fillId="22" borderId="0" xfId="0" applyFont="1" applyFill="1" applyAlignment="1">
      <alignment horizontal="center" vertical="center"/>
    </xf>
    <xf numFmtId="0" fontId="8" fillId="2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7" fillId="28" borderId="0" xfId="0" applyFont="1" applyFill="1" applyAlignment="1">
      <alignment horizontal="center" vertical="center"/>
    </xf>
    <xf numFmtId="0" fontId="7" fillId="21" borderId="0" xfId="0" applyFont="1" applyFill="1" applyAlignment="1">
      <alignment horizontal="center" vertical="center"/>
    </xf>
    <xf numFmtId="0" fontId="7" fillId="27" borderId="0" xfId="0" applyFont="1" applyFill="1" applyAlignment="1">
      <alignment horizontal="center" vertical="center"/>
    </xf>
    <xf numFmtId="0" fontId="7" fillId="29" borderId="0" xfId="0" applyFont="1" applyFill="1" applyAlignment="1">
      <alignment horizontal="center" vertical="center"/>
    </xf>
    <xf numFmtId="0" fontId="14" fillId="0" borderId="0" xfId="0" applyFont="1">
      <alignment vertical="center"/>
    </xf>
    <xf numFmtId="0" fontId="14" fillId="4" borderId="1" xfId="0" applyFont="1" applyFill="1" applyBorder="1">
      <alignment vertical="center"/>
    </xf>
    <xf numFmtId="0" fontId="15" fillId="0" borderId="0" xfId="0" applyFont="1" applyAlignment="1">
      <alignment vertical="center" wrapText="1"/>
    </xf>
    <xf numFmtId="0" fontId="7" fillId="24" borderId="0" xfId="0" applyFont="1" applyFill="1" applyAlignment="1">
      <alignment horizontal="center" vertical="center"/>
    </xf>
    <xf numFmtId="0" fontId="7" fillId="15" borderId="0" xfId="0" applyFont="1" applyFill="1" applyAlignment="1">
      <alignment horizontal="center" vertical="center"/>
    </xf>
    <xf numFmtId="0" fontId="7" fillId="14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9" fillId="0" borderId="0" xfId="0" applyFont="1" applyBorder="1" applyAlignment="1">
      <alignment vertical="center" wrapText="1"/>
    </xf>
    <xf numFmtId="0" fontId="12" fillId="0" borderId="0" xfId="0" applyFont="1" applyBorder="1" applyAlignment="1">
      <alignment vertical="center" wrapText="1"/>
    </xf>
    <xf numFmtId="0" fontId="7" fillId="0" borderId="2" xfId="0" applyFont="1" applyBorder="1" applyAlignment="1">
      <alignment vertical="center" wrapText="1"/>
    </xf>
    <xf numFmtId="0" fontId="9" fillId="4" borderId="2" xfId="0" applyFont="1" applyFill="1" applyBorder="1" applyAlignment="1">
      <alignment vertical="center" wrapText="1"/>
    </xf>
    <xf numFmtId="0" fontId="7" fillId="0" borderId="3" xfId="0" applyFont="1" applyBorder="1" applyAlignment="1">
      <alignment vertical="center" wrapText="1"/>
    </xf>
    <xf numFmtId="0" fontId="9" fillId="11" borderId="0" xfId="0" applyFont="1" applyFill="1" applyBorder="1" applyAlignment="1">
      <alignment vertical="center" wrapText="1"/>
    </xf>
    <xf numFmtId="0" fontId="8" fillId="12" borderId="0" xfId="0" applyFont="1" applyFill="1" applyAlignment="1">
      <alignment horizontal="center" vertical="center" wrapText="1"/>
    </xf>
    <xf numFmtId="0" fontId="7" fillId="12" borderId="0" xfId="0" applyFont="1" applyFill="1" applyAlignment="1">
      <alignment horizontal="center" vertical="center"/>
    </xf>
    <xf numFmtId="0" fontId="0" fillId="12" borderId="0" xfId="0" applyFill="1">
      <alignment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9" defaultPivotStyle="PivotStyleLight16"/>
  <colors>
    <mruColors>
      <color rgb="FFFF7575"/>
      <color rgb="FFAFBDFB"/>
      <color rgb="FF385CF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(2)'!$O$20:$O$1282</c:f>
              <c:numCache>
                <c:formatCode>General</c:formatCode>
                <c:ptCount val="1102"/>
                <c:pt idx="0">
                  <c:v>16</c:v>
                </c:pt>
                <c:pt idx="1">
                  <c:v>16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13.921985815602838</c:v>
                </c:pt>
                <c:pt idx="19">
                  <c:v>13.829787234042554</c:v>
                </c:pt>
                <c:pt idx="20">
                  <c:v>13.787234042553195</c:v>
                </c:pt>
                <c:pt idx="21">
                  <c:v>13.744680851063832</c:v>
                </c:pt>
                <c:pt idx="22">
                  <c:v>13.744680851063832</c:v>
                </c:pt>
                <c:pt idx="23">
                  <c:v>13.680851063829788</c:v>
                </c:pt>
                <c:pt idx="24">
                  <c:v>13.652482269503549</c:v>
                </c:pt>
                <c:pt idx="25">
                  <c:v>13.567375886524824</c:v>
                </c:pt>
                <c:pt idx="26">
                  <c:v>8.3595113438045381</c:v>
                </c:pt>
                <c:pt idx="27">
                  <c:v>12.368794326241137</c:v>
                </c:pt>
                <c:pt idx="28">
                  <c:v>12.234042553191491</c:v>
                </c:pt>
                <c:pt idx="29">
                  <c:v>12.148936170212767</c:v>
                </c:pt>
                <c:pt idx="30">
                  <c:v>12.067039106145252</c:v>
                </c:pt>
                <c:pt idx="31">
                  <c:v>12.056737588652483</c:v>
                </c:pt>
                <c:pt idx="32">
                  <c:v>12.014184397163124</c:v>
                </c:pt>
                <c:pt idx="33">
                  <c:v>12.014184397163124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12.000000000000004</c:v>
                </c:pt>
                <c:pt idx="41">
                  <c:v>12.000000000000004</c:v>
                </c:pt>
                <c:pt idx="42">
                  <c:v>11.921985815602838</c:v>
                </c:pt>
                <c:pt idx="43">
                  <c:v>11.921985815602838</c:v>
                </c:pt>
                <c:pt idx="44">
                  <c:v>11.879432624113477</c:v>
                </c:pt>
                <c:pt idx="45">
                  <c:v>11.858156028368795</c:v>
                </c:pt>
                <c:pt idx="46">
                  <c:v>11.744680851063832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15.749999999999998</c:v>
                </c:pt>
                <c:pt idx="54">
                  <c:v>15.28</c:v>
                </c:pt>
                <c:pt idx="55">
                  <c:v>10.581560283687944</c:v>
                </c:pt>
                <c:pt idx="56">
                  <c:v>10.43262411347518</c:v>
                </c:pt>
                <c:pt idx="57">
                  <c:v>10.418439716312058</c:v>
                </c:pt>
                <c:pt idx="58">
                  <c:v>10.418439716312058</c:v>
                </c:pt>
                <c:pt idx="59">
                  <c:v>10.375886524822697</c:v>
                </c:pt>
                <c:pt idx="60">
                  <c:v>10.375886524822697</c:v>
                </c:pt>
                <c:pt idx="61">
                  <c:v>14.58</c:v>
                </c:pt>
                <c:pt idx="62">
                  <c:v>14.58</c:v>
                </c:pt>
                <c:pt idx="63">
                  <c:v>10.312056737588653</c:v>
                </c:pt>
                <c:pt idx="64">
                  <c:v>10.312056737588653</c:v>
                </c:pt>
                <c:pt idx="65">
                  <c:v>14.54</c:v>
                </c:pt>
                <c:pt idx="66">
                  <c:v>14.54</c:v>
                </c:pt>
                <c:pt idx="67">
                  <c:v>10.283687943262413</c:v>
                </c:pt>
                <c:pt idx="68">
                  <c:v>10.283687943262413</c:v>
                </c:pt>
                <c:pt idx="69">
                  <c:v>14.499999999999998</c:v>
                </c:pt>
                <c:pt idx="70">
                  <c:v>14.499999999999998</c:v>
                </c:pt>
                <c:pt idx="71">
                  <c:v>14.42</c:v>
                </c:pt>
                <c:pt idx="72">
                  <c:v>14.42</c:v>
                </c:pt>
                <c:pt idx="73">
                  <c:v>14.38</c:v>
                </c:pt>
                <c:pt idx="74">
                  <c:v>14.38</c:v>
                </c:pt>
                <c:pt idx="75">
                  <c:v>14.38</c:v>
                </c:pt>
                <c:pt idx="76">
                  <c:v>14.38</c:v>
                </c:pt>
                <c:pt idx="77">
                  <c:v>14.35</c:v>
                </c:pt>
                <c:pt idx="78">
                  <c:v>14.299999999999999</c:v>
                </c:pt>
                <c:pt idx="79">
                  <c:v>14.27</c:v>
                </c:pt>
                <c:pt idx="80">
                  <c:v>14.25</c:v>
                </c:pt>
                <c:pt idx="81">
                  <c:v>14.25</c:v>
                </c:pt>
                <c:pt idx="82">
                  <c:v>14.13</c:v>
                </c:pt>
                <c:pt idx="83">
                  <c:v>14.09</c:v>
                </c:pt>
                <c:pt idx="84">
                  <c:v>14.080000000000002</c:v>
                </c:pt>
                <c:pt idx="85">
                  <c:v>14.059999999999999</c:v>
                </c:pt>
                <c:pt idx="86">
                  <c:v>9.9441340782122918</c:v>
                </c:pt>
                <c:pt idx="87">
                  <c:v>12.66</c:v>
                </c:pt>
                <c:pt idx="88">
                  <c:v>12.590000000000002</c:v>
                </c:pt>
                <c:pt idx="89">
                  <c:v>8.9078014184397176</c:v>
                </c:pt>
                <c:pt idx="90">
                  <c:v>12.56</c:v>
                </c:pt>
                <c:pt idx="91">
                  <c:v>8.8652482269503565</c:v>
                </c:pt>
                <c:pt idx="92">
                  <c:v>12.5</c:v>
                </c:pt>
                <c:pt idx="93">
                  <c:v>12.439999999999998</c:v>
                </c:pt>
                <c:pt idx="94">
                  <c:v>12.38</c:v>
                </c:pt>
                <c:pt idx="95">
                  <c:v>12.31</c:v>
                </c:pt>
                <c:pt idx="96">
                  <c:v>12.21</c:v>
                </c:pt>
                <c:pt idx="97">
                  <c:v>12.19</c:v>
                </c:pt>
                <c:pt idx="98">
                  <c:v>12.17</c:v>
                </c:pt>
                <c:pt idx="99">
                  <c:v>12.17</c:v>
                </c:pt>
                <c:pt idx="100">
                  <c:v>8.6028368794326244</c:v>
                </c:pt>
                <c:pt idx="101">
                  <c:v>12.129999999999999</c:v>
                </c:pt>
                <c:pt idx="102">
                  <c:v>8.6028368794326244</c:v>
                </c:pt>
                <c:pt idx="103">
                  <c:v>8.5744680851063837</c:v>
                </c:pt>
                <c:pt idx="104">
                  <c:v>12.06</c:v>
                </c:pt>
                <c:pt idx="105">
                  <c:v>12.06</c:v>
                </c:pt>
                <c:pt idx="106">
                  <c:v>12.04</c:v>
                </c:pt>
                <c:pt idx="107">
                  <c:v>12.03</c:v>
                </c:pt>
                <c:pt idx="108">
                  <c:v>8.5106382978723403</c:v>
                </c:pt>
                <c:pt idx="109">
                  <c:v>8.5106382978723403</c:v>
                </c:pt>
                <c:pt idx="110">
                  <c:v>11.999999999999998</c:v>
                </c:pt>
                <c:pt idx="111">
                  <c:v>11.999999999999998</c:v>
                </c:pt>
                <c:pt idx="112">
                  <c:v>11.97</c:v>
                </c:pt>
                <c:pt idx="113">
                  <c:v>11.95</c:v>
                </c:pt>
                <c:pt idx="114">
                  <c:v>11.9</c:v>
                </c:pt>
                <c:pt idx="115">
                  <c:v>11.88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11.299212598425198</c:v>
                </c:pt>
                <c:pt idx="120">
                  <c:v>11.299212598425198</c:v>
                </c:pt>
                <c:pt idx="121">
                  <c:v>11.25</c:v>
                </c:pt>
                <c:pt idx="122">
                  <c:v>7.9608938547486039</c:v>
                </c:pt>
                <c:pt idx="123">
                  <c:v>7.9608938547486039</c:v>
                </c:pt>
                <c:pt idx="124">
                  <c:v>7.9608938547486039</c:v>
                </c:pt>
                <c:pt idx="125">
                  <c:v>11.13</c:v>
                </c:pt>
                <c:pt idx="126">
                  <c:v>11.06</c:v>
                </c:pt>
                <c:pt idx="127">
                  <c:v>7.8212290502793298</c:v>
                </c:pt>
                <c:pt idx="128">
                  <c:v>7.8212290502793298</c:v>
                </c:pt>
                <c:pt idx="129">
                  <c:v>7.8212290502793298</c:v>
                </c:pt>
                <c:pt idx="130">
                  <c:v>7.8212290502793298</c:v>
                </c:pt>
                <c:pt idx="131">
                  <c:v>7.8212290502793298</c:v>
                </c:pt>
                <c:pt idx="132">
                  <c:v>10.94</c:v>
                </c:pt>
                <c:pt idx="133">
                  <c:v>10.83</c:v>
                </c:pt>
                <c:pt idx="134">
                  <c:v>10.58</c:v>
                </c:pt>
                <c:pt idx="135">
                  <c:v>10.5</c:v>
                </c:pt>
                <c:pt idx="136">
                  <c:v>10.35</c:v>
                </c:pt>
                <c:pt idx="137">
                  <c:v>10.33</c:v>
                </c:pt>
                <c:pt idx="138">
                  <c:v>10.33</c:v>
                </c:pt>
                <c:pt idx="139">
                  <c:v>10.29</c:v>
                </c:pt>
                <c:pt idx="140">
                  <c:v>10.25</c:v>
                </c:pt>
                <c:pt idx="141">
                  <c:v>10.130000000000001</c:v>
                </c:pt>
                <c:pt idx="142">
                  <c:v>10.1</c:v>
                </c:pt>
                <c:pt idx="143">
                  <c:v>10.08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9.94</c:v>
                </c:pt>
                <c:pt idx="148">
                  <c:v>9.92</c:v>
                </c:pt>
                <c:pt idx="149">
                  <c:v>9.92</c:v>
                </c:pt>
                <c:pt idx="150">
                  <c:v>9.9</c:v>
                </c:pt>
                <c:pt idx="151">
                  <c:v>9.8800000000000008</c:v>
                </c:pt>
                <c:pt idx="152">
                  <c:v>9.8800000000000008</c:v>
                </c:pt>
                <c:pt idx="153">
                  <c:v>9.8800000000000008</c:v>
                </c:pt>
                <c:pt idx="154">
                  <c:v>9.8800000000000008</c:v>
                </c:pt>
                <c:pt idx="155">
                  <c:v>9.81</c:v>
                </c:pt>
                <c:pt idx="156">
                  <c:v>9.7899999999999991</c:v>
                </c:pt>
                <c:pt idx="157">
                  <c:v>9.77</c:v>
                </c:pt>
                <c:pt idx="158">
                  <c:v>9.75</c:v>
                </c:pt>
                <c:pt idx="159">
                  <c:v>9.75</c:v>
                </c:pt>
                <c:pt idx="160">
                  <c:v>9.69</c:v>
                </c:pt>
                <c:pt idx="161">
                  <c:v>9.69</c:v>
                </c:pt>
                <c:pt idx="162">
                  <c:v>9.69</c:v>
                </c:pt>
                <c:pt idx="163">
                  <c:v>9.66</c:v>
                </c:pt>
                <c:pt idx="164">
                  <c:v>9.6300000000000008</c:v>
                </c:pt>
                <c:pt idx="165">
                  <c:v>9.6</c:v>
                </c:pt>
                <c:pt idx="166">
                  <c:v>9.58</c:v>
                </c:pt>
                <c:pt idx="167">
                  <c:v>9.58</c:v>
                </c:pt>
                <c:pt idx="168">
                  <c:v>9.56</c:v>
                </c:pt>
                <c:pt idx="169">
                  <c:v>9.56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9.4700000000000006</c:v>
                </c:pt>
                <c:pt idx="177">
                  <c:v>9.4600000000000009</c:v>
                </c:pt>
                <c:pt idx="178">
                  <c:v>9.42</c:v>
                </c:pt>
                <c:pt idx="179">
                  <c:v>9.3800000000000008</c:v>
                </c:pt>
                <c:pt idx="180">
                  <c:v>9.3800000000000008</c:v>
                </c:pt>
                <c:pt idx="181">
                  <c:v>9.3800000000000008</c:v>
                </c:pt>
                <c:pt idx="182">
                  <c:v>9.3800000000000008</c:v>
                </c:pt>
                <c:pt idx="183">
                  <c:v>9.33</c:v>
                </c:pt>
                <c:pt idx="184">
                  <c:v>9.33</c:v>
                </c:pt>
                <c:pt idx="185">
                  <c:v>9.31</c:v>
                </c:pt>
                <c:pt idx="186">
                  <c:v>9.25</c:v>
                </c:pt>
                <c:pt idx="187">
                  <c:v>9.25</c:v>
                </c:pt>
                <c:pt idx="188">
                  <c:v>9.25</c:v>
                </c:pt>
                <c:pt idx="189">
                  <c:v>9.25</c:v>
                </c:pt>
                <c:pt idx="190">
                  <c:v>9.19</c:v>
                </c:pt>
                <c:pt idx="191">
                  <c:v>9.19</c:v>
                </c:pt>
                <c:pt idx="192">
                  <c:v>9.19</c:v>
                </c:pt>
                <c:pt idx="193">
                  <c:v>9.17</c:v>
                </c:pt>
                <c:pt idx="194">
                  <c:v>9.1300000000000008</c:v>
                </c:pt>
                <c:pt idx="195">
                  <c:v>9.06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6.061452513966481</c:v>
                </c:pt>
                <c:pt idx="200">
                  <c:v>8.31</c:v>
                </c:pt>
                <c:pt idx="201">
                  <c:v>8.3070866141732296</c:v>
                </c:pt>
                <c:pt idx="202">
                  <c:v>8.3070866141732296</c:v>
                </c:pt>
                <c:pt idx="203">
                  <c:v>8.3070866141732296</c:v>
                </c:pt>
                <c:pt idx="204">
                  <c:v>8.25</c:v>
                </c:pt>
                <c:pt idx="205">
                  <c:v>8.25</c:v>
                </c:pt>
                <c:pt idx="206">
                  <c:v>5.8379888268156428</c:v>
                </c:pt>
                <c:pt idx="207">
                  <c:v>5.6983240223463696</c:v>
                </c:pt>
                <c:pt idx="208">
                  <c:v>8.0314960629921259</c:v>
                </c:pt>
                <c:pt idx="209">
                  <c:v>8</c:v>
                </c:pt>
                <c:pt idx="210">
                  <c:v>6</c:v>
                </c:pt>
                <c:pt idx="211">
                  <c:v>6</c:v>
                </c:pt>
                <c:pt idx="212">
                  <c:v>7.06</c:v>
                </c:pt>
                <c:pt idx="213">
                  <c:v>7.06</c:v>
                </c:pt>
                <c:pt idx="214">
                  <c:v>7</c:v>
                </c:pt>
                <c:pt idx="215">
                  <c:v>6.3385826771653546</c:v>
                </c:pt>
                <c:pt idx="216">
                  <c:v>6.33</c:v>
                </c:pt>
                <c:pt idx="217">
                  <c:v>6.29</c:v>
                </c:pt>
                <c:pt idx="218">
                  <c:v>6.25</c:v>
                </c:pt>
                <c:pt idx="219">
                  <c:v>6.25</c:v>
                </c:pt>
                <c:pt idx="220">
                  <c:v>6.25</c:v>
                </c:pt>
                <c:pt idx="221">
                  <c:v>9.9519999999999982</c:v>
                </c:pt>
                <c:pt idx="222">
                  <c:v>6.21</c:v>
                </c:pt>
                <c:pt idx="223">
                  <c:v>6.19</c:v>
                </c:pt>
                <c:pt idx="224">
                  <c:v>6.16</c:v>
                </c:pt>
                <c:pt idx="225">
                  <c:v>6.13</c:v>
                </c:pt>
                <c:pt idx="226">
                  <c:v>6.13</c:v>
                </c:pt>
                <c:pt idx="227">
                  <c:v>6.0999999999999988</c:v>
                </c:pt>
                <c:pt idx="228">
                  <c:v>6.09</c:v>
                </c:pt>
                <c:pt idx="229">
                  <c:v>9.695999999999998</c:v>
                </c:pt>
                <c:pt idx="230">
                  <c:v>9.6479999999999997</c:v>
                </c:pt>
                <c:pt idx="231">
                  <c:v>6.03</c:v>
                </c:pt>
                <c:pt idx="232">
                  <c:v>9.5999999999999979</c:v>
                </c:pt>
                <c:pt idx="233">
                  <c:v>9.5999999999999979</c:v>
                </c:pt>
                <c:pt idx="234">
                  <c:v>9.5999999999999979</c:v>
                </c:pt>
                <c:pt idx="235">
                  <c:v>5.9999999999999991</c:v>
                </c:pt>
                <c:pt idx="236">
                  <c:v>9.5039999999999996</c:v>
                </c:pt>
                <c:pt idx="237">
                  <c:v>5.63</c:v>
                </c:pt>
                <c:pt idx="238">
                  <c:v>5.5</c:v>
                </c:pt>
                <c:pt idx="239">
                  <c:v>5.5</c:v>
                </c:pt>
                <c:pt idx="240">
                  <c:v>6</c:v>
                </c:pt>
                <c:pt idx="241">
                  <c:v>6</c:v>
                </c:pt>
                <c:pt idx="242">
                  <c:v>8.3040000000000003</c:v>
                </c:pt>
                <c:pt idx="243">
                  <c:v>8.3040000000000003</c:v>
                </c:pt>
                <c:pt idx="244">
                  <c:v>8.24</c:v>
                </c:pt>
                <c:pt idx="245">
                  <c:v>8.0640000000000001</c:v>
                </c:pt>
                <c:pt idx="246">
                  <c:v>8.048</c:v>
                </c:pt>
                <c:pt idx="247">
                  <c:v>8.0319999999999983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7.056</c:v>
                </c:pt>
                <c:pt idx="257">
                  <c:v>6.7519999999999989</c:v>
                </c:pt>
                <c:pt idx="258">
                  <c:v>6.7039999999999997</c:v>
                </c:pt>
                <c:pt idx="259">
                  <c:v>6.6559999999999997</c:v>
                </c:pt>
                <c:pt idx="260">
                  <c:v>6.6079999999999988</c:v>
                </c:pt>
                <c:pt idx="261">
                  <c:v>6.6079999999999988</c:v>
                </c:pt>
                <c:pt idx="262">
                  <c:v>6.6079999999999988</c:v>
                </c:pt>
                <c:pt idx="263">
                  <c:v>6.5439999999999996</c:v>
                </c:pt>
                <c:pt idx="264">
                  <c:v>6.5439999999999996</c:v>
                </c:pt>
                <c:pt idx="265">
                  <c:v>6.4959999999999987</c:v>
                </c:pt>
                <c:pt idx="266">
                  <c:v>6.4959999999999987</c:v>
                </c:pt>
                <c:pt idx="267">
                  <c:v>6.0960000000000001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91">
                  <c:v>8</c:v>
                </c:pt>
                <c:pt idx="292">
                  <c:v>8.3000000000000007</c:v>
                </c:pt>
                <c:pt idx="293">
                  <c:v>8.5</c:v>
                </c:pt>
                <c:pt idx="294">
                  <c:v>7.5</c:v>
                </c:pt>
                <c:pt idx="295">
                  <c:v>7.4</c:v>
                </c:pt>
                <c:pt idx="296">
                  <c:v>7.4</c:v>
                </c:pt>
                <c:pt idx="297">
                  <c:v>7.1</c:v>
                </c:pt>
                <c:pt idx="298">
                  <c:v>7</c:v>
                </c:pt>
                <c:pt idx="299">
                  <c:v>5.9999999999999991</c:v>
                </c:pt>
                <c:pt idx="300">
                  <c:v>5.9999999999999991</c:v>
                </c:pt>
                <c:pt idx="301">
                  <c:v>6.0999999999999988</c:v>
                </c:pt>
                <c:pt idx="302">
                  <c:v>6.0999999999999988</c:v>
                </c:pt>
                <c:pt idx="303">
                  <c:v>6.3</c:v>
                </c:pt>
                <c:pt idx="304">
                  <c:v>6.3</c:v>
                </c:pt>
                <c:pt idx="305">
                  <c:v>6.4</c:v>
                </c:pt>
                <c:pt idx="306">
                  <c:v>6.5</c:v>
                </c:pt>
                <c:pt idx="307">
                  <c:v>6.5</c:v>
                </c:pt>
                <c:pt idx="308">
                  <c:v>6.5</c:v>
                </c:pt>
                <c:pt idx="309">
                  <c:v>6.6</c:v>
                </c:pt>
                <c:pt idx="310">
                  <c:v>6.5</c:v>
                </c:pt>
                <c:pt idx="311">
                  <c:v>6.5</c:v>
                </c:pt>
                <c:pt idx="312">
                  <c:v>6.4</c:v>
                </c:pt>
                <c:pt idx="313">
                  <c:v>8.4</c:v>
                </c:pt>
                <c:pt idx="314">
                  <c:v>6.5</c:v>
                </c:pt>
                <c:pt idx="315">
                  <c:v>6.3</c:v>
                </c:pt>
                <c:pt idx="316">
                  <c:v>6.8000000000000007</c:v>
                </c:pt>
                <c:pt idx="317">
                  <c:v>5.9999999999999991</c:v>
                </c:pt>
                <c:pt idx="318">
                  <c:v>6.0999999999999988</c:v>
                </c:pt>
                <c:pt idx="319">
                  <c:v>6.8000000000000007</c:v>
                </c:pt>
                <c:pt idx="320">
                  <c:v>6.3</c:v>
                </c:pt>
                <c:pt idx="321">
                  <c:v>6.6</c:v>
                </c:pt>
                <c:pt idx="322">
                  <c:v>6.9</c:v>
                </c:pt>
                <c:pt idx="329">
                  <c:v>20</c:v>
                </c:pt>
                <c:pt idx="330">
                  <c:v>20</c:v>
                </c:pt>
                <c:pt idx="331">
                  <c:v>7</c:v>
                </c:pt>
                <c:pt idx="332">
                  <c:v>7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13</c:v>
                </c:pt>
                <c:pt idx="337">
                  <c:v>13</c:v>
                </c:pt>
                <c:pt idx="338">
                  <c:v>13</c:v>
                </c:pt>
                <c:pt idx="339">
                  <c:v>16</c:v>
                </c:pt>
                <c:pt idx="340">
                  <c:v>7</c:v>
                </c:pt>
                <c:pt idx="341">
                  <c:v>7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16</c:v>
                </c:pt>
                <c:pt idx="349">
                  <c:v>20</c:v>
                </c:pt>
                <c:pt idx="350">
                  <c:v>20</c:v>
                </c:pt>
                <c:pt idx="351">
                  <c:v>7</c:v>
                </c:pt>
                <c:pt idx="352">
                  <c:v>10</c:v>
                </c:pt>
                <c:pt idx="353">
                  <c:v>13</c:v>
                </c:pt>
                <c:pt idx="354">
                  <c:v>7</c:v>
                </c:pt>
                <c:pt idx="355">
                  <c:v>10</c:v>
                </c:pt>
                <c:pt idx="356">
                  <c:v>13</c:v>
                </c:pt>
                <c:pt idx="357">
                  <c:v>16</c:v>
                </c:pt>
                <c:pt idx="358">
                  <c:v>16</c:v>
                </c:pt>
                <c:pt idx="359">
                  <c:v>20</c:v>
                </c:pt>
                <c:pt idx="360">
                  <c:v>20</c:v>
                </c:pt>
                <c:pt idx="361">
                  <c:v>23</c:v>
                </c:pt>
                <c:pt idx="362">
                  <c:v>23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</c:numCache>
            </c:numRef>
          </c:xVal>
          <c:yVal>
            <c:numRef>
              <c:f>'headed (2)'!$CU$20:$CU$1282</c:f>
              <c:numCache>
                <c:formatCode>General</c:formatCode>
                <c:ptCount val="1102"/>
                <c:pt idx="0">
                  <c:v>0.9367326404971309</c:v>
                </c:pt>
                <c:pt idx="1">
                  <c:v>1.0799976325731626</c:v>
                </c:pt>
                <c:pt idx="2">
                  <c:v>1.0082013097225628</c:v>
                </c:pt>
                <c:pt idx="3">
                  <c:v>1.3457994703813709</c:v>
                </c:pt>
                <c:pt idx="4">
                  <c:v>1.3457994703813709</c:v>
                </c:pt>
                <c:pt idx="5">
                  <c:v>1.3503926426352324</c:v>
                </c:pt>
                <c:pt idx="6">
                  <c:v>1.263122369811867</c:v>
                </c:pt>
                <c:pt idx="7">
                  <c:v>1.0036837852778606</c:v>
                </c:pt>
                <c:pt idx="8">
                  <c:v>1.0650980029084989</c:v>
                </c:pt>
                <c:pt idx="9">
                  <c:v>0.77877380307996769</c:v>
                </c:pt>
                <c:pt idx="10">
                  <c:v>1.1204472084630297</c:v>
                </c:pt>
                <c:pt idx="11">
                  <c:v>0.97260860076002498</c:v>
                </c:pt>
                <c:pt idx="12">
                  <c:v>1.2522004464825935</c:v>
                </c:pt>
                <c:pt idx="13">
                  <c:v>0.96416295721336365</c:v>
                </c:pt>
                <c:pt idx="14">
                  <c:v>1.0258198988853873</c:v>
                </c:pt>
                <c:pt idx="15">
                  <c:v>1.1857746057227556</c:v>
                </c:pt>
                <c:pt idx="16">
                  <c:v>1.0748023074035522</c:v>
                </c:pt>
                <c:pt idx="17">
                  <c:v>1.455820984567487</c:v>
                </c:pt>
                <c:pt idx="18">
                  <c:v>1.7887440939579493</c:v>
                </c:pt>
                <c:pt idx="19">
                  <c:v>1.2773447721685958</c:v>
                </c:pt>
                <c:pt idx="20">
                  <c:v>1.5717122916807</c:v>
                </c:pt>
                <c:pt idx="21">
                  <c:v>1.6360866860192729</c:v>
                </c:pt>
                <c:pt idx="22">
                  <c:v>1.4145583723311854</c:v>
                </c:pt>
                <c:pt idx="23">
                  <c:v>1.2781265433947568</c:v>
                </c:pt>
                <c:pt idx="24">
                  <c:v>1.4247068591855867</c:v>
                </c:pt>
                <c:pt idx="25">
                  <c:v>1.7774258058598467</c:v>
                </c:pt>
                <c:pt idx="26">
                  <c:v>0.55314055535928575</c:v>
                </c:pt>
                <c:pt idx="27">
                  <c:v>1.5194412968967341</c:v>
                </c:pt>
                <c:pt idx="28">
                  <c:v>1.4461652827060305</c:v>
                </c:pt>
                <c:pt idx="29">
                  <c:v>1.3547088906311604</c:v>
                </c:pt>
                <c:pt idx="30">
                  <c:v>1.3817749686699512</c:v>
                </c:pt>
                <c:pt idx="31">
                  <c:v>1.0938128811765657</c:v>
                </c:pt>
                <c:pt idx="32">
                  <c:v>1.4726317169163174</c:v>
                </c:pt>
                <c:pt idx="33">
                  <c:v>1.6555682834433088</c:v>
                </c:pt>
                <c:pt idx="34">
                  <c:v>1.2492919484799965</c:v>
                </c:pt>
                <c:pt idx="35">
                  <c:v>1.2492919484799965</c:v>
                </c:pt>
                <c:pt idx="36">
                  <c:v>1.1492110320426716</c:v>
                </c:pt>
                <c:pt idx="37">
                  <c:v>1.1492110320426716</c:v>
                </c:pt>
                <c:pt idx="38">
                  <c:v>1.2977932364143214</c:v>
                </c:pt>
                <c:pt idx="39">
                  <c:v>1.2977932364143214</c:v>
                </c:pt>
                <c:pt idx="40">
                  <c:v>0.91364035374588859</c:v>
                </c:pt>
                <c:pt idx="41">
                  <c:v>0.8642990042491514</c:v>
                </c:pt>
                <c:pt idx="42">
                  <c:v>1.6642603569394416</c:v>
                </c:pt>
                <c:pt idx="43">
                  <c:v>1.6408489371767041</c:v>
                </c:pt>
                <c:pt idx="44">
                  <c:v>1.3018488380744442</c:v>
                </c:pt>
                <c:pt idx="45">
                  <c:v>1.5576906050232835</c:v>
                </c:pt>
                <c:pt idx="46">
                  <c:v>1.3194133857352812</c:v>
                </c:pt>
                <c:pt idx="47">
                  <c:v>1.2272571830982304</c:v>
                </c:pt>
                <c:pt idx="48">
                  <c:v>1.2272571830982304</c:v>
                </c:pt>
                <c:pt idx="49">
                  <c:v>1.2645047592598222</c:v>
                </c:pt>
                <c:pt idx="50">
                  <c:v>1.2645047592598222</c:v>
                </c:pt>
                <c:pt idx="51">
                  <c:v>1.6052395746292354</c:v>
                </c:pt>
                <c:pt idx="52">
                  <c:v>1.6052395746292354</c:v>
                </c:pt>
                <c:pt idx="53">
                  <c:v>1.4644210077964666</c:v>
                </c:pt>
                <c:pt idx="54">
                  <c:v>1.7518995465387628</c:v>
                </c:pt>
                <c:pt idx="55">
                  <c:v>0.85750356169367992</c:v>
                </c:pt>
                <c:pt idx="56">
                  <c:v>0.79839866095245215</c:v>
                </c:pt>
                <c:pt idx="57">
                  <c:v>0.9227648214974592</c:v>
                </c:pt>
                <c:pt idx="58">
                  <c:v>1.175019755063784</c:v>
                </c:pt>
                <c:pt idx="59">
                  <c:v>0.55205944197966095</c:v>
                </c:pt>
                <c:pt idx="60">
                  <c:v>1.417064822746245</c:v>
                </c:pt>
                <c:pt idx="61">
                  <c:v>1.1040775899972763</c:v>
                </c:pt>
                <c:pt idx="62">
                  <c:v>1.2808577222300848</c:v>
                </c:pt>
                <c:pt idx="63">
                  <c:v>0.93945017082886029</c:v>
                </c:pt>
                <c:pt idx="64">
                  <c:v>0.7619369171435395</c:v>
                </c:pt>
                <c:pt idx="65">
                  <c:v>1.4154260804349856</c:v>
                </c:pt>
                <c:pt idx="66">
                  <c:v>1.5434167366445322</c:v>
                </c:pt>
                <c:pt idx="67">
                  <c:v>0.83592963820390698</c:v>
                </c:pt>
                <c:pt idx="68">
                  <c:v>1.0544550371119625</c:v>
                </c:pt>
                <c:pt idx="69">
                  <c:v>1.4186878203980968</c:v>
                </c:pt>
                <c:pt idx="70">
                  <c:v>1.6446863940483587</c:v>
                </c:pt>
                <c:pt idx="71">
                  <c:v>1.2440728666081811</c:v>
                </c:pt>
                <c:pt idx="72">
                  <c:v>1.7873571707283726</c:v>
                </c:pt>
                <c:pt idx="73">
                  <c:v>1.6356284688674503</c:v>
                </c:pt>
                <c:pt idx="74">
                  <c:v>1.8677285845390659</c:v>
                </c:pt>
                <c:pt idx="75">
                  <c:v>1.8054709650544303</c:v>
                </c:pt>
                <c:pt idx="76">
                  <c:v>2.2833360622400622</c:v>
                </c:pt>
                <c:pt idx="77">
                  <c:v>1.4956926848165499</c:v>
                </c:pt>
                <c:pt idx="78">
                  <c:v>1.138404725831345</c:v>
                </c:pt>
                <c:pt idx="79">
                  <c:v>1.94348082358257</c:v>
                </c:pt>
                <c:pt idx="80">
                  <c:v>1.4605943328712707</c:v>
                </c:pt>
                <c:pt idx="81">
                  <c:v>1.6572818324293288</c:v>
                </c:pt>
                <c:pt idx="82">
                  <c:v>1.6201617118162046</c:v>
                </c:pt>
                <c:pt idx="83">
                  <c:v>2.3970089307971794</c:v>
                </c:pt>
                <c:pt idx="84">
                  <c:v>1.4971936540610968</c:v>
                </c:pt>
                <c:pt idx="85">
                  <c:v>1.1653553762193458</c:v>
                </c:pt>
                <c:pt idx="86">
                  <c:v>1.2849691500444007</c:v>
                </c:pt>
                <c:pt idx="87">
                  <c:v>1.8062284359078113</c:v>
                </c:pt>
                <c:pt idx="88">
                  <c:v>1.6762495741046421</c:v>
                </c:pt>
                <c:pt idx="89">
                  <c:v>1.4139539769720177</c:v>
                </c:pt>
                <c:pt idx="90">
                  <c:v>2.0214170272337286</c:v>
                </c:pt>
                <c:pt idx="91">
                  <c:v>1.3273452162350488</c:v>
                </c:pt>
                <c:pt idx="92">
                  <c:v>1.8768022880578519</c:v>
                </c:pt>
                <c:pt idx="93">
                  <c:v>2.4582402550876643</c:v>
                </c:pt>
                <c:pt idx="94">
                  <c:v>1.9832832128026687</c:v>
                </c:pt>
                <c:pt idx="95">
                  <c:v>1.8391049780038722</c:v>
                </c:pt>
                <c:pt idx="96">
                  <c:v>1.1211859345052924</c:v>
                </c:pt>
                <c:pt idx="97">
                  <c:v>2.3883510004126491</c:v>
                </c:pt>
                <c:pt idx="98">
                  <c:v>1.3115617934430026</c:v>
                </c:pt>
                <c:pt idx="99">
                  <c:v>0.74286383936633327</c:v>
                </c:pt>
                <c:pt idx="100">
                  <c:v>1.1920751277688835</c:v>
                </c:pt>
                <c:pt idx="101">
                  <c:v>1.8155185532534488</c:v>
                </c:pt>
                <c:pt idx="102">
                  <c:v>1.029499805763189</c:v>
                </c:pt>
                <c:pt idx="103">
                  <c:v>1.4621260776285192</c:v>
                </c:pt>
                <c:pt idx="104">
                  <c:v>1.1915791690728934</c:v>
                </c:pt>
                <c:pt idx="105">
                  <c:v>2.1708095946524519</c:v>
                </c:pt>
                <c:pt idx="106">
                  <c:v>1.1394053233213677</c:v>
                </c:pt>
                <c:pt idx="107">
                  <c:v>0.95796747993591125</c:v>
                </c:pt>
                <c:pt idx="108">
                  <c:v>1.0724109928974139</c:v>
                </c:pt>
                <c:pt idx="109">
                  <c:v>1.2698053240076526</c:v>
                </c:pt>
                <c:pt idx="110">
                  <c:v>0.74775564447069376</c:v>
                </c:pt>
                <c:pt idx="111">
                  <c:v>1.7236171863934053</c:v>
                </c:pt>
                <c:pt idx="112">
                  <c:v>1.6982641257732274</c:v>
                </c:pt>
                <c:pt idx="113">
                  <c:v>1.3194912606521252</c:v>
                </c:pt>
                <c:pt idx="114">
                  <c:v>1.6603365473541258</c:v>
                </c:pt>
                <c:pt idx="115">
                  <c:v>1.1697553747675289</c:v>
                </c:pt>
                <c:pt idx="116">
                  <c:v>1.225569165623946</c:v>
                </c:pt>
                <c:pt idx="117">
                  <c:v>1.6353994946085937</c:v>
                </c:pt>
                <c:pt idx="118">
                  <c:v>1.6466492454395782</c:v>
                </c:pt>
                <c:pt idx="119">
                  <c:v>1.4638998500136373</c:v>
                </c:pt>
                <c:pt idx="120">
                  <c:v>1.9695008503860747</c:v>
                </c:pt>
                <c:pt idx="121">
                  <c:v>1.6131871866776055</c:v>
                </c:pt>
                <c:pt idx="122">
                  <c:v>1.2591811613326145</c:v>
                </c:pt>
                <c:pt idx="123">
                  <c:v>1.4893706384463696</c:v>
                </c:pt>
                <c:pt idx="124">
                  <c:v>1.7749963445318506</c:v>
                </c:pt>
                <c:pt idx="125">
                  <c:v>1.9213175916594305</c:v>
                </c:pt>
                <c:pt idx="126">
                  <c:v>1.8390393434000243</c:v>
                </c:pt>
                <c:pt idx="127">
                  <c:v>1.3969859269328866</c:v>
                </c:pt>
                <c:pt idx="128">
                  <c:v>1.1134799594082712</c:v>
                </c:pt>
                <c:pt idx="129">
                  <c:v>1.6460556821950687</c:v>
                </c:pt>
                <c:pt idx="130">
                  <c:v>1.8089684795295491</c:v>
                </c:pt>
                <c:pt idx="131">
                  <c:v>1.6101312326699513</c:v>
                </c:pt>
                <c:pt idx="132">
                  <c:v>2.0072616038610884</c:v>
                </c:pt>
                <c:pt idx="133">
                  <c:v>1.1776103187568816</c:v>
                </c:pt>
                <c:pt idx="134">
                  <c:v>1.1259394815356814</c:v>
                </c:pt>
                <c:pt idx="135">
                  <c:v>1.5955182052279357</c:v>
                </c:pt>
                <c:pt idx="136">
                  <c:v>1.3763102007627221</c:v>
                </c:pt>
                <c:pt idx="137">
                  <c:v>1.0617977042412712</c:v>
                </c:pt>
                <c:pt idx="138">
                  <c:v>1.5049553082665195</c:v>
                </c:pt>
                <c:pt idx="139">
                  <c:v>1.2114030022601903</c:v>
                </c:pt>
                <c:pt idx="140">
                  <c:v>1.2838814274188568</c:v>
                </c:pt>
                <c:pt idx="141">
                  <c:v>1.8239105992369686</c:v>
                </c:pt>
                <c:pt idx="142">
                  <c:v>1.9881084721453528</c:v>
                </c:pt>
                <c:pt idx="143">
                  <c:v>1.3503150456948545</c:v>
                </c:pt>
                <c:pt idx="144">
                  <c:v>1.6063308950541133</c:v>
                </c:pt>
                <c:pt idx="145">
                  <c:v>1.1713310769181029</c:v>
                </c:pt>
                <c:pt idx="146">
                  <c:v>1.43924293656133</c:v>
                </c:pt>
                <c:pt idx="147">
                  <c:v>2.0269272380347223</c:v>
                </c:pt>
                <c:pt idx="148">
                  <c:v>0.92052495066192941</c:v>
                </c:pt>
                <c:pt idx="149">
                  <c:v>1.0356151544498595</c:v>
                </c:pt>
                <c:pt idx="150">
                  <c:v>0.81001138963256536</c:v>
                </c:pt>
                <c:pt idx="151">
                  <c:v>1.6139869347016558</c:v>
                </c:pt>
                <c:pt idx="152">
                  <c:v>1.2513247658643978</c:v>
                </c:pt>
                <c:pt idx="153">
                  <c:v>1.1780867637368739</c:v>
                </c:pt>
                <c:pt idx="154">
                  <c:v>1.1750757483839116</c:v>
                </c:pt>
                <c:pt idx="155">
                  <c:v>1.2257314455075607</c:v>
                </c:pt>
                <c:pt idx="156">
                  <c:v>1.2590855307150328</c:v>
                </c:pt>
                <c:pt idx="157">
                  <c:v>1.2562768305586147</c:v>
                </c:pt>
                <c:pt idx="158">
                  <c:v>1.3019412546037261</c:v>
                </c:pt>
                <c:pt idx="159">
                  <c:v>1.2347592325690142</c:v>
                </c:pt>
                <c:pt idx="160">
                  <c:v>1.3649163783859324</c:v>
                </c:pt>
                <c:pt idx="161">
                  <c:v>1.8712130928348991</c:v>
                </c:pt>
                <c:pt idx="162">
                  <c:v>1.4185824218381531</c:v>
                </c:pt>
                <c:pt idx="163">
                  <c:v>1.2318469896840969</c:v>
                </c:pt>
                <c:pt idx="164">
                  <c:v>1.6426498729849517</c:v>
                </c:pt>
                <c:pt idx="165">
                  <c:v>1.3541745362490702</c:v>
                </c:pt>
                <c:pt idx="166">
                  <c:v>1.1363803486620696</c:v>
                </c:pt>
                <c:pt idx="167">
                  <c:v>1.3973460333516139</c:v>
                </c:pt>
                <c:pt idx="168">
                  <c:v>2.3041574627484738</c:v>
                </c:pt>
                <c:pt idx="169">
                  <c:v>2.1598119902405912</c:v>
                </c:pt>
                <c:pt idx="170">
                  <c:v>0.93791006665785359</c:v>
                </c:pt>
                <c:pt idx="171">
                  <c:v>1.4321594010787457</c:v>
                </c:pt>
                <c:pt idx="172">
                  <c:v>1.3564374511915354</c:v>
                </c:pt>
                <c:pt idx="173">
                  <c:v>2.6444397211552655</c:v>
                </c:pt>
                <c:pt idx="174">
                  <c:v>1.9571780539059229</c:v>
                </c:pt>
                <c:pt idx="175">
                  <c:v>1.3826741523751238</c:v>
                </c:pt>
                <c:pt idx="176">
                  <c:v>0.6762959582481799</c:v>
                </c:pt>
                <c:pt idx="177">
                  <c:v>1.008028750577413</c:v>
                </c:pt>
                <c:pt idx="178">
                  <c:v>1.1894844324913778</c:v>
                </c:pt>
                <c:pt idx="179">
                  <c:v>1.8953979767016702</c:v>
                </c:pt>
                <c:pt idx="180">
                  <c:v>1.4596088729345433</c:v>
                </c:pt>
                <c:pt idx="181">
                  <c:v>1.9077931730661086</c:v>
                </c:pt>
                <c:pt idx="182">
                  <c:v>1.5963886352920298</c:v>
                </c:pt>
                <c:pt idx="183">
                  <c:v>1.484875890338786</c:v>
                </c:pt>
                <c:pt idx="184">
                  <c:v>1.0569642492667561</c:v>
                </c:pt>
                <c:pt idx="185">
                  <c:v>2.0614005199370671</c:v>
                </c:pt>
                <c:pt idx="186">
                  <c:v>0.91498469141284478</c:v>
                </c:pt>
                <c:pt idx="187">
                  <c:v>2.3464502423270477</c:v>
                </c:pt>
                <c:pt idx="188">
                  <c:v>2.4359566257244731</c:v>
                </c:pt>
                <c:pt idx="189">
                  <c:v>1.4368641121280543</c:v>
                </c:pt>
                <c:pt idx="190">
                  <c:v>1.5710468122095345</c:v>
                </c:pt>
                <c:pt idx="191">
                  <c:v>2.7386157194045646</c:v>
                </c:pt>
                <c:pt idx="192">
                  <c:v>1.5489495283908705</c:v>
                </c:pt>
                <c:pt idx="193">
                  <c:v>1.6690368485066298</c:v>
                </c:pt>
                <c:pt idx="194">
                  <c:v>1.82784459240108</c:v>
                </c:pt>
                <c:pt idx="195">
                  <c:v>2.2135974214669707</c:v>
                </c:pt>
                <c:pt idx="196">
                  <c:v>1.592350856628868</c:v>
                </c:pt>
                <c:pt idx="197">
                  <c:v>1.3868862299670786</c:v>
                </c:pt>
                <c:pt idx="198">
                  <c:v>1.2927149427470916</c:v>
                </c:pt>
                <c:pt idx="199">
                  <c:v>0.75072221029296027</c:v>
                </c:pt>
                <c:pt idx="200">
                  <c:v>1.9404936547645257</c:v>
                </c:pt>
                <c:pt idx="201">
                  <c:v>1.358105561906104</c:v>
                </c:pt>
                <c:pt idx="202">
                  <c:v>1.6585658139235577</c:v>
                </c:pt>
                <c:pt idx="203">
                  <c:v>1.392282311688124</c:v>
                </c:pt>
                <c:pt idx="204">
                  <c:v>1.828802295834536</c:v>
                </c:pt>
                <c:pt idx="205">
                  <c:v>2.2447171992350321</c:v>
                </c:pt>
                <c:pt idx="206">
                  <c:v>1.9019036068701081</c:v>
                </c:pt>
                <c:pt idx="207">
                  <c:v>1.1704446793439585</c:v>
                </c:pt>
                <c:pt idx="208">
                  <c:v>1.7475574825592937</c:v>
                </c:pt>
                <c:pt idx="209">
                  <c:v>2.2236759501220891</c:v>
                </c:pt>
                <c:pt idx="210">
                  <c:v>1.9879589539375342</c:v>
                </c:pt>
                <c:pt idx="211">
                  <c:v>2.0087970981087873</c:v>
                </c:pt>
                <c:pt idx="212">
                  <c:v>1.4986693583302733</c:v>
                </c:pt>
                <c:pt idx="213">
                  <c:v>1.3186172092729258</c:v>
                </c:pt>
                <c:pt idx="214">
                  <c:v>1.7874689706362066</c:v>
                </c:pt>
                <c:pt idx="215">
                  <c:v>0.67456258540848857</c:v>
                </c:pt>
                <c:pt idx="216">
                  <c:v>1.0756848664437799</c:v>
                </c:pt>
                <c:pt idx="217">
                  <c:v>1.6970283766363055</c:v>
                </c:pt>
                <c:pt idx="218">
                  <c:v>1.2320270071792656</c:v>
                </c:pt>
                <c:pt idx="219">
                  <c:v>1.9189222315857666</c:v>
                </c:pt>
                <c:pt idx="220">
                  <c:v>2.3047517444972305</c:v>
                </c:pt>
                <c:pt idx="221">
                  <c:v>2.6369174561121116</c:v>
                </c:pt>
                <c:pt idx="222">
                  <c:v>1.0293098714399596</c:v>
                </c:pt>
                <c:pt idx="223">
                  <c:v>0.94753660934956419</c:v>
                </c:pt>
                <c:pt idx="224">
                  <c:v>2.4818328297426966</c:v>
                </c:pt>
                <c:pt idx="225">
                  <c:v>1.549123414564981</c:v>
                </c:pt>
                <c:pt idx="226">
                  <c:v>0.9854100070923747</c:v>
                </c:pt>
                <c:pt idx="227">
                  <c:v>1.9689290757805624</c:v>
                </c:pt>
                <c:pt idx="228">
                  <c:v>1.3394776532788442</c:v>
                </c:pt>
                <c:pt idx="229">
                  <c:v>3.3338667883001012</c:v>
                </c:pt>
                <c:pt idx="230">
                  <c:v>2.2205679862486321</c:v>
                </c:pt>
                <c:pt idx="231">
                  <c:v>1.4570935247342094</c:v>
                </c:pt>
                <c:pt idx="232">
                  <c:v>2.532004102831912</c:v>
                </c:pt>
                <c:pt idx="233">
                  <c:v>2.9352047561738659</c:v>
                </c:pt>
                <c:pt idx="234">
                  <c:v>2.1049069152958855</c:v>
                </c:pt>
                <c:pt idx="235">
                  <c:v>1.5206207882635787</c:v>
                </c:pt>
                <c:pt idx="236">
                  <c:v>3.6290967896398789</c:v>
                </c:pt>
                <c:pt idx="237">
                  <c:v>2.1228194150362767</c:v>
                </c:pt>
                <c:pt idx="238">
                  <c:v>2.3338738280128664</c:v>
                </c:pt>
                <c:pt idx="239">
                  <c:v>1.8149834332410735</c:v>
                </c:pt>
                <c:pt idx="240">
                  <c:v>2.0282460326686236</c:v>
                </c:pt>
                <c:pt idx="241">
                  <c:v>2.0324136615028738</c:v>
                </c:pt>
                <c:pt idx="242">
                  <c:v>1.4962356997225408</c:v>
                </c:pt>
                <c:pt idx="243">
                  <c:v>2.8079296323692664</c:v>
                </c:pt>
                <c:pt idx="244">
                  <c:v>2.0657822514428021</c:v>
                </c:pt>
                <c:pt idx="245">
                  <c:v>1.6842236249136839</c:v>
                </c:pt>
                <c:pt idx="246">
                  <c:v>1.8611828164544308</c:v>
                </c:pt>
                <c:pt idx="247">
                  <c:v>2.3306453144673411</c:v>
                </c:pt>
                <c:pt idx="248">
                  <c:v>2.9465135858151714</c:v>
                </c:pt>
                <c:pt idx="249">
                  <c:v>2.9340106993124198</c:v>
                </c:pt>
                <c:pt idx="250">
                  <c:v>3.0236147192488074</c:v>
                </c:pt>
                <c:pt idx="251">
                  <c:v>3.0048603894946799</c:v>
                </c:pt>
                <c:pt idx="252">
                  <c:v>3.0173632759974316</c:v>
                </c:pt>
                <c:pt idx="253">
                  <c:v>3.0111118327460558</c:v>
                </c:pt>
                <c:pt idx="254">
                  <c:v>2.1667604910323823</c:v>
                </c:pt>
                <c:pt idx="255">
                  <c:v>2.2917050740919138</c:v>
                </c:pt>
                <c:pt idx="256">
                  <c:v>2.934133580701908</c:v>
                </c:pt>
                <c:pt idx="257">
                  <c:v>2.7924997043954289</c:v>
                </c:pt>
                <c:pt idx="258">
                  <c:v>3.9007223111414722</c:v>
                </c:pt>
                <c:pt idx="259">
                  <c:v>2.9224686635449011</c:v>
                </c:pt>
                <c:pt idx="260">
                  <c:v>2.3031448610076581</c:v>
                </c:pt>
                <c:pt idx="261">
                  <c:v>2.3986355660050145</c:v>
                </c:pt>
                <c:pt idx="262">
                  <c:v>2.9556646784895912</c:v>
                </c:pt>
                <c:pt idx="263">
                  <c:v>3.2401840760672038</c:v>
                </c:pt>
                <c:pt idx="264">
                  <c:v>2.6884096648583249</c:v>
                </c:pt>
                <c:pt idx="265">
                  <c:v>2.7668023552772643</c:v>
                </c:pt>
                <c:pt idx="266">
                  <c:v>2.1115754540609921</c:v>
                </c:pt>
                <c:pt idx="267">
                  <c:v>2.3698771228746178</c:v>
                </c:pt>
                <c:pt idx="268">
                  <c:v>2.7923113189478994</c:v>
                </c:pt>
                <c:pt idx="269">
                  <c:v>2.9110887407240416</c:v>
                </c:pt>
                <c:pt idx="270">
                  <c:v>3.0215309048316823</c:v>
                </c:pt>
                <c:pt idx="271">
                  <c:v>2.9673517299864245</c:v>
                </c:pt>
                <c:pt idx="272">
                  <c:v>3.0048603894946799</c:v>
                </c:pt>
                <c:pt idx="273">
                  <c:v>2.9965251318261785</c:v>
                </c:pt>
                <c:pt idx="274">
                  <c:v>2.6807730162772905</c:v>
                </c:pt>
                <c:pt idx="275">
                  <c:v>2.6459783222607123</c:v>
                </c:pt>
                <c:pt idx="369">
                  <c:v>2.6807730162772905</c:v>
                </c:pt>
                <c:pt idx="370">
                  <c:v>2.6459783222607123</c:v>
                </c:pt>
                <c:pt idx="371">
                  <c:v>2.1667604910323823</c:v>
                </c:pt>
                <c:pt idx="372">
                  <c:v>2.2917050740919138</c:v>
                </c:pt>
                <c:pt idx="373">
                  <c:v>2.7923113189478994</c:v>
                </c:pt>
                <c:pt idx="374">
                  <c:v>2.9110887407240416</c:v>
                </c:pt>
                <c:pt idx="375">
                  <c:v>3.0215309048316823</c:v>
                </c:pt>
                <c:pt idx="376">
                  <c:v>2.9673517299864245</c:v>
                </c:pt>
                <c:pt idx="377">
                  <c:v>3.0048603894946799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FD-4B48-B911-BF7D82A21CD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1-3FFD-4B48-B911-BF7D82A21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81280"/>
        <c:axId val="129682816"/>
      </c:scatterChart>
      <c:valAx>
        <c:axId val="1296812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2816"/>
        <c:crosses val="autoZero"/>
        <c:crossBetween val="midCat"/>
      </c:valAx>
      <c:valAx>
        <c:axId val="1296828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12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+mn-lt"/>
        </a:defRPr>
      </a:pPr>
      <a:endParaRPr lang="ko-KR"/>
    </a:p>
  </c:txPr>
  <c:printSettings>
    <c:headerFooter/>
    <c:pageMargins b="0.75000000000000466" l="0.70000000000000062" r="0.70000000000000062" t="0.75000000000000466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3.2301041666667023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(2)'!$O$20:$O$1548</c:f>
              <c:numCache>
                <c:formatCode>General</c:formatCode>
                <c:ptCount val="1368"/>
                <c:pt idx="0">
                  <c:v>16</c:v>
                </c:pt>
                <c:pt idx="1">
                  <c:v>16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13.921985815602838</c:v>
                </c:pt>
                <c:pt idx="19">
                  <c:v>13.829787234042554</c:v>
                </c:pt>
                <c:pt idx="20">
                  <c:v>13.787234042553195</c:v>
                </c:pt>
                <c:pt idx="21">
                  <c:v>13.744680851063832</c:v>
                </c:pt>
                <c:pt idx="22">
                  <c:v>13.744680851063832</c:v>
                </c:pt>
                <c:pt idx="23">
                  <c:v>13.680851063829788</c:v>
                </c:pt>
                <c:pt idx="24">
                  <c:v>13.652482269503549</c:v>
                </c:pt>
                <c:pt idx="25">
                  <c:v>13.567375886524824</c:v>
                </c:pt>
                <c:pt idx="26">
                  <c:v>8.3595113438045381</c:v>
                </c:pt>
                <c:pt idx="27">
                  <c:v>12.368794326241137</c:v>
                </c:pt>
                <c:pt idx="28">
                  <c:v>12.234042553191491</c:v>
                </c:pt>
                <c:pt idx="29">
                  <c:v>12.148936170212767</c:v>
                </c:pt>
                <c:pt idx="30">
                  <c:v>12.067039106145252</c:v>
                </c:pt>
                <c:pt idx="31">
                  <c:v>12.056737588652483</c:v>
                </c:pt>
                <c:pt idx="32">
                  <c:v>12.014184397163124</c:v>
                </c:pt>
                <c:pt idx="33">
                  <c:v>12.014184397163124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12.000000000000004</c:v>
                </c:pt>
                <c:pt idx="41">
                  <c:v>12.000000000000004</c:v>
                </c:pt>
                <c:pt idx="42">
                  <c:v>11.921985815602838</c:v>
                </c:pt>
                <c:pt idx="43">
                  <c:v>11.921985815602838</c:v>
                </c:pt>
                <c:pt idx="44">
                  <c:v>11.879432624113477</c:v>
                </c:pt>
                <c:pt idx="45">
                  <c:v>11.858156028368795</c:v>
                </c:pt>
                <c:pt idx="46">
                  <c:v>11.744680851063832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15.749999999999998</c:v>
                </c:pt>
                <c:pt idx="54">
                  <c:v>15.28</c:v>
                </c:pt>
                <c:pt idx="55">
                  <c:v>10.581560283687944</c:v>
                </c:pt>
                <c:pt idx="56">
                  <c:v>10.43262411347518</c:v>
                </c:pt>
                <c:pt idx="57">
                  <c:v>10.418439716312058</c:v>
                </c:pt>
                <c:pt idx="58">
                  <c:v>10.418439716312058</c:v>
                </c:pt>
                <c:pt idx="59">
                  <c:v>10.375886524822697</c:v>
                </c:pt>
                <c:pt idx="60">
                  <c:v>10.375886524822697</c:v>
                </c:pt>
                <c:pt idx="61">
                  <c:v>14.58</c:v>
                </c:pt>
                <c:pt idx="62">
                  <c:v>14.58</c:v>
                </c:pt>
                <c:pt idx="63">
                  <c:v>10.312056737588653</c:v>
                </c:pt>
                <c:pt idx="64">
                  <c:v>10.312056737588653</c:v>
                </c:pt>
                <c:pt idx="65">
                  <c:v>14.54</c:v>
                </c:pt>
                <c:pt idx="66">
                  <c:v>14.54</c:v>
                </c:pt>
                <c:pt idx="67">
                  <c:v>10.283687943262413</c:v>
                </c:pt>
                <c:pt idx="68">
                  <c:v>10.283687943262413</c:v>
                </c:pt>
                <c:pt idx="69">
                  <c:v>14.499999999999998</c:v>
                </c:pt>
                <c:pt idx="70">
                  <c:v>14.499999999999998</c:v>
                </c:pt>
                <c:pt idx="71">
                  <c:v>14.42</c:v>
                </c:pt>
                <c:pt idx="72">
                  <c:v>14.42</c:v>
                </c:pt>
                <c:pt idx="73">
                  <c:v>14.38</c:v>
                </c:pt>
                <c:pt idx="74">
                  <c:v>14.38</c:v>
                </c:pt>
                <c:pt idx="75">
                  <c:v>14.38</c:v>
                </c:pt>
                <c:pt idx="76">
                  <c:v>14.38</c:v>
                </c:pt>
                <c:pt idx="77">
                  <c:v>14.35</c:v>
                </c:pt>
                <c:pt idx="78">
                  <c:v>14.299999999999999</c:v>
                </c:pt>
                <c:pt idx="79">
                  <c:v>14.27</c:v>
                </c:pt>
                <c:pt idx="80">
                  <c:v>14.25</c:v>
                </c:pt>
                <c:pt idx="81">
                  <c:v>14.25</c:v>
                </c:pt>
                <c:pt idx="82">
                  <c:v>14.13</c:v>
                </c:pt>
                <c:pt idx="83">
                  <c:v>14.09</c:v>
                </c:pt>
                <c:pt idx="84">
                  <c:v>14.080000000000002</c:v>
                </c:pt>
                <c:pt idx="85">
                  <c:v>14.059999999999999</c:v>
                </c:pt>
                <c:pt idx="86">
                  <c:v>9.9441340782122918</c:v>
                </c:pt>
                <c:pt idx="87">
                  <c:v>12.66</c:v>
                </c:pt>
                <c:pt idx="88">
                  <c:v>12.590000000000002</c:v>
                </c:pt>
                <c:pt idx="89">
                  <c:v>8.9078014184397176</c:v>
                </c:pt>
                <c:pt idx="90">
                  <c:v>12.56</c:v>
                </c:pt>
                <c:pt idx="91">
                  <c:v>8.8652482269503565</c:v>
                </c:pt>
                <c:pt idx="92">
                  <c:v>12.5</c:v>
                </c:pt>
                <c:pt idx="93">
                  <c:v>12.439999999999998</c:v>
                </c:pt>
                <c:pt idx="94">
                  <c:v>12.38</c:v>
                </c:pt>
                <c:pt idx="95">
                  <c:v>12.31</c:v>
                </c:pt>
                <c:pt idx="96">
                  <c:v>12.21</c:v>
                </c:pt>
                <c:pt idx="97">
                  <c:v>12.19</c:v>
                </c:pt>
                <c:pt idx="98">
                  <c:v>12.17</c:v>
                </c:pt>
                <c:pt idx="99">
                  <c:v>12.17</c:v>
                </c:pt>
                <c:pt idx="100">
                  <c:v>8.6028368794326244</c:v>
                </c:pt>
                <c:pt idx="101">
                  <c:v>12.129999999999999</c:v>
                </c:pt>
                <c:pt idx="102">
                  <c:v>8.6028368794326244</c:v>
                </c:pt>
                <c:pt idx="103">
                  <c:v>8.5744680851063837</c:v>
                </c:pt>
                <c:pt idx="104">
                  <c:v>12.06</c:v>
                </c:pt>
                <c:pt idx="105">
                  <c:v>12.06</c:v>
                </c:pt>
                <c:pt idx="106">
                  <c:v>12.04</c:v>
                </c:pt>
                <c:pt idx="107">
                  <c:v>12.03</c:v>
                </c:pt>
                <c:pt idx="108">
                  <c:v>8.5106382978723403</c:v>
                </c:pt>
                <c:pt idx="109">
                  <c:v>8.5106382978723403</c:v>
                </c:pt>
                <c:pt idx="110">
                  <c:v>11.999999999999998</c:v>
                </c:pt>
                <c:pt idx="111">
                  <c:v>11.999999999999998</c:v>
                </c:pt>
                <c:pt idx="112">
                  <c:v>11.97</c:v>
                </c:pt>
                <c:pt idx="113">
                  <c:v>11.95</c:v>
                </c:pt>
                <c:pt idx="114">
                  <c:v>11.9</c:v>
                </c:pt>
                <c:pt idx="115">
                  <c:v>11.88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11.299212598425198</c:v>
                </c:pt>
                <c:pt idx="120">
                  <c:v>11.299212598425198</c:v>
                </c:pt>
                <c:pt idx="121">
                  <c:v>11.25</c:v>
                </c:pt>
                <c:pt idx="122">
                  <c:v>7.9608938547486039</c:v>
                </c:pt>
                <c:pt idx="123">
                  <c:v>7.9608938547486039</c:v>
                </c:pt>
                <c:pt idx="124">
                  <c:v>7.9608938547486039</c:v>
                </c:pt>
                <c:pt idx="125">
                  <c:v>11.13</c:v>
                </c:pt>
                <c:pt idx="126">
                  <c:v>11.06</c:v>
                </c:pt>
                <c:pt idx="127">
                  <c:v>7.8212290502793298</c:v>
                </c:pt>
                <c:pt idx="128">
                  <c:v>7.8212290502793298</c:v>
                </c:pt>
                <c:pt idx="129">
                  <c:v>7.8212290502793298</c:v>
                </c:pt>
                <c:pt idx="130">
                  <c:v>7.8212290502793298</c:v>
                </c:pt>
                <c:pt idx="131">
                  <c:v>7.8212290502793298</c:v>
                </c:pt>
                <c:pt idx="132">
                  <c:v>10.94</c:v>
                </c:pt>
                <c:pt idx="133">
                  <c:v>10.83</c:v>
                </c:pt>
                <c:pt idx="134">
                  <c:v>10.58</c:v>
                </c:pt>
                <c:pt idx="135">
                  <c:v>10.5</c:v>
                </c:pt>
                <c:pt idx="136">
                  <c:v>10.35</c:v>
                </c:pt>
                <c:pt idx="137">
                  <c:v>10.33</c:v>
                </c:pt>
                <c:pt idx="138">
                  <c:v>10.33</c:v>
                </c:pt>
                <c:pt idx="139">
                  <c:v>10.29</c:v>
                </c:pt>
                <c:pt idx="140">
                  <c:v>10.25</c:v>
                </c:pt>
                <c:pt idx="141">
                  <c:v>10.130000000000001</c:v>
                </c:pt>
                <c:pt idx="142">
                  <c:v>10.1</c:v>
                </c:pt>
                <c:pt idx="143">
                  <c:v>10.08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9.94</c:v>
                </c:pt>
                <c:pt idx="148">
                  <c:v>9.92</c:v>
                </c:pt>
                <c:pt idx="149">
                  <c:v>9.92</c:v>
                </c:pt>
                <c:pt idx="150">
                  <c:v>9.9</c:v>
                </c:pt>
                <c:pt idx="151">
                  <c:v>9.8800000000000008</c:v>
                </c:pt>
                <c:pt idx="152">
                  <c:v>9.8800000000000008</c:v>
                </c:pt>
                <c:pt idx="153">
                  <c:v>9.8800000000000008</c:v>
                </c:pt>
                <c:pt idx="154">
                  <c:v>9.8800000000000008</c:v>
                </c:pt>
                <c:pt idx="155">
                  <c:v>9.81</c:v>
                </c:pt>
                <c:pt idx="156">
                  <c:v>9.7899999999999991</c:v>
                </c:pt>
                <c:pt idx="157">
                  <c:v>9.77</c:v>
                </c:pt>
                <c:pt idx="158">
                  <c:v>9.75</c:v>
                </c:pt>
                <c:pt idx="159">
                  <c:v>9.75</c:v>
                </c:pt>
                <c:pt idx="160">
                  <c:v>9.69</c:v>
                </c:pt>
                <c:pt idx="161">
                  <c:v>9.69</c:v>
                </c:pt>
                <c:pt idx="162">
                  <c:v>9.69</c:v>
                </c:pt>
                <c:pt idx="163">
                  <c:v>9.66</c:v>
                </c:pt>
                <c:pt idx="164">
                  <c:v>9.6300000000000008</c:v>
                </c:pt>
                <c:pt idx="165">
                  <c:v>9.6</c:v>
                </c:pt>
                <c:pt idx="166">
                  <c:v>9.58</c:v>
                </c:pt>
                <c:pt idx="167">
                  <c:v>9.58</c:v>
                </c:pt>
                <c:pt idx="168">
                  <c:v>9.56</c:v>
                </c:pt>
                <c:pt idx="169">
                  <c:v>9.56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9.4700000000000006</c:v>
                </c:pt>
                <c:pt idx="177">
                  <c:v>9.4600000000000009</c:v>
                </c:pt>
                <c:pt idx="178">
                  <c:v>9.42</c:v>
                </c:pt>
                <c:pt idx="179">
                  <c:v>9.3800000000000008</c:v>
                </c:pt>
                <c:pt idx="180">
                  <c:v>9.3800000000000008</c:v>
                </c:pt>
                <c:pt idx="181">
                  <c:v>9.3800000000000008</c:v>
                </c:pt>
                <c:pt idx="182">
                  <c:v>9.3800000000000008</c:v>
                </c:pt>
                <c:pt idx="183">
                  <c:v>9.33</c:v>
                </c:pt>
                <c:pt idx="184">
                  <c:v>9.33</c:v>
                </c:pt>
                <c:pt idx="185">
                  <c:v>9.31</c:v>
                </c:pt>
                <c:pt idx="186">
                  <c:v>9.25</c:v>
                </c:pt>
                <c:pt idx="187">
                  <c:v>9.25</c:v>
                </c:pt>
                <c:pt idx="188">
                  <c:v>9.25</c:v>
                </c:pt>
                <c:pt idx="189">
                  <c:v>9.25</c:v>
                </c:pt>
                <c:pt idx="190">
                  <c:v>9.19</c:v>
                </c:pt>
                <c:pt idx="191">
                  <c:v>9.19</c:v>
                </c:pt>
                <c:pt idx="192">
                  <c:v>9.19</c:v>
                </c:pt>
                <c:pt idx="193">
                  <c:v>9.17</c:v>
                </c:pt>
                <c:pt idx="194">
                  <c:v>9.1300000000000008</c:v>
                </c:pt>
                <c:pt idx="195">
                  <c:v>9.06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6.061452513966481</c:v>
                </c:pt>
                <c:pt idx="200">
                  <c:v>8.31</c:v>
                </c:pt>
                <c:pt idx="201">
                  <c:v>8.3070866141732296</c:v>
                </c:pt>
                <c:pt idx="202">
                  <c:v>8.3070866141732296</c:v>
                </c:pt>
                <c:pt idx="203">
                  <c:v>8.3070866141732296</c:v>
                </c:pt>
                <c:pt idx="204">
                  <c:v>8.25</c:v>
                </c:pt>
                <c:pt idx="205">
                  <c:v>8.25</c:v>
                </c:pt>
                <c:pt idx="206">
                  <c:v>5.8379888268156428</c:v>
                </c:pt>
                <c:pt idx="207">
                  <c:v>5.6983240223463696</c:v>
                </c:pt>
                <c:pt idx="208">
                  <c:v>8.0314960629921259</c:v>
                </c:pt>
                <c:pt idx="209">
                  <c:v>8</c:v>
                </c:pt>
                <c:pt idx="210">
                  <c:v>6</c:v>
                </c:pt>
                <c:pt idx="211">
                  <c:v>6</c:v>
                </c:pt>
                <c:pt idx="212">
                  <c:v>7.06</c:v>
                </c:pt>
                <c:pt idx="213">
                  <c:v>7.06</c:v>
                </c:pt>
                <c:pt idx="214">
                  <c:v>7</c:v>
                </c:pt>
                <c:pt idx="215">
                  <c:v>6.3385826771653546</c:v>
                </c:pt>
                <c:pt idx="216">
                  <c:v>6.33</c:v>
                </c:pt>
                <c:pt idx="217">
                  <c:v>6.29</c:v>
                </c:pt>
                <c:pt idx="218">
                  <c:v>6.25</c:v>
                </c:pt>
                <c:pt idx="219">
                  <c:v>6.25</c:v>
                </c:pt>
                <c:pt idx="220">
                  <c:v>6.25</c:v>
                </c:pt>
                <c:pt idx="221">
                  <c:v>9.9519999999999982</c:v>
                </c:pt>
                <c:pt idx="222">
                  <c:v>6.21</c:v>
                </c:pt>
                <c:pt idx="223">
                  <c:v>6.19</c:v>
                </c:pt>
                <c:pt idx="224">
                  <c:v>6.16</c:v>
                </c:pt>
                <c:pt idx="225">
                  <c:v>6.13</c:v>
                </c:pt>
                <c:pt idx="226">
                  <c:v>6.13</c:v>
                </c:pt>
                <c:pt idx="227">
                  <c:v>6.0999999999999988</c:v>
                </c:pt>
                <c:pt idx="228">
                  <c:v>6.09</c:v>
                </c:pt>
                <c:pt idx="229">
                  <c:v>9.695999999999998</c:v>
                </c:pt>
                <c:pt idx="230">
                  <c:v>9.6479999999999997</c:v>
                </c:pt>
                <c:pt idx="231">
                  <c:v>6.03</c:v>
                </c:pt>
                <c:pt idx="232">
                  <c:v>9.5999999999999979</c:v>
                </c:pt>
                <c:pt idx="233">
                  <c:v>9.5999999999999979</c:v>
                </c:pt>
                <c:pt idx="234">
                  <c:v>9.5999999999999979</c:v>
                </c:pt>
                <c:pt idx="235">
                  <c:v>5.9999999999999991</c:v>
                </c:pt>
                <c:pt idx="236">
                  <c:v>9.5039999999999996</c:v>
                </c:pt>
                <c:pt idx="237">
                  <c:v>5.63</c:v>
                </c:pt>
                <c:pt idx="238">
                  <c:v>5.5</c:v>
                </c:pt>
                <c:pt idx="239">
                  <c:v>5.5</c:v>
                </c:pt>
                <c:pt idx="240">
                  <c:v>6</c:v>
                </c:pt>
                <c:pt idx="241">
                  <c:v>6</c:v>
                </c:pt>
                <c:pt idx="242">
                  <c:v>8.3040000000000003</c:v>
                </c:pt>
                <c:pt idx="243">
                  <c:v>8.3040000000000003</c:v>
                </c:pt>
                <c:pt idx="244">
                  <c:v>8.24</c:v>
                </c:pt>
                <c:pt idx="245">
                  <c:v>8.0640000000000001</c:v>
                </c:pt>
                <c:pt idx="246">
                  <c:v>8.048</c:v>
                </c:pt>
                <c:pt idx="247">
                  <c:v>8.0319999999999983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7.056</c:v>
                </c:pt>
                <c:pt idx="257">
                  <c:v>6.7519999999999989</c:v>
                </c:pt>
                <c:pt idx="258">
                  <c:v>6.7039999999999997</c:v>
                </c:pt>
                <c:pt idx="259">
                  <c:v>6.6559999999999997</c:v>
                </c:pt>
                <c:pt idx="260">
                  <c:v>6.6079999999999988</c:v>
                </c:pt>
                <c:pt idx="261">
                  <c:v>6.6079999999999988</c:v>
                </c:pt>
                <c:pt idx="262">
                  <c:v>6.6079999999999988</c:v>
                </c:pt>
                <c:pt idx="263">
                  <c:v>6.5439999999999996</c:v>
                </c:pt>
                <c:pt idx="264">
                  <c:v>6.5439999999999996</c:v>
                </c:pt>
                <c:pt idx="265">
                  <c:v>6.4959999999999987</c:v>
                </c:pt>
                <c:pt idx="266">
                  <c:v>6.4959999999999987</c:v>
                </c:pt>
                <c:pt idx="267">
                  <c:v>6.0960000000000001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91">
                  <c:v>8</c:v>
                </c:pt>
                <c:pt idx="292">
                  <c:v>8.3000000000000007</c:v>
                </c:pt>
                <c:pt idx="293">
                  <c:v>8.5</c:v>
                </c:pt>
                <c:pt idx="294">
                  <c:v>7.5</c:v>
                </c:pt>
                <c:pt idx="295">
                  <c:v>7.4</c:v>
                </c:pt>
                <c:pt idx="296">
                  <c:v>7.4</c:v>
                </c:pt>
                <c:pt idx="297">
                  <c:v>7.1</c:v>
                </c:pt>
                <c:pt idx="298">
                  <c:v>7</c:v>
                </c:pt>
                <c:pt idx="299">
                  <c:v>5.9999999999999991</c:v>
                </c:pt>
                <c:pt idx="300">
                  <c:v>5.9999999999999991</c:v>
                </c:pt>
                <c:pt idx="301">
                  <c:v>6.0999999999999988</c:v>
                </c:pt>
                <c:pt idx="302">
                  <c:v>6.0999999999999988</c:v>
                </c:pt>
                <c:pt idx="303">
                  <c:v>6.3</c:v>
                </c:pt>
                <c:pt idx="304">
                  <c:v>6.3</c:v>
                </c:pt>
                <c:pt idx="305">
                  <c:v>6.4</c:v>
                </c:pt>
                <c:pt idx="306">
                  <c:v>6.5</c:v>
                </c:pt>
                <c:pt idx="307">
                  <c:v>6.5</c:v>
                </c:pt>
                <c:pt idx="308">
                  <c:v>6.5</c:v>
                </c:pt>
                <c:pt idx="309">
                  <c:v>6.6</c:v>
                </c:pt>
                <c:pt idx="310">
                  <c:v>6.5</c:v>
                </c:pt>
                <c:pt idx="311">
                  <c:v>6.5</c:v>
                </c:pt>
                <c:pt idx="312">
                  <c:v>6.4</c:v>
                </c:pt>
                <c:pt idx="313">
                  <c:v>8.4</c:v>
                </c:pt>
                <c:pt idx="314">
                  <c:v>6.5</c:v>
                </c:pt>
                <c:pt idx="315">
                  <c:v>6.3</c:v>
                </c:pt>
                <c:pt idx="316">
                  <c:v>6.8000000000000007</c:v>
                </c:pt>
                <c:pt idx="317">
                  <c:v>5.9999999999999991</c:v>
                </c:pt>
                <c:pt idx="318">
                  <c:v>6.0999999999999988</c:v>
                </c:pt>
                <c:pt idx="319">
                  <c:v>6.8000000000000007</c:v>
                </c:pt>
                <c:pt idx="320">
                  <c:v>6.3</c:v>
                </c:pt>
                <c:pt idx="321">
                  <c:v>6.6</c:v>
                </c:pt>
                <c:pt idx="322">
                  <c:v>6.9</c:v>
                </c:pt>
                <c:pt idx="329">
                  <c:v>20</c:v>
                </c:pt>
                <c:pt idx="330">
                  <c:v>20</c:v>
                </c:pt>
                <c:pt idx="331">
                  <c:v>7</c:v>
                </c:pt>
                <c:pt idx="332">
                  <c:v>7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13</c:v>
                </c:pt>
                <c:pt idx="337">
                  <c:v>13</c:v>
                </c:pt>
                <c:pt idx="338">
                  <c:v>13</c:v>
                </c:pt>
                <c:pt idx="339">
                  <c:v>16</c:v>
                </c:pt>
                <c:pt idx="340">
                  <c:v>7</c:v>
                </c:pt>
                <c:pt idx="341">
                  <c:v>7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16</c:v>
                </c:pt>
                <c:pt idx="349">
                  <c:v>20</c:v>
                </c:pt>
                <c:pt idx="350">
                  <c:v>20</c:v>
                </c:pt>
                <c:pt idx="351">
                  <c:v>7</c:v>
                </c:pt>
                <c:pt idx="352">
                  <c:v>10</c:v>
                </c:pt>
                <c:pt idx="353">
                  <c:v>13</c:v>
                </c:pt>
                <c:pt idx="354">
                  <c:v>7</c:v>
                </c:pt>
                <c:pt idx="355">
                  <c:v>10</c:v>
                </c:pt>
                <c:pt idx="356">
                  <c:v>13</c:v>
                </c:pt>
                <c:pt idx="357">
                  <c:v>16</c:v>
                </c:pt>
                <c:pt idx="358">
                  <c:v>16</c:v>
                </c:pt>
                <c:pt idx="359">
                  <c:v>20</c:v>
                </c:pt>
                <c:pt idx="360">
                  <c:v>20</c:v>
                </c:pt>
                <c:pt idx="361">
                  <c:v>23</c:v>
                </c:pt>
                <c:pt idx="362">
                  <c:v>23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</c:numCache>
            </c:numRef>
          </c:xVal>
          <c:yVal>
            <c:numRef>
              <c:f>'headed (2)'!$CW$20:$CW$1541</c:f>
              <c:numCache>
                <c:formatCode>General</c:formatCode>
                <c:ptCount val="1361"/>
                <c:pt idx="0">
                  <c:v>1.0113172906851617</c:v>
                </c:pt>
                <c:pt idx="1">
                  <c:v>0.93279147752607849</c:v>
                </c:pt>
                <c:pt idx="2">
                  <c:v>0.99974195472107696</c:v>
                </c:pt>
                <c:pt idx="3">
                  <c:v>1.1105974873373516</c:v>
                </c:pt>
                <c:pt idx="4">
                  <c:v>0.95321963141319743</c:v>
                </c:pt>
                <c:pt idx="5">
                  <c:v>1.114387922447718</c:v>
                </c:pt>
                <c:pt idx="6">
                  <c:v>1.0020192712466374</c:v>
                </c:pt>
                <c:pt idx="7">
                  <c:v>1.0835992283701597</c:v>
                </c:pt>
                <c:pt idx="8">
                  <c:v>0.91992270156739442</c:v>
                </c:pt>
                <c:pt idx="9">
                  <c:v>0.60055816701751907</c:v>
                </c:pt>
                <c:pt idx="10">
                  <c:v>0.8064397361857164</c:v>
                </c:pt>
                <c:pt idx="11">
                  <c:v>0.85316543926317967</c:v>
                </c:pt>
                <c:pt idx="12">
                  <c:v>0.91412308338752946</c:v>
                </c:pt>
                <c:pt idx="13">
                  <c:v>0.8457569800117225</c:v>
                </c:pt>
                <c:pt idx="14">
                  <c:v>1.0172127143791025</c:v>
                </c:pt>
                <c:pt idx="15">
                  <c:v>0.94066025167937894</c:v>
                </c:pt>
                <c:pt idx="16">
                  <c:v>0.76127438140166614</c:v>
                </c:pt>
                <c:pt idx="17">
                  <c:v>0.9624039053840493</c:v>
                </c:pt>
                <c:pt idx="18">
                  <c:v>1.2175479015295021</c:v>
                </c:pt>
                <c:pt idx="19">
                  <c:v>1.0434037473596134</c:v>
                </c:pt>
                <c:pt idx="20">
                  <c:v>1.3007003755234947</c:v>
                </c:pt>
                <c:pt idx="21">
                  <c:v>1.3425283319770762</c:v>
                </c:pt>
                <c:pt idx="22">
                  <c:v>0.9576858753337375</c:v>
                </c:pt>
                <c:pt idx="23">
                  <c:v>1.0392943971333077</c:v>
                </c:pt>
                <c:pt idx="24">
                  <c:v>0.96182109083432143</c:v>
                </c:pt>
                <c:pt idx="25">
                  <c:v>1.1967680745785221</c:v>
                </c:pt>
                <c:pt idx="26">
                  <c:v>0.31821937636590253</c:v>
                </c:pt>
                <c:pt idx="27">
                  <c:v>0.9895836477926353</c:v>
                </c:pt>
                <c:pt idx="28">
                  <c:v>1.1280239260463714</c:v>
                </c:pt>
                <c:pt idx="29">
                  <c:v>1.0458762065595366</c:v>
                </c:pt>
                <c:pt idx="30">
                  <c:v>1.0350535220775872</c:v>
                </c:pt>
                <c:pt idx="31">
                  <c:v>0.69930309621863518</c:v>
                </c:pt>
                <c:pt idx="32">
                  <c:v>1.1231993253354746</c:v>
                </c:pt>
                <c:pt idx="33">
                  <c:v>1.056751021942246</c:v>
                </c:pt>
                <c:pt idx="34">
                  <c:v>1.0958701302456109</c:v>
                </c:pt>
                <c:pt idx="35">
                  <c:v>1.0958701302456109</c:v>
                </c:pt>
                <c:pt idx="36">
                  <c:v>1.00807985266901</c:v>
                </c:pt>
                <c:pt idx="37">
                  <c:v>1.00807985266901</c:v>
                </c:pt>
                <c:pt idx="38">
                  <c:v>0.94893254593398446</c:v>
                </c:pt>
                <c:pt idx="39">
                  <c:v>0.94893254593398446</c:v>
                </c:pt>
                <c:pt idx="40">
                  <c:v>0.70142745650926142</c:v>
                </c:pt>
                <c:pt idx="41">
                  <c:v>0.66829991143050049</c:v>
                </c:pt>
                <c:pt idx="42">
                  <c:v>1.0585804325386099</c:v>
                </c:pt>
                <c:pt idx="43">
                  <c:v>1.0436892102875694</c:v>
                </c:pt>
                <c:pt idx="44">
                  <c:v>0.8267117077633499</c:v>
                </c:pt>
                <c:pt idx="45">
                  <c:v>0.98836811047695539</c:v>
                </c:pt>
                <c:pt idx="46">
                  <c:v>1.0477514047953278</c:v>
                </c:pt>
                <c:pt idx="47">
                  <c:v>0.88656349656218902</c:v>
                </c:pt>
                <c:pt idx="48">
                  <c:v>0.88656349656218902</c:v>
                </c:pt>
                <c:pt idx="49">
                  <c:v>0.913470930321853</c:v>
                </c:pt>
                <c:pt idx="50">
                  <c:v>0.913470930321853</c:v>
                </c:pt>
                <c:pt idx="51">
                  <c:v>0.96504995295689378</c:v>
                </c:pt>
                <c:pt idx="52">
                  <c:v>0.96504995295689378</c:v>
                </c:pt>
                <c:pt idx="53">
                  <c:v>1.0564220201122723</c:v>
                </c:pt>
                <c:pt idx="54">
                  <c:v>1.2384810622137228</c:v>
                </c:pt>
                <c:pt idx="55">
                  <c:v>0.51563362796658507</c:v>
                </c:pt>
                <c:pt idx="56">
                  <c:v>0.59492712262465242</c:v>
                </c:pt>
                <c:pt idx="57">
                  <c:v>0.55788863885703999</c:v>
                </c:pt>
                <c:pt idx="58">
                  <c:v>0.70122789556506115</c:v>
                </c:pt>
                <c:pt idx="59">
                  <c:v>0.39567942283543261</c:v>
                </c:pt>
                <c:pt idx="60">
                  <c:v>0.8439802865874686</c:v>
                </c:pt>
                <c:pt idx="61">
                  <c:v>0.83559856691156109</c:v>
                </c:pt>
                <c:pt idx="62">
                  <c:v>0.96939099825013697</c:v>
                </c:pt>
                <c:pt idx="63">
                  <c:v>0.55782635351741428</c:v>
                </c:pt>
                <c:pt idx="64">
                  <c:v>0.48899944075446833</c:v>
                </c:pt>
                <c:pt idx="65">
                  <c:v>1.070038706952406</c:v>
                </c:pt>
                <c:pt idx="66">
                  <c:v>1.0695643990149271</c:v>
                </c:pt>
                <c:pt idx="67">
                  <c:v>0.60951935748641473</c:v>
                </c:pt>
                <c:pt idx="68">
                  <c:v>0.78019756280710717</c:v>
                </c:pt>
                <c:pt idx="69">
                  <c:v>0.98202522476536125</c:v>
                </c:pt>
                <c:pt idx="70">
                  <c:v>1.1384629532737178</c:v>
                </c:pt>
                <c:pt idx="71">
                  <c:v>0.85920996290500906</c:v>
                </c:pt>
                <c:pt idx="72">
                  <c:v>1.2344253536743985</c:v>
                </c:pt>
                <c:pt idx="73">
                  <c:v>1.23092698317647</c:v>
                </c:pt>
                <c:pt idx="74">
                  <c:v>1.3682820765439294</c:v>
                </c:pt>
                <c:pt idx="75">
                  <c:v>1.3465046140644013</c:v>
                </c:pt>
                <c:pt idx="76">
                  <c:v>1.5751753462483433</c:v>
                </c:pt>
                <c:pt idx="77">
                  <c:v>1.1349688403690872</c:v>
                </c:pt>
                <c:pt idx="78">
                  <c:v>0.85476926926907693</c:v>
                </c:pt>
                <c:pt idx="79">
                  <c:v>1.3364980881517277</c:v>
                </c:pt>
                <c:pt idx="80">
                  <c:v>1.1051503511747058</c:v>
                </c:pt>
                <c:pt idx="81">
                  <c:v>1.277411567533927</c:v>
                </c:pt>
                <c:pt idx="82">
                  <c:v>1.2105023884032184</c:v>
                </c:pt>
                <c:pt idx="83">
                  <c:v>1.6397503433727931</c:v>
                </c:pt>
                <c:pt idx="84">
                  <c:v>1.0239011603223291</c:v>
                </c:pt>
                <c:pt idx="85">
                  <c:v>0.87687303494811975</c:v>
                </c:pt>
                <c:pt idx="86">
                  <c:v>0.87763375463944127</c:v>
                </c:pt>
                <c:pt idx="87">
                  <c:v>1.1802672611961667</c:v>
                </c:pt>
                <c:pt idx="88">
                  <c:v>1.2029201868693087</c:v>
                </c:pt>
                <c:pt idx="89">
                  <c:v>0.77910977528454672</c:v>
                </c:pt>
                <c:pt idx="90">
                  <c:v>1.4359155871172888</c:v>
                </c:pt>
                <c:pt idx="91">
                  <c:v>0.72953503068804071</c:v>
                </c:pt>
                <c:pt idx="92">
                  <c:v>1.2194946641051669</c:v>
                </c:pt>
                <c:pt idx="93">
                  <c:v>1.5938804335037966</c:v>
                </c:pt>
                <c:pt idx="94">
                  <c:v>1.2831551863086319</c:v>
                </c:pt>
                <c:pt idx="95">
                  <c:v>1.1868583452849486</c:v>
                </c:pt>
                <c:pt idx="96">
                  <c:v>0.78644289346564267</c:v>
                </c:pt>
                <c:pt idx="97">
                  <c:v>1.5345408049582523</c:v>
                </c:pt>
                <c:pt idx="98">
                  <c:v>0.84206870494089237</c:v>
                </c:pt>
                <c:pt idx="99">
                  <c:v>0.52030326339174249</c:v>
                </c:pt>
                <c:pt idx="100">
                  <c:v>0.79283341728023848</c:v>
                </c:pt>
                <c:pt idx="101">
                  <c:v>1.1638954318825405</c:v>
                </c:pt>
                <c:pt idx="102">
                  <c:v>0.68470671862790344</c:v>
                </c:pt>
                <c:pt idx="103">
                  <c:v>0.78942251868503899</c:v>
                </c:pt>
                <c:pt idx="104">
                  <c:v>0.83116481100661199</c:v>
                </c:pt>
                <c:pt idx="105">
                  <c:v>1.3880254124322593</c:v>
                </c:pt>
                <c:pt idx="106">
                  <c:v>0.80888078104723415</c:v>
                </c:pt>
                <c:pt idx="107">
                  <c:v>0.61183706342117261</c:v>
                </c:pt>
                <c:pt idx="108">
                  <c:v>0.70400056799858857</c:v>
                </c:pt>
                <c:pt idx="109">
                  <c:v>0.7044109601561066</c:v>
                </c:pt>
                <c:pt idx="110">
                  <c:v>0.52517845184720147</c:v>
                </c:pt>
                <c:pt idx="111">
                  <c:v>1.0995962911600672</c:v>
                </c:pt>
                <c:pt idx="112">
                  <c:v>1.0821892471927714</c:v>
                </c:pt>
                <c:pt idx="113">
                  <c:v>0.84018279528395989</c:v>
                </c:pt>
                <c:pt idx="114">
                  <c:v>1.0551953276997568</c:v>
                </c:pt>
                <c:pt idx="115">
                  <c:v>0.81037608951469353</c:v>
                </c:pt>
                <c:pt idx="116">
                  <c:v>0.88534408249407859</c:v>
                </c:pt>
                <c:pt idx="117">
                  <c:v>0.98476546344529348</c:v>
                </c:pt>
                <c:pt idx="118">
                  <c:v>1.1895298986663618</c:v>
                </c:pt>
                <c:pt idx="119">
                  <c:v>0.90949475269668878</c:v>
                </c:pt>
                <c:pt idx="120">
                  <c:v>1.223615596955703</c:v>
                </c:pt>
                <c:pt idx="121">
                  <c:v>1.0896845617861677</c:v>
                </c:pt>
                <c:pt idx="122">
                  <c:v>0.76452366947646233</c:v>
                </c:pt>
                <c:pt idx="123">
                  <c:v>0.90428537265476261</c:v>
                </c:pt>
                <c:pt idx="124">
                  <c:v>1.0777057029606696</c:v>
                </c:pt>
                <c:pt idx="125">
                  <c:v>1.1836647429125442</c:v>
                </c:pt>
                <c:pt idx="126">
                  <c:v>1.2322823459064642</c:v>
                </c:pt>
                <c:pt idx="127">
                  <c:v>0.83984320870467188</c:v>
                </c:pt>
                <c:pt idx="128">
                  <c:v>0.66940443987931186</c:v>
                </c:pt>
                <c:pt idx="129">
                  <c:v>0.84492033037199443</c:v>
                </c:pt>
                <c:pt idx="130">
                  <c:v>0.92854346416666433</c:v>
                </c:pt>
                <c:pt idx="131">
                  <c:v>0.96798239324432744</c:v>
                </c:pt>
                <c:pt idx="132">
                  <c:v>1.2265309375291311</c:v>
                </c:pt>
                <c:pt idx="133">
                  <c:v>0.78120180007439466</c:v>
                </c:pt>
                <c:pt idx="134">
                  <c:v>0.74532206536108792</c:v>
                </c:pt>
                <c:pt idx="135">
                  <c:v>1.0522667203632556</c:v>
                </c:pt>
                <c:pt idx="136">
                  <c:v>0.90132392311400156</c:v>
                </c:pt>
                <c:pt idx="137">
                  <c:v>0.63101344107675594</c:v>
                </c:pt>
                <c:pt idx="138">
                  <c:v>0.89437660671396491</c:v>
                </c:pt>
                <c:pt idx="139">
                  <c:v>0.71854812201195861</c:v>
                </c:pt>
                <c:pt idx="140">
                  <c:v>0.76007708503607152</c:v>
                </c:pt>
                <c:pt idx="141">
                  <c:v>1.0735026055940766</c:v>
                </c:pt>
                <c:pt idx="142">
                  <c:v>1.1684207947786249</c:v>
                </c:pt>
                <c:pt idx="143">
                  <c:v>0.79280396895483174</c:v>
                </c:pt>
                <c:pt idx="144">
                  <c:v>0.9393747924293061</c:v>
                </c:pt>
                <c:pt idx="145">
                  <c:v>0.68498893387023563</c:v>
                </c:pt>
                <c:pt idx="146">
                  <c:v>0.84166253600077767</c:v>
                </c:pt>
                <c:pt idx="147">
                  <c:v>1.1817708532653595</c:v>
                </c:pt>
                <c:pt idx="148">
                  <c:v>0.58489828600310911</c:v>
                </c:pt>
                <c:pt idx="149">
                  <c:v>0.65802619294675391</c:v>
                </c:pt>
                <c:pt idx="150">
                  <c:v>0.51887396146108922</c:v>
                </c:pt>
                <c:pt idx="151">
                  <c:v>0.93815471277091533</c:v>
                </c:pt>
                <c:pt idx="152">
                  <c:v>0.72735175301753507</c:v>
                </c:pt>
                <c:pt idx="153">
                  <c:v>0.74030382552754892</c:v>
                </c:pt>
                <c:pt idx="154">
                  <c:v>0.73841171855110732</c:v>
                </c:pt>
                <c:pt idx="155">
                  <c:v>0.76063616135424206</c:v>
                </c:pt>
                <c:pt idx="156">
                  <c:v>0.72849406166503683</c:v>
                </c:pt>
                <c:pt idx="157">
                  <c:v>0.72611787808674999</c:v>
                </c:pt>
                <c:pt idx="158">
                  <c:v>0.80542668268051976</c:v>
                </c:pt>
                <c:pt idx="159">
                  <c:v>0.71294115138339709</c:v>
                </c:pt>
                <c:pt idx="160">
                  <c:v>0.85705077547664621</c:v>
                </c:pt>
                <c:pt idx="161">
                  <c:v>1.1749618201465732</c:v>
                </c:pt>
                <c:pt idx="162">
                  <c:v>0.89074846193263224</c:v>
                </c:pt>
                <c:pt idx="163">
                  <c:v>0.70792013470807091</c:v>
                </c:pt>
                <c:pt idx="164">
                  <c:v>0.94250763551701122</c:v>
                </c:pt>
                <c:pt idx="165">
                  <c:v>0.77575340422431527</c:v>
                </c:pt>
                <c:pt idx="166">
                  <c:v>0.65029501043448246</c:v>
                </c:pt>
                <c:pt idx="167">
                  <c:v>0.79963293487855847</c:v>
                </c:pt>
                <c:pt idx="168">
                  <c:v>1.317149532036703</c:v>
                </c:pt>
                <c:pt idx="169">
                  <c:v>1.2346358259905077</c:v>
                </c:pt>
                <c:pt idx="170">
                  <c:v>0.58300548044000222</c:v>
                </c:pt>
                <c:pt idx="171">
                  <c:v>0.89023117394172224</c:v>
                </c:pt>
                <c:pt idx="172">
                  <c:v>0.82077752133214454</c:v>
                </c:pt>
                <c:pt idx="173">
                  <c:v>1.5068032599175301</c:v>
                </c:pt>
                <c:pt idx="174">
                  <c:v>1.1152011703167652</c:v>
                </c:pt>
                <c:pt idx="175">
                  <c:v>0.85947111258748954</c:v>
                </c:pt>
                <c:pt idx="176">
                  <c:v>0.42355464883704419</c:v>
                </c:pt>
                <c:pt idx="177">
                  <c:v>0.62523555326919822</c:v>
                </c:pt>
                <c:pt idx="178">
                  <c:v>0.67482991273653969</c:v>
                </c:pt>
                <c:pt idx="179">
                  <c:v>1.0729595846360971</c:v>
                </c:pt>
                <c:pt idx="180">
                  <c:v>0.90138018464758518</c:v>
                </c:pt>
                <c:pt idx="181">
                  <c:v>1.0799763404341667</c:v>
                </c:pt>
                <c:pt idx="182">
                  <c:v>0.98584840742699886</c:v>
                </c:pt>
                <c:pt idx="183">
                  <c:v>0.83825051850203269</c:v>
                </c:pt>
                <c:pt idx="184">
                  <c:v>0.64506316073421432</c:v>
                </c:pt>
                <c:pt idx="185">
                  <c:v>1.162421606270974</c:v>
                </c:pt>
                <c:pt idx="186">
                  <c:v>0.56097986424367119</c:v>
                </c:pt>
                <c:pt idx="187">
                  <c:v>1.3187310543950901</c:v>
                </c:pt>
                <c:pt idx="188">
                  <c:v>1.36903463434048</c:v>
                </c:pt>
                <c:pt idx="189">
                  <c:v>0.87300925776748195</c:v>
                </c:pt>
                <c:pt idx="190">
                  <c:v>0.8799612495668504</c:v>
                </c:pt>
                <c:pt idx="191">
                  <c:v>1.5339299197210992</c:v>
                </c:pt>
                <c:pt idx="192">
                  <c:v>0.92955461647292403</c:v>
                </c:pt>
                <c:pt idx="193">
                  <c:v>0.93378530054610154</c:v>
                </c:pt>
                <c:pt idx="194">
                  <c:v>1.0203025240427521</c:v>
                </c:pt>
                <c:pt idx="195">
                  <c:v>1.2306592685757356</c:v>
                </c:pt>
                <c:pt idx="196">
                  <c:v>0.95371766512172973</c:v>
                </c:pt>
                <c:pt idx="197">
                  <c:v>0.83820875142810081</c:v>
                </c:pt>
                <c:pt idx="198">
                  <c:v>0.78129334238051362</c:v>
                </c:pt>
                <c:pt idx="199">
                  <c:v>0.35677664415084337</c:v>
                </c:pt>
                <c:pt idx="200">
                  <c:v>1.0300511509764076</c:v>
                </c:pt>
                <c:pt idx="201">
                  <c:v>0.96186866879752408</c:v>
                </c:pt>
                <c:pt idx="202">
                  <c:v>0.88138653561678071</c:v>
                </c:pt>
                <c:pt idx="203">
                  <c:v>0.73987952301775617</c:v>
                </c:pt>
                <c:pt idx="204">
                  <c:v>1.0359885288999844</c:v>
                </c:pt>
                <c:pt idx="205">
                  <c:v>1.1868247628736053</c:v>
                </c:pt>
                <c:pt idx="206">
                  <c:v>0.96033014178643861</c:v>
                </c:pt>
                <c:pt idx="207">
                  <c:v>0.58198738963793162</c:v>
                </c:pt>
                <c:pt idx="208">
                  <c:v>0.91159169350602032</c:v>
                </c:pt>
                <c:pt idx="209">
                  <c:v>1.1559069266391626</c:v>
                </c:pt>
                <c:pt idx="210">
                  <c:v>1.307867732853641</c:v>
                </c:pt>
                <c:pt idx="211">
                  <c:v>1.3215770382294654</c:v>
                </c:pt>
                <c:pt idx="212">
                  <c:v>0.72537968297729583</c:v>
                </c:pt>
                <c:pt idx="213">
                  <c:v>0.63823159385634853</c:v>
                </c:pt>
                <c:pt idx="214">
                  <c:v>0.8608381695530406</c:v>
                </c:pt>
                <c:pt idx="215">
                  <c:v>0.32506258143383421</c:v>
                </c:pt>
                <c:pt idx="216">
                  <c:v>0.50449832197238131</c:v>
                </c:pt>
                <c:pt idx="217">
                  <c:v>0.76639480246858727</c:v>
                </c:pt>
                <c:pt idx="218">
                  <c:v>0.5833875545987004</c:v>
                </c:pt>
                <c:pt idx="219">
                  <c:v>0.86321287970569793</c:v>
                </c:pt>
                <c:pt idx="220">
                  <c:v>1.0367754136289835</c:v>
                </c:pt>
                <c:pt idx="221">
                  <c:v>1.5383471514809657</c:v>
                </c:pt>
                <c:pt idx="222">
                  <c:v>0.48976913315039056</c:v>
                </c:pt>
                <c:pt idx="223">
                  <c:v>0.44996267153002917</c:v>
                </c:pt>
                <c:pt idx="224">
                  <c:v>1.106485599503142</c:v>
                </c:pt>
                <c:pt idx="225">
                  <c:v>0.71231037080251502</c:v>
                </c:pt>
                <c:pt idx="226">
                  <c:v>0.46513579599200511</c:v>
                </c:pt>
                <c:pt idx="227">
                  <c:v>0.872504984363912</c:v>
                </c:pt>
                <c:pt idx="228">
                  <c:v>0.62969958773609069</c:v>
                </c:pt>
                <c:pt idx="229">
                  <c:v>1.9195379344609871</c:v>
                </c:pt>
                <c:pt idx="230">
                  <c:v>1.2753133471511944</c:v>
                </c:pt>
                <c:pt idx="231">
                  <c:v>0.64106948259639507</c:v>
                </c:pt>
                <c:pt idx="232">
                  <c:v>1.4504857015864872</c:v>
                </c:pt>
                <c:pt idx="233">
                  <c:v>1.6814635194694538</c:v>
                </c:pt>
                <c:pt idx="234">
                  <c:v>1.2058184978422544</c:v>
                </c:pt>
                <c:pt idx="235">
                  <c:v>0.6669389422208678</c:v>
                </c:pt>
                <c:pt idx="236">
                  <c:v>2.068307828817685</c:v>
                </c:pt>
                <c:pt idx="237">
                  <c:v>0.89432702193294766</c:v>
                </c:pt>
                <c:pt idx="238">
                  <c:v>0.96859506161635667</c:v>
                </c:pt>
                <c:pt idx="239">
                  <c:v>0.75324722752883644</c:v>
                </c:pt>
                <c:pt idx="240">
                  <c:v>1.334372389913568</c:v>
                </c:pt>
                <c:pt idx="241">
                  <c:v>1.3371142509887328</c:v>
                </c:pt>
                <c:pt idx="242">
                  <c:v>0.79391723730830444</c:v>
                </c:pt>
                <c:pt idx="243">
                  <c:v>1.4899148153597199</c:v>
                </c:pt>
                <c:pt idx="244">
                  <c:v>1.0914926228511777</c:v>
                </c:pt>
                <c:pt idx="245">
                  <c:v>0.87936714367783619</c:v>
                </c:pt>
                <c:pt idx="246">
                  <c:v>0.97069279237337602</c:v>
                </c:pt>
                <c:pt idx="247">
                  <c:v>1.2141990046156852</c:v>
                </c:pt>
                <c:pt idx="248">
                  <c:v>1.476949165822141</c:v>
                </c:pt>
                <c:pt idx="249">
                  <c:v>1.4706820547931927</c:v>
                </c:pt>
                <c:pt idx="250">
                  <c:v>1.3471967560005826</c:v>
                </c:pt>
                <c:pt idx="251">
                  <c:v>1.3388406079619848</c:v>
                </c:pt>
                <c:pt idx="252">
                  <c:v>1.0803305678472723</c:v>
                </c:pt>
                <c:pt idx="253">
                  <c:v>1.0780923139083622</c:v>
                </c:pt>
                <c:pt idx="254">
                  <c:v>1.0860954842267581</c:v>
                </c:pt>
                <c:pt idx="255">
                  <c:v>1.1487243479157463</c:v>
                </c:pt>
                <c:pt idx="256">
                  <c:v>1.4196953239300236</c:v>
                </c:pt>
                <c:pt idx="257">
                  <c:v>1.3164149033494428</c:v>
                </c:pt>
                <c:pt idx="258">
                  <c:v>1.8310172843631967</c:v>
                </c:pt>
                <c:pt idx="259">
                  <c:v>1.3659234137605867</c:v>
                </c:pt>
                <c:pt idx="260">
                  <c:v>1.0717854033241645</c:v>
                </c:pt>
                <c:pt idx="261">
                  <c:v>1.1162227053376048</c:v>
                </c:pt>
                <c:pt idx="262">
                  <c:v>1.3754403004160058</c:v>
                </c:pt>
                <c:pt idx="263">
                  <c:v>1.4990162397903857</c:v>
                </c:pt>
                <c:pt idx="264">
                  <c:v>1.2437471613413587</c:v>
                </c:pt>
                <c:pt idx="265">
                  <c:v>1.2743226144407223</c:v>
                </c:pt>
                <c:pt idx="266">
                  <c:v>0.97254086403226603</c:v>
                </c:pt>
                <c:pt idx="267">
                  <c:v>1.0497519954137509</c:v>
                </c:pt>
                <c:pt idx="268">
                  <c:v>1.3996547964651125</c:v>
                </c:pt>
                <c:pt idx="269">
                  <c:v>1.459192351240121</c:v>
                </c:pt>
                <c:pt idx="270">
                  <c:v>1.346268295107405</c:v>
                </c:pt>
                <c:pt idx="271">
                  <c:v>1.3221283118847895</c:v>
                </c:pt>
                <c:pt idx="272">
                  <c:v>1.0758540599694522</c:v>
                </c:pt>
                <c:pt idx="273">
                  <c:v>1.0728697213842386</c:v>
                </c:pt>
                <c:pt idx="274">
                  <c:v>1.343745872820697</c:v>
                </c:pt>
                <c:pt idx="275">
                  <c:v>1.3263049234389535</c:v>
                </c:pt>
                <c:pt idx="369">
                  <c:v>1.343745872820697</c:v>
                </c:pt>
                <c:pt idx="370">
                  <c:v>1.3263049234389535</c:v>
                </c:pt>
                <c:pt idx="371">
                  <c:v>1.0860954842267581</c:v>
                </c:pt>
                <c:pt idx="372">
                  <c:v>1.1487243479157463</c:v>
                </c:pt>
                <c:pt idx="373">
                  <c:v>1.3996547964651125</c:v>
                </c:pt>
                <c:pt idx="374">
                  <c:v>1.459192351240121</c:v>
                </c:pt>
                <c:pt idx="375">
                  <c:v>1.346268295107405</c:v>
                </c:pt>
                <c:pt idx="376">
                  <c:v>1.3221283118847895</c:v>
                </c:pt>
                <c:pt idx="377">
                  <c:v>1.0758540599694522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EF-4778-8810-4D674387151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1-ADEF-4778-8810-4D6743871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97696"/>
        <c:axId val="128811776"/>
      </c:scatterChart>
      <c:valAx>
        <c:axId val="128797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811776"/>
        <c:crosses val="autoZero"/>
        <c:crossBetween val="midCat"/>
      </c:valAx>
      <c:valAx>
        <c:axId val="1288117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79769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11" l="0.70000000000000062" r="0.70000000000000062" t="0.7500000000000051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(2)'!$O$20:$O$1282</c:f>
              <c:numCache>
                <c:formatCode>General</c:formatCode>
                <c:ptCount val="1102"/>
                <c:pt idx="0">
                  <c:v>16</c:v>
                </c:pt>
                <c:pt idx="1">
                  <c:v>16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13.921985815602838</c:v>
                </c:pt>
                <c:pt idx="19">
                  <c:v>13.829787234042554</c:v>
                </c:pt>
                <c:pt idx="20">
                  <c:v>13.787234042553195</c:v>
                </c:pt>
                <c:pt idx="21">
                  <c:v>13.744680851063832</c:v>
                </c:pt>
                <c:pt idx="22">
                  <c:v>13.744680851063832</c:v>
                </c:pt>
                <c:pt idx="23">
                  <c:v>13.680851063829788</c:v>
                </c:pt>
                <c:pt idx="24">
                  <c:v>13.652482269503549</c:v>
                </c:pt>
                <c:pt idx="25">
                  <c:v>13.567375886524824</c:v>
                </c:pt>
                <c:pt idx="26">
                  <c:v>8.3595113438045381</c:v>
                </c:pt>
                <c:pt idx="27">
                  <c:v>12.368794326241137</c:v>
                </c:pt>
                <c:pt idx="28">
                  <c:v>12.234042553191491</c:v>
                </c:pt>
                <c:pt idx="29">
                  <c:v>12.148936170212767</c:v>
                </c:pt>
                <c:pt idx="30">
                  <c:v>12.067039106145252</c:v>
                </c:pt>
                <c:pt idx="31">
                  <c:v>12.056737588652483</c:v>
                </c:pt>
                <c:pt idx="32">
                  <c:v>12.014184397163124</c:v>
                </c:pt>
                <c:pt idx="33">
                  <c:v>12.014184397163124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12.000000000000004</c:v>
                </c:pt>
                <c:pt idx="41">
                  <c:v>12.000000000000004</c:v>
                </c:pt>
                <c:pt idx="42">
                  <c:v>11.921985815602838</c:v>
                </c:pt>
                <c:pt idx="43">
                  <c:v>11.921985815602838</c:v>
                </c:pt>
                <c:pt idx="44">
                  <c:v>11.879432624113477</c:v>
                </c:pt>
                <c:pt idx="45">
                  <c:v>11.858156028368795</c:v>
                </c:pt>
                <c:pt idx="46">
                  <c:v>11.744680851063832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15.749999999999998</c:v>
                </c:pt>
                <c:pt idx="54">
                  <c:v>15.28</c:v>
                </c:pt>
                <c:pt idx="55">
                  <c:v>10.581560283687944</c:v>
                </c:pt>
                <c:pt idx="56">
                  <c:v>10.43262411347518</c:v>
                </c:pt>
                <c:pt idx="57">
                  <c:v>10.418439716312058</c:v>
                </c:pt>
                <c:pt idx="58">
                  <c:v>10.418439716312058</c:v>
                </c:pt>
                <c:pt idx="59">
                  <c:v>10.375886524822697</c:v>
                </c:pt>
                <c:pt idx="60">
                  <c:v>10.375886524822697</c:v>
                </c:pt>
                <c:pt idx="61">
                  <c:v>14.58</c:v>
                </c:pt>
                <c:pt idx="62">
                  <c:v>14.58</c:v>
                </c:pt>
                <c:pt idx="63">
                  <c:v>10.312056737588653</c:v>
                </c:pt>
                <c:pt idx="64">
                  <c:v>10.312056737588653</c:v>
                </c:pt>
                <c:pt idx="65">
                  <c:v>14.54</c:v>
                </c:pt>
                <c:pt idx="66">
                  <c:v>14.54</c:v>
                </c:pt>
                <c:pt idx="67">
                  <c:v>10.283687943262413</c:v>
                </c:pt>
                <c:pt idx="68">
                  <c:v>10.283687943262413</c:v>
                </c:pt>
                <c:pt idx="69">
                  <c:v>14.499999999999998</c:v>
                </c:pt>
                <c:pt idx="70">
                  <c:v>14.499999999999998</c:v>
                </c:pt>
                <c:pt idx="71">
                  <c:v>14.42</c:v>
                </c:pt>
                <c:pt idx="72">
                  <c:v>14.42</c:v>
                </c:pt>
                <c:pt idx="73">
                  <c:v>14.38</c:v>
                </c:pt>
                <c:pt idx="74">
                  <c:v>14.38</c:v>
                </c:pt>
                <c:pt idx="75">
                  <c:v>14.38</c:v>
                </c:pt>
                <c:pt idx="76">
                  <c:v>14.38</c:v>
                </c:pt>
                <c:pt idx="77">
                  <c:v>14.35</c:v>
                </c:pt>
                <c:pt idx="78">
                  <c:v>14.299999999999999</c:v>
                </c:pt>
                <c:pt idx="79">
                  <c:v>14.27</c:v>
                </c:pt>
                <c:pt idx="80">
                  <c:v>14.25</c:v>
                </c:pt>
                <c:pt idx="81">
                  <c:v>14.25</c:v>
                </c:pt>
                <c:pt idx="82">
                  <c:v>14.13</c:v>
                </c:pt>
                <c:pt idx="83">
                  <c:v>14.09</c:v>
                </c:pt>
                <c:pt idx="84">
                  <c:v>14.080000000000002</c:v>
                </c:pt>
                <c:pt idx="85">
                  <c:v>14.059999999999999</c:v>
                </c:pt>
                <c:pt idx="86">
                  <c:v>9.9441340782122918</c:v>
                </c:pt>
                <c:pt idx="87">
                  <c:v>12.66</c:v>
                </c:pt>
                <c:pt idx="88">
                  <c:v>12.590000000000002</c:v>
                </c:pt>
                <c:pt idx="89">
                  <c:v>8.9078014184397176</c:v>
                </c:pt>
                <c:pt idx="90">
                  <c:v>12.56</c:v>
                </c:pt>
                <c:pt idx="91">
                  <c:v>8.8652482269503565</c:v>
                </c:pt>
                <c:pt idx="92">
                  <c:v>12.5</c:v>
                </c:pt>
                <c:pt idx="93">
                  <c:v>12.439999999999998</c:v>
                </c:pt>
                <c:pt idx="94">
                  <c:v>12.38</c:v>
                </c:pt>
                <c:pt idx="95">
                  <c:v>12.31</c:v>
                </c:pt>
                <c:pt idx="96">
                  <c:v>12.21</c:v>
                </c:pt>
                <c:pt idx="97">
                  <c:v>12.19</c:v>
                </c:pt>
                <c:pt idx="98">
                  <c:v>12.17</c:v>
                </c:pt>
                <c:pt idx="99">
                  <c:v>12.17</c:v>
                </c:pt>
                <c:pt idx="100">
                  <c:v>8.6028368794326244</c:v>
                </c:pt>
                <c:pt idx="101">
                  <c:v>12.129999999999999</c:v>
                </c:pt>
                <c:pt idx="102">
                  <c:v>8.6028368794326244</c:v>
                </c:pt>
                <c:pt idx="103">
                  <c:v>8.5744680851063837</c:v>
                </c:pt>
                <c:pt idx="104">
                  <c:v>12.06</c:v>
                </c:pt>
                <c:pt idx="105">
                  <c:v>12.06</c:v>
                </c:pt>
                <c:pt idx="106">
                  <c:v>12.04</c:v>
                </c:pt>
                <c:pt idx="107">
                  <c:v>12.03</c:v>
                </c:pt>
                <c:pt idx="108">
                  <c:v>8.5106382978723403</c:v>
                </c:pt>
                <c:pt idx="109">
                  <c:v>8.5106382978723403</c:v>
                </c:pt>
                <c:pt idx="110">
                  <c:v>11.999999999999998</c:v>
                </c:pt>
                <c:pt idx="111">
                  <c:v>11.999999999999998</c:v>
                </c:pt>
                <c:pt idx="112">
                  <c:v>11.97</c:v>
                </c:pt>
                <c:pt idx="113">
                  <c:v>11.95</c:v>
                </c:pt>
                <c:pt idx="114">
                  <c:v>11.9</c:v>
                </c:pt>
                <c:pt idx="115">
                  <c:v>11.88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11.299212598425198</c:v>
                </c:pt>
                <c:pt idx="120">
                  <c:v>11.299212598425198</c:v>
                </c:pt>
                <c:pt idx="121">
                  <c:v>11.25</c:v>
                </c:pt>
                <c:pt idx="122">
                  <c:v>7.9608938547486039</c:v>
                </c:pt>
                <c:pt idx="123">
                  <c:v>7.9608938547486039</c:v>
                </c:pt>
                <c:pt idx="124">
                  <c:v>7.9608938547486039</c:v>
                </c:pt>
                <c:pt idx="125">
                  <c:v>11.13</c:v>
                </c:pt>
                <c:pt idx="126">
                  <c:v>11.06</c:v>
                </c:pt>
                <c:pt idx="127">
                  <c:v>7.8212290502793298</c:v>
                </c:pt>
                <c:pt idx="128">
                  <c:v>7.8212290502793298</c:v>
                </c:pt>
                <c:pt idx="129">
                  <c:v>7.8212290502793298</c:v>
                </c:pt>
                <c:pt idx="130">
                  <c:v>7.8212290502793298</c:v>
                </c:pt>
                <c:pt idx="131">
                  <c:v>7.8212290502793298</c:v>
                </c:pt>
                <c:pt idx="132">
                  <c:v>10.94</c:v>
                </c:pt>
                <c:pt idx="133">
                  <c:v>10.83</c:v>
                </c:pt>
                <c:pt idx="134">
                  <c:v>10.58</c:v>
                </c:pt>
                <c:pt idx="135">
                  <c:v>10.5</c:v>
                </c:pt>
                <c:pt idx="136">
                  <c:v>10.35</c:v>
                </c:pt>
                <c:pt idx="137">
                  <c:v>10.33</c:v>
                </c:pt>
                <c:pt idx="138">
                  <c:v>10.33</c:v>
                </c:pt>
                <c:pt idx="139">
                  <c:v>10.29</c:v>
                </c:pt>
                <c:pt idx="140">
                  <c:v>10.25</c:v>
                </c:pt>
                <c:pt idx="141">
                  <c:v>10.130000000000001</c:v>
                </c:pt>
                <c:pt idx="142">
                  <c:v>10.1</c:v>
                </c:pt>
                <c:pt idx="143">
                  <c:v>10.08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9.94</c:v>
                </c:pt>
                <c:pt idx="148">
                  <c:v>9.92</c:v>
                </c:pt>
                <c:pt idx="149">
                  <c:v>9.92</c:v>
                </c:pt>
                <c:pt idx="150">
                  <c:v>9.9</c:v>
                </c:pt>
                <c:pt idx="151">
                  <c:v>9.8800000000000008</c:v>
                </c:pt>
                <c:pt idx="152">
                  <c:v>9.8800000000000008</c:v>
                </c:pt>
                <c:pt idx="153">
                  <c:v>9.8800000000000008</c:v>
                </c:pt>
                <c:pt idx="154">
                  <c:v>9.8800000000000008</c:v>
                </c:pt>
                <c:pt idx="155">
                  <c:v>9.81</c:v>
                </c:pt>
                <c:pt idx="156">
                  <c:v>9.7899999999999991</c:v>
                </c:pt>
                <c:pt idx="157">
                  <c:v>9.77</c:v>
                </c:pt>
                <c:pt idx="158">
                  <c:v>9.75</c:v>
                </c:pt>
                <c:pt idx="159">
                  <c:v>9.75</c:v>
                </c:pt>
                <c:pt idx="160">
                  <c:v>9.69</c:v>
                </c:pt>
                <c:pt idx="161">
                  <c:v>9.69</c:v>
                </c:pt>
                <c:pt idx="162">
                  <c:v>9.69</c:v>
                </c:pt>
                <c:pt idx="163">
                  <c:v>9.66</c:v>
                </c:pt>
                <c:pt idx="164">
                  <c:v>9.6300000000000008</c:v>
                </c:pt>
                <c:pt idx="165">
                  <c:v>9.6</c:v>
                </c:pt>
                <c:pt idx="166">
                  <c:v>9.58</c:v>
                </c:pt>
                <c:pt idx="167">
                  <c:v>9.58</c:v>
                </c:pt>
                <c:pt idx="168">
                  <c:v>9.56</c:v>
                </c:pt>
                <c:pt idx="169">
                  <c:v>9.56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9.4700000000000006</c:v>
                </c:pt>
                <c:pt idx="177">
                  <c:v>9.4600000000000009</c:v>
                </c:pt>
                <c:pt idx="178">
                  <c:v>9.42</c:v>
                </c:pt>
                <c:pt idx="179">
                  <c:v>9.3800000000000008</c:v>
                </c:pt>
                <c:pt idx="180">
                  <c:v>9.3800000000000008</c:v>
                </c:pt>
                <c:pt idx="181">
                  <c:v>9.3800000000000008</c:v>
                </c:pt>
                <c:pt idx="182">
                  <c:v>9.3800000000000008</c:v>
                </c:pt>
                <c:pt idx="183">
                  <c:v>9.33</c:v>
                </c:pt>
                <c:pt idx="184">
                  <c:v>9.33</c:v>
                </c:pt>
                <c:pt idx="185">
                  <c:v>9.31</c:v>
                </c:pt>
                <c:pt idx="186">
                  <c:v>9.25</c:v>
                </c:pt>
                <c:pt idx="187">
                  <c:v>9.25</c:v>
                </c:pt>
                <c:pt idx="188">
                  <c:v>9.25</c:v>
                </c:pt>
                <c:pt idx="189">
                  <c:v>9.25</c:v>
                </c:pt>
                <c:pt idx="190">
                  <c:v>9.19</c:v>
                </c:pt>
                <c:pt idx="191">
                  <c:v>9.19</c:v>
                </c:pt>
                <c:pt idx="192">
                  <c:v>9.19</c:v>
                </c:pt>
                <c:pt idx="193">
                  <c:v>9.17</c:v>
                </c:pt>
                <c:pt idx="194">
                  <c:v>9.1300000000000008</c:v>
                </c:pt>
                <c:pt idx="195">
                  <c:v>9.06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6.061452513966481</c:v>
                </c:pt>
                <c:pt idx="200">
                  <c:v>8.31</c:v>
                </c:pt>
                <c:pt idx="201">
                  <c:v>8.3070866141732296</c:v>
                </c:pt>
                <c:pt idx="202">
                  <c:v>8.3070866141732296</c:v>
                </c:pt>
                <c:pt idx="203">
                  <c:v>8.3070866141732296</c:v>
                </c:pt>
                <c:pt idx="204">
                  <c:v>8.25</c:v>
                </c:pt>
                <c:pt idx="205">
                  <c:v>8.25</c:v>
                </c:pt>
                <c:pt idx="206">
                  <c:v>5.8379888268156428</c:v>
                </c:pt>
                <c:pt idx="207">
                  <c:v>5.6983240223463696</c:v>
                </c:pt>
                <c:pt idx="208">
                  <c:v>8.0314960629921259</c:v>
                </c:pt>
                <c:pt idx="209">
                  <c:v>8</c:v>
                </c:pt>
                <c:pt idx="210">
                  <c:v>6</c:v>
                </c:pt>
                <c:pt idx="211">
                  <c:v>6</c:v>
                </c:pt>
                <c:pt idx="212">
                  <c:v>7.06</c:v>
                </c:pt>
                <c:pt idx="213">
                  <c:v>7.06</c:v>
                </c:pt>
                <c:pt idx="214">
                  <c:v>7</c:v>
                </c:pt>
                <c:pt idx="215">
                  <c:v>6.3385826771653546</c:v>
                </c:pt>
                <c:pt idx="216">
                  <c:v>6.33</c:v>
                </c:pt>
                <c:pt idx="217">
                  <c:v>6.29</c:v>
                </c:pt>
                <c:pt idx="218">
                  <c:v>6.25</c:v>
                </c:pt>
                <c:pt idx="219">
                  <c:v>6.25</c:v>
                </c:pt>
                <c:pt idx="220">
                  <c:v>6.25</c:v>
                </c:pt>
                <c:pt idx="221">
                  <c:v>9.9519999999999982</c:v>
                </c:pt>
                <c:pt idx="222">
                  <c:v>6.21</c:v>
                </c:pt>
                <c:pt idx="223">
                  <c:v>6.19</c:v>
                </c:pt>
                <c:pt idx="224">
                  <c:v>6.16</c:v>
                </c:pt>
                <c:pt idx="225">
                  <c:v>6.13</c:v>
                </c:pt>
                <c:pt idx="226">
                  <c:v>6.13</c:v>
                </c:pt>
                <c:pt idx="227">
                  <c:v>6.0999999999999988</c:v>
                </c:pt>
                <c:pt idx="228">
                  <c:v>6.09</c:v>
                </c:pt>
                <c:pt idx="229">
                  <c:v>9.695999999999998</c:v>
                </c:pt>
                <c:pt idx="230">
                  <c:v>9.6479999999999997</c:v>
                </c:pt>
                <c:pt idx="231">
                  <c:v>6.03</c:v>
                </c:pt>
                <c:pt idx="232">
                  <c:v>9.5999999999999979</c:v>
                </c:pt>
                <c:pt idx="233">
                  <c:v>9.5999999999999979</c:v>
                </c:pt>
                <c:pt idx="234">
                  <c:v>9.5999999999999979</c:v>
                </c:pt>
                <c:pt idx="235">
                  <c:v>5.9999999999999991</c:v>
                </c:pt>
                <c:pt idx="236">
                  <c:v>9.5039999999999996</c:v>
                </c:pt>
                <c:pt idx="237">
                  <c:v>5.63</c:v>
                </c:pt>
                <c:pt idx="238">
                  <c:v>5.5</c:v>
                </c:pt>
                <c:pt idx="239">
                  <c:v>5.5</c:v>
                </c:pt>
                <c:pt idx="240">
                  <c:v>6</c:v>
                </c:pt>
                <c:pt idx="241">
                  <c:v>6</c:v>
                </c:pt>
                <c:pt idx="242">
                  <c:v>8.3040000000000003</c:v>
                </c:pt>
                <c:pt idx="243">
                  <c:v>8.3040000000000003</c:v>
                </c:pt>
                <c:pt idx="244">
                  <c:v>8.24</c:v>
                </c:pt>
                <c:pt idx="245">
                  <c:v>8.0640000000000001</c:v>
                </c:pt>
                <c:pt idx="246">
                  <c:v>8.048</c:v>
                </c:pt>
                <c:pt idx="247">
                  <c:v>8.0319999999999983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7.056</c:v>
                </c:pt>
                <c:pt idx="257">
                  <c:v>6.7519999999999989</c:v>
                </c:pt>
                <c:pt idx="258">
                  <c:v>6.7039999999999997</c:v>
                </c:pt>
                <c:pt idx="259">
                  <c:v>6.6559999999999997</c:v>
                </c:pt>
                <c:pt idx="260">
                  <c:v>6.6079999999999988</c:v>
                </c:pt>
                <c:pt idx="261">
                  <c:v>6.6079999999999988</c:v>
                </c:pt>
                <c:pt idx="262">
                  <c:v>6.6079999999999988</c:v>
                </c:pt>
                <c:pt idx="263">
                  <c:v>6.5439999999999996</c:v>
                </c:pt>
                <c:pt idx="264">
                  <c:v>6.5439999999999996</c:v>
                </c:pt>
                <c:pt idx="265">
                  <c:v>6.4959999999999987</c:v>
                </c:pt>
                <c:pt idx="266">
                  <c:v>6.4959999999999987</c:v>
                </c:pt>
                <c:pt idx="267">
                  <c:v>6.0960000000000001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91">
                  <c:v>8</c:v>
                </c:pt>
                <c:pt idx="292">
                  <c:v>8.3000000000000007</c:v>
                </c:pt>
                <c:pt idx="293">
                  <c:v>8.5</c:v>
                </c:pt>
                <c:pt idx="294">
                  <c:v>7.5</c:v>
                </c:pt>
                <c:pt idx="295">
                  <c:v>7.4</c:v>
                </c:pt>
                <c:pt idx="296">
                  <c:v>7.4</c:v>
                </c:pt>
                <c:pt idx="297">
                  <c:v>7.1</c:v>
                </c:pt>
                <c:pt idx="298">
                  <c:v>7</c:v>
                </c:pt>
                <c:pt idx="299">
                  <c:v>5.9999999999999991</c:v>
                </c:pt>
                <c:pt idx="300">
                  <c:v>5.9999999999999991</c:v>
                </c:pt>
                <c:pt idx="301">
                  <c:v>6.0999999999999988</c:v>
                </c:pt>
                <c:pt idx="302">
                  <c:v>6.0999999999999988</c:v>
                </c:pt>
                <c:pt idx="303">
                  <c:v>6.3</c:v>
                </c:pt>
                <c:pt idx="304">
                  <c:v>6.3</c:v>
                </c:pt>
                <c:pt idx="305">
                  <c:v>6.4</c:v>
                </c:pt>
                <c:pt idx="306">
                  <c:v>6.5</c:v>
                </c:pt>
                <c:pt idx="307">
                  <c:v>6.5</c:v>
                </c:pt>
                <c:pt idx="308">
                  <c:v>6.5</c:v>
                </c:pt>
                <c:pt idx="309">
                  <c:v>6.6</c:v>
                </c:pt>
                <c:pt idx="310">
                  <c:v>6.5</c:v>
                </c:pt>
                <c:pt idx="311">
                  <c:v>6.5</c:v>
                </c:pt>
                <c:pt idx="312">
                  <c:v>6.4</c:v>
                </c:pt>
                <c:pt idx="313">
                  <c:v>8.4</c:v>
                </c:pt>
                <c:pt idx="314">
                  <c:v>6.5</c:v>
                </c:pt>
                <c:pt idx="315">
                  <c:v>6.3</c:v>
                </c:pt>
                <c:pt idx="316">
                  <c:v>6.8000000000000007</c:v>
                </c:pt>
                <c:pt idx="317">
                  <c:v>5.9999999999999991</c:v>
                </c:pt>
                <c:pt idx="318">
                  <c:v>6.0999999999999988</c:v>
                </c:pt>
                <c:pt idx="319">
                  <c:v>6.8000000000000007</c:v>
                </c:pt>
                <c:pt idx="320">
                  <c:v>6.3</c:v>
                </c:pt>
                <c:pt idx="321">
                  <c:v>6.6</c:v>
                </c:pt>
                <c:pt idx="322">
                  <c:v>6.9</c:v>
                </c:pt>
                <c:pt idx="329">
                  <c:v>20</c:v>
                </c:pt>
                <c:pt idx="330">
                  <c:v>20</c:v>
                </c:pt>
                <c:pt idx="331">
                  <c:v>7</c:v>
                </c:pt>
                <c:pt idx="332">
                  <c:v>7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13</c:v>
                </c:pt>
                <c:pt idx="337">
                  <c:v>13</c:v>
                </c:pt>
                <c:pt idx="338">
                  <c:v>13</c:v>
                </c:pt>
                <c:pt idx="339">
                  <c:v>16</c:v>
                </c:pt>
                <c:pt idx="340">
                  <c:v>7</c:v>
                </c:pt>
                <c:pt idx="341">
                  <c:v>7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16</c:v>
                </c:pt>
                <c:pt idx="349">
                  <c:v>20</c:v>
                </c:pt>
                <c:pt idx="350">
                  <c:v>20</c:v>
                </c:pt>
                <c:pt idx="351">
                  <c:v>7</c:v>
                </c:pt>
                <c:pt idx="352">
                  <c:v>10</c:v>
                </c:pt>
                <c:pt idx="353">
                  <c:v>13</c:v>
                </c:pt>
                <c:pt idx="354">
                  <c:v>7</c:v>
                </c:pt>
                <c:pt idx="355">
                  <c:v>10</c:v>
                </c:pt>
                <c:pt idx="356">
                  <c:v>13</c:v>
                </c:pt>
                <c:pt idx="357">
                  <c:v>16</c:v>
                </c:pt>
                <c:pt idx="358">
                  <c:v>16</c:v>
                </c:pt>
                <c:pt idx="359">
                  <c:v>20</c:v>
                </c:pt>
                <c:pt idx="360">
                  <c:v>20</c:v>
                </c:pt>
                <c:pt idx="361">
                  <c:v>23</c:v>
                </c:pt>
                <c:pt idx="362">
                  <c:v>23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</c:numCache>
            </c:numRef>
          </c:xVal>
          <c:yVal>
            <c:numRef>
              <c:f>'headed (2)'!$CX$20:$CX$1282</c:f>
              <c:numCache>
                <c:formatCode>General</c:formatCode>
                <c:ptCount val="1102"/>
                <c:pt idx="0">
                  <c:v>2.265085466053149</c:v>
                </c:pt>
                <c:pt idx="1">
                  <c:v>2.6115103020377481</c:v>
                </c:pt>
                <c:pt idx="2">
                  <c:v>2.1930232163612731</c:v>
                </c:pt>
                <c:pt idx="3">
                  <c:v>1.9872973133746143</c:v>
                </c:pt>
                <c:pt idx="4">
                  <c:v>1.7418839452233523</c:v>
                </c:pt>
                <c:pt idx="5">
                  <c:v>1.9940798980618999</c:v>
                </c:pt>
                <c:pt idx="6">
                  <c:v>2.7475233917965838</c:v>
                </c:pt>
                <c:pt idx="7">
                  <c:v>2.4470066431310555</c:v>
                </c:pt>
                <c:pt idx="8">
                  <c:v>2.3674235347733665</c:v>
                </c:pt>
                <c:pt idx="9">
                  <c:v>1.1032364714470975</c:v>
                </c:pt>
                <c:pt idx="10">
                  <c:v>1.5026876752908058</c:v>
                </c:pt>
                <c:pt idx="11">
                  <c:v>1.8226729491803071</c:v>
                </c:pt>
                <c:pt idx="12">
                  <c:v>1.8644117767866515</c:v>
                </c:pt>
                <c:pt idx="13">
                  <c:v>1.8068457746941986</c:v>
                </c:pt>
                <c:pt idx="14">
                  <c:v>2.2497610402163333</c:v>
                </c:pt>
                <c:pt idx="15">
                  <c:v>2.3709127261355487</c:v>
                </c:pt>
                <c:pt idx="16">
                  <c:v>1.3696603978665678</c:v>
                </c:pt>
                <c:pt idx="17">
                  <c:v>1.7563551268489346</c:v>
                </c:pt>
                <c:pt idx="18">
                  <c:v>2.2274697736606179</c:v>
                </c:pt>
                <c:pt idx="19">
                  <c:v>2.6426335066380755</c:v>
                </c:pt>
                <c:pt idx="20">
                  <c:v>2.9117840723050152</c:v>
                </c:pt>
                <c:pt idx="21">
                  <c:v>3.0089257747662694</c:v>
                </c:pt>
                <c:pt idx="22">
                  <c:v>1.9041057081226844</c:v>
                </c:pt>
                <c:pt idx="23">
                  <c:v>2.6344829075564871</c:v>
                </c:pt>
                <c:pt idx="24">
                  <c:v>1.8926045060115926</c:v>
                </c:pt>
                <c:pt idx="25">
                  <c:v>2.1543030398289051</c:v>
                </c:pt>
                <c:pt idx="26">
                  <c:v>0.54064388515970929</c:v>
                </c:pt>
                <c:pt idx="27">
                  <c:v>1.7842564847212592</c:v>
                </c:pt>
                <c:pt idx="28">
                  <c:v>2.5013919662580109</c:v>
                </c:pt>
                <c:pt idx="29">
                  <c:v>2.3204475658747277</c:v>
                </c:pt>
                <c:pt idx="30">
                  <c:v>2.40472000951072</c:v>
                </c:pt>
                <c:pt idx="31">
                  <c:v>1.362526465650822</c:v>
                </c:pt>
                <c:pt idx="32">
                  <c:v>2.4849682952396512</c:v>
                </c:pt>
                <c:pt idx="33">
                  <c:v>1.9231804683588229</c:v>
                </c:pt>
                <c:pt idx="34">
                  <c:v>2.1044475921552754</c:v>
                </c:pt>
                <c:pt idx="35">
                  <c:v>2.1044475921552754</c:v>
                </c:pt>
                <c:pt idx="36">
                  <c:v>1.9358600623361049</c:v>
                </c:pt>
                <c:pt idx="37">
                  <c:v>1.9358600623361049</c:v>
                </c:pt>
                <c:pt idx="38">
                  <c:v>2.1023636487990696</c:v>
                </c:pt>
                <c:pt idx="39">
                  <c:v>2.1023636487990696</c:v>
                </c:pt>
                <c:pt idx="40">
                  <c:v>1.7546609281607246</c:v>
                </c:pt>
                <c:pt idx="41">
                  <c:v>1.6692162339833787</c:v>
                </c:pt>
                <c:pt idx="42">
                  <c:v>1.8781266693934733</c:v>
                </c:pt>
                <c:pt idx="43">
                  <c:v>1.8797523578064703</c:v>
                </c:pt>
                <c:pt idx="44">
                  <c:v>1.5923242948877245</c:v>
                </c:pt>
                <c:pt idx="45">
                  <c:v>1.8045919059789592</c:v>
                </c:pt>
                <c:pt idx="46">
                  <c:v>2.2941543676388276</c:v>
                </c:pt>
                <c:pt idx="47">
                  <c:v>1.8294544169209646</c:v>
                </c:pt>
                <c:pt idx="48">
                  <c:v>1.8294544169209646</c:v>
                </c:pt>
                <c:pt idx="49">
                  <c:v>1.8849788364696016</c:v>
                </c:pt>
                <c:pt idx="50">
                  <c:v>1.8849788364696016</c:v>
                </c:pt>
                <c:pt idx="51">
                  <c:v>1.9011798782047624</c:v>
                </c:pt>
                <c:pt idx="52">
                  <c:v>1.9011798782047624</c:v>
                </c:pt>
                <c:pt idx="53">
                  <c:v>2.2412780879293885</c:v>
                </c:pt>
                <c:pt idx="54">
                  <c:v>2.4919518773596629</c:v>
                </c:pt>
                <c:pt idx="55">
                  <c:v>0.97932977761083995</c:v>
                </c:pt>
                <c:pt idx="56">
                  <c:v>1.4641340932293478</c:v>
                </c:pt>
                <c:pt idx="57">
                  <c:v>0.98576721669453882</c:v>
                </c:pt>
                <c:pt idx="58">
                  <c:v>1.2659980689885524</c:v>
                </c:pt>
                <c:pt idx="59">
                  <c:v>0.97421045534617501</c:v>
                </c:pt>
                <c:pt idx="60">
                  <c:v>1.5077547081053122</c:v>
                </c:pt>
                <c:pt idx="61">
                  <c:v>2.2861965775808342</c:v>
                </c:pt>
                <c:pt idx="62">
                  <c:v>2.4195505115416949</c:v>
                </c:pt>
                <c:pt idx="63">
                  <c:v>1.0740402328627483</c:v>
                </c:pt>
                <c:pt idx="64">
                  <c:v>0.90408286404901339</c:v>
                </c:pt>
                <c:pt idx="65">
                  <c:v>2.3816145832236102</c:v>
                </c:pt>
                <c:pt idx="66">
                  <c:v>1.7402317112501877</c:v>
                </c:pt>
                <c:pt idx="67">
                  <c:v>1.3247580696530805</c:v>
                </c:pt>
                <c:pt idx="68">
                  <c:v>1.6918717566043429</c:v>
                </c:pt>
                <c:pt idx="69">
                  <c:v>1.8658608872278868</c:v>
                </c:pt>
                <c:pt idx="70">
                  <c:v>2.1748805779303244</c:v>
                </c:pt>
                <c:pt idx="71">
                  <c:v>1.6098848942849813</c:v>
                </c:pt>
                <c:pt idx="72">
                  <c:v>2.07681002443538</c:v>
                </c:pt>
                <c:pt idx="73">
                  <c:v>2.5310260142964327</c:v>
                </c:pt>
                <c:pt idx="74">
                  <c:v>2.8340574735559572</c:v>
                </c:pt>
                <c:pt idx="75">
                  <c:v>2.7828854061681736</c:v>
                </c:pt>
                <c:pt idx="76">
                  <c:v>2.4832159252410291</c:v>
                </c:pt>
                <c:pt idx="77">
                  <c:v>2.6718785957852038</c:v>
                </c:pt>
                <c:pt idx="78">
                  <c:v>2.4011941361609206</c:v>
                </c:pt>
                <c:pt idx="79">
                  <c:v>2.2462580983596228</c:v>
                </c:pt>
                <c:pt idx="80">
                  <c:v>2.6017009421166457</c:v>
                </c:pt>
                <c:pt idx="81">
                  <c:v>2.6266050555862779</c:v>
                </c:pt>
                <c:pt idx="82">
                  <c:v>2.4865940372331328</c:v>
                </c:pt>
                <c:pt idx="83">
                  <c:v>2.5779011788509294</c:v>
                </c:pt>
                <c:pt idx="84">
                  <c:v>1.8142342529807116</c:v>
                </c:pt>
                <c:pt idx="85">
                  <c:v>2.4849976799745499</c:v>
                </c:pt>
                <c:pt idx="86">
                  <c:v>1.9996706233260206</c:v>
                </c:pt>
                <c:pt idx="87">
                  <c:v>2.464405365659859</c:v>
                </c:pt>
                <c:pt idx="88">
                  <c:v>2.4503091561673487</c:v>
                </c:pt>
                <c:pt idx="89">
                  <c:v>1.3511429952518712</c:v>
                </c:pt>
                <c:pt idx="90">
                  <c:v>2.925738413369023</c:v>
                </c:pt>
                <c:pt idx="91">
                  <c:v>1.2709246341543179</c:v>
                </c:pt>
                <c:pt idx="92">
                  <c:v>2.4912609005764317</c:v>
                </c:pt>
                <c:pt idx="93">
                  <c:v>2.4762708991717561</c:v>
                </c:pt>
                <c:pt idx="94">
                  <c:v>1.9925512065399069</c:v>
                </c:pt>
                <c:pt idx="95">
                  <c:v>1.8406542325921853</c:v>
                </c:pt>
                <c:pt idx="96">
                  <c:v>2.0229921718988586</c:v>
                </c:pt>
                <c:pt idx="97">
                  <c:v>2.3791959121494619</c:v>
                </c:pt>
                <c:pt idx="98">
                  <c:v>1.480786619334987</c:v>
                </c:pt>
                <c:pt idx="99">
                  <c:v>1.6110043760740964</c:v>
                </c:pt>
                <c:pt idx="100">
                  <c:v>1.6947960419312951</c:v>
                </c:pt>
                <c:pt idx="101">
                  <c:v>1.8213525057863174</c:v>
                </c:pt>
                <c:pt idx="102">
                  <c:v>1.4636595926987293</c:v>
                </c:pt>
                <c:pt idx="103">
                  <c:v>1.3777434130786441</c:v>
                </c:pt>
                <c:pt idx="104">
                  <c:v>1.7387293263231325</c:v>
                </c:pt>
                <c:pt idx="105">
                  <c:v>2.1497046820266013</c:v>
                </c:pt>
                <c:pt idx="106">
                  <c:v>2.031798351198606</c:v>
                </c:pt>
                <c:pt idx="107">
                  <c:v>1.210157472156175</c:v>
                </c:pt>
                <c:pt idx="108">
                  <c:v>1.5060365839377243</c:v>
                </c:pt>
                <c:pt idx="109">
                  <c:v>1.2157566864232063</c:v>
                </c:pt>
                <c:pt idx="110">
                  <c:v>1.6139119314551313</c:v>
                </c:pt>
                <c:pt idx="111">
                  <c:v>1.7009346912288954</c:v>
                </c:pt>
                <c:pt idx="112">
                  <c:v>1.6791826063123738</c:v>
                </c:pt>
                <c:pt idx="113">
                  <c:v>1.6719644295655374</c:v>
                </c:pt>
                <c:pt idx="114">
                  <c:v>1.8583151699805556</c:v>
                </c:pt>
                <c:pt idx="115">
                  <c:v>1.6958647820047847</c:v>
                </c:pt>
                <c:pt idx="116">
                  <c:v>1.6422049905298932</c:v>
                </c:pt>
                <c:pt idx="117">
                  <c:v>2.1073737173267033</c:v>
                </c:pt>
                <c:pt idx="118">
                  <c:v>2.2064324759153546</c:v>
                </c:pt>
                <c:pt idx="119">
                  <c:v>1.7872696358516886</c:v>
                </c:pt>
                <c:pt idx="120">
                  <c:v>2.4045559316413061</c:v>
                </c:pt>
                <c:pt idx="121">
                  <c:v>2.1908242801756375</c:v>
                </c:pt>
                <c:pt idx="122">
                  <c:v>1.7042311000948527</c:v>
                </c:pt>
                <c:pt idx="123">
                  <c:v>2.0157796507391934</c:v>
                </c:pt>
                <c:pt idx="124">
                  <c:v>2.4023580290102506</c:v>
                </c:pt>
                <c:pt idx="125">
                  <c:v>1.8171227048853755</c:v>
                </c:pt>
                <c:pt idx="126">
                  <c:v>2.4770380092837767</c:v>
                </c:pt>
                <c:pt idx="127">
                  <c:v>1.8689394540824167</c:v>
                </c:pt>
                <c:pt idx="128">
                  <c:v>1.4896546825186321</c:v>
                </c:pt>
                <c:pt idx="129">
                  <c:v>1.4756849269594856</c:v>
                </c:pt>
                <c:pt idx="130">
                  <c:v>1.621735854662433</c:v>
                </c:pt>
                <c:pt idx="131">
                  <c:v>2.1540931293374417</c:v>
                </c:pt>
                <c:pt idx="132">
                  <c:v>1.8796659253520858</c:v>
                </c:pt>
                <c:pt idx="133">
                  <c:v>2.086483754349207</c:v>
                </c:pt>
                <c:pt idx="134">
                  <c:v>2.2615324624297557</c:v>
                </c:pt>
                <c:pt idx="135">
                  <c:v>2.0981161961904866</c:v>
                </c:pt>
                <c:pt idx="136">
                  <c:v>2.1410207028238033</c:v>
                </c:pt>
                <c:pt idx="137">
                  <c:v>1.2602405718186387</c:v>
                </c:pt>
                <c:pt idx="138">
                  <c:v>1.5893823893222023</c:v>
                </c:pt>
                <c:pt idx="139">
                  <c:v>1.403560420438748</c:v>
                </c:pt>
                <c:pt idx="140">
                  <c:v>1.2889917932026622</c:v>
                </c:pt>
                <c:pt idx="141">
                  <c:v>1.6336463933251026</c:v>
                </c:pt>
                <c:pt idx="142">
                  <c:v>1.7775641495303378</c:v>
                </c:pt>
                <c:pt idx="143">
                  <c:v>1.558977806437378</c:v>
                </c:pt>
                <c:pt idx="144">
                  <c:v>1.4276855307204448</c:v>
                </c:pt>
                <c:pt idx="145">
                  <c:v>1.327905273969467</c:v>
                </c:pt>
                <c:pt idx="146">
                  <c:v>1.4123483500887095</c:v>
                </c:pt>
                <c:pt idx="147">
                  <c:v>1.7950049412928319</c:v>
                </c:pt>
                <c:pt idx="148">
                  <c:v>1.5394082854992828</c:v>
                </c:pt>
                <c:pt idx="149">
                  <c:v>1.5591928452133359</c:v>
                </c:pt>
                <c:pt idx="150">
                  <c:v>1.5505160658075436</c:v>
                </c:pt>
                <c:pt idx="151">
                  <c:v>1.4241119729792726</c:v>
                </c:pt>
                <c:pt idx="152">
                  <c:v>1.3055898286674923</c:v>
                </c:pt>
                <c:pt idx="153">
                  <c:v>1.4710480015697462</c:v>
                </c:pt>
                <c:pt idx="154">
                  <c:v>1.4607969295572343</c:v>
                </c:pt>
                <c:pt idx="155">
                  <c:v>1.5114046550490408</c:v>
                </c:pt>
                <c:pt idx="156">
                  <c:v>1.2436496327327959</c:v>
                </c:pt>
                <c:pt idx="157">
                  <c:v>1.3041776129638663</c:v>
                </c:pt>
                <c:pt idx="158">
                  <c:v>1.5947279576294371</c:v>
                </c:pt>
                <c:pt idx="159">
                  <c:v>1.0808097379491979</c:v>
                </c:pt>
                <c:pt idx="160">
                  <c:v>1.69869931801179</c:v>
                </c:pt>
                <c:pt idx="161">
                  <c:v>2.3271560244615728</c:v>
                </c:pt>
                <c:pt idx="162">
                  <c:v>1.766925326900822</c:v>
                </c:pt>
                <c:pt idx="163">
                  <c:v>1.3648020603300197</c:v>
                </c:pt>
                <c:pt idx="164">
                  <c:v>1.4270672320523956</c:v>
                </c:pt>
                <c:pt idx="165">
                  <c:v>1.2867765285178476</c:v>
                </c:pt>
                <c:pt idx="166">
                  <c:v>1.1693210304983437</c:v>
                </c:pt>
                <c:pt idx="167">
                  <c:v>1.2465084055760451</c:v>
                </c:pt>
                <c:pt idx="168">
                  <c:v>1.9928712367167702</c:v>
                </c:pt>
                <c:pt idx="169">
                  <c:v>1.8680264963021465</c:v>
                </c:pt>
                <c:pt idx="170">
                  <c:v>1.3814805708874047</c:v>
                </c:pt>
                <c:pt idx="171">
                  <c:v>1.9007473496514582</c:v>
                </c:pt>
                <c:pt idx="172">
                  <c:v>1.6305911704223137</c:v>
                </c:pt>
                <c:pt idx="173">
                  <c:v>2.2783935747554356</c:v>
                </c:pt>
                <c:pt idx="174">
                  <c:v>1.6863998078567315</c:v>
                </c:pt>
                <c:pt idx="175">
                  <c:v>1.6975806823821411</c:v>
                </c:pt>
                <c:pt idx="176">
                  <c:v>1.2785278291453337</c:v>
                </c:pt>
                <c:pt idx="177">
                  <c:v>1.8403532904522368</c:v>
                </c:pt>
                <c:pt idx="178">
                  <c:v>1.135794330016441</c:v>
                </c:pt>
                <c:pt idx="179">
                  <c:v>1.619194018773322</c:v>
                </c:pt>
                <c:pt idx="180">
                  <c:v>1.778110273541323</c:v>
                </c:pt>
                <c:pt idx="181">
                  <c:v>1.6297829441924288</c:v>
                </c:pt>
                <c:pt idx="182">
                  <c:v>2.0071880883821756</c:v>
                </c:pt>
                <c:pt idx="183">
                  <c:v>1.6160351505021928</c:v>
                </c:pt>
                <c:pt idx="184">
                  <c:v>1.6085443951442955</c:v>
                </c:pt>
                <c:pt idx="185">
                  <c:v>1.7541416390117137</c:v>
                </c:pt>
                <c:pt idx="186">
                  <c:v>1.4662176354583463</c:v>
                </c:pt>
                <c:pt idx="187">
                  <c:v>1.9887440503128282</c:v>
                </c:pt>
                <c:pt idx="188">
                  <c:v>2.0646055726394699</c:v>
                </c:pt>
                <c:pt idx="189">
                  <c:v>1.8593356056871713</c:v>
                </c:pt>
                <c:pt idx="190">
                  <c:v>1.3261917540087973</c:v>
                </c:pt>
                <c:pt idx="191">
                  <c:v>2.3117895381902884</c:v>
                </c:pt>
                <c:pt idx="192">
                  <c:v>1.8337996312449061</c:v>
                </c:pt>
                <c:pt idx="193">
                  <c:v>1.5854083437965325</c:v>
                </c:pt>
                <c:pt idx="194">
                  <c:v>1.5356140074541944</c:v>
                </c:pt>
                <c:pt idx="195">
                  <c:v>1.8521184980842436</c:v>
                </c:pt>
                <c:pt idx="196">
                  <c:v>1.9330039509882082</c:v>
                </c:pt>
                <c:pt idx="197">
                  <c:v>1.9248504433329023</c:v>
                </c:pt>
                <c:pt idx="198">
                  <c:v>2.3056645935694262</c:v>
                </c:pt>
                <c:pt idx="199">
                  <c:v>0.51328901386192649</c:v>
                </c:pt>
                <c:pt idx="200">
                  <c:v>1.5360321943493134</c:v>
                </c:pt>
                <c:pt idx="201">
                  <c:v>1.4898103684061734</c:v>
                </c:pt>
                <c:pt idx="202">
                  <c:v>1.6798354215963835</c:v>
                </c:pt>
                <c:pt idx="203">
                  <c:v>1.4101370740923769</c:v>
                </c:pt>
                <c:pt idx="204">
                  <c:v>2.0222401134029506</c:v>
                </c:pt>
                <c:pt idx="205">
                  <c:v>1.7685688302516001</c:v>
                </c:pt>
                <c:pt idx="206">
                  <c:v>2.0799992915128129</c:v>
                </c:pt>
                <c:pt idx="207">
                  <c:v>1.2578535434363767</c:v>
                </c:pt>
                <c:pt idx="208">
                  <c:v>1.7317254832977322</c:v>
                </c:pt>
                <c:pt idx="209">
                  <c:v>1.7173665161974321</c:v>
                </c:pt>
                <c:pt idx="210">
                  <c:v>2.3082111104392879</c:v>
                </c:pt>
                <c:pt idx="211">
                  <c:v>2.3324061954543751</c:v>
                </c:pt>
                <c:pt idx="212">
                  <c:v>1.064962613941582</c:v>
                </c:pt>
                <c:pt idx="213">
                  <c:v>0.9376818002668581</c:v>
                </c:pt>
                <c:pt idx="214">
                  <c:v>1.2628251185675932</c:v>
                </c:pt>
                <c:pt idx="215">
                  <c:v>0.42644084771891505</c:v>
                </c:pt>
                <c:pt idx="216">
                  <c:v>1.1769159164509957</c:v>
                </c:pt>
                <c:pt idx="217">
                  <c:v>1.2107403341866605</c:v>
                </c:pt>
                <c:pt idx="218">
                  <c:v>1.2042946298692805</c:v>
                </c:pt>
                <c:pt idx="219">
                  <c:v>1.341364270969104</c:v>
                </c:pt>
                <c:pt idx="220">
                  <c:v>1.5062005078727565</c:v>
                </c:pt>
                <c:pt idx="221">
                  <c:v>2.7480125744508079</c:v>
                </c:pt>
                <c:pt idx="222">
                  <c:v>1.0889899457954362</c:v>
                </c:pt>
                <c:pt idx="223">
                  <c:v>1.2952494313519984</c:v>
                </c:pt>
                <c:pt idx="224">
                  <c:v>1.6053699459000061</c:v>
                </c:pt>
                <c:pt idx="225">
                  <c:v>1.3739090586186062</c:v>
                </c:pt>
                <c:pt idx="226">
                  <c:v>1.257331544831237</c:v>
                </c:pt>
                <c:pt idx="227">
                  <c:v>1.2794051660441645</c:v>
                </c:pt>
                <c:pt idx="228">
                  <c:v>1.1999749830361903</c:v>
                </c:pt>
                <c:pt idx="229">
                  <c:v>2.8945674563557766</c:v>
                </c:pt>
                <c:pt idx="230">
                  <c:v>2.286184797887004</c:v>
                </c:pt>
                <c:pt idx="231">
                  <c:v>1.110892903790949</c:v>
                </c:pt>
                <c:pt idx="232">
                  <c:v>2.5931035552926835</c:v>
                </c:pt>
                <c:pt idx="233">
                  <c:v>2.5330512129740694</c:v>
                </c:pt>
                <c:pt idx="234">
                  <c:v>2.1557001426297702</c:v>
                </c:pt>
                <c:pt idx="235">
                  <c:v>1.2128980641796907</c:v>
                </c:pt>
                <c:pt idx="236">
                  <c:v>3.1127012279879973</c:v>
                </c:pt>
                <c:pt idx="237">
                  <c:v>1.2863275135782164</c:v>
                </c:pt>
                <c:pt idx="238">
                  <c:v>1.3903224753056873</c:v>
                </c:pt>
                <c:pt idx="239">
                  <c:v>1.0819795390748945</c:v>
                </c:pt>
                <c:pt idx="240">
                  <c:v>2.1468664925268488</c:v>
                </c:pt>
                <c:pt idx="241">
                  <c:v>2.1512778620320412</c:v>
                </c:pt>
                <c:pt idx="242">
                  <c:v>2.1211516680774762</c:v>
                </c:pt>
                <c:pt idx="243">
                  <c:v>2.4759285563802655</c:v>
                </c:pt>
                <c:pt idx="244">
                  <c:v>1.6234698697084089</c:v>
                </c:pt>
                <c:pt idx="245">
                  <c:v>1.9215262652462428</c:v>
                </c:pt>
                <c:pt idx="246">
                  <c:v>1.6274350232766979</c:v>
                </c:pt>
                <c:pt idx="247">
                  <c:v>1.8155256055766906</c:v>
                </c:pt>
                <c:pt idx="248">
                  <c:v>2.5208731734666308</c:v>
                </c:pt>
                <c:pt idx="249">
                  <c:v>2.5101763990389081</c:v>
                </c:pt>
                <c:pt idx="250">
                  <c:v>2.3123528247792344</c:v>
                </c:pt>
                <c:pt idx="251">
                  <c:v>2.2980101814828782</c:v>
                </c:pt>
                <c:pt idx="252">
                  <c:v>1.5698116262713619</c:v>
                </c:pt>
                <c:pt idx="253">
                  <c:v>1.5665592541174849</c:v>
                </c:pt>
                <c:pt idx="254">
                  <c:v>1.8963749538011976</c:v>
                </c:pt>
                <c:pt idx="255">
                  <c:v>2.0057279620860839</c:v>
                </c:pt>
                <c:pt idx="256">
                  <c:v>2.4750448366435061</c:v>
                </c:pt>
                <c:pt idx="257">
                  <c:v>1.9168839313547983</c:v>
                </c:pt>
                <c:pt idx="258">
                  <c:v>2.6644569105298475</c:v>
                </c:pt>
                <c:pt idx="259">
                  <c:v>1.9863436008609694</c:v>
                </c:pt>
                <c:pt idx="260">
                  <c:v>1.8612559860866686</c:v>
                </c:pt>
                <c:pt idx="261">
                  <c:v>1.6221431392145302</c:v>
                </c:pt>
                <c:pt idx="262">
                  <c:v>1.998849365856767</c:v>
                </c:pt>
                <c:pt idx="263">
                  <c:v>2.1764869904684927</c:v>
                </c:pt>
                <c:pt idx="264">
                  <c:v>1.8058506934321912</c:v>
                </c:pt>
                <c:pt idx="265">
                  <c:v>2.2144618783538053</c:v>
                </c:pt>
                <c:pt idx="266">
                  <c:v>1.6669977276459687</c:v>
                </c:pt>
                <c:pt idx="267">
                  <c:v>1.5143982955032453</c:v>
                </c:pt>
                <c:pt idx="268">
                  <c:v>2.1778234715106537</c:v>
                </c:pt>
                <c:pt idx="269">
                  <c:v>2.2704622311196889</c:v>
                </c:pt>
                <c:pt idx="270">
                  <c:v>2.1412749657081402</c:v>
                </c:pt>
                <c:pt idx="271">
                  <c:v>2.1028796904609597</c:v>
                </c:pt>
                <c:pt idx="272">
                  <c:v>1.4576202750016511</c:v>
                </c:pt>
                <c:pt idx="273">
                  <c:v>1.4535769455286924</c:v>
                </c:pt>
                <c:pt idx="274">
                  <c:v>2.0431311987564142</c:v>
                </c:pt>
                <c:pt idx="275">
                  <c:v>2.0166126817224077</c:v>
                </c:pt>
                <c:pt idx="369">
                  <c:v>2.0431311987564142</c:v>
                </c:pt>
                <c:pt idx="370">
                  <c:v>2.0166126817224077</c:v>
                </c:pt>
                <c:pt idx="371">
                  <c:v>1.6385819386206548</c:v>
                </c:pt>
                <c:pt idx="372">
                  <c:v>1.7330695102637437</c:v>
                </c:pt>
                <c:pt idx="373">
                  <c:v>2.1778234715106537</c:v>
                </c:pt>
                <c:pt idx="374">
                  <c:v>2.2704622311196889</c:v>
                </c:pt>
                <c:pt idx="375">
                  <c:v>2.1412749657081402</c:v>
                </c:pt>
                <c:pt idx="376">
                  <c:v>2.1028796904609597</c:v>
                </c:pt>
                <c:pt idx="377">
                  <c:v>1.4576202750016511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9D-45CA-9A31-A0FCF329CB8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1-169D-45CA-9A31-A0FCF329C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35392"/>
        <c:axId val="129836928"/>
      </c:scatterChart>
      <c:valAx>
        <c:axId val="1298353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6928"/>
        <c:crosses val="autoZero"/>
        <c:crossBetween val="midCat"/>
      </c:valAx>
      <c:valAx>
        <c:axId val="1298369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53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'headed (2)'!$P$105:$P$147</c:f>
            </c:numRef>
          </c:xVal>
          <c:yVal>
            <c:numRef>
              <c:f>'headed (2)'!$CY$105:$CY$147</c:f>
            </c:numRef>
          </c:yVal>
          <c:smooth val="0"/>
          <c:extLst>
            <c:ext xmlns:c16="http://schemas.microsoft.com/office/drawing/2014/chart" uri="{C3380CC4-5D6E-409C-BE32-E72D297353CC}">
              <c16:uniqueId val="{00000000-C51E-4B23-A636-D816B661FE23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1E-4B23-A636-D816B661FE23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(2)'!$P$154:$P$548</c:f>
              <c:numCache>
                <c:formatCode>General</c:formatCode>
                <c:ptCount val="368"/>
                <c:pt idx="0">
                  <c:v>16</c:v>
                </c:pt>
                <c:pt idx="1">
                  <c:v>16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13.921985815602838</c:v>
                </c:pt>
                <c:pt idx="19">
                  <c:v>13.829787234042554</c:v>
                </c:pt>
                <c:pt idx="20">
                  <c:v>13.787234042553195</c:v>
                </c:pt>
                <c:pt idx="21">
                  <c:v>13.744680851063832</c:v>
                </c:pt>
                <c:pt idx="22">
                  <c:v>13.744680851063832</c:v>
                </c:pt>
                <c:pt idx="23">
                  <c:v>13.680851063829788</c:v>
                </c:pt>
                <c:pt idx="24">
                  <c:v>13.652482269503549</c:v>
                </c:pt>
                <c:pt idx="25">
                  <c:v>13.567375886524824</c:v>
                </c:pt>
                <c:pt idx="26">
                  <c:v>8.3595113438045381</c:v>
                </c:pt>
                <c:pt idx="27">
                  <c:v>12.368794326241137</c:v>
                </c:pt>
                <c:pt idx="28">
                  <c:v>12.234042553191491</c:v>
                </c:pt>
                <c:pt idx="29">
                  <c:v>12.148936170212767</c:v>
                </c:pt>
                <c:pt idx="30">
                  <c:v>12.067039106145252</c:v>
                </c:pt>
                <c:pt idx="31">
                  <c:v>12.056737588652483</c:v>
                </c:pt>
                <c:pt idx="32">
                  <c:v>12.014184397163124</c:v>
                </c:pt>
                <c:pt idx="33">
                  <c:v>12.014184397163124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12.000000000000004</c:v>
                </c:pt>
                <c:pt idx="41">
                  <c:v>12.000000000000004</c:v>
                </c:pt>
                <c:pt idx="42">
                  <c:v>11.921985815602838</c:v>
                </c:pt>
                <c:pt idx="43">
                  <c:v>11.921985815602838</c:v>
                </c:pt>
                <c:pt idx="44">
                  <c:v>11.879432624113477</c:v>
                </c:pt>
                <c:pt idx="45">
                  <c:v>11.858156028368795</c:v>
                </c:pt>
                <c:pt idx="46">
                  <c:v>11.744680851063832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15.749999999999998</c:v>
                </c:pt>
                <c:pt idx="54">
                  <c:v>15.28</c:v>
                </c:pt>
                <c:pt idx="55">
                  <c:v>10.581560283687944</c:v>
                </c:pt>
                <c:pt idx="56">
                  <c:v>10.43262411347518</c:v>
                </c:pt>
                <c:pt idx="57">
                  <c:v>10.418439716312058</c:v>
                </c:pt>
                <c:pt idx="58">
                  <c:v>10.418439716312058</c:v>
                </c:pt>
                <c:pt idx="59">
                  <c:v>10.375886524822697</c:v>
                </c:pt>
                <c:pt idx="60">
                  <c:v>10.375886524822697</c:v>
                </c:pt>
                <c:pt idx="61">
                  <c:v>14.58</c:v>
                </c:pt>
                <c:pt idx="62">
                  <c:v>14.58</c:v>
                </c:pt>
                <c:pt idx="63">
                  <c:v>10.312056737588653</c:v>
                </c:pt>
                <c:pt idx="64">
                  <c:v>10.312056737588653</c:v>
                </c:pt>
                <c:pt idx="65">
                  <c:v>14.54</c:v>
                </c:pt>
                <c:pt idx="66">
                  <c:v>14.54</c:v>
                </c:pt>
                <c:pt idx="67">
                  <c:v>10.283687943262413</c:v>
                </c:pt>
                <c:pt idx="68">
                  <c:v>10.283687943262413</c:v>
                </c:pt>
                <c:pt idx="69">
                  <c:v>14.499999999999998</c:v>
                </c:pt>
                <c:pt idx="70">
                  <c:v>14.499999999999998</c:v>
                </c:pt>
                <c:pt idx="71">
                  <c:v>14.42</c:v>
                </c:pt>
                <c:pt idx="72">
                  <c:v>14.42</c:v>
                </c:pt>
                <c:pt idx="73">
                  <c:v>14.38</c:v>
                </c:pt>
                <c:pt idx="74">
                  <c:v>14.38</c:v>
                </c:pt>
                <c:pt idx="75">
                  <c:v>14.38</c:v>
                </c:pt>
                <c:pt idx="76">
                  <c:v>14.38</c:v>
                </c:pt>
                <c:pt idx="77">
                  <c:v>14.35</c:v>
                </c:pt>
                <c:pt idx="78">
                  <c:v>14.299999999999999</c:v>
                </c:pt>
                <c:pt idx="79">
                  <c:v>14.27</c:v>
                </c:pt>
                <c:pt idx="80">
                  <c:v>14.25</c:v>
                </c:pt>
                <c:pt idx="81">
                  <c:v>14.25</c:v>
                </c:pt>
                <c:pt idx="82">
                  <c:v>14.13</c:v>
                </c:pt>
                <c:pt idx="83">
                  <c:v>14.09</c:v>
                </c:pt>
                <c:pt idx="84">
                  <c:v>14.080000000000002</c:v>
                </c:pt>
                <c:pt idx="85">
                  <c:v>14.059999999999999</c:v>
                </c:pt>
                <c:pt idx="86">
                  <c:v>9.9441340782122918</c:v>
                </c:pt>
                <c:pt idx="87">
                  <c:v>12.66</c:v>
                </c:pt>
                <c:pt idx="88">
                  <c:v>12.590000000000002</c:v>
                </c:pt>
                <c:pt idx="89">
                  <c:v>8.9078014184397176</c:v>
                </c:pt>
                <c:pt idx="90">
                  <c:v>12.56</c:v>
                </c:pt>
                <c:pt idx="91">
                  <c:v>8.8652482269503565</c:v>
                </c:pt>
                <c:pt idx="92">
                  <c:v>12.5</c:v>
                </c:pt>
                <c:pt idx="93">
                  <c:v>12.439999999999998</c:v>
                </c:pt>
                <c:pt idx="94">
                  <c:v>12.38</c:v>
                </c:pt>
                <c:pt idx="95">
                  <c:v>12.31</c:v>
                </c:pt>
                <c:pt idx="96">
                  <c:v>12.21</c:v>
                </c:pt>
                <c:pt idx="97">
                  <c:v>12.19</c:v>
                </c:pt>
                <c:pt idx="98">
                  <c:v>12.17</c:v>
                </c:pt>
                <c:pt idx="99">
                  <c:v>12.17</c:v>
                </c:pt>
                <c:pt idx="100">
                  <c:v>8.6028368794326244</c:v>
                </c:pt>
                <c:pt idx="101">
                  <c:v>12.129999999999999</c:v>
                </c:pt>
                <c:pt idx="102">
                  <c:v>8.6028368794326244</c:v>
                </c:pt>
                <c:pt idx="103">
                  <c:v>8.5744680851063837</c:v>
                </c:pt>
                <c:pt idx="104">
                  <c:v>12.06</c:v>
                </c:pt>
                <c:pt idx="105">
                  <c:v>12.06</c:v>
                </c:pt>
                <c:pt idx="106">
                  <c:v>12.04</c:v>
                </c:pt>
                <c:pt idx="107">
                  <c:v>12.03</c:v>
                </c:pt>
                <c:pt idx="108">
                  <c:v>8.5106382978723403</c:v>
                </c:pt>
                <c:pt idx="109">
                  <c:v>8.5106382978723403</c:v>
                </c:pt>
                <c:pt idx="110">
                  <c:v>11.999999999999998</c:v>
                </c:pt>
                <c:pt idx="111">
                  <c:v>11.999999999999998</c:v>
                </c:pt>
                <c:pt idx="112">
                  <c:v>11.97</c:v>
                </c:pt>
                <c:pt idx="113">
                  <c:v>11.95</c:v>
                </c:pt>
                <c:pt idx="114">
                  <c:v>11.9</c:v>
                </c:pt>
                <c:pt idx="115">
                  <c:v>11.88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11.299212598425198</c:v>
                </c:pt>
                <c:pt idx="120">
                  <c:v>11.299212598425198</c:v>
                </c:pt>
                <c:pt idx="121">
                  <c:v>11.25</c:v>
                </c:pt>
                <c:pt idx="122">
                  <c:v>7.9608938547486039</c:v>
                </c:pt>
                <c:pt idx="123">
                  <c:v>7.9608938547486039</c:v>
                </c:pt>
                <c:pt idx="124">
                  <c:v>7.9608938547486039</c:v>
                </c:pt>
                <c:pt idx="125">
                  <c:v>11.13</c:v>
                </c:pt>
                <c:pt idx="126">
                  <c:v>11.06</c:v>
                </c:pt>
                <c:pt idx="127">
                  <c:v>7.8212290502793298</c:v>
                </c:pt>
                <c:pt idx="128">
                  <c:v>7.8212290502793298</c:v>
                </c:pt>
                <c:pt idx="129">
                  <c:v>7.8212290502793298</c:v>
                </c:pt>
                <c:pt idx="130">
                  <c:v>7.8212290502793298</c:v>
                </c:pt>
                <c:pt idx="131">
                  <c:v>7.8212290502793298</c:v>
                </c:pt>
                <c:pt idx="132">
                  <c:v>10.94</c:v>
                </c:pt>
                <c:pt idx="133">
                  <c:v>10.83</c:v>
                </c:pt>
                <c:pt idx="134">
                  <c:v>10.58</c:v>
                </c:pt>
                <c:pt idx="135">
                  <c:v>10.5</c:v>
                </c:pt>
                <c:pt idx="136">
                  <c:v>10.35</c:v>
                </c:pt>
                <c:pt idx="137">
                  <c:v>10.33</c:v>
                </c:pt>
                <c:pt idx="138">
                  <c:v>10.33</c:v>
                </c:pt>
                <c:pt idx="139">
                  <c:v>10.29</c:v>
                </c:pt>
                <c:pt idx="140">
                  <c:v>10.25</c:v>
                </c:pt>
                <c:pt idx="141">
                  <c:v>10.130000000000001</c:v>
                </c:pt>
                <c:pt idx="142">
                  <c:v>10.1</c:v>
                </c:pt>
                <c:pt idx="143">
                  <c:v>10.08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9.94</c:v>
                </c:pt>
                <c:pt idx="148">
                  <c:v>9.92</c:v>
                </c:pt>
                <c:pt idx="149">
                  <c:v>9.92</c:v>
                </c:pt>
                <c:pt idx="150">
                  <c:v>9.9</c:v>
                </c:pt>
                <c:pt idx="151">
                  <c:v>9.8800000000000008</c:v>
                </c:pt>
                <c:pt idx="152">
                  <c:v>9.8800000000000008</c:v>
                </c:pt>
                <c:pt idx="153">
                  <c:v>9.8800000000000008</c:v>
                </c:pt>
                <c:pt idx="154">
                  <c:v>9.8800000000000008</c:v>
                </c:pt>
                <c:pt idx="155">
                  <c:v>9.81</c:v>
                </c:pt>
                <c:pt idx="156">
                  <c:v>9.7899999999999991</c:v>
                </c:pt>
                <c:pt idx="157">
                  <c:v>9.77</c:v>
                </c:pt>
                <c:pt idx="158">
                  <c:v>9.75</c:v>
                </c:pt>
                <c:pt idx="159">
                  <c:v>9.75</c:v>
                </c:pt>
                <c:pt idx="160">
                  <c:v>9.69</c:v>
                </c:pt>
                <c:pt idx="161">
                  <c:v>9.69</c:v>
                </c:pt>
                <c:pt idx="162">
                  <c:v>9.69</c:v>
                </c:pt>
                <c:pt idx="163">
                  <c:v>9.66</c:v>
                </c:pt>
                <c:pt idx="164">
                  <c:v>9.6300000000000008</c:v>
                </c:pt>
                <c:pt idx="165">
                  <c:v>9.6</c:v>
                </c:pt>
                <c:pt idx="166">
                  <c:v>9.58</c:v>
                </c:pt>
                <c:pt idx="167">
                  <c:v>9.58</c:v>
                </c:pt>
                <c:pt idx="168">
                  <c:v>9.56</c:v>
                </c:pt>
                <c:pt idx="169">
                  <c:v>9.56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9.4700000000000006</c:v>
                </c:pt>
                <c:pt idx="177">
                  <c:v>9.4600000000000009</c:v>
                </c:pt>
                <c:pt idx="178">
                  <c:v>9.42</c:v>
                </c:pt>
                <c:pt idx="179">
                  <c:v>9.3800000000000008</c:v>
                </c:pt>
                <c:pt idx="180">
                  <c:v>9.3800000000000008</c:v>
                </c:pt>
                <c:pt idx="181">
                  <c:v>9.3800000000000008</c:v>
                </c:pt>
                <c:pt idx="182">
                  <c:v>9.3800000000000008</c:v>
                </c:pt>
                <c:pt idx="183">
                  <c:v>9.33</c:v>
                </c:pt>
                <c:pt idx="184">
                  <c:v>9.33</c:v>
                </c:pt>
                <c:pt idx="185">
                  <c:v>9.31</c:v>
                </c:pt>
                <c:pt idx="186">
                  <c:v>9.25</c:v>
                </c:pt>
                <c:pt idx="187">
                  <c:v>9.25</c:v>
                </c:pt>
                <c:pt idx="188">
                  <c:v>9.25</c:v>
                </c:pt>
                <c:pt idx="189">
                  <c:v>9.25</c:v>
                </c:pt>
                <c:pt idx="190">
                  <c:v>9.19</c:v>
                </c:pt>
                <c:pt idx="191">
                  <c:v>9.19</c:v>
                </c:pt>
                <c:pt idx="192">
                  <c:v>9.19</c:v>
                </c:pt>
                <c:pt idx="193">
                  <c:v>9.17</c:v>
                </c:pt>
                <c:pt idx="194">
                  <c:v>9.1300000000000008</c:v>
                </c:pt>
                <c:pt idx="195">
                  <c:v>9.06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6.061452513966481</c:v>
                </c:pt>
                <c:pt idx="200">
                  <c:v>8.31</c:v>
                </c:pt>
                <c:pt idx="201">
                  <c:v>8.3070866141732296</c:v>
                </c:pt>
                <c:pt idx="202">
                  <c:v>8.3070866141732296</c:v>
                </c:pt>
                <c:pt idx="203">
                  <c:v>8.3070866141732296</c:v>
                </c:pt>
                <c:pt idx="204">
                  <c:v>8.25</c:v>
                </c:pt>
                <c:pt idx="205">
                  <c:v>8.25</c:v>
                </c:pt>
                <c:pt idx="206">
                  <c:v>5.8379888268156428</c:v>
                </c:pt>
                <c:pt idx="207">
                  <c:v>5.6983240223463696</c:v>
                </c:pt>
                <c:pt idx="208">
                  <c:v>8.0314960629921259</c:v>
                </c:pt>
                <c:pt idx="209">
                  <c:v>8</c:v>
                </c:pt>
                <c:pt idx="210">
                  <c:v>6</c:v>
                </c:pt>
                <c:pt idx="211">
                  <c:v>6</c:v>
                </c:pt>
                <c:pt idx="212">
                  <c:v>7.06</c:v>
                </c:pt>
                <c:pt idx="213">
                  <c:v>7.06</c:v>
                </c:pt>
                <c:pt idx="214">
                  <c:v>7</c:v>
                </c:pt>
                <c:pt idx="215">
                  <c:v>6.3385826771653546</c:v>
                </c:pt>
                <c:pt idx="216">
                  <c:v>6.33</c:v>
                </c:pt>
                <c:pt idx="217">
                  <c:v>6.29</c:v>
                </c:pt>
                <c:pt idx="218">
                  <c:v>6.25</c:v>
                </c:pt>
                <c:pt idx="219">
                  <c:v>6.25</c:v>
                </c:pt>
                <c:pt idx="220">
                  <c:v>6.25</c:v>
                </c:pt>
                <c:pt idx="221">
                  <c:v>9.9519999999999982</c:v>
                </c:pt>
                <c:pt idx="222">
                  <c:v>6.21</c:v>
                </c:pt>
                <c:pt idx="223">
                  <c:v>6.19</c:v>
                </c:pt>
                <c:pt idx="224">
                  <c:v>6.16</c:v>
                </c:pt>
                <c:pt idx="225">
                  <c:v>6.13</c:v>
                </c:pt>
                <c:pt idx="226">
                  <c:v>6.13</c:v>
                </c:pt>
                <c:pt idx="227">
                  <c:v>6.0999999999999988</c:v>
                </c:pt>
                <c:pt idx="228">
                  <c:v>6.09</c:v>
                </c:pt>
                <c:pt idx="229">
                  <c:v>9.695999999999998</c:v>
                </c:pt>
                <c:pt idx="230">
                  <c:v>9.6479999999999997</c:v>
                </c:pt>
                <c:pt idx="231">
                  <c:v>6.03</c:v>
                </c:pt>
                <c:pt idx="232">
                  <c:v>9.5999999999999979</c:v>
                </c:pt>
                <c:pt idx="233">
                  <c:v>9.5999999999999979</c:v>
                </c:pt>
                <c:pt idx="234">
                  <c:v>9.5999999999999979</c:v>
                </c:pt>
                <c:pt idx="235">
                  <c:v>5.9999999999999991</c:v>
                </c:pt>
                <c:pt idx="236">
                  <c:v>9.5039999999999996</c:v>
                </c:pt>
                <c:pt idx="237">
                  <c:v>5.63</c:v>
                </c:pt>
                <c:pt idx="238">
                  <c:v>5.5</c:v>
                </c:pt>
                <c:pt idx="239">
                  <c:v>5.5</c:v>
                </c:pt>
                <c:pt idx="240">
                  <c:v>6</c:v>
                </c:pt>
                <c:pt idx="241">
                  <c:v>6</c:v>
                </c:pt>
                <c:pt idx="242">
                  <c:v>8.3040000000000003</c:v>
                </c:pt>
                <c:pt idx="243">
                  <c:v>8.3040000000000003</c:v>
                </c:pt>
                <c:pt idx="244">
                  <c:v>8.24</c:v>
                </c:pt>
                <c:pt idx="245">
                  <c:v>8.0640000000000001</c:v>
                </c:pt>
                <c:pt idx="246">
                  <c:v>8.048</c:v>
                </c:pt>
                <c:pt idx="247">
                  <c:v>8.0319999999999983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7.056</c:v>
                </c:pt>
                <c:pt idx="257">
                  <c:v>6.7519999999999989</c:v>
                </c:pt>
                <c:pt idx="258">
                  <c:v>6.7039999999999997</c:v>
                </c:pt>
                <c:pt idx="259">
                  <c:v>6.6559999999999997</c:v>
                </c:pt>
                <c:pt idx="260">
                  <c:v>6.6079999999999988</c:v>
                </c:pt>
                <c:pt idx="261">
                  <c:v>6.6079999999999988</c:v>
                </c:pt>
                <c:pt idx="262">
                  <c:v>6.6079999999999988</c:v>
                </c:pt>
                <c:pt idx="263">
                  <c:v>6.5439999999999996</c:v>
                </c:pt>
                <c:pt idx="264">
                  <c:v>6.5439999999999996</c:v>
                </c:pt>
                <c:pt idx="265">
                  <c:v>6.4959999999999987</c:v>
                </c:pt>
                <c:pt idx="266">
                  <c:v>6.4959999999999987</c:v>
                </c:pt>
                <c:pt idx="267">
                  <c:v>6.0960000000000001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91">
                  <c:v>8</c:v>
                </c:pt>
                <c:pt idx="292">
                  <c:v>8.3000000000000007</c:v>
                </c:pt>
                <c:pt idx="293">
                  <c:v>8.5</c:v>
                </c:pt>
                <c:pt idx="294">
                  <c:v>7.5</c:v>
                </c:pt>
                <c:pt idx="295">
                  <c:v>7.4</c:v>
                </c:pt>
                <c:pt idx="296">
                  <c:v>7.4</c:v>
                </c:pt>
                <c:pt idx="297">
                  <c:v>7.1</c:v>
                </c:pt>
                <c:pt idx="298">
                  <c:v>7</c:v>
                </c:pt>
                <c:pt idx="299">
                  <c:v>5.9999999999999991</c:v>
                </c:pt>
                <c:pt idx="300">
                  <c:v>5.9999999999999991</c:v>
                </c:pt>
                <c:pt idx="301">
                  <c:v>6.0999999999999988</c:v>
                </c:pt>
                <c:pt idx="302">
                  <c:v>6.0999999999999988</c:v>
                </c:pt>
                <c:pt idx="303">
                  <c:v>6.3</c:v>
                </c:pt>
                <c:pt idx="304">
                  <c:v>6.3</c:v>
                </c:pt>
                <c:pt idx="305">
                  <c:v>6.4</c:v>
                </c:pt>
                <c:pt idx="306">
                  <c:v>6.5</c:v>
                </c:pt>
                <c:pt idx="307">
                  <c:v>6.5</c:v>
                </c:pt>
                <c:pt idx="308">
                  <c:v>6.5</c:v>
                </c:pt>
                <c:pt idx="309">
                  <c:v>6.6</c:v>
                </c:pt>
                <c:pt idx="310">
                  <c:v>6.5</c:v>
                </c:pt>
                <c:pt idx="311">
                  <c:v>6.5</c:v>
                </c:pt>
                <c:pt idx="312">
                  <c:v>6.4</c:v>
                </c:pt>
                <c:pt idx="313">
                  <c:v>8.4</c:v>
                </c:pt>
                <c:pt idx="314">
                  <c:v>6.5</c:v>
                </c:pt>
                <c:pt idx="315">
                  <c:v>6.3</c:v>
                </c:pt>
                <c:pt idx="316">
                  <c:v>6.8000000000000007</c:v>
                </c:pt>
                <c:pt idx="317">
                  <c:v>5.9999999999999991</c:v>
                </c:pt>
                <c:pt idx="318">
                  <c:v>6.0999999999999988</c:v>
                </c:pt>
                <c:pt idx="319">
                  <c:v>6.8000000000000007</c:v>
                </c:pt>
                <c:pt idx="320">
                  <c:v>6.3</c:v>
                </c:pt>
                <c:pt idx="321">
                  <c:v>6.6</c:v>
                </c:pt>
                <c:pt idx="322">
                  <c:v>6.9</c:v>
                </c:pt>
                <c:pt idx="329">
                  <c:v>20</c:v>
                </c:pt>
                <c:pt idx="330">
                  <c:v>20</c:v>
                </c:pt>
                <c:pt idx="331">
                  <c:v>7</c:v>
                </c:pt>
                <c:pt idx="332">
                  <c:v>7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13</c:v>
                </c:pt>
                <c:pt idx="337">
                  <c:v>13</c:v>
                </c:pt>
                <c:pt idx="338">
                  <c:v>13</c:v>
                </c:pt>
                <c:pt idx="339">
                  <c:v>16</c:v>
                </c:pt>
                <c:pt idx="340">
                  <c:v>7</c:v>
                </c:pt>
                <c:pt idx="341">
                  <c:v>7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16</c:v>
                </c:pt>
                <c:pt idx="349">
                  <c:v>20</c:v>
                </c:pt>
                <c:pt idx="350">
                  <c:v>20</c:v>
                </c:pt>
                <c:pt idx="351">
                  <c:v>7</c:v>
                </c:pt>
                <c:pt idx="352">
                  <c:v>10</c:v>
                </c:pt>
                <c:pt idx="353">
                  <c:v>13</c:v>
                </c:pt>
                <c:pt idx="354">
                  <c:v>7</c:v>
                </c:pt>
                <c:pt idx="355">
                  <c:v>10</c:v>
                </c:pt>
                <c:pt idx="356">
                  <c:v>13</c:v>
                </c:pt>
                <c:pt idx="357">
                  <c:v>16</c:v>
                </c:pt>
                <c:pt idx="358">
                  <c:v>16</c:v>
                </c:pt>
                <c:pt idx="359">
                  <c:v>20</c:v>
                </c:pt>
                <c:pt idx="360">
                  <c:v>20</c:v>
                </c:pt>
                <c:pt idx="361">
                  <c:v>23</c:v>
                </c:pt>
                <c:pt idx="362">
                  <c:v>23</c:v>
                </c:pt>
              </c:numCache>
            </c:numRef>
          </c:xVal>
          <c:yVal>
            <c:numRef>
              <c:f>'headed (2)'!$CY$154:$CY$541</c:f>
              <c:numCache>
                <c:formatCode>General</c:formatCode>
                <c:ptCount val="361"/>
                <c:pt idx="0">
                  <c:v>1.5692649380457224</c:v>
                </c:pt>
                <c:pt idx="1">
                  <c:v>1.5838852696285155</c:v>
                </c:pt>
                <c:pt idx="2">
                  <c:v>1.6446377336345006</c:v>
                </c:pt>
                <c:pt idx="3">
                  <c:v>2.0897350040707581</c:v>
                </c:pt>
                <c:pt idx="4">
                  <c:v>1.9310412434474262</c:v>
                </c:pt>
                <c:pt idx="5">
                  <c:v>2.096867205449839</c:v>
                </c:pt>
                <c:pt idx="6">
                  <c:v>1.794720670111744</c:v>
                </c:pt>
                <c:pt idx="7">
                  <c:v>1.5380197612821445</c:v>
                </c:pt>
                <c:pt idx="8">
                  <c:v>1.4210468912230823</c:v>
                </c:pt>
                <c:pt idx="9">
                  <c:v>1.1019664488447403</c:v>
                </c:pt>
                <c:pt idx="10">
                  <c:v>1.3886226253286234</c:v>
                </c:pt>
                <c:pt idx="11">
                  <c:v>1.5700011264151312</c:v>
                </c:pt>
                <c:pt idx="12">
                  <c:v>1.9957036604518148</c:v>
                </c:pt>
                <c:pt idx="13">
                  <c:v>1.5911627720568966</c:v>
                </c:pt>
                <c:pt idx="14">
                  <c:v>1.5424576588157013</c:v>
                </c:pt>
                <c:pt idx="15">
                  <c:v>1.5409103389183063</c:v>
                </c:pt>
                <c:pt idx="16">
                  <c:v>1.491198292511049</c:v>
                </c:pt>
                <c:pt idx="17">
                  <c:v>1.7548839458286425</c:v>
                </c:pt>
                <c:pt idx="18">
                  <c:v>2.019483679818086</c:v>
                </c:pt>
                <c:pt idx="19">
                  <c:v>1.618747126999279</c:v>
                </c:pt>
                <c:pt idx="20">
                  <c:v>1.7616301001435395</c:v>
                </c:pt>
                <c:pt idx="21">
                  <c:v>1.8607883579121227</c:v>
                </c:pt>
                <c:pt idx="22">
                  <c:v>1.8239555927677222</c:v>
                </c:pt>
                <c:pt idx="23">
                  <c:v>1.6528810129954532</c:v>
                </c:pt>
                <c:pt idx="24">
                  <c:v>1.8554105991258989</c:v>
                </c:pt>
                <c:pt idx="25">
                  <c:v>2.0047597914593944</c:v>
                </c:pt>
                <c:pt idx="26">
                  <c:v>2.5434263085789133</c:v>
                </c:pt>
                <c:pt idx="27">
                  <c:v>1.6522350926872018</c:v>
                </c:pt>
                <c:pt idx="28">
                  <c:v>1.5816026934977176</c:v>
                </c:pt>
                <c:pt idx="29">
                  <c:v>1.5398515478642198</c:v>
                </c:pt>
                <c:pt idx="30">
                  <c:v>1.8483645889323053</c:v>
                </c:pt>
                <c:pt idx="31">
                  <c:v>1.4366977144918935</c:v>
                </c:pt>
                <c:pt idx="32">
                  <c:v>1.6671220701684981</c:v>
                </c:pt>
                <c:pt idx="33">
                  <c:v>1.8427952176594291</c:v>
                </c:pt>
                <c:pt idx="34">
                  <c:v>1.6540735818514851</c:v>
                </c:pt>
                <c:pt idx="35">
                  <c:v>1.6540735818514851</c:v>
                </c:pt>
                <c:pt idx="36">
                  <c:v>1.4874383120901835</c:v>
                </c:pt>
                <c:pt idx="37">
                  <c:v>1.4874383120901835</c:v>
                </c:pt>
                <c:pt idx="38">
                  <c:v>1.6715512745016297</c:v>
                </c:pt>
                <c:pt idx="39">
                  <c:v>1.6715512745016297</c:v>
                </c:pt>
                <c:pt idx="40">
                  <c:v>1.1973043210093592</c:v>
                </c:pt>
                <c:pt idx="41">
                  <c:v>1.1281032287987234</c:v>
                </c:pt>
                <c:pt idx="42">
                  <c:v>1.8834336158062253</c:v>
                </c:pt>
                <c:pt idx="43">
                  <c:v>1.8812925966750933</c:v>
                </c:pt>
                <c:pt idx="44">
                  <c:v>1.7038194945882996</c:v>
                </c:pt>
                <c:pt idx="45">
                  <c:v>1.6135859013275426</c:v>
                </c:pt>
                <c:pt idx="46">
                  <c:v>1.4292915545702025</c:v>
                </c:pt>
                <c:pt idx="47">
                  <c:v>1.97217424829744</c:v>
                </c:pt>
                <c:pt idx="48">
                  <c:v>1.97217424829744</c:v>
                </c:pt>
                <c:pt idx="49">
                  <c:v>1.9952585337426647</c:v>
                </c:pt>
                <c:pt idx="50">
                  <c:v>1.9952585337426647</c:v>
                </c:pt>
                <c:pt idx="51">
                  <c:v>2.502367304628951</c:v>
                </c:pt>
                <c:pt idx="52">
                  <c:v>2.502367304628951</c:v>
                </c:pt>
                <c:pt idx="53">
                  <c:v>1.2751919840719188</c:v>
                </c:pt>
                <c:pt idx="54">
                  <c:v>1.3506140519746308</c:v>
                </c:pt>
                <c:pt idx="55">
                  <c:v>1.0116192816151657</c:v>
                </c:pt>
                <c:pt idx="56">
                  <c:v>1.0732932449490427</c:v>
                </c:pt>
                <c:pt idx="57">
                  <c:v>1.0185169608474394</c:v>
                </c:pt>
                <c:pt idx="58">
                  <c:v>1.2411149415901028</c:v>
                </c:pt>
                <c:pt idx="59">
                  <c:v>0.69063533625701745</c:v>
                </c:pt>
                <c:pt idx="60">
                  <c:v>1.627708019089664</c:v>
                </c:pt>
                <c:pt idx="61">
                  <c:v>1.4354232666084592</c:v>
                </c:pt>
                <c:pt idx="62">
                  <c:v>1.560884934514343</c:v>
                </c:pt>
                <c:pt idx="63">
                  <c:v>1.2523599085817319</c:v>
                </c:pt>
                <c:pt idx="64">
                  <c:v>0.97005999442265467</c:v>
                </c:pt>
                <c:pt idx="65">
                  <c:v>1.5355299544104395</c:v>
                </c:pt>
                <c:pt idx="66">
                  <c:v>1.5872436499070057</c:v>
                </c:pt>
                <c:pt idx="67">
                  <c:v>0.91594080710970804</c:v>
                </c:pt>
                <c:pt idx="68">
                  <c:v>1.2093370725585242</c:v>
                </c:pt>
                <c:pt idx="69">
                  <c:v>1.7312915853777464</c:v>
                </c:pt>
                <c:pt idx="70">
                  <c:v>2.0143868559808893</c:v>
                </c:pt>
                <c:pt idx="71">
                  <c:v>1.6049667825079759</c:v>
                </c:pt>
                <c:pt idx="72">
                  <c:v>1.8564322726263891</c:v>
                </c:pt>
                <c:pt idx="73">
                  <c:v>1.6213066041161099</c:v>
                </c:pt>
                <c:pt idx="74">
                  <c:v>1.7503100546994845</c:v>
                </c:pt>
                <c:pt idx="75">
                  <c:v>1.7225622808684895</c:v>
                </c:pt>
                <c:pt idx="76">
                  <c:v>2.0436666783234134</c:v>
                </c:pt>
                <c:pt idx="77">
                  <c:v>1.678318926344234</c:v>
                </c:pt>
                <c:pt idx="78">
                  <c:v>1.4899632682400843</c:v>
                </c:pt>
                <c:pt idx="79">
                  <c:v>2.0084145966035742</c:v>
                </c:pt>
                <c:pt idx="80">
                  <c:v>1.6429720783454635</c:v>
                </c:pt>
                <c:pt idx="81">
                  <c:v>1.6028554172537091</c:v>
                </c:pt>
                <c:pt idx="82">
                  <c:v>1.4906266830836274</c:v>
                </c:pt>
                <c:pt idx="83">
                  <c:v>2.1389892476287438</c:v>
                </c:pt>
                <c:pt idx="84">
                  <c:v>1.8151122257280927</c:v>
                </c:pt>
                <c:pt idx="85">
                  <c:v>1.5399308845379911</c:v>
                </c:pt>
                <c:pt idx="86">
                  <c:v>1.7137964299552733</c:v>
                </c:pt>
                <c:pt idx="87">
                  <c:v>1.4398870419702952</c:v>
                </c:pt>
                <c:pt idx="88">
                  <c:v>1.5354665759203094</c:v>
                </c:pt>
                <c:pt idx="89">
                  <c:v>1.4696900496732774</c:v>
                </c:pt>
                <c:pt idx="90">
                  <c:v>1.8303996348577347</c:v>
                </c:pt>
                <c:pt idx="91">
                  <c:v>1.3974642339462553</c:v>
                </c:pt>
                <c:pt idx="92">
                  <c:v>1.5139899705847897</c:v>
                </c:pt>
                <c:pt idx="93">
                  <c:v>2.0746404680628681</c:v>
                </c:pt>
                <c:pt idx="94">
                  <c:v>1.6765075296519178</c:v>
                </c:pt>
                <c:pt idx="95">
                  <c:v>1.623611685263433</c:v>
                </c:pt>
                <c:pt idx="96">
                  <c:v>1.3377450555781216</c:v>
                </c:pt>
                <c:pt idx="97">
                  <c:v>1.7265845077744686</c:v>
                </c:pt>
                <c:pt idx="98">
                  <c:v>1.2826380649004223</c:v>
                </c:pt>
                <c:pt idx="99">
                  <c:v>1.0680010435748619</c:v>
                </c:pt>
                <c:pt idx="100">
                  <c:v>1.3131143007808823</c:v>
                </c:pt>
                <c:pt idx="101">
                  <c:v>1.6414242600002831</c:v>
                </c:pt>
                <c:pt idx="102">
                  <c:v>1.085274259902747</c:v>
                </c:pt>
                <c:pt idx="103">
                  <c:v>1.4397576090914905</c:v>
                </c:pt>
                <c:pt idx="104">
                  <c:v>1.1610070301058955</c:v>
                </c:pt>
                <c:pt idx="105">
                  <c:v>1.5779241384977041</c:v>
                </c:pt>
                <c:pt idx="106">
                  <c:v>1.4272035302680499</c:v>
                </c:pt>
                <c:pt idx="107">
                  <c:v>1.0669685458984943</c:v>
                </c:pt>
                <c:pt idx="108">
                  <c:v>1.1056114992723238</c:v>
                </c:pt>
                <c:pt idx="109">
                  <c:v>1.3401047785481524</c:v>
                </c:pt>
                <c:pt idx="110">
                  <c:v>1.0166221143746004</c:v>
                </c:pt>
                <c:pt idx="111">
                  <c:v>1.4934888450846682</c:v>
                </c:pt>
                <c:pt idx="112">
                  <c:v>1.4545506164396904</c:v>
                </c:pt>
                <c:pt idx="113">
                  <c:v>1.5671872526272181</c:v>
                </c:pt>
                <c:pt idx="114">
                  <c:v>1.7214912231681421</c:v>
                </c:pt>
                <c:pt idx="115">
                  <c:v>1.1974991561843304</c:v>
                </c:pt>
                <c:pt idx="116">
                  <c:v>0.96129394656467926</c:v>
                </c:pt>
                <c:pt idx="117">
                  <c:v>1.2785719938235214</c:v>
                </c:pt>
                <c:pt idx="118">
                  <c:v>1.3098915185197448</c:v>
                </c:pt>
                <c:pt idx="119">
                  <c:v>1.0324950798962937</c:v>
                </c:pt>
                <c:pt idx="120">
                  <c:v>1.3582301682762954</c:v>
                </c:pt>
                <c:pt idx="121">
                  <c:v>0.90762534595970545</c:v>
                </c:pt>
                <c:pt idx="122">
                  <c:v>1.1163081599228812</c:v>
                </c:pt>
                <c:pt idx="123">
                  <c:v>1.3187489627900544</c:v>
                </c:pt>
                <c:pt idx="124">
                  <c:v>1.7054171816068107</c:v>
                </c:pt>
                <c:pt idx="125">
                  <c:v>0.99617785069192466</c:v>
                </c:pt>
                <c:pt idx="126">
                  <c:v>1.051317145691999</c:v>
                </c:pt>
                <c:pt idx="127">
                  <c:v>1.2380919937878554</c:v>
                </c:pt>
                <c:pt idx="128">
                  <c:v>0.98516281921633742</c:v>
                </c:pt>
                <c:pt idx="129">
                  <c:v>1.4559039363893846</c:v>
                </c:pt>
                <c:pt idx="130">
                  <c:v>1.5899976895949632</c:v>
                </c:pt>
                <c:pt idx="131">
                  <c:v>1.4957640290850434</c:v>
                </c:pt>
                <c:pt idx="132">
                  <c:v>1.0210557999824699</c:v>
                </c:pt>
                <c:pt idx="133">
                  <c:v>0.98097068748379734</c:v>
                </c:pt>
                <c:pt idx="134">
                  <c:v>1.0355623876435345</c:v>
                </c:pt>
                <c:pt idx="135">
                  <c:v>0.89800579941581282</c:v>
                </c:pt>
                <c:pt idx="136">
                  <c:v>1.026278911927931</c:v>
                </c:pt>
                <c:pt idx="137">
                  <c:v>0.97531366488201143</c:v>
                </c:pt>
                <c:pt idx="138">
                  <c:v>1.2076437156812905</c:v>
                </c:pt>
                <c:pt idx="139">
                  <c:v>1.0909962422431996</c:v>
                </c:pt>
                <c:pt idx="140">
                  <c:v>0.95166687424883689</c:v>
                </c:pt>
                <c:pt idx="141">
                  <c:v>0.9393306132040562</c:v>
                </c:pt>
                <c:pt idx="142">
                  <c:v>0.95884996399514588</c:v>
                </c:pt>
                <c:pt idx="143">
                  <c:v>1.2275313013278444</c:v>
                </c:pt>
                <c:pt idx="144">
                  <c:v>0.85631332847185648</c:v>
                </c:pt>
                <c:pt idx="145">
                  <c:v>1.0122595831277816</c:v>
                </c:pt>
                <c:pt idx="146">
                  <c:v>1.0555684263285166</c:v>
                </c:pt>
                <c:pt idx="147">
                  <c:v>1.0237310466798923</c:v>
                </c:pt>
                <c:pt idx="148">
                  <c:v>0.75738494469674067</c:v>
                </c:pt>
                <c:pt idx="149">
                  <c:v>0.7688185795271586</c:v>
                </c:pt>
                <c:pt idx="150">
                  <c:v>0.73864862864762737</c:v>
                </c:pt>
                <c:pt idx="151">
                  <c:v>0.88210240843168164</c:v>
                </c:pt>
                <c:pt idx="152">
                  <c:v>1.0184221931806774</c:v>
                </c:pt>
                <c:pt idx="153">
                  <c:v>0.63658061415316614</c:v>
                </c:pt>
                <c:pt idx="154">
                  <c:v>0.61800778838527559</c:v>
                </c:pt>
                <c:pt idx="155">
                  <c:v>0.67872485494033818</c:v>
                </c:pt>
                <c:pt idx="156">
                  <c:v>0.94979047422646845</c:v>
                </c:pt>
                <c:pt idx="157">
                  <c:v>0.98660780016235983</c:v>
                </c:pt>
                <c:pt idx="158">
                  <c:v>0.70367808719437008</c:v>
                </c:pt>
                <c:pt idx="159">
                  <c:v>0.65027889870200761</c:v>
                </c:pt>
                <c:pt idx="160">
                  <c:v>0.75449639049580097</c:v>
                </c:pt>
                <c:pt idx="161">
                  <c:v>1.0814969925658282</c:v>
                </c:pt>
                <c:pt idx="162">
                  <c:v>0.95168248490077645</c:v>
                </c:pt>
                <c:pt idx="163">
                  <c:v>0.96051437093285852</c:v>
                </c:pt>
                <c:pt idx="164">
                  <c:v>0.83340478977310528</c:v>
                </c:pt>
                <c:pt idx="165">
                  <c:v>0.93949066396852476</c:v>
                </c:pt>
                <c:pt idx="166">
                  <c:v>0.96079814882500592</c:v>
                </c:pt>
                <c:pt idx="167">
                  <c:v>0.88772695202762453</c:v>
                </c:pt>
                <c:pt idx="168">
                  <c:v>1.1793748514869569</c:v>
                </c:pt>
                <c:pt idx="169">
                  <c:v>1.0114255979953197</c:v>
                </c:pt>
                <c:pt idx="170">
                  <c:v>0.72179535196685451</c:v>
                </c:pt>
                <c:pt idx="171">
                  <c:v>0.94633885858091515</c:v>
                </c:pt>
                <c:pt idx="172">
                  <c:v>0.89214840379637628</c:v>
                </c:pt>
                <c:pt idx="173">
                  <c:v>1.1787643163301271</c:v>
                </c:pt>
                <c:pt idx="174">
                  <c:v>1.0276805768179793</c:v>
                </c:pt>
                <c:pt idx="175">
                  <c:v>0.87833333333333341</c:v>
                </c:pt>
                <c:pt idx="176">
                  <c:v>0.62319362436667958</c:v>
                </c:pt>
                <c:pt idx="177">
                  <c:v>0.87917179348650509</c:v>
                </c:pt>
                <c:pt idx="178">
                  <c:v>0.90958443196571492</c:v>
                </c:pt>
                <c:pt idx="179">
                  <c:v>0.99413885294838056</c:v>
                </c:pt>
                <c:pt idx="180">
                  <c:v>0.81958454427477145</c:v>
                </c:pt>
                <c:pt idx="181">
                  <c:v>0.98277763354811387</c:v>
                </c:pt>
                <c:pt idx="182">
                  <c:v>0.9161935541106252</c:v>
                </c:pt>
                <c:pt idx="183">
                  <c:v>1.2347092535127056</c:v>
                </c:pt>
                <c:pt idx="184">
                  <c:v>0.79497862339968595</c:v>
                </c:pt>
                <c:pt idx="185">
                  <c:v>1.1078590441518625</c:v>
                </c:pt>
                <c:pt idx="186">
                  <c:v>0.77187994815402661</c:v>
                </c:pt>
                <c:pt idx="187">
                  <c:v>1.0612133921380551</c:v>
                </c:pt>
                <c:pt idx="188">
                  <c:v>1.2622199993298189</c:v>
                </c:pt>
                <c:pt idx="189">
                  <c:v>0.89515643202731698</c:v>
                </c:pt>
                <c:pt idx="190">
                  <c:v>0.86504992090891586</c:v>
                </c:pt>
                <c:pt idx="191">
                  <c:v>1.4143463626576895</c:v>
                </c:pt>
                <c:pt idx="192">
                  <c:v>0.81066942187607538</c:v>
                </c:pt>
                <c:pt idx="193">
                  <c:v>1.0750809484919404</c:v>
                </c:pt>
                <c:pt idx="194">
                  <c:v>0.92467198904083814</c:v>
                </c:pt>
                <c:pt idx="195">
                  <c:v>1.0255837865554474</c:v>
                </c:pt>
                <c:pt idx="196">
                  <c:v>0.89753775945612424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2.2278048827998371</c:v>
                </c:pt>
                <c:pt idx="200">
                  <c:v>1.5151167350293466</c:v>
                </c:pt>
                <c:pt idx="201">
                  <c:v>1.4738851451493513</c:v>
                </c:pt>
                <c:pt idx="202">
                  <c:v>1.7031111416982552</c:v>
                </c:pt>
                <c:pt idx="203">
                  <c:v>1.3453438012059822</c:v>
                </c:pt>
                <c:pt idx="204">
                  <c:v>1.731758202447683</c:v>
                </c:pt>
                <c:pt idx="205">
                  <c:v>1.9142631106667445</c:v>
                </c:pt>
                <c:pt idx="206">
                  <c:v>2.5258582854795466</c:v>
                </c:pt>
                <c:pt idx="207">
                  <c:v>1.4842785522928055</c:v>
                </c:pt>
                <c:pt idx="208">
                  <c:v>1.8155625474566859</c:v>
                </c:pt>
                <c:pt idx="209">
                  <c:v>1.6590638296996747</c:v>
                </c:pt>
                <c:pt idx="210">
                  <c:v>2.4380497966331038</c:v>
                </c:pt>
                <c:pt idx="211">
                  <c:v>2.4636058741659457</c:v>
                </c:pt>
                <c:pt idx="212">
                  <c:v>1.3327587691667713</c:v>
                </c:pt>
                <c:pt idx="213">
                  <c:v>1.0824860548652508</c:v>
                </c:pt>
                <c:pt idx="214">
                  <c:v>1.6008115856850342</c:v>
                </c:pt>
                <c:pt idx="215">
                  <c:v>1.6863346843418161</c:v>
                </c:pt>
                <c:pt idx="216">
                  <c:v>1.0788549020126255</c:v>
                </c:pt>
                <c:pt idx="217">
                  <c:v>1.6031941418598026</c:v>
                </c:pt>
                <c:pt idx="218">
                  <c:v>1.0842825744116804</c:v>
                </c:pt>
                <c:pt idx="219">
                  <c:v>1.7894468224730991</c:v>
                </c:pt>
                <c:pt idx="220">
                  <c:v>1.7433677731711112</c:v>
                </c:pt>
                <c:pt idx="221">
                  <c:v>1.697827799212775</c:v>
                </c:pt>
                <c:pt idx="222">
                  <c:v>1.1036377176784957</c:v>
                </c:pt>
                <c:pt idx="223">
                  <c:v>1.1508423840732456</c:v>
                </c:pt>
                <c:pt idx="224">
                  <c:v>2.0370562080807706</c:v>
                </c:pt>
                <c:pt idx="225">
                  <c:v>1.2933704868741975</c:v>
                </c:pt>
                <c:pt idx="226">
                  <c:v>1.3045051452426668</c:v>
                </c:pt>
                <c:pt idx="227">
                  <c:v>1.5531423718553099</c:v>
                </c:pt>
                <c:pt idx="228">
                  <c:v>1.0516411430045192</c:v>
                </c:pt>
                <c:pt idx="229">
                  <c:v>1.9857553822289242</c:v>
                </c:pt>
                <c:pt idx="230">
                  <c:v>1.4853019156950511</c:v>
                </c:pt>
                <c:pt idx="231">
                  <c:v>1.597463993520754</c:v>
                </c:pt>
                <c:pt idx="232">
                  <c:v>1.5052684293177485</c:v>
                </c:pt>
                <c:pt idx="233">
                  <c:v>1.7449699422328022</c:v>
                </c:pt>
                <c:pt idx="234">
                  <c:v>1.291340863422106</c:v>
                </c:pt>
                <c:pt idx="235">
                  <c:v>1.7309716556713737</c:v>
                </c:pt>
                <c:pt idx="236">
                  <c:v>2.356880352834843</c:v>
                </c:pt>
                <c:pt idx="237">
                  <c:v>1.756014516688875</c:v>
                </c:pt>
                <c:pt idx="238">
                  <c:v>2.0624467853963915</c:v>
                </c:pt>
                <c:pt idx="239">
                  <c:v>1.3495646193214026</c:v>
                </c:pt>
                <c:pt idx="240">
                  <c:v>1.8878427439141436</c:v>
                </c:pt>
                <c:pt idx="241">
                  <c:v>1.8917218728399947</c:v>
                </c:pt>
                <c:pt idx="242">
                  <c:v>1.4822802361136755</c:v>
                </c:pt>
                <c:pt idx="243">
                  <c:v>2.226804333961967</c:v>
                </c:pt>
                <c:pt idx="244">
                  <c:v>1.5173231544502177</c:v>
                </c:pt>
                <c:pt idx="245">
                  <c:v>1.351934535422801</c:v>
                </c:pt>
                <c:pt idx="246">
                  <c:v>1.649578283506135</c:v>
                </c:pt>
                <c:pt idx="247">
                  <c:v>1.6706415634065737</c:v>
                </c:pt>
                <c:pt idx="248">
                  <c:v>3.4872822367819616</c:v>
                </c:pt>
                <c:pt idx="249">
                  <c:v>3.4724847166824624</c:v>
                </c:pt>
                <c:pt idx="250">
                  <c:v>3.2763843126979917</c:v>
                </c:pt>
                <c:pt idx="251">
                  <c:v>3.2560621494903539</c:v>
                </c:pt>
                <c:pt idx="252">
                  <c:v>3.3564461639150021</c:v>
                </c:pt>
                <c:pt idx="253">
                  <c:v>3.3494922008682169</c:v>
                </c:pt>
                <c:pt idx="254">
                  <c:v>2.6242898657708054</c:v>
                </c:pt>
                <c:pt idx="255">
                  <c:v>2.7756175295634287</c:v>
                </c:pt>
                <c:pt idx="256">
                  <c:v>1.8113307185544554</c:v>
                </c:pt>
                <c:pt idx="257">
                  <c:v>1.5873395236395706</c:v>
                </c:pt>
                <c:pt idx="258">
                  <c:v>2.3968898250261241</c:v>
                </c:pt>
                <c:pt idx="259">
                  <c:v>1.6104550162570681</c:v>
                </c:pt>
                <c:pt idx="260">
                  <c:v>1.4571988895401744</c:v>
                </c:pt>
                <c:pt idx="261">
                  <c:v>1.3523744146328167</c:v>
                </c:pt>
                <c:pt idx="262">
                  <c:v>1.8581291628547163</c:v>
                </c:pt>
                <c:pt idx="263">
                  <c:v>1.9691110177056528</c:v>
                </c:pt>
                <c:pt idx="264">
                  <c:v>1.6844942416423301</c:v>
                </c:pt>
                <c:pt idx="265">
                  <c:v>1.5312635885804775</c:v>
                </c:pt>
                <c:pt idx="266">
                  <c:v>1.1875713646393697</c:v>
                </c:pt>
                <c:pt idx="267">
                  <c:v>1.2867956956222946</c:v>
                </c:pt>
                <c:pt idx="268">
                  <c:v>2.4281246243137233</c:v>
                </c:pt>
                <c:pt idx="269">
                  <c:v>2.5314105225121426</c:v>
                </c:pt>
                <c:pt idx="270">
                  <c:v>2.426985071922775</c:v>
                </c:pt>
                <c:pt idx="271">
                  <c:v>2.3834667189089873</c:v>
                </c:pt>
                <c:pt idx="272">
                  <c:v>2.4460777087109391</c:v>
                </c:pt>
                <c:pt idx="273">
                  <c:v>2.4392924723483564</c:v>
                </c:pt>
                <c:pt idx="274">
                  <c:v>1</c:v>
                </c:pt>
                <c:pt idx="27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1E-4B23-A636-D816B661FE23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(2)'!$P$20:$P$94</c:f>
            </c:numRef>
          </c:xVal>
          <c:yVal>
            <c:numRef>
              <c:f>'headed (2)'!$CY$20:$CY$94</c:f>
            </c:numRef>
          </c:yVal>
          <c:smooth val="0"/>
          <c:extLst>
            <c:ext xmlns:c16="http://schemas.microsoft.com/office/drawing/2014/chart" uri="{C3380CC4-5D6E-409C-BE32-E72D297353CC}">
              <c16:uniqueId val="{00000003-C51E-4B23-A636-D816B661FE2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(2)'!$AS$20:$AS$53</c:f>
            </c:numRef>
          </c:xVal>
          <c:yVal>
            <c:numRef>
              <c:f>'headed (2)'!$AS$54:$AS$55</c:f>
            </c:numRef>
          </c:yVal>
          <c:smooth val="0"/>
          <c:extLst>
            <c:ext xmlns:c16="http://schemas.microsoft.com/office/drawing/2014/chart" uri="{C3380CC4-5D6E-409C-BE32-E72D297353CC}">
              <c16:uniqueId val="{00000004-C51E-4B23-A636-D816B661F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72640"/>
        <c:axId val="129874176"/>
      </c:scatterChart>
      <c:valAx>
        <c:axId val="1298726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4176"/>
        <c:crosses val="autoZero"/>
        <c:crossBetween val="midCat"/>
      </c:valAx>
      <c:valAx>
        <c:axId val="1298741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264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(2)'!$P$20:$P$548</c:f>
              <c:numCache>
                <c:formatCode>General</c:formatCode>
                <c:ptCount val="368"/>
                <c:pt idx="0">
                  <c:v>16</c:v>
                </c:pt>
                <c:pt idx="1">
                  <c:v>16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13.921985815602838</c:v>
                </c:pt>
                <c:pt idx="19">
                  <c:v>13.829787234042554</c:v>
                </c:pt>
                <c:pt idx="20">
                  <c:v>13.787234042553195</c:v>
                </c:pt>
                <c:pt idx="21">
                  <c:v>13.744680851063832</c:v>
                </c:pt>
                <c:pt idx="22">
                  <c:v>13.744680851063832</c:v>
                </c:pt>
                <c:pt idx="23">
                  <c:v>13.680851063829788</c:v>
                </c:pt>
                <c:pt idx="24">
                  <c:v>13.652482269503549</c:v>
                </c:pt>
                <c:pt idx="25">
                  <c:v>13.567375886524824</c:v>
                </c:pt>
                <c:pt idx="26">
                  <c:v>8.3595113438045381</c:v>
                </c:pt>
                <c:pt idx="27">
                  <c:v>12.368794326241137</c:v>
                </c:pt>
                <c:pt idx="28">
                  <c:v>12.234042553191491</c:v>
                </c:pt>
                <c:pt idx="29">
                  <c:v>12.148936170212767</c:v>
                </c:pt>
                <c:pt idx="30">
                  <c:v>12.067039106145252</c:v>
                </c:pt>
                <c:pt idx="31">
                  <c:v>12.056737588652483</c:v>
                </c:pt>
                <c:pt idx="32">
                  <c:v>12.014184397163124</c:v>
                </c:pt>
                <c:pt idx="33">
                  <c:v>12.014184397163124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12.000000000000004</c:v>
                </c:pt>
                <c:pt idx="41">
                  <c:v>12.000000000000004</c:v>
                </c:pt>
                <c:pt idx="42">
                  <c:v>11.921985815602838</c:v>
                </c:pt>
                <c:pt idx="43">
                  <c:v>11.921985815602838</c:v>
                </c:pt>
                <c:pt idx="44">
                  <c:v>11.879432624113477</c:v>
                </c:pt>
                <c:pt idx="45">
                  <c:v>11.858156028368795</c:v>
                </c:pt>
                <c:pt idx="46">
                  <c:v>11.744680851063832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15.749999999999998</c:v>
                </c:pt>
                <c:pt idx="54">
                  <c:v>15.28</c:v>
                </c:pt>
                <c:pt idx="55">
                  <c:v>10.581560283687944</c:v>
                </c:pt>
                <c:pt idx="56">
                  <c:v>10.43262411347518</c:v>
                </c:pt>
                <c:pt idx="57">
                  <c:v>10.418439716312058</c:v>
                </c:pt>
                <c:pt idx="58">
                  <c:v>10.418439716312058</c:v>
                </c:pt>
                <c:pt idx="59">
                  <c:v>10.375886524822697</c:v>
                </c:pt>
                <c:pt idx="60">
                  <c:v>10.375886524822697</c:v>
                </c:pt>
                <c:pt idx="61">
                  <c:v>14.58</c:v>
                </c:pt>
                <c:pt idx="62">
                  <c:v>14.58</c:v>
                </c:pt>
                <c:pt idx="63">
                  <c:v>10.312056737588653</c:v>
                </c:pt>
                <c:pt idx="64">
                  <c:v>10.312056737588653</c:v>
                </c:pt>
                <c:pt idx="65">
                  <c:v>14.54</c:v>
                </c:pt>
                <c:pt idx="66">
                  <c:v>14.54</c:v>
                </c:pt>
                <c:pt idx="67">
                  <c:v>10.283687943262413</c:v>
                </c:pt>
                <c:pt idx="68">
                  <c:v>10.283687943262413</c:v>
                </c:pt>
                <c:pt idx="69">
                  <c:v>14.499999999999998</c:v>
                </c:pt>
                <c:pt idx="70">
                  <c:v>14.499999999999998</c:v>
                </c:pt>
                <c:pt idx="71">
                  <c:v>14.42</c:v>
                </c:pt>
                <c:pt idx="72">
                  <c:v>14.42</c:v>
                </c:pt>
                <c:pt idx="73">
                  <c:v>14.38</c:v>
                </c:pt>
                <c:pt idx="74">
                  <c:v>14.38</c:v>
                </c:pt>
                <c:pt idx="75">
                  <c:v>14.38</c:v>
                </c:pt>
                <c:pt idx="76">
                  <c:v>14.38</c:v>
                </c:pt>
                <c:pt idx="77">
                  <c:v>14.35</c:v>
                </c:pt>
                <c:pt idx="78">
                  <c:v>14.299999999999999</c:v>
                </c:pt>
                <c:pt idx="79">
                  <c:v>14.27</c:v>
                </c:pt>
                <c:pt idx="80">
                  <c:v>14.25</c:v>
                </c:pt>
                <c:pt idx="81">
                  <c:v>14.25</c:v>
                </c:pt>
                <c:pt idx="82">
                  <c:v>14.13</c:v>
                </c:pt>
                <c:pt idx="83">
                  <c:v>14.09</c:v>
                </c:pt>
                <c:pt idx="84">
                  <c:v>14.080000000000002</c:v>
                </c:pt>
                <c:pt idx="85">
                  <c:v>14.059999999999999</c:v>
                </c:pt>
                <c:pt idx="86">
                  <c:v>9.9441340782122918</c:v>
                </c:pt>
                <c:pt idx="87">
                  <c:v>12.66</c:v>
                </c:pt>
                <c:pt idx="88">
                  <c:v>12.590000000000002</c:v>
                </c:pt>
                <c:pt idx="89">
                  <c:v>8.9078014184397176</c:v>
                </c:pt>
                <c:pt idx="90">
                  <c:v>12.56</c:v>
                </c:pt>
                <c:pt idx="91">
                  <c:v>8.8652482269503565</c:v>
                </c:pt>
                <c:pt idx="92">
                  <c:v>12.5</c:v>
                </c:pt>
                <c:pt idx="93">
                  <c:v>12.439999999999998</c:v>
                </c:pt>
                <c:pt idx="94">
                  <c:v>12.38</c:v>
                </c:pt>
                <c:pt idx="95">
                  <c:v>12.31</c:v>
                </c:pt>
                <c:pt idx="96">
                  <c:v>12.21</c:v>
                </c:pt>
                <c:pt idx="97">
                  <c:v>12.19</c:v>
                </c:pt>
                <c:pt idx="98">
                  <c:v>12.17</c:v>
                </c:pt>
                <c:pt idx="99">
                  <c:v>12.17</c:v>
                </c:pt>
                <c:pt idx="100">
                  <c:v>8.6028368794326244</c:v>
                </c:pt>
                <c:pt idx="101">
                  <c:v>12.129999999999999</c:v>
                </c:pt>
                <c:pt idx="102">
                  <c:v>8.6028368794326244</c:v>
                </c:pt>
                <c:pt idx="103">
                  <c:v>8.5744680851063837</c:v>
                </c:pt>
                <c:pt idx="104">
                  <c:v>12.06</c:v>
                </c:pt>
                <c:pt idx="105">
                  <c:v>12.06</c:v>
                </c:pt>
                <c:pt idx="106">
                  <c:v>12.04</c:v>
                </c:pt>
                <c:pt idx="107">
                  <c:v>12.03</c:v>
                </c:pt>
                <c:pt idx="108">
                  <c:v>8.5106382978723403</c:v>
                </c:pt>
                <c:pt idx="109">
                  <c:v>8.5106382978723403</c:v>
                </c:pt>
                <c:pt idx="110">
                  <c:v>11.999999999999998</c:v>
                </c:pt>
                <c:pt idx="111">
                  <c:v>11.999999999999998</c:v>
                </c:pt>
                <c:pt idx="112">
                  <c:v>11.97</c:v>
                </c:pt>
                <c:pt idx="113">
                  <c:v>11.95</c:v>
                </c:pt>
                <c:pt idx="114">
                  <c:v>11.9</c:v>
                </c:pt>
                <c:pt idx="115">
                  <c:v>11.88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11.299212598425198</c:v>
                </c:pt>
                <c:pt idx="120">
                  <c:v>11.299212598425198</c:v>
                </c:pt>
                <c:pt idx="121">
                  <c:v>11.25</c:v>
                </c:pt>
                <c:pt idx="122">
                  <c:v>7.9608938547486039</c:v>
                </c:pt>
                <c:pt idx="123">
                  <c:v>7.9608938547486039</c:v>
                </c:pt>
                <c:pt idx="124">
                  <c:v>7.9608938547486039</c:v>
                </c:pt>
                <c:pt idx="125">
                  <c:v>11.13</c:v>
                </c:pt>
                <c:pt idx="126">
                  <c:v>11.06</c:v>
                </c:pt>
                <c:pt idx="127">
                  <c:v>7.8212290502793298</c:v>
                </c:pt>
                <c:pt idx="128">
                  <c:v>7.8212290502793298</c:v>
                </c:pt>
                <c:pt idx="129">
                  <c:v>7.8212290502793298</c:v>
                </c:pt>
                <c:pt idx="130">
                  <c:v>7.8212290502793298</c:v>
                </c:pt>
                <c:pt idx="131">
                  <c:v>7.8212290502793298</c:v>
                </c:pt>
                <c:pt idx="132">
                  <c:v>10.94</c:v>
                </c:pt>
                <c:pt idx="133">
                  <c:v>10.83</c:v>
                </c:pt>
                <c:pt idx="134">
                  <c:v>10.58</c:v>
                </c:pt>
                <c:pt idx="135">
                  <c:v>10.5</c:v>
                </c:pt>
                <c:pt idx="136">
                  <c:v>10.35</c:v>
                </c:pt>
                <c:pt idx="137">
                  <c:v>10.33</c:v>
                </c:pt>
                <c:pt idx="138">
                  <c:v>10.33</c:v>
                </c:pt>
                <c:pt idx="139">
                  <c:v>10.29</c:v>
                </c:pt>
                <c:pt idx="140">
                  <c:v>10.25</c:v>
                </c:pt>
                <c:pt idx="141">
                  <c:v>10.130000000000001</c:v>
                </c:pt>
                <c:pt idx="142">
                  <c:v>10.1</c:v>
                </c:pt>
                <c:pt idx="143">
                  <c:v>10.08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9.94</c:v>
                </c:pt>
                <c:pt idx="148">
                  <c:v>9.92</c:v>
                </c:pt>
                <c:pt idx="149">
                  <c:v>9.92</c:v>
                </c:pt>
                <c:pt idx="150">
                  <c:v>9.9</c:v>
                </c:pt>
                <c:pt idx="151">
                  <c:v>9.8800000000000008</c:v>
                </c:pt>
                <c:pt idx="152">
                  <c:v>9.8800000000000008</c:v>
                </c:pt>
                <c:pt idx="153">
                  <c:v>9.8800000000000008</c:v>
                </c:pt>
                <c:pt idx="154">
                  <c:v>9.8800000000000008</c:v>
                </c:pt>
                <c:pt idx="155">
                  <c:v>9.81</c:v>
                </c:pt>
                <c:pt idx="156">
                  <c:v>9.7899999999999991</c:v>
                </c:pt>
                <c:pt idx="157">
                  <c:v>9.77</c:v>
                </c:pt>
                <c:pt idx="158">
                  <c:v>9.75</c:v>
                </c:pt>
                <c:pt idx="159">
                  <c:v>9.75</c:v>
                </c:pt>
                <c:pt idx="160">
                  <c:v>9.69</c:v>
                </c:pt>
                <c:pt idx="161">
                  <c:v>9.69</c:v>
                </c:pt>
                <c:pt idx="162">
                  <c:v>9.69</c:v>
                </c:pt>
                <c:pt idx="163">
                  <c:v>9.66</c:v>
                </c:pt>
                <c:pt idx="164">
                  <c:v>9.6300000000000008</c:v>
                </c:pt>
                <c:pt idx="165">
                  <c:v>9.6</c:v>
                </c:pt>
                <c:pt idx="166">
                  <c:v>9.58</c:v>
                </c:pt>
                <c:pt idx="167">
                  <c:v>9.58</c:v>
                </c:pt>
                <c:pt idx="168">
                  <c:v>9.56</c:v>
                </c:pt>
                <c:pt idx="169">
                  <c:v>9.56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9.4700000000000006</c:v>
                </c:pt>
                <c:pt idx="177">
                  <c:v>9.4600000000000009</c:v>
                </c:pt>
                <c:pt idx="178">
                  <c:v>9.42</c:v>
                </c:pt>
                <c:pt idx="179">
                  <c:v>9.3800000000000008</c:v>
                </c:pt>
                <c:pt idx="180">
                  <c:v>9.3800000000000008</c:v>
                </c:pt>
                <c:pt idx="181">
                  <c:v>9.3800000000000008</c:v>
                </c:pt>
                <c:pt idx="182">
                  <c:v>9.3800000000000008</c:v>
                </c:pt>
                <c:pt idx="183">
                  <c:v>9.33</c:v>
                </c:pt>
                <c:pt idx="184">
                  <c:v>9.33</c:v>
                </c:pt>
                <c:pt idx="185">
                  <c:v>9.31</c:v>
                </c:pt>
                <c:pt idx="186">
                  <c:v>9.25</c:v>
                </c:pt>
                <c:pt idx="187">
                  <c:v>9.25</c:v>
                </c:pt>
                <c:pt idx="188">
                  <c:v>9.25</c:v>
                </c:pt>
                <c:pt idx="189">
                  <c:v>9.25</c:v>
                </c:pt>
                <c:pt idx="190">
                  <c:v>9.19</c:v>
                </c:pt>
                <c:pt idx="191">
                  <c:v>9.19</c:v>
                </c:pt>
                <c:pt idx="192">
                  <c:v>9.19</c:v>
                </c:pt>
                <c:pt idx="193">
                  <c:v>9.17</c:v>
                </c:pt>
                <c:pt idx="194">
                  <c:v>9.1300000000000008</c:v>
                </c:pt>
                <c:pt idx="195">
                  <c:v>9.06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6.061452513966481</c:v>
                </c:pt>
                <c:pt idx="200">
                  <c:v>8.31</c:v>
                </c:pt>
                <c:pt idx="201">
                  <c:v>8.3070866141732296</c:v>
                </c:pt>
                <c:pt idx="202">
                  <c:v>8.3070866141732296</c:v>
                </c:pt>
                <c:pt idx="203">
                  <c:v>8.3070866141732296</c:v>
                </c:pt>
                <c:pt idx="204">
                  <c:v>8.25</c:v>
                </c:pt>
                <c:pt idx="205">
                  <c:v>8.25</c:v>
                </c:pt>
                <c:pt idx="206">
                  <c:v>5.8379888268156428</c:v>
                </c:pt>
                <c:pt idx="207">
                  <c:v>5.6983240223463696</c:v>
                </c:pt>
                <c:pt idx="208">
                  <c:v>8.0314960629921259</c:v>
                </c:pt>
                <c:pt idx="209">
                  <c:v>8</c:v>
                </c:pt>
                <c:pt idx="210">
                  <c:v>6</c:v>
                </c:pt>
                <c:pt idx="211">
                  <c:v>6</c:v>
                </c:pt>
                <c:pt idx="212">
                  <c:v>7.06</c:v>
                </c:pt>
                <c:pt idx="213">
                  <c:v>7.06</c:v>
                </c:pt>
                <c:pt idx="214">
                  <c:v>7</c:v>
                </c:pt>
                <c:pt idx="215">
                  <c:v>6.3385826771653546</c:v>
                </c:pt>
                <c:pt idx="216">
                  <c:v>6.33</c:v>
                </c:pt>
                <c:pt idx="217">
                  <c:v>6.29</c:v>
                </c:pt>
                <c:pt idx="218">
                  <c:v>6.25</c:v>
                </c:pt>
                <c:pt idx="219">
                  <c:v>6.25</c:v>
                </c:pt>
                <c:pt idx="220">
                  <c:v>6.25</c:v>
                </c:pt>
                <c:pt idx="221">
                  <c:v>9.9519999999999982</c:v>
                </c:pt>
                <c:pt idx="222">
                  <c:v>6.21</c:v>
                </c:pt>
                <c:pt idx="223">
                  <c:v>6.19</c:v>
                </c:pt>
                <c:pt idx="224">
                  <c:v>6.16</c:v>
                </c:pt>
                <c:pt idx="225">
                  <c:v>6.13</c:v>
                </c:pt>
                <c:pt idx="226">
                  <c:v>6.13</c:v>
                </c:pt>
                <c:pt idx="227">
                  <c:v>6.0999999999999988</c:v>
                </c:pt>
                <c:pt idx="228">
                  <c:v>6.09</c:v>
                </c:pt>
                <c:pt idx="229">
                  <c:v>9.695999999999998</c:v>
                </c:pt>
                <c:pt idx="230">
                  <c:v>9.6479999999999997</c:v>
                </c:pt>
                <c:pt idx="231">
                  <c:v>6.03</c:v>
                </c:pt>
                <c:pt idx="232">
                  <c:v>9.5999999999999979</c:v>
                </c:pt>
                <c:pt idx="233">
                  <c:v>9.5999999999999979</c:v>
                </c:pt>
                <c:pt idx="234">
                  <c:v>9.5999999999999979</c:v>
                </c:pt>
                <c:pt idx="235">
                  <c:v>5.9999999999999991</c:v>
                </c:pt>
                <c:pt idx="236">
                  <c:v>9.5039999999999996</c:v>
                </c:pt>
                <c:pt idx="237">
                  <c:v>5.63</c:v>
                </c:pt>
                <c:pt idx="238">
                  <c:v>5.5</c:v>
                </c:pt>
                <c:pt idx="239">
                  <c:v>5.5</c:v>
                </c:pt>
                <c:pt idx="240">
                  <c:v>6</c:v>
                </c:pt>
                <c:pt idx="241">
                  <c:v>6</c:v>
                </c:pt>
                <c:pt idx="242">
                  <c:v>8.3040000000000003</c:v>
                </c:pt>
                <c:pt idx="243">
                  <c:v>8.3040000000000003</c:v>
                </c:pt>
                <c:pt idx="244">
                  <c:v>8.24</c:v>
                </c:pt>
                <c:pt idx="245">
                  <c:v>8.0640000000000001</c:v>
                </c:pt>
                <c:pt idx="246">
                  <c:v>8.048</c:v>
                </c:pt>
                <c:pt idx="247">
                  <c:v>8.0319999999999983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7.056</c:v>
                </c:pt>
                <c:pt idx="257">
                  <c:v>6.7519999999999989</c:v>
                </c:pt>
                <c:pt idx="258">
                  <c:v>6.7039999999999997</c:v>
                </c:pt>
                <c:pt idx="259">
                  <c:v>6.6559999999999997</c:v>
                </c:pt>
                <c:pt idx="260">
                  <c:v>6.6079999999999988</c:v>
                </c:pt>
                <c:pt idx="261">
                  <c:v>6.6079999999999988</c:v>
                </c:pt>
                <c:pt idx="262">
                  <c:v>6.6079999999999988</c:v>
                </c:pt>
                <c:pt idx="263">
                  <c:v>6.5439999999999996</c:v>
                </c:pt>
                <c:pt idx="264">
                  <c:v>6.5439999999999996</c:v>
                </c:pt>
                <c:pt idx="265">
                  <c:v>6.4959999999999987</c:v>
                </c:pt>
                <c:pt idx="266">
                  <c:v>6.4959999999999987</c:v>
                </c:pt>
                <c:pt idx="267">
                  <c:v>6.0960000000000001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91">
                  <c:v>8</c:v>
                </c:pt>
                <c:pt idx="292">
                  <c:v>8.3000000000000007</c:v>
                </c:pt>
                <c:pt idx="293">
                  <c:v>8.5</c:v>
                </c:pt>
                <c:pt idx="294">
                  <c:v>7.5</c:v>
                </c:pt>
                <c:pt idx="295">
                  <c:v>7.4</c:v>
                </c:pt>
                <c:pt idx="296">
                  <c:v>7.4</c:v>
                </c:pt>
                <c:pt idx="297">
                  <c:v>7.1</c:v>
                </c:pt>
                <c:pt idx="298">
                  <c:v>7</c:v>
                </c:pt>
                <c:pt idx="299">
                  <c:v>5.9999999999999991</c:v>
                </c:pt>
                <c:pt idx="300">
                  <c:v>5.9999999999999991</c:v>
                </c:pt>
                <c:pt idx="301">
                  <c:v>6.0999999999999988</c:v>
                </c:pt>
                <c:pt idx="302">
                  <c:v>6.0999999999999988</c:v>
                </c:pt>
                <c:pt idx="303">
                  <c:v>6.3</c:v>
                </c:pt>
                <c:pt idx="304">
                  <c:v>6.3</c:v>
                </c:pt>
                <c:pt idx="305">
                  <c:v>6.4</c:v>
                </c:pt>
                <c:pt idx="306">
                  <c:v>6.5</c:v>
                </c:pt>
                <c:pt idx="307">
                  <c:v>6.5</c:v>
                </c:pt>
                <c:pt idx="308">
                  <c:v>6.5</c:v>
                </c:pt>
                <c:pt idx="309">
                  <c:v>6.6</c:v>
                </c:pt>
                <c:pt idx="310">
                  <c:v>6.5</c:v>
                </c:pt>
                <c:pt idx="311">
                  <c:v>6.5</c:v>
                </c:pt>
                <c:pt idx="312">
                  <c:v>6.4</c:v>
                </c:pt>
                <c:pt idx="313">
                  <c:v>8.4</c:v>
                </c:pt>
                <c:pt idx="314">
                  <c:v>6.5</c:v>
                </c:pt>
                <c:pt idx="315">
                  <c:v>6.3</c:v>
                </c:pt>
                <c:pt idx="316">
                  <c:v>6.8000000000000007</c:v>
                </c:pt>
                <c:pt idx="317">
                  <c:v>5.9999999999999991</c:v>
                </c:pt>
                <c:pt idx="318">
                  <c:v>6.0999999999999988</c:v>
                </c:pt>
                <c:pt idx="319">
                  <c:v>6.8000000000000007</c:v>
                </c:pt>
                <c:pt idx="320">
                  <c:v>6.3</c:v>
                </c:pt>
                <c:pt idx="321">
                  <c:v>6.6</c:v>
                </c:pt>
                <c:pt idx="322">
                  <c:v>6.9</c:v>
                </c:pt>
                <c:pt idx="329">
                  <c:v>20</c:v>
                </c:pt>
                <c:pt idx="330">
                  <c:v>20</c:v>
                </c:pt>
                <c:pt idx="331">
                  <c:v>7</c:v>
                </c:pt>
                <c:pt idx="332">
                  <c:v>7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13</c:v>
                </c:pt>
                <c:pt idx="337">
                  <c:v>13</c:v>
                </c:pt>
                <c:pt idx="338">
                  <c:v>13</c:v>
                </c:pt>
                <c:pt idx="339">
                  <c:v>16</c:v>
                </c:pt>
                <c:pt idx="340">
                  <c:v>7</c:v>
                </c:pt>
                <c:pt idx="341">
                  <c:v>7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16</c:v>
                </c:pt>
                <c:pt idx="349">
                  <c:v>20</c:v>
                </c:pt>
                <c:pt idx="350">
                  <c:v>20</c:v>
                </c:pt>
                <c:pt idx="351">
                  <c:v>7</c:v>
                </c:pt>
                <c:pt idx="352">
                  <c:v>10</c:v>
                </c:pt>
                <c:pt idx="353">
                  <c:v>13</c:v>
                </c:pt>
                <c:pt idx="354">
                  <c:v>7</c:v>
                </c:pt>
                <c:pt idx="355">
                  <c:v>10</c:v>
                </c:pt>
                <c:pt idx="356">
                  <c:v>13</c:v>
                </c:pt>
                <c:pt idx="357">
                  <c:v>16</c:v>
                </c:pt>
                <c:pt idx="358">
                  <c:v>16</c:v>
                </c:pt>
                <c:pt idx="359">
                  <c:v>20</c:v>
                </c:pt>
                <c:pt idx="360">
                  <c:v>20</c:v>
                </c:pt>
                <c:pt idx="361">
                  <c:v>23</c:v>
                </c:pt>
                <c:pt idx="362">
                  <c:v>23</c:v>
                </c:pt>
              </c:numCache>
            </c:numRef>
          </c:xVal>
          <c:yVal>
            <c:numRef>
              <c:f>'headed (2)'!$CZ$20:$CZ$541</c:f>
              <c:numCache>
                <c:formatCode>General</c:formatCode>
                <c:ptCount val="361"/>
                <c:pt idx="0">
                  <c:v>1.2140631955584191</c:v>
                </c:pt>
                <c:pt idx="1">
                  <c:v>1.2142589675863487</c:v>
                </c:pt>
                <c:pt idx="2">
                  <c:v>1.250702910301895</c:v>
                </c:pt>
                <c:pt idx="3">
                  <c:v>1.6061312508358303</c:v>
                </c:pt>
                <c:pt idx="4">
                  <c:v>1.5076213914643732</c:v>
                </c:pt>
                <c:pt idx="5">
                  <c:v>1.6116129274598434</c:v>
                </c:pt>
                <c:pt idx="6">
                  <c:v>1.353732099805089</c:v>
                </c:pt>
                <c:pt idx="7">
                  <c:v>1.2158256317980205</c:v>
                </c:pt>
                <c:pt idx="8">
                  <c:v>1.1078654557321155</c:v>
                </c:pt>
                <c:pt idx="9">
                  <c:v>0.88558461738800009</c:v>
                </c:pt>
                <c:pt idx="10">
                  <c:v>1.0971269956239666</c:v>
                </c:pt>
                <c:pt idx="11">
                  <c:v>1.1362985571149462</c:v>
                </c:pt>
                <c:pt idx="12">
                  <c:v>1.4489090299456451</c:v>
                </c:pt>
                <c:pt idx="13">
                  <c:v>1.1264315123772384</c:v>
                </c:pt>
                <c:pt idx="14">
                  <c:v>1.1972859454860088</c:v>
                </c:pt>
                <c:pt idx="15">
                  <c:v>1.1825979304836267</c:v>
                </c:pt>
                <c:pt idx="16">
                  <c:v>1.1802441564682067</c:v>
                </c:pt>
                <c:pt idx="17">
                  <c:v>1.3701259564751176</c:v>
                </c:pt>
                <c:pt idx="18">
                  <c:v>1.4455193526381414</c:v>
                </c:pt>
                <c:pt idx="19">
                  <c:v>1.2264020383181997</c:v>
                </c:pt>
                <c:pt idx="20">
                  <c:v>1.2582112350998493</c:v>
                </c:pt>
                <c:pt idx="21">
                  <c:v>1.3026075869753657</c:v>
                </c:pt>
                <c:pt idx="22">
                  <c:v>1.3786937883911297</c:v>
                </c:pt>
                <c:pt idx="23">
                  <c:v>1.2265000402860071</c:v>
                </c:pt>
                <c:pt idx="24">
                  <c:v>1.375870186901017</c:v>
                </c:pt>
                <c:pt idx="25">
                  <c:v>1.3999644400429421</c:v>
                </c:pt>
                <c:pt idx="26">
                  <c:v>0</c:v>
                </c:pt>
                <c:pt idx="27">
                  <c:v>1.1905256945812908</c:v>
                </c:pt>
                <c:pt idx="28">
                  <c:v>1.1167546869959355</c:v>
                </c:pt>
                <c:pt idx="29">
                  <c:v>1.0416632154626597</c:v>
                </c:pt>
                <c:pt idx="30">
                  <c:v>1.4709966291791812</c:v>
                </c:pt>
                <c:pt idx="31">
                  <c:v>1.0293844757547645</c:v>
                </c:pt>
                <c:pt idx="32">
                  <c:v>1.1153119606929831</c:v>
                </c:pt>
                <c:pt idx="33">
                  <c:v>1.2956424138648808</c:v>
                </c:pt>
                <c:pt idx="34">
                  <c:v>1.131898315070766</c:v>
                </c:pt>
                <c:pt idx="35">
                  <c:v>1.131898315070766</c:v>
                </c:pt>
                <c:pt idx="36">
                  <c:v>1.0412218156152346</c:v>
                </c:pt>
                <c:pt idx="37">
                  <c:v>1.0412218156152346</c:v>
                </c:pt>
                <c:pt idx="38">
                  <c:v>1.1716971921552939</c:v>
                </c:pt>
                <c:pt idx="39">
                  <c:v>1.1716971921552939</c:v>
                </c:pt>
                <c:pt idx="40">
                  <c:v>0.85080970194489203</c:v>
                </c:pt>
                <c:pt idx="41">
                  <c:v>0.8085349544542425</c:v>
                </c:pt>
                <c:pt idx="42">
                  <c:v>1.2571639757274684</c:v>
                </c:pt>
                <c:pt idx="43">
                  <c:v>1.2692714892463186</c:v>
                </c:pt>
                <c:pt idx="44">
                  <c:v>1.2091353781823571</c:v>
                </c:pt>
                <c:pt idx="45">
                  <c:v>1.1753055919076683</c:v>
                </c:pt>
                <c:pt idx="46">
                  <c:v>1.0182198876788391</c:v>
                </c:pt>
                <c:pt idx="47">
                  <c:v>1.3095784928162608</c:v>
                </c:pt>
                <c:pt idx="48">
                  <c:v>1.3095784928162608</c:v>
                </c:pt>
                <c:pt idx="49">
                  <c:v>1.3493245422364921</c:v>
                </c:pt>
                <c:pt idx="50">
                  <c:v>1.3493245422364921</c:v>
                </c:pt>
                <c:pt idx="51">
                  <c:v>1.6978913823018422</c:v>
                </c:pt>
                <c:pt idx="52">
                  <c:v>1.6978913823018422</c:v>
                </c:pt>
                <c:pt idx="53">
                  <c:v>0.91851247644247092</c:v>
                </c:pt>
                <c:pt idx="54">
                  <c:v>1</c:v>
                </c:pt>
                <c:pt idx="55">
                  <c:v>0.73678053201601534</c:v>
                </c:pt>
                <c:pt idx="56">
                  <c:v>0.73718451657272832</c:v>
                </c:pt>
                <c:pt idx="57">
                  <c:v>0.68724341538301104</c:v>
                </c:pt>
                <c:pt idx="58">
                  <c:v>0.85028063832166845</c:v>
                </c:pt>
                <c:pt idx="59">
                  <c:v>0.49532268932934714</c:v>
                </c:pt>
                <c:pt idx="60">
                  <c:v>1.059782127050285</c:v>
                </c:pt>
                <c:pt idx="61">
                  <c:v>1.0088869571220103</c:v>
                </c:pt>
                <c:pt idx="62">
                  <c:v>1.0815801265431821</c:v>
                </c:pt>
                <c:pt idx="63">
                  <c:v>0.85852739822939572</c:v>
                </c:pt>
                <c:pt idx="64">
                  <c:v>0.69404556824261776</c:v>
                </c:pt>
                <c:pt idx="65">
                  <c:v>1.0377227912290949</c:v>
                </c:pt>
                <c:pt idx="66">
                  <c:v>1.0851045143939175</c:v>
                </c:pt>
                <c:pt idx="67">
                  <c:v>0.61746193238869718</c:v>
                </c:pt>
                <c:pt idx="68">
                  <c:v>0.78437925291382093</c:v>
                </c:pt>
                <c:pt idx="69">
                  <c:v>1.2732119156908908</c:v>
                </c:pt>
                <c:pt idx="70">
                  <c:v>1.486801599498017</c:v>
                </c:pt>
                <c:pt idx="71">
                  <c:v>1.127721019295898</c:v>
                </c:pt>
                <c:pt idx="72">
                  <c:v>1.3354151143487145</c:v>
                </c:pt>
                <c:pt idx="73">
                  <c:v>1.0546620803021731</c:v>
                </c:pt>
                <c:pt idx="74">
                  <c:v>1.1851863092498804</c:v>
                </c:pt>
                <c:pt idx="75">
                  <c:v>1.164038324517964</c:v>
                </c:pt>
                <c:pt idx="76">
                  <c:v>1.4000927741086981</c:v>
                </c:pt>
                <c:pt idx="77">
                  <c:v>1.1994142932326093</c:v>
                </c:pt>
                <c:pt idx="78">
                  <c:v>1.0759579072343315</c:v>
                </c:pt>
                <c:pt idx="79">
                  <c:v>1.4489801776685771</c:v>
                </c:pt>
                <c:pt idx="80">
                  <c:v>1.1693024959062237</c:v>
                </c:pt>
                <c:pt idx="81">
                  <c:v>1.1039912468916053</c:v>
                </c:pt>
                <c:pt idx="82">
                  <c:v>1.0425960964081298</c:v>
                </c:pt>
                <c:pt idx="83">
                  <c:v>1.4707672066107018</c:v>
                </c:pt>
                <c:pt idx="84">
                  <c:v>1.2575697339160365</c:v>
                </c:pt>
                <c:pt idx="85">
                  <c:v>1.1152914305964363</c:v>
                </c:pt>
                <c:pt idx="86">
                  <c:v>1.3081102480693489</c:v>
                </c:pt>
                <c:pt idx="87">
                  <c:v>0.99943469121787187</c:v>
                </c:pt>
                <c:pt idx="88">
                  <c:v>1.0591467407093387</c:v>
                </c:pt>
                <c:pt idx="89">
                  <c:v>0.95553229503146886</c:v>
                </c:pt>
                <c:pt idx="90">
                  <c:v>1.2638608456589822</c:v>
                </c:pt>
                <c:pt idx="91">
                  <c:v>0.93377048827409681</c:v>
                </c:pt>
                <c:pt idx="92">
                  <c:v>1.0429653107588621</c:v>
                </c:pt>
                <c:pt idx="93">
                  <c:v>1.4482630142707176</c:v>
                </c:pt>
                <c:pt idx="94">
                  <c:v>1.1669913938500407</c:v>
                </c:pt>
                <c:pt idx="95">
                  <c:v>1.1029753689711439</c:v>
                </c:pt>
                <c:pt idx="96">
                  <c:v>0.94794472349162318</c:v>
                </c:pt>
                <c:pt idx="97">
                  <c:v>1.2065212017848979</c:v>
                </c:pt>
                <c:pt idx="98">
                  <c:v>0.94032104183423759</c:v>
                </c:pt>
                <c:pt idx="99">
                  <c:v>0.73435132953628823</c:v>
                </c:pt>
                <c:pt idx="100">
                  <c:v>0.8348184273807373</c:v>
                </c:pt>
                <c:pt idx="101">
                  <c:v>1.0886125437537382</c:v>
                </c:pt>
                <c:pt idx="102">
                  <c:v>0.72096580896252627</c:v>
                </c:pt>
                <c:pt idx="103">
                  <c:v>0.99108586662496612</c:v>
                </c:pt>
                <c:pt idx="104">
                  <c:v>0.78234204586737066</c:v>
                </c:pt>
                <c:pt idx="105">
                  <c:v>1.0958321519136152</c:v>
                </c:pt>
                <c:pt idx="106">
                  <c:v>0.95810293219723919</c:v>
                </c:pt>
                <c:pt idx="107">
                  <c:v>0.80046699672781108</c:v>
                </c:pt>
                <c:pt idx="108">
                  <c:v>0.74669552116938287</c:v>
                </c:pt>
                <c:pt idx="109">
                  <c:v>0.90336797784402101</c:v>
                </c:pt>
                <c:pt idx="110">
                  <c:v>0.73918547860307671</c:v>
                </c:pt>
                <c:pt idx="111">
                  <c:v>1.035801217585661</c:v>
                </c:pt>
                <c:pt idx="112">
                  <c:v>1.0136499429452763</c:v>
                </c:pt>
                <c:pt idx="113">
                  <c:v>1.1085878003695551</c:v>
                </c:pt>
                <c:pt idx="114">
                  <c:v>1.1917519000638892</c:v>
                </c:pt>
                <c:pt idx="115">
                  <c:v>0.76733459610941368</c:v>
                </c:pt>
                <c:pt idx="116">
                  <c:v>1.0049803374710342</c:v>
                </c:pt>
                <c:pt idx="117">
                  <c:v>1.336765961716297</c:v>
                </c:pt>
                <c:pt idx="118">
                  <c:v>1.3502706830387621</c:v>
                </c:pt>
                <c:pt idx="119">
                  <c:v>1.0800473563193289</c:v>
                </c:pt>
                <c:pt idx="120">
                  <c:v>1.4530735737887628</c:v>
                </c:pt>
                <c:pt idx="121">
                  <c:v>0.97146948096887209</c:v>
                </c:pt>
                <c:pt idx="122">
                  <c:v>1.2119877238401617</c:v>
                </c:pt>
                <c:pt idx="123">
                  <c:v>1.4335498222786425</c:v>
                </c:pt>
                <c:pt idx="124">
                  <c:v>1.7084704294313242</c:v>
                </c:pt>
                <c:pt idx="125">
                  <c:v>1.0658353776281775</c:v>
                </c:pt>
                <c:pt idx="126">
                  <c:v>1.10521720654621</c:v>
                </c:pt>
                <c:pt idx="127">
                  <c:v>1.3383380886118024</c:v>
                </c:pt>
                <c:pt idx="128">
                  <c:v>1.0667341823935248</c:v>
                </c:pt>
                <c:pt idx="129">
                  <c:v>1.5688980242628909</c:v>
                </c:pt>
                <c:pt idx="130">
                  <c:v>1.7241744032031006</c:v>
                </c:pt>
                <c:pt idx="131">
                  <c:v>1.5425351929470028</c:v>
                </c:pt>
                <c:pt idx="132">
                  <c:v>1.0745054096439952</c:v>
                </c:pt>
                <c:pt idx="133">
                  <c:v>1.0069882788145434</c:v>
                </c:pt>
                <c:pt idx="134">
                  <c:v>1.0537522781326267</c:v>
                </c:pt>
                <c:pt idx="135">
                  <c:v>0.94606036381909953</c:v>
                </c:pt>
                <c:pt idx="136">
                  <c:v>1.0607370982090985</c:v>
                </c:pt>
                <c:pt idx="137">
                  <c:v>0.99104241411838778</c:v>
                </c:pt>
                <c:pt idx="138">
                  <c:v>1.2415241895472264</c:v>
                </c:pt>
                <c:pt idx="139">
                  <c:v>1.1108598911062268</c:v>
                </c:pt>
                <c:pt idx="140">
                  <c:v>0.98254513569119484</c:v>
                </c:pt>
                <c:pt idx="141">
                  <c:v>1.0134345640672162</c:v>
                </c:pt>
                <c:pt idx="142">
                  <c:v>1.0383544149159285</c:v>
                </c:pt>
                <c:pt idx="143">
                  <c:v>1.246854111705707</c:v>
                </c:pt>
                <c:pt idx="144">
                  <c:v>0.88968810745173232</c:v>
                </c:pt>
                <c:pt idx="145">
                  <c:v>1.015645214075779</c:v>
                </c:pt>
                <c:pt idx="146">
                  <c:v>1.0887563493315389</c:v>
                </c:pt>
                <c:pt idx="147">
                  <c:v>1.0615276951705674</c:v>
                </c:pt>
                <c:pt idx="148">
                  <c:v>0.76591341717817985</c:v>
                </c:pt>
                <c:pt idx="149">
                  <c:v>0.782670244439856</c:v>
                </c:pt>
                <c:pt idx="150">
                  <c:v>0.74214693971252432</c:v>
                </c:pt>
                <c:pt idx="151">
                  <c:v>0.9280417512964777</c:v>
                </c:pt>
                <c:pt idx="152">
                  <c:v>1.0429659273597731</c:v>
                </c:pt>
                <c:pt idx="153">
                  <c:v>0.67335839175112699</c:v>
                </c:pt>
                <c:pt idx="154">
                  <c:v>0.6648035989042731</c:v>
                </c:pt>
                <c:pt idx="155">
                  <c:v>0.69192281388318311</c:v>
                </c:pt>
                <c:pt idx="156">
                  <c:v>0.97651110382324768</c:v>
                </c:pt>
                <c:pt idx="157">
                  <c:v>0.99490267950518141</c:v>
                </c:pt>
                <c:pt idx="158">
                  <c:v>0.72846501506533778</c:v>
                </c:pt>
                <c:pt idx="159">
                  <c:v>0.67317534853537886</c:v>
                </c:pt>
                <c:pt idx="160">
                  <c:v>0.78300596637240216</c:v>
                </c:pt>
                <c:pt idx="161">
                  <c:v>1.0734511207027237</c:v>
                </c:pt>
                <c:pt idx="162">
                  <c:v>0.95168248490077645</c:v>
                </c:pt>
                <c:pt idx="163">
                  <c:v>0.97995058160380566</c:v>
                </c:pt>
                <c:pt idx="164">
                  <c:v>0.84853134899852589</c:v>
                </c:pt>
                <c:pt idx="165">
                  <c:v>0.95490274844904621</c:v>
                </c:pt>
                <c:pt idx="166">
                  <c:v>0.93212965513993562</c:v>
                </c:pt>
                <c:pt idx="167">
                  <c:v>0.8760822339448866</c:v>
                </c:pt>
                <c:pt idx="168">
                  <c:v>1.267632927019867</c:v>
                </c:pt>
                <c:pt idx="169">
                  <c:v>1.0864732280294513</c:v>
                </c:pt>
                <c:pt idx="170">
                  <c:v>0.70351864336481917</c:v>
                </c:pt>
                <c:pt idx="171">
                  <c:v>0.93461795122954905</c:v>
                </c:pt>
                <c:pt idx="172">
                  <c:v>0.89214840379637628</c:v>
                </c:pt>
                <c:pt idx="173">
                  <c:v>1.2694084672363284</c:v>
                </c:pt>
                <c:pt idx="174">
                  <c:v>1.0879820523592281</c:v>
                </c:pt>
                <c:pt idx="175">
                  <c:v>0.87833333333333341</c:v>
                </c:pt>
                <c:pt idx="176">
                  <c:v>0.63480838312555887</c:v>
                </c:pt>
                <c:pt idx="177">
                  <c:v>0.90003950832799662</c:v>
                </c:pt>
                <c:pt idx="178">
                  <c:v>0.88584801505264343</c:v>
                </c:pt>
                <c:pt idx="179">
                  <c:v>0.98184147159351287</c:v>
                </c:pt>
                <c:pt idx="180">
                  <c:v>0.82535245957938552</c:v>
                </c:pt>
                <c:pt idx="181">
                  <c:v>1.0443012016693149</c:v>
                </c:pt>
                <c:pt idx="182">
                  <c:v>0.96674260066309403</c:v>
                </c:pt>
                <c:pt idx="183">
                  <c:v>1.2625217719196895</c:v>
                </c:pt>
                <c:pt idx="184">
                  <c:v>0.82233348350740842</c:v>
                </c:pt>
                <c:pt idx="185">
                  <c:v>1.1787430355325779</c:v>
                </c:pt>
                <c:pt idx="186">
                  <c:v>0.74722430214469848</c:v>
                </c:pt>
                <c:pt idx="187">
                  <c:v>1.1378780950693508</c:v>
                </c:pt>
                <c:pt idx="188">
                  <c:v>1.3410351127446876</c:v>
                </c:pt>
                <c:pt idx="189">
                  <c:v>0.93310480003574625</c:v>
                </c:pt>
                <c:pt idx="190">
                  <c:v>0.87025939203289582</c:v>
                </c:pt>
                <c:pt idx="191">
                  <c:v>1.5147236131087898</c:v>
                </c:pt>
                <c:pt idx="192">
                  <c:v>0.85520549534192214</c:v>
                </c:pt>
                <c:pt idx="193">
                  <c:v>1.1130622636058647</c:v>
                </c:pt>
                <c:pt idx="194">
                  <c:v>0.96545639129394512</c:v>
                </c:pt>
                <c:pt idx="195">
                  <c:v>1.0953486974677027</c:v>
                </c:pt>
                <c:pt idx="196">
                  <c:v>0.94115541649385537</c:v>
                </c:pt>
                <c:pt idx="197">
                  <c:v>0.98697622127594653</c:v>
                </c:pt>
                <c:pt idx="198">
                  <c:v>1.0864891795569402</c:v>
                </c:pt>
                <c:pt idx="199">
                  <c:v>0</c:v>
                </c:pt>
                <c:pt idx="200">
                  <c:v>0.97511909646297612</c:v>
                </c:pt>
                <c:pt idx="201">
                  <c:v>0.96123910886210173</c:v>
                </c:pt>
                <c:pt idx="202">
                  <c:v>1.1150394683014302</c:v>
                </c:pt>
                <c:pt idx="203">
                  <c:v>0.93601937017964099</c:v>
                </c:pt>
                <c:pt idx="204">
                  <c:v>0.97228115444619168</c:v>
                </c:pt>
                <c:pt idx="205">
                  <c:v>1.1065773777959143</c:v>
                </c:pt>
                <c:pt idx="206">
                  <c:v>1.6772269266410664</c:v>
                </c:pt>
                <c:pt idx="207">
                  <c:v>1.024630490427666</c:v>
                </c:pt>
                <c:pt idx="208">
                  <c:v>1.162098744070923</c:v>
                </c:pt>
                <c:pt idx="209">
                  <c:v>1.0849879495526928</c:v>
                </c:pt>
                <c:pt idx="210">
                  <c:v>1</c:v>
                </c:pt>
                <c:pt idx="211">
                  <c:v>1</c:v>
                </c:pt>
                <c:pt idx="212">
                  <c:v>0.74645745582544709</c:v>
                </c:pt>
                <c:pt idx="213">
                  <c:v>0.65440646347147291</c:v>
                </c:pt>
                <c:pt idx="214">
                  <c:v>0.86626402070750652</c:v>
                </c:pt>
                <c:pt idx="215">
                  <c:v>0</c:v>
                </c:pt>
                <c:pt idx="216">
                  <c:v>0.68467739710453912</c:v>
                </c:pt>
                <c:pt idx="217">
                  <c:v>1.0359680488784047</c:v>
                </c:pt>
                <c:pt idx="218">
                  <c:v>0.67868729013532503</c:v>
                </c:pt>
                <c:pt idx="219">
                  <c:v>1.0767191342865152</c:v>
                </c:pt>
                <c:pt idx="220">
                  <c:v>1.0771457263688171</c:v>
                </c:pt>
                <c:pt idx="221">
                  <c:v>1.000825177613299</c:v>
                </c:pt>
                <c:pt idx="222">
                  <c:v>0.63898823880641586</c:v>
                </c:pt>
                <c:pt idx="223">
                  <c:v>0.73924512696546085</c:v>
                </c:pt>
                <c:pt idx="224">
                  <c:v>1.1618512131976952</c:v>
                </c:pt>
                <c:pt idx="225">
                  <c:v>0.72633374341804824</c:v>
                </c:pt>
                <c:pt idx="226">
                  <c:v>0.75400013200926497</c:v>
                </c:pt>
                <c:pt idx="227">
                  <c:v>1.0002692328949259</c:v>
                </c:pt>
                <c:pt idx="228">
                  <c:v>0.63292489521379602</c:v>
                </c:pt>
                <c:pt idx="229">
                  <c:v>1.2648314968012164</c:v>
                </c:pt>
                <c:pt idx="230">
                  <c:v>1</c:v>
                </c:pt>
                <c:pt idx="231">
                  <c:v>0.95972228420837502</c:v>
                </c:pt>
                <c:pt idx="232">
                  <c:v>0.95692750390543657</c:v>
                </c:pt>
                <c:pt idx="233">
                  <c:v>1.1093102722998569</c:v>
                </c:pt>
                <c:pt idx="234">
                  <c:v>0.96762589928057552</c:v>
                </c:pt>
                <c:pt idx="235">
                  <c:v>1.1248507186141501</c:v>
                </c:pt>
                <c:pt idx="236">
                  <c:v>1.3796539954432834</c:v>
                </c:pt>
                <c:pt idx="237">
                  <c:v>0.93712665612600687</c:v>
                </c:pt>
                <c:pt idx="238">
                  <c:v>1.0095343957325076</c:v>
                </c:pt>
                <c:pt idx="239">
                  <c:v>0.78909154398737613</c:v>
                </c:pt>
                <c:pt idx="240">
                  <c:v>1</c:v>
                </c:pt>
                <c:pt idx="241">
                  <c:v>1</c:v>
                </c:pt>
                <c:pt idx="242">
                  <c:v>0.93527480684988118</c:v>
                </c:pt>
                <c:pt idx="243">
                  <c:v>1.4822322141280799</c:v>
                </c:pt>
                <c:pt idx="244">
                  <c:v>0.9601139047349182</c:v>
                </c:pt>
                <c:pt idx="245">
                  <c:v>0.82625634412902194</c:v>
                </c:pt>
                <c:pt idx="246">
                  <c:v>1.0625500982773062</c:v>
                </c:pt>
                <c:pt idx="247">
                  <c:v>1.0627262740118579</c:v>
                </c:pt>
                <c:pt idx="248">
                  <c:v>1.1179242582161224</c:v>
                </c:pt>
                <c:pt idx="249">
                  <c:v>1.1131805909252479</c:v>
                </c:pt>
                <c:pt idx="250">
                  <c:v>1.0396608877230671</c:v>
                </c:pt>
                <c:pt idx="251">
                  <c:v>1.0332122674684099</c:v>
                </c:pt>
                <c:pt idx="252">
                  <c:v>1.1141268495754608</c:v>
                </c:pt>
                <c:pt idx="253">
                  <c:v>1.111818575715843</c:v>
                </c:pt>
                <c:pt idx="254">
                  <c:v>1</c:v>
                </c:pt>
                <c:pt idx="255">
                  <c:v>1</c:v>
                </c:pt>
                <c:pt idx="256">
                  <c:v>0.97894457082747688</c:v>
                </c:pt>
                <c:pt idx="257">
                  <c:v>0.91208253125064931</c:v>
                </c:pt>
                <c:pt idx="258">
                  <c:v>1.2792539211145848</c:v>
                </c:pt>
                <c:pt idx="259">
                  <c:v>0.94846759987164653</c:v>
                </c:pt>
                <c:pt idx="260">
                  <c:v>0.75051026424073697</c:v>
                </c:pt>
                <c:pt idx="261">
                  <c:v>0.77281597321579087</c:v>
                </c:pt>
                <c:pt idx="262">
                  <c:v>0.95614243505191698</c:v>
                </c:pt>
                <c:pt idx="263">
                  <c:v>1.0414859751276166</c:v>
                </c:pt>
                <c:pt idx="264">
                  <c:v>0.86413021470864393</c:v>
                </c:pt>
                <c:pt idx="265">
                  <c:v>0.89951817016281221</c:v>
                </c:pt>
                <c:pt idx="266">
                  <c:v>0.67646352686461653</c:v>
                </c:pt>
                <c:pt idx="267">
                  <c:v>0.74462905197182427</c:v>
                </c:pt>
                <c:pt idx="268">
                  <c:v>0.98674521354933731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CA-44DA-B5A6-E5C86946D04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(2)'!$AS$20:$AS$53</c:f>
            </c:numRef>
          </c:xVal>
          <c:yVal>
            <c:numRef>
              <c:f>'headed (2)'!$AS$54:$AS$55</c:f>
            </c:numRef>
          </c:yVal>
          <c:smooth val="0"/>
          <c:extLst>
            <c:ext xmlns:c16="http://schemas.microsoft.com/office/drawing/2014/chart" uri="{C3380CC4-5D6E-409C-BE32-E72D297353CC}">
              <c16:uniqueId val="{00000001-85CA-44DA-B5A6-E5C86946D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10656"/>
        <c:axId val="129912192"/>
      </c:scatterChart>
      <c:valAx>
        <c:axId val="129910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2192"/>
        <c:crosses val="autoZero"/>
        <c:crossBetween val="midCat"/>
      </c:valAx>
      <c:valAx>
        <c:axId val="129912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065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571741032371027E-2"/>
          <c:y val="2.8196459125466627E-2"/>
          <c:w val="0.82103042940465842"/>
          <c:h val="0.788436694034110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'headed (2)'!$FX$53</c:f>
              <c:strCache>
                <c:ptCount val="1"/>
                <c:pt idx="0">
                  <c:v>ACI 318-14</c:v>
                </c:pt>
              </c:strCache>
            </c:strRef>
          </c:tx>
          <c:spPr>
            <a:solidFill>
              <a:schemeClr val="bg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multiLvlStrRef>
              <c:f>'headed (2)'!$FW$54:$FW$62</c:f>
            </c:multiLvlStrRef>
          </c:cat>
          <c:val>
            <c:numRef>
              <c:f>'headed (2)'!$FX$54:$FX$62</c:f>
            </c:numRef>
          </c:val>
          <c:extLst>
            <c:ext xmlns:c16="http://schemas.microsoft.com/office/drawing/2014/chart" uri="{C3380CC4-5D6E-409C-BE32-E72D297353CC}">
              <c16:uniqueId val="{00000000-DD34-4EB4-BC34-F971CBE6CC87}"/>
            </c:ext>
          </c:extLst>
        </c:ser>
        <c:ser>
          <c:idx val="3"/>
          <c:order val="1"/>
          <c:tx>
            <c:strRef>
              <c:f>'headed (2)'!$GA$53</c:f>
              <c:strCache>
                <c:ptCount val="1"/>
                <c:pt idx="0">
                  <c:v>fib MC 2010</c:v>
                </c:pt>
              </c:strCache>
            </c:strRef>
          </c:tx>
          <c:spPr>
            <a:blipFill>
              <a:blip xmlns:r="http://schemas.openxmlformats.org/officeDocument/2006/relationships" r:embed="rId1"/>
              <a:tile tx="0" ty="0" sx="100000" sy="100000" flip="none" algn="tl"/>
            </a:blipFill>
            <a:ln w="12700">
              <a:solidFill>
                <a:sysClr val="windowText" lastClr="000000"/>
              </a:solidFill>
            </a:ln>
          </c:spPr>
          <c:invertIfNegative val="0"/>
          <c:cat>
            <c:multiLvlStrRef>
              <c:f>'headed (2)'!$FW$54:$FW$62</c:f>
            </c:multiLvlStrRef>
          </c:cat>
          <c:val>
            <c:numRef>
              <c:f>'headed (2)'!$GA$54:$GA$62</c:f>
            </c:numRef>
          </c:val>
          <c:extLst>
            <c:ext xmlns:c16="http://schemas.microsoft.com/office/drawing/2014/chart" uri="{C3380CC4-5D6E-409C-BE32-E72D297353CC}">
              <c16:uniqueId val="{00000001-DD34-4EB4-BC34-F971CBE6CC87}"/>
            </c:ext>
          </c:extLst>
        </c:ser>
        <c:ser>
          <c:idx val="1"/>
          <c:order val="2"/>
          <c:tx>
            <c:strRef>
              <c:f>'headed (2)'!$FY$53</c:f>
              <c:strCache>
                <c:ptCount val="1"/>
                <c:pt idx="0">
                  <c:v>Thompson et al.</c:v>
                </c:pt>
              </c:strCache>
            </c:strRef>
          </c:tx>
          <c:spPr>
            <a:gradFill>
              <a:gsLst>
                <a:gs pos="0">
                  <a:srgbClr val="FFFFFF"/>
                </a:gs>
                <a:gs pos="7001">
                  <a:srgbClr val="E6E6E6"/>
                </a:gs>
                <a:gs pos="32001">
                  <a:srgbClr val="7D8496"/>
                </a:gs>
                <a:gs pos="47000">
                  <a:srgbClr val="E6E6E6"/>
                </a:gs>
                <a:gs pos="85001">
                  <a:srgbClr val="7D8496"/>
                </a:gs>
                <a:gs pos="100000">
                  <a:srgbClr val="E6E6E6"/>
                </a:gs>
              </a:gsLst>
              <a:lin ang="5400000" scaled="0"/>
            </a:gradFill>
            <a:ln w="12700">
              <a:solidFill>
                <a:sysClr val="windowText" lastClr="000000"/>
              </a:solidFill>
            </a:ln>
          </c:spPr>
          <c:invertIfNegative val="0"/>
          <c:cat>
            <c:multiLvlStrRef>
              <c:f>'headed (2)'!$FW$54:$FW$62</c:f>
            </c:multiLvlStrRef>
          </c:cat>
          <c:val>
            <c:numRef>
              <c:f>'headed (2)'!$FY$54:$FY$62</c:f>
            </c:numRef>
          </c:val>
          <c:extLst>
            <c:ext xmlns:c16="http://schemas.microsoft.com/office/drawing/2014/chart" uri="{C3380CC4-5D6E-409C-BE32-E72D297353CC}">
              <c16:uniqueId val="{00000002-DD34-4EB4-BC34-F971CBE6CC87}"/>
            </c:ext>
          </c:extLst>
        </c:ser>
        <c:ser>
          <c:idx val="2"/>
          <c:order val="3"/>
          <c:tx>
            <c:strRef>
              <c:f>'headed (2)'!$FZ$53</c:f>
              <c:strCache>
                <c:ptCount val="1"/>
                <c:pt idx="0">
                  <c:v>Shao et al.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multiLvlStrRef>
              <c:f>'headed (2)'!$FW$54:$FW$62</c:f>
            </c:multiLvlStrRef>
          </c:cat>
          <c:val>
            <c:numRef>
              <c:f>'headed (2)'!$FZ$54:$FZ$62</c:f>
            </c:numRef>
          </c:val>
          <c:extLst>
            <c:ext xmlns:c16="http://schemas.microsoft.com/office/drawing/2014/chart" uri="{C3380CC4-5D6E-409C-BE32-E72D297353CC}">
              <c16:uniqueId val="{00000003-DD34-4EB4-BC34-F971CBE6CC87}"/>
            </c:ext>
          </c:extLst>
        </c:ser>
        <c:ser>
          <c:idx val="4"/>
          <c:order val="4"/>
          <c:tx>
            <c:strRef>
              <c:f>'headed (2)'!$GB$53</c:f>
              <c:strCache>
                <c:ptCount val="1"/>
                <c:pt idx="0">
                  <c:v>Proposed method (Eq. (21))</c:v>
                </c:pt>
              </c:strCache>
            </c:strRef>
          </c:tx>
          <c:spPr>
            <a:solidFill>
              <a:schemeClr val="tx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multiLvlStrRef>
              <c:f>'headed (2)'!$FW$54:$FW$62</c:f>
            </c:multiLvlStrRef>
          </c:cat>
          <c:val>
            <c:numRef>
              <c:f>'headed (2)'!$GB$54:$GB$62</c:f>
            </c:numRef>
          </c:val>
          <c:extLst>
            <c:ext xmlns:c16="http://schemas.microsoft.com/office/drawing/2014/chart" uri="{C3380CC4-5D6E-409C-BE32-E72D297353CC}">
              <c16:uniqueId val="{00000004-DD34-4EB4-BC34-F971CBE6CC87}"/>
            </c:ext>
          </c:extLst>
        </c:ser>
        <c:ser>
          <c:idx val="5"/>
          <c:order val="5"/>
          <c:tx>
            <c:strRef>
              <c:f>'headed (2)'!$GC$53</c:f>
              <c:strCache>
                <c:ptCount val="1"/>
                <c:pt idx="0">
                  <c:v>Proposed method (Eq. (22))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2700">
              <a:solidFill>
                <a:schemeClr val="tx1"/>
              </a:solidFill>
            </a:ln>
          </c:spPr>
          <c:invertIfNegative val="0"/>
          <c:cat>
            <c:multiLvlStrRef>
              <c:f>'headed (2)'!$FW$54:$FW$62</c:f>
            </c:multiLvlStrRef>
          </c:cat>
          <c:val>
            <c:numRef>
              <c:f>'headed (2)'!$GC$54:$GC$62</c:f>
            </c:numRef>
          </c:val>
          <c:extLst>
            <c:ext xmlns:c16="http://schemas.microsoft.com/office/drawing/2014/chart" uri="{C3380CC4-5D6E-409C-BE32-E72D297353CC}">
              <c16:uniqueId val="{00000005-DD34-4EB4-BC34-F971CBE6C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0"/>
        <c:axId val="130103552"/>
        <c:axId val="130129920"/>
      </c:barChart>
      <c:catAx>
        <c:axId val="13010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29920"/>
        <c:crosses val="autoZero"/>
        <c:auto val="1"/>
        <c:lblAlgn val="ctr"/>
        <c:lblOffset val="100"/>
        <c:noMultiLvlLbl val="0"/>
      </c:catAx>
      <c:valAx>
        <c:axId val="130129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03552"/>
        <c:crosses val="autoZero"/>
        <c:crossBetween val="between"/>
        <c:majorUnit val="40"/>
      </c:valAx>
      <c:spPr>
        <a:ln w="25400"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10404411876287446"/>
          <c:y val="4.4485757383056497E-2"/>
          <c:w val="0.55239129672667064"/>
          <c:h val="0.52429139268414648"/>
        </c:manualLayout>
      </c:layout>
      <c:overlay val="0"/>
      <c:txPr>
        <a:bodyPr/>
        <a:lstStyle/>
        <a:p>
          <a:pPr>
            <a:defRPr sz="1200">
              <a:latin typeface="+mn-lt"/>
            </a:defRPr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(2)'!$O$20:$O$1282</c:f>
              <c:numCache>
                <c:formatCode>General</c:formatCode>
                <c:ptCount val="1102"/>
                <c:pt idx="0">
                  <c:v>16</c:v>
                </c:pt>
                <c:pt idx="1">
                  <c:v>16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13.921985815602838</c:v>
                </c:pt>
                <c:pt idx="19">
                  <c:v>13.829787234042554</c:v>
                </c:pt>
                <c:pt idx="20">
                  <c:v>13.787234042553195</c:v>
                </c:pt>
                <c:pt idx="21">
                  <c:v>13.744680851063832</c:v>
                </c:pt>
                <c:pt idx="22">
                  <c:v>13.744680851063832</c:v>
                </c:pt>
                <c:pt idx="23">
                  <c:v>13.680851063829788</c:v>
                </c:pt>
                <c:pt idx="24">
                  <c:v>13.652482269503549</c:v>
                </c:pt>
                <c:pt idx="25">
                  <c:v>13.567375886524824</c:v>
                </c:pt>
                <c:pt idx="26">
                  <c:v>8.3595113438045381</c:v>
                </c:pt>
                <c:pt idx="27">
                  <c:v>12.368794326241137</c:v>
                </c:pt>
                <c:pt idx="28">
                  <c:v>12.234042553191491</c:v>
                </c:pt>
                <c:pt idx="29">
                  <c:v>12.148936170212767</c:v>
                </c:pt>
                <c:pt idx="30">
                  <c:v>12.067039106145252</c:v>
                </c:pt>
                <c:pt idx="31">
                  <c:v>12.056737588652483</c:v>
                </c:pt>
                <c:pt idx="32">
                  <c:v>12.014184397163124</c:v>
                </c:pt>
                <c:pt idx="33">
                  <c:v>12.014184397163124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12.000000000000004</c:v>
                </c:pt>
                <c:pt idx="41">
                  <c:v>12.000000000000004</c:v>
                </c:pt>
                <c:pt idx="42">
                  <c:v>11.921985815602838</c:v>
                </c:pt>
                <c:pt idx="43">
                  <c:v>11.921985815602838</c:v>
                </c:pt>
                <c:pt idx="44">
                  <c:v>11.879432624113477</c:v>
                </c:pt>
                <c:pt idx="45">
                  <c:v>11.858156028368795</c:v>
                </c:pt>
                <c:pt idx="46">
                  <c:v>11.744680851063832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15.749999999999998</c:v>
                </c:pt>
                <c:pt idx="54">
                  <c:v>15.28</c:v>
                </c:pt>
                <c:pt idx="55">
                  <c:v>10.581560283687944</c:v>
                </c:pt>
                <c:pt idx="56">
                  <c:v>10.43262411347518</c:v>
                </c:pt>
                <c:pt idx="57">
                  <c:v>10.418439716312058</c:v>
                </c:pt>
                <c:pt idx="58">
                  <c:v>10.418439716312058</c:v>
                </c:pt>
                <c:pt idx="59">
                  <c:v>10.375886524822697</c:v>
                </c:pt>
                <c:pt idx="60">
                  <c:v>10.375886524822697</c:v>
                </c:pt>
                <c:pt idx="61">
                  <c:v>14.58</c:v>
                </c:pt>
                <c:pt idx="62">
                  <c:v>14.58</c:v>
                </c:pt>
                <c:pt idx="63">
                  <c:v>10.312056737588653</c:v>
                </c:pt>
                <c:pt idx="64">
                  <c:v>10.312056737588653</c:v>
                </c:pt>
                <c:pt idx="65">
                  <c:v>14.54</c:v>
                </c:pt>
                <c:pt idx="66">
                  <c:v>14.54</c:v>
                </c:pt>
                <c:pt idx="67">
                  <c:v>10.283687943262413</c:v>
                </c:pt>
                <c:pt idx="68">
                  <c:v>10.283687943262413</c:v>
                </c:pt>
                <c:pt idx="69">
                  <c:v>14.499999999999998</c:v>
                </c:pt>
                <c:pt idx="70">
                  <c:v>14.499999999999998</c:v>
                </c:pt>
                <c:pt idx="71">
                  <c:v>14.42</c:v>
                </c:pt>
                <c:pt idx="72">
                  <c:v>14.42</c:v>
                </c:pt>
                <c:pt idx="73">
                  <c:v>14.38</c:v>
                </c:pt>
                <c:pt idx="74">
                  <c:v>14.38</c:v>
                </c:pt>
                <c:pt idx="75">
                  <c:v>14.38</c:v>
                </c:pt>
                <c:pt idx="76">
                  <c:v>14.38</c:v>
                </c:pt>
                <c:pt idx="77">
                  <c:v>14.35</c:v>
                </c:pt>
                <c:pt idx="78">
                  <c:v>14.299999999999999</c:v>
                </c:pt>
                <c:pt idx="79">
                  <c:v>14.27</c:v>
                </c:pt>
                <c:pt idx="80">
                  <c:v>14.25</c:v>
                </c:pt>
                <c:pt idx="81">
                  <c:v>14.25</c:v>
                </c:pt>
                <c:pt idx="82">
                  <c:v>14.13</c:v>
                </c:pt>
                <c:pt idx="83">
                  <c:v>14.09</c:v>
                </c:pt>
                <c:pt idx="84">
                  <c:v>14.080000000000002</c:v>
                </c:pt>
                <c:pt idx="85">
                  <c:v>14.059999999999999</c:v>
                </c:pt>
                <c:pt idx="86">
                  <c:v>9.9441340782122918</c:v>
                </c:pt>
                <c:pt idx="87">
                  <c:v>12.66</c:v>
                </c:pt>
                <c:pt idx="88">
                  <c:v>12.590000000000002</c:v>
                </c:pt>
                <c:pt idx="89">
                  <c:v>8.9078014184397176</c:v>
                </c:pt>
                <c:pt idx="90">
                  <c:v>12.56</c:v>
                </c:pt>
                <c:pt idx="91">
                  <c:v>8.8652482269503565</c:v>
                </c:pt>
                <c:pt idx="92">
                  <c:v>12.5</c:v>
                </c:pt>
                <c:pt idx="93">
                  <c:v>12.439999999999998</c:v>
                </c:pt>
                <c:pt idx="94">
                  <c:v>12.38</c:v>
                </c:pt>
                <c:pt idx="95">
                  <c:v>12.31</c:v>
                </c:pt>
                <c:pt idx="96">
                  <c:v>12.21</c:v>
                </c:pt>
                <c:pt idx="97">
                  <c:v>12.19</c:v>
                </c:pt>
                <c:pt idx="98">
                  <c:v>12.17</c:v>
                </c:pt>
                <c:pt idx="99">
                  <c:v>12.17</c:v>
                </c:pt>
                <c:pt idx="100">
                  <c:v>8.6028368794326244</c:v>
                </c:pt>
                <c:pt idx="101">
                  <c:v>12.129999999999999</c:v>
                </c:pt>
                <c:pt idx="102">
                  <c:v>8.6028368794326244</c:v>
                </c:pt>
                <c:pt idx="103">
                  <c:v>8.5744680851063837</c:v>
                </c:pt>
                <c:pt idx="104">
                  <c:v>12.06</c:v>
                </c:pt>
                <c:pt idx="105">
                  <c:v>12.06</c:v>
                </c:pt>
                <c:pt idx="106">
                  <c:v>12.04</c:v>
                </c:pt>
                <c:pt idx="107">
                  <c:v>12.03</c:v>
                </c:pt>
                <c:pt idx="108">
                  <c:v>8.5106382978723403</c:v>
                </c:pt>
                <c:pt idx="109">
                  <c:v>8.5106382978723403</c:v>
                </c:pt>
                <c:pt idx="110">
                  <c:v>11.999999999999998</c:v>
                </c:pt>
                <c:pt idx="111">
                  <c:v>11.999999999999998</c:v>
                </c:pt>
                <c:pt idx="112">
                  <c:v>11.97</c:v>
                </c:pt>
                <c:pt idx="113">
                  <c:v>11.95</c:v>
                </c:pt>
                <c:pt idx="114">
                  <c:v>11.9</c:v>
                </c:pt>
                <c:pt idx="115">
                  <c:v>11.88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11.299212598425198</c:v>
                </c:pt>
                <c:pt idx="120">
                  <c:v>11.299212598425198</c:v>
                </c:pt>
                <c:pt idx="121">
                  <c:v>11.25</c:v>
                </c:pt>
                <c:pt idx="122">
                  <c:v>7.9608938547486039</c:v>
                </c:pt>
                <c:pt idx="123">
                  <c:v>7.9608938547486039</c:v>
                </c:pt>
                <c:pt idx="124">
                  <c:v>7.9608938547486039</c:v>
                </c:pt>
                <c:pt idx="125">
                  <c:v>11.13</c:v>
                </c:pt>
                <c:pt idx="126">
                  <c:v>11.06</c:v>
                </c:pt>
                <c:pt idx="127">
                  <c:v>7.8212290502793298</c:v>
                </c:pt>
                <c:pt idx="128">
                  <c:v>7.8212290502793298</c:v>
                </c:pt>
                <c:pt idx="129">
                  <c:v>7.8212290502793298</c:v>
                </c:pt>
                <c:pt idx="130">
                  <c:v>7.8212290502793298</c:v>
                </c:pt>
                <c:pt idx="131">
                  <c:v>7.8212290502793298</c:v>
                </c:pt>
                <c:pt idx="132">
                  <c:v>10.94</c:v>
                </c:pt>
                <c:pt idx="133">
                  <c:v>10.83</c:v>
                </c:pt>
                <c:pt idx="134">
                  <c:v>10.58</c:v>
                </c:pt>
                <c:pt idx="135">
                  <c:v>10.5</c:v>
                </c:pt>
                <c:pt idx="136">
                  <c:v>10.35</c:v>
                </c:pt>
                <c:pt idx="137">
                  <c:v>10.33</c:v>
                </c:pt>
                <c:pt idx="138">
                  <c:v>10.33</c:v>
                </c:pt>
                <c:pt idx="139">
                  <c:v>10.29</c:v>
                </c:pt>
                <c:pt idx="140">
                  <c:v>10.25</c:v>
                </c:pt>
                <c:pt idx="141">
                  <c:v>10.130000000000001</c:v>
                </c:pt>
                <c:pt idx="142">
                  <c:v>10.1</c:v>
                </c:pt>
                <c:pt idx="143">
                  <c:v>10.08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9.94</c:v>
                </c:pt>
                <c:pt idx="148">
                  <c:v>9.92</c:v>
                </c:pt>
                <c:pt idx="149">
                  <c:v>9.92</c:v>
                </c:pt>
                <c:pt idx="150">
                  <c:v>9.9</c:v>
                </c:pt>
                <c:pt idx="151">
                  <c:v>9.8800000000000008</c:v>
                </c:pt>
                <c:pt idx="152">
                  <c:v>9.8800000000000008</c:v>
                </c:pt>
                <c:pt idx="153">
                  <c:v>9.8800000000000008</c:v>
                </c:pt>
                <c:pt idx="154">
                  <c:v>9.8800000000000008</c:v>
                </c:pt>
                <c:pt idx="155">
                  <c:v>9.81</c:v>
                </c:pt>
                <c:pt idx="156">
                  <c:v>9.7899999999999991</c:v>
                </c:pt>
                <c:pt idx="157">
                  <c:v>9.77</c:v>
                </c:pt>
                <c:pt idx="158">
                  <c:v>9.75</c:v>
                </c:pt>
                <c:pt idx="159">
                  <c:v>9.75</c:v>
                </c:pt>
                <c:pt idx="160">
                  <c:v>9.69</c:v>
                </c:pt>
                <c:pt idx="161">
                  <c:v>9.69</c:v>
                </c:pt>
                <c:pt idx="162">
                  <c:v>9.69</c:v>
                </c:pt>
                <c:pt idx="163">
                  <c:v>9.66</c:v>
                </c:pt>
                <c:pt idx="164">
                  <c:v>9.6300000000000008</c:v>
                </c:pt>
                <c:pt idx="165">
                  <c:v>9.6</c:v>
                </c:pt>
                <c:pt idx="166">
                  <c:v>9.58</c:v>
                </c:pt>
                <c:pt idx="167">
                  <c:v>9.58</c:v>
                </c:pt>
                <c:pt idx="168">
                  <c:v>9.56</c:v>
                </c:pt>
                <c:pt idx="169">
                  <c:v>9.56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9.4700000000000006</c:v>
                </c:pt>
                <c:pt idx="177">
                  <c:v>9.4600000000000009</c:v>
                </c:pt>
                <c:pt idx="178">
                  <c:v>9.42</c:v>
                </c:pt>
                <c:pt idx="179">
                  <c:v>9.3800000000000008</c:v>
                </c:pt>
                <c:pt idx="180">
                  <c:v>9.3800000000000008</c:v>
                </c:pt>
                <c:pt idx="181">
                  <c:v>9.3800000000000008</c:v>
                </c:pt>
                <c:pt idx="182">
                  <c:v>9.3800000000000008</c:v>
                </c:pt>
                <c:pt idx="183">
                  <c:v>9.33</c:v>
                </c:pt>
                <c:pt idx="184">
                  <c:v>9.33</c:v>
                </c:pt>
                <c:pt idx="185">
                  <c:v>9.31</c:v>
                </c:pt>
                <c:pt idx="186">
                  <c:v>9.25</c:v>
                </c:pt>
                <c:pt idx="187">
                  <c:v>9.25</c:v>
                </c:pt>
                <c:pt idx="188">
                  <c:v>9.25</c:v>
                </c:pt>
                <c:pt idx="189">
                  <c:v>9.25</c:v>
                </c:pt>
                <c:pt idx="190">
                  <c:v>9.19</c:v>
                </c:pt>
                <c:pt idx="191">
                  <c:v>9.19</c:v>
                </c:pt>
                <c:pt idx="192">
                  <c:v>9.19</c:v>
                </c:pt>
                <c:pt idx="193">
                  <c:v>9.17</c:v>
                </c:pt>
                <c:pt idx="194">
                  <c:v>9.1300000000000008</c:v>
                </c:pt>
                <c:pt idx="195">
                  <c:v>9.06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6.061452513966481</c:v>
                </c:pt>
                <c:pt idx="200">
                  <c:v>8.31</c:v>
                </c:pt>
                <c:pt idx="201">
                  <c:v>8.3070866141732296</c:v>
                </c:pt>
                <c:pt idx="202">
                  <c:v>8.3070866141732296</c:v>
                </c:pt>
                <c:pt idx="203">
                  <c:v>8.3070866141732296</c:v>
                </c:pt>
                <c:pt idx="204">
                  <c:v>8.25</c:v>
                </c:pt>
                <c:pt idx="205">
                  <c:v>8.25</c:v>
                </c:pt>
                <c:pt idx="206">
                  <c:v>5.8379888268156428</c:v>
                </c:pt>
                <c:pt idx="207">
                  <c:v>5.6983240223463696</c:v>
                </c:pt>
                <c:pt idx="208">
                  <c:v>8.0314960629921259</c:v>
                </c:pt>
                <c:pt idx="209">
                  <c:v>8</c:v>
                </c:pt>
                <c:pt idx="210">
                  <c:v>6</c:v>
                </c:pt>
                <c:pt idx="211">
                  <c:v>6</c:v>
                </c:pt>
                <c:pt idx="212">
                  <c:v>7.06</c:v>
                </c:pt>
                <c:pt idx="213">
                  <c:v>7.06</c:v>
                </c:pt>
                <c:pt idx="214">
                  <c:v>7</c:v>
                </c:pt>
                <c:pt idx="215">
                  <c:v>6.3385826771653546</c:v>
                </c:pt>
                <c:pt idx="216">
                  <c:v>6.33</c:v>
                </c:pt>
                <c:pt idx="217">
                  <c:v>6.29</c:v>
                </c:pt>
                <c:pt idx="218">
                  <c:v>6.25</c:v>
                </c:pt>
                <c:pt idx="219">
                  <c:v>6.25</c:v>
                </c:pt>
                <c:pt idx="220">
                  <c:v>6.25</c:v>
                </c:pt>
                <c:pt idx="221">
                  <c:v>9.9519999999999982</c:v>
                </c:pt>
                <c:pt idx="222">
                  <c:v>6.21</c:v>
                </c:pt>
                <c:pt idx="223">
                  <c:v>6.19</c:v>
                </c:pt>
                <c:pt idx="224">
                  <c:v>6.16</c:v>
                </c:pt>
                <c:pt idx="225">
                  <c:v>6.13</c:v>
                </c:pt>
                <c:pt idx="226">
                  <c:v>6.13</c:v>
                </c:pt>
                <c:pt idx="227">
                  <c:v>6.0999999999999988</c:v>
                </c:pt>
                <c:pt idx="228">
                  <c:v>6.09</c:v>
                </c:pt>
                <c:pt idx="229">
                  <c:v>9.695999999999998</c:v>
                </c:pt>
                <c:pt idx="230">
                  <c:v>9.6479999999999997</c:v>
                </c:pt>
                <c:pt idx="231">
                  <c:v>6.03</c:v>
                </c:pt>
                <c:pt idx="232">
                  <c:v>9.5999999999999979</c:v>
                </c:pt>
                <c:pt idx="233">
                  <c:v>9.5999999999999979</c:v>
                </c:pt>
                <c:pt idx="234">
                  <c:v>9.5999999999999979</c:v>
                </c:pt>
                <c:pt idx="235">
                  <c:v>5.9999999999999991</c:v>
                </c:pt>
                <c:pt idx="236">
                  <c:v>9.5039999999999996</c:v>
                </c:pt>
                <c:pt idx="237">
                  <c:v>5.63</c:v>
                </c:pt>
                <c:pt idx="238">
                  <c:v>5.5</c:v>
                </c:pt>
                <c:pt idx="239">
                  <c:v>5.5</c:v>
                </c:pt>
                <c:pt idx="240">
                  <c:v>6</c:v>
                </c:pt>
                <c:pt idx="241">
                  <c:v>6</c:v>
                </c:pt>
                <c:pt idx="242">
                  <c:v>8.3040000000000003</c:v>
                </c:pt>
                <c:pt idx="243">
                  <c:v>8.3040000000000003</c:v>
                </c:pt>
                <c:pt idx="244">
                  <c:v>8.24</c:v>
                </c:pt>
                <c:pt idx="245">
                  <c:v>8.0640000000000001</c:v>
                </c:pt>
                <c:pt idx="246">
                  <c:v>8.048</c:v>
                </c:pt>
                <c:pt idx="247">
                  <c:v>8.0319999999999983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7.056</c:v>
                </c:pt>
                <c:pt idx="257">
                  <c:v>6.7519999999999989</c:v>
                </c:pt>
                <c:pt idx="258">
                  <c:v>6.7039999999999997</c:v>
                </c:pt>
                <c:pt idx="259">
                  <c:v>6.6559999999999997</c:v>
                </c:pt>
                <c:pt idx="260">
                  <c:v>6.6079999999999988</c:v>
                </c:pt>
                <c:pt idx="261">
                  <c:v>6.6079999999999988</c:v>
                </c:pt>
                <c:pt idx="262">
                  <c:v>6.6079999999999988</c:v>
                </c:pt>
                <c:pt idx="263">
                  <c:v>6.5439999999999996</c:v>
                </c:pt>
                <c:pt idx="264">
                  <c:v>6.5439999999999996</c:v>
                </c:pt>
                <c:pt idx="265">
                  <c:v>6.4959999999999987</c:v>
                </c:pt>
                <c:pt idx="266">
                  <c:v>6.4959999999999987</c:v>
                </c:pt>
                <c:pt idx="267">
                  <c:v>6.0960000000000001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91">
                  <c:v>8</c:v>
                </c:pt>
                <c:pt idx="292">
                  <c:v>8.3000000000000007</c:v>
                </c:pt>
                <c:pt idx="293">
                  <c:v>8.5</c:v>
                </c:pt>
                <c:pt idx="294">
                  <c:v>7.5</c:v>
                </c:pt>
                <c:pt idx="295">
                  <c:v>7.4</c:v>
                </c:pt>
                <c:pt idx="296">
                  <c:v>7.4</c:v>
                </c:pt>
                <c:pt idx="297">
                  <c:v>7.1</c:v>
                </c:pt>
                <c:pt idx="298">
                  <c:v>7</c:v>
                </c:pt>
                <c:pt idx="299">
                  <c:v>5.9999999999999991</c:v>
                </c:pt>
                <c:pt idx="300">
                  <c:v>5.9999999999999991</c:v>
                </c:pt>
                <c:pt idx="301">
                  <c:v>6.0999999999999988</c:v>
                </c:pt>
                <c:pt idx="302">
                  <c:v>6.0999999999999988</c:v>
                </c:pt>
                <c:pt idx="303">
                  <c:v>6.3</c:v>
                </c:pt>
                <c:pt idx="304">
                  <c:v>6.3</c:v>
                </c:pt>
                <c:pt idx="305">
                  <c:v>6.4</c:v>
                </c:pt>
                <c:pt idx="306">
                  <c:v>6.5</c:v>
                </c:pt>
                <c:pt idx="307">
                  <c:v>6.5</c:v>
                </c:pt>
                <c:pt idx="308">
                  <c:v>6.5</c:v>
                </c:pt>
                <c:pt idx="309">
                  <c:v>6.6</c:v>
                </c:pt>
                <c:pt idx="310">
                  <c:v>6.5</c:v>
                </c:pt>
                <c:pt idx="311">
                  <c:v>6.5</c:v>
                </c:pt>
                <c:pt idx="312">
                  <c:v>6.4</c:v>
                </c:pt>
                <c:pt idx="313">
                  <c:v>8.4</c:v>
                </c:pt>
                <c:pt idx="314">
                  <c:v>6.5</c:v>
                </c:pt>
                <c:pt idx="315">
                  <c:v>6.3</c:v>
                </c:pt>
                <c:pt idx="316">
                  <c:v>6.8000000000000007</c:v>
                </c:pt>
                <c:pt idx="317">
                  <c:v>5.9999999999999991</c:v>
                </c:pt>
                <c:pt idx="318">
                  <c:v>6.0999999999999988</c:v>
                </c:pt>
                <c:pt idx="319">
                  <c:v>6.8000000000000007</c:v>
                </c:pt>
                <c:pt idx="320">
                  <c:v>6.3</c:v>
                </c:pt>
                <c:pt idx="321">
                  <c:v>6.6</c:v>
                </c:pt>
                <c:pt idx="322">
                  <c:v>6.9</c:v>
                </c:pt>
                <c:pt idx="329">
                  <c:v>20</c:v>
                </c:pt>
                <c:pt idx="330">
                  <c:v>20</c:v>
                </c:pt>
                <c:pt idx="331">
                  <c:v>7</c:v>
                </c:pt>
                <c:pt idx="332">
                  <c:v>7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13</c:v>
                </c:pt>
                <c:pt idx="337">
                  <c:v>13</c:v>
                </c:pt>
                <c:pt idx="338">
                  <c:v>13</c:v>
                </c:pt>
                <c:pt idx="339">
                  <c:v>16</c:v>
                </c:pt>
                <c:pt idx="340">
                  <c:v>7</c:v>
                </c:pt>
                <c:pt idx="341">
                  <c:v>7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16</c:v>
                </c:pt>
                <c:pt idx="349">
                  <c:v>20</c:v>
                </c:pt>
                <c:pt idx="350">
                  <c:v>20</c:v>
                </c:pt>
                <c:pt idx="351">
                  <c:v>7</c:v>
                </c:pt>
                <c:pt idx="352">
                  <c:v>10</c:v>
                </c:pt>
                <c:pt idx="353">
                  <c:v>13</c:v>
                </c:pt>
                <c:pt idx="354">
                  <c:v>7</c:v>
                </c:pt>
                <c:pt idx="355">
                  <c:v>10</c:v>
                </c:pt>
                <c:pt idx="356">
                  <c:v>13</c:v>
                </c:pt>
                <c:pt idx="357">
                  <c:v>16</c:v>
                </c:pt>
                <c:pt idx="358">
                  <c:v>16</c:v>
                </c:pt>
                <c:pt idx="359">
                  <c:v>20</c:v>
                </c:pt>
                <c:pt idx="360">
                  <c:v>20</c:v>
                </c:pt>
                <c:pt idx="361">
                  <c:v>23</c:v>
                </c:pt>
                <c:pt idx="362">
                  <c:v>23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</c:numCache>
            </c:numRef>
          </c:xVal>
          <c:yVal>
            <c:numRef>
              <c:f>'headed (2)'!$CV$20:$CV$1282</c:f>
              <c:numCache>
                <c:formatCode>General</c:formatCode>
                <c:ptCount val="1102"/>
                <c:pt idx="0">
                  <c:v>1.3564982372258658</c:v>
                </c:pt>
                <c:pt idx="1">
                  <c:v>1.0825378953499341</c:v>
                </c:pt>
                <c:pt idx="2">
                  <c:v>1.2794913017249394</c:v>
                </c:pt>
                <c:pt idx="3">
                  <c:v>1.7079314414824931</c:v>
                </c:pt>
                <c:pt idx="4">
                  <c:v>1.7079314414824931</c:v>
                </c:pt>
                <c:pt idx="5">
                  <c:v>1.713760559030215</c:v>
                </c:pt>
                <c:pt idx="6">
                  <c:v>1.0888822788843875</c:v>
                </c:pt>
                <c:pt idx="7">
                  <c:v>1.4094913723233622</c:v>
                </c:pt>
                <c:pt idx="8">
                  <c:v>1.030525017017395</c:v>
                </c:pt>
                <c:pt idx="9">
                  <c:v>1.1277553972230727</c:v>
                </c:pt>
                <c:pt idx="10">
                  <c:v>1.0981770978672198</c:v>
                </c:pt>
                <c:pt idx="11">
                  <c:v>0.92876242882583326</c:v>
                </c:pt>
                <c:pt idx="12">
                  <c:v>1.1957499935155482</c:v>
                </c:pt>
                <c:pt idx="13">
                  <c:v>0.78412977643373516</c:v>
                </c:pt>
                <c:pt idx="14">
                  <c:v>1.2458889866861822</c:v>
                </c:pt>
                <c:pt idx="15">
                  <c:v>0.98594819394372424</c:v>
                </c:pt>
                <c:pt idx="16">
                  <c:v>1.3640135061669056</c:v>
                </c:pt>
                <c:pt idx="17">
                  <c:v>1.2391787313228477</c:v>
                </c:pt>
                <c:pt idx="18">
                  <c:v>1.725882500076503</c:v>
                </c:pt>
                <c:pt idx="19">
                  <c:v>1.1827384584448524</c:v>
                </c:pt>
                <c:pt idx="20">
                  <c:v>1.4864627253401679</c:v>
                </c:pt>
                <c:pt idx="21">
                  <c:v>1.3570171756610661</c:v>
                </c:pt>
                <c:pt idx="22">
                  <c:v>1.3843179703848905</c:v>
                </c:pt>
                <c:pt idx="23">
                  <c:v>1.0426934131363037</c:v>
                </c:pt>
                <c:pt idx="24">
                  <c:v>1.1897832755004432</c:v>
                </c:pt>
                <c:pt idx="25">
                  <c:v>1.4395206022092937</c:v>
                </c:pt>
                <c:pt idx="26">
                  <c:v>0.34661938060379976</c:v>
                </c:pt>
                <c:pt idx="27">
                  <c:v>1.5403477162307675</c:v>
                </c:pt>
                <c:pt idx="28">
                  <c:v>1.2208596095211808</c:v>
                </c:pt>
                <c:pt idx="29">
                  <c:v>0.83585626412376812</c:v>
                </c:pt>
                <c:pt idx="30">
                  <c:v>1.5694434629296043</c:v>
                </c:pt>
                <c:pt idx="31">
                  <c:v>0.69664976517292798</c:v>
                </c:pt>
                <c:pt idx="32">
                  <c:v>0.85659529371851961</c:v>
                </c:pt>
                <c:pt idx="33">
                  <c:v>1.4241940133982856</c:v>
                </c:pt>
                <c:pt idx="34">
                  <c:v>0.99373675554928043</c:v>
                </c:pt>
                <c:pt idx="35">
                  <c:v>0.99373675554928043</c:v>
                </c:pt>
                <c:pt idx="36">
                  <c:v>1.0908038636893671</c:v>
                </c:pt>
                <c:pt idx="37">
                  <c:v>1.0908038636893671</c:v>
                </c:pt>
                <c:pt idx="38">
                  <c:v>1.2318345691778092</c:v>
                </c:pt>
                <c:pt idx="39">
                  <c:v>1.2318345691778092</c:v>
                </c:pt>
                <c:pt idx="40">
                  <c:v>0.53774723965388971</c:v>
                </c:pt>
                <c:pt idx="41">
                  <c:v>0.5342286604936749</c:v>
                </c:pt>
                <c:pt idx="42">
                  <c:v>0.9737603915445785</c:v>
                </c:pt>
                <c:pt idx="43">
                  <c:v>1.0348011851555312</c:v>
                </c:pt>
                <c:pt idx="44">
                  <c:v>0.75924280927749677</c:v>
                </c:pt>
                <c:pt idx="45">
                  <c:v>1.5655798326009769</c:v>
                </c:pt>
                <c:pt idx="46">
                  <c:v>1.3165021171618716</c:v>
                </c:pt>
                <c:pt idx="47">
                  <c:v>0.74018668744226179</c:v>
                </c:pt>
                <c:pt idx="48">
                  <c:v>0.74018668744226179</c:v>
                </c:pt>
                <c:pt idx="49">
                  <c:v>0.90484340828935073</c:v>
                </c:pt>
                <c:pt idx="50">
                  <c:v>0.90484340828935073</c:v>
                </c:pt>
                <c:pt idx="51">
                  <c:v>1.1486634883673195</c:v>
                </c:pt>
                <c:pt idx="52">
                  <c:v>1.1486634883673195</c:v>
                </c:pt>
                <c:pt idx="53">
                  <c:v>1.2278134241721037</c:v>
                </c:pt>
                <c:pt idx="54">
                  <c:v>1.1607520360147285</c:v>
                </c:pt>
                <c:pt idx="55">
                  <c:v>0.5379511912567736</c:v>
                </c:pt>
                <c:pt idx="56">
                  <c:v>0.44995900132926242</c:v>
                </c:pt>
                <c:pt idx="57">
                  <c:v>0.60989160828240396</c:v>
                </c:pt>
                <c:pt idx="58">
                  <c:v>0.79714874635462929</c:v>
                </c:pt>
                <c:pt idx="59">
                  <c:v>0.3406160978101801</c:v>
                </c:pt>
                <c:pt idx="60">
                  <c:v>0.79965874804680204</c:v>
                </c:pt>
                <c:pt idx="61">
                  <c:v>0.6575621344835334</c:v>
                </c:pt>
                <c:pt idx="62">
                  <c:v>0.66276113614729903</c:v>
                </c:pt>
                <c:pt idx="63">
                  <c:v>0.50958151653858841</c:v>
                </c:pt>
                <c:pt idx="64">
                  <c:v>0.49783010673441874</c:v>
                </c:pt>
                <c:pt idx="65">
                  <c:v>0.64880283352095725</c:v>
                </c:pt>
                <c:pt idx="66">
                  <c:v>0.70747117484998001</c:v>
                </c:pt>
                <c:pt idx="67">
                  <c:v>0.53274470935221885</c:v>
                </c:pt>
                <c:pt idx="68">
                  <c:v>0.59847188698183496</c:v>
                </c:pt>
                <c:pt idx="69">
                  <c:v>1.0844496648388597</c:v>
                </c:pt>
                <c:pt idx="70">
                  <c:v>1.286108770983347</c:v>
                </c:pt>
                <c:pt idx="71">
                  <c:v>0.73356045990636276</c:v>
                </c:pt>
                <c:pt idx="72">
                  <c:v>1.1153185331872824</c:v>
                </c:pt>
                <c:pt idx="73">
                  <c:v>0.74207568066944496</c:v>
                </c:pt>
                <c:pt idx="74">
                  <c:v>1.1480565833145751</c:v>
                </c:pt>
                <c:pt idx="75">
                  <c:v>1.120617834841011</c:v>
                </c:pt>
                <c:pt idx="76">
                  <c:v>1.3627342427712779</c:v>
                </c:pt>
                <c:pt idx="77">
                  <c:v>1.0113237551807197</c:v>
                </c:pt>
                <c:pt idx="78">
                  <c:v>0.84984536998681193</c:v>
                </c:pt>
                <c:pt idx="79">
                  <c:v>1.2311656641884943</c:v>
                </c:pt>
                <c:pt idx="80">
                  <c:v>0.96270814852336062</c:v>
                </c:pt>
                <c:pt idx="81">
                  <c:v>1.2275258020375239</c:v>
                </c:pt>
                <c:pt idx="82">
                  <c:v>1.2988441374566582</c:v>
                </c:pt>
                <c:pt idx="83">
                  <c:v>1.5116668594823293</c:v>
                </c:pt>
                <c:pt idx="84">
                  <c:v>0.76743593066722315</c:v>
                </c:pt>
                <c:pt idx="85">
                  <c:v>0.89380352149223619</c:v>
                </c:pt>
                <c:pt idx="86">
                  <c:v>1.2037060430031272</c:v>
                </c:pt>
                <c:pt idx="87">
                  <c:v>0.97623728551679267</c:v>
                </c:pt>
                <c:pt idx="88">
                  <c:v>1.20136195127303</c:v>
                </c:pt>
                <c:pt idx="89">
                  <c:v>0.79577622498559542</c:v>
                </c:pt>
                <c:pt idx="90">
                  <c:v>1.4554882873727251</c:v>
                </c:pt>
                <c:pt idx="91">
                  <c:v>0.87004023622459381</c:v>
                </c:pt>
                <c:pt idx="92">
                  <c:v>1.0571790917983603</c:v>
                </c:pt>
                <c:pt idx="93">
                  <c:v>1.6652174139737159</c:v>
                </c:pt>
                <c:pt idx="94">
                  <c:v>1.3545925525527256</c:v>
                </c:pt>
                <c:pt idx="95">
                  <c:v>1.1361105927087192</c:v>
                </c:pt>
                <c:pt idx="96">
                  <c:v>0.67150740811789156</c:v>
                </c:pt>
                <c:pt idx="97">
                  <c:v>1.2892640281505934</c:v>
                </c:pt>
                <c:pt idx="98">
                  <c:v>0.76487499850326324</c:v>
                </c:pt>
                <c:pt idx="99">
                  <c:v>0.37461773422610073</c:v>
                </c:pt>
                <c:pt idx="100">
                  <c:v>0.67444137681039384</c:v>
                </c:pt>
                <c:pt idx="101">
                  <c:v>0.68298923262112032</c:v>
                </c:pt>
                <c:pt idx="102">
                  <c:v>0.66616304477937771</c:v>
                </c:pt>
                <c:pt idx="103">
                  <c:v>1.1086962907496114</c:v>
                </c:pt>
                <c:pt idx="104">
                  <c:v>0.60498251517291257</c:v>
                </c:pt>
                <c:pt idx="105">
                  <c:v>1.1090994673594974</c:v>
                </c:pt>
                <c:pt idx="106">
                  <c:v>0.48810110256896716</c:v>
                </c:pt>
                <c:pt idx="107">
                  <c:v>0.65494056852337501</c:v>
                </c:pt>
                <c:pt idx="108">
                  <c:v>0.79853904935095166</c:v>
                </c:pt>
                <c:pt idx="109">
                  <c:v>1.0189518781041382</c:v>
                </c:pt>
                <c:pt idx="110">
                  <c:v>0.5200351608810676</c:v>
                </c:pt>
                <c:pt idx="111">
                  <c:v>1.1959371887849268</c:v>
                </c:pt>
                <c:pt idx="112">
                  <c:v>0.85652179496619263</c:v>
                </c:pt>
                <c:pt idx="113">
                  <c:v>0.66010873732007236</c:v>
                </c:pt>
                <c:pt idx="114">
                  <c:v>0.69322407599081759</c:v>
                </c:pt>
                <c:pt idx="115">
                  <c:v>0.41793296290343485</c:v>
                </c:pt>
                <c:pt idx="116">
                  <c:v>0.90312510104777988</c:v>
                </c:pt>
                <c:pt idx="117">
                  <c:v>1.2051301348381576</c:v>
                </c:pt>
                <c:pt idx="118">
                  <c:v>1.0456058464242541</c:v>
                </c:pt>
                <c:pt idx="119">
                  <c:v>0.94434196074609311</c:v>
                </c:pt>
                <c:pt idx="120">
                  <c:v>1.6206841797361613</c:v>
                </c:pt>
                <c:pt idx="121">
                  <c:v>1.0632468913492648</c:v>
                </c:pt>
                <c:pt idx="122">
                  <c:v>1.0854292606452445</c:v>
                </c:pt>
                <c:pt idx="123">
                  <c:v>1.2957491504586884</c:v>
                </c:pt>
                <c:pt idx="124">
                  <c:v>1.0809639304684351</c:v>
                </c:pt>
                <c:pt idx="125">
                  <c:v>1.234614567429962</c:v>
                </c:pt>
                <c:pt idx="126">
                  <c:v>1.0359520772360065</c:v>
                </c:pt>
                <c:pt idx="127">
                  <c:v>1.1673908961949973</c:v>
                </c:pt>
                <c:pt idx="128">
                  <c:v>0.93616200442259556</c:v>
                </c:pt>
                <c:pt idx="129">
                  <c:v>1.3402299947705487</c:v>
                </c:pt>
                <c:pt idx="130">
                  <c:v>1.5460337955680008</c:v>
                </c:pt>
                <c:pt idx="131">
                  <c:v>1.150729195314697</c:v>
                </c:pt>
                <c:pt idx="132">
                  <c:v>1.1009675588314105</c:v>
                </c:pt>
                <c:pt idx="133">
                  <c:v>0.77672385358421936</c:v>
                </c:pt>
                <c:pt idx="134">
                  <c:v>0.81746174328873611</c:v>
                </c:pt>
                <c:pt idx="135">
                  <c:v>0.85192180139138174</c:v>
                </c:pt>
                <c:pt idx="136">
                  <c:v>0.80622815303489503</c:v>
                </c:pt>
                <c:pt idx="137">
                  <c:v>0.7586320747468619</c:v>
                </c:pt>
                <c:pt idx="138">
                  <c:v>0.95277592599578431</c:v>
                </c:pt>
                <c:pt idx="139">
                  <c:v>0.85366845179986306</c:v>
                </c:pt>
                <c:pt idx="140">
                  <c:v>0.73385385804964465</c:v>
                </c:pt>
                <c:pt idx="141">
                  <c:v>1.180884224215198</c:v>
                </c:pt>
                <c:pt idx="142">
                  <c:v>1.2145959956381271</c:v>
                </c:pt>
                <c:pt idx="143">
                  <c:v>0.95611409237498801</c:v>
                </c:pt>
                <c:pt idx="144">
                  <c:v>0.69797901215906277</c:v>
                </c:pt>
                <c:pt idx="145">
                  <c:v>0.72046711424605314</c:v>
                </c:pt>
                <c:pt idx="146">
                  <c:v>0.80509042965258459</c:v>
                </c:pt>
                <c:pt idx="147">
                  <c:v>0.90863669033174643</c:v>
                </c:pt>
                <c:pt idx="148">
                  <c:v>0.49066280340487506</c:v>
                </c:pt>
                <c:pt idx="149">
                  <c:v>0.49438820310668369</c:v>
                </c:pt>
                <c:pt idx="150">
                  <c:v>0.4928999465797696</c:v>
                </c:pt>
                <c:pt idx="151">
                  <c:v>0.81662774630172397</c:v>
                </c:pt>
                <c:pt idx="152">
                  <c:v>0.7859933198358483</c:v>
                </c:pt>
                <c:pt idx="153">
                  <c:v>0.61339267247076401</c:v>
                </c:pt>
                <c:pt idx="154">
                  <c:v>0.73416103151904566</c:v>
                </c:pt>
                <c:pt idx="155">
                  <c:v>0.44632318044701325</c:v>
                </c:pt>
                <c:pt idx="156">
                  <c:v>0.71701953337023638</c:v>
                </c:pt>
                <c:pt idx="157">
                  <c:v>0.669304928325827</c:v>
                </c:pt>
                <c:pt idx="158">
                  <c:v>0.57325182832669397</c:v>
                </c:pt>
                <c:pt idx="159">
                  <c:v>0.54367121796819906</c:v>
                </c:pt>
                <c:pt idx="160">
                  <c:v>0.57642292425190167</c:v>
                </c:pt>
                <c:pt idx="161">
                  <c:v>0.54260887003559544</c:v>
                </c:pt>
                <c:pt idx="162">
                  <c:v>0.28765333046043823</c:v>
                </c:pt>
                <c:pt idx="163">
                  <c:v>0.89909960937938926</c:v>
                </c:pt>
                <c:pt idx="164">
                  <c:v>0.57896116065618985</c:v>
                </c:pt>
                <c:pt idx="165">
                  <c:v>0.62160230418122031</c:v>
                </c:pt>
                <c:pt idx="166">
                  <c:v>0.45940995038759902</c:v>
                </c:pt>
                <c:pt idx="167">
                  <c:v>0.4326213705365124</c:v>
                </c:pt>
                <c:pt idx="168">
                  <c:v>1.291398223149377</c:v>
                </c:pt>
                <c:pt idx="169">
                  <c:v>0.98896690726937853</c:v>
                </c:pt>
                <c:pt idx="170">
                  <c:v>0.32199066895060052</c:v>
                </c:pt>
                <c:pt idx="171">
                  <c:v>0.43987521847038291</c:v>
                </c:pt>
                <c:pt idx="172">
                  <c:v>0.31990801144331121</c:v>
                </c:pt>
                <c:pt idx="173">
                  <c:v>1.0675308808670825</c:v>
                </c:pt>
                <c:pt idx="174">
                  <c:v>1.0453690663130164</c:v>
                </c:pt>
                <c:pt idx="175">
                  <c:v>0.50217959988721583</c:v>
                </c:pt>
                <c:pt idx="176">
                  <c:v>0.49914036531945671</c:v>
                </c:pt>
                <c:pt idx="177">
                  <c:v>0.71535247587434603</c:v>
                </c:pt>
                <c:pt idx="178">
                  <c:v>0.40510257215472878</c:v>
                </c:pt>
                <c:pt idx="179">
                  <c:v>0.5244575585719754</c:v>
                </c:pt>
                <c:pt idx="180">
                  <c:v>0.46864687134043465</c:v>
                </c:pt>
                <c:pt idx="181">
                  <c:v>1.0500571164680419</c:v>
                </c:pt>
                <c:pt idx="182">
                  <c:v>0.8432014000061423</c:v>
                </c:pt>
                <c:pt idx="183">
                  <c:v>1.0631873753884515</c:v>
                </c:pt>
                <c:pt idx="184">
                  <c:v>0.63577930885779754</c:v>
                </c:pt>
                <c:pt idx="185">
                  <c:v>1.1452294549129385</c:v>
                </c:pt>
                <c:pt idx="186">
                  <c:v>0.35794457872586288</c:v>
                </c:pt>
                <c:pt idx="187">
                  <c:v>0.99688435001099218</c:v>
                </c:pt>
                <c:pt idx="188">
                  <c:v>1.2821131703909106</c:v>
                </c:pt>
                <c:pt idx="189">
                  <c:v>0.71791639666428142</c:v>
                </c:pt>
                <c:pt idx="190">
                  <c:v>0.47226601043541899</c:v>
                </c:pt>
                <c:pt idx="191">
                  <c:v>1.5989486965805586</c:v>
                </c:pt>
                <c:pt idx="192">
                  <c:v>0.75814578138002153</c:v>
                </c:pt>
                <c:pt idx="193">
                  <c:v>0.99135777498064259</c:v>
                </c:pt>
                <c:pt idx="194">
                  <c:v>0.80819333280719641</c:v>
                </c:pt>
                <c:pt idx="195">
                  <c:v>0.90791333117970996</c:v>
                </c:pt>
                <c:pt idx="196">
                  <c:v>0.77612733545937562</c:v>
                </c:pt>
                <c:pt idx="197">
                  <c:v>0.73254402066519331</c:v>
                </c:pt>
                <c:pt idx="198">
                  <c:v>0.86694554396548273</c:v>
                </c:pt>
                <c:pt idx="199">
                  <c:v>0.35069087787968922</c:v>
                </c:pt>
                <c:pt idx="200">
                  <c:v>0.82553769724572112</c:v>
                </c:pt>
                <c:pt idx="201">
                  <c:v>0.96859314347723358</c:v>
                </c:pt>
                <c:pt idx="202">
                  <c:v>0.84030922499865146</c:v>
                </c:pt>
                <c:pt idx="203">
                  <c:v>0.90909331832794082</c:v>
                </c:pt>
                <c:pt idx="204">
                  <c:v>0.41091602122326432</c:v>
                </c:pt>
                <c:pt idx="205">
                  <c:v>0.49664029362132861</c:v>
                </c:pt>
                <c:pt idx="206">
                  <c:v>1.1245321162479069</c:v>
                </c:pt>
                <c:pt idx="207">
                  <c:v>0.80682929714224561</c:v>
                </c:pt>
                <c:pt idx="208">
                  <c:v>0.8023458423199622</c:v>
                </c:pt>
                <c:pt idx="209">
                  <c:v>1.0025651410576439</c:v>
                </c:pt>
                <c:pt idx="210">
                  <c:v>0.82990690567027392</c:v>
                </c:pt>
                <c:pt idx="211">
                  <c:v>0.83860613948233131</c:v>
                </c:pt>
                <c:pt idx="212">
                  <c:v>0.27806290348537888</c:v>
                </c:pt>
                <c:pt idx="213">
                  <c:v>0.36370914366668056</c:v>
                </c:pt>
                <c:pt idx="214">
                  <c:v>0.23714039746372731</c:v>
                </c:pt>
                <c:pt idx="215">
                  <c:v>0.31790927090443977</c:v>
                </c:pt>
                <c:pt idx="216">
                  <c:v>0.47739495721251607</c:v>
                </c:pt>
                <c:pt idx="217">
                  <c:v>0.75241129452250288</c:v>
                </c:pt>
                <c:pt idx="218">
                  <c:v>0.48850410476532213</c:v>
                </c:pt>
                <c:pt idx="219">
                  <c:v>0.57441747158643486</c:v>
                </c:pt>
                <c:pt idx="220">
                  <c:v>0.95552213561783861</c:v>
                </c:pt>
                <c:pt idx="221">
                  <c:v>0.70195438626366125</c:v>
                </c:pt>
                <c:pt idx="222">
                  <c:v>0.30623753916933311</c:v>
                </c:pt>
                <c:pt idx="223">
                  <c:v>0.52039815711170379</c:v>
                </c:pt>
                <c:pt idx="224">
                  <c:v>0.72668089753626275</c:v>
                </c:pt>
                <c:pt idx="225">
                  <c:v>0.41214381234063702</c:v>
                </c:pt>
                <c:pt idx="226">
                  <c:v>0.35037218833658679</c:v>
                </c:pt>
                <c:pt idx="227">
                  <c:v>0.7635698161114719</c:v>
                </c:pt>
                <c:pt idx="228">
                  <c:v>0.52668416203155555</c:v>
                </c:pt>
                <c:pt idx="229">
                  <c:v>1.4676385799383138</c:v>
                </c:pt>
                <c:pt idx="230">
                  <c:v>0.37950693499442612</c:v>
                </c:pt>
                <c:pt idx="231">
                  <c:v>0.51638109101570362</c:v>
                </c:pt>
                <c:pt idx="232">
                  <c:v>1.1047126070269926</c:v>
                </c:pt>
                <c:pt idx="233">
                  <c:v>1.280628927387689</c:v>
                </c:pt>
                <c:pt idx="234">
                  <c:v>0.62050244700404289</c:v>
                </c:pt>
                <c:pt idx="235">
                  <c:v>0.82075602055380337</c:v>
                </c:pt>
                <c:pt idx="236">
                  <c:v>0.92432247546723945</c:v>
                </c:pt>
                <c:pt idx="237">
                  <c:v>0.33217224555956837</c:v>
                </c:pt>
                <c:pt idx="238">
                  <c:v>0.27235882594617306</c:v>
                </c:pt>
                <c:pt idx="239">
                  <c:v>0.40190648659950207</c:v>
                </c:pt>
                <c:pt idx="240">
                  <c:v>0.84672542437358489</c:v>
                </c:pt>
                <c:pt idx="241">
                  <c:v>0.84846527113599635</c:v>
                </c:pt>
                <c:pt idx="242">
                  <c:v>0.57924197602338701</c:v>
                </c:pt>
                <c:pt idx="243">
                  <c:v>1.0608164855263091</c:v>
                </c:pt>
                <c:pt idx="244">
                  <c:v>0.66189035654118</c:v>
                </c:pt>
                <c:pt idx="245">
                  <c:v>0.52894243541533204</c:v>
                </c:pt>
                <c:pt idx="246">
                  <c:v>0.69335828153035006</c:v>
                </c:pt>
                <c:pt idx="247">
                  <c:v>0.73841264422949071</c:v>
                </c:pt>
                <c:pt idx="248">
                  <c:v>0.84714967990618539</c:v>
                </c:pt>
                <c:pt idx="249">
                  <c:v>0.84355498536627227</c:v>
                </c:pt>
                <c:pt idx="250">
                  <c:v>0.66294257619842423</c:v>
                </c:pt>
                <c:pt idx="251">
                  <c:v>0.65883059605660077</c:v>
                </c:pt>
                <c:pt idx="252">
                  <c:v>0.86751961563235958</c:v>
                </c:pt>
                <c:pt idx="253">
                  <c:v>0.86572226836240296</c:v>
                </c:pt>
                <c:pt idx="254">
                  <c:v>0.48047226670328519</c:v>
                </c:pt>
                <c:pt idx="255">
                  <c:v>0.50817833171756221</c:v>
                </c:pt>
                <c:pt idx="256">
                  <c:v>0.5633106192111631</c:v>
                </c:pt>
                <c:pt idx="257">
                  <c:v>0.5908614973408699</c:v>
                </c:pt>
                <c:pt idx="258">
                  <c:v>0.72138824438006166</c:v>
                </c:pt>
                <c:pt idx="259">
                  <c:v>0.90146916130082411</c:v>
                </c:pt>
                <c:pt idx="260">
                  <c:v>0.27663125137739181</c:v>
                </c:pt>
                <c:pt idx="261">
                  <c:v>0.48120655876859975</c:v>
                </c:pt>
                <c:pt idx="262">
                  <c:v>0.34891933006853126</c:v>
                </c:pt>
                <c:pt idx="263">
                  <c:v>0.55887635658398238</c:v>
                </c:pt>
                <c:pt idx="264">
                  <c:v>0.30905277621926552</c:v>
                </c:pt>
                <c:pt idx="265">
                  <c:v>0.84814643886623231</c:v>
                </c:pt>
                <c:pt idx="266">
                  <c:v>0.42358808752356875</c:v>
                </c:pt>
                <c:pt idx="267">
                  <c:v>0.68470929712525452</c:v>
                </c:pt>
                <c:pt idx="268">
                  <c:v>0.80281511391392391</c:v>
                </c:pt>
                <c:pt idx="269">
                  <c:v>0.8369647120430983</c:v>
                </c:pt>
                <c:pt idx="270">
                  <c:v>0.6624856895159994</c:v>
                </c:pt>
                <c:pt idx="271">
                  <c:v>0.65060663577295397</c:v>
                </c:pt>
                <c:pt idx="272">
                  <c:v>0.86392492109244645</c:v>
                </c:pt>
                <c:pt idx="273">
                  <c:v>0.86152845806583767</c:v>
                </c:pt>
                <c:pt idx="274">
                  <c:v>0.59445291391391852</c:v>
                </c:pt>
                <c:pt idx="275">
                  <c:v>0.58673730087196796</c:v>
                </c:pt>
                <c:pt idx="369">
                  <c:v>0.59445291391391852</c:v>
                </c:pt>
                <c:pt idx="370">
                  <c:v>0.58673730087196796</c:v>
                </c:pt>
                <c:pt idx="371">
                  <c:v>0.48047226670328519</c:v>
                </c:pt>
                <c:pt idx="372">
                  <c:v>0.50817833171756221</c:v>
                </c:pt>
                <c:pt idx="373">
                  <c:v>0.80281511391392391</c:v>
                </c:pt>
                <c:pt idx="374">
                  <c:v>0.8369647120430983</c:v>
                </c:pt>
                <c:pt idx="375">
                  <c:v>0.6624856895159994</c:v>
                </c:pt>
                <c:pt idx="376">
                  <c:v>0.65060663577295397</c:v>
                </c:pt>
                <c:pt idx="377">
                  <c:v>0.86392492109244645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3C-4994-96E4-7AB0E64AAE7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1-373C-4994-96E4-7AB0E64AA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42208"/>
        <c:axId val="130143744"/>
      </c:scatterChart>
      <c:valAx>
        <c:axId val="1301422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3744"/>
        <c:crosses val="autoZero"/>
        <c:crossBetween val="midCat"/>
      </c:valAx>
      <c:valAx>
        <c:axId val="130143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22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'headed (2)'!$P$105:$P$147</c:f>
            </c:numRef>
          </c:xVal>
          <c:yVal>
            <c:numRef>
              <c:f>'headed (2)'!$CY$105:$CY$147</c:f>
            </c:numRef>
          </c:yVal>
          <c:smooth val="0"/>
          <c:extLst>
            <c:ext xmlns:c16="http://schemas.microsoft.com/office/drawing/2014/chart" uri="{C3380CC4-5D6E-409C-BE32-E72D297353CC}">
              <c16:uniqueId val="{00000000-46EA-4F49-A4F7-5EDA2EB93D45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EA-4F49-A4F7-5EDA2EB93D45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(2)'!$P$154:$P$548</c:f>
              <c:numCache>
                <c:formatCode>General</c:formatCode>
                <c:ptCount val="368"/>
                <c:pt idx="0">
                  <c:v>16</c:v>
                </c:pt>
                <c:pt idx="1">
                  <c:v>16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13.921985815602838</c:v>
                </c:pt>
                <c:pt idx="19">
                  <c:v>13.829787234042554</c:v>
                </c:pt>
                <c:pt idx="20">
                  <c:v>13.787234042553195</c:v>
                </c:pt>
                <c:pt idx="21">
                  <c:v>13.744680851063832</c:v>
                </c:pt>
                <c:pt idx="22">
                  <c:v>13.744680851063832</c:v>
                </c:pt>
                <c:pt idx="23">
                  <c:v>13.680851063829788</c:v>
                </c:pt>
                <c:pt idx="24">
                  <c:v>13.652482269503549</c:v>
                </c:pt>
                <c:pt idx="25">
                  <c:v>13.567375886524824</c:v>
                </c:pt>
                <c:pt idx="26">
                  <c:v>8.3595113438045381</c:v>
                </c:pt>
                <c:pt idx="27">
                  <c:v>12.368794326241137</c:v>
                </c:pt>
                <c:pt idx="28">
                  <c:v>12.234042553191491</c:v>
                </c:pt>
                <c:pt idx="29">
                  <c:v>12.148936170212767</c:v>
                </c:pt>
                <c:pt idx="30">
                  <c:v>12.067039106145252</c:v>
                </c:pt>
                <c:pt idx="31">
                  <c:v>12.056737588652483</c:v>
                </c:pt>
                <c:pt idx="32">
                  <c:v>12.014184397163124</c:v>
                </c:pt>
                <c:pt idx="33">
                  <c:v>12.014184397163124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12.000000000000004</c:v>
                </c:pt>
                <c:pt idx="41">
                  <c:v>12.000000000000004</c:v>
                </c:pt>
                <c:pt idx="42">
                  <c:v>11.921985815602838</c:v>
                </c:pt>
                <c:pt idx="43">
                  <c:v>11.921985815602838</c:v>
                </c:pt>
                <c:pt idx="44">
                  <c:v>11.879432624113477</c:v>
                </c:pt>
                <c:pt idx="45">
                  <c:v>11.858156028368795</c:v>
                </c:pt>
                <c:pt idx="46">
                  <c:v>11.744680851063832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15.749999999999998</c:v>
                </c:pt>
                <c:pt idx="54">
                  <c:v>15.28</c:v>
                </c:pt>
                <c:pt idx="55">
                  <c:v>10.581560283687944</c:v>
                </c:pt>
                <c:pt idx="56">
                  <c:v>10.43262411347518</c:v>
                </c:pt>
                <c:pt idx="57">
                  <c:v>10.418439716312058</c:v>
                </c:pt>
                <c:pt idx="58">
                  <c:v>10.418439716312058</c:v>
                </c:pt>
                <c:pt idx="59">
                  <c:v>10.375886524822697</c:v>
                </c:pt>
                <c:pt idx="60">
                  <c:v>10.375886524822697</c:v>
                </c:pt>
                <c:pt idx="61">
                  <c:v>14.58</c:v>
                </c:pt>
                <c:pt idx="62">
                  <c:v>14.58</c:v>
                </c:pt>
                <c:pt idx="63">
                  <c:v>10.312056737588653</c:v>
                </c:pt>
                <c:pt idx="64">
                  <c:v>10.312056737588653</c:v>
                </c:pt>
                <c:pt idx="65">
                  <c:v>14.54</c:v>
                </c:pt>
                <c:pt idx="66">
                  <c:v>14.54</c:v>
                </c:pt>
                <c:pt idx="67">
                  <c:v>10.283687943262413</c:v>
                </c:pt>
                <c:pt idx="68">
                  <c:v>10.283687943262413</c:v>
                </c:pt>
                <c:pt idx="69">
                  <c:v>14.499999999999998</c:v>
                </c:pt>
                <c:pt idx="70">
                  <c:v>14.499999999999998</c:v>
                </c:pt>
                <c:pt idx="71">
                  <c:v>14.42</c:v>
                </c:pt>
                <c:pt idx="72">
                  <c:v>14.42</c:v>
                </c:pt>
                <c:pt idx="73">
                  <c:v>14.38</c:v>
                </c:pt>
                <c:pt idx="74">
                  <c:v>14.38</c:v>
                </c:pt>
                <c:pt idx="75">
                  <c:v>14.38</c:v>
                </c:pt>
                <c:pt idx="76">
                  <c:v>14.38</c:v>
                </c:pt>
                <c:pt idx="77">
                  <c:v>14.35</c:v>
                </c:pt>
                <c:pt idx="78">
                  <c:v>14.299999999999999</c:v>
                </c:pt>
                <c:pt idx="79">
                  <c:v>14.27</c:v>
                </c:pt>
                <c:pt idx="80">
                  <c:v>14.25</c:v>
                </c:pt>
                <c:pt idx="81">
                  <c:v>14.25</c:v>
                </c:pt>
                <c:pt idx="82">
                  <c:v>14.13</c:v>
                </c:pt>
                <c:pt idx="83">
                  <c:v>14.09</c:v>
                </c:pt>
                <c:pt idx="84">
                  <c:v>14.080000000000002</c:v>
                </c:pt>
                <c:pt idx="85">
                  <c:v>14.059999999999999</c:v>
                </c:pt>
                <c:pt idx="86">
                  <c:v>9.9441340782122918</c:v>
                </c:pt>
                <c:pt idx="87">
                  <c:v>12.66</c:v>
                </c:pt>
                <c:pt idx="88">
                  <c:v>12.590000000000002</c:v>
                </c:pt>
                <c:pt idx="89">
                  <c:v>8.9078014184397176</c:v>
                </c:pt>
                <c:pt idx="90">
                  <c:v>12.56</c:v>
                </c:pt>
                <c:pt idx="91">
                  <c:v>8.8652482269503565</c:v>
                </c:pt>
                <c:pt idx="92">
                  <c:v>12.5</c:v>
                </c:pt>
                <c:pt idx="93">
                  <c:v>12.439999999999998</c:v>
                </c:pt>
                <c:pt idx="94">
                  <c:v>12.38</c:v>
                </c:pt>
                <c:pt idx="95">
                  <c:v>12.31</c:v>
                </c:pt>
                <c:pt idx="96">
                  <c:v>12.21</c:v>
                </c:pt>
                <c:pt idx="97">
                  <c:v>12.19</c:v>
                </c:pt>
                <c:pt idx="98">
                  <c:v>12.17</c:v>
                </c:pt>
                <c:pt idx="99">
                  <c:v>12.17</c:v>
                </c:pt>
                <c:pt idx="100">
                  <c:v>8.6028368794326244</c:v>
                </c:pt>
                <c:pt idx="101">
                  <c:v>12.129999999999999</c:v>
                </c:pt>
                <c:pt idx="102">
                  <c:v>8.6028368794326244</c:v>
                </c:pt>
                <c:pt idx="103">
                  <c:v>8.5744680851063837</c:v>
                </c:pt>
                <c:pt idx="104">
                  <c:v>12.06</c:v>
                </c:pt>
                <c:pt idx="105">
                  <c:v>12.06</c:v>
                </c:pt>
                <c:pt idx="106">
                  <c:v>12.04</c:v>
                </c:pt>
                <c:pt idx="107">
                  <c:v>12.03</c:v>
                </c:pt>
                <c:pt idx="108">
                  <c:v>8.5106382978723403</c:v>
                </c:pt>
                <c:pt idx="109">
                  <c:v>8.5106382978723403</c:v>
                </c:pt>
                <c:pt idx="110">
                  <c:v>11.999999999999998</c:v>
                </c:pt>
                <c:pt idx="111">
                  <c:v>11.999999999999998</c:v>
                </c:pt>
                <c:pt idx="112">
                  <c:v>11.97</c:v>
                </c:pt>
                <c:pt idx="113">
                  <c:v>11.95</c:v>
                </c:pt>
                <c:pt idx="114">
                  <c:v>11.9</c:v>
                </c:pt>
                <c:pt idx="115">
                  <c:v>11.88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11.299212598425198</c:v>
                </c:pt>
                <c:pt idx="120">
                  <c:v>11.299212598425198</c:v>
                </c:pt>
                <c:pt idx="121">
                  <c:v>11.25</c:v>
                </c:pt>
                <c:pt idx="122">
                  <c:v>7.9608938547486039</c:v>
                </c:pt>
                <c:pt idx="123">
                  <c:v>7.9608938547486039</c:v>
                </c:pt>
                <c:pt idx="124">
                  <c:v>7.9608938547486039</c:v>
                </c:pt>
                <c:pt idx="125">
                  <c:v>11.13</c:v>
                </c:pt>
                <c:pt idx="126">
                  <c:v>11.06</c:v>
                </c:pt>
                <c:pt idx="127">
                  <c:v>7.8212290502793298</c:v>
                </c:pt>
                <c:pt idx="128">
                  <c:v>7.8212290502793298</c:v>
                </c:pt>
                <c:pt idx="129">
                  <c:v>7.8212290502793298</c:v>
                </c:pt>
                <c:pt idx="130">
                  <c:v>7.8212290502793298</c:v>
                </c:pt>
                <c:pt idx="131">
                  <c:v>7.8212290502793298</c:v>
                </c:pt>
                <c:pt idx="132">
                  <c:v>10.94</c:v>
                </c:pt>
                <c:pt idx="133">
                  <c:v>10.83</c:v>
                </c:pt>
                <c:pt idx="134">
                  <c:v>10.58</c:v>
                </c:pt>
                <c:pt idx="135">
                  <c:v>10.5</c:v>
                </c:pt>
                <c:pt idx="136">
                  <c:v>10.35</c:v>
                </c:pt>
                <c:pt idx="137">
                  <c:v>10.33</c:v>
                </c:pt>
                <c:pt idx="138">
                  <c:v>10.33</c:v>
                </c:pt>
                <c:pt idx="139">
                  <c:v>10.29</c:v>
                </c:pt>
                <c:pt idx="140">
                  <c:v>10.25</c:v>
                </c:pt>
                <c:pt idx="141">
                  <c:v>10.130000000000001</c:v>
                </c:pt>
                <c:pt idx="142">
                  <c:v>10.1</c:v>
                </c:pt>
                <c:pt idx="143">
                  <c:v>10.08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9.94</c:v>
                </c:pt>
                <c:pt idx="148">
                  <c:v>9.92</c:v>
                </c:pt>
                <c:pt idx="149">
                  <c:v>9.92</c:v>
                </c:pt>
                <c:pt idx="150">
                  <c:v>9.9</c:v>
                </c:pt>
                <c:pt idx="151">
                  <c:v>9.8800000000000008</c:v>
                </c:pt>
                <c:pt idx="152">
                  <c:v>9.8800000000000008</c:v>
                </c:pt>
                <c:pt idx="153">
                  <c:v>9.8800000000000008</c:v>
                </c:pt>
                <c:pt idx="154">
                  <c:v>9.8800000000000008</c:v>
                </c:pt>
                <c:pt idx="155">
                  <c:v>9.81</c:v>
                </c:pt>
                <c:pt idx="156">
                  <c:v>9.7899999999999991</c:v>
                </c:pt>
                <c:pt idx="157">
                  <c:v>9.77</c:v>
                </c:pt>
                <c:pt idx="158">
                  <c:v>9.75</c:v>
                </c:pt>
                <c:pt idx="159">
                  <c:v>9.75</c:v>
                </c:pt>
                <c:pt idx="160">
                  <c:v>9.69</c:v>
                </c:pt>
                <c:pt idx="161">
                  <c:v>9.69</c:v>
                </c:pt>
                <c:pt idx="162">
                  <c:v>9.69</c:v>
                </c:pt>
                <c:pt idx="163">
                  <c:v>9.66</c:v>
                </c:pt>
                <c:pt idx="164">
                  <c:v>9.6300000000000008</c:v>
                </c:pt>
                <c:pt idx="165">
                  <c:v>9.6</c:v>
                </c:pt>
                <c:pt idx="166">
                  <c:v>9.58</c:v>
                </c:pt>
                <c:pt idx="167">
                  <c:v>9.58</c:v>
                </c:pt>
                <c:pt idx="168">
                  <c:v>9.56</c:v>
                </c:pt>
                <c:pt idx="169">
                  <c:v>9.56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9.4700000000000006</c:v>
                </c:pt>
                <c:pt idx="177">
                  <c:v>9.4600000000000009</c:v>
                </c:pt>
                <c:pt idx="178">
                  <c:v>9.42</c:v>
                </c:pt>
                <c:pt idx="179">
                  <c:v>9.3800000000000008</c:v>
                </c:pt>
                <c:pt idx="180">
                  <c:v>9.3800000000000008</c:v>
                </c:pt>
                <c:pt idx="181">
                  <c:v>9.3800000000000008</c:v>
                </c:pt>
                <c:pt idx="182">
                  <c:v>9.3800000000000008</c:v>
                </c:pt>
                <c:pt idx="183">
                  <c:v>9.33</c:v>
                </c:pt>
                <c:pt idx="184">
                  <c:v>9.33</c:v>
                </c:pt>
                <c:pt idx="185">
                  <c:v>9.31</c:v>
                </c:pt>
                <c:pt idx="186">
                  <c:v>9.25</c:v>
                </c:pt>
                <c:pt idx="187">
                  <c:v>9.25</c:v>
                </c:pt>
                <c:pt idx="188">
                  <c:v>9.25</c:v>
                </c:pt>
                <c:pt idx="189">
                  <c:v>9.25</c:v>
                </c:pt>
                <c:pt idx="190">
                  <c:v>9.19</c:v>
                </c:pt>
                <c:pt idx="191">
                  <c:v>9.19</c:v>
                </c:pt>
                <c:pt idx="192">
                  <c:v>9.19</c:v>
                </c:pt>
                <c:pt idx="193">
                  <c:v>9.17</c:v>
                </c:pt>
                <c:pt idx="194">
                  <c:v>9.1300000000000008</c:v>
                </c:pt>
                <c:pt idx="195">
                  <c:v>9.06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6.061452513966481</c:v>
                </c:pt>
                <c:pt idx="200">
                  <c:v>8.31</c:v>
                </c:pt>
                <c:pt idx="201">
                  <c:v>8.3070866141732296</c:v>
                </c:pt>
                <c:pt idx="202">
                  <c:v>8.3070866141732296</c:v>
                </c:pt>
                <c:pt idx="203">
                  <c:v>8.3070866141732296</c:v>
                </c:pt>
                <c:pt idx="204">
                  <c:v>8.25</c:v>
                </c:pt>
                <c:pt idx="205">
                  <c:v>8.25</c:v>
                </c:pt>
                <c:pt idx="206">
                  <c:v>5.8379888268156428</c:v>
                </c:pt>
                <c:pt idx="207">
                  <c:v>5.6983240223463696</c:v>
                </c:pt>
                <c:pt idx="208">
                  <c:v>8.0314960629921259</c:v>
                </c:pt>
                <c:pt idx="209">
                  <c:v>8</c:v>
                </c:pt>
                <c:pt idx="210">
                  <c:v>6</c:v>
                </c:pt>
                <c:pt idx="211">
                  <c:v>6</c:v>
                </c:pt>
                <c:pt idx="212">
                  <c:v>7.06</c:v>
                </c:pt>
                <c:pt idx="213">
                  <c:v>7.06</c:v>
                </c:pt>
                <c:pt idx="214">
                  <c:v>7</c:v>
                </c:pt>
                <c:pt idx="215">
                  <c:v>6.3385826771653546</c:v>
                </c:pt>
                <c:pt idx="216">
                  <c:v>6.33</c:v>
                </c:pt>
                <c:pt idx="217">
                  <c:v>6.29</c:v>
                </c:pt>
                <c:pt idx="218">
                  <c:v>6.25</c:v>
                </c:pt>
                <c:pt idx="219">
                  <c:v>6.25</c:v>
                </c:pt>
                <c:pt idx="220">
                  <c:v>6.25</c:v>
                </c:pt>
                <c:pt idx="221">
                  <c:v>9.9519999999999982</c:v>
                </c:pt>
                <c:pt idx="222">
                  <c:v>6.21</c:v>
                </c:pt>
                <c:pt idx="223">
                  <c:v>6.19</c:v>
                </c:pt>
                <c:pt idx="224">
                  <c:v>6.16</c:v>
                </c:pt>
                <c:pt idx="225">
                  <c:v>6.13</c:v>
                </c:pt>
                <c:pt idx="226">
                  <c:v>6.13</c:v>
                </c:pt>
                <c:pt idx="227">
                  <c:v>6.0999999999999988</c:v>
                </c:pt>
                <c:pt idx="228">
                  <c:v>6.09</c:v>
                </c:pt>
                <c:pt idx="229">
                  <c:v>9.695999999999998</c:v>
                </c:pt>
                <c:pt idx="230">
                  <c:v>9.6479999999999997</c:v>
                </c:pt>
                <c:pt idx="231">
                  <c:v>6.03</c:v>
                </c:pt>
                <c:pt idx="232">
                  <c:v>9.5999999999999979</c:v>
                </c:pt>
                <c:pt idx="233">
                  <c:v>9.5999999999999979</c:v>
                </c:pt>
                <c:pt idx="234">
                  <c:v>9.5999999999999979</c:v>
                </c:pt>
                <c:pt idx="235">
                  <c:v>5.9999999999999991</c:v>
                </c:pt>
                <c:pt idx="236">
                  <c:v>9.5039999999999996</c:v>
                </c:pt>
                <c:pt idx="237">
                  <c:v>5.63</c:v>
                </c:pt>
                <c:pt idx="238">
                  <c:v>5.5</c:v>
                </c:pt>
                <c:pt idx="239">
                  <c:v>5.5</c:v>
                </c:pt>
                <c:pt idx="240">
                  <c:v>6</c:v>
                </c:pt>
                <c:pt idx="241">
                  <c:v>6</c:v>
                </c:pt>
                <c:pt idx="242">
                  <c:v>8.3040000000000003</c:v>
                </c:pt>
                <c:pt idx="243">
                  <c:v>8.3040000000000003</c:v>
                </c:pt>
                <c:pt idx="244">
                  <c:v>8.24</c:v>
                </c:pt>
                <c:pt idx="245">
                  <c:v>8.0640000000000001</c:v>
                </c:pt>
                <c:pt idx="246">
                  <c:v>8.048</c:v>
                </c:pt>
                <c:pt idx="247">
                  <c:v>8.0319999999999983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7.056</c:v>
                </c:pt>
                <c:pt idx="257">
                  <c:v>6.7519999999999989</c:v>
                </c:pt>
                <c:pt idx="258">
                  <c:v>6.7039999999999997</c:v>
                </c:pt>
                <c:pt idx="259">
                  <c:v>6.6559999999999997</c:v>
                </c:pt>
                <c:pt idx="260">
                  <c:v>6.6079999999999988</c:v>
                </c:pt>
                <c:pt idx="261">
                  <c:v>6.6079999999999988</c:v>
                </c:pt>
                <c:pt idx="262">
                  <c:v>6.6079999999999988</c:v>
                </c:pt>
                <c:pt idx="263">
                  <c:v>6.5439999999999996</c:v>
                </c:pt>
                <c:pt idx="264">
                  <c:v>6.5439999999999996</c:v>
                </c:pt>
                <c:pt idx="265">
                  <c:v>6.4959999999999987</c:v>
                </c:pt>
                <c:pt idx="266">
                  <c:v>6.4959999999999987</c:v>
                </c:pt>
                <c:pt idx="267">
                  <c:v>6.0960000000000001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91">
                  <c:v>8</c:v>
                </c:pt>
                <c:pt idx="292">
                  <c:v>8.3000000000000007</c:v>
                </c:pt>
                <c:pt idx="293">
                  <c:v>8.5</c:v>
                </c:pt>
                <c:pt idx="294">
                  <c:v>7.5</c:v>
                </c:pt>
                <c:pt idx="295">
                  <c:v>7.4</c:v>
                </c:pt>
                <c:pt idx="296">
                  <c:v>7.4</c:v>
                </c:pt>
                <c:pt idx="297">
                  <c:v>7.1</c:v>
                </c:pt>
                <c:pt idx="298">
                  <c:v>7</c:v>
                </c:pt>
                <c:pt idx="299">
                  <c:v>5.9999999999999991</c:v>
                </c:pt>
                <c:pt idx="300">
                  <c:v>5.9999999999999991</c:v>
                </c:pt>
                <c:pt idx="301">
                  <c:v>6.0999999999999988</c:v>
                </c:pt>
                <c:pt idx="302">
                  <c:v>6.0999999999999988</c:v>
                </c:pt>
                <c:pt idx="303">
                  <c:v>6.3</c:v>
                </c:pt>
                <c:pt idx="304">
                  <c:v>6.3</c:v>
                </c:pt>
                <c:pt idx="305">
                  <c:v>6.4</c:v>
                </c:pt>
                <c:pt idx="306">
                  <c:v>6.5</c:v>
                </c:pt>
                <c:pt idx="307">
                  <c:v>6.5</c:v>
                </c:pt>
                <c:pt idx="308">
                  <c:v>6.5</c:v>
                </c:pt>
                <c:pt idx="309">
                  <c:v>6.6</c:v>
                </c:pt>
                <c:pt idx="310">
                  <c:v>6.5</c:v>
                </c:pt>
                <c:pt idx="311">
                  <c:v>6.5</c:v>
                </c:pt>
                <c:pt idx="312">
                  <c:v>6.4</c:v>
                </c:pt>
                <c:pt idx="313">
                  <c:v>8.4</c:v>
                </c:pt>
                <c:pt idx="314">
                  <c:v>6.5</c:v>
                </c:pt>
                <c:pt idx="315">
                  <c:v>6.3</c:v>
                </c:pt>
                <c:pt idx="316">
                  <c:v>6.8000000000000007</c:v>
                </c:pt>
                <c:pt idx="317">
                  <c:v>5.9999999999999991</c:v>
                </c:pt>
                <c:pt idx="318">
                  <c:v>6.0999999999999988</c:v>
                </c:pt>
                <c:pt idx="319">
                  <c:v>6.8000000000000007</c:v>
                </c:pt>
                <c:pt idx="320">
                  <c:v>6.3</c:v>
                </c:pt>
                <c:pt idx="321">
                  <c:v>6.6</c:v>
                </c:pt>
                <c:pt idx="322">
                  <c:v>6.9</c:v>
                </c:pt>
                <c:pt idx="329">
                  <c:v>20</c:v>
                </c:pt>
                <c:pt idx="330">
                  <c:v>20</c:v>
                </c:pt>
                <c:pt idx="331">
                  <c:v>7</c:v>
                </c:pt>
                <c:pt idx="332">
                  <c:v>7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13</c:v>
                </c:pt>
                <c:pt idx="337">
                  <c:v>13</c:v>
                </c:pt>
                <c:pt idx="338">
                  <c:v>13</c:v>
                </c:pt>
                <c:pt idx="339">
                  <c:v>16</c:v>
                </c:pt>
                <c:pt idx="340">
                  <c:v>7</c:v>
                </c:pt>
                <c:pt idx="341">
                  <c:v>7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16</c:v>
                </c:pt>
                <c:pt idx="349">
                  <c:v>20</c:v>
                </c:pt>
                <c:pt idx="350">
                  <c:v>20</c:v>
                </c:pt>
                <c:pt idx="351">
                  <c:v>7</c:v>
                </c:pt>
                <c:pt idx="352">
                  <c:v>10</c:v>
                </c:pt>
                <c:pt idx="353">
                  <c:v>13</c:v>
                </c:pt>
                <c:pt idx="354">
                  <c:v>7</c:v>
                </c:pt>
                <c:pt idx="355">
                  <c:v>10</c:v>
                </c:pt>
                <c:pt idx="356">
                  <c:v>13</c:v>
                </c:pt>
                <c:pt idx="357">
                  <c:v>16</c:v>
                </c:pt>
                <c:pt idx="358">
                  <c:v>16</c:v>
                </c:pt>
                <c:pt idx="359">
                  <c:v>20</c:v>
                </c:pt>
                <c:pt idx="360">
                  <c:v>20</c:v>
                </c:pt>
                <c:pt idx="361">
                  <c:v>23</c:v>
                </c:pt>
                <c:pt idx="362">
                  <c:v>23</c:v>
                </c:pt>
              </c:numCache>
            </c:numRef>
          </c:xVal>
          <c:yVal>
            <c:numRef>
              <c:f>'headed (2)'!$CY$154:$CY$541</c:f>
              <c:numCache>
                <c:formatCode>General</c:formatCode>
                <c:ptCount val="361"/>
                <c:pt idx="0">
                  <c:v>1.5692649380457224</c:v>
                </c:pt>
                <c:pt idx="1">
                  <c:v>1.5838852696285155</c:v>
                </c:pt>
                <c:pt idx="2">
                  <c:v>1.6446377336345006</c:v>
                </c:pt>
                <c:pt idx="3">
                  <c:v>2.0897350040707581</c:v>
                </c:pt>
                <c:pt idx="4">
                  <c:v>1.9310412434474262</c:v>
                </c:pt>
                <c:pt idx="5">
                  <c:v>2.096867205449839</c:v>
                </c:pt>
                <c:pt idx="6">
                  <c:v>1.794720670111744</c:v>
                </c:pt>
                <c:pt idx="7">
                  <c:v>1.5380197612821445</c:v>
                </c:pt>
                <c:pt idx="8">
                  <c:v>1.4210468912230823</c:v>
                </c:pt>
                <c:pt idx="9">
                  <c:v>1.1019664488447403</c:v>
                </c:pt>
                <c:pt idx="10">
                  <c:v>1.3886226253286234</c:v>
                </c:pt>
                <c:pt idx="11">
                  <c:v>1.5700011264151312</c:v>
                </c:pt>
                <c:pt idx="12">
                  <c:v>1.9957036604518148</c:v>
                </c:pt>
                <c:pt idx="13">
                  <c:v>1.5911627720568966</c:v>
                </c:pt>
                <c:pt idx="14">
                  <c:v>1.5424576588157013</c:v>
                </c:pt>
                <c:pt idx="15">
                  <c:v>1.5409103389183063</c:v>
                </c:pt>
                <c:pt idx="16">
                  <c:v>1.491198292511049</c:v>
                </c:pt>
                <c:pt idx="17">
                  <c:v>1.7548839458286425</c:v>
                </c:pt>
                <c:pt idx="18">
                  <c:v>2.019483679818086</c:v>
                </c:pt>
                <c:pt idx="19">
                  <c:v>1.618747126999279</c:v>
                </c:pt>
                <c:pt idx="20">
                  <c:v>1.7616301001435395</c:v>
                </c:pt>
                <c:pt idx="21">
                  <c:v>1.8607883579121227</c:v>
                </c:pt>
                <c:pt idx="22">
                  <c:v>1.8239555927677222</c:v>
                </c:pt>
                <c:pt idx="23">
                  <c:v>1.6528810129954532</c:v>
                </c:pt>
                <c:pt idx="24">
                  <c:v>1.8554105991258989</c:v>
                </c:pt>
                <c:pt idx="25">
                  <c:v>2.0047597914593944</c:v>
                </c:pt>
                <c:pt idx="26">
                  <c:v>2.5434263085789133</c:v>
                </c:pt>
                <c:pt idx="27">
                  <c:v>1.6522350926872018</c:v>
                </c:pt>
                <c:pt idx="28">
                  <c:v>1.5816026934977176</c:v>
                </c:pt>
                <c:pt idx="29">
                  <c:v>1.5398515478642198</c:v>
                </c:pt>
                <c:pt idx="30">
                  <c:v>1.8483645889323053</c:v>
                </c:pt>
                <c:pt idx="31">
                  <c:v>1.4366977144918935</c:v>
                </c:pt>
                <c:pt idx="32">
                  <c:v>1.6671220701684981</c:v>
                </c:pt>
                <c:pt idx="33">
                  <c:v>1.8427952176594291</c:v>
                </c:pt>
                <c:pt idx="34">
                  <c:v>1.6540735818514851</c:v>
                </c:pt>
                <c:pt idx="35">
                  <c:v>1.6540735818514851</c:v>
                </c:pt>
                <c:pt idx="36">
                  <c:v>1.4874383120901835</c:v>
                </c:pt>
                <c:pt idx="37">
                  <c:v>1.4874383120901835</c:v>
                </c:pt>
                <c:pt idx="38">
                  <c:v>1.6715512745016297</c:v>
                </c:pt>
                <c:pt idx="39">
                  <c:v>1.6715512745016297</c:v>
                </c:pt>
                <c:pt idx="40">
                  <c:v>1.1973043210093592</c:v>
                </c:pt>
                <c:pt idx="41">
                  <c:v>1.1281032287987234</c:v>
                </c:pt>
                <c:pt idx="42">
                  <c:v>1.8834336158062253</c:v>
                </c:pt>
                <c:pt idx="43">
                  <c:v>1.8812925966750933</c:v>
                </c:pt>
                <c:pt idx="44">
                  <c:v>1.7038194945882996</c:v>
                </c:pt>
                <c:pt idx="45">
                  <c:v>1.6135859013275426</c:v>
                </c:pt>
                <c:pt idx="46">
                  <c:v>1.4292915545702025</c:v>
                </c:pt>
                <c:pt idx="47">
                  <c:v>1.97217424829744</c:v>
                </c:pt>
                <c:pt idx="48">
                  <c:v>1.97217424829744</c:v>
                </c:pt>
                <c:pt idx="49">
                  <c:v>1.9952585337426647</c:v>
                </c:pt>
                <c:pt idx="50">
                  <c:v>1.9952585337426647</c:v>
                </c:pt>
                <c:pt idx="51">
                  <c:v>2.502367304628951</c:v>
                </c:pt>
                <c:pt idx="52">
                  <c:v>2.502367304628951</c:v>
                </c:pt>
                <c:pt idx="53">
                  <c:v>1.2751919840719188</c:v>
                </c:pt>
                <c:pt idx="54">
                  <c:v>1.3506140519746308</c:v>
                </c:pt>
                <c:pt idx="55">
                  <c:v>1.0116192816151657</c:v>
                </c:pt>
                <c:pt idx="56">
                  <c:v>1.0732932449490427</c:v>
                </c:pt>
                <c:pt idx="57">
                  <c:v>1.0185169608474394</c:v>
                </c:pt>
                <c:pt idx="58">
                  <c:v>1.2411149415901028</c:v>
                </c:pt>
                <c:pt idx="59">
                  <c:v>0.69063533625701745</c:v>
                </c:pt>
                <c:pt idx="60">
                  <c:v>1.627708019089664</c:v>
                </c:pt>
                <c:pt idx="61">
                  <c:v>1.4354232666084592</c:v>
                </c:pt>
                <c:pt idx="62">
                  <c:v>1.560884934514343</c:v>
                </c:pt>
                <c:pt idx="63">
                  <c:v>1.2523599085817319</c:v>
                </c:pt>
                <c:pt idx="64">
                  <c:v>0.97005999442265467</c:v>
                </c:pt>
                <c:pt idx="65">
                  <c:v>1.5355299544104395</c:v>
                </c:pt>
                <c:pt idx="66">
                  <c:v>1.5872436499070057</c:v>
                </c:pt>
                <c:pt idx="67">
                  <c:v>0.91594080710970804</c:v>
                </c:pt>
                <c:pt idx="68">
                  <c:v>1.2093370725585242</c:v>
                </c:pt>
                <c:pt idx="69">
                  <c:v>1.7312915853777464</c:v>
                </c:pt>
                <c:pt idx="70">
                  <c:v>2.0143868559808893</c:v>
                </c:pt>
                <c:pt idx="71">
                  <c:v>1.6049667825079759</c:v>
                </c:pt>
                <c:pt idx="72">
                  <c:v>1.8564322726263891</c:v>
                </c:pt>
                <c:pt idx="73">
                  <c:v>1.6213066041161099</c:v>
                </c:pt>
                <c:pt idx="74">
                  <c:v>1.7503100546994845</c:v>
                </c:pt>
                <c:pt idx="75">
                  <c:v>1.7225622808684895</c:v>
                </c:pt>
                <c:pt idx="76">
                  <c:v>2.0436666783234134</c:v>
                </c:pt>
                <c:pt idx="77">
                  <c:v>1.678318926344234</c:v>
                </c:pt>
                <c:pt idx="78">
                  <c:v>1.4899632682400843</c:v>
                </c:pt>
                <c:pt idx="79">
                  <c:v>2.0084145966035742</c:v>
                </c:pt>
                <c:pt idx="80">
                  <c:v>1.6429720783454635</c:v>
                </c:pt>
                <c:pt idx="81">
                  <c:v>1.6028554172537091</c:v>
                </c:pt>
                <c:pt idx="82">
                  <c:v>1.4906266830836274</c:v>
                </c:pt>
                <c:pt idx="83">
                  <c:v>2.1389892476287438</c:v>
                </c:pt>
                <c:pt idx="84">
                  <c:v>1.8151122257280927</c:v>
                </c:pt>
                <c:pt idx="85">
                  <c:v>1.5399308845379911</c:v>
                </c:pt>
                <c:pt idx="86">
                  <c:v>1.7137964299552733</c:v>
                </c:pt>
                <c:pt idx="87">
                  <c:v>1.4398870419702952</c:v>
                </c:pt>
                <c:pt idx="88">
                  <c:v>1.5354665759203094</c:v>
                </c:pt>
                <c:pt idx="89">
                  <c:v>1.4696900496732774</c:v>
                </c:pt>
                <c:pt idx="90">
                  <c:v>1.8303996348577347</c:v>
                </c:pt>
                <c:pt idx="91">
                  <c:v>1.3974642339462553</c:v>
                </c:pt>
                <c:pt idx="92">
                  <c:v>1.5139899705847897</c:v>
                </c:pt>
                <c:pt idx="93">
                  <c:v>2.0746404680628681</c:v>
                </c:pt>
                <c:pt idx="94">
                  <c:v>1.6765075296519178</c:v>
                </c:pt>
                <c:pt idx="95">
                  <c:v>1.623611685263433</c:v>
                </c:pt>
                <c:pt idx="96">
                  <c:v>1.3377450555781216</c:v>
                </c:pt>
                <c:pt idx="97">
                  <c:v>1.7265845077744686</c:v>
                </c:pt>
                <c:pt idx="98">
                  <c:v>1.2826380649004223</c:v>
                </c:pt>
                <c:pt idx="99">
                  <c:v>1.0680010435748619</c:v>
                </c:pt>
                <c:pt idx="100">
                  <c:v>1.3131143007808823</c:v>
                </c:pt>
                <c:pt idx="101">
                  <c:v>1.6414242600002831</c:v>
                </c:pt>
                <c:pt idx="102">
                  <c:v>1.085274259902747</c:v>
                </c:pt>
                <c:pt idx="103">
                  <c:v>1.4397576090914905</c:v>
                </c:pt>
                <c:pt idx="104">
                  <c:v>1.1610070301058955</c:v>
                </c:pt>
                <c:pt idx="105">
                  <c:v>1.5779241384977041</c:v>
                </c:pt>
                <c:pt idx="106">
                  <c:v>1.4272035302680499</c:v>
                </c:pt>
                <c:pt idx="107">
                  <c:v>1.0669685458984943</c:v>
                </c:pt>
                <c:pt idx="108">
                  <c:v>1.1056114992723238</c:v>
                </c:pt>
                <c:pt idx="109">
                  <c:v>1.3401047785481524</c:v>
                </c:pt>
                <c:pt idx="110">
                  <c:v>1.0166221143746004</c:v>
                </c:pt>
                <c:pt idx="111">
                  <c:v>1.4934888450846682</c:v>
                </c:pt>
                <c:pt idx="112">
                  <c:v>1.4545506164396904</c:v>
                </c:pt>
                <c:pt idx="113">
                  <c:v>1.5671872526272181</c:v>
                </c:pt>
                <c:pt idx="114">
                  <c:v>1.7214912231681421</c:v>
                </c:pt>
                <c:pt idx="115">
                  <c:v>1.1974991561843304</c:v>
                </c:pt>
                <c:pt idx="116">
                  <c:v>0.96129394656467926</c:v>
                </c:pt>
                <c:pt idx="117">
                  <c:v>1.2785719938235214</c:v>
                </c:pt>
                <c:pt idx="118">
                  <c:v>1.3098915185197448</c:v>
                </c:pt>
                <c:pt idx="119">
                  <c:v>1.0324950798962937</c:v>
                </c:pt>
                <c:pt idx="120">
                  <c:v>1.3582301682762954</c:v>
                </c:pt>
                <c:pt idx="121">
                  <c:v>0.90762534595970545</c:v>
                </c:pt>
                <c:pt idx="122">
                  <c:v>1.1163081599228812</c:v>
                </c:pt>
                <c:pt idx="123">
                  <c:v>1.3187489627900544</c:v>
                </c:pt>
                <c:pt idx="124">
                  <c:v>1.7054171816068107</c:v>
                </c:pt>
                <c:pt idx="125">
                  <c:v>0.99617785069192466</c:v>
                </c:pt>
                <c:pt idx="126">
                  <c:v>1.051317145691999</c:v>
                </c:pt>
                <c:pt idx="127">
                  <c:v>1.2380919937878554</c:v>
                </c:pt>
                <c:pt idx="128">
                  <c:v>0.98516281921633742</c:v>
                </c:pt>
                <c:pt idx="129">
                  <c:v>1.4559039363893846</c:v>
                </c:pt>
                <c:pt idx="130">
                  <c:v>1.5899976895949632</c:v>
                </c:pt>
                <c:pt idx="131">
                  <c:v>1.4957640290850434</c:v>
                </c:pt>
                <c:pt idx="132">
                  <c:v>1.0210557999824699</c:v>
                </c:pt>
                <c:pt idx="133">
                  <c:v>0.98097068748379734</c:v>
                </c:pt>
                <c:pt idx="134">
                  <c:v>1.0355623876435345</c:v>
                </c:pt>
                <c:pt idx="135">
                  <c:v>0.89800579941581282</c:v>
                </c:pt>
                <c:pt idx="136">
                  <c:v>1.026278911927931</c:v>
                </c:pt>
                <c:pt idx="137">
                  <c:v>0.97531366488201143</c:v>
                </c:pt>
                <c:pt idx="138">
                  <c:v>1.2076437156812905</c:v>
                </c:pt>
                <c:pt idx="139">
                  <c:v>1.0909962422431996</c:v>
                </c:pt>
                <c:pt idx="140">
                  <c:v>0.95166687424883689</c:v>
                </c:pt>
                <c:pt idx="141">
                  <c:v>0.9393306132040562</c:v>
                </c:pt>
                <c:pt idx="142">
                  <c:v>0.95884996399514588</c:v>
                </c:pt>
                <c:pt idx="143">
                  <c:v>1.2275313013278444</c:v>
                </c:pt>
                <c:pt idx="144">
                  <c:v>0.85631332847185648</c:v>
                </c:pt>
                <c:pt idx="145">
                  <c:v>1.0122595831277816</c:v>
                </c:pt>
                <c:pt idx="146">
                  <c:v>1.0555684263285166</c:v>
                </c:pt>
                <c:pt idx="147">
                  <c:v>1.0237310466798923</c:v>
                </c:pt>
                <c:pt idx="148">
                  <c:v>0.75738494469674067</c:v>
                </c:pt>
                <c:pt idx="149">
                  <c:v>0.7688185795271586</c:v>
                </c:pt>
                <c:pt idx="150">
                  <c:v>0.73864862864762737</c:v>
                </c:pt>
                <c:pt idx="151">
                  <c:v>0.88210240843168164</c:v>
                </c:pt>
                <c:pt idx="152">
                  <c:v>1.0184221931806774</c:v>
                </c:pt>
                <c:pt idx="153">
                  <c:v>0.63658061415316614</c:v>
                </c:pt>
                <c:pt idx="154">
                  <c:v>0.61800778838527559</c:v>
                </c:pt>
                <c:pt idx="155">
                  <c:v>0.67872485494033818</c:v>
                </c:pt>
                <c:pt idx="156">
                  <c:v>0.94979047422646845</c:v>
                </c:pt>
                <c:pt idx="157">
                  <c:v>0.98660780016235983</c:v>
                </c:pt>
                <c:pt idx="158">
                  <c:v>0.70367808719437008</c:v>
                </c:pt>
                <c:pt idx="159">
                  <c:v>0.65027889870200761</c:v>
                </c:pt>
                <c:pt idx="160">
                  <c:v>0.75449639049580097</c:v>
                </c:pt>
                <c:pt idx="161">
                  <c:v>1.0814969925658282</c:v>
                </c:pt>
                <c:pt idx="162">
                  <c:v>0.95168248490077645</c:v>
                </c:pt>
                <c:pt idx="163">
                  <c:v>0.96051437093285852</c:v>
                </c:pt>
                <c:pt idx="164">
                  <c:v>0.83340478977310528</c:v>
                </c:pt>
                <c:pt idx="165">
                  <c:v>0.93949066396852476</c:v>
                </c:pt>
                <c:pt idx="166">
                  <c:v>0.96079814882500592</c:v>
                </c:pt>
                <c:pt idx="167">
                  <c:v>0.88772695202762453</c:v>
                </c:pt>
                <c:pt idx="168">
                  <c:v>1.1793748514869569</c:v>
                </c:pt>
                <c:pt idx="169">
                  <c:v>1.0114255979953197</c:v>
                </c:pt>
                <c:pt idx="170">
                  <c:v>0.72179535196685451</c:v>
                </c:pt>
                <c:pt idx="171">
                  <c:v>0.94633885858091515</c:v>
                </c:pt>
                <c:pt idx="172">
                  <c:v>0.89214840379637628</c:v>
                </c:pt>
                <c:pt idx="173">
                  <c:v>1.1787643163301271</c:v>
                </c:pt>
                <c:pt idx="174">
                  <c:v>1.0276805768179793</c:v>
                </c:pt>
                <c:pt idx="175">
                  <c:v>0.87833333333333341</c:v>
                </c:pt>
                <c:pt idx="176">
                  <c:v>0.62319362436667958</c:v>
                </c:pt>
                <c:pt idx="177">
                  <c:v>0.87917179348650509</c:v>
                </c:pt>
                <c:pt idx="178">
                  <c:v>0.90958443196571492</c:v>
                </c:pt>
                <c:pt idx="179">
                  <c:v>0.99413885294838056</c:v>
                </c:pt>
                <c:pt idx="180">
                  <c:v>0.81958454427477145</c:v>
                </c:pt>
                <c:pt idx="181">
                  <c:v>0.98277763354811387</c:v>
                </c:pt>
                <c:pt idx="182">
                  <c:v>0.9161935541106252</c:v>
                </c:pt>
                <c:pt idx="183">
                  <c:v>1.2347092535127056</c:v>
                </c:pt>
                <c:pt idx="184">
                  <c:v>0.79497862339968595</c:v>
                </c:pt>
                <c:pt idx="185">
                  <c:v>1.1078590441518625</c:v>
                </c:pt>
                <c:pt idx="186">
                  <c:v>0.77187994815402661</c:v>
                </c:pt>
                <c:pt idx="187">
                  <c:v>1.0612133921380551</c:v>
                </c:pt>
                <c:pt idx="188">
                  <c:v>1.2622199993298189</c:v>
                </c:pt>
                <c:pt idx="189">
                  <c:v>0.89515643202731698</c:v>
                </c:pt>
                <c:pt idx="190">
                  <c:v>0.86504992090891586</c:v>
                </c:pt>
                <c:pt idx="191">
                  <c:v>1.4143463626576895</c:v>
                </c:pt>
                <c:pt idx="192">
                  <c:v>0.81066942187607538</c:v>
                </c:pt>
                <c:pt idx="193">
                  <c:v>1.0750809484919404</c:v>
                </c:pt>
                <c:pt idx="194">
                  <c:v>0.92467198904083814</c:v>
                </c:pt>
                <c:pt idx="195">
                  <c:v>1.0255837865554474</c:v>
                </c:pt>
                <c:pt idx="196">
                  <c:v>0.89753775945612424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2.2278048827998371</c:v>
                </c:pt>
                <c:pt idx="200">
                  <c:v>1.5151167350293466</c:v>
                </c:pt>
                <c:pt idx="201">
                  <c:v>1.4738851451493513</c:v>
                </c:pt>
                <c:pt idx="202">
                  <c:v>1.7031111416982552</c:v>
                </c:pt>
                <c:pt idx="203">
                  <c:v>1.3453438012059822</c:v>
                </c:pt>
                <c:pt idx="204">
                  <c:v>1.731758202447683</c:v>
                </c:pt>
                <c:pt idx="205">
                  <c:v>1.9142631106667445</c:v>
                </c:pt>
                <c:pt idx="206">
                  <c:v>2.5258582854795466</c:v>
                </c:pt>
                <c:pt idx="207">
                  <c:v>1.4842785522928055</c:v>
                </c:pt>
                <c:pt idx="208">
                  <c:v>1.8155625474566859</c:v>
                </c:pt>
                <c:pt idx="209">
                  <c:v>1.6590638296996747</c:v>
                </c:pt>
                <c:pt idx="210">
                  <c:v>2.4380497966331038</c:v>
                </c:pt>
                <c:pt idx="211">
                  <c:v>2.4636058741659457</c:v>
                </c:pt>
                <c:pt idx="212">
                  <c:v>1.3327587691667713</c:v>
                </c:pt>
                <c:pt idx="213">
                  <c:v>1.0824860548652508</c:v>
                </c:pt>
                <c:pt idx="214">
                  <c:v>1.6008115856850342</c:v>
                </c:pt>
                <c:pt idx="215">
                  <c:v>1.6863346843418161</c:v>
                </c:pt>
                <c:pt idx="216">
                  <c:v>1.0788549020126255</c:v>
                </c:pt>
                <c:pt idx="217">
                  <c:v>1.6031941418598026</c:v>
                </c:pt>
                <c:pt idx="218">
                  <c:v>1.0842825744116804</c:v>
                </c:pt>
                <c:pt idx="219">
                  <c:v>1.7894468224730991</c:v>
                </c:pt>
                <c:pt idx="220">
                  <c:v>1.7433677731711112</c:v>
                </c:pt>
                <c:pt idx="221">
                  <c:v>1.697827799212775</c:v>
                </c:pt>
                <c:pt idx="222">
                  <c:v>1.1036377176784957</c:v>
                </c:pt>
                <c:pt idx="223">
                  <c:v>1.1508423840732456</c:v>
                </c:pt>
                <c:pt idx="224">
                  <c:v>2.0370562080807706</c:v>
                </c:pt>
                <c:pt idx="225">
                  <c:v>1.2933704868741975</c:v>
                </c:pt>
                <c:pt idx="226">
                  <c:v>1.3045051452426668</c:v>
                </c:pt>
                <c:pt idx="227">
                  <c:v>1.5531423718553099</c:v>
                </c:pt>
                <c:pt idx="228">
                  <c:v>1.0516411430045192</c:v>
                </c:pt>
                <c:pt idx="229">
                  <c:v>1.9857553822289242</c:v>
                </c:pt>
                <c:pt idx="230">
                  <c:v>1.4853019156950511</c:v>
                </c:pt>
                <c:pt idx="231">
                  <c:v>1.597463993520754</c:v>
                </c:pt>
                <c:pt idx="232">
                  <c:v>1.5052684293177485</c:v>
                </c:pt>
                <c:pt idx="233">
                  <c:v>1.7449699422328022</c:v>
                </c:pt>
                <c:pt idx="234">
                  <c:v>1.291340863422106</c:v>
                </c:pt>
                <c:pt idx="235">
                  <c:v>1.7309716556713737</c:v>
                </c:pt>
                <c:pt idx="236">
                  <c:v>2.356880352834843</c:v>
                </c:pt>
                <c:pt idx="237">
                  <c:v>1.756014516688875</c:v>
                </c:pt>
                <c:pt idx="238">
                  <c:v>2.0624467853963915</c:v>
                </c:pt>
                <c:pt idx="239">
                  <c:v>1.3495646193214026</c:v>
                </c:pt>
                <c:pt idx="240">
                  <c:v>1.8878427439141436</c:v>
                </c:pt>
                <c:pt idx="241">
                  <c:v>1.8917218728399947</c:v>
                </c:pt>
                <c:pt idx="242">
                  <c:v>1.4822802361136755</c:v>
                </c:pt>
                <c:pt idx="243">
                  <c:v>2.226804333961967</c:v>
                </c:pt>
                <c:pt idx="244">
                  <c:v>1.5173231544502177</c:v>
                </c:pt>
                <c:pt idx="245">
                  <c:v>1.351934535422801</c:v>
                </c:pt>
                <c:pt idx="246">
                  <c:v>1.649578283506135</c:v>
                </c:pt>
                <c:pt idx="247">
                  <c:v>1.6706415634065737</c:v>
                </c:pt>
                <c:pt idx="248">
                  <c:v>3.4872822367819616</c:v>
                </c:pt>
                <c:pt idx="249">
                  <c:v>3.4724847166824624</c:v>
                </c:pt>
                <c:pt idx="250">
                  <c:v>3.2763843126979917</c:v>
                </c:pt>
                <c:pt idx="251">
                  <c:v>3.2560621494903539</c:v>
                </c:pt>
                <c:pt idx="252">
                  <c:v>3.3564461639150021</c:v>
                </c:pt>
                <c:pt idx="253">
                  <c:v>3.3494922008682169</c:v>
                </c:pt>
                <c:pt idx="254">
                  <c:v>2.6242898657708054</c:v>
                </c:pt>
                <c:pt idx="255">
                  <c:v>2.7756175295634287</c:v>
                </c:pt>
                <c:pt idx="256">
                  <c:v>1.8113307185544554</c:v>
                </c:pt>
                <c:pt idx="257">
                  <c:v>1.5873395236395706</c:v>
                </c:pt>
                <c:pt idx="258">
                  <c:v>2.3968898250261241</c:v>
                </c:pt>
                <c:pt idx="259">
                  <c:v>1.6104550162570681</c:v>
                </c:pt>
                <c:pt idx="260">
                  <c:v>1.4571988895401744</c:v>
                </c:pt>
                <c:pt idx="261">
                  <c:v>1.3523744146328167</c:v>
                </c:pt>
                <c:pt idx="262">
                  <c:v>1.8581291628547163</c:v>
                </c:pt>
                <c:pt idx="263">
                  <c:v>1.9691110177056528</c:v>
                </c:pt>
                <c:pt idx="264">
                  <c:v>1.6844942416423301</c:v>
                </c:pt>
                <c:pt idx="265">
                  <c:v>1.5312635885804775</c:v>
                </c:pt>
                <c:pt idx="266">
                  <c:v>1.1875713646393697</c:v>
                </c:pt>
                <c:pt idx="267">
                  <c:v>1.2867956956222946</c:v>
                </c:pt>
                <c:pt idx="268">
                  <c:v>2.4281246243137233</c:v>
                </c:pt>
                <c:pt idx="269">
                  <c:v>2.5314105225121426</c:v>
                </c:pt>
                <c:pt idx="270">
                  <c:v>2.426985071922775</c:v>
                </c:pt>
                <c:pt idx="271">
                  <c:v>2.3834667189089873</c:v>
                </c:pt>
                <c:pt idx="272">
                  <c:v>2.4460777087109391</c:v>
                </c:pt>
                <c:pt idx="273">
                  <c:v>2.4392924723483564</c:v>
                </c:pt>
                <c:pt idx="274">
                  <c:v>1</c:v>
                </c:pt>
                <c:pt idx="27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EA-4F49-A4F7-5EDA2EB93D45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(2)'!$P$20:$P$94</c:f>
            </c:numRef>
          </c:xVal>
          <c:yVal>
            <c:numRef>
              <c:f>'headed (2)'!$CY$20:$CY$94</c:f>
            </c:numRef>
          </c:yVal>
          <c:smooth val="0"/>
          <c:extLst>
            <c:ext xmlns:c16="http://schemas.microsoft.com/office/drawing/2014/chart" uri="{C3380CC4-5D6E-409C-BE32-E72D297353CC}">
              <c16:uniqueId val="{00000003-46EA-4F49-A4F7-5EDA2EB93D4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(2)'!$AS$20:$AS$53</c:f>
            </c:numRef>
          </c:xVal>
          <c:yVal>
            <c:numRef>
              <c:f>'headed (2)'!$AS$54:$AS$55</c:f>
            </c:numRef>
          </c:yVal>
          <c:smooth val="0"/>
          <c:extLst>
            <c:ext xmlns:c16="http://schemas.microsoft.com/office/drawing/2014/chart" uri="{C3380CC4-5D6E-409C-BE32-E72D297353CC}">
              <c16:uniqueId val="{00000004-46EA-4F49-A4F7-5EDA2EB93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80832"/>
        <c:axId val="130183168"/>
      </c:scatterChart>
      <c:valAx>
        <c:axId val="130280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83168"/>
        <c:crosses val="autoZero"/>
        <c:crossBetween val="midCat"/>
      </c:valAx>
      <c:valAx>
        <c:axId val="130183168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808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'headed (2)'!$P$105:$P$147</c:f>
            </c:numRef>
          </c:xVal>
          <c:yVal>
            <c:numRef>
              <c:f>'headed (2)'!$CY$105:$CY$147</c:f>
            </c:numRef>
          </c:yVal>
          <c:smooth val="0"/>
          <c:extLst>
            <c:ext xmlns:c16="http://schemas.microsoft.com/office/drawing/2014/chart" uri="{C3380CC4-5D6E-409C-BE32-E72D297353CC}">
              <c16:uniqueId val="{00000000-EB28-4A10-B173-638EC1ADF92B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  <c:numCache>
                <c:formatCode>General</c:formatCode>
                <c:ptCount val="33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</c:numCache>
            </c:numRef>
          </c:xVal>
          <c:yVal>
            <c:numRef>
              <c:f>headed!#REF!</c:f>
              <c:numCache>
                <c:formatCode>General</c:formatCode>
                <c:ptCount val="33"/>
                <c:pt idx="3">
                  <c:v>0.93158018544298471</c:v>
                </c:pt>
                <c:pt idx="4">
                  <c:v>0.89409273979493975</c:v>
                </c:pt>
                <c:pt idx="5">
                  <c:v>0.87628334293061028</c:v>
                </c:pt>
                <c:pt idx="9">
                  <c:v>0.9280335603715032</c:v>
                </c:pt>
                <c:pt idx="10">
                  <c:v>0.93939801490163299</c:v>
                </c:pt>
                <c:pt idx="11">
                  <c:v>0.860533276752946</c:v>
                </c:pt>
                <c:pt idx="12">
                  <c:v>0.87258417484529949</c:v>
                </c:pt>
                <c:pt idx="13">
                  <c:v>0.86289769346726963</c:v>
                </c:pt>
                <c:pt idx="14">
                  <c:v>0.86457566661937124</c:v>
                </c:pt>
                <c:pt idx="18">
                  <c:v>1</c:v>
                </c:pt>
                <c:pt idx="19">
                  <c:v>0.97551257342523257</c:v>
                </c:pt>
                <c:pt idx="20">
                  <c:v>0.93821580654447434</c:v>
                </c:pt>
                <c:pt idx="21">
                  <c:v>0.98603804137931328</c:v>
                </c:pt>
                <c:pt idx="22">
                  <c:v>0.96586422780066006</c:v>
                </c:pt>
                <c:pt idx="23">
                  <c:v>0.94805483093632903</c:v>
                </c:pt>
                <c:pt idx="24">
                  <c:v>0.95194467778892511</c:v>
                </c:pt>
                <c:pt idx="25">
                  <c:v>0.88425371540308384</c:v>
                </c:pt>
                <c:pt idx="26">
                  <c:v>0.98062276438844598</c:v>
                </c:pt>
                <c:pt idx="27">
                  <c:v>0.99705927412833162</c:v>
                </c:pt>
                <c:pt idx="28">
                  <c:v>1</c:v>
                </c:pt>
                <c:pt idx="29">
                  <c:v>1</c:v>
                </c:pt>
                <c:pt idx="30">
                  <c:v>0.94820737395015631</c:v>
                </c:pt>
                <c:pt idx="31">
                  <c:v>0.97059306122930467</c:v>
                </c:pt>
                <c:pt idx="3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28-4A10-B173-638EC1ADF92B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(2)'!$P$154:$P$548</c:f>
              <c:numCache>
                <c:formatCode>General</c:formatCode>
                <c:ptCount val="368"/>
                <c:pt idx="0">
                  <c:v>16</c:v>
                </c:pt>
                <c:pt idx="1">
                  <c:v>16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13.921985815602838</c:v>
                </c:pt>
                <c:pt idx="19">
                  <c:v>13.829787234042554</c:v>
                </c:pt>
                <c:pt idx="20">
                  <c:v>13.787234042553195</c:v>
                </c:pt>
                <c:pt idx="21">
                  <c:v>13.744680851063832</c:v>
                </c:pt>
                <c:pt idx="22">
                  <c:v>13.744680851063832</c:v>
                </c:pt>
                <c:pt idx="23">
                  <c:v>13.680851063829788</c:v>
                </c:pt>
                <c:pt idx="24">
                  <c:v>13.652482269503549</c:v>
                </c:pt>
                <c:pt idx="25">
                  <c:v>13.567375886524824</c:v>
                </c:pt>
                <c:pt idx="26">
                  <c:v>8.3595113438045381</c:v>
                </c:pt>
                <c:pt idx="27">
                  <c:v>12.368794326241137</c:v>
                </c:pt>
                <c:pt idx="28">
                  <c:v>12.234042553191491</c:v>
                </c:pt>
                <c:pt idx="29">
                  <c:v>12.148936170212767</c:v>
                </c:pt>
                <c:pt idx="30">
                  <c:v>12.067039106145252</c:v>
                </c:pt>
                <c:pt idx="31">
                  <c:v>12.056737588652483</c:v>
                </c:pt>
                <c:pt idx="32">
                  <c:v>12.014184397163124</c:v>
                </c:pt>
                <c:pt idx="33">
                  <c:v>12.014184397163124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12.000000000000004</c:v>
                </c:pt>
                <c:pt idx="41">
                  <c:v>12.000000000000004</c:v>
                </c:pt>
                <c:pt idx="42">
                  <c:v>11.921985815602838</c:v>
                </c:pt>
                <c:pt idx="43">
                  <c:v>11.921985815602838</c:v>
                </c:pt>
                <c:pt idx="44">
                  <c:v>11.879432624113477</c:v>
                </c:pt>
                <c:pt idx="45">
                  <c:v>11.858156028368795</c:v>
                </c:pt>
                <c:pt idx="46">
                  <c:v>11.744680851063832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15.749999999999998</c:v>
                </c:pt>
                <c:pt idx="54">
                  <c:v>15.28</c:v>
                </c:pt>
                <c:pt idx="55">
                  <c:v>10.581560283687944</c:v>
                </c:pt>
                <c:pt idx="56">
                  <c:v>10.43262411347518</c:v>
                </c:pt>
                <c:pt idx="57">
                  <c:v>10.418439716312058</c:v>
                </c:pt>
                <c:pt idx="58">
                  <c:v>10.418439716312058</c:v>
                </c:pt>
                <c:pt idx="59">
                  <c:v>10.375886524822697</c:v>
                </c:pt>
                <c:pt idx="60">
                  <c:v>10.375886524822697</c:v>
                </c:pt>
                <c:pt idx="61">
                  <c:v>14.58</c:v>
                </c:pt>
                <c:pt idx="62">
                  <c:v>14.58</c:v>
                </c:pt>
                <c:pt idx="63">
                  <c:v>10.312056737588653</c:v>
                </c:pt>
                <c:pt idx="64">
                  <c:v>10.312056737588653</c:v>
                </c:pt>
                <c:pt idx="65">
                  <c:v>14.54</c:v>
                </c:pt>
                <c:pt idx="66">
                  <c:v>14.54</c:v>
                </c:pt>
                <c:pt idx="67">
                  <c:v>10.283687943262413</c:v>
                </c:pt>
                <c:pt idx="68">
                  <c:v>10.283687943262413</c:v>
                </c:pt>
                <c:pt idx="69">
                  <c:v>14.499999999999998</c:v>
                </c:pt>
                <c:pt idx="70">
                  <c:v>14.499999999999998</c:v>
                </c:pt>
                <c:pt idx="71">
                  <c:v>14.42</c:v>
                </c:pt>
                <c:pt idx="72">
                  <c:v>14.42</c:v>
                </c:pt>
                <c:pt idx="73">
                  <c:v>14.38</c:v>
                </c:pt>
                <c:pt idx="74">
                  <c:v>14.38</c:v>
                </c:pt>
                <c:pt idx="75">
                  <c:v>14.38</c:v>
                </c:pt>
                <c:pt idx="76">
                  <c:v>14.38</c:v>
                </c:pt>
                <c:pt idx="77">
                  <c:v>14.35</c:v>
                </c:pt>
                <c:pt idx="78">
                  <c:v>14.299999999999999</c:v>
                </c:pt>
                <c:pt idx="79">
                  <c:v>14.27</c:v>
                </c:pt>
                <c:pt idx="80">
                  <c:v>14.25</c:v>
                </c:pt>
                <c:pt idx="81">
                  <c:v>14.25</c:v>
                </c:pt>
                <c:pt idx="82">
                  <c:v>14.13</c:v>
                </c:pt>
                <c:pt idx="83">
                  <c:v>14.09</c:v>
                </c:pt>
                <c:pt idx="84">
                  <c:v>14.080000000000002</c:v>
                </c:pt>
                <c:pt idx="85">
                  <c:v>14.059999999999999</c:v>
                </c:pt>
                <c:pt idx="86">
                  <c:v>9.9441340782122918</c:v>
                </c:pt>
                <c:pt idx="87">
                  <c:v>12.66</c:v>
                </c:pt>
                <c:pt idx="88">
                  <c:v>12.590000000000002</c:v>
                </c:pt>
                <c:pt idx="89">
                  <c:v>8.9078014184397176</c:v>
                </c:pt>
                <c:pt idx="90">
                  <c:v>12.56</c:v>
                </c:pt>
                <c:pt idx="91">
                  <c:v>8.8652482269503565</c:v>
                </c:pt>
                <c:pt idx="92">
                  <c:v>12.5</c:v>
                </c:pt>
                <c:pt idx="93">
                  <c:v>12.439999999999998</c:v>
                </c:pt>
                <c:pt idx="94">
                  <c:v>12.38</c:v>
                </c:pt>
                <c:pt idx="95">
                  <c:v>12.31</c:v>
                </c:pt>
                <c:pt idx="96">
                  <c:v>12.21</c:v>
                </c:pt>
                <c:pt idx="97">
                  <c:v>12.19</c:v>
                </c:pt>
                <c:pt idx="98">
                  <c:v>12.17</c:v>
                </c:pt>
                <c:pt idx="99">
                  <c:v>12.17</c:v>
                </c:pt>
                <c:pt idx="100">
                  <c:v>8.6028368794326244</c:v>
                </c:pt>
                <c:pt idx="101">
                  <c:v>12.129999999999999</c:v>
                </c:pt>
                <c:pt idx="102">
                  <c:v>8.6028368794326244</c:v>
                </c:pt>
                <c:pt idx="103">
                  <c:v>8.5744680851063837</c:v>
                </c:pt>
                <c:pt idx="104">
                  <c:v>12.06</c:v>
                </c:pt>
                <c:pt idx="105">
                  <c:v>12.06</c:v>
                </c:pt>
                <c:pt idx="106">
                  <c:v>12.04</c:v>
                </c:pt>
                <c:pt idx="107">
                  <c:v>12.03</c:v>
                </c:pt>
                <c:pt idx="108">
                  <c:v>8.5106382978723403</c:v>
                </c:pt>
                <c:pt idx="109">
                  <c:v>8.5106382978723403</c:v>
                </c:pt>
                <c:pt idx="110">
                  <c:v>11.999999999999998</c:v>
                </c:pt>
                <c:pt idx="111">
                  <c:v>11.999999999999998</c:v>
                </c:pt>
                <c:pt idx="112">
                  <c:v>11.97</c:v>
                </c:pt>
                <c:pt idx="113">
                  <c:v>11.95</c:v>
                </c:pt>
                <c:pt idx="114">
                  <c:v>11.9</c:v>
                </c:pt>
                <c:pt idx="115">
                  <c:v>11.88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11.299212598425198</c:v>
                </c:pt>
                <c:pt idx="120">
                  <c:v>11.299212598425198</c:v>
                </c:pt>
                <c:pt idx="121">
                  <c:v>11.25</c:v>
                </c:pt>
                <c:pt idx="122">
                  <c:v>7.9608938547486039</c:v>
                </c:pt>
                <c:pt idx="123">
                  <c:v>7.9608938547486039</c:v>
                </c:pt>
                <c:pt idx="124">
                  <c:v>7.9608938547486039</c:v>
                </c:pt>
                <c:pt idx="125">
                  <c:v>11.13</c:v>
                </c:pt>
                <c:pt idx="126">
                  <c:v>11.06</c:v>
                </c:pt>
                <c:pt idx="127">
                  <c:v>7.8212290502793298</c:v>
                </c:pt>
                <c:pt idx="128">
                  <c:v>7.8212290502793298</c:v>
                </c:pt>
                <c:pt idx="129">
                  <c:v>7.8212290502793298</c:v>
                </c:pt>
                <c:pt idx="130">
                  <c:v>7.8212290502793298</c:v>
                </c:pt>
                <c:pt idx="131">
                  <c:v>7.8212290502793298</c:v>
                </c:pt>
                <c:pt idx="132">
                  <c:v>10.94</c:v>
                </c:pt>
                <c:pt idx="133">
                  <c:v>10.83</c:v>
                </c:pt>
                <c:pt idx="134">
                  <c:v>10.58</c:v>
                </c:pt>
                <c:pt idx="135">
                  <c:v>10.5</c:v>
                </c:pt>
                <c:pt idx="136">
                  <c:v>10.35</c:v>
                </c:pt>
                <c:pt idx="137">
                  <c:v>10.33</c:v>
                </c:pt>
                <c:pt idx="138">
                  <c:v>10.33</c:v>
                </c:pt>
                <c:pt idx="139">
                  <c:v>10.29</c:v>
                </c:pt>
                <c:pt idx="140">
                  <c:v>10.25</c:v>
                </c:pt>
                <c:pt idx="141">
                  <c:v>10.130000000000001</c:v>
                </c:pt>
                <c:pt idx="142">
                  <c:v>10.1</c:v>
                </c:pt>
                <c:pt idx="143">
                  <c:v>10.08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9.94</c:v>
                </c:pt>
                <c:pt idx="148">
                  <c:v>9.92</c:v>
                </c:pt>
                <c:pt idx="149">
                  <c:v>9.92</c:v>
                </c:pt>
                <c:pt idx="150">
                  <c:v>9.9</c:v>
                </c:pt>
                <c:pt idx="151">
                  <c:v>9.8800000000000008</c:v>
                </c:pt>
                <c:pt idx="152">
                  <c:v>9.8800000000000008</c:v>
                </c:pt>
                <c:pt idx="153">
                  <c:v>9.8800000000000008</c:v>
                </c:pt>
                <c:pt idx="154">
                  <c:v>9.8800000000000008</c:v>
                </c:pt>
                <c:pt idx="155">
                  <c:v>9.81</c:v>
                </c:pt>
                <c:pt idx="156">
                  <c:v>9.7899999999999991</c:v>
                </c:pt>
                <c:pt idx="157">
                  <c:v>9.77</c:v>
                </c:pt>
                <c:pt idx="158">
                  <c:v>9.75</c:v>
                </c:pt>
                <c:pt idx="159">
                  <c:v>9.75</c:v>
                </c:pt>
                <c:pt idx="160">
                  <c:v>9.69</c:v>
                </c:pt>
                <c:pt idx="161">
                  <c:v>9.69</c:v>
                </c:pt>
                <c:pt idx="162">
                  <c:v>9.69</c:v>
                </c:pt>
                <c:pt idx="163">
                  <c:v>9.66</c:v>
                </c:pt>
                <c:pt idx="164">
                  <c:v>9.6300000000000008</c:v>
                </c:pt>
                <c:pt idx="165">
                  <c:v>9.6</c:v>
                </c:pt>
                <c:pt idx="166">
                  <c:v>9.58</c:v>
                </c:pt>
                <c:pt idx="167">
                  <c:v>9.58</c:v>
                </c:pt>
                <c:pt idx="168">
                  <c:v>9.56</c:v>
                </c:pt>
                <c:pt idx="169">
                  <c:v>9.56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9.4700000000000006</c:v>
                </c:pt>
                <c:pt idx="177">
                  <c:v>9.4600000000000009</c:v>
                </c:pt>
                <c:pt idx="178">
                  <c:v>9.42</c:v>
                </c:pt>
                <c:pt idx="179">
                  <c:v>9.3800000000000008</c:v>
                </c:pt>
                <c:pt idx="180">
                  <c:v>9.3800000000000008</c:v>
                </c:pt>
                <c:pt idx="181">
                  <c:v>9.3800000000000008</c:v>
                </c:pt>
                <c:pt idx="182">
                  <c:v>9.3800000000000008</c:v>
                </c:pt>
                <c:pt idx="183">
                  <c:v>9.33</c:v>
                </c:pt>
                <c:pt idx="184">
                  <c:v>9.33</c:v>
                </c:pt>
                <c:pt idx="185">
                  <c:v>9.31</c:v>
                </c:pt>
                <c:pt idx="186">
                  <c:v>9.25</c:v>
                </c:pt>
                <c:pt idx="187">
                  <c:v>9.25</c:v>
                </c:pt>
                <c:pt idx="188">
                  <c:v>9.25</c:v>
                </c:pt>
                <c:pt idx="189">
                  <c:v>9.25</c:v>
                </c:pt>
                <c:pt idx="190">
                  <c:v>9.19</c:v>
                </c:pt>
                <c:pt idx="191">
                  <c:v>9.19</c:v>
                </c:pt>
                <c:pt idx="192">
                  <c:v>9.19</c:v>
                </c:pt>
                <c:pt idx="193">
                  <c:v>9.17</c:v>
                </c:pt>
                <c:pt idx="194">
                  <c:v>9.1300000000000008</c:v>
                </c:pt>
                <c:pt idx="195">
                  <c:v>9.06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6.061452513966481</c:v>
                </c:pt>
                <c:pt idx="200">
                  <c:v>8.31</c:v>
                </c:pt>
                <c:pt idx="201">
                  <c:v>8.3070866141732296</c:v>
                </c:pt>
                <c:pt idx="202">
                  <c:v>8.3070866141732296</c:v>
                </c:pt>
                <c:pt idx="203">
                  <c:v>8.3070866141732296</c:v>
                </c:pt>
                <c:pt idx="204">
                  <c:v>8.25</c:v>
                </c:pt>
                <c:pt idx="205">
                  <c:v>8.25</c:v>
                </c:pt>
                <c:pt idx="206">
                  <c:v>5.8379888268156428</c:v>
                </c:pt>
                <c:pt idx="207">
                  <c:v>5.6983240223463696</c:v>
                </c:pt>
                <c:pt idx="208">
                  <c:v>8.0314960629921259</c:v>
                </c:pt>
                <c:pt idx="209">
                  <c:v>8</c:v>
                </c:pt>
                <c:pt idx="210">
                  <c:v>6</c:v>
                </c:pt>
                <c:pt idx="211">
                  <c:v>6</c:v>
                </c:pt>
                <c:pt idx="212">
                  <c:v>7.06</c:v>
                </c:pt>
                <c:pt idx="213">
                  <c:v>7.06</c:v>
                </c:pt>
                <c:pt idx="214">
                  <c:v>7</c:v>
                </c:pt>
                <c:pt idx="215">
                  <c:v>6.3385826771653546</c:v>
                </c:pt>
                <c:pt idx="216">
                  <c:v>6.33</c:v>
                </c:pt>
                <c:pt idx="217">
                  <c:v>6.29</c:v>
                </c:pt>
                <c:pt idx="218">
                  <c:v>6.25</c:v>
                </c:pt>
                <c:pt idx="219">
                  <c:v>6.25</c:v>
                </c:pt>
                <c:pt idx="220">
                  <c:v>6.25</c:v>
                </c:pt>
                <c:pt idx="221">
                  <c:v>9.9519999999999982</c:v>
                </c:pt>
                <c:pt idx="222">
                  <c:v>6.21</c:v>
                </c:pt>
                <c:pt idx="223">
                  <c:v>6.19</c:v>
                </c:pt>
                <c:pt idx="224">
                  <c:v>6.16</c:v>
                </c:pt>
                <c:pt idx="225">
                  <c:v>6.13</c:v>
                </c:pt>
                <c:pt idx="226">
                  <c:v>6.13</c:v>
                </c:pt>
                <c:pt idx="227">
                  <c:v>6.0999999999999988</c:v>
                </c:pt>
                <c:pt idx="228">
                  <c:v>6.09</c:v>
                </c:pt>
                <c:pt idx="229">
                  <c:v>9.695999999999998</c:v>
                </c:pt>
                <c:pt idx="230">
                  <c:v>9.6479999999999997</c:v>
                </c:pt>
                <c:pt idx="231">
                  <c:v>6.03</c:v>
                </c:pt>
                <c:pt idx="232">
                  <c:v>9.5999999999999979</c:v>
                </c:pt>
                <c:pt idx="233">
                  <c:v>9.5999999999999979</c:v>
                </c:pt>
                <c:pt idx="234">
                  <c:v>9.5999999999999979</c:v>
                </c:pt>
                <c:pt idx="235">
                  <c:v>5.9999999999999991</c:v>
                </c:pt>
                <c:pt idx="236">
                  <c:v>9.5039999999999996</c:v>
                </c:pt>
                <c:pt idx="237">
                  <c:v>5.63</c:v>
                </c:pt>
                <c:pt idx="238">
                  <c:v>5.5</c:v>
                </c:pt>
                <c:pt idx="239">
                  <c:v>5.5</c:v>
                </c:pt>
                <c:pt idx="240">
                  <c:v>6</c:v>
                </c:pt>
                <c:pt idx="241">
                  <c:v>6</c:v>
                </c:pt>
                <c:pt idx="242">
                  <c:v>8.3040000000000003</c:v>
                </c:pt>
                <c:pt idx="243">
                  <c:v>8.3040000000000003</c:v>
                </c:pt>
                <c:pt idx="244">
                  <c:v>8.24</c:v>
                </c:pt>
                <c:pt idx="245">
                  <c:v>8.0640000000000001</c:v>
                </c:pt>
                <c:pt idx="246">
                  <c:v>8.048</c:v>
                </c:pt>
                <c:pt idx="247">
                  <c:v>8.0319999999999983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7.056</c:v>
                </c:pt>
                <c:pt idx="257">
                  <c:v>6.7519999999999989</c:v>
                </c:pt>
                <c:pt idx="258">
                  <c:v>6.7039999999999997</c:v>
                </c:pt>
                <c:pt idx="259">
                  <c:v>6.6559999999999997</c:v>
                </c:pt>
                <c:pt idx="260">
                  <c:v>6.6079999999999988</c:v>
                </c:pt>
                <c:pt idx="261">
                  <c:v>6.6079999999999988</c:v>
                </c:pt>
                <c:pt idx="262">
                  <c:v>6.6079999999999988</c:v>
                </c:pt>
                <c:pt idx="263">
                  <c:v>6.5439999999999996</c:v>
                </c:pt>
                <c:pt idx="264">
                  <c:v>6.5439999999999996</c:v>
                </c:pt>
                <c:pt idx="265">
                  <c:v>6.4959999999999987</c:v>
                </c:pt>
                <c:pt idx="266">
                  <c:v>6.4959999999999987</c:v>
                </c:pt>
                <c:pt idx="267">
                  <c:v>6.0960000000000001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91">
                  <c:v>8</c:v>
                </c:pt>
                <c:pt idx="292">
                  <c:v>8.3000000000000007</c:v>
                </c:pt>
                <c:pt idx="293">
                  <c:v>8.5</c:v>
                </c:pt>
                <c:pt idx="294">
                  <c:v>7.5</c:v>
                </c:pt>
                <c:pt idx="295">
                  <c:v>7.4</c:v>
                </c:pt>
                <c:pt idx="296">
                  <c:v>7.4</c:v>
                </c:pt>
                <c:pt idx="297">
                  <c:v>7.1</c:v>
                </c:pt>
                <c:pt idx="298">
                  <c:v>7</c:v>
                </c:pt>
                <c:pt idx="299">
                  <c:v>5.9999999999999991</c:v>
                </c:pt>
                <c:pt idx="300">
                  <c:v>5.9999999999999991</c:v>
                </c:pt>
                <c:pt idx="301">
                  <c:v>6.0999999999999988</c:v>
                </c:pt>
                <c:pt idx="302">
                  <c:v>6.0999999999999988</c:v>
                </c:pt>
                <c:pt idx="303">
                  <c:v>6.3</c:v>
                </c:pt>
                <c:pt idx="304">
                  <c:v>6.3</c:v>
                </c:pt>
                <c:pt idx="305">
                  <c:v>6.4</c:v>
                </c:pt>
                <c:pt idx="306">
                  <c:v>6.5</c:v>
                </c:pt>
                <c:pt idx="307">
                  <c:v>6.5</c:v>
                </c:pt>
                <c:pt idx="308">
                  <c:v>6.5</c:v>
                </c:pt>
                <c:pt idx="309">
                  <c:v>6.6</c:v>
                </c:pt>
                <c:pt idx="310">
                  <c:v>6.5</c:v>
                </c:pt>
                <c:pt idx="311">
                  <c:v>6.5</c:v>
                </c:pt>
                <c:pt idx="312">
                  <c:v>6.4</c:v>
                </c:pt>
                <c:pt idx="313">
                  <c:v>8.4</c:v>
                </c:pt>
                <c:pt idx="314">
                  <c:v>6.5</c:v>
                </c:pt>
                <c:pt idx="315">
                  <c:v>6.3</c:v>
                </c:pt>
                <c:pt idx="316">
                  <c:v>6.8000000000000007</c:v>
                </c:pt>
                <c:pt idx="317">
                  <c:v>5.9999999999999991</c:v>
                </c:pt>
                <c:pt idx="318">
                  <c:v>6.0999999999999988</c:v>
                </c:pt>
                <c:pt idx="319">
                  <c:v>6.8000000000000007</c:v>
                </c:pt>
                <c:pt idx="320">
                  <c:v>6.3</c:v>
                </c:pt>
                <c:pt idx="321">
                  <c:v>6.6</c:v>
                </c:pt>
                <c:pt idx="322">
                  <c:v>6.9</c:v>
                </c:pt>
                <c:pt idx="329">
                  <c:v>20</c:v>
                </c:pt>
                <c:pt idx="330">
                  <c:v>20</c:v>
                </c:pt>
                <c:pt idx="331">
                  <c:v>7</c:v>
                </c:pt>
                <c:pt idx="332">
                  <c:v>7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13</c:v>
                </c:pt>
                <c:pt idx="337">
                  <c:v>13</c:v>
                </c:pt>
                <c:pt idx="338">
                  <c:v>13</c:v>
                </c:pt>
                <c:pt idx="339">
                  <c:v>16</c:v>
                </c:pt>
                <c:pt idx="340">
                  <c:v>7</c:v>
                </c:pt>
                <c:pt idx="341">
                  <c:v>7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16</c:v>
                </c:pt>
                <c:pt idx="349">
                  <c:v>20</c:v>
                </c:pt>
                <c:pt idx="350">
                  <c:v>20</c:v>
                </c:pt>
                <c:pt idx="351">
                  <c:v>7</c:v>
                </c:pt>
                <c:pt idx="352">
                  <c:v>10</c:v>
                </c:pt>
                <c:pt idx="353">
                  <c:v>13</c:v>
                </c:pt>
                <c:pt idx="354">
                  <c:v>7</c:v>
                </c:pt>
                <c:pt idx="355">
                  <c:v>10</c:v>
                </c:pt>
                <c:pt idx="356">
                  <c:v>13</c:v>
                </c:pt>
                <c:pt idx="357">
                  <c:v>16</c:v>
                </c:pt>
                <c:pt idx="358">
                  <c:v>16</c:v>
                </c:pt>
                <c:pt idx="359">
                  <c:v>20</c:v>
                </c:pt>
                <c:pt idx="360">
                  <c:v>20</c:v>
                </c:pt>
                <c:pt idx="361">
                  <c:v>23</c:v>
                </c:pt>
                <c:pt idx="362">
                  <c:v>23</c:v>
                </c:pt>
              </c:numCache>
            </c:numRef>
          </c:xVal>
          <c:yVal>
            <c:numRef>
              <c:f>'headed (2)'!$CY$154:$CY$541</c:f>
              <c:numCache>
                <c:formatCode>General</c:formatCode>
                <c:ptCount val="361"/>
                <c:pt idx="0">
                  <c:v>1.5692649380457224</c:v>
                </c:pt>
                <c:pt idx="1">
                  <c:v>1.5838852696285155</c:v>
                </c:pt>
                <c:pt idx="2">
                  <c:v>1.6446377336345006</c:v>
                </c:pt>
                <c:pt idx="3">
                  <c:v>2.0897350040707581</c:v>
                </c:pt>
                <c:pt idx="4">
                  <c:v>1.9310412434474262</c:v>
                </c:pt>
                <c:pt idx="5">
                  <c:v>2.096867205449839</c:v>
                </c:pt>
                <c:pt idx="6">
                  <c:v>1.794720670111744</c:v>
                </c:pt>
                <c:pt idx="7">
                  <c:v>1.5380197612821445</c:v>
                </c:pt>
                <c:pt idx="8">
                  <c:v>1.4210468912230823</c:v>
                </c:pt>
                <c:pt idx="9">
                  <c:v>1.1019664488447403</c:v>
                </c:pt>
                <c:pt idx="10">
                  <c:v>1.3886226253286234</c:v>
                </c:pt>
                <c:pt idx="11">
                  <c:v>1.5700011264151312</c:v>
                </c:pt>
                <c:pt idx="12">
                  <c:v>1.9957036604518148</c:v>
                </c:pt>
                <c:pt idx="13">
                  <c:v>1.5911627720568966</c:v>
                </c:pt>
                <c:pt idx="14">
                  <c:v>1.5424576588157013</c:v>
                </c:pt>
                <c:pt idx="15">
                  <c:v>1.5409103389183063</c:v>
                </c:pt>
                <c:pt idx="16">
                  <c:v>1.491198292511049</c:v>
                </c:pt>
                <c:pt idx="17">
                  <c:v>1.7548839458286425</c:v>
                </c:pt>
                <c:pt idx="18">
                  <c:v>2.019483679818086</c:v>
                </c:pt>
                <c:pt idx="19">
                  <c:v>1.618747126999279</c:v>
                </c:pt>
                <c:pt idx="20">
                  <c:v>1.7616301001435395</c:v>
                </c:pt>
                <c:pt idx="21">
                  <c:v>1.8607883579121227</c:v>
                </c:pt>
                <c:pt idx="22">
                  <c:v>1.8239555927677222</c:v>
                </c:pt>
                <c:pt idx="23">
                  <c:v>1.6528810129954532</c:v>
                </c:pt>
                <c:pt idx="24">
                  <c:v>1.8554105991258989</c:v>
                </c:pt>
                <c:pt idx="25">
                  <c:v>2.0047597914593944</c:v>
                </c:pt>
                <c:pt idx="26">
                  <c:v>2.5434263085789133</c:v>
                </c:pt>
                <c:pt idx="27">
                  <c:v>1.6522350926872018</c:v>
                </c:pt>
                <c:pt idx="28">
                  <c:v>1.5816026934977176</c:v>
                </c:pt>
                <c:pt idx="29">
                  <c:v>1.5398515478642198</c:v>
                </c:pt>
                <c:pt idx="30">
                  <c:v>1.8483645889323053</c:v>
                </c:pt>
                <c:pt idx="31">
                  <c:v>1.4366977144918935</c:v>
                </c:pt>
                <c:pt idx="32">
                  <c:v>1.6671220701684981</c:v>
                </c:pt>
                <c:pt idx="33">
                  <c:v>1.8427952176594291</c:v>
                </c:pt>
                <c:pt idx="34">
                  <c:v>1.6540735818514851</c:v>
                </c:pt>
                <c:pt idx="35">
                  <c:v>1.6540735818514851</c:v>
                </c:pt>
                <c:pt idx="36">
                  <c:v>1.4874383120901835</c:v>
                </c:pt>
                <c:pt idx="37">
                  <c:v>1.4874383120901835</c:v>
                </c:pt>
                <c:pt idx="38">
                  <c:v>1.6715512745016297</c:v>
                </c:pt>
                <c:pt idx="39">
                  <c:v>1.6715512745016297</c:v>
                </c:pt>
                <c:pt idx="40">
                  <c:v>1.1973043210093592</c:v>
                </c:pt>
                <c:pt idx="41">
                  <c:v>1.1281032287987234</c:v>
                </c:pt>
                <c:pt idx="42">
                  <c:v>1.8834336158062253</c:v>
                </c:pt>
                <c:pt idx="43">
                  <c:v>1.8812925966750933</c:v>
                </c:pt>
                <c:pt idx="44">
                  <c:v>1.7038194945882996</c:v>
                </c:pt>
                <c:pt idx="45">
                  <c:v>1.6135859013275426</c:v>
                </c:pt>
                <c:pt idx="46">
                  <c:v>1.4292915545702025</c:v>
                </c:pt>
                <c:pt idx="47">
                  <c:v>1.97217424829744</c:v>
                </c:pt>
                <c:pt idx="48">
                  <c:v>1.97217424829744</c:v>
                </c:pt>
                <c:pt idx="49">
                  <c:v>1.9952585337426647</c:v>
                </c:pt>
                <c:pt idx="50">
                  <c:v>1.9952585337426647</c:v>
                </c:pt>
                <c:pt idx="51">
                  <c:v>2.502367304628951</c:v>
                </c:pt>
                <c:pt idx="52">
                  <c:v>2.502367304628951</c:v>
                </c:pt>
                <c:pt idx="53">
                  <c:v>1.2751919840719188</c:v>
                </c:pt>
                <c:pt idx="54">
                  <c:v>1.3506140519746308</c:v>
                </c:pt>
                <c:pt idx="55">
                  <c:v>1.0116192816151657</c:v>
                </c:pt>
                <c:pt idx="56">
                  <c:v>1.0732932449490427</c:v>
                </c:pt>
                <c:pt idx="57">
                  <c:v>1.0185169608474394</c:v>
                </c:pt>
                <c:pt idx="58">
                  <c:v>1.2411149415901028</c:v>
                </c:pt>
                <c:pt idx="59">
                  <c:v>0.69063533625701745</c:v>
                </c:pt>
                <c:pt idx="60">
                  <c:v>1.627708019089664</c:v>
                </c:pt>
                <c:pt idx="61">
                  <c:v>1.4354232666084592</c:v>
                </c:pt>
                <c:pt idx="62">
                  <c:v>1.560884934514343</c:v>
                </c:pt>
                <c:pt idx="63">
                  <c:v>1.2523599085817319</c:v>
                </c:pt>
                <c:pt idx="64">
                  <c:v>0.97005999442265467</c:v>
                </c:pt>
                <c:pt idx="65">
                  <c:v>1.5355299544104395</c:v>
                </c:pt>
                <c:pt idx="66">
                  <c:v>1.5872436499070057</c:v>
                </c:pt>
                <c:pt idx="67">
                  <c:v>0.91594080710970804</c:v>
                </c:pt>
                <c:pt idx="68">
                  <c:v>1.2093370725585242</c:v>
                </c:pt>
                <c:pt idx="69">
                  <c:v>1.7312915853777464</c:v>
                </c:pt>
                <c:pt idx="70">
                  <c:v>2.0143868559808893</c:v>
                </c:pt>
                <c:pt idx="71">
                  <c:v>1.6049667825079759</c:v>
                </c:pt>
                <c:pt idx="72">
                  <c:v>1.8564322726263891</c:v>
                </c:pt>
                <c:pt idx="73">
                  <c:v>1.6213066041161099</c:v>
                </c:pt>
                <c:pt idx="74">
                  <c:v>1.7503100546994845</c:v>
                </c:pt>
                <c:pt idx="75">
                  <c:v>1.7225622808684895</c:v>
                </c:pt>
                <c:pt idx="76">
                  <c:v>2.0436666783234134</c:v>
                </c:pt>
                <c:pt idx="77">
                  <c:v>1.678318926344234</c:v>
                </c:pt>
                <c:pt idx="78">
                  <c:v>1.4899632682400843</c:v>
                </c:pt>
                <c:pt idx="79">
                  <c:v>2.0084145966035742</c:v>
                </c:pt>
                <c:pt idx="80">
                  <c:v>1.6429720783454635</c:v>
                </c:pt>
                <c:pt idx="81">
                  <c:v>1.6028554172537091</c:v>
                </c:pt>
                <c:pt idx="82">
                  <c:v>1.4906266830836274</c:v>
                </c:pt>
                <c:pt idx="83">
                  <c:v>2.1389892476287438</c:v>
                </c:pt>
                <c:pt idx="84">
                  <c:v>1.8151122257280927</c:v>
                </c:pt>
                <c:pt idx="85">
                  <c:v>1.5399308845379911</c:v>
                </c:pt>
                <c:pt idx="86">
                  <c:v>1.7137964299552733</c:v>
                </c:pt>
                <c:pt idx="87">
                  <c:v>1.4398870419702952</c:v>
                </c:pt>
                <c:pt idx="88">
                  <c:v>1.5354665759203094</c:v>
                </c:pt>
                <c:pt idx="89">
                  <c:v>1.4696900496732774</c:v>
                </c:pt>
                <c:pt idx="90">
                  <c:v>1.8303996348577347</c:v>
                </c:pt>
                <c:pt idx="91">
                  <c:v>1.3974642339462553</c:v>
                </c:pt>
                <c:pt idx="92">
                  <c:v>1.5139899705847897</c:v>
                </c:pt>
                <c:pt idx="93">
                  <c:v>2.0746404680628681</c:v>
                </c:pt>
                <c:pt idx="94">
                  <c:v>1.6765075296519178</c:v>
                </c:pt>
                <c:pt idx="95">
                  <c:v>1.623611685263433</c:v>
                </c:pt>
                <c:pt idx="96">
                  <c:v>1.3377450555781216</c:v>
                </c:pt>
                <c:pt idx="97">
                  <c:v>1.7265845077744686</c:v>
                </c:pt>
                <c:pt idx="98">
                  <c:v>1.2826380649004223</c:v>
                </c:pt>
                <c:pt idx="99">
                  <c:v>1.0680010435748619</c:v>
                </c:pt>
                <c:pt idx="100">
                  <c:v>1.3131143007808823</c:v>
                </c:pt>
                <c:pt idx="101">
                  <c:v>1.6414242600002831</c:v>
                </c:pt>
                <c:pt idx="102">
                  <c:v>1.085274259902747</c:v>
                </c:pt>
                <c:pt idx="103">
                  <c:v>1.4397576090914905</c:v>
                </c:pt>
                <c:pt idx="104">
                  <c:v>1.1610070301058955</c:v>
                </c:pt>
                <c:pt idx="105">
                  <c:v>1.5779241384977041</c:v>
                </c:pt>
                <c:pt idx="106">
                  <c:v>1.4272035302680499</c:v>
                </c:pt>
                <c:pt idx="107">
                  <c:v>1.0669685458984943</c:v>
                </c:pt>
                <c:pt idx="108">
                  <c:v>1.1056114992723238</c:v>
                </c:pt>
                <c:pt idx="109">
                  <c:v>1.3401047785481524</c:v>
                </c:pt>
                <c:pt idx="110">
                  <c:v>1.0166221143746004</c:v>
                </c:pt>
                <c:pt idx="111">
                  <c:v>1.4934888450846682</c:v>
                </c:pt>
                <c:pt idx="112">
                  <c:v>1.4545506164396904</c:v>
                </c:pt>
                <c:pt idx="113">
                  <c:v>1.5671872526272181</c:v>
                </c:pt>
                <c:pt idx="114">
                  <c:v>1.7214912231681421</c:v>
                </c:pt>
                <c:pt idx="115">
                  <c:v>1.1974991561843304</c:v>
                </c:pt>
                <c:pt idx="116">
                  <c:v>0.96129394656467926</c:v>
                </c:pt>
                <c:pt idx="117">
                  <c:v>1.2785719938235214</c:v>
                </c:pt>
                <c:pt idx="118">
                  <c:v>1.3098915185197448</c:v>
                </c:pt>
                <c:pt idx="119">
                  <c:v>1.0324950798962937</c:v>
                </c:pt>
                <c:pt idx="120">
                  <c:v>1.3582301682762954</c:v>
                </c:pt>
                <c:pt idx="121">
                  <c:v>0.90762534595970545</c:v>
                </c:pt>
                <c:pt idx="122">
                  <c:v>1.1163081599228812</c:v>
                </c:pt>
                <c:pt idx="123">
                  <c:v>1.3187489627900544</c:v>
                </c:pt>
                <c:pt idx="124">
                  <c:v>1.7054171816068107</c:v>
                </c:pt>
                <c:pt idx="125">
                  <c:v>0.99617785069192466</c:v>
                </c:pt>
                <c:pt idx="126">
                  <c:v>1.051317145691999</c:v>
                </c:pt>
                <c:pt idx="127">
                  <c:v>1.2380919937878554</c:v>
                </c:pt>
                <c:pt idx="128">
                  <c:v>0.98516281921633742</c:v>
                </c:pt>
                <c:pt idx="129">
                  <c:v>1.4559039363893846</c:v>
                </c:pt>
                <c:pt idx="130">
                  <c:v>1.5899976895949632</c:v>
                </c:pt>
                <c:pt idx="131">
                  <c:v>1.4957640290850434</c:v>
                </c:pt>
                <c:pt idx="132">
                  <c:v>1.0210557999824699</c:v>
                </c:pt>
                <c:pt idx="133">
                  <c:v>0.98097068748379734</c:v>
                </c:pt>
                <c:pt idx="134">
                  <c:v>1.0355623876435345</c:v>
                </c:pt>
                <c:pt idx="135">
                  <c:v>0.89800579941581282</c:v>
                </c:pt>
                <c:pt idx="136">
                  <c:v>1.026278911927931</c:v>
                </c:pt>
                <c:pt idx="137">
                  <c:v>0.97531366488201143</c:v>
                </c:pt>
                <c:pt idx="138">
                  <c:v>1.2076437156812905</c:v>
                </c:pt>
                <c:pt idx="139">
                  <c:v>1.0909962422431996</c:v>
                </c:pt>
                <c:pt idx="140">
                  <c:v>0.95166687424883689</c:v>
                </c:pt>
                <c:pt idx="141">
                  <c:v>0.9393306132040562</c:v>
                </c:pt>
                <c:pt idx="142">
                  <c:v>0.95884996399514588</c:v>
                </c:pt>
                <c:pt idx="143">
                  <c:v>1.2275313013278444</c:v>
                </c:pt>
                <c:pt idx="144">
                  <c:v>0.85631332847185648</c:v>
                </c:pt>
                <c:pt idx="145">
                  <c:v>1.0122595831277816</c:v>
                </c:pt>
                <c:pt idx="146">
                  <c:v>1.0555684263285166</c:v>
                </c:pt>
                <c:pt idx="147">
                  <c:v>1.0237310466798923</c:v>
                </c:pt>
                <c:pt idx="148">
                  <c:v>0.75738494469674067</c:v>
                </c:pt>
                <c:pt idx="149">
                  <c:v>0.7688185795271586</c:v>
                </c:pt>
                <c:pt idx="150">
                  <c:v>0.73864862864762737</c:v>
                </c:pt>
                <c:pt idx="151">
                  <c:v>0.88210240843168164</c:v>
                </c:pt>
                <c:pt idx="152">
                  <c:v>1.0184221931806774</c:v>
                </c:pt>
                <c:pt idx="153">
                  <c:v>0.63658061415316614</c:v>
                </c:pt>
                <c:pt idx="154">
                  <c:v>0.61800778838527559</c:v>
                </c:pt>
                <c:pt idx="155">
                  <c:v>0.67872485494033818</c:v>
                </c:pt>
                <c:pt idx="156">
                  <c:v>0.94979047422646845</c:v>
                </c:pt>
                <c:pt idx="157">
                  <c:v>0.98660780016235983</c:v>
                </c:pt>
                <c:pt idx="158">
                  <c:v>0.70367808719437008</c:v>
                </c:pt>
                <c:pt idx="159">
                  <c:v>0.65027889870200761</c:v>
                </c:pt>
                <c:pt idx="160">
                  <c:v>0.75449639049580097</c:v>
                </c:pt>
                <c:pt idx="161">
                  <c:v>1.0814969925658282</c:v>
                </c:pt>
                <c:pt idx="162">
                  <c:v>0.95168248490077645</c:v>
                </c:pt>
                <c:pt idx="163">
                  <c:v>0.96051437093285852</c:v>
                </c:pt>
                <c:pt idx="164">
                  <c:v>0.83340478977310528</c:v>
                </c:pt>
                <c:pt idx="165">
                  <c:v>0.93949066396852476</c:v>
                </c:pt>
                <c:pt idx="166">
                  <c:v>0.96079814882500592</c:v>
                </c:pt>
                <c:pt idx="167">
                  <c:v>0.88772695202762453</c:v>
                </c:pt>
                <c:pt idx="168">
                  <c:v>1.1793748514869569</c:v>
                </c:pt>
                <c:pt idx="169">
                  <c:v>1.0114255979953197</c:v>
                </c:pt>
                <c:pt idx="170">
                  <c:v>0.72179535196685451</c:v>
                </c:pt>
                <c:pt idx="171">
                  <c:v>0.94633885858091515</c:v>
                </c:pt>
                <c:pt idx="172">
                  <c:v>0.89214840379637628</c:v>
                </c:pt>
                <c:pt idx="173">
                  <c:v>1.1787643163301271</c:v>
                </c:pt>
                <c:pt idx="174">
                  <c:v>1.0276805768179793</c:v>
                </c:pt>
                <c:pt idx="175">
                  <c:v>0.87833333333333341</c:v>
                </c:pt>
                <c:pt idx="176">
                  <c:v>0.62319362436667958</c:v>
                </c:pt>
                <c:pt idx="177">
                  <c:v>0.87917179348650509</c:v>
                </c:pt>
                <c:pt idx="178">
                  <c:v>0.90958443196571492</c:v>
                </c:pt>
                <c:pt idx="179">
                  <c:v>0.99413885294838056</c:v>
                </c:pt>
                <c:pt idx="180">
                  <c:v>0.81958454427477145</c:v>
                </c:pt>
                <c:pt idx="181">
                  <c:v>0.98277763354811387</c:v>
                </c:pt>
                <c:pt idx="182">
                  <c:v>0.9161935541106252</c:v>
                </c:pt>
                <c:pt idx="183">
                  <c:v>1.2347092535127056</c:v>
                </c:pt>
                <c:pt idx="184">
                  <c:v>0.79497862339968595</c:v>
                </c:pt>
                <c:pt idx="185">
                  <c:v>1.1078590441518625</c:v>
                </c:pt>
                <c:pt idx="186">
                  <c:v>0.77187994815402661</c:v>
                </c:pt>
                <c:pt idx="187">
                  <c:v>1.0612133921380551</c:v>
                </c:pt>
                <c:pt idx="188">
                  <c:v>1.2622199993298189</c:v>
                </c:pt>
                <c:pt idx="189">
                  <c:v>0.89515643202731698</c:v>
                </c:pt>
                <c:pt idx="190">
                  <c:v>0.86504992090891586</c:v>
                </c:pt>
                <c:pt idx="191">
                  <c:v>1.4143463626576895</c:v>
                </c:pt>
                <c:pt idx="192">
                  <c:v>0.81066942187607538</c:v>
                </c:pt>
                <c:pt idx="193">
                  <c:v>1.0750809484919404</c:v>
                </c:pt>
                <c:pt idx="194">
                  <c:v>0.92467198904083814</c:v>
                </c:pt>
                <c:pt idx="195">
                  <c:v>1.0255837865554474</c:v>
                </c:pt>
                <c:pt idx="196">
                  <c:v>0.89753775945612424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2.2278048827998371</c:v>
                </c:pt>
                <c:pt idx="200">
                  <c:v>1.5151167350293466</c:v>
                </c:pt>
                <c:pt idx="201">
                  <c:v>1.4738851451493513</c:v>
                </c:pt>
                <c:pt idx="202">
                  <c:v>1.7031111416982552</c:v>
                </c:pt>
                <c:pt idx="203">
                  <c:v>1.3453438012059822</c:v>
                </c:pt>
                <c:pt idx="204">
                  <c:v>1.731758202447683</c:v>
                </c:pt>
                <c:pt idx="205">
                  <c:v>1.9142631106667445</c:v>
                </c:pt>
                <c:pt idx="206">
                  <c:v>2.5258582854795466</c:v>
                </c:pt>
                <c:pt idx="207">
                  <c:v>1.4842785522928055</c:v>
                </c:pt>
                <c:pt idx="208">
                  <c:v>1.8155625474566859</c:v>
                </c:pt>
                <c:pt idx="209">
                  <c:v>1.6590638296996747</c:v>
                </c:pt>
                <c:pt idx="210">
                  <c:v>2.4380497966331038</c:v>
                </c:pt>
                <c:pt idx="211">
                  <c:v>2.4636058741659457</c:v>
                </c:pt>
                <c:pt idx="212">
                  <c:v>1.3327587691667713</c:v>
                </c:pt>
                <c:pt idx="213">
                  <c:v>1.0824860548652508</c:v>
                </c:pt>
                <c:pt idx="214">
                  <c:v>1.6008115856850342</c:v>
                </c:pt>
                <c:pt idx="215">
                  <c:v>1.6863346843418161</c:v>
                </c:pt>
                <c:pt idx="216">
                  <c:v>1.0788549020126255</c:v>
                </c:pt>
                <c:pt idx="217">
                  <c:v>1.6031941418598026</c:v>
                </c:pt>
                <c:pt idx="218">
                  <c:v>1.0842825744116804</c:v>
                </c:pt>
                <c:pt idx="219">
                  <c:v>1.7894468224730991</c:v>
                </c:pt>
                <c:pt idx="220">
                  <c:v>1.7433677731711112</c:v>
                </c:pt>
                <c:pt idx="221">
                  <c:v>1.697827799212775</c:v>
                </c:pt>
                <c:pt idx="222">
                  <c:v>1.1036377176784957</c:v>
                </c:pt>
                <c:pt idx="223">
                  <c:v>1.1508423840732456</c:v>
                </c:pt>
                <c:pt idx="224">
                  <c:v>2.0370562080807706</c:v>
                </c:pt>
                <c:pt idx="225">
                  <c:v>1.2933704868741975</c:v>
                </c:pt>
                <c:pt idx="226">
                  <c:v>1.3045051452426668</c:v>
                </c:pt>
                <c:pt idx="227">
                  <c:v>1.5531423718553099</c:v>
                </c:pt>
                <c:pt idx="228">
                  <c:v>1.0516411430045192</c:v>
                </c:pt>
                <c:pt idx="229">
                  <c:v>1.9857553822289242</c:v>
                </c:pt>
                <c:pt idx="230">
                  <c:v>1.4853019156950511</c:v>
                </c:pt>
                <c:pt idx="231">
                  <c:v>1.597463993520754</c:v>
                </c:pt>
                <c:pt idx="232">
                  <c:v>1.5052684293177485</c:v>
                </c:pt>
                <c:pt idx="233">
                  <c:v>1.7449699422328022</c:v>
                </c:pt>
                <c:pt idx="234">
                  <c:v>1.291340863422106</c:v>
                </c:pt>
                <c:pt idx="235">
                  <c:v>1.7309716556713737</c:v>
                </c:pt>
                <c:pt idx="236">
                  <c:v>2.356880352834843</c:v>
                </c:pt>
                <c:pt idx="237">
                  <c:v>1.756014516688875</c:v>
                </c:pt>
                <c:pt idx="238">
                  <c:v>2.0624467853963915</c:v>
                </c:pt>
                <c:pt idx="239">
                  <c:v>1.3495646193214026</c:v>
                </c:pt>
                <c:pt idx="240">
                  <c:v>1.8878427439141436</c:v>
                </c:pt>
                <c:pt idx="241">
                  <c:v>1.8917218728399947</c:v>
                </c:pt>
                <c:pt idx="242">
                  <c:v>1.4822802361136755</c:v>
                </c:pt>
                <c:pt idx="243">
                  <c:v>2.226804333961967</c:v>
                </c:pt>
                <c:pt idx="244">
                  <c:v>1.5173231544502177</c:v>
                </c:pt>
                <c:pt idx="245">
                  <c:v>1.351934535422801</c:v>
                </c:pt>
                <c:pt idx="246">
                  <c:v>1.649578283506135</c:v>
                </c:pt>
                <c:pt idx="247">
                  <c:v>1.6706415634065737</c:v>
                </c:pt>
                <c:pt idx="248">
                  <c:v>3.4872822367819616</c:v>
                </c:pt>
                <c:pt idx="249">
                  <c:v>3.4724847166824624</c:v>
                </c:pt>
                <c:pt idx="250">
                  <c:v>3.2763843126979917</c:v>
                </c:pt>
                <c:pt idx="251">
                  <c:v>3.2560621494903539</c:v>
                </c:pt>
                <c:pt idx="252">
                  <c:v>3.3564461639150021</c:v>
                </c:pt>
                <c:pt idx="253">
                  <c:v>3.3494922008682169</c:v>
                </c:pt>
                <c:pt idx="254">
                  <c:v>2.6242898657708054</c:v>
                </c:pt>
                <c:pt idx="255">
                  <c:v>2.7756175295634287</c:v>
                </c:pt>
                <c:pt idx="256">
                  <c:v>1.8113307185544554</c:v>
                </c:pt>
                <c:pt idx="257">
                  <c:v>1.5873395236395706</c:v>
                </c:pt>
                <c:pt idx="258">
                  <c:v>2.3968898250261241</c:v>
                </c:pt>
                <c:pt idx="259">
                  <c:v>1.6104550162570681</c:v>
                </c:pt>
                <c:pt idx="260">
                  <c:v>1.4571988895401744</c:v>
                </c:pt>
                <c:pt idx="261">
                  <c:v>1.3523744146328167</c:v>
                </c:pt>
                <c:pt idx="262">
                  <c:v>1.8581291628547163</c:v>
                </c:pt>
                <c:pt idx="263">
                  <c:v>1.9691110177056528</c:v>
                </c:pt>
                <c:pt idx="264">
                  <c:v>1.6844942416423301</c:v>
                </c:pt>
                <c:pt idx="265">
                  <c:v>1.5312635885804775</c:v>
                </c:pt>
                <c:pt idx="266">
                  <c:v>1.1875713646393697</c:v>
                </c:pt>
                <c:pt idx="267">
                  <c:v>1.2867956956222946</c:v>
                </c:pt>
                <c:pt idx="268">
                  <c:v>2.4281246243137233</c:v>
                </c:pt>
                <c:pt idx="269">
                  <c:v>2.5314105225121426</c:v>
                </c:pt>
                <c:pt idx="270">
                  <c:v>2.426985071922775</c:v>
                </c:pt>
                <c:pt idx="271">
                  <c:v>2.3834667189089873</c:v>
                </c:pt>
                <c:pt idx="272">
                  <c:v>2.4460777087109391</c:v>
                </c:pt>
                <c:pt idx="273">
                  <c:v>2.4392924723483564</c:v>
                </c:pt>
                <c:pt idx="274">
                  <c:v>1</c:v>
                </c:pt>
                <c:pt idx="27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B28-4A10-B173-638EC1ADF92B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(2)'!$P$20:$P$94</c:f>
            </c:numRef>
          </c:xVal>
          <c:yVal>
            <c:numRef>
              <c:f>'headed (2)'!$CY$20:$CY$94</c:f>
            </c:numRef>
          </c:yVal>
          <c:smooth val="0"/>
          <c:extLst>
            <c:ext xmlns:c16="http://schemas.microsoft.com/office/drawing/2014/chart" uri="{C3380CC4-5D6E-409C-BE32-E72D297353CC}">
              <c16:uniqueId val="{00000003-EB28-4A10-B173-638EC1ADF92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(2)'!$AS$20:$AS$53</c:f>
            </c:numRef>
          </c:xVal>
          <c:yVal>
            <c:numRef>
              <c:f>'headed (2)'!$AS$54:$AS$55</c:f>
            </c:numRef>
          </c:yVal>
          <c:smooth val="0"/>
          <c:extLst>
            <c:ext xmlns:c16="http://schemas.microsoft.com/office/drawing/2014/chart" uri="{C3380CC4-5D6E-409C-BE32-E72D297353CC}">
              <c16:uniqueId val="{00000004-EB28-4A10-B173-638EC1ADF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10432"/>
        <c:axId val="130298240"/>
      </c:scatterChart>
      <c:valAx>
        <c:axId val="1302104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98240"/>
        <c:crosses val="autoZero"/>
        <c:crossBetween val="midCat"/>
      </c:valAx>
      <c:valAx>
        <c:axId val="130298240"/>
        <c:scaling>
          <c:orientation val="minMax"/>
          <c:max val="2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104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'headed (2)'!$AE$105:$AE$147</c:f>
            </c:numRef>
          </c:xVal>
          <c:yVal>
            <c:numRef>
              <c:f>'headed (2)'!$CY$105:$CY$147</c:f>
            </c:numRef>
          </c:yVal>
          <c:smooth val="0"/>
          <c:extLst>
            <c:ext xmlns:c16="http://schemas.microsoft.com/office/drawing/2014/chart" uri="{C3380CC4-5D6E-409C-BE32-E72D297353CC}">
              <c16:uniqueId val="{00000000-C68F-44AC-A1FB-D214E2AFE218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8F-44AC-A1FB-D214E2AFE218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(2)'!$AE$154:$AE$548</c:f>
              <c:numCache>
                <c:formatCode>General</c:formatCode>
                <c:ptCount val="36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4.5</c:v>
                </c:pt>
                <c:pt idx="19">
                  <c:v>4.5</c:v>
                </c:pt>
                <c:pt idx="20">
                  <c:v>4.5</c:v>
                </c:pt>
                <c:pt idx="21">
                  <c:v>5.5</c:v>
                </c:pt>
                <c:pt idx="22">
                  <c:v>4.5</c:v>
                </c:pt>
                <c:pt idx="23">
                  <c:v>5.5</c:v>
                </c:pt>
                <c:pt idx="24">
                  <c:v>5.5</c:v>
                </c:pt>
                <c:pt idx="25">
                  <c:v>5.5</c:v>
                </c:pt>
                <c:pt idx="26">
                  <c:v>4</c:v>
                </c:pt>
                <c:pt idx="27">
                  <c:v>3.8</c:v>
                </c:pt>
                <c:pt idx="28">
                  <c:v>3.9</c:v>
                </c:pt>
                <c:pt idx="29">
                  <c:v>4.5</c:v>
                </c:pt>
                <c:pt idx="30">
                  <c:v>1.9505332604034158</c:v>
                </c:pt>
                <c:pt idx="31">
                  <c:v>4.5</c:v>
                </c:pt>
                <c:pt idx="32">
                  <c:v>5.5</c:v>
                </c:pt>
                <c:pt idx="33">
                  <c:v>3.9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5.5</c:v>
                </c:pt>
                <c:pt idx="41">
                  <c:v>4.5</c:v>
                </c:pt>
                <c:pt idx="42">
                  <c:v>5.5</c:v>
                </c:pt>
                <c:pt idx="43">
                  <c:v>4.5</c:v>
                </c:pt>
                <c:pt idx="44">
                  <c:v>5.5</c:v>
                </c:pt>
                <c:pt idx="45">
                  <c:v>3.8</c:v>
                </c:pt>
                <c:pt idx="46">
                  <c:v>3.8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3.8</c:v>
                </c:pt>
                <c:pt idx="56">
                  <c:v>8.6</c:v>
                </c:pt>
                <c:pt idx="57">
                  <c:v>3.8</c:v>
                </c:pt>
                <c:pt idx="58">
                  <c:v>3.8</c:v>
                </c:pt>
                <c:pt idx="59">
                  <c:v>3.8</c:v>
                </c:pt>
                <c:pt idx="60">
                  <c:v>8.6</c:v>
                </c:pt>
                <c:pt idx="61">
                  <c:v>9.5</c:v>
                </c:pt>
                <c:pt idx="62">
                  <c:v>9.5</c:v>
                </c:pt>
                <c:pt idx="63">
                  <c:v>8.6</c:v>
                </c:pt>
                <c:pt idx="64">
                  <c:v>3.8</c:v>
                </c:pt>
                <c:pt idx="65">
                  <c:v>9.5</c:v>
                </c:pt>
                <c:pt idx="66">
                  <c:v>9.5</c:v>
                </c:pt>
                <c:pt idx="67">
                  <c:v>3.8</c:v>
                </c:pt>
                <c:pt idx="68">
                  <c:v>8.6</c:v>
                </c:pt>
                <c:pt idx="69">
                  <c:v>9.5</c:v>
                </c:pt>
                <c:pt idx="70">
                  <c:v>9.1</c:v>
                </c:pt>
                <c:pt idx="71">
                  <c:v>9.5</c:v>
                </c:pt>
                <c:pt idx="72">
                  <c:v>9.5</c:v>
                </c:pt>
                <c:pt idx="73">
                  <c:v>9.5</c:v>
                </c:pt>
                <c:pt idx="74">
                  <c:v>9.1</c:v>
                </c:pt>
                <c:pt idx="75">
                  <c:v>9.5</c:v>
                </c:pt>
                <c:pt idx="76">
                  <c:v>9.5</c:v>
                </c:pt>
                <c:pt idx="77">
                  <c:v>9.1</c:v>
                </c:pt>
                <c:pt idx="78">
                  <c:v>9.5</c:v>
                </c:pt>
                <c:pt idx="79">
                  <c:v>9.1</c:v>
                </c:pt>
                <c:pt idx="80">
                  <c:v>9.5</c:v>
                </c:pt>
                <c:pt idx="81">
                  <c:v>6.5</c:v>
                </c:pt>
                <c:pt idx="82">
                  <c:v>4.5</c:v>
                </c:pt>
                <c:pt idx="83">
                  <c:v>9.1</c:v>
                </c:pt>
                <c:pt idx="84">
                  <c:v>9.5</c:v>
                </c:pt>
                <c:pt idx="85">
                  <c:v>9.1</c:v>
                </c:pt>
                <c:pt idx="86">
                  <c:v>2.0051727652257014</c:v>
                </c:pt>
                <c:pt idx="87">
                  <c:v>4</c:v>
                </c:pt>
                <c:pt idx="88">
                  <c:v>4</c:v>
                </c:pt>
                <c:pt idx="89">
                  <c:v>8.6</c:v>
                </c:pt>
                <c:pt idx="90">
                  <c:v>4</c:v>
                </c:pt>
                <c:pt idx="91">
                  <c:v>3.9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6.5</c:v>
                </c:pt>
                <c:pt idx="96">
                  <c:v>4.0999999999999996</c:v>
                </c:pt>
                <c:pt idx="97">
                  <c:v>4</c:v>
                </c:pt>
                <c:pt idx="98">
                  <c:v>4.0999999999999996</c:v>
                </c:pt>
                <c:pt idx="99">
                  <c:v>9.1</c:v>
                </c:pt>
                <c:pt idx="100">
                  <c:v>8.6</c:v>
                </c:pt>
                <c:pt idx="101">
                  <c:v>9.1</c:v>
                </c:pt>
                <c:pt idx="102">
                  <c:v>3.9</c:v>
                </c:pt>
                <c:pt idx="103">
                  <c:v>3.8</c:v>
                </c:pt>
                <c:pt idx="104">
                  <c:v>4.0999999999999996</c:v>
                </c:pt>
                <c:pt idx="105">
                  <c:v>4</c:v>
                </c:pt>
                <c:pt idx="106">
                  <c:v>9.1</c:v>
                </c:pt>
                <c:pt idx="107">
                  <c:v>4.0999999999999996</c:v>
                </c:pt>
                <c:pt idx="108">
                  <c:v>3.8</c:v>
                </c:pt>
                <c:pt idx="109">
                  <c:v>3.8</c:v>
                </c:pt>
                <c:pt idx="110">
                  <c:v>4.0999999999999996</c:v>
                </c:pt>
                <c:pt idx="111">
                  <c:v>4.5</c:v>
                </c:pt>
                <c:pt idx="112">
                  <c:v>4.0999999999999996</c:v>
                </c:pt>
                <c:pt idx="113">
                  <c:v>9.1</c:v>
                </c:pt>
                <c:pt idx="114">
                  <c:v>9.1</c:v>
                </c:pt>
                <c:pt idx="115">
                  <c:v>9.1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5.3152807724479523</c:v>
                </c:pt>
                <c:pt idx="120">
                  <c:v>5.3152807724479523</c:v>
                </c:pt>
                <c:pt idx="121">
                  <c:v>4.5</c:v>
                </c:pt>
                <c:pt idx="122">
                  <c:v>1.9505332604034158</c:v>
                </c:pt>
                <c:pt idx="123">
                  <c:v>1.9505332604034158</c:v>
                </c:pt>
                <c:pt idx="124">
                  <c:v>7.0469088920093164</c:v>
                </c:pt>
                <c:pt idx="125">
                  <c:v>4.5</c:v>
                </c:pt>
                <c:pt idx="126">
                  <c:v>6.5</c:v>
                </c:pt>
                <c:pt idx="127">
                  <c:v>2.0051727652257014</c:v>
                </c:pt>
                <c:pt idx="128">
                  <c:v>1.9505332604034158</c:v>
                </c:pt>
                <c:pt idx="129">
                  <c:v>2.0051727652257014</c:v>
                </c:pt>
                <c:pt idx="130">
                  <c:v>2.0051727652257014</c:v>
                </c:pt>
                <c:pt idx="131">
                  <c:v>4.4639504822285474</c:v>
                </c:pt>
                <c:pt idx="132">
                  <c:v>6.5</c:v>
                </c:pt>
                <c:pt idx="133">
                  <c:v>4.0999999999999996</c:v>
                </c:pt>
                <c:pt idx="134">
                  <c:v>4.0999999999999996</c:v>
                </c:pt>
                <c:pt idx="135">
                  <c:v>4.0999999999999996</c:v>
                </c:pt>
                <c:pt idx="136">
                  <c:v>4.0999999999999996</c:v>
                </c:pt>
                <c:pt idx="137">
                  <c:v>4.0999999999999996</c:v>
                </c:pt>
                <c:pt idx="138">
                  <c:v>4.0999999999999996</c:v>
                </c:pt>
                <c:pt idx="139">
                  <c:v>4.0999999999999996</c:v>
                </c:pt>
                <c:pt idx="140">
                  <c:v>4.0999999999999996</c:v>
                </c:pt>
                <c:pt idx="141">
                  <c:v>4.0999999999999996</c:v>
                </c:pt>
                <c:pt idx="142">
                  <c:v>4.0999999999999996</c:v>
                </c:pt>
                <c:pt idx="143">
                  <c:v>4.0999999999999996</c:v>
                </c:pt>
                <c:pt idx="144">
                  <c:v>4.0999999999999996</c:v>
                </c:pt>
                <c:pt idx="145">
                  <c:v>4.0999999999999996</c:v>
                </c:pt>
                <c:pt idx="146">
                  <c:v>4.0999999999999996</c:v>
                </c:pt>
                <c:pt idx="147">
                  <c:v>9.1</c:v>
                </c:pt>
                <c:pt idx="148">
                  <c:v>4.0999999999999996</c:v>
                </c:pt>
                <c:pt idx="149">
                  <c:v>4.0999999999999996</c:v>
                </c:pt>
                <c:pt idx="150">
                  <c:v>4.0999999999999996</c:v>
                </c:pt>
                <c:pt idx="151">
                  <c:v>4.0999999999999996</c:v>
                </c:pt>
                <c:pt idx="152">
                  <c:v>4.0999999999999996</c:v>
                </c:pt>
                <c:pt idx="153">
                  <c:v>4.0999999999999996</c:v>
                </c:pt>
                <c:pt idx="154">
                  <c:v>4.0999999999999996</c:v>
                </c:pt>
                <c:pt idx="155">
                  <c:v>9.1</c:v>
                </c:pt>
                <c:pt idx="156">
                  <c:v>4.0999999999999996</c:v>
                </c:pt>
                <c:pt idx="157">
                  <c:v>4.0999999999999996</c:v>
                </c:pt>
                <c:pt idx="158">
                  <c:v>9.1</c:v>
                </c:pt>
                <c:pt idx="159">
                  <c:v>9.1</c:v>
                </c:pt>
                <c:pt idx="160">
                  <c:v>4.0999999999999996</c:v>
                </c:pt>
                <c:pt idx="161">
                  <c:v>12.9</c:v>
                </c:pt>
                <c:pt idx="162">
                  <c:v>14.9</c:v>
                </c:pt>
                <c:pt idx="163">
                  <c:v>4</c:v>
                </c:pt>
                <c:pt idx="164">
                  <c:v>9.1</c:v>
                </c:pt>
                <c:pt idx="165">
                  <c:v>4.0999999999999996</c:v>
                </c:pt>
                <c:pt idx="166">
                  <c:v>9.5</c:v>
                </c:pt>
                <c:pt idx="167">
                  <c:v>9.5</c:v>
                </c:pt>
                <c:pt idx="168">
                  <c:v>4</c:v>
                </c:pt>
                <c:pt idx="169">
                  <c:v>4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9.5</c:v>
                </c:pt>
                <c:pt idx="179">
                  <c:v>12.9</c:v>
                </c:pt>
                <c:pt idx="180">
                  <c:v>9.5</c:v>
                </c:pt>
                <c:pt idx="181">
                  <c:v>4.5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9.5</c:v>
                </c:pt>
                <c:pt idx="187">
                  <c:v>4</c:v>
                </c:pt>
                <c:pt idx="188">
                  <c:v>4</c:v>
                </c:pt>
                <c:pt idx="189">
                  <c:v>4.5</c:v>
                </c:pt>
                <c:pt idx="190">
                  <c:v>9.5</c:v>
                </c:pt>
                <c:pt idx="191">
                  <c:v>4</c:v>
                </c:pt>
                <c:pt idx="192">
                  <c:v>4.5</c:v>
                </c:pt>
                <c:pt idx="193">
                  <c:v>4</c:v>
                </c:pt>
                <c:pt idx="194">
                  <c:v>6.5</c:v>
                </c:pt>
                <c:pt idx="195">
                  <c:v>4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</c:v>
                </c:pt>
                <c:pt idx="200">
                  <c:v>6.5</c:v>
                </c:pt>
                <c:pt idx="201">
                  <c:v>5.3152807724479523</c:v>
                </c:pt>
                <c:pt idx="202">
                  <c:v>5.3152807724479523</c:v>
                </c:pt>
                <c:pt idx="203">
                  <c:v>2.205004992017336</c:v>
                </c:pt>
                <c:pt idx="204">
                  <c:v>14.9</c:v>
                </c:pt>
                <c:pt idx="205">
                  <c:v>14.9</c:v>
                </c:pt>
                <c:pt idx="206">
                  <c:v>3.1973074158937482</c:v>
                </c:pt>
                <c:pt idx="207">
                  <c:v>2.0051727652257014</c:v>
                </c:pt>
                <c:pt idx="208">
                  <c:v>6.4993959172819435</c:v>
                </c:pt>
                <c:pt idx="209">
                  <c:v>4.5</c:v>
                </c:pt>
                <c:pt idx="210">
                  <c:v>4</c:v>
                </c:pt>
                <c:pt idx="211">
                  <c:v>4</c:v>
                </c:pt>
                <c:pt idx="212">
                  <c:v>9.5</c:v>
                </c:pt>
                <c:pt idx="213">
                  <c:v>4</c:v>
                </c:pt>
                <c:pt idx="214">
                  <c:v>14.9</c:v>
                </c:pt>
                <c:pt idx="215">
                  <c:v>4</c:v>
                </c:pt>
                <c:pt idx="216">
                  <c:v>4.0999999999999996</c:v>
                </c:pt>
                <c:pt idx="217">
                  <c:v>4.0999999999999996</c:v>
                </c:pt>
                <c:pt idx="218">
                  <c:v>4.0999999999999996</c:v>
                </c:pt>
                <c:pt idx="219">
                  <c:v>9.1</c:v>
                </c:pt>
                <c:pt idx="220">
                  <c:v>4.0999999999999996</c:v>
                </c:pt>
                <c:pt idx="221">
                  <c:v>13.1</c:v>
                </c:pt>
                <c:pt idx="222">
                  <c:v>9.1</c:v>
                </c:pt>
                <c:pt idx="223">
                  <c:v>4.0999999999999996</c:v>
                </c:pt>
                <c:pt idx="224">
                  <c:v>9.1</c:v>
                </c:pt>
                <c:pt idx="225">
                  <c:v>9.1</c:v>
                </c:pt>
                <c:pt idx="226">
                  <c:v>9.5</c:v>
                </c:pt>
                <c:pt idx="227">
                  <c:v>4.0999999999999996</c:v>
                </c:pt>
                <c:pt idx="228">
                  <c:v>4.0999999999999996</c:v>
                </c:pt>
                <c:pt idx="229">
                  <c:v>4</c:v>
                </c:pt>
                <c:pt idx="230">
                  <c:v>13.1</c:v>
                </c:pt>
                <c:pt idx="231">
                  <c:v>9.1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4.0999999999999996</c:v>
                </c:pt>
                <c:pt idx="236">
                  <c:v>13.1</c:v>
                </c:pt>
                <c:pt idx="237">
                  <c:v>9.5</c:v>
                </c:pt>
                <c:pt idx="238">
                  <c:v>14.9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13.1</c:v>
                </c:pt>
                <c:pt idx="257">
                  <c:v>4</c:v>
                </c:pt>
                <c:pt idx="258">
                  <c:v>13.1</c:v>
                </c:pt>
                <c:pt idx="259">
                  <c:v>4</c:v>
                </c:pt>
                <c:pt idx="260">
                  <c:v>13.1</c:v>
                </c:pt>
                <c:pt idx="261">
                  <c:v>4</c:v>
                </c:pt>
                <c:pt idx="262">
                  <c:v>13.1</c:v>
                </c:pt>
                <c:pt idx="263">
                  <c:v>13.1</c:v>
                </c:pt>
                <c:pt idx="264">
                  <c:v>13.1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91">
                  <c:v>9.5</c:v>
                </c:pt>
                <c:pt idx="292">
                  <c:v>9.5</c:v>
                </c:pt>
                <c:pt idx="293">
                  <c:v>4</c:v>
                </c:pt>
                <c:pt idx="294">
                  <c:v>4</c:v>
                </c:pt>
                <c:pt idx="295">
                  <c:v>4.0999999999999996</c:v>
                </c:pt>
                <c:pt idx="296">
                  <c:v>4.0999999999999996</c:v>
                </c:pt>
                <c:pt idx="297">
                  <c:v>9.1</c:v>
                </c:pt>
                <c:pt idx="298">
                  <c:v>9.1</c:v>
                </c:pt>
                <c:pt idx="299">
                  <c:v>4.0999999999999996</c:v>
                </c:pt>
                <c:pt idx="300">
                  <c:v>9.1</c:v>
                </c:pt>
                <c:pt idx="301">
                  <c:v>4</c:v>
                </c:pt>
                <c:pt idx="302">
                  <c:v>9.5</c:v>
                </c:pt>
                <c:pt idx="303">
                  <c:v>12.9</c:v>
                </c:pt>
                <c:pt idx="304">
                  <c:v>9.1</c:v>
                </c:pt>
                <c:pt idx="305">
                  <c:v>6.5</c:v>
                </c:pt>
                <c:pt idx="306">
                  <c:v>4.5</c:v>
                </c:pt>
                <c:pt idx="307">
                  <c:v>14</c:v>
                </c:pt>
                <c:pt idx="308">
                  <c:v>6.5</c:v>
                </c:pt>
                <c:pt idx="309">
                  <c:v>12.9</c:v>
                </c:pt>
                <c:pt idx="310">
                  <c:v>4.5</c:v>
                </c:pt>
                <c:pt idx="311">
                  <c:v>9.5</c:v>
                </c:pt>
                <c:pt idx="312">
                  <c:v>9.5</c:v>
                </c:pt>
                <c:pt idx="313">
                  <c:v>4.0999999999999996</c:v>
                </c:pt>
                <c:pt idx="314">
                  <c:v>4.0999999999999996</c:v>
                </c:pt>
                <c:pt idx="315">
                  <c:v>4.0999999999999996</c:v>
                </c:pt>
                <c:pt idx="316">
                  <c:v>4.0999999999999996</c:v>
                </c:pt>
                <c:pt idx="317">
                  <c:v>4.0999999999999996</c:v>
                </c:pt>
                <c:pt idx="318">
                  <c:v>4.0999999999999996</c:v>
                </c:pt>
                <c:pt idx="319">
                  <c:v>4.0999999999999996</c:v>
                </c:pt>
                <c:pt idx="320">
                  <c:v>4.0999999999999996</c:v>
                </c:pt>
                <c:pt idx="321">
                  <c:v>4.0999999999999996</c:v>
                </c:pt>
                <c:pt idx="322">
                  <c:v>4.0999999999999996</c:v>
                </c:pt>
              </c:numCache>
            </c:numRef>
          </c:xVal>
          <c:yVal>
            <c:numRef>
              <c:f>'headed (2)'!$CY$154:$CY$541</c:f>
              <c:numCache>
                <c:formatCode>General</c:formatCode>
                <c:ptCount val="361"/>
                <c:pt idx="0">
                  <c:v>1.5692649380457224</c:v>
                </c:pt>
                <c:pt idx="1">
                  <c:v>1.5838852696285155</c:v>
                </c:pt>
                <c:pt idx="2">
                  <c:v>1.6446377336345006</c:v>
                </c:pt>
                <c:pt idx="3">
                  <c:v>2.0897350040707581</c:v>
                </c:pt>
                <c:pt idx="4">
                  <c:v>1.9310412434474262</c:v>
                </c:pt>
                <c:pt idx="5">
                  <c:v>2.096867205449839</c:v>
                </c:pt>
                <c:pt idx="6">
                  <c:v>1.794720670111744</c:v>
                </c:pt>
                <c:pt idx="7">
                  <c:v>1.5380197612821445</c:v>
                </c:pt>
                <c:pt idx="8">
                  <c:v>1.4210468912230823</c:v>
                </c:pt>
                <c:pt idx="9">
                  <c:v>1.1019664488447403</c:v>
                </c:pt>
                <c:pt idx="10">
                  <c:v>1.3886226253286234</c:v>
                </c:pt>
                <c:pt idx="11">
                  <c:v>1.5700011264151312</c:v>
                </c:pt>
                <c:pt idx="12">
                  <c:v>1.9957036604518148</c:v>
                </c:pt>
                <c:pt idx="13">
                  <c:v>1.5911627720568966</c:v>
                </c:pt>
                <c:pt idx="14">
                  <c:v>1.5424576588157013</c:v>
                </c:pt>
                <c:pt idx="15">
                  <c:v>1.5409103389183063</c:v>
                </c:pt>
                <c:pt idx="16">
                  <c:v>1.491198292511049</c:v>
                </c:pt>
                <c:pt idx="17">
                  <c:v>1.7548839458286425</c:v>
                </c:pt>
                <c:pt idx="18">
                  <c:v>2.019483679818086</c:v>
                </c:pt>
                <c:pt idx="19">
                  <c:v>1.618747126999279</c:v>
                </c:pt>
                <c:pt idx="20">
                  <c:v>1.7616301001435395</c:v>
                </c:pt>
                <c:pt idx="21">
                  <c:v>1.8607883579121227</c:v>
                </c:pt>
                <c:pt idx="22">
                  <c:v>1.8239555927677222</c:v>
                </c:pt>
                <c:pt idx="23">
                  <c:v>1.6528810129954532</c:v>
                </c:pt>
                <c:pt idx="24">
                  <c:v>1.8554105991258989</c:v>
                </c:pt>
                <c:pt idx="25">
                  <c:v>2.0047597914593944</c:v>
                </c:pt>
                <c:pt idx="26">
                  <c:v>2.5434263085789133</c:v>
                </c:pt>
                <c:pt idx="27">
                  <c:v>1.6522350926872018</c:v>
                </c:pt>
                <c:pt idx="28">
                  <c:v>1.5816026934977176</c:v>
                </c:pt>
                <c:pt idx="29">
                  <c:v>1.5398515478642198</c:v>
                </c:pt>
                <c:pt idx="30">
                  <c:v>1.8483645889323053</c:v>
                </c:pt>
                <c:pt idx="31">
                  <c:v>1.4366977144918935</c:v>
                </c:pt>
                <c:pt idx="32">
                  <c:v>1.6671220701684981</c:v>
                </c:pt>
                <c:pt idx="33">
                  <c:v>1.8427952176594291</c:v>
                </c:pt>
                <c:pt idx="34">
                  <c:v>1.6540735818514851</c:v>
                </c:pt>
                <c:pt idx="35">
                  <c:v>1.6540735818514851</c:v>
                </c:pt>
                <c:pt idx="36">
                  <c:v>1.4874383120901835</c:v>
                </c:pt>
                <c:pt idx="37">
                  <c:v>1.4874383120901835</c:v>
                </c:pt>
                <c:pt idx="38">
                  <c:v>1.6715512745016297</c:v>
                </c:pt>
                <c:pt idx="39">
                  <c:v>1.6715512745016297</c:v>
                </c:pt>
                <c:pt idx="40">
                  <c:v>1.1973043210093592</c:v>
                </c:pt>
                <c:pt idx="41">
                  <c:v>1.1281032287987234</c:v>
                </c:pt>
                <c:pt idx="42">
                  <c:v>1.8834336158062253</c:v>
                </c:pt>
                <c:pt idx="43">
                  <c:v>1.8812925966750933</c:v>
                </c:pt>
                <c:pt idx="44">
                  <c:v>1.7038194945882996</c:v>
                </c:pt>
                <c:pt idx="45">
                  <c:v>1.6135859013275426</c:v>
                </c:pt>
                <c:pt idx="46">
                  <c:v>1.4292915545702025</c:v>
                </c:pt>
                <c:pt idx="47">
                  <c:v>1.97217424829744</c:v>
                </c:pt>
                <c:pt idx="48">
                  <c:v>1.97217424829744</c:v>
                </c:pt>
                <c:pt idx="49">
                  <c:v>1.9952585337426647</c:v>
                </c:pt>
                <c:pt idx="50">
                  <c:v>1.9952585337426647</c:v>
                </c:pt>
                <c:pt idx="51">
                  <c:v>2.502367304628951</c:v>
                </c:pt>
                <c:pt idx="52">
                  <c:v>2.502367304628951</c:v>
                </c:pt>
                <c:pt idx="53">
                  <c:v>1.2751919840719188</c:v>
                </c:pt>
                <c:pt idx="54">
                  <c:v>1.3506140519746308</c:v>
                </c:pt>
                <c:pt idx="55">
                  <c:v>1.0116192816151657</c:v>
                </c:pt>
                <c:pt idx="56">
                  <c:v>1.0732932449490427</c:v>
                </c:pt>
                <c:pt idx="57">
                  <c:v>1.0185169608474394</c:v>
                </c:pt>
                <c:pt idx="58">
                  <c:v>1.2411149415901028</c:v>
                </c:pt>
                <c:pt idx="59">
                  <c:v>0.69063533625701745</c:v>
                </c:pt>
                <c:pt idx="60">
                  <c:v>1.627708019089664</c:v>
                </c:pt>
                <c:pt idx="61">
                  <c:v>1.4354232666084592</c:v>
                </c:pt>
                <c:pt idx="62">
                  <c:v>1.560884934514343</c:v>
                </c:pt>
                <c:pt idx="63">
                  <c:v>1.2523599085817319</c:v>
                </c:pt>
                <c:pt idx="64">
                  <c:v>0.97005999442265467</c:v>
                </c:pt>
                <c:pt idx="65">
                  <c:v>1.5355299544104395</c:v>
                </c:pt>
                <c:pt idx="66">
                  <c:v>1.5872436499070057</c:v>
                </c:pt>
                <c:pt idx="67">
                  <c:v>0.91594080710970804</c:v>
                </c:pt>
                <c:pt idx="68">
                  <c:v>1.2093370725585242</c:v>
                </c:pt>
                <c:pt idx="69">
                  <c:v>1.7312915853777464</c:v>
                </c:pt>
                <c:pt idx="70">
                  <c:v>2.0143868559808893</c:v>
                </c:pt>
                <c:pt idx="71">
                  <c:v>1.6049667825079759</c:v>
                </c:pt>
                <c:pt idx="72">
                  <c:v>1.8564322726263891</c:v>
                </c:pt>
                <c:pt idx="73">
                  <c:v>1.6213066041161099</c:v>
                </c:pt>
                <c:pt idx="74">
                  <c:v>1.7503100546994845</c:v>
                </c:pt>
                <c:pt idx="75">
                  <c:v>1.7225622808684895</c:v>
                </c:pt>
                <c:pt idx="76">
                  <c:v>2.0436666783234134</c:v>
                </c:pt>
                <c:pt idx="77">
                  <c:v>1.678318926344234</c:v>
                </c:pt>
                <c:pt idx="78">
                  <c:v>1.4899632682400843</c:v>
                </c:pt>
                <c:pt idx="79">
                  <c:v>2.0084145966035742</c:v>
                </c:pt>
                <c:pt idx="80">
                  <c:v>1.6429720783454635</c:v>
                </c:pt>
                <c:pt idx="81">
                  <c:v>1.6028554172537091</c:v>
                </c:pt>
                <c:pt idx="82">
                  <c:v>1.4906266830836274</c:v>
                </c:pt>
                <c:pt idx="83">
                  <c:v>2.1389892476287438</c:v>
                </c:pt>
                <c:pt idx="84">
                  <c:v>1.8151122257280927</c:v>
                </c:pt>
                <c:pt idx="85">
                  <c:v>1.5399308845379911</c:v>
                </c:pt>
                <c:pt idx="86">
                  <c:v>1.7137964299552733</c:v>
                </c:pt>
                <c:pt idx="87">
                  <c:v>1.4398870419702952</c:v>
                </c:pt>
                <c:pt idx="88">
                  <c:v>1.5354665759203094</c:v>
                </c:pt>
                <c:pt idx="89">
                  <c:v>1.4696900496732774</c:v>
                </c:pt>
                <c:pt idx="90">
                  <c:v>1.8303996348577347</c:v>
                </c:pt>
                <c:pt idx="91">
                  <c:v>1.3974642339462553</c:v>
                </c:pt>
                <c:pt idx="92">
                  <c:v>1.5139899705847897</c:v>
                </c:pt>
                <c:pt idx="93">
                  <c:v>2.0746404680628681</c:v>
                </c:pt>
                <c:pt idx="94">
                  <c:v>1.6765075296519178</c:v>
                </c:pt>
                <c:pt idx="95">
                  <c:v>1.623611685263433</c:v>
                </c:pt>
                <c:pt idx="96">
                  <c:v>1.3377450555781216</c:v>
                </c:pt>
                <c:pt idx="97">
                  <c:v>1.7265845077744686</c:v>
                </c:pt>
                <c:pt idx="98">
                  <c:v>1.2826380649004223</c:v>
                </c:pt>
                <c:pt idx="99">
                  <c:v>1.0680010435748619</c:v>
                </c:pt>
                <c:pt idx="100">
                  <c:v>1.3131143007808823</c:v>
                </c:pt>
                <c:pt idx="101">
                  <c:v>1.6414242600002831</c:v>
                </c:pt>
                <c:pt idx="102">
                  <c:v>1.085274259902747</c:v>
                </c:pt>
                <c:pt idx="103">
                  <c:v>1.4397576090914905</c:v>
                </c:pt>
                <c:pt idx="104">
                  <c:v>1.1610070301058955</c:v>
                </c:pt>
                <c:pt idx="105">
                  <c:v>1.5779241384977041</c:v>
                </c:pt>
                <c:pt idx="106">
                  <c:v>1.4272035302680499</c:v>
                </c:pt>
                <c:pt idx="107">
                  <c:v>1.0669685458984943</c:v>
                </c:pt>
                <c:pt idx="108">
                  <c:v>1.1056114992723238</c:v>
                </c:pt>
                <c:pt idx="109">
                  <c:v>1.3401047785481524</c:v>
                </c:pt>
                <c:pt idx="110">
                  <c:v>1.0166221143746004</c:v>
                </c:pt>
                <c:pt idx="111">
                  <c:v>1.4934888450846682</c:v>
                </c:pt>
                <c:pt idx="112">
                  <c:v>1.4545506164396904</c:v>
                </c:pt>
                <c:pt idx="113">
                  <c:v>1.5671872526272181</c:v>
                </c:pt>
                <c:pt idx="114">
                  <c:v>1.7214912231681421</c:v>
                </c:pt>
                <c:pt idx="115">
                  <c:v>1.1974991561843304</c:v>
                </c:pt>
                <c:pt idx="116">
                  <c:v>0.96129394656467926</c:v>
                </c:pt>
                <c:pt idx="117">
                  <c:v>1.2785719938235214</c:v>
                </c:pt>
                <c:pt idx="118">
                  <c:v>1.3098915185197448</c:v>
                </c:pt>
                <c:pt idx="119">
                  <c:v>1.0324950798962937</c:v>
                </c:pt>
                <c:pt idx="120">
                  <c:v>1.3582301682762954</c:v>
                </c:pt>
                <c:pt idx="121">
                  <c:v>0.90762534595970545</c:v>
                </c:pt>
                <c:pt idx="122">
                  <c:v>1.1163081599228812</c:v>
                </c:pt>
                <c:pt idx="123">
                  <c:v>1.3187489627900544</c:v>
                </c:pt>
                <c:pt idx="124">
                  <c:v>1.7054171816068107</c:v>
                </c:pt>
                <c:pt idx="125">
                  <c:v>0.99617785069192466</c:v>
                </c:pt>
                <c:pt idx="126">
                  <c:v>1.051317145691999</c:v>
                </c:pt>
                <c:pt idx="127">
                  <c:v>1.2380919937878554</c:v>
                </c:pt>
                <c:pt idx="128">
                  <c:v>0.98516281921633742</c:v>
                </c:pt>
                <c:pt idx="129">
                  <c:v>1.4559039363893846</c:v>
                </c:pt>
                <c:pt idx="130">
                  <c:v>1.5899976895949632</c:v>
                </c:pt>
                <c:pt idx="131">
                  <c:v>1.4957640290850434</c:v>
                </c:pt>
                <c:pt idx="132">
                  <c:v>1.0210557999824699</c:v>
                </c:pt>
                <c:pt idx="133">
                  <c:v>0.98097068748379734</c:v>
                </c:pt>
                <c:pt idx="134">
                  <c:v>1.0355623876435345</c:v>
                </c:pt>
                <c:pt idx="135">
                  <c:v>0.89800579941581282</c:v>
                </c:pt>
                <c:pt idx="136">
                  <c:v>1.026278911927931</c:v>
                </c:pt>
                <c:pt idx="137">
                  <c:v>0.97531366488201143</c:v>
                </c:pt>
                <c:pt idx="138">
                  <c:v>1.2076437156812905</c:v>
                </c:pt>
                <c:pt idx="139">
                  <c:v>1.0909962422431996</c:v>
                </c:pt>
                <c:pt idx="140">
                  <c:v>0.95166687424883689</c:v>
                </c:pt>
                <c:pt idx="141">
                  <c:v>0.9393306132040562</c:v>
                </c:pt>
                <c:pt idx="142">
                  <c:v>0.95884996399514588</c:v>
                </c:pt>
                <c:pt idx="143">
                  <c:v>1.2275313013278444</c:v>
                </c:pt>
                <c:pt idx="144">
                  <c:v>0.85631332847185648</c:v>
                </c:pt>
                <c:pt idx="145">
                  <c:v>1.0122595831277816</c:v>
                </c:pt>
                <c:pt idx="146">
                  <c:v>1.0555684263285166</c:v>
                </c:pt>
                <c:pt idx="147">
                  <c:v>1.0237310466798923</c:v>
                </c:pt>
                <c:pt idx="148">
                  <c:v>0.75738494469674067</c:v>
                </c:pt>
                <c:pt idx="149">
                  <c:v>0.7688185795271586</c:v>
                </c:pt>
                <c:pt idx="150">
                  <c:v>0.73864862864762737</c:v>
                </c:pt>
                <c:pt idx="151">
                  <c:v>0.88210240843168164</c:v>
                </c:pt>
                <c:pt idx="152">
                  <c:v>1.0184221931806774</c:v>
                </c:pt>
                <c:pt idx="153">
                  <c:v>0.63658061415316614</c:v>
                </c:pt>
                <c:pt idx="154">
                  <c:v>0.61800778838527559</c:v>
                </c:pt>
                <c:pt idx="155">
                  <c:v>0.67872485494033818</c:v>
                </c:pt>
                <c:pt idx="156">
                  <c:v>0.94979047422646845</c:v>
                </c:pt>
                <c:pt idx="157">
                  <c:v>0.98660780016235983</c:v>
                </c:pt>
                <c:pt idx="158">
                  <c:v>0.70367808719437008</c:v>
                </c:pt>
                <c:pt idx="159">
                  <c:v>0.65027889870200761</c:v>
                </c:pt>
                <c:pt idx="160">
                  <c:v>0.75449639049580097</c:v>
                </c:pt>
                <c:pt idx="161">
                  <c:v>1.0814969925658282</c:v>
                </c:pt>
                <c:pt idx="162">
                  <c:v>0.95168248490077645</c:v>
                </c:pt>
                <c:pt idx="163">
                  <c:v>0.96051437093285852</c:v>
                </c:pt>
                <c:pt idx="164">
                  <c:v>0.83340478977310528</c:v>
                </c:pt>
                <c:pt idx="165">
                  <c:v>0.93949066396852476</c:v>
                </c:pt>
                <c:pt idx="166">
                  <c:v>0.96079814882500592</c:v>
                </c:pt>
                <c:pt idx="167">
                  <c:v>0.88772695202762453</c:v>
                </c:pt>
                <c:pt idx="168">
                  <c:v>1.1793748514869569</c:v>
                </c:pt>
                <c:pt idx="169">
                  <c:v>1.0114255979953197</c:v>
                </c:pt>
                <c:pt idx="170">
                  <c:v>0.72179535196685451</c:v>
                </c:pt>
                <c:pt idx="171">
                  <c:v>0.94633885858091515</c:v>
                </c:pt>
                <c:pt idx="172">
                  <c:v>0.89214840379637628</c:v>
                </c:pt>
                <c:pt idx="173">
                  <c:v>1.1787643163301271</c:v>
                </c:pt>
                <c:pt idx="174">
                  <c:v>1.0276805768179793</c:v>
                </c:pt>
                <c:pt idx="175">
                  <c:v>0.87833333333333341</c:v>
                </c:pt>
                <c:pt idx="176">
                  <c:v>0.62319362436667958</c:v>
                </c:pt>
                <c:pt idx="177">
                  <c:v>0.87917179348650509</c:v>
                </c:pt>
                <c:pt idx="178">
                  <c:v>0.90958443196571492</c:v>
                </c:pt>
                <c:pt idx="179">
                  <c:v>0.99413885294838056</c:v>
                </c:pt>
                <c:pt idx="180">
                  <c:v>0.81958454427477145</c:v>
                </c:pt>
                <c:pt idx="181">
                  <c:v>0.98277763354811387</c:v>
                </c:pt>
                <c:pt idx="182">
                  <c:v>0.9161935541106252</c:v>
                </c:pt>
                <c:pt idx="183">
                  <c:v>1.2347092535127056</c:v>
                </c:pt>
                <c:pt idx="184">
                  <c:v>0.79497862339968595</c:v>
                </c:pt>
                <c:pt idx="185">
                  <c:v>1.1078590441518625</c:v>
                </c:pt>
                <c:pt idx="186">
                  <c:v>0.77187994815402661</c:v>
                </c:pt>
                <c:pt idx="187">
                  <c:v>1.0612133921380551</c:v>
                </c:pt>
                <c:pt idx="188">
                  <c:v>1.2622199993298189</c:v>
                </c:pt>
                <c:pt idx="189">
                  <c:v>0.89515643202731698</c:v>
                </c:pt>
                <c:pt idx="190">
                  <c:v>0.86504992090891586</c:v>
                </c:pt>
                <c:pt idx="191">
                  <c:v>1.4143463626576895</c:v>
                </c:pt>
                <c:pt idx="192">
                  <c:v>0.81066942187607538</c:v>
                </c:pt>
                <c:pt idx="193">
                  <c:v>1.0750809484919404</c:v>
                </c:pt>
                <c:pt idx="194">
                  <c:v>0.92467198904083814</c:v>
                </c:pt>
                <c:pt idx="195">
                  <c:v>1.0255837865554474</c:v>
                </c:pt>
                <c:pt idx="196">
                  <c:v>0.89753775945612424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2.2278048827998371</c:v>
                </c:pt>
                <c:pt idx="200">
                  <c:v>1.5151167350293466</c:v>
                </c:pt>
                <c:pt idx="201">
                  <c:v>1.4738851451493513</c:v>
                </c:pt>
                <c:pt idx="202">
                  <c:v>1.7031111416982552</c:v>
                </c:pt>
                <c:pt idx="203">
                  <c:v>1.3453438012059822</c:v>
                </c:pt>
                <c:pt idx="204">
                  <c:v>1.731758202447683</c:v>
                </c:pt>
                <c:pt idx="205">
                  <c:v>1.9142631106667445</c:v>
                </c:pt>
                <c:pt idx="206">
                  <c:v>2.5258582854795466</c:v>
                </c:pt>
                <c:pt idx="207">
                  <c:v>1.4842785522928055</c:v>
                </c:pt>
                <c:pt idx="208">
                  <c:v>1.8155625474566859</c:v>
                </c:pt>
                <c:pt idx="209">
                  <c:v>1.6590638296996747</c:v>
                </c:pt>
                <c:pt idx="210">
                  <c:v>2.4380497966331038</c:v>
                </c:pt>
                <c:pt idx="211">
                  <c:v>2.4636058741659457</c:v>
                </c:pt>
                <c:pt idx="212">
                  <c:v>1.3327587691667713</c:v>
                </c:pt>
                <c:pt idx="213">
                  <c:v>1.0824860548652508</c:v>
                </c:pt>
                <c:pt idx="214">
                  <c:v>1.6008115856850342</c:v>
                </c:pt>
                <c:pt idx="215">
                  <c:v>1.6863346843418161</c:v>
                </c:pt>
                <c:pt idx="216">
                  <c:v>1.0788549020126255</c:v>
                </c:pt>
                <c:pt idx="217">
                  <c:v>1.6031941418598026</c:v>
                </c:pt>
                <c:pt idx="218">
                  <c:v>1.0842825744116804</c:v>
                </c:pt>
                <c:pt idx="219">
                  <c:v>1.7894468224730991</c:v>
                </c:pt>
                <c:pt idx="220">
                  <c:v>1.7433677731711112</c:v>
                </c:pt>
                <c:pt idx="221">
                  <c:v>1.697827799212775</c:v>
                </c:pt>
                <c:pt idx="222">
                  <c:v>1.1036377176784957</c:v>
                </c:pt>
                <c:pt idx="223">
                  <c:v>1.1508423840732456</c:v>
                </c:pt>
                <c:pt idx="224">
                  <c:v>2.0370562080807706</c:v>
                </c:pt>
                <c:pt idx="225">
                  <c:v>1.2933704868741975</c:v>
                </c:pt>
                <c:pt idx="226">
                  <c:v>1.3045051452426668</c:v>
                </c:pt>
                <c:pt idx="227">
                  <c:v>1.5531423718553099</c:v>
                </c:pt>
                <c:pt idx="228">
                  <c:v>1.0516411430045192</c:v>
                </c:pt>
                <c:pt idx="229">
                  <c:v>1.9857553822289242</c:v>
                </c:pt>
                <c:pt idx="230">
                  <c:v>1.4853019156950511</c:v>
                </c:pt>
                <c:pt idx="231">
                  <c:v>1.597463993520754</c:v>
                </c:pt>
                <c:pt idx="232">
                  <c:v>1.5052684293177485</c:v>
                </c:pt>
                <c:pt idx="233">
                  <c:v>1.7449699422328022</c:v>
                </c:pt>
                <c:pt idx="234">
                  <c:v>1.291340863422106</c:v>
                </c:pt>
                <c:pt idx="235">
                  <c:v>1.7309716556713737</c:v>
                </c:pt>
                <c:pt idx="236">
                  <c:v>2.356880352834843</c:v>
                </c:pt>
                <c:pt idx="237">
                  <c:v>1.756014516688875</c:v>
                </c:pt>
                <c:pt idx="238">
                  <c:v>2.0624467853963915</c:v>
                </c:pt>
                <c:pt idx="239">
                  <c:v>1.3495646193214026</c:v>
                </c:pt>
                <c:pt idx="240">
                  <c:v>1.8878427439141436</c:v>
                </c:pt>
                <c:pt idx="241">
                  <c:v>1.8917218728399947</c:v>
                </c:pt>
                <c:pt idx="242">
                  <c:v>1.4822802361136755</c:v>
                </c:pt>
                <c:pt idx="243">
                  <c:v>2.226804333961967</c:v>
                </c:pt>
                <c:pt idx="244">
                  <c:v>1.5173231544502177</c:v>
                </c:pt>
                <c:pt idx="245">
                  <c:v>1.351934535422801</c:v>
                </c:pt>
                <c:pt idx="246">
                  <c:v>1.649578283506135</c:v>
                </c:pt>
                <c:pt idx="247">
                  <c:v>1.6706415634065737</c:v>
                </c:pt>
                <c:pt idx="248">
                  <c:v>3.4872822367819616</c:v>
                </c:pt>
                <c:pt idx="249">
                  <c:v>3.4724847166824624</c:v>
                </c:pt>
                <c:pt idx="250">
                  <c:v>3.2763843126979917</c:v>
                </c:pt>
                <c:pt idx="251">
                  <c:v>3.2560621494903539</c:v>
                </c:pt>
                <c:pt idx="252">
                  <c:v>3.3564461639150021</c:v>
                </c:pt>
                <c:pt idx="253">
                  <c:v>3.3494922008682169</c:v>
                </c:pt>
                <c:pt idx="254">
                  <c:v>2.6242898657708054</c:v>
                </c:pt>
                <c:pt idx="255">
                  <c:v>2.7756175295634287</c:v>
                </c:pt>
                <c:pt idx="256">
                  <c:v>1.8113307185544554</c:v>
                </c:pt>
                <c:pt idx="257">
                  <c:v>1.5873395236395706</c:v>
                </c:pt>
                <c:pt idx="258">
                  <c:v>2.3968898250261241</c:v>
                </c:pt>
                <c:pt idx="259">
                  <c:v>1.6104550162570681</c:v>
                </c:pt>
                <c:pt idx="260">
                  <c:v>1.4571988895401744</c:v>
                </c:pt>
                <c:pt idx="261">
                  <c:v>1.3523744146328167</c:v>
                </c:pt>
                <c:pt idx="262">
                  <c:v>1.8581291628547163</c:v>
                </c:pt>
                <c:pt idx="263">
                  <c:v>1.9691110177056528</c:v>
                </c:pt>
                <c:pt idx="264">
                  <c:v>1.6844942416423301</c:v>
                </c:pt>
                <c:pt idx="265">
                  <c:v>1.5312635885804775</c:v>
                </c:pt>
                <c:pt idx="266">
                  <c:v>1.1875713646393697</c:v>
                </c:pt>
                <c:pt idx="267">
                  <c:v>1.2867956956222946</c:v>
                </c:pt>
                <c:pt idx="268">
                  <c:v>2.4281246243137233</c:v>
                </c:pt>
                <c:pt idx="269">
                  <c:v>2.5314105225121426</c:v>
                </c:pt>
                <c:pt idx="270">
                  <c:v>2.426985071922775</c:v>
                </c:pt>
                <c:pt idx="271">
                  <c:v>2.3834667189089873</c:v>
                </c:pt>
                <c:pt idx="272">
                  <c:v>2.4460777087109391</c:v>
                </c:pt>
                <c:pt idx="273">
                  <c:v>2.4392924723483564</c:v>
                </c:pt>
                <c:pt idx="274">
                  <c:v>1</c:v>
                </c:pt>
                <c:pt idx="27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8F-44AC-A1FB-D214E2AFE218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(2)'!$AE$20:$AE$94</c:f>
            </c:numRef>
          </c:xVal>
          <c:yVal>
            <c:numRef>
              <c:f>'headed (2)'!$CY$20:$CY$94</c:f>
            </c:numRef>
          </c:yVal>
          <c:smooth val="0"/>
          <c:extLst>
            <c:ext xmlns:c16="http://schemas.microsoft.com/office/drawing/2014/chart" uri="{C3380CC4-5D6E-409C-BE32-E72D297353CC}">
              <c16:uniqueId val="{00000003-C68F-44AC-A1FB-D214E2AFE21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(2)'!$AS$20:$AS$53</c:f>
            </c:numRef>
          </c:xVal>
          <c:yVal>
            <c:numRef>
              <c:f>'headed (2)'!$AS$54:$AS$55</c:f>
            </c:numRef>
          </c:yVal>
          <c:smooth val="0"/>
          <c:extLst>
            <c:ext xmlns:c16="http://schemas.microsoft.com/office/drawing/2014/chart" uri="{C3380CC4-5D6E-409C-BE32-E72D297353CC}">
              <c16:uniqueId val="{00000004-C68F-44AC-A1FB-D214E2AFE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41888"/>
        <c:axId val="130347776"/>
      </c:scatterChart>
      <c:valAx>
        <c:axId val="130341888"/>
        <c:scaling>
          <c:orientation val="minMax"/>
          <c:max val="1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7776"/>
        <c:crosses val="autoZero"/>
        <c:crossBetween val="midCat"/>
      </c:valAx>
      <c:valAx>
        <c:axId val="130347776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188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(2)'!$O$20:$O$1282</c:f>
              <c:numCache>
                <c:formatCode>General</c:formatCode>
                <c:ptCount val="1102"/>
                <c:pt idx="0">
                  <c:v>16</c:v>
                </c:pt>
                <c:pt idx="1">
                  <c:v>16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13.921985815602838</c:v>
                </c:pt>
                <c:pt idx="19">
                  <c:v>13.829787234042554</c:v>
                </c:pt>
                <c:pt idx="20">
                  <c:v>13.787234042553195</c:v>
                </c:pt>
                <c:pt idx="21">
                  <c:v>13.744680851063832</c:v>
                </c:pt>
                <c:pt idx="22">
                  <c:v>13.744680851063832</c:v>
                </c:pt>
                <c:pt idx="23">
                  <c:v>13.680851063829788</c:v>
                </c:pt>
                <c:pt idx="24">
                  <c:v>13.652482269503549</c:v>
                </c:pt>
                <c:pt idx="25">
                  <c:v>13.567375886524824</c:v>
                </c:pt>
                <c:pt idx="26">
                  <c:v>8.3595113438045381</c:v>
                </c:pt>
                <c:pt idx="27">
                  <c:v>12.368794326241137</c:v>
                </c:pt>
                <c:pt idx="28">
                  <c:v>12.234042553191491</c:v>
                </c:pt>
                <c:pt idx="29">
                  <c:v>12.148936170212767</c:v>
                </c:pt>
                <c:pt idx="30">
                  <c:v>12.067039106145252</c:v>
                </c:pt>
                <c:pt idx="31">
                  <c:v>12.056737588652483</c:v>
                </c:pt>
                <c:pt idx="32">
                  <c:v>12.014184397163124</c:v>
                </c:pt>
                <c:pt idx="33">
                  <c:v>12.014184397163124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12.000000000000004</c:v>
                </c:pt>
                <c:pt idx="41">
                  <c:v>12.000000000000004</c:v>
                </c:pt>
                <c:pt idx="42">
                  <c:v>11.921985815602838</c:v>
                </c:pt>
                <c:pt idx="43">
                  <c:v>11.921985815602838</c:v>
                </c:pt>
                <c:pt idx="44">
                  <c:v>11.879432624113477</c:v>
                </c:pt>
                <c:pt idx="45">
                  <c:v>11.858156028368795</c:v>
                </c:pt>
                <c:pt idx="46">
                  <c:v>11.744680851063832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15.749999999999998</c:v>
                </c:pt>
                <c:pt idx="54">
                  <c:v>15.28</c:v>
                </c:pt>
                <c:pt idx="55">
                  <c:v>10.581560283687944</c:v>
                </c:pt>
                <c:pt idx="56">
                  <c:v>10.43262411347518</c:v>
                </c:pt>
                <c:pt idx="57">
                  <c:v>10.418439716312058</c:v>
                </c:pt>
                <c:pt idx="58">
                  <c:v>10.418439716312058</c:v>
                </c:pt>
                <c:pt idx="59">
                  <c:v>10.375886524822697</c:v>
                </c:pt>
                <c:pt idx="60">
                  <c:v>10.375886524822697</c:v>
                </c:pt>
                <c:pt idx="61">
                  <c:v>14.58</c:v>
                </c:pt>
                <c:pt idx="62">
                  <c:v>14.58</c:v>
                </c:pt>
                <c:pt idx="63">
                  <c:v>10.312056737588653</c:v>
                </c:pt>
                <c:pt idx="64">
                  <c:v>10.312056737588653</c:v>
                </c:pt>
                <c:pt idx="65">
                  <c:v>14.54</c:v>
                </c:pt>
                <c:pt idx="66">
                  <c:v>14.54</c:v>
                </c:pt>
                <c:pt idx="67">
                  <c:v>10.283687943262413</c:v>
                </c:pt>
                <c:pt idx="68">
                  <c:v>10.283687943262413</c:v>
                </c:pt>
                <c:pt idx="69">
                  <c:v>14.499999999999998</c:v>
                </c:pt>
                <c:pt idx="70">
                  <c:v>14.499999999999998</c:v>
                </c:pt>
                <c:pt idx="71">
                  <c:v>14.42</c:v>
                </c:pt>
                <c:pt idx="72">
                  <c:v>14.42</c:v>
                </c:pt>
                <c:pt idx="73">
                  <c:v>14.38</c:v>
                </c:pt>
                <c:pt idx="74">
                  <c:v>14.38</c:v>
                </c:pt>
                <c:pt idx="75">
                  <c:v>14.38</c:v>
                </c:pt>
                <c:pt idx="76">
                  <c:v>14.38</c:v>
                </c:pt>
                <c:pt idx="77">
                  <c:v>14.35</c:v>
                </c:pt>
                <c:pt idx="78">
                  <c:v>14.299999999999999</c:v>
                </c:pt>
                <c:pt idx="79">
                  <c:v>14.27</c:v>
                </c:pt>
                <c:pt idx="80">
                  <c:v>14.25</c:v>
                </c:pt>
                <c:pt idx="81">
                  <c:v>14.25</c:v>
                </c:pt>
                <c:pt idx="82">
                  <c:v>14.13</c:v>
                </c:pt>
                <c:pt idx="83">
                  <c:v>14.09</c:v>
                </c:pt>
                <c:pt idx="84">
                  <c:v>14.080000000000002</c:v>
                </c:pt>
                <c:pt idx="85">
                  <c:v>14.059999999999999</c:v>
                </c:pt>
                <c:pt idx="86">
                  <c:v>9.9441340782122918</c:v>
                </c:pt>
                <c:pt idx="87">
                  <c:v>12.66</c:v>
                </c:pt>
                <c:pt idx="88">
                  <c:v>12.590000000000002</c:v>
                </c:pt>
                <c:pt idx="89">
                  <c:v>8.9078014184397176</c:v>
                </c:pt>
                <c:pt idx="90">
                  <c:v>12.56</c:v>
                </c:pt>
                <c:pt idx="91">
                  <c:v>8.8652482269503565</c:v>
                </c:pt>
                <c:pt idx="92">
                  <c:v>12.5</c:v>
                </c:pt>
                <c:pt idx="93">
                  <c:v>12.439999999999998</c:v>
                </c:pt>
                <c:pt idx="94">
                  <c:v>12.38</c:v>
                </c:pt>
                <c:pt idx="95">
                  <c:v>12.31</c:v>
                </c:pt>
                <c:pt idx="96">
                  <c:v>12.21</c:v>
                </c:pt>
                <c:pt idx="97">
                  <c:v>12.19</c:v>
                </c:pt>
                <c:pt idx="98">
                  <c:v>12.17</c:v>
                </c:pt>
                <c:pt idx="99">
                  <c:v>12.17</c:v>
                </c:pt>
                <c:pt idx="100">
                  <c:v>8.6028368794326244</c:v>
                </c:pt>
                <c:pt idx="101">
                  <c:v>12.129999999999999</c:v>
                </c:pt>
                <c:pt idx="102">
                  <c:v>8.6028368794326244</c:v>
                </c:pt>
                <c:pt idx="103">
                  <c:v>8.5744680851063837</c:v>
                </c:pt>
                <c:pt idx="104">
                  <c:v>12.06</c:v>
                </c:pt>
                <c:pt idx="105">
                  <c:v>12.06</c:v>
                </c:pt>
                <c:pt idx="106">
                  <c:v>12.04</c:v>
                </c:pt>
                <c:pt idx="107">
                  <c:v>12.03</c:v>
                </c:pt>
                <c:pt idx="108">
                  <c:v>8.5106382978723403</c:v>
                </c:pt>
                <c:pt idx="109">
                  <c:v>8.5106382978723403</c:v>
                </c:pt>
                <c:pt idx="110">
                  <c:v>11.999999999999998</c:v>
                </c:pt>
                <c:pt idx="111">
                  <c:v>11.999999999999998</c:v>
                </c:pt>
                <c:pt idx="112">
                  <c:v>11.97</c:v>
                </c:pt>
                <c:pt idx="113">
                  <c:v>11.95</c:v>
                </c:pt>
                <c:pt idx="114">
                  <c:v>11.9</c:v>
                </c:pt>
                <c:pt idx="115">
                  <c:v>11.88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11.299212598425198</c:v>
                </c:pt>
                <c:pt idx="120">
                  <c:v>11.299212598425198</c:v>
                </c:pt>
                <c:pt idx="121">
                  <c:v>11.25</c:v>
                </c:pt>
                <c:pt idx="122">
                  <c:v>7.9608938547486039</c:v>
                </c:pt>
                <c:pt idx="123">
                  <c:v>7.9608938547486039</c:v>
                </c:pt>
                <c:pt idx="124">
                  <c:v>7.9608938547486039</c:v>
                </c:pt>
                <c:pt idx="125">
                  <c:v>11.13</c:v>
                </c:pt>
                <c:pt idx="126">
                  <c:v>11.06</c:v>
                </c:pt>
                <c:pt idx="127">
                  <c:v>7.8212290502793298</c:v>
                </c:pt>
                <c:pt idx="128">
                  <c:v>7.8212290502793298</c:v>
                </c:pt>
                <c:pt idx="129">
                  <c:v>7.8212290502793298</c:v>
                </c:pt>
                <c:pt idx="130">
                  <c:v>7.8212290502793298</c:v>
                </c:pt>
                <c:pt idx="131">
                  <c:v>7.8212290502793298</c:v>
                </c:pt>
                <c:pt idx="132">
                  <c:v>10.94</c:v>
                </c:pt>
                <c:pt idx="133">
                  <c:v>10.83</c:v>
                </c:pt>
                <c:pt idx="134">
                  <c:v>10.58</c:v>
                </c:pt>
                <c:pt idx="135">
                  <c:v>10.5</c:v>
                </c:pt>
                <c:pt idx="136">
                  <c:v>10.35</c:v>
                </c:pt>
                <c:pt idx="137">
                  <c:v>10.33</c:v>
                </c:pt>
                <c:pt idx="138">
                  <c:v>10.33</c:v>
                </c:pt>
                <c:pt idx="139">
                  <c:v>10.29</c:v>
                </c:pt>
                <c:pt idx="140">
                  <c:v>10.25</c:v>
                </c:pt>
                <c:pt idx="141">
                  <c:v>10.130000000000001</c:v>
                </c:pt>
                <c:pt idx="142">
                  <c:v>10.1</c:v>
                </c:pt>
                <c:pt idx="143">
                  <c:v>10.08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9.94</c:v>
                </c:pt>
                <c:pt idx="148">
                  <c:v>9.92</c:v>
                </c:pt>
                <c:pt idx="149">
                  <c:v>9.92</c:v>
                </c:pt>
                <c:pt idx="150">
                  <c:v>9.9</c:v>
                </c:pt>
                <c:pt idx="151">
                  <c:v>9.8800000000000008</c:v>
                </c:pt>
                <c:pt idx="152">
                  <c:v>9.8800000000000008</c:v>
                </c:pt>
                <c:pt idx="153">
                  <c:v>9.8800000000000008</c:v>
                </c:pt>
                <c:pt idx="154">
                  <c:v>9.8800000000000008</c:v>
                </c:pt>
                <c:pt idx="155">
                  <c:v>9.81</c:v>
                </c:pt>
                <c:pt idx="156">
                  <c:v>9.7899999999999991</c:v>
                </c:pt>
                <c:pt idx="157">
                  <c:v>9.77</c:v>
                </c:pt>
                <c:pt idx="158">
                  <c:v>9.75</c:v>
                </c:pt>
                <c:pt idx="159">
                  <c:v>9.75</c:v>
                </c:pt>
                <c:pt idx="160">
                  <c:v>9.69</c:v>
                </c:pt>
                <c:pt idx="161">
                  <c:v>9.69</c:v>
                </c:pt>
                <c:pt idx="162">
                  <c:v>9.69</c:v>
                </c:pt>
                <c:pt idx="163">
                  <c:v>9.66</c:v>
                </c:pt>
                <c:pt idx="164">
                  <c:v>9.6300000000000008</c:v>
                </c:pt>
                <c:pt idx="165">
                  <c:v>9.6</c:v>
                </c:pt>
                <c:pt idx="166">
                  <c:v>9.58</c:v>
                </c:pt>
                <c:pt idx="167">
                  <c:v>9.58</c:v>
                </c:pt>
                <c:pt idx="168">
                  <c:v>9.56</c:v>
                </c:pt>
                <c:pt idx="169">
                  <c:v>9.56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9.4700000000000006</c:v>
                </c:pt>
                <c:pt idx="177">
                  <c:v>9.4600000000000009</c:v>
                </c:pt>
                <c:pt idx="178">
                  <c:v>9.42</c:v>
                </c:pt>
                <c:pt idx="179">
                  <c:v>9.3800000000000008</c:v>
                </c:pt>
                <c:pt idx="180">
                  <c:v>9.3800000000000008</c:v>
                </c:pt>
                <c:pt idx="181">
                  <c:v>9.3800000000000008</c:v>
                </c:pt>
                <c:pt idx="182">
                  <c:v>9.3800000000000008</c:v>
                </c:pt>
                <c:pt idx="183">
                  <c:v>9.33</c:v>
                </c:pt>
                <c:pt idx="184">
                  <c:v>9.33</c:v>
                </c:pt>
                <c:pt idx="185">
                  <c:v>9.31</c:v>
                </c:pt>
                <c:pt idx="186">
                  <c:v>9.25</c:v>
                </c:pt>
                <c:pt idx="187">
                  <c:v>9.25</c:v>
                </c:pt>
                <c:pt idx="188">
                  <c:v>9.25</c:v>
                </c:pt>
                <c:pt idx="189">
                  <c:v>9.25</c:v>
                </c:pt>
                <c:pt idx="190">
                  <c:v>9.19</c:v>
                </c:pt>
                <c:pt idx="191">
                  <c:v>9.19</c:v>
                </c:pt>
                <c:pt idx="192">
                  <c:v>9.19</c:v>
                </c:pt>
                <c:pt idx="193">
                  <c:v>9.17</c:v>
                </c:pt>
                <c:pt idx="194">
                  <c:v>9.1300000000000008</c:v>
                </c:pt>
                <c:pt idx="195">
                  <c:v>9.06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6.061452513966481</c:v>
                </c:pt>
                <c:pt idx="200">
                  <c:v>8.31</c:v>
                </c:pt>
                <c:pt idx="201">
                  <c:v>8.3070866141732296</c:v>
                </c:pt>
                <c:pt idx="202">
                  <c:v>8.3070866141732296</c:v>
                </c:pt>
                <c:pt idx="203">
                  <c:v>8.3070866141732296</c:v>
                </c:pt>
                <c:pt idx="204">
                  <c:v>8.25</c:v>
                </c:pt>
                <c:pt idx="205">
                  <c:v>8.25</c:v>
                </c:pt>
                <c:pt idx="206">
                  <c:v>5.8379888268156428</c:v>
                </c:pt>
                <c:pt idx="207">
                  <c:v>5.6983240223463696</c:v>
                </c:pt>
                <c:pt idx="208">
                  <c:v>8.0314960629921259</c:v>
                </c:pt>
                <c:pt idx="209">
                  <c:v>8</c:v>
                </c:pt>
                <c:pt idx="210">
                  <c:v>6</c:v>
                </c:pt>
                <c:pt idx="211">
                  <c:v>6</c:v>
                </c:pt>
                <c:pt idx="212">
                  <c:v>7.06</c:v>
                </c:pt>
                <c:pt idx="213">
                  <c:v>7.06</c:v>
                </c:pt>
                <c:pt idx="214">
                  <c:v>7</c:v>
                </c:pt>
                <c:pt idx="215">
                  <c:v>6.3385826771653546</c:v>
                </c:pt>
                <c:pt idx="216">
                  <c:v>6.33</c:v>
                </c:pt>
                <c:pt idx="217">
                  <c:v>6.29</c:v>
                </c:pt>
                <c:pt idx="218">
                  <c:v>6.25</c:v>
                </c:pt>
                <c:pt idx="219">
                  <c:v>6.25</c:v>
                </c:pt>
                <c:pt idx="220">
                  <c:v>6.25</c:v>
                </c:pt>
                <c:pt idx="221">
                  <c:v>9.9519999999999982</c:v>
                </c:pt>
                <c:pt idx="222">
                  <c:v>6.21</c:v>
                </c:pt>
                <c:pt idx="223">
                  <c:v>6.19</c:v>
                </c:pt>
                <c:pt idx="224">
                  <c:v>6.16</c:v>
                </c:pt>
                <c:pt idx="225">
                  <c:v>6.13</c:v>
                </c:pt>
                <c:pt idx="226">
                  <c:v>6.13</c:v>
                </c:pt>
                <c:pt idx="227">
                  <c:v>6.0999999999999988</c:v>
                </c:pt>
                <c:pt idx="228">
                  <c:v>6.09</c:v>
                </c:pt>
                <c:pt idx="229">
                  <c:v>9.695999999999998</c:v>
                </c:pt>
                <c:pt idx="230">
                  <c:v>9.6479999999999997</c:v>
                </c:pt>
                <c:pt idx="231">
                  <c:v>6.03</c:v>
                </c:pt>
                <c:pt idx="232">
                  <c:v>9.5999999999999979</c:v>
                </c:pt>
                <c:pt idx="233">
                  <c:v>9.5999999999999979</c:v>
                </c:pt>
                <c:pt idx="234">
                  <c:v>9.5999999999999979</c:v>
                </c:pt>
                <c:pt idx="235">
                  <c:v>5.9999999999999991</c:v>
                </c:pt>
                <c:pt idx="236">
                  <c:v>9.5039999999999996</c:v>
                </c:pt>
                <c:pt idx="237">
                  <c:v>5.63</c:v>
                </c:pt>
                <c:pt idx="238">
                  <c:v>5.5</c:v>
                </c:pt>
                <c:pt idx="239">
                  <c:v>5.5</c:v>
                </c:pt>
                <c:pt idx="240">
                  <c:v>6</c:v>
                </c:pt>
                <c:pt idx="241">
                  <c:v>6</c:v>
                </c:pt>
                <c:pt idx="242">
                  <c:v>8.3040000000000003</c:v>
                </c:pt>
                <c:pt idx="243">
                  <c:v>8.3040000000000003</c:v>
                </c:pt>
                <c:pt idx="244">
                  <c:v>8.24</c:v>
                </c:pt>
                <c:pt idx="245">
                  <c:v>8.0640000000000001</c:v>
                </c:pt>
                <c:pt idx="246">
                  <c:v>8.048</c:v>
                </c:pt>
                <c:pt idx="247">
                  <c:v>8.0319999999999983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7.056</c:v>
                </c:pt>
                <c:pt idx="257">
                  <c:v>6.7519999999999989</c:v>
                </c:pt>
                <c:pt idx="258">
                  <c:v>6.7039999999999997</c:v>
                </c:pt>
                <c:pt idx="259">
                  <c:v>6.6559999999999997</c:v>
                </c:pt>
                <c:pt idx="260">
                  <c:v>6.6079999999999988</c:v>
                </c:pt>
                <c:pt idx="261">
                  <c:v>6.6079999999999988</c:v>
                </c:pt>
                <c:pt idx="262">
                  <c:v>6.6079999999999988</c:v>
                </c:pt>
                <c:pt idx="263">
                  <c:v>6.5439999999999996</c:v>
                </c:pt>
                <c:pt idx="264">
                  <c:v>6.5439999999999996</c:v>
                </c:pt>
                <c:pt idx="265">
                  <c:v>6.4959999999999987</c:v>
                </c:pt>
                <c:pt idx="266">
                  <c:v>6.4959999999999987</c:v>
                </c:pt>
                <c:pt idx="267">
                  <c:v>6.0960000000000001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91">
                  <c:v>8</c:v>
                </c:pt>
                <c:pt idx="292">
                  <c:v>8.3000000000000007</c:v>
                </c:pt>
                <c:pt idx="293">
                  <c:v>8.5</c:v>
                </c:pt>
                <c:pt idx="294">
                  <c:v>7.5</c:v>
                </c:pt>
                <c:pt idx="295">
                  <c:v>7.4</c:v>
                </c:pt>
                <c:pt idx="296">
                  <c:v>7.4</c:v>
                </c:pt>
                <c:pt idx="297">
                  <c:v>7.1</c:v>
                </c:pt>
                <c:pt idx="298">
                  <c:v>7</c:v>
                </c:pt>
                <c:pt idx="299">
                  <c:v>5.9999999999999991</c:v>
                </c:pt>
                <c:pt idx="300">
                  <c:v>5.9999999999999991</c:v>
                </c:pt>
                <c:pt idx="301">
                  <c:v>6.0999999999999988</c:v>
                </c:pt>
                <c:pt idx="302">
                  <c:v>6.0999999999999988</c:v>
                </c:pt>
                <c:pt idx="303">
                  <c:v>6.3</c:v>
                </c:pt>
                <c:pt idx="304">
                  <c:v>6.3</c:v>
                </c:pt>
                <c:pt idx="305">
                  <c:v>6.4</c:v>
                </c:pt>
                <c:pt idx="306">
                  <c:v>6.5</c:v>
                </c:pt>
                <c:pt idx="307">
                  <c:v>6.5</c:v>
                </c:pt>
                <c:pt idx="308">
                  <c:v>6.5</c:v>
                </c:pt>
                <c:pt idx="309">
                  <c:v>6.6</c:v>
                </c:pt>
                <c:pt idx="310">
                  <c:v>6.5</c:v>
                </c:pt>
                <c:pt idx="311">
                  <c:v>6.5</c:v>
                </c:pt>
                <c:pt idx="312">
                  <c:v>6.4</c:v>
                </c:pt>
                <c:pt idx="313">
                  <c:v>8.4</c:v>
                </c:pt>
                <c:pt idx="314">
                  <c:v>6.5</c:v>
                </c:pt>
                <c:pt idx="315">
                  <c:v>6.3</c:v>
                </c:pt>
                <c:pt idx="316">
                  <c:v>6.8000000000000007</c:v>
                </c:pt>
                <c:pt idx="317">
                  <c:v>5.9999999999999991</c:v>
                </c:pt>
                <c:pt idx="318">
                  <c:v>6.0999999999999988</c:v>
                </c:pt>
                <c:pt idx="319">
                  <c:v>6.8000000000000007</c:v>
                </c:pt>
                <c:pt idx="320">
                  <c:v>6.3</c:v>
                </c:pt>
                <c:pt idx="321">
                  <c:v>6.6</c:v>
                </c:pt>
                <c:pt idx="322">
                  <c:v>6.9</c:v>
                </c:pt>
                <c:pt idx="329">
                  <c:v>20</c:v>
                </c:pt>
                <c:pt idx="330">
                  <c:v>20</c:v>
                </c:pt>
                <c:pt idx="331">
                  <c:v>7</c:v>
                </c:pt>
                <c:pt idx="332">
                  <c:v>7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13</c:v>
                </c:pt>
                <c:pt idx="337">
                  <c:v>13</c:v>
                </c:pt>
                <c:pt idx="338">
                  <c:v>13</c:v>
                </c:pt>
                <c:pt idx="339">
                  <c:v>16</c:v>
                </c:pt>
                <c:pt idx="340">
                  <c:v>7</c:v>
                </c:pt>
                <c:pt idx="341">
                  <c:v>7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16</c:v>
                </c:pt>
                <c:pt idx="349">
                  <c:v>20</c:v>
                </c:pt>
                <c:pt idx="350">
                  <c:v>20</c:v>
                </c:pt>
                <c:pt idx="351">
                  <c:v>7</c:v>
                </c:pt>
                <c:pt idx="352">
                  <c:v>10</c:v>
                </c:pt>
                <c:pt idx="353">
                  <c:v>13</c:v>
                </c:pt>
                <c:pt idx="354">
                  <c:v>7</c:v>
                </c:pt>
                <c:pt idx="355">
                  <c:v>10</c:v>
                </c:pt>
                <c:pt idx="356">
                  <c:v>13</c:v>
                </c:pt>
                <c:pt idx="357">
                  <c:v>16</c:v>
                </c:pt>
                <c:pt idx="358">
                  <c:v>16</c:v>
                </c:pt>
                <c:pt idx="359">
                  <c:v>20</c:v>
                </c:pt>
                <c:pt idx="360">
                  <c:v>20</c:v>
                </c:pt>
                <c:pt idx="361">
                  <c:v>23</c:v>
                </c:pt>
                <c:pt idx="362">
                  <c:v>23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</c:numCache>
            </c:numRef>
          </c:xVal>
          <c:yVal>
            <c:numRef>
              <c:f>'headed (2)'!$CY$20:$CY$1282</c:f>
              <c:numCache>
                <c:formatCode>General</c:formatCode>
                <c:ptCount val="1102"/>
                <c:pt idx="0">
                  <c:v>1.5692649380457224</c:v>
                </c:pt>
                <c:pt idx="1">
                  <c:v>1.5838852696285155</c:v>
                </c:pt>
                <c:pt idx="2">
                  <c:v>1.6446377336345006</c:v>
                </c:pt>
                <c:pt idx="3">
                  <c:v>2.0897350040707581</c:v>
                </c:pt>
                <c:pt idx="4">
                  <c:v>1.9310412434474262</c:v>
                </c:pt>
                <c:pt idx="5">
                  <c:v>2.096867205449839</c:v>
                </c:pt>
                <c:pt idx="6">
                  <c:v>1.794720670111744</c:v>
                </c:pt>
                <c:pt idx="7">
                  <c:v>1.5380197612821445</c:v>
                </c:pt>
                <c:pt idx="8">
                  <c:v>1.4210468912230823</c:v>
                </c:pt>
                <c:pt idx="9">
                  <c:v>1.1019664488447403</c:v>
                </c:pt>
                <c:pt idx="10">
                  <c:v>1.3886226253286234</c:v>
                </c:pt>
                <c:pt idx="11">
                  <c:v>1.5700011264151312</c:v>
                </c:pt>
                <c:pt idx="12">
                  <c:v>1.9957036604518148</c:v>
                </c:pt>
                <c:pt idx="13">
                  <c:v>1.5911627720568966</c:v>
                </c:pt>
                <c:pt idx="14">
                  <c:v>1.5424576588157013</c:v>
                </c:pt>
                <c:pt idx="15">
                  <c:v>1.5409103389183063</c:v>
                </c:pt>
                <c:pt idx="16">
                  <c:v>1.491198292511049</c:v>
                </c:pt>
                <c:pt idx="17">
                  <c:v>1.7548839458286425</c:v>
                </c:pt>
                <c:pt idx="18">
                  <c:v>2.019483679818086</c:v>
                </c:pt>
                <c:pt idx="19">
                  <c:v>1.618747126999279</c:v>
                </c:pt>
                <c:pt idx="20">
                  <c:v>1.7616301001435395</c:v>
                </c:pt>
                <c:pt idx="21">
                  <c:v>1.8607883579121227</c:v>
                </c:pt>
                <c:pt idx="22">
                  <c:v>1.8239555927677222</c:v>
                </c:pt>
                <c:pt idx="23">
                  <c:v>1.6528810129954532</c:v>
                </c:pt>
                <c:pt idx="24">
                  <c:v>1.8554105991258989</c:v>
                </c:pt>
                <c:pt idx="25">
                  <c:v>2.0047597914593944</c:v>
                </c:pt>
                <c:pt idx="26">
                  <c:v>2.5434263085789133</c:v>
                </c:pt>
                <c:pt idx="27">
                  <c:v>1.6522350926872018</c:v>
                </c:pt>
                <c:pt idx="28">
                  <c:v>1.5816026934977176</c:v>
                </c:pt>
                <c:pt idx="29">
                  <c:v>1.5398515478642198</c:v>
                </c:pt>
                <c:pt idx="30">
                  <c:v>1.8483645889323053</c:v>
                </c:pt>
                <c:pt idx="31">
                  <c:v>1.4366977144918935</c:v>
                </c:pt>
                <c:pt idx="32">
                  <c:v>1.6671220701684981</c:v>
                </c:pt>
                <c:pt idx="33">
                  <c:v>1.8427952176594291</c:v>
                </c:pt>
                <c:pt idx="34">
                  <c:v>1.6540735818514851</c:v>
                </c:pt>
                <c:pt idx="35">
                  <c:v>1.6540735818514851</c:v>
                </c:pt>
                <c:pt idx="36">
                  <c:v>1.4874383120901835</c:v>
                </c:pt>
                <c:pt idx="37">
                  <c:v>1.4874383120901835</c:v>
                </c:pt>
                <c:pt idx="38">
                  <c:v>1.6715512745016297</c:v>
                </c:pt>
                <c:pt idx="39">
                  <c:v>1.6715512745016297</c:v>
                </c:pt>
                <c:pt idx="40">
                  <c:v>1.1973043210093592</c:v>
                </c:pt>
                <c:pt idx="41">
                  <c:v>1.1281032287987234</c:v>
                </c:pt>
                <c:pt idx="42">
                  <c:v>1.8834336158062253</c:v>
                </c:pt>
                <c:pt idx="43">
                  <c:v>1.8812925966750933</c:v>
                </c:pt>
                <c:pt idx="44">
                  <c:v>1.7038194945882996</c:v>
                </c:pt>
                <c:pt idx="45">
                  <c:v>1.6135859013275426</c:v>
                </c:pt>
                <c:pt idx="46">
                  <c:v>1.4292915545702025</c:v>
                </c:pt>
                <c:pt idx="47">
                  <c:v>1.97217424829744</c:v>
                </c:pt>
                <c:pt idx="48">
                  <c:v>1.97217424829744</c:v>
                </c:pt>
                <c:pt idx="49">
                  <c:v>1.9952585337426647</c:v>
                </c:pt>
                <c:pt idx="50">
                  <c:v>1.9952585337426647</c:v>
                </c:pt>
                <c:pt idx="51">
                  <c:v>2.502367304628951</c:v>
                </c:pt>
                <c:pt idx="52">
                  <c:v>2.502367304628951</c:v>
                </c:pt>
                <c:pt idx="53">
                  <c:v>1.2751919840719188</c:v>
                </c:pt>
                <c:pt idx="54">
                  <c:v>1.3506140519746308</c:v>
                </c:pt>
                <c:pt idx="55">
                  <c:v>1.0116192816151657</c:v>
                </c:pt>
                <c:pt idx="56">
                  <c:v>1.0732932449490427</c:v>
                </c:pt>
                <c:pt idx="57">
                  <c:v>1.0185169608474394</c:v>
                </c:pt>
                <c:pt idx="58">
                  <c:v>1.2411149415901028</c:v>
                </c:pt>
                <c:pt idx="59">
                  <c:v>0.69063533625701745</c:v>
                </c:pt>
                <c:pt idx="60">
                  <c:v>1.627708019089664</c:v>
                </c:pt>
                <c:pt idx="61">
                  <c:v>1.4354232666084592</c:v>
                </c:pt>
                <c:pt idx="62">
                  <c:v>1.560884934514343</c:v>
                </c:pt>
                <c:pt idx="63">
                  <c:v>1.2523599085817319</c:v>
                </c:pt>
                <c:pt idx="64">
                  <c:v>0.97005999442265467</c:v>
                </c:pt>
                <c:pt idx="65">
                  <c:v>1.5355299544104395</c:v>
                </c:pt>
                <c:pt idx="66">
                  <c:v>1.5872436499070057</c:v>
                </c:pt>
                <c:pt idx="67">
                  <c:v>0.91594080710970804</c:v>
                </c:pt>
                <c:pt idx="68">
                  <c:v>1.2093370725585242</c:v>
                </c:pt>
                <c:pt idx="69">
                  <c:v>1.7312915853777464</c:v>
                </c:pt>
                <c:pt idx="70">
                  <c:v>2.0143868559808893</c:v>
                </c:pt>
                <c:pt idx="71">
                  <c:v>1.6049667825079759</c:v>
                </c:pt>
                <c:pt idx="72">
                  <c:v>1.8564322726263891</c:v>
                </c:pt>
                <c:pt idx="73">
                  <c:v>1.6213066041161099</c:v>
                </c:pt>
                <c:pt idx="74">
                  <c:v>1.7503100546994845</c:v>
                </c:pt>
                <c:pt idx="75">
                  <c:v>1.7225622808684895</c:v>
                </c:pt>
                <c:pt idx="76">
                  <c:v>2.0436666783234134</c:v>
                </c:pt>
                <c:pt idx="77">
                  <c:v>1.678318926344234</c:v>
                </c:pt>
                <c:pt idx="78">
                  <c:v>1.4899632682400843</c:v>
                </c:pt>
                <c:pt idx="79">
                  <c:v>2.0084145966035742</c:v>
                </c:pt>
                <c:pt idx="80">
                  <c:v>1.6429720783454635</c:v>
                </c:pt>
                <c:pt idx="81">
                  <c:v>1.6028554172537091</c:v>
                </c:pt>
                <c:pt idx="82">
                  <c:v>1.4906266830836274</c:v>
                </c:pt>
                <c:pt idx="83">
                  <c:v>2.1389892476287438</c:v>
                </c:pt>
                <c:pt idx="84">
                  <c:v>1.8151122257280927</c:v>
                </c:pt>
                <c:pt idx="85">
                  <c:v>1.5399308845379911</c:v>
                </c:pt>
                <c:pt idx="86">
                  <c:v>1.7137964299552733</c:v>
                </c:pt>
                <c:pt idx="87">
                  <c:v>1.4398870419702952</c:v>
                </c:pt>
                <c:pt idx="88">
                  <c:v>1.5354665759203094</c:v>
                </c:pt>
                <c:pt idx="89">
                  <c:v>1.4696900496732774</c:v>
                </c:pt>
                <c:pt idx="90">
                  <c:v>1.8303996348577347</c:v>
                </c:pt>
                <c:pt idx="91">
                  <c:v>1.3974642339462553</c:v>
                </c:pt>
                <c:pt idx="92">
                  <c:v>1.5139899705847897</c:v>
                </c:pt>
                <c:pt idx="93">
                  <c:v>2.0746404680628681</c:v>
                </c:pt>
                <c:pt idx="94">
                  <c:v>1.6765075296519178</c:v>
                </c:pt>
                <c:pt idx="95">
                  <c:v>1.623611685263433</c:v>
                </c:pt>
                <c:pt idx="96">
                  <c:v>1.3377450555781216</c:v>
                </c:pt>
                <c:pt idx="97">
                  <c:v>1.7265845077744686</c:v>
                </c:pt>
                <c:pt idx="98">
                  <c:v>1.2826380649004223</c:v>
                </c:pt>
                <c:pt idx="99">
                  <c:v>1.0680010435748619</c:v>
                </c:pt>
                <c:pt idx="100">
                  <c:v>1.3131143007808823</c:v>
                </c:pt>
                <c:pt idx="101">
                  <c:v>1.6414242600002831</c:v>
                </c:pt>
                <c:pt idx="102">
                  <c:v>1.085274259902747</c:v>
                </c:pt>
                <c:pt idx="103">
                  <c:v>1.4397576090914905</c:v>
                </c:pt>
                <c:pt idx="104">
                  <c:v>1.1610070301058955</c:v>
                </c:pt>
                <c:pt idx="105">
                  <c:v>1.5779241384977041</c:v>
                </c:pt>
                <c:pt idx="106">
                  <c:v>1.4272035302680499</c:v>
                </c:pt>
                <c:pt idx="107">
                  <c:v>1.0669685458984943</c:v>
                </c:pt>
                <c:pt idx="108">
                  <c:v>1.1056114992723238</c:v>
                </c:pt>
                <c:pt idx="109">
                  <c:v>1.3401047785481524</c:v>
                </c:pt>
                <c:pt idx="110">
                  <c:v>1.0166221143746004</c:v>
                </c:pt>
                <c:pt idx="111">
                  <c:v>1.4934888450846682</c:v>
                </c:pt>
                <c:pt idx="112">
                  <c:v>1.4545506164396904</c:v>
                </c:pt>
                <c:pt idx="113">
                  <c:v>1.5671872526272181</c:v>
                </c:pt>
                <c:pt idx="114">
                  <c:v>1.7214912231681421</c:v>
                </c:pt>
                <c:pt idx="115">
                  <c:v>1.1974991561843304</c:v>
                </c:pt>
                <c:pt idx="116">
                  <c:v>0.96129394656467926</c:v>
                </c:pt>
                <c:pt idx="117">
                  <c:v>1.2785719938235214</c:v>
                </c:pt>
                <c:pt idx="118">
                  <c:v>1.3098915185197448</c:v>
                </c:pt>
                <c:pt idx="119">
                  <c:v>1.0324950798962937</c:v>
                </c:pt>
                <c:pt idx="120">
                  <c:v>1.3582301682762954</c:v>
                </c:pt>
                <c:pt idx="121">
                  <c:v>0.90762534595970545</c:v>
                </c:pt>
                <c:pt idx="122">
                  <c:v>1.1163081599228812</c:v>
                </c:pt>
                <c:pt idx="123">
                  <c:v>1.3187489627900544</c:v>
                </c:pt>
                <c:pt idx="124">
                  <c:v>1.7054171816068107</c:v>
                </c:pt>
                <c:pt idx="125">
                  <c:v>0.99617785069192466</c:v>
                </c:pt>
                <c:pt idx="126">
                  <c:v>1.051317145691999</c:v>
                </c:pt>
                <c:pt idx="127">
                  <c:v>1.2380919937878554</c:v>
                </c:pt>
                <c:pt idx="128">
                  <c:v>0.98516281921633742</c:v>
                </c:pt>
                <c:pt idx="129">
                  <c:v>1.4559039363893846</c:v>
                </c:pt>
                <c:pt idx="130">
                  <c:v>1.5899976895949632</c:v>
                </c:pt>
                <c:pt idx="131">
                  <c:v>1.4957640290850434</c:v>
                </c:pt>
                <c:pt idx="132">
                  <c:v>1.0210557999824699</c:v>
                </c:pt>
                <c:pt idx="133">
                  <c:v>0.98097068748379734</c:v>
                </c:pt>
                <c:pt idx="134">
                  <c:v>1.0355623876435345</c:v>
                </c:pt>
                <c:pt idx="135">
                  <c:v>0.89800579941581282</c:v>
                </c:pt>
                <c:pt idx="136">
                  <c:v>1.026278911927931</c:v>
                </c:pt>
                <c:pt idx="137">
                  <c:v>0.97531366488201143</c:v>
                </c:pt>
                <c:pt idx="138">
                  <c:v>1.2076437156812905</c:v>
                </c:pt>
                <c:pt idx="139">
                  <c:v>1.0909962422431996</c:v>
                </c:pt>
                <c:pt idx="140">
                  <c:v>0.95166687424883689</c:v>
                </c:pt>
                <c:pt idx="141">
                  <c:v>0.9393306132040562</c:v>
                </c:pt>
                <c:pt idx="142">
                  <c:v>0.95884996399514588</c:v>
                </c:pt>
                <c:pt idx="143">
                  <c:v>1.2275313013278444</c:v>
                </c:pt>
                <c:pt idx="144">
                  <c:v>0.85631332847185648</c:v>
                </c:pt>
                <c:pt idx="145">
                  <c:v>1.0122595831277816</c:v>
                </c:pt>
                <c:pt idx="146">
                  <c:v>1.0555684263285166</c:v>
                </c:pt>
                <c:pt idx="147">
                  <c:v>1.0237310466798923</c:v>
                </c:pt>
                <c:pt idx="148">
                  <c:v>0.75738494469674067</c:v>
                </c:pt>
                <c:pt idx="149">
                  <c:v>0.7688185795271586</c:v>
                </c:pt>
                <c:pt idx="150">
                  <c:v>0.73864862864762737</c:v>
                </c:pt>
                <c:pt idx="151">
                  <c:v>0.88210240843168164</c:v>
                </c:pt>
                <c:pt idx="152">
                  <c:v>1.0184221931806774</c:v>
                </c:pt>
                <c:pt idx="153">
                  <c:v>0.63658061415316614</c:v>
                </c:pt>
                <c:pt idx="154">
                  <c:v>0.61800778838527559</c:v>
                </c:pt>
                <c:pt idx="155">
                  <c:v>0.67872485494033818</c:v>
                </c:pt>
                <c:pt idx="156">
                  <c:v>0.94979047422646845</c:v>
                </c:pt>
                <c:pt idx="157">
                  <c:v>0.98660780016235983</c:v>
                </c:pt>
                <c:pt idx="158">
                  <c:v>0.70367808719437008</c:v>
                </c:pt>
                <c:pt idx="159">
                  <c:v>0.65027889870200761</c:v>
                </c:pt>
                <c:pt idx="160">
                  <c:v>0.75449639049580097</c:v>
                </c:pt>
                <c:pt idx="161">
                  <c:v>1.0814969925658282</c:v>
                </c:pt>
                <c:pt idx="162">
                  <c:v>0.95168248490077645</c:v>
                </c:pt>
                <c:pt idx="163">
                  <c:v>0.96051437093285852</c:v>
                </c:pt>
                <c:pt idx="164">
                  <c:v>0.83340478977310528</c:v>
                </c:pt>
                <c:pt idx="165">
                  <c:v>0.93949066396852476</c:v>
                </c:pt>
                <c:pt idx="166">
                  <c:v>0.96079814882500592</c:v>
                </c:pt>
                <c:pt idx="167">
                  <c:v>0.88772695202762453</c:v>
                </c:pt>
                <c:pt idx="168">
                  <c:v>1.1793748514869569</c:v>
                </c:pt>
                <c:pt idx="169">
                  <c:v>1.0114255979953197</c:v>
                </c:pt>
                <c:pt idx="170">
                  <c:v>0.72179535196685451</c:v>
                </c:pt>
                <c:pt idx="171">
                  <c:v>0.94633885858091515</c:v>
                </c:pt>
                <c:pt idx="172">
                  <c:v>0.89214840379637628</c:v>
                </c:pt>
                <c:pt idx="173">
                  <c:v>1.1787643163301271</c:v>
                </c:pt>
                <c:pt idx="174">
                  <c:v>1.0276805768179793</c:v>
                </c:pt>
                <c:pt idx="175">
                  <c:v>0.87833333333333341</c:v>
                </c:pt>
                <c:pt idx="176">
                  <c:v>0.62319362436667958</c:v>
                </c:pt>
                <c:pt idx="177">
                  <c:v>0.87917179348650509</c:v>
                </c:pt>
                <c:pt idx="178">
                  <c:v>0.90958443196571492</c:v>
                </c:pt>
                <c:pt idx="179">
                  <c:v>0.99413885294838056</c:v>
                </c:pt>
                <c:pt idx="180">
                  <c:v>0.81958454427477145</c:v>
                </c:pt>
                <c:pt idx="181">
                  <c:v>0.98277763354811387</c:v>
                </c:pt>
                <c:pt idx="182">
                  <c:v>0.9161935541106252</c:v>
                </c:pt>
                <c:pt idx="183">
                  <c:v>1.2347092535127056</c:v>
                </c:pt>
                <c:pt idx="184">
                  <c:v>0.79497862339968595</c:v>
                </c:pt>
                <c:pt idx="185">
                  <c:v>1.1078590441518625</c:v>
                </c:pt>
                <c:pt idx="186">
                  <c:v>0.77187994815402661</c:v>
                </c:pt>
                <c:pt idx="187">
                  <c:v>1.0612133921380551</c:v>
                </c:pt>
                <c:pt idx="188">
                  <c:v>1.2622199993298189</c:v>
                </c:pt>
                <c:pt idx="189">
                  <c:v>0.89515643202731698</c:v>
                </c:pt>
                <c:pt idx="190">
                  <c:v>0.86504992090891586</c:v>
                </c:pt>
                <c:pt idx="191">
                  <c:v>1.4143463626576895</c:v>
                </c:pt>
                <c:pt idx="192">
                  <c:v>0.81066942187607538</c:v>
                </c:pt>
                <c:pt idx="193">
                  <c:v>1.0750809484919404</c:v>
                </c:pt>
                <c:pt idx="194">
                  <c:v>0.92467198904083814</c:v>
                </c:pt>
                <c:pt idx="195">
                  <c:v>1.0255837865554474</c:v>
                </c:pt>
                <c:pt idx="196">
                  <c:v>0.89753775945612424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2.2278048827998371</c:v>
                </c:pt>
                <c:pt idx="200">
                  <c:v>1.5151167350293466</c:v>
                </c:pt>
                <c:pt idx="201">
                  <c:v>1.4738851451493513</c:v>
                </c:pt>
                <c:pt idx="202">
                  <c:v>1.7031111416982552</c:v>
                </c:pt>
                <c:pt idx="203">
                  <c:v>1.3453438012059822</c:v>
                </c:pt>
                <c:pt idx="204">
                  <c:v>1.731758202447683</c:v>
                </c:pt>
                <c:pt idx="205">
                  <c:v>1.9142631106667445</c:v>
                </c:pt>
                <c:pt idx="206">
                  <c:v>2.5258582854795466</c:v>
                </c:pt>
                <c:pt idx="207">
                  <c:v>1.4842785522928055</c:v>
                </c:pt>
                <c:pt idx="208">
                  <c:v>1.8155625474566859</c:v>
                </c:pt>
                <c:pt idx="209">
                  <c:v>1.6590638296996747</c:v>
                </c:pt>
                <c:pt idx="210">
                  <c:v>2.4380497966331038</c:v>
                </c:pt>
                <c:pt idx="211">
                  <c:v>2.4636058741659457</c:v>
                </c:pt>
                <c:pt idx="212">
                  <c:v>1.3327587691667713</c:v>
                </c:pt>
                <c:pt idx="213">
                  <c:v>1.0824860548652508</c:v>
                </c:pt>
                <c:pt idx="214">
                  <c:v>1.6008115856850342</c:v>
                </c:pt>
                <c:pt idx="215">
                  <c:v>1.6863346843418161</c:v>
                </c:pt>
                <c:pt idx="216">
                  <c:v>1.0788549020126255</c:v>
                </c:pt>
                <c:pt idx="217">
                  <c:v>1.6031941418598026</c:v>
                </c:pt>
                <c:pt idx="218">
                  <c:v>1.0842825744116804</c:v>
                </c:pt>
                <c:pt idx="219">
                  <c:v>1.7894468224730991</c:v>
                </c:pt>
                <c:pt idx="220">
                  <c:v>1.7433677731711112</c:v>
                </c:pt>
                <c:pt idx="221">
                  <c:v>1.697827799212775</c:v>
                </c:pt>
                <c:pt idx="222">
                  <c:v>1.1036377176784957</c:v>
                </c:pt>
                <c:pt idx="223">
                  <c:v>1.1508423840732456</c:v>
                </c:pt>
                <c:pt idx="224">
                  <c:v>2.0370562080807706</c:v>
                </c:pt>
                <c:pt idx="225">
                  <c:v>1.2933704868741975</c:v>
                </c:pt>
                <c:pt idx="226">
                  <c:v>1.3045051452426668</c:v>
                </c:pt>
                <c:pt idx="227">
                  <c:v>1.5531423718553099</c:v>
                </c:pt>
                <c:pt idx="228">
                  <c:v>1.0516411430045192</c:v>
                </c:pt>
                <c:pt idx="229">
                  <c:v>1.9857553822289242</c:v>
                </c:pt>
                <c:pt idx="230">
                  <c:v>1.4853019156950511</c:v>
                </c:pt>
                <c:pt idx="231">
                  <c:v>1.597463993520754</c:v>
                </c:pt>
                <c:pt idx="232">
                  <c:v>1.5052684293177485</c:v>
                </c:pt>
                <c:pt idx="233">
                  <c:v>1.7449699422328022</c:v>
                </c:pt>
                <c:pt idx="234">
                  <c:v>1.291340863422106</c:v>
                </c:pt>
                <c:pt idx="235">
                  <c:v>1.7309716556713737</c:v>
                </c:pt>
                <c:pt idx="236">
                  <c:v>2.356880352834843</c:v>
                </c:pt>
                <c:pt idx="237">
                  <c:v>1.756014516688875</c:v>
                </c:pt>
                <c:pt idx="238">
                  <c:v>2.0624467853963915</c:v>
                </c:pt>
                <c:pt idx="239">
                  <c:v>1.3495646193214026</c:v>
                </c:pt>
                <c:pt idx="240">
                  <c:v>1.8878427439141436</c:v>
                </c:pt>
                <c:pt idx="241">
                  <c:v>1.8917218728399947</c:v>
                </c:pt>
                <c:pt idx="242">
                  <c:v>1.4822802361136755</c:v>
                </c:pt>
                <c:pt idx="243">
                  <c:v>2.226804333961967</c:v>
                </c:pt>
                <c:pt idx="244">
                  <c:v>1.5173231544502177</c:v>
                </c:pt>
                <c:pt idx="245">
                  <c:v>1.351934535422801</c:v>
                </c:pt>
                <c:pt idx="246">
                  <c:v>1.649578283506135</c:v>
                </c:pt>
                <c:pt idx="247">
                  <c:v>1.6706415634065737</c:v>
                </c:pt>
                <c:pt idx="248">
                  <c:v>3.4872822367819616</c:v>
                </c:pt>
                <c:pt idx="249">
                  <c:v>3.4724847166824624</c:v>
                </c:pt>
                <c:pt idx="250">
                  <c:v>3.2763843126979917</c:v>
                </c:pt>
                <c:pt idx="251">
                  <c:v>3.2560621494903539</c:v>
                </c:pt>
                <c:pt idx="252">
                  <c:v>3.3564461639150021</c:v>
                </c:pt>
                <c:pt idx="253">
                  <c:v>3.3494922008682169</c:v>
                </c:pt>
                <c:pt idx="254">
                  <c:v>2.6242898657708054</c:v>
                </c:pt>
                <c:pt idx="255">
                  <c:v>2.7756175295634287</c:v>
                </c:pt>
                <c:pt idx="256">
                  <c:v>1.8113307185544554</c:v>
                </c:pt>
                <c:pt idx="257">
                  <c:v>1.5873395236395706</c:v>
                </c:pt>
                <c:pt idx="258">
                  <c:v>2.3968898250261241</c:v>
                </c:pt>
                <c:pt idx="259">
                  <c:v>1.6104550162570681</c:v>
                </c:pt>
                <c:pt idx="260">
                  <c:v>1.4571988895401744</c:v>
                </c:pt>
                <c:pt idx="261">
                  <c:v>1.3523744146328167</c:v>
                </c:pt>
                <c:pt idx="262">
                  <c:v>1.8581291628547163</c:v>
                </c:pt>
                <c:pt idx="263">
                  <c:v>1.9691110177056528</c:v>
                </c:pt>
                <c:pt idx="264">
                  <c:v>1.6844942416423301</c:v>
                </c:pt>
                <c:pt idx="265">
                  <c:v>1.5312635885804775</c:v>
                </c:pt>
                <c:pt idx="266">
                  <c:v>1.1875713646393697</c:v>
                </c:pt>
                <c:pt idx="267">
                  <c:v>1.2867956956222946</c:v>
                </c:pt>
                <c:pt idx="268">
                  <c:v>2.4281246243137233</c:v>
                </c:pt>
                <c:pt idx="269">
                  <c:v>2.5314105225121426</c:v>
                </c:pt>
                <c:pt idx="270">
                  <c:v>2.426985071922775</c:v>
                </c:pt>
                <c:pt idx="271">
                  <c:v>2.3834667189089873</c:v>
                </c:pt>
                <c:pt idx="272">
                  <c:v>2.4460777087109391</c:v>
                </c:pt>
                <c:pt idx="273">
                  <c:v>2.4392924723483564</c:v>
                </c:pt>
                <c:pt idx="274">
                  <c:v>1</c:v>
                </c:pt>
                <c:pt idx="275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0.98674521354933731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6F-4000-AEE4-DA6FBE78B7C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1-0A6F-4000-AEE4-DA6FBE78B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84256"/>
        <c:axId val="130385792"/>
      </c:scatterChart>
      <c:valAx>
        <c:axId val="1303842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5792"/>
        <c:crosses val="autoZero"/>
        <c:crossBetween val="midCat"/>
      </c:valAx>
      <c:valAx>
        <c:axId val="1303857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42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(2)'!$O$20:$O$104</c:f>
            </c:numRef>
          </c:xVal>
          <c:yVal>
            <c:numRef>
              <c:f>'headed (2)'!$DC$20:$DC$104</c:f>
            </c:numRef>
          </c:yVal>
          <c:smooth val="0"/>
          <c:extLst>
            <c:ext xmlns:c16="http://schemas.microsoft.com/office/drawing/2014/chart" uri="{C3380CC4-5D6E-409C-BE32-E72D297353CC}">
              <c16:uniqueId val="{00000000-48E1-4573-A9F2-3BB43DE834D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(2)'!$O$20:$O$104</c:f>
            </c:numRef>
          </c:xVal>
          <c:yVal>
            <c:numRef>
              <c:f>'headed (2)'!$DI$20:$DI$104</c:f>
            </c:numRef>
          </c:yVal>
          <c:smooth val="0"/>
          <c:extLst>
            <c:ext xmlns:c16="http://schemas.microsoft.com/office/drawing/2014/chart" uri="{C3380CC4-5D6E-409C-BE32-E72D297353CC}">
              <c16:uniqueId val="{00000001-48E1-4573-A9F2-3BB43DE834D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2-48E1-4573-A9F2-3BB43DE83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33408"/>
        <c:axId val="130434944"/>
      </c:scatterChart>
      <c:valAx>
        <c:axId val="1304334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4944"/>
        <c:crosses val="autoZero"/>
        <c:crossBetween val="midCat"/>
      </c:valAx>
      <c:valAx>
        <c:axId val="13043494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34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(2)'!$O$20:$O$104</c:f>
            </c:numRef>
          </c:xVal>
          <c:yVal>
            <c:numRef>
              <c:f>'headed (2)'!$DE$20:$DE$104</c:f>
            </c:numRef>
          </c:yVal>
          <c:smooth val="0"/>
          <c:extLst>
            <c:ext xmlns:c16="http://schemas.microsoft.com/office/drawing/2014/chart" uri="{C3380CC4-5D6E-409C-BE32-E72D297353CC}">
              <c16:uniqueId val="{00000000-352D-4E25-B462-C56ED63F1B6A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(2)'!$O$20:$O$104</c:f>
            </c:numRef>
          </c:xVal>
          <c:yVal>
            <c:numRef>
              <c:f>'headed (2)'!$DK$20:$DK$104</c:f>
            </c:numRef>
          </c:yVal>
          <c:smooth val="0"/>
          <c:extLst>
            <c:ext xmlns:c16="http://schemas.microsoft.com/office/drawing/2014/chart" uri="{C3380CC4-5D6E-409C-BE32-E72D297353CC}">
              <c16:uniqueId val="{00000001-352D-4E25-B462-C56ED63F1B6A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2-352D-4E25-B462-C56ED63F1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61696"/>
        <c:axId val="130463232"/>
      </c:scatterChart>
      <c:valAx>
        <c:axId val="130461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3232"/>
        <c:crosses val="autoZero"/>
        <c:crossBetween val="midCat"/>
      </c:valAx>
      <c:valAx>
        <c:axId val="13046323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169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(2)'!$O$166:$O$192</c:f>
              <c:numCache>
                <c:formatCode>General</c:formatCode>
                <c:ptCount val="23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13.921985815602838</c:v>
                </c:pt>
                <c:pt idx="16">
                  <c:v>13.829787234042554</c:v>
                </c:pt>
                <c:pt idx="17">
                  <c:v>13.787234042553195</c:v>
                </c:pt>
                <c:pt idx="18">
                  <c:v>13.744680851063832</c:v>
                </c:pt>
                <c:pt idx="19">
                  <c:v>13.744680851063832</c:v>
                </c:pt>
                <c:pt idx="20">
                  <c:v>13.680851063829788</c:v>
                </c:pt>
                <c:pt idx="21">
                  <c:v>13.652482269503549</c:v>
                </c:pt>
                <c:pt idx="22">
                  <c:v>13.567375886524824</c:v>
                </c:pt>
              </c:numCache>
            </c:numRef>
          </c:xVal>
          <c:yVal>
            <c:numRef>
              <c:f>'headed (2)'!$DC$166:$DC$192</c:f>
              <c:numCache>
                <c:formatCode>General</c:formatCode>
                <c:ptCount val="23"/>
                <c:pt idx="3">
                  <c:v>1.263122369811867</c:v>
                </c:pt>
                <c:pt idx="4">
                  <c:v>1.0036837852778606</c:v>
                </c:pt>
                <c:pt idx="5">
                  <c:v>1.0650980029084989</c:v>
                </c:pt>
                <c:pt idx="8">
                  <c:v>0.97260860076002498</c:v>
                </c:pt>
                <c:pt idx="10">
                  <c:v>0.96416295721336365</c:v>
                </c:pt>
                <c:pt idx="11">
                  <c:v>1.0258198988853873</c:v>
                </c:pt>
                <c:pt idx="12">
                  <c:v>1.1857746057227556</c:v>
                </c:pt>
                <c:pt idx="16">
                  <c:v>1.2773447721685958</c:v>
                </c:pt>
                <c:pt idx="17">
                  <c:v>1.5717122916807</c:v>
                </c:pt>
                <c:pt idx="18">
                  <c:v>1.6360866860192729</c:v>
                </c:pt>
                <c:pt idx="20">
                  <c:v>1.2781265433947568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58-4726-A25D-F7867C47C5AF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(2)'!$O$166:$O$192</c:f>
              <c:numCache>
                <c:formatCode>General</c:formatCode>
                <c:ptCount val="23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13.921985815602838</c:v>
                </c:pt>
                <c:pt idx="16">
                  <c:v>13.829787234042554</c:v>
                </c:pt>
                <c:pt idx="17">
                  <c:v>13.787234042553195</c:v>
                </c:pt>
                <c:pt idx="18">
                  <c:v>13.744680851063832</c:v>
                </c:pt>
                <c:pt idx="19">
                  <c:v>13.744680851063832</c:v>
                </c:pt>
                <c:pt idx="20">
                  <c:v>13.680851063829788</c:v>
                </c:pt>
                <c:pt idx="21">
                  <c:v>13.652482269503549</c:v>
                </c:pt>
                <c:pt idx="22">
                  <c:v>13.567375886524824</c:v>
                </c:pt>
              </c:numCache>
            </c:numRef>
          </c:xVal>
          <c:yVal>
            <c:numRef>
              <c:f>'headed (2)'!$DI$166:$DI$192</c:f>
              <c:numCache>
                <c:formatCode>General</c:formatCode>
                <c:ptCount val="23"/>
                <c:pt idx="0">
                  <c:v>1.3457994703813709</c:v>
                </c:pt>
                <c:pt idx="1">
                  <c:v>1.3457994703813709</c:v>
                </c:pt>
                <c:pt idx="2">
                  <c:v>1.3503926426352324</c:v>
                </c:pt>
                <c:pt idx="6">
                  <c:v>0.77877380307996769</c:v>
                </c:pt>
                <c:pt idx="7">
                  <c:v>1.1204472084630297</c:v>
                </c:pt>
                <c:pt idx="9">
                  <c:v>1.2522004464825935</c:v>
                </c:pt>
                <c:pt idx="13">
                  <c:v>1.0748023074035522</c:v>
                </c:pt>
                <c:pt idx="14">
                  <c:v>1.455820984567487</c:v>
                </c:pt>
                <c:pt idx="15">
                  <c:v>1.7887440939579493</c:v>
                </c:pt>
                <c:pt idx="19">
                  <c:v>1.4145583723311854</c:v>
                </c:pt>
                <c:pt idx="21">
                  <c:v>1.4247068591855867</c:v>
                </c:pt>
                <c:pt idx="22">
                  <c:v>1.7774258058598467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58-4726-A25D-F7867C47C5AF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(2)'!$O$218:$O$456</c:f>
              <c:numCache>
                <c:formatCode>General</c:formatCode>
                <c:ptCount val="225"/>
                <c:pt idx="0">
                  <c:v>7</c:v>
                </c:pt>
                <c:pt idx="1">
                  <c:v>7</c:v>
                </c:pt>
                <c:pt idx="2">
                  <c:v>15.749999999999998</c:v>
                </c:pt>
                <c:pt idx="3">
                  <c:v>15.28</c:v>
                </c:pt>
                <c:pt idx="4">
                  <c:v>10.581560283687944</c:v>
                </c:pt>
                <c:pt idx="5">
                  <c:v>10.43262411347518</c:v>
                </c:pt>
                <c:pt idx="6">
                  <c:v>10.418439716312058</c:v>
                </c:pt>
                <c:pt idx="7">
                  <c:v>10.418439716312058</c:v>
                </c:pt>
                <c:pt idx="8">
                  <c:v>10.375886524822697</c:v>
                </c:pt>
                <c:pt idx="9">
                  <c:v>10.375886524822697</c:v>
                </c:pt>
                <c:pt idx="10">
                  <c:v>14.58</c:v>
                </c:pt>
                <c:pt idx="11">
                  <c:v>14.58</c:v>
                </c:pt>
                <c:pt idx="12">
                  <c:v>10.312056737588653</c:v>
                </c:pt>
                <c:pt idx="13">
                  <c:v>10.312056737588653</c:v>
                </c:pt>
                <c:pt idx="14">
                  <c:v>14.54</c:v>
                </c:pt>
                <c:pt idx="15">
                  <c:v>14.54</c:v>
                </c:pt>
                <c:pt idx="16">
                  <c:v>10.283687943262413</c:v>
                </c:pt>
                <c:pt idx="17">
                  <c:v>10.283687943262413</c:v>
                </c:pt>
                <c:pt idx="18">
                  <c:v>14.499999999999998</c:v>
                </c:pt>
                <c:pt idx="19">
                  <c:v>14.499999999999998</c:v>
                </c:pt>
                <c:pt idx="20">
                  <c:v>14.42</c:v>
                </c:pt>
                <c:pt idx="21">
                  <c:v>14.42</c:v>
                </c:pt>
                <c:pt idx="22">
                  <c:v>14.38</c:v>
                </c:pt>
                <c:pt idx="23">
                  <c:v>14.38</c:v>
                </c:pt>
                <c:pt idx="24">
                  <c:v>14.38</c:v>
                </c:pt>
                <c:pt idx="25">
                  <c:v>14.38</c:v>
                </c:pt>
                <c:pt idx="26">
                  <c:v>14.35</c:v>
                </c:pt>
                <c:pt idx="27">
                  <c:v>14.299999999999999</c:v>
                </c:pt>
                <c:pt idx="28">
                  <c:v>14.27</c:v>
                </c:pt>
                <c:pt idx="29">
                  <c:v>14.25</c:v>
                </c:pt>
                <c:pt idx="30">
                  <c:v>14.25</c:v>
                </c:pt>
                <c:pt idx="31">
                  <c:v>14.13</c:v>
                </c:pt>
                <c:pt idx="32">
                  <c:v>14.09</c:v>
                </c:pt>
                <c:pt idx="33">
                  <c:v>14.080000000000002</c:v>
                </c:pt>
                <c:pt idx="34">
                  <c:v>14.059999999999999</c:v>
                </c:pt>
                <c:pt idx="35">
                  <c:v>9.9441340782122918</c:v>
                </c:pt>
                <c:pt idx="36">
                  <c:v>12.66</c:v>
                </c:pt>
                <c:pt idx="37">
                  <c:v>12.590000000000002</c:v>
                </c:pt>
                <c:pt idx="38">
                  <c:v>8.9078014184397176</c:v>
                </c:pt>
                <c:pt idx="39">
                  <c:v>12.56</c:v>
                </c:pt>
                <c:pt idx="40">
                  <c:v>8.8652482269503565</c:v>
                </c:pt>
                <c:pt idx="41">
                  <c:v>12.5</c:v>
                </c:pt>
                <c:pt idx="42">
                  <c:v>12.439999999999998</c:v>
                </c:pt>
                <c:pt idx="43">
                  <c:v>12.38</c:v>
                </c:pt>
                <c:pt idx="44">
                  <c:v>12.31</c:v>
                </c:pt>
                <c:pt idx="45">
                  <c:v>12.21</c:v>
                </c:pt>
                <c:pt idx="46">
                  <c:v>12.19</c:v>
                </c:pt>
                <c:pt idx="47">
                  <c:v>12.17</c:v>
                </c:pt>
                <c:pt idx="48">
                  <c:v>12.17</c:v>
                </c:pt>
                <c:pt idx="49">
                  <c:v>8.6028368794326244</c:v>
                </c:pt>
                <c:pt idx="50">
                  <c:v>12.129999999999999</c:v>
                </c:pt>
                <c:pt idx="51">
                  <c:v>8.6028368794326244</c:v>
                </c:pt>
                <c:pt idx="52">
                  <c:v>8.5744680851063837</c:v>
                </c:pt>
                <c:pt idx="53">
                  <c:v>12.06</c:v>
                </c:pt>
                <c:pt idx="54">
                  <c:v>12.06</c:v>
                </c:pt>
                <c:pt idx="55">
                  <c:v>12.04</c:v>
                </c:pt>
                <c:pt idx="56">
                  <c:v>12.03</c:v>
                </c:pt>
                <c:pt idx="57">
                  <c:v>8.5106382978723403</c:v>
                </c:pt>
                <c:pt idx="58">
                  <c:v>8.5106382978723403</c:v>
                </c:pt>
                <c:pt idx="59">
                  <c:v>11.999999999999998</c:v>
                </c:pt>
                <c:pt idx="60">
                  <c:v>11.999999999999998</c:v>
                </c:pt>
                <c:pt idx="61">
                  <c:v>11.97</c:v>
                </c:pt>
                <c:pt idx="62">
                  <c:v>11.95</c:v>
                </c:pt>
                <c:pt idx="63">
                  <c:v>11.9</c:v>
                </c:pt>
                <c:pt idx="64">
                  <c:v>11.88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11.299212598425198</c:v>
                </c:pt>
                <c:pt idx="69">
                  <c:v>11.299212598425198</c:v>
                </c:pt>
                <c:pt idx="70">
                  <c:v>11.25</c:v>
                </c:pt>
                <c:pt idx="71">
                  <c:v>7.9608938547486039</c:v>
                </c:pt>
                <c:pt idx="72">
                  <c:v>7.9608938547486039</c:v>
                </c:pt>
                <c:pt idx="73">
                  <c:v>7.9608938547486039</c:v>
                </c:pt>
                <c:pt idx="74">
                  <c:v>11.13</c:v>
                </c:pt>
                <c:pt idx="75">
                  <c:v>11.06</c:v>
                </c:pt>
                <c:pt idx="76">
                  <c:v>7.8212290502793298</c:v>
                </c:pt>
                <c:pt idx="77">
                  <c:v>7.8212290502793298</c:v>
                </c:pt>
                <c:pt idx="78">
                  <c:v>7.8212290502793298</c:v>
                </c:pt>
                <c:pt idx="79">
                  <c:v>7.8212290502793298</c:v>
                </c:pt>
                <c:pt idx="80">
                  <c:v>7.8212290502793298</c:v>
                </c:pt>
                <c:pt idx="81">
                  <c:v>10.94</c:v>
                </c:pt>
                <c:pt idx="82">
                  <c:v>10.83</c:v>
                </c:pt>
                <c:pt idx="83">
                  <c:v>10.58</c:v>
                </c:pt>
                <c:pt idx="84">
                  <c:v>10.5</c:v>
                </c:pt>
                <c:pt idx="85">
                  <c:v>10.35</c:v>
                </c:pt>
                <c:pt idx="86">
                  <c:v>10.33</c:v>
                </c:pt>
                <c:pt idx="87">
                  <c:v>10.33</c:v>
                </c:pt>
                <c:pt idx="88">
                  <c:v>10.29</c:v>
                </c:pt>
                <c:pt idx="89">
                  <c:v>10.25</c:v>
                </c:pt>
                <c:pt idx="90">
                  <c:v>10.130000000000001</c:v>
                </c:pt>
                <c:pt idx="91">
                  <c:v>10.1</c:v>
                </c:pt>
                <c:pt idx="92">
                  <c:v>10.08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9.94</c:v>
                </c:pt>
                <c:pt idx="97">
                  <c:v>9.92</c:v>
                </c:pt>
                <c:pt idx="98">
                  <c:v>9.92</c:v>
                </c:pt>
                <c:pt idx="99">
                  <c:v>9.9</c:v>
                </c:pt>
                <c:pt idx="100">
                  <c:v>9.8800000000000008</c:v>
                </c:pt>
                <c:pt idx="101">
                  <c:v>9.8800000000000008</c:v>
                </c:pt>
                <c:pt idx="102">
                  <c:v>9.8800000000000008</c:v>
                </c:pt>
                <c:pt idx="103">
                  <c:v>9.8800000000000008</c:v>
                </c:pt>
                <c:pt idx="104">
                  <c:v>9.81</c:v>
                </c:pt>
                <c:pt idx="105">
                  <c:v>9.7899999999999991</c:v>
                </c:pt>
                <c:pt idx="106">
                  <c:v>9.77</c:v>
                </c:pt>
                <c:pt idx="107">
                  <c:v>9.75</c:v>
                </c:pt>
                <c:pt idx="108">
                  <c:v>9.75</c:v>
                </c:pt>
                <c:pt idx="109">
                  <c:v>9.69</c:v>
                </c:pt>
                <c:pt idx="110">
                  <c:v>9.69</c:v>
                </c:pt>
                <c:pt idx="111">
                  <c:v>9.69</c:v>
                </c:pt>
                <c:pt idx="112">
                  <c:v>9.66</c:v>
                </c:pt>
                <c:pt idx="113">
                  <c:v>9.6300000000000008</c:v>
                </c:pt>
                <c:pt idx="114">
                  <c:v>9.6</c:v>
                </c:pt>
                <c:pt idx="115">
                  <c:v>9.58</c:v>
                </c:pt>
                <c:pt idx="116">
                  <c:v>9.58</c:v>
                </c:pt>
                <c:pt idx="117">
                  <c:v>9.56</c:v>
                </c:pt>
                <c:pt idx="118">
                  <c:v>9.56</c:v>
                </c:pt>
                <c:pt idx="119">
                  <c:v>9.5</c:v>
                </c:pt>
                <c:pt idx="120">
                  <c:v>9.5</c:v>
                </c:pt>
                <c:pt idx="121">
                  <c:v>9.5</c:v>
                </c:pt>
                <c:pt idx="122">
                  <c:v>9.5</c:v>
                </c:pt>
                <c:pt idx="123">
                  <c:v>9.5</c:v>
                </c:pt>
                <c:pt idx="124">
                  <c:v>9.5</c:v>
                </c:pt>
                <c:pt idx="125">
                  <c:v>9.4700000000000006</c:v>
                </c:pt>
                <c:pt idx="126">
                  <c:v>9.4600000000000009</c:v>
                </c:pt>
                <c:pt idx="127">
                  <c:v>9.42</c:v>
                </c:pt>
                <c:pt idx="128">
                  <c:v>9.3800000000000008</c:v>
                </c:pt>
                <c:pt idx="129">
                  <c:v>9.3800000000000008</c:v>
                </c:pt>
                <c:pt idx="130">
                  <c:v>9.3800000000000008</c:v>
                </c:pt>
                <c:pt idx="131">
                  <c:v>9.3800000000000008</c:v>
                </c:pt>
                <c:pt idx="132">
                  <c:v>9.33</c:v>
                </c:pt>
                <c:pt idx="133">
                  <c:v>9.33</c:v>
                </c:pt>
                <c:pt idx="134">
                  <c:v>9.31</c:v>
                </c:pt>
                <c:pt idx="135">
                  <c:v>9.25</c:v>
                </c:pt>
                <c:pt idx="136">
                  <c:v>9.25</c:v>
                </c:pt>
                <c:pt idx="137">
                  <c:v>9.25</c:v>
                </c:pt>
                <c:pt idx="138">
                  <c:v>9.25</c:v>
                </c:pt>
                <c:pt idx="139">
                  <c:v>9.19</c:v>
                </c:pt>
                <c:pt idx="140">
                  <c:v>9.19</c:v>
                </c:pt>
                <c:pt idx="141">
                  <c:v>9.19</c:v>
                </c:pt>
                <c:pt idx="142">
                  <c:v>9.17</c:v>
                </c:pt>
                <c:pt idx="143">
                  <c:v>9.1300000000000008</c:v>
                </c:pt>
                <c:pt idx="144">
                  <c:v>9.06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6.061452513966481</c:v>
                </c:pt>
                <c:pt idx="149">
                  <c:v>8.31</c:v>
                </c:pt>
                <c:pt idx="150">
                  <c:v>8.3070866141732296</c:v>
                </c:pt>
                <c:pt idx="151">
                  <c:v>8.3070866141732296</c:v>
                </c:pt>
                <c:pt idx="152">
                  <c:v>8.3070866141732296</c:v>
                </c:pt>
                <c:pt idx="153">
                  <c:v>8.25</c:v>
                </c:pt>
                <c:pt idx="154">
                  <c:v>8.25</c:v>
                </c:pt>
                <c:pt idx="155">
                  <c:v>5.8379888268156428</c:v>
                </c:pt>
                <c:pt idx="156">
                  <c:v>5.6983240223463696</c:v>
                </c:pt>
                <c:pt idx="157">
                  <c:v>8.0314960629921259</c:v>
                </c:pt>
                <c:pt idx="158">
                  <c:v>8</c:v>
                </c:pt>
                <c:pt idx="159">
                  <c:v>6</c:v>
                </c:pt>
                <c:pt idx="160">
                  <c:v>6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6.3385826771653546</c:v>
                </c:pt>
                <c:pt idx="165">
                  <c:v>6.33</c:v>
                </c:pt>
                <c:pt idx="166">
                  <c:v>6.29</c:v>
                </c:pt>
                <c:pt idx="167">
                  <c:v>6.25</c:v>
                </c:pt>
                <c:pt idx="168">
                  <c:v>6.25</c:v>
                </c:pt>
                <c:pt idx="169">
                  <c:v>6.25</c:v>
                </c:pt>
                <c:pt idx="170">
                  <c:v>9.9519999999999982</c:v>
                </c:pt>
                <c:pt idx="171">
                  <c:v>6.21</c:v>
                </c:pt>
                <c:pt idx="172">
                  <c:v>6.19</c:v>
                </c:pt>
                <c:pt idx="173">
                  <c:v>6.16</c:v>
                </c:pt>
                <c:pt idx="174">
                  <c:v>6.13</c:v>
                </c:pt>
                <c:pt idx="175">
                  <c:v>6.13</c:v>
                </c:pt>
                <c:pt idx="176">
                  <c:v>6.0999999999999988</c:v>
                </c:pt>
                <c:pt idx="177">
                  <c:v>6.09</c:v>
                </c:pt>
                <c:pt idx="178">
                  <c:v>9.695999999999998</c:v>
                </c:pt>
                <c:pt idx="179">
                  <c:v>9.6479999999999997</c:v>
                </c:pt>
                <c:pt idx="180">
                  <c:v>6.03</c:v>
                </c:pt>
                <c:pt idx="181">
                  <c:v>9.5999999999999979</c:v>
                </c:pt>
                <c:pt idx="182">
                  <c:v>9.5999999999999979</c:v>
                </c:pt>
                <c:pt idx="183">
                  <c:v>9.5999999999999979</c:v>
                </c:pt>
                <c:pt idx="184">
                  <c:v>5.9999999999999991</c:v>
                </c:pt>
                <c:pt idx="185">
                  <c:v>9.5039999999999996</c:v>
                </c:pt>
                <c:pt idx="186">
                  <c:v>5.63</c:v>
                </c:pt>
                <c:pt idx="187">
                  <c:v>5.5</c:v>
                </c:pt>
                <c:pt idx="188">
                  <c:v>5.5</c:v>
                </c:pt>
                <c:pt idx="189">
                  <c:v>6</c:v>
                </c:pt>
                <c:pt idx="190">
                  <c:v>6</c:v>
                </c:pt>
                <c:pt idx="191">
                  <c:v>8.3040000000000003</c:v>
                </c:pt>
                <c:pt idx="192">
                  <c:v>8.3040000000000003</c:v>
                </c:pt>
                <c:pt idx="193">
                  <c:v>8.24</c:v>
                </c:pt>
                <c:pt idx="194">
                  <c:v>8.0640000000000001</c:v>
                </c:pt>
                <c:pt idx="195">
                  <c:v>8.048</c:v>
                </c:pt>
                <c:pt idx="196">
                  <c:v>8.0319999999999983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7.056</c:v>
                </c:pt>
                <c:pt idx="206">
                  <c:v>6.7519999999999989</c:v>
                </c:pt>
                <c:pt idx="207">
                  <c:v>6.7039999999999997</c:v>
                </c:pt>
                <c:pt idx="208">
                  <c:v>6.6559999999999997</c:v>
                </c:pt>
                <c:pt idx="209">
                  <c:v>6.6079999999999988</c:v>
                </c:pt>
                <c:pt idx="210">
                  <c:v>6.6079999999999988</c:v>
                </c:pt>
                <c:pt idx="211">
                  <c:v>6.6079999999999988</c:v>
                </c:pt>
                <c:pt idx="212">
                  <c:v>6.5439999999999996</c:v>
                </c:pt>
                <c:pt idx="213">
                  <c:v>6.5439999999999996</c:v>
                </c:pt>
                <c:pt idx="214">
                  <c:v>6.4959999999999987</c:v>
                </c:pt>
                <c:pt idx="215">
                  <c:v>6.4959999999999987</c:v>
                </c:pt>
                <c:pt idx="216">
                  <c:v>6.0960000000000001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</c:numCache>
            </c:numRef>
          </c:xVal>
          <c:yVal>
            <c:numRef>
              <c:f>'headed (2)'!$DC$218:$DC$456</c:f>
              <c:numCache>
                <c:formatCode>General</c:formatCode>
                <c:ptCount val="225"/>
                <c:pt idx="2">
                  <c:v>1.4644210077964666</c:v>
                </c:pt>
                <c:pt idx="3">
                  <c:v>1.7518995465387628</c:v>
                </c:pt>
                <c:pt idx="5">
                  <c:v>0.79839866095245215</c:v>
                </c:pt>
                <c:pt idx="8">
                  <c:v>0.55205944197966095</c:v>
                </c:pt>
                <c:pt idx="10">
                  <c:v>1.1040775899972763</c:v>
                </c:pt>
                <c:pt idx="11">
                  <c:v>1.2808577222300848</c:v>
                </c:pt>
                <c:pt idx="14">
                  <c:v>1.4154260804349856</c:v>
                </c:pt>
                <c:pt idx="16">
                  <c:v>0.83592963820390698</c:v>
                </c:pt>
                <c:pt idx="17">
                  <c:v>1.0544550371119625</c:v>
                </c:pt>
                <c:pt idx="22">
                  <c:v>1.6356284688674503</c:v>
                </c:pt>
                <c:pt idx="23">
                  <c:v>1.8677285845390659</c:v>
                </c:pt>
                <c:pt idx="24">
                  <c:v>1.8054709650544303</c:v>
                </c:pt>
                <c:pt idx="26">
                  <c:v>1.4956926848165499</c:v>
                </c:pt>
                <c:pt idx="27">
                  <c:v>1.138404725831345</c:v>
                </c:pt>
                <c:pt idx="29">
                  <c:v>1.4605943328712707</c:v>
                </c:pt>
                <c:pt idx="30">
                  <c:v>1.6572818324293288</c:v>
                </c:pt>
                <c:pt idx="31">
                  <c:v>1.6201617118162046</c:v>
                </c:pt>
                <c:pt idx="34">
                  <c:v>1.1653553762193458</c:v>
                </c:pt>
                <c:pt idx="35">
                  <c:v>1.2849691500444007</c:v>
                </c:pt>
                <c:pt idx="36">
                  <c:v>1.8062284359078113</c:v>
                </c:pt>
                <c:pt idx="37">
                  <c:v>1.6762495741046421</c:v>
                </c:pt>
                <c:pt idx="39">
                  <c:v>2.0214170272337286</c:v>
                </c:pt>
                <c:pt idx="41">
                  <c:v>1.8768022880578519</c:v>
                </c:pt>
                <c:pt idx="45">
                  <c:v>1.1211859345052924</c:v>
                </c:pt>
                <c:pt idx="48">
                  <c:v>0.74286383936633327</c:v>
                </c:pt>
                <c:pt idx="49">
                  <c:v>1.1920751277688835</c:v>
                </c:pt>
                <c:pt idx="51">
                  <c:v>1.029499805763189</c:v>
                </c:pt>
                <c:pt idx="53">
                  <c:v>1.1915791690728934</c:v>
                </c:pt>
                <c:pt idx="55">
                  <c:v>1.1394053233213677</c:v>
                </c:pt>
                <c:pt idx="57">
                  <c:v>1.0724109928974139</c:v>
                </c:pt>
                <c:pt idx="59">
                  <c:v>0.74775564447069376</c:v>
                </c:pt>
                <c:pt idx="64">
                  <c:v>1.1697553747675289</c:v>
                </c:pt>
                <c:pt idx="65">
                  <c:v>1.225569165623946</c:v>
                </c:pt>
                <c:pt idx="67">
                  <c:v>1.6466492454395782</c:v>
                </c:pt>
                <c:pt idx="68">
                  <c:v>1.4638998500136373</c:v>
                </c:pt>
                <c:pt idx="69">
                  <c:v>1.9695008503860747</c:v>
                </c:pt>
                <c:pt idx="70">
                  <c:v>1.6131871866776055</c:v>
                </c:pt>
                <c:pt idx="71">
                  <c:v>1.2591811613326145</c:v>
                </c:pt>
                <c:pt idx="72">
                  <c:v>1.4893706384463696</c:v>
                </c:pt>
                <c:pt idx="73">
                  <c:v>1.7749963445318506</c:v>
                </c:pt>
                <c:pt idx="75">
                  <c:v>1.8390393434000243</c:v>
                </c:pt>
                <c:pt idx="76">
                  <c:v>1.3969859269328866</c:v>
                </c:pt>
                <c:pt idx="77">
                  <c:v>1.1134799594082712</c:v>
                </c:pt>
                <c:pt idx="80">
                  <c:v>1.6101312326699513</c:v>
                </c:pt>
                <c:pt idx="82">
                  <c:v>1.1776103187568816</c:v>
                </c:pt>
                <c:pt idx="83">
                  <c:v>1.1259394815356814</c:v>
                </c:pt>
                <c:pt idx="84">
                  <c:v>1.5955182052279357</c:v>
                </c:pt>
                <c:pt idx="85">
                  <c:v>1.3763102007627221</c:v>
                </c:pt>
                <c:pt idx="97">
                  <c:v>0.92052495066192941</c:v>
                </c:pt>
                <c:pt idx="98">
                  <c:v>1.0356151544498595</c:v>
                </c:pt>
                <c:pt idx="99">
                  <c:v>0.81001138963256536</c:v>
                </c:pt>
                <c:pt idx="102">
                  <c:v>1.1780867637368739</c:v>
                </c:pt>
                <c:pt idx="103">
                  <c:v>1.1750757483839116</c:v>
                </c:pt>
                <c:pt idx="104">
                  <c:v>1.2257314455075607</c:v>
                </c:pt>
                <c:pt idx="107">
                  <c:v>1.3019412546037261</c:v>
                </c:pt>
                <c:pt idx="109">
                  <c:v>1.3649163783859324</c:v>
                </c:pt>
                <c:pt idx="110">
                  <c:v>1.8712130928348991</c:v>
                </c:pt>
                <c:pt idx="111">
                  <c:v>1.4185824218381531</c:v>
                </c:pt>
                <c:pt idx="119">
                  <c:v>0.93791006665785359</c:v>
                </c:pt>
                <c:pt idx="120">
                  <c:v>1.4321594010787457</c:v>
                </c:pt>
                <c:pt idx="121">
                  <c:v>1.3564374511915354</c:v>
                </c:pt>
                <c:pt idx="124">
                  <c:v>1.3826741523751238</c:v>
                </c:pt>
                <c:pt idx="125">
                  <c:v>0.6762959582481799</c:v>
                </c:pt>
                <c:pt idx="126">
                  <c:v>1.008028750577413</c:v>
                </c:pt>
                <c:pt idx="129">
                  <c:v>1.4596088729345433</c:v>
                </c:pt>
                <c:pt idx="131">
                  <c:v>1.5963886352920298</c:v>
                </c:pt>
                <c:pt idx="133">
                  <c:v>1.0569642492667561</c:v>
                </c:pt>
                <c:pt idx="135">
                  <c:v>0.91498469141284478</c:v>
                </c:pt>
                <c:pt idx="138">
                  <c:v>1.4368641121280543</c:v>
                </c:pt>
                <c:pt idx="141">
                  <c:v>1.5489495283908705</c:v>
                </c:pt>
                <c:pt idx="145">
                  <c:v>1.592350856628868</c:v>
                </c:pt>
                <c:pt idx="146">
                  <c:v>1.3868862299670786</c:v>
                </c:pt>
                <c:pt idx="147">
                  <c:v>1.2927149427470916</c:v>
                </c:pt>
                <c:pt idx="150">
                  <c:v>1.358105561906104</c:v>
                </c:pt>
                <c:pt idx="151">
                  <c:v>1.6585658139235577</c:v>
                </c:pt>
                <c:pt idx="152">
                  <c:v>1.392282311688124</c:v>
                </c:pt>
                <c:pt idx="153">
                  <c:v>1.828802295834536</c:v>
                </c:pt>
                <c:pt idx="155">
                  <c:v>1.9019036068701081</c:v>
                </c:pt>
                <c:pt idx="156">
                  <c:v>1.1704446793439585</c:v>
                </c:pt>
                <c:pt idx="157">
                  <c:v>1.7475574825592937</c:v>
                </c:pt>
                <c:pt idx="159">
                  <c:v>1.9879589539375342</c:v>
                </c:pt>
                <c:pt idx="160">
                  <c:v>2.0087970981087873</c:v>
                </c:pt>
                <c:pt idx="165">
                  <c:v>1.0756848664437799</c:v>
                </c:pt>
                <c:pt idx="167">
                  <c:v>1.2320270071792656</c:v>
                </c:pt>
                <c:pt idx="170">
                  <c:v>2.6369174561121116</c:v>
                </c:pt>
                <c:pt idx="171">
                  <c:v>1.0293098714399596</c:v>
                </c:pt>
                <c:pt idx="172">
                  <c:v>0.94753660934956419</c:v>
                </c:pt>
                <c:pt idx="174">
                  <c:v>1.549123414564981</c:v>
                </c:pt>
                <c:pt idx="175">
                  <c:v>0.9854100070923747</c:v>
                </c:pt>
                <c:pt idx="177">
                  <c:v>1.3394776532788442</c:v>
                </c:pt>
                <c:pt idx="179">
                  <c:v>2.2205679862486321</c:v>
                </c:pt>
                <c:pt idx="181">
                  <c:v>2.532004102831912</c:v>
                </c:pt>
                <c:pt idx="183">
                  <c:v>2.1049069152958855</c:v>
                </c:pt>
                <c:pt idx="189">
                  <c:v>2.0282460326686236</c:v>
                </c:pt>
                <c:pt idx="190">
                  <c:v>2.0324136615028738</c:v>
                </c:pt>
                <c:pt idx="191">
                  <c:v>1.4962356997225408</c:v>
                </c:pt>
                <c:pt idx="194">
                  <c:v>1.6842236249136839</c:v>
                </c:pt>
                <c:pt idx="197">
                  <c:v>2.9465135858151714</c:v>
                </c:pt>
                <c:pt idx="198">
                  <c:v>2.9340106993124198</c:v>
                </c:pt>
                <c:pt idx="199">
                  <c:v>3.0236147192488074</c:v>
                </c:pt>
                <c:pt idx="200">
                  <c:v>3.0048603894946799</c:v>
                </c:pt>
                <c:pt idx="203">
                  <c:v>2.1667604910323823</c:v>
                </c:pt>
                <c:pt idx="204">
                  <c:v>2.2917050740919138</c:v>
                </c:pt>
                <c:pt idx="205">
                  <c:v>2.934133580701908</c:v>
                </c:pt>
                <c:pt idx="209">
                  <c:v>2.3031448610076581</c:v>
                </c:pt>
                <c:pt idx="214">
                  <c:v>2.7668023552772643</c:v>
                </c:pt>
                <c:pt idx="215">
                  <c:v>2.1115754540609921</c:v>
                </c:pt>
                <c:pt idx="217">
                  <c:v>2.7923113189478994</c:v>
                </c:pt>
                <c:pt idx="218">
                  <c:v>2.9110887407240416</c:v>
                </c:pt>
                <c:pt idx="219">
                  <c:v>3.0215309048316823</c:v>
                </c:pt>
                <c:pt idx="220">
                  <c:v>2.9673517299864245</c:v>
                </c:pt>
                <c:pt idx="223">
                  <c:v>2.6807730162772905</c:v>
                </c:pt>
                <c:pt idx="224">
                  <c:v>2.6459783222607123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58-4726-A25D-F7867C47C5AF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(2)'!$O$218:$O$456</c:f>
              <c:numCache>
                <c:formatCode>General</c:formatCode>
                <c:ptCount val="225"/>
                <c:pt idx="0">
                  <c:v>7</c:v>
                </c:pt>
                <c:pt idx="1">
                  <c:v>7</c:v>
                </c:pt>
                <c:pt idx="2">
                  <c:v>15.749999999999998</c:v>
                </c:pt>
                <c:pt idx="3">
                  <c:v>15.28</c:v>
                </c:pt>
                <c:pt idx="4">
                  <c:v>10.581560283687944</c:v>
                </c:pt>
                <c:pt idx="5">
                  <c:v>10.43262411347518</c:v>
                </c:pt>
                <c:pt idx="6">
                  <c:v>10.418439716312058</c:v>
                </c:pt>
                <c:pt idx="7">
                  <c:v>10.418439716312058</c:v>
                </c:pt>
                <c:pt idx="8">
                  <c:v>10.375886524822697</c:v>
                </c:pt>
                <c:pt idx="9">
                  <c:v>10.375886524822697</c:v>
                </c:pt>
                <c:pt idx="10">
                  <c:v>14.58</c:v>
                </c:pt>
                <c:pt idx="11">
                  <c:v>14.58</c:v>
                </c:pt>
                <c:pt idx="12">
                  <c:v>10.312056737588653</c:v>
                </c:pt>
                <c:pt idx="13">
                  <c:v>10.312056737588653</c:v>
                </c:pt>
                <c:pt idx="14">
                  <c:v>14.54</c:v>
                </c:pt>
                <c:pt idx="15">
                  <c:v>14.54</c:v>
                </c:pt>
                <c:pt idx="16">
                  <c:v>10.283687943262413</c:v>
                </c:pt>
                <c:pt idx="17">
                  <c:v>10.283687943262413</c:v>
                </c:pt>
                <c:pt idx="18">
                  <c:v>14.499999999999998</c:v>
                </c:pt>
                <c:pt idx="19">
                  <c:v>14.499999999999998</c:v>
                </c:pt>
                <c:pt idx="20">
                  <c:v>14.42</c:v>
                </c:pt>
                <c:pt idx="21">
                  <c:v>14.42</c:v>
                </c:pt>
                <c:pt idx="22">
                  <c:v>14.38</c:v>
                </c:pt>
                <c:pt idx="23">
                  <c:v>14.38</c:v>
                </c:pt>
                <c:pt idx="24">
                  <c:v>14.38</c:v>
                </c:pt>
                <c:pt idx="25">
                  <c:v>14.38</c:v>
                </c:pt>
                <c:pt idx="26">
                  <c:v>14.35</c:v>
                </c:pt>
                <c:pt idx="27">
                  <c:v>14.299999999999999</c:v>
                </c:pt>
                <c:pt idx="28">
                  <c:v>14.27</c:v>
                </c:pt>
                <c:pt idx="29">
                  <c:v>14.25</c:v>
                </c:pt>
                <c:pt idx="30">
                  <c:v>14.25</c:v>
                </c:pt>
                <c:pt idx="31">
                  <c:v>14.13</c:v>
                </c:pt>
                <c:pt idx="32">
                  <c:v>14.09</c:v>
                </c:pt>
                <c:pt idx="33">
                  <c:v>14.080000000000002</c:v>
                </c:pt>
                <c:pt idx="34">
                  <c:v>14.059999999999999</c:v>
                </c:pt>
                <c:pt idx="35">
                  <c:v>9.9441340782122918</c:v>
                </c:pt>
                <c:pt idx="36">
                  <c:v>12.66</c:v>
                </c:pt>
                <c:pt idx="37">
                  <c:v>12.590000000000002</c:v>
                </c:pt>
                <c:pt idx="38">
                  <c:v>8.9078014184397176</c:v>
                </c:pt>
                <c:pt idx="39">
                  <c:v>12.56</c:v>
                </c:pt>
                <c:pt idx="40">
                  <c:v>8.8652482269503565</c:v>
                </c:pt>
                <c:pt idx="41">
                  <c:v>12.5</c:v>
                </c:pt>
                <c:pt idx="42">
                  <c:v>12.439999999999998</c:v>
                </c:pt>
                <c:pt idx="43">
                  <c:v>12.38</c:v>
                </c:pt>
                <c:pt idx="44">
                  <c:v>12.31</c:v>
                </c:pt>
                <c:pt idx="45">
                  <c:v>12.21</c:v>
                </c:pt>
                <c:pt idx="46">
                  <c:v>12.19</c:v>
                </c:pt>
                <c:pt idx="47">
                  <c:v>12.17</c:v>
                </c:pt>
                <c:pt idx="48">
                  <c:v>12.17</c:v>
                </c:pt>
                <c:pt idx="49">
                  <c:v>8.6028368794326244</c:v>
                </c:pt>
                <c:pt idx="50">
                  <c:v>12.129999999999999</c:v>
                </c:pt>
                <c:pt idx="51">
                  <c:v>8.6028368794326244</c:v>
                </c:pt>
                <c:pt idx="52">
                  <c:v>8.5744680851063837</c:v>
                </c:pt>
                <c:pt idx="53">
                  <c:v>12.06</c:v>
                </c:pt>
                <c:pt idx="54">
                  <c:v>12.06</c:v>
                </c:pt>
                <c:pt idx="55">
                  <c:v>12.04</c:v>
                </c:pt>
                <c:pt idx="56">
                  <c:v>12.03</c:v>
                </c:pt>
                <c:pt idx="57">
                  <c:v>8.5106382978723403</c:v>
                </c:pt>
                <c:pt idx="58">
                  <c:v>8.5106382978723403</c:v>
                </c:pt>
                <c:pt idx="59">
                  <c:v>11.999999999999998</c:v>
                </c:pt>
                <c:pt idx="60">
                  <c:v>11.999999999999998</c:v>
                </c:pt>
                <c:pt idx="61">
                  <c:v>11.97</c:v>
                </c:pt>
                <c:pt idx="62">
                  <c:v>11.95</c:v>
                </c:pt>
                <c:pt idx="63">
                  <c:v>11.9</c:v>
                </c:pt>
                <c:pt idx="64">
                  <c:v>11.88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11.299212598425198</c:v>
                </c:pt>
                <c:pt idx="69">
                  <c:v>11.299212598425198</c:v>
                </c:pt>
                <c:pt idx="70">
                  <c:v>11.25</c:v>
                </c:pt>
                <c:pt idx="71">
                  <c:v>7.9608938547486039</c:v>
                </c:pt>
                <c:pt idx="72">
                  <c:v>7.9608938547486039</c:v>
                </c:pt>
                <c:pt idx="73">
                  <c:v>7.9608938547486039</c:v>
                </c:pt>
                <c:pt idx="74">
                  <c:v>11.13</c:v>
                </c:pt>
                <c:pt idx="75">
                  <c:v>11.06</c:v>
                </c:pt>
                <c:pt idx="76">
                  <c:v>7.8212290502793298</c:v>
                </c:pt>
                <c:pt idx="77">
                  <c:v>7.8212290502793298</c:v>
                </c:pt>
                <c:pt idx="78">
                  <c:v>7.8212290502793298</c:v>
                </c:pt>
                <c:pt idx="79">
                  <c:v>7.8212290502793298</c:v>
                </c:pt>
                <c:pt idx="80">
                  <c:v>7.8212290502793298</c:v>
                </c:pt>
                <c:pt idx="81">
                  <c:v>10.94</c:v>
                </c:pt>
                <c:pt idx="82">
                  <c:v>10.83</c:v>
                </c:pt>
                <c:pt idx="83">
                  <c:v>10.58</c:v>
                </c:pt>
                <c:pt idx="84">
                  <c:v>10.5</c:v>
                </c:pt>
                <c:pt idx="85">
                  <c:v>10.35</c:v>
                </c:pt>
                <c:pt idx="86">
                  <c:v>10.33</c:v>
                </c:pt>
                <c:pt idx="87">
                  <c:v>10.33</c:v>
                </c:pt>
                <c:pt idx="88">
                  <c:v>10.29</c:v>
                </c:pt>
                <c:pt idx="89">
                  <c:v>10.25</c:v>
                </c:pt>
                <c:pt idx="90">
                  <c:v>10.130000000000001</c:v>
                </c:pt>
                <c:pt idx="91">
                  <c:v>10.1</c:v>
                </c:pt>
                <c:pt idx="92">
                  <c:v>10.08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9.94</c:v>
                </c:pt>
                <c:pt idx="97">
                  <c:v>9.92</c:v>
                </c:pt>
                <c:pt idx="98">
                  <c:v>9.92</c:v>
                </c:pt>
                <c:pt idx="99">
                  <c:v>9.9</c:v>
                </c:pt>
                <c:pt idx="100">
                  <c:v>9.8800000000000008</c:v>
                </c:pt>
                <c:pt idx="101">
                  <c:v>9.8800000000000008</c:v>
                </c:pt>
                <c:pt idx="102">
                  <c:v>9.8800000000000008</c:v>
                </c:pt>
                <c:pt idx="103">
                  <c:v>9.8800000000000008</c:v>
                </c:pt>
                <c:pt idx="104">
                  <c:v>9.81</c:v>
                </c:pt>
                <c:pt idx="105">
                  <c:v>9.7899999999999991</c:v>
                </c:pt>
                <c:pt idx="106">
                  <c:v>9.77</c:v>
                </c:pt>
                <c:pt idx="107">
                  <c:v>9.75</c:v>
                </c:pt>
                <c:pt idx="108">
                  <c:v>9.75</c:v>
                </c:pt>
                <c:pt idx="109">
                  <c:v>9.69</c:v>
                </c:pt>
                <c:pt idx="110">
                  <c:v>9.69</c:v>
                </c:pt>
                <c:pt idx="111">
                  <c:v>9.69</c:v>
                </c:pt>
                <c:pt idx="112">
                  <c:v>9.66</c:v>
                </c:pt>
                <c:pt idx="113">
                  <c:v>9.6300000000000008</c:v>
                </c:pt>
                <c:pt idx="114">
                  <c:v>9.6</c:v>
                </c:pt>
                <c:pt idx="115">
                  <c:v>9.58</c:v>
                </c:pt>
                <c:pt idx="116">
                  <c:v>9.58</c:v>
                </c:pt>
                <c:pt idx="117">
                  <c:v>9.56</c:v>
                </c:pt>
                <c:pt idx="118">
                  <c:v>9.56</c:v>
                </c:pt>
                <c:pt idx="119">
                  <c:v>9.5</c:v>
                </c:pt>
                <c:pt idx="120">
                  <c:v>9.5</c:v>
                </c:pt>
                <c:pt idx="121">
                  <c:v>9.5</c:v>
                </c:pt>
                <c:pt idx="122">
                  <c:v>9.5</c:v>
                </c:pt>
                <c:pt idx="123">
                  <c:v>9.5</c:v>
                </c:pt>
                <c:pt idx="124">
                  <c:v>9.5</c:v>
                </c:pt>
                <c:pt idx="125">
                  <c:v>9.4700000000000006</c:v>
                </c:pt>
                <c:pt idx="126">
                  <c:v>9.4600000000000009</c:v>
                </c:pt>
                <c:pt idx="127">
                  <c:v>9.42</c:v>
                </c:pt>
                <c:pt idx="128">
                  <c:v>9.3800000000000008</c:v>
                </c:pt>
                <c:pt idx="129">
                  <c:v>9.3800000000000008</c:v>
                </c:pt>
                <c:pt idx="130">
                  <c:v>9.3800000000000008</c:v>
                </c:pt>
                <c:pt idx="131">
                  <c:v>9.3800000000000008</c:v>
                </c:pt>
                <c:pt idx="132">
                  <c:v>9.33</c:v>
                </c:pt>
                <c:pt idx="133">
                  <c:v>9.33</c:v>
                </c:pt>
                <c:pt idx="134">
                  <c:v>9.31</c:v>
                </c:pt>
                <c:pt idx="135">
                  <c:v>9.25</c:v>
                </c:pt>
                <c:pt idx="136">
                  <c:v>9.25</c:v>
                </c:pt>
                <c:pt idx="137">
                  <c:v>9.25</c:v>
                </c:pt>
                <c:pt idx="138">
                  <c:v>9.25</c:v>
                </c:pt>
                <c:pt idx="139">
                  <c:v>9.19</c:v>
                </c:pt>
                <c:pt idx="140">
                  <c:v>9.19</c:v>
                </c:pt>
                <c:pt idx="141">
                  <c:v>9.19</c:v>
                </c:pt>
                <c:pt idx="142">
                  <c:v>9.17</c:v>
                </c:pt>
                <c:pt idx="143">
                  <c:v>9.1300000000000008</c:v>
                </c:pt>
                <c:pt idx="144">
                  <c:v>9.06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6.061452513966481</c:v>
                </c:pt>
                <c:pt idx="149">
                  <c:v>8.31</c:v>
                </c:pt>
                <c:pt idx="150">
                  <c:v>8.3070866141732296</c:v>
                </c:pt>
                <c:pt idx="151">
                  <c:v>8.3070866141732296</c:v>
                </c:pt>
                <c:pt idx="152">
                  <c:v>8.3070866141732296</c:v>
                </c:pt>
                <c:pt idx="153">
                  <c:v>8.25</c:v>
                </c:pt>
                <c:pt idx="154">
                  <c:v>8.25</c:v>
                </c:pt>
                <c:pt idx="155">
                  <c:v>5.8379888268156428</c:v>
                </c:pt>
                <c:pt idx="156">
                  <c:v>5.6983240223463696</c:v>
                </c:pt>
                <c:pt idx="157">
                  <c:v>8.0314960629921259</c:v>
                </c:pt>
                <c:pt idx="158">
                  <c:v>8</c:v>
                </c:pt>
                <c:pt idx="159">
                  <c:v>6</c:v>
                </c:pt>
                <c:pt idx="160">
                  <c:v>6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6.3385826771653546</c:v>
                </c:pt>
                <c:pt idx="165">
                  <c:v>6.33</c:v>
                </c:pt>
                <c:pt idx="166">
                  <c:v>6.29</c:v>
                </c:pt>
                <c:pt idx="167">
                  <c:v>6.25</c:v>
                </c:pt>
                <c:pt idx="168">
                  <c:v>6.25</c:v>
                </c:pt>
                <c:pt idx="169">
                  <c:v>6.25</c:v>
                </c:pt>
                <c:pt idx="170">
                  <c:v>9.9519999999999982</c:v>
                </c:pt>
                <c:pt idx="171">
                  <c:v>6.21</c:v>
                </c:pt>
                <c:pt idx="172">
                  <c:v>6.19</c:v>
                </c:pt>
                <c:pt idx="173">
                  <c:v>6.16</c:v>
                </c:pt>
                <c:pt idx="174">
                  <c:v>6.13</c:v>
                </c:pt>
                <c:pt idx="175">
                  <c:v>6.13</c:v>
                </c:pt>
                <c:pt idx="176">
                  <c:v>6.0999999999999988</c:v>
                </c:pt>
                <c:pt idx="177">
                  <c:v>6.09</c:v>
                </c:pt>
                <c:pt idx="178">
                  <c:v>9.695999999999998</c:v>
                </c:pt>
                <c:pt idx="179">
                  <c:v>9.6479999999999997</c:v>
                </c:pt>
                <c:pt idx="180">
                  <c:v>6.03</c:v>
                </c:pt>
                <c:pt idx="181">
                  <c:v>9.5999999999999979</c:v>
                </c:pt>
                <c:pt idx="182">
                  <c:v>9.5999999999999979</c:v>
                </c:pt>
                <c:pt idx="183">
                  <c:v>9.5999999999999979</c:v>
                </c:pt>
                <c:pt idx="184">
                  <c:v>5.9999999999999991</c:v>
                </c:pt>
                <c:pt idx="185">
                  <c:v>9.5039999999999996</c:v>
                </c:pt>
                <c:pt idx="186">
                  <c:v>5.63</c:v>
                </c:pt>
                <c:pt idx="187">
                  <c:v>5.5</c:v>
                </c:pt>
                <c:pt idx="188">
                  <c:v>5.5</c:v>
                </c:pt>
                <c:pt idx="189">
                  <c:v>6</c:v>
                </c:pt>
                <c:pt idx="190">
                  <c:v>6</c:v>
                </c:pt>
                <c:pt idx="191">
                  <c:v>8.3040000000000003</c:v>
                </c:pt>
                <c:pt idx="192">
                  <c:v>8.3040000000000003</c:v>
                </c:pt>
                <c:pt idx="193">
                  <c:v>8.24</c:v>
                </c:pt>
                <c:pt idx="194">
                  <c:v>8.0640000000000001</c:v>
                </c:pt>
                <c:pt idx="195">
                  <c:v>8.048</c:v>
                </c:pt>
                <c:pt idx="196">
                  <c:v>8.0319999999999983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7.056</c:v>
                </c:pt>
                <c:pt idx="206">
                  <c:v>6.7519999999999989</c:v>
                </c:pt>
                <c:pt idx="207">
                  <c:v>6.7039999999999997</c:v>
                </c:pt>
                <c:pt idx="208">
                  <c:v>6.6559999999999997</c:v>
                </c:pt>
                <c:pt idx="209">
                  <c:v>6.6079999999999988</c:v>
                </c:pt>
                <c:pt idx="210">
                  <c:v>6.6079999999999988</c:v>
                </c:pt>
                <c:pt idx="211">
                  <c:v>6.6079999999999988</c:v>
                </c:pt>
                <c:pt idx="212">
                  <c:v>6.5439999999999996</c:v>
                </c:pt>
                <c:pt idx="213">
                  <c:v>6.5439999999999996</c:v>
                </c:pt>
                <c:pt idx="214">
                  <c:v>6.4959999999999987</c:v>
                </c:pt>
                <c:pt idx="215">
                  <c:v>6.4959999999999987</c:v>
                </c:pt>
                <c:pt idx="216">
                  <c:v>6.0960000000000001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</c:numCache>
            </c:numRef>
          </c:xVal>
          <c:yVal>
            <c:numRef>
              <c:f>'headed (2)'!$DI$218:$DI$456</c:f>
              <c:numCache>
                <c:formatCode>General</c:formatCode>
                <c:ptCount val="225"/>
                <c:pt idx="0">
                  <c:v>1.6052395746292354</c:v>
                </c:pt>
                <c:pt idx="1">
                  <c:v>1.6052395746292354</c:v>
                </c:pt>
                <c:pt idx="4">
                  <c:v>0.85750356169367992</c:v>
                </c:pt>
                <c:pt idx="6">
                  <c:v>0.9227648214974592</c:v>
                </c:pt>
                <c:pt idx="7">
                  <c:v>1.175019755063784</c:v>
                </c:pt>
                <c:pt idx="9">
                  <c:v>1.417064822746245</c:v>
                </c:pt>
                <c:pt idx="12">
                  <c:v>0.93945017082886029</c:v>
                </c:pt>
                <c:pt idx="13">
                  <c:v>0.7619369171435395</c:v>
                </c:pt>
                <c:pt idx="15">
                  <c:v>1.5434167366445322</c:v>
                </c:pt>
                <c:pt idx="18">
                  <c:v>1.4186878203980968</c:v>
                </c:pt>
                <c:pt idx="19">
                  <c:v>1.6446863940483587</c:v>
                </c:pt>
                <c:pt idx="20">
                  <c:v>1.2440728666081811</c:v>
                </c:pt>
                <c:pt idx="21">
                  <c:v>1.7873571707283726</c:v>
                </c:pt>
                <c:pt idx="25">
                  <c:v>2.2833360622400622</c:v>
                </c:pt>
                <c:pt idx="28">
                  <c:v>1.94348082358257</c:v>
                </c:pt>
                <c:pt idx="32">
                  <c:v>2.3970089307971794</c:v>
                </c:pt>
                <c:pt idx="33">
                  <c:v>1.4971936540610968</c:v>
                </c:pt>
                <c:pt idx="38">
                  <c:v>1.4139539769720177</c:v>
                </c:pt>
                <c:pt idx="40">
                  <c:v>1.3273452162350488</c:v>
                </c:pt>
                <c:pt idx="42">
                  <c:v>2.4582402550876643</c:v>
                </c:pt>
                <c:pt idx="43">
                  <c:v>1.9832832128026687</c:v>
                </c:pt>
                <c:pt idx="44">
                  <c:v>1.8391049780038722</c:v>
                </c:pt>
                <c:pt idx="46">
                  <c:v>2.3883510004126491</c:v>
                </c:pt>
                <c:pt idx="47">
                  <c:v>1.3115617934430026</c:v>
                </c:pt>
                <c:pt idx="50">
                  <c:v>1.8155185532534488</c:v>
                </c:pt>
                <c:pt idx="52">
                  <c:v>1.4621260776285192</c:v>
                </c:pt>
                <c:pt idx="54">
                  <c:v>2.1708095946524519</c:v>
                </c:pt>
                <c:pt idx="56">
                  <c:v>0.95796747993591125</c:v>
                </c:pt>
                <c:pt idx="58">
                  <c:v>1.2698053240076526</c:v>
                </c:pt>
                <c:pt idx="60">
                  <c:v>1.7236171863934053</c:v>
                </c:pt>
                <c:pt idx="61">
                  <c:v>1.6982641257732274</c:v>
                </c:pt>
                <c:pt idx="62">
                  <c:v>1.3194912606521252</c:v>
                </c:pt>
                <c:pt idx="63">
                  <c:v>1.6603365473541258</c:v>
                </c:pt>
                <c:pt idx="66">
                  <c:v>1.6353994946085937</c:v>
                </c:pt>
                <c:pt idx="74">
                  <c:v>1.9213175916594305</c:v>
                </c:pt>
                <c:pt idx="78">
                  <c:v>1.6460556821950687</c:v>
                </c:pt>
                <c:pt idx="79">
                  <c:v>1.8089684795295491</c:v>
                </c:pt>
                <c:pt idx="81">
                  <c:v>2.0072616038610884</c:v>
                </c:pt>
                <c:pt idx="86">
                  <c:v>1.0617977042412712</c:v>
                </c:pt>
                <c:pt idx="87">
                  <c:v>1.5049553082665195</c:v>
                </c:pt>
                <c:pt idx="88">
                  <c:v>1.2114030022601903</c:v>
                </c:pt>
                <c:pt idx="89">
                  <c:v>1.2838814274188568</c:v>
                </c:pt>
                <c:pt idx="90">
                  <c:v>1.8239105992369686</c:v>
                </c:pt>
                <c:pt idx="91">
                  <c:v>1.9881084721453528</c:v>
                </c:pt>
                <c:pt idx="92">
                  <c:v>1.3503150456948545</c:v>
                </c:pt>
                <c:pt idx="93">
                  <c:v>1.6063308950541133</c:v>
                </c:pt>
                <c:pt idx="94">
                  <c:v>1.1713310769181029</c:v>
                </c:pt>
                <c:pt idx="95">
                  <c:v>1.43924293656133</c:v>
                </c:pt>
                <c:pt idx="96">
                  <c:v>2.0269272380347223</c:v>
                </c:pt>
                <c:pt idx="100">
                  <c:v>1.6139869347016558</c:v>
                </c:pt>
                <c:pt idx="101">
                  <c:v>1.2513247658643978</c:v>
                </c:pt>
                <c:pt idx="105">
                  <c:v>1.2590855307150328</c:v>
                </c:pt>
                <c:pt idx="106">
                  <c:v>1.2562768305586147</c:v>
                </c:pt>
                <c:pt idx="108">
                  <c:v>1.2347592325690142</c:v>
                </c:pt>
                <c:pt idx="112">
                  <c:v>1.2318469896840969</c:v>
                </c:pt>
                <c:pt idx="113">
                  <c:v>1.6426498729849517</c:v>
                </c:pt>
                <c:pt idx="114">
                  <c:v>1.3541745362490702</c:v>
                </c:pt>
                <c:pt idx="115">
                  <c:v>1.1363803486620696</c:v>
                </c:pt>
                <c:pt idx="116">
                  <c:v>1.3973460333516139</c:v>
                </c:pt>
                <c:pt idx="117">
                  <c:v>2.3041574627484738</c:v>
                </c:pt>
                <c:pt idx="118">
                  <c:v>2.1598119902405912</c:v>
                </c:pt>
                <c:pt idx="122">
                  <c:v>2.6444397211552655</c:v>
                </c:pt>
                <c:pt idx="123">
                  <c:v>1.9571780539059229</c:v>
                </c:pt>
                <c:pt idx="127">
                  <c:v>1.1894844324913778</c:v>
                </c:pt>
                <c:pt idx="128">
                  <c:v>1.8953979767016702</c:v>
                </c:pt>
                <c:pt idx="130">
                  <c:v>1.9077931730661086</c:v>
                </c:pt>
                <c:pt idx="132">
                  <c:v>1.484875890338786</c:v>
                </c:pt>
                <c:pt idx="134">
                  <c:v>2.0614005199370671</c:v>
                </c:pt>
                <c:pt idx="136">
                  <c:v>2.3464502423270477</c:v>
                </c:pt>
                <c:pt idx="137">
                  <c:v>2.4359566257244731</c:v>
                </c:pt>
                <c:pt idx="139">
                  <c:v>1.5710468122095345</c:v>
                </c:pt>
                <c:pt idx="140">
                  <c:v>2.7386157194045646</c:v>
                </c:pt>
                <c:pt idx="142">
                  <c:v>1.6690368485066298</c:v>
                </c:pt>
                <c:pt idx="143">
                  <c:v>1.82784459240108</c:v>
                </c:pt>
                <c:pt idx="144">
                  <c:v>2.2135974214669707</c:v>
                </c:pt>
                <c:pt idx="149">
                  <c:v>1.9404936547645257</c:v>
                </c:pt>
                <c:pt idx="154">
                  <c:v>2.2447171992350321</c:v>
                </c:pt>
                <c:pt idx="158">
                  <c:v>2.2236759501220891</c:v>
                </c:pt>
                <c:pt idx="161">
                  <c:v>1.4986693583302733</c:v>
                </c:pt>
                <c:pt idx="162">
                  <c:v>1.3186172092729258</c:v>
                </c:pt>
                <c:pt idx="163">
                  <c:v>1.7874689706362066</c:v>
                </c:pt>
                <c:pt idx="166">
                  <c:v>1.6970283766363055</c:v>
                </c:pt>
                <c:pt idx="168">
                  <c:v>1.9189222315857666</c:v>
                </c:pt>
                <c:pt idx="169">
                  <c:v>2.3047517444972305</c:v>
                </c:pt>
                <c:pt idx="173">
                  <c:v>2.4818328297426966</c:v>
                </c:pt>
                <c:pt idx="176">
                  <c:v>1.9689290757805624</c:v>
                </c:pt>
                <c:pt idx="178">
                  <c:v>3.3338667883001012</c:v>
                </c:pt>
                <c:pt idx="180">
                  <c:v>1.4570935247342094</c:v>
                </c:pt>
                <c:pt idx="182">
                  <c:v>2.9352047561738659</c:v>
                </c:pt>
                <c:pt idx="184">
                  <c:v>1.5206207882635787</c:v>
                </c:pt>
                <c:pt idx="185">
                  <c:v>3.6290967896398789</c:v>
                </c:pt>
                <c:pt idx="186">
                  <c:v>2.1228194150362767</c:v>
                </c:pt>
                <c:pt idx="187">
                  <c:v>2.3338738280128664</c:v>
                </c:pt>
                <c:pt idx="188">
                  <c:v>1.8149834332410735</c:v>
                </c:pt>
                <c:pt idx="192">
                  <c:v>2.8079296323692664</c:v>
                </c:pt>
                <c:pt idx="193">
                  <c:v>2.0657822514428021</c:v>
                </c:pt>
                <c:pt idx="195">
                  <c:v>1.8611828164544308</c:v>
                </c:pt>
                <c:pt idx="196">
                  <c:v>2.3306453144673411</c:v>
                </c:pt>
                <c:pt idx="201">
                  <c:v>3.0173632759974316</c:v>
                </c:pt>
                <c:pt idx="202">
                  <c:v>3.0111118327460558</c:v>
                </c:pt>
                <c:pt idx="206">
                  <c:v>2.7924997043954289</c:v>
                </c:pt>
                <c:pt idx="207">
                  <c:v>3.9007223111414722</c:v>
                </c:pt>
                <c:pt idx="208">
                  <c:v>2.9224686635449011</c:v>
                </c:pt>
                <c:pt idx="210">
                  <c:v>2.3986355660050145</c:v>
                </c:pt>
                <c:pt idx="211">
                  <c:v>2.9556646784895912</c:v>
                </c:pt>
                <c:pt idx="212">
                  <c:v>3.2401840760672038</c:v>
                </c:pt>
                <c:pt idx="213">
                  <c:v>2.6884096648583249</c:v>
                </c:pt>
                <c:pt idx="216">
                  <c:v>2.3698771228746178</c:v>
                </c:pt>
                <c:pt idx="221">
                  <c:v>3.0048603894946799</c:v>
                </c:pt>
                <c:pt idx="222">
                  <c:v>2.9965251318261785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58-4726-A25D-F7867C47C5AF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4-7D58-4726-A25D-F7867C47C5AF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(2)'!$O$193:$O$217</c:f>
              <c:numCache>
                <c:formatCode>General</c:formatCode>
                <c:ptCount val="25"/>
                <c:pt idx="0">
                  <c:v>8.3595113438045381</c:v>
                </c:pt>
                <c:pt idx="1">
                  <c:v>12.368794326241137</c:v>
                </c:pt>
                <c:pt idx="2">
                  <c:v>12.234042553191491</c:v>
                </c:pt>
                <c:pt idx="3">
                  <c:v>12.148936170212767</c:v>
                </c:pt>
                <c:pt idx="4">
                  <c:v>12.067039106145252</c:v>
                </c:pt>
                <c:pt idx="5">
                  <c:v>12.056737588652483</c:v>
                </c:pt>
                <c:pt idx="6">
                  <c:v>12.014184397163124</c:v>
                </c:pt>
                <c:pt idx="7">
                  <c:v>12.014184397163124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12.000000000000004</c:v>
                </c:pt>
                <c:pt idx="15">
                  <c:v>12.000000000000004</c:v>
                </c:pt>
                <c:pt idx="16">
                  <c:v>11.921985815602838</c:v>
                </c:pt>
                <c:pt idx="17">
                  <c:v>11.921985815602838</c:v>
                </c:pt>
                <c:pt idx="18">
                  <c:v>11.879432624113477</c:v>
                </c:pt>
                <c:pt idx="19">
                  <c:v>11.858156028368795</c:v>
                </c:pt>
                <c:pt idx="20">
                  <c:v>11.744680851063832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</c:numCache>
            </c:numRef>
          </c:xVal>
          <c:yVal>
            <c:numRef>
              <c:f>'headed (2)'!$DC$193:$DC$217</c:f>
              <c:numCache>
                <c:formatCode>General</c:formatCode>
                <c:ptCount val="25"/>
                <c:pt idx="2">
                  <c:v>1.4461652827060305</c:v>
                </c:pt>
                <c:pt idx="3">
                  <c:v>1.3547088906311604</c:v>
                </c:pt>
                <c:pt idx="4">
                  <c:v>1.3817749686699512</c:v>
                </c:pt>
                <c:pt idx="6">
                  <c:v>1.4726317169163174</c:v>
                </c:pt>
                <c:pt idx="8">
                  <c:v>1.2492919484799965</c:v>
                </c:pt>
                <c:pt idx="9">
                  <c:v>1.2492919484799965</c:v>
                </c:pt>
                <c:pt idx="10">
                  <c:v>1.1492110320426716</c:v>
                </c:pt>
                <c:pt idx="11">
                  <c:v>1.1492110320426716</c:v>
                </c:pt>
                <c:pt idx="14">
                  <c:v>0.91364035374588859</c:v>
                </c:pt>
                <c:pt idx="15">
                  <c:v>0.8642990042491514</c:v>
                </c:pt>
                <c:pt idx="20">
                  <c:v>1.3194133857352812</c:v>
                </c:pt>
                <c:pt idx="21">
                  <c:v>1.2272571830982304</c:v>
                </c:pt>
                <c:pt idx="22">
                  <c:v>1.2272571830982304</c:v>
                </c:pt>
                <c:pt idx="23">
                  <c:v>1.2645047592598222</c:v>
                </c:pt>
                <c:pt idx="24">
                  <c:v>1.2645047592598222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D58-4726-A25D-F7867C47C5AF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(2)'!$O$193:$O$217</c:f>
              <c:numCache>
                <c:formatCode>General</c:formatCode>
                <c:ptCount val="25"/>
                <c:pt idx="0">
                  <c:v>8.3595113438045381</c:v>
                </c:pt>
                <c:pt idx="1">
                  <c:v>12.368794326241137</c:v>
                </c:pt>
                <c:pt idx="2">
                  <c:v>12.234042553191491</c:v>
                </c:pt>
                <c:pt idx="3">
                  <c:v>12.148936170212767</c:v>
                </c:pt>
                <c:pt idx="4">
                  <c:v>12.067039106145252</c:v>
                </c:pt>
                <c:pt idx="5">
                  <c:v>12.056737588652483</c:v>
                </c:pt>
                <c:pt idx="6">
                  <c:v>12.014184397163124</c:v>
                </c:pt>
                <c:pt idx="7">
                  <c:v>12.014184397163124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12.000000000000004</c:v>
                </c:pt>
                <c:pt idx="15">
                  <c:v>12.000000000000004</c:v>
                </c:pt>
                <c:pt idx="16">
                  <c:v>11.921985815602838</c:v>
                </c:pt>
                <c:pt idx="17">
                  <c:v>11.921985815602838</c:v>
                </c:pt>
                <c:pt idx="18">
                  <c:v>11.879432624113477</c:v>
                </c:pt>
                <c:pt idx="19">
                  <c:v>11.858156028368795</c:v>
                </c:pt>
                <c:pt idx="20">
                  <c:v>11.744680851063832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</c:numCache>
            </c:numRef>
          </c:xVal>
          <c:yVal>
            <c:numRef>
              <c:f>'headed (2)'!$DI$193:$DI$217</c:f>
              <c:numCache>
                <c:formatCode>General</c:formatCode>
                <c:ptCount val="25"/>
                <c:pt idx="1">
                  <c:v>1.5194412968967341</c:v>
                </c:pt>
                <c:pt idx="5">
                  <c:v>1.0938128811765657</c:v>
                </c:pt>
                <c:pt idx="7">
                  <c:v>1.6555682834433088</c:v>
                </c:pt>
                <c:pt idx="12">
                  <c:v>1.2977932364143214</c:v>
                </c:pt>
                <c:pt idx="13">
                  <c:v>1.2977932364143214</c:v>
                </c:pt>
                <c:pt idx="16">
                  <c:v>1.6642603569394416</c:v>
                </c:pt>
                <c:pt idx="17">
                  <c:v>1.6408489371767041</c:v>
                </c:pt>
                <c:pt idx="18">
                  <c:v>1.3018488380744442</c:v>
                </c:pt>
                <c:pt idx="19">
                  <c:v>1.5576906050232835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58-4726-A25D-F7867C47C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07520"/>
        <c:axId val="130509440"/>
      </c:scatterChart>
      <c:valAx>
        <c:axId val="130507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9440"/>
        <c:crosses val="autoZero"/>
        <c:crossBetween val="midCat"/>
      </c:valAx>
      <c:valAx>
        <c:axId val="13050944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7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(2)'!$O$53:$O$1282</c:f>
              <c:numCache>
                <c:formatCode>General</c:formatCode>
                <c:ptCount val="1102"/>
                <c:pt idx="0">
                  <c:v>16</c:v>
                </c:pt>
                <c:pt idx="1">
                  <c:v>16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13.921985815602838</c:v>
                </c:pt>
                <c:pt idx="19">
                  <c:v>13.829787234042554</c:v>
                </c:pt>
                <c:pt idx="20">
                  <c:v>13.787234042553195</c:v>
                </c:pt>
                <c:pt idx="21">
                  <c:v>13.744680851063832</c:v>
                </c:pt>
                <c:pt idx="22">
                  <c:v>13.744680851063832</c:v>
                </c:pt>
                <c:pt idx="23">
                  <c:v>13.680851063829788</c:v>
                </c:pt>
                <c:pt idx="24">
                  <c:v>13.652482269503549</c:v>
                </c:pt>
                <c:pt idx="25">
                  <c:v>13.567375886524824</c:v>
                </c:pt>
                <c:pt idx="26">
                  <c:v>8.3595113438045381</c:v>
                </c:pt>
                <c:pt idx="27">
                  <c:v>12.368794326241137</c:v>
                </c:pt>
                <c:pt idx="28">
                  <c:v>12.234042553191491</c:v>
                </c:pt>
                <c:pt idx="29">
                  <c:v>12.148936170212767</c:v>
                </c:pt>
                <c:pt idx="30">
                  <c:v>12.067039106145252</c:v>
                </c:pt>
                <c:pt idx="31">
                  <c:v>12.056737588652483</c:v>
                </c:pt>
                <c:pt idx="32">
                  <c:v>12.014184397163124</c:v>
                </c:pt>
                <c:pt idx="33">
                  <c:v>12.014184397163124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12.000000000000004</c:v>
                </c:pt>
                <c:pt idx="41">
                  <c:v>12.000000000000004</c:v>
                </c:pt>
                <c:pt idx="42">
                  <c:v>11.921985815602838</c:v>
                </c:pt>
                <c:pt idx="43">
                  <c:v>11.921985815602838</c:v>
                </c:pt>
                <c:pt idx="44">
                  <c:v>11.879432624113477</c:v>
                </c:pt>
                <c:pt idx="45">
                  <c:v>11.858156028368795</c:v>
                </c:pt>
                <c:pt idx="46">
                  <c:v>11.744680851063832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15.749999999999998</c:v>
                </c:pt>
                <c:pt idx="54">
                  <c:v>15.28</c:v>
                </c:pt>
                <c:pt idx="55">
                  <c:v>10.581560283687944</c:v>
                </c:pt>
                <c:pt idx="56">
                  <c:v>10.43262411347518</c:v>
                </c:pt>
                <c:pt idx="57">
                  <c:v>10.418439716312058</c:v>
                </c:pt>
                <c:pt idx="58">
                  <c:v>10.418439716312058</c:v>
                </c:pt>
                <c:pt idx="59">
                  <c:v>10.375886524822697</c:v>
                </c:pt>
                <c:pt idx="60">
                  <c:v>10.375886524822697</c:v>
                </c:pt>
                <c:pt idx="61">
                  <c:v>14.58</c:v>
                </c:pt>
                <c:pt idx="62">
                  <c:v>14.58</c:v>
                </c:pt>
                <c:pt idx="63">
                  <c:v>10.312056737588653</c:v>
                </c:pt>
                <c:pt idx="64">
                  <c:v>10.312056737588653</c:v>
                </c:pt>
                <c:pt idx="65">
                  <c:v>14.54</c:v>
                </c:pt>
                <c:pt idx="66">
                  <c:v>14.54</c:v>
                </c:pt>
                <c:pt idx="67">
                  <c:v>10.283687943262413</c:v>
                </c:pt>
                <c:pt idx="68">
                  <c:v>10.283687943262413</c:v>
                </c:pt>
                <c:pt idx="69">
                  <c:v>14.499999999999998</c:v>
                </c:pt>
                <c:pt idx="70">
                  <c:v>14.499999999999998</c:v>
                </c:pt>
                <c:pt idx="71">
                  <c:v>14.42</c:v>
                </c:pt>
                <c:pt idx="72">
                  <c:v>14.42</c:v>
                </c:pt>
                <c:pt idx="73">
                  <c:v>14.38</c:v>
                </c:pt>
                <c:pt idx="74">
                  <c:v>14.38</c:v>
                </c:pt>
                <c:pt idx="75">
                  <c:v>14.38</c:v>
                </c:pt>
                <c:pt idx="76">
                  <c:v>14.38</c:v>
                </c:pt>
                <c:pt idx="77">
                  <c:v>14.35</c:v>
                </c:pt>
                <c:pt idx="78">
                  <c:v>14.299999999999999</c:v>
                </c:pt>
                <c:pt idx="79">
                  <c:v>14.27</c:v>
                </c:pt>
                <c:pt idx="80">
                  <c:v>14.25</c:v>
                </c:pt>
                <c:pt idx="81">
                  <c:v>14.25</c:v>
                </c:pt>
                <c:pt idx="82">
                  <c:v>14.13</c:v>
                </c:pt>
                <c:pt idx="83">
                  <c:v>14.09</c:v>
                </c:pt>
                <c:pt idx="84">
                  <c:v>14.080000000000002</c:v>
                </c:pt>
                <c:pt idx="85">
                  <c:v>14.059999999999999</c:v>
                </c:pt>
                <c:pt idx="86">
                  <c:v>9.9441340782122918</c:v>
                </c:pt>
                <c:pt idx="87">
                  <c:v>12.66</c:v>
                </c:pt>
                <c:pt idx="88">
                  <c:v>12.590000000000002</c:v>
                </c:pt>
                <c:pt idx="89">
                  <c:v>8.9078014184397176</c:v>
                </c:pt>
                <c:pt idx="90">
                  <c:v>12.56</c:v>
                </c:pt>
                <c:pt idx="91">
                  <c:v>8.8652482269503565</c:v>
                </c:pt>
                <c:pt idx="92">
                  <c:v>12.5</c:v>
                </c:pt>
                <c:pt idx="93">
                  <c:v>12.439999999999998</c:v>
                </c:pt>
                <c:pt idx="94">
                  <c:v>12.38</c:v>
                </c:pt>
                <c:pt idx="95">
                  <c:v>12.31</c:v>
                </c:pt>
                <c:pt idx="96">
                  <c:v>12.21</c:v>
                </c:pt>
                <c:pt idx="97">
                  <c:v>12.19</c:v>
                </c:pt>
                <c:pt idx="98">
                  <c:v>12.17</c:v>
                </c:pt>
                <c:pt idx="99">
                  <c:v>12.17</c:v>
                </c:pt>
                <c:pt idx="100">
                  <c:v>8.6028368794326244</c:v>
                </c:pt>
                <c:pt idx="101">
                  <c:v>12.129999999999999</c:v>
                </c:pt>
                <c:pt idx="102">
                  <c:v>8.6028368794326244</c:v>
                </c:pt>
                <c:pt idx="103">
                  <c:v>8.5744680851063837</c:v>
                </c:pt>
                <c:pt idx="104">
                  <c:v>12.06</c:v>
                </c:pt>
                <c:pt idx="105">
                  <c:v>12.06</c:v>
                </c:pt>
                <c:pt idx="106">
                  <c:v>12.04</c:v>
                </c:pt>
                <c:pt idx="107">
                  <c:v>12.03</c:v>
                </c:pt>
                <c:pt idx="108">
                  <c:v>8.5106382978723403</c:v>
                </c:pt>
                <c:pt idx="109">
                  <c:v>8.5106382978723403</c:v>
                </c:pt>
                <c:pt idx="110">
                  <c:v>11.999999999999998</c:v>
                </c:pt>
                <c:pt idx="111">
                  <c:v>11.999999999999998</c:v>
                </c:pt>
                <c:pt idx="112">
                  <c:v>11.97</c:v>
                </c:pt>
                <c:pt idx="113">
                  <c:v>11.95</c:v>
                </c:pt>
                <c:pt idx="114">
                  <c:v>11.9</c:v>
                </c:pt>
                <c:pt idx="115">
                  <c:v>11.88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11.299212598425198</c:v>
                </c:pt>
                <c:pt idx="120">
                  <c:v>11.299212598425198</c:v>
                </c:pt>
                <c:pt idx="121">
                  <c:v>11.25</c:v>
                </c:pt>
                <c:pt idx="122">
                  <c:v>7.9608938547486039</c:v>
                </c:pt>
                <c:pt idx="123">
                  <c:v>7.9608938547486039</c:v>
                </c:pt>
                <c:pt idx="124">
                  <c:v>7.9608938547486039</c:v>
                </c:pt>
                <c:pt idx="125">
                  <c:v>11.13</c:v>
                </c:pt>
                <c:pt idx="126">
                  <c:v>11.06</c:v>
                </c:pt>
                <c:pt idx="127">
                  <c:v>7.8212290502793298</c:v>
                </c:pt>
                <c:pt idx="128">
                  <c:v>7.8212290502793298</c:v>
                </c:pt>
                <c:pt idx="129">
                  <c:v>7.8212290502793298</c:v>
                </c:pt>
                <c:pt idx="130">
                  <c:v>7.8212290502793298</c:v>
                </c:pt>
                <c:pt idx="131">
                  <c:v>7.8212290502793298</c:v>
                </c:pt>
                <c:pt idx="132">
                  <c:v>10.94</c:v>
                </c:pt>
                <c:pt idx="133">
                  <c:v>10.83</c:v>
                </c:pt>
                <c:pt idx="134">
                  <c:v>10.58</c:v>
                </c:pt>
                <c:pt idx="135">
                  <c:v>10.5</c:v>
                </c:pt>
                <c:pt idx="136">
                  <c:v>10.35</c:v>
                </c:pt>
                <c:pt idx="137">
                  <c:v>10.33</c:v>
                </c:pt>
                <c:pt idx="138">
                  <c:v>10.33</c:v>
                </c:pt>
                <c:pt idx="139">
                  <c:v>10.29</c:v>
                </c:pt>
                <c:pt idx="140">
                  <c:v>10.25</c:v>
                </c:pt>
                <c:pt idx="141">
                  <c:v>10.130000000000001</c:v>
                </c:pt>
                <c:pt idx="142">
                  <c:v>10.1</c:v>
                </c:pt>
                <c:pt idx="143">
                  <c:v>10.08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9.94</c:v>
                </c:pt>
                <c:pt idx="148">
                  <c:v>9.92</c:v>
                </c:pt>
                <c:pt idx="149">
                  <c:v>9.92</c:v>
                </c:pt>
                <c:pt idx="150">
                  <c:v>9.9</c:v>
                </c:pt>
                <c:pt idx="151">
                  <c:v>9.8800000000000008</c:v>
                </c:pt>
                <c:pt idx="152">
                  <c:v>9.8800000000000008</c:v>
                </c:pt>
                <c:pt idx="153">
                  <c:v>9.8800000000000008</c:v>
                </c:pt>
                <c:pt idx="154">
                  <c:v>9.8800000000000008</c:v>
                </c:pt>
                <c:pt idx="155">
                  <c:v>9.81</c:v>
                </c:pt>
                <c:pt idx="156">
                  <c:v>9.7899999999999991</c:v>
                </c:pt>
                <c:pt idx="157">
                  <c:v>9.77</c:v>
                </c:pt>
                <c:pt idx="158">
                  <c:v>9.75</c:v>
                </c:pt>
                <c:pt idx="159">
                  <c:v>9.75</c:v>
                </c:pt>
                <c:pt idx="160">
                  <c:v>9.69</c:v>
                </c:pt>
                <c:pt idx="161">
                  <c:v>9.69</c:v>
                </c:pt>
                <c:pt idx="162">
                  <c:v>9.69</c:v>
                </c:pt>
                <c:pt idx="163">
                  <c:v>9.66</c:v>
                </c:pt>
                <c:pt idx="164">
                  <c:v>9.6300000000000008</c:v>
                </c:pt>
                <c:pt idx="165">
                  <c:v>9.6</c:v>
                </c:pt>
                <c:pt idx="166">
                  <c:v>9.58</c:v>
                </c:pt>
                <c:pt idx="167">
                  <c:v>9.58</c:v>
                </c:pt>
                <c:pt idx="168">
                  <c:v>9.56</c:v>
                </c:pt>
                <c:pt idx="169">
                  <c:v>9.56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9.4700000000000006</c:v>
                </c:pt>
                <c:pt idx="177">
                  <c:v>9.4600000000000009</c:v>
                </c:pt>
                <c:pt idx="178">
                  <c:v>9.42</c:v>
                </c:pt>
                <c:pt idx="179">
                  <c:v>9.3800000000000008</c:v>
                </c:pt>
                <c:pt idx="180">
                  <c:v>9.3800000000000008</c:v>
                </c:pt>
                <c:pt idx="181">
                  <c:v>9.3800000000000008</c:v>
                </c:pt>
                <c:pt idx="182">
                  <c:v>9.3800000000000008</c:v>
                </c:pt>
                <c:pt idx="183">
                  <c:v>9.33</c:v>
                </c:pt>
                <c:pt idx="184">
                  <c:v>9.33</c:v>
                </c:pt>
                <c:pt idx="185">
                  <c:v>9.31</c:v>
                </c:pt>
                <c:pt idx="186">
                  <c:v>9.25</c:v>
                </c:pt>
                <c:pt idx="187">
                  <c:v>9.25</c:v>
                </c:pt>
                <c:pt idx="188">
                  <c:v>9.25</c:v>
                </c:pt>
                <c:pt idx="189">
                  <c:v>9.25</c:v>
                </c:pt>
                <c:pt idx="190">
                  <c:v>9.19</c:v>
                </c:pt>
                <c:pt idx="191">
                  <c:v>9.19</c:v>
                </c:pt>
                <c:pt idx="192">
                  <c:v>9.19</c:v>
                </c:pt>
                <c:pt idx="193">
                  <c:v>9.17</c:v>
                </c:pt>
                <c:pt idx="194">
                  <c:v>9.1300000000000008</c:v>
                </c:pt>
                <c:pt idx="195">
                  <c:v>9.06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6.061452513966481</c:v>
                </c:pt>
                <c:pt idx="200">
                  <c:v>8.31</c:v>
                </c:pt>
                <c:pt idx="201">
                  <c:v>8.3070866141732296</c:v>
                </c:pt>
                <c:pt idx="202">
                  <c:v>8.3070866141732296</c:v>
                </c:pt>
                <c:pt idx="203">
                  <c:v>8.3070866141732296</c:v>
                </c:pt>
                <c:pt idx="204">
                  <c:v>8.25</c:v>
                </c:pt>
                <c:pt idx="205">
                  <c:v>8.25</c:v>
                </c:pt>
                <c:pt idx="206">
                  <c:v>5.8379888268156428</c:v>
                </c:pt>
                <c:pt idx="207">
                  <c:v>5.6983240223463696</c:v>
                </c:pt>
                <c:pt idx="208">
                  <c:v>8.0314960629921259</c:v>
                </c:pt>
                <c:pt idx="209">
                  <c:v>8</c:v>
                </c:pt>
                <c:pt idx="210">
                  <c:v>6</c:v>
                </c:pt>
                <c:pt idx="211">
                  <c:v>6</c:v>
                </c:pt>
                <c:pt idx="212">
                  <c:v>7.06</c:v>
                </c:pt>
                <c:pt idx="213">
                  <c:v>7.06</c:v>
                </c:pt>
                <c:pt idx="214">
                  <c:v>7</c:v>
                </c:pt>
                <c:pt idx="215">
                  <c:v>6.3385826771653546</c:v>
                </c:pt>
                <c:pt idx="216">
                  <c:v>6.33</c:v>
                </c:pt>
                <c:pt idx="217">
                  <c:v>6.29</c:v>
                </c:pt>
                <c:pt idx="218">
                  <c:v>6.25</c:v>
                </c:pt>
                <c:pt idx="219">
                  <c:v>6.25</c:v>
                </c:pt>
                <c:pt idx="220">
                  <c:v>6.25</c:v>
                </c:pt>
                <c:pt idx="221">
                  <c:v>9.9519999999999982</c:v>
                </c:pt>
                <c:pt idx="222">
                  <c:v>6.21</c:v>
                </c:pt>
                <c:pt idx="223">
                  <c:v>6.19</c:v>
                </c:pt>
                <c:pt idx="224">
                  <c:v>6.16</c:v>
                </c:pt>
                <c:pt idx="225">
                  <c:v>6.13</c:v>
                </c:pt>
                <c:pt idx="226">
                  <c:v>6.13</c:v>
                </c:pt>
                <c:pt idx="227">
                  <c:v>6.0999999999999988</c:v>
                </c:pt>
                <c:pt idx="228">
                  <c:v>6.09</c:v>
                </c:pt>
                <c:pt idx="229">
                  <c:v>9.695999999999998</c:v>
                </c:pt>
                <c:pt idx="230">
                  <c:v>9.6479999999999997</c:v>
                </c:pt>
                <c:pt idx="231">
                  <c:v>6.03</c:v>
                </c:pt>
                <c:pt idx="232">
                  <c:v>9.5999999999999979</c:v>
                </c:pt>
                <c:pt idx="233">
                  <c:v>9.5999999999999979</c:v>
                </c:pt>
                <c:pt idx="234">
                  <c:v>9.5999999999999979</c:v>
                </c:pt>
                <c:pt idx="235">
                  <c:v>5.9999999999999991</c:v>
                </c:pt>
                <c:pt idx="236">
                  <c:v>9.5039999999999996</c:v>
                </c:pt>
                <c:pt idx="237">
                  <c:v>5.63</c:v>
                </c:pt>
                <c:pt idx="238">
                  <c:v>5.5</c:v>
                </c:pt>
                <c:pt idx="239">
                  <c:v>5.5</c:v>
                </c:pt>
                <c:pt idx="240">
                  <c:v>6</c:v>
                </c:pt>
                <c:pt idx="241">
                  <c:v>6</c:v>
                </c:pt>
                <c:pt idx="242">
                  <c:v>8.3040000000000003</c:v>
                </c:pt>
                <c:pt idx="243">
                  <c:v>8.3040000000000003</c:v>
                </c:pt>
                <c:pt idx="244">
                  <c:v>8.24</c:v>
                </c:pt>
                <c:pt idx="245">
                  <c:v>8.0640000000000001</c:v>
                </c:pt>
                <c:pt idx="246">
                  <c:v>8.048</c:v>
                </c:pt>
                <c:pt idx="247">
                  <c:v>8.0319999999999983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7.056</c:v>
                </c:pt>
                <c:pt idx="257">
                  <c:v>6.7519999999999989</c:v>
                </c:pt>
                <c:pt idx="258">
                  <c:v>6.7039999999999997</c:v>
                </c:pt>
                <c:pt idx="259">
                  <c:v>6.6559999999999997</c:v>
                </c:pt>
                <c:pt idx="260">
                  <c:v>6.6079999999999988</c:v>
                </c:pt>
                <c:pt idx="261">
                  <c:v>6.6079999999999988</c:v>
                </c:pt>
                <c:pt idx="262">
                  <c:v>6.6079999999999988</c:v>
                </c:pt>
                <c:pt idx="263">
                  <c:v>6.5439999999999996</c:v>
                </c:pt>
                <c:pt idx="264">
                  <c:v>6.5439999999999996</c:v>
                </c:pt>
                <c:pt idx="265">
                  <c:v>6.4959999999999987</c:v>
                </c:pt>
                <c:pt idx="266">
                  <c:v>6.4959999999999987</c:v>
                </c:pt>
                <c:pt idx="267">
                  <c:v>6.0960000000000001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91">
                  <c:v>8</c:v>
                </c:pt>
                <c:pt idx="292">
                  <c:v>8.3000000000000007</c:v>
                </c:pt>
                <c:pt idx="293">
                  <c:v>8.5</c:v>
                </c:pt>
                <c:pt idx="294">
                  <c:v>7.5</c:v>
                </c:pt>
                <c:pt idx="295">
                  <c:v>7.4</c:v>
                </c:pt>
                <c:pt idx="296">
                  <c:v>7.4</c:v>
                </c:pt>
                <c:pt idx="297">
                  <c:v>7.1</c:v>
                </c:pt>
                <c:pt idx="298">
                  <c:v>7</c:v>
                </c:pt>
                <c:pt idx="299">
                  <c:v>5.9999999999999991</c:v>
                </c:pt>
                <c:pt idx="300">
                  <c:v>5.9999999999999991</c:v>
                </c:pt>
                <c:pt idx="301">
                  <c:v>6.0999999999999988</c:v>
                </c:pt>
                <c:pt idx="302">
                  <c:v>6.0999999999999988</c:v>
                </c:pt>
                <c:pt idx="303">
                  <c:v>6.3</c:v>
                </c:pt>
                <c:pt idx="304">
                  <c:v>6.3</c:v>
                </c:pt>
                <c:pt idx="305">
                  <c:v>6.4</c:v>
                </c:pt>
                <c:pt idx="306">
                  <c:v>6.5</c:v>
                </c:pt>
                <c:pt idx="307">
                  <c:v>6.5</c:v>
                </c:pt>
                <c:pt idx="308">
                  <c:v>6.5</c:v>
                </c:pt>
                <c:pt idx="309">
                  <c:v>6.6</c:v>
                </c:pt>
                <c:pt idx="310">
                  <c:v>6.5</c:v>
                </c:pt>
                <c:pt idx="311">
                  <c:v>6.5</c:v>
                </c:pt>
                <c:pt idx="312">
                  <c:v>6.4</c:v>
                </c:pt>
                <c:pt idx="313">
                  <c:v>8.4</c:v>
                </c:pt>
                <c:pt idx="314">
                  <c:v>6.5</c:v>
                </c:pt>
                <c:pt idx="315">
                  <c:v>6.3</c:v>
                </c:pt>
                <c:pt idx="316">
                  <c:v>6.8000000000000007</c:v>
                </c:pt>
                <c:pt idx="317">
                  <c:v>5.9999999999999991</c:v>
                </c:pt>
                <c:pt idx="318">
                  <c:v>6.0999999999999988</c:v>
                </c:pt>
                <c:pt idx="319">
                  <c:v>6.8000000000000007</c:v>
                </c:pt>
                <c:pt idx="320">
                  <c:v>6.3</c:v>
                </c:pt>
                <c:pt idx="321">
                  <c:v>6.6</c:v>
                </c:pt>
                <c:pt idx="322">
                  <c:v>6.9</c:v>
                </c:pt>
                <c:pt idx="329">
                  <c:v>20</c:v>
                </c:pt>
                <c:pt idx="330">
                  <c:v>20</c:v>
                </c:pt>
                <c:pt idx="331">
                  <c:v>7</c:v>
                </c:pt>
                <c:pt idx="332">
                  <c:v>7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13</c:v>
                </c:pt>
                <c:pt idx="337">
                  <c:v>13</c:v>
                </c:pt>
                <c:pt idx="338">
                  <c:v>13</c:v>
                </c:pt>
                <c:pt idx="339">
                  <c:v>16</c:v>
                </c:pt>
                <c:pt idx="340">
                  <c:v>7</c:v>
                </c:pt>
                <c:pt idx="341">
                  <c:v>7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16</c:v>
                </c:pt>
                <c:pt idx="349">
                  <c:v>20</c:v>
                </c:pt>
                <c:pt idx="350">
                  <c:v>20</c:v>
                </c:pt>
                <c:pt idx="351">
                  <c:v>7</c:v>
                </c:pt>
                <c:pt idx="352">
                  <c:v>10</c:v>
                </c:pt>
                <c:pt idx="353">
                  <c:v>13</c:v>
                </c:pt>
                <c:pt idx="354">
                  <c:v>7</c:v>
                </c:pt>
                <c:pt idx="355">
                  <c:v>10</c:v>
                </c:pt>
                <c:pt idx="356">
                  <c:v>13</c:v>
                </c:pt>
                <c:pt idx="357">
                  <c:v>16</c:v>
                </c:pt>
                <c:pt idx="358">
                  <c:v>16</c:v>
                </c:pt>
                <c:pt idx="359">
                  <c:v>20</c:v>
                </c:pt>
                <c:pt idx="360">
                  <c:v>20</c:v>
                </c:pt>
                <c:pt idx="361">
                  <c:v>23</c:v>
                </c:pt>
                <c:pt idx="362">
                  <c:v>23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</c:numCache>
            </c:numRef>
          </c:xVal>
          <c:yVal>
            <c:numRef>
              <c:f>'headed (2)'!$CZ$53:$CZ$1282</c:f>
              <c:numCache>
                <c:formatCode>General</c:formatCode>
                <c:ptCount val="1102"/>
                <c:pt idx="0">
                  <c:v>1.2140631955584191</c:v>
                </c:pt>
                <c:pt idx="1">
                  <c:v>1.2142589675863487</c:v>
                </c:pt>
                <c:pt idx="2">
                  <c:v>1.250702910301895</c:v>
                </c:pt>
                <c:pt idx="3">
                  <c:v>1.6061312508358303</c:v>
                </c:pt>
                <c:pt idx="4">
                  <c:v>1.5076213914643732</c:v>
                </c:pt>
                <c:pt idx="5">
                  <c:v>1.6116129274598434</c:v>
                </c:pt>
                <c:pt idx="6">
                  <c:v>1.353732099805089</c:v>
                </c:pt>
                <c:pt idx="7">
                  <c:v>1.2158256317980205</c:v>
                </c:pt>
                <c:pt idx="8">
                  <c:v>1.1078654557321155</c:v>
                </c:pt>
                <c:pt idx="9">
                  <c:v>0.88558461738800009</c:v>
                </c:pt>
                <c:pt idx="10">
                  <c:v>1.0971269956239666</c:v>
                </c:pt>
                <c:pt idx="11">
                  <c:v>1.1362985571149462</c:v>
                </c:pt>
                <c:pt idx="12">
                  <c:v>1.4489090299456451</c:v>
                </c:pt>
                <c:pt idx="13">
                  <c:v>1.1264315123772384</c:v>
                </c:pt>
                <c:pt idx="14">
                  <c:v>1.1972859454860088</c:v>
                </c:pt>
                <c:pt idx="15">
                  <c:v>1.1825979304836267</c:v>
                </c:pt>
                <c:pt idx="16">
                  <c:v>1.1802441564682067</c:v>
                </c:pt>
                <c:pt idx="17">
                  <c:v>1.3701259564751176</c:v>
                </c:pt>
                <c:pt idx="18">
                  <c:v>1.4455193526381414</c:v>
                </c:pt>
                <c:pt idx="19">
                  <c:v>1.2264020383181997</c:v>
                </c:pt>
                <c:pt idx="20">
                  <c:v>1.2582112350998493</c:v>
                </c:pt>
                <c:pt idx="21">
                  <c:v>1.3026075869753657</c:v>
                </c:pt>
                <c:pt idx="22">
                  <c:v>1.3786937883911297</c:v>
                </c:pt>
                <c:pt idx="23">
                  <c:v>1.2265000402860071</c:v>
                </c:pt>
                <c:pt idx="24">
                  <c:v>1.375870186901017</c:v>
                </c:pt>
                <c:pt idx="25">
                  <c:v>1.3999644400429421</c:v>
                </c:pt>
                <c:pt idx="26">
                  <c:v>0</c:v>
                </c:pt>
                <c:pt idx="27">
                  <c:v>1.1905256945812908</c:v>
                </c:pt>
                <c:pt idx="28">
                  <c:v>1.1167546869959355</c:v>
                </c:pt>
                <c:pt idx="29">
                  <c:v>1.0416632154626597</c:v>
                </c:pt>
                <c:pt idx="30">
                  <c:v>1.4709966291791812</c:v>
                </c:pt>
                <c:pt idx="31">
                  <c:v>1.0293844757547645</c:v>
                </c:pt>
                <c:pt idx="32">
                  <c:v>1.1153119606929831</c:v>
                </c:pt>
                <c:pt idx="33">
                  <c:v>1.2956424138648808</c:v>
                </c:pt>
                <c:pt idx="34">
                  <c:v>1.131898315070766</c:v>
                </c:pt>
                <c:pt idx="35">
                  <c:v>1.131898315070766</c:v>
                </c:pt>
                <c:pt idx="36">
                  <c:v>1.0412218156152346</c:v>
                </c:pt>
                <c:pt idx="37">
                  <c:v>1.0412218156152346</c:v>
                </c:pt>
                <c:pt idx="38">
                  <c:v>1.1716971921552939</c:v>
                </c:pt>
                <c:pt idx="39">
                  <c:v>1.1716971921552939</c:v>
                </c:pt>
                <c:pt idx="40">
                  <c:v>0.85080970194489203</c:v>
                </c:pt>
                <c:pt idx="41">
                  <c:v>0.8085349544542425</c:v>
                </c:pt>
                <c:pt idx="42">
                  <c:v>1.2571639757274684</c:v>
                </c:pt>
                <c:pt idx="43">
                  <c:v>1.2692714892463186</c:v>
                </c:pt>
                <c:pt idx="44">
                  <c:v>1.2091353781823571</c:v>
                </c:pt>
                <c:pt idx="45">
                  <c:v>1.1753055919076683</c:v>
                </c:pt>
                <c:pt idx="46">
                  <c:v>1.0182198876788391</c:v>
                </c:pt>
                <c:pt idx="47">
                  <c:v>1.3095784928162608</c:v>
                </c:pt>
                <c:pt idx="48">
                  <c:v>1.3095784928162608</c:v>
                </c:pt>
                <c:pt idx="49">
                  <c:v>1.3493245422364921</c:v>
                </c:pt>
                <c:pt idx="50">
                  <c:v>1.3493245422364921</c:v>
                </c:pt>
                <c:pt idx="51">
                  <c:v>1.6978913823018422</c:v>
                </c:pt>
                <c:pt idx="52">
                  <c:v>1.6978913823018422</c:v>
                </c:pt>
                <c:pt idx="53">
                  <c:v>0.91851247644247092</c:v>
                </c:pt>
                <c:pt idx="54">
                  <c:v>1</c:v>
                </c:pt>
                <c:pt idx="55">
                  <c:v>0.73678053201601534</c:v>
                </c:pt>
                <c:pt idx="56">
                  <c:v>0.73718451657272832</c:v>
                </c:pt>
                <c:pt idx="57">
                  <c:v>0.68724341538301104</c:v>
                </c:pt>
                <c:pt idx="58">
                  <c:v>0.85028063832166845</c:v>
                </c:pt>
                <c:pt idx="59">
                  <c:v>0.49532268932934714</c:v>
                </c:pt>
                <c:pt idx="60">
                  <c:v>1.059782127050285</c:v>
                </c:pt>
                <c:pt idx="61">
                  <c:v>1.0088869571220103</c:v>
                </c:pt>
                <c:pt idx="62">
                  <c:v>1.0815801265431821</c:v>
                </c:pt>
                <c:pt idx="63">
                  <c:v>0.85852739822939572</c:v>
                </c:pt>
                <c:pt idx="64">
                  <c:v>0.69404556824261776</c:v>
                </c:pt>
                <c:pt idx="65">
                  <c:v>1.0377227912290949</c:v>
                </c:pt>
                <c:pt idx="66">
                  <c:v>1.0851045143939175</c:v>
                </c:pt>
                <c:pt idx="67">
                  <c:v>0.61746193238869718</c:v>
                </c:pt>
                <c:pt idx="68">
                  <c:v>0.78437925291382093</c:v>
                </c:pt>
                <c:pt idx="69">
                  <c:v>1.2732119156908908</c:v>
                </c:pt>
                <c:pt idx="70">
                  <c:v>1.486801599498017</c:v>
                </c:pt>
                <c:pt idx="71">
                  <c:v>1.127721019295898</c:v>
                </c:pt>
                <c:pt idx="72">
                  <c:v>1.3354151143487145</c:v>
                </c:pt>
                <c:pt idx="73">
                  <c:v>1.0546620803021731</c:v>
                </c:pt>
                <c:pt idx="74">
                  <c:v>1.1851863092498804</c:v>
                </c:pt>
                <c:pt idx="75">
                  <c:v>1.164038324517964</c:v>
                </c:pt>
                <c:pt idx="76">
                  <c:v>1.4000927741086981</c:v>
                </c:pt>
                <c:pt idx="77">
                  <c:v>1.1994142932326093</c:v>
                </c:pt>
                <c:pt idx="78">
                  <c:v>1.0759579072343315</c:v>
                </c:pt>
                <c:pt idx="79">
                  <c:v>1.4489801776685771</c:v>
                </c:pt>
                <c:pt idx="80">
                  <c:v>1.1693024959062237</c:v>
                </c:pt>
                <c:pt idx="81">
                  <c:v>1.1039912468916053</c:v>
                </c:pt>
                <c:pt idx="82">
                  <c:v>1.0425960964081298</c:v>
                </c:pt>
                <c:pt idx="83">
                  <c:v>1.4707672066107018</c:v>
                </c:pt>
                <c:pt idx="84">
                  <c:v>1.2575697339160365</c:v>
                </c:pt>
                <c:pt idx="85">
                  <c:v>1.1152914305964363</c:v>
                </c:pt>
                <c:pt idx="86">
                  <c:v>1.3081102480693489</c:v>
                </c:pt>
                <c:pt idx="87">
                  <c:v>0.99943469121787187</c:v>
                </c:pt>
                <c:pt idx="88">
                  <c:v>1.0591467407093387</c:v>
                </c:pt>
                <c:pt idx="89">
                  <c:v>0.95553229503146886</c:v>
                </c:pt>
                <c:pt idx="90">
                  <c:v>1.2638608456589822</c:v>
                </c:pt>
                <c:pt idx="91">
                  <c:v>0.93377048827409681</c:v>
                </c:pt>
                <c:pt idx="92">
                  <c:v>1.0429653107588621</c:v>
                </c:pt>
                <c:pt idx="93">
                  <c:v>1.4482630142707176</c:v>
                </c:pt>
                <c:pt idx="94">
                  <c:v>1.1669913938500407</c:v>
                </c:pt>
                <c:pt idx="95">
                  <c:v>1.1029753689711439</c:v>
                </c:pt>
                <c:pt idx="96">
                  <c:v>0.94794472349162318</c:v>
                </c:pt>
                <c:pt idx="97">
                  <c:v>1.2065212017848979</c:v>
                </c:pt>
                <c:pt idx="98">
                  <c:v>0.94032104183423759</c:v>
                </c:pt>
                <c:pt idx="99">
                  <c:v>0.73435132953628823</c:v>
                </c:pt>
                <c:pt idx="100">
                  <c:v>0.8348184273807373</c:v>
                </c:pt>
                <c:pt idx="101">
                  <c:v>1.0886125437537382</c:v>
                </c:pt>
                <c:pt idx="102">
                  <c:v>0.72096580896252627</c:v>
                </c:pt>
                <c:pt idx="103">
                  <c:v>0.99108586662496612</c:v>
                </c:pt>
                <c:pt idx="104">
                  <c:v>0.78234204586737066</c:v>
                </c:pt>
                <c:pt idx="105">
                  <c:v>1.0958321519136152</c:v>
                </c:pt>
                <c:pt idx="106">
                  <c:v>0.95810293219723919</c:v>
                </c:pt>
                <c:pt idx="107">
                  <c:v>0.80046699672781108</c:v>
                </c:pt>
                <c:pt idx="108">
                  <c:v>0.74669552116938287</c:v>
                </c:pt>
                <c:pt idx="109">
                  <c:v>0.90336797784402101</c:v>
                </c:pt>
                <c:pt idx="110">
                  <c:v>0.73918547860307671</c:v>
                </c:pt>
                <c:pt idx="111">
                  <c:v>1.035801217585661</c:v>
                </c:pt>
                <c:pt idx="112">
                  <c:v>1.0136499429452763</c:v>
                </c:pt>
                <c:pt idx="113">
                  <c:v>1.1085878003695551</c:v>
                </c:pt>
                <c:pt idx="114">
                  <c:v>1.1917519000638892</c:v>
                </c:pt>
                <c:pt idx="115">
                  <c:v>0.76733459610941368</c:v>
                </c:pt>
                <c:pt idx="116">
                  <c:v>1.0049803374710342</c:v>
                </c:pt>
                <c:pt idx="117">
                  <c:v>1.336765961716297</c:v>
                </c:pt>
                <c:pt idx="118">
                  <c:v>1.3502706830387621</c:v>
                </c:pt>
                <c:pt idx="119">
                  <c:v>1.0800473563193289</c:v>
                </c:pt>
                <c:pt idx="120">
                  <c:v>1.4530735737887628</c:v>
                </c:pt>
                <c:pt idx="121">
                  <c:v>0.97146948096887209</c:v>
                </c:pt>
                <c:pt idx="122">
                  <c:v>1.2119877238401617</c:v>
                </c:pt>
                <c:pt idx="123">
                  <c:v>1.4335498222786425</c:v>
                </c:pt>
                <c:pt idx="124">
                  <c:v>1.7084704294313242</c:v>
                </c:pt>
                <c:pt idx="125">
                  <c:v>1.0658353776281775</c:v>
                </c:pt>
                <c:pt idx="126">
                  <c:v>1.10521720654621</c:v>
                </c:pt>
                <c:pt idx="127">
                  <c:v>1.3383380886118024</c:v>
                </c:pt>
                <c:pt idx="128">
                  <c:v>1.0667341823935248</c:v>
                </c:pt>
                <c:pt idx="129">
                  <c:v>1.5688980242628909</c:v>
                </c:pt>
                <c:pt idx="130">
                  <c:v>1.7241744032031006</c:v>
                </c:pt>
                <c:pt idx="131">
                  <c:v>1.5425351929470028</c:v>
                </c:pt>
                <c:pt idx="132">
                  <c:v>1.0745054096439952</c:v>
                </c:pt>
                <c:pt idx="133">
                  <c:v>1.0069882788145434</c:v>
                </c:pt>
                <c:pt idx="134">
                  <c:v>1.0537522781326267</c:v>
                </c:pt>
                <c:pt idx="135">
                  <c:v>0.94606036381909953</c:v>
                </c:pt>
                <c:pt idx="136">
                  <c:v>1.0607370982090985</c:v>
                </c:pt>
                <c:pt idx="137">
                  <c:v>0.99104241411838778</c:v>
                </c:pt>
                <c:pt idx="138">
                  <c:v>1.2415241895472264</c:v>
                </c:pt>
                <c:pt idx="139">
                  <c:v>1.1108598911062268</c:v>
                </c:pt>
                <c:pt idx="140">
                  <c:v>0.98254513569119484</c:v>
                </c:pt>
                <c:pt idx="141">
                  <c:v>1.0134345640672162</c:v>
                </c:pt>
                <c:pt idx="142">
                  <c:v>1.0383544149159285</c:v>
                </c:pt>
                <c:pt idx="143">
                  <c:v>1.246854111705707</c:v>
                </c:pt>
                <c:pt idx="144">
                  <c:v>0.88968810745173232</c:v>
                </c:pt>
                <c:pt idx="145">
                  <c:v>1.015645214075779</c:v>
                </c:pt>
                <c:pt idx="146">
                  <c:v>1.0887563493315389</c:v>
                </c:pt>
                <c:pt idx="147">
                  <c:v>1.0615276951705674</c:v>
                </c:pt>
                <c:pt idx="148">
                  <c:v>0.76591341717817985</c:v>
                </c:pt>
                <c:pt idx="149">
                  <c:v>0.782670244439856</c:v>
                </c:pt>
                <c:pt idx="150">
                  <c:v>0.74214693971252432</c:v>
                </c:pt>
                <c:pt idx="151">
                  <c:v>0.9280417512964777</c:v>
                </c:pt>
                <c:pt idx="152">
                  <c:v>1.0429659273597731</c:v>
                </c:pt>
                <c:pt idx="153">
                  <c:v>0.67335839175112699</c:v>
                </c:pt>
                <c:pt idx="154">
                  <c:v>0.6648035989042731</c:v>
                </c:pt>
                <c:pt idx="155">
                  <c:v>0.69192281388318311</c:v>
                </c:pt>
                <c:pt idx="156">
                  <c:v>0.97651110382324768</c:v>
                </c:pt>
                <c:pt idx="157">
                  <c:v>0.99490267950518141</c:v>
                </c:pt>
                <c:pt idx="158">
                  <c:v>0.72846501506533778</c:v>
                </c:pt>
                <c:pt idx="159">
                  <c:v>0.67317534853537886</c:v>
                </c:pt>
                <c:pt idx="160">
                  <c:v>0.78300596637240216</c:v>
                </c:pt>
                <c:pt idx="161">
                  <c:v>1.0734511207027237</c:v>
                </c:pt>
                <c:pt idx="162">
                  <c:v>0.95168248490077645</c:v>
                </c:pt>
                <c:pt idx="163">
                  <c:v>0.97995058160380566</c:v>
                </c:pt>
                <c:pt idx="164">
                  <c:v>0.84853134899852589</c:v>
                </c:pt>
                <c:pt idx="165">
                  <c:v>0.95490274844904621</c:v>
                </c:pt>
                <c:pt idx="166">
                  <c:v>0.93212965513993562</c:v>
                </c:pt>
                <c:pt idx="167">
                  <c:v>0.8760822339448866</c:v>
                </c:pt>
                <c:pt idx="168">
                  <c:v>1.267632927019867</c:v>
                </c:pt>
                <c:pt idx="169">
                  <c:v>1.0864732280294513</c:v>
                </c:pt>
                <c:pt idx="170">
                  <c:v>0.70351864336481917</c:v>
                </c:pt>
                <c:pt idx="171">
                  <c:v>0.93461795122954905</c:v>
                </c:pt>
                <c:pt idx="172">
                  <c:v>0.89214840379637628</c:v>
                </c:pt>
                <c:pt idx="173">
                  <c:v>1.2694084672363284</c:v>
                </c:pt>
                <c:pt idx="174">
                  <c:v>1.0879820523592281</c:v>
                </c:pt>
                <c:pt idx="175">
                  <c:v>0.87833333333333341</c:v>
                </c:pt>
                <c:pt idx="176">
                  <c:v>0.63480838312555887</c:v>
                </c:pt>
                <c:pt idx="177">
                  <c:v>0.90003950832799662</c:v>
                </c:pt>
                <c:pt idx="178">
                  <c:v>0.88584801505264343</c:v>
                </c:pt>
                <c:pt idx="179">
                  <c:v>0.98184147159351287</c:v>
                </c:pt>
                <c:pt idx="180">
                  <c:v>0.82535245957938552</c:v>
                </c:pt>
                <c:pt idx="181">
                  <c:v>1.0443012016693149</c:v>
                </c:pt>
                <c:pt idx="182">
                  <c:v>0.96674260066309403</c:v>
                </c:pt>
                <c:pt idx="183">
                  <c:v>1.2625217719196895</c:v>
                </c:pt>
                <c:pt idx="184">
                  <c:v>0.82233348350740842</c:v>
                </c:pt>
                <c:pt idx="185">
                  <c:v>1.1787430355325779</c:v>
                </c:pt>
                <c:pt idx="186">
                  <c:v>0.74722430214469848</c:v>
                </c:pt>
                <c:pt idx="187">
                  <c:v>1.1378780950693508</c:v>
                </c:pt>
                <c:pt idx="188">
                  <c:v>1.3410351127446876</c:v>
                </c:pt>
                <c:pt idx="189">
                  <c:v>0.93310480003574625</c:v>
                </c:pt>
                <c:pt idx="190">
                  <c:v>0.87025939203289582</c:v>
                </c:pt>
                <c:pt idx="191">
                  <c:v>1.5147236131087898</c:v>
                </c:pt>
                <c:pt idx="192">
                  <c:v>0.85520549534192214</c:v>
                </c:pt>
                <c:pt idx="193">
                  <c:v>1.1130622636058647</c:v>
                </c:pt>
                <c:pt idx="194">
                  <c:v>0.96545639129394512</c:v>
                </c:pt>
                <c:pt idx="195">
                  <c:v>1.0953486974677027</c:v>
                </c:pt>
                <c:pt idx="196">
                  <c:v>0.94115541649385537</c:v>
                </c:pt>
                <c:pt idx="197">
                  <c:v>0.98697622127594653</c:v>
                </c:pt>
                <c:pt idx="198">
                  <c:v>1.0864891795569402</c:v>
                </c:pt>
                <c:pt idx="199">
                  <c:v>0</c:v>
                </c:pt>
                <c:pt idx="200">
                  <c:v>0.97511909646297612</c:v>
                </c:pt>
                <c:pt idx="201">
                  <c:v>0.96123910886210173</c:v>
                </c:pt>
                <c:pt idx="202">
                  <c:v>1.1150394683014302</c:v>
                </c:pt>
                <c:pt idx="203">
                  <c:v>0.93601937017964099</c:v>
                </c:pt>
                <c:pt idx="204">
                  <c:v>0.97228115444619168</c:v>
                </c:pt>
                <c:pt idx="205">
                  <c:v>1.1065773777959143</c:v>
                </c:pt>
                <c:pt idx="206">
                  <c:v>1.6772269266410664</c:v>
                </c:pt>
                <c:pt idx="207">
                  <c:v>1.024630490427666</c:v>
                </c:pt>
                <c:pt idx="208">
                  <c:v>1.162098744070923</c:v>
                </c:pt>
                <c:pt idx="209">
                  <c:v>1.0849879495526928</c:v>
                </c:pt>
                <c:pt idx="210">
                  <c:v>1</c:v>
                </c:pt>
                <c:pt idx="211">
                  <c:v>1</c:v>
                </c:pt>
                <c:pt idx="212">
                  <c:v>0.74645745582544709</c:v>
                </c:pt>
                <c:pt idx="213">
                  <c:v>0.65440646347147291</c:v>
                </c:pt>
                <c:pt idx="214">
                  <c:v>0.86626402070750652</c:v>
                </c:pt>
                <c:pt idx="215">
                  <c:v>0</c:v>
                </c:pt>
                <c:pt idx="216">
                  <c:v>0.68467739710453912</c:v>
                </c:pt>
                <c:pt idx="217">
                  <c:v>1.0359680488784047</c:v>
                </c:pt>
                <c:pt idx="218">
                  <c:v>0.67868729013532503</c:v>
                </c:pt>
                <c:pt idx="219">
                  <c:v>1.0767191342865152</c:v>
                </c:pt>
                <c:pt idx="220">
                  <c:v>1.0771457263688171</c:v>
                </c:pt>
                <c:pt idx="221">
                  <c:v>1.000825177613299</c:v>
                </c:pt>
                <c:pt idx="222">
                  <c:v>0.63898823880641586</c:v>
                </c:pt>
                <c:pt idx="223">
                  <c:v>0.73924512696546085</c:v>
                </c:pt>
                <c:pt idx="224">
                  <c:v>1.1618512131976952</c:v>
                </c:pt>
                <c:pt idx="225">
                  <c:v>0.72633374341804824</c:v>
                </c:pt>
                <c:pt idx="226">
                  <c:v>0.75400013200926497</c:v>
                </c:pt>
                <c:pt idx="227">
                  <c:v>1.0002692328949259</c:v>
                </c:pt>
                <c:pt idx="228">
                  <c:v>0.63292489521379602</c:v>
                </c:pt>
                <c:pt idx="229">
                  <c:v>1.2648314968012164</c:v>
                </c:pt>
                <c:pt idx="230">
                  <c:v>1</c:v>
                </c:pt>
                <c:pt idx="231">
                  <c:v>0.95972228420837502</c:v>
                </c:pt>
                <c:pt idx="232">
                  <c:v>0.95692750390543657</c:v>
                </c:pt>
                <c:pt idx="233">
                  <c:v>1.1093102722998569</c:v>
                </c:pt>
                <c:pt idx="234">
                  <c:v>0.96762589928057552</c:v>
                </c:pt>
                <c:pt idx="235">
                  <c:v>1.1248507186141501</c:v>
                </c:pt>
                <c:pt idx="236">
                  <c:v>1.3796539954432834</c:v>
                </c:pt>
                <c:pt idx="237">
                  <c:v>0.93712665612600687</c:v>
                </c:pt>
                <c:pt idx="238">
                  <c:v>1.0095343957325076</c:v>
                </c:pt>
                <c:pt idx="239">
                  <c:v>0.78909154398737613</c:v>
                </c:pt>
                <c:pt idx="240">
                  <c:v>1</c:v>
                </c:pt>
                <c:pt idx="241">
                  <c:v>1</c:v>
                </c:pt>
                <c:pt idx="242">
                  <c:v>0.93527480684988118</c:v>
                </c:pt>
                <c:pt idx="243">
                  <c:v>1.4822322141280799</c:v>
                </c:pt>
                <c:pt idx="244">
                  <c:v>0.9601139047349182</c:v>
                </c:pt>
                <c:pt idx="245">
                  <c:v>0.82625634412902194</c:v>
                </c:pt>
                <c:pt idx="246">
                  <c:v>1.0625500982773062</c:v>
                </c:pt>
                <c:pt idx="247">
                  <c:v>1.0627262740118579</c:v>
                </c:pt>
                <c:pt idx="248">
                  <c:v>1.1179242582161224</c:v>
                </c:pt>
                <c:pt idx="249">
                  <c:v>1.1131805909252479</c:v>
                </c:pt>
                <c:pt idx="250">
                  <c:v>1.0396608877230671</c:v>
                </c:pt>
                <c:pt idx="251">
                  <c:v>1.0332122674684099</c:v>
                </c:pt>
                <c:pt idx="252">
                  <c:v>1.1141268495754608</c:v>
                </c:pt>
                <c:pt idx="253">
                  <c:v>1.111818575715843</c:v>
                </c:pt>
                <c:pt idx="254">
                  <c:v>1</c:v>
                </c:pt>
                <c:pt idx="255">
                  <c:v>1</c:v>
                </c:pt>
                <c:pt idx="256">
                  <c:v>0.97894457082747688</c:v>
                </c:pt>
                <c:pt idx="257">
                  <c:v>0.91208253125064931</c:v>
                </c:pt>
                <c:pt idx="258">
                  <c:v>1.2792539211145848</c:v>
                </c:pt>
                <c:pt idx="259">
                  <c:v>0.94846759987164653</c:v>
                </c:pt>
                <c:pt idx="260">
                  <c:v>0.75051026424073697</c:v>
                </c:pt>
                <c:pt idx="261">
                  <c:v>0.77281597321579087</c:v>
                </c:pt>
                <c:pt idx="262">
                  <c:v>0.95614243505191698</c:v>
                </c:pt>
                <c:pt idx="263">
                  <c:v>1.0414859751276166</c:v>
                </c:pt>
                <c:pt idx="264">
                  <c:v>0.86413021470864393</c:v>
                </c:pt>
                <c:pt idx="265">
                  <c:v>0.89951817016281221</c:v>
                </c:pt>
                <c:pt idx="266">
                  <c:v>0.67646352686461653</c:v>
                </c:pt>
                <c:pt idx="267">
                  <c:v>0.74462905197182427</c:v>
                </c:pt>
                <c:pt idx="268">
                  <c:v>0.98674521354933731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0.98674521354933731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00-4ED5-B2D3-A41A2DD5D4F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(2)'!$AS$20:$AS$53</c:f>
            </c:numRef>
          </c:xVal>
          <c:yVal>
            <c:numRef>
              <c:f>'headed (2)'!$AS$54:$AS$55</c:f>
            </c:numRef>
          </c:yVal>
          <c:smooth val="0"/>
          <c:extLst>
            <c:ext xmlns:c16="http://schemas.microsoft.com/office/drawing/2014/chart" uri="{C3380CC4-5D6E-409C-BE32-E72D297353CC}">
              <c16:uniqueId val="{00000001-5A00-4ED5-B2D3-A41A2DD5D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37344"/>
        <c:axId val="130538880"/>
      </c:scatterChart>
      <c:valAx>
        <c:axId val="13053734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8880"/>
        <c:crosses val="autoZero"/>
        <c:crossBetween val="midCat"/>
      </c:valAx>
      <c:valAx>
        <c:axId val="13053888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734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1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(2)'!$O$20:$O$104</c:f>
            </c:numRef>
          </c:xVal>
          <c:yVal>
            <c:numRef>
              <c:f>'headed (2)'!$DG$20:$DG$104</c:f>
            </c:numRef>
          </c:yVal>
          <c:smooth val="0"/>
          <c:extLst>
            <c:ext xmlns:c16="http://schemas.microsoft.com/office/drawing/2014/chart" uri="{C3380CC4-5D6E-409C-BE32-E72D297353CC}">
              <c16:uniqueId val="{00000000-9E9B-43C5-AD03-472DB035DAA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(2)'!$O$20:$O$104</c:f>
            </c:numRef>
          </c:xVal>
          <c:yVal>
            <c:numRef>
              <c:f>'headed (2)'!$DM$20:$DM$104</c:f>
            </c:numRef>
          </c:yVal>
          <c:smooth val="0"/>
          <c:extLst>
            <c:ext xmlns:c16="http://schemas.microsoft.com/office/drawing/2014/chart" uri="{C3380CC4-5D6E-409C-BE32-E72D297353CC}">
              <c16:uniqueId val="{00000001-9E9B-43C5-AD03-472DB035D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86336"/>
        <c:axId val="130701568"/>
      </c:scatterChart>
      <c:valAx>
        <c:axId val="130686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701568"/>
        <c:crosses val="autoZero"/>
        <c:crossBetween val="midCat"/>
      </c:valAx>
      <c:valAx>
        <c:axId val="1307015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86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(2)'!$O$105:$O$147</c:f>
            </c:numRef>
          </c:xVal>
          <c:yVal>
            <c:numRef>
              <c:f>'headed (2)'!$DG$105:$DG$147</c:f>
            </c:numRef>
          </c:yVal>
          <c:smooth val="0"/>
          <c:extLst>
            <c:ext xmlns:c16="http://schemas.microsoft.com/office/drawing/2014/chart" uri="{C3380CC4-5D6E-409C-BE32-E72D297353CC}">
              <c16:uniqueId val="{00000000-393E-4D4C-A1BA-4A481B9CB8F8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(2)'!$O$105:$O$147</c:f>
            </c:numRef>
          </c:xVal>
          <c:yVal>
            <c:numRef>
              <c:f>'headed (2)'!$DM$105:$DM$147</c:f>
            </c:numRef>
          </c:yVal>
          <c:smooth val="0"/>
          <c:extLst>
            <c:ext xmlns:c16="http://schemas.microsoft.com/office/drawing/2014/chart" uri="{C3380CC4-5D6E-409C-BE32-E72D297353CC}">
              <c16:uniqueId val="{00000001-393E-4D4C-A1BA-4A481B9CB8F8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2-393E-4D4C-A1BA-4A481B9CB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30016"/>
        <c:axId val="130631552"/>
      </c:scatterChart>
      <c:valAx>
        <c:axId val="1306300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1552"/>
        <c:crosses val="autoZero"/>
        <c:crossBetween val="midCat"/>
      </c:valAx>
      <c:valAx>
        <c:axId val="13063155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00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6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(2)'!$O$105:$O$153</c:f>
            </c:numRef>
          </c:xVal>
          <c:yVal>
            <c:numRef>
              <c:f>'headed (2)'!$DG$105:$DG$153</c:f>
            </c:numRef>
          </c:yVal>
          <c:smooth val="0"/>
          <c:extLst>
            <c:ext xmlns:c16="http://schemas.microsoft.com/office/drawing/2014/chart" uri="{C3380CC4-5D6E-409C-BE32-E72D297353CC}">
              <c16:uniqueId val="{00000000-1B67-4D21-A7F1-28F5D5608B6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(2)'!$O$105:$O$153</c:f>
            </c:numRef>
          </c:xVal>
          <c:yVal>
            <c:numRef>
              <c:f>'headed (2)'!$DM$105:$DM$153</c:f>
            </c:numRef>
          </c:yVal>
          <c:smooth val="0"/>
          <c:extLst>
            <c:ext xmlns:c16="http://schemas.microsoft.com/office/drawing/2014/chart" uri="{C3380CC4-5D6E-409C-BE32-E72D297353CC}">
              <c16:uniqueId val="{00000001-1B67-4D21-A7F1-28F5D5608B6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2-1B67-4D21-A7F1-28F5D5608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4704"/>
        <c:axId val="130674688"/>
      </c:scatterChart>
      <c:valAx>
        <c:axId val="1306647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74688"/>
        <c:crosses val="autoZero"/>
        <c:crossBetween val="midCat"/>
      </c:valAx>
      <c:valAx>
        <c:axId val="1306746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647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(2)'!$O$255:$O$582</c:f>
              <c:numCache>
                <c:formatCode>General</c:formatCode>
                <c:ptCount val="328"/>
                <c:pt idx="0">
                  <c:v>14.38</c:v>
                </c:pt>
                <c:pt idx="1">
                  <c:v>14.38</c:v>
                </c:pt>
                <c:pt idx="2">
                  <c:v>14.38</c:v>
                </c:pt>
                <c:pt idx="3">
                  <c:v>14.35</c:v>
                </c:pt>
                <c:pt idx="4">
                  <c:v>14.299999999999999</c:v>
                </c:pt>
                <c:pt idx="5">
                  <c:v>14.27</c:v>
                </c:pt>
                <c:pt idx="6">
                  <c:v>14.25</c:v>
                </c:pt>
                <c:pt idx="7">
                  <c:v>14.25</c:v>
                </c:pt>
                <c:pt idx="8">
                  <c:v>14.13</c:v>
                </c:pt>
                <c:pt idx="9">
                  <c:v>14.09</c:v>
                </c:pt>
                <c:pt idx="10">
                  <c:v>14.080000000000002</c:v>
                </c:pt>
                <c:pt idx="11">
                  <c:v>14.059999999999999</c:v>
                </c:pt>
                <c:pt idx="12">
                  <c:v>9.9441340782122918</c:v>
                </c:pt>
                <c:pt idx="13">
                  <c:v>12.66</c:v>
                </c:pt>
                <c:pt idx="14">
                  <c:v>12.590000000000002</c:v>
                </c:pt>
                <c:pt idx="15">
                  <c:v>8.9078014184397176</c:v>
                </c:pt>
                <c:pt idx="16">
                  <c:v>12.56</c:v>
                </c:pt>
                <c:pt idx="17">
                  <c:v>8.8652482269503565</c:v>
                </c:pt>
                <c:pt idx="18">
                  <c:v>12.5</c:v>
                </c:pt>
                <c:pt idx="19">
                  <c:v>12.439999999999998</c:v>
                </c:pt>
                <c:pt idx="20">
                  <c:v>12.38</c:v>
                </c:pt>
                <c:pt idx="21">
                  <c:v>12.31</c:v>
                </c:pt>
                <c:pt idx="22">
                  <c:v>12.21</c:v>
                </c:pt>
                <c:pt idx="23">
                  <c:v>12.19</c:v>
                </c:pt>
                <c:pt idx="24">
                  <c:v>12.17</c:v>
                </c:pt>
                <c:pt idx="25">
                  <c:v>12.17</c:v>
                </c:pt>
                <c:pt idx="26">
                  <c:v>8.6028368794326244</c:v>
                </c:pt>
                <c:pt idx="27">
                  <c:v>12.129999999999999</c:v>
                </c:pt>
                <c:pt idx="28">
                  <c:v>8.6028368794326244</c:v>
                </c:pt>
                <c:pt idx="29">
                  <c:v>8.5744680851063837</c:v>
                </c:pt>
                <c:pt idx="30">
                  <c:v>12.06</c:v>
                </c:pt>
                <c:pt idx="31">
                  <c:v>12.06</c:v>
                </c:pt>
                <c:pt idx="32">
                  <c:v>12.04</c:v>
                </c:pt>
                <c:pt idx="33">
                  <c:v>12.03</c:v>
                </c:pt>
                <c:pt idx="34">
                  <c:v>8.5106382978723403</c:v>
                </c:pt>
                <c:pt idx="35">
                  <c:v>8.5106382978723403</c:v>
                </c:pt>
                <c:pt idx="36">
                  <c:v>11.999999999999998</c:v>
                </c:pt>
                <c:pt idx="37">
                  <c:v>11.999999999999998</c:v>
                </c:pt>
                <c:pt idx="38">
                  <c:v>11.97</c:v>
                </c:pt>
                <c:pt idx="39">
                  <c:v>11.95</c:v>
                </c:pt>
                <c:pt idx="40">
                  <c:v>11.9</c:v>
                </c:pt>
                <c:pt idx="41">
                  <c:v>11.88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11.299212598425198</c:v>
                </c:pt>
                <c:pt idx="46">
                  <c:v>11.299212598425198</c:v>
                </c:pt>
                <c:pt idx="47">
                  <c:v>11.25</c:v>
                </c:pt>
                <c:pt idx="48">
                  <c:v>7.9608938547486039</c:v>
                </c:pt>
                <c:pt idx="49">
                  <c:v>7.9608938547486039</c:v>
                </c:pt>
                <c:pt idx="50">
                  <c:v>7.9608938547486039</c:v>
                </c:pt>
                <c:pt idx="51">
                  <c:v>11.13</c:v>
                </c:pt>
                <c:pt idx="52">
                  <c:v>11.06</c:v>
                </c:pt>
                <c:pt idx="53">
                  <c:v>7.8212290502793298</c:v>
                </c:pt>
                <c:pt idx="54">
                  <c:v>7.8212290502793298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10.94</c:v>
                </c:pt>
                <c:pt idx="59">
                  <c:v>10.83</c:v>
                </c:pt>
                <c:pt idx="60">
                  <c:v>10.58</c:v>
                </c:pt>
                <c:pt idx="61">
                  <c:v>10.5</c:v>
                </c:pt>
                <c:pt idx="62">
                  <c:v>10.35</c:v>
                </c:pt>
                <c:pt idx="63">
                  <c:v>10.33</c:v>
                </c:pt>
                <c:pt idx="64">
                  <c:v>10.33</c:v>
                </c:pt>
                <c:pt idx="65">
                  <c:v>10.29</c:v>
                </c:pt>
                <c:pt idx="66">
                  <c:v>10.25</c:v>
                </c:pt>
                <c:pt idx="67">
                  <c:v>10.130000000000001</c:v>
                </c:pt>
                <c:pt idx="68">
                  <c:v>10.1</c:v>
                </c:pt>
                <c:pt idx="69">
                  <c:v>10.08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9.94</c:v>
                </c:pt>
                <c:pt idx="74">
                  <c:v>9.92</c:v>
                </c:pt>
                <c:pt idx="75">
                  <c:v>9.92</c:v>
                </c:pt>
                <c:pt idx="76">
                  <c:v>9.9</c:v>
                </c:pt>
                <c:pt idx="77">
                  <c:v>9.8800000000000008</c:v>
                </c:pt>
                <c:pt idx="78">
                  <c:v>9.8800000000000008</c:v>
                </c:pt>
                <c:pt idx="79">
                  <c:v>9.8800000000000008</c:v>
                </c:pt>
                <c:pt idx="80">
                  <c:v>9.8800000000000008</c:v>
                </c:pt>
                <c:pt idx="81">
                  <c:v>9.81</c:v>
                </c:pt>
                <c:pt idx="82">
                  <c:v>9.7899999999999991</c:v>
                </c:pt>
                <c:pt idx="83">
                  <c:v>9.77</c:v>
                </c:pt>
                <c:pt idx="84">
                  <c:v>9.75</c:v>
                </c:pt>
                <c:pt idx="85">
                  <c:v>9.75</c:v>
                </c:pt>
                <c:pt idx="86">
                  <c:v>9.69</c:v>
                </c:pt>
                <c:pt idx="87">
                  <c:v>9.69</c:v>
                </c:pt>
                <c:pt idx="88">
                  <c:v>9.69</c:v>
                </c:pt>
                <c:pt idx="89">
                  <c:v>9.66</c:v>
                </c:pt>
                <c:pt idx="90">
                  <c:v>9.6300000000000008</c:v>
                </c:pt>
                <c:pt idx="91">
                  <c:v>9.6</c:v>
                </c:pt>
                <c:pt idx="92">
                  <c:v>9.58</c:v>
                </c:pt>
                <c:pt idx="93">
                  <c:v>9.58</c:v>
                </c:pt>
                <c:pt idx="94">
                  <c:v>9.56</c:v>
                </c:pt>
                <c:pt idx="95">
                  <c:v>9.56</c:v>
                </c:pt>
                <c:pt idx="96">
                  <c:v>9.5</c:v>
                </c:pt>
                <c:pt idx="97">
                  <c:v>9.5</c:v>
                </c:pt>
                <c:pt idx="98">
                  <c:v>9.5</c:v>
                </c:pt>
                <c:pt idx="99">
                  <c:v>9.5</c:v>
                </c:pt>
                <c:pt idx="100">
                  <c:v>9.5</c:v>
                </c:pt>
                <c:pt idx="101">
                  <c:v>9.5</c:v>
                </c:pt>
                <c:pt idx="102">
                  <c:v>9.4700000000000006</c:v>
                </c:pt>
                <c:pt idx="103">
                  <c:v>9.4600000000000009</c:v>
                </c:pt>
                <c:pt idx="104">
                  <c:v>9.42</c:v>
                </c:pt>
                <c:pt idx="105">
                  <c:v>9.3800000000000008</c:v>
                </c:pt>
                <c:pt idx="106">
                  <c:v>9.3800000000000008</c:v>
                </c:pt>
                <c:pt idx="107">
                  <c:v>9.3800000000000008</c:v>
                </c:pt>
                <c:pt idx="108">
                  <c:v>9.3800000000000008</c:v>
                </c:pt>
                <c:pt idx="109">
                  <c:v>9.33</c:v>
                </c:pt>
                <c:pt idx="110">
                  <c:v>9.33</c:v>
                </c:pt>
                <c:pt idx="111">
                  <c:v>9.31</c:v>
                </c:pt>
                <c:pt idx="112">
                  <c:v>9.25</c:v>
                </c:pt>
                <c:pt idx="113">
                  <c:v>9.25</c:v>
                </c:pt>
                <c:pt idx="114">
                  <c:v>9.25</c:v>
                </c:pt>
                <c:pt idx="115">
                  <c:v>9.25</c:v>
                </c:pt>
                <c:pt idx="116">
                  <c:v>9.19</c:v>
                </c:pt>
                <c:pt idx="117">
                  <c:v>9.19</c:v>
                </c:pt>
                <c:pt idx="118">
                  <c:v>9.19</c:v>
                </c:pt>
                <c:pt idx="119">
                  <c:v>9.17</c:v>
                </c:pt>
                <c:pt idx="120">
                  <c:v>9.1300000000000008</c:v>
                </c:pt>
                <c:pt idx="121">
                  <c:v>9.06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6.061452513966481</c:v>
                </c:pt>
                <c:pt idx="126">
                  <c:v>8.31</c:v>
                </c:pt>
                <c:pt idx="127">
                  <c:v>8.3070866141732296</c:v>
                </c:pt>
                <c:pt idx="128">
                  <c:v>8.3070866141732296</c:v>
                </c:pt>
                <c:pt idx="129">
                  <c:v>8.3070866141732296</c:v>
                </c:pt>
                <c:pt idx="130">
                  <c:v>8.25</c:v>
                </c:pt>
                <c:pt idx="131">
                  <c:v>8.25</c:v>
                </c:pt>
                <c:pt idx="132">
                  <c:v>5.8379888268156428</c:v>
                </c:pt>
                <c:pt idx="133">
                  <c:v>5.6983240223463696</c:v>
                </c:pt>
                <c:pt idx="134">
                  <c:v>8.0314960629921259</c:v>
                </c:pt>
                <c:pt idx="135">
                  <c:v>8</c:v>
                </c:pt>
                <c:pt idx="136">
                  <c:v>6</c:v>
                </c:pt>
                <c:pt idx="137">
                  <c:v>6</c:v>
                </c:pt>
                <c:pt idx="138">
                  <c:v>7.06</c:v>
                </c:pt>
                <c:pt idx="139">
                  <c:v>7.06</c:v>
                </c:pt>
                <c:pt idx="140">
                  <c:v>7</c:v>
                </c:pt>
                <c:pt idx="141">
                  <c:v>6.3385826771653546</c:v>
                </c:pt>
                <c:pt idx="142">
                  <c:v>6.33</c:v>
                </c:pt>
                <c:pt idx="143">
                  <c:v>6.29</c:v>
                </c:pt>
                <c:pt idx="144">
                  <c:v>6.25</c:v>
                </c:pt>
                <c:pt idx="145">
                  <c:v>6.25</c:v>
                </c:pt>
                <c:pt idx="146">
                  <c:v>6.25</c:v>
                </c:pt>
                <c:pt idx="147">
                  <c:v>9.9519999999999982</c:v>
                </c:pt>
                <c:pt idx="148">
                  <c:v>6.21</c:v>
                </c:pt>
                <c:pt idx="149">
                  <c:v>6.19</c:v>
                </c:pt>
                <c:pt idx="150">
                  <c:v>6.16</c:v>
                </c:pt>
                <c:pt idx="151">
                  <c:v>6.13</c:v>
                </c:pt>
                <c:pt idx="152">
                  <c:v>6.13</c:v>
                </c:pt>
                <c:pt idx="153">
                  <c:v>6.0999999999999988</c:v>
                </c:pt>
                <c:pt idx="154">
                  <c:v>6.09</c:v>
                </c:pt>
                <c:pt idx="155">
                  <c:v>9.695999999999998</c:v>
                </c:pt>
                <c:pt idx="156">
                  <c:v>9.6479999999999997</c:v>
                </c:pt>
                <c:pt idx="157">
                  <c:v>6.03</c:v>
                </c:pt>
                <c:pt idx="158">
                  <c:v>9.5999999999999979</c:v>
                </c:pt>
                <c:pt idx="159">
                  <c:v>9.5999999999999979</c:v>
                </c:pt>
                <c:pt idx="160">
                  <c:v>9.5999999999999979</c:v>
                </c:pt>
                <c:pt idx="161">
                  <c:v>5.9999999999999991</c:v>
                </c:pt>
                <c:pt idx="162">
                  <c:v>9.5039999999999996</c:v>
                </c:pt>
                <c:pt idx="163">
                  <c:v>5.63</c:v>
                </c:pt>
                <c:pt idx="164">
                  <c:v>5.5</c:v>
                </c:pt>
                <c:pt idx="165">
                  <c:v>5.5</c:v>
                </c:pt>
                <c:pt idx="166">
                  <c:v>6</c:v>
                </c:pt>
                <c:pt idx="167">
                  <c:v>6</c:v>
                </c:pt>
                <c:pt idx="168">
                  <c:v>8.3040000000000003</c:v>
                </c:pt>
                <c:pt idx="169">
                  <c:v>8.3040000000000003</c:v>
                </c:pt>
                <c:pt idx="170">
                  <c:v>8.24</c:v>
                </c:pt>
                <c:pt idx="171">
                  <c:v>8.0640000000000001</c:v>
                </c:pt>
                <c:pt idx="172">
                  <c:v>8.048</c:v>
                </c:pt>
                <c:pt idx="173">
                  <c:v>8.0319999999999983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7.056</c:v>
                </c:pt>
                <c:pt idx="183">
                  <c:v>6.7519999999999989</c:v>
                </c:pt>
                <c:pt idx="184">
                  <c:v>6.7039999999999997</c:v>
                </c:pt>
                <c:pt idx="185">
                  <c:v>6.6559999999999997</c:v>
                </c:pt>
                <c:pt idx="186">
                  <c:v>6.6079999999999988</c:v>
                </c:pt>
                <c:pt idx="187">
                  <c:v>6.6079999999999988</c:v>
                </c:pt>
                <c:pt idx="188">
                  <c:v>6.6079999999999988</c:v>
                </c:pt>
                <c:pt idx="189">
                  <c:v>6.5439999999999996</c:v>
                </c:pt>
                <c:pt idx="190">
                  <c:v>6.5439999999999996</c:v>
                </c:pt>
                <c:pt idx="191">
                  <c:v>6.4959999999999987</c:v>
                </c:pt>
                <c:pt idx="192">
                  <c:v>6.4959999999999987</c:v>
                </c:pt>
                <c:pt idx="193">
                  <c:v>6.0960000000000001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  <c:pt idx="255">
                  <c:v>20</c:v>
                </c:pt>
                <c:pt idx="256">
                  <c:v>20</c:v>
                </c:pt>
                <c:pt idx="257">
                  <c:v>7</c:v>
                </c:pt>
                <c:pt idx="258">
                  <c:v>7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16</c:v>
                </c:pt>
                <c:pt idx="266">
                  <c:v>7</c:v>
                </c:pt>
                <c:pt idx="267">
                  <c:v>7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13</c:v>
                </c:pt>
                <c:pt idx="272">
                  <c:v>13</c:v>
                </c:pt>
                <c:pt idx="273">
                  <c:v>13</c:v>
                </c:pt>
                <c:pt idx="274">
                  <c:v>16</c:v>
                </c:pt>
                <c:pt idx="275">
                  <c:v>20</c:v>
                </c:pt>
                <c:pt idx="276">
                  <c:v>20</c:v>
                </c:pt>
                <c:pt idx="277">
                  <c:v>7</c:v>
                </c:pt>
                <c:pt idx="278">
                  <c:v>10</c:v>
                </c:pt>
                <c:pt idx="279">
                  <c:v>13</c:v>
                </c:pt>
                <c:pt idx="280">
                  <c:v>7</c:v>
                </c:pt>
                <c:pt idx="281">
                  <c:v>10</c:v>
                </c:pt>
                <c:pt idx="282">
                  <c:v>13</c:v>
                </c:pt>
                <c:pt idx="283">
                  <c:v>16</c:v>
                </c:pt>
                <c:pt idx="284">
                  <c:v>16</c:v>
                </c:pt>
                <c:pt idx="285">
                  <c:v>20</c:v>
                </c:pt>
                <c:pt idx="286">
                  <c:v>20</c:v>
                </c:pt>
                <c:pt idx="287">
                  <c:v>23</c:v>
                </c:pt>
                <c:pt idx="288">
                  <c:v>23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</c:numCache>
            </c:numRef>
          </c:xVal>
          <c:yVal>
            <c:numRef>
              <c:f>'headed (2)'!$CY$255:$CY$582</c:f>
              <c:numCache>
                <c:formatCode>General</c:formatCode>
                <c:ptCount val="328"/>
                <c:pt idx="0">
                  <c:v>1.7503100546994845</c:v>
                </c:pt>
                <c:pt idx="1">
                  <c:v>1.7225622808684895</c:v>
                </c:pt>
                <c:pt idx="2">
                  <c:v>2.0436666783234134</c:v>
                </c:pt>
                <c:pt idx="3">
                  <c:v>1.678318926344234</c:v>
                </c:pt>
                <c:pt idx="4">
                  <c:v>1.4899632682400843</c:v>
                </c:pt>
                <c:pt idx="5">
                  <c:v>2.0084145966035742</c:v>
                </c:pt>
                <c:pt idx="6">
                  <c:v>1.6429720783454635</c:v>
                </c:pt>
                <c:pt idx="7">
                  <c:v>1.6028554172537091</c:v>
                </c:pt>
                <c:pt idx="8">
                  <c:v>1.4906266830836274</c:v>
                </c:pt>
                <c:pt idx="9">
                  <c:v>2.1389892476287438</c:v>
                </c:pt>
                <c:pt idx="10">
                  <c:v>1.8151122257280927</c:v>
                </c:pt>
                <c:pt idx="11">
                  <c:v>1.5399308845379911</c:v>
                </c:pt>
                <c:pt idx="12">
                  <c:v>1.7137964299552733</c:v>
                </c:pt>
                <c:pt idx="13">
                  <c:v>1.4398870419702952</c:v>
                </c:pt>
                <c:pt idx="14">
                  <c:v>1.5354665759203094</c:v>
                </c:pt>
                <c:pt idx="15">
                  <c:v>1.4696900496732774</c:v>
                </c:pt>
                <c:pt idx="16">
                  <c:v>1.8303996348577347</c:v>
                </c:pt>
                <c:pt idx="17">
                  <c:v>1.3974642339462553</c:v>
                </c:pt>
                <c:pt idx="18">
                  <c:v>1.5139899705847897</c:v>
                </c:pt>
                <c:pt idx="19">
                  <c:v>2.0746404680628681</c:v>
                </c:pt>
                <c:pt idx="20">
                  <c:v>1.6765075296519178</c:v>
                </c:pt>
                <c:pt idx="21">
                  <c:v>1.623611685263433</c:v>
                </c:pt>
                <c:pt idx="22">
                  <c:v>1.3377450555781216</c:v>
                </c:pt>
                <c:pt idx="23">
                  <c:v>1.7265845077744686</c:v>
                </c:pt>
                <c:pt idx="24">
                  <c:v>1.2826380649004223</c:v>
                </c:pt>
                <c:pt idx="25">
                  <c:v>1.0680010435748619</c:v>
                </c:pt>
                <c:pt idx="26">
                  <c:v>1.3131143007808823</c:v>
                </c:pt>
                <c:pt idx="27">
                  <c:v>1.6414242600002831</c:v>
                </c:pt>
                <c:pt idx="28">
                  <c:v>1.085274259902747</c:v>
                </c:pt>
                <c:pt idx="29">
                  <c:v>1.4397576090914905</c:v>
                </c:pt>
                <c:pt idx="30">
                  <c:v>1.1610070301058955</c:v>
                </c:pt>
                <c:pt idx="31">
                  <c:v>1.5779241384977041</c:v>
                </c:pt>
                <c:pt idx="32">
                  <c:v>1.4272035302680499</c:v>
                </c:pt>
                <c:pt idx="33">
                  <c:v>1.0669685458984943</c:v>
                </c:pt>
                <c:pt idx="34">
                  <c:v>1.1056114992723238</c:v>
                </c:pt>
                <c:pt idx="35">
                  <c:v>1.3401047785481524</c:v>
                </c:pt>
                <c:pt idx="36">
                  <c:v>1.0166221143746004</c:v>
                </c:pt>
                <c:pt idx="37">
                  <c:v>1.4934888450846682</c:v>
                </c:pt>
                <c:pt idx="38">
                  <c:v>1.4545506164396904</c:v>
                </c:pt>
                <c:pt idx="39">
                  <c:v>1.5671872526272181</c:v>
                </c:pt>
                <c:pt idx="40">
                  <c:v>1.7214912231681421</c:v>
                </c:pt>
                <c:pt idx="41">
                  <c:v>1.1974991561843304</c:v>
                </c:pt>
                <c:pt idx="42">
                  <c:v>0.96129394656467926</c:v>
                </c:pt>
                <c:pt idx="43">
                  <c:v>1.2785719938235214</c:v>
                </c:pt>
                <c:pt idx="44">
                  <c:v>1.3098915185197448</c:v>
                </c:pt>
                <c:pt idx="45">
                  <c:v>1.0324950798962937</c:v>
                </c:pt>
                <c:pt idx="46">
                  <c:v>1.3582301682762954</c:v>
                </c:pt>
                <c:pt idx="47">
                  <c:v>0.90762534595970545</c:v>
                </c:pt>
                <c:pt idx="48">
                  <c:v>1.1163081599228812</c:v>
                </c:pt>
                <c:pt idx="49">
                  <c:v>1.3187489627900544</c:v>
                </c:pt>
                <c:pt idx="50">
                  <c:v>1.7054171816068107</c:v>
                </c:pt>
                <c:pt idx="51">
                  <c:v>0.99617785069192466</c:v>
                </c:pt>
                <c:pt idx="52">
                  <c:v>1.051317145691999</c:v>
                </c:pt>
                <c:pt idx="53">
                  <c:v>1.2380919937878554</c:v>
                </c:pt>
                <c:pt idx="54">
                  <c:v>0.98516281921633742</c:v>
                </c:pt>
                <c:pt idx="55">
                  <c:v>1.4559039363893846</c:v>
                </c:pt>
                <c:pt idx="56">
                  <c:v>1.5899976895949632</c:v>
                </c:pt>
                <c:pt idx="57">
                  <c:v>1.4957640290850434</c:v>
                </c:pt>
                <c:pt idx="58">
                  <c:v>1.0210557999824699</c:v>
                </c:pt>
                <c:pt idx="59">
                  <c:v>0.98097068748379734</c:v>
                </c:pt>
                <c:pt idx="60">
                  <c:v>1.0355623876435345</c:v>
                </c:pt>
                <c:pt idx="61">
                  <c:v>0.89800579941581282</c:v>
                </c:pt>
                <c:pt idx="62">
                  <c:v>1.026278911927931</c:v>
                </c:pt>
                <c:pt idx="63">
                  <c:v>0.97531366488201143</c:v>
                </c:pt>
                <c:pt idx="64">
                  <c:v>1.2076437156812905</c:v>
                </c:pt>
                <c:pt idx="65">
                  <c:v>1.0909962422431996</c:v>
                </c:pt>
                <c:pt idx="66">
                  <c:v>0.95166687424883689</c:v>
                </c:pt>
                <c:pt idx="67">
                  <c:v>0.9393306132040562</c:v>
                </c:pt>
                <c:pt idx="68">
                  <c:v>0.95884996399514588</c:v>
                </c:pt>
                <c:pt idx="69">
                  <c:v>1.2275313013278444</c:v>
                </c:pt>
                <c:pt idx="70">
                  <c:v>0.85631332847185648</c:v>
                </c:pt>
                <c:pt idx="71">
                  <c:v>1.0122595831277816</c:v>
                </c:pt>
                <c:pt idx="72">
                  <c:v>1.0555684263285166</c:v>
                </c:pt>
                <c:pt idx="73">
                  <c:v>1.0237310466798923</c:v>
                </c:pt>
                <c:pt idx="74">
                  <c:v>0.75738494469674067</c:v>
                </c:pt>
                <c:pt idx="75">
                  <c:v>0.7688185795271586</c:v>
                </c:pt>
                <c:pt idx="76">
                  <c:v>0.73864862864762737</c:v>
                </c:pt>
                <c:pt idx="77">
                  <c:v>0.88210240843168164</c:v>
                </c:pt>
                <c:pt idx="78">
                  <c:v>1.0184221931806774</c:v>
                </c:pt>
                <c:pt idx="79">
                  <c:v>0.63658061415316614</c:v>
                </c:pt>
                <c:pt idx="80">
                  <c:v>0.61800778838527559</c:v>
                </c:pt>
                <c:pt idx="81">
                  <c:v>0.67872485494033818</c:v>
                </c:pt>
                <c:pt idx="82">
                  <c:v>0.94979047422646845</c:v>
                </c:pt>
                <c:pt idx="83">
                  <c:v>0.98660780016235983</c:v>
                </c:pt>
                <c:pt idx="84">
                  <c:v>0.70367808719437008</c:v>
                </c:pt>
                <c:pt idx="85">
                  <c:v>0.65027889870200761</c:v>
                </c:pt>
                <c:pt idx="86">
                  <c:v>0.75449639049580097</c:v>
                </c:pt>
                <c:pt idx="87">
                  <c:v>1.0814969925658282</c:v>
                </c:pt>
                <c:pt idx="88">
                  <c:v>0.95168248490077645</c:v>
                </c:pt>
                <c:pt idx="89">
                  <c:v>0.96051437093285852</c:v>
                </c:pt>
                <c:pt idx="90">
                  <c:v>0.83340478977310528</c:v>
                </c:pt>
                <c:pt idx="91">
                  <c:v>0.93949066396852476</c:v>
                </c:pt>
                <c:pt idx="92">
                  <c:v>0.96079814882500592</c:v>
                </c:pt>
                <c:pt idx="93">
                  <c:v>0.88772695202762453</c:v>
                </c:pt>
                <c:pt idx="94">
                  <c:v>1.1793748514869569</c:v>
                </c:pt>
                <c:pt idx="95">
                  <c:v>1.0114255979953197</c:v>
                </c:pt>
                <c:pt idx="96">
                  <c:v>0.72179535196685451</c:v>
                </c:pt>
                <c:pt idx="97">
                  <c:v>0.94633885858091515</c:v>
                </c:pt>
                <c:pt idx="98">
                  <c:v>0.89214840379637628</c:v>
                </c:pt>
                <c:pt idx="99">
                  <c:v>1.1787643163301271</c:v>
                </c:pt>
                <c:pt idx="100">
                  <c:v>1.0276805768179793</c:v>
                </c:pt>
                <c:pt idx="101">
                  <c:v>0.87833333333333341</c:v>
                </c:pt>
                <c:pt idx="102">
                  <c:v>0.62319362436667958</c:v>
                </c:pt>
                <c:pt idx="103">
                  <c:v>0.87917179348650509</c:v>
                </c:pt>
                <c:pt idx="104">
                  <c:v>0.90958443196571492</c:v>
                </c:pt>
                <c:pt idx="105">
                  <c:v>0.99413885294838056</c:v>
                </c:pt>
                <c:pt idx="106">
                  <c:v>0.81958454427477145</c:v>
                </c:pt>
                <c:pt idx="107">
                  <c:v>0.98277763354811387</c:v>
                </c:pt>
                <c:pt idx="108">
                  <c:v>0.9161935541106252</c:v>
                </c:pt>
                <c:pt idx="109">
                  <c:v>1.2347092535127056</c:v>
                </c:pt>
                <c:pt idx="110">
                  <c:v>0.79497862339968595</c:v>
                </c:pt>
                <c:pt idx="111">
                  <c:v>1.1078590441518625</c:v>
                </c:pt>
                <c:pt idx="112">
                  <c:v>0.77187994815402661</c:v>
                </c:pt>
                <c:pt idx="113">
                  <c:v>1.0612133921380551</c:v>
                </c:pt>
                <c:pt idx="114">
                  <c:v>1.2622199993298189</c:v>
                </c:pt>
                <c:pt idx="115">
                  <c:v>0.89515643202731698</c:v>
                </c:pt>
                <c:pt idx="116">
                  <c:v>0.86504992090891586</c:v>
                </c:pt>
                <c:pt idx="117">
                  <c:v>1.4143463626576895</c:v>
                </c:pt>
                <c:pt idx="118">
                  <c:v>0.81066942187607538</c:v>
                </c:pt>
                <c:pt idx="119">
                  <c:v>1.0750809484919404</c:v>
                </c:pt>
                <c:pt idx="120">
                  <c:v>0.92467198904083814</c:v>
                </c:pt>
                <c:pt idx="121">
                  <c:v>1.0255837865554474</c:v>
                </c:pt>
                <c:pt idx="122">
                  <c:v>0.89753775945612424</c:v>
                </c:pt>
                <c:pt idx="123">
                  <c:v>0.95550025830198404</c:v>
                </c:pt>
                <c:pt idx="124">
                  <c:v>1.0643352713979048</c:v>
                </c:pt>
                <c:pt idx="125">
                  <c:v>2.2278048827998371</c:v>
                </c:pt>
                <c:pt idx="126">
                  <c:v>1.5151167350293466</c:v>
                </c:pt>
                <c:pt idx="127">
                  <c:v>1.4738851451493513</c:v>
                </c:pt>
                <c:pt idx="128">
                  <c:v>1.7031111416982552</c:v>
                </c:pt>
                <c:pt idx="129">
                  <c:v>1.3453438012059822</c:v>
                </c:pt>
                <c:pt idx="130">
                  <c:v>1.731758202447683</c:v>
                </c:pt>
                <c:pt idx="131">
                  <c:v>1.9142631106667445</c:v>
                </c:pt>
                <c:pt idx="132">
                  <c:v>2.5258582854795466</c:v>
                </c:pt>
                <c:pt idx="133">
                  <c:v>1.4842785522928055</c:v>
                </c:pt>
                <c:pt idx="134">
                  <c:v>1.8155625474566859</c:v>
                </c:pt>
                <c:pt idx="135">
                  <c:v>1.6590638296996747</c:v>
                </c:pt>
                <c:pt idx="136">
                  <c:v>2.4380497966331038</c:v>
                </c:pt>
                <c:pt idx="137">
                  <c:v>2.4636058741659457</c:v>
                </c:pt>
                <c:pt idx="138">
                  <c:v>1.3327587691667713</c:v>
                </c:pt>
                <c:pt idx="139">
                  <c:v>1.0824860548652508</c:v>
                </c:pt>
                <c:pt idx="140">
                  <c:v>1.6008115856850342</c:v>
                </c:pt>
                <c:pt idx="141">
                  <c:v>1.6863346843418161</c:v>
                </c:pt>
                <c:pt idx="142">
                  <c:v>1.0788549020126255</c:v>
                </c:pt>
                <c:pt idx="143">
                  <c:v>1.6031941418598026</c:v>
                </c:pt>
                <c:pt idx="144">
                  <c:v>1.0842825744116804</c:v>
                </c:pt>
                <c:pt idx="145">
                  <c:v>1.7894468224730991</c:v>
                </c:pt>
                <c:pt idx="146">
                  <c:v>1.7433677731711112</c:v>
                </c:pt>
                <c:pt idx="147">
                  <c:v>1.697827799212775</c:v>
                </c:pt>
                <c:pt idx="148">
                  <c:v>1.1036377176784957</c:v>
                </c:pt>
                <c:pt idx="149">
                  <c:v>1.1508423840732456</c:v>
                </c:pt>
                <c:pt idx="150">
                  <c:v>2.0370562080807706</c:v>
                </c:pt>
                <c:pt idx="151">
                  <c:v>1.2933704868741975</c:v>
                </c:pt>
                <c:pt idx="152">
                  <c:v>1.3045051452426668</c:v>
                </c:pt>
                <c:pt idx="153">
                  <c:v>1.5531423718553099</c:v>
                </c:pt>
                <c:pt idx="154">
                  <c:v>1.0516411430045192</c:v>
                </c:pt>
                <c:pt idx="155">
                  <c:v>1.9857553822289242</c:v>
                </c:pt>
                <c:pt idx="156">
                  <c:v>1.4853019156950511</c:v>
                </c:pt>
                <c:pt idx="157">
                  <c:v>1.597463993520754</c:v>
                </c:pt>
                <c:pt idx="158">
                  <c:v>1.5052684293177485</c:v>
                </c:pt>
                <c:pt idx="159">
                  <c:v>1.7449699422328022</c:v>
                </c:pt>
                <c:pt idx="160">
                  <c:v>1.291340863422106</c:v>
                </c:pt>
                <c:pt idx="161">
                  <c:v>1.7309716556713737</c:v>
                </c:pt>
                <c:pt idx="162">
                  <c:v>2.356880352834843</c:v>
                </c:pt>
                <c:pt idx="163">
                  <c:v>1.756014516688875</c:v>
                </c:pt>
                <c:pt idx="164">
                  <c:v>2.0624467853963915</c:v>
                </c:pt>
                <c:pt idx="165">
                  <c:v>1.3495646193214026</c:v>
                </c:pt>
                <c:pt idx="166">
                  <c:v>1.8878427439141436</c:v>
                </c:pt>
                <c:pt idx="167">
                  <c:v>1.8917218728399947</c:v>
                </c:pt>
                <c:pt idx="168">
                  <c:v>1.4822802361136755</c:v>
                </c:pt>
                <c:pt idx="169">
                  <c:v>2.226804333961967</c:v>
                </c:pt>
                <c:pt idx="170">
                  <c:v>1.5173231544502177</c:v>
                </c:pt>
                <c:pt idx="171">
                  <c:v>1.351934535422801</c:v>
                </c:pt>
                <c:pt idx="172">
                  <c:v>1.649578283506135</c:v>
                </c:pt>
                <c:pt idx="173">
                  <c:v>1.6706415634065737</c:v>
                </c:pt>
                <c:pt idx="174">
                  <c:v>3.4872822367819616</c:v>
                </c:pt>
                <c:pt idx="175">
                  <c:v>3.4724847166824624</c:v>
                </c:pt>
                <c:pt idx="176">
                  <c:v>3.2763843126979917</c:v>
                </c:pt>
                <c:pt idx="177">
                  <c:v>3.2560621494903539</c:v>
                </c:pt>
                <c:pt idx="178">
                  <c:v>3.3564461639150021</c:v>
                </c:pt>
                <c:pt idx="179">
                  <c:v>3.3494922008682169</c:v>
                </c:pt>
                <c:pt idx="180">
                  <c:v>2.6242898657708054</c:v>
                </c:pt>
                <c:pt idx="181">
                  <c:v>2.7756175295634287</c:v>
                </c:pt>
                <c:pt idx="182">
                  <c:v>1.8113307185544554</c:v>
                </c:pt>
                <c:pt idx="183">
                  <c:v>1.5873395236395706</c:v>
                </c:pt>
                <c:pt idx="184">
                  <c:v>2.3968898250261241</c:v>
                </c:pt>
                <c:pt idx="185">
                  <c:v>1.6104550162570681</c:v>
                </c:pt>
                <c:pt idx="186">
                  <c:v>1.4571988895401744</c:v>
                </c:pt>
                <c:pt idx="187">
                  <c:v>1.3523744146328167</c:v>
                </c:pt>
                <c:pt idx="188">
                  <c:v>1.8581291628547163</c:v>
                </c:pt>
                <c:pt idx="189">
                  <c:v>1.9691110177056528</c:v>
                </c:pt>
                <c:pt idx="190">
                  <c:v>1.6844942416423301</c:v>
                </c:pt>
                <c:pt idx="191">
                  <c:v>1.5312635885804775</c:v>
                </c:pt>
                <c:pt idx="192">
                  <c:v>1.1875713646393697</c:v>
                </c:pt>
                <c:pt idx="193">
                  <c:v>1.2867956956222946</c:v>
                </c:pt>
                <c:pt idx="194">
                  <c:v>2.4281246243137233</c:v>
                </c:pt>
                <c:pt idx="195">
                  <c:v>2.5314105225121426</c:v>
                </c:pt>
                <c:pt idx="196">
                  <c:v>2.426985071922775</c:v>
                </c:pt>
                <c:pt idx="197">
                  <c:v>2.3834667189089873</c:v>
                </c:pt>
                <c:pt idx="198">
                  <c:v>2.4460777087109391</c:v>
                </c:pt>
                <c:pt idx="199">
                  <c:v>2.4392924723483564</c:v>
                </c:pt>
                <c:pt idx="200">
                  <c:v>1</c:v>
                </c:pt>
                <c:pt idx="201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0.98674521354933731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09-4436-BA3A-51B44434380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(2)'!$AS$20:$AS$53</c:f>
            </c:numRef>
          </c:xVal>
          <c:yVal>
            <c:numRef>
              <c:f>'headed (2)'!$AS$54:$AS$55</c:f>
            </c:numRef>
          </c:yVal>
          <c:smooth val="0"/>
          <c:extLst>
            <c:ext xmlns:c16="http://schemas.microsoft.com/office/drawing/2014/chart" uri="{C3380CC4-5D6E-409C-BE32-E72D297353CC}">
              <c16:uniqueId val="{00000001-7F09-4436-BA3A-51B44434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30336"/>
        <c:axId val="130831872"/>
      </c:scatterChart>
      <c:valAx>
        <c:axId val="130830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1872"/>
        <c:crosses val="autoZero"/>
        <c:crossBetween val="midCat"/>
      </c:valAx>
      <c:valAx>
        <c:axId val="130831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0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839752407152679E-2"/>
          <c:y val="4.4357218943319003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(2)'!$O$255:$O$582</c:f>
              <c:numCache>
                <c:formatCode>General</c:formatCode>
                <c:ptCount val="328"/>
                <c:pt idx="0">
                  <c:v>14.38</c:v>
                </c:pt>
                <c:pt idx="1">
                  <c:v>14.38</c:v>
                </c:pt>
                <c:pt idx="2">
                  <c:v>14.38</c:v>
                </c:pt>
                <c:pt idx="3">
                  <c:v>14.35</c:v>
                </c:pt>
                <c:pt idx="4">
                  <c:v>14.299999999999999</c:v>
                </c:pt>
                <c:pt idx="5">
                  <c:v>14.27</c:v>
                </c:pt>
                <c:pt idx="6">
                  <c:v>14.25</c:v>
                </c:pt>
                <c:pt idx="7">
                  <c:v>14.25</c:v>
                </c:pt>
                <c:pt idx="8">
                  <c:v>14.13</c:v>
                </c:pt>
                <c:pt idx="9">
                  <c:v>14.09</c:v>
                </c:pt>
                <c:pt idx="10">
                  <c:v>14.080000000000002</c:v>
                </c:pt>
                <c:pt idx="11">
                  <c:v>14.059999999999999</c:v>
                </c:pt>
                <c:pt idx="12">
                  <c:v>9.9441340782122918</c:v>
                </c:pt>
                <c:pt idx="13">
                  <c:v>12.66</c:v>
                </c:pt>
                <c:pt idx="14">
                  <c:v>12.590000000000002</c:v>
                </c:pt>
                <c:pt idx="15">
                  <c:v>8.9078014184397176</c:v>
                </c:pt>
                <c:pt idx="16">
                  <c:v>12.56</c:v>
                </c:pt>
                <c:pt idx="17">
                  <c:v>8.8652482269503565</c:v>
                </c:pt>
                <c:pt idx="18">
                  <c:v>12.5</c:v>
                </c:pt>
                <c:pt idx="19">
                  <c:v>12.439999999999998</c:v>
                </c:pt>
                <c:pt idx="20">
                  <c:v>12.38</c:v>
                </c:pt>
                <c:pt idx="21">
                  <c:v>12.31</c:v>
                </c:pt>
                <c:pt idx="22">
                  <c:v>12.21</c:v>
                </c:pt>
                <c:pt idx="23">
                  <c:v>12.19</c:v>
                </c:pt>
                <c:pt idx="24">
                  <c:v>12.17</c:v>
                </c:pt>
                <c:pt idx="25">
                  <c:v>12.17</c:v>
                </c:pt>
                <c:pt idx="26">
                  <c:v>8.6028368794326244</c:v>
                </c:pt>
                <c:pt idx="27">
                  <c:v>12.129999999999999</c:v>
                </c:pt>
                <c:pt idx="28">
                  <c:v>8.6028368794326244</c:v>
                </c:pt>
                <c:pt idx="29">
                  <c:v>8.5744680851063837</c:v>
                </c:pt>
                <c:pt idx="30">
                  <c:v>12.06</c:v>
                </c:pt>
                <c:pt idx="31">
                  <c:v>12.06</c:v>
                </c:pt>
                <c:pt idx="32">
                  <c:v>12.04</c:v>
                </c:pt>
                <c:pt idx="33">
                  <c:v>12.03</c:v>
                </c:pt>
                <c:pt idx="34">
                  <c:v>8.5106382978723403</c:v>
                </c:pt>
                <c:pt idx="35">
                  <c:v>8.5106382978723403</c:v>
                </c:pt>
                <c:pt idx="36">
                  <c:v>11.999999999999998</c:v>
                </c:pt>
                <c:pt idx="37">
                  <c:v>11.999999999999998</c:v>
                </c:pt>
                <c:pt idx="38">
                  <c:v>11.97</c:v>
                </c:pt>
                <c:pt idx="39">
                  <c:v>11.95</c:v>
                </c:pt>
                <c:pt idx="40">
                  <c:v>11.9</c:v>
                </c:pt>
                <c:pt idx="41">
                  <c:v>11.88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11.299212598425198</c:v>
                </c:pt>
                <c:pt idx="46">
                  <c:v>11.299212598425198</c:v>
                </c:pt>
                <c:pt idx="47">
                  <c:v>11.25</c:v>
                </c:pt>
                <c:pt idx="48">
                  <c:v>7.9608938547486039</c:v>
                </c:pt>
                <c:pt idx="49">
                  <c:v>7.9608938547486039</c:v>
                </c:pt>
                <c:pt idx="50">
                  <c:v>7.9608938547486039</c:v>
                </c:pt>
                <c:pt idx="51">
                  <c:v>11.13</c:v>
                </c:pt>
                <c:pt idx="52">
                  <c:v>11.06</c:v>
                </c:pt>
                <c:pt idx="53">
                  <c:v>7.8212290502793298</c:v>
                </c:pt>
                <c:pt idx="54">
                  <c:v>7.8212290502793298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10.94</c:v>
                </c:pt>
                <c:pt idx="59">
                  <c:v>10.83</c:v>
                </c:pt>
                <c:pt idx="60">
                  <c:v>10.58</c:v>
                </c:pt>
                <c:pt idx="61">
                  <c:v>10.5</c:v>
                </c:pt>
                <c:pt idx="62">
                  <c:v>10.35</c:v>
                </c:pt>
                <c:pt idx="63">
                  <c:v>10.33</c:v>
                </c:pt>
                <c:pt idx="64">
                  <c:v>10.33</c:v>
                </c:pt>
                <c:pt idx="65">
                  <c:v>10.29</c:v>
                </c:pt>
                <c:pt idx="66">
                  <c:v>10.25</c:v>
                </c:pt>
                <c:pt idx="67">
                  <c:v>10.130000000000001</c:v>
                </c:pt>
                <c:pt idx="68">
                  <c:v>10.1</c:v>
                </c:pt>
                <c:pt idx="69">
                  <c:v>10.08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9.94</c:v>
                </c:pt>
                <c:pt idx="74">
                  <c:v>9.92</c:v>
                </c:pt>
                <c:pt idx="75">
                  <c:v>9.92</c:v>
                </c:pt>
                <c:pt idx="76">
                  <c:v>9.9</c:v>
                </c:pt>
                <c:pt idx="77">
                  <c:v>9.8800000000000008</c:v>
                </c:pt>
                <c:pt idx="78">
                  <c:v>9.8800000000000008</c:v>
                </c:pt>
                <c:pt idx="79">
                  <c:v>9.8800000000000008</c:v>
                </c:pt>
                <c:pt idx="80">
                  <c:v>9.8800000000000008</c:v>
                </c:pt>
                <c:pt idx="81">
                  <c:v>9.81</c:v>
                </c:pt>
                <c:pt idx="82">
                  <c:v>9.7899999999999991</c:v>
                </c:pt>
                <c:pt idx="83">
                  <c:v>9.77</c:v>
                </c:pt>
                <c:pt idx="84">
                  <c:v>9.75</c:v>
                </c:pt>
                <c:pt idx="85">
                  <c:v>9.75</c:v>
                </c:pt>
                <c:pt idx="86">
                  <c:v>9.69</c:v>
                </c:pt>
                <c:pt idx="87">
                  <c:v>9.69</c:v>
                </c:pt>
                <c:pt idx="88">
                  <c:v>9.69</c:v>
                </c:pt>
                <c:pt idx="89">
                  <c:v>9.66</c:v>
                </c:pt>
                <c:pt idx="90">
                  <c:v>9.6300000000000008</c:v>
                </c:pt>
                <c:pt idx="91">
                  <c:v>9.6</c:v>
                </c:pt>
                <c:pt idx="92">
                  <c:v>9.58</c:v>
                </c:pt>
                <c:pt idx="93">
                  <c:v>9.58</c:v>
                </c:pt>
                <c:pt idx="94">
                  <c:v>9.56</c:v>
                </c:pt>
                <c:pt idx="95">
                  <c:v>9.56</c:v>
                </c:pt>
                <c:pt idx="96">
                  <c:v>9.5</c:v>
                </c:pt>
                <c:pt idx="97">
                  <c:v>9.5</c:v>
                </c:pt>
                <c:pt idx="98">
                  <c:v>9.5</c:v>
                </c:pt>
                <c:pt idx="99">
                  <c:v>9.5</c:v>
                </c:pt>
                <c:pt idx="100">
                  <c:v>9.5</c:v>
                </c:pt>
                <c:pt idx="101">
                  <c:v>9.5</c:v>
                </c:pt>
                <c:pt idx="102">
                  <c:v>9.4700000000000006</c:v>
                </c:pt>
                <c:pt idx="103">
                  <c:v>9.4600000000000009</c:v>
                </c:pt>
                <c:pt idx="104">
                  <c:v>9.42</c:v>
                </c:pt>
                <c:pt idx="105">
                  <c:v>9.3800000000000008</c:v>
                </c:pt>
                <c:pt idx="106">
                  <c:v>9.3800000000000008</c:v>
                </c:pt>
                <c:pt idx="107">
                  <c:v>9.3800000000000008</c:v>
                </c:pt>
                <c:pt idx="108">
                  <c:v>9.3800000000000008</c:v>
                </c:pt>
                <c:pt idx="109">
                  <c:v>9.33</c:v>
                </c:pt>
                <c:pt idx="110">
                  <c:v>9.33</c:v>
                </c:pt>
                <c:pt idx="111">
                  <c:v>9.31</c:v>
                </c:pt>
                <c:pt idx="112">
                  <c:v>9.25</c:v>
                </c:pt>
                <c:pt idx="113">
                  <c:v>9.25</c:v>
                </c:pt>
                <c:pt idx="114">
                  <c:v>9.25</c:v>
                </c:pt>
                <c:pt idx="115">
                  <c:v>9.25</c:v>
                </c:pt>
                <c:pt idx="116">
                  <c:v>9.19</c:v>
                </c:pt>
                <c:pt idx="117">
                  <c:v>9.19</c:v>
                </c:pt>
                <c:pt idx="118">
                  <c:v>9.19</c:v>
                </c:pt>
                <c:pt idx="119">
                  <c:v>9.17</c:v>
                </c:pt>
                <c:pt idx="120">
                  <c:v>9.1300000000000008</c:v>
                </c:pt>
                <c:pt idx="121">
                  <c:v>9.06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6.061452513966481</c:v>
                </c:pt>
                <c:pt idx="126">
                  <c:v>8.31</c:v>
                </c:pt>
                <c:pt idx="127">
                  <c:v>8.3070866141732296</c:v>
                </c:pt>
                <c:pt idx="128">
                  <c:v>8.3070866141732296</c:v>
                </c:pt>
                <c:pt idx="129">
                  <c:v>8.3070866141732296</c:v>
                </c:pt>
                <c:pt idx="130">
                  <c:v>8.25</c:v>
                </c:pt>
                <c:pt idx="131">
                  <c:v>8.25</c:v>
                </c:pt>
                <c:pt idx="132">
                  <c:v>5.8379888268156428</c:v>
                </c:pt>
                <c:pt idx="133">
                  <c:v>5.6983240223463696</c:v>
                </c:pt>
                <c:pt idx="134">
                  <c:v>8.0314960629921259</c:v>
                </c:pt>
                <c:pt idx="135">
                  <c:v>8</c:v>
                </c:pt>
                <c:pt idx="136">
                  <c:v>6</c:v>
                </c:pt>
                <c:pt idx="137">
                  <c:v>6</c:v>
                </c:pt>
                <c:pt idx="138">
                  <c:v>7.06</c:v>
                </c:pt>
                <c:pt idx="139">
                  <c:v>7.06</c:v>
                </c:pt>
                <c:pt idx="140">
                  <c:v>7</c:v>
                </c:pt>
                <c:pt idx="141">
                  <c:v>6.3385826771653546</c:v>
                </c:pt>
                <c:pt idx="142">
                  <c:v>6.33</c:v>
                </c:pt>
                <c:pt idx="143">
                  <c:v>6.29</c:v>
                </c:pt>
                <c:pt idx="144">
                  <c:v>6.25</c:v>
                </c:pt>
                <c:pt idx="145">
                  <c:v>6.25</c:v>
                </c:pt>
                <c:pt idx="146">
                  <c:v>6.25</c:v>
                </c:pt>
                <c:pt idx="147">
                  <c:v>9.9519999999999982</c:v>
                </c:pt>
                <c:pt idx="148">
                  <c:v>6.21</c:v>
                </c:pt>
                <c:pt idx="149">
                  <c:v>6.19</c:v>
                </c:pt>
                <c:pt idx="150">
                  <c:v>6.16</c:v>
                </c:pt>
                <c:pt idx="151">
                  <c:v>6.13</c:v>
                </c:pt>
                <c:pt idx="152">
                  <c:v>6.13</c:v>
                </c:pt>
                <c:pt idx="153">
                  <c:v>6.0999999999999988</c:v>
                </c:pt>
                <c:pt idx="154">
                  <c:v>6.09</c:v>
                </c:pt>
                <c:pt idx="155">
                  <c:v>9.695999999999998</c:v>
                </c:pt>
                <c:pt idx="156">
                  <c:v>9.6479999999999997</c:v>
                </c:pt>
                <c:pt idx="157">
                  <c:v>6.03</c:v>
                </c:pt>
                <c:pt idx="158">
                  <c:v>9.5999999999999979</c:v>
                </c:pt>
                <c:pt idx="159">
                  <c:v>9.5999999999999979</c:v>
                </c:pt>
                <c:pt idx="160">
                  <c:v>9.5999999999999979</c:v>
                </c:pt>
                <c:pt idx="161">
                  <c:v>5.9999999999999991</c:v>
                </c:pt>
                <c:pt idx="162">
                  <c:v>9.5039999999999996</c:v>
                </c:pt>
                <c:pt idx="163">
                  <c:v>5.63</c:v>
                </c:pt>
                <c:pt idx="164">
                  <c:v>5.5</c:v>
                </c:pt>
                <c:pt idx="165">
                  <c:v>5.5</c:v>
                </c:pt>
                <c:pt idx="166">
                  <c:v>6</c:v>
                </c:pt>
                <c:pt idx="167">
                  <c:v>6</c:v>
                </c:pt>
                <c:pt idx="168">
                  <c:v>8.3040000000000003</c:v>
                </c:pt>
                <c:pt idx="169">
                  <c:v>8.3040000000000003</c:v>
                </c:pt>
                <c:pt idx="170">
                  <c:v>8.24</c:v>
                </c:pt>
                <c:pt idx="171">
                  <c:v>8.0640000000000001</c:v>
                </c:pt>
                <c:pt idx="172">
                  <c:v>8.048</c:v>
                </c:pt>
                <c:pt idx="173">
                  <c:v>8.0319999999999983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7.056</c:v>
                </c:pt>
                <c:pt idx="183">
                  <c:v>6.7519999999999989</c:v>
                </c:pt>
                <c:pt idx="184">
                  <c:v>6.7039999999999997</c:v>
                </c:pt>
                <c:pt idx="185">
                  <c:v>6.6559999999999997</c:v>
                </c:pt>
                <c:pt idx="186">
                  <c:v>6.6079999999999988</c:v>
                </c:pt>
                <c:pt idx="187">
                  <c:v>6.6079999999999988</c:v>
                </c:pt>
                <c:pt idx="188">
                  <c:v>6.6079999999999988</c:v>
                </c:pt>
                <c:pt idx="189">
                  <c:v>6.5439999999999996</c:v>
                </c:pt>
                <c:pt idx="190">
                  <c:v>6.5439999999999996</c:v>
                </c:pt>
                <c:pt idx="191">
                  <c:v>6.4959999999999987</c:v>
                </c:pt>
                <c:pt idx="192">
                  <c:v>6.4959999999999987</c:v>
                </c:pt>
                <c:pt idx="193">
                  <c:v>6.0960000000000001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  <c:pt idx="255">
                  <c:v>20</c:v>
                </c:pt>
                <c:pt idx="256">
                  <c:v>20</c:v>
                </c:pt>
                <c:pt idx="257">
                  <c:v>7</c:v>
                </c:pt>
                <c:pt idx="258">
                  <c:v>7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16</c:v>
                </c:pt>
                <c:pt idx="266">
                  <c:v>7</c:v>
                </c:pt>
                <c:pt idx="267">
                  <c:v>7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13</c:v>
                </c:pt>
                <c:pt idx="272">
                  <c:v>13</c:v>
                </c:pt>
                <c:pt idx="273">
                  <c:v>13</c:v>
                </c:pt>
                <c:pt idx="274">
                  <c:v>16</c:v>
                </c:pt>
                <c:pt idx="275">
                  <c:v>20</c:v>
                </c:pt>
                <c:pt idx="276">
                  <c:v>20</c:v>
                </c:pt>
                <c:pt idx="277">
                  <c:v>7</c:v>
                </c:pt>
                <c:pt idx="278">
                  <c:v>10</c:v>
                </c:pt>
                <c:pt idx="279">
                  <c:v>13</c:v>
                </c:pt>
                <c:pt idx="280">
                  <c:v>7</c:v>
                </c:pt>
                <c:pt idx="281">
                  <c:v>10</c:v>
                </c:pt>
                <c:pt idx="282">
                  <c:v>13</c:v>
                </c:pt>
                <c:pt idx="283">
                  <c:v>16</c:v>
                </c:pt>
                <c:pt idx="284">
                  <c:v>16</c:v>
                </c:pt>
                <c:pt idx="285">
                  <c:v>20</c:v>
                </c:pt>
                <c:pt idx="286">
                  <c:v>20</c:v>
                </c:pt>
                <c:pt idx="287">
                  <c:v>23</c:v>
                </c:pt>
                <c:pt idx="288">
                  <c:v>23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</c:numCache>
            </c:numRef>
          </c:xVal>
          <c:yVal>
            <c:numRef>
              <c:f>'headed (2)'!$CY$255:$CY$582</c:f>
              <c:numCache>
                <c:formatCode>General</c:formatCode>
                <c:ptCount val="328"/>
                <c:pt idx="0">
                  <c:v>1.7503100546994845</c:v>
                </c:pt>
                <c:pt idx="1">
                  <c:v>1.7225622808684895</c:v>
                </c:pt>
                <c:pt idx="2">
                  <c:v>2.0436666783234134</c:v>
                </c:pt>
                <c:pt idx="3">
                  <c:v>1.678318926344234</c:v>
                </c:pt>
                <c:pt idx="4">
                  <c:v>1.4899632682400843</c:v>
                </c:pt>
                <c:pt idx="5">
                  <c:v>2.0084145966035742</c:v>
                </c:pt>
                <c:pt idx="6">
                  <c:v>1.6429720783454635</c:v>
                </c:pt>
                <c:pt idx="7">
                  <c:v>1.6028554172537091</c:v>
                </c:pt>
                <c:pt idx="8">
                  <c:v>1.4906266830836274</c:v>
                </c:pt>
                <c:pt idx="9">
                  <c:v>2.1389892476287438</c:v>
                </c:pt>
                <c:pt idx="10">
                  <c:v>1.8151122257280927</c:v>
                </c:pt>
                <c:pt idx="11">
                  <c:v>1.5399308845379911</c:v>
                </c:pt>
                <c:pt idx="12">
                  <c:v>1.7137964299552733</c:v>
                </c:pt>
                <c:pt idx="13">
                  <c:v>1.4398870419702952</c:v>
                </c:pt>
                <c:pt idx="14">
                  <c:v>1.5354665759203094</c:v>
                </c:pt>
                <c:pt idx="15">
                  <c:v>1.4696900496732774</c:v>
                </c:pt>
                <c:pt idx="16">
                  <c:v>1.8303996348577347</c:v>
                </c:pt>
                <c:pt idx="17">
                  <c:v>1.3974642339462553</c:v>
                </c:pt>
                <c:pt idx="18">
                  <c:v>1.5139899705847897</c:v>
                </c:pt>
                <c:pt idx="19">
                  <c:v>2.0746404680628681</c:v>
                </c:pt>
                <c:pt idx="20">
                  <c:v>1.6765075296519178</c:v>
                </c:pt>
                <c:pt idx="21">
                  <c:v>1.623611685263433</c:v>
                </c:pt>
                <c:pt idx="22">
                  <c:v>1.3377450555781216</c:v>
                </c:pt>
                <c:pt idx="23">
                  <c:v>1.7265845077744686</c:v>
                </c:pt>
                <c:pt idx="24">
                  <c:v>1.2826380649004223</c:v>
                </c:pt>
                <c:pt idx="25">
                  <c:v>1.0680010435748619</c:v>
                </c:pt>
                <c:pt idx="26">
                  <c:v>1.3131143007808823</c:v>
                </c:pt>
                <c:pt idx="27">
                  <c:v>1.6414242600002831</c:v>
                </c:pt>
                <c:pt idx="28">
                  <c:v>1.085274259902747</c:v>
                </c:pt>
                <c:pt idx="29">
                  <c:v>1.4397576090914905</c:v>
                </c:pt>
                <c:pt idx="30">
                  <c:v>1.1610070301058955</c:v>
                </c:pt>
                <c:pt idx="31">
                  <c:v>1.5779241384977041</c:v>
                </c:pt>
                <c:pt idx="32">
                  <c:v>1.4272035302680499</c:v>
                </c:pt>
                <c:pt idx="33">
                  <c:v>1.0669685458984943</c:v>
                </c:pt>
                <c:pt idx="34">
                  <c:v>1.1056114992723238</c:v>
                </c:pt>
                <c:pt idx="35">
                  <c:v>1.3401047785481524</c:v>
                </c:pt>
                <c:pt idx="36">
                  <c:v>1.0166221143746004</c:v>
                </c:pt>
                <c:pt idx="37">
                  <c:v>1.4934888450846682</c:v>
                </c:pt>
                <c:pt idx="38">
                  <c:v>1.4545506164396904</c:v>
                </c:pt>
                <c:pt idx="39">
                  <c:v>1.5671872526272181</c:v>
                </c:pt>
                <c:pt idx="40">
                  <c:v>1.7214912231681421</c:v>
                </c:pt>
                <c:pt idx="41">
                  <c:v>1.1974991561843304</c:v>
                </c:pt>
                <c:pt idx="42">
                  <c:v>0.96129394656467926</c:v>
                </c:pt>
                <c:pt idx="43">
                  <c:v>1.2785719938235214</c:v>
                </c:pt>
                <c:pt idx="44">
                  <c:v>1.3098915185197448</c:v>
                </c:pt>
                <c:pt idx="45">
                  <c:v>1.0324950798962937</c:v>
                </c:pt>
                <c:pt idx="46">
                  <c:v>1.3582301682762954</c:v>
                </c:pt>
                <c:pt idx="47">
                  <c:v>0.90762534595970545</c:v>
                </c:pt>
                <c:pt idx="48">
                  <c:v>1.1163081599228812</c:v>
                </c:pt>
                <c:pt idx="49">
                  <c:v>1.3187489627900544</c:v>
                </c:pt>
                <c:pt idx="50">
                  <c:v>1.7054171816068107</c:v>
                </c:pt>
                <c:pt idx="51">
                  <c:v>0.99617785069192466</c:v>
                </c:pt>
                <c:pt idx="52">
                  <c:v>1.051317145691999</c:v>
                </c:pt>
                <c:pt idx="53">
                  <c:v>1.2380919937878554</c:v>
                </c:pt>
                <c:pt idx="54">
                  <c:v>0.98516281921633742</c:v>
                </c:pt>
                <c:pt idx="55">
                  <c:v>1.4559039363893846</c:v>
                </c:pt>
                <c:pt idx="56">
                  <c:v>1.5899976895949632</c:v>
                </c:pt>
                <c:pt idx="57">
                  <c:v>1.4957640290850434</c:v>
                </c:pt>
                <c:pt idx="58">
                  <c:v>1.0210557999824699</c:v>
                </c:pt>
                <c:pt idx="59">
                  <c:v>0.98097068748379734</c:v>
                </c:pt>
                <c:pt idx="60">
                  <c:v>1.0355623876435345</c:v>
                </c:pt>
                <c:pt idx="61">
                  <c:v>0.89800579941581282</c:v>
                </c:pt>
                <c:pt idx="62">
                  <c:v>1.026278911927931</c:v>
                </c:pt>
                <c:pt idx="63">
                  <c:v>0.97531366488201143</c:v>
                </c:pt>
                <c:pt idx="64">
                  <c:v>1.2076437156812905</c:v>
                </c:pt>
                <c:pt idx="65">
                  <c:v>1.0909962422431996</c:v>
                </c:pt>
                <c:pt idx="66">
                  <c:v>0.95166687424883689</c:v>
                </c:pt>
                <c:pt idx="67">
                  <c:v>0.9393306132040562</c:v>
                </c:pt>
                <c:pt idx="68">
                  <c:v>0.95884996399514588</c:v>
                </c:pt>
                <c:pt idx="69">
                  <c:v>1.2275313013278444</c:v>
                </c:pt>
                <c:pt idx="70">
                  <c:v>0.85631332847185648</c:v>
                </c:pt>
                <c:pt idx="71">
                  <c:v>1.0122595831277816</c:v>
                </c:pt>
                <c:pt idx="72">
                  <c:v>1.0555684263285166</c:v>
                </c:pt>
                <c:pt idx="73">
                  <c:v>1.0237310466798923</c:v>
                </c:pt>
                <c:pt idx="74">
                  <c:v>0.75738494469674067</c:v>
                </c:pt>
                <c:pt idx="75">
                  <c:v>0.7688185795271586</c:v>
                </c:pt>
                <c:pt idx="76">
                  <c:v>0.73864862864762737</c:v>
                </c:pt>
                <c:pt idx="77">
                  <c:v>0.88210240843168164</c:v>
                </c:pt>
                <c:pt idx="78">
                  <c:v>1.0184221931806774</c:v>
                </c:pt>
                <c:pt idx="79">
                  <c:v>0.63658061415316614</c:v>
                </c:pt>
                <c:pt idx="80">
                  <c:v>0.61800778838527559</c:v>
                </c:pt>
                <c:pt idx="81">
                  <c:v>0.67872485494033818</c:v>
                </c:pt>
                <c:pt idx="82">
                  <c:v>0.94979047422646845</c:v>
                </c:pt>
                <c:pt idx="83">
                  <c:v>0.98660780016235983</c:v>
                </c:pt>
                <c:pt idx="84">
                  <c:v>0.70367808719437008</c:v>
                </c:pt>
                <c:pt idx="85">
                  <c:v>0.65027889870200761</c:v>
                </c:pt>
                <c:pt idx="86">
                  <c:v>0.75449639049580097</c:v>
                </c:pt>
                <c:pt idx="87">
                  <c:v>1.0814969925658282</c:v>
                </c:pt>
                <c:pt idx="88">
                  <c:v>0.95168248490077645</c:v>
                </c:pt>
                <c:pt idx="89">
                  <c:v>0.96051437093285852</c:v>
                </c:pt>
                <c:pt idx="90">
                  <c:v>0.83340478977310528</c:v>
                </c:pt>
                <c:pt idx="91">
                  <c:v>0.93949066396852476</c:v>
                </c:pt>
                <c:pt idx="92">
                  <c:v>0.96079814882500592</c:v>
                </c:pt>
                <c:pt idx="93">
                  <c:v>0.88772695202762453</c:v>
                </c:pt>
                <c:pt idx="94">
                  <c:v>1.1793748514869569</c:v>
                </c:pt>
                <c:pt idx="95">
                  <c:v>1.0114255979953197</c:v>
                </c:pt>
                <c:pt idx="96">
                  <c:v>0.72179535196685451</c:v>
                </c:pt>
                <c:pt idx="97">
                  <c:v>0.94633885858091515</c:v>
                </c:pt>
                <c:pt idx="98">
                  <c:v>0.89214840379637628</c:v>
                </c:pt>
                <c:pt idx="99">
                  <c:v>1.1787643163301271</c:v>
                </c:pt>
                <c:pt idx="100">
                  <c:v>1.0276805768179793</c:v>
                </c:pt>
                <c:pt idx="101">
                  <c:v>0.87833333333333341</c:v>
                </c:pt>
                <c:pt idx="102">
                  <c:v>0.62319362436667958</c:v>
                </c:pt>
                <c:pt idx="103">
                  <c:v>0.87917179348650509</c:v>
                </c:pt>
                <c:pt idx="104">
                  <c:v>0.90958443196571492</c:v>
                </c:pt>
                <c:pt idx="105">
                  <c:v>0.99413885294838056</c:v>
                </c:pt>
                <c:pt idx="106">
                  <c:v>0.81958454427477145</c:v>
                </c:pt>
                <c:pt idx="107">
                  <c:v>0.98277763354811387</c:v>
                </c:pt>
                <c:pt idx="108">
                  <c:v>0.9161935541106252</c:v>
                </c:pt>
                <c:pt idx="109">
                  <c:v>1.2347092535127056</c:v>
                </c:pt>
                <c:pt idx="110">
                  <c:v>0.79497862339968595</c:v>
                </c:pt>
                <c:pt idx="111">
                  <c:v>1.1078590441518625</c:v>
                </c:pt>
                <c:pt idx="112">
                  <c:v>0.77187994815402661</c:v>
                </c:pt>
                <c:pt idx="113">
                  <c:v>1.0612133921380551</c:v>
                </c:pt>
                <c:pt idx="114">
                  <c:v>1.2622199993298189</c:v>
                </c:pt>
                <c:pt idx="115">
                  <c:v>0.89515643202731698</c:v>
                </c:pt>
                <c:pt idx="116">
                  <c:v>0.86504992090891586</c:v>
                </c:pt>
                <c:pt idx="117">
                  <c:v>1.4143463626576895</c:v>
                </c:pt>
                <c:pt idx="118">
                  <c:v>0.81066942187607538</c:v>
                </c:pt>
                <c:pt idx="119">
                  <c:v>1.0750809484919404</c:v>
                </c:pt>
                <c:pt idx="120">
                  <c:v>0.92467198904083814</c:v>
                </c:pt>
                <c:pt idx="121">
                  <c:v>1.0255837865554474</c:v>
                </c:pt>
                <c:pt idx="122">
                  <c:v>0.89753775945612424</c:v>
                </c:pt>
                <c:pt idx="123">
                  <c:v>0.95550025830198404</c:v>
                </c:pt>
                <c:pt idx="124">
                  <c:v>1.0643352713979048</c:v>
                </c:pt>
                <c:pt idx="125">
                  <c:v>2.2278048827998371</c:v>
                </c:pt>
                <c:pt idx="126">
                  <c:v>1.5151167350293466</c:v>
                </c:pt>
                <c:pt idx="127">
                  <c:v>1.4738851451493513</c:v>
                </c:pt>
                <c:pt idx="128">
                  <c:v>1.7031111416982552</c:v>
                </c:pt>
                <c:pt idx="129">
                  <c:v>1.3453438012059822</c:v>
                </c:pt>
                <c:pt idx="130">
                  <c:v>1.731758202447683</c:v>
                </c:pt>
                <c:pt idx="131">
                  <c:v>1.9142631106667445</c:v>
                </c:pt>
                <c:pt idx="132">
                  <c:v>2.5258582854795466</c:v>
                </c:pt>
                <c:pt idx="133">
                  <c:v>1.4842785522928055</c:v>
                </c:pt>
                <c:pt idx="134">
                  <c:v>1.8155625474566859</c:v>
                </c:pt>
                <c:pt idx="135">
                  <c:v>1.6590638296996747</c:v>
                </c:pt>
                <c:pt idx="136">
                  <c:v>2.4380497966331038</c:v>
                </c:pt>
                <c:pt idx="137">
                  <c:v>2.4636058741659457</c:v>
                </c:pt>
                <c:pt idx="138">
                  <c:v>1.3327587691667713</c:v>
                </c:pt>
                <c:pt idx="139">
                  <c:v>1.0824860548652508</c:v>
                </c:pt>
                <c:pt idx="140">
                  <c:v>1.6008115856850342</c:v>
                </c:pt>
                <c:pt idx="141">
                  <c:v>1.6863346843418161</c:v>
                </c:pt>
                <c:pt idx="142">
                  <c:v>1.0788549020126255</c:v>
                </c:pt>
                <c:pt idx="143">
                  <c:v>1.6031941418598026</c:v>
                </c:pt>
                <c:pt idx="144">
                  <c:v>1.0842825744116804</c:v>
                </c:pt>
                <c:pt idx="145">
                  <c:v>1.7894468224730991</c:v>
                </c:pt>
                <c:pt idx="146">
                  <c:v>1.7433677731711112</c:v>
                </c:pt>
                <c:pt idx="147">
                  <c:v>1.697827799212775</c:v>
                </c:pt>
                <c:pt idx="148">
                  <c:v>1.1036377176784957</c:v>
                </c:pt>
                <c:pt idx="149">
                  <c:v>1.1508423840732456</c:v>
                </c:pt>
                <c:pt idx="150">
                  <c:v>2.0370562080807706</c:v>
                </c:pt>
                <c:pt idx="151">
                  <c:v>1.2933704868741975</c:v>
                </c:pt>
                <c:pt idx="152">
                  <c:v>1.3045051452426668</c:v>
                </c:pt>
                <c:pt idx="153">
                  <c:v>1.5531423718553099</c:v>
                </c:pt>
                <c:pt idx="154">
                  <c:v>1.0516411430045192</c:v>
                </c:pt>
                <c:pt idx="155">
                  <c:v>1.9857553822289242</c:v>
                </c:pt>
                <c:pt idx="156">
                  <c:v>1.4853019156950511</c:v>
                </c:pt>
                <c:pt idx="157">
                  <c:v>1.597463993520754</c:v>
                </c:pt>
                <c:pt idx="158">
                  <c:v>1.5052684293177485</c:v>
                </c:pt>
                <c:pt idx="159">
                  <c:v>1.7449699422328022</c:v>
                </c:pt>
                <c:pt idx="160">
                  <c:v>1.291340863422106</c:v>
                </c:pt>
                <c:pt idx="161">
                  <c:v>1.7309716556713737</c:v>
                </c:pt>
                <c:pt idx="162">
                  <c:v>2.356880352834843</c:v>
                </c:pt>
                <c:pt idx="163">
                  <c:v>1.756014516688875</c:v>
                </c:pt>
                <c:pt idx="164">
                  <c:v>2.0624467853963915</c:v>
                </c:pt>
                <c:pt idx="165">
                  <c:v>1.3495646193214026</c:v>
                </c:pt>
                <c:pt idx="166">
                  <c:v>1.8878427439141436</c:v>
                </c:pt>
                <c:pt idx="167">
                  <c:v>1.8917218728399947</c:v>
                </c:pt>
                <c:pt idx="168">
                  <c:v>1.4822802361136755</c:v>
                </c:pt>
                <c:pt idx="169">
                  <c:v>2.226804333961967</c:v>
                </c:pt>
                <c:pt idx="170">
                  <c:v>1.5173231544502177</c:v>
                </c:pt>
                <c:pt idx="171">
                  <c:v>1.351934535422801</c:v>
                </c:pt>
                <c:pt idx="172">
                  <c:v>1.649578283506135</c:v>
                </c:pt>
                <c:pt idx="173">
                  <c:v>1.6706415634065737</c:v>
                </c:pt>
                <c:pt idx="174">
                  <c:v>3.4872822367819616</c:v>
                </c:pt>
                <c:pt idx="175">
                  <c:v>3.4724847166824624</c:v>
                </c:pt>
                <c:pt idx="176">
                  <c:v>3.2763843126979917</c:v>
                </c:pt>
                <c:pt idx="177">
                  <c:v>3.2560621494903539</c:v>
                </c:pt>
                <c:pt idx="178">
                  <c:v>3.3564461639150021</c:v>
                </c:pt>
                <c:pt idx="179">
                  <c:v>3.3494922008682169</c:v>
                </c:pt>
                <c:pt idx="180">
                  <c:v>2.6242898657708054</c:v>
                </c:pt>
                <c:pt idx="181">
                  <c:v>2.7756175295634287</c:v>
                </c:pt>
                <c:pt idx="182">
                  <c:v>1.8113307185544554</c:v>
                </c:pt>
                <c:pt idx="183">
                  <c:v>1.5873395236395706</c:v>
                </c:pt>
                <c:pt idx="184">
                  <c:v>2.3968898250261241</c:v>
                </c:pt>
                <c:pt idx="185">
                  <c:v>1.6104550162570681</c:v>
                </c:pt>
                <c:pt idx="186">
                  <c:v>1.4571988895401744</c:v>
                </c:pt>
                <c:pt idx="187">
                  <c:v>1.3523744146328167</c:v>
                </c:pt>
                <c:pt idx="188">
                  <c:v>1.8581291628547163</c:v>
                </c:pt>
                <c:pt idx="189">
                  <c:v>1.9691110177056528</c:v>
                </c:pt>
                <c:pt idx="190">
                  <c:v>1.6844942416423301</c:v>
                </c:pt>
                <c:pt idx="191">
                  <c:v>1.5312635885804775</c:v>
                </c:pt>
                <c:pt idx="192">
                  <c:v>1.1875713646393697</c:v>
                </c:pt>
                <c:pt idx="193">
                  <c:v>1.2867956956222946</c:v>
                </c:pt>
                <c:pt idx="194">
                  <c:v>2.4281246243137233</c:v>
                </c:pt>
                <c:pt idx="195">
                  <c:v>2.5314105225121426</c:v>
                </c:pt>
                <c:pt idx="196">
                  <c:v>2.426985071922775</c:v>
                </c:pt>
                <c:pt idx="197">
                  <c:v>2.3834667189089873</c:v>
                </c:pt>
                <c:pt idx="198">
                  <c:v>2.4460777087109391</c:v>
                </c:pt>
                <c:pt idx="199">
                  <c:v>2.4392924723483564</c:v>
                </c:pt>
                <c:pt idx="200">
                  <c:v>1</c:v>
                </c:pt>
                <c:pt idx="201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0.98674521354933731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68-4097-9FD9-9E799DB2355C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1-E768-4097-9FD9-9E799DB23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56448"/>
        <c:axId val="130857984"/>
      </c:scatterChart>
      <c:valAx>
        <c:axId val="1308564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7984"/>
        <c:crosses val="autoZero"/>
        <c:crossBetween val="midCat"/>
      </c:valAx>
      <c:valAx>
        <c:axId val="13085798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64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(2)'!$O$255:$O$582</c:f>
              <c:numCache>
                <c:formatCode>General</c:formatCode>
                <c:ptCount val="328"/>
                <c:pt idx="0">
                  <c:v>14.38</c:v>
                </c:pt>
                <c:pt idx="1">
                  <c:v>14.38</c:v>
                </c:pt>
                <c:pt idx="2">
                  <c:v>14.38</c:v>
                </c:pt>
                <c:pt idx="3">
                  <c:v>14.35</c:v>
                </c:pt>
                <c:pt idx="4">
                  <c:v>14.299999999999999</c:v>
                </c:pt>
                <c:pt idx="5">
                  <c:v>14.27</c:v>
                </c:pt>
                <c:pt idx="6">
                  <c:v>14.25</c:v>
                </c:pt>
                <c:pt idx="7">
                  <c:v>14.25</c:v>
                </c:pt>
                <c:pt idx="8">
                  <c:v>14.13</c:v>
                </c:pt>
                <c:pt idx="9">
                  <c:v>14.09</c:v>
                </c:pt>
                <c:pt idx="10">
                  <c:v>14.080000000000002</c:v>
                </c:pt>
                <c:pt idx="11">
                  <c:v>14.059999999999999</c:v>
                </c:pt>
                <c:pt idx="12">
                  <c:v>9.9441340782122918</c:v>
                </c:pt>
                <c:pt idx="13">
                  <c:v>12.66</c:v>
                </c:pt>
                <c:pt idx="14">
                  <c:v>12.590000000000002</c:v>
                </c:pt>
                <c:pt idx="15">
                  <c:v>8.9078014184397176</c:v>
                </c:pt>
                <c:pt idx="16">
                  <c:v>12.56</c:v>
                </c:pt>
                <c:pt idx="17">
                  <c:v>8.8652482269503565</c:v>
                </c:pt>
                <c:pt idx="18">
                  <c:v>12.5</c:v>
                </c:pt>
                <c:pt idx="19">
                  <c:v>12.439999999999998</c:v>
                </c:pt>
                <c:pt idx="20">
                  <c:v>12.38</c:v>
                </c:pt>
                <c:pt idx="21">
                  <c:v>12.31</c:v>
                </c:pt>
                <c:pt idx="22">
                  <c:v>12.21</c:v>
                </c:pt>
                <c:pt idx="23">
                  <c:v>12.19</c:v>
                </c:pt>
                <c:pt idx="24">
                  <c:v>12.17</c:v>
                </c:pt>
                <c:pt idx="25">
                  <c:v>12.17</c:v>
                </c:pt>
                <c:pt idx="26">
                  <c:v>8.6028368794326244</c:v>
                </c:pt>
                <c:pt idx="27">
                  <c:v>12.129999999999999</c:v>
                </c:pt>
                <c:pt idx="28">
                  <c:v>8.6028368794326244</c:v>
                </c:pt>
                <c:pt idx="29">
                  <c:v>8.5744680851063837</c:v>
                </c:pt>
                <c:pt idx="30">
                  <c:v>12.06</c:v>
                </c:pt>
                <c:pt idx="31">
                  <c:v>12.06</c:v>
                </c:pt>
                <c:pt idx="32">
                  <c:v>12.04</c:v>
                </c:pt>
                <c:pt idx="33">
                  <c:v>12.03</c:v>
                </c:pt>
                <c:pt idx="34">
                  <c:v>8.5106382978723403</c:v>
                </c:pt>
                <c:pt idx="35">
                  <c:v>8.5106382978723403</c:v>
                </c:pt>
                <c:pt idx="36">
                  <c:v>11.999999999999998</c:v>
                </c:pt>
                <c:pt idx="37">
                  <c:v>11.999999999999998</c:v>
                </c:pt>
                <c:pt idx="38">
                  <c:v>11.97</c:v>
                </c:pt>
                <c:pt idx="39">
                  <c:v>11.95</c:v>
                </c:pt>
                <c:pt idx="40">
                  <c:v>11.9</c:v>
                </c:pt>
                <c:pt idx="41">
                  <c:v>11.88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11.299212598425198</c:v>
                </c:pt>
                <c:pt idx="46">
                  <c:v>11.299212598425198</c:v>
                </c:pt>
                <c:pt idx="47">
                  <c:v>11.25</c:v>
                </c:pt>
                <c:pt idx="48">
                  <c:v>7.9608938547486039</c:v>
                </c:pt>
                <c:pt idx="49">
                  <c:v>7.9608938547486039</c:v>
                </c:pt>
                <c:pt idx="50">
                  <c:v>7.9608938547486039</c:v>
                </c:pt>
                <c:pt idx="51">
                  <c:v>11.13</c:v>
                </c:pt>
                <c:pt idx="52">
                  <c:v>11.06</c:v>
                </c:pt>
                <c:pt idx="53">
                  <c:v>7.8212290502793298</c:v>
                </c:pt>
                <c:pt idx="54">
                  <c:v>7.8212290502793298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10.94</c:v>
                </c:pt>
                <c:pt idx="59">
                  <c:v>10.83</c:v>
                </c:pt>
                <c:pt idx="60">
                  <c:v>10.58</c:v>
                </c:pt>
                <c:pt idx="61">
                  <c:v>10.5</c:v>
                </c:pt>
                <c:pt idx="62">
                  <c:v>10.35</c:v>
                </c:pt>
                <c:pt idx="63">
                  <c:v>10.33</c:v>
                </c:pt>
                <c:pt idx="64">
                  <c:v>10.33</c:v>
                </c:pt>
                <c:pt idx="65">
                  <c:v>10.29</c:v>
                </c:pt>
                <c:pt idx="66">
                  <c:v>10.25</c:v>
                </c:pt>
                <c:pt idx="67">
                  <c:v>10.130000000000001</c:v>
                </c:pt>
                <c:pt idx="68">
                  <c:v>10.1</c:v>
                </c:pt>
                <c:pt idx="69">
                  <c:v>10.08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9.94</c:v>
                </c:pt>
                <c:pt idx="74">
                  <c:v>9.92</c:v>
                </c:pt>
                <c:pt idx="75">
                  <c:v>9.92</c:v>
                </c:pt>
                <c:pt idx="76">
                  <c:v>9.9</c:v>
                </c:pt>
                <c:pt idx="77">
                  <c:v>9.8800000000000008</c:v>
                </c:pt>
                <c:pt idx="78">
                  <c:v>9.8800000000000008</c:v>
                </c:pt>
                <c:pt idx="79">
                  <c:v>9.8800000000000008</c:v>
                </c:pt>
                <c:pt idx="80">
                  <c:v>9.8800000000000008</c:v>
                </c:pt>
                <c:pt idx="81">
                  <c:v>9.81</c:v>
                </c:pt>
                <c:pt idx="82">
                  <c:v>9.7899999999999991</c:v>
                </c:pt>
                <c:pt idx="83">
                  <c:v>9.77</c:v>
                </c:pt>
                <c:pt idx="84">
                  <c:v>9.75</c:v>
                </c:pt>
                <c:pt idx="85">
                  <c:v>9.75</c:v>
                </c:pt>
                <c:pt idx="86">
                  <c:v>9.69</c:v>
                </c:pt>
                <c:pt idx="87">
                  <c:v>9.69</c:v>
                </c:pt>
                <c:pt idx="88">
                  <c:v>9.69</c:v>
                </c:pt>
                <c:pt idx="89">
                  <c:v>9.66</c:v>
                </c:pt>
                <c:pt idx="90">
                  <c:v>9.6300000000000008</c:v>
                </c:pt>
                <c:pt idx="91">
                  <c:v>9.6</c:v>
                </c:pt>
                <c:pt idx="92">
                  <c:v>9.58</c:v>
                </c:pt>
                <c:pt idx="93">
                  <c:v>9.58</c:v>
                </c:pt>
                <c:pt idx="94">
                  <c:v>9.56</c:v>
                </c:pt>
                <c:pt idx="95">
                  <c:v>9.56</c:v>
                </c:pt>
                <c:pt idx="96">
                  <c:v>9.5</c:v>
                </c:pt>
                <c:pt idx="97">
                  <c:v>9.5</c:v>
                </c:pt>
                <c:pt idx="98">
                  <c:v>9.5</c:v>
                </c:pt>
                <c:pt idx="99">
                  <c:v>9.5</c:v>
                </c:pt>
                <c:pt idx="100">
                  <c:v>9.5</c:v>
                </c:pt>
                <c:pt idx="101">
                  <c:v>9.5</c:v>
                </c:pt>
                <c:pt idx="102">
                  <c:v>9.4700000000000006</c:v>
                </c:pt>
                <c:pt idx="103">
                  <c:v>9.4600000000000009</c:v>
                </c:pt>
                <c:pt idx="104">
                  <c:v>9.42</c:v>
                </c:pt>
                <c:pt idx="105">
                  <c:v>9.3800000000000008</c:v>
                </c:pt>
                <c:pt idx="106">
                  <c:v>9.3800000000000008</c:v>
                </c:pt>
                <c:pt idx="107">
                  <c:v>9.3800000000000008</c:v>
                </c:pt>
                <c:pt idx="108">
                  <c:v>9.3800000000000008</c:v>
                </c:pt>
                <c:pt idx="109">
                  <c:v>9.33</c:v>
                </c:pt>
                <c:pt idx="110">
                  <c:v>9.33</c:v>
                </c:pt>
                <c:pt idx="111">
                  <c:v>9.31</c:v>
                </c:pt>
                <c:pt idx="112">
                  <c:v>9.25</c:v>
                </c:pt>
                <c:pt idx="113">
                  <c:v>9.25</c:v>
                </c:pt>
                <c:pt idx="114">
                  <c:v>9.25</c:v>
                </c:pt>
                <c:pt idx="115">
                  <c:v>9.25</c:v>
                </c:pt>
                <c:pt idx="116">
                  <c:v>9.19</c:v>
                </c:pt>
                <c:pt idx="117">
                  <c:v>9.19</c:v>
                </c:pt>
                <c:pt idx="118">
                  <c:v>9.19</c:v>
                </c:pt>
                <c:pt idx="119">
                  <c:v>9.17</c:v>
                </c:pt>
                <c:pt idx="120">
                  <c:v>9.1300000000000008</c:v>
                </c:pt>
                <c:pt idx="121">
                  <c:v>9.06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6.061452513966481</c:v>
                </c:pt>
                <c:pt idx="126">
                  <c:v>8.31</c:v>
                </c:pt>
                <c:pt idx="127">
                  <c:v>8.3070866141732296</c:v>
                </c:pt>
                <c:pt idx="128">
                  <c:v>8.3070866141732296</c:v>
                </c:pt>
                <c:pt idx="129">
                  <c:v>8.3070866141732296</c:v>
                </c:pt>
                <c:pt idx="130">
                  <c:v>8.25</c:v>
                </c:pt>
                <c:pt idx="131">
                  <c:v>8.25</c:v>
                </c:pt>
                <c:pt idx="132">
                  <c:v>5.8379888268156428</c:v>
                </c:pt>
                <c:pt idx="133">
                  <c:v>5.6983240223463696</c:v>
                </c:pt>
                <c:pt idx="134">
                  <c:v>8.0314960629921259</c:v>
                </c:pt>
                <c:pt idx="135">
                  <c:v>8</c:v>
                </c:pt>
                <c:pt idx="136">
                  <c:v>6</c:v>
                </c:pt>
                <c:pt idx="137">
                  <c:v>6</c:v>
                </c:pt>
                <c:pt idx="138">
                  <c:v>7.06</c:v>
                </c:pt>
                <c:pt idx="139">
                  <c:v>7.06</c:v>
                </c:pt>
                <c:pt idx="140">
                  <c:v>7</c:v>
                </c:pt>
                <c:pt idx="141">
                  <c:v>6.3385826771653546</c:v>
                </c:pt>
                <c:pt idx="142">
                  <c:v>6.33</c:v>
                </c:pt>
                <c:pt idx="143">
                  <c:v>6.29</c:v>
                </c:pt>
                <c:pt idx="144">
                  <c:v>6.25</c:v>
                </c:pt>
                <c:pt idx="145">
                  <c:v>6.25</c:v>
                </c:pt>
                <c:pt idx="146">
                  <c:v>6.25</c:v>
                </c:pt>
                <c:pt idx="147">
                  <c:v>9.9519999999999982</c:v>
                </c:pt>
                <c:pt idx="148">
                  <c:v>6.21</c:v>
                </c:pt>
                <c:pt idx="149">
                  <c:v>6.19</c:v>
                </c:pt>
                <c:pt idx="150">
                  <c:v>6.16</c:v>
                </c:pt>
                <c:pt idx="151">
                  <c:v>6.13</c:v>
                </c:pt>
                <c:pt idx="152">
                  <c:v>6.13</c:v>
                </c:pt>
                <c:pt idx="153">
                  <c:v>6.0999999999999988</c:v>
                </c:pt>
                <c:pt idx="154">
                  <c:v>6.09</c:v>
                </c:pt>
                <c:pt idx="155">
                  <c:v>9.695999999999998</c:v>
                </c:pt>
                <c:pt idx="156">
                  <c:v>9.6479999999999997</c:v>
                </c:pt>
                <c:pt idx="157">
                  <c:v>6.03</c:v>
                </c:pt>
                <c:pt idx="158">
                  <c:v>9.5999999999999979</c:v>
                </c:pt>
                <c:pt idx="159">
                  <c:v>9.5999999999999979</c:v>
                </c:pt>
                <c:pt idx="160">
                  <c:v>9.5999999999999979</c:v>
                </c:pt>
                <c:pt idx="161">
                  <c:v>5.9999999999999991</c:v>
                </c:pt>
                <c:pt idx="162">
                  <c:v>9.5039999999999996</c:v>
                </c:pt>
                <c:pt idx="163">
                  <c:v>5.63</c:v>
                </c:pt>
                <c:pt idx="164">
                  <c:v>5.5</c:v>
                </c:pt>
                <c:pt idx="165">
                  <c:v>5.5</c:v>
                </c:pt>
                <c:pt idx="166">
                  <c:v>6</c:v>
                </c:pt>
                <c:pt idx="167">
                  <c:v>6</c:v>
                </c:pt>
                <c:pt idx="168">
                  <c:v>8.3040000000000003</c:v>
                </c:pt>
                <c:pt idx="169">
                  <c:v>8.3040000000000003</c:v>
                </c:pt>
                <c:pt idx="170">
                  <c:v>8.24</c:v>
                </c:pt>
                <c:pt idx="171">
                  <c:v>8.0640000000000001</c:v>
                </c:pt>
                <c:pt idx="172">
                  <c:v>8.048</c:v>
                </c:pt>
                <c:pt idx="173">
                  <c:v>8.0319999999999983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7.056</c:v>
                </c:pt>
                <c:pt idx="183">
                  <c:v>6.7519999999999989</c:v>
                </c:pt>
                <c:pt idx="184">
                  <c:v>6.7039999999999997</c:v>
                </c:pt>
                <c:pt idx="185">
                  <c:v>6.6559999999999997</c:v>
                </c:pt>
                <c:pt idx="186">
                  <c:v>6.6079999999999988</c:v>
                </c:pt>
                <c:pt idx="187">
                  <c:v>6.6079999999999988</c:v>
                </c:pt>
                <c:pt idx="188">
                  <c:v>6.6079999999999988</c:v>
                </c:pt>
                <c:pt idx="189">
                  <c:v>6.5439999999999996</c:v>
                </c:pt>
                <c:pt idx="190">
                  <c:v>6.5439999999999996</c:v>
                </c:pt>
                <c:pt idx="191">
                  <c:v>6.4959999999999987</c:v>
                </c:pt>
                <c:pt idx="192">
                  <c:v>6.4959999999999987</c:v>
                </c:pt>
                <c:pt idx="193">
                  <c:v>6.0960000000000001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  <c:pt idx="255">
                  <c:v>20</c:v>
                </c:pt>
                <c:pt idx="256">
                  <c:v>20</c:v>
                </c:pt>
                <c:pt idx="257">
                  <c:v>7</c:v>
                </c:pt>
                <c:pt idx="258">
                  <c:v>7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16</c:v>
                </c:pt>
                <c:pt idx="266">
                  <c:v>7</c:v>
                </c:pt>
                <c:pt idx="267">
                  <c:v>7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13</c:v>
                </c:pt>
                <c:pt idx="272">
                  <c:v>13</c:v>
                </c:pt>
                <c:pt idx="273">
                  <c:v>13</c:v>
                </c:pt>
                <c:pt idx="274">
                  <c:v>16</c:v>
                </c:pt>
                <c:pt idx="275">
                  <c:v>20</c:v>
                </c:pt>
                <c:pt idx="276">
                  <c:v>20</c:v>
                </c:pt>
                <c:pt idx="277">
                  <c:v>7</c:v>
                </c:pt>
                <c:pt idx="278">
                  <c:v>10</c:v>
                </c:pt>
                <c:pt idx="279">
                  <c:v>13</c:v>
                </c:pt>
                <c:pt idx="280">
                  <c:v>7</c:v>
                </c:pt>
                <c:pt idx="281">
                  <c:v>10</c:v>
                </c:pt>
                <c:pt idx="282">
                  <c:v>13</c:v>
                </c:pt>
                <c:pt idx="283">
                  <c:v>16</c:v>
                </c:pt>
                <c:pt idx="284">
                  <c:v>16</c:v>
                </c:pt>
                <c:pt idx="285">
                  <c:v>20</c:v>
                </c:pt>
                <c:pt idx="286">
                  <c:v>20</c:v>
                </c:pt>
                <c:pt idx="287">
                  <c:v>23</c:v>
                </c:pt>
                <c:pt idx="288">
                  <c:v>23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</c:numCache>
            </c:numRef>
          </c:xVal>
          <c:yVal>
            <c:numRef>
              <c:f>'headed (2)'!$CY$255:$CY$582</c:f>
              <c:numCache>
                <c:formatCode>General</c:formatCode>
                <c:ptCount val="328"/>
                <c:pt idx="0">
                  <c:v>1.7503100546994845</c:v>
                </c:pt>
                <c:pt idx="1">
                  <c:v>1.7225622808684895</c:v>
                </c:pt>
                <c:pt idx="2">
                  <c:v>2.0436666783234134</c:v>
                </c:pt>
                <c:pt idx="3">
                  <c:v>1.678318926344234</c:v>
                </c:pt>
                <c:pt idx="4">
                  <c:v>1.4899632682400843</c:v>
                </c:pt>
                <c:pt idx="5">
                  <c:v>2.0084145966035742</c:v>
                </c:pt>
                <c:pt idx="6">
                  <c:v>1.6429720783454635</c:v>
                </c:pt>
                <c:pt idx="7">
                  <c:v>1.6028554172537091</c:v>
                </c:pt>
                <c:pt idx="8">
                  <c:v>1.4906266830836274</c:v>
                </c:pt>
                <c:pt idx="9">
                  <c:v>2.1389892476287438</c:v>
                </c:pt>
                <c:pt idx="10">
                  <c:v>1.8151122257280927</c:v>
                </c:pt>
                <c:pt idx="11">
                  <c:v>1.5399308845379911</c:v>
                </c:pt>
                <c:pt idx="12">
                  <c:v>1.7137964299552733</c:v>
                </c:pt>
                <c:pt idx="13">
                  <c:v>1.4398870419702952</c:v>
                </c:pt>
                <c:pt idx="14">
                  <c:v>1.5354665759203094</c:v>
                </c:pt>
                <c:pt idx="15">
                  <c:v>1.4696900496732774</c:v>
                </c:pt>
                <c:pt idx="16">
                  <c:v>1.8303996348577347</c:v>
                </c:pt>
                <c:pt idx="17">
                  <c:v>1.3974642339462553</c:v>
                </c:pt>
                <c:pt idx="18">
                  <c:v>1.5139899705847897</c:v>
                </c:pt>
                <c:pt idx="19">
                  <c:v>2.0746404680628681</c:v>
                </c:pt>
                <c:pt idx="20">
                  <c:v>1.6765075296519178</c:v>
                </c:pt>
                <c:pt idx="21">
                  <c:v>1.623611685263433</c:v>
                </c:pt>
                <c:pt idx="22">
                  <c:v>1.3377450555781216</c:v>
                </c:pt>
                <c:pt idx="23">
                  <c:v>1.7265845077744686</c:v>
                </c:pt>
                <c:pt idx="24">
                  <c:v>1.2826380649004223</c:v>
                </c:pt>
                <c:pt idx="25">
                  <c:v>1.0680010435748619</c:v>
                </c:pt>
                <c:pt idx="26">
                  <c:v>1.3131143007808823</c:v>
                </c:pt>
                <c:pt idx="27">
                  <c:v>1.6414242600002831</c:v>
                </c:pt>
                <c:pt idx="28">
                  <c:v>1.085274259902747</c:v>
                </c:pt>
                <c:pt idx="29">
                  <c:v>1.4397576090914905</c:v>
                </c:pt>
                <c:pt idx="30">
                  <c:v>1.1610070301058955</c:v>
                </c:pt>
                <c:pt idx="31">
                  <c:v>1.5779241384977041</c:v>
                </c:pt>
                <c:pt idx="32">
                  <c:v>1.4272035302680499</c:v>
                </c:pt>
                <c:pt idx="33">
                  <c:v>1.0669685458984943</c:v>
                </c:pt>
                <c:pt idx="34">
                  <c:v>1.1056114992723238</c:v>
                </c:pt>
                <c:pt idx="35">
                  <c:v>1.3401047785481524</c:v>
                </c:pt>
                <c:pt idx="36">
                  <c:v>1.0166221143746004</c:v>
                </c:pt>
                <c:pt idx="37">
                  <c:v>1.4934888450846682</c:v>
                </c:pt>
                <c:pt idx="38">
                  <c:v>1.4545506164396904</c:v>
                </c:pt>
                <c:pt idx="39">
                  <c:v>1.5671872526272181</c:v>
                </c:pt>
                <c:pt idx="40">
                  <c:v>1.7214912231681421</c:v>
                </c:pt>
                <c:pt idx="41">
                  <c:v>1.1974991561843304</c:v>
                </c:pt>
                <c:pt idx="42">
                  <c:v>0.96129394656467926</c:v>
                </c:pt>
                <c:pt idx="43">
                  <c:v>1.2785719938235214</c:v>
                </c:pt>
                <c:pt idx="44">
                  <c:v>1.3098915185197448</c:v>
                </c:pt>
                <c:pt idx="45">
                  <c:v>1.0324950798962937</c:v>
                </c:pt>
                <c:pt idx="46">
                  <c:v>1.3582301682762954</c:v>
                </c:pt>
                <c:pt idx="47">
                  <c:v>0.90762534595970545</c:v>
                </c:pt>
                <c:pt idx="48">
                  <c:v>1.1163081599228812</c:v>
                </c:pt>
                <c:pt idx="49">
                  <c:v>1.3187489627900544</c:v>
                </c:pt>
                <c:pt idx="50">
                  <c:v>1.7054171816068107</c:v>
                </c:pt>
                <c:pt idx="51">
                  <c:v>0.99617785069192466</c:v>
                </c:pt>
                <c:pt idx="52">
                  <c:v>1.051317145691999</c:v>
                </c:pt>
                <c:pt idx="53">
                  <c:v>1.2380919937878554</c:v>
                </c:pt>
                <c:pt idx="54">
                  <c:v>0.98516281921633742</c:v>
                </c:pt>
                <c:pt idx="55">
                  <c:v>1.4559039363893846</c:v>
                </c:pt>
                <c:pt idx="56">
                  <c:v>1.5899976895949632</c:v>
                </c:pt>
                <c:pt idx="57">
                  <c:v>1.4957640290850434</c:v>
                </c:pt>
                <c:pt idx="58">
                  <c:v>1.0210557999824699</c:v>
                </c:pt>
                <c:pt idx="59">
                  <c:v>0.98097068748379734</c:v>
                </c:pt>
                <c:pt idx="60">
                  <c:v>1.0355623876435345</c:v>
                </c:pt>
                <c:pt idx="61">
                  <c:v>0.89800579941581282</c:v>
                </c:pt>
                <c:pt idx="62">
                  <c:v>1.026278911927931</c:v>
                </c:pt>
                <c:pt idx="63">
                  <c:v>0.97531366488201143</c:v>
                </c:pt>
                <c:pt idx="64">
                  <c:v>1.2076437156812905</c:v>
                </c:pt>
                <c:pt idx="65">
                  <c:v>1.0909962422431996</c:v>
                </c:pt>
                <c:pt idx="66">
                  <c:v>0.95166687424883689</c:v>
                </c:pt>
                <c:pt idx="67">
                  <c:v>0.9393306132040562</c:v>
                </c:pt>
                <c:pt idx="68">
                  <c:v>0.95884996399514588</c:v>
                </c:pt>
                <c:pt idx="69">
                  <c:v>1.2275313013278444</c:v>
                </c:pt>
                <c:pt idx="70">
                  <c:v>0.85631332847185648</c:v>
                </c:pt>
                <c:pt idx="71">
                  <c:v>1.0122595831277816</c:v>
                </c:pt>
                <c:pt idx="72">
                  <c:v>1.0555684263285166</c:v>
                </c:pt>
                <c:pt idx="73">
                  <c:v>1.0237310466798923</c:v>
                </c:pt>
                <c:pt idx="74">
                  <c:v>0.75738494469674067</c:v>
                </c:pt>
                <c:pt idx="75">
                  <c:v>0.7688185795271586</c:v>
                </c:pt>
                <c:pt idx="76">
                  <c:v>0.73864862864762737</c:v>
                </c:pt>
                <c:pt idx="77">
                  <c:v>0.88210240843168164</c:v>
                </c:pt>
                <c:pt idx="78">
                  <c:v>1.0184221931806774</c:v>
                </c:pt>
                <c:pt idx="79">
                  <c:v>0.63658061415316614</c:v>
                </c:pt>
                <c:pt idx="80">
                  <c:v>0.61800778838527559</c:v>
                </c:pt>
                <c:pt idx="81">
                  <c:v>0.67872485494033818</c:v>
                </c:pt>
                <c:pt idx="82">
                  <c:v>0.94979047422646845</c:v>
                </c:pt>
                <c:pt idx="83">
                  <c:v>0.98660780016235983</c:v>
                </c:pt>
                <c:pt idx="84">
                  <c:v>0.70367808719437008</c:v>
                </c:pt>
                <c:pt idx="85">
                  <c:v>0.65027889870200761</c:v>
                </c:pt>
                <c:pt idx="86">
                  <c:v>0.75449639049580097</c:v>
                </c:pt>
                <c:pt idx="87">
                  <c:v>1.0814969925658282</c:v>
                </c:pt>
                <c:pt idx="88">
                  <c:v>0.95168248490077645</c:v>
                </c:pt>
                <c:pt idx="89">
                  <c:v>0.96051437093285852</c:v>
                </c:pt>
                <c:pt idx="90">
                  <c:v>0.83340478977310528</c:v>
                </c:pt>
                <c:pt idx="91">
                  <c:v>0.93949066396852476</c:v>
                </c:pt>
                <c:pt idx="92">
                  <c:v>0.96079814882500592</c:v>
                </c:pt>
                <c:pt idx="93">
                  <c:v>0.88772695202762453</c:v>
                </c:pt>
                <c:pt idx="94">
                  <c:v>1.1793748514869569</c:v>
                </c:pt>
                <c:pt idx="95">
                  <c:v>1.0114255979953197</c:v>
                </c:pt>
                <c:pt idx="96">
                  <c:v>0.72179535196685451</c:v>
                </c:pt>
                <c:pt idx="97">
                  <c:v>0.94633885858091515</c:v>
                </c:pt>
                <c:pt idx="98">
                  <c:v>0.89214840379637628</c:v>
                </c:pt>
                <c:pt idx="99">
                  <c:v>1.1787643163301271</c:v>
                </c:pt>
                <c:pt idx="100">
                  <c:v>1.0276805768179793</c:v>
                </c:pt>
                <c:pt idx="101">
                  <c:v>0.87833333333333341</c:v>
                </c:pt>
                <c:pt idx="102">
                  <c:v>0.62319362436667958</c:v>
                </c:pt>
                <c:pt idx="103">
                  <c:v>0.87917179348650509</c:v>
                </c:pt>
                <c:pt idx="104">
                  <c:v>0.90958443196571492</c:v>
                </c:pt>
                <c:pt idx="105">
                  <c:v>0.99413885294838056</c:v>
                </c:pt>
                <c:pt idx="106">
                  <c:v>0.81958454427477145</c:v>
                </c:pt>
                <c:pt idx="107">
                  <c:v>0.98277763354811387</c:v>
                </c:pt>
                <c:pt idx="108">
                  <c:v>0.9161935541106252</c:v>
                </c:pt>
                <c:pt idx="109">
                  <c:v>1.2347092535127056</c:v>
                </c:pt>
                <c:pt idx="110">
                  <c:v>0.79497862339968595</c:v>
                </c:pt>
                <c:pt idx="111">
                  <c:v>1.1078590441518625</c:v>
                </c:pt>
                <c:pt idx="112">
                  <c:v>0.77187994815402661</c:v>
                </c:pt>
                <c:pt idx="113">
                  <c:v>1.0612133921380551</c:v>
                </c:pt>
                <c:pt idx="114">
                  <c:v>1.2622199993298189</c:v>
                </c:pt>
                <c:pt idx="115">
                  <c:v>0.89515643202731698</c:v>
                </c:pt>
                <c:pt idx="116">
                  <c:v>0.86504992090891586</c:v>
                </c:pt>
                <c:pt idx="117">
                  <c:v>1.4143463626576895</c:v>
                </c:pt>
                <c:pt idx="118">
                  <c:v>0.81066942187607538</c:v>
                </c:pt>
                <c:pt idx="119">
                  <c:v>1.0750809484919404</c:v>
                </c:pt>
                <c:pt idx="120">
                  <c:v>0.92467198904083814</c:v>
                </c:pt>
                <c:pt idx="121">
                  <c:v>1.0255837865554474</c:v>
                </c:pt>
                <c:pt idx="122">
                  <c:v>0.89753775945612424</c:v>
                </c:pt>
                <c:pt idx="123">
                  <c:v>0.95550025830198404</c:v>
                </c:pt>
                <c:pt idx="124">
                  <c:v>1.0643352713979048</c:v>
                </c:pt>
                <c:pt idx="125">
                  <c:v>2.2278048827998371</c:v>
                </c:pt>
                <c:pt idx="126">
                  <c:v>1.5151167350293466</c:v>
                </c:pt>
                <c:pt idx="127">
                  <c:v>1.4738851451493513</c:v>
                </c:pt>
                <c:pt idx="128">
                  <c:v>1.7031111416982552</c:v>
                </c:pt>
                <c:pt idx="129">
                  <c:v>1.3453438012059822</c:v>
                </c:pt>
                <c:pt idx="130">
                  <c:v>1.731758202447683</c:v>
                </c:pt>
                <c:pt idx="131">
                  <c:v>1.9142631106667445</c:v>
                </c:pt>
                <c:pt idx="132">
                  <c:v>2.5258582854795466</c:v>
                </c:pt>
                <c:pt idx="133">
                  <c:v>1.4842785522928055</c:v>
                </c:pt>
                <c:pt idx="134">
                  <c:v>1.8155625474566859</c:v>
                </c:pt>
                <c:pt idx="135">
                  <c:v>1.6590638296996747</c:v>
                </c:pt>
                <c:pt idx="136">
                  <c:v>2.4380497966331038</c:v>
                </c:pt>
                <c:pt idx="137">
                  <c:v>2.4636058741659457</c:v>
                </c:pt>
                <c:pt idx="138">
                  <c:v>1.3327587691667713</c:v>
                </c:pt>
                <c:pt idx="139">
                  <c:v>1.0824860548652508</c:v>
                </c:pt>
                <c:pt idx="140">
                  <c:v>1.6008115856850342</c:v>
                </c:pt>
                <c:pt idx="141">
                  <c:v>1.6863346843418161</c:v>
                </c:pt>
                <c:pt idx="142">
                  <c:v>1.0788549020126255</c:v>
                </c:pt>
                <c:pt idx="143">
                  <c:v>1.6031941418598026</c:v>
                </c:pt>
                <c:pt idx="144">
                  <c:v>1.0842825744116804</c:v>
                </c:pt>
                <c:pt idx="145">
                  <c:v>1.7894468224730991</c:v>
                </c:pt>
                <c:pt idx="146">
                  <c:v>1.7433677731711112</c:v>
                </c:pt>
                <c:pt idx="147">
                  <c:v>1.697827799212775</c:v>
                </c:pt>
                <c:pt idx="148">
                  <c:v>1.1036377176784957</c:v>
                </c:pt>
                <c:pt idx="149">
                  <c:v>1.1508423840732456</c:v>
                </c:pt>
                <c:pt idx="150">
                  <c:v>2.0370562080807706</c:v>
                </c:pt>
                <c:pt idx="151">
                  <c:v>1.2933704868741975</c:v>
                </c:pt>
                <c:pt idx="152">
                  <c:v>1.3045051452426668</c:v>
                </c:pt>
                <c:pt idx="153">
                  <c:v>1.5531423718553099</c:v>
                </c:pt>
                <c:pt idx="154">
                  <c:v>1.0516411430045192</c:v>
                </c:pt>
                <c:pt idx="155">
                  <c:v>1.9857553822289242</c:v>
                </c:pt>
                <c:pt idx="156">
                  <c:v>1.4853019156950511</c:v>
                </c:pt>
                <c:pt idx="157">
                  <c:v>1.597463993520754</c:v>
                </c:pt>
                <c:pt idx="158">
                  <c:v>1.5052684293177485</c:v>
                </c:pt>
                <c:pt idx="159">
                  <c:v>1.7449699422328022</c:v>
                </c:pt>
                <c:pt idx="160">
                  <c:v>1.291340863422106</c:v>
                </c:pt>
                <c:pt idx="161">
                  <c:v>1.7309716556713737</c:v>
                </c:pt>
                <c:pt idx="162">
                  <c:v>2.356880352834843</c:v>
                </c:pt>
                <c:pt idx="163">
                  <c:v>1.756014516688875</c:v>
                </c:pt>
                <c:pt idx="164">
                  <c:v>2.0624467853963915</c:v>
                </c:pt>
                <c:pt idx="165">
                  <c:v>1.3495646193214026</c:v>
                </c:pt>
                <c:pt idx="166">
                  <c:v>1.8878427439141436</c:v>
                </c:pt>
                <c:pt idx="167">
                  <c:v>1.8917218728399947</c:v>
                </c:pt>
                <c:pt idx="168">
                  <c:v>1.4822802361136755</c:v>
                </c:pt>
                <c:pt idx="169">
                  <c:v>2.226804333961967</c:v>
                </c:pt>
                <c:pt idx="170">
                  <c:v>1.5173231544502177</c:v>
                </c:pt>
                <c:pt idx="171">
                  <c:v>1.351934535422801</c:v>
                </c:pt>
                <c:pt idx="172">
                  <c:v>1.649578283506135</c:v>
                </c:pt>
                <c:pt idx="173">
                  <c:v>1.6706415634065737</c:v>
                </c:pt>
                <c:pt idx="174">
                  <c:v>3.4872822367819616</c:v>
                </c:pt>
                <c:pt idx="175">
                  <c:v>3.4724847166824624</c:v>
                </c:pt>
                <c:pt idx="176">
                  <c:v>3.2763843126979917</c:v>
                </c:pt>
                <c:pt idx="177">
                  <c:v>3.2560621494903539</c:v>
                </c:pt>
                <c:pt idx="178">
                  <c:v>3.3564461639150021</c:v>
                </c:pt>
                <c:pt idx="179">
                  <c:v>3.3494922008682169</c:v>
                </c:pt>
                <c:pt idx="180">
                  <c:v>2.6242898657708054</c:v>
                </c:pt>
                <c:pt idx="181">
                  <c:v>2.7756175295634287</c:v>
                </c:pt>
                <c:pt idx="182">
                  <c:v>1.8113307185544554</c:v>
                </c:pt>
                <c:pt idx="183">
                  <c:v>1.5873395236395706</c:v>
                </c:pt>
                <c:pt idx="184">
                  <c:v>2.3968898250261241</c:v>
                </c:pt>
                <c:pt idx="185">
                  <c:v>1.6104550162570681</c:v>
                </c:pt>
                <c:pt idx="186">
                  <c:v>1.4571988895401744</c:v>
                </c:pt>
                <c:pt idx="187">
                  <c:v>1.3523744146328167</c:v>
                </c:pt>
                <c:pt idx="188">
                  <c:v>1.8581291628547163</c:v>
                </c:pt>
                <c:pt idx="189">
                  <c:v>1.9691110177056528</c:v>
                </c:pt>
                <c:pt idx="190">
                  <c:v>1.6844942416423301</c:v>
                </c:pt>
                <c:pt idx="191">
                  <c:v>1.5312635885804775</c:v>
                </c:pt>
                <c:pt idx="192">
                  <c:v>1.1875713646393697</c:v>
                </c:pt>
                <c:pt idx="193">
                  <c:v>1.2867956956222946</c:v>
                </c:pt>
                <c:pt idx="194">
                  <c:v>2.4281246243137233</c:v>
                </c:pt>
                <c:pt idx="195">
                  <c:v>2.5314105225121426</c:v>
                </c:pt>
                <c:pt idx="196">
                  <c:v>2.426985071922775</c:v>
                </c:pt>
                <c:pt idx="197">
                  <c:v>2.3834667189089873</c:v>
                </c:pt>
                <c:pt idx="198">
                  <c:v>2.4460777087109391</c:v>
                </c:pt>
                <c:pt idx="199">
                  <c:v>2.4392924723483564</c:v>
                </c:pt>
                <c:pt idx="200">
                  <c:v>1</c:v>
                </c:pt>
                <c:pt idx="201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0.98674521354933731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5A-4414-B101-199E25887D5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(2)'!$AS$20:$AS$53</c:f>
            </c:numRef>
          </c:xVal>
          <c:yVal>
            <c:numRef>
              <c:f>'headed (2)'!$AS$54:$AS$55</c:f>
            </c:numRef>
          </c:yVal>
          <c:smooth val="0"/>
          <c:extLst>
            <c:ext xmlns:c16="http://schemas.microsoft.com/office/drawing/2014/chart" uri="{C3380CC4-5D6E-409C-BE32-E72D297353CC}">
              <c16:uniqueId val="{00000001-4C5A-4414-B101-199E25887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60000"/>
        <c:axId val="130986368"/>
      </c:scatterChart>
      <c:valAx>
        <c:axId val="1309600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86368"/>
        <c:crosses val="autoZero"/>
        <c:crossBetween val="midCat"/>
      </c:valAx>
      <c:valAx>
        <c:axId val="1309863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600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(2)'!$O$154:$O$192</c:f>
              <c:numCache>
                <c:formatCode>General</c:formatCode>
                <c:ptCount val="26"/>
                <c:pt idx="0">
                  <c:v>16</c:v>
                </c:pt>
                <c:pt idx="1">
                  <c:v>16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13.921985815602838</c:v>
                </c:pt>
                <c:pt idx="19">
                  <c:v>13.829787234042554</c:v>
                </c:pt>
                <c:pt idx="20">
                  <c:v>13.787234042553195</c:v>
                </c:pt>
                <c:pt idx="21">
                  <c:v>13.744680851063832</c:v>
                </c:pt>
                <c:pt idx="22">
                  <c:v>13.744680851063832</c:v>
                </c:pt>
                <c:pt idx="23">
                  <c:v>13.680851063829788</c:v>
                </c:pt>
                <c:pt idx="24">
                  <c:v>13.652482269503549</c:v>
                </c:pt>
                <c:pt idx="25">
                  <c:v>13.567375886524824</c:v>
                </c:pt>
              </c:numCache>
            </c:numRef>
          </c:xVal>
          <c:yVal>
            <c:numRef>
              <c:f>'headed (2)'!$DG$154:$DG$192</c:f>
              <c:numCache>
                <c:formatCode>General</c:formatCode>
                <c:ptCount val="26"/>
                <c:pt idx="0">
                  <c:v>1.5692649380457224</c:v>
                </c:pt>
                <c:pt idx="1">
                  <c:v>1.5838852696285155</c:v>
                </c:pt>
                <c:pt idx="2">
                  <c:v>1.6446377336345006</c:v>
                </c:pt>
                <c:pt idx="6">
                  <c:v>1.794720670111744</c:v>
                </c:pt>
                <c:pt idx="7">
                  <c:v>1.5380197612821445</c:v>
                </c:pt>
                <c:pt idx="8">
                  <c:v>1.4210468912230823</c:v>
                </c:pt>
                <c:pt idx="11">
                  <c:v>1.5700011264151312</c:v>
                </c:pt>
                <c:pt idx="13">
                  <c:v>1.5911627720568966</c:v>
                </c:pt>
                <c:pt idx="14">
                  <c:v>1.5424576588157013</c:v>
                </c:pt>
                <c:pt idx="15">
                  <c:v>1.5409103389183063</c:v>
                </c:pt>
                <c:pt idx="19">
                  <c:v>1.618747126999279</c:v>
                </c:pt>
                <c:pt idx="20">
                  <c:v>1.7616301001435395</c:v>
                </c:pt>
                <c:pt idx="21">
                  <c:v>1.8607883579121227</c:v>
                </c:pt>
                <c:pt idx="23">
                  <c:v>1.6528810129954532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7-4A68-8145-3229C21C841D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(2)'!$O$154:$O$192</c:f>
              <c:numCache>
                <c:formatCode>General</c:formatCode>
                <c:ptCount val="26"/>
                <c:pt idx="0">
                  <c:v>16</c:v>
                </c:pt>
                <c:pt idx="1">
                  <c:v>16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13.921985815602838</c:v>
                </c:pt>
                <c:pt idx="19">
                  <c:v>13.829787234042554</c:v>
                </c:pt>
                <c:pt idx="20">
                  <c:v>13.787234042553195</c:v>
                </c:pt>
                <c:pt idx="21">
                  <c:v>13.744680851063832</c:v>
                </c:pt>
                <c:pt idx="22">
                  <c:v>13.744680851063832</c:v>
                </c:pt>
                <c:pt idx="23">
                  <c:v>13.680851063829788</c:v>
                </c:pt>
                <c:pt idx="24">
                  <c:v>13.652482269503549</c:v>
                </c:pt>
                <c:pt idx="25">
                  <c:v>13.567375886524824</c:v>
                </c:pt>
              </c:numCache>
            </c:numRef>
          </c:xVal>
          <c:yVal>
            <c:numRef>
              <c:f>'headed (2)'!$DM$154:$DM$192</c:f>
              <c:numCache>
                <c:formatCode>General</c:formatCode>
                <c:ptCount val="26"/>
                <c:pt idx="3">
                  <c:v>2.0897350040707581</c:v>
                </c:pt>
                <c:pt idx="4">
                  <c:v>1.9310412434474262</c:v>
                </c:pt>
                <c:pt idx="5">
                  <c:v>2.096867205449839</c:v>
                </c:pt>
                <c:pt idx="9">
                  <c:v>1.1019664488447403</c:v>
                </c:pt>
                <c:pt idx="10">
                  <c:v>1.3886226253286234</c:v>
                </c:pt>
                <c:pt idx="12">
                  <c:v>1.9957036604518148</c:v>
                </c:pt>
                <c:pt idx="16">
                  <c:v>1.491198292511049</c:v>
                </c:pt>
                <c:pt idx="17">
                  <c:v>1.7548839458286425</c:v>
                </c:pt>
                <c:pt idx="18">
                  <c:v>2.019483679818086</c:v>
                </c:pt>
                <c:pt idx="22">
                  <c:v>1.8239555927677222</c:v>
                </c:pt>
                <c:pt idx="24">
                  <c:v>1.8554105991258989</c:v>
                </c:pt>
                <c:pt idx="25">
                  <c:v>2.0047597914593944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A7-4A68-8145-3229C21C841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(2)'!$O$193:$O$257</c:f>
              <c:numCache>
                <c:formatCode>General</c:formatCode>
                <c:ptCount val="51"/>
                <c:pt idx="0">
                  <c:v>8.3595113438045381</c:v>
                </c:pt>
                <c:pt idx="1">
                  <c:v>12.368794326241137</c:v>
                </c:pt>
                <c:pt idx="2">
                  <c:v>12.234042553191491</c:v>
                </c:pt>
                <c:pt idx="3">
                  <c:v>12.148936170212767</c:v>
                </c:pt>
                <c:pt idx="4">
                  <c:v>12.067039106145252</c:v>
                </c:pt>
                <c:pt idx="5">
                  <c:v>12.056737588652483</c:v>
                </c:pt>
                <c:pt idx="6">
                  <c:v>12.014184397163124</c:v>
                </c:pt>
                <c:pt idx="7">
                  <c:v>12.014184397163124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12.000000000000004</c:v>
                </c:pt>
                <c:pt idx="15">
                  <c:v>12.000000000000004</c:v>
                </c:pt>
                <c:pt idx="16">
                  <c:v>11.921985815602838</c:v>
                </c:pt>
                <c:pt idx="17">
                  <c:v>11.921985815602838</c:v>
                </c:pt>
                <c:pt idx="18">
                  <c:v>11.879432624113477</c:v>
                </c:pt>
                <c:pt idx="19">
                  <c:v>11.858156028368795</c:v>
                </c:pt>
                <c:pt idx="20">
                  <c:v>11.744680851063832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15.749999999999998</c:v>
                </c:pt>
                <c:pt idx="28">
                  <c:v>15.28</c:v>
                </c:pt>
                <c:pt idx="29">
                  <c:v>10.581560283687944</c:v>
                </c:pt>
                <c:pt idx="30">
                  <c:v>10.43262411347518</c:v>
                </c:pt>
                <c:pt idx="31">
                  <c:v>10.418439716312058</c:v>
                </c:pt>
                <c:pt idx="32">
                  <c:v>10.418439716312058</c:v>
                </c:pt>
                <c:pt idx="33">
                  <c:v>10.375886524822697</c:v>
                </c:pt>
                <c:pt idx="34">
                  <c:v>10.375886524822697</c:v>
                </c:pt>
                <c:pt idx="35">
                  <c:v>14.58</c:v>
                </c:pt>
                <c:pt idx="36">
                  <c:v>14.58</c:v>
                </c:pt>
                <c:pt idx="37">
                  <c:v>10.312056737588653</c:v>
                </c:pt>
                <c:pt idx="38">
                  <c:v>10.312056737588653</c:v>
                </c:pt>
                <c:pt idx="39">
                  <c:v>14.54</c:v>
                </c:pt>
                <c:pt idx="40">
                  <c:v>14.54</c:v>
                </c:pt>
                <c:pt idx="41">
                  <c:v>10.283687943262413</c:v>
                </c:pt>
                <c:pt idx="42">
                  <c:v>10.283687943262413</c:v>
                </c:pt>
                <c:pt idx="43">
                  <c:v>14.499999999999998</c:v>
                </c:pt>
                <c:pt idx="44">
                  <c:v>14.499999999999998</c:v>
                </c:pt>
                <c:pt idx="45">
                  <c:v>14.42</c:v>
                </c:pt>
                <c:pt idx="46">
                  <c:v>14.42</c:v>
                </c:pt>
                <c:pt idx="47">
                  <c:v>14.38</c:v>
                </c:pt>
                <c:pt idx="48">
                  <c:v>14.38</c:v>
                </c:pt>
                <c:pt idx="49">
                  <c:v>14.38</c:v>
                </c:pt>
                <c:pt idx="50">
                  <c:v>14.38</c:v>
                </c:pt>
              </c:numCache>
            </c:numRef>
          </c:xVal>
          <c:yVal>
            <c:numRef>
              <c:f>'headed (2)'!$DG$193:$DG$257</c:f>
              <c:numCache>
                <c:formatCode>General</c:formatCode>
                <c:ptCount val="51"/>
                <c:pt idx="2">
                  <c:v>1.5816026934977176</c:v>
                </c:pt>
                <c:pt idx="3">
                  <c:v>1.5398515478642198</c:v>
                </c:pt>
                <c:pt idx="4">
                  <c:v>1.8483645889323053</c:v>
                </c:pt>
                <c:pt idx="6">
                  <c:v>1.6671220701684981</c:v>
                </c:pt>
                <c:pt idx="8">
                  <c:v>1.6540735818514851</c:v>
                </c:pt>
                <c:pt idx="9">
                  <c:v>1.6540735818514851</c:v>
                </c:pt>
                <c:pt idx="10">
                  <c:v>1.4874383120901835</c:v>
                </c:pt>
                <c:pt idx="11">
                  <c:v>1.4874383120901835</c:v>
                </c:pt>
                <c:pt idx="14">
                  <c:v>1.1973043210093592</c:v>
                </c:pt>
                <c:pt idx="15">
                  <c:v>1.1281032287987234</c:v>
                </c:pt>
                <c:pt idx="20">
                  <c:v>1.4292915545702025</c:v>
                </c:pt>
                <c:pt idx="21">
                  <c:v>1.97217424829744</c:v>
                </c:pt>
                <c:pt idx="22">
                  <c:v>1.97217424829744</c:v>
                </c:pt>
                <c:pt idx="23">
                  <c:v>1.9952585337426647</c:v>
                </c:pt>
                <c:pt idx="24">
                  <c:v>1.9952585337426647</c:v>
                </c:pt>
                <c:pt idx="27">
                  <c:v>1.2751919840719188</c:v>
                </c:pt>
                <c:pt idx="28">
                  <c:v>1.3506140519746308</c:v>
                </c:pt>
                <c:pt idx="30">
                  <c:v>1.0732932449490427</c:v>
                </c:pt>
                <c:pt idx="33">
                  <c:v>0.69063533625701745</c:v>
                </c:pt>
                <c:pt idx="35">
                  <c:v>1.4354232666084592</c:v>
                </c:pt>
                <c:pt idx="36">
                  <c:v>1.560884934514343</c:v>
                </c:pt>
                <c:pt idx="39">
                  <c:v>1.5355299544104395</c:v>
                </c:pt>
                <c:pt idx="41">
                  <c:v>0.91594080710970804</c:v>
                </c:pt>
                <c:pt idx="42">
                  <c:v>1.2093370725585242</c:v>
                </c:pt>
                <c:pt idx="47">
                  <c:v>1.6213066041161099</c:v>
                </c:pt>
                <c:pt idx="48">
                  <c:v>1.7503100546994845</c:v>
                </c:pt>
                <c:pt idx="49">
                  <c:v>1.7225622808684895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A7-4A68-8145-3229C21C841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(2)'!$O$193:$O$257</c:f>
              <c:numCache>
                <c:formatCode>General</c:formatCode>
                <c:ptCount val="51"/>
                <c:pt idx="0">
                  <c:v>8.3595113438045381</c:v>
                </c:pt>
                <c:pt idx="1">
                  <c:v>12.368794326241137</c:v>
                </c:pt>
                <c:pt idx="2">
                  <c:v>12.234042553191491</c:v>
                </c:pt>
                <c:pt idx="3">
                  <c:v>12.148936170212767</c:v>
                </c:pt>
                <c:pt idx="4">
                  <c:v>12.067039106145252</c:v>
                </c:pt>
                <c:pt idx="5">
                  <c:v>12.056737588652483</c:v>
                </c:pt>
                <c:pt idx="6">
                  <c:v>12.014184397163124</c:v>
                </c:pt>
                <c:pt idx="7">
                  <c:v>12.014184397163124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12.000000000000004</c:v>
                </c:pt>
                <c:pt idx="15">
                  <c:v>12.000000000000004</c:v>
                </c:pt>
                <c:pt idx="16">
                  <c:v>11.921985815602838</c:v>
                </c:pt>
                <c:pt idx="17">
                  <c:v>11.921985815602838</c:v>
                </c:pt>
                <c:pt idx="18">
                  <c:v>11.879432624113477</c:v>
                </c:pt>
                <c:pt idx="19">
                  <c:v>11.858156028368795</c:v>
                </c:pt>
                <c:pt idx="20">
                  <c:v>11.744680851063832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15.749999999999998</c:v>
                </c:pt>
                <c:pt idx="28">
                  <c:v>15.28</c:v>
                </c:pt>
                <c:pt idx="29">
                  <c:v>10.581560283687944</c:v>
                </c:pt>
                <c:pt idx="30">
                  <c:v>10.43262411347518</c:v>
                </c:pt>
                <c:pt idx="31">
                  <c:v>10.418439716312058</c:v>
                </c:pt>
                <c:pt idx="32">
                  <c:v>10.418439716312058</c:v>
                </c:pt>
                <c:pt idx="33">
                  <c:v>10.375886524822697</c:v>
                </c:pt>
                <c:pt idx="34">
                  <c:v>10.375886524822697</c:v>
                </c:pt>
                <c:pt idx="35">
                  <c:v>14.58</c:v>
                </c:pt>
                <c:pt idx="36">
                  <c:v>14.58</c:v>
                </c:pt>
                <c:pt idx="37">
                  <c:v>10.312056737588653</c:v>
                </c:pt>
                <c:pt idx="38">
                  <c:v>10.312056737588653</c:v>
                </c:pt>
                <c:pt idx="39">
                  <c:v>14.54</c:v>
                </c:pt>
                <c:pt idx="40">
                  <c:v>14.54</c:v>
                </c:pt>
                <c:pt idx="41">
                  <c:v>10.283687943262413</c:v>
                </c:pt>
                <c:pt idx="42">
                  <c:v>10.283687943262413</c:v>
                </c:pt>
                <c:pt idx="43">
                  <c:v>14.499999999999998</c:v>
                </c:pt>
                <c:pt idx="44">
                  <c:v>14.499999999999998</c:v>
                </c:pt>
                <c:pt idx="45">
                  <c:v>14.42</c:v>
                </c:pt>
                <c:pt idx="46">
                  <c:v>14.42</c:v>
                </c:pt>
                <c:pt idx="47">
                  <c:v>14.38</c:v>
                </c:pt>
                <c:pt idx="48">
                  <c:v>14.38</c:v>
                </c:pt>
                <c:pt idx="49">
                  <c:v>14.38</c:v>
                </c:pt>
                <c:pt idx="50">
                  <c:v>14.38</c:v>
                </c:pt>
              </c:numCache>
            </c:numRef>
          </c:xVal>
          <c:yVal>
            <c:numRef>
              <c:f>'headed (2)'!$DM$193:$DM$257</c:f>
              <c:numCache>
                <c:formatCode>General</c:formatCode>
                <c:ptCount val="51"/>
                <c:pt idx="1">
                  <c:v>1.6522350926872018</c:v>
                </c:pt>
                <c:pt idx="5">
                  <c:v>1.4366977144918935</c:v>
                </c:pt>
                <c:pt idx="7">
                  <c:v>1.8427952176594291</c:v>
                </c:pt>
                <c:pt idx="12">
                  <c:v>1.6715512745016297</c:v>
                </c:pt>
                <c:pt idx="13">
                  <c:v>1.6715512745016297</c:v>
                </c:pt>
                <c:pt idx="16">
                  <c:v>1.8834336158062253</c:v>
                </c:pt>
                <c:pt idx="17">
                  <c:v>1.8812925966750933</c:v>
                </c:pt>
                <c:pt idx="18">
                  <c:v>1.7038194945882996</c:v>
                </c:pt>
                <c:pt idx="19">
                  <c:v>1.6135859013275426</c:v>
                </c:pt>
                <c:pt idx="25">
                  <c:v>2.502367304628951</c:v>
                </c:pt>
                <c:pt idx="26">
                  <c:v>2.502367304628951</c:v>
                </c:pt>
                <c:pt idx="29">
                  <c:v>1.0116192816151657</c:v>
                </c:pt>
                <c:pt idx="31">
                  <c:v>1.0185169608474394</c:v>
                </c:pt>
                <c:pt idx="32">
                  <c:v>1.2411149415901028</c:v>
                </c:pt>
                <c:pt idx="34">
                  <c:v>1.627708019089664</c:v>
                </c:pt>
                <c:pt idx="37">
                  <c:v>1.2523599085817319</c:v>
                </c:pt>
                <c:pt idx="38">
                  <c:v>0.97005999442265467</c:v>
                </c:pt>
                <c:pt idx="40">
                  <c:v>1.5872436499070057</c:v>
                </c:pt>
                <c:pt idx="43">
                  <c:v>1.7312915853777464</c:v>
                </c:pt>
                <c:pt idx="44">
                  <c:v>2.0143868559808893</c:v>
                </c:pt>
                <c:pt idx="45">
                  <c:v>1.6049667825079759</c:v>
                </c:pt>
                <c:pt idx="46">
                  <c:v>1.8564322726263891</c:v>
                </c:pt>
                <c:pt idx="50">
                  <c:v>2.0436666783234134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A7-4A68-8145-3229C21C841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(2)'!$AS$20:$AS$53</c:f>
            </c:numRef>
          </c:xVal>
          <c:yVal>
            <c:numRef>
              <c:f>'headed (2)'!$AS$54:$AS$55</c:f>
            </c:numRef>
          </c:yVal>
          <c:smooth val="0"/>
          <c:extLst>
            <c:ext xmlns:c16="http://schemas.microsoft.com/office/drawing/2014/chart" uri="{C3380CC4-5D6E-409C-BE32-E72D297353CC}">
              <c16:uniqueId val="{00000004-8BA7-4A68-8145-3229C21C8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81792"/>
        <c:axId val="130895872"/>
      </c:scatterChart>
      <c:valAx>
        <c:axId val="1308817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95872"/>
        <c:crosses val="autoZero"/>
        <c:crossBetween val="midCat"/>
      </c:valAx>
      <c:valAx>
        <c:axId val="130895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817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(2)'!$O$255:$O$582</c:f>
              <c:numCache>
                <c:formatCode>General</c:formatCode>
                <c:ptCount val="328"/>
                <c:pt idx="0">
                  <c:v>14.38</c:v>
                </c:pt>
                <c:pt idx="1">
                  <c:v>14.38</c:v>
                </c:pt>
                <c:pt idx="2">
                  <c:v>14.38</c:v>
                </c:pt>
                <c:pt idx="3">
                  <c:v>14.35</c:v>
                </c:pt>
                <c:pt idx="4">
                  <c:v>14.299999999999999</c:v>
                </c:pt>
                <c:pt idx="5">
                  <c:v>14.27</c:v>
                </c:pt>
                <c:pt idx="6">
                  <c:v>14.25</c:v>
                </c:pt>
                <c:pt idx="7">
                  <c:v>14.25</c:v>
                </c:pt>
                <c:pt idx="8">
                  <c:v>14.13</c:v>
                </c:pt>
                <c:pt idx="9">
                  <c:v>14.09</c:v>
                </c:pt>
                <c:pt idx="10">
                  <c:v>14.080000000000002</c:v>
                </c:pt>
                <c:pt idx="11">
                  <c:v>14.059999999999999</c:v>
                </c:pt>
                <c:pt idx="12">
                  <c:v>9.9441340782122918</c:v>
                </c:pt>
                <c:pt idx="13">
                  <c:v>12.66</c:v>
                </c:pt>
                <c:pt idx="14">
                  <c:v>12.590000000000002</c:v>
                </c:pt>
                <c:pt idx="15">
                  <c:v>8.9078014184397176</c:v>
                </c:pt>
                <c:pt idx="16">
                  <c:v>12.56</c:v>
                </c:pt>
                <c:pt idx="17">
                  <c:v>8.8652482269503565</c:v>
                </c:pt>
                <c:pt idx="18">
                  <c:v>12.5</c:v>
                </c:pt>
                <c:pt idx="19">
                  <c:v>12.439999999999998</c:v>
                </c:pt>
                <c:pt idx="20">
                  <c:v>12.38</c:v>
                </c:pt>
                <c:pt idx="21">
                  <c:v>12.31</c:v>
                </c:pt>
                <c:pt idx="22">
                  <c:v>12.21</c:v>
                </c:pt>
                <c:pt idx="23">
                  <c:v>12.19</c:v>
                </c:pt>
                <c:pt idx="24">
                  <c:v>12.17</c:v>
                </c:pt>
                <c:pt idx="25">
                  <c:v>12.17</c:v>
                </c:pt>
                <c:pt idx="26">
                  <c:v>8.6028368794326244</c:v>
                </c:pt>
                <c:pt idx="27">
                  <c:v>12.129999999999999</c:v>
                </c:pt>
                <c:pt idx="28">
                  <c:v>8.6028368794326244</c:v>
                </c:pt>
                <c:pt idx="29">
                  <c:v>8.5744680851063837</c:v>
                </c:pt>
                <c:pt idx="30">
                  <c:v>12.06</c:v>
                </c:pt>
                <c:pt idx="31">
                  <c:v>12.06</c:v>
                </c:pt>
                <c:pt idx="32">
                  <c:v>12.04</c:v>
                </c:pt>
                <c:pt idx="33">
                  <c:v>12.03</c:v>
                </c:pt>
                <c:pt idx="34">
                  <c:v>8.5106382978723403</c:v>
                </c:pt>
                <c:pt idx="35">
                  <c:v>8.5106382978723403</c:v>
                </c:pt>
                <c:pt idx="36">
                  <c:v>11.999999999999998</c:v>
                </c:pt>
                <c:pt idx="37">
                  <c:v>11.999999999999998</c:v>
                </c:pt>
                <c:pt idx="38">
                  <c:v>11.97</c:v>
                </c:pt>
                <c:pt idx="39">
                  <c:v>11.95</c:v>
                </c:pt>
                <c:pt idx="40">
                  <c:v>11.9</c:v>
                </c:pt>
                <c:pt idx="41">
                  <c:v>11.88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11.299212598425198</c:v>
                </c:pt>
                <c:pt idx="46">
                  <c:v>11.299212598425198</c:v>
                </c:pt>
                <c:pt idx="47">
                  <c:v>11.25</c:v>
                </c:pt>
                <c:pt idx="48">
                  <c:v>7.9608938547486039</c:v>
                </c:pt>
                <c:pt idx="49">
                  <c:v>7.9608938547486039</c:v>
                </c:pt>
                <c:pt idx="50">
                  <c:v>7.9608938547486039</c:v>
                </c:pt>
                <c:pt idx="51">
                  <c:v>11.13</c:v>
                </c:pt>
                <c:pt idx="52">
                  <c:v>11.06</c:v>
                </c:pt>
                <c:pt idx="53">
                  <c:v>7.8212290502793298</c:v>
                </c:pt>
                <c:pt idx="54">
                  <c:v>7.8212290502793298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10.94</c:v>
                </c:pt>
                <c:pt idx="59">
                  <c:v>10.83</c:v>
                </c:pt>
                <c:pt idx="60">
                  <c:v>10.58</c:v>
                </c:pt>
                <c:pt idx="61">
                  <c:v>10.5</c:v>
                </c:pt>
                <c:pt idx="62">
                  <c:v>10.35</c:v>
                </c:pt>
                <c:pt idx="63">
                  <c:v>10.33</c:v>
                </c:pt>
                <c:pt idx="64">
                  <c:v>10.33</c:v>
                </c:pt>
                <c:pt idx="65">
                  <c:v>10.29</c:v>
                </c:pt>
                <c:pt idx="66">
                  <c:v>10.25</c:v>
                </c:pt>
                <c:pt idx="67">
                  <c:v>10.130000000000001</c:v>
                </c:pt>
                <c:pt idx="68">
                  <c:v>10.1</c:v>
                </c:pt>
                <c:pt idx="69">
                  <c:v>10.08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9.94</c:v>
                </c:pt>
                <c:pt idx="74">
                  <c:v>9.92</c:v>
                </c:pt>
                <c:pt idx="75">
                  <c:v>9.92</c:v>
                </c:pt>
                <c:pt idx="76">
                  <c:v>9.9</c:v>
                </c:pt>
                <c:pt idx="77">
                  <c:v>9.8800000000000008</c:v>
                </c:pt>
                <c:pt idx="78">
                  <c:v>9.8800000000000008</c:v>
                </c:pt>
                <c:pt idx="79">
                  <c:v>9.8800000000000008</c:v>
                </c:pt>
                <c:pt idx="80">
                  <c:v>9.8800000000000008</c:v>
                </c:pt>
                <c:pt idx="81">
                  <c:v>9.81</c:v>
                </c:pt>
                <c:pt idx="82">
                  <c:v>9.7899999999999991</c:v>
                </c:pt>
                <c:pt idx="83">
                  <c:v>9.77</c:v>
                </c:pt>
                <c:pt idx="84">
                  <c:v>9.75</c:v>
                </c:pt>
                <c:pt idx="85">
                  <c:v>9.75</c:v>
                </c:pt>
                <c:pt idx="86">
                  <c:v>9.69</c:v>
                </c:pt>
                <c:pt idx="87">
                  <c:v>9.69</c:v>
                </c:pt>
                <c:pt idx="88">
                  <c:v>9.69</c:v>
                </c:pt>
                <c:pt idx="89">
                  <c:v>9.66</c:v>
                </c:pt>
                <c:pt idx="90">
                  <c:v>9.6300000000000008</c:v>
                </c:pt>
                <c:pt idx="91">
                  <c:v>9.6</c:v>
                </c:pt>
                <c:pt idx="92">
                  <c:v>9.58</c:v>
                </c:pt>
                <c:pt idx="93">
                  <c:v>9.58</c:v>
                </c:pt>
                <c:pt idx="94">
                  <c:v>9.56</c:v>
                </c:pt>
                <c:pt idx="95">
                  <c:v>9.56</c:v>
                </c:pt>
                <c:pt idx="96">
                  <c:v>9.5</c:v>
                </c:pt>
                <c:pt idx="97">
                  <c:v>9.5</c:v>
                </c:pt>
                <c:pt idx="98">
                  <c:v>9.5</c:v>
                </c:pt>
                <c:pt idx="99">
                  <c:v>9.5</c:v>
                </c:pt>
                <c:pt idx="100">
                  <c:v>9.5</c:v>
                </c:pt>
                <c:pt idx="101">
                  <c:v>9.5</c:v>
                </c:pt>
                <c:pt idx="102">
                  <c:v>9.4700000000000006</c:v>
                </c:pt>
                <c:pt idx="103">
                  <c:v>9.4600000000000009</c:v>
                </c:pt>
                <c:pt idx="104">
                  <c:v>9.42</c:v>
                </c:pt>
                <c:pt idx="105">
                  <c:v>9.3800000000000008</c:v>
                </c:pt>
                <c:pt idx="106">
                  <c:v>9.3800000000000008</c:v>
                </c:pt>
                <c:pt idx="107">
                  <c:v>9.3800000000000008</c:v>
                </c:pt>
                <c:pt idx="108">
                  <c:v>9.3800000000000008</c:v>
                </c:pt>
                <c:pt idx="109">
                  <c:v>9.33</c:v>
                </c:pt>
                <c:pt idx="110">
                  <c:v>9.33</c:v>
                </c:pt>
                <c:pt idx="111">
                  <c:v>9.31</c:v>
                </c:pt>
                <c:pt idx="112">
                  <c:v>9.25</c:v>
                </c:pt>
                <c:pt idx="113">
                  <c:v>9.25</c:v>
                </c:pt>
                <c:pt idx="114">
                  <c:v>9.25</c:v>
                </c:pt>
                <c:pt idx="115">
                  <c:v>9.25</c:v>
                </c:pt>
                <c:pt idx="116">
                  <c:v>9.19</c:v>
                </c:pt>
                <c:pt idx="117">
                  <c:v>9.19</c:v>
                </c:pt>
                <c:pt idx="118">
                  <c:v>9.19</c:v>
                </c:pt>
                <c:pt idx="119">
                  <c:v>9.17</c:v>
                </c:pt>
                <c:pt idx="120">
                  <c:v>9.1300000000000008</c:v>
                </c:pt>
                <c:pt idx="121">
                  <c:v>9.06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6.061452513966481</c:v>
                </c:pt>
                <c:pt idx="126">
                  <c:v>8.31</c:v>
                </c:pt>
                <c:pt idx="127">
                  <c:v>8.3070866141732296</c:v>
                </c:pt>
                <c:pt idx="128">
                  <c:v>8.3070866141732296</c:v>
                </c:pt>
                <c:pt idx="129">
                  <c:v>8.3070866141732296</c:v>
                </c:pt>
                <c:pt idx="130">
                  <c:v>8.25</c:v>
                </c:pt>
                <c:pt idx="131">
                  <c:v>8.25</c:v>
                </c:pt>
                <c:pt idx="132">
                  <c:v>5.8379888268156428</c:v>
                </c:pt>
                <c:pt idx="133">
                  <c:v>5.6983240223463696</c:v>
                </c:pt>
                <c:pt idx="134">
                  <c:v>8.0314960629921259</c:v>
                </c:pt>
                <c:pt idx="135">
                  <c:v>8</c:v>
                </c:pt>
                <c:pt idx="136">
                  <c:v>6</c:v>
                </c:pt>
                <c:pt idx="137">
                  <c:v>6</c:v>
                </c:pt>
                <c:pt idx="138">
                  <c:v>7.06</c:v>
                </c:pt>
                <c:pt idx="139">
                  <c:v>7.06</c:v>
                </c:pt>
                <c:pt idx="140">
                  <c:v>7</c:v>
                </c:pt>
                <c:pt idx="141">
                  <c:v>6.3385826771653546</c:v>
                </c:pt>
                <c:pt idx="142">
                  <c:v>6.33</c:v>
                </c:pt>
                <c:pt idx="143">
                  <c:v>6.29</c:v>
                </c:pt>
                <c:pt idx="144">
                  <c:v>6.25</c:v>
                </c:pt>
                <c:pt idx="145">
                  <c:v>6.25</c:v>
                </c:pt>
                <c:pt idx="146">
                  <c:v>6.25</c:v>
                </c:pt>
                <c:pt idx="147">
                  <c:v>9.9519999999999982</c:v>
                </c:pt>
                <c:pt idx="148">
                  <c:v>6.21</c:v>
                </c:pt>
                <c:pt idx="149">
                  <c:v>6.19</c:v>
                </c:pt>
                <c:pt idx="150">
                  <c:v>6.16</c:v>
                </c:pt>
                <c:pt idx="151">
                  <c:v>6.13</c:v>
                </c:pt>
                <c:pt idx="152">
                  <c:v>6.13</c:v>
                </c:pt>
                <c:pt idx="153">
                  <c:v>6.0999999999999988</c:v>
                </c:pt>
                <c:pt idx="154">
                  <c:v>6.09</c:v>
                </c:pt>
                <c:pt idx="155">
                  <c:v>9.695999999999998</c:v>
                </c:pt>
                <c:pt idx="156">
                  <c:v>9.6479999999999997</c:v>
                </c:pt>
                <c:pt idx="157">
                  <c:v>6.03</c:v>
                </c:pt>
                <c:pt idx="158">
                  <c:v>9.5999999999999979</c:v>
                </c:pt>
                <c:pt idx="159">
                  <c:v>9.5999999999999979</c:v>
                </c:pt>
                <c:pt idx="160">
                  <c:v>9.5999999999999979</c:v>
                </c:pt>
                <c:pt idx="161">
                  <c:v>5.9999999999999991</c:v>
                </c:pt>
                <c:pt idx="162">
                  <c:v>9.5039999999999996</c:v>
                </c:pt>
                <c:pt idx="163">
                  <c:v>5.63</c:v>
                </c:pt>
                <c:pt idx="164">
                  <c:v>5.5</c:v>
                </c:pt>
                <c:pt idx="165">
                  <c:v>5.5</c:v>
                </c:pt>
                <c:pt idx="166">
                  <c:v>6</c:v>
                </c:pt>
                <c:pt idx="167">
                  <c:v>6</c:v>
                </c:pt>
                <c:pt idx="168">
                  <c:v>8.3040000000000003</c:v>
                </c:pt>
                <c:pt idx="169">
                  <c:v>8.3040000000000003</c:v>
                </c:pt>
                <c:pt idx="170">
                  <c:v>8.24</c:v>
                </c:pt>
                <c:pt idx="171">
                  <c:v>8.0640000000000001</c:v>
                </c:pt>
                <c:pt idx="172">
                  <c:v>8.048</c:v>
                </c:pt>
                <c:pt idx="173">
                  <c:v>8.0319999999999983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7.056</c:v>
                </c:pt>
                <c:pt idx="183">
                  <c:v>6.7519999999999989</c:v>
                </c:pt>
                <c:pt idx="184">
                  <c:v>6.7039999999999997</c:v>
                </c:pt>
                <c:pt idx="185">
                  <c:v>6.6559999999999997</c:v>
                </c:pt>
                <c:pt idx="186">
                  <c:v>6.6079999999999988</c:v>
                </c:pt>
                <c:pt idx="187">
                  <c:v>6.6079999999999988</c:v>
                </c:pt>
                <c:pt idx="188">
                  <c:v>6.6079999999999988</c:v>
                </c:pt>
                <c:pt idx="189">
                  <c:v>6.5439999999999996</c:v>
                </c:pt>
                <c:pt idx="190">
                  <c:v>6.5439999999999996</c:v>
                </c:pt>
                <c:pt idx="191">
                  <c:v>6.4959999999999987</c:v>
                </c:pt>
                <c:pt idx="192">
                  <c:v>6.4959999999999987</c:v>
                </c:pt>
                <c:pt idx="193">
                  <c:v>6.0960000000000001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  <c:pt idx="255">
                  <c:v>20</c:v>
                </c:pt>
                <c:pt idx="256">
                  <c:v>20</c:v>
                </c:pt>
                <c:pt idx="257">
                  <c:v>7</c:v>
                </c:pt>
                <c:pt idx="258">
                  <c:v>7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16</c:v>
                </c:pt>
                <c:pt idx="266">
                  <c:v>7</c:v>
                </c:pt>
                <c:pt idx="267">
                  <c:v>7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13</c:v>
                </c:pt>
                <c:pt idx="272">
                  <c:v>13</c:v>
                </c:pt>
                <c:pt idx="273">
                  <c:v>13</c:v>
                </c:pt>
                <c:pt idx="274">
                  <c:v>16</c:v>
                </c:pt>
                <c:pt idx="275">
                  <c:v>20</c:v>
                </c:pt>
                <c:pt idx="276">
                  <c:v>20</c:v>
                </c:pt>
                <c:pt idx="277">
                  <c:v>7</c:v>
                </c:pt>
                <c:pt idx="278">
                  <c:v>10</c:v>
                </c:pt>
                <c:pt idx="279">
                  <c:v>13</c:v>
                </c:pt>
                <c:pt idx="280">
                  <c:v>7</c:v>
                </c:pt>
                <c:pt idx="281">
                  <c:v>10</c:v>
                </c:pt>
                <c:pt idx="282">
                  <c:v>13</c:v>
                </c:pt>
                <c:pt idx="283">
                  <c:v>16</c:v>
                </c:pt>
                <c:pt idx="284">
                  <c:v>16</c:v>
                </c:pt>
                <c:pt idx="285">
                  <c:v>20</c:v>
                </c:pt>
                <c:pt idx="286">
                  <c:v>20</c:v>
                </c:pt>
                <c:pt idx="287">
                  <c:v>23</c:v>
                </c:pt>
                <c:pt idx="288">
                  <c:v>23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</c:numCache>
            </c:numRef>
          </c:xVal>
          <c:yVal>
            <c:numRef>
              <c:f>'headed (2)'!$DA$255:$DA$582</c:f>
              <c:numCache>
                <c:formatCode>General</c:formatCode>
                <c:ptCount val="328"/>
                <c:pt idx="0">
                  <c:v>1.1926541092551828</c:v>
                </c:pt>
                <c:pt idx="1">
                  <c:v>1.15289897228001</c:v>
                </c:pt>
                <c:pt idx="2">
                  <c:v>1.3111850107642649</c:v>
                </c:pt>
                <c:pt idx="3">
                  <c:v>1.4915728202248597</c:v>
                </c:pt>
                <c:pt idx="4">
                  <c:v>1.0645811088058519</c:v>
                </c:pt>
                <c:pt idx="5">
                  <c:v>1.3838059891279431</c:v>
                </c:pt>
                <c:pt idx="6">
                  <c:v>1.4565711461993656</c:v>
                </c:pt>
                <c:pt idx="7">
                  <c:v>1.3567777131762069</c:v>
                </c:pt>
                <c:pt idx="8">
                  <c:v>1.0611106737887328</c:v>
                </c:pt>
                <c:pt idx="9">
                  <c:v>1.3404573544493805</c:v>
                </c:pt>
                <c:pt idx="10">
                  <c:v>1.7850791723869082</c:v>
                </c:pt>
                <c:pt idx="11">
                  <c:v>1.3749910064068995</c:v>
                </c:pt>
                <c:pt idx="12">
                  <c:v>1.487260947268513</c:v>
                </c:pt>
                <c:pt idx="13">
                  <c:v>1.2305684841268119</c:v>
                </c:pt>
                <c:pt idx="14">
                  <c:v>1.4145986516145845</c:v>
                </c:pt>
                <c:pt idx="15">
                  <c:v>0.87804597345881741</c:v>
                </c:pt>
                <c:pt idx="16">
                  <c:v>1.3479209893794599</c:v>
                </c:pt>
                <c:pt idx="17">
                  <c:v>0.92343789210776062</c:v>
                </c:pt>
                <c:pt idx="18">
                  <c:v>1.2726513426267121</c:v>
                </c:pt>
                <c:pt idx="19">
                  <c:v>1.400091193706031</c:v>
                </c:pt>
                <c:pt idx="20">
                  <c:v>1.1200335813374223</c:v>
                </c:pt>
                <c:pt idx="21">
                  <c:v>1.3648258889866054</c:v>
                </c:pt>
                <c:pt idx="22">
                  <c:v>1.2147441524469329</c:v>
                </c:pt>
                <c:pt idx="23">
                  <c:v>1.3452828172806048</c:v>
                </c:pt>
                <c:pt idx="24">
                  <c:v>1.2530999155051654</c:v>
                </c:pt>
                <c:pt idx="25">
                  <c:v>0.89354564303152395</c:v>
                </c:pt>
                <c:pt idx="26">
                  <c:v>0.85398182075671547</c:v>
                </c:pt>
                <c:pt idx="27">
                  <c:v>1.6074371142265871</c:v>
                </c:pt>
                <c:pt idx="28">
                  <c:v>0.80994045632785505</c:v>
                </c:pt>
                <c:pt idx="29">
                  <c:v>0.90287337363807318</c:v>
                </c:pt>
                <c:pt idx="30">
                  <c:v>0.9500605438440255</c:v>
                </c:pt>
                <c:pt idx="31">
                  <c:v>1.2442613749021638</c:v>
                </c:pt>
                <c:pt idx="32">
                  <c:v>1.5317584810057567</c:v>
                </c:pt>
                <c:pt idx="33">
                  <c:v>1.2738805592629094</c:v>
                </c:pt>
                <c:pt idx="34">
                  <c:v>0.76825652258018351</c:v>
                </c:pt>
                <c:pt idx="35">
                  <c:v>1.0055163450729336</c:v>
                </c:pt>
                <c:pt idx="36">
                  <c:v>1.1169384460611274</c:v>
                </c:pt>
                <c:pt idx="37">
                  <c:v>1.279120760819896</c:v>
                </c:pt>
                <c:pt idx="38">
                  <c:v>1.2028972243265701</c:v>
                </c:pt>
                <c:pt idx="39">
                  <c:v>1.7624587508377958</c:v>
                </c:pt>
                <c:pt idx="40">
                  <c:v>1.5863282977600779</c:v>
                </c:pt>
                <c:pt idx="41">
                  <c:v>0.93266016758314585</c:v>
                </c:pt>
                <c:pt idx="42">
                  <c:v>1.3838937040210169</c:v>
                </c:pt>
                <c:pt idx="43">
                  <c:v>1.4372631142025567</c:v>
                </c:pt>
                <c:pt idx="44">
                  <c:v>2.0310855779776316</c:v>
                </c:pt>
                <c:pt idx="45">
                  <c:v>1.2471485696372469</c:v>
                </c:pt>
                <c:pt idx="46">
                  <c:v>1.4623838231453203</c:v>
                </c:pt>
                <c:pt idx="47">
                  <c:v>1.0565427698472931</c:v>
                </c:pt>
                <c:pt idx="48">
                  <c:v>1.3945799441927671</c:v>
                </c:pt>
                <c:pt idx="49">
                  <c:v>1.6382270596938808</c:v>
                </c:pt>
                <c:pt idx="50">
                  <c:v>1.9673389851519778</c:v>
                </c:pt>
                <c:pt idx="51">
                  <c:v>1.4018980369375771</c:v>
                </c:pt>
                <c:pt idx="52">
                  <c:v>1.2044626549109341</c:v>
                </c:pt>
                <c:pt idx="53">
                  <c:v>1.5621311103571764</c:v>
                </c:pt>
                <c:pt idx="54">
                  <c:v>1.2451103850199845</c:v>
                </c:pt>
                <c:pt idx="55">
                  <c:v>1.468755792642539</c:v>
                </c:pt>
                <c:pt idx="56">
                  <c:v>1.5581202263866585</c:v>
                </c:pt>
                <c:pt idx="57">
                  <c:v>1.7846087148297018</c:v>
                </c:pt>
                <c:pt idx="58">
                  <c:v>1.4646074726472567</c:v>
                </c:pt>
                <c:pt idx="59">
                  <c:v>1.2064345058631663</c:v>
                </c:pt>
                <c:pt idx="60">
                  <c:v>1.5393668987809279</c:v>
                </c:pt>
                <c:pt idx="61">
                  <c:v>1.4542450707802723</c:v>
                </c:pt>
                <c:pt idx="62">
                  <c:v>1.6111289830132571</c:v>
                </c:pt>
                <c:pt idx="63">
                  <c:v>1.0875170850034528</c:v>
                </c:pt>
                <c:pt idx="64">
                  <c:v>1.3339172849165912</c:v>
                </c:pt>
                <c:pt idx="65">
                  <c:v>1.1703923382083732</c:v>
                </c:pt>
                <c:pt idx="66">
                  <c:v>1.4016929584772584</c:v>
                </c:pt>
                <c:pt idx="67">
                  <c:v>1.0515170046860745</c:v>
                </c:pt>
                <c:pt idx="68">
                  <c:v>1.1226686234334839</c:v>
                </c:pt>
                <c:pt idx="69">
                  <c:v>1.7132857924449365</c:v>
                </c:pt>
                <c:pt idx="70">
                  <c:v>1.130169014844719</c:v>
                </c:pt>
                <c:pt idx="71">
                  <c:v>1.5227273061218662</c:v>
                </c:pt>
                <c:pt idx="72">
                  <c:v>1.500601767058964</c:v>
                </c:pt>
                <c:pt idx="73">
                  <c:v>1.1445892636173558</c:v>
                </c:pt>
                <c:pt idx="74">
                  <c:v>1.0136353606109705</c:v>
                </c:pt>
                <c:pt idx="75">
                  <c:v>1.0553000677007287</c:v>
                </c:pt>
                <c:pt idx="76">
                  <c:v>1.1800386873366524</c:v>
                </c:pt>
                <c:pt idx="77">
                  <c:v>1.3171284334108457</c:v>
                </c:pt>
                <c:pt idx="78">
                  <c:v>1.4674396207834461</c:v>
                </c:pt>
                <c:pt idx="79">
                  <c:v>0.8312726172672158</c:v>
                </c:pt>
                <c:pt idx="80">
                  <c:v>0.74693440629475993</c:v>
                </c:pt>
                <c:pt idx="81">
                  <c:v>0.86489129505352247</c:v>
                </c:pt>
                <c:pt idx="82">
                  <c:v>1.4064662597202062</c:v>
                </c:pt>
                <c:pt idx="83">
                  <c:v>1.5537534775920558</c:v>
                </c:pt>
                <c:pt idx="84">
                  <c:v>0.8275761961520568</c:v>
                </c:pt>
                <c:pt idx="85">
                  <c:v>0.71186072951306811</c:v>
                </c:pt>
                <c:pt idx="86">
                  <c:v>1.0809846369960703</c:v>
                </c:pt>
                <c:pt idx="87">
                  <c:v>1.378337467570502</c:v>
                </c:pt>
                <c:pt idx="88">
                  <c:v>1.213946649650911</c:v>
                </c:pt>
                <c:pt idx="89">
                  <c:v>1.1117656600092876</c:v>
                </c:pt>
                <c:pt idx="90">
                  <c:v>1.0296890870286513</c:v>
                </c:pt>
                <c:pt idx="91">
                  <c:v>1.225964360942069</c:v>
                </c:pt>
                <c:pt idx="92">
                  <c:v>1.1355499502132003</c:v>
                </c:pt>
                <c:pt idx="93">
                  <c:v>1.0909464990682394</c:v>
                </c:pt>
                <c:pt idx="94">
                  <c:v>1.3025245533720942</c:v>
                </c:pt>
                <c:pt idx="95">
                  <c:v>1.2673808375373148</c:v>
                </c:pt>
                <c:pt idx="96">
                  <c:v>0.92589724491094383</c:v>
                </c:pt>
                <c:pt idx="97">
                  <c:v>1.2089329841498877</c:v>
                </c:pt>
                <c:pt idx="98">
                  <c:v>1.1607663213543273</c:v>
                </c:pt>
                <c:pt idx="99">
                  <c:v>1.5517610994655895</c:v>
                </c:pt>
                <c:pt idx="100">
                  <c:v>1.1890280478040305</c:v>
                </c:pt>
                <c:pt idx="101">
                  <c:v>1.1832182811484149</c:v>
                </c:pt>
                <c:pt idx="102">
                  <c:v>0.87280886698648519</c:v>
                </c:pt>
                <c:pt idx="103">
                  <c:v>1.0334238077499565</c:v>
                </c:pt>
                <c:pt idx="104">
                  <c:v>1.1302150740598296</c:v>
                </c:pt>
                <c:pt idx="105">
                  <c:v>1.2226871085348725</c:v>
                </c:pt>
                <c:pt idx="106">
                  <c:v>1.0824061436066807</c:v>
                </c:pt>
                <c:pt idx="107">
                  <c:v>1.1326402982209955</c:v>
                </c:pt>
                <c:pt idx="108">
                  <c:v>1.1020916631669231</c:v>
                </c:pt>
                <c:pt idx="109">
                  <c:v>1.3530591037272715</c:v>
                </c:pt>
                <c:pt idx="110">
                  <c:v>0.98508375291617878</c:v>
                </c:pt>
                <c:pt idx="111">
                  <c:v>1.2121832107334114</c:v>
                </c:pt>
                <c:pt idx="112">
                  <c:v>0.94993877984601438</c:v>
                </c:pt>
                <c:pt idx="113">
                  <c:v>1.3940506960947452</c:v>
                </c:pt>
                <c:pt idx="114">
                  <c:v>1.4604454373528053</c:v>
                </c:pt>
                <c:pt idx="115">
                  <c:v>1.0879292646151721</c:v>
                </c:pt>
                <c:pt idx="116">
                  <c:v>1.099511672686895</c:v>
                </c:pt>
                <c:pt idx="117">
                  <c:v>1.5549193028146699</c:v>
                </c:pt>
                <c:pt idx="118">
                  <c:v>1.066177573233374</c:v>
                </c:pt>
                <c:pt idx="119">
                  <c:v>1.676977781714432</c:v>
                </c:pt>
                <c:pt idx="120">
                  <c:v>1.085175517695939</c:v>
                </c:pt>
                <c:pt idx="121">
                  <c:v>1.327132930109501</c:v>
                </c:pt>
                <c:pt idx="122">
                  <c:v>1.0960517053259571</c:v>
                </c:pt>
                <c:pt idx="123">
                  <c:v>1.2123746121170023</c:v>
                </c:pt>
                <c:pt idx="124">
                  <c:v>1.325810070867135</c:v>
                </c:pt>
                <c:pt idx="125">
                  <c:v>0.89051300180325932</c:v>
                </c:pt>
                <c:pt idx="126">
                  <c:v>1.4158899377768372</c:v>
                </c:pt>
                <c:pt idx="127">
                  <c:v>1.08971818573285</c:v>
                </c:pt>
                <c:pt idx="128">
                  <c:v>1.3834883569132823</c:v>
                </c:pt>
                <c:pt idx="129">
                  <c:v>1.1613686665831682</c:v>
                </c:pt>
                <c:pt idx="130">
                  <c:v>1.3470976313599901</c:v>
                </c:pt>
                <c:pt idx="131">
                  <c:v>1.4480266495732195</c:v>
                </c:pt>
                <c:pt idx="132">
                  <c:v>2.137444489225357</c:v>
                </c:pt>
                <c:pt idx="133">
                  <c:v>1.2783623766584251</c:v>
                </c:pt>
                <c:pt idx="134">
                  <c:v>1.4376383901517891</c:v>
                </c:pt>
                <c:pt idx="135">
                  <c:v>1.2980121403329294</c:v>
                </c:pt>
                <c:pt idx="136">
                  <c:v>2.4772512849863699</c:v>
                </c:pt>
                <c:pt idx="137">
                  <c:v>2.5032182795879043</c:v>
                </c:pt>
                <c:pt idx="138">
                  <c:v>1.1496958567038023</c:v>
                </c:pt>
                <c:pt idx="139">
                  <c:v>1.0155616105585565</c:v>
                </c:pt>
                <c:pt idx="140">
                  <c:v>1.3712468718361366</c:v>
                </c:pt>
                <c:pt idx="141">
                  <c:v>0.6773969671925244</c:v>
                </c:pt>
                <c:pt idx="142">
                  <c:v>0.88086947875987576</c:v>
                </c:pt>
                <c:pt idx="143">
                  <c:v>1.2490921086446241</c:v>
                </c:pt>
                <c:pt idx="144">
                  <c:v>0.86015700533062411</c:v>
                </c:pt>
                <c:pt idx="145">
                  <c:v>1.3735243604164213</c:v>
                </c:pt>
                <c:pt idx="146">
                  <c:v>1.3047954564429862</c:v>
                </c:pt>
                <c:pt idx="147">
                  <c:v>1.3120228562170784</c:v>
                </c:pt>
                <c:pt idx="148">
                  <c:v>0.82933543612103122</c:v>
                </c:pt>
                <c:pt idx="149">
                  <c:v>0.89669723004929791</c:v>
                </c:pt>
                <c:pt idx="150">
                  <c:v>1.405758816311484</c:v>
                </c:pt>
                <c:pt idx="151">
                  <c:v>0.98770988832965423</c:v>
                </c:pt>
                <c:pt idx="152">
                  <c:v>0.91676427599558874</c:v>
                </c:pt>
                <c:pt idx="153">
                  <c:v>1.2211878714437694</c:v>
                </c:pt>
                <c:pt idx="154">
                  <c:v>0.8536087311591446</c:v>
                </c:pt>
                <c:pt idx="155">
                  <c:v>1.5380009760396056</c:v>
                </c:pt>
                <c:pt idx="156">
                  <c:v>1.368231571250613</c:v>
                </c:pt>
                <c:pt idx="157">
                  <c:v>1.1875804167963844</c:v>
                </c:pt>
                <c:pt idx="158">
                  <c:v>1.2598222395057197</c:v>
                </c:pt>
                <c:pt idx="159">
                  <c:v>1.3540876305298664</c:v>
                </c:pt>
                <c:pt idx="160">
                  <c:v>1.2969655123763921</c:v>
                </c:pt>
                <c:pt idx="161">
                  <c:v>1.2840983524179472</c:v>
                </c:pt>
                <c:pt idx="162">
                  <c:v>1.6741983885487828</c:v>
                </c:pt>
                <c:pt idx="163">
                  <c:v>1.9886149364652124</c:v>
                </c:pt>
                <c:pt idx="164">
                  <c:v>1.7490612046742806</c:v>
                </c:pt>
                <c:pt idx="165">
                  <c:v>1.7084818805310933</c:v>
                </c:pt>
                <c:pt idx="166">
                  <c:v>2.1117680338689433</c:v>
                </c:pt>
                <c:pt idx="167">
                  <c:v>2.1161072832536054</c:v>
                </c:pt>
                <c:pt idx="168">
                  <c:v>1.3066748939789545</c:v>
                </c:pt>
                <c:pt idx="169">
                  <c:v>2.2308393728048879</c:v>
                </c:pt>
                <c:pt idx="170">
                  <c:v>1.418561096358864</c:v>
                </c:pt>
                <c:pt idx="171">
                  <c:v>1.2473828124201516</c:v>
                </c:pt>
                <c:pt idx="172">
                  <c:v>1.4956819971499853</c:v>
                </c:pt>
                <c:pt idx="173">
                  <c:v>1.6217447857525504</c:v>
                </c:pt>
                <c:pt idx="174">
                  <c:v>3.6717330366569469</c:v>
                </c:pt>
                <c:pt idx="175">
                  <c:v>3.6561528398960266</c:v>
                </c:pt>
                <c:pt idx="176">
                  <c:v>3.7678109166826239</c:v>
                </c:pt>
                <c:pt idx="177">
                  <c:v>3.7444406215412429</c:v>
                </c:pt>
                <c:pt idx="178">
                  <c:v>3.0790396611328834</c:v>
                </c:pt>
                <c:pt idx="179">
                  <c:v>3.0726604353156195</c:v>
                </c:pt>
                <c:pt idx="180">
                  <c:v>3.0992592497031439</c:v>
                </c:pt>
                <c:pt idx="181">
                  <c:v>3.2779756589925952</c:v>
                </c:pt>
                <c:pt idx="182">
                  <c:v>1.4691556370667194</c:v>
                </c:pt>
                <c:pt idx="183">
                  <c:v>1.5953360225510751</c:v>
                </c:pt>
                <c:pt idx="184">
                  <c:v>1.799506429845696</c:v>
                </c:pt>
                <c:pt idx="185">
                  <c:v>1.356754559997581</c:v>
                </c:pt>
                <c:pt idx="186">
                  <c:v>1.419112376432075</c:v>
                </c:pt>
                <c:pt idx="187">
                  <c:v>1.3703241283774616</c:v>
                </c:pt>
                <c:pt idx="188">
                  <c:v>1.6885510586641708</c:v>
                </c:pt>
                <c:pt idx="189">
                  <c:v>1.5042537753350267</c:v>
                </c:pt>
                <c:pt idx="190">
                  <c:v>1.5358700933690845</c:v>
                </c:pt>
                <c:pt idx="191">
                  <c:v>1.3853708991438167</c:v>
                </c:pt>
                <c:pt idx="192">
                  <c:v>1.3010744184441332</c:v>
                </c:pt>
                <c:pt idx="193">
                  <c:v>1.1002142240916057</c:v>
                </c:pt>
                <c:pt idx="194">
                  <c:v>2.9072970877236819</c:v>
                </c:pt>
                <c:pt idx="195">
                  <c:v>3.0309656951865547</c:v>
                </c:pt>
                <c:pt idx="196">
                  <c:v>3.1459558038801037</c:v>
                </c:pt>
                <c:pt idx="197">
                  <c:v>3.0895455618794947</c:v>
                </c:pt>
                <c:pt idx="198">
                  <c:v>2.7149668974723982</c:v>
                </c:pt>
                <c:pt idx="199">
                  <c:v>2.7074357826389104</c:v>
                </c:pt>
                <c:pt idx="200">
                  <c:v>3.203833724920901</c:v>
                </c:pt>
                <c:pt idx="201">
                  <c:v>3.1622500423555562</c:v>
                </c:pt>
                <c:pt idx="295">
                  <c:v>3.203833724920901</c:v>
                </c:pt>
                <c:pt idx="296">
                  <c:v>3.1622500423555562</c:v>
                </c:pt>
                <c:pt idx="297">
                  <c:v>2.5895293233873948</c:v>
                </c:pt>
                <c:pt idx="298">
                  <c:v>2.7388525471447704</c:v>
                </c:pt>
                <c:pt idx="299">
                  <c:v>2.9072970877236819</c:v>
                </c:pt>
                <c:pt idx="300">
                  <c:v>3.0309656951865547</c:v>
                </c:pt>
                <c:pt idx="301">
                  <c:v>3.1459558038801037</c:v>
                </c:pt>
                <c:pt idx="302">
                  <c:v>3.0895455618794947</c:v>
                </c:pt>
                <c:pt idx="303">
                  <c:v>2.7149668974723982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8C-4EC3-88B8-86DC085B00E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(2)'!$AS$20:$AS$53</c:f>
            </c:numRef>
          </c:xVal>
          <c:yVal>
            <c:numRef>
              <c:f>'headed (2)'!$AS$54:$AS$55</c:f>
            </c:numRef>
          </c:yVal>
          <c:smooth val="0"/>
          <c:extLst>
            <c:ext xmlns:c16="http://schemas.microsoft.com/office/drawing/2014/chart" uri="{C3380CC4-5D6E-409C-BE32-E72D297353CC}">
              <c16:uniqueId val="{00000001-9C8C-4EC3-88B8-86DC085B0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81184"/>
        <c:axId val="131187072"/>
      </c:scatterChart>
      <c:valAx>
        <c:axId val="1311811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7072"/>
        <c:crosses val="autoZero"/>
        <c:crossBetween val="midCat"/>
      </c:valAx>
      <c:valAx>
        <c:axId val="1311870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11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(2)'!$O$20:$O$1282</c:f>
              <c:numCache>
                <c:formatCode>General</c:formatCode>
                <c:ptCount val="1102"/>
                <c:pt idx="0">
                  <c:v>16</c:v>
                </c:pt>
                <c:pt idx="1">
                  <c:v>16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13.921985815602838</c:v>
                </c:pt>
                <c:pt idx="19">
                  <c:v>13.829787234042554</c:v>
                </c:pt>
                <c:pt idx="20">
                  <c:v>13.787234042553195</c:v>
                </c:pt>
                <c:pt idx="21">
                  <c:v>13.744680851063832</c:v>
                </c:pt>
                <c:pt idx="22">
                  <c:v>13.744680851063832</c:v>
                </c:pt>
                <c:pt idx="23">
                  <c:v>13.680851063829788</c:v>
                </c:pt>
                <c:pt idx="24">
                  <c:v>13.652482269503549</c:v>
                </c:pt>
                <c:pt idx="25">
                  <c:v>13.567375886524824</c:v>
                </c:pt>
                <c:pt idx="26">
                  <c:v>8.3595113438045381</c:v>
                </c:pt>
                <c:pt idx="27">
                  <c:v>12.368794326241137</c:v>
                </c:pt>
                <c:pt idx="28">
                  <c:v>12.234042553191491</c:v>
                </c:pt>
                <c:pt idx="29">
                  <c:v>12.148936170212767</c:v>
                </c:pt>
                <c:pt idx="30">
                  <c:v>12.067039106145252</c:v>
                </c:pt>
                <c:pt idx="31">
                  <c:v>12.056737588652483</c:v>
                </c:pt>
                <c:pt idx="32">
                  <c:v>12.014184397163124</c:v>
                </c:pt>
                <c:pt idx="33">
                  <c:v>12.014184397163124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12.000000000000004</c:v>
                </c:pt>
                <c:pt idx="41">
                  <c:v>12.000000000000004</c:v>
                </c:pt>
                <c:pt idx="42">
                  <c:v>11.921985815602838</c:v>
                </c:pt>
                <c:pt idx="43">
                  <c:v>11.921985815602838</c:v>
                </c:pt>
                <c:pt idx="44">
                  <c:v>11.879432624113477</c:v>
                </c:pt>
                <c:pt idx="45">
                  <c:v>11.858156028368795</c:v>
                </c:pt>
                <c:pt idx="46">
                  <c:v>11.744680851063832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15.749999999999998</c:v>
                </c:pt>
                <c:pt idx="54">
                  <c:v>15.28</c:v>
                </c:pt>
                <c:pt idx="55">
                  <c:v>10.581560283687944</c:v>
                </c:pt>
                <c:pt idx="56">
                  <c:v>10.43262411347518</c:v>
                </c:pt>
                <c:pt idx="57">
                  <c:v>10.418439716312058</c:v>
                </c:pt>
                <c:pt idx="58">
                  <c:v>10.418439716312058</c:v>
                </c:pt>
                <c:pt idx="59">
                  <c:v>10.375886524822697</c:v>
                </c:pt>
                <c:pt idx="60">
                  <c:v>10.375886524822697</c:v>
                </c:pt>
                <c:pt idx="61">
                  <c:v>14.58</c:v>
                </c:pt>
                <c:pt idx="62">
                  <c:v>14.58</c:v>
                </c:pt>
                <c:pt idx="63">
                  <c:v>10.312056737588653</c:v>
                </c:pt>
                <c:pt idx="64">
                  <c:v>10.312056737588653</c:v>
                </c:pt>
                <c:pt idx="65">
                  <c:v>14.54</c:v>
                </c:pt>
                <c:pt idx="66">
                  <c:v>14.54</c:v>
                </c:pt>
                <c:pt idx="67">
                  <c:v>10.283687943262413</c:v>
                </c:pt>
                <c:pt idx="68">
                  <c:v>10.283687943262413</c:v>
                </c:pt>
                <c:pt idx="69">
                  <c:v>14.499999999999998</c:v>
                </c:pt>
                <c:pt idx="70">
                  <c:v>14.499999999999998</c:v>
                </c:pt>
                <c:pt idx="71">
                  <c:v>14.42</c:v>
                </c:pt>
                <c:pt idx="72">
                  <c:v>14.42</c:v>
                </c:pt>
                <c:pt idx="73">
                  <c:v>14.38</c:v>
                </c:pt>
                <c:pt idx="74">
                  <c:v>14.38</c:v>
                </c:pt>
                <c:pt idx="75">
                  <c:v>14.38</c:v>
                </c:pt>
                <c:pt idx="76">
                  <c:v>14.38</c:v>
                </c:pt>
                <c:pt idx="77">
                  <c:v>14.35</c:v>
                </c:pt>
                <c:pt idx="78">
                  <c:v>14.299999999999999</c:v>
                </c:pt>
                <c:pt idx="79">
                  <c:v>14.27</c:v>
                </c:pt>
                <c:pt idx="80">
                  <c:v>14.25</c:v>
                </c:pt>
                <c:pt idx="81">
                  <c:v>14.25</c:v>
                </c:pt>
                <c:pt idx="82">
                  <c:v>14.13</c:v>
                </c:pt>
                <c:pt idx="83">
                  <c:v>14.09</c:v>
                </c:pt>
                <c:pt idx="84">
                  <c:v>14.080000000000002</c:v>
                </c:pt>
                <c:pt idx="85">
                  <c:v>14.059999999999999</c:v>
                </c:pt>
                <c:pt idx="86">
                  <c:v>9.9441340782122918</c:v>
                </c:pt>
                <c:pt idx="87">
                  <c:v>12.66</c:v>
                </c:pt>
                <c:pt idx="88">
                  <c:v>12.590000000000002</c:v>
                </c:pt>
                <c:pt idx="89">
                  <c:v>8.9078014184397176</c:v>
                </c:pt>
                <c:pt idx="90">
                  <c:v>12.56</c:v>
                </c:pt>
                <c:pt idx="91">
                  <c:v>8.8652482269503565</c:v>
                </c:pt>
                <c:pt idx="92">
                  <c:v>12.5</c:v>
                </c:pt>
                <c:pt idx="93">
                  <c:v>12.439999999999998</c:v>
                </c:pt>
                <c:pt idx="94">
                  <c:v>12.38</c:v>
                </c:pt>
                <c:pt idx="95">
                  <c:v>12.31</c:v>
                </c:pt>
                <c:pt idx="96">
                  <c:v>12.21</c:v>
                </c:pt>
                <c:pt idx="97">
                  <c:v>12.19</c:v>
                </c:pt>
                <c:pt idx="98">
                  <c:v>12.17</c:v>
                </c:pt>
                <c:pt idx="99">
                  <c:v>12.17</c:v>
                </c:pt>
                <c:pt idx="100">
                  <c:v>8.6028368794326244</c:v>
                </c:pt>
                <c:pt idx="101">
                  <c:v>12.129999999999999</c:v>
                </c:pt>
                <c:pt idx="102">
                  <c:v>8.6028368794326244</c:v>
                </c:pt>
                <c:pt idx="103">
                  <c:v>8.5744680851063837</c:v>
                </c:pt>
                <c:pt idx="104">
                  <c:v>12.06</c:v>
                </c:pt>
                <c:pt idx="105">
                  <c:v>12.06</c:v>
                </c:pt>
                <c:pt idx="106">
                  <c:v>12.04</c:v>
                </c:pt>
                <c:pt idx="107">
                  <c:v>12.03</c:v>
                </c:pt>
                <c:pt idx="108">
                  <c:v>8.5106382978723403</c:v>
                </c:pt>
                <c:pt idx="109">
                  <c:v>8.5106382978723403</c:v>
                </c:pt>
                <c:pt idx="110">
                  <c:v>11.999999999999998</c:v>
                </c:pt>
                <c:pt idx="111">
                  <c:v>11.999999999999998</c:v>
                </c:pt>
                <c:pt idx="112">
                  <c:v>11.97</c:v>
                </c:pt>
                <c:pt idx="113">
                  <c:v>11.95</c:v>
                </c:pt>
                <c:pt idx="114">
                  <c:v>11.9</c:v>
                </c:pt>
                <c:pt idx="115">
                  <c:v>11.88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11.299212598425198</c:v>
                </c:pt>
                <c:pt idx="120">
                  <c:v>11.299212598425198</c:v>
                </c:pt>
                <c:pt idx="121">
                  <c:v>11.25</c:v>
                </c:pt>
                <c:pt idx="122">
                  <c:v>7.9608938547486039</c:v>
                </c:pt>
                <c:pt idx="123">
                  <c:v>7.9608938547486039</c:v>
                </c:pt>
                <c:pt idx="124">
                  <c:v>7.9608938547486039</c:v>
                </c:pt>
                <c:pt idx="125">
                  <c:v>11.13</c:v>
                </c:pt>
                <c:pt idx="126">
                  <c:v>11.06</c:v>
                </c:pt>
                <c:pt idx="127">
                  <c:v>7.8212290502793298</c:v>
                </c:pt>
                <c:pt idx="128">
                  <c:v>7.8212290502793298</c:v>
                </c:pt>
                <c:pt idx="129">
                  <c:v>7.8212290502793298</c:v>
                </c:pt>
                <c:pt idx="130">
                  <c:v>7.8212290502793298</c:v>
                </c:pt>
                <c:pt idx="131">
                  <c:v>7.8212290502793298</c:v>
                </c:pt>
                <c:pt idx="132">
                  <c:v>10.94</c:v>
                </c:pt>
                <c:pt idx="133">
                  <c:v>10.83</c:v>
                </c:pt>
                <c:pt idx="134">
                  <c:v>10.58</c:v>
                </c:pt>
                <c:pt idx="135">
                  <c:v>10.5</c:v>
                </c:pt>
                <c:pt idx="136">
                  <c:v>10.35</c:v>
                </c:pt>
                <c:pt idx="137">
                  <c:v>10.33</c:v>
                </c:pt>
                <c:pt idx="138">
                  <c:v>10.33</c:v>
                </c:pt>
                <c:pt idx="139">
                  <c:v>10.29</c:v>
                </c:pt>
                <c:pt idx="140">
                  <c:v>10.25</c:v>
                </c:pt>
                <c:pt idx="141">
                  <c:v>10.130000000000001</c:v>
                </c:pt>
                <c:pt idx="142">
                  <c:v>10.1</c:v>
                </c:pt>
                <c:pt idx="143">
                  <c:v>10.08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9.94</c:v>
                </c:pt>
                <c:pt idx="148">
                  <c:v>9.92</c:v>
                </c:pt>
                <c:pt idx="149">
                  <c:v>9.92</c:v>
                </c:pt>
                <c:pt idx="150">
                  <c:v>9.9</c:v>
                </c:pt>
                <c:pt idx="151">
                  <c:v>9.8800000000000008</c:v>
                </c:pt>
                <c:pt idx="152">
                  <c:v>9.8800000000000008</c:v>
                </c:pt>
                <c:pt idx="153">
                  <c:v>9.8800000000000008</c:v>
                </c:pt>
                <c:pt idx="154">
                  <c:v>9.8800000000000008</c:v>
                </c:pt>
                <c:pt idx="155">
                  <c:v>9.81</c:v>
                </c:pt>
                <c:pt idx="156">
                  <c:v>9.7899999999999991</c:v>
                </c:pt>
                <c:pt idx="157">
                  <c:v>9.77</c:v>
                </c:pt>
                <c:pt idx="158">
                  <c:v>9.75</c:v>
                </c:pt>
                <c:pt idx="159">
                  <c:v>9.75</c:v>
                </c:pt>
                <c:pt idx="160">
                  <c:v>9.69</c:v>
                </c:pt>
                <c:pt idx="161">
                  <c:v>9.69</c:v>
                </c:pt>
                <c:pt idx="162">
                  <c:v>9.69</c:v>
                </c:pt>
                <c:pt idx="163">
                  <c:v>9.66</c:v>
                </c:pt>
                <c:pt idx="164">
                  <c:v>9.6300000000000008</c:v>
                </c:pt>
                <c:pt idx="165">
                  <c:v>9.6</c:v>
                </c:pt>
                <c:pt idx="166">
                  <c:v>9.58</c:v>
                </c:pt>
                <c:pt idx="167">
                  <c:v>9.58</c:v>
                </c:pt>
                <c:pt idx="168">
                  <c:v>9.56</c:v>
                </c:pt>
                <c:pt idx="169">
                  <c:v>9.56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9.4700000000000006</c:v>
                </c:pt>
                <c:pt idx="177">
                  <c:v>9.4600000000000009</c:v>
                </c:pt>
                <c:pt idx="178">
                  <c:v>9.42</c:v>
                </c:pt>
                <c:pt idx="179">
                  <c:v>9.3800000000000008</c:v>
                </c:pt>
                <c:pt idx="180">
                  <c:v>9.3800000000000008</c:v>
                </c:pt>
                <c:pt idx="181">
                  <c:v>9.3800000000000008</c:v>
                </c:pt>
                <c:pt idx="182">
                  <c:v>9.3800000000000008</c:v>
                </c:pt>
                <c:pt idx="183">
                  <c:v>9.33</c:v>
                </c:pt>
                <c:pt idx="184">
                  <c:v>9.33</c:v>
                </c:pt>
                <c:pt idx="185">
                  <c:v>9.31</c:v>
                </c:pt>
                <c:pt idx="186">
                  <c:v>9.25</c:v>
                </c:pt>
                <c:pt idx="187">
                  <c:v>9.25</c:v>
                </c:pt>
                <c:pt idx="188">
                  <c:v>9.25</c:v>
                </c:pt>
                <c:pt idx="189">
                  <c:v>9.25</c:v>
                </c:pt>
                <c:pt idx="190">
                  <c:v>9.19</c:v>
                </c:pt>
                <c:pt idx="191">
                  <c:v>9.19</c:v>
                </c:pt>
                <c:pt idx="192">
                  <c:v>9.19</c:v>
                </c:pt>
                <c:pt idx="193">
                  <c:v>9.17</c:v>
                </c:pt>
                <c:pt idx="194">
                  <c:v>9.1300000000000008</c:v>
                </c:pt>
                <c:pt idx="195">
                  <c:v>9.06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6.061452513966481</c:v>
                </c:pt>
                <c:pt idx="200">
                  <c:v>8.31</c:v>
                </c:pt>
                <c:pt idx="201">
                  <c:v>8.3070866141732296</c:v>
                </c:pt>
                <c:pt idx="202">
                  <c:v>8.3070866141732296</c:v>
                </c:pt>
                <c:pt idx="203">
                  <c:v>8.3070866141732296</c:v>
                </c:pt>
                <c:pt idx="204">
                  <c:v>8.25</c:v>
                </c:pt>
                <c:pt idx="205">
                  <c:v>8.25</c:v>
                </c:pt>
                <c:pt idx="206">
                  <c:v>5.8379888268156428</c:v>
                </c:pt>
                <c:pt idx="207">
                  <c:v>5.6983240223463696</c:v>
                </c:pt>
                <c:pt idx="208">
                  <c:v>8.0314960629921259</c:v>
                </c:pt>
                <c:pt idx="209">
                  <c:v>8</c:v>
                </c:pt>
                <c:pt idx="210">
                  <c:v>6</c:v>
                </c:pt>
                <c:pt idx="211">
                  <c:v>6</c:v>
                </c:pt>
                <c:pt idx="212">
                  <c:v>7.06</c:v>
                </c:pt>
                <c:pt idx="213">
                  <c:v>7.06</c:v>
                </c:pt>
                <c:pt idx="214">
                  <c:v>7</c:v>
                </c:pt>
                <c:pt idx="215">
                  <c:v>6.3385826771653546</c:v>
                </c:pt>
                <c:pt idx="216">
                  <c:v>6.33</c:v>
                </c:pt>
                <c:pt idx="217">
                  <c:v>6.29</c:v>
                </c:pt>
                <c:pt idx="218">
                  <c:v>6.25</c:v>
                </c:pt>
                <c:pt idx="219">
                  <c:v>6.25</c:v>
                </c:pt>
                <c:pt idx="220">
                  <c:v>6.25</c:v>
                </c:pt>
                <c:pt idx="221">
                  <c:v>9.9519999999999982</c:v>
                </c:pt>
                <c:pt idx="222">
                  <c:v>6.21</c:v>
                </c:pt>
                <c:pt idx="223">
                  <c:v>6.19</c:v>
                </c:pt>
                <c:pt idx="224">
                  <c:v>6.16</c:v>
                </c:pt>
                <c:pt idx="225">
                  <c:v>6.13</c:v>
                </c:pt>
                <c:pt idx="226">
                  <c:v>6.13</c:v>
                </c:pt>
                <c:pt idx="227">
                  <c:v>6.0999999999999988</c:v>
                </c:pt>
                <c:pt idx="228">
                  <c:v>6.09</c:v>
                </c:pt>
                <c:pt idx="229">
                  <c:v>9.695999999999998</c:v>
                </c:pt>
                <c:pt idx="230">
                  <c:v>9.6479999999999997</c:v>
                </c:pt>
                <c:pt idx="231">
                  <c:v>6.03</c:v>
                </c:pt>
                <c:pt idx="232">
                  <c:v>9.5999999999999979</c:v>
                </c:pt>
                <c:pt idx="233">
                  <c:v>9.5999999999999979</c:v>
                </c:pt>
                <c:pt idx="234">
                  <c:v>9.5999999999999979</c:v>
                </c:pt>
                <c:pt idx="235">
                  <c:v>5.9999999999999991</c:v>
                </c:pt>
                <c:pt idx="236">
                  <c:v>9.5039999999999996</c:v>
                </c:pt>
                <c:pt idx="237">
                  <c:v>5.63</c:v>
                </c:pt>
                <c:pt idx="238">
                  <c:v>5.5</c:v>
                </c:pt>
                <c:pt idx="239">
                  <c:v>5.5</c:v>
                </c:pt>
                <c:pt idx="240">
                  <c:v>6</c:v>
                </c:pt>
                <c:pt idx="241">
                  <c:v>6</c:v>
                </c:pt>
                <c:pt idx="242">
                  <c:v>8.3040000000000003</c:v>
                </c:pt>
                <c:pt idx="243">
                  <c:v>8.3040000000000003</c:v>
                </c:pt>
                <c:pt idx="244">
                  <c:v>8.24</c:v>
                </c:pt>
                <c:pt idx="245">
                  <c:v>8.0640000000000001</c:v>
                </c:pt>
                <c:pt idx="246">
                  <c:v>8.048</c:v>
                </c:pt>
                <c:pt idx="247">
                  <c:v>8.0319999999999983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7.056</c:v>
                </c:pt>
                <c:pt idx="257">
                  <c:v>6.7519999999999989</c:v>
                </c:pt>
                <c:pt idx="258">
                  <c:v>6.7039999999999997</c:v>
                </c:pt>
                <c:pt idx="259">
                  <c:v>6.6559999999999997</c:v>
                </c:pt>
                <c:pt idx="260">
                  <c:v>6.6079999999999988</c:v>
                </c:pt>
                <c:pt idx="261">
                  <c:v>6.6079999999999988</c:v>
                </c:pt>
                <c:pt idx="262">
                  <c:v>6.6079999999999988</c:v>
                </c:pt>
                <c:pt idx="263">
                  <c:v>6.5439999999999996</c:v>
                </c:pt>
                <c:pt idx="264">
                  <c:v>6.5439999999999996</c:v>
                </c:pt>
                <c:pt idx="265">
                  <c:v>6.4959999999999987</c:v>
                </c:pt>
                <c:pt idx="266">
                  <c:v>6.4959999999999987</c:v>
                </c:pt>
                <c:pt idx="267">
                  <c:v>6.0960000000000001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91">
                  <c:v>8</c:v>
                </c:pt>
                <c:pt idx="292">
                  <c:v>8.3000000000000007</c:v>
                </c:pt>
                <c:pt idx="293">
                  <c:v>8.5</c:v>
                </c:pt>
                <c:pt idx="294">
                  <c:v>7.5</c:v>
                </c:pt>
                <c:pt idx="295">
                  <c:v>7.4</c:v>
                </c:pt>
                <c:pt idx="296">
                  <c:v>7.4</c:v>
                </c:pt>
                <c:pt idx="297">
                  <c:v>7.1</c:v>
                </c:pt>
                <c:pt idx="298">
                  <c:v>7</c:v>
                </c:pt>
                <c:pt idx="299">
                  <c:v>5.9999999999999991</c:v>
                </c:pt>
                <c:pt idx="300">
                  <c:v>5.9999999999999991</c:v>
                </c:pt>
                <c:pt idx="301">
                  <c:v>6.0999999999999988</c:v>
                </c:pt>
                <c:pt idx="302">
                  <c:v>6.0999999999999988</c:v>
                </c:pt>
                <c:pt idx="303">
                  <c:v>6.3</c:v>
                </c:pt>
                <c:pt idx="304">
                  <c:v>6.3</c:v>
                </c:pt>
                <c:pt idx="305">
                  <c:v>6.4</c:v>
                </c:pt>
                <c:pt idx="306">
                  <c:v>6.5</c:v>
                </c:pt>
                <c:pt idx="307">
                  <c:v>6.5</c:v>
                </c:pt>
                <c:pt idx="308">
                  <c:v>6.5</c:v>
                </c:pt>
                <c:pt idx="309">
                  <c:v>6.6</c:v>
                </c:pt>
                <c:pt idx="310">
                  <c:v>6.5</c:v>
                </c:pt>
                <c:pt idx="311">
                  <c:v>6.5</c:v>
                </c:pt>
                <c:pt idx="312">
                  <c:v>6.4</c:v>
                </c:pt>
                <c:pt idx="313">
                  <c:v>8.4</c:v>
                </c:pt>
                <c:pt idx="314">
                  <c:v>6.5</c:v>
                </c:pt>
                <c:pt idx="315">
                  <c:v>6.3</c:v>
                </c:pt>
                <c:pt idx="316">
                  <c:v>6.8000000000000007</c:v>
                </c:pt>
                <c:pt idx="317">
                  <c:v>5.9999999999999991</c:v>
                </c:pt>
                <c:pt idx="318">
                  <c:v>6.0999999999999988</c:v>
                </c:pt>
                <c:pt idx="319">
                  <c:v>6.8000000000000007</c:v>
                </c:pt>
                <c:pt idx="320">
                  <c:v>6.3</c:v>
                </c:pt>
                <c:pt idx="321">
                  <c:v>6.6</c:v>
                </c:pt>
                <c:pt idx="322">
                  <c:v>6.9</c:v>
                </c:pt>
                <c:pt idx="329">
                  <c:v>20</c:v>
                </c:pt>
                <c:pt idx="330">
                  <c:v>20</c:v>
                </c:pt>
                <c:pt idx="331">
                  <c:v>7</c:v>
                </c:pt>
                <c:pt idx="332">
                  <c:v>7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13</c:v>
                </c:pt>
                <c:pt idx="337">
                  <c:v>13</c:v>
                </c:pt>
                <c:pt idx="338">
                  <c:v>13</c:v>
                </c:pt>
                <c:pt idx="339">
                  <c:v>16</c:v>
                </c:pt>
                <c:pt idx="340">
                  <c:v>7</c:v>
                </c:pt>
                <c:pt idx="341">
                  <c:v>7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16</c:v>
                </c:pt>
                <c:pt idx="349">
                  <c:v>20</c:v>
                </c:pt>
                <c:pt idx="350">
                  <c:v>20</c:v>
                </c:pt>
                <c:pt idx="351">
                  <c:v>7</c:v>
                </c:pt>
                <c:pt idx="352">
                  <c:v>10</c:v>
                </c:pt>
                <c:pt idx="353">
                  <c:v>13</c:v>
                </c:pt>
                <c:pt idx="354">
                  <c:v>7</c:v>
                </c:pt>
                <c:pt idx="355">
                  <c:v>10</c:v>
                </c:pt>
                <c:pt idx="356">
                  <c:v>13</c:v>
                </c:pt>
                <c:pt idx="357">
                  <c:v>16</c:v>
                </c:pt>
                <c:pt idx="358">
                  <c:v>16</c:v>
                </c:pt>
                <c:pt idx="359">
                  <c:v>20</c:v>
                </c:pt>
                <c:pt idx="360">
                  <c:v>20</c:v>
                </c:pt>
                <c:pt idx="361">
                  <c:v>23</c:v>
                </c:pt>
                <c:pt idx="362">
                  <c:v>23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</c:numCache>
            </c:numRef>
          </c:xVal>
          <c:yVal>
            <c:numRef>
              <c:f>'headed (2)'!$DA$20:$DA$1282</c:f>
              <c:numCache>
                <c:formatCode>General</c:formatCode>
                <c:ptCount val="1102"/>
                <c:pt idx="0">
                  <c:v>1.27455209712855</c:v>
                </c:pt>
                <c:pt idx="1">
                  <c:v>1.1755868754691567</c:v>
                </c:pt>
                <c:pt idx="2">
                  <c:v>1.3610023686073467</c:v>
                </c:pt>
                <c:pt idx="3">
                  <c:v>1.2470860052703576</c:v>
                </c:pt>
                <c:pt idx="4">
                  <c:v>1.2470860052703576</c:v>
                </c:pt>
                <c:pt idx="5">
                  <c:v>1.2513422714999494</c:v>
                </c:pt>
                <c:pt idx="6">
                  <c:v>1.3641026017932405</c:v>
                </c:pt>
                <c:pt idx="7">
                  <c:v>1.4569265550499924</c:v>
                </c:pt>
                <c:pt idx="8">
                  <c:v>1.2368593271543291</c:v>
                </c:pt>
                <c:pt idx="9">
                  <c:v>0.83618018255731019</c:v>
                </c:pt>
                <c:pt idx="10">
                  <c:v>0.97651019906997372</c:v>
                </c:pt>
                <c:pt idx="11">
                  <c:v>1.3935634697003241</c:v>
                </c:pt>
                <c:pt idx="12">
                  <c:v>1.2315922030510305</c:v>
                </c:pt>
                <c:pt idx="13">
                  <c:v>1.5278471025630567</c:v>
                </c:pt>
                <c:pt idx="14">
                  <c:v>1.489058878211396</c:v>
                </c:pt>
                <c:pt idx="15">
                  <c:v>1.3655809367192053</c:v>
                </c:pt>
                <c:pt idx="16">
                  <c:v>1.1449507661346809</c:v>
                </c:pt>
                <c:pt idx="17">
                  <c:v>1.2505080698215565</c:v>
                </c:pt>
                <c:pt idx="18">
                  <c:v>1.1997735337343924</c:v>
                </c:pt>
                <c:pt idx="19">
                  <c:v>1.2560274378694603</c:v>
                </c:pt>
                <c:pt idx="20">
                  <c:v>1.2184121174982501</c:v>
                </c:pt>
                <c:pt idx="21">
                  <c:v>1.3173670073694528</c:v>
                </c:pt>
                <c:pt idx="22">
                  <c:v>1.255358081169357</c:v>
                </c:pt>
                <c:pt idx="23">
                  <c:v>1.3090510837932749</c:v>
                </c:pt>
                <c:pt idx="24">
                  <c:v>1.3428672695579413</c:v>
                </c:pt>
                <c:pt idx="25">
                  <c:v>1.265578045451847</c:v>
                </c:pt>
                <c:pt idx="26">
                  <c:v>0.82670842530755007</c:v>
                </c:pt>
                <c:pt idx="27">
                  <c:v>0.96797883882138447</c:v>
                </c:pt>
                <c:pt idx="28">
                  <c:v>1.1377445264616732</c:v>
                </c:pt>
                <c:pt idx="29">
                  <c:v>1.2488912988332597</c:v>
                </c:pt>
                <c:pt idx="30">
                  <c:v>1.5091778057773073</c:v>
                </c:pt>
                <c:pt idx="31">
                  <c:v>1.1608850073852048</c:v>
                </c:pt>
                <c:pt idx="32">
                  <c:v>1.3338607110128451</c:v>
                </c:pt>
                <c:pt idx="33">
                  <c:v>1.1621411039397247</c:v>
                </c:pt>
                <c:pt idx="34">
                  <c:v>1.6096593536070971</c:v>
                </c:pt>
                <c:pt idx="35">
                  <c:v>1.6096593536070971</c:v>
                </c:pt>
                <c:pt idx="36">
                  <c:v>1.3258623595815355</c:v>
                </c:pt>
                <c:pt idx="37">
                  <c:v>1.3258623595815355</c:v>
                </c:pt>
                <c:pt idx="38">
                  <c:v>1.1653373728318932</c:v>
                </c:pt>
                <c:pt idx="39">
                  <c:v>1.1653373728318932</c:v>
                </c:pt>
                <c:pt idx="40">
                  <c:v>1.0526254652208762</c:v>
                </c:pt>
                <c:pt idx="41">
                  <c:v>1.0135027696838101</c:v>
                </c:pt>
                <c:pt idx="42">
                  <c:v>1.3330135927123574</c:v>
                </c:pt>
                <c:pt idx="43">
                  <c:v>1.3088116847320996</c:v>
                </c:pt>
                <c:pt idx="44">
                  <c:v>1.3841922978836163</c:v>
                </c:pt>
                <c:pt idx="45">
                  <c:v>0.9673044426554136</c:v>
                </c:pt>
                <c:pt idx="46">
                  <c:v>0.95053003455679075</c:v>
                </c:pt>
                <c:pt idx="47">
                  <c:v>1.9447556217215154</c:v>
                </c:pt>
                <c:pt idx="48">
                  <c:v>1.9447556217215154</c:v>
                </c:pt>
                <c:pt idx="49">
                  <c:v>1.8117952467104248</c:v>
                </c:pt>
                <c:pt idx="50">
                  <c:v>1.8117952467104248</c:v>
                </c:pt>
                <c:pt idx="51">
                  <c:v>1.5788211461636792</c:v>
                </c:pt>
                <c:pt idx="52">
                  <c:v>1.5788211461636792</c:v>
                </c:pt>
                <c:pt idx="53">
                  <c:v>0.92942217759542134</c:v>
                </c:pt>
                <c:pt idx="54">
                  <c:v>1.1242757318376362</c:v>
                </c:pt>
                <c:pt idx="55">
                  <c:v>0.8346761269586771</c:v>
                </c:pt>
                <c:pt idx="56">
                  <c:v>0.81738841739739598</c:v>
                </c:pt>
                <c:pt idx="57">
                  <c:v>0.71086754061834379</c:v>
                </c:pt>
                <c:pt idx="58">
                  <c:v>1.102942521630832</c:v>
                </c:pt>
                <c:pt idx="59">
                  <c:v>0.61109115495116417</c:v>
                </c:pt>
                <c:pt idx="60">
                  <c:v>0.99472144636362514</c:v>
                </c:pt>
                <c:pt idx="61">
                  <c:v>1.1462553729482183</c:v>
                </c:pt>
                <c:pt idx="62">
                  <c:v>1.2741789583907734</c:v>
                </c:pt>
                <c:pt idx="63">
                  <c:v>0.8900725411588033</c:v>
                </c:pt>
                <c:pt idx="64">
                  <c:v>0.7718247303008392</c:v>
                </c:pt>
                <c:pt idx="65">
                  <c:v>1.1894014660168526</c:v>
                </c:pt>
                <c:pt idx="66">
                  <c:v>1.2104901444923288</c:v>
                </c:pt>
                <c:pt idx="67">
                  <c:v>0.72823307370272738</c:v>
                </c:pt>
                <c:pt idx="68">
                  <c:v>0.83703352176496904</c:v>
                </c:pt>
                <c:pt idx="69">
                  <c:v>1.5219922977142373</c:v>
                </c:pt>
                <c:pt idx="70">
                  <c:v>1.4168183015224551</c:v>
                </c:pt>
                <c:pt idx="71">
                  <c:v>1.2431637729407938</c:v>
                </c:pt>
                <c:pt idx="72">
                  <c:v>1.2857433234217517</c:v>
                </c:pt>
                <c:pt idx="73">
                  <c:v>1.2494913437411292</c:v>
                </c:pt>
                <c:pt idx="74">
                  <c:v>1.1926541092551828</c:v>
                </c:pt>
                <c:pt idx="75">
                  <c:v>1.15289897228001</c:v>
                </c:pt>
                <c:pt idx="76">
                  <c:v>1.3111850107642649</c:v>
                </c:pt>
                <c:pt idx="77">
                  <c:v>1.4915728202248597</c:v>
                </c:pt>
                <c:pt idx="78">
                  <c:v>1.0645811088058519</c:v>
                </c:pt>
                <c:pt idx="79">
                  <c:v>1.3838059891279431</c:v>
                </c:pt>
                <c:pt idx="80">
                  <c:v>1.4565711461993656</c:v>
                </c:pt>
                <c:pt idx="81">
                  <c:v>1.3567777131762069</c:v>
                </c:pt>
                <c:pt idx="82">
                  <c:v>1.0611106737887328</c:v>
                </c:pt>
                <c:pt idx="83">
                  <c:v>1.3404573544493805</c:v>
                </c:pt>
                <c:pt idx="84">
                  <c:v>1.7850791723869082</c:v>
                </c:pt>
                <c:pt idx="85">
                  <c:v>1.3749910064068995</c:v>
                </c:pt>
                <c:pt idx="86">
                  <c:v>1.487260947268513</c:v>
                </c:pt>
                <c:pt idx="87">
                  <c:v>1.2305684841268119</c:v>
                </c:pt>
                <c:pt idx="88">
                  <c:v>1.4145986516145845</c:v>
                </c:pt>
                <c:pt idx="89">
                  <c:v>0.87804597345881741</c:v>
                </c:pt>
                <c:pt idx="90">
                  <c:v>1.3479209893794599</c:v>
                </c:pt>
                <c:pt idx="91">
                  <c:v>0.92343789210776062</c:v>
                </c:pt>
                <c:pt idx="92">
                  <c:v>1.2726513426267121</c:v>
                </c:pt>
                <c:pt idx="93">
                  <c:v>1.400091193706031</c:v>
                </c:pt>
                <c:pt idx="94">
                  <c:v>1.1200335813374223</c:v>
                </c:pt>
                <c:pt idx="95">
                  <c:v>1.3648258889866054</c:v>
                </c:pt>
                <c:pt idx="96">
                  <c:v>1.2147441524469329</c:v>
                </c:pt>
                <c:pt idx="97">
                  <c:v>1.3452828172806048</c:v>
                </c:pt>
                <c:pt idx="98">
                  <c:v>1.2530999155051654</c:v>
                </c:pt>
                <c:pt idx="99">
                  <c:v>0.89354564303152395</c:v>
                </c:pt>
                <c:pt idx="100">
                  <c:v>0.85398182075671547</c:v>
                </c:pt>
                <c:pt idx="101">
                  <c:v>1.6074371142265871</c:v>
                </c:pt>
                <c:pt idx="102">
                  <c:v>0.80994045632785505</c:v>
                </c:pt>
                <c:pt idx="103">
                  <c:v>0.90287337363807318</c:v>
                </c:pt>
                <c:pt idx="104">
                  <c:v>0.9500605438440255</c:v>
                </c:pt>
                <c:pt idx="105">
                  <c:v>1.2442613749021638</c:v>
                </c:pt>
                <c:pt idx="106">
                  <c:v>1.5317584810057567</c:v>
                </c:pt>
                <c:pt idx="107">
                  <c:v>1.2738805592629094</c:v>
                </c:pt>
                <c:pt idx="108">
                  <c:v>0.76825652258018351</c:v>
                </c:pt>
                <c:pt idx="109">
                  <c:v>1.0055163450729336</c:v>
                </c:pt>
                <c:pt idx="110">
                  <c:v>1.1169384460611274</c:v>
                </c:pt>
                <c:pt idx="111">
                  <c:v>1.279120760819896</c:v>
                </c:pt>
                <c:pt idx="112">
                  <c:v>1.2028972243265701</c:v>
                </c:pt>
                <c:pt idx="113">
                  <c:v>1.7624587508377958</c:v>
                </c:pt>
                <c:pt idx="114">
                  <c:v>1.5863282977600779</c:v>
                </c:pt>
                <c:pt idx="115">
                  <c:v>0.93266016758314585</c:v>
                </c:pt>
                <c:pt idx="116">
                  <c:v>1.3838937040210169</c:v>
                </c:pt>
                <c:pt idx="117">
                  <c:v>1.4372631142025567</c:v>
                </c:pt>
                <c:pt idx="118">
                  <c:v>2.0310855779776316</c:v>
                </c:pt>
                <c:pt idx="119">
                  <c:v>1.2471485696372469</c:v>
                </c:pt>
                <c:pt idx="120">
                  <c:v>1.4623838231453203</c:v>
                </c:pt>
                <c:pt idx="121">
                  <c:v>1.0565427698472931</c:v>
                </c:pt>
                <c:pt idx="122">
                  <c:v>1.3945799441927671</c:v>
                </c:pt>
                <c:pt idx="123">
                  <c:v>1.6382270596938808</c:v>
                </c:pt>
                <c:pt idx="124">
                  <c:v>1.9673389851519778</c:v>
                </c:pt>
                <c:pt idx="125">
                  <c:v>1.4018980369375771</c:v>
                </c:pt>
                <c:pt idx="126">
                  <c:v>1.2044626549109341</c:v>
                </c:pt>
                <c:pt idx="127">
                  <c:v>1.5621311103571764</c:v>
                </c:pt>
                <c:pt idx="128">
                  <c:v>1.2451103850199845</c:v>
                </c:pt>
                <c:pt idx="129">
                  <c:v>1.468755792642539</c:v>
                </c:pt>
                <c:pt idx="130">
                  <c:v>1.5581202263866585</c:v>
                </c:pt>
                <c:pt idx="131">
                  <c:v>1.7846087148297018</c:v>
                </c:pt>
                <c:pt idx="132">
                  <c:v>1.4646074726472567</c:v>
                </c:pt>
                <c:pt idx="133">
                  <c:v>1.2064345058631663</c:v>
                </c:pt>
                <c:pt idx="134">
                  <c:v>1.5393668987809279</c:v>
                </c:pt>
                <c:pt idx="135">
                  <c:v>1.4542450707802723</c:v>
                </c:pt>
                <c:pt idx="136">
                  <c:v>1.6111289830132571</c:v>
                </c:pt>
                <c:pt idx="137">
                  <c:v>1.0875170850034528</c:v>
                </c:pt>
                <c:pt idx="138">
                  <c:v>1.3339172849165912</c:v>
                </c:pt>
                <c:pt idx="139">
                  <c:v>1.1703923382083732</c:v>
                </c:pt>
                <c:pt idx="140">
                  <c:v>1.4016929584772584</c:v>
                </c:pt>
                <c:pt idx="141">
                  <c:v>1.0515170046860745</c:v>
                </c:pt>
                <c:pt idx="142">
                  <c:v>1.1226686234334839</c:v>
                </c:pt>
                <c:pt idx="143">
                  <c:v>1.7132857924449365</c:v>
                </c:pt>
                <c:pt idx="144">
                  <c:v>1.130169014844719</c:v>
                </c:pt>
                <c:pt idx="145">
                  <c:v>1.5227273061218662</c:v>
                </c:pt>
                <c:pt idx="146">
                  <c:v>1.500601767058964</c:v>
                </c:pt>
                <c:pt idx="147">
                  <c:v>1.1445892636173558</c:v>
                </c:pt>
                <c:pt idx="148">
                  <c:v>1.0136353606109705</c:v>
                </c:pt>
                <c:pt idx="149">
                  <c:v>1.0553000677007287</c:v>
                </c:pt>
                <c:pt idx="150">
                  <c:v>1.1800386873366524</c:v>
                </c:pt>
                <c:pt idx="151">
                  <c:v>1.3171284334108457</c:v>
                </c:pt>
                <c:pt idx="152">
                  <c:v>1.4674396207834461</c:v>
                </c:pt>
                <c:pt idx="153">
                  <c:v>0.8312726172672158</c:v>
                </c:pt>
                <c:pt idx="154">
                  <c:v>0.74693440629475993</c:v>
                </c:pt>
                <c:pt idx="155">
                  <c:v>0.86489129505352247</c:v>
                </c:pt>
                <c:pt idx="156">
                  <c:v>1.4064662597202062</c:v>
                </c:pt>
                <c:pt idx="157">
                  <c:v>1.5537534775920558</c:v>
                </c:pt>
                <c:pt idx="158">
                  <c:v>0.8275761961520568</c:v>
                </c:pt>
                <c:pt idx="159">
                  <c:v>0.71186072951306811</c:v>
                </c:pt>
                <c:pt idx="160">
                  <c:v>1.0809846369960703</c:v>
                </c:pt>
                <c:pt idx="161">
                  <c:v>1.378337467570502</c:v>
                </c:pt>
                <c:pt idx="162">
                  <c:v>1.213946649650911</c:v>
                </c:pt>
                <c:pt idx="163">
                  <c:v>1.1117656600092876</c:v>
                </c:pt>
                <c:pt idx="164">
                  <c:v>1.0296890870286513</c:v>
                </c:pt>
                <c:pt idx="165">
                  <c:v>1.225964360942069</c:v>
                </c:pt>
                <c:pt idx="166">
                  <c:v>1.1355499502132003</c:v>
                </c:pt>
                <c:pt idx="167">
                  <c:v>1.0909464990682394</c:v>
                </c:pt>
                <c:pt idx="168">
                  <c:v>1.3025245533720942</c:v>
                </c:pt>
                <c:pt idx="169">
                  <c:v>1.2673808375373148</c:v>
                </c:pt>
                <c:pt idx="170">
                  <c:v>0.92589724491094383</c:v>
                </c:pt>
                <c:pt idx="171">
                  <c:v>1.2089329841498877</c:v>
                </c:pt>
                <c:pt idx="172">
                  <c:v>1.1607663213543273</c:v>
                </c:pt>
                <c:pt idx="173">
                  <c:v>1.5517610994655895</c:v>
                </c:pt>
                <c:pt idx="174">
                  <c:v>1.1890280478040305</c:v>
                </c:pt>
                <c:pt idx="175">
                  <c:v>1.1832182811484149</c:v>
                </c:pt>
                <c:pt idx="176">
                  <c:v>0.87280886698648519</c:v>
                </c:pt>
                <c:pt idx="177">
                  <c:v>1.0334238077499565</c:v>
                </c:pt>
                <c:pt idx="178">
                  <c:v>1.1302150740598296</c:v>
                </c:pt>
                <c:pt idx="179">
                  <c:v>1.2226871085348725</c:v>
                </c:pt>
                <c:pt idx="180">
                  <c:v>1.0824061436066807</c:v>
                </c:pt>
                <c:pt idx="181">
                  <c:v>1.1326402982209955</c:v>
                </c:pt>
                <c:pt idx="182">
                  <c:v>1.1020916631669231</c:v>
                </c:pt>
                <c:pt idx="183">
                  <c:v>1.3530591037272715</c:v>
                </c:pt>
                <c:pt idx="184">
                  <c:v>0.98508375291617878</c:v>
                </c:pt>
                <c:pt idx="185">
                  <c:v>1.2121832107334114</c:v>
                </c:pt>
                <c:pt idx="186">
                  <c:v>0.94993877984601438</c:v>
                </c:pt>
                <c:pt idx="187">
                  <c:v>1.3940506960947452</c:v>
                </c:pt>
                <c:pt idx="188">
                  <c:v>1.4604454373528053</c:v>
                </c:pt>
                <c:pt idx="189">
                  <c:v>1.0879292646151721</c:v>
                </c:pt>
                <c:pt idx="190">
                  <c:v>1.099511672686895</c:v>
                </c:pt>
                <c:pt idx="191">
                  <c:v>1.5549193028146699</c:v>
                </c:pt>
                <c:pt idx="192">
                  <c:v>1.066177573233374</c:v>
                </c:pt>
                <c:pt idx="193">
                  <c:v>1.676977781714432</c:v>
                </c:pt>
                <c:pt idx="194">
                  <c:v>1.085175517695939</c:v>
                </c:pt>
                <c:pt idx="195">
                  <c:v>1.327132930109501</c:v>
                </c:pt>
                <c:pt idx="196">
                  <c:v>1.0960517053259571</c:v>
                </c:pt>
                <c:pt idx="197">
                  <c:v>1.2123746121170023</c:v>
                </c:pt>
                <c:pt idx="198">
                  <c:v>1.325810070867135</c:v>
                </c:pt>
                <c:pt idx="199">
                  <c:v>0.89051300180325932</c:v>
                </c:pt>
                <c:pt idx="200">
                  <c:v>1.4158899377768372</c:v>
                </c:pt>
                <c:pt idx="201">
                  <c:v>1.08971818573285</c:v>
                </c:pt>
                <c:pt idx="202">
                  <c:v>1.3834883569132823</c:v>
                </c:pt>
                <c:pt idx="203">
                  <c:v>1.1613686665831682</c:v>
                </c:pt>
                <c:pt idx="204">
                  <c:v>1.3470976313599901</c:v>
                </c:pt>
                <c:pt idx="205">
                  <c:v>1.4480266495732195</c:v>
                </c:pt>
                <c:pt idx="206">
                  <c:v>2.137444489225357</c:v>
                </c:pt>
                <c:pt idx="207">
                  <c:v>1.2783623766584251</c:v>
                </c:pt>
                <c:pt idx="208">
                  <c:v>1.4376383901517891</c:v>
                </c:pt>
                <c:pt idx="209">
                  <c:v>1.2980121403329294</c:v>
                </c:pt>
                <c:pt idx="210">
                  <c:v>2.4772512849863699</c:v>
                </c:pt>
                <c:pt idx="211">
                  <c:v>2.5032182795879043</c:v>
                </c:pt>
                <c:pt idx="212">
                  <c:v>1.1496958567038023</c:v>
                </c:pt>
                <c:pt idx="213">
                  <c:v>1.0155616105585565</c:v>
                </c:pt>
                <c:pt idx="214">
                  <c:v>1.3712468718361366</c:v>
                </c:pt>
                <c:pt idx="215">
                  <c:v>0.6773969671925244</c:v>
                </c:pt>
                <c:pt idx="216">
                  <c:v>0.88086947875987576</c:v>
                </c:pt>
                <c:pt idx="217">
                  <c:v>1.2490921086446241</c:v>
                </c:pt>
                <c:pt idx="218">
                  <c:v>0.86015700533062411</c:v>
                </c:pt>
                <c:pt idx="219">
                  <c:v>1.3735243604164213</c:v>
                </c:pt>
                <c:pt idx="220">
                  <c:v>1.3047954564429862</c:v>
                </c:pt>
                <c:pt idx="221">
                  <c:v>1.3120228562170784</c:v>
                </c:pt>
                <c:pt idx="222">
                  <c:v>0.82933543612103122</c:v>
                </c:pt>
                <c:pt idx="223">
                  <c:v>0.89669723004929791</c:v>
                </c:pt>
                <c:pt idx="224">
                  <c:v>1.405758816311484</c:v>
                </c:pt>
                <c:pt idx="225">
                  <c:v>0.98770988832965423</c:v>
                </c:pt>
                <c:pt idx="226">
                  <c:v>0.91676427599558874</c:v>
                </c:pt>
                <c:pt idx="227">
                  <c:v>1.2211878714437694</c:v>
                </c:pt>
                <c:pt idx="228">
                  <c:v>0.8536087311591446</c:v>
                </c:pt>
                <c:pt idx="229">
                  <c:v>1.5380009760396056</c:v>
                </c:pt>
                <c:pt idx="230">
                  <c:v>1.368231571250613</c:v>
                </c:pt>
                <c:pt idx="231">
                  <c:v>1.1875804167963844</c:v>
                </c:pt>
                <c:pt idx="232">
                  <c:v>1.2598222395057197</c:v>
                </c:pt>
                <c:pt idx="233">
                  <c:v>1.3540876305298664</c:v>
                </c:pt>
                <c:pt idx="234">
                  <c:v>1.2969655123763921</c:v>
                </c:pt>
                <c:pt idx="235">
                  <c:v>1.2840983524179472</c:v>
                </c:pt>
                <c:pt idx="236">
                  <c:v>1.6741983885487828</c:v>
                </c:pt>
                <c:pt idx="237">
                  <c:v>1.9886149364652124</c:v>
                </c:pt>
                <c:pt idx="238">
                  <c:v>1.7490612046742806</c:v>
                </c:pt>
                <c:pt idx="239">
                  <c:v>1.7084818805310933</c:v>
                </c:pt>
                <c:pt idx="240">
                  <c:v>2.1117680338689433</c:v>
                </c:pt>
                <c:pt idx="241">
                  <c:v>2.1161072832536054</c:v>
                </c:pt>
                <c:pt idx="242">
                  <c:v>1.3066748939789545</c:v>
                </c:pt>
                <c:pt idx="243">
                  <c:v>2.2308393728048879</c:v>
                </c:pt>
                <c:pt idx="244">
                  <c:v>1.418561096358864</c:v>
                </c:pt>
                <c:pt idx="245">
                  <c:v>1.2473828124201516</c:v>
                </c:pt>
                <c:pt idx="246">
                  <c:v>1.4956819971499853</c:v>
                </c:pt>
                <c:pt idx="247">
                  <c:v>1.6217447857525504</c:v>
                </c:pt>
                <c:pt idx="248">
                  <c:v>3.6717330366569469</c:v>
                </c:pt>
                <c:pt idx="249">
                  <c:v>3.6561528398960266</c:v>
                </c:pt>
                <c:pt idx="250">
                  <c:v>3.7678109166826239</c:v>
                </c:pt>
                <c:pt idx="251">
                  <c:v>3.7444406215412429</c:v>
                </c:pt>
                <c:pt idx="252">
                  <c:v>3.0790396611328834</c:v>
                </c:pt>
                <c:pt idx="253">
                  <c:v>3.0726604353156195</c:v>
                </c:pt>
                <c:pt idx="254">
                  <c:v>3.0992592497031439</c:v>
                </c:pt>
                <c:pt idx="255">
                  <c:v>3.2779756589925952</c:v>
                </c:pt>
                <c:pt idx="256">
                  <c:v>1.4691556370667194</c:v>
                </c:pt>
                <c:pt idx="257">
                  <c:v>1.5953360225510751</c:v>
                </c:pt>
                <c:pt idx="258">
                  <c:v>1.799506429845696</c:v>
                </c:pt>
                <c:pt idx="259">
                  <c:v>1.356754559997581</c:v>
                </c:pt>
                <c:pt idx="260">
                  <c:v>1.419112376432075</c:v>
                </c:pt>
                <c:pt idx="261">
                  <c:v>1.3703241283774616</c:v>
                </c:pt>
                <c:pt idx="262">
                  <c:v>1.6885510586641708</c:v>
                </c:pt>
                <c:pt idx="263">
                  <c:v>1.5042537753350267</c:v>
                </c:pt>
                <c:pt idx="264">
                  <c:v>1.5358700933690845</c:v>
                </c:pt>
                <c:pt idx="265">
                  <c:v>1.3853708991438167</c:v>
                </c:pt>
                <c:pt idx="266">
                  <c:v>1.3010744184441332</c:v>
                </c:pt>
                <c:pt idx="267">
                  <c:v>1.1002142240916057</c:v>
                </c:pt>
                <c:pt idx="268">
                  <c:v>2.9072970877236819</c:v>
                </c:pt>
                <c:pt idx="269">
                  <c:v>3.0309656951865547</c:v>
                </c:pt>
                <c:pt idx="270">
                  <c:v>3.1459558038801037</c:v>
                </c:pt>
                <c:pt idx="271">
                  <c:v>3.0895455618794947</c:v>
                </c:pt>
                <c:pt idx="272">
                  <c:v>2.7149668974723982</c:v>
                </c:pt>
                <c:pt idx="273">
                  <c:v>2.7074357826389104</c:v>
                </c:pt>
                <c:pt idx="274">
                  <c:v>3.203833724920901</c:v>
                </c:pt>
                <c:pt idx="275">
                  <c:v>3.1622500423555562</c:v>
                </c:pt>
                <c:pt idx="369">
                  <c:v>3.203833724920901</c:v>
                </c:pt>
                <c:pt idx="370">
                  <c:v>3.1622500423555562</c:v>
                </c:pt>
                <c:pt idx="371">
                  <c:v>2.5895293233873948</c:v>
                </c:pt>
                <c:pt idx="372">
                  <c:v>2.7388525471447704</c:v>
                </c:pt>
                <c:pt idx="373">
                  <c:v>2.9072970877236819</c:v>
                </c:pt>
                <c:pt idx="374">
                  <c:v>3.0309656951865547</c:v>
                </c:pt>
                <c:pt idx="375">
                  <c:v>3.1459558038801037</c:v>
                </c:pt>
                <c:pt idx="376">
                  <c:v>3.0895455618794947</c:v>
                </c:pt>
                <c:pt idx="377">
                  <c:v>2.7149668974723982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9F-45A5-9AA5-534842264DE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1-AD9F-45A5-9AA5-534842264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27168"/>
        <c:axId val="131128704"/>
      </c:scatterChart>
      <c:valAx>
        <c:axId val="13112716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8704"/>
        <c:crosses val="autoZero"/>
        <c:crossBetween val="midCat"/>
      </c:valAx>
      <c:valAx>
        <c:axId val="13112870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716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(2)'!$O$53:$O$1282</c:f>
              <c:numCache>
                <c:formatCode>General</c:formatCode>
                <c:ptCount val="1102"/>
                <c:pt idx="0">
                  <c:v>16</c:v>
                </c:pt>
                <c:pt idx="1">
                  <c:v>16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13.921985815602838</c:v>
                </c:pt>
                <c:pt idx="19">
                  <c:v>13.829787234042554</c:v>
                </c:pt>
                <c:pt idx="20">
                  <c:v>13.787234042553195</c:v>
                </c:pt>
                <c:pt idx="21">
                  <c:v>13.744680851063832</c:v>
                </c:pt>
                <c:pt idx="22">
                  <c:v>13.744680851063832</c:v>
                </c:pt>
                <c:pt idx="23">
                  <c:v>13.680851063829788</c:v>
                </c:pt>
                <c:pt idx="24">
                  <c:v>13.652482269503549</c:v>
                </c:pt>
                <c:pt idx="25">
                  <c:v>13.567375886524824</c:v>
                </c:pt>
                <c:pt idx="26">
                  <c:v>8.3595113438045381</c:v>
                </c:pt>
                <c:pt idx="27">
                  <c:v>12.368794326241137</c:v>
                </c:pt>
                <c:pt idx="28">
                  <c:v>12.234042553191491</c:v>
                </c:pt>
                <c:pt idx="29">
                  <c:v>12.148936170212767</c:v>
                </c:pt>
                <c:pt idx="30">
                  <c:v>12.067039106145252</c:v>
                </c:pt>
                <c:pt idx="31">
                  <c:v>12.056737588652483</c:v>
                </c:pt>
                <c:pt idx="32">
                  <c:v>12.014184397163124</c:v>
                </c:pt>
                <c:pt idx="33">
                  <c:v>12.014184397163124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12.000000000000004</c:v>
                </c:pt>
                <c:pt idx="41">
                  <c:v>12.000000000000004</c:v>
                </c:pt>
                <c:pt idx="42">
                  <c:v>11.921985815602838</c:v>
                </c:pt>
                <c:pt idx="43">
                  <c:v>11.921985815602838</c:v>
                </c:pt>
                <c:pt idx="44">
                  <c:v>11.879432624113477</c:v>
                </c:pt>
                <c:pt idx="45">
                  <c:v>11.858156028368795</c:v>
                </c:pt>
                <c:pt idx="46">
                  <c:v>11.744680851063832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15.749999999999998</c:v>
                </c:pt>
                <c:pt idx="54">
                  <c:v>15.28</c:v>
                </c:pt>
                <c:pt idx="55">
                  <c:v>10.581560283687944</c:v>
                </c:pt>
                <c:pt idx="56">
                  <c:v>10.43262411347518</c:v>
                </c:pt>
                <c:pt idx="57">
                  <c:v>10.418439716312058</c:v>
                </c:pt>
                <c:pt idx="58">
                  <c:v>10.418439716312058</c:v>
                </c:pt>
                <c:pt idx="59">
                  <c:v>10.375886524822697</c:v>
                </c:pt>
                <c:pt idx="60">
                  <c:v>10.375886524822697</c:v>
                </c:pt>
                <c:pt idx="61">
                  <c:v>14.58</c:v>
                </c:pt>
                <c:pt idx="62">
                  <c:v>14.58</c:v>
                </c:pt>
                <c:pt idx="63">
                  <c:v>10.312056737588653</c:v>
                </c:pt>
                <c:pt idx="64">
                  <c:v>10.312056737588653</c:v>
                </c:pt>
                <c:pt idx="65">
                  <c:v>14.54</c:v>
                </c:pt>
                <c:pt idx="66">
                  <c:v>14.54</c:v>
                </c:pt>
                <c:pt idx="67">
                  <c:v>10.283687943262413</c:v>
                </c:pt>
                <c:pt idx="68">
                  <c:v>10.283687943262413</c:v>
                </c:pt>
                <c:pt idx="69">
                  <c:v>14.499999999999998</c:v>
                </c:pt>
                <c:pt idx="70">
                  <c:v>14.499999999999998</c:v>
                </c:pt>
                <c:pt idx="71">
                  <c:v>14.42</c:v>
                </c:pt>
                <c:pt idx="72">
                  <c:v>14.42</c:v>
                </c:pt>
                <c:pt idx="73">
                  <c:v>14.38</c:v>
                </c:pt>
                <c:pt idx="74">
                  <c:v>14.38</c:v>
                </c:pt>
                <c:pt idx="75">
                  <c:v>14.38</c:v>
                </c:pt>
                <c:pt idx="76">
                  <c:v>14.38</c:v>
                </c:pt>
                <c:pt idx="77">
                  <c:v>14.35</c:v>
                </c:pt>
                <c:pt idx="78">
                  <c:v>14.299999999999999</c:v>
                </c:pt>
                <c:pt idx="79">
                  <c:v>14.27</c:v>
                </c:pt>
                <c:pt idx="80">
                  <c:v>14.25</c:v>
                </c:pt>
                <c:pt idx="81">
                  <c:v>14.25</c:v>
                </c:pt>
                <c:pt idx="82">
                  <c:v>14.13</c:v>
                </c:pt>
                <c:pt idx="83">
                  <c:v>14.09</c:v>
                </c:pt>
                <c:pt idx="84">
                  <c:v>14.080000000000002</c:v>
                </c:pt>
                <c:pt idx="85">
                  <c:v>14.059999999999999</c:v>
                </c:pt>
                <c:pt idx="86">
                  <c:v>9.9441340782122918</c:v>
                </c:pt>
                <c:pt idx="87">
                  <c:v>12.66</c:v>
                </c:pt>
                <c:pt idx="88">
                  <c:v>12.590000000000002</c:v>
                </c:pt>
                <c:pt idx="89">
                  <c:v>8.9078014184397176</c:v>
                </c:pt>
                <c:pt idx="90">
                  <c:v>12.56</c:v>
                </c:pt>
                <c:pt idx="91">
                  <c:v>8.8652482269503565</c:v>
                </c:pt>
                <c:pt idx="92">
                  <c:v>12.5</c:v>
                </c:pt>
                <c:pt idx="93">
                  <c:v>12.439999999999998</c:v>
                </c:pt>
                <c:pt idx="94">
                  <c:v>12.38</c:v>
                </c:pt>
                <c:pt idx="95">
                  <c:v>12.31</c:v>
                </c:pt>
                <c:pt idx="96">
                  <c:v>12.21</c:v>
                </c:pt>
                <c:pt idx="97">
                  <c:v>12.19</c:v>
                </c:pt>
                <c:pt idx="98">
                  <c:v>12.17</c:v>
                </c:pt>
                <c:pt idx="99">
                  <c:v>12.17</c:v>
                </c:pt>
                <c:pt idx="100">
                  <c:v>8.6028368794326244</c:v>
                </c:pt>
                <c:pt idx="101">
                  <c:v>12.129999999999999</c:v>
                </c:pt>
                <c:pt idx="102">
                  <c:v>8.6028368794326244</c:v>
                </c:pt>
                <c:pt idx="103">
                  <c:v>8.5744680851063837</c:v>
                </c:pt>
                <c:pt idx="104">
                  <c:v>12.06</c:v>
                </c:pt>
                <c:pt idx="105">
                  <c:v>12.06</c:v>
                </c:pt>
                <c:pt idx="106">
                  <c:v>12.04</c:v>
                </c:pt>
                <c:pt idx="107">
                  <c:v>12.03</c:v>
                </c:pt>
                <c:pt idx="108">
                  <c:v>8.5106382978723403</c:v>
                </c:pt>
                <c:pt idx="109">
                  <c:v>8.5106382978723403</c:v>
                </c:pt>
                <c:pt idx="110">
                  <c:v>11.999999999999998</c:v>
                </c:pt>
                <c:pt idx="111">
                  <c:v>11.999999999999998</c:v>
                </c:pt>
                <c:pt idx="112">
                  <c:v>11.97</c:v>
                </c:pt>
                <c:pt idx="113">
                  <c:v>11.95</c:v>
                </c:pt>
                <c:pt idx="114">
                  <c:v>11.9</c:v>
                </c:pt>
                <c:pt idx="115">
                  <c:v>11.88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11.299212598425198</c:v>
                </c:pt>
                <c:pt idx="120">
                  <c:v>11.299212598425198</c:v>
                </c:pt>
                <c:pt idx="121">
                  <c:v>11.25</c:v>
                </c:pt>
                <c:pt idx="122">
                  <c:v>7.9608938547486039</c:v>
                </c:pt>
                <c:pt idx="123">
                  <c:v>7.9608938547486039</c:v>
                </c:pt>
                <c:pt idx="124">
                  <c:v>7.9608938547486039</c:v>
                </c:pt>
                <c:pt idx="125">
                  <c:v>11.13</c:v>
                </c:pt>
                <c:pt idx="126">
                  <c:v>11.06</c:v>
                </c:pt>
                <c:pt idx="127">
                  <c:v>7.8212290502793298</c:v>
                </c:pt>
                <c:pt idx="128">
                  <c:v>7.8212290502793298</c:v>
                </c:pt>
                <c:pt idx="129">
                  <c:v>7.8212290502793298</c:v>
                </c:pt>
                <c:pt idx="130">
                  <c:v>7.8212290502793298</c:v>
                </c:pt>
                <c:pt idx="131">
                  <c:v>7.8212290502793298</c:v>
                </c:pt>
                <c:pt idx="132">
                  <c:v>10.94</c:v>
                </c:pt>
                <c:pt idx="133">
                  <c:v>10.83</c:v>
                </c:pt>
                <c:pt idx="134">
                  <c:v>10.58</c:v>
                </c:pt>
                <c:pt idx="135">
                  <c:v>10.5</c:v>
                </c:pt>
                <c:pt idx="136">
                  <c:v>10.35</c:v>
                </c:pt>
                <c:pt idx="137">
                  <c:v>10.33</c:v>
                </c:pt>
                <c:pt idx="138">
                  <c:v>10.33</c:v>
                </c:pt>
                <c:pt idx="139">
                  <c:v>10.29</c:v>
                </c:pt>
                <c:pt idx="140">
                  <c:v>10.25</c:v>
                </c:pt>
                <c:pt idx="141">
                  <c:v>10.130000000000001</c:v>
                </c:pt>
                <c:pt idx="142">
                  <c:v>10.1</c:v>
                </c:pt>
                <c:pt idx="143">
                  <c:v>10.08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9.94</c:v>
                </c:pt>
                <c:pt idx="148">
                  <c:v>9.92</c:v>
                </c:pt>
                <c:pt idx="149">
                  <c:v>9.92</c:v>
                </c:pt>
                <c:pt idx="150">
                  <c:v>9.9</c:v>
                </c:pt>
                <c:pt idx="151">
                  <c:v>9.8800000000000008</c:v>
                </c:pt>
                <c:pt idx="152">
                  <c:v>9.8800000000000008</c:v>
                </c:pt>
                <c:pt idx="153">
                  <c:v>9.8800000000000008</c:v>
                </c:pt>
                <c:pt idx="154">
                  <c:v>9.8800000000000008</c:v>
                </c:pt>
                <c:pt idx="155">
                  <c:v>9.81</c:v>
                </c:pt>
                <c:pt idx="156">
                  <c:v>9.7899999999999991</c:v>
                </c:pt>
                <c:pt idx="157">
                  <c:v>9.77</c:v>
                </c:pt>
                <c:pt idx="158">
                  <c:v>9.75</c:v>
                </c:pt>
                <c:pt idx="159">
                  <c:v>9.75</c:v>
                </c:pt>
                <c:pt idx="160">
                  <c:v>9.69</c:v>
                </c:pt>
                <c:pt idx="161">
                  <c:v>9.69</c:v>
                </c:pt>
                <c:pt idx="162">
                  <c:v>9.69</c:v>
                </c:pt>
                <c:pt idx="163">
                  <c:v>9.66</c:v>
                </c:pt>
                <c:pt idx="164">
                  <c:v>9.6300000000000008</c:v>
                </c:pt>
                <c:pt idx="165">
                  <c:v>9.6</c:v>
                </c:pt>
                <c:pt idx="166">
                  <c:v>9.58</c:v>
                </c:pt>
                <c:pt idx="167">
                  <c:v>9.58</c:v>
                </c:pt>
                <c:pt idx="168">
                  <c:v>9.56</c:v>
                </c:pt>
                <c:pt idx="169">
                  <c:v>9.56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9.4700000000000006</c:v>
                </c:pt>
                <c:pt idx="177">
                  <c:v>9.4600000000000009</c:v>
                </c:pt>
                <c:pt idx="178">
                  <c:v>9.42</c:v>
                </c:pt>
                <c:pt idx="179">
                  <c:v>9.3800000000000008</c:v>
                </c:pt>
                <c:pt idx="180">
                  <c:v>9.3800000000000008</c:v>
                </c:pt>
                <c:pt idx="181">
                  <c:v>9.3800000000000008</c:v>
                </c:pt>
                <c:pt idx="182">
                  <c:v>9.3800000000000008</c:v>
                </c:pt>
                <c:pt idx="183">
                  <c:v>9.33</c:v>
                </c:pt>
                <c:pt idx="184">
                  <c:v>9.33</c:v>
                </c:pt>
                <c:pt idx="185">
                  <c:v>9.31</c:v>
                </c:pt>
                <c:pt idx="186">
                  <c:v>9.25</c:v>
                </c:pt>
                <c:pt idx="187">
                  <c:v>9.25</c:v>
                </c:pt>
                <c:pt idx="188">
                  <c:v>9.25</c:v>
                </c:pt>
                <c:pt idx="189">
                  <c:v>9.25</c:v>
                </c:pt>
                <c:pt idx="190">
                  <c:v>9.19</c:v>
                </c:pt>
                <c:pt idx="191">
                  <c:v>9.19</c:v>
                </c:pt>
                <c:pt idx="192">
                  <c:v>9.19</c:v>
                </c:pt>
                <c:pt idx="193">
                  <c:v>9.17</c:v>
                </c:pt>
                <c:pt idx="194">
                  <c:v>9.1300000000000008</c:v>
                </c:pt>
                <c:pt idx="195">
                  <c:v>9.06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6.061452513966481</c:v>
                </c:pt>
                <c:pt idx="200">
                  <c:v>8.31</c:v>
                </c:pt>
                <c:pt idx="201">
                  <c:v>8.3070866141732296</c:v>
                </c:pt>
                <c:pt idx="202">
                  <c:v>8.3070866141732296</c:v>
                </c:pt>
                <c:pt idx="203">
                  <c:v>8.3070866141732296</c:v>
                </c:pt>
                <c:pt idx="204">
                  <c:v>8.25</c:v>
                </c:pt>
                <c:pt idx="205">
                  <c:v>8.25</c:v>
                </c:pt>
                <c:pt idx="206">
                  <c:v>5.8379888268156428</c:v>
                </c:pt>
                <c:pt idx="207">
                  <c:v>5.6983240223463696</c:v>
                </c:pt>
                <c:pt idx="208">
                  <c:v>8.0314960629921259</c:v>
                </c:pt>
                <c:pt idx="209">
                  <c:v>8</c:v>
                </c:pt>
                <c:pt idx="210">
                  <c:v>6</c:v>
                </c:pt>
                <c:pt idx="211">
                  <c:v>6</c:v>
                </c:pt>
                <c:pt idx="212">
                  <c:v>7.06</c:v>
                </c:pt>
                <c:pt idx="213">
                  <c:v>7.06</c:v>
                </c:pt>
                <c:pt idx="214">
                  <c:v>7</c:v>
                </c:pt>
                <c:pt idx="215">
                  <c:v>6.3385826771653546</c:v>
                </c:pt>
                <c:pt idx="216">
                  <c:v>6.33</c:v>
                </c:pt>
                <c:pt idx="217">
                  <c:v>6.29</c:v>
                </c:pt>
                <c:pt idx="218">
                  <c:v>6.25</c:v>
                </c:pt>
                <c:pt idx="219">
                  <c:v>6.25</c:v>
                </c:pt>
                <c:pt idx="220">
                  <c:v>6.25</c:v>
                </c:pt>
                <c:pt idx="221">
                  <c:v>9.9519999999999982</c:v>
                </c:pt>
                <c:pt idx="222">
                  <c:v>6.21</c:v>
                </c:pt>
                <c:pt idx="223">
                  <c:v>6.19</c:v>
                </c:pt>
                <c:pt idx="224">
                  <c:v>6.16</c:v>
                </c:pt>
                <c:pt idx="225">
                  <c:v>6.13</c:v>
                </c:pt>
                <c:pt idx="226">
                  <c:v>6.13</c:v>
                </c:pt>
                <c:pt idx="227">
                  <c:v>6.0999999999999988</c:v>
                </c:pt>
                <c:pt idx="228">
                  <c:v>6.09</c:v>
                </c:pt>
                <c:pt idx="229">
                  <c:v>9.695999999999998</c:v>
                </c:pt>
                <c:pt idx="230">
                  <c:v>9.6479999999999997</c:v>
                </c:pt>
                <c:pt idx="231">
                  <c:v>6.03</c:v>
                </c:pt>
                <c:pt idx="232">
                  <c:v>9.5999999999999979</c:v>
                </c:pt>
                <c:pt idx="233">
                  <c:v>9.5999999999999979</c:v>
                </c:pt>
                <c:pt idx="234">
                  <c:v>9.5999999999999979</c:v>
                </c:pt>
                <c:pt idx="235">
                  <c:v>5.9999999999999991</c:v>
                </c:pt>
                <c:pt idx="236">
                  <c:v>9.5039999999999996</c:v>
                </c:pt>
                <c:pt idx="237">
                  <c:v>5.63</c:v>
                </c:pt>
                <c:pt idx="238">
                  <c:v>5.5</c:v>
                </c:pt>
                <c:pt idx="239">
                  <c:v>5.5</c:v>
                </c:pt>
                <c:pt idx="240">
                  <c:v>6</c:v>
                </c:pt>
                <c:pt idx="241">
                  <c:v>6</c:v>
                </c:pt>
                <c:pt idx="242">
                  <c:v>8.3040000000000003</c:v>
                </c:pt>
                <c:pt idx="243">
                  <c:v>8.3040000000000003</c:v>
                </c:pt>
                <c:pt idx="244">
                  <c:v>8.24</c:v>
                </c:pt>
                <c:pt idx="245">
                  <c:v>8.0640000000000001</c:v>
                </c:pt>
                <c:pt idx="246">
                  <c:v>8.048</c:v>
                </c:pt>
                <c:pt idx="247">
                  <c:v>8.0319999999999983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7.056</c:v>
                </c:pt>
                <c:pt idx="257">
                  <c:v>6.7519999999999989</c:v>
                </c:pt>
                <c:pt idx="258">
                  <c:v>6.7039999999999997</c:v>
                </c:pt>
                <c:pt idx="259">
                  <c:v>6.6559999999999997</c:v>
                </c:pt>
                <c:pt idx="260">
                  <c:v>6.6079999999999988</c:v>
                </c:pt>
                <c:pt idx="261">
                  <c:v>6.6079999999999988</c:v>
                </c:pt>
                <c:pt idx="262">
                  <c:v>6.6079999999999988</c:v>
                </c:pt>
                <c:pt idx="263">
                  <c:v>6.5439999999999996</c:v>
                </c:pt>
                <c:pt idx="264">
                  <c:v>6.5439999999999996</c:v>
                </c:pt>
                <c:pt idx="265">
                  <c:v>6.4959999999999987</c:v>
                </c:pt>
                <c:pt idx="266">
                  <c:v>6.4959999999999987</c:v>
                </c:pt>
                <c:pt idx="267">
                  <c:v>6.0960000000000001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91">
                  <c:v>8</c:v>
                </c:pt>
                <c:pt idx="292">
                  <c:v>8.3000000000000007</c:v>
                </c:pt>
                <c:pt idx="293">
                  <c:v>8.5</c:v>
                </c:pt>
                <c:pt idx="294">
                  <c:v>7.5</c:v>
                </c:pt>
                <c:pt idx="295">
                  <c:v>7.4</c:v>
                </c:pt>
                <c:pt idx="296">
                  <c:v>7.4</c:v>
                </c:pt>
                <c:pt idx="297">
                  <c:v>7.1</c:v>
                </c:pt>
                <c:pt idx="298">
                  <c:v>7</c:v>
                </c:pt>
                <c:pt idx="299">
                  <c:v>5.9999999999999991</c:v>
                </c:pt>
                <c:pt idx="300">
                  <c:v>5.9999999999999991</c:v>
                </c:pt>
                <c:pt idx="301">
                  <c:v>6.0999999999999988</c:v>
                </c:pt>
                <c:pt idx="302">
                  <c:v>6.0999999999999988</c:v>
                </c:pt>
                <c:pt idx="303">
                  <c:v>6.3</c:v>
                </c:pt>
                <c:pt idx="304">
                  <c:v>6.3</c:v>
                </c:pt>
                <c:pt idx="305">
                  <c:v>6.4</c:v>
                </c:pt>
                <c:pt idx="306">
                  <c:v>6.5</c:v>
                </c:pt>
                <c:pt idx="307">
                  <c:v>6.5</c:v>
                </c:pt>
                <c:pt idx="308">
                  <c:v>6.5</c:v>
                </c:pt>
                <c:pt idx="309">
                  <c:v>6.6</c:v>
                </c:pt>
                <c:pt idx="310">
                  <c:v>6.5</c:v>
                </c:pt>
                <c:pt idx="311">
                  <c:v>6.5</c:v>
                </c:pt>
                <c:pt idx="312">
                  <c:v>6.4</c:v>
                </c:pt>
                <c:pt idx="313">
                  <c:v>8.4</c:v>
                </c:pt>
                <c:pt idx="314">
                  <c:v>6.5</c:v>
                </c:pt>
                <c:pt idx="315">
                  <c:v>6.3</c:v>
                </c:pt>
                <c:pt idx="316">
                  <c:v>6.8000000000000007</c:v>
                </c:pt>
                <c:pt idx="317">
                  <c:v>5.9999999999999991</c:v>
                </c:pt>
                <c:pt idx="318">
                  <c:v>6.0999999999999988</c:v>
                </c:pt>
                <c:pt idx="319">
                  <c:v>6.8000000000000007</c:v>
                </c:pt>
                <c:pt idx="320">
                  <c:v>6.3</c:v>
                </c:pt>
                <c:pt idx="321">
                  <c:v>6.6</c:v>
                </c:pt>
                <c:pt idx="322">
                  <c:v>6.9</c:v>
                </c:pt>
                <c:pt idx="329">
                  <c:v>20</c:v>
                </c:pt>
                <c:pt idx="330">
                  <c:v>20</c:v>
                </c:pt>
                <c:pt idx="331">
                  <c:v>7</c:v>
                </c:pt>
                <c:pt idx="332">
                  <c:v>7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13</c:v>
                </c:pt>
                <c:pt idx="337">
                  <c:v>13</c:v>
                </c:pt>
                <c:pt idx="338">
                  <c:v>13</c:v>
                </c:pt>
                <c:pt idx="339">
                  <c:v>16</c:v>
                </c:pt>
                <c:pt idx="340">
                  <c:v>7</c:v>
                </c:pt>
                <c:pt idx="341">
                  <c:v>7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16</c:v>
                </c:pt>
                <c:pt idx="349">
                  <c:v>20</c:v>
                </c:pt>
                <c:pt idx="350">
                  <c:v>20</c:v>
                </c:pt>
                <c:pt idx="351">
                  <c:v>7</c:v>
                </c:pt>
                <c:pt idx="352">
                  <c:v>10</c:v>
                </c:pt>
                <c:pt idx="353">
                  <c:v>13</c:v>
                </c:pt>
                <c:pt idx="354">
                  <c:v>7</c:v>
                </c:pt>
                <c:pt idx="355">
                  <c:v>10</c:v>
                </c:pt>
                <c:pt idx="356">
                  <c:v>13</c:v>
                </c:pt>
                <c:pt idx="357">
                  <c:v>16</c:v>
                </c:pt>
                <c:pt idx="358">
                  <c:v>16</c:v>
                </c:pt>
                <c:pt idx="359">
                  <c:v>20</c:v>
                </c:pt>
                <c:pt idx="360">
                  <c:v>20</c:v>
                </c:pt>
                <c:pt idx="361">
                  <c:v>23</c:v>
                </c:pt>
                <c:pt idx="362">
                  <c:v>23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</c:numCache>
            </c:numRef>
          </c:xVal>
          <c:yVal>
            <c:numRef>
              <c:f>'headed (2)'!$CY$53:$CY$1282</c:f>
              <c:numCache>
                <c:formatCode>General</c:formatCode>
                <c:ptCount val="1102"/>
                <c:pt idx="0">
                  <c:v>1.5692649380457224</c:v>
                </c:pt>
                <c:pt idx="1">
                  <c:v>1.5838852696285155</c:v>
                </c:pt>
                <c:pt idx="2">
                  <c:v>1.6446377336345006</c:v>
                </c:pt>
                <c:pt idx="3">
                  <c:v>2.0897350040707581</c:v>
                </c:pt>
                <c:pt idx="4">
                  <c:v>1.9310412434474262</c:v>
                </c:pt>
                <c:pt idx="5">
                  <c:v>2.096867205449839</c:v>
                </c:pt>
                <c:pt idx="6">
                  <c:v>1.794720670111744</c:v>
                </c:pt>
                <c:pt idx="7">
                  <c:v>1.5380197612821445</c:v>
                </c:pt>
                <c:pt idx="8">
                  <c:v>1.4210468912230823</c:v>
                </c:pt>
                <c:pt idx="9">
                  <c:v>1.1019664488447403</c:v>
                </c:pt>
                <c:pt idx="10">
                  <c:v>1.3886226253286234</c:v>
                </c:pt>
                <c:pt idx="11">
                  <c:v>1.5700011264151312</c:v>
                </c:pt>
                <c:pt idx="12">
                  <c:v>1.9957036604518148</c:v>
                </c:pt>
                <c:pt idx="13">
                  <c:v>1.5911627720568966</c:v>
                </c:pt>
                <c:pt idx="14">
                  <c:v>1.5424576588157013</c:v>
                </c:pt>
                <c:pt idx="15">
                  <c:v>1.5409103389183063</c:v>
                </c:pt>
                <c:pt idx="16">
                  <c:v>1.491198292511049</c:v>
                </c:pt>
                <c:pt idx="17">
                  <c:v>1.7548839458286425</c:v>
                </c:pt>
                <c:pt idx="18">
                  <c:v>2.019483679818086</c:v>
                </c:pt>
                <c:pt idx="19">
                  <c:v>1.618747126999279</c:v>
                </c:pt>
                <c:pt idx="20">
                  <c:v>1.7616301001435395</c:v>
                </c:pt>
                <c:pt idx="21">
                  <c:v>1.8607883579121227</c:v>
                </c:pt>
                <c:pt idx="22">
                  <c:v>1.8239555927677222</c:v>
                </c:pt>
                <c:pt idx="23">
                  <c:v>1.6528810129954532</c:v>
                </c:pt>
                <c:pt idx="24">
                  <c:v>1.8554105991258989</c:v>
                </c:pt>
                <c:pt idx="25">
                  <c:v>2.0047597914593944</c:v>
                </c:pt>
                <c:pt idx="26">
                  <c:v>2.5434263085789133</c:v>
                </c:pt>
                <c:pt idx="27">
                  <c:v>1.6522350926872018</c:v>
                </c:pt>
                <c:pt idx="28">
                  <c:v>1.5816026934977176</c:v>
                </c:pt>
                <c:pt idx="29">
                  <c:v>1.5398515478642198</c:v>
                </c:pt>
                <c:pt idx="30">
                  <c:v>1.8483645889323053</c:v>
                </c:pt>
                <c:pt idx="31">
                  <c:v>1.4366977144918935</c:v>
                </c:pt>
                <c:pt idx="32">
                  <c:v>1.6671220701684981</c:v>
                </c:pt>
                <c:pt idx="33">
                  <c:v>1.8427952176594291</c:v>
                </c:pt>
                <c:pt idx="34">
                  <c:v>1.6540735818514851</c:v>
                </c:pt>
                <c:pt idx="35">
                  <c:v>1.6540735818514851</c:v>
                </c:pt>
                <c:pt idx="36">
                  <c:v>1.4874383120901835</c:v>
                </c:pt>
                <c:pt idx="37">
                  <c:v>1.4874383120901835</c:v>
                </c:pt>
                <c:pt idx="38">
                  <c:v>1.6715512745016297</c:v>
                </c:pt>
                <c:pt idx="39">
                  <c:v>1.6715512745016297</c:v>
                </c:pt>
                <c:pt idx="40">
                  <c:v>1.1973043210093592</c:v>
                </c:pt>
                <c:pt idx="41">
                  <c:v>1.1281032287987234</c:v>
                </c:pt>
                <c:pt idx="42">
                  <c:v>1.8834336158062253</c:v>
                </c:pt>
                <c:pt idx="43">
                  <c:v>1.8812925966750933</c:v>
                </c:pt>
                <c:pt idx="44">
                  <c:v>1.7038194945882996</c:v>
                </c:pt>
                <c:pt idx="45">
                  <c:v>1.6135859013275426</c:v>
                </c:pt>
                <c:pt idx="46">
                  <c:v>1.4292915545702025</c:v>
                </c:pt>
                <c:pt idx="47">
                  <c:v>1.97217424829744</c:v>
                </c:pt>
                <c:pt idx="48">
                  <c:v>1.97217424829744</c:v>
                </c:pt>
                <c:pt idx="49">
                  <c:v>1.9952585337426647</c:v>
                </c:pt>
                <c:pt idx="50">
                  <c:v>1.9952585337426647</c:v>
                </c:pt>
                <c:pt idx="51">
                  <c:v>2.502367304628951</c:v>
                </c:pt>
                <c:pt idx="52">
                  <c:v>2.502367304628951</c:v>
                </c:pt>
                <c:pt idx="53">
                  <c:v>1.2751919840719188</c:v>
                </c:pt>
                <c:pt idx="54">
                  <c:v>1.3506140519746308</c:v>
                </c:pt>
                <c:pt idx="55">
                  <c:v>1.0116192816151657</c:v>
                </c:pt>
                <c:pt idx="56">
                  <c:v>1.0732932449490427</c:v>
                </c:pt>
                <c:pt idx="57">
                  <c:v>1.0185169608474394</c:v>
                </c:pt>
                <c:pt idx="58">
                  <c:v>1.2411149415901028</c:v>
                </c:pt>
                <c:pt idx="59">
                  <c:v>0.69063533625701745</c:v>
                </c:pt>
                <c:pt idx="60">
                  <c:v>1.627708019089664</c:v>
                </c:pt>
                <c:pt idx="61">
                  <c:v>1.4354232666084592</c:v>
                </c:pt>
                <c:pt idx="62">
                  <c:v>1.560884934514343</c:v>
                </c:pt>
                <c:pt idx="63">
                  <c:v>1.2523599085817319</c:v>
                </c:pt>
                <c:pt idx="64">
                  <c:v>0.97005999442265467</c:v>
                </c:pt>
                <c:pt idx="65">
                  <c:v>1.5355299544104395</c:v>
                </c:pt>
                <c:pt idx="66">
                  <c:v>1.5872436499070057</c:v>
                </c:pt>
                <c:pt idx="67">
                  <c:v>0.91594080710970804</c:v>
                </c:pt>
                <c:pt idx="68">
                  <c:v>1.2093370725585242</c:v>
                </c:pt>
                <c:pt idx="69">
                  <c:v>1.7312915853777464</c:v>
                </c:pt>
                <c:pt idx="70">
                  <c:v>2.0143868559808893</c:v>
                </c:pt>
                <c:pt idx="71">
                  <c:v>1.6049667825079759</c:v>
                </c:pt>
                <c:pt idx="72">
                  <c:v>1.8564322726263891</c:v>
                </c:pt>
                <c:pt idx="73">
                  <c:v>1.6213066041161099</c:v>
                </c:pt>
                <c:pt idx="74">
                  <c:v>1.7503100546994845</c:v>
                </c:pt>
                <c:pt idx="75">
                  <c:v>1.7225622808684895</c:v>
                </c:pt>
                <c:pt idx="76">
                  <c:v>2.0436666783234134</c:v>
                </c:pt>
                <c:pt idx="77">
                  <c:v>1.678318926344234</c:v>
                </c:pt>
                <c:pt idx="78">
                  <c:v>1.4899632682400843</c:v>
                </c:pt>
                <c:pt idx="79">
                  <c:v>2.0084145966035742</c:v>
                </c:pt>
                <c:pt idx="80">
                  <c:v>1.6429720783454635</c:v>
                </c:pt>
                <c:pt idx="81">
                  <c:v>1.6028554172537091</c:v>
                </c:pt>
                <c:pt idx="82">
                  <c:v>1.4906266830836274</c:v>
                </c:pt>
                <c:pt idx="83">
                  <c:v>2.1389892476287438</c:v>
                </c:pt>
                <c:pt idx="84">
                  <c:v>1.8151122257280927</c:v>
                </c:pt>
                <c:pt idx="85">
                  <c:v>1.5399308845379911</c:v>
                </c:pt>
                <c:pt idx="86">
                  <c:v>1.7137964299552733</c:v>
                </c:pt>
                <c:pt idx="87">
                  <c:v>1.4398870419702952</c:v>
                </c:pt>
                <c:pt idx="88">
                  <c:v>1.5354665759203094</c:v>
                </c:pt>
                <c:pt idx="89">
                  <c:v>1.4696900496732774</c:v>
                </c:pt>
                <c:pt idx="90">
                  <c:v>1.8303996348577347</c:v>
                </c:pt>
                <c:pt idx="91">
                  <c:v>1.3974642339462553</c:v>
                </c:pt>
                <c:pt idx="92">
                  <c:v>1.5139899705847897</c:v>
                </c:pt>
                <c:pt idx="93">
                  <c:v>2.0746404680628681</c:v>
                </c:pt>
                <c:pt idx="94">
                  <c:v>1.6765075296519178</c:v>
                </c:pt>
                <c:pt idx="95">
                  <c:v>1.623611685263433</c:v>
                </c:pt>
                <c:pt idx="96">
                  <c:v>1.3377450555781216</c:v>
                </c:pt>
                <c:pt idx="97">
                  <c:v>1.7265845077744686</c:v>
                </c:pt>
                <c:pt idx="98">
                  <c:v>1.2826380649004223</c:v>
                </c:pt>
                <c:pt idx="99">
                  <c:v>1.0680010435748619</c:v>
                </c:pt>
                <c:pt idx="100">
                  <c:v>1.3131143007808823</c:v>
                </c:pt>
                <c:pt idx="101">
                  <c:v>1.6414242600002831</c:v>
                </c:pt>
                <c:pt idx="102">
                  <c:v>1.085274259902747</c:v>
                </c:pt>
                <c:pt idx="103">
                  <c:v>1.4397576090914905</c:v>
                </c:pt>
                <c:pt idx="104">
                  <c:v>1.1610070301058955</c:v>
                </c:pt>
                <c:pt idx="105">
                  <c:v>1.5779241384977041</c:v>
                </c:pt>
                <c:pt idx="106">
                  <c:v>1.4272035302680499</c:v>
                </c:pt>
                <c:pt idx="107">
                  <c:v>1.0669685458984943</c:v>
                </c:pt>
                <c:pt idx="108">
                  <c:v>1.1056114992723238</c:v>
                </c:pt>
                <c:pt idx="109">
                  <c:v>1.3401047785481524</c:v>
                </c:pt>
                <c:pt idx="110">
                  <c:v>1.0166221143746004</c:v>
                </c:pt>
                <c:pt idx="111">
                  <c:v>1.4934888450846682</c:v>
                </c:pt>
                <c:pt idx="112">
                  <c:v>1.4545506164396904</c:v>
                </c:pt>
                <c:pt idx="113">
                  <c:v>1.5671872526272181</c:v>
                </c:pt>
                <c:pt idx="114">
                  <c:v>1.7214912231681421</c:v>
                </c:pt>
                <c:pt idx="115">
                  <c:v>1.1974991561843304</c:v>
                </c:pt>
                <c:pt idx="116">
                  <c:v>0.96129394656467926</c:v>
                </c:pt>
                <c:pt idx="117">
                  <c:v>1.2785719938235214</c:v>
                </c:pt>
                <c:pt idx="118">
                  <c:v>1.3098915185197448</c:v>
                </c:pt>
                <c:pt idx="119">
                  <c:v>1.0324950798962937</c:v>
                </c:pt>
                <c:pt idx="120">
                  <c:v>1.3582301682762954</c:v>
                </c:pt>
                <c:pt idx="121">
                  <c:v>0.90762534595970545</c:v>
                </c:pt>
                <c:pt idx="122">
                  <c:v>1.1163081599228812</c:v>
                </c:pt>
                <c:pt idx="123">
                  <c:v>1.3187489627900544</c:v>
                </c:pt>
                <c:pt idx="124">
                  <c:v>1.7054171816068107</c:v>
                </c:pt>
                <c:pt idx="125">
                  <c:v>0.99617785069192466</c:v>
                </c:pt>
                <c:pt idx="126">
                  <c:v>1.051317145691999</c:v>
                </c:pt>
                <c:pt idx="127">
                  <c:v>1.2380919937878554</c:v>
                </c:pt>
                <c:pt idx="128">
                  <c:v>0.98516281921633742</c:v>
                </c:pt>
                <c:pt idx="129">
                  <c:v>1.4559039363893846</c:v>
                </c:pt>
                <c:pt idx="130">
                  <c:v>1.5899976895949632</c:v>
                </c:pt>
                <c:pt idx="131">
                  <c:v>1.4957640290850434</c:v>
                </c:pt>
                <c:pt idx="132">
                  <c:v>1.0210557999824699</c:v>
                </c:pt>
                <c:pt idx="133">
                  <c:v>0.98097068748379734</c:v>
                </c:pt>
                <c:pt idx="134">
                  <c:v>1.0355623876435345</c:v>
                </c:pt>
                <c:pt idx="135">
                  <c:v>0.89800579941581282</c:v>
                </c:pt>
                <c:pt idx="136">
                  <c:v>1.026278911927931</c:v>
                </c:pt>
                <c:pt idx="137">
                  <c:v>0.97531366488201143</c:v>
                </c:pt>
                <c:pt idx="138">
                  <c:v>1.2076437156812905</c:v>
                </c:pt>
                <c:pt idx="139">
                  <c:v>1.0909962422431996</c:v>
                </c:pt>
                <c:pt idx="140">
                  <c:v>0.95166687424883689</c:v>
                </c:pt>
                <c:pt idx="141">
                  <c:v>0.9393306132040562</c:v>
                </c:pt>
                <c:pt idx="142">
                  <c:v>0.95884996399514588</c:v>
                </c:pt>
                <c:pt idx="143">
                  <c:v>1.2275313013278444</c:v>
                </c:pt>
                <c:pt idx="144">
                  <c:v>0.85631332847185648</c:v>
                </c:pt>
                <c:pt idx="145">
                  <c:v>1.0122595831277816</c:v>
                </c:pt>
                <c:pt idx="146">
                  <c:v>1.0555684263285166</c:v>
                </c:pt>
                <c:pt idx="147">
                  <c:v>1.0237310466798923</c:v>
                </c:pt>
                <c:pt idx="148">
                  <c:v>0.75738494469674067</c:v>
                </c:pt>
                <c:pt idx="149">
                  <c:v>0.7688185795271586</c:v>
                </c:pt>
                <c:pt idx="150">
                  <c:v>0.73864862864762737</c:v>
                </c:pt>
                <c:pt idx="151">
                  <c:v>0.88210240843168164</c:v>
                </c:pt>
                <c:pt idx="152">
                  <c:v>1.0184221931806774</c:v>
                </c:pt>
                <c:pt idx="153">
                  <c:v>0.63658061415316614</c:v>
                </c:pt>
                <c:pt idx="154">
                  <c:v>0.61800778838527559</c:v>
                </c:pt>
                <c:pt idx="155">
                  <c:v>0.67872485494033818</c:v>
                </c:pt>
                <c:pt idx="156">
                  <c:v>0.94979047422646845</c:v>
                </c:pt>
                <c:pt idx="157">
                  <c:v>0.98660780016235983</c:v>
                </c:pt>
                <c:pt idx="158">
                  <c:v>0.70367808719437008</c:v>
                </c:pt>
                <c:pt idx="159">
                  <c:v>0.65027889870200761</c:v>
                </c:pt>
                <c:pt idx="160">
                  <c:v>0.75449639049580097</c:v>
                </c:pt>
                <c:pt idx="161">
                  <c:v>1.0814969925658282</c:v>
                </c:pt>
                <c:pt idx="162">
                  <c:v>0.95168248490077645</c:v>
                </c:pt>
                <c:pt idx="163">
                  <c:v>0.96051437093285852</c:v>
                </c:pt>
                <c:pt idx="164">
                  <c:v>0.83340478977310528</c:v>
                </c:pt>
                <c:pt idx="165">
                  <c:v>0.93949066396852476</c:v>
                </c:pt>
                <c:pt idx="166">
                  <c:v>0.96079814882500592</c:v>
                </c:pt>
                <c:pt idx="167">
                  <c:v>0.88772695202762453</c:v>
                </c:pt>
                <c:pt idx="168">
                  <c:v>1.1793748514869569</c:v>
                </c:pt>
                <c:pt idx="169">
                  <c:v>1.0114255979953197</c:v>
                </c:pt>
                <c:pt idx="170">
                  <c:v>0.72179535196685451</c:v>
                </c:pt>
                <c:pt idx="171">
                  <c:v>0.94633885858091515</c:v>
                </c:pt>
                <c:pt idx="172">
                  <c:v>0.89214840379637628</c:v>
                </c:pt>
                <c:pt idx="173">
                  <c:v>1.1787643163301271</c:v>
                </c:pt>
                <c:pt idx="174">
                  <c:v>1.0276805768179793</c:v>
                </c:pt>
                <c:pt idx="175">
                  <c:v>0.87833333333333341</c:v>
                </c:pt>
                <c:pt idx="176">
                  <c:v>0.62319362436667958</c:v>
                </c:pt>
                <c:pt idx="177">
                  <c:v>0.87917179348650509</c:v>
                </c:pt>
                <c:pt idx="178">
                  <c:v>0.90958443196571492</c:v>
                </c:pt>
                <c:pt idx="179">
                  <c:v>0.99413885294838056</c:v>
                </c:pt>
                <c:pt idx="180">
                  <c:v>0.81958454427477145</c:v>
                </c:pt>
                <c:pt idx="181">
                  <c:v>0.98277763354811387</c:v>
                </c:pt>
                <c:pt idx="182">
                  <c:v>0.9161935541106252</c:v>
                </c:pt>
                <c:pt idx="183">
                  <c:v>1.2347092535127056</c:v>
                </c:pt>
                <c:pt idx="184">
                  <c:v>0.79497862339968595</c:v>
                </c:pt>
                <c:pt idx="185">
                  <c:v>1.1078590441518625</c:v>
                </c:pt>
                <c:pt idx="186">
                  <c:v>0.77187994815402661</c:v>
                </c:pt>
                <c:pt idx="187">
                  <c:v>1.0612133921380551</c:v>
                </c:pt>
                <c:pt idx="188">
                  <c:v>1.2622199993298189</c:v>
                </c:pt>
                <c:pt idx="189">
                  <c:v>0.89515643202731698</c:v>
                </c:pt>
                <c:pt idx="190">
                  <c:v>0.86504992090891586</c:v>
                </c:pt>
                <c:pt idx="191">
                  <c:v>1.4143463626576895</c:v>
                </c:pt>
                <c:pt idx="192">
                  <c:v>0.81066942187607538</c:v>
                </c:pt>
                <c:pt idx="193">
                  <c:v>1.0750809484919404</c:v>
                </c:pt>
                <c:pt idx="194">
                  <c:v>0.92467198904083814</c:v>
                </c:pt>
                <c:pt idx="195">
                  <c:v>1.0255837865554474</c:v>
                </c:pt>
                <c:pt idx="196">
                  <c:v>0.89753775945612424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2.2278048827998371</c:v>
                </c:pt>
                <c:pt idx="200">
                  <c:v>1.5151167350293466</c:v>
                </c:pt>
                <c:pt idx="201">
                  <c:v>1.4738851451493513</c:v>
                </c:pt>
                <c:pt idx="202">
                  <c:v>1.7031111416982552</c:v>
                </c:pt>
                <c:pt idx="203">
                  <c:v>1.3453438012059822</c:v>
                </c:pt>
                <c:pt idx="204">
                  <c:v>1.731758202447683</c:v>
                </c:pt>
                <c:pt idx="205">
                  <c:v>1.9142631106667445</c:v>
                </c:pt>
                <c:pt idx="206">
                  <c:v>2.5258582854795466</c:v>
                </c:pt>
                <c:pt idx="207">
                  <c:v>1.4842785522928055</c:v>
                </c:pt>
                <c:pt idx="208">
                  <c:v>1.8155625474566859</c:v>
                </c:pt>
                <c:pt idx="209">
                  <c:v>1.6590638296996747</c:v>
                </c:pt>
                <c:pt idx="210">
                  <c:v>2.4380497966331038</c:v>
                </c:pt>
                <c:pt idx="211">
                  <c:v>2.4636058741659457</c:v>
                </c:pt>
                <c:pt idx="212">
                  <c:v>1.3327587691667713</c:v>
                </c:pt>
                <c:pt idx="213">
                  <c:v>1.0824860548652508</c:v>
                </c:pt>
                <c:pt idx="214">
                  <c:v>1.6008115856850342</c:v>
                </c:pt>
                <c:pt idx="215">
                  <c:v>1.6863346843418161</c:v>
                </c:pt>
                <c:pt idx="216">
                  <c:v>1.0788549020126255</c:v>
                </c:pt>
                <c:pt idx="217">
                  <c:v>1.6031941418598026</c:v>
                </c:pt>
                <c:pt idx="218">
                  <c:v>1.0842825744116804</c:v>
                </c:pt>
                <c:pt idx="219">
                  <c:v>1.7894468224730991</c:v>
                </c:pt>
                <c:pt idx="220">
                  <c:v>1.7433677731711112</c:v>
                </c:pt>
                <c:pt idx="221">
                  <c:v>1.697827799212775</c:v>
                </c:pt>
                <c:pt idx="222">
                  <c:v>1.1036377176784957</c:v>
                </c:pt>
                <c:pt idx="223">
                  <c:v>1.1508423840732456</c:v>
                </c:pt>
                <c:pt idx="224">
                  <c:v>2.0370562080807706</c:v>
                </c:pt>
                <c:pt idx="225">
                  <c:v>1.2933704868741975</c:v>
                </c:pt>
                <c:pt idx="226">
                  <c:v>1.3045051452426668</c:v>
                </c:pt>
                <c:pt idx="227">
                  <c:v>1.5531423718553099</c:v>
                </c:pt>
                <c:pt idx="228">
                  <c:v>1.0516411430045192</c:v>
                </c:pt>
                <c:pt idx="229">
                  <c:v>1.9857553822289242</c:v>
                </c:pt>
                <c:pt idx="230">
                  <c:v>1.4853019156950511</c:v>
                </c:pt>
                <c:pt idx="231">
                  <c:v>1.597463993520754</c:v>
                </c:pt>
                <c:pt idx="232">
                  <c:v>1.5052684293177485</c:v>
                </c:pt>
                <c:pt idx="233">
                  <c:v>1.7449699422328022</c:v>
                </c:pt>
                <c:pt idx="234">
                  <c:v>1.291340863422106</c:v>
                </c:pt>
                <c:pt idx="235">
                  <c:v>1.7309716556713737</c:v>
                </c:pt>
                <c:pt idx="236">
                  <c:v>2.356880352834843</c:v>
                </c:pt>
                <c:pt idx="237">
                  <c:v>1.756014516688875</c:v>
                </c:pt>
                <c:pt idx="238">
                  <c:v>2.0624467853963915</c:v>
                </c:pt>
                <c:pt idx="239">
                  <c:v>1.3495646193214026</c:v>
                </c:pt>
                <c:pt idx="240">
                  <c:v>1.8878427439141436</c:v>
                </c:pt>
                <c:pt idx="241">
                  <c:v>1.8917218728399947</c:v>
                </c:pt>
                <c:pt idx="242">
                  <c:v>1.4822802361136755</c:v>
                </c:pt>
                <c:pt idx="243">
                  <c:v>2.226804333961967</c:v>
                </c:pt>
                <c:pt idx="244">
                  <c:v>1.5173231544502177</c:v>
                </c:pt>
                <c:pt idx="245">
                  <c:v>1.351934535422801</c:v>
                </c:pt>
                <c:pt idx="246">
                  <c:v>1.649578283506135</c:v>
                </c:pt>
                <c:pt idx="247">
                  <c:v>1.6706415634065737</c:v>
                </c:pt>
                <c:pt idx="248">
                  <c:v>3.4872822367819616</c:v>
                </c:pt>
                <c:pt idx="249">
                  <c:v>3.4724847166824624</c:v>
                </c:pt>
                <c:pt idx="250">
                  <c:v>3.2763843126979917</c:v>
                </c:pt>
                <c:pt idx="251">
                  <c:v>3.2560621494903539</c:v>
                </c:pt>
                <c:pt idx="252">
                  <c:v>3.3564461639150021</c:v>
                </c:pt>
                <c:pt idx="253">
                  <c:v>3.3494922008682169</c:v>
                </c:pt>
                <c:pt idx="254">
                  <c:v>2.6242898657708054</c:v>
                </c:pt>
                <c:pt idx="255">
                  <c:v>2.7756175295634287</c:v>
                </c:pt>
                <c:pt idx="256">
                  <c:v>1.8113307185544554</c:v>
                </c:pt>
                <c:pt idx="257">
                  <c:v>1.5873395236395706</c:v>
                </c:pt>
                <c:pt idx="258">
                  <c:v>2.3968898250261241</c:v>
                </c:pt>
                <c:pt idx="259">
                  <c:v>1.6104550162570681</c:v>
                </c:pt>
                <c:pt idx="260">
                  <c:v>1.4571988895401744</c:v>
                </c:pt>
                <c:pt idx="261">
                  <c:v>1.3523744146328167</c:v>
                </c:pt>
                <c:pt idx="262">
                  <c:v>1.8581291628547163</c:v>
                </c:pt>
                <c:pt idx="263">
                  <c:v>1.9691110177056528</c:v>
                </c:pt>
                <c:pt idx="264">
                  <c:v>1.6844942416423301</c:v>
                </c:pt>
                <c:pt idx="265">
                  <c:v>1.5312635885804775</c:v>
                </c:pt>
                <c:pt idx="266">
                  <c:v>1.1875713646393697</c:v>
                </c:pt>
                <c:pt idx="267">
                  <c:v>1.2867956956222946</c:v>
                </c:pt>
                <c:pt idx="268">
                  <c:v>2.4281246243137233</c:v>
                </c:pt>
                <c:pt idx="269">
                  <c:v>2.5314105225121426</c:v>
                </c:pt>
                <c:pt idx="270">
                  <c:v>2.426985071922775</c:v>
                </c:pt>
                <c:pt idx="271">
                  <c:v>2.3834667189089873</c:v>
                </c:pt>
                <c:pt idx="272">
                  <c:v>2.4460777087109391</c:v>
                </c:pt>
                <c:pt idx="273">
                  <c:v>2.4392924723483564</c:v>
                </c:pt>
                <c:pt idx="274">
                  <c:v>1</c:v>
                </c:pt>
                <c:pt idx="275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0.98674521354933731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B1-4153-8FA5-30ECA848ABDE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(2)'!$AS$20:$AS$53</c:f>
            </c:numRef>
          </c:xVal>
          <c:yVal>
            <c:numRef>
              <c:f>'headed (2)'!$AS$54:$AS$55</c:f>
            </c:numRef>
          </c:yVal>
          <c:smooth val="0"/>
          <c:extLst>
            <c:ext xmlns:c16="http://schemas.microsoft.com/office/drawing/2014/chart" uri="{C3380CC4-5D6E-409C-BE32-E72D297353CC}">
              <c16:uniqueId val="{00000001-1AB1-4153-8FA5-30ECA848A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54880"/>
        <c:axId val="126556032"/>
      </c:scatterChart>
      <c:valAx>
        <c:axId val="1265548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6032"/>
        <c:crosses val="autoZero"/>
        <c:crossBetween val="midCat"/>
      </c:valAx>
      <c:valAx>
        <c:axId val="12655603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48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(2)'!$P$20:$P$548</c:f>
              <c:numCache>
                <c:formatCode>General</c:formatCode>
                <c:ptCount val="368"/>
                <c:pt idx="0">
                  <c:v>16</c:v>
                </c:pt>
                <c:pt idx="1">
                  <c:v>16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13.921985815602838</c:v>
                </c:pt>
                <c:pt idx="19">
                  <c:v>13.829787234042554</c:v>
                </c:pt>
                <c:pt idx="20">
                  <c:v>13.787234042553195</c:v>
                </c:pt>
                <c:pt idx="21">
                  <c:v>13.744680851063832</c:v>
                </c:pt>
                <c:pt idx="22">
                  <c:v>13.744680851063832</c:v>
                </c:pt>
                <c:pt idx="23">
                  <c:v>13.680851063829788</c:v>
                </c:pt>
                <c:pt idx="24">
                  <c:v>13.652482269503549</c:v>
                </c:pt>
                <c:pt idx="25">
                  <c:v>13.567375886524824</c:v>
                </c:pt>
                <c:pt idx="26">
                  <c:v>8.3595113438045381</c:v>
                </c:pt>
                <c:pt idx="27">
                  <c:v>12.368794326241137</c:v>
                </c:pt>
                <c:pt idx="28">
                  <c:v>12.234042553191491</c:v>
                </c:pt>
                <c:pt idx="29">
                  <c:v>12.148936170212767</c:v>
                </c:pt>
                <c:pt idx="30">
                  <c:v>12.067039106145252</c:v>
                </c:pt>
                <c:pt idx="31">
                  <c:v>12.056737588652483</c:v>
                </c:pt>
                <c:pt idx="32">
                  <c:v>12.014184397163124</c:v>
                </c:pt>
                <c:pt idx="33">
                  <c:v>12.014184397163124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12.000000000000004</c:v>
                </c:pt>
                <c:pt idx="41">
                  <c:v>12.000000000000004</c:v>
                </c:pt>
                <c:pt idx="42">
                  <c:v>11.921985815602838</c:v>
                </c:pt>
                <c:pt idx="43">
                  <c:v>11.921985815602838</c:v>
                </c:pt>
                <c:pt idx="44">
                  <c:v>11.879432624113477</c:v>
                </c:pt>
                <c:pt idx="45">
                  <c:v>11.858156028368795</c:v>
                </c:pt>
                <c:pt idx="46">
                  <c:v>11.744680851063832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15.749999999999998</c:v>
                </c:pt>
                <c:pt idx="54">
                  <c:v>15.28</c:v>
                </c:pt>
                <c:pt idx="55">
                  <c:v>10.581560283687944</c:v>
                </c:pt>
                <c:pt idx="56">
                  <c:v>10.43262411347518</c:v>
                </c:pt>
                <c:pt idx="57">
                  <c:v>10.418439716312058</c:v>
                </c:pt>
                <c:pt idx="58">
                  <c:v>10.418439716312058</c:v>
                </c:pt>
                <c:pt idx="59">
                  <c:v>10.375886524822697</c:v>
                </c:pt>
                <c:pt idx="60">
                  <c:v>10.375886524822697</c:v>
                </c:pt>
                <c:pt idx="61">
                  <c:v>14.58</c:v>
                </c:pt>
                <c:pt idx="62">
                  <c:v>14.58</c:v>
                </c:pt>
                <c:pt idx="63">
                  <c:v>10.312056737588653</c:v>
                </c:pt>
                <c:pt idx="64">
                  <c:v>10.312056737588653</c:v>
                </c:pt>
                <c:pt idx="65">
                  <c:v>14.54</c:v>
                </c:pt>
                <c:pt idx="66">
                  <c:v>14.54</c:v>
                </c:pt>
                <c:pt idx="67">
                  <c:v>10.283687943262413</c:v>
                </c:pt>
                <c:pt idx="68">
                  <c:v>10.283687943262413</c:v>
                </c:pt>
                <c:pt idx="69">
                  <c:v>14.499999999999998</c:v>
                </c:pt>
                <c:pt idx="70">
                  <c:v>14.499999999999998</c:v>
                </c:pt>
                <c:pt idx="71">
                  <c:v>14.42</c:v>
                </c:pt>
                <c:pt idx="72">
                  <c:v>14.42</c:v>
                </c:pt>
                <c:pt idx="73">
                  <c:v>14.38</c:v>
                </c:pt>
                <c:pt idx="74">
                  <c:v>14.38</c:v>
                </c:pt>
                <c:pt idx="75">
                  <c:v>14.38</c:v>
                </c:pt>
                <c:pt idx="76">
                  <c:v>14.38</c:v>
                </c:pt>
                <c:pt idx="77">
                  <c:v>14.35</c:v>
                </c:pt>
                <c:pt idx="78">
                  <c:v>14.299999999999999</c:v>
                </c:pt>
                <c:pt idx="79">
                  <c:v>14.27</c:v>
                </c:pt>
                <c:pt idx="80">
                  <c:v>14.25</c:v>
                </c:pt>
                <c:pt idx="81">
                  <c:v>14.25</c:v>
                </c:pt>
                <c:pt idx="82">
                  <c:v>14.13</c:v>
                </c:pt>
                <c:pt idx="83">
                  <c:v>14.09</c:v>
                </c:pt>
                <c:pt idx="84">
                  <c:v>14.080000000000002</c:v>
                </c:pt>
                <c:pt idx="85">
                  <c:v>14.059999999999999</c:v>
                </c:pt>
                <c:pt idx="86">
                  <c:v>9.9441340782122918</c:v>
                </c:pt>
                <c:pt idx="87">
                  <c:v>12.66</c:v>
                </c:pt>
                <c:pt idx="88">
                  <c:v>12.590000000000002</c:v>
                </c:pt>
                <c:pt idx="89">
                  <c:v>8.9078014184397176</c:v>
                </c:pt>
                <c:pt idx="90">
                  <c:v>12.56</c:v>
                </c:pt>
                <c:pt idx="91">
                  <c:v>8.8652482269503565</c:v>
                </c:pt>
                <c:pt idx="92">
                  <c:v>12.5</c:v>
                </c:pt>
                <c:pt idx="93">
                  <c:v>12.439999999999998</c:v>
                </c:pt>
                <c:pt idx="94">
                  <c:v>12.38</c:v>
                </c:pt>
                <c:pt idx="95">
                  <c:v>12.31</c:v>
                </c:pt>
                <c:pt idx="96">
                  <c:v>12.21</c:v>
                </c:pt>
                <c:pt idx="97">
                  <c:v>12.19</c:v>
                </c:pt>
                <c:pt idx="98">
                  <c:v>12.17</c:v>
                </c:pt>
                <c:pt idx="99">
                  <c:v>12.17</c:v>
                </c:pt>
                <c:pt idx="100">
                  <c:v>8.6028368794326244</c:v>
                </c:pt>
                <c:pt idx="101">
                  <c:v>12.129999999999999</c:v>
                </c:pt>
                <c:pt idx="102">
                  <c:v>8.6028368794326244</c:v>
                </c:pt>
                <c:pt idx="103">
                  <c:v>8.5744680851063837</c:v>
                </c:pt>
                <c:pt idx="104">
                  <c:v>12.06</c:v>
                </c:pt>
                <c:pt idx="105">
                  <c:v>12.06</c:v>
                </c:pt>
                <c:pt idx="106">
                  <c:v>12.04</c:v>
                </c:pt>
                <c:pt idx="107">
                  <c:v>12.03</c:v>
                </c:pt>
                <c:pt idx="108">
                  <c:v>8.5106382978723403</c:v>
                </c:pt>
                <c:pt idx="109">
                  <c:v>8.5106382978723403</c:v>
                </c:pt>
                <c:pt idx="110">
                  <c:v>11.999999999999998</c:v>
                </c:pt>
                <c:pt idx="111">
                  <c:v>11.999999999999998</c:v>
                </c:pt>
                <c:pt idx="112">
                  <c:v>11.97</c:v>
                </c:pt>
                <c:pt idx="113">
                  <c:v>11.95</c:v>
                </c:pt>
                <c:pt idx="114">
                  <c:v>11.9</c:v>
                </c:pt>
                <c:pt idx="115">
                  <c:v>11.88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11.299212598425198</c:v>
                </c:pt>
                <c:pt idx="120">
                  <c:v>11.299212598425198</c:v>
                </c:pt>
                <c:pt idx="121">
                  <c:v>11.25</c:v>
                </c:pt>
                <c:pt idx="122">
                  <c:v>7.9608938547486039</c:v>
                </c:pt>
                <c:pt idx="123">
                  <c:v>7.9608938547486039</c:v>
                </c:pt>
                <c:pt idx="124">
                  <c:v>7.9608938547486039</c:v>
                </c:pt>
                <c:pt idx="125">
                  <c:v>11.13</c:v>
                </c:pt>
                <c:pt idx="126">
                  <c:v>11.06</c:v>
                </c:pt>
                <c:pt idx="127">
                  <c:v>7.8212290502793298</c:v>
                </c:pt>
                <c:pt idx="128">
                  <c:v>7.8212290502793298</c:v>
                </c:pt>
                <c:pt idx="129">
                  <c:v>7.8212290502793298</c:v>
                </c:pt>
                <c:pt idx="130">
                  <c:v>7.8212290502793298</c:v>
                </c:pt>
                <c:pt idx="131">
                  <c:v>7.8212290502793298</c:v>
                </c:pt>
                <c:pt idx="132">
                  <c:v>10.94</c:v>
                </c:pt>
                <c:pt idx="133">
                  <c:v>10.83</c:v>
                </c:pt>
                <c:pt idx="134">
                  <c:v>10.58</c:v>
                </c:pt>
                <c:pt idx="135">
                  <c:v>10.5</c:v>
                </c:pt>
                <c:pt idx="136">
                  <c:v>10.35</c:v>
                </c:pt>
                <c:pt idx="137">
                  <c:v>10.33</c:v>
                </c:pt>
                <c:pt idx="138">
                  <c:v>10.33</c:v>
                </c:pt>
                <c:pt idx="139">
                  <c:v>10.29</c:v>
                </c:pt>
                <c:pt idx="140">
                  <c:v>10.25</c:v>
                </c:pt>
                <c:pt idx="141">
                  <c:v>10.130000000000001</c:v>
                </c:pt>
                <c:pt idx="142">
                  <c:v>10.1</c:v>
                </c:pt>
                <c:pt idx="143">
                  <c:v>10.08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9.94</c:v>
                </c:pt>
                <c:pt idx="148">
                  <c:v>9.92</c:v>
                </c:pt>
                <c:pt idx="149">
                  <c:v>9.92</c:v>
                </c:pt>
                <c:pt idx="150">
                  <c:v>9.9</c:v>
                </c:pt>
                <c:pt idx="151">
                  <c:v>9.8800000000000008</c:v>
                </c:pt>
                <c:pt idx="152">
                  <c:v>9.8800000000000008</c:v>
                </c:pt>
                <c:pt idx="153">
                  <c:v>9.8800000000000008</c:v>
                </c:pt>
                <c:pt idx="154">
                  <c:v>9.8800000000000008</c:v>
                </c:pt>
                <c:pt idx="155">
                  <c:v>9.81</c:v>
                </c:pt>
                <c:pt idx="156">
                  <c:v>9.7899999999999991</c:v>
                </c:pt>
                <c:pt idx="157">
                  <c:v>9.77</c:v>
                </c:pt>
                <c:pt idx="158">
                  <c:v>9.75</c:v>
                </c:pt>
                <c:pt idx="159">
                  <c:v>9.75</c:v>
                </c:pt>
                <c:pt idx="160">
                  <c:v>9.69</c:v>
                </c:pt>
                <c:pt idx="161">
                  <c:v>9.69</c:v>
                </c:pt>
                <c:pt idx="162">
                  <c:v>9.69</c:v>
                </c:pt>
                <c:pt idx="163">
                  <c:v>9.66</c:v>
                </c:pt>
                <c:pt idx="164">
                  <c:v>9.6300000000000008</c:v>
                </c:pt>
                <c:pt idx="165">
                  <c:v>9.6</c:v>
                </c:pt>
                <c:pt idx="166">
                  <c:v>9.58</c:v>
                </c:pt>
                <c:pt idx="167">
                  <c:v>9.58</c:v>
                </c:pt>
                <c:pt idx="168">
                  <c:v>9.56</c:v>
                </c:pt>
                <c:pt idx="169">
                  <c:v>9.56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9.4700000000000006</c:v>
                </c:pt>
                <c:pt idx="177">
                  <c:v>9.4600000000000009</c:v>
                </c:pt>
                <c:pt idx="178">
                  <c:v>9.42</c:v>
                </c:pt>
                <c:pt idx="179">
                  <c:v>9.3800000000000008</c:v>
                </c:pt>
                <c:pt idx="180">
                  <c:v>9.3800000000000008</c:v>
                </c:pt>
                <c:pt idx="181">
                  <c:v>9.3800000000000008</c:v>
                </c:pt>
                <c:pt idx="182">
                  <c:v>9.3800000000000008</c:v>
                </c:pt>
                <c:pt idx="183">
                  <c:v>9.33</c:v>
                </c:pt>
                <c:pt idx="184">
                  <c:v>9.33</c:v>
                </c:pt>
                <c:pt idx="185">
                  <c:v>9.31</c:v>
                </c:pt>
                <c:pt idx="186">
                  <c:v>9.25</c:v>
                </c:pt>
                <c:pt idx="187">
                  <c:v>9.25</c:v>
                </c:pt>
                <c:pt idx="188">
                  <c:v>9.25</c:v>
                </c:pt>
                <c:pt idx="189">
                  <c:v>9.25</c:v>
                </c:pt>
                <c:pt idx="190">
                  <c:v>9.19</c:v>
                </c:pt>
                <c:pt idx="191">
                  <c:v>9.19</c:v>
                </c:pt>
                <c:pt idx="192">
                  <c:v>9.19</c:v>
                </c:pt>
                <c:pt idx="193">
                  <c:v>9.17</c:v>
                </c:pt>
                <c:pt idx="194">
                  <c:v>9.1300000000000008</c:v>
                </c:pt>
                <c:pt idx="195">
                  <c:v>9.06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6.061452513966481</c:v>
                </c:pt>
                <c:pt idx="200">
                  <c:v>8.31</c:v>
                </c:pt>
                <c:pt idx="201">
                  <c:v>8.3070866141732296</c:v>
                </c:pt>
                <c:pt idx="202">
                  <c:v>8.3070866141732296</c:v>
                </c:pt>
                <c:pt idx="203">
                  <c:v>8.3070866141732296</c:v>
                </c:pt>
                <c:pt idx="204">
                  <c:v>8.25</c:v>
                </c:pt>
                <c:pt idx="205">
                  <c:v>8.25</c:v>
                </c:pt>
                <c:pt idx="206">
                  <c:v>5.8379888268156428</c:v>
                </c:pt>
                <c:pt idx="207">
                  <c:v>5.6983240223463696</c:v>
                </c:pt>
                <c:pt idx="208">
                  <c:v>8.0314960629921259</c:v>
                </c:pt>
                <c:pt idx="209">
                  <c:v>8</c:v>
                </c:pt>
                <c:pt idx="210">
                  <c:v>6</c:v>
                </c:pt>
                <c:pt idx="211">
                  <c:v>6</c:v>
                </c:pt>
                <c:pt idx="212">
                  <c:v>7.06</c:v>
                </c:pt>
                <c:pt idx="213">
                  <c:v>7.06</c:v>
                </c:pt>
                <c:pt idx="214">
                  <c:v>7</c:v>
                </c:pt>
                <c:pt idx="215">
                  <c:v>6.3385826771653546</c:v>
                </c:pt>
                <c:pt idx="216">
                  <c:v>6.33</c:v>
                </c:pt>
                <c:pt idx="217">
                  <c:v>6.29</c:v>
                </c:pt>
                <c:pt idx="218">
                  <c:v>6.25</c:v>
                </c:pt>
                <c:pt idx="219">
                  <c:v>6.25</c:v>
                </c:pt>
                <c:pt idx="220">
                  <c:v>6.25</c:v>
                </c:pt>
                <c:pt idx="221">
                  <c:v>9.9519999999999982</c:v>
                </c:pt>
                <c:pt idx="222">
                  <c:v>6.21</c:v>
                </c:pt>
                <c:pt idx="223">
                  <c:v>6.19</c:v>
                </c:pt>
                <c:pt idx="224">
                  <c:v>6.16</c:v>
                </c:pt>
                <c:pt idx="225">
                  <c:v>6.13</c:v>
                </c:pt>
                <c:pt idx="226">
                  <c:v>6.13</c:v>
                </c:pt>
                <c:pt idx="227">
                  <c:v>6.0999999999999988</c:v>
                </c:pt>
                <c:pt idx="228">
                  <c:v>6.09</c:v>
                </c:pt>
                <c:pt idx="229">
                  <c:v>9.695999999999998</c:v>
                </c:pt>
                <c:pt idx="230">
                  <c:v>9.6479999999999997</c:v>
                </c:pt>
                <c:pt idx="231">
                  <c:v>6.03</c:v>
                </c:pt>
                <c:pt idx="232">
                  <c:v>9.5999999999999979</c:v>
                </c:pt>
                <c:pt idx="233">
                  <c:v>9.5999999999999979</c:v>
                </c:pt>
                <c:pt idx="234">
                  <c:v>9.5999999999999979</c:v>
                </c:pt>
                <c:pt idx="235">
                  <c:v>5.9999999999999991</c:v>
                </c:pt>
                <c:pt idx="236">
                  <c:v>9.5039999999999996</c:v>
                </c:pt>
                <c:pt idx="237">
                  <c:v>5.63</c:v>
                </c:pt>
                <c:pt idx="238">
                  <c:v>5.5</c:v>
                </c:pt>
                <c:pt idx="239">
                  <c:v>5.5</c:v>
                </c:pt>
                <c:pt idx="240">
                  <c:v>6</c:v>
                </c:pt>
                <c:pt idx="241">
                  <c:v>6</c:v>
                </c:pt>
                <c:pt idx="242">
                  <c:v>8.3040000000000003</c:v>
                </c:pt>
                <c:pt idx="243">
                  <c:v>8.3040000000000003</c:v>
                </c:pt>
                <c:pt idx="244">
                  <c:v>8.24</c:v>
                </c:pt>
                <c:pt idx="245">
                  <c:v>8.0640000000000001</c:v>
                </c:pt>
                <c:pt idx="246">
                  <c:v>8.048</c:v>
                </c:pt>
                <c:pt idx="247">
                  <c:v>8.0319999999999983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7.056</c:v>
                </c:pt>
                <c:pt idx="257">
                  <c:v>6.7519999999999989</c:v>
                </c:pt>
                <c:pt idx="258">
                  <c:v>6.7039999999999997</c:v>
                </c:pt>
                <c:pt idx="259">
                  <c:v>6.6559999999999997</c:v>
                </c:pt>
                <c:pt idx="260">
                  <c:v>6.6079999999999988</c:v>
                </c:pt>
                <c:pt idx="261">
                  <c:v>6.6079999999999988</c:v>
                </c:pt>
                <c:pt idx="262">
                  <c:v>6.6079999999999988</c:v>
                </c:pt>
                <c:pt idx="263">
                  <c:v>6.5439999999999996</c:v>
                </c:pt>
                <c:pt idx="264">
                  <c:v>6.5439999999999996</c:v>
                </c:pt>
                <c:pt idx="265">
                  <c:v>6.4959999999999987</c:v>
                </c:pt>
                <c:pt idx="266">
                  <c:v>6.4959999999999987</c:v>
                </c:pt>
                <c:pt idx="267">
                  <c:v>6.0960000000000001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91">
                  <c:v>8</c:v>
                </c:pt>
                <c:pt idx="292">
                  <c:v>8.3000000000000007</c:v>
                </c:pt>
                <c:pt idx="293">
                  <c:v>8.5</c:v>
                </c:pt>
                <c:pt idx="294">
                  <c:v>7.5</c:v>
                </c:pt>
                <c:pt idx="295">
                  <c:v>7.4</c:v>
                </c:pt>
                <c:pt idx="296">
                  <c:v>7.4</c:v>
                </c:pt>
                <c:pt idx="297">
                  <c:v>7.1</c:v>
                </c:pt>
                <c:pt idx="298">
                  <c:v>7</c:v>
                </c:pt>
                <c:pt idx="299">
                  <c:v>5.9999999999999991</c:v>
                </c:pt>
                <c:pt idx="300">
                  <c:v>5.9999999999999991</c:v>
                </c:pt>
                <c:pt idx="301">
                  <c:v>6.0999999999999988</c:v>
                </c:pt>
                <c:pt idx="302">
                  <c:v>6.0999999999999988</c:v>
                </c:pt>
                <c:pt idx="303">
                  <c:v>6.3</c:v>
                </c:pt>
                <c:pt idx="304">
                  <c:v>6.3</c:v>
                </c:pt>
                <c:pt idx="305">
                  <c:v>6.4</c:v>
                </c:pt>
                <c:pt idx="306">
                  <c:v>6.5</c:v>
                </c:pt>
                <c:pt idx="307">
                  <c:v>6.5</c:v>
                </c:pt>
                <c:pt idx="308">
                  <c:v>6.5</c:v>
                </c:pt>
                <c:pt idx="309">
                  <c:v>6.6</c:v>
                </c:pt>
                <c:pt idx="310">
                  <c:v>6.5</c:v>
                </c:pt>
                <c:pt idx="311">
                  <c:v>6.5</c:v>
                </c:pt>
                <c:pt idx="312">
                  <c:v>6.4</c:v>
                </c:pt>
                <c:pt idx="313">
                  <c:v>8.4</c:v>
                </c:pt>
                <c:pt idx="314">
                  <c:v>6.5</c:v>
                </c:pt>
                <c:pt idx="315">
                  <c:v>6.3</c:v>
                </c:pt>
                <c:pt idx="316">
                  <c:v>6.8000000000000007</c:v>
                </c:pt>
                <c:pt idx="317">
                  <c:v>5.9999999999999991</c:v>
                </c:pt>
                <c:pt idx="318">
                  <c:v>6.0999999999999988</c:v>
                </c:pt>
                <c:pt idx="319">
                  <c:v>6.8000000000000007</c:v>
                </c:pt>
                <c:pt idx="320">
                  <c:v>6.3</c:v>
                </c:pt>
                <c:pt idx="321">
                  <c:v>6.6</c:v>
                </c:pt>
                <c:pt idx="322">
                  <c:v>6.9</c:v>
                </c:pt>
                <c:pt idx="329">
                  <c:v>20</c:v>
                </c:pt>
                <c:pt idx="330">
                  <c:v>20</c:v>
                </c:pt>
                <c:pt idx="331">
                  <c:v>7</c:v>
                </c:pt>
                <c:pt idx="332">
                  <c:v>7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13</c:v>
                </c:pt>
                <c:pt idx="337">
                  <c:v>13</c:v>
                </c:pt>
                <c:pt idx="338">
                  <c:v>13</c:v>
                </c:pt>
                <c:pt idx="339">
                  <c:v>16</c:v>
                </c:pt>
                <c:pt idx="340">
                  <c:v>7</c:v>
                </c:pt>
                <c:pt idx="341">
                  <c:v>7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16</c:v>
                </c:pt>
                <c:pt idx="349">
                  <c:v>20</c:v>
                </c:pt>
                <c:pt idx="350">
                  <c:v>20</c:v>
                </c:pt>
                <c:pt idx="351">
                  <c:v>7</c:v>
                </c:pt>
                <c:pt idx="352">
                  <c:v>10</c:v>
                </c:pt>
                <c:pt idx="353">
                  <c:v>13</c:v>
                </c:pt>
                <c:pt idx="354">
                  <c:v>7</c:v>
                </c:pt>
                <c:pt idx="355">
                  <c:v>10</c:v>
                </c:pt>
                <c:pt idx="356">
                  <c:v>13</c:v>
                </c:pt>
                <c:pt idx="357">
                  <c:v>16</c:v>
                </c:pt>
                <c:pt idx="358">
                  <c:v>16</c:v>
                </c:pt>
                <c:pt idx="359">
                  <c:v>20</c:v>
                </c:pt>
                <c:pt idx="360">
                  <c:v>20</c:v>
                </c:pt>
                <c:pt idx="361">
                  <c:v>23</c:v>
                </c:pt>
                <c:pt idx="362">
                  <c:v>23</c:v>
                </c:pt>
              </c:numCache>
            </c:numRef>
          </c:xVal>
          <c:yVal>
            <c:numRef>
              <c:f>'headed (2)'!$CY$20:$CY$541</c:f>
              <c:numCache>
                <c:formatCode>General</c:formatCode>
                <c:ptCount val="361"/>
                <c:pt idx="0">
                  <c:v>1.5692649380457224</c:v>
                </c:pt>
                <c:pt idx="1">
                  <c:v>1.5838852696285155</c:v>
                </c:pt>
                <c:pt idx="2">
                  <c:v>1.6446377336345006</c:v>
                </c:pt>
                <c:pt idx="3">
                  <c:v>2.0897350040707581</c:v>
                </c:pt>
                <c:pt idx="4">
                  <c:v>1.9310412434474262</c:v>
                </c:pt>
                <c:pt idx="5">
                  <c:v>2.096867205449839</c:v>
                </c:pt>
                <c:pt idx="6">
                  <c:v>1.794720670111744</c:v>
                </c:pt>
                <c:pt idx="7">
                  <c:v>1.5380197612821445</c:v>
                </c:pt>
                <c:pt idx="8">
                  <c:v>1.4210468912230823</c:v>
                </c:pt>
                <c:pt idx="9">
                  <c:v>1.1019664488447403</c:v>
                </c:pt>
                <c:pt idx="10">
                  <c:v>1.3886226253286234</c:v>
                </c:pt>
                <c:pt idx="11">
                  <c:v>1.5700011264151312</c:v>
                </c:pt>
                <c:pt idx="12">
                  <c:v>1.9957036604518148</c:v>
                </c:pt>
                <c:pt idx="13">
                  <c:v>1.5911627720568966</c:v>
                </c:pt>
                <c:pt idx="14">
                  <c:v>1.5424576588157013</c:v>
                </c:pt>
                <c:pt idx="15">
                  <c:v>1.5409103389183063</c:v>
                </c:pt>
                <c:pt idx="16">
                  <c:v>1.491198292511049</c:v>
                </c:pt>
                <c:pt idx="17">
                  <c:v>1.7548839458286425</c:v>
                </c:pt>
                <c:pt idx="18">
                  <c:v>2.019483679818086</c:v>
                </c:pt>
                <c:pt idx="19">
                  <c:v>1.618747126999279</c:v>
                </c:pt>
                <c:pt idx="20">
                  <c:v>1.7616301001435395</c:v>
                </c:pt>
                <c:pt idx="21">
                  <c:v>1.8607883579121227</c:v>
                </c:pt>
                <c:pt idx="22">
                  <c:v>1.8239555927677222</c:v>
                </c:pt>
                <c:pt idx="23">
                  <c:v>1.6528810129954532</c:v>
                </c:pt>
                <c:pt idx="24">
                  <c:v>1.8554105991258989</c:v>
                </c:pt>
                <c:pt idx="25">
                  <c:v>2.0047597914593944</c:v>
                </c:pt>
                <c:pt idx="26">
                  <c:v>2.5434263085789133</c:v>
                </c:pt>
                <c:pt idx="27">
                  <c:v>1.6522350926872018</c:v>
                </c:pt>
                <c:pt idx="28">
                  <c:v>1.5816026934977176</c:v>
                </c:pt>
                <c:pt idx="29">
                  <c:v>1.5398515478642198</c:v>
                </c:pt>
                <c:pt idx="30">
                  <c:v>1.8483645889323053</c:v>
                </c:pt>
                <c:pt idx="31">
                  <c:v>1.4366977144918935</c:v>
                </c:pt>
                <c:pt idx="32">
                  <c:v>1.6671220701684981</c:v>
                </c:pt>
                <c:pt idx="33">
                  <c:v>1.8427952176594291</c:v>
                </c:pt>
                <c:pt idx="34">
                  <c:v>1.6540735818514851</c:v>
                </c:pt>
                <c:pt idx="35">
                  <c:v>1.6540735818514851</c:v>
                </c:pt>
                <c:pt idx="36">
                  <c:v>1.4874383120901835</c:v>
                </c:pt>
                <c:pt idx="37">
                  <c:v>1.4874383120901835</c:v>
                </c:pt>
                <c:pt idx="38">
                  <c:v>1.6715512745016297</c:v>
                </c:pt>
                <c:pt idx="39">
                  <c:v>1.6715512745016297</c:v>
                </c:pt>
                <c:pt idx="40">
                  <c:v>1.1973043210093592</c:v>
                </c:pt>
                <c:pt idx="41">
                  <c:v>1.1281032287987234</c:v>
                </c:pt>
                <c:pt idx="42">
                  <c:v>1.8834336158062253</c:v>
                </c:pt>
                <c:pt idx="43">
                  <c:v>1.8812925966750933</c:v>
                </c:pt>
                <c:pt idx="44">
                  <c:v>1.7038194945882996</c:v>
                </c:pt>
                <c:pt idx="45">
                  <c:v>1.6135859013275426</c:v>
                </c:pt>
                <c:pt idx="46">
                  <c:v>1.4292915545702025</c:v>
                </c:pt>
                <c:pt idx="47">
                  <c:v>1.97217424829744</c:v>
                </c:pt>
                <c:pt idx="48">
                  <c:v>1.97217424829744</c:v>
                </c:pt>
                <c:pt idx="49">
                  <c:v>1.9952585337426647</c:v>
                </c:pt>
                <c:pt idx="50">
                  <c:v>1.9952585337426647</c:v>
                </c:pt>
                <c:pt idx="51">
                  <c:v>2.502367304628951</c:v>
                </c:pt>
                <c:pt idx="52">
                  <c:v>2.502367304628951</c:v>
                </c:pt>
                <c:pt idx="53">
                  <c:v>1.2751919840719188</c:v>
                </c:pt>
                <c:pt idx="54">
                  <c:v>1.3506140519746308</c:v>
                </c:pt>
                <c:pt idx="55">
                  <c:v>1.0116192816151657</c:v>
                </c:pt>
                <c:pt idx="56">
                  <c:v>1.0732932449490427</c:v>
                </c:pt>
                <c:pt idx="57">
                  <c:v>1.0185169608474394</c:v>
                </c:pt>
                <c:pt idx="58">
                  <c:v>1.2411149415901028</c:v>
                </c:pt>
                <c:pt idx="59">
                  <c:v>0.69063533625701745</c:v>
                </c:pt>
                <c:pt idx="60">
                  <c:v>1.627708019089664</c:v>
                </c:pt>
                <c:pt idx="61">
                  <c:v>1.4354232666084592</c:v>
                </c:pt>
                <c:pt idx="62">
                  <c:v>1.560884934514343</c:v>
                </c:pt>
                <c:pt idx="63">
                  <c:v>1.2523599085817319</c:v>
                </c:pt>
                <c:pt idx="64">
                  <c:v>0.97005999442265467</c:v>
                </c:pt>
                <c:pt idx="65">
                  <c:v>1.5355299544104395</c:v>
                </c:pt>
                <c:pt idx="66">
                  <c:v>1.5872436499070057</c:v>
                </c:pt>
                <c:pt idx="67">
                  <c:v>0.91594080710970804</c:v>
                </c:pt>
                <c:pt idx="68">
                  <c:v>1.2093370725585242</c:v>
                </c:pt>
                <c:pt idx="69">
                  <c:v>1.7312915853777464</c:v>
                </c:pt>
                <c:pt idx="70">
                  <c:v>2.0143868559808893</c:v>
                </c:pt>
                <c:pt idx="71">
                  <c:v>1.6049667825079759</c:v>
                </c:pt>
                <c:pt idx="72">
                  <c:v>1.8564322726263891</c:v>
                </c:pt>
                <c:pt idx="73">
                  <c:v>1.6213066041161099</c:v>
                </c:pt>
                <c:pt idx="74">
                  <c:v>1.7503100546994845</c:v>
                </c:pt>
                <c:pt idx="75">
                  <c:v>1.7225622808684895</c:v>
                </c:pt>
                <c:pt idx="76">
                  <c:v>2.0436666783234134</c:v>
                </c:pt>
                <c:pt idx="77">
                  <c:v>1.678318926344234</c:v>
                </c:pt>
                <c:pt idx="78">
                  <c:v>1.4899632682400843</c:v>
                </c:pt>
                <c:pt idx="79">
                  <c:v>2.0084145966035742</c:v>
                </c:pt>
                <c:pt idx="80">
                  <c:v>1.6429720783454635</c:v>
                </c:pt>
                <c:pt idx="81">
                  <c:v>1.6028554172537091</c:v>
                </c:pt>
                <c:pt idx="82">
                  <c:v>1.4906266830836274</c:v>
                </c:pt>
                <c:pt idx="83">
                  <c:v>2.1389892476287438</c:v>
                </c:pt>
                <c:pt idx="84">
                  <c:v>1.8151122257280927</c:v>
                </c:pt>
                <c:pt idx="85">
                  <c:v>1.5399308845379911</c:v>
                </c:pt>
                <c:pt idx="86">
                  <c:v>1.7137964299552733</c:v>
                </c:pt>
                <c:pt idx="87">
                  <c:v>1.4398870419702952</c:v>
                </c:pt>
                <c:pt idx="88">
                  <c:v>1.5354665759203094</c:v>
                </c:pt>
                <c:pt idx="89">
                  <c:v>1.4696900496732774</c:v>
                </c:pt>
                <c:pt idx="90">
                  <c:v>1.8303996348577347</c:v>
                </c:pt>
                <c:pt idx="91">
                  <c:v>1.3974642339462553</c:v>
                </c:pt>
                <c:pt idx="92">
                  <c:v>1.5139899705847897</c:v>
                </c:pt>
                <c:pt idx="93">
                  <c:v>2.0746404680628681</c:v>
                </c:pt>
                <c:pt idx="94">
                  <c:v>1.6765075296519178</c:v>
                </c:pt>
                <c:pt idx="95">
                  <c:v>1.623611685263433</c:v>
                </c:pt>
                <c:pt idx="96">
                  <c:v>1.3377450555781216</c:v>
                </c:pt>
                <c:pt idx="97">
                  <c:v>1.7265845077744686</c:v>
                </c:pt>
                <c:pt idx="98">
                  <c:v>1.2826380649004223</c:v>
                </c:pt>
                <c:pt idx="99">
                  <c:v>1.0680010435748619</c:v>
                </c:pt>
                <c:pt idx="100">
                  <c:v>1.3131143007808823</c:v>
                </c:pt>
                <c:pt idx="101">
                  <c:v>1.6414242600002831</c:v>
                </c:pt>
                <c:pt idx="102">
                  <c:v>1.085274259902747</c:v>
                </c:pt>
                <c:pt idx="103">
                  <c:v>1.4397576090914905</c:v>
                </c:pt>
                <c:pt idx="104">
                  <c:v>1.1610070301058955</c:v>
                </c:pt>
                <c:pt idx="105">
                  <c:v>1.5779241384977041</c:v>
                </c:pt>
                <c:pt idx="106">
                  <c:v>1.4272035302680499</c:v>
                </c:pt>
                <c:pt idx="107">
                  <c:v>1.0669685458984943</c:v>
                </c:pt>
                <c:pt idx="108">
                  <c:v>1.1056114992723238</c:v>
                </c:pt>
                <c:pt idx="109">
                  <c:v>1.3401047785481524</c:v>
                </c:pt>
                <c:pt idx="110">
                  <c:v>1.0166221143746004</c:v>
                </c:pt>
                <c:pt idx="111">
                  <c:v>1.4934888450846682</c:v>
                </c:pt>
                <c:pt idx="112">
                  <c:v>1.4545506164396904</c:v>
                </c:pt>
                <c:pt idx="113">
                  <c:v>1.5671872526272181</c:v>
                </c:pt>
                <c:pt idx="114">
                  <c:v>1.7214912231681421</c:v>
                </c:pt>
                <c:pt idx="115">
                  <c:v>1.1974991561843304</c:v>
                </c:pt>
                <c:pt idx="116">
                  <c:v>0.96129394656467926</c:v>
                </c:pt>
                <c:pt idx="117">
                  <c:v>1.2785719938235214</c:v>
                </c:pt>
                <c:pt idx="118">
                  <c:v>1.3098915185197448</c:v>
                </c:pt>
                <c:pt idx="119">
                  <c:v>1.0324950798962937</c:v>
                </c:pt>
                <c:pt idx="120">
                  <c:v>1.3582301682762954</c:v>
                </c:pt>
                <c:pt idx="121">
                  <c:v>0.90762534595970545</c:v>
                </c:pt>
                <c:pt idx="122">
                  <c:v>1.1163081599228812</c:v>
                </c:pt>
                <c:pt idx="123">
                  <c:v>1.3187489627900544</c:v>
                </c:pt>
                <c:pt idx="124">
                  <c:v>1.7054171816068107</c:v>
                </c:pt>
                <c:pt idx="125">
                  <c:v>0.99617785069192466</c:v>
                </c:pt>
                <c:pt idx="126">
                  <c:v>1.051317145691999</c:v>
                </c:pt>
                <c:pt idx="127">
                  <c:v>1.2380919937878554</c:v>
                </c:pt>
                <c:pt idx="128">
                  <c:v>0.98516281921633742</c:v>
                </c:pt>
                <c:pt idx="129">
                  <c:v>1.4559039363893846</c:v>
                </c:pt>
                <c:pt idx="130">
                  <c:v>1.5899976895949632</c:v>
                </c:pt>
                <c:pt idx="131">
                  <c:v>1.4957640290850434</c:v>
                </c:pt>
                <c:pt idx="132">
                  <c:v>1.0210557999824699</c:v>
                </c:pt>
                <c:pt idx="133">
                  <c:v>0.98097068748379734</c:v>
                </c:pt>
                <c:pt idx="134">
                  <c:v>1.0355623876435345</c:v>
                </c:pt>
                <c:pt idx="135">
                  <c:v>0.89800579941581282</c:v>
                </c:pt>
                <c:pt idx="136">
                  <c:v>1.026278911927931</c:v>
                </c:pt>
                <c:pt idx="137">
                  <c:v>0.97531366488201143</c:v>
                </c:pt>
                <c:pt idx="138">
                  <c:v>1.2076437156812905</c:v>
                </c:pt>
                <c:pt idx="139">
                  <c:v>1.0909962422431996</c:v>
                </c:pt>
                <c:pt idx="140">
                  <c:v>0.95166687424883689</c:v>
                </c:pt>
                <c:pt idx="141">
                  <c:v>0.9393306132040562</c:v>
                </c:pt>
                <c:pt idx="142">
                  <c:v>0.95884996399514588</c:v>
                </c:pt>
                <c:pt idx="143">
                  <c:v>1.2275313013278444</c:v>
                </c:pt>
                <c:pt idx="144">
                  <c:v>0.85631332847185648</c:v>
                </c:pt>
                <c:pt idx="145">
                  <c:v>1.0122595831277816</c:v>
                </c:pt>
                <c:pt idx="146">
                  <c:v>1.0555684263285166</c:v>
                </c:pt>
                <c:pt idx="147">
                  <c:v>1.0237310466798923</c:v>
                </c:pt>
                <c:pt idx="148">
                  <c:v>0.75738494469674067</c:v>
                </c:pt>
                <c:pt idx="149">
                  <c:v>0.7688185795271586</c:v>
                </c:pt>
                <c:pt idx="150">
                  <c:v>0.73864862864762737</c:v>
                </c:pt>
                <c:pt idx="151">
                  <c:v>0.88210240843168164</c:v>
                </c:pt>
                <c:pt idx="152">
                  <c:v>1.0184221931806774</c:v>
                </c:pt>
                <c:pt idx="153">
                  <c:v>0.63658061415316614</c:v>
                </c:pt>
                <c:pt idx="154">
                  <c:v>0.61800778838527559</c:v>
                </c:pt>
                <c:pt idx="155">
                  <c:v>0.67872485494033818</c:v>
                </c:pt>
                <c:pt idx="156">
                  <c:v>0.94979047422646845</c:v>
                </c:pt>
                <c:pt idx="157">
                  <c:v>0.98660780016235983</c:v>
                </c:pt>
                <c:pt idx="158">
                  <c:v>0.70367808719437008</c:v>
                </c:pt>
                <c:pt idx="159">
                  <c:v>0.65027889870200761</c:v>
                </c:pt>
                <c:pt idx="160">
                  <c:v>0.75449639049580097</c:v>
                </c:pt>
                <c:pt idx="161">
                  <c:v>1.0814969925658282</c:v>
                </c:pt>
                <c:pt idx="162">
                  <c:v>0.95168248490077645</c:v>
                </c:pt>
                <c:pt idx="163">
                  <c:v>0.96051437093285852</c:v>
                </c:pt>
                <c:pt idx="164">
                  <c:v>0.83340478977310528</c:v>
                </c:pt>
                <c:pt idx="165">
                  <c:v>0.93949066396852476</c:v>
                </c:pt>
                <c:pt idx="166">
                  <c:v>0.96079814882500592</c:v>
                </c:pt>
                <c:pt idx="167">
                  <c:v>0.88772695202762453</c:v>
                </c:pt>
                <c:pt idx="168">
                  <c:v>1.1793748514869569</c:v>
                </c:pt>
                <c:pt idx="169">
                  <c:v>1.0114255979953197</c:v>
                </c:pt>
                <c:pt idx="170">
                  <c:v>0.72179535196685451</c:v>
                </c:pt>
                <c:pt idx="171">
                  <c:v>0.94633885858091515</c:v>
                </c:pt>
                <c:pt idx="172">
                  <c:v>0.89214840379637628</c:v>
                </c:pt>
                <c:pt idx="173">
                  <c:v>1.1787643163301271</c:v>
                </c:pt>
                <c:pt idx="174">
                  <c:v>1.0276805768179793</c:v>
                </c:pt>
                <c:pt idx="175">
                  <c:v>0.87833333333333341</c:v>
                </c:pt>
                <c:pt idx="176">
                  <c:v>0.62319362436667958</c:v>
                </c:pt>
                <c:pt idx="177">
                  <c:v>0.87917179348650509</c:v>
                </c:pt>
                <c:pt idx="178">
                  <c:v>0.90958443196571492</c:v>
                </c:pt>
                <c:pt idx="179">
                  <c:v>0.99413885294838056</c:v>
                </c:pt>
                <c:pt idx="180">
                  <c:v>0.81958454427477145</c:v>
                </c:pt>
                <c:pt idx="181">
                  <c:v>0.98277763354811387</c:v>
                </c:pt>
                <c:pt idx="182">
                  <c:v>0.9161935541106252</c:v>
                </c:pt>
                <c:pt idx="183">
                  <c:v>1.2347092535127056</c:v>
                </c:pt>
                <c:pt idx="184">
                  <c:v>0.79497862339968595</c:v>
                </c:pt>
                <c:pt idx="185">
                  <c:v>1.1078590441518625</c:v>
                </c:pt>
                <c:pt idx="186">
                  <c:v>0.77187994815402661</c:v>
                </c:pt>
                <c:pt idx="187">
                  <c:v>1.0612133921380551</c:v>
                </c:pt>
                <c:pt idx="188">
                  <c:v>1.2622199993298189</c:v>
                </c:pt>
                <c:pt idx="189">
                  <c:v>0.89515643202731698</c:v>
                </c:pt>
                <c:pt idx="190">
                  <c:v>0.86504992090891586</c:v>
                </c:pt>
                <c:pt idx="191">
                  <c:v>1.4143463626576895</c:v>
                </c:pt>
                <c:pt idx="192">
                  <c:v>0.81066942187607538</c:v>
                </c:pt>
                <c:pt idx="193">
                  <c:v>1.0750809484919404</c:v>
                </c:pt>
                <c:pt idx="194">
                  <c:v>0.92467198904083814</c:v>
                </c:pt>
                <c:pt idx="195">
                  <c:v>1.0255837865554474</c:v>
                </c:pt>
                <c:pt idx="196">
                  <c:v>0.89753775945612424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2.2278048827998371</c:v>
                </c:pt>
                <c:pt idx="200">
                  <c:v>1.5151167350293466</c:v>
                </c:pt>
                <c:pt idx="201">
                  <c:v>1.4738851451493513</c:v>
                </c:pt>
                <c:pt idx="202">
                  <c:v>1.7031111416982552</c:v>
                </c:pt>
                <c:pt idx="203">
                  <c:v>1.3453438012059822</c:v>
                </c:pt>
                <c:pt idx="204">
                  <c:v>1.731758202447683</c:v>
                </c:pt>
                <c:pt idx="205">
                  <c:v>1.9142631106667445</c:v>
                </c:pt>
                <c:pt idx="206">
                  <c:v>2.5258582854795466</c:v>
                </c:pt>
                <c:pt idx="207">
                  <c:v>1.4842785522928055</c:v>
                </c:pt>
                <c:pt idx="208">
                  <c:v>1.8155625474566859</c:v>
                </c:pt>
                <c:pt idx="209">
                  <c:v>1.6590638296996747</c:v>
                </c:pt>
                <c:pt idx="210">
                  <c:v>2.4380497966331038</c:v>
                </c:pt>
                <c:pt idx="211">
                  <c:v>2.4636058741659457</c:v>
                </c:pt>
                <c:pt idx="212">
                  <c:v>1.3327587691667713</c:v>
                </c:pt>
                <c:pt idx="213">
                  <c:v>1.0824860548652508</c:v>
                </c:pt>
                <c:pt idx="214">
                  <c:v>1.6008115856850342</c:v>
                </c:pt>
                <c:pt idx="215">
                  <c:v>1.6863346843418161</c:v>
                </c:pt>
                <c:pt idx="216">
                  <c:v>1.0788549020126255</c:v>
                </c:pt>
                <c:pt idx="217">
                  <c:v>1.6031941418598026</c:v>
                </c:pt>
                <c:pt idx="218">
                  <c:v>1.0842825744116804</c:v>
                </c:pt>
                <c:pt idx="219">
                  <c:v>1.7894468224730991</c:v>
                </c:pt>
                <c:pt idx="220">
                  <c:v>1.7433677731711112</c:v>
                </c:pt>
                <c:pt idx="221">
                  <c:v>1.697827799212775</c:v>
                </c:pt>
                <c:pt idx="222">
                  <c:v>1.1036377176784957</c:v>
                </c:pt>
                <c:pt idx="223">
                  <c:v>1.1508423840732456</c:v>
                </c:pt>
                <c:pt idx="224">
                  <c:v>2.0370562080807706</c:v>
                </c:pt>
                <c:pt idx="225">
                  <c:v>1.2933704868741975</c:v>
                </c:pt>
                <c:pt idx="226">
                  <c:v>1.3045051452426668</c:v>
                </c:pt>
                <c:pt idx="227">
                  <c:v>1.5531423718553099</c:v>
                </c:pt>
                <c:pt idx="228">
                  <c:v>1.0516411430045192</c:v>
                </c:pt>
                <c:pt idx="229">
                  <c:v>1.9857553822289242</c:v>
                </c:pt>
                <c:pt idx="230">
                  <c:v>1.4853019156950511</c:v>
                </c:pt>
                <c:pt idx="231">
                  <c:v>1.597463993520754</c:v>
                </c:pt>
                <c:pt idx="232">
                  <c:v>1.5052684293177485</c:v>
                </c:pt>
                <c:pt idx="233">
                  <c:v>1.7449699422328022</c:v>
                </c:pt>
                <c:pt idx="234">
                  <c:v>1.291340863422106</c:v>
                </c:pt>
                <c:pt idx="235">
                  <c:v>1.7309716556713737</c:v>
                </c:pt>
                <c:pt idx="236">
                  <c:v>2.356880352834843</c:v>
                </c:pt>
                <c:pt idx="237">
                  <c:v>1.756014516688875</c:v>
                </c:pt>
                <c:pt idx="238">
                  <c:v>2.0624467853963915</c:v>
                </c:pt>
                <c:pt idx="239">
                  <c:v>1.3495646193214026</c:v>
                </c:pt>
                <c:pt idx="240">
                  <c:v>1.8878427439141436</c:v>
                </c:pt>
                <c:pt idx="241">
                  <c:v>1.8917218728399947</c:v>
                </c:pt>
                <c:pt idx="242">
                  <c:v>1.4822802361136755</c:v>
                </c:pt>
                <c:pt idx="243">
                  <c:v>2.226804333961967</c:v>
                </c:pt>
                <c:pt idx="244">
                  <c:v>1.5173231544502177</c:v>
                </c:pt>
                <c:pt idx="245">
                  <c:v>1.351934535422801</c:v>
                </c:pt>
                <c:pt idx="246">
                  <c:v>1.649578283506135</c:v>
                </c:pt>
                <c:pt idx="247">
                  <c:v>1.6706415634065737</c:v>
                </c:pt>
                <c:pt idx="248">
                  <c:v>3.4872822367819616</c:v>
                </c:pt>
                <c:pt idx="249">
                  <c:v>3.4724847166824624</c:v>
                </c:pt>
                <c:pt idx="250">
                  <c:v>3.2763843126979917</c:v>
                </c:pt>
                <c:pt idx="251">
                  <c:v>3.2560621494903539</c:v>
                </c:pt>
                <c:pt idx="252">
                  <c:v>3.3564461639150021</c:v>
                </c:pt>
                <c:pt idx="253">
                  <c:v>3.3494922008682169</c:v>
                </c:pt>
                <c:pt idx="254">
                  <c:v>2.6242898657708054</c:v>
                </c:pt>
                <c:pt idx="255">
                  <c:v>2.7756175295634287</c:v>
                </c:pt>
                <c:pt idx="256">
                  <c:v>1.8113307185544554</c:v>
                </c:pt>
                <c:pt idx="257">
                  <c:v>1.5873395236395706</c:v>
                </c:pt>
                <c:pt idx="258">
                  <c:v>2.3968898250261241</c:v>
                </c:pt>
                <c:pt idx="259">
                  <c:v>1.6104550162570681</c:v>
                </c:pt>
                <c:pt idx="260">
                  <c:v>1.4571988895401744</c:v>
                </c:pt>
                <c:pt idx="261">
                  <c:v>1.3523744146328167</c:v>
                </c:pt>
                <c:pt idx="262">
                  <c:v>1.8581291628547163</c:v>
                </c:pt>
                <c:pt idx="263">
                  <c:v>1.9691110177056528</c:v>
                </c:pt>
                <c:pt idx="264">
                  <c:v>1.6844942416423301</c:v>
                </c:pt>
                <c:pt idx="265">
                  <c:v>1.5312635885804775</c:v>
                </c:pt>
                <c:pt idx="266">
                  <c:v>1.1875713646393697</c:v>
                </c:pt>
                <c:pt idx="267">
                  <c:v>1.2867956956222946</c:v>
                </c:pt>
                <c:pt idx="268">
                  <c:v>2.4281246243137233</c:v>
                </c:pt>
                <c:pt idx="269">
                  <c:v>2.5314105225121426</c:v>
                </c:pt>
                <c:pt idx="270">
                  <c:v>2.426985071922775</c:v>
                </c:pt>
                <c:pt idx="271">
                  <c:v>2.3834667189089873</c:v>
                </c:pt>
                <c:pt idx="272">
                  <c:v>2.4460777087109391</c:v>
                </c:pt>
                <c:pt idx="273">
                  <c:v>2.4392924723483564</c:v>
                </c:pt>
                <c:pt idx="274">
                  <c:v>1</c:v>
                </c:pt>
                <c:pt idx="27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82-45CF-A5DD-36ECCBDFA3D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(2)'!$AS$20:$AS$53</c:f>
            </c:numRef>
          </c:xVal>
          <c:yVal>
            <c:numRef>
              <c:f>'headed (2)'!$AS$54:$AS$55</c:f>
            </c:numRef>
          </c:yVal>
          <c:smooth val="0"/>
          <c:extLst>
            <c:ext xmlns:c16="http://schemas.microsoft.com/office/drawing/2014/chart" uri="{C3380CC4-5D6E-409C-BE32-E72D297353CC}">
              <c16:uniqueId val="{00000001-4882-45CF-A5DD-36ECCBDFA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80224"/>
        <c:axId val="126581760"/>
      </c:scatterChart>
      <c:valAx>
        <c:axId val="126580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1760"/>
        <c:crosses val="autoZero"/>
        <c:crossBetween val="midCat"/>
      </c:valAx>
      <c:valAx>
        <c:axId val="126581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0224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(2)'!$P$20:$P$548</c:f>
              <c:numCache>
                <c:formatCode>General</c:formatCode>
                <c:ptCount val="368"/>
                <c:pt idx="0">
                  <c:v>16</c:v>
                </c:pt>
                <c:pt idx="1">
                  <c:v>16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13.921985815602838</c:v>
                </c:pt>
                <c:pt idx="19">
                  <c:v>13.829787234042554</c:v>
                </c:pt>
                <c:pt idx="20">
                  <c:v>13.787234042553195</c:v>
                </c:pt>
                <c:pt idx="21">
                  <c:v>13.744680851063832</c:v>
                </c:pt>
                <c:pt idx="22">
                  <c:v>13.744680851063832</c:v>
                </c:pt>
                <c:pt idx="23">
                  <c:v>13.680851063829788</c:v>
                </c:pt>
                <c:pt idx="24">
                  <c:v>13.652482269503549</c:v>
                </c:pt>
                <c:pt idx="25">
                  <c:v>13.567375886524824</c:v>
                </c:pt>
                <c:pt idx="26">
                  <c:v>8.3595113438045381</c:v>
                </c:pt>
                <c:pt idx="27">
                  <c:v>12.368794326241137</c:v>
                </c:pt>
                <c:pt idx="28">
                  <c:v>12.234042553191491</c:v>
                </c:pt>
                <c:pt idx="29">
                  <c:v>12.148936170212767</c:v>
                </c:pt>
                <c:pt idx="30">
                  <c:v>12.067039106145252</c:v>
                </c:pt>
                <c:pt idx="31">
                  <c:v>12.056737588652483</c:v>
                </c:pt>
                <c:pt idx="32">
                  <c:v>12.014184397163124</c:v>
                </c:pt>
                <c:pt idx="33">
                  <c:v>12.014184397163124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12.000000000000004</c:v>
                </c:pt>
                <c:pt idx="41">
                  <c:v>12.000000000000004</c:v>
                </c:pt>
                <c:pt idx="42">
                  <c:v>11.921985815602838</c:v>
                </c:pt>
                <c:pt idx="43">
                  <c:v>11.921985815602838</c:v>
                </c:pt>
                <c:pt idx="44">
                  <c:v>11.879432624113477</c:v>
                </c:pt>
                <c:pt idx="45">
                  <c:v>11.858156028368795</c:v>
                </c:pt>
                <c:pt idx="46">
                  <c:v>11.744680851063832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15.749999999999998</c:v>
                </c:pt>
                <c:pt idx="54">
                  <c:v>15.28</c:v>
                </c:pt>
                <c:pt idx="55">
                  <c:v>10.581560283687944</c:v>
                </c:pt>
                <c:pt idx="56">
                  <c:v>10.43262411347518</c:v>
                </c:pt>
                <c:pt idx="57">
                  <c:v>10.418439716312058</c:v>
                </c:pt>
                <c:pt idx="58">
                  <c:v>10.418439716312058</c:v>
                </c:pt>
                <c:pt idx="59">
                  <c:v>10.375886524822697</c:v>
                </c:pt>
                <c:pt idx="60">
                  <c:v>10.375886524822697</c:v>
                </c:pt>
                <c:pt idx="61">
                  <c:v>14.58</c:v>
                </c:pt>
                <c:pt idx="62">
                  <c:v>14.58</c:v>
                </c:pt>
                <c:pt idx="63">
                  <c:v>10.312056737588653</c:v>
                </c:pt>
                <c:pt idx="64">
                  <c:v>10.312056737588653</c:v>
                </c:pt>
                <c:pt idx="65">
                  <c:v>14.54</c:v>
                </c:pt>
                <c:pt idx="66">
                  <c:v>14.54</c:v>
                </c:pt>
                <c:pt idx="67">
                  <c:v>10.283687943262413</c:v>
                </c:pt>
                <c:pt idx="68">
                  <c:v>10.283687943262413</c:v>
                </c:pt>
                <c:pt idx="69">
                  <c:v>14.499999999999998</c:v>
                </c:pt>
                <c:pt idx="70">
                  <c:v>14.499999999999998</c:v>
                </c:pt>
                <c:pt idx="71">
                  <c:v>14.42</c:v>
                </c:pt>
                <c:pt idx="72">
                  <c:v>14.42</c:v>
                </c:pt>
                <c:pt idx="73">
                  <c:v>14.38</c:v>
                </c:pt>
                <c:pt idx="74">
                  <c:v>14.38</c:v>
                </c:pt>
                <c:pt idx="75">
                  <c:v>14.38</c:v>
                </c:pt>
                <c:pt idx="76">
                  <c:v>14.38</c:v>
                </c:pt>
                <c:pt idx="77">
                  <c:v>14.35</c:v>
                </c:pt>
                <c:pt idx="78">
                  <c:v>14.299999999999999</c:v>
                </c:pt>
                <c:pt idx="79">
                  <c:v>14.27</c:v>
                </c:pt>
                <c:pt idx="80">
                  <c:v>14.25</c:v>
                </c:pt>
                <c:pt idx="81">
                  <c:v>14.25</c:v>
                </c:pt>
                <c:pt idx="82">
                  <c:v>14.13</c:v>
                </c:pt>
                <c:pt idx="83">
                  <c:v>14.09</c:v>
                </c:pt>
                <c:pt idx="84">
                  <c:v>14.080000000000002</c:v>
                </c:pt>
                <c:pt idx="85">
                  <c:v>14.059999999999999</c:v>
                </c:pt>
                <c:pt idx="86">
                  <c:v>9.9441340782122918</c:v>
                </c:pt>
                <c:pt idx="87">
                  <c:v>12.66</c:v>
                </c:pt>
                <c:pt idx="88">
                  <c:v>12.590000000000002</c:v>
                </c:pt>
                <c:pt idx="89">
                  <c:v>8.9078014184397176</c:v>
                </c:pt>
                <c:pt idx="90">
                  <c:v>12.56</c:v>
                </c:pt>
                <c:pt idx="91">
                  <c:v>8.8652482269503565</c:v>
                </c:pt>
                <c:pt idx="92">
                  <c:v>12.5</c:v>
                </c:pt>
                <c:pt idx="93">
                  <c:v>12.439999999999998</c:v>
                </c:pt>
                <c:pt idx="94">
                  <c:v>12.38</c:v>
                </c:pt>
                <c:pt idx="95">
                  <c:v>12.31</c:v>
                </c:pt>
                <c:pt idx="96">
                  <c:v>12.21</c:v>
                </c:pt>
                <c:pt idx="97">
                  <c:v>12.19</c:v>
                </c:pt>
                <c:pt idx="98">
                  <c:v>12.17</c:v>
                </c:pt>
                <c:pt idx="99">
                  <c:v>12.17</c:v>
                </c:pt>
                <c:pt idx="100">
                  <c:v>8.6028368794326244</c:v>
                </c:pt>
                <c:pt idx="101">
                  <c:v>12.129999999999999</c:v>
                </c:pt>
                <c:pt idx="102">
                  <c:v>8.6028368794326244</c:v>
                </c:pt>
                <c:pt idx="103">
                  <c:v>8.5744680851063837</c:v>
                </c:pt>
                <c:pt idx="104">
                  <c:v>12.06</c:v>
                </c:pt>
                <c:pt idx="105">
                  <c:v>12.06</c:v>
                </c:pt>
                <c:pt idx="106">
                  <c:v>12.04</c:v>
                </c:pt>
                <c:pt idx="107">
                  <c:v>12.03</c:v>
                </c:pt>
                <c:pt idx="108">
                  <c:v>8.5106382978723403</c:v>
                </c:pt>
                <c:pt idx="109">
                  <c:v>8.5106382978723403</c:v>
                </c:pt>
                <c:pt idx="110">
                  <c:v>11.999999999999998</c:v>
                </c:pt>
                <c:pt idx="111">
                  <c:v>11.999999999999998</c:v>
                </c:pt>
                <c:pt idx="112">
                  <c:v>11.97</c:v>
                </c:pt>
                <c:pt idx="113">
                  <c:v>11.95</c:v>
                </c:pt>
                <c:pt idx="114">
                  <c:v>11.9</c:v>
                </c:pt>
                <c:pt idx="115">
                  <c:v>11.88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11.299212598425198</c:v>
                </c:pt>
                <c:pt idx="120">
                  <c:v>11.299212598425198</c:v>
                </c:pt>
                <c:pt idx="121">
                  <c:v>11.25</c:v>
                </c:pt>
                <c:pt idx="122">
                  <c:v>7.9608938547486039</c:v>
                </c:pt>
                <c:pt idx="123">
                  <c:v>7.9608938547486039</c:v>
                </c:pt>
                <c:pt idx="124">
                  <c:v>7.9608938547486039</c:v>
                </c:pt>
                <c:pt idx="125">
                  <c:v>11.13</c:v>
                </c:pt>
                <c:pt idx="126">
                  <c:v>11.06</c:v>
                </c:pt>
                <c:pt idx="127">
                  <c:v>7.8212290502793298</c:v>
                </c:pt>
                <c:pt idx="128">
                  <c:v>7.8212290502793298</c:v>
                </c:pt>
                <c:pt idx="129">
                  <c:v>7.8212290502793298</c:v>
                </c:pt>
                <c:pt idx="130">
                  <c:v>7.8212290502793298</c:v>
                </c:pt>
                <c:pt idx="131">
                  <c:v>7.8212290502793298</c:v>
                </c:pt>
                <c:pt idx="132">
                  <c:v>10.94</c:v>
                </c:pt>
                <c:pt idx="133">
                  <c:v>10.83</c:v>
                </c:pt>
                <c:pt idx="134">
                  <c:v>10.58</c:v>
                </c:pt>
                <c:pt idx="135">
                  <c:v>10.5</c:v>
                </c:pt>
                <c:pt idx="136">
                  <c:v>10.35</c:v>
                </c:pt>
                <c:pt idx="137">
                  <c:v>10.33</c:v>
                </c:pt>
                <c:pt idx="138">
                  <c:v>10.33</c:v>
                </c:pt>
                <c:pt idx="139">
                  <c:v>10.29</c:v>
                </c:pt>
                <c:pt idx="140">
                  <c:v>10.25</c:v>
                </c:pt>
                <c:pt idx="141">
                  <c:v>10.130000000000001</c:v>
                </c:pt>
                <c:pt idx="142">
                  <c:v>10.1</c:v>
                </c:pt>
                <c:pt idx="143">
                  <c:v>10.08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9.94</c:v>
                </c:pt>
                <c:pt idx="148">
                  <c:v>9.92</c:v>
                </c:pt>
                <c:pt idx="149">
                  <c:v>9.92</c:v>
                </c:pt>
                <c:pt idx="150">
                  <c:v>9.9</c:v>
                </c:pt>
                <c:pt idx="151">
                  <c:v>9.8800000000000008</c:v>
                </c:pt>
                <c:pt idx="152">
                  <c:v>9.8800000000000008</c:v>
                </c:pt>
                <c:pt idx="153">
                  <c:v>9.8800000000000008</c:v>
                </c:pt>
                <c:pt idx="154">
                  <c:v>9.8800000000000008</c:v>
                </c:pt>
                <c:pt idx="155">
                  <c:v>9.81</c:v>
                </c:pt>
                <c:pt idx="156">
                  <c:v>9.7899999999999991</c:v>
                </c:pt>
                <c:pt idx="157">
                  <c:v>9.77</c:v>
                </c:pt>
                <c:pt idx="158">
                  <c:v>9.75</c:v>
                </c:pt>
                <c:pt idx="159">
                  <c:v>9.75</c:v>
                </c:pt>
                <c:pt idx="160">
                  <c:v>9.69</c:v>
                </c:pt>
                <c:pt idx="161">
                  <c:v>9.69</c:v>
                </c:pt>
                <c:pt idx="162">
                  <c:v>9.69</c:v>
                </c:pt>
                <c:pt idx="163">
                  <c:v>9.66</c:v>
                </c:pt>
                <c:pt idx="164">
                  <c:v>9.6300000000000008</c:v>
                </c:pt>
                <c:pt idx="165">
                  <c:v>9.6</c:v>
                </c:pt>
                <c:pt idx="166">
                  <c:v>9.58</c:v>
                </c:pt>
                <c:pt idx="167">
                  <c:v>9.58</c:v>
                </c:pt>
                <c:pt idx="168">
                  <c:v>9.56</c:v>
                </c:pt>
                <c:pt idx="169">
                  <c:v>9.56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9.4700000000000006</c:v>
                </c:pt>
                <c:pt idx="177">
                  <c:v>9.4600000000000009</c:v>
                </c:pt>
                <c:pt idx="178">
                  <c:v>9.42</c:v>
                </c:pt>
                <c:pt idx="179">
                  <c:v>9.3800000000000008</c:v>
                </c:pt>
                <c:pt idx="180">
                  <c:v>9.3800000000000008</c:v>
                </c:pt>
                <c:pt idx="181">
                  <c:v>9.3800000000000008</c:v>
                </c:pt>
                <c:pt idx="182">
                  <c:v>9.3800000000000008</c:v>
                </c:pt>
                <c:pt idx="183">
                  <c:v>9.33</c:v>
                </c:pt>
                <c:pt idx="184">
                  <c:v>9.33</c:v>
                </c:pt>
                <c:pt idx="185">
                  <c:v>9.31</c:v>
                </c:pt>
                <c:pt idx="186">
                  <c:v>9.25</c:v>
                </c:pt>
                <c:pt idx="187">
                  <c:v>9.25</c:v>
                </c:pt>
                <c:pt idx="188">
                  <c:v>9.25</c:v>
                </c:pt>
                <c:pt idx="189">
                  <c:v>9.25</c:v>
                </c:pt>
                <c:pt idx="190">
                  <c:v>9.19</c:v>
                </c:pt>
                <c:pt idx="191">
                  <c:v>9.19</c:v>
                </c:pt>
                <c:pt idx="192">
                  <c:v>9.19</c:v>
                </c:pt>
                <c:pt idx="193">
                  <c:v>9.17</c:v>
                </c:pt>
                <c:pt idx="194">
                  <c:v>9.1300000000000008</c:v>
                </c:pt>
                <c:pt idx="195">
                  <c:v>9.06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6.061452513966481</c:v>
                </c:pt>
                <c:pt idx="200">
                  <c:v>8.31</c:v>
                </c:pt>
                <c:pt idx="201">
                  <c:v>8.3070866141732296</c:v>
                </c:pt>
                <c:pt idx="202">
                  <c:v>8.3070866141732296</c:v>
                </c:pt>
                <c:pt idx="203">
                  <c:v>8.3070866141732296</c:v>
                </c:pt>
                <c:pt idx="204">
                  <c:v>8.25</c:v>
                </c:pt>
                <c:pt idx="205">
                  <c:v>8.25</c:v>
                </c:pt>
                <c:pt idx="206">
                  <c:v>5.8379888268156428</c:v>
                </c:pt>
                <c:pt idx="207">
                  <c:v>5.6983240223463696</c:v>
                </c:pt>
                <c:pt idx="208">
                  <c:v>8.0314960629921259</c:v>
                </c:pt>
                <c:pt idx="209">
                  <c:v>8</c:v>
                </c:pt>
                <c:pt idx="210">
                  <c:v>6</c:v>
                </c:pt>
                <c:pt idx="211">
                  <c:v>6</c:v>
                </c:pt>
                <c:pt idx="212">
                  <c:v>7.06</c:v>
                </c:pt>
                <c:pt idx="213">
                  <c:v>7.06</c:v>
                </c:pt>
                <c:pt idx="214">
                  <c:v>7</c:v>
                </c:pt>
                <c:pt idx="215">
                  <c:v>6.3385826771653546</c:v>
                </c:pt>
                <c:pt idx="216">
                  <c:v>6.33</c:v>
                </c:pt>
                <c:pt idx="217">
                  <c:v>6.29</c:v>
                </c:pt>
                <c:pt idx="218">
                  <c:v>6.25</c:v>
                </c:pt>
                <c:pt idx="219">
                  <c:v>6.25</c:v>
                </c:pt>
                <c:pt idx="220">
                  <c:v>6.25</c:v>
                </c:pt>
                <c:pt idx="221">
                  <c:v>9.9519999999999982</c:v>
                </c:pt>
                <c:pt idx="222">
                  <c:v>6.21</c:v>
                </c:pt>
                <c:pt idx="223">
                  <c:v>6.19</c:v>
                </c:pt>
                <c:pt idx="224">
                  <c:v>6.16</c:v>
                </c:pt>
                <c:pt idx="225">
                  <c:v>6.13</c:v>
                </c:pt>
                <c:pt idx="226">
                  <c:v>6.13</c:v>
                </c:pt>
                <c:pt idx="227">
                  <c:v>6.0999999999999988</c:v>
                </c:pt>
                <c:pt idx="228">
                  <c:v>6.09</c:v>
                </c:pt>
                <c:pt idx="229">
                  <c:v>9.695999999999998</c:v>
                </c:pt>
                <c:pt idx="230">
                  <c:v>9.6479999999999997</c:v>
                </c:pt>
                <c:pt idx="231">
                  <c:v>6.03</c:v>
                </c:pt>
                <c:pt idx="232">
                  <c:v>9.5999999999999979</c:v>
                </c:pt>
                <c:pt idx="233">
                  <c:v>9.5999999999999979</c:v>
                </c:pt>
                <c:pt idx="234">
                  <c:v>9.5999999999999979</c:v>
                </c:pt>
                <c:pt idx="235">
                  <c:v>5.9999999999999991</c:v>
                </c:pt>
                <c:pt idx="236">
                  <c:v>9.5039999999999996</c:v>
                </c:pt>
                <c:pt idx="237">
                  <c:v>5.63</c:v>
                </c:pt>
                <c:pt idx="238">
                  <c:v>5.5</c:v>
                </c:pt>
                <c:pt idx="239">
                  <c:v>5.5</c:v>
                </c:pt>
                <c:pt idx="240">
                  <c:v>6</c:v>
                </c:pt>
                <c:pt idx="241">
                  <c:v>6</c:v>
                </c:pt>
                <c:pt idx="242">
                  <c:v>8.3040000000000003</c:v>
                </c:pt>
                <c:pt idx="243">
                  <c:v>8.3040000000000003</c:v>
                </c:pt>
                <c:pt idx="244">
                  <c:v>8.24</c:v>
                </c:pt>
                <c:pt idx="245">
                  <c:v>8.0640000000000001</c:v>
                </c:pt>
                <c:pt idx="246">
                  <c:v>8.048</c:v>
                </c:pt>
                <c:pt idx="247">
                  <c:v>8.0319999999999983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7.056</c:v>
                </c:pt>
                <c:pt idx="257">
                  <c:v>6.7519999999999989</c:v>
                </c:pt>
                <c:pt idx="258">
                  <c:v>6.7039999999999997</c:v>
                </c:pt>
                <c:pt idx="259">
                  <c:v>6.6559999999999997</c:v>
                </c:pt>
                <c:pt idx="260">
                  <c:v>6.6079999999999988</c:v>
                </c:pt>
                <c:pt idx="261">
                  <c:v>6.6079999999999988</c:v>
                </c:pt>
                <c:pt idx="262">
                  <c:v>6.6079999999999988</c:v>
                </c:pt>
                <c:pt idx="263">
                  <c:v>6.5439999999999996</c:v>
                </c:pt>
                <c:pt idx="264">
                  <c:v>6.5439999999999996</c:v>
                </c:pt>
                <c:pt idx="265">
                  <c:v>6.4959999999999987</c:v>
                </c:pt>
                <c:pt idx="266">
                  <c:v>6.4959999999999987</c:v>
                </c:pt>
                <c:pt idx="267">
                  <c:v>6.0960000000000001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91">
                  <c:v>8</c:v>
                </c:pt>
                <c:pt idx="292">
                  <c:v>8.3000000000000007</c:v>
                </c:pt>
                <c:pt idx="293">
                  <c:v>8.5</c:v>
                </c:pt>
                <c:pt idx="294">
                  <c:v>7.5</c:v>
                </c:pt>
                <c:pt idx="295">
                  <c:v>7.4</c:v>
                </c:pt>
                <c:pt idx="296">
                  <c:v>7.4</c:v>
                </c:pt>
                <c:pt idx="297">
                  <c:v>7.1</c:v>
                </c:pt>
                <c:pt idx="298">
                  <c:v>7</c:v>
                </c:pt>
                <c:pt idx="299">
                  <c:v>5.9999999999999991</c:v>
                </c:pt>
                <c:pt idx="300">
                  <c:v>5.9999999999999991</c:v>
                </c:pt>
                <c:pt idx="301">
                  <c:v>6.0999999999999988</c:v>
                </c:pt>
                <c:pt idx="302">
                  <c:v>6.0999999999999988</c:v>
                </c:pt>
                <c:pt idx="303">
                  <c:v>6.3</c:v>
                </c:pt>
                <c:pt idx="304">
                  <c:v>6.3</c:v>
                </c:pt>
                <c:pt idx="305">
                  <c:v>6.4</c:v>
                </c:pt>
                <c:pt idx="306">
                  <c:v>6.5</c:v>
                </c:pt>
                <c:pt idx="307">
                  <c:v>6.5</c:v>
                </c:pt>
                <c:pt idx="308">
                  <c:v>6.5</c:v>
                </c:pt>
                <c:pt idx="309">
                  <c:v>6.6</c:v>
                </c:pt>
                <c:pt idx="310">
                  <c:v>6.5</c:v>
                </c:pt>
                <c:pt idx="311">
                  <c:v>6.5</c:v>
                </c:pt>
                <c:pt idx="312">
                  <c:v>6.4</c:v>
                </c:pt>
                <c:pt idx="313">
                  <c:v>8.4</c:v>
                </c:pt>
                <c:pt idx="314">
                  <c:v>6.5</c:v>
                </c:pt>
                <c:pt idx="315">
                  <c:v>6.3</c:v>
                </c:pt>
                <c:pt idx="316">
                  <c:v>6.8000000000000007</c:v>
                </c:pt>
                <c:pt idx="317">
                  <c:v>5.9999999999999991</c:v>
                </c:pt>
                <c:pt idx="318">
                  <c:v>6.0999999999999988</c:v>
                </c:pt>
                <c:pt idx="319">
                  <c:v>6.8000000000000007</c:v>
                </c:pt>
                <c:pt idx="320">
                  <c:v>6.3</c:v>
                </c:pt>
                <c:pt idx="321">
                  <c:v>6.6</c:v>
                </c:pt>
                <c:pt idx="322">
                  <c:v>6.9</c:v>
                </c:pt>
                <c:pt idx="329">
                  <c:v>20</c:v>
                </c:pt>
                <c:pt idx="330">
                  <c:v>20</c:v>
                </c:pt>
                <c:pt idx="331">
                  <c:v>7</c:v>
                </c:pt>
                <c:pt idx="332">
                  <c:v>7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13</c:v>
                </c:pt>
                <c:pt idx="337">
                  <c:v>13</c:v>
                </c:pt>
                <c:pt idx="338">
                  <c:v>13</c:v>
                </c:pt>
                <c:pt idx="339">
                  <c:v>16</c:v>
                </c:pt>
                <c:pt idx="340">
                  <c:v>7</c:v>
                </c:pt>
                <c:pt idx="341">
                  <c:v>7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16</c:v>
                </c:pt>
                <c:pt idx="349">
                  <c:v>20</c:v>
                </c:pt>
                <c:pt idx="350">
                  <c:v>20</c:v>
                </c:pt>
                <c:pt idx="351">
                  <c:v>7</c:v>
                </c:pt>
                <c:pt idx="352">
                  <c:v>10</c:v>
                </c:pt>
                <c:pt idx="353">
                  <c:v>13</c:v>
                </c:pt>
                <c:pt idx="354">
                  <c:v>7</c:v>
                </c:pt>
                <c:pt idx="355">
                  <c:v>10</c:v>
                </c:pt>
                <c:pt idx="356">
                  <c:v>13</c:v>
                </c:pt>
                <c:pt idx="357">
                  <c:v>16</c:v>
                </c:pt>
                <c:pt idx="358">
                  <c:v>16</c:v>
                </c:pt>
                <c:pt idx="359">
                  <c:v>20</c:v>
                </c:pt>
                <c:pt idx="360">
                  <c:v>20</c:v>
                </c:pt>
                <c:pt idx="361">
                  <c:v>23</c:v>
                </c:pt>
                <c:pt idx="362">
                  <c:v>23</c:v>
                </c:pt>
              </c:numCache>
            </c:numRef>
          </c:xVal>
          <c:yVal>
            <c:numRef>
              <c:f>'headed (2)'!$CZ$20:$CZ$541</c:f>
              <c:numCache>
                <c:formatCode>General</c:formatCode>
                <c:ptCount val="361"/>
                <c:pt idx="0">
                  <c:v>1.2140631955584191</c:v>
                </c:pt>
                <c:pt idx="1">
                  <c:v>1.2142589675863487</c:v>
                </c:pt>
                <c:pt idx="2">
                  <c:v>1.250702910301895</c:v>
                </c:pt>
                <c:pt idx="3">
                  <c:v>1.6061312508358303</c:v>
                </c:pt>
                <c:pt idx="4">
                  <c:v>1.5076213914643732</c:v>
                </c:pt>
                <c:pt idx="5">
                  <c:v>1.6116129274598434</c:v>
                </c:pt>
                <c:pt idx="6">
                  <c:v>1.353732099805089</c:v>
                </c:pt>
                <c:pt idx="7">
                  <c:v>1.2158256317980205</c:v>
                </c:pt>
                <c:pt idx="8">
                  <c:v>1.1078654557321155</c:v>
                </c:pt>
                <c:pt idx="9">
                  <c:v>0.88558461738800009</c:v>
                </c:pt>
                <c:pt idx="10">
                  <c:v>1.0971269956239666</c:v>
                </c:pt>
                <c:pt idx="11">
                  <c:v>1.1362985571149462</c:v>
                </c:pt>
                <c:pt idx="12">
                  <c:v>1.4489090299456451</c:v>
                </c:pt>
                <c:pt idx="13">
                  <c:v>1.1264315123772384</c:v>
                </c:pt>
                <c:pt idx="14">
                  <c:v>1.1972859454860088</c:v>
                </c:pt>
                <c:pt idx="15">
                  <c:v>1.1825979304836267</c:v>
                </c:pt>
                <c:pt idx="16">
                  <c:v>1.1802441564682067</c:v>
                </c:pt>
                <c:pt idx="17">
                  <c:v>1.3701259564751176</c:v>
                </c:pt>
                <c:pt idx="18">
                  <c:v>1.4455193526381414</c:v>
                </c:pt>
                <c:pt idx="19">
                  <c:v>1.2264020383181997</c:v>
                </c:pt>
                <c:pt idx="20">
                  <c:v>1.2582112350998493</c:v>
                </c:pt>
                <c:pt idx="21">
                  <c:v>1.3026075869753657</c:v>
                </c:pt>
                <c:pt idx="22">
                  <c:v>1.3786937883911297</c:v>
                </c:pt>
                <c:pt idx="23">
                  <c:v>1.2265000402860071</c:v>
                </c:pt>
                <c:pt idx="24">
                  <c:v>1.375870186901017</c:v>
                </c:pt>
                <c:pt idx="25">
                  <c:v>1.3999644400429421</c:v>
                </c:pt>
                <c:pt idx="26">
                  <c:v>0</c:v>
                </c:pt>
                <c:pt idx="27">
                  <c:v>1.1905256945812908</c:v>
                </c:pt>
                <c:pt idx="28">
                  <c:v>1.1167546869959355</c:v>
                </c:pt>
                <c:pt idx="29">
                  <c:v>1.0416632154626597</c:v>
                </c:pt>
                <c:pt idx="30">
                  <c:v>1.4709966291791812</c:v>
                </c:pt>
                <c:pt idx="31">
                  <c:v>1.0293844757547645</c:v>
                </c:pt>
                <c:pt idx="32">
                  <c:v>1.1153119606929831</c:v>
                </c:pt>
                <c:pt idx="33">
                  <c:v>1.2956424138648808</c:v>
                </c:pt>
                <c:pt idx="34">
                  <c:v>1.131898315070766</c:v>
                </c:pt>
                <c:pt idx="35">
                  <c:v>1.131898315070766</c:v>
                </c:pt>
                <c:pt idx="36">
                  <c:v>1.0412218156152346</c:v>
                </c:pt>
                <c:pt idx="37">
                  <c:v>1.0412218156152346</c:v>
                </c:pt>
                <c:pt idx="38">
                  <c:v>1.1716971921552939</c:v>
                </c:pt>
                <c:pt idx="39">
                  <c:v>1.1716971921552939</c:v>
                </c:pt>
                <c:pt idx="40">
                  <c:v>0.85080970194489203</c:v>
                </c:pt>
                <c:pt idx="41">
                  <c:v>0.8085349544542425</c:v>
                </c:pt>
                <c:pt idx="42">
                  <c:v>1.2571639757274684</c:v>
                </c:pt>
                <c:pt idx="43">
                  <c:v>1.2692714892463186</c:v>
                </c:pt>
                <c:pt idx="44">
                  <c:v>1.2091353781823571</c:v>
                </c:pt>
                <c:pt idx="45">
                  <c:v>1.1753055919076683</c:v>
                </c:pt>
                <c:pt idx="46">
                  <c:v>1.0182198876788391</c:v>
                </c:pt>
                <c:pt idx="47">
                  <c:v>1.3095784928162608</c:v>
                </c:pt>
                <c:pt idx="48">
                  <c:v>1.3095784928162608</c:v>
                </c:pt>
                <c:pt idx="49">
                  <c:v>1.3493245422364921</c:v>
                </c:pt>
                <c:pt idx="50">
                  <c:v>1.3493245422364921</c:v>
                </c:pt>
                <c:pt idx="51">
                  <c:v>1.6978913823018422</c:v>
                </c:pt>
                <c:pt idx="52">
                  <c:v>1.6978913823018422</c:v>
                </c:pt>
                <c:pt idx="53">
                  <c:v>0.91851247644247092</c:v>
                </c:pt>
                <c:pt idx="54">
                  <c:v>1</c:v>
                </c:pt>
                <c:pt idx="55">
                  <c:v>0.73678053201601534</c:v>
                </c:pt>
                <c:pt idx="56">
                  <c:v>0.73718451657272832</c:v>
                </c:pt>
                <c:pt idx="57">
                  <c:v>0.68724341538301104</c:v>
                </c:pt>
                <c:pt idx="58">
                  <c:v>0.85028063832166845</c:v>
                </c:pt>
                <c:pt idx="59">
                  <c:v>0.49532268932934714</c:v>
                </c:pt>
                <c:pt idx="60">
                  <c:v>1.059782127050285</c:v>
                </c:pt>
                <c:pt idx="61">
                  <c:v>1.0088869571220103</c:v>
                </c:pt>
                <c:pt idx="62">
                  <c:v>1.0815801265431821</c:v>
                </c:pt>
                <c:pt idx="63">
                  <c:v>0.85852739822939572</c:v>
                </c:pt>
                <c:pt idx="64">
                  <c:v>0.69404556824261776</c:v>
                </c:pt>
                <c:pt idx="65">
                  <c:v>1.0377227912290949</c:v>
                </c:pt>
                <c:pt idx="66">
                  <c:v>1.0851045143939175</c:v>
                </c:pt>
                <c:pt idx="67">
                  <c:v>0.61746193238869718</c:v>
                </c:pt>
                <c:pt idx="68">
                  <c:v>0.78437925291382093</c:v>
                </c:pt>
                <c:pt idx="69">
                  <c:v>1.2732119156908908</c:v>
                </c:pt>
                <c:pt idx="70">
                  <c:v>1.486801599498017</c:v>
                </c:pt>
                <c:pt idx="71">
                  <c:v>1.127721019295898</c:v>
                </c:pt>
                <c:pt idx="72">
                  <c:v>1.3354151143487145</c:v>
                </c:pt>
                <c:pt idx="73">
                  <c:v>1.0546620803021731</c:v>
                </c:pt>
                <c:pt idx="74">
                  <c:v>1.1851863092498804</c:v>
                </c:pt>
                <c:pt idx="75">
                  <c:v>1.164038324517964</c:v>
                </c:pt>
                <c:pt idx="76">
                  <c:v>1.4000927741086981</c:v>
                </c:pt>
                <c:pt idx="77">
                  <c:v>1.1994142932326093</c:v>
                </c:pt>
                <c:pt idx="78">
                  <c:v>1.0759579072343315</c:v>
                </c:pt>
                <c:pt idx="79">
                  <c:v>1.4489801776685771</c:v>
                </c:pt>
                <c:pt idx="80">
                  <c:v>1.1693024959062237</c:v>
                </c:pt>
                <c:pt idx="81">
                  <c:v>1.1039912468916053</c:v>
                </c:pt>
                <c:pt idx="82">
                  <c:v>1.0425960964081298</c:v>
                </c:pt>
                <c:pt idx="83">
                  <c:v>1.4707672066107018</c:v>
                </c:pt>
                <c:pt idx="84">
                  <c:v>1.2575697339160365</c:v>
                </c:pt>
                <c:pt idx="85">
                  <c:v>1.1152914305964363</c:v>
                </c:pt>
                <c:pt idx="86">
                  <c:v>1.3081102480693489</c:v>
                </c:pt>
                <c:pt idx="87">
                  <c:v>0.99943469121787187</c:v>
                </c:pt>
                <c:pt idx="88">
                  <c:v>1.0591467407093387</c:v>
                </c:pt>
                <c:pt idx="89">
                  <c:v>0.95553229503146886</c:v>
                </c:pt>
                <c:pt idx="90">
                  <c:v>1.2638608456589822</c:v>
                </c:pt>
                <c:pt idx="91">
                  <c:v>0.93377048827409681</c:v>
                </c:pt>
                <c:pt idx="92">
                  <c:v>1.0429653107588621</c:v>
                </c:pt>
                <c:pt idx="93">
                  <c:v>1.4482630142707176</c:v>
                </c:pt>
                <c:pt idx="94">
                  <c:v>1.1669913938500407</c:v>
                </c:pt>
                <c:pt idx="95">
                  <c:v>1.1029753689711439</c:v>
                </c:pt>
                <c:pt idx="96">
                  <c:v>0.94794472349162318</c:v>
                </c:pt>
                <c:pt idx="97">
                  <c:v>1.2065212017848979</c:v>
                </c:pt>
                <c:pt idx="98">
                  <c:v>0.94032104183423759</c:v>
                </c:pt>
                <c:pt idx="99">
                  <c:v>0.73435132953628823</c:v>
                </c:pt>
                <c:pt idx="100">
                  <c:v>0.8348184273807373</c:v>
                </c:pt>
                <c:pt idx="101">
                  <c:v>1.0886125437537382</c:v>
                </c:pt>
                <c:pt idx="102">
                  <c:v>0.72096580896252627</c:v>
                </c:pt>
                <c:pt idx="103">
                  <c:v>0.99108586662496612</c:v>
                </c:pt>
                <c:pt idx="104">
                  <c:v>0.78234204586737066</c:v>
                </c:pt>
                <c:pt idx="105">
                  <c:v>1.0958321519136152</c:v>
                </c:pt>
                <c:pt idx="106">
                  <c:v>0.95810293219723919</c:v>
                </c:pt>
                <c:pt idx="107">
                  <c:v>0.80046699672781108</c:v>
                </c:pt>
                <c:pt idx="108">
                  <c:v>0.74669552116938287</c:v>
                </c:pt>
                <c:pt idx="109">
                  <c:v>0.90336797784402101</c:v>
                </c:pt>
                <c:pt idx="110">
                  <c:v>0.73918547860307671</c:v>
                </c:pt>
                <c:pt idx="111">
                  <c:v>1.035801217585661</c:v>
                </c:pt>
                <c:pt idx="112">
                  <c:v>1.0136499429452763</c:v>
                </c:pt>
                <c:pt idx="113">
                  <c:v>1.1085878003695551</c:v>
                </c:pt>
                <c:pt idx="114">
                  <c:v>1.1917519000638892</c:v>
                </c:pt>
                <c:pt idx="115">
                  <c:v>0.76733459610941368</c:v>
                </c:pt>
                <c:pt idx="116">
                  <c:v>1.0049803374710342</c:v>
                </c:pt>
                <c:pt idx="117">
                  <c:v>1.336765961716297</c:v>
                </c:pt>
                <c:pt idx="118">
                  <c:v>1.3502706830387621</c:v>
                </c:pt>
                <c:pt idx="119">
                  <c:v>1.0800473563193289</c:v>
                </c:pt>
                <c:pt idx="120">
                  <c:v>1.4530735737887628</c:v>
                </c:pt>
                <c:pt idx="121">
                  <c:v>0.97146948096887209</c:v>
                </c:pt>
                <c:pt idx="122">
                  <c:v>1.2119877238401617</c:v>
                </c:pt>
                <c:pt idx="123">
                  <c:v>1.4335498222786425</c:v>
                </c:pt>
                <c:pt idx="124">
                  <c:v>1.7084704294313242</c:v>
                </c:pt>
                <c:pt idx="125">
                  <c:v>1.0658353776281775</c:v>
                </c:pt>
                <c:pt idx="126">
                  <c:v>1.10521720654621</c:v>
                </c:pt>
                <c:pt idx="127">
                  <c:v>1.3383380886118024</c:v>
                </c:pt>
                <c:pt idx="128">
                  <c:v>1.0667341823935248</c:v>
                </c:pt>
                <c:pt idx="129">
                  <c:v>1.5688980242628909</c:v>
                </c:pt>
                <c:pt idx="130">
                  <c:v>1.7241744032031006</c:v>
                </c:pt>
                <c:pt idx="131">
                  <c:v>1.5425351929470028</c:v>
                </c:pt>
                <c:pt idx="132">
                  <c:v>1.0745054096439952</c:v>
                </c:pt>
                <c:pt idx="133">
                  <c:v>1.0069882788145434</c:v>
                </c:pt>
                <c:pt idx="134">
                  <c:v>1.0537522781326267</c:v>
                </c:pt>
                <c:pt idx="135">
                  <c:v>0.94606036381909953</c:v>
                </c:pt>
                <c:pt idx="136">
                  <c:v>1.0607370982090985</c:v>
                </c:pt>
                <c:pt idx="137">
                  <c:v>0.99104241411838778</c:v>
                </c:pt>
                <c:pt idx="138">
                  <c:v>1.2415241895472264</c:v>
                </c:pt>
                <c:pt idx="139">
                  <c:v>1.1108598911062268</c:v>
                </c:pt>
                <c:pt idx="140">
                  <c:v>0.98254513569119484</c:v>
                </c:pt>
                <c:pt idx="141">
                  <c:v>1.0134345640672162</c:v>
                </c:pt>
                <c:pt idx="142">
                  <c:v>1.0383544149159285</c:v>
                </c:pt>
                <c:pt idx="143">
                  <c:v>1.246854111705707</c:v>
                </c:pt>
                <c:pt idx="144">
                  <c:v>0.88968810745173232</c:v>
                </c:pt>
                <c:pt idx="145">
                  <c:v>1.015645214075779</c:v>
                </c:pt>
                <c:pt idx="146">
                  <c:v>1.0887563493315389</c:v>
                </c:pt>
                <c:pt idx="147">
                  <c:v>1.0615276951705674</c:v>
                </c:pt>
                <c:pt idx="148">
                  <c:v>0.76591341717817985</c:v>
                </c:pt>
                <c:pt idx="149">
                  <c:v>0.782670244439856</c:v>
                </c:pt>
                <c:pt idx="150">
                  <c:v>0.74214693971252432</c:v>
                </c:pt>
                <c:pt idx="151">
                  <c:v>0.9280417512964777</c:v>
                </c:pt>
                <c:pt idx="152">
                  <c:v>1.0429659273597731</c:v>
                </c:pt>
                <c:pt idx="153">
                  <c:v>0.67335839175112699</c:v>
                </c:pt>
                <c:pt idx="154">
                  <c:v>0.6648035989042731</c:v>
                </c:pt>
                <c:pt idx="155">
                  <c:v>0.69192281388318311</c:v>
                </c:pt>
                <c:pt idx="156">
                  <c:v>0.97651110382324768</c:v>
                </c:pt>
                <c:pt idx="157">
                  <c:v>0.99490267950518141</c:v>
                </c:pt>
                <c:pt idx="158">
                  <c:v>0.72846501506533778</c:v>
                </c:pt>
                <c:pt idx="159">
                  <c:v>0.67317534853537886</c:v>
                </c:pt>
                <c:pt idx="160">
                  <c:v>0.78300596637240216</c:v>
                </c:pt>
                <c:pt idx="161">
                  <c:v>1.0734511207027237</c:v>
                </c:pt>
                <c:pt idx="162">
                  <c:v>0.95168248490077645</c:v>
                </c:pt>
                <c:pt idx="163">
                  <c:v>0.97995058160380566</c:v>
                </c:pt>
                <c:pt idx="164">
                  <c:v>0.84853134899852589</c:v>
                </c:pt>
                <c:pt idx="165">
                  <c:v>0.95490274844904621</c:v>
                </c:pt>
                <c:pt idx="166">
                  <c:v>0.93212965513993562</c:v>
                </c:pt>
                <c:pt idx="167">
                  <c:v>0.8760822339448866</c:v>
                </c:pt>
                <c:pt idx="168">
                  <c:v>1.267632927019867</c:v>
                </c:pt>
                <c:pt idx="169">
                  <c:v>1.0864732280294513</c:v>
                </c:pt>
                <c:pt idx="170">
                  <c:v>0.70351864336481917</c:v>
                </c:pt>
                <c:pt idx="171">
                  <c:v>0.93461795122954905</c:v>
                </c:pt>
                <c:pt idx="172">
                  <c:v>0.89214840379637628</c:v>
                </c:pt>
                <c:pt idx="173">
                  <c:v>1.2694084672363284</c:v>
                </c:pt>
                <c:pt idx="174">
                  <c:v>1.0879820523592281</c:v>
                </c:pt>
                <c:pt idx="175">
                  <c:v>0.87833333333333341</c:v>
                </c:pt>
                <c:pt idx="176">
                  <c:v>0.63480838312555887</c:v>
                </c:pt>
                <c:pt idx="177">
                  <c:v>0.90003950832799662</c:v>
                </c:pt>
                <c:pt idx="178">
                  <c:v>0.88584801505264343</c:v>
                </c:pt>
                <c:pt idx="179">
                  <c:v>0.98184147159351287</c:v>
                </c:pt>
                <c:pt idx="180">
                  <c:v>0.82535245957938552</c:v>
                </c:pt>
                <c:pt idx="181">
                  <c:v>1.0443012016693149</c:v>
                </c:pt>
                <c:pt idx="182">
                  <c:v>0.96674260066309403</c:v>
                </c:pt>
                <c:pt idx="183">
                  <c:v>1.2625217719196895</c:v>
                </c:pt>
                <c:pt idx="184">
                  <c:v>0.82233348350740842</c:v>
                </c:pt>
                <c:pt idx="185">
                  <c:v>1.1787430355325779</c:v>
                </c:pt>
                <c:pt idx="186">
                  <c:v>0.74722430214469848</c:v>
                </c:pt>
                <c:pt idx="187">
                  <c:v>1.1378780950693508</c:v>
                </c:pt>
                <c:pt idx="188">
                  <c:v>1.3410351127446876</c:v>
                </c:pt>
                <c:pt idx="189">
                  <c:v>0.93310480003574625</c:v>
                </c:pt>
                <c:pt idx="190">
                  <c:v>0.87025939203289582</c:v>
                </c:pt>
                <c:pt idx="191">
                  <c:v>1.5147236131087898</c:v>
                </c:pt>
                <c:pt idx="192">
                  <c:v>0.85520549534192214</c:v>
                </c:pt>
                <c:pt idx="193">
                  <c:v>1.1130622636058647</c:v>
                </c:pt>
                <c:pt idx="194">
                  <c:v>0.96545639129394512</c:v>
                </c:pt>
                <c:pt idx="195">
                  <c:v>1.0953486974677027</c:v>
                </c:pt>
                <c:pt idx="196">
                  <c:v>0.94115541649385537</c:v>
                </c:pt>
                <c:pt idx="197">
                  <c:v>0.98697622127594653</c:v>
                </c:pt>
                <c:pt idx="198">
                  <c:v>1.0864891795569402</c:v>
                </c:pt>
                <c:pt idx="199">
                  <c:v>0</c:v>
                </c:pt>
                <c:pt idx="200">
                  <c:v>0.97511909646297612</c:v>
                </c:pt>
                <c:pt idx="201">
                  <c:v>0.96123910886210173</c:v>
                </c:pt>
                <c:pt idx="202">
                  <c:v>1.1150394683014302</c:v>
                </c:pt>
                <c:pt idx="203">
                  <c:v>0.93601937017964099</c:v>
                </c:pt>
                <c:pt idx="204">
                  <c:v>0.97228115444619168</c:v>
                </c:pt>
                <c:pt idx="205">
                  <c:v>1.1065773777959143</c:v>
                </c:pt>
                <c:pt idx="206">
                  <c:v>1.6772269266410664</c:v>
                </c:pt>
                <c:pt idx="207">
                  <c:v>1.024630490427666</c:v>
                </c:pt>
                <c:pt idx="208">
                  <c:v>1.162098744070923</c:v>
                </c:pt>
                <c:pt idx="209">
                  <c:v>1.0849879495526928</c:v>
                </c:pt>
                <c:pt idx="210">
                  <c:v>1</c:v>
                </c:pt>
                <c:pt idx="211">
                  <c:v>1</c:v>
                </c:pt>
                <c:pt idx="212">
                  <c:v>0.74645745582544709</c:v>
                </c:pt>
                <c:pt idx="213">
                  <c:v>0.65440646347147291</c:v>
                </c:pt>
                <c:pt idx="214">
                  <c:v>0.86626402070750652</c:v>
                </c:pt>
                <c:pt idx="215">
                  <c:v>0</c:v>
                </c:pt>
                <c:pt idx="216">
                  <c:v>0.68467739710453912</c:v>
                </c:pt>
                <c:pt idx="217">
                  <c:v>1.0359680488784047</c:v>
                </c:pt>
                <c:pt idx="218">
                  <c:v>0.67868729013532503</c:v>
                </c:pt>
                <c:pt idx="219">
                  <c:v>1.0767191342865152</c:v>
                </c:pt>
                <c:pt idx="220">
                  <c:v>1.0771457263688171</c:v>
                </c:pt>
                <c:pt idx="221">
                  <c:v>1.000825177613299</c:v>
                </c:pt>
                <c:pt idx="222">
                  <c:v>0.63898823880641586</c:v>
                </c:pt>
                <c:pt idx="223">
                  <c:v>0.73924512696546085</c:v>
                </c:pt>
                <c:pt idx="224">
                  <c:v>1.1618512131976952</c:v>
                </c:pt>
                <c:pt idx="225">
                  <c:v>0.72633374341804824</c:v>
                </c:pt>
                <c:pt idx="226">
                  <c:v>0.75400013200926497</c:v>
                </c:pt>
                <c:pt idx="227">
                  <c:v>1.0002692328949259</c:v>
                </c:pt>
                <c:pt idx="228">
                  <c:v>0.63292489521379602</c:v>
                </c:pt>
                <c:pt idx="229">
                  <c:v>1.2648314968012164</c:v>
                </c:pt>
                <c:pt idx="230">
                  <c:v>1</c:v>
                </c:pt>
                <c:pt idx="231">
                  <c:v>0.95972228420837502</c:v>
                </c:pt>
                <c:pt idx="232">
                  <c:v>0.95692750390543657</c:v>
                </c:pt>
                <c:pt idx="233">
                  <c:v>1.1093102722998569</c:v>
                </c:pt>
                <c:pt idx="234">
                  <c:v>0.96762589928057552</c:v>
                </c:pt>
                <c:pt idx="235">
                  <c:v>1.1248507186141501</c:v>
                </c:pt>
                <c:pt idx="236">
                  <c:v>1.3796539954432834</c:v>
                </c:pt>
                <c:pt idx="237">
                  <c:v>0.93712665612600687</c:v>
                </c:pt>
                <c:pt idx="238">
                  <c:v>1.0095343957325076</c:v>
                </c:pt>
                <c:pt idx="239">
                  <c:v>0.78909154398737613</c:v>
                </c:pt>
                <c:pt idx="240">
                  <c:v>1</c:v>
                </c:pt>
                <c:pt idx="241">
                  <c:v>1</c:v>
                </c:pt>
                <c:pt idx="242">
                  <c:v>0.93527480684988118</c:v>
                </c:pt>
                <c:pt idx="243">
                  <c:v>1.4822322141280799</c:v>
                </c:pt>
                <c:pt idx="244">
                  <c:v>0.9601139047349182</c:v>
                </c:pt>
                <c:pt idx="245">
                  <c:v>0.82625634412902194</c:v>
                </c:pt>
                <c:pt idx="246">
                  <c:v>1.0625500982773062</c:v>
                </c:pt>
                <c:pt idx="247">
                  <c:v>1.0627262740118579</c:v>
                </c:pt>
                <c:pt idx="248">
                  <c:v>1.1179242582161224</c:v>
                </c:pt>
                <c:pt idx="249">
                  <c:v>1.1131805909252479</c:v>
                </c:pt>
                <c:pt idx="250">
                  <c:v>1.0396608877230671</c:v>
                </c:pt>
                <c:pt idx="251">
                  <c:v>1.0332122674684099</c:v>
                </c:pt>
                <c:pt idx="252">
                  <c:v>1.1141268495754608</c:v>
                </c:pt>
                <c:pt idx="253">
                  <c:v>1.111818575715843</c:v>
                </c:pt>
                <c:pt idx="254">
                  <c:v>1</c:v>
                </c:pt>
                <c:pt idx="255">
                  <c:v>1</c:v>
                </c:pt>
                <c:pt idx="256">
                  <c:v>0.97894457082747688</c:v>
                </c:pt>
                <c:pt idx="257">
                  <c:v>0.91208253125064931</c:v>
                </c:pt>
                <c:pt idx="258">
                  <c:v>1.2792539211145848</c:v>
                </c:pt>
                <c:pt idx="259">
                  <c:v>0.94846759987164653</c:v>
                </c:pt>
                <c:pt idx="260">
                  <c:v>0.75051026424073697</c:v>
                </c:pt>
                <c:pt idx="261">
                  <c:v>0.77281597321579087</c:v>
                </c:pt>
                <c:pt idx="262">
                  <c:v>0.95614243505191698</c:v>
                </c:pt>
                <c:pt idx="263">
                  <c:v>1.0414859751276166</c:v>
                </c:pt>
                <c:pt idx="264">
                  <c:v>0.86413021470864393</c:v>
                </c:pt>
                <c:pt idx="265">
                  <c:v>0.89951817016281221</c:v>
                </c:pt>
                <c:pt idx="266">
                  <c:v>0.67646352686461653</c:v>
                </c:pt>
                <c:pt idx="267">
                  <c:v>0.74462905197182427</c:v>
                </c:pt>
                <c:pt idx="268">
                  <c:v>0.98674521354933731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4D-4F08-A2C0-267AF3D990D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(2)'!$AS$20:$AS$53</c:f>
            </c:numRef>
          </c:xVal>
          <c:yVal>
            <c:numRef>
              <c:f>'headed (2)'!$AS$54:$AS$55</c:f>
            </c:numRef>
          </c:yVal>
          <c:smooth val="0"/>
          <c:extLst>
            <c:ext xmlns:c16="http://schemas.microsoft.com/office/drawing/2014/chart" uri="{C3380CC4-5D6E-409C-BE32-E72D297353CC}">
              <c16:uniqueId val="{00000001-9D4D-4F08-A2C0-267AF3D99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97760"/>
        <c:axId val="126607744"/>
      </c:scatterChart>
      <c:valAx>
        <c:axId val="12659776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607744"/>
        <c:crosses val="autoZero"/>
        <c:crossBetween val="midCat"/>
      </c:valAx>
      <c:valAx>
        <c:axId val="126607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9776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(2)'!$O$105:$O$153</c:f>
            </c:numRef>
          </c:xVal>
          <c:yVal>
            <c:numRef>
              <c:f>'headed (2)'!$DA$105:$DA$153</c:f>
            </c:numRef>
          </c:yVal>
          <c:smooth val="0"/>
          <c:extLst>
            <c:ext xmlns:c16="http://schemas.microsoft.com/office/drawing/2014/chart" uri="{C3380CC4-5D6E-409C-BE32-E72D297353CC}">
              <c16:uniqueId val="{00000000-CD59-44C4-8409-E52138AFDF1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1-CD59-44C4-8409-E52138AFD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82304"/>
        <c:axId val="131683840"/>
      </c:scatterChart>
      <c:valAx>
        <c:axId val="1316823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3840"/>
        <c:crosses val="autoZero"/>
        <c:crossBetween val="midCat"/>
      </c:valAx>
      <c:valAx>
        <c:axId val="13168384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23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(2)'!$O$166:$O$582</c:f>
              <c:numCache>
                <c:formatCode>General</c:formatCode>
                <c:ptCount val="399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13.921985815602838</c:v>
                </c:pt>
                <c:pt idx="16">
                  <c:v>13.829787234042554</c:v>
                </c:pt>
                <c:pt idx="17">
                  <c:v>13.787234042553195</c:v>
                </c:pt>
                <c:pt idx="18">
                  <c:v>13.744680851063832</c:v>
                </c:pt>
                <c:pt idx="19">
                  <c:v>13.744680851063832</c:v>
                </c:pt>
                <c:pt idx="20">
                  <c:v>13.680851063829788</c:v>
                </c:pt>
                <c:pt idx="21">
                  <c:v>13.652482269503549</c:v>
                </c:pt>
                <c:pt idx="22">
                  <c:v>13.567375886524824</c:v>
                </c:pt>
                <c:pt idx="23">
                  <c:v>8.3595113438045381</c:v>
                </c:pt>
                <c:pt idx="24">
                  <c:v>12.368794326241137</c:v>
                </c:pt>
                <c:pt idx="25">
                  <c:v>12.234042553191491</c:v>
                </c:pt>
                <c:pt idx="26">
                  <c:v>12.148936170212767</c:v>
                </c:pt>
                <c:pt idx="27">
                  <c:v>12.067039106145252</c:v>
                </c:pt>
                <c:pt idx="28">
                  <c:v>12.056737588652483</c:v>
                </c:pt>
                <c:pt idx="29">
                  <c:v>12.014184397163124</c:v>
                </c:pt>
                <c:pt idx="30">
                  <c:v>12.014184397163124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12.000000000000004</c:v>
                </c:pt>
                <c:pt idx="38">
                  <c:v>12.000000000000004</c:v>
                </c:pt>
                <c:pt idx="39">
                  <c:v>11.921985815602838</c:v>
                </c:pt>
                <c:pt idx="40">
                  <c:v>11.921985815602838</c:v>
                </c:pt>
                <c:pt idx="41">
                  <c:v>11.879432624113477</c:v>
                </c:pt>
                <c:pt idx="42">
                  <c:v>11.858156028368795</c:v>
                </c:pt>
                <c:pt idx="43">
                  <c:v>11.744680851063832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15.749999999999998</c:v>
                </c:pt>
                <c:pt idx="51">
                  <c:v>15.28</c:v>
                </c:pt>
                <c:pt idx="52">
                  <c:v>10.581560283687944</c:v>
                </c:pt>
                <c:pt idx="53">
                  <c:v>10.43262411347518</c:v>
                </c:pt>
                <c:pt idx="54">
                  <c:v>10.418439716312058</c:v>
                </c:pt>
                <c:pt idx="55">
                  <c:v>10.418439716312058</c:v>
                </c:pt>
                <c:pt idx="56">
                  <c:v>10.375886524822697</c:v>
                </c:pt>
                <c:pt idx="57">
                  <c:v>10.375886524822697</c:v>
                </c:pt>
                <c:pt idx="58">
                  <c:v>14.58</c:v>
                </c:pt>
                <c:pt idx="59">
                  <c:v>14.58</c:v>
                </c:pt>
                <c:pt idx="60">
                  <c:v>10.312056737588653</c:v>
                </c:pt>
                <c:pt idx="61">
                  <c:v>10.312056737588653</c:v>
                </c:pt>
                <c:pt idx="62">
                  <c:v>14.54</c:v>
                </c:pt>
                <c:pt idx="63">
                  <c:v>14.54</c:v>
                </c:pt>
                <c:pt idx="64">
                  <c:v>10.283687943262413</c:v>
                </c:pt>
                <c:pt idx="65">
                  <c:v>10.283687943262413</c:v>
                </c:pt>
                <c:pt idx="66">
                  <c:v>14.499999999999998</c:v>
                </c:pt>
                <c:pt idx="67">
                  <c:v>14.499999999999998</c:v>
                </c:pt>
                <c:pt idx="68">
                  <c:v>14.42</c:v>
                </c:pt>
                <c:pt idx="69">
                  <c:v>14.42</c:v>
                </c:pt>
                <c:pt idx="70">
                  <c:v>14.38</c:v>
                </c:pt>
                <c:pt idx="71">
                  <c:v>14.38</c:v>
                </c:pt>
                <c:pt idx="72">
                  <c:v>14.38</c:v>
                </c:pt>
                <c:pt idx="73">
                  <c:v>14.38</c:v>
                </c:pt>
                <c:pt idx="74">
                  <c:v>14.35</c:v>
                </c:pt>
                <c:pt idx="75">
                  <c:v>14.299999999999999</c:v>
                </c:pt>
                <c:pt idx="76">
                  <c:v>14.27</c:v>
                </c:pt>
                <c:pt idx="77">
                  <c:v>14.25</c:v>
                </c:pt>
                <c:pt idx="78">
                  <c:v>14.25</c:v>
                </c:pt>
                <c:pt idx="79">
                  <c:v>14.13</c:v>
                </c:pt>
                <c:pt idx="80">
                  <c:v>14.09</c:v>
                </c:pt>
                <c:pt idx="81">
                  <c:v>14.080000000000002</c:v>
                </c:pt>
                <c:pt idx="82">
                  <c:v>14.059999999999999</c:v>
                </c:pt>
                <c:pt idx="83">
                  <c:v>9.9441340782122918</c:v>
                </c:pt>
                <c:pt idx="84">
                  <c:v>12.66</c:v>
                </c:pt>
                <c:pt idx="85">
                  <c:v>12.590000000000002</c:v>
                </c:pt>
                <c:pt idx="86">
                  <c:v>8.9078014184397176</c:v>
                </c:pt>
                <c:pt idx="87">
                  <c:v>12.56</c:v>
                </c:pt>
                <c:pt idx="88">
                  <c:v>8.8652482269503565</c:v>
                </c:pt>
                <c:pt idx="89">
                  <c:v>12.5</c:v>
                </c:pt>
                <c:pt idx="90">
                  <c:v>12.439999999999998</c:v>
                </c:pt>
                <c:pt idx="91">
                  <c:v>12.38</c:v>
                </c:pt>
                <c:pt idx="92">
                  <c:v>12.31</c:v>
                </c:pt>
                <c:pt idx="93">
                  <c:v>12.21</c:v>
                </c:pt>
                <c:pt idx="94">
                  <c:v>12.19</c:v>
                </c:pt>
                <c:pt idx="95">
                  <c:v>12.17</c:v>
                </c:pt>
                <c:pt idx="96">
                  <c:v>12.17</c:v>
                </c:pt>
                <c:pt idx="97">
                  <c:v>8.6028368794326244</c:v>
                </c:pt>
                <c:pt idx="98">
                  <c:v>12.129999999999999</c:v>
                </c:pt>
                <c:pt idx="99">
                  <c:v>8.6028368794326244</c:v>
                </c:pt>
                <c:pt idx="100">
                  <c:v>8.5744680851063837</c:v>
                </c:pt>
                <c:pt idx="101">
                  <c:v>12.06</c:v>
                </c:pt>
                <c:pt idx="102">
                  <c:v>12.06</c:v>
                </c:pt>
                <c:pt idx="103">
                  <c:v>12.04</c:v>
                </c:pt>
                <c:pt idx="104">
                  <c:v>12.03</c:v>
                </c:pt>
                <c:pt idx="105">
                  <c:v>8.5106382978723403</c:v>
                </c:pt>
                <c:pt idx="106">
                  <c:v>8.5106382978723403</c:v>
                </c:pt>
                <c:pt idx="107">
                  <c:v>11.999999999999998</c:v>
                </c:pt>
                <c:pt idx="108">
                  <c:v>11.999999999999998</c:v>
                </c:pt>
                <c:pt idx="109">
                  <c:v>11.97</c:v>
                </c:pt>
                <c:pt idx="110">
                  <c:v>11.95</c:v>
                </c:pt>
                <c:pt idx="111">
                  <c:v>11.9</c:v>
                </c:pt>
                <c:pt idx="112">
                  <c:v>11.88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11.299212598425198</c:v>
                </c:pt>
                <c:pt idx="117">
                  <c:v>11.299212598425198</c:v>
                </c:pt>
                <c:pt idx="118">
                  <c:v>11.25</c:v>
                </c:pt>
                <c:pt idx="119">
                  <c:v>7.9608938547486039</c:v>
                </c:pt>
                <c:pt idx="120">
                  <c:v>7.9608938547486039</c:v>
                </c:pt>
                <c:pt idx="121">
                  <c:v>7.9608938547486039</c:v>
                </c:pt>
                <c:pt idx="122">
                  <c:v>11.13</c:v>
                </c:pt>
                <c:pt idx="123">
                  <c:v>11.06</c:v>
                </c:pt>
                <c:pt idx="124">
                  <c:v>7.8212290502793298</c:v>
                </c:pt>
                <c:pt idx="125">
                  <c:v>7.8212290502793298</c:v>
                </c:pt>
                <c:pt idx="126">
                  <c:v>7.8212290502793298</c:v>
                </c:pt>
                <c:pt idx="127">
                  <c:v>7.8212290502793298</c:v>
                </c:pt>
                <c:pt idx="128">
                  <c:v>7.8212290502793298</c:v>
                </c:pt>
                <c:pt idx="129">
                  <c:v>10.94</c:v>
                </c:pt>
                <c:pt idx="130">
                  <c:v>10.83</c:v>
                </c:pt>
                <c:pt idx="131">
                  <c:v>10.58</c:v>
                </c:pt>
                <c:pt idx="132">
                  <c:v>10.5</c:v>
                </c:pt>
                <c:pt idx="133">
                  <c:v>10.35</c:v>
                </c:pt>
                <c:pt idx="134">
                  <c:v>10.33</c:v>
                </c:pt>
                <c:pt idx="135">
                  <c:v>10.33</c:v>
                </c:pt>
                <c:pt idx="136">
                  <c:v>10.29</c:v>
                </c:pt>
                <c:pt idx="137">
                  <c:v>10.25</c:v>
                </c:pt>
                <c:pt idx="138">
                  <c:v>10.130000000000001</c:v>
                </c:pt>
                <c:pt idx="139">
                  <c:v>10.1</c:v>
                </c:pt>
                <c:pt idx="140">
                  <c:v>10.08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9.94</c:v>
                </c:pt>
                <c:pt idx="145">
                  <c:v>9.92</c:v>
                </c:pt>
                <c:pt idx="146">
                  <c:v>9.92</c:v>
                </c:pt>
                <c:pt idx="147">
                  <c:v>9.9</c:v>
                </c:pt>
                <c:pt idx="148">
                  <c:v>9.8800000000000008</c:v>
                </c:pt>
                <c:pt idx="149">
                  <c:v>9.8800000000000008</c:v>
                </c:pt>
                <c:pt idx="150">
                  <c:v>9.8800000000000008</c:v>
                </c:pt>
                <c:pt idx="151">
                  <c:v>9.8800000000000008</c:v>
                </c:pt>
                <c:pt idx="152">
                  <c:v>9.81</c:v>
                </c:pt>
                <c:pt idx="153">
                  <c:v>9.7899999999999991</c:v>
                </c:pt>
                <c:pt idx="154">
                  <c:v>9.77</c:v>
                </c:pt>
                <c:pt idx="155">
                  <c:v>9.75</c:v>
                </c:pt>
                <c:pt idx="156">
                  <c:v>9.75</c:v>
                </c:pt>
                <c:pt idx="157">
                  <c:v>9.69</c:v>
                </c:pt>
                <c:pt idx="158">
                  <c:v>9.69</c:v>
                </c:pt>
                <c:pt idx="159">
                  <c:v>9.69</c:v>
                </c:pt>
                <c:pt idx="160">
                  <c:v>9.66</c:v>
                </c:pt>
                <c:pt idx="161">
                  <c:v>9.6300000000000008</c:v>
                </c:pt>
                <c:pt idx="162">
                  <c:v>9.6</c:v>
                </c:pt>
                <c:pt idx="163">
                  <c:v>9.58</c:v>
                </c:pt>
                <c:pt idx="164">
                  <c:v>9.58</c:v>
                </c:pt>
                <c:pt idx="165">
                  <c:v>9.56</c:v>
                </c:pt>
                <c:pt idx="166">
                  <c:v>9.56</c:v>
                </c:pt>
                <c:pt idx="167">
                  <c:v>9.5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9.4700000000000006</c:v>
                </c:pt>
                <c:pt idx="174">
                  <c:v>9.4600000000000009</c:v>
                </c:pt>
                <c:pt idx="175">
                  <c:v>9.42</c:v>
                </c:pt>
                <c:pt idx="176">
                  <c:v>9.3800000000000008</c:v>
                </c:pt>
                <c:pt idx="177">
                  <c:v>9.3800000000000008</c:v>
                </c:pt>
                <c:pt idx="178">
                  <c:v>9.3800000000000008</c:v>
                </c:pt>
                <c:pt idx="179">
                  <c:v>9.3800000000000008</c:v>
                </c:pt>
                <c:pt idx="180">
                  <c:v>9.33</c:v>
                </c:pt>
                <c:pt idx="181">
                  <c:v>9.33</c:v>
                </c:pt>
                <c:pt idx="182">
                  <c:v>9.31</c:v>
                </c:pt>
                <c:pt idx="183">
                  <c:v>9.25</c:v>
                </c:pt>
                <c:pt idx="184">
                  <c:v>9.25</c:v>
                </c:pt>
                <c:pt idx="185">
                  <c:v>9.25</c:v>
                </c:pt>
                <c:pt idx="186">
                  <c:v>9.25</c:v>
                </c:pt>
                <c:pt idx="187">
                  <c:v>9.19</c:v>
                </c:pt>
                <c:pt idx="188">
                  <c:v>9.19</c:v>
                </c:pt>
                <c:pt idx="189">
                  <c:v>9.19</c:v>
                </c:pt>
                <c:pt idx="190">
                  <c:v>9.17</c:v>
                </c:pt>
                <c:pt idx="191">
                  <c:v>9.1300000000000008</c:v>
                </c:pt>
                <c:pt idx="192">
                  <c:v>9.06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6.061452513966481</c:v>
                </c:pt>
                <c:pt idx="197">
                  <c:v>8.31</c:v>
                </c:pt>
                <c:pt idx="198">
                  <c:v>8.3070866141732296</c:v>
                </c:pt>
                <c:pt idx="199">
                  <c:v>8.3070866141732296</c:v>
                </c:pt>
                <c:pt idx="200">
                  <c:v>8.3070866141732296</c:v>
                </c:pt>
                <c:pt idx="201">
                  <c:v>8.25</c:v>
                </c:pt>
                <c:pt idx="202">
                  <c:v>8.25</c:v>
                </c:pt>
                <c:pt idx="203">
                  <c:v>5.8379888268156428</c:v>
                </c:pt>
                <c:pt idx="204">
                  <c:v>5.6983240223463696</c:v>
                </c:pt>
                <c:pt idx="205">
                  <c:v>8.0314960629921259</c:v>
                </c:pt>
                <c:pt idx="206">
                  <c:v>8</c:v>
                </c:pt>
                <c:pt idx="207">
                  <c:v>6</c:v>
                </c:pt>
                <c:pt idx="208">
                  <c:v>6</c:v>
                </c:pt>
                <c:pt idx="209">
                  <c:v>7.06</c:v>
                </c:pt>
                <c:pt idx="210">
                  <c:v>7.06</c:v>
                </c:pt>
                <c:pt idx="211">
                  <c:v>7</c:v>
                </c:pt>
                <c:pt idx="212">
                  <c:v>6.3385826771653546</c:v>
                </c:pt>
                <c:pt idx="213">
                  <c:v>6.33</c:v>
                </c:pt>
                <c:pt idx="214">
                  <c:v>6.29</c:v>
                </c:pt>
                <c:pt idx="215">
                  <c:v>6.25</c:v>
                </c:pt>
                <c:pt idx="216">
                  <c:v>6.25</c:v>
                </c:pt>
                <c:pt idx="217">
                  <c:v>6.25</c:v>
                </c:pt>
                <c:pt idx="218">
                  <c:v>9.9519999999999982</c:v>
                </c:pt>
                <c:pt idx="219">
                  <c:v>6.21</c:v>
                </c:pt>
                <c:pt idx="220">
                  <c:v>6.19</c:v>
                </c:pt>
                <c:pt idx="221">
                  <c:v>6.16</c:v>
                </c:pt>
                <c:pt idx="222">
                  <c:v>6.13</c:v>
                </c:pt>
                <c:pt idx="223">
                  <c:v>6.13</c:v>
                </c:pt>
                <c:pt idx="224">
                  <c:v>6.0999999999999988</c:v>
                </c:pt>
                <c:pt idx="225">
                  <c:v>6.09</c:v>
                </c:pt>
                <c:pt idx="226">
                  <c:v>9.695999999999998</c:v>
                </c:pt>
                <c:pt idx="227">
                  <c:v>9.6479999999999997</c:v>
                </c:pt>
                <c:pt idx="228">
                  <c:v>6.03</c:v>
                </c:pt>
                <c:pt idx="229">
                  <c:v>9.5999999999999979</c:v>
                </c:pt>
                <c:pt idx="230">
                  <c:v>9.5999999999999979</c:v>
                </c:pt>
                <c:pt idx="231">
                  <c:v>9.5999999999999979</c:v>
                </c:pt>
                <c:pt idx="232">
                  <c:v>5.9999999999999991</c:v>
                </c:pt>
                <c:pt idx="233">
                  <c:v>9.5039999999999996</c:v>
                </c:pt>
                <c:pt idx="234">
                  <c:v>5.63</c:v>
                </c:pt>
                <c:pt idx="235">
                  <c:v>5.5</c:v>
                </c:pt>
                <c:pt idx="236">
                  <c:v>5.5</c:v>
                </c:pt>
                <c:pt idx="237">
                  <c:v>6</c:v>
                </c:pt>
                <c:pt idx="238">
                  <c:v>6</c:v>
                </c:pt>
                <c:pt idx="239">
                  <c:v>8.3040000000000003</c:v>
                </c:pt>
                <c:pt idx="240">
                  <c:v>8.3040000000000003</c:v>
                </c:pt>
                <c:pt idx="241">
                  <c:v>8.24</c:v>
                </c:pt>
                <c:pt idx="242">
                  <c:v>8.0640000000000001</c:v>
                </c:pt>
                <c:pt idx="243">
                  <c:v>8.048</c:v>
                </c:pt>
                <c:pt idx="244">
                  <c:v>8.0319999999999983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7.056</c:v>
                </c:pt>
                <c:pt idx="254">
                  <c:v>6.7519999999999989</c:v>
                </c:pt>
                <c:pt idx="255">
                  <c:v>6.7039999999999997</c:v>
                </c:pt>
                <c:pt idx="256">
                  <c:v>6.6559999999999997</c:v>
                </c:pt>
                <c:pt idx="257">
                  <c:v>6.6079999999999988</c:v>
                </c:pt>
                <c:pt idx="258">
                  <c:v>6.6079999999999988</c:v>
                </c:pt>
                <c:pt idx="259">
                  <c:v>6.6079999999999988</c:v>
                </c:pt>
                <c:pt idx="260">
                  <c:v>6.5439999999999996</c:v>
                </c:pt>
                <c:pt idx="261">
                  <c:v>6.5439999999999996</c:v>
                </c:pt>
                <c:pt idx="262">
                  <c:v>6.4959999999999987</c:v>
                </c:pt>
                <c:pt idx="263">
                  <c:v>6.4959999999999987</c:v>
                </c:pt>
                <c:pt idx="264">
                  <c:v>6.0960000000000001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88">
                  <c:v>8</c:v>
                </c:pt>
                <c:pt idx="289">
                  <c:v>8.3000000000000007</c:v>
                </c:pt>
                <c:pt idx="290">
                  <c:v>8.5</c:v>
                </c:pt>
                <c:pt idx="291">
                  <c:v>7.5</c:v>
                </c:pt>
                <c:pt idx="292">
                  <c:v>7.4</c:v>
                </c:pt>
                <c:pt idx="293">
                  <c:v>7.4</c:v>
                </c:pt>
                <c:pt idx="294">
                  <c:v>7.1</c:v>
                </c:pt>
                <c:pt idx="295">
                  <c:v>7</c:v>
                </c:pt>
                <c:pt idx="296">
                  <c:v>5.9999999999999991</c:v>
                </c:pt>
                <c:pt idx="297">
                  <c:v>5.9999999999999991</c:v>
                </c:pt>
                <c:pt idx="298">
                  <c:v>6.0999999999999988</c:v>
                </c:pt>
                <c:pt idx="299">
                  <c:v>6.0999999999999988</c:v>
                </c:pt>
                <c:pt idx="300">
                  <c:v>6.3</c:v>
                </c:pt>
                <c:pt idx="301">
                  <c:v>6.3</c:v>
                </c:pt>
                <c:pt idx="302">
                  <c:v>6.4</c:v>
                </c:pt>
                <c:pt idx="303">
                  <c:v>6.5</c:v>
                </c:pt>
                <c:pt idx="304">
                  <c:v>6.5</c:v>
                </c:pt>
                <c:pt idx="305">
                  <c:v>6.5</c:v>
                </c:pt>
                <c:pt idx="306">
                  <c:v>6.6</c:v>
                </c:pt>
                <c:pt idx="307">
                  <c:v>6.5</c:v>
                </c:pt>
                <c:pt idx="308">
                  <c:v>6.5</c:v>
                </c:pt>
                <c:pt idx="309">
                  <c:v>6.4</c:v>
                </c:pt>
                <c:pt idx="310">
                  <c:v>8.4</c:v>
                </c:pt>
                <c:pt idx="311">
                  <c:v>6.5</c:v>
                </c:pt>
                <c:pt idx="312">
                  <c:v>6.3</c:v>
                </c:pt>
                <c:pt idx="313">
                  <c:v>6.8000000000000007</c:v>
                </c:pt>
                <c:pt idx="314">
                  <c:v>5.9999999999999991</c:v>
                </c:pt>
                <c:pt idx="315">
                  <c:v>6.0999999999999988</c:v>
                </c:pt>
                <c:pt idx="316">
                  <c:v>6.8000000000000007</c:v>
                </c:pt>
                <c:pt idx="317">
                  <c:v>6.3</c:v>
                </c:pt>
                <c:pt idx="318">
                  <c:v>6.6</c:v>
                </c:pt>
                <c:pt idx="319">
                  <c:v>6.9</c:v>
                </c:pt>
                <c:pt idx="326">
                  <c:v>20</c:v>
                </c:pt>
                <c:pt idx="327">
                  <c:v>20</c:v>
                </c:pt>
                <c:pt idx="328">
                  <c:v>7</c:v>
                </c:pt>
                <c:pt idx="329">
                  <c:v>7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16</c:v>
                </c:pt>
                <c:pt idx="337">
                  <c:v>7</c:v>
                </c:pt>
                <c:pt idx="338">
                  <c:v>7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16</c:v>
                </c:pt>
                <c:pt idx="346">
                  <c:v>20</c:v>
                </c:pt>
                <c:pt idx="347">
                  <c:v>20</c:v>
                </c:pt>
                <c:pt idx="348">
                  <c:v>7</c:v>
                </c:pt>
                <c:pt idx="349">
                  <c:v>10</c:v>
                </c:pt>
                <c:pt idx="350">
                  <c:v>13</c:v>
                </c:pt>
                <c:pt idx="351">
                  <c:v>7</c:v>
                </c:pt>
                <c:pt idx="352">
                  <c:v>10</c:v>
                </c:pt>
                <c:pt idx="353">
                  <c:v>13</c:v>
                </c:pt>
                <c:pt idx="354">
                  <c:v>16</c:v>
                </c:pt>
                <c:pt idx="355">
                  <c:v>16</c:v>
                </c:pt>
                <c:pt idx="356">
                  <c:v>20</c:v>
                </c:pt>
                <c:pt idx="357">
                  <c:v>20</c:v>
                </c:pt>
                <c:pt idx="358">
                  <c:v>23</c:v>
                </c:pt>
                <c:pt idx="359">
                  <c:v>23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</c:numCache>
            </c:numRef>
          </c:xVal>
          <c:yVal>
            <c:numRef>
              <c:f>'headed (2)'!$CW$166:$CW$582</c:f>
              <c:numCache>
                <c:formatCode>General</c:formatCode>
                <c:ptCount val="399"/>
                <c:pt idx="0">
                  <c:v>1.1105974873373516</c:v>
                </c:pt>
                <c:pt idx="1">
                  <c:v>0.95321963141319743</c:v>
                </c:pt>
                <c:pt idx="2">
                  <c:v>1.114387922447718</c:v>
                </c:pt>
                <c:pt idx="3">
                  <c:v>1.0020192712466374</c:v>
                </c:pt>
                <c:pt idx="4">
                  <c:v>1.0835992283701597</c:v>
                </c:pt>
                <c:pt idx="5">
                  <c:v>0.91992270156739442</c:v>
                </c:pt>
                <c:pt idx="6">
                  <c:v>0.60055816701751907</c:v>
                </c:pt>
                <c:pt idx="7">
                  <c:v>0.8064397361857164</c:v>
                </c:pt>
                <c:pt idx="8">
                  <c:v>0.85316543926317967</c:v>
                </c:pt>
                <c:pt idx="9">
                  <c:v>0.91412308338752946</c:v>
                </c:pt>
                <c:pt idx="10">
                  <c:v>0.8457569800117225</c:v>
                </c:pt>
                <c:pt idx="11">
                  <c:v>1.0172127143791025</c:v>
                </c:pt>
                <c:pt idx="12">
                  <c:v>0.94066025167937894</c:v>
                </c:pt>
                <c:pt idx="13">
                  <c:v>0.76127438140166614</c:v>
                </c:pt>
                <c:pt idx="14">
                  <c:v>0.9624039053840493</c:v>
                </c:pt>
                <c:pt idx="15">
                  <c:v>1.2175479015295021</c:v>
                </c:pt>
                <c:pt idx="16">
                  <c:v>1.0434037473596134</c:v>
                </c:pt>
                <c:pt idx="17">
                  <c:v>1.3007003755234947</c:v>
                </c:pt>
                <c:pt idx="18">
                  <c:v>1.3425283319770762</c:v>
                </c:pt>
                <c:pt idx="19">
                  <c:v>0.9576858753337375</c:v>
                </c:pt>
                <c:pt idx="20">
                  <c:v>1.0392943971333077</c:v>
                </c:pt>
                <c:pt idx="21">
                  <c:v>0.96182109083432143</c:v>
                </c:pt>
                <c:pt idx="22">
                  <c:v>1.1967680745785221</c:v>
                </c:pt>
                <c:pt idx="23">
                  <c:v>0.31821937636590253</c:v>
                </c:pt>
                <c:pt idx="24">
                  <c:v>0.9895836477926353</c:v>
                </c:pt>
                <c:pt idx="25">
                  <c:v>1.1280239260463714</c:v>
                </c:pt>
                <c:pt idx="26">
                  <c:v>1.0458762065595366</c:v>
                </c:pt>
                <c:pt idx="27">
                  <c:v>1.0350535220775872</c:v>
                </c:pt>
                <c:pt idx="28">
                  <c:v>0.69930309621863518</c:v>
                </c:pt>
                <c:pt idx="29">
                  <c:v>1.1231993253354746</c:v>
                </c:pt>
                <c:pt idx="30">
                  <c:v>1.056751021942246</c:v>
                </c:pt>
                <c:pt idx="31">
                  <c:v>1.0958701302456109</c:v>
                </c:pt>
                <c:pt idx="32">
                  <c:v>1.0958701302456109</c:v>
                </c:pt>
                <c:pt idx="33">
                  <c:v>1.00807985266901</c:v>
                </c:pt>
                <c:pt idx="34">
                  <c:v>1.00807985266901</c:v>
                </c:pt>
                <c:pt idx="35">
                  <c:v>0.94893254593398446</c:v>
                </c:pt>
                <c:pt idx="36">
                  <c:v>0.94893254593398446</c:v>
                </c:pt>
                <c:pt idx="37">
                  <c:v>0.70142745650926142</c:v>
                </c:pt>
                <c:pt idx="38">
                  <c:v>0.66829991143050049</c:v>
                </c:pt>
                <c:pt idx="39">
                  <c:v>1.0585804325386099</c:v>
                </c:pt>
                <c:pt idx="40">
                  <c:v>1.0436892102875694</c:v>
                </c:pt>
                <c:pt idx="41">
                  <c:v>0.8267117077633499</c:v>
                </c:pt>
                <c:pt idx="42">
                  <c:v>0.98836811047695539</c:v>
                </c:pt>
                <c:pt idx="43">
                  <c:v>1.0477514047953278</c:v>
                </c:pt>
                <c:pt idx="44">
                  <c:v>0.88656349656218902</c:v>
                </c:pt>
                <c:pt idx="45">
                  <c:v>0.88656349656218902</c:v>
                </c:pt>
                <c:pt idx="46">
                  <c:v>0.913470930321853</c:v>
                </c:pt>
                <c:pt idx="47">
                  <c:v>0.913470930321853</c:v>
                </c:pt>
                <c:pt idx="48">
                  <c:v>0.96504995295689378</c:v>
                </c:pt>
                <c:pt idx="49">
                  <c:v>0.96504995295689378</c:v>
                </c:pt>
                <c:pt idx="50">
                  <c:v>1.0564220201122723</c:v>
                </c:pt>
                <c:pt idx="51">
                  <c:v>1.2384810622137228</c:v>
                </c:pt>
                <c:pt idx="52">
                  <c:v>0.51563362796658507</c:v>
                </c:pt>
                <c:pt idx="53">
                  <c:v>0.59492712262465242</c:v>
                </c:pt>
                <c:pt idx="54">
                  <c:v>0.55788863885703999</c:v>
                </c:pt>
                <c:pt idx="55">
                  <c:v>0.70122789556506115</c:v>
                </c:pt>
                <c:pt idx="56">
                  <c:v>0.39567942283543261</c:v>
                </c:pt>
                <c:pt idx="57">
                  <c:v>0.8439802865874686</c:v>
                </c:pt>
                <c:pt idx="58">
                  <c:v>0.83559856691156109</c:v>
                </c:pt>
                <c:pt idx="59">
                  <c:v>0.96939099825013697</c:v>
                </c:pt>
                <c:pt idx="60">
                  <c:v>0.55782635351741428</c:v>
                </c:pt>
                <c:pt idx="61">
                  <c:v>0.48899944075446833</c:v>
                </c:pt>
                <c:pt idx="62">
                  <c:v>1.070038706952406</c:v>
                </c:pt>
                <c:pt idx="63">
                  <c:v>1.0695643990149271</c:v>
                </c:pt>
                <c:pt idx="64">
                  <c:v>0.60951935748641473</c:v>
                </c:pt>
                <c:pt idx="65">
                  <c:v>0.78019756280710717</c:v>
                </c:pt>
                <c:pt idx="66">
                  <c:v>0.98202522476536125</c:v>
                </c:pt>
                <c:pt idx="67">
                  <c:v>1.1384629532737178</c:v>
                </c:pt>
                <c:pt idx="68">
                  <c:v>0.85920996290500906</c:v>
                </c:pt>
                <c:pt idx="69">
                  <c:v>1.2344253536743985</c:v>
                </c:pt>
                <c:pt idx="70">
                  <c:v>1.23092698317647</c:v>
                </c:pt>
                <c:pt idx="71">
                  <c:v>1.3682820765439294</c:v>
                </c:pt>
                <c:pt idx="72">
                  <c:v>1.3465046140644013</c:v>
                </c:pt>
                <c:pt idx="73">
                  <c:v>1.5751753462483433</c:v>
                </c:pt>
                <c:pt idx="74">
                  <c:v>1.1349688403690872</c:v>
                </c:pt>
                <c:pt idx="75">
                  <c:v>0.85476926926907693</c:v>
                </c:pt>
                <c:pt idx="76">
                  <c:v>1.3364980881517277</c:v>
                </c:pt>
                <c:pt idx="77">
                  <c:v>1.1051503511747058</c:v>
                </c:pt>
                <c:pt idx="78">
                  <c:v>1.277411567533927</c:v>
                </c:pt>
                <c:pt idx="79">
                  <c:v>1.2105023884032184</c:v>
                </c:pt>
                <c:pt idx="80">
                  <c:v>1.6397503433727931</c:v>
                </c:pt>
                <c:pt idx="81">
                  <c:v>1.0239011603223291</c:v>
                </c:pt>
                <c:pt idx="82">
                  <c:v>0.87687303494811975</c:v>
                </c:pt>
                <c:pt idx="83">
                  <c:v>0.87763375463944127</c:v>
                </c:pt>
                <c:pt idx="84">
                  <c:v>1.1802672611961667</c:v>
                </c:pt>
                <c:pt idx="85">
                  <c:v>1.2029201868693087</c:v>
                </c:pt>
                <c:pt idx="86">
                  <c:v>0.77910977528454672</c:v>
                </c:pt>
                <c:pt idx="87">
                  <c:v>1.4359155871172888</c:v>
                </c:pt>
                <c:pt idx="88">
                  <c:v>0.72953503068804071</c:v>
                </c:pt>
                <c:pt idx="89">
                  <c:v>1.2194946641051669</c:v>
                </c:pt>
                <c:pt idx="90">
                  <c:v>1.5938804335037966</c:v>
                </c:pt>
                <c:pt idx="91">
                  <c:v>1.2831551863086319</c:v>
                </c:pt>
                <c:pt idx="92">
                  <c:v>1.1868583452849486</c:v>
                </c:pt>
                <c:pt idx="93">
                  <c:v>0.78644289346564267</c:v>
                </c:pt>
                <c:pt idx="94">
                  <c:v>1.5345408049582523</c:v>
                </c:pt>
                <c:pt idx="95">
                  <c:v>0.84206870494089237</c:v>
                </c:pt>
                <c:pt idx="96">
                  <c:v>0.52030326339174249</c:v>
                </c:pt>
                <c:pt idx="97">
                  <c:v>0.79283341728023848</c:v>
                </c:pt>
                <c:pt idx="98">
                  <c:v>1.1638954318825405</c:v>
                </c:pt>
                <c:pt idx="99">
                  <c:v>0.68470671862790344</c:v>
                </c:pt>
                <c:pt idx="100">
                  <c:v>0.78942251868503899</c:v>
                </c:pt>
                <c:pt idx="101">
                  <c:v>0.83116481100661199</c:v>
                </c:pt>
                <c:pt idx="102">
                  <c:v>1.3880254124322593</c:v>
                </c:pt>
                <c:pt idx="103">
                  <c:v>0.80888078104723415</c:v>
                </c:pt>
                <c:pt idx="104">
                  <c:v>0.61183706342117261</c:v>
                </c:pt>
                <c:pt idx="105">
                  <c:v>0.70400056799858857</c:v>
                </c:pt>
                <c:pt idx="106">
                  <c:v>0.7044109601561066</c:v>
                </c:pt>
                <c:pt idx="107">
                  <c:v>0.52517845184720147</c:v>
                </c:pt>
                <c:pt idx="108">
                  <c:v>1.0995962911600672</c:v>
                </c:pt>
                <c:pt idx="109">
                  <c:v>1.0821892471927714</c:v>
                </c:pt>
                <c:pt idx="110">
                  <c:v>0.84018279528395989</c:v>
                </c:pt>
                <c:pt idx="111">
                  <c:v>1.0551953276997568</c:v>
                </c:pt>
                <c:pt idx="112">
                  <c:v>0.81037608951469353</c:v>
                </c:pt>
                <c:pt idx="113">
                  <c:v>0.88534408249407859</c:v>
                </c:pt>
                <c:pt idx="114">
                  <c:v>0.98476546344529348</c:v>
                </c:pt>
                <c:pt idx="115">
                  <c:v>1.1895298986663618</c:v>
                </c:pt>
                <c:pt idx="116">
                  <c:v>0.90949475269668878</c:v>
                </c:pt>
                <c:pt idx="117">
                  <c:v>1.223615596955703</c:v>
                </c:pt>
                <c:pt idx="118">
                  <c:v>1.0896845617861677</c:v>
                </c:pt>
                <c:pt idx="119">
                  <c:v>0.76452366947646233</c:v>
                </c:pt>
                <c:pt idx="120">
                  <c:v>0.90428537265476261</c:v>
                </c:pt>
                <c:pt idx="121">
                  <c:v>1.0777057029606696</c:v>
                </c:pt>
                <c:pt idx="122">
                  <c:v>1.1836647429125442</c:v>
                </c:pt>
                <c:pt idx="123">
                  <c:v>1.2322823459064642</c:v>
                </c:pt>
                <c:pt idx="124">
                  <c:v>0.83984320870467188</c:v>
                </c:pt>
                <c:pt idx="125">
                  <c:v>0.66940443987931186</c:v>
                </c:pt>
                <c:pt idx="126">
                  <c:v>0.84492033037199443</c:v>
                </c:pt>
                <c:pt idx="127">
                  <c:v>0.92854346416666433</c:v>
                </c:pt>
                <c:pt idx="128">
                  <c:v>0.96798239324432744</c:v>
                </c:pt>
                <c:pt idx="129">
                  <c:v>1.2265309375291311</c:v>
                </c:pt>
                <c:pt idx="130">
                  <c:v>0.78120180007439466</c:v>
                </c:pt>
                <c:pt idx="131">
                  <c:v>0.74532206536108792</c:v>
                </c:pt>
                <c:pt idx="132">
                  <c:v>1.0522667203632556</c:v>
                </c:pt>
                <c:pt idx="133">
                  <c:v>0.90132392311400156</c:v>
                </c:pt>
                <c:pt idx="134">
                  <c:v>0.63101344107675594</c:v>
                </c:pt>
                <c:pt idx="135">
                  <c:v>0.89437660671396491</c:v>
                </c:pt>
                <c:pt idx="136">
                  <c:v>0.71854812201195861</c:v>
                </c:pt>
                <c:pt idx="137">
                  <c:v>0.76007708503607152</c:v>
                </c:pt>
                <c:pt idx="138">
                  <c:v>1.0735026055940766</c:v>
                </c:pt>
                <c:pt idx="139">
                  <c:v>1.1684207947786249</c:v>
                </c:pt>
                <c:pt idx="140">
                  <c:v>0.79280396895483174</c:v>
                </c:pt>
                <c:pt idx="141">
                  <c:v>0.9393747924293061</c:v>
                </c:pt>
                <c:pt idx="142">
                  <c:v>0.68498893387023563</c:v>
                </c:pt>
                <c:pt idx="143">
                  <c:v>0.84166253600077767</c:v>
                </c:pt>
                <c:pt idx="144">
                  <c:v>1.1817708532653595</c:v>
                </c:pt>
                <c:pt idx="145">
                  <c:v>0.58489828600310911</c:v>
                </c:pt>
                <c:pt idx="146">
                  <c:v>0.65802619294675391</c:v>
                </c:pt>
                <c:pt idx="147">
                  <c:v>0.51887396146108922</c:v>
                </c:pt>
                <c:pt idx="148">
                  <c:v>0.93815471277091533</c:v>
                </c:pt>
                <c:pt idx="149">
                  <c:v>0.72735175301753507</c:v>
                </c:pt>
                <c:pt idx="150">
                  <c:v>0.74030382552754892</c:v>
                </c:pt>
                <c:pt idx="151">
                  <c:v>0.73841171855110732</c:v>
                </c:pt>
                <c:pt idx="152">
                  <c:v>0.76063616135424206</c:v>
                </c:pt>
                <c:pt idx="153">
                  <c:v>0.72849406166503683</c:v>
                </c:pt>
                <c:pt idx="154">
                  <c:v>0.72611787808674999</c:v>
                </c:pt>
                <c:pt idx="155">
                  <c:v>0.80542668268051976</c:v>
                </c:pt>
                <c:pt idx="156">
                  <c:v>0.71294115138339709</c:v>
                </c:pt>
                <c:pt idx="157">
                  <c:v>0.85705077547664621</c:v>
                </c:pt>
                <c:pt idx="158">
                  <c:v>1.1749618201465732</c:v>
                </c:pt>
                <c:pt idx="159">
                  <c:v>0.89074846193263224</c:v>
                </c:pt>
                <c:pt idx="160">
                  <c:v>0.70792013470807091</c:v>
                </c:pt>
                <c:pt idx="161">
                  <c:v>0.94250763551701122</c:v>
                </c:pt>
                <c:pt idx="162">
                  <c:v>0.77575340422431527</c:v>
                </c:pt>
                <c:pt idx="163">
                  <c:v>0.65029501043448246</c:v>
                </c:pt>
                <c:pt idx="164">
                  <c:v>0.79963293487855847</c:v>
                </c:pt>
                <c:pt idx="165">
                  <c:v>1.317149532036703</c:v>
                </c:pt>
                <c:pt idx="166">
                  <c:v>1.2346358259905077</c:v>
                </c:pt>
                <c:pt idx="167">
                  <c:v>0.58300548044000222</c:v>
                </c:pt>
                <c:pt idx="168">
                  <c:v>0.89023117394172224</c:v>
                </c:pt>
                <c:pt idx="169">
                  <c:v>0.82077752133214454</c:v>
                </c:pt>
                <c:pt idx="170">
                  <c:v>1.5068032599175301</c:v>
                </c:pt>
                <c:pt idx="171">
                  <c:v>1.1152011703167652</c:v>
                </c:pt>
                <c:pt idx="172">
                  <c:v>0.85947111258748954</c:v>
                </c:pt>
                <c:pt idx="173">
                  <c:v>0.42355464883704419</c:v>
                </c:pt>
                <c:pt idx="174">
                  <c:v>0.62523555326919822</c:v>
                </c:pt>
                <c:pt idx="175">
                  <c:v>0.67482991273653969</c:v>
                </c:pt>
                <c:pt idx="176">
                  <c:v>1.0729595846360971</c:v>
                </c:pt>
                <c:pt idx="177">
                  <c:v>0.90138018464758518</c:v>
                </c:pt>
                <c:pt idx="178">
                  <c:v>1.0799763404341667</c:v>
                </c:pt>
                <c:pt idx="179">
                  <c:v>0.98584840742699886</c:v>
                </c:pt>
                <c:pt idx="180">
                  <c:v>0.83825051850203269</c:v>
                </c:pt>
                <c:pt idx="181">
                  <c:v>0.64506316073421432</c:v>
                </c:pt>
                <c:pt idx="182">
                  <c:v>1.162421606270974</c:v>
                </c:pt>
                <c:pt idx="183">
                  <c:v>0.56097986424367119</c:v>
                </c:pt>
                <c:pt idx="184">
                  <c:v>1.3187310543950901</c:v>
                </c:pt>
                <c:pt idx="185">
                  <c:v>1.36903463434048</c:v>
                </c:pt>
                <c:pt idx="186">
                  <c:v>0.87300925776748195</c:v>
                </c:pt>
                <c:pt idx="187">
                  <c:v>0.8799612495668504</c:v>
                </c:pt>
                <c:pt idx="188">
                  <c:v>1.5339299197210992</c:v>
                </c:pt>
                <c:pt idx="189">
                  <c:v>0.92955461647292403</c:v>
                </c:pt>
                <c:pt idx="190">
                  <c:v>0.93378530054610154</c:v>
                </c:pt>
                <c:pt idx="191">
                  <c:v>1.0203025240427521</c:v>
                </c:pt>
                <c:pt idx="192">
                  <c:v>1.2306592685757356</c:v>
                </c:pt>
                <c:pt idx="193">
                  <c:v>0.95371766512172973</c:v>
                </c:pt>
                <c:pt idx="194">
                  <c:v>0.83820875142810081</c:v>
                </c:pt>
                <c:pt idx="195">
                  <c:v>0.78129334238051362</c:v>
                </c:pt>
                <c:pt idx="196">
                  <c:v>0.35677664415084337</c:v>
                </c:pt>
                <c:pt idx="197">
                  <c:v>1.0300511509764076</c:v>
                </c:pt>
                <c:pt idx="198">
                  <c:v>0.96186866879752408</c:v>
                </c:pt>
                <c:pt idx="199">
                  <c:v>0.88138653561678071</c:v>
                </c:pt>
                <c:pt idx="200">
                  <c:v>0.73987952301775617</c:v>
                </c:pt>
                <c:pt idx="201">
                  <c:v>1.0359885288999844</c:v>
                </c:pt>
                <c:pt idx="202">
                  <c:v>1.1868247628736053</c:v>
                </c:pt>
                <c:pt idx="203">
                  <c:v>0.96033014178643861</c:v>
                </c:pt>
                <c:pt idx="204">
                  <c:v>0.58198738963793162</c:v>
                </c:pt>
                <c:pt idx="205">
                  <c:v>0.91159169350602032</c:v>
                </c:pt>
                <c:pt idx="206">
                  <c:v>1.1559069266391626</c:v>
                </c:pt>
                <c:pt idx="207">
                  <c:v>1.307867732853641</c:v>
                </c:pt>
                <c:pt idx="208">
                  <c:v>1.3215770382294654</c:v>
                </c:pt>
                <c:pt idx="209">
                  <c:v>0.72537968297729583</c:v>
                </c:pt>
                <c:pt idx="210">
                  <c:v>0.63823159385634853</c:v>
                </c:pt>
                <c:pt idx="211">
                  <c:v>0.8608381695530406</c:v>
                </c:pt>
                <c:pt idx="212">
                  <c:v>0.32506258143383421</c:v>
                </c:pt>
                <c:pt idx="213">
                  <c:v>0.50449832197238131</c:v>
                </c:pt>
                <c:pt idx="214">
                  <c:v>0.76639480246858727</c:v>
                </c:pt>
                <c:pt idx="215">
                  <c:v>0.5833875545987004</c:v>
                </c:pt>
                <c:pt idx="216">
                  <c:v>0.86321287970569793</c:v>
                </c:pt>
                <c:pt idx="217">
                  <c:v>1.0367754136289835</c:v>
                </c:pt>
                <c:pt idx="218">
                  <c:v>1.5383471514809657</c:v>
                </c:pt>
                <c:pt idx="219">
                  <c:v>0.48976913315039056</c:v>
                </c:pt>
                <c:pt idx="220">
                  <c:v>0.44996267153002917</c:v>
                </c:pt>
                <c:pt idx="221">
                  <c:v>1.106485599503142</c:v>
                </c:pt>
                <c:pt idx="222">
                  <c:v>0.71231037080251502</c:v>
                </c:pt>
                <c:pt idx="223">
                  <c:v>0.46513579599200511</c:v>
                </c:pt>
                <c:pt idx="224">
                  <c:v>0.872504984363912</c:v>
                </c:pt>
                <c:pt idx="225">
                  <c:v>0.62969958773609069</c:v>
                </c:pt>
                <c:pt idx="226">
                  <c:v>1.9195379344609871</c:v>
                </c:pt>
                <c:pt idx="227">
                  <c:v>1.2753133471511944</c:v>
                </c:pt>
                <c:pt idx="228">
                  <c:v>0.64106948259639507</c:v>
                </c:pt>
                <c:pt idx="229">
                  <c:v>1.4504857015864872</c:v>
                </c:pt>
                <c:pt idx="230">
                  <c:v>1.6814635194694538</c:v>
                </c:pt>
                <c:pt idx="231">
                  <c:v>1.2058184978422544</c:v>
                </c:pt>
                <c:pt idx="232">
                  <c:v>0.6669389422208678</c:v>
                </c:pt>
                <c:pt idx="233">
                  <c:v>2.068307828817685</c:v>
                </c:pt>
                <c:pt idx="234">
                  <c:v>0.89432702193294766</c:v>
                </c:pt>
                <c:pt idx="235">
                  <c:v>0.96859506161635667</c:v>
                </c:pt>
                <c:pt idx="236">
                  <c:v>0.75324722752883644</c:v>
                </c:pt>
                <c:pt idx="237">
                  <c:v>1.334372389913568</c:v>
                </c:pt>
                <c:pt idx="238">
                  <c:v>1.3371142509887328</c:v>
                </c:pt>
                <c:pt idx="239">
                  <c:v>0.79391723730830444</c:v>
                </c:pt>
                <c:pt idx="240">
                  <c:v>1.4899148153597199</c:v>
                </c:pt>
                <c:pt idx="241">
                  <c:v>1.0914926228511777</c:v>
                </c:pt>
                <c:pt idx="242">
                  <c:v>0.87936714367783619</c:v>
                </c:pt>
                <c:pt idx="243">
                  <c:v>0.97069279237337602</c:v>
                </c:pt>
                <c:pt idx="244">
                  <c:v>1.2141990046156852</c:v>
                </c:pt>
                <c:pt idx="245">
                  <c:v>1.476949165822141</c:v>
                </c:pt>
                <c:pt idx="246">
                  <c:v>1.4706820547931927</c:v>
                </c:pt>
                <c:pt idx="247">
                  <c:v>1.3471967560005826</c:v>
                </c:pt>
                <c:pt idx="248">
                  <c:v>1.3388406079619848</c:v>
                </c:pt>
                <c:pt idx="249">
                  <c:v>1.0803305678472723</c:v>
                </c:pt>
                <c:pt idx="250">
                  <c:v>1.0780923139083622</c:v>
                </c:pt>
                <c:pt idx="251">
                  <c:v>1.0860954842267581</c:v>
                </c:pt>
                <c:pt idx="252">
                  <c:v>1.1487243479157463</c:v>
                </c:pt>
                <c:pt idx="253">
                  <c:v>1.4196953239300236</c:v>
                </c:pt>
                <c:pt idx="254">
                  <c:v>1.3164149033494428</c:v>
                </c:pt>
                <c:pt idx="255">
                  <c:v>1.8310172843631967</c:v>
                </c:pt>
                <c:pt idx="256">
                  <c:v>1.3659234137605867</c:v>
                </c:pt>
                <c:pt idx="257">
                  <c:v>1.0717854033241645</c:v>
                </c:pt>
                <c:pt idx="258">
                  <c:v>1.1162227053376048</c:v>
                </c:pt>
                <c:pt idx="259">
                  <c:v>1.3754403004160058</c:v>
                </c:pt>
                <c:pt idx="260">
                  <c:v>1.4990162397903857</c:v>
                </c:pt>
                <c:pt idx="261">
                  <c:v>1.2437471613413587</c:v>
                </c:pt>
                <c:pt idx="262">
                  <c:v>1.2743226144407223</c:v>
                </c:pt>
                <c:pt idx="263">
                  <c:v>0.97254086403226603</c:v>
                </c:pt>
                <c:pt idx="264">
                  <c:v>1.0497519954137509</c:v>
                </c:pt>
                <c:pt idx="265">
                  <c:v>1.3996547964651125</c:v>
                </c:pt>
                <c:pt idx="266">
                  <c:v>1.459192351240121</c:v>
                </c:pt>
                <c:pt idx="267">
                  <c:v>1.346268295107405</c:v>
                </c:pt>
                <c:pt idx="268">
                  <c:v>1.3221283118847895</c:v>
                </c:pt>
                <c:pt idx="269">
                  <c:v>1.0758540599694522</c:v>
                </c:pt>
                <c:pt idx="270">
                  <c:v>1.0728697213842386</c:v>
                </c:pt>
                <c:pt idx="271">
                  <c:v>1.343745872820697</c:v>
                </c:pt>
                <c:pt idx="272">
                  <c:v>1.3263049234389535</c:v>
                </c:pt>
                <c:pt idx="366">
                  <c:v>1.343745872820697</c:v>
                </c:pt>
                <c:pt idx="367">
                  <c:v>1.3263049234389535</c:v>
                </c:pt>
                <c:pt idx="368">
                  <c:v>1.0860954842267581</c:v>
                </c:pt>
                <c:pt idx="369">
                  <c:v>1.1487243479157463</c:v>
                </c:pt>
                <c:pt idx="370">
                  <c:v>1.3996547964651125</c:v>
                </c:pt>
                <c:pt idx="371">
                  <c:v>1.459192351240121</c:v>
                </c:pt>
                <c:pt idx="372">
                  <c:v>1.346268295107405</c:v>
                </c:pt>
                <c:pt idx="373">
                  <c:v>1.3221283118847895</c:v>
                </c:pt>
                <c:pt idx="374">
                  <c:v>1.0758540599694522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3E-4609-A720-840A9D8B253E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1-963E-4609-A720-840A9D8B2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16224"/>
        <c:axId val="131717760"/>
      </c:scatterChart>
      <c:valAx>
        <c:axId val="131716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7760"/>
        <c:crosses val="autoZero"/>
        <c:crossBetween val="midCat"/>
      </c:valAx>
      <c:valAx>
        <c:axId val="131717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622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(2)'!$O$154:$O$192</c:f>
              <c:numCache>
                <c:formatCode>General</c:formatCode>
                <c:ptCount val="26"/>
                <c:pt idx="0">
                  <c:v>16</c:v>
                </c:pt>
                <c:pt idx="1">
                  <c:v>16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13.921985815602838</c:v>
                </c:pt>
                <c:pt idx="19">
                  <c:v>13.829787234042554</c:v>
                </c:pt>
                <c:pt idx="20">
                  <c:v>13.787234042553195</c:v>
                </c:pt>
                <c:pt idx="21">
                  <c:v>13.744680851063832</c:v>
                </c:pt>
                <c:pt idx="22">
                  <c:v>13.744680851063832</c:v>
                </c:pt>
                <c:pt idx="23">
                  <c:v>13.680851063829788</c:v>
                </c:pt>
                <c:pt idx="24">
                  <c:v>13.652482269503549</c:v>
                </c:pt>
                <c:pt idx="25">
                  <c:v>13.567375886524824</c:v>
                </c:pt>
              </c:numCache>
            </c:numRef>
          </c:xVal>
          <c:yVal>
            <c:numRef>
              <c:f>'headed (2)'!$DG$154:$DG$192</c:f>
              <c:numCache>
                <c:formatCode>General</c:formatCode>
                <c:ptCount val="26"/>
                <c:pt idx="0">
                  <c:v>1.5692649380457224</c:v>
                </c:pt>
                <c:pt idx="1">
                  <c:v>1.5838852696285155</c:v>
                </c:pt>
                <c:pt idx="2">
                  <c:v>1.6446377336345006</c:v>
                </c:pt>
                <c:pt idx="6">
                  <c:v>1.794720670111744</c:v>
                </c:pt>
                <c:pt idx="7">
                  <c:v>1.5380197612821445</c:v>
                </c:pt>
                <c:pt idx="8">
                  <c:v>1.4210468912230823</c:v>
                </c:pt>
                <c:pt idx="11">
                  <c:v>1.5700011264151312</c:v>
                </c:pt>
                <c:pt idx="13">
                  <c:v>1.5911627720568966</c:v>
                </c:pt>
                <c:pt idx="14">
                  <c:v>1.5424576588157013</c:v>
                </c:pt>
                <c:pt idx="15">
                  <c:v>1.5409103389183063</c:v>
                </c:pt>
                <c:pt idx="19">
                  <c:v>1.618747126999279</c:v>
                </c:pt>
                <c:pt idx="20">
                  <c:v>1.7616301001435395</c:v>
                </c:pt>
                <c:pt idx="21">
                  <c:v>1.8607883579121227</c:v>
                </c:pt>
                <c:pt idx="23">
                  <c:v>1.6528810129954532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A-49C3-8003-1F4DD422B01E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(2)'!$O$154:$O$192</c:f>
              <c:numCache>
                <c:formatCode>General</c:formatCode>
                <c:ptCount val="26"/>
                <c:pt idx="0">
                  <c:v>16</c:v>
                </c:pt>
                <c:pt idx="1">
                  <c:v>16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13.921985815602838</c:v>
                </c:pt>
                <c:pt idx="19">
                  <c:v>13.829787234042554</c:v>
                </c:pt>
                <c:pt idx="20">
                  <c:v>13.787234042553195</c:v>
                </c:pt>
                <c:pt idx="21">
                  <c:v>13.744680851063832</c:v>
                </c:pt>
                <c:pt idx="22">
                  <c:v>13.744680851063832</c:v>
                </c:pt>
                <c:pt idx="23">
                  <c:v>13.680851063829788</c:v>
                </c:pt>
                <c:pt idx="24">
                  <c:v>13.652482269503549</c:v>
                </c:pt>
                <c:pt idx="25">
                  <c:v>13.567375886524824</c:v>
                </c:pt>
              </c:numCache>
            </c:numRef>
          </c:xVal>
          <c:yVal>
            <c:numRef>
              <c:f>'headed (2)'!$DM$154:$DM$192</c:f>
              <c:numCache>
                <c:formatCode>General</c:formatCode>
                <c:ptCount val="26"/>
                <c:pt idx="3">
                  <c:v>2.0897350040707581</c:v>
                </c:pt>
                <c:pt idx="4">
                  <c:v>1.9310412434474262</c:v>
                </c:pt>
                <c:pt idx="5">
                  <c:v>2.096867205449839</c:v>
                </c:pt>
                <c:pt idx="9">
                  <c:v>1.1019664488447403</c:v>
                </c:pt>
                <c:pt idx="10">
                  <c:v>1.3886226253286234</c:v>
                </c:pt>
                <c:pt idx="12">
                  <c:v>1.9957036604518148</c:v>
                </c:pt>
                <c:pt idx="16">
                  <c:v>1.491198292511049</c:v>
                </c:pt>
                <c:pt idx="17">
                  <c:v>1.7548839458286425</c:v>
                </c:pt>
                <c:pt idx="18">
                  <c:v>2.019483679818086</c:v>
                </c:pt>
                <c:pt idx="22">
                  <c:v>1.8239555927677222</c:v>
                </c:pt>
                <c:pt idx="24">
                  <c:v>1.8554105991258989</c:v>
                </c:pt>
                <c:pt idx="25">
                  <c:v>2.0047597914593944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9A-49C3-8003-1F4DD422B01E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(2)'!$O$166:$O$1258</c:f>
              <c:numCache>
                <c:formatCode>General</c:formatCode>
                <c:ptCount val="1075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13.921985815602838</c:v>
                </c:pt>
                <c:pt idx="16">
                  <c:v>13.829787234042554</c:v>
                </c:pt>
                <c:pt idx="17">
                  <c:v>13.787234042553195</c:v>
                </c:pt>
                <c:pt idx="18">
                  <c:v>13.744680851063832</c:v>
                </c:pt>
                <c:pt idx="19">
                  <c:v>13.744680851063832</c:v>
                </c:pt>
                <c:pt idx="20">
                  <c:v>13.680851063829788</c:v>
                </c:pt>
                <c:pt idx="21">
                  <c:v>13.652482269503549</c:v>
                </c:pt>
                <c:pt idx="22">
                  <c:v>13.567375886524824</c:v>
                </c:pt>
                <c:pt idx="23">
                  <c:v>8.3595113438045381</c:v>
                </c:pt>
                <c:pt idx="24">
                  <c:v>12.368794326241137</c:v>
                </c:pt>
                <c:pt idx="25">
                  <c:v>12.234042553191491</c:v>
                </c:pt>
                <c:pt idx="26">
                  <c:v>12.148936170212767</c:v>
                </c:pt>
                <c:pt idx="27">
                  <c:v>12.067039106145252</c:v>
                </c:pt>
                <c:pt idx="28">
                  <c:v>12.056737588652483</c:v>
                </c:pt>
                <c:pt idx="29">
                  <c:v>12.014184397163124</c:v>
                </c:pt>
                <c:pt idx="30">
                  <c:v>12.014184397163124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12.000000000000004</c:v>
                </c:pt>
                <c:pt idx="38">
                  <c:v>12.000000000000004</c:v>
                </c:pt>
                <c:pt idx="39">
                  <c:v>11.921985815602838</c:v>
                </c:pt>
                <c:pt idx="40">
                  <c:v>11.921985815602838</c:v>
                </c:pt>
                <c:pt idx="41">
                  <c:v>11.879432624113477</c:v>
                </c:pt>
                <c:pt idx="42">
                  <c:v>11.858156028368795</c:v>
                </c:pt>
                <c:pt idx="43">
                  <c:v>11.744680851063832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15.749999999999998</c:v>
                </c:pt>
                <c:pt idx="51">
                  <c:v>15.28</c:v>
                </c:pt>
                <c:pt idx="52">
                  <c:v>10.581560283687944</c:v>
                </c:pt>
                <c:pt idx="53">
                  <c:v>10.43262411347518</c:v>
                </c:pt>
                <c:pt idx="54">
                  <c:v>10.418439716312058</c:v>
                </c:pt>
                <c:pt idx="55">
                  <c:v>10.418439716312058</c:v>
                </c:pt>
                <c:pt idx="56">
                  <c:v>10.375886524822697</c:v>
                </c:pt>
                <c:pt idx="57">
                  <c:v>10.375886524822697</c:v>
                </c:pt>
                <c:pt idx="58">
                  <c:v>14.58</c:v>
                </c:pt>
                <c:pt idx="59">
                  <c:v>14.58</c:v>
                </c:pt>
                <c:pt idx="60">
                  <c:v>10.312056737588653</c:v>
                </c:pt>
                <c:pt idx="61">
                  <c:v>10.312056737588653</c:v>
                </c:pt>
                <c:pt idx="62">
                  <c:v>14.54</c:v>
                </c:pt>
                <c:pt idx="63">
                  <c:v>14.54</c:v>
                </c:pt>
                <c:pt idx="64">
                  <c:v>10.283687943262413</c:v>
                </c:pt>
                <c:pt idx="65">
                  <c:v>10.283687943262413</c:v>
                </c:pt>
                <c:pt idx="66">
                  <c:v>14.499999999999998</c:v>
                </c:pt>
                <c:pt idx="67">
                  <c:v>14.499999999999998</c:v>
                </c:pt>
                <c:pt idx="68">
                  <c:v>14.42</c:v>
                </c:pt>
                <c:pt idx="69">
                  <c:v>14.42</c:v>
                </c:pt>
                <c:pt idx="70">
                  <c:v>14.38</c:v>
                </c:pt>
                <c:pt idx="71">
                  <c:v>14.38</c:v>
                </c:pt>
                <c:pt idx="72">
                  <c:v>14.38</c:v>
                </c:pt>
                <c:pt idx="73">
                  <c:v>14.38</c:v>
                </c:pt>
                <c:pt idx="74">
                  <c:v>14.35</c:v>
                </c:pt>
                <c:pt idx="75">
                  <c:v>14.299999999999999</c:v>
                </c:pt>
                <c:pt idx="76">
                  <c:v>14.27</c:v>
                </c:pt>
                <c:pt idx="77">
                  <c:v>14.25</c:v>
                </c:pt>
                <c:pt idx="78">
                  <c:v>14.25</c:v>
                </c:pt>
                <c:pt idx="79">
                  <c:v>14.13</c:v>
                </c:pt>
                <c:pt idx="80">
                  <c:v>14.09</c:v>
                </c:pt>
                <c:pt idx="81">
                  <c:v>14.080000000000002</c:v>
                </c:pt>
                <c:pt idx="82">
                  <c:v>14.059999999999999</c:v>
                </c:pt>
                <c:pt idx="83">
                  <c:v>9.9441340782122918</c:v>
                </c:pt>
                <c:pt idx="84">
                  <c:v>12.66</c:v>
                </c:pt>
                <c:pt idx="85">
                  <c:v>12.590000000000002</c:v>
                </c:pt>
                <c:pt idx="86">
                  <c:v>8.9078014184397176</c:v>
                </c:pt>
                <c:pt idx="87">
                  <c:v>12.56</c:v>
                </c:pt>
                <c:pt idx="88">
                  <c:v>8.8652482269503565</c:v>
                </c:pt>
                <c:pt idx="89">
                  <c:v>12.5</c:v>
                </c:pt>
                <c:pt idx="90">
                  <c:v>12.439999999999998</c:v>
                </c:pt>
                <c:pt idx="91">
                  <c:v>12.38</c:v>
                </c:pt>
                <c:pt idx="92">
                  <c:v>12.31</c:v>
                </c:pt>
                <c:pt idx="93">
                  <c:v>12.21</c:v>
                </c:pt>
                <c:pt idx="94">
                  <c:v>12.19</c:v>
                </c:pt>
                <c:pt idx="95">
                  <c:v>12.17</c:v>
                </c:pt>
                <c:pt idx="96">
                  <c:v>12.17</c:v>
                </c:pt>
                <c:pt idx="97">
                  <c:v>8.6028368794326244</c:v>
                </c:pt>
                <c:pt idx="98">
                  <c:v>12.129999999999999</c:v>
                </c:pt>
                <c:pt idx="99">
                  <c:v>8.6028368794326244</c:v>
                </c:pt>
                <c:pt idx="100">
                  <c:v>8.5744680851063837</c:v>
                </c:pt>
                <c:pt idx="101">
                  <c:v>12.06</c:v>
                </c:pt>
                <c:pt idx="102">
                  <c:v>12.06</c:v>
                </c:pt>
                <c:pt idx="103">
                  <c:v>12.04</c:v>
                </c:pt>
                <c:pt idx="104">
                  <c:v>12.03</c:v>
                </c:pt>
                <c:pt idx="105">
                  <c:v>8.5106382978723403</c:v>
                </c:pt>
                <c:pt idx="106">
                  <c:v>8.5106382978723403</c:v>
                </c:pt>
                <c:pt idx="107">
                  <c:v>11.999999999999998</c:v>
                </c:pt>
                <c:pt idx="108">
                  <c:v>11.999999999999998</c:v>
                </c:pt>
                <c:pt idx="109">
                  <c:v>11.97</c:v>
                </c:pt>
                <c:pt idx="110">
                  <c:v>11.95</c:v>
                </c:pt>
                <c:pt idx="111">
                  <c:v>11.9</c:v>
                </c:pt>
                <c:pt idx="112">
                  <c:v>11.88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11.299212598425198</c:v>
                </c:pt>
                <c:pt idx="117">
                  <c:v>11.299212598425198</c:v>
                </c:pt>
                <c:pt idx="118">
                  <c:v>11.25</c:v>
                </c:pt>
                <c:pt idx="119">
                  <c:v>7.9608938547486039</c:v>
                </c:pt>
                <c:pt idx="120">
                  <c:v>7.9608938547486039</c:v>
                </c:pt>
                <c:pt idx="121">
                  <c:v>7.9608938547486039</c:v>
                </c:pt>
                <c:pt idx="122">
                  <c:v>11.13</c:v>
                </c:pt>
                <c:pt idx="123">
                  <c:v>11.06</c:v>
                </c:pt>
                <c:pt idx="124">
                  <c:v>7.8212290502793298</c:v>
                </c:pt>
                <c:pt idx="125">
                  <c:v>7.8212290502793298</c:v>
                </c:pt>
                <c:pt idx="126">
                  <c:v>7.8212290502793298</c:v>
                </c:pt>
                <c:pt idx="127">
                  <c:v>7.8212290502793298</c:v>
                </c:pt>
                <c:pt idx="128">
                  <c:v>7.8212290502793298</c:v>
                </c:pt>
                <c:pt idx="129">
                  <c:v>10.94</c:v>
                </c:pt>
                <c:pt idx="130">
                  <c:v>10.83</c:v>
                </c:pt>
                <c:pt idx="131">
                  <c:v>10.58</c:v>
                </c:pt>
                <c:pt idx="132">
                  <c:v>10.5</c:v>
                </c:pt>
                <c:pt idx="133">
                  <c:v>10.35</c:v>
                </c:pt>
                <c:pt idx="134">
                  <c:v>10.33</c:v>
                </c:pt>
                <c:pt idx="135">
                  <c:v>10.33</c:v>
                </c:pt>
                <c:pt idx="136">
                  <c:v>10.29</c:v>
                </c:pt>
                <c:pt idx="137">
                  <c:v>10.25</c:v>
                </c:pt>
                <c:pt idx="138">
                  <c:v>10.130000000000001</c:v>
                </c:pt>
                <c:pt idx="139">
                  <c:v>10.1</c:v>
                </c:pt>
                <c:pt idx="140">
                  <c:v>10.08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9.94</c:v>
                </c:pt>
                <c:pt idx="145">
                  <c:v>9.92</c:v>
                </c:pt>
                <c:pt idx="146">
                  <c:v>9.92</c:v>
                </c:pt>
                <c:pt idx="147">
                  <c:v>9.9</c:v>
                </c:pt>
                <c:pt idx="148">
                  <c:v>9.8800000000000008</c:v>
                </c:pt>
                <c:pt idx="149">
                  <c:v>9.8800000000000008</c:v>
                </c:pt>
                <c:pt idx="150">
                  <c:v>9.8800000000000008</c:v>
                </c:pt>
                <c:pt idx="151">
                  <c:v>9.8800000000000008</c:v>
                </c:pt>
                <c:pt idx="152">
                  <c:v>9.81</c:v>
                </c:pt>
                <c:pt idx="153">
                  <c:v>9.7899999999999991</c:v>
                </c:pt>
                <c:pt idx="154">
                  <c:v>9.77</c:v>
                </c:pt>
                <c:pt idx="155">
                  <c:v>9.75</c:v>
                </c:pt>
                <c:pt idx="156">
                  <c:v>9.75</c:v>
                </c:pt>
                <c:pt idx="157">
                  <c:v>9.69</c:v>
                </c:pt>
                <c:pt idx="158">
                  <c:v>9.69</c:v>
                </c:pt>
                <c:pt idx="159">
                  <c:v>9.69</c:v>
                </c:pt>
                <c:pt idx="160">
                  <c:v>9.66</c:v>
                </c:pt>
                <c:pt idx="161">
                  <c:v>9.6300000000000008</c:v>
                </c:pt>
                <c:pt idx="162">
                  <c:v>9.6</c:v>
                </c:pt>
                <c:pt idx="163">
                  <c:v>9.58</c:v>
                </c:pt>
                <c:pt idx="164">
                  <c:v>9.58</c:v>
                </c:pt>
                <c:pt idx="165">
                  <c:v>9.56</c:v>
                </c:pt>
                <c:pt idx="166">
                  <c:v>9.56</c:v>
                </c:pt>
                <c:pt idx="167">
                  <c:v>9.5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9.4700000000000006</c:v>
                </c:pt>
                <c:pt idx="174">
                  <c:v>9.4600000000000009</c:v>
                </c:pt>
                <c:pt idx="175">
                  <c:v>9.42</c:v>
                </c:pt>
                <c:pt idx="176">
                  <c:v>9.3800000000000008</c:v>
                </c:pt>
                <c:pt idx="177">
                  <c:v>9.3800000000000008</c:v>
                </c:pt>
                <c:pt idx="178">
                  <c:v>9.3800000000000008</c:v>
                </c:pt>
                <c:pt idx="179">
                  <c:v>9.3800000000000008</c:v>
                </c:pt>
                <c:pt idx="180">
                  <c:v>9.33</c:v>
                </c:pt>
                <c:pt idx="181">
                  <c:v>9.33</c:v>
                </c:pt>
                <c:pt idx="182">
                  <c:v>9.31</c:v>
                </c:pt>
                <c:pt idx="183">
                  <c:v>9.25</c:v>
                </c:pt>
                <c:pt idx="184">
                  <c:v>9.25</c:v>
                </c:pt>
                <c:pt idx="185">
                  <c:v>9.25</c:v>
                </c:pt>
                <c:pt idx="186">
                  <c:v>9.25</c:v>
                </c:pt>
                <c:pt idx="187">
                  <c:v>9.19</c:v>
                </c:pt>
                <c:pt idx="188">
                  <c:v>9.19</c:v>
                </c:pt>
                <c:pt idx="189">
                  <c:v>9.19</c:v>
                </c:pt>
                <c:pt idx="190">
                  <c:v>9.17</c:v>
                </c:pt>
                <c:pt idx="191">
                  <c:v>9.1300000000000008</c:v>
                </c:pt>
                <c:pt idx="192">
                  <c:v>9.06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6.061452513966481</c:v>
                </c:pt>
                <c:pt idx="197">
                  <c:v>8.31</c:v>
                </c:pt>
                <c:pt idx="198">
                  <c:v>8.3070866141732296</c:v>
                </c:pt>
                <c:pt idx="199">
                  <c:v>8.3070866141732296</c:v>
                </c:pt>
                <c:pt idx="200">
                  <c:v>8.3070866141732296</c:v>
                </c:pt>
                <c:pt idx="201">
                  <c:v>8.25</c:v>
                </c:pt>
                <c:pt idx="202">
                  <c:v>8.25</c:v>
                </c:pt>
                <c:pt idx="203">
                  <c:v>5.8379888268156428</c:v>
                </c:pt>
                <c:pt idx="204">
                  <c:v>5.6983240223463696</c:v>
                </c:pt>
                <c:pt idx="205">
                  <c:v>8.0314960629921259</c:v>
                </c:pt>
                <c:pt idx="206">
                  <c:v>8</c:v>
                </c:pt>
                <c:pt idx="207">
                  <c:v>6</c:v>
                </c:pt>
                <c:pt idx="208">
                  <c:v>6</c:v>
                </c:pt>
                <c:pt idx="209">
                  <c:v>7.06</c:v>
                </c:pt>
                <c:pt idx="210">
                  <c:v>7.06</c:v>
                </c:pt>
                <c:pt idx="211">
                  <c:v>7</c:v>
                </c:pt>
                <c:pt idx="212">
                  <c:v>6.3385826771653546</c:v>
                </c:pt>
                <c:pt idx="213">
                  <c:v>6.33</c:v>
                </c:pt>
                <c:pt idx="214">
                  <c:v>6.29</c:v>
                </c:pt>
                <c:pt idx="215">
                  <c:v>6.25</c:v>
                </c:pt>
                <c:pt idx="216">
                  <c:v>6.25</c:v>
                </c:pt>
                <c:pt idx="217">
                  <c:v>6.25</c:v>
                </c:pt>
                <c:pt idx="218">
                  <c:v>9.9519999999999982</c:v>
                </c:pt>
                <c:pt idx="219">
                  <c:v>6.21</c:v>
                </c:pt>
                <c:pt idx="220">
                  <c:v>6.19</c:v>
                </c:pt>
                <c:pt idx="221">
                  <c:v>6.16</c:v>
                </c:pt>
                <c:pt idx="222">
                  <c:v>6.13</c:v>
                </c:pt>
                <c:pt idx="223">
                  <c:v>6.13</c:v>
                </c:pt>
                <c:pt idx="224">
                  <c:v>6.0999999999999988</c:v>
                </c:pt>
                <c:pt idx="225">
                  <c:v>6.09</c:v>
                </c:pt>
                <c:pt idx="226">
                  <c:v>9.695999999999998</c:v>
                </c:pt>
                <c:pt idx="227">
                  <c:v>9.6479999999999997</c:v>
                </c:pt>
                <c:pt idx="228">
                  <c:v>6.03</c:v>
                </c:pt>
                <c:pt idx="229">
                  <c:v>9.5999999999999979</c:v>
                </c:pt>
                <c:pt idx="230">
                  <c:v>9.5999999999999979</c:v>
                </c:pt>
                <c:pt idx="231">
                  <c:v>9.5999999999999979</c:v>
                </c:pt>
                <c:pt idx="232">
                  <c:v>5.9999999999999991</c:v>
                </c:pt>
                <c:pt idx="233">
                  <c:v>9.5039999999999996</c:v>
                </c:pt>
                <c:pt idx="234">
                  <c:v>5.63</c:v>
                </c:pt>
                <c:pt idx="235">
                  <c:v>5.5</c:v>
                </c:pt>
                <c:pt idx="236">
                  <c:v>5.5</c:v>
                </c:pt>
                <c:pt idx="237">
                  <c:v>6</c:v>
                </c:pt>
                <c:pt idx="238">
                  <c:v>6</c:v>
                </c:pt>
                <c:pt idx="239">
                  <c:v>8.3040000000000003</c:v>
                </c:pt>
                <c:pt idx="240">
                  <c:v>8.3040000000000003</c:v>
                </c:pt>
                <c:pt idx="241">
                  <c:v>8.24</c:v>
                </c:pt>
                <c:pt idx="242">
                  <c:v>8.0640000000000001</c:v>
                </c:pt>
                <c:pt idx="243">
                  <c:v>8.048</c:v>
                </c:pt>
                <c:pt idx="244">
                  <c:v>8.0319999999999983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7.056</c:v>
                </c:pt>
                <c:pt idx="254">
                  <c:v>6.7519999999999989</c:v>
                </c:pt>
                <c:pt idx="255">
                  <c:v>6.7039999999999997</c:v>
                </c:pt>
                <c:pt idx="256">
                  <c:v>6.6559999999999997</c:v>
                </c:pt>
                <c:pt idx="257">
                  <c:v>6.6079999999999988</c:v>
                </c:pt>
                <c:pt idx="258">
                  <c:v>6.6079999999999988</c:v>
                </c:pt>
                <c:pt idx="259">
                  <c:v>6.6079999999999988</c:v>
                </c:pt>
                <c:pt idx="260">
                  <c:v>6.5439999999999996</c:v>
                </c:pt>
                <c:pt idx="261">
                  <c:v>6.5439999999999996</c:v>
                </c:pt>
                <c:pt idx="262">
                  <c:v>6.4959999999999987</c:v>
                </c:pt>
                <c:pt idx="263">
                  <c:v>6.4959999999999987</c:v>
                </c:pt>
                <c:pt idx="264">
                  <c:v>6.0960000000000001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88">
                  <c:v>8</c:v>
                </c:pt>
                <c:pt idx="289">
                  <c:v>8.3000000000000007</c:v>
                </c:pt>
                <c:pt idx="290">
                  <c:v>8.5</c:v>
                </c:pt>
                <c:pt idx="291">
                  <c:v>7.5</c:v>
                </c:pt>
                <c:pt idx="292">
                  <c:v>7.4</c:v>
                </c:pt>
                <c:pt idx="293">
                  <c:v>7.4</c:v>
                </c:pt>
                <c:pt idx="294">
                  <c:v>7.1</c:v>
                </c:pt>
                <c:pt idx="295">
                  <c:v>7</c:v>
                </c:pt>
                <c:pt idx="296">
                  <c:v>5.9999999999999991</c:v>
                </c:pt>
                <c:pt idx="297">
                  <c:v>5.9999999999999991</c:v>
                </c:pt>
                <c:pt idx="298">
                  <c:v>6.0999999999999988</c:v>
                </c:pt>
                <c:pt idx="299">
                  <c:v>6.0999999999999988</c:v>
                </c:pt>
                <c:pt idx="300">
                  <c:v>6.3</c:v>
                </c:pt>
                <c:pt idx="301">
                  <c:v>6.3</c:v>
                </c:pt>
                <c:pt idx="302">
                  <c:v>6.4</c:v>
                </c:pt>
                <c:pt idx="303">
                  <c:v>6.5</c:v>
                </c:pt>
                <c:pt idx="304">
                  <c:v>6.5</c:v>
                </c:pt>
                <c:pt idx="305">
                  <c:v>6.5</c:v>
                </c:pt>
                <c:pt idx="306">
                  <c:v>6.6</c:v>
                </c:pt>
                <c:pt idx="307">
                  <c:v>6.5</c:v>
                </c:pt>
                <c:pt idx="308">
                  <c:v>6.5</c:v>
                </c:pt>
                <c:pt idx="309">
                  <c:v>6.4</c:v>
                </c:pt>
                <c:pt idx="310">
                  <c:v>8.4</c:v>
                </c:pt>
                <c:pt idx="311">
                  <c:v>6.5</c:v>
                </c:pt>
                <c:pt idx="312">
                  <c:v>6.3</c:v>
                </c:pt>
                <c:pt idx="313">
                  <c:v>6.8000000000000007</c:v>
                </c:pt>
                <c:pt idx="314">
                  <c:v>5.9999999999999991</c:v>
                </c:pt>
                <c:pt idx="315">
                  <c:v>6.0999999999999988</c:v>
                </c:pt>
                <c:pt idx="316">
                  <c:v>6.8000000000000007</c:v>
                </c:pt>
                <c:pt idx="317">
                  <c:v>6.3</c:v>
                </c:pt>
                <c:pt idx="318">
                  <c:v>6.6</c:v>
                </c:pt>
                <c:pt idx="319">
                  <c:v>6.9</c:v>
                </c:pt>
                <c:pt idx="326">
                  <c:v>20</c:v>
                </c:pt>
                <c:pt idx="327">
                  <c:v>20</c:v>
                </c:pt>
                <c:pt idx="328">
                  <c:v>7</c:v>
                </c:pt>
                <c:pt idx="329">
                  <c:v>7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16</c:v>
                </c:pt>
                <c:pt idx="337">
                  <c:v>7</c:v>
                </c:pt>
                <c:pt idx="338">
                  <c:v>7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16</c:v>
                </c:pt>
                <c:pt idx="346">
                  <c:v>20</c:v>
                </c:pt>
                <c:pt idx="347">
                  <c:v>20</c:v>
                </c:pt>
                <c:pt idx="348">
                  <c:v>7</c:v>
                </c:pt>
                <c:pt idx="349">
                  <c:v>10</c:v>
                </c:pt>
                <c:pt idx="350">
                  <c:v>13</c:v>
                </c:pt>
                <c:pt idx="351">
                  <c:v>7</c:v>
                </c:pt>
                <c:pt idx="352">
                  <c:v>10</c:v>
                </c:pt>
                <c:pt idx="353">
                  <c:v>13</c:v>
                </c:pt>
                <c:pt idx="354">
                  <c:v>16</c:v>
                </c:pt>
                <c:pt idx="355">
                  <c:v>16</c:v>
                </c:pt>
                <c:pt idx="356">
                  <c:v>20</c:v>
                </c:pt>
                <c:pt idx="357">
                  <c:v>20</c:v>
                </c:pt>
                <c:pt idx="358">
                  <c:v>23</c:v>
                </c:pt>
                <c:pt idx="359">
                  <c:v>23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</c:numCache>
            </c:numRef>
          </c:xVal>
          <c:yVal>
            <c:numRef>
              <c:f>'headed (2)'!$DG$166:$DG$1258</c:f>
              <c:numCache>
                <c:formatCode>General</c:formatCode>
                <c:ptCount val="1075"/>
                <c:pt idx="3">
                  <c:v>1.794720670111744</c:v>
                </c:pt>
                <c:pt idx="4">
                  <c:v>1.5380197612821445</c:v>
                </c:pt>
                <c:pt idx="5">
                  <c:v>1.4210468912230823</c:v>
                </c:pt>
                <c:pt idx="8">
                  <c:v>1.5700011264151312</c:v>
                </c:pt>
                <c:pt idx="10">
                  <c:v>1.5911627720568966</c:v>
                </c:pt>
                <c:pt idx="11">
                  <c:v>1.5424576588157013</c:v>
                </c:pt>
                <c:pt idx="12">
                  <c:v>1.5409103389183063</c:v>
                </c:pt>
                <c:pt idx="16">
                  <c:v>1.618747126999279</c:v>
                </c:pt>
                <c:pt idx="17">
                  <c:v>1.7616301001435395</c:v>
                </c:pt>
                <c:pt idx="18">
                  <c:v>1.8607883579121227</c:v>
                </c:pt>
                <c:pt idx="20">
                  <c:v>1.6528810129954532</c:v>
                </c:pt>
                <c:pt idx="25">
                  <c:v>1.5816026934977176</c:v>
                </c:pt>
                <c:pt idx="26">
                  <c:v>1.5398515478642198</c:v>
                </c:pt>
                <c:pt idx="27">
                  <c:v>1.8483645889323053</c:v>
                </c:pt>
                <c:pt idx="29">
                  <c:v>1.6671220701684981</c:v>
                </c:pt>
                <c:pt idx="31">
                  <c:v>1.6540735818514851</c:v>
                </c:pt>
                <c:pt idx="32">
                  <c:v>1.6540735818514851</c:v>
                </c:pt>
                <c:pt idx="33">
                  <c:v>1.4874383120901835</c:v>
                </c:pt>
                <c:pt idx="34">
                  <c:v>1.4874383120901835</c:v>
                </c:pt>
                <c:pt idx="37">
                  <c:v>1.1973043210093592</c:v>
                </c:pt>
                <c:pt idx="38">
                  <c:v>1.1281032287987234</c:v>
                </c:pt>
                <c:pt idx="43">
                  <c:v>1.4292915545702025</c:v>
                </c:pt>
                <c:pt idx="44">
                  <c:v>1.97217424829744</c:v>
                </c:pt>
                <c:pt idx="45">
                  <c:v>1.97217424829744</c:v>
                </c:pt>
                <c:pt idx="46">
                  <c:v>1.9952585337426647</c:v>
                </c:pt>
                <c:pt idx="47">
                  <c:v>1.9952585337426647</c:v>
                </c:pt>
                <c:pt idx="50">
                  <c:v>1.2751919840719188</c:v>
                </c:pt>
                <c:pt idx="51">
                  <c:v>1.3506140519746308</c:v>
                </c:pt>
                <c:pt idx="53">
                  <c:v>1.0732932449490427</c:v>
                </c:pt>
                <c:pt idx="56">
                  <c:v>0.69063533625701745</c:v>
                </c:pt>
                <c:pt idx="58">
                  <c:v>1.4354232666084592</c:v>
                </c:pt>
                <c:pt idx="59">
                  <c:v>1.560884934514343</c:v>
                </c:pt>
                <c:pt idx="62">
                  <c:v>1.5355299544104395</c:v>
                </c:pt>
                <c:pt idx="64">
                  <c:v>0.91594080710970804</c:v>
                </c:pt>
                <c:pt idx="65">
                  <c:v>1.2093370725585242</c:v>
                </c:pt>
                <c:pt idx="70">
                  <c:v>1.6213066041161099</c:v>
                </c:pt>
                <c:pt idx="71">
                  <c:v>1.7503100546994845</c:v>
                </c:pt>
                <c:pt idx="72">
                  <c:v>1.7225622808684895</c:v>
                </c:pt>
                <c:pt idx="74">
                  <c:v>1.678318926344234</c:v>
                </c:pt>
                <c:pt idx="75">
                  <c:v>1.4899632682400843</c:v>
                </c:pt>
                <c:pt idx="77">
                  <c:v>1.6429720783454635</c:v>
                </c:pt>
                <c:pt idx="78">
                  <c:v>1.6028554172537091</c:v>
                </c:pt>
                <c:pt idx="79">
                  <c:v>1.4906266830836274</c:v>
                </c:pt>
                <c:pt idx="82">
                  <c:v>1.5399308845379911</c:v>
                </c:pt>
                <c:pt idx="83">
                  <c:v>1.7137964299552733</c:v>
                </c:pt>
                <c:pt idx="84">
                  <c:v>1.4398870419702952</c:v>
                </c:pt>
                <c:pt idx="85">
                  <c:v>1.5354665759203094</c:v>
                </c:pt>
                <c:pt idx="87">
                  <c:v>1.8303996348577347</c:v>
                </c:pt>
                <c:pt idx="89">
                  <c:v>1.5139899705847897</c:v>
                </c:pt>
                <c:pt idx="93">
                  <c:v>1.3377450555781216</c:v>
                </c:pt>
                <c:pt idx="96">
                  <c:v>1.0680010435748619</c:v>
                </c:pt>
                <c:pt idx="97">
                  <c:v>1.3131143007808823</c:v>
                </c:pt>
                <c:pt idx="99">
                  <c:v>1.085274259902747</c:v>
                </c:pt>
                <c:pt idx="101">
                  <c:v>1.1610070301058955</c:v>
                </c:pt>
                <c:pt idx="103">
                  <c:v>1.4272035302680499</c:v>
                </c:pt>
                <c:pt idx="105">
                  <c:v>1.1056114992723238</c:v>
                </c:pt>
                <c:pt idx="107">
                  <c:v>1.0166221143746004</c:v>
                </c:pt>
                <c:pt idx="112">
                  <c:v>1.1974991561843304</c:v>
                </c:pt>
                <c:pt idx="113">
                  <c:v>0.96129394656467926</c:v>
                </c:pt>
                <c:pt idx="115">
                  <c:v>1.3098915185197448</c:v>
                </c:pt>
                <c:pt idx="116">
                  <c:v>1.0324950798962937</c:v>
                </c:pt>
                <c:pt idx="117">
                  <c:v>1.3582301682762954</c:v>
                </c:pt>
                <c:pt idx="118">
                  <c:v>0.90762534595970545</c:v>
                </c:pt>
                <c:pt idx="119">
                  <c:v>1.1163081599228812</c:v>
                </c:pt>
                <c:pt idx="120">
                  <c:v>1.3187489627900544</c:v>
                </c:pt>
                <c:pt idx="121">
                  <c:v>1.7054171816068107</c:v>
                </c:pt>
                <c:pt idx="123">
                  <c:v>1.051317145691999</c:v>
                </c:pt>
                <c:pt idx="124">
                  <c:v>1.2380919937878554</c:v>
                </c:pt>
                <c:pt idx="125">
                  <c:v>0.98516281921633742</c:v>
                </c:pt>
                <c:pt idx="128">
                  <c:v>1.4957640290850434</c:v>
                </c:pt>
                <c:pt idx="130">
                  <c:v>0.98097068748379734</c:v>
                </c:pt>
                <c:pt idx="131">
                  <c:v>1.0355623876435345</c:v>
                </c:pt>
                <c:pt idx="132">
                  <c:v>0.89800579941581282</c:v>
                </c:pt>
                <c:pt idx="133">
                  <c:v>1.026278911927931</c:v>
                </c:pt>
                <c:pt idx="145">
                  <c:v>0.75738494469674067</c:v>
                </c:pt>
                <c:pt idx="146">
                  <c:v>0.7688185795271586</c:v>
                </c:pt>
                <c:pt idx="147">
                  <c:v>0.73864862864762737</c:v>
                </c:pt>
                <c:pt idx="150">
                  <c:v>0.63658061415316614</c:v>
                </c:pt>
                <c:pt idx="151">
                  <c:v>0.61800778838527559</c:v>
                </c:pt>
                <c:pt idx="152">
                  <c:v>0.67872485494033818</c:v>
                </c:pt>
                <c:pt idx="155">
                  <c:v>0.70367808719437008</c:v>
                </c:pt>
                <c:pt idx="157">
                  <c:v>0.75449639049580097</c:v>
                </c:pt>
                <c:pt idx="158">
                  <c:v>1.0814969925658282</c:v>
                </c:pt>
                <c:pt idx="159">
                  <c:v>0.95168248490077645</c:v>
                </c:pt>
                <c:pt idx="167">
                  <c:v>0.72179535196685451</c:v>
                </c:pt>
                <c:pt idx="168">
                  <c:v>0.94633885858091515</c:v>
                </c:pt>
                <c:pt idx="169">
                  <c:v>0.89214840379637628</c:v>
                </c:pt>
                <c:pt idx="172">
                  <c:v>0.87833333333333341</c:v>
                </c:pt>
                <c:pt idx="173">
                  <c:v>0.62319362436667958</c:v>
                </c:pt>
                <c:pt idx="174">
                  <c:v>0.87917179348650509</c:v>
                </c:pt>
                <c:pt idx="177">
                  <c:v>0.81958454427477145</c:v>
                </c:pt>
                <c:pt idx="179">
                  <c:v>0.9161935541106252</c:v>
                </c:pt>
                <c:pt idx="181">
                  <c:v>0.79497862339968595</c:v>
                </c:pt>
                <c:pt idx="183">
                  <c:v>0.77187994815402661</c:v>
                </c:pt>
                <c:pt idx="186">
                  <c:v>0.89515643202731698</c:v>
                </c:pt>
                <c:pt idx="189">
                  <c:v>0.81066942187607538</c:v>
                </c:pt>
                <c:pt idx="193">
                  <c:v>0.89753775945612424</c:v>
                </c:pt>
                <c:pt idx="194">
                  <c:v>0.95550025830198404</c:v>
                </c:pt>
                <c:pt idx="195">
                  <c:v>1.0643352713979048</c:v>
                </c:pt>
                <c:pt idx="198">
                  <c:v>1.4738851451493513</c:v>
                </c:pt>
                <c:pt idx="199">
                  <c:v>1.7031111416982552</c:v>
                </c:pt>
                <c:pt idx="200">
                  <c:v>1.3453438012059822</c:v>
                </c:pt>
                <c:pt idx="201">
                  <c:v>1.731758202447683</c:v>
                </c:pt>
                <c:pt idx="203">
                  <c:v>2.5258582854795466</c:v>
                </c:pt>
                <c:pt idx="204">
                  <c:v>1.4842785522928055</c:v>
                </c:pt>
                <c:pt idx="205">
                  <c:v>1.8155625474566859</c:v>
                </c:pt>
                <c:pt idx="207">
                  <c:v>2.4380497966331038</c:v>
                </c:pt>
                <c:pt idx="208">
                  <c:v>2.4636058741659457</c:v>
                </c:pt>
                <c:pt idx="213">
                  <c:v>1.0788549020126255</c:v>
                </c:pt>
                <c:pt idx="215">
                  <c:v>1.0842825744116804</c:v>
                </c:pt>
                <c:pt idx="218">
                  <c:v>1.697827799212775</c:v>
                </c:pt>
                <c:pt idx="219">
                  <c:v>1.1036377176784957</c:v>
                </c:pt>
                <c:pt idx="220">
                  <c:v>1.1508423840732456</c:v>
                </c:pt>
                <c:pt idx="222">
                  <c:v>1.2933704868741975</c:v>
                </c:pt>
                <c:pt idx="223">
                  <c:v>1.3045051452426668</c:v>
                </c:pt>
                <c:pt idx="225">
                  <c:v>1.0516411430045192</c:v>
                </c:pt>
                <c:pt idx="227">
                  <c:v>1.4853019156950511</c:v>
                </c:pt>
                <c:pt idx="229">
                  <c:v>1.5052684293177485</c:v>
                </c:pt>
                <c:pt idx="231">
                  <c:v>1.291340863422106</c:v>
                </c:pt>
                <c:pt idx="237">
                  <c:v>1.8878427439141436</c:v>
                </c:pt>
                <c:pt idx="238">
                  <c:v>1.8917218728399947</c:v>
                </c:pt>
                <c:pt idx="239">
                  <c:v>1.4822802361136755</c:v>
                </c:pt>
                <c:pt idx="242">
                  <c:v>1.351934535422801</c:v>
                </c:pt>
                <c:pt idx="245">
                  <c:v>3.4872822367819616</c:v>
                </c:pt>
                <c:pt idx="246">
                  <c:v>3.4724847166824624</c:v>
                </c:pt>
                <c:pt idx="247">
                  <c:v>3.2763843126979917</c:v>
                </c:pt>
                <c:pt idx="248">
                  <c:v>3.2560621494903539</c:v>
                </c:pt>
                <c:pt idx="251">
                  <c:v>2.6242898657708054</c:v>
                </c:pt>
                <c:pt idx="252">
                  <c:v>2.7756175295634287</c:v>
                </c:pt>
                <c:pt idx="253">
                  <c:v>1.8113307185544554</c:v>
                </c:pt>
                <c:pt idx="257">
                  <c:v>1.4571988895401744</c:v>
                </c:pt>
                <c:pt idx="262">
                  <c:v>1.5312635885804775</c:v>
                </c:pt>
                <c:pt idx="263">
                  <c:v>1.1875713646393697</c:v>
                </c:pt>
                <c:pt idx="265">
                  <c:v>2.4281246243137233</c:v>
                </c:pt>
                <c:pt idx="266">
                  <c:v>2.5314105225121426</c:v>
                </c:pt>
                <c:pt idx="267">
                  <c:v>2.426985071922775</c:v>
                </c:pt>
                <c:pt idx="268">
                  <c:v>2.3834667189089873</c:v>
                </c:pt>
                <c:pt idx="271">
                  <c:v>1</c:v>
                </c:pt>
                <c:pt idx="272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0.98674521354933731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9A-49C3-8003-1F4DD422B01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(2)'!$O$166:$O$1258</c:f>
              <c:numCache>
                <c:formatCode>General</c:formatCode>
                <c:ptCount val="1075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13.921985815602838</c:v>
                </c:pt>
                <c:pt idx="16">
                  <c:v>13.829787234042554</c:v>
                </c:pt>
                <c:pt idx="17">
                  <c:v>13.787234042553195</c:v>
                </c:pt>
                <c:pt idx="18">
                  <c:v>13.744680851063832</c:v>
                </c:pt>
                <c:pt idx="19">
                  <c:v>13.744680851063832</c:v>
                </c:pt>
                <c:pt idx="20">
                  <c:v>13.680851063829788</c:v>
                </c:pt>
                <c:pt idx="21">
                  <c:v>13.652482269503549</c:v>
                </c:pt>
                <c:pt idx="22">
                  <c:v>13.567375886524824</c:v>
                </c:pt>
                <c:pt idx="23">
                  <c:v>8.3595113438045381</c:v>
                </c:pt>
                <c:pt idx="24">
                  <c:v>12.368794326241137</c:v>
                </c:pt>
                <c:pt idx="25">
                  <c:v>12.234042553191491</c:v>
                </c:pt>
                <c:pt idx="26">
                  <c:v>12.148936170212767</c:v>
                </c:pt>
                <c:pt idx="27">
                  <c:v>12.067039106145252</c:v>
                </c:pt>
                <c:pt idx="28">
                  <c:v>12.056737588652483</c:v>
                </c:pt>
                <c:pt idx="29">
                  <c:v>12.014184397163124</c:v>
                </c:pt>
                <c:pt idx="30">
                  <c:v>12.014184397163124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12.000000000000004</c:v>
                </c:pt>
                <c:pt idx="38">
                  <c:v>12.000000000000004</c:v>
                </c:pt>
                <c:pt idx="39">
                  <c:v>11.921985815602838</c:v>
                </c:pt>
                <c:pt idx="40">
                  <c:v>11.921985815602838</c:v>
                </c:pt>
                <c:pt idx="41">
                  <c:v>11.879432624113477</c:v>
                </c:pt>
                <c:pt idx="42">
                  <c:v>11.858156028368795</c:v>
                </c:pt>
                <c:pt idx="43">
                  <c:v>11.744680851063832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15.749999999999998</c:v>
                </c:pt>
                <c:pt idx="51">
                  <c:v>15.28</c:v>
                </c:pt>
                <c:pt idx="52">
                  <c:v>10.581560283687944</c:v>
                </c:pt>
                <c:pt idx="53">
                  <c:v>10.43262411347518</c:v>
                </c:pt>
                <c:pt idx="54">
                  <c:v>10.418439716312058</c:v>
                </c:pt>
                <c:pt idx="55">
                  <c:v>10.418439716312058</c:v>
                </c:pt>
                <c:pt idx="56">
                  <c:v>10.375886524822697</c:v>
                </c:pt>
                <c:pt idx="57">
                  <c:v>10.375886524822697</c:v>
                </c:pt>
                <c:pt idx="58">
                  <c:v>14.58</c:v>
                </c:pt>
                <c:pt idx="59">
                  <c:v>14.58</c:v>
                </c:pt>
                <c:pt idx="60">
                  <c:v>10.312056737588653</c:v>
                </c:pt>
                <c:pt idx="61">
                  <c:v>10.312056737588653</c:v>
                </c:pt>
                <c:pt idx="62">
                  <c:v>14.54</c:v>
                </c:pt>
                <c:pt idx="63">
                  <c:v>14.54</c:v>
                </c:pt>
                <c:pt idx="64">
                  <c:v>10.283687943262413</c:v>
                </c:pt>
                <c:pt idx="65">
                  <c:v>10.283687943262413</c:v>
                </c:pt>
                <c:pt idx="66">
                  <c:v>14.499999999999998</c:v>
                </c:pt>
                <c:pt idx="67">
                  <c:v>14.499999999999998</c:v>
                </c:pt>
                <c:pt idx="68">
                  <c:v>14.42</c:v>
                </c:pt>
                <c:pt idx="69">
                  <c:v>14.42</c:v>
                </c:pt>
                <c:pt idx="70">
                  <c:v>14.38</c:v>
                </c:pt>
                <c:pt idx="71">
                  <c:v>14.38</c:v>
                </c:pt>
                <c:pt idx="72">
                  <c:v>14.38</c:v>
                </c:pt>
                <c:pt idx="73">
                  <c:v>14.38</c:v>
                </c:pt>
                <c:pt idx="74">
                  <c:v>14.35</c:v>
                </c:pt>
                <c:pt idx="75">
                  <c:v>14.299999999999999</c:v>
                </c:pt>
                <c:pt idx="76">
                  <c:v>14.27</c:v>
                </c:pt>
                <c:pt idx="77">
                  <c:v>14.25</c:v>
                </c:pt>
                <c:pt idx="78">
                  <c:v>14.25</c:v>
                </c:pt>
                <c:pt idx="79">
                  <c:v>14.13</c:v>
                </c:pt>
                <c:pt idx="80">
                  <c:v>14.09</c:v>
                </c:pt>
                <c:pt idx="81">
                  <c:v>14.080000000000002</c:v>
                </c:pt>
                <c:pt idx="82">
                  <c:v>14.059999999999999</c:v>
                </c:pt>
                <c:pt idx="83">
                  <c:v>9.9441340782122918</c:v>
                </c:pt>
                <c:pt idx="84">
                  <c:v>12.66</c:v>
                </c:pt>
                <c:pt idx="85">
                  <c:v>12.590000000000002</c:v>
                </c:pt>
                <c:pt idx="86">
                  <c:v>8.9078014184397176</c:v>
                </c:pt>
                <c:pt idx="87">
                  <c:v>12.56</c:v>
                </c:pt>
                <c:pt idx="88">
                  <c:v>8.8652482269503565</c:v>
                </c:pt>
                <c:pt idx="89">
                  <c:v>12.5</c:v>
                </c:pt>
                <c:pt idx="90">
                  <c:v>12.439999999999998</c:v>
                </c:pt>
                <c:pt idx="91">
                  <c:v>12.38</c:v>
                </c:pt>
                <c:pt idx="92">
                  <c:v>12.31</c:v>
                </c:pt>
                <c:pt idx="93">
                  <c:v>12.21</c:v>
                </c:pt>
                <c:pt idx="94">
                  <c:v>12.19</c:v>
                </c:pt>
                <c:pt idx="95">
                  <c:v>12.17</c:v>
                </c:pt>
                <c:pt idx="96">
                  <c:v>12.17</c:v>
                </c:pt>
                <c:pt idx="97">
                  <c:v>8.6028368794326244</c:v>
                </c:pt>
                <c:pt idx="98">
                  <c:v>12.129999999999999</c:v>
                </c:pt>
                <c:pt idx="99">
                  <c:v>8.6028368794326244</c:v>
                </c:pt>
                <c:pt idx="100">
                  <c:v>8.5744680851063837</c:v>
                </c:pt>
                <c:pt idx="101">
                  <c:v>12.06</c:v>
                </c:pt>
                <c:pt idx="102">
                  <c:v>12.06</c:v>
                </c:pt>
                <c:pt idx="103">
                  <c:v>12.04</c:v>
                </c:pt>
                <c:pt idx="104">
                  <c:v>12.03</c:v>
                </c:pt>
                <c:pt idx="105">
                  <c:v>8.5106382978723403</c:v>
                </c:pt>
                <c:pt idx="106">
                  <c:v>8.5106382978723403</c:v>
                </c:pt>
                <c:pt idx="107">
                  <c:v>11.999999999999998</c:v>
                </c:pt>
                <c:pt idx="108">
                  <c:v>11.999999999999998</c:v>
                </c:pt>
                <c:pt idx="109">
                  <c:v>11.97</c:v>
                </c:pt>
                <c:pt idx="110">
                  <c:v>11.95</c:v>
                </c:pt>
                <c:pt idx="111">
                  <c:v>11.9</c:v>
                </c:pt>
                <c:pt idx="112">
                  <c:v>11.88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11.299212598425198</c:v>
                </c:pt>
                <c:pt idx="117">
                  <c:v>11.299212598425198</c:v>
                </c:pt>
                <c:pt idx="118">
                  <c:v>11.25</c:v>
                </c:pt>
                <c:pt idx="119">
                  <c:v>7.9608938547486039</c:v>
                </c:pt>
                <c:pt idx="120">
                  <c:v>7.9608938547486039</c:v>
                </c:pt>
                <c:pt idx="121">
                  <c:v>7.9608938547486039</c:v>
                </c:pt>
                <c:pt idx="122">
                  <c:v>11.13</c:v>
                </c:pt>
                <c:pt idx="123">
                  <c:v>11.06</c:v>
                </c:pt>
                <c:pt idx="124">
                  <c:v>7.8212290502793298</c:v>
                </c:pt>
                <c:pt idx="125">
                  <c:v>7.8212290502793298</c:v>
                </c:pt>
                <c:pt idx="126">
                  <c:v>7.8212290502793298</c:v>
                </c:pt>
                <c:pt idx="127">
                  <c:v>7.8212290502793298</c:v>
                </c:pt>
                <c:pt idx="128">
                  <c:v>7.8212290502793298</c:v>
                </c:pt>
                <c:pt idx="129">
                  <c:v>10.94</c:v>
                </c:pt>
                <c:pt idx="130">
                  <c:v>10.83</c:v>
                </c:pt>
                <c:pt idx="131">
                  <c:v>10.58</c:v>
                </c:pt>
                <c:pt idx="132">
                  <c:v>10.5</c:v>
                </c:pt>
                <c:pt idx="133">
                  <c:v>10.35</c:v>
                </c:pt>
                <c:pt idx="134">
                  <c:v>10.33</c:v>
                </c:pt>
                <c:pt idx="135">
                  <c:v>10.33</c:v>
                </c:pt>
                <c:pt idx="136">
                  <c:v>10.29</c:v>
                </c:pt>
                <c:pt idx="137">
                  <c:v>10.25</c:v>
                </c:pt>
                <c:pt idx="138">
                  <c:v>10.130000000000001</c:v>
                </c:pt>
                <c:pt idx="139">
                  <c:v>10.1</c:v>
                </c:pt>
                <c:pt idx="140">
                  <c:v>10.08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9.94</c:v>
                </c:pt>
                <c:pt idx="145">
                  <c:v>9.92</c:v>
                </c:pt>
                <c:pt idx="146">
                  <c:v>9.92</c:v>
                </c:pt>
                <c:pt idx="147">
                  <c:v>9.9</c:v>
                </c:pt>
                <c:pt idx="148">
                  <c:v>9.8800000000000008</c:v>
                </c:pt>
                <c:pt idx="149">
                  <c:v>9.8800000000000008</c:v>
                </c:pt>
                <c:pt idx="150">
                  <c:v>9.8800000000000008</c:v>
                </c:pt>
                <c:pt idx="151">
                  <c:v>9.8800000000000008</c:v>
                </c:pt>
                <c:pt idx="152">
                  <c:v>9.81</c:v>
                </c:pt>
                <c:pt idx="153">
                  <c:v>9.7899999999999991</c:v>
                </c:pt>
                <c:pt idx="154">
                  <c:v>9.77</c:v>
                </c:pt>
                <c:pt idx="155">
                  <c:v>9.75</c:v>
                </c:pt>
                <c:pt idx="156">
                  <c:v>9.75</c:v>
                </c:pt>
                <c:pt idx="157">
                  <c:v>9.69</c:v>
                </c:pt>
                <c:pt idx="158">
                  <c:v>9.69</c:v>
                </c:pt>
                <c:pt idx="159">
                  <c:v>9.69</c:v>
                </c:pt>
                <c:pt idx="160">
                  <c:v>9.66</c:v>
                </c:pt>
                <c:pt idx="161">
                  <c:v>9.6300000000000008</c:v>
                </c:pt>
                <c:pt idx="162">
                  <c:v>9.6</c:v>
                </c:pt>
                <c:pt idx="163">
                  <c:v>9.58</c:v>
                </c:pt>
                <c:pt idx="164">
                  <c:v>9.58</c:v>
                </c:pt>
                <c:pt idx="165">
                  <c:v>9.56</c:v>
                </c:pt>
                <c:pt idx="166">
                  <c:v>9.56</c:v>
                </c:pt>
                <c:pt idx="167">
                  <c:v>9.5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9.4700000000000006</c:v>
                </c:pt>
                <c:pt idx="174">
                  <c:v>9.4600000000000009</c:v>
                </c:pt>
                <c:pt idx="175">
                  <c:v>9.42</c:v>
                </c:pt>
                <c:pt idx="176">
                  <c:v>9.3800000000000008</c:v>
                </c:pt>
                <c:pt idx="177">
                  <c:v>9.3800000000000008</c:v>
                </c:pt>
                <c:pt idx="178">
                  <c:v>9.3800000000000008</c:v>
                </c:pt>
                <c:pt idx="179">
                  <c:v>9.3800000000000008</c:v>
                </c:pt>
                <c:pt idx="180">
                  <c:v>9.33</c:v>
                </c:pt>
                <c:pt idx="181">
                  <c:v>9.33</c:v>
                </c:pt>
                <c:pt idx="182">
                  <c:v>9.31</c:v>
                </c:pt>
                <c:pt idx="183">
                  <c:v>9.25</c:v>
                </c:pt>
                <c:pt idx="184">
                  <c:v>9.25</c:v>
                </c:pt>
                <c:pt idx="185">
                  <c:v>9.25</c:v>
                </c:pt>
                <c:pt idx="186">
                  <c:v>9.25</c:v>
                </c:pt>
                <c:pt idx="187">
                  <c:v>9.19</c:v>
                </c:pt>
                <c:pt idx="188">
                  <c:v>9.19</c:v>
                </c:pt>
                <c:pt idx="189">
                  <c:v>9.19</c:v>
                </c:pt>
                <c:pt idx="190">
                  <c:v>9.17</c:v>
                </c:pt>
                <c:pt idx="191">
                  <c:v>9.1300000000000008</c:v>
                </c:pt>
                <c:pt idx="192">
                  <c:v>9.06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6.061452513966481</c:v>
                </c:pt>
                <c:pt idx="197">
                  <c:v>8.31</c:v>
                </c:pt>
                <c:pt idx="198">
                  <c:v>8.3070866141732296</c:v>
                </c:pt>
                <c:pt idx="199">
                  <c:v>8.3070866141732296</c:v>
                </c:pt>
                <c:pt idx="200">
                  <c:v>8.3070866141732296</c:v>
                </c:pt>
                <c:pt idx="201">
                  <c:v>8.25</c:v>
                </c:pt>
                <c:pt idx="202">
                  <c:v>8.25</c:v>
                </c:pt>
                <c:pt idx="203">
                  <c:v>5.8379888268156428</c:v>
                </c:pt>
                <c:pt idx="204">
                  <c:v>5.6983240223463696</c:v>
                </c:pt>
                <c:pt idx="205">
                  <c:v>8.0314960629921259</c:v>
                </c:pt>
                <c:pt idx="206">
                  <c:v>8</c:v>
                </c:pt>
                <c:pt idx="207">
                  <c:v>6</c:v>
                </c:pt>
                <c:pt idx="208">
                  <c:v>6</c:v>
                </c:pt>
                <c:pt idx="209">
                  <c:v>7.06</c:v>
                </c:pt>
                <c:pt idx="210">
                  <c:v>7.06</c:v>
                </c:pt>
                <c:pt idx="211">
                  <c:v>7</c:v>
                </c:pt>
                <c:pt idx="212">
                  <c:v>6.3385826771653546</c:v>
                </c:pt>
                <c:pt idx="213">
                  <c:v>6.33</c:v>
                </c:pt>
                <c:pt idx="214">
                  <c:v>6.29</c:v>
                </c:pt>
                <c:pt idx="215">
                  <c:v>6.25</c:v>
                </c:pt>
                <c:pt idx="216">
                  <c:v>6.25</c:v>
                </c:pt>
                <c:pt idx="217">
                  <c:v>6.25</c:v>
                </c:pt>
                <c:pt idx="218">
                  <c:v>9.9519999999999982</c:v>
                </c:pt>
                <c:pt idx="219">
                  <c:v>6.21</c:v>
                </c:pt>
                <c:pt idx="220">
                  <c:v>6.19</c:v>
                </c:pt>
                <c:pt idx="221">
                  <c:v>6.16</c:v>
                </c:pt>
                <c:pt idx="222">
                  <c:v>6.13</c:v>
                </c:pt>
                <c:pt idx="223">
                  <c:v>6.13</c:v>
                </c:pt>
                <c:pt idx="224">
                  <c:v>6.0999999999999988</c:v>
                </c:pt>
                <c:pt idx="225">
                  <c:v>6.09</c:v>
                </c:pt>
                <c:pt idx="226">
                  <c:v>9.695999999999998</c:v>
                </c:pt>
                <c:pt idx="227">
                  <c:v>9.6479999999999997</c:v>
                </c:pt>
                <c:pt idx="228">
                  <c:v>6.03</c:v>
                </c:pt>
                <c:pt idx="229">
                  <c:v>9.5999999999999979</c:v>
                </c:pt>
                <c:pt idx="230">
                  <c:v>9.5999999999999979</c:v>
                </c:pt>
                <c:pt idx="231">
                  <c:v>9.5999999999999979</c:v>
                </c:pt>
                <c:pt idx="232">
                  <c:v>5.9999999999999991</c:v>
                </c:pt>
                <c:pt idx="233">
                  <c:v>9.5039999999999996</c:v>
                </c:pt>
                <c:pt idx="234">
                  <c:v>5.63</c:v>
                </c:pt>
                <c:pt idx="235">
                  <c:v>5.5</c:v>
                </c:pt>
                <c:pt idx="236">
                  <c:v>5.5</c:v>
                </c:pt>
                <c:pt idx="237">
                  <c:v>6</c:v>
                </c:pt>
                <c:pt idx="238">
                  <c:v>6</c:v>
                </c:pt>
                <c:pt idx="239">
                  <c:v>8.3040000000000003</c:v>
                </c:pt>
                <c:pt idx="240">
                  <c:v>8.3040000000000003</c:v>
                </c:pt>
                <c:pt idx="241">
                  <c:v>8.24</c:v>
                </c:pt>
                <c:pt idx="242">
                  <c:v>8.0640000000000001</c:v>
                </c:pt>
                <c:pt idx="243">
                  <c:v>8.048</c:v>
                </c:pt>
                <c:pt idx="244">
                  <c:v>8.0319999999999983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7.056</c:v>
                </c:pt>
                <c:pt idx="254">
                  <c:v>6.7519999999999989</c:v>
                </c:pt>
                <c:pt idx="255">
                  <c:v>6.7039999999999997</c:v>
                </c:pt>
                <c:pt idx="256">
                  <c:v>6.6559999999999997</c:v>
                </c:pt>
                <c:pt idx="257">
                  <c:v>6.6079999999999988</c:v>
                </c:pt>
                <c:pt idx="258">
                  <c:v>6.6079999999999988</c:v>
                </c:pt>
                <c:pt idx="259">
                  <c:v>6.6079999999999988</c:v>
                </c:pt>
                <c:pt idx="260">
                  <c:v>6.5439999999999996</c:v>
                </c:pt>
                <c:pt idx="261">
                  <c:v>6.5439999999999996</c:v>
                </c:pt>
                <c:pt idx="262">
                  <c:v>6.4959999999999987</c:v>
                </c:pt>
                <c:pt idx="263">
                  <c:v>6.4959999999999987</c:v>
                </c:pt>
                <c:pt idx="264">
                  <c:v>6.0960000000000001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88">
                  <c:v>8</c:v>
                </c:pt>
                <c:pt idx="289">
                  <c:v>8.3000000000000007</c:v>
                </c:pt>
                <c:pt idx="290">
                  <c:v>8.5</c:v>
                </c:pt>
                <c:pt idx="291">
                  <c:v>7.5</c:v>
                </c:pt>
                <c:pt idx="292">
                  <c:v>7.4</c:v>
                </c:pt>
                <c:pt idx="293">
                  <c:v>7.4</c:v>
                </c:pt>
                <c:pt idx="294">
                  <c:v>7.1</c:v>
                </c:pt>
                <c:pt idx="295">
                  <c:v>7</c:v>
                </c:pt>
                <c:pt idx="296">
                  <c:v>5.9999999999999991</c:v>
                </c:pt>
                <c:pt idx="297">
                  <c:v>5.9999999999999991</c:v>
                </c:pt>
                <c:pt idx="298">
                  <c:v>6.0999999999999988</c:v>
                </c:pt>
                <c:pt idx="299">
                  <c:v>6.0999999999999988</c:v>
                </c:pt>
                <c:pt idx="300">
                  <c:v>6.3</c:v>
                </c:pt>
                <c:pt idx="301">
                  <c:v>6.3</c:v>
                </c:pt>
                <c:pt idx="302">
                  <c:v>6.4</c:v>
                </c:pt>
                <c:pt idx="303">
                  <c:v>6.5</c:v>
                </c:pt>
                <c:pt idx="304">
                  <c:v>6.5</c:v>
                </c:pt>
                <c:pt idx="305">
                  <c:v>6.5</c:v>
                </c:pt>
                <c:pt idx="306">
                  <c:v>6.6</c:v>
                </c:pt>
                <c:pt idx="307">
                  <c:v>6.5</c:v>
                </c:pt>
                <c:pt idx="308">
                  <c:v>6.5</c:v>
                </c:pt>
                <c:pt idx="309">
                  <c:v>6.4</c:v>
                </c:pt>
                <c:pt idx="310">
                  <c:v>8.4</c:v>
                </c:pt>
                <c:pt idx="311">
                  <c:v>6.5</c:v>
                </c:pt>
                <c:pt idx="312">
                  <c:v>6.3</c:v>
                </c:pt>
                <c:pt idx="313">
                  <c:v>6.8000000000000007</c:v>
                </c:pt>
                <c:pt idx="314">
                  <c:v>5.9999999999999991</c:v>
                </c:pt>
                <c:pt idx="315">
                  <c:v>6.0999999999999988</c:v>
                </c:pt>
                <c:pt idx="316">
                  <c:v>6.8000000000000007</c:v>
                </c:pt>
                <c:pt idx="317">
                  <c:v>6.3</c:v>
                </c:pt>
                <c:pt idx="318">
                  <c:v>6.6</c:v>
                </c:pt>
                <c:pt idx="319">
                  <c:v>6.9</c:v>
                </c:pt>
                <c:pt idx="326">
                  <c:v>20</c:v>
                </c:pt>
                <c:pt idx="327">
                  <c:v>20</c:v>
                </c:pt>
                <c:pt idx="328">
                  <c:v>7</c:v>
                </c:pt>
                <c:pt idx="329">
                  <c:v>7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16</c:v>
                </c:pt>
                <c:pt idx="337">
                  <c:v>7</c:v>
                </c:pt>
                <c:pt idx="338">
                  <c:v>7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16</c:v>
                </c:pt>
                <c:pt idx="346">
                  <c:v>20</c:v>
                </c:pt>
                <c:pt idx="347">
                  <c:v>20</c:v>
                </c:pt>
                <c:pt idx="348">
                  <c:v>7</c:v>
                </c:pt>
                <c:pt idx="349">
                  <c:v>10</c:v>
                </c:pt>
                <c:pt idx="350">
                  <c:v>13</c:v>
                </c:pt>
                <c:pt idx="351">
                  <c:v>7</c:v>
                </c:pt>
                <c:pt idx="352">
                  <c:v>10</c:v>
                </c:pt>
                <c:pt idx="353">
                  <c:v>13</c:v>
                </c:pt>
                <c:pt idx="354">
                  <c:v>16</c:v>
                </c:pt>
                <c:pt idx="355">
                  <c:v>16</c:v>
                </c:pt>
                <c:pt idx="356">
                  <c:v>20</c:v>
                </c:pt>
                <c:pt idx="357">
                  <c:v>20</c:v>
                </c:pt>
                <c:pt idx="358">
                  <c:v>23</c:v>
                </c:pt>
                <c:pt idx="359">
                  <c:v>23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</c:numCache>
            </c:numRef>
          </c:xVal>
          <c:yVal>
            <c:numRef>
              <c:f>'headed (2)'!$DM$166:$DM$1258</c:f>
              <c:numCache>
                <c:formatCode>General</c:formatCode>
                <c:ptCount val="1075"/>
                <c:pt idx="0">
                  <c:v>2.0897350040707581</c:v>
                </c:pt>
                <c:pt idx="1">
                  <c:v>1.9310412434474262</c:v>
                </c:pt>
                <c:pt idx="2">
                  <c:v>2.096867205449839</c:v>
                </c:pt>
                <c:pt idx="6">
                  <c:v>1.1019664488447403</c:v>
                </c:pt>
                <c:pt idx="7">
                  <c:v>1.3886226253286234</c:v>
                </c:pt>
                <c:pt idx="9">
                  <c:v>1.9957036604518148</c:v>
                </c:pt>
                <c:pt idx="13">
                  <c:v>1.491198292511049</c:v>
                </c:pt>
                <c:pt idx="14">
                  <c:v>1.7548839458286425</c:v>
                </c:pt>
                <c:pt idx="15">
                  <c:v>2.019483679818086</c:v>
                </c:pt>
                <c:pt idx="19">
                  <c:v>1.8239555927677222</c:v>
                </c:pt>
                <c:pt idx="21">
                  <c:v>1.8554105991258989</c:v>
                </c:pt>
                <c:pt idx="22">
                  <c:v>2.0047597914593944</c:v>
                </c:pt>
                <c:pt idx="24">
                  <c:v>1.6522350926872018</c:v>
                </c:pt>
                <c:pt idx="28">
                  <c:v>1.4366977144918935</c:v>
                </c:pt>
                <c:pt idx="30">
                  <c:v>1.8427952176594291</c:v>
                </c:pt>
                <c:pt idx="35">
                  <c:v>1.6715512745016297</c:v>
                </c:pt>
                <c:pt idx="36">
                  <c:v>1.6715512745016297</c:v>
                </c:pt>
                <c:pt idx="39">
                  <c:v>1.8834336158062253</c:v>
                </c:pt>
                <c:pt idx="40">
                  <c:v>1.8812925966750933</c:v>
                </c:pt>
                <c:pt idx="41">
                  <c:v>1.7038194945882996</c:v>
                </c:pt>
                <c:pt idx="42">
                  <c:v>1.6135859013275426</c:v>
                </c:pt>
                <c:pt idx="48">
                  <c:v>2.502367304628951</c:v>
                </c:pt>
                <c:pt idx="49">
                  <c:v>2.502367304628951</c:v>
                </c:pt>
                <c:pt idx="52">
                  <c:v>1.0116192816151657</c:v>
                </c:pt>
                <c:pt idx="54">
                  <c:v>1.0185169608474394</c:v>
                </c:pt>
                <c:pt idx="55">
                  <c:v>1.2411149415901028</c:v>
                </c:pt>
                <c:pt idx="57">
                  <c:v>1.627708019089664</c:v>
                </c:pt>
                <c:pt idx="60">
                  <c:v>1.2523599085817319</c:v>
                </c:pt>
                <c:pt idx="61">
                  <c:v>0.97005999442265467</c:v>
                </c:pt>
                <c:pt idx="63">
                  <c:v>1.5872436499070057</c:v>
                </c:pt>
                <c:pt idx="66">
                  <c:v>1.7312915853777464</c:v>
                </c:pt>
                <c:pt idx="67">
                  <c:v>2.0143868559808893</c:v>
                </c:pt>
                <c:pt idx="68">
                  <c:v>1.6049667825079759</c:v>
                </c:pt>
                <c:pt idx="69">
                  <c:v>1.8564322726263891</c:v>
                </c:pt>
                <c:pt idx="73">
                  <c:v>2.0436666783234134</c:v>
                </c:pt>
                <c:pt idx="76">
                  <c:v>2.0084145966035742</c:v>
                </c:pt>
                <c:pt idx="80">
                  <c:v>2.1389892476287438</c:v>
                </c:pt>
                <c:pt idx="81">
                  <c:v>1.8151122257280927</c:v>
                </c:pt>
                <c:pt idx="86">
                  <c:v>1.4696900496732774</c:v>
                </c:pt>
                <c:pt idx="88">
                  <c:v>1.3974642339462553</c:v>
                </c:pt>
                <c:pt idx="90">
                  <c:v>2.0746404680628681</c:v>
                </c:pt>
                <c:pt idx="91">
                  <c:v>1.6765075296519178</c:v>
                </c:pt>
                <c:pt idx="92">
                  <c:v>1.623611685263433</c:v>
                </c:pt>
                <c:pt idx="94">
                  <c:v>1.7265845077744686</c:v>
                </c:pt>
                <c:pt idx="95">
                  <c:v>1.2826380649004223</c:v>
                </c:pt>
                <c:pt idx="98">
                  <c:v>1.6414242600002831</c:v>
                </c:pt>
                <c:pt idx="100">
                  <c:v>1.4397576090914905</c:v>
                </c:pt>
                <c:pt idx="102">
                  <c:v>1.5779241384977041</c:v>
                </c:pt>
                <c:pt idx="104">
                  <c:v>1.0669685458984943</c:v>
                </c:pt>
                <c:pt idx="106">
                  <c:v>1.3401047785481524</c:v>
                </c:pt>
                <c:pt idx="108">
                  <c:v>1.4934888450846682</c:v>
                </c:pt>
                <c:pt idx="109">
                  <c:v>1.4545506164396904</c:v>
                </c:pt>
                <c:pt idx="110">
                  <c:v>1.5671872526272181</c:v>
                </c:pt>
                <c:pt idx="111">
                  <c:v>1.7214912231681421</c:v>
                </c:pt>
                <c:pt idx="114">
                  <c:v>1.2785719938235214</c:v>
                </c:pt>
                <c:pt idx="122">
                  <c:v>0.99617785069192466</c:v>
                </c:pt>
                <c:pt idx="126">
                  <c:v>1.4559039363893846</c:v>
                </c:pt>
                <c:pt idx="127">
                  <c:v>1.5899976895949632</c:v>
                </c:pt>
                <c:pt idx="129">
                  <c:v>1.0210557999824699</c:v>
                </c:pt>
                <c:pt idx="134">
                  <c:v>0.97531366488201143</c:v>
                </c:pt>
                <c:pt idx="135">
                  <c:v>1.2076437156812905</c:v>
                </c:pt>
                <c:pt idx="136">
                  <c:v>1.0909962422431996</c:v>
                </c:pt>
                <c:pt idx="137">
                  <c:v>0.95166687424883689</c:v>
                </c:pt>
                <c:pt idx="138">
                  <c:v>0.9393306132040562</c:v>
                </c:pt>
                <c:pt idx="139">
                  <c:v>0.95884996399514588</c:v>
                </c:pt>
                <c:pt idx="140">
                  <c:v>1.2275313013278444</c:v>
                </c:pt>
                <c:pt idx="141">
                  <c:v>0.85631332847185648</c:v>
                </c:pt>
                <c:pt idx="142">
                  <c:v>1.0122595831277816</c:v>
                </c:pt>
                <c:pt idx="143">
                  <c:v>1.0555684263285166</c:v>
                </c:pt>
                <c:pt idx="144">
                  <c:v>1.0237310466798923</c:v>
                </c:pt>
                <c:pt idx="148">
                  <c:v>0.88210240843168164</c:v>
                </c:pt>
                <c:pt idx="149">
                  <c:v>1.0184221931806774</c:v>
                </c:pt>
                <c:pt idx="153">
                  <c:v>0.94979047422646845</c:v>
                </c:pt>
                <c:pt idx="154">
                  <c:v>0.98660780016235983</c:v>
                </c:pt>
                <c:pt idx="156">
                  <c:v>0.65027889870200761</c:v>
                </c:pt>
                <c:pt idx="160">
                  <c:v>0.96051437093285852</c:v>
                </c:pt>
                <c:pt idx="161">
                  <c:v>0.83340478977310528</c:v>
                </c:pt>
                <c:pt idx="162">
                  <c:v>0.93949066396852476</c:v>
                </c:pt>
                <c:pt idx="163">
                  <c:v>0.96079814882500592</c:v>
                </c:pt>
                <c:pt idx="164">
                  <c:v>0.88772695202762453</c:v>
                </c:pt>
                <c:pt idx="165">
                  <c:v>1.1793748514869569</c:v>
                </c:pt>
                <c:pt idx="166">
                  <c:v>1.0114255979953197</c:v>
                </c:pt>
                <c:pt idx="170">
                  <c:v>1.1787643163301271</c:v>
                </c:pt>
                <c:pt idx="171">
                  <c:v>1.0276805768179793</c:v>
                </c:pt>
                <c:pt idx="175">
                  <c:v>0.90958443196571492</c:v>
                </c:pt>
                <c:pt idx="176">
                  <c:v>0.99413885294838056</c:v>
                </c:pt>
                <c:pt idx="178">
                  <c:v>0.98277763354811387</c:v>
                </c:pt>
                <c:pt idx="180">
                  <c:v>1.2347092535127056</c:v>
                </c:pt>
                <c:pt idx="182">
                  <c:v>1.1078590441518625</c:v>
                </c:pt>
                <c:pt idx="184">
                  <c:v>1.0612133921380551</c:v>
                </c:pt>
                <c:pt idx="185">
                  <c:v>1.2622199993298189</c:v>
                </c:pt>
                <c:pt idx="187">
                  <c:v>0.86504992090891586</c:v>
                </c:pt>
                <c:pt idx="188">
                  <c:v>1.4143463626576895</c:v>
                </c:pt>
                <c:pt idx="190">
                  <c:v>1.0750809484919404</c:v>
                </c:pt>
                <c:pt idx="191">
                  <c:v>0.92467198904083814</c:v>
                </c:pt>
                <c:pt idx="192">
                  <c:v>1.0255837865554474</c:v>
                </c:pt>
                <c:pt idx="197">
                  <c:v>1.5151167350293466</c:v>
                </c:pt>
                <c:pt idx="202">
                  <c:v>1.9142631106667445</c:v>
                </c:pt>
                <c:pt idx="206">
                  <c:v>1.6590638296996747</c:v>
                </c:pt>
                <c:pt idx="209">
                  <c:v>1.3327587691667713</c:v>
                </c:pt>
                <c:pt idx="210">
                  <c:v>1.0824860548652508</c:v>
                </c:pt>
                <c:pt idx="211">
                  <c:v>1.6008115856850342</c:v>
                </c:pt>
                <c:pt idx="214">
                  <c:v>1.6031941418598026</c:v>
                </c:pt>
                <c:pt idx="216">
                  <c:v>1.7894468224730991</c:v>
                </c:pt>
                <c:pt idx="217">
                  <c:v>1.7433677731711112</c:v>
                </c:pt>
                <c:pt idx="221">
                  <c:v>2.0370562080807706</c:v>
                </c:pt>
                <c:pt idx="224">
                  <c:v>1.5531423718553099</c:v>
                </c:pt>
                <c:pt idx="226">
                  <c:v>1.9857553822289242</c:v>
                </c:pt>
                <c:pt idx="228">
                  <c:v>1.597463993520754</c:v>
                </c:pt>
                <c:pt idx="230">
                  <c:v>1.7449699422328022</c:v>
                </c:pt>
                <c:pt idx="232">
                  <c:v>1.7309716556713737</c:v>
                </c:pt>
                <c:pt idx="233">
                  <c:v>2.356880352834843</c:v>
                </c:pt>
                <c:pt idx="234">
                  <c:v>1.756014516688875</c:v>
                </c:pt>
                <c:pt idx="235">
                  <c:v>2.0624467853963915</c:v>
                </c:pt>
                <c:pt idx="236">
                  <c:v>1.3495646193214026</c:v>
                </c:pt>
                <c:pt idx="240">
                  <c:v>2.226804333961967</c:v>
                </c:pt>
                <c:pt idx="241">
                  <c:v>1.5173231544502177</c:v>
                </c:pt>
                <c:pt idx="243">
                  <c:v>1.649578283506135</c:v>
                </c:pt>
                <c:pt idx="244">
                  <c:v>1.6706415634065737</c:v>
                </c:pt>
                <c:pt idx="249">
                  <c:v>3.3564461639150021</c:v>
                </c:pt>
                <c:pt idx="250">
                  <c:v>3.3494922008682169</c:v>
                </c:pt>
                <c:pt idx="254">
                  <c:v>1.5873395236395706</c:v>
                </c:pt>
                <c:pt idx="255">
                  <c:v>2.3968898250261241</c:v>
                </c:pt>
                <c:pt idx="256">
                  <c:v>1.6104550162570681</c:v>
                </c:pt>
                <c:pt idx="258">
                  <c:v>1.3523744146328167</c:v>
                </c:pt>
                <c:pt idx="259">
                  <c:v>1.8581291628547163</c:v>
                </c:pt>
                <c:pt idx="260">
                  <c:v>1.9691110177056528</c:v>
                </c:pt>
                <c:pt idx="261">
                  <c:v>1.6844942416423301</c:v>
                </c:pt>
                <c:pt idx="264">
                  <c:v>1.2867956956222946</c:v>
                </c:pt>
                <c:pt idx="269">
                  <c:v>2.4460777087109391</c:v>
                </c:pt>
                <c:pt idx="270">
                  <c:v>2.4392924723483564</c:v>
                </c:pt>
                <c:pt idx="37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9A-49C3-8003-1F4DD422B01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4-069A-49C3-8003-1F4DD422B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60352"/>
        <c:axId val="131861888"/>
      </c:scatterChart>
      <c:valAx>
        <c:axId val="1318603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1888"/>
        <c:crosses val="autoZero"/>
        <c:crossBetween val="midCat"/>
      </c:valAx>
      <c:valAx>
        <c:axId val="1318618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03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44" l="0.70000000000000062" r="0.70000000000000062" t="0.75000000000000844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9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(2)'!$O$20:$O$1282</c:f>
              <c:numCache>
                <c:formatCode>General</c:formatCode>
                <c:ptCount val="1102"/>
                <c:pt idx="0">
                  <c:v>16</c:v>
                </c:pt>
                <c:pt idx="1">
                  <c:v>16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13.921985815602838</c:v>
                </c:pt>
                <c:pt idx="19">
                  <c:v>13.829787234042554</c:v>
                </c:pt>
                <c:pt idx="20">
                  <c:v>13.787234042553195</c:v>
                </c:pt>
                <c:pt idx="21">
                  <c:v>13.744680851063832</c:v>
                </c:pt>
                <c:pt idx="22">
                  <c:v>13.744680851063832</c:v>
                </c:pt>
                <c:pt idx="23">
                  <c:v>13.680851063829788</c:v>
                </c:pt>
                <c:pt idx="24">
                  <c:v>13.652482269503549</c:v>
                </c:pt>
                <c:pt idx="25">
                  <c:v>13.567375886524824</c:v>
                </c:pt>
                <c:pt idx="26">
                  <c:v>8.3595113438045381</c:v>
                </c:pt>
                <c:pt idx="27">
                  <c:v>12.368794326241137</c:v>
                </c:pt>
                <c:pt idx="28">
                  <c:v>12.234042553191491</c:v>
                </c:pt>
                <c:pt idx="29">
                  <c:v>12.148936170212767</c:v>
                </c:pt>
                <c:pt idx="30">
                  <c:v>12.067039106145252</c:v>
                </c:pt>
                <c:pt idx="31">
                  <c:v>12.056737588652483</c:v>
                </c:pt>
                <c:pt idx="32">
                  <c:v>12.014184397163124</c:v>
                </c:pt>
                <c:pt idx="33">
                  <c:v>12.014184397163124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12.000000000000004</c:v>
                </c:pt>
                <c:pt idx="41">
                  <c:v>12.000000000000004</c:v>
                </c:pt>
                <c:pt idx="42">
                  <c:v>11.921985815602838</c:v>
                </c:pt>
                <c:pt idx="43">
                  <c:v>11.921985815602838</c:v>
                </c:pt>
                <c:pt idx="44">
                  <c:v>11.879432624113477</c:v>
                </c:pt>
                <c:pt idx="45">
                  <c:v>11.858156028368795</c:v>
                </c:pt>
                <c:pt idx="46">
                  <c:v>11.744680851063832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15.749999999999998</c:v>
                </c:pt>
                <c:pt idx="54">
                  <c:v>15.28</c:v>
                </c:pt>
                <c:pt idx="55">
                  <c:v>10.581560283687944</c:v>
                </c:pt>
                <c:pt idx="56">
                  <c:v>10.43262411347518</c:v>
                </c:pt>
                <c:pt idx="57">
                  <c:v>10.418439716312058</c:v>
                </c:pt>
                <c:pt idx="58">
                  <c:v>10.418439716312058</c:v>
                </c:pt>
                <c:pt idx="59">
                  <c:v>10.375886524822697</c:v>
                </c:pt>
                <c:pt idx="60">
                  <c:v>10.375886524822697</c:v>
                </c:pt>
                <c:pt idx="61">
                  <c:v>14.58</c:v>
                </c:pt>
                <c:pt idx="62">
                  <c:v>14.58</c:v>
                </c:pt>
                <c:pt idx="63">
                  <c:v>10.312056737588653</c:v>
                </c:pt>
                <c:pt idx="64">
                  <c:v>10.312056737588653</c:v>
                </c:pt>
                <c:pt idx="65">
                  <c:v>14.54</c:v>
                </c:pt>
                <c:pt idx="66">
                  <c:v>14.54</c:v>
                </c:pt>
                <c:pt idx="67">
                  <c:v>10.283687943262413</c:v>
                </c:pt>
                <c:pt idx="68">
                  <c:v>10.283687943262413</c:v>
                </c:pt>
                <c:pt idx="69">
                  <c:v>14.499999999999998</c:v>
                </c:pt>
                <c:pt idx="70">
                  <c:v>14.499999999999998</c:v>
                </c:pt>
                <c:pt idx="71">
                  <c:v>14.42</c:v>
                </c:pt>
                <c:pt idx="72">
                  <c:v>14.42</c:v>
                </c:pt>
                <c:pt idx="73">
                  <c:v>14.38</c:v>
                </c:pt>
                <c:pt idx="74">
                  <c:v>14.38</c:v>
                </c:pt>
                <c:pt idx="75">
                  <c:v>14.38</c:v>
                </c:pt>
                <c:pt idx="76">
                  <c:v>14.38</c:v>
                </c:pt>
                <c:pt idx="77">
                  <c:v>14.35</c:v>
                </c:pt>
                <c:pt idx="78">
                  <c:v>14.299999999999999</c:v>
                </c:pt>
                <c:pt idx="79">
                  <c:v>14.27</c:v>
                </c:pt>
                <c:pt idx="80">
                  <c:v>14.25</c:v>
                </c:pt>
                <c:pt idx="81">
                  <c:v>14.25</c:v>
                </c:pt>
                <c:pt idx="82">
                  <c:v>14.13</c:v>
                </c:pt>
                <c:pt idx="83">
                  <c:v>14.09</c:v>
                </c:pt>
                <c:pt idx="84">
                  <c:v>14.080000000000002</c:v>
                </c:pt>
                <c:pt idx="85">
                  <c:v>14.059999999999999</c:v>
                </c:pt>
                <c:pt idx="86">
                  <c:v>9.9441340782122918</c:v>
                </c:pt>
                <c:pt idx="87">
                  <c:v>12.66</c:v>
                </c:pt>
                <c:pt idx="88">
                  <c:v>12.590000000000002</c:v>
                </c:pt>
                <c:pt idx="89">
                  <c:v>8.9078014184397176</c:v>
                </c:pt>
                <c:pt idx="90">
                  <c:v>12.56</c:v>
                </c:pt>
                <c:pt idx="91">
                  <c:v>8.8652482269503565</c:v>
                </c:pt>
                <c:pt idx="92">
                  <c:v>12.5</c:v>
                </c:pt>
                <c:pt idx="93">
                  <c:v>12.439999999999998</c:v>
                </c:pt>
                <c:pt idx="94">
                  <c:v>12.38</c:v>
                </c:pt>
                <c:pt idx="95">
                  <c:v>12.31</c:v>
                </c:pt>
                <c:pt idx="96">
                  <c:v>12.21</c:v>
                </c:pt>
                <c:pt idx="97">
                  <c:v>12.19</c:v>
                </c:pt>
                <c:pt idx="98">
                  <c:v>12.17</c:v>
                </c:pt>
                <c:pt idx="99">
                  <c:v>12.17</c:v>
                </c:pt>
                <c:pt idx="100">
                  <c:v>8.6028368794326244</c:v>
                </c:pt>
                <c:pt idx="101">
                  <c:v>12.129999999999999</c:v>
                </c:pt>
                <c:pt idx="102">
                  <c:v>8.6028368794326244</c:v>
                </c:pt>
                <c:pt idx="103">
                  <c:v>8.5744680851063837</c:v>
                </c:pt>
                <c:pt idx="104">
                  <c:v>12.06</c:v>
                </c:pt>
                <c:pt idx="105">
                  <c:v>12.06</c:v>
                </c:pt>
                <c:pt idx="106">
                  <c:v>12.04</c:v>
                </c:pt>
                <c:pt idx="107">
                  <c:v>12.03</c:v>
                </c:pt>
                <c:pt idx="108">
                  <c:v>8.5106382978723403</c:v>
                </c:pt>
                <c:pt idx="109">
                  <c:v>8.5106382978723403</c:v>
                </c:pt>
                <c:pt idx="110">
                  <c:v>11.999999999999998</c:v>
                </c:pt>
                <c:pt idx="111">
                  <c:v>11.999999999999998</c:v>
                </c:pt>
                <c:pt idx="112">
                  <c:v>11.97</c:v>
                </c:pt>
                <c:pt idx="113">
                  <c:v>11.95</c:v>
                </c:pt>
                <c:pt idx="114">
                  <c:v>11.9</c:v>
                </c:pt>
                <c:pt idx="115">
                  <c:v>11.88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11.299212598425198</c:v>
                </c:pt>
                <c:pt idx="120">
                  <c:v>11.299212598425198</c:v>
                </c:pt>
                <c:pt idx="121">
                  <c:v>11.25</c:v>
                </c:pt>
                <c:pt idx="122">
                  <c:v>7.9608938547486039</c:v>
                </c:pt>
                <c:pt idx="123">
                  <c:v>7.9608938547486039</c:v>
                </c:pt>
                <c:pt idx="124">
                  <c:v>7.9608938547486039</c:v>
                </c:pt>
                <c:pt idx="125">
                  <c:v>11.13</c:v>
                </c:pt>
                <c:pt idx="126">
                  <c:v>11.06</c:v>
                </c:pt>
                <c:pt idx="127">
                  <c:v>7.8212290502793298</c:v>
                </c:pt>
                <c:pt idx="128">
                  <c:v>7.8212290502793298</c:v>
                </c:pt>
                <c:pt idx="129">
                  <c:v>7.8212290502793298</c:v>
                </c:pt>
                <c:pt idx="130">
                  <c:v>7.8212290502793298</c:v>
                </c:pt>
                <c:pt idx="131">
                  <c:v>7.8212290502793298</c:v>
                </c:pt>
                <c:pt idx="132">
                  <c:v>10.94</c:v>
                </c:pt>
                <c:pt idx="133">
                  <c:v>10.83</c:v>
                </c:pt>
                <c:pt idx="134">
                  <c:v>10.58</c:v>
                </c:pt>
                <c:pt idx="135">
                  <c:v>10.5</c:v>
                </c:pt>
                <c:pt idx="136">
                  <c:v>10.35</c:v>
                </c:pt>
                <c:pt idx="137">
                  <c:v>10.33</c:v>
                </c:pt>
                <c:pt idx="138">
                  <c:v>10.33</c:v>
                </c:pt>
                <c:pt idx="139">
                  <c:v>10.29</c:v>
                </c:pt>
                <c:pt idx="140">
                  <c:v>10.25</c:v>
                </c:pt>
                <c:pt idx="141">
                  <c:v>10.130000000000001</c:v>
                </c:pt>
                <c:pt idx="142">
                  <c:v>10.1</c:v>
                </c:pt>
                <c:pt idx="143">
                  <c:v>10.08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9.94</c:v>
                </c:pt>
                <c:pt idx="148">
                  <c:v>9.92</c:v>
                </c:pt>
                <c:pt idx="149">
                  <c:v>9.92</c:v>
                </c:pt>
                <c:pt idx="150">
                  <c:v>9.9</c:v>
                </c:pt>
                <c:pt idx="151">
                  <c:v>9.8800000000000008</c:v>
                </c:pt>
                <c:pt idx="152">
                  <c:v>9.8800000000000008</c:v>
                </c:pt>
                <c:pt idx="153">
                  <c:v>9.8800000000000008</c:v>
                </c:pt>
                <c:pt idx="154">
                  <c:v>9.8800000000000008</c:v>
                </c:pt>
                <c:pt idx="155">
                  <c:v>9.81</c:v>
                </c:pt>
                <c:pt idx="156">
                  <c:v>9.7899999999999991</c:v>
                </c:pt>
                <c:pt idx="157">
                  <c:v>9.77</c:v>
                </c:pt>
                <c:pt idx="158">
                  <c:v>9.75</c:v>
                </c:pt>
                <c:pt idx="159">
                  <c:v>9.75</c:v>
                </c:pt>
                <c:pt idx="160">
                  <c:v>9.69</c:v>
                </c:pt>
                <c:pt idx="161">
                  <c:v>9.69</c:v>
                </c:pt>
                <c:pt idx="162">
                  <c:v>9.69</c:v>
                </c:pt>
                <c:pt idx="163">
                  <c:v>9.66</c:v>
                </c:pt>
                <c:pt idx="164">
                  <c:v>9.6300000000000008</c:v>
                </c:pt>
                <c:pt idx="165">
                  <c:v>9.6</c:v>
                </c:pt>
                <c:pt idx="166">
                  <c:v>9.58</c:v>
                </c:pt>
                <c:pt idx="167">
                  <c:v>9.58</c:v>
                </c:pt>
                <c:pt idx="168">
                  <c:v>9.56</c:v>
                </c:pt>
                <c:pt idx="169">
                  <c:v>9.56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9.4700000000000006</c:v>
                </c:pt>
                <c:pt idx="177">
                  <c:v>9.4600000000000009</c:v>
                </c:pt>
                <c:pt idx="178">
                  <c:v>9.42</c:v>
                </c:pt>
                <c:pt idx="179">
                  <c:v>9.3800000000000008</c:v>
                </c:pt>
                <c:pt idx="180">
                  <c:v>9.3800000000000008</c:v>
                </c:pt>
                <c:pt idx="181">
                  <c:v>9.3800000000000008</c:v>
                </c:pt>
                <c:pt idx="182">
                  <c:v>9.3800000000000008</c:v>
                </c:pt>
                <c:pt idx="183">
                  <c:v>9.33</c:v>
                </c:pt>
                <c:pt idx="184">
                  <c:v>9.33</c:v>
                </c:pt>
                <c:pt idx="185">
                  <c:v>9.31</c:v>
                </c:pt>
                <c:pt idx="186">
                  <c:v>9.25</c:v>
                </c:pt>
                <c:pt idx="187">
                  <c:v>9.25</c:v>
                </c:pt>
                <c:pt idx="188">
                  <c:v>9.25</c:v>
                </c:pt>
                <c:pt idx="189">
                  <c:v>9.25</c:v>
                </c:pt>
                <c:pt idx="190">
                  <c:v>9.19</c:v>
                </c:pt>
                <c:pt idx="191">
                  <c:v>9.19</c:v>
                </c:pt>
                <c:pt idx="192">
                  <c:v>9.19</c:v>
                </c:pt>
                <c:pt idx="193">
                  <c:v>9.17</c:v>
                </c:pt>
                <c:pt idx="194">
                  <c:v>9.1300000000000008</c:v>
                </c:pt>
                <c:pt idx="195">
                  <c:v>9.06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6.061452513966481</c:v>
                </c:pt>
                <c:pt idx="200">
                  <c:v>8.31</c:v>
                </c:pt>
                <c:pt idx="201">
                  <c:v>8.3070866141732296</c:v>
                </c:pt>
                <c:pt idx="202">
                  <c:v>8.3070866141732296</c:v>
                </c:pt>
                <c:pt idx="203">
                  <c:v>8.3070866141732296</c:v>
                </c:pt>
                <c:pt idx="204">
                  <c:v>8.25</c:v>
                </c:pt>
                <c:pt idx="205">
                  <c:v>8.25</c:v>
                </c:pt>
                <c:pt idx="206">
                  <c:v>5.8379888268156428</c:v>
                </c:pt>
                <c:pt idx="207">
                  <c:v>5.6983240223463696</c:v>
                </c:pt>
                <c:pt idx="208">
                  <c:v>8.0314960629921259</c:v>
                </c:pt>
                <c:pt idx="209">
                  <c:v>8</c:v>
                </c:pt>
                <c:pt idx="210">
                  <c:v>6</c:v>
                </c:pt>
                <c:pt idx="211">
                  <c:v>6</c:v>
                </c:pt>
                <c:pt idx="212">
                  <c:v>7.06</c:v>
                </c:pt>
                <c:pt idx="213">
                  <c:v>7.06</c:v>
                </c:pt>
                <c:pt idx="214">
                  <c:v>7</c:v>
                </c:pt>
                <c:pt idx="215">
                  <c:v>6.3385826771653546</c:v>
                </c:pt>
                <c:pt idx="216">
                  <c:v>6.33</c:v>
                </c:pt>
                <c:pt idx="217">
                  <c:v>6.29</c:v>
                </c:pt>
                <c:pt idx="218">
                  <c:v>6.25</c:v>
                </c:pt>
                <c:pt idx="219">
                  <c:v>6.25</c:v>
                </c:pt>
                <c:pt idx="220">
                  <c:v>6.25</c:v>
                </c:pt>
                <c:pt idx="221">
                  <c:v>9.9519999999999982</c:v>
                </c:pt>
                <c:pt idx="222">
                  <c:v>6.21</c:v>
                </c:pt>
                <c:pt idx="223">
                  <c:v>6.19</c:v>
                </c:pt>
                <c:pt idx="224">
                  <c:v>6.16</c:v>
                </c:pt>
                <c:pt idx="225">
                  <c:v>6.13</c:v>
                </c:pt>
                <c:pt idx="226">
                  <c:v>6.13</c:v>
                </c:pt>
                <c:pt idx="227">
                  <c:v>6.0999999999999988</c:v>
                </c:pt>
                <c:pt idx="228">
                  <c:v>6.09</c:v>
                </c:pt>
                <c:pt idx="229">
                  <c:v>9.695999999999998</c:v>
                </c:pt>
                <c:pt idx="230">
                  <c:v>9.6479999999999997</c:v>
                </c:pt>
                <c:pt idx="231">
                  <c:v>6.03</c:v>
                </c:pt>
                <c:pt idx="232">
                  <c:v>9.5999999999999979</c:v>
                </c:pt>
                <c:pt idx="233">
                  <c:v>9.5999999999999979</c:v>
                </c:pt>
                <c:pt idx="234">
                  <c:v>9.5999999999999979</c:v>
                </c:pt>
                <c:pt idx="235">
                  <c:v>5.9999999999999991</c:v>
                </c:pt>
                <c:pt idx="236">
                  <c:v>9.5039999999999996</c:v>
                </c:pt>
                <c:pt idx="237">
                  <c:v>5.63</c:v>
                </c:pt>
                <c:pt idx="238">
                  <c:v>5.5</c:v>
                </c:pt>
                <c:pt idx="239">
                  <c:v>5.5</c:v>
                </c:pt>
                <c:pt idx="240">
                  <c:v>6</c:v>
                </c:pt>
                <c:pt idx="241">
                  <c:v>6</c:v>
                </c:pt>
                <c:pt idx="242">
                  <c:v>8.3040000000000003</c:v>
                </c:pt>
                <c:pt idx="243">
                  <c:v>8.3040000000000003</c:v>
                </c:pt>
                <c:pt idx="244">
                  <c:v>8.24</c:v>
                </c:pt>
                <c:pt idx="245">
                  <c:v>8.0640000000000001</c:v>
                </c:pt>
                <c:pt idx="246">
                  <c:v>8.048</c:v>
                </c:pt>
                <c:pt idx="247">
                  <c:v>8.0319999999999983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7.056</c:v>
                </c:pt>
                <c:pt idx="257">
                  <c:v>6.7519999999999989</c:v>
                </c:pt>
                <c:pt idx="258">
                  <c:v>6.7039999999999997</c:v>
                </c:pt>
                <c:pt idx="259">
                  <c:v>6.6559999999999997</c:v>
                </c:pt>
                <c:pt idx="260">
                  <c:v>6.6079999999999988</c:v>
                </c:pt>
                <c:pt idx="261">
                  <c:v>6.6079999999999988</c:v>
                </c:pt>
                <c:pt idx="262">
                  <c:v>6.6079999999999988</c:v>
                </c:pt>
                <c:pt idx="263">
                  <c:v>6.5439999999999996</c:v>
                </c:pt>
                <c:pt idx="264">
                  <c:v>6.5439999999999996</c:v>
                </c:pt>
                <c:pt idx="265">
                  <c:v>6.4959999999999987</c:v>
                </c:pt>
                <c:pt idx="266">
                  <c:v>6.4959999999999987</c:v>
                </c:pt>
                <c:pt idx="267">
                  <c:v>6.0960000000000001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91">
                  <c:v>8</c:v>
                </c:pt>
                <c:pt idx="292">
                  <c:v>8.3000000000000007</c:v>
                </c:pt>
                <c:pt idx="293">
                  <c:v>8.5</c:v>
                </c:pt>
                <c:pt idx="294">
                  <c:v>7.5</c:v>
                </c:pt>
                <c:pt idx="295">
                  <c:v>7.4</c:v>
                </c:pt>
                <c:pt idx="296">
                  <c:v>7.4</c:v>
                </c:pt>
                <c:pt idx="297">
                  <c:v>7.1</c:v>
                </c:pt>
                <c:pt idx="298">
                  <c:v>7</c:v>
                </c:pt>
                <c:pt idx="299">
                  <c:v>5.9999999999999991</c:v>
                </c:pt>
                <c:pt idx="300">
                  <c:v>5.9999999999999991</c:v>
                </c:pt>
                <c:pt idx="301">
                  <c:v>6.0999999999999988</c:v>
                </c:pt>
                <c:pt idx="302">
                  <c:v>6.0999999999999988</c:v>
                </c:pt>
                <c:pt idx="303">
                  <c:v>6.3</c:v>
                </c:pt>
                <c:pt idx="304">
                  <c:v>6.3</c:v>
                </c:pt>
                <c:pt idx="305">
                  <c:v>6.4</c:v>
                </c:pt>
                <c:pt idx="306">
                  <c:v>6.5</c:v>
                </c:pt>
                <c:pt idx="307">
                  <c:v>6.5</c:v>
                </c:pt>
                <c:pt idx="308">
                  <c:v>6.5</c:v>
                </c:pt>
                <c:pt idx="309">
                  <c:v>6.6</c:v>
                </c:pt>
                <c:pt idx="310">
                  <c:v>6.5</c:v>
                </c:pt>
                <c:pt idx="311">
                  <c:v>6.5</c:v>
                </c:pt>
                <c:pt idx="312">
                  <c:v>6.4</c:v>
                </c:pt>
                <c:pt idx="313">
                  <c:v>8.4</c:v>
                </c:pt>
                <c:pt idx="314">
                  <c:v>6.5</c:v>
                </c:pt>
                <c:pt idx="315">
                  <c:v>6.3</c:v>
                </c:pt>
                <c:pt idx="316">
                  <c:v>6.8000000000000007</c:v>
                </c:pt>
                <c:pt idx="317">
                  <c:v>5.9999999999999991</c:v>
                </c:pt>
                <c:pt idx="318">
                  <c:v>6.0999999999999988</c:v>
                </c:pt>
                <c:pt idx="319">
                  <c:v>6.8000000000000007</c:v>
                </c:pt>
                <c:pt idx="320">
                  <c:v>6.3</c:v>
                </c:pt>
                <c:pt idx="321">
                  <c:v>6.6</c:v>
                </c:pt>
                <c:pt idx="322">
                  <c:v>6.9</c:v>
                </c:pt>
                <c:pt idx="329">
                  <c:v>20</c:v>
                </c:pt>
                <c:pt idx="330">
                  <c:v>20</c:v>
                </c:pt>
                <c:pt idx="331">
                  <c:v>7</c:v>
                </c:pt>
                <c:pt idx="332">
                  <c:v>7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13</c:v>
                </c:pt>
                <c:pt idx="337">
                  <c:v>13</c:v>
                </c:pt>
                <c:pt idx="338">
                  <c:v>13</c:v>
                </c:pt>
                <c:pt idx="339">
                  <c:v>16</c:v>
                </c:pt>
                <c:pt idx="340">
                  <c:v>7</c:v>
                </c:pt>
                <c:pt idx="341">
                  <c:v>7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16</c:v>
                </c:pt>
                <c:pt idx="349">
                  <c:v>20</c:v>
                </c:pt>
                <c:pt idx="350">
                  <c:v>20</c:v>
                </c:pt>
                <c:pt idx="351">
                  <c:v>7</c:v>
                </c:pt>
                <c:pt idx="352">
                  <c:v>10</c:v>
                </c:pt>
                <c:pt idx="353">
                  <c:v>13</c:v>
                </c:pt>
                <c:pt idx="354">
                  <c:v>7</c:v>
                </c:pt>
                <c:pt idx="355">
                  <c:v>10</c:v>
                </c:pt>
                <c:pt idx="356">
                  <c:v>13</c:v>
                </c:pt>
                <c:pt idx="357">
                  <c:v>16</c:v>
                </c:pt>
                <c:pt idx="358">
                  <c:v>16</c:v>
                </c:pt>
                <c:pt idx="359">
                  <c:v>20</c:v>
                </c:pt>
                <c:pt idx="360">
                  <c:v>20</c:v>
                </c:pt>
                <c:pt idx="361">
                  <c:v>23</c:v>
                </c:pt>
                <c:pt idx="362">
                  <c:v>23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</c:numCache>
            </c:numRef>
          </c:xVal>
          <c:yVal>
            <c:numRef>
              <c:f>'headed (2)'!$CZ$20:$CZ$1282</c:f>
              <c:numCache>
                <c:formatCode>General</c:formatCode>
                <c:ptCount val="1102"/>
                <c:pt idx="0">
                  <c:v>1.2140631955584191</c:v>
                </c:pt>
                <c:pt idx="1">
                  <c:v>1.2142589675863487</c:v>
                </c:pt>
                <c:pt idx="2">
                  <c:v>1.250702910301895</c:v>
                </c:pt>
                <c:pt idx="3">
                  <c:v>1.6061312508358303</c:v>
                </c:pt>
                <c:pt idx="4">
                  <c:v>1.5076213914643732</c:v>
                </c:pt>
                <c:pt idx="5">
                  <c:v>1.6116129274598434</c:v>
                </c:pt>
                <c:pt idx="6">
                  <c:v>1.353732099805089</c:v>
                </c:pt>
                <c:pt idx="7">
                  <c:v>1.2158256317980205</c:v>
                </c:pt>
                <c:pt idx="8">
                  <c:v>1.1078654557321155</c:v>
                </c:pt>
                <c:pt idx="9">
                  <c:v>0.88558461738800009</c:v>
                </c:pt>
                <c:pt idx="10">
                  <c:v>1.0971269956239666</c:v>
                </c:pt>
                <c:pt idx="11">
                  <c:v>1.1362985571149462</c:v>
                </c:pt>
                <c:pt idx="12">
                  <c:v>1.4489090299456451</c:v>
                </c:pt>
                <c:pt idx="13">
                  <c:v>1.1264315123772384</c:v>
                </c:pt>
                <c:pt idx="14">
                  <c:v>1.1972859454860088</c:v>
                </c:pt>
                <c:pt idx="15">
                  <c:v>1.1825979304836267</c:v>
                </c:pt>
                <c:pt idx="16">
                  <c:v>1.1802441564682067</c:v>
                </c:pt>
                <c:pt idx="17">
                  <c:v>1.3701259564751176</c:v>
                </c:pt>
                <c:pt idx="18">
                  <c:v>1.4455193526381414</c:v>
                </c:pt>
                <c:pt idx="19">
                  <c:v>1.2264020383181997</c:v>
                </c:pt>
                <c:pt idx="20">
                  <c:v>1.2582112350998493</c:v>
                </c:pt>
                <c:pt idx="21">
                  <c:v>1.3026075869753657</c:v>
                </c:pt>
                <c:pt idx="22">
                  <c:v>1.3786937883911297</c:v>
                </c:pt>
                <c:pt idx="23">
                  <c:v>1.2265000402860071</c:v>
                </c:pt>
                <c:pt idx="24">
                  <c:v>1.375870186901017</c:v>
                </c:pt>
                <c:pt idx="25">
                  <c:v>1.3999644400429421</c:v>
                </c:pt>
                <c:pt idx="26">
                  <c:v>0</c:v>
                </c:pt>
                <c:pt idx="27">
                  <c:v>1.1905256945812908</c:v>
                </c:pt>
                <c:pt idx="28">
                  <c:v>1.1167546869959355</c:v>
                </c:pt>
                <c:pt idx="29">
                  <c:v>1.0416632154626597</c:v>
                </c:pt>
                <c:pt idx="30">
                  <c:v>1.4709966291791812</c:v>
                </c:pt>
                <c:pt idx="31">
                  <c:v>1.0293844757547645</c:v>
                </c:pt>
                <c:pt idx="32">
                  <c:v>1.1153119606929831</c:v>
                </c:pt>
                <c:pt idx="33">
                  <c:v>1.2956424138648808</c:v>
                </c:pt>
                <c:pt idx="34">
                  <c:v>1.131898315070766</c:v>
                </c:pt>
                <c:pt idx="35">
                  <c:v>1.131898315070766</c:v>
                </c:pt>
                <c:pt idx="36">
                  <c:v>1.0412218156152346</c:v>
                </c:pt>
                <c:pt idx="37">
                  <c:v>1.0412218156152346</c:v>
                </c:pt>
                <c:pt idx="38">
                  <c:v>1.1716971921552939</c:v>
                </c:pt>
                <c:pt idx="39">
                  <c:v>1.1716971921552939</c:v>
                </c:pt>
                <c:pt idx="40">
                  <c:v>0.85080970194489203</c:v>
                </c:pt>
                <c:pt idx="41">
                  <c:v>0.8085349544542425</c:v>
                </c:pt>
                <c:pt idx="42">
                  <c:v>1.2571639757274684</c:v>
                </c:pt>
                <c:pt idx="43">
                  <c:v>1.2692714892463186</c:v>
                </c:pt>
                <c:pt idx="44">
                  <c:v>1.2091353781823571</c:v>
                </c:pt>
                <c:pt idx="45">
                  <c:v>1.1753055919076683</c:v>
                </c:pt>
                <c:pt idx="46">
                  <c:v>1.0182198876788391</c:v>
                </c:pt>
                <c:pt idx="47">
                  <c:v>1.3095784928162608</c:v>
                </c:pt>
                <c:pt idx="48">
                  <c:v>1.3095784928162608</c:v>
                </c:pt>
                <c:pt idx="49">
                  <c:v>1.3493245422364921</c:v>
                </c:pt>
                <c:pt idx="50">
                  <c:v>1.3493245422364921</c:v>
                </c:pt>
                <c:pt idx="51">
                  <c:v>1.6978913823018422</c:v>
                </c:pt>
                <c:pt idx="52">
                  <c:v>1.6978913823018422</c:v>
                </c:pt>
                <c:pt idx="53">
                  <c:v>0.91851247644247092</c:v>
                </c:pt>
                <c:pt idx="54">
                  <c:v>1</c:v>
                </c:pt>
                <c:pt idx="55">
                  <c:v>0.73678053201601534</c:v>
                </c:pt>
                <c:pt idx="56">
                  <c:v>0.73718451657272832</c:v>
                </c:pt>
                <c:pt idx="57">
                  <c:v>0.68724341538301104</c:v>
                </c:pt>
                <c:pt idx="58">
                  <c:v>0.85028063832166845</c:v>
                </c:pt>
                <c:pt idx="59">
                  <c:v>0.49532268932934714</c:v>
                </c:pt>
                <c:pt idx="60">
                  <c:v>1.059782127050285</c:v>
                </c:pt>
                <c:pt idx="61">
                  <c:v>1.0088869571220103</c:v>
                </c:pt>
                <c:pt idx="62">
                  <c:v>1.0815801265431821</c:v>
                </c:pt>
                <c:pt idx="63">
                  <c:v>0.85852739822939572</c:v>
                </c:pt>
                <c:pt idx="64">
                  <c:v>0.69404556824261776</c:v>
                </c:pt>
                <c:pt idx="65">
                  <c:v>1.0377227912290949</c:v>
                </c:pt>
                <c:pt idx="66">
                  <c:v>1.0851045143939175</c:v>
                </c:pt>
                <c:pt idx="67">
                  <c:v>0.61746193238869718</c:v>
                </c:pt>
                <c:pt idx="68">
                  <c:v>0.78437925291382093</c:v>
                </c:pt>
                <c:pt idx="69">
                  <c:v>1.2732119156908908</c:v>
                </c:pt>
                <c:pt idx="70">
                  <c:v>1.486801599498017</c:v>
                </c:pt>
                <c:pt idx="71">
                  <c:v>1.127721019295898</c:v>
                </c:pt>
                <c:pt idx="72">
                  <c:v>1.3354151143487145</c:v>
                </c:pt>
                <c:pt idx="73">
                  <c:v>1.0546620803021731</c:v>
                </c:pt>
                <c:pt idx="74">
                  <c:v>1.1851863092498804</c:v>
                </c:pt>
                <c:pt idx="75">
                  <c:v>1.164038324517964</c:v>
                </c:pt>
                <c:pt idx="76">
                  <c:v>1.4000927741086981</c:v>
                </c:pt>
                <c:pt idx="77">
                  <c:v>1.1994142932326093</c:v>
                </c:pt>
                <c:pt idx="78">
                  <c:v>1.0759579072343315</c:v>
                </c:pt>
                <c:pt idx="79">
                  <c:v>1.4489801776685771</c:v>
                </c:pt>
                <c:pt idx="80">
                  <c:v>1.1693024959062237</c:v>
                </c:pt>
                <c:pt idx="81">
                  <c:v>1.1039912468916053</c:v>
                </c:pt>
                <c:pt idx="82">
                  <c:v>1.0425960964081298</c:v>
                </c:pt>
                <c:pt idx="83">
                  <c:v>1.4707672066107018</c:v>
                </c:pt>
                <c:pt idx="84">
                  <c:v>1.2575697339160365</c:v>
                </c:pt>
                <c:pt idx="85">
                  <c:v>1.1152914305964363</c:v>
                </c:pt>
                <c:pt idx="86">
                  <c:v>1.3081102480693489</c:v>
                </c:pt>
                <c:pt idx="87">
                  <c:v>0.99943469121787187</c:v>
                </c:pt>
                <c:pt idx="88">
                  <c:v>1.0591467407093387</c:v>
                </c:pt>
                <c:pt idx="89">
                  <c:v>0.95553229503146886</c:v>
                </c:pt>
                <c:pt idx="90">
                  <c:v>1.2638608456589822</c:v>
                </c:pt>
                <c:pt idx="91">
                  <c:v>0.93377048827409681</c:v>
                </c:pt>
                <c:pt idx="92">
                  <c:v>1.0429653107588621</c:v>
                </c:pt>
                <c:pt idx="93">
                  <c:v>1.4482630142707176</c:v>
                </c:pt>
                <c:pt idx="94">
                  <c:v>1.1669913938500407</c:v>
                </c:pt>
                <c:pt idx="95">
                  <c:v>1.1029753689711439</c:v>
                </c:pt>
                <c:pt idx="96">
                  <c:v>0.94794472349162318</c:v>
                </c:pt>
                <c:pt idx="97">
                  <c:v>1.2065212017848979</c:v>
                </c:pt>
                <c:pt idx="98">
                  <c:v>0.94032104183423759</c:v>
                </c:pt>
                <c:pt idx="99">
                  <c:v>0.73435132953628823</c:v>
                </c:pt>
                <c:pt idx="100">
                  <c:v>0.8348184273807373</c:v>
                </c:pt>
                <c:pt idx="101">
                  <c:v>1.0886125437537382</c:v>
                </c:pt>
                <c:pt idx="102">
                  <c:v>0.72096580896252627</c:v>
                </c:pt>
                <c:pt idx="103">
                  <c:v>0.99108586662496612</c:v>
                </c:pt>
                <c:pt idx="104">
                  <c:v>0.78234204586737066</c:v>
                </c:pt>
                <c:pt idx="105">
                  <c:v>1.0958321519136152</c:v>
                </c:pt>
                <c:pt idx="106">
                  <c:v>0.95810293219723919</c:v>
                </c:pt>
                <c:pt idx="107">
                  <c:v>0.80046699672781108</c:v>
                </c:pt>
                <c:pt idx="108">
                  <c:v>0.74669552116938287</c:v>
                </c:pt>
                <c:pt idx="109">
                  <c:v>0.90336797784402101</c:v>
                </c:pt>
                <c:pt idx="110">
                  <c:v>0.73918547860307671</c:v>
                </c:pt>
                <c:pt idx="111">
                  <c:v>1.035801217585661</c:v>
                </c:pt>
                <c:pt idx="112">
                  <c:v>1.0136499429452763</c:v>
                </c:pt>
                <c:pt idx="113">
                  <c:v>1.1085878003695551</c:v>
                </c:pt>
                <c:pt idx="114">
                  <c:v>1.1917519000638892</c:v>
                </c:pt>
                <c:pt idx="115">
                  <c:v>0.76733459610941368</c:v>
                </c:pt>
                <c:pt idx="116">
                  <c:v>1.0049803374710342</c:v>
                </c:pt>
                <c:pt idx="117">
                  <c:v>1.336765961716297</c:v>
                </c:pt>
                <c:pt idx="118">
                  <c:v>1.3502706830387621</c:v>
                </c:pt>
                <c:pt idx="119">
                  <c:v>1.0800473563193289</c:v>
                </c:pt>
                <c:pt idx="120">
                  <c:v>1.4530735737887628</c:v>
                </c:pt>
                <c:pt idx="121">
                  <c:v>0.97146948096887209</c:v>
                </c:pt>
                <c:pt idx="122">
                  <c:v>1.2119877238401617</c:v>
                </c:pt>
                <c:pt idx="123">
                  <c:v>1.4335498222786425</c:v>
                </c:pt>
                <c:pt idx="124">
                  <c:v>1.7084704294313242</c:v>
                </c:pt>
                <c:pt idx="125">
                  <c:v>1.0658353776281775</c:v>
                </c:pt>
                <c:pt idx="126">
                  <c:v>1.10521720654621</c:v>
                </c:pt>
                <c:pt idx="127">
                  <c:v>1.3383380886118024</c:v>
                </c:pt>
                <c:pt idx="128">
                  <c:v>1.0667341823935248</c:v>
                </c:pt>
                <c:pt idx="129">
                  <c:v>1.5688980242628909</c:v>
                </c:pt>
                <c:pt idx="130">
                  <c:v>1.7241744032031006</c:v>
                </c:pt>
                <c:pt idx="131">
                  <c:v>1.5425351929470028</c:v>
                </c:pt>
                <c:pt idx="132">
                  <c:v>1.0745054096439952</c:v>
                </c:pt>
                <c:pt idx="133">
                  <c:v>1.0069882788145434</c:v>
                </c:pt>
                <c:pt idx="134">
                  <c:v>1.0537522781326267</c:v>
                </c:pt>
                <c:pt idx="135">
                  <c:v>0.94606036381909953</c:v>
                </c:pt>
                <c:pt idx="136">
                  <c:v>1.0607370982090985</c:v>
                </c:pt>
                <c:pt idx="137">
                  <c:v>0.99104241411838778</c:v>
                </c:pt>
                <c:pt idx="138">
                  <c:v>1.2415241895472264</c:v>
                </c:pt>
                <c:pt idx="139">
                  <c:v>1.1108598911062268</c:v>
                </c:pt>
                <c:pt idx="140">
                  <c:v>0.98254513569119484</c:v>
                </c:pt>
                <c:pt idx="141">
                  <c:v>1.0134345640672162</c:v>
                </c:pt>
                <c:pt idx="142">
                  <c:v>1.0383544149159285</c:v>
                </c:pt>
                <c:pt idx="143">
                  <c:v>1.246854111705707</c:v>
                </c:pt>
                <c:pt idx="144">
                  <c:v>0.88968810745173232</c:v>
                </c:pt>
                <c:pt idx="145">
                  <c:v>1.015645214075779</c:v>
                </c:pt>
                <c:pt idx="146">
                  <c:v>1.0887563493315389</c:v>
                </c:pt>
                <c:pt idx="147">
                  <c:v>1.0615276951705674</c:v>
                </c:pt>
                <c:pt idx="148">
                  <c:v>0.76591341717817985</c:v>
                </c:pt>
                <c:pt idx="149">
                  <c:v>0.782670244439856</c:v>
                </c:pt>
                <c:pt idx="150">
                  <c:v>0.74214693971252432</c:v>
                </c:pt>
                <c:pt idx="151">
                  <c:v>0.9280417512964777</c:v>
                </c:pt>
                <c:pt idx="152">
                  <c:v>1.0429659273597731</c:v>
                </c:pt>
                <c:pt idx="153">
                  <c:v>0.67335839175112699</c:v>
                </c:pt>
                <c:pt idx="154">
                  <c:v>0.6648035989042731</c:v>
                </c:pt>
                <c:pt idx="155">
                  <c:v>0.69192281388318311</c:v>
                </c:pt>
                <c:pt idx="156">
                  <c:v>0.97651110382324768</c:v>
                </c:pt>
                <c:pt idx="157">
                  <c:v>0.99490267950518141</c:v>
                </c:pt>
                <c:pt idx="158">
                  <c:v>0.72846501506533778</c:v>
                </c:pt>
                <c:pt idx="159">
                  <c:v>0.67317534853537886</c:v>
                </c:pt>
                <c:pt idx="160">
                  <c:v>0.78300596637240216</c:v>
                </c:pt>
                <c:pt idx="161">
                  <c:v>1.0734511207027237</c:v>
                </c:pt>
                <c:pt idx="162">
                  <c:v>0.95168248490077645</c:v>
                </c:pt>
                <c:pt idx="163">
                  <c:v>0.97995058160380566</c:v>
                </c:pt>
                <c:pt idx="164">
                  <c:v>0.84853134899852589</c:v>
                </c:pt>
                <c:pt idx="165">
                  <c:v>0.95490274844904621</c:v>
                </c:pt>
                <c:pt idx="166">
                  <c:v>0.93212965513993562</c:v>
                </c:pt>
                <c:pt idx="167">
                  <c:v>0.8760822339448866</c:v>
                </c:pt>
                <c:pt idx="168">
                  <c:v>1.267632927019867</c:v>
                </c:pt>
                <c:pt idx="169">
                  <c:v>1.0864732280294513</c:v>
                </c:pt>
                <c:pt idx="170">
                  <c:v>0.70351864336481917</c:v>
                </c:pt>
                <c:pt idx="171">
                  <c:v>0.93461795122954905</c:v>
                </c:pt>
                <c:pt idx="172">
                  <c:v>0.89214840379637628</c:v>
                </c:pt>
                <c:pt idx="173">
                  <c:v>1.2694084672363284</c:v>
                </c:pt>
                <c:pt idx="174">
                  <c:v>1.0879820523592281</c:v>
                </c:pt>
                <c:pt idx="175">
                  <c:v>0.87833333333333341</c:v>
                </c:pt>
                <c:pt idx="176">
                  <c:v>0.63480838312555887</c:v>
                </c:pt>
                <c:pt idx="177">
                  <c:v>0.90003950832799662</c:v>
                </c:pt>
                <c:pt idx="178">
                  <c:v>0.88584801505264343</c:v>
                </c:pt>
                <c:pt idx="179">
                  <c:v>0.98184147159351287</c:v>
                </c:pt>
                <c:pt idx="180">
                  <c:v>0.82535245957938552</c:v>
                </c:pt>
                <c:pt idx="181">
                  <c:v>1.0443012016693149</c:v>
                </c:pt>
                <c:pt idx="182">
                  <c:v>0.96674260066309403</c:v>
                </c:pt>
                <c:pt idx="183">
                  <c:v>1.2625217719196895</c:v>
                </c:pt>
                <c:pt idx="184">
                  <c:v>0.82233348350740842</c:v>
                </c:pt>
                <c:pt idx="185">
                  <c:v>1.1787430355325779</c:v>
                </c:pt>
                <c:pt idx="186">
                  <c:v>0.74722430214469848</c:v>
                </c:pt>
                <c:pt idx="187">
                  <c:v>1.1378780950693508</c:v>
                </c:pt>
                <c:pt idx="188">
                  <c:v>1.3410351127446876</c:v>
                </c:pt>
                <c:pt idx="189">
                  <c:v>0.93310480003574625</c:v>
                </c:pt>
                <c:pt idx="190">
                  <c:v>0.87025939203289582</c:v>
                </c:pt>
                <c:pt idx="191">
                  <c:v>1.5147236131087898</c:v>
                </c:pt>
                <c:pt idx="192">
                  <c:v>0.85520549534192214</c:v>
                </c:pt>
                <c:pt idx="193">
                  <c:v>1.1130622636058647</c:v>
                </c:pt>
                <c:pt idx="194">
                  <c:v>0.96545639129394512</c:v>
                </c:pt>
                <c:pt idx="195">
                  <c:v>1.0953486974677027</c:v>
                </c:pt>
                <c:pt idx="196">
                  <c:v>0.94115541649385537</c:v>
                </c:pt>
                <c:pt idx="197">
                  <c:v>0.98697622127594653</c:v>
                </c:pt>
                <c:pt idx="198">
                  <c:v>1.0864891795569402</c:v>
                </c:pt>
                <c:pt idx="199">
                  <c:v>0</c:v>
                </c:pt>
                <c:pt idx="200">
                  <c:v>0.97511909646297612</c:v>
                </c:pt>
                <c:pt idx="201">
                  <c:v>0.96123910886210173</c:v>
                </c:pt>
                <c:pt idx="202">
                  <c:v>1.1150394683014302</c:v>
                </c:pt>
                <c:pt idx="203">
                  <c:v>0.93601937017964099</c:v>
                </c:pt>
                <c:pt idx="204">
                  <c:v>0.97228115444619168</c:v>
                </c:pt>
                <c:pt idx="205">
                  <c:v>1.1065773777959143</c:v>
                </c:pt>
                <c:pt idx="206">
                  <c:v>1.6772269266410664</c:v>
                </c:pt>
                <c:pt idx="207">
                  <c:v>1.024630490427666</c:v>
                </c:pt>
                <c:pt idx="208">
                  <c:v>1.162098744070923</c:v>
                </c:pt>
                <c:pt idx="209">
                  <c:v>1.0849879495526928</c:v>
                </c:pt>
                <c:pt idx="210">
                  <c:v>1</c:v>
                </c:pt>
                <c:pt idx="211">
                  <c:v>1</c:v>
                </c:pt>
                <c:pt idx="212">
                  <c:v>0.74645745582544709</c:v>
                </c:pt>
                <c:pt idx="213">
                  <c:v>0.65440646347147291</c:v>
                </c:pt>
                <c:pt idx="214">
                  <c:v>0.86626402070750652</c:v>
                </c:pt>
                <c:pt idx="215">
                  <c:v>0</c:v>
                </c:pt>
                <c:pt idx="216">
                  <c:v>0.68467739710453912</c:v>
                </c:pt>
                <c:pt idx="217">
                  <c:v>1.0359680488784047</c:v>
                </c:pt>
                <c:pt idx="218">
                  <c:v>0.67868729013532503</c:v>
                </c:pt>
                <c:pt idx="219">
                  <c:v>1.0767191342865152</c:v>
                </c:pt>
                <c:pt idx="220">
                  <c:v>1.0771457263688171</c:v>
                </c:pt>
                <c:pt idx="221">
                  <c:v>1.000825177613299</c:v>
                </c:pt>
                <c:pt idx="222">
                  <c:v>0.63898823880641586</c:v>
                </c:pt>
                <c:pt idx="223">
                  <c:v>0.73924512696546085</c:v>
                </c:pt>
                <c:pt idx="224">
                  <c:v>1.1618512131976952</c:v>
                </c:pt>
                <c:pt idx="225">
                  <c:v>0.72633374341804824</c:v>
                </c:pt>
                <c:pt idx="226">
                  <c:v>0.75400013200926497</c:v>
                </c:pt>
                <c:pt idx="227">
                  <c:v>1.0002692328949259</c:v>
                </c:pt>
                <c:pt idx="228">
                  <c:v>0.63292489521379602</c:v>
                </c:pt>
                <c:pt idx="229">
                  <c:v>1.2648314968012164</c:v>
                </c:pt>
                <c:pt idx="230">
                  <c:v>1</c:v>
                </c:pt>
                <c:pt idx="231">
                  <c:v>0.95972228420837502</c:v>
                </c:pt>
                <c:pt idx="232">
                  <c:v>0.95692750390543657</c:v>
                </c:pt>
                <c:pt idx="233">
                  <c:v>1.1093102722998569</c:v>
                </c:pt>
                <c:pt idx="234">
                  <c:v>0.96762589928057552</c:v>
                </c:pt>
                <c:pt idx="235">
                  <c:v>1.1248507186141501</c:v>
                </c:pt>
                <c:pt idx="236">
                  <c:v>1.3796539954432834</c:v>
                </c:pt>
                <c:pt idx="237">
                  <c:v>0.93712665612600687</c:v>
                </c:pt>
                <c:pt idx="238">
                  <c:v>1.0095343957325076</c:v>
                </c:pt>
                <c:pt idx="239">
                  <c:v>0.78909154398737613</c:v>
                </c:pt>
                <c:pt idx="240">
                  <c:v>1</c:v>
                </c:pt>
                <c:pt idx="241">
                  <c:v>1</c:v>
                </c:pt>
                <c:pt idx="242">
                  <c:v>0.93527480684988118</c:v>
                </c:pt>
                <c:pt idx="243">
                  <c:v>1.4822322141280799</c:v>
                </c:pt>
                <c:pt idx="244">
                  <c:v>0.9601139047349182</c:v>
                </c:pt>
                <c:pt idx="245">
                  <c:v>0.82625634412902194</c:v>
                </c:pt>
                <c:pt idx="246">
                  <c:v>1.0625500982773062</c:v>
                </c:pt>
                <c:pt idx="247">
                  <c:v>1.0627262740118579</c:v>
                </c:pt>
                <c:pt idx="248">
                  <c:v>1.1179242582161224</c:v>
                </c:pt>
                <c:pt idx="249">
                  <c:v>1.1131805909252479</c:v>
                </c:pt>
                <c:pt idx="250">
                  <c:v>1.0396608877230671</c:v>
                </c:pt>
                <c:pt idx="251">
                  <c:v>1.0332122674684099</c:v>
                </c:pt>
                <c:pt idx="252">
                  <c:v>1.1141268495754608</c:v>
                </c:pt>
                <c:pt idx="253">
                  <c:v>1.111818575715843</c:v>
                </c:pt>
                <c:pt idx="254">
                  <c:v>1</c:v>
                </c:pt>
                <c:pt idx="255">
                  <c:v>1</c:v>
                </c:pt>
                <c:pt idx="256">
                  <c:v>0.97894457082747688</c:v>
                </c:pt>
                <c:pt idx="257">
                  <c:v>0.91208253125064931</c:v>
                </c:pt>
                <c:pt idx="258">
                  <c:v>1.2792539211145848</c:v>
                </c:pt>
                <c:pt idx="259">
                  <c:v>0.94846759987164653</c:v>
                </c:pt>
                <c:pt idx="260">
                  <c:v>0.75051026424073697</c:v>
                </c:pt>
                <c:pt idx="261">
                  <c:v>0.77281597321579087</c:v>
                </c:pt>
                <c:pt idx="262">
                  <c:v>0.95614243505191698</c:v>
                </c:pt>
                <c:pt idx="263">
                  <c:v>1.0414859751276166</c:v>
                </c:pt>
                <c:pt idx="264">
                  <c:v>0.86413021470864393</c:v>
                </c:pt>
                <c:pt idx="265">
                  <c:v>0.89951817016281221</c:v>
                </c:pt>
                <c:pt idx="266">
                  <c:v>0.67646352686461653</c:v>
                </c:pt>
                <c:pt idx="267">
                  <c:v>0.74462905197182427</c:v>
                </c:pt>
                <c:pt idx="268">
                  <c:v>0.98674521354933731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0.98674521354933731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51-4E47-92A4-34AEF6C5DE3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1-7451-4E47-92A4-34AEF6C5D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94272"/>
        <c:axId val="131904256"/>
      </c:scatterChart>
      <c:valAx>
        <c:axId val="1318942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04256"/>
        <c:crosses val="autoZero"/>
        <c:crossBetween val="midCat"/>
      </c:valAx>
      <c:valAx>
        <c:axId val="13190425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942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(2)'!$O$20:$O$104</c:f>
            </c:numRef>
          </c:xVal>
          <c:yVal>
            <c:numRef>
              <c:f>'headed (2)'!$DG$20:$DG$104</c:f>
            </c:numRef>
          </c:yVal>
          <c:smooth val="0"/>
          <c:extLst>
            <c:ext xmlns:c16="http://schemas.microsoft.com/office/drawing/2014/chart" uri="{C3380CC4-5D6E-409C-BE32-E72D297353CC}">
              <c16:uniqueId val="{00000000-BA7D-4947-9466-0BCEE81ED26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(2)'!$O$20:$O$104</c:f>
            </c:numRef>
          </c:xVal>
          <c:yVal>
            <c:numRef>
              <c:f>'headed (2)'!$DM$20:$DM$104</c:f>
            </c:numRef>
          </c:yVal>
          <c:smooth val="0"/>
          <c:extLst>
            <c:ext xmlns:c16="http://schemas.microsoft.com/office/drawing/2014/chart" uri="{C3380CC4-5D6E-409C-BE32-E72D297353CC}">
              <c16:uniqueId val="{00000001-BA7D-4947-9466-0BCEE81ED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57504"/>
        <c:axId val="131960192"/>
      </c:scatterChart>
      <c:valAx>
        <c:axId val="1319575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60192"/>
        <c:crosses val="autoZero"/>
        <c:crossBetween val="midCat"/>
      </c:valAx>
      <c:valAx>
        <c:axId val="131960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575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(2)'!$O$20:$O$104</c:f>
            </c:numRef>
          </c:xVal>
          <c:yVal>
            <c:numRef>
              <c:f>'headed (2)'!$DD$20:$DD$104</c:f>
            </c:numRef>
          </c:yVal>
          <c:smooth val="0"/>
          <c:extLst>
            <c:ext xmlns:c16="http://schemas.microsoft.com/office/drawing/2014/chart" uri="{C3380CC4-5D6E-409C-BE32-E72D297353CC}">
              <c16:uniqueId val="{00000000-7542-4257-A770-31E50F7F0CD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(2)'!$O$20:$O$104</c:f>
            </c:numRef>
          </c:xVal>
          <c:yVal>
            <c:numRef>
              <c:f>'headed (2)'!$DJ$20:$DJ$104</c:f>
            </c:numRef>
          </c:yVal>
          <c:smooth val="0"/>
          <c:extLst>
            <c:ext xmlns:c16="http://schemas.microsoft.com/office/drawing/2014/chart" uri="{C3380CC4-5D6E-409C-BE32-E72D297353CC}">
              <c16:uniqueId val="{00000001-7542-4257-A770-31E50F7F0CD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2-7542-4257-A770-31E50F7F0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78752"/>
        <c:axId val="131980288"/>
      </c:scatterChart>
      <c:valAx>
        <c:axId val="1319787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80288"/>
        <c:crosses val="autoZero"/>
        <c:crossBetween val="midCat"/>
      </c:valAx>
      <c:valAx>
        <c:axId val="13198028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787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(2)'!$O$20:$O$104</c:f>
            </c:numRef>
          </c:xVal>
          <c:yVal>
            <c:numRef>
              <c:f>'headed (2)'!$DF$20:$DF$104</c:f>
            </c:numRef>
          </c:yVal>
          <c:smooth val="0"/>
          <c:extLst>
            <c:ext xmlns:c16="http://schemas.microsoft.com/office/drawing/2014/chart" uri="{C3380CC4-5D6E-409C-BE32-E72D297353CC}">
              <c16:uniqueId val="{00000000-4B4E-4AFA-A263-B76778F614E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(2)'!$O$20:$O$104</c:f>
            </c:numRef>
          </c:xVal>
          <c:yVal>
            <c:numRef>
              <c:f>'headed (2)'!$DL$20:$DL$104</c:f>
            </c:numRef>
          </c:yVal>
          <c:smooth val="0"/>
          <c:extLst>
            <c:ext xmlns:c16="http://schemas.microsoft.com/office/drawing/2014/chart" uri="{C3380CC4-5D6E-409C-BE32-E72D297353CC}">
              <c16:uniqueId val="{00000001-4B4E-4AFA-A263-B76778F614E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2-4B4E-4AFA-A263-B76778F61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30848"/>
        <c:axId val="132032384"/>
      </c:scatterChart>
      <c:valAx>
        <c:axId val="1320308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2384"/>
        <c:crosses val="autoZero"/>
        <c:crossBetween val="midCat"/>
      </c:valAx>
      <c:valAx>
        <c:axId val="132032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08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(2)'!$O$20:$O$104</c:f>
            </c:numRef>
          </c:xVal>
          <c:yVal>
            <c:numRef>
              <c:f>'headed (2)'!$DG$20:$DG$104</c:f>
            </c:numRef>
          </c:yVal>
          <c:smooth val="0"/>
          <c:extLst>
            <c:ext xmlns:c16="http://schemas.microsoft.com/office/drawing/2014/chart" uri="{C3380CC4-5D6E-409C-BE32-E72D297353CC}">
              <c16:uniqueId val="{00000000-7A79-466A-AA12-4DDE6FAA491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(2)'!$O$20:$O$104</c:f>
            </c:numRef>
          </c:xVal>
          <c:yVal>
            <c:numRef>
              <c:f>'headed (2)'!$DM$20:$DM$104</c:f>
            </c:numRef>
          </c:yVal>
          <c:smooth val="0"/>
          <c:extLst>
            <c:ext xmlns:c16="http://schemas.microsoft.com/office/drawing/2014/chart" uri="{C3380CC4-5D6E-409C-BE32-E72D297353CC}">
              <c16:uniqueId val="{00000001-7A79-466A-AA12-4DDE6FAA491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2-7A79-466A-AA12-4DDE6FAA4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75520"/>
        <c:axId val="132077056"/>
      </c:scatterChart>
      <c:valAx>
        <c:axId val="132075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7056"/>
        <c:crosses val="autoZero"/>
        <c:crossBetween val="midCat"/>
      </c:valAx>
      <c:valAx>
        <c:axId val="13207705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5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(2)'!$O$20:$O$104</c:f>
            </c:numRef>
          </c:xVal>
          <c:yVal>
            <c:numRef>
              <c:f>'headed (2)'!$DH$20:$DH$104</c:f>
            </c:numRef>
          </c:yVal>
          <c:smooth val="0"/>
          <c:extLst>
            <c:ext xmlns:c16="http://schemas.microsoft.com/office/drawing/2014/chart" uri="{C3380CC4-5D6E-409C-BE32-E72D297353CC}">
              <c16:uniqueId val="{00000000-1AD4-4A93-BEC1-47FC83225B16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(2)'!$O$20:$O$104</c:f>
            </c:numRef>
          </c:xVal>
          <c:yVal>
            <c:numRef>
              <c:f>'headed (2)'!$DN$20:$DN$104</c:f>
            </c:numRef>
          </c:yVal>
          <c:smooth val="0"/>
          <c:extLst>
            <c:ext xmlns:c16="http://schemas.microsoft.com/office/drawing/2014/chart" uri="{C3380CC4-5D6E-409C-BE32-E72D297353CC}">
              <c16:uniqueId val="{00000001-1AD4-4A93-BEC1-47FC83225B16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2-1AD4-4A93-BEC1-47FC83225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16480"/>
        <c:axId val="132118016"/>
      </c:scatterChart>
      <c:valAx>
        <c:axId val="1321164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8016"/>
        <c:crosses val="autoZero"/>
        <c:crossBetween val="midCat"/>
      </c:valAx>
      <c:valAx>
        <c:axId val="1321180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64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(2)'!$O$105:$O$153</c:f>
            </c:numRef>
          </c:xVal>
          <c:yVal>
            <c:numRef>
              <c:f>'headed (2)'!$DC$105:$DC$153</c:f>
            </c:numRef>
          </c:yVal>
          <c:smooth val="0"/>
          <c:extLst>
            <c:ext xmlns:c16="http://schemas.microsoft.com/office/drawing/2014/chart" uri="{C3380CC4-5D6E-409C-BE32-E72D297353CC}">
              <c16:uniqueId val="{00000000-E229-43C8-A531-8530343E6089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(2)'!$O$105:$O$153</c:f>
            </c:numRef>
          </c:xVal>
          <c:yVal>
            <c:numRef>
              <c:f>'headed (2)'!$DI$105:$DI$153</c:f>
            </c:numRef>
          </c:yVal>
          <c:smooth val="0"/>
          <c:extLst>
            <c:ext xmlns:c16="http://schemas.microsoft.com/office/drawing/2014/chart" uri="{C3380CC4-5D6E-409C-BE32-E72D297353CC}">
              <c16:uniqueId val="{00000001-E229-43C8-A531-8530343E6089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2-E229-43C8-A531-8530343E6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20416"/>
        <c:axId val="132221952"/>
      </c:scatterChart>
      <c:valAx>
        <c:axId val="1322204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1952"/>
        <c:crosses val="autoZero"/>
        <c:crossBetween val="midCat"/>
      </c:valAx>
      <c:valAx>
        <c:axId val="13222195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04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(2)'!$O$105:$O$153</c:f>
            </c:numRef>
          </c:xVal>
          <c:yVal>
            <c:numRef>
              <c:f>'headed (2)'!$DE$105:$DE$153</c:f>
            </c:numRef>
          </c:yVal>
          <c:smooth val="0"/>
          <c:extLst>
            <c:ext xmlns:c16="http://schemas.microsoft.com/office/drawing/2014/chart" uri="{C3380CC4-5D6E-409C-BE32-E72D297353CC}">
              <c16:uniqueId val="{00000000-C05C-4401-962B-537AAB29FD1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(2)'!$O$105:$O$153</c:f>
            </c:numRef>
          </c:xVal>
          <c:yVal>
            <c:numRef>
              <c:f>'headed (2)'!$DK$105:$DK$153</c:f>
            </c:numRef>
          </c:yVal>
          <c:smooth val="0"/>
          <c:extLst>
            <c:ext xmlns:c16="http://schemas.microsoft.com/office/drawing/2014/chart" uri="{C3380CC4-5D6E-409C-BE32-E72D297353CC}">
              <c16:uniqueId val="{00000001-C05C-4401-962B-537AAB29FD1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2-C05C-4401-962B-537AAB29F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58816"/>
        <c:axId val="132268800"/>
      </c:scatterChart>
      <c:valAx>
        <c:axId val="1322588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68800"/>
        <c:crosses val="autoZero"/>
        <c:crossBetween val="midCat"/>
      </c:valAx>
      <c:valAx>
        <c:axId val="13226880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588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(2)'!$O$105:$O$153</c:f>
            </c:numRef>
          </c:xVal>
          <c:yVal>
            <c:numRef>
              <c:f>'headed (2)'!$DD$105:$DD$153</c:f>
            </c:numRef>
          </c:yVal>
          <c:smooth val="0"/>
          <c:extLst>
            <c:ext xmlns:c16="http://schemas.microsoft.com/office/drawing/2014/chart" uri="{C3380CC4-5D6E-409C-BE32-E72D297353CC}">
              <c16:uniqueId val="{00000000-F3AA-455C-A1FA-50F487B3E65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(2)'!$O$105:$O$153</c:f>
            </c:numRef>
          </c:xVal>
          <c:yVal>
            <c:numRef>
              <c:f>'headed (2)'!$DJ$105:$DJ$153</c:f>
            </c:numRef>
          </c:yVal>
          <c:smooth val="0"/>
          <c:extLst>
            <c:ext xmlns:c16="http://schemas.microsoft.com/office/drawing/2014/chart" uri="{C3380CC4-5D6E-409C-BE32-E72D297353CC}">
              <c16:uniqueId val="{00000001-F3AA-455C-A1FA-50F487B3E65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2-F3AA-455C-A1FA-50F487B3E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4240"/>
        <c:axId val="132315776"/>
      </c:scatterChart>
      <c:valAx>
        <c:axId val="1323142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5776"/>
        <c:crosses val="autoZero"/>
        <c:crossBetween val="midCat"/>
      </c:valAx>
      <c:valAx>
        <c:axId val="13231577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42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(2)'!$O$105:$O$153</c:f>
            </c:numRef>
          </c:xVal>
          <c:yVal>
            <c:numRef>
              <c:f>'headed (2)'!$DF$105:$DF$153</c:f>
            </c:numRef>
          </c:yVal>
          <c:smooth val="0"/>
          <c:extLst>
            <c:ext xmlns:c16="http://schemas.microsoft.com/office/drawing/2014/chart" uri="{C3380CC4-5D6E-409C-BE32-E72D297353CC}">
              <c16:uniqueId val="{00000000-B8D8-45C7-A328-BD3636C39E1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(2)'!$O$105:$O$153</c:f>
            </c:numRef>
          </c:xVal>
          <c:yVal>
            <c:numRef>
              <c:f>'headed (2)'!$DL$105:$DL$153</c:f>
            </c:numRef>
          </c:yVal>
          <c:smooth val="0"/>
          <c:extLst>
            <c:ext xmlns:c16="http://schemas.microsoft.com/office/drawing/2014/chart" uri="{C3380CC4-5D6E-409C-BE32-E72D297353CC}">
              <c16:uniqueId val="{00000001-B8D8-45C7-A328-BD3636C39E1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2-B8D8-45C7-A328-BD3636C39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44832"/>
        <c:axId val="132358912"/>
      </c:scatterChart>
      <c:valAx>
        <c:axId val="132344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58912"/>
        <c:crosses val="autoZero"/>
        <c:crossBetween val="midCat"/>
      </c:valAx>
      <c:valAx>
        <c:axId val="13235891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4483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(2)'!$O$105:$O$153</c:f>
            </c:numRef>
          </c:xVal>
          <c:yVal>
            <c:numRef>
              <c:f>'headed (2)'!$DG$105:$DG$153</c:f>
            </c:numRef>
          </c:yVal>
          <c:smooth val="0"/>
          <c:extLst>
            <c:ext xmlns:c16="http://schemas.microsoft.com/office/drawing/2014/chart" uri="{C3380CC4-5D6E-409C-BE32-E72D297353CC}">
              <c16:uniqueId val="{00000000-7F1B-41AA-B06C-7B7A48A0A23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(2)'!$O$105:$O$153</c:f>
            </c:numRef>
          </c:xVal>
          <c:yVal>
            <c:numRef>
              <c:f>'headed (2)'!$DM$105:$DM$153</c:f>
            </c:numRef>
          </c:yVal>
          <c:smooth val="0"/>
          <c:extLst>
            <c:ext xmlns:c16="http://schemas.microsoft.com/office/drawing/2014/chart" uri="{C3380CC4-5D6E-409C-BE32-E72D297353CC}">
              <c16:uniqueId val="{00000001-7F1B-41AA-B06C-7B7A48A0A23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2-7F1B-41AA-B06C-7B7A48A0A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83872"/>
        <c:axId val="132385408"/>
      </c:scatterChart>
      <c:valAx>
        <c:axId val="1323838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5408"/>
        <c:crosses val="autoZero"/>
        <c:crossBetween val="midCat"/>
      </c:valAx>
      <c:valAx>
        <c:axId val="13238540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38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(2)'!$O$105:$O$153</c:f>
            </c:numRef>
          </c:xVal>
          <c:yVal>
            <c:numRef>
              <c:f>'headed (2)'!$DH$105:$DH$153</c:f>
            </c:numRef>
          </c:yVal>
          <c:smooth val="0"/>
          <c:extLst>
            <c:ext xmlns:c16="http://schemas.microsoft.com/office/drawing/2014/chart" uri="{C3380CC4-5D6E-409C-BE32-E72D297353CC}">
              <c16:uniqueId val="{00000000-8112-4697-8A5B-7293AA3A8FF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(2)'!$O$105:$O$153</c:f>
            </c:numRef>
          </c:xVal>
          <c:yVal>
            <c:numRef>
              <c:f>'headed (2)'!$DN$105:$DN$153</c:f>
            </c:numRef>
          </c:yVal>
          <c:smooth val="0"/>
          <c:extLst>
            <c:ext xmlns:c16="http://schemas.microsoft.com/office/drawing/2014/chart" uri="{C3380CC4-5D6E-409C-BE32-E72D297353CC}">
              <c16:uniqueId val="{00000001-8112-4697-8A5B-7293AA3A8FF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2-8112-4697-8A5B-7293AA3A8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35328"/>
        <c:axId val="132441216"/>
      </c:scatterChart>
      <c:valAx>
        <c:axId val="13243532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41216"/>
        <c:crosses val="autoZero"/>
        <c:crossBetween val="midCat"/>
      </c:valAx>
      <c:valAx>
        <c:axId val="1324412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3532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(2)'!$O$166:$O$192</c:f>
              <c:numCache>
                <c:formatCode>General</c:formatCode>
                <c:ptCount val="23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13.921985815602838</c:v>
                </c:pt>
                <c:pt idx="16">
                  <c:v>13.829787234042554</c:v>
                </c:pt>
                <c:pt idx="17">
                  <c:v>13.787234042553195</c:v>
                </c:pt>
                <c:pt idx="18">
                  <c:v>13.744680851063832</c:v>
                </c:pt>
                <c:pt idx="19">
                  <c:v>13.744680851063832</c:v>
                </c:pt>
                <c:pt idx="20">
                  <c:v>13.680851063829788</c:v>
                </c:pt>
                <c:pt idx="21">
                  <c:v>13.652482269503549</c:v>
                </c:pt>
                <c:pt idx="22">
                  <c:v>13.567375886524824</c:v>
                </c:pt>
              </c:numCache>
            </c:numRef>
          </c:xVal>
          <c:yVal>
            <c:numRef>
              <c:f>'headed (2)'!$DE$166:$DE$192</c:f>
              <c:numCache>
                <c:formatCode>General</c:formatCode>
                <c:ptCount val="23"/>
                <c:pt idx="3">
                  <c:v>2.7475233917965838</c:v>
                </c:pt>
                <c:pt idx="4">
                  <c:v>2.4470066431310555</c:v>
                </c:pt>
                <c:pt idx="5">
                  <c:v>2.3674235347733665</c:v>
                </c:pt>
                <c:pt idx="8">
                  <c:v>1.8226729491803071</c:v>
                </c:pt>
                <c:pt idx="10">
                  <c:v>1.8068457746941986</c:v>
                </c:pt>
                <c:pt idx="11">
                  <c:v>2.2497610402163333</c:v>
                </c:pt>
                <c:pt idx="12">
                  <c:v>2.3709127261355487</c:v>
                </c:pt>
                <c:pt idx="16">
                  <c:v>2.6426335066380755</c:v>
                </c:pt>
                <c:pt idx="17">
                  <c:v>2.9117840723050152</c:v>
                </c:pt>
                <c:pt idx="18">
                  <c:v>3.0089257747662694</c:v>
                </c:pt>
                <c:pt idx="20">
                  <c:v>2.6344829075564871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40-44CF-9982-48119B179061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(2)'!$O$166:$O$192</c:f>
              <c:numCache>
                <c:formatCode>General</c:formatCode>
                <c:ptCount val="23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13.921985815602838</c:v>
                </c:pt>
                <c:pt idx="16">
                  <c:v>13.829787234042554</c:v>
                </c:pt>
                <c:pt idx="17">
                  <c:v>13.787234042553195</c:v>
                </c:pt>
                <c:pt idx="18">
                  <c:v>13.744680851063832</c:v>
                </c:pt>
                <c:pt idx="19">
                  <c:v>13.744680851063832</c:v>
                </c:pt>
                <c:pt idx="20">
                  <c:v>13.680851063829788</c:v>
                </c:pt>
                <c:pt idx="21">
                  <c:v>13.652482269503549</c:v>
                </c:pt>
                <c:pt idx="22">
                  <c:v>13.567375886524824</c:v>
                </c:pt>
              </c:numCache>
            </c:numRef>
          </c:xVal>
          <c:yVal>
            <c:numRef>
              <c:f>'headed (2)'!$DK$166:$DK$192</c:f>
              <c:numCache>
                <c:formatCode>General</c:formatCode>
                <c:ptCount val="23"/>
                <c:pt idx="0">
                  <c:v>1.9872973133746143</c:v>
                </c:pt>
                <c:pt idx="1">
                  <c:v>1.7418839452233523</c:v>
                </c:pt>
                <c:pt idx="2">
                  <c:v>1.9940798980618999</c:v>
                </c:pt>
                <c:pt idx="6">
                  <c:v>1.1032364714470975</c:v>
                </c:pt>
                <c:pt idx="7">
                  <c:v>1.5026876752908058</c:v>
                </c:pt>
                <c:pt idx="9">
                  <c:v>1.8644117767866515</c:v>
                </c:pt>
                <c:pt idx="13">
                  <c:v>1.3696603978665678</c:v>
                </c:pt>
                <c:pt idx="14">
                  <c:v>1.7563551268489346</c:v>
                </c:pt>
                <c:pt idx="15">
                  <c:v>2.2274697736606179</c:v>
                </c:pt>
                <c:pt idx="19">
                  <c:v>1.9041057081226844</c:v>
                </c:pt>
                <c:pt idx="21">
                  <c:v>1.8926045060115926</c:v>
                </c:pt>
                <c:pt idx="22">
                  <c:v>2.1543030398289051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40-44CF-9982-48119B179061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(2)'!$O$218:$O$456</c:f>
              <c:numCache>
                <c:formatCode>General</c:formatCode>
                <c:ptCount val="225"/>
                <c:pt idx="0">
                  <c:v>7</c:v>
                </c:pt>
                <c:pt idx="1">
                  <c:v>7</c:v>
                </c:pt>
                <c:pt idx="2">
                  <c:v>15.749999999999998</c:v>
                </c:pt>
                <c:pt idx="3">
                  <c:v>15.28</c:v>
                </c:pt>
                <c:pt idx="4">
                  <c:v>10.581560283687944</c:v>
                </c:pt>
                <c:pt idx="5">
                  <c:v>10.43262411347518</c:v>
                </c:pt>
                <c:pt idx="6">
                  <c:v>10.418439716312058</c:v>
                </c:pt>
                <c:pt idx="7">
                  <c:v>10.418439716312058</c:v>
                </c:pt>
                <c:pt idx="8">
                  <c:v>10.375886524822697</c:v>
                </c:pt>
                <c:pt idx="9">
                  <c:v>10.375886524822697</c:v>
                </c:pt>
                <c:pt idx="10">
                  <c:v>14.58</c:v>
                </c:pt>
                <c:pt idx="11">
                  <c:v>14.58</c:v>
                </c:pt>
                <c:pt idx="12">
                  <c:v>10.312056737588653</c:v>
                </c:pt>
                <c:pt idx="13">
                  <c:v>10.312056737588653</c:v>
                </c:pt>
                <c:pt idx="14">
                  <c:v>14.54</c:v>
                </c:pt>
                <c:pt idx="15">
                  <c:v>14.54</c:v>
                </c:pt>
                <c:pt idx="16">
                  <c:v>10.283687943262413</c:v>
                </c:pt>
                <c:pt idx="17">
                  <c:v>10.283687943262413</c:v>
                </c:pt>
                <c:pt idx="18">
                  <c:v>14.499999999999998</c:v>
                </c:pt>
                <c:pt idx="19">
                  <c:v>14.499999999999998</c:v>
                </c:pt>
                <c:pt idx="20">
                  <c:v>14.42</c:v>
                </c:pt>
                <c:pt idx="21">
                  <c:v>14.42</c:v>
                </c:pt>
                <c:pt idx="22">
                  <c:v>14.38</c:v>
                </c:pt>
                <c:pt idx="23">
                  <c:v>14.38</c:v>
                </c:pt>
                <c:pt idx="24">
                  <c:v>14.38</c:v>
                </c:pt>
                <c:pt idx="25">
                  <c:v>14.38</c:v>
                </c:pt>
                <c:pt idx="26">
                  <c:v>14.35</c:v>
                </c:pt>
                <c:pt idx="27">
                  <c:v>14.299999999999999</c:v>
                </c:pt>
                <c:pt idx="28">
                  <c:v>14.27</c:v>
                </c:pt>
                <c:pt idx="29">
                  <c:v>14.25</c:v>
                </c:pt>
                <c:pt idx="30">
                  <c:v>14.25</c:v>
                </c:pt>
                <c:pt idx="31">
                  <c:v>14.13</c:v>
                </c:pt>
                <c:pt idx="32">
                  <c:v>14.09</c:v>
                </c:pt>
                <c:pt idx="33">
                  <c:v>14.080000000000002</c:v>
                </c:pt>
                <c:pt idx="34">
                  <c:v>14.059999999999999</c:v>
                </c:pt>
                <c:pt idx="35">
                  <c:v>9.9441340782122918</c:v>
                </c:pt>
                <c:pt idx="36">
                  <c:v>12.66</c:v>
                </c:pt>
                <c:pt idx="37">
                  <c:v>12.590000000000002</c:v>
                </c:pt>
                <c:pt idx="38">
                  <c:v>8.9078014184397176</c:v>
                </c:pt>
                <c:pt idx="39">
                  <c:v>12.56</c:v>
                </c:pt>
                <c:pt idx="40">
                  <c:v>8.8652482269503565</c:v>
                </c:pt>
                <c:pt idx="41">
                  <c:v>12.5</c:v>
                </c:pt>
                <c:pt idx="42">
                  <c:v>12.439999999999998</c:v>
                </c:pt>
                <c:pt idx="43">
                  <c:v>12.38</c:v>
                </c:pt>
                <c:pt idx="44">
                  <c:v>12.31</c:v>
                </c:pt>
                <c:pt idx="45">
                  <c:v>12.21</c:v>
                </c:pt>
                <c:pt idx="46">
                  <c:v>12.19</c:v>
                </c:pt>
                <c:pt idx="47">
                  <c:v>12.17</c:v>
                </c:pt>
                <c:pt idx="48">
                  <c:v>12.17</c:v>
                </c:pt>
                <c:pt idx="49">
                  <c:v>8.6028368794326244</c:v>
                </c:pt>
                <c:pt idx="50">
                  <c:v>12.129999999999999</c:v>
                </c:pt>
                <c:pt idx="51">
                  <c:v>8.6028368794326244</c:v>
                </c:pt>
                <c:pt idx="52">
                  <c:v>8.5744680851063837</c:v>
                </c:pt>
                <c:pt idx="53">
                  <c:v>12.06</c:v>
                </c:pt>
                <c:pt idx="54">
                  <c:v>12.06</c:v>
                </c:pt>
                <c:pt idx="55">
                  <c:v>12.04</c:v>
                </c:pt>
                <c:pt idx="56">
                  <c:v>12.03</c:v>
                </c:pt>
                <c:pt idx="57">
                  <c:v>8.5106382978723403</c:v>
                </c:pt>
                <c:pt idx="58">
                  <c:v>8.5106382978723403</c:v>
                </c:pt>
                <c:pt idx="59">
                  <c:v>11.999999999999998</c:v>
                </c:pt>
                <c:pt idx="60">
                  <c:v>11.999999999999998</c:v>
                </c:pt>
                <c:pt idx="61">
                  <c:v>11.97</c:v>
                </c:pt>
                <c:pt idx="62">
                  <c:v>11.95</c:v>
                </c:pt>
                <c:pt idx="63">
                  <c:v>11.9</c:v>
                </c:pt>
                <c:pt idx="64">
                  <c:v>11.88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11.299212598425198</c:v>
                </c:pt>
                <c:pt idx="69">
                  <c:v>11.299212598425198</c:v>
                </c:pt>
                <c:pt idx="70">
                  <c:v>11.25</c:v>
                </c:pt>
                <c:pt idx="71">
                  <c:v>7.9608938547486039</c:v>
                </c:pt>
                <c:pt idx="72">
                  <c:v>7.9608938547486039</c:v>
                </c:pt>
                <c:pt idx="73">
                  <c:v>7.9608938547486039</c:v>
                </c:pt>
                <c:pt idx="74">
                  <c:v>11.13</c:v>
                </c:pt>
                <c:pt idx="75">
                  <c:v>11.06</c:v>
                </c:pt>
                <c:pt idx="76">
                  <c:v>7.8212290502793298</c:v>
                </c:pt>
                <c:pt idx="77">
                  <c:v>7.8212290502793298</c:v>
                </c:pt>
                <c:pt idx="78">
                  <c:v>7.8212290502793298</c:v>
                </c:pt>
                <c:pt idx="79">
                  <c:v>7.8212290502793298</c:v>
                </c:pt>
                <c:pt idx="80">
                  <c:v>7.8212290502793298</c:v>
                </c:pt>
                <c:pt idx="81">
                  <c:v>10.94</c:v>
                </c:pt>
                <c:pt idx="82">
                  <c:v>10.83</c:v>
                </c:pt>
                <c:pt idx="83">
                  <c:v>10.58</c:v>
                </c:pt>
                <c:pt idx="84">
                  <c:v>10.5</c:v>
                </c:pt>
                <c:pt idx="85">
                  <c:v>10.35</c:v>
                </c:pt>
                <c:pt idx="86">
                  <c:v>10.33</c:v>
                </c:pt>
                <c:pt idx="87">
                  <c:v>10.33</c:v>
                </c:pt>
                <c:pt idx="88">
                  <c:v>10.29</c:v>
                </c:pt>
                <c:pt idx="89">
                  <c:v>10.25</c:v>
                </c:pt>
                <c:pt idx="90">
                  <c:v>10.130000000000001</c:v>
                </c:pt>
                <c:pt idx="91">
                  <c:v>10.1</c:v>
                </c:pt>
                <c:pt idx="92">
                  <c:v>10.08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9.94</c:v>
                </c:pt>
                <c:pt idx="97">
                  <c:v>9.92</c:v>
                </c:pt>
                <c:pt idx="98">
                  <c:v>9.92</c:v>
                </c:pt>
                <c:pt idx="99">
                  <c:v>9.9</c:v>
                </c:pt>
                <c:pt idx="100">
                  <c:v>9.8800000000000008</c:v>
                </c:pt>
                <c:pt idx="101">
                  <c:v>9.8800000000000008</c:v>
                </c:pt>
                <c:pt idx="102">
                  <c:v>9.8800000000000008</c:v>
                </c:pt>
                <c:pt idx="103">
                  <c:v>9.8800000000000008</c:v>
                </c:pt>
                <c:pt idx="104">
                  <c:v>9.81</c:v>
                </c:pt>
                <c:pt idx="105">
                  <c:v>9.7899999999999991</c:v>
                </c:pt>
                <c:pt idx="106">
                  <c:v>9.77</c:v>
                </c:pt>
                <c:pt idx="107">
                  <c:v>9.75</c:v>
                </c:pt>
                <c:pt idx="108">
                  <c:v>9.75</c:v>
                </c:pt>
                <c:pt idx="109">
                  <c:v>9.69</c:v>
                </c:pt>
                <c:pt idx="110">
                  <c:v>9.69</c:v>
                </c:pt>
                <c:pt idx="111">
                  <c:v>9.69</c:v>
                </c:pt>
                <c:pt idx="112">
                  <c:v>9.66</c:v>
                </c:pt>
                <c:pt idx="113">
                  <c:v>9.6300000000000008</c:v>
                </c:pt>
                <c:pt idx="114">
                  <c:v>9.6</c:v>
                </c:pt>
                <c:pt idx="115">
                  <c:v>9.58</c:v>
                </c:pt>
                <c:pt idx="116">
                  <c:v>9.58</c:v>
                </c:pt>
                <c:pt idx="117">
                  <c:v>9.56</c:v>
                </c:pt>
                <c:pt idx="118">
                  <c:v>9.56</c:v>
                </c:pt>
                <c:pt idx="119">
                  <c:v>9.5</c:v>
                </c:pt>
                <c:pt idx="120">
                  <c:v>9.5</c:v>
                </c:pt>
                <c:pt idx="121">
                  <c:v>9.5</c:v>
                </c:pt>
                <c:pt idx="122">
                  <c:v>9.5</c:v>
                </c:pt>
                <c:pt idx="123">
                  <c:v>9.5</c:v>
                </c:pt>
                <c:pt idx="124">
                  <c:v>9.5</c:v>
                </c:pt>
                <c:pt idx="125">
                  <c:v>9.4700000000000006</c:v>
                </c:pt>
                <c:pt idx="126">
                  <c:v>9.4600000000000009</c:v>
                </c:pt>
                <c:pt idx="127">
                  <c:v>9.42</c:v>
                </c:pt>
                <c:pt idx="128">
                  <c:v>9.3800000000000008</c:v>
                </c:pt>
                <c:pt idx="129">
                  <c:v>9.3800000000000008</c:v>
                </c:pt>
                <c:pt idx="130">
                  <c:v>9.3800000000000008</c:v>
                </c:pt>
                <c:pt idx="131">
                  <c:v>9.3800000000000008</c:v>
                </c:pt>
                <c:pt idx="132">
                  <c:v>9.33</c:v>
                </c:pt>
                <c:pt idx="133">
                  <c:v>9.33</c:v>
                </c:pt>
                <c:pt idx="134">
                  <c:v>9.31</c:v>
                </c:pt>
                <c:pt idx="135">
                  <c:v>9.25</c:v>
                </c:pt>
                <c:pt idx="136">
                  <c:v>9.25</c:v>
                </c:pt>
                <c:pt idx="137">
                  <c:v>9.25</c:v>
                </c:pt>
                <c:pt idx="138">
                  <c:v>9.25</c:v>
                </c:pt>
                <c:pt idx="139">
                  <c:v>9.19</c:v>
                </c:pt>
                <c:pt idx="140">
                  <c:v>9.19</c:v>
                </c:pt>
                <c:pt idx="141">
                  <c:v>9.19</c:v>
                </c:pt>
                <c:pt idx="142">
                  <c:v>9.17</c:v>
                </c:pt>
                <c:pt idx="143">
                  <c:v>9.1300000000000008</c:v>
                </c:pt>
                <c:pt idx="144">
                  <c:v>9.06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6.061452513966481</c:v>
                </c:pt>
                <c:pt idx="149">
                  <c:v>8.31</c:v>
                </c:pt>
                <c:pt idx="150">
                  <c:v>8.3070866141732296</c:v>
                </c:pt>
                <c:pt idx="151">
                  <c:v>8.3070866141732296</c:v>
                </c:pt>
                <c:pt idx="152">
                  <c:v>8.3070866141732296</c:v>
                </c:pt>
                <c:pt idx="153">
                  <c:v>8.25</c:v>
                </c:pt>
                <c:pt idx="154">
                  <c:v>8.25</c:v>
                </c:pt>
                <c:pt idx="155">
                  <c:v>5.8379888268156428</c:v>
                </c:pt>
                <c:pt idx="156">
                  <c:v>5.6983240223463696</c:v>
                </c:pt>
                <c:pt idx="157">
                  <c:v>8.0314960629921259</c:v>
                </c:pt>
                <c:pt idx="158">
                  <c:v>8</c:v>
                </c:pt>
                <c:pt idx="159">
                  <c:v>6</c:v>
                </c:pt>
                <c:pt idx="160">
                  <c:v>6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6.3385826771653546</c:v>
                </c:pt>
                <c:pt idx="165">
                  <c:v>6.33</c:v>
                </c:pt>
                <c:pt idx="166">
                  <c:v>6.29</c:v>
                </c:pt>
                <c:pt idx="167">
                  <c:v>6.25</c:v>
                </c:pt>
                <c:pt idx="168">
                  <c:v>6.25</c:v>
                </c:pt>
                <c:pt idx="169">
                  <c:v>6.25</c:v>
                </c:pt>
                <c:pt idx="170">
                  <c:v>9.9519999999999982</c:v>
                </c:pt>
                <c:pt idx="171">
                  <c:v>6.21</c:v>
                </c:pt>
                <c:pt idx="172">
                  <c:v>6.19</c:v>
                </c:pt>
                <c:pt idx="173">
                  <c:v>6.16</c:v>
                </c:pt>
                <c:pt idx="174">
                  <c:v>6.13</c:v>
                </c:pt>
                <c:pt idx="175">
                  <c:v>6.13</c:v>
                </c:pt>
                <c:pt idx="176">
                  <c:v>6.0999999999999988</c:v>
                </c:pt>
                <c:pt idx="177">
                  <c:v>6.09</c:v>
                </c:pt>
                <c:pt idx="178">
                  <c:v>9.695999999999998</c:v>
                </c:pt>
                <c:pt idx="179">
                  <c:v>9.6479999999999997</c:v>
                </c:pt>
                <c:pt idx="180">
                  <c:v>6.03</c:v>
                </c:pt>
                <c:pt idx="181">
                  <c:v>9.5999999999999979</c:v>
                </c:pt>
                <c:pt idx="182">
                  <c:v>9.5999999999999979</c:v>
                </c:pt>
                <c:pt idx="183">
                  <c:v>9.5999999999999979</c:v>
                </c:pt>
                <c:pt idx="184">
                  <c:v>5.9999999999999991</c:v>
                </c:pt>
                <c:pt idx="185">
                  <c:v>9.5039999999999996</c:v>
                </c:pt>
                <c:pt idx="186">
                  <c:v>5.63</c:v>
                </c:pt>
                <c:pt idx="187">
                  <c:v>5.5</c:v>
                </c:pt>
                <c:pt idx="188">
                  <c:v>5.5</c:v>
                </c:pt>
                <c:pt idx="189">
                  <c:v>6</c:v>
                </c:pt>
                <c:pt idx="190">
                  <c:v>6</c:v>
                </c:pt>
                <c:pt idx="191">
                  <c:v>8.3040000000000003</c:v>
                </c:pt>
                <c:pt idx="192">
                  <c:v>8.3040000000000003</c:v>
                </c:pt>
                <c:pt idx="193">
                  <c:v>8.24</c:v>
                </c:pt>
                <c:pt idx="194">
                  <c:v>8.0640000000000001</c:v>
                </c:pt>
                <c:pt idx="195">
                  <c:v>8.048</c:v>
                </c:pt>
                <c:pt idx="196">
                  <c:v>8.0319999999999983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7.056</c:v>
                </c:pt>
                <c:pt idx="206">
                  <c:v>6.7519999999999989</c:v>
                </c:pt>
                <c:pt idx="207">
                  <c:v>6.7039999999999997</c:v>
                </c:pt>
                <c:pt idx="208">
                  <c:v>6.6559999999999997</c:v>
                </c:pt>
                <c:pt idx="209">
                  <c:v>6.6079999999999988</c:v>
                </c:pt>
                <c:pt idx="210">
                  <c:v>6.6079999999999988</c:v>
                </c:pt>
                <c:pt idx="211">
                  <c:v>6.6079999999999988</c:v>
                </c:pt>
                <c:pt idx="212">
                  <c:v>6.5439999999999996</c:v>
                </c:pt>
                <c:pt idx="213">
                  <c:v>6.5439999999999996</c:v>
                </c:pt>
                <c:pt idx="214">
                  <c:v>6.4959999999999987</c:v>
                </c:pt>
                <c:pt idx="215">
                  <c:v>6.4959999999999987</c:v>
                </c:pt>
                <c:pt idx="216">
                  <c:v>6.0960000000000001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</c:numCache>
            </c:numRef>
          </c:xVal>
          <c:yVal>
            <c:numRef>
              <c:f>'headed (2)'!$DE$218:$DE$456</c:f>
              <c:numCache>
                <c:formatCode>General</c:formatCode>
                <c:ptCount val="225"/>
                <c:pt idx="2">
                  <c:v>2.2412780879293885</c:v>
                </c:pt>
                <c:pt idx="3">
                  <c:v>2.4919518773596629</c:v>
                </c:pt>
                <c:pt idx="5">
                  <c:v>1.4641340932293478</c:v>
                </c:pt>
                <c:pt idx="8">
                  <c:v>0.97421045534617501</c:v>
                </c:pt>
                <c:pt idx="10">
                  <c:v>2.2861965775808342</c:v>
                </c:pt>
                <c:pt idx="11">
                  <c:v>2.4195505115416949</c:v>
                </c:pt>
                <c:pt idx="14">
                  <c:v>2.3816145832236102</c:v>
                </c:pt>
                <c:pt idx="16">
                  <c:v>1.3247580696530805</c:v>
                </c:pt>
                <c:pt idx="17">
                  <c:v>1.6918717566043429</c:v>
                </c:pt>
                <c:pt idx="22">
                  <c:v>2.5310260142964327</c:v>
                </c:pt>
                <c:pt idx="23">
                  <c:v>2.8340574735559572</c:v>
                </c:pt>
                <c:pt idx="24">
                  <c:v>2.7828854061681736</c:v>
                </c:pt>
                <c:pt idx="26">
                  <c:v>2.6718785957852038</c:v>
                </c:pt>
                <c:pt idx="27">
                  <c:v>2.4011941361609206</c:v>
                </c:pt>
                <c:pt idx="29">
                  <c:v>2.6017009421166457</c:v>
                </c:pt>
                <c:pt idx="30">
                  <c:v>2.6266050555862779</c:v>
                </c:pt>
                <c:pt idx="31">
                  <c:v>2.4865940372331328</c:v>
                </c:pt>
                <c:pt idx="34">
                  <c:v>2.4849976799745499</c:v>
                </c:pt>
                <c:pt idx="35">
                  <c:v>1.9996706233260206</c:v>
                </c:pt>
                <c:pt idx="36">
                  <c:v>2.464405365659859</c:v>
                </c:pt>
                <c:pt idx="37">
                  <c:v>2.4503091561673487</c:v>
                </c:pt>
                <c:pt idx="39">
                  <c:v>2.925738413369023</c:v>
                </c:pt>
                <c:pt idx="41">
                  <c:v>2.4912609005764317</c:v>
                </c:pt>
                <c:pt idx="45">
                  <c:v>2.0229921718988586</c:v>
                </c:pt>
                <c:pt idx="48">
                  <c:v>1.6110043760740964</c:v>
                </c:pt>
                <c:pt idx="49">
                  <c:v>1.6947960419312951</c:v>
                </c:pt>
                <c:pt idx="51">
                  <c:v>1.4636595926987293</c:v>
                </c:pt>
                <c:pt idx="53">
                  <c:v>1.7387293263231325</c:v>
                </c:pt>
                <c:pt idx="55">
                  <c:v>2.031798351198606</c:v>
                </c:pt>
                <c:pt idx="57">
                  <c:v>1.5060365839377243</c:v>
                </c:pt>
                <c:pt idx="59">
                  <c:v>1.6139119314551313</c:v>
                </c:pt>
                <c:pt idx="64">
                  <c:v>1.6958647820047847</c:v>
                </c:pt>
                <c:pt idx="65">
                  <c:v>1.6422049905298932</c:v>
                </c:pt>
                <c:pt idx="67">
                  <c:v>2.2064324759153546</c:v>
                </c:pt>
                <c:pt idx="68">
                  <c:v>1.7872696358516886</c:v>
                </c:pt>
                <c:pt idx="69">
                  <c:v>2.4045559316413061</c:v>
                </c:pt>
                <c:pt idx="70">
                  <c:v>2.1908242801756375</c:v>
                </c:pt>
                <c:pt idx="71">
                  <c:v>1.7042311000948527</c:v>
                </c:pt>
                <c:pt idx="72">
                  <c:v>2.0157796507391934</c:v>
                </c:pt>
                <c:pt idx="73">
                  <c:v>2.4023580290102506</c:v>
                </c:pt>
                <c:pt idx="75">
                  <c:v>2.4770380092837767</c:v>
                </c:pt>
                <c:pt idx="76">
                  <c:v>1.8689394540824167</c:v>
                </c:pt>
                <c:pt idx="77">
                  <c:v>1.4896546825186321</c:v>
                </c:pt>
                <c:pt idx="80">
                  <c:v>2.1540931293374417</c:v>
                </c:pt>
                <c:pt idx="82">
                  <c:v>2.086483754349207</c:v>
                </c:pt>
                <c:pt idx="83">
                  <c:v>2.2615324624297557</c:v>
                </c:pt>
                <c:pt idx="84">
                  <c:v>2.0981161961904866</c:v>
                </c:pt>
                <c:pt idx="85">
                  <c:v>2.1410207028238033</c:v>
                </c:pt>
                <c:pt idx="97">
                  <c:v>1.5394082854992828</c:v>
                </c:pt>
                <c:pt idx="98">
                  <c:v>1.5591928452133359</c:v>
                </c:pt>
                <c:pt idx="99">
                  <c:v>1.5505160658075436</c:v>
                </c:pt>
                <c:pt idx="102">
                  <c:v>1.4710480015697462</c:v>
                </c:pt>
                <c:pt idx="103">
                  <c:v>1.4607969295572343</c:v>
                </c:pt>
                <c:pt idx="104">
                  <c:v>1.5114046550490408</c:v>
                </c:pt>
                <c:pt idx="107">
                  <c:v>1.5947279576294371</c:v>
                </c:pt>
                <c:pt idx="109">
                  <c:v>1.69869931801179</c:v>
                </c:pt>
                <c:pt idx="110">
                  <c:v>2.3271560244615728</c:v>
                </c:pt>
                <c:pt idx="111">
                  <c:v>1.766925326900822</c:v>
                </c:pt>
                <c:pt idx="119">
                  <c:v>1.3814805708874047</c:v>
                </c:pt>
                <c:pt idx="120">
                  <c:v>1.9007473496514582</c:v>
                </c:pt>
                <c:pt idx="121">
                  <c:v>1.6305911704223137</c:v>
                </c:pt>
                <c:pt idx="124">
                  <c:v>1.6975806823821411</c:v>
                </c:pt>
                <c:pt idx="125">
                  <c:v>1.2785278291453337</c:v>
                </c:pt>
                <c:pt idx="126">
                  <c:v>1.8403532904522368</c:v>
                </c:pt>
                <c:pt idx="129">
                  <c:v>1.778110273541323</c:v>
                </c:pt>
                <c:pt idx="131">
                  <c:v>2.0071880883821756</c:v>
                </c:pt>
                <c:pt idx="133">
                  <c:v>1.6085443951442955</c:v>
                </c:pt>
                <c:pt idx="135">
                  <c:v>1.4662176354583463</c:v>
                </c:pt>
                <c:pt idx="138">
                  <c:v>1.8593356056871713</c:v>
                </c:pt>
                <c:pt idx="141">
                  <c:v>1.8337996312449061</c:v>
                </c:pt>
                <c:pt idx="145">
                  <c:v>1.9330039509882082</c:v>
                </c:pt>
                <c:pt idx="146">
                  <c:v>1.9248504433329023</c:v>
                </c:pt>
                <c:pt idx="147">
                  <c:v>2.3056645935694262</c:v>
                </c:pt>
                <c:pt idx="150">
                  <c:v>1.4898103684061734</c:v>
                </c:pt>
                <c:pt idx="151">
                  <c:v>1.6798354215963835</c:v>
                </c:pt>
                <c:pt idx="152">
                  <c:v>1.4101370740923769</c:v>
                </c:pt>
                <c:pt idx="153">
                  <c:v>2.0222401134029506</c:v>
                </c:pt>
                <c:pt idx="155">
                  <c:v>2.0799992915128129</c:v>
                </c:pt>
                <c:pt idx="156">
                  <c:v>1.2578535434363767</c:v>
                </c:pt>
                <c:pt idx="157">
                  <c:v>1.7317254832977322</c:v>
                </c:pt>
                <c:pt idx="159">
                  <c:v>2.3082111104392879</c:v>
                </c:pt>
                <c:pt idx="160">
                  <c:v>2.3324061954543751</c:v>
                </c:pt>
                <c:pt idx="165">
                  <c:v>1.1769159164509957</c:v>
                </c:pt>
                <c:pt idx="167">
                  <c:v>1.2042946298692805</c:v>
                </c:pt>
                <c:pt idx="170">
                  <c:v>2.7480125744508079</c:v>
                </c:pt>
                <c:pt idx="171">
                  <c:v>1.0889899457954362</c:v>
                </c:pt>
                <c:pt idx="172">
                  <c:v>1.2952494313519984</c:v>
                </c:pt>
                <c:pt idx="174">
                  <c:v>1.3739090586186062</c:v>
                </c:pt>
                <c:pt idx="175">
                  <c:v>1.257331544831237</c:v>
                </c:pt>
                <c:pt idx="177">
                  <c:v>1.1999749830361903</c:v>
                </c:pt>
                <c:pt idx="179">
                  <c:v>2.286184797887004</c:v>
                </c:pt>
                <c:pt idx="181">
                  <c:v>2.5931035552926835</c:v>
                </c:pt>
                <c:pt idx="183">
                  <c:v>2.1557001426297702</c:v>
                </c:pt>
                <c:pt idx="189">
                  <c:v>2.1468664925268488</c:v>
                </c:pt>
                <c:pt idx="190">
                  <c:v>2.1512778620320412</c:v>
                </c:pt>
                <c:pt idx="191">
                  <c:v>2.1211516680774762</c:v>
                </c:pt>
                <c:pt idx="194">
                  <c:v>1.9215262652462428</c:v>
                </c:pt>
                <c:pt idx="197">
                  <c:v>2.5208731734666308</c:v>
                </c:pt>
                <c:pt idx="198">
                  <c:v>2.5101763990389081</c:v>
                </c:pt>
                <c:pt idx="199">
                  <c:v>2.3123528247792344</c:v>
                </c:pt>
                <c:pt idx="200">
                  <c:v>2.2980101814828782</c:v>
                </c:pt>
                <c:pt idx="203">
                  <c:v>1.8963749538011976</c:v>
                </c:pt>
                <c:pt idx="204">
                  <c:v>2.0057279620860839</c:v>
                </c:pt>
                <c:pt idx="205">
                  <c:v>2.4750448366435061</c:v>
                </c:pt>
                <c:pt idx="209">
                  <c:v>1.8612559860866686</c:v>
                </c:pt>
                <c:pt idx="214">
                  <c:v>2.2144618783538053</c:v>
                </c:pt>
                <c:pt idx="215">
                  <c:v>1.6669977276459687</c:v>
                </c:pt>
                <c:pt idx="217">
                  <c:v>2.1778234715106537</c:v>
                </c:pt>
                <c:pt idx="218">
                  <c:v>2.2704622311196889</c:v>
                </c:pt>
                <c:pt idx="219">
                  <c:v>2.1412749657081402</c:v>
                </c:pt>
                <c:pt idx="220">
                  <c:v>2.1028796904609597</c:v>
                </c:pt>
                <c:pt idx="223">
                  <c:v>2.0431311987564142</c:v>
                </c:pt>
                <c:pt idx="224">
                  <c:v>2.0166126817224077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40-44CF-9982-48119B17906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(2)'!$O$218:$O$456</c:f>
              <c:numCache>
                <c:formatCode>General</c:formatCode>
                <c:ptCount val="225"/>
                <c:pt idx="0">
                  <c:v>7</c:v>
                </c:pt>
                <c:pt idx="1">
                  <c:v>7</c:v>
                </c:pt>
                <c:pt idx="2">
                  <c:v>15.749999999999998</c:v>
                </c:pt>
                <c:pt idx="3">
                  <c:v>15.28</c:v>
                </c:pt>
                <c:pt idx="4">
                  <c:v>10.581560283687944</c:v>
                </c:pt>
                <c:pt idx="5">
                  <c:v>10.43262411347518</c:v>
                </c:pt>
                <c:pt idx="6">
                  <c:v>10.418439716312058</c:v>
                </c:pt>
                <c:pt idx="7">
                  <c:v>10.418439716312058</c:v>
                </c:pt>
                <c:pt idx="8">
                  <c:v>10.375886524822697</c:v>
                </c:pt>
                <c:pt idx="9">
                  <c:v>10.375886524822697</c:v>
                </c:pt>
                <c:pt idx="10">
                  <c:v>14.58</c:v>
                </c:pt>
                <c:pt idx="11">
                  <c:v>14.58</c:v>
                </c:pt>
                <c:pt idx="12">
                  <c:v>10.312056737588653</c:v>
                </c:pt>
                <c:pt idx="13">
                  <c:v>10.312056737588653</c:v>
                </c:pt>
                <c:pt idx="14">
                  <c:v>14.54</c:v>
                </c:pt>
                <c:pt idx="15">
                  <c:v>14.54</c:v>
                </c:pt>
                <c:pt idx="16">
                  <c:v>10.283687943262413</c:v>
                </c:pt>
                <c:pt idx="17">
                  <c:v>10.283687943262413</c:v>
                </c:pt>
                <c:pt idx="18">
                  <c:v>14.499999999999998</c:v>
                </c:pt>
                <c:pt idx="19">
                  <c:v>14.499999999999998</c:v>
                </c:pt>
                <c:pt idx="20">
                  <c:v>14.42</c:v>
                </c:pt>
                <c:pt idx="21">
                  <c:v>14.42</c:v>
                </c:pt>
                <c:pt idx="22">
                  <c:v>14.38</c:v>
                </c:pt>
                <c:pt idx="23">
                  <c:v>14.38</c:v>
                </c:pt>
                <c:pt idx="24">
                  <c:v>14.38</c:v>
                </c:pt>
                <c:pt idx="25">
                  <c:v>14.38</c:v>
                </c:pt>
                <c:pt idx="26">
                  <c:v>14.35</c:v>
                </c:pt>
                <c:pt idx="27">
                  <c:v>14.299999999999999</c:v>
                </c:pt>
                <c:pt idx="28">
                  <c:v>14.27</c:v>
                </c:pt>
                <c:pt idx="29">
                  <c:v>14.25</c:v>
                </c:pt>
                <c:pt idx="30">
                  <c:v>14.25</c:v>
                </c:pt>
                <c:pt idx="31">
                  <c:v>14.13</c:v>
                </c:pt>
                <c:pt idx="32">
                  <c:v>14.09</c:v>
                </c:pt>
                <c:pt idx="33">
                  <c:v>14.080000000000002</c:v>
                </c:pt>
                <c:pt idx="34">
                  <c:v>14.059999999999999</c:v>
                </c:pt>
                <c:pt idx="35">
                  <c:v>9.9441340782122918</c:v>
                </c:pt>
                <c:pt idx="36">
                  <c:v>12.66</c:v>
                </c:pt>
                <c:pt idx="37">
                  <c:v>12.590000000000002</c:v>
                </c:pt>
                <c:pt idx="38">
                  <c:v>8.9078014184397176</c:v>
                </c:pt>
                <c:pt idx="39">
                  <c:v>12.56</c:v>
                </c:pt>
                <c:pt idx="40">
                  <c:v>8.8652482269503565</c:v>
                </c:pt>
                <c:pt idx="41">
                  <c:v>12.5</c:v>
                </c:pt>
                <c:pt idx="42">
                  <c:v>12.439999999999998</c:v>
                </c:pt>
                <c:pt idx="43">
                  <c:v>12.38</c:v>
                </c:pt>
                <c:pt idx="44">
                  <c:v>12.31</c:v>
                </c:pt>
                <c:pt idx="45">
                  <c:v>12.21</c:v>
                </c:pt>
                <c:pt idx="46">
                  <c:v>12.19</c:v>
                </c:pt>
                <c:pt idx="47">
                  <c:v>12.17</c:v>
                </c:pt>
                <c:pt idx="48">
                  <c:v>12.17</c:v>
                </c:pt>
                <c:pt idx="49">
                  <c:v>8.6028368794326244</c:v>
                </c:pt>
                <c:pt idx="50">
                  <c:v>12.129999999999999</c:v>
                </c:pt>
                <c:pt idx="51">
                  <c:v>8.6028368794326244</c:v>
                </c:pt>
                <c:pt idx="52">
                  <c:v>8.5744680851063837</c:v>
                </c:pt>
                <c:pt idx="53">
                  <c:v>12.06</c:v>
                </c:pt>
                <c:pt idx="54">
                  <c:v>12.06</c:v>
                </c:pt>
                <c:pt idx="55">
                  <c:v>12.04</c:v>
                </c:pt>
                <c:pt idx="56">
                  <c:v>12.03</c:v>
                </c:pt>
                <c:pt idx="57">
                  <c:v>8.5106382978723403</c:v>
                </c:pt>
                <c:pt idx="58">
                  <c:v>8.5106382978723403</c:v>
                </c:pt>
                <c:pt idx="59">
                  <c:v>11.999999999999998</c:v>
                </c:pt>
                <c:pt idx="60">
                  <c:v>11.999999999999998</c:v>
                </c:pt>
                <c:pt idx="61">
                  <c:v>11.97</c:v>
                </c:pt>
                <c:pt idx="62">
                  <c:v>11.95</c:v>
                </c:pt>
                <c:pt idx="63">
                  <c:v>11.9</c:v>
                </c:pt>
                <c:pt idx="64">
                  <c:v>11.88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11.299212598425198</c:v>
                </c:pt>
                <c:pt idx="69">
                  <c:v>11.299212598425198</c:v>
                </c:pt>
                <c:pt idx="70">
                  <c:v>11.25</c:v>
                </c:pt>
                <c:pt idx="71">
                  <c:v>7.9608938547486039</c:v>
                </c:pt>
                <c:pt idx="72">
                  <c:v>7.9608938547486039</c:v>
                </c:pt>
                <c:pt idx="73">
                  <c:v>7.9608938547486039</c:v>
                </c:pt>
                <c:pt idx="74">
                  <c:v>11.13</c:v>
                </c:pt>
                <c:pt idx="75">
                  <c:v>11.06</c:v>
                </c:pt>
                <c:pt idx="76">
                  <c:v>7.8212290502793298</c:v>
                </c:pt>
                <c:pt idx="77">
                  <c:v>7.8212290502793298</c:v>
                </c:pt>
                <c:pt idx="78">
                  <c:v>7.8212290502793298</c:v>
                </c:pt>
                <c:pt idx="79">
                  <c:v>7.8212290502793298</c:v>
                </c:pt>
                <c:pt idx="80">
                  <c:v>7.8212290502793298</c:v>
                </c:pt>
                <c:pt idx="81">
                  <c:v>10.94</c:v>
                </c:pt>
                <c:pt idx="82">
                  <c:v>10.83</c:v>
                </c:pt>
                <c:pt idx="83">
                  <c:v>10.58</c:v>
                </c:pt>
                <c:pt idx="84">
                  <c:v>10.5</c:v>
                </c:pt>
                <c:pt idx="85">
                  <c:v>10.35</c:v>
                </c:pt>
                <c:pt idx="86">
                  <c:v>10.33</c:v>
                </c:pt>
                <c:pt idx="87">
                  <c:v>10.33</c:v>
                </c:pt>
                <c:pt idx="88">
                  <c:v>10.29</c:v>
                </c:pt>
                <c:pt idx="89">
                  <c:v>10.25</c:v>
                </c:pt>
                <c:pt idx="90">
                  <c:v>10.130000000000001</c:v>
                </c:pt>
                <c:pt idx="91">
                  <c:v>10.1</c:v>
                </c:pt>
                <c:pt idx="92">
                  <c:v>10.08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9.94</c:v>
                </c:pt>
                <c:pt idx="97">
                  <c:v>9.92</c:v>
                </c:pt>
                <c:pt idx="98">
                  <c:v>9.92</c:v>
                </c:pt>
                <c:pt idx="99">
                  <c:v>9.9</c:v>
                </c:pt>
                <c:pt idx="100">
                  <c:v>9.8800000000000008</c:v>
                </c:pt>
                <c:pt idx="101">
                  <c:v>9.8800000000000008</c:v>
                </c:pt>
                <c:pt idx="102">
                  <c:v>9.8800000000000008</c:v>
                </c:pt>
                <c:pt idx="103">
                  <c:v>9.8800000000000008</c:v>
                </c:pt>
                <c:pt idx="104">
                  <c:v>9.81</c:v>
                </c:pt>
                <c:pt idx="105">
                  <c:v>9.7899999999999991</c:v>
                </c:pt>
                <c:pt idx="106">
                  <c:v>9.77</c:v>
                </c:pt>
                <c:pt idx="107">
                  <c:v>9.75</c:v>
                </c:pt>
                <c:pt idx="108">
                  <c:v>9.75</c:v>
                </c:pt>
                <c:pt idx="109">
                  <c:v>9.69</c:v>
                </c:pt>
                <c:pt idx="110">
                  <c:v>9.69</c:v>
                </c:pt>
                <c:pt idx="111">
                  <c:v>9.69</c:v>
                </c:pt>
                <c:pt idx="112">
                  <c:v>9.66</c:v>
                </c:pt>
                <c:pt idx="113">
                  <c:v>9.6300000000000008</c:v>
                </c:pt>
                <c:pt idx="114">
                  <c:v>9.6</c:v>
                </c:pt>
                <c:pt idx="115">
                  <c:v>9.58</c:v>
                </c:pt>
                <c:pt idx="116">
                  <c:v>9.58</c:v>
                </c:pt>
                <c:pt idx="117">
                  <c:v>9.56</c:v>
                </c:pt>
                <c:pt idx="118">
                  <c:v>9.56</c:v>
                </c:pt>
                <c:pt idx="119">
                  <c:v>9.5</c:v>
                </c:pt>
                <c:pt idx="120">
                  <c:v>9.5</c:v>
                </c:pt>
                <c:pt idx="121">
                  <c:v>9.5</c:v>
                </c:pt>
                <c:pt idx="122">
                  <c:v>9.5</c:v>
                </c:pt>
                <c:pt idx="123">
                  <c:v>9.5</c:v>
                </c:pt>
                <c:pt idx="124">
                  <c:v>9.5</c:v>
                </c:pt>
                <c:pt idx="125">
                  <c:v>9.4700000000000006</c:v>
                </c:pt>
                <c:pt idx="126">
                  <c:v>9.4600000000000009</c:v>
                </c:pt>
                <c:pt idx="127">
                  <c:v>9.42</c:v>
                </c:pt>
                <c:pt idx="128">
                  <c:v>9.3800000000000008</c:v>
                </c:pt>
                <c:pt idx="129">
                  <c:v>9.3800000000000008</c:v>
                </c:pt>
                <c:pt idx="130">
                  <c:v>9.3800000000000008</c:v>
                </c:pt>
                <c:pt idx="131">
                  <c:v>9.3800000000000008</c:v>
                </c:pt>
                <c:pt idx="132">
                  <c:v>9.33</c:v>
                </c:pt>
                <c:pt idx="133">
                  <c:v>9.33</c:v>
                </c:pt>
                <c:pt idx="134">
                  <c:v>9.31</c:v>
                </c:pt>
                <c:pt idx="135">
                  <c:v>9.25</c:v>
                </c:pt>
                <c:pt idx="136">
                  <c:v>9.25</c:v>
                </c:pt>
                <c:pt idx="137">
                  <c:v>9.25</c:v>
                </c:pt>
                <c:pt idx="138">
                  <c:v>9.25</c:v>
                </c:pt>
                <c:pt idx="139">
                  <c:v>9.19</c:v>
                </c:pt>
                <c:pt idx="140">
                  <c:v>9.19</c:v>
                </c:pt>
                <c:pt idx="141">
                  <c:v>9.19</c:v>
                </c:pt>
                <c:pt idx="142">
                  <c:v>9.17</c:v>
                </c:pt>
                <c:pt idx="143">
                  <c:v>9.1300000000000008</c:v>
                </c:pt>
                <c:pt idx="144">
                  <c:v>9.06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6.061452513966481</c:v>
                </c:pt>
                <c:pt idx="149">
                  <c:v>8.31</c:v>
                </c:pt>
                <c:pt idx="150">
                  <c:v>8.3070866141732296</c:v>
                </c:pt>
                <c:pt idx="151">
                  <c:v>8.3070866141732296</c:v>
                </c:pt>
                <c:pt idx="152">
                  <c:v>8.3070866141732296</c:v>
                </c:pt>
                <c:pt idx="153">
                  <c:v>8.25</c:v>
                </c:pt>
                <c:pt idx="154">
                  <c:v>8.25</c:v>
                </c:pt>
                <c:pt idx="155">
                  <c:v>5.8379888268156428</c:v>
                </c:pt>
                <c:pt idx="156">
                  <c:v>5.6983240223463696</c:v>
                </c:pt>
                <c:pt idx="157">
                  <c:v>8.0314960629921259</c:v>
                </c:pt>
                <c:pt idx="158">
                  <c:v>8</c:v>
                </c:pt>
                <c:pt idx="159">
                  <c:v>6</c:v>
                </c:pt>
                <c:pt idx="160">
                  <c:v>6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6.3385826771653546</c:v>
                </c:pt>
                <c:pt idx="165">
                  <c:v>6.33</c:v>
                </c:pt>
                <c:pt idx="166">
                  <c:v>6.29</c:v>
                </c:pt>
                <c:pt idx="167">
                  <c:v>6.25</c:v>
                </c:pt>
                <c:pt idx="168">
                  <c:v>6.25</c:v>
                </c:pt>
                <c:pt idx="169">
                  <c:v>6.25</c:v>
                </c:pt>
                <c:pt idx="170">
                  <c:v>9.9519999999999982</c:v>
                </c:pt>
                <c:pt idx="171">
                  <c:v>6.21</c:v>
                </c:pt>
                <c:pt idx="172">
                  <c:v>6.19</c:v>
                </c:pt>
                <c:pt idx="173">
                  <c:v>6.16</c:v>
                </c:pt>
                <c:pt idx="174">
                  <c:v>6.13</c:v>
                </c:pt>
                <c:pt idx="175">
                  <c:v>6.13</c:v>
                </c:pt>
                <c:pt idx="176">
                  <c:v>6.0999999999999988</c:v>
                </c:pt>
                <c:pt idx="177">
                  <c:v>6.09</c:v>
                </c:pt>
                <c:pt idx="178">
                  <c:v>9.695999999999998</c:v>
                </c:pt>
                <c:pt idx="179">
                  <c:v>9.6479999999999997</c:v>
                </c:pt>
                <c:pt idx="180">
                  <c:v>6.03</c:v>
                </c:pt>
                <c:pt idx="181">
                  <c:v>9.5999999999999979</c:v>
                </c:pt>
                <c:pt idx="182">
                  <c:v>9.5999999999999979</c:v>
                </c:pt>
                <c:pt idx="183">
                  <c:v>9.5999999999999979</c:v>
                </c:pt>
                <c:pt idx="184">
                  <c:v>5.9999999999999991</c:v>
                </c:pt>
                <c:pt idx="185">
                  <c:v>9.5039999999999996</c:v>
                </c:pt>
                <c:pt idx="186">
                  <c:v>5.63</c:v>
                </c:pt>
                <c:pt idx="187">
                  <c:v>5.5</c:v>
                </c:pt>
                <c:pt idx="188">
                  <c:v>5.5</c:v>
                </c:pt>
                <c:pt idx="189">
                  <c:v>6</c:v>
                </c:pt>
                <c:pt idx="190">
                  <c:v>6</c:v>
                </c:pt>
                <c:pt idx="191">
                  <c:v>8.3040000000000003</c:v>
                </c:pt>
                <c:pt idx="192">
                  <c:v>8.3040000000000003</c:v>
                </c:pt>
                <c:pt idx="193">
                  <c:v>8.24</c:v>
                </c:pt>
                <c:pt idx="194">
                  <c:v>8.0640000000000001</c:v>
                </c:pt>
                <c:pt idx="195">
                  <c:v>8.048</c:v>
                </c:pt>
                <c:pt idx="196">
                  <c:v>8.0319999999999983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7.056</c:v>
                </c:pt>
                <c:pt idx="206">
                  <c:v>6.7519999999999989</c:v>
                </c:pt>
                <c:pt idx="207">
                  <c:v>6.7039999999999997</c:v>
                </c:pt>
                <c:pt idx="208">
                  <c:v>6.6559999999999997</c:v>
                </c:pt>
                <c:pt idx="209">
                  <c:v>6.6079999999999988</c:v>
                </c:pt>
                <c:pt idx="210">
                  <c:v>6.6079999999999988</c:v>
                </c:pt>
                <c:pt idx="211">
                  <c:v>6.6079999999999988</c:v>
                </c:pt>
                <c:pt idx="212">
                  <c:v>6.5439999999999996</c:v>
                </c:pt>
                <c:pt idx="213">
                  <c:v>6.5439999999999996</c:v>
                </c:pt>
                <c:pt idx="214">
                  <c:v>6.4959999999999987</c:v>
                </c:pt>
                <c:pt idx="215">
                  <c:v>6.4959999999999987</c:v>
                </c:pt>
                <c:pt idx="216">
                  <c:v>6.0960000000000001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</c:numCache>
            </c:numRef>
          </c:xVal>
          <c:yVal>
            <c:numRef>
              <c:f>'headed (2)'!$DK$218:$DK$456</c:f>
              <c:numCache>
                <c:formatCode>General</c:formatCode>
                <c:ptCount val="225"/>
                <c:pt idx="0">
                  <c:v>1.9011798782047624</c:v>
                </c:pt>
                <c:pt idx="1">
                  <c:v>1.9011798782047624</c:v>
                </c:pt>
                <c:pt idx="4">
                  <c:v>0.97932977761083995</c:v>
                </c:pt>
                <c:pt idx="6">
                  <c:v>0.98576721669453882</c:v>
                </c:pt>
                <c:pt idx="7">
                  <c:v>1.2659980689885524</c:v>
                </c:pt>
                <c:pt idx="9">
                  <c:v>1.5077547081053122</c:v>
                </c:pt>
                <c:pt idx="12">
                  <c:v>1.0740402328627483</c:v>
                </c:pt>
                <c:pt idx="13">
                  <c:v>0.90408286404901339</c:v>
                </c:pt>
                <c:pt idx="15">
                  <c:v>1.7402317112501877</c:v>
                </c:pt>
                <c:pt idx="18">
                  <c:v>1.8658608872278868</c:v>
                </c:pt>
                <c:pt idx="19">
                  <c:v>2.1748805779303244</c:v>
                </c:pt>
                <c:pt idx="20">
                  <c:v>1.6098848942849813</c:v>
                </c:pt>
                <c:pt idx="21">
                  <c:v>2.07681002443538</c:v>
                </c:pt>
                <c:pt idx="25">
                  <c:v>2.4832159252410291</c:v>
                </c:pt>
                <c:pt idx="28">
                  <c:v>2.2462580983596228</c:v>
                </c:pt>
                <c:pt idx="32">
                  <c:v>2.5779011788509294</c:v>
                </c:pt>
                <c:pt idx="33">
                  <c:v>1.8142342529807116</c:v>
                </c:pt>
                <c:pt idx="38">
                  <c:v>1.3511429952518712</c:v>
                </c:pt>
                <c:pt idx="40">
                  <c:v>1.2709246341543179</c:v>
                </c:pt>
                <c:pt idx="42">
                  <c:v>2.4762708991717561</c:v>
                </c:pt>
                <c:pt idx="43">
                  <c:v>1.9925512065399069</c:v>
                </c:pt>
                <c:pt idx="44">
                  <c:v>1.8406542325921853</c:v>
                </c:pt>
                <c:pt idx="46">
                  <c:v>2.3791959121494619</c:v>
                </c:pt>
                <c:pt idx="47">
                  <c:v>1.480786619334987</c:v>
                </c:pt>
                <c:pt idx="50">
                  <c:v>1.8213525057863174</c:v>
                </c:pt>
                <c:pt idx="52">
                  <c:v>1.3777434130786441</c:v>
                </c:pt>
                <c:pt idx="54">
                  <c:v>2.1497046820266013</c:v>
                </c:pt>
                <c:pt idx="56">
                  <c:v>1.210157472156175</c:v>
                </c:pt>
                <c:pt idx="58">
                  <c:v>1.2157566864232063</c:v>
                </c:pt>
                <c:pt idx="60">
                  <c:v>1.7009346912288954</c:v>
                </c:pt>
                <c:pt idx="61">
                  <c:v>1.6791826063123738</c:v>
                </c:pt>
                <c:pt idx="62">
                  <c:v>1.6719644295655374</c:v>
                </c:pt>
                <c:pt idx="63">
                  <c:v>1.8583151699805556</c:v>
                </c:pt>
                <c:pt idx="66">
                  <c:v>2.1073737173267033</c:v>
                </c:pt>
                <c:pt idx="74">
                  <c:v>1.8171227048853755</c:v>
                </c:pt>
                <c:pt idx="78">
                  <c:v>1.4756849269594856</c:v>
                </c:pt>
                <c:pt idx="79">
                  <c:v>1.621735854662433</c:v>
                </c:pt>
                <c:pt idx="81">
                  <c:v>1.8796659253520858</c:v>
                </c:pt>
                <c:pt idx="86">
                  <c:v>1.2602405718186387</c:v>
                </c:pt>
                <c:pt idx="87">
                  <c:v>1.5893823893222023</c:v>
                </c:pt>
                <c:pt idx="88">
                  <c:v>1.403560420438748</c:v>
                </c:pt>
                <c:pt idx="89">
                  <c:v>1.2889917932026622</c:v>
                </c:pt>
                <c:pt idx="90">
                  <c:v>1.6336463933251026</c:v>
                </c:pt>
                <c:pt idx="91">
                  <c:v>1.7775641495303378</c:v>
                </c:pt>
                <c:pt idx="92">
                  <c:v>1.558977806437378</c:v>
                </c:pt>
                <c:pt idx="93">
                  <c:v>1.4276855307204448</c:v>
                </c:pt>
                <c:pt idx="94">
                  <c:v>1.327905273969467</c:v>
                </c:pt>
                <c:pt idx="95">
                  <c:v>1.4123483500887095</c:v>
                </c:pt>
                <c:pt idx="96">
                  <c:v>1.7950049412928319</c:v>
                </c:pt>
                <c:pt idx="100">
                  <c:v>1.4241119729792726</c:v>
                </c:pt>
                <c:pt idx="101">
                  <c:v>1.3055898286674923</c:v>
                </c:pt>
                <c:pt idx="105">
                  <c:v>1.2436496327327959</c:v>
                </c:pt>
                <c:pt idx="106">
                  <c:v>1.3041776129638663</c:v>
                </c:pt>
                <c:pt idx="108">
                  <c:v>1.0808097379491979</c:v>
                </c:pt>
                <c:pt idx="112">
                  <c:v>1.3648020603300197</c:v>
                </c:pt>
                <c:pt idx="113">
                  <c:v>1.4270672320523956</c:v>
                </c:pt>
                <c:pt idx="114">
                  <c:v>1.2867765285178476</c:v>
                </c:pt>
                <c:pt idx="115">
                  <c:v>1.1693210304983437</c:v>
                </c:pt>
                <c:pt idx="116">
                  <c:v>1.2465084055760451</c:v>
                </c:pt>
                <c:pt idx="117">
                  <c:v>1.9928712367167702</c:v>
                </c:pt>
                <c:pt idx="118">
                  <c:v>1.8680264963021465</c:v>
                </c:pt>
                <c:pt idx="122">
                  <c:v>2.2783935747554356</c:v>
                </c:pt>
                <c:pt idx="123">
                  <c:v>1.6863998078567315</c:v>
                </c:pt>
                <c:pt idx="127">
                  <c:v>1.135794330016441</c:v>
                </c:pt>
                <c:pt idx="128">
                  <c:v>1.619194018773322</c:v>
                </c:pt>
                <c:pt idx="130">
                  <c:v>1.6297829441924288</c:v>
                </c:pt>
                <c:pt idx="132">
                  <c:v>1.6160351505021928</c:v>
                </c:pt>
                <c:pt idx="134">
                  <c:v>1.7541416390117137</c:v>
                </c:pt>
                <c:pt idx="136">
                  <c:v>1.9887440503128282</c:v>
                </c:pt>
                <c:pt idx="137">
                  <c:v>2.0646055726394699</c:v>
                </c:pt>
                <c:pt idx="139">
                  <c:v>1.3261917540087973</c:v>
                </c:pt>
                <c:pt idx="140">
                  <c:v>2.3117895381902884</c:v>
                </c:pt>
                <c:pt idx="142">
                  <c:v>1.5854083437965325</c:v>
                </c:pt>
                <c:pt idx="143">
                  <c:v>1.5356140074541944</c:v>
                </c:pt>
                <c:pt idx="144">
                  <c:v>1.8521184980842436</c:v>
                </c:pt>
                <c:pt idx="149">
                  <c:v>1.5360321943493134</c:v>
                </c:pt>
                <c:pt idx="154">
                  <c:v>1.7685688302516001</c:v>
                </c:pt>
                <c:pt idx="158">
                  <c:v>1.7173665161974321</c:v>
                </c:pt>
                <c:pt idx="161">
                  <c:v>1.064962613941582</c:v>
                </c:pt>
                <c:pt idx="162">
                  <c:v>0.9376818002668581</c:v>
                </c:pt>
                <c:pt idx="163">
                  <c:v>1.2628251185675932</c:v>
                </c:pt>
                <c:pt idx="166">
                  <c:v>1.2107403341866605</c:v>
                </c:pt>
                <c:pt idx="168">
                  <c:v>1.341364270969104</c:v>
                </c:pt>
                <c:pt idx="169">
                  <c:v>1.5062005078727565</c:v>
                </c:pt>
                <c:pt idx="173">
                  <c:v>1.6053699459000061</c:v>
                </c:pt>
                <c:pt idx="176">
                  <c:v>1.2794051660441645</c:v>
                </c:pt>
                <c:pt idx="178">
                  <c:v>2.8945674563557766</c:v>
                </c:pt>
                <c:pt idx="180">
                  <c:v>1.110892903790949</c:v>
                </c:pt>
                <c:pt idx="182">
                  <c:v>2.5330512129740694</c:v>
                </c:pt>
                <c:pt idx="184">
                  <c:v>1.2128980641796907</c:v>
                </c:pt>
                <c:pt idx="185">
                  <c:v>3.1127012279879973</c:v>
                </c:pt>
                <c:pt idx="186">
                  <c:v>1.2863275135782164</c:v>
                </c:pt>
                <c:pt idx="187">
                  <c:v>1.3903224753056873</c:v>
                </c:pt>
                <c:pt idx="188">
                  <c:v>1.0819795390748945</c:v>
                </c:pt>
                <c:pt idx="192">
                  <c:v>2.4759285563802655</c:v>
                </c:pt>
                <c:pt idx="193">
                  <c:v>1.6234698697084089</c:v>
                </c:pt>
                <c:pt idx="195">
                  <c:v>1.6274350232766979</c:v>
                </c:pt>
                <c:pt idx="196">
                  <c:v>1.8155256055766906</c:v>
                </c:pt>
                <c:pt idx="201">
                  <c:v>1.5698116262713619</c:v>
                </c:pt>
                <c:pt idx="202">
                  <c:v>1.5665592541174849</c:v>
                </c:pt>
                <c:pt idx="206">
                  <c:v>1.9168839313547983</c:v>
                </c:pt>
                <c:pt idx="207">
                  <c:v>2.6644569105298475</c:v>
                </c:pt>
                <c:pt idx="208">
                  <c:v>1.9863436008609694</c:v>
                </c:pt>
                <c:pt idx="210">
                  <c:v>1.6221431392145302</c:v>
                </c:pt>
                <c:pt idx="211">
                  <c:v>1.998849365856767</c:v>
                </c:pt>
                <c:pt idx="212">
                  <c:v>2.1764869904684927</c:v>
                </c:pt>
                <c:pt idx="213">
                  <c:v>1.8058506934321912</c:v>
                </c:pt>
                <c:pt idx="216">
                  <c:v>1.5143982955032453</c:v>
                </c:pt>
                <c:pt idx="221">
                  <c:v>1.4576202750016511</c:v>
                </c:pt>
                <c:pt idx="222">
                  <c:v>1.4535769455286924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40-44CF-9982-48119B17906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4-8540-44CF-9982-48119B179061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(2)'!$O$193:$O$217</c:f>
              <c:numCache>
                <c:formatCode>General</c:formatCode>
                <c:ptCount val="25"/>
                <c:pt idx="0">
                  <c:v>8.3595113438045381</c:v>
                </c:pt>
                <c:pt idx="1">
                  <c:v>12.368794326241137</c:v>
                </c:pt>
                <c:pt idx="2">
                  <c:v>12.234042553191491</c:v>
                </c:pt>
                <c:pt idx="3">
                  <c:v>12.148936170212767</c:v>
                </c:pt>
                <c:pt idx="4">
                  <c:v>12.067039106145252</c:v>
                </c:pt>
                <c:pt idx="5">
                  <c:v>12.056737588652483</c:v>
                </c:pt>
                <c:pt idx="6">
                  <c:v>12.014184397163124</c:v>
                </c:pt>
                <c:pt idx="7">
                  <c:v>12.014184397163124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12.000000000000004</c:v>
                </c:pt>
                <c:pt idx="15">
                  <c:v>12.000000000000004</c:v>
                </c:pt>
                <c:pt idx="16">
                  <c:v>11.921985815602838</c:v>
                </c:pt>
                <c:pt idx="17">
                  <c:v>11.921985815602838</c:v>
                </c:pt>
                <c:pt idx="18">
                  <c:v>11.879432624113477</c:v>
                </c:pt>
                <c:pt idx="19">
                  <c:v>11.858156028368795</c:v>
                </c:pt>
                <c:pt idx="20">
                  <c:v>11.744680851063832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</c:numCache>
            </c:numRef>
          </c:xVal>
          <c:yVal>
            <c:numRef>
              <c:f>'headed (2)'!$DE$193:$DE$217</c:f>
              <c:numCache>
                <c:formatCode>General</c:formatCode>
                <c:ptCount val="25"/>
                <c:pt idx="2">
                  <c:v>2.5013919662580109</c:v>
                </c:pt>
                <c:pt idx="3">
                  <c:v>2.3204475658747277</c:v>
                </c:pt>
                <c:pt idx="4">
                  <c:v>2.40472000951072</c:v>
                </c:pt>
                <c:pt idx="6">
                  <c:v>2.4849682952396512</c:v>
                </c:pt>
                <c:pt idx="8">
                  <c:v>2.1044475921552754</c:v>
                </c:pt>
                <c:pt idx="9">
                  <c:v>2.1044475921552754</c:v>
                </c:pt>
                <c:pt idx="10">
                  <c:v>1.9358600623361049</c:v>
                </c:pt>
                <c:pt idx="11">
                  <c:v>1.9358600623361049</c:v>
                </c:pt>
                <c:pt idx="14">
                  <c:v>1.7546609281607246</c:v>
                </c:pt>
                <c:pt idx="15">
                  <c:v>1.6692162339833787</c:v>
                </c:pt>
                <c:pt idx="20">
                  <c:v>2.2941543676388276</c:v>
                </c:pt>
                <c:pt idx="21">
                  <c:v>1.8294544169209646</c:v>
                </c:pt>
                <c:pt idx="22">
                  <c:v>1.8294544169209646</c:v>
                </c:pt>
                <c:pt idx="23">
                  <c:v>1.8849788364696016</c:v>
                </c:pt>
                <c:pt idx="24">
                  <c:v>1.8849788364696016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40-44CF-9982-48119B179061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(2)'!$O$193:$O$217</c:f>
              <c:numCache>
                <c:formatCode>General</c:formatCode>
                <c:ptCount val="25"/>
                <c:pt idx="0">
                  <c:v>8.3595113438045381</c:v>
                </c:pt>
                <c:pt idx="1">
                  <c:v>12.368794326241137</c:v>
                </c:pt>
                <c:pt idx="2">
                  <c:v>12.234042553191491</c:v>
                </c:pt>
                <c:pt idx="3">
                  <c:v>12.148936170212767</c:v>
                </c:pt>
                <c:pt idx="4">
                  <c:v>12.067039106145252</c:v>
                </c:pt>
                <c:pt idx="5">
                  <c:v>12.056737588652483</c:v>
                </c:pt>
                <c:pt idx="6">
                  <c:v>12.014184397163124</c:v>
                </c:pt>
                <c:pt idx="7">
                  <c:v>12.014184397163124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12.000000000000004</c:v>
                </c:pt>
                <c:pt idx="15">
                  <c:v>12.000000000000004</c:v>
                </c:pt>
                <c:pt idx="16">
                  <c:v>11.921985815602838</c:v>
                </c:pt>
                <c:pt idx="17">
                  <c:v>11.921985815602838</c:v>
                </c:pt>
                <c:pt idx="18">
                  <c:v>11.879432624113477</c:v>
                </c:pt>
                <c:pt idx="19">
                  <c:v>11.858156028368795</c:v>
                </c:pt>
                <c:pt idx="20">
                  <c:v>11.744680851063832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</c:numCache>
            </c:numRef>
          </c:xVal>
          <c:yVal>
            <c:numRef>
              <c:f>'headed (2)'!$DK$193:$DK$217</c:f>
              <c:numCache>
                <c:formatCode>General</c:formatCode>
                <c:ptCount val="25"/>
                <c:pt idx="1">
                  <c:v>1.7842564847212592</c:v>
                </c:pt>
                <c:pt idx="5">
                  <c:v>1.362526465650822</c:v>
                </c:pt>
                <c:pt idx="7">
                  <c:v>1.9231804683588229</c:v>
                </c:pt>
                <c:pt idx="12">
                  <c:v>2.1023636487990696</c:v>
                </c:pt>
                <c:pt idx="13">
                  <c:v>2.1023636487990696</c:v>
                </c:pt>
                <c:pt idx="16">
                  <c:v>1.8781266693934733</c:v>
                </c:pt>
                <c:pt idx="17">
                  <c:v>1.8797523578064703</c:v>
                </c:pt>
                <c:pt idx="18">
                  <c:v>1.5923242948877245</c:v>
                </c:pt>
                <c:pt idx="19">
                  <c:v>1.8045919059789592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40-44CF-9982-48119B179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26464"/>
        <c:axId val="132528384"/>
      </c:scatterChart>
      <c:valAx>
        <c:axId val="1325264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8384"/>
        <c:crosses val="autoZero"/>
        <c:crossBetween val="midCat"/>
      </c:valAx>
      <c:valAx>
        <c:axId val="132528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64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(2)'!$O$166:$O$192</c:f>
              <c:numCache>
                <c:formatCode>General</c:formatCode>
                <c:ptCount val="23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13.921985815602838</c:v>
                </c:pt>
                <c:pt idx="16">
                  <c:v>13.829787234042554</c:v>
                </c:pt>
                <c:pt idx="17">
                  <c:v>13.787234042553195</c:v>
                </c:pt>
                <c:pt idx="18">
                  <c:v>13.744680851063832</c:v>
                </c:pt>
                <c:pt idx="19">
                  <c:v>13.744680851063832</c:v>
                </c:pt>
                <c:pt idx="20">
                  <c:v>13.680851063829788</c:v>
                </c:pt>
                <c:pt idx="21">
                  <c:v>13.652482269503549</c:v>
                </c:pt>
                <c:pt idx="22">
                  <c:v>13.567375886524824</c:v>
                </c:pt>
              </c:numCache>
            </c:numRef>
          </c:xVal>
          <c:yVal>
            <c:numRef>
              <c:f>'headed (2)'!$DD$166:$DD$192</c:f>
              <c:numCache>
                <c:formatCode>General</c:formatCode>
                <c:ptCount val="23"/>
                <c:pt idx="3">
                  <c:v>1.0888822788843875</c:v>
                </c:pt>
                <c:pt idx="4">
                  <c:v>1.4094913723233622</c:v>
                </c:pt>
                <c:pt idx="5">
                  <c:v>1.030525017017395</c:v>
                </c:pt>
                <c:pt idx="8">
                  <c:v>0.92876242882583326</c:v>
                </c:pt>
                <c:pt idx="10">
                  <c:v>0.78412977643373516</c:v>
                </c:pt>
                <c:pt idx="11">
                  <c:v>1.2458889866861822</c:v>
                </c:pt>
                <c:pt idx="12">
                  <c:v>0.98594819394372424</c:v>
                </c:pt>
                <c:pt idx="16">
                  <c:v>1.1827384584448524</c:v>
                </c:pt>
                <c:pt idx="17">
                  <c:v>1.4864627253401679</c:v>
                </c:pt>
                <c:pt idx="18">
                  <c:v>1.3570171756610661</c:v>
                </c:pt>
                <c:pt idx="20">
                  <c:v>1.0426934131363037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FC-41BA-85BA-5CD9A9222E2C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(2)'!$O$166:$O$192</c:f>
              <c:numCache>
                <c:formatCode>General</c:formatCode>
                <c:ptCount val="23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13.921985815602838</c:v>
                </c:pt>
                <c:pt idx="16">
                  <c:v>13.829787234042554</c:v>
                </c:pt>
                <c:pt idx="17">
                  <c:v>13.787234042553195</c:v>
                </c:pt>
                <c:pt idx="18">
                  <c:v>13.744680851063832</c:v>
                </c:pt>
                <c:pt idx="19">
                  <c:v>13.744680851063832</c:v>
                </c:pt>
                <c:pt idx="20">
                  <c:v>13.680851063829788</c:v>
                </c:pt>
                <c:pt idx="21">
                  <c:v>13.652482269503549</c:v>
                </c:pt>
                <c:pt idx="22">
                  <c:v>13.567375886524824</c:v>
                </c:pt>
              </c:numCache>
            </c:numRef>
          </c:xVal>
          <c:yVal>
            <c:numRef>
              <c:f>'headed (2)'!$DJ$166:$DJ$192</c:f>
              <c:numCache>
                <c:formatCode>General</c:formatCode>
                <c:ptCount val="23"/>
                <c:pt idx="0">
                  <c:v>1.7079314414824931</c:v>
                </c:pt>
                <c:pt idx="1">
                  <c:v>1.7079314414824931</c:v>
                </c:pt>
                <c:pt idx="2">
                  <c:v>1.713760559030215</c:v>
                </c:pt>
                <c:pt idx="6">
                  <c:v>1.1277553972230727</c:v>
                </c:pt>
                <c:pt idx="7">
                  <c:v>1.0981770978672198</c:v>
                </c:pt>
                <c:pt idx="9">
                  <c:v>1.1957499935155482</c:v>
                </c:pt>
                <c:pt idx="13">
                  <c:v>1.3640135061669056</c:v>
                </c:pt>
                <c:pt idx="14">
                  <c:v>1.2391787313228477</c:v>
                </c:pt>
                <c:pt idx="15">
                  <c:v>1.725882500076503</c:v>
                </c:pt>
                <c:pt idx="19">
                  <c:v>1.3843179703848905</c:v>
                </c:pt>
                <c:pt idx="21">
                  <c:v>1.1897832755004432</c:v>
                </c:pt>
                <c:pt idx="22">
                  <c:v>1.4395206022092937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FC-41BA-85BA-5CD9A9222E2C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(2)'!$O$218:$O$456</c:f>
              <c:numCache>
                <c:formatCode>General</c:formatCode>
                <c:ptCount val="225"/>
                <c:pt idx="0">
                  <c:v>7</c:v>
                </c:pt>
                <c:pt idx="1">
                  <c:v>7</c:v>
                </c:pt>
                <c:pt idx="2">
                  <c:v>15.749999999999998</c:v>
                </c:pt>
                <c:pt idx="3">
                  <c:v>15.28</c:v>
                </c:pt>
                <c:pt idx="4">
                  <c:v>10.581560283687944</c:v>
                </c:pt>
                <c:pt idx="5">
                  <c:v>10.43262411347518</c:v>
                </c:pt>
                <c:pt idx="6">
                  <c:v>10.418439716312058</c:v>
                </c:pt>
                <c:pt idx="7">
                  <c:v>10.418439716312058</c:v>
                </c:pt>
                <c:pt idx="8">
                  <c:v>10.375886524822697</c:v>
                </c:pt>
                <c:pt idx="9">
                  <c:v>10.375886524822697</c:v>
                </c:pt>
                <c:pt idx="10">
                  <c:v>14.58</c:v>
                </c:pt>
                <c:pt idx="11">
                  <c:v>14.58</c:v>
                </c:pt>
                <c:pt idx="12">
                  <c:v>10.312056737588653</c:v>
                </c:pt>
                <c:pt idx="13">
                  <c:v>10.312056737588653</c:v>
                </c:pt>
                <c:pt idx="14">
                  <c:v>14.54</c:v>
                </c:pt>
                <c:pt idx="15">
                  <c:v>14.54</c:v>
                </c:pt>
                <c:pt idx="16">
                  <c:v>10.283687943262413</c:v>
                </c:pt>
                <c:pt idx="17">
                  <c:v>10.283687943262413</c:v>
                </c:pt>
                <c:pt idx="18">
                  <c:v>14.499999999999998</c:v>
                </c:pt>
                <c:pt idx="19">
                  <c:v>14.499999999999998</c:v>
                </c:pt>
                <c:pt idx="20">
                  <c:v>14.42</c:v>
                </c:pt>
                <c:pt idx="21">
                  <c:v>14.42</c:v>
                </c:pt>
                <c:pt idx="22">
                  <c:v>14.38</c:v>
                </c:pt>
                <c:pt idx="23">
                  <c:v>14.38</c:v>
                </c:pt>
                <c:pt idx="24">
                  <c:v>14.38</c:v>
                </c:pt>
                <c:pt idx="25">
                  <c:v>14.38</c:v>
                </c:pt>
                <c:pt idx="26">
                  <c:v>14.35</c:v>
                </c:pt>
                <c:pt idx="27">
                  <c:v>14.299999999999999</c:v>
                </c:pt>
                <c:pt idx="28">
                  <c:v>14.27</c:v>
                </c:pt>
                <c:pt idx="29">
                  <c:v>14.25</c:v>
                </c:pt>
                <c:pt idx="30">
                  <c:v>14.25</c:v>
                </c:pt>
                <c:pt idx="31">
                  <c:v>14.13</c:v>
                </c:pt>
                <c:pt idx="32">
                  <c:v>14.09</c:v>
                </c:pt>
                <c:pt idx="33">
                  <c:v>14.080000000000002</c:v>
                </c:pt>
                <c:pt idx="34">
                  <c:v>14.059999999999999</c:v>
                </c:pt>
                <c:pt idx="35">
                  <c:v>9.9441340782122918</c:v>
                </c:pt>
                <c:pt idx="36">
                  <c:v>12.66</c:v>
                </c:pt>
                <c:pt idx="37">
                  <c:v>12.590000000000002</c:v>
                </c:pt>
                <c:pt idx="38">
                  <c:v>8.9078014184397176</c:v>
                </c:pt>
                <c:pt idx="39">
                  <c:v>12.56</c:v>
                </c:pt>
                <c:pt idx="40">
                  <c:v>8.8652482269503565</c:v>
                </c:pt>
                <c:pt idx="41">
                  <c:v>12.5</c:v>
                </c:pt>
                <c:pt idx="42">
                  <c:v>12.439999999999998</c:v>
                </c:pt>
                <c:pt idx="43">
                  <c:v>12.38</c:v>
                </c:pt>
                <c:pt idx="44">
                  <c:v>12.31</c:v>
                </c:pt>
                <c:pt idx="45">
                  <c:v>12.21</c:v>
                </c:pt>
                <c:pt idx="46">
                  <c:v>12.19</c:v>
                </c:pt>
                <c:pt idx="47">
                  <c:v>12.17</c:v>
                </c:pt>
                <c:pt idx="48">
                  <c:v>12.17</c:v>
                </c:pt>
                <c:pt idx="49">
                  <c:v>8.6028368794326244</c:v>
                </c:pt>
                <c:pt idx="50">
                  <c:v>12.129999999999999</c:v>
                </c:pt>
                <c:pt idx="51">
                  <c:v>8.6028368794326244</c:v>
                </c:pt>
                <c:pt idx="52">
                  <c:v>8.5744680851063837</c:v>
                </c:pt>
                <c:pt idx="53">
                  <c:v>12.06</c:v>
                </c:pt>
                <c:pt idx="54">
                  <c:v>12.06</c:v>
                </c:pt>
                <c:pt idx="55">
                  <c:v>12.04</c:v>
                </c:pt>
                <c:pt idx="56">
                  <c:v>12.03</c:v>
                </c:pt>
                <c:pt idx="57">
                  <c:v>8.5106382978723403</c:v>
                </c:pt>
                <c:pt idx="58">
                  <c:v>8.5106382978723403</c:v>
                </c:pt>
                <c:pt idx="59">
                  <c:v>11.999999999999998</c:v>
                </c:pt>
                <c:pt idx="60">
                  <c:v>11.999999999999998</c:v>
                </c:pt>
                <c:pt idx="61">
                  <c:v>11.97</c:v>
                </c:pt>
                <c:pt idx="62">
                  <c:v>11.95</c:v>
                </c:pt>
                <c:pt idx="63">
                  <c:v>11.9</c:v>
                </c:pt>
                <c:pt idx="64">
                  <c:v>11.88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11.299212598425198</c:v>
                </c:pt>
                <c:pt idx="69">
                  <c:v>11.299212598425198</c:v>
                </c:pt>
                <c:pt idx="70">
                  <c:v>11.25</c:v>
                </c:pt>
                <c:pt idx="71">
                  <c:v>7.9608938547486039</c:v>
                </c:pt>
                <c:pt idx="72">
                  <c:v>7.9608938547486039</c:v>
                </c:pt>
                <c:pt idx="73">
                  <c:v>7.9608938547486039</c:v>
                </c:pt>
                <c:pt idx="74">
                  <c:v>11.13</c:v>
                </c:pt>
                <c:pt idx="75">
                  <c:v>11.06</c:v>
                </c:pt>
                <c:pt idx="76">
                  <c:v>7.8212290502793298</c:v>
                </c:pt>
                <c:pt idx="77">
                  <c:v>7.8212290502793298</c:v>
                </c:pt>
                <c:pt idx="78">
                  <c:v>7.8212290502793298</c:v>
                </c:pt>
                <c:pt idx="79">
                  <c:v>7.8212290502793298</c:v>
                </c:pt>
                <c:pt idx="80">
                  <c:v>7.8212290502793298</c:v>
                </c:pt>
                <c:pt idx="81">
                  <c:v>10.94</c:v>
                </c:pt>
                <c:pt idx="82">
                  <c:v>10.83</c:v>
                </c:pt>
                <c:pt idx="83">
                  <c:v>10.58</c:v>
                </c:pt>
                <c:pt idx="84">
                  <c:v>10.5</c:v>
                </c:pt>
                <c:pt idx="85">
                  <c:v>10.35</c:v>
                </c:pt>
                <c:pt idx="86">
                  <c:v>10.33</c:v>
                </c:pt>
                <c:pt idx="87">
                  <c:v>10.33</c:v>
                </c:pt>
                <c:pt idx="88">
                  <c:v>10.29</c:v>
                </c:pt>
                <c:pt idx="89">
                  <c:v>10.25</c:v>
                </c:pt>
                <c:pt idx="90">
                  <c:v>10.130000000000001</c:v>
                </c:pt>
                <c:pt idx="91">
                  <c:v>10.1</c:v>
                </c:pt>
                <c:pt idx="92">
                  <c:v>10.08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9.94</c:v>
                </c:pt>
                <c:pt idx="97">
                  <c:v>9.92</c:v>
                </c:pt>
                <c:pt idx="98">
                  <c:v>9.92</c:v>
                </c:pt>
                <c:pt idx="99">
                  <c:v>9.9</c:v>
                </c:pt>
                <c:pt idx="100">
                  <c:v>9.8800000000000008</c:v>
                </c:pt>
                <c:pt idx="101">
                  <c:v>9.8800000000000008</c:v>
                </c:pt>
                <c:pt idx="102">
                  <c:v>9.8800000000000008</c:v>
                </c:pt>
                <c:pt idx="103">
                  <c:v>9.8800000000000008</c:v>
                </c:pt>
                <c:pt idx="104">
                  <c:v>9.81</c:v>
                </c:pt>
                <c:pt idx="105">
                  <c:v>9.7899999999999991</c:v>
                </c:pt>
                <c:pt idx="106">
                  <c:v>9.77</c:v>
                </c:pt>
                <c:pt idx="107">
                  <c:v>9.75</c:v>
                </c:pt>
                <c:pt idx="108">
                  <c:v>9.75</c:v>
                </c:pt>
                <c:pt idx="109">
                  <c:v>9.69</c:v>
                </c:pt>
                <c:pt idx="110">
                  <c:v>9.69</c:v>
                </c:pt>
                <c:pt idx="111">
                  <c:v>9.69</c:v>
                </c:pt>
                <c:pt idx="112">
                  <c:v>9.66</c:v>
                </c:pt>
                <c:pt idx="113">
                  <c:v>9.6300000000000008</c:v>
                </c:pt>
                <c:pt idx="114">
                  <c:v>9.6</c:v>
                </c:pt>
                <c:pt idx="115">
                  <c:v>9.58</c:v>
                </c:pt>
                <c:pt idx="116">
                  <c:v>9.58</c:v>
                </c:pt>
                <c:pt idx="117">
                  <c:v>9.56</c:v>
                </c:pt>
                <c:pt idx="118">
                  <c:v>9.56</c:v>
                </c:pt>
                <c:pt idx="119">
                  <c:v>9.5</c:v>
                </c:pt>
                <c:pt idx="120">
                  <c:v>9.5</c:v>
                </c:pt>
                <c:pt idx="121">
                  <c:v>9.5</c:v>
                </c:pt>
                <c:pt idx="122">
                  <c:v>9.5</c:v>
                </c:pt>
                <c:pt idx="123">
                  <c:v>9.5</c:v>
                </c:pt>
                <c:pt idx="124">
                  <c:v>9.5</c:v>
                </c:pt>
                <c:pt idx="125">
                  <c:v>9.4700000000000006</c:v>
                </c:pt>
                <c:pt idx="126">
                  <c:v>9.4600000000000009</c:v>
                </c:pt>
                <c:pt idx="127">
                  <c:v>9.42</c:v>
                </c:pt>
                <c:pt idx="128">
                  <c:v>9.3800000000000008</c:v>
                </c:pt>
                <c:pt idx="129">
                  <c:v>9.3800000000000008</c:v>
                </c:pt>
                <c:pt idx="130">
                  <c:v>9.3800000000000008</c:v>
                </c:pt>
                <c:pt idx="131">
                  <c:v>9.3800000000000008</c:v>
                </c:pt>
                <c:pt idx="132">
                  <c:v>9.33</c:v>
                </c:pt>
                <c:pt idx="133">
                  <c:v>9.33</c:v>
                </c:pt>
                <c:pt idx="134">
                  <c:v>9.31</c:v>
                </c:pt>
                <c:pt idx="135">
                  <c:v>9.25</c:v>
                </c:pt>
                <c:pt idx="136">
                  <c:v>9.25</c:v>
                </c:pt>
                <c:pt idx="137">
                  <c:v>9.25</c:v>
                </c:pt>
                <c:pt idx="138">
                  <c:v>9.25</c:v>
                </c:pt>
                <c:pt idx="139">
                  <c:v>9.19</c:v>
                </c:pt>
                <c:pt idx="140">
                  <c:v>9.19</c:v>
                </c:pt>
                <c:pt idx="141">
                  <c:v>9.19</c:v>
                </c:pt>
                <c:pt idx="142">
                  <c:v>9.17</c:v>
                </c:pt>
                <c:pt idx="143">
                  <c:v>9.1300000000000008</c:v>
                </c:pt>
                <c:pt idx="144">
                  <c:v>9.06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6.061452513966481</c:v>
                </c:pt>
                <c:pt idx="149">
                  <c:v>8.31</c:v>
                </c:pt>
                <c:pt idx="150">
                  <c:v>8.3070866141732296</c:v>
                </c:pt>
                <c:pt idx="151">
                  <c:v>8.3070866141732296</c:v>
                </c:pt>
                <c:pt idx="152">
                  <c:v>8.3070866141732296</c:v>
                </c:pt>
                <c:pt idx="153">
                  <c:v>8.25</c:v>
                </c:pt>
                <c:pt idx="154">
                  <c:v>8.25</c:v>
                </c:pt>
                <c:pt idx="155">
                  <c:v>5.8379888268156428</c:v>
                </c:pt>
                <c:pt idx="156">
                  <c:v>5.6983240223463696</c:v>
                </c:pt>
                <c:pt idx="157">
                  <c:v>8.0314960629921259</c:v>
                </c:pt>
                <c:pt idx="158">
                  <c:v>8</c:v>
                </c:pt>
                <c:pt idx="159">
                  <c:v>6</c:v>
                </c:pt>
                <c:pt idx="160">
                  <c:v>6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6.3385826771653546</c:v>
                </c:pt>
                <c:pt idx="165">
                  <c:v>6.33</c:v>
                </c:pt>
                <c:pt idx="166">
                  <c:v>6.29</c:v>
                </c:pt>
                <c:pt idx="167">
                  <c:v>6.25</c:v>
                </c:pt>
                <c:pt idx="168">
                  <c:v>6.25</c:v>
                </c:pt>
                <c:pt idx="169">
                  <c:v>6.25</c:v>
                </c:pt>
                <c:pt idx="170">
                  <c:v>9.9519999999999982</c:v>
                </c:pt>
                <c:pt idx="171">
                  <c:v>6.21</c:v>
                </c:pt>
                <c:pt idx="172">
                  <c:v>6.19</c:v>
                </c:pt>
                <c:pt idx="173">
                  <c:v>6.16</c:v>
                </c:pt>
                <c:pt idx="174">
                  <c:v>6.13</c:v>
                </c:pt>
                <c:pt idx="175">
                  <c:v>6.13</c:v>
                </c:pt>
                <c:pt idx="176">
                  <c:v>6.0999999999999988</c:v>
                </c:pt>
                <c:pt idx="177">
                  <c:v>6.09</c:v>
                </c:pt>
                <c:pt idx="178">
                  <c:v>9.695999999999998</c:v>
                </c:pt>
                <c:pt idx="179">
                  <c:v>9.6479999999999997</c:v>
                </c:pt>
                <c:pt idx="180">
                  <c:v>6.03</c:v>
                </c:pt>
                <c:pt idx="181">
                  <c:v>9.5999999999999979</c:v>
                </c:pt>
                <c:pt idx="182">
                  <c:v>9.5999999999999979</c:v>
                </c:pt>
                <c:pt idx="183">
                  <c:v>9.5999999999999979</c:v>
                </c:pt>
                <c:pt idx="184">
                  <c:v>5.9999999999999991</c:v>
                </c:pt>
                <c:pt idx="185">
                  <c:v>9.5039999999999996</c:v>
                </c:pt>
                <c:pt idx="186">
                  <c:v>5.63</c:v>
                </c:pt>
                <c:pt idx="187">
                  <c:v>5.5</c:v>
                </c:pt>
                <c:pt idx="188">
                  <c:v>5.5</c:v>
                </c:pt>
                <c:pt idx="189">
                  <c:v>6</c:v>
                </c:pt>
                <c:pt idx="190">
                  <c:v>6</c:v>
                </c:pt>
                <c:pt idx="191">
                  <c:v>8.3040000000000003</c:v>
                </c:pt>
                <c:pt idx="192">
                  <c:v>8.3040000000000003</c:v>
                </c:pt>
                <c:pt idx="193">
                  <c:v>8.24</c:v>
                </c:pt>
                <c:pt idx="194">
                  <c:v>8.0640000000000001</c:v>
                </c:pt>
                <c:pt idx="195">
                  <c:v>8.048</c:v>
                </c:pt>
                <c:pt idx="196">
                  <c:v>8.0319999999999983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7.056</c:v>
                </c:pt>
                <c:pt idx="206">
                  <c:v>6.7519999999999989</c:v>
                </c:pt>
                <c:pt idx="207">
                  <c:v>6.7039999999999997</c:v>
                </c:pt>
                <c:pt idx="208">
                  <c:v>6.6559999999999997</c:v>
                </c:pt>
                <c:pt idx="209">
                  <c:v>6.6079999999999988</c:v>
                </c:pt>
                <c:pt idx="210">
                  <c:v>6.6079999999999988</c:v>
                </c:pt>
                <c:pt idx="211">
                  <c:v>6.6079999999999988</c:v>
                </c:pt>
                <c:pt idx="212">
                  <c:v>6.5439999999999996</c:v>
                </c:pt>
                <c:pt idx="213">
                  <c:v>6.5439999999999996</c:v>
                </c:pt>
                <c:pt idx="214">
                  <c:v>6.4959999999999987</c:v>
                </c:pt>
                <c:pt idx="215">
                  <c:v>6.4959999999999987</c:v>
                </c:pt>
                <c:pt idx="216">
                  <c:v>6.0960000000000001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</c:numCache>
            </c:numRef>
          </c:xVal>
          <c:yVal>
            <c:numRef>
              <c:f>'headed (2)'!$DD$218:$DD$456</c:f>
              <c:numCache>
                <c:formatCode>General</c:formatCode>
                <c:ptCount val="225"/>
                <c:pt idx="2">
                  <c:v>1.2278134241721037</c:v>
                </c:pt>
                <c:pt idx="3">
                  <c:v>1.1607520360147285</c:v>
                </c:pt>
                <c:pt idx="5">
                  <c:v>0.44995900132926242</c:v>
                </c:pt>
                <c:pt idx="8">
                  <c:v>0.3406160978101801</c:v>
                </c:pt>
                <c:pt idx="10">
                  <c:v>0.6575621344835334</c:v>
                </c:pt>
                <c:pt idx="11">
                  <c:v>0.66276113614729903</c:v>
                </c:pt>
                <c:pt idx="14">
                  <c:v>0.64880283352095725</c:v>
                </c:pt>
                <c:pt idx="16">
                  <c:v>0.53274470935221885</c:v>
                </c:pt>
                <c:pt idx="17">
                  <c:v>0.59847188698183496</c:v>
                </c:pt>
                <c:pt idx="22">
                  <c:v>0.74207568066944496</c:v>
                </c:pt>
                <c:pt idx="23">
                  <c:v>1.1480565833145751</c:v>
                </c:pt>
                <c:pt idx="24">
                  <c:v>1.120617834841011</c:v>
                </c:pt>
                <c:pt idx="26">
                  <c:v>1.0113237551807197</c:v>
                </c:pt>
                <c:pt idx="27">
                  <c:v>0.84984536998681193</c:v>
                </c:pt>
                <c:pt idx="29">
                  <c:v>0.96270814852336062</c:v>
                </c:pt>
                <c:pt idx="30">
                  <c:v>1.2275258020375239</c:v>
                </c:pt>
                <c:pt idx="31">
                  <c:v>1.2988441374566582</c:v>
                </c:pt>
                <c:pt idx="34">
                  <c:v>0.89380352149223619</c:v>
                </c:pt>
                <c:pt idx="35">
                  <c:v>1.2037060430031272</c:v>
                </c:pt>
                <c:pt idx="36">
                  <c:v>0.97623728551679267</c:v>
                </c:pt>
                <c:pt idx="37">
                  <c:v>1.20136195127303</c:v>
                </c:pt>
                <c:pt idx="39">
                  <c:v>1.4554882873727251</c:v>
                </c:pt>
                <c:pt idx="41">
                  <c:v>1.0571790917983603</c:v>
                </c:pt>
                <c:pt idx="45">
                  <c:v>0.67150740811789156</c:v>
                </c:pt>
                <c:pt idx="48">
                  <c:v>0.37461773422610073</c:v>
                </c:pt>
                <c:pt idx="49">
                  <c:v>0.67444137681039384</c:v>
                </c:pt>
                <c:pt idx="51">
                  <c:v>0.66616304477937771</c:v>
                </c:pt>
                <c:pt idx="53">
                  <c:v>0.60498251517291257</c:v>
                </c:pt>
                <c:pt idx="55">
                  <c:v>0.48810110256896716</c:v>
                </c:pt>
                <c:pt idx="57">
                  <c:v>0.79853904935095166</c:v>
                </c:pt>
                <c:pt idx="59">
                  <c:v>0.5200351608810676</c:v>
                </c:pt>
                <c:pt idx="64">
                  <c:v>0.41793296290343485</c:v>
                </c:pt>
                <c:pt idx="65">
                  <c:v>0.90312510104777988</c:v>
                </c:pt>
                <c:pt idx="67">
                  <c:v>1.0456058464242541</c:v>
                </c:pt>
                <c:pt idx="68">
                  <c:v>0.94434196074609311</c:v>
                </c:pt>
                <c:pt idx="69">
                  <c:v>1.6206841797361613</c:v>
                </c:pt>
                <c:pt idx="70">
                  <c:v>1.0632468913492648</c:v>
                </c:pt>
                <c:pt idx="71">
                  <c:v>1.0854292606452445</c:v>
                </c:pt>
                <c:pt idx="72">
                  <c:v>1.2957491504586884</c:v>
                </c:pt>
                <c:pt idx="73">
                  <c:v>1.0809639304684351</c:v>
                </c:pt>
                <c:pt idx="75">
                  <c:v>1.0359520772360065</c:v>
                </c:pt>
                <c:pt idx="76">
                  <c:v>1.1673908961949973</c:v>
                </c:pt>
                <c:pt idx="77">
                  <c:v>0.93616200442259556</c:v>
                </c:pt>
                <c:pt idx="80">
                  <c:v>1.150729195314697</c:v>
                </c:pt>
                <c:pt idx="82">
                  <c:v>0.77672385358421936</c:v>
                </c:pt>
                <c:pt idx="83">
                  <c:v>0.81746174328873611</c:v>
                </c:pt>
                <c:pt idx="84">
                  <c:v>0.85192180139138174</c:v>
                </c:pt>
                <c:pt idx="85">
                  <c:v>0.80622815303489503</c:v>
                </c:pt>
                <c:pt idx="97">
                  <c:v>0.49066280340487506</c:v>
                </c:pt>
                <c:pt idx="98">
                  <c:v>0.49438820310668369</c:v>
                </c:pt>
                <c:pt idx="99">
                  <c:v>0.4928999465797696</c:v>
                </c:pt>
                <c:pt idx="102">
                  <c:v>0.61339267247076401</c:v>
                </c:pt>
                <c:pt idx="103">
                  <c:v>0.73416103151904566</c:v>
                </c:pt>
                <c:pt idx="104">
                  <c:v>0.44632318044701325</c:v>
                </c:pt>
                <c:pt idx="107">
                  <c:v>0.57325182832669397</c:v>
                </c:pt>
                <c:pt idx="109">
                  <c:v>0.57642292425190167</c:v>
                </c:pt>
                <c:pt idx="110">
                  <c:v>0.54260887003559544</c:v>
                </c:pt>
                <c:pt idx="111">
                  <c:v>0.28765333046043823</c:v>
                </c:pt>
                <c:pt idx="119">
                  <c:v>0.32199066895060052</c:v>
                </c:pt>
                <c:pt idx="120">
                  <c:v>0.43987521847038291</c:v>
                </c:pt>
                <c:pt idx="121">
                  <c:v>0.31990801144331121</c:v>
                </c:pt>
                <c:pt idx="124">
                  <c:v>0.50217959988721583</c:v>
                </c:pt>
                <c:pt idx="125">
                  <c:v>0.49914036531945671</c:v>
                </c:pt>
                <c:pt idx="126">
                  <c:v>0.71535247587434603</c:v>
                </c:pt>
                <c:pt idx="129">
                  <c:v>0.46864687134043465</c:v>
                </c:pt>
                <c:pt idx="131">
                  <c:v>0.8432014000061423</c:v>
                </c:pt>
                <c:pt idx="133">
                  <c:v>0.63577930885779754</c:v>
                </c:pt>
                <c:pt idx="135">
                  <c:v>0.35794457872586288</c:v>
                </c:pt>
                <c:pt idx="138">
                  <c:v>0.71791639666428142</c:v>
                </c:pt>
                <c:pt idx="141">
                  <c:v>0.75814578138002153</c:v>
                </c:pt>
                <c:pt idx="145">
                  <c:v>0.77612733545937562</c:v>
                </c:pt>
                <c:pt idx="146">
                  <c:v>0.73254402066519331</c:v>
                </c:pt>
                <c:pt idx="147">
                  <c:v>0.86694554396548273</c:v>
                </c:pt>
                <c:pt idx="150">
                  <c:v>0.96859314347723358</c:v>
                </c:pt>
                <c:pt idx="151">
                  <c:v>0.84030922499865146</c:v>
                </c:pt>
                <c:pt idx="152">
                  <c:v>0.90909331832794082</c:v>
                </c:pt>
                <c:pt idx="153">
                  <c:v>0.41091602122326432</c:v>
                </c:pt>
                <c:pt idx="155">
                  <c:v>1.1245321162479069</c:v>
                </c:pt>
                <c:pt idx="156">
                  <c:v>0.80682929714224561</c:v>
                </c:pt>
                <c:pt idx="157">
                  <c:v>0.8023458423199622</c:v>
                </c:pt>
                <c:pt idx="159">
                  <c:v>0.82990690567027392</c:v>
                </c:pt>
                <c:pt idx="160">
                  <c:v>0.83860613948233131</c:v>
                </c:pt>
                <c:pt idx="165">
                  <c:v>0.47739495721251607</c:v>
                </c:pt>
                <c:pt idx="167">
                  <c:v>0.48850410476532213</c:v>
                </c:pt>
                <c:pt idx="170">
                  <c:v>0.70195438626366125</c:v>
                </c:pt>
                <c:pt idx="171">
                  <c:v>0.30623753916933311</c:v>
                </c:pt>
                <c:pt idx="172">
                  <c:v>0.52039815711170379</c:v>
                </c:pt>
                <c:pt idx="174">
                  <c:v>0.41214381234063702</c:v>
                </c:pt>
                <c:pt idx="175">
                  <c:v>0.35037218833658679</c:v>
                </c:pt>
                <c:pt idx="177">
                  <c:v>0.52668416203155555</c:v>
                </c:pt>
                <c:pt idx="179">
                  <c:v>0.37950693499442612</c:v>
                </c:pt>
                <c:pt idx="181">
                  <c:v>1.1047126070269926</c:v>
                </c:pt>
                <c:pt idx="183">
                  <c:v>0.62050244700404289</c:v>
                </c:pt>
                <c:pt idx="189">
                  <c:v>0.84672542437358489</c:v>
                </c:pt>
                <c:pt idx="190">
                  <c:v>0.84846527113599635</c:v>
                </c:pt>
                <c:pt idx="191">
                  <c:v>0.57924197602338701</c:v>
                </c:pt>
                <c:pt idx="194">
                  <c:v>0.52894243541533204</c:v>
                </c:pt>
                <c:pt idx="197">
                  <c:v>0.84714967990618539</c:v>
                </c:pt>
                <c:pt idx="198">
                  <c:v>0.84355498536627227</c:v>
                </c:pt>
                <c:pt idx="199">
                  <c:v>0.66294257619842423</c:v>
                </c:pt>
                <c:pt idx="200">
                  <c:v>0.65883059605660077</c:v>
                </c:pt>
                <c:pt idx="203">
                  <c:v>0.48047226670328519</c:v>
                </c:pt>
                <c:pt idx="204">
                  <c:v>0.50817833171756221</c:v>
                </c:pt>
                <c:pt idx="205">
                  <c:v>0.5633106192111631</c:v>
                </c:pt>
                <c:pt idx="209">
                  <c:v>0.27663125137739181</c:v>
                </c:pt>
                <c:pt idx="214">
                  <c:v>0.84814643886623231</c:v>
                </c:pt>
                <c:pt idx="215">
                  <c:v>0.42358808752356875</c:v>
                </c:pt>
                <c:pt idx="217">
                  <c:v>0.80281511391392391</c:v>
                </c:pt>
                <c:pt idx="218">
                  <c:v>0.8369647120430983</c:v>
                </c:pt>
                <c:pt idx="219">
                  <c:v>0.6624856895159994</c:v>
                </c:pt>
                <c:pt idx="220">
                  <c:v>0.65060663577295397</c:v>
                </c:pt>
                <c:pt idx="223">
                  <c:v>0.59445291391391852</c:v>
                </c:pt>
                <c:pt idx="224">
                  <c:v>0.58673730087196796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FC-41BA-85BA-5CD9A9222E2C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(2)'!$O$218:$O$456</c:f>
              <c:numCache>
                <c:formatCode>General</c:formatCode>
                <c:ptCount val="225"/>
                <c:pt idx="0">
                  <c:v>7</c:v>
                </c:pt>
                <c:pt idx="1">
                  <c:v>7</c:v>
                </c:pt>
                <c:pt idx="2">
                  <c:v>15.749999999999998</c:v>
                </c:pt>
                <c:pt idx="3">
                  <c:v>15.28</c:v>
                </c:pt>
                <c:pt idx="4">
                  <c:v>10.581560283687944</c:v>
                </c:pt>
                <c:pt idx="5">
                  <c:v>10.43262411347518</c:v>
                </c:pt>
                <c:pt idx="6">
                  <c:v>10.418439716312058</c:v>
                </c:pt>
                <c:pt idx="7">
                  <c:v>10.418439716312058</c:v>
                </c:pt>
                <c:pt idx="8">
                  <c:v>10.375886524822697</c:v>
                </c:pt>
                <c:pt idx="9">
                  <c:v>10.375886524822697</c:v>
                </c:pt>
                <c:pt idx="10">
                  <c:v>14.58</c:v>
                </c:pt>
                <c:pt idx="11">
                  <c:v>14.58</c:v>
                </c:pt>
                <c:pt idx="12">
                  <c:v>10.312056737588653</c:v>
                </c:pt>
                <c:pt idx="13">
                  <c:v>10.312056737588653</c:v>
                </c:pt>
                <c:pt idx="14">
                  <c:v>14.54</c:v>
                </c:pt>
                <c:pt idx="15">
                  <c:v>14.54</c:v>
                </c:pt>
                <c:pt idx="16">
                  <c:v>10.283687943262413</c:v>
                </c:pt>
                <c:pt idx="17">
                  <c:v>10.283687943262413</c:v>
                </c:pt>
                <c:pt idx="18">
                  <c:v>14.499999999999998</c:v>
                </c:pt>
                <c:pt idx="19">
                  <c:v>14.499999999999998</c:v>
                </c:pt>
                <c:pt idx="20">
                  <c:v>14.42</c:v>
                </c:pt>
                <c:pt idx="21">
                  <c:v>14.42</c:v>
                </c:pt>
                <c:pt idx="22">
                  <c:v>14.38</c:v>
                </c:pt>
                <c:pt idx="23">
                  <c:v>14.38</c:v>
                </c:pt>
                <c:pt idx="24">
                  <c:v>14.38</c:v>
                </c:pt>
                <c:pt idx="25">
                  <c:v>14.38</c:v>
                </c:pt>
                <c:pt idx="26">
                  <c:v>14.35</c:v>
                </c:pt>
                <c:pt idx="27">
                  <c:v>14.299999999999999</c:v>
                </c:pt>
                <c:pt idx="28">
                  <c:v>14.27</c:v>
                </c:pt>
                <c:pt idx="29">
                  <c:v>14.25</c:v>
                </c:pt>
                <c:pt idx="30">
                  <c:v>14.25</c:v>
                </c:pt>
                <c:pt idx="31">
                  <c:v>14.13</c:v>
                </c:pt>
                <c:pt idx="32">
                  <c:v>14.09</c:v>
                </c:pt>
                <c:pt idx="33">
                  <c:v>14.080000000000002</c:v>
                </c:pt>
                <c:pt idx="34">
                  <c:v>14.059999999999999</c:v>
                </c:pt>
                <c:pt idx="35">
                  <c:v>9.9441340782122918</c:v>
                </c:pt>
                <c:pt idx="36">
                  <c:v>12.66</c:v>
                </c:pt>
                <c:pt idx="37">
                  <c:v>12.590000000000002</c:v>
                </c:pt>
                <c:pt idx="38">
                  <c:v>8.9078014184397176</c:v>
                </c:pt>
                <c:pt idx="39">
                  <c:v>12.56</c:v>
                </c:pt>
                <c:pt idx="40">
                  <c:v>8.8652482269503565</c:v>
                </c:pt>
                <c:pt idx="41">
                  <c:v>12.5</c:v>
                </c:pt>
                <c:pt idx="42">
                  <c:v>12.439999999999998</c:v>
                </c:pt>
                <c:pt idx="43">
                  <c:v>12.38</c:v>
                </c:pt>
                <c:pt idx="44">
                  <c:v>12.31</c:v>
                </c:pt>
                <c:pt idx="45">
                  <c:v>12.21</c:v>
                </c:pt>
                <c:pt idx="46">
                  <c:v>12.19</c:v>
                </c:pt>
                <c:pt idx="47">
                  <c:v>12.17</c:v>
                </c:pt>
                <c:pt idx="48">
                  <c:v>12.17</c:v>
                </c:pt>
                <c:pt idx="49">
                  <c:v>8.6028368794326244</c:v>
                </c:pt>
                <c:pt idx="50">
                  <c:v>12.129999999999999</c:v>
                </c:pt>
                <c:pt idx="51">
                  <c:v>8.6028368794326244</c:v>
                </c:pt>
                <c:pt idx="52">
                  <c:v>8.5744680851063837</c:v>
                </c:pt>
                <c:pt idx="53">
                  <c:v>12.06</c:v>
                </c:pt>
                <c:pt idx="54">
                  <c:v>12.06</c:v>
                </c:pt>
                <c:pt idx="55">
                  <c:v>12.04</c:v>
                </c:pt>
                <c:pt idx="56">
                  <c:v>12.03</c:v>
                </c:pt>
                <c:pt idx="57">
                  <c:v>8.5106382978723403</c:v>
                </c:pt>
                <c:pt idx="58">
                  <c:v>8.5106382978723403</c:v>
                </c:pt>
                <c:pt idx="59">
                  <c:v>11.999999999999998</c:v>
                </c:pt>
                <c:pt idx="60">
                  <c:v>11.999999999999998</c:v>
                </c:pt>
                <c:pt idx="61">
                  <c:v>11.97</c:v>
                </c:pt>
                <c:pt idx="62">
                  <c:v>11.95</c:v>
                </c:pt>
                <c:pt idx="63">
                  <c:v>11.9</c:v>
                </c:pt>
                <c:pt idx="64">
                  <c:v>11.88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11.299212598425198</c:v>
                </c:pt>
                <c:pt idx="69">
                  <c:v>11.299212598425198</c:v>
                </c:pt>
                <c:pt idx="70">
                  <c:v>11.25</c:v>
                </c:pt>
                <c:pt idx="71">
                  <c:v>7.9608938547486039</c:v>
                </c:pt>
                <c:pt idx="72">
                  <c:v>7.9608938547486039</c:v>
                </c:pt>
                <c:pt idx="73">
                  <c:v>7.9608938547486039</c:v>
                </c:pt>
                <c:pt idx="74">
                  <c:v>11.13</c:v>
                </c:pt>
                <c:pt idx="75">
                  <c:v>11.06</c:v>
                </c:pt>
                <c:pt idx="76">
                  <c:v>7.8212290502793298</c:v>
                </c:pt>
                <c:pt idx="77">
                  <c:v>7.8212290502793298</c:v>
                </c:pt>
                <c:pt idx="78">
                  <c:v>7.8212290502793298</c:v>
                </c:pt>
                <c:pt idx="79">
                  <c:v>7.8212290502793298</c:v>
                </c:pt>
                <c:pt idx="80">
                  <c:v>7.8212290502793298</c:v>
                </c:pt>
                <c:pt idx="81">
                  <c:v>10.94</c:v>
                </c:pt>
                <c:pt idx="82">
                  <c:v>10.83</c:v>
                </c:pt>
                <c:pt idx="83">
                  <c:v>10.58</c:v>
                </c:pt>
                <c:pt idx="84">
                  <c:v>10.5</c:v>
                </c:pt>
                <c:pt idx="85">
                  <c:v>10.35</c:v>
                </c:pt>
                <c:pt idx="86">
                  <c:v>10.33</c:v>
                </c:pt>
                <c:pt idx="87">
                  <c:v>10.33</c:v>
                </c:pt>
                <c:pt idx="88">
                  <c:v>10.29</c:v>
                </c:pt>
                <c:pt idx="89">
                  <c:v>10.25</c:v>
                </c:pt>
                <c:pt idx="90">
                  <c:v>10.130000000000001</c:v>
                </c:pt>
                <c:pt idx="91">
                  <c:v>10.1</c:v>
                </c:pt>
                <c:pt idx="92">
                  <c:v>10.08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9.94</c:v>
                </c:pt>
                <c:pt idx="97">
                  <c:v>9.92</c:v>
                </c:pt>
                <c:pt idx="98">
                  <c:v>9.92</c:v>
                </c:pt>
                <c:pt idx="99">
                  <c:v>9.9</c:v>
                </c:pt>
                <c:pt idx="100">
                  <c:v>9.8800000000000008</c:v>
                </c:pt>
                <c:pt idx="101">
                  <c:v>9.8800000000000008</c:v>
                </c:pt>
                <c:pt idx="102">
                  <c:v>9.8800000000000008</c:v>
                </c:pt>
                <c:pt idx="103">
                  <c:v>9.8800000000000008</c:v>
                </c:pt>
                <c:pt idx="104">
                  <c:v>9.81</c:v>
                </c:pt>
                <c:pt idx="105">
                  <c:v>9.7899999999999991</c:v>
                </c:pt>
                <c:pt idx="106">
                  <c:v>9.77</c:v>
                </c:pt>
                <c:pt idx="107">
                  <c:v>9.75</c:v>
                </c:pt>
                <c:pt idx="108">
                  <c:v>9.75</c:v>
                </c:pt>
                <c:pt idx="109">
                  <c:v>9.69</c:v>
                </c:pt>
                <c:pt idx="110">
                  <c:v>9.69</c:v>
                </c:pt>
                <c:pt idx="111">
                  <c:v>9.69</c:v>
                </c:pt>
                <c:pt idx="112">
                  <c:v>9.66</c:v>
                </c:pt>
                <c:pt idx="113">
                  <c:v>9.6300000000000008</c:v>
                </c:pt>
                <c:pt idx="114">
                  <c:v>9.6</c:v>
                </c:pt>
                <c:pt idx="115">
                  <c:v>9.58</c:v>
                </c:pt>
                <c:pt idx="116">
                  <c:v>9.58</c:v>
                </c:pt>
                <c:pt idx="117">
                  <c:v>9.56</c:v>
                </c:pt>
                <c:pt idx="118">
                  <c:v>9.56</c:v>
                </c:pt>
                <c:pt idx="119">
                  <c:v>9.5</c:v>
                </c:pt>
                <c:pt idx="120">
                  <c:v>9.5</c:v>
                </c:pt>
                <c:pt idx="121">
                  <c:v>9.5</c:v>
                </c:pt>
                <c:pt idx="122">
                  <c:v>9.5</c:v>
                </c:pt>
                <c:pt idx="123">
                  <c:v>9.5</c:v>
                </c:pt>
                <c:pt idx="124">
                  <c:v>9.5</c:v>
                </c:pt>
                <c:pt idx="125">
                  <c:v>9.4700000000000006</c:v>
                </c:pt>
                <c:pt idx="126">
                  <c:v>9.4600000000000009</c:v>
                </c:pt>
                <c:pt idx="127">
                  <c:v>9.42</c:v>
                </c:pt>
                <c:pt idx="128">
                  <c:v>9.3800000000000008</c:v>
                </c:pt>
                <c:pt idx="129">
                  <c:v>9.3800000000000008</c:v>
                </c:pt>
                <c:pt idx="130">
                  <c:v>9.3800000000000008</c:v>
                </c:pt>
                <c:pt idx="131">
                  <c:v>9.3800000000000008</c:v>
                </c:pt>
                <c:pt idx="132">
                  <c:v>9.33</c:v>
                </c:pt>
                <c:pt idx="133">
                  <c:v>9.33</c:v>
                </c:pt>
                <c:pt idx="134">
                  <c:v>9.31</c:v>
                </c:pt>
                <c:pt idx="135">
                  <c:v>9.25</c:v>
                </c:pt>
                <c:pt idx="136">
                  <c:v>9.25</c:v>
                </c:pt>
                <c:pt idx="137">
                  <c:v>9.25</c:v>
                </c:pt>
                <c:pt idx="138">
                  <c:v>9.25</c:v>
                </c:pt>
                <c:pt idx="139">
                  <c:v>9.19</c:v>
                </c:pt>
                <c:pt idx="140">
                  <c:v>9.19</c:v>
                </c:pt>
                <c:pt idx="141">
                  <c:v>9.19</c:v>
                </c:pt>
                <c:pt idx="142">
                  <c:v>9.17</c:v>
                </c:pt>
                <c:pt idx="143">
                  <c:v>9.1300000000000008</c:v>
                </c:pt>
                <c:pt idx="144">
                  <c:v>9.06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6.061452513966481</c:v>
                </c:pt>
                <c:pt idx="149">
                  <c:v>8.31</c:v>
                </c:pt>
                <c:pt idx="150">
                  <c:v>8.3070866141732296</c:v>
                </c:pt>
                <c:pt idx="151">
                  <c:v>8.3070866141732296</c:v>
                </c:pt>
                <c:pt idx="152">
                  <c:v>8.3070866141732296</c:v>
                </c:pt>
                <c:pt idx="153">
                  <c:v>8.25</c:v>
                </c:pt>
                <c:pt idx="154">
                  <c:v>8.25</c:v>
                </c:pt>
                <c:pt idx="155">
                  <c:v>5.8379888268156428</c:v>
                </c:pt>
                <c:pt idx="156">
                  <c:v>5.6983240223463696</c:v>
                </c:pt>
                <c:pt idx="157">
                  <c:v>8.0314960629921259</c:v>
                </c:pt>
                <c:pt idx="158">
                  <c:v>8</c:v>
                </c:pt>
                <c:pt idx="159">
                  <c:v>6</c:v>
                </c:pt>
                <c:pt idx="160">
                  <c:v>6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6.3385826771653546</c:v>
                </c:pt>
                <c:pt idx="165">
                  <c:v>6.33</c:v>
                </c:pt>
                <c:pt idx="166">
                  <c:v>6.29</c:v>
                </c:pt>
                <c:pt idx="167">
                  <c:v>6.25</c:v>
                </c:pt>
                <c:pt idx="168">
                  <c:v>6.25</c:v>
                </c:pt>
                <c:pt idx="169">
                  <c:v>6.25</c:v>
                </c:pt>
                <c:pt idx="170">
                  <c:v>9.9519999999999982</c:v>
                </c:pt>
                <c:pt idx="171">
                  <c:v>6.21</c:v>
                </c:pt>
                <c:pt idx="172">
                  <c:v>6.19</c:v>
                </c:pt>
                <c:pt idx="173">
                  <c:v>6.16</c:v>
                </c:pt>
                <c:pt idx="174">
                  <c:v>6.13</c:v>
                </c:pt>
                <c:pt idx="175">
                  <c:v>6.13</c:v>
                </c:pt>
                <c:pt idx="176">
                  <c:v>6.0999999999999988</c:v>
                </c:pt>
                <c:pt idx="177">
                  <c:v>6.09</c:v>
                </c:pt>
                <c:pt idx="178">
                  <c:v>9.695999999999998</c:v>
                </c:pt>
                <c:pt idx="179">
                  <c:v>9.6479999999999997</c:v>
                </c:pt>
                <c:pt idx="180">
                  <c:v>6.03</c:v>
                </c:pt>
                <c:pt idx="181">
                  <c:v>9.5999999999999979</c:v>
                </c:pt>
                <c:pt idx="182">
                  <c:v>9.5999999999999979</c:v>
                </c:pt>
                <c:pt idx="183">
                  <c:v>9.5999999999999979</c:v>
                </c:pt>
                <c:pt idx="184">
                  <c:v>5.9999999999999991</c:v>
                </c:pt>
                <c:pt idx="185">
                  <c:v>9.5039999999999996</c:v>
                </c:pt>
                <c:pt idx="186">
                  <c:v>5.63</c:v>
                </c:pt>
                <c:pt idx="187">
                  <c:v>5.5</c:v>
                </c:pt>
                <c:pt idx="188">
                  <c:v>5.5</c:v>
                </c:pt>
                <c:pt idx="189">
                  <c:v>6</c:v>
                </c:pt>
                <c:pt idx="190">
                  <c:v>6</c:v>
                </c:pt>
                <c:pt idx="191">
                  <c:v>8.3040000000000003</c:v>
                </c:pt>
                <c:pt idx="192">
                  <c:v>8.3040000000000003</c:v>
                </c:pt>
                <c:pt idx="193">
                  <c:v>8.24</c:v>
                </c:pt>
                <c:pt idx="194">
                  <c:v>8.0640000000000001</c:v>
                </c:pt>
                <c:pt idx="195">
                  <c:v>8.048</c:v>
                </c:pt>
                <c:pt idx="196">
                  <c:v>8.0319999999999983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7.056</c:v>
                </c:pt>
                <c:pt idx="206">
                  <c:v>6.7519999999999989</c:v>
                </c:pt>
                <c:pt idx="207">
                  <c:v>6.7039999999999997</c:v>
                </c:pt>
                <c:pt idx="208">
                  <c:v>6.6559999999999997</c:v>
                </c:pt>
                <c:pt idx="209">
                  <c:v>6.6079999999999988</c:v>
                </c:pt>
                <c:pt idx="210">
                  <c:v>6.6079999999999988</c:v>
                </c:pt>
                <c:pt idx="211">
                  <c:v>6.6079999999999988</c:v>
                </c:pt>
                <c:pt idx="212">
                  <c:v>6.5439999999999996</c:v>
                </c:pt>
                <c:pt idx="213">
                  <c:v>6.5439999999999996</c:v>
                </c:pt>
                <c:pt idx="214">
                  <c:v>6.4959999999999987</c:v>
                </c:pt>
                <c:pt idx="215">
                  <c:v>6.4959999999999987</c:v>
                </c:pt>
                <c:pt idx="216">
                  <c:v>6.0960000000000001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</c:numCache>
            </c:numRef>
          </c:xVal>
          <c:yVal>
            <c:numRef>
              <c:f>'headed (2)'!$DJ$218:$DJ$456</c:f>
              <c:numCache>
                <c:formatCode>General</c:formatCode>
                <c:ptCount val="225"/>
                <c:pt idx="0">
                  <c:v>1.1486634883673195</c:v>
                </c:pt>
                <c:pt idx="1">
                  <c:v>1.1486634883673195</c:v>
                </c:pt>
                <c:pt idx="4">
                  <c:v>0.5379511912567736</c:v>
                </c:pt>
                <c:pt idx="6">
                  <c:v>0.60989160828240396</c:v>
                </c:pt>
                <c:pt idx="7">
                  <c:v>0.79714874635462929</c:v>
                </c:pt>
                <c:pt idx="9">
                  <c:v>0.79965874804680204</c:v>
                </c:pt>
                <c:pt idx="12">
                  <c:v>0.50958151653858841</c:v>
                </c:pt>
                <c:pt idx="13">
                  <c:v>0.49783010673441874</c:v>
                </c:pt>
                <c:pt idx="15">
                  <c:v>0.70747117484998001</c:v>
                </c:pt>
                <c:pt idx="18">
                  <c:v>1.0844496648388597</c:v>
                </c:pt>
                <c:pt idx="19">
                  <c:v>1.286108770983347</c:v>
                </c:pt>
                <c:pt idx="20">
                  <c:v>0.73356045990636276</c:v>
                </c:pt>
                <c:pt idx="21">
                  <c:v>1.1153185331872824</c:v>
                </c:pt>
                <c:pt idx="25">
                  <c:v>1.3627342427712779</c:v>
                </c:pt>
                <c:pt idx="28">
                  <c:v>1.2311656641884943</c:v>
                </c:pt>
                <c:pt idx="32">
                  <c:v>1.5116668594823293</c:v>
                </c:pt>
                <c:pt idx="33">
                  <c:v>0.76743593066722315</c:v>
                </c:pt>
                <c:pt idx="38">
                  <c:v>0.79577622498559542</c:v>
                </c:pt>
                <c:pt idx="40">
                  <c:v>0.87004023622459381</c:v>
                </c:pt>
                <c:pt idx="42">
                  <c:v>1.6652174139737159</c:v>
                </c:pt>
                <c:pt idx="43">
                  <c:v>1.3545925525527256</c:v>
                </c:pt>
                <c:pt idx="44">
                  <c:v>1.1361105927087192</c:v>
                </c:pt>
                <c:pt idx="46">
                  <c:v>1.2892640281505934</c:v>
                </c:pt>
                <c:pt idx="47">
                  <c:v>0.76487499850326324</c:v>
                </c:pt>
                <c:pt idx="50">
                  <c:v>0.68298923262112032</c:v>
                </c:pt>
                <c:pt idx="52">
                  <c:v>1.1086962907496114</c:v>
                </c:pt>
                <c:pt idx="54">
                  <c:v>1.1090994673594974</c:v>
                </c:pt>
                <c:pt idx="56">
                  <c:v>0.65494056852337501</c:v>
                </c:pt>
                <c:pt idx="58">
                  <c:v>1.0189518781041382</c:v>
                </c:pt>
                <c:pt idx="60">
                  <c:v>1.1959371887849268</c:v>
                </c:pt>
                <c:pt idx="61">
                  <c:v>0.85652179496619263</c:v>
                </c:pt>
                <c:pt idx="62">
                  <c:v>0.66010873732007236</c:v>
                </c:pt>
                <c:pt idx="63">
                  <c:v>0.69322407599081759</c:v>
                </c:pt>
                <c:pt idx="66">
                  <c:v>1.2051301348381576</c:v>
                </c:pt>
                <c:pt idx="74">
                  <c:v>1.234614567429962</c:v>
                </c:pt>
                <c:pt idx="78">
                  <c:v>1.3402299947705487</c:v>
                </c:pt>
                <c:pt idx="79">
                  <c:v>1.5460337955680008</c:v>
                </c:pt>
                <c:pt idx="81">
                  <c:v>1.1009675588314105</c:v>
                </c:pt>
                <c:pt idx="86">
                  <c:v>0.7586320747468619</c:v>
                </c:pt>
                <c:pt idx="87">
                  <c:v>0.95277592599578431</c:v>
                </c:pt>
                <c:pt idx="88">
                  <c:v>0.85366845179986306</c:v>
                </c:pt>
                <c:pt idx="89">
                  <c:v>0.73385385804964465</c:v>
                </c:pt>
                <c:pt idx="90">
                  <c:v>1.180884224215198</c:v>
                </c:pt>
                <c:pt idx="91">
                  <c:v>1.2145959956381271</c:v>
                </c:pt>
                <c:pt idx="92">
                  <c:v>0.95611409237498801</c:v>
                </c:pt>
                <c:pt idx="93">
                  <c:v>0.69797901215906277</c:v>
                </c:pt>
                <c:pt idx="94">
                  <c:v>0.72046711424605314</c:v>
                </c:pt>
                <c:pt idx="95">
                  <c:v>0.80509042965258459</c:v>
                </c:pt>
                <c:pt idx="96">
                  <c:v>0.90863669033174643</c:v>
                </c:pt>
                <c:pt idx="100">
                  <c:v>0.81662774630172397</c:v>
                </c:pt>
                <c:pt idx="101">
                  <c:v>0.7859933198358483</c:v>
                </c:pt>
                <c:pt idx="105">
                  <c:v>0.71701953337023638</c:v>
                </c:pt>
                <c:pt idx="106">
                  <c:v>0.669304928325827</c:v>
                </c:pt>
                <c:pt idx="108">
                  <c:v>0.54367121796819906</c:v>
                </c:pt>
                <c:pt idx="112">
                  <c:v>0.89909960937938926</c:v>
                </c:pt>
                <c:pt idx="113">
                  <c:v>0.57896116065618985</c:v>
                </c:pt>
                <c:pt idx="114">
                  <c:v>0.62160230418122031</c:v>
                </c:pt>
                <c:pt idx="115">
                  <c:v>0.45940995038759902</c:v>
                </c:pt>
                <c:pt idx="116">
                  <c:v>0.4326213705365124</c:v>
                </c:pt>
                <c:pt idx="117">
                  <c:v>1.291398223149377</c:v>
                </c:pt>
                <c:pt idx="118">
                  <c:v>0.98896690726937853</c:v>
                </c:pt>
                <c:pt idx="122">
                  <c:v>1.0675308808670825</c:v>
                </c:pt>
                <c:pt idx="123">
                  <c:v>1.0453690663130164</c:v>
                </c:pt>
                <c:pt idx="127">
                  <c:v>0.40510257215472878</c:v>
                </c:pt>
                <c:pt idx="128">
                  <c:v>0.5244575585719754</c:v>
                </c:pt>
                <c:pt idx="130">
                  <c:v>1.0500571164680419</c:v>
                </c:pt>
                <c:pt idx="132">
                  <c:v>1.0631873753884515</c:v>
                </c:pt>
                <c:pt idx="134">
                  <c:v>1.1452294549129385</c:v>
                </c:pt>
                <c:pt idx="136">
                  <c:v>0.99688435001099218</c:v>
                </c:pt>
                <c:pt idx="137">
                  <c:v>1.2821131703909106</c:v>
                </c:pt>
                <c:pt idx="139">
                  <c:v>0.47226601043541899</c:v>
                </c:pt>
                <c:pt idx="140">
                  <c:v>1.5989486965805586</c:v>
                </c:pt>
                <c:pt idx="142">
                  <c:v>0.99135777498064259</c:v>
                </c:pt>
                <c:pt idx="143">
                  <c:v>0.80819333280719641</c:v>
                </c:pt>
                <c:pt idx="144">
                  <c:v>0.90791333117970996</c:v>
                </c:pt>
                <c:pt idx="149">
                  <c:v>0.82553769724572112</c:v>
                </c:pt>
                <c:pt idx="154">
                  <c:v>0.49664029362132861</c:v>
                </c:pt>
                <c:pt idx="158">
                  <c:v>1.0025651410576439</c:v>
                </c:pt>
                <c:pt idx="161">
                  <c:v>0.27806290348537888</c:v>
                </c:pt>
                <c:pt idx="162">
                  <c:v>0.36370914366668056</c:v>
                </c:pt>
                <c:pt idx="163">
                  <c:v>0.23714039746372731</c:v>
                </c:pt>
                <c:pt idx="166">
                  <c:v>0.75241129452250288</c:v>
                </c:pt>
                <c:pt idx="168">
                  <c:v>0.57441747158643486</c:v>
                </c:pt>
                <c:pt idx="169">
                  <c:v>0.95552213561783861</c:v>
                </c:pt>
                <c:pt idx="173">
                  <c:v>0.72668089753626275</c:v>
                </c:pt>
                <c:pt idx="176">
                  <c:v>0.7635698161114719</c:v>
                </c:pt>
                <c:pt idx="178">
                  <c:v>1.4676385799383138</c:v>
                </c:pt>
                <c:pt idx="180">
                  <c:v>0.51638109101570362</c:v>
                </c:pt>
                <c:pt idx="182">
                  <c:v>1.280628927387689</c:v>
                </c:pt>
                <c:pt idx="184">
                  <c:v>0.82075602055380337</c:v>
                </c:pt>
                <c:pt idx="185">
                  <c:v>0.92432247546723945</c:v>
                </c:pt>
                <c:pt idx="186">
                  <c:v>0.33217224555956837</c:v>
                </c:pt>
                <c:pt idx="187">
                  <c:v>0.27235882594617306</c:v>
                </c:pt>
                <c:pt idx="188">
                  <c:v>0.40190648659950207</c:v>
                </c:pt>
                <c:pt idx="192">
                  <c:v>1.0608164855263091</c:v>
                </c:pt>
                <c:pt idx="193">
                  <c:v>0.66189035654118</c:v>
                </c:pt>
                <c:pt idx="195">
                  <c:v>0.69335828153035006</c:v>
                </c:pt>
                <c:pt idx="196">
                  <c:v>0.73841264422949071</c:v>
                </c:pt>
                <c:pt idx="201">
                  <c:v>0.86751961563235958</c:v>
                </c:pt>
                <c:pt idx="202">
                  <c:v>0.86572226836240296</c:v>
                </c:pt>
                <c:pt idx="206">
                  <c:v>0.5908614973408699</c:v>
                </c:pt>
                <c:pt idx="207">
                  <c:v>0.72138824438006166</c:v>
                </c:pt>
                <c:pt idx="208">
                  <c:v>0.90146916130082411</c:v>
                </c:pt>
                <c:pt idx="210">
                  <c:v>0.48120655876859975</c:v>
                </c:pt>
                <c:pt idx="211">
                  <c:v>0.34891933006853126</c:v>
                </c:pt>
                <c:pt idx="212">
                  <c:v>0.55887635658398238</c:v>
                </c:pt>
                <c:pt idx="213">
                  <c:v>0.30905277621926552</c:v>
                </c:pt>
                <c:pt idx="216">
                  <c:v>0.68470929712525452</c:v>
                </c:pt>
                <c:pt idx="221">
                  <c:v>0.86392492109244645</c:v>
                </c:pt>
                <c:pt idx="222">
                  <c:v>0.86152845806583767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FC-41BA-85BA-5CD9A9222E2C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4-8EFC-41BA-85BA-5CD9A9222E2C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(2)'!$O$193:$O$217</c:f>
              <c:numCache>
                <c:formatCode>General</c:formatCode>
                <c:ptCount val="25"/>
                <c:pt idx="0">
                  <c:v>8.3595113438045381</c:v>
                </c:pt>
                <c:pt idx="1">
                  <c:v>12.368794326241137</c:v>
                </c:pt>
                <c:pt idx="2">
                  <c:v>12.234042553191491</c:v>
                </c:pt>
                <c:pt idx="3">
                  <c:v>12.148936170212767</c:v>
                </c:pt>
                <c:pt idx="4">
                  <c:v>12.067039106145252</c:v>
                </c:pt>
                <c:pt idx="5">
                  <c:v>12.056737588652483</c:v>
                </c:pt>
                <c:pt idx="6">
                  <c:v>12.014184397163124</c:v>
                </c:pt>
                <c:pt idx="7">
                  <c:v>12.014184397163124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12.000000000000004</c:v>
                </c:pt>
                <c:pt idx="15">
                  <c:v>12.000000000000004</c:v>
                </c:pt>
                <c:pt idx="16">
                  <c:v>11.921985815602838</c:v>
                </c:pt>
                <c:pt idx="17">
                  <c:v>11.921985815602838</c:v>
                </c:pt>
                <c:pt idx="18">
                  <c:v>11.879432624113477</c:v>
                </c:pt>
                <c:pt idx="19">
                  <c:v>11.858156028368795</c:v>
                </c:pt>
                <c:pt idx="20">
                  <c:v>11.744680851063832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</c:numCache>
            </c:numRef>
          </c:xVal>
          <c:yVal>
            <c:numRef>
              <c:f>'headed (2)'!$DD$193:$DD$217</c:f>
              <c:numCache>
                <c:formatCode>General</c:formatCode>
                <c:ptCount val="25"/>
                <c:pt idx="2">
                  <c:v>1.2208596095211808</c:v>
                </c:pt>
                <c:pt idx="3">
                  <c:v>0.83585626412376812</c:v>
                </c:pt>
                <c:pt idx="4">
                  <c:v>1.5694434629296043</c:v>
                </c:pt>
                <c:pt idx="6">
                  <c:v>0.85659529371851961</c:v>
                </c:pt>
                <c:pt idx="8">
                  <c:v>0.99373675554928043</c:v>
                </c:pt>
                <c:pt idx="9">
                  <c:v>0.99373675554928043</c:v>
                </c:pt>
                <c:pt idx="10">
                  <c:v>1.0908038636893671</c:v>
                </c:pt>
                <c:pt idx="11">
                  <c:v>1.0908038636893671</c:v>
                </c:pt>
                <c:pt idx="14">
                  <c:v>0.53774723965388971</c:v>
                </c:pt>
                <c:pt idx="15">
                  <c:v>0.5342286604936749</c:v>
                </c:pt>
                <c:pt idx="20">
                  <c:v>1.3165021171618716</c:v>
                </c:pt>
                <c:pt idx="21">
                  <c:v>0.74018668744226179</c:v>
                </c:pt>
                <c:pt idx="22">
                  <c:v>0.74018668744226179</c:v>
                </c:pt>
                <c:pt idx="23">
                  <c:v>0.90484340828935073</c:v>
                </c:pt>
                <c:pt idx="24">
                  <c:v>0.90484340828935073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FC-41BA-85BA-5CD9A9222E2C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(2)'!$O$193:$O$217</c:f>
              <c:numCache>
                <c:formatCode>General</c:formatCode>
                <c:ptCount val="25"/>
                <c:pt idx="0">
                  <c:v>8.3595113438045381</c:v>
                </c:pt>
                <c:pt idx="1">
                  <c:v>12.368794326241137</c:v>
                </c:pt>
                <c:pt idx="2">
                  <c:v>12.234042553191491</c:v>
                </c:pt>
                <c:pt idx="3">
                  <c:v>12.148936170212767</c:v>
                </c:pt>
                <c:pt idx="4">
                  <c:v>12.067039106145252</c:v>
                </c:pt>
                <c:pt idx="5">
                  <c:v>12.056737588652483</c:v>
                </c:pt>
                <c:pt idx="6">
                  <c:v>12.014184397163124</c:v>
                </c:pt>
                <c:pt idx="7">
                  <c:v>12.014184397163124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12.000000000000004</c:v>
                </c:pt>
                <c:pt idx="15">
                  <c:v>12.000000000000004</c:v>
                </c:pt>
                <c:pt idx="16">
                  <c:v>11.921985815602838</c:v>
                </c:pt>
                <c:pt idx="17">
                  <c:v>11.921985815602838</c:v>
                </c:pt>
                <c:pt idx="18">
                  <c:v>11.879432624113477</c:v>
                </c:pt>
                <c:pt idx="19">
                  <c:v>11.858156028368795</c:v>
                </c:pt>
                <c:pt idx="20">
                  <c:v>11.744680851063832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</c:numCache>
            </c:numRef>
          </c:xVal>
          <c:yVal>
            <c:numRef>
              <c:f>'headed (2)'!$DJ$193:$DJ$217</c:f>
              <c:numCache>
                <c:formatCode>General</c:formatCode>
                <c:ptCount val="25"/>
                <c:pt idx="1">
                  <c:v>1.5403477162307675</c:v>
                </c:pt>
                <c:pt idx="5">
                  <c:v>0.69664976517292798</c:v>
                </c:pt>
                <c:pt idx="7">
                  <c:v>1.4241940133982856</c:v>
                </c:pt>
                <c:pt idx="12">
                  <c:v>1.2318345691778092</c:v>
                </c:pt>
                <c:pt idx="13">
                  <c:v>1.2318345691778092</c:v>
                </c:pt>
                <c:pt idx="16">
                  <c:v>0.9737603915445785</c:v>
                </c:pt>
                <c:pt idx="17">
                  <c:v>1.0348011851555312</c:v>
                </c:pt>
                <c:pt idx="18">
                  <c:v>0.75924280927749677</c:v>
                </c:pt>
                <c:pt idx="19">
                  <c:v>1.5655798326009769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FC-41BA-85BA-5CD9A9222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68576"/>
        <c:axId val="132570496"/>
      </c:scatterChart>
      <c:valAx>
        <c:axId val="13256857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70496"/>
        <c:crosses val="autoZero"/>
        <c:crossBetween val="midCat"/>
      </c:valAx>
      <c:valAx>
        <c:axId val="13257049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6857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(2)'!$O$166:$O$192</c:f>
              <c:numCache>
                <c:formatCode>General</c:formatCode>
                <c:ptCount val="23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13.921985815602838</c:v>
                </c:pt>
                <c:pt idx="16">
                  <c:v>13.829787234042554</c:v>
                </c:pt>
                <c:pt idx="17">
                  <c:v>13.787234042553195</c:v>
                </c:pt>
                <c:pt idx="18">
                  <c:v>13.744680851063832</c:v>
                </c:pt>
                <c:pt idx="19">
                  <c:v>13.744680851063832</c:v>
                </c:pt>
                <c:pt idx="20">
                  <c:v>13.680851063829788</c:v>
                </c:pt>
                <c:pt idx="21">
                  <c:v>13.652482269503549</c:v>
                </c:pt>
                <c:pt idx="22">
                  <c:v>13.567375886524824</c:v>
                </c:pt>
              </c:numCache>
            </c:numRef>
          </c:xVal>
          <c:yVal>
            <c:numRef>
              <c:f>'headed (2)'!$DF$166:$DF$192</c:f>
              <c:numCache>
                <c:formatCode>General</c:formatCode>
                <c:ptCount val="23"/>
                <c:pt idx="3">
                  <c:v>1.3641026017932405</c:v>
                </c:pt>
                <c:pt idx="4">
                  <c:v>1.4569265550499924</c:v>
                </c:pt>
                <c:pt idx="5">
                  <c:v>1.2368593271543291</c:v>
                </c:pt>
                <c:pt idx="8">
                  <c:v>1.3935634697003241</c:v>
                </c:pt>
                <c:pt idx="10">
                  <c:v>1.5278471025630567</c:v>
                </c:pt>
                <c:pt idx="11">
                  <c:v>1.489058878211396</c:v>
                </c:pt>
                <c:pt idx="12">
                  <c:v>1.3655809367192053</c:v>
                </c:pt>
                <c:pt idx="16">
                  <c:v>1.2560274378694603</c:v>
                </c:pt>
                <c:pt idx="17">
                  <c:v>1.2184121174982501</c:v>
                </c:pt>
                <c:pt idx="18">
                  <c:v>1.3173670073694528</c:v>
                </c:pt>
                <c:pt idx="20">
                  <c:v>1.3090510837932749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3-44D6-9B1A-8E905E61380F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(2)'!$O$166:$O$192</c:f>
              <c:numCache>
                <c:formatCode>General</c:formatCode>
                <c:ptCount val="23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13.921985815602838</c:v>
                </c:pt>
                <c:pt idx="16">
                  <c:v>13.829787234042554</c:v>
                </c:pt>
                <c:pt idx="17">
                  <c:v>13.787234042553195</c:v>
                </c:pt>
                <c:pt idx="18">
                  <c:v>13.744680851063832</c:v>
                </c:pt>
                <c:pt idx="19">
                  <c:v>13.744680851063832</c:v>
                </c:pt>
                <c:pt idx="20">
                  <c:v>13.680851063829788</c:v>
                </c:pt>
                <c:pt idx="21">
                  <c:v>13.652482269503549</c:v>
                </c:pt>
                <c:pt idx="22">
                  <c:v>13.567375886524824</c:v>
                </c:pt>
              </c:numCache>
            </c:numRef>
          </c:xVal>
          <c:yVal>
            <c:numRef>
              <c:f>'headed (2)'!$DL$166:$DL$192</c:f>
              <c:numCache>
                <c:formatCode>General</c:formatCode>
                <c:ptCount val="23"/>
                <c:pt idx="0">
                  <c:v>1.2470860052703576</c:v>
                </c:pt>
                <c:pt idx="1">
                  <c:v>1.2470860052703576</c:v>
                </c:pt>
                <c:pt idx="2">
                  <c:v>1.2513422714999494</c:v>
                </c:pt>
                <c:pt idx="6">
                  <c:v>0.83618018255731019</c:v>
                </c:pt>
                <c:pt idx="7">
                  <c:v>0.97651019906997372</c:v>
                </c:pt>
                <c:pt idx="9">
                  <c:v>1.2315922030510305</c:v>
                </c:pt>
                <c:pt idx="13">
                  <c:v>1.1449507661346809</c:v>
                </c:pt>
                <c:pt idx="14">
                  <c:v>1.2505080698215565</c:v>
                </c:pt>
                <c:pt idx="15">
                  <c:v>1.1997735337343924</c:v>
                </c:pt>
                <c:pt idx="19">
                  <c:v>1.255358081169357</c:v>
                </c:pt>
                <c:pt idx="21">
                  <c:v>1.3428672695579413</c:v>
                </c:pt>
                <c:pt idx="22">
                  <c:v>1.265578045451847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3-44D6-9B1A-8E905E61380F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(2)'!$O$218:$O$456</c:f>
              <c:numCache>
                <c:formatCode>General</c:formatCode>
                <c:ptCount val="225"/>
                <c:pt idx="0">
                  <c:v>7</c:v>
                </c:pt>
                <c:pt idx="1">
                  <c:v>7</c:v>
                </c:pt>
                <c:pt idx="2">
                  <c:v>15.749999999999998</c:v>
                </c:pt>
                <c:pt idx="3">
                  <c:v>15.28</c:v>
                </c:pt>
                <c:pt idx="4">
                  <c:v>10.581560283687944</c:v>
                </c:pt>
                <c:pt idx="5">
                  <c:v>10.43262411347518</c:v>
                </c:pt>
                <c:pt idx="6">
                  <c:v>10.418439716312058</c:v>
                </c:pt>
                <c:pt idx="7">
                  <c:v>10.418439716312058</c:v>
                </c:pt>
                <c:pt idx="8">
                  <c:v>10.375886524822697</c:v>
                </c:pt>
                <c:pt idx="9">
                  <c:v>10.375886524822697</c:v>
                </c:pt>
                <c:pt idx="10">
                  <c:v>14.58</c:v>
                </c:pt>
                <c:pt idx="11">
                  <c:v>14.58</c:v>
                </c:pt>
                <c:pt idx="12">
                  <c:v>10.312056737588653</c:v>
                </c:pt>
                <c:pt idx="13">
                  <c:v>10.312056737588653</c:v>
                </c:pt>
                <c:pt idx="14">
                  <c:v>14.54</c:v>
                </c:pt>
                <c:pt idx="15">
                  <c:v>14.54</c:v>
                </c:pt>
                <c:pt idx="16">
                  <c:v>10.283687943262413</c:v>
                </c:pt>
                <c:pt idx="17">
                  <c:v>10.283687943262413</c:v>
                </c:pt>
                <c:pt idx="18">
                  <c:v>14.499999999999998</c:v>
                </c:pt>
                <c:pt idx="19">
                  <c:v>14.499999999999998</c:v>
                </c:pt>
                <c:pt idx="20">
                  <c:v>14.42</c:v>
                </c:pt>
                <c:pt idx="21">
                  <c:v>14.42</c:v>
                </c:pt>
                <c:pt idx="22">
                  <c:v>14.38</c:v>
                </c:pt>
                <c:pt idx="23">
                  <c:v>14.38</c:v>
                </c:pt>
                <c:pt idx="24">
                  <c:v>14.38</c:v>
                </c:pt>
                <c:pt idx="25">
                  <c:v>14.38</c:v>
                </c:pt>
                <c:pt idx="26">
                  <c:v>14.35</c:v>
                </c:pt>
                <c:pt idx="27">
                  <c:v>14.299999999999999</c:v>
                </c:pt>
                <c:pt idx="28">
                  <c:v>14.27</c:v>
                </c:pt>
                <c:pt idx="29">
                  <c:v>14.25</c:v>
                </c:pt>
                <c:pt idx="30">
                  <c:v>14.25</c:v>
                </c:pt>
                <c:pt idx="31">
                  <c:v>14.13</c:v>
                </c:pt>
                <c:pt idx="32">
                  <c:v>14.09</c:v>
                </c:pt>
                <c:pt idx="33">
                  <c:v>14.080000000000002</c:v>
                </c:pt>
                <c:pt idx="34">
                  <c:v>14.059999999999999</c:v>
                </c:pt>
                <c:pt idx="35">
                  <c:v>9.9441340782122918</c:v>
                </c:pt>
                <c:pt idx="36">
                  <c:v>12.66</c:v>
                </c:pt>
                <c:pt idx="37">
                  <c:v>12.590000000000002</c:v>
                </c:pt>
                <c:pt idx="38">
                  <c:v>8.9078014184397176</c:v>
                </c:pt>
                <c:pt idx="39">
                  <c:v>12.56</c:v>
                </c:pt>
                <c:pt idx="40">
                  <c:v>8.8652482269503565</c:v>
                </c:pt>
                <c:pt idx="41">
                  <c:v>12.5</c:v>
                </c:pt>
                <c:pt idx="42">
                  <c:v>12.439999999999998</c:v>
                </c:pt>
                <c:pt idx="43">
                  <c:v>12.38</c:v>
                </c:pt>
                <c:pt idx="44">
                  <c:v>12.31</c:v>
                </c:pt>
                <c:pt idx="45">
                  <c:v>12.21</c:v>
                </c:pt>
                <c:pt idx="46">
                  <c:v>12.19</c:v>
                </c:pt>
                <c:pt idx="47">
                  <c:v>12.17</c:v>
                </c:pt>
                <c:pt idx="48">
                  <c:v>12.17</c:v>
                </c:pt>
                <c:pt idx="49">
                  <c:v>8.6028368794326244</c:v>
                </c:pt>
                <c:pt idx="50">
                  <c:v>12.129999999999999</c:v>
                </c:pt>
                <c:pt idx="51">
                  <c:v>8.6028368794326244</c:v>
                </c:pt>
                <c:pt idx="52">
                  <c:v>8.5744680851063837</c:v>
                </c:pt>
                <c:pt idx="53">
                  <c:v>12.06</c:v>
                </c:pt>
                <c:pt idx="54">
                  <c:v>12.06</c:v>
                </c:pt>
                <c:pt idx="55">
                  <c:v>12.04</c:v>
                </c:pt>
                <c:pt idx="56">
                  <c:v>12.03</c:v>
                </c:pt>
                <c:pt idx="57">
                  <c:v>8.5106382978723403</c:v>
                </c:pt>
                <c:pt idx="58">
                  <c:v>8.5106382978723403</c:v>
                </c:pt>
                <c:pt idx="59">
                  <c:v>11.999999999999998</c:v>
                </c:pt>
                <c:pt idx="60">
                  <c:v>11.999999999999998</c:v>
                </c:pt>
                <c:pt idx="61">
                  <c:v>11.97</c:v>
                </c:pt>
                <c:pt idx="62">
                  <c:v>11.95</c:v>
                </c:pt>
                <c:pt idx="63">
                  <c:v>11.9</c:v>
                </c:pt>
                <c:pt idx="64">
                  <c:v>11.88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11.299212598425198</c:v>
                </c:pt>
                <c:pt idx="69">
                  <c:v>11.299212598425198</c:v>
                </c:pt>
                <c:pt idx="70">
                  <c:v>11.25</c:v>
                </c:pt>
                <c:pt idx="71">
                  <c:v>7.9608938547486039</c:v>
                </c:pt>
                <c:pt idx="72">
                  <c:v>7.9608938547486039</c:v>
                </c:pt>
                <c:pt idx="73">
                  <c:v>7.9608938547486039</c:v>
                </c:pt>
                <c:pt idx="74">
                  <c:v>11.13</c:v>
                </c:pt>
                <c:pt idx="75">
                  <c:v>11.06</c:v>
                </c:pt>
                <c:pt idx="76">
                  <c:v>7.8212290502793298</c:v>
                </c:pt>
                <c:pt idx="77">
                  <c:v>7.8212290502793298</c:v>
                </c:pt>
                <c:pt idx="78">
                  <c:v>7.8212290502793298</c:v>
                </c:pt>
                <c:pt idx="79">
                  <c:v>7.8212290502793298</c:v>
                </c:pt>
                <c:pt idx="80">
                  <c:v>7.8212290502793298</c:v>
                </c:pt>
                <c:pt idx="81">
                  <c:v>10.94</c:v>
                </c:pt>
                <c:pt idx="82">
                  <c:v>10.83</c:v>
                </c:pt>
                <c:pt idx="83">
                  <c:v>10.58</c:v>
                </c:pt>
                <c:pt idx="84">
                  <c:v>10.5</c:v>
                </c:pt>
                <c:pt idx="85">
                  <c:v>10.35</c:v>
                </c:pt>
                <c:pt idx="86">
                  <c:v>10.33</c:v>
                </c:pt>
                <c:pt idx="87">
                  <c:v>10.33</c:v>
                </c:pt>
                <c:pt idx="88">
                  <c:v>10.29</c:v>
                </c:pt>
                <c:pt idx="89">
                  <c:v>10.25</c:v>
                </c:pt>
                <c:pt idx="90">
                  <c:v>10.130000000000001</c:v>
                </c:pt>
                <c:pt idx="91">
                  <c:v>10.1</c:v>
                </c:pt>
                <c:pt idx="92">
                  <c:v>10.08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9.94</c:v>
                </c:pt>
                <c:pt idx="97">
                  <c:v>9.92</c:v>
                </c:pt>
                <c:pt idx="98">
                  <c:v>9.92</c:v>
                </c:pt>
                <c:pt idx="99">
                  <c:v>9.9</c:v>
                </c:pt>
                <c:pt idx="100">
                  <c:v>9.8800000000000008</c:v>
                </c:pt>
                <c:pt idx="101">
                  <c:v>9.8800000000000008</c:v>
                </c:pt>
                <c:pt idx="102">
                  <c:v>9.8800000000000008</c:v>
                </c:pt>
                <c:pt idx="103">
                  <c:v>9.8800000000000008</c:v>
                </c:pt>
                <c:pt idx="104">
                  <c:v>9.81</c:v>
                </c:pt>
                <c:pt idx="105">
                  <c:v>9.7899999999999991</c:v>
                </c:pt>
                <c:pt idx="106">
                  <c:v>9.77</c:v>
                </c:pt>
                <c:pt idx="107">
                  <c:v>9.75</c:v>
                </c:pt>
                <c:pt idx="108">
                  <c:v>9.75</c:v>
                </c:pt>
                <c:pt idx="109">
                  <c:v>9.69</c:v>
                </c:pt>
                <c:pt idx="110">
                  <c:v>9.69</c:v>
                </c:pt>
                <c:pt idx="111">
                  <c:v>9.69</c:v>
                </c:pt>
                <c:pt idx="112">
                  <c:v>9.66</c:v>
                </c:pt>
                <c:pt idx="113">
                  <c:v>9.6300000000000008</c:v>
                </c:pt>
                <c:pt idx="114">
                  <c:v>9.6</c:v>
                </c:pt>
                <c:pt idx="115">
                  <c:v>9.58</c:v>
                </c:pt>
                <c:pt idx="116">
                  <c:v>9.58</c:v>
                </c:pt>
                <c:pt idx="117">
                  <c:v>9.56</c:v>
                </c:pt>
                <c:pt idx="118">
                  <c:v>9.56</c:v>
                </c:pt>
                <c:pt idx="119">
                  <c:v>9.5</c:v>
                </c:pt>
                <c:pt idx="120">
                  <c:v>9.5</c:v>
                </c:pt>
                <c:pt idx="121">
                  <c:v>9.5</c:v>
                </c:pt>
                <c:pt idx="122">
                  <c:v>9.5</c:v>
                </c:pt>
                <c:pt idx="123">
                  <c:v>9.5</c:v>
                </c:pt>
                <c:pt idx="124">
                  <c:v>9.5</c:v>
                </c:pt>
                <c:pt idx="125">
                  <c:v>9.4700000000000006</c:v>
                </c:pt>
                <c:pt idx="126">
                  <c:v>9.4600000000000009</c:v>
                </c:pt>
                <c:pt idx="127">
                  <c:v>9.42</c:v>
                </c:pt>
                <c:pt idx="128">
                  <c:v>9.3800000000000008</c:v>
                </c:pt>
                <c:pt idx="129">
                  <c:v>9.3800000000000008</c:v>
                </c:pt>
                <c:pt idx="130">
                  <c:v>9.3800000000000008</c:v>
                </c:pt>
                <c:pt idx="131">
                  <c:v>9.3800000000000008</c:v>
                </c:pt>
                <c:pt idx="132">
                  <c:v>9.33</c:v>
                </c:pt>
                <c:pt idx="133">
                  <c:v>9.33</c:v>
                </c:pt>
                <c:pt idx="134">
                  <c:v>9.31</c:v>
                </c:pt>
                <c:pt idx="135">
                  <c:v>9.25</c:v>
                </c:pt>
                <c:pt idx="136">
                  <c:v>9.25</c:v>
                </c:pt>
                <c:pt idx="137">
                  <c:v>9.25</c:v>
                </c:pt>
                <c:pt idx="138">
                  <c:v>9.25</c:v>
                </c:pt>
                <c:pt idx="139">
                  <c:v>9.19</c:v>
                </c:pt>
                <c:pt idx="140">
                  <c:v>9.19</c:v>
                </c:pt>
                <c:pt idx="141">
                  <c:v>9.19</c:v>
                </c:pt>
                <c:pt idx="142">
                  <c:v>9.17</c:v>
                </c:pt>
                <c:pt idx="143">
                  <c:v>9.1300000000000008</c:v>
                </c:pt>
                <c:pt idx="144">
                  <c:v>9.06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6.061452513966481</c:v>
                </c:pt>
                <c:pt idx="149">
                  <c:v>8.31</c:v>
                </c:pt>
                <c:pt idx="150">
                  <c:v>8.3070866141732296</c:v>
                </c:pt>
                <c:pt idx="151">
                  <c:v>8.3070866141732296</c:v>
                </c:pt>
                <c:pt idx="152">
                  <c:v>8.3070866141732296</c:v>
                </c:pt>
                <c:pt idx="153">
                  <c:v>8.25</c:v>
                </c:pt>
                <c:pt idx="154">
                  <c:v>8.25</c:v>
                </c:pt>
                <c:pt idx="155">
                  <c:v>5.8379888268156428</c:v>
                </c:pt>
                <c:pt idx="156">
                  <c:v>5.6983240223463696</c:v>
                </c:pt>
                <c:pt idx="157">
                  <c:v>8.0314960629921259</c:v>
                </c:pt>
                <c:pt idx="158">
                  <c:v>8</c:v>
                </c:pt>
                <c:pt idx="159">
                  <c:v>6</c:v>
                </c:pt>
                <c:pt idx="160">
                  <c:v>6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6.3385826771653546</c:v>
                </c:pt>
                <c:pt idx="165">
                  <c:v>6.33</c:v>
                </c:pt>
                <c:pt idx="166">
                  <c:v>6.29</c:v>
                </c:pt>
                <c:pt idx="167">
                  <c:v>6.25</c:v>
                </c:pt>
                <c:pt idx="168">
                  <c:v>6.25</c:v>
                </c:pt>
                <c:pt idx="169">
                  <c:v>6.25</c:v>
                </c:pt>
                <c:pt idx="170">
                  <c:v>9.9519999999999982</c:v>
                </c:pt>
                <c:pt idx="171">
                  <c:v>6.21</c:v>
                </c:pt>
                <c:pt idx="172">
                  <c:v>6.19</c:v>
                </c:pt>
                <c:pt idx="173">
                  <c:v>6.16</c:v>
                </c:pt>
                <c:pt idx="174">
                  <c:v>6.13</c:v>
                </c:pt>
                <c:pt idx="175">
                  <c:v>6.13</c:v>
                </c:pt>
                <c:pt idx="176">
                  <c:v>6.0999999999999988</c:v>
                </c:pt>
                <c:pt idx="177">
                  <c:v>6.09</c:v>
                </c:pt>
                <c:pt idx="178">
                  <c:v>9.695999999999998</c:v>
                </c:pt>
                <c:pt idx="179">
                  <c:v>9.6479999999999997</c:v>
                </c:pt>
                <c:pt idx="180">
                  <c:v>6.03</c:v>
                </c:pt>
                <c:pt idx="181">
                  <c:v>9.5999999999999979</c:v>
                </c:pt>
                <c:pt idx="182">
                  <c:v>9.5999999999999979</c:v>
                </c:pt>
                <c:pt idx="183">
                  <c:v>9.5999999999999979</c:v>
                </c:pt>
                <c:pt idx="184">
                  <c:v>5.9999999999999991</c:v>
                </c:pt>
                <c:pt idx="185">
                  <c:v>9.5039999999999996</c:v>
                </c:pt>
                <c:pt idx="186">
                  <c:v>5.63</c:v>
                </c:pt>
                <c:pt idx="187">
                  <c:v>5.5</c:v>
                </c:pt>
                <c:pt idx="188">
                  <c:v>5.5</c:v>
                </c:pt>
                <c:pt idx="189">
                  <c:v>6</c:v>
                </c:pt>
                <c:pt idx="190">
                  <c:v>6</c:v>
                </c:pt>
                <c:pt idx="191">
                  <c:v>8.3040000000000003</c:v>
                </c:pt>
                <c:pt idx="192">
                  <c:v>8.3040000000000003</c:v>
                </c:pt>
                <c:pt idx="193">
                  <c:v>8.24</c:v>
                </c:pt>
                <c:pt idx="194">
                  <c:v>8.0640000000000001</c:v>
                </c:pt>
                <c:pt idx="195">
                  <c:v>8.048</c:v>
                </c:pt>
                <c:pt idx="196">
                  <c:v>8.0319999999999983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7.056</c:v>
                </c:pt>
                <c:pt idx="206">
                  <c:v>6.7519999999999989</c:v>
                </c:pt>
                <c:pt idx="207">
                  <c:v>6.7039999999999997</c:v>
                </c:pt>
                <c:pt idx="208">
                  <c:v>6.6559999999999997</c:v>
                </c:pt>
                <c:pt idx="209">
                  <c:v>6.6079999999999988</c:v>
                </c:pt>
                <c:pt idx="210">
                  <c:v>6.6079999999999988</c:v>
                </c:pt>
                <c:pt idx="211">
                  <c:v>6.6079999999999988</c:v>
                </c:pt>
                <c:pt idx="212">
                  <c:v>6.5439999999999996</c:v>
                </c:pt>
                <c:pt idx="213">
                  <c:v>6.5439999999999996</c:v>
                </c:pt>
                <c:pt idx="214">
                  <c:v>6.4959999999999987</c:v>
                </c:pt>
                <c:pt idx="215">
                  <c:v>6.4959999999999987</c:v>
                </c:pt>
                <c:pt idx="216">
                  <c:v>6.0960000000000001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</c:numCache>
            </c:numRef>
          </c:xVal>
          <c:yVal>
            <c:numRef>
              <c:f>'headed (2)'!$DF$218:$DF$456</c:f>
              <c:numCache>
                <c:formatCode>General</c:formatCode>
                <c:ptCount val="225"/>
                <c:pt idx="2">
                  <c:v>0.92942217759542134</c:v>
                </c:pt>
                <c:pt idx="3">
                  <c:v>1.1242757318376362</c:v>
                </c:pt>
                <c:pt idx="5">
                  <c:v>0.81738841739739598</c:v>
                </c:pt>
                <c:pt idx="8">
                  <c:v>0.61109115495116417</c:v>
                </c:pt>
                <c:pt idx="10">
                  <c:v>1.1462553729482183</c:v>
                </c:pt>
                <c:pt idx="11">
                  <c:v>1.2741789583907734</c:v>
                </c:pt>
                <c:pt idx="14">
                  <c:v>1.1894014660168526</c:v>
                </c:pt>
                <c:pt idx="16">
                  <c:v>0.72823307370272738</c:v>
                </c:pt>
                <c:pt idx="17">
                  <c:v>0.83703352176496904</c:v>
                </c:pt>
                <c:pt idx="22">
                  <c:v>1.2494913437411292</c:v>
                </c:pt>
                <c:pt idx="23">
                  <c:v>1.1926541092551828</c:v>
                </c:pt>
                <c:pt idx="24">
                  <c:v>1.15289897228001</c:v>
                </c:pt>
                <c:pt idx="26">
                  <c:v>1.4915728202248597</c:v>
                </c:pt>
                <c:pt idx="27">
                  <c:v>1.0645811088058519</c:v>
                </c:pt>
                <c:pt idx="29">
                  <c:v>1.4565711461993656</c:v>
                </c:pt>
                <c:pt idx="30">
                  <c:v>1.3567777131762069</c:v>
                </c:pt>
                <c:pt idx="31">
                  <c:v>1.0611106737887328</c:v>
                </c:pt>
                <c:pt idx="34">
                  <c:v>1.3749910064068995</c:v>
                </c:pt>
                <c:pt idx="35">
                  <c:v>1.487260947268513</c:v>
                </c:pt>
                <c:pt idx="36">
                  <c:v>1.2305684841268119</c:v>
                </c:pt>
                <c:pt idx="37">
                  <c:v>1.4145986516145845</c:v>
                </c:pt>
                <c:pt idx="39">
                  <c:v>1.3479209893794599</c:v>
                </c:pt>
                <c:pt idx="41">
                  <c:v>1.2726513426267121</c:v>
                </c:pt>
                <c:pt idx="45">
                  <c:v>1.2147441524469329</c:v>
                </c:pt>
                <c:pt idx="48">
                  <c:v>0.89354564303152395</c:v>
                </c:pt>
                <c:pt idx="49">
                  <c:v>0.85398182075671547</c:v>
                </c:pt>
                <c:pt idx="51">
                  <c:v>0.80994045632785505</c:v>
                </c:pt>
                <c:pt idx="53">
                  <c:v>0.9500605438440255</c:v>
                </c:pt>
                <c:pt idx="55">
                  <c:v>1.5317584810057567</c:v>
                </c:pt>
                <c:pt idx="57">
                  <c:v>0.76825652258018351</c:v>
                </c:pt>
                <c:pt idx="59">
                  <c:v>1.1169384460611274</c:v>
                </c:pt>
                <c:pt idx="64">
                  <c:v>0.93266016758314585</c:v>
                </c:pt>
                <c:pt idx="65">
                  <c:v>1.3838937040210169</c:v>
                </c:pt>
                <c:pt idx="67">
                  <c:v>2.0310855779776316</c:v>
                </c:pt>
                <c:pt idx="68">
                  <c:v>1.2471485696372469</c:v>
                </c:pt>
                <c:pt idx="69">
                  <c:v>1.4623838231453203</c:v>
                </c:pt>
                <c:pt idx="70">
                  <c:v>1.0565427698472931</c:v>
                </c:pt>
                <c:pt idx="71">
                  <c:v>1.3945799441927671</c:v>
                </c:pt>
                <c:pt idx="72">
                  <c:v>1.6382270596938808</c:v>
                </c:pt>
                <c:pt idx="73">
                  <c:v>1.9673389851519778</c:v>
                </c:pt>
                <c:pt idx="75">
                  <c:v>1.2044626549109341</c:v>
                </c:pt>
                <c:pt idx="76">
                  <c:v>1.5621311103571764</c:v>
                </c:pt>
                <c:pt idx="77">
                  <c:v>1.2451103850199845</c:v>
                </c:pt>
                <c:pt idx="80">
                  <c:v>1.7846087148297018</c:v>
                </c:pt>
                <c:pt idx="82">
                  <c:v>1.2064345058631663</c:v>
                </c:pt>
                <c:pt idx="83">
                  <c:v>1.5393668987809279</c:v>
                </c:pt>
                <c:pt idx="84">
                  <c:v>1.4542450707802723</c:v>
                </c:pt>
                <c:pt idx="85">
                  <c:v>1.6111289830132571</c:v>
                </c:pt>
                <c:pt idx="97">
                  <c:v>1.0136353606109705</c:v>
                </c:pt>
                <c:pt idx="98">
                  <c:v>1.0553000677007287</c:v>
                </c:pt>
                <c:pt idx="99">
                  <c:v>1.1800386873366524</c:v>
                </c:pt>
                <c:pt idx="102">
                  <c:v>0.8312726172672158</c:v>
                </c:pt>
                <c:pt idx="103">
                  <c:v>0.74693440629475993</c:v>
                </c:pt>
                <c:pt idx="104">
                  <c:v>0.86489129505352247</c:v>
                </c:pt>
                <c:pt idx="107">
                  <c:v>0.8275761961520568</c:v>
                </c:pt>
                <c:pt idx="109">
                  <c:v>1.0809846369960703</c:v>
                </c:pt>
                <c:pt idx="110">
                  <c:v>1.378337467570502</c:v>
                </c:pt>
                <c:pt idx="111">
                  <c:v>1.213946649650911</c:v>
                </c:pt>
                <c:pt idx="119">
                  <c:v>0.92589724491094383</c:v>
                </c:pt>
                <c:pt idx="120">
                  <c:v>1.2089329841498877</c:v>
                </c:pt>
                <c:pt idx="121">
                  <c:v>1.1607663213543273</c:v>
                </c:pt>
                <c:pt idx="124">
                  <c:v>1.1832182811484149</c:v>
                </c:pt>
                <c:pt idx="125">
                  <c:v>0.87280886698648519</c:v>
                </c:pt>
                <c:pt idx="126">
                  <c:v>1.0334238077499565</c:v>
                </c:pt>
                <c:pt idx="129">
                  <c:v>1.0824061436066807</c:v>
                </c:pt>
                <c:pt idx="131">
                  <c:v>1.1020916631669231</c:v>
                </c:pt>
                <c:pt idx="133">
                  <c:v>0.98508375291617878</c:v>
                </c:pt>
                <c:pt idx="135">
                  <c:v>0.94993877984601438</c:v>
                </c:pt>
                <c:pt idx="138">
                  <c:v>1.0879292646151721</c:v>
                </c:pt>
                <c:pt idx="141">
                  <c:v>1.066177573233374</c:v>
                </c:pt>
                <c:pt idx="145">
                  <c:v>1.0960517053259571</c:v>
                </c:pt>
                <c:pt idx="146">
                  <c:v>1.2123746121170023</c:v>
                </c:pt>
                <c:pt idx="147">
                  <c:v>1.325810070867135</c:v>
                </c:pt>
                <c:pt idx="150">
                  <c:v>1.08971818573285</c:v>
                </c:pt>
                <c:pt idx="151">
                  <c:v>1.3834883569132823</c:v>
                </c:pt>
                <c:pt idx="152">
                  <c:v>1.1613686665831682</c:v>
                </c:pt>
                <c:pt idx="153">
                  <c:v>1.3470976313599901</c:v>
                </c:pt>
                <c:pt idx="155">
                  <c:v>2.137444489225357</c:v>
                </c:pt>
                <c:pt idx="156">
                  <c:v>1.2783623766584251</c:v>
                </c:pt>
                <c:pt idx="157">
                  <c:v>1.4376383901517891</c:v>
                </c:pt>
                <c:pt idx="159">
                  <c:v>2.4772512849863699</c:v>
                </c:pt>
                <c:pt idx="160">
                  <c:v>2.5032182795879043</c:v>
                </c:pt>
                <c:pt idx="165">
                  <c:v>0.88086947875987576</c:v>
                </c:pt>
                <c:pt idx="167">
                  <c:v>0.86015700533062411</c:v>
                </c:pt>
                <c:pt idx="170">
                  <c:v>1.3120228562170784</c:v>
                </c:pt>
                <c:pt idx="171">
                  <c:v>0.82933543612103122</c:v>
                </c:pt>
                <c:pt idx="172">
                  <c:v>0.89669723004929791</c:v>
                </c:pt>
                <c:pt idx="174">
                  <c:v>0.98770988832965423</c:v>
                </c:pt>
                <c:pt idx="175">
                  <c:v>0.91676427599558874</c:v>
                </c:pt>
                <c:pt idx="177">
                  <c:v>0.8536087311591446</c:v>
                </c:pt>
                <c:pt idx="179">
                  <c:v>1.368231571250613</c:v>
                </c:pt>
                <c:pt idx="181">
                  <c:v>1.2598222395057197</c:v>
                </c:pt>
                <c:pt idx="183">
                  <c:v>1.2969655123763921</c:v>
                </c:pt>
                <c:pt idx="189">
                  <c:v>2.1117680338689433</c:v>
                </c:pt>
                <c:pt idx="190">
                  <c:v>2.1161072832536054</c:v>
                </c:pt>
                <c:pt idx="191">
                  <c:v>1.3066748939789545</c:v>
                </c:pt>
                <c:pt idx="194">
                  <c:v>1.2473828124201516</c:v>
                </c:pt>
                <c:pt idx="197">
                  <c:v>3.6717330366569469</c:v>
                </c:pt>
                <c:pt idx="198">
                  <c:v>3.6561528398960266</c:v>
                </c:pt>
                <c:pt idx="199">
                  <c:v>3.7678109166826239</c:v>
                </c:pt>
                <c:pt idx="200">
                  <c:v>3.7444406215412429</c:v>
                </c:pt>
                <c:pt idx="203">
                  <c:v>3.0992592497031439</c:v>
                </c:pt>
                <c:pt idx="204">
                  <c:v>3.2779756589925952</c:v>
                </c:pt>
                <c:pt idx="205">
                  <c:v>1.4691556370667194</c:v>
                </c:pt>
                <c:pt idx="209">
                  <c:v>1.419112376432075</c:v>
                </c:pt>
                <c:pt idx="214">
                  <c:v>1.3853708991438167</c:v>
                </c:pt>
                <c:pt idx="215">
                  <c:v>1.3010744184441332</c:v>
                </c:pt>
                <c:pt idx="217">
                  <c:v>2.9072970877236819</c:v>
                </c:pt>
                <c:pt idx="218">
                  <c:v>3.0309656951865547</c:v>
                </c:pt>
                <c:pt idx="219">
                  <c:v>3.1459558038801037</c:v>
                </c:pt>
                <c:pt idx="220">
                  <c:v>3.0895455618794947</c:v>
                </c:pt>
                <c:pt idx="223">
                  <c:v>3.203833724920901</c:v>
                </c:pt>
                <c:pt idx="224">
                  <c:v>3.1622500423555562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3-44D6-9B1A-8E905E61380F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(2)'!$O$218:$O$456</c:f>
              <c:numCache>
                <c:formatCode>General</c:formatCode>
                <c:ptCount val="225"/>
                <c:pt idx="0">
                  <c:v>7</c:v>
                </c:pt>
                <c:pt idx="1">
                  <c:v>7</c:v>
                </c:pt>
                <c:pt idx="2">
                  <c:v>15.749999999999998</c:v>
                </c:pt>
                <c:pt idx="3">
                  <c:v>15.28</c:v>
                </c:pt>
                <c:pt idx="4">
                  <c:v>10.581560283687944</c:v>
                </c:pt>
                <c:pt idx="5">
                  <c:v>10.43262411347518</c:v>
                </c:pt>
                <c:pt idx="6">
                  <c:v>10.418439716312058</c:v>
                </c:pt>
                <c:pt idx="7">
                  <c:v>10.418439716312058</c:v>
                </c:pt>
                <c:pt idx="8">
                  <c:v>10.375886524822697</c:v>
                </c:pt>
                <c:pt idx="9">
                  <c:v>10.375886524822697</c:v>
                </c:pt>
                <c:pt idx="10">
                  <c:v>14.58</c:v>
                </c:pt>
                <c:pt idx="11">
                  <c:v>14.58</c:v>
                </c:pt>
                <c:pt idx="12">
                  <c:v>10.312056737588653</c:v>
                </c:pt>
                <c:pt idx="13">
                  <c:v>10.312056737588653</c:v>
                </c:pt>
                <c:pt idx="14">
                  <c:v>14.54</c:v>
                </c:pt>
                <c:pt idx="15">
                  <c:v>14.54</c:v>
                </c:pt>
                <c:pt idx="16">
                  <c:v>10.283687943262413</c:v>
                </c:pt>
                <c:pt idx="17">
                  <c:v>10.283687943262413</c:v>
                </c:pt>
                <c:pt idx="18">
                  <c:v>14.499999999999998</c:v>
                </c:pt>
                <c:pt idx="19">
                  <c:v>14.499999999999998</c:v>
                </c:pt>
                <c:pt idx="20">
                  <c:v>14.42</c:v>
                </c:pt>
                <c:pt idx="21">
                  <c:v>14.42</c:v>
                </c:pt>
                <c:pt idx="22">
                  <c:v>14.38</c:v>
                </c:pt>
                <c:pt idx="23">
                  <c:v>14.38</c:v>
                </c:pt>
                <c:pt idx="24">
                  <c:v>14.38</c:v>
                </c:pt>
                <c:pt idx="25">
                  <c:v>14.38</c:v>
                </c:pt>
                <c:pt idx="26">
                  <c:v>14.35</c:v>
                </c:pt>
                <c:pt idx="27">
                  <c:v>14.299999999999999</c:v>
                </c:pt>
                <c:pt idx="28">
                  <c:v>14.27</c:v>
                </c:pt>
                <c:pt idx="29">
                  <c:v>14.25</c:v>
                </c:pt>
                <c:pt idx="30">
                  <c:v>14.25</c:v>
                </c:pt>
                <c:pt idx="31">
                  <c:v>14.13</c:v>
                </c:pt>
                <c:pt idx="32">
                  <c:v>14.09</c:v>
                </c:pt>
                <c:pt idx="33">
                  <c:v>14.080000000000002</c:v>
                </c:pt>
                <c:pt idx="34">
                  <c:v>14.059999999999999</c:v>
                </c:pt>
                <c:pt idx="35">
                  <c:v>9.9441340782122918</c:v>
                </c:pt>
                <c:pt idx="36">
                  <c:v>12.66</c:v>
                </c:pt>
                <c:pt idx="37">
                  <c:v>12.590000000000002</c:v>
                </c:pt>
                <c:pt idx="38">
                  <c:v>8.9078014184397176</c:v>
                </c:pt>
                <c:pt idx="39">
                  <c:v>12.56</c:v>
                </c:pt>
                <c:pt idx="40">
                  <c:v>8.8652482269503565</c:v>
                </c:pt>
                <c:pt idx="41">
                  <c:v>12.5</c:v>
                </c:pt>
                <c:pt idx="42">
                  <c:v>12.439999999999998</c:v>
                </c:pt>
                <c:pt idx="43">
                  <c:v>12.38</c:v>
                </c:pt>
                <c:pt idx="44">
                  <c:v>12.31</c:v>
                </c:pt>
                <c:pt idx="45">
                  <c:v>12.21</c:v>
                </c:pt>
                <c:pt idx="46">
                  <c:v>12.19</c:v>
                </c:pt>
                <c:pt idx="47">
                  <c:v>12.17</c:v>
                </c:pt>
                <c:pt idx="48">
                  <c:v>12.17</c:v>
                </c:pt>
                <c:pt idx="49">
                  <c:v>8.6028368794326244</c:v>
                </c:pt>
                <c:pt idx="50">
                  <c:v>12.129999999999999</c:v>
                </c:pt>
                <c:pt idx="51">
                  <c:v>8.6028368794326244</c:v>
                </c:pt>
                <c:pt idx="52">
                  <c:v>8.5744680851063837</c:v>
                </c:pt>
                <c:pt idx="53">
                  <c:v>12.06</c:v>
                </c:pt>
                <c:pt idx="54">
                  <c:v>12.06</c:v>
                </c:pt>
                <c:pt idx="55">
                  <c:v>12.04</c:v>
                </c:pt>
                <c:pt idx="56">
                  <c:v>12.03</c:v>
                </c:pt>
                <c:pt idx="57">
                  <c:v>8.5106382978723403</c:v>
                </c:pt>
                <c:pt idx="58">
                  <c:v>8.5106382978723403</c:v>
                </c:pt>
                <c:pt idx="59">
                  <c:v>11.999999999999998</c:v>
                </c:pt>
                <c:pt idx="60">
                  <c:v>11.999999999999998</c:v>
                </c:pt>
                <c:pt idx="61">
                  <c:v>11.97</c:v>
                </c:pt>
                <c:pt idx="62">
                  <c:v>11.95</c:v>
                </c:pt>
                <c:pt idx="63">
                  <c:v>11.9</c:v>
                </c:pt>
                <c:pt idx="64">
                  <c:v>11.88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11.299212598425198</c:v>
                </c:pt>
                <c:pt idx="69">
                  <c:v>11.299212598425198</c:v>
                </c:pt>
                <c:pt idx="70">
                  <c:v>11.25</c:v>
                </c:pt>
                <c:pt idx="71">
                  <c:v>7.9608938547486039</c:v>
                </c:pt>
                <c:pt idx="72">
                  <c:v>7.9608938547486039</c:v>
                </c:pt>
                <c:pt idx="73">
                  <c:v>7.9608938547486039</c:v>
                </c:pt>
                <c:pt idx="74">
                  <c:v>11.13</c:v>
                </c:pt>
                <c:pt idx="75">
                  <c:v>11.06</c:v>
                </c:pt>
                <c:pt idx="76">
                  <c:v>7.8212290502793298</c:v>
                </c:pt>
                <c:pt idx="77">
                  <c:v>7.8212290502793298</c:v>
                </c:pt>
                <c:pt idx="78">
                  <c:v>7.8212290502793298</c:v>
                </c:pt>
                <c:pt idx="79">
                  <c:v>7.8212290502793298</c:v>
                </c:pt>
                <c:pt idx="80">
                  <c:v>7.8212290502793298</c:v>
                </c:pt>
                <c:pt idx="81">
                  <c:v>10.94</c:v>
                </c:pt>
                <c:pt idx="82">
                  <c:v>10.83</c:v>
                </c:pt>
                <c:pt idx="83">
                  <c:v>10.58</c:v>
                </c:pt>
                <c:pt idx="84">
                  <c:v>10.5</c:v>
                </c:pt>
                <c:pt idx="85">
                  <c:v>10.35</c:v>
                </c:pt>
                <c:pt idx="86">
                  <c:v>10.33</c:v>
                </c:pt>
                <c:pt idx="87">
                  <c:v>10.33</c:v>
                </c:pt>
                <c:pt idx="88">
                  <c:v>10.29</c:v>
                </c:pt>
                <c:pt idx="89">
                  <c:v>10.25</c:v>
                </c:pt>
                <c:pt idx="90">
                  <c:v>10.130000000000001</c:v>
                </c:pt>
                <c:pt idx="91">
                  <c:v>10.1</c:v>
                </c:pt>
                <c:pt idx="92">
                  <c:v>10.08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9.94</c:v>
                </c:pt>
                <c:pt idx="97">
                  <c:v>9.92</c:v>
                </c:pt>
                <c:pt idx="98">
                  <c:v>9.92</c:v>
                </c:pt>
                <c:pt idx="99">
                  <c:v>9.9</c:v>
                </c:pt>
                <c:pt idx="100">
                  <c:v>9.8800000000000008</c:v>
                </c:pt>
                <c:pt idx="101">
                  <c:v>9.8800000000000008</c:v>
                </c:pt>
                <c:pt idx="102">
                  <c:v>9.8800000000000008</c:v>
                </c:pt>
                <c:pt idx="103">
                  <c:v>9.8800000000000008</c:v>
                </c:pt>
                <c:pt idx="104">
                  <c:v>9.81</c:v>
                </c:pt>
                <c:pt idx="105">
                  <c:v>9.7899999999999991</c:v>
                </c:pt>
                <c:pt idx="106">
                  <c:v>9.77</c:v>
                </c:pt>
                <c:pt idx="107">
                  <c:v>9.75</c:v>
                </c:pt>
                <c:pt idx="108">
                  <c:v>9.75</c:v>
                </c:pt>
                <c:pt idx="109">
                  <c:v>9.69</c:v>
                </c:pt>
                <c:pt idx="110">
                  <c:v>9.69</c:v>
                </c:pt>
                <c:pt idx="111">
                  <c:v>9.69</c:v>
                </c:pt>
                <c:pt idx="112">
                  <c:v>9.66</c:v>
                </c:pt>
                <c:pt idx="113">
                  <c:v>9.6300000000000008</c:v>
                </c:pt>
                <c:pt idx="114">
                  <c:v>9.6</c:v>
                </c:pt>
                <c:pt idx="115">
                  <c:v>9.58</c:v>
                </c:pt>
                <c:pt idx="116">
                  <c:v>9.58</c:v>
                </c:pt>
                <c:pt idx="117">
                  <c:v>9.56</c:v>
                </c:pt>
                <c:pt idx="118">
                  <c:v>9.56</c:v>
                </c:pt>
                <c:pt idx="119">
                  <c:v>9.5</c:v>
                </c:pt>
                <c:pt idx="120">
                  <c:v>9.5</c:v>
                </c:pt>
                <c:pt idx="121">
                  <c:v>9.5</c:v>
                </c:pt>
                <c:pt idx="122">
                  <c:v>9.5</c:v>
                </c:pt>
                <c:pt idx="123">
                  <c:v>9.5</c:v>
                </c:pt>
                <c:pt idx="124">
                  <c:v>9.5</c:v>
                </c:pt>
                <c:pt idx="125">
                  <c:v>9.4700000000000006</c:v>
                </c:pt>
                <c:pt idx="126">
                  <c:v>9.4600000000000009</c:v>
                </c:pt>
                <c:pt idx="127">
                  <c:v>9.42</c:v>
                </c:pt>
                <c:pt idx="128">
                  <c:v>9.3800000000000008</c:v>
                </c:pt>
                <c:pt idx="129">
                  <c:v>9.3800000000000008</c:v>
                </c:pt>
                <c:pt idx="130">
                  <c:v>9.3800000000000008</c:v>
                </c:pt>
                <c:pt idx="131">
                  <c:v>9.3800000000000008</c:v>
                </c:pt>
                <c:pt idx="132">
                  <c:v>9.33</c:v>
                </c:pt>
                <c:pt idx="133">
                  <c:v>9.33</c:v>
                </c:pt>
                <c:pt idx="134">
                  <c:v>9.31</c:v>
                </c:pt>
                <c:pt idx="135">
                  <c:v>9.25</c:v>
                </c:pt>
                <c:pt idx="136">
                  <c:v>9.25</c:v>
                </c:pt>
                <c:pt idx="137">
                  <c:v>9.25</c:v>
                </c:pt>
                <c:pt idx="138">
                  <c:v>9.25</c:v>
                </c:pt>
                <c:pt idx="139">
                  <c:v>9.19</c:v>
                </c:pt>
                <c:pt idx="140">
                  <c:v>9.19</c:v>
                </c:pt>
                <c:pt idx="141">
                  <c:v>9.19</c:v>
                </c:pt>
                <c:pt idx="142">
                  <c:v>9.17</c:v>
                </c:pt>
                <c:pt idx="143">
                  <c:v>9.1300000000000008</c:v>
                </c:pt>
                <c:pt idx="144">
                  <c:v>9.06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6.061452513966481</c:v>
                </c:pt>
                <c:pt idx="149">
                  <c:v>8.31</c:v>
                </c:pt>
                <c:pt idx="150">
                  <c:v>8.3070866141732296</c:v>
                </c:pt>
                <c:pt idx="151">
                  <c:v>8.3070866141732296</c:v>
                </c:pt>
                <c:pt idx="152">
                  <c:v>8.3070866141732296</c:v>
                </c:pt>
                <c:pt idx="153">
                  <c:v>8.25</c:v>
                </c:pt>
                <c:pt idx="154">
                  <c:v>8.25</c:v>
                </c:pt>
                <c:pt idx="155">
                  <c:v>5.8379888268156428</c:v>
                </c:pt>
                <c:pt idx="156">
                  <c:v>5.6983240223463696</c:v>
                </c:pt>
                <c:pt idx="157">
                  <c:v>8.0314960629921259</c:v>
                </c:pt>
                <c:pt idx="158">
                  <c:v>8</c:v>
                </c:pt>
                <c:pt idx="159">
                  <c:v>6</c:v>
                </c:pt>
                <c:pt idx="160">
                  <c:v>6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6.3385826771653546</c:v>
                </c:pt>
                <c:pt idx="165">
                  <c:v>6.33</c:v>
                </c:pt>
                <c:pt idx="166">
                  <c:v>6.29</c:v>
                </c:pt>
                <c:pt idx="167">
                  <c:v>6.25</c:v>
                </c:pt>
                <c:pt idx="168">
                  <c:v>6.25</c:v>
                </c:pt>
                <c:pt idx="169">
                  <c:v>6.25</c:v>
                </c:pt>
                <c:pt idx="170">
                  <c:v>9.9519999999999982</c:v>
                </c:pt>
                <c:pt idx="171">
                  <c:v>6.21</c:v>
                </c:pt>
                <c:pt idx="172">
                  <c:v>6.19</c:v>
                </c:pt>
                <c:pt idx="173">
                  <c:v>6.16</c:v>
                </c:pt>
                <c:pt idx="174">
                  <c:v>6.13</c:v>
                </c:pt>
                <c:pt idx="175">
                  <c:v>6.13</c:v>
                </c:pt>
                <c:pt idx="176">
                  <c:v>6.0999999999999988</c:v>
                </c:pt>
                <c:pt idx="177">
                  <c:v>6.09</c:v>
                </c:pt>
                <c:pt idx="178">
                  <c:v>9.695999999999998</c:v>
                </c:pt>
                <c:pt idx="179">
                  <c:v>9.6479999999999997</c:v>
                </c:pt>
                <c:pt idx="180">
                  <c:v>6.03</c:v>
                </c:pt>
                <c:pt idx="181">
                  <c:v>9.5999999999999979</c:v>
                </c:pt>
                <c:pt idx="182">
                  <c:v>9.5999999999999979</c:v>
                </c:pt>
                <c:pt idx="183">
                  <c:v>9.5999999999999979</c:v>
                </c:pt>
                <c:pt idx="184">
                  <c:v>5.9999999999999991</c:v>
                </c:pt>
                <c:pt idx="185">
                  <c:v>9.5039999999999996</c:v>
                </c:pt>
                <c:pt idx="186">
                  <c:v>5.63</c:v>
                </c:pt>
                <c:pt idx="187">
                  <c:v>5.5</c:v>
                </c:pt>
                <c:pt idx="188">
                  <c:v>5.5</c:v>
                </c:pt>
                <c:pt idx="189">
                  <c:v>6</c:v>
                </c:pt>
                <c:pt idx="190">
                  <c:v>6</c:v>
                </c:pt>
                <c:pt idx="191">
                  <c:v>8.3040000000000003</c:v>
                </c:pt>
                <c:pt idx="192">
                  <c:v>8.3040000000000003</c:v>
                </c:pt>
                <c:pt idx="193">
                  <c:v>8.24</c:v>
                </c:pt>
                <c:pt idx="194">
                  <c:v>8.0640000000000001</c:v>
                </c:pt>
                <c:pt idx="195">
                  <c:v>8.048</c:v>
                </c:pt>
                <c:pt idx="196">
                  <c:v>8.0319999999999983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7.056</c:v>
                </c:pt>
                <c:pt idx="206">
                  <c:v>6.7519999999999989</c:v>
                </c:pt>
                <c:pt idx="207">
                  <c:v>6.7039999999999997</c:v>
                </c:pt>
                <c:pt idx="208">
                  <c:v>6.6559999999999997</c:v>
                </c:pt>
                <c:pt idx="209">
                  <c:v>6.6079999999999988</c:v>
                </c:pt>
                <c:pt idx="210">
                  <c:v>6.6079999999999988</c:v>
                </c:pt>
                <c:pt idx="211">
                  <c:v>6.6079999999999988</c:v>
                </c:pt>
                <c:pt idx="212">
                  <c:v>6.5439999999999996</c:v>
                </c:pt>
                <c:pt idx="213">
                  <c:v>6.5439999999999996</c:v>
                </c:pt>
                <c:pt idx="214">
                  <c:v>6.4959999999999987</c:v>
                </c:pt>
                <c:pt idx="215">
                  <c:v>6.4959999999999987</c:v>
                </c:pt>
                <c:pt idx="216">
                  <c:v>6.0960000000000001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</c:numCache>
            </c:numRef>
          </c:xVal>
          <c:yVal>
            <c:numRef>
              <c:f>'headed (2)'!$DL$218:$DL$456</c:f>
              <c:numCache>
                <c:formatCode>General</c:formatCode>
                <c:ptCount val="225"/>
                <c:pt idx="0">
                  <c:v>1.5788211461636792</c:v>
                </c:pt>
                <c:pt idx="1">
                  <c:v>1.5788211461636792</c:v>
                </c:pt>
                <c:pt idx="4">
                  <c:v>0.8346761269586771</c:v>
                </c:pt>
                <c:pt idx="6">
                  <c:v>0.71086754061834379</c:v>
                </c:pt>
                <c:pt idx="7">
                  <c:v>1.102942521630832</c:v>
                </c:pt>
                <c:pt idx="9">
                  <c:v>0.99472144636362514</c:v>
                </c:pt>
                <c:pt idx="12">
                  <c:v>0.8900725411588033</c:v>
                </c:pt>
                <c:pt idx="13">
                  <c:v>0.7718247303008392</c:v>
                </c:pt>
                <c:pt idx="15">
                  <c:v>1.2104901444923288</c:v>
                </c:pt>
                <c:pt idx="18">
                  <c:v>1.5219922977142373</c:v>
                </c:pt>
                <c:pt idx="19">
                  <c:v>1.4168183015224551</c:v>
                </c:pt>
                <c:pt idx="20">
                  <c:v>1.2431637729407938</c:v>
                </c:pt>
                <c:pt idx="21">
                  <c:v>1.2857433234217517</c:v>
                </c:pt>
                <c:pt idx="25">
                  <c:v>1.3111850107642649</c:v>
                </c:pt>
                <c:pt idx="28">
                  <c:v>1.3838059891279431</c:v>
                </c:pt>
                <c:pt idx="32">
                  <c:v>1.3404573544493805</c:v>
                </c:pt>
                <c:pt idx="33">
                  <c:v>1.7850791723869082</c:v>
                </c:pt>
                <c:pt idx="38">
                  <c:v>0.87804597345881741</c:v>
                </c:pt>
                <c:pt idx="40">
                  <c:v>0.92343789210776062</c:v>
                </c:pt>
                <c:pt idx="42">
                  <c:v>1.400091193706031</c:v>
                </c:pt>
                <c:pt idx="43">
                  <c:v>1.1200335813374223</c:v>
                </c:pt>
                <c:pt idx="44">
                  <c:v>1.3648258889866054</c:v>
                </c:pt>
                <c:pt idx="46">
                  <c:v>1.3452828172806048</c:v>
                </c:pt>
                <c:pt idx="47">
                  <c:v>1.2530999155051654</c:v>
                </c:pt>
                <c:pt idx="50">
                  <c:v>1.6074371142265871</c:v>
                </c:pt>
                <c:pt idx="52">
                  <c:v>0.90287337363807318</c:v>
                </c:pt>
                <c:pt idx="54">
                  <c:v>1.2442613749021638</c:v>
                </c:pt>
                <c:pt idx="56">
                  <c:v>1.2738805592629094</c:v>
                </c:pt>
                <c:pt idx="58">
                  <c:v>1.0055163450729336</c:v>
                </c:pt>
                <c:pt idx="60">
                  <c:v>1.279120760819896</c:v>
                </c:pt>
                <c:pt idx="61">
                  <c:v>1.2028972243265701</c:v>
                </c:pt>
                <c:pt idx="62">
                  <c:v>1.7624587508377958</c:v>
                </c:pt>
                <c:pt idx="63">
                  <c:v>1.5863282977600779</c:v>
                </c:pt>
                <c:pt idx="66">
                  <c:v>1.4372631142025567</c:v>
                </c:pt>
                <c:pt idx="74">
                  <c:v>1.4018980369375771</c:v>
                </c:pt>
                <c:pt idx="78">
                  <c:v>1.468755792642539</c:v>
                </c:pt>
                <c:pt idx="79">
                  <c:v>1.5581202263866585</c:v>
                </c:pt>
                <c:pt idx="81">
                  <c:v>1.4646074726472567</c:v>
                </c:pt>
                <c:pt idx="86">
                  <c:v>1.0875170850034528</c:v>
                </c:pt>
                <c:pt idx="87">
                  <c:v>1.3339172849165912</c:v>
                </c:pt>
                <c:pt idx="88">
                  <c:v>1.1703923382083732</c:v>
                </c:pt>
                <c:pt idx="89">
                  <c:v>1.4016929584772584</c:v>
                </c:pt>
                <c:pt idx="90">
                  <c:v>1.0515170046860745</c:v>
                </c:pt>
                <c:pt idx="91">
                  <c:v>1.1226686234334839</c:v>
                </c:pt>
                <c:pt idx="92">
                  <c:v>1.7132857924449365</c:v>
                </c:pt>
                <c:pt idx="93">
                  <c:v>1.130169014844719</c:v>
                </c:pt>
                <c:pt idx="94">
                  <c:v>1.5227273061218662</c:v>
                </c:pt>
                <c:pt idx="95">
                  <c:v>1.500601767058964</c:v>
                </c:pt>
                <c:pt idx="96">
                  <c:v>1.1445892636173558</c:v>
                </c:pt>
                <c:pt idx="100">
                  <c:v>1.3171284334108457</c:v>
                </c:pt>
                <c:pt idx="101">
                  <c:v>1.4674396207834461</c:v>
                </c:pt>
                <c:pt idx="105">
                  <c:v>1.4064662597202062</c:v>
                </c:pt>
                <c:pt idx="106">
                  <c:v>1.5537534775920558</c:v>
                </c:pt>
                <c:pt idx="108">
                  <c:v>0.71186072951306811</c:v>
                </c:pt>
                <c:pt idx="112">
                  <c:v>1.1117656600092876</c:v>
                </c:pt>
                <c:pt idx="113">
                  <c:v>1.0296890870286513</c:v>
                </c:pt>
                <c:pt idx="114">
                  <c:v>1.225964360942069</c:v>
                </c:pt>
                <c:pt idx="115">
                  <c:v>1.1355499502132003</c:v>
                </c:pt>
                <c:pt idx="116">
                  <c:v>1.0909464990682394</c:v>
                </c:pt>
                <c:pt idx="117">
                  <c:v>1.3025245533720942</c:v>
                </c:pt>
                <c:pt idx="118">
                  <c:v>1.2673808375373148</c:v>
                </c:pt>
                <c:pt idx="122">
                  <c:v>1.5517610994655895</c:v>
                </c:pt>
                <c:pt idx="123">
                  <c:v>1.1890280478040305</c:v>
                </c:pt>
                <c:pt idx="127">
                  <c:v>1.1302150740598296</c:v>
                </c:pt>
                <c:pt idx="128">
                  <c:v>1.2226871085348725</c:v>
                </c:pt>
                <c:pt idx="130">
                  <c:v>1.1326402982209955</c:v>
                </c:pt>
                <c:pt idx="132">
                  <c:v>1.3530591037272715</c:v>
                </c:pt>
                <c:pt idx="134">
                  <c:v>1.2121832107334114</c:v>
                </c:pt>
                <c:pt idx="136">
                  <c:v>1.3940506960947452</c:v>
                </c:pt>
                <c:pt idx="137">
                  <c:v>1.4604454373528053</c:v>
                </c:pt>
                <c:pt idx="139">
                  <c:v>1.099511672686895</c:v>
                </c:pt>
                <c:pt idx="140">
                  <c:v>1.5549193028146699</c:v>
                </c:pt>
                <c:pt idx="142">
                  <c:v>1.676977781714432</c:v>
                </c:pt>
                <c:pt idx="143">
                  <c:v>1.085175517695939</c:v>
                </c:pt>
                <c:pt idx="144">
                  <c:v>1.327132930109501</c:v>
                </c:pt>
                <c:pt idx="149">
                  <c:v>1.4158899377768372</c:v>
                </c:pt>
                <c:pt idx="154">
                  <c:v>1.4480266495732195</c:v>
                </c:pt>
                <c:pt idx="158">
                  <c:v>1.2980121403329294</c:v>
                </c:pt>
                <c:pt idx="161">
                  <c:v>1.1496958567038023</c:v>
                </c:pt>
                <c:pt idx="162">
                  <c:v>1.0155616105585565</c:v>
                </c:pt>
                <c:pt idx="163">
                  <c:v>1.3712468718361366</c:v>
                </c:pt>
                <c:pt idx="166">
                  <c:v>1.2490921086446241</c:v>
                </c:pt>
                <c:pt idx="168">
                  <c:v>1.3735243604164213</c:v>
                </c:pt>
                <c:pt idx="169">
                  <c:v>1.3047954564429862</c:v>
                </c:pt>
                <c:pt idx="173">
                  <c:v>1.405758816311484</c:v>
                </c:pt>
                <c:pt idx="176">
                  <c:v>1.2211878714437694</c:v>
                </c:pt>
                <c:pt idx="178">
                  <c:v>1.5380009760396056</c:v>
                </c:pt>
                <c:pt idx="180">
                  <c:v>1.1875804167963844</c:v>
                </c:pt>
                <c:pt idx="182">
                  <c:v>1.3540876305298664</c:v>
                </c:pt>
                <c:pt idx="184">
                  <c:v>1.2840983524179472</c:v>
                </c:pt>
                <c:pt idx="185">
                  <c:v>1.6741983885487828</c:v>
                </c:pt>
                <c:pt idx="186">
                  <c:v>1.9886149364652124</c:v>
                </c:pt>
                <c:pt idx="187">
                  <c:v>1.7490612046742806</c:v>
                </c:pt>
                <c:pt idx="188">
                  <c:v>1.7084818805310933</c:v>
                </c:pt>
                <c:pt idx="192">
                  <c:v>2.2308393728048879</c:v>
                </c:pt>
                <c:pt idx="193">
                  <c:v>1.418561096358864</c:v>
                </c:pt>
                <c:pt idx="195">
                  <c:v>1.4956819971499853</c:v>
                </c:pt>
                <c:pt idx="196">
                  <c:v>1.6217447857525504</c:v>
                </c:pt>
                <c:pt idx="201">
                  <c:v>3.0790396611328834</c:v>
                </c:pt>
                <c:pt idx="202">
                  <c:v>3.0726604353156195</c:v>
                </c:pt>
                <c:pt idx="206">
                  <c:v>1.5953360225510751</c:v>
                </c:pt>
                <c:pt idx="207">
                  <c:v>1.799506429845696</c:v>
                </c:pt>
                <c:pt idx="208">
                  <c:v>1.356754559997581</c:v>
                </c:pt>
                <c:pt idx="210">
                  <c:v>1.3703241283774616</c:v>
                </c:pt>
                <c:pt idx="211">
                  <c:v>1.6885510586641708</c:v>
                </c:pt>
                <c:pt idx="212">
                  <c:v>1.5042537753350267</c:v>
                </c:pt>
                <c:pt idx="213">
                  <c:v>1.5358700933690845</c:v>
                </c:pt>
                <c:pt idx="216">
                  <c:v>1.1002142240916057</c:v>
                </c:pt>
                <c:pt idx="221">
                  <c:v>2.7149668974723982</c:v>
                </c:pt>
                <c:pt idx="222">
                  <c:v>2.7074357826389104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3-44D6-9B1A-8E905E61380F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4-D753-44D6-9B1A-8E905E61380F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(2)'!$O$193:$O$217</c:f>
              <c:numCache>
                <c:formatCode>General</c:formatCode>
                <c:ptCount val="25"/>
                <c:pt idx="0">
                  <c:v>8.3595113438045381</c:v>
                </c:pt>
                <c:pt idx="1">
                  <c:v>12.368794326241137</c:v>
                </c:pt>
                <c:pt idx="2">
                  <c:v>12.234042553191491</c:v>
                </c:pt>
                <c:pt idx="3">
                  <c:v>12.148936170212767</c:v>
                </c:pt>
                <c:pt idx="4">
                  <c:v>12.067039106145252</c:v>
                </c:pt>
                <c:pt idx="5">
                  <c:v>12.056737588652483</c:v>
                </c:pt>
                <c:pt idx="6">
                  <c:v>12.014184397163124</c:v>
                </c:pt>
                <c:pt idx="7">
                  <c:v>12.014184397163124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12.000000000000004</c:v>
                </c:pt>
                <c:pt idx="15">
                  <c:v>12.000000000000004</c:v>
                </c:pt>
                <c:pt idx="16">
                  <c:v>11.921985815602838</c:v>
                </c:pt>
                <c:pt idx="17">
                  <c:v>11.921985815602838</c:v>
                </c:pt>
                <c:pt idx="18">
                  <c:v>11.879432624113477</c:v>
                </c:pt>
                <c:pt idx="19">
                  <c:v>11.858156028368795</c:v>
                </c:pt>
                <c:pt idx="20">
                  <c:v>11.744680851063832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</c:numCache>
            </c:numRef>
          </c:xVal>
          <c:yVal>
            <c:numRef>
              <c:f>'headed (2)'!$DF$193:$DF$217</c:f>
              <c:numCache>
                <c:formatCode>General</c:formatCode>
                <c:ptCount val="25"/>
                <c:pt idx="2">
                  <c:v>1.1377445264616732</c:v>
                </c:pt>
                <c:pt idx="3">
                  <c:v>1.2488912988332597</c:v>
                </c:pt>
                <c:pt idx="4">
                  <c:v>1.5091778057773073</c:v>
                </c:pt>
                <c:pt idx="6">
                  <c:v>1.3338607110128451</c:v>
                </c:pt>
                <c:pt idx="8">
                  <c:v>1.6096593536070971</c:v>
                </c:pt>
                <c:pt idx="9">
                  <c:v>1.6096593536070971</c:v>
                </c:pt>
                <c:pt idx="10">
                  <c:v>1.3258623595815355</c:v>
                </c:pt>
                <c:pt idx="11">
                  <c:v>1.3258623595815355</c:v>
                </c:pt>
                <c:pt idx="14">
                  <c:v>1.0526254652208762</c:v>
                </c:pt>
                <c:pt idx="15">
                  <c:v>1.0135027696838101</c:v>
                </c:pt>
                <c:pt idx="20">
                  <c:v>0.95053003455679075</c:v>
                </c:pt>
                <c:pt idx="21">
                  <c:v>1.9447556217215154</c:v>
                </c:pt>
                <c:pt idx="22">
                  <c:v>1.9447556217215154</c:v>
                </c:pt>
                <c:pt idx="23">
                  <c:v>1.8117952467104248</c:v>
                </c:pt>
                <c:pt idx="24">
                  <c:v>1.8117952467104248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753-44D6-9B1A-8E905E61380F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(2)'!$O$193:$O$217</c:f>
              <c:numCache>
                <c:formatCode>General</c:formatCode>
                <c:ptCount val="25"/>
                <c:pt idx="0">
                  <c:v>8.3595113438045381</c:v>
                </c:pt>
                <c:pt idx="1">
                  <c:v>12.368794326241137</c:v>
                </c:pt>
                <c:pt idx="2">
                  <c:v>12.234042553191491</c:v>
                </c:pt>
                <c:pt idx="3">
                  <c:v>12.148936170212767</c:v>
                </c:pt>
                <c:pt idx="4">
                  <c:v>12.067039106145252</c:v>
                </c:pt>
                <c:pt idx="5">
                  <c:v>12.056737588652483</c:v>
                </c:pt>
                <c:pt idx="6">
                  <c:v>12.014184397163124</c:v>
                </c:pt>
                <c:pt idx="7">
                  <c:v>12.014184397163124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12.000000000000004</c:v>
                </c:pt>
                <c:pt idx="15">
                  <c:v>12.000000000000004</c:v>
                </c:pt>
                <c:pt idx="16">
                  <c:v>11.921985815602838</c:v>
                </c:pt>
                <c:pt idx="17">
                  <c:v>11.921985815602838</c:v>
                </c:pt>
                <c:pt idx="18">
                  <c:v>11.879432624113477</c:v>
                </c:pt>
                <c:pt idx="19">
                  <c:v>11.858156028368795</c:v>
                </c:pt>
                <c:pt idx="20">
                  <c:v>11.744680851063832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</c:numCache>
            </c:numRef>
          </c:xVal>
          <c:yVal>
            <c:numRef>
              <c:f>'headed (2)'!$DL$193:$DL$217</c:f>
              <c:numCache>
                <c:formatCode>General</c:formatCode>
                <c:ptCount val="25"/>
                <c:pt idx="1">
                  <c:v>0.96797883882138447</c:v>
                </c:pt>
                <c:pt idx="5">
                  <c:v>1.1608850073852048</c:v>
                </c:pt>
                <c:pt idx="7">
                  <c:v>1.1621411039397247</c:v>
                </c:pt>
                <c:pt idx="12">
                  <c:v>1.1653373728318932</c:v>
                </c:pt>
                <c:pt idx="13">
                  <c:v>1.1653373728318932</c:v>
                </c:pt>
                <c:pt idx="16">
                  <c:v>1.3330135927123574</c:v>
                </c:pt>
                <c:pt idx="17">
                  <c:v>1.3088116847320996</c:v>
                </c:pt>
                <c:pt idx="18">
                  <c:v>1.3841922978836163</c:v>
                </c:pt>
                <c:pt idx="19">
                  <c:v>0.9673044426554136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53-44D6-9B1A-8E905E61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00800"/>
        <c:axId val="132715264"/>
      </c:scatterChart>
      <c:valAx>
        <c:axId val="132700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15264"/>
        <c:crosses val="autoZero"/>
        <c:crossBetween val="midCat"/>
      </c:valAx>
      <c:valAx>
        <c:axId val="13271526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00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(2)'!$O$166:$O$192</c:f>
              <c:numCache>
                <c:formatCode>General</c:formatCode>
                <c:ptCount val="23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13.921985815602838</c:v>
                </c:pt>
                <c:pt idx="16">
                  <c:v>13.829787234042554</c:v>
                </c:pt>
                <c:pt idx="17">
                  <c:v>13.787234042553195</c:v>
                </c:pt>
                <c:pt idx="18">
                  <c:v>13.744680851063832</c:v>
                </c:pt>
                <c:pt idx="19">
                  <c:v>13.744680851063832</c:v>
                </c:pt>
                <c:pt idx="20">
                  <c:v>13.680851063829788</c:v>
                </c:pt>
                <c:pt idx="21">
                  <c:v>13.652482269503549</c:v>
                </c:pt>
                <c:pt idx="22">
                  <c:v>13.567375886524824</c:v>
                </c:pt>
              </c:numCache>
            </c:numRef>
          </c:xVal>
          <c:yVal>
            <c:numRef>
              <c:f>'headed (2)'!$DG$166:$DG$192</c:f>
              <c:numCache>
                <c:formatCode>General</c:formatCode>
                <c:ptCount val="23"/>
                <c:pt idx="3">
                  <c:v>1.794720670111744</c:v>
                </c:pt>
                <c:pt idx="4">
                  <c:v>1.5380197612821445</c:v>
                </c:pt>
                <c:pt idx="5">
                  <c:v>1.4210468912230823</c:v>
                </c:pt>
                <c:pt idx="8">
                  <c:v>1.5700011264151312</c:v>
                </c:pt>
                <c:pt idx="10">
                  <c:v>1.5911627720568966</c:v>
                </c:pt>
                <c:pt idx="11">
                  <c:v>1.5424576588157013</c:v>
                </c:pt>
                <c:pt idx="12">
                  <c:v>1.5409103389183063</c:v>
                </c:pt>
                <c:pt idx="16">
                  <c:v>1.618747126999279</c:v>
                </c:pt>
                <c:pt idx="17">
                  <c:v>1.7616301001435395</c:v>
                </c:pt>
                <c:pt idx="18">
                  <c:v>1.8607883579121227</c:v>
                </c:pt>
                <c:pt idx="20">
                  <c:v>1.6528810129954532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AB-465D-BEC5-BA78728B0A9F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(2)'!$O$166:$O$192</c:f>
              <c:numCache>
                <c:formatCode>General</c:formatCode>
                <c:ptCount val="23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13.921985815602838</c:v>
                </c:pt>
                <c:pt idx="16">
                  <c:v>13.829787234042554</c:v>
                </c:pt>
                <c:pt idx="17">
                  <c:v>13.787234042553195</c:v>
                </c:pt>
                <c:pt idx="18">
                  <c:v>13.744680851063832</c:v>
                </c:pt>
                <c:pt idx="19">
                  <c:v>13.744680851063832</c:v>
                </c:pt>
                <c:pt idx="20">
                  <c:v>13.680851063829788</c:v>
                </c:pt>
                <c:pt idx="21">
                  <c:v>13.652482269503549</c:v>
                </c:pt>
                <c:pt idx="22">
                  <c:v>13.567375886524824</c:v>
                </c:pt>
              </c:numCache>
            </c:numRef>
          </c:xVal>
          <c:yVal>
            <c:numRef>
              <c:f>'headed (2)'!$DM$166:$DM$192</c:f>
              <c:numCache>
                <c:formatCode>General</c:formatCode>
                <c:ptCount val="23"/>
                <c:pt idx="0">
                  <c:v>2.0897350040707581</c:v>
                </c:pt>
                <c:pt idx="1">
                  <c:v>1.9310412434474262</c:v>
                </c:pt>
                <c:pt idx="2">
                  <c:v>2.096867205449839</c:v>
                </c:pt>
                <c:pt idx="6">
                  <c:v>1.1019664488447403</c:v>
                </c:pt>
                <c:pt idx="7">
                  <c:v>1.3886226253286234</c:v>
                </c:pt>
                <c:pt idx="9">
                  <c:v>1.9957036604518148</c:v>
                </c:pt>
                <c:pt idx="13">
                  <c:v>1.491198292511049</c:v>
                </c:pt>
                <c:pt idx="14">
                  <c:v>1.7548839458286425</c:v>
                </c:pt>
                <c:pt idx="15">
                  <c:v>2.019483679818086</c:v>
                </c:pt>
                <c:pt idx="19">
                  <c:v>1.8239555927677222</c:v>
                </c:pt>
                <c:pt idx="21">
                  <c:v>1.8554105991258989</c:v>
                </c:pt>
                <c:pt idx="22">
                  <c:v>2.0047597914593944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AB-465D-BEC5-BA78728B0A9F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(2)'!$O$218:$O$456</c:f>
              <c:numCache>
                <c:formatCode>General</c:formatCode>
                <c:ptCount val="225"/>
                <c:pt idx="0">
                  <c:v>7</c:v>
                </c:pt>
                <c:pt idx="1">
                  <c:v>7</c:v>
                </c:pt>
                <c:pt idx="2">
                  <c:v>15.749999999999998</c:v>
                </c:pt>
                <c:pt idx="3">
                  <c:v>15.28</c:v>
                </c:pt>
                <c:pt idx="4">
                  <c:v>10.581560283687944</c:v>
                </c:pt>
                <c:pt idx="5">
                  <c:v>10.43262411347518</c:v>
                </c:pt>
                <c:pt idx="6">
                  <c:v>10.418439716312058</c:v>
                </c:pt>
                <c:pt idx="7">
                  <c:v>10.418439716312058</c:v>
                </c:pt>
                <c:pt idx="8">
                  <c:v>10.375886524822697</c:v>
                </c:pt>
                <c:pt idx="9">
                  <c:v>10.375886524822697</c:v>
                </c:pt>
                <c:pt idx="10">
                  <c:v>14.58</c:v>
                </c:pt>
                <c:pt idx="11">
                  <c:v>14.58</c:v>
                </c:pt>
                <c:pt idx="12">
                  <c:v>10.312056737588653</c:v>
                </c:pt>
                <c:pt idx="13">
                  <c:v>10.312056737588653</c:v>
                </c:pt>
                <c:pt idx="14">
                  <c:v>14.54</c:v>
                </c:pt>
                <c:pt idx="15">
                  <c:v>14.54</c:v>
                </c:pt>
                <c:pt idx="16">
                  <c:v>10.283687943262413</c:v>
                </c:pt>
                <c:pt idx="17">
                  <c:v>10.283687943262413</c:v>
                </c:pt>
                <c:pt idx="18">
                  <c:v>14.499999999999998</c:v>
                </c:pt>
                <c:pt idx="19">
                  <c:v>14.499999999999998</c:v>
                </c:pt>
                <c:pt idx="20">
                  <c:v>14.42</c:v>
                </c:pt>
                <c:pt idx="21">
                  <c:v>14.42</c:v>
                </c:pt>
                <c:pt idx="22">
                  <c:v>14.38</c:v>
                </c:pt>
                <c:pt idx="23">
                  <c:v>14.38</c:v>
                </c:pt>
                <c:pt idx="24">
                  <c:v>14.38</c:v>
                </c:pt>
                <c:pt idx="25">
                  <c:v>14.38</c:v>
                </c:pt>
                <c:pt idx="26">
                  <c:v>14.35</c:v>
                </c:pt>
                <c:pt idx="27">
                  <c:v>14.299999999999999</c:v>
                </c:pt>
                <c:pt idx="28">
                  <c:v>14.27</c:v>
                </c:pt>
                <c:pt idx="29">
                  <c:v>14.25</c:v>
                </c:pt>
                <c:pt idx="30">
                  <c:v>14.25</c:v>
                </c:pt>
                <c:pt idx="31">
                  <c:v>14.13</c:v>
                </c:pt>
                <c:pt idx="32">
                  <c:v>14.09</c:v>
                </c:pt>
                <c:pt idx="33">
                  <c:v>14.080000000000002</c:v>
                </c:pt>
                <c:pt idx="34">
                  <c:v>14.059999999999999</c:v>
                </c:pt>
                <c:pt idx="35">
                  <c:v>9.9441340782122918</c:v>
                </c:pt>
                <c:pt idx="36">
                  <c:v>12.66</c:v>
                </c:pt>
                <c:pt idx="37">
                  <c:v>12.590000000000002</c:v>
                </c:pt>
                <c:pt idx="38">
                  <c:v>8.9078014184397176</c:v>
                </c:pt>
                <c:pt idx="39">
                  <c:v>12.56</c:v>
                </c:pt>
                <c:pt idx="40">
                  <c:v>8.8652482269503565</c:v>
                </c:pt>
                <c:pt idx="41">
                  <c:v>12.5</c:v>
                </c:pt>
                <c:pt idx="42">
                  <c:v>12.439999999999998</c:v>
                </c:pt>
                <c:pt idx="43">
                  <c:v>12.38</c:v>
                </c:pt>
                <c:pt idx="44">
                  <c:v>12.31</c:v>
                </c:pt>
                <c:pt idx="45">
                  <c:v>12.21</c:v>
                </c:pt>
                <c:pt idx="46">
                  <c:v>12.19</c:v>
                </c:pt>
                <c:pt idx="47">
                  <c:v>12.17</c:v>
                </c:pt>
                <c:pt idx="48">
                  <c:v>12.17</c:v>
                </c:pt>
                <c:pt idx="49">
                  <c:v>8.6028368794326244</c:v>
                </c:pt>
                <c:pt idx="50">
                  <c:v>12.129999999999999</c:v>
                </c:pt>
                <c:pt idx="51">
                  <c:v>8.6028368794326244</c:v>
                </c:pt>
                <c:pt idx="52">
                  <c:v>8.5744680851063837</c:v>
                </c:pt>
                <c:pt idx="53">
                  <c:v>12.06</c:v>
                </c:pt>
                <c:pt idx="54">
                  <c:v>12.06</c:v>
                </c:pt>
                <c:pt idx="55">
                  <c:v>12.04</c:v>
                </c:pt>
                <c:pt idx="56">
                  <c:v>12.03</c:v>
                </c:pt>
                <c:pt idx="57">
                  <c:v>8.5106382978723403</c:v>
                </c:pt>
                <c:pt idx="58">
                  <c:v>8.5106382978723403</c:v>
                </c:pt>
                <c:pt idx="59">
                  <c:v>11.999999999999998</c:v>
                </c:pt>
                <c:pt idx="60">
                  <c:v>11.999999999999998</c:v>
                </c:pt>
                <c:pt idx="61">
                  <c:v>11.97</c:v>
                </c:pt>
                <c:pt idx="62">
                  <c:v>11.95</c:v>
                </c:pt>
                <c:pt idx="63">
                  <c:v>11.9</c:v>
                </c:pt>
                <c:pt idx="64">
                  <c:v>11.88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11.299212598425198</c:v>
                </c:pt>
                <c:pt idx="69">
                  <c:v>11.299212598425198</c:v>
                </c:pt>
                <c:pt idx="70">
                  <c:v>11.25</c:v>
                </c:pt>
                <c:pt idx="71">
                  <c:v>7.9608938547486039</c:v>
                </c:pt>
                <c:pt idx="72">
                  <c:v>7.9608938547486039</c:v>
                </c:pt>
                <c:pt idx="73">
                  <c:v>7.9608938547486039</c:v>
                </c:pt>
                <c:pt idx="74">
                  <c:v>11.13</c:v>
                </c:pt>
                <c:pt idx="75">
                  <c:v>11.06</c:v>
                </c:pt>
                <c:pt idx="76">
                  <c:v>7.8212290502793298</c:v>
                </c:pt>
                <c:pt idx="77">
                  <c:v>7.8212290502793298</c:v>
                </c:pt>
                <c:pt idx="78">
                  <c:v>7.8212290502793298</c:v>
                </c:pt>
                <c:pt idx="79">
                  <c:v>7.8212290502793298</c:v>
                </c:pt>
                <c:pt idx="80">
                  <c:v>7.8212290502793298</c:v>
                </c:pt>
                <c:pt idx="81">
                  <c:v>10.94</c:v>
                </c:pt>
                <c:pt idx="82">
                  <c:v>10.83</c:v>
                </c:pt>
                <c:pt idx="83">
                  <c:v>10.58</c:v>
                </c:pt>
                <c:pt idx="84">
                  <c:v>10.5</c:v>
                </c:pt>
                <c:pt idx="85">
                  <c:v>10.35</c:v>
                </c:pt>
                <c:pt idx="86">
                  <c:v>10.33</c:v>
                </c:pt>
                <c:pt idx="87">
                  <c:v>10.33</c:v>
                </c:pt>
                <c:pt idx="88">
                  <c:v>10.29</c:v>
                </c:pt>
                <c:pt idx="89">
                  <c:v>10.25</c:v>
                </c:pt>
                <c:pt idx="90">
                  <c:v>10.130000000000001</c:v>
                </c:pt>
                <c:pt idx="91">
                  <c:v>10.1</c:v>
                </c:pt>
                <c:pt idx="92">
                  <c:v>10.08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9.94</c:v>
                </c:pt>
                <c:pt idx="97">
                  <c:v>9.92</c:v>
                </c:pt>
                <c:pt idx="98">
                  <c:v>9.92</c:v>
                </c:pt>
                <c:pt idx="99">
                  <c:v>9.9</c:v>
                </c:pt>
                <c:pt idx="100">
                  <c:v>9.8800000000000008</c:v>
                </c:pt>
                <c:pt idx="101">
                  <c:v>9.8800000000000008</c:v>
                </c:pt>
                <c:pt idx="102">
                  <c:v>9.8800000000000008</c:v>
                </c:pt>
                <c:pt idx="103">
                  <c:v>9.8800000000000008</c:v>
                </c:pt>
                <c:pt idx="104">
                  <c:v>9.81</c:v>
                </c:pt>
                <c:pt idx="105">
                  <c:v>9.7899999999999991</c:v>
                </c:pt>
                <c:pt idx="106">
                  <c:v>9.77</c:v>
                </c:pt>
                <c:pt idx="107">
                  <c:v>9.75</c:v>
                </c:pt>
                <c:pt idx="108">
                  <c:v>9.75</c:v>
                </c:pt>
                <c:pt idx="109">
                  <c:v>9.69</c:v>
                </c:pt>
                <c:pt idx="110">
                  <c:v>9.69</c:v>
                </c:pt>
                <c:pt idx="111">
                  <c:v>9.69</c:v>
                </c:pt>
                <c:pt idx="112">
                  <c:v>9.66</c:v>
                </c:pt>
                <c:pt idx="113">
                  <c:v>9.6300000000000008</c:v>
                </c:pt>
                <c:pt idx="114">
                  <c:v>9.6</c:v>
                </c:pt>
                <c:pt idx="115">
                  <c:v>9.58</c:v>
                </c:pt>
                <c:pt idx="116">
                  <c:v>9.58</c:v>
                </c:pt>
                <c:pt idx="117">
                  <c:v>9.56</c:v>
                </c:pt>
                <c:pt idx="118">
                  <c:v>9.56</c:v>
                </c:pt>
                <c:pt idx="119">
                  <c:v>9.5</c:v>
                </c:pt>
                <c:pt idx="120">
                  <c:v>9.5</c:v>
                </c:pt>
                <c:pt idx="121">
                  <c:v>9.5</c:v>
                </c:pt>
                <c:pt idx="122">
                  <c:v>9.5</c:v>
                </c:pt>
                <c:pt idx="123">
                  <c:v>9.5</c:v>
                </c:pt>
                <c:pt idx="124">
                  <c:v>9.5</c:v>
                </c:pt>
                <c:pt idx="125">
                  <c:v>9.4700000000000006</c:v>
                </c:pt>
                <c:pt idx="126">
                  <c:v>9.4600000000000009</c:v>
                </c:pt>
                <c:pt idx="127">
                  <c:v>9.42</c:v>
                </c:pt>
                <c:pt idx="128">
                  <c:v>9.3800000000000008</c:v>
                </c:pt>
                <c:pt idx="129">
                  <c:v>9.3800000000000008</c:v>
                </c:pt>
                <c:pt idx="130">
                  <c:v>9.3800000000000008</c:v>
                </c:pt>
                <c:pt idx="131">
                  <c:v>9.3800000000000008</c:v>
                </c:pt>
                <c:pt idx="132">
                  <c:v>9.33</c:v>
                </c:pt>
                <c:pt idx="133">
                  <c:v>9.33</c:v>
                </c:pt>
                <c:pt idx="134">
                  <c:v>9.31</c:v>
                </c:pt>
                <c:pt idx="135">
                  <c:v>9.25</c:v>
                </c:pt>
                <c:pt idx="136">
                  <c:v>9.25</c:v>
                </c:pt>
                <c:pt idx="137">
                  <c:v>9.25</c:v>
                </c:pt>
                <c:pt idx="138">
                  <c:v>9.25</c:v>
                </c:pt>
                <c:pt idx="139">
                  <c:v>9.19</c:v>
                </c:pt>
                <c:pt idx="140">
                  <c:v>9.19</c:v>
                </c:pt>
                <c:pt idx="141">
                  <c:v>9.19</c:v>
                </c:pt>
                <c:pt idx="142">
                  <c:v>9.17</c:v>
                </c:pt>
                <c:pt idx="143">
                  <c:v>9.1300000000000008</c:v>
                </c:pt>
                <c:pt idx="144">
                  <c:v>9.06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6.061452513966481</c:v>
                </c:pt>
                <c:pt idx="149">
                  <c:v>8.31</c:v>
                </c:pt>
                <c:pt idx="150">
                  <c:v>8.3070866141732296</c:v>
                </c:pt>
                <c:pt idx="151">
                  <c:v>8.3070866141732296</c:v>
                </c:pt>
                <c:pt idx="152">
                  <c:v>8.3070866141732296</c:v>
                </c:pt>
                <c:pt idx="153">
                  <c:v>8.25</c:v>
                </c:pt>
                <c:pt idx="154">
                  <c:v>8.25</c:v>
                </c:pt>
                <c:pt idx="155">
                  <c:v>5.8379888268156428</c:v>
                </c:pt>
                <c:pt idx="156">
                  <c:v>5.6983240223463696</c:v>
                </c:pt>
                <c:pt idx="157">
                  <c:v>8.0314960629921259</c:v>
                </c:pt>
                <c:pt idx="158">
                  <c:v>8</c:v>
                </c:pt>
                <c:pt idx="159">
                  <c:v>6</c:v>
                </c:pt>
                <c:pt idx="160">
                  <c:v>6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6.3385826771653546</c:v>
                </c:pt>
                <c:pt idx="165">
                  <c:v>6.33</c:v>
                </c:pt>
                <c:pt idx="166">
                  <c:v>6.29</c:v>
                </c:pt>
                <c:pt idx="167">
                  <c:v>6.25</c:v>
                </c:pt>
                <c:pt idx="168">
                  <c:v>6.25</c:v>
                </c:pt>
                <c:pt idx="169">
                  <c:v>6.25</c:v>
                </c:pt>
                <c:pt idx="170">
                  <c:v>9.9519999999999982</c:v>
                </c:pt>
                <c:pt idx="171">
                  <c:v>6.21</c:v>
                </c:pt>
                <c:pt idx="172">
                  <c:v>6.19</c:v>
                </c:pt>
                <c:pt idx="173">
                  <c:v>6.16</c:v>
                </c:pt>
                <c:pt idx="174">
                  <c:v>6.13</c:v>
                </c:pt>
                <c:pt idx="175">
                  <c:v>6.13</c:v>
                </c:pt>
                <c:pt idx="176">
                  <c:v>6.0999999999999988</c:v>
                </c:pt>
                <c:pt idx="177">
                  <c:v>6.09</c:v>
                </c:pt>
                <c:pt idx="178">
                  <c:v>9.695999999999998</c:v>
                </c:pt>
                <c:pt idx="179">
                  <c:v>9.6479999999999997</c:v>
                </c:pt>
                <c:pt idx="180">
                  <c:v>6.03</c:v>
                </c:pt>
                <c:pt idx="181">
                  <c:v>9.5999999999999979</c:v>
                </c:pt>
                <c:pt idx="182">
                  <c:v>9.5999999999999979</c:v>
                </c:pt>
                <c:pt idx="183">
                  <c:v>9.5999999999999979</c:v>
                </c:pt>
                <c:pt idx="184">
                  <c:v>5.9999999999999991</c:v>
                </c:pt>
                <c:pt idx="185">
                  <c:v>9.5039999999999996</c:v>
                </c:pt>
                <c:pt idx="186">
                  <c:v>5.63</c:v>
                </c:pt>
                <c:pt idx="187">
                  <c:v>5.5</c:v>
                </c:pt>
                <c:pt idx="188">
                  <c:v>5.5</c:v>
                </c:pt>
                <c:pt idx="189">
                  <c:v>6</c:v>
                </c:pt>
                <c:pt idx="190">
                  <c:v>6</c:v>
                </c:pt>
                <c:pt idx="191">
                  <c:v>8.3040000000000003</c:v>
                </c:pt>
                <c:pt idx="192">
                  <c:v>8.3040000000000003</c:v>
                </c:pt>
                <c:pt idx="193">
                  <c:v>8.24</c:v>
                </c:pt>
                <c:pt idx="194">
                  <c:v>8.0640000000000001</c:v>
                </c:pt>
                <c:pt idx="195">
                  <c:v>8.048</c:v>
                </c:pt>
                <c:pt idx="196">
                  <c:v>8.0319999999999983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7.056</c:v>
                </c:pt>
                <c:pt idx="206">
                  <c:v>6.7519999999999989</c:v>
                </c:pt>
                <c:pt idx="207">
                  <c:v>6.7039999999999997</c:v>
                </c:pt>
                <c:pt idx="208">
                  <c:v>6.6559999999999997</c:v>
                </c:pt>
                <c:pt idx="209">
                  <c:v>6.6079999999999988</c:v>
                </c:pt>
                <c:pt idx="210">
                  <c:v>6.6079999999999988</c:v>
                </c:pt>
                <c:pt idx="211">
                  <c:v>6.6079999999999988</c:v>
                </c:pt>
                <c:pt idx="212">
                  <c:v>6.5439999999999996</c:v>
                </c:pt>
                <c:pt idx="213">
                  <c:v>6.5439999999999996</c:v>
                </c:pt>
                <c:pt idx="214">
                  <c:v>6.4959999999999987</c:v>
                </c:pt>
                <c:pt idx="215">
                  <c:v>6.4959999999999987</c:v>
                </c:pt>
                <c:pt idx="216">
                  <c:v>6.0960000000000001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</c:numCache>
            </c:numRef>
          </c:xVal>
          <c:yVal>
            <c:numRef>
              <c:f>'headed (2)'!$DG$218:$DG$456</c:f>
              <c:numCache>
                <c:formatCode>General</c:formatCode>
                <c:ptCount val="225"/>
                <c:pt idx="2">
                  <c:v>1.2751919840719188</c:v>
                </c:pt>
                <c:pt idx="3">
                  <c:v>1.3506140519746308</c:v>
                </c:pt>
                <c:pt idx="5">
                  <c:v>1.0732932449490427</c:v>
                </c:pt>
                <c:pt idx="8">
                  <c:v>0.69063533625701745</c:v>
                </c:pt>
                <c:pt idx="10">
                  <c:v>1.4354232666084592</c:v>
                </c:pt>
                <c:pt idx="11">
                  <c:v>1.560884934514343</c:v>
                </c:pt>
                <c:pt idx="14">
                  <c:v>1.5355299544104395</c:v>
                </c:pt>
                <c:pt idx="16">
                  <c:v>0.91594080710970804</c:v>
                </c:pt>
                <c:pt idx="17">
                  <c:v>1.2093370725585242</c:v>
                </c:pt>
                <c:pt idx="22">
                  <c:v>1.6213066041161099</c:v>
                </c:pt>
                <c:pt idx="23">
                  <c:v>1.7503100546994845</c:v>
                </c:pt>
                <c:pt idx="24">
                  <c:v>1.7225622808684895</c:v>
                </c:pt>
                <c:pt idx="26">
                  <c:v>1.678318926344234</c:v>
                </c:pt>
                <c:pt idx="27">
                  <c:v>1.4899632682400843</c:v>
                </c:pt>
                <c:pt idx="29">
                  <c:v>1.6429720783454635</c:v>
                </c:pt>
                <c:pt idx="30">
                  <c:v>1.6028554172537091</c:v>
                </c:pt>
                <c:pt idx="31">
                  <c:v>1.4906266830836274</c:v>
                </c:pt>
                <c:pt idx="34">
                  <c:v>1.5399308845379911</c:v>
                </c:pt>
                <c:pt idx="35">
                  <c:v>1.7137964299552733</c:v>
                </c:pt>
                <c:pt idx="36">
                  <c:v>1.4398870419702952</c:v>
                </c:pt>
                <c:pt idx="37">
                  <c:v>1.5354665759203094</c:v>
                </c:pt>
                <c:pt idx="39">
                  <c:v>1.8303996348577347</c:v>
                </c:pt>
                <c:pt idx="41">
                  <c:v>1.5139899705847897</c:v>
                </c:pt>
                <c:pt idx="45">
                  <c:v>1.3377450555781216</c:v>
                </c:pt>
                <c:pt idx="48">
                  <c:v>1.0680010435748619</c:v>
                </c:pt>
                <c:pt idx="49">
                  <c:v>1.3131143007808823</c:v>
                </c:pt>
                <c:pt idx="51">
                  <c:v>1.085274259902747</c:v>
                </c:pt>
                <c:pt idx="53">
                  <c:v>1.1610070301058955</c:v>
                </c:pt>
                <c:pt idx="55">
                  <c:v>1.4272035302680499</c:v>
                </c:pt>
                <c:pt idx="57">
                  <c:v>1.1056114992723238</c:v>
                </c:pt>
                <c:pt idx="59">
                  <c:v>1.0166221143746004</c:v>
                </c:pt>
                <c:pt idx="64">
                  <c:v>1.1974991561843304</c:v>
                </c:pt>
                <c:pt idx="65">
                  <c:v>0.96129394656467926</c:v>
                </c:pt>
                <c:pt idx="67">
                  <c:v>1.3098915185197448</c:v>
                </c:pt>
                <c:pt idx="68">
                  <c:v>1.0324950798962937</c:v>
                </c:pt>
                <c:pt idx="69">
                  <c:v>1.3582301682762954</c:v>
                </c:pt>
                <c:pt idx="70">
                  <c:v>0.90762534595970545</c:v>
                </c:pt>
                <c:pt idx="71">
                  <c:v>1.1163081599228812</c:v>
                </c:pt>
                <c:pt idx="72">
                  <c:v>1.3187489627900544</c:v>
                </c:pt>
                <c:pt idx="73">
                  <c:v>1.7054171816068107</c:v>
                </c:pt>
                <c:pt idx="75">
                  <c:v>1.051317145691999</c:v>
                </c:pt>
                <c:pt idx="76">
                  <c:v>1.2380919937878554</c:v>
                </c:pt>
                <c:pt idx="77">
                  <c:v>0.98516281921633742</c:v>
                </c:pt>
                <c:pt idx="80">
                  <c:v>1.4957640290850434</c:v>
                </c:pt>
                <c:pt idx="82">
                  <c:v>0.98097068748379734</c:v>
                </c:pt>
                <c:pt idx="83">
                  <c:v>1.0355623876435345</c:v>
                </c:pt>
                <c:pt idx="84">
                  <c:v>0.89800579941581282</c:v>
                </c:pt>
                <c:pt idx="85">
                  <c:v>1.026278911927931</c:v>
                </c:pt>
                <c:pt idx="97">
                  <c:v>0.75738494469674067</c:v>
                </c:pt>
                <c:pt idx="98">
                  <c:v>0.7688185795271586</c:v>
                </c:pt>
                <c:pt idx="99">
                  <c:v>0.73864862864762737</c:v>
                </c:pt>
                <c:pt idx="102">
                  <c:v>0.63658061415316614</c:v>
                </c:pt>
                <c:pt idx="103">
                  <c:v>0.61800778838527559</c:v>
                </c:pt>
                <c:pt idx="104">
                  <c:v>0.67872485494033818</c:v>
                </c:pt>
                <c:pt idx="107">
                  <c:v>0.70367808719437008</c:v>
                </c:pt>
                <c:pt idx="109">
                  <c:v>0.75449639049580097</c:v>
                </c:pt>
                <c:pt idx="110">
                  <c:v>1.0814969925658282</c:v>
                </c:pt>
                <c:pt idx="111">
                  <c:v>0.95168248490077645</c:v>
                </c:pt>
                <c:pt idx="119">
                  <c:v>0.72179535196685451</c:v>
                </c:pt>
                <c:pt idx="120">
                  <c:v>0.94633885858091515</c:v>
                </c:pt>
                <c:pt idx="121">
                  <c:v>0.89214840379637628</c:v>
                </c:pt>
                <c:pt idx="124">
                  <c:v>0.87833333333333341</c:v>
                </c:pt>
                <c:pt idx="125">
                  <c:v>0.62319362436667958</c:v>
                </c:pt>
                <c:pt idx="126">
                  <c:v>0.87917179348650509</c:v>
                </c:pt>
                <c:pt idx="129">
                  <c:v>0.81958454427477145</c:v>
                </c:pt>
                <c:pt idx="131">
                  <c:v>0.9161935541106252</c:v>
                </c:pt>
                <c:pt idx="133">
                  <c:v>0.79497862339968595</c:v>
                </c:pt>
                <c:pt idx="135">
                  <c:v>0.77187994815402661</c:v>
                </c:pt>
                <c:pt idx="138">
                  <c:v>0.89515643202731698</c:v>
                </c:pt>
                <c:pt idx="141">
                  <c:v>0.81066942187607538</c:v>
                </c:pt>
                <c:pt idx="145">
                  <c:v>0.89753775945612424</c:v>
                </c:pt>
                <c:pt idx="146">
                  <c:v>0.95550025830198404</c:v>
                </c:pt>
                <c:pt idx="147">
                  <c:v>1.0643352713979048</c:v>
                </c:pt>
                <c:pt idx="150">
                  <c:v>1.4738851451493513</c:v>
                </c:pt>
                <c:pt idx="151">
                  <c:v>1.7031111416982552</c:v>
                </c:pt>
                <c:pt idx="152">
                  <c:v>1.3453438012059822</c:v>
                </c:pt>
                <c:pt idx="153">
                  <c:v>1.731758202447683</c:v>
                </c:pt>
                <c:pt idx="155">
                  <c:v>2.5258582854795466</c:v>
                </c:pt>
                <c:pt idx="156">
                  <c:v>1.4842785522928055</c:v>
                </c:pt>
                <c:pt idx="157">
                  <c:v>1.8155625474566859</c:v>
                </c:pt>
                <c:pt idx="159">
                  <c:v>2.4380497966331038</c:v>
                </c:pt>
                <c:pt idx="160">
                  <c:v>2.4636058741659457</c:v>
                </c:pt>
                <c:pt idx="165">
                  <c:v>1.0788549020126255</c:v>
                </c:pt>
                <c:pt idx="167">
                  <c:v>1.0842825744116804</c:v>
                </c:pt>
                <c:pt idx="170">
                  <c:v>1.697827799212775</c:v>
                </c:pt>
                <c:pt idx="171">
                  <c:v>1.1036377176784957</c:v>
                </c:pt>
                <c:pt idx="172">
                  <c:v>1.1508423840732456</c:v>
                </c:pt>
                <c:pt idx="174">
                  <c:v>1.2933704868741975</c:v>
                </c:pt>
                <c:pt idx="175">
                  <c:v>1.3045051452426668</c:v>
                </c:pt>
                <c:pt idx="177">
                  <c:v>1.0516411430045192</c:v>
                </c:pt>
                <c:pt idx="179">
                  <c:v>1.4853019156950511</c:v>
                </c:pt>
                <c:pt idx="181">
                  <c:v>1.5052684293177485</c:v>
                </c:pt>
                <c:pt idx="183">
                  <c:v>1.291340863422106</c:v>
                </c:pt>
                <c:pt idx="189">
                  <c:v>1.8878427439141436</c:v>
                </c:pt>
                <c:pt idx="190">
                  <c:v>1.8917218728399947</c:v>
                </c:pt>
                <c:pt idx="191">
                  <c:v>1.4822802361136755</c:v>
                </c:pt>
                <c:pt idx="194">
                  <c:v>1.351934535422801</c:v>
                </c:pt>
                <c:pt idx="197">
                  <c:v>3.4872822367819616</c:v>
                </c:pt>
                <c:pt idx="198">
                  <c:v>3.4724847166824624</c:v>
                </c:pt>
                <c:pt idx="199">
                  <c:v>3.2763843126979917</c:v>
                </c:pt>
                <c:pt idx="200">
                  <c:v>3.2560621494903539</c:v>
                </c:pt>
                <c:pt idx="203">
                  <c:v>2.6242898657708054</c:v>
                </c:pt>
                <c:pt idx="204">
                  <c:v>2.7756175295634287</c:v>
                </c:pt>
                <c:pt idx="205">
                  <c:v>1.8113307185544554</c:v>
                </c:pt>
                <c:pt idx="209">
                  <c:v>1.4571988895401744</c:v>
                </c:pt>
                <c:pt idx="214">
                  <c:v>1.5312635885804775</c:v>
                </c:pt>
                <c:pt idx="215">
                  <c:v>1.1875713646393697</c:v>
                </c:pt>
                <c:pt idx="217">
                  <c:v>2.4281246243137233</c:v>
                </c:pt>
                <c:pt idx="218">
                  <c:v>2.5314105225121426</c:v>
                </c:pt>
                <c:pt idx="219">
                  <c:v>2.426985071922775</c:v>
                </c:pt>
                <c:pt idx="220">
                  <c:v>2.3834667189089873</c:v>
                </c:pt>
                <c:pt idx="223">
                  <c:v>1</c:v>
                </c:pt>
                <c:pt idx="22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AB-465D-BEC5-BA78728B0A9F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(2)'!$O$218:$O$456</c:f>
              <c:numCache>
                <c:formatCode>General</c:formatCode>
                <c:ptCount val="225"/>
                <c:pt idx="0">
                  <c:v>7</c:v>
                </c:pt>
                <c:pt idx="1">
                  <c:v>7</c:v>
                </c:pt>
                <c:pt idx="2">
                  <c:v>15.749999999999998</c:v>
                </c:pt>
                <c:pt idx="3">
                  <c:v>15.28</c:v>
                </c:pt>
                <c:pt idx="4">
                  <c:v>10.581560283687944</c:v>
                </c:pt>
                <c:pt idx="5">
                  <c:v>10.43262411347518</c:v>
                </c:pt>
                <c:pt idx="6">
                  <c:v>10.418439716312058</c:v>
                </c:pt>
                <c:pt idx="7">
                  <c:v>10.418439716312058</c:v>
                </c:pt>
                <c:pt idx="8">
                  <c:v>10.375886524822697</c:v>
                </c:pt>
                <c:pt idx="9">
                  <c:v>10.375886524822697</c:v>
                </c:pt>
                <c:pt idx="10">
                  <c:v>14.58</c:v>
                </c:pt>
                <c:pt idx="11">
                  <c:v>14.58</c:v>
                </c:pt>
                <c:pt idx="12">
                  <c:v>10.312056737588653</c:v>
                </c:pt>
                <c:pt idx="13">
                  <c:v>10.312056737588653</c:v>
                </c:pt>
                <c:pt idx="14">
                  <c:v>14.54</c:v>
                </c:pt>
                <c:pt idx="15">
                  <c:v>14.54</c:v>
                </c:pt>
                <c:pt idx="16">
                  <c:v>10.283687943262413</c:v>
                </c:pt>
                <c:pt idx="17">
                  <c:v>10.283687943262413</c:v>
                </c:pt>
                <c:pt idx="18">
                  <c:v>14.499999999999998</c:v>
                </c:pt>
                <c:pt idx="19">
                  <c:v>14.499999999999998</c:v>
                </c:pt>
                <c:pt idx="20">
                  <c:v>14.42</c:v>
                </c:pt>
                <c:pt idx="21">
                  <c:v>14.42</c:v>
                </c:pt>
                <c:pt idx="22">
                  <c:v>14.38</c:v>
                </c:pt>
                <c:pt idx="23">
                  <c:v>14.38</c:v>
                </c:pt>
                <c:pt idx="24">
                  <c:v>14.38</c:v>
                </c:pt>
                <c:pt idx="25">
                  <c:v>14.38</c:v>
                </c:pt>
                <c:pt idx="26">
                  <c:v>14.35</c:v>
                </c:pt>
                <c:pt idx="27">
                  <c:v>14.299999999999999</c:v>
                </c:pt>
                <c:pt idx="28">
                  <c:v>14.27</c:v>
                </c:pt>
                <c:pt idx="29">
                  <c:v>14.25</c:v>
                </c:pt>
                <c:pt idx="30">
                  <c:v>14.25</c:v>
                </c:pt>
                <c:pt idx="31">
                  <c:v>14.13</c:v>
                </c:pt>
                <c:pt idx="32">
                  <c:v>14.09</c:v>
                </c:pt>
                <c:pt idx="33">
                  <c:v>14.080000000000002</c:v>
                </c:pt>
                <c:pt idx="34">
                  <c:v>14.059999999999999</c:v>
                </c:pt>
                <c:pt idx="35">
                  <c:v>9.9441340782122918</c:v>
                </c:pt>
                <c:pt idx="36">
                  <c:v>12.66</c:v>
                </c:pt>
                <c:pt idx="37">
                  <c:v>12.590000000000002</c:v>
                </c:pt>
                <c:pt idx="38">
                  <c:v>8.9078014184397176</c:v>
                </c:pt>
                <c:pt idx="39">
                  <c:v>12.56</c:v>
                </c:pt>
                <c:pt idx="40">
                  <c:v>8.8652482269503565</c:v>
                </c:pt>
                <c:pt idx="41">
                  <c:v>12.5</c:v>
                </c:pt>
                <c:pt idx="42">
                  <c:v>12.439999999999998</c:v>
                </c:pt>
                <c:pt idx="43">
                  <c:v>12.38</c:v>
                </c:pt>
                <c:pt idx="44">
                  <c:v>12.31</c:v>
                </c:pt>
                <c:pt idx="45">
                  <c:v>12.21</c:v>
                </c:pt>
                <c:pt idx="46">
                  <c:v>12.19</c:v>
                </c:pt>
                <c:pt idx="47">
                  <c:v>12.17</c:v>
                </c:pt>
                <c:pt idx="48">
                  <c:v>12.17</c:v>
                </c:pt>
                <c:pt idx="49">
                  <c:v>8.6028368794326244</c:v>
                </c:pt>
                <c:pt idx="50">
                  <c:v>12.129999999999999</c:v>
                </c:pt>
                <c:pt idx="51">
                  <c:v>8.6028368794326244</c:v>
                </c:pt>
                <c:pt idx="52">
                  <c:v>8.5744680851063837</c:v>
                </c:pt>
                <c:pt idx="53">
                  <c:v>12.06</c:v>
                </c:pt>
                <c:pt idx="54">
                  <c:v>12.06</c:v>
                </c:pt>
                <c:pt idx="55">
                  <c:v>12.04</c:v>
                </c:pt>
                <c:pt idx="56">
                  <c:v>12.03</c:v>
                </c:pt>
                <c:pt idx="57">
                  <c:v>8.5106382978723403</c:v>
                </c:pt>
                <c:pt idx="58">
                  <c:v>8.5106382978723403</c:v>
                </c:pt>
                <c:pt idx="59">
                  <c:v>11.999999999999998</c:v>
                </c:pt>
                <c:pt idx="60">
                  <c:v>11.999999999999998</c:v>
                </c:pt>
                <c:pt idx="61">
                  <c:v>11.97</c:v>
                </c:pt>
                <c:pt idx="62">
                  <c:v>11.95</c:v>
                </c:pt>
                <c:pt idx="63">
                  <c:v>11.9</c:v>
                </c:pt>
                <c:pt idx="64">
                  <c:v>11.88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11.299212598425198</c:v>
                </c:pt>
                <c:pt idx="69">
                  <c:v>11.299212598425198</c:v>
                </c:pt>
                <c:pt idx="70">
                  <c:v>11.25</c:v>
                </c:pt>
                <c:pt idx="71">
                  <c:v>7.9608938547486039</c:v>
                </c:pt>
                <c:pt idx="72">
                  <c:v>7.9608938547486039</c:v>
                </c:pt>
                <c:pt idx="73">
                  <c:v>7.9608938547486039</c:v>
                </c:pt>
                <c:pt idx="74">
                  <c:v>11.13</c:v>
                </c:pt>
                <c:pt idx="75">
                  <c:v>11.06</c:v>
                </c:pt>
                <c:pt idx="76">
                  <c:v>7.8212290502793298</c:v>
                </c:pt>
                <c:pt idx="77">
                  <c:v>7.8212290502793298</c:v>
                </c:pt>
                <c:pt idx="78">
                  <c:v>7.8212290502793298</c:v>
                </c:pt>
                <c:pt idx="79">
                  <c:v>7.8212290502793298</c:v>
                </c:pt>
                <c:pt idx="80">
                  <c:v>7.8212290502793298</c:v>
                </c:pt>
                <c:pt idx="81">
                  <c:v>10.94</c:v>
                </c:pt>
                <c:pt idx="82">
                  <c:v>10.83</c:v>
                </c:pt>
                <c:pt idx="83">
                  <c:v>10.58</c:v>
                </c:pt>
                <c:pt idx="84">
                  <c:v>10.5</c:v>
                </c:pt>
                <c:pt idx="85">
                  <c:v>10.35</c:v>
                </c:pt>
                <c:pt idx="86">
                  <c:v>10.33</c:v>
                </c:pt>
                <c:pt idx="87">
                  <c:v>10.33</c:v>
                </c:pt>
                <c:pt idx="88">
                  <c:v>10.29</c:v>
                </c:pt>
                <c:pt idx="89">
                  <c:v>10.25</c:v>
                </c:pt>
                <c:pt idx="90">
                  <c:v>10.130000000000001</c:v>
                </c:pt>
                <c:pt idx="91">
                  <c:v>10.1</c:v>
                </c:pt>
                <c:pt idx="92">
                  <c:v>10.08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9.94</c:v>
                </c:pt>
                <c:pt idx="97">
                  <c:v>9.92</c:v>
                </c:pt>
                <c:pt idx="98">
                  <c:v>9.92</c:v>
                </c:pt>
                <c:pt idx="99">
                  <c:v>9.9</c:v>
                </c:pt>
                <c:pt idx="100">
                  <c:v>9.8800000000000008</c:v>
                </c:pt>
                <c:pt idx="101">
                  <c:v>9.8800000000000008</c:v>
                </c:pt>
                <c:pt idx="102">
                  <c:v>9.8800000000000008</c:v>
                </c:pt>
                <c:pt idx="103">
                  <c:v>9.8800000000000008</c:v>
                </c:pt>
                <c:pt idx="104">
                  <c:v>9.81</c:v>
                </c:pt>
                <c:pt idx="105">
                  <c:v>9.7899999999999991</c:v>
                </c:pt>
                <c:pt idx="106">
                  <c:v>9.77</c:v>
                </c:pt>
                <c:pt idx="107">
                  <c:v>9.75</c:v>
                </c:pt>
                <c:pt idx="108">
                  <c:v>9.75</c:v>
                </c:pt>
                <c:pt idx="109">
                  <c:v>9.69</c:v>
                </c:pt>
                <c:pt idx="110">
                  <c:v>9.69</c:v>
                </c:pt>
                <c:pt idx="111">
                  <c:v>9.69</c:v>
                </c:pt>
                <c:pt idx="112">
                  <c:v>9.66</c:v>
                </c:pt>
                <c:pt idx="113">
                  <c:v>9.6300000000000008</c:v>
                </c:pt>
                <c:pt idx="114">
                  <c:v>9.6</c:v>
                </c:pt>
                <c:pt idx="115">
                  <c:v>9.58</c:v>
                </c:pt>
                <c:pt idx="116">
                  <c:v>9.58</c:v>
                </c:pt>
                <c:pt idx="117">
                  <c:v>9.56</c:v>
                </c:pt>
                <c:pt idx="118">
                  <c:v>9.56</c:v>
                </c:pt>
                <c:pt idx="119">
                  <c:v>9.5</c:v>
                </c:pt>
                <c:pt idx="120">
                  <c:v>9.5</c:v>
                </c:pt>
                <c:pt idx="121">
                  <c:v>9.5</c:v>
                </c:pt>
                <c:pt idx="122">
                  <c:v>9.5</c:v>
                </c:pt>
                <c:pt idx="123">
                  <c:v>9.5</c:v>
                </c:pt>
                <c:pt idx="124">
                  <c:v>9.5</c:v>
                </c:pt>
                <c:pt idx="125">
                  <c:v>9.4700000000000006</c:v>
                </c:pt>
                <c:pt idx="126">
                  <c:v>9.4600000000000009</c:v>
                </c:pt>
                <c:pt idx="127">
                  <c:v>9.42</c:v>
                </c:pt>
                <c:pt idx="128">
                  <c:v>9.3800000000000008</c:v>
                </c:pt>
                <c:pt idx="129">
                  <c:v>9.3800000000000008</c:v>
                </c:pt>
                <c:pt idx="130">
                  <c:v>9.3800000000000008</c:v>
                </c:pt>
                <c:pt idx="131">
                  <c:v>9.3800000000000008</c:v>
                </c:pt>
                <c:pt idx="132">
                  <c:v>9.33</c:v>
                </c:pt>
                <c:pt idx="133">
                  <c:v>9.33</c:v>
                </c:pt>
                <c:pt idx="134">
                  <c:v>9.31</c:v>
                </c:pt>
                <c:pt idx="135">
                  <c:v>9.25</c:v>
                </c:pt>
                <c:pt idx="136">
                  <c:v>9.25</c:v>
                </c:pt>
                <c:pt idx="137">
                  <c:v>9.25</c:v>
                </c:pt>
                <c:pt idx="138">
                  <c:v>9.25</c:v>
                </c:pt>
                <c:pt idx="139">
                  <c:v>9.19</c:v>
                </c:pt>
                <c:pt idx="140">
                  <c:v>9.19</c:v>
                </c:pt>
                <c:pt idx="141">
                  <c:v>9.19</c:v>
                </c:pt>
                <c:pt idx="142">
                  <c:v>9.17</c:v>
                </c:pt>
                <c:pt idx="143">
                  <c:v>9.1300000000000008</c:v>
                </c:pt>
                <c:pt idx="144">
                  <c:v>9.06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6.061452513966481</c:v>
                </c:pt>
                <c:pt idx="149">
                  <c:v>8.31</c:v>
                </c:pt>
                <c:pt idx="150">
                  <c:v>8.3070866141732296</c:v>
                </c:pt>
                <c:pt idx="151">
                  <c:v>8.3070866141732296</c:v>
                </c:pt>
                <c:pt idx="152">
                  <c:v>8.3070866141732296</c:v>
                </c:pt>
                <c:pt idx="153">
                  <c:v>8.25</c:v>
                </c:pt>
                <c:pt idx="154">
                  <c:v>8.25</c:v>
                </c:pt>
                <c:pt idx="155">
                  <c:v>5.8379888268156428</c:v>
                </c:pt>
                <c:pt idx="156">
                  <c:v>5.6983240223463696</c:v>
                </c:pt>
                <c:pt idx="157">
                  <c:v>8.0314960629921259</c:v>
                </c:pt>
                <c:pt idx="158">
                  <c:v>8</c:v>
                </c:pt>
                <c:pt idx="159">
                  <c:v>6</c:v>
                </c:pt>
                <c:pt idx="160">
                  <c:v>6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6.3385826771653546</c:v>
                </c:pt>
                <c:pt idx="165">
                  <c:v>6.33</c:v>
                </c:pt>
                <c:pt idx="166">
                  <c:v>6.29</c:v>
                </c:pt>
                <c:pt idx="167">
                  <c:v>6.25</c:v>
                </c:pt>
                <c:pt idx="168">
                  <c:v>6.25</c:v>
                </c:pt>
                <c:pt idx="169">
                  <c:v>6.25</c:v>
                </c:pt>
                <c:pt idx="170">
                  <c:v>9.9519999999999982</c:v>
                </c:pt>
                <c:pt idx="171">
                  <c:v>6.21</c:v>
                </c:pt>
                <c:pt idx="172">
                  <c:v>6.19</c:v>
                </c:pt>
                <c:pt idx="173">
                  <c:v>6.16</c:v>
                </c:pt>
                <c:pt idx="174">
                  <c:v>6.13</c:v>
                </c:pt>
                <c:pt idx="175">
                  <c:v>6.13</c:v>
                </c:pt>
                <c:pt idx="176">
                  <c:v>6.0999999999999988</c:v>
                </c:pt>
                <c:pt idx="177">
                  <c:v>6.09</c:v>
                </c:pt>
                <c:pt idx="178">
                  <c:v>9.695999999999998</c:v>
                </c:pt>
                <c:pt idx="179">
                  <c:v>9.6479999999999997</c:v>
                </c:pt>
                <c:pt idx="180">
                  <c:v>6.03</c:v>
                </c:pt>
                <c:pt idx="181">
                  <c:v>9.5999999999999979</c:v>
                </c:pt>
                <c:pt idx="182">
                  <c:v>9.5999999999999979</c:v>
                </c:pt>
                <c:pt idx="183">
                  <c:v>9.5999999999999979</c:v>
                </c:pt>
                <c:pt idx="184">
                  <c:v>5.9999999999999991</c:v>
                </c:pt>
                <c:pt idx="185">
                  <c:v>9.5039999999999996</c:v>
                </c:pt>
                <c:pt idx="186">
                  <c:v>5.63</c:v>
                </c:pt>
                <c:pt idx="187">
                  <c:v>5.5</c:v>
                </c:pt>
                <c:pt idx="188">
                  <c:v>5.5</c:v>
                </c:pt>
                <c:pt idx="189">
                  <c:v>6</c:v>
                </c:pt>
                <c:pt idx="190">
                  <c:v>6</c:v>
                </c:pt>
                <c:pt idx="191">
                  <c:v>8.3040000000000003</c:v>
                </c:pt>
                <c:pt idx="192">
                  <c:v>8.3040000000000003</c:v>
                </c:pt>
                <c:pt idx="193">
                  <c:v>8.24</c:v>
                </c:pt>
                <c:pt idx="194">
                  <c:v>8.0640000000000001</c:v>
                </c:pt>
                <c:pt idx="195">
                  <c:v>8.048</c:v>
                </c:pt>
                <c:pt idx="196">
                  <c:v>8.0319999999999983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7.056</c:v>
                </c:pt>
                <c:pt idx="206">
                  <c:v>6.7519999999999989</c:v>
                </c:pt>
                <c:pt idx="207">
                  <c:v>6.7039999999999997</c:v>
                </c:pt>
                <c:pt idx="208">
                  <c:v>6.6559999999999997</c:v>
                </c:pt>
                <c:pt idx="209">
                  <c:v>6.6079999999999988</c:v>
                </c:pt>
                <c:pt idx="210">
                  <c:v>6.6079999999999988</c:v>
                </c:pt>
                <c:pt idx="211">
                  <c:v>6.6079999999999988</c:v>
                </c:pt>
                <c:pt idx="212">
                  <c:v>6.5439999999999996</c:v>
                </c:pt>
                <c:pt idx="213">
                  <c:v>6.5439999999999996</c:v>
                </c:pt>
                <c:pt idx="214">
                  <c:v>6.4959999999999987</c:v>
                </c:pt>
                <c:pt idx="215">
                  <c:v>6.4959999999999987</c:v>
                </c:pt>
                <c:pt idx="216">
                  <c:v>6.0960000000000001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</c:numCache>
            </c:numRef>
          </c:xVal>
          <c:yVal>
            <c:numRef>
              <c:f>'headed (2)'!$DM$218:$DM$456</c:f>
              <c:numCache>
                <c:formatCode>General</c:formatCode>
                <c:ptCount val="225"/>
                <c:pt idx="0">
                  <c:v>2.502367304628951</c:v>
                </c:pt>
                <c:pt idx="1">
                  <c:v>2.502367304628951</c:v>
                </c:pt>
                <c:pt idx="4">
                  <c:v>1.0116192816151657</c:v>
                </c:pt>
                <c:pt idx="6">
                  <c:v>1.0185169608474394</c:v>
                </c:pt>
                <c:pt idx="7">
                  <c:v>1.2411149415901028</c:v>
                </c:pt>
                <c:pt idx="9">
                  <c:v>1.627708019089664</c:v>
                </c:pt>
                <c:pt idx="12">
                  <c:v>1.2523599085817319</c:v>
                </c:pt>
                <c:pt idx="13">
                  <c:v>0.97005999442265467</c:v>
                </c:pt>
                <c:pt idx="15">
                  <c:v>1.5872436499070057</c:v>
                </c:pt>
                <c:pt idx="18">
                  <c:v>1.7312915853777464</c:v>
                </c:pt>
                <c:pt idx="19">
                  <c:v>2.0143868559808893</c:v>
                </c:pt>
                <c:pt idx="20">
                  <c:v>1.6049667825079759</c:v>
                </c:pt>
                <c:pt idx="21">
                  <c:v>1.8564322726263891</c:v>
                </c:pt>
                <c:pt idx="25">
                  <c:v>2.0436666783234134</c:v>
                </c:pt>
                <c:pt idx="28">
                  <c:v>2.0084145966035742</c:v>
                </c:pt>
                <c:pt idx="32">
                  <c:v>2.1389892476287438</c:v>
                </c:pt>
                <c:pt idx="33">
                  <c:v>1.8151122257280927</c:v>
                </c:pt>
                <c:pt idx="38">
                  <c:v>1.4696900496732774</c:v>
                </c:pt>
                <c:pt idx="40">
                  <c:v>1.3974642339462553</c:v>
                </c:pt>
                <c:pt idx="42">
                  <c:v>2.0746404680628681</c:v>
                </c:pt>
                <c:pt idx="43">
                  <c:v>1.6765075296519178</c:v>
                </c:pt>
                <c:pt idx="44">
                  <c:v>1.623611685263433</c:v>
                </c:pt>
                <c:pt idx="46">
                  <c:v>1.7265845077744686</c:v>
                </c:pt>
                <c:pt idx="47">
                  <c:v>1.2826380649004223</c:v>
                </c:pt>
                <c:pt idx="50">
                  <c:v>1.6414242600002831</c:v>
                </c:pt>
                <c:pt idx="52">
                  <c:v>1.4397576090914905</c:v>
                </c:pt>
                <c:pt idx="54">
                  <c:v>1.5779241384977041</c:v>
                </c:pt>
                <c:pt idx="56">
                  <c:v>1.0669685458984943</c:v>
                </c:pt>
                <c:pt idx="58">
                  <c:v>1.3401047785481524</c:v>
                </c:pt>
                <c:pt idx="60">
                  <c:v>1.4934888450846682</c:v>
                </c:pt>
                <c:pt idx="61">
                  <c:v>1.4545506164396904</c:v>
                </c:pt>
                <c:pt idx="62">
                  <c:v>1.5671872526272181</c:v>
                </c:pt>
                <c:pt idx="63">
                  <c:v>1.7214912231681421</c:v>
                </c:pt>
                <c:pt idx="66">
                  <c:v>1.2785719938235214</c:v>
                </c:pt>
                <c:pt idx="74">
                  <c:v>0.99617785069192466</c:v>
                </c:pt>
                <c:pt idx="78">
                  <c:v>1.4559039363893846</c:v>
                </c:pt>
                <c:pt idx="79">
                  <c:v>1.5899976895949632</c:v>
                </c:pt>
                <c:pt idx="81">
                  <c:v>1.0210557999824699</c:v>
                </c:pt>
                <c:pt idx="86">
                  <c:v>0.97531366488201143</c:v>
                </c:pt>
                <c:pt idx="87">
                  <c:v>1.2076437156812905</c:v>
                </c:pt>
                <c:pt idx="88">
                  <c:v>1.0909962422431996</c:v>
                </c:pt>
                <c:pt idx="89">
                  <c:v>0.95166687424883689</c:v>
                </c:pt>
                <c:pt idx="90">
                  <c:v>0.9393306132040562</c:v>
                </c:pt>
                <c:pt idx="91">
                  <c:v>0.95884996399514588</c:v>
                </c:pt>
                <c:pt idx="92">
                  <c:v>1.2275313013278444</c:v>
                </c:pt>
                <c:pt idx="93">
                  <c:v>0.85631332847185648</c:v>
                </c:pt>
                <c:pt idx="94">
                  <c:v>1.0122595831277816</c:v>
                </c:pt>
                <c:pt idx="95">
                  <c:v>1.0555684263285166</c:v>
                </c:pt>
                <c:pt idx="96">
                  <c:v>1.0237310466798923</c:v>
                </c:pt>
                <c:pt idx="100">
                  <c:v>0.88210240843168164</c:v>
                </c:pt>
                <c:pt idx="101">
                  <c:v>1.0184221931806774</c:v>
                </c:pt>
                <c:pt idx="105">
                  <c:v>0.94979047422646845</c:v>
                </c:pt>
                <c:pt idx="106">
                  <c:v>0.98660780016235983</c:v>
                </c:pt>
                <c:pt idx="108">
                  <c:v>0.65027889870200761</c:v>
                </c:pt>
                <c:pt idx="112">
                  <c:v>0.96051437093285852</c:v>
                </c:pt>
                <c:pt idx="113">
                  <c:v>0.83340478977310528</c:v>
                </c:pt>
                <c:pt idx="114">
                  <c:v>0.93949066396852476</c:v>
                </c:pt>
                <c:pt idx="115">
                  <c:v>0.96079814882500592</c:v>
                </c:pt>
                <c:pt idx="116">
                  <c:v>0.88772695202762453</c:v>
                </c:pt>
                <c:pt idx="117">
                  <c:v>1.1793748514869569</c:v>
                </c:pt>
                <c:pt idx="118">
                  <c:v>1.0114255979953197</c:v>
                </c:pt>
                <c:pt idx="122">
                  <c:v>1.1787643163301271</c:v>
                </c:pt>
                <c:pt idx="123">
                  <c:v>1.0276805768179793</c:v>
                </c:pt>
                <c:pt idx="127">
                  <c:v>0.90958443196571492</c:v>
                </c:pt>
                <c:pt idx="128">
                  <c:v>0.99413885294838056</c:v>
                </c:pt>
                <c:pt idx="130">
                  <c:v>0.98277763354811387</c:v>
                </c:pt>
                <c:pt idx="132">
                  <c:v>1.2347092535127056</c:v>
                </c:pt>
                <c:pt idx="134">
                  <c:v>1.1078590441518625</c:v>
                </c:pt>
                <c:pt idx="136">
                  <c:v>1.0612133921380551</c:v>
                </c:pt>
                <c:pt idx="137">
                  <c:v>1.2622199993298189</c:v>
                </c:pt>
                <c:pt idx="139">
                  <c:v>0.86504992090891586</c:v>
                </c:pt>
                <c:pt idx="140">
                  <c:v>1.4143463626576895</c:v>
                </c:pt>
                <c:pt idx="142">
                  <c:v>1.0750809484919404</c:v>
                </c:pt>
                <c:pt idx="143">
                  <c:v>0.92467198904083814</c:v>
                </c:pt>
                <c:pt idx="144">
                  <c:v>1.0255837865554474</c:v>
                </c:pt>
                <c:pt idx="149">
                  <c:v>1.5151167350293466</c:v>
                </c:pt>
                <c:pt idx="154">
                  <c:v>1.9142631106667445</c:v>
                </c:pt>
                <c:pt idx="158">
                  <c:v>1.6590638296996747</c:v>
                </c:pt>
                <c:pt idx="161">
                  <c:v>1.3327587691667713</c:v>
                </c:pt>
                <c:pt idx="162">
                  <c:v>1.0824860548652508</c:v>
                </c:pt>
                <c:pt idx="163">
                  <c:v>1.6008115856850342</c:v>
                </c:pt>
                <c:pt idx="166">
                  <c:v>1.6031941418598026</c:v>
                </c:pt>
                <c:pt idx="168">
                  <c:v>1.7894468224730991</c:v>
                </c:pt>
                <c:pt idx="169">
                  <c:v>1.7433677731711112</c:v>
                </c:pt>
                <c:pt idx="173">
                  <c:v>2.0370562080807706</c:v>
                </c:pt>
                <c:pt idx="176">
                  <c:v>1.5531423718553099</c:v>
                </c:pt>
                <c:pt idx="178">
                  <c:v>1.9857553822289242</c:v>
                </c:pt>
                <c:pt idx="180">
                  <c:v>1.597463993520754</c:v>
                </c:pt>
                <c:pt idx="182">
                  <c:v>1.7449699422328022</c:v>
                </c:pt>
                <c:pt idx="184">
                  <c:v>1.7309716556713737</c:v>
                </c:pt>
                <c:pt idx="185">
                  <c:v>2.356880352834843</c:v>
                </c:pt>
                <c:pt idx="186">
                  <c:v>1.756014516688875</c:v>
                </c:pt>
                <c:pt idx="187">
                  <c:v>2.0624467853963915</c:v>
                </c:pt>
                <c:pt idx="188">
                  <c:v>1.3495646193214026</c:v>
                </c:pt>
                <c:pt idx="192">
                  <c:v>2.226804333961967</c:v>
                </c:pt>
                <c:pt idx="193">
                  <c:v>1.5173231544502177</c:v>
                </c:pt>
                <c:pt idx="195">
                  <c:v>1.649578283506135</c:v>
                </c:pt>
                <c:pt idx="196">
                  <c:v>1.6706415634065737</c:v>
                </c:pt>
                <c:pt idx="201">
                  <c:v>3.3564461639150021</c:v>
                </c:pt>
                <c:pt idx="202">
                  <c:v>3.3494922008682169</c:v>
                </c:pt>
                <c:pt idx="206">
                  <c:v>1.5873395236395706</c:v>
                </c:pt>
                <c:pt idx="207">
                  <c:v>2.3968898250261241</c:v>
                </c:pt>
                <c:pt idx="208">
                  <c:v>1.6104550162570681</c:v>
                </c:pt>
                <c:pt idx="210">
                  <c:v>1.3523744146328167</c:v>
                </c:pt>
                <c:pt idx="211">
                  <c:v>1.8581291628547163</c:v>
                </c:pt>
                <c:pt idx="212">
                  <c:v>1.9691110177056528</c:v>
                </c:pt>
                <c:pt idx="213">
                  <c:v>1.6844942416423301</c:v>
                </c:pt>
                <c:pt idx="216">
                  <c:v>1.2867956956222946</c:v>
                </c:pt>
                <c:pt idx="221">
                  <c:v>2.4460777087109391</c:v>
                </c:pt>
                <c:pt idx="222">
                  <c:v>2.4392924723483564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AB-465D-BEC5-BA78728B0A9F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4-F1AB-465D-BEC5-BA78728B0A9F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(2)'!$O$193:$O$217</c:f>
              <c:numCache>
                <c:formatCode>General</c:formatCode>
                <c:ptCount val="25"/>
                <c:pt idx="0">
                  <c:v>8.3595113438045381</c:v>
                </c:pt>
                <c:pt idx="1">
                  <c:v>12.368794326241137</c:v>
                </c:pt>
                <c:pt idx="2">
                  <c:v>12.234042553191491</c:v>
                </c:pt>
                <c:pt idx="3">
                  <c:v>12.148936170212767</c:v>
                </c:pt>
                <c:pt idx="4">
                  <c:v>12.067039106145252</c:v>
                </c:pt>
                <c:pt idx="5">
                  <c:v>12.056737588652483</c:v>
                </c:pt>
                <c:pt idx="6">
                  <c:v>12.014184397163124</c:v>
                </c:pt>
                <c:pt idx="7">
                  <c:v>12.014184397163124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12.000000000000004</c:v>
                </c:pt>
                <c:pt idx="15">
                  <c:v>12.000000000000004</c:v>
                </c:pt>
                <c:pt idx="16">
                  <c:v>11.921985815602838</c:v>
                </c:pt>
                <c:pt idx="17">
                  <c:v>11.921985815602838</c:v>
                </c:pt>
                <c:pt idx="18">
                  <c:v>11.879432624113477</c:v>
                </c:pt>
                <c:pt idx="19">
                  <c:v>11.858156028368795</c:v>
                </c:pt>
                <c:pt idx="20">
                  <c:v>11.744680851063832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</c:numCache>
            </c:numRef>
          </c:xVal>
          <c:yVal>
            <c:numRef>
              <c:f>'headed (2)'!$DG$193:$DG$217</c:f>
              <c:numCache>
                <c:formatCode>General</c:formatCode>
                <c:ptCount val="25"/>
                <c:pt idx="2">
                  <c:v>1.5816026934977176</c:v>
                </c:pt>
                <c:pt idx="3">
                  <c:v>1.5398515478642198</c:v>
                </c:pt>
                <c:pt idx="4">
                  <c:v>1.8483645889323053</c:v>
                </c:pt>
                <c:pt idx="6">
                  <c:v>1.6671220701684981</c:v>
                </c:pt>
                <c:pt idx="8">
                  <c:v>1.6540735818514851</c:v>
                </c:pt>
                <c:pt idx="9">
                  <c:v>1.6540735818514851</c:v>
                </c:pt>
                <c:pt idx="10">
                  <c:v>1.4874383120901835</c:v>
                </c:pt>
                <c:pt idx="11">
                  <c:v>1.4874383120901835</c:v>
                </c:pt>
                <c:pt idx="14">
                  <c:v>1.1973043210093592</c:v>
                </c:pt>
                <c:pt idx="15">
                  <c:v>1.1281032287987234</c:v>
                </c:pt>
                <c:pt idx="20">
                  <c:v>1.4292915545702025</c:v>
                </c:pt>
                <c:pt idx="21">
                  <c:v>1.97217424829744</c:v>
                </c:pt>
                <c:pt idx="22">
                  <c:v>1.97217424829744</c:v>
                </c:pt>
                <c:pt idx="23">
                  <c:v>1.9952585337426647</c:v>
                </c:pt>
                <c:pt idx="24">
                  <c:v>1.9952585337426647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1AB-465D-BEC5-BA78728B0A9F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(2)'!$O$193:$O$217</c:f>
              <c:numCache>
                <c:formatCode>General</c:formatCode>
                <c:ptCount val="25"/>
                <c:pt idx="0">
                  <c:v>8.3595113438045381</c:v>
                </c:pt>
                <c:pt idx="1">
                  <c:v>12.368794326241137</c:v>
                </c:pt>
                <c:pt idx="2">
                  <c:v>12.234042553191491</c:v>
                </c:pt>
                <c:pt idx="3">
                  <c:v>12.148936170212767</c:v>
                </c:pt>
                <c:pt idx="4">
                  <c:v>12.067039106145252</c:v>
                </c:pt>
                <c:pt idx="5">
                  <c:v>12.056737588652483</c:v>
                </c:pt>
                <c:pt idx="6">
                  <c:v>12.014184397163124</c:v>
                </c:pt>
                <c:pt idx="7">
                  <c:v>12.014184397163124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12.000000000000004</c:v>
                </c:pt>
                <c:pt idx="15">
                  <c:v>12.000000000000004</c:v>
                </c:pt>
                <c:pt idx="16">
                  <c:v>11.921985815602838</c:v>
                </c:pt>
                <c:pt idx="17">
                  <c:v>11.921985815602838</c:v>
                </c:pt>
                <c:pt idx="18">
                  <c:v>11.879432624113477</c:v>
                </c:pt>
                <c:pt idx="19">
                  <c:v>11.858156028368795</c:v>
                </c:pt>
                <c:pt idx="20">
                  <c:v>11.744680851063832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</c:numCache>
            </c:numRef>
          </c:xVal>
          <c:yVal>
            <c:numRef>
              <c:f>'headed (2)'!$DM$193:$DM$217</c:f>
              <c:numCache>
                <c:formatCode>General</c:formatCode>
                <c:ptCount val="25"/>
                <c:pt idx="1">
                  <c:v>1.6522350926872018</c:v>
                </c:pt>
                <c:pt idx="5">
                  <c:v>1.4366977144918935</c:v>
                </c:pt>
                <c:pt idx="7">
                  <c:v>1.8427952176594291</c:v>
                </c:pt>
                <c:pt idx="12">
                  <c:v>1.6715512745016297</c:v>
                </c:pt>
                <c:pt idx="13">
                  <c:v>1.6715512745016297</c:v>
                </c:pt>
                <c:pt idx="16">
                  <c:v>1.8834336158062253</c:v>
                </c:pt>
                <c:pt idx="17">
                  <c:v>1.8812925966750933</c:v>
                </c:pt>
                <c:pt idx="18">
                  <c:v>1.7038194945882996</c:v>
                </c:pt>
                <c:pt idx="19">
                  <c:v>1.6135859013275426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AB-465D-BEC5-BA78728B0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71840"/>
        <c:axId val="132773760"/>
      </c:scatterChart>
      <c:valAx>
        <c:axId val="1327718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3760"/>
        <c:crosses val="autoZero"/>
        <c:crossBetween val="midCat"/>
      </c:valAx>
      <c:valAx>
        <c:axId val="13277376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18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(2)'!$O$166:$O$192</c:f>
              <c:numCache>
                <c:formatCode>General</c:formatCode>
                <c:ptCount val="23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13.921985815602838</c:v>
                </c:pt>
                <c:pt idx="16">
                  <c:v>13.829787234042554</c:v>
                </c:pt>
                <c:pt idx="17">
                  <c:v>13.787234042553195</c:v>
                </c:pt>
                <c:pt idx="18">
                  <c:v>13.744680851063832</c:v>
                </c:pt>
                <c:pt idx="19">
                  <c:v>13.744680851063832</c:v>
                </c:pt>
                <c:pt idx="20">
                  <c:v>13.680851063829788</c:v>
                </c:pt>
                <c:pt idx="21">
                  <c:v>13.652482269503549</c:v>
                </c:pt>
                <c:pt idx="22">
                  <c:v>13.567375886524824</c:v>
                </c:pt>
              </c:numCache>
            </c:numRef>
          </c:xVal>
          <c:yVal>
            <c:numRef>
              <c:f>'headed (2)'!$DH$166:$DH$192</c:f>
              <c:numCache>
                <c:formatCode>General</c:formatCode>
                <c:ptCount val="23"/>
                <c:pt idx="3">
                  <c:v>1.353732099805089</c:v>
                </c:pt>
                <c:pt idx="4">
                  <c:v>1.2158256317980205</c:v>
                </c:pt>
                <c:pt idx="5">
                  <c:v>1.1078654557321155</c:v>
                </c:pt>
                <c:pt idx="8">
                  <c:v>1.1362985571149462</c:v>
                </c:pt>
                <c:pt idx="10">
                  <c:v>1.1264315123772384</c:v>
                </c:pt>
                <c:pt idx="11">
                  <c:v>1.1972859454860088</c:v>
                </c:pt>
                <c:pt idx="12">
                  <c:v>1.1825979304836267</c:v>
                </c:pt>
                <c:pt idx="16">
                  <c:v>1.2264020383181997</c:v>
                </c:pt>
                <c:pt idx="17">
                  <c:v>1.2582112350998493</c:v>
                </c:pt>
                <c:pt idx="18">
                  <c:v>1.3026075869753657</c:v>
                </c:pt>
                <c:pt idx="20">
                  <c:v>1.2265000402860071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7F-4678-AFA1-A249048ACD30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(2)'!$O$166:$O$192</c:f>
              <c:numCache>
                <c:formatCode>General</c:formatCode>
                <c:ptCount val="23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13.921985815602838</c:v>
                </c:pt>
                <c:pt idx="16">
                  <c:v>13.829787234042554</c:v>
                </c:pt>
                <c:pt idx="17">
                  <c:v>13.787234042553195</c:v>
                </c:pt>
                <c:pt idx="18">
                  <c:v>13.744680851063832</c:v>
                </c:pt>
                <c:pt idx="19">
                  <c:v>13.744680851063832</c:v>
                </c:pt>
                <c:pt idx="20">
                  <c:v>13.680851063829788</c:v>
                </c:pt>
                <c:pt idx="21">
                  <c:v>13.652482269503549</c:v>
                </c:pt>
                <c:pt idx="22">
                  <c:v>13.567375886524824</c:v>
                </c:pt>
              </c:numCache>
            </c:numRef>
          </c:xVal>
          <c:yVal>
            <c:numRef>
              <c:f>'headed (2)'!$DN$166:$DN$192</c:f>
              <c:numCache>
                <c:formatCode>General</c:formatCode>
                <c:ptCount val="23"/>
                <c:pt idx="0">
                  <c:v>1.6061312508358303</c:v>
                </c:pt>
                <c:pt idx="1">
                  <c:v>1.5076213914643732</c:v>
                </c:pt>
                <c:pt idx="2">
                  <c:v>1.6116129274598434</c:v>
                </c:pt>
                <c:pt idx="6">
                  <c:v>0.88558461738800009</c:v>
                </c:pt>
                <c:pt idx="7">
                  <c:v>1.0971269956239666</c:v>
                </c:pt>
                <c:pt idx="9">
                  <c:v>1.4489090299456451</c:v>
                </c:pt>
                <c:pt idx="13">
                  <c:v>1.1802441564682067</c:v>
                </c:pt>
                <c:pt idx="14">
                  <c:v>1.3701259564751176</c:v>
                </c:pt>
                <c:pt idx="15">
                  <c:v>1.4455193526381414</c:v>
                </c:pt>
                <c:pt idx="19">
                  <c:v>1.3786937883911297</c:v>
                </c:pt>
                <c:pt idx="21">
                  <c:v>1.375870186901017</c:v>
                </c:pt>
                <c:pt idx="22">
                  <c:v>1.3999644400429421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7F-4678-AFA1-A249048ACD30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(2)'!$O$218:$O$456</c:f>
              <c:numCache>
                <c:formatCode>General</c:formatCode>
                <c:ptCount val="225"/>
                <c:pt idx="0">
                  <c:v>7</c:v>
                </c:pt>
                <c:pt idx="1">
                  <c:v>7</c:v>
                </c:pt>
                <c:pt idx="2">
                  <c:v>15.749999999999998</c:v>
                </c:pt>
                <c:pt idx="3">
                  <c:v>15.28</c:v>
                </c:pt>
                <c:pt idx="4">
                  <c:v>10.581560283687944</c:v>
                </c:pt>
                <c:pt idx="5">
                  <c:v>10.43262411347518</c:v>
                </c:pt>
                <c:pt idx="6">
                  <c:v>10.418439716312058</c:v>
                </c:pt>
                <c:pt idx="7">
                  <c:v>10.418439716312058</c:v>
                </c:pt>
                <c:pt idx="8">
                  <c:v>10.375886524822697</c:v>
                </c:pt>
                <c:pt idx="9">
                  <c:v>10.375886524822697</c:v>
                </c:pt>
                <c:pt idx="10">
                  <c:v>14.58</c:v>
                </c:pt>
                <c:pt idx="11">
                  <c:v>14.58</c:v>
                </c:pt>
                <c:pt idx="12">
                  <c:v>10.312056737588653</c:v>
                </c:pt>
                <c:pt idx="13">
                  <c:v>10.312056737588653</c:v>
                </c:pt>
                <c:pt idx="14">
                  <c:v>14.54</c:v>
                </c:pt>
                <c:pt idx="15">
                  <c:v>14.54</c:v>
                </c:pt>
                <c:pt idx="16">
                  <c:v>10.283687943262413</c:v>
                </c:pt>
                <c:pt idx="17">
                  <c:v>10.283687943262413</c:v>
                </c:pt>
                <c:pt idx="18">
                  <c:v>14.499999999999998</c:v>
                </c:pt>
                <c:pt idx="19">
                  <c:v>14.499999999999998</c:v>
                </c:pt>
                <c:pt idx="20">
                  <c:v>14.42</c:v>
                </c:pt>
                <c:pt idx="21">
                  <c:v>14.42</c:v>
                </c:pt>
                <c:pt idx="22">
                  <c:v>14.38</c:v>
                </c:pt>
                <c:pt idx="23">
                  <c:v>14.38</c:v>
                </c:pt>
                <c:pt idx="24">
                  <c:v>14.38</c:v>
                </c:pt>
                <c:pt idx="25">
                  <c:v>14.38</c:v>
                </c:pt>
                <c:pt idx="26">
                  <c:v>14.35</c:v>
                </c:pt>
                <c:pt idx="27">
                  <c:v>14.299999999999999</c:v>
                </c:pt>
                <c:pt idx="28">
                  <c:v>14.27</c:v>
                </c:pt>
                <c:pt idx="29">
                  <c:v>14.25</c:v>
                </c:pt>
                <c:pt idx="30">
                  <c:v>14.25</c:v>
                </c:pt>
                <c:pt idx="31">
                  <c:v>14.13</c:v>
                </c:pt>
                <c:pt idx="32">
                  <c:v>14.09</c:v>
                </c:pt>
                <c:pt idx="33">
                  <c:v>14.080000000000002</c:v>
                </c:pt>
                <c:pt idx="34">
                  <c:v>14.059999999999999</c:v>
                </c:pt>
                <c:pt idx="35">
                  <c:v>9.9441340782122918</c:v>
                </c:pt>
                <c:pt idx="36">
                  <c:v>12.66</c:v>
                </c:pt>
                <c:pt idx="37">
                  <c:v>12.590000000000002</c:v>
                </c:pt>
                <c:pt idx="38">
                  <c:v>8.9078014184397176</c:v>
                </c:pt>
                <c:pt idx="39">
                  <c:v>12.56</c:v>
                </c:pt>
                <c:pt idx="40">
                  <c:v>8.8652482269503565</c:v>
                </c:pt>
                <c:pt idx="41">
                  <c:v>12.5</c:v>
                </c:pt>
                <c:pt idx="42">
                  <c:v>12.439999999999998</c:v>
                </c:pt>
                <c:pt idx="43">
                  <c:v>12.38</c:v>
                </c:pt>
                <c:pt idx="44">
                  <c:v>12.31</c:v>
                </c:pt>
                <c:pt idx="45">
                  <c:v>12.21</c:v>
                </c:pt>
                <c:pt idx="46">
                  <c:v>12.19</c:v>
                </c:pt>
                <c:pt idx="47">
                  <c:v>12.17</c:v>
                </c:pt>
                <c:pt idx="48">
                  <c:v>12.17</c:v>
                </c:pt>
                <c:pt idx="49">
                  <c:v>8.6028368794326244</c:v>
                </c:pt>
                <c:pt idx="50">
                  <c:v>12.129999999999999</c:v>
                </c:pt>
                <c:pt idx="51">
                  <c:v>8.6028368794326244</c:v>
                </c:pt>
                <c:pt idx="52">
                  <c:v>8.5744680851063837</c:v>
                </c:pt>
                <c:pt idx="53">
                  <c:v>12.06</c:v>
                </c:pt>
                <c:pt idx="54">
                  <c:v>12.06</c:v>
                </c:pt>
                <c:pt idx="55">
                  <c:v>12.04</c:v>
                </c:pt>
                <c:pt idx="56">
                  <c:v>12.03</c:v>
                </c:pt>
                <c:pt idx="57">
                  <c:v>8.5106382978723403</c:v>
                </c:pt>
                <c:pt idx="58">
                  <c:v>8.5106382978723403</c:v>
                </c:pt>
                <c:pt idx="59">
                  <c:v>11.999999999999998</c:v>
                </c:pt>
                <c:pt idx="60">
                  <c:v>11.999999999999998</c:v>
                </c:pt>
                <c:pt idx="61">
                  <c:v>11.97</c:v>
                </c:pt>
                <c:pt idx="62">
                  <c:v>11.95</c:v>
                </c:pt>
                <c:pt idx="63">
                  <c:v>11.9</c:v>
                </c:pt>
                <c:pt idx="64">
                  <c:v>11.88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11.299212598425198</c:v>
                </c:pt>
                <c:pt idx="69">
                  <c:v>11.299212598425198</c:v>
                </c:pt>
                <c:pt idx="70">
                  <c:v>11.25</c:v>
                </c:pt>
                <c:pt idx="71">
                  <c:v>7.9608938547486039</c:v>
                </c:pt>
                <c:pt idx="72">
                  <c:v>7.9608938547486039</c:v>
                </c:pt>
                <c:pt idx="73">
                  <c:v>7.9608938547486039</c:v>
                </c:pt>
                <c:pt idx="74">
                  <c:v>11.13</c:v>
                </c:pt>
                <c:pt idx="75">
                  <c:v>11.06</c:v>
                </c:pt>
                <c:pt idx="76">
                  <c:v>7.8212290502793298</c:v>
                </c:pt>
                <c:pt idx="77">
                  <c:v>7.8212290502793298</c:v>
                </c:pt>
                <c:pt idx="78">
                  <c:v>7.8212290502793298</c:v>
                </c:pt>
                <c:pt idx="79">
                  <c:v>7.8212290502793298</c:v>
                </c:pt>
                <c:pt idx="80">
                  <c:v>7.8212290502793298</c:v>
                </c:pt>
                <c:pt idx="81">
                  <c:v>10.94</c:v>
                </c:pt>
                <c:pt idx="82">
                  <c:v>10.83</c:v>
                </c:pt>
                <c:pt idx="83">
                  <c:v>10.58</c:v>
                </c:pt>
                <c:pt idx="84">
                  <c:v>10.5</c:v>
                </c:pt>
                <c:pt idx="85">
                  <c:v>10.35</c:v>
                </c:pt>
                <c:pt idx="86">
                  <c:v>10.33</c:v>
                </c:pt>
                <c:pt idx="87">
                  <c:v>10.33</c:v>
                </c:pt>
                <c:pt idx="88">
                  <c:v>10.29</c:v>
                </c:pt>
                <c:pt idx="89">
                  <c:v>10.25</c:v>
                </c:pt>
                <c:pt idx="90">
                  <c:v>10.130000000000001</c:v>
                </c:pt>
                <c:pt idx="91">
                  <c:v>10.1</c:v>
                </c:pt>
                <c:pt idx="92">
                  <c:v>10.08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9.94</c:v>
                </c:pt>
                <c:pt idx="97">
                  <c:v>9.92</c:v>
                </c:pt>
                <c:pt idx="98">
                  <c:v>9.92</c:v>
                </c:pt>
                <c:pt idx="99">
                  <c:v>9.9</c:v>
                </c:pt>
                <c:pt idx="100">
                  <c:v>9.8800000000000008</c:v>
                </c:pt>
                <c:pt idx="101">
                  <c:v>9.8800000000000008</c:v>
                </c:pt>
                <c:pt idx="102">
                  <c:v>9.8800000000000008</c:v>
                </c:pt>
                <c:pt idx="103">
                  <c:v>9.8800000000000008</c:v>
                </c:pt>
                <c:pt idx="104">
                  <c:v>9.81</c:v>
                </c:pt>
                <c:pt idx="105">
                  <c:v>9.7899999999999991</c:v>
                </c:pt>
                <c:pt idx="106">
                  <c:v>9.77</c:v>
                </c:pt>
                <c:pt idx="107">
                  <c:v>9.75</c:v>
                </c:pt>
                <c:pt idx="108">
                  <c:v>9.75</c:v>
                </c:pt>
                <c:pt idx="109">
                  <c:v>9.69</c:v>
                </c:pt>
                <c:pt idx="110">
                  <c:v>9.69</c:v>
                </c:pt>
                <c:pt idx="111">
                  <c:v>9.69</c:v>
                </c:pt>
                <c:pt idx="112">
                  <c:v>9.66</c:v>
                </c:pt>
                <c:pt idx="113">
                  <c:v>9.6300000000000008</c:v>
                </c:pt>
                <c:pt idx="114">
                  <c:v>9.6</c:v>
                </c:pt>
                <c:pt idx="115">
                  <c:v>9.58</c:v>
                </c:pt>
                <c:pt idx="116">
                  <c:v>9.58</c:v>
                </c:pt>
                <c:pt idx="117">
                  <c:v>9.56</c:v>
                </c:pt>
                <c:pt idx="118">
                  <c:v>9.56</c:v>
                </c:pt>
                <c:pt idx="119">
                  <c:v>9.5</c:v>
                </c:pt>
                <c:pt idx="120">
                  <c:v>9.5</c:v>
                </c:pt>
                <c:pt idx="121">
                  <c:v>9.5</c:v>
                </c:pt>
                <c:pt idx="122">
                  <c:v>9.5</c:v>
                </c:pt>
                <c:pt idx="123">
                  <c:v>9.5</c:v>
                </c:pt>
                <c:pt idx="124">
                  <c:v>9.5</c:v>
                </c:pt>
                <c:pt idx="125">
                  <c:v>9.4700000000000006</c:v>
                </c:pt>
                <c:pt idx="126">
                  <c:v>9.4600000000000009</c:v>
                </c:pt>
                <c:pt idx="127">
                  <c:v>9.42</c:v>
                </c:pt>
                <c:pt idx="128">
                  <c:v>9.3800000000000008</c:v>
                </c:pt>
                <c:pt idx="129">
                  <c:v>9.3800000000000008</c:v>
                </c:pt>
                <c:pt idx="130">
                  <c:v>9.3800000000000008</c:v>
                </c:pt>
                <c:pt idx="131">
                  <c:v>9.3800000000000008</c:v>
                </c:pt>
                <c:pt idx="132">
                  <c:v>9.33</c:v>
                </c:pt>
                <c:pt idx="133">
                  <c:v>9.33</c:v>
                </c:pt>
                <c:pt idx="134">
                  <c:v>9.31</c:v>
                </c:pt>
                <c:pt idx="135">
                  <c:v>9.25</c:v>
                </c:pt>
                <c:pt idx="136">
                  <c:v>9.25</c:v>
                </c:pt>
                <c:pt idx="137">
                  <c:v>9.25</c:v>
                </c:pt>
                <c:pt idx="138">
                  <c:v>9.25</c:v>
                </c:pt>
                <c:pt idx="139">
                  <c:v>9.19</c:v>
                </c:pt>
                <c:pt idx="140">
                  <c:v>9.19</c:v>
                </c:pt>
                <c:pt idx="141">
                  <c:v>9.19</c:v>
                </c:pt>
                <c:pt idx="142">
                  <c:v>9.17</c:v>
                </c:pt>
                <c:pt idx="143">
                  <c:v>9.1300000000000008</c:v>
                </c:pt>
                <c:pt idx="144">
                  <c:v>9.06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6.061452513966481</c:v>
                </c:pt>
                <c:pt idx="149">
                  <c:v>8.31</c:v>
                </c:pt>
                <c:pt idx="150">
                  <c:v>8.3070866141732296</c:v>
                </c:pt>
                <c:pt idx="151">
                  <c:v>8.3070866141732296</c:v>
                </c:pt>
                <c:pt idx="152">
                  <c:v>8.3070866141732296</c:v>
                </c:pt>
                <c:pt idx="153">
                  <c:v>8.25</c:v>
                </c:pt>
                <c:pt idx="154">
                  <c:v>8.25</c:v>
                </c:pt>
                <c:pt idx="155">
                  <c:v>5.8379888268156428</c:v>
                </c:pt>
                <c:pt idx="156">
                  <c:v>5.6983240223463696</c:v>
                </c:pt>
                <c:pt idx="157">
                  <c:v>8.0314960629921259</c:v>
                </c:pt>
                <c:pt idx="158">
                  <c:v>8</c:v>
                </c:pt>
                <c:pt idx="159">
                  <c:v>6</c:v>
                </c:pt>
                <c:pt idx="160">
                  <c:v>6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6.3385826771653546</c:v>
                </c:pt>
                <c:pt idx="165">
                  <c:v>6.33</c:v>
                </c:pt>
                <c:pt idx="166">
                  <c:v>6.29</c:v>
                </c:pt>
                <c:pt idx="167">
                  <c:v>6.25</c:v>
                </c:pt>
                <c:pt idx="168">
                  <c:v>6.25</c:v>
                </c:pt>
                <c:pt idx="169">
                  <c:v>6.25</c:v>
                </c:pt>
                <c:pt idx="170">
                  <c:v>9.9519999999999982</c:v>
                </c:pt>
                <c:pt idx="171">
                  <c:v>6.21</c:v>
                </c:pt>
                <c:pt idx="172">
                  <c:v>6.19</c:v>
                </c:pt>
                <c:pt idx="173">
                  <c:v>6.16</c:v>
                </c:pt>
                <c:pt idx="174">
                  <c:v>6.13</c:v>
                </c:pt>
                <c:pt idx="175">
                  <c:v>6.13</c:v>
                </c:pt>
                <c:pt idx="176">
                  <c:v>6.0999999999999988</c:v>
                </c:pt>
                <c:pt idx="177">
                  <c:v>6.09</c:v>
                </c:pt>
                <c:pt idx="178">
                  <c:v>9.695999999999998</c:v>
                </c:pt>
                <c:pt idx="179">
                  <c:v>9.6479999999999997</c:v>
                </c:pt>
                <c:pt idx="180">
                  <c:v>6.03</c:v>
                </c:pt>
                <c:pt idx="181">
                  <c:v>9.5999999999999979</c:v>
                </c:pt>
                <c:pt idx="182">
                  <c:v>9.5999999999999979</c:v>
                </c:pt>
                <c:pt idx="183">
                  <c:v>9.5999999999999979</c:v>
                </c:pt>
                <c:pt idx="184">
                  <c:v>5.9999999999999991</c:v>
                </c:pt>
                <c:pt idx="185">
                  <c:v>9.5039999999999996</c:v>
                </c:pt>
                <c:pt idx="186">
                  <c:v>5.63</c:v>
                </c:pt>
                <c:pt idx="187">
                  <c:v>5.5</c:v>
                </c:pt>
                <c:pt idx="188">
                  <c:v>5.5</c:v>
                </c:pt>
                <c:pt idx="189">
                  <c:v>6</c:v>
                </c:pt>
                <c:pt idx="190">
                  <c:v>6</c:v>
                </c:pt>
                <c:pt idx="191">
                  <c:v>8.3040000000000003</c:v>
                </c:pt>
                <c:pt idx="192">
                  <c:v>8.3040000000000003</c:v>
                </c:pt>
                <c:pt idx="193">
                  <c:v>8.24</c:v>
                </c:pt>
                <c:pt idx="194">
                  <c:v>8.0640000000000001</c:v>
                </c:pt>
                <c:pt idx="195">
                  <c:v>8.048</c:v>
                </c:pt>
                <c:pt idx="196">
                  <c:v>8.0319999999999983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7.056</c:v>
                </c:pt>
                <c:pt idx="206">
                  <c:v>6.7519999999999989</c:v>
                </c:pt>
                <c:pt idx="207">
                  <c:v>6.7039999999999997</c:v>
                </c:pt>
                <c:pt idx="208">
                  <c:v>6.6559999999999997</c:v>
                </c:pt>
                <c:pt idx="209">
                  <c:v>6.6079999999999988</c:v>
                </c:pt>
                <c:pt idx="210">
                  <c:v>6.6079999999999988</c:v>
                </c:pt>
                <c:pt idx="211">
                  <c:v>6.6079999999999988</c:v>
                </c:pt>
                <c:pt idx="212">
                  <c:v>6.5439999999999996</c:v>
                </c:pt>
                <c:pt idx="213">
                  <c:v>6.5439999999999996</c:v>
                </c:pt>
                <c:pt idx="214">
                  <c:v>6.4959999999999987</c:v>
                </c:pt>
                <c:pt idx="215">
                  <c:v>6.4959999999999987</c:v>
                </c:pt>
                <c:pt idx="216">
                  <c:v>6.0960000000000001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</c:numCache>
            </c:numRef>
          </c:xVal>
          <c:yVal>
            <c:numRef>
              <c:f>'headed (2)'!$DH$218:$DH$456</c:f>
              <c:numCache>
                <c:formatCode>General</c:formatCode>
                <c:ptCount val="225"/>
                <c:pt idx="2">
                  <c:v>0.91851247644247092</c:v>
                </c:pt>
                <c:pt idx="3">
                  <c:v>1</c:v>
                </c:pt>
                <c:pt idx="5">
                  <c:v>0.73718451657272832</c:v>
                </c:pt>
                <c:pt idx="8">
                  <c:v>0.49532268932934714</c:v>
                </c:pt>
                <c:pt idx="10">
                  <c:v>1.0088869571220103</c:v>
                </c:pt>
                <c:pt idx="11">
                  <c:v>1.0815801265431821</c:v>
                </c:pt>
                <c:pt idx="14">
                  <c:v>1.0377227912290949</c:v>
                </c:pt>
                <c:pt idx="16">
                  <c:v>0.61746193238869718</c:v>
                </c:pt>
                <c:pt idx="17">
                  <c:v>0.78437925291382093</c:v>
                </c:pt>
                <c:pt idx="22">
                  <c:v>1.0546620803021731</c:v>
                </c:pt>
                <c:pt idx="23">
                  <c:v>1.1851863092498804</c:v>
                </c:pt>
                <c:pt idx="24">
                  <c:v>1.164038324517964</c:v>
                </c:pt>
                <c:pt idx="26">
                  <c:v>1.1994142932326093</c:v>
                </c:pt>
                <c:pt idx="27">
                  <c:v>1.0759579072343315</c:v>
                </c:pt>
                <c:pt idx="29">
                  <c:v>1.1693024959062237</c:v>
                </c:pt>
                <c:pt idx="30">
                  <c:v>1.1039912468916053</c:v>
                </c:pt>
                <c:pt idx="31">
                  <c:v>1.0425960964081298</c:v>
                </c:pt>
                <c:pt idx="34">
                  <c:v>1.1152914305964363</c:v>
                </c:pt>
                <c:pt idx="35">
                  <c:v>1.3081102480693489</c:v>
                </c:pt>
                <c:pt idx="36">
                  <c:v>0.99943469121787187</c:v>
                </c:pt>
                <c:pt idx="37">
                  <c:v>1.0591467407093387</c:v>
                </c:pt>
                <c:pt idx="39">
                  <c:v>1.2638608456589822</c:v>
                </c:pt>
                <c:pt idx="41">
                  <c:v>1.0429653107588621</c:v>
                </c:pt>
                <c:pt idx="45">
                  <c:v>0.94794472349162318</c:v>
                </c:pt>
                <c:pt idx="48">
                  <c:v>0.73435132953628823</c:v>
                </c:pt>
                <c:pt idx="49">
                  <c:v>0.8348184273807373</c:v>
                </c:pt>
                <c:pt idx="51">
                  <c:v>0.72096580896252627</c:v>
                </c:pt>
                <c:pt idx="53">
                  <c:v>0.78234204586737066</c:v>
                </c:pt>
                <c:pt idx="55">
                  <c:v>0.95810293219723919</c:v>
                </c:pt>
                <c:pt idx="57">
                  <c:v>0.74669552116938287</c:v>
                </c:pt>
                <c:pt idx="59">
                  <c:v>0.73918547860307671</c:v>
                </c:pt>
                <c:pt idx="64">
                  <c:v>0.76733459610941368</c:v>
                </c:pt>
                <c:pt idx="65">
                  <c:v>1.0049803374710342</c:v>
                </c:pt>
                <c:pt idx="67">
                  <c:v>1.3502706830387621</c:v>
                </c:pt>
                <c:pt idx="68">
                  <c:v>1.0800473563193289</c:v>
                </c:pt>
                <c:pt idx="69">
                  <c:v>1.4530735737887628</c:v>
                </c:pt>
                <c:pt idx="70">
                  <c:v>0.97146948096887209</c:v>
                </c:pt>
                <c:pt idx="71">
                  <c:v>1.2119877238401617</c:v>
                </c:pt>
                <c:pt idx="72">
                  <c:v>1.4335498222786425</c:v>
                </c:pt>
                <c:pt idx="73">
                  <c:v>1.7084704294313242</c:v>
                </c:pt>
                <c:pt idx="75">
                  <c:v>1.10521720654621</c:v>
                </c:pt>
                <c:pt idx="76">
                  <c:v>1.3383380886118024</c:v>
                </c:pt>
                <c:pt idx="77">
                  <c:v>1.0667341823935248</c:v>
                </c:pt>
                <c:pt idx="80">
                  <c:v>1.5425351929470028</c:v>
                </c:pt>
                <c:pt idx="82">
                  <c:v>1.0069882788145434</c:v>
                </c:pt>
                <c:pt idx="83">
                  <c:v>1.0537522781326267</c:v>
                </c:pt>
                <c:pt idx="84">
                  <c:v>0.94606036381909953</c:v>
                </c:pt>
                <c:pt idx="85">
                  <c:v>1.0607370982090985</c:v>
                </c:pt>
                <c:pt idx="97">
                  <c:v>0.76591341717817985</c:v>
                </c:pt>
                <c:pt idx="98">
                  <c:v>0.782670244439856</c:v>
                </c:pt>
                <c:pt idx="99">
                  <c:v>0.74214693971252432</c:v>
                </c:pt>
                <c:pt idx="102">
                  <c:v>0.67335839175112699</c:v>
                </c:pt>
                <c:pt idx="103">
                  <c:v>0.6648035989042731</c:v>
                </c:pt>
                <c:pt idx="104">
                  <c:v>0.69192281388318311</c:v>
                </c:pt>
                <c:pt idx="107">
                  <c:v>0.72846501506533778</c:v>
                </c:pt>
                <c:pt idx="109">
                  <c:v>0.78300596637240216</c:v>
                </c:pt>
                <c:pt idx="110">
                  <c:v>1.0734511207027237</c:v>
                </c:pt>
                <c:pt idx="111">
                  <c:v>0.95168248490077645</c:v>
                </c:pt>
                <c:pt idx="119">
                  <c:v>0.70351864336481917</c:v>
                </c:pt>
                <c:pt idx="120">
                  <c:v>0.93461795122954905</c:v>
                </c:pt>
                <c:pt idx="121">
                  <c:v>0.89214840379637628</c:v>
                </c:pt>
                <c:pt idx="124">
                  <c:v>0.87833333333333341</c:v>
                </c:pt>
                <c:pt idx="125">
                  <c:v>0.63480838312555887</c:v>
                </c:pt>
                <c:pt idx="126">
                  <c:v>0.90003950832799662</c:v>
                </c:pt>
                <c:pt idx="129">
                  <c:v>0.82535245957938552</c:v>
                </c:pt>
                <c:pt idx="131">
                  <c:v>0.96674260066309403</c:v>
                </c:pt>
                <c:pt idx="133">
                  <c:v>0.82233348350740842</c:v>
                </c:pt>
                <c:pt idx="135">
                  <c:v>0.74722430214469848</c:v>
                </c:pt>
                <c:pt idx="138">
                  <c:v>0.93310480003574625</c:v>
                </c:pt>
                <c:pt idx="141">
                  <c:v>0.85520549534192214</c:v>
                </c:pt>
                <c:pt idx="145">
                  <c:v>0.94115541649385537</c:v>
                </c:pt>
                <c:pt idx="146">
                  <c:v>0.98697622127594653</c:v>
                </c:pt>
                <c:pt idx="147">
                  <c:v>1.0864891795569402</c:v>
                </c:pt>
                <c:pt idx="150">
                  <c:v>0.96123910886210173</c:v>
                </c:pt>
                <c:pt idx="151">
                  <c:v>1.1150394683014302</c:v>
                </c:pt>
                <c:pt idx="152">
                  <c:v>0.93601937017964099</c:v>
                </c:pt>
                <c:pt idx="153">
                  <c:v>0.97228115444619168</c:v>
                </c:pt>
                <c:pt idx="155">
                  <c:v>1.6772269266410664</c:v>
                </c:pt>
                <c:pt idx="156">
                  <c:v>1.024630490427666</c:v>
                </c:pt>
                <c:pt idx="157">
                  <c:v>1.162098744070923</c:v>
                </c:pt>
                <c:pt idx="159">
                  <c:v>1</c:v>
                </c:pt>
                <c:pt idx="160">
                  <c:v>1</c:v>
                </c:pt>
                <c:pt idx="165">
                  <c:v>0.68467739710453912</c:v>
                </c:pt>
                <c:pt idx="167">
                  <c:v>0.67868729013532503</c:v>
                </c:pt>
                <c:pt idx="170">
                  <c:v>1.000825177613299</c:v>
                </c:pt>
                <c:pt idx="171">
                  <c:v>0.63898823880641586</c:v>
                </c:pt>
                <c:pt idx="172">
                  <c:v>0.73924512696546085</c:v>
                </c:pt>
                <c:pt idx="174">
                  <c:v>0.72633374341804824</c:v>
                </c:pt>
                <c:pt idx="175">
                  <c:v>0.75400013200926497</c:v>
                </c:pt>
                <c:pt idx="177">
                  <c:v>0.63292489521379602</c:v>
                </c:pt>
                <c:pt idx="179">
                  <c:v>1</c:v>
                </c:pt>
                <c:pt idx="181">
                  <c:v>0.95692750390543657</c:v>
                </c:pt>
                <c:pt idx="183">
                  <c:v>0.96762589928057552</c:v>
                </c:pt>
                <c:pt idx="189">
                  <c:v>1</c:v>
                </c:pt>
                <c:pt idx="190">
                  <c:v>1</c:v>
                </c:pt>
                <c:pt idx="191">
                  <c:v>0.93527480684988118</c:v>
                </c:pt>
                <c:pt idx="194">
                  <c:v>0.82625634412902194</c:v>
                </c:pt>
                <c:pt idx="197">
                  <c:v>1.1179242582161224</c:v>
                </c:pt>
                <c:pt idx="198">
                  <c:v>1.1131805909252479</c:v>
                </c:pt>
                <c:pt idx="199">
                  <c:v>1.0396608877230671</c:v>
                </c:pt>
                <c:pt idx="200">
                  <c:v>1.0332122674684099</c:v>
                </c:pt>
                <c:pt idx="203">
                  <c:v>1</c:v>
                </c:pt>
                <c:pt idx="204">
                  <c:v>1</c:v>
                </c:pt>
                <c:pt idx="205">
                  <c:v>0.97894457082747688</c:v>
                </c:pt>
                <c:pt idx="209">
                  <c:v>0.75051026424073697</c:v>
                </c:pt>
                <c:pt idx="214">
                  <c:v>0.89951817016281221</c:v>
                </c:pt>
                <c:pt idx="215">
                  <c:v>0.67646352686461653</c:v>
                </c:pt>
                <c:pt idx="217">
                  <c:v>0.98674521354933731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3">
                  <c:v>1</c:v>
                </c:pt>
                <c:pt idx="22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7F-4678-AFA1-A249048ACD3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(2)'!$O$218:$O$456</c:f>
              <c:numCache>
                <c:formatCode>General</c:formatCode>
                <c:ptCount val="225"/>
                <c:pt idx="0">
                  <c:v>7</c:v>
                </c:pt>
                <c:pt idx="1">
                  <c:v>7</c:v>
                </c:pt>
                <c:pt idx="2">
                  <c:v>15.749999999999998</c:v>
                </c:pt>
                <c:pt idx="3">
                  <c:v>15.28</c:v>
                </c:pt>
                <c:pt idx="4">
                  <c:v>10.581560283687944</c:v>
                </c:pt>
                <c:pt idx="5">
                  <c:v>10.43262411347518</c:v>
                </c:pt>
                <c:pt idx="6">
                  <c:v>10.418439716312058</c:v>
                </c:pt>
                <c:pt idx="7">
                  <c:v>10.418439716312058</c:v>
                </c:pt>
                <c:pt idx="8">
                  <c:v>10.375886524822697</c:v>
                </c:pt>
                <c:pt idx="9">
                  <c:v>10.375886524822697</c:v>
                </c:pt>
                <c:pt idx="10">
                  <c:v>14.58</c:v>
                </c:pt>
                <c:pt idx="11">
                  <c:v>14.58</c:v>
                </c:pt>
                <c:pt idx="12">
                  <c:v>10.312056737588653</c:v>
                </c:pt>
                <c:pt idx="13">
                  <c:v>10.312056737588653</c:v>
                </c:pt>
                <c:pt idx="14">
                  <c:v>14.54</c:v>
                </c:pt>
                <c:pt idx="15">
                  <c:v>14.54</c:v>
                </c:pt>
                <c:pt idx="16">
                  <c:v>10.283687943262413</c:v>
                </c:pt>
                <c:pt idx="17">
                  <c:v>10.283687943262413</c:v>
                </c:pt>
                <c:pt idx="18">
                  <c:v>14.499999999999998</c:v>
                </c:pt>
                <c:pt idx="19">
                  <c:v>14.499999999999998</c:v>
                </c:pt>
                <c:pt idx="20">
                  <c:v>14.42</c:v>
                </c:pt>
                <c:pt idx="21">
                  <c:v>14.42</c:v>
                </c:pt>
                <c:pt idx="22">
                  <c:v>14.38</c:v>
                </c:pt>
                <c:pt idx="23">
                  <c:v>14.38</c:v>
                </c:pt>
                <c:pt idx="24">
                  <c:v>14.38</c:v>
                </c:pt>
                <c:pt idx="25">
                  <c:v>14.38</c:v>
                </c:pt>
                <c:pt idx="26">
                  <c:v>14.35</c:v>
                </c:pt>
                <c:pt idx="27">
                  <c:v>14.299999999999999</c:v>
                </c:pt>
                <c:pt idx="28">
                  <c:v>14.27</c:v>
                </c:pt>
                <c:pt idx="29">
                  <c:v>14.25</c:v>
                </c:pt>
                <c:pt idx="30">
                  <c:v>14.25</c:v>
                </c:pt>
                <c:pt idx="31">
                  <c:v>14.13</c:v>
                </c:pt>
                <c:pt idx="32">
                  <c:v>14.09</c:v>
                </c:pt>
                <c:pt idx="33">
                  <c:v>14.080000000000002</c:v>
                </c:pt>
                <c:pt idx="34">
                  <c:v>14.059999999999999</c:v>
                </c:pt>
                <c:pt idx="35">
                  <c:v>9.9441340782122918</c:v>
                </c:pt>
                <c:pt idx="36">
                  <c:v>12.66</c:v>
                </c:pt>
                <c:pt idx="37">
                  <c:v>12.590000000000002</c:v>
                </c:pt>
                <c:pt idx="38">
                  <c:v>8.9078014184397176</c:v>
                </c:pt>
                <c:pt idx="39">
                  <c:v>12.56</c:v>
                </c:pt>
                <c:pt idx="40">
                  <c:v>8.8652482269503565</c:v>
                </c:pt>
                <c:pt idx="41">
                  <c:v>12.5</c:v>
                </c:pt>
                <c:pt idx="42">
                  <c:v>12.439999999999998</c:v>
                </c:pt>
                <c:pt idx="43">
                  <c:v>12.38</c:v>
                </c:pt>
                <c:pt idx="44">
                  <c:v>12.31</c:v>
                </c:pt>
                <c:pt idx="45">
                  <c:v>12.21</c:v>
                </c:pt>
                <c:pt idx="46">
                  <c:v>12.19</c:v>
                </c:pt>
                <c:pt idx="47">
                  <c:v>12.17</c:v>
                </c:pt>
                <c:pt idx="48">
                  <c:v>12.17</c:v>
                </c:pt>
                <c:pt idx="49">
                  <c:v>8.6028368794326244</c:v>
                </c:pt>
                <c:pt idx="50">
                  <c:v>12.129999999999999</c:v>
                </c:pt>
                <c:pt idx="51">
                  <c:v>8.6028368794326244</c:v>
                </c:pt>
                <c:pt idx="52">
                  <c:v>8.5744680851063837</c:v>
                </c:pt>
                <c:pt idx="53">
                  <c:v>12.06</c:v>
                </c:pt>
                <c:pt idx="54">
                  <c:v>12.06</c:v>
                </c:pt>
                <c:pt idx="55">
                  <c:v>12.04</c:v>
                </c:pt>
                <c:pt idx="56">
                  <c:v>12.03</c:v>
                </c:pt>
                <c:pt idx="57">
                  <c:v>8.5106382978723403</c:v>
                </c:pt>
                <c:pt idx="58">
                  <c:v>8.5106382978723403</c:v>
                </c:pt>
                <c:pt idx="59">
                  <c:v>11.999999999999998</c:v>
                </c:pt>
                <c:pt idx="60">
                  <c:v>11.999999999999998</c:v>
                </c:pt>
                <c:pt idx="61">
                  <c:v>11.97</c:v>
                </c:pt>
                <c:pt idx="62">
                  <c:v>11.95</c:v>
                </c:pt>
                <c:pt idx="63">
                  <c:v>11.9</c:v>
                </c:pt>
                <c:pt idx="64">
                  <c:v>11.88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11.299212598425198</c:v>
                </c:pt>
                <c:pt idx="69">
                  <c:v>11.299212598425198</c:v>
                </c:pt>
                <c:pt idx="70">
                  <c:v>11.25</c:v>
                </c:pt>
                <c:pt idx="71">
                  <c:v>7.9608938547486039</c:v>
                </c:pt>
                <c:pt idx="72">
                  <c:v>7.9608938547486039</c:v>
                </c:pt>
                <c:pt idx="73">
                  <c:v>7.9608938547486039</c:v>
                </c:pt>
                <c:pt idx="74">
                  <c:v>11.13</c:v>
                </c:pt>
                <c:pt idx="75">
                  <c:v>11.06</c:v>
                </c:pt>
                <c:pt idx="76">
                  <c:v>7.8212290502793298</c:v>
                </c:pt>
                <c:pt idx="77">
                  <c:v>7.8212290502793298</c:v>
                </c:pt>
                <c:pt idx="78">
                  <c:v>7.8212290502793298</c:v>
                </c:pt>
                <c:pt idx="79">
                  <c:v>7.8212290502793298</c:v>
                </c:pt>
                <c:pt idx="80">
                  <c:v>7.8212290502793298</c:v>
                </c:pt>
                <c:pt idx="81">
                  <c:v>10.94</c:v>
                </c:pt>
                <c:pt idx="82">
                  <c:v>10.83</c:v>
                </c:pt>
                <c:pt idx="83">
                  <c:v>10.58</c:v>
                </c:pt>
                <c:pt idx="84">
                  <c:v>10.5</c:v>
                </c:pt>
                <c:pt idx="85">
                  <c:v>10.35</c:v>
                </c:pt>
                <c:pt idx="86">
                  <c:v>10.33</c:v>
                </c:pt>
                <c:pt idx="87">
                  <c:v>10.33</c:v>
                </c:pt>
                <c:pt idx="88">
                  <c:v>10.29</c:v>
                </c:pt>
                <c:pt idx="89">
                  <c:v>10.25</c:v>
                </c:pt>
                <c:pt idx="90">
                  <c:v>10.130000000000001</c:v>
                </c:pt>
                <c:pt idx="91">
                  <c:v>10.1</c:v>
                </c:pt>
                <c:pt idx="92">
                  <c:v>10.08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9.94</c:v>
                </c:pt>
                <c:pt idx="97">
                  <c:v>9.92</c:v>
                </c:pt>
                <c:pt idx="98">
                  <c:v>9.92</c:v>
                </c:pt>
                <c:pt idx="99">
                  <c:v>9.9</c:v>
                </c:pt>
                <c:pt idx="100">
                  <c:v>9.8800000000000008</c:v>
                </c:pt>
                <c:pt idx="101">
                  <c:v>9.8800000000000008</c:v>
                </c:pt>
                <c:pt idx="102">
                  <c:v>9.8800000000000008</c:v>
                </c:pt>
                <c:pt idx="103">
                  <c:v>9.8800000000000008</c:v>
                </c:pt>
                <c:pt idx="104">
                  <c:v>9.81</c:v>
                </c:pt>
                <c:pt idx="105">
                  <c:v>9.7899999999999991</c:v>
                </c:pt>
                <c:pt idx="106">
                  <c:v>9.77</c:v>
                </c:pt>
                <c:pt idx="107">
                  <c:v>9.75</c:v>
                </c:pt>
                <c:pt idx="108">
                  <c:v>9.75</c:v>
                </c:pt>
                <c:pt idx="109">
                  <c:v>9.69</c:v>
                </c:pt>
                <c:pt idx="110">
                  <c:v>9.69</c:v>
                </c:pt>
                <c:pt idx="111">
                  <c:v>9.69</c:v>
                </c:pt>
                <c:pt idx="112">
                  <c:v>9.66</c:v>
                </c:pt>
                <c:pt idx="113">
                  <c:v>9.6300000000000008</c:v>
                </c:pt>
                <c:pt idx="114">
                  <c:v>9.6</c:v>
                </c:pt>
                <c:pt idx="115">
                  <c:v>9.58</c:v>
                </c:pt>
                <c:pt idx="116">
                  <c:v>9.58</c:v>
                </c:pt>
                <c:pt idx="117">
                  <c:v>9.56</c:v>
                </c:pt>
                <c:pt idx="118">
                  <c:v>9.56</c:v>
                </c:pt>
                <c:pt idx="119">
                  <c:v>9.5</c:v>
                </c:pt>
                <c:pt idx="120">
                  <c:v>9.5</c:v>
                </c:pt>
                <c:pt idx="121">
                  <c:v>9.5</c:v>
                </c:pt>
                <c:pt idx="122">
                  <c:v>9.5</c:v>
                </c:pt>
                <c:pt idx="123">
                  <c:v>9.5</c:v>
                </c:pt>
                <c:pt idx="124">
                  <c:v>9.5</c:v>
                </c:pt>
                <c:pt idx="125">
                  <c:v>9.4700000000000006</c:v>
                </c:pt>
                <c:pt idx="126">
                  <c:v>9.4600000000000009</c:v>
                </c:pt>
                <c:pt idx="127">
                  <c:v>9.42</c:v>
                </c:pt>
                <c:pt idx="128">
                  <c:v>9.3800000000000008</c:v>
                </c:pt>
                <c:pt idx="129">
                  <c:v>9.3800000000000008</c:v>
                </c:pt>
                <c:pt idx="130">
                  <c:v>9.3800000000000008</c:v>
                </c:pt>
                <c:pt idx="131">
                  <c:v>9.3800000000000008</c:v>
                </c:pt>
                <c:pt idx="132">
                  <c:v>9.33</c:v>
                </c:pt>
                <c:pt idx="133">
                  <c:v>9.33</c:v>
                </c:pt>
                <c:pt idx="134">
                  <c:v>9.31</c:v>
                </c:pt>
                <c:pt idx="135">
                  <c:v>9.25</c:v>
                </c:pt>
                <c:pt idx="136">
                  <c:v>9.25</c:v>
                </c:pt>
                <c:pt idx="137">
                  <c:v>9.25</c:v>
                </c:pt>
                <c:pt idx="138">
                  <c:v>9.25</c:v>
                </c:pt>
                <c:pt idx="139">
                  <c:v>9.19</c:v>
                </c:pt>
                <c:pt idx="140">
                  <c:v>9.19</c:v>
                </c:pt>
                <c:pt idx="141">
                  <c:v>9.19</c:v>
                </c:pt>
                <c:pt idx="142">
                  <c:v>9.17</c:v>
                </c:pt>
                <c:pt idx="143">
                  <c:v>9.1300000000000008</c:v>
                </c:pt>
                <c:pt idx="144">
                  <c:v>9.06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6.061452513966481</c:v>
                </c:pt>
                <c:pt idx="149">
                  <c:v>8.31</c:v>
                </c:pt>
                <c:pt idx="150">
                  <c:v>8.3070866141732296</c:v>
                </c:pt>
                <c:pt idx="151">
                  <c:v>8.3070866141732296</c:v>
                </c:pt>
                <c:pt idx="152">
                  <c:v>8.3070866141732296</c:v>
                </c:pt>
                <c:pt idx="153">
                  <c:v>8.25</c:v>
                </c:pt>
                <c:pt idx="154">
                  <c:v>8.25</c:v>
                </c:pt>
                <c:pt idx="155">
                  <c:v>5.8379888268156428</c:v>
                </c:pt>
                <c:pt idx="156">
                  <c:v>5.6983240223463696</c:v>
                </c:pt>
                <c:pt idx="157">
                  <c:v>8.0314960629921259</c:v>
                </c:pt>
                <c:pt idx="158">
                  <c:v>8</c:v>
                </c:pt>
                <c:pt idx="159">
                  <c:v>6</c:v>
                </c:pt>
                <c:pt idx="160">
                  <c:v>6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6.3385826771653546</c:v>
                </c:pt>
                <c:pt idx="165">
                  <c:v>6.33</c:v>
                </c:pt>
                <c:pt idx="166">
                  <c:v>6.29</c:v>
                </c:pt>
                <c:pt idx="167">
                  <c:v>6.25</c:v>
                </c:pt>
                <c:pt idx="168">
                  <c:v>6.25</c:v>
                </c:pt>
                <c:pt idx="169">
                  <c:v>6.25</c:v>
                </c:pt>
                <c:pt idx="170">
                  <c:v>9.9519999999999982</c:v>
                </c:pt>
                <c:pt idx="171">
                  <c:v>6.21</c:v>
                </c:pt>
                <c:pt idx="172">
                  <c:v>6.19</c:v>
                </c:pt>
                <c:pt idx="173">
                  <c:v>6.16</c:v>
                </c:pt>
                <c:pt idx="174">
                  <c:v>6.13</c:v>
                </c:pt>
                <c:pt idx="175">
                  <c:v>6.13</c:v>
                </c:pt>
                <c:pt idx="176">
                  <c:v>6.0999999999999988</c:v>
                </c:pt>
                <c:pt idx="177">
                  <c:v>6.09</c:v>
                </c:pt>
                <c:pt idx="178">
                  <c:v>9.695999999999998</c:v>
                </c:pt>
                <c:pt idx="179">
                  <c:v>9.6479999999999997</c:v>
                </c:pt>
                <c:pt idx="180">
                  <c:v>6.03</c:v>
                </c:pt>
                <c:pt idx="181">
                  <c:v>9.5999999999999979</c:v>
                </c:pt>
                <c:pt idx="182">
                  <c:v>9.5999999999999979</c:v>
                </c:pt>
                <c:pt idx="183">
                  <c:v>9.5999999999999979</c:v>
                </c:pt>
                <c:pt idx="184">
                  <c:v>5.9999999999999991</c:v>
                </c:pt>
                <c:pt idx="185">
                  <c:v>9.5039999999999996</c:v>
                </c:pt>
                <c:pt idx="186">
                  <c:v>5.63</c:v>
                </c:pt>
                <c:pt idx="187">
                  <c:v>5.5</c:v>
                </c:pt>
                <c:pt idx="188">
                  <c:v>5.5</c:v>
                </c:pt>
                <c:pt idx="189">
                  <c:v>6</c:v>
                </c:pt>
                <c:pt idx="190">
                  <c:v>6</c:v>
                </c:pt>
                <c:pt idx="191">
                  <c:v>8.3040000000000003</c:v>
                </c:pt>
                <c:pt idx="192">
                  <c:v>8.3040000000000003</c:v>
                </c:pt>
                <c:pt idx="193">
                  <c:v>8.24</c:v>
                </c:pt>
                <c:pt idx="194">
                  <c:v>8.0640000000000001</c:v>
                </c:pt>
                <c:pt idx="195">
                  <c:v>8.048</c:v>
                </c:pt>
                <c:pt idx="196">
                  <c:v>8.0319999999999983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7.056</c:v>
                </c:pt>
                <c:pt idx="206">
                  <c:v>6.7519999999999989</c:v>
                </c:pt>
                <c:pt idx="207">
                  <c:v>6.7039999999999997</c:v>
                </c:pt>
                <c:pt idx="208">
                  <c:v>6.6559999999999997</c:v>
                </c:pt>
                <c:pt idx="209">
                  <c:v>6.6079999999999988</c:v>
                </c:pt>
                <c:pt idx="210">
                  <c:v>6.6079999999999988</c:v>
                </c:pt>
                <c:pt idx="211">
                  <c:v>6.6079999999999988</c:v>
                </c:pt>
                <c:pt idx="212">
                  <c:v>6.5439999999999996</c:v>
                </c:pt>
                <c:pt idx="213">
                  <c:v>6.5439999999999996</c:v>
                </c:pt>
                <c:pt idx="214">
                  <c:v>6.4959999999999987</c:v>
                </c:pt>
                <c:pt idx="215">
                  <c:v>6.4959999999999987</c:v>
                </c:pt>
                <c:pt idx="216">
                  <c:v>6.0960000000000001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</c:numCache>
            </c:numRef>
          </c:xVal>
          <c:yVal>
            <c:numRef>
              <c:f>'headed (2)'!$DN$218:$DN$456</c:f>
              <c:numCache>
                <c:formatCode>General</c:formatCode>
                <c:ptCount val="225"/>
                <c:pt idx="0">
                  <c:v>1.6978913823018422</c:v>
                </c:pt>
                <c:pt idx="1">
                  <c:v>1.6978913823018422</c:v>
                </c:pt>
                <c:pt idx="4">
                  <c:v>0.73678053201601534</c:v>
                </c:pt>
                <c:pt idx="6">
                  <c:v>0.68724341538301104</c:v>
                </c:pt>
                <c:pt idx="7">
                  <c:v>0.85028063832166845</c:v>
                </c:pt>
                <c:pt idx="9">
                  <c:v>1.059782127050285</c:v>
                </c:pt>
                <c:pt idx="12">
                  <c:v>0.85852739822939572</c:v>
                </c:pt>
                <c:pt idx="13">
                  <c:v>0.69404556824261776</c:v>
                </c:pt>
                <c:pt idx="15">
                  <c:v>1.0851045143939175</c:v>
                </c:pt>
                <c:pt idx="18">
                  <c:v>1.2732119156908908</c:v>
                </c:pt>
                <c:pt idx="19">
                  <c:v>1.486801599498017</c:v>
                </c:pt>
                <c:pt idx="20">
                  <c:v>1.127721019295898</c:v>
                </c:pt>
                <c:pt idx="21">
                  <c:v>1.3354151143487145</c:v>
                </c:pt>
                <c:pt idx="25">
                  <c:v>1.4000927741086981</c:v>
                </c:pt>
                <c:pt idx="28">
                  <c:v>1.4489801776685771</c:v>
                </c:pt>
                <c:pt idx="32">
                  <c:v>1.4707672066107018</c:v>
                </c:pt>
                <c:pt idx="33">
                  <c:v>1.2575697339160365</c:v>
                </c:pt>
                <c:pt idx="38">
                  <c:v>0.95553229503146886</c:v>
                </c:pt>
                <c:pt idx="40">
                  <c:v>0.93377048827409681</c:v>
                </c:pt>
                <c:pt idx="42">
                  <c:v>1.4482630142707176</c:v>
                </c:pt>
                <c:pt idx="43">
                  <c:v>1.1669913938500407</c:v>
                </c:pt>
                <c:pt idx="44">
                  <c:v>1.1029753689711439</c:v>
                </c:pt>
                <c:pt idx="46">
                  <c:v>1.2065212017848979</c:v>
                </c:pt>
                <c:pt idx="47">
                  <c:v>0.94032104183423759</c:v>
                </c:pt>
                <c:pt idx="50">
                  <c:v>1.0886125437537382</c:v>
                </c:pt>
                <c:pt idx="52">
                  <c:v>0.99108586662496612</c:v>
                </c:pt>
                <c:pt idx="54">
                  <c:v>1.0958321519136152</c:v>
                </c:pt>
                <c:pt idx="56">
                  <c:v>0.80046699672781108</c:v>
                </c:pt>
                <c:pt idx="58">
                  <c:v>0.90336797784402101</c:v>
                </c:pt>
                <c:pt idx="60">
                  <c:v>1.035801217585661</c:v>
                </c:pt>
                <c:pt idx="61">
                  <c:v>1.0136499429452763</c:v>
                </c:pt>
                <c:pt idx="62">
                  <c:v>1.1085878003695551</c:v>
                </c:pt>
                <c:pt idx="63">
                  <c:v>1.1917519000638892</c:v>
                </c:pt>
                <c:pt idx="66">
                  <c:v>1.336765961716297</c:v>
                </c:pt>
                <c:pt idx="74">
                  <c:v>1.0658353776281775</c:v>
                </c:pt>
                <c:pt idx="78">
                  <c:v>1.5688980242628909</c:v>
                </c:pt>
                <c:pt idx="79">
                  <c:v>1.7241744032031006</c:v>
                </c:pt>
                <c:pt idx="81">
                  <c:v>1.0745054096439952</c:v>
                </c:pt>
                <c:pt idx="86">
                  <c:v>0.99104241411838778</c:v>
                </c:pt>
                <c:pt idx="87">
                  <c:v>1.2415241895472264</c:v>
                </c:pt>
                <c:pt idx="88">
                  <c:v>1.1108598911062268</c:v>
                </c:pt>
                <c:pt idx="89">
                  <c:v>0.98254513569119484</c:v>
                </c:pt>
                <c:pt idx="90">
                  <c:v>1.0134345640672162</c:v>
                </c:pt>
                <c:pt idx="91">
                  <c:v>1.0383544149159285</c:v>
                </c:pt>
                <c:pt idx="92">
                  <c:v>1.246854111705707</c:v>
                </c:pt>
                <c:pt idx="93">
                  <c:v>0.88968810745173232</c:v>
                </c:pt>
                <c:pt idx="94">
                  <c:v>1.015645214075779</c:v>
                </c:pt>
                <c:pt idx="95">
                  <c:v>1.0887563493315389</c:v>
                </c:pt>
                <c:pt idx="96">
                  <c:v>1.0615276951705674</c:v>
                </c:pt>
                <c:pt idx="100">
                  <c:v>0.9280417512964777</c:v>
                </c:pt>
                <c:pt idx="101">
                  <c:v>1.0429659273597731</c:v>
                </c:pt>
                <c:pt idx="105">
                  <c:v>0.97651110382324768</c:v>
                </c:pt>
                <c:pt idx="106">
                  <c:v>0.99490267950518141</c:v>
                </c:pt>
                <c:pt idx="108">
                  <c:v>0.67317534853537886</c:v>
                </c:pt>
                <c:pt idx="112">
                  <c:v>0.97995058160380566</c:v>
                </c:pt>
                <c:pt idx="113">
                  <c:v>0.84853134899852589</c:v>
                </c:pt>
                <c:pt idx="114">
                  <c:v>0.95490274844904621</c:v>
                </c:pt>
                <c:pt idx="115">
                  <c:v>0.93212965513993562</c:v>
                </c:pt>
                <c:pt idx="116">
                  <c:v>0.8760822339448866</c:v>
                </c:pt>
                <c:pt idx="117">
                  <c:v>1.267632927019867</c:v>
                </c:pt>
                <c:pt idx="118">
                  <c:v>1.0864732280294513</c:v>
                </c:pt>
                <c:pt idx="122">
                  <c:v>1.2694084672363284</c:v>
                </c:pt>
                <c:pt idx="123">
                  <c:v>1.0879820523592281</c:v>
                </c:pt>
                <c:pt idx="127">
                  <c:v>0.88584801505264343</c:v>
                </c:pt>
                <c:pt idx="128">
                  <c:v>0.98184147159351287</c:v>
                </c:pt>
                <c:pt idx="130">
                  <c:v>1.0443012016693149</c:v>
                </c:pt>
                <c:pt idx="132">
                  <c:v>1.2625217719196895</c:v>
                </c:pt>
                <c:pt idx="134">
                  <c:v>1.1787430355325779</c:v>
                </c:pt>
                <c:pt idx="136">
                  <c:v>1.1378780950693508</c:v>
                </c:pt>
                <c:pt idx="137">
                  <c:v>1.3410351127446876</c:v>
                </c:pt>
                <c:pt idx="139">
                  <c:v>0.87025939203289582</c:v>
                </c:pt>
                <c:pt idx="140">
                  <c:v>1.5147236131087898</c:v>
                </c:pt>
                <c:pt idx="142">
                  <c:v>1.1130622636058647</c:v>
                </c:pt>
                <c:pt idx="143">
                  <c:v>0.96545639129394512</c:v>
                </c:pt>
                <c:pt idx="144">
                  <c:v>1.0953486974677027</c:v>
                </c:pt>
                <c:pt idx="149">
                  <c:v>0.97511909646297612</c:v>
                </c:pt>
                <c:pt idx="154">
                  <c:v>1.1065773777959143</c:v>
                </c:pt>
                <c:pt idx="158">
                  <c:v>1.0849879495526928</c:v>
                </c:pt>
                <c:pt idx="161">
                  <c:v>0.74645745582544709</c:v>
                </c:pt>
                <c:pt idx="162">
                  <c:v>0.65440646347147291</c:v>
                </c:pt>
                <c:pt idx="163">
                  <c:v>0.86626402070750652</c:v>
                </c:pt>
                <c:pt idx="166">
                  <c:v>1.0359680488784047</c:v>
                </c:pt>
                <c:pt idx="168">
                  <c:v>1.0767191342865152</c:v>
                </c:pt>
                <c:pt idx="169">
                  <c:v>1.0771457263688171</c:v>
                </c:pt>
                <c:pt idx="173">
                  <c:v>1.1618512131976952</c:v>
                </c:pt>
                <c:pt idx="176">
                  <c:v>1.0002692328949259</c:v>
                </c:pt>
                <c:pt idx="178">
                  <c:v>1.2648314968012164</c:v>
                </c:pt>
                <c:pt idx="180">
                  <c:v>0.95972228420837502</c:v>
                </c:pt>
                <c:pt idx="182">
                  <c:v>1.1093102722998569</c:v>
                </c:pt>
                <c:pt idx="184">
                  <c:v>1.1248507186141501</c:v>
                </c:pt>
                <c:pt idx="185">
                  <c:v>1.3796539954432834</c:v>
                </c:pt>
                <c:pt idx="186">
                  <c:v>0.93712665612600687</c:v>
                </c:pt>
                <c:pt idx="187">
                  <c:v>1.0095343957325076</c:v>
                </c:pt>
                <c:pt idx="188">
                  <c:v>0.78909154398737613</c:v>
                </c:pt>
                <c:pt idx="192">
                  <c:v>1.4822322141280799</c:v>
                </c:pt>
                <c:pt idx="193">
                  <c:v>0.9601139047349182</c:v>
                </c:pt>
                <c:pt idx="195">
                  <c:v>1.0625500982773062</c:v>
                </c:pt>
                <c:pt idx="196">
                  <c:v>1.0627262740118579</c:v>
                </c:pt>
                <c:pt idx="201">
                  <c:v>1.1141268495754608</c:v>
                </c:pt>
                <c:pt idx="202">
                  <c:v>1.111818575715843</c:v>
                </c:pt>
                <c:pt idx="206">
                  <c:v>0.91208253125064931</c:v>
                </c:pt>
                <c:pt idx="207">
                  <c:v>1.2792539211145848</c:v>
                </c:pt>
                <c:pt idx="208">
                  <c:v>0.94846759987164653</c:v>
                </c:pt>
                <c:pt idx="210">
                  <c:v>0.77281597321579087</c:v>
                </c:pt>
                <c:pt idx="211">
                  <c:v>0.95614243505191698</c:v>
                </c:pt>
                <c:pt idx="212">
                  <c:v>1.0414859751276166</c:v>
                </c:pt>
                <c:pt idx="213">
                  <c:v>0.86413021470864393</c:v>
                </c:pt>
                <c:pt idx="216">
                  <c:v>0.74462905197182427</c:v>
                </c:pt>
                <c:pt idx="221">
                  <c:v>1</c:v>
                </c:pt>
                <c:pt idx="22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7F-4678-AFA1-A249048ACD3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(2)'!$AS$20:$AS$20</c:f>
            </c:numRef>
          </c:xVal>
          <c:yVal>
            <c:numRef>
              <c:f>'headed (2)'!$AS$21:$AS$22</c:f>
            </c:numRef>
          </c:yVal>
          <c:smooth val="0"/>
          <c:extLst>
            <c:ext xmlns:c16="http://schemas.microsoft.com/office/drawing/2014/chart" uri="{C3380CC4-5D6E-409C-BE32-E72D297353CC}">
              <c16:uniqueId val="{00000004-AA7F-4678-AFA1-A249048ACD30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(2)'!$O$193:$O$217</c:f>
              <c:numCache>
                <c:formatCode>General</c:formatCode>
                <c:ptCount val="25"/>
                <c:pt idx="0">
                  <c:v>8.3595113438045381</c:v>
                </c:pt>
                <c:pt idx="1">
                  <c:v>12.368794326241137</c:v>
                </c:pt>
                <c:pt idx="2">
                  <c:v>12.234042553191491</c:v>
                </c:pt>
                <c:pt idx="3">
                  <c:v>12.148936170212767</c:v>
                </c:pt>
                <c:pt idx="4">
                  <c:v>12.067039106145252</c:v>
                </c:pt>
                <c:pt idx="5">
                  <c:v>12.056737588652483</c:v>
                </c:pt>
                <c:pt idx="6">
                  <c:v>12.014184397163124</c:v>
                </c:pt>
                <c:pt idx="7">
                  <c:v>12.014184397163124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12.000000000000004</c:v>
                </c:pt>
                <c:pt idx="15">
                  <c:v>12.000000000000004</c:v>
                </c:pt>
                <c:pt idx="16">
                  <c:v>11.921985815602838</c:v>
                </c:pt>
                <c:pt idx="17">
                  <c:v>11.921985815602838</c:v>
                </c:pt>
                <c:pt idx="18">
                  <c:v>11.879432624113477</c:v>
                </c:pt>
                <c:pt idx="19">
                  <c:v>11.858156028368795</c:v>
                </c:pt>
                <c:pt idx="20">
                  <c:v>11.744680851063832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</c:numCache>
            </c:numRef>
          </c:xVal>
          <c:yVal>
            <c:numRef>
              <c:f>'headed (2)'!$DH$193:$DH$217</c:f>
              <c:numCache>
                <c:formatCode>General</c:formatCode>
                <c:ptCount val="25"/>
                <c:pt idx="2">
                  <c:v>1.1167546869959355</c:v>
                </c:pt>
                <c:pt idx="3">
                  <c:v>1.0416632154626597</c:v>
                </c:pt>
                <c:pt idx="4">
                  <c:v>1.4709966291791812</c:v>
                </c:pt>
                <c:pt idx="6">
                  <c:v>1.1153119606929831</c:v>
                </c:pt>
                <c:pt idx="8">
                  <c:v>1.131898315070766</c:v>
                </c:pt>
                <c:pt idx="9">
                  <c:v>1.131898315070766</c:v>
                </c:pt>
                <c:pt idx="10">
                  <c:v>1.0412218156152346</c:v>
                </c:pt>
                <c:pt idx="11">
                  <c:v>1.0412218156152346</c:v>
                </c:pt>
                <c:pt idx="14">
                  <c:v>0.85080970194489203</c:v>
                </c:pt>
                <c:pt idx="15">
                  <c:v>0.8085349544542425</c:v>
                </c:pt>
                <c:pt idx="20">
                  <c:v>1.0182198876788391</c:v>
                </c:pt>
                <c:pt idx="21">
                  <c:v>1.3095784928162608</c:v>
                </c:pt>
                <c:pt idx="22">
                  <c:v>1.3095784928162608</c:v>
                </c:pt>
                <c:pt idx="23">
                  <c:v>1.3493245422364921</c:v>
                </c:pt>
                <c:pt idx="24">
                  <c:v>1.3493245422364921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A7F-4678-AFA1-A249048ACD30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(2)'!$O$193:$O$217</c:f>
              <c:numCache>
                <c:formatCode>General</c:formatCode>
                <c:ptCount val="25"/>
                <c:pt idx="0">
                  <c:v>8.3595113438045381</c:v>
                </c:pt>
                <c:pt idx="1">
                  <c:v>12.368794326241137</c:v>
                </c:pt>
                <c:pt idx="2">
                  <c:v>12.234042553191491</c:v>
                </c:pt>
                <c:pt idx="3">
                  <c:v>12.148936170212767</c:v>
                </c:pt>
                <c:pt idx="4">
                  <c:v>12.067039106145252</c:v>
                </c:pt>
                <c:pt idx="5">
                  <c:v>12.056737588652483</c:v>
                </c:pt>
                <c:pt idx="6">
                  <c:v>12.014184397163124</c:v>
                </c:pt>
                <c:pt idx="7">
                  <c:v>12.014184397163124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12.000000000000004</c:v>
                </c:pt>
                <c:pt idx="15">
                  <c:v>12.000000000000004</c:v>
                </c:pt>
                <c:pt idx="16">
                  <c:v>11.921985815602838</c:v>
                </c:pt>
                <c:pt idx="17">
                  <c:v>11.921985815602838</c:v>
                </c:pt>
                <c:pt idx="18">
                  <c:v>11.879432624113477</c:v>
                </c:pt>
                <c:pt idx="19">
                  <c:v>11.858156028368795</c:v>
                </c:pt>
                <c:pt idx="20">
                  <c:v>11.744680851063832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</c:numCache>
            </c:numRef>
          </c:xVal>
          <c:yVal>
            <c:numRef>
              <c:f>'headed (2)'!$DN$193:$DN$217</c:f>
              <c:numCache>
                <c:formatCode>General</c:formatCode>
                <c:ptCount val="25"/>
                <c:pt idx="1">
                  <c:v>1.1905256945812908</c:v>
                </c:pt>
                <c:pt idx="5">
                  <c:v>1.0293844757547645</c:v>
                </c:pt>
                <c:pt idx="7">
                  <c:v>1.2956424138648808</c:v>
                </c:pt>
                <c:pt idx="12">
                  <c:v>1.1716971921552939</c:v>
                </c:pt>
                <c:pt idx="13">
                  <c:v>1.1716971921552939</c:v>
                </c:pt>
                <c:pt idx="16">
                  <c:v>1.2571639757274684</c:v>
                </c:pt>
                <c:pt idx="17">
                  <c:v>1.2692714892463186</c:v>
                </c:pt>
                <c:pt idx="18">
                  <c:v>1.2091353781823571</c:v>
                </c:pt>
                <c:pt idx="19">
                  <c:v>1.1753055919076683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7F-4678-AFA1-A249048AC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18048"/>
        <c:axId val="132819968"/>
      </c:scatterChart>
      <c:valAx>
        <c:axId val="1328180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9968"/>
        <c:crosses val="autoZero"/>
        <c:crossBetween val="midCat"/>
      </c:valAx>
      <c:valAx>
        <c:axId val="13281996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80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headed!$CG$20:$CG$1278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0</c:v>
                </c:pt>
                <c:pt idx="205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1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E0-413B-A3F2-CC5F4E39295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E0-413B-A3F2-CC5F4E392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81280"/>
        <c:axId val="129682816"/>
      </c:scatterChart>
      <c:valAx>
        <c:axId val="1296812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2816"/>
        <c:crosses val="autoZero"/>
        <c:crossBetween val="midCat"/>
      </c:valAx>
      <c:valAx>
        <c:axId val="1296828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12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+mn-lt"/>
        </a:defRPr>
      </a:pPr>
      <a:endParaRPr lang="ko-KR"/>
    </a:p>
  </c:txPr>
  <c:printSettings>
    <c:headerFooter/>
    <c:pageMargins b="0.75000000000000466" l="0.70000000000000062" r="0.70000000000000062" t="0.75000000000000466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3.2301041666667023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headed!$CI$19:$CI$1537</c:f>
              <c:numCache>
                <c:formatCode>General</c:formatCode>
                <c:ptCount val="1519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205">
                  <c:v>0</c:v>
                </c:pt>
                <c:pt idx="206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2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A1-4180-9109-0E96F534634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A1-4180-9109-0E96F5346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97696"/>
        <c:axId val="128811776"/>
      </c:scatterChart>
      <c:valAx>
        <c:axId val="128797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811776"/>
        <c:crosses val="autoZero"/>
        <c:crossBetween val="midCat"/>
      </c:valAx>
      <c:valAx>
        <c:axId val="1288117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79769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11" l="0.70000000000000062" r="0.70000000000000062" t="0.75000000000000511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headed!$CJ$20:$CJ$1278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0</c:v>
                </c:pt>
                <c:pt idx="205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1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6D-4DC7-A0D6-D59178FB1CF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6D-4DC7-A0D6-D59178FB1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35392"/>
        <c:axId val="129836928"/>
      </c:scatterChart>
      <c:valAx>
        <c:axId val="1298353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6928"/>
        <c:crosses val="autoZero"/>
        <c:crossBetween val="midCat"/>
      </c:valAx>
      <c:valAx>
        <c:axId val="1298369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53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headed!$CK$105:$CK$147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E4-4D53-BFBF-B59F328B8724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E4-4D53-BFBF-B59F328B8724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headed!$CK$156:$CK$537</c:f>
              <c:numCache>
                <c:formatCode>General</c:formatCode>
                <c:ptCount val="38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0.84833333333333338</c:v>
                </c:pt>
                <c:pt idx="97">
                  <c:v>1</c:v>
                </c:pt>
                <c:pt idx="98">
                  <c:v>1.0732340453544049</c:v>
                </c:pt>
                <c:pt idx="99">
                  <c:v>1.0025154962900582</c:v>
                </c:pt>
                <c:pt idx="100">
                  <c:v>1.3316690082587483</c:v>
                </c:pt>
                <c:pt idx="101">
                  <c:v>1.097611405753202</c:v>
                </c:pt>
                <c:pt idx="102">
                  <c:v>1.1737171323264513</c:v>
                </c:pt>
                <c:pt idx="103">
                  <c:v>0.98499999999999999</c:v>
                </c:pt>
                <c:pt idx="104">
                  <c:v>1.1793748514869569</c:v>
                </c:pt>
                <c:pt idx="105">
                  <c:v>1.0114255979953197</c:v>
                </c:pt>
                <c:pt idx="106">
                  <c:v>1.4143463626576895</c:v>
                </c:pt>
                <c:pt idx="107">
                  <c:v>1.1787643163301271</c:v>
                </c:pt>
                <c:pt idx="108">
                  <c:v>0.98628051473021827</c:v>
                </c:pt>
                <c:pt idx="109">
                  <c:v>0.96916666666666662</c:v>
                </c:pt>
                <c:pt idx="110">
                  <c:v>1.1078590441518625</c:v>
                </c:pt>
                <c:pt idx="111">
                  <c:v>1.0255837865554474</c:v>
                </c:pt>
                <c:pt idx="112">
                  <c:v>1.2622199993298189</c:v>
                </c:pt>
                <c:pt idx="113">
                  <c:v>1.0612133921380551</c:v>
                </c:pt>
                <c:pt idx="114">
                  <c:v>0.89800579941581282</c:v>
                </c:pt>
                <c:pt idx="115">
                  <c:v>0.88210240843168164</c:v>
                </c:pt>
                <c:pt idx="116">
                  <c:v>1.0355623876435345</c:v>
                </c:pt>
                <c:pt idx="117">
                  <c:v>0.97531366488201143</c:v>
                </c:pt>
                <c:pt idx="118">
                  <c:v>1.2275313013278444</c:v>
                </c:pt>
                <c:pt idx="119">
                  <c:v>1.0909962422431996</c:v>
                </c:pt>
                <c:pt idx="120">
                  <c:v>0.98097068748379734</c:v>
                </c:pt>
                <c:pt idx="121">
                  <c:v>1.0184221931806774</c:v>
                </c:pt>
                <c:pt idx="122">
                  <c:v>1.2076437156812905</c:v>
                </c:pt>
                <c:pt idx="123">
                  <c:v>1.026278911927931</c:v>
                </c:pt>
                <c:pt idx="124">
                  <c:v>0.95166687424883689</c:v>
                </c:pt>
                <c:pt idx="125">
                  <c:v>0.94979047422646845</c:v>
                </c:pt>
                <c:pt idx="126">
                  <c:v>1.0555684263285166</c:v>
                </c:pt>
                <c:pt idx="127">
                  <c:v>0.75449639049580097</c:v>
                </c:pt>
                <c:pt idx="128">
                  <c:v>0.85631332847185648</c:v>
                </c:pt>
                <c:pt idx="129">
                  <c:v>0.73864862864762737</c:v>
                </c:pt>
                <c:pt idx="130">
                  <c:v>1.0122595831277816</c:v>
                </c:pt>
                <c:pt idx="131">
                  <c:v>0.75738494469674067</c:v>
                </c:pt>
                <c:pt idx="132">
                  <c:v>0.98660780016235983</c:v>
                </c:pt>
                <c:pt idx="133">
                  <c:v>0.7688185795271586</c:v>
                </c:pt>
                <c:pt idx="134">
                  <c:v>0.93949066396852476</c:v>
                </c:pt>
                <c:pt idx="135">
                  <c:v>1.051317145691999</c:v>
                </c:pt>
                <c:pt idx="136">
                  <c:v>1.0428358329621183</c:v>
                </c:pt>
                <c:pt idx="137">
                  <c:v>0.90762534595970545</c:v>
                </c:pt>
                <c:pt idx="138">
                  <c:v>0.96668345094347008</c:v>
                </c:pt>
                <c:pt idx="139">
                  <c:v>0.92467198904083814</c:v>
                </c:pt>
                <c:pt idx="140">
                  <c:v>1.0457977173215069</c:v>
                </c:pt>
                <c:pt idx="141">
                  <c:v>0.98277763354811387</c:v>
                </c:pt>
                <c:pt idx="142">
                  <c:v>0.96655501262970034</c:v>
                </c:pt>
                <c:pt idx="143">
                  <c:v>0.94029242605845686</c:v>
                </c:pt>
                <c:pt idx="144">
                  <c:v>1.0210557999824699</c:v>
                </c:pt>
                <c:pt idx="145">
                  <c:v>1.0263095681968797</c:v>
                </c:pt>
                <c:pt idx="146">
                  <c:v>0.99617785069192466</c:v>
                </c:pt>
                <c:pt idx="147">
                  <c:v>1.1112596892664182</c:v>
                </c:pt>
                <c:pt idx="148">
                  <c:v>1.1281282791225913</c:v>
                </c:pt>
                <c:pt idx="149">
                  <c:v>1.3411331667214759</c:v>
                </c:pt>
                <c:pt idx="150">
                  <c:v>1.4014181325909159</c:v>
                </c:pt>
                <c:pt idx="151">
                  <c:v>1.1403447227271795</c:v>
                </c:pt>
                <c:pt idx="152">
                  <c:v>1.1667495807153807</c:v>
                </c:pt>
                <c:pt idx="153">
                  <c:v>1.3055599870590859</c:v>
                </c:pt>
                <c:pt idx="154">
                  <c:v>1.4151480032461179</c:v>
                </c:pt>
                <c:pt idx="155">
                  <c:v>1.0695354015578697</c:v>
                </c:pt>
                <c:pt idx="156">
                  <c:v>1.1086028706787405</c:v>
                </c:pt>
                <c:pt idx="157">
                  <c:v>1.2682678827222702</c:v>
                </c:pt>
                <c:pt idx="158">
                  <c:v>1.4782200012625968</c:v>
                </c:pt>
                <c:pt idx="159">
                  <c:v>0.87833333333333341</c:v>
                </c:pt>
                <c:pt idx="160">
                  <c:v>0.89214840379637628</c:v>
                </c:pt>
                <c:pt idx="161">
                  <c:v>0.95168248490077645</c:v>
                </c:pt>
                <c:pt idx="162">
                  <c:v>0.64304013454181963</c:v>
                </c:pt>
                <c:pt idx="163">
                  <c:v>0.76838286120630295</c:v>
                </c:pt>
                <c:pt idx="164">
                  <c:v>0.89552419733717004</c:v>
                </c:pt>
                <c:pt idx="165">
                  <c:v>0.7840718743477787</c:v>
                </c:pt>
                <c:pt idx="166">
                  <c:v>0.98409766607899973</c:v>
                </c:pt>
                <c:pt idx="167">
                  <c:v>1.1028377286200142</c:v>
                </c:pt>
                <c:pt idx="168">
                  <c:v>0.81958454427477145</c:v>
                </c:pt>
                <c:pt idx="169">
                  <c:v>0.86504992090891586</c:v>
                </c:pt>
                <c:pt idx="170">
                  <c:v>0.77187994815402661</c:v>
                </c:pt>
                <c:pt idx="171">
                  <c:v>0.96079814882500592</c:v>
                </c:pt>
                <c:pt idx="172">
                  <c:v>0.72179535196685451</c:v>
                </c:pt>
                <c:pt idx="173">
                  <c:v>0.90958443196571492</c:v>
                </c:pt>
                <c:pt idx="174">
                  <c:v>0.94633885858091515</c:v>
                </c:pt>
                <c:pt idx="175">
                  <c:v>0.88772695202762453</c:v>
                </c:pt>
                <c:pt idx="176">
                  <c:v>1.040321922403797</c:v>
                </c:pt>
                <c:pt idx="177">
                  <c:v>1.0201564955106805</c:v>
                </c:pt>
                <c:pt idx="178">
                  <c:v>1.1408969245623375</c:v>
                </c:pt>
                <c:pt idx="179">
                  <c:v>1.0927712921092712</c:v>
                </c:pt>
                <c:pt idx="180">
                  <c:v>1.2733735889849789</c:v>
                </c:pt>
                <c:pt idx="181">
                  <c:v>1.0374944577148659</c:v>
                </c:pt>
                <c:pt idx="182">
                  <c:v>1.0877385129806194</c:v>
                </c:pt>
                <c:pt idx="183">
                  <c:v>0.77596899224806193</c:v>
                </c:pt>
                <c:pt idx="184">
                  <c:v>0.76884181445606981</c:v>
                </c:pt>
                <c:pt idx="185">
                  <c:v>1</c:v>
                </c:pt>
                <c:pt idx="186">
                  <c:v>1.0970371571867716</c:v>
                </c:pt>
                <c:pt idx="187">
                  <c:v>0.93271114834467483</c:v>
                </c:pt>
                <c:pt idx="188">
                  <c:v>0.98191767642597505</c:v>
                </c:pt>
                <c:pt idx="189">
                  <c:v>0.92990729725452292</c:v>
                </c:pt>
                <c:pt idx="190">
                  <c:v>1.2334336233137346</c:v>
                </c:pt>
                <c:pt idx="191">
                  <c:v>0.73708254508719195</c:v>
                </c:pt>
                <c:pt idx="192">
                  <c:v>0.76475423221277683</c:v>
                </c:pt>
                <c:pt idx="193">
                  <c:v>0.80505769112623204</c:v>
                </c:pt>
                <c:pt idx="194">
                  <c:v>1.1698808414795534</c:v>
                </c:pt>
                <c:pt idx="195">
                  <c:v>0.81066942187607538</c:v>
                </c:pt>
                <c:pt idx="196">
                  <c:v>0.89753775945612424</c:v>
                </c:pt>
                <c:pt idx="197">
                  <c:v>0.89515643202731698</c:v>
                </c:pt>
                <c:pt idx="198">
                  <c:v>0.95550025830198404</c:v>
                </c:pt>
                <c:pt idx="199">
                  <c:v>1.0643352713979048</c:v>
                </c:pt>
                <c:pt idx="200">
                  <c:v>0.9161935541106252</c:v>
                </c:pt>
                <c:pt idx="201">
                  <c:v>1.0276805768179793</c:v>
                </c:pt>
                <c:pt idx="202">
                  <c:v>0.79497862339968595</c:v>
                </c:pt>
                <c:pt idx="203">
                  <c:v>1.0750809484919404</c:v>
                </c:pt>
                <c:pt idx="204">
                  <c:v>0.62319362436667958</c:v>
                </c:pt>
                <c:pt idx="205">
                  <c:v>0.96051437093285852</c:v>
                </c:pt>
                <c:pt idx="206">
                  <c:v>0.87917179348650509</c:v>
                </c:pt>
                <c:pt idx="207">
                  <c:v>1.2347092535127056</c:v>
                </c:pt>
                <c:pt idx="208">
                  <c:v>0.60184794055467938</c:v>
                </c:pt>
                <c:pt idx="209">
                  <c:v>1.0219610040497915</c:v>
                </c:pt>
                <c:pt idx="210">
                  <c:v>0.7330357782373077</c:v>
                </c:pt>
                <c:pt idx="211">
                  <c:v>1.1198131819366681</c:v>
                </c:pt>
                <c:pt idx="212">
                  <c:v>0.66486057633594775</c:v>
                </c:pt>
                <c:pt idx="213">
                  <c:v>1.0063627542062954</c:v>
                </c:pt>
                <c:pt idx="214">
                  <c:v>0.65201390875330911</c:v>
                </c:pt>
                <c:pt idx="215">
                  <c:v>0.96063482258325084</c:v>
                </c:pt>
                <c:pt idx="216">
                  <c:v>0.72042570438964904</c:v>
                </c:pt>
                <c:pt idx="217">
                  <c:v>1.1550340401026544</c:v>
                </c:pt>
                <c:pt idx="218">
                  <c:v>0.65535916327208799</c:v>
                </c:pt>
                <c:pt idx="219">
                  <c:v>1.1105084560718819</c:v>
                </c:pt>
                <c:pt idx="220">
                  <c:v>0.79874270242833545</c:v>
                </c:pt>
                <c:pt idx="221">
                  <c:v>1.023547164422965</c:v>
                </c:pt>
                <c:pt idx="222">
                  <c:v>0.85551395808440578</c:v>
                </c:pt>
                <c:pt idx="223">
                  <c:v>0.98139244277365356</c:v>
                </c:pt>
                <c:pt idx="224">
                  <c:v>0.70984876435598188</c:v>
                </c:pt>
                <c:pt idx="225">
                  <c:v>1.0481130483497585</c:v>
                </c:pt>
                <c:pt idx="226">
                  <c:v>0.90063459723224326</c:v>
                </c:pt>
                <c:pt idx="227">
                  <c:v>1.2858428339267387</c:v>
                </c:pt>
                <c:pt idx="228">
                  <c:v>0.89396556017501727</c:v>
                </c:pt>
                <c:pt idx="229">
                  <c:v>0.98338913792026705</c:v>
                </c:pt>
                <c:pt idx="230">
                  <c:v>1.036322161226584</c:v>
                </c:pt>
                <c:pt idx="231">
                  <c:v>1.3610574349331113</c:v>
                </c:pt>
                <c:pt idx="232">
                  <c:v>1.1811110675219012</c:v>
                </c:pt>
                <c:pt idx="233">
                  <c:v>0.65825114412661645</c:v>
                </c:pt>
                <c:pt idx="234">
                  <c:v>0.77378912538861899</c:v>
                </c:pt>
                <c:pt idx="235">
                  <c:v>0.75899280575539563</c:v>
                </c:pt>
                <c:pt idx="236">
                  <c:v>0.8904869210020433</c:v>
                </c:pt>
                <c:pt idx="237">
                  <c:v>0.90287769784172656</c:v>
                </c:pt>
                <c:pt idx="238">
                  <c:v>0.98498574494393953</c:v>
                </c:pt>
                <c:pt idx="239">
                  <c:v>0.96762589928057552</c:v>
                </c:pt>
                <c:pt idx="240">
                  <c:v>1</c:v>
                </c:pt>
                <c:pt idx="241">
                  <c:v>0.81191613543819985</c:v>
                </c:pt>
                <c:pt idx="242">
                  <c:v>0.9430316920738141</c:v>
                </c:pt>
                <c:pt idx="243">
                  <c:v>1.0458763223941501</c:v>
                </c:pt>
                <c:pt idx="244">
                  <c:v>0.93075915185163327</c:v>
                </c:pt>
                <c:pt idx="245">
                  <c:v>1.0597976267559761</c:v>
                </c:pt>
                <c:pt idx="246">
                  <c:v>1.4770163586145215</c:v>
                </c:pt>
                <c:pt idx="247">
                  <c:v>0.9223210736286156</c:v>
                </c:pt>
                <c:pt idx="248">
                  <c:v>1.0760378613885915</c:v>
                </c:pt>
                <c:pt idx="249">
                  <c:v>1.0622002196076112</c:v>
                </c:pt>
                <c:pt idx="250">
                  <c:v>0.68598892644176579</c:v>
                </c:pt>
                <c:pt idx="251">
                  <c:v>0.83117670323868909</c:v>
                </c:pt>
                <c:pt idx="252">
                  <c:v>0.90798285629871378</c:v>
                </c:pt>
                <c:pt idx="253">
                  <c:v>0.80065106847835565</c:v>
                </c:pt>
                <c:pt idx="254">
                  <c:v>0.91366453911512724</c:v>
                </c:pt>
                <c:pt idx="255">
                  <c:v>0.63658061415316614</c:v>
                </c:pt>
                <c:pt idx="256">
                  <c:v>0.67872485494033818</c:v>
                </c:pt>
                <c:pt idx="257">
                  <c:v>0.83340478977310528</c:v>
                </c:pt>
                <c:pt idx="258">
                  <c:v>0.61800778838527559</c:v>
                </c:pt>
                <c:pt idx="259">
                  <c:v>0.70367808719437008</c:v>
                </c:pt>
                <c:pt idx="260">
                  <c:v>0.9393306132040562</c:v>
                </c:pt>
                <c:pt idx="261">
                  <c:v>0.65027889870200761</c:v>
                </c:pt>
                <c:pt idx="262">
                  <c:v>0.95884996399514588</c:v>
                </c:pt>
                <c:pt idx="263">
                  <c:v>1.0237310466798923</c:v>
                </c:pt>
                <c:pt idx="264">
                  <c:v>0.58197921135499686</c:v>
                </c:pt>
                <c:pt idx="265">
                  <c:v>0.64761509962742803</c:v>
                </c:pt>
                <c:pt idx="266">
                  <c:v>0.80079303363680798</c:v>
                </c:pt>
                <c:pt idx="267">
                  <c:v>0.47564989032534455</c:v>
                </c:pt>
                <c:pt idx="268">
                  <c:v>0.66704150177213273</c:v>
                </c:pt>
                <c:pt idx="269">
                  <c:v>0.70702684009784134</c:v>
                </c:pt>
                <c:pt idx="270">
                  <c:v>1.0814969925658282</c:v>
                </c:pt>
                <c:pt idx="271">
                  <c:v>0.99576500752813224</c:v>
                </c:pt>
                <c:pt idx="272">
                  <c:v>0.99413885294838056</c:v>
                </c:pt>
                <c:pt idx="273">
                  <c:v>1.1394424782402843</c:v>
                </c:pt>
                <c:pt idx="274">
                  <c:v>0.67339603919552049</c:v>
                </c:pt>
                <c:pt idx="275">
                  <c:v>0.8706995887826271</c:v>
                </c:pt>
                <c:pt idx="276">
                  <c:v>1.0281950348313329</c:v>
                </c:pt>
                <c:pt idx="277">
                  <c:v>1.1970277979743196</c:v>
                </c:pt>
                <c:pt idx="278">
                  <c:v>0.75774169091366828</c:v>
                </c:pt>
                <c:pt idx="279">
                  <c:v>1.0238289667935871</c:v>
                </c:pt>
                <c:pt idx="280">
                  <c:v>0.73182258163771818</c:v>
                </c:pt>
                <c:pt idx="281">
                  <c:v>0.85256630700679548</c:v>
                </c:pt>
                <c:pt idx="282">
                  <c:v>0.99737956201403044</c:v>
                </c:pt>
                <c:pt idx="283">
                  <c:v>1.0728433505360115</c:v>
                </c:pt>
                <c:pt idx="284">
                  <c:v>1.2159686517391213</c:v>
                </c:pt>
                <c:pt idx="285">
                  <c:v>1.2091576243153148</c:v>
                </c:pt>
                <c:pt idx="286">
                  <c:v>0.79048475314469613</c:v>
                </c:pt>
                <c:pt idx="287">
                  <c:v>0.83691102883897983</c:v>
                </c:pt>
                <c:pt idx="288">
                  <c:v>1.006304469333855</c:v>
                </c:pt>
                <c:pt idx="289">
                  <c:v>1.189548271882735</c:v>
                </c:pt>
                <c:pt idx="290">
                  <c:v>1.1596127136690846</c:v>
                </c:pt>
                <c:pt idx="291">
                  <c:v>1.2217011324137843</c:v>
                </c:pt>
                <c:pt idx="292">
                  <c:v>1.3325481105008794</c:v>
                </c:pt>
                <c:pt idx="293">
                  <c:v>1.3127262358757383</c:v>
                </c:pt>
                <c:pt idx="294">
                  <c:v>1.1515856076091984</c:v>
                </c:pt>
                <c:pt idx="295">
                  <c:v>1.1740740153975369</c:v>
                </c:pt>
                <c:pt idx="296">
                  <c:v>1.2956263023911716</c:v>
                </c:pt>
                <c:pt idx="2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E4-4D53-BFBF-B59F328B8724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headed!$CK$19:$CK$94</c:f>
              <c:numCache>
                <c:formatCode>General</c:formatCode>
                <c:ptCount val="76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E4-4D53-BFBF-B59F328B872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CE4-4D53-BFBF-B59F328B8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72640"/>
        <c:axId val="129874176"/>
      </c:scatterChart>
      <c:valAx>
        <c:axId val="1298726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4176"/>
        <c:crosses val="autoZero"/>
        <c:crossBetween val="midCat"/>
      </c:valAx>
      <c:valAx>
        <c:axId val="1298741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264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headed!$CL$19:$CL$537</c:f>
              <c:numCache>
                <c:formatCode>General</c:formatCode>
                <c:ptCount val="519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50">
                  <c:v>1.0049803374710342</c:v>
                </c:pt>
                <c:pt idx="151">
                  <c:v>1.336765961716297</c:v>
                </c:pt>
                <c:pt idx="152">
                  <c:v>1.3502706830387621</c:v>
                </c:pt>
                <c:pt idx="153">
                  <c:v>1.0412218156152346</c:v>
                </c:pt>
                <c:pt idx="154">
                  <c:v>1.1716971921552939</c:v>
                </c:pt>
                <c:pt idx="155">
                  <c:v>1.131898315070766</c:v>
                </c:pt>
                <c:pt idx="156">
                  <c:v>1.1972859454860088</c:v>
                </c:pt>
                <c:pt idx="157">
                  <c:v>1.1825979304836267</c:v>
                </c:pt>
                <c:pt idx="158">
                  <c:v>1.1802441564682067</c:v>
                </c:pt>
                <c:pt idx="159">
                  <c:v>1.3701259564751176</c:v>
                </c:pt>
                <c:pt idx="160">
                  <c:v>1.2158256317980205</c:v>
                </c:pt>
                <c:pt idx="161">
                  <c:v>1.1078654557321155</c:v>
                </c:pt>
                <c:pt idx="162">
                  <c:v>0.88558461738800009</c:v>
                </c:pt>
                <c:pt idx="163">
                  <c:v>1.0971269956239666</c:v>
                </c:pt>
                <c:pt idx="164">
                  <c:v>1.3493245422364921</c:v>
                </c:pt>
                <c:pt idx="165">
                  <c:v>1.6978913823018422</c:v>
                </c:pt>
                <c:pt idx="166">
                  <c:v>1.3095784928162608</c:v>
                </c:pt>
                <c:pt idx="167">
                  <c:v>1.1362985571149462</c:v>
                </c:pt>
                <c:pt idx="168">
                  <c:v>1.4489090299456451</c:v>
                </c:pt>
                <c:pt idx="169">
                  <c:v>1.1264315123772384</c:v>
                </c:pt>
                <c:pt idx="170">
                  <c:v>1.250702910301895</c:v>
                </c:pt>
                <c:pt idx="171">
                  <c:v>1.6061312508358303</c:v>
                </c:pt>
                <c:pt idx="172">
                  <c:v>1.5076213914643732</c:v>
                </c:pt>
                <c:pt idx="173">
                  <c:v>1.6116129274598434</c:v>
                </c:pt>
                <c:pt idx="174">
                  <c:v>1.353732099805089</c:v>
                </c:pt>
                <c:pt idx="175">
                  <c:v>1.2140631955584191</c:v>
                </c:pt>
                <c:pt idx="176">
                  <c:v>1.2142589675863487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205">
                  <c:v>1.3383380886118024</c:v>
                </c:pt>
                <c:pt idx="206">
                  <c:v>1.0667341823935248</c:v>
                </c:pt>
                <c:pt idx="208">
                  <c:v>0.96123910886210173</c:v>
                </c:pt>
                <c:pt idx="209">
                  <c:v>1.0800473563193289</c:v>
                </c:pt>
                <c:pt idx="210">
                  <c:v>1.5688980242628909</c:v>
                </c:pt>
                <c:pt idx="212">
                  <c:v>1.3081102480693489</c:v>
                </c:pt>
                <c:pt idx="216">
                  <c:v>1.6772269266410664</c:v>
                </c:pt>
                <c:pt idx="217">
                  <c:v>1.1150394683014302</c:v>
                </c:pt>
                <c:pt idx="218">
                  <c:v>0.93601937017964099</c:v>
                </c:pt>
                <c:pt idx="219">
                  <c:v>1.2119877238401617</c:v>
                </c:pt>
                <c:pt idx="220">
                  <c:v>1.4335498222786425</c:v>
                </c:pt>
                <c:pt idx="221">
                  <c:v>1.7241744032031006</c:v>
                </c:pt>
                <c:pt idx="222">
                  <c:v>1.4709966291791812</c:v>
                </c:pt>
                <c:pt idx="223">
                  <c:v>1.024630490427666</c:v>
                </c:pt>
                <c:pt idx="224">
                  <c:v>1.7084704294313242</c:v>
                </c:pt>
                <c:pt idx="225">
                  <c:v>1.5425351929470028</c:v>
                </c:pt>
                <c:pt idx="226">
                  <c:v>1.4530735737887628</c:v>
                </c:pt>
                <c:pt idx="228">
                  <c:v>1.162098744070923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0.91851247644247092</c:v>
                </c:pt>
                <c:pt idx="234">
                  <c:v>1</c:v>
                </c:pt>
                <c:pt idx="235">
                  <c:v>1.1669913938500407</c:v>
                </c:pt>
                <c:pt idx="236">
                  <c:v>1.0958321519136152</c:v>
                </c:pt>
                <c:pt idx="237">
                  <c:v>1.4482630142707176</c:v>
                </c:pt>
                <c:pt idx="238">
                  <c:v>1.2065212017848979</c:v>
                </c:pt>
                <c:pt idx="239">
                  <c:v>1.2638608456589822</c:v>
                </c:pt>
                <c:pt idx="240">
                  <c:v>1.0429653107588621</c:v>
                </c:pt>
                <c:pt idx="241">
                  <c:v>1.267632927019867</c:v>
                </c:pt>
                <c:pt idx="242">
                  <c:v>1.0864732280294513</c:v>
                </c:pt>
                <c:pt idx="243">
                  <c:v>1.5147236131087898</c:v>
                </c:pt>
                <c:pt idx="244">
                  <c:v>1.2694084672363284</c:v>
                </c:pt>
                <c:pt idx="245">
                  <c:v>1.0591467407093387</c:v>
                </c:pt>
                <c:pt idx="246">
                  <c:v>0.99943469121787187</c:v>
                </c:pt>
                <c:pt idx="247">
                  <c:v>1.1787430355325779</c:v>
                </c:pt>
                <c:pt idx="248">
                  <c:v>1.0953486974677027</c:v>
                </c:pt>
                <c:pt idx="249">
                  <c:v>1.3410351127446876</c:v>
                </c:pt>
                <c:pt idx="250">
                  <c:v>1.1378780950693508</c:v>
                </c:pt>
                <c:pt idx="251">
                  <c:v>0.94606036381909953</c:v>
                </c:pt>
                <c:pt idx="252">
                  <c:v>0.9280417512964777</c:v>
                </c:pt>
                <c:pt idx="253">
                  <c:v>1.0537522781326267</c:v>
                </c:pt>
                <c:pt idx="254">
                  <c:v>0.99104241411838778</c:v>
                </c:pt>
                <c:pt idx="255">
                  <c:v>1.246854111705707</c:v>
                </c:pt>
                <c:pt idx="256">
                  <c:v>1.1108598911062268</c:v>
                </c:pt>
                <c:pt idx="257">
                  <c:v>1.0069882788145434</c:v>
                </c:pt>
                <c:pt idx="258">
                  <c:v>1.0429659273597731</c:v>
                </c:pt>
                <c:pt idx="259">
                  <c:v>1.2415241895472264</c:v>
                </c:pt>
                <c:pt idx="260">
                  <c:v>1.0607370982090985</c:v>
                </c:pt>
                <c:pt idx="261">
                  <c:v>0.98254513569119484</c:v>
                </c:pt>
                <c:pt idx="262">
                  <c:v>0.97651110382324768</c:v>
                </c:pt>
                <c:pt idx="263">
                  <c:v>1.0887563493315389</c:v>
                </c:pt>
                <c:pt idx="264">
                  <c:v>0.78300596637240216</c:v>
                </c:pt>
                <c:pt idx="265">
                  <c:v>0.88968810745173232</c:v>
                </c:pt>
                <c:pt idx="266">
                  <c:v>0.74214693971252432</c:v>
                </c:pt>
                <c:pt idx="267">
                  <c:v>1.015645214075779</c:v>
                </c:pt>
                <c:pt idx="268">
                  <c:v>0.76591341717817985</c:v>
                </c:pt>
                <c:pt idx="269">
                  <c:v>0.99490267950518141</c:v>
                </c:pt>
                <c:pt idx="270">
                  <c:v>0.782670244439856</c:v>
                </c:pt>
                <c:pt idx="271">
                  <c:v>0.95490274844904621</c:v>
                </c:pt>
                <c:pt idx="272">
                  <c:v>1.10521720654621</c:v>
                </c:pt>
                <c:pt idx="273">
                  <c:v>1.1039912468916053</c:v>
                </c:pt>
                <c:pt idx="274">
                  <c:v>0.97146948096887209</c:v>
                </c:pt>
                <c:pt idx="275">
                  <c:v>1.0425960964081298</c:v>
                </c:pt>
                <c:pt idx="276">
                  <c:v>0.96545639129394512</c:v>
                </c:pt>
                <c:pt idx="277">
                  <c:v>1.1029753689711439</c:v>
                </c:pt>
                <c:pt idx="278">
                  <c:v>1.0443012016693149</c:v>
                </c:pt>
                <c:pt idx="279">
                  <c:v>1.035801217585661</c:v>
                </c:pt>
                <c:pt idx="280">
                  <c:v>0.97511909646297612</c:v>
                </c:pt>
                <c:pt idx="281">
                  <c:v>1.0745054096439952</c:v>
                </c:pt>
                <c:pt idx="282">
                  <c:v>1.0849879495526928</c:v>
                </c:pt>
                <c:pt idx="283">
                  <c:v>1.0658353776281775</c:v>
                </c:pt>
                <c:pt idx="284">
                  <c:v>1.164038324517964</c:v>
                </c:pt>
                <c:pt idx="285">
                  <c:v>1.1851863092498804</c:v>
                </c:pt>
                <c:pt idx="286">
                  <c:v>1.4000927741086981</c:v>
                </c:pt>
                <c:pt idx="287">
                  <c:v>1.4707672066107018</c:v>
                </c:pt>
                <c:pt idx="288">
                  <c:v>1.1693024959062237</c:v>
                </c:pt>
                <c:pt idx="289">
                  <c:v>1.1994142932326093</c:v>
                </c:pt>
                <c:pt idx="290">
                  <c:v>1.3354151143487145</c:v>
                </c:pt>
                <c:pt idx="291">
                  <c:v>1.4489801776685771</c:v>
                </c:pt>
                <c:pt idx="292">
                  <c:v>1.0759579072343315</c:v>
                </c:pt>
                <c:pt idx="293">
                  <c:v>1.1152914305964363</c:v>
                </c:pt>
                <c:pt idx="294">
                  <c:v>1.2732119156908908</c:v>
                </c:pt>
                <c:pt idx="295">
                  <c:v>1.486801599498017</c:v>
                </c:pt>
                <c:pt idx="296">
                  <c:v>0.87833333333333341</c:v>
                </c:pt>
                <c:pt idx="297">
                  <c:v>0.89214840379637628</c:v>
                </c:pt>
                <c:pt idx="298">
                  <c:v>0.95168248490077645</c:v>
                </c:pt>
                <c:pt idx="299">
                  <c:v>0.65440646347147291</c:v>
                </c:pt>
                <c:pt idx="300">
                  <c:v>0.74645745582544709</c:v>
                </c:pt>
                <c:pt idx="301">
                  <c:v>0.86626402070750652</c:v>
                </c:pt>
                <c:pt idx="302">
                  <c:v>0.78909154398737613</c:v>
                </c:pt>
                <c:pt idx="303">
                  <c:v>0.93712665612600687</c:v>
                </c:pt>
                <c:pt idx="304">
                  <c:v>1.0095343957325076</c:v>
                </c:pt>
                <c:pt idx="305">
                  <c:v>0.82535245957938552</c:v>
                </c:pt>
                <c:pt idx="306">
                  <c:v>0.87025939203289582</c:v>
                </c:pt>
                <c:pt idx="307">
                  <c:v>0.74722430214469848</c:v>
                </c:pt>
                <c:pt idx="308">
                  <c:v>0.93212965513993562</c:v>
                </c:pt>
                <c:pt idx="309">
                  <c:v>0.70351864336481917</c:v>
                </c:pt>
                <c:pt idx="310">
                  <c:v>0.88584801505264343</c:v>
                </c:pt>
                <c:pt idx="311">
                  <c:v>0.93461795122954905</c:v>
                </c:pt>
                <c:pt idx="312">
                  <c:v>0.8760822339448866</c:v>
                </c:pt>
                <c:pt idx="313">
                  <c:v>1.0546620803021731</c:v>
                </c:pt>
                <c:pt idx="314">
                  <c:v>1.0088869571220103</c:v>
                </c:pt>
                <c:pt idx="315">
                  <c:v>1.127721019295898</c:v>
                </c:pt>
                <c:pt idx="316">
                  <c:v>1.0815801265431821</c:v>
                </c:pt>
                <c:pt idx="317">
                  <c:v>1.2575697339160365</c:v>
                </c:pt>
                <c:pt idx="318">
                  <c:v>1.0377227912290949</c:v>
                </c:pt>
                <c:pt idx="319">
                  <c:v>1.0851045143939175</c:v>
                </c:pt>
                <c:pt idx="320">
                  <c:v>0.78234204586737066</c:v>
                </c:pt>
                <c:pt idx="321">
                  <c:v>0.76733459610941368</c:v>
                </c:pt>
                <c:pt idx="322">
                  <c:v>1.0136499429452763</c:v>
                </c:pt>
                <c:pt idx="323">
                  <c:v>1.0886125437537382</c:v>
                </c:pt>
                <c:pt idx="324">
                  <c:v>0.94794472349162318</c:v>
                </c:pt>
                <c:pt idx="325">
                  <c:v>0.95810293219723919</c:v>
                </c:pt>
                <c:pt idx="326">
                  <c:v>0.94032104183423759</c:v>
                </c:pt>
                <c:pt idx="327">
                  <c:v>1.1917519000638892</c:v>
                </c:pt>
                <c:pt idx="328">
                  <c:v>0.73918547860307671</c:v>
                </c:pt>
                <c:pt idx="329">
                  <c:v>0.73435132953628823</c:v>
                </c:pt>
                <c:pt idx="330">
                  <c:v>0.80046699672781108</c:v>
                </c:pt>
                <c:pt idx="331">
                  <c:v>1.1085878003695551</c:v>
                </c:pt>
                <c:pt idx="332">
                  <c:v>0.85520549534192214</c:v>
                </c:pt>
                <c:pt idx="333">
                  <c:v>0.94115541649385537</c:v>
                </c:pt>
                <c:pt idx="334">
                  <c:v>0.93310480003574625</c:v>
                </c:pt>
                <c:pt idx="335">
                  <c:v>0.98697622127594653</c:v>
                </c:pt>
                <c:pt idx="336">
                  <c:v>1.0864891795569402</c:v>
                </c:pt>
                <c:pt idx="337">
                  <c:v>0.96674260066309403</c:v>
                </c:pt>
                <c:pt idx="338">
                  <c:v>1.0879820523592281</c:v>
                </c:pt>
                <c:pt idx="339">
                  <c:v>0.82233348350740842</c:v>
                </c:pt>
                <c:pt idx="340">
                  <c:v>1.1130622636058647</c:v>
                </c:pt>
                <c:pt idx="341">
                  <c:v>0.63480838312555887</c:v>
                </c:pt>
                <c:pt idx="342">
                  <c:v>0.97995058160380566</c:v>
                </c:pt>
                <c:pt idx="343">
                  <c:v>0.90003950832799662</c:v>
                </c:pt>
                <c:pt idx="344">
                  <c:v>1.2625217719196895</c:v>
                </c:pt>
                <c:pt idx="345">
                  <c:v>0.63292489521379602</c:v>
                </c:pt>
                <c:pt idx="346">
                  <c:v>1.0771457263688171</c:v>
                </c:pt>
                <c:pt idx="347">
                  <c:v>0.73924512696546085</c:v>
                </c:pt>
                <c:pt idx="348">
                  <c:v>1.1248507186141501</c:v>
                </c:pt>
                <c:pt idx="349">
                  <c:v>0.68467739710453912</c:v>
                </c:pt>
                <c:pt idx="350">
                  <c:v>1.0359680488784047</c:v>
                </c:pt>
                <c:pt idx="351">
                  <c:v>0.67868729013532503</c:v>
                </c:pt>
                <c:pt idx="352">
                  <c:v>1.0002692328949259</c:v>
                </c:pt>
                <c:pt idx="353">
                  <c:v>0.72633374341804824</c:v>
                </c:pt>
                <c:pt idx="354">
                  <c:v>1.1618512131976952</c:v>
                </c:pt>
                <c:pt idx="355">
                  <c:v>0.63898823880641586</c:v>
                </c:pt>
                <c:pt idx="356">
                  <c:v>1.0767191342865152</c:v>
                </c:pt>
                <c:pt idx="357">
                  <c:v>0.75400013200926497</c:v>
                </c:pt>
                <c:pt idx="358">
                  <c:v>0.95972228420837502</c:v>
                </c:pt>
                <c:pt idx="359">
                  <c:v>0.89951817016281221</c:v>
                </c:pt>
                <c:pt idx="360">
                  <c:v>0.97894457082747688</c:v>
                </c:pt>
                <c:pt idx="361">
                  <c:v>0.74462905197182427</c:v>
                </c:pt>
                <c:pt idx="362">
                  <c:v>1.0414859751276166</c:v>
                </c:pt>
                <c:pt idx="363">
                  <c:v>0.94846759987164653</c:v>
                </c:pt>
                <c:pt idx="364">
                  <c:v>1.2792539211145848</c:v>
                </c:pt>
                <c:pt idx="365">
                  <c:v>0.95692750390543657</c:v>
                </c:pt>
                <c:pt idx="366">
                  <c:v>1.000825177613299</c:v>
                </c:pt>
                <c:pt idx="367">
                  <c:v>1.1093102722998569</c:v>
                </c:pt>
                <c:pt idx="368">
                  <c:v>1.3796539954432834</c:v>
                </c:pt>
                <c:pt idx="369">
                  <c:v>1.2648314968012164</c:v>
                </c:pt>
                <c:pt idx="370">
                  <c:v>0.67646352686461653</c:v>
                </c:pt>
                <c:pt idx="371">
                  <c:v>0.75051026424073697</c:v>
                </c:pt>
                <c:pt idx="372">
                  <c:v>0.77281597321579087</c:v>
                </c:pt>
                <c:pt idx="373">
                  <c:v>0.86413021470864393</c:v>
                </c:pt>
                <c:pt idx="374">
                  <c:v>0.91208253125064931</c:v>
                </c:pt>
                <c:pt idx="375">
                  <c:v>0.95614243505191698</c:v>
                </c:pt>
                <c:pt idx="376">
                  <c:v>0.96762589928057552</c:v>
                </c:pt>
                <c:pt idx="377">
                  <c:v>1</c:v>
                </c:pt>
                <c:pt idx="378">
                  <c:v>0.82625634412902194</c:v>
                </c:pt>
                <c:pt idx="379">
                  <c:v>0.9601139047349182</c:v>
                </c:pt>
                <c:pt idx="380">
                  <c:v>1.0627262740118579</c:v>
                </c:pt>
                <c:pt idx="381">
                  <c:v>0.93527480684988118</c:v>
                </c:pt>
                <c:pt idx="382">
                  <c:v>1.0625500982773062</c:v>
                </c:pt>
                <c:pt idx="383">
                  <c:v>1.4822322141280799</c:v>
                </c:pt>
                <c:pt idx="384">
                  <c:v>1.0182198876788391</c:v>
                </c:pt>
                <c:pt idx="385">
                  <c:v>1.1905256945812908</c:v>
                </c:pt>
                <c:pt idx="386">
                  <c:v>1.1753055919076683</c:v>
                </c:pt>
                <c:pt idx="387">
                  <c:v>0.74669552116938287</c:v>
                </c:pt>
                <c:pt idx="388">
                  <c:v>0.90336797784402101</c:v>
                </c:pt>
                <c:pt idx="389">
                  <c:v>0.99108586662496612</c:v>
                </c:pt>
                <c:pt idx="390">
                  <c:v>0.8348184273807373</c:v>
                </c:pt>
                <c:pt idx="391">
                  <c:v>0.95553229503146886</c:v>
                </c:pt>
                <c:pt idx="392">
                  <c:v>0.67335839175112699</c:v>
                </c:pt>
                <c:pt idx="393">
                  <c:v>0.69192281388318311</c:v>
                </c:pt>
                <c:pt idx="394">
                  <c:v>0.84853134899852589</c:v>
                </c:pt>
                <c:pt idx="395">
                  <c:v>0.6648035989042731</c:v>
                </c:pt>
                <c:pt idx="396">
                  <c:v>0.72846501506533778</c:v>
                </c:pt>
                <c:pt idx="397">
                  <c:v>1.0134345640672162</c:v>
                </c:pt>
                <c:pt idx="398">
                  <c:v>0.67317534853537886</c:v>
                </c:pt>
                <c:pt idx="399">
                  <c:v>1.0383544149159285</c:v>
                </c:pt>
                <c:pt idx="400">
                  <c:v>1.0615276951705674</c:v>
                </c:pt>
                <c:pt idx="401">
                  <c:v>0.61746193238869718</c:v>
                </c:pt>
                <c:pt idx="402">
                  <c:v>0.68724341538301104</c:v>
                </c:pt>
                <c:pt idx="403">
                  <c:v>0.85028063832166845</c:v>
                </c:pt>
                <c:pt idx="404">
                  <c:v>0.49532268932934714</c:v>
                </c:pt>
                <c:pt idx="405">
                  <c:v>0.69404556824261776</c:v>
                </c:pt>
                <c:pt idx="406">
                  <c:v>0.73678053201601534</c:v>
                </c:pt>
                <c:pt idx="407">
                  <c:v>1.0734511207027237</c:v>
                </c:pt>
                <c:pt idx="408">
                  <c:v>0.97228115444619168</c:v>
                </c:pt>
                <c:pt idx="409">
                  <c:v>0.98184147159351287</c:v>
                </c:pt>
                <c:pt idx="410">
                  <c:v>1.1065773777959143</c:v>
                </c:pt>
                <c:pt idx="411">
                  <c:v>0.72096580896252627</c:v>
                </c:pt>
                <c:pt idx="412">
                  <c:v>0.93377048827409681</c:v>
                </c:pt>
                <c:pt idx="413">
                  <c:v>1.1167546869959355</c:v>
                </c:pt>
                <c:pt idx="414">
                  <c:v>1.2956424138648808</c:v>
                </c:pt>
                <c:pt idx="415">
                  <c:v>0.78437925291382093</c:v>
                </c:pt>
                <c:pt idx="416">
                  <c:v>1.059782127050285</c:v>
                </c:pt>
                <c:pt idx="417">
                  <c:v>0.73718451657272832</c:v>
                </c:pt>
                <c:pt idx="418">
                  <c:v>0.85852739822939572</c:v>
                </c:pt>
                <c:pt idx="419">
                  <c:v>1.0416632154626597</c:v>
                </c:pt>
                <c:pt idx="420">
                  <c:v>1.1153119606929831</c:v>
                </c:pt>
                <c:pt idx="421">
                  <c:v>1.2692714892463186</c:v>
                </c:pt>
                <c:pt idx="422">
                  <c:v>1.2571639757274684</c:v>
                </c:pt>
                <c:pt idx="423">
                  <c:v>0.8085349544542425</c:v>
                </c:pt>
                <c:pt idx="424">
                  <c:v>0.85080970194489203</c:v>
                </c:pt>
                <c:pt idx="425">
                  <c:v>1.0293844757547645</c:v>
                </c:pt>
                <c:pt idx="426">
                  <c:v>1.2091353781823571</c:v>
                </c:pt>
                <c:pt idx="427">
                  <c:v>1.2582112350998493</c:v>
                </c:pt>
                <c:pt idx="428">
                  <c:v>1.3026075869753657</c:v>
                </c:pt>
                <c:pt idx="429">
                  <c:v>1.4455193526381414</c:v>
                </c:pt>
                <c:pt idx="430">
                  <c:v>1.3999644400429421</c:v>
                </c:pt>
                <c:pt idx="431">
                  <c:v>1.2264020383181997</c:v>
                </c:pt>
                <c:pt idx="432">
                  <c:v>1.2265000402860071</c:v>
                </c:pt>
                <c:pt idx="433">
                  <c:v>1.3786937883911297</c:v>
                </c:pt>
                <c:pt idx="434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AB-4857-B34E-F3A68BB9378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AB-4857-B34E-F3A68BB93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10656"/>
        <c:axId val="129912192"/>
      </c:scatterChart>
      <c:valAx>
        <c:axId val="129910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2192"/>
        <c:crosses val="autoZero"/>
        <c:crossBetween val="midCat"/>
      </c:valAx>
      <c:valAx>
        <c:axId val="129912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065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571741032371027E-2"/>
          <c:y val="2.8196459125466627E-2"/>
          <c:w val="0.82103042940465842"/>
          <c:h val="0.788436694034110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headed!$FJ$53</c:f>
              <c:strCache>
                <c:ptCount val="1"/>
                <c:pt idx="0">
                  <c:v>ACI 318-14</c:v>
                </c:pt>
              </c:strCache>
            </c:strRef>
          </c:tx>
          <c:spPr>
            <a:solidFill>
              <a:schemeClr val="bg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headed!$FJ$54:$FJ$62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BD-49D1-87BF-EFE511C5AF4E}"/>
            </c:ext>
          </c:extLst>
        </c:ser>
        <c:ser>
          <c:idx val="3"/>
          <c:order val="1"/>
          <c:tx>
            <c:strRef>
              <c:f>headed!$FM$53</c:f>
              <c:strCache>
                <c:ptCount val="1"/>
                <c:pt idx="0">
                  <c:v>fib MC 2010</c:v>
                </c:pt>
              </c:strCache>
            </c:strRef>
          </c:tx>
          <c:spPr>
            <a:blipFill>
              <a:blip xmlns:r="http://schemas.openxmlformats.org/officeDocument/2006/relationships" r:embed="rId1"/>
              <a:tile tx="0" ty="0" sx="100000" sy="100000" flip="none" algn="tl"/>
            </a:blip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headed!$FM$54:$FM$62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BD-49D1-87BF-EFE511C5AF4E}"/>
            </c:ext>
          </c:extLst>
        </c:ser>
        <c:ser>
          <c:idx val="1"/>
          <c:order val="2"/>
          <c:tx>
            <c:strRef>
              <c:f>headed!$FK$53</c:f>
              <c:strCache>
                <c:ptCount val="1"/>
                <c:pt idx="0">
                  <c:v>Thompson et al.</c:v>
                </c:pt>
              </c:strCache>
            </c:strRef>
          </c:tx>
          <c:spPr>
            <a:gradFill>
              <a:gsLst>
                <a:gs pos="0">
                  <a:srgbClr val="FFFFFF"/>
                </a:gs>
                <a:gs pos="7001">
                  <a:srgbClr val="E6E6E6"/>
                </a:gs>
                <a:gs pos="32001">
                  <a:srgbClr val="7D8496"/>
                </a:gs>
                <a:gs pos="47000">
                  <a:srgbClr val="E6E6E6"/>
                </a:gs>
                <a:gs pos="85001">
                  <a:srgbClr val="7D8496"/>
                </a:gs>
                <a:gs pos="100000">
                  <a:srgbClr val="E6E6E6"/>
                </a:gs>
              </a:gsLst>
              <a:lin ang="5400000" scaled="0"/>
            </a:gra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headed!$FK$54:$FK$62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BD-49D1-87BF-EFE511C5AF4E}"/>
            </c:ext>
          </c:extLst>
        </c:ser>
        <c:ser>
          <c:idx val="2"/>
          <c:order val="3"/>
          <c:tx>
            <c:strRef>
              <c:f>headed!$FL$53</c:f>
              <c:strCache>
                <c:ptCount val="1"/>
                <c:pt idx="0">
                  <c:v>Shao et al.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headed!$FL$54:$FL$62</c:f>
              <c:numCache>
                <c:formatCode>General</c:formatCode>
                <c:ptCount val="9"/>
                <c:pt idx="0">
                  <c:v>0</c:v>
                </c:pt>
                <c:pt idx="1">
                  <c:v>9</c:v>
                </c:pt>
                <c:pt idx="2">
                  <c:v>30</c:v>
                </c:pt>
                <c:pt idx="3">
                  <c:v>52</c:v>
                </c:pt>
                <c:pt idx="4">
                  <c:v>92</c:v>
                </c:pt>
                <c:pt idx="5">
                  <c:v>58</c:v>
                </c:pt>
                <c:pt idx="6">
                  <c:v>26</c:v>
                </c:pt>
                <c:pt idx="7">
                  <c:v>17</c:v>
                </c:pt>
                <c:pt idx="8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BD-49D1-87BF-EFE511C5AF4E}"/>
            </c:ext>
          </c:extLst>
        </c:ser>
        <c:ser>
          <c:idx val="4"/>
          <c:order val="4"/>
          <c:tx>
            <c:strRef>
              <c:f>headed!$FN$53</c:f>
              <c:strCache>
                <c:ptCount val="1"/>
                <c:pt idx="0">
                  <c:v>Proposed method (Eq. (21))</c:v>
                </c:pt>
              </c:strCache>
            </c:strRef>
          </c:tx>
          <c:spPr>
            <a:solidFill>
              <a:schemeClr val="tx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headed!$FN$54:$FN$62</c:f>
              <c:numCache>
                <c:formatCode>General</c:formatCode>
                <c:ptCount val="9"/>
                <c:pt idx="0">
                  <c:v>2</c:v>
                </c:pt>
                <c:pt idx="1">
                  <c:v>39</c:v>
                </c:pt>
                <c:pt idx="2">
                  <c:v>77</c:v>
                </c:pt>
                <c:pt idx="3">
                  <c:v>84</c:v>
                </c:pt>
                <c:pt idx="4">
                  <c:v>32</c:v>
                </c:pt>
                <c:pt idx="5">
                  <c:v>10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BD-49D1-87BF-EFE511C5AF4E}"/>
            </c:ext>
          </c:extLst>
        </c:ser>
        <c:ser>
          <c:idx val="5"/>
          <c:order val="5"/>
          <c:tx>
            <c:strRef>
              <c:f>headed!$FO$53</c:f>
              <c:strCache>
                <c:ptCount val="1"/>
                <c:pt idx="0">
                  <c:v>Proposed method (Eq. (22))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2700">
              <a:solidFill>
                <a:schemeClr val="tx1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headed!$FO$54:$FO$62</c:f>
              <c:numCache>
                <c:formatCode>General</c:formatCode>
                <c:ptCount val="9"/>
                <c:pt idx="0">
                  <c:v>1</c:v>
                </c:pt>
                <c:pt idx="1">
                  <c:v>38</c:v>
                </c:pt>
                <c:pt idx="2">
                  <c:v>63</c:v>
                </c:pt>
                <c:pt idx="3">
                  <c:v>86</c:v>
                </c:pt>
                <c:pt idx="4">
                  <c:v>38</c:v>
                </c:pt>
                <c:pt idx="5">
                  <c:v>15</c:v>
                </c:pt>
                <c:pt idx="6">
                  <c:v>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BD-49D1-87BF-EFE511C5A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0"/>
        <c:axId val="130103552"/>
        <c:axId val="130129920"/>
      </c:barChart>
      <c:catAx>
        <c:axId val="13010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29920"/>
        <c:crosses val="autoZero"/>
        <c:auto val="1"/>
        <c:lblAlgn val="ctr"/>
        <c:lblOffset val="100"/>
        <c:noMultiLvlLbl val="0"/>
      </c:catAx>
      <c:valAx>
        <c:axId val="130129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03552"/>
        <c:crosses val="autoZero"/>
        <c:crossBetween val="between"/>
        <c:majorUnit val="40"/>
      </c:valAx>
      <c:spPr>
        <a:ln w="25400"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10404411876287446"/>
          <c:y val="4.4485757383056497E-2"/>
          <c:w val="0.55239129672667064"/>
          <c:h val="0.52429139268414648"/>
        </c:manualLayout>
      </c:layout>
      <c:overlay val="0"/>
      <c:txPr>
        <a:bodyPr/>
        <a:lstStyle/>
        <a:p>
          <a:pPr>
            <a:defRPr sz="1200">
              <a:latin typeface="+mn-lt"/>
            </a:defRPr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headed!$CH$20:$CH$1278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0</c:v>
                </c:pt>
                <c:pt idx="205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1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84-43B9-8A72-2D6EA6660BFE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84-43B9-8A72-2D6EA6660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42208"/>
        <c:axId val="130143744"/>
      </c:scatterChart>
      <c:valAx>
        <c:axId val="1301422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3744"/>
        <c:crosses val="autoZero"/>
        <c:crossBetween val="midCat"/>
      </c:valAx>
      <c:valAx>
        <c:axId val="130143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22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690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headed!$CK$156:$CK$247</c:f>
              <c:numCache>
                <c:formatCode>General</c:formatCode>
                <c:ptCount val="9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09-4BB0-BD51-B228AD519D9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09-4BB0-BD51-B228AD519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46528"/>
        <c:axId val="130248064"/>
      </c:scatterChart>
      <c:valAx>
        <c:axId val="130246528"/>
        <c:scaling>
          <c:orientation val="minMax"/>
          <c:max val="2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8064"/>
        <c:crosses val="autoZero"/>
        <c:crossBetween val="midCat"/>
      </c:valAx>
      <c:valAx>
        <c:axId val="1302480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652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headed!$CK$105:$CK$147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72-4D63-A8FE-6F8835215AA6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72-4D63-A8FE-6F8835215AA6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headed!$CK$156:$CK$537</c:f>
              <c:numCache>
                <c:formatCode>General</c:formatCode>
                <c:ptCount val="38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0.84833333333333338</c:v>
                </c:pt>
                <c:pt idx="97">
                  <c:v>1</c:v>
                </c:pt>
                <c:pt idx="98">
                  <c:v>1.0732340453544049</c:v>
                </c:pt>
                <c:pt idx="99">
                  <c:v>1.0025154962900582</c:v>
                </c:pt>
                <c:pt idx="100">
                  <c:v>1.3316690082587483</c:v>
                </c:pt>
                <c:pt idx="101">
                  <c:v>1.097611405753202</c:v>
                </c:pt>
                <c:pt idx="102">
                  <c:v>1.1737171323264513</c:v>
                </c:pt>
                <c:pt idx="103">
                  <c:v>0.98499999999999999</c:v>
                </c:pt>
                <c:pt idx="104">
                  <c:v>1.1793748514869569</c:v>
                </c:pt>
                <c:pt idx="105">
                  <c:v>1.0114255979953197</c:v>
                </c:pt>
                <c:pt idx="106">
                  <c:v>1.4143463626576895</c:v>
                </c:pt>
                <c:pt idx="107">
                  <c:v>1.1787643163301271</c:v>
                </c:pt>
                <c:pt idx="108">
                  <c:v>0.98628051473021827</c:v>
                </c:pt>
                <c:pt idx="109">
                  <c:v>0.96916666666666662</c:v>
                </c:pt>
                <c:pt idx="110">
                  <c:v>1.1078590441518625</c:v>
                </c:pt>
                <c:pt idx="111">
                  <c:v>1.0255837865554474</c:v>
                </c:pt>
                <c:pt idx="112">
                  <c:v>1.2622199993298189</c:v>
                </c:pt>
                <c:pt idx="113">
                  <c:v>1.0612133921380551</c:v>
                </c:pt>
                <c:pt idx="114">
                  <c:v>0.89800579941581282</c:v>
                </c:pt>
                <c:pt idx="115">
                  <c:v>0.88210240843168164</c:v>
                </c:pt>
                <c:pt idx="116">
                  <c:v>1.0355623876435345</c:v>
                </c:pt>
                <c:pt idx="117">
                  <c:v>0.97531366488201143</c:v>
                </c:pt>
                <c:pt idx="118">
                  <c:v>1.2275313013278444</c:v>
                </c:pt>
                <c:pt idx="119">
                  <c:v>1.0909962422431996</c:v>
                </c:pt>
                <c:pt idx="120">
                  <c:v>0.98097068748379734</c:v>
                </c:pt>
                <c:pt idx="121">
                  <c:v>1.0184221931806774</c:v>
                </c:pt>
                <c:pt idx="122">
                  <c:v>1.2076437156812905</c:v>
                </c:pt>
                <c:pt idx="123">
                  <c:v>1.026278911927931</c:v>
                </c:pt>
                <c:pt idx="124">
                  <c:v>0.95166687424883689</c:v>
                </c:pt>
                <c:pt idx="125">
                  <c:v>0.94979047422646845</c:v>
                </c:pt>
                <c:pt idx="126">
                  <c:v>1.0555684263285166</c:v>
                </c:pt>
                <c:pt idx="127">
                  <c:v>0.75449639049580097</c:v>
                </c:pt>
                <c:pt idx="128">
                  <c:v>0.85631332847185648</c:v>
                </c:pt>
                <c:pt idx="129">
                  <c:v>0.73864862864762737</c:v>
                </c:pt>
                <c:pt idx="130">
                  <c:v>1.0122595831277816</c:v>
                </c:pt>
                <c:pt idx="131">
                  <c:v>0.75738494469674067</c:v>
                </c:pt>
                <c:pt idx="132">
                  <c:v>0.98660780016235983</c:v>
                </c:pt>
                <c:pt idx="133">
                  <c:v>0.7688185795271586</c:v>
                </c:pt>
                <c:pt idx="134">
                  <c:v>0.93949066396852476</c:v>
                </c:pt>
                <c:pt idx="135">
                  <c:v>1.051317145691999</c:v>
                </c:pt>
                <c:pt idx="136">
                  <c:v>1.0428358329621183</c:v>
                </c:pt>
                <c:pt idx="137">
                  <c:v>0.90762534595970545</c:v>
                </c:pt>
                <c:pt idx="138">
                  <c:v>0.96668345094347008</c:v>
                </c:pt>
                <c:pt idx="139">
                  <c:v>0.92467198904083814</c:v>
                </c:pt>
                <c:pt idx="140">
                  <c:v>1.0457977173215069</c:v>
                </c:pt>
                <c:pt idx="141">
                  <c:v>0.98277763354811387</c:v>
                </c:pt>
                <c:pt idx="142">
                  <c:v>0.96655501262970034</c:v>
                </c:pt>
                <c:pt idx="143">
                  <c:v>0.94029242605845686</c:v>
                </c:pt>
                <c:pt idx="144">
                  <c:v>1.0210557999824699</c:v>
                </c:pt>
                <c:pt idx="145">
                  <c:v>1.0263095681968797</c:v>
                </c:pt>
                <c:pt idx="146">
                  <c:v>0.99617785069192466</c:v>
                </c:pt>
                <c:pt idx="147">
                  <c:v>1.1112596892664182</c:v>
                </c:pt>
                <c:pt idx="148">
                  <c:v>1.1281282791225913</c:v>
                </c:pt>
                <c:pt idx="149">
                  <c:v>1.3411331667214759</c:v>
                </c:pt>
                <c:pt idx="150">
                  <c:v>1.4014181325909159</c:v>
                </c:pt>
                <c:pt idx="151">
                  <c:v>1.1403447227271795</c:v>
                </c:pt>
                <c:pt idx="152">
                  <c:v>1.1667495807153807</c:v>
                </c:pt>
                <c:pt idx="153">
                  <c:v>1.3055599870590859</c:v>
                </c:pt>
                <c:pt idx="154">
                  <c:v>1.4151480032461179</c:v>
                </c:pt>
                <c:pt idx="155">
                  <c:v>1.0695354015578697</c:v>
                </c:pt>
                <c:pt idx="156">
                  <c:v>1.1086028706787405</c:v>
                </c:pt>
                <c:pt idx="157">
                  <c:v>1.2682678827222702</c:v>
                </c:pt>
                <c:pt idx="158">
                  <c:v>1.4782200012625968</c:v>
                </c:pt>
                <c:pt idx="159">
                  <c:v>0.87833333333333341</c:v>
                </c:pt>
                <c:pt idx="160">
                  <c:v>0.89214840379637628</c:v>
                </c:pt>
                <c:pt idx="161">
                  <c:v>0.95168248490077645</c:v>
                </c:pt>
                <c:pt idx="162">
                  <c:v>0.64304013454181963</c:v>
                </c:pt>
                <c:pt idx="163">
                  <c:v>0.76838286120630295</c:v>
                </c:pt>
                <c:pt idx="164">
                  <c:v>0.89552419733717004</c:v>
                </c:pt>
                <c:pt idx="165">
                  <c:v>0.7840718743477787</c:v>
                </c:pt>
                <c:pt idx="166">
                  <c:v>0.98409766607899973</c:v>
                </c:pt>
                <c:pt idx="167">
                  <c:v>1.1028377286200142</c:v>
                </c:pt>
                <c:pt idx="168">
                  <c:v>0.81958454427477145</c:v>
                </c:pt>
                <c:pt idx="169">
                  <c:v>0.86504992090891586</c:v>
                </c:pt>
                <c:pt idx="170">
                  <c:v>0.77187994815402661</c:v>
                </c:pt>
                <c:pt idx="171">
                  <c:v>0.96079814882500592</c:v>
                </c:pt>
                <c:pt idx="172">
                  <c:v>0.72179535196685451</c:v>
                </c:pt>
                <c:pt idx="173">
                  <c:v>0.90958443196571492</c:v>
                </c:pt>
                <c:pt idx="174">
                  <c:v>0.94633885858091515</c:v>
                </c:pt>
                <c:pt idx="175">
                  <c:v>0.88772695202762453</c:v>
                </c:pt>
                <c:pt idx="176">
                  <c:v>1.040321922403797</c:v>
                </c:pt>
                <c:pt idx="177">
                  <c:v>1.0201564955106805</c:v>
                </c:pt>
                <c:pt idx="178">
                  <c:v>1.1408969245623375</c:v>
                </c:pt>
                <c:pt idx="179">
                  <c:v>1.0927712921092712</c:v>
                </c:pt>
                <c:pt idx="180">
                  <c:v>1.2733735889849789</c:v>
                </c:pt>
                <c:pt idx="181">
                  <c:v>1.0374944577148659</c:v>
                </c:pt>
                <c:pt idx="182">
                  <c:v>1.0877385129806194</c:v>
                </c:pt>
                <c:pt idx="183">
                  <c:v>0.77596899224806193</c:v>
                </c:pt>
                <c:pt idx="184">
                  <c:v>0.76884181445606981</c:v>
                </c:pt>
                <c:pt idx="185">
                  <c:v>1</c:v>
                </c:pt>
                <c:pt idx="186">
                  <c:v>1.0970371571867716</c:v>
                </c:pt>
                <c:pt idx="187">
                  <c:v>0.93271114834467483</c:v>
                </c:pt>
                <c:pt idx="188">
                  <c:v>0.98191767642597505</c:v>
                </c:pt>
                <c:pt idx="189">
                  <c:v>0.92990729725452292</c:v>
                </c:pt>
                <c:pt idx="190">
                  <c:v>1.2334336233137346</c:v>
                </c:pt>
                <c:pt idx="191">
                  <c:v>0.73708254508719195</c:v>
                </c:pt>
                <c:pt idx="192">
                  <c:v>0.76475423221277683</c:v>
                </c:pt>
                <c:pt idx="193">
                  <c:v>0.80505769112623204</c:v>
                </c:pt>
                <c:pt idx="194">
                  <c:v>1.1698808414795534</c:v>
                </c:pt>
                <c:pt idx="195">
                  <c:v>0.81066942187607538</c:v>
                </c:pt>
                <c:pt idx="196">
                  <c:v>0.89753775945612424</c:v>
                </c:pt>
                <c:pt idx="197">
                  <c:v>0.89515643202731698</c:v>
                </c:pt>
                <c:pt idx="198">
                  <c:v>0.95550025830198404</c:v>
                </c:pt>
                <c:pt idx="199">
                  <c:v>1.0643352713979048</c:v>
                </c:pt>
                <c:pt idx="200">
                  <c:v>0.9161935541106252</c:v>
                </c:pt>
                <c:pt idx="201">
                  <c:v>1.0276805768179793</c:v>
                </c:pt>
                <c:pt idx="202">
                  <c:v>0.79497862339968595</c:v>
                </c:pt>
                <c:pt idx="203">
                  <c:v>1.0750809484919404</c:v>
                </c:pt>
                <c:pt idx="204">
                  <c:v>0.62319362436667958</c:v>
                </c:pt>
                <c:pt idx="205">
                  <c:v>0.96051437093285852</c:v>
                </c:pt>
                <c:pt idx="206">
                  <c:v>0.87917179348650509</c:v>
                </c:pt>
                <c:pt idx="207">
                  <c:v>1.2347092535127056</c:v>
                </c:pt>
                <c:pt idx="208">
                  <c:v>0.60184794055467938</c:v>
                </c:pt>
                <c:pt idx="209">
                  <c:v>1.0219610040497915</c:v>
                </c:pt>
                <c:pt idx="210">
                  <c:v>0.7330357782373077</c:v>
                </c:pt>
                <c:pt idx="211">
                  <c:v>1.1198131819366681</c:v>
                </c:pt>
                <c:pt idx="212">
                  <c:v>0.66486057633594775</c:v>
                </c:pt>
                <c:pt idx="213">
                  <c:v>1.0063627542062954</c:v>
                </c:pt>
                <c:pt idx="214">
                  <c:v>0.65201390875330911</c:v>
                </c:pt>
                <c:pt idx="215">
                  <c:v>0.96063482258325084</c:v>
                </c:pt>
                <c:pt idx="216">
                  <c:v>0.72042570438964904</c:v>
                </c:pt>
                <c:pt idx="217">
                  <c:v>1.1550340401026544</c:v>
                </c:pt>
                <c:pt idx="218">
                  <c:v>0.65535916327208799</c:v>
                </c:pt>
                <c:pt idx="219">
                  <c:v>1.1105084560718819</c:v>
                </c:pt>
                <c:pt idx="220">
                  <c:v>0.79874270242833545</c:v>
                </c:pt>
                <c:pt idx="221">
                  <c:v>1.023547164422965</c:v>
                </c:pt>
                <c:pt idx="222">
                  <c:v>0.85551395808440578</c:v>
                </c:pt>
                <c:pt idx="223">
                  <c:v>0.98139244277365356</c:v>
                </c:pt>
                <c:pt idx="224">
                  <c:v>0.70984876435598188</c:v>
                </c:pt>
                <c:pt idx="225">
                  <c:v>1.0481130483497585</c:v>
                </c:pt>
                <c:pt idx="226">
                  <c:v>0.90063459723224326</c:v>
                </c:pt>
                <c:pt idx="227">
                  <c:v>1.2858428339267387</c:v>
                </c:pt>
                <c:pt idx="228">
                  <c:v>0.89396556017501727</c:v>
                </c:pt>
                <c:pt idx="229">
                  <c:v>0.98338913792026705</c:v>
                </c:pt>
                <c:pt idx="230">
                  <c:v>1.036322161226584</c:v>
                </c:pt>
                <c:pt idx="231">
                  <c:v>1.3610574349331113</c:v>
                </c:pt>
                <c:pt idx="232">
                  <c:v>1.1811110675219012</c:v>
                </c:pt>
                <c:pt idx="233">
                  <c:v>0.65825114412661645</c:v>
                </c:pt>
                <c:pt idx="234">
                  <c:v>0.77378912538861899</c:v>
                </c:pt>
                <c:pt idx="235">
                  <c:v>0.75899280575539563</c:v>
                </c:pt>
                <c:pt idx="236">
                  <c:v>0.8904869210020433</c:v>
                </c:pt>
                <c:pt idx="237">
                  <c:v>0.90287769784172656</c:v>
                </c:pt>
                <c:pt idx="238">
                  <c:v>0.98498574494393953</c:v>
                </c:pt>
                <c:pt idx="239">
                  <c:v>0.96762589928057552</c:v>
                </c:pt>
                <c:pt idx="240">
                  <c:v>1</c:v>
                </c:pt>
                <c:pt idx="241">
                  <c:v>0.81191613543819985</c:v>
                </c:pt>
                <c:pt idx="242">
                  <c:v>0.9430316920738141</c:v>
                </c:pt>
                <c:pt idx="243">
                  <c:v>1.0458763223941501</c:v>
                </c:pt>
                <c:pt idx="244">
                  <c:v>0.93075915185163327</c:v>
                </c:pt>
                <c:pt idx="245">
                  <c:v>1.0597976267559761</c:v>
                </c:pt>
                <c:pt idx="246">
                  <c:v>1.4770163586145215</c:v>
                </c:pt>
                <c:pt idx="247">
                  <c:v>0.9223210736286156</c:v>
                </c:pt>
                <c:pt idx="248">
                  <c:v>1.0760378613885915</c:v>
                </c:pt>
                <c:pt idx="249">
                  <c:v>1.0622002196076112</c:v>
                </c:pt>
                <c:pt idx="250">
                  <c:v>0.68598892644176579</c:v>
                </c:pt>
                <c:pt idx="251">
                  <c:v>0.83117670323868909</c:v>
                </c:pt>
                <c:pt idx="252">
                  <c:v>0.90798285629871378</c:v>
                </c:pt>
                <c:pt idx="253">
                  <c:v>0.80065106847835565</c:v>
                </c:pt>
                <c:pt idx="254">
                  <c:v>0.91366453911512724</c:v>
                </c:pt>
                <c:pt idx="255">
                  <c:v>0.63658061415316614</c:v>
                </c:pt>
                <c:pt idx="256">
                  <c:v>0.67872485494033818</c:v>
                </c:pt>
                <c:pt idx="257">
                  <c:v>0.83340478977310528</c:v>
                </c:pt>
                <c:pt idx="258">
                  <c:v>0.61800778838527559</c:v>
                </c:pt>
                <c:pt idx="259">
                  <c:v>0.70367808719437008</c:v>
                </c:pt>
                <c:pt idx="260">
                  <c:v>0.9393306132040562</c:v>
                </c:pt>
                <c:pt idx="261">
                  <c:v>0.65027889870200761</c:v>
                </c:pt>
                <c:pt idx="262">
                  <c:v>0.95884996399514588</c:v>
                </c:pt>
                <c:pt idx="263">
                  <c:v>1.0237310466798923</c:v>
                </c:pt>
                <c:pt idx="264">
                  <c:v>0.58197921135499686</c:v>
                </c:pt>
                <c:pt idx="265">
                  <c:v>0.64761509962742803</c:v>
                </c:pt>
                <c:pt idx="266">
                  <c:v>0.80079303363680798</c:v>
                </c:pt>
                <c:pt idx="267">
                  <c:v>0.47564989032534455</c:v>
                </c:pt>
                <c:pt idx="268">
                  <c:v>0.66704150177213273</c:v>
                </c:pt>
                <c:pt idx="269">
                  <c:v>0.70702684009784134</c:v>
                </c:pt>
                <c:pt idx="270">
                  <c:v>1.0814969925658282</c:v>
                </c:pt>
                <c:pt idx="271">
                  <c:v>0.99576500752813224</c:v>
                </c:pt>
                <c:pt idx="272">
                  <c:v>0.99413885294838056</c:v>
                </c:pt>
                <c:pt idx="273">
                  <c:v>1.1394424782402843</c:v>
                </c:pt>
                <c:pt idx="274">
                  <c:v>0.67339603919552049</c:v>
                </c:pt>
                <c:pt idx="275">
                  <c:v>0.8706995887826271</c:v>
                </c:pt>
                <c:pt idx="276">
                  <c:v>1.0281950348313329</c:v>
                </c:pt>
                <c:pt idx="277">
                  <c:v>1.1970277979743196</c:v>
                </c:pt>
                <c:pt idx="278">
                  <c:v>0.75774169091366828</c:v>
                </c:pt>
                <c:pt idx="279">
                  <c:v>1.0238289667935871</c:v>
                </c:pt>
                <c:pt idx="280">
                  <c:v>0.73182258163771818</c:v>
                </c:pt>
                <c:pt idx="281">
                  <c:v>0.85256630700679548</c:v>
                </c:pt>
                <c:pt idx="282">
                  <c:v>0.99737956201403044</c:v>
                </c:pt>
                <c:pt idx="283">
                  <c:v>1.0728433505360115</c:v>
                </c:pt>
                <c:pt idx="284">
                  <c:v>1.2159686517391213</c:v>
                </c:pt>
                <c:pt idx="285">
                  <c:v>1.2091576243153148</c:v>
                </c:pt>
                <c:pt idx="286">
                  <c:v>0.79048475314469613</c:v>
                </c:pt>
                <c:pt idx="287">
                  <c:v>0.83691102883897983</c:v>
                </c:pt>
                <c:pt idx="288">
                  <c:v>1.006304469333855</c:v>
                </c:pt>
                <c:pt idx="289">
                  <c:v>1.189548271882735</c:v>
                </c:pt>
                <c:pt idx="290">
                  <c:v>1.1596127136690846</c:v>
                </c:pt>
                <c:pt idx="291">
                  <c:v>1.2217011324137843</c:v>
                </c:pt>
                <c:pt idx="292">
                  <c:v>1.3325481105008794</c:v>
                </c:pt>
                <c:pt idx="293">
                  <c:v>1.3127262358757383</c:v>
                </c:pt>
                <c:pt idx="294">
                  <c:v>1.1515856076091984</c:v>
                </c:pt>
                <c:pt idx="295">
                  <c:v>1.1740740153975369</c:v>
                </c:pt>
                <c:pt idx="296">
                  <c:v>1.2956263023911716</c:v>
                </c:pt>
                <c:pt idx="2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72-4D63-A8FE-6F8835215AA6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headed!$CK$19:$CK$94</c:f>
              <c:numCache>
                <c:formatCode>General</c:formatCode>
                <c:ptCount val="76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72-4D63-A8FE-6F8835215AA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72-4D63-A8FE-6F8835215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80832"/>
        <c:axId val="130183168"/>
      </c:scatterChart>
      <c:valAx>
        <c:axId val="130280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83168"/>
        <c:crosses val="autoZero"/>
        <c:crossBetween val="midCat"/>
      </c:valAx>
      <c:valAx>
        <c:axId val="130183168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808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headed!$CK$105:$CK$147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FD-4B57-BE9B-29CDFF59FC6D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  <c:numCache>
                <c:formatCode>General</c:formatCode>
                <c:ptCount val="33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</c:numCache>
            </c:numRef>
          </c:xVal>
          <c:yVal>
            <c:numRef>
              <c:f>headed!#REF!</c:f>
              <c:numCache>
                <c:formatCode>General</c:formatCode>
                <c:ptCount val="33"/>
                <c:pt idx="3">
                  <c:v>0.93158018544298471</c:v>
                </c:pt>
                <c:pt idx="4">
                  <c:v>0.89409273979493975</c:v>
                </c:pt>
                <c:pt idx="5">
                  <c:v>0.87628334293061028</c:v>
                </c:pt>
                <c:pt idx="9">
                  <c:v>0.9280335603715032</c:v>
                </c:pt>
                <c:pt idx="10">
                  <c:v>0.93939801490163299</c:v>
                </c:pt>
                <c:pt idx="11">
                  <c:v>0.860533276752946</c:v>
                </c:pt>
                <c:pt idx="12">
                  <c:v>0.87258417484529949</c:v>
                </c:pt>
                <c:pt idx="13">
                  <c:v>0.86289769346726963</c:v>
                </c:pt>
                <c:pt idx="14">
                  <c:v>0.86457566661937124</c:v>
                </c:pt>
                <c:pt idx="18">
                  <c:v>1</c:v>
                </c:pt>
                <c:pt idx="19">
                  <c:v>0.97551257342523257</c:v>
                </c:pt>
                <c:pt idx="20">
                  <c:v>0.93821580654447434</c:v>
                </c:pt>
                <c:pt idx="21">
                  <c:v>0.98603804137931328</c:v>
                </c:pt>
                <c:pt idx="22">
                  <c:v>0.96586422780066006</c:v>
                </c:pt>
                <c:pt idx="23">
                  <c:v>0.94805483093632903</c:v>
                </c:pt>
                <c:pt idx="24">
                  <c:v>0.95194467778892511</c:v>
                </c:pt>
                <c:pt idx="25">
                  <c:v>0.88425371540308384</c:v>
                </c:pt>
                <c:pt idx="26">
                  <c:v>0.98062276438844598</c:v>
                </c:pt>
                <c:pt idx="27">
                  <c:v>0.99705927412833162</c:v>
                </c:pt>
                <c:pt idx="28">
                  <c:v>1</c:v>
                </c:pt>
                <c:pt idx="29">
                  <c:v>1</c:v>
                </c:pt>
                <c:pt idx="30">
                  <c:v>0.94820737395015631</c:v>
                </c:pt>
                <c:pt idx="31">
                  <c:v>0.97059306122930467</c:v>
                </c:pt>
                <c:pt idx="3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FD-4B57-BE9B-29CDFF59FC6D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headed!$CK$156:$CK$537</c:f>
              <c:numCache>
                <c:formatCode>General</c:formatCode>
                <c:ptCount val="38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0.84833333333333338</c:v>
                </c:pt>
                <c:pt idx="97">
                  <c:v>1</c:v>
                </c:pt>
                <c:pt idx="98">
                  <c:v>1.0732340453544049</c:v>
                </c:pt>
                <c:pt idx="99">
                  <c:v>1.0025154962900582</c:v>
                </c:pt>
                <c:pt idx="100">
                  <c:v>1.3316690082587483</c:v>
                </c:pt>
                <c:pt idx="101">
                  <c:v>1.097611405753202</c:v>
                </c:pt>
                <c:pt idx="102">
                  <c:v>1.1737171323264513</c:v>
                </c:pt>
                <c:pt idx="103">
                  <c:v>0.98499999999999999</c:v>
                </c:pt>
                <c:pt idx="104">
                  <c:v>1.1793748514869569</c:v>
                </c:pt>
                <c:pt idx="105">
                  <c:v>1.0114255979953197</c:v>
                </c:pt>
                <c:pt idx="106">
                  <c:v>1.4143463626576895</c:v>
                </c:pt>
                <c:pt idx="107">
                  <c:v>1.1787643163301271</c:v>
                </c:pt>
                <c:pt idx="108">
                  <c:v>0.98628051473021827</c:v>
                </c:pt>
                <c:pt idx="109">
                  <c:v>0.96916666666666662</c:v>
                </c:pt>
                <c:pt idx="110">
                  <c:v>1.1078590441518625</c:v>
                </c:pt>
                <c:pt idx="111">
                  <c:v>1.0255837865554474</c:v>
                </c:pt>
                <c:pt idx="112">
                  <c:v>1.2622199993298189</c:v>
                </c:pt>
                <c:pt idx="113">
                  <c:v>1.0612133921380551</c:v>
                </c:pt>
                <c:pt idx="114">
                  <c:v>0.89800579941581282</c:v>
                </c:pt>
                <c:pt idx="115">
                  <c:v>0.88210240843168164</c:v>
                </c:pt>
                <c:pt idx="116">
                  <c:v>1.0355623876435345</c:v>
                </c:pt>
                <c:pt idx="117">
                  <c:v>0.97531366488201143</c:v>
                </c:pt>
                <c:pt idx="118">
                  <c:v>1.2275313013278444</c:v>
                </c:pt>
                <c:pt idx="119">
                  <c:v>1.0909962422431996</c:v>
                </c:pt>
                <c:pt idx="120">
                  <c:v>0.98097068748379734</c:v>
                </c:pt>
                <c:pt idx="121">
                  <c:v>1.0184221931806774</c:v>
                </c:pt>
                <c:pt idx="122">
                  <c:v>1.2076437156812905</c:v>
                </c:pt>
                <c:pt idx="123">
                  <c:v>1.026278911927931</c:v>
                </c:pt>
                <c:pt idx="124">
                  <c:v>0.95166687424883689</c:v>
                </c:pt>
                <c:pt idx="125">
                  <c:v>0.94979047422646845</c:v>
                </c:pt>
                <c:pt idx="126">
                  <c:v>1.0555684263285166</c:v>
                </c:pt>
                <c:pt idx="127">
                  <c:v>0.75449639049580097</c:v>
                </c:pt>
                <c:pt idx="128">
                  <c:v>0.85631332847185648</c:v>
                </c:pt>
                <c:pt idx="129">
                  <c:v>0.73864862864762737</c:v>
                </c:pt>
                <c:pt idx="130">
                  <c:v>1.0122595831277816</c:v>
                </c:pt>
                <c:pt idx="131">
                  <c:v>0.75738494469674067</c:v>
                </c:pt>
                <c:pt idx="132">
                  <c:v>0.98660780016235983</c:v>
                </c:pt>
                <c:pt idx="133">
                  <c:v>0.7688185795271586</c:v>
                </c:pt>
                <c:pt idx="134">
                  <c:v>0.93949066396852476</c:v>
                </c:pt>
                <c:pt idx="135">
                  <c:v>1.051317145691999</c:v>
                </c:pt>
                <c:pt idx="136">
                  <c:v>1.0428358329621183</c:v>
                </c:pt>
                <c:pt idx="137">
                  <c:v>0.90762534595970545</c:v>
                </c:pt>
                <c:pt idx="138">
                  <c:v>0.96668345094347008</c:v>
                </c:pt>
                <c:pt idx="139">
                  <c:v>0.92467198904083814</c:v>
                </c:pt>
                <c:pt idx="140">
                  <c:v>1.0457977173215069</c:v>
                </c:pt>
                <c:pt idx="141">
                  <c:v>0.98277763354811387</c:v>
                </c:pt>
                <c:pt idx="142">
                  <c:v>0.96655501262970034</c:v>
                </c:pt>
                <c:pt idx="143">
                  <c:v>0.94029242605845686</c:v>
                </c:pt>
                <c:pt idx="144">
                  <c:v>1.0210557999824699</c:v>
                </c:pt>
                <c:pt idx="145">
                  <c:v>1.0263095681968797</c:v>
                </c:pt>
                <c:pt idx="146">
                  <c:v>0.99617785069192466</c:v>
                </c:pt>
                <c:pt idx="147">
                  <c:v>1.1112596892664182</c:v>
                </c:pt>
                <c:pt idx="148">
                  <c:v>1.1281282791225913</c:v>
                </c:pt>
                <c:pt idx="149">
                  <c:v>1.3411331667214759</c:v>
                </c:pt>
                <c:pt idx="150">
                  <c:v>1.4014181325909159</c:v>
                </c:pt>
                <c:pt idx="151">
                  <c:v>1.1403447227271795</c:v>
                </c:pt>
                <c:pt idx="152">
                  <c:v>1.1667495807153807</c:v>
                </c:pt>
                <c:pt idx="153">
                  <c:v>1.3055599870590859</c:v>
                </c:pt>
                <c:pt idx="154">
                  <c:v>1.4151480032461179</c:v>
                </c:pt>
                <c:pt idx="155">
                  <c:v>1.0695354015578697</c:v>
                </c:pt>
                <c:pt idx="156">
                  <c:v>1.1086028706787405</c:v>
                </c:pt>
                <c:pt idx="157">
                  <c:v>1.2682678827222702</c:v>
                </c:pt>
                <c:pt idx="158">
                  <c:v>1.4782200012625968</c:v>
                </c:pt>
                <c:pt idx="159">
                  <c:v>0.87833333333333341</c:v>
                </c:pt>
                <c:pt idx="160">
                  <c:v>0.89214840379637628</c:v>
                </c:pt>
                <c:pt idx="161">
                  <c:v>0.95168248490077645</c:v>
                </c:pt>
                <c:pt idx="162">
                  <c:v>0.64304013454181963</c:v>
                </c:pt>
                <c:pt idx="163">
                  <c:v>0.76838286120630295</c:v>
                </c:pt>
                <c:pt idx="164">
                  <c:v>0.89552419733717004</c:v>
                </c:pt>
                <c:pt idx="165">
                  <c:v>0.7840718743477787</c:v>
                </c:pt>
                <c:pt idx="166">
                  <c:v>0.98409766607899973</c:v>
                </c:pt>
                <c:pt idx="167">
                  <c:v>1.1028377286200142</c:v>
                </c:pt>
                <c:pt idx="168">
                  <c:v>0.81958454427477145</c:v>
                </c:pt>
                <c:pt idx="169">
                  <c:v>0.86504992090891586</c:v>
                </c:pt>
                <c:pt idx="170">
                  <c:v>0.77187994815402661</c:v>
                </c:pt>
                <c:pt idx="171">
                  <c:v>0.96079814882500592</c:v>
                </c:pt>
                <c:pt idx="172">
                  <c:v>0.72179535196685451</c:v>
                </c:pt>
                <c:pt idx="173">
                  <c:v>0.90958443196571492</c:v>
                </c:pt>
                <c:pt idx="174">
                  <c:v>0.94633885858091515</c:v>
                </c:pt>
                <c:pt idx="175">
                  <c:v>0.88772695202762453</c:v>
                </c:pt>
                <c:pt idx="176">
                  <c:v>1.040321922403797</c:v>
                </c:pt>
                <c:pt idx="177">
                  <c:v>1.0201564955106805</c:v>
                </c:pt>
                <c:pt idx="178">
                  <c:v>1.1408969245623375</c:v>
                </c:pt>
                <c:pt idx="179">
                  <c:v>1.0927712921092712</c:v>
                </c:pt>
                <c:pt idx="180">
                  <c:v>1.2733735889849789</c:v>
                </c:pt>
                <c:pt idx="181">
                  <c:v>1.0374944577148659</c:v>
                </c:pt>
                <c:pt idx="182">
                  <c:v>1.0877385129806194</c:v>
                </c:pt>
                <c:pt idx="183">
                  <c:v>0.77596899224806193</c:v>
                </c:pt>
                <c:pt idx="184">
                  <c:v>0.76884181445606981</c:v>
                </c:pt>
                <c:pt idx="185">
                  <c:v>1</c:v>
                </c:pt>
                <c:pt idx="186">
                  <c:v>1.0970371571867716</c:v>
                </c:pt>
                <c:pt idx="187">
                  <c:v>0.93271114834467483</c:v>
                </c:pt>
                <c:pt idx="188">
                  <c:v>0.98191767642597505</c:v>
                </c:pt>
                <c:pt idx="189">
                  <c:v>0.92990729725452292</c:v>
                </c:pt>
                <c:pt idx="190">
                  <c:v>1.2334336233137346</c:v>
                </c:pt>
                <c:pt idx="191">
                  <c:v>0.73708254508719195</c:v>
                </c:pt>
                <c:pt idx="192">
                  <c:v>0.76475423221277683</c:v>
                </c:pt>
                <c:pt idx="193">
                  <c:v>0.80505769112623204</c:v>
                </c:pt>
                <c:pt idx="194">
                  <c:v>1.1698808414795534</c:v>
                </c:pt>
                <c:pt idx="195">
                  <c:v>0.81066942187607538</c:v>
                </c:pt>
                <c:pt idx="196">
                  <c:v>0.89753775945612424</c:v>
                </c:pt>
                <c:pt idx="197">
                  <c:v>0.89515643202731698</c:v>
                </c:pt>
                <c:pt idx="198">
                  <c:v>0.95550025830198404</c:v>
                </c:pt>
                <c:pt idx="199">
                  <c:v>1.0643352713979048</c:v>
                </c:pt>
                <c:pt idx="200">
                  <c:v>0.9161935541106252</c:v>
                </c:pt>
                <c:pt idx="201">
                  <c:v>1.0276805768179793</c:v>
                </c:pt>
                <c:pt idx="202">
                  <c:v>0.79497862339968595</c:v>
                </c:pt>
                <c:pt idx="203">
                  <c:v>1.0750809484919404</c:v>
                </c:pt>
                <c:pt idx="204">
                  <c:v>0.62319362436667958</c:v>
                </c:pt>
                <c:pt idx="205">
                  <c:v>0.96051437093285852</c:v>
                </c:pt>
                <c:pt idx="206">
                  <c:v>0.87917179348650509</c:v>
                </c:pt>
                <c:pt idx="207">
                  <c:v>1.2347092535127056</c:v>
                </c:pt>
                <c:pt idx="208">
                  <c:v>0.60184794055467938</c:v>
                </c:pt>
                <c:pt idx="209">
                  <c:v>1.0219610040497915</c:v>
                </c:pt>
                <c:pt idx="210">
                  <c:v>0.7330357782373077</c:v>
                </c:pt>
                <c:pt idx="211">
                  <c:v>1.1198131819366681</c:v>
                </c:pt>
                <c:pt idx="212">
                  <c:v>0.66486057633594775</c:v>
                </c:pt>
                <c:pt idx="213">
                  <c:v>1.0063627542062954</c:v>
                </c:pt>
                <c:pt idx="214">
                  <c:v>0.65201390875330911</c:v>
                </c:pt>
                <c:pt idx="215">
                  <c:v>0.96063482258325084</c:v>
                </c:pt>
                <c:pt idx="216">
                  <c:v>0.72042570438964904</c:v>
                </c:pt>
                <c:pt idx="217">
                  <c:v>1.1550340401026544</c:v>
                </c:pt>
                <c:pt idx="218">
                  <c:v>0.65535916327208799</c:v>
                </c:pt>
                <c:pt idx="219">
                  <c:v>1.1105084560718819</c:v>
                </c:pt>
                <c:pt idx="220">
                  <c:v>0.79874270242833545</c:v>
                </c:pt>
                <c:pt idx="221">
                  <c:v>1.023547164422965</c:v>
                </c:pt>
                <c:pt idx="222">
                  <c:v>0.85551395808440578</c:v>
                </c:pt>
                <c:pt idx="223">
                  <c:v>0.98139244277365356</c:v>
                </c:pt>
                <c:pt idx="224">
                  <c:v>0.70984876435598188</c:v>
                </c:pt>
                <c:pt idx="225">
                  <c:v>1.0481130483497585</c:v>
                </c:pt>
                <c:pt idx="226">
                  <c:v>0.90063459723224326</c:v>
                </c:pt>
                <c:pt idx="227">
                  <c:v>1.2858428339267387</c:v>
                </c:pt>
                <c:pt idx="228">
                  <c:v>0.89396556017501727</c:v>
                </c:pt>
                <c:pt idx="229">
                  <c:v>0.98338913792026705</c:v>
                </c:pt>
                <c:pt idx="230">
                  <c:v>1.036322161226584</c:v>
                </c:pt>
                <c:pt idx="231">
                  <c:v>1.3610574349331113</c:v>
                </c:pt>
                <c:pt idx="232">
                  <c:v>1.1811110675219012</c:v>
                </c:pt>
                <c:pt idx="233">
                  <c:v>0.65825114412661645</c:v>
                </c:pt>
                <c:pt idx="234">
                  <c:v>0.77378912538861899</c:v>
                </c:pt>
                <c:pt idx="235">
                  <c:v>0.75899280575539563</c:v>
                </c:pt>
                <c:pt idx="236">
                  <c:v>0.8904869210020433</c:v>
                </c:pt>
                <c:pt idx="237">
                  <c:v>0.90287769784172656</c:v>
                </c:pt>
                <c:pt idx="238">
                  <c:v>0.98498574494393953</c:v>
                </c:pt>
                <c:pt idx="239">
                  <c:v>0.96762589928057552</c:v>
                </c:pt>
                <c:pt idx="240">
                  <c:v>1</c:v>
                </c:pt>
                <c:pt idx="241">
                  <c:v>0.81191613543819985</c:v>
                </c:pt>
                <c:pt idx="242">
                  <c:v>0.9430316920738141</c:v>
                </c:pt>
                <c:pt idx="243">
                  <c:v>1.0458763223941501</c:v>
                </c:pt>
                <c:pt idx="244">
                  <c:v>0.93075915185163327</c:v>
                </c:pt>
                <c:pt idx="245">
                  <c:v>1.0597976267559761</c:v>
                </c:pt>
                <c:pt idx="246">
                  <c:v>1.4770163586145215</c:v>
                </c:pt>
                <c:pt idx="247">
                  <c:v>0.9223210736286156</c:v>
                </c:pt>
                <c:pt idx="248">
                  <c:v>1.0760378613885915</c:v>
                </c:pt>
                <c:pt idx="249">
                  <c:v>1.0622002196076112</c:v>
                </c:pt>
                <c:pt idx="250">
                  <c:v>0.68598892644176579</c:v>
                </c:pt>
                <c:pt idx="251">
                  <c:v>0.83117670323868909</c:v>
                </c:pt>
                <c:pt idx="252">
                  <c:v>0.90798285629871378</c:v>
                </c:pt>
                <c:pt idx="253">
                  <c:v>0.80065106847835565</c:v>
                </c:pt>
                <c:pt idx="254">
                  <c:v>0.91366453911512724</c:v>
                </c:pt>
                <c:pt idx="255">
                  <c:v>0.63658061415316614</c:v>
                </c:pt>
                <c:pt idx="256">
                  <c:v>0.67872485494033818</c:v>
                </c:pt>
                <c:pt idx="257">
                  <c:v>0.83340478977310528</c:v>
                </c:pt>
                <c:pt idx="258">
                  <c:v>0.61800778838527559</c:v>
                </c:pt>
                <c:pt idx="259">
                  <c:v>0.70367808719437008</c:v>
                </c:pt>
                <c:pt idx="260">
                  <c:v>0.9393306132040562</c:v>
                </c:pt>
                <c:pt idx="261">
                  <c:v>0.65027889870200761</c:v>
                </c:pt>
                <c:pt idx="262">
                  <c:v>0.95884996399514588</c:v>
                </c:pt>
                <c:pt idx="263">
                  <c:v>1.0237310466798923</c:v>
                </c:pt>
                <c:pt idx="264">
                  <c:v>0.58197921135499686</c:v>
                </c:pt>
                <c:pt idx="265">
                  <c:v>0.64761509962742803</c:v>
                </c:pt>
                <c:pt idx="266">
                  <c:v>0.80079303363680798</c:v>
                </c:pt>
                <c:pt idx="267">
                  <c:v>0.47564989032534455</c:v>
                </c:pt>
                <c:pt idx="268">
                  <c:v>0.66704150177213273</c:v>
                </c:pt>
                <c:pt idx="269">
                  <c:v>0.70702684009784134</c:v>
                </c:pt>
                <c:pt idx="270">
                  <c:v>1.0814969925658282</c:v>
                </c:pt>
                <c:pt idx="271">
                  <c:v>0.99576500752813224</c:v>
                </c:pt>
                <c:pt idx="272">
                  <c:v>0.99413885294838056</c:v>
                </c:pt>
                <c:pt idx="273">
                  <c:v>1.1394424782402843</c:v>
                </c:pt>
                <c:pt idx="274">
                  <c:v>0.67339603919552049</c:v>
                </c:pt>
                <c:pt idx="275">
                  <c:v>0.8706995887826271</c:v>
                </c:pt>
                <c:pt idx="276">
                  <c:v>1.0281950348313329</c:v>
                </c:pt>
                <c:pt idx="277">
                  <c:v>1.1970277979743196</c:v>
                </c:pt>
                <c:pt idx="278">
                  <c:v>0.75774169091366828</c:v>
                </c:pt>
                <c:pt idx="279">
                  <c:v>1.0238289667935871</c:v>
                </c:pt>
                <c:pt idx="280">
                  <c:v>0.73182258163771818</c:v>
                </c:pt>
                <c:pt idx="281">
                  <c:v>0.85256630700679548</c:v>
                </c:pt>
                <c:pt idx="282">
                  <c:v>0.99737956201403044</c:v>
                </c:pt>
                <c:pt idx="283">
                  <c:v>1.0728433505360115</c:v>
                </c:pt>
                <c:pt idx="284">
                  <c:v>1.2159686517391213</c:v>
                </c:pt>
                <c:pt idx="285">
                  <c:v>1.2091576243153148</c:v>
                </c:pt>
                <c:pt idx="286">
                  <c:v>0.79048475314469613</c:v>
                </c:pt>
                <c:pt idx="287">
                  <c:v>0.83691102883897983</c:v>
                </c:pt>
                <c:pt idx="288">
                  <c:v>1.006304469333855</c:v>
                </c:pt>
                <c:pt idx="289">
                  <c:v>1.189548271882735</c:v>
                </c:pt>
                <c:pt idx="290">
                  <c:v>1.1596127136690846</c:v>
                </c:pt>
                <c:pt idx="291">
                  <c:v>1.2217011324137843</c:v>
                </c:pt>
                <c:pt idx="292">
                  <c:v>1.3325481105008794</c:v>
                </c:pt>
                <c:pt idx="293">
                  <c:v>1.3127262358757383</c:v>
                </c:pt>
                <c:pt idx="294">
                  <c:v>1.1515856076091984</c:v>
                </c:pt>
                <c:pt idx="295">
                  <c:v>1.1740740153975369</c:v>
                </c:pt>
                <c:pt idx="296">
                  <c:v>1.2956263023911716</c:v>
                </c:pt>
                <c:pt idx="2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FD-4B57-BE9B-29CDFF59FC6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headed!$CK$19:$CK$94</c:f>
              <c:numCache>
                <c:formatCode>General</c:formatCode>
                <c:ptCount val="76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FD-4B57-BE9B-29CDFF59FC6D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FD-4B57-BE9B-29CDFF59F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10432"/>
        <c:axId val="130298240"/>
      </c:scatterChart>
      <c:valAx>
        <c:axId val="1302104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98240"/>
        <c:crosses val="autoZero"/>
        <c:crossBetween val="midCat"/>
      </c:valAx>
      <c:valAx>
        <c:axId val="130298240"/>
        <c:scaling>
          <c:orientation val="minMax"/>
          <c:max val="2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104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headed!$Q$105:$Q$147</c:f>
              <c:numCache>
                <c:formatCode>General</c:formatCode>
                <c:ptCount val="43"/>
                <c:pt idx="0">
                  <c:v>1.18</c:v>
                </c:pt>
                <c:pt idx="1">
                  <c:v>1.18</c:v>
                </c:pt>
                <c:pt idx="2">
                  <c:v>1.18</c:v>
                </c:pt>
                <c:pt idx="3">
                  <c:v>1.18</c:v>
                </c:pt>
                <c:pt idx="4">
                  <c:v>4.7</c:v>
                </c:pt>
                <c:pt idx="5">
                  <c:v>4.7</c:v>
                </c:pt>
                <c:pt idx="6">
                  <c:v>4.7</c:v>
                </c:pt>
                <c:pt idx="7">
                  <c:v>4.7</c:v>
                </c:pt>
                <c:pt idx="8">
                  <c:v>4.7</c:v>
                </c:pt>
                <c:pt idx="9">
                  <c:v>4.04</c:v>
                </c:pt>
                <c:pt idx="10">
                  <c:v>4.7</c:v>
                </c:pt>
                <c:pt idx="11">
                  <c:v>4.04</c:v>
                </c:pt>
                <c:pt idx="12">
                  <c:v>4.04</c:v>
                </c:pt>
                <c:pt idx="13">
                  <c:v>4.04</c:v>
                </c:pt>
                <c:pt idx="14">
                  <c:v>4.7</c:v>
                </c:pt>
                <c:pt idx="15">
                  <c:v>4.04</c:v>
                </c:pt>
                <c:pt idx="16">
                  <c:v>4.04</c:v>
                </c:pt>
                <c:pt idx="17">
                  <c:v>4.04</c:v>
                </c:pt>
                <c:pt idx="18">
                  <c:v>4.04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</c:numCache>
            </c:numRef>
          </c:xVal>
          <c:yVal>
            <c:numRef>
              <c:f>headed!$CK$105:$CK$147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FB-4DDB-AD8A-A784BFE4A419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FB-4DDB-AD8A-A784BFE4A419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headed!$Q$156:$Q$544</c:f>
              <c:numCache>
                <c:formatCode>General</c:formatCode>
                <c:ptCount val="38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4.4639504822285474</c:v>
                </c:pt>
                <c:pt idx="61">
                  <c:v>4.4639504822285474</c:v>
                </c:pt>
                <c:pt idx="62">
                  <c:v>7.0469088920093164</c:v>
                </c:pt>
                <c:pt idx="63">
                  <c:v>5.3152807724479523</c:v>
                </c:pt>
                <c:pt idx="64">
                  <c:v>4.4639504822285474</c:v>
                </c:pt>
                <c:pt idx="65">
                  <c:v>4.4639504822285474</c:v>
                </c:pt>
                <c:pt idx="66">
                  <c:v>4.4639504822285474</c:v>
                </c:pt>
                <c:pt idx="67">
                  <c:v>5.3152807724479523</c:v>
                </c:pt>
                <c:pt idx="68">
                  <c:v>2.0051727652257014</c:v>
                </c:pt>
                <c:pt idx="69">
                  <c:v>1.9505332604034158</c:v>
                </c:pt>
                <c:pt idx="70">
                  <c:v>4.4639504822285474</c:v>
                </c:pt>
                <c:pt idx="71">
                  <c:v>5.3152807724479523</c:v>
                </c:pt>
                <c:pt idx="72">
                  <c:v>5.3152807724479523</c:v>
                </c:pt>
                <c:pt idx="73">
                  <c:v>2.0051727652257014</c:v>
                </c:pt>
                <c:pt idx="74">
                  <c:v>2.0051727652257014</c:v>
                </c:pt>
                <c:pt idx="75">
                  <c:v>2.0051727652257014</c:v>
                </c:pt>
                <c:pt idx="76">
                  <c:v>2.0051727652257014</c:v>
                </c:pt>
                <c:pt idx="77">
                  <c:v>2.1293534580036226</c:v>
                </c:pt>
                <c:pt idx="78">
                  <c:v>1.9505332604034158</c:v>
                </c:pt>
                <c:pt idx="79">
                  <c:v>3.1973074158937482</c:v>
                </c:pt>
                <c:pt idx="80">
                  <c:v>5.3152807724479523</c:v>
                </c:pt>
                <c:pt idx="81">
                  <c:v>2.205004992017336</c:v>
                </c:pt>
                <c:pt idx="82">
                  <c:v>1.9505332604034158</c:v>
                </c:pt>
                <c:pt idx="83">
                  <c:v>1.9505332604034158</c:v>
                </c:pt>
                <c:pt idx="84">
                  <c:v>2.0051727652257014</c:v>
                </c:pt>
                <c:pt idx="85">
                  <c:v>1.9505332604034158</c:v>
                </c:pt>
                <c:pt idx="86">
                  <c:v>2.0051727652257014</c:v>
                </c:pt>
                <c:pt idx="87">
                  <c:v>7.0469088920093164</c:v>
                </c:pt>
                <c:pt idx="88">
                  <c:v>4.4639504822285474</c:v>
                </c:pt>
                <c:pt idx="89">
                  <c:v>5.3152807724479523</c:v>
                </c:pt>
                <c:pt idx="90">
                  <c:v>2.8188046643066431</c:v>
                </c:pt>
                <c:pt idx="91">
                  <c:v>6.4993959172819435</c:v>
                </c:pt>
                <c:pt idx="92">
                  <c:v>2.5739077706444626</c:v>
                </c:pt>
                <c:pt idx="93">
                  <c:v>2.5739077706444626</c:v>
                </c:pt>
                <c:pt idx="94">
                  <c:v>2.5739077706444626</c:v>
                </c:pt>
                <c:pt idx="95">
                  <c:v>2.5739077706444626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4.0999999999999996</c:v>
                </c:pt>
                <c:pt idx="115">
                  <c:v>4.0999999999999996</c:v>
                </c:pt>
                <c:pt idx="116">
                  <c:v>4.0999999999999996</c:v>
                </c:pt>
                <c:pt idx="117">
                  <c:v>4.0999999999999996</c:v>
                </c:pt>
                <c:pt idx="118">
                  <c:v>4.0999999999999996</c:v>
                </c:pt>
                <c:pt idx="119">
                  <c:v>4.0999999999999996</c:v>
                </c:pt>
                <c:pt idx="120">
                  <c:v>4.0999999999999996</c:v>
                </c:pt>
                <c:pt idx="121">
                  <c:v>4.0999999999999996</c:v>
                </c:pt>
                <c:pt idx="122">
                  <c:v>4.0999999999999996</c:v>
                </c:pt>
                <c:pt idx="123">
                  <c:v>4.0999999999999996</c:v>
                </c:pt>
                <c:pt idx="124">
                  <c:v>4.0999999999999996</c:v>
                </c:pt>
                <c:pt idx="125">
                  <c:v>4.0999999999999996</c:v>
                </c:pt>
                <c:pt idx="126">
                  <c:v>4.0999999999999996</c:v>
                </c:pt>
                <c:pt idx="127">
                  <c:v>4.0999999999999996</c:v>
                </c:pt>
                <c:pt idx="128">
                  <c:v>4.0999999999999996</c:v>
                </c:pt>
                <c:pt idx="129">
                  <c:v>4.0999999999999996</c:v>
                </c:pt>
                <c:pt idx="130">
                  <c:v>4.0999999999999996</c:v>
                </c:pt>
                <c:pt idx="131">
                  <c:v>4.0999999999999996</c:v>
                </c:pt>
                <c:pt idx="132">
                  <c:v>4.0999999999999996</c:v>
                </c:pt>
                <c:pt idx="133">
                  <c:v>4.0999999999999996</c:v>
                </c:pt>
                <c:pt idx="134">
                  <c:v>4.0999999999999996</c:v>
                </c:pt>
                <c:pt idx="135">
                  <c:v>6.5</c:v>
                </c:pt>
                <c:pt idx="136">
                  <c:v>6.5</c:v>
                </c:pt>
                <c:pt idx="137">
                  <c:v>4.5</c:v>
                </c:pt>
                <c:pt idx="138">
                  <c:v>4.5</c:v>
                </c:pt>
                <c:pt idx="139">
                  <c:v>6.5</c:v>
                </c:pt>
                <c:pt idx="140">
                  <c:v>6.5</c:v>
                </c:pt>
                <c:pt idx="141">
                  <c:v>4.5</c:v>
                </c:pt>
                <c:pt idx="142">
                  <c:v>4.5</c:v>
                </c:pt>
                <c:pt idx="143">
                  <c:v>6.5</c:v>
                </c:pt>
                <c:pt idx="144">
                  <c:v>6.5</c:v>
                </c:pt>
                <c:pt idx="145">
                  <c:v>4.5</c:v>
                </c:pt>
                <c:pt idx="146">
                  <c:v>4.5</c:v>
                </c:pt>
                <c:pt idx="147">
                  <c:v>9.5</c:v>
                </c:pt>
                <c:pt idx="148">
                  <c:v>9.1</c:v>
                </c:pt>
                <c:pt idx="149">
                  <c:v>9.5</c:v>
                </c:pt>
                <c:pt idx="150">
                  <c:v>9.1</c:v>
                </c:pt>
                <c:pt idx="151">
                  <c:v>9.5</c:v>
                </c:pt>
                <c:pt idx="152">
                  <c:v>9.1</c:v>
                </c:pt>
                <c:pt idx="153">
                  <c:v>9.5</c:v>
                </c:pt>
                <c:pt idx="154">
                  <c:v>9.1</c:v>
                </c:pt>
                <c:pt idx="155">
                  <c:v>9.5</c:v>
                </c:pt>
                <c:pt idx="156">
                  <c:v>9.1</c:v>
                </c:pt>
                <c:pt idx="157">
                  <c:v>9.5</c:v>
                </c:pt>
                <c:pt idx="158">
                  <c:v>9.1</c:v>
                </c:pt>
                <c:pt idx="159">
                  <c:v>4</c:v>
                </c:pt>
                <c:pt idx="160">
                  <c:v>9.5</c:v>
                </c:pt>
                <c:pt idx="161">
                  <c:v>14.9</c:v>
                </c:pt>
                <c:pt idx="162">
                  <c:v>4</c:v>
                </c:pt>
                <c:pt idx="163">
                  <c:v>9.5</c:v>
                </c:pt>
                <c:pt idx="164">
                  <c:v>14.9</c:v>
                </c:pt>
                <c:pt idx="165">
                  <c:v>4</c:v>
                </c:pt>
                <c:pt idx="166">
                  <c:v>9.5</c:v>
                </c:pt>
                <c:pt idx="167">
                  <c:v>14.9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9.5</c:v>
                </c:pt>
                <c:pt idx="178">
                  <c:v>9.5</c:v>
                </c:pt>
                <c:pt idx="179">
                  <c:v>9.5</c:v>
                </c:pt>
                <c:pt idx="180">
                  <c:v>9.5</c:v>
                </c:pt>
                <c:pt idx="181">
                  <c:v>9.5</c:v>
                </c:pt>
                <c:pt idx="182">
                  <c:v>9.5</c:v>
                </c:pt>
                <c:pt idx="183">
                  <c:v>4.0999999999999996</c:v>
                </c:pt>
                <c:pt idx="184">
                  <c:v>9.1</c:v>
                </c:pt>
                <c:pt idx="185">
                  <c:v>4.0999999999999996</c:v>
                </c:pt>
                <c:pt idx="186">
                  <c:v>9.1</c:v>
                </c:pt>
                <c:pt idx="187">
                  <c:v>4.0999999999999996</c:v>
                </c:pt>
                <c:pt idx="188">
                  <c:v>9.1</c:v>
                </c:pt>
                <c:pt idx="189">
                  <c:v>4.0999999999999996</c:v>
                </c:pt>
                <c:pt idx="190">
                  <c:v>9.1</c:v>
                </c:pt>
                <c:pt idx="191">
                  <c:v>4.0999999999999996</c:v>
                </c:pt>
                <c:pt idx="192">
                  <c:v>9.1</c:v>
                </c:pt>
                <c:pt idx="193">
                  <c:v>4.0999999999999996</c:v>
                </c:pt>
                <c:pt idx="194">
                  <c:v>9.1</c:v>
                </c:pt>
                <c:pt idx="195">
                  <c:v>4.5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4.5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4.0999999999999996</c:v>
                </c:pt>
                <c:pt idx="216">
                  <c:v>9.1</c:v>
                </c:pt>
                <c:pt idx="217">
                  <c:v>9.1</c:v>
                </c:pt>
                <c:pt idx="218">
                  <c:v>9.1</c:v>
                </c:pt>
                <c:pt idx="219">
                  <c:v>9.1</c:v>
                </c:pt>
                <c:pt idx="220">
                  <c:v>9.5</c:v>
                </c:pt>
                <c:pt idx="221">
                  <c:v>9.1</c:v>
                </c:pt>
                <c:pt idx="222">
                  <c:v>4</c:v>
                </c:pt>
                <c:pt idx="223">
                  <c:v>13.1</c:v>
                </c:pt>
                <c:pt idx="224">
                  <c:v>4</c:v>
                </c:pt>
                <c:pt idx="225">
                  <c:v>13.1</c:v>
                </c:pt>
                <c:pt idx="226">
                  <c:v>4</c:v>
                </c:pt>
                <c:pt idx="227">
                  <c:v>13.1</c:v>
                </c:pt>
                <c:pt idx="228">
                  <c:v>4</c:v>
                </c:pt>
                <c:pt idx="229">
                  <c:v>13.1</c:v>
                </c:pt>
                <c:pt idx="230">
                  <c:v>4</c:v>
                </c:pt>
                <c:pt idx="231">
                  <c:v>13.1</c:v>
                </c:pt>
                <c:pt idx="232">
                  <c:v>4</c:v>
                </c:pt>
                <c:pt idx="233">
                  <c:v>4</c:v>
                </c:pt>
                <c:pt idx="234">
                  <c:v>13.1</c:v>
                </c:pt>
                <c:pt idx="235">
                  <c:v>4</c:v>
                </c:pt>
                <c:pt idx="236">
                  <c:v>13.1</c:v>
                </c:pt>
                <c:pt idx="237">
                  <c:v>4</c:v>
                </c:pt>
                <c:pt idx="238">
                  <c:v>13.1</c:v>
                </c:pt>
                <c:pt idx="239">
                  <c:v>4</c:v>
                </c:pt>
                <c:pt idx="240">
                  <c:v>13.1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3.8</c:v>
                </c:pt>
                <c:pt idx="248">
                  <c:v>3.8</c:v>
                </c:pt>
                <c:pt idx="249">
                  <c:v>3.8</c:v>
                </c:pt>
                <c:pt idx="250">
                  <c:v>3.8</c:v>
                </c:pt>
                <c:pt idx="251">
                  <c:v>3.8</c:v>
                </c:pt>
                <c:pt idx="252">
                  <c:v>3.8</c:v>
                </c:pt>
                <c:pt idx="253">
                  <c:v>8.6</c:v>
                </c:pt>
                <c:pt idx="254">
                  <c:v>8.6</c:v>
                </c:pt>
                <c:pt idx="255">
                  <c:v>4.0999999999999996</c:v>
                </c:pt>
                <c:pt idx="256">
                  <c:v>9.1</c:v>
                </c:pt>
                <c:pt idx="257">
                  <c:v>9.1</c:v>
                </c:pt>
                <c:pt idx="258">
                  <c:v>4.0999999999999996</c:v>
                </c:pt>
                <c:pt idx="259">
                  <c:v>9.1</c:v>
                </c:pt>
                <c:pt idx="260">
                  <c:v>4.0999999999999996</c:v>
                </c:pt>
                <c:pt idx="261">
                  <c:v>9.1</c:v>
                </c:pt>
                <c:pt idx="262">
                  <c:v>4.0999999999999996</c:v>
                </c:pt>
                <c:pt idx="263">
                  <c:v>9.1</c:v>
                </c:pt>
                <c:pt idx="264">
                  <c:v>3.8</c:v>
                </c:pt>
                <c:pt idx="265">
                  <c:v>3.8</c:v>
                </c:pt>
                <c:pt idx="266">
                  <c:v>3.8</c:v>
                </c:pt>
                <c:pt idx="267">
                  <c:v>3.8</c:v>
                </c:pt>
                <c:pt idx="268">
                  <c:v>3.8</c:v>
                </c:pt>
                <c:pt idx="269">
                  <c:v>3.8</c:v>
                </c:pt>
                <c:pt idx="270">
                  <c:v>12.9</c:v>
                </c:pt>
                <c:pt idx="271">
                  <c:v>14.9</c:v>
                </c:pt>
                <c:pt idx="272">
                  <c:v>12.9</c:v>
                </c:pt>
                <c:pt idx="273">
                  <c:v>14.9</c:v>
                </c:pt>
                <c:pt idx="274">
                  <c:v>3.9</c:v>
                </c:pt>
                <c:pt idx="275">
                  <c:v>3.9</c:v>
                </c:pt>
                <c:pt idx="276">
                  <c:v>3.9</c:v>
                </c:pt>
                <c:pt idx="277">
                  <c:v>3.9</c:v>
                </c:pt>
                <c:pt idx="278">
                  <c:v>8.6</c:v>
                </c:pt>
                <c:pt idx="279">
                  <c:v>8.6</c:v>
                </c:pt>
                <c:pt idx="280">
                  <c:v>8.6</c:v>
                </c:pt>
                <c:pt idx="281">
                  <c:v>8.6</c:v>
                </c:pt>
                <c:pt idx="282">
                  <c:v>4.5</c:v>
                </c:pt>
                <c:pt idx="283">
                  <c:v>5.5</c:v>
                </c:pt>
                <c:pt idx="284">
                  <c:v>4.5</c:v>
                </c:pt>
                <c:pt idx="285">
                  <c:v>5.5</c:v>
                </c:pt>
                <c:pt idx="286">
                  <c:v>4.5</c:v>
                </c:pt>
                <c:pt idx="287">
                  <c:v>5.5</c:v>
                </c:pt>
                <c:pt idx="288">
                  <c:v>4.5</c:v>
                </c:pt>
                <c:pt idx="289">
                  <c:v>5.5</c:v>
                </c:pt>
                <c:pt idx="290">
                  <c:v>4.5</c:v>
                </c:pt>
                <c:pt idx="291">
                  <c:v>5.5</c:v>
                </c:pt>
                <c:pt idx="292">
                  <c:v>4.5</c:v>
                </c:pt>
                <c:pt idx="293">
                  <c:v>5.5</c:v>
                </c:pt>
                <c:pt idx="294">
                  <c:v>4.5</c:v>
                </c:pt>
                <c:pt idx="295">
                  <c:v>5.5</c:v>
                </c:pt>
                <c:pt idx="296">
                  <c:v>4.5</c:v>
                </c:pt>
                <c:pt idx="297">
                  <c:v>5.5</c:v>
                </c:pt>
                <c:pt idx="313">
                  <c:v>9.5</c:v>
                </c:pt>
                <c:pt idx="314">
                  <c:v>9.5</c:v>
                </c:pt>
                <c:pt idx="315">
                  <c:v>4</c:v>
                </c:pt>
                <c:pt idx="316">
                  <c:v>4</c:v>
                </c:pt>
                <c:pt idx="317">
                  <c:v>4.0999999999999996</c:v>
                </c:pt>
                <c:pt idx="318">
                  <c:v>4.0999999999999996</c:v>
                </c:pt>
                <c:pt idx="319">
                  <c:v>9.1</c:v>
                </c:pt>
                <c:pt idx="320">
                  <c:v>9.1</c:v>
                </c:pt>
                <c:pt idx="321">
                  <c:v>4.0999999999999996</c:v>
                </c:pt>
                <c:pt idx="322">
                  <c:v>9.1</c:v>
                </c:pt>
                <c:pt idx="323">
                  <c:v>4</c:v>
                </c:pt>
                <c:pt idx="324">
                  <c:v>9.5</c:v>
                </c:pt>
                <c:pt idx="325">
                  <c:v>12.9</c:v>
                </c:pt>
                <c:pt idx="326">
                  <c:v>9.1</c:v>
                </c:pt>
                <c:pt idx="327">
                  <c:v>6.5</c:v>
                </c:pt>
                <c:pt idx="328">
                  <c:v>4.5</c:v>
                </c:pt>
                <c:pt idx="329">
                  <c:v>14</c:v>
                </c:pt>
                <c:pt idx="330">
                  <c:v>6.5</c:v>
                </c:pt>
                <c:pt idx="331">
                  <c:v>12.9</c:v>
                </c:pt>
                <c:pt idx="332">
                  <c:v>4.5</c:v>
                </c:pt>
                <c:pt idx="333">
                  <c:v>9.5</c:v>
                </c:pt>
                <c:pt idx="334">
                  <c:v>9.5</c:v>
                </c:pt>
                <c:pt idx="335">
                  <c:v>4.0999999999999996</c:v>
                </c:pt>
                <c:pt idx="336">
                  <c:v>4.0999999999999996</c:v>
                </c:pt>
                <c:pt idx="337">
                  <c:v>4.0999999999999996</c:v>
                </c:pt>
                <c:pt idx="338">
                  <c:v>4.0999999999999996</c:v>
                </c:pt>
                <c:pt idx="339">
                  <c:v>4.0999999999999996</c:v>
                </c:pt>
                <c:pt idx="340">
                  <c:v>4.0999999999999996</c:v>
                </c:pt>
                <c:pt idx="341">
                  <c:v>4.0999999999999996</c:v>
                </c:pt>
                <c:pt idx="342">
                  <c:v>4.0999999999999996</c:v>
                </c:pt>
                <c:pt idx="343">
                  <c:v>4.0999999999999996</c:v>
                </c:pt>
                <c:pt idx="344">
                  <c:v>4.0999999999999996</c:v>
                </c:pt>
              </c:numCache>
            </c:numRef>
          </c:xVal>
          <c:yVal>
            <c:numRef>
              <c:f>headed!$CK$156:$CK$537</c:f>
              <c:numCache>
                <c:formatCode>General</c:formatCode>
                <c:ptCount val="38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0.84833333333333338</c:v>
                </c:pt>
                <c:pt idx="97">
                  <c:v>1</c:v>
                </c:pt>
                <c:pt idx="98">
                  <c:v>1.0732340453544049</c:v>
                </c:pt>
                <c:pt idx="99">
                  <c:v>1.0025154962900582</c:v>
                </c:pt>
                <c:pt idx="100">
                  <c:v>1.3316690082587483</c:v>
                </c:pt>
                <c:pt idx="101">
                  <c:v>1.097611405753202</c:v>
                </c:pt>
                <c:pt idx="102">
                  <c:v>1.1737171323264513</c:v>
                </c:pt>
                <c:pt idx="103">
                  <c:v>0.98499999999999999</c:v>
                </c:pt>
                <c:pt idx="104">
                  <c:v>1.1793748514869569</c:v>
                </c:pt>
                <c:pt idx="105">
                  <c:v>1.0114255979953197</c:v>
                </c:pt>
                <c:pt idx="106">
                  <c:v>1.4143463626576895</c:v>
                </c:pt>
                <c:pt idx="107">
                  <c:v>1.1787643163301271</c:v>
                </c:pt>
                <c:pt idx="108">
                  <c:v>0.98628051473021827</c:v>
                </c:pt>
                <c:pt idx="109">
                  <c:v>0.96916666666666662</c:v>
                </c:pt>
                <c:pt idx="110">
                  <c:v>1.1078590441518625</c:v>
                </c:pt>
                <c:pt idx="111">
                  <c:v>1.0255837865554474</c:v>
                </c:pt>
                <c:pt idx="112">
                  <c:v>1.2622199993298189</c:v>
                </c:pt>
                <c:pt idx="113">
                  <c:v>1.0612133921380551</c:v>
                </c:pt>
                <c:pt idx="114">
                  <c:v>0.89800579941581282</c:v>
                </c:pt>
                <c:pt idx="115">
                  <c:v>0.88210240843168164</c:v>
                </c:pt>
                <c:pt idx="116">
                  <c:v>1.0355623876435345</c:v>
                </c:pt>
                <c:pt idx="117">
                  <c:v>0.97531366488201143</c:v>
                </c:pt>
                <c:pt idx="118">
                  <c:v>1.2275313013278444</c:v>
                </c:pt>
                <c:pt idx="119">
                  <c:v>1.0909962422431996</c:v>
                </c:pt>
                <c:pt idx="120">
                  <c:v>0.98097068748379734</c:v>
                </c:pt>
                <c:pt idx="121">
                  <c:v>1.0184221931806774</c:v>
                </c:pt>
                <c:pt idx="122">
                  <c:v>1.2076437156812905</c:v>
                </c:pt>
                <c:pt idx="123">
                  <c:v>1.026278911927931</c:v>
                </c:pt>
                <c:pt idx="124">
                  <c:v>0.95166687424883689</c:v>
                </c:pt>
                <c:pt idx="125">
                  <c:v>0.94979047422646845</c:v>
                </c:pt>
                <c:pt idx="126">
                  <c:v>1.0555684263285166</c:v>
                </c:pt>
                <c:pt idx="127">
                  <c:v>0.75449639049580097</c:v>
                </c:pt>
                <c:pt idx="128">
                  <c:v>0.85631332847185648</c:v>
                </c:pt>
                <c:pt idx="129">
                  <c:v>0.73864862864762737</c:v>
                </c:pt>
                <c:pt idx="130">
                  <c:v>1.0122595831277816</c:v>
                </c:pt>
                <c:pt idx="131">
                  <c:v>0.75738494469674067</c:v>
                </c:pt>
                <c:pt idx="132">
                  <c:v>0.98660780016235983</c:v>
                </c:pt>
                <c:pt idx="133">
                  <c:v>0.7688185795271586</c:v>
                </c:pt>
                <c:pt idx="134">
                  <c:v>0.93949066396852476</c:v>
                </c:pt>
                <c:pt idx="135">
                  <c:v>1.051317145691999</c:v>
                </c:pt>
                <c:pt idx="136">
                  <c:v>1.0428358329621183</c:v>
                </c:pt>
                <c:pt idx="137">
                  <c:v>0.90762534595970545</c:v>
                </c:pt>
                <c:pt idx="138">
                  <c:v>0.96668345094347008</c:v>
                </c:pt>
                <c:pt idx="139">
                  <c:v>0.92467198904083814</c:v>
                </c:pt>
                <c:pt idx="140">
                  <c:v>1.0457977173215069</c:v>
                </c:pt>
                <c:pt idx="141">
                  <c:v>0.98277763354811387</c:v>
                </c:pt>
                <c:pt idx="142">
                  <c:v>0.96655501262970034</c:v>
                </c:pt>
                <c:pt idx="143">
                  <c:v>0.94029242605845686</c:v>
                </c:pt>
                <c:pt idx="144">
                  <c:v>1.0210557999824699</c:v>
                </c:pt>
                <c:pt idx="145">
                  <c:v>1.0263095681968797</c:v>
                </c:pt>
                <c:pt idx="146">
                  <c:v>0.99617785069192466</c:v>
                </c:pt>
                <c:pt idx="147">
                  <c:v>1.1112596892664182</c:v>
                </c:pt>
                <c:pt idx="148">
                  <c:v>1.1281282791225913</c:v>
                </c:pt>
                <c:pt idx="149">
                  <c:v>1.3411331667214759</c:v>
                </c:pt>
                <c:pt idx="150">
                  <c:v>1.4014181325909159</c:v>
                </c:pt>
                <c:pt idx="151">
                  <c:v>1.1403447227271795</c:v>
                </c:pt>
                <c:pt idx="152">
                  <c:v>1.1667495807153807</c:v>
                </c:pt>
                <c:pt idx="153">
                  <c:v>1.3055599870590859</c:v>
                </c:pt>
                <c:pt idx="154">
                  <c:v>1.4151480032461179</c:v>
                </c:pt>
                <c:pt idx="155">
                  <c:v>1.0695354015578697</c:v>
                </c:pt>
                <c:pt idx="156">
                  <c:v>1.1086028706787405</c:v>
                </c:pt>
                <c:pt idx="157">
                  <c:v>1.2682678827222702</c:v>
                </c:pt>
                <c:pt idx="158">
                  <c:v>1.4782200012625968</c:v>
                </c:pt>
                <c:pt idx="159">
                  <c:v>0.87833333333333341</c:v>
                </c:pt>
                <c:pt idx="160">
                  <c:v>0.89214840379637628</c:v>
                </c:pt>
                <c:pt idx="161">
                  <c:v>0.95168248490077645</c:v>
                </c:pt>
                <c:pt idx="162">
                  <c:v>0.64304013454181963</c:v>
                </c:pt>
                <c:pt idx="163">
                  <c:v>0.76838286120630295</c:v>
                </c:pt>
                <c:pt idx="164">
                  <c:v>0.89552419733717004</c:v>
                </c:pt>
                <c:pt idx="165">
                  <c:v>0.7840718743477787</c:v>
                </c:pt>
                <c:pt idx="166">
                  <c:v>0.98409766607899973</c:v>
                </c:pt>
                <c:pt idx="167">
                  <c:v>1.1028377286200142</c:v>
                </c:pt>
                <c:pt idx="168">
                  <c:v>0.81958454427477145</c:v>
                </c:pt>
                <c:pt idx="169">
                  <c:v>0.86504992090891586</c:v>
                </c:pt>
                <c:pt idx="170">
                  <c:v>0.77187994815402661</c:v>
                </c:pt>
                <c:pt idx="171">
                  <c:v>0.96079814882500592</c:v>
                </c:pt>
                <c:pt idx="172">
                  <c:v>0.72179535196685451</c:v>
                </c:pt>
                <c:pt idx="173">
                  <c:v>0.90958443196571492</c:v>
                </c:pt>
                <c:pt idx="174">
                  <c:v>0.94633885858091515</c:v>
                </c:pt>
                <c:pt idx="175">
                  <c:v>0.88772695202762453</c:v>
                </c:pt>
                <c:pt idx="176">
                  <c:v>1.040321922403797</c:v>
                </c:pt>
                <c:pt idx="177">
                  <c:v>1.0201564955106805</c:v>
                </c:pt>
                <c:pt idx="178">
                  <c:v>1.1408969245623375</c:v>
                </c:pt>
                <c:pt idx="179">
                  <c:v>1.0927712921092712</c:v>
                </c:pt>
                <c:pt idx="180">
                  <c:v>1.2733735889849789</c:v>
                </c:pt>
                <c:pt idx="181">
                  <c:v>1.0374944577148659</c:v>
                </c:pt>
                <c:pt idx="182">
                  <c:v>1.0877385129806194</c:v>
                </c:pt>
                <c:pt idx="183">
                  <c:v>0.77596899224806193</c:v>
                </c:pt>
                <c:pt idx="184">
                  <c:v>0.76884181445606981</c:v>
                </c:pt>
                <c:pt idx="185">
                  <c:v>1</c:v>
                </c:pt>
                <c:pt idx="186">
                  <c:v>1.0970371571867716</c:v>
                </c:pt>
                <c:pt idx="187">
                  <c:v>0.93271114834467483</c:v>
                </c:pt>
                <c:pt idx="188">
                  <c:v>0.98191767642597505</c:v>
                </c:pt>
                <c:pt idx="189">
                  <c:v>0.92990729725452292</c:v>
                </c:pt>
                <c:pt idx="190">
                  <c:v>1.2334336233137346</c:v>
                </c:pt>
                <c:pt idx="191">
                  <c:v>0.73708254508719195</c:v>
                </c:pt>
                <c:pt idx="192">
                  <c:v>0.76475423221277683</c:v>
                </c:pt>
                <c:pt idx="193">
                  <c:v>0.80505769112623204</c:v>
                </c:pt>
                <c:pt idx="194">
                  <c:v>1.1698808414795534</c:v>
                </c:pt>
                <c:pt idx="195">
                  <c:v>0.81066942187607538</c:v>
                </c:pt>
                <c:pt idx="196">
                  <c:v>0.89753775945612424</c:v>
                </c:pt>
                <c:pt idx="197">
                  <c:v>0.89515643202731698</c:v>
                </c:pt>
                <c:pt idx="198">
                  <c:v>0.95550025830198404</c:v>
                </c:pt>
                <c:pt idx="199">
                  <c:v>1.0643352713979048</c:v>
                </c:pt>
                <c:pt idx="200">
                  <c:v>0.9161935541106252</c:v>
                </c:pt>
                <c:pt idx="201">
                  <c:v>1.0276805768179793</c:v>
                </c:pt>
                <c:pt idx="202">
                  <c:v>0.79497862339968595</c:v>
                </c:pt>
                <c:pt idx="203">
                  <c:v>1.0750809484919404</c:v>
                </c:pt>
                <c:pt idx="204">
                  <c:v>0.62319362436667958</c:v>
                </c:pt>
                <c:pt idx="205">
                  <c:v>0.96051437093285852</c:v>
                </c:pt>
                <c:pt idx="206">
                  <c:v>0.87917179348650509</c:v>
                </c:pt>
                <c:pt idx="207">
                  <c:v>1.2347092535127056</c:v>
                </c:pt>
                <c:pt idx="208">
                  <c:v>0.60184794055467938</c:v>
                </c:pt>
                <c:pt idx="209">
                  <c:v>1.0219610040497915</c:v>
                </c:pt>
                <c:pt idx="210">
                  <c:v>0.7330357782373077</c:v>
                </c:pt>
                <c:pt idx="211">
                  <c:v>1.1198131819366681</c:v>
                </c:pt>
                <c:pt idx="212">
                  <c:v>0.66486057633594775</c:v>
                </c:pt>
                <c:pt idx="213">
                  <c:v>1.0063627542062954</c:v>
                </c:pt>
                <c:pt idx="214">
                  <c:v>0.65201390875330911</c:v>
                </c:pt>
                <c:pt idx="215">
                  <c:v>0.96063482258325084</c:v>
                </c:pt>
                <c:pt idx="216">
                  <c:v>0.72042570438964904</c:v>
                </c:pt>
                <c:pt idx="217">
                  <c:v>1.1550340401026544</c:v>
                </c:pt>
                <c:pt idx="218">
                  <c:v>0.65535916327208799</c:v>
                </c:pt>
                <c:pt idx="219">
                  <c:v>1.1105084560718819</c:v>
                </c:pt>
                <c:pt idx="220">
                  <c:v>0.79874270242833545</c:v>
                </c:pt>
                <c:pt idx="221">
                  <c:v>1.023547164422965</c:v>
                </c:pt>
                <c:pt idx="222">
                  <c:v>0.85551395808440578</c:v>
                </c:pt>
                <c:pt idx="223">
                  <c:v>0.98139244277365356</c:v>
                </c:pt>
                <c:pt idx="224">
                  <c:v>0.70984876435598188</c:v>
                </c:pt>
                <c:pt idx="225">
                  <c:v>1.0481130483497585</c:v>
                </c:pt>
                <c:pt idx="226">
                  <c:v>0.90063459723224326</c:v>
                </c:pt>
                <c:pt idx="227">
                  <c:v>1.2858428339267387</c:v>
                </c:pt>
                <c:pt idx="228">
                  <c:v>0.89396556017501727</c:v>
                </c:pt>
                <c:pt idx="229">
                  <c:v>0.98338913792026705</c:v>
                </c:pt>
                <c:pt idx="230">
                  <c:v>1.036322161226584</c:v>
                </c:pt>
                <c:pt idx="231">
                  <c:v>1.3610574349331113</c:v>
                </c:pt>
                <c:pt idx="232">
                  <c:v>1.1811110675219012</c:v>
                </c:pt>
                <c:pt idx="233">
                  <c:v>0.65825114412661645</c:v>
                </c:pt>
                <c:pt idx="234">
                  <c:v>0.77378912538861899</c:v>
                </c:pt>
                <c:pt idx="235">
                  <c:v>0.75899280575539563</c:v>
                </c:pt>
                <c:pt idx="236">
                  <c:v>0.8904869210020433</c:v>
                </c:pt>
                <c:pt idx="237">
                  <c:v>0.90287769784172656</c:v>
                </c:pt>
                <c:pt idx="238">
                  <c:v>0.98498574494393953</c:v>
                </c:pt>
                <c:pt idx="239">
                  <c:v>0.96762589928057552</c:v>
                </c:pt>
                <c:pt idx="240">
                  <c:v>1</c:v>
                </c:pt>
                <c:pt idx="241">
                  <c:v>0.81191613543819985</c:v>
                </c:pt>
                <c:pt idx="242">
                  <c:v>0.9430316920738141</c:v>
                </c:pt>
                <c:pt idx="243">
                  <c:v>1.0458763223941501</c:v>
                </c:pt>
                <c:pt idx="244">
                  <c:v>0.93075915185163327</c:v>
                </c:pt>
                <c:pt idx="245">
                  <c:v>1.0597976267559761</c:v>
                </c:pt>
                <c:pt idx="246">
                  <c:v>1.4770163586145215</c:v>
                </c:pt>
                <c:pt idx="247">
                  <c:v>0.9223210736286156</c:v>
                </c:pt>
                <c:pt idx="248">
                  <c:v>1.0760378613885915</c:v>
                </c:pt>
                <c:pt idx="249">
                  <c:v>1.0622002196076112</c:v>
                </c:pt>
                <c:pt idx="250">
                  <c:v>0.68598892644176579</c:v>
                </c:pt>
                <c:pt idx="251">
                  <c:v>0.83117670323868909</c:v>
                </c:pt>
                <c:pt idx="252">
                  <c:v>0.90798285629871378</c:v>
                </c:pt>
                <c:pt idx="253">
                  <c:v>0.80065106847835565</c:v>
                </c:pt>
                <c:pt idx="254">
                  <c:v>0.91366453911512724</c:v>
                </c:pt>
                <c:pt idx="255">
                  <c:v>0.63658061415316614</c:v>
                </c:pt>
                <c:pt idx="256">
                  <c:v>0.67872485494033818</c:v>
                </c:pt>
                <c:pt idx="257">
                  <c:v>0.83340478977310528</c:v>
                </c:pt>
                <c:pt idx="258">
                  <c:v>0.61800778838527559</c:v>
                </c:pt>
                <c:pt idx="259">
                  <c:v>0.70367808719437008</c:v>
                </c:pt>
                <c:pt idx="260">
                  <c:v>0.9393306132040562</c:v>
                </c:pt>
                <c:pt idx="261">
                  <c:v>0.65027889870200761</c:v>
                </c:pt>
                <c:pt idx="262">
                  <c:v>0.95884996399514588</c:v>
                </c:pt>
                <c:pt idx="263">
                  <c:v>1.0237310466798923</c:v>
                </c:pt>
                <c:pt idx="264">
                  <c:v>0.58197921135499686</c:v>
                </c:pt>
                <c:pt idx="265">
                  <c:v>0.64761509962742803</c:v>
                </c:pt>
                <c:pt idx="266">
                  <c:v>0.80079303363680798</c:v>
                </c:pt>
                <c:pt idx="267">
                  <c:v>0.47564989032534455</c:v>
                </c:pt>
                <c:pt idx="268">
                  <c:v>0.66704150177213273</c:v>
                </c:pt>
                <c:pt idx="269">
                  <c:v>0.70702684009784134</c:v>
                </c:pt>
                <c:pt idx="270">
                  <c:v>1.0814969925658282</c:v>
                </c:pt>
                <c:pt idx="271">
                  <c:v>0.99576500752813224</c:v>
                </c:pt>
                <c:pt idx="272">
                  <c:v>0.99413885294838056</c:v>
                </c:pt>
                <c:pt idx="273">
                  <c:v>1.1394424782402843</c:v>
                </c:pt>
                <c:pt idx="274">
                  <c:v>0.67339603919552049</c:v>
                </c:pt>
                <c:pt idx="275">
                  <c:v>0.8706995887826271</c:v>
                </c:pt>
                <c:pt idx="276">
                  <c:v>1.0281950348313329</c:v>
                </c:pt>
                <c:pt idx="277">
                  <c:v>1.1970277979743196</c:v>
                </c:pt>
                <c:pt idx="278">
                  <c:v>0.75774169091366828</c:v>
                </c:pt>
                <c:pt idx="279">
                  <c:v>1.0238289667935871</c:v>
                </c:pt>
                <c:pt idx="280">
                  <c:v>0.73182258163771818</c:v>
                </c:pt>
                <c:pt idx="281">
                  <c:v>0.85256630700679548</c:v>
                </c:pt>
                <c:pt idx="282">
                  <c:v>0.99737956201403044</c:v>
                </c:pt>
                <c:pt idx="283">
                  <c:v>1.0728433505360115</c:v>
                </c:pt>
                <c:pt idx="284">
                  <c:v>1.2159686517391213</c:v>
                </c:pt>
                <c:pt idx="285">
                  <c:v>1.2091576243153148</c:v>
                </c:pt>
                <c:pt idx="286">
                  <c:v>0.79048475314469613</c:v>
                </c:pt>
                <c:pt idx="287">
                  <c:v>0.83691102883897983</c:v>
                </c:pt>
                <c:pt idx="288">
                  <c:v>1.006304469333855</c:v>
                </c:pt>
                <c:pt idx="289">
                  <c:v>1.189548271882735</c:v>
                </c:pt>
                <c:pt idx="290">
                  <c:v>1.1596127136690846</c:v>
                </c:pt>
                <c:pt idx="291">
                  <c:v>1.2217011324137843</c:v>
                </c:pt>
                <c:pt idx="292">
                  <c:v>1.3325481105008794</c:v>
                </c:pt>
                <c:pt idx="293">
                  <c:v>1.3127262358757383</c:v>
                </c:pt>
                <c:pt idx="294">
                  <c:v>1.1515856076091984</c:v>
                </c:pt>
                <c:pt idx="295">
                  <c:v>1.1740740153975369</c:v>
                </c:pt>
                <c:pt idx="296">
                  <c:v>1.2956263023911716</c:v>
                </c:pt>
                <c:pt idx="2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FB-4DDB-AD8A-A784BFE4A419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headed!$Q$19:$Q$94</c:f>
              <c:numCache>
                <c:formatCode>General</c:formatCode>
                <c:ptCount val="76"/>
                <c:pt idx="1">
                  <c:v>8.3959536742577185</c:v>
                </c:pt>
                <c:pt idx="2">
                  <c:v>8.3959536742577185</c:v>
                </c:pt>
                <c:pt idx="3">
                  <c:v>8.3959536742577185</c:v>
                </c:pt>
                <c:pt idx="4">
                  <c:v>8.3959536742577185</c:v>
                </c:pt>
                <c:pt idx="5">
                  <c:v>8.3959536742577185</c:v>
                </c:pt>
                <c:pt idx="6">
                  <c:v>8.3959536742577185</c:v>
                </c:pt>
                <c:pt idx="7">
                  <c:v>8.3959536742577185</c:v>
                </c:pt>
                <c:pt idx="8">
                  <c:v>8.3959536742577185</c:v>
                </c:pt>
                <c:pt idx="9">
                  <c:v>8.3959536742577185</c:v>
                </c:pt>
                <c:pt idx="10">
                  <c:v>8.3959536742577185</c:v>
                </c:pt>
                <c:pt idx="11">
                  <c:v>8.3959536742577185</c:v>
                </c:pt>
                <c:pt idx="12">
                  <c:v>8.3959536742577185</c:v>
                </c:pt>
                <c:pt idx="13">
                  <c:v>8.3959536742577185</c:v>
                </c:pt>
                <c:pt idx="14">
                  <c:v>8.3959536742577185</c:v>
                </c:pt>
                <c:pt idx="15">
                  <c:v>8.3959536742577185</c:v>
                </c:pt>
                <c:pt idx="16">
                  <c:v>8.3959536742577185</c:v>
                </c:pt>
                <c:pt idx="17">
                  <c:v>8.3959536742577185</c:v>
                </c:pt>
                <c:pt idx="18">
                  <c:v>8.3959536742577185</c:v>
                </c:pt>
                <c:pt idx="19">
                  <c:v>8.3959536742577185</c:v>
                </c:pt>
                <c:pt idx="20">
                  <c:v>8.3959536742577185</c:v>
                </c:pt>
                <c:pt idx="21">
                  <c:v>8.3959536742577185</c:v>
                </c:pt>
                <c:pt idx="22">
                  <c:v>8.3959536742577185</c:v>
                </c:pt>
                <c:pt idx="23">
                  <c:v>8.3959536742577185</c:v>
                </c:pt>
                <c:pt idx="24">
                  <c:v>8.3959536742577185</c:v>
                </c:pt>
                <c:pt idx="25">
                  <c:v>8.3959536742577185</c:v>
                </c:pt>
                <c:pt idx="26">
                  <c:v>8.3959536742577185</c:v>
                </c:pt>
                <c:pt idx="27">
                  <c:v>8.3959536742577185</c:v>
                </c:pt>
                <c:pt idx="28">
                  <c:v>8.3959536742577185</c:v>
                </c:pt>
                <c:pt idx="29">
                  <c:v>8.3959536742577185</c:v>
                </c:pt>
                <c:pt idx="30">
                  <c:v>8.3959536742577185</c:v>
                </c:pt>
                <c:pt idx="31">
                  <c:v>8.3959536742577185</c:v>
                </c:pt>
                <c:pt idx="32">
                  <c:v>8.3959536742577185</c:v>
                </c:pt>
                <c:pt idx="33">
                  <c:v>8.3959536742577185</c:v>
                </c:pt>
                <c:pt idx="34">
                  <c:v>1.18</c:v>
                </c:pt>
                <c:pt idx="35">
                  <c:v>1.85</c:v>
                </c:pt>
                <c:pt idx="36">
                  <c:v>2.8</c:v>
                </c:pt>
                <c:pt idx="37">
                  <c:v>2.8</c:v>
                </c:pt>
                <c:pt idx="38">
                  <c:v>4.04</c:v>
                </c:pt>
                <c:pt idx="39">
                  <c:v>4.0599999999999996</c:v>
                </c:pt>
                <c:pt idx="40">
                  <c:v>4.7</c:v>
                </c:pt>
                <c:pt idx="41">
                  <c:v>4.7</c:v>
                </c:pt>
                <c:pt idx="42">
                  <c:v>4.7</c:v>
                </c:pt>
                <c:pt idx="43">
                  <c:v>10.39</c:v>
                </c:pt>
                <c:pt idx="44">
                  <c:v>1.18</c:v>
                </c:pt>
                <c:pt idx="45">
                  <c:v>1.85</c:v>
                </c:pt>
                <c:pt idx="46">
                  <c:v>1.85</c:v>
                </c:pt>
                <c:pt idx="47">
                  <c:v>2.8</c:v>
                </c:pt>
                <c:pt idx="48">
                  <c:v>2.8</c:v>
                </c:pt>
                <c:pt idx="49">
                  <c:v>2.8</c:v>
                </c:pt>
                <c:pt idx="50">
                  <c:v>4.04</c:v>
                </c:pt>
                <c:pt idx="51">
                  <c:v>4.0599999999999996</c:v>
                </c:pt>
                <c:pt idx="52">
                  <c:v>4.7</c:v>
                </c:pt>
                <c:pt idx="53">
                  <c:v>4.7</c:v>
                </c:pt>
                <c:pt idx="54">
                  <c:v>10.39</c:v>
                </c:pt>
                <c:pt idx="55">
                  <c:v>10.39</c:v>
                </c:pt>
                <c:pt idx="56">
                  <c:v>1.18</c:v>
                </c:pt>
                <c:pt idx="57">
                  <c:v>1.85</c:v>
                </c:pt>
                <c:pt idx="58">
                  <c:v>4.04</c:v>
                </c:pt>
                <c:pt idx="59">
                  <c:v>4.0599999999999996</c:v>
                </c:pt>
                <c:pt idx="60">
                  <c:v>10.39</c:v>
                </c:pt>
                <c:pt idx="61">
                  <c:v>1.1000000000000001</c:v>
                </c:pt>
                <c:pt idx="62">
                  <c:v>1.56</c:v>
                </c:pt>
                <c:pt idx="63">
                  <c:v>2.85</c:v>
                </c:pt>
                <c:pt idx="64">
                  <c:v>2.85</c:v>
                </c:pt>
                <c:pt idx="65">
                  <c:v>3.53</c:v>
                </c:pt>
                <c:pt idx="66">
                  <c:v>4.13</c:v>
                </c:pt>
                <c:pt idx="67">
                  <c:v>4.13</c:v>
                </c:pt>
                <c:pt idx="68">
                  <c:v>4.7699999999999996</c:v>
                </c:pt>
                <c:pt idx="69">
                  <c:v>6.69</c:v>
                </c:pt>
                <c:pt idx="70">
                  <c:v>6.69</c:v>
                </c:pt>
                <c:pt idx="71">
                  <c:v>9.26</c:v>
                </c:pt>
                <c:pt idx="72">
                  <c:v>4.7</c:v>
                </c:pt>
                <c:pt idx="73">
                  <c:v>4.7</c:v>
                </c:pt>
                <c:pt idx="74">
                  <c:v>4.7</c:v>
                </c:pt>
                <c:pt idx="75">
                  <c:v>4.7</c:v>
                </c:pt>
              </c:numCache>
            </c:numRef>
          </c:xVal>
          <c:yVal>
            <c:numRef>
              <c:f>headed!$CK$19:$CK$94</c:f>
              <c:numCache>
                <c:formatCode>General</c:formatCode>
                <c:ptCount val="76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4FB-4DDB-AD8A-A784BFE4A41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4FB-4DDB-AD8A-A784BFE4A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41888"/>
        <c:axId val="130347776"/>
      </c:scatterChart>
      <c:valAx>
        <c:axId val="130341888"/>
        <c:scaling>
          <c:orientation val="minMax"/>
          <c:max val="1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7776"/>
        <c:crosses val="autoZero"/>
        <c:crossBetween val="midCat"/>
      </c:valAx>
      <c:valAx>
        <c:axId val="130347776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188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headed!$CK$20:$CK$1278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0.96129394656467926</c:v>
                </c:pt>
                <c:pt idx="150">
                  <c:v>1.2785719938235214</c:v>
                </c:pt>
                <c:pt idx="151">
                  <c:v>1.3098915185197448</c:v>
                </c:pt>
                <c:pt idx="152">
                  <c:v>0.98353055359065744</c:v>
                </c:pt>
                <c:pt idx="153">
                  <c:v>1.1067090057702911</c:v>
                </c:pt>
                <c:pt idx="154">
                  <c:v>1.0925318620009352</c:v>
                </c:pt>
                <c:pt idx="155">
                  <c:v>1.1437168102008413</c:v>
                </c:pt>
                <c:pt idx="156">
                  <c:v>1.112459169884874</c:v>
                </c:pt>
                <c:pt idx="157">
                  <c:v>1.1206763468020458</c:v>
                </c:pt>
                <c:pt idx="158">
                  <c:v>1.285171889692756</c:v>
                </c:pt>
                <c:pt idx="159">
                  <c:v>1.1618846803400318</c:v>
                </c:pt>
                <c:pt idx="160">
                  <c:v>1.0461407976053076</c:v>
                </c:pt>
                <c:pt idx="161">
                  <c:v>0.84308759932066202</c:v>
                </c:pt>
                <c:pt idx="162">
                  <c:v>1.0360993957423605</c:v>
                </c:pt>
                <c:pt idx="163">
                  <c:v>1.2987627920477962</c:v>
                </c:pt>
                <c:pt idx="164">
                  <c:v>1.634175742192578</c:v>
                </c:pt>
                <c:pt idx="165">
                  <c:v>1.2828934748820127</c:v>
                </c:pt>
                <c:pt idx="166">
                  <c:v>1.0755836101514773</c:v>
                </c:pt>
                <c:pt idx="167">
                  <c:v>1.3714309698264442</c:v>
                </c:pt>
                <c:pt idx="168">
                  <c:v>1.0895526539249616</c:v>
                </c:pt>
                <c:pt idx="169">
                  <c:v>1.1605850652682879</c:v>
                </c:pt>
                <c:pt idx="170">
                  <c:v>1.4903787129361226</c:v>
                </c:pt>
                <c:pt idx="171">
                  <c:v>1.3995998347943011</c:v>
                </c:pt>
                <c:pt idx="172">
                  <c:v>1.4954653297038225</c:v>
                </c:pt>
                <c:pt idx="173">
                  <c:v>1.2421247257802632</c:v>
                </c:pt>
                <c:pt idx="174">
                  <c:v>1.1290382156017438</c:v>
                </c:pt>
                <c:pt idx="175">
                  <c:v>1.118054357765794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1.2380919937878554</c:v>
                </c:pt>
                <c:pt idx="205">
                  <c:v>0.98516281921633742</c:v>
                </c:pt>
                <c:pt idx="207">
                  <c:v>0.93206382246205521</c:v>
                </c:pt>
                <c:pt idx="208">
                  <c:v>1.0324950798962937</c:v>
                </c:pt>
                <c:pt idx="209">
                  <c:v>1.4559039363893846</c:v>
                </c:pt>
                <c:pt idx="211">
                  <c:v>1.2033493663218637</c:v>
                </c:pt>
                <c:pt idx="215">
                  <c:v>1.6270397075880396</c:v>
                </c:pt>
                <c:pt idx="216">
                  <c:v>1.0787425247853666</c:v>
                </c:pt>
                <c:pt idx="217">
                  <c:v>0.864466025227837</c:v>
                </c:pt>
                <c:pt idx="218">
                  <c:v>1.1163081599228812</c:v>
                </c:pt>
                <c:pt idx="219">
                  <c:v>1.3187489627900544</c:v>
                </c:pt>
                <c:pt idx="220">
                  <c:v>1.5899976895949632</c:v>
                </c:pt>
                <c:pt idx="221">
                  <c:v>1.3244193650535829</c:v>
                </c:pt>
                <c:pt idx="222">
                  <c:v>0.96172270015417394</c:v>
                </c:pt>
                <c:pt idx="223">
                  <c:v>1.7054171816068107</c:v>
                </c:pt>
                <c:pt idx="224">
                  <c:v>1.4957640290850434</c:v>
                </c:pt>
                <c:pt idx="225">
                  <c:v>1.3582301682762954</c:v>
                </c:pt>
                <c:pt idx="227">
                  <c:v>1.1369631936734077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0.84833333333333338</c:v>
                </c:pt>
                <c:pt idx="233">
                  <c:v>1</c:v>
                </c:pt>
                <c:pt idx="234">
                  <c:v>1.0732340453544049</c:v>
                </c:pt>
                <c:pt idx="235">
                  <c:v>1.0025154962900582</c:v>
                </c:pt>
                <c:pt idx="236">
                  <c:v>1.3316690082587483</c:v>
                </c:pt>
                <c:pt idx="237">
                  <c:v>1.097611405753202</c:v>
                </c:pt>
                <c:pt idx="238">
                  <c:v>1.1737171323264513</c:v>
                </c:pt>
                <c:pt idx="239">
                  <c:v>0.98499999999999999</c:v>
                </c:pt>
                <c:pt idx="240">
                  <c:v>1.1793748514869569</c:v>
                </c:pt>
                <c:pt idx="241">
                  <c:v>1.0114255979953197</c:v>
                </c:pt>
                <c:pt idx="242">
                  <c:v>1.4143463626576895</c:v>
                </c:pt>
                <c:pt idx="243">
                  <c:v>1.1787643163301271</c:v>
                </c:pt>
                <c:pt idx="244">
                  <c:v>0.98628051473021827</c:v>
                </c:pt>
                <c:pt idx="245">
                  <c:v>0.96916666666666662</c:v>
                </c:pt>
                <c:pt idx="246">
                  <c:v>1.1078590441518625</c:v>
                </c:pt>
                <c:pt idx="247">
                  <c:v>1.0255837865554474</c:v>
                </c:pt>
                <c:pt idx="248">
                  <c:v>1.2622199993298189</c:v>
                </c:pt>
                <c:pt idx="249">
                  <c:v>1.0612133921380551</c:v>
                </c:pt>
                <c:pt idx="250">
                  <c:v>0.89800579941581282</c:v>
                </c:pt>
                <c:pt idx="251">
                  <c:v>0.88210240843168164</c:v>
                </c:pt>
                <c:pt idx="252">
                  <c:v>1.0355623876435345</c:v>
                </c:pt>
                <c:pt idx="253">
                  <c:v>0.97531366488201143</c:v>
                </c:pt>
                <c:pt idx="254">
                  <c:v>1.2275313013278444</c:v>
                </c:pt>
                <c:pt idx="255">
                  <c:v>1.0909962422431996</c:v>
                </c:pt>
                <c:pt idx="256">
                  <c:v>0.98097068748379734</c:v>
                </c:pt>
                <c:pt idx="257">
                  <c:v>1.0184221931806774</c:v>
                </c:pt>
                <c:pt idx="258">
                  <c:v>1.2076437156812905</c:v>
                </c:pt>
                <c:pt idx="259">
                  <c:v>1.026278911927931</c:v>
                </c:pt>
                <c:pt idx="260">
                  <c:v>0.95166687424883689</c:v>
                </c:pt>
                <c:pt idx="261">
                  <c:v>0.94979047422646845</c:v>
                </c:pt>
                <c:pt idx="262">
                  <c:v>1.0555684263285166</c:v>
                </c:pt>
                <c:pt idx="263">
                  <c:v>0.75449639049580097</c:v>
                </c:pt>
                <c:pt idx="264">
                  <c:v>0.85631332847185648</c:v>
                </c:pt>
                <c:pt idx="265">
                  <c:v>0.73864862864762737</c:v>
                </c:pt>
                <c:pt idx="266">
                  <c:v>1.0122595831277816</c:v>
                </c:pt>
                <c:pt idx="267">
                  <c:v>0.75738494469674067</c:v>
                </c:pt>
                <c:pt idx="268">
                  <c:v>0.98660780016235983</c:v>
                </c:pt>
                <c:pt idx="269">
                  <c:v>0.7688185795271586</c:v>
                </c:pt>
                <c:pt idx="270">
                  <c:v>0.93949066396852476</c:v>
                </c:pt>
                <c:pt idx="271">
                  <c:v>1.051317145691999</c:v>
                </c:pt>
                <c:pt idx="272">
                  <c:v>1.0428358329621183</c:v>
                </c:pt>
                <c:pt idx="273">
                  <c:v>0.90762534595970545</c:v>
                </c:pt>
                <c:pt idx="274">
                  <c:v>0.96668345094347008</c:v>
                </c:pt>
                <c:pt idx="275">
                  <c:v>0.92467198904083814</c:v>
                </c:pt>
                <c:pt idx="276">
                  <c:v>1.0457977173215069</c:v>
                </c:pt>
                <c:pt idx="277">
                  <c:v>0.98277763354811387</c:v>
                </c:pt>
                <c:pt idx="278">
                  <c:v>0.96655501262970034</c:v>
                </c:pt>
                <c:pt idx="279">
                  <c:v>0.94029242605845686</c:v>
                </c:pt>
                <c:pt idx="280">
                  <c:v>1.0210557999824699</c:v>
                </c:pt>
                <c:pt idx="281">
                  <c:v>1.0263095681968797</c:v>
                </c:pt>
                <c:pt idx="282">
                  <c:v>0.99617785069192466</c:v>
                </c:pt>
                <c:pt idx="283">
                  <c:v>1.1112596892664182</c:v>
                </c:pt>
                <c:pt idx="284">
                  <c:v>1.1281282791225913</c:v>
                </c:pt>
                <c:pt idx="285">
                  <c:v>1.3411331667214759</c:v>
                </c:pt>
                <c:pt idx="286">
                  <c:v>1.4014181325909159</c:v>
                </c:pt>
                <c:pt idx="287">
                  <c:v>1.1403447227271795</c:v>
                </c:pt>
                <c:pt idx="288">
                  <c:v>1.1667495807153807</c:v>
                </c:pt>
                <c:pt idx="289">
                  <c:v>1.3055599870590859</c:v>
                </c:pt>
                <c:pt idx="290">
                  <c:v>1.4151480032461179</c:v>
                </c:pt>
                <c:pt idx="291">
                  <c:v>1.0695354015578697</c:v>
                </c:pt>
                <c:pt idx="292">
                  <c:v>1.1086028706787405</c:v>
                </c:pt>
                <c:pt idx="293">
                  <c:v>1.2682678827222702</c:v>
                </c:pt>
                <c:pt idx="294">
                  <c:v>1.4782200012625968</c:v>
                </c:pt>
                <c:pt idx="295">
                  <c:v>0.87833333333333341</c:v>
                </c:pt>
                <c:pt idx="296">
                  <c:v>0.89214840379637628</c:v>
                </c:pt>
                <c:pt idx="297">
                  <c:v>0.95168248490077645</c:v>
                </c:pt>
                <c:pt idx="298">
                  <c:v>0.64304013454181963</c:v>
                </c:pt>
                <c:pt idx="299">
                  <c:v>0.76838286120630295</c:v>
                </c:pt>
                <c:pt idx="300">
                  <c:v>0.89552419733717004</c:v>
                </c:pt>
                <c:pt idx="301">
                  <c:v>0.7840718743477787</c:v>
                </c:pt>
                <c:pt idx="302">
                  <c:v>0.98409766607899973</c:v>
                </c:pt>
                <c:pt idx="303">
                  <c:v>1.1028377286200142</c:v>
                </c:pt>
                <c:pt idx="304">
                  <c:v>0.81958454427477145</c:v>
                </c:pt>
                <c:pt idx="305">
                  <c:v>0.86504992090891586</c:v>
                </c:pt>
                <c:pt idx="306">
                  <c:v>0.77187994815402661</c:v>
                </c:pt>
                <c:pt idx="307">
                  <c:v>0.96079814882500592</c:v>
                </c:pt>
                <c:pt idx="308">
                  <c:v>0.72179535196685451</c:v>
                </c:pt>
                <c:pt idx="309">
                  <c:v>0.90958443196571492</c:v>
                </c:pt>
                <c:pt idx="310">
                  <c:v>0.94633885858091515</c:v>
                </c:pt>
                <c:pt idx="311">
                  <c:v>0.88772695202762453</c:v>
                </c:pt>
                <c:pt idx="312">
                  <c:v>1.040321922403797</c:v>
                </c:pt>
                <c:pt idx="313">
                  <c:v>1.0201564955106805</c:v>
                </c:pt>
                <c:pt idx="314">
                  <c:v>1.1408969245623375</c:v>
                </c:pt>
                <c:pt idx="315">
                  <c:v>1.0927712921092712</c:v>
                </c:pt>
                <c:pt idx="316">
                  <c:v>1.2733735889849789</c:v>
                </c:pt>
                <c:pt idx="317">
                  <c:v>1.0374944577148659</c:v>
                </c:pt>
                <c:pt idx="318">
                  <c:v>1.0877385129806194</c:v>
                </c:pt>
                <c:pt idx="319">
                  <c:v>0.77596899224806193</c:v>
                </c:pt>
                <c:pt idx="320">
                  <c:v>0.76884181445606981</c:v>
                </c:pt>
                <c:pt idx="321">
                  <c:v>1</c:v>
                </c:pt>
                <c:pt idx="322">
                  <c:v>1.0970371571867716</c:v>
                </c:pt>
                <c:pt idx="323">
                  <c:v>0.93271114834467483</c:v>
                </c:pt>
                <c:pt idx="324">
                  <c:v>0.98191767642597505</c:v>
                </c:pt>
                <c:pt idx="325">
                  <c:v>0.92990729725452292</c:v>
                </c:pt>
                <c:pt idx="326">
                  <c:v>1.2334336233137346</c:v>
                </c:pt>
                <c:pt idx="327">
                  <c:v>0.73708254508719195</c:v>
                </c:pt>
                <c:pt idx="328">
                  <c:v>0.76475423221277683</c:v>
                </c:pt>
                <c:pt idx="329">
                  <c:v>0.80505769112623204</c:v>
                </c:pt>
                <c:pt idx="330">
                  <c:v>1.1698808414795534</c:v>
                </c:pt>
                <c:pt idx="331">
                  <c:v>0.81066942187607538</c:v>
                </c:pt>
                <c:pt idx="332">
                  <c:v>0.89753775945612424</c:v>
                </c:pt>
                <c:pt idx="333">
                  <c:v>0.89515643202731698</c:v>
                </c:pt>
                <c:pt idx="334">
                  <c:v>0.95550025830198404</c:v>
                </c:pt>
                <c:pt idx="335">
                  <c:v>1.0643352713979048</c:v>
                </c:pt>
                <c:pt idx="336">
                  <c:v>0.9161935541106252</c:v>
                </c:pt>
                <c:pt idx="337">
                  <c:v>1.0276805768179793</c:v>
                </c:pt>
                <c:pt idx="338">
                  <c:v>0.79497862339968595</c:v>
                </c:pt>
                <c:pt idx="339">
                  <c:v>1.0750809484919404</c:v>
                </c:pt>
                <c:pt idx="340">
                  <c:v>0.62319362436667958</c:v>
                </c:pt>
                <c:pt idx="341">
                  <c:v>0.96051437093285852</c:v>
                </c:pt>
                <c:pt idx="342">
                  <c:v>0.87917179348650509</c:v>
                </c:pt>
                <c:pt idx="343">
                  <c:v>1.2347092535127056</c:v>
                </c:pt>
                <c:pt idx="344">
                  <c:v>0.60184794055467938</c:v>
                </c:pt>
                <c:pt idx="345">
                  <c:v>1.0219610040497915</c:v>
                </c:pt>
                <c:pt idx="346">
                  <c:v>0.7330357782373077</c:v>
                </c:pt>
                <c:pt idx="347">
                  <c:v>1.1198131819366681</c:v>
                </c:pt>
                <c:pt idx="348">
                  <c:v>0.66486057633594775</c:v>
                </c:pt>
                <c:pt idx="349">
                  <c:v>1.0063627542062954</c:v>
                </c:pt>
                <c:pt idx="350">
                  <c:v>0.65201390875330911</c:v>
                </c:pt>
                <c:pt idx="351">
                  <c:v>0.96063482258325084</c:v>
                </c:pt>
                <c:pt idx="352">
                  <c:v>0.72042570438964904</c:v>
                </c:pt>
                <c:pt idx="353">
                  <c:v>1.1550340401026544</c:v>
                </c:pt>
                <c:pt idx="354">
                  <c:v>0.65535916327208799</c:v>
                </c:pt>
                <c:pt idx="355">
                  <c:v>1.1105084560718819</c:v>
                </c:pt>
                <c:pt idx="356">
                  <c:v>0.79874270242833545</c:v>
                </c:pt>
                <c:pt idx="357">
                  <c:v>1.023547164422965</c:v>
                </c:pt>
                <c:pt idx="358">
                  <c:v>0.85551395808440578</c:v>
                </c:pt>
                <c:pt idx="359">
                  <c:v>0.98139244277365356</c:v>
                </c:pt>
                <c:pt idx="360">
                  <c:v>0.70984876435598188</c:v>
                </c:pt>
                <c:pt idx="361">
                  <c:v>1.0481130483497585</c:v>
                </c:pt>
                <c:pt idx="362">
                  <c:v>0.90063459723224326</c:v>
                </c:pt>
                <c:pt idx="363">
                  <c:v>1.2858428339267387</c:v>
                </c:pt>
                <c:pt idx="364">
                  <c:v>0.89396556017501727</c:v>
                </c:pt>
                <c:pt idx="365">
                  <c:v>0.98338913792026705</c:v>
                </c:pt>
                <c:pt idx="366">
                  <c:v>1.036322161226584</c:v>
                </c:pt>
                <c:pt idx="367">
                  <c:v>1.3610574349331113</c:v>
                </c:pt>
                <c:pt idx="368">
                  <c:v>1.1811110675219012</c:v>
                </c:pt>
                <c:pt idx="369">
                  <c:v>0.65825114412661645</c:v>
                </c:pt>
                <c:pt idx="370">
                  <c:v>0.77378912538861899</c:v>
                </c:pt>
                <c:pt idx="371">
                  <c:v>0.75899280575539563</c:v>
                </c:pt>
                <c:pt idx="372">
                  <c:v>0.8904869210020433</c:v>
                </c:pt>
                <c:pt idx="373">
                  <c:v>0.90287769784172656</c:v>
                </c:pt>
                <c:pt idx="374">
                  <c:v>0.98498574494393953</c:v>
                </c:pt>
                <c:pt idx="375">
                  <c:v>0.96762589928057552</c:v>
                </c:pt>
                <c:pt idx="376">
                  <c:v>1</c:v>
                </c:pt>
                <c:pt idx="377">
                  <c:v>0.81191613543819985</c:v>
                </c:pt>
                <c:pt idx="378">
                  <c:v>0.9430316920738141</c:v>
                </c:pt>
                <c:pt idx="379">
                  <c:v>1.0458763223941501</c:v>
                </c:pt>
                <c:pt idx="380">
                  <c:v>0.93075915185163327</c:v>
                </c:pt>
                <c:pt idx="381">
                  <c:v>1.0597976267559761</c:v>
                </c:pt>
                <c:pt idx="382">
                  <c:v>1.4770163586145215</c:v>
                </c:pt>
                <c:pt idx="383">
                  <c:v>0.9223210736286156</c:v>
                </c:pt>
                <c:pt idx="384">
                  <c:v>1.0760378613885915</c:v>
                </c:pt>
                <c:pt idx="385">
                  <c:v>1.0622002196076112</c:v>
                </c:pt>
                <c:pt idx="386">
                  <c:v>0.68598892644176579</c:v>
                </c:pt>
                <c:pt idx="387">
                  <c:v>0.83117670323868909</c:v>
                </c:pt>
                <c:pt idx="388">
                  <c:v>0.90798285629871378</c:v>
                </c:pt>
                <c:pt idx="389">
                  <c:v>0.80065106847835565</c:v>
                </c:pt>
                <c:pt idx="390">
                  <c:v>0.91366453911512724</c:v>
                </c:pt>
                <c:pt idx="391">
                  <c:v>0.63658061415316614</c:v>
                </c:pt>
                <c:pt idx="392">
                  <c:v>0.67872485494033818</c:v>
                </c:pt>
                <c:pt idx="393">
                  <c:v>0.83340478977310528</c:v>
                </c:pt>
                <c:pt idx="394">
                  <c:v>0.61800778838527559</c:v>
                </c:pt>
                <c:pt idx="395">
                  <c:v>0.70367808719437008</c:v>
                </c:pt>
                <c:pt idx="396">
                  <c:v>0.9393306132040562</c:v>
                </c:pt>
                <c:pt idx="397">
                  <c:v>0.65027889870200761</c:v>
                </c:pt>
                <c:pt idx="398">
                  <c:v>0.95884996399514588</c:v>
                </c:pt>
                <c:pt idx="399">
                  <c:v>1.0237310466798923</c:v>
                </c:pt>
                <c:pt idx="400">
                  <c:v>0.58197921135499686</c:v>
                </c:pt>
                <c:pt idx="401">
                  <c:v>0.64761509962742803</c:v>
                </c:pt>
                <c:pt idx="402">
                  <c:v>0.80079303363680798</c:v>
                </c:pt>
                <c:pt idx="403">
                  <c:v>0.47564989032534455</c:v>
                </c:pt>
                <c:pt idx="404">
                  <c:v>0.66704150177213273</c:v>
                </c:pt>
                <c:pt idx="405">
                  <c:v>0.70702684009784134</c:v>
                </c:pt>
                <c:pt idx="406">
                  <c:v>1.0814969925658282</c:v>
                </c:pt>
                <c:pt idx="407">
                  <c:v>0.99576500752813224</c:v>
                </c:pt>
                <c:pt idx="408">
                  <c:v>0.99413885294838056</c:v>
                </c:pt>
                <c:pt idx="409">
                  <c:v>1.1394424782402843</c:v>
                </c:pt>
                <c:pt idx="410">
                  <c:v>0.67339603919552049</c:v>
                </c:pt>
                <c:pt idx="411">
                  <c:v>0.8706995887826271</c:v>
                </c:pt>
                <c:pt idx="412">
                  <c:v>1.0281950348313329</c:v>
                </c:pt>
                <c:pt idx="413">
                  <c:v>1.1970277979743196</c:v>
                </c:pt>
                <c:pt idx="414">
                  <c:v>0.75774169091366828</c:v>
                </c:pt>
                <c:pt idx="415">
                  <c:v>1.0238289667935871</c:v>
                </c:pt>
                <c:pt idx="416">
                  <c:v>0.73182258163771818</c:v>
                </c:pt>
                <c:pt idx="417">
                  <c:v>0.85256630700679548</c:v>
                </c:pt>
                <c:pt idx="418">
                  <c:v>0.99737956201403044</c:v>
                </c:pt>
                <c:pt idx="419">
                  <c:v>1.0728433505360115</c:v>
                </c:pt>
                <c:pt idx="420">
                  <c:v>1.2159686517391213</c:v>
                </c:pt>
                <c:pt idx="421">
                  <c:v>1.2091576243153148</c:v>
                </c:pt>
                <c:pt idx="422">
                  <c:v>0.79048475314469613</c:v>
                </c:pt>
                <c:pt idx="423">
                  <c:v>0.83691102883897983</c:v>
                </c:pt>
                <c:pt idx="424">
                  <c:v>1.006304469333855</c:v>
                </c:pt>
                <c:pt idx="425">
                  <c:v>1.189548271882735</c:v>
                </c:pt>
                <c:pt idx="426">
                  <c:v>1.1596127136690846</c:v>
                </c:pt>
                <c:pt idx="427">
                  <c:v>1.2217011324137843</c:v>
                </c:pt>
                <c:pt idx="428">
                  <c:v>1.3325481105008794</c:v>
                </c:pt>
                <c:pt idx="429">
                  <c:v>1.3127262358757383</c:v>
                </c:pt>
                <c:pt idx="430">
                  <c:v>1.1515856076091984</c:v>
                </c:pt>
                <c:pt idx="431">
                  <c:v>1.1740740153975369</c:v>
                </c:pt>
                <c:pt idx="432">
                  <c:v>1.2956263023911716</c:v>
                </c:pt>
                <c:pt idx="433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51-481B-8B5B-D57A9C741772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51-481B-8B5B-D57A9C741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84256"/>
        <c:axId val="130385792"/>
      </c:scatterChart>
      <c:valAx>
        <c:axId val="1303842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5792"/>
        <c:crosses val="autoZero"/>
        <c:crossBetween val="midCat"/>
      </c:valAx>
      <c:valAx>
        <c:axId val="1303857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42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headed!$CO$20:$CO$104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08-476B-B3CC-D58F32BC84C5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headed!$CU$20:$CU$104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08-476B-B3CC-D58F32BC84C5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08-476B-B3CC-D58F32BC8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33408"/>
        <c:axId val="130434944"/>
      </c:scatterChart>
      <c:valAx>
        <c:axId val="1304334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4944"/>
        <c:crosses val="autoZero"/>
        <c:crossBetween val="midCat"/>
      </c:valAx>
      <c:valAx>
        <c:axId val="13043494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34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headed!$CQ$20:$CQ$104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8D-4F95-975A-B088513EABA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headed!$CW$20:$CW$104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8D-4F95-975A-B088513EABA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8D-4F95-975A-B088513EA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61696"/>
        <c:axId val="130463232"/>
      </c:scatterChart>
      <c:valAx>
        <c:axId val="130461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3232"/>
        <c:crosses val="autoZero"/>
        <c:crossBetween val="midCat"/>
      </c:valAx>
      <c:valAx>
        <c:axId val="13046323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169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headed!$CO$169:$CO$195</c:f>
              <c:numCache>
                <c:formatCode>General</c:formatCode>
                <c:ptCount val="27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9">
                  <c:v>0</c:v>
                </c:pt>
                <c:pt idx="2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87-43C2-AE9E-C9B5E0DAAFDC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headed!$CU$169:$CU$195</c:f>
              <c:numCache>
                <c:formatCode>General</c:formatCode>
                <c:ptCount val="27"/>
                <c:pt idx="1">
                  <c:v>0</c:v>
                </c:pt>
                <c:pt idx="4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87-43C2-AE9E-C9B5E0DAAFDC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headed!$CO$216:$CO$453</c:f>
              <c:numCache>
                <c:formatCode>General</c:formatCode>
                <c:ptCount val="238"/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5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0</c:v>
                </c:pt>
                <c:pt idx="43">
                  <c:v>0</c:v>
                </c:pt>
                <c:pt idx="48">
                  <c:v>0</c:v>
                </c:pt>
                <c:pt idx="49">
                  <c:v>0</c:v>
                </c:pt>
                <c:pt idx="54">
                  <c:v>0</c:v>
                </c:pt>
                <c:pt idx="56">
                  <c:v>0</c:v>
                </c:pt>
                <c:pt idx="60">
                  <c:v>0</c:v>
                </c:pt>
                <c:pt idx="63">
                  <c:v>0</c:v>
                </c:pt>
                <c:pt idx="67">
                  <c:v>0</c:v>
                </c:pt>
                <c:pt idx="69">
                  <c:v>0</c:v>
                </c:pt>
                <c:pt idx="71">
                  <c:v>0</c:v>
                </c:pt>
                <c:pt idx="73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87">
                  <c:v>0</c:v>
                </c:pt>
                <c:pt idx="88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8">
                  <c:v>0</c:v>
                </c:pt>
                <c:pt idx="110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7">
                  <c:v>0</c:v>
                </c:pt>
                <c:pt idx="119">
                  <c:v>0</c:v>
                </c:pt>
                <c:pt idx="121">
                  <c:v>0</c:v>
                </c:pt>
                <c:pt idx="123">
                  <c:v>0</c:v>
                </c:pt>
                <c:pt idx="124">
                  <c:v>0</c:v>
                </c:pt>
                <c:pt idx="127">
                  <c:v>0</c:v>
                </c:pt>
                <c:pt idx="128">
                  <c:v>0</c:v>
                </c:pt>
                <c:pt idx="131">
                  <c:v>0</c:v>
                </c:pt>
                <c:pt idx="132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4">
                  <c:v>0</c:v>
                </c:pt>
                <c:pt idx="146">
                  <c:v>0</c:v>
                </c:pt>
                <c:pt idx="148">
                  <c:v>0</c:v>
                </c:pt>
                <c:pt idx="150">
                  <c:v>0</c:v>
                </c:pt>
                <c:pt idx="152">
                  <c:v>0</c:v>
                </c:pt>
                <c:pt idx="154">
                  <c:v>0</c:v>
                </c:pt>
                <c:pt idx="156">
                  <c:v>0</c:v>
                </c:pt>
                <c:pt idx="158">
                  <c:v>0</c:v>
                </c:pt>
                <c:pt idx="160">
                  <c:v>0</c:v>
                </c:pt>
                <c:pt idx="162">
                  <c:v>0</c:v>
                </c:pt>
                <c:pt idx="163">
                  <c:v>0</c:v>
                </c:pt>
                <c:pt idx="168">
                  <c:v>0</c:v>
                </c:pt>
                <c:pt idx="169">
                  <c:v>0</c:v>
                </c:pt>
                <c:pt idx="173">
                  <c:v>0</c:v>
                </c:pt>
                <c:pt idx="174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4">
                  <c:v>0</c:v>
                </c:pt>
                <c:pt idx="187">
                  <c:v>0</c:v>
                </c:pt>
                <c:pt idx="190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8">
                  <c:v>0</c:v>
                </c:pt>
                <c:pt idx="199">
                  <c:v>0</c:v>
                </c:pt>
                <c:pt idx="204">
                  <c:v>0</c:v>
                </c:pt>
                <c:pt idx="207">
                  <c:v>0</c:v>
                </c:pt>
                <c:pt idx="210">
                  <c:v>0</c:v>
                </c:pt>
                <c:pt idx="211">
                  <c:v>0</c:v>
                </c:pt>
                <c:pt idx="214">
                  <c:v>0</c:v>
                </c:pt>
                <c:pt idx="216">
                  <c:v>0</c:v>
                </c:pt>
                <c:pt idx="218">
                  <c:v>0</c:v>
                </c:pt>
                <c:pt idx="220">
                  <c:v>0</c:v>
                </c:pt>
                <c:pt idx="222">
                  <c:v>0</c:v>
                </c:pt>
                <c:pt idx="223">
                  <c:v>0</c:v>
                </c:pt>
                <c:pt idx="226">
                  <c:v>0</c:v>
                </c:pt>
                <c:pt idx="227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87-43C2-AE9E-C9B5E0DAAFDC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headed!$CU$216:$CU$453</c:f>
              <c:numCache>
                <c:formatCode>General</c:formatCode>
                <c:ptCount val="238"/>
                <c:pt idx="13">
                  <c:v>0</c:v>
                </c:pt>
                <c:pt idx="24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5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70">
                  <c:v>0</c:v>
                </c:pt>
                <c:pt idx="72">
                  <c:v>0</c:v>
                </c:pt>
                <c:pt idx="74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9">
                  <c:v>0</c:v>
                </c:pt>
                <c:pt idx="90">
                  <c:v>0</c:v>
                </c:pt>
                <c:pt idx="93">
                  <c:v>0</c:v>
                </c:pt>
                <c:pt idx="94">
                  <c:v>0</c:v>
                </c:pt>
                <c:pt idx="97">
                  <c:v>0</c:v>
                </c:pt>
                <c:pt idx="98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9">
                  <c:v>0</c:v>
                </c:pt>
                <c:pt idx="111">
                  <c:v>0</c:v>
                </c:pt>
                <c:pt idx="113">
                  <c:v>0</c:v>
                </c:pt>
                <c:pt idx="115">
                  <c:v>0</c:v>
                </c:pt>
                <c:pt idx="118">
                  <c:v>0</c:v>
                </c:pt>
                <c:pt idx="120">
                  <c:v>0</c:v>
                </c:pt>
                <c:pt idx="122">
                  <c:v>0</c:v>
                </c:pt>
                <c:pt idx="125">
                  <c:v>0</c:v>
                </c:pt>
                <c:pt idx="126">
                  <c:v>0</c:v>
                </c:pt>
                <c:pt idx="129">
                  <c:v>0</c:v>
                </c:pt>
                <c:pt idx="130">
                  <c:v>0</c:v>
                </c:pt>
                <c:pt idx="133">
                  <c:v>0</c:v>
                </c:pt>
                <c:pt idx="134">
                  <c:v>0</c:v>
                </c:pt>
                <c:pt idx="141">
                  <c:v>0</c:v>
                </c:pt>
                <c:pt idx="143">
                  <c:v>0</c:v>
                </c:pt>
                <c:pt idx="145">
                  <c:v>0</c:v>
                </c:pt>
                <c:pt idx="147">
                  <c:v>0</c:v>
                </c:pt>
                <c:pt idx="149">
                  <c:v>0</c:v>
                </c:pt>
                <c:pt idx="151">
                  <c:v>0</c:v>
                </c:pt>
                <c:pt idx="153">
                  <c:v>0</c:v>
                </c:pt>
                <c:pt idx="155">
                  <c:v>0</c:v>
                </c:pt>
                <c:pt idx="157">
                  <c:v>0</c:v>
                </c:pt>
                <c:pt idx="159">
                  <c:v>0</c:v>
                </c:pt>
                <c:pt idx="161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2">
                  <c:v>0</c:v>
                </c:pt>
                <c:pt idx="183">
                  <c:v>0</c:v>
                </c:pt>
                <c:pt idx="185">
                  <c:v>0</c:v>
                </c:pt>
                <c:pt idx="186">
                  <c:v>0</c:v>
                </c:pt>
                <c:pt idx="188">
                  <c:v>0</c:v>
                </c:pt>
                <c:pt idx="189">
                  <c:v>0</c:v>
                </c:pt>
                <c:pt idx="191">
                  <c:v>0</c:v>
                </c:pt>
                <c:pt idx="192">
                  <c:v>0</c:v>
                </c:pt>
                <c:pt idx="194">
                  <c:v>0</c:v>
                </c:pt>
                <c:pt idx="197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5">
                  <c:v>0</c:v>
                </c:pt>
                <c:pt idx="206">
                  <c:v>0</c:v>
                </c:pt>
                <c:pt idx="208">
                  <c:v>0</c:v>
                </c:pt>
                <c:pt idx="209">
                  <c:v>0</c:v>
                </c:pt>
                <c:pt idx="212">
                  <c:v>0</c:v>
                </c:pt>
                <c:pt idx="213">
                  <c:v>0</c:v>
                </c:pt>
                <c:pt idx="215">
                  <c:v>0</c:v>
                </c:pt>
                <c:pt idx="217">
                  <c:v>0</c:v>
                </c:pt>
                <c:pt idx="219">
                  <c:v>0</c:v>
                </c:pt>
                <c:pt idx="221">
                  <c:v>0</c:v>
                </c:pt>
                <c:pt idx="224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2">
                  <c:v>0</c:v>
                </c:pt>
                <c:pt idx="233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87-43C2-AE9E-C9B5E0DAAFDC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887-43C2-AE9E-C9B5E0DAAFDC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headed!$CO$196:$CO$215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887-43C2-AE9E-C9B5E0DAAFDC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headed!$CU$196:$CU$215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87-43C2-AE9E-C9B5E0DAA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07520"/>
        <c:axId val="130509440"/>
      </c:scatterChart>
      <c:valAx>
        <c:axId val="130507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9440"/>
        <c:crosses val="autoZero"/>
        <c:crossBetween val="midCat"/>
      </c:valAx>
      <c:valAx>
        <c:axId val="13050944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7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headed!$CL$53:$CL$1278</c:f>
              <c:numCache>
                <c:formatCode>General</c:formatCode>
                <c:ptCount val="1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16">
                  <c:v>1.0049803374710342</c:v>
                </c:pt>
                <c:pt idx="117">
                  <c:v>1.336765961716297</c:v>
                </c:pt>
                <c:pt idx="118">
                  <c:v>1.3502706830387621</c:v>
                </c:pt>
                <c:pt idx="119">
                  <c:v>1.0412218156152346</c:v>
                </c:pt>
                <c:pt idx="120">
                  <c:v>1.1716971921552939</c:v>
                </c:pt>
                <c:pt idx="121">
                  <c:v>1.131898315070766</c:v>
                </c:pt>
                <c:pt idx="122">
                  <c:v>1.1972859454860088</c:v>
                </c:pt>
                <c:pt idx="123">
                  <c:v>1.1825979304836267</c:v>
                </c:pt>
                <c:pt idx="124">
                  <c:v>1.1802441564682067</c:v>
                </c:pt>
                <c:pt idx="125">
                  <c:v>1.3701259564751176</c:v>
                </c:pt>
                <c:pt idx="126">
                  <c:v>1.2158256317980205</c:v>
                </c:pt>
                <c:pt idx="127">
                  <c:v>1.1078654557321155</c:v>
                </c:pt>
                <c:pt idx="128">
                  <c:v>0.88558461738800009</c:v>
                </c:pt>
                <c:pt idx="129">
                  <c:v>1.0971269956239666</c:v>
                </c:pt>
                <c:pt idx="130">
                  <c:v>1.3493245422364921</c:v>
                </c:pt>
                <c:pt idx="131">
                  <c:v>1.6978913823018422</c:v>
                </c:pt>
                <c:pt idx="132">
                  <c:v>1.3095784928162608</c:v>
                </c:pt>
                <c:pt idx="133">
                  <c:v>1.1362985571149462</c:v>
                </c:pt>
                <c:pt idx="134">
                  <c:v>1.4489090299456451</c:v>
                </c:pt>
                <c:pt idx="135">
                  <c:v>1.1264315123772384</c:v>
                </c:pt>
                <c:pt idx="136">
                  <c:v>1.250702910301895</c:v>
                </c:pt>
                <c:pt idx="137">
                  <c:v>1.6061312508358303</c:v>
                </c:pt>
                <c:pt idx="138">
                  <c:v>1.5076213914643732</c:v>
                </c:pt>
                <c:pt idx="139">
                  <c:v>1.6116129274598434</c:v>
                </c:pt>
                <c:pt idx="140">
                  <c:v>1.353732099805089</c:v>
                </c:pt>
                <c:pt idx="141">
                  <c:v>1.2140631955584191</c:v>
                </c:pt>
                <c:pt idx="142">
                  <c:v>1.2142589675863487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71">
                  <c:v>1.3383380886118024</c:v>
                </c:pt>
                <c:pt idx="172">
                  <c:v>1.0667341823935248</c:v>
                </c:pt>
                <c:pt idx="174">
                  <c:v>0.96123910886210173</c:v>
                </c:pt>
                <c:pt idx="175">
                  <c:v>1.0800473563193289</c:v>
                </c:pt>
                <c:pt idx="176">
                  <c:v>1.5688980242628909</c:v>
                </c:pt>
                <c:pt idx="178">
                  <c:v>1.3081102480693489</c:v>
                </c:pt>
                <c:pt idx="182">
                  <c:v>1.6772269266410664</c:v>
                </c:pt>
                <c:pt idx="183">
                  <c:v>1.1150394683014302</c:v>
                </c:pt>
                <c:pt idx="184">
                  <c:v>0.93601937017964099</c:v>
                </c:pt>
                <c:pt idx="185">
                  <c:v>1.2119877238401617</c:v>
                </c:pt>
                <c:pt idx="186">
                  <c:v>1.4335498222786425</c:v>
                </c:pt>
                <c:pt idx="187">
                  <c:v>1.7241744032031006</c:v>
                </c:pt>
                <c:pt idx="188">
                  <c:v>1.4709966291791812</c:v>
                </c:pt>
                <c:pt idx="189">
                  <c:v>1.024630490427666</c:v>
                </c:pt>
                <c:pt idx="190">
                  <c:v>1.7084704294313242</c:v>
                </c:pt>
                <c:pt idx="191">
                  <c:v>1.5425351929470028</c:v>
                </c:pt>
                <c:pt idx="192">
                  <c:v>1.4530735737887628</c:v>
                </c:pt>
                <c:pt idx="194">
                  <c:v>1.162098744070923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0.91851247644247092</c:v>
                </c:pt>
                <c:pt idx="200">
                  <c:v>1</c:v>
                </c:pt>
                <c:pt idx="201">
                  <c:v>1.1669913938500407</c:v>
                </c:pt>
                <c:pt idx="202">
                  <c:v>1.0958321519136152</c:v>
                </c:pt>
                <c:pt idx="203">
                  <c:v>1.4482630142707176</c:v>
                </c:pt>
                <c:pt idx="204">
                  <c:v>1.2065212017848979</c:v>
                </c:pt>
                <c:pt idx="205">
                  <c:v>1.2638608456589822</c:v>
                </c:pt>
                <c:pt idx="206">
                  <c:v>1.0429653107588621</c:v>
                </c:pt>
                <c:pt idx="207">
                  <c:v>1.267632927019867</c:v>
                </c:pt>
                <c:pt idx="208">
                  <c:v>1.0864732280294513</c:v>
                </c:pt>
                <c:pt idx="209">
                  <c:v>1.5147236131087898</c:v>
                </c:pt>
                <c:pt idx="210">
                  <c:v>1.2694084672363284</c:v>
                </c:pt>
                <c:pt idx="211">
                  <c:v>1.0591467407093387</c:v>
                </c:pt>
                <c:pt idx="212">
                  <c:v>0.99943469121787187</c:v>
                </c:pt>
                <c:pt idx="213">
                  <c:v>1.1787430355325779</c:v>
                </c:pt>
                <c:pt idx="214">
                  <c:v>1.0953486974677027</c:v>
                </c:pt>
                <c:pt idx="215">
                  <c:v>1.3410351127446876</c:v>
                </c:pt>
                <c:pt idx="216">
                  <c:v>1.1378780950693508</c:v>
                </c:pt>
                <c:pt idx="217">
                  <c:v>0.94606036381909953</c:v>
                </c:pt>
                <c:pt idx="218">
                  <c:v>0.9280417512964777</c:v>
                </c:pt>
                <c:pt idx="219">
                  <c:v>1.0537522781326267</c:v>
                </c:pt>
                <c:pt idx="220">
                  <c:v>0.99104241411838778</c:v>
                </c:pt>
                <c:pt idx="221">
                  <c:v>1.246854111705707</c:v>
                </c:pt>
                <c:pt idx="222">
                  <c:v>1.1108598911062268</c:v>
                </c:pt>
                <c:pt idx="223">
                  <c:v>1.0069882788145434</c:v>
                </c:pt>
                <c:pt idx="224">
                  <c:v>1.0429659273597731</c:v>
                </c:pt>
                <c:pt idx="225">
                  <c:v>1.2415241895472264</c:v>
                </c:pt>
                <c:pt idx="226">
                  <c:v>1.0607370982090985</c:v>
                </c:pt>
                <c:pt idx="227">
                  <c:v>0.98254513569119484</c:v>
                </c:pt>
                <c:pt idx="228">
                  <c:v>0.97651110382324768</c:v>
                </c:pt>
                <c:pt idx="229">
                  <c:v>1.0887563493315389</c:v>
                </c:pt>
                <c:pt idx="230">
                  <c:v>0.78300596637240216</c:v>
                </c:pt>
                <c:pt idx="231">
                  <c:v>0.88968810745173232</c:v>
                </c:pt>
                <c:pt idx="232">
                  <c:v>0.74214693971252432</c:v>
                </c:pt>
                <c:pt idx="233">
                  <c:v>1.015645214075779</c:v>
                </c:pt>
                <c:pt idx="234">
                  <c:v>0.76591341717817985</c:v>
                </c:pt>
                <c:pt idx="235">
                  <c:v>0.99490267950518141</c:v>
                </c:pt>
                <c:pt idx="236">
                  <c:v>0.782670244439856</c:v>
                </c:pt>
                <c:pt idx="237">
                  <c:v>0.95490274844904621</c:v>
                </c:pt>
                <c:pt idx="238">
                  <c:v>1.10521720654621</c:v>
                </c:pt>
                <c:pt idx="239">
                  <c:v>1.1039912468916053</c:v>
                </c:pt>
                <c:pt idx="240">
                  <c:v>0.97146948096887209</c:v>
                </c:pt>
                <c:pt idx="241">
                  <c:v>1.0425960964081298</c:v>
                </c:pt>
                <c:pt idx="242">
                  <c:v>0.96545639129394512</c:v>
                </c:pt>
                <c:pt idx="243">
                  <c:v>1.1029753689711439</c:v>
                </c:pt>
                <c:pt idx="244">
                  <c:v>1.0443012016693149</c:v>
                </c:pt>
                <c:pt idx="245">
                  <c:v>1.035801217585661</c:v>
                </c:pt>
                <c:pt idx="246">
                  <c:v>0.97511909646297612</c:v>
                </c:pt>
                <c:pt idx="247">
                  <c:v>1.0745054096439952</c:v>
                </c:pt>
                <c:pt idx="248">
                  <c:v>1.0849879495526928</c:v>
                </c:pt>
                <c:pt idx="249">
                  <c:v>1.0658353776281775</c:v>
                </c:pt>
                <c:pt idx="250">
                  <c:v>1.164038324517964</c:v>
                </c:pt>
                <c:pt idx="251">
                  <c:v>1.1851863092498804</c:v>
                </c:pt>
                <c:pt idx="252">
                  <c:v>1.4000927741086981</c:v>
                </c:pt>
                <c:pt idx="253">
                  <c:v>1.4707672066107018</c:v>
                </c:pt>
                <c:pt idx="254">
                  <c:v>1.1693024959062237</c:v>
                </c:pt>
                <c:pt idx="255">
                  <c:v>1.1994142932326093</c:v>
                </c:pt>
                <c:pt idx="256">
                  <c:v>1.3354151143487145</c:v>
                </c:pt>
                <c:pt idx="257">
                  <c:v>1.4489801776685771</c:v>
                </c:pt>
                <c:pt idx="258">
                  <c:v>1.0759579072343315</c:v>
                </c:pt>
                <c:pt idx="259">
                  <c:v>1.1152914305964363</c:v>
                </c:pt>
                <c:pt idx="260">
                  <c:v>1.2732119156908908</c:v>
                </c:pt>
                <c:pt idx="261">
                  <c:v>1.486801599498017</c:v>
                </c:pt>
                <c:pt idx="262">
                  <c:v>0.87833333333333341</c:v>
                </c:pt>
                <c:pt idx="263">
                  <c:v>0.89214840379637628</c:v>
                </c:pt>
                <c:pt idx="264">
                  <c:v>0.95168248490077645</c:v>
                </c:pt>
                <c:pt idx="265">
                  <c:v>0.65440646347147291</c:v>
                </c:pt>
                <c:pt idx="266">
                  <c:v>0.74645745582544709</c:v>
                </c:pt>
                <c:pt idx="267">
                  <c:v>0.86626402070750652</c:v>
                </c:pt>
                <c:pt idx="268">
                  <c:v>0.78909154398737613</c:v>
                </c:pt>
                <c:pt idx="269">
                  <c:v>0.93712665612600687</c:v>
                </c:pt>
                <c:pt idx="270">
                  <c:v>1.0095343957325076</c:v>
                </c:pt>
                <c:pt idx="271">
                  <c:v>0.82535245957938552</c:v>
                </c:pt>
                <c:pt idx="272">
                  <c:v>0.87025939203289582</c:v>
                </c:pt>
                <c:pt idx="273">
                  <c:v>0.74722430214469848</c:v>
                </c:pt>
                <c:pt idx="274">
                  <c:v>0.93212965513993562</c:v>
                </c:pt>
                <c:pt idx="275">
                  <c:v>0.70351864336481917</c:v>
                </c:pt>
                <c:pt idx="276">
                  <c:v>0.88584801505264343</c:v>
                </c:pt>
                <c:pt idx="277">
                  <c:v>0.93461795122954905</c:v>
                </c:pt>
                <c:pt idx="278">
                  <c:v>0.8760822339448866</c:v>
                </c:pt>
                <c:pt idx="279">
                  <c:v>1.0546620803021731</c:v>
                </c:pt>
                <c:pt idx="280">
                  <c:v>1.0088869571220103</c:v>
                </c:pt>
                <c:pt idx="281">
                  <c:v>1.127721019295898</c:v>
                </c:pt>
                <c:pt idx="282">
                  <c:v>1.0815801265431821</c:v>
                </c:pt>
                <c:pt idx="283">
                  <c:v>1.2575697339160365</c:v>
                </c:pt>
                <c:pt idx="284">
                  <c:v>1.0377227912290949</c:v>
                </c:pt>
                <c:pt idx="285">
                  <c:v>1.0851045143939175</c:v>
                </c:pt>
                <c:pt idx="286">
                  <c:v>0.78234204586737066</c:v>
                </c:pt>
                <c:pt idx="287">
                  <c:v>0.76733459610941368</c:v>
                </c:pt>
                <c:pt idx="288">
                  <c:v>1.0136499429452763</c:v>
                </c:pt>
                <c:pt idx="289">
                  <c:v>1.0886125437537382</c:v>
                </c:pt>
                <c:pt idx="290">
                  <c:v>0.94794472349162318</c:v>
                </c:pt>
                <c:pt idx="291">
                  <c:v>0.95810293219723919</c:v>
                </c:pt>
                <c:pt idx="292">
                  <c:v>0.94032104183423759</c:v>
                </c:pt>
                <c:pt idx="293">
                  <c:v>1.1917519000638892</c:v>
                </c:pt>
                <c:pt idx="294">
                  <c:v>0.73918547860307671</c:v>
                </c:pt>
                <c:pt idx="295">
                  <c:v>0.73435132953628823</c:v>
                </c:pt>
                <c:pt idx="296">
                  <c:v>0.80046699672781108</c:v>
                </c:pt>
                <c:pt idx="297">
                  <c:v>1.1085878003695551</c:v>
                </c:pt>
                <c:pt idx="298">
                  <c:v>0.85520549534192214</c:v>
                </c:pt>
                <c:pt idx="299">
                  <c:v>0.94115541649385537</c:v>
                </c:pt>
                <c:pt idx="300">
                  <c:v>0.93310480003574625</c:v>
                </c:pt>
                <c:pt idx="301">
                  <c:v>0.98697622127594653</c:v>
                </c:pt>
                <c:pt idx="302">
                  <c:v>1.0864891795569402</c:v>
                </c:pt>
                <c:pt idx="303">
                  <c:v>0.96674260066309403</c:v>
                </c:pt>
                <c:pt idx="304">
                  <c:v>1.0879820523592281</c:v>
                </c:pt>
                <c:pt idx="305">
                  <c:v>0.82233348350740842</c:v>
                </c:pt>
                <c:pt idx="306">
                  <c:v>1.1130622636058647</c:v>
                </c:pt>
                <c:pt idx="307">
                  <c:v>0.63480838312555887</c:v>
                </c:pt>
                <c:pt idx="308">
                  <c:v>0.97995058160380566</c:v>
                </c:pt>
                <c:pt idx="309">
                  <c:v>0.90003950832799662</c:v>
                </c:pt>
                <c:pt idx="310">
                  <c:v>1.2625217719196895</c:v>
                </c:pt>
                <c:pt idx="311">
                  <c:v>0.63292489521379602</c:v>
                </c:pt>
                <c:pt idx="312">
                  <c:v>1.0771457263688171</c:v>
                </c:pt>
                <c:pt idx="313">
                  <c:v>0.73924512696546085</c:v>
                </c:pt>
                <c:pt idx="314">
                  <c:v>1.1248507186141501</c:v>
                </c:pt>
                <c:pt idx="315">
                  <c:v>0.68467739710453912</c:v>
                </c:pt>
                <c:pt idx="316">
                  <c:v>1.0359680488784047</c:v>
                </c:pt>
                <c:pt idx="317">
                  <c:v>0.67868729013532503</c:v>
                </c:pt>
                <c:pt idx="318">
                  <c:v>1.0002692328949259</c:v>
                </c:pt>
                <c:pt idx="319">
                  <c:v>0.72633374341804824</c:v>
                </c:pt>
                <c:pt idx="320">
                  <c:v>1.1618512131976952</c:v>
                </c:pt>
                <c:pt idx="321">
                  <c:v>0.63898823880641586</c:v>
                </c:pt>
                <c:pt idx="322">
                  <c:v>1.0767191342865152</c:v>
                </c:pt>
                <c:pt idx="323">
                  <c:v>0.75400013200926497</c:v>
                </c:pt>
                <c:pt idx="324">
                  <c:v>0.95972228420837502</c:v>
                </c:pt>
                <c:pt idx="325">
                  <c:v>0.89951817016281221</c:v>
                </c:pt>
                <c:pt idx="326">
                  <c:v>0.97894457082747688</c:v>
                </c:pt>
                <c:pt idx="327">
                  <c:v>0.74462905197182427</c:v>
                </c:pt>
                <c:pt idx="328">
                  <c:v>1.0414859751276166</c:v>
                </c:pt>
                <c:pt idx="329">
                  <c:v>0.94846759987164653</c:v>
                </c:pt>
                <c:pt idx="330">
                  <c:v>1.2792539211145848</c:v>
                </c:pt>
                <c:pt idx="331">
                  <c:v>0.95692750390543657</c:v>
                </c:pt>
                <c:pt idx="332">
                  <c:v>1.000825177613299</c:v>
                </c:pt>
                <c:pt idx="333">
                  <c:v>1.1093102722998569</c:v>
                </c:pt>
                <c:pt idx="334">
                  <c:v>1.3796539954432834</c:v>
                </c:pt>
                <c:pt idx="335">
                  <c:v>1.2648314968012164</c:v>
                </c:pt>
                <c:pt idx="336">
                  <c:v>0.67646352686461653</c:v>
                </c:pt>
                <c:pt idx="337">
                  <c:v>0.75051026424073697</c:v>
                </c:pt>
                <c:pt idx="338">
                  <c:v>0.77281597321579087</c:v>
                </c:pt>
                <c:pt idx="339">
                  <c:v>0.86413021470864393</c:v>
                </c:pt>
                <c:pt idx="340">
                  <c:v>0.91208253125064931</c:v>
                </c:pt>
                <c:pt idx="341">
                  <c:v>0.95614243505191698</c:v>
                </c:pt>
                <c:pt idx="342">
                  <c:v>0.96762589928057552</c:v>
                </c:pt>
                <c:pt idx="343">
                  <c:v>1</c:v>
                </c:pt>
                <c:pt idx="344">
                  <c:v>0.82625634412902194</c:v>
                </c:pt>
                <c:pt idx="345">
                  <c:v>0.9601139047349182</c:v>
                </c:pt>
                <c:pt idx="346">
                  <c:v>1.0627262740118579</c:v>
                </c:pt>
                <c:pt idx="347">
                  <c:v>0.93527480684988118</c:v>
                </c:pt>
                <c:pt idx="348">
                  <c:v>1.0625500982773062</c:v>
                </c:pt>
                <c:pt idx="349">
                  <c:v>1.4822322141280799</c:v>
                </c:pt>
                <c:pt idx="350">
                  <c:v>1.0182198876788391</c:v>
                </c:pt>
                <c:pt idx="351">
                  <c:v>1.1905256945812908</c:v>
                </c:pt>
                <c:pt idx="352">
                  <c:v>1.1753055919076683</c:v>
                </c:pt>
                <c:pt idx="353">
                  <c:v>0.74669552116938287</c:v>
                </c:pt>
                <c:pt idx="354">
                  <c:v>0.90336797784402101</c:v>
                </c:pt>
                <c:pt idx="355">
                  <c:v>0.99108586662496612</c:v>
                </c:pt>
                <c:pt idx="356">
                  <c:v>0.8348184273807373</c:v>
                </c:pt>
                <c:pt idx="357">
                  <c:v>0.95553229503146886</c:v>
                </c:pt>
                <c:pt idx="358">
                  <c:v>0.67335839175112699</c:v>
                </c:pt>
                <c:pt idx="359">
                  <c:v>0.69192281388318311</c:v>
                </c:pt>
                <c:pt idx="360">
                  <c:v>0.84853134899852589</c:v>
                </c:pt>
                <c:pt idx="361">
                  <c:v>0.6648035989042731</c:v>
                </c:pt>
                <c:pt idx="362">
                  <c:v>0.72846501506533778</c:v>
                </c:pt>
                <c:pt idx="363">
                  <c:v>1.0134345640672162</c:v>
                </c:pt>
                <c:pt idx="364">
                  <c:v>0.67317534853537886</c:v>
                </c:pt>
                <c:pt idx="365">
                  <c:v>1.0383544149159285</c:v>
                </c:pt>
                <c:pt idx="366">
                  <c:v>1.0615276951705674</c:v>
                </c:pt>
                <c:pt idx="367">
                  <c:v>0.61746193238869718</c:v>
                </c:pt>
                <c:pt idx="368">
                  <c:v>0.68724341538301104</c:v>
                </c:pt>
                <c:pt idx="369">
                  <c:v>0.85028063832166845</c:v>
                </c:pt>
                <c:pt idx="370">
                  <c:v>0.49532268932934714</c:v>
                </c:pt>
                <c:pt idx="371">
                  <c:v>0.69404556824261776</c:v>
                </c:pt>
                <c:pt idx="372">
                  <c:v>0.73678053201601534</c:v>
                </c:pt>
                <c:pt idx="373">
                  <c:v>1.0734511207027237</c:v>
                </c:pt>
                <c:pt idx="374">
                  <c:v>0.97228115444619168</c:v>
                </c:pt>
                <c:pt idx="375">
                  <c:v>0.98184147159351287</c:v>
                </c:pt>
                <c:pt idx="376">
                  <c:v>1.1065773777959143</c:v>
                </c:pt>
                <c:pt idx="377">
                  <c:v>0.72096580896252627</c:v>
                </c:pt>
                <c:pt idx="378">
                  <c:v>0.93377048827409681</c:v>
                </c:pt>
                <c:pt idx="379">
                  <c:v>1.1167546869959355</c:v>
                </c:pt>
                <c:pt idx="380">
                  <c:v>1.2956424138648808</c:v>
                </c:pt>
                <c:pt idx="381">
                  <c:v>0.78437925291382093</c:v>
                </c:pt>
                <c:pt idx="382">
                  <c:v>1.059782127050285</c:v>
                </c:pt>
                <c:pt idx="383">
                  <c:v>0.73718451657272832</c:v>
                </c:pt>
                <c:pt idx="384">
                  <c:v>0.85852739822939572</c:v>
                </c:pt>
                <c:pt idx="385">
                  <c:v>1.0416632154626597</c:v>
                </c:pt>
                <c:pt idx="386">
                  <c:v>1.1153119606929831</c:v>
                </c:pt>
                <c:pt idx="387">
                  <c:v>1.2692714892463186</c:v>
                </c:pt>
                <c:pt idx="388">
                  <c:v>1.2571639757274684</c:v>
                </c:pt>
                <c:pt idx="389">
                  <c:v>0.8085349544542425</c:v>
                </c:pt>
                <c:pt idx="390">
                  <c:v>0.85080970194489203</c:v>
                </c:pt>
                <c:pt idx="391">
                  <c:v>1.0293844757547645</c:v>
                </c:pt>
                <c:pt idx="392">
                  <c:v>1.2091353781823571</c:v>
                </c:pt>
                <c:pt idx="393">
                  <c:v>1.2582112350998493</c:v>
                </c:pt>
                <c:pt idx="394">
                  <c:v>1.3026075869753657</c:v>
                </c:pt>
                <c:pt idx="395">
                  <c:v>1.4455193526381414</c:v>
                </c:pt>
                <c:pt idx="396">
                  <c:v>1.3999644400429421</c:v>
                </c:pt>
                <c:pt idx="397">
                  <c:v>1.2264020383181997</c:v>
                </c:pt>
                <c:pt idx="398">
                  <c:v>1.2265000402860071</c:v>
                </c:pt>
                <c:pt idx="399">
                  <c:v>1.3786937883911297</c:v>
                </c:pt>
                <c:pt idx="40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02-45F8-9155-8EB3F88EDB0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02-45F8-9155-8EB3F88ED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37344"/>
        <c:axId val="130538880"/>
      </c:scatterChart>
      <c:valAx>
        <c:axId val="13053734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8880"/>
        <c:crosses val="autoZero"/>
        <c:crossBetween val="midCat"/>
      </c:valAx>
      <c:valAx>
        <c:axId val="13053888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734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1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headed!$CS$20:$CS$104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15-4B6E-8036-3A3A3FE4122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headed!$CY$20:$CY$104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15-4B6E-8036-3A3A3FE41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86336"/>
        <c:axId val="130701568"/>
      </c:scatterChart>
      <c:valAx>
        <c:axId val="130686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701568"/>
        <c:crosses val="autoZero"/>
        <c:crossBetween val="midCat"/>
      </c:valAx>
      <c:valAx>
        <c:axId val="1307015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86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headed!$CS$105:$CS$147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79-4CCF-8D6B-1B692B98431A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headed!$CY$105:$CY$147</c:f>
              <c:numCache>
                <c:formatCode>General</c:formatCode>
                <c:ptCount val="43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79-4CCF-8D6B-1B692B98431A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79-4CCF-8D6B-1B692B984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30016"/>
        <c:axId val="130631552"/>
      </c:scatterChart>
      <c:valAx>
        <c:axId val="1306300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1552"/>
        <c:crosses val="autoZero"/>
        <c:crossBetween val="midCat"/>
      </c:valAx>
      <c:valAx>
        <c:axId val="13063155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00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6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headed!$CS$105:$CS$153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60-4B98-A2C4-429BC809CF2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headed!$CY$105:$CY$153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60-4B98-A2C4-429BC809CF2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60-4B98-A2C4-429BC809C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4704"/>
        <c:axId val="130674688"/>
      </c:scatterChart>
      <c:valAx>
        <c:axId val="1306647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74688"/>
        <c:crosses val="autoZero"/>
        <c:crossBetween val="midCat"/>
      </c:valAx>
      <c:valAx>
        <c:axId val="1306746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647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headed!$CK$252:$CK$578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03-42F6-BB61-38E21F49BFF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03-42F6-BB61-38E21F49B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30336"/>
        <c:axId val="130831872"/>
      </c:scatterChart>
      <c:valAx>
        <c:axId val="130830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1872"/>
        <c:crosses val="autoZero"/>
        <c:crossBetween val="midCat"/>
      </c:valAx>
      <c:valAx>
        <c:axId val="130831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0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headed!$CK$252:$CK$578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B6-43C9-AA87-4411F24FD3B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B6-43C9-AA87-4411F24FD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56448"/>
        <c:axId val="130857984"/>
      </c:scatterChart>
      <c:valAx>
        <c:axId val="1308564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7984"/>
        <c:crosses val="autoZero"/>
        <c:crossBetween val="midCat"/>
      </c:valAx>
      <c:valAx>
        <c:axId val="13085798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64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headed!$CK$252:$CK$578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20-4619-B963-7998D7002FED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20-4619-B963-7998D7002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60000"/>
        <c:axId val="130986368"/>
      </c:scatterChart>
      <c:valAx>
        <c:axId val="1309600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86368"/>
        <c:crosses val="autoZero"/>
        <c:crossBetween val="midCat"/>
      </c:valAx>
      <c:valAx>
        <c:axId val="1309863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600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headed!$CS$156:$CS$195</c:f>
              <c:numCache>
                <c:formatCode>General</c:formatCode>
                <c:ptCount val="40"/>
                <c:pt idx="13">
                  <c:v>0.96129394656467926</c:v>
                </c:pt>
                <c:pt idx="15">
                  <c:v>1.3098915185197448</c:v>
                </c:pt>
                <c:pt idx="16">
                  <c:v>0.98353055359065744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3">
                  <c:v>1.1618846803400318</c:v>
                </c:pt>
                <c:pt idx="24">
                  <c:v>1.0461407976053076</c:v>
                </c:pt>
                <c:pt idx="27">
                  <c:v>1.2987627920477962</c:v>
                </c:pt>
                <c:pt idx="29">
                  <c:v>1.2828934748820127</c:v>
                </c:pt>
                <c:pt idx="30">
                  <c:v>1.0755836101514773</c:v>
                </c:pt>
                <c:pt idx="32">
                  <c:v>1.0895526539249616</c:v>
                </c:pt>
                <c:pt idx="33">
                  <c:v>1.1605850652682879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A7-40D1-A02D-FDE9DF6747F3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headed!$CY$156:$CY$195</c:f>
              <c:numCache>
                <c:formatCode>General</c:formatCode>
                <c:ptCount val="40"/>
                <c:pt idx="14">
                  <c:v>1.2785719938235214</c:v>
                </c:pt>
                <c:pt idx="17">
                  <c:v>1.1067090057702911</c:v>
                </c:pt>
                <c:pt idx="21">
                  <c:v>1.1206763468020458</c:v>
                </c:pt>
                <c:pt idx="22">
                  <c:v>1.285171889692756</c:v>
                </c:pt>
                <c:pt idx="25">
                  <c:v>0.84308759932066202</c:v>
                </c:pt>
                <c:pt idx="26">
                  <c:v>1.0360993957423605</c:v>
                </c:pt>
                <c:pt idx="28">
                  <c:v>1.634175742192578</c:v>
                </c:pt>
                <c:pt idx="31">
                  <c:v>1.3714309698264442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A7-40D1-A02D-FDE9DF6747F3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headed!$CS$196:$CS$254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  <c:pt idx="28">
                  <c:v>1.2380919937878554</c:v>
                </c:pt>
                <c:pt idx="29">
                  <c:v>0.98516281921633742</c:v>
                </c:pt>
                <c:pt idx="31">
                  <c:v>0.93206382246205521</c:v>
                </c:pt>
                <c:pt idx="32">
                  <c:v>1.0324950798962937</c:v>
                </c:pt>
                <c:pt idx="35">
                  <c:v>1.2033493663218637</c:v>
                </c:pt>
                <c:pt idx="39">
                  <c:v>1.6270397075880396</c:v>
                </c:pt>
                <c:pt idx="40">
                  <c:v>1.0787425247853666</c:v>
                </c:pt>
                <c:pt idx="41">
                  <c:v>0.864466025227837</c:v>
                </c:pt>
                <c:pt idx="42">
                  <c:v>1.1163081599228812</c:v>
                </c:pt>
                <c:pt idx="43">
                  <c:v>1.3187489627900544</c:v>
                </c:pt>
                <c:pt idx="45">
                  <c:v>1.3244193650535829</c:v>
                </c:pt>
                <c:pt idx="46">
                  <c:v>0.96172270015417394</c:v>
                </c:pt>
                <c:pt idx="47">
                  <c:v>1.7054171816068107</c:v>
                </c:pt>
                <c:pt idx="48">
                  <c:v>1.4957640290850434</c:v>
                </c:pt>
                <c:pt idx="49">
                  <c:v>1.3582301682762954</c:v>
                </c:pt>
                <c:pt idx="51">
                  <c:v>1.1369631936734077</c:v>
                </c:pt>
                <c:pt idx="56">
                  <c:v>0.84833333333333338</c:v>
                </c:pt>
                <c:pt idx="5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A7-40D1-A02D-FDE9DF6747F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headed!$CY$196:$CY$254</c:f>
              <c:numCache>
                <c:formatCode>General</c:formatCode>
                <c:ptCount val="59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  <c:pt idx="33">
                  <c:v>1.4559039363893846</c:v>
                </c:pt>
                <c:pt idx="44">
                  <c:v>1.5899976895949632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8">
                  <c:v>1.0732340453544049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DA7-40D1-A02D-FDE9DF6747F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DA7-40D1-A02D-FDE9DF674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81792"/>
        <c:axId val="130895872"/>
      </c:scatterChart>
      <c:valAx>
        <c:axId val="1308817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95872"/>
        <c:crosses val="autoZero"/>
        <c:crossBetween val="midCat"/>
      </c:valAx>
      <c:valAx>
        <c:axId val="130895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817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headed!$CS$156:$CS$195</c:f>
              <c:numCache>
                <c:formatCode>General</c:formatCode>
                <c:ptCount val="40"/>
                <c:pt idx="13">
                  <c:v>0.96129394656467926</c:v>
                </c:pt>
                <c:pt idx="15">
                  <c:v>1.3098915185197448</c:v>
                </c:pt>
                <c:pt idx="16">
                  <c:v>0.98353055359065744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3">
                  <c:v>1.1618846803400318</c:v>
                </c:pt>
                <c:pt idx="24">
                  <c:v>1.0461407976053076</c:v>
                </c:pt>
                <c:pt idx="27">
                  <c:v>1.2987627920477962</c:v>
                </c:pt>
                <c:pt idx="29">
                  <c:v>1.2828934748820127</c:v>
                </c:pt>
                <c:pt idx="30">
                  <c:v>1.0755836101514773</c:v>
                </c:pt>
                <c:pt idx="32">
                  <c:v>1.0895526539249616</c:v>
                </c:pt>
                <c:pt idx="33">
                  <c:v>1.1605850652682879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B7-4066-A4E7-D8E629D483C8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headed!$CY$156:$CY$195</c:f>
              <c:numCache>
                <c:formatCode>General</c:formatCode>
                <c:ptCount val="40"/>
                <c:pt idx="14">
                  <c:v>1.2785719938235214</c:v>
                </c:pt>
                <c:pt idx="17">
                  <c:v>1.1067090057702911</c:v>
                </c:pt>
                <c:pt idx="21">
                  <c:v>1.1206763468020458</c:v>
                </c:pt>
                <c:pt idx="22">
                  <c:v>1.285171889692756</c:v>
                </c:pt>
                <c:pt idx="25">
                  <c:v>0.84308759932066202</c:v>
                </c:pt>
                <c:pt idx="26">
                  <c:v>1.0360993957423605</c:v>
                </c:pt>
                <c:pt idx="28">
                  <c:v>1.634175742192578</c:v>
                </c:pt>
                <c:pt idx="31">
                  <c:v>1.3714309698264442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B7-4066-A4E7-D8E629D483C8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headed!$CS$169:$CS$1254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BB7-4066-A4E7-D8E629D483C8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headed!$CY$169:$CY$1254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0</c:v>
                </c:pt>
                <c:pt idx="36">
                  <c:v>0</c:v>
                </c:pt>
                <c:pt idx="43">
                  <c:v>0</c:v>
                </c:pt>
                <c:pt idx="44">
                  <c:v>0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BB7-4066-A4E7-D8E629D483C8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BB7-4066-A4E7-D8E629D48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34656"/>
        <c:axId val="130936192"/>
      </c:scatterChart>
      <c:valAx>
        <c:axId val="130934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6192"/>
        <c:crosses val="autoZero"/>
        <c:crossBetween val="midCat"/>
      </c:valAx>
      <c:valAx>
        <c:axId val="130936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46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99" l="0.70000000000000062" r="0.70000000000000062" t="0.75000000000000799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headed!$CM$252:$CM$578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1.8814484318433564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1.4382760123279739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1.8589949803999117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1.4405154544410637</c:v>
                </c:pt>
                <c:pt idx="34">
                  <c:v>1.5227273061218662</c:v>
                </c:pt>
                <c:pt idx="35">
                  <c:v>1.2067087626321074</c:v>
                </c:pt>
                <c:pt idx="36">
                  <c:v>1.5537534775920558</c:v>
                </c:pt>
                <c:pt idx="37">
                  <c:v>1.2155644280465276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1.6507806323592806</c:v>
                </c:pt>
                <c:pt idx="56">
                  <c:v>1.6904491962548411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1.2756690101615786</c:v>
                </c:pt>
                <c:pt idx="60">
                  <c:v>1.6536048066223732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1.1308794998166836</c:v>
                </c:pt>
                <c:pt idx="75">
                  <c:v>1.1355499502132003</c:v>
                </c:pt>
                <c:pt idx="76">
                  <c:v>1.0683429748972426</c:v>
                </c:pt>
                <c:pt idx="77">
                  <c:v>1.1302150740598296</c:v>
                </c:pt>
                <c:pt idx="78">
                  <c:v>1.2855169740960342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1.3645897297002598</c:v>
                </c:pt>
                <c:pt idx="82">
                  <c:v>1.2431637729407938</c:v>
                </c:pt>
                <c:pt idx="83">
                  <c:v>1.4751944683659082</c:v>
                </c:pt>
                <c:pt idx="84">
                  <c:v>1.7850791723869082</c:v>
                </c:pt>
                <c:pt idx="85">
                  <c:v>1.261486403351207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1.4291107675846266</c:v>
                </c:pt>
                <c:pt idx="92">
                  <c:v>1.7965068604388503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1.3651469896302668</c:v>
                </c:pt>
                <c:pt idx="96">
                  <c:v>1.0921113414829737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1.1538643715615464</c:v>
                </c:pt>
                <c:pt idx="102">
                  <c:v>1.3842072343068135</c:v>
                </c:pt>
                <c:pt idx="103">
                  <c:v>1.6164798403189902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1.1553451423090986</c:v>
                </c:pt>
                <c:pt idx="107">
                  <c:v>1.676977781714432</c:v>
                </c:pt>
                <c:pt idx="108">
                  <c:v>1.0676265150499875</c:v>
                </c:pt>
                <c:pt idx="109">
                  <c:v>1.1117656600092876</c:v>
                </c:pt>
                <c:pt idx="110">
                  <c:v>1.2584341542185216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1.0919377043810194</c:v>
                </c:pt>
                <c:pt idx="115">
                  <c:v>1.2840983524179472</c:v>
                </c:pt>
                <c:pt idx="116">
                  <c:v>1.0111147713391568</c:v>
                </c:pt>
                <c:pt idx="117">
                  <c:v>1.2490921086446241</c:v>
                </c:pt>
                <c:pt idx="118">
                  <c:v>0.90990733440606342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0.93991349427050186</c:v>
                </c:pt>
                <c:pt idx="123">
                  <c:v>1.3735243604164213</c:v>
                </c:pt>
                <c:pt idx="124">
                  <c:v>1.1044927574542696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1.3871339650041066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1.5631748888459425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0.69730791094744238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0.93509962123722112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1.1579794213606953</c:v>
                </c:pt>
                <c:pt idx="191">
                  <c:v>1.2026791278589977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1.4332360429327682</c:v>
                </c:pt>
                <c:pt idx="199">
                  <c:v>1.495658681836104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1A-4B0B-98D7-5EB06C736A72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1A-4B0B-98D7-5EB06C736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81184"/>
        <c:axId val="131187072"/>
      </c:scatterChart>
      <c:valAx>
        <c:axId val="1311811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7072"/>
        <c:crosses val="autoZero"/>
        <c:crossBetween val="midCat"/>
      </c:valAx>
      <c:valAx>
        <c:axId val="1311870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11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headed!$CK$169:$CK$578</c:f>
              <c:numCache>
                <c:formatCode>General</c:formatCode>
                <c:ptCount val="410"/>
                <c:pt idx="0">
                  <c:v>0.96129394656467926</c:v>
                </c:pt>
                <c:pt idx="1">
                  <c:v>1.2785719938235214</c:v>
                </c:pt>
                <c:pt idx="2">
                  <c:v>1.3098915185197448</c:v>
                </c:pt>
                <c:pt idx="3">
                  <c:v>0.98353055359065744</c:v>
                </c:pt>
                <c:pt idx="4">
                  <c:v>1.1067090057702911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8">
                  <c:v>1.1206763468020458</c:v>
                </c:pt>
                <c:pt idx="9">
                  <c:v>1.285171889692756</c:v>
                </c:pt>
                <c:pt idx="10">
                  <c:v>1.1618846803400318</c:v>
                </c:pt>
                <c:pt idx="11">
                  <c:v>1.0461407976053076</c:v>
                </c:pt>
                <c:pt idx="12">
                  <c:v>0.84308759932066202</c:v>
                </c:pt>
                <c:pt idx="13">
                  <c:v>1.0360993957423605</c:v>
                </c:pt>
                <c:pt idx="14">
                  <c:v>1.2987627920477962</c:v>
                </c:pt>
                <c:pt idx="15">
                  <c:v>1.634175742192578</c:v>
                </c:pt>
                <c:pt idx="16">
                  <c:v>1.2828934748820127</c:v>
                </c:pt>
                <c:pt idx="17">
                  <c:v>1.0755836101514773</c:v>
                </c:pt>
                <c:pt idx="18">
                  <c:v>1.3714309698264442</c:v>
                </c:pt>
                <c:pt idx="19">
                  <c:v>1.0895526539249616</c:v>
                </c:pt>
                <c:pt idx="20">
                  <c:v>1.1605850652682879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0">
                  <c:v>1.4559039363893846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1">
                  <c:v>1.5899976895949632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0.84833333333333338</c:v>
                </c:pt>
                <c:pt idx="84">
                  <c:v>1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89">
                  <c:v>1.1737171323264513</c:v>
                </c:pt>
                <c:pt idx="90">
                  <c:v>0.98499999999999999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5">
                  <c:v>0.98628051473021827</c:v>
                </c:pt>
                <c:pt idx="96">
                  <c:v>0.96916666666666662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1">
                  <c:v>0.89800579941581282</c:v>
                </c:pt>
                <c:pt idx="102">
                  <c:v>0.88210240843168164</c:v>
                </c:pt>
                <c:pt idx="103">
                  <c:v>1.0355623876435345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7">
                  <c:v>0.98097068748379734</c:v>
                </c:pt>
                <c:pt idx="108">
                  <c:v>1.0184221931806774</c:v>
                </c:pt>
                <c:pt idx="109">
                  <c:v>1.2076437156812905</c:v>
                </c:pt>
                <c:pt idx="110">
                  <c:v>1.026278911927931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4">
                  <c:v>0.75449639049580097</c:v>
                </c:pt>
                <c:pt idx="115">
                  <c:v>0.85631332847185648</c:v>
                </c:pt>
                <c:pt idx="116">
                  <c:v>0.73864862864762737</c:v>
                </c:pt>
                <c:pt idx="117">
                  <c:v>1.0122595831277816</c:v>
                </c:pt>
                <c:pt idx="118">
                  <c:v>0.75738494469674067</c:v>
                </c:pt>
                <c:pt idx="119">
                  <c:v>0.98660780016235983</c:v>
                </c:pt>
                <c:pt idx="120">
                  <c:v>0.7688185795271586</c:v>
                </c:pt>
                <c:pt idx="121">
                  <c:v>0.93949066396852476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4">
                  <c:v>1.1112596892664182</c:v>
                </c:pt>
                <c:pt idx="135">
                  <c:v>1.1281282791225913</c:v>
                </c:pt>
                <c:pt idx="136">
                  <c:v>1.3411331667214759</c:v>
                </c:pt>
                <c:pt idx="137">
                  <c:v>1.4014181325909159</c:v>
                </c:pt>
                <c:pt idx="138">
                  <c:v>1.1403447227271795</c:v>
                </c:pt>
                <c:pt idx="139">
                  <c:v>1.1667495807153807</c:v>
                </c:pt>
                <c:pt idx="140">
                  <c:v>1.3055599870590859</c:v>
                </c:pt>
                <c:pt idx="141">
                  <c:v>1.4151480032461179</c:v>
                </c:pt>
                <c:pt idx="142">
                  <c:v>1.0695354015578697</c:v>
                </c:pt>
                <c:pt idx="143">
                  <c:v>1.1086028706787405</c:v>
                </c:pt>
                <c:pt idx="144">
                  <c:v>1.2682678827222702</c:v>
                </c:pt>
                <c:pt idx="145">
                  <c:v>1.4782200012625968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5">
                  <c:v>0.81958454427477145</c:v>
                </c:pt>
                <c:pt idx="156">
                  <c:v>0.86504992090891586</c:v>
                </c:pt>
                <c:pt idx="157">
                  <c:v>0.77187994815402661</c:v>
                </c:pt>
                <c:pt idx="158">
                  <c:v>0.96079814882500592</c:v>
                </c:pt>
                <c:pt idx="159">
                  <c:v>0.72179535196685451</c:v>
                </c:pt>
                <c:pt idx="160">
                  <c:v>0.90958443196571492</c:v>
                </c:pt>
                <c:pt idx="161">
                  <c:v>0.94633885858091515</c:v>
                </c:pt>
                <c:pt idx="162">
                  <c:v>0.88772695202762453</c:v>
                </c:pt>
                <c:pt idx="163">
                  <c:v>1.040321922403797</c:v>
                </c:pt>
                <c:pt idx="164">
                  <c:v>1.0201564955106805</c:v>
                </c:pt>
                <c:pt idx="165">
                  <c:v>1.1408969245623375</c:v>
                </c:pt>
                <c:pt idx="166">
                  <c:v>1.0927712921092712</c:v>
                </c:pt>
                <c:pt idx="167">
                  <c:v>1.2733735889849789</c:v>
                </c:pt>
                <c:pt idx="168">
                  <c:v>1.0374944577148659</c:v>
                </c:pt>
                <c:pt idx="169">
                  <c:v>1.0877385129806194</c:v>
                </c:pt>
                <c:pt idx="170">
                  <c:v>0.77596899224806193</c:v>
                </c:pt>
                <c:pt idx="171">
                  <c:v>0.76884181445606981</c:v>
                </c:pt>
                <c:pt idx="172">
                  <c:v>1</c:v>
                </c:pt>
                <c:pt idx="173">
                  <c:v>1.0970371571867716</c:v>
                </c:pt>
                <c:pt idx="174">
                  <c:v>0.93271114834467483</c:v>
                </c:pt>
                <c:pt idx="175">
                  <c:v>0.98191767642597505</c:v>
                </c:pt>
                <c:pt idx="176">
                  <c:v>0.92990729725452292</c:v>
                </c:pt>
                <c:pt idx="177">
                  <c:v>1.2334336233137346</c:v>
                </c:pt>
                <c:pt idx="178">
                  <c:v>0.73708254508719195</c:v>
                </c:pt>
                <c:pt idx="179">
                  <c:v>0.76475423221277683</c:v>
                </c:pt>
                <c:pt idx="180">
                  <c:v>0.80505769112623204</c:v>
                </c:pt>
                <c:pt idx="181">
                  <c:v>1.1698808414795534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8">
                  <c:v>1.0276805768179793</c:v>
                </c:pt>
                <c:pt idx="189">
                  <c:v>0.79497862339968595</c:v>
                </c:pt>
                <c:pt idx="190">
                  <c:v>1.0750809484919404</c:v>
                </c:pt>
                <c:pt idx="191">
                  <c:v>0.62319362436667958</c:v>
                </c:pt>
                <c:pt idx="192">
                  <c:v>0.96051437093285852</c:v>
                </c:pt>
                <c:pt idx="193">
                  <c:v>0.87917179348650509</c:v>
                </c:pt>
                <c:pt idx="194">
                  <c:v>1.2347092535127056</c:v>
                </c:pt>
                <c:pt idx="195">
                  <c:v>0.60184794055467938</c:v>
                </c:pt>
                <c:pt idx="196">
                  <c:v>1.0219610040497915</c:v>
                </c:pt>
                <c:pt idx="197">
                  <c:v>0.7330357782373077</c:v>
                </c:pt>
                <c:pt idx="198">
                  <c:v>1.1198131819366681</c:v>
                </c:pt>
                <c:pt idx="199">
                  <c:v>0.66486057633594775</c:v>
                </c:pt>
                <c:pt idx="200">
                  <c:v>1.0063627542062954</c:v>
                </c:pt>
                <c:pt idx="201">
                  <c:v>0.65201390875330911</c:v>
                </c:pt>
                <c:pt idx="202">
                  <c:v>0.96063482258325084</c:v>
                </c:pt>
                <c:pt idx="203">
                  <c:v>0.72042570438964904</c:v>
                </c:pt>
                <c:pt idx="204">
                  <c:v>1.1550340401026544</c:v>
                </c:pt>
                <c:pt idx="205">
                  <c:v>0.65535916327208799</c:v>
                </c:pt>
                <c:pt idx="206">
                  <c:v>1.1105084560718819</c:v>
                </c:pt>
                <c:pt idx="207">
                  <c:v>0.79874270242833545</c:v>
                </c:pt>
                <c:pt idx="208">
                  <c:v>1.023547164422965</c:v>
                </c:pt>
                <c:pt idx="209">
                  <c:v>0.85551395808440578</c:v>
                </c:pt>
                <c:pt idx="210">
                  <c:v>0.98139244277365356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5">
                  <c:v>0.89396556017501727</c:v>
                </c:pt>
                <c:pt idx="216">
                  <c:v>0.98338913792026705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0">
                  <c:v>0.65825114412661645</c:v>
                </c:pt>
                <c:pt idx="221">
                  <c:v>0.77378912538861899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29">
                  <c:v>0.9430316920738141</c:v>
                </c:pt>
                <c:pt idx="230">
                  <c:v>1.0458763223941501</c:v>
                </c:pt>
                <c:pt idx="231">
                  <c:v>0.93075915185163327</c:v>
                </c:pt>
                <c:pt idx="232">
                  <c:v>1.0597976267559761</c:v>
                </c:pt>
                <c:pt idx="233">
                  <c:v>1.4770163586145215</c:v>
                </c:pt>
                <c:pt idx="234">
                  <c:v>0.9223210736286156</c:v>
                </c:pt>
                <c:pt idx="235">
                  <c:v>1.0760378613885915</c:v>
                </c:pt>
                <c:pt idx="236">
                  <c:v>1.0622002196076112</c:v>
                </c:pt>
                <c:pt idx="237">
                  <c:v>0.68598892644176579</c:v>
                </c:pt>
                <c:pt idx="238">
                  <c:v>0.83117670323868909</c:v>
                </c:pt>
                <c:pt idx="239">
                  <c:v>0.90798285629871378</c:v>
                </c:pt>
                <c:pt idx="240">
                  <c:v>0.80065106847835565</c:v>
                </c:pt>
                <c:pt idx="241">
                  <c:v>0.91366453911512724</c:v>
                </c:pt>
                <c:pt idx="242">
                  <c:v>0.63658061415316614</c:v>
                </c:pt>
                <c:pt idx="243">
                  <c:v>0.67872485494033818</c:v>
                </c:pt>
                <c:pt idx="244">
                  <c:v>0.83340478977310528</c:v>
                </c:pt>
                <c:pt idx="245">
                  <c:v>0.61800778838527559</c:v>
                </c:pt>
                <c:pt idx="246">
                  <c:v>0.70367808719437008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1">
                  <c:v>0.58197921135499686</c:v>
                </c:pt>
                <c:pt idx="252">
                  <c:v>0.64761509962742803</c:v>
                </c:pt>
                <c:pt idx="253">
                  <c:v>0.80079303363680798</c:v>
                </c:pt>
                <c:pt idx="254">
                  <c:v>0.47564989032534455</c:v>
                </c:pt>
                <c:pt idx="255">
                  <c:v>0.66704150177213273</c:v>
                </c:pt>
                <c:pt idx="256">
                  <c:v>0.70702684009784134</c:v>
                </c:pt>
                <c:pt idx="257">
                  <c:v>1.0814969925658282</c:v>
                </c:pt>
                <c:pt idx="258">
                  <c:v>0.99576500752813224</c:v>
                </c:pt>
                <c:pt idx="259">
                  <c:v>0.99413885294838056</c:v>
                </c:pt>
                <c:pt idx="260">
                  <c:v>1.1394424782402843</c:v>
                </c:pt>
                <c:pt idx="261">
                  <c:v>0.67339603919552049</c:v>
                </c:pt>
                <c:pt idx="262">
                  <c:v>0.8706995887826271</c:v>
                </c:pt>
                <c:pt idx="263">
                  <c:v>1.0281950348313329</c:v>
                </c:pt>
                <c:pt idx="264">
                  <c:v>1.1970277979743196</c:v>
                </c:pt>
                <c:pt idx="265">
                  <c:v>0.75774169091366828</c:v>
                </c:pt>
                <c:pt idx="266">
                  <c:v>1.0238289667935871</c:v>
                </c:pt>
                <c:pt idx="267">
                  <c:v>0.73182258163771818</c:v>
                </c:pt>
                <c:pt idx="268">
                  <c:v>0.85256630700679548</c:v>
                </c:pt>
                <c:pt idx="269">
                  <c:v>0.99737956201403044</c:v>
                </c:pt>
                <c:pt idx="270">
                  <c:v>1.0728433505360115</c:v>
                </c:pt>
                <c:pt idx="271">
                  <c:v>1.2159686517391213</c:v>
                </c:pt>
                <c:pt idx="272">
                  <c:v>1.2091576243153148</c:v>
                </c:pt>
                <c:pt idx="273">
                  <c:v>0.79048475314469613</c:v>
                </c:pt>
                <c:pt idx="274">
                  <c:v>0.83691102883897983</c:v>
                </c:pt>
                <c:pt idx="275">
                  <c:v>1.006304469333855</c:v>
                </c:pt>
                <c:pt idx="276">
                  <c:v>1.189548271882735</c:v>
                </c:pt>
                <c:pt idx="277">
                  <c:v>1.1596127136690846</c:v>
                </c:pt>
                <c:pt idx="278">
                  <c:v>1.2217011324137843</c:v>
                </c:pt>
                <c:pt idx="279">
                  <c:v>1.3325481105008794</c:v>
                </c:pt>
                <c:pt idx="280">
                  <c:v>1.3127262358757383</c:v>
                </c:pt>
                <c:pt idx="281">
                  <c:v>1.1515856076091984</c:v>
                </c:pt>
                <c:pt idx="282">
                  <c:v>1.1740740153975369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54-4956-918E-65409DFF936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54-4956-918E-65409DFF9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6800"/>
        <c:axId val="131278336"/>
      </c:scatterChart>
      <c:valAx>
        <c:axId val="131276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8336"/>
        <c:crosses val="autoZero"/>
        <c:crossBetween val="midCat"/>
      </c:valAx>
      <c:valAx>
        <c:axId val="13127833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6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headed!$CM$252:$CM$578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1.8814484318433564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1.4382760123279739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1.8589949803999117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1.4405154544410637</c:v>
                </c:pt>
                <c:pt idx="34">
                  <c:v>1.5227273061218662</c:v>
                </c:pt>
                <c:pt idx="35">
                  <c:v>1.2067087626321074</c:v>
                </c:pt>
                <c:pt idx="36">
                  <c:v>1.5537534775920558</c:v>
                </c:pt>
                <c:pt idx="37">
                  <c:v>1.2155644280465276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1.6507806323592806</c:v>
                </c:pt>
                <c:pt idx="56">
                  <c:v>1.6904491962548411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1.2756690101615786</c:v>
                </c:pt>
                <c:pt idx="60">
                  <c:v>1.6536048066223732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1.1308794998166836</c:v>
                </c:pt>
                <c:pt idx="75">
                  <c:v>1.1355499502132003</c:v>
                </c:pt>
                <c:pt idx="76">
                  <c:v>1.0683429748972426</c:v>
                </c:pt>
                <c:pt idx="77">
                  <c:v>1.1302150740598296</c:v>
                </c:pt>
                <c:pt idx="78">
                  <c:v>1.2855169740960342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1.3645897297002598</c:v>
                </c:pt>
                <c:pt idx="82">
                  <c:v>1.2431637729407938</c:v>
                </c:pt>
                <c:pt idx="83">
                  <c:v>1.4751944683659082</c:v>
                </c:pt>
                <c:pt idx="84">
                  <c:v>1.7850791723869082</c:v>
                </c:pt>
                <c:pt idx="85">
                  <c:v>1.261486403351207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1.4291107675846266</c:v>
                </c:pt>
                <c:pt idx="92">
                  <c:v>1.7965068604388503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1.3651469896302668</c:v>
                </c:pt>
                <c:pt idx="96">
                  <c:v>1.0921113414829737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1.1538643715615464</c:v>
                </c:pt>
                <c:pt idx="102">
                  <c:v>1.3842072343068135</c:v>
                </c:pt>
                <c:pt idx="103">
                  <c:v>1.6164798403189902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1.1553451423090986</c:v>
                </c:pt>
                <c:pt idx="107">
                  <c:v>1.676977781714432</c:v>
                </c:pt>
                <c:pt idx="108">
                  <c:v>1.0676265150499875</c:v>
                </c:pt>
                <c:pt idx="109">
                  <c:v>1.1117656600092876</c:v>
                </c:pt>
                <c:pt idx="110">
                  <c:v>1.2584341542185216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1.0919377043810194</c:v>
                </c:pt>
                <c:pt idx="115">
                  <c:v>1.2840983524179472</c:v>
                </c:pt>
                <c:pt idx="116">
                  <c:v>1.0111147713391568</c:v>
                </c:pt>
                <c:pt idx="117">
                  <c:v>1.2490921086446241</c:v>
                </c:pt>
                <c:pt idx="118">
                  <c:v>0.90990733440606342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0.93991349427050186</c:v>
                </c:pt>
                <c:pt idx="123">
                  <c:v>1.3735243604164213</c:v>
                </c:pt>
                <c:pt idx="124">
                  <c:v>1.1044927574542696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1.3871339650041066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1.5631748888459425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0.69730791094744238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0.93509962123722112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1.1579794213606953</c:v>
                </c:pt>
                <c:pt idx="191">
                  <c:v>1.2026791278589977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1.4332360429327682</c:v>
                </c:pt>
                <c:pt idx="199">
                  <c:v>1.495658681836104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B1-42E6-BA53-40105D8215F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B1-42E6-BA53-40105D821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19680"/>
        <c:axId val="131321216"/>
      </c:scatterChart>
      <c:valAx>
        <c:axId val="1313196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21216"/>
        <c:crosses val="autoZero"/>
        <c:crossBetween val="midCat"/>
      </c:valAx>
      <c:valAx>
        <c:axId val="1313212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196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headed!$CM$169:$CM$252</c:f>
              <c:numCache>
                <c:formatCode>General</c:formatCode>
                <c:ptCount val="84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1.6810691019807604</c:v>
                </c:pt>
                <c:pt idx="11">
                  <c:v>1.4271453774857643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1.9012666169183468</c:v>
                </c:pt>
                <c:pt idx="15">
                  <c:v>1.5788211461636792</c:v>
                </c:pt>
                <c:pt idx="16">
                  <c:v>2.0407929363744293</c:v>
                </c:pt>
                <c:pt idx="17">
                  <c:v>1.4623814188213276</c:v>
                </c:pt>
                <c:pt idx="18">
                  <c:v>1.2315922030510305</c:v>
                </c:pt>
                <c:pt idx="19">
                  <c:v>1.6032963421957998</c:v>
                </c:pt>
                <c:pt idx="20">
                  <c:v>1.4282123621188205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1.8963655360936886</c:v>
                </c:pt>
                <c:pt idx="56">
                  <c:v>1.5115148831805576</c:v>
                </c:pt>
                <c:pt idx="58">
                  <c:v>1.08971818573285</c:v>
                </c:pt>
                <c:pt idx="59">
                  <c:v>1.4378533266448839</c:v>
                </c:pt>
                <c:pt idx="60">
                  <c:v>1.468755792642539</c:v>
                </c:pt>
                <c:pt idx="62">
                  <c:v>1.805476112010334</c:v>
                </c:pt>
                <c:pt idx="66">
                  <c:v>2.5947732797879901</c:v>
                </c:pt>
                <c:pt idx="67">
                  <c:v>1.5950411881888569</c:v>
                </c:pt>
                <c:pt idx="68">
                  <c:v>1.338956593754866</c:v>
                </c:pt>
                <c:pt idx="69">
                  <c:v>1.6929650308865152</c:v>
                </c:pt>
                <c:pt idx="70">
                  <c:v>1.9887430163203406</c:v>
                </c:pt>
                <c:pt idx="71">
                  <c:v>1.5581202263866585</c:v>
                </c:pt>
                <c:pt idx="72">
                  <c:v>1.832082313538461</c:v>
                </c:pt>
                <c:pt idx="73">
                  <c:v>1.5518814891149317</c:v>
                </c:pt>
                <c:pt idx="74">
                  <c:v>2.3882719091374538</c:v>
                </c:pt>
                <c:pt idx="75">
                  <c:v>2.1664445703547215</c:v>
                </c:pt>
                <c:pt idx="76">
                  <c:v>1.6860007669757939</c:v>
                </c:pt>
                <c:pt idx="78">
                  <c:v>1.6574714449565529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D-4AED-A567-69CA78265B4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9D-4AED-A567-69CA78265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80192"/>
        <c:axId val="131081728"/>
      </c:scatterChart>
      <c:valAx>
        <c:axId val="1310801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1728"/>
        <c:crosses val="autoZero"/>
        <c:crossBetween val="midCat"/>
      </c:valAx>
      <c:valAx>
        <c:axId val="1310817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01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headed!$CM$20:$CM$1278</c:f>
              <c:numCache>
                <c:formatCode>General</c:formatCode>
                <c:ptCount val="1259"/>
                <c:pt idx="33">
                  <c:v>2.0303364325354463</c:v>
                </c:pt>
                <c:pt idx="34">
                  <c:v>2.1733178714463932</c:v>
                </c:pt>
                <c:pt idx="35">
                  <c:v>2.2448085909018665</c:v>
                </c:pt>
                <c:pt idx="36">
                  <c:v>2.1494876316279021</c:v>
                </c:pt>
                <c:pt idx="37">
                  <c:v>1.6189566089937328</c:v>
                </c:pt>
                <c:pt idx="38">
                  <c:v>1.9589882478732941</c:v>
                </c:pt>
                <c:pt idx="39">
                  <c:v>2.1630936371420115</c:v>
                </c:pt>
                <c:pt idx="40">
                  <c:v>2.324395382191629</c:v>
                </c:pt>
                <c:pt idx="41">
                  <c:v>2.2495746388655649</c:v>
                </c:pt>
                <c:pt idx="42">
                  <c:v>2.2292144033428589</c:v>
                </c:pt>
                <c:pt idx="45">
                  <c:v>1.4210277445713013</c:v>
                </c:pt>
                <c:pt idx="46">
                  <c:v>1.4861429355619056</c:v>
                </c:pt>
                <c:pt idx="47">
                  <c:v>1.3973439488284463</c:v>
                </c:pt>
                <c:pt idx="48">
                  <c:v>1.4552333115825267</c:v>
                </c:pt>
                <c:pt idx="49">
                  <c:v>1.325563931931276</c:v>
                </c:pt>
                <c:pt idx="50">
                  <c:v>1.552980320852922</c:v>
                </c:pt>
                <c:pt idx="51">
                  <c:v>1.3973439488284463</c:v>
                </c:pt>
                <c:pt idx="52">
                  <c:v>1.4965390606012445</c:v>
                </c:pt>
                <c:pt idx="53">
                  <c:v>1.2721581713304984</c:v>
                </c:pt>
                <c:pt idx="54">
                  <c:v>1.4754435061569753</c:v>
                </c:pt>
                <c:pt idx="55">
                  <c:v>0.778335876421405</c:v>
                </c:pt>
                <c:pt idx="56">
                  <c:v>0.89168576133714361</c:v>
                </c:pt>
                <c:pt idx="57">
                  <c:v>0.79533835915876583</c:v>
                </c:pt>
                <c:pt idx="58">
                  <c:v>0.89168576133714361</c:v>
                </c:pt>
                <c:pt idx="59">
                  <c:v>0.89168576133714361</c:v>
                </c:pt>
                <c:pt idx="60">
                  <c:v>1.8807238023462929</c:v>
                </c:pt>
                <c:pt idx="61">
                  <c:v>1.9657282679890631</c:v>
                </c:pt>
                <c:pt idx="62">
                  <c:v>1.8329087904222345</c:v>
                </c:pt>
                <c:pt idx="63">
                  <c:v>1.9922921635024289</c:v>
                </c:pt>
                <c:pt idx="64">
                  <c:v>2.0560455127345065</c:v>
                </c:pt>
                <c:pt idx="65">
                  <c:v>2.2685566768414325</c:v>
                </c:pt>
                <c:pt idx="66">
                  <c:v>2.0879221873505456</c:v>
                </c:pt>
                <c:pt idx="67">
                  <c:v>2.0826094082478721</c:v>
                </c:pt>
                <c:pt idx="68">
                  <c:v>2.3004333514574711</c:v>
                </c:pt>
                <c:pt idx="69">
                  <c:v>2.3004333514574711</c:v>
                </c:pt>
                <c:pt idx="70">
                  <c:v>2.3004333514574711</c:v>
                </c:pt>
                <c:pt idx="71">
                  <c:v>0.87831273920731312</c:v>
                </c:pt>
                <c:pt idx="72">
                  <c:v>0.91209399840759442</c:v>
                </c:pt>
                <c:pt idx="73">
                  <c:v>1.2594431657304286</c:v>
                </c:pt>
                <c:pt idx="74">
                  <c:v>1.4594060767422257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2.3452641252972923</c:v>
                </c:pt>
                <c:pt idx="78">
                  <c:v>1.7238027723554292</c:v>
                </c:pt>
                <c:pt idx="79">
                  <c:v>2.0093131033468623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1.9242884063113308</c:v>
                </c:pt>
                <c:pt idx="83">
                  <c:v>1.816128425931379</c:v>
                </c:pt>
                <c:pt idx="84">
                  <c:v>1.8834633534428806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1.5566949833453998</c:v>
                </c:pt>
                <c:pt idx="129">
                  <c:v>1.5946717872855112</c:v>
                </c:pt>
                <c:pt idx="130">
                  <c:v>1.3052086433254757</c:v>
                </c:pt>
                <c:pt idx="131">
                  <c:v>1.4556328942092587</c:v>
                </c:pt>
                <c:pt idx="132">
                  <c:v>1.259499751488431</c:v>
                </c:pt>
                <c:pt idx="133">
                  <c:v>1.249185320570019</c:v>
                </c:pt>
                <c:pt idx="149">
                  <c:v>1.3838937040210169</c:v>
                </c:pt>
                <c:pt idx="150">
                  <c:v>1.4372631142025567</c:v>
                </c:pt>
                <c:pt idx="151">
                  <c:v>2.0310855779776316</c:v>
                </c:pt>
                <c:pt idx="152">
                  <c:v>1.3258623595815355</c:v>
                </c:pt>
                <c:pt idx="153">
                  <c:v>1.1653373728318932</c:v>
                </c:pt>
                <c:pt idx="154">
                  <c:v>1.6096593536070971</c:v>
                </c:pt>
                <c:pt idx="155">
                  <c:v>1.7181448594746873</c:v>
                </c:pt>
                <c:pt idx="156">
                  <c:v>1.5756703115990831</c:v>
                </c:pt>
                <c:pt idx="157">
                  <c:v>1.1449507661346809</c:v>
                </c:pt>
                <c:pt idx="158">
                  <c:v>1.2505080698215565</c:v>
                </c:pt>
                <c:pt idx="159">
                  <c:v>1.6810691019807604</c:v>
                </c:pt>
                <c:pt idx="160">
                  <c:v>1.4271453774857643</c:v>
                </c:pt>
                <c:pt idx="161">
                  <c:v>0.83618018255731019</c:v>
                </c:pt>
                <c:pt idx="162">
                  <c:v>0.97651019906997372</c:v>
                </c:pt>
                <c:pt idx="163">
                  <c:v>1.9012666169183468</c:v>
                </c:pt>
                <c:pt idx="164">
                  <c:v>1.5788211461636792</c:v>
                </c:pt>
                <c:pt idx="165">
                  <c:v>2.0407929363744293</c:v>
                </c:pt>
                <c:pt idx="166">
                  <c:v>1.4623814188213276</c:v>
                </c:pt>
                <c:pt idx="167">
                  <c:v>1.2315922030510305</c:v>
                </c:pt>
                <c:pt idx="168">
                  <c:v>1.6032963421957998</c:v>
                </c:pt>
                <c:pt idx="169">
                  <c:v>1.4282123621188205</c:v>
                </c:pt>
                <c:pt idx="170">
                  <c:v>1.2470860052703576</c:v>
                </c:pt>
                <c:pt idx="171">
                  <c:v>1.2470860052703576</c:v>
                </c:pt>
                <c:pt idx="172">
                  <c:v>1.2513422714999494</c:v>
                </c:pt>
                <c:pt idx="173">
                  <c:v>1.4314656932398204</c:v>
                </c:pt>
                <c:pt idx="174">
                  <c:v>1.3374929414311942</c:v>
                </c:pt>
                <c:pt idx="175">
                  <c:v>1.2336405483318309</c:v>
                </c:pt>
                <c:pt idx="176">
                  <c:v>3.203833724920901</c:v>
                </c:pt>
                <c:pt idx="177">
                  <c:v>3.1622500423555562</c:v>
                </c:pt>
                <c:pt idx="178">
                  <c:v>2.5895293233873948</c:v>
                </c:pt>
                <c:pt idx="179">
                  <c:v>2.7388525471447704</c:v>
                </c:pt>
                <c:pt idx="180">
                  <c:v>2.9072970877236819</c:v>
                </c:pt>
                <c:pt idx="181">
                  <c:v>3.0309656951865547</c:v>
                </c:pt>
                <c:pt idx="182">
                  <c:v>3.1459558038801037</c:v>
                </c:pt>
                <c:pt idx="183">
                  <c:v>3.0895455618794947</c:v>
                </c:pt>
                <c:pt idx="184">
                  <c:v>2.7149668974723982</c:v>
                </c:pt>
                <c:pt idx="185">
                  <c:v>2.7074357826389104</c:v>
                </c:pt>
                <c:pt idx="186">
                  <c:v>2.1117680338689433</c:v>
                </c:pt>
                <c:pt idx="187">
                  <c:v>2.1161072832536054</c:v>
                </c:pt>
                <c:pt idx="188">
                  <c:v>3.6717330366569469</c:v>
                </c:pt>
                <c:pt idx="189">
                  <c:v>3.6561528398960266</c:v>
                </c:pt>
                <c:pt idx="190">
                  <c:v>3.7678109166826239</c:v>
                </c:pt>
                <c:pt idx="191">
                  <c:v>3.7444406215412429</c:v>
                </c:pt>
                <c:pt idx="192">
                  <c:v>3.0790396611328834</c:v>
                </c:pt>
                <c:pt idx="193">
                  <c:v>3.0726604353156195</c:v>
                </c:pt>
                <c:pt idx="194">
                  <c:v>2.4772512849863699</c:v>
                </c:pt>
                <c:pt idx="195">
                  <c:v>2.5032182795879043</c:v>
                </c:pt>
                <c:pt idx="204">
                  <c:v>1.8963655360936886</c:v>
                </c:pt>
                <c:pt idx="205">
                  <c:v>1.5115148831805576</c:v>
                </c:pt>
                <c:pt idx="207">
                  <c:v>1.08971818573285</c:v>
                </c:pt>
                <c:pt idx="208">
                  <c:v>1.4378533266448839</c:v>
                </c:pt>
                <c:pt idx="209">
                  <c:v>1.468755792642539</c:v>
                </c:pt>
                <c:pt idx="211">
                  <c:v>1.805476112010334</c:v>
                </c:pt>
                <c:pt idx="215">
                  <c:v>2.5947732797879901</c:v>
                </c:pt>
                <c:pt idx="216">
                  <c:v>1.5950411881888569</c:v>
                </c:pt>
                <c:pt idx="217">
                  <c:v>1.338956593754866</c:v>
                </c:pt>
                <c:pt idx="218">
                  <c:v>1.6929650308865152</c:v>
                </c:pt>
                <c:pt idx="219">
                  <c:v>1.9887430163203406</c:v>
                </c:pt>
                <c:pt idx="220">
                  <c:v>1.5581202263866585</c:v>
                </c:pt>
                <c:pt idx="221">
                  <c:v>1.832082313538461</c:v>
                </c:pt>
                <c:pt idx="222">
                  <c:v>1.5518814891149317</c:v>
                </c:pt>
                <c:pt idx="223">
                  <c:v>2.3882719091374538</c:v>
                </c:pt>
                <c:pt idx="224">
                  <c:v>2.1664445703547215</c:v>
                </c:pt>
                <c:pt idx="225">
                  <c:v>1.6860007669757939</c:v>
                </c:pt>
                <c:pt idx="227">
                  <c:v>1.6574714449565529</c:v>
                </c:pt>
                <c:pt idx="228">
                  <c:v>1.2269966870795557</c:v>
                </c:pt>
                <c:pt idx="229">
                  <c:v>1.2777689637862957</c:v>
                </c:pt>
                <c:pt idx="230">
                  <c:v>1.2016105487261854</c:v>
                </c:pt>
                <c:pt idx="231">
                  <c:v>1.2143036179028706</c:v>
                </c:pt>
                <c:pt idx="232">
                  <c:v>0.92942217759542134</c:v>
                </c:pt>
                <c:pt idx="233">
                  <c:v>1.1242757318376362</c:v>
                </c:pt>
                <c:pt idx="234">
                  <c:v>1.1200335813374223</c:v>
                </c:pt>
                <c:pt idx="235">
                  <c:v>1.2442613749021638</c:v>
                </c:pt>
                <c:pt idx="236">
                  <c:v>1.400091193706031</c:v>
                </c:pt>
                <c:pt idx="237">
                  <c:v>1.3452828172806048</c:v>
                </c:pt>
                <c:pt idx="238">
                  <c:v>1.3479209893794599</c:v>
                </c:pt>
                <c:pt idx="239">
                  <c:v>1.2726513426267121</c:v>
                </c:pt>
                <c:pt idx="240">
                  <c:v>1.3025245533720942</c:v>
                </c:pt>
                <c:pt idx="241">
                  <c:v>1.2673808375373148</c:v>
                </c:pt>
                <c:pt idx="242">
                  <c:v>1.5549193028146699</c:v>
                </c:pt>
                <c:pt idx="243">
                  <c:v>1.5517610994655895</c:v>
                </c:pt>
                <c:pt idx="244">
                  <c:v>1.4145986516145845</c:v>
                </c:pt>
                <c:pt idx="245">
                  <c:v>1.2305684841268119</c:v>
                </c:pt>
                <c:pt idx="246">
                  <c:v>1.2121832107334114</c:v>
                </c:pt>
                <c:pt idx="247">
                  <c:v>1.327132930109501</c:v>
                </c:pt>
                <c:pt idx="248">
                  <c:v>1.4604454373528053</c:v>
                </c:pt>
                <c:pt idx="249">
                  <c:v>1.3940506960947452</c:v>
                </c:pt>
                <c:pt idx="250">
                  <c:v>1.4542450707802723</c:v>
                </c:pt>
                <c:pt idx="251">
                  <c:v>1.3171284334108457</c:v>
                </c:pt>
                <c:pt idx="252">
                  <c:v>1.8814484318433564</c:v>
                </c:pt>
                <c:pt idx="253">
                  <c:v>1.0875170850034528</c:v>
                </c:pt>
                <c:pt idx="254">
                  <c:v>1.7132857924449365</c:v>
                </c:pt>
                <c:pt idx="255">
                  <c:v>1.1703923382083732</c:v>
                </c:pt>
                <c:pt idx="256">
                  <c:v>1.4382760123279739</c:v>
                </c:pt>
                <c:pt idx="257">
                  <c:v>1.4674396207834461</c:v>
                </c:pt>
                <c:pt idx="258">
                  <c:v>1.3339172849165912</c:v>
                </c:pt>
                <c:pt idx="259">
                  <c:v>1.8589949803999117</c:v>
                </c:pt>
                <c:pt idx="260">
                  <c:v>1.4016929584772584</c:v>
                </c:pt>
                <c:pt idx="261">
                  <c:v>1.4064662597202062</c:v>
                </c:pt>
                <c:pt idx="262">
                  <c:v>1.500601767058964</c:v>
                </c:pt>
                <c:pt idx="263">
                  <c:v>1.0809846369960703</c:v>
                </c:pt>
                <c:pt idx="264">
                  <c:v>1.130169014844719</c:v>
                </c:pt>
                <c:pt idx="265">
                  <c:v>1.4405154544410637</c:v>
                </c:pt>
                <c:pt idx="266">
                  <c:v>1.5227273061218662</c:v>
                </c:pt>
                <c:pt idx="267">
                  <c:v>1.2067087626321074</c:v>
                </c:pt>
                <c:pt idx="268">
                  <c:v>1.5537534775920558</c:v>
                </c:pt>
                <c:pt idx="269">
                  <c:v>1.2155644280465276</c:v>
                </c:pt>
                <c:pt idx="270">
                  <c:v>1.225964360942069</c:v>
                </c:pt>
                <c:pt idx="271">
                  <c:v>1.2044626549109341</c:v>
                </c:pt>
                <c:pt idx="272">
                  <c:v>1.3567777131762069</c:v>
                </c:pt>
                <c:pt idx="273">
                  <c:v>1.0565427698472931</c:v>
                </c:pt>
                <c:pt idx="274">
                  <c:v>1.0611106737887328</c:v>
                </c:pt>
                <c:pt idx="275">
                  <c:v>1.085175517695939</c:v>
                </c:pt>
                <c:pt idx="276">
                  <c:v>1.3648258889866054</c:v>
                </c:pt>
                <c:pt idx="277">
                  <c:v>1.1326402982209955</c:v>
                </c:pt>
                <c:pt idx="278">
                  <c:v>1.279120760819896</c:v>
                </c:pt>
                <c:pt idx="279">
                  <c:v>1.4158899377768372</c:v>
                </c:pt>
                <c:pt idx="280">
                  <c:v>1.4646074726472567</c:v>
                </c:pt>
                <c:pt idx="281">
                  <c:v>1.2980121403329294</c:v>
                </c:pt>
                <c:pt idx="282">
                  <c:v>1.4018980369375771</c:v>
                </c:pt>
                <c:pt idx="283">
                  <c:v>1.15289897228001</c:v>
                </c:pt>
                <c:pt idx="284">
                  <c:v>1.1926541092551828</c:v>
                </c:pt>
                <c:pt idx="285">
                  <c:v>1.3111850107642649</c:v>
                </c:pt>
                <c:pt idx="286">
                  <c:v>1.3404573544493805</c:v>
                </c:pt>
                <c:pt idx="287">
                  <c:v>1.6507806323592806</c:v>
                </c:pt>
                <c:pt idx="288">
                  <c:v>1.6904491962548411</c:v>
                </c:pt>
                <c:pt idx="289">
                  <c:v>1.2857433234217517</c:v>
                </c:pt>
                <c:pt idx="290">
                  <c:v>1.3838059891279431</c:v>
                </c:pt>
                <c:pt idx="291">
                  <c:v>1.2756690101615786</c:v>
                </c:pt>
                <c:pt idx="292">
                  <c:v>1.6536048066223732</c:v>
                </c:pt>
                <c:pt idx="293">
                  <c:v>1.5219922977142373</c:v>
                </c:pt>
                <c:pt idx="294">
                  <c:v>1.4168183015224551</c:v>
                </c:pt>
                <c:pt idx="295">
                  <c:v>1.1832182811484149</c:v>
                </c:pt>
                <c:pt idx="296">
                  <c:v>1.1607663213543273</c:v>
                </c:pt>
                <c:pt idx="297">
                  <c:v>1.213946649650911</c:v>
                </c:pt>
                <c:pt idx="298">
                  <c:v>1.0155616105585565</c:v>
                </c:pt>
                <c:pt idx="299">
                  <c:v>1.1496958567038023</c:v>
                </c:pt>
                <c:pt idx="300">
                  <c:v>1.3712468718361366</c:v>
                </c:pt>
                <c:pt idx="301">
                  <c:v>1.7084818805310933</c:v>
                </c:pt>
                <c:pt idx="302">
                  <c:v>1.9886149364652124</c:v>
                </c:pt>
                <c:pt idx="303">
                  <c:v>1.7490612046742806</c:v>
                </c:pt>
                <c:pt idx="304">
                  <c:v>1.0824061436066807</c:v>
                </c:pt>
                <c:pt idx="305">
                  <c:v>1.099511672686895</c:v>
                </c:pt>
                <c:pt idx="306">
                  <c:v>1.1308794998166836</c:v>
                </c:pt>
                <c:pt idx="307">
                  <c:v>1.1355499502132003</c:v>
                </c:pt>
                <c:pt idx="308">
                  <c:v>1.0683429748972426</c:v>
                </c:pt>
                <c:pt idx="309">
                  <c:v>1.1302150740598296</c:v>
                </c:pt>
                <c:pt idx="310">
                  <c:v>1.2855169740960342</c:v>
                </c:pt>
                <c:pt idx="311">
                  <c:v>1.0909464990682394</c:v>
                </c:pt>
                <c:pt idx="312">
                  <c:v>1.2494913437411292</c:v>
                </c:pt>
                <c:pt idx="313">
                  <c:v>1.3645897297002598</c:v>
                </c:pt>
                <c:pt idx="314">
                  <c:v>1.2431637729407938</c:v>
                </c:pt>
                <c:pt idx="315">
                  <c:v>1.4751944683659082</c:v>
                </c:pt>
                <c:pt idx="316">
                  <c:v>1.7850791723869082</c:v>
                </c:pt>
                <c:pt idx="317">
                  <c:v>1.261486403351207</c:v>
                </c:pt>
                <c:pt idx="318">
                  <c:v>1.2104901444923288</c:v>
                </c:pt>
                <c:pt idx="319">
                  <c:v>0.9500605438440255</c:v>
                </c:pt>
                <c:pt idx="320">
                  <c:v>0.93266016758314585</c:v>
                </c:pt>
                <c:pt idx="321">
                  <c:v>1.2028972243265701</c:v>
                </c:pt>
                <c:pt idx="322">
                  <c:v>1.6074371142265871</c:v>
                </c:pt>
                <c:pt idx="323">
                  <c:v>1.4291107675846266</c:v>
                </c:pt>
                <c:pt idx="324">
                  <c:v>1.7965068604388503</c:v>
                </c:pt>
                <c:pt idx="325">
                  <c:v>1.2530999155051654</c:v>
                </c:pt>
                <c:pt idx="326">
                  <c:v>1.5863282977600779</c:v>
                </c:pt>
                <c:pt idx="327">
                  <c:v>1.3651469896302668</c:v>
                </c:pt>
                <c:pt idx="328">
                  <c:v>1.0921113414829737</c:v>
                </c:pt>
                <c:pt idx="329">
                  <c:v>1.2738805592629094</c:v>
                </c:pt>
                <c:pt idx="330">
                  <c:v>1.7624587508377958</c:v>
                </c:pt>
                <c:pt idx="331">
                  <c:v>1.066177573233374</c:v>
                </c:pt>
                <c:pt idx="332">
                  <c:v>1.0960517053259571</c:v>
                </c:pt>
                <c:pt idx="333">
                  <c:v>1.1538643715615464</c:v>
                </c:pt>
                <c:pt idx="334">
                  <c:v>1.3842072343068135</c:v>
                </c:pt>
                <c:pt idx="335">
                  <c:v>1.6164798403189902</c:v>
                </c:pt>
                <c:pt idx="336">
                  <c:v>1.1020916631669231</c:v>
                </c:pt>
                <c:pt idx="337">
                  <c:v>1.1890280478040305</c:v>
                </c:pt>
                <c:pt idx="338">
                  <c:v>1.1553451423090986</c:v>
                </c:pt>
                <c:pt idx="339">
                  <c:v>1.676977781714432</c:v>
                </c:pt>
                <c:pt idx="340">
                  <c:v>1.0676265150499875</c:v>
                </c:pt>
                <c:pt idx="341">
                  <c:v>1.1117656600092876</c:v>
                </c:pt>
                <c:pt idx="342">
                  <c:v>1.2584341542185216</c:v>
                </c:pt>
                <c:pt idx="343">
                  <c:v>1.3530591037272715</c:v>
                </c:pt>
                <c:pt idx="344">
                  <c:v>0.8536087311591446</c:v>
                </c:pt>
                <c:pt idx="345">
                  <c:v>1.3047954564429862</c:v>
                </c:pt>
                <c:pt idx="346">
                  <c:v>1.0919377043810194</c:v>
                </c:pt>
                <c:pt idx="347">
                  <c:v>1.2840983524179472</c:v>
                </c:pt>
                <c:pt idx="348">
                  <c:v>1.0111147713391568</c:v>
                </c:pt>
                <c:pt idx="349">
                  <c:v>1.2490921086446241</c:v>
                </c:pt>
                <c:pt idx="350">
                  <c:v>0.90990733440606342</c:v>
                </c:pt>
                <c:pt idx="351">
                  <c:v>1.2211878714437694</c:v>
                </c:pt>
                <c:pt idx="352">
                  <c:v>0.98770988832965423</c:v>
                </c:pt>
                <c:pt idx="353">
                  <c:v>1.405758816311484</c:v>
                </c:pt>
                <c:pt idx="354">
                  <c:v>0.93991349427050186</c:v>
                </c:pt>
                <c:pt idx="355">
                  <c:v>1.3735243604164213</c:v>
                </c:pt>
                <c:pt idx="356">
                  <c:v>1.1044927574542696</c:v>
                </c:pt>
                <c:pt idx="357">
                  <c:v>1.1875804167963844</c:v>
                </c:pt>
                <c:pt idx="358">
                  <c:v>1.3853708991438167</c:v>
                </c:pt>
                <c:pt idx="359">
                  <c:v>1.4691556370667194</c:v>
                </c:pt>
                <c:pt idx="360">
                  <c:v>1.1002142240916057</c:v>
                </c:pt>
                <c:pt idx="361">
                  <c:v>1.5042537753350267</c:v>
                </c:pt>
                <c:pt idx="362">
                  <c:v>1.356754559997581</c:v>
                </c:pt>
                <c:pt idx="363">
                  <c:v>1.799506429845696</c:v>
                </c:pt>
                <c:pt idx="364">
                  <c:v>1.2598222395057197</c:v>
                </c:pt>
                <c:pt idx="365">
                  <c:v>1.3120228562170784</c:v>
                </c:pt>
                <c:pt idx="366">
                  <c:v>1.3540876305298664</c:v>
                </c:pt>
                <c:pt idx="367">
                  <c:v>1.6741983885487828</c:v>
                </c:pt>
                <c:pt idx="368">
                  <c:v>1.5380009760396056</c:v>
                </c:pt>
                <c:pt idx="369">
                  <c:v>1.3010744184441332</c:v>
                </c:pt>
                <c:pt idx="370">
                  <c:v>1.419112376432075</c:v>
                </c:pt>
                <c:pt idx="371">
                  <c:v>1.3703241283774616</c:v>
                </c:pt>
                <c:pt idx="372">
                  <c:v>1.5358700933690845</c:v>
                </c:pt>
                <c:pt idx="373">
                  <c:v>1.5953360225510751</c:v>
                </c:pt>
                <c:pt idx="374">
                  <c:v>1.6885510586641708</c:v>
                </c:pt>
                <c:pt idx="375">
                  <c:v>1.2969655123763921</c:v>
                </c:pt>
                <c:pt idx="376">
                  <c:v>1.368231571250613</c:v>
                </c:pt>
                <c:pt idx="377">
                  <c:v>1.3871339650041066</c:v>
                </c:pt>
                <c:pt idx="378">
                  <c:v>1.418561096358864</c:v>
                </c:pt>
                <c:pt idx="379">
                  <c:v>1.6217447857525504</c:v>
                </c:pt>
                <c:pt idx="380">
                  <c:v>1.5631748888459425</c:v>
                </c:pt>
                <c:pt idx="381">
                  <c:v>1.4956819971499853</c:v>
                </c:pt>
                <c:pt idx="382">
                  <c:v>2.2308393728048879</c:v>
                </c:pt>
                <c:pt idx="383">
                  <c:v>0.95053003455679075</c:v>
                </c:pt>
                <c:pt idx="384">
                  <c:v>0.96797883882138447</c:v>
                </c:pt>
                <c:pt idx="385">
                  <c:v>0.9673044426554136</c:v>
                </c:pt>
                <c:pt idx="386">
                  <c:v>0.76825652258018351</c:v>
                </c:pt>
                <c:pt idx="387">
                  <c:v>1.0055163450729336</c:v>
                </c:pt>
                <c:pt idx="388">
                  <c:v>0.90287337363807318</c:v>
                </c:pt>
                <c:pt idx="389">
                  <c:v>0.85398182075671547</c:v>
                </c:pt>
                <c:pt idx="390">
                  <c:v>0.87804597345881741</c:v>
                </c:pt>
                <c:pt idx="391">
                  <c:v>0.8312726172672158</c:v>
                </c:pt>
                <c:pt idx="392">
                  <c:v>0.86489129505352247</c:v>
                </c:pt>
                <c:pt idx="393">
                  <c:v>1.0296890870286513</c:v>
                </c:pt>
                <c:pt idx="394">
                  <c:v>0.74693440629475993</c:v>
                </c:pt>
                <c:pt idx="395">
                  <c:v>0.8275761961520568</c:v>
                </c:pt>
                <c:pt idx="396">
                  <c:v>1.0515170046860745</c:v>
                </c:pt>
                <c:pt idx="397">
                  <c:v>0.71186072951306811</c:v>
                </c:pt>
                <c:pt idx="398">
                  <c:v>1.1226686234334839</c:v>
                </c:pt>
                <c:pt idx="399">
                  <c:v>1.1445892636173558</c:v>
                </c:pt>
                <c:pt idx="400">
                  <c:v>0.72823307370272738</c:v>
                </c:pt>
                <c:pt idx="401">
                  <c:v>0.71086754061834379</c:v>
                </c:pt>
                <c:pt idx="402">
                  <c:v>1.102942521630832</c:v>
                </c:pt>
                <c:pt idx="403">
                  <c:v>0.69730791094744238</c:v>
                </c:pt>
                <c:pt idx="404">
                  <c:v>0.7718247303008392</c:v>
                </c:pt>
                <c:pt idx="405">
                  <c:v>0.8346761269586771</c:v>
                </c:pt>
                <c:pt idx="406">
                  <c:v>1.378337467570502</c:v>
                </c:pt>
                <c:pt idx="407">
                  <c:v>1.3470976313599901</c:v>
                </c:pt>
                <c:pt idx="408">
                  <c:v>1.2226871085348725</c:v>
                </c:pt>
                <c:pt idx="409">
                  <c:v>1.4480266495732195</c:v>
                </c:pt>
                <c:pt idx="410">
                  <c:v>0.80994045632785505</c:v>
                </c:pt>
                <c:pt idx="411">
                  <c:v>0.92343789210776062</c:v>
                </c:pt>
                <c:pt idx="412">
                  <c:v>1.1377445264616732</c:v>
                </c:pt>
                <c:pt idx="413">
                  <c:v>1.1621411039397247</c:v>
                </c:pt>
                <c:pt idx="414">
                  <c:v>0.83703352176496904</c:v>
                </c:pt>
                <c:pt idx="415">
                  <c:v>0.99472144636362514</c:v>
                </c:pt>
                <c:pt idx="416">
                  <c:v>0.93509962123722112</c:v>
                </c:pt>
                <c:pt idx="417">
                  <c:v>0.8900725411588033</c:v>
                </c:pt>
                <c:pt idx="418">
                  <c:v>1.2488912988332597</c:v>
                </c:pt>
                <c:pt idx="419">
                  <c:v>1.3338607110128451</c:v>
                </c:pt>
                <c:pt idx="420">
                  <c:v>1.3088116847320996</c:v>
                </c:pt>
                <c:pt idx="421">
                  <c:v>1.3330135927123574</c:v>
                </c:pt>
                <c:pt idx="422">
                  <c:v>1.1579794213606953</c:v>
                </c:pt>
                <c:pt idx="423">
                  <c:v>1.2026791278589977</c:v>
                </c:pt>
                <c:pt idx="424">
                  <c:v>1.1608850073852048</c:v>
                </c:pt>
                <c:pt idx="425">
                  <c:v>1.3841922978836163</c:v>
                </c:pt>
                <c:pt idx="426">
                  <c:v>1.2184121174982501</c:v>
                </c:pt>
                <c:pt idx="427">
                  <c:v>1.3173670073694528</c:v>
                </c:pt>
                <c:pt idx="428">
                  <c:v>1.1997735337343924</c:v>
                </c:pt>
                <c:pt idx="429">
                  <c:v>1.265578045451847</c:v>
                </c:pt>
                <c:pt idx="430">
                  <c:v>1.4332360429327682</c:v>
                </c:pt>
                <c:pt idx="431">
                  <c:v>1.495658681836104</c:v>
                </c:pt>
                <c:pt idx="432">
                  <c:v>1.255358081169357</c:v>
                </c:pt>
                <c:pt idx="433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BF-4545-90F2-08EF791FE00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BF-4545-90F2-08EF791FE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27168"/>
        <c:axId val="131128704"/>
      </c:scatterChart>
      <c:valAx>
        <c:axId val="13112716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8704"/>
        <c:crosses val="autoZero"/>
        <c:crossBetween val="midCat"/>
      </c:valAx>
      <c:valAx>
        <c:axId val="13112870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716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headed!$CK$252:$CK$578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09-4BE6-9F2B-F9817E47B87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09-4BE6-9F2B-F9817E47B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2864"/>
        <c:axId val="131502848"/>
      </c:scatterChart>
      <c:valAx>
        <c:axId val="1314928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502848"/>
        <c:crosses val="autoZero"/>
        <c:crossBetween val="midCat"/>
      </c:valAx>
      <c:valAx>
        <c:axId val="13150284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4928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headed!$CK$53:$CK$1278</c:f>
              <c:numCache>
                <c:formatCode>General</c:formatCode>
                <c:ptCount val="1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16">
                  <c:v>0.96129394656467926</c:v>
                </c:pt>
                <c:pt idx="117">
                  <c:v>1.2785719938235214</c:v>
                </c:pt>
                <c:pt idx="118">
                  <c:v>1.3098915185197448</c:v>
                </c:pt>
                <c:pt idx="119">
                  <c:v>0.98353055359065744</c:v>
                </c:pt>
                <c:pt idx="120">
                  <c:v>1.1067090057702911</c:v>
                </c:pt>
                <c:pt idx="121">
                  <c:v>1.0925318620009352</c:v>
                </c:pt>
                <c:pt idx="122">
                  <c:v>1.1437168102008413</c:v>
                </c:pt>
                <c:pt idx="123">
                  <c:v>1.112459169884874</c:v>
                </c:pt>
                <c:pt idx="124">
                  <c:v>1.1206763468020458</c:v>
                </c:pt>
                <c:pt idx="125">
                  <c:v>1.285171889692756</c:v>
                </c:pt>
                <c:pt idx="126">
                  <c:v>1.1618846803400318</c:v>
                </c:pt>
                <c:pt idx="127">
                  <c:v>1.0461407976053076</c:v>
                </c:pt>
                <c:pt idx="128">
                  <c:v>0.84308759932066202</c:v>
                </c:pt>
                <c:pt idx="129">
                  <c:v>1.0360993957423605</c:v>
                </c:pt>
                <c:pt idx="130">
                  <c:v>1.2987627920477962</c:v>
                </c:pt>
                <c:pt idx="131">
                  <c:v>1.634175742192578</c:v>
                </c:pt>
                <c:pt idx="132">
                  <c:v>1.2828934748820127</c:v>
                </c:pt>
                <c:pt idx="133">
                  <c:v>1.0755836101514773</c:v>
                </c:pt>
                <c:pt idx="134">
                  <c:v>1.3714309698264442</c:v>
                </c:pt>
                <c:pt idx="135">
                  <c:v>1.0895526539249616</c:v>
                </c:pt>
                <c:pt idx="136">
                  <c:v>1.1605850652682879</c:v>
                </c:pt>
                <c:pt idx="137">
                  <c:v>1.4903787129361226</c:v>
                </c:pt>
                <c:pt idx="138">
                  <c:v>1.3995998347943011</c:v>
                </c:pt>
                <c:pt idx="139">
                  <c:v>1.4954653297038225</c:v>
                </c:pt>
                <c:pt idx="140">
                  <c:v>1.2421247257802632</c:v>
                </c:pt>
                <c:pt idx="141">
                  <c:v>1.1290382156017438</c:v>
                </c:pt>
                <c:pt idx="142">
                  <c:v>1.118054357765794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71">
                  <c:v>1.2380919937878554</c:v>
                </c:pt>
                <c:pt idx="172">
                  <c:v>0.98516281921633742</c:v>
                </c:pt>
                <c:pt idx="174">
                  <c:v>0.93206382246205521</c:v>
                </c:pt>
                <c:pt idx="175">
                  <c:v>1.0324950798962937</c:v>
                </c:pt>
                <c:pt idx="176">
                  <c:v>1.4559039363893846</c:v>
                </c:pt>
                <c:pt idx="178">
                  <c:v>1.2033493663218637</c:v>
                </c:pt>
                <c:pt idx="182">
                  <c:v>1.6270397075880396</c:v>
                </c:pt>
                <c:pt idx="183">
                  <c:v>1.0787425247853666</c:v>
                </c:pt>
                <c:pt idx="184">
                  <c:v>0.864466025227837</c:v>
                </c:pt>
                <c:pt idx="185">
                  <c:v>1.1163081599228812</c:v>
                </c:pt>
                <c:pt idx="186">
                  <c:v>1.3187489627900544</c:v>
                </c:pt>
                <c:pt idx="187">
                  <c:v>1.5899976895949632</c:v>
                </c:pt>
                <c:pt idx="188">
                  <c:v>1.3244193650535829</c:v>
                </c:pt>
                <c:pt idx="189">
                  <c:v>0.96172270015417394</c:v>
                </c:pt>
                <c:pt idx="190">
                  <c:v>1.7054171816068107</c:v>
                </c:pt>
                <c:pt idx="191">
                  <c:v>1.4957640290850434</c:v>
                </c:pt>
                <c:pt idx="192">
                  <c:v>1.3582301682762954</c:v>
                </c:pt>
                <c:pt idx="194">
                  <c:v>1.1369631936734077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0.84833333333333338</c:v>
                </c:pt>
                <c:pt idx="200">
                  <c:v>1</c:v>
                </c:pt>
                <c:pt idx="201">
                  <c:v>1.0732340453544049</c:v>
                </c:pt>
                <c:pt idx="202">
                  <c:v>1.0025154962900582</c:v>
                </c:pt>
                <c:pt idx="203">
                  <c:v>1.3316690082587483</c:v>
                </c:pt>
                <c:pt idx="204">
                  <c:v>1.097611405753202</c:v>
                </c:pt>
                <c:pt idx="205">
                  <c:v>1.1737171323264513</c:v>
                </c:pt>
                <c:pt idx="206">
                  <c:v>0.98499999999999999</c:v>
                </c:pt>
                <c:pt idx="207">
                  <c:v>1.1793748514869569</c:v>
                </c:pt>
                <c:pt idx="208">
                  <c:v>1.0114255979953197</c:v>
                </c:pt>
                <c:pt idx="209">
                  <c:v>1.4143463626576895</c:v>
                </c:pt>
                <c:pt idx="210">
                  <c:v>1.1787643163301271</c:v>
                </c:pt>
                <c:pt idx="211">
                  <c:v>0.98628051473021827</c:v>
                </c:pt>
                <c:pt idx="212">
                  <c:v>0.96916666666666662</c:v>
                </c:pt>
                <c:pt idx="213">
                  <c:v>1.1078590441518625</c:v>
                </c:pt>
                <c:pt idx="214">
                  <c:v>1.0255837865554474</c:v>
                </c:pt>
                <c:pt idx="215">
                  <c:v>1.2622199993298189</c:v>
                </c:pt>
                <c:pt idx="216">
                  <c:v>1.0612133921380551</c:v>
                </c:pt>
                <c:pt idx="217">
                  <c:v>0.89800579941581282</c:v>
                </c:pt>
                <c:pt idx="218">
                  <c:v>0.88210240843168164</c:v>
                </c:pt>
                <c:pt idx="219">
                  <c:v>1.0355623876435345</c:v>
                </c:pt>
                <c:pt idx="220">
                  <c:v>0.97531366488201143</c:v>
                </c:pt>
                <c:pt idx="221">
                  <c:v>1.2275313013278444</c:v>
                </c:pt>
                <c:pt idx="222">
                  <c:v>1.0909962422431996</c:v>
                </c:pt>
                <c:pt idx="223">
                  <c:v>0.98097068748379734</c:v>
                </c:pt>
                <c:pt idx="224">
                  <c:v>1.0184221931806774</c:v>
                </c:pt>
                <c:pt idx="225">
                  <c:v>1.2076437156812905</c:v>
                </c:pt>
                <c:pt idx="226">
                  <c:v>1.026278911927931</c:v>
                </c:pt>
                <c:pt idx="227">
                  <c:v>0.95166687424883689</c:v>
                </c:pt>
                <c:pt idx="228">
                  <c:v>0.94979047422646845</c:v>
                </c:pt>
                <c:pt idx="229">
                  <c:v>1.0555684263285166</c:v>
                </c:pt>
                <c:pt idx="230">
                  <c:v>0.75449639049580097</c:v>
                </c:pt>
                <c:pt idx="231">
                  <c:v>0.85631332847185648</c:v>
                </c:pt>
                <c:pt idx="232">
                  <c:v>0.73864862864762737</c:v>
                </c:pt>
                <c:pt idx="233">
                  <c:v>1.0122595831277816</c:v>
                </c:pt>
                <c:pt idx="234">
                  <c:v>0.75738494469674067</c:v>
                </c:pt>
                <c:pt idx="235">
                  <c:v>0.98660780016235983</c:v>
                </c:pt>
                <c:pt idx="236">
                  <c:v>0.7688185795271586</c:v>
                </c:pt>
                <c:pt idx="237">
                  <c:v>0.93949066396852476</c:v>
                </c:pt>
                <c:pt idx="238">
                  <c:v>1.051317145691999</c:v>
                </c:pt>
                <c:pt idx="239">
                  <c:v>1.0428358329621183</c:v>
                </c:pt>
                <c:pt idx="240">
                  <c:v>0.90762534595970545</c:v>
                </c:pt>
                <c:pt idx="241">
                  <c:v>0.96668345094347008</c:v>
                </c:pt>
                <c:pt idx="242">
                  <c:v>0.92467198904083814</c:v>
                </c:pt>
                <c:pt idx="243">
                  <c:v>1.0457977173215069</c:v>
                </c:pt>
                <c:pt idx="244">
                  <c:v>0.98277763354811387</c:v>
                </c:pt>
                <c:pt idx="245">
                  <c:v>0.96655501262970034</c:v>
                </c:pt>
                <c:pt idx="246">
                  <c:v>0.94029242605845686</c:v>
                </c:pt>
                <c:pt idx="247">
                  <c:v>1.0210557999824699</c:v>
                </c:pt>
                <c:pt idx="248">
                  <c:v>1.0263095681968797</c:v>
                </c:pt>
                <c:pt idx="249">
                  <c:v>0.99617785069192466</c:v>
                </c:pt>
                <c:pt idx="250">
                  <c:v>1.1112596892664182</c:v>
                </c:pt>
                <c:pt idx="251">
                  <c:v>1.1281282791225913</c:v>
                </c:pt>
                <c:pt idx="252">
                  <c:v>1.3411331667214759</c:v>
                </c:pt>
                <c:pt idx="253">
                  <c:v>1.4014181325909159</c:v>
                </c:pt>
                <c:pt idx="254">
                  <c:v>1.1403447227271795</c:v>
                </c:pt>
                <c:pt idx="255">
                  <c:v>1.1667495807153807</c:v>
                </c:pt>
                <c:pt idx="256">
                  <c:v>1.3055599870590859</c:v>
                </c:pt>
                <c:pt idx="257">
                  <c:v>1.4151480032461179</c:v>
                </c:pt>
                <c:pt idx="258">
                  <c:v>1.0695354015578697</c:v>
                </c:pt>
                <c:pt idx="259">
                  <c:v>1.1086028706787405</c:v>
                </c:pt>
                <c:pt idx="260">
                  <c:v>1.2682678827222702</c:v>
                </c:pt>
                <c:pt idx="261">
                  <c:v>1.4782200012625968</c:v>
                </c:pt>
                <c:pt idx="262">
                  <c:v>0.87833333333333341</c:v>
                </c:pt>
                <c:pt idx="263">
                  <c:v>0.89214840379637628</c:v>
                </c:pt>
                <c:pt idx="264">
                  <c:v>0.95168248490077645</c:v>
                </c:pt>
                <c:pt idx="265">
                  <c:v>0.64304013454181963</c:v>
                </c:pt>
                <c:pt idx="266">
                  <c:v>0.76838286120630295</c:v>
                </c:pt>
                <c:pt idx="267">
                  <c:v>0.89552419733717004</c:v>
                </c:pt>
                <c:pt idx="268">
                  <c:v>0.7840718743477787</c:v>
                </c:pt>
                <c:pt idx="269">
                  <c:v>0.98409766607899973</c:v>
                </c:pt>
                <c:pt idx="270">
                  <c:v>1.1028377286200142</c:v>
                </c:pt>
                <c:pt idx="271">
                  <c:v>0.81958454427477145</c:v>
                </c:pt>
                <c:pt idx="272">
                  <c:v>0.86504992090891586</c:v>
                </c:pt>
                <c:pt idx="273">
                  <c:v>0.77187994815402661</c:v>
                </c:pt>
                <c:pt idx="274">
                  <c:v>0.96079814882500592</c:v>
                </c:pt>
                <c:pt idx="275">
                  <c:v>0.72179535196685451</c:v>
                </c:pt>
                <c:pt idx="276">
                  <c:v>0.90958443196571492</c:v>
                </c:pt>
                <c:pt idx="277">
                  <c:v>0.94633885858091515</c:v>
                </c:pt>
                <c:pt idx="278">
                  <c:v>0.88772695202762453</c:v>
                </c:pt>
                <c:pt idx="279">
                  <c:v>1.040321922403797</c:v>
                </c:pt>
                <c:pt idx="280">
                  <c:v>1.0201564955106805</c:v>
                </c:pt>
                <c:pt idx="281">
                  <c:v>1.1408969245623375</c:v>
                </c:pt>
                <c:pt idx="282">
                  <c:v>1.0927712921092712</c:v>
                </c:pt>
                <c:pt idx="283">
                  <c:v>1.2733735889849789</c:v>
                </c:pt>
                <c:pt idx="284">
                  <c:v>1.0374944577148659</c:v>
                </c:pt>
                <c:pt idx="285">
                  <c:v>1.0877385129806194</c:v>
                </c:pt>
                <c:pt idx="286">
                  <c:v>0.77596899224806193</c:v>
                </c:pt>
                <c:pt idx="287">
                  <c:v>0.76884181445606981</c:v>
                </c:pt>
                <c:pt idx="288">
                  <c:v>1</c:v>
                </c:pt>
                <c:pt idx="289">
                  <c:v>1.0970371571867716</c:v>
                </c:pt>
                <c:pt idx="290">
                  <c:v>0.93271114834467483</c:v>
                </c:pt>
                <c:pt idx="291">
                  <c:v>0.98191767642597505</c:v>
                </c:pt>
                <c:pt idx="292">
                  <c:v>0.92990729725452292</c:v>
                </c:pt>
                <c:pt idx="293">
                  <c:v>1.2334336233137346</c:v>
                </c:pt>
                <c:pt idx="294">
                  <c:v>0.73708254508719195</c:v>
                </c:pt>
                <c:pt idx="295">
                  <c:v>0.76475423221277683</c:v>
                </c:pt>
                <c:pt idx="296">
                  <c:v>0.80505769112623204</c:v>
                </c:pt>
                <c:pt idx="297">
                  <c:v>1.1698808414795534</c:v>
                </c:pt>
                <c:pt idx="298">
                  <c:v>0.81066942187607538</c:v>
                </c:pt>
                <c:pt idx="299">
                  <c:v>0.89753775945612424</c:v>
                </c:pt>
                <c:pt idx="300">
                  <c:v>0.89515643202731698</c:v>
                </c:pt>
                <c:pt idx="301">
                  <c:v>0.95550025830198404</c:v>
                </c:pt>
                <c:pt idx="302">
                  <c:v>1.0643352713979048</c:v>
                </c:pt>
                <c:pt idx="303">
                  <c:v>0.9161935541106252</c:v>
                </c:pt>
                <c:pt idx="304">
                  <c:v>1.0276805768179793</c:v>
                </c:pt>
                <c:pt idx="305">
                  <c:v>0.79497862339968595</c:v>
                </c:pt>
                <c:pt idx="306">
                  <c:v>1.0750809484919404</c:v>
                </c:pt>
                <c:pt idx="307">
                  <c:v>0.62319362436667958</c:v>
                </c:pt>
                <c:pt idx="308">
                  <c:v>0.96051437093285852</c:v>
                </c:pt>
                <c:pt idx="309">
                  <c:v>0.87917179348650509</c:v>
                </c:pt>
                <c:pt idx="310">
                  <c:v>1.2347092535127056</c:v>
                </c:pt>
                <c:pt idx="311">
                  <c:v>0.60184794055467938</c:v>
                </c:pt>
                <c:pt idx="312">
                  <c:v>1.0219610040497915</c:v>
                </c:pt>
                <c:pt idx="313">
                  <c:v>0.7330357782373077</c:v>
                </c:pt>
                <c:pt idx="314">
                  <c:v>1.1198131819366681</c:v>
                </c:pt>
                <c:pt idx="315">
                  <c:v>0.66486057633594775</c:v>
                </c:pt>
                <c:pt idx="316">
                  <c:v>1.0063627542062954</c:v>
                </c:pt>
                <c:pt idx="317">
                  <c:v>0.65201390875330911</c:v>
                </c:pt>
                <c:pt idx="318">
                  <c:v>0.96063482258325084</c:v>
                </c:pt>
                <c:pt idx="319">
                  <c:v>0.72042570438964904</c:v>
                </c:pt>
                <c:pt idx="320">
                  <c:v>1.1550340401026544</c:v>
                </c:pt>
                <c:pt idx="321">
                  <c:v>0.65535916327208799</c:v>
                </c:pt>
                <c:pt idx="322">
                  <c:v>1.1105084560718819</c:v>
                </c:pt>
                <c:pt idx="323">
                  <c:v>0.79874270242833545</c:v>
                </c:pt>
                <c:pt idx="324">
                  <c:v>1.023547164422965</c:v>
                </c:pt>
                <c:pt idx="325">
                  <c:v>0.85551395808440578</c:v>
                </c:pt>
                <c:pt idx="326">
                  <c:v>0.98139244277365356</c:v>
                </c:pt>
                <c:pt idx="327">
                  <c:v>0.70984876435598188</c:v>
                </c:pt>
                <c:pt idx="328">
                  <c:v>1.0481130483497585</c:v>
                </c:pt>
                <c:pt idx="329">
                  <c:v>0.90063459723224326</c:v>
                </c:pt>
                <c:pt idx="330">
                  <c:v>1.2858428339267387</c:v>
                </c:pt>
                <c:pt idx="331">
                  <c:v>0.89396556017501727</c:v>
                </c:pt>
                <c:pt idx="332">
                  <c:v>0.98338913792026705</c:v>
                </c:pt>
                <c:pt idx="333">
                  <c:v>1.036322161226584</c:v>
                </c:pt>
                <c:pt idx="334">
                  <c:v>1.3610574349331113</c:v>
                </c:pt>
                <c:pt idx="335">
                  <c:v>1.1811110675219012</c:v>
                </c:pt>
                <c:pt idx="336">
                  <c:v>0.65825114412661645</c:v>
                </c:pt>
                <c:pt idx="337">
                  <c:v>0.77378912538861899</c:v>
                </c:pt>
                <c:pt idx="338">
                  <c:v>0.75899280575539563</c:v>
                </c:pt>
                <c:pt idx="339">
                  <c:v>0.8904869210020433</c:v>
                </c:pt>
                <c:pt idx="340">
                  <c:v>0.90287769784172656</c:v>
                </c:pt>
                <c:pt idx="341">
                  <c:v>0.98498574494393953</c:v>
                </c:pt>
                <c:pt idx="342">
                  <c:v>0.96762589928057552</c:v>
                </c:pt>
                <c:pt idx="343">
                  <c:v>1</c:v>
                </c:pt>
                <c:pt idx="344">
                  <c:v>0.81191613543819985</c:v>
                </c:pt>
                <c:pt idx="345">
                  <c:v>0.9430316920738141</c:v>
                </c:pt>
                <c:pt idx="346">
                  <c:v>1.0458763223941501</c:v>
                </c:pt>
                <c:pt idx="347">
                  <c:v>0.93075915185163327</c:v>
                </c:pt>
                <c:pt idx="348">
                  <c:v>1.0597976267559761</c:v>
                </c:pt>
                <c:pt idx="349">
                  <c:v>1.4770163586145215</c:v>
                </c:pt>
                <c:pt idx="350">
                  <c:v>0.9223210736286156</c:v>
                </c:pt>
                <c:pt idx="351">
                  <c:v>1.0760378613885915</c:v>
                </c:pt>
                <c:pt idx="352">
                  <c:v>1.0622002196076112</c:v>
                </c:pt>
                <c:pt idx="353">
                  <c:v>0.68598892644176579</c:v>
                </c:pt>
                <c:pt idx="354">
                  <c:v>0.83117670323868909</c:v>
                </c:pt>
                <c:pt idx="355">
                  <c:v>0.90798285629871378</c:v>
                </c:pt>
                <c:pt idx="356">
                  <c:v>0.80065106847835565</c:v>
                </c:pt>
                <c:pt idx="357">
                  <c:v>0.91366453911512724</c:v>
                </c:pt>
                <c:pt idx="358">
                  <c:v>0.63658061415316614</c:v>
                </c:pt>
                <c:pt idx="359">
                  <c:v>0.67872485494033818</c:v>
                </c:pt>
                <c:pt idx="360">
                  <c:v>0.83340478977310528</c:v>
                </c:pt>
                <c:pt idx="361">
                  <c:v>0.61800778838527559</c:v>
                </c:pt>
                <c:pt idx="362">
                  <c:v>0.70367808719437008</c:v>
                </c:pt>
                <c:pt idx="363">
                  <c:v>0.9393306132040562</c:v>
                </c:pt>
                <c:pt idx="364">
                  <c:v>0.65027889870200761</c:v>
                </c:pt>
                <c:pt idx="365">
                  <c:v>0.95884996399514588</c:v>
                </c:pt>
                <c:pt idx="366">
                  <c:v>1.0237310466798923</c:v>
                </c:pt>
                <c:pt idx="367">
                  <c:v>0.58197921135499686</c:v>
                </c:pt>
                <c:pt idx="368">
                  <c:v>0.64761509962742803</c:v>
                </c:pt>
                <c:pt idx="369">
                  <c:v>0.80079303363680798</c:v>
                </c:pt>
                <c:pt idx="370">
                  <c:v>0.47564989032534455</c:v>
                </c:pt>
                <c:pt idx="371">
                  <c:v>0.66704150177213273</c:v>
                </c:pt>
                <c:pt idx="372">
                  <c:v>0.70702684009784134</c:v>
                </c:pt>
                <c:pt idx="373">
                  <c:v>1.0814969925658282</c:v>
                </c:pt>
                <c:pt idx="374">
                  <c:v>0.99576500752813224</c:v>
                </c:pt>
                <c:pt idx="375">
                  <c:v>0.99413885294838056</c:v>
                </c:pt>
                <c:pt idx="376">
                  <c:v>1.1394424782402843</c:v>
                </c:pt>
                <c:pt idx="377">
                  <c:v>0.67339603919552049</c:v>
                </c:pt>
                <c:pt idx="378">
                  <c:v>0.8706995887826271</c:v>
                </c:pt>
                <c:pt idx="379">
                  <c:v>1.0281950348313329</c:v>
                </c:pt>
                <c:pt idx="380">
                  <c:v>1.1970277979743196</c:v>
                </c:pt>
                <c:pt idx="381">
                  <c:v>0.75774169091366828</c:v>
                </c:pt>
                <c:pt idx="382">
                  <c:v>1.0238289667935871</c:v>
                </c:pt>
                <c:pt idx="383">
                  <c:v>0.73182258163771818</c:v>
                </c:pt>
                <c:pt idx="384">
                  <c:v>0.85256630700679548</c:v>
                </c:pt>
                <c:pt idx="385">
                  <c:v>0.99737956201403044</c:v>
                </c:pt>
                <c:pt idx="386">
                  <c:v>1.0728433505360115</c:v>
                </c:pt>
                <c:pt idx="387">
                  <c:v>1.2159686517391213</c:v>
                </c:pt>
                <c:pt idx="388">
                  <c:v>1.2091576243153148</c:v>
                </c:pt>
                <c:pt idx="389">
                  <c:v>0.79048475314469613</c:v>
                </c:pt>
                <c:pt idx="390">
                  <c:v>0.83691102883897983</c:v>
                </c:pt>
                <c:pt idx="391">
                  <c:v>1.006304469333855</c:v>
                </c:pt>
                <c:pt idx="392">
                  <c:v>1.189548271882735</c:v>
                </c:pt>
                <c:pt idx="393">
                  <c:v>1.1596127136690846</c:v>
                </c:pt>
                <c:pt idx="394">
                  <c:v>1.2217011324137843</c:v>
                </c:pt>
                <c:pt idx="395">
                  <c:v>1.3325481105008794</c:v>
                </c:pt>
                <c:pt idx="396">
                  <c:v>1.3127262358757383</c:v>
                </c:pt>
                <c:pt idx="397">
                  <c:v>1.1515856076091984</c:v>
                </c:pt>
                <c:pt idx="398">
                  <c:v>1.1740740153975369</c:v>
                </c:pt>
                <c:pt idx="399">
                  <c:v>1.2956263023911716</c:v>
                </c:pt>
                <c:pt idx="400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85-477F-9E4A-EB5B8622367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85-477F-9E4A-EB5B86223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54880"/>
        <c:axId val="126556032"/>
      </c:scatterChart>
      <c:valAx>
        <c:axId val="1265548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6032"/>
        <c:crosses val="autoZero"/>
        <c:crossBetween val="midCat"/>
      </c:valAx>
      <c:valAx>
        <c:axId val="12655603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48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headed!$CK$19:$CK$537</c:f>
              <c:numCache>
                <c:formatCode>General</c:formatCode>
                <c:ptCount val="519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50">
                  <c:v>0.96129394656467926</c:v>
                </c:pt>
                <c:pt idx="151">
                  <c:v>1.2785719938235214</c:v>
                </c:pt>
                <c:pt idx="152">
                  <c:v>1.3098915185197448</c:v>
                </c:pt>
                <c:pt idx="153">
                  <c:v>0.98353055359065744</c:v>
                </c:pt>
                <c:pt idx="154">
                  <c:v>1.1067090057702911</c:v>
                </c:pt>
                <c:pt idx="155">
                  <c:v>1.0925318620009352</c:v>
                </c:pt>
                <c:pt idx="156">
                  <c:v>1.1437168102008413</c:v>
                </c:pt>
                <c:pt idx="157">
                  <c:v>1.112459169884874</c:v>
                </c:pt>
                <c:pt idx="158">
                  <c:v>1.1206763468020458</c:v>
                </c:pt>
                <c:pt idx="159">
                  <c:v>1.285171889692756</c:v>
                </c:pt>
                <c:pt idx="160">
                  <c:v>1.1618846803400318</c:v>
                </c:pt>
                <c:pt idx="161">
                  <c:v>1.0461407976053076</c:v>
                </c:pt>
                <c:pt idx="162">
                  <c:v>0.84308759932066202</c:v>
                </c:pt>
                <c:pt idx="163">
                  <c:v>1.0360993957423605</c:v>
                </c:pt>
                <c:pt idx="164">
                  <c:v>1.2987627920477962</c:v>
                </c:pt>
                <c:pt idx="165">
                  <c:v>1.634175742192578</c:v>
                </c:pt>
                <c:pt idx="166">
                  <c:v>1.2828934748820127</c:v>
                </c:pt>
                <c:pt idx="167">
                  <c:v>1.0755836101514773</c:v>
                </c:pt>
                <c:pt idx="168">
                  <c:v>1.3714309698264442</c:v>
                </c:pt>
                <c:pt idx="169">
                  <c:v>1.0895526539249616</c:v>
                </c:pt>
                <c:pt idx="170">
                  <c:v>1.1605850652682879</c:v>
                </c:pt>
                <c:pt idx="171">
                  <c:v>1.4903787129361226</c:v>
                </c:pt>
                <c:pt idx="172">
                  <c:v>1.3995998347943011</c:v>
                </c:pt>
                <c:pt idx="173">
                  <c:v>1.4954653297038225</c:v>
                </c:pt>
                <c:pt idx="174">
                  <c:v>1.2421247257802632</c:v>
                </c:pt>
                <c:pt idx="175">
                  <c:v>1.1290382156017438</c:v>
                </c:pt>
                <c:pt idx="176">
                  <c:v>1.118054357765794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205">
                  <c:v>1.2380919937878554</c:v>
                </c:pt>
                <c:pt idx="206">
                  <c:v>0.98516281921633742</c:v>
                </c:pt>
                <c:pt idx="208">
                  <c:v>0.93206382246205521</c:v>
                </c:pt>
                <c:pt idx="209">
                  <c:v>1.0324950798962937</c:v>
                </c:pt>
                <c:pt idx="210">
                  <c:v>1.4559039363893846</c:v>
                </c:pt>
                <c:pt idx="212">
                  <c:v>1.2033493663218637</c:v>
                </c:pt>
                <c:pt idx="216">
                  <c:v>1.6270397075880396</c:v>
                </c:pt>
                <c:pt idx="217">
                  <c:v>1.0787425247853666</c:v>
                </c:pt>
                <c:pt idx="218">
                  <c:v>0.864466025227837</c:v>
                </c:pt>
                <c:pt idx="219">
                  <c:v>1.1163081599228812</c:v>
                </c:pt>
                <c:pt idx="220">
                  <c:v>1.3187489627900544</c:v>
                </c:pt>
                <c:pt idx="221">
                  <c:v>1.5899976895949632</c:v>
                </c:pt>
                <c:pt idx="222">
                  <c:v>1.3244193650535829</c:v>
                </c:pt>
                <c:pt idx="223">
                  <c:v>0.96172270015417394</c:v>
                </c:pt>
                <c:pt idx="224">
                  <c:v>1.7054171816068107</c:v>
                </c:pt>
                <c:pt idx="225">
                  <c:v>1.4957640290850434</c:v>
                </c:pt>
                <c:pt idx="226">
                  <c:v>1.3582301682762954</c:v>
                </c:pt>
                <c:pt idx="228">
                  <c:v>1.1369631936734077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0.84833333333333338</c:v>
                </c:pt>
                <c:pt idx="234">
                  <c:v>1</c:v>
                </c:pt>
                <c:pt idx="235">
                  <c:v>1.0732340453544049</c:v>
                </c:pt>
                <c:pt idx="236">
                  <c:v>1.0025154962900582</c:v>
                </c:pt>
                <c:pt idx="237">
                  <c:v>1.3316690082587483</c:v>
                </c:pt>
                <c:pt idx="238">
                  <c:v>1.097611405753202</c:v>
                </c:pt>
                <c:pt idx="239">
                  <c:v>1.1737171323264513</c:v>
                </c:pt>
                <c:pt idx="240">
                  <c:v>0.98499999999999999</c:v>
                </c:pt>
                <c:pt idx="241">
                  <c:v>1.1793748514869569</c:v>
                </c:pt>
                <c:pt idx="242">
                  <c:v>1.0114255979953197</c:v>
                </c:pt>
                <c:pt idx="243">
                  <c:v>1.4143463626576895</c:v>
                </c:pt>
                <c:pt idx="244">
                  <c:v>1.1787643163301271</c:v>
                </c:pt>
                <c:pt idx="245">
                  <c:v>0.98628051473021827</c:v>
                </c:pt>
                <c:pt idx="246">
                  <c:v>0.96916666666666662</c:v>
                </c:pt>
                <c:pt idx="247">
                  <c:v>1.1078590441518625</c:v>
                </c:pt>
                <c:pt idx="248">
                  <c:v>1.0255837865554474</c:v>
                </c:pt>
                <c:pt idx="249">
                  <c:v>1.2622199993298189</c:v>
                </c:pt>
                <c:pt idx="250">
                  <c:v>1.0612133921380551</c:v>
                </c:pt>
                <c:pt idx="251">
                  <c:v>0.89800579941581282</c:v>
                </c:pt>
                <c:pt idx="252">
                  <c:v>0.88210240843168164</c:v>
                </c:pt>
                <c:pt idx="253">
                  <c:v>1.0355623876435345</c:v>
                </c:pt>
                <c:pt idx="254">
                  <c:v>0.97531366488201143</c:v>
                </c:pt>
                <c:pt idx="255">
                  <c:v>1.2275313013278444</c:v>
                </c:pt>
                <c:pt idx="256">
                  <c:v>1.0909962422431996</c:v>
                </c:pt>
                <c:pt idx="257">
                  <c:v>0.98097068748379734</c:v>
                </c:pt>
                <c:pt idx="258">
                  <c:v>1.0184221931806774</c:v>
                </c:pt>
                <c:pt idx="259">
                  <c:v>1.2076437156812905</c:v>
                </c:pt>
                <c:pt idx="260">
                  <c:v>1.026278911927931</c:v>
                </c:pt>
                <c:pt idx="261">
                  <c:v>0.95166687424883689</c:v>
                </c:pt>
                <c:pt idx="262">
                  <c:v>0.94979047422646845</c:v>
                </c:pt>
                <c:pt idx="263">
                  <c:v>1.0555684263285166</c:v>
                </c:pt>
                <c:pt idx="264">
                  <c:v>0.75449639049580097</c:v>
                </c:pt>
                <c:pt idx="265">
                  <c:v>0.85631332847185648</c:v>
                </c:pt>
                <c:pt idx="266">
                  <c:v>0.73864862864762737</c:v>
                </c:pt>
                <c:pt idx="267">
                  <c:v>1.0122595831277816</c:v>
                </c:pt>
                <c:pt idx="268">
                  <c:v>0.75738494469674067</c:v>
                </c:pt>
                <c:pt idx="269">
                  <c:v>0.98660780016235983</c:v>
                </c:pt>
                <c:pt idx="270">
                  <c:v>0.7688185795271586</c:v>
                </c:pt>
                <c:pt idx="271">
                  <c:v>0.93949066396852476</c:v>
                </c:pt>
                <c:pt idx="272">
                  <c:v>1.051317145691999</c:v>
                </c:pt>
                <c:pt idx="273">
                  <c:v>1.0428358329621183</c:v>
                </c:pt>
                <c:pt idx="274">
                  <c:v>0.90762534595970545</c:v>
                </c:pt>
                <c:pt idx="275">
                  <c:v>0.96668345094347008</c:v>
                </c:pt>
                <c:pt idx="276">
                  <c:v>0.92467198904083814</c:v>
                </c:pt>
                <c:pt idx="277">
                  <c:v>1.0457977173215069</c:v>
                </c:pt>
                <c:pt idx="278">
                  <c:v>0.98277763354811387</c:v>
                </c:pt>
                <c:pt idx="279">
                  <c:v>0.96655501262970034</c:v>
                </c:pt>
                <c:pt idx="280">
                  <c:v>0.94029242605845686</c:v>
                </c:pt>
                <c:pt idx="281">
                  <c:v>1.0210557999824699</c:v>
                </c:pt>
                <c:pt idx="282">
                  <c:v>1.0263095681968797</c:v>
                </c:pt>
                <c:pt idx="283">
                  <c:v>0.99617785069192466</c:v>
                </c:pt>
                <c:pt idx="284">
                  <c:v>1.1112596892664182</c:v>
                </c:pt>
                <c:pt idx="285">
                  <c:v>1.1281282791225913</c:v>
                </c:pt>
                <c:pt idx="286">
                  <c:v>1.3411331667214759</c:v>
                </c:pt>
                <c:pt idx="287">
                  <c:v>1.4014181325909159</c:v>
                </c:pt>
                <c:pt idx="288">
                  <c:v>1.1403447227271795</c:v>
                </c:pt>
                <c:pt idx="289">
                  <c:v>1.1667495807153807</c:v>
                </c:pt>
                <c:pt idx="290">
                  <c:v>1.3055599870590859</c:v>
                </c:pt>
                <c:pt idx="291">
                  <c:v>1.4151480032461179</c:v>
                </c:pt>
                <c:pt idx="292">
                  <c:v>1.0695354015578697</c:v>
                </c:pt>
                <c:pt idx="293">
                  <c:v>1.1086028706787405</c:v>
                </c:pt>
                <c:pt idx="294">
                  <c:v>1.2682678827222702</c:v>
                </c:pt>
                <c:pt idx="295">
                  <c:v>1.4782200012625968</c:v>
                </c:pt>
                <c:pt idx="296">
                  <c:v>0.87833333333333341</c:v>
                </c:pt>
                <c:pt idx="297">
                  <c:v>0.89214840379637628</c:v>
                </c:pt>
                <c:pt idx="298">
                  <c:v>0.95168248490077645</c:v>
                </c:pt>
                <c:pt idx="299">
                  <c:v>0.64304013454181963</c:v>
                </c:pt>
                <c:pt idx="300">
                  <c:v>0.76838286120630295</c:v>
                </c:pt>
                <c:pt idx="301">
                  <c:v>0.89552419733717004</c:v>
                </c:pt>
                <c:pt idx="302">
                  <c:v>0.7840718743477787</c:v>
                </c:pt>
                <c:pt idx="303">
                  <c:v>0.98409766607899973</c:v>
                </c:pt>
                <c:pt idx="304">
                  <c:v>1.1028377286200142</c:v>
                </c:pt>
                <c:pt idx="305">
                  <c:v>0.81958454427477145</c:v>
                </c:pt>
                <c:pt idx="306">
                  <c:v>0.86504992090891586</c:v>
                </c:pt>
                <c:pt idx="307">
                  <c:v>0.77187994815402661</c:v>
                </c:pt>
                <c:pt idx="308">
                  <c:v>0.96079814882500592</c:v>
                </c:pt>
                <c:pt idx="309">
                  <c:v>0.72179535196685451</c:v>
                </c:pt>
                <c:pt idx="310">
                  <c:v>0.90958443196571492</c:v>
                </c:pt>
                <c:pt idx="311">
                  <c:v>0.94633885858091515</c:v>
                </c:pt>
                <c:pt idx="312">
                  <c:v>0.88772695202762453</c:v>
                </c:pt>
                <c:pt idx="313">
                  <c:v>1.040321922403797</c:v>
                </c:pt>
                <c:pt idx="314">
                  <c:v>1.0201564955106805</c:v>
                </c:pt>
                <c:pt idx="315">
                  <c:v>1.1408969245623375</c:v>
                </c:pt>
                <c:pt idx="316">
                  <c:v>1.0927712921092712</c:v>
                </c:pt>
                <c:pt idx="317">
                  <c:v>1.2733735889849789</c:v>
                </c:pt>
                <c:pt idx="318">
                  <c:v>1.0374944577148659</c:v>
                </c:pt>
                <c:pt idx="319">
                  <c:v>1.0877385129806194</c:v>
                </c:pt>
                <c:pt idx="320">
                  <c:v>0.77596899224806193</c:v>
                </c:pt>
                <c:pt idx="321">
                  <c:v>0.76884181445606981</c:v>
                </c:pt>
                <c:pt idx="322">
                  <c:v>1</c:v>
                </c:pt>
                <c:pt idx="323">
                  <c:v>1.0970371571867716</c:v>
                </c:pt>
                <c:pt idx="324">
                  <c:v>0.93271114834467483</c:v>
                </c:pt>
                <c:pt idx="325">
                  <c:v>0.98191767642597505</c:v>
                </c:pt>
                <c:pt idx="326">
                  <c:v>0.92990729725452292</c:v>
                </c:pt>
                <c:pt idx="327">
                  <c:v>1.2334336233137346</c:v>
                </c:pt>
                <c:pt idx="328">
                  <c:v>0.73708254508719195</c:v>
                </c:pt>
                <c:pt idx="329">
                  <c:v>0.76475423221277683</c:v>
                </c:pt>
                <c:pt idx="330">
                  <c:v>0.80505769112623204</c:v>
                </c:pt>
                <c:pt idx="331">
                  <c:v>1.1698808414795534</c:v>
                </c:pt>
                <c:pt idx="332">
                  <c:v>0.81066942187607538</c:v>
                </c:pt>
                <c:pt idx="333">
                  <c:v>0.89753775945612424</c:v>
                </c:pt>
                <c:pt idx="334">
                  <c:v>0.89515643202731698</c:v>
                </c:pt>
                <c:pt idx="335">
                  <c:v>0.95550025830198404</c:v>
                </c:pt>
                <c:pt idx="336">
                  <c:v>1.0643352713979048</c:v>
                </c:pt>
                <c:pt idx="337">
                  <c:v>0.9161935541106252</c:v>
                </c:pt>
                <c:pt idx="338">
                  <c:v>1.0276805768179793</c:v>
                </c:pt>
                <c:pt idx="339">
                  <c:v>0.79497862339968595</c:v>
                </c:pt>
                <c:pt idx="340">
                  <c:v>1.0750809484919404</c:v>
                </c:pt>
                <c:pt idx="341">
                  <c:v>0.62319362436667958</c:v>
                </c:pt>
                <c:pt idx="342">
                  <c:v>0.96051437093285852</c:v>
                </c:pt>
                <c:pt idx="343">
                  <c:v>0.87917179348650509</c:v>
                </c:pt>
                <c:pt idx="344">
                  <c:v>1.2347092535127056</c:v>
                </c:pt>
                <c:pt idx="345">
                  <c:v>0.60184794055467938</c:v>
                </c:pt>
                <c:pt idx="346">
                  <c:v>1.0219610040497915</c:v>
                </c:pt>
                <c:pt idx="347">
                  <c:v>0.7330357782373077</c:v>
                </c:pt>
                <c:pt idx="348">
                  <c:v>1.1198131819366681</c:v>
                </c:pt>
                <c:pt idx="349">
                  <c:v>0.66486057633594775</c:v>
                </c:pt>
                <c:pt idx="350">
                  <c:v>1.0063627542062954</c:v>
                </c:pt>
                <c:pt idx="351">
                  <c:v>0.65201390875330911</c:v>
                </c:pt>
                <c:pt idx="352">
                  <c:v>0.96063482258325084</c:v>
                </c:pt>
                <c:pt idx="353">
                  <c:v>0.72042570438964904</c:v>
                </c:pt>
                <c:pt idx="354">
                  <c:v>1.1550340401026544</c:v>
                </c:pt>
                <c:pt idx="355">
                  <c:v>0.65535916327208799</c:v>
                </c:pt>
                <c:pt idx="356">
                  <c:v>1.1105084560718819</c:v>
                </c:pt>
                <c:pt idx="357">
                  <c:v>0.79874270242833545</c:v>
                </c:pt>
                <c:pt idx="358">
                  <c:v>1.023547164422965</c:v>
                </c:pt>
                <c:pt idx="359">
                  <c:v>0.85551395808440578</c:v>
                </c:pt>
                <c:pt idx="360">
                  <c:v>0.98139244277365356</c:v>
                </c:pt>
                <c:pt idx="361">
                  <c:v>0.70984876435598188</c:v>
                </c:pt>
                <c:pt idx="362">
                  <c:v>1.0481130483497585</c:v>
                </c:pt>
                <c:pt idx="363">
                  <c:v>0.90063459723224326</c:v>
                </c:pt>
                <c:pt idx="364">
                  <c:v>1.2858428339267387</c:v>
                </c:pt>
                <c:pt idx="365">
                  <c:v>0.89396556017501727</c:v>
                </c:pt>
                <c:pt idx="366">
                  <c:v>0.98338913792026705</c:v>
                </c:pt>
                <c:pt idx="367">
                  <c:v>1.036322161226584</c:v>
                </c:pt>
                <c:pt idx="368">
                  <c:v>1.3610574349331113</c:v>
                </c:pt>
                <c:pt idx="369">
                  <c:v>1.1811110675219012</c:v>
                </c:pt>
                <c:pt idx="370">
                  <c:v>0.65825114412661645</c:v>
                </c:pt>
                <c:pt idx="371">
                  <c:v>0.77378912538861899</c:v>
                </c:pt>
                <c:pt idx="372">
                  <c:v>0.75899280575539563</c:v>
                </c:pt>
                <c:pt idx="373">
                  <c:v>0.8904869210020433</c:v>
                </c:pt>
                <c:pt idx="374">
                  <c:v>0.90287769784172656</c:v>
                </c:pt>
                <c:pt idx="375">
                  <c:v>0.98498574494393953</c:v>
                </c:pt>
                <c:pt idx="376">
                  <c:v>0.96762589928057552</c:v>
                </c:pt>
                <c:pt idx="377">
                  <c:v>1</c:v>
                </c:pt>
                <c:pt idx="378">
                  <c:v>0.81191613543819985</c:v>
                </c:pt>
                <c:pt idx="379">
                  <c:v>0.9430316920738141</c:v>
                </c:pt>
                <c:pt idx="380">
                  <c:v>1.0458763223941501</c:v>
                </c:pt>
                <c:pt idx="381">
                  <c:v>0.93075915185163327</c:v>
                </c:pt>
                <c:pt idx="382">
                  <c:v>1.0597976267559761</c:v>
                </c:pt>
                <c:pt idx="383">
                  <c:v>1.4770163586145215</c:v>
                </c:pt>
                <c:pt idx="384">
                  <c:v>0.9223210736286156</c:v>
                </c:pt>
                <c:pt idx="385">
                  <c:v>1.0760378613885915</c:v>
                </c:pt>
                <c:pt idx="386">
                  <c:v>1.0622002196076112</c:v>
                </c:pt>
                <c:pt idx="387">
                  <c:v>0.68598892644176579</c:v>
                </c:pt>
                <c:pt idx="388">
                  <c:v>0.83117670323868909</c:v>
                </c:pt>
                <c:pt idx="389">
                  <c:v>0.90798285629871378</c:v>
                </c:pt>
                <c:pt idx="390">
                  <c:v>0.80065106847835565</c:v>
                </c:pt>
                <c:pt idx="391">
                  <c:v>0.91366453911512724</c:v>
                </c:pt>
                <c:pt idx="392">
                  <c:v>0.63658061415316614</c:v>
                </c:pt>
                <c:pt idx="393">
                  <c:v>0.67872485494033818</c:v>
                </c:pt>
                <c:pt idx="394">
                  <c:v>0.83340478977310528</c:v>
                </c:pt>
                <c:pt idx="395">
                  <c:v>0.61800778838527559</c:v>
                </c:pt>
                <c:pt idx="396">
                  <c:v>0.70367808719437008</c:v>
                </c:pt>
                <c:pt idx="397">
                  <c:v>0.9393306132040562</c:v>
                </c:pt>
                <c:pt idx="398">
                  <c:v>0.65027889870200761</c:v>
                </c:pt>
                <c:pt idx="399">
                  <c:v>0.95884996399514588</c:v>
                </c:pt>
                <c:pt idx="400">
                  <c:v>1.0237310466798923</c:v>
                </c:pt>
                <c:pt idx="401">
                  <c:v>0.58197921135499686</c:v>
                </c:pt>
                <c:pt idx="402">
                  <c:v>0.64761509962742803</c:v>
                </c:pt>
                <c:pt idx="403">
                  <c:v>0.80079303363680798</c:v>
                </c:pt>
                <c:pt idx="404">
                  <c:v>0.47564989032534455</c:v>
                </c:pt>
                <c:pt idx="405">
                  <c:v>0.66704150177213273</c:v>
                </c:pt>
                <c:pt idx="406">
                  <c:v>0.70702684009784134</c:v>
                </c:pt>
                <c:pt idx="407">
                  <c:v>1.0814969925658282</c:v>
                </c:pt>
                <c:pt idx="408">
                  <c:v>0.99576500752813224</c:v>
                </c:pt>
                <c:pt idx="409">
                  <c:v>0.99413885294838056</c:v>
                </c:pt>
                <c:pt idx="410">
                  <c:v>1.1394424782402843</c:v>
                </c:pt>
                <c:pt idx="411">
                  <c:v>0.67339603919552049</c:v>
                </c:pt>
                <c:pt idx="412">
                  <c:v>0.8706995887826271</c:v>
                </c:pt>
                <c:pt idx="413">
                  <c:v>1.0281950348313329</c:v>
                </c:pt>
                <c:pt idx="414">
                  <c:v>1.1970277979743196</c:v>
                </c:pt>
                <c:pt idx="415">
                  <c:v>0.75774169091366828</c:v>
                </c:pt>
                <c:pt idx="416">
                  <c:v>1.0238289667935871</c:v>
                </c:pt>
                <c:pt idx="417">
                  <c:v>0.73182258163771818</c:v>
                </c:pt>
                <c:pt idx="418">
                  <c:v>0.85256630700679548</c:v>
                </c:pt>
                <c:pt idx="419">
                  <c:v>0.99737956201403044</c:v>
                </c:pt>
                <c:pt idx="420">
                  <c:v>1.0728433505360115</c:v>
                </c:pt>
                <c:pt idx="421">
                  <c:v>1.2159686517391213</c:v>
                </c:pt>
                <c:pt idx="422">
                  <c:v>1.2091576243153148</c:v>
                </c:pt>
                <c:pt idx="423">
                  <c:v>0.79048475314469613</c:v>
                </c:pt>
                <c:pt idx="424">
                  <c:v>0.83691102883897983</c:v>
                </c:pt>
                <c:pt idx="425">
                  <c:v>1.006304469333855</c:v>
                </c:pt>
                <c:pt idx="426">
                  <c:v>1.189548271882735</c:v>
                </c:pt>
                <c:pt idx="427">
                  <c:v>1.1596127136690846</c:v>
                </c:pt>
                <c:pt idx="428">
                  <c:v>1.2217011324137843</c:v>
                </c:pt>
                <c:pt idx="429">
                  <c:v>1.3325481105008794</c:v>
                </c:pt>
                <c:pt idx="430">
                  <c:v>1.3127262358757383</c:v>
                </c:pt>
                <c:pt idx="431">
                  <c:v>1.1515856076091984</c:v>
                </c:pt>
                <c:pt idx="432">
                  <c:v>1.1740740153975369</c:v>
                </c:pt>
                <c:pt idx="433">
                  <c:v>1.2956263023911716</c:v>
                </c:pt>
                <c:pt idx="43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3F-4B4B-ABAD-AA6443AA13C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3F-4B4B-ABAD-AA6443AA1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80224"/>
        <c:axId val="126581760"/>
      </c:scatterChart>
      <c:valAx>
        <c:axId val="126580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1760"/>
        <c:crosses val="autoZero"/>
        <c:crossBetween val="midCat"/>
      </c:valAx>
      <c:valAx>
        <c:axId val="126581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0224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headed!$CL$19:$CL$537</c:f>
              <c:numCache>
                <c:formatCode>General</c:formatCode>
                <c:ptCount val="519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50">
                  <c:v>1.0049803374710342</c:v>
                </c:pt>
                <c:pt idx="151">
                  <c:v>1.336765961716297</c:v>
                </c:pt>
                <c:pt idx="152">
                  <c:v>1.3502706830387621</c:v>
                </c:pt>
                <c:pt idx="153">
                  <c:v>1.0412218156152346</c:v>
                </c:pt>
                <c:pt idx="154">
                  <c:v>1.1716971921552939</c:v>
                </c:pt>
                <c:pt idx="155">
                  <c:v>1.131898315070766</c:v>
                </c:pt>
                <c:pt idx="156">
                  <c:v>1.1972859454860088</c:v>
                </c:pt>
                <c:pt idx="157">
                  <c:v>1.1825979304836267</c:v>
                </c:pt>
                <c:pt idx="158">
                  <c:v>1.1802441564682067</c:v>
                </c:pt>
                <c:pt idx="159">
                  <c:v>1.3701259564751176</c:v>
                </c:pt>
                <c:pt idx="160">
                  <c:v>1.2158256317980205</c:v>
                </c:pt>
                <c:pt idx="161">
                  <c:v>1.1078654557321155</c:v>
                </c:pt>
                <c:pt idx="162">
                  <c:v>0.88558461738800009</c:v>
                </c:pt>
                <c:pt idx="163">
                  <c:v>1.0971269956239666</c:v>
                </c:pt>
                <c:pt idx="164">
                  <c:v>1.3493245422364921</c:v>
                </c:pt>
                <c:pt idx="165">
                  <c:v>1.6978913823018422</c:v>
                </c:pt>
                <c:pt idx="166">
                  <c:v>1.3095784928162608</c:v>
                </c:pt>
                <c:pt idx="167">
                  <c:v>1.1362985571149462</c:v>
                </c:pt>
                <c:pt idx="168">
                  <c:v>1.4489090299456451</c:v>
                </c:pt>
                <c:pt idx="169">
                  <c:v>1.1264315123772384</c:v>
                </c:pt>
                <c:pt idx="170">
                  <c:v>1.250702910301895</c:v>
                </c:pt>
                <c:pt idx="171">
                  <c:v>1.6061312508358303</c:v>
                </c:pt>
                <c:pt idx="172">
                  <c:v>1.5076213914643732</c:v>
                </c:pt>
                <c:pt idx="173">
                  <c:v>1.6116129274598434</c:v>
                </c:pt>
                <c:pt idx="174">
                  <c:v>1.353732099805089</c:v>
                </c:pt>
                <c:pt idx="175">
                  <c:v>1.2140631955584191</c:v>
                </c:pt>
                <c:pt idx="176">
                  <c:v>1.2142589675863487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205">
                  <c:v>1.3383380886118024</c:v>
                </c:pt>
                <c:pt idx="206">
                  <c:v>1.0667341823935248</c:v>
                </c:pt>
                <c:pt idx="208">
                  <c:v>0.96123910886210173</c:v>
                </c:pt>
                <c:pt idx="209">
                  <c:v>1.0800473563193289</c:v>
                </c:pt>
                <c:pt idx="210">
                  <c:v>1.5688980242628909</c:v>
                </c:pt>
                <c:pt idx="212">
                  <c:v>1.3081102480693489</c:v>
                </c:pt>
                <c:pt idx="216">
                  <c:v>1.6772269266410664</c:v>
                </c:pt>
                <c:pt idx="217">
                  <c:v>1.1150394683014302</c:v>
                </c:pt>
                <c:pt idx="218">
                  <c:v>0.93601937017964099</c:v>
                </c:pt>
                <c:pt idx="219">
                  <c:v>1.2119877238401617</c:v>
                </c:pt>
                <c:pt idx="220">
                  <c:v>1.4335498222786425</c:v>
                </c:pt>
                <c:pt idx="221">
                  <c:v>1.7241744032031006</c:v>
                </c:pt>
                <c:pt idx="222">
                  <c:v>1.4709966291791812</c:v>
                </c:pt>
                <c:pt idx="223">
                  <c:v>1.024630490427666</c:v>
                </c:pt>
                <c:pt idx="224">
                  <c:v>1.7084704294313242</c:v>
                </c:pt>
                <c:pt idx="225">
                  <c:v>1.5425351929470028</c:v>
                </c:pt>
                <c:pt idx="226">
                  <c:v>1.4530735737887628</c:v>
                </c:pt>
                <c:pt idx="228">
                  <c:v>1.162098744070923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0.91851247644247092</c:v>
                </c:pt>
                <c:pt idx="234">
                  <c:v>1</c:v>
                </c:pt>
                <c:pt idx="235">
                  <c:v>1.1669913938500407</c:v>
                </c:pt>
                <c:pt idx="236">
                  <c:v>1.0958321519136152</c:v>
                </c:pt>
                <c:pt idx="237">
                  <c:v>1.4482630142707176</c:v>
                </c:pt>
                <c:pt idx="238">
                  <c:v>1.2065212017848979</c:v>
                </c:pt>
                <c:pt idx="239">
                  <c:v>1.2638608456589822</c:v>
                </c:pt>
                <c:pt idx="240">
                  <c:v>1.0429653107588621</c:v>
                </c:pt>
                <c:pt idx="241">
                  <c:v>1.267632927019867</c:v>
                </c:pt>
                <c:pt idx="242">
                  <c:v>1.0864732280294513</c:v>
                </c:pt>
                <c:pt idx="243">
                  <c:v>1.5147236131087898</c:v>
                </c:pt>
                <c:pt idx="244">
                  <c:v>1.2694084672363284</c:v>
                </c:pt>
                <c:pt idx="245">
                  <c:v>1.0591467407093387</c:v>
                </c:pt>
                <c:pt idx="246">
                  <c:v>0.99943469121787187</c:v>
                </c:pt>
                <c:pt idx="247">
                  <c:v>1.1787430355325779</c:v>
                </c:pt>
                <c:pt idx="248">
                  <c:v>1.0953486974677027</c:v>
                </c:pt>
                <c:pt idx="249">
                  <c:v>1.3410351127446876</c:v>
                </c:pt>
                <c:pt idx="250">
                  <c:v>1.1378780950693508</c:v>
                </c:pt>
                <c:pt idx="251">
                  <c:v>0.94606036381909953</c:v>
                </c:pt>
                <c:pt idx="252">
                  <c:v>0.9280417512964777</c:v>
                </c:pt>
                <c:pt idx="253">
                  <c:v>1.0537522781326267</c:v>
                </c:pt>
                <c:pt idx="254">
                  <c:v>0.99104241411838778</c:v>
                </c:pt>
                <c:pt idx="255">
                  <c:v>1.246854111705707</c:v>
                </c:pt>
                <c:pt idx="256">
                  <c:v>1.1108598911062268</c:v>
                </c:pt>
                <c:pt idx="257">
                  <c:v>1.0069882788145434</c:v>
                </c:pt>
                <c:pt idx="258">
                  <c:v>1.0429659273597731</c:v>
                </c:pt>
                <c:pt idx="259">
                  <c:v>1.2415241895472264</c:v>
                </c:pt>
                <c:pt idx="260">
                  <c:v>1.0607370982090985</c:v>
                </c:pt>
                <c:pt idx="261">
                  <c:v>0.98254513569119484</c:v>
                </c:pt>
                <c:pt idx="262">
                  <c:v>0.97651110382324768</c:v>
                </c:pt>
                <c:pt idx="263">
                  <c:v>1.0887563493315389</c:v>
                </c:pt>
                <c:pt idx="264">
                  <c:v>0.78300596637240216</c:v>
                </c:pt>
                <c:pt idx="265">
                  <c:v>0.88968810745173232</c:v>
                </c:pt>
                <c:pt idx="266">
                  <c:v>0.74214693971252432</c:v>
                </c:pt>
                <c:pt idx="267">
                  <c:v>1.015645214075779</c:v>
                </c:pt>
                <c:pt idx="268">
                  <c:v>0.76591341717817985</c:v>
                </c:pt>
                <c:pt idx="269">
                  <c:v>0.99490267950518141</c:v>
                </c:pt>
                <c:pt idx="270">
                  <c:v>0.782670244439856</c:v>
                </c:pt>
                <c:pt idx="271">
                  <c:v>0.95490274844904621</c:v>
                </c:pt>
                <c:pt idx="272">
                  <c:v>1.10521720654621</c:v>
                </c:pt>
                <c:pt idx="273">
                  <c:v>1.1039912468916053</c:v>
                </c:pt>
                <c:pt idx="274">
                  <c:v>0.97146948096887209</c:v>
                </c:pt>
                <c:pt idx="275">
                  <c:v>1.0425960964081298</c:v>
                </c:pt>
                <c:pt idx="276">
                  <c:v>0.96545639129394512</c:v>
                </c:pt>
                <c:pt idx="277">
                  <c:v>1.1029753689711439</c:v>
                </c:pt>
                <c:pt idx="278">
                  <c:v>1.0443012016693149</c:v>
                </c:pt>
                <c:pt idx="279">
                  <c:v>1.035801217585661</c:v>
                </c:pt>
                <c:pt idx="280">
                  <c:v>0.97511909646297612</c:v>
                </c:pt>
                <c:pt idx="281">
                  <c:v>1.0745054096439952</c:v>
                </c:pt>
                <c:pt idx="282">
                  <c:v>1.0849879495526928</c:v>
                </c:pt>
                <c:pt idx="283">
                  <c:v>1.0658353776281775</c:v>
                </c:pt>
                <c:pt idx="284">
                  <c:v>1.164038324517964</c:v>
                </c:pt>
                <c:pt idx="285">
                  <c:v>1.1851863092498804</c:v>
                </c:pt>
                <c:pt idx="286">
                  <c:v>1.4000927741086981</c:v>
                </c:pt>
                <c:pt idx="287">
                  <c:v>1.4707672066107018</c:v>
                </c:pt>
                <c:pt idx="288">
                  <c:v>1.1693024959062237</c:v>
                </c:pt>
                <c:pt idx="289">
                  <c:v>1.1994142932326093</c:v>
                </c:pt>
                <c:pt idx="290">
                  <c:v>1.3354151143487145</c:v>
                </c:pt>
                <c:pt idx="291">
                  <c:v>1.4489801776685771</c:v>
                </c:pt>
                <c:pt idx="292">
                  <c:v>1.0759579072343315</c:v>
                </c:pt>
                <c:pt idx="293">
                  <c:v>1.1152914305964363</c:v>
                </c:pt>
                <c:pt idx="294">
                  <c:v>1.2732119156908908</c:v>
                </c:pt>
                <c:pt idx="295">
                  <c:v>1.486801599498017</c:v>
                </c:pt>
                <c:pt idx="296">
                  <c:v>0.87833333333333341</c:v>
                </c:pt>
                <c:pt idx="297">
                  <c:v>0.89214840379637628</c:v>
                </c:pt>
                <c:pt idx="298">
                  <c:v>0.95168248490077645</c:v>
                </c:pt>
                <c:pt idx="299">
                  <c:v>0.65440646347147291</c:v>
                </c:pt>
                <c:pt idx="300">
                  <c:v>0.74645745582544709</c:v>
                </c:pt>
                <c:pt idx="301">
                  <c:v>0.86626402070750652</c:v>
                </c:pt>
                <c:pt idx="302">
                  <c:v>0.78909154398737613</c:v>
                </c:pt>
                <c:pt idx="303">
                  <c:v>0.93712665612600687</c:v>
                </c:pt>
                <c:pt idx="304">
                  <c:v>1.0095343957325076</c:v>
                </c:pt>
                <c:pt idx="305">
                  <c:v>0.82535245957938552</c:v>
                </c:pt>
                <c:pt idx="306">
                  <c:v>0.87025939203289582</c:v>
                </c:pt>
                <c:pt idx="307">
                  <c:v>0.74722430214469848</c:v>
                </c:pt>
                <c:pt idx="308">
                  <c:v>0.93212965513993562</c:v>
                </c:pt>
                <c:pt idx="309">
                  <c:v>0.70351864336481917</c:v>
                </c:pt>
                <c:pt idx="310">
                  <c:v>0.88584801505264343</c:v>
                </c:pt>
                <c:pt idx="311">
                  <c:v>0.93461795122954905</c:v>
                </c:pt>
                <c:pt idx="312">
                  <c:v>0.8760822339448866</c:v>
                </c:pt>
                <c:pt idx="313">
                  <c:v>1.0546620803021731</c:v>
                </c:pt>
                <c:pt idx="314">
                  <c:v>1.0088869571220103</c:v>
                </c:pt>
                <c:pt idx="315">
                  <c:v>1.127721019295898</c:v>
                </c:pt>
                <c:pt idx="316">
                  <c:v>1.0815801265431821</c:v>
                </c:pt>
                <c:pt idx="317">
                  <c:v>1.2575697339160365</c:v>
                </c:pt>
                <c:pt idx="318">
                  <c:v>1.0377227912290949</c:v>
                </c:pt>
                <c:pt idx="319">
                  <c:v>1.0851045143939175</c:v>
                </c:pt>
                <c:pt idx="320">
                  <c:v>0.78234204586737066</c:v>
                </c:pt>
                <c:pt idx="321">
                  <c:v>0.76733459610941368</c:v>
                </c:pt>
                <c:pt idx="322">
                  <c:v>1.0136499429452763</c:v>
                </c:pt>
                <c:pt idx="323">
                  <c:v>1.0886125437537382</c:v>
                </c:pt>
                <c:pt idx="324">
                  <c:v>0.94794472349162318</c:v>
                </c:pt>
                <c:pt idx="325">
                  <c:v>0.95810293219723919</c:v>
                </c:pt>
                <c:pt idx="326">
                  <c:v>0.94032104183423759</c:v>
                </c:pt>
                <c:pt idx="327">
                  <c:v>1.1917519000638892</c:v>
                </c:pt>
                <c:pt idx="328">
                  <c:v>0.73918547860307671</c:v>
                </c:pt>
                <c:pt idx="329">
                  <c:v>0.73435132953628823</c:v>
                </c:pt>
                <c:pt idx="330">
                  <c:v>0.80046699672781108</c:v>
                </c:pt>
                <c:pt idx="331">
                  <c:v>1.1085878003695551</c:v>
                </c:pt>
                <c:pt idx="332">
                  <c:v>0.85520549534192214</c:v>
                </c:pt>
                <c:pt idx="333">
                  <c:v>0.94115541649385537</c:v>
                </c:pt>
                <c:pt idx="334">
                  <c:v>0.93310480003574625</c:v>
                </c:pt>
                <c:pt idx="335">
                  <c:v>0.98697622127594653</c:v>
                </c:pt>
                <c:pt idx="336">
                  <c:v>1.0864891795569402</c:v>
                </c:pt>
                <c:pt idx="337">
                  <c:v>0.96674260066309403</c:v>
                </c:pt>
                <c:pt idx="338">
                  <c:v>1.0879820523592281</c:v>
                </c:pt>
                <c:pt idx="339">
                  <c:v>0.82233348350740842</c:v>
                </c:pt>
                <c:pt idx="340">
                  <c:v>1.1130622636058647</c:v>
                </c:pt>
                <c:pt idx="341">
                  <c:v>0.63480838312555887</c:v>
                </c:pt>
                <c:pt idx="342">
                  <c:v>0.97995058160380566</c:v>
                </c:pt>
                <c:pt idx="343">
                  <c:v>0.90003950832799662</c:v>
                </c:pt>
                <c:pt idx="344">
                  <c:v>1.2625217719196895</c:v>
                </c:pt>
                <c:pt idx="345">
                  <c:v>0.63292489521379602</c:v>
                </c:pt>
                <c:pt idx="346">
                  <c:v>1.0771457263688171</c:v>
                </c:pt>
                <c:pt idx="347">
                  <c:v>0.73924512696546085</c:v>
                </c:pt>
                <c:pt idx="348">
                  <c:v>1.1248507186141501</c:v>
                </c:pt>
                <c:pt idx="349">
                  <c:v>0.68467739710453912</c:v>
                </c:pt>
                <c:pt idx="350">
                  <c:v>1.0359680488784047</c:v>
                </c:pt>
                <c:pt idx="351">
                  <c:v>0.67868729013532503</c:v>
                </c:pt>
                <c:pt idx="352">
                  <c:v>1.0002692328949259</c:v>
                </c:pt>
                <c:pt idx="353">
                  <c:v>0.72633374341804824</c:v>
                </c:pt>
                <c:pt idx="354">
                  <c:v>1.1618512131976952</c:v>
                </c:pt>
                <c:pt idx="355">
                  <c:v>0.63898823880641586</c:v>
                </c:pt>
                <c:pt idx="356">
                  <c:v>1.0767191342865152</c:v>
                </c:pt>
                <c:pt idx="357">
                  <c:v>0.75400013200926497</c:v>
                </c:pt>
                <c:pt idx="358">
                  <c:v>0.95972228420837502</c:v>
                </c:pt>
                <c:pt idx="359">
                  <c:v>0.89951817016281221</c:v>
                </c:pt>
                <c:pt idx="360">
                  <c:v>0.97894457082747688</c:v>
                </c:pt>
                <c:pt idx="361">
                  <c:v>0.74462905197182427</c:v>
                </c:pt>
                <c:pt idx="362">
                  <c:v>1.0414859751276166</c:v>
                </c:pt>
                <c:pt idx="363">
                  <c:v>0.94846759987164653</c:v>
                </c:pt>
                <c:pt idx="364">
                  <c:v>1.2792539211145848</c:v>
                </c:pt>
                <c:pt idx="365">
                  <c:v>0.95692750390543657</c:v>
                </c:pt>
                <c:pt idx="366">
                  <c:v>1.000825177613299</c:v>
                </c:pt>
                <c:pt idx="367">
                  <c:v>1.1093102722998569</c:v>
                </c:pt>
                <c:pt idx="368">
                  <c:v>1.3796539954432834</c:v>
                </c:pt>
                <c:pt idx="369">
                  <c:v>1.2648314968012164</c:v>
                </c:pt>
                <c:pt idx="370">
                  <c:v>0.67646352686461653</c:v>
                </c:pt>
                <c:pt idx="371">
                  <c:v>0.75051026424073697</c:v>
                </c:pt>
                <c:pt idx="372">
                  <c:v>0.77281597321579087</c:v>
                </c:pt>
                <c:pt idx="373">
                  <c:v>0.86413021470864393</c:v>
                </c:pt>
                <c:pt idx="374">
                  <c:v>0.91208253125064931</c:v>
                </c:pt>
                <c:pt idx="375">
                  <c:v>0.95614243505191698</c:v>
                </c:pt>
                <c:pt idx="376">
                  <c:v>0.96762589928057552</c:v>
                </c:pt>
                <c:pt idx="377">
                  <c:v>1</c:v>
                </c:pt>
                <c:pt idx="378">
                  <c:v>0.82625634412902194</c:v>
                </c:pt>
                <c:pt idx="379">
                  <c:v>0.9601139047349182</c:v>
                </c:pt>
                <c:pt idx="380">
                  <c:v>1.0627262740118579</c:v>
                </c:pt>
                <c:pt idx="381">
                  <c:v>0.93527480684988118</c:v>
                </c:pt>
                <c:pt idx="382">
                  <c:v>1.0625500982773062</c:v>
                </c:pt>
                <c:pt idx="383">
                  <c:v>1.4822322141280799</c:v>
                </c:pt>
                <c:pt idx="384">
                  <c:v>1.0182198876788391</c:v>
                </c:pt>
                <c:pt idx="385">
                  <c:v>1.1905256945812908</c:v>
                </c:pt>
                <c:pt idx="386">
                  <c:v>1.1753055919076683</c:v>
                </c:pt>
                <c:pt idx="387">
                  <c:v>0.74669552116938287</c:v>
                </c:pt>
                <c:pt idx="388">
                  <c:v>0.90336797784402101</c:v>
                </c:pt>
                <c:pt idx="389">
                  <c:v>0.99108586662496612</c:v>
                </c:pt>
                <c:pt idx="390">
                  <c:v>0.8348184273807373</c:v>
                </c:pt>
                <c:pt idx="391">
                  <c:v>0.95553229503146886</c:v>
                </c:pt>
                <c:pt idx="392">
                  <c:v>0.67335839175112699</c:v>
                </c:pt>
                <c:pt idx="393">
                  <c:v>0.69192281388318311</c:v>
                </c:pt>
                <c:pt idx="394">
                  <c:v>0.84853134899852589</c:v>
                </c:pt>
                <c:pt idx="395">
                  <c:v>0.6648035989042731</c:v>
                </c:pt>
                <c:pt idx="396">
                  <c:v>0.72846501506533778</c:v>
                </c:pt>
                <c:pt idx="397">
                  <c:v>1.0134345640672162</c:v>
                </c:pt>
                <c:pt idx="398">
                  <c:v>0.67317534853537886</c:v>
                </c:pt>
                <c:pt idx="399">
                  <c:v>1.0383544149159285</c:v>
                </c:pt>
                <c:pt idx="400">
                  <c:v>1.0615276951705674</c:v>
                </c:pt>
                <c:pt idx="401">
                  <c:v>0.61746193238869718</c:v>
                </c:pt>
                <c:pt idx="402">
                  <c:v>0.68724341538301104</c:v>
                </c:pt>
                <c:pt idx="403">
                  <c:v>0.85028063832166845</c:v>
                </c:pt>
                <c:pt idx="404">
                  <c:v>0.49532268932934714</c:v>
                </c:pt>
                <c:pt idx="405">
                  <c:v>0.69404556824261776</c:v>
                </c:pt>
                <c:pt idx="406">
                  <c:v>0.73678053201601534</c:v>
                </c:pt>
                <c:pt idx="407">
                  <c:v>1.0734511207027237</c:v>
                </c:pt>
                <c:pt idx="408">
                  <c:v>0.97228115444619168</c:v>
                </c:pt>
                <c:pt idx="409">
                  <c:v>0.98184147159351287</c:v>
                </c:pt>
                <c:pt idx="410">
                  <c:v>1.1065773777959143</c:v>
                </c:pt>
                <c:pt idx="411">
                  <c:v>0.72096580896252627</c:v>
                </c:pt>
                <c:pt idx="412">
                  <c:v>0.93377048827409681</c:v>
                </c:pt>
                <c:pt idx="413">
                  <c:v>1.1167546869959355</c:v>
                </c:pt>
                <c:pt idx="414">
                  <c:v>1.2956424138648808</c:v>
                </c:pt>
                <c:pt idx="415">
                  <c:v>0.78437925291382093</c:v>
                </c:pt>
                <c:pt idx="416">
                  <c:v>1.059782127050285</c:v>
                </c:pt>
                <c:pt idx="417">
                  <c:v>0.73718451657272832</c:v>
                </c:pt>
                <c:pt idx="418">
                  <c:v>0.85852739822939572</c:v>
                </c:pt>
                <c:pt idx="419">
                  <c:v>1.0416632154626597</c:v>
                </c:pt>
                <c:pt idx="420">
                  <c:v>1.1153119606929831</c:v>
                </c:pt>
                <c:pt idx="421">
                  <c:v>1.2692714892463186</c:v>
                </c:pt>
                <c:pt idx="422">
                  <c:v>1.2571639757274684</c:v>
                </c:pt>
                <c:pt idx="423">
                  <c:v>0.8085349544542425</c:v>
                </c:pt>
                <c:pt idx="424">
                  <c:v>0.85080970194489203</c:v>
                </c:pt>
                <c:pt idx="425">
                  <c:v>1.0293844757547645</c:v>
                </c:pt>
                <c:pt idx="426">
                  <c:v>1.2091353781823571</c:v>
                </c:pt>
                <c:pt idx="427">
                  <c:v>1.2582112350998493</c:v>
                </c:pt>
                <c:pt idx="428">
                  <c:v>1.3026075869753657</c:v>
                </c:pt>
                <c:pt idx="429">
                  <c:v>1.4455193526381414</c:v>
                </c:pt>
                <c:pt idx="430">
                  <c:v>1.3999644400429421</c:v>
                </c:pt>
                <c:pt idx="431">
                  <c:v>1.2264020383181997</c:v>
                </c:pt>
                <c:pt idx="432">
                  <c:v>1.2265000402860071</c:v>
                </c:pt>
                <c:pt idx="433">
                  <c:v>1.3786937883911297</c:v>
                </c:pt>
                <c:pt idx="434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AC-496B-88B5-306D076DE97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AC-496B-88B5-306D076DE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97760"/>
        <c:axId val="126607744"/>
      </c:scatterChart>
      <c:valAx>
        <c:axId val="12659776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607744"/>
        <c:crosses val="autoZero"/>
        <c:crossBetween val="midCat"/>
      </c:valAx>
      <c:valAx>
        <c:axId val="126607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9776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headed!$CM$105:$CM$153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1.5566949833453998</c:v>
                </c:pt>
                <c:pt idx="44">
                  <c:v>1.5946717872855112</c:v>
                </c:pt>
                <c:pt idx="45">
                  <c:v>1.3052086433254757</c:v>
                </c:pt>
                <c:pt idx="46">
                  <c:v>1.4556328942092587</c:v>
                </c:pt>
                <c:pt idx="47">
                  <c:v>1.259499751488431</c:v>
                </c:pt>
                <c:pt idx="48">
                  <c:v>1.249185320570019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C0-4435-99F4-B633F779738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C0-4435-99F4-B633F7797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82304"/>
        <c:axId val="131683840"/>
      </c:scatterChart>
      <c:valAx>
        <c:axId val="1316823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3840"/>
        <c:crosses val="autoZero"/>
        <c:crossBetween val="midCat"/>
      </c:valAx>
      <c:valAx>
        <c:axId val="13168384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23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headed!$CI$169:$CI$578</c:f>
              <c:numCache>
                <c:formatCode>General</c:formatCode>
                <c:ptCount val="4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0</c:v>
                </c:pt>
                <c:pt idx="56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2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58-4B02-882D-97CB45022FA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58-4B02-882D-97CB45022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16224"/>
        <c:axId val="131717760"/>
      </c:scatterChart>
      <c:valAx>
        <c:axId val="131716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7760"/>
        <c:crosses val="autoZero"/>
        <c:crossBetween val="midCat"/>
      </c:valAx>
      <c:valAx>
        <c:axId val="131717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622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headed!$CS$156:$CS$195</c:f>
              <c:numCache>
                <c:formatCode>General</c:formatCode>
                <c:ptCount val="40"/>
                <c:pt idx="13">
                  <c:v>0.96129394656467926</c:v>
                </c:pt>
                <c:pt idx="15">
                  <c:v>1.3098915185197448</c:v>
                </c:pt>
                <c:pt idx="16">
                  <c:v>0.98353055359065744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3">
                  <c:v>1.1618846803400318</c:v>
                </c:pt>
                <c:pt idx="24">
                  <c:v>1.0461407976053076</c:v>
                </c:pt>
                <c:pt idx="27">
                  <c:v>1.2987627920477962</c:v>
                </c:pt>
                <c:pt idx="29">
                  <c:v>1.2828934748820127</c:v>
                </c:pt>
                <c:pt idx="30">
                  <c:v>1.0755836101514773</c:v>
                </c:pt>
                <c:pt idx="32">
                  <c:v>1.0895526539249616</c:v>
                </c:pt>
                <c:pt idx="33">
                  <c:v>1.1605850652682879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2C-4437-88B1-E9BA83C1AD5D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headed!$CY$156:$CY$195</c:f>
              <c:numCache>
                <c:formatCode>General</c:formatCode>
                <c:ptCount val="40"/>
                <c:pt idx="14">
                  <c:v>1.2785719938235214</c:v>
                </c:pt>
                <c:pt idx="17">
                  <c:v>1.1067090057702911</c:v>
                </c:pt>
                <c:pt idx="21">
                  <c:v>1.1206763468020458</c:v>
                </c:pt>
                <c:pt idx="22">
                  <c:v>1.285171889692756</c:v>
                </c:pt>
                <c:pt idx="25">
                  <c:v>0.84308759932066202</c:v>
                </c:pt>
                <c:pt idx="26">
                  <c:v>1.0360993957423605</c:v>
                </c:pt>
                <c:pt idx="28">
                  <c:v>1.634175742192578</c:v>
                </c:pt>
                <c:pt idx="31">
                  <c:v>1.3714309698264442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2C-4437-88B1-E9BA83C1AD5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headed!$CS$169:$CS$1254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2C-4437-88B1-E9BA83C1AD5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headed!$CY$169:$CY$1254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0</c:v>
                </c:pt>
                <c:pt idx="36">
                  <c:v>0</c:v>
                </c:pt>
                <c:pt idx="43">
                  <c:v>0</c:v>
                </c:pt>
                <c:pt idx="44">
                  <c:v>0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2C-4437-88B1-E9BA83C1AD5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2C-4437-88B1-E9BA83C1A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6592"/>
        <c:axId val="131648128"/>
      </c:scatterChart>
      <c:valAx>
        <c:axId val="1316465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8128"/>
        <c:crosses val="autoZero"/>
        <c:crossBetween val="midCat"/>
      </c:valAx>
      <c:valAx>
        <c:axId val="1316481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65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22" l="0.70000000000000062" r="0.70000000000000062" t="0.75000000000000822" header="0.30000000000000032" footer="0.3000000000000003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headed!$CM$169:$CM$578</c:f>
              <c:numCache>
                <c:formatCode>General</c:formatCode>
                <c:ptCount val="410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1.6810691019807604</c:v>
                </c:pt>
                <c:pt idx="11">
                  <c:v>1.4271453774857643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1.9012666169183468</c:v>
                </c:pt>
                <c:pt idx="15">
                  <c:v>1.5788211461636792</c:v>
                </c:pt>
                <c:pt idx="16">
                  <c:v>2.0407929363744293</c:v>
                </c:pt>
                <c:pt idx="17">
                  <c:v>1.4623814188213276</c:v>
                </c:pt>
                <c:pt idx="18">
                  <c:v>1.2315922030510305</c:v>
                </c:pt>
                <c:pt idx="19">
                  <c:v>1.6032963421957998</c:v>
                </c:pt>
                <c:pt idx="20">
                  <c:v>1.4282123621188205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1.8963655360936886</c:v>
                </c:pt>
                <c:pt idx="56">
                  <c:v>1.5115148831805576</c:v>
                </c:pt>
                <c:pt idx="58">
                  <c:v>1.08971818573285</c:v>
                </c:pt>
                <c:pt idx="59">
                  <c:v>1.4378533266448839</c:v>
                </c:pt>
                <c:pt idx="60">
                  <c:v>1.468755792642539</c:v>
                </c:pt>
                <c:pt idx="62">
                  <c:v>1.805476112010334</c:v>
                </c:pt>
                <c:pt idx="66">
                  <c:v>2.5947732797879901</c:v>
                </c:pt>
                <c:pt idx="67">
                  <c:v>1.5950411881888569</c:v>
                </c:pt>
                <c:pt idx="68">
                  <c:v>1.338956593754866</c:v>
                </c:pt>
                <c:pt idx="69">
                  <c:v>1.6929650308865152</c:v>
                </c:pt>
                <c:pt idx="70">
                  <c:v>1.9887430163203406</c:v>
                </c:pt>
                <c:pt idx="71">
                  <c:v>1.5581202263866585</c:v>
                </c:pt>
                <c:pt idx="72">
                  <c:v>1.832082313538461</c:v>
                </c:pt>
                <c:pt idx="73">
                  <c:v>1.5518814891149317</c:v>
                </c:pt>
                <c:pt idx="74">
                  <c:v>2.3882719091374538</c:v>
                </c:pt>
                <c:pt idx="75">
                  <c:v>2.1664445703547215</c:v>
                </c:pt>
                <c:pt idx="76">
                  <c:v>1.6860007669757939</c:v>
                </c:pt>
                <c:pt idx="78">
                  <c:v>1.6574714449565529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  <c:pt idx="84">
                  <c:v>1.1242757318376362</c:v>
                </c:pt>
                <c:pt idx="85">
                  <c:v>1.1200335813374223</c:v>
                </c:pt>
                <c:pt idx="86">
                  <c:v>1.2442613749021638</c:v>
                </c:pt>
                <c:pt idx="87">
                  <c:v>1.400091193706031</c:v>
                </c:pt>
                <c:pt idx="88">
                  <c:v>1.3452828172806048</c:v>
                </c:pt>
                <c:pt idx="89">
                  <c:v>1.3479209893794599</c:v>
                </c:pt>
                <c:pt idx="90">
                  <c:v>1.2726513426267121</c:v>
                </c:pt>
                <c:pt idx="91">
                  <c:v>1.3025245533720942</c:v>
                </c:pt>
                <c:pt idx="92">
                  <c:v>1.2673808375373148</c:v>
                </c:pt>
                <c:pt idx="93">
                  <c:v>1.5549193028146699</c:v>
                </c:pt>
                <c:pt idx="94">
                  <c:v>1.5517610994655895</c:v>
                </c:pt>
                <c:pt idx="95">
                  <c:v>1.4145986516145845</c:v>
                </c:pt>
                <c:pt idx="96">
                  <c:v>1.2305684841268119</c:v>
                </c:pt>
                <c:pt idx="97">
                  <c:v>1.2121832107334114</c:v>
                </c:pt>
                <c:pt idx="98">
                  <c:v>1.327132930109501</c:v>
                </c:pt>
                <c:pt idx="99">
                  <c:v>1.4604454373528053</c:v>
                </c:pt>
                <c:pt idx="100">
                  <c:v>1.3940506960947452</c:v>
                </c:pt>
                <c:pt idx="101">
                  <c:v>1.4542450707802723</c:v>
                </c:pt>
                <c:pt idx="102">
                  <c:v>1.3171284334108457</c:v>
                </c:pt>
                <c:pt idx="103">
                  <c:v>1.8814484318433564</c:v>
                </c:pt>
                <c:pt idx="104">
                  <c:v>1.0875170850034528</c:v>
                </c:pt>
                <c:pt idx="105">
                  <c:v>1.7132857924449365</c:v>
                </c:pt>
                <c:pt idx="106">
                  <c:v>1.1703923382083732</c:v>
                </c:pt>
                <c:pt idx="107">
                  <c:v>1.4382760123279739</c:v>
                </c:pt>
                <c:pt idx="108">
                  <c:v>1.4674396207834461</c:v>
                </c:pt>
                <c:pt idx="109">
                  <c:v>1.3339172849165912</c:v>
                </c:pt>
                <c:pt idx="110">
                  <c:v>1.8589949803999117</c:v>
                </c:pt>
                <c:pt idx="111">
                  <c:v>1.4016929584772584</c:v>
                </c:pt>
                <c:pt idx="112">
                  <c:v>1.4064662597202062</c:v>
                </c:pt>
                <c:pt idx="113">
                  <c:v>1.500601767058964</c:v>
                </c:pt>
                <c:pt idx="114">
                  <c:v>1.0809846369960703</c:v>
                </c:pt>
                <c:pt idx="115">
                  <c:v>1.130169014844719</c:v>
                </c:pt>
                <c:pt idx="116">
                  <c:v>1.4405154544410637</c:v>
                </c:pt>
                <c:pt idx="117">
                  <c:v>1.5227273061218662</c:v>
                </c:pt>
                <c:pt idx="118">
                  <c:v>1.2067087626321074</c:v>
                </c:pt>
                <c:pt idx="119">
                  <c:v>1.5537534775920558</c:v>
                </c:pt>
                <c:pt idx="120">
                  <c:v>1.2155644280465276</c:v>
                </c:pt>
                <c:pt idx="121">
                  <c:v>1.225964360942069</c:v>
                </c:pt>
                <c:pt idx="122">
                  <c:v>1.2044626549109341</c:v>
                </c:pt>
                <c:pt idx="123">
                  <c:v>1.3567777131762069</c:v>
                </c:pt>
                <c:pt idx="124">
                  <c:v>1.0565427698472931</c:v>
                </c:pt>
                <c:pt idx="125">
                  <c:v>1.0611106737887328</c:v>
                </c:pt>
                <c:pt idx="126">
                  <c:v>1.085175517695939</c:v>
                </c:pt>
                <c:pt idx="127">
                  <c:v>1.3648258889866054</c:v>
                </c:pt>
                <c:pt idx="128">
                  <c:v>1.1326402982209955</c:v>
                </c:pt>
                <c:pt idx="129">
                  <c:v>1.279120760819896</c:v>
                </c:pt>
                <c:pt idx="130">
                  <c:v>1.4158899377768372</c:v>
                </c:pt>
                <c:pt idx="131">
                  <c:v>1.4646074726472567</c:v>
                </c:pt>
                <c:pt idx="132">
                  <c:v>1.2980121403329294</c:v>
                </c:pt>
                <c:pt idx="133">
                  <c:v>1.4018980369375771</c:v>
                </c:pt>
                <c:pt idx="134">
                  <c:v>1.15289897228001</c:v>
                </c:pt>
                <c:pt idx="135">
                  <c:v>1.1926541092551828</c:v>
                </c:pt>
                <c:pt idx="136">
                  <c:v>1.3111850107642649</c:v>
                </c:pt>
                <c:pt idx="137">
                  <c:v>1.3404573544493805</c:v>
                </c:pt>
                <c:pt idx="138">
                  <c:v>1.6507806323592806</c:v>
                </c:pt>
                <c:pt idx="139">
                  <c:v>1.6904491962548411</c:v>
                </c:pt>
                <c:pt idx="140">
                  <c:v>1.2857433234217517</c:v>
                </c:pt>
                <c:pt idx="141">
                  <c:v>1.3838059891279431</c:v>
                </c:pt>
                <c:pt idx="142">
                  <c:v>1.2756690101615786</c:v>
                </c:pt>
                <c:pt idx="143">
                  <c:v>1.6536048066223732</c:v>
                </c:pt>
                <c:pt idx="144">
                  <c:v>1.5219922977142373</c:v>
                </c:pt>
                <c:pt idx="145">
                  <c:v>1.4168183015224551</c:v>
                </c:pt>
                <c:pt idx="146">
                  <c:v>1.1832182811484149</c:v>
                </c:pt>
                <c:pt idx="147">
                  <c:v>1.1607663213543273</c:v>
                </c:pt>
                <c:pt idx="148">
                  <c:v>1.213946649650911</c:v>
                </c:pt>
                <c:pt idx="149">
                  <c:v>1.0155616105585565</c:v>
                </c:pt>
                <c:pt idx="150">
                  <c:v>1.1496958567038023</c:v>
                </c:pt>
                <c:pt idx="151">
                  <c:v>1.3712468718361366</c:v>
                </c:pt>
                <c:pt idx="152">
                  <c:v>1.7084818805310933</c:v>
                </c:pt>
                <c:pt idx="153">
                  <c:v>1.9886149364652124</c:v>
                </c:pt>
                <c:pt idx="154">
                  <c:v>1.7490612046742806</c:v>
                </c:pt>
                <c:pt idx="155">
                  <c:v>1.0824061436066807</c:v>
                </c:pt>
                <c:pt idx="156">
                  <c:v>1.099511672686895</c:v>
                </c:pt>
                <c:pt idx="157">
                  <c:v>1.1308794998166836</c:v>
                </c:pt>
                <c:pt idx="158">
                  <c:v>1.1355499502132003</c:v>
                </c:pt>
                <c:pt idx="159">
                  <c:v>1.0683429748972426</c:v>
                </c:pt>
                <c:pt idx="160">
                  <c:v>1.1302150740598296</c:v>
                </c:pt>
                <c:pt idx="161">
                  <c:v>1.2855169740960342</c:v>
                </c:pt>
                <c:pt idx="162">
                  <c:v>1.0909464990682394</c:v>
                </c:pt>
                <c:pt idx="163">
                  <c:v>1.2494913437411292</c:v>
                </c:pt>
                <c:pt idx="164">
                  <c:v>1.3645897297002598</c:v>
                </c:pt>
                <c:pt idx="165">
                  <c:v>1.2431637729407938</c:v>
                </c:pt>
                <c:pt idx="166">
                  <c:v>1.4751944683659082</c:v>
                </c:pt>
                <c:pt idx="167">
                  <c:v>1.7850791723869082</c:v>
                </c:pt>
                <c:pt idx="168">
                  <c:v>1.261486403351207</c:v>
                </c:pt>
                <c:pt idx="169">
                  <c:v>1.2104901444923288</c:v>
                </c:pt>
                <c:pt idx="170">
                  <c:v>0.9500605438440255</c:v>
                </c:pt>
                <c:pt idx="171">
                  <c:v>0.93266016758314585</c:v>
                </c:pt>
                <c:pt idx="172">
                  <c:v>1.2028972243265701</c:v>
                </c:pt>
                <c:pt idx="173">
                  <c:v>1.6074371142265871</c:v>
                </c:pt>
                <c:pt idx="174">
                  <c:v>1.4291107675846266</c:v>
                </c:pt>
                <c:pt idx="175">
                  <c:v>1.7965068604388503</c:v>
                </c:pt>
                <c:pt idx="176">
                  <c:v>1.2530999155051654</c:v>
                </c:pt>
                <c:pt idx="177">
                  <c:v>1.5863282977600779</c:v>
                </c:pt>
                <c:pt idx="178">
                  <c:v>1.3651469896302668</c:v>
                </c:pt>
                <c:pt idx="179">
                  <c:v>1.0921113414829737</c:v>
                </c:pt>
                <c:pt idx="180">
                  <c:v>1.2738805592629094</c:v>
                </c:pt>
                <c:pt idx="181">
                  <c:v>1.7624587508377958</c:v>
                </c:pt>
                <c:pt idx="182">
                  <c:v>1.066177573233374</c:v>
                </c:pt>
                <c:pt idx="183">
                  <c:v>1.0960517053259571</c:v>
                </c:pt>
                <c:pt idx="184">
                  <c:v>1.1538643715615464</c:v>
                </c:pt>
                <c:pt idx="185">
                  <c:v>1.3842072343068135</c:v>
                </c:pt>
                <c:pt idx="186">
                  <c:v>1.6164798403189902</c:v>
                </c:pt>
                <c:pt idx="187">
                  <c:v>1.1020916631669231</c:v>
                </c:pt>
                <c:pt idx="188">
                  <c:v>1.1890280478040305</c:v>
                </c:pt>
                <c:pt idx="189">
                  <c:v>1.1553451423090986</c:v>
                </c:pt>
                <c:pt idx="190">
                  <c:v>1.676977781714432</c:v>
                </c:pt>
                <c:pt idx="191">
                  <c:v>1.0676265150499875</c:v>
                </c:pt>
                <c:pt idx="192">
                  <c:v>1.1117656600092876</c:v>
                </c:pt>
                <c:pt idx="193">
                  <c:v>1.2584341542185216</c:v>
                </c:pt>
                <c:pt idx="194">
                  <c:v>1.3530591037272715</c:v>
                </c:pt>
                <c:pt idx="195">
                  <c:v>0.8536087311591446</c:v>
                </c:pt>
                <c:pt idx="196">
                  <c:v>1.3047954564429862</c:v>
                </c:pt>
                <c:pt idx="197">
                  <c:v>1.0919377043810194</c:v>
                </c:pt>
                <c:pt idx="198">
                  <c:v>1.2840983524179472</c:v>
                </c:pt>
                <c:pt idx="199">
                  <c:v>1.0111147713391568</c:v>
                </c:pt>
                <c:pt idx="200">
                  <c:v>1.2490921086446241</c:v>
                </c:pt>
                <c:pt idx="201">
                  <c:v>0.90990733440606342</c:v>
                </c:pt>
                <c:pt idx="202">
                  <c:v>1.2211878714437694</c:v>
                </c:pt>
                <c:pt idx="203">
                  <c:v>0.98770988832965423</c:v>
                </c:pt>
                <c:pt idx="204">
                  <c:v>1.405758816311484</c:v>
                </c:pt>
                <c:pt idx="205">
                  <c:v>0.93991349427050186</c:v>
                </c:pt>
                <c:pt idx="206">
                  <c:v>1.3735243604164213</c:v>
                </c:pt>
                <c:pt idx="207">
                  <c:v>1.1044927574542696</c:v>
                </c:pt>
                <c:pt idx="208">
                  <c:v>1.1875804167963844</c:v>
                </c:pt>
                <c:pt idx="209">
                  <c:v>1.3853708991438167</c:v>
                </c:pt>
                <c:pt idx="210">
                  <c:v>1.4691556370667194</c:v>
                </c:pt>
                <c:pt idx="211">
                  <c:v>1.1002142240916057</c:v>
                </c:pt>
                <c:pt idx="212">
                  <c:v>1.5042537753350267</c:v>
                </c:pt>
                <c:pt idx="213">
                  <c:v>1.356754559997581</c:v>
                </c:pt>
                <c:pt idx="214">
                  <c:v>1.799506429845696</c:v>
                </c:pt>
                <c:pt idx="215">
                  <c:v>1.2598222395057197</c:v>
                </c:pt>
                <c:pt idx="216">
                  <c:v>1.3120228562170784</c:v>
                </c:pt>
                <c:pt idx="217">
                  <c:v>1.3540876305298664</c:v>
                </c:pt>
                <c:pt idx="218">
                  <c:v>1.6741983885487828</c:v>
                </c:pt>
                <c:pt idx="219">
                  <c:v>1.5380009760396056</c:v>
                </c:pt>
                <c:pt idx="220">
                  <c:v>1.3010744184441332</c:v>
                </c:pt>
                <c:pt idx="221">
                  <c:v>1.419112376432075</c:v>
                </c:pt>
                <c:pt idx="222">
                  <c:v>1.3703241283774616</c:v>
                </c:pt>
                <c:pt idx="223">
                  <c:v>1.5358700933690845</c:v>
                </c:pt>
                <c:pt idx="224">
                  <c:v>1.5953360225510751</c:v>
                </c:pt>
                <c:pt idx="225">
                  <c:v>1.6885510586641708</c:v>
                </c:pt>
                <c:pt idx="226">
                  <c:v>1.2969655123763921</c:v>
                </c:pt>
                <c:pt idx="227">
                  <c:v>1.368231571250613</c:v>
                </c:pt>
                <c:pt idx="228">
                  <c:v>1.3871339650041066</c:v>
                </c:pt>
                <c:pt idx="229">
                  <c:v>1.418561096358864</c:v>
                </c:pt>
                <c:pt idx="230">
                  <c:v>1.6217447857525504</c:v>
                </c:pt>
                <c:pt idx="231">
                  <c:v>1.5631748888459425</c:v>
                </c:pt>
                <c:pt idx="232">
                  <c:v>1.4956819971499853</c:v>
                </c:pt>
                <c:pt idx="233">
                  <c:v>2.2308393728048879</c:v>
                </c:pt>
                <c:pt idx="234">
                  <c:v>0.95053003455679075</c:v>
                </c:pt>
                <c:pt idx="235">
                  <c:v>0.96797883882138447</c:v>
                </c:pt>
                <c:pt idx="236">
                  <c:v>0.9673044426554136</c:v>
                </c:pt>
                <c:pt idx="237">
                  <c:v>0.76825652258018351</c:v>
                </c:pt>
                <c:pt idx="238">
                  <c:v>1.0055163450729336</c:v>
                </c:pt>
                <c:pt idx="239">
                  <c:v>0.90287337363807318</c:v>
                </c:pt>
                <c:pt idx="240">
                  <c:v>0.85398182075671547</c:v>
                </c:pt>
                <c:pt idx="241">
                  <c:v>0.87804597345881741</c:v>
                </c:pt>
                <c:pt idx="242">
                  <c:v>0.8312726172672158</c:v>
                </c:pt>
                <c:pt idx="243">
                  <c:v>0.86489129505352247</c:v>
                </c:pt>
                <c:pt idx="244">
                  <c:v>1.0296890870286513</c:v>
                </c:pt>
                <c:pt idx="245">
                  <c:v>0.74693440629475993</c:v>
                </c:pt>
                <c:pt idx="246">
                  <c:v>0.8275761961520568</c:v>
                </c:pt>
                <c:pt idx="247">
                  <c:v>1.0515170046860745</c:v>
                </c:pt>
                <c:pt idx="248">
                  <c:v>0.71186072951306811</c:v>
                </c:pt>
                <c:pt idx="249">
                  <c:v>1.1226686234334839</c:v>
                </c:pt>
                <c:pt idx="250">
                  <c:v>1.1445892636173558</c:v>
                </c:pt>
                <c:pt idx="251">
                  <c:v>0.72823307370272738</c:v>
                </c:pt>
                <c:pt idx="252">
                  <c:v>0.71086754061834379</c:v>
                </c:pt>
                <c:pt idx="253">
                  <c:v>1.102942521630832</c:v>
                </c:pt>
                <c:pt idx="254">
                  <c:v>0.69730791094744238</c:v>
                </c:pt>
                <c:pt idx="255">
                  <c:v>0.7718247303008392</c:v>
                </c:pt>
                <c:pt idx="256">
                  <c:v>0.8346761269586771</c:v>
                </c:pt>
                <c:pt idx="257">
                  <c:v>1.378337467570502</c:v>
                </c:pt>
                <c:pt idx="258">
                  <c:v>1.3470976313599901</c:v>
                </c:pt>
                <c:pt idx="259">
                  <c:v>1.2226871085348725</c:v>
                </c:pt>
                <c:pt idx="260">
                  <c:v>1.4480266495732195</c:v>
                </c:pt>
                <c:pt idx="261">
                  <c:v>0.80994045632785505</c:v>
                </c:pt>
                <c:pt idx="262">
                  <c:v>0.92343789210776062</c:v>
                </c:pt>
                <c:pt idx="263">
                  <c:v>1.1377445264616732</c:v>
                </c:pt>
                <c:pt idx="264">
                  <c:v>1.1621411039397247</c:v>
                </c:pt>
                <c:pt idx="265">
                  <c:v>0.83703352176496904</c:v>
                </c:pt>
                <c:pt idx="266">
                  <c:v>0.99472144636362514</c:v>
                </c:pt>
                <c:pt idx="267">
                  <c:v>0.93509962123722112</c:v>
                </c:pt>
                <c:pt idx="268">
                  <c:v>0.8900725411588033</c:v>
                </c:pt>
                <c:pt idx="269">
                  <c:v>1.2488912988332597</c:v>
                </c:pt>
                <c:pt idx="270">
                  <c:v>1.3338607110128451</c:v>
                </c:pt>
                <c:pt idx="271">
                  <c:v>1.3088116847320996</c:v>
                </c:pt>
                <c:pt idx="272">
                  <c:v>1.3330135927123574</c:v>
                </c:pt>
                <c:pt idx="273">
                  <c:v>1.1579794213606953</c:v>
                </c:pt>
                <c:pt idx="274">
                  <c:v>1.2026791278589977</c:v>
                </c:pt>
                <c:pt idx="275">
                  <c:v>1.1608850073852048</c:v>
                </c:pt>
                <c:pt idx="276">
                  <c:v>1.3841922978836163</c:v>
                </c:pt>
                <c:pt idx="277">
                  <c:v>1.2184121174982501</c:v>
                </c:pt>
                <c:pt idx="278">
                  <c:v>1.3173670073694528</c:v>
                </c:pt>
                <c:pt idx="279">
                  <c:v>1.1997735337343924</c:v>
                </c:pt>
                <c:pt idx="280">
                  <c:v>1.265578045451847</c:v>
                </c:pt>
                <c:pt idx="281">
                  <c:v>1.4332360429327682</c:v>
                </c:pt>
                <c:pt idx="282">
                  <c:v>1.495658681836104</c:v>
                </c:pt>
                <c:pt idx="283">
                  <c:v>1.255358081169357</c:v>
                </c:pt>
                <c:pt idx="284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92-49B8-A146-A76E9AD6575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92-49B8-A146-A76E9AD65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11584"/>
        <c:axId val="131825664"/>
      </c:scatterChart>
      <c:valAx>
        <c:axId val="1318115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25664"/>
        <c:crosses val="autoZero"/>
        <c:crossBetween val="midCat"/>
      </c:valAx>
      <c:valAx>
        <c:axId val="1318256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115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headed!$CS$156:$CS$195</c:f>
              <c:numCache>
                <c:formatCode>General</c:formatCode>
                <c:ptCount val="40"/>
                <c:pt idx="13">
                  <c:v>0.96129394656467926</c:v>
                </c:pt>
                <c:pt idx="15">
                  <c:v>1.3098915185197448</c:v>
                </c:pt>
                <c:pt idx="16">
                  <c:v>0.98353055359065744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3">
                  <c:v>1.1618846803400318</c:v>
                </c:pt>
                <c:pt idx="24">
                  <c:v>1.0461407976053076</c:v>
                </c:pt>
                <c:pt idx="27">
                  <c:v>1.2987627920477962</c:v>
                </c:pt>
                <c:pt idx="29">
                  <c:v>1.2828934748820127</c:v>
                </c:pt>
                <c:pt idx="30">
                  <c:v>1.0755836101514773</c:v>
                </c:pt>
                <c:pt idx="32">
                  <c:v>1.0895526539249616</c:v>
                </c:pt>
                <c:pt idx="33">
                  <c:v>1.1605850652682879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28-4187-B59B-492866B1C6D6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headed!$CY$156:$CY$195</c:f>
              <c:numCache>
                <c:formatCode>General</c:formatCode>
                <c:ptCount val="40"/>
                <c:pt idx="14">
                  <c:v>1.2785719938235214</c:v>
                </c:pt>
                <c:pt idx="17">
                  <c:v>1.1067090057702911</c:v>
                </c:pt>
                <c:pt idx="21">
                  <c:v>1.1206763468020458</c:v>
                </c:pt>
                <c:pt idx="22">
                  <c:v>1.285171889692756</c:v>
                </c:pt>
                <c:pt idx="25">
                  <c:v>0.84308759932066202</c:v>
                </c:pt>
                <c:pt idx="26">
                  <c:v>1.0360993957423605</c:v>
                </c:pt>
                <c:pt idx="28">
                  <c:v>1.634175742192578</c:v>
                </c:pt>
                <c:pt idx="31">
                  <c:v>1.3714309698264442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28-4187-B59B-492866B1C6D6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headed!$CS$169:$CS$1254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28-4187-B59B-492866B1C6D6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headed!$CY$169:$CY$1254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0</c:v>
                </c:pt>
                <c:pt idx="36">
                  <c:v>0</c:v>
                </c:pt>
                <c:pt idx="43">
                  <c:v>0</c:v>
                </c:pt>
                <c:pt idx="44">
                  <c:v>0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28-4187-B59B-492866B1C6D6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528-4187-B59B-492866B1C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60352"/>
        <c:axId val="131861888"/>
      </c:scatterChart>
      <c:valAx>
        <c:axId val="1318603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1888"/>
        <c:crosses val="autoZero"/>
        <c:crossBetween val="midCat"/>
      </c:valAx>
      <c:valAx>
        <c:axId val="1318618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03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44" l="0.70000000000000062" r="0.70000000000000062" t="0.75000000000000844" header="0.30000000000000032" footer="0.30000000000000032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9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headed!$CL$20:$CL$1278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1.0049803374710342</c:v>
                </c:pt>
                <c:pt idx="150">
                  <c:v>1.336765961716297</c:v>
                </c:pt>
                <c:pt idx="151">
                  <c:v>1.3502706830387621</c:v>
                </c:pt>
                <c:pt idx="152">
                  <c:v>1.0412218156152346</c:v>
                </c:pt>
                <c:pt idx="153">
                  <c:v>1.1716971921552939</c:v>
                </c:pt>
                <c:pt idx="154">
                  <c:v>1.131898315070766</c:v>
                </c:pt>
                <c:pt idx="155">
                  <c:v>1.1972859454860088</c:v>
                </c:pt>
                <c:pt idx="156">
                  <c:v>1.1825979304836267</c:v>
                </c:pt>
                <c:pt idx="157">
                  <c:v>1.1802441564682067</c:v>
                </c:pt>
                <c:pt idx="158">
                  <c:v>1.3701259564751176</c:v>
                </c:pt>
                <c:pt idx="159">
                  <c:v>1.2158256317980205</c:v>
                </c:pt>
                <c:pt idx="160">
                  <c:v>1.1078654557321155</c:v>
                </c:pt>
                <c:pt idx="161">
                  <c:v>0.88558461738800009</c:v>
                </c:pt>
                <c:pt idx="162">
                  <c:v>1.0971269956239666</c:v>
                </c:pt>
                <c:pt idx="163">
                  <c:v>1.3493245422364921</c:v>
                </c:pt>
                <c:pt idx="164">
                  <c:v>1.6978913823018422</c:v>
                </c:pt>
                <c:pt idx="165">
                  <c:v>1.3095784928162608</c:v>
                </c:pt>
                <c:pt idx="166">
                  <c:v>1.1362985571149462</c:v>
                </c:pt>
                <c:pt idx="167">
                  <c:v>1.4489090299456451</c:v>
                </c:pt>
                <c:pt idx="168">
                  <c:v>1.1264315123772384</c:v>
                </c:pt>
                <c:pt idx="169">
                  <c:v>1.250702910301895</c:v>
                </c:pt>
                <c:pt idx="170">
                  <c:v>1.6061312508358303</c:v>
                </c:pt>
                <c:pt idx="171">
                  <c:v>1.5076213914643732</c:v>
                </c:pt>
                <c:pt idx="172">
                  <c:v>1.6116129274598434</c:v>
                </c:pt>
                <c:pt idx="173">
                  <c:v>1.353732099805089</c:v>
                </c:pt>
                <c:pt idx="174">
                  <c:v>1.2140631955584191</c:v>
                </c:pt>
                <c:pt idx="175">
                  <c:v>1.2142589675863487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1.3383380886118024</c:v>
                </c:pt>
                <c:pt idx="205">
                  <c:v>1.0667341823935248</c:v>
                </c:pt>
                <c:pt idx="207">
                  <c:v>0.96123910886210173</c:v>
                </c:pt>
                <c:pt idx="208">
                  <c:v>1.0800473563193289</c:v>
                </c:pt>
                <c:pt idx="209">
                  <c:v>1.5688980242628909</c:v>
                </c:pt>
                <c:pt idx="211">
                  <c:v>1.3081102480693489</c:v>
                </c:pt>
                <c:pt idx="215">
                  <c:v>1.6772269266410664</c:v>
                </c:pt>
                <c:pt idx="216">
                  <c:v>1.1150394683014302</c:v>
                </c:pt>
                <c:pt idx="217">
                  <c:v>0.93601937017964099</c:v>
                </c:pt>
                <c:pt idx="218">
                  <c:v>1.2119877238401617</c:v>
                </c:pt>
                <c:pt idx="219">
                  <c:v>1.4335498222786425</c:v>
                </c:pt>
                <c:pt idx="220">
                  <c:v>1.7241744032031006</c:v>
                </c:pt>
                <c:pt idx="221">
                  <c:v>1.4709966291791812</c:v>
                </c:pt>
                <c:pt idx="222">
                  <c:v>1.024630490427666</c:v>
                </c:pt>
                <c:pt idx="223">
                  <c:v>1.7084704294313242</c:v>
                </c:pt>
                <c:pt idx="224">
                  <c:v>1.5425351929470028</c:v>
                </c:pt>
                <c:pt idx="225">
                  <c:v>1.4530735737887628</c:v>
                </c:pt>
                <c:pt idx="227">
                  <c:v>1.162098744070923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0.91851247644247092</c:v>
                </c:pt>
                <c:pt idx="233">
                  <c:v>1</c:v>
                </c:pt>
                <c:pt idx="234">
                  <c:v>1.1669913938500407</c:v>
                </c:pt>
                <c:pt idx="235">
                  <c:v>1.0958321519136152</c:v>
                </c:pt>
                <c:pt idx="236">
                  <c:v>1.4482630142707176</c:v>
                </c:pt>
                <c:pt idx="237">
                  <c:v>1.2065212017848979</c:v>
                </c:pt>
                <c:pt idx="238">
                  <c:v>1.2638608456589822</c:v>
                </c:pt>
                <c:pt idx="239">
                  <c:v>1.0429653107588621</c:v>
                </c:pt>
                <c:pt idx="240">
                  <c:v>1.267632927019867</c:v>
                </c:pt>
                <c:pt idx="241">
                  <c:v>1.0864732280294513</c:v>
                </c:pt>
                <c:pt idx="242">
                  <c:v>1.5147236131087898</c:v>
                </c:pt>
                <c:pt idx="243">
                  <c:v>1.2694084672363284</c:v>
                </c:pt>
                <c:pt idx="244">
                  <c:v>1.0591467407093387</c:v>
                </c:pt>
                <c:pt idx="245">
                  <c:v>0.99943469121787187</c:v>
                </c:pt>
                <c:pt idx="246">
                  <c:v>1.1787430355325779</c:v>
                </c:pt>
                <c:pt idx="247">
                  <c:v>1.0953486974677027</c:v>
                </c:pt>
                <c:pt idx="248">
                  <c:v>1.3410351127446876</c:v>
                </c:pt>
                <c:pt idx="249">
                  <c:v>1.1378780950693508</c:v>
                </c:pt>
                <c:pt idx="250">
                  <c:v>0.94606036381909953</c:v>
                </c:pt>
                <c:pt idx="251">
                  <c:v>0.9280417512964777</c:v>
                </c:pt>
                <c:pt idx="252">
                  <c:v>1.0537522781326267</c:v>
                </c:pt>
                <c:pt idx="253">
                  <c:v>0.99104241411838778</c:v>
                </c:pt>
                <c:pt idx="254">
                  <c:v>1.246854111705707</c:v>
                </c:pt>
                <c:pt idx="255">
                  <c:v>1.1108598911062268</c:v>
                </c:pt>
                <c:pt idx="256">
                  <c:v>1.0069882788145434</c:v>
                </c:pt>
                <c:pt idx="257">
                  <c:v>1.0429659273597731</c:v>
                </c:pt>
                <c:pt idx="258">
                  <c:v>1.2415241895472264</c:v>
                </c:pt>
                <c:pt idx="259">
                  <c:v>1.0607370982090985</c:v>
                </c:pt>
                <c:pt idx="260">
                  <c:v>0.98254513569119484</c:v>
                </c:pt>
                <c:pt idx="261">
                  <c:v>0.97651110382324768</c:v>
                </c:pt>
                <c:pt idx="262">
                  <c:v>1.0887563493315389</c:v>
                </c:pt>
                <c:pt idx="263">
                  <c:v>0.78300596637240216</c:v>
                </c:pt>
                <c:pt idx="264">
                  <c:v>0.88968810745173232</c:v>
                </c:pt>
                <c:pt idx="265">
                  <c:v>0.74214693971252432</c:v>
                </c:pt>
                <c:pt idx="266">
                  <c:v>1.015645214075779</c:v>
                </c:pt>
                <c:pt idx="267">
                  <c:v>0.76591341717817985</c:v>
                </c:pt>
                <c:pt idx="268">
                  <c:v>0.99490267950518141</c:v>
                </c:pt>
                <c:pt idx="269">
                  <c:v>0.782670244439856</c:v>
                </c:pt>
                <c:pt idx="270">
                  <c:v>0.95490274844904621</c:v>
                </c:pt>
                <c:pt idx="271">
                  <c:v>1.10521720654621</c:v>
                </c:pt>
                <c:pt idx="272">
                  <c:v>1.1039912468916053</c:v>
                </c:pt>
                <c:pt idx="273">
                  <c:v>0.97146948096887209</c:v>
                </c:pt>
                <c:pt idx="274">
                  <c:v>1.0425960964081298</c:v>
                </c:pt>
                <c:pt idx="275">
                  <c:v>0.96545639129394512</c:v>
                </c:pt>
                <c:pt idx="276">
                  <c:v>1.1029753689711439</c:v>
                </c:pt>
                <c:pt idx="277">
                  <c:v>1.0443012016693149</c:v>
                </c:pt>
                <c:pt idx="278">
                  <c:v>1.035801217585661</c:v>
                </c:pt>
                <c:pt idx="279">
                  <c:v>0.97511909646297612</c:v>
                </c:pt>
                <c:pt idx="280">
                  <c:v>1.0745054096439952</c:v>
                </c:pt>
                <c:pt idx="281">
                  <c:v>1.0849879495526928</c:v>
                </c:pt>
                <c:pt idx="282">
                  <c:v>1.0658353776281775</c:v>
                </c:pt>
                <c:pt idx="283">
                  <c:v>1.164038324517964</c:v>
                </c:pt>
                <c:pt idx="284">
                  <c:v>1.1851863092498804</c:v>
                </c:pt>
                <c:pt idx="285">
                  <c:v>1.4000927741086981</c:v>
                </c:pt>
                <c:pt idx="286">
                  <c:v>1.4707672066107018</c:v>
                </c:pt>
                <c:pt idx="287">
                  <c:v>1.1693024959062237</c:v>
                </c:pt>
                <c:pt idx="288">
                  <c:v>1.1994142932326093</c:v>
                </c:pt>
                <c:pt idx="289">
                  <c:v>1.3354151143487145</c:v>
                </c:pt>
                <c:pt idx="290">
                  <c:v>1.4489801776685771</c:v>
                </c:pt>
                <c:pt idx="291">
                  <c:v>1.0759579072343315</c:v>
                </c:pt>
                <c:pt idx="292">
                  <c:v>1.1152914305964363</c:v>
                </c:pt>
                <c:pt idx="293">
                  <c:v>1.2732119156908908</c:v>
                </c:pt>
                <c:pt idx="294">
                  <c:v>1.486801599498017</c:v>
                </c:pt>
                <c:pt idx="295">
                  <c:v>0.87833333333333341</c:v>
                </c:pt>
                <c:pt idx="296">
                  <c:v>0.89214840379637628</c:v>
                </c:pt>
                <c:pt idx="297">
                  <c:v>0.95168248490077645</c:v>
                </c:pt>
                <c:pt idx="298">
                  <c:v>0.65440646347147291</c:v>
                </c:pt>
                <c:pt idx="299">
                  <c:v>0.74645745582544709</c:v>
                </c:pt>
                <c:pt idx="300">
                  <c:v>0.86626402070750652</c:v>
                </c:pt>
                <c:pt idx="301">
                  <c:v>0.78909154398737613</c:v>
                </c:pt>
                <c:pt idx="302">
                  <c:v>0.93712665612600687</c:v>
                </c:pt>
                <c:pt idx="303">
                  <c:v>1.0095343957325076</c:v>
                </c:pt>
                <c:pt idx="304">
                  <c:v>0.82535245957938552</c:v>
                </c:pt>
                <c:pt idx="305">
                  <c:v>0.87025939203289582</c:v>
                </c:pt>
                <c:pt idx="306">
                  <c:v>0.74722430214469848</c:v>
                </c:pt>
                <c:pt idx="307">
                  <c:v>0.93212965513993562</c:v>
                </c:pt>
                <c:pt idx="308">
                  <c:v>0.70351864336481917</c:v>
                </c:pt>
                <c:pt idx="309">
                  <c:v>0.88584801505264343</c:v>
                </c:pt>
                <c:pt idx="310">
                  <c:v>0.93461795122954905</c:v>
                </c:pt>
                <c:pt idx="311">
                  <c:v>0.8760822339448866</c:v>
                </c:pt>
                <c:pt idx="312">
                  <c:v>1.0546620803021731</c:v>
                </c:pt>
                <c:pt idx="313">
                  <c:v>1.0088869571220103</c:v>
                </c:pt>
                <c:pt idx="314">
                  <c:v>1.127721019295898</c:v>
                </c:pt>
                <c:pt idx="315">
                  <c:v>1.0815801265431821</c:v>
                </c:pt>
                <c:pt idx="316">
                  <c:v>1.2575697339160365</c:v>
                </c:pt>
                <c:pt idx="317">
                  <c:v>1.0377227912290949</c:v>
                </c:pt>
                <c:pt idx="318">
                  <c:v>1.0851045143939175</c:v>
                </c:pt>
                <c:pt idx="319">
                  <c:v>0.78234204586737066</c:v>
                </c:pt>
                <c:pt idx="320">
                  <c:v>0.76733459610941368</c:v>
                </c:pt>
                <c:pt idx="321">
                  <c:v>1.0136499429452763</c:v>
                </c:pt>
                <c:pt idx="322">
                  <c:v>1.0886125437537382</c:v>
                </c:pt>
                <c:pt idx="323">
                  <c:v>0.94794472349162318</c:v>
                </c:pt>
                <c:pt idx="324">
                  <c:v>0.95810293219723919</c:v>
                </c:pt>
                <c:pt idx="325">
                  <c:v>0.94032104183423759</c:v>
                </c:pt>
                <c:pt idx="326">
                  <c:v>1.1917519000638892</c:v>
                </c:pt>
                <c:pt idx="327">
                  <c:v>0.73918547860307671</c:v>
                </c:pt>
                <c:pt idx="328">
                  <c:v>0.73435132953628823</c:v>
                </c:pt>
                <c:pt idx="329">
                  <c:v>0.80046699672781108</c:v>
                </c:pt>
                <c:pt idx="330">
                  <c:v>1.1085878003695551</c:v>
                </c:pt>
                <c:pt idx="331">
                  <c:v>0.85520549534192214</c:v>
                </c:pt>
                <c:pt idx="332">
                  <c:v>0.94115541649385537</c:v>
                </c:pt>
                <c:pt idx="333">
                  <c:v>0.93310480003574625</c:v>
                </c:pt>
                <c:pt idx="334">
                  <c:v>0.98697622127594653</c:v>
                </c:pt>
                <c:pt idx="335">
                  <c:v>1.0864891795569402</c:v>
                </c:pt>
                <c:pt idx="336">
                  <c:v>0.96674260066309403</c:v>
                </c:pt>
                <c:pt idx="337">
                  <c:v>1.0879820523592281</c:v>
                </c:pt>
                <c:pt idx="338">
                  <c:v>0.82233348350740842</c:v>
                </c:pt>
                <c:pt idx="339">
                  <c:v>1.1130622636058647</c:v>
                </c:pt>
                <c:pt idx="340">
                  <c:v>0.63480838312555887</c:v>
                </c:pt>
                <c:pt idx="341">
                  <c:v>0.97995058160380566</c:v>
                </c:pt>
                <c:pt idx="342">
                  <c:v>0.90003950832799662</c:v>
                </c:pt>
                <c:pt idx="343">
                  <c:v>1.2625217719196895</c:v>
                </c:pt>
                <c:pt idx="344">
                  <c:v>0.63292489521379602</c:v>
                </c:pt>
                <c:pt idx="345">
                  <c:v>1.0771457263688171</c:v>
                </c:pt>
                <c:pt idx="346">
                  <c:v>0.73924512696546085</c:v>
                </c:pt>
                <c:pt idx="347">
                  <c:v>1.1248507186141501</c:v>
                </c:pt>
                <c:pt idx="348">
                  <c:v>0.68467739710453912</c:v>
                </c:pt>
                <c:pt idx="349">
                  <c:v>1.0359680488784047</c:v>
                </c:pt>
                <c:pt idx="350">
                  <c:v>0.67868729013532503</c:v>
                </c:pt>
                <c:pt idx="351">
                  <c:v>1.0002692328949259</c:v>
                </c:pt>
                <c:pt idx="352">
                  <c:v>0.72633374341804824</c:v>
                </c:pt>
                <c:pt idx="353">
                  <c:v>1.1618512131976952</c:v>
                </c:pt>
                <c:pt idx="354">
                  <c:v>0.63898823880641586</c:v>
                </c:pt>
                <c:pt idx="355">
                  <c:v>1.0767191342865152</c:v>
                </c:pt>
                <c:pt idx="356">
                  <c:v>0.75400013200926497</c:v>
                </c:pt>
                <c:pt idx="357">
                  <c:v>0.95972228420837502</c:v>
                </c:pt>
                <c:pt idx="358">
                  <c:v>0.89951817016281221</c:v>
                </c:pt>
                <c:pt idx="359">
                  <c:v>0.97894457082747688</c:v>
                </c:pt>
                <c:pt idx="360">
                  <c:v>0.74462905197182427</c:v>
                </c:pt>
                <c:pt idx="361">
                  <c:v>1.0414859751276166</c:v>
                </c:pt>
                <c:pt idx="362">
                  <c:v>0.94846759987164653</c:v>
                </c:pt>
                <c:pt idx="363">
                  <c:v>1.2792539211145848</c:v>
                </c:pt>
                <c:pt idx="364">
                  <c:v>0.95692750390543657</c:v>
                </c:pt>
                <c:pt idx="365">
                  <c:v>1.000825177613299</c:v>
                </c:pt>
                <c:pt idx="366">
                  <c:v>1.1093102722998569</c:v>
                </c:pt>
                <c:pt idx="367">
                  <c:v>1.3796539954432834</c:v>
                </c:pt>
                <c:pt idx="368">
                  <c:v>1.2648314968012164</c:v>
                </c:pt>
                <c:pt idx="369">
                  <c:v>0.67646352686461653</c:v>
                </c:pt>
                <c:pt idx="370">
                  <c:v>0.75051026424073697</c:v>
                </c:pt>
                <c:pt idx="371">
                  <c:v>0.77281597321579087</c:v>
                </c:pt>
                <c:pt idx="372">
                  <c:v>0.86413021470864393</c:v>
                </c:pt>
                <c:pt idx="373">
                  <c:v>0.91208253125064931</c:v>
                </c:pt>
                <c:pt idx="374">
                  <c:v>0.95614243505191698</c:v>
                </c:pt>
                <c:pt idx="375">
                  <c:v>0.96762589928057552</c:v>
                </c:pt>
                <c:pt idx="376">
                  <c:v>1</c:v>
                </c:pt>
                <c:pt idx="377">
                  <c:v>0.82625634412902194</c:v>
                </c:pt>
                <c:pt idx="378">
                  <c:v>0.9601139047349182</c:v>
                </c:pt>
                <c:pt idx="379">
                  <c:v>1.0627262740118579</c:v>
                </c:pt>
                <c:pt idx="380">
                  <c:v>0.93527480684988118</c:v>
                </c:pt>
                <c:pt idx="381">
                  <c:v>1.0625500982773062</c:v>
                </c:pt>
                <c:pt idx="382">
                  <c:v>1.4822322141280799</c:v>
                </c:pt>
                <c:pt idx="383">
                  <c:v>1.0182198876788391</c:v>
                </c:pt>
                <c:pt idx="384">
                  <c:v>1.1905256945812908</c:v>
                </c:pt>
                <c:pt idx="385">
                  <c:v>1.1753055919076683</c:v>
                </c:pt>
                <c:pt idx="386">
                  <c:v>0.74669552116938287</c:v>
                </c:pt>
                <c:pt idx="387">
                  <c:v>0.90336797784402101</c:v>
                </c:pt>
                <c:pt idx="388">
                  <c:v>0.99108586662496612</c:v>
                </c:pt>
                <c:pt idx="389">
                  <c:v>0.8348184273807373</c:v>
                </c:pt>
                <c:pt idx="390">
                  <c:v>0.95553229503146886</c:v>
                </c:pt>
                <c:pt idx="391">
                  <c:v>0.67335839175112699</c:v>
                </c:pt>
                <c:pt idx="392">
                  <c:v>0.69192281388318311</c:v>
                </c:pt>
                <c:pt idx="393">
                  <c:v>0.84853134899852589</c:v>
                </c:pt>
                <c:pt idx="394">
                  <c:v>0.6648035989042731</c:v>
                </c:pt>
                <c:pt idx="395">
                  <c:v>0.72846501506533778</c:v>
                </c:pt>
                <c:pt idx="396">
                  <c:v>1.0134345640672162</c:v>
                </c:pt>
                <c:pt idx="397">
                  <c:v>0.67317534853537886</c:v>
                </c:pt>
                <c:pt idx="398">
                  <c:v>1.0383544149159285</c:v>
                </c:pt>
                <c:pt idx="399">
                  <c:v>1.0615276951705674</c:v>
                </c:pt>
                <c:pt idx="400">
                  <c:v>0.61746193238869718</c:v>
                </c:pt>
                <c:pt idx="401">
                  <c:v>0.68724341538301104</c:v>
                </c:pt>
                <c:pt idx="402">
                  <c:v>0.85028063832166845</c:v>
                </c:pt>
                <c:pt idx="403">
                  <c:v>0.49532268932934714</c:v>
                </c:pt>
                <c:pt idx="404">
                  <c:v>0.69404556824261776</c:v>
                </c:pt>
                <c:pt idx="405">
                  <c:v>0.73678053201601534</c:v>
                </c:pt>
                <c:pt idx="406">
                  <c:v>1.0734511207027237</c:v>
                </c:pt>
                <c:pt idx="407">
                  <c:v>0.97228115444619168</c:v>
                </c:pt>
                <c:pt idx="408">
                  <c:v>0.98184147159351287</c:v>
                </c:pt>
                <c:pt idx="409">
                  <c:v>1.1065773777959143</c:v>
                </c:pt>
                <c:pt idx="410">
                  <c:v>0.72096580896252627</c:v>
                </c:pt>
                <c:pt idx="411">
                  <c:v>0.93377048827409681</c:v>
                </c:pt>
                <c:pt idx="412">
                  <c:v>1.1167546869959355</c:v>
                </c:pt>
                <c:pt idx="413">
                  <c:v>1.2956424138648808</c:v>
                </c:pt>
                <c:pt idx="414">
                  <c:v>0.78437925291382093</c:v>
                </c:pt>
                <c:pt idx="415">
                  <c:v>1.059782127050285</c:v>
                </c:pt>
                <c:pt idx="416">
                  <c:v>0.73718451657272832</c:v>
                </c:pt>
                <c:pt idx="417">
                  <c:v>0.85852739822939572</c:v>
                </c:pt>
                <c:pt idx="418">
                  <c:v>1.0416632154626597</c:v>
                </c:pt>
                <c:pt idx="419">
                  <c:v>1.1153119606929831</c:v>
                </c:pt>
                <c:pt idx="420">
                  <c:v>1.2692714892463186</c:v>
                </c:pt>
                <c:pt idx="421">
                  <c:v>1.2571639757274684</c:v>
                </c:pt>
                <c:pt idx="422">
                  <c:v>0.8085349544542425</c:v>
                </c:pt>
                <c:pt idx="423">
                  <c:v>0.85080970194489203</c:v>
                </c:pt>
                <c:pt idx="424">
                  <c:v>1.0293844757547645</c:v>
                </c:pt>
                <c:pt idx="425">
                  <c:v>1.2091353781823571</c:v>
                </c:pt>
                <c:pt idx="426">
                  <c:v>1.2582112350998493</c:v>
                </c:pt>
                <c:pt idx="427">
                  <c:v>1.3026075869753657</c:v>
                </c:pt>
                <c:pt idx="428">
                  <c:v>1.4455193526381414</c:v>
                </c:pt>
                <c:pt idx="429">
                  <c:v>1.3999644400429421</c:v>
                </c:pt>
                <c:pt idx="430">
                  <c:v>1.2264020383181997</c:v>
                </c:pt>
                <c:pt idx="431">
                  <c:v>1.2265000402860071</c:v>
                </c:pt>
                <c:pt idx="432">
                  <c:v>1.3786937883911297</c:v>
                </c:pt>
                <c:pt idx="433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C2-477E-AB27-6E58FDC3CFD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C2-477E-AB27-6E58FDC3C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94272"/>
        <c:axId val="131904256"/>
      </c:scatterChart>
      <c:valAx>
        <c:axId val="1318942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04256"/>
        <c:crosses val="autoZero"/>
        <c:crossBetween val="midCat"/>
      </c:valAx>
      <c:valAx>
        <c:axId val="13190425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942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headed!$CS$20:$CS$104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12-4C05-88A1-661B3877ECB5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headed!$CY$20:$CY$104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12-4C05-88A1-661B3877E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57504"/>
        <c:axId val="131960192"/>
      </c:scatterChart>
      <c:valAx>
        <c:axId val="1319575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60192"/>
        <c:crosses val="autoZero"/>
        <c:crossBetween val="midCat"/>
      </c:valAx>
      <c:valAx>
        <c:axId val="131960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575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headed!$CP$20:$CP$104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D1-4AC3-90AB-F5D88D759B4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headed!$CV$20:$CV$104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D1-4AC3-90AB-F5D88D759B4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D1-4AC3-90AB-F5D88D759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78752"/>
        <c:axId val="131980288"/>
      </c:scatterChart>
      <c:valAx>
        <c:axId val="1319787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80288"/>
        <c:crosses val="autoZero"/>
        <c:crossBetween val="midCat"/>
      </c:valAx>
      <c:valAx>
        <c:axId val="13198028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787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headed!$CR$20:$CR$104</c:f>
              <c:numCache>
                <c:formatCode>General</c:formatCode>
                <c:ptCount val="85"/>
                <c:pt idx="33">
                  <c:v>2.0303364325354463</c:v>
                </c:pt>
                <c:pt idx="34">
                  <c:v>2.1733178714463932</c:v>
                </c:pt>
                <c:pt idx="35">
                  <c:v>2.2448085909018665</c:v>
                </c:pt>
                <c:pt idx="36">
                  <c:v>2.1494876316279021</c:v>
                </c:pt>
                <c:pt idx="37">
                  <c:v>1.6189566089937328</c:v>
                </c:pt>
                <c:pt idx="38">
                  <c:v>1.9589882478732941</c:v>
                </c:pt>
                <c:pt idx="39">
                  <c:v>2.1630936371420115</c:v>
                </c:pt>
                <c:pt idx="40">
                  <c:v>2.324395382191629</c:v>
                </c:pt>
                <c:pt idx="41">
                  <c:v>2.2495746388655649</c:v>
                </c:pt>
                <c:pt idx="42">
                  <c:v>2.2292144033428589</c:v>
                </c:pt>
                <c:pt idx="45">
                  <c:v>1.4210277445713013</c:v>
                </c:pt>
                <c:pt idx="46">
                  <c:v>1.4861429355619056</c:v>
                </c:pt>
                <c:pt idx="47">
                  <c:v>1.3973439488284463</c:v>
                </c:pt>
                <c:pt idx="48">
                  <c:v>1.4552333115825267</c:v>
                </c:pt>
                <c:pt idx="49">
                  <c:v>1.325563931931276</c:v>
                </c:pt>
                <c:pt idx="50">
                  <c:v>1.552980320852922</c:v>
                </c:pt>
                <c:pt idx="51">
                  <c:v>1.3973439488284463</c:v>
                </c:pt>
                <c:pt idx="52">
                  <c:v>1.4965390606012445</c:v>
                </c:pt>
                <c:pt idx="53">
                  <c:v>1.2721581713304984</c:v>
                </c:pt>
                <c:pt idx="54">
                  <c:v>1.4754435061569753</c:v>
                </c:pt>
                <c:pt idx="55">
                  <c:v>0.778335876421405</c:v>
                </c:pt>
                <c:pt idx="56">
                  <c:v>0.89168576133714361</c:v>
                </c:pt>
                <c:pt idx="57">
                  <c:v>0.79533835915876583</c:v>
                </c:pt>
                <c:pt idx="58">
                  <c:v>0.89168576133714361</c:v>
                </c:pt>
                <c:pt idx="59">
                  <c:v>0.89168576133714361</c:v>
                </c:pt>
                <c:pt idx="60">
                  <c:v>1.8807238023462929</c:v>
                </c:pt>
                <c:pt idx="61">
                  <c:v>1.9657282679890631</c:v>
                </c:pt>
                <c:pt idx="62">
                  <c:v>1.8329087904222345</c:v>
                </c:pt>
                <c:pt idx="63">
                  <c:v>1.9922921635024289</c:v>
                </c:pt>
                <c:pt idx="64">
                  <c:v>2.0560455127345065</c:v>
                </c:pt>
                <c:pt idx="65">
                  <c:v>2.2685566768414325</c:v>
                </c:pt>
                <c:pt idx="66">
                  <c:v>2.0879221873505456</c:v>
                </c:pt>
                <c:pt idx="67">
                  <c:v>2.0826094082478721</c:v>
                </c:pt>
                <c:pt idx="68">
                  <c:v>2.3004333514574711</c:v>
                </c:pt>
                <c:pt idx="69">
                  <c:v>2.3004333514574711</c:v>
                </c:pt>
                <c:pt idx="70">
                  <c:v>2.3004333514574711</c:v>
                </c:pt>
                <c:pt idx="73">
                  <c:v>1.2594431657304286</c:v>
                </c:pt>
                <c:pt idx="74">
                  <c:v>1.4594060767422257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2.3452641252972923</c:v>
                </c:pt>
                <c:pt idx="78">
                  <c:v>1.7238027723554292</c:v>
                </c:pt>
                <c:pt idx="79">
                  <c:v>2.0093131033468623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1.9242884063113308</c:v>
                </c:pt>
                <c:pt idx="83">
                  <c:v>1.816128425931379</c:v>
                </c:pt>
                <c:pt idx="84">
                  <c:v>1.8834633534428806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8D-49AF-835D-8A5A49C6D405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headed!$CX$20:$CX$104</c:f>
              <c:numCache>
                <c:formatCode>General</c:formatCode>
                <c:ptCount val="85"/>
                <c:pt idx="71">
                  <c:v>0.87831273920731312</c:v>
                </c:pt>
                <c:pt idx="72">
                  <c:v>0.91209399840759442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8D-49AF-835D-8A5A49C6D405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8D-49AF-835D-8A5A49C6D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30848"/>
        <c:axId val="132032384"/>
      </c:scatterChart>
      <c:valAx>
        <c:axId val="1320308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2384"/>
        <c:crosses val="autoZero"/>
        <c:crossBetween val="midCat"/>
      </c:valAx>
      <c:valAx>
        <c:axId val="132032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08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headed!$CS$20:$CS$104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3E-4678-981D-94C257D85FE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headed!$CY$20:$CY$104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3E-4678-981D-94C257D85FE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3E-4678-981D-94C257D85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75520"/>
        <c:axId val="132077056"/>
      </c:scatterChart>
      <c:valAx>
        <c:axId val="132075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7056"/>
        <c:crosses val="autoZero"/>
        <c:crossBetween val="midCat"/>
      </c:valAx>
      <c:valAx>
        <c:axId val="13207705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5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headed!$CT$20:$CT$104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54-41F9-8353-2A64A47D44E6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headed!$CZ$20:$CZ$104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54-41F9-8353-2A64A47D44E6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54-41F9-8353-2A64A47D4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16480"/>
        <c:axId val="132118016"/>
      </c:scatterChart>
      <c:valAx>
        <c:axId val="1321164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8016"/>
        <c:crosses val="autoZero"/>
        <c:crossBetween val="midCat"/>
      </c:valAx>
      <c:valAx>
        <c:axId val="1321180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64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headed!$CO$105:$CO$153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F2-45E3-BD65-B592DB0DDF0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headed!$CU$105:$CU$153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F2-45E3-BD65-B592DB0DDF0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F2-45E3-BD65-B592DB0DD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20416"/>
        <c:axId val="132221952"/>
      </c:scatterChart>
      <c:valAx>
        <c:axId val="1322204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1952"/>
        <c:crosses val="autoZero"/>
        <c:crossBetween val="midCat"/>
      </c:valAx>
      <c:valAx>
        <c:axId val="13222195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04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headed!$CQ$105:$CQ$153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87-437C-8E48-4E31E0CC8A9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headed!$CW$105:$CW$153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87-437C-8E48-4E31E0CC8A9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87-437C-8E48-4E31E0CC8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58816"/>
        <c:axId val="132268800"/>
      </c:scatterChart>
      <c:valAx>
        <c:axId val="1322588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68800"/>
        <c:crosses val="autoZero"/>
        <c:crossBetween val="midCat"/>
      </c:valAx>
      <c:valAx>
        <c:axId val="13226880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588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headed!$CP$105:$CP$153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EC-4CCB-869F-24171BE9294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headed!$CV$105:$CV$153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EC-4CCB-869F-24171BE9294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EC-4CCB-869F-24171BE92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4240"/>
        <c:axId val="132315776"/>
      </c:scatterChart>
      <c:valAx>
        <c:axId val="1323142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5776"/>
        <c:crosses val="autoZero"/>
        <c:crossBetween val="midCat"/>
      </c:valAx>
      <c:valAx>
        <c:axId val="13231577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42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headed!$CR$105:$CR$153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98-4FCF-959B-F6F07E3D39D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headed!$CX$105:$CX$153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1.5566949833453998</c:v>
                </c:pt>
                <c:pt idx="44">
                  <c:v>1.5946717872855112</c:v>
                </c:pt>
                <c:pt idx="45">
                  <c:v>1.3052086433254757</c:v>
                </c:pt>
                <c:pt idx="46">
                  <c:v>1.4556328942092587</c:v>
                </c:pt>
                <c:pt idx="47">
                  <c:v>1.259499751488431</c:v>
                </c:pt>
                <c:pt idx="48">
                  <c:v>1.249185320570019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98-4FCF-959B-F6F07E3D39D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98-4FCF-959B-F6F07E3D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44832"/>
        <c:axId val="132358912"/>
      </c:scatterChart>
      <c:valAx>
        <c:axId val="132344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58912"/>
        <c:crosses val="autoZero"/>
        <c:crossBetween val="midCat"/>
      </c:valAx>
      <c:valAx>
        <c:axId val="13235891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4483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headed!$CS$105:$CS$153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8C-41C7-9E8D-6079A3419B32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headed!$CY$105:$CY$153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8C-41C7-9E8D-6079A3419B32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8C-41C7-9E8D-6079A3419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83872"/>
        <c:axId val="132385408"/>
      </c:scatterChart>
      <c:valAx>
        <c:axId val="1323838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5408"/>
        <c:crosses val="autoZero"/>
        <c:crossBetween val="midCat"/>
      </c:valAx>
      <c:valAx>
        <c:axId val="13238540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38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headed!$CT$105:$CT$153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92-4990-BDE4-B097826801B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headed!$CZ$105:$CZ$153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92-4990-BDE4-B097826801B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92-4990-BDE4-B09782680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35328"/>
        <c:axId val="132441216"/>
      </c:scatterChart>
      <c:valAx>
        <c:axId val="13243532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41216"/>
        <c:crosses val="autoZero"/>
        <c:crossBetween val="midCat"/>
      </c:valAx>
      <c:valAx>
        <c:axId val="1324412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3532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headed!$CQ$169:$CQ$195</c:f>
              <c:numCache>
                <c:formatCode>General</c:formatCode>
                <c:ptCount val="27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9">
                  <c:v>0</c:v>
                </c:pt>
                <c:pt idx="2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F2-44E5-8DE7-7B6A53B4EF7D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headed!$CW$169:$CW$195</c:f>
              <c:numCache>
                <c:formatCode>General</c:formatCode>
                <c:ptCount val="27"/>
                <c:pt idx="1">
                  <c:v>0</c:v>
                </c:pt>
                <c:pt idx="4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F2-44E5-8DE7-7B6A53B4EF7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headed!$CQ$216:$CQ$453</c:f>
              <c:numCache>
                <c:formatCode>General</c:formatCode>
                <c:ptCount val="238"/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5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0</c:v>
                </c:pt>
                <c:pt idx="43">
                  <c:v>0</c:v>
                </c:pt>
                <c:pt idx="48">
                  <c:v>0</c:v>
                </c:pt>
                <c:pt idx="49">
                  <c:v>0</c:v>
                </c:pt>
                <c:pt idx="54">
                  <c:v>0</c:v>
                </c:pt>
                <c:pt idx="56">
                  <c:v>0</c:v>
                </c:pt>
                <c:pt idx="60">
                  <c:v>0</c:v>
                </c:pt>
                <c:pt idx="63">
                  <c:v>0</c:v>
                </c:pt>
                <c:pt idx="67">
                  <c:v>0</c:v>
                </c:pt>
                <c:pt idx="69">
                  <c:v>0</c:v>
                </c:pt>
                <c:pt idx="71">
                  <c:v>0</c:v>
                </c:pt>
                <c:pt idx="73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87">
                  <c:v>0</c:v>
                </c:pt>
                <c:pt idx="88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8">
                  <c:v>0</c:v>
                </c:pt>
                <c:pt idx="110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7">
                  <c:v>0</c:v>
                </c:pt>
                <c:pt idx="119">
                  <c:v>0</c:v>
                </c:pt>
                <c:pt idx="121">
                  <c:v>0</c:v>
                </c:pt>
                <c:pt idx="123">
                  <c:v>0</c:v>
                </c:pt>
                <c:pt idx="124">
                  <c:v>0</c:v>
                </c:pt>
                <c:pt idx="127">
                  <c:v>0</c:v>
                </c:pt>
                <c:pt idx="128">
                  <c:v>0</c:v>
                </c:pt>
                <c:pt idx="131">
                  <c:v>0</c:v>
                </c:pt>
                <c:pt idx="132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4">
                  <c:v>0</c:v>
                </c:pt>
                <c:pt idx="146">
                  <c:v>0</c:v>
                </c:pt>
                <c:pt idx="148">
                  <c:v>0</c:v>
                </c:pt>
                <c:pt idx="150">
                  <c:v>0</c:v>
                </c:pt>
                <c:pt idx="152">
                  <c:v>0</c:v>
                </c:pt>
                <c:pt idx="154">
                  <c:v>0</c:v>
                </c:pt>
                <c:pt idx="156">
                  <c:v>0</c:v>
                </c:pt>
                <c:pt idx="158">
                  <c:v>0</c:v>
                </c:pt>
                <c:pt idx="160">
                  <c:v>0</c:v>
                </c:pt>
                <c:pt idx="162">
                  <c:v>0</c:v>
                </c:pt>
                <c:pt idx="163">
                  <c:v>0</c:v>
                </c:pt>
                <c:pt idx="168">
                  <c:v>0</c:v>
                </c:pt>
                <c:pt idx="169">
                  <c:v>0</c:v>
                </c:pt>
                <c:pt idx="173">
                  <c:v>0</c:v>
                </c:pt>
                <c:pt idx="174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4">
                  <c:v>0</c:v>
                </c:pt>
                <c:pt idx="187">
                  <c:v>0</c:v>
                </c:pt>
                <c:pt idx="190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8">
                  <c:v>0</c:v>
                </c:pt>
                <c:pt idx="199">
                  <c:v>0</c:v>
                </c:pt>
                <c:pt idx="204">
                  <c:v>0</c:v>
                </c:pt>
                <c:pt idx="207">
                  <c:v>0</c:v>
                </c:pt>
                <c:pt idx="210">
                  <c:v>0</c:v>
                </c:pt>
                <c:pt idx="211">
                  <c:v>0</c:v>
                </c:pt>
                <c:pt idx="214">
                  <c:v>0</c:v>
                </c:pt>
                <c:pt idx="216">
                  <c:v>0</c:v>
                </c:pt>
                <c:pt idx="218">
                  <c:v>0</c:v>
                </c:pt>
                <c:pt idx="220">
                  <c:v>0</c:v>
                </c:pt>
                <c:pt idx="222">
                  <c:v>0</c:v>
                </c:pt>
                <c:pt idx="223">
                  <c:v>0</c:v>
                </c:pt>
                <c:pt idx="226">
                  <c:v>0</c:v>
                </c:pt>
                <c:pt idx="227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F2-44E5-8DE7-7B6A53B4EF7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headed!$CW$216:$CW$453</c:f>
              <c:numCache>
                <c:formatCode>General</c:formatCode>
                <c:ptCount val="238"/>
                <c:pt idx="13">
                  <c:v>0</c:v>
                </c:pt>
                <c:pt idx="24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5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70">
                  <c:v>0</c:v>
                </c:pt>
                <c:pt idx="72">
                  <c:v>0</c:v>
                </c:pt>
                <c:pt idx="74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9">
                  <c:v>0</c:v>
                </c:pt>
                <c:pt idx="90">
                  <c:v>0</c:v>
                </c:pt>
                <c:pt idx="93">
                  <c:v>0</c:v>
                </c:pt>
                <c:pt idx="94">
                  <c:v>0</c:v>
                </c:pt>
                <c:pt idx="97">
                  <c:v>0</c:v>
                </c:pt>
                <c:pt idx="98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9">
                  <c:v>0</c:v>
                </c:pt>
                <c:pt idx="111">
                  <c:v>0</c:v>
                </c:pt>
                <c:pt idx="113">
                  <c:v>0</c:v>
                </c:pt>
                <c:pt idx="115">
                  <c:v>0</c:v>
                </c:pt>
                <c:pt idx="118">
                  <c:v>0</c:v>
                </c:pt>
                <c:pt idx="120">
                  <c:v>0</c:v>
                </c:pt>
                <c:pt idx="122">
                  <c:v>0</c:v>
                </c:pt>
                <c:pt idx="125">
                  <c:v>0</c:v>
                </c:pt>
                <c:pt idx="126">
                  <c:v>0</c:v>
                </c:pt>
                <c:pt idx="129">
                  <c:v>0</c:v>
                </c:pt>
                <c:pt idx="130">
                  <c:v>0</c:v>
                </c:pt>
                <c:pt idx="133">
                  <c:v>0</c:v>
                </c:pt>
                <c:pt idx="134">
                  <c:v>0</c:v>
                </c:pt>
                <c:pt idx="141">
                  <c:v>0</c:v>
                </c:pt>
                <c:pt idx="143">
                  <c:v>0</c:v>
                </c:pt>
                <c:pt idx="145">
                  <c:v>0</c:v>
                </c:pt>
                <c:pt idx="147">
                  <c:v>0</c:v>
                </c:pt>
                <c:pt idx="149">
                  <c:v>0</c:v>
                </c:pt>
                <c:pt idx="151">
                  <c:v>0</c:v>
                </c:pt>
                <c:pt idx="153">
                  <c:v>0</c:v>
                </c:pt>
                <c:pt idx="155">
                  <c:v>0</c:v>
                </c:pt>
                <c:pt idx="157">
                  <c:v>0</c:v>
                </c:pt>
                <c:pt idx="159">
                  <c:v>0</c:v>
                </c:pt>
                <c:pt idx="161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2">
                  <c:v>0</c:v>
                </c:pt>
                <c:pt idx="183">
                  <c:v>0</c:v>
                </c:pt>
                <c:pt idx="185">
                  <c:v>0</c:v>
                </c:pt>
                <c:pt idx="186">
                  <c:v>0</c:v>
                </c:pt>
                <c:pt idx="188">
                  <c:v>0</c:v>
                </c:pt>
                <c:pt idx="189">
                  <c:v>0</c:v>
                </c:pt>
                <c:pt idx="191">
                  <c:v>0</c:v>
                </c:pt>
                <c:pt idx="192">
                  <c:v>0</c:v>
                </c:pt>
                <c:pt idx="194">
                  <c:v>0</c:v>
                </c:pt>
                <c:pt idx="197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5">
                  <c:v>0</c:v>
                </c:pt>
                <c:pt idx="206">
                  <c:v>0</c:v>
                </c:pt>
                <c:pt idx="208">
                  <c:v>0</c:v>
                </c:pt>
                <c:pt idx="209">
                  <c:v>0</c:v>
                </c:pt>
                <c:pt idx="212">
                  <c:v>0</c:v>
                </c:pt>
                <c:pt idx="213">
                  <c:v>0</c:v>
                </c:pt>
                <c:pt idx="215">
                  <c:v>0</c:v>
                </c:pt>
                <c:pt idx="217">
                  <c:v>0</c:v>
                </c:pt>
                <c:pt idx="219">
                  <c:v>0</c:v>
                </c:pt>
                <c:pt idx="221">
                  <c:v>0</c:v>
                </c:pt>
                <c:pt idx="224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2">
                  <c:v>0</c:v>
                </c:pt>
                <c:pt idx="233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F2-44E5-8DE7-7B6A53B4EF7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FF2-44E5-8DE7-7B6A53B4EF7D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headed!$CQ$196:$CQ$215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FF2-44E5-8DE7-7B6A53B4EF7D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headed!$CW$196:$CW$215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F2-44E5-8DE7-7B6A53B4E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26464"/>
        <c:axId val="132528384"/>
      </c:scatterChart>
      <c:valAx>
        <c:axId val="1325264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8384"/>
        <c:crosses val="autoZero"/>
        <c:crossBetween val="midCat"/>
      </c:valAx>
      <c:valAx>
        <c:axId val="132528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64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headed!$CP$169:$CP$195</c:f>
              <c:numCache>
                <c:formatCode>General</c:formatCode>
                <c:ptCount val="27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9">
                  <c:v>0</c:v>
                </c:pt>
                <c:pt idx="2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66-4385-AB52-62D05E75BE17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headed!$CV$169:$CV$195</c:f>
              <c:numCache>
                <c:formatCode>General</c:formatCode>
                <c:ptCount val="27"/>
                <c:pt idx="1">
                  <c:v>0</c:v>
                </c:pt>
                <c:pt idx="4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66-4385-AB52-62D05E75BE17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headed!$CP$216:$CP$453</c:f>
              <c:numCache>
                <c:formatCode>General</c:formatCode>
                <c:ptCount val="238"/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5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0</c:v>
                </c:pt>
                <c:pt idx="43">
                  <c:v>0</c:v>
                </c:pt>
                <c:pt idx="48">
                  <c:v>0</c:v>
                </c:pt>
                <c:pt idx="49">
                  <c:v>0</c:v>
                </c:pt>
                <c:pt idx="54">
                  <c:v>0</c:v>
                </c:pt>
                <c:pt idx="56">
                  <c:v>0</c:v>
                </c:pt>
                <c:pt idx="60">
                  <c:v>0</c:v>
                </c:pt>
                <c:pt idx="63">
                  <c:v>0</c:v>
                </c:pt>
                <c:pt idx="67">
                  <c:v>0</c:v>
                </c:pt>
                <c:pt idx="69">
                  <c:v>0</c:v>
                </c:pt>
                <c:pt idx="71">
                  <c:v>0</c:v>
                </c:pt>
                <c:pt idx="73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87">
                  <c:v>0</c:v>
                </c:pt>
                <c:pt idx="88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8">
                  <c:v>0</c:v>
                </c:pt>
                <c:pt idx="110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7">
                  <c:v>0</c:v>
                </c:pt>
                <c:pt idx="119">
                  <c:v>0</c:v>
                </c:pt>
                <c:pt idx="121">
                  <c:v>0</c:v>
                </c:pt>
                <c:pt idx="123">
                  <c:v>0</c:v>
                </c:pt>
                <c:pt idx="124">
                  <c:v>0</c:v>
                </c:pt>
                <c:pt idx="127">
                  <c:v>0</c:v>
                </c:pt>
                <c:pt idx="128">
                  <c:v>0</c:v>
                </c:pt>
                <c:pt idx="131">
                  <c:v>0</c:v>
                </c:pt>
                <c:pt idx="132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4">
                  <c:v>0</c:v>
                </c:pt>
                <c:pt idx="146">
                  <c:v>0</c:v>
                </c:pt>
                <c:pt idx="148">
                  <c:v>0</c:v>
                </c:pt>
                <c:pt idx="150">
                  <c:v>0</c:v>
                </c:pt>
                <c:pt idx="152">
                  <c:v>0</c:v>
                </c:pt>
                <c:pt idx="154">
                  <c:v>0</c:v>
                </c:pt>
                <c:pt idx="156">
                  <c:v>0</c:v>
                </c:pt>
                <c:pt idx="158">
                  <c:v>0</c:v>
                </c:pt>
                <c:pt idx="160">
                  <c:v>0</c:v>
                </c:pt>
                <c:pt idx="162">
                  <c:v>0</c:v>
                </c:pt>
                <c:pt idx="163">
                  <c:v>0</c:v>
                </c:pt>
                <c:pt idx="168">
                  <c:v>0</c:v>
                </c:pt>
                <c:pt idx="169">
                  <c:v>0</c:v>
                </c:pt>
                <c:pt idx="173">
                  <c:v>0</c:v>
                </c:pt>
                <c:pt idx="174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4">
                  <c:v>0</c:v>
                </c:pt>
                <c:pt idx="187">
                  <c:v>0</c:v>
                </c:pt>
                <c:pt idx="190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8">
                  <c:v>0</c:v>
                </c:pt>
                <c:pt idx="199">
                  <c:v>0</c:v>
                </c:pt>
                <c:pt idx="204">
                  <c:v>0</c:v>
                </c:pt>
                <c:pt idx="207">
                  <c:v>0</c:v>
                </c:pt>
                <c:pt idx="210">
                  <c:v>0</c:v>
                </c:pt>
                <c:pt idx="211">
                  <c:v>0</c:v>
                </c:pt>
                <c:pt idx="214">
                  <c:v>0</c:v>
                </c:pt>
                <c:pt idx="216">
                  <c:v>0</c:v>
                </c:pt>
                <c:pt idx="218">
                  <c:v>0</c:v>
                </c:pt>
                <c:pt idx="220">
                  <c:v>0</c:v>
                </c:pt>
                <c:pt idx="222">
                  <c:v>0</c:v>
                </c:pt>
                <c:pt idx="223">
                  <c:v>0</c:v>
                </c:pt>
                <c:pt idx="226">
                  <c:v>0</c:v>
                </c:pt>
                <c:pt idx="227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66-4385-AB52-62D05E75BE1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headed!$CV$216:$CV$453</c:f>
              <c:numCache>
                <c:formatCode>General</c:formatCode>
                <c:ptCount val="238"/>
                <c:pt idx="13">
                  <c:v>0</c:v>
                </c:pt>
                <c:pt idx="24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5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70">
                  <c:v>0</c:v>
                </c:pt>
                <c:pt idx="72">
                  <c:v>0</c:v>
                </c:pt>
                <c:pt idx="74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9">
                  <c:v>0</c:v>
                </c:pt>
                <c:pt idx="90">
                  <c:v>0</c:v>
                </c:pt>
                <c:pt idx="93">
                  <c:v>0</c:v>
                </c:pt>
                <c:pt idx="94">
                  <c:v>0</c:v>
                </c:pt>
                <c:pt idx="97">
                  <c:v>0</c:v>
                </c:pt>
                <c:pt idx="98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9">
                  <c:v>0</c:v>
                </c:pt>
                <c:pt idx="111">
                  <c:v>0</c:v>
                </c:pt>
                <c:pt idx="113">
                  <c:v>0</c:v>
                </c:pt>
                <c:pt idx="115">
                  <c:v>0</c:v>
                </c:pt>
                <c:pt idx="118">
                  <c:v>0</c:v>
                </c:pt>
                <c:pt idx="120">
                  <c:v>0</c:v>
                </c:pt>
                <c:pt idx="122">
                  <c:v>0</c:v>
                </c:pt>
                <c:pt idx="125">
                  <c:v>0</c:v>
                </c:pt>
                <c:pt idx="126">
                  <c:v>0</c:v>
                </c:pt>
                <c:pt idx="129">
                  <c:v>0</c:v>
                </c:pt>
                <c:pt idx="130">
                  <c:v>0</c:v>
                </c:pt>
                <c:pt idx="133">
                  <c:v>0</c:v>
                </c:pt>
                <c:pt idx="134">
                  <c:v>0</c:v>
                </c:pt>
                <c:pt idx="141">
                  <c:v>0</c:v>
                </c:pt>
                <c:pt idx="143">
                  <c:v>0</c:v>
                </c:pt>
                <c:pt idx="145">
                  <c:v>0</c:v>
                </c:pt>
                <c:pt idx="147">
                  <c:v>0</c:v>
                </c:pt>
                <c:pt idx="149">
                  <c:v>0</c:v>
                </c:pt>
                <c:pt idx="151">
                  <c:v>0</c:v>
                </c:pt>
                <c:pt idx="153">
                  <c:v>0</c:v>
                </c:pt>
                <c:pt idx="155">
                  <c:v>0</c:v>
                </c:pt>
                <c:pt idx="157">
                  <c:v>0</c:v>
                </c:pt>
                <c:pt idx="159">
                  <c:v>0</c:v>
                </c:pt>
                <c:pt idx="161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2">
                  <c:v>0</c:v>
                </c:pt>
                <c:pt idx="183">
                  <c:v>0</c:v>
                </c:pt>
                <c:pt idx="185">
                  <c:v>0</c:v>
                </c:pt>
                <c:pt idx="186">
                  <c:v>0</c:v>
                </c:pt>
                <c:pt idx="188">
                  <c:v>0</c:v>
                </c:pt>
                <c:pt idx="189">
                  <c:v>0</c:v>
                </c:pt>
                <c:pt idx="191">
                  <c:v>0</c:v>
                </c:pt>
                <c:pt idx="192">
                  <c:v>0</c:v>
                </c:pt>
                <c:pt idx="194">
                  <c:v>0</c:v>
                </c:pt>
                <c:pt idx="197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5">
                  <c:v>0</c:v>
                </c:pt>
                <c:pt idx="206">
                  <c:v>0</c:v>
                </c:pt>
                <c:pt idx="208">
                  <c:v>0</c:v>
                </c:pt>
                <c:pt idx="209">
                  <c:v>0</c:v>
                </c:pt>
                <c:pt idx="212">
                  <c:v>0</c:v>
                </c:pt>
                <c:pt idx="213">
                  <c:v>0</c:v>
                </c:pt>
                <c:pt idx="215">
                  <c:v>0</c:v>
                </c:pt>
                <c:pt idx="217">
                  <c:v>0</c:v>
                </c:pt>
                <c:pt idx="219">
                  <c:v>0</c:v>
                </c:pt>
                <c:pt idx="221">
                  <c:v>0</c:v>
                </c:pt>
                <c:pt idx="224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2">
                  <c:v>0</c:v>
                </c:pt>
                <c:pt idx="233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66-4385-AB52-62D05E75BE1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E66-4385-AB52-62D05E75BE17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headed!$CP$196:$CP$215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E66-4385-AB52-62D05E75BE17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headed!$CV$196:$CV$215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66-4385-AB52-62D05E75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68576"/>
        <c:axId val="132570496"/>
      </c:scatterChart>
      <c:valAx>
        <c:axId val="13256857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70496"/>
        <c:crosses val="autoZero"/>
        <c:crossBetween val="midCat"/>
      </c:valAx>
      <c:valAx>
        <c:axId val="13257049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6857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headed!$CR$169:$CR$195</c:f>
              <c:numCache>
                <c:formatCode>General</c:formatCode>
                <c:ptCount val="27"/>
                <c:pt idx="0">
                  <c:v>1.3838937040210169</c:v>
                </c:pt>
                <c:pt idx="2">
                  <c:v>2.0310855779776316</c:v>
                </c:pt>
                <c:pt idx="3">
                  <c:v>1.3258623595815355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10">
                  <c:v>1.6810691019807604</c:v>
                </c:pt>
                <c:pt idx="11">
                  <c:v>1.4271453774857643</c:v>
                </c:pt>
                <c:pt idx="14">
                  <c:v>1.9012666169183468</c:v>
                </c:pt>
                <c:pt idx="16">
                  <c:v>2.0407929363744293</c:v>
                </c:pt>
                <c:pt idx="17">
                  <c:v>1.4623814188213276</c:v>
                </c:pt>
                <c:pt idx="19">
                  <c:v>1.6032963421957998</c:v>
                </c:pt>
                <c:pt idx="20">
                  <c:v>1.4282123621188205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2F-4F82-9609-FB89BD6C3C33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headed!$CX$169:$CX$195</c:f>
              <c:numCache>
                <c:formatCode>General</c:formatCode>
                <c:ptCount val="27"/>
                <c:pt idx="1">
                  <c:v>1.4372631142025567</c:v>
                </c:pt>
                <c:pt idx="4">
                  <c:v>1.1653373728318932</c:v>
                </c:pt>
                <c:pt idx="8">
                  <c:v>1.1449507661346809</c:v>
                </c:pt>
                <c:pt idx="9">
                  <c:v>1.2505080698215565</c:v>
                </c:pt>
                <c:pt idx="12">
                  <c:v>0.83618018255731019</c:v>
                </c:pt>
                <c:pt idx="13">
                  <c:v>0.97651019906997372</c:v>
                </c:pt>
                <c:pt idx="15">
                  <c:v>1.5788211461636792</c:v>
                </c:pt>
                <c:pt idx="18">
                  <c:v>1.2315922030510305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2F-4F82-9609-FB89BD6C3C33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headed!$CR$216:$CR$453</c:f>
              <c:numCache>
                <c:formatCode>General</c:formatCode>
                <c:ptCount val="238"/>
                <c:pt idx="8">
                  <c:v>1.8963655360936886</c:v>
                </c:pt>
                <c:pt idx="9">
                  <c:v>1.5115148831805576</c:v>
                </c:pt>
                <c:pt idx="11">
                  <c:v>1.08971818573285</c:v>
                </c:pt>
                <c:pt idx="12">
                  <c:v>1.4378533266448839</c:v>
                </c:pt>
                <c:pt idx="15">
                  <c:v>1.805476112010334</c:v>
                </c:pt>
                <c:pt idx="19">
                  <c:v>2.5947732797879901</c:v>
                </c:pt>
                <c:pt idx="20">
                  <c:v>1.5950411881888569</c:v>
                </c:pt>
                <c:pt idx="21">
                  <c:v>1.338956593754866</c:v>
                </c:pt>
                <c:pt idx="22">
                  <c:v>1.6929650308865152</c:v>
                </c:pt>
                <c:pt idx="23">
                  <c:v>1.9887430163203406</c:v>
                </c:pt>
                <c:pt idx="25">
                  <c:v>1.832082313538461</c:v>
                </c:pt>
                <c:pt idx="26">
                  <c:v>1.5518814891149317</c:v>
                </c:pt>
                <c:pt idx="27">
                  <c:v>2.3882719091374538</c:v>
                </c:pt>
                <c:pt idx="28">
                  <c:v>2.1664445703547215</c:v>
                </c:pt>
                <c:pt idx="29">
                  <c:v>1.6860007669757939</c:v>
                </c:pt>
                <c:pt idx="31">
                  <c:v>1.6574714449565529</c:v>
                </c:pt>
                <c:pt idx="36">
                  <c:v>0.92942217759542134</c:v>
                </c:pt>
                <c:pt idx="37">
                  <c:v>1.1242757318376362</c:v>
                </c:pt>
                <c:pt idx="42">
                  <c:v>1.3479209893794599</c:v>
                </c:pt>
                <c:pt idx="43">
                  <c:v>1.2726513426267121</c:v>
                </c:pt>
                <c:pt idx="48">
                  <c:v>1.4145986516145845</c:v>
                </c:pt>
                <c:pt idx="49">
                  <c:v>1.2305684841268119</c:v>
                </c:pt>
                <c:pt idx="54">
                  <c:v>1.4542450707802723</c:v>
                </c:pt>
                <c:pt idx="56">
                  <c:v>1.8814484318433564</c:v>
                </c:pt>
                <c:pt idx="60">
                  <c:v>1.4382760123279739</c:v>
                </c:pt>
                <c:pt idx="63">
                  <c:v>1.8589949803999117</c:v>
                </c:pt>
                <c:pt idx="67">
                  <c:v>1.0809846369960703</c:v>
                </c:pt>
                <c:pt idx="69">
                  <c:v>1.4405154544410637</c:v>
                </c:pt>
                <c:pt idx="71">
                  <c:v>1.2067087626321074</c:v>
                </c:pt>
                <c:pt idx="73">
                  <c:v>1.2155644280465276</c:v>
                </c:pt>
                <c:pt idx="75">
                  <c:v>1.2044626549109341</c:v>
                </c:pt>
                <c:pt idx="76">
                  <c:v>1.3567777131762069</c:v>
                </c:pt>
                <c:pt idx="77">
                  <c:v>1.0565427698472931</c:v>
                </c:pt>
                <c:pt idx="78">
                  <c:v>1.0611106737887328</c:v>
                </c:pt>
                <c:pt idx="87">
                  <c:v>1.15289897228001</c:v>
                </c:pt>
                <c:pt idx="88">
                  <c:v>1.1926541092551828</c:v>
                </c:pt>
                <c:pt idx="91">
                  <c:v>1.6507806323592806</c:v>
                </c:pt>
                <c:pt idx="92">
                  <c:v>1.6904491962548411</c:v>
                </c:pt>
                <c:pt idx="95">
                  <c:v>1.2756690101615786</c:v>
                </c:pt>
                <c:pt idx="96">
                  <c:v>1.6536048066223732</c:v>
                </c:pt>
                <c:pt idx="99">
                  <c:v>1.1832182811484149</c:v>
                </c:pt>
                <c:pt idx="100">
                  <c:v>1.1607663213543273</c:v>
                </c:pt>
                <c:pt idx="101">
                  <c:v>1.213946649650911</c:v>
                </c:pt>
                <c:pt idx="108">
                  <c:v>1.0824061436066807</c:v>
                </c:pt>
                <c:pt idx="110">
                  <c:v>1.1308794998166836</c:v>
                </c:pt>
                <c:pt idx="112">
                  <c:v>1.0683429748972426</c:v>
                </c:pt>
                <c:pt idx="114">
                  <c:v>1.2855169740960342</c:v>
                </c:pt>
                <c:pt idx="116">
                  <c:v>1.2494913437411292</c:v>
                </c:pt>
                <c:pt idx="117">
                  <c:v>1.3645897297002598</c:v>
                </c:pt>
                <c:pt idx="119">
                  <c:v>1.4751944683659082</c:v>
                </c:pt>
                <c:pt idx="121">
                  <c:v>1.261486403351207</c:v>
                </c:pt>
                <c:pt idx="123">
                  <c:v>0.9500605438440255</c:v>
                </c:pt>
                <c:pt idx="124">
                  <c:v>0.93266016758314585</c:v>
                </c:pt>
                <c:pt idx="127">
                  <c:v>1.4291107675846266</c:v>
                </c:pt>
                <c:pt idx="128">
                  <c:v>1.7965068604388503</c:v>
                </c:pt>
                <c:pt idx="131">
                  <c:v>1.3651469896302668</c:v>
                </c:pt>
                <c:pt idx="132">
                  <c:v>1.0921113414829737</c:v>
                </c:pt>
                <c:pt idx="135">
                  <c:v>1.066177573233374</c:v>
                </c:pt>
                <c:pt idx="136">
                  <c:v>1.0960517053259571</c:v>
                </c:pt>
                <c:pt idx="137">
                  <c:v>1.1538643715615464</c:v>
                </c:pt>
                <c:pt idx="138">
                  <c:v>1.3842072343068135</c:v>
                </c:pt>
                <c:pt idx="139">
                  <c:v>1.6164798403189902</c:v>
                </c:pt>
                <c:pt idx="140">
                  <c:v>1.1020916631669231</c:v>
                </c:pt>
                <c:pt idx="142">
                  <c:v>1.1553451423090986</c:v>
                </c:pt>
                <c:pt idx="144">
                  <c:v>1.0676265150499875</c:v>
                </c:pt>
                <c:pt idx="146">
                  <c:v>1.2584341542185216</c:v>
                </c:pt>
                <c:pt idx="148">
                  <c:v>0.8536087311591446</c:v>
                </c:pt>
                <c:pt idx="150">
                  <c:v>1.0919377043810194</c:v>
                </c:pt>
                <c:pt idx="152">
                  <c:v>1.0111147713391568</c:v>
                </c:pt>
                <c:pt idx="154">
                  <c:v>0.90990733440606342</c:v>
                </c:pt>
                <c:pt idx="156">
                  <c:v>0.98770988832965423</c:v>
                </c:pt>
                <c:pt idx="158">
                  <c:v>0.93991349427050186</c:v>
                </c:pt>
                <c:pt idx="160">
                  <c:v>1.1044927574542696</c:v>
                </c:pt>
                <c:pt idx="162">
                  <c:v>1.3853708991438167</c:v>
                </c:pt>
                <c:pt idx="163">
                  <c:v>1.4691556370667194</c:v>
                </c:pt>
                <c:pt idx="168">
                  <c:v>1.2598222395057197</c:v>
                </c:pt>
                <c:pt idx="169">
                  <c:v>1.3120228562170784</c:v>
                </c:pt>
                <c:pt idx="173">
                  <c:v>1.3010744184441332</c:v>
                </c:pt>
                <c:pt idx="174">
                  <c:v>1.419112376432075</c:v>
                </c:pt>
                <c:pt idx="179">
                  <c:v>1.2969655123763921</c:v>
                </c:pt>
                <c:pt idx="180">
                  <c:v>1.368231571250613</c:v>
                </c:pt>
                <c:pt idx="181">
                  <c:v>1.3871339650041066</c:v>
                </c:pt>
                <c:pt idx="184">
                  <c:v>1.5631748888459425</c:v>
                </c:pt>
                <c:pt idx="187">
                  <c:v>0.95053003455679075</c:v>
                </c:pt>
                <c:pt idx="190">
                  <c:v>0.76825652258018351</c:v>
                </c:pt>
                <c:pt idx="193">
                  <c:v>0.85398182075671547</c:v>
                </c:pt>
                <c:pt idx="195">
                  <c:v>0.8312726172672158</c:v>
                </c:pt>
                <c:pt idx="196">
                  <c:v>0.86489129505352247</c:v>
                </c:pt>
                <c:pt idx="198">
                  <c:v>0.74693440629475993</c:v>
                </c:pt>
                <c:pt idx="199">
                  <c:v>0.8275761961520568</c:v>
                </c:pt>
                <c:pt idx="204">
                  <c:v>0.72823307370272738</c:v>
                </c:pt>
                <c:pt idx="207">
                  <c:v>0.69730791094744238</c:v>
                </c:pt>
                <c:pt idx="210">
                  <c:v>1.378337467570502</c:v>
                </c:pt>
                <c:pt idx="211">
                  <c:v>1.3470976313599901</c:v>
                </c:pt>
                <c:pt idx="214">
                  <c:v>0.80994045632785505</c:v>
                </c:pt>
                <c:pt idx="216">
                  <c:v>1.1377445264616732</c:v>
                </c:pt>
                <c:pt idx="218">
                  <c:v>0.83703352176496904</c:v>
                </c:pt>
                <c:pt idx="220">
                  <c:v>0.93509962123722112</c:v>
                </c:pt>
                <c:pt idx="222">
                  <c:v>1.2488912988332597</c:v>
                </c:pt>
                <c:pt idx="223">
                  <c:v>1.3338607110128451</c:v>
                </c:pt>
                <c:pt idx="226">
                  <c:v>1.1579794213606953</c:v>
                </c:pt>
                <c:pt idx="227">
                  <c:v>1.2026791278589977</c:v>
                </c:pt>
                <c:pt idx="230">
                  <c:v>1.2184121174982501</c:v>
                </c:pt>
                <c:pt idx="231">
                  <c:v>1.3173670073694528</c:v>
                </c:pt>
                <c:pt idx="234">
                  <c:v>1.4332360429327682</c:v>
                </c:pt>
                <c:pt idx="235">
                  <c:v>1.495658681836104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2F-4F82-9609-FB89BD6C3C3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headed!$CX$216:$CX$453</c:f>
              <c:numCache>
                <c:formatCode>General</c:formatCode>
                <c:ptCount val="238"/>
                <c:pt idx="13">
                  <c:v>1.468755792642539</c:v>
                </c:pt>
                <c:pt idx="24">
                  <c:v>1.5581202263866585</c:v>
                </c:pt>
                <c:pt idx="32">
                  <c:v>1.2269966870795557</c:v>
                </c:pt>
                <c:pt idx="33">
                  <c:v>1.2777689637862957</c:v>
                </c:pt>
                <c:pt idx="34">
                  <c:v>1.2016105487261854</c:v>
                </c:pt>
                <c:pt idx="35">
                  <c:v>1.2143036179028706</c:v>
                </c:pt>
                <c:pt idx="38">
                  <c:v>1.1200335813374223</c:v>
                </c:pt>
                <c:pt idx="39">
                  <c:v>1.2442613749021638</c:v>
                </c:pt>
                <c:pt idx="40">
                  <c:v>1.400091193706031</c:v>
                </c:pt>
                <c:pt idx="41">
                  <c:v>1.3452828172806048</c:v>
                </c:pt>
                <c:pt idx="44">
                  <c:v>1.3025245533720942</c:v>
                </c:pt>
                <c:pt idx="45">
                  <c:v>1.2673808375373148</c:v>
                </c:pt>
                <c:pt idx="46">
                  <c:v>1.5549193028146699</c:v>
                </c:pt>
                <c:pt idx="47">
                  <c:v>1.5517610994655895</c:v>
                </c:pt>
                <c:pt idx="50">
                  <c:v>1.2121832107334114</c:v>
                </c:pt>
                <c:pt idx="51">
                  <c:v>1.327132930109501</c:v>
                </c:pt>
                <c:pt idx="52">
                  <c:v>1.4604454373528053</c:v>
                </c:pt>
                <c:pt idx="53">
                  <c:v>1.3940506960947452</c:v>
                </c:pt>
                <c:pt idx="55">
                  <c:v>1.3171284334108457</c:v>
                </c:pt>
                <c:pt idx="57">
                  <c:v>1.0875170850034528</c:v>
                </c:pt>
                <c:pt idx="58">
                  <c:v>1.7132857924449365</c:v>
                </c:pt>
                <c:pt idx="59">
                  <c:v>1.1703923382083732</c:v>
                </c:pt>
                <c:pt idx="61">
                  <c:v>1.4674396207834461</c:v>
                </c:pt>
                <c:pt idx="62">
                  <c:v>1.3339172849165912</c:v>
                </c:pt>
                <c:pt idx="64">
                  <c:v>1.4016929584772584</c:v>
                </c:pt>
                <c:pt idx="65">
                  <c:v>1.4064662597202062</c:v>
                </c:pt>
                <c:pt idx="66">
                  <c:v>1.500601767058964</c:v>
                </c:pt>
                <c:pt idx="68">
                  <c:v>1.130169014844719</c:v>
                </c:pt>
                <c:pt idx="70">
                  <c:v>1.5227273061218662</c:v>
                </c:pt>
                <c:pt idx="72">
                  <c:v>1.5537534775920558</c:v>
                </c:pt>
                <c:pt idx="74">
                  <c:v>1.225964360942069</c:v>
                </c:pt>
                <c:pt idx="79">
                  <c:v>1.085175517695939</c:v>
                </c:pt>
                <c:pt idx="80">
                  <c:v>1.3648258889866054</c:v>
                </c:pt>
                <c:pt idx="81">
                  <c:v>1.1326402982209955</c:v>
                </c:pt>
                <c:pt idx="82">
                  <c:v>1.279120760819896</c:v>
                </c:pt>
                <c:pt idx="83">
                  <c:v>1.4158899377768372</c:v>
                </c:pt>
                <c:pt idx="84">
                  <c:v>1.4646074726472567</c:v>
                </c:pt>
                <c:pt idx="85">
                  <c:v>1.2980121403329294</c:v>
                </c:pt>
                <c:pt idx="86">
                  <c:v>1.4018980369375771</c:v>
                </c:pt>
                <c:pt idx="89">
                  <c:v>1.3111850107642649</c:v>
                </c:pt>
                <c:pt idx="90">
                  <c:v>1.3404573544493805</c:v>
                </c:pt>
                <c:pt idx="93">
                  <c:v>1.2857433234217517</c:v>
                </c:pt>
                <c:pt idx="94">
                  <c:v>1.3838059891279431</c:v>
                </c:pt>
                <c:pt idx="97">
                  <c:v>1.5219922977142373</c:v>
                </c:pt>
                <c:pt idx="98">
                  <c:v>1.4168183015224551</c:v>
                </c:pt>
                <c:pt idx="102">
                  <c:v>1.0155616105585565</c:v>
                </c:pt>
                <c:pt idx="103">
                  <c:v>1.1496958567038023</c:v>
                </c:pt>
                <c:pt idx="104">
                  <c:v>1.3712468718361366</c:v>
                </c:pt>
                <c:pt idx="105">
                  <c:v>1.7084818805310933</c:v>
                </c:pt>
                <c:pt idx="106">
                  <c:v>1.9886149364652124</c:v>
                </c:pt>
                <c:pt idx="107">
                  <c:v>1.7490612046742806</c:v>
                </c:pt>
                <c:pt idx="109">
                  <c:v>1.099511672686895</c:v>
                </c:pt>
                <c:pt idx="111">
                  <c:v>1.1355499502132003</c:v>
                </c:pt>
                <c:pt idx="113">
                  <c:v>1.1302150740598296</c:v>
                </c:pt>
                <c:pt idx="115">
                  <c:v>1.0909464990682394</c:v>
                </c:pt>
                <c:pt idx="118">
                  <c:v>1.2431637729407938</c:v>
                </c:pt>
                <c:pt idx="120">
                  <c:v>1.7850791723869082</c:v>
                </c:pt>
                <c:pt idx="122">
                  <c:v>1.2104901444923288</c:v>
                </c:pt>
                <c:pt idx="125">
                  <c:v>1.2028972243265701</c:v>
                </c:pt>
                <c:pt idx="126">
                  <c:v>1.6074371142265871</c:v>
                </c:pt>
                <c:pt idx="129">
                  <c:v>1.2530999155051654</c:v>
                </c:pt>
                <c:pt idx="130">
                  <c:v>1.5863282977600779</c:v>
                </c:pt>
                <c:pt idx="133">
                  <c:v>1.2738805592629094</c:v>
                </c:pt>
                <c:pt idx="134">
                  <c:v>1.7624587508377958</c:v>
                </c:pt>
                <c:pt idx="141">
                  <c:v>1.1890280478040305</c:v>
                </c:pt>
                <c:pt idx="143">
                  <c:v>1.676977781714432</c:v>
                </c:pt>
                <c:pt idx="145">
                  <c:v>1.1117656600092876</c:v>
                </c:pt>
                <c:pt idx="147">
                  <c:v>1.3530591037272715</c:v>
                </c:pt>
                <c:pt idx="149">
                  <c:v>1.3047954564429862</c:v>
                </c:pt>
                <c:pt idx="151">
                  <c:v>1.2840983524179472</c:v>
                </c:pt>
                <c:pt idx="153">
                  <c:v>1.2490921086446241</c:v>
                </c:pt>
                <c:pt idx="155">
                  <c:v>1.2211878714437694</c:v>
                </c:pt>
                <c:pt idx="157">
                  <c:v>1.405758816311484</c:v>
                </c:pt>
                <c:pt idx="159">
                  <c:v>1.3735243604164213</c:v>
                </c:pt>
                <c:pt idx="161">
                  <c:v>1.1875804167963844</c:v>
                </c:pt>
                <c:pt idx="164">
                  <c:v>1.1002142240916057</c:v>
                </c:pt>
                <c:pt idx="165">
                  <c:v>1.5042537753350267</c:v>
                </c:pt>
                <c:pt idx="166">
                  <c:v>1.356754559997581</c:v>
                </c:pt>
                <c:pt idx="167">
                  <c:v>1.799506429845696</c:v>
                </c:pt>
                <c:pt idx="170">
                  <c:v>1.3540876305298664</c:v>
                </c:pt>
                <c:pt idx="171">
                  <c:v>1.6741983885487828</c:v>
                </c:pt>
                <c:pt idx="172">
                  <c:v>1.5380009760396056</c:v>
                </c:pt>
                <c:pt idx="175">
                  <c:v>1.3703241283774616</c:v>
                </c:pt>
                <c:pt idx="176">
                  <c:v>1.5358700933690845</c:v>
                </c:pt>
                <c:pt idx="177">
                  <c:v>1.5953360225510751</c:v>
                </c:pt>
                <c:pt idx="178">
                  <c:v>1.6885510586641708</c:v>
                </c:pt>
                <c:pt idx="182">
                  <c:v>1.418561096358864</c:v>
                </c:pt>
                <c:pt idx="183">
                  <c:v>1.6217447857525504</c:v>
                </c:pt>
                <c:pt idx="185">
                  <c:v>1.4956819971499853</c:v>
                </c:pt>
                <c:pt idx="186">
                  <c:v>2.2308393728048879</c:v>
                </c:pt>
                <c:pt idx="188">
                  <c:v>0.96797883882138447</c:v>
                </c:pt>
                <c:pt idx="189">
                  <c:v>0.9673044426554136</c:v>
                </c:pt>
                <c:pt idx="191">
                  <c:v>1.0055163450729336</c:v>
                </c:pt>
                <c:pt idx="192">
                  <c:v>0.90287337363807318</c:v>
                </c:pt>
                <c:pt idx="194">
                  <c:v>0.87804597345881741</c:v>
                </c:pt>
                <c:pt idx="197">
                  <c:v>1.0296890870286513</c:v>
                </c:pt>
                <c:pt idx="200">
                  <c:v>1.0515170046860745</c:v>
                </c:pt>
                <c:pt idx="201">
                  <c:v>0.71186072951306811</c:v>
                </c:pt>
                <c:pt idx="202">
                  <c:v>1.1226686234334839</c:v>
                </c:pt>
                <c:pt idx="203">
                  <c:v>1.1445892636173558</c:v>
                </c:pt>
                <c:pt idx="205">
                  <c:v>0.71086754061834379</c:v>
                </c:pt>
                <c:pt idx="206">
                  <c:v>1.102942521630832</c:v>
                </c:pt>
                <c:pt idx="208">
                  <c:v>0.7718247303008392</c:v>
                </c:pt>
                <c:pt idx="209">
                  <c:v>0.8346761269586771</c:v>
                </c:pt>
                <c:pt idx="212">
                  <c:v>1.2226871085348725</c:v>
                </c:pt>
                <c:pt idx="213">
                  <c:v>1.4480266495732195</c:v>
                </c:pt>
                <c:pt idx="215">
                  <c:v>0.92343789210776062</c:v>
                </c:pt>
                <c:pt idx="217">
                  <c:v>1.1621411039397247</c:v>
                </c:pt>
                <c:pt idx="219">
                  <c:v>0.99472144636362514</c:v>
                </c:pt>
                <c:pt idx="221">
                  <c:v>0.8900725411588033</c:v>
                </c:pt>
                <c:pt idx="224">
                  <c:v>1.3088116847320996</c:v>
                </c:pt>
                <c:pt idx="225">
                  <c:v>1.3330135927123574</c:v>
                </c:pt>
                <c:pt idx="228">
                  <c:v>1.1608850073852048</c:v>
                </c:pt>
                <c:pt idx="229">
                  <c:v>1.3841922978836163</c:v>
                </c:pt>
                <c:pt idx="232">
                  <c:v>1.1997735337343924</c:v>
                </c:pt>
                <c:pt idx="233">
                  <c:v>1.265578045451847</c:v>
                </c:pt>
                <c:pt idx="236">
                  <c:v>1.255358081169357</c:v>
                </c:pt>
                <c:pt idx="237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2F-4F82-9609-FB89BD6C3C3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F2F-4F82-9609-FB89BD6C3C33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headed!$CR$196:$CR$215</c:f>
              <c:numCache>
                <c:formatCode>General</c:formatCode>
                <c:ptCount val="20"/>
                <c:pt idx="0">
                  <c:v>3.203833724920901</c:v>
                </c:pt>
                <c:pt idx="1">
                  <c:v>3.1622500423555562</c:v>
                </c:pt>
                <c:pt idx="2">
                  <c:v>2.5895293233873948</c:v>
                </c:pt>
                <c:pt idx="3">
                  <c:v>2.7388525471447704</c:v>
                </c:pt>
                <c:pt idx="4">
                  <c:v>2.9072970877236819</c:v>
                </c:pt>
                <c:pt idx="5">
                  <c:v>3.0309656951865547</c:v>
                </c:pt>
                <c:pt idx="6">
                  <c:v>3.1459558038801037</c:v>
                </c:pt>
                <c:pt idx="7">
                  <c:v>3.0895455618794947</c:v>
                </c:pt>
                <c:pt idx="10">
                  <c:v>2.1117680338689433</c:v>
                </c:pt>
                <c:pt idx="11">
                  <c:v>2.1161072832536054</c:v>
                </c:pt>
                <c:pt idx="12">
                  <c:v>3.6717330366569469</c:v>
                </c:pt>
                <c:pt idx="13">
                  <c:v>3.6561528398960266</c:v>
                </c:pt>
                <c:pt idx="14">
                  <c:v>3.7678109166826239</c:v>
                </c:pt>
                <c:pt idx="15">
                  <c:v>3.7444406215412429</c:v>
                </c:pt>
                <c:pt idx="18">
                  <c:v>2.4772512849863699</c:v>
                </c:pt>
                <c:pt idx="19">
                  <c:v>2.5032182795879043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F2F-4F82-9609-FB89BD6C3C33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headed!$CX$196:$CX$215</c:f>
              <c:numCache>
                <c:formatCode>General</c:formatCode>
                <c:ptCount val="20"/>
                <c:pt idx="8">
                  <c:v>2.7149668974723982</c:v>
                </c:pt>
                <c:pt idx="9">
                  <c:v>2.7074357826389104</c:v>
                </c:pt>
                <c:pt idx="16">
                  <c:v>3.0790396611328834</c:v>
                </c:pt>
                <c:pt idx="17">
                  <c:v>3.0726604353156195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2F-4F82-9609-FB89BD6C3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00800"/>
        <c:axId val="132715264"/>
      </c:scatterChart>
      <c:valAx>
        <c:axId val="132700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15264"/>
        <c:crosses val="autoZero"/>
        <c:crossBetween val="midCat"/>
      </c:valAx>
      <c:valAx>
        <c:axId val="13271526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00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headed!$CS$169:$CS$195</c:f>
              <c:numCache>
                <c:formatCode>General</c:formatCode>
                <c:ptCount val="27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BB-469E-AA28-FAB02997FB90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headed!$CY$169:$CY$195</c:f>
              <c:numCache>
                <c:formatCode>General</c:formatCode>
                <c:ptCount val="27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BB-469E-AA28-FAB02997FB90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headed!$CS$216:$CS$453</c:f>
              <c:numCache>
                <c:formatCode>General</c:formatCode>
                <c:ptCount val="238"/>
                <c:pt idx="8">
                  <c:v>1.2380919937878554</c:v>
                </c:pt>
                <c:pt idx="9">
                  <c:v>0.98516281921633742</c:v>
                </c:pt>
                <c:pt idx="11">
                  <c:v>0.93206382246205521</c:v>
                </c:pt>
                <c:pt idx="12">
                  <c:v>1.0324950798962937</c:v>
                </c:pt>
                <c:pt idx="15">
                  <c:v>1.2033493663218637</c:v>
                </c:pt>
                <c:pt idx="19">
                  <c:v>1.6270397075880396</c:v>
                </c:pt>
                <c:pt idx="20">
                  <c:v>1.0787425247853666</c:v>
                </c:pt>
                <c:pt idx="21">
                  <c:v>0.864466025227837</c:v>
                </c:pt>
                <c:pt idx="22">
                  <c:v>1.1163081599228812</c:v>
                </c:pt>
                <c:pt idx="23">
                  <c:v>1.3187489627900544</c:v>
                </c:pt>
                <c:pt idx="25">
                  <c:v>1.3244193650535829</c:v>
                </c:pt>
                <c:pt idx="26">
                  <c:v>0.96172270015417394</c:v>
                </c:pt>
                <c:pt idx="27">
                  <c:v>1.7054171816068107</c:v>
                </c:pt>
                <c:pt idx="28">
                  <c:v>1.4957640290850434</c:v>
                </c:pt>
                <c:pt idx="29">
                  <c:v>1.3582301682762954</c:v>
                </c:pt>
                <c:pt idx="31">
                  <c:v>1.1369631936734077</c:v>
                </c:pt>
                <c:pt idx="36">
                  <c:v>0.84833333333333338</c:v>
                </c:pt>
                <c:pt idx="37">
                  <c:v>1</c:v>
                </c:pt>
                <c:pt idx="42">
                  <c:v>1.1737171323264513</c:v>
                </c:pt>
                <c:pt idx="43">
                  <c:v>0.98499999999999999</c:v>
                </c:pt>
                <c:pt idx="48">
                  <c:v>0.98628051473021827</c:v>
                </c:pt>
                <c:pt idx="49">
                  <c:v>0.96916666666666662</c:v>
                </c:pt>
                <c:pt idx="54">
                  <c:v>0.89800579941581282</c:v>
                </c:pt>
                <c:pt idx="56">
                  <c:v>1.0355623876435345</c:v>
                </c:pt>
                <c:pt idx="60">
                  <c:v>0.98097068748379734</c:v>
                </c:pt>
                <c:pt idx="63">
                  <c:v>1.026278911927931</c:v>
                </c:pt>
                <c:pt idx="67">
                  <c:v>0.75449639049580097</c:v>
                </c:pt>
                <c:pt idx="69">
                  <c:v>0.73864862864762737</c:v>
                </c:pt>
                <c:pt idx="71">
                  <c:v>0.75738494469674067</c:v>
                </c:pt>
                <c:pt idx="73">
                  <c:v>0.7688185795271586</c:v>
                </c:pt>
                <c:pt idx="75">
                  <c:v>1.051317145691999</c:v>
                </c:pt>
                <c:pt idx="76">
                  <c:v>1.0428358329621183</c:v>
                </c:pt>
                <c:pt idx="77">
                  <c:v>0.90762534595970545</c:v>
                </c:pt>
                <c:pt idx="78">
                  <c:v>0.96668345094347008</c:v>
                </c:pt>
                <c:pt idx="87">
                  <c:v>1.1112596892664182</c:v>
                </c:pt>
                <c:pt idx="88">
                  <c:v>1.1281282791225913</c:v>
                </c:pt>
                <c:pt idx="91">
                  <c:v>1.1403447227271795</c:v>
                </c:pt>
                <c:pt idx="92">
                  <c:v>1.1667495807153807</c:v>
                </c:pt>
                <c:pt idx="95">
                  <c:v>1.0695354015578697</c:v>
                </c:pt>
                <c:pt idx="96">
                  <c:v>1.1086028706787405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0.81958454427477145</c:v>
                </c:pt>
                <c:pt idx="110">
                  <c:v>0.77187994815402661</c:v>
                </c:pt>
                <c:pt idx="112">
                  <c:v>0.72179535196685451</c:v>
                </c:pt>
                <c:pt idx="114">
                  <c:v>0.94633885858091515</c:v>
                </c:pt>
                <c:pt idx="116">
                  <c:v>1.040321922403797</c:v>
                </c:pt>
                <c:pt idx="117">
                  <c:v>1.0201564955106805</c:v>
                </c:pt>
                <c:pt idx="119">
                  <c:v>1.0927712921092712</c:v>
                </c:pt>
                <c:pt idx="121">
                  <c:v>1.0374944577148659</c:v>
                </c:pt>
                <c:pt idx="123">
                  <c:v>0.77596899224806193</c:v>
                </c:pt>
                <c:pt idx="124">
                  <c:v>0.76884181445606981</c:v>
                </c:pt>
                <c:pt idx="127">
                  <c:v>0.93271114834467483</c:v>
                </c:pt>
                <c:pt idx="128">
                  <c:v>0.98191767642597505</c:v>
                </c:pt>
                <c:pt idx="131">
                  <c:v>0.73708254508719195</c:v>
                </c:pt>
                <c:pt idx="132">
                  <c:v>0.76475423221277683</c:v>
                </c:pt>
                <c:pt idx="135">
                  <c:v>0.81066942187607538</c:v>
                </c:pt>
                <c:pt idx="136">
                  <c:v>0.89753775945612424</c:v>
                </c:pt>
                <c:pt idx="137">
                  <c:v>0.89515643202731698</c:v>
                </c:pt>
                <c:pt idx="138">
                  <c:v>0.95550025830198404</c:v>
                </c:pt>
                <c:pt idx="139">
                  <c:v>1.0643352713979048</c:v>
                </c:pt>
                <c:pt idx="140">
                  <c:v>0.9161935541106252</c:v>
                </c:pt>
                <c:pt idx="142">
                  <c:v>0.79497862339968595</c:v>
                </c:pt>
                <c:pt idx="144">
                  <c:v>0.62319362436667958</c:v>
                </c:pt>
                <c:pt idx="146">
                  <c:v>0.87917179348650509</c:v>
                </c:pt>
                <c:pt idx="148">
                  <c:v>0.60184794055467938</c:v>
                </c:pt>
                <c:pt idx="150">
                  <c:v>0.7330357782373077</c:v>
                </c:pt>
                <c:pt idx="152">
                  <c:v>0.66486057633594775</c:v>
                </c:pt>
                <c:pt idx="154">
                  <c:v>0.65201390875330911</c:v>
                </c:pt>
                <c:pt idx="156">
                  <c:v>0.72042570438964904</c:v>
                </c:pt>
                <c:pt idx="158">
                  <c:v>0.65535916327208799</c:v>
                </c:pt>
                <c:pt idx="160">
                  <c:v>0.79874270242833545</c:v>
                </c:pt>
                <c:pt idx="162">
                  <c:v>0.85551395808440578</c:v>
                </c:pt>
                <c:pt idx="163">
                  <c:v>0.98139244277365356</c:v>
                </c:pt>
                <c:pt idx="168">
                  <c:v>0.89396556017501727</c:v>
                </c:pt>
                <c:pt idx="169">
                  <c:v>0.98338913792026705</c:v>
                </c:pt>
                <c:pt idx="173">
                  <c:v>0.65825114412661645</c:v>
                </c:pt>
                <c:pt idx="174">
                  <c:v>0.77378912538861899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0.81191613543819985</c:v>
                </c:pt>
                <c:pt idx="184">
                  <c:v>0.93075915185163327</c:v>
                </c:pt>
                <c:pt idx="187">
                  <c:v>0.9223210736286156</c:v>
                </c:pt>
                <c:pt idx="190">
                  <c:v>0.68598892644176579</c:v>
                </c:pt>
                <c:pt idx="193">
                  <c:v>0.80065106847835565</c:v>
                </c:pt>
                <c:pt idx="195">
                  <c:v>0.63658061415316614</c:v>
                </c:pt>
                <c:pt idx="196">
                  <c:v>0.67872485494033818</c:v>
                </c:pt>
                <c:pt idx="198">
                  <c:v>0.61800778838527559</c:v>
                </c:pt>
                <c:pt idx="199">
                  <c:v>0.70367808719437008</c:v>
                </c:pt>
                <c:pt idx="204">
                  <c:v>0.58197921135499686</c:v>
                </c:pt>
                <c:pt idx="207">
                  <c:v>0.47564989032534455</c:v>
                </c:pt>
                <c:pt idx="210">
                  <c:v>1.0814969925658282</c:v>
                </c:pt>
                <c:pt idx="211">
                  <c:v>0.99576500752813224</c:v>
                </c:pt>
                <c:pt idx="214">
                  <c:v>0.67339603919552049</c:v>
                </c:pt>
                <c:pt idx="216">
                  <c:v>1.0281950348313329</c:v>
                </c:pt>
                <c:pt idx="218">
                  <c:v>0.75774169091366828</c:v>
                </c:pt>
                <c:pt idx="220">
                  <c:v>0.73182258163771818</c:v>
                </c:pt>
                <c:pt idx="222">
                  <c:v>0.99737956201403044</c:v>
                </c:pt>
                <c:pt idx="223">
                  <c:v>1.0728433505360115</c:v>
                </c:pt>
                <c:pt idx="226">
                  <c:v>0.79048475314469613</c:v>
                </c:pt>
                <c:pt idx="227">
                  <c:v>0.83691102883897983</c:v>
                </c:pt>
                <c:pt idx="230">
                  <c:v>1.1596127136690846</c:v>
                </c:pt>
                <c:pt idx="231">
                  <c:v>1.2217011324137843</c:v>
                </c:pt>
                <c:pt idx="234">
                  <c:v>1.1515856076091984</c:v>
                </c:pt>
                <c:pt idx="235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BB-469E-AA28-FAB02997FB9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headed!$CY$216:$CY$453</c:f>
              <c:numCache>
                <c:formatCode>General</c:formatCode>
                <c:ptCount val="238"/>
                <c:pt idx="13">
                  <c:v>1.4559039363893846</c:v>
                </c:pt>
                <c:pt idx="24">
                  <c:v>1.5899976895949632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1.0732340453544049</c:v>
                </c:pt>
                <c:pt idx="39">
                  <c:v>1.0025154962900582</c:v>
                </c:pt>
                <c:pt idx="40">
                  <c:v>1.3316690082587483</c:v>
                </c:pt>
                <c:pt idx="41">
                  <c:v>1.097611405753202</c:v>
                </c:pt>
                <c:pt idx="44">
                  <c:v>1.1793748514869569</c:v>
                </c:pt>
                <c:pt idx="45">
                  <c:v>1.0114255979953197</c:v>
                </c:pt>
                <c:pt idx="46">
                  <c:v>1.4143463626576895</c:v>
                </c:pt>
                <c:pt idx="47">
                  <c:v>1.1787643163301271</c:v>
                </c:pt>
                <c:pt idx="50">
                  <c:v>1.1078590441518625</c:v>
                </c:pt>
                <c:pt idx="51">
                  <c:v>1.0255837865554474</c:v>
                </c:pt>
                <c:pt idx="52">
                  <c:v>1.2622199993298189</c:v>
                </c:pt>
                <c:pt idx="53">
                  <c:v>1.0612133921380551</c:v>
                </c:pt>
                <c:pt idx="55">
                  <c:v>0.88210240843168164</c:v>
                </c:pt>
                <c:pt idx="57">
                  <c:v>0.97531366488201143</c:v>
                </c:pt>
                <c:pt idx="58">
                  <c:v>1.2275313013278444</c:v>
                </c:pt>
                <c:pt idx="59">
                  <c:v>1.0909962422431996</c:v>
                </c:pt>
                <c:pt idx="61">
                  <c:v>1.0184221931806774</c:v>
                </c:pt>
                <c:pt idx="62">
                  <c:v>1.2076437156812905</c:v>
                </c:pt>
                <c:pt idx="64">
                  <c:v>0.95166687424883689</c:v>
                </c:pt>
                <c:pt idx="65">
                  <c:v>0.94979047422646845</c:v>
                </c:pt>
                <c:pt idx="66">
                  <c:v>1.0555684263285166</c:v>
                </c:pt>
                <c:pt idx="68">
                  <c:v>0.85631332847185648</c:v>
                </c:pt>
                <c:pt idx="70">
                  <c:v>1.0122595831277816</c:v>
                </c:pt>
                <c:pt idx="72">
                  <c:v>0.98660780016235983</c:v>
                </c:pt>
                <c:pt idx="74">
                  <c:v>0.93949066396852476</c:v>
                </c:pt>
                <c:pt idx="79">
                  <c:v>0.92467198904083814</c:v>
                </c:pt>
                <c:pt idx="80">
                  <c:v>1.0457977173215069</c:v>
                </c:pt>
                <c:pt idx="81">
                  <c:v>0.98277763354811387</c:v>
                </c:pt>
                <c:pt idx="82">
                  <c:v>0.96655501262970034</c:v>
                </c:pt>
                <c:pt idx="83">
                  <c:v>0.94029242605845686</c:v>
                </c:pt>
                <c:pt idx="84">
                  <c:v>1.0210557999824699</c:v>
                </c:pt>
                <c:pt idx="85">
                  <c:v>1.0263095681968797</c:v>
                </c:pt>
                <c:pt idx="86">
                  <c:v>0.99617785069192466</c:v>
                </c:pt>
                <c:pt idx="89">
                  <c:v>1.3411331667214759</c:v>
                </c:pt>
                <c:pt idx="90">
                  <c:v>1.4014181325909159</c:v>
                </c:pt>
                <c:pt idx="93">
                  <c:v>1.3055599870590859</c:v>
                </c:pt>
                <c:pt idx="94">
                  <c:v>1.4151480032461179</c:v>
                </c:pt>
                <c:pt idx="97">
                  <c:v>1.2682678827222702</c:v>
                </c:pt>
                <c:pt idx="98">
                  <c:v>1.4782200012625968</c:v>
                </c:pt>
                <c:pt idx="102">
                  <c:v>0.64304013454181963</c:v>
                </c:pt>
                <c:pt idx="103">
                  <c:v>0.76838286120630295</c:v>
                </c:pt>
                <c:pt idx="104">
                  <c:v>0.89552419733717004</c:v>
                </c:pt>
                <c:pt idx="105">
                  <c:v>0.7840718743477787</c:v>
                </c:pt>
                <c:pt idx="106">
                  <c:v>0.98409766607899973</c:v>
                </c:pt>
                <c:pt idx="107">
                  <c:v>1.1028377286200142</c:v>
                </c:pt>
                <c:pt idx="109">
                  <c:v>0.86504992090891586</c:v>
                </c:pt>
                <c:pt idx="111">
                  <c:v>0.96079814882500592</c:v>
                </c:pt>
                <c:pt idx="113">
                  <c:v>0.90958443196571492</c:v>
                </c:pt>
                <c:pt idx="115">
                  <c:v>0.88772695202762453</c:v>
                </c:pt>
                <c:pt idx="118">
                  <c:v>1.1408969245623375</c:v>
                </c:pt>
                <c:pt idx="120">
                  <c:v>1.2733735889849789</c:v>
                </c:pt>
                <c:pt idx="122">
                  <c:v>1.0877385129806194</c:v>
                </c:pt>
                <c:pt idx="125">
                  <c:v>1</c:v>
                </c:pt>
                <c:pt idx="126">
                  <c:v>1.0970371571867716</c:v>
                </c:pt>
                <c:pt idx="129">
                  <c:v>0.92990729725452292</c:v>
                </c:pt>
                <c:pt idx="130">
                  <c:v>1.2334336233137346</c:v>
                </c:pt>
                <c:pt idx="133">
                  <c:v>0.80505769112623204</c:v>
                </c:pt>
                <c:pt idx="134">
                  <c:v>1.1698808414795534</c:v>
                </c:pt>
                <c:pt idx="141">
                  <c:v>1.0276805768179793</c:v>
                </c:pt>
                <c:pt idx="143">
                  <c:v>1.0750809484919404</c:v>
                </c:pt>
                <c:pt idx="145">
                  <c:v>0.96051437093285852</c:v>
                </c:pt>
                <c:pt idx="147">
                  <c:v>1.2347092535127056</c:v>
                </c:pt>
                <c:pt idx="149">
                  <c:v>1.0219610040497915</c:v>
                </c:pt>
                <c:pt idx="151">
                  <c:v>1.1198131819366681</c:v>
                </c:pt>
                <c:pt idx="153">
                  <c:v>1.0063627542062954</c:v>
                </c:pt>
                <c:pt idx="155">
                  <c:v>0.96063482258325084</c:v>
                </c:pt>
                <c:pt idx="157">
                  <c:v>1.1550340401026544</c:v>
                </c:pt>
                <c:pt idx="159">
                  <c:v>1.1105084560718819</c:v>
                </c:pt>
                <c:pt idx="161">
                  <c:v>1.023547164422965</c:v>
                </c:pt>
                <c:pt idx="164">
                  <c:v>0.70984876435598188</c:v>
                </c:pt>
                <c:pt idx="165">
                  <c:v>1.0481130483497585</c:v>
                </c:pt>
                <c:pt idx="166">
                  <c:v>0.90063459723224326</c:v>
                </c:pt>
                <c:pt idx="167">
                  <c:v>1.2858428339267387</c:v>
                </c:pt>
                <c:pt idx="170">
                  <c:v>1.036322161226584</c:v>
                </c:pt>
                <c:pt idx="171">
                  <c:v>1.3610574349331113</c:v>
                </c:pt>
                <c:pt idx="172">
                  <c:v>1.1811110675219012</c:v>
                </c:pt>
                <c:pt idx="175">
                  <c:v>0.75899280575539563</c:v>
                </c:pt>
                <c:pt idx="176">
                  <c:v>0.8904869210020433</c:v>
                </c:pt>
                <c:pt idx="177">
                  <c:v>0.90287769784172656</c:v>
                </c:pt>
                <c:pt idx="178">
                  <c:v>0.98498574494393953</c:v>
                </c:pt>
                <c:pt idx="182">
                  <c:v>0.9430316920738141</c:v>
                </c:pt>
                <c:pt idx="183">
                  <c:v>1.0458763223941501</c:v>
                </c:pt>
                <c:pt idx="185">
                  <c:v>1.0597976267559761</c:v>
                </c:pt>
                <c:pt idx="186">
                  <c:v>1.4770163586145215</c:v>
                </c:pt>
                <c:pt idx="188">
                  <c:v>1.0760378613885915</c:v>
                </c:pt>
                <c:pt idx="189">
                  <c:v>1.0622002196076112</c:v>
                </c:pt>
                <c:pt idx="191">
                  <c:v>0.83117670323868909</c:v>
                </c:pt>
                <c:pt idx="192">
                  <c:v>0.90798285629871378</c:v>
                </c:pt>
                <c:pt idx="194">
                  <c:v>0.91366453911512724</c:v>
                </c:pt>
                <c:pt idx="197">
                  <c:v>0.83340478977310528</c:v>
                </c:pt>
                <c:pt idx="200">
                  <c:v>0.9393306132040562</c:v>
                </c:pt>
                <c:pt idx="201">
                  <c:v>0.65027889870200761</c:v>
                </c:pt>
                <c:pt idx="202">
                  <c:v>0.95884996399514588</c:v>
                </c:pt>
                <c:pt idx="203">
                  <c:v>1.0237310466798923</c:v>
                </c:pt>
                <c:pt idx="205">
                  <c:v>0.64761509962742803</c:v>
                </c:pt>
                <c:pt idx="206">
                  <c:v>0.80079303363680798</c:v>
                </c:pt>
                <c:pt idx="208">
                  <c:v>0.66704150177213273</c:v>
                </c:pt>
                <c:pt idx="209">
                  <c:v>0.70702684009784134</c:v>
                </c:pt>
                <c:pt idx="212">
                  <c:v>0.99413885294838056</c:v>
                </c:pt>
                <c:pt idx="213">
                  <c:v>1.1394424782402843</c:v>
                </c:pt>
                <c:pt idx="215">
                  <c:v>0.8706995887826271</c:v>
                </c:pt>
                <c:pt idx="217">
                  <c:v>1.1970277979743196</c:v>
                </c:pt>
                <c:pt idx="219">
                  <c:v>1.0238289667935871</c:v>
                </c:pt>
                <c:pt idx="221">
                  <c:v>0.85256630700679548</c:v>
                </c:pt>
                <c:pt idx="224">
                  <c:v>1.2159686517391213</c:v>
                </c:pt>
                <c:pt idx="225">
                  <c:v>1.2091576243153148</c:v>
                </c:pt>
                <c:pt idx="228">
                  <c:v>1.006304469333855</c:v>
                </c:pt>
                <c:pt idx="229">
                  <c:v>1.189548271882735</c:v>
                </c:pt>
                <c:pt idx="232">
                  <c:v>1.3325481105008794</c:v>
                </c:pt>
                <c:pt idx="233">
                  <c:v>1.3127262358757383</c:v>
                </c:pt>
                <c:pt idx="236">
                  <c:v>1.2956263023911716</c:v>
                </c:pt>
                <c:pt idx="23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BB-469E-AA28-FAB02997FB9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DBB-469E-AA28-FAB02997FB90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headed!$CS$196:$CS$215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DBB-469E-AA28-FAB02997FB90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headed!$CY$196:$CY$215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BB-469E-AA28-FAB02997F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71840"/>
        <c:axId val="132773760"/>
      </c:scatterChart>
      <c:valAx>
        <c:axId val="1327718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3760"/>
        <c:crosses val="autoZero"/>
        <c:crossBetween val="midCat"/>
      </c:valAx>
      <c:valAx>
        <c:axId val="13277376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18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headed!$CT$169:$CT$195</c:f>
              <c:numCache>
                <c:formatCode>General</c:formatCode>
                <c:ptCount val="27"/>
                <c:pt idx="0">
                  <c:v>1.0049803374710342</c:v>
                </c:pt>
                <c:pt idx="2">
                  <c:v>1.3502706830387621</c:v>
                </c:pt>
                <c:pt idx="3">
                  <c:v>1.0412218156152346</c:v>
                </c:pt>
                <c:pt idx="5">
                  <c:v>1.131898315070766</c:v>
                </c:pt>
                <c:pt idx="6">
                  <c:v>1.1972859454860088</c:v>
                </c:pt>
                <c:pt idx="7">
                  <c:v>1.1825979304836267</c:v>
                </c:pt>
                <c:pt idx="10">
                  <c:v>1.2158256317980205</c:v>
                </c:pt>
                <c:pt idx="11">
                  <c:v>1.1078654557321155</c:v>
                </c:pt>
                <c:pt idx="14">
                  <c:v>1.3493245422364921</c:v>
                </c:pt>
                <c:pt idx="16">
                  <c:v>1.3095784928162608</c:v>
                </c:pt>
                <c:pt idx="17">
                  <c:v>1.1362985571149462</c:v>
                </c:pt>
                <c:pt idx="19">
                  <c:v>1.1264315123772384</c:v>
                </c:pt>
                <c:pt idx="20">
                  <c:v>1.250702910301895</c:v>
                </c:pt>
                <c:pt idx="24">
                  <c:v>1.353732099805089</c:v>
                </c:pt>
                <c:pt idx="25">
                  <c:v>1.2140631955584191</c:v>
                </c:pt>
                <c:pt idx="26">
                  <c:v>1.2142589675863487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50-45A0-8E91-D8CE6BB2B5B7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headed!$CZ$169:$CZ$195</c:f>
              <c:numCache>
                <c:formatCode>General</c:formatCode>
                <c:ptCount val="27"/>
                <c:pt idx="1">
                  <c:v>1.336765961716297</c:v>
                </c:pt>
                <c:pt idx="4">
                  <c:v>1.1716971921552939</c:v>
                </c:pt>
                <c:pt idx="8">
                  <c:v>1.1802441564682067</c:v>
                </c:pt>
                <c:pt idx="9">
                  <c:v>1.3701259564751176</c:v>
                </c:pt>
                <c:pt idx="12">
                  <c:v>0.88558461738800009</c:v>
                </c:pt>
                <c:pt idx="13">
                  <c:v>1.0971269956239666</c:v>
                </c:pt>
                <c:pt idx="15">
                  <c:v>1.6978913823018422</c:v>
                </c:pt>
                <c:pt idx="18">
                  <c:v>1.4489090299456451</c:v>
                </c:pt>
                <c:pt idx="21">
                  <c:v>1.6061312508358303</c:v>
                </c:pt>
                <c:pt idx="22">
                  <c:v>1.5076213914643732</c:v>
                </c:pt>
                <c:pt idx="23">
                  <c:v>1.6116129274598434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0-45A0-8E91-D8CE6BB2B5B7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headed!$CT$216:$CT$453</c:f>
              <c:numCache>
                <c:formatCode>General</c:formatCode>
                <c:ptCount val="238"/>
                <c:pt idx="8">
                  <c:v>1.3383380886118024</c:v>
                </c:pt>
                <c:pt idx="9">
                  <c:v>1.0667341823935248</c:v>
                </c:pt>
                <c:pt idx="11">
                  <c:v>0.96123910886210173</c:v>
                </c:pt>
                <c:pt idx="12">
                  <c:v>1.0800473563193289</c:v>
                </c:pt>
                <c:pt idx="15">
                  <c:v>1.3081102480693489</c:v>
                </c:pt>
                <c:pt idx="19">
                  <c:v>1.6772269266410664</c:v>
                </c:pt>
                <c:pt idx="20">
                  <c:v>1.1150394683014302</c:v>
                </c:pt>
                <c:pt idx="21">
                  <c:v>0.93601937017964099</c:v>
                </c:pt>
                <c:pt idx="22">
                  <c:v>1.2119877238401617</c:v>
                </c:pt>
                <c:pt idx="23">
                  <c:v>1.4335498222786425</c:v>
                </c:pt>
                <c:pt idx="25">
                  <c:v>1.4709966291791812</c:v>
                </c:pt>
                <c:pt idx="26">
                  <c:v>1.024630490427666</c:v>
                </c:pt>
                <c:pt idx="27">
                  <c:v>1.7084704294313242</c:v>
                </c:pt>
                <c:pt idx="28">
                  <c:v>1.5425351929470028</c:v>
                </c:pt>
                <c:pt idx="29">
                  <c:v>1.4530735737887628</c:v>
                </c:pt>
                <c:pt idx="31">
                  <c:v>1.162098744070923</c:v>
                </c:pt>
                <c:pt idx="36">
                  <c:v>0.91851247644247092</c:v>
                </c:pt>
                <c:pt idx="37">
                  <c:v>1</c:v>
                </c:pt>
                <c:pt idx="42">
                  <c:v>1.2638608456589822</c:v>
                </c:pt>
                <c:pt idx="43">
                  <c:v>1.0429653107588621</c:v>
                </c:pt>
                <c:pt idx="48">
                  <c:v>1.0591467407093387</c:v>
                </c:pt>
                <c:pt idx="49">
                  <c:v>0.99943469121787187</c:v>
                </c:pt>
                <c:pt idx="54">
                  <c:v>0.94606036381909953</c:v>
                </c:pt>
                <c:pt idx="56">
                  <c:v>1.0537522781326267</c:v>
                </c:pt>
                <c:pt idx="60">
                  <c:v>1.0069882788145434</c:v>
                </c:pt>
                <c:pt idx="63">
                  <c:v>1.0607370982090985</c:v>
                </c:pt>
                <c:pt idx="67">
                  <c:v>0.78300596637240216</c:v>
                </c:pt>
                <c:pt idx="69">
                  <c:v>0.74214693971252432</c:v>
                </c:pt>
                <c:pt idx="71">
                  <c:v>0.76591341717817985</c:v>
                </c:pt>
                <c:pt idx="73">
                  <c:v>0.782670244439856</c:v>
                </c:pt>
                <c:pt idx="75">
                  <c:v>1.10521720654621</c:v>
                </c:pt>
                <c:pt idx="76">
                  <c:v>1.1039912468916053</c:v>
                </c:pt>
                <c:pt idx="77">
                  <c:v>0.97146948096887209</c:v>
                </c:pt>
                <c:pt idx="78">
                  <c:v>1.0425960964081298</c:v>
                </c:pt>
                <c:pt idx="87">
                  <c:v>1.164038324517964</c:v>
                </c:pt>
                <c:pt idx="88">
                  <c:v>1.1851863092498804</c:v>
                </c:pt>
                <c:pt idx="91">
                  <c:v>1.1693024959062237</c:v>
                </c:pt>
                <c:pt idx="92">
                  <c:v>1.1994142932326093</c:v>
                </c:pt>
                <c:pt idx="95">
                  <c:v>1.0759579072343315</c:v>
                </c:pt>
                <c:pt idx="96">
                  <c:v>1.1152914305964363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0.82535245957938552</c:v>
                </c:pt>
                <c:pt idx="110">
                  <c:v>0.74722430214469848</c:v>
                </c:pt>
                <c:pt idx="112">
                  <c:v>0.70351864336481917</c:v>
                </c:pt>
                <c:pt idx="114">
                  <c:v>0.93461795122954905</c:v>
                </c:pt>
                <c:pt idx="116">
                  <c:v>1.0546620803021731</c:v>
                </c:pt>
                <c:pt idx="117">
                  <c:v>1.0088869571220103</c:v>
                </c:pt>
                <c:pt idx="119">
                  <c:v>1.0815801265431821</c:v>
                </c:pt>
                <c:pt idx="121">
                  <c:v>1.0377227912290949</c:v>
                </c:pt>
                <c:pt idx="123">
                  <c:v>0.78234204586737066</c:v>
                </c:pt>
                <c:pt idx="124">
                  <c:v>0.76733459610941368</c:v>
                </c:pt>
                <c:pt idx="127">
                  <c:v>0.94794472349162318</c:v>
                </c:pt>
                <c:pt idx="128">
                  <c:v>0.95810293219723919</c:v>
                </c:pt>
                <c:pt idx="131">
                  <c:v>0.73918547860307671</c:v>
                </c:pt>
                <c:pt idx="132">
                  <c:v>0.73435132953628823</c:v>
                </c:pt>
                <c:pt idx="135">
                  <c:v>0.85520549534192214</c:v>
                </c:pt>
                <c:pt idx="136">
                  <c:v>0.94115541649385537</c:v>
                </c:pt>
                <c:pt idx="137">
                  <c:v>0.93310480003574625</c:v>
                </c:pt>
                <c:pt idx="138">
                  <c:v>0.98697622127594653</c:v>
                </c:pt>
                <c:pt idx="139">
                  <c:v>1.0864891795569402</c:v>
                </c:pt>
                <c:pt idx="140">
                  <c:v>0.96674260066309403</c:v>
                </c:pt>
                <c:pt idx="142">
                  <c:v>0.82233348350740842</c:v>
                </c:pt>
                <c:pt idx="144">
                  <c:v>0.63480838312555887</c:v>
                </c:pt>
                <c:pt idx="146">
                  <c:v>0.90003950832799662</c:v>
                </c:pt>
                <c:pt idx="148">
                  <c:v>0.63292489521379602</c:v>
                </c:pt>
                <c:pt idx="150">
                  <c:v>0.73924512696546085</c:v>
                </c:pt>
                <c:pt idx="152">
                  <c:v>0.68467739710453912</c:v>
                </c:pt>
                <c:pt idx="154">
                  <c:v>0.67868729013532503</c:v>
                </c:pt>
                <c:pt idx="156">
                  <c:v>0.72633374341804824</c:v>
                </c:pt>
                <c:pt idx="158">
                  <c:v>0.63898823880641586</c:v>
                </c:pt>
                <c:pt idx="160">
                  <c:v>0.75400013200926497</c:v>
                </c:pt>
                <c:pt idx="162">
                  <c:v>0.89951817016281221</c:v>
                </c:pt>
                <c:pt idx="163">
                  <c:v>0.97894457082747688</c:v>
                </c:pt>
                <c:pt idx="168">
                  <c:v>0.95692750390543657</c:v>
                </c:pt>
                <c:pt idx="169">
                  <c:v>1.000825177613299</c:v>
                </c:pt>
                <c:pt idx="173">
                  <c:v>0.67646352686461653</c:v>
                </c:pt>
                <c:pt idx="174">
                  <c:v>0.75051026424073697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0.82625634412902194</c:v>
                </c:pt>
                <c:pt idx="184">
                  <c:v>0.93527480684988118</c:v>
                </c:pt>
                <c:pt idx="187">
                  <c:v>1.0182198876788391</c:v>
                </c:pt>
                <c:pt idx="190">
                  <c:v>0.74669552116938287</c:v>
                </c:pt>
                <c:pt idx="193">
                  <c:v>0.8348184273807373</c:v>
                </c:pt>
                <c:pt idx="195">
                  <c:v>0.67335839175112699</c:v>
                </c:pt>
                <c:pt idx="196">
                  <c:v>0.69192281388318311</c:v>
                </c:pt>
                <c:pt idx="198">
                  <c:v>0.6648035989042731</c:v>
                </c:pt>
                <c:pt idx="199">
                  <c:v>0.72846501506533778</c:v>
                </c:pt>
                <c:pt idx="204">
                  <c:v>0.61746193238869718</c:v>
                </c:pt>
                <c:pt idx="207">
                  <c:v>0.49532268932934714</c:v>
                </c:pt>
                <c:pt idx="210">
                  <c:v>1.0734511207027237</c:v>
                </c:pt>
                <c:pt idx="211">
                  <c:v>0.97228115444619168</c:v>
                </c:pt>
                <c:pt idx="214">
                  <c:v>0.72096580896252627</c:v>
                </c:pt>
                <c:pt idx="216">
                  <c:v>1.1167546869959355</c:v>
                </c:pt>
                <c:pt idx="218">
                  <c:v>0.78437925291382093</c:v>
                </c:pt>
                <c:pt idx="220">
                  <c:v>0.73718451657272832</c:v>
                </c:pt>
                <c:pt idx="222">
                  <c:v>1.0416632154626597</c:v>
                </c:pt>
                <c:pt idx="223">
                  <c:v>1.1153119606929831</c:v>
                </c:pt>
                <c:pt idx="226">
                  <c:v>0.8085349544542425</c:v>
                </c:pt>
                <c:pt idx="227">
                  <c:v>0.85080970194489203</c:v>
                </c:pt>
                <c:pt idx="230">
                  <c:v>1.2582112350998493</c:v>
                </c:pt>
                <c:pt idx="231">
                  <c:v>1.3026075869753657</c:v>
                </c:pt>
                <c:pt idx="234">
                  <c:v>1.2264020383181997</c:v>
                </c:pt>
                <c:pt idx="235">
                  <c:v>1.2265000402860071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0-45A0-8E91-D8CE6BB2B5B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headed!$CZ$216:$CZ$453</c:f>
              <c:numCache>
                <c:formatCode>General</c:formatCode>
                <c:ptCount val="238"/>
                <c:pt idx="13">
                  <c:v>1.5688980242628909</c:v>
                </c:pt>
                <c:pt idx="24">
                  <c:v>1.7241744032031006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1.1669913938500407</c:v>
                </c:pt>
                <c:pt idx="39">
                  <c:v>1.0958321519136152</c:v>
                </c:pt>
                <c:pt idx="40">
                  <c:v>1.4482630142707176</c:v>
                </c:pt>
                <c:pt idx="41">
                  <c:v>1.2065212017848979</c:v>
                </c:pt>
                <c:pt idx="44">
                  <c:v>1.267632927019867</c:v>
                </c:pt>
                <c:pt idx="45">
                  <c:v>1.0864732280294513</c:v>
                </c:pt>
                <c:pt idx="46">
                  <c:v>1.5147236131087898</c:v>
                </c:pt>
                <c:pt idx="47">
                  <c:v>1.2694084672363284</c:v>
                </c:pt>
                <c:pt idx="50">
                  <c:v>1.1787430355325779</c:v>
                </c:pt>
                <c:pt idx="51">
                  <c:v>1.0953486974677027</c:v>
                </c:pt>
                <c:pt idx="52">
                  <c:v>1.3410351127446876</c:v>
                </c:pt>
                <c:pt idx="53">
                  <c:v>1.1378780950693508</c:v>
                </c:pt>
                <c:pt idx="55">
                  <c:v>0.9280417512964777</c:v>
                </c:pt>
                <c:pt idx="57">
                  <c:v>0.99104241411838778</c:v>
                </c:pt>
                <c:pt idx="58">
                  <c:v>1.246854111705707</c:v>
                </c:pt>
                <c:pt idx="59">
                  <c:v>1.1108598911062268</c:v>
                </c:pt>
                <c:pt idx="61">
                  <c:v>1.0429659273597731</c:v>
                </c:pt>
                <c:pt idx="62">
                  <c:v>1.2415241895472264</c:v>
                </c:pt>
                <c:pt idx="64">
                  <c:v>0.98254513569119484</c:v>
                </c:pt>
                <c:pt idx="65">
                  <c:v>0.97651110382324768</c:v>
                </c:pt>
                <c:pt idx="66">
                  <c:v>1.0887563493315389</c:v>
                </c:pt>
                <c:pt idx="68">
                  <c:v>0.88968810745173232</c:v>
                </c:pt>
                <c:pt idx="70">
                  <c:v>1.015645214075779</c:v>
                </c:pt>
                <c:pt idx="72">
                  <c:v>0.99490267950518141</c:v>
                </c:pt>
                <c:pt idx="74">
                  <c:v>0.95490274844904621</c:v>
                </c:pt>
                <c:pt idx="79">
                  <c:v>0.96545639129394512</c:v>
                </c:pt>
                <c:pt idx="80">
                  <c:v>1.1029753689711439</c:v>
                </c:pt>
                <c:pt idx="81">
                  <c:v>1.0443012016693149</c:v>
                </c:pt>
                <c:pt idx="82">
                  <c:v>1.035801217585661</c:v>
                </c:pt>
                <c:pt idx="83">
                  <c:v>0.97511909646297612</c:v>
                </c:pt>
                <c:pt idx="84">
                  <c:v>1.0745054096439952</c:v>
                </c:pt>
                <c:pt idx="85">
                  <c:v>1.0849879495526928</c:v>
                </c:pt>
                <c:pt idx="86">
                  <c:v>1.0658353776281775</c:v>
                </c:pt>
                <c:pt idx="89">
                  <c:v>1.4000927741086981</c:v>
                </c:pt>
                <c:pt idx="90">
                  <c:v>1.4707672066107018</c:v>
                </c:pt>
                <c:pt idx="93">
                  <c:v>1.3354151143487145</c:v>
                </c:pt>
                <c:pt idx="94">
                  <c:v>1.4489801776685771</c:v>
                </c:pt>
                <c:pt idx="97">
                  <c:v>1.2732119156908908</c:v>
                </c:pt>
                <c:pt idx="98">
                  <c:v>1.486801599498017</c:v>
                </c:pt>
                <c:pt idx="102">
                  <c:v>0.65440646347147291</c:v>
                </c:pt>
                <c:pt idx="103">
                  <c:v>0.74645745582544709</c:v>
                </c:pt>
                <c:pt idx="104">
                  <c:v>0.86626402070750652</c:v>
                </c:pt>
                <c:pt idx="105">
                  <c:v>0.78909154398737613</c:v>
                </c:pt>
                <c:pt idx="106">
                  <c:v>0.93712665612600687</c:v>
                </c:pt>
                <c:pt idx="107">
                  <c:v>1.0095343957325076</c:v>
                </c:pt>
                <c:pt idx="109">
                  <c:v>0.87025939203289582</c:v>
                </c:pt>
                <c:pt idx="111">
                  <c:v>0.93212965513993562</c:v>
                </c:pt>
                <c:pt idx="113">
                  <c:v>0.88584801505264343</c:v>
                </c:pt>
                <c:pt idx="115">
                  <c:v>0.8760822339448866</c:v>
                </c:pt>
                <c:pt idx="118">
                  <c:v>1.127721019295898</c:v>
                </c:pt>
                <c:pt idx="120">
                  <c:v>1.2575697339160365</c:v>
                </c:pt>
                <c:pt idx="122">
                  <c:v>1.0851045143939175</c:v>
                </c:pt>
                <c:pt idx="125">
                  <c:v>1.0136499429452763</c:v>
                </c:pt>
                <c:pt idx="126">
                  <c:v>1.0886125437537382</c:v>
                </c:pt>
                <c:pt idx="129">
                  <c:v>0.94032104183423759</c:v>
                </c:pt>
                <c:pt idx="130">
                  <c:v>1.1917519000638892</c:v>
                </c:pt>
                <c:pt idx="133">
                  <c:v>0.80046699672781108</c:v>
                </c:pt>
                <c:pt idx="134">
                  <c:v>1.1085878003695551</c:v>
                </c:pt>
                <c:pt idx="141">
                  <c:v>1.0879820523592281</c:v>
                </c:pt>
                <c:pt idx="143">
                  <c:v>1.1130622636058647</c:v>
                </c:pt>
                <c:pt idx="145">
                  <c:v>0.97995058160380566</c:v>
                </c:pt>
                <c:pt idx="147">
                  <c:v>1.2625217719196895</c:v>
                </c:pt>
                <c:pt idx="149">
                  <c:v>1.0771457263688171</c:v>
                </c:pt>
                <c:pt idx="151">
                  <c:v>1.1248507186141501</c:v>
                </c:pt>
                <c:pt idx="153">
                  <c:v>1.0359680488784047</c:v>
                </c:pt>
                <c:pt idx="155">
                  <c:v>1.0002692328949259</c:v>
                </c:pt>
                <c:pt idx="157">
                  <c:v>1.1618512131976952</c:v>
                </c:pt>
                <c:pt idx="159">
                  <c:v>1.0767191342865152</c:v>
                </c:pt>
                <c:pt idx="161">
                  <c:v>0.95972228420837502</c:v>
                </c:pt>
                <c:pt idx="164">
                  <c:v>0.74462905197182427</c:v>
                </c:pt>
                <c:pt idx="165">
                  <c:v>1.0414859751276166</c:v>
                </c:pt>
                <c:pt idx="166">
                  <c:v>0.94846759987164653</c:v>
                </c:pt>
                <c:pt idx="167">
                  <c:v>1.2792539211145848</c:v>
                </c:pt>
                <c:pt idx="170">
                  <c:v>1.1093102722998569</c:v>
                </c:pt>
                <c:pt idx="171">
                  <c:v>1.3796539954432834</c:v>
                </c:pt>
                <c:pt idx="172">
                  <c:v>1.2648314968012164</c:v>
                </c:pt>
                <c:pt idx="175">
                  <c:v>0.77281597321579087</c:v>
                </c:pt>
                <c:pt idx="176">
                  <c:v>0.86413021470864393</c:v>
                </c:pt>
                <c:pt idx="177">
                  <c:v>0.91208253125064931</c:v>
                </c:pt>
                <c:pt idx="178">
                  <c:v>0.95614243505191698</c:v>
                </c:pt>
                <c:pt idx="182">
                  <c:v>0.9601139047349182</c:v>
                </c:pt>
                <c:pt idx="183">
                  <c:v>1.0627262740118579</c:v>
                </c:pt>
                <c:pt idx="185">
                  <c:v>1.0625500982773062</c:v>
                </c:pt>
                <c:pt idx="186">
                  <c:v>1.4822322141280799</c:v>
                </c:pt>
                <c:pt idx="188">
                  <c:v>1.1905256945812908</c:v>
                </c:pt>
                <c:pt idx="189">
                  <c:v>1.1753055919076683</c:v>
                </c:pt>
                <c:pt idx="191">
                  <c:v>0.90336797784402101</c:v>
                </c:pt>
                <c:pt idx="192">
                  <c:v>0.99108586662496612</c:v>
                </c:pt>
                <c:pt idx="194">
                  <c:v>0.95553229503146886</c:v>
                </c:pt>
                <c:pt idx="197">
                  <c:v>0.84853134899852589</c:v>
                </c:pt>
                <c:pt idx="200">
                  <c:v>1.0134345640672162</c:v>
                </c:pt>
                <c:pt idx="201">
                  <c:v>0.67317534853537886</c:v>
                </c:pt>
                <c:pt idx="202">
                  <c:v>1.0383544149159285</c:v>
                </c:pt>
                <c:pt idx="203">
                  <c:v>1.0615276951705674</c:v>
                </c:pt>
                <c:pt idx="205">
                  <c:v>0.68724341538301104</c:v>
                </c:pt>
                <c:pt idx="206">
                  <c:v>0.85028063832166845</c:v>
                </c:pt>
                <c:pt idx="208">
                  <c:v>0.69404556824261776</c:v>
                </c:pt>
                <c:pt idx="209">
                  <c:v>0.73678053201601534</c:v>
                </c:pt>
                <c:pt idx="212">
                  <c:v>0.98184147159351287</c:v>
                </c:pt>
                <c:pt idx="213">
                  <c:v>1.1065773777959143</c:v>
                </c:pt>
                <c:pt idx="215">
                  <c:v>0.93377048827409681</c:v>
                </c:pt>
                <c:pt idx="217">
                  <c:v>1.2956424138648808</c:v>
                </c:pt>
                <c:pt idx="219">
                  <c:v>1.059782127050285</c:v>
                </c:pt>
                <c:pt idx="221">
                  <c:v>0.85852739822939572</c:v>
                </c:pt>
                <c:pt idx="224">
                  <c:v>1.2692714892463186</c:v>
                </c:pt>
                <c:pt idx="225">
                  <c:v>1.2571639757274684</c:v>
                </c:pt>
                <c:pt idx="228">
                  <c:v>1.0293844757547645</c:v>
                </c:pt>
                <c:pt idx="229">
                  <c:v>1.2091353781823571</c:v>
                </c:pt>
                <c:pt idx="232">
                  <c:v>1.4455193526381414</c:v>
                </c:pt>
                <c:pt idx="233">
                  <c:v>1.3999644400429421</c:v>
                </c:pt>
                <c:pt idx="236">
                  <c:v>1.3786937883911297</c:v>
                </c:pt>
                <c:pt idx="237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50-45A0-8E91-D8CE6BB2B5B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0-45A0-8E91-D8CE6BB2B5B7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headed!$CT$196:$CT$215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0-45A0-8E91-D8CE6BB2B5B7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headed!$CZ$196:$CZ$215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50-45A0-8E91-D8CE6BB2B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18048"/>
        <c:axId val="132819968"/>
      </c:scatterChart>
      <c:valAx>
        <c:axId val="1328180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9968"/>
        <c:crosses val="autoZero"/>
        <c:crossBetween val="midCat"/>
      </c:valAx>
      <c:valAx>
        <c:axId val="13281996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80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829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  <c:pt idx="19">
                  <c:v>8</c:v>
                </c:pt>
                <c:pt idx="20">
                  <c:v>8.3000000000000007</c:v>
                </c:pt>
                <c:pt idx="21">
                  <c:v>8.5</c:v>
                </c:pt>
                <c:pt idx="22">
                  <c:v>7.5</c:v>
                </c:pt>
                <c:pt idx="23">
                  <c:v>7.4</c:v>
                </c:pt>
                <c:pt idx="24">
                  <c:v>7.4</c:v>
                </c:pt>
                <c:pt idx="25">
                  <c:v>7.1</c:v>
                </c:pt>
                <c:pt idx="26">
                  <c:v>7</c:v>
                </c:pt>
                <c:pt idx="27">
                  <c:v>5.9999999999999991</c:v>
                </c:pt>
                <c:pt idx="28">
                  <c:v>5.9999999999999991</c:v>
                </c:pt>
                <c:pt idx="29">
                  <c:v>6.0999999999999988</c:v>
                </c:pt>
                <c:pt idx="30">
                  <c:v>6.0999999999999988</c:v>
                </c:pt>
                <c:pt idx="31">
                  <c:v>6.3</c:v>
                </c:pt>
                <c:pt idx="32">
                  <c:v>6.3</c:v>
                </c:pt>
                <c:pt idx="33">
                  <c:v>6.4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6.6</c:v>
                </c:pt>
                <c:pt idx="38">
                  <c:v>6.5</c:v>
                </c:pt>
                <c:pt idx="39">
                  <c:v>6.5</c:v>
                </c:pt>
                <c:pt idx="40">
                  <c:v>6.4</c:v>
                </c:pt>
                <c:pt idx="41">
                  <c:v>8.4</c:v>
                </c:pt>
                <c:pt idx="42">
                  <c:v>6.5</c:v>
                </c:pt>
                <c:pt idx="43">
                  <c:v>6.3</c:v>
                </c:pt>
                <c:pt idx="44">
                  <c:v>6.8000000000000007</c:v>
                </c:pt>
                <c:pt idx="45">
                  <c:v>5.9999999999999991</c:v>
                </c:pt>
                <c:pt idx="46">
                  <c:v>6.0999999999999988</c:v>
                </c:pt>
                <c:pt idx="47">
                  <c:v>6.8000000000000007</c:v>
                </c:pt>
                <c:pt idx="48">
                  <c:v>6.3</c:v>
                </c:pt>
                <c:pt idx="49">
                  <c:v>6.6</c:v>
                </c:pt>
                <c:pt idx="50">
                  <c:v>6.9</c:v>
                </c:pt>
              </c:numCache>
            </c:numRef>
          </c:xVal>
          <c:yVal>
            <c:numRef>
              <c:f>headed_backup!$CM$19:$CM$1274</c:f>
              <c:numCache>
                <c:formatCode>General</c:formatCode>
                <c:ptCount val="829"/>
                <c:pt idx="0">
                  <c:v>1.856778540561977</c:v>
                </c:pt>
                <c:pt idx="1">
                  <c:v>1.9336107560335067</c:v>
                </c:pt>
                <c:pt idx="2">
                  <c:v>1.8183624328262118</c:v>
                </c:pt>
                <c:pt idx="3">
                  <c:v>1.8375704866940943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AD-4E48-90A8-2FE42027CB9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1-DBAD-4E48-90A8-2FE42027C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81280"/>
        <c:axId val="129682816"/>
      </c:scatterChart>
      <c:valAx>
        <c:axId val="1296812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2816"/>
        <c:crosses val="autoZero"/>
        <c:crossBetween val="midCat"/>
      </c:valAx>
      <c:valAx>
        <c:axId val="1296828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12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+mn-lt"/>
        </a:defRPr>
      </a:pPr>
      <a:endParaRPr lang="ko-KR"/>
    </a:p>
  </c:txPr>
  <c:printSettings>
    <c:headerFooter/>
    <c:pageMargins b="0.75000000000000466" l="0.70000000000000062" r="0.70000000000000062" t="0.75000000000000466" header="0.30000000000000032" footer="0.30000000000000032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3.2301041666667023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headed_backup!$L$19:$L$1540</c:f>
              <c:numCache>
                <c:formatCode>General</c:formatCode>
                <c:ptCount val="1095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  <c:pt idx="19">
                  <c:v>8</c:v>
                </c:pt>
                <c:pt idx="20">
                  <c:v>8.3000000000000007</c:v>
                </c:pt>
                <c:pt idx="21">
                  <c:v>8.5</c:v>
                </c:pt>
                <c:pt idx="22">
                  <c:v>7.5</c:v>
                </c:pt>
                <c:pt idx="23">
                  <c:v>7.4</c:v>
                </c:pt>
                <c:pt idx="24">
                  <c:v>7.4</c:v>
                </c:pt>
                <c:pt idx="25">
                  <c:v>7.1</c:v>
                </c:pt>
                <c:pt idx="26">
                  <c:v>7</c:v>
                </c:pt>
                <c:pt idx="27">
                  <c:v>5.9999999999999991</c:v>
                </c:pt>
                <c:pt idx="28">
                  <c:v>5.9999999999999991</c:v>
                </c:pt>
                <c:pt idx="29">
                  <c:v>6.0999999999999988</c:v>
                </c:pt>
                <c:pt idx="30">
                  <c:v>6.0999999999999988</c:v>
                </c:pt>
                <c:pt idx="31">
                  <c:v>6.3</c:v>
                </c:pt>
                <c:pt idx="32">
                  <c:v>6.3</c:v>
                </c:pt>
                <c:pt idx="33">
                  <c:v>6.4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6.6</c:v>
                </c:pt>
                <c:pt idx="38">
                  <c:v>6.5</c:v>
                </c:pt>
                <c:pt idx="39">
                  <c:v>6.5</c:v>
                </c:pt>
                <c:pt idx="40">
                  <c:v>6.4</c:v>
                </c:pt>
                <c:pt idx="41">
                  <c:v>8.4</c:v>
                </c:pt>
                <c:pt idx="42">
                  <c:v>6.5</c:v>
                </c:pt>
                <c:pt idx="43">
                  <c:v>6.3</c:v>
                </c:pt>
                <c:pt idx="44">
                  <c:v>6.8000000000000007</c:v>
                </c:pt>
                <c:pt idx="45">
                  <c:v>5.9999999999999991</c:v>
                </c:pt>
                <c:pt idx="46">
                  <c:v>6.0999999999999988</c:v>
                </c:pt>
                <c:pt idx="47">
                  <c:v>6.8000000000000007</c:v>
                </c:pt>
                <c:pt idx="48">
                  <c:v>6.3</c:v>
                </c:pt>
                <c:pt idx="49">
                  <c:v>6.6</c:v>
                </c:pt>
                <c:pt idx="50">
                  <c:v>6.9</c:v>
                </c:pt>
              </c:numCache>
            </c:numRef>
          </c:xVal>
          <c:yVal>
            <c:numRef>
              <c:f>headed_backup!$CO$19:$CO$1533</c:f>
              <c:numCache>
                <c:formatCode>General</c:formatCode>
                <c:ptCount val="1088"/>
                <c:pt idx="0">
                  <c:v>1.0829854421475513</c:v>
                </c:pt>
                <c:pt idx="1">
                  <c:v>1.127798632857105</c:v>
                </c:pt>
                <c:pt idx="2">
                  <c:v>1.0605788467927744</c:v>
                </c:pt>
                <c:pt idx="3">
                  <c:v>1.0717821444701627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9C-4A25-9D47-8674D47CAD7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1-A69C-4A25-9D47-8674D47CA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97696"/>
        <c:axId val="128811776"/>
      </c:scatterChart>
      <c:valAx>
        <c:axId val="128797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811776"/>
        <c:crosses val="autoZero"/>
        <c:crossBetween val="midCat"/>
      </c:valAx>
      <c:valAx>
        <c:axId val="1288117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79769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11" l="0.70000000000000062" r="0.70000000000000062" t="0.75000000000000511" header="0.30000000000000032" footer="0.30000000000000032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829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  <c:pt idx="19">
                  <c:v>8</c:v>
                </c:pt>
                <c:pt idx="20">
                  <c:v>8.3000000000000007</c:v>
                </c:pt>
                <c:pt idx="21">
                  <c:v>8.5</c:v>
                </c:pt>
                <c:pt idx="22">
                  <c:v>7.5</c:v>
                </c:pt>
                <c:pt idx="23">
                  <c:v>7.4</c:v>
                </c:pt>
                <c:pt idx="24">
                  <c:v>7.4</c:v>
                </c:pt>
                <c:pt idx="25">
                  <c:v>7.1</c:v>
                </c:pt>
                <c:pt idx="26">
                  <c:v>7</c:v>
                </c:pt>
                <c:pt idx="27">
                  <c:v>5.9999999999999991</c:v>
                </c:pt>
                <c:pt idx="28">
                  <c:v>5.9999999999999991</c:v>
                </c:pt>
                <c:pt idx="29">
                  <c:v>6.0999999999999988</c:v>
                </c:pt>
                <c:pt idx="30">
                  <c:v>6.0999999999999988</c:v>
                </c:pt>
                <c:pt idx="31">
                  <c:v>6.3</c:v>
                </c:pt>
                <c:pt idx="32">
                  <c:v>6.3</c:v>
                </c:pt>
                <c:pt idx="33">
                  <c:v>6.4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6.6</c:v>
                </c:pt>
                <c:pt idx="38">
                  <c:v>6.5</c:v>
                </c:pt>
                <c:pt idx="39">
                  <c:v>6.5</c:v>
                </c:pt>
                <c:pt idx="40">
                  <c:v>6.4</c:v>
                </c:pt>
                <c:pt idx="41">
                  <c:v>8.4</c:v>
                </c:pt>
                <c:pt idx="42">
                  <c:v>6.5</c:v>
                </c:pt>
                <c:pt idx="43">
                  <c:v>6.3</c:v>
                </c:pt>
                <c:pt idx="44">
                  <c:v>6.8000000000000007</c:v>
                </c:pt>
                <c:pt idx="45">
                  <c:v>5.9999999999999991</c:v>
                </c:pt>
                <c:pt idx="46">
                  <c:v>6.0999999999999988</c:v>
                </c:pt>
                <c:pt idx="47">
                  <c:v>6.8000000000000007</c:v>
                </c:pt>
                <c:pt idx="48">
                  <c:v>6.3</c:v>
                </c:pt>
                <c:pt idx="49">
                  <c:v>6.6</c:v>
                </c:pt>
                <c:pt idx="50">
                  <c:v>6.9</c:v>
                </c:pt>
              </c:numCache>
            </c:numRef>
          </c:xVal>
          <c:yVal>
            <c:numRef>
              <c:f>headed_backup!$CP$19:$CP$1274</c:f>
              <c:numCache>
                <c:formatCode>General</c:formatCode>
                <c:ptCount val="829"/>
                <c:pt idx="0">
                  <c:v>1.1680419353862352</c:v>
                </c:pt>
                <c:pt idx="1">
                  <c:v>1.2163747051263551</c:v>
                </c:pt>
                <c:pt idx="2">
                  <c:v>1.1438755505161751</c:v>
                </c:pt>
                <c:pt idx="3">
                  <c:v>1.155958742951205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E-4754-8625-811C9957E5B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1-A4EE-4754-8625-811C9957E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35392"/>
        <c:axId val="129836928"/>
      </c:scatterChart>
      <c:valAx>
        <c:axId val="1298353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6928"/>
        <c:crosses val="autoZero"/>
        <c:crossBetween val="midCat"/>
      </c:valAx>
      <c:valAx>
        <c:axId val="1298369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53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headed_backup!$M$104:$M$146</c:f>
            </c:numRef>
          </c:xVal>
          <c:yVal>
            <c:numRef>
              <c:f>headed_backup!$CQ$104:$CQ$146</c:f>
            </c:numRef>
          </c:yVal>
          <c:smooth val="0"/>
          <c:extLst>
            <c:ext xmlns:c16="http://schemas.microsoft.com/office/drawing/2014/chart" uri="{C3380CC4-5D6E-409C-BE32-E72D297353CC}">
              <c16:uniqueId val="{00000000-F098-4821-B590-B967D692157A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98-4821-B590-B967D692157A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headed_backup!$M$153:$M$540</c:f>
              <c:numCache>
                <c:formatCode>General</c:formatCode>
                <c:ptCount val="95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  <c:pt idx="19">
                  <c:v>8</c:v>
                </c:pt>
                <c:pt idx="20">
                  <c:v>8.3000000000000007</c:v>
                </c:pt>
                <c:pt idx="21">
                  <c:v>8.5</c:v>
                </c:pt>
                <c:pt idx="22">
                  <c:v>7.5</c:v>
                </c:pt>
                <c:pt idx="23">
                  <c:v>7.4</c:v>
                </c:pt>
                <c:pt idx="24">
                  <c:v>7.4</c:v>
                </c:pt>
                <c:pt idx="25">
                  <c:v>7.1</c:v>
                </c:pt>
                <c:pt idx="26">
                  <c:v>7</c:v>
                </c:pt>
                <c:pt idx="27">
                  <c:v>5.9999999999999991</c:v>
                </c:pt>
                <c:pt idx="28">
                  <c:v>5.9999999999999991</c:v>
                </c:pt>
                <c:pt idx="29">
                  <c:v>6.0999999999999988</c:v>
                </c:pt>
                <c:pt idx="30">
                  <c:v>6.0999999999999988</c:v>
                </c:pt>
                <c:pt idx="31">
                  <c:v>6.3</c:v>
                </c:pt>
                <c:pt idx="32">
                  <c:v>6.3</c:v>
                </c:pt>
                <c:pt idx="33">
                  <c:v>6.4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6.6</c:v>
                </c:pt>
                <c:pt idx="38">
                  <c:v>6.5</c:v>
                </c:pt>
                <c:pt idx="39">
                  <c:v>6.5</c:v>
                </c:pt>
                <c:pt idx="40">
                  <c:v>6.4</c:v>
                </c:pt>
                <c:pt idx="41">
                  <c:v>8.4</c:v>
                </c:pt>
                <c:pt idx="42">
                  <c:v>6.5</c:v>
                </c:pt>
                <c:pt idx="43">
                  <c:v>6.3</c:v>
                </c:pt>
                <c:pt idx="44">
                  <c:v>6.8000000000000007</c:v>
                </c:pt>
                <c:pt idx="45">
                  <c:v>5.9999999999999991</c:v>
                </c:pt>
                <c:pt idx="46">
                  <c:v>6.0999999999999988</c:v>
                </c:pt>
                <c:pt idx="47">
                  <c:v>6.8000000000000007</c:v>
                </c:pt>
                <c:pt idx="48">
                  <c:v>6.3</c:v>
                </c:pt>
                <c:pt idx="49">
                  <c:v>6.6</c:v>
                </c:pt>
                <c:pt idx="50">
                  <c:v>6.9</c:v>
                </c:pt>
              </c:numCache>
            </c:numRef>
          </c:xVal>
          <c:yVal>
            <c:numRef>
              <c:f>headed_backup!$CQ$153:$CQ$533</c:f>
              <c:numCache>
                <c:formatCode>General</c:formatCode>
                <c:ptCount val="88"/>
                <c:pt idx="0">
                  <c:v>1</c:v>
                </c:pt>
                <c:pt idx="1">
                  <c:v>1</c:v>
                </c:pt>
                <c:pt idx="2">
                  <c:v>0.97944761192161567</c:v>
                </c:pt>
                <c:pt idx="3">
                  <c:v>0.98979388951233693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98-4821-B590-B967D692157A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headed_backup!$M$19:$M$93</c:f>
            </c:numRef>
          </c:xVal>
          <c:yVal>
            <c:numRef>
              <c:f>headed_backup!$CQ$19:$CQ$93</c:f>
            </c:numRef>
          </c:yVal>
          <c:smooth val="0"/>
          <c:extLst>
            <c:ext xmlns:c16="http://schemas.microsoft.com/office/drawing/2014/chart" uri="{C3380CC4-5D6E-409C-BE32-E72D297353CC}">
              <c16:uniqueId val="{00000003-F098-4821-B590-B967D692157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</c:numRef>
          </c:xVal>
          <c:yVal>
            <c:numRef>
              <c:f>headed_backup!$AK$53:$AK$54</c:f>
            </c:numRef>
          </c:yVal>
          <c:smooth val="0"/>
          <c:extLst>
            <c:ext xmlns:c16="http://schemas.microsoft.com/office/drawing/2014/chart" uri="{C3380CC4-5D6E-409C-BE32-E72D297353CC}">
              <c16:uniqueId val="{00000004-F098-4821-B590-B967D6921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72640"/>
        <c:axId val="129874176"/>
      </c:scatterChart>
      <c:valAx>
        <c:axId val="1298726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4176"/>
        <c:crosses val="autoZero"/>
        <c:crossBetween val="midCat"/>
      </c:valAx>
      <c:valAx>
        <c:axId val="1298741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264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headed_backup!$M$19:$M$540</c:f>
              <c:numCache>
                <c:formatCode>General</c:formatCode>
                <c:ptCount val="95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  <c:pt idx="19">
                  <c:v>8</c:v>
                </c:pt>
                <c:pt idx="20">
                  <c:v>8.3000000000000007</c:v>
                </c:pt>
                <c:pt idx="21">
                  <c:v>8.5</c:v>
                </c:pt>
                <c:pt idx="22">
                  <c:v>7.5</c:v>
                </c:pt>
                <c:pt idx="23">
                  <c:v>7.4</c:v>
                </c:pt>
                <c:pt idx="24">
                  <c:v>7.4</c:v>
                </c:pt>
                <c:pt idx="25">
                  <c:v>7.1</c:v>
                </c:pt>
                <c:pt idx="26">
                  <c:v>7</c:v>
                </c:pt>
                <c:pt idx="27">
                  <c:v>5.9999999999999991</c:v>
                </c:pt>
                <c:pt idx="28">
                  <c:v>5.9999999999999991</c:v>
                </c:pt>
                <c:pt idx="29">
                  <c:v>6.0999999999999988</c:v>
                </c:pt>
                <c:pt idx="30">
                  <c:v>6.0999999999999988</c:v>
                </c:pt>
                <c:pt idx="31">
                  <c:v>6.3</c:v>
                </c:pt>
                <c:pt idx="32">
                  <c:v>6.3</c:v>
                </c:pt>
                <c:pt idx="33">
                  <c:v>6.4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6.6</c:v>
                </c:pt>
                <c:pt idx="38">
                  <c:v>6.5</c:v>
                </c:pt>
                <c:pt idx="39">
                  <c:v>6.5</c:v>
                </c:pt>
                <c:pt idx="40">
                  <c:v>6.4</c:v>
                </c:pt>
                <c:pt idx="41">
                  <c:v>8.4</c:v>
                </c:pt>
                <c:pt idx="42">
                  <c:v>6.5</c:v>
                </c:pt>
                <c:pt idx="43">
                  <c:v>6.3</c:v>
                </c:pt>
                <c:pt idx="44">
                  <c:v>6.8000000000000007</c:v>
                </c:pt>
                <c:pt idx="45">
                  <c:v>5.9999999999999991</c:v>
                </c:pt>
                <c:pt idx="46">
                  <c:v>6.0999999999999988</c:v>
                </c:pt>
                <c:pt idx="47">
                  <c:v>6.8000000000000007</c:v>
                </c:pt>
                <c:pt idx="48">
                  <c:v>6.3</c:v>
                </c:pt>
                <c:pt idx="49">
                  <c:v>6.6</c:v>
                </c:pt>
                <c:pt idx="50">
                  <c:v>6.9</c:v>
                </c:pt>
              </c:numCache>
            </c:numRef>
          </c:xVal>
          <c:yVal>
            <c:numRef>
              <c:f>headed_backup!$CR$19:$CR$533</c:f>
              <c:numCache>
                <c:formatCode>General</c:formatCode>
                <c:ptCount val="88"/>
                <c:pt idx="0">
                  <c:v>1.0129564999845371</c:v>
                </c:pt>
                <c:pt idx="1">
                  <c:v>1.0548719413632073</c:v>
                </c:pt>
                <c:pt idx="2">
                  <c:v>0.99199877929520175</c:v>
                </c:pt>
                <c:pt idx="3">
                  <c:v>1.0024776396398694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18-425A-A03C-4ABAF9ACFA7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</c:numRef>
          </c:xVal>
          <c:yVal>
            <c:numRef>
              <c:f>headed_backup!$AK$53:$AK$54</c:f>
            </c:numRef>
          </c:yVal>
          <c:smooth val="0"/>
          <c:extLst>
            <c:ext xmlns:c16="http://schemas.microsoft.com/office/drawing/2014/chart" uri="{C3380CC4-5D6E-409C-BE32-E72D297353CC}">
              <c16:uniqueId val="{00000001-0918-425A-A03C-4ABAF9ACF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10656"/>
        <c:axId val="129912192"/>
      </c:scatterChart>
      <c:valAx>
        <c:axId val="129910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2192"/>
        <c:crosses val="autoZero"/>
        <c:crossBetween val="midCat"/>
      </c:valAx>
      <c:valAx>
        <c:axId val="129912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065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571741032371027E-2"/>
          <c:y val="2.8196459125466627E-2"/>
          <c:w val="0.82103042940465842"/>
          <c:h val="0.788436694034110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headed_backup!$FP$52</c:f>
              <c:strCache>
                <c:ptCount val="1"/>
                <c:pt idx="0">
                  <c:v>ACI 318-14</c:v>
                </c:pt>
              </c:strCache>
            </c:strRef>
          </c:tx>
          <c:spPr>
            <a:solidFill>
              <a:schemeClr val="bg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multiLvlStrRef>
              <c:f>headed_backup!$FO$53:$FO$61</c:f>
            </c:multiLvlStrRef>
          </c:cat>
          <c:val>
            <c:numRef>
              <c:f>headed_backup!$FP$53:$FP$61</c:f>
            </c:numRef>
          </c:val>
          <c:extLst>
            <c:ext xmlns:c16="http://schemas.microsoft.com/office/drawing/2014/chart" uri="{C3380CC4-5D6E-409C-BE32-E72D297353CC}">
              <c16:uniqueId val="{00000000-89EC-40E1-8F26-F35E20834646}"/>
            </c:ext>
          </c:extLst>
        </c:ser>
        <c:ser>
          <c:idx val="3"/>
          <c:order val="1"/>
          <c:tx>
            <c:strRef>
              <c:f>headed_backup!$FS$52</c:f>
              <c:strCache>
                <c:ptCount val="1"/>
                <c:pt idx="0">
                  <c:v>fib MC 2010</c:v>
                </c:pt>
              </c:strCache>
            </c:strRef>
          </c:tx>
          <c:spPr>
            <a:blipFill>
              <a:blip xmlns:r="http://schemas.openxmlformats.org/officeDocument/2006/relationships" r:embed="rId1"/>
              <a:tile tx="0" ty="0" sx="100000" sy="100000" flip="none" algn="tl"/>
            </a:blipFill>
            <a:ln w="12700">
              <a:solidFill>
                <a:sysClr val="windowText" lastClr="000000"/>
              </a:solidFill>
            </a:ln>
          </c:spPr>
          <c:invertIfNegative val="0"/>
          <c:cat>
            <c:multiLvlStrRef>
              <c:f>headed_backup!$FO$53:$FO$61</c:f>
            </c:multiLvlStrRef>
          </c:cat>
          <c:val>
            <c:numRef>
              <c:f>headed_backup!$FS$53:$FS$61</c:f>
            </c:numRef>
          </c:val>
          <c:extLst>
            <c:ext xmlns:c16="http://schemas.microsoft.com/office/drawing/2014/chart" uri="{C3380CC4-5D6E-409C-BE32-E72D297353CC}">
              <c16:uniqueId val="{00000001-89EC-40E1-8F26-F35E20834646}"/>
            </c:ext>
          </c:extLst>
        </c:ser>
        <c:ser>
          <c:idx val="1"/>
          <c:order val="2"/>
          <c:tx>
            <c:strRef>
              <c:f>headed_backup!$FQ$52</c:f>
              <c:strCache>
                <c:ptCount val="1"/>
                <c:pt idx="0">
                  <c:v>Thompson et al.</c:v>
                </c:pt>
              </c:strCache>
            </c:strRef>
          </c:tx>
          <c:spPr>
            <a:gradFill>
              <a:gsLst>
                <a:gs pos="0">
                  <a:srgbClr val="FFFFFF"/>
                </a:gs>
                <a:gs pos="7001">
                  <a:srgbClr val="E6E6E6"/>
                </a:gs>
                <a:gs pos="32001">
                  <a:srgbClr val="7D8496"/>
                </a:gs>
                <a:gs pos="47000">
                  <a:srgbClr val="E6E6E6"/>
                </a:gs>
                <a:gs pos="85001">
                  <a:srgbClr val="7D8496"/>
                </a:gs>
                <a:gs pos="100000">
                  <a:srgbClr val="E6E6E6"/>
                </a:gs>
              </a:gsLst>
              <a:lin ang="5400000" scaled="0"/>
            </a:gradFill>
            <a:ln w="12700">
              <a:solidFill>
                <a:sysClr val="windowText" lastClr="000000"/>
              </a:solidFill>
            </a:ln>
          </c:spPr>
          <c:invertIfNegative val="0"/>
          <c:cat>
            <c:multiLvlStrRef>
              <c:f>headed_backup!$FO$53:$FO$61</c:f>
            </c:multiLvlStrRef>
          </c:cat>
          <c:val>
            <c:numRef>
              <c:f>headed_backup!$FQ$53:$FQ$61</c:f>
            </c:numRef>
          </c:val>
          <c:extLst>
            <c:ext xmlns:c16="http://schemas.microsoft.com/office/drawing/2014/chart" uri="{C3380CC4-5D6E-409C-BE32-E72D297353CC}">
              <c16:uniqueId val="{00000002-89EC-40E1-8F26-F35E20834646}"/>
            </c:ext>
          </c:extLst>
        </c:ser>
        <c:ser>
          <c:idx val="2"/>
          <c:order val="3"/>
          <c:tx>
            <c:strRef>
              <c:f>headed_backup!$FR$52</c:f>
              <c:strCache>
                <c:ptCount val="1"/>
                <c:pt idx="0">
                  <c:v>Shao et al.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multiLvlStrRef>
              <c:f>headed_backup!$FO$53:$FO$61</c:f>
            </c:multiLvlStrRef>
          </c:cat>
          <c:val>
            <c:numRef>
              <c:f>headed_backup!$FR$53:$FR$61</c:f>
            </c:numRef>
          </c:val>
          <c:extLst>
            <c:ext xmlns:c16="http://schemas.microsoft.com/office/drawing/2014/chart" uri="{C3380CC4-5D6E-409C-BE32-E72D297353CC}">
              <c16:uniqueId val="{00000003-89EC-40E1-8F26-F35E20834646}"/>
            </c:ext>
          </c:extLst>
        </c:ser>
        <c:ser>
          <c:idx val="4"/>
          <c:order val="4"/>
          <c:tx>
            <c:strRef>
              <c:f>headed_backup!$FT$52</c:f>
              <c:strCache>
                <c:ptCount val="1"/>
                <c:pt idx="0">
                  <c:v>Proposed method (Eq. (21))</c:v>
                </c:pt>
              </c:strCache>
            </c:strRef>
          </c:tx>
          <c:spPr>
            <a:solidFill>
              <a:schemeClr val="tx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multiLvlStrRef>
              <c:f>headed_backup!$FO$53:$FO$61</c:f>
            </c:multiLvlStrRef>
          </c:cat>
          <c:val>
            <c:numRef>
              <c:f>headed_backup!$FT$53:$FT$61</c:f>
            </c:numRef>
          </c:val>
          <c:extLst>
            <c:ext xmlns:c16="http://schemas.microsoft.com/office/drawing/2014/chart" uri="{C3380CC4-5D6E-409C-BE32-E72D297353CC}">
              <c16:uniqueId val="{00000004-89EC-40E1-8F26-F35E20834646}"/>
            </c:ext>
          </c:extLst>
        </c:ser>
        <c:ser>
          <c:idx val="5"/>
          <c:order val="5"/>
          <c:tx>
            <c:strRef>
              <c:f>headed_backup!$FU$52</c:f>
              <c:strCache>
                <c:ptCount val="1"/>
                <c:pt idx="0">
                  <c:v>Proposed method (Eq. (22))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2700">
              <a:solidFill>
                <a:schemeClr val="tx1"/>
              </a:solidFill>
            </a:ln>
          </c:spPr>
          <c:invertIfNegative val="0"/>
          <c:cat>
            <c:multiLvlStrRef>
              <c:f>headed_backup!$FO$53:$FO$61</c:f>
            </c:multiLvlStrRef>
          </c:cat>
          <c:val>
            <c:numRef>
              <c:f>headed_backup!$FU$53:$FU$61</c:f>
            </c:numRef>
          </c:val>
          <c:extLst>
            <c:ext xmlns:c16="http://schemas.microsoft.com/office/drawing/2014/chart" uri="{C3380CC4-5D6E-409C-BE32-E72D297353CC}">
              <c16:uniqueId val="{00000005-89EC-40E1-8F26-F35E20834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0"/>
        <c:axId val="130103552"/>
        <c:axId val="130129920"/>
      </c:barChart>
      <c:catAx>
        <c:axId val="13010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29920"/>
        <c:crosses val="autoZero"/>
        <c:auto val="1"/>
        <c:lblAlgn val="ctr"/>
        <c:lblOffset val="100"/>
        <c:noMultiLvlLbl val="0"/>
      </c:catAx>
      <c:valAx>
        <c:axId val="130129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03552"/>
        <c:crosses val="autoZero"/>
        <c:crossBetween val="between"/>
        <c:majorUnit val="40"/>
      </c:valAx>
      <c:spPr>
        <a:ln w="25400"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10404411876287446"/>
          <c:y val="4.4485757383056497E-2"/>
          <c:w val="0.55239129672667064"/>
          <c:h val="0.52429139268414648"/>
        </c:manualLayout>
      </c:layout>
      <c:overlay val="0"/>
      <c:txPr>
        <a:bodyPr/>
        <a:lstStyle/>
        <a:p>
          <a:pPr>
            <a:defRPr sz="1200">
              <a:latin typeface="+mn-lt"/>
            </a:defRPr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829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  <c:pt idx="19">
                  <c:v>8</c:v>
                </c:pt>
                <c:pt idx="20">
                  <c:v>8.3000000000000007</c:v>
                </c:pt>
                <c:pt idx="21">
                  <c:v>8.5</c:v>
                </c:pt>
                <c:pt idx="22">
                  <c:v>7.5</c:v>
                </c:pt>
                <c:pt idx="23">
                  <c:v>7.4</c:v>
                </c:pt>
                <c:pt idx="24">
                  <c:v>7.4</c:v>
                </c:pt>
                <c:pt idx="25">
                  <c:v>7.1</c:v>
                </c:pt>
                <c:pt idx="26">
                  <c:v>7</c:v>
                </c:pt>
                <c:pt idx="27">
                  <c:v>5.9999999999999991</c:v>
                </c:pt>
                <c:pt idx="28">
                  <c:v>5.9999999999999991</c:v>
                </c:pt>
                <c:pt idx="29">
                  <c:v>6.0999999999999988</c:v>
                </c:pt>
                <c:pt idx="30">
                  <c:v>6.0999999999999988</c:v>
                </c:pt>
                <c:pt idx="31">
                  <c:v>6.3</c:v>
                </c:pt>
                <c:pt idx="32">
                  <c:v>6.3</c:v>
                </c:pt>
                <c:pt idx="33">
                  <c:v>6.4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6.6</c:v>
                </c:pt>
                <c:pt idx="38">
                  <c:v>6.5</c:v>
                </c:pt>
                <c:pt idx="39">
                  <c:v>6.5</c:v>
                </c:pt>
                <c:pt idx="40">
                  <c:v>6.4</c:v>
                </c:pt>
                <c:pt idx="41">
                  <c:v>8.4</c:v>
                </c:pt>
                <c:pt idx="42">
                  <c:v>6.5</c:v>
                </c:pt>
                <c:pt idx="43">
                  <c:v>6.3</c:v>
                </c:pt>
                <c:pt idx="44">
                  <c:v>6.8000000000000007</c:v>
                </c:pt>
                <c:pt idx="45">
                  <c:v>5.9999999999999991</c:v>
                </c:pt>
                <c:pt idx="46">
                  <c:v>6.0999999999999988</c:v>
                </c:pt>
                <c:pt idx="47">
                  <c:v>6.8000000000000007</c:v>
                </c:pt>
                <c:pt idx="48">
                  <c:v>6.3</c:v>
                </c:pt>
                <c:pt idx="49">
                  <c:v>6.6</c:v>
                </c:pt>
                <c:pt idx="50">
                  <c:v>6.9</c:v>
                </c:pt>
              </c:numCache>
            </c:numRef>
          </c:xVal>
          <c:yVal>
            <c:numRef>
              <c:f>headed_backup!$CN$19:$CN$1274</c:f>
              <c:numCache>
                <c:formatCode>General</c:formatCode>
                <c:ptCount val="829"/>
                <c:pt idx="0">
                  <c:v>1.3998474838990453</c:v>
                </c:pt>
                <c:pt idx="1">
                  <c:v>1.4577722073707298</c:v>
                </c:pt>
                <c:pt idx="2">
                  <c:v>1.370885122163203</c:v>
                </c:pt>
                <c:pt idx="3">
                  <c:v>1.3853663030311241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18-4D88-BE01-64E7C320D11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1-F318-4D88-BE01-64E7C320D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42208"/>
        <c:axId val="130143744"/>
      </c:scatterChart>
      <c:valAx>
        <c:axId val="1301422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3744"/>
        <c:crosses val="autoZero"/>
        <c:crossBetween val="midCat"/>
      </c:valAx>
      <c:valAx>
        <c:axId val="130143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22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690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headed_backup!$M$153:$M$243</c:f>
            </c:numRef>
          </c:xVal>
          <c:yVal>
            <c:numRef>
              <c:f>headed_backup!$CQ$153:$CQ$243</c:f>
            </c:numRef>
          </c:yVal>
          <c:smooth val="0"/>
          <c:extLst>
            <c:ext xmlns:c16="http://schemas.microsoft.com/office/drawing/2014/chart" uri="{C3380CC4-5D6E-409C-BE32-E72D297353CC}">
              <c16:uniqueId val="{00000000-897D-42B7-9921-AE5623C8D82D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</c:numRef>
          </c:xVal>
          <c:yVal>
            <c:numRef>
              <c:f>headed_backup!$AK$53:$AK$54</c:f>
            </c:numRef>
          </c:yVal>
          <c:smooth val="0"/>
          <c:extLst>
            <c:ext xmlns:c16="http://schemas.microsoft.com/office/drawing/2014/chart" uri="{C3380CC4-5D6E-409C-BE32-E72D297353CC}">
              <c16:uniqueId val="{00000001-897D-42B7-9921-AE5623C8D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46528"/>
        <c:axId val="130248064"/>
      </c:scatterChart>
      <c:valAx>
        <c:axId val="130246528"/>
        <c:scaling>
          <c:orientation val="minMax"/>
          <c:max val="2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8064"/>
        <c:crosses val="autoZero"/>
        <c:crossBetween val="midCat"/>
      </c:valAx>
      <c:valAx>
        <c:axId val="1302480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652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headed_backup!$M$104:$M$146</c:f>
            </c:numRef>
          </c:xVal>
          <c:yVal>
            <c:numRef>
              <c:f>headed_backup!$CQ$104:$CQ$146</c:f>
            </c:numRef>
          </c:yVal>
          <c:smooth val="0"/>
          <c:extLst>
            <c:ext xmlns:c16="http://schemas.microsoft.com/office/drawing/2014/chart" uri="{C3380CC4-5D6E-409C-BE32-E72D297353CC}">
              <c16:uniqueId val="{00000000-259C-475D-A43A-C13E708889FF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9C-475D-A43A-C13E708889FF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headed_backup!$M$153:$M$540</c:f>
              <c:numCache>
                <c:formatCode>General</c:formatCode>
                <c:ptCount val="95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  <c:pt idx="19">
                  <c:v>8</c:v>
                </c:pt>
                <c:pt idx="20">
                  <c:v>8.3000000000000007</c:v>
                </c:pt>
                <c:pt idx="21">
                  <c:v>8.5</c:v>
                </c:pt>
                <c:pt idx="22">
                  <c:v>7.5</c:v>
                </c:pt>
                <c:pt idx="23">
                  <c:v>7.4</c:v>
                </c:pt>
                <c:pt idx="24">
                  <c:v>7.4</c:v>
                </c:pt>
                <c:pt idx="25">
                  <c:v>7.1</c:v>
                </c:pt>
                <c:pt idx="26">
                  <c:v>7</c:v>
                </c:pt>
                <c:pt idx="27">
                  <c:v>5.9999999999999991</c:v>
                </c:pt>
                <c:pt idx="28">
                  <c:v>5.9999999999999991</c:v>
                </c:pt>
                <c:pt idx="29">
                  <c:v>6.0999999999999988</c:v>
                </c:pt>
                <c:pt idx="30">
                  <c:v>6.0999999999999988</c:v>
                </c:pt>
                <c:pt idx="31">
                  <c:v>6.3</c:v>
                </c:pt>
                <c:pt idx="32">
                  <c:v>6.3</c:v>
                </c:pt>
                <c:pt idx="33">
                  <c:v>6.4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6.6</c:v>
                </c:pt>
                <c:pt idx="38">
                  <c:v>6.5</c:v>
                </c:pt>
                <c:pt idx="39">
                  <c:v>6.5</c:v>
                </c:pt>
                <c:pt idx="40">
                  <c:v>6.4</c:v>
                </c:pt>
                <c:pt idx="41">
                  <c:v>8.4</c:v>
                </c:pt>
                <c:pt idx="42">
                  <c:v>6.5</c:v>
                </c:pt>
                <c:pt idx="43">
                  <c:v>6.3</c:v>
                </c:pt>
                <c:pt idx="44">
                  <c:v>6.8000000000000007</c:v>
                </c:pt>
                <c:pt idx="45">
                  <c:v>5.9999999999999991</c:v>
                </c:pt>
                <c:pt idx="46">
                  <c:v>6.0999999999999988</c:v>
                </c:pt>
                <c:pt idx="47">
                  <c:v>6.8000000000000007</c:v>
                </c:pt>
                <c:pt idx="48">
                  <c:v>6.3</c:v>
                </c:pt>
                <c:pt idx="49">
                  <c:v>6.6</c:v>
                </c:pt>
                <c:pt idx="50">
                  <c:v>6.9</c:v>
                </c:pt>
              </c:numCache>
            </c:numRef>
          </c:xVal>
          <c:yVal>
            <c:numRef>
              <c:f>headed_backup!$CQ$153:$CQ$533</c:f>
              <c:numCache>
                <c:formatCode>General</c:formatCode>
                <c:ptCount val="88"/>
                <c:pt idx="0">
                  <c:v>1</c:v>
                </c:pt>
                <c:pt idx="1">
                  <c:v>1</c:v>
                </c:pt>
                <c:pt idx="2">
                  <c:v>0.97944761192161567</c:v>
                </c:pt>
                <c:pt idx="3">
                  <c:v>0.98979388951233693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9C-475D-A43A-C13E708889FF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headed_backup!$M$19:$M$93</c:f>
            </c:numRef>
          </c:xVal>
          <c:yVal>
            <c:numRef>
              <c:f>headed_backup!$CQ$19:$CQ$93</c:f>
            </c:numRef>
          </c:yVal>
          <c:smooth val="0"/>
          <c:extLst>
            <c:ext xmlns:c16="http://schemas.microsoft.com/office/drawing/2014/chart" uri="{C3380CC4-5D6E-409C-BE32-E72D297353CC}">
              <c16:uniqueId val="{00000003-259C-475D-A43A-C13E708889F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</c:numRef>
          </c:xVal>
          <c:yVal>
            <c:numRef>
              <c:f>headed_backup!$AK$53:$AK$54</c:f>
            </c:numRef>
          </c:yVal>
          <c:smooth val="0"/>
          <c:extLst>
            <c:ext xmlns:c16="http://schemas.microsoft.com/office/drawing/2014/chart" uri="{C3380CC4-5D6E-409C-BE32-E72D297353CC}">
              <c16:uniqueId val="{00000004-259C-475D-A43A-C13E70888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80832"/>
        <c:axId val="130183168"/>
      </c:scatterChart>
      <c:valAx>
        <c:axId val="130280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83168"/>
        <c:crosses val="autoZero"/>
        <c:crossBetween val="midCat"/>
      </c:valAx>
      <c:valAx>
        <c:axId val="130183168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808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headed_backup!$M$104:$M$146</c:f>
            </c:numRef>
          </c:xVal>
          <c:yVal>
            <c:numRef>
              <c:f>headed_backup!$CQ$104:$CQ$146</c:f>
            </c:numRef>
          </c:yVal>
          <c:smooth val="0"/>
          <c:extLst>
            <c:ext xmlns:c16="http://schemas.microsoft.com/office/drawing/2014/chart" uri="{C3380CC4-5D6E-409C-BE32-E72D297353CC}">
              <c16:uniqueId val="{00000000-831C-40F5-A3EE-2956FDD6C578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  <c:numCache>
                <c:formatCode>General</c:formatCode>
                <c:ptCount val="33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</c:numCache>
            </c:numRef>
          </c:xVal>
          <c:yVal>
            <c:numRef>
              <c:f>headed!#REF!</c:f>
              <c:numCache>
                <c:formatCode>General</c:formatCode>
                <c:ptCount val="33"/>
                <c:pt idx="3">
                  <c:v>0.93158018544298471</c:v>
                </c:pt>
                <c:pt idx="4">
                  <c:v>0.89409273979493975</c:v>
                </c:pt>
                <c:pt idx="5">
                  <c:v>0.87628334293061028</c:v>
                </c:pt>
                <c:pt idx="9">
                  <c:v>0.9280335603715032</c:v>
                </c:pt>
                <c:pt idx="10">
                  <c:v>0.93939801490163299</c:v>
                </c:pt>
                <c:pt idx="11">
                  <c:v>0.860533276752946</c:v>
                </c:pt>
                <c:pt idx="12">
                  <c:v>0.87258417484529949</c:v>
                </c:pt>
                <c:pt idx="13">
                  <c:v>0.86289769346726963</c:v>
                </c:pt>
                <c:pt idx="14">
                  <c:v>0.86457566661937124</c:v>
                </c:pt>
                <c:pt idx="18">
                  <c:v>1</c:v>
                </c:pt>
                <c:pt idx="19">
                  <c:v>0.97551257342523257</c:v>
                </c:pt>
                <c:pt idx="20">
                  <c:v>0.93821580654447434</c:v>
                </c:pt>
                <c:pt idx="21">
                  <c:v>0.98603804137931328</c:v>
                </c:pt>
                <c:pt idx="22">
                  <c:v>0.96586422780066006</c:v>
                </c:pt>
                <c:pt idx="23">
                  <c:v>0.94805483093632903</c:v>
                </c:pt>
                <c:pt idx="24">
                  <c:v>0.95194467778892511</c:v>
                </c:pt>
                <c:pt idx="25">
                  <c:v>0.88425371540308384</c:v>
                </c:pt>
                <c:pt idx="26">
                  <c:v>0.98062276438844598</c:v>
                </c:pt>
                <c:pt idx="27">
                  <c:v>0.99705927412833162</c:v>
                </c:pt>
                <c:pt idx="28">
                  <c:v>1</c:v>
                </c:pt>
                <c:pt idx="29">
                  <c:v>1</c:v>
                </c:pt>
                <c:pt idx="30">
                  <c:v>0.94820737395015631</c:v>
                </c:pt>
                <c:pt idx="31">
                  <c:v>0.97059306122930467</c:v>
                </c:pt>
                <c:pt idx="3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1C-40F5-A3EE-2956FDD6C578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headed_backup!$M$153:$M$540</c:f>
              <c:numCache>
                <c:formatCode>General</c:formatCode>
                <c:ptCount val="95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  <c:pt idx="19">
                  <c:v>8</c:v>
                </c:pt>
                <c:pt idx="20">
                  <c:v>8.3000000000000007</c:v>
                </c:pt>
                <c:pt idx="21">
                  <c:v>8.5</c:v>
                </c:pt>
                <c:pt idx="22">
                  <c:v>7.5</c:v>
                </c:pt>
                <c:pt idx="23">
                  <c:v>7.4</c:v>
                </c:pt>
                <c:pt idx="24">
                  <c:v>7.4</c:v>
                </c:pt>
                <c:pt idx="25">
                  <c:v>7.1</c:v>
                </c:pt>
                <c:pt idx="26">
                  <c:v>7</c:v>
                </c:pt>
                <c:pt idx="27">
                  <c:v>5.9999999999999991</c:v>
                </c:pt>
                <c:pt idx="28">
                  <c:v>5.9999999999999991</c:v>
                </c:pt>
                <c:pt idx="29">
                  <c:v>6.0999999999999988</c:v>
                </c:pt>
                <c:pt idx="30">
                  <c:v>6.0999999999999988</c:v>
                </c:pt>
                <c:pt idx="31">
                  <c:v>6.3</c:v>
                </c:pt>
                <c:pt idx="32">
                  <c:v>6.3</c:v>
                </c:pt>
                <c:pt idx="33">
                  <c:v>6.4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6.6</c:v>
                </c:pt>
                <c:pt idx="38">
                  <c:v>6.5</c:v>
                </c:pt>
                <c:pt idx="39">
                  <c:v>6.5</c:v>
                </c:pt>
                <c:pt idx="40">
                  <c:v>6.4</c:v>
                </c:pt>
                <c:pt idx="41">
                  <c:v>8.4</c:v>
                </c:pt>
                <c:pt idx="42">
                  <c:v>6.5</c:v>
                </c:pt>
                <c:pt idx="43">
                  <c:v>6.3</c:v>
                </c:pt>
                <c:pt idx="44">
                  <c:v>6.8000000000000007</c:v>
                </c:pt>
                <c:pt idx="45">
                  <c:v>5.9999999999999991</c:v>
                </c:pt>
                <c:pt idx="46">
                  <c:v>6.0999999999999988</c:v>
                </c:pt>
                <c:pt idx="47">
                  <c:v>6.8000000000000007</c:v>
                </c:pt>
                <c:pt idx="48">
                  <c:v>6.3</c:v>
                </c:pt>
                <c:pt idx="49">
                  <c:v>6.6</c:v>
                </c:pt>
                <c:pt idx="50">
                  <c:v>6.9</c:v>
                </c:pt>
              </c:numCache>
            </c:numRef>
          </c:xVal>
          <c:yVal>
            <c:numRef>
              <c:f>headed_backup!$CQ$153:$CQ$533</c:f>
              <c:numCache>
                <c:formatCode>General</c:formatCode>
                <c:ptCount val="88"/>
                <c:pt idx="0">
                  <c:v>1</c:v>
                </c:pt>
                <c:pt idx="1">
                  <c:v>1</c:v>
                </c:pt>
                <c:pt idx="2">
                  <c:v>0.97944761192161567</c:v>
                </c:pt>
                <c:pt idx="3">
                  <c:v>0.98979388951233693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1C-40F5-A3EE-2956FDD6C578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headed_backup!$M$19:$M$93</c:f>
            </c:numRef>
          </c:xVal>
          <c:yVal>
            <c:numRef>
              <c:f>headed_backup!$CQ$19:$CQ$93</c:f>
            </c:numRef>
          </c:yVal>
          <c:smooth val="0"/>
          <c:extLst>
            <c:ext xmlns:c16="http://schemas.microsoft.com/office/drawing/2014/chart" uri="{C3380CC4-5D6E-409C-BE32-E72D297353CC}">
              <c16:uniqueId val="{00000003-831C-40F5-A3EE-2956FDD6C57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</c:numRef>
          </c:xVal>
          <c:yVal>
            <c:numRef>
              <c:f>headed_backup!$AK$53:$AK$54</c:f>
            </c:numRef>
          </c:yVal>
          <c:smooth val="0"/>
          <c:extLst>
            <c:ext xmlns:c16="http://schemas.microsoft.com/office/drawing/2014/chart" uri="{C3380CC4-5D6E-409C-BE32-E72D297353CC}">
              <c16:uniqueId val="{00000004-831C-40F5-A3EE-2956FDD6C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10432"/>
        <c:axId val="130298240"/>
      </c:scatterChart>
      <c:valAx>
        <c:axId val="1302104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98240"/>
        <c:crosses val="autoZero"/>
        <c:crossBetween val="midCat"/>
      </c:valAx>
      <c:valAx>
        <c:axId val="130298240"/>
        <c:scaling>
          <c:orientation val="minMax"/>
          <c:max val="2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104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headed_backup!$W$104:$W$146</c:f>
            </c:numRef>
          </c:xVal>
          <c:yVal>
            <c:numRef>
              <c:f>headed_backup!$CQ$104:$CQ$146</c:f>
            </c:numRef>
          </c:yVal>
          <c:smooth val="0"/>
          <c:extLst>
            <c:ext xmlns:c16="http://schemas.microsoft.com/office/drawing/2014/chart" uri="{C3380CC4-5D6E-409C-BE32-E72D297353CC}">
              <c16:uniqueId val="{00000000-2FED-42AE-86A2-B8A09CF16E65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ED-42AE-86A2-B8A09CF16E65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headed_backup!$W$153:$W$540</c:f>
              <c:numCache>
                <c:formatCode>General</c:formatCode>
                <c:ptCount val="95"/>
                <c:pt idx="0">
                  <c:v>2.5739077706444626</c:v>
                </c:pt>
                <c:pt idx="1">
                  <c:v>2.5739077706444626</c:v>
                </c:pt>
                <c:pt idx="2">
                  <c:v>2.5739077706444626</c:v>
                </c:pt>
                <c:pt idx="3">
                  <c:v>2.5739077706444626</c:v>
                </c:pt>
                <c:pt idx="19">
                  <c:v>9.5</c:v>
                </c:pt>
                <c:pt idx="20">
                  <c:v>9.5</c:v>
                </c:pt>
                <c:pt idx="21">
                  <c:v>4</c:v>
                </c:pt>
                <c:pt idx="22">
                  <c:v>4</c:v>
                </c:pt>
                <c:pt idx="23">
                  <c:v>4.0999999999999996</c:v>
                </c:pt>
                <c:pt idx="24">
                  <c:v>4.0999999999999996</c:v>
                </c:pt>
                <c:pt idx="25">
                  <c:v>9.1</c:v>
                </c:pt>
                <c:pt idx="26">
                  <c:v>9.1</c:v>
                </c:pt>
                <c:pt idx="27">
                  <c:v>4.0999999999999996</c:v>
                </c:pt>
                <c:pt idx="28">
                  <c:v>9.1</c:v>
                </c:pt>
                <c:pt idx="29">
                  <c:v>4</c:v>
                </c:pt>
                <c:pt idx="30">
                  <c:v>9.5</c:v>
                </c:pt>
                <c:pt idx="31">
                  <c:v>12.9</c:v>
                </c:pt>
                <c:pt idx="32">
                  <c:v>9.1</c:v>
                </c:pt>
                <c:pt idx="33">
                  <c:v>6.5</c:v>
                </c:pt>
                <c:pt idx="34">
                  <c:v>4.5</c:v>
                </c:pt>
                <c:pt idx="35">
                  <c:v>14</c:v>
                </c:pt>
                <c:pt idx="36">
                  <c:v>6.5</c:v>
                </c:pt>
                <c:pt idx="37">
                  <c:v>12.9</c:v>
                </c:pt>
                <c:pt idx="38">
                  <c:v>4.5</c:v>
                </c:pt>
                <c:pt idx="39">
                  <c:v>9.5</c:v>
                </c:pt>
                <c:pt idx="40">
                  <c:v>9.5</c:v>
                </c:pt>
                <c:pt idx="41">
                  <c:v>4.0999999999999996</c:v>
                </c:pt>
                <c:pt idx="42">
                  <c:v>4.0999999999999996</c:v>
                </c:pt>
                <c:pt idx="43">
                  <c:v>4.0999999999999996</c:v>
                </c:pt>
                <c:pt idx="44">
                  <c:v>4.0999999999999996</c:v>
                </c:pt>
                <c:pt idx="45">
                  <c:v>4.0999999999999996</c:v>
                </c:pt>
                <c:pt idx="46">
                  <c:v>4.0999999999999996</c:v>
                </c:pt>
                <c:pt idx="47">
                  <c:v>4.0999999999999996</c:v>
                </c:pt>
                <c:pt idx="48">
                  <c:v>4.0999999999999996</c:v>
                </c:pt>
                <c:pt idx="49">
                  <c:v>4.0999999999999996</c:v>
                </c:pt>
                <c:pt idx="50">
                  <c:v>4.0999999999999996</c:v>
                </c:pt>
              </c:numCache>
            </c:numRef>
          </c:xVal>
          <c:yVal>
            <c:numRef>
              <c:f>headed_backup!$CQ$153:$CQ$533</c:f>
              <c:numCache>
                <c:formatCode>General</c:formatCode>
                <c:ptCount val="88"/>
                <c:pt idx="0">
                  <c:v>1</c:v>
                </c:pt>
                <c:pt idx="1">
                  <c:v>1</c:v>
                </c:pt>
                <c:pt idx="2">
                  <c:v>0.97944761192161567</c:v>
                </c:pt>
                <c:pt idx="3">
                  <c:v>0.98979388951233693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ED-42AE-86A2-B8A09CF16E65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headed_backup!$W$19:$W$93</c:f>
            </c:numRef>
          </c:xVal>
          <c:yVal>
            <c:numRef>
              <c:f>headed_backup!$CQ$19:$CQ$93</c:f>
            </c:numRef>
          </c:yVal>
          <c:smooth val="0"/>
          <c:extLst>
            <c:ext xmlns:c16="http://schemas.microsoft.com/office/drawing/2014/chart" uri="{C3380CC4-5D6E-409C-BE32-E72D297353CC}">
              <c16:uniqueId val="{00000003-2FED-42AE-86A2-B8A09CF16E6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</c:numRef>
          </c:xVal>
          <c:yVal>
            <c:numRef>
              <c:f>headed_backup!$AK$53:$AK$54</c:f>
            </c:numRef>
          </c:yVal>
          <c:smooth val="0"/>
          <c:extLst>
            <c:ext xmlns:c16="http://schemas.microsoft.com/office/drawing/2014/chart" uri="{C3380CC4-5D6E-409C-BE32-E72D297353CC}">
              <c16:uniqueId val="{00000004-2FED-42AE-86A2-B8A09CF16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41888"/>
        <c:axId val="130347776"/>
      </c:scatterChart>
      <c:valAx>
        <c:axId val="130341888"/>
        <c:scaling>
          <c:orientation val="minMax"/>
          <c:max val="1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7776"/>
        <c:crosses val="autoZero"/>
        <c:crossBetween val="midCat"/>
      </c:valAx>
      <c:valAx>
        <c:axId val="130347776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188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829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  <c:pt idx="19">
                  <c:v>8</c:v>
                </c:pt>
                <c:pt idx="20">
                  <c:v>8.3000000000000007</c:v>
                </c:pt>
                <c:pt idx="21">
                  <c:v>8.5</c:v>
                </c:pt>
                <c:pt idx="22">
                  <c:v>7.5</c:v>
                </c:pt>
                <c:pt idx="23">
                  <c:v>7.4</c:v>
                </c:pt>
                <c:pt idx="24">
                  <c:v>7.4</c:v>
                </c:pt>
                <c:pt idx="25">
                  <c:v>7.1</c:v>
                </c:pt>
                <c:pt idx="26">
                  <c:v>7</c:v>
                </c:pt>
                <c:pt idx="27">
                  <c:v>5.9999999999999991</c:v>
                </c:pt>
                <c:pt idx="28">
                  <c:v>5.9999999999999991</c:v>
                </c:pt>
                <c:pt idx="29">
                  <c:v>6.0999999999999988</c:v>
                </c:pt>
                <c:pt idx="30">
                  <c:v>6.0999999999999988</c:v>
                </c:pt>
                <c:pt idx="31">
                  <c:v>6.3</c:v>
                </c:pt>
                <c:pt idx="32">
                  <c:v>6.3</c:v>
                </c:pt>
                <c:pt idx="33">
                  <c:v>6.4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6.6</c:v>
                </c:pt>
                <c:pt idx="38">
                  <c:v>6.5</c:v>
                </c:pt>
                <c:pt idx="39">
                  <c:v>6.5</c:v>
                </c:pt>
                <c:pt idx="40">
                  <c:v>6.4</c:v>
                </c:pt>
                <c:pt idx="41">
                  <c:v>8.4</c:v>
                </c:pt>
                <c:pt idx="42">
                  <c:v>6.5</c:v>
                </c:pt>
                <c:pt idx="43">
                  <c:v>6.3</c:v>
                </c:pt>
                <c:pt idx="44">
                  <c:v>6.8000000000000007</c:v>
                </c:pt>
                <c:pt idx="45">
                  <c:v>5.9999999999999991</c:v>
                </c:pt>
                <c:pt idx="46">
                  <c:v>6.0999999999999988</c:v>
                </c:pt>
                <c:pt idx="47">
                  <c:v>6.8000000000000007</c:v>
                </c:pt>
                <c:pt idx="48">
                  <c:v>6.3</c:v>
                </c:pt>
                <c:pt idx="49">
                  <c:v>6.6</c:v>
                </c:pt>
                <c:pt idx="50">
                  <c:v>6.9</c:v>
                </c:pt>
              </c:numCache>
            </c:numRef>
          </c:xVal>
          <c:yVal>
            <c:numRef>
              <c:f>headed_backup!$CQ$19:$CQ$1274</c:f>
              <c:numCache>
                <c:formatCode>General</c:formatCode>
                <c:ptCount val="829"/>
                <c:pt idx="0">
                  <c:v>1</c:v>
                </c:pt>
                <c:pt idx="1">
                  <c:v>1</c:v>
                </c:pt>
                <c:pt idx="2">
                  <c:v>0.97944761192161567</c:v>
                </c:pt>
                <c:pt idx="3">
                  <c:v>0.98979388951233693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9F-4EBC-AAF7-CF5E668CAE3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1-BC9F-4EBC-AAF7-CF5E668CA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84256"/>
        <c:axId val="130385792"/>
      </c:scatterChart>
      <c:valAx>
        <c:axId val="1303842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5792"/>
        <c:crosses val="autoZero"/>
        <c:crossBetween val="midCat"/>
      </c:valAx>
      <c:valAx>
        <c:axId val="1303857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42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</c:numRef>
          </c:xVal>
          <c:yVal>
            <c:numRef>
              <c:f>headed_backup!$CU$19:$CU$103</c:f>
            </c:numRef>
          </c:yVal>
          <c:smooth val="0"/>
          <c:extLst>
            <c:ext xmlns:c16="http://schemas.microsoft.com/office/drawing/2014/chart" uri="{C3380CC4-5D6E-409C-BE32-E72D297353CC}">
              <c16:uniqueId val="{00000000-F4A1-4DD8-B43B-AE98E3F8883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</c:numRef>
          </c:xVal>
          <c:yVal>
            <c:numRef>
              <c:f>headed_backup!$DA$19:$DA$103</c:f>
            </c:numRef>
          </c:yVal>
          <c:smooth val="0"/>
          <c:extLst>
            <c:ext xmlns:c16="http://schemas.microsoft.com/office/drawing/2014/chart" uri="{C3380CC4-5D6E-409C-BE32-E72D297353CC}">
              <c16:uniqueId val="{00000001-F4A1-4DD8-B43B-AE98E3F8883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2-F4A1-4DD8-B43B-AE98E3F88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33408"/>
        <c:axId val="130434944"/>
      </c:scatterChart>
      <c:valAx>
        <c:axId val="1304334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4944"/>
        <c:crosses val="autoZero"/>
        <c:crossBetween val="midCat"/>
      </c:valAx>
      <c:valAx>
        <c:axId val="13043494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34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</c:numRef>
          </c:xVal>
          <c:yVal>
            <c:numRef>
              <c:f>headed_backup!$CW$19:$CW$103</c:f>
            </c:numRef>
          </c:yVal>
          <c:smooth val="0"/>
          <c:extLst>
            <c:ext xmlns:c16="http://schemas.microsoft.com/office/drawing/2014/chart" uri="{C3380CC4-5D6E-409C-BE32-E72D297353CC}">
              <c16:uniqueId val="{00000000-D7BC-436E-9E32-9BA4FD23348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</c:numRef>
          </c:xVal>
          <c:yVal>
            <c:numRef>
              <c:f>headed_backup!$DC$19:$DC$103</c:f>
            </c:numRef>
          </c:yVal>
          <c:smooth val="0"/>
          <c:extLst>
            <c:ext xmlns:c16="http://schemas.microsoft.com/office/drawing/2014/chart" uri="{C3380CC4-5D6E-409C-BE32-E72D297353CC}">
              <c16:uniqueId val="{00000001-D7BC-436E-9E32-9BA4FD23348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2-D7BC-436E-9E32-9BA4FD233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61696"/>
        <c:axId val="130463232"/>
      </c:scatterChart>
      <c:valAx>
        <c:axId val="130461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3232"/>
        <c:crosses val="autoZero"/>
        <c:crossBetween val="midCat"/>
      </c:valAx>
      <c:valAx>
        <c:axId val="13046323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169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</c:numRef>
          </c:xVal>
          <c:yVal>
            <c:numRef>
              <c:f>headed_backup!$CU$165:$CU$191</c:f>
            </c:numRef>
          </c:yVal>
          <c:smooth val="0"/>
          <c:extLst>
            <c:ext xmlns:c16="http://schemas.microsoft.com/office/drawing/2014/chart" uri="{C3380CC4-5D6E-409C-BE32-E72D297353CC}">
              <c16:uniqueId val="{00000000-0A2C-401C-9A78-B18AF9D338F5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</c:numRef>
          </c:xVal>
          <c:yVal>
            <c:numRef>
              <c:f>headed_backup!$DA$165:$DA$191</c:f>
            </c:numRef>
          </c:yVal>
          <c:smooth val="0"/>
          <c:extLst>
            <c:ext xmlns:c16="http://schemas.microsoft.com/office/drawing/2014/chart" uri="{C3380CC4-5D6E-409C-BE32-E72D297353CC}">
              <c16:uniqueId val="{00000001-0A2C-401C-9A78-B18AF9D338F5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4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</c:numCache>
            </c:numRef>
          </c:xVal>
          <c:yVal>
            <c:numRef>
              <c:f>headed_backup!$CU$212:$CU$449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2C-401C-9A78-B18AF9D338F5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4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</c:numCache>
            </c:numRef>
          </c:xVal>
          <c:yVal>
            <c:numRef>
              <c:f>headed_backup!$DA$212:$DA$449</c:f>
              <c:numCache>
                <c:formatCode>General</c:formatCode>
                <c:ptCount val="4"/>
                <c:pt idx="0">
                  <c:v>1.856778540561977</c:v>
                </c:pt>
                <c:pt idx="1">
                  <c:v>1.9336107560335067</c:v>
                </c:pt>
                <c:pt idx="2">
                  <c:v>1.8183624328262118</c:v>
                </c:pt>
                <c:pt idx="3">
                  <c:v>1.8375704866940943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2C-401C-9A78-B18AF9D338F5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4-0A2C-401C-9A78-B18AF9D338F5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</c:numRef>
          </c:xVal>
          <c:yVal>
            <c:numRef>
              <c:f>headed_backup!$CU$192:$CU$211</c:f>
            </c:numRef>
          </c:yVal>
          <c:smooth val="0"/>
          <c:extLst>
            <c:ext xmlns:c16="http://schemas.microsoft.com/office/drawing/2014/chart" uri="{C3380CC4-5D6E-409C-BE32-E72D297353CC}">
              <c16:uniqueId val="{00000005-0A2C-401C-9A78-B18AF9D338F5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</c:numRef>
          </c:xVal>
          <c:yVal>
            <c:numRef>
              <c:f>headed_backup!$DA$192:$DA$211</c:f>
            </c:numRef>
          </c:yVal>
          <c:smooth val="0"/>
          <c:extLst>
            <c:ext xmlns:c16="http://schemas.microsoft.com/office/drawing/2014/chart" uri="{C3380CC4-5D6E-409C-BE32-E72D297353CC}">
              <c16:uniqueId val="{00000006-0A2C-401C-9A78-B18AF9D33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07520"/>
        <c:axId val="130509440"/>
      </c:scatterChart>
      <c:valAx>
        <c:axId val="130507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9440"/>
        <c:crosses val="autoZero"/>
        <c:crossBetween val="midCat"/>
      </c:valAx>
      <c:valAx>
        <c:axId val="13050944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7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headed_backup!$L$52:$L$1274</c:f>
              <c:numCache>
                <c:formatCode>General</c:formatCode>
                <c:ptCount val="829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  <c:pt idx="19">
                  <c:v>8</c:v>
                </c:pt>
                <c:pt idx="20">
                  <c:v>8.3000000000000007</c:v>
                </c:pt>
                <c:pt idx="21">
                  <c:v>8.5</c:v>
                </c:pt>
                <c:pt idx="22">
                  <c:v>7.5</c:v>
                </c:pt>
                <c:pt idx="23">
                  <c:v>7.4</c:v>
                </c:pt>
                <c:pt idx="24">
                  <c:v>7.4</c:v>
                </c:pt>
                <c:pt idx="25">
                  <c:v>7.1</c:v>
                </c:pt>
                <c:pt idx="26">
                  <c:v>7</c:v>
                </c:pt>
                <c:pt idx="27">
                  <c:v>5.9999999999999991</c:v>
                </c:pt>
                <c:pt idx="28">
                  <c:v>5.9999999999999991</c:v>
                </c:pt>
                <c:pt idx="29">
                  <c:v>6.0999999999999988</c:v>
                </c:pt>
                <c:pt idx="30">
                  <c:v>6.0999999999999988</c:v>
                </c:pt>
                <c:pt idx="31">
                  <c:v>6.3</c:v>
                </c:pt>
                <c:pt idx="32">
                  <c:v>6.3</c:v>
                </c:pt>
                <c:pt idx="33">
                  <c:v>6.4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6.6</c:v>
                </c:pt>
                <c:pt idx="38">
                  <c:v>6.5</c:v>
                </c:pt>
                <c:pt idx="39">
                  <c:v>6.5</c:v>
                </c:pt>
                <c:pt idx="40">
                  <c:v>6.4</c:v>
                </c:pt>
                <c:pt idx="41">
                  <c:v>8.4</c:v>
                </c:pt>
                <c:pt idx="42">
                  <c:v>6.5</c:v>
                </c:pt>
                <c:pt idx="43">
                  <c:v>6.3</c:v>
                </c:pt>
                <c:pt idx="44">
                  <c:v>6.8000000000000007</c:v>
                </c:pt>
                <c:pt idx="45">
                  <c:v>5.9999999999999991</c:v>
                </c:pt>
                <c:pt idx="46">
                  <c:v>6.0999999999999988</c:v>
                </c:pt>
                <c:pt idx="47">
                  <c:v>6.8000000000000007</c:v>
                </c:pt>
                <c:pt idx="48">
                  <c:v>6.3</c:v>
                </c:pt>
                <c:pt idx="49">
                  <c:v>6.6</c:v>
                </c:pt>
                <c:pt idx="50">
                  <c:v>6.9</c:v>
                </c:pt>
              </c:numCache>
            </c:numRef>
          </c:xVal>
          <c:yVal>
            <c:numRef>
              <c:f>headed_backup!$CR$52:$CR$1274</c:f>
              <c:numCache>
                <c:formatCode>General</c:formatCode>
                <c:ptCount val="829"/>
                <c:pt idx="0">
                  <c:v>1.0129564999845371</c:v>
                </c:pt>
                <c:pt idx="1">
                  <c:v>1.0548719413632073</c:v>
                </c:pt>
                <c:pt idx="2">
                  <c:v>0.99199877929520175</c:v>
                </c:pt>
                <c:pt idx="3">
                  <c:v>1.0024776396398694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BE-436C-8A5B-AE63D9A8B33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</c:numRef>
          </c:xVal>
          <c:yVal>
            <c:numRef>
              <c:f>headed_backup!$AK$53:$AK$54</c:f>
            </c:numRef>
          </c:yVal>
          <c:smooth val="0"/>
          <c:extLst>
            <c:ext xmlns:c16="http://schemas.microsoft.com/office/drawing/2014/chart" uri="{C3380CC4-5D6E-409C-BE32-E72D297353CC}">
              <c16:uniqueId val="{00000001-F3BE-436C-8A5B-AE63D9A8B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37344"/>
        <c:axId val="130538880"/>
      </c:scatterChart>
      <c:valAx>
        <c:axId val="13053734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8880"/>
        <c:crosses val="autoZero"/>
        <c:crossBetween val="midCat"/>
      </c:valAx>
      <c:valAx>
        <c:axId val="13053888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734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1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</c:numRef>
          </c:xVal>
          <c:yVal>
            <c:numRef>
              <c:f>headed_backup!$CY$19:$CY$103</c:f>
            </c:numRef>
          </c:yVal>
          <c:smooth val="0"/>
          <c:extLst>
            <c:ext xmlns:c16="http://schemas.microsoft.com/office/drawing/2014/chart" uri="{C3380CC4-5D6E-409C-BE32-E72D297353CC}">
              <c16:uniqueId val="{00000000-4F9E-4400-8FCF-FF5D91FF991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</c:numRef>
          </c:xVal>
          <c:yVal>
            <c:numRef>
              <c:f>headed_backup!$DE$19:$DE$103</c:f>
            </c:numRef>
          </c:yVal>
          <c:smooth val="0"/>
          <c:extLst>
            <c:ext xmlns:c16="http://schemas.microsoft.com/office/drawing/2014/chart" uri="{C3380CC4-5D6E-409C-BE32-E72D297353CC}">
              <c16:uniqueId val="{00000001-4F9E-4400-8FCF-FF5D91FF9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86336"/>
        <c:axId val="130701568"/>
      </c:scatterChart>
      <c:valAx>
        <c:axId val="130686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701568"/>
        <c:crosses val="autoZero"/>
        <c:crossBetween val="midCat"/>
      </c:valAx>
      <c:valAx>
        <c:axId val="1307015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86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headed_backup!$L$104:$L$146</c:f>
            </c:numRef>
          </c:xVal>
          <c:yVal>
            <c:numRef>
              <c:f>headed_backup!$CY$104:$CY$146</c:f>
            </c:numRef>
          </c:yVal>
          <c:smooth val="0"/>
          <c:extLst>
            <c:ext xmlns:c16="http://schemas.microsoft.com/office/drawing/2014/chart" uri="{C3380CC4-5D6E-409C-BE32-E72D297353CC}">
              <c16:uniqueId val="{00000000-4718-4A41-94CC-FD8F7F5D6FD6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headed_backup!$L$104:$L$146</c:f>
            </c:numRef>
          </c:xVal>
          <c:yVal>
            <c:numRef>
              <c:f>headed_backup!$DE$104:$DE$146</c:f>
            </c:numRef>
          </c:yVal>
          <c:smooth val="0"/>
          <c:extLst>
            <c:ext xmlns:c16="http://schemas.microsoft.com/office/drawing/2014/chart" uri="{C3380CC4-5D6E-409C-BE32-E72D297353CC}">
              <c16:uniqueId val="{00000001-4718-4A41-94CC-FD8F7F5D6FD6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2-4718-4A41-94CC-FD8F7F5D6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30016"/>
        <c:axId val="130631552"/>
      </c:scatterChart>
      <c:valAx>
        <c:axId val="1306300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1552"/>
        <c:crosses val="autoZero"/>
        <c:crossBetween val="midCat"/>
      </c:valAx>
      <c:valAx>
        <c:axId val="13063155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00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6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</c:numRef>
          </c:xVal>
          <c:yVal>
            <c:numRef>
              <c:f>headed_backup!$CY$104:$CY$152</c:f>
            </c:numRef>
          </c:yVal>
          <c:smooth val="0"/>
          <c:extLst>
            <c:ext xmlns:c16="http://schemas.microsoft.com/office/drawing/2014/chart" uri="{C3380CC4-5D6E-409C-BE32-E72D297353CC}">
              <c16:uniqueId val="{00000000-5535-4F52-9C41-9E939D34C87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</c:numRef>
          </c:xVal>
          <c:yVal>
            <c:numRef>
              <c:f>headed_backup!$DE$104:$DE$152</c:f>
            </c:numRef>
          </c:yVal>
          <c:smooth val="0"/>
          <c:extLst>
            <c:ext xmlns:c16="http://schemas.microsoft.com/office/drawing/2014/chart" uri="{C3380CC4-5D6E-409C-BE32-E72D297353CC}">
              <c16:uniqueId val="{00000001-5535-4F52-9C41-9E939D34C87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2-5535-4F52-9C41-9E939D34C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4704"/>
        <c:axId val="130674688"/>
      </c:scatterChart>
      <c:valAx>
        <c:axId val="1306647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74688"/>
        <c:crosses val="autoZero"/>
        <c:crossBetween val="midCat"/>
      </c:valAx>
      <c:valAx>
        <c:axId val="1306746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647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125"/>
                <c:pt idx="15">
                  <c:v>8</c:v>
                </c:pt>
                <c:pt idx="16">
                  <c:v>8.3000000000000007</c:v>
                </c:pt>
                <c:pt idx="17">
                  <c:v>8.5</c:v>
                </c:pt>
                <c:pt idx="18">
                  <c:v>7.5</c:v>
                </c:pt>
                <c:pt idx="19">
                  <c:v>7.4</c:v>
                </c:pt>
                <c:pt idx="20">
                  <c:v>7.4</c:v>
                </c:pt>
                <c:pt idx="21">
                  <c:v>7.1</c:v>
                </c:pt>
                <c:pt idx="22">
                  <c:v>7</c:v>
                </c:pt>
                <c:pt idx="23">
                  <c:v>5.9999999999999991</c:v>
                </c:pt>
                <c:pt idx="24">
                  <c:v>5.9999999999999991</c:v>
                </c:pt>
                <c:pt idx="25">
                  <c:v>6.0999999999999988</c:v>
                </c:pt>
                <c:pt idx="26">
                  <c:v>6.0999999999999988</c:v>
                </c:pt>
                <c:pt idx="27">
                  <c:v>6.3</c:v>
                </c:pt>
                <c:pt idx="28">
                  <c:v>6.3</c:v>
                </c:pt>
                <c:pt idx="29">
                  <c:v>6.4</c:v>
                </c:pt>
                <c:pt idx="30">
                  <c:v>6.5</c:v>
                </c:pt>
                <c:pt idx="31">
                  <c:v>6.5</c:v>
                </c:pt>
                <c:pt idx="32">
                  <c:v>6.5</c:v>
                </c:pt>
                <c:pt idx="33">
                  <c:v>6.6</c:v>
                </c:pt>
                <c:pt idx="34">
                  <c:v>6.5</c:v>
                </c:pt>
                <c:pt idx="35">
                  <c:v>6.5</c:v>
                </c:pt>
                <c:pt idx="36">
                  <c:v>6.4</c:v>
                </c:pt>
                <c:pt idx="37">
                  <c:v>8.4</c:v>
                </c:pt>
                <c:pt idx="38">
                  <c:v>6.5</c:v>
                </c:pt>
                <c:pt idx="39">
                  <c:v>6.3</c:v>
                </c:pt>
                <c:pt idx="40">
                  <c:v>6.8000000000000007</c:v>
                </c:pt>
                <c:pt idx="41">
                  <c:v>5.9999999999999991</c:v>
                </c:pt>
                <c:pt idx="42">
                  <c:v>6.0999999999999988</c:v>
                </c:pt>
                <c:pt idx="43">
                  <c:v>6.8000000000000007</c:v>
                </c:pt>
                <c:pt idx="44">
                  <c:v>6.3</c:v>
                </c:pt>
                <c:pt idx="45">
                  <c:v>6.6</c:v>
                </c:pt>
                <c:pt idx="46">
                  <c:v>6.9</c:v>
                </c:pt>
              </c:numCache>
            </c:numRef>
          </c:xVal>
          <c:yVal>
            <c:numRef>
              <c:f>headed_backup!$CQ$248:$CQ$574</c:f>
              <c:numCache>
                <c:formatCode>General</c:formatCode>
                <c:ptCount val="1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03-4B6D-9431-DAF54755C61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</c:numRef>
          </c:xVal>
          <c:yVal>
            <c:numRef>
              <c:f>headed_backup!$AK$53:$AK$54</c:f>
            </c:numRef>
          </c:yVal>
          <c:smooth val="0"/>
          <c:extLst>
            <c:ext xmlns:c16="http://schemas.microsoft.com/office/drawing/2014/chart" uri="{C3380CC4-5D6E-409C-BE32-E72D297353CC}">
              <c16:uniqueId val="{00000001-3503-4B6D-9431-DAF54755C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30336"/>
        <c:axId val="130831872"/>
      </c:scatterChart>
      <c:valAx>
        <c:axId val="130830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1872"/>
        <c:crosses val="autoZero"/>
        <c:crossBetween val="midCat"/>
      </c:valAx>
      <c:valAx>
        <c:axId val="130831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0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125"/>
                <c:pt idx="15">
                  <c:v>8</c:v>
                </c:pt>
                <c:pt idx="16">
                  <c:v>8.3000000000000007</c:v>
                </c:pt>
                <c:pt idx="17">
                  <c:v>8.5</c:v>
                </c:pt>
                <c:pt idx="18">
                  <c:v>7.5</c:v>
                </c:pt>
                <c:pt idx="19">
                  <c:v>7.4</c:v>
                </c:pt>
                <c:pt idx="20">
                  <c:v>7.4</c:v>
                </c:pt>
                <c:pt idx="21">
                  <c:v>7.1</c:v>
                </c:pt>
                <c:pt idx="22">
                  <c:v>7</c:v>
                </c:pt>
                <c:pt idx="23">
                  <c:v>5.9999999999999991</c:v>
                </c:pt>
                <c:pt idx="24">
                  <c:v>5.9999999999999991</c:v>
                </c:pt>
                <c:pt idx="25">
                  <c:v>6.0999999999999988</c:v>
                </c:pt>
                <c:pt idx="26">
                  <c:v>6.0999999999999988</c:v>
                </c:pt>
                <c:pt idx="27">
                  <c:v>6.3</c:v>
                </c:pt>
                <c:pt idx="28">
                  <c:v>6.3</c:v>
                </c:pt>
                <c:pt idx="29">
                  <c:v>6.4</c:v>
                </c:pt>
                <c:pt idx="30">
                  <c:v>6.5</c:v>
                </c:pt>
                <c:pt idx="31">
                  <c:v>6.5</c:v>
                </c:pt>
                <c:pt idx="32">
                  <c:v>6.5</c:v>
                </c:pt>
                <c:pt idx="33">
                  <c:v>6.6</c:v>
                </c:pt>
                <c:pt idx="34">
                  <c:v>6.5</c:v>
                </c:pt>
                <c:pt idx="35">
                  <c:v>6.5</c:v>
                </c:pt>
                <c:pt idx="36">
                  <c:v>6.4</c:v>
                </c:pt>
                <c:pt idx="37">
                  <c:v>8.4</c:v>
                </c:pt>
                <c:pt idx="38">
                  <c:v>6.5</c:v>
                </c:pt>
                <c:pt idx="39">
                  <c:v>6.3</c:v>
                </c:pt>
                <c:pt idx="40">
                  <c:v>6.8000000000000007</c:v>
                </c:pt>
                <c:pt idx="41">
                  <c:v>5.9999999999999991</c:v>
                </c:pt>
                <c:pt idx="42">
                  <c:v>6.0999999999999988</c:v>
                </c:pt>
                <c:pt idx="43">
                  <c:v>6.8000000000000007</c:v>
                </c:pt>
                <c:pt idx="44">
                  <c:v>6.3</c:v>
                </c:pt>
                <c:pt idx="45">
                  <c:v>6.6</c:v>
                </c:pt>
                <c:pt idx="46">
                  <c:v>6.9</c:v>
                </c:pt>
              </c:numCache>
            </c:numRef>
          </c:xVal>
          <c:yVal>
            <c:numRef>
              <c:f>headed_backup!$CQ$248:$CQ$574</c:f>
              <c:numCache>
                <c:formatCode>General</c:formatCode>
                <c:ptCount val="1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CA-464D-A10E-E86E6D753B7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1-21CA-464D-A10E-E86E6D753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56448"/>
        <c:axId val="130857984"/>
      </c:scatterChart>
      <c:valAx>
        <c:axId val="1308564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7984"/>
        <c:crosses val="autoZero"/>
        <c:crossBetween val="midCat"/>
      </c:valAx>
      <c:valAx>
        <c:axId val="13085798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64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125"/>
                <c:pt idx="15">
                  <c:v>8</c:v>
                </c:pt>
                <c:pt idx="16">
                  <c:v>8.3000000000000007</c:v>
                </c:pt>
                <c:pt idx="17">
                  <c:v>8.5</c:v>
                </c:pt>
                <c:pt idx="18">
                  <c:v>7.5</c:v>
                </c:pt>
                <c:pt idx="19">
                  <c:v>7.4</c:v>
                </c:pt>
                <c:pt idx="20">
                  <c:v>7.4</c:v>
                </c:pt>
                <c:pt idx="21">
                  <c:v>7.1</c:v>
                </c:pt>
                <c:pt idx="22">
                  <c:v>7</c:v>
                </c:pt>
                <c:pt idx="23">
                  <c:v>5.9999999999999991</c:v>
                </c:pt>
                <c:pt idx="24">
                  <c:v>5.9999999999999991</c:v>
                </c:pt>
                <c:pt idx="25">
                  <c:v>6.0999999999999988</c:v>
                </c:pt>
                <c:pt idx="26">
                  <c:v>6.0999999999999988</c:v>
                </c:pt>
                <c:pt idx="27">
                  <c:v>6.3</c:v>
                </c:pt>
                <c:pt idx="28">
                  <c:v>6.3</c:v>
                </c:pt>
                <c:pt idx="29">
                  <c:v>6.4</c:v>
                </c:pt>
                <c:pt idx="30">
                  <c:v>6.5</c:v>
                </c:pt>
                <c:pt idx="31">
                  <c:v>6.5</c:v>
                </c:pt>
                <c:pt idx="32">
                  <c:v>6.5</c:v>
                </c:pt>
                <c:pt idx="33">
                  <c:v>6.6</c:v>
                </c:pt>
                <c:pt idx="34">
                  <c:v>6.5</c:v>
                </c:pt>
                <c:pt idx="35">
                  <c:v>6.5</c:v>
                </c:pt>
                <c:pt idx="36">
                  <c:v>6.4</c:v>
                </c:pt>
                <c:pt idx="37">
                  <c:v>8.4</c:v>
                </c:pt>
                <c:pt idx="38">
                  <c:v>6.5</c:v>
                </c:pt>
                <c:pt idx="39">
                  <c:v>6.3</c:v>
                </c:pt>
                <c:pt idx="40">
                  <c:v>6.8000000000000007</c:v>
                </c:pt>
                <c:pt idx="41">
                  <c:v>5.9999999999999991</c:v>
                </c:pt>
                <c:pt idx="42">
                  <c:v>6.0999999999999988</c:v>
                </c:pt>
                <c:pt idx="43">
                  <c:v>6.8000000000000007</c:v>
                </c:pt>
                <c:pt idx="44">
                  <c:v>6.3</c:v>
                </c:pt>
                <c:pt idx="45">
                  <c:v>6.6</c:v>
                </c:pt>
                <c:pt idx="46">
                  <c:v>6.9</c:v>
                </c:pt>
              </c:numCache>
            </c:numRef>
          </c:xVal>
          <c:yVal>
            <c:numRef>
              <c:f>headed_backup!$CQ$248:$CQ$574</c:f>
              <c:numCache>
                <c:formatCode>General</c:formatCode>
                <c:ptCount val="1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12-4540-BC73-158A553A4ED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</c:numRef>
          </c:xVal>
          <c:yVal>
            <c:numRef>
              <c:f>headed_backup!$AK$53:$AK$54</c:f>
            </c:numRef>
          </c:yVal>
          <c:smooth val="0"/>
          <c:extLst>
            <c:ext xmlns:c16="http://schemas.microsoft.com/office/drawing/2014/chart" uri="{C3380CC4-5D6E-409C-BE32-E72D297353CC}">
              <c16:uniqueId val="{00000001-0512-4540-BC73-158A553A4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60000"/>
        <c:axId val="130986368"/>
      </c:scatterChart>
      <c:valAx>
        <c:axId val="1309600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86368"/>
        <c:crosses val="autoZero"/>
        <c:crossBetween val="midCat"/>
      </c:valAx>
      <c:valAx>
        <c:axId val="1309863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600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</c:numRef>
          </c:xVal>
          <c:yVal>
            <c:numRef>
              <c:f>headed_backup!$CY$153:$CY$191</c:f>
            </c:numRef>
          </c:yVal>
          <c:smooth val="0"/>
          <c:extLst>
            <c:ext xmlns:c16="http://schemas.microsoft.com/office/drawing/2014/chart" uri="{C3380CC4-5D6E-409C-BE32-E72D297353CC}">
              <c16:uniqueId val="{00000000-22E1-445D-9713-5B58D1F238FD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</c:numRef>
          </c:xVal>
          <c:yVal>
            <c:numRef>
              <c:f>headed_backup!$DE$153:$DE$191</c:f>
            </c:numRef>
          </c:yVal>
          <c:smooth val="0"/>
          <c:extLst>
            <c:ext xmlns:c16="http://schemas.microsoft.com/office/drawing/2014/chart" uri="{C3380CC4-5D6E-409C-BE32-E72D297353CC}">
              <c16:uniqueId val="{00000001-22E1-445D-9713-5B58D1F238F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headed_backup!$L$192:$L$250</c:f>
              <c:numCache>
                <c:formatCode>General</c:formatCode>
                <c:ptCount val="4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</c:numCache>
            </c:numRef>
          </c:xVal>
          <c:yVal>
            <c:numRef>
              <c:f>headed_backup!$CY$192:$CY$250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E1-445D-9713-5B58D1F238F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headed_backup!$L$192:$L$250</c:f>
              <c:numCache>
                <c:formatCode>General</c:formatCode>
                <c:ptCount val="4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</c:numCache>
            </c:numRef>
          </c:xVal>
          <c:yVal>
            <c:numRef>
              <c:f>headed_backup!$DE$192:$DE$250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0.97944761192161567</c:v>
                </c:pt>
                <c:pt idx="3">
                  <c:v>0.98979388951233693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E1-445D-9713-5B58D1F238F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</c:numRef>
          </c:xVal>
          <c:yVal>
            <c:numRef>
              <c:f>headed_backup!$AK$53:$AK$54</c:f>
            </c:numRef>
          </c:yVal>
          <c:smooth val="0"/>
          <c:extLst>
            <c:ext xmlns:c16="http://schemas.microsoft.com/office/drawing/2014/chart" uri="{C3380CC4-5D6E-409C-BE32-E72D297353CC}">
              <c16:uniqueId val="{00000004-22E1-445D-9713-5B58D1F23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81792"/>
        <c:axId val="130895872"/>
      </c:scatterChart>
      <c:valAx>
        <c:axId val="1308817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95872"/>
        <c:crosses val="autoZero"/>
        <c:crossBetween val="midCat"/>
      </c:valAx>
      <c:valAx>
        <c:axId val="130895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817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</c:numRef>
          </c:xVal>
          <c:yVal>
            <c:numRef>
              <c:f>headed_backup!$CY$153:$CY$191</c:f>
            </c:numRef>
          </c:yVal>
          <c:smooth val="0"/>
          <c:extLst>
            <c:ext xmlns:c16="http://schemas.microsoft.com/office/drawing/2014/chart" uri="{C3380CC4-5D6E-409C-BE32-E72D297353CC}">
              <c16:uniqueId val="{00000000-C74D-4A9E-9823-CD8DE15528D9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</c:numRef>
          </c:xVal>
          <c:yVal>
            <c:numRef>
              <c:f>headed_backup!$DE$153:$DE$191</c:f>
            </c:numRef>
          </c:yVal>
          <c:smooth val="0"/>
          <c:extLst>
            <c:ext xmlns:c16="http://schemas.microsoft.com/office/drawing/2014/chart" uri="{C3380CC4-5D6E-409C-BE32-E72D297353CC}">
              <c16:uniqueId val="{00000001-C74D-4A9E-9823-CD8DE15528D9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805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  <c:pt idx="19">
                  <c:v>8</c:v>
                </c:pt>
                <c:pt idx="20">
                  <c:v>8.3000000000000007</c:v>
                </c:pt>
                <c:pt idx="21">
                  <c:v>8.5</c:v>
                </c:pt>
                <c:pt idx="22">
                  <c:v>7.5</c:v>
                </c:pt>
                <c:pt idx="23">
                  <c:v>7.4</c:v>
                </c:pt>
                <c:pt idx="24">
                  <c:v>7.4</c:v>
                </c:pt>
                <c:pt idx="25">
                  <c:v>7.1</c:v>
                </c:pt>
                <c:pt idx="26">
                  <c:v>7</c:v>
                </c:pt>
                <c:pt idx="27">
                  <c:v>5.9999999999999991</c:v>
                </c:pt>
                <c:pt idx="28">
                  <c:v>5.9999999999999991</c:v>
                </c:pt>
                <c:pt idx="29">
                  <c:v>6.0999999999999988</c:v>
                </c:pt>
                <c:pt idx="30">
                  <c:v>6.0999999999999988</c:v>
                </c:pt>
                <c:pt idx="31">
                  <c:v>6.3</c:v>
                </c:pt>
                <c:pt idx="32">
                  <c:v>6.3</c:v>
                </c:pt>
                <c:pt idx="33">
                  <c:v>6.4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6.6</c:v>
                </c:pt>
                <c:pt idx="38">
                  <c:v>6.5</c:v>
                </c:pt>
                <c:pt idx="39">
                  <c:v>6.5</c:v>
                </c:pt>
                <c:pt idx="40">
                  <c:v>6.4</c:v>
                </c:pt>
                <c:pt idx="41">
                  <c:v>8.4</c:v>
                </c:pt>
                <c:pt idx="42">
                  <c:v>6.5</c:v>
                </c:pt>
                <c:pt idx="43">
                  <c:v>6.3</c:v>
                </c:pt>
                <c:pt idx="44">
                  <c:v>6.8000000000000007</c:v>
                </c:pt>
                <c:pt idx="45">
                  <c:v>5.9999999999999991</c:v>
                </c:pt>
                <c:pt idx="46">
                  <c:v>6.0999999999999988</c:v>
                </c:pt>
                <c:pt idx="47">
                  <c:v>6.8000000000000007</c:v>
                </c:pt>
                <c:pt idx="48">
                  <c:v>6.3</c:v>
                </c:pt>
                <c:pt idx="49">
                  <c:v>6.6</c:v>
                </c:pt>
                <c:pt idx="50">
                  <c:v>6.9</c:v>
                </c:pt>
              </c:numCache>
            </c:numRef>
          </c:xVal>
          <c:yVal>
            <c:numRef>
              <c:f>headed_backup!$CY$165:$CY$1250</c:f>
              <c:numCache>
                <c:formatCode>General</c:formatCode>
                <c:ptCount val="80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4D-4A9E-9823-CD8DE15528D9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805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  <c:pt idx="19">
                  <c:v>8</c:v>
                </c:pt>
                <c:pt idx="20">
                  <c:v>8.3000000000000007</c:v>
                </c:pt>
                <c:pt idx="21">
                  <c:v>8.5</c:v>
                </c:pt>
                <c:pt idx="22">
                  <c:v>7.5</c:v>
                </c:pt>
                <c:pt idx="23">
                  <c:v>7.4</c:v>
                </c:pt>
                <c:pt idx="24">
                  <c:v>7.4</c:v>
                </c:pt>
                <c:pt idx="25">
                  <c:v>7.1</c:v>
                </c:pt>
                <c:pt idx="26">
                  <c:v>7</c:v>
                </c:pt>
                <c:pt idx="27">
                  <c:v>5.9999999999999991</c:v>
                </c:pt>
                <c:pt idx="28">
                  <c:v>5.9999999999999991</c:v>
                </c:pt>
                <c:pt idx="29">
                  <c:v>6.0999999999999988</c:v>
                </c:pt>
                <c:pt idx="30">
                  <c:v>6.0999999999999988</c:v>
                </c:pt>
                <c:pt idx="31">
                  <c:v>6.3</c:v>
                </c:pt>
                <c:pt idx="32">
                  <c:v>6.3</c:v>
                </c:pt>
                <c:pt idx="33">
                  <c:v>6.4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6.6</c:v>
                </c:pt>
                <c:pt idx="38">
                  <c:v>6.5</c:v>
                </c:pt>
                <c:pt idx="39">
                  <c:v>6.5</c:v>
                </c:pt>
                <c:pt idx="40">
                  <c:v>6.4</c:v>
                </c:pt>
                <c:pt idx="41">
                  <c:v>8.4</c:v>
                </c:pt>
                <c:pt idx="42">
                  <c:v>6.5</c:v>
                </c:pt>
                <c:pt idx="43">
                  <c:v>6.3</c:v>
                </c:pt>
                <c:pt idx="44">
                  <c:v>6.8000000000000007</c:v>
                </c:pt>
                <c:pt idx="45">
                  <c:v>5.9999999999999991</c:v>
                </c:pt>
                <c:pt idx="46">
                  <c:v>6.0999999999999988</c:v>
                </c:pt>
                <c:pt idx="47">
                  <c:v>6.8000000000000007</c:v>
                </c:pt>
                <c:pt idx="48">
                  <c:v>6.3</c:v>
                </c:pt>
                <c:pt idx="49">
                  <c:v>6.6</c:v>
                </c:pt>
                <c:pt idx="50">
                  <c:v>6.9</c:v>
                </c:pt>
              </c:numCache>
            </c:numRef>
          </c:xVal>
          <c:yVal>
            <c:numRef>
              <c:f>headed_backup!$DE$165:$DE$1250</c:f>
              <c:numCache>
                <c:formatCode>General</c:formatCode>
                <c:ptCount val="805"/>
                <c:pt idx="0">
                  <c:v>1</c:v>
                </c:pt>
                <c:pt idx="1">
                  <c:v>1</c:v>
                </c:pt>
                <c:pt idx="2">
                  <c:v>0.97944761192161567</c:v>
                </c:pt>
                <c:pt idx="3">
                  <c:v>0.98979388951233693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4D-4A9E-9823-CD8DE15528D9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4-C74D-4A9E-9823-CD8DE1552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34656"/>
        <c:axId val="130936192"/>
      </c:scatterChart>
      <c:valAx>
        <c:axId val="130934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6192"/>
        <c:crosses val="autoZero"/>
        <c:crossBetween val="midCat"/>
      </c:valAx>
      <c:valAx>
        <c:axId val="130936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46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99" l="0.70000000000000062" r="0.70000000000000062" t="0.75000000000000799" header="0.30000000000000032" footer="0.30000000000000032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125"/>
                <c:pt idx="15">
                  <c:v>8</c:v>
                </c:pt>
                <c:pt idx="16">
                  <c:v>8.3000000000000007</c:v>
                </c:pt>
                <c:pt idx="17">
                  <c:v>8.5</c:v>
                </c:pt>
                <c:pt idx="18">
                  <c:v>7.5</c:v>
                </c:pt>
                <c:pt idx="19">
                  <c:v>7.4</c:v>
                </c:pt>
                <c:pt idx="20">
                  <c:v>7.4</c:v>
                </c:pt>
                <c:pt idx="21">
                  <c:v>7.1</c:v>
                </c:pt>
                <c:pt idx="22">
                  <c:v>7</c:v>
                </c:pt>
                <c:pt idx="23">
                  <c:v>5.9999999999999991</c:v>
                </c:pt>
                <c:pt idx="24">
                  <c:v>5.9999999999999991</c:v>
                </c:pt>
                <c:pt idx="25">
                  <c:v>6.0999999999999988</c:v>
                </c:pt>
                <c:pt idx="26">
                  <c:v>6.0999999999999988</c:v>
                </c:pt>
                <c:pt idx="27">
                  <c:v>6.3</c:v>
                </c:pt>
                <c:pt idx="28">
                  <c:v>6.3</c:v>
                </c:pt>
                <c:pt idx="29">
                  <c:v>6.4</c:v>
                </c:pt>
                <c:pt idx="30">
                  <c:v>6.5</c:v>
                </c:pt>
                <c:pt idx="31">
                  <c:v>6.5</c:v>
                </c:pt>
                <c:pt idx="32">
                  <c:v>6.5</c:v>
                </c:pt>
                <c:pt idx="33">
                  <c:v>6.6</c:v>
                </c:pt>
                <c:pt idx="34">
                  <c:v>6.5</c:v>
                </c:pt>
                <c:pt idx="35">
                  <c:v>6.5</c:v>
                </c:pt>
                <c:pt idx="36">
                  <c:v>6.4</c:v>
                </c:pt>
                <c:pt idx="37">
                  <c:v>8.4</c:v>
                </c:pt>
                <c:pt idx="38">
                  <c:v>6.5</c:v>
                </c:pt>
                <c:pt idx="39">
                  <c:v>6.3</c:v>
                </c:pt>
                <c:pt idx="40">
                  <c:v>6.8000000000000007</c:v>
                </c:pt>
                <c:pt idx="41">
                  <c:v>5.9999999999999991</c:v>
                </c:pt>
                <c:pt idx="42">
                  <c:v>6.0999999999999988</c:v>
                </c:pt>
                <c:pt idx="43">
                  <c:v>6.8000000000000007</c:v>
                </c:pt>
                <c:pt idx="44">
                  <c:v>6.3</c:v>
                </c:pt>
                <c:pt idx="45">
                  <c:v>6.6</c:v>
                </c:pt>
                <c:pt idx="46">
                  <c:v>6.9</c:v>
                </c:pt>
              </c:numCache>
            </c:numRef>
          </c:xVal>
          <c:yVal>
            <c:numRef>
              <c:f>headed_backup!$CS$248:$CS$574</c:f>
              <c:numCache>
                <c:formatCode>General</c:formatCode>
                <c:ptCount val="1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19-4CF0-9A3F-DB6EF68C5B6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</c:numRef>
          </c:xVal>
          <c:yVal>
            <c:numRef>
              <c:f>headed_backup!$AK$53:$AK$54</c:f>
            </c:numRef>
          </c:yVal>
          <c:smooth val="0"/>
          <c:extLst>
            <c:ext xmlns:c16="http://schemas.microsoft.com/office/drawing/2014/chart" uri="{C3380CC4-5D6E-409C-BE32-E72D297353CC}">
              <c16:uniqueId val="{00000001-2419-4CF0-9A3F-DB6EF68C5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81184"/>
        <c:axId val="131187072"/>
      </c:scatterChart>
      <c:valAx>
        <c:axId val="1311811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7072"/>
        <c:crosses val="autoZero"/>
        <c:crossBetween val="midCat"/>
      </c:valAx>
      <c:valAx>
        <c:axId val="1311870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11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headed_backup!$L$165:$L$574</c:f>
              <c:numCache>
                <c:formatCode>General</c:formatCode>
                <c:ptCount val="129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  <c:pt idx="19">
                  <c:v>8</c:v>
                </c:pt>
                <c:pt idx="20">
                  <c:v>8.3000000000000007</c:v>
                </c:pt>
                <c:pt idx="21">
                  <c:v>8.5</c:v>
                </c:pt>
                <c:pt idx="22">
                  <c:v>7.5</c:v>
                </c:pt>
                <c:pt idx="23">
                  <c:v>7.4</c:v>
                </c:pt>
                <c:pt idx="24">
                  <c:v>7.4</c:v>
                </c:pt>
                <c:pt idx="25">
                  <c:v>7.1</c:v>
                </c:pt>
                <c:pt idx="26">
                  <c:v>7</c:v>
                </c:pt>
                <c:pt idx="27">
                  <c:v>5.9999999999999991</c:v>
                </c:pt>
                <c:pt idx="28">
                  <c:v>5.9999999999999991</c:v>
                </c:pt>
                <c:pt idx="29">
                  <c:v>6.0999999999999988</c:v>
                </c:pt>
                <c:pt idx="30">
                  <c:v>6.0999999999999988</c:v>
                </c:pt>
                <c:pt idx="31">
                  <c:v>6.3</c:v>
                </c:pt>
                <c:pt idx="32">
                  <c:v>6.3</c:v>
                </c:pt>
                <c:pt idx="33">
                  <c:v>6.4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6.6</c:v>
                </c:pt>
                <c:pt idx="38">
                  <c:v>6.5</c:v>
                </c:pt>
                <c:pt idx="39">
                  <c:v>6.5</c:v>
                </c:pt>
                <c:pt idx="40">
                  <c:v>6.4</c:v>
                </c:pt>
                <c:pt idx="41">
                  <c:v>8.4</c:v>
                </c:pt>
                <c:pt idx="42">
                  <c:v>6.5</c:v>
                </c:pt>
                <c:pt idx="43">
                  <c:v>6.3</c:v>
                </c:pt>
                <c:pt idx="44">
                  <c:v>6.8000000000000007</c:v>
                </c:pt>
                <c:pt idx="45">
                  <c:v>5.9999999999999991</c:v>
                </c:pt>
                <c:pt idx="46">
                  <c:v>6.0999999999999988</c:v>
                </c:pt>
                <c:pt idx="47">
                  <c:v>6.8000000000000007</c:v>
                </c:pt>
                <c:pt idx="48">
                  <c:v>6.3</c:v>
                </c:pt>
                <c:pt idx="49">
                  <c:v>6.6</c:v>
                </c:pt>
                <c:pt idx="50">
                  <c:v>6.9</c:v>
                </c:pt>
              </c:numCache>
            </c:numRef>
          </c:xVal>
          <c:yVal>
            <c:numRef>
              <c:f>headed_backup!$CQ$165:$CQ$574</c:f>
              <c:numCache>
                <c:formatCode>General</c:formatCode>
                <c:ptCount val="129"/>
                <c:pt idx="0">
                  <c:v>1</c:v>
                </c:pt>
                <c:pt idx="1">
                  <c:v>1</c:v>
                </c:pt>
                <c:pt idx="2">
                  <c:v>0.97944761192161567</c:v>
                </c:pt>
                <c:pt idx="3">
                  <c:v>0.98979388951233693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50-4EDC-B44C-349FD764E8EE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1-6850-4EDC-B44C-349FD764E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6800"/>
        <c:axId val="131278336"/>
      </c:scatterChart>
      <c:valAx>
        <c:axId val="131276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8336"/>
        <c:crosses val="autoZero"/>
        <c:crossBetween val="midCat"/>
      </c:valAx>
      <c:valAx>
        <c:axId val="13127833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6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125"/>
                <c:pt idx="15">
                  <c:v>8</c:v>
                </c:pt>
                <c:pt idx="16">
                  <c:v>8.3000000000000007</c:v>
                </c:pt>
                <c:pt idx="17">
                  <c:v>8.5</c:v>
                </c:pt>
                <c:pt idx="18">
                  <c:v>7.5</c:v>
                </c:pt>
                <c:pt idx="19">
                  <c:v>7.4</c:v>
                </c:pt>
                <c:pt idx="20">
                  <c:v>7.4</c:v>
                </c:pt>
                <c:pt idx="21">
                  <c:v>7.1</c:v>
                </c:pt>
                <c:pt idx="22">
                  <c:v>7</c:v>
                </c:pt>
                <c:pt idx="23">
                  <c:v>5.9999999999999991</c:v>
                </c:pt>
                <c:pt idx="24">
                  <c:v>5.9999999999999991</c:v>
                </c:pt>
                <c:pt idx="25">
                  <c:v>6.0999999999999988</c:v>
                </c:pt>
                <c:pt idx="26">
                  <c:v>6.0999999999999988</c:v>
                </c:pt>
                <c:pt idx="27">
                  <c:v>6.3</c:v>
                </c:pt>
                <c:pt idx="28">
                  <c:v>6.3</c:v>
                </c:pt>
                <c:pt idx="29">
                  <c:v>6.4</c:v>
                </c:pt>
                <c:pt idx="30">
                  <c:v>6.5</c:v>
                </c:pt>
                <c:pt idx="31">
                  <c:v>6.5</c:v>
                </c:pt>
                <c:pt idx="32">
                  <c:v>6.5</c:v>
                </c:pt>
                <c:pt idx="33">
                  <c:v>6.6</c:v>
                </c:pt>
                <c:pt idx="34">
                  <c:v>6.5</c:v>
                </c:pt>
                <c:pt idx="35">
                  <c:v>6.5</c:v>
                </c:pt>
                <c:pt idx="36">
                  <c:v>6.4</c:v>
                </c:pt>
                <c:pt idx="37">
                  <c:v>8.4</c:v>
                </c:pt>
                <c:pt idx="38">
                  <c:v>6.5</c:v>
                </c:pt>
                <c:pt idx="39">
                  <c:v>6.3</c:v>
                </c:pt>
                <c:pt idx="40">
                  <c:v>6.8000000000000007</c:v>
                </c:pt>
                <c:pt idx="41">
                  <c:v>5.9999999999999991</c:v>
                </c:pt>
                <c:pt idx="42">
                  <c:v>6.0999999999999988</c:v>
                </c:pt>
                <c:pt idx="43">
                  <c:v>6.8000000000000007</c:v>
                </c:pt>
                <c:pt idx="44">
                  <c:v>6.3</c:v>
                </c:pt>
                <c:pt idx="45">
                  <c:v>6.6</c:v>
                </c:pt>
                <c:pt idx="46">
                  <c:v>6.9</c:v>
                </c:pt>
              </c:numCache>
            </c:numRef>
          </c:xVal>
          <c:yVal>
            <c:numRef>
              <c:f>headed_backup!$CS$248:$CS$574</c:f>
              <c:numCache>
                <c:formatCode>General</c:formatCode>
                <c:ptCount val="1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22-4D57-86DA-D568288AF5C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</c:numRef>
          </c:xVal>
          <c:yVal>
            <c:numRef>
              <c:f>headed_backup!$AK$53:$AK$54</c:f>
            </c:numRef>
          </c:yVal>
          <c:smooth val="0"/>
          <c:extLst>
            <c:ext xmlns:c16="http://schemas.microsoft.com/office/drawing/2014/chart" uri="{C3380CC4-5D6E-409C-BE32-E72D297353CC}">
              <c16:uniqueId val="{00000001-1B22-4D57-86DA-D568288AF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19680"/>
        <c:axId val="131321216"/>
      </c:scatterChart>
      <c:valAx>
        <c:axId val="1313196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21216"/>
        <c:crosses val="autoZero"/>
        <c:crossBetween val="midCat"/>
      </c:valAx>
      <c:valAx>
        <c:axId val="1313212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196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headed_backup!$L$165:$L$248</c:f>
              <c:numCache>
                <c:formatCode>General</c:formatCode>
                <c:ptCount val="4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</c:numCache>
            </c:numRef>
          </c:xVal>
          <c:yVal>
            <c:numRef>
              <c:f>headed_backup!$CS$165:$CS$248</c:f>
              <c:numCache>
                <c:formatCode>General</c:formatCode>
                <c:ptCount val="4"/>
                <c:pt idx="0">
                  <c:v>1.2269966870795557</c:v>
                </c:pt>
                <c:pt idx="1">
                  <c:v>1.2777689637862957</c:v>
                </c:pt>
                <c:pt idx="2">
                  <c:v>1.2016105487261854</c:v>
                </c:pt>
                <c:pt idx="3">
                  <c:v>1.2143036179028706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7C-4FF4-AE44-F6033C21ED1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</c:numRef>
          </c:xVal>
          <c:yVal>
            <c:numRef>
              <c:f>headed_backup!$AK$53:$AK$54</c:f>
            </c:numRef>
          </c:yVal>
          <c:smooth val="0"/>
          <c:extLst>
            <c:ext xmlns:c16="http://schemas.microsoft.com/office/drawing/2014/chart" uri="{C3380CC4-5D6E-409C-BE32-E72D297353CC}">
              <c16:uniqueId val="{00000001-567C-4FF4-AE44-F6033C21E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80192"/>
        <c:axId val="131081728"/>
      </c:scatterChart>
      <c:valAx>
        <c:axId val="1310801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1728"/>
        <c:crosses val="autoZero"/>
        <c:crossBetween val="midCat"/>
      </c:valAx>
      <c:valAx>
        <c:axId val="1310817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01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829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  <c:pt idx="19">
                  <c:v>8</c:v>
                </c:pt>
                <c:pt idx="20">
                  <c:v>8.3000000000000007</c:v>
                </c:pt>
                <c:pt idx="21">
                  <c:v>8.5</c:v>
                </c:pt>
                <c:pt idx="22">
                  <c:v>7.5</c:v>
                </c:pt>
                <c:pt idx="23">
                  <c:v>7.4</c:v>
                </c:pt>
                <c:pt idx="24">
                  <c:v>7.4</c:v>
                </c:pt>
                <c:pt idx="25">
                  <c:v>7.1</c:v>
                </c:pt>
                <c:pt idx="26">
                  <c:v>7</c:v>
                </c:pt>
                <c:pt idx="27">
                  <c:v>5.9999999999999991</c:v>
                </c:pt>
                <c:pt idx="28">
                  <c:v>5.9999999999999991</c:v>
                </c:pt>
                <c:pt idx="29">
                  <c:v>6.0999999999999988</c:v>
                </c:pt>
                <c:pt idx="30">
                  <c:v>6.0999999999999988</c:v>
                </c:pt>
                <c:pt idx="31">
                  <c:v>6.3</c:v>
                </c:pt>
                <c:pt idx="32">
                  <c:v>6.3</c:v>
                </c:pt>
                <c:pt idx="33">
                  <c:v>6.4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6.6</c:v>
                </c:pt>
                <c:pt idx="38">
                  <c:v>6.5</c:v>
                </c:pt>
                <c:pt idx="39">
                  <c:v>6.5</c:v>
                </c:pt>
                <c:pt idx="40">
                  <c:v>6.4</c:v>
                </c:pt>
                <c:pt idx="41">
                  <c:v>8.4</c:v>
                </c:pt>
                <c:pt idx="42">
                  <c:v>6.5</c:v>
                </c:pt>
                <c:pt idx="43">
                  <c:v>6.3</c:v>
                </c:pt>
                <c:pt idx="44">
                  <c:v>6.8000000000000007</c:v>
                </c:pt>
                <c:pt idx="45">
                  <c:v>5.9999999999999991</c:v>
                </c:pt>
                <c:pt idx="46">
                  <c:v>6.0999999999999988</c:v>
                </c:pt>
                <c:pt idx="47">
                  <c:v>6.8000000000000007</c:v>
                </c:pt>
                <c:pt idx="48">
                  <c:v>6.3</c:v>
                </c:pt>
                <c:pt idx="49">
                  <c:v>6.6</c:v>
                </c:pt>
                <c:pt idx="50">
                  <c:v>6.9</c:v>
                </c:pt>
              </c:numCache>
            </c:numRef>
          </c:xVal>
          <c:yVal>
            <c:numRef>
              <c:f>headed_backup!$CS$19:$CS$1274</c:f>
              <c:numCache>
                <c:formatCode>General</c:formatCode>
                <c:ptCount val="829"/>
                <c:pt idx="0">
                  <c:v>1.2269966870795557</c:v>
                </c:pt>
                <c:pt idx="1">
                  <c:v>1.2777689637862957</c:v>
                </c:pt>
                <c:pt idx="2">
                  <c:v>1.2016105487261854</c:v>
                </c:pt>
                <c:pt idx="3">
                  <c:v>1.2143036179028706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F8-4BFB-BFF2-17AD4BAA907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1-A0F8-4BFB-BFF2-17AD4BAA9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27168"/>
        <c:axId val="131128704"/>
      </c:scatterChart>
      <c:valAx>
        <c:axId val="13112716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8704"/>
        <c:crosses val="autoZero"/>
        <c:crossBetween val="midCat"/>
      </c:valAx>
      <c:valAx>
        <c:axId val="13112870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716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125"/>
                <c:pt idx="15">
                  <c:v>8</c:v>
                </c:pt>
                <c:pt idx="16">
                  <c:v>8.3000000000000007</c:v>
                </c:pt>
                <c:pt idx="17">
                  <c:v>8.5</c:v>
                </c:pt>
                <c:pt idx="18">
                  <c:v>7.5</c:v>
                </c:pt>
                <c:pt idx="19">
                  <c:v>7.4</c:v>
                </c:pt>
                <c:pt idx="20">
                  <c:v>7.4</c:v>
                </c:pt>
                <c:pt idx="21">
                  <c:v>7.1</c:v>
                </c:pt>
                <c:pt idx="22">
                  <c:v>7</c:v>
                </c:pt>
                <c:pt idx="23">
                  <c:v>5.9999999999999991</c:v>
                </c:pt>
                <c:pt idx="24">
                  <c:v>5.9999999999999991</c:v>
                </c:pt>
                <c:pt idx="25">
                  <c:v>6.0999999999999988</c:v>
                </c:pt>
                <c:pt idx="26">
                  <c:v>6.0999999999999988</c:v>
                </c:pt>
                <c:pt idx="27">
                  <c:v>6.3</c:v>
                </c:pt>
                <c:pt idx="28">
                  <c:v>6.3</c:v>
                </c:pt>
                <c:pt idx="29">
                  <c:v>6.4</c:v>
                </c:pt>
                <c:pt idx="30">
                  <c:v>6.5</c:v>
                </c:pt>
                <c:pt idx="31">
                  <c:v>6.5</c:v>
                </c:pt>
                <c:pt idx="32">
                  <c:v>6.5</c:v>
                </c:pt>
                <c:pt idx="33">
                  <c:v>6.6</c:v>
                </c:pt>
                <c:pt idx="34">
                  <c:v>6.5</c:v>
                </c:pt>
                <c:pt idx="35">
                  <c:v>6.5</c:v>
                </c:pt>
                <c:pt idx="36">
                  <c:v>6.4</c:v>
                </c:pt>
                <c:pt idx="37">
                  <c:v>8.4</c:v>
                </c:pt>
                <c:pt idx="38">
                  <c:v>6.5</c:v>
                </c:pt>
                <c:pt idx="39">
                  <c:v>6.3</c:v>
                </c:pt>
                <c:pt idx="40">
                  <c:v>6.8000000000000007</c:v>
                </c:pt>
                <c:pt idx="41">
                  <c:v>5.9999999999999991</c:v>
                </c:pt>
                <c:pt idx="42">
                  <c:v>6.0999999999999988</c:v>
                </c:pt>
                <c:pt idx="43">
                  <c:v>6.8000000000000007</c:v>
                </c:pt>
                <c:pt idx="44">
                  <c:v>6.3</c:v>
                </c:pt>
                <c:pt idx="45">
                  <c:v>6.6</c:v>
                </c:pt>
                <c:pt idx="46">
                  <c:v>6.9</c:v>
                </c:pt>
              </c:numCache>
            </c:numRef>
          </c:xVal>
          <c:yVal>
            <c:numRef>
              <c:f>headed_backup!$CQ$248:$CQ$574</c:f>
              <c:numCache>
                <c:formatCode>General</c:formatCode>
                <c:ptCount val="1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82-4252-9FF0-47ACA032D0B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</c:numRef>
          </c:xVal>
          <c:yVal>
            <c:numRef>
              <c:f>headed_backup!$AK$53:$AK$54</c:f>
            </c:numRef>
          </c:yVal>
          <c:smooth val="0"/>
          <c:extLst>
            <c:ext xmlns:c16="http://schemas.microsoft.com/office/drawing/2014/chart" uri="{C3380CC4-5D6E-409C-BE32-E72D297353CC}">
              <c16:uniqueId val="{00000001-1C82-4252-9FF0-47ACA032D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2864"/>
        <c:axId val="131502848"/>
      </c:scatterChart>
      <c:valAx>
        <c:axId val="1314928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502848"/>
        <c:crosses val="autoZero"/>
        <c:crossBetween val="midCat"/>
      </c:valAx>
      <c:valAx>
        <c:axId val="13150284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4928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headed_backup!$L$52:$L$1274</c:f>
              <c:numCache>
                <c:formatCode>General</c:formatCode>
                <c:ptCount val="829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  <c:pt idx="19">
                  <c:v>8</c:v>
                </c:pt>
                <c:pt idx="20">
                  <c:v>8.3000000000000007</c:v>
                </c:pt>
                <c:pt idx="21">
                  <c:v>8.5</c:v>
                </c:pt>
                <c:pt idx="22">
                  <c:v>7.5</c:v>
                </c:pt>
                <c:pt idx="23">
                  <c:v>7.4</c:v>
                </c:pt>
                <c:pt idx="24">
                  <c:v>7.4</c:v>
                </c:pt>
                <c:pt idx="25">
                  <c:v>7.1</c:v>
                </c:pt>
                <c:pt idx="26">
                  <c:v>7</c:v>
                </c:pt>
                <c:pt idx="27">
                  <c:v>5.9999999999999991</c:v>
                </c:pt>
                <c:pt idx="28">
                  <c:v>5.9999999999999991</c:v>
                </c:pt>
                <c:pt idx="29">
                  <c:v>6.0999999999999988</c:v>
                </c:pt>
                <c:pt idx="30">
                  <c:v>6.0999999999999988</c:v>
                </c:pt>
                <c:pt idx="31">
                  <c:v>6.3</c:v>
                </c:pt>
                <c:pt idx="32">
                  <c:v>6.3</c:v>
                </c:pt>
                <c:pt idx="33">
                  <c:v>6.4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6.6</c:v>
                </c:pt>
                <c:pt idx="38">
                  <c:v>6.5</c:v>
                </c:pt>
                <c:pt idx="39">
                  <c:v>6.5</c:v>
                </c:pt>
                <c:pt idx="40">
                  <c:v>6.4</c:v>
                </c:pt>
                <c:pt idx="41">
                  <c:v>8.4</c:v>
                </c:pt>
                <c:pt idx="42">
                  <c:v>6.5</c:v>
                </c:pt>
                <c:pt idx="43">
                  <c:v>6.3</c:v>
                </c:pt>
                <c:pt idx="44">
                  <c:v>6.8000000000000007</c:v>
                </c:pt>
                <c:pt idx="45">
                  <c:v>5.9999999999999991</c:v>
                </c:pt>
                <c:pt idx="46">
                  <c:v>6.0999999999999988</c:v>
                </c:pt>
                <c:pt idx="47">
                  <c:v>6.8000000000000007</c:v>
                </c:pt>
                <c:pt idx="48">
                  <c:v>6.3</c:v>
                </c:pt>
                <c:pt idx="49">
                  <c:v>6.6</c:v>
                </c:pt>
                <c:pt idx="50">
                  <c:v>6.9</c:v>
                </c:pt>
              </c:numCache>
            </c:numRef>
          </c:xVal>
          <c:yVal>
            <c:numRef>
              <c:f>headed_backup!$CQ$52:$CQ$1274</c:f>
              <c:numCache>
                <c:formatCode>General</c:formatCode>
                <c:ptCount val="829"/>
                <c:pt idx="0">
                  <c:v>1</c:v>
                </c:pt>
                <c:pt idx="1">
                  <c:v>1</c:v>
                </c:pt>
                <c:pt idx="2">
                  <c:v>0.97944761192161567</c:v>
                </c:pt>
                <c:pt idx="3">
                  <c:v>0.98979388951233693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C8-464F-9CB9-B00E08AB35BC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</c:numRef>
          </c:xVal>
          <c:yVal>
            <c:numRef>
              <c:f>headed_backup!$AK$53:$AK$54</c:f>
            </c:numRef>
          </c:yVal>
          <c:smooth val="0"/>
          <c:extLst>
            <c:ext xmlns:c16="http://schemas.microsoft.com/office/drawing/2014/chart" uri="{C3380CC4-5D6E-409C-BE32-E72D297353CC}">
              <c16:uniqueId val="{00000001-A7C8-464F-9CB9-B00E08AB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54880"/>
        <c:axId val="126556032"/>
      </c:scatterChart>
      <c:valAx>
        <c:axId val="1265548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6032"/>
        <c:crosses val="autoZero"/>
        <c:crossBetween val="midCat"/>
      </c:valAx>
      <c:valAx>
        <c:axId val="12655603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48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headed_backup!$M$19:$M$540</c:f>
              <c:numCache>
                <c:formatCode>General</c:formatCode>
                <c:ptCount val="95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  <c:pt idx="19">
                  <c:v>8</c:v>
                </c:pt>
                <c:pt idx="20">
                  <c:v>8.3000000000000007</c:v>
                </c:pt>
                <c:pt idx="21">
                  <c:v>8.5</c:v>
                </c:pt>
                <c:pt idx="22">
                  <c:v>7.5</c:v>
                </c:pt>
                <c:pt idx="23">
                  <c:v>7.4</c:v>
                </c:pt>
                <c:pt idx="24">
                  <c:v>7.4</c:v>
                </c:pt>
                <c:pt idx="25">
                  <c:v>7.1</c:v>
                </c:pt>
                <c:pt idx="26">
                  <c:v>7</c:v>
                </c:pt>
                <c:pt idx="27">
                  <c:v>5.9999999999999991</c:v>
                </c:pt>
                <c:pt idx="28">
                  <c:v>5.9999999999999991</c:v>
                </c:pt>
                <c:pt idx="29">
                  <c:v>6.0999999999999988</c:v>
                </c:pt>
                <c:pt idx="30">
                  <c:v>6.0999999999999988</c:v>
                </c:pt>
                <c:pt idx="31">
                  <c:v>6.3</c:v>
                </c:pt>
                <c:pt idx="32">
                  <c:v>6.3</c:v>
                </c:pt>
                <c:pt idx="33">
                  <c:v>6.4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6.6</c:v>
                </c:pt>
                <c:pt idx="38">
                  <c:v>6.5</c:v>
                </c:pt>
                <c:pt idx="39">
                  <c:v>6.5</c:v>
                </c:pt>
                <c:pt idx="40">
                  <c:v>6.4</c:v>
                </c:pt>
                <c:pt idx="41">
                  <c:v>8.4</c:v>
                </c:pt>
                <c:pt idx="42">
                  <c:v>6.5</c:v>
                </c:pt>
                <c:pt idx="43">
                  <c:v>6.3</c:v>
                </c:pt>
                <c:pt idx="44">
                  <c:v>6.8000000000000007</c:v>
                </c:pt>
                <c:pt idx="45">
                  <c:v>5.9999999999999991</c:v>
                </c:pt>
                <c:pt idx="46">
                  <c:v>6.0999999999999988</c:v>
                </c:pt>
                <c:pt idx="47">
                  <c:v>6.8000000000000007</c:v>
                </c:pt>
                <c:pt idx="48">
                  <c:v>6.3</c:v>
                </c:pt>
                <c:pt idx="49">
                  <c:v>6.6</c:v>
                </c:pt>
                <c:pt idx="50">
                  <c:v>6.9</c:v>
                </c:pt>
              </c:numCache>
            </c:numRef>
          </c:xVal>
          <c:yVal>
            <c:numRef>
              <c:f>headed_backup!$CQ$19:$CQ$533</c:f>
              <c:numCache>
                <c:formatCode>General</c:formatCode>
                <c:ptCount val="88"/>
                <c:pt idx="0">
                  <c:v>1</c:v>
                </c:pt>
                <c:pt idx="1">
                  <c:v>1</c:v>
                </c:pt>
                <c:pt idx="2">
                  <c:v>0.97944761192161567</c:v>
                </c:pt>
                <c:pt idx="3">
                  <c:v>0.98979388951233693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49-4258-9D83-D020A5D907FD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</c:numRef>
          </c:xVal>
          <c:yVal>
            <c:numRef>
              <c:f>headed_backup!$AK$53:$AK$54</c:f>
            </c:numRef>
          </c:yVal>
          <c:smooth val="0"/>
          <c:extLst>
            <c:ext xmlns:c16="http://schemas.microsoft.com/office/drawing/2014/chart" uri="{C3380CC4-5D6E-409C-BE32-E72D297353CC}">
              <c16:uniqueId val="{00000001-6949-4258-9D83-D020A5D90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80224"/>
        <c:axId val="126581760"/>
      </c:scatterChart>
      <c:valAx>
        <c:axId val="126580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1760"/>
        <c:crosses val="autoZero"/>
        <c:crossBetween val="midCat"/>
      </c:valAx>
      <c:valAx>
        <c:axId val="126581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0224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headed_backup!$M$19:$M$540</c:f>
              <c:numCache>
                <c:formatCode>General</c:formatCode>
                <c:ptCount val="95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  <c:pt idx="19">
                  <c:v>8</c:v>
                </c:pt>
                <c:pt idx="20">
                  <c:v>8.3000000000000007</c:v>
                </c:pt>
                <c:pt idx="21">
                  <c:v>8.5</c:v>
                </c:pt>
                <c:pt idx="22">
                  <c:v>7.5</c:v>
                </c:pt>
                <c:pt idx="23">
                  <c:v>7.4</c:v>
                </c:pt>
                <c:pt idx="24">
                  <c:v>7.4</c:v>
                </c:pt>
                <c:pt idx="25">
                  <c:v>7.1</c:v>
                </c:pt>
                <c:pt idx="26">
                  <c:v>7</c:v>
                </c:pt>
                <c:pt idx="27">
                  <c:v>5.9999999999999991</c:v>
                </c:pt>
                <c:pt idx="28">
                  <c:v>5.9999999999999991</c:v>
                </c:pt>
                <c:pt idx="29">
                  <c:v>6.0999999999999988</c:v>
                </c:pt>
                <c:pt idx="30">
                  <c:v>6.0999999999999988</c:v>
                </c:pt>
                <c:pt idx="31">
                  <c:v>6.3</c:v>
                </c:pt>
                <c:pt idx="32">
                  <c:v>6.3</c:v>
                </c:pt>
                <c:pt idx="33">
                  <c:v>6.4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6.6</c:v>
                </c:pt>
                <c:pt idx="38">
                  <c:v>6.5</c:v>
                </c:pt>
                <c:pt idx="39">
                  <c:v>6.5</c:v>
                </c:pt>
                <c:pt idx="40">
                  <c:v>6.4</c:v>
                </c:pt>
                <c:pt idx="41">
                  <c:v>8.4</c:v>
                </c:pt>
                <c:pt idx="42">
                  <c:v>6.5</c:v>
                </c:pt>
                <c:pt idx="43">
                  <c:v>6.3</c:v>
                </c:pt>
                <c:pt idx="44">
                  <c:v>6.8000000000000007</c:v>
                </c:pt>
                <c:pt idx="45">
                  <c:v>5.9999999999999991</c:v>
                </c:pt>
                <c:pt idx="46">
                  <c:v>6.0999999999999988</c:v>
                </c:pt>
                <c:pt idx="47">
                  <c:v>6.8000000000000007</c:v>
                </c:pt>
                <c:pt idx="48">
                  <c:v>6.3</c:v>
                </c:pt>
                <c:pt idx="49">
                  <c:v>6.6</c:v>
                </c:pt>
                <c:pt idx="50">
                  <c:v>6.9</c:v>
                </c:pt>
              </c:numCache>
            </c:numRef>
          </c:xVal>
          <c:yVal>
            <c:numRef>
              <c:f>headed_backup!$CR$19:$CR$533</c:f>
              <c:numCache>
                <c:formatCode>General</c:formatCode>
                <c:ptCount val="88"/>
                <c:pt idx="0">
                  <c:v>1.0129564999845371</c:v>
                </c:pt>
                <c:pt idx="1">
                  <c:v>1.0548719413632073</c:v>
                </c:pt>
                <c:pt idx="2">
                  <c:v>0.99199877929520175</c:v>
                </c:pt>
                <c:pt idx="3">
                  <c:v>1.0024776396398694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5-47F2-A91F-1759D95C5E9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</c:numRef>
          </c:xVal>
          <c:yVal>
            <c:numRef>
              <c:f>headed_backup!$AK$53:$AK$54</c:f>
            </c:numRef>
          </c:yVal>
          <c:smooth val="0"/>
          <c:extLst>
            <c:ext xmlns:c16="http://schemas.microsoft.com/office/drawing/2014/chart" uri="{C3380CC4-5D6E-409C-BE32-E72D297353CC}">
              <c16:uniqueId val="{00000001-D475-47F2-A91F-1759D95C5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97760"/>
        <c:axId val="126607744"/>
      </c:scatterChart>
      <c:valAx>
        <c:axId val="12659776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607744"/>
        <c:crosses val="autoZero"/>
        <c:crossBetween val="midCat"/>
      </c:valAx>
      <c:valAx>
        <c:axId val="126607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9776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</c:numRef>
          </c:xVal>
          <c:yVal>
            <c:numRef>
              <c:f>headed_backup!$CS$104:$CS$152</c:f>
            </c:numRef>
          </c:yVal>
          <c:smooth val="0"/>
          <c:extLst>
            <c:ext xmlns:c16="http://schemas.microsoft.com/office/drawing/2014/chart" uri="{C3380CC4-5D6E-409C-BE32-E72D297353CC}">
              <c16:uniqueId val="{00000000-ADFC-43DA-B265-45B5FB0B808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1-ADFC-43DA-B265-45B5FB0B8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82304"/>
        <c:axId val="131683840"/>
      </c:scatterChart>
      <c:valAx>
        <c:axId val="1316823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3840"/>
        <c:crosses val="autoZero"/>
        <c:crossBetween val="midCat"/>
      </c:valAx>
      <c:valAx>
        <c:axId val="13168384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23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headed_backup!$L$165:$L$574</c:f>
              <c:numCache>
                <c:formatCode>General</c:formatCode>
                <c:ptCount val="129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  <c:pt idx="19">
                  <c:v>8</c:v>
                </c:pt>
                <c:pt idx="20">
                  <c:v>8.3000000000000007</c:v>
                </c:pt>
                <c:pt idx="21">
                  <c:v>8.5</c:v>
                </c:pt>
                <c:pt idx="22">
                  <c:v>7.5</c:v>
                </c:pt>
                <c:pt idx="23">
                  <c:v>7.4</c:v>
                </c:pt>
                <c:pt idx="24">
                  <c:v>7.4</c:v>
                </c:pt>
                <c:pt idx="25">
                  <c:v>7.1</c:v>
                </c:pt>
                <c:pt idx="26">
                  <c:v>7</c:v>
                </c:pt>
                <c:pt idx="27">
                  <c:v>5.9999999999999991</c:v>
                </c:pt>
                <c:pt idx="28">
                  <c:v>5.9999999999999991</c:v>
                </c:pt>
                <c:pt idx="29">
                  <c:v>6.0999999999999988</c:v>
                </c:pt>
                <c:pt idx="30">
                  <c:v>6.0999999999999988</c:v>
                </c:pt>
                <c:pt idx="31">
                  <c:v>6.3</c:v>
                </c:pt>
                <c:pt idx="32">
                  <c:v>6.3</c:v>
                </c:pt>
                <c:pt idx="33">
                  <c:v>6.4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6.6</c:v>
                </c:pt>
                <c:pt idx="38">
                  <c:v>6.5</c:v>
                </c:pt>
                <c:pt idx="39">
                  <c:v>6.5</c:v>
                </c:pt>
                <c:pt idx="40">
                  <c:v>6.4</c:v>
                </c:pt>
                <c:pt idx="41">
                  <c:v>8.4</c:v>
                </c:pt>
                <c:pt idx="42">
                  <c:v>6.5</c:v>
                </c:pt>
                <c:pt idx="43">
                  <c:v>6.3</c:v>
                </c:pt>
                <c:pt idx="44">
                  <c:v>6.8000000000000007</c:v>
                </c:pt>
                <c:pt idx="45">
                  <c:v>5.9999999999999991</c:v>
                </c:pt>
                <c:pt idx="46">
                  <c:v>6.0999999999999988</c:v>
                </c:pt>
                <c:pt idx="47">
                  <c:v>6.8000000000000007</c:v>
                </c:pt>
                <c:pt idx="48">
                  <c:v>6.3</c:v>
                </c:pt>
                <c:pt idx="49">
                  <c:v>6.6</c:v>
                </c:pt>
                <c:pt idx="50">
                  <c:v>6.9</c:v>
                </c:pt>
              </c:numCache>
            </c:numRef>
          </c:xVal>
          <c:yVal>
            <c:numRef>
              <c:f>headed_backup!$CO$165:$CO$574</c:f>
              <c:numCache>
                <c:formatCode>General</c:formatCode>
                <c:ptCount val="129"/>
                <c:pt idx="0">
                  <c:v>1.0829854421475513</c:v>
                </c:pt>
                <c:pt idx="1">
                  <c:v>1.127798632857105</c:v>
                </c:pt>
                <c:pt idx="2">
                  <c:v>1.0605788467927744</c:v>
                </c:pt>
                <c:pt idx="3">
                  <c:v>1.0717821444701627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EE-47C8-85E5-E5C84F67135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1-95EE-47C8-85E5-E5C84F671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16224"/>
        <c:axId val="131717760"/>
      </c:scatterChart>
      <c:valAx>
        <c:axId val="131716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7760"/>
        <c:crosses val="autoZero"/>
        <c:crossBetween val="midCat"/>
      </c:valAx>
      <c:valAx>
        <c:axId val="131717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622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</c:numRef>
          </c:xVal>
          <c:yVal>
            <c:numRef>
              <c:f>headed_backup!$CY$153:$CY$191</c:f>
            </c:numRef>
          </c:yVal>
          <c:smooth val="0"/>
          <c:extLst>
            <c:ext xmlns:c16="http://schemas.microsoft.com/office/drawing/2014/chart" uri="{C3380CC4-5D6E-409C-BE32-E72D297353CC}">
              <c16:uniqueId val="{00000000-7D7F-47D3-B340-262AA0B79217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</c:numRef>
          </c:xVal>
          <c:yVal>
            <c:numRef>
              <c:f>headed_backup!$DE$153:$DE$191</c:f>
            </c:numRef>
          </c:yVal>
          <c:smooth val="0"/>
          <c:extLst>
            <c:ext xmlns:c16="http://schemas.microsoft.com/office/drawing/2014/chart" uri="{C3380CC4-5D6E-409C-BE32-E72D297353CC}">
              <c16:uniqueId val="{00000001-7D7F-47D3-B340-262AA0B79217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805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  <c:pt idx="19">
                  <c:v>8</c:v>
                </c:pt>
                <c:pt idx="20">
                  <c:v>8.3000000000000007</c:v>
                </c:pt>
                <c:pt idx="21">
                  <c:v>8.5</c:v>
                </c:pt>
                <c:pt idx="22">
                  <c:v>7.5</c:v>
                </c:pt>
                <c:pt idx="23">
                  <c:v>7.4</c:v>
                </c:pt>
                <c:pt idx="24">
                  <c:v>7.4</c:v>
                </c:pt>
                <c:pt idx="25">
                  <c:v>7.1</c:v>
                </c:pt>
                <c:pt idx="26">
                  <c:v>7</c:v>
                </c:pt>
                <c:pt idx="27">
                  <c:v>5.9999999999999991</c:v>
                </c:pt>
                <c:pt idx="28">
                  <c:v>5.9999999999999991</c:v>
                </c:pt>
                <c:pt idx="29">
                  <c:v>6.0999999999999988</c:v>
                </c:pt>
                <c:pt idx="30">
                  <c:v>6.0999999999999988</c:v>
                </c:pt>
                <c:pt idx="31">
                  <c:v>6.3</c:v>
                </c:pt>
                <c:pt idx="32">
                  <c:v>6.3</c:v>
                </c:pt>
                <c:pt idx="33">
                  <c:v>6.4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6.6</c:v>
                </c:pt>
                <c:pt idx="38">
                  <c:v>6.5</c:v>
                </c:pt>
                <c:pt idx="39">
                  <c:v>6.5</c:v>
                </c:pt>
                <c:pt idx="40">
                  <c:v>6.4</c:v>
                </c:pt>
                <c:pt idx="41">
                  <c:v>8.4</c:v>
                </c:pt>
                <c:pt idx="42">
                  <c:v>6.5</c:v>
                </c:pt>
                <c:pt idx="43">
                  <c:v>6.3</c:v>
                </c:pt>
                <c:pt idx="44">
                  <c:v>6.8000000000000007</c:v>
                </c:pt>
                <c:pt idx="45">
                  <c:v>5.9999999999999991</c:v>
                </c:pt>
                <c:pt idx="46">
                  <c:v>6.0999999999999988</c:v>
                </c:pt>
                <c:pt idx="47">
                  <c:v>6.8000000000000007</c:v>
                </c:pt>
                <c:pt idx="48">
                  <c:v>6.3</c:v>
                </c:pt>
                <c:pt idx="49">
                  <c:v>6.6</c:v>
                </c:pt>
                <c:pt idx="50">
                  <c:v>6.9</c:v>
                </c:pt>
              </c:numCache>
            </c:numRef>
          </c:xVal>
          <c:yVal>
            <c:numRef>
              <c:f>headed_backup!$CY$165:$CY$1250</c:f>
              <c:numCache>
                <c:formatCode>General</c:formatCode>
                <c:ptCount val="80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7F-47D3-B340-262AA0B7921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805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  <c:pt idx="19">
                  <c:v>8</c:v>
                </c:pt>
                <c:pt idx="20">
                  <c:v>8.3000000000000007</c:v>
                </c:pt>
                <c:pt idx="21">
                  <c:v>8.5</c:v>
                </c:pt>
                <c:pt idx="22">
                  <c:v>7.5</c:v>
                </c:pt>
                <c:pt idx="23">
                  <c:v>7.4</c:v>
                </c:pt>
                <c:pt idx="24">
                  <c:v>7.4</c:v>
                </c:pt>
                <c:pt idx="25">
                  <c:v>7.1</c:v>
                </c:pt>
                <c:pt idx="26">
                  <c:v>7</c:v>
                </c:pt>
                <c:pt idx="27">
                  <c:v>5.9999999999999991</c:v>
                </c:pt>
                <c:pt idx="28">
                  <c:v>5.9999999999999991</c:v>
                </c:pt>
                <c:pt idx="29">
                  <c:v>6.0999999999999988</c:v>
                </c:pt>
                <c:pt idx="30">
                  <c:v>6.0999999999999988</c:v>
                </c:pt>
                <c:pt idx="31">
                  <c:v>6.3</c:v>
                </c:pt>
                <c:pt idx="32">
                  <c:v>6.3</c:v>
                </c:pt>
                <c:pt idx="33">
                  <c:v>6.4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6.6</c:v>
                </c:pt>
                <c:pt idx="38">
                  <c:v>6.5</c:v>
                </c:pt>
                <c:pt idx="39">
                  <c:v>6.5</c:v>
                </c:pt>
                <c:pt idx="40">
                  <c:v>6.4</c:v>
                </c:pt>
                <c:pt idx="41">
                  <c:v>8.4</c:v>
                </c:pt>
                <c:pt idx="42">
                  <c:v>6.5</c:v>
                </c:pt>
                <c:pt idx="43">
                  <c:v>6.3</c:v>
                </c:pt>
                <c:pt idx="44">
                  <c:v>6.8000000000000007</c:v>
                </c:pt>
                <c:pt idx="45">
                  <c:v>5.9999999999999991</c:v>
                </c:pt>
                <c:pt idx="46">
                  <c:v>6.0999999999999988</c:v>
                </c:pt>
                <c:pt idx="47">
                  <c:v>6.8000000000000007</c:v>
                </c:pt>
                <c:pt idx="48">
                  <c:v>6.3</c:v>
                </c:pt>
                <c:pt idx="49">
                  <c:v>6.6</c:v>
                </c:pt>
                <c:pt idx="50">
                  <c:v>6.9</c:v>
                </c:pt>
              </c:numCache>
            </c:numRef>
          </c:xVal>
          <c:yVal>
            <c:numRef>
              <c:f>headed_backup!$DE$165:$DE$1250</c:f>
              <c:numCache>
                <c:formatCode>General</c:formatCode>
                <c:ptCount val="805"/>
                <c:pt idx="0">
                  <c:v>1</c:v>
                </c:pt>
                <c:pt idx="1">
                  <c:v>1</c:v>
                </c:pt>
                <c:pt idx="2">
                  <c:v>0.97944761192161567</c:v>
                </c:pt>
                <c:pt idx="3">
                  <c:v>0.98979388951233693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7F-47D3-B340-262AA0B7921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4-7D7F-47D3-B340-262AA0B79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6592"/>
        <c:axId val="131648128"/>
      </c:scatterChart>
      <c:valAx>
        <c:axId val="1316465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8128"/>
        <c:crosses val="autoZero"/>
        <c:crossBetween val="midCat"/>
      </c:valAx>
      <c:valAx>
        <c:axId val="1316481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65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22" l="0.70000000000000062" r="0.70000000000000062" t="0.75000000000000822" header="0.30000000000000032" footer="0.30000000000000032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headed_backup!$L$165:$L$574</c:f>
              <c:numCache>
                <c:formatCode>General</c:formatCode>
                <c:ptCount val="129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  <c:pt idx="19">
                  <c:v>8</c:v>
                </c:pt>
                <c:pt idx="20">
                  <c:v>8.3000000000000007</c:v>
                </c:pt>
                <c:pt idx="21">
                  <c:v>8.5</c:v>
                </c:pt>
                <c:pt idx="22">
                  <c:v>7.5</c:v>
                </c:pt>
                <c:pt idx="23">
                  <c:v>7.4</c:v>
                </c:pt>
                <c:pt idx="24">
                  <c:v>7.4</c:v>
                </c:pt>
                <c:pt idx="25">
                  <c:v>7.1</c:v>
                </c:pt>
                <c:pt idx="26">
                  <c:v>7</c:v>
                </c:pt>
                <c:pt idx="27">
                  <c:v>5.9999999999999991</c:v>
                </c:pt>
                <c:pt idx="28">
                  <c:v>5.9999999999999991</c:v>
                </c:pt>
                <c:pt idx="29">
                  <c:v>6.0999999999999988</c:v>
                </c:pt>
                <c:pt idx="30">
                  <c:v>6.0999999999999988</c:v>
                </c:pt>
                <c:pt idx="31">
                  <c:v>6.3</c:v>
                </c:pt>
                <c:pt idx="32">
                  <c:v>6.3</c:v>
                </c:pt>
                <c:pt idx="33">
                  <c:v>6.4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6.6</c:v>
                </c:pt>
                <c:pt idx="38">
                  <c:v>6.5</c:v>
                </c:pt>
                <c:pt idx="39">
                  <c:v>6.5</c:v>
                </c:pt>
                <c:pt idx="40">
                  <c:v>6.4</c:v>
                </c:pt>
                <c:pt idx="41">
                  <c:v>8.4</c:v>
                </c:pt>
                <c:pt idx="42">
                  <c:v>6.5</c:v>
                </c:pt>
                <c:pt idx="43">
                  <c:v>6.3</c:v>
                </c:pt>
                <c:pt idx="44">
                  <c:v>6.8000000000000007</c:v>
                </c:pt>
                <c:pt idx="45">
                  <c:v>5.9999999999999991</c:v>
                </c:pt>
                <c:pt idx="46">
                  <c:v>6.0999999999999988</c:v>
                </c:pt>
                <c:pt idx="47">
                  <c:v>6.8000000000000007</c:v>
                </c:pt>
                <c:pt idx="48">
                  <c:v>6.3</c:v>
                </c:pt>
                <c:pt idx="49">
                  <c:v>6.6</c:v>
                </c:pt>
                <c:pt idx="50">
                  <c:v>6.9</c:v>
                </c:pt>
              </c:numCache>
            </c:numRef>
          </c:xVal>
          <c:yVal>
            <c:numRef>
              <c:f>headed_backup!$CS$165:$CS$574</c:f>
              <c:numCache>
                <c:formatCode>General</c:formatCode>
                <c:ptCount val="129"/>
                <c:pt idx="0">
                  <c:v>1.2269966870795557</c:v>
                </c:pt>
                <c:pt idx="1">
                  <c:v>1.2777689637862957</c:v>
                </c:pt>
                <c:pt idx="2">
                  <c:v>1.2016105487261854</c:v>
                </c:pt>
                <c:pt idx="3">
                  <c:v>1.2143036179028706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25-47F0-8821-4590A6DDF6A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1-EB25-47F0-8821-4590A6DDF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11584"/>
        <c:axId val="131825664"/>
      </c:scatterChart>
      <c:valAx>
        <c:axId val="1318115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25664"/>
        <c:crosses val="autoZero"/>
        <c:crossBetween val="midCat"/>
      </c:valAx>
      <c:valAx>
        <c:axId val="1318256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115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</c:numRef>
          </c:xVal>
          <c:yVal>
            <c:numRef>
              <c:f>headed_backup!$CY$153:$CY$191</c:f>
            </c:numRef>
          </c:yVal>
          <c:smooth val="0"/>
          <c:extLst>
            <c:ext xmlns:c16="http://schemas.microsoft.com/office/drawing/2014/chart" uri="{C3380CC4-5D6E-409C-BE32-E72D297353CC}">
              <c16:uniqueId val="{00000000-4AB1-4CFA-8F02-61508DF9A1E2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</c:numRef>
          </c:xVal>
          <c:yVal>
            <c:numRef>
              <c:f>headed_backup!$DE$153:$DE$191</c:f>
            </c:numRef>
          </c:yVal>
          <c:smooth val="0"/>
          <c:extLst>
            <c:ext xmlns:c16="http://schemas.microsoft.com/office/drawing/2014/chart" uri="{C3380CC4-5D6E-409C-BE32-E72D297353CC}">
              <c16:uniqueId val="{00000001-4AB1-4CFA-8F02-61508DF9A1E2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805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  <c:pt idx="19">
                  <c:v>8</c:v>
                </c:pt>
                <c:pt idx="20">
                  <c:v>8.3000000000000007</c:v>
                </c:pt>
                <c:pt idx="21">
                  <c:v>8.5</c:v>
                </c:pt>
                <c:pt idx="22">
                  <c:v>7.5</c:v>
                </c:pt>
                <c:pt idx="23">
                  <c:v>7.4</c:v>
                </c:pt>
                <c:pt idx="24">
                  <c:v>7.4</c:v>
                </c:pt>
                <c:pt idx="25">
                  <c:v>7.1</c:v>
                </c:pt>
                <c:pt idx="26">
                  <c:v>7</c:v>
                </c:pt>
                <c:pt idx="27">
                  <c:v>5.9999999999999991</c:v>
                </c:pt>
                <c:pt idx="28">
                  <c:v>5.9999999999999991</c:v>
                </c:pt>
                <c:pt idx="29">
                  <c:v>6.0999999999999988</c:v>
                </c:pt>
                <c:pt idx="30">
                  <c:v>6.0999999999999988</c:v>
                </c:pt>
                <c:pt idx="31">
                  <c:v>6.3</c:v>
                </c:pt>
                <c:pt idx="32">
                  <c:v>6.3</c:v>
                </c:pt>
                <c:pt idx="33">
                  <c:v>6.4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6.6</c:v>
                </c:pt>
                <c:pt idx="38">
                  <c:v>6.5</c:v>
                </c:pt>
                <c:pt idx="39">
                  <c:v>6.5</c:v>
                </c:pt>
                <c:pt idx="40">
                  <c:v>6.4</c:v>
                </c:pt>
                <c:pt idx="41">
                  <c:v>8.4</c:v>
                </c:pt>
                <c:pt idx="42">
                  <c:v>6.5</c:v>
                </c:pt>
                <c:pt idx="43">
                  <c:v>6.3</c:v>
                </c:pt>
                <c:pt idx="44">
                  <c:v>6.8000000000000007</c:v>
                </c:pt>
                <c:pt idx="45">
                  <c:v>5.9999999999999991</c:v>
                </c:pt>
                <c:pt idx="46">
                  <c:v>6.0999999999999988</c:v>
                </c:pt>
                <c:pt idx="47">
                  <c:v>6.8000000000000007</c:v>
                </c:pt>
                <c:pt idx="48">
                  <c:v>6.3</c:v>
                </c:pt>
                <c:pt idx="49">
                  <c:v>6.6</c:v>
                </c:pt>
                <c:pt idx="50">
                  <c:v>6.9</c:v>
                </c:pt>
              </c:numCache>
            </c:numRef>
          </c:xVal>
          <c:yVal>
            <c:numRef>
              <c:f>headed_backup!$CY$165:$CY$1250</c:f>
              <c:numCache>
                <c:formatCode>General</c:formatCode>
                <c:ptCount val="80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B1-4CFA-8F02-61508DF9A1E2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805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  <c:pt idx="19">
                  <c:v>8</c:v>
                </c:pt>
                <c:pt idx="20">
                  <c:v>8.3000000000000007</c:v>
                </c:pt>
                <c:pt idx="21">
                  <c:v>8.5</c:v>
                </c:pt>
                <c:pt idx="22">
                  <c:v>7.5</c:v>
                </c:pt>
                <c:pt idx="23">
                  <c:v>7.4</c:v>
                </c:pt>
                <c:pt idx="24">
                  <c:v>7.4</c:v>
                </c:pt>
                <c:pt idx="25">
                  <c:v>7.1</c:v>
                </c:pt>
                <c:pt idx="26">
                  <c:v>7</c:v>
                </c:pt>
                <c:pt idx="27">
                  <c:v>5.9999999999999991</c:v>
                </c:pt>
                <c:pt idx="28">
                  <c:v>5.9999999999999991</c:v>
                </c:pt>
                <c:pt idx="29">
                  <c:v>6.0999999999999988</c:v>
                </c:pt>
                <c:pt idx="30">
                  <c:v>6.0999999999999988</c:v>
                </c:pt>
                <c:pt idx="31">
                  <c:v>6.3</c:v>
                </c:pt>
                <c:pt idx="32">
                  <c:v>6.3</c:v>
                </c:pt>
                <c:pt idx="33">
                  <c:v>6.4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6.6</c:v>
                </c:pt>
                <c:pt idx="38">
                  <c:v>6.5</c:v>
                </c:pt>
                <c:pt idx="39">
                  <c:v>6.5</c:v>
                </c:pt>
                <c:pt idx="40">
                  <c:v>6.4</c:v>
                </c:pt>
                <c:pt idx="41">
                  <c:v>8.4</c:v>
                </c:pt>
                <c:pt idx="42">
                  <c:v>6.5</c:v>
                </c:pt>
                <c:pt idx="43">
                  <c:v>6.3</c:v>
                </c:pt>
                <c:pt idx="44">
                  <c:v>6.8000000000000007</c:v>
                </c:pt>
                <c:pt idx="45">
                  <c:v>5.9999999999999991</c:v>
                </c:pt>
                <c:pt idx="46">
                  <c:v>6.0999999999999988</c:v>
                </c:pt>
                <c:pt idx="47">
                  <c:v>6.8000000000000007</c:v>
                </c:pt>
                <c:pt idx="48">
                  <c:v>6.3</c:v>
                </c:pt>
                <c:pt idx="49">
                  <c:v>6.6</c:v>
                </c:pt>
                <c:pt idx="50">
                  <c:v>6.9</c:v>
                </c:pt>
              </c:numCache>
            </c:numRef>
          </c:xVal>
          <c:yVal>
            <c:numRef>
              <c:f>headed_backup!$DE$165:$DE$1250</c:f>
              <c:numCache>
                <c:formatCode>General</c:formatCode>
                <c:ptCount val="805"/>
                <c:pt idx="0">
                  <c:v>1</c:v>
                </c:pt>
                <c:pt idx="1">
                  <c:v>1</c:v>
                </c:pt>
                <c:pt idx="2">
                  <c:v>0.97944761192161567</c:v>
                </c:pt>
                <c:pt idx="3">
                  <c:v>0.98979388951233693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B1-4CFA-8F02-61508DF9A1E2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4-4AB1-4CFA-8F02-61508DF9A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60352"/>
        <c:axId val="131861888"/>
      </c:scatterChart>
      <c:valAx>
        <c:axId val="1318603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1888"/>
        <c:crosses val="autoZero"/>
        <c:crossBetween val="midCat"/>
      </c:valAx>
      <c:valAx>
        <c:axId val="1318618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03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44" l="0.70000000000000062" r="0.70000000000000062" t="0.75000000000000844" header="0.30000000000000032" footer="0.30000000000000032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9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829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  <c:pt idx="19">
                  <c:v>8</c:v>
                </c:pt>
                <c:pt idx="20">
                  <c:v>8.3000000000000007</c:v>
                </c:pt>
                <c:pt idx="21">
                  <c:v>8.5</c:v>
                </c:pt>
                <c:pt idx="22">
                  <c:v>7.5</c:v>
                </c:pt>
                <c:pt idx="23">
                  <c:v>7.4</c:v>
                </c:pt>
                <c:pt idx="24">
                  <c:v>7.4</c:v>
                </c:pt>
                <c:pt idx="25">
                  <c:v>7.1</c:v>
                </c:pt>
                <c:pt idx="26">
                  <c:v>7</c:v>
                </c:pt>
                <c:pt idx="27">
                  <c:v>5.9999999999999991</c:v>
                </c:pt>
                <c:pt idx="28">
                  <c:v>5.9999999999999991</c:v>
                </c:pt>
                <c:pt idx="29">
                  <c:v>6.0999999999999988</c:v>
                </c:pt>
                <c:pt idx="30">
                  <c:v>6.0999999999999988</c:v>
                </c:pt>
                <c:pt idx="31">
                  <c:v>6.3</c:v>
                </c:pt>
                <c:pt idx="32">
                  <c:v>6.3</c:v>
                </c:pt>
                <c:pt idx="33">
                  <c:v>6.4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6.6</c:v>
                </c:pt>
                <c:pt idx="38">
                  <c:v>6.5</c:v>
                </c:pt>
                <c:pt idx="39">
                  <c:v>6.5</c:v>
                </c:pt>
                <c:pt idx="40">
                  <c:v>6.4</c:v>
                </c:pt>
                <c:pt idx="41">
                  <c:v>8.4</c:v>
                </c:pt>
                <c:pt idx="42">
                  <c:v>6.5</c:v>
                </c:pt>
                <c:pt idx="43">
                  <c:v>6.3</c:v>
                </c:pt>
                <c:pt idx="44">
                  <c:v>6.8000000000000007</c:v>
                </c:pt>
                <c:pt idx="45">
                  <c:v>5.9999999999999991</c:v>
                </c:pt>
                <c:pt idx="46">
                  <c:v>6.0999999999999988</c:v>
                </c:pt>
                <c:pt idx="47">
                  <c:v>6.8000000000000007</c:v>
                </c:pt>
                <c:pt idx="48">
                  <c:v>6.3</c:v>
                </c:pt>
                <c:pt idx="49">
                  <c:v>6.6</c:v>
                </c:pt>
                <c:pt idx="50">
                  <c:v>6.9</c:v>
                </c:pt>
              </c:numCache>
            </c:numRef>
          </c:xVal>
          <c:yVal>
            <c:numRef>
              <c:f>headed_backup!$CR$19:$CR$1274</c:f>
              <c:numCache>
                <c:formatCode>General</c:formatCode>
                <c:ptCount val="829"/>
                <c:pt idx="0">
                  <c:v>1.0129564999845371</c:v>
                </c:pt>
                <c:pt idx="1">
                  <c:v>1.0548719413632073</c:v>
                </c:pt>
                <c:pt idx="2">
                  <c:v>0.99199877929520175</c:v>
                </c:pt>
                <c:pt idx="3">
                  <c:v>1.0024776396398694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8E-4E7C-A36A-28EFD14628B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1-548E-4E7C-A36A-28EFD1462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94272"/>
        <c:axId val="131904256"/>
      </c:scatterChart>
      <c:valAx>
        <c:axId val="1318942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04256"/>
        <c:crosses val="autoZero"/>
        <c:crossBetween val="midCat"/>
      </c:valAx>
      <c:valAx>
        <c:axId val="13190425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942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</c:numRef>
          </c:xVal>
          <c:yVal>
            <c:numRef>
              <c:f>headed_backup!$CY$19:$CY$103</c:f>
            </c:numRef>
          </c:yVal>
          <c:smooth val="0"/>
          <c:extLst>
            <c:ext xmlns:c16="http://schemas.microsoft.com/office/drawing/2014/chart" uri="{C3380CC4-5D6E-409C-BE32-E72D297353CC}">
              <c16:uniqueId val="{00000000-F16C-46C6-B29C-837A81C470E9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</c:numRef>
          </c:xVal>
          <c:yVal>
            <c:numRef>
              <c:f>headed_backup!$DE$19:$DE$103</c:f>
            </c:numRef>
          </c:yVal>
          <c:smooth val="0"/>
          <c:extLst>
            <c:ext xmlns:c16="http://schemas.microsoft.com/office/drawing/2014/chart" uri="{C3380CC4-5D6E-409C-BE32-E72D297353CC}">
              <c16:uniqueId val="{00000001-F16C-46C6-B29C-837A81C47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57504"/>
        <c:axId val="131960192"/>
      </c:scatterChart>
      <c:valAx>
        <c:axId val="1319575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60192"/>
        <c:crosses val="autoZero"/>
        <c:crossBetween val="midCat"/>
      </c:valAx>
      <c:valAx>
        <c:axId val="131960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575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</c:numRef>
          </c:xVal>
          <c:yVal>
            <c:numRef>
              <c:f>headed_backup!$CV$19:$CV$103</c:f>
            </c:numRef>
          </c:yVal>
          <c:smooth val="0"/>
          <c:extLst>
            <c:ext xmlns:c16="http://schemas.microsoft.com/office/drawing/2014/chart" uri="{C3380CC4-5D6E-409C-BE32-E72D297353CC}">
              <c16:uniqueId val="{00000000-4362-429D-8DD6-808545B88C5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</c:numRef>
          </c:xVal>
          <c:yVal>
            <c:numRef>
              <c:f>headed_backup!$DB$19:$DB$103</c:f>
            </c:numRef>
          </c:yVal>
          <c:smooth val="0"/>
          <c:extLst>
            <c:ext xmlns:c16="http://schemas.microsoft.com/office/drawing/2014/chart" uri="{C3380CC4-5D6E-409C-BE32-E72D297353CC}">
              <c16:uniqueId val="{00000001-4362-429D-8DD6-808545B88C5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2-4362-429D-8DD6-808545B88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78752"/>
        <c:axId val="131980288"/>
      </c:scatterChart>
      <c:valAx>
        <c:axId val="1319787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80288"/>
        <c:crosses val="autoZero"/>
        <c:crossBetween val="midCat"/>
      </c:valAx>
      <c:valAx>
        <c:axId val="13198028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787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</c:numRef>
          </c:xVal>
          <c:yVal>
            <c:numRef>
              <c:f>headed_backup!$CX$19:$CX$103</c:f>
            </c:numRef>
          </c:yVal>
          <c:smooth val="0"/>
          <c:extLst>
            <c:ext xmlns:c16="http://schemas.microsoft.com/office/drawing/2014/chart" uri="{C3380CC4-5D6E-409C-BE32-E72D297353CC}">
              <c16:uniqueId val="{00000000-89AA-4966-AC5E-CCBC7DD8F79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</c:numRef>
          </c:xVal>
          <c:yVal>
            <c:numRef>
              <c:f>headed_backup!$DD$19:$DD$103</c:f>
            </c:numRef>
          </c:yVal>
          <c:smooth val="0"/>
          <c:extLst>
            <c:ext xmlns:c16="http://schemas.microsoft.com/office/drawing/2014/chart" uri="{C3380CC4-5D6E-409C-BE32-E72D297353CC}">
              <c16:uniqueId val="{00000001-89AA-4966-AC5E-CCBC7DD8F79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2-89AA-4966-AC5E-CCBC7DD8F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30848"/>
        <c:axId val="132032384"/>
      </c:scatterChart>
      <c:valAx>
        <c:axId val="1320308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2384"/>
        <c:crosses val="autoZero"/>
        <c:crossBetween val="midCat"/>
      </c:valAx>
      <c:valAx>
        <c:axId val="132032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08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</c:numRef>
          </c:xVal>
          <c:yVal>
            <c:numRef>
              <c:f>headed_backup!$CY$19:$CY$103</c:f>
            </c:numRef>
          </c:yVal>
          <c:smooth val="0"/>
          <c:extLst>
            <c:ext xmlns:c16="http://schemas.microsoft.com/office/drawing/2014/chart" uri="{C3380CC4-5D6E-409C-BE32-E72D297353CC}">
              <c16:uniqueId val="{00000000-DA6D-49A7-A5D0-B39CBBA2497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</c:numRef>
          </c:xVal>
          <c:yVal>
            <c:numRef>
              <c:f>headed_backup!$DE$19:$DE$103</c:f>
            </c:numRef>
          </c:yVal>
          <c:smooth val="0"/>
          <c:extLst>
            <c:ext xmlns:c16="http://schemas.microsoft.com/office/drawing/2014/chart" uri="{C3380CC4-5D6E-409C-BE32-E72D297353CC}">
              <c16:uniqueId val="{00000001-DA6D-49A7-A5D0-B39CBBA2497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2-DA6D-49A7-A5D0-B39CBBA24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75520"/>
        <c:axId val="132077056"/>
      </c:scatterChart>
      <c:valAx>
        <c:axId val="132075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7056"/>
        <c:crosses val="autoZero"/>
        <c:crossBetween val="midCat"/>
      </c:valAx>
      <c:valAx>
        <c:axId val="13207705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5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</c:numRef>
          </c:xVal>
          <c:yVal>
            <c:numRef>
              <c:f>headed_backup!$CZ$19:$CZ$103</c:f>
            </c:numRef>
          </c:yVal>
          <c:smooth val="0"/>
          <c:extLst>
            <c:ext xmlns:c16="http://schemas.microsoft.com/office/drawing/2014/chart" uri="{C3380CC4-5D6E-409C-BE32-E72D297353CC}">
              <c16:uniqueId val="{00000000-C4E0-477C-9EA7-CBA0993193E8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</c:numRef>
          </c:xVal>
          <c:yVal>
            <c:numRef>
              <c:f>headed_backup!$DF$19:$DF$103</c:f>
            </c:numRef>
          </c:yVal>
          <c:smooth val="0"/>
          <c:extLst>
            <c:ext xmlns:c16="http://schemas.microsoft.com/office/drawing/2014/chart" uri="{C3380CC4-5D6E-409C-BE32-E72D297353CC}">
              <c16:uniqueId val="{00000001-C4E0-477C-9EA7-CBA0993193E8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2-C4E0-477C-9EA7-CBA099319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16480"/>
        <c:axId val="132118016"/>
      </c:scatterChart>
      <c:valAx>
        <c:axId val="1321164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8016"/>
        <c:crosses val="autoZero"/>
        <c:crossBetween val="midCat"/>
      </c:valAx>
      <c:valAx>
        <c:axId val="1321180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64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</c:numRef>
          </c:xVal>
          <c:yVal>
            <c:numRef>
              <c:f>headed_backup!$CU$104:$CU$152</c:f>
            </c:numRef>
          </c:yVal>
          <c:smooth val="0"/>
          <c:extLst>
            <c:ext xmlns:c16="http://schemas.microsoft.com/office/drawing/2014/chart" uri="{C3380CC4-5D6E-409C-BE32-E72D297353CC}">
              <c16:uniqueId val="{00000000-1AF4-4764-90AE-11E7145E1F1C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</c:numRef>
          </c:xVal>
          <c:yVal>
            <c:numRef>
              <c:f>headed_backup!$DA$104:$DA$152</c:f>
            </c:numRef>
          </c:yVal>
          <c:smooth val="0"/>
          <c:extLst>
            <c:ext xmlns:c16="http://schemas.microsoft.com/office/drawing/2014/chart" uri="{C3380CC4-5D6E-409C-BE32-E72D297353CC}">
              <c16:uniqueId val="{00000001-1AF4-4764-90AE-11E7145E1F1C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2-1AF4-4764-90AE-11E7145E1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20416"/>
        <c:axId val="132221952"/>
      </c:scatterChart>
      <c:valAx>
        <c:axId val="1322204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1952"/>
        <c:crosses val="autoZero"/>
        <c:crossBetween val="midCat"/>
      </c:valAx>
      <c:valAx>
        <c:axId val="13222195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04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</c:numRef>
          </c:xVal>
          <c:yVal>
            <c:numRef>
              <c:f>headed_backup!$CW$104:$CW$152</c:f>
            </c:numRef>
          </c:yVal>
          <c:smooth val="0"/>
          <c:extLst>
            <c:ext xmlns:c16="http://schemas.microsoft.com/office/drawing/2014/chart" uri="{C3380CC4-5D6E-409C-BE32-E72D297353CC}">
              <c16:uniqueId val="{00000000-06AA-457C-99EF-AC220CDC75AC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</c:numRef>
          </c:xVal>
          <c:yVal>
            <c:numRef>
              <c:f>headed_backup!$DC$104:$DC$152</c:f>
            </c:numRef>
          </c:yVal>
          <c:smooth val="0"/>
          <c:extLst>
            <c:ext xmlns:c16="http://schemas.microsoft.com/office/drawing/2014/chart" uri="{C3380CC4-5D6E-409C-BE32-E72D297353CC}">
              <c16:uniqueId val="{00000001-06AA-457C-99EF-AC220CDC75AC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2-06AA-457C-99EF-AC220CDC7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58816"/>
        <c:axId val="132268800"/>
      </c:scatterChart>
      <c:valAx>
        <c:axId val="1322588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68800"/>
        <c:crosses val="autoZero"/>
        <c:crossBetween val="midCat"/>
      </c:valAx>
      <c:valAx>
        <c:axId val="13226880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588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</c:numRef>
          </c:xVal>
          <c:yVal>
            <c:numRef>
              <c:f>headed_backup!$CV$104:$CV$152</c:f>
            </c:numRef>
          </c:yVal>
          <c:smooth val="0"/>
          <c:extLst>
            <c:ext xmlns:c16="http://schemas.microsoft.com/office/drawing/2014/chart" uri="{C3380CC4-5D6E-409C-BE32-E72D297353CC}">
              <c16:uniqueId val="{00000000-CFFC-486A-B8D9-93D0FD5BA53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</c:numRef>
          </c:xVal>
          <c:yVal>
            <c:numRef>
              <c:f>headed_backup!$DB$104:$DB$152</c:f>
            </c:numRef>
          </c:yVal>
          <c:smooth val="0"/>
          <c:extLst>
            <c:ext xmlns:c16="http://schemas.microsoft.com/office/drawing/2014/chart" uri="{C3380CC4-5D6E-409C-BE32-E72D297353CC}">
              <c16:uniqueId val="{00000001-CFFC-486A-B8D9-93D0FD5BA53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2-CFFC-486A-B8D9-93D0FD5BA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4240"/>
        <c:axId val="132315776"/>
      </c:scatterChart>
      <c:valAx>
        <c:axId val="1323142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5776"/>
        <c:crosses val="autoZero"/>
        <c:crossBetween val="midCat"/>
      </c:valAx>
      <c:valAx>
        <c:axId val="13231577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42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</c:numRef>
          </c:xVal>
          <c:yVal>
            <c:numRef>
              <c:f>headed_backup!$CX$104:$CX$152</c:f>
            </c:numRef>
          </c:yVal>
          <c:smooth val="0"/>
          <c:extLst>
            <c:ext xmlns:c16="http://schemas.microsoft.com/office/drawing/2014/chart" uri="{C3380CC4-5D6E-409C-BE32-E72D297353CC}">
              <c16:uniqueId val="{00000000-61C7-4D89-B4F0-AE85150DC9F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</c:numRef>
          </c:xVal>
          <c:yVal>
            <c:numRef>
              <c:f>headed_backup!$DD$104:$DD$152</c:f>
            </c:numRef>
          </c:yVal>
          <c:smooth val="0"/>
          <c:extLst>
            <c:ext xmlns:c16="http://schemas.microsoft.com/office/drawing/2014/chart" uri="{C3380CC4-5D6E-409C-BE32-E72D297353CC}">
              <c16:uniqueId val="{00000001-61C7-4D89-B4F0-AE85150DC9F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2-61C7-4D89-B4F0-AE85150DC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44832"/>
        <c:axId val="132358912"/>
      </c:scatterChart>
      <c:valAx>
        <c:axId val="132344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58912"/>
        <c:crosses val="autoZero"/>
        <c:crossBetween val="midCat"/>
      </c:valAx>
      <c:valAx>
        <c:axId val="13235891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4483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</c:numRef>
          </c:xVal>
          <c:yVal>
            <c:numRef>
              <c:f>headed_backup!$CY$104:$CY$152</c:f>
            </c:numRef>
          </c:yVal>
          <c:smooth val="0"/>
          <c:extLst>
            <c:ext xmlns:c16="http://schemas.microsoft.com/office/drawing/2014/chart" uri="{C3380CC4-5D6E-409C-BE32-E72D297353CC}">
              <c16:uniqueId val="{00000000-9234-4632-AC2E-CA25178B0E0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</c:numRef>
          </c:xVal>
          <c:yVal>
            <c:numRef>
              <c:f>headed_backup!$DE$104:$DE$152</c:f>
            </c:numRef>
          </c:yVal>
          <c:smooth val="0"/>
          <c:extLst>
            <c:ext xmlns:c16="http://schemas.microsoft.com/office/drawing/2014/chart" uri="{C3380CC4-5D6E-409C-BE32-E72D297353CC}">
              <c16:uniqueId val="{00000001-9234-4632-AC2E-CA25178B0E0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2-9234-4632-AC2E-CA25178B0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83872"/>
        <c:axId val="132385408"/>
      </c:scatterChart>
      <c:valAx>
        <c:axId val="1323838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5408"/>
        <c:crosses val="autoZero"/>
        <c:crossBetween val="midCat"/>
      </c:valAx>
      <c:valAx>
        <c:axId val="13238540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38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</c:numRef>
          </c:xVal>
          <c:yVal>
            <c:numRef>
              <c:f>headed_backup!$CZ$104:$CZ$152</c:f>
            </c:numRef>
          </c:yVal>
          <c:smooth val="0"/>
          <c:extLst>
            <c:ext xmlns:c16="http://schemas.microsoft.com/office/drawing/2014/chart" uri="{C3380CC4-5D6E-409C-BE32-E72D297353CC}">
              <c16:uniqueId val="{00000000-7856-4CE3-B8FA-37CF405B0C1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</c:numRef>
          </c:xVal>
          <c:yVal>
            <c:numRef>
              <c:f>headed_backup!$DF$104:$DF$152</c:f>
            </c:numRef>
          </c:yVal>
          <c:smooth val="0"/>
          <c:extLst>
            <c:ext xmlns:c16="http://schemas.microsoft.com/office/drawing/2014/chart" uri="{C3380CC4-5D6E-409C-BE32-E72D297353CC}">
              <c16:uniqueId val="{00000001-7856-4CE3-B8FA-37CF405B0C1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2-7856-4CE3-B8FA-37CF405B0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35328"/>
        <c:axId val="132441216"/>
      </c:scatterChart>
      <c:valAx>
        <c:axId val="13243532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41216"/>
        <c:crosses val="autoZero"/>
        <c:crossBetween val="midCat"/>
      </c:valAx>
      <c:valAx>
        <c:axId val="1324412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3532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</c:numRef>
          </c:xVal>
          <c:yVal>
            <c:numRef>
              <c:f>headed_backup!$CW$165:$CW$191</c:f>
            </c:numRef>
          </c:yVal>
          <c:smooth val="0"/>
          <c:extLst>
            <c:ext xmlns:c16="http://schemas.microsoft.com/office/drawing/2014/chart" uri="{C3380CC4-5D6E-409C-BE32-E72D297353CC}">
              <c16:uniqueId val="{00000000-C8A1-4053-924A-E58133862352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</c:numRef>
          </c:xVal>
          <c:yVal>
            <c:numRef>
              <c:f>headed_backup!$DC$165:$DC$191</c:f>
            </c:numRef>
          </c:yVal>
          <c:smooth val="0"/>
          <c:extLst>
            <c:ext xmlns:c16="http://schemas.microsoft.com/office/drawing/2014/chart" uri="{C3380CC4-5D6E-409C-BE32-E72D297353CC}">
              <c16:uniqueId val="{00000001-C8A1-4053-924A-E58133862352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4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</c:numCache>
            </c:numRef>
          </c:xVal>
          <c:yVal>
            <c:numRef>
              <c:f>headed_backup!$CW$212:$CW$449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A1-4053-924A-E58133862352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4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</c:numCache>
            </c:numRef>
          </c:xVal>
          <c:yVal>
            <c:numRef>
              <c:f>headed_backup!$DC$212:$DC$449</c:f>
              <c:numCache>
                <c:formatCode>General</c:formatCode>
                <c:ptCount val="4"/>
                <c:pt idx="0">
                  <c:v>1.1680419353862352</c:v>
                </c:pt>
                <c:pt idx="1">
                  <c:v>1.2163747051263551</c:v>
                </c:pt>
                <c:pt idx="2">
                  <c:v>1.1438755505161751</c:v>
                </c:pt>
                <c:pt idx="3">
                  <c:v>1.155958742951205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A1-4053-924A-E58133862352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4-C8A1-4053-924A-E58133862352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</c:numRef>
          </c:xVal>
          <c:yVal>
            <c:numRef>
              <c:f>headed_backup!$CW$192:$CW$211</c:f>
            </c:numRef>
          </c:yVal>
          <c:smooth val="0"/>
          <c:extLst>
            <c:ext xmlns:c16="http://schemas.microsoft.com/office/drawing/2014/chart" uri="{C3380CC4-5D6E-409C-BE32-E72D297353CC}">
              <c16:uniqueId val="{00000005-C8A1-4053-924A-E58133862352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</c:numRef>
          </c:xVal>
          <c:yVal>
            <c:numRef>
              <c:f>headed_backup!$DC$192:$DC$211</c:f>
            </c:numRef>
          </c:yVal>
          <c:smooth val="0"/>
          <c:extLst>
            <c:ext xmlns:c16="http://schemas.microsoft.com/office/drawing/2014/chart" uri="{C3380CC4-5D6E-409C-BE32-E72D297353CC}">
              <c16:uniqueId val="{00000006-C8A1-4053-924A-E58133862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26464"/>
        <c:axId val="132528384"/>
      </c:scatterChart>
      <c:valAx>
        <c:axId val="1325264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8384"/>
        <c:crosses val="autoZero"/>
        <c:crossBetween val="midCat"/>
      </c:valAx>
      <c:valAx>
        <c:axId val="132528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64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</c:numRef>
          </c:xVal>
          <c:yVal>
            <c:numRef>
              <c:f>headed_backup!$CV$165:$CV$191</c:f>
            </c:numRef>
          </c:yVal>
          <c:smooth val="0"/>
          <c:extLst>
            <c:ext xmlns:c16="http://schemas.microsoft.com/office/drawing/2014/chart" uri="{C3380CC4-5D6E-409C-BE32-E72D297353CC}">
              <c16:uniqueId val="{00000000-FAB3-4D36-8C2F-924218484DE3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</c:numRef>
          </c:xVal>
          <c:yVal>
            <c:numRef>
              <c:f>headed_backup!$DB$165:$DB$191</c:f>
            </c:numRef>
          </c:yVal>
          <c:smooth val="0"/>
          <c:extLst>
            <c:ext xmlns:c16="http://schemas.microsoft.com/office/drawing/2014/chart" uri="{C3380CC4-5D6E-409C-BE32-E72D297353CC}">
              <c16:uniqueId val="{00000001-FAB3-4D36-8C2F-924218484DE3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4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</c:numCache>
            </c:numRef>
          </c:xVal>
          <c:yVal>
            <c:numRef>
              <c:f>headed_backup!$CV$212:$CV$449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B3-4D36-8C2F-924218484DE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4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</c:numCache>
            </c:numRef>
          </c:xVal>
          <c:yVal>
            <c:numRef>
              <c:f>headed_backup!$DB$212:$DB$449</c:f>
              <c:numCache>
                <c:formatCode>General</c:formatCode>
                <c:ptCount val="4"/>
                <c:pt idx="0">
                  <c:v>1.3998474838990453</c:v>
                </c:pt>
                <c:pt idx="1">
                  <c:v>1.4577722073707298</c:v>
                </c:pt>
                <c:pt idx="2">
                  <c:v>1.370885122163203</c:v>
                </c:pt>
                <c:pt idx="3">
                  <c:v>1.3853663030311241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AB3-4D36-8C2F-924218484DE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4-FAB3-4D36-8C2F-924218484DE3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</c:numRef>
          </c:xVal>
          <c:yVal>
            <c:numRef>
              <c:f>headed_backup!$CV$192:$CV$211</c:f>
            </c:numRef>
          </c:yVal>
          <c:smooth val="0"/>
          <c:extLst>
            <c:ext xmlns:c16="http://schemas.microsoft.com/office/drawing/2014/chart" uri="{C3380CC4-5D6E-409C-BE32-E72D297353CC}">
              <c16:uniqueId val="{00000005-FAB3-4D36-8C2F-924218484DE3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</c:numRef>
          </c:xVal>
          <c:yVal>
            <c:numRef>
              <c:f>headed_backup!$DB$192:$DB$211</c:f>
            </c:numRef>
          </c:yVal>
          <c:smooth val="0"/>
          <c:extLst>
            <c:ext xmlns:c16="http://schemas.microsoft.com/office/drawing/2014/chart" uri="{C3380CC4-5D6E-409C-BE32-E72D297353CC}">
              <c16:uniqueId val="{00000006-FAB3-4D36-8C2F-924218484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68576"/>
        <c:axId val="132570496"/>
      </c:scatterChart>
      <c:valAx>
        <c:axId val="13256857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70496"/>
        <c:crosses val="autoZero"/>
        <c:crossBetween val="midCat"/>
      </c:valAx>
      <c:valAx>
        <c:axId val="13257049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6857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</c:numRef>
          </c:xVal>
          <c:yVal>
            <c:numRef>
              <c:f>headed_backup!$CX$165:$CX$191</c:f>
            </c:numRef>
          </c:yVal>
          <c:smooth val="0"/>
          <c:extLst>
            <c:ext xmlns:c16="http://schemas.microsoft.com/office/drawing/2014/chart" uri="{C3380CC4-5D6E-409C-BE32-E72D297353CC}">
              <c16:uniqueId val="{00000000-F604-485E-82EC-8066EEB4D9A4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</c:numRef>
          </c:xVal>
          <c:yVal>
            <c:numRef>
              <c:f>headed_backup!$DD$165:$DD$191</c:f>
            </c:numRef>
          </c:yVal>
          <c:smooth val="0"/>
          <c:extLst>
            <c:ext xmlns:c16="http://schemas.microsoft.com/office/drawing/2014/chart" uri="{C3380CC4-5D6E-409C-BE32-E72D297353CC}">
              <c16:uniqueId val="{00000001-F604-485E-82EC-8066EEB4D9A4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4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</c:numCache>
            </c:numRef>
          </c:xVal>
          <c:yVal>
            <c:numRef>
              <c:f>headed_backup!$CX$212:$CX$449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04-485E-82EC-8066EEB4D9A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4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</c:numCache>
            </c:numRef>
          </c:xVal>
          <c:yVal>
            <c:numRef>
              <c:f>headed_backup!$DD$212:$DD$449</c:f>
              <c:numCache>
                <c:formatCode>General</c:formatCode>
                <c:ptCount val="4"/>
                <c:pt idx="0">
                  <c:v>1.2269966870795557</c:v>
                </c:pt>
                <c:pt idx="1">
                  <c:v>1.2777689637862957</c:v>
                </c:pt>
                <c:pt idx="2">
                  <c:v>1.2016105487261854</c:v>
                </c:pt>
                <c:pt idx="3">
                  <c:v>1.2143036179028706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04-485E-82EC-8066EEB4D9A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4-F604-485E-82EC-8066EEB4D9A4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</c:numRef>
          </c:xVal>
          <c:yVal>
            <c:numRef>
              <c:f>headed_backup!$CX$192:$CX$211</c:f>
            </c:numRef>
          </c:yVal>
          <c:smooth val="0"/>
          <c:extLst>
            <c:ext xmlns:c16="http://schemas.microsoft.com/office/drawing/2014/chart" uri="{C3380CC4-5D6E-409C-BE32-E72D297353CC}">
              <c16:uniqueId val="{00000005-F604-485E-82EC-8066EEB4D9A4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</c:numRef>
          </c:xVal>
          <c:yVal>
            <c:numRef>
              <c:f>headed_backup!$DD$192:$DD$211</c:f>
            </c:numRef>
          </c:yVal>
          <c:smooth val="0"/>
          <c:extLst>
            <c:ext xmlns:c16="http://schemas.microsoft.com/office/drawing/2014/chart" uri="{C3380CC4-5D6E-409C-BE32-E72D297353CC}">
              <c16:uniqueId val="{00000006-F604-485E-82EC-8066EEB4D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00800"/>
        <c:axId val="132715264"/>
      </c:scatterChart>
      <c:valAx>
        <c:axId val="132700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15264"/>
        <c:crosses val="autoZero"/>
        <c:crossBetween val="midCat"/>
      </c:valAx>
      <c:valAx>
        <c:axId val="13271526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00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</c:numRef>
          </c:xVal>
          <c:yVal>
            <c:numRef>
              <c:f>headed_backup!$CY$165:$CY$191</c:f>
            </c:numRef>
          </c:yVal>
          <c:smooth val="0"/>
          <c:extLst>
            <c:ext xmlns:c16="http://schemas.microsoft.com/office/drawing/2014/chart" uri="{C3380CC4-5D6E-409C-BE32-E72D297353CC}">
              <c16:uniqueId val="{00000000-302B-4F13-AB76-7810AF9F20DE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</c:numRef>
          </c:xVal>
          <c:yVal>
            <c:numRef>
              <c:f>headed_backup!$DE$165:$DE$191</c:f>
            </c:numRef>
          </c:yVal>
          <c:smooth val="0"/>
          <c:extLst>
            <c:ext xmlns:c16="http://schemas.microsoft.com/office/drawing/2014/chart" uri="{C3380CC4-5D6E-409C-BE32-E72D297353CC}">
              <c16:uniqueId val="{00000001-302B-4F13-AB76-7810AF9F20DE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4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</c:numCache>
            </c:numRef>
          </c:xVal>
          <c:yVal>
            <c:numRef>
              <c:f>headed_backup!$CY$212:$CY$449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2B-4F13-AB76-7810AF9F20D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4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</c:numCache>
            </c:numRef>
          </c:xVal>
          <c:yVal>
            <c:numRef>
              <c:f>headed_backup!$DE$212:$DE$449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0.97944761192161567</c:v>
                </c:pt>
                <c:pt idx="3">
                  <c:v>0.98979388951233693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02B-4F13-AB76-7810AF9F20D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4-302B-4F13-AB76-7810AF9F20DE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</c:numRef>
          </c:xVal>
          <c:yVal>
            <c:numRef>
              <c:f>headed_backup!$CY$192:$CY$211</c:f>
            </c:numRef>
          </c:yVal>
          <c:smooth val="0"/>
          <c:extLst>
            <c:ext xmlns:c16="http://schemas.microsoft.com/office/drawing/2014/chart" uri="{C3380CC4-5D6E-409C-BE32-E72D297353CC}">
              <c16:uniqueId val="{00000005-302B-4F13-AB76-7810AF9F20DE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</c:numRef>
          </c:xVal>
          <c:yVal>
            <c:numRef>
              <c:f>headed_backup!$DE$192:$DE$211</c:f>
            </c:numRef>
          </c:yVal>
          <c:smooth val="0"/>
          <c:extLst>
            <c:ext xmlns:c16="http://schemas.microsoft.com/office/drawing/2014/chart" uri="{C3380CC4-5D6E-409C-BE32-E72D297353CC}">
              <c16:uniqueId val="{00000006-302B-4F13-AB76-7810AF9F2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71840"/>
        <c:axId val="132773760"/>
      </c:scatterChart>
      <c:valAx>
        <c:axId val="1327718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3760"/>
        <c:crosses val="autoZero"/>
        <c:crossBetween val="midCat"/>
      </c:valAx>
      <c:valAx>
        <c:axId val="13277376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18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</c:numRef>
          </c:xVal>
          <c:yVal>
            <c:numRef>
              <c:f>headed_backup!$CZ$165:$CZ$191</c:f>
            </c:numRef>
          </c:yVal>
          <c:smooth val="0"/>
          <c:extLst>
            <c:ext xmlns:c16="http://schemas.microsoft.com/office/drawing/2014/chart" uri="{C3380CC4-5D6E-409C-BE32-E72D297353CC}">
              <c16:uniqueId val="{00000000-7C11-44C3-A171-B585E9344138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</c:numRef>
          </c:xVal>
          <c:yVal>
            <c:numRef>
              <c:f>headed_backup!$DF$165:$DF$191</c:f>
            </c:numRef>
          </c:yVal>
          <c:smooth val="0"/>
          <c:extLst>
            <c:ext xmlns:c16="http://schemas.microsoft.com/office/drawing/2014/chart" uri="{C3380CC4-5D6E-409C-BE32-E72D297353CC}">
              <c16:uniqueId val="{00000001-7C11-44C3-A171-B585E9344138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4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</c:numCache>
            </c:numRef>
          </c:xVal>
          <c:yVal>
            <c:numRef>
              <c:f>headed_backup!$CZ$212:$CZ$449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11-44C3-A171-B585E9344138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4"/>
                <c:pt idx="0">
                  <c:v>9.9476439790575917</c:v>
                </c:pt>
                <c:pt idx="1">
                  <c:v>9.9476439790575917</c:v>
                </c:pt>
                <c:pt idx="2">
                  <c:v>9.9476439790575917</c:v>
                </c:pt>
                <c:pt idx="3">
                  <c:v>9.9476439790575917</c:v>
                </c:pt>
              </c:numCache>
            </c:numRef>
          </c:xVal>
          <c:yVal>
            <c:numRef>
              <c:f>headed_backup!$DF$212:$DF$449</c:f>
              <c:numCache>
                <c:formatCode>General</c:formatCode>
                <c:ptCount val="4"/>
                <c:pt idx="0">
                  <c:v>1.0129564999845371</c:v>
                </c:pt>
                <c:pt idx="1">
                  <c:v>1.0548719413632073</c:v>
                </c:pt>
                <c:pt idx="2">
                  <c:v>0.99199877929520175</c:v>
                </c:pt>
                <c:pt idx="3">
                  <c:v>1.0024776396398694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C11-44C3-A171-B585E9344138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</c:numRef>
          </c:xVal>
          <c:yVal>
            <c:numRef>
              <c:f>headed_backup!$AK$20:$AK$21</c:f>
            </c:numRef>
          </c:yVal>
          <c:smooth val="0"/>
          <c:extLst>
            <c:ext xmlns:c16="http://schemas.microsoft.com/office/drawing/2014/chart" uri="{C3380CC4-5D6E-409C-BE32-E72D297353CC}">
              <c16:uniqueId val="{00000004-7C11-44C3-A171-B585E9344138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</c:numRef>
          </c:xVal>
          <c:yVal>
            <c:numRef>
              <c:f>headed_backup!$CZ$192:$CZ$211</c:f>
            </c:numRef>
          </c:yVal>
          <c:smooth val="0"/>
          <c:extLst>
            <c:ext xmlns:c16="http://schemas.microsoft.com/office/drawing/2014/chart" uri="{C3380CC4-5D6E-409C-BE32-E72D297353CC}">
              <c16:uniqueId val="{00000005-7C11-44C3-A171-B585E9344138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</c:numRef>
          </c:xVal>
          <c:yVal>
            <c:numRef>
              <c:f>headed_backup!$DF$192:$DF$211</c:f>
            </c:numRef>
          </c:yVal>
          <c:smooth val="0"/>
          <c:extLst>
            <c:ext xmlns:c16="http://schemas.microsoft.com/office/drawing/2014/chart" uri="{C3380CC4-5D6E-409C-BE32-E72D297353CC}">
              <c16:uniqueId val="{00000006-7C11-44C3-A171-B585E9344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18048"/>
        <c:axId val="132819968"/>
      </c:scatterChart>
      <c:valAx>
        <c:axId val="1328180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9968"/>
        <c:crosses val="autoZero"/>
        <c:crossBetween val="midCat"/>
      </c:valAx>
      <c:valAx>
        <c:axId val="13281996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80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59.xml"/><Relationship Id="rId18" Type="http://schemas.openxmlformats.org/officeDocument/2006/relationships/chart" Target="../charts/chart64.xml"/><Relationship Id="rId26" Type="http://schemas.openxmlformats.org/officeDocument/2006/relationships/chart" Target="../charts/chart72.xml"/><Relationship Id="rId39" Type="http://schemas.openxmlformats.org/officeDocument/2006/relationships/chart" Target="../charts/chart85.xml"/><Relationship Id="rId21" Type="http://schemas.openxmlformats.org/officeDocument/2006/relationships/chart" Target="../charts/chart67.xml"/><Relationship Id="rId34" Type="http://schemas.openxmlformats.org/officeDocument/2006/relationships/chart" Target="../charts/chart80.xml"/><Relationship Id="rId42" Type="http://schemas.openxmlformats.org/officeDocument/2006/relationships/chart" Target="../charts/chart88.xml"/><Relationship Id="rId47" Type="http://schemas.openxmlformats.org/officeDocument/2006/relationships/chart" Target="../charts/chart93.xml"/><Relationship Id="rId50" Type="http://schemas.openxmlformats.org/officeDocument/2006/relationships/chart" Target="../charts/chart96.xml"/><Relationship Id="rId55" Type="http://schemas.openxmlformats.org/officeDocument/2006/relationships/chart" Target="../charts/chart101.xml"/><Relationship Id="rId7" Type="http://schemas.openxmlformats.org/officeDocument/2006/relationships/chart" Target="../charts/chart54.xml"/><Relationship Id="rId2" Type="http://schemas.openxmlformats.org/officeDocument/2006/relationships/chart" Target="../charts/chart49.xml"/><Relationship Id="rId16" Type="http://schemas.openxmlformats.org/officeDocument/2006/relationships/chart" Target="../charts/chart62.xml"/><Relationship Id="rId29" Type="http://schemas.openxmlformats.org/officeDocument/2006/relationships/chart" Target="../charts/chart75.xml"/><Relationship Id="rId11" Type="http://schemas.openxmlformats.org/officeDocument/2006/relationships/chart" Target="../charts/chart57.xml"/><Relationship Id="rId24" Type="http://schemas.openxmlformats.org/officeDocument/2006/relationships/chart" Target="../charts/chart70.xml"/><Relationship Id="rId32" Type="http://schemas.openxmlformats.org/officeDocument/2006/relationships/chart" Target="../charts/chart78.xml"/><Relationship Id="rId37" Type="http://schemas.openxmlformats.org/officeDocument/2006/relationships/chart" Target="../charts/chart83.xml"/><Relationship Id="rId40" Type="http://schemas.openxmlformats.org/officeDocument/2006/relationships/chart" Target="../charts/chart86.xml"/><Relationship Id="rId45" Type="http://schemas.openxmlformats.org/officeDocument/2006/relationships/chart" Target="../charts/chart91.xml"/><Relationship Id="rId53" Type="http://schemas.openxmlformats.org/officeDocument/2006/relationships/chart" Target="../charts/chart99.xml"/><Relationship Id="rId5" Type="http://schemas.openxmlformats.org/officeDocument/2006/relationships/chart" Target="../charts/chart52.xml"/><Relationship Id="rId10" Type="http://schemas.openxmlformats.org/officeDocument/2006/relationships/chart" Target="../charts/chart56.xml"/><Relationship Id="rId19" Type="http://schemas.openxmlformats.org/officeDocument/2006/relationships/chart" Target="../charts/chart65.xml"/><Relationship Id="rId31" Type="http://schemas.openxmlformats.org/officeDocument/2006/relationships/chart" Target="../charts/chart77.xml"/><Relationship Id="rId44" Type="http://schemas.openxmlformats.org/officeDocument/2006/relationships/chart" Target="../charts/chart90.xml"/><Relationship Id="rId52" Type="http://schemas.openxmlformats.org/officeDocument/2006/relationships/chart" Target="../charts/chart98.xml"/><Relationship Id="rId4" Type="http://schemas.openxmlformats.org/officeDocument/2006/relationships/chart" Target="../charts/chart51.xml"/><Relationship Id="rId9" Type="http://schemas.openxmlformats.org/officeDocument/2006/relationships/chart" Target="../charts/chart55.xml"/><Relationship Id="rId14" Type="http://schemas.openxmlformats.org/officeDocument/2006/relationships/chart" Target="../charts/chart60.xml"/><Relationship Id="rId22" Type="http://schemas.openxmlformats.org/officeDocument/2006/relationships/chart" Target="../charts/chart68.xml"/><Relationship Id="rId27" Type="http://schemas.openxmlformats.org/officeDocument/2006/relationships/chart" Target="../charts/chart73.xml"/><Relationship Id="rId30" Type="http://schemas.openxmlformats.org/officeDocument/2006/relationships/chart" Target="../charts/chart76.xml"/><Relationship Id="rId35" Type="http://schemas.openxmlformats.org/officeDocument/2006/relationships/chart" Target="../charts/chart81.xml"/><Relationship Id="rId43" Type="http://schemas.openxmlformats.org/officeDocument/2006/relationships/chart" Target="../charts/chart89.xml"/><Relationship Id="rId48" Type="http://schemas.openxmlformats.org/officeDocument/2006/relationships/chart" Target="../charts/chart94.xml"/><Relationship Id="rId56" Type="http://schemas.openxmlformats.org/officeDocument/2006/relationships/chart" Target="../charts/chart102.xml"/><Relationship Id="rId8" Type="http://schemas.openxmlformats.org/officeDocument/2006/relationships/image" Target="../media/image2.emf"/><Relationship Id="rId51" Type="http://schemas.openxmlformats.org/officeDocument/2006/relationships/chart" Target="../charts/chart97.xml"/><Relationship Id="rId3" Type="http://schemas.openxmlformats.org/officeDocument/2006/relationships/chart" Target="../charts/chart50.xml"/><Relationship Id="rId12" Type="http://schemas.openxmlformats.org/officeDocument/2006/relationships/chart" Target="../charts/chart58.xml"/><Relationship Id="rId17" Type="http://schemas.openxmlformats.org/officeDocument/2006/relationships/chart" Target="../charts/chart63.xml"/><Relationship Id="rId25" Type="http://schemas.openxmlformats.org/officeDocument/2006/relationships/chart" Target="../charts/chart71.xml"/><Relationship Id="rId33" Type="http://schemas.openxmlformats.org/officeDocument/2006/relationships/chart" Target="../charts/chart79.xml"/><Relationship Id="rId38" Type="http://schemas.openxmlformats.org/officeDocument/2006/relationships/chart" Target="../charts/chart84.xml"/><Relationship Id="rId46" Type="http://schemas.openxmlformats.org/officeDocument/2006/relationships/chart" Target="../charts/chart92.xml"/><Relationship Id="rId20" Type="http://schemas.openxmlformats.org/officeDocument/2006/relationships/chart" Target="../charts/chart66.xml"/><Relationship Id="rId41" Type="http://schemas.openxmlformats.org/officeDocument/2006/relationships/chart" Target="../charts/chart87.xml"/><Relationship Id="rId54" Type="http://schemas.openxmlformats.org/officeDocument/2006/relationships/chart" Target="../charts/chart100.xml"/><Relationship Id="rId1" Type="http://schemas.openxmlformats.org/officeDocument/2006/relationships/chart" Target="../charts/chart48.xml"/><Relationship Id="rId6" Type="http://schemas.openxmlformats.org/officeDocument/2006/relationships/chart" Target="../charts/chart53.xml"/><Relationship Id="rId15" Type="http://schemas.openxmlformats.org/officeDocument/2006/relationships/chart" Target="../charts/chart61.xml"/><Relationship Id="rId23" Type="http://schemas.openxmlformats.org/officeDocument/2006/relationships/chart" Target="../charts/chart69.xml"/><Relationship Id="rId28" Type="http://schemas.openxmlformats.org/officeDocument/2006/relationships/chart" Target="../charts/chart74.xml"/><Relationship Id="rId36" Type="http://schemas.openxmlformats.org/officeDocument/2006/relationships/chart" Target="../charts/chart82.xml"/><Relationship Id="rId49" Type="http://schemas.openxmlformats.org/officeDocument/2006/relationships/chart" Target="../charts/chart95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14.xml"/><Relationship Id="rId18" Type="http://schemas.openxmlformats.org/officeDocument/2006/relationships/chart" Target="../charts/chart119.xml"/><Relationship Id="rId26" Type="http://schemas.openxmlformats.org/officeDocument/2006/relationships/chart" Target="../charts/chart127.xml"/><Relationship Id="rId39" Type="http://schemas.openxmlformats.org/officeDocument/2006/relationships/chart" Target="../charts/chart140.xml"/><Relationship Id="rId21" Type="http://schemas.openxmlformats.org/officeDocument/2006/relationships/chart" Target="../charts/chart122.xml"/><Relationship Id="rId34" Type="http://schemas.openxmlformats.org/officeDocument/2006/relationships/chart" Target="../charts/chart135.xml"/><Relationship Id="rId42" Type="http://schemas.openxmlformats.org/officeDocument/2006/relationships/chart" Target="../charts/chart143.xml"/><Relationship Id="rId47" Type="http://schemas.openxmlformats.org/officeDocument/2006/relationships/chart" Target="../charts/chart148.xml"/><Relationship Id="rId50" Type="http://schemas.openxmlformats.org/officeDocument/2006/relationships/chart" Target="../charts/chart151.xml"/><Relationship Id="rId55" Type="http://schemas.openxmlformats.org/officeDocument/2006/relationships/chart" Target="../charts/chart156.xml"/><Relationship Id="rId7" Type="http://schemas.openxmlformats.org/officeDocument/2006/relationships/chart" Target="../charts/chart109.xml"/><Relationship Id="rId2" Type="http://schemas.openxmlformats.org/officeDocument/2006/relationships/chart" Target="../charts/chart104.xml"/><Relationship Id="rId16" Type="http://schemas.openxmlformats.org/officeDocument/2006/relationships/chart" Target="../charts/chart117.xml"/><Relationship Id="rId29" Type="http://schemas.openxmlformats.org/officeDocument/2006/relationships/chart" Target="../charts/chart130.xml"/><Relationship Id="rId11" Type="http://schemas.openxmlformats.org/officeDocument/2006/relationships/chart" Target="../charts/chart112.xml"/><Relationship Id="rId24" Type="http://schemas.openxmlformats.org/officeDocument/2006/relationships/chart" Target="../charts/chart125.xml"/><Relationship Id="rId32" Type="http://schemas.openxmlformats.org/officeDocument/2006/relationships/chart" Target="../charts/chart133.xml"/><Relationship Id="rId37" Type="http://schemas.openxmlformats.org/officeDocument/2006/relationships/chart" Target="../charts/chart138.xml"/><Relationship Id="rId40" Type="http://schemas.openxmlformats.org/officeDocument/2006/relationships/chart" Target="../charts/chart141.xml"/><Relationship Id="rId45" Type="http://schemas.openxmlformats.org/officeDocument/2006/relationships/chart" Target="../charts/chart146.xml"/><Relationship Id="rId53" Type="http://schemas.openxmlformats.org/officeDocument/2006/relationships/chart" Target="../charts/chart154.xml"/><Relationship Id="rId5" Type="http://schemas.openxmlformats.org/officeDocument/2006/relationships/chart" Target="../charts/chart107.xml"/><Relationship Id="rId10" Type="http://schemas.openxmlformats.org/officeDocument/2006/relationships/chart" Target="../charts/chart111.xml"/><Relationship Id="rId19" Type="http://schemas.openxmlformats.org/officeDocument/2006/relationships/chart" Target="../charts/chart120.xml"/><Relationship Id="rId31" Type="http://schemas.openxmlformats.org/officeDocument/2006/relationships/chart" Target="../charts/chart132.xml"/><Relationship Id="rId44" Type="http://schemas.openxmlformats.org/officeDocument/2006/relationships/chart" Target="../charts/chart145.xml"/><Relationship Id="rId52" Type="http://schemas.openxmlformats.org/officeDocument/2006/relationships/chart" Target="../charts/chart153.xml"/><Relationship Id="rId4" Type="http://schemas.openxmlformats.org/officeDocument/2006/relationships/chart" Target="../charts/chart106.xml"/><Relationship Id="rId9" Type="http://schemas.openxmlformats.org/officeDocument/2006/relationships/chart" Target="../charts/chart110.xml"/><Relationship Id="rId14" Type="http://schemas.openxmlformats.org/officeDocument/2006/relationships/chart" Target="../charts/chart115.xml"/><Relationship Id="rId22" Type="http://schemas.openxmlformats.org/officeDocument/2006/relationships/chart" Target="../charts/chart123.xml"/><Relationship Id="rId27" Type="http://schemas.openxmlformats.org/officeDocument/2006/relationships/chart" Target="../charts/chart128.xml"/><Relationship Id="rId30" Type="http://schemas.openxmlformats.org/officeDocument/2006/relationships/chart" Target="../charts/chart131.xml"/><Relationship Id="rId35" Type="http://schemas.openxmlformats.org/officeDocument/2006/relationships/chart" Target="../charts/chart136.xml"/><Relationship Id="rId43" Type="http://schemas.openxmlformats.org/officeDocument/2006/relationships/chart" Target="../charts/chart144.xml"/><Relationship Id="rId48" Type="http://schemas.openxmlformats.org/officeDocument/2006/relationships/chart" Target="../charts/chart149.xml"/><Relationship Id="rId56" Type="http://schemas.openxmlformats.org/officeDocument/2006/relationships/chart" Target="../charts/chart157.xml"/><Relationship Id="rId8" Type="http://schemas.openxmlformats.org/officeDocument/2006/relationships/image" Target="../media/image2.emf"/><Relationship Id="rId51" Type="http://schemas.openxmlformats.org/officeDocument/2006/relationships/chart" Target="../charts/chart152.xml"/><Relationship Id="rId3" Type="http://schemas.openxmlformats.org/officeDocument/2006/relationships/chart" Target="../charts/chart105.xml"/><Relationship Id="rId12" Type="http://schemas.openxmlformats.org/officeDocument/2006/relationships/chart" Target="../charts/chart113.xml"/><Relationship Id="rId17" Type="http://schemas.openxmlformats.org/officeDocument/2006/relationships/chart" Target="../charts/chart118.xml"/><Relationship Id="rId25" Type="http://schemas.openxmlformats.org/officeDocument/2006/relationships/chart" Target="../charts/chart126.xml"/><Relationship Id="rId33" Type="http://schemas.openxmlformats.org/officeDocument/2006/relationships/chart" Target="../charts/chart134.xml"/><Relationship Id="rId38" Type="http://schemas.openxmlformats.org/officeDocument/2006/relationships/chart" Target="../charts/chart139.xml"/><Relationship Id="rId46" Type="http://schemas.openxmlformats.org/officeDocument/2006/relationships/chart" Target="../charts/chart147.xml"/><Relationship Id="rId20" Type="http://schemas.openxmlformats.org/officeDocument/2006/relationships/chart" Target="../charts/chart121.xml"/><Relationship Id="rId41" Type="http://schemas.openxmlformats.org/officeDocument/2006/relationships/chart" Target="../charts/chart142.xml"/><Relationship Id="rId54" Type="http://schemas.openxmlformats.org/officeDocument/2006/relationships/chart" Target="../charts/chart155.xml"/><Relationship Id="rId1" Type="http://schemas.openxmlformats.org/officeDocument/2006/relationships/chart" Target="../charts/chart103.xml"/><Relationship Id="rId6" Type="http://schemas.openxmlformats.org/officeDocument/2006/relationships/chart" Target="../charts/chart108.xml"/><Relationship Id="rId15" Type="http://schemas.openxmlformats.org/officeDocument/2006/relationships/chart" Target="../charts/chart116.xml"/><Relationship Id="rId23" Type="http://schemas.openxmlformats.org/officeDocument/2006/relationships/chart" Target="../charts/chart124.xml"/><Relationship Id="rId28" Type="http://schemas.openxmlformats.org/officeDocument/2006/relationships/chart" Target="../charts/chart129.xml"/><Relationship Id="rId36" Type="http://schemas.openxmlformats.org/officeDocument/2006/relationships/chart" Target="../charts/chart137.xml"/><Relationship Id="rId49" Type="http://schemas.openxmlformats.org/officeDocument/2006/relationships/chart" Target="../charts/chart1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83</xdr:col>
      <xdr:colOff>314567</xdr:colOff>
      <xdr:row>47</xdr:row>
      <xdr:rowOff>80039</xdr:rowOff>
    </xdr:from>
    <xdr:to>
      <xdr:col>88</xdr:col>
      <xdr:colOff>9273</xdr:colOff>
      <xdr:row>56</xdr:row>
      <xdr:rowOff>108098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EF101C0-0D7F-4285-8991-3ACD5FC847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93</xdr:col>
      <xdr:colOff>282548</xdr:colOff>
      <xdr:row>47</xdr:row>
      <xdr:rowOff>84043</xdr:rowOff>
    </xdr:from>
    <xdr:to>
      <xdr:col>97</xdr:col>
      <xdr:colOff>470312</xdr:colOff>
      <xdr:row>56</xdr:row>
      <xdr:rowOff>112102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55122A6-064A-4173-BA41-BC60C59205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83</xdr:col>
      <xdr:colOff>314728</xdr:colOff>
      <xdr:row>57</xdr:row>
      <xdr:rowOff>103493</xdr:rowOff>
    </xdr:from>
    <xdr:to>
      <xdr:col>88</xdr:col>
      <xdr:colOff>9434</xdr:colOff>
      <xdr:row>66</xdr:row>
      <xdr:rowOff>131552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3FA17ECF-6F8F-443E-8DB1-47490EC9E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131</xdr:col>
      <xdr:colOff>267741</xdr:colOff>
      <xdr:row>58</xdr:row>
      <xdr:rowOff>86445</xdr:rowOff>
    </xdr:from>
    <xdr:to>
      <xdr:col>135</xdr:col>
      <xdr:colOff>638375</xdr:colOff>
      <xdr:row>70</xdr:row>
      <xdr:rowOff>128584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C5BF8A1A-688D-4665-883A-D0FC032565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131</xdr:col>
      <xdr:colOff>111259</xdr:colOff>
      <xdr:row>73</xdr:row>
      <xdr:rowOff>131349</xdr:rowOff>
    </xdr:from>
    <xdr:to>
      <xdr:col>136</xdr:col>
      <xdr:colOff>235323</xdr:colOff>
      <xdr:row>86</xdr:row>
      <xdr:rowOff>131349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5C92CD3-A566-4B5A-80EA-1CAB4004C9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178</xdr:col>
      <xdr:colOff>310564</xdr:colOff>
      <xdr:row>66</xdr:row>
      <xdr:rowOff>113659</xdr:rowOff>
    </xdr:from>
    <xdr:to>
      <xdr:col>185</xdr:col>
      <xdr:colOff>160887</xdr:colOff>
      <xdr:row>84</xdr:row>
      <xdr:rowOff>32018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D173921-9657-44CD-B0E7-119B77FCB3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88</xdr:col>
      <xdr:colOff>243490</xdr:colOff>
      <xdr:row>47</xdr:row>
      <xdr:rowOff>91245</xdr:rowOff>
    </xdr:from>
    <xdr:to>
      <xdr:col>92</xdr:col>
      <xdr:colOff>431254</xdr:colOff>
      <xdr:row>56</xdr:row>
      <xdr:rowOff>119304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5743C47E-2169-46AA-AAFD-795A78217C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145</xdr:col>
      <xdr:colOff>291352</xdr:colOff>
      <xdr:row>60</xdr:row>
      <xdr:rowOff>21608</xdr:rowOff>
    </xdr:from>
    <xdr:to>
      <xdr:col>153</xdr:col>
      <xdr:colOff>190501</xdr:colOff>
      <xdr:row>77</xdr:row>
      <xdr:rowOff>132958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38E8DE66-09D9-4718-8932-9D164E5E51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136</xdr:col>
      <xdr:colOff>81642</xdr:colOff>
      <xdr:row>258</xdr:row>
      <xdr:rowOff>149680</xdr:rowOff>
    </xdr:from>
    <xdr:to>
      <xdr:col>145</xdr:col>
      <xdr:colOff>224516</xdr:colOff>
      <xdr:row>276</xdr:row>
      <xdr:rowOff>104145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A1778AA7-6BF3-4333-B0B7-1DB12175C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149</xdr:col>
      <xdr:colOff>653143</xdr:colOff>
      <xdr:row>57</xdr:row>
      <xdr:rowOff>81642</xdr:rowOff>
    </xdr:from>
    <xdr:to>
      <xdr:col>158</xdr:col>
      <xdr:colOff>115660</xdr:colOff>
      <xdr:row>75</xdr:row>
      <xdr:rowOff>36108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4CB26014-A099-49EE-87A8-2C965DB3D3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88</xdr:col>
      <xdr:colOff>402613</xdr:colOff>
      <xdr:row>57</xdr:row>
      <xdr:rowOff>124064</xdr:rowOff>
    </xdr:from>
    <xdr:to>
      <xdr:col>93</xdr:col>
      <xdr:colOff>97319</xdr:colOff>
      <xdr:row>66</xdr:row>
      <xdr:rowOff>152123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ED58C2B3-5D5D-423A-B7DC-750B4C87DC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106</xdr:col>
      <xdr:colOff>22707</xdr:colOff>
      <xdr:row>55</xdr:row>
      <xdr:rowOff>121066</xdr:rowOff>
    </xdr:from>
    <xdr:to>
      <xdr:col>116</xdr:col>
      <xdr:colOff>288957</xdr:colOff>
      <xdr:row>69</xdr:row>
      <xdr:rowOff>114128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BAD38EB4-5014-43E8-B116-D510DE72B3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116</xdr:col>
      <xdr:colOff>232319</xdr:colOff>
      <xdr:row>55</xdr:row>
      <xdr:rowOff>81141</xdr:rowOff>
    </xdr:from>
    <xdr:to>
      <xdr:col>122</xdr:col>
      <xdr:colOff>629537</xdr:colOff>
      <xdr:row>69</xdr:row>
      <xdr:rowOff>74203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45F7907D-9DE0-4230-99FB-EE3BB0FEC5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106</xdr:col>
      <xdr:colOff>192198</xdr:colOff>
      <xdr:row>124</xdr:row>
      <xdr:rowOff>143473</xdr:rowOff>
    </xdr:from>
    <xdr:to>
      <xdr:col>117</xdr:col>
      <xdr:colOff>125073</xdr:colOff>
      <xdr:row>138</xdr:row>
      <xdr:rowOff>136535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2FB5E358-D373-4A4B-8B25-BF09B35C11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95</xdr:col>
      <xdr:colOff>257734</xdr:colOff>
      <xdr:row>75</xdr:row>
      <xdr:rowOff>78441</xdr:rowOff>
    </xdr:from>
    <xdr:to>
      <xdr:col>99</xdr:col>
      <xdr:colOff>445498</xdr:colOff>
      <xdr:row>84</xdr:row>
      <xdr:rowOff>106500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AE36373-62C4-4140-B82F-301EC7E752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35</xdr:col>
      <xdr:colOff>288851</xdr:colOff>
      <xdr:row>0</xdr:row>
      <xdr:rowOff>0</xdr:rowOff>
    </xdr:from>
    <xdr:to>
      <xdr:col>48</xdr:col>
      <xdr:colOff>134363</xdr:colOff>
      <xdr:row>13</xdr:row>
      <xdr:rowOff>109697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0898D0A1-998D-449B-B3AB-9DB8D4C2D8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33</xdr:col>
      <xdr:colOff>198091</xdr:colOff>
      <xdr:row>0</xdr:row>
      <xdr:rowOff>0</xdr:rowOff>
    </xdr:from>
    <xdr:to>
      <xdr:col>42</xdr:col>
      <xdr:colOff>433285</xdr:colOff>
      <xdr:row>13</xdr:row>
      <xdr:rowOff>107482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F17C191C-0F68-450A-B69F-82607079C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58</xdr:col>
      <xdr:colOff>352563</xdr:colOff>
      <xdr:row>2</xdr:row>
      <xdr:rowOff>79837</xdr:rowOff>
    </xdr:from>
    <xdr:to>
      <xdr:col>66</xdr:col>
      <xdr:colOff>112199</xdr:colOff>
      <xdr:row>16</xdr:row>
      <xdr:rowOff>36281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90E060B1-3C23-4A1F-8678-B380D65F35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156881</xdr:colOff>
      <xdr:row>456</xdr:row>
      <xdr:rowOff>33616</xdr:rowOff>
    </xdr:from>
    <xdr:to>
      <xdr:col>20</xdr:col>
      <xdr:colOff>327882</xdr:colOff>
      <xdr:row>469</xdr:row>
      <xdr:rowOff>154147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9356335B-35F8-4821-8B3E-EBBD580A46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29</xdr:col>
      <xdr:colOff>292478</xdr:colOff>
      <xdr:row>2</xdr:row>
      <xdr:rowOff>0</xdr:rowOff>
    </xdr:from>
    <xdr:to>
      <xdr:col>39</xdr:col>
      <xdr:colOff>82478</xdr:colOff>
      <xdr:row>15</xdr:row>
      <xdr:rowOff>116046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7B3F09E4-B237-49F6-8141-7F0E3007E9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118</xdr:col>
      <xdr:colOff>591811</xdr:colOff>
      <xdr:row>258</xdr:row>
      <xdr:rowOff>123964</xdr:rowOff>
    </xdr:from>
    <xdr:to>
      <xdr:col>124</xdr:col>
      <xdr:colOff>488967</xdr:colOff>
      <xdr:row>272</xdr:row>
      <xdr:rowOff>87610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0FA939FB-1B47-4261-A50F-CB41CD970F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59</xdr:col>
      <xdr:colOff>339537</xdr:colOff>
      <xdr:row>0</xdr:row>
      <xdr:rowOff>123825</xdr:rowOff>
    </xdr:from>
    <xdr:to>
      <xdr:col>68</xdr:col>
      <xdr:colOff>56539</xdr:colOff>
      <xdr:row>12</xdr:row>
      <xdr:rowOff>13513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D8C55DB2-53AF-416B-AFD9-215EDDFA23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22</xdr:col>
      <xdr:colOff>123265</xdr:colOff>
      <xdr:row>456</xdr:row>
      <xdr:rowOff>11206</xdr:rowOff>
    </xdr:from>
    <xdr:to>
      <xdr:col>33</xdr:col>
      <xdr:colOff>294266</xdr:colOff>
      <xdr:row>469</xdr:row>
      <xdr:rowOff>131737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018D1F19-72E6-4164-917B-731EBEDECB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93</xdr:col>
      <xdr:colOff>392207</xdr:colOff>
      <xdr:row>57</xdr:row>
      <xdr:rowOff>89647</xdr:rowOff>
    </xdr:from>
    <xdr:to>
      <xdr:col>98</xdr:col>
      <xdr:colOff>86913</xdr:colOff>
      <xdr:row>66</xdr:row>
      <xdr:rowOff>117706</xdr:rowOff>
    </xdr:to>
    <xdr:graphicFrame macro="">
      <xdr:nvGraphicFramePr>
        <xdr:cNvPr id="31" name="차트 30">
          <a:extLst>
            <a:ext uri="{FF2B5EF4-FFF2-40B4-BE49-F238E27FC236}">
              <a16:creationId xmlns:a16="http://schemas.microsoft.com/office/drawing/2014/main" id="{805C1C40-990F-47BB-B87B-055910B16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79</xdr:col>
      <xdr:colOff>324971</xdr:colOff>
      <xdr:row>180</xdr:row>
      <xdr:rowOff>11206</xdr:rowOff>
    </xdr:from>
    <xdr:to>
      <xdr:col>84</xdr:col>
      <xdr:colOff>19676</xdr:colOff>
      <xdr:row>189</xdr:row>
      <xdr:rowOff>72881</xdr:rowOff>
    </xdr:to>
    <xdr:graphicFrame macro="">
      <xdr:nvGraphicFramePr>
        <xdr:cNvPr id="33" name="차트 32">
          <a:extLst>
            <a:ext uri="{FF2B5EF4-FFF2-40B4-BE49-F238E27FC236}">
              <a16:creationId xmlns:a16="http://schemas.microsoft.com/office/drawing/2014/main" id="{A12A30D9-EC54-43AB-BCE2-EDDDFB85D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117</xdr:col>
      <xdr:colOff>145676</xdr:colOff>
      <xdr:row>36</xdr:row>
      <xdr:rowOff>100854</xdr:rowOff>
    </xdr:from>
    <xdr:to>
      <xdr:col>123</xdr:col>
      <xdr:colOff>799</xdr:colOff>
      <xdr:row>49</xdr:row>
      <xdr:rowOff>100854</xdr:rowOff>
    </xdr:to>
    <xdr:graphicFrame macro="">
      <xdr:nvGraphicFramePr>
        <xdr:cNvPr id="34" name="차트 33">
          <a:extLst>
            <a:ext uri="{FF2B5EF4-FFF2-40B4-BE49-F238E27FC236}">
              <a16:creationId xmlns:a16="http://schemas.microsoft.com/office/drawing/2014/main" id="{30AE2DC2-9A0A-4877-A79B-F59FCD252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124</xdr:col>
      <xdr:colOff>0</xdr:colOff>
      <xdr:row>36</xdr:row>
      <xdr:rowOff>0</xdr:rowOff>
    </xdr:from>
    <xdr:to>
      <xdr:col>130</xdr:col>
      <xdr:colOff>168888</xdr:colOff>
      <xdr:row>49</xdr:row>
      <xdr:rowOff>0</xdr:rowOff>
    </xdr:to>
    <xdr:graphicFrame macro="">
      <xdr:nvGraphicFramePr>
        <xdr:cNvPr id="35" name="차트 34">
          <a:extLst>
            <a:ext uri="{FF2B5EF4-FFF2-40B4-BE49-F238E27FC236}">
              <a16:creationId xmlns:a16="http://schemas.microsoft.com/office/drawing/2014/main" id="{84E044E5-4CA8-4A6E-A50A-7EB96E3DC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57</xdr:col>
      <xdr:colOff>44824</xdr:colOff>
      <xdr:row>115</xdr:row>
      <xdr:rowOff>145676</xdr:rowOff>
    </xdr:from>
    <xdr:to>
      <xdr:col>64</xdr:col>
      <xdr:colOff>201707</xdr:colOff>
      <xdr:row>129</xdr:row>
      <xdr:rowOff>102121</xdr:rowOff>
    </xdr:to>
    <xdr:graphicFrame macro="">
      <xdr:nvGraphicFramePr>
        <xdr:cNvPr id="36" name="차트 35">
          <a:extLst>
            <a:ext uri="{FF2B5EF4-FFF2-40B4-BE49-F238E27FC236}">
              <a16:creationId xmlns:a16="http://schemas.microsoft.com/office/drawing/2014/main" id="{E0978DE4-AA36-4639-8353-E2A8C6575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83</xdr:col>
      <xdr:colOff>268382</xdr:colOff>
      <xdr:row>2</xdr:row>
      <xdr:rowOff>104775</xdr:rowOff>
    </xdr:from>
    <xdr:to>
      <xdr:col>90</xdr:col>
      <xdr:colOff>419212</xdr:colOff>
      <xdr:row>13</xdr:row>
      <xdr:rowOff>72905</xdr:rowOff>
    </xdr:to>
    <xdr:graphicFrame macro="">
      <xdr:nvGraphicFramePr>
        <xdr:cNvPr id="37" name="차트 36">
          <a:extLst>
            <a:ext uri="{FF2B5EF4-FFF2-40B4-BE49-F238E27FC236}">
              <a16:creationId xmlns:a16="http://schemas.microsoft.com/office/drawing/2014/main" id="{D142FF29-714B-4B06-B50A-FCC19F0F23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76</xdr:col>
      <xdr:colOff>112058</xdr:colOff>
      <xdr:row>191</xdr:row>
      <xdr:rowOff>11207</xdr:rowOff>
    </xdr:from>
    <xdr:to>
      <xdr:col>84</xdr:col>
      <xdr:colOff>487407</xdr:colOff>
      <xdr:row>207</xdr:row>
      <xdr:rowOff>93634</xdr:rowOff>
    </xdr:to>
    <xdr:graphicFrame macro="">
      <xdr:nvGraphicFramePr>
        <xdr:cNvPr id="40" name="차트 39">
          <a:extLst>
            <a:ext uri="{FF2B5EF4-FFF2-40B4-BE49-F238E27FC236}">
              <a16:creationId xmlns:a16="http://schemas.microsoft.com/office/drawing/2014/main" id="{E05B35EE-E7D9-440C-89AA-AD3A6162B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89</xdr:col>
      <xdr:colOff>0</xdr:colOff>
      <xdr:row>68</xdr:row>
      <xdr:rowOff>0</xdr:rowOff>
    </xdr:from>
    <xdr:to>
      <xdr:col>93</xdr:col>
      <xdr:colOff>194768</xdr:colOff>
      <xdr:row>77</xdr:row>
      <xdr:rowOff>28058</xdr:rowOff>
    </xdr:to>
    <xdr:graphicFrame macro="">
      <xdr:nvGraphicFramePr>
        <xdr:cNvPr id="41" name="차트 40">
          <a:extLst>
            <a:ext uri="{FF2B5EF4-FFF2-40B4-BE49-F238E27FC236}">
              <a16:creationId xmlns:a16="http://schemas.microsoft.com/office/drawing/2014/main" id="{087AFF39-26F4-466E-A7EC-8FC06E44E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</xdr:col>
      <xdr:colOff>205347</xdr:colOff>
      <xdr:row>2</xdr:row>
      <xdr:rowOff>79561</xdr:rowOff>
    </xdr:from>
    <xdr:to>
      <xdr:col>27</xdr:col>
      <xdr:colOff>38291</xdr:colOff>
      <xdr:row>16</xdr:row>
      <xdr:rowOff>38724</xdr:rowOff>
    </xdr:to>
    <xdr:graphicFrame macro="">
      <xdr:nvGraphicFramePr>
        <xdr:cNvPr id="42" name="차트 41">
          <a:extLst>
            <a:ext uri="{FF2B5EF4-FFF2-40B4-BE49-F238E27FC236}">
              <a16:creationId xmlns:a16="http://schemas.microsoft.com/office/drawing/2014/main" id="{48EC43CD-C1B0-4E31-A8F7-E73E7DAE6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123</xdr:col>
      <xdr:colOff>0</xdr:colOff>
      <xdr:row>56</xdr:row>
      <xdr:rowOff>0</xdr:rowOff>
    </xdr:from>
    <xdr:to>
      <xdr:col>129</xdr:col>
      <xdr:colOff>421031</xdr:colOff>
      <xdr:row>69</xdr:row>
      <xdr:rowOff>147843</xdr:rowOff>
    </xdr:to>
    <xdr:graphicFrame macro="">
      <xdr:nvGraphicFramePr>
        <xdr:cNvPr id="43" name="차트 42">
          <a:extLst>
            <a:ext uri="{FF2B5EF4-FFF2-40B4-BE49-F238E27FC236}">
              <a16:creationId xmlns:a16="http://schemas.microsoft.com/office/drawing/2014/main" id="{C273A452-10B2-49BB-B60D-76D88100A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106</xdr:col>
      <xdr:colOff>0</xdr:colOff>
      <xdr:row>70</xdr:row>
      <xdr:rowOff>39925</xdr:rowOff>
    </xdr:from>
    <xdr:to>
      <xdr:col>116</xdr:col>
      <xdr:colOff>266250</xdr:colOff>
      <xdr:row>84</xdr:row>
      <xdr:rowOff>32988</xdr:rowOff>
    </xdr:to>
    <xdr:graphicFrame macro="">
      <xdr:nvGraphicFramePr>
        <xdr:cNvPr id="44" name="차트 43">
          <a:extLst>
            <a:ext uri="{FF2B5EF4-FFF2-40B4-BE49-F238E27FC236}">
              <a16:creationId xmlns:a16="http://schemas.microsoft.com/office/drawing/2014/main" id="{4B5C52E9-9E46-475C-AD97-F1BC5595D5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116</xdr:col>
      <xdr:colOff>209612</xdr:colOff>
      <xdr:row>70</xdr:row>
      <xdr:rowOff>0</xdr:rowOff>
    </xdr:from>
    <xdr:to>
      <xdr:col>122</xdr:col>
      <xdr:colOff>606830</xdr:colOff>
      <xdr:row>83</xdr:row>
      <xdr:rowOff>147844</xdr:rowOff>
    </xdr:to>
    <xdr:graphicFrame macro="">
      <xdr:nvGraphicFramePr>
        <xdr:cNvPr id="45" name="차트 44">
          <a:extLst>
            <a:ext uri="{FF2B5EF4-FFF2-40B4-BE49-F238E27FC236}">
              <a16:creationId xmlns:a16="http://schemas.microsoft.com/office/drawing/2014/main" id="{98D9F76B-EC2D-47D0-B541-BA36622FC9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122</xdr:col>
      <xdr:colOff>667855</xdr:colOff>
      <xdr:row>70</xdr:row>
      <xdr:rowOff>73640</xdr:rowOff>
    </xdr:from>
    <xdr:to>
      <xdr:col>129</xdr:col>
      <xdr:colOff>398324</xdr:colOff>
      <xdr:row>84</xdr:row>
      <xdr:rowOff>66703</xdr:rowOff>
    </xdr:to>
    <xdr:graphicFrame macro="">
      <xdr:nvGraphicFramePr>
        <xdr:cNvPr id="46" name="차트 45">
          <a:extLst>
            <a:ext uri="{FF2B5EF4-FFF2-40B4-BE49-F238E27FC236}">
              <a16:creationId xmlns:a16="http://schemas.microsoft.com/office/drawing/2014/main" id="{4F64FE4D-B2B3-4C87-90B2-97CAC58A78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106</xdr:col>
      <xdr:colOff>22707</xdr:colOff>
      <xdr:row>88</xdr:row>
      <xdr:rowOff>39925</xdr:rowOff>
    </xdr:from>
    <xdr:to>
      <xdr:col>116</xdr:col>
      <xdr:colOff>288957</xdr:colOff>
      <xdr:row>102</xdr:row>
      <xdr:rowOff>32987</xdr:rowOff>
    </xdr:to>
    <xdr:graphicFrame macro="">
      <xdr:nvGraphicFramePr>
        <xdr:cNvPr id="47" name="차트 46">
          <a:extLst>
            <a:ext uri="{FF2B5EF4-FFF2-40B4-BE49-F238E27FC236}">
              <a16:creationId xmlns:a16="http://schemas.microsoft.com/office/drawing/2014/main" id="{9E3AA5E6-416A-49EA-A174-FCD33AFB9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116</xdr:col>
      <xdr:colOff>232319</xdr:colOff>
      <xdr:row>88</xdr:row>
      <xdr:rowOff>0</xdr:rowOff>
    </xdr:from>
    <xdr:to>
      <xdr:col>122</xdr:col>
      <xdr:colOff>629537</xdr:colOff>
      <xdr:row>101</xdr:row>
      <xdr:rowOff>147843</xdr:rowOff>
    </xdr:to>
    <xdr:graphicFrame macro="">
      <xdr:nvGraphicFramePr>
        <xdr:cNvPr id="48" name="차트 47">
          <a:extLst>
            <a:ext uri="{FF2B5EF4-FFF2-40B4-BE49-F238E27FC236}">
              <a16:creationId xmlns:a16="http://schemas.microsoft.com/office/drawing/2014/main" id="{CB0CB3AF-F775-47C1-887B-831DF6849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123</xdr:col>
      <xdr:colOff>0</xdr:colOff>
      <xdr:row>88</xdr:row>
      <xdr:rowOff>73640</xdr:rowOff>
    </xdr:from>
    <xdr:to>
      <xdr:col>129</xdr:col>
      <xdr:colOff>421031</xdr:colOff>
      <xdr:row>102</xdr:row>
      <xdr:rowOff>66702</xdr:rowOff>
    </xdr:to>
    <xdr:graphicFrame macro="">
      <xdr:nvGraphicFramePr>
        <xdr:cNvPr id="49" name="차트 48">
          <a:extLst>
            <a:ext uri="{FF2B5EF4-FFF2-40B4-BE49-F238E27FC236}">
              <a16:creationId xmlns:a16="http://schemas.microsoft.com/office/drawing/2014/main" id="{E1C6E1C2-6A58-4522-874D-BB9F653831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106</xdr:col>
      <xdr:colOff>0</xdr:colOff>
      <xdr:row>102</xdr:row>
      <xdr:rowOff>113565</xdr:rowOff>
    </xdr:from>
    <xdr:to>
      <xdr:col>116</xdr:col>
      <xdr:colOff>266250</xdr:colOff>
      <xdr:row>116</xdr:row>
      <xdr:rowOff>106628</xdr:rowOff>
    </xdr:to>
    <xdr:graphicFrame macro="">
      <xdr:nvGraphicFramePr>
        <xdr:cNvPr id="50" name="차트 49">
          <a:extLst>
            <a:ext uri="{FF2B5EF4-FFF2-40B4-BE49-F238E27FC236}">
              <a16:creationId xmlns:a16="http://schemas.microsoft.com/office/drawing/2014/main" id="{8E1882DC-6630-4427-B34A-99BB071E9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116</xdr:col>
      <xdr:colOff>209612</xdr:colOff>
      <xdr:row>102</xdr:row>
      <xdr:rowOff>73640</xdr:rowOff>
    </xdr:from>
    <xdr:to>
      <xdr:col>122</xdr:col>
      <xdr:colOff>606830</xdr:colOff>
      <xdr:row>116</xdr:row>
      <xdr:rowOff>66703</xdr:rowOff>
    </xdr:to>
    <xdr:graphicFrame macro="">
      <xdr:nvGraphicFramePr>
        <xdr:cNvPr id="51" name="차트 50">
          <a:extLst>
            <a:ext uri="{FF2B5EF4-FFF2-40B4-BE49-F238E27FC236}">
              <a16:creationId xmlns:a16="http://schemas.microsoft.com/office/drawing/2014/main" id="{058FB09B-F443-4956-A5B2-74ED98CE1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122</xdr:col>
      <xdr:colOff>667855</xdr:colOff>
      <xdr:row>102</xdr:row>
      <xdr:rowOff>147280</xdr:rowOff>
    </xdr:from>
    <xdr:to>
      <xdr:col>129</xdr:col>
      <xdr:colOff>398324</xdr:colOff>
      <xdr:row>116</xdr:row>
      <xdr:rowOff>140343</xdr:rowOff>
    </xdr:to>
    <xdr:graphicFrame macro="">
      <xdr:nvGraphicFramePr>
        <xdr:cNvPr id="52" name="차트 51">
          <a:extLst>
            <a:ext uri="{FF2B5EF4-FFF2-40B4-BE49-F238E27FC236}">
              <a16:creationId xmlns:a16="http://schemas.microsoft.com/office/drawing/2014/main" id="{51B26ECF-B168-468B-841A-E11360697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118</xdr:col>
      <xdr:colOff>0</xdr:colOff>
      <xdr:row>125</xdr:row>
      <xdr:rowOff>0</xdr:rowOff>
    </xdr:from>
    <xdr:to>
      <xdr:col>123</xdr:col>
      <xdr:colOff>373406</xdr:colOff>
      <xdr:row>138</xdr:row>
      <xdr:rowOff>147844</xdr:rowOff>
    </xdr:to>
    <xdr:graphicFrame macro="">
      <xdr:nvGraphicFramePr>
        <xdr:cNvPr id="53" name="차트 52">
          <a:extLst>
            <a:ext uri="{FF2B5EF4-FFF2-40B4-BE49-F238E27FC236}">
              <a16:creationId xmlns:a16="http://schemas.microsoft.com/office/drawing/2014/main" id="{720A1366-E8FB-4434-B1E9-512C76E61C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124</xdr:col>
      <xdr:colOff>0</xdr:colOff>
      <xdr:row>125</xdr:row>
      <xdr:rowOff>0</xdr:rowOff>
    </xdr:from>
    <xdr:to>
      <xdr:col>130</xdr:col>
      <xdr:colOff>385313</xdr:colOff>
      <xdr:row>138</xdr:row>
      <xdr:rowOff>147844</xdr:rowOff>
    </xdr:to>
    <xdr:graphicFrame macro="">
      <xdr:nvGraphicFramePr>
        <xdr:cNvPr id="54" name="차트 53">
          <a:extLst>
            <a:ext uri="{FF2B5EF4-FFF2-40B4-BE49-F238E27FC236}">
              <a16:creationId xmlns:a16="http://schemas.microsoft.com/office/drawing/2014/main" id="{9AFD2543-42A6-4B57-BFA6-881CD6DB4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106</xdr:col>
      <xdr:colOff>214312</xdr:colOff>
      <xdr:row>139</xdr:row>
      <xdr:rowOff>0</xdr:rowOff>
    </xdr:from>
    <xdr:to>
      <xdr:col>117</xdr:col>
      <xdr:colOff>147187</xdr:colOff>
      <xdr:row>152</xdr:row>
      <xdr:rowOff>147844</xdr:rowOff>
    </xdr:to>
    <xdr:graphicFrame macro="">
      <xdr:nvGraphicFramePr>
        <xdr:cNvPr id="55" name="차트 54">
          <a:extLst>
            <a:ext uri="{FF2B5EF4-FFF2-40B4-BE49-F238E27FC236}">
              <a16:creationId xmlns:a16="http://schemas.microsoft.com/office/drawing/2014/main" id="{E6C55941-8A91-443E-B78C-1EE9A86000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118</xdr:col>
      <xdr:colOff>22114</xdr:colOff>
      <xdr:row>139</xdr:row>
      <xdr:rowOff>11309</xdr:rowOff>
    </xdr:from>
    <xdr:to>
      <xdr:col>123</xdr:col>
      <xdr:colOff>395520</xdr:colOff>
      <xdr:row>153</xdr:row>
      <xdr:rowOff>0</xdr:rowOff>
    </xdr:to>
    <xdr:graphicFrame macro="">
      <xdr:nvGraphicFramePr>
        <xdr:cNvPr id="56" name="차트 55">
          <a:extLst>
            <a:ext uri="{FF2B5EF4-FFF2-40B4-BE49-F238E27FC236}">
              <a16:creationId xmlns:a16="http://schemas.microsoft.com/office/drawing/2014/main" id="{632510F4-B817-486D-A387-B0BBE7E76A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124</xdr:col>
      <xdr:colOff>22114</xdr:colOff>
      <xdr:row>139</xdr:row>
      <xdr:rowOff>11309</xdr:rowOff>
    </xdr:from>
    <xdr:to>
      <xdr:col>130</xdr:col>
      <xdr:colOff>407427</xdr:colOff>
      <xdr:row>153</xdr:row>
      <xdr:rowOff>0</xdr:rowOff>
    </xdr:to>
    <xdr:graphicFrame macro="">
      <xdr:nvGraphicFramePr>
        <xdr:cNvPr id="57" name="차트 56">
          <a:extLst>
            <a:ext uri="{FF2B5EF4-FFF2-40B4-BE49-F238E27FC236}">
              <a16:creationId xmlns:a16="http://schemas.microsoft.com/office/drawing/2014/main" id="{E34222D6-7B63-446F-B16E-08D547AC2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69</xdr:col>
      <xdr:colOff>314567</xdr:colOff>
      <xdr:row>47</xdr:row>
      <xdr:rowOff>80039</xdr:rowOff>
    </xdr:from>
    <xdr:to>
      <xdr:col>74</xdr:col>
      <xdr:colOff>9273</xdr:colOff>
      <xdr:row>56</xdr:row>
      <xdr:rowOff>108098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79</xdr:col>
      <xdr:colOff>282548</xdr:colOff>
      <xdr:row>47</xdr:row>
      <xdr:rowOff>84043</xdr:rowOff>
    </xdr:from>
    <xdr:to>
      <xdr:col>83</xdr:col>
      <xdr:colOff>470312</xdr:colOff>
      <xdr:row>56</xdr:row>
      <xdr:rowOff>112102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314728</xdr:colOff>
      <xdr:row>57</xdr:row>
      <xdr:rowOff>103493</xdr:rowOff>
    </xdr:from>
    <xdr:to>
      <xdr:col>74</xdr:col>
      <xdr:colOff>9434</xdr:colOff>
      <xdr:row>66</xdr:row>
      <xdr:rowOff>131552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117</xdr:col>
      <xdr:colOff>267741</xdr:colOff>
      <xdr:row>58</xdr:row>
      <xdr:rowOff>86445</xdr:rowOff>
    </xdr:from>
    <xdr:to>
      <xdr:col>121</xdr:col>
      <xdr:colOff>638375</xdr:colOff>
      <xdr:row>70</xdr:row>
      <xdr:rowOff>128584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117</xdr:col>
      <xdr:colOff>111259</xdr:colOff>
      <xdr:row>73</xdr:row>
      <xdr:rowOff>131349</xdr:rowOff>
    </xdr:from>
    <xdr:to>
      <xdr:col>122</xdr:col>
      <xdr:colOff>235323</xdr:colOff>
      <xdr:row>86</xdr:row>
      <xdr:rowOff>131349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164</xdr:col>
      <xdr:colOff>310564</xdr:colOff>
      <xdr:row>66</xdr:row>
      <xdr:rowOff>113659</xdr:rowOff>
    </xdr:from>
    <xdr:to>
      <xdr:col>171</xdr:col>
      <xdr:colOff>160887</xdr:colOff>
      <xdr:row>84</xdr:row>
      <xdr:rowOff>32018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74</xdr:col>
      <xdr:colOff>243490</xdr:colOff>
      <xdr:row>47</xdr:row>
      <xdr:rowOff>91245</xdr:rowOff>
    </xdr:from>
    <xdr:to>
      <xdr:col>78</xdr:col>
      <xdr:colOff>431254</xdr:colOff>
      <xdr:row>56</xdr:row>
      <xdr:rowOff>119304</xdr:rowOff>
    </xdr:to>
    <xdr:graphicFrame macro="">
      <xdr:nvGraphicFramePr>
        <xdr:cNvPr id="39" name="차트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63</xdr:col>
      <xdr:colOff>431015</xdr:colOff>
      <xdr:row>155</xdr:row>
      <xdr:rowOff>27214</xdr:rowOff>
    </xdr:from>
    <xdr:to>
      <xdr:col>72</xdr:col>
      <xdr:colOff>361895</xdr:colOff>
      <xdr:row>185</xdr:row>
      <xdr:rowOff>72839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6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3873721" y="22696714"/>
          <a:ext cx="4368408" cy="4752095"/>
        </a:xfrm>
        <a:prstGeom prst="rect">
          <a:avLst/>
        </a:prstGeom>
        <a:noFill/>
      </xdr:spPr>
    </xdr:pic>
    <xdr:clientData/>
  </xdr:twoCellAnchor>
  <xdr:twoCellAnchor>
    <xdr:from>
      <xdr:col>148</xdr:col>
      <xdr:colOff>285750</xdr:colOff>
      <xdr:row>158</xdr:row>
      <xdr:rowOff>81642</xdr:rowOff>
    </xdr:from>
    <xdr:to>
      <xdr:col>156</xdr:col>
      <xdr:colOff>523608</xdr:colOff>
      <xdr:row>199</xdr:row>
      <xdr:rowOff>104142</xdr:rowOff>
    </xdr:to>
    <xdr:graphicFrame macro="">
      <xdr:nvGraphicFramePr>
        <xdr:cNvPr id="43" name="차트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131</xdr:col>
      <xdr:colOff>291352</xdr:colOff>
      <xdr:row>60</xdr:row>
      <xdr:rowOff>21608</xdr:rowOff>
    </xdr:from>
    <xdr:to>
      <xdr:col>139</xdr:col>
      <xdr:colOff>190501</xdr:colOff>
      <xdr:row>77</xdr:row>
      <xdr:rowOff>132958</xdr:rowOff>
    </xdr:to>
    <xdr:graphicFrame macro="">
      <xdr:nvGraphicFramePr>
        <xdr:cNvPr id="40" name="차트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122</xdr:col>
      <xdr:colOff>81642</xdr:colOff>
      <xdr:row>255</xdr:row>
      <xdr:rowOff>149680</xdr:rowOff>
    </xdr:from>
    <xdr:to>
      <xdr:col>131</xdr:col>
      <xdr:colOff>224516</xdr:colOff>
      <xdr:row>273</xdr:row>
      <xdr:rowOff>104145</xdr:rowOff>
    </xdr:to>
    <xdr:graphicFrame macro="">
      <xdr:nvGraphicFramePr>
        <xdr:cNvPr id="44" name="차트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135</xdr:col>
      <xdr:colOff>653143</xdr:colOff>
      <xdr:row>57</xdr:row>
      <xdr:rowOff>81642</xdr:rowOff>
    </xdr:from>
    <xdr:to>
      <xdr:col>144</xdr:col>
      <xdr:colOff>115660</xdr:colOff>
      <xdr:row>75</xdr:row>
      <xdr:rowOff>36108</xdr:rowOff>
    </xdr:to>
    <xdr:graphicFrame macro="">
      <xdr:nvGraphicFramePr>
        <xdr:cNvPr id="45" name="차트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74</xdr:col>
      <xdr:colOff>402613</xdr:colOff>
      <xdr:row>57</xdr:row>
      <xdr:rowOff>124064</xdr:rowOff>
    </xdr:from>
    <xdr:to>
      <xdr:col>79</xdr:col>
      <xdr:colOff>97319</xdr:colOff>
      <xdr:row>66</xdr:row>
      <xdr:rowOff>152123</xdr:rowOff>
    </xdr:to>
    <xdr:graphicFrame macro="">
      <xdr:nvGraphicFramePr>
        <xdr:cNvPr id="29" name="차트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92</xdr:col>
      <xdr:colOff>22707</xdr:colOff>
      <xdr:row>55</xdr:row>
      <xdr:rowOff>121066</xdr:rowOff>
    </xdr:from>
    <xdr:to>
      <xdr:col>102</xdr:col>
      <xdr:colOff>288957</xdr:colOff>
      <xdr:row>69</xdr:row>
      <xdr:rowOff>114128</xdr:rowOff>
    </xdr:to>
    <xdr:graphicFrame macro="">
      <xdr:nvGraphicFramePr>
        <xdr:cNvPr id="47" name="차트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102</xdr:col>
      <xdr:colOff>232319</xdr:colOff>
      <xdr:row>55</xdr:row>
      <xdr:rowOff>81141</xdr:rowOff>
    </xdr:from>
    <xdr:to>
      <xdr:col>108</xdr:col>
      <xdr:colOff>629537</xdr:colOff>
      <xdr:row>69</xdr:row>
      <xdr:rowOff>74203</xdr:rowOff>
    </xdr:to>
    <xdr:graphicFrame macro="">
      <xdr:nvGraphicFramePr>
        <xdr:cNvPr id="49" name="차트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192198</xdr:colOff>
      <xdr:row>124</xdr:row>
      <xdr:rowOff>143473</xdr:rowOff>
    </xdr:from>
    <xdr:to>
      <xdr:col>103</xdr:col>
      <xdr:colOff>125073</xdr:colOff>
      <xdr:row>138</xdr:row>
      <xdr:rowOff>136535</xdr:rowOff>
    </xdr:to>
    <xdr:graphicFrame macro="">
      <xdr:nvGraphicFramePr>
        <xdr:cNvPr id="55" name="차트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81</xdr:col>
      <xdr:colOff>257734</xdr:colOff>
      <xdr:row>75</xdr:row>
      <xdr:rowOff>78441</xdr:rowOff>
    </xdr:from>
    <xdr:to>
      <xdr:col>85</xdr:col>
      <xdr:colOff>445498</xdr:colOff>
      <xdr:row>84</xdr:row>
      <xdr:rowOff>106500</xdr:rowOff>
    </xdr:to>
    <xdr:graphicFrame macro="">
      <xdr:nvGraphicFramePr>
        <xdr:cNvPr id="59" name="차트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288851</xdr:colOff>
      <xdr:row>0</xdr:row>
      <xdr:rowOff>0</xdr:rowOff>
    </xdr:from>
    <xdr:to>
      <xdr:col>34</xdr:col>
      <xdr:colOff>134363</xdr:colOff>
      <xdr:row>13</xdr:row>
      <xdr:rowOff>109697</xdr:rowOff>
    </xdr:to>
    <xdr:graphicFrame macro="">
      <xdr:nvGraphicFramePr>
        <xdr:cNvPr id="65" name="차트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25</xdr:col>
      <xdr:colOff>286083</xdr:colOff>
      <xdr:row>27</xdr:row>
      <xdr:rowOff>60431</xdr:rowOff>
    </xdr:from>
    <xdr:to>
      <xdr:col>36</xdr:col>
      <xdr:colOff>206952</xdr:colOff>
      <xdr:row>41</xdr:row>
      <xdr:rowOff>16874</xdr:rowOff>
    </xdr:to>
    <xdr:graphicFrame macro="">
      <xdr:nvGraphicFramePr>
        <xdr:cNvPr id="66" name="차트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25</xdr:col>
      <xdr:colOff>94549</xdr:colOff>
      <xdr:row>114</xdr:row>
      <xdr:rowOff>65831</xdr:rowOff>
    </xdr:from>
    <xdr:to>
      <xdr:col>34</xdr:col>
      <xdr:colOff>198205</xdr:colOff>
      <xdr:row>128</xdr:row>
      <xdr:rowOff>22275</xdr:rowOff>
    </xdr:to>
    <xdr:graphicFrame macro="">
      <xdr:nvGraphicFramePr>
        <xdr:cNvPr id="67" name="차트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156881</xdr:colOff>
      <xdr:row>453</xdr:row>
      <xdr:rowOff>33616</xdr:rowOff>
    </xdr:from>
    <xdr:to>
      <xdr:col>9</xdr:col>
      <xdr:colOff>327882</xdr:colOff>
      <xdr:row>466</xdr:row>
      <xdr:rowOff>154147</xdr:rowOff>
    </xdr:to>
    <xdr:graphicFrame macro="">
      <xdr:nvGraphicFramePr>
        <xdr:cNvPr id="69" name="차트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235328</xdr:colOff>
      <xdr:row>254</xdr:row>
      <xdr:rowOff>67236</xdr:rowOff>
    </xdr:from>
    <xdr:to>
      <xdr:col>22</xdr:col>
      <xdr:colOff>25328</xdr:colOff>
      <xdr:row>268</xdr:row>
      <xdr:rowOff>30882</xdr:rowOff>
    </xdr:to>
    <xdr:graphicFrame macro="">
      <xdr:nvGraphicFramePr>
        <xdr:cNvPr id="70" name="차트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104</xdr:col>
      <xdr:colOff>591811</xdr:colOff>
      <xdr:row>255</xdr:row>
      <xdr:rowOff>123964</xdr:rowOff>
    </xdr:from>
    <xdr:to>
      <xdr:col>110</xdr:col>
      <xdr:colOff>488967</xdr:colOff>
      <xdr:row>269</xdr:row>
      <xdr:rowOff>87610</xdr:rowOff>
    </xdr:to>
    <xdr:graphicFrame macro="">
      <xdr:nvGraphicFramePr>
        <xdr:cNvPr id="72" name="차트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44</xdr:col>
      <xdr:colOff>168087</xdr:colOff>
      <xdr:row>164</xdr:row>
      <xdr:rowOff>78441</xdr:rowOff>
    </xdr:from>
    <xdr:to>
      <xdr:col>52</xdr:col>
      <xdr:colOff>342289</xdr:colOff>
      <xdr:row>178</xdr:row>
      <xdr:rowOff>42088</xdr:rowOff>
    </xdr:to>
    <xdr:graphicFrame macro="">
      <xdr:nvGraphicFramePr>
        <xdr:cNvPr id="73" name="차트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105</xdr:col>
      <xdr:colOff>209406</xdr:colOff>
      <xdr:row>174</xdr:row>
      <xdr:rowOff>129567</xdr:rowOff>
    </xdr:from>
    <xdr:to>
      <xdr:col>111</xdr:col>
      <xdr:colOff>214821</xdr:colOff>
      <xdr:row>188</xdr:row>
      <xdr:rowOff>95314</xdr:rowOff>
    </xdr:to>
    <xdr:graphicFrame macro="">
      <xdr:nvGraphicFramePr>
        <xdr:cNvPr id="75" name="차트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123265</xdr:colOff>
      <xdr:row>453</xdr:row>
      <xdr:rowOff>11206</xdr:rowOff>
    </xdr:from>
    <xdr:to>
      <xdr:col>19</xdr:col>
      <xdr:colOff>294266</xdr:colOff>
      <xdr:row>466</xdr:row>
      <xdr:rowOff>131737</xdr:rowOff>
    </xdr:to>
    <xdr:graphicFrame macro="">
      <xdr:nvGraphicFramePr>
        <xdr:cNvPr id="76" name="차트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111</xdr:col>
      <xdr:colOff>23813</xdr:colOff>
      <xdr:row>176</xdr:row>
      <xdr:rowOff>107157</xdr:rowOff>
    </xdr:from>
    <xdr:to>
      <xdr:col>117</xdr:col>
      <xdr:colOff>414730</xdr:colOff>
      <xdr:row>190</xdr:row>
      <xdr:rowOff>72904</xdr:rowOff>
    </xdr:to>
    <xdr:graphicFrame macro="">
      <xdr:nvGraphicFramePr>
        <xdr:cNvPr id="78" name="차트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117</xdr:col>
      <xdr:colOff>0</xdr:colOff>
      <xdr:row>171</xdr:row>
      <xdr:rowOff>0</xdr:rowOff>
    </xdr:from>
    <xdr:to>
      <xdr:col>122</xdr:col>
      <xdr:colOff>327883</xdr:colOff>
      <xdr:row>184</xdr:row>
      <xdr:rowOff>120530</xdr:rowOff>
    </xdr:to>
    <xdr:graphicFrame macro="">
      <xdr:nvGraphicFramePr>
        <xdr:cNvPr id="79" name="차트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83</xdr:col>
      <xdr:colOff>326372</xdr:colOff>
      <xdr:row>175</xdr:row>
      <xdr:rowOff>135172</xdr:rowOff>
    </xdr:from>
    <xdr:to>
      <xdr:col>90</xdr:col>
      <xdr:colOff>421032</xdr:colOff>
      <xdr:row>189</xdr:row>
      <xdr:rowOff>98818</xdr:rowOff>
    </xdr:to>
    <xdr:graphicFrame macro="">
      <xdr:nvGraphicFramePr>
        <xdr:cNvPr id="80" name="차트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79</xdr:col>
      <xdr:colOff>392207</xdr:colOff>
      <xdr:row>57</xdr:row>
      <xdr:rowOff>89647</xdr:rowOff>
    </xdr:from>
    <xdr:to>
      <xdr:col>84</xdr:col>
      <xdr:colOff>86913</xdr:colOff>
      <xdr:row>66</xdr:row>
      <xdr:rowOff>117706</xdr:rowOff>
    </xdr:to>
    <xdr:graphicFrame macro="">
      <xdr:nvGraphicFramePr>
        <xdr:cNvPr id="68" name="차트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44</xdr:col>
      <xdr:colOff>22411</xdr:colOff>
      <xdr:row>178</xdr:row>
      <xdr:rowOff>22411</xdr:rowOff>
    </xdr:from>
    <xdr:to>
      <xdr:col>52</xdr:col>
      <xdr:colOff>215824</xdr:colOff>
      <xdr:row>191</xdr:row>
      <xdr:rowOff>142940</xdr:rowOff>
    </xdr:to>
    <xdr:graphicFrame macro="">
      <xdr:nvGraphicFramePr>
        <xdr:cNvPr id="71" name="차트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77</xdr:col>
      <xdr:colOff>0</xdr:colOff>
      <xdr:row>198</xdr:row>
      <xdr:rowOff>0</xdr:rowOff>
    </xdr:from>
    <xdr:to>
      <xdr:col>81</xdr:col>
      <xdr:colOff>187764</xdr:colOff>
      <xdr:row>207</xdr:row>
      <xdr:rowOff>28058</xdr:rowOff>
    </xdr:to>
    <xdr:graphicFrame macro="">
      <xdr:nvGraphicFramePr>
        <xdr:cNvPr id="81" name="차트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103</xdr:col>
      <xdr:colOff>145676</xdr:colOff>
      <xdr:row>36</xdr:row>
      <xdr:rowOff>100854</xdr:rowOff>
    </xdr:from>
    <xdr:to>
      <xdr:col>109</xdr:col>
      <xdr:colOff>799</xdr:colOff>
      <xdr:row>49</xdr:row>
      <xdr:rowOff>100854</xdr:rowOff>
    </xdr:to>
    <xdr:graphicFrame macro="">
      <xdr:nvGraphicFramePr>
        <xdr:cNvPr id="82" name="차트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110</xdr:col>
      <xdr:colOff>0</xdr:colOff>
      <xdr:row>36</xdr:row>
      <xdr:rowOff>0</xdr:rowOff>
    </xdr:from>
    <xdr:to>
      <xdr:col>116</xdr:col>
      <xdr:colOff>168888</xdr:colOff>
      <xdr:row>49</xdr:row>
      <xdr:rowOff>0</xdr:rowOff>
    </xdr:to>
    <xdr:graphicFrame macro="">
      <xdr:nvGraphicFramePr>
        <xdr:cNvPr id="83" name="차트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43</xdr:col>
      <xdr:colOff>44824</xdr:colOff>
      <xdr:row>115</xdr:row>
      <xdr:rowOff>145676</xdr:rowOff>
    </xdr:from>
    <xdr:to>
      <xdr:col>50</xdr:col>
      <xdr:colOff>201707</xdr:colOff>
      <xdr:row>129</xdr:row>
      <xdr:rowOff>102121</xdr:rowOff>
    </xdr:to>
    <xdr:graphicFrame macro="">
      <xdr:nvGraphicFramePr>
        <xdr:cNvPr id="84" name="차트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77</xdr:col>
      <xdr:colOff>392207</xdr:colOff>
      <xdr:row>164</xdr:row>
      <xdr:rowOff>0</xdr:rowOff>
    </xdr:from>
    <xdr:to>
      <xdr:col>85</xdr:col>
      <xdr:colOff>47737</xdr:colOff>
      <xdr:row>177</xdr:row>
      <xdr:rowOff>120530</xdr:rowOff>
    </xdr:to>
    <xdr:graphicFrame macro="">
      <xdr:nvGraphicFramePr>
        <xdr:cNvPr id="86" name="차트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0</xdr:colOff>
      <xdr:row>178</xdr:row>
      <xdr:rowOff>123262</xdr:rowOff>
    </xdr:from>
    <xdr:to>
      <xdr:col>14</xdr:col>
      <xdr:colOff>319879</xdr:colOff>
      <xdr:row>192</xdr:row>
      <xdr:rowOff>86908</xdr:rowOff>
    </xdr:to>
    <xdr:graphicFrame macro="">
      <xdr:nvGraphicFramePr>
        <xdr:cNvPr id="87" name="차트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15</xdr:col>
      <xdr:colOff>145679</xdr:colOff>
      <xdr:row>178</xdr:row>
      <xdr:rowOff>100851</xdr:rowOff>
    </xdr:from>
    <xdr:to>
      <xdr:col>25</xdr:col>
      <xdr:colOff>2916</xdr:colOff>
      <xdr:row>192</xdr:row>
      <xdr:rowOff>64498</xdr:rowOff>
    </xdr:to>
    <xdr:graphicFrame macro="">
      <xdr:nvGraphicFramePr>
        <xdr:cNvPr id="88" name="차트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</xdr:col>
      <xdr:colOff>22411</xdr:colOff>
      <xdr:row>253</xdr:row>
      <xdr:rowOff>100853</xdr:rowOff>
    </xdr:from>
    <xdr:to>
      <xdr:col>12</xdr:col>
      <xdr:colOff>174202</xdr:colOff>
      <xdr:row>267</xdr:row>
      <xdr:rowOff>64499</xdr:rowOff>
    </xdr:to>
    <xdr:graphicFrame macro="">
      <xdr:nvGraphicFramePr>
        <xdr:cNvPr id="89" name="차트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75</xdr:col>
      <xdr:colOff>0</xdr:colOff>
      <xdr:row>68</xdr:row>
      <xdr:rowOff>0</xdr:rowOff>
    </xdr:from>
    <xdr:to>
      <xdr:col>79</xdr:col>
      <xdr:colOff>194768</xdr:colOff>
      <xdr:row>77</xdr:row>
      <xdr:rowOff>28058</xdr:rowOff>
    </xdr:to>
    <xdr:graphicFrame macro="">
      <xdr:nvGraphicFramePr>
        <xdr:cNvPr id="74" name="차트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23</xdr:col>
      <xdr:colOff>0</xdr:colOff>
      <xdr:row>75</xdr:row>
      <xdr:rowOff>71437</xdr:rowOff>
    </xdr:from>
    <xdr:to>
      <xdr:col>35</xdr:col>
      <xdr:colOff>226830</xdr:colOff>
      <xdr:row>89</xdr:row>
      <xdr:rowOff>35083</xdr:rowOff>
    </xdr:to>
    <xdr:graphicFrame macro="">
      <xdr:nvGraphicFramePr>
        <xdr:cNvPr id="77" name="차트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109</xdr:col>
      <xdr:colOff>0</xdr:colOff>
      <xdr:row>56</xdr:row>
      <xdr:rowOff>0</xdr:rowOff>
    </xdr:from>
    <xdr:to>
      <xdr:col>115</xdr:col>
      <xdr:colOff>421031</xdr:colOff>
      <xdr:row>69</xdr:row>
      <xdr:rowOff>147843</xdr:rowOff>
    </xdr:to>
    <xdr:graphicFrame macro="">
      <xdr:nvGraphicFramePr>
        <xdr:cNvPr id="90" name="차트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92</xdr:col>
      <xdr:colOff>0</xdr:colOff>
      <xdr:row>70</xdr:row>
      <xdr:rowOff>39925</xdr:rowOff>
    </xdr:from>
    <xdr:to>
      <xdr:col>102</xdr:col>
      <xdr:colOff>266250</xdr:colOff>
      <xdr:row>84</xdr:row>
      <xdr:rowOff>32988</xdr:rowOff>
    </xdr:to>
    <xdr:graphicFrame macro="">
      <xdr:nvGraphicFramePr>
        <xdr:cNvPr id="91" name="차트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102</xdr:col>
      <xdr:colOff>209612</xdr:colOff>
      <xdr:row>70</xdr:row>
      <xdr:rowOff>0</xdr:rowOff>
    </xdr:from>
    <xdr:to>
      <xdr:col>108</xdr:col>
      <xdr:colOff>606830</xdr:colOff>
      <xdr:row>83</xdr:row>
      <xdr:rowOff>147844</xdr:rowOff>
    </xdr:to>
    <xdr:graphicFrame macro="">
      <xdr:nvGraphicFramePr>
        <xdr:cNvPr id="92" name="차트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108</xdr:col>
      <xdr:colOff>667855</xdr:colOff>
      <xdr:row>70</xdr:row>
      <xdr:rowOff>73640</xdr:rowOff>
    </xdr:from>
    <xdr:to>
      <xdr:col>115</xdr:col>
      <xdr:colOff>398324</xdr:colOff>
      <xdr:row>84</xdr:row>
      <xdr:rowOff>66703</xdr:rowOff>
    </xdr:to>
    <xdr:graphicFrame macro="">
      <xdr:nvGraphicFramePr>
        <xdr:cNvPr id="93" name="차트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92</xdr:col>
      <xdr:colOff>22707</xdr:colOff>
      <xdr:row>88</xdr:row>
      <xdr:rowOff>39925</xdr:rowOff>
    </xdr:from>
    <xdr:to>
      <xdr:col>102</xdr:col>
      <xdr:colOff>288957</xdr:colOff>
      <xdr:row>102</xdr:row>
      <xdr:rowOff>32987</xdr:rowOff>
    </xdr:to>
    <xdr:graphicFrame macro="">
      <xdr:nvGraphicFramePr>
        <xdr:cNvPr id="94" name="차트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102</xdr:col>
      <xdr:colOff>232319</xdr:colOff>
      <xdr:row>88</xdr:row>
      <xdr:rowOff>0</xdr:rowOff>
    </xdr:from>
    <xdr:to>
      <xdr:col>108</xdr:col>
      <xdr:colOff>629537</xdr:colOff>
      <xdr:row>101</xdr:row>
      <xdr:rowOff>147843</xdr:rowOff>
    </xdr:to>
    <xdr:graphicFrame macro="">
      <xdr:nvGraphicFramePr>
        <xdr:cNvPr id="95" name="차트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109</xdr:col>
      <xdr:colOff>0</xdr:colOff>
      <xdr:row>88</xdr:row>
      <xdr:rowOff>73640</xdr:rowOff>
    </xdr:from>
    <xdr:to>
      <xdr:col>115</xdr:col>
      <xdr:colOff>421031</xdr:colOff>
      <xdr:row>102</xdr:row>
      <xdr:rowOff>66702</xdr:rowOff>
    </xdr:to>
    <xdr:graphicFrame macro="">
      <xdr:nvGraphicFramePr>
        <xdr:cNvPr id="96" name="차트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92</xdr:col>
      <xdr:colOff>0</xdr:colOff>
      <xdr:row>102</xdr:row>
      <xdr:rowOff>113565</xdr:rowOff>
    </xdr:from>
    <xdr:to>
      <xdr:col>102</xdr:col>
      <xdr:colOff>266250</xdr:colOff>
      <xdr:row>116</xdr:row>
      <xdr:rowOff>106628</xdr:rowOff>
    </xdr:to>
    <xdr:graphicFrame macro="">
      <xdr:nvGraphicFramePr>
        <xdr:cNvPr id="97" name="차트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102</xdr:col>
      <xdr:colOff>209612</xdr:colOff>
      <xdr:row>102</xdr:row>
      <xdr:rowOff>73640</xdr:rowOff>
    </xdr:from>
    <xdr:to>
      <xdr:col>108</xdr:col>
      <xdr:colOff>606830</xdr:colOff>
      <xdr:row>116</xdr:row>
      <xdr:rowOff>66703</xdr:rowOff>
    </xdr:to>
    <xdr:graphicFrame macro="">
      <xdr:nvGraphicFramePr>
        <xdr:cNvPr id="98" name="차트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108</xdr:col>
      <xdr:colOff>667855</xdr:colOff>
      <xdr:row>102</xdr:row>
      <xdr:rowOff>147280</xdr:rowOff>
    </xdr:from>
    <xdr:to>
      <xdr:col>115</xdr:col>
      <xdr:colOff>398324</xdr:colOff>
      <xdr:row>116</xdr:row>
      <xdr:rowOff>140343</xdr:rowOff>
    </xdr:to>
    <xdr:graphicFrame macro="">
      <xdr:nvGraphicFramePr>
        <xdr:cNvPr id="99" name="차트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104</xdr:col>
      <xdr:colOff>0</xdr:colOff>
      <xdr:row>125</xdr:row>
      <xdr:rowOff>0</xdr:rowOff>
    </xdr:from>
    <xdr:to>
      <xdr:col>109</xdr:col>
      <xdr:colOff>373406</xdr:colOff>
      <xdr:row>138</xdr:row>
      <xdr:rowOff>147844</xdr:rowOff>
    </xdr:to>
    <xdr:graphicFrame macro="">
      <xdr:nvGraphicFramePr>
        <xdr:cNvPr id="100" name="차트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110</xdr:col>
      <xdr:colOff>0</xdr:colOff>
      <xdr:row>125</xdr:row>
      <xdr:rowOff>0</xdr:rowOff>
    </xdr:from>
    <xdr:to>
      <xdr:col>116</xdr:col>
      <xdr:colOff>385313</xdr:colOff>
      <xdr:row>138</xdr:row>
      <xdr:rowOff>147844</xdr:rowOff>
    </xdr:to>
    <xdr:graphicFrame macro="">
      <xdr:nvGraphicFramePr>
        <xdr:cNvPr id="101" name="차트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92</xdr:col>
      <xdr:colOff>214312</xdr:colOff>
      <xdr:row>139</xdr:row>
      <xdr:rowOff>0</xdr:rowOff>
    </xdr:from>
    <xdr:to>
      <xdr:col>103</xdr:col>
      <xdr:colOff>147187</xdr:colOff>
      <xdr:row>152</xdr:row>
      <xdr:rowOff>147844</xdr:rowOff>
    </xdr:to>
    <xdr:graphicFrame macro="">
      <xdr:nvGraphicFramePr>
        <xdr:cNvPr id="102" name="차트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104</xdr:col>
      <xdr:colOff>22114</xdr:colOff>
      <xdr:row>139</xdr:row>
      <xdr:rowOff>11309</xdr:rowOff>
    </xdr:from>
    <xdr:to>
      <xdr:col>109</xdr:col>
      <xdr:colOff>395520</xdr:colOff>
      <xdr:row>153</xdr:row>
      <xdr:rowOff>4371</xdr:rowOff>
    </xdr:to>
    <xdr:graphicFrame macro="">
      <xdr:nvGraphicFramePr>
        <xdr:cNvPr id="103" name="차트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110</xdr:col>
      <xdr:colOff>22114</xdr:colOff>
      <xdr:row>139</xdr:row>
      <xdr:rowOff>11309</xdr:rowOff>
    </xdr:from>
    <xdr:to>
      <xdr:col>116</xdr:col>
      <xdr:colOff>407427</xdr:colOff>
      <xdr:row>153</xdr:row>
      <xdr:rowOff>4371</xdr:rowOff>
    </xdr:to>
    <xdr:graphicFrame macro="">
      <xdr:nvGraphicFramePr>
        <xdr:cNvPr id="104" name="차트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75</xdr:col>
      <xdr:colOff>314567</xdr:colOff>
      <xdr:row>46</xdr:row>
      <xdr:rowOff>80039</xdr:rowOff>
    </xdr:from>
    <xdr:to>
      <xdr:col>80</xdr:col>
      <xdr:colOff>9273</xdr:colOff>
      <xdr:row>55</xdr:row>
      <xdr:rowOff>108098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1BC95F5-EFDE-4F62-80C7-961C1B81DD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85</xdr:col>
      <xdr:colOff>282548</xdr:colOff>
      <xdr:row>46</xdr:row>
      <xdr:rowOff>84043</xdr:rowOff>
    </xdr:from>
    <xdr:to>
      <xdr:col>89</xdr:col>
      <xdr:colOff>470312</xdr:colOff>
      <xdr:row>55</xdr:row>
      <xdr:rowOff>112102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3F16454-8E77-4E83-8C2C-AF5D8DC0BB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75</xdr:col>
      <xdr:colOff>314728</xdr:colOff>
      <xdr:row>56</xdr:row>
      <xdr:rowOff>103493</xdr:rowOff>
    </xdr:from>
    <xdr:to>
      <xdr:col>80</xdr:col>
      <xdr:colOff>9434</xdr:colOff>
      <xdr:row>65</xdr:row>
      <xdr:rowOff>131552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19A241B7-D480-4890-AE1B-F48C48354C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123</xdr:col>
      <xdr:colOff>267741</xdr:colOff>
      <xdr:row>57</xdr:row>
      <xdr:rowOff>86445</xdr:rowOff>
    </xdr:from>
    <xdr:to>
      <xdr:col>127</xdr:col>
      <xdr:colOff>638375</xdr:colOff>
      <xdr:row>69</xdr:row>
      <xdr:rowOff>128584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BFEEEAC-A8BC-46A3-84CA-3D1021D39A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123</xdr:col>
      <xdr:colOff>111259</xdr:colOff>
      <xdr:row>72</xdr:row>
      <xdr:rowOff>131349</xdr:rowOff>
    </xdr:from>
    <xdr:to>
      <xdr:col>128</xdr:col>
      <xdr:colOff>235323</xdr:colOff>
      <xdr:row>85</xdr:row>
      <xdr:rowOff>131349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3064767-4C8C-41A2-B3C0-E5A09D375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170</xdr:col>
      <xdr:colOff>310564</xdr:colOff>
      <xdr:row>65</xdr:row>
      <xdr:rowOff>113659</xdr:rowOff>
    </xdr:from>
    <xdr:to>
      <xdr:col>177</xdr:col>
      <xdr:colOff>160887</xdr:colOff>
      <xdr:row>83</xdr:row>
      <xdr:rowOff>32018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01428CD-702E-4B82-9F8E-192152F7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80</xdr:col>
      <xdr:colOff>243490</xdr:colOff>
      <xdr:row>46</xdr:row>
      <xdr:rowOff>91245</xdr:rowOff>
    </xdr:from>
    <xdr:to>
      <xdr:col>84</xdr:col>
      <xdr:colOff>431254</xdr:colOff>
      <xdr:row>55</xdr:row>
      <xdr:rowOff>119304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1EAEB9DF-9285-4BAD-8A91-440AE5F599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69</xdr:col>
      <xdr:colOff>431015</xdr:colOff>
      <xdr:row>152</xdr:row>
      <xdr:rowOff>27214</xdr:rowOff>
    </xdr:from>
    <xdr:to>
      <xdr:col>78</xdr:col>
      <xdr:colOff>361895</xdr:colOff>
      <xdr:row>475</xdr:row>
      <xdr:rowOff>45626</xdr:rowOff>
    </xdr:to>
    <xdr:pic>
      <xdr:nvPicPr>
        <xdr:cNvPr id="9" name="Picture 1">
          <a:extLst>
            <a:ext uri="{FF2B5EF4-FFF2-40B4-BE49-F238E27FC236}">
              <a16:creationId xmlns:a16="http://schemas.microsoft.com/office/drawing/2014/main" id="{2E738E62-2125-4F10-8C43-368E763FB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9318435" y="24056884"/>
          <a:ext cx="4388580" cy="4617625"/>
        </a:xfrm>
        <a:prstGeom prst="rect">
          <a:avLst/>
        </a:prstGeom>
        <a:noFill/>
      </xdr:spPr>
    </xdr:pic>
    <xdr:clientData/>
  </xdr:twoCellAnchor>
  <xdr:twoCellAnchor>
    <xdr:from>
      <xdr:col>154</xdr:col>
      <xdr:colOff>285750</xdr:colOff>
      <xdr:row>155</xdr:row>
      <xdr:rowOff>81642</xdr:rowOff>
    </xdr:from>
    <xdr:to>
      <xdr:col>162</xdr:col>
      <xdr:colOff>523608</xdr:colOff>
      <xdr:row>195</xdr:row>
      <xdr:rowOff>104142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F861B840-CDE4-49E8-AECE-A658D60129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137</xdr:col>
      <xdr:colOff>291352</xdr:colOff>
      <xdr:row>59</xdr:row>
      <xdr:rowOff>21608</xdr:rowOff>
    </xdr:from>
    <xdr:to>
      <xdr:col>145</xdr:col>
      <xdr:colOff>190501</xdr:colOff>
      <xdr:row>76</xdr:row>
      <xdr:rowOff>132958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83317DDF-E21F-40E0-B2A5-7E0184019D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128</xdr:col>
      <xdr:colOff>81642</xdr:colOff>
      <xdr:row>251</xdr:row>
      <xdr:rowOff>149680</xdr:rowOff>
    </xdr:from>
    <xdr:to>
      <xdr:col>137</xdr:col>
      <xdr:colOff>224516</xdr:colOff>
      <xdr:row>269</xdr:row>
      <xdr:rowOff>104145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745DBCC4-5CE0-47F8-A66C-CC709F5A8C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141</xdr:col>
      <xdr:colOff>653143</xdr:colOff>
      <xdr:row>56</xdr:row>
      <xdr:rowOff>81642</xdr:rowOff>
    </xdr:from>
    <xdr:to>
      <xdr:col>150</xdr:col>
      <xdr:colOff>115660</xdr:colOff>
      <xdr:row>74</xdr:row>
      <xdr:rowOff>36108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F3C4E4D0-E31E-49E6-A095-CE665ED883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80</xdr:col>
      <xdr:colOff>402613</xdr:colOff>
      <xdr:row>56</xdr:row>
      <xdr:rowOff>124064</xdr:rowOff>
    </xdr:from>
    <xdr:to>
      <xdr:col>85</xdr:col>
      <xdr:colOff>97319</xdr:colOff>
      <xdr:row>65</xdr:row>
      <xdr:rowOff>152123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337BD404-9ACE-49CF-B58C-DBF163C44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98</xdr:col>
      <xdr:colOff>22707</xdr:colOff>
      <xdr:row>54</xdr:row>
      <xdr:rowOff>121066</xdr:rowOff>
    </xdr:from>
    <xdr:to>
      <xdr:col>108</xdr:col>
      <xdr:colOff>288957</xdr:colOff>
      <xdr:row>68</xdr:row>
      <xdr:rowOff>114128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489E21A1-D281-43DE-8FA0-7369716FDD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108</xdr:col>
      <xdr:colOff>232319</xdr:colOff>
      <xdr:row>54</xdr:row>
      <xdr:rowOff>81141</xdr:rowOff>
    </xdr:from>
    <xdr:to>
      <xdr:col>114</xdr:col>
      <xdr:colOff>629537</xdr:colOff>
      <xdr:row>68</xdr:row>
      <xdr:rowOff>74203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9B656DED-E52F-493A-A489-63E8F5E47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98</xdr:col>
      <xdr:colOff>192198</xdr:colOff>
      <xdr:row>123</xdr:row>
      <xdr:rowOff>143473</xdr:rowOff>
    </xdr:from>
    <xdr:to>
      <xdr:col>109</xdr:col>
      <xdr:colOff>125073</xdr:colOff>
      <xdr:row>137</xdr:row>
      <xdr:rowOff>136535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54FDC9D8-8B1B-46C0-873F-08B740B55D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87</xdr:col>
      <xdr:colOff>257734</xdr:colOff>
      <xdr:row>74</xdr:row>
      <xdr:rowOff>78441</xdr:rowOff>
    </xdr:from>
    <xdr:to>
      <xdr:col>91</xdr:col>
      <xdr:colOff>445498</xdr:colOff>
      <xdr:row>83</xdr:row>
      <xdr:rowOff>106500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1CF1F3EB-A8ED-4D63-A555-E97CC67B13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27</xdr:col>
      <xdr:colOff>288851</xdr:colOff>
      <xdr:row>0</xdr:row>
      <xdr:rowOff>0</xdr:rowOff>
    </xdr:from>
    <xdr:to>
      <xdr:col>40</xdr:col>
      <xdr:colOff>134363</xdr:colOff>
      <xdr:row>13</xdr:row>
      <xdr:rowOff>109697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CE7A6D6-21FB-4470-9005-C7551C74E2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28</xdr:col>
      <xdr:colOff>222584</xdr:colOff>
      <xdr:row>23</xdr:row>
      <xdr:rowOff>60430</xdr:rowOff>
    </xdr:from>
    <xdr:to>
      <xdr:col>39</xdr:col>
      <xdr:colOff>578</xdr:colOff>
      <xdr:row>37</xdr:row>
      <xdr:rowOff>16873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725E1765-F881-4DB3-ABD3-34F8EF39AF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31</xdr:col>
      <xdr:colOff>94549</xdr:colOff>
      <xdr:row>113</xdr:row>
      <xdr:rowOff>65831</xdr:rowOff>
    </xdr:from>
    <xdr:to>
      <xdr:col>40</xdr:col>
      <xdr:colOff>198205</xdr:colOff>
      <xdr:row>127</xdr:row>
      <xdr:rowOff>22275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824F0DF4-9217-44E5-A300-F5DF59607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156881</xdr:colOff>
      <xdr:row>449</xdr:row>
      <xdr:rowOff>33616</xdr:rowOff>
    </xdr:from>
    <xdr:to>
      <xdr:col>15</xdr:col>
      <xdr:colOff>327882</xdr:colOff>
      <xdr:row>462</xdr:row>
      <xdr:rowOff>154147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2A50C165-6051-4F9E-9F12-A443E1B432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18</xdr:col>
      <xdr:colOff>235328</xdr:colOff>
      <xdr:row>250</xdr:row>
      <xdr:rowOff>67236</xdr:rowOff>
    </xdr:from>
    <xdr:to>
      <xdr:col>28</xdr:col>
      <xdr:colOff>25328</xdr:colOff>
      <xdr:row>264</xdr:row>
      <xdr:rowOff>30882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F0BD8EB5-74A3-46F6-B5FC-1FA1929FDC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110</xdr:col>
      <xdr:colOff>591811</xdr:colOff>
      <xdr:row>251</xdr:row>
      <xdr:rowOff>123964</xdr:rowOff>
    </xdr:from>
    <xdr:to>
      <xdr:col>116</xdr:col>
      <xdr:colOff>488967</xdr:colOff>
      <xdr:row>265</xdr:row>
      <xdr:rowOff>87610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ADD4D62D-A013-48E6-B534-B47CDAAE22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168087</xdr:colOff>
      <xdr:row>161</xdr:row>
      <xdr:rowOff>78441</xdr:rowOff>
    </xdr:from>
    <xdr:to>
      <xdr:col>58</xdr:col>
      <xdr:colOff>342289</xdr:colOff>
      <xdr:row>174</xdr:row>
      <xdr:rowOff>42088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F81B5EAE-32E0-4B68-A17E-AB8B67489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111</xdr:col>
      <xdr:colOff>209406</xdr:colOff>
      <xdr:row>170</xdr:row>
      <xdr:rowOff>129567</xdr:rowOff>
    </xdr:from>
    <xdr:to>
      <xdr:col>117</xdr:col>
      <xdr:colOff>214821</xdr:colOff>
      <xdr:row>184</xdr:row>
      <xdr:rowOff>95314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7C204B81-4D31-45EE-B653-1E4AA1C0A9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16</xdr:col>
      <xdr:colOff>123265</xdr:colOff>
      <xdr:row>449</xdr:row>
      <xdr:rowOff>11206</xdr:rowOff>
    </xdr:from>
    <xdr:to>
      <xdr:col>25</xdr:col>
      <xdr:colOff>294266</xdr:colOff>
      <xdr:row>462</xdr:row>
      <xdr:rowOff>131737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C7F1C929-F973-4E86-B08E-981598DC5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117</xdr:col>
      <xdr:colOff>23813</xdr:colOff>
      <xdr:row>172</xdr:row>
      <xdr:rowOff>107157</xdr:rowOff>
    </xdr:from>
    <xdr:to>
      <xdr:col>123</xdr:col>
      <xdr:colOff>414730</xdr:colOff>
      <xdr:row>186</xdr:row>
      <xdr:rowOff>72904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7E0A9DB4-BDCD-4E60-86B3-179BE44C60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123</xdr:col>
      <xdr:colOff>0</xdr:colOff>
      <xdr:row>167</xdr:row>
      <xdr:rowOff>0</xdr:rowOff>
    </xdr:from>
    <xdr:to>
      <xdr:col>128</xdr:col>
      <xdr:colOff>327883</xdr:colOff>
      <xdr:row>180</xdr:row>
      <xdr:rowOff>120530</xdr:rowOff>
    </xdr:to>
    <xdr:graphicFrame macro="">
      <xdr:nvGraphicFramePr>
        <xdr:cNvPr id="29" name="차트 28">
          <a:extLst>
            <a:ext uri="{FF2B5EF4-FFF2-40B4-BE49-F238E27FC236}">
              <a16:creationId xmlns:a16="http://schemas.microsoft.com/office/drawing/2014/main" id="{9BBD8BCA-3612-485A-B7FA-5C53D53533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89</xdr:col>
      <xdr:colOff>326372</xdr:colOff>
      <xdr:row>171</xdr:row>
      <xdr:rowOff>135172</xdr:rowOff>
    </xdr:from>
    <xdr:to>
      <xdr:col>96</xdr:col>
      <xdr:colOff>421032</xdr:colOff>
      <xdr:row>185</xdr:row>
      <xdr:rowOff>98818</xdr:rowOff>
    </xdr:to>
    <xdr:graphicFrame macro="">
      <xdr:nvGraphicFramePr>
        <xdr:cNvPr id="30" name="차트 29">
          <a:extLst>
            <a:ext uri="{FF2B5EF4-FFF2-40B4-BE49-F238E27FC236}">
              <a16:creationId xmlns:a16="http://schemas.microsoft.com/office/drawing/2014/main" id="{612A00E7-5066-45AD-96E2-441E5B431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85</xdr:col>
      <xdr:colOff>392207</xdr:colOff>
      <xdr:row>56</xdr:row>
      <xdr:rowOff>89647</xdr:rowOff>
    </xdr:from>
    <xdr:to>
      <xdr:col>90</xdr:col>
      <xdr:colOff>86913</xdr:colOff>
      <xdr:row>65</xdr:row>
      <xdr:rowOff>117706</xdr:rowOff>
    </xdr:to>
    <xdr:graphicFrame macro="">
      <xdr:nvGraphicFramePr>
        <xdr:cNvPr id="31" name="차트 30">
          <a:extLst>
            <a:ext uri="{FF2B5EF4-FFF2-40B4-BE49-F238E27FC236}">
              <a16:creationId xmlns:a16="http://schemas.microsoft.com/office/drawing/2014/main" id="{106ABF35-5B5B-4EA5-8205-5CBE7B37AF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50</xdr:col>
      <xdr:colOff>22411</xdr:colOff>
      <xdr:row>174</xdr:row>
      <xdr:rowOff>22411</xdr:rowOff>
    </xdr:from>
    <xdr:to>
      <xdr:col>58</xdr:col>
      <xdr:colOff>215824</xdr:colOff>
      <xdr:row>187</xdr:row>
      <xdr:rowOff>142940</xdr:rowOff>
    </xdr:to>
    <xdr:graphicFrame macro="">
      <xdr:nvGraphicFramePr>
        <xdr:cNvPr id="32" name="차트 31">
          <a:extLst>
            <a:ext uri="{FF2B5EF4-FFF2-40B4-BE49-F238E27FC236}">
              <a16:creationId xmlns:a16="http://schemas.microsoft.com/office/drawing/2014/main" id="{8513E521-7A30-483C-8162-8F1277ACE9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83</xdr:col>
      <xdr:colOff>0</xdr:colOff>
      <xdr:row>194</xdr:row>
      <xdr:rowOff>0</xdr:rowOff>
    </xdr:from>
    <xdr:to>
      <xdr:col>87</xdr:col>
      <xdr:colOff>187764</xdr:colOff>
      <xdr:row>203</xdr:row>
      <xdr:rowOff>28058</xdr:rowOff>
    </xdr:to>
    <xdr:graphicFrame macro="">
      <xdr:nvGraphicFramePr>
        <xdr:cNvPr id="33" name="차트 32">
          <a:extLst>
            <a:ext uri="{FF2B5EF4-FFF2-40B4-BE49-F238E27FC236}">
              <a16:creationId xmlns:a16="http://schemas.microsoft.com/office/drawing/2014/main" id="{61B43C54-2618-4F43-8000-3C72DE14BB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109</xdr:col>
      <xdr:colOff>145676</xdr:colOff>
      <xdr:row>35</xdr:row>
      <xdr:rowOff>100854</xdr:rowOff>
    </xdr:from>
    <xdr:to>
      <xdr:col>115</xdr:col>
      <xdr:colOff>799</xdr:colOff>
      <xdr:row>48</xdr:row>
      <xdr:rowOff>100854</xdr:rowOff>
    </xdr:to>
    <xdr:graphicFrame macro="">
      <xdr:nvGraphicFramePr>
        <xdr:cNvPr id="34" name="차트 33">
          <a:extLst>
            <a:ext uri="{FF2B5EF4-FFF2-40B4-BE49-F238E27FC236}">
              <a16:creationId xmlns:a16="http://schemas.microsoft.com/office/drawing/2014/main" id="{F53C8BC3-E34F-4DD8-8DDC-E27D557CC2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116</xdr:col>
      <xdr:colOff>0</xdr:colOff>
      <xdr:row>35</xdr:row>
      <xdr:rowOff>0</xdr:rowOff>
    </xdr:from>
    <xdr:to>
      <xdr:col>122</xdr:col>
      <xdr:colOff>168888</xdr:colOff>
      <xdr:row>48</xdr:row>
      <xdr:rowOff>0</xdr:rowOff>
    </xdr:to>
    <xdr:graphicFrame macro="">
      <xdr:nvGraphicFramePr>
        <xdr:cNvPr id="35" name="차트 34">
          <a:extLst>
            <a:ext uri="{FF2B5EF4-FFF2-40B4-BE49-F238E27FC236}">
              <a16:creationId xmlns:a16="http://schemas.microsoft.com/office/drawing/2014/main" id="{70C26454-E6F9-4137-8DE8-B19E106602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49</xdr:col>
      <xdr:colOff>44824</xdr:colOff>
      <xdr:row>114</xdr:row>
      <xdr:rowOff>145676</xdr:rowOff>
    </xdr:from>
    <xdr:to>
      <xdr:col>56</xdr:col>
      <xdr:colOff>201707</xdr:colOff>
      <xdr:row>128</xdr:row>
      <xdr:rowOff>102121</xdr:rowOff>
    </xdr:to>
    <xdr:graphicFrame macro="">
      <xdr:nvGraphicFramePr>
        <xdr:cNvPr id="36" name="차트 35">
          <a:extLst>
            <a:ext uri="{FF2B5EF4-FFF2-40B4-BE49-F238E27FC236}">
              <a16:creationId xmlns:a16="http://schemas.microsoft.com/office/drawing/2014/main" id="{F8753E4D-1EB0-4988-9249-016309AF6B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83</xdr:col>
      <xdr:colOff>392207</xdr:colOff>
      <xdr:row>161</xdr:row>
      <xdr:rowOff>0</xdr:rowOff>
    </xdr:from>
    <xdr:to>
      <xdr:col>91</xdr:col>
      <xdr:colOff>47737</xdr:colOff>
      <xdr:row>173</xdr:row>
      <xdr:rowOff>120530</xdr:rowOff>
    </xdr:to>
    <xdr:graphicFrame macro="">
      <xdr:nvGraphicFramePr>
        <xdr:cNvPr id="37" name="차트 36">
          <a:extLst>
            <a:ext uri="{FF2B5EF4-FFF2-40B4-BE49-F238E27FC236}">
              <a16:creationId xmlns:a16="http://schemas.microsoft.com/office/drawing/2014/main" id="{464EB05E-AD18-446E-ADA1-5727783BE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11</xdr:col>
      <xdr:colOff>168088</xdr:colOff>
      <xdr:row>174</xdr:row>
      <xdr:rowOff>123262</xdr:rowOff>
    </xdr:from>
    <xdr:to>
      <xdr:col>20</xdr:col>
      <xdr:colOff>319879</xdr:colOff>
      <xdr:row>188</xdr:row>
      <xdr:rowOff>86908</xdr:rowOff>
    </xdr:to>
    <xdr:graphicFrame macro="">
      <xdr:nvGraphicFramePr>
        <xdr:cNvPr id="38" name="차트 37">
          <a:extLst>
            <a:ext uri="{FF2B5EF4-FFF2-40B4-BE49-F238E27FC236}">
              <a16:creationId xmlns:a16="http://schemas.microsoft.com/office/drawing/2014/main" id="{09F44099-C571-484C-BAD5-2E3357C37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21</xdr:col>
      <xdr:colOff>145679</xdr:colOff>
      <xdr:row>174</xdr:row>
      <xdr:rowOff>100851</xdr:rowOff>
    </xdr:from>
    <xdr:to>
      <xdr:col>31</xdr:col>
      <xdr:colOff>2916</xdr:colOff>
      <xdr:row>188</xdr:row>
      <xdr:rowOff>64498</xdr:rowOff>
    </xdr:to>
    <xdr:graphicFrame macro="">
      <xdr:nvGraphicFramePr>
        <xdr:cNvPr id="39" name="차트 38">
          <a:extLst>
            <a:ext uri="{FF2B5EF4-FFF2-40B4-BE49-F238E27FC236}">
              <a16:creationId xmlns:a16="http://schemas.microsoft.com/office/drawing/2014/main" id="{82CFEAFA-30AF-4475-BAC8-22B206E301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9</xdr:col>
      <xdr:colOff>22411</xdr:colOff>
      <xdr:row>249</xdr:row>
      <xdr:rowOff>100853</xdr:rowOff>
    </xdr:from>
    <xdr:to>
      <xdr:col>18</xdr:col>
      <xdr:colOff>174202</xdr:colOff>
      <xdr:row>263</xdr:row>
      <xdr:rowOff>64499</xdr:rowOff>
    </xdr:to>
    <xdr:graphicFrame macro="">
      <xdr:nvGraphicFramePr>
        <xdr:cNvPr id="40" name="차트 39">
          <a:extLst>
            <a:ext uri="{FF2B5EF4-FFF2-40B4-BE49-F238E27FC236}">
              <a16:creationId xmlns:a16="http://schemas.microsoft.com/office/drawing/2014/main" id="{7A08F358-FFF6-4626-B602-0FDC96A60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81</xdr:col>
      <xdr:colOff>0</xdr:colOff>
      <xdr:row>67</xdr:row>
      <xdr:rowOff>0</xdr:rowOff>
    </xdr:from>
    <xdr:to>
      <xdr:col>85</xdr:col>
      <xdr:colOff>194768</xdr:colOff>
      <xdr:row>76</xdr:row>
      <xdr:rowOff>28058</xdr:rowOff>
    </xdr:to>
    <xdr:graphicFrame macro="">
      <xdr:nvGraphicFramePr>
        <xdr:cNvPr id="41" name="차트 40">
          <a:extLst>
            <a:ext uri="{FF2B5EF4-FFF2-40B4-BE49-F238E27FC236}">
              <a16:creationId xmlns:a16="http://schemas.microsoft.com/office/drawing/2014/main" id="{26160CC6-F9C2-4CE9-B476-6C1CB7688A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29</xdr:col>
      <xdr:colOff>0</xdr:colOff>
      <xdr:row>74</xdr:row>
      <xdr:rowOff>71437</xdr:rowOff>
    </xdr:from>
    <xdr:to>
      <xdr:col>41</xdr:col>
      <xdr:colOff>226830</xdr:colOff>
      <xdr:row>88</xdr:row>
      <xdr:rowOff>35083</xdr:rowOff>
    </xdr:to>
    <xdr:graphicFrame macro="">
      <xdr:nvGraphicFramePr>
        <xdr:cNvPr id="42" name="차트 41">
          <a:extLst>
            <a:ext uri="{FF2B5EF4-FFF2-40B4-BE49-F238E27FC236}">
              <a16:creationId xmlns:a16="http://schemas.microsoft.com/office/drawing/2014/main" id="{4ACACF40-C889-417F-9777-727224AA72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115</xdr:col>
      <xdr:colOff>0</xdr:colOff>
      <xdr:row>55</xdr:row>
      <xdr:rowOff>0</xdr:rowOff>
    </xdr:from>
    <xdr:to>
      <xdr:col>121</xdr:col>
      <xdr:colOff>421031</xdr:colOff>
      <xdr:row>68</xdr:row>
      <xdr:rowOff>147843</xdr:rowOff>
    </xdr:to>
    <xdr:graphicFrame macro="">
      <xdr:nvGraphicFramePr>
        <xdr:cNvPr id="43" name="차트 42">
          <a:extLst>
            <a:ext uri="{FF2B5EF4-FFF2-40B4-BE49-F238E27FC236}">
              <a16:creationId xmlns:a16="http://schemas.microsoft.com/office/drawing/2014/main" id="{F1B1DA3F-C8AF-46DC-8C2F-EB9D1AE629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98</xdr:col>
      <xdr:colOff>0</xdr:colOff>
      <xdr:row>69</xdr:row>
      <xdr:rowOff>39925</xdr:rowOff>
    </xdr:from>
    <xdr:to>
      <xdr:col>108</xdr:col>
      <xdr:colOff>266250</xdr:colOff>
      <xdr:row>83</xdr:row>
      <xdr:rowOff>32988</xdr:rowOff>
    </xdr:to>
    <xdr:graphicFrame macro="">
      <xdr:nvGraphicFramePr>
        <xdr:cNvPr id="44" name="차트 43">
          <a:extLst>
            <a:ext uri="{FF2B5EF4-FFF2-40B4-BE49-F238E27FC236}">
              <a16:creationId xmlns:a16="http://schemas.microsoft.com/office/drawing/2014/main" id="{F38176B5-29FA-41E1-8712-CFACA5B6A0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108</xdr:col>
      <xdr:colOff>209612</xdr:colOff>
      <xdr:row>69</xdr:row>
      <xdr:rowOff>0</xdr:rowOff>
    </xdr:from>
    <xdr:to>
      <xdr:col>114</xdr:col>
      <xdr:colOff>606830</xdr:colOff>
      <xdr:row>82</xdr:row>
      <xdr:rowOff>147844</xdr:rowOff>
    </xdr:to>
    <xdr:graphicFrame macro="">
      <xdr:nvGraphicFramePr>
        <xdr:cNvPr id="45" name="차트 44">
          <a:extLst>
            <a:ext uri="{FF2B5EF4-FFF2-40B4-BE49-F238E27FC236}">
              <a16:creationId xmlns:a16="http://schemas.microsoft.com/office/drawing/2014/main" id="{8E4AE6A5-B0EF-4559-B0F5-4D2703BB5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114</xdr:col>
      <xdr:colOff>667855</xdr:colOff>
      <xdr:row>69</xdr:row>
      <xdr:rowOff>73640</xdr:rowOff>
    </xdr:from>
    <xdr:to>
      <xdr:col>121</xdr:col>
      <xdr:colOff>398324</xdr:colOff>
      <xdr:row>83</xdr:row>
      <xdr:rowOff>66703</xdr:rowOff>
    </xdr:to>
    <xdr:graphicFrame macro="">
      <xdr:nvGraphicFramePr>
        <xdr:cNvPr id="46" name="차트 45">
          <a:extLst>
            <a:ext uri="{FF2B5EF4-FFF2-40B4-BE49-F238E27FC236}">
              <a16:creationId xmlns:a16="http://schemas.microsoft.com/office/drawing/2014/main" id="{75AA5763-7677-4AFB-B8A4-4404C5FA5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98</xdr:col>
      <xdr:colOff>22707</xdr:colOff>
      <xdr:row>87</xdr:row>
      <xdr:rowOff>39925</xdr:rowOff>
    </xdr:from>
    <xdr:to>
      <xdr:col>108</xdr:col>
      <xdr:colOff>288957</xdr:colOff>
      <xdr:row>101</xdr:row>
      <xdr:rowOff>32987</xdr:rowOff>
    </xdr:to>
    <xdr:graphicFrame macro="">
      <xdr:nvGraphicFramePr>
        <xdr:cNvPr id="47" name="차트 46">
          <a:extLst>
            <a:ext uri="{FF2B5EF4-FFF2-40B4-BE49-F238E27FC236}">
              <a16:creationId xmlns:a16="http://schemas.microsoft.com/office/drawing/2014/main" id="{B157E97A-EF15-4B2F-9763-7CAF5A575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108</xdr:col>
      <xdr:colOff>232319</xdr:colOff>
      <xdr:row>87</xdr:row>
      <xdr:rowOff>0</xdr:rowOff>
    </xdr:from>
    <xdr:to>
      <xdr:col>114</xdr:col>
      <xdr:colOff>629537</xdr:colOff>
      <xdr:row>100</xdr:row>
      <xdr:rowOff>147843</xdr:rowOff>
    </xdr:to>
    <xdr:graphicFrame macro="">
      <xdr:nvGraphicFramePr>
        <xdr:cNvPr id="48" name="차트 47">
          <a:extLst>
            <a:ext uri="{FF2B5EF4-FFF2-40B4-BE49-F238E27FC236}">
              <a16:creationId xmlns:a16="http://schemas.microsoft.com/office/drawing/2014/main" id="{5A0A5782-168F-473C-A04F-88537A19D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115</xdr:col>
      <xdr:colOff>0</xdr:colOff>
      <xdr:row>87</xdr:row>
      <xdr:rowOff>73640</xdr:rowOff>
    </xdr:from>
    <xdr:to>
      <xdr:col>121</xdr:col>
      <xdr:colOff>421031</xdr:colOff>
      <xdr:row>101</xdr:row>
      <xdr:rowOff>66702</xdr:rowOff>
    </xdr:to>
    <xdr:graphicFrame macro="">
      <xdr:nvGraphicFramePr>
        <xdr:cNvPr id="49" name="차트 48">
          <a:extLst>
            <a:ext uri="{FF2B5EF4-FFF2-40B4-BE49-F238E27FC236}">
              <a16:creationId xmlns:a16="http://schemas.microsoft.com/office/drawing/2014/main" id="{10264F29-7F62-4717-A64C-4A1BBB75CE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98</xdr:col>
      <xdr:colOff>0</xdr:colOff>
      <xdr:row>101</xdr:row>
      <xdr:rowOff>113565</xdr:rowOff>
    </xdr:from>
    <xdr:to>
      <xdr:col>108</xdr:col>
      <xdr:colOff>266250</xdr:colOff>
      <xdr:row>115</xdr:row>
      <xdr:rowOff>106628</xdr:rowOff>
    </xdr:to>
    <xdr:graphicFrame macro="">
      <xdr:nvGraphicFramePr>
        <xdr:cNvPr id="50" name="차트 49">
          <a:extLst>
            <a:ext uri="{FF2B5EF4-FFF2-40B4-BE49-F238E27FC236}">
              <a16:creationId xmlns:a16="http://schemas.microsoft.com/office/drawing/2014/main" id="{A01B0CB7-7D75-428D-AA3D-CD2658AB25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108</xdr:col>
      <xdr:colOff>209612</xdr:colOff>
      <xdr:row>101</xdr:row>
      <xdr:rowOff>73640</xdr:rowOff>
    </xdr:from>
    <xdr:to>
      <xdr:col>114</xdr:col>
      <xdr:colOff>606830</xdr:colOff>
      <xdr:row>115</xdr:row>
      <xdr:rowOff>66703</xdr:rowOff>
    </xdr:to>
    <xdr:graphicFrame macro="">
      <xdr:nvGraphicFramePr>
        <xdr:cNvPr id="51" name="차트 50">
          <a:extLst>
            <a:ext uri="{FF2B5EF4-FFF2-40B4-BE49-F238E27FC236}">
              <a16:creationId xmlns:a16="http://schemas.microsoft.com/office/drawing/2014/main" id="{D5249457-A9F4-43FD-9EF3-6385060DA9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114</xdr:col>
      <xdr:colOff>667855</xdr:colOff>
      <xdr:row>101</xdr:row>
      <xdr:rowOff>147280</xdr:rowOff>
    </xdr:from>
    <xdr:to>
      <xdr:col>121</xdr:col>
      <xdr:colOff>398324</xdr:colOff>
      <xdr:row>115</xdr:row>
      <xdr:rowOff>140343</xdr:rowOff>
    </xdr:to>
    <xdr:graphicFrame macro="">
      <xdr:nvGraphicFramePr>
        <xdr:cNvPr id="52" name="차트 51">
          <a:extLst>
            <a:ext uri="{FF2B5EF4-FFF2-40B4-BE49-F238E27FC236}">
              <a16:creationId xmlns:a16="http://schemas.microsoft.com/office/drawing/2014/main" id="{1C7795D0-795F-439B-A0E7-13BC076816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110</xdr:col>
      <xdr:colOff>0</xdr:colOff>
      <xdr:row>124</xdr:row>
      <xdr:rowOff>0</xdr:rowOff>
    </xdr:from>
    <xdr:to>
      <xdr:col>115</xdr:col>
      <xdr:colOff>373406</xdr:colOff>
      <xdr:row>137</xdr:row>
      <xdr:rowOff>147844</xdr:rowOff>
    </xdr:to>
    <xdr:graphicFrame macro="">
      <xdr:nvGraphicFramePr>
        <xdr:cNvPr id="53" name="차트 52">
          <a:extLst>
            <a:ext uri="{FF2B5EF4-FFF2-40B4-BE49-F238E27FC236}">
              <a16:creationId xmlns:a16="http://schemas.microsoft.com/office/drawing/2014/main" id="{31D11C8E-DAC2-4359-9117-1BBA021BC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116</xdr:col>
      <xdr:colOff>0</xdr:colOff>
      <xdr:row>124</xdr:row>
      <xdr:rowOff>0</xdr:rowOff>
    </xdr:from>
    <xdr:to>
      <xdr:col>122</xdr:col>
      <xdr:colOff>385313</xdr:colOff>
      <xdr:row>137</xdr:row>
      <xdr:rowOff>147844</xdr:rowOff>
    </xdr:to>
    <xdr:graphicFrame macro="">
      <xdr:nvGraphicFramePr>
        <xdr:cNvPr id="54" name="차트 53">
          <a:extLst>
            <a:ext uri="{FF2B5EF4-FFF2-40B4-BE49-F238E27FC236}">
              <a16:creationId xmlns:a16="http://schemas.microsoft.com/office/drawing/2014/main" id="{E6C2C84D-7BB8-4408-AB3E-D1EAE0B033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98</xdr:col>
      <xdr:colOff>214312</xdr:colOff>
      <xdr:row>138</xdr:row>
      <xdr:rowOff>0</xdr:rowOff>
    </xdr:from>
    <xdr:to>
      <xdr:col>109</xdr:col>
      <xdr:colOff>147187</xdr:colOff>
      <xdr:row>151</xdr:row>
      <xdr:rowOff>147844</xdr:rowOff>
    </xdr:to>
    <xdr:graphicFrame macro="">
      <xdr:nvGraphicFramePr>
        <xdr:cNvPr id="55" name="차트 54">
          <a:extLst>
            <a:ext uri="{FF2B5EF4-FFF2-40B4-BE49-F238E27FC236}">
              <a16:creationId xmlns:a16="http://schemas.microsoft.com/office/drawing/2014/main" id="{34E620E5-B15D-4222-B939-814342D911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110</xdr:col>
      <xdr:colOff>22114</xdr:colOff>
      <xdr:row>138</xdr:row>
      <xdr:rowOff>11309</xdr:rowOff>
    </xdr:from>
    <xdr:to>
      <xdr:col>115</xdr:col>
      <xdr:colOff>395520</xdr:colOff>
      <xdr:row>152</xdr:row>
      <xdr:rowOff>0</xdr:rowOff>
    </xdr:to>
    <xdr:graphicFrame macro="">
      <xdr:nvGraphicFramePr>
        <xdr:cNvPr id="56" name="차트 55">
          <a:extLst>
            <a:ext uri="{FF2B5EF4-FFF2-40B4-BE49-F238E27FC236}">
              <a16:creationId xmlns:a16="http://schemas.microsoft.com/office/drawing/2014/main" id="{D43E9195-8038-41A4-9BE9-EC279385FB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116</xdr:col>
      <xdr:colOff>22114</xdr:colOff>
      <xdr:row>138</xdr:row>
      <xdr:rowOff>11309</xdr:rowOff>
    </xdr:from>
    <xdr:to>
      <xdr:col>122</xdr:col>
      <xdr:colOff>407427</xdr:colOff>
      <xdr:row>152</xdr:row>
      <xdr:rowOff>0</xdr:rowOff>
    </xdr:to>
    <xdr:graphicFrame macro="">
      <xdr:nvGraphicFramePr>
        <xdr:cNvPr id="57" name="차트 56">
          <a:extLst>
            <a:ext uri="{FF2B5EF4-FFF2-40B4-BE49-F238E27FC236}">
              <a16:creationId xmlns:a16="http://schemas.microsoft.com/office/drawing/2014/main" id="{5BC30DCA-5A06-429C-8938-0F527BE45A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백장운" id="{9B22B0B4-DED9-475E-B22B-631295BAD583}" userId="S::056153@office.khu.ac.kr::5b72474f-107f-48e2-8be2-0a652bb22d42" providerId="AD"/>
</personList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53" dT="2022-07-25T10:32:41.79" personId="{9B22B0B4-DED9-475E-B22B-631295BAD583}" id="{B63F8C54-14A8-4227-949B-5C1F436EA88A}">
    <text>Slice -&gt; Lap splice 로 변경함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3E79A-436C-4558-9A9E-2DCDC7B5B502}">
  <sheetPr filterMode="1">
    <pageSetUpPr autoPageBreaks="0" fitToPage="1"/>
  </sheetPr>
  <dimension ref="A1:GN628"/>
  <sheetViews>
    <sheetView zoomScaleNormal="100" workbookViewId="0">
      <pane xSplit="8" ySplit="19" topLeftCell="I157" activePane="bottomRight" state="frozen"/>
      <selection pane="topRight" activeCell="E1" sqref="E1"/>
      <selection pane="bottomLeft" activeCell="A3" sqref="A3"/>
      <selection pane="bottomRight" activeCell="F9" sqref="F9"/>
    </sheetView>
  </sheetViews>
  <sheetFormatPr defaultColWidth="9" defaultRowHeight="12" customHeight="1" x14ac:dyDescent="0.3"/>
  <cols>
    <col min="1" max="1" width="5.125" style="4" customWidth="1"/>
    <col min="2" max="2" width="8.375" style="4" bestFit="1" customWidth="1"/>
    <col min="3" max="4" width="8.375" style="4" customWidth="1"/>
    <col min="5" max="5" width="8.625" style="4" customWidth="1"/>
    <col min="6" max="6" width="15.625" style="4" customWidth="1"/>
    <col min="7" max="7" width="12.125" style="107" customWidth="1"/>
    <col min="8" max="8" width="28.75" style="4" bestFit="1" customWidth="1"/>
    <col min="9" max="9" width="8" style="4" customWidth="1"/>
    <col min="10" max="12" width="5.125" style="4" customWidth="1"/>
    <col min="13" max="22" width="6" style="4" customWidth="1"/>
    <col min="23" max="23" width="5.75" style="4" customWidth="1"/>
    <col min="24" max="36" width="6" style="4" customWidth="1"/>
    <col min="37" max="37" width="1.75" style="4" customWidth="1"/>
    <col min="38" max="50" width="6" style="4" customWidth="1"/>
    <col min="51" max="52" width="6.25" style="38" customWidth="1"/>
    <col min="53" max="56" width="6" style="38" customWidth="1"/>
    <col min="57" max="59" width="6" style="4" customWidth="1"/>
    <col min="60" max="60" width="6" style="38" customWidth="1"/>
    <col min="61" max="75" width="6" style="4" customWidth="1"/>
    <col min="76" max="76" width="7.25" style="4" customWidth="1"/>
    <col min="77" max="77" width="6" style="4" customWidth="1"/>
    <col min="78" max="88" width="6.5" style="4" customWidth="1"/>
    <col min="89" max="89" width="6.5" style="44" customWidth="1"/>
    <col min="90" max="105" width="6.5" style="4" customWidth="1"/>
    <col min="106" max="107" width="6" style="4" customWidth="1"/>
    <col min="108" max="118" width="6.875" style="4" customWidth="1"/>
    <col min="119" max="119" width="9" style="4"/>
    <col min="120" max="120" width="6.875" style="4" customWidth="1"/>
    <col min="121" max="121" width="9.125" style="4" bestFit="1" customWidth="1"/>
    <col min="122" max="123" width="9" style="4"/>
    <col min="124" max="124" width="6.875" style="4" customWidth="1"/>
    <col min="125" max="131" width="7" style="4" customWidth="1"/>
    <col min="132" max="132" width="9.125" style="4" bestFit="1" customWidth="1"/>
    <col min="133" max="133" width="7" style="4" customWidth="1"/>
    <col min="134" max="136" width="9" style="4"/>
    <col min="137" max="145" width="6.875" style="4" customWidth="1"/>
    <col min="146" max="146" width="9.125" style="4" bestFit="1" customWidth="1"/>
    <col min="147" max="147" width="9" style="4"/>
    <col min="148" max="185" width="6.875" style="4" customWidth="1"/>
    <col min="186" max="187" width="9" style="4"/>
    <col min="188" max="191" width="6.875" style="4" customWidth="1"/>
    <col min="192" max="16384" width="9" style="4"/>
  </cols>
  <sheetData>
    <row r="1" spans="10:181" ht="12" customHeight="1" x14ac:dyDescent="0.3">
      <c r="X1" s="4" t="str">
        <f>CS1</f>
        <v>Total</v>
      </c>
      <c r="AA1" s="4" t="str">
        <f>CT1</f>
        <v>avg</v>
      </c>
      <c r="AB1" s="4">
        <f>CY1</f>
        <v>1.3993767801566688</v>
      </c>
      <c r="BM1" s="4" t="s">
        <v>128</v>
      </c>
      <c r="CL1" s="4">
        <f t="shared" ref="CL1:CQ1" si="0">AVERAGE(CU20:CU641)</f>
        <v>1.6889363802615789</v>
      </c>
      <c r="CM1" s="4">
        <f t="shared" si="0"/>
        <v>0.94234173137363031</v>
      </c>
      <c r="CN1" s="4">
        <f t="shared" si="0"/>
        <v>1.2062497064718947</v>
      </c>
      <c r="CO1" s="4">
        <f t="shared" si="0"/>
        <v>1.8750716143609498</v>
      </c>
      <c r="CP1" s="4">
        <f t="shared" si="0"/>
        <v>1.3993767801566688</v>
      </c>
      <c r="CQ1" s="4" t="e">
        <f t="shared" si="0"/>
        <v>#DIV/0!</v>
      </c>
      <c r="CS1" s="4" t="s">
        <v>198</v>
      </c>
      <c r="CT1" s="5" t="s">
        <v>27</v>
      </c>
      <c r="CU1" s="5">
        <f t="shared" ref="CU1:DA1" si="1">AVERAGE(CU20:CU1255)</f>
        <v>1.6889363802615789</v>
      </c>
      <c r="CV1" s="5">
        <f t="shared" si="1"/>
        <v>0.94234173137363031</v>
      </c>
      <c r="CW1" s="5">
        <f t="shared" si="1"/>
        <v>1.2062497064718947</v>
      </c>
      <c r="CX1" s="5">
        <f t="shared" si="1"/>
        <v>1.8750716143609498</v>
      </c>
      <c r="CY1" s="5">
        <f t="shared" si="1"/>
        <v>1.3993767801566688</v>
      </c>
      <c r="CZ1" s="5" t="e">
        <f t="shared" si="1"/>
        <v>#DIV/0!</v>
      </c>
      <c r="DA1" s="5">
        <f t="shared" si="1"/>
        <v>1.3813164882017035</v>
      </c>
      <c r="DB1" s="5"/>
      <c r="DC1" s="5">
        <f t="shared" ref="DC1:DN1" si="2">AVERAGE(DC20:DC1255)</f>
        <v>1.6577479868307539</v>
      </c>
      <c r="DD1" s="5">
        <f t="shared" si="2"/>
        <v>0.91824741988080316</v>
      </c>
      <c r="DE1" s="5">
        <f t="shared" si="2"/>
        <v>2.0299492495270206</v>
      </c>
      <c r="DF1" s="5">
        <f t="shared" si="2"/>
        <v>1.4315906883289269</v>
      </c>
      <c r="DG1" s="5">
        <f t="shared" si="2"/>
        <v>1.3567757128879363</v>
      </c>
      <c r="DH1" s="5">
        <f t="shared" si="2"/>
        <v>1.1059276496299755</v>
      </c>
      <c r="DI1" s="5">
        <f t="shared" si="2"/>
        <v>1.7521124436442195</v>
      </c>
      <c r="DJ1" s="5">
        <f t="shared" si="2"/>
        <v>0.98749115737147852</v>
      </c>
      <c r="DK1" s="5">
        <f t="shared" si="2"/>
        <v>1.6854323722907087</v>
      </c>
      <c r="DL1" s="5">
        <f t="shared" si="2"/>
        <v>1.3223310184083272</v>
      </c>
      <c r="DM1" s="5">
        <f t="shared" si="2"/>
        <v>1.4444098896891659</v>
      </c>
      <c r="DN1" s="5">
        <f t="shared" si="2"/>
        <v>1.1005595978890443</v>
      </c>
      <c r="DQ1" s="4" t="e">
        <f>FK1</f>
        <v>#DIV/0!</v>
      </c>
      <c r="DV1" s="6">
        <f>AVERAGE(DV20:DV1541)</f>
        <v>0.24752153348111008</v>
      </c>
      <c r="DX1" s="4">
        <f>3*PI()/8</f>
        <v>1.1780972450961724</v>
      </c>
      <c r="DY1" s="4">
        <f>3*3.141592/8/(3*3.141592-4)/12.7/0.3^0.5</f>
        <v>3.122014327313467E-2</v>
      </c>
      <c r="DZ1" s="4">
        <f>1/DY1</f>
        <v>32.030602526430833</v>
      </c>
      <c r="EB1" s="4">
        <f>0.24*PI()/4</f>
        <v>0.18849555921538758</v>
      </c>
      <c r="EC1" s="4">
        <f>1/EB1</f>
        <v>5.3051647697298447</v>
      </c>
      <c r="ED1" s="4">
        <f>EC1*2.5</f>
        <v>13.262911924324612</v>
      </c>
      <c r="EE1" s="4" t="e">
        <f>AVERAGE(EE20:EE568)</f>
        <v>#DIV/0!</v>
      </c>
      <c r="EG1" s="4">
        <f>CP1</f>
        <v>1.3993767801566688</v>
      </c>
      <c r="EH1" s="4">
        <f>1-1/22.45</f>
        <v>0.95545657015590202</v>
      </c>
      <c r="EI1" s="4">
        <f>1-1/17.8</f>
        <v>0.9438202247191011</v>
      </c>
      <c r="EJ1" s="4">
        <f>3.1/3.5</f>
        <v>0.88571428571428579</v>
      </c>
      <c r="EM1" s="4" t="e">
        <f>AVERAGE(EM20:EM678)</f>
        <v>#DIV/0!</v>
      </c>
      <c r="EN1" s="4" t="e">
        <f>AVERAGE(EN20:EN678)</f>
        <v>#DIV/0!</v>
      </c>
      <c r="EP1" s="4">
        <f>CY6</f>
        <v>1.2833475794749885</v>
      </c>
      <c r="ES1" s="4">
        <v>1.0780224324532159</v>
      </c>
      <c r="EV1" s="4">
        <f>AVERAGE(EV20:EV568)</f>
        <v>269.875</v>
      </c>
      <c r="EX1" s="4">
        <f>4700*0.003^0.5</f>
        <v>257.42960202742807</v>
      </c>
      <c r="FK1" s="4" t="e">
        <f>AVERAGE(FK20:FK678)</f>
        <v>#DIV/0!</v>
      </c>
      <c r="FL1" s="4" t="e">
        <f>AVERAGE(FL20:FL678)</f>
        <v>#DIV/0!</v>
      </c>
      <c r="FY1" s="4" t="s">
        <v>605</v>
      </c>
    </row>
    <row r="2" spans="10:181" ht="12" customHeight="1" x14ac:dyDescent="0.3">
      <c r="AA2" s="4" t="str">
        <f>CT2</f>
        <v>cov</v>
      </c>
      <c r="AB2" s="4">
        <f>CY2</f>
        <v>0.34726311136180499</v>
      </c>
      <c r="BG2" s="4" t="s">
        <v>214</v>
      </c>
      <c r="BS2" s="113" t="s">
        <v>215</v>
      </c>
      <c r="BT2" s="113"/>
      <c r="BU2" s="113"/>
      <c r="BV2" s="113"/>
      <c r="BW2" s="113"/>
      <c r="BX2" s="113"/>
      <c r="BZ2" s="113" t="s">
        <v>216</v>
      </c>
      <c r="CA2" s="113"/>
      <c r="CB2" s="113"/>
      <c r="CC2" s="113"/>
      <c r="CD2" s="113"/>
      <c r="CE2" s="113"/>
      <c r="CF2" s="113"/>
      <c r="CG2" s="113"/>
      <c r="CH2" s="7" t="s">
        <v>40</v>
      </c>
      <c r="CI2" s="7"/>
      <c r="CJ2" s="7"/>
      <c r="CK2" s="10"/>
      <c r="CL2" s="7">
        <f t="shared" ref="CL2:CQ2" si="3">STDEVP(CU20:CU641)/CU1</f>
        <v>0.39191242658869802</v>
      </c>
      <c r="CM2" s="7">
        <f t="shared" si="3"/>
        <v>0.38226888325574626</v>
      </c>
      <c r="CN2" s="7">
        <f t="shared" si="3"/>
        <v>0.47039958265854209</v>
      </c>
      <c r="CO2" s="7">
        <f t="shared" si="3"/>
        <v>0.28513991901420721</v>
      </c>
      <c r="CP2" s="7">
        <f t="shared" si="3"/>
        <v>0.34726311136180499</v>
      </c>
      <c r="CQ2" s="7" t="e">
        <f t="shared" si="3"/>
        <v>#DIV/0!</v>
      </c>
      <c r="CR2" s="7"/>
      <c r="CS2" s="7"/>
      <c r="CT2" s="8" t="s">
        <v>217</v>
      </c>
      <c r="CU2" s="5">
        <f t="shared" ref="CU2:DA2" si="4">STDEVP(CU20:CU1255)/CU1</f>
        <v>0.39191242658869802</v>
      </c>
      <c r="CV2" s="5">
        <f t="shared" si="4"/>
        <v>0.38226888325574626</v>
      </c>
      <c r="CW2" s="5">
        <f t="shared" si="4"/>
        <v>0.47039958265854209</v>
      </c>
      <c r="CX2" s="5">
        <f t="shared" si="4"/>
        <v>0.28513991901420721</v>
      </c>
      <c r="CY2" s="5">
        <f t="shared" si="4"/>
        <v>0.34726311136180499</v>
      </c>
      <c r="CZ2" s="5" t="e">
        <f t="shared" si="4"/>
        <v>#DIV/0!</v>
      </c>
      <c r="DA2" s="5">
        <f t="shared" si="4"/>
        <v>0.40935122870766144</v>
      </c>
      <c r="DB2" s="5"/>
      <c r="DC2" s="5">
        <f t="shared" ref="DC2:DN2" si="5">STDEVP(DC20:DC1255)/DC1</f>
        <v>0.40428817579508131</v>
      </c>
      <c r="DD2" s="5">
        <f t="shared" si="5"/>
        <v>0.38009476227080524</v>
      </c>
      <c r="DE2" s="5">
        <f t="shared" si="5"/>
        <v>0.25246216134392718</v>
      </c>
      <c r="DF2" s="5">
        <f t="shared" si="5"/>
        <v>0.46535899369191619</v>
      </c>
      <c r="DG2" s="5">
        <f t="shared" si="5"/>
        <v>0.35386224499948227</v>
      </c>
      <c r="DH2" s="5">
        <f t="shared" si="5"/>
        <v>0.23889741740875386</v>
      </c>
      <c r="DI2" s="5">
        <f t="shared" si="5"/>
        <v>0.36338181727300672</v>
      </c>
      <c r="DJ2" s="5">
        <f t="shared" si="5"/>
        <v>0.37001766088012883</v>
      </c>
      <c r="DK2" s="5">
        <f t="shared" si="5"/>
        <v>0.27687411526641736</v>
      </c>
      <c r="DL2" s="5">
        <f t="shared" si="5"/>
        <v>0.28202056049785784</v>
      </c>
      <c r="DM2" s="5">
        <f t="shared" si="5"/>
        <v>0.33256065373550431</v>
      </c>
      <c r="DN2" s="5">
        <f t="shared" si="5"/>
        <v>0.19779170508194779</v>
      </c>
      <c r="DQ2" s="4" t="e">
        <f t="shared" ref="DQ2:DQ4" si="6">FK2</f>
        <v>#DIV/0!</v>
      </c>
      <c r="DW2" s="4">
        <v>0.75</v>
      </c>
      <c r="DX2" s="4">
        <f>1/DX1</f>
        <v>0.84882636315677518</v>
      </c>
      <c r="DY2" s="4">
        <f>3*3.141592/8/12.7/0.3^0.5</f>
        <v>0.16936228394466243</v>
      </c>
      <c r="DZ2" s="4">
        <f>1/DY2</f>
        <v>5.9045023290235079</v>
      </c>
      <c r="EB2" s="4">
        <f>0.72*PI()/4</f>
        <v>0.56548667764616278</v>
      </c>
      <c r="EC2" s="4">
        <f>1/EB2</f>
        <v>1.7683882565766149</v>
      </c>
      <c r="ED2" s="4">
        <f>5*EC2</f>
        <v>8.8419412828830737</v>
      </c>
      <c r="EE2" s="4" t="e">
        <f>STDEVP(EE20:EE568)/EE1</f>
        <v>#DIV/0!</v>
      </c>
      <c r="EG2" s="4">
        <f>CP2</f>
        <v>0.34726311136180499</v>
      </c>
      <c r="EH2" s="4">
        <f>3.45/EH1</f>
        <v>3.610839160839161</v>
      </c>
      <c r="EI2" s="4">
        <f>3.5/EI1</f>
        <v>3.7083333333333335</v>
      </c>
      <c r="EM2" s="4" t="e">
        <f>STDEVP(EM20:EM678)/EM1</f>
        <v>#DIV/0!</v>
      </c>
      <c r="EN2" s="4" t="e">
        <f>STDEVP(EN20:EN678)/EN1</f>
        <v>#DIV/0!</v>
      </c>
      <c r="EP2" s="4">
        <f t="shared" ref="EP2:EP3" si="7">CY7</f>
        <v>0.14427891700440762</v>
      </c>
      <c r="ES2" s="4">
        <v>0.17292711593762511</v>
      </c>
      <c r="FK2" s="4" t="e">
        <f>STDEVP(FK20:FK678)/FK1</f>
        <v>#DIV/0!</v>
      </c>
      <c r="FL2" s="4" t="e">
        <f>STDEVP(FL20:FL678)/FL1</f>
        <v>#DIV/0!</v>
      </c>
    </row>
    <row r="3" spans="10:181" ht="12" customHeight="1" x14ac:dyDescent="0.3">
      <c r="AB3" s="4">
        <f>CY3</f>
        <v>3.4872822367819616</v>
      </c>
      <c r="BF3" s="7"/>
      <c r="BG3" s="7"/>
      <c r="BH3" s="39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10"/>
      <c r="CL3" s="7">
        <f t="shared" ref="CL3:CQ3" si="8">MAX(CU20:CU641)</f>
        <v>3.9007223111414722</v>
      </c>
      <c r="CM3" s="7">
        <f t="shared" si="8"/>
        <v>2.2796227071273441</v>
      </c>
      <c r="CN3" s="7">
        <f t="shared" si="8"/>
        <v>3.8981849746145723</v>
      </c>
      <c r="CO3" s="7">
        <f t="shared" si="8"/>
        <v>4.1928664127323829</v>
      </c>
      <c r="CP3" s="7">
        <f t="shared" si="8"/>
        <v>3.4872822367819616</v>
      </c>
      <c r="CQ3" s="7" t="e">
        <f t="shared" si="8"/>
        <v>#DIV/0!</v>
      </c>
      <c r="CR3" s="7"/>
      <c r="CS3" s="7"/>
      <c r="CT3" s="7" t="s">
        <v>28</v>
      </c>
      <c r="CU3" s="4">
        <f t="shared" ref="CU3:DA3" si="9">MAX(CU20:CU1255)</f>
        <v>3.9007223111414722</v>
      </c>
      <c r="CV3" s="4">
        <f t="shared" si="9"/>
        <v>2.2796227071273441</v>
      </c>
      <c r="CW3" s="4">
        <f t="shared" si="9"/>
        <v>3.8981849746145723</v>
      </c>
      <c r="CX3" s="4">
        <f t="shared" si="9"/>
        <v>4.1928664127323829</v>
      </c>
      <c r="CY3" s="4">
        <f t="shared" si="9"/>
        <v>3.4872822367819616</v>
      </c>
      <c r="CZ3" s="4" t="e">
        <f t="shared" si="9"/>
        <v>#DIV/0!</v>
      </c>
      <c r="DA3" s="4">
        <f t="shared" si="9"/>
        <v>3.7678109166826239</v>
      </c>
      <c r="DC3" s="4">
        <f t="shared" ref="DC3:DN3" si="10">MAX(DC20:DC1255)</f>
        <v>3.0270006048647482</v>
      </c>
      <c r="DD3" s="4">
        <f t="shared" si="10"/>
        <v>2.2796227071273441</v>
      </c>
      <c r="DE3" s="4">
        <f t="shared" si="10"/>
        <v>4.1928664127323829</v>
      </c>
      <c r="DF3" s="4">
        <f t="shared" si="10"/>
        <v>3.7678109166826239</v>
      </c>
      <c r="DG3" s="4">
        <f t="shared" si="10"/>
        <v>3.4872822367819616</v>
      </c>
      <c r="DH3" s="4">
        <f t="shared" si="10"/>
        <v>1.8118062019953518</v>
      </c>
      <c r="DI3" s="4">
        <f t="shared" si="10"/>
        <v>3.9007223111414722</v>
      </c>
      <c r="DJ3" s="4">
        <f t="shared" si="10"/>
        <v>1.9697711735090395</v>
      </c>
      <c r="DK3" s="4">
        <f t="shared" si="10"/>
        <v>3.7310919948288381</v>
      </c>
      <c r="DL3" s="4">
        <f t="shared" si="10"/>
        <v>3.0790396611328834</v>
      </c>
      <c r="DM3" s="4">
        <f t="shared" si="10"/>
        <v>3.3564461639150021</v>
      </c>
      <c r="DN3" s="4">
        <f t="shared" si="10"/>
        <v>1.7241744032031006</v>
      </c>
      <c r="DQ3" s="4">
        <f t="shared" si="6"/>
        <v>0</v>
      </c>
      <c r="DR3" s="4" t="e">
        <f>CZ3*CZ4</f>
        <v>#DIV/0!</v>
      </c>
      <c r="DT3" s="4">
        <f>2*PI()*0.689</f>
        <v>4.3291146766467348</v>
      </c>
      <c r="DV3" s="4">
        <f>DV1^0.4/1.4</f>
        <v>0.40861768510547974</v>
      </c>
      <c r="DX3" s="4">
        <f>2*0.696*PI()</f>
        <v>4.3730969737969918</v>
      </c>
      <c r="EA3" s="4">
        <f>2*0.696*PI()</f>
        <v>4.3730969737969918</v>
      </c>
      <c r="ED3" s="4">
        <f>EC1*5</f>
        <v>26.525823848649225</v>
      </c>
      <c r="EH3" s="4">
        <f>3.96/3.45</f>
        <v>1.1478260869565218</v>
      </c>
      <c r="EM3" s="4" t="e">
        <f>MAX(EM20:EM671)</f>
        <v>#DIV/0!</v>
      </c>
      <c r="EN3" s="4">
        <f>MAX(EN20:EN671)</f>
        <v>0</v>
      </c>
      <c r="EP3" s="4">
        <f t="shared" si="7"/>
        <v>1.6794082019601415</v>
      </c>
      <c r="ES3" s="4">
        <v>1.634314671293621</v>
      </c>
      <c r="EV3" s="4">
        <f>MAX(EV20:EV541)</f>
        <v>285.75</v>
      </c>
      <c r="FK3" s="4">
        <f>MAX(FK20:FK671)</f>
        <v>0</v>
      </c>
      <c r="FL3" s="4">
        <f>MAX(FL20:FL671)</f>
        <v>0</v>
      </c>
    </row>
    <row r="4" spans="10:181" ht="12" customHeight="1" x14ac:dyDescent="0.3">
      <c r="M4" s="4">
        <f>500*0.145</f>
        <v>72.5</v>
      </c>
      <c r="P4" s="4">
        <f>43/25.4</f>
        <v>1.6929133858267718</v>
      </c>
      <c r="AB4" s="4">
        <f>CY4</f>
        <v>0.61800778838527559</v>
      </c>
      <c r="BF4" s="7"/>
      <c r="BG4" s="7"/>
      <c r="BH4" s="39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10"/>
      <c r="CL4" s="7">
        <f t="shared" ref="CL4:CQ4" si="11">MIN(CU20:CU641)</f>
        <v>0.44463766638918378</v>
      </c>
      <c r="CM4" s="7">
        <f t="shared" si="11"/>
        <v>0.23714039746372731</v>
      </c>
      <c r="CN4" s="7">
        <f t="shared" si="11"/>
        <v>0.31821937636590253</v>
      </c>
      <c r="CO4" s="7">
        <f t="shared" si="11"/>
        <v>0.42644084771891505</v>
      </c>
      <c r="CP4" s="7">
        <f t="shared" si="11"/>
        <v>0.61800778838527559</v>
      </c>
      <c r="CQ4" s="7" t="e">
        <f t="shared" si="11"/>
        <v>#DIV/0!</v>
      </c>
      <c r="CR4" s="7"/>
      <c r="CS4" s="7"/>
      <c r="CT4" s="7" t="s">
        <v>29</v>
      </c>
      <c r="CU4" s="4">
        <f t="shared" ref="CU4:DA4" si="12">MIN(CU20:CU1255)</f>
        <v>0.44463766638918378</v>
      </c>
      <c r="CV4" s="4">
        <f t="shared" si="12"/>
        <v>0.23714039746372731</v>
      </c>
      <c r="CW4" s="4">
        <f t="shared" si="12"/>
        <v>0.31821937636590253</v>
      </c>
      <c r="CX4" s="4">
        <f t="shared" si="12"/>
        <v>0.42644084771891505</v>
      </c>
      <c r="CY4" s="4">
        <f t="shared" si="12"/>
        <v>0.61800778838527559</v>
      </c>
      <c r="CZ4" s="4" t="e">
        <f t="shared" si="12"/>
        <v>#DIV/0!</v>
      </c>
      <c r="DA4" s="4">
        <f t="shared" si="12"/>
        <v>0.56550765978997408</v>
      </c>
      <c r="DC4" s="4">
        <f t="shared" ref="DC4:DN4" si="13">MIN(DC20:DC1255)</f>
        <v>0.44463766638918378</v>
      </c>
      <c r="DD4" s="4">
        <f t="shared" si="13"/>
        <v>0.27663125137739181</v>
      </c>
      <c r="DE4" s="4">
        <f t="shared" si="13"/>
        <v>0.97421045534617501</v>
      </c>
      <c r="DF4" s="4">
        <f t="shared" si="13"/>
        <v>0.56550765978997408</v>
      </c>
      <c r="DG4" s="4">
        <f t="shared" si="13"/>
        <v>0.61800778838527559</v>
      </c>
      <c r="DH4" s="4">
        <f t="shared" si="13"/>
        <v>0.49532268932934714</v>
      </c>
      <c r="DI4" s="4">
        <f t="shared" si="13"/>
        <v>0.68409475652881924</v>
      </c>
      <c r="DJ4" s="4">
        <f t="shared" si="13"/>
        <v>0.23714039746372731</v>
      </c>
      <c r="DK4" s="4">
        <f t="shared" si="13"/>
        <v>0.86666480781610633</v>
      </c>
      <c r="DL4" s="4">
        <f t="shared" si="13"/>
        <v>0.71086754061834379</v>
      </c>
      <c r="DM4" s="4">
        <f t="shared" si="13"/>
        <v>0.65027889870200761</v>
      </c>
      <c r="DN4" s="4">
        <f t="shared" si="13"/>
        <v>0.65440646347147291</v>
      </c>
      <c r="DQ4" s="4">
        <f t="shared" si="6"/>
        <v>0</v>
      </c>
      <c r="DR4" s="4">
        <f>DO3*DO4</f>
        <v>0</v>
      </c>
      <c r="DT4" s="4">
        <f>3*0.982+0.5</f>
        <v>3.4459999999999997</v>
      </c>
      <c r="DV4" s="4">
        <f>1/1.4*(1-DV1^1.4)/(1-DV1)</f>
        <v>0.81483267035856422</v>
      </c>
      <c r="DX4" s="4">
        <f>3*0.988+0.5</f>
        <v>3.464</v>
      </c>
      <c r="DY4" s="4">
        <f>(1-1/13.8)/3.46</f>
        <v>0.2680740554578202</v>
      </c>
      <c r="DZ4" s="4">
        <f>1/DY4</f>
        <v>3.7303125000000001</v>
      </c>
      <c r="EA4" s="4">
        <f>3*0.988+0.5</f>
        <v>3.464</v>
      </c>
      <c r="EB4" s="4">
        <f>(1-1/18.4)/3.46</f>
        <v>0.27330987685348079</v>
      </c>
      <c r="EC4" s="4">
        <f>1/EB4</f>
        <v>3.6588505747126434</v>
      </c>
      <c r="EM4" s="4" t="e">
        <f>MIN(EM20:EM671)</f>
        <v>#DIV/0!</v>
      </c>
      <c r="EN4" s="4">
        <f>MIN(EN20:EN671)</f>
        <v>0</v>
      </c>
      <c r="EP4" s="4">
        <f>CY9</f>
        <v>0.88170720161183924</v>
      </c>
      <c r="ES4" s="4">
        <v>0.66282847381341337</v>
      </c>
      <c r="EV4" s="4">
        <f>MIN(EV20:EV541)</f>
        <v>254</v>
      </c>
      <c r="FK4" s="4">
        <f>MIN(FK20:FK671)</f>
        <v>0</v>
      </c>
      <c r="FL4" s="4">
        <f>MIN(FL20:FL671)</f>
        <v>0</v>
      </c>
    </row>
    <row r="5" spans="10:181" ht="12" customHeight="1" x14ac:dyDescent="0.3">
      <c r="M5" s="4">
        <f>28.7/25.4</f>
        <v>1.1299212598425197</v>
      </c>
      <c r="P5" s="4">
        <f>57.3/25.4</f>
        <v>2.2559055118110236</v>
      </c>
      <c r="BF5" s="7"/>
      <c r="BG5" s="7"/>
      <c r="BH5" s="39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10"/>
      <c r="CL5" s="7"/>
      <c r="CM5" s="7"/>
      <c r="CN5" s="7"/>
      <c r="CO5" s="7"/>
      <c r="CP5" s="7"/>
      <c r="CQ5" s="7"/>
      <c r="CR5" s="7"/>
      <c r="CS5" s="7"/>
      <c r="CT5" s="7"/>
      <c r="DT5" s="4">
        <f>4.33-3.45</f>
        <v>0.87999999999999989</v>
      </c>
      <c r="DX5" s="4">
        <f>4.37-3.46</f>
        <v>0.91000000000000014</v>
      </c>
      <c r="DY5" s="4">
        <f>3.19/3.46</f>
        <v>0.9219653179190751</v>
      </c>
      <c r="DZ5" s="4">
        <f>1/DY5</f>
        <v>1.084639498432602</v>
      </c>
      <c r="EA5" s="4">
        <f>4.37-3.46</f>
        <v>0.91000000000000014</v>
      </c>
      <c r="EB5" s="4">
        <f>4.1/3.46</f>
        <v>1.1849710982658959</v>
      </c>
      <c r="EC5" s="4">
        <f>1/EB5</f>
        <v>0.84390243902439033</v>
      </c>
      <c r="ED5" s="4">
        <f>1/3.1</f>
        <v>0.32258064516129031</v>
      </c>
    </row>
    <row r="6" spans="10:181" ht="12" customHeight="1" x14ac:dyDescent="0.3">
      <c r="J6" s="9"/>
      <c r="K6" s="9"/>
      <c r="M6" s="4">
        <f>130*0.145</f>
        <v>18.849999999999998</v>
      </c>
      <c r="X6" s="4" t="str">
        <f>CS6</f>
        <v>CCT</v>
      </c>
      <c r="AA6" s="4" t="str">
        <f>CT6</f>
        <v>avg</v>
      </c>
      <c r="AB6" s="4">
        <f t="shared" ref="AB6:AB17" si="14">CY6</f>
        <v>1.2833475794749885</v>
      </c>
      <c r="BF6" s="7"/>
      <c r="BG6" s="7"/>
      <c r="BH6" s="39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10"/>
      <c r="CL6" s="7"/>
      <c r="CM6" s="7"/>
      <c r="CN6" s="7"/>
      <c r="CO6" s="7"/>
      <c r="CP6" s="7"/>
      <c r="CQ6" s="7"/>
      <c r="CR6" s="7"/>
      <c r="CS6" s="7" t="s">
        <v>55</v>
      </c>
      <c r="CT6" s="5" t="s">
        <v>27</v>
      </c>
      <c r="CU6" s="5">
        <f t="shared" ref="CU6:DA6" si="15">AVERAGE(CU20:CU104)</f>
        <v>2.2817899242208832</v>
      </c>
      <c r="CV6" s="5">
        <f t="shared" si="15"/>
        <v>1.2446302262494444</v>
      </c>
      <c r="CW6" s="5">
        <f t="shared" si="15"/>
        <v>2.3962790075813931</v>
      </c>
      <c r="CX6" s="5">
        <f t="shared" si="15"/>
        <v>2.1440962859626134</v>
      </c>
      <c r="CY6" s="5">
        <f t="shared" si="15"/>
        <v>1.2833475794749885</v>
      </c>
      <c r="CZ6" s="5">
        <f t="shared" si="15"/>
        <v>1.4097758472861859</v>
      </c>
      <c r="DA6" s="5">
        <f t="shared" si="15"/>
        <v>1.395726239153553</v>
      </c>
      <c r="DB6" s="5"/>
      <c r="DC6" s="5">
        <f t="shared" ref="DC6:DN6" si="16">AVERAGE(DC20:DC104)</f>
        <v>2.2769445009017959</v>
      </c>
      <c r="DD6" s="5">
        <f t="shared" si="16"/>
        <v>1.2514609999841295</v>
      </c>
      <c r="DE6" s="5">
        <f t="shared" si="16"/>
        <v>2.1831657646810618</v>
      </c>
      <c r="DF6" s="5">
        <f t="shared" si="16"/>
        <v>1.4165813587513074</v>
      </c>
      <c r="DG6" s="5">
        <f t="shared" si="16"/>
        <v>1.2864455584321524</v>
      </c>
      <c r="DH6" s="5">
        <f t="shared" si="16"/>
        <v>1.4115094025178012</v>
      </c>
      <c r="DI6" s="5">
        <f t="shared" si="16"/>
        <v>2.3980800838789804</v>
      </c>
      <c r="DJ6" s="5">
        <f t="shared" si="16"/>
        <v>1.0806916566170006</v>
      </c>
      <c r="DK6" s="5">
        <f t="shared" si="16"/>
        <v>1.2064287967198433</v>
      </c>
      <c r="DL6" s="5">
        <f t="shared" si="16"/>
        <v>0.89520336880745377</v>
      </c>
      <c r="DM6" s="5">
        <f t="shared" si="16"/>
        <v>1.2089960845030583</v>
      </c>
      <c r="DN6" s="5">
        <f t="shared" si="16"/>
        <v>1.3681705217274174</v>
      </c>
      <c r="DT6" s="4">
        <f>0.88*4.5</f>
        <v>3.96</v>
      </c>
      <c r="DX6" s="4">
        <f>0.91*3.5</f>
        <v>3.1850000000000001</v>
      </c>
      <c r="DY6" s="4">
        <f>4.6*3</f>
        <v>13.799999999999999</v>
      </c>
      <c r="EA6" s="4">
        <f>0.91*4.5</f>
        <v>4.0949999999999998</v>
      </c>
      <c r="EB6" s="4">
        <f>4.6*4</f>
        <v>18.399999999999999</v>
      </c>
    </row>
    <row r="7" spans="10:181" ht="12" customHeight="1" x14ac:dyDescent="0.3">
      <c r="J7" s="9"/>
      <c r="K7" s="9"/>
      <c r="M7" s="4">
        <f>226*0.145</f>
        <v>32.769999999999996</v>
      </c>
      <c r="AA7" s="4" t="str">
        <f>CT7</f>
        <v>cov</v>
      </c>
      <c r="AB7" s="4">
        <f t="shared" si="14"/>
        <v>0.14427891700440762</v>
      </c>
      <c r="BF7" s="7"/>
      <c r="BG7" s="7"/>
      <c r="BH7" s="39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10"/>
      <c r="CL7" s="7"/>
      <c r="CM7" s="7"/>
      <c r="CN7" s="7"/>
      <c r="CO7" s="7"/>
      <c r="CP7" s="7"/>
      <c r="CQ7" s="7"/>
      <c r="CR7" s="7"/>
      <c r="CS7" s="7"/>
      <c r="CT7" s="8" t="s">
        <v>217</v>
      </c>
      <c r="CU7" s="5">
        <f t="shared" ref="CU7:DA7" si="17">STDEVP(CU20:CU104)/CU6</f>
        <v>0.11214664336210099</v>
      </c>
      <c r="CV7" s="5">
        <f t="shared" si="17"/>
        <v>0.25926576533104256</v>
      </c>
      <c r="CW7" s="5">
        <f t="shared" si="17"/>
        <v>0.19110733671463734</v>
      </c>
      <c r="CX7" s="5">
        <f t="shared" si="17"/>
        <v>0.34157126164590873</v>
      </c>
      <c r="CY7" s="5">
        <f t="shared" si="17"/>
        <v>0.14427891700440762</v>
      </c>
      <c r="CZ7" s="5">
        <f t="shared" si="17"/>
        <v>0.14762196597760932</v>
      </c>
      <c r="DA7" s="5">
        <f t="shared" si="17"/>
        <v>0.27574724573767473</v>
      </c>
      <c r="DB7" s="5"/>
      <c r="DC7" s="5">
        <f t="shared" ref="DC7:DN7" si="18">STDEVP(DC20:DC104)/DC6</f>
        <v>0.11413613135489725</v>
      </c>
      <c r="DD7" s="5">
        <f t="shared" si="18"/>
        <v>0.26172765716051666</v>
      </c>
      <c r="DE7" s="5">
        <f t="shared" si="18"/>
        <v>0.33046980749033161</v>
      </c>
      <c r="DF7" s="5">
        <f t="shared" si="18"/>
        <v>0.26732996076934434</v>
      </c>
      <c r="DG7" s="5">
        <f t="shared" si="18"/>
        <v>0.1464041129891939</v>
      </c>
      <c r="DH7" s="5">
        <f t="shared" si="18"/>
        <v>0.15035535689457027</v>
      </c>
      <c r="DI7" s="5">
        <f t="shared" si="18"/>
        <v>1.8867924528301862E-2</v>
      </c>
      <c r="DJ7" s="5">
        <f t="shared" si="18"/>
        <v>1.8867924528301862E-2</v>
      </c>
      <c r="DK7" s="5">
        <f t="shared" si="18"/>
        <v>1.8867924528301865E-2</v>
      </c>
      <c r="DL7" s="5">
        <f t="shared" si="18"/>
        <v>1.88679245283019E-2</v>
      </c>
      <c r="DM7" s="5">
        <f t="shared" si="18"/>
        <v>2.8516451327094939E-3</v>
      </c>
      <c r="DN7" s="5">
        <f t="shared" si="18"/>
        <v>1.4970356728979098E-3</v>
      </c>
      <c r="DT7" s="4">
        <f>0.85*4.5*(3*PI()-4+2/4.5)</f>
        <v>22.449775699942876</v>
      </c>
      <c r="ET7" s="4">
        <f>SQRT(ET8-1)*1.4</f>
        <v>2.9802545818306698</v>
      </c>
    </row>
    <row r="8" spans="10:181" ht="12" customHeight="1" x14ac:dyDescent="0.3">
      <c r="AB8" s="4">
        <f t="shared" si="14"/>
        <v>1.6794082019601415</v>
      </c>
      <c r="BF8" s="7"/>
      <c r="BG8" s="7"/>
      <c r="BH8" s="39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10"/>
      <c r="CL8" s="7"/>
      <c r="CM8" s="7"/>
      <c r="CN8" s="7"/>
      <c r="CO8" s="7"/>
      <c r="CP8" s="7"/>
      <c r="CQ8" s="7"/>
      <c r="CR8" s="7">
        <f>500*0.154</f>
        <v>77</v>
      </c>
      <c r="CS8" s="7"/>
      <c r="CT8" s="7" t="s">
        <v>28</v>
      </c>
      <c r="CU8" s="4">
        <f t="shared" ref="CU8:DA8" si="19">MAX(CU20:CU104)</f>
        <v>3.0270006048647482</v>
      </c>
      <c r="CV8" s="4">
        <f t="shared" si="19"/>
        <v>2.2796227071273441</v>
      </c>
      <c r="CW8" s="4">
        <f t="shared" si="19"/>
        <v>3.8981849746145723</v>
      </c>
      <c r="CX8" s="4">
        <f t="shared" si="19"/>
        <v>4.1928664127323829</v>
      </c>
      <c r="CY8" s="4">
        <f t="shared" si="19"/>
        <v>1.6794082019601415</v>
      </c>
      <c r="CZ8" s="4">
        <f t="shared" si="19"/>
        <v>1.8118062019953518</v>
      </c>
      <c r="DA8" s="4">
        <f t="shared" si="19"/>
        <v>2.1241819020208603</v>
      </c>
      <c r="DC8" s="4">
        <f t="shared" ref="DC8:DN8" si="20">MAX(DC20:DC104)</f>
        <v>3.0270006048647482</v>
      </c>
      <c r="DD8" s="4">
        <f t="shared" si="20"/>
        <v>2.2796227071273441</v>
      </c>
      <c r="DE8" s="4">
        <f t="shared" si="20"/>
        <v>4.1928664127323829</v>
      </c>
      <c r="DF8" s="4">
        <f t="shared" si="20"/>
        <v>2.1241819020208603</v>
      </c>
      <c r="DG8" s="4">
        <f t="shared" si="20"/>
        <v>1.6794082019601415</v>
      </c>
      <c r="DH8" s="4">
        <f t="shared" si="20"/>
        <v>1.8118062019953518</v>
      </c>
      <c r="DI8" s="4">
        <f t="shared" si="20"/>
        <v>2.443326877914433</v>
      </c>
      <c r="DJ8" s="4">
        <f t="shared" si="20"/>
        <v>1.1010820652324156</v>
      </c>
      <c r="DK8" s="4">
        <f t="shared" si="20"/>
        <v>1.2291916042051232</v>
      </c>
      <c r="DL8" s="4">
        <f t="shared" si="20"/>
        <v>0.91209399840759442</v>
      </c>
      <c r="DM8" s="4">
        <f t="shared" si="20"/>
        <v>1.2124437123028964</v>
      </c>
      <c r="DN8" s="4">
        <f t="shared" si="20"/>
        <v>1.3702187218050508</v>
      </c>
      <c r="DQ8" s="4">
        <f>1.4/3.1</f>
        <v>0.45161290322580638</v>
      </c>
      <c r="ET8" s="4">
        <f>ET9^2</f>
        <v>5.5315904961850526</v>
      </c>
      <c r="EZ8" s="4" t="e">
        <f>(EZ9-FA9)*4*ET9</f>
        <v>#DIV/0!</v>
      </c>
      <c r="FA8" s="4" t="e">
        <f>3*FA9+0.5</f>
        <v>#DIV/0!</v>
      </c>
      <c r="FB8" s="4" t="s">
        <v>30</v>
      </c>
    </row>
    <row r="9" spans="10:181" ht="12" customHeight="1" x14ac:dyDescent="0.3">
      <c r="AB9" s="4">
        <f t="shared" si="14"/>
        <v>0.88170720161183924</v>
      </c>
      <c r="BF9" s="7"/>
      <c r="BG9" s="7"/>
      <c r="BH9" s="39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10"/>
      <c r="CL9" s="7"/>
      <c r="CM9" s="7"/>
      <c r="CN9" s="7"/>
      <c r="CO9" s="7"/>
      <c r="CP9" s="7"/>
      <c r="CQ9" s="7"/>
      <c r="CR9" s="7"/>
      <c r="CS9" s="7"/>
      <c r="CT9" s="7" t="s">
        <v>29</v>
      </c>
      <c r="CU9" s="4">
        <f t="shared" ref="CU9:DA9" si="21">MIN(CU20:CU104)</f>
        <v>1.7364297769457027</v>
      </c>
      <c r="CV9" s="4">
        <f t="shared" si="21"/>
        <v>0.7325953836940865</v>
      </c>
      <c r="CW9" s="4">
        <f t="shared" si="21"/>
        <v>1.2185908491732296</v>
      </c>
      <c r="CX9" s="4">
        <f t="shared" si="21"/>
        <v>1.1836659892345631</v>
      </c>
      <c r="CY9" s="4">
        <f t="shared" si="21"/>
        <v>0.88170720161183924</v>
      </c>
      <c r="CZ9" s="4">
        <f t="shared" si="21"/>
        <v>0.92555359594594022</v>
      </c>
      <c r="DA9" s="4">
        <f t="shared" si="21"/>
        <v>0.61069430303833316</v>
      </c>
      <c r="DC9" s="4">
        <f t="shared" ref="DC9:DN9" si="22">MIN(DC20:DC104)</f>
        <v>1.7364297769457027</v>
      </c>
      <c r="DD9" s="4">
        <f t="shared" si="22"/>
        <v>0.7325953836940865</v>
      </c>
      <c r="DE9" s="4">
        <f t="shared" si="22"/>
        <v>1.4705608967501955</v>
      </c>
      <c r="DF9" s="4">
        <f t="shared" si="22"/>
        <v>0.61069430303833316</v>
      </c>
      <c r="DG9" s="4">
        <f t="shared" si="22"/>
        <v>0.88170720161183924</v>
      </c>
      <c r="DH9" s="4">
        <f t="shared" si="22"/>
        <v>0.92555359594594022</v>
      </c>
      <c r="DI9" s="4">
        <f t="shared" si="22"/>
        <v>2.3528332898435282</v>
      </c>
      <c r="DJ9" s="4">
        <f t="shared" si="22"/>
        <v>1.0603012480015854</v>
      </c>
      <c r="DK9" s="4">
        <f t="shared" si="22"/>
        <v>1.1836659892345631</v>
      </c>
      <c r="DL9" s="4">
        <f t="shared" si="22"/>
        <v>0.87831273920731312</v>
      </c>
      <c r="DM9" s="4">
        <f t="shared" si="22"/>
        <v>1.2055484567032204</v>
      </c>
      <c r="DN9" s="4">
        <f t="shared" si="22"/>
        <v>1.3661223216497842</v>
      </c>
      <c r="DT9" s="114" t="s">
        <v>219</v>
      </c>
      <c r="DU9" s="114"/>
      <c r="DV9" s="114"/>
      <c r="DW9" s="114"/>
      <c r="DX9" s="114"/>
      <c r="DY9" s="114"/>
      <c r="DZ9" s="114"/>
      <c r="EH9" s="4" t="e">
        <f>MIN(1,MAX(0.85,(1-0.2*(BZ9-2*#REF!)/#REF!)*IF(U9&gt;=2,0.7,1)))</f>
        <v>#REF!</v>
      </c>
      <c r="EL9" s="114" t="s">
        <v>51</v>
      </c>
      <c r="EM9" s="114"/>
      <c r="EN9" s="114"/>
      <c r="EP9" s="4" t="s">
        <v>196</v>
      </c>
      <c r="EQ9" s="4" t="s">
        <v>197</v>
      </c>
      <c r="ET9" s="4">
        <f>AVERAGE(ET53:ET305)</f>
        <v>2.3519333528365665</v>
      </c>
      <c r="EW9" s="4">
        <f>0.00045*ES9</f>
        <v>0</v>
      </c>
      <c r="EY9" s="4" t="e">
        <f>AVERAGE(EY53:EY305)</f>
        <v>#DIV/0!</v>
      </c>
      <c r="EZ9" s="4" t="e">
        <f>EY9^0.4</f>
        <v>#DIV/0!</v>
      </c>
      <c r="FA9" s="4" t="e">
        <f>1/1.4*(1-EY9^1.4)/(1-EY9)</f>
        <v>#DIV/0!</v>
      </c>
      <c r="FB9" s="4">
        <v>0.75</v>
      </c>
      <c r="FK9" s="4" t="s">
        <v>41</v>
      </c>
    </row>
    <row r="10" spans="10:181" ht="12" customHeight="1" x14ac:dyDescent="0.3">
      <c r="X10" s="4" t="str">
        <f>CS10</f>
        <v>Splice</v>
      </c>
      <c r="AA10" s="4" t="str">
        <f>CT10</f>
        <v>avg</v>
      </c>
      <c r="AB10" s="4">
        <f t="shared" si="14"/>
        <v>1.0300130388436419</v>
      </c>
      <c r="BF10" s="7"/>
      <c r="BG10" s="7"/>
      <c r="BH10" s="39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10"/>
      <c r="CL10" s="7"/>
      <c r="CM10" s="7"/>
      <c r="CN10" s="7"/>
      <c r="CO10" s="7"/>
      <c r="CP10" s="7"/>
      <c r="CQ10" s="7"/>
      <c r="CR10" s="7"/>
      <c r="CS10" s="7" t="s">
        <v>199</v>
      </c>
      <c r="CT10" s="5" t="s">
        <v>27</v>
      </c>
      <c r="CU10" s="5">
        <f t="shared" ref="CU10:DA10" si="23">AVERAGE(CU105:CU153)</f>
        <v>0.98633113248028081</v>
      </c>
      <c r="CV10" s="5">
        <f t="shared" si="23"/>
        <v>1.1543090513133545</v>
      </c>
      <c r="CW10" s="5">
        <f t="shared" si="23"/>
        <v>1.2417841640681262</v>
      </c>
      <c r="CX10" s="5">
        <f t="shared" si="23"/>
        <v>1.8189278742084238</v>
      </c>
      <c r="CY10" s="5">
        <f t="shared" si="23"/>
        <v>1.0300130388436419</v>
      </c>
      <c r="CZ10" s="5">
        <f t="shared" si="23"/>
        <v>1.0676176870118286</v>
      </c>
      <c r="DA10" s="5">
        <f t="shared" si="23"/>
        <v>0.9346302958867051</v>
      </c>
      <c r="DB10" s="5"/>
      <c r="DC10" s="5">
        <f t="shared" ref="DC10:DN10" si="24">AVERAGE(DC105:DC153)</f>
        <v>0.79949301278601104</v>
      </c>
      <c r="DD10" s="5">
        <f t="shared" si="24"/>
        <v>1.0194457866935724</v>
      </c>
      <c r="DE10" s="5">
        <f t="shared" si="24"/>
        <v>1.753104988483839</v>
      </c>
      <c r="DF10" s="5">
        <f t="shared" si="24"/>
        <v>0.7966113805938202</v>
      </c>
      <c r="DG10" s="5">
        <f t="shared" si="24"/>
        <v>1.0713177337312305</v>
      </c>
      <c r="DH10" s="5">
        <f t="shared" si="24"/>
        <v>1.1131878473096661</v>
      </c>
      <c r="DI10" s="5">
        <f t="shared" si="24"/>
        <v>1.1928364226686854</v>
      </c>
      <c r="DJ10" s="5">
        <f t="shared" si="24"/>
        <v>1.3033684490510089</v>
      </c>
      <c r="DK10" s="5">
        <f t="shared" si="24"/>
        <v>1.8916794847461227</v>
      </c>
      <c r="DL10" s="5">
        <f t="shared" si="24"/>
        <v>1.0871775180525252</v>
      </c>
      <c r="DM10" s="5">
        <f t="shared" si="24"/>
        <v>0.98436048133630683</v>
      </c>
      <c r="DN10" s="5">
        <f t="shared" si="24"/>
        <v>1.0172506677352713</v>
      </c>
      <c r="DQ10" s="4">
        <f>1/3.1</f>
        <v>0.32258064516129031</v>
      </c>
      <c r="DT10" s="10"/>
      <c r="DU10" s="10"/>
      <c r="DV10" s="10"/>
      <c r="DW10" s="10"/>
      <c r="DX10" s="10"/>
      <c r="DY10" s="10"/>
      <c r="DZ10" s="10"/>
      <c r="EB10" s="4">
        <v>1</v>
      </c>
      <c r="EL10" s="10"/>
      <c r="EM10" s="10"/>
      <c r="EN10" s="10"/>
    </row>
    <row r="11" spans="10:181" ht="12" customHeight="1" x14ac:dyDescent="0.3">
      <c r="AA11" s="4" t="str">
        <f>CT11</f>
        <v>cov</v>
      </c>
      <c r="AB11" s="4">
        <f t="shared" si="14"/>
        <v>0.15934382407073391</v>
      </c>
      <c r="BF11" s="7"/>
      <c r="BG11" s="7"/>
      <c r="BH11" s="39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10"/>
      <c r="CL11" s="7"/>
      <c r="CM11" s="7"/>
      <c r="CN11" s="7"/>
      <c r="CO11" s="7"/>
      <c r="CP11" s="7"/>
      <c r="CQ11" s="7"/>
      <c r="CR11" s="7"/>
      <c r="CS11" s="7"/>
      <c r="CT11" s="8" t="s">
        <v>217</v>
      </c>
      <c r="CU11" s="5">
        <f t="shared" ref="CU11:DA11" si="25">STDEVP(CU105:CU153)/CU10</f>
        <v>0.55207244761722296</v>
      </c>
      <c r="CV11" s="5">
        <f t="shared" si="25"/>
        <v>0.2430018890487293</v>
      </c>
      <c r="CW11" s="5">
        <f t="shared" si="25"/>
        <v>0.26423267654880483</v>
      </c>
      <c r="CX11" s="5">
        <f t="shared" si="25"/>
        <v>0.30043336407413007</v>
      </c>
      <c r="CY11" s="5">
        <f t="shared" si="25"/>
        <v>0.15934382407073391</v>
      </c>
      <c r="CZ11" s="5">
        <f t="shared" si="25"/>
        <v>0.14982983429619767</v>
      </c>
      <c r="DA11" s="5">
        <f t="shared" si="25"/>
        <v>0.22577409361854661</v>
      </c>
      <c r="DB11" s="5"/>
      <c r="DC11" s="5">
        <f t="shared" ref="DC11:DN11" si="26">STDEVP(DC105:DC153)/DC10</f>
        <v>0.57931133326434092</v>
      </c>
      <c r="DD11" s="5">
        <f t="shared" si="26"/>
        <v>0.15886659523565255</v>
      </c>
      <c r="DE11" s="5">
        <f t="shared" si="26"/>
        <v>0.19216965788990065</v>
      </c>
      <c r="DF11" s="5">
        <f t="shared" si="26"/>
        <v>0.18762940169200265</v>
      </c>
      <c r="DG11" s="5">
        <f t="shared" si="26"/>
        <v>0.14171909034808791</v>
      </c>
      <c r="DH11" s="5">
        <f t="shared" si="26"/>
        <v>0.13222150845223379</v>
      </c>
      <c r="DI11" s="5">
        <f t="shared" si="26"/>
        <v>0.46367622315518181</v>
      </c>
      <c r="DJ11" s="5">
        <f t="shared" si="26"/>
        <v>0.23564435910799594</v>
      </c>
      <c r="DK11" s="5">
        <f t="shared" si="26"/>
        <v>0.37123279914485935</v>
      </c>
      <c r="DL11" s="5">
        <f t="shared" si="26"/>
        <v>0.14463229029701211</v>
      </c>
      <c r="DM11" s="5">
        <f t="shared" si="26"/>
        <v>0.16773814683173383</v>
      </c>
      <c r="DN11" s="5">
        <f t="shared" si="26"/>
        <v>0.15571776093937953</v>
      </c>
      <c r="DQ11" s="4">
        <f>2.8/3.1</f>
        <v>0.90322580645161277</v>
      </c>
      <c r="DT11" s="10"/>
      <c r="DU11" s="10"/>
      <c r="DV11" s="10"/>
      <c r="DW11" s="10"/>
      <c r="DX11" s="10"/>
      <c r="DY11" s="10"/>
      <c r="DZ11" s="10"/>
      <c r="EB11" s="4">
        <v>1</v>
      </c>
      <c r="EL11" s="10"/>
      <c r="EM11" s="10"/>
      <c r="EN11" s="10"/>
    </row>
    <row r="12" spans="10:181" ht="12" customHeight="1" x14ac:dyDescent="0.3">
      <c r="AB12" s="4">
        <f t="shared" si="14"/>
        <v>1.3945416640120281</v>
      </c>
      <c r="BF12" s="7"/>
      <c r="BG12" s="7"/>
      <c r="BH12" s="39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10"/>
      <c r="CL12" s="7"/>
      <c r="CM12" s="7"/>
      <c r="CN12" s="7"/>
      <c r="CO12" s="7"/>
      <c r="CP12" s="7"/>
      <c r="CQ12" s="7"/>
      <c r="CR12" s="7"/>
      <c r="CS12" s="7"/>
      <c r="CT12" s="7" t="s">
        <v>28</v>
      </c>
      <c r="CU12" s="4">
        <f t="shared" ref="CU12:DA12" si="27">MAX(CU105:CU153)</f>
        <v>2.5273971248800322</v>
      </c>
      <c r="CV12" s="4">
        <f t="shared" si="27"/>
        <v>1.9697711735090395</v>
      </c>
      <c r="CW12" s="4">
        <f t="shared" si="27"/>
        <v>1.9806924856322257</v>
      </c>
      <c r="CX12" s="4">
        <f t="shared" si="27"/>
        <v>3.7310919948288381</v>
      </c>
      <c r="CY12" s="4">
        <f t="shared" si="27"/>
        <v>1.3945416640120281</v>
      </c>
      <c r="CZ12" s="4">
        <f t="shared" si="27"/>
        <v>1.4007274122258497</v>
      </c>
      <c r="DA12" s="4">
        <f t="shared" si="27"/>
        <v>1.2848498400414692</v>
      </c>
      <c r="DC12" s="4">
        <f t="shared" ref="DC12:DN12" si="28">MAX(DC105:DC153)</f>
        <v>1.831237871729706</v>
      </c>
      <c r="DD12" s="4">
        <f t="shared" si="28"/>
        <v>1.4385492279045442</v>
      </c>
      <c r="DE12" s="4">
        <f t="shared" si="28"/>
        <v>2.1513002317439862</v>
      </c>
      <c r="DF12" s="4">
        <f t="shared" si="28"/>
        <v>1.0839082745067503</v>
      </c>
      <c r="DG12" s="4">
        <f t="shared" si="28"/>
        <v>1.2715293577383433</v>
      </c>
      <c r="DH12" s="4">
        <f t="shared" si="28"/>
        <v>1.317244290552404</v>
      </c>
      <c r="DI12" s="4">
        <f t="shared" si="28"/>
        <v>2.5273971248800322</v>
      </c>
      <c r="DJ12" s="4">
        <f t="shared" si="28"/>
        <v>1.9697711735090395</v>
      </c>
      <c r="DK12" s="4">
        <f t="shared" si="28"/>
        <v>3.7310919948288381</v>
      </c>
      <c r="DL12" s="4">
        <f t="shared" si="28"/>
        <v>1.2848498400414692</v>
      </c>
      <c r="DM12" s="4">
        <f t="shared" si="28"/>
        <v>1.3945416640120281</v>
      </c>
      <c r="DN12" s="4">
        <f t="shared" si="28"/>
        <v>1.4007274122258497</v>
      </c>
      <c r="DT12" s="10"/>
      <c r="DU12" s="10"/>
      <c r="DV12" s="10"/>
      <c r="DW12" s="10"/>
      <c r="DX12" s="10"/>
      <c r="DY12" s="10"/>
      <c r="DZ12" s="10"/>
      <c r="EL12" s="10"/>
      <c r="EM12" s="10"/>
      <c r="EN12" s="10"/>
      <c r="EO12" s="4">
        <f>MIN(EO255:EO456)</f>
        <v>0.59499999999999997</v>
      </c>
    </row>
    <row r="13" spans="10:181" ht="12" customHeight="1" x14ac:dyDescent="0.3">
      <c r="AB13" s="4">
        <f t="shared" si="14"/>
        <v>0.69659629554846381</v>
      </c>
      <c r="BF13" s="7"/>
      <c r="BG13" s="7"/>
      <c r="BH13" s="39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10"/>
      <c r="CL13" s="7"/>
      <c r="CM13" s="7"/>
      <c r="CN13" s="7"/>
      <c r="CO13" s="7"/>
      <c r="CP13" s="7"/>
      <c r="CQ13" s="7"/>
      <c r="CR13" s="7"/>
      <c r="CS13" s="7"/>
      <c r="CT13" s="7" t="s">
        <v>29</v>
      </c>
      <c r="CU13" s="4">
        <f t="shared" ref="CU13:DA13" si="29">MIN(CU105:CU153)</f>
        <v>0.44463766638918378</v>
      </c>
      <c r="CV13" s="4">
        <f t="shared" si="29"/>
        <v>0.7169147487158688</v>
      </c>
      <c r="CW13" s="4">
        <f t="shared" si="29"/>
        <v>0.84329893260419375</v>
      </c>
      <c r="CX13" s="4">
        <f t="shared" si="29"/>
        <v>0.86666480781610633</v>
      </c>
      <c r="CY13" s="4">
        <f t="shared" si="29"/>
        <v>0.69659629554846381</v>
      </c>
      <c r="CZ13" s="4">
        <f t="shared" si="29"/>
        <v>0.72336424582212799</v>
      </c>
      <c r="DA13" s="4">
        <f t="shared" si="29"/>
        <v>0.56550765978997408</v>
      </c>
      <c r="DC13" s="4">
        <f t="shared" ref="DC13:DN13" si="30">MIN(DC105:DC153)</f>
        <v>0.44463766638918378</v>
      </c>
      <c r="DD13" s="4">
        <f t="shared" si="30"/>
        <v>0.77377372810250911</v>
      </c>
      <c r="DE13" s="4">
        <f t="shared" si="30"/>
        <v>1.1308190177150246</v>
      </c>
      <c r="DF13" s="4">
        <f t="shared" si="30"/>
        <v>0.56550765978997408</v>
      </c>
      <c r="DG13" s="4">
        <f t="shared" si="30"/>
        <v>0.74963962286101182</v>
      </c>
      <c r="DH13" s="4">
        <f t="shared" si="30"/>
        <v>0.80409497946677988</v>
      </c>
      <c r="DI13" s="4">
        <f t="shared" si="30"/>
        <v>0.68409475652881924</v>
      </c>
      <c r="DJ13" s="4">
        <f t="shared" si="30"/>
        <v>0.7169147487158688</v>
      </c>
      <c r="DK13" s="4">
        <f t="shared" si="30"/>
        <v>0.86666480781610633</v>
      </c>
      <c r="DL13" s="4">
        <f t="shared" si="30"/>
        <v>0.77573488574208971</v>
      </c>
      <c r="DM13" s="4">
        <f t="shared" si="30"/>
        <v>0.69659629554846381</v>
      </c>
      <c r="DN13" s="4">
        <f t="shared" si="30"/>
        <v>0.72336424582212799</v>
      </c>
      <c r="DT13" s="10"/>
      <c r="DU13" s="10"/>
      <c r="DV13" s="10"/>
      <c r="DW13" s="10"/>
      <c r="DX13" s="10"/>
      <c r="DY13" s="10"/>
      <c r="DZ13" s="10"/>
      <c r="EB13" s="4">
        <f>EB14/2</f>
        <v>4.4635210054562968</v>
      </c>
      <c r="EL13" s="10"/>
      <c r="EM13" s="10"/>
      <c r="EN13" s="10"/>
      <c r="EO13" s="4">
        <f>MAX(EO255:EO456)</f>
        <v>0.85</v>
      </c>
    </row>
    <row r="14" spans="10:181" ht="12" customHeight="1" x14ac:dyDescent="0.3">
      <c r="X14" s="4" t="str">
        <f>CS14</f>
        <v>Joint</v>
      </c>
      <c r="AA14" s="4" t="str">
        <f>CT14</f>
        <v>avg</v>
      </c>
      <c r="AB14" s="4">
        <f t="shared" si="14"/>
        <v>1.4705740455082434</v>
      </c>
      <c r="AD14" s="4">
        <f>MIN(AD53:AD456)</f>
        <v>1.1000000000000001</v>
      </c>
      <c r="BF14" s="7"/>
      <c r="BG14" s="7"/>
      <c r="BH14" s="39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10"/>
      <c r="CL14" s="7"/>
      <c r="CM14" s="7"/>
      <c r="CN14" s="7"/>
      <c r="CO14" s="7"/>
      <c r="CP14" s="7"/>
      <c r="CQ14" s="7"/>
      <c r="CR14" s="7"/>
      <c r="CS14" s="7" t="s">
        <v>200</v>
      </c>
      <c r="CT14" s="5" t="s">
        <v>27</v>
      </c>
      <c r="CU14" s="5">
        <f t="shared" ref="CU14:DA14" si="31">AVERAGE(CU154:CU1258)</f>
        <v>1.6836129640445769</v>
      </c>
      <c r="CV14" s="5">
        <f t="shared" si="31"/>
        <v>0.8607046464553616</v>
      </c>
      <c r="CW14" s="5">
        <f t="shared" si="31"/>
        <v>0.99544402010745126</v>
      </c>
      <c r="CX14" s="5">
        <f t="shared" si="31"/>
        <v>1.8362983134129138</v>
      </c>
      <c r="CY14" s="5">
        <f t="shared" si="31"/>
        <v>1.4705740455082434</v>
      </c>
      <c r="CZ14" s="5" t="e">
        <f t="shared" si="31"/>
        <v>#DIV/0!</v>
      </c>
      <c r="DA14" s="5">
        <f t="shared" si="31"/>
        <v>1.4406485302259509</v>
      </c>
      <c r="DB14" s="5"/>
      <c r="DC14" s="5">
        <f t="shared" ref="DC14:DN14" si="32">AVERAGE(DC154:DC257)</f>
        <v>1.2284875192379918</v>
      </c>
      <c r="DD14" s="5">
        <f t="shared" si="32"/>
        <v>0.97272377310190072</v>
      </c>
      <c r="DE14" s="5">
        <f t="shared" si="32"/>
        <v>2.205906521818636</v>
      </c>
      <c r="DF14" s="5">
        <f t="shared" si="32"/>
        <v>1.2836278032584441</v>
      </c>
      <c r="DG14" s="5">
        <f t="shared" si="32"/>
        <v>1.5473344562713387</v>
      </c>
      <c r="DH14" s="5">
        <f t="shared" si="32"/>
        <v>1.1020501934492866</v>
      </c>
      <c r="DI14" s="5">
        <f t="shared" si="32"/>
        <v>1.4310417333667622</v>
      </c>
      <c r="DJ14" s="5">
        <f t="shared" si="32"/>
        <v>1.1616705185883991</v>
      </c>
      <c r="DK14" s="5">
        <f t="shared" si="32"/>
        <v>1.6687704911792229</v>
      </c>
      <c r="DL14" s="5">
        <f t="shared" si="32"/>
        <v>1.1855552362587578</v>
      </c>
      <c r="DM14" s="5">
        <f t="shared" si="32"/>
        <v>1.6757541633444901</v>
      </c>
      <c r="DN14" s="5">
        <f t="shared" si="32"/>
        <v>1.2084697881711581</v>
      </c>
      <c r="DT14" s="10"/>
      <c r="DU14" s="10"/>
      <c r="DV14" s="10"/>
      <c r="DW14" s="10"/>
      <c r="DX14" s="10"/>
      <c r="DY14" s="10"/>
      <c r="DZ14" s="10"/>
      <c r="EB14" s="4">
        <f>4*SQRT(EB16-1)</f>
        <v>8.9270420109125936</v>
      </c>
      <c r="EL14" s="10"/>
      <c r="EM14" s="10"/>
      <c r="EN14" s="10"/>
      <c r="FI14" s="4">
        <f>CY14</f>
        <v>1.4705740455082434</v>
      </c>
    </row>
    <row r="15" spans="10:181" ht="12" customHeight="1" x14ac:dyDescent="0.3">
      <c r="J15" s="4">
        <f>MIN(J255:J456)</f>
        <v>450.6</v>
      </c>
      <c r="K15" s="4">
        <f>MIN(K255:K456)</f>
        <v>88.8</v>
      </c>
      <c r="M15" s="4">
        <f t="shared" ref="M15:N15" si="33">MIN(M255:M456)</f>
        <v>22.1</v>
      </c>
      <c r="N15" s="4">
        <f t="shared" si="33"/>
        <v>15.875</v>
      </c>
      <c r="O15" s="4">
        <f>MIN(O20:O456)</f>
        <v>0.5</v>
      </c>
      <c r="AA15" s="4" t="str">
        <f>CT15</f>
        <v>cov</v>
      </c>
      <c r="AB15" s="4">
        <f t="shared" si="14"/>
        <v>0.35578672208055873</v>
      </c>
      <c r="AD15" s="4">
        <f>MAX(AD53:AD456)</f>
        <v>14.9</v>
      </c>
      <c r="BF15" s="7"/>
      <c r="BG15" s="7"/>
      <c r="BH15" s="39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10"/>
      <c r="CL15" s="7"/>
      <c r="CM15" s="7"/>
      <c r="CN15" s="7"/>
      <c r="CO15" s="7"/>
      <c r="CP15" s="7"/>
      <c r="CQ15" s="7"/>
      <c r="CR15" s="7"/>
      <c r="CS15" s="7"/>
      <c r="CT15" s="8" t="s">
        <v>217</v>
      </c>
      <c r="CU15" s="5">
        <f t="shared" ref="CU15:DA15" si="34">STDEVP(CU154:CU1258)/CU14</f>
        <v>0.37237246270179508</v>
      </c>
      <c r="CV15" s="5">
        <f t="shared" si="34"/>
        <v>0.38982607846363909</v>
      </c>
      <c r="CW15" s="5">
        <f t="shared" si="34"/>
        <v>0.28664857788279757</v>
      </c>
      <c r="CX15" s="5">
        <f t="shared" si="34"/>
        <v>0.25905495535183226</v>
      </c>
      <c r="CY15" s="5">
        <f t="shared" si="34"/>
        <v>0.35578672208055873</v>
      </c>
      <c r="CZ15" s="5" t="e">
        <f t="shared" si="34"/>
        <v>#DIV/0!</v>
      </c>
      <c r="DA15" s="5">
        <f t="shared" si="34"/>
        <v>0.4143524188148407</v>
      </c>
      <c r="DB15" s="5"/>
      <c r="DC15" s="5">
        <f t="shared" ref="DC15:DN15" si="35">STDEVP(DC154:DC257)/DC14</f>
        <v>0.22814421514860375</v>
      </c>
      <c r="DD15" s="5">
        <f t="shared" si="35"/>
        <v>0.3064280518065744</v>
      </c>
      <c r="DE15" s="5">
        <f t="shared" si="35"/>
        <v>0.1987248260482479</v>
      </c>
      <c r="DF15" s="5">
        <f t="shared" si="35"/>
        <v>0.22852913107107509</v>
      </c>
      <c r="DG15" s="5">
        <f t="shared" si="35"/>
        <v>0.17875268293968472</v>
      </c>
      <c r="DH15" s="5">
        <f t="shared" si="35"/>
        <v>0.18246400570182511</v>
      </c>
      <c r="DI15" s="5">
        <f t="shared" si="35"/>
        <v>0.23440203066367599</v>
      </c>
      <c r="DJ15" s="5">
        <f t="shared" si="35"/>
        <v>0.29982577594420767</v>
      </c>
      <c r="DK15" s="5">
        <f t="shared" si="35"/>
        <v>0.24109608529596036</v>
      </c>
      <c r="DL15" s="5">
        <f t="shared" si="35"/>
        <v>0.16882918975126993</v>
      </c>
      <c r="DM15" s="5">
        <f t="shared" si="35"/>
        <v>0.21810037559233458</v>
      </c>
      <c r="DN15" s="5">
        <f t="shared" si="35"/>
        <v>0.21486020530260183</v>
      </c>
      <c r="DT15" s="10"/>
      <c r="DU15" s="10"/>
      <c r="DV15" s="10"/>
      <c r="DW15" s="10"/>
      <c r="DX15" s="10"/>
      <c r="DY15" s="10"/>
      <c r="DZ15" s="10"/>
      <c r="EL15" s="10"/>
      <c r="EM15" s="10"/>
      <c r="EN15" s="10"/>
      <c r="FI15" s="4">
        <f t="shared" ref="FI15:FI17" si="36">CY15</f>
        <v>0.35578672208055873</v>
      </c>
    </row>
    <row r="16" spans="10:181" ht="12" customHeight="1" x14ac:dyDescent="0.3">
      <c r="J16" s="4">
        <f>MAX(J255:J456)</f>
        <v>958.62068965517244</v>
      </c>
      <c r="K16" s="4">
        <f>MAX(K255:K456)</f>
        <v>365.25200000000001</v>
      </c>
      <c r="M16" s="4">
        <f t="shared" ref="M16:N16" si="37">MAX(M255:M456)</f>
        <v>225.5</v>
      </c>
      <c r="N16" s="4">
        <f t="shared" si="37"/>
        <v>43</v>
      </c>
      <c r="O16" s="4">
        <f>MAX(O20:O456)</f>
        <v>30</v>
      </c>
      <c r="AB16" s="4">
        <f t="shared" si="14"/>
        <v>3.4872822367819616</v>
      </c>
      <c r="BC16" s="4"/>
      <c r="BD16" s="4">
        <f>MIN(BD20:BD456)</f>
        <v>0.77786069301609739</v>
      </c>
      <c r="BF16" s="7"/>
      <c r="BG16" s="7"/>
      <c r="BH16" s="39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10"/>
      <c r="CL16" s="7"/>
      <c r="CM16" s="7"/>
      <c r="CN16" s="7"/>
      <c r="CO16" s="7"/>
      <c r="CP16" s="7" t="s">
        <v>378</v>
      </c>
      <c r="CQ16" s="7"/>
      <c r="CR16" s="7"/>
      <c r="CS16" s="7"/>
      <c r="CT16" s="7" t="s">
        <v>28</v>
      </c>
      <c r="CU16" s="4">
        <f t="shared" ref="CU16:DA16" si="38">MAX(CU154:CU1258)</f>
        <v>3.9007223111414722</v>
      </c>
      <c r="CV16" s="4">
        <f t="shared" si="38"/>
        <v>1.725882500076503</v>
      </c>
      <c r="CW16" s="4">
        <f t="shared" si="38"/>
        <v>2.068307828817685</v>
      </c>
      <c r="CX16" s="4">
        <f t="shared" si="38"/>
        <v>3.1127012279879973</v>
      </c>
      <c r="CY16" s="4">
        <f t="shared" si="38"/>
        <v>3.4872822367819616</v>
      </c>
      <c r="CZ16" s="4" t="e">
        <f t="shared" si="38"/>
        <v>#DIV/0!</v>
      </c>
      <c r="DA16" s="4">
        <f t="shared" si="38"/>
        <v>3.7678109166826239</v>
      </c>
      <c r="DC16" s="4">
        <f t="shared" ref="DC16:DN16" si="39">MAX(DC154:DC257)</f>
        <v>1.8677285845390659</v>
      </c>
      <c r="DD16" s="4">
        <f t="shared" si="39"/>
        <v>1.5694434629296043</v>
      </c>
      <c r="DE16" s="4">
        <f t="shared" si="39"/>
        <v>3.0089257747662694</v>
      </c>
      <c r="DF16" s="4">
        <f t="shared" si="39"/>
        <v>1.9447556217215154</v>
      </c>
      <c r="DG16" s="4">
        <f t="shared" si="39"/>
        <v>1.9952585337426647</v>
      </c>
      <c r="DH16" s="4">
        <f t="shared" si="39"/>
        <v>1.4709966291791812</v>
      </c>
      <c r="DI16" s="4">
        <f t="shared" si="39"/>
        <v>2.2833360622400622</v>
      </c>
      <c r="DJ16" s="4">
        <f t="shared" si="39"/>
        <v>1.725882500076503</v>
      </c>
      <c r="DK16" s="4">
        <f t="shared" si="39"/>
        <v>2.4832159252410291</v>
      </c>
      <c r="DL16" s="4">
        <f t="shared" si="39"/>
        <v>1.5788211461636792</v>
      </c>
      <c r="DM16" s="4">
        <f t="shared" si="39"/>
        <v>2.502367304628951</v>
      </c>
      <c r="DN16" s="4">
        <f t="shared" si="39"/>
        <v>1.6978913823018422</v>
      </c>
      <c r="DT16" s="10"/>
      <c r="DU16" s="10"/>
      <c r="DW16" s="4">
        <f>(DW17-DX17)*4*EB17</f>
        <v>-2.460654179382995</v>
      </c>
      <c r="DX16" s="4">
        <f>3*DX17+0.5</f>
        <v>2.9305864330857245</v>
      </c>
      <c r="DY16" s="10"/>
      <c r="DZ16" s="10"/>
      <c r="EB16" s="4">
        <f>EB17^2</f>
        <v>5.9807549415373984</v>
      </c>
      <c r="EL16" s="10"/>
      <c r="EM16" s="10"/>
      <c r="EN16" s="10"/>
      <c r="FI16" s="4">
        <f t="shared" si="36"/>
        <v>3.4872822367819616</v>
      </c>
    </row>
    <row r="17" spans="1:192" ht="12" customHeight="1" x14ac:dyDescent="0.3">
      <c r="AB17" s="4">
        <f t="shared" si="14"/>
        <v>0.61800778838527559</v>
      </c>
      <c r="AP17" s="4" t="s">
        <v>607</v>
      </c>
      <c r="AQ17" s="4" t="s">
        <v>41</v>
      </c>
      <c r="BC17" s="4"/>
      <c r="BD17" s="4">
        <f>MAX(BD20:BD456)</f>
        <v>14.34324887514823</v>
      </c>
      <c r="BE17" s="4">
        <f>SUM(BE53:BE456)</f>
        <v>11</v>
      </c>
      <c r="BF17" s="7"/>
      <c r="BG17" s="7"/>
      <c r="BH17" s="39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10"/>
      <c r="CL17" s="7"/>
      <c r="CM17" s="7"/>
      <c r="CN17" s="7"/>
      <c r="CO17" s="7"/>
      <c r="CP17" s="7"/>
      <c r="CQ17" s="7"/>
      <c r="CR17" s="7"/>
      <c r="CS17" s="7"/>
      <c r="CT17" s="7" t="s">
        <v>29</v>
      </c>
      <c r="CU17" s="4">
        <f t="shared" ref="CU17:DA17" si="40">MIN(CU154:CU1258)</f>
        <v>0.55205944197966095</v>
      </c>
      <c r="CV17" s="4">
        <f t="shared" si="40"/>
        <v>0.23714039746372731</v>
      </c>
      <c r="CW17" s="4">
        <f t="shared" si="40"/>
        <v>0.31821937636590253</v>
      </c>
      <c r="CX17" s="4">
        <f t="shared" si="40"/>
        <v>0.42644084771891505</v>
      </c>
      <c r="CY17" s="4">
        <f t="shared" si="40"/>
        <v>0.61800778838527559</v>
      </c>
      <c r="CZ17" s="4" t="e">
        <f t="shared" si="40"/>
        <v>#DIV/0!</v>
      </c>
      <c r="DA17" s="4">
        <f t="shared" si="40"/>
        <v>0.61109115495116417</v>
      </c>
      <c r="DC17" s="4">
        <f t="shared" ref="DC17:DN17" si="41">MIN(DC154:DC257)</f>
        <v>0.55205944197966095</v>
      </c>
      <c r="DD17" s="4">
        <f t="shared" si="41"/>
        <v>0.3406160978101801</v>
      </c>
      <c r="DE17" s="4">
        <f t="shared" si="41"/>
        <v>0.97421045534617501</v>
      </c>
      <c r="DF17" s="4">
        <f t="shared" si="41"/>
        <v>0.61109115495116417</v>
      </c>
      <c r="DG17" s="4">
        <f t="shared" si="41"/>
        <v>0.69063533625701745</v>
      </c>
      <c r="DH17" s="4">
        <f t="shared" si="41"/>
        <v>0.49532268932934714</v>
      </c>
      <c r="DI17" s="4">
        <f t="shared" si="41"/>
        <v>0.7619369171435395</v>
      </c>
      <c r="DJ17" s="4">
        <f t="shared" si="41"/>
        <v>0.49783010673441874</v>
      </c>
      <c r="DK17" s="4">
        <f t="shared" si="41"/>
        <v>0.90408286404901339</v>
      </c>
      <c r="DL17" s="4">
        <f t="shared" si="41"/>
        <v>0.71086754061834379</v>
      </c>
      <c r="DM17" s="4">
        <f t="shared" si="41"/>
        <v>0.97005999442265467</v>
      </c>
      <c r="DN17" s="4">
        <f t="shared" si="41"/>
        <v>0.68724341538301104</v>
      </c>
      <c r="DT17" s="10"/>
      <c r="DU17" s="10"/>
      <c r="DV17" s="4">
        <f>AVERAGE(DV20:DV456)</f>
        <v>0.23326733528607765</v>
      </c>
      <c r="DW17" s="4">
        <f>DV17^0.4</f>
        <v>0.55865227451054633</v>
      </c>
      <c r="DX17" s="4">
        <f>1/1.4*(1-DV17^1.4)/(1-DV17)</f>
        <v>0.81019547769524147</v>
      </c>
      <c r="DY17" s="10"/>
      <c r="DZ17" s="10"/>
      <c r="EB17" s="4">
        <f>AVERAGE(EB53:EB456)</f>
        <v>2.4455582065322834</v>
      </c>
      <c r="EL17" s="10"/>
      <c r="EM17" s="10"/>
      <c r="EN17" s="10"/>
      <c r="FI17" s="4">
        <f t="shared" si="36"/>
        <v>0.61800778838527559</v>
      </c>
    </row>
    <row r="18" spans="1:192" s="63" customFormat="1" ht="12" customHeight="1" x14ac:dyDescent="0.3">
      <c r="G18" s="108"/>
      <c r="J18" s="63" t="s">
        <v>739</v>
      </c>
      <c r="K18" s="63" t="s">
        <v>740</v>
      </c>
      <c r="M18" s="63" t="s">
        <v>741</v>
      </c>
      <c r="N18" s="63" t="s">
        <v>742</v>
      </c>
      <c r="Q18" s="63" t="s">
        <v>743</v>
      </c>
      <c r="S18" s="63" t="s">
        <v>744</v>
      </c>
      <c r="U18" s="63" t="s">
        <v>745</v>
      </c>
      <c r="W18" s="63" t="s">
        <v>746</v>
      </c>
      <c r="X18" s="63" t="s">
        <v>747</v>
      </c>
      <c r="AA18" s="63" t="s">
        <v>748</v>
      </c>
      <c r="AF18" s="63" t="s">
        <v>749</v>
      </c>
      <c r="AM18" s="63" t="s">
        <v>750</v>
      </c>
      <c r="AN18" s="63" t="s">
        <v>751</v>
      </c>
      <c r="AO18" s="63" t="s">
        <v>752</v>
      </c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9"/>
      <c r="CL18" s="64"/>
      <c r="CM18" s="64"/>
      <c r="CN18" s="64"/>
      <c r="CO18" s="64"/>
      <c r="CP18" s="64"/>
      <c r="CQ18" s="64"/>
      <c r="CR18" s="64"/>
      <c r="CS18" s="64"/>
      <c r="CT18" s="64"/>
      <c r="DT18" s="64"/>
      <c r="DU18" s="64"/>
      <c r="DY18" s="64"/>
      <c r="DZ18" s="64"/>
      <c r="EL18" s="64"/>
      <c r="EM18" s="64"/>
      <c r="EN18" s="64"/>
    </row>
    <row r="19" spans="1:192" ht="80.25" customHeight="1" x14ac:dyDescent="0.3">
      <c r="A19" s="4" t="s">
        <v>685</v>
      </c>
      <c r="B19" s="4" t="s">
        <v>681</v>
      </c>
      <c r="C19" s="4" t="s">
        <v>682</v>
      </c>
      <c r="D19" s="4" t="s">
        <v>683</v>
      </c>
      <c r="E19" s="4" t="s">
        <v>684</v>
      </c>
      <c r="F19" s="4" t="s">
        <v>776</v>
      </c>
      <c r="G19" s="107" t="s">
        <v>760</v>
      </c>
      <c r="H19" s="10" t="s">
        <v>0</v>
      </c>
      <c r="I19" s="10" t="s">
        <v>761</v>
      </c>
      <c r="J19" s="50" t="s">
        <v>686</v>
      </c>
      <c r="K19" s="50" t="s">
        <v>220</v>
      </c>
      <c r="L19" s="11" t="s">
        <v>74</v>
      </c>
      <c r="M19" s="50" t="s">
        <v>687</v>
      </c>
      <c r="N19" s="50" t="s">
        <v>688</v>
      </c>
      <c r="O19" s="11" t="s">
        <v>76</v>
      </c>
      <c r="P19" s="11" t="s">
        <v>75</v>
      </c>
      <c r="Q19" s="50" t="s">
        <v>689</v>
      </c>
      <c r="R19" s="50" t="s">
        <v>769</v>
      </c>
      <c r="S19" s="50" t="s">
        <v>690</v>
      </c>
      <c r="T19" s="50" t="s">
        <v>770</v>
      </c>
      <c r="U19" s="50" t="s">
        <v>691</v>
      </c>
      <c r="V19" s="50" t="s">
        <v>771</v>
      </c>
      <c r="W19" s="49" t="s">
        <v>692</v>
      </c>
      <c r="X19" s="49" t="s">
        <v>693</v>
      </c>
      <c r="Y19" s="49" t="s">
        <v>773</v>
      </c>
      <c r="Z19" s="49" t="s">
        <v>772</v>
      </c>
      <c r="AA19" s="49" t="s">
        <v>694</v>
      </c>
      <c r="AB19" s="12" t="s">
        <v>59</v>
      </c>
      <c r="AC19" s="12" t="s">
        <v>60</v>
      </c>
      <c r="AD19" s="12" t="s">
        <v>56</v>
      </c>
      <c r="AE19" s="12" t="s">
        <v>377</v>
      </c>
      <c r="AF19" s="49" t="s">
        <v>57</v>
      </c>
      <c r="AG19" s="12" t="s">
        <v>65</v>
      </c>
      <c r="AH19" s="12" t="s">
        <v>187</v>
      </c>
      <c r="AI19" s="12" t="s">
        <v>186</v>
      </c>
      <c r="AJ19" s="50" t="s">
        <v>695</v>
      </c>
      <c r="AK19" s="13"/>
      <c r="AL19" s="13" t="s">
        <v>226</v>
      </c>
      <c r="AM19" s="49" t="s">
        <v>696</v>
      </c>
      <c r="AN19" s="49" t="s">
        <v>697</v>
      </c>
      <c r="AO19" s="49" t="s">
        <v>73</v>
      </c>
      <c r="AP19" s="49" t="s">
        <v>228</v>
      </c>
      <c r="AQ19" s="49" t="s">
        <v>228</v>
      </c>
      <c r="AR19" s="12"/>
      <c r="AS19" s="12" t="s">
        <v>125</v>
      </c>
      <c r="AT19" s="12" t="s">
        <v>126</v>
      </c>
      <c r="AU19" s="12" t="s">
        <v>124</v>
      </c>
      <c r="AX19" s="14" t="s">
        <v>652</v>
      </c>
      <c r="AY19" s="38" t="s">
        <v>229</v>
      </c>
      <c r="AZ19" s="38" t="s">
        <v>603</v>
      </c>
      <c r="BA19" s="38" t="s">
        <v>604</v>
      </c>
      <c r="BF19" s="14" t="s">
        <v>1</v>
      </c>
      <c r="BG19" s="14" t="s">
        <v>61</v>
      </c>
      <c r="BH19" s="41" t="s">
        <v>62</v>
      </c>
      <c r="BI19" s="14" t="s">
        <v>63</v>
      </c>
      <c r="BJ19" s="14" t="s">
        <v>64</v>
      </c>
      <c r="BK19" s="14" t="s">
        <v>39</v>
      </c>
      <c r="BL19" s="14"/>
      <c r="BM19" s="14" t="s">
        <v>61</v>
      </c>
      <c r="BN19" s="14" t="s">
        <v>39</v>
      </c>
      <c r="BO19" s="14"/>
      <c r="BP19" s="15" t="s">
        <v>184</v>
      </c>
      <c r="BQ19" s="15" t="s">
        <v>185</v>
      </c>
      <c r="BR19" s="15"/>
      <c r="BS19" s="14" t="s">
        <v>190</v>
      </c>
      <c r="BT19" s="14" t="s">
        <v>191</v>
      </c>
      <c r="BU19" s="14" t="s">
        <v>192</v>
      </c>
      <c r="BV19" s="14" t="s">
        <v>193</v>
      </c>
      <c r="BW19" s="14" t="s">
        <v>194</v>
      </c>
      <c r="BX19" s="14" t="s">
        <v>195</v>
      </c>
      <c r="BY19" s="14"/>
      <c r="BZ19" s="14" t="s">
        <v>230</v>
      </c>
      <c r="CA19" s="14" t="s">
        <v>8</v>
      </c>
      <c r="CB19" s="14" t="s">
        <v>9</v>
      </c>
      <c r="CC19" s="14" t="s">
        <v>231</v>
      </c>
      <c r="CD19" s="14" t="s">
        <v>13</v>
      </c>
      <c r="CE19" s="4" t="s">
        <v>10</v>
      </c>
      <c r="CF19" s="9" t="s">
        <v>11</v>
      </c>
      <c r="CG19" s="9" t="s">
        <v>12</v>
      </c>
      <c r="CH19" s="9" t="s">
        <v>14</v>
      </c>
      <c r="CI19" s="9" t="s">
        <v>15</v>
      </c>
      <c r="CJ19" s="9" t="s">
        <v>16</v>
      </c>
      <c r="CK19" s="70" t="s">
        <v>208</v>
      </c>
      <c r="CL19" s="9" t="s">
        <v>209</v>
      </c>
      <c r="CM19" s="9" t="s">
        <v>210</v>
      </c>
      <c r="CN19" s="9" t="s">
        <v>211</v>
      </c>
      <c r="CO19" s="9" t="s">
        <v>212</v>
      </c>
      <c r="CP19" s="9" t="s">
        <v>17</v>
      </c>
      <c r="CQ19" s="9" t="s">
        <v>18</v>
      </c>
      <c r="CR19" s="9" t="s">
        <v>8</v>
      </c>
      <c r="CS19" s="9" t="s">
        <v>19</v>
      </c>
      <c r="CT19" s="14"/>
      <c r="CU19" s="4" t="s">
        <v>6</v>
      </c>
      <c r="CV19" s="9" t="s">
        <v>236</v>
      </c>
      <c r="CW19" s="4" t="s">
        <v>376</v>
      </c>
      <c r="CX19" s="4" t="s">
        <v>20</v>
      </c>
      <c r="CY19" s="4" t="s">
        <v>25</v>
      </c>
      <c r="CZ19" s="4" t="s">
        <v>51</v>
      </c>
      <c r="DA19" s="4" t="s">
        <v>605</v>
      </c>
      <c r="DC19" s="14" t="s">
        <v>240</v>
      </c>
      <c r="DD19" s="14" t="s">
        <v>241</v>
      </c>
      <c r="DE19" s="14" t="s">
        <v>242</v>
      </c>
      <c r="DF19" s="14" t="s">
        <v>655</v>
      </c>
      <c r="DG19" s="14" t="s">
        <v>243</v>
      </c>
      <c r="DH19" s="14" t="s">
        <v>244</v>
      </c>
      <c r="DI19" s="14" t="s">
        <v>201</v>
      </c>
      <c r="DJ19" s="14" t="s">
        <v>202</v>
      </c>
      <c r="DK19" s="14" t="s">
        <v>366</v>
      </c>
      <c r="DL19" s="14" t="s">
        <v>656</v>
      </c>
      <c r="DM19" s="14" t="s">
        <v>203</v>
      </c>
      <c r="DN19" s="14" t="s">
        <v>204</v>
      </c>
      <c r="DO19" s="14"/>
      <c r="DP19" s="14"/>
      <c r="DQ19" s="14" t="s">
        <v>7</v>
      </c>
      <c r="DR19" s="14"/>
      <c r="DS19" s="14" t="s">
        <v>26</v>
      </c>
      <c r="DT19" s="4" t="s">
        <v>21</v>
      </c>
      <c r="DU19" s="16" t="s">
        <v>248</v>
      </c>
      <c r="DV19" s="17" t="s">
        <v>37</v>
      </c>
      <c r="DW19" s="9" t="s">
        <v>22</v>
      </c>
      <c r="DX19" s="9" t="s">
        <v>23</v>
      </c>
      <c r="DY19" s="9" t="s">
        <v>251</v>
      </c>
      <c r="DZ19" s="9" t="s">
        <v>24</v>
      </c>
      <c r="EA19" s="9"/>
      <c r="EB19" s="18" t="s">
        <v>369</v>
      </c>
      <c r="EC19" s="18" t="s">
        <v>368</v>
      </c>
      <c r="ED19" s="9" t="s">
        <v>24</v>
      </c>
      <c r="EE19" s="9" t="s">
        <v>252</v>
      </c>
      <c r="EF19" s="9"/>
      <c r="EG19" s="9" t="s">
        <v>8</v>
      </c>
      <c r="EH19" s="9" t="s">
        <v>9</v>
      </c>
      <c r="EI19" s="9" t="s">
        <v>231</v>
      </c>
      <c r="EJ19" s="14" t="s">
        <v>13</v>
      </c>
      <c r="EK19" s="14"/>
      <c r="EL19" s="9" t="s">
        <v>24</v>
      </c>
      <c r="EM19" s="9" t="s">
        <v>653</v>
      </c>
      <c r="EN19" s="9"/>
      <c r="EO19" s="14"/>
      <c r="EP19" s="16" t="s">
        <v>248</v>
      </c>
      <c r="EQ19" s="16"/>
      <c r="ER19" s="17" t="s">
        <v>30</v>
      </c>
      <c r="ES19" s="17" t="s">
        <v>31</v>
      </c>
      <c r="ET19" s="17"/>
      <c r="EU19" s="17" t="s">
        <v>34</v>
      </c>
      <c r="EV19" s="17" t="s">
        <v>35</v>
      </c>
      <c r="EW19" s="17" t="s">
        <v>36</v>
      </c>
      <c r="EX19" s="17" t="s">
        <v>261</v>
      </c>
      <c r="EY19" s="17" t="s">
        <v>37</v>
      </c>
      <c r="EZ19" s="17" t="s">
        <v>262</v>
      </c>
      <c r="FA19" s="17" t="s">
        <v>38</v>
      </c>
      <c r="FB19" s="17" t="s">
        <v>32</v>
      </c>
      <c r="FC19" s="17" t="s">
        <v>33</v>
      </c>
      <c r="FD19" s="17" t="s">
        <v>21</v>
      </c>
      <c r="FE19" s="17" t="s">
        <v>251</v>
      </c>
      <c r="FF19" s="16" t="s">
        <v>39</v>
      </c>
      <c r="FG19" s="17" t="s">
        <v>189</v>
      </c>
      <c r="FH19" s="17" t="s">
        <v>188</v>
      </c>
      <c r="FI19" s="17"/>
      <c r="FJ19" s="9" t="s">
        <v>367</v>
      </c>
      <c r="FK19" s="9" t="s">
        <v>252</v>
      </c>
      <c r="FL19" s="9" t="s">
        <v>255</v>
      </c>
      <c r="FM19" s="9"/>
      <c r="FN19" s="9"/>
      <c r="FO19" s="9" t="s">
        <v>2</v>
      </c>
      <c r="FP19" s="4" t="s">
        <v>214</v>
      </c>
      <c r="FQ19" s="4" t="s">
        <v>605</v>
      </c>
      <c r="FR19" s="4" t="s">
        <v>40</v>
      </c>
      <c r="FS19" s="4" t="s">
        <v>41</v>
      </c>
      <c r="FT19" s="4" t="s">
        <v>51</v>
      </c>
      <c r="FU19" s="9">
        <f>SUM(FU20:FU627)</f>
        <v>18</v>
      </c>
      <c r="FV19" s="9"/>
      <c r="FW19" s="9"/>
      <c r="FY19" s="1" t="s">
        <v>606</v>
      </c>
      <c r="FZ19" s="1" t="s">
        <v>3</v>
      </c>
      <c r="GA19" s="1"/>
      <c r="GB19" s="2" t="s">
        <v>5</v>
      </c>
      <c r="GF19" s="1" t="s">
        <v>606</v>
      </c>
      <c r="GG19" s="1" t="s">
        <v>3</v>
      </c>
      <c r="GH19" s="1"/>
      <c r="GI19" s="2" t="s">
        <v>757</v>
      </c>
    </row>
    <row r="20" spans="1:192" s="25" customFormat="1" ht="12" hidden="1" customHeight="1" x14ac:dyDescent="0.3">
      <c r="A20" s="25">
        <v>1</v>
      </c>
      <c r="B20" s="26" t="s">
        <v>81</v>
      </c>
      <c r="C20" s="26"/>
      <c r="D20" s="26" t="s">
        <v>82</v>
      </c>
      <c r="E20" s="26"/>
      <c r="F20" s="26"/>
      <c r="G20" s="26"/>
      <c r="H20" s="27" t="s">
        <v>299</v>
      </c>
      <c r="I20" s="27"/>
      <c r="J20" s="28">
        <f>75*6.9</f>
        <v>517.5</v>
      </c>
      <c r="K20" s="28">
        <f>0.5*25.4</f>
        <v>12.7</v>
      </c>
      <c r="L20" s="28">
        <f>K20</f>
        <v>12.7</v>
      </c>
      <c r="M20" s="28">
        <v>28.46</v>
      </c>
      <c r="N20" s="28">
        <v>25.4</v>
      </c>
      <c r="O20" s="28">
        <f>K20/N20</f>
        <v>0.5</v>
      </c>
      <c r="P20" s="28">
        <f>L20/N20</f>
        <v>0.5</v>
      </c>
      <c r="Q20" s="28">
        <v>229</v>
      </c>
      <c r="R20" s="28"/>
      <c r="S20" s="28">
        <f t="shared" ref="S20:S51" si="42">(Q20-N20)/2</f>
        <v>101.8</v>
      </c>
      <c r="T20" s="28"/>
      <c r="U20" s="28">
        <v>305</v>
      </c>
      <c r="V20" s="28"/>
      <c r="W20" s="28">
        <v>0</v>
      </c>
      <c r="X20" s="28">
        <v>1</v>
      </c>
      <c r="Y20" s="28"/>
      <c r="Z20" s="28"/>
      <c r="AA20" s="28">
        <v>45.47</v>
      </c>
      <c r="AB20" s="7">
        <f t="shared" ref="AB20:AB51" si="43">MIN(Q20/2/N20, (AA20+N20/2)/N20)</f>
        <v>2.2901574803149609</v>
      </c>
      <c r="AC20" s="28">
        <f>AB20</f>
        <v>2.2901574803149609</v>
      </c>
      <c r="AD20" s="28">
        <f t="shared" ref="AD20:AD52" si="44">(44+25)^2/(PI()/4*N20^2)-1</f>
        <v>8.3959536742577185</v>
      </c>
      <c r="AE20" s="7">
        <f t="shared" ref="AE20:AE52" si="45">MIN(AE$16,AD20)</f>
        <v>8.3959536742577185</v>
      </c>
      <c r="AF20" s="28">
        <f t="shared" ref="AF20:AF83" si="46">AE20+1</f>
        <v>9.3959536742577185</v>
      </c>
      <c r="AG20" s="28">
        <f t="shared" ref="AG20:AG83" si="47">N20*AF20^0.5</f>
        <v>77.858162529590359</v>
      </c>
      <c r="AH20" s="28"/>
      <c r="AI20" s="28"/>
      <c r="AJ20" s="28">
        <f>190.6/(PI()/4*N20^2)*1000</f>
        <v>376.15391100893112</v>
      </c>
      <c r="AK20" s="28"/>
      <c r="AL20" s="28"/>
      <c r="AM20" s="28">
        <v>0</v>
      </c>
      <c r="AN20" s="28">
        <v>0</v>
      </c>
      <c r="AO20" s="28">
        <f>L20</f>
        <v>12.7</v>
      </c>
      <c r="AP20" s="28"/>
      <c r="AQ20" s="28"/>
      <c r="AR20" s="28"/>
      <c r="AS20" s="4">
        <v>35</v>
      </c>
      <c r="AT20" s="25">
        <f t="shared" ref="AT20:AT52" si="48">MIN(9*AS20^2,Q20*(1.5*AS20+AA20+N20/2))/(9*AS20^2)</f>
        <v>1</v>
      </c>
      <c r="AU20" s="25">
        <f t="shared" ref="AU20:AU51" si="49">MIN(10*M20^0.5*AS20^1.5,100*3.9*M20^0.5*AS20^(5/3))/(PI()/4*N20^2)/X20</f>
        <v>21.800286431765276</v>
      </c>
      <c r="AV20" s="4">
        <f t="shared" ref="AV20:AV51" si="50">MIN(0.7+0.3*(MIN(S20,AA20)+0.5*N20)/1.5/K20,1)</f>
        <v>1</v>
      </c>
      <c r="AW20" s="25">
        <v>1.25</v>
      </c>
      <c r="AX20" s="25">
        <v>5</v>
      </c>
      <c r="AY20" s="38">
        <f>AT20*AV20*AW20*AX20*AU20</f>
        <v>136.25179019853297</v>
      </c>
      <c r="AZ20" s="38">
        <f>AY20</f>
        <v>136.25179019853297</v>
      </c>
      <c r="BA20" s="38"/>
      <c r="BB20" s="38">
        <f t="shared" ref="BB20:BB50" si="51">AX20* (M20^0.5/AS20^0.5)/(PI()/4*N20^2)/X20/0.72 *(0.7+(MIN(S20,AA20)+0.5*N20)/5/K20) *(Q20*MIN(AA20+0.5*N20+1.5*K20,1000))</f>
        <v>353.17274725274638</v>
      </c>
      <c r="BC20" s="38">
        <f t="shared" ref="BC20:BC83" si="52">AY20/BB20</f>
        <v>0.38579361306444476</v>
      </c>
      <c r="BD20" s="38"/>
      <c r="BF20" s="25">
        <f t="shared" ref="BF20:BF83" si="53">L20/N20*M20^0.5/0.19</f>
        <v>14.038924914051726</v>
      </c>
      <c r="BG20" s="25">
        <f t="shared" ref="BG20:BG60" si="54">MIN(0.6+0.4*(AC20/AB20),2)</f>
        <v>1</v>
      </c>
      <c r="BH20" s="38">
        <f t="shared" ref="BH20:BH83" si="55">2*M20*AB20*AD20^0.5*BG20*0.7/0.7</f>
        <v>377.71589001257809</v>
      </c>
      <c r="BI20" s="25">
        <f t="shared" ref="BI20:BI60" si="56">MAX(1-0.7*AE20/5,0.3)</f>
        <v>0.3</v>
      </c>
      <c r="BJ20" s="25">
        <f t="shared" ref="BJ20:BJ83" si="57">BI20*J20*L20/(J20*N20/2.75/M20^0.5)</f>
        <v>2.2006014802776082</v>
      </c>
      <c r="BK20" s="25">
        <f t="shared" ref="BK20:BK83" si="58">BH20+BJ20</f>
        <v>379.9164914928557</v>
      </c>
      <c r="BM20" s="36">
        <f t="shared" ref="BM20:BM51" si="59">MAX(1, (0.9+0.1*MIN(2,AB20-0.5))*(0.9+0.1*MIN(3.5,S20/S20))+0.45*MIN(2.5,(40*2*PI()*AM20^2/4/AO20/X20)/N20))</f>
        <v>1.0790157480314961</v>
      </c>
      <c r="BN20" s="36">
        <f t="shared" ref="BN20:BN51" si="60">(1.6*P20+22)*BM20*M20^0.5</f>
        <v>131.24418733049674</v>
      </c>
      <c r="BS20" s="25">
        <f t="shared" ref="BS20:BS52" si="61">IF(X20=1,S20,MIN(S20,W20/2+6.4))</f>
        <v>101.8</v>
      </c>
      <c r="BT20" s="25">
        <f t="shared" ref="BT20:BT52" si="62">MIN(AA20,BS20)</f>
        <v>45.47</v>
      </c>
      <c r="BU20" s="25">
        <f t="shared" ref="BU20:BU52" si="63">MAX(AA20,BS20)</f>
        <v>101.8</v>
      </c>
      <c r="BV20" s="25">
        <f t="shared" ref="BV20:BV51" si="64">BT20+N20/2</f>
        <v>58.17</v>
      </c>
      <c r="BW20" s="25">
        <f t="shared" ref="BW20:BW52" si="65">MIN(1.25, 0.1*BU20/BT20+0.9)</f>
        <v>1.1238838794809765</v>
      </c>
      <c r="BX20" s="25">
        <f t="shared" ref="BX20:BX51" si="66">MIN(4, (BV20*BW20+(6*M20^0.5*(0.03*N20+0.22)*(AM20^2/4*PI())*2/AO20/X20))/N20)</f>
        <v>2.573871073598756</v>
      </c>
      <c r="BZ20" s="25">
        <f t="shared" ref="BZ20:BZ52" si="67">IF(W20=0,S20,MIN(W20/2,S20))</f>
        <v>101.8</v>
      </c>
      <c r="CD20" s="29"/>
      <c r="CF20" s="29"/>
      <c r="CG20" s="29"/>
      <c r="CH20" s="29">
        <f t="shared" ref="CH20:CH52" si="68">IF(W20=0,MIN(S20,U20),MIN(W20/2,S20,U20))</f>
        <v>101.8</v>
      </c>
      <c r="CI20" s="29">
        <f t="shared" ref="CI20:CI52" si="69">MAX(W20/2,S20)</f>
        <v>101.8</v>
      </c>
      <c r="CJ20" s="29">
        <f t="shared" ref="CJ20:CJ83" si="70">(CH20/N20)^0.5*(CI20/CH20)^0.15</f>
        <v>2.001967536137395</v>
      </c>
      <c r="CK20" s="70">
        <v>0</v>
      </c>
      <c r="CL20" s="29">
        <f t="shared" ref="CL20:CL83" si="71">MIN(PI()*AM20^2/4*AN20*2/X20/N20/MAX(0.01,AO20),0.05)</f>
        <v>0</v>
      </c>
      <c r="CM20" s="29">
        <f t="shared" ref="CM20:CM83" si="72">MAX(0,CK20*(CL20-0.5/50))</f>
        <v>0</v>
      </c>
      <c r="CN20" s="29">
        <f t="shared" ref="CN20:CN83" si="73">MIN(1,(25/N20)^0.3)</f>
        <v>0.99524931562137331</v>
      </c>
      <c r="CO20" s="29">
        <f t="shared" ref="CO20:CO83" si="74">IF(J20&gt;=800,0.68,IF(J20&gt;=700,0.75-(J20-700)*0.07/100,IF(J20&gt;=600,0.85-(J20-600)*0.1/100,IF(J20&gt;=500,1-(J20-500)*0.15/100,1.2-(J20-400)*0.2/100))))</f>
        <v>0.97375</v>
      </c>
      <c r="CP20" s="29">
        <f t="shared" ref="CP20:CP83" si="75">1.75*CN20*CO20*(M20/25)^0.5</f>
        <v>1.8095260954698043</v>
      </c>
      <c r="CQ20" s="29">
        <f t="shared" ref="CQ20:CQ83" si="76">MIN((CJ20+CM20)*CP20,2.5*CP20,M20^0.5)</f>
        <v>3.6226124989240045</v>
      </c>
      <c r="CR20" s="29">
        <v>1</v>
      </c>
      <c r="CS20" s="29">
        <f t="shared" ref="CS20:CS83" si="77">4*CQ20*P20+60*CQ20</f>
        <v>224.60197493328826</v>
      </c>
      <c r="CU20" s="4"/>
      <c r="CV20" s="4"/>
      <c r="CW20" s="4"/>
      <c r="CX20" s="4"/>
      <c r="CY20" s="4"/>
      <c r="CZ20" s="4"/>
      <c r="DA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P20" s="4">
        <f t="shared" ref="DP20:DP52" si="78">AN20</f>
        <v>0</v>
      </c>
      <c r="DQ20" s="25">
        <f t="shared" ref="DQ20:DQ51" si="79">K20</f>
        <v>12.7</v>
      </c>
      <c r="DR20" s="25">
        <f t="shared" ref="DR20:DR51" si="80">L20/K20</f>
        <v>1</v>
      </c>
      <c r="DT20" s="4">
        <f t="shared" ref="DT20:DT83" si="81">K20/4/(1-0.3*(M20/30)^0.5)/200000/N20</f>
        <v>8.8301600844121163E-7</v>
      </c>
      <c r="DU20" s="4">
        <f t="shared" ref="DU20:DU52" si="82">EP20</f>
        <v>8.1848336869692275</v>
      </c>
      <c r="DV20" s="4"/>
      <c r="DW20" s="4">
        <f t="shared" ref="DW20:DW83" si="83">DU20*DV20^0.4</f>
        <v>0</v>
      </c>
      <c r="DX20" s="4">
        <f t="shared" ref="DX20:DX83" si="84">MIN(DU20, DU20/1.4*(1-DV20^1.4)/(1-DV20))</f>
        <v>5.8463097764065912</v>
      </c>
      <c r="DY20" s="4">
        <f t="shared" ref="DY20:DY51" si="85">MAX(DU20/2, (4-DT20*(8*AG20*(DW20-DX20)+6*K20*DX20))/(4+DT20*K20*DU20)*DU20)</f>
        <v>8.1904203412824206</v>
      </c>
      <c r="DZ20" s="38">
        <f t="shared" ref="DZ20:DZ83" si="86">MIN(1/N20*(4*AG20*(DW20-DX20)+(3*DX20+DY20)*K20)+EC20 -FJ20,MAX(J20,AJ20))</f>
        <v>294.35506984078529</v>
      </c>
      <c r="EA20" s="4">
        <f t="shared" ref="EA20:EA83" si="87">DZ20/FF20</f>
        <v>0.691143573247057</v>
      </c>
      <c r="EB20" s="4"/>
      <c r="EC20" s="4">
        <f>MIN(EB$10*BB20)</f>
        <v>353.17274725274638</v>
      </c>
      <c r="EG20" s="25">
        <f t="shared" ref="EG20:EG83" si="88">IF(U20&gt;1*N20,0.85,1)</f>
        <v>0.85</v>
      </c>
      <c r="EH20" s="25">
        <f t="shared" ref="EH20:EH83" si="89">MIN(1,MAX(0.7,(1-0.1*(BZ20-1*N20)/N20)))</f>
        <v>0.7</v>
      </c>
      <c r="EI20" s="25">
        <f t="shared" ref="EI20:EI51" si="90">MIN(1,MAX(0.7,1-0.3*(PI()*AM20^2/4*AN20*2-0.25*PI()/4*N20^2)/(PI()/4*N20^2)))</f>
        <v>1</v>
      </c>
      <c r="EJ20" s="25">
        <f t="shared" ref="EJ20:EJ83" si="91">IF(EH20*EI20&lt;0.7,0.7,EH20*EI20)</f>
        <v>0.7</v>
      </c>
      <c r="EL20" s="4">
        <f t="shared" ref="EL20:EL51" si="92">MIN(DU20/N20*3*K20+EM20-FJ20,MAX(J20,AJ20))</f>
        <v>517.5</v>
      </c>
      <c r="EM20" s="25">
        <f t="shared" ref="EM20:EM51" si="93">8.8*Q20*508*M20^0.5/X20/N20^2/K20^0.5*(0.7+MIN(AA20,S20)/5/K20)</f>
        <v>3363.6638970811728</v>
      </c>
      <c r="EP20" s="4">
        <f t="shared" ref="EP20:EP51" si="94">IF(N20&lt;22.2,1.1*5*(M20/30)^0.5,IF(N20&gt;=31.8,0.9*5*(M20/30)^0.5,1*5*(M20/30)^0.5))/EG20/EJ20</f>
        <v>8.1848336869692275</v>
      </c>
      <c r="EQ20" s="25">
        <f t="shared" ref="EQ20:EQ51" si="95">IF(N20&lt;22.2,1.1*5*(M20/30)^0.5,IF(N20&gt;=31.8,0.9*5*(M20/30)^0.5,1*5*(M20/30)^0.5))*BX20/2.5</f>
        <v>5.0138761872474067</v>
      </c>
      <c r="ES20" s="4">
        <f t="shared" ref="ES20:ES83" si="96">ET20*N20</f>
        <v>77.858162529590359</v>
      </c>
      <c r="ET20" s="4">
        <f t="shared" ref="ET20:ET52" si="97">AF20^0.5</f>
        <v>3.0652819893539514</v>
      </c>
      <c r="EU20" s="4">
        <f t="shared" ref="EU20:EU83" si="98">MIN(EC20)/(4700*M20^0.5)/AE20*ES20</f>
        <v>0.130618891639665</v>
      </c>
      <c r="EX20" s="25">
        <f t="shared" ref="EX20:EX52" si="99">EU20</f>
        <v>0.130618891639665</v>
      </c>
      <c r="EY20" s="25">
        <f t="shared" ref="EY20:EY83" si="100">MIN(0.999, EX20/(0.3*(M20/30)^0.5))</f>
        <v>0.44702099307513243</v>
      </c>
      <c r="EZ20" s="4">
        <f t="shared" ref="EZ20:EZ52" si="101">EP20/1*EY20^0.4</f>
        <v>5.9311789414130152</v>
      </c>
      <c r="FA20" s="25">
        <f t="shared" ref="FA20:FA52" si="102">EP20/1.4*(1-EY20^1.4)/(1-EY20)</f>
        <v>7.1476133518602776</v>
      </c>
      <c r="FB20" s="4">
        <f t="shared" ref="FB20:FB52" si="103">MAX(0,DQ20*FB$9-ES20)</f>
        <v>0</v>
      </c>
      <c r="FC20" s="4">
        <f t="shared" ref="FC20:FC52" si="104">MAX(0,DQ20-ES20-FB20)</f>
        <v>0</v>
      </c>
      <c r="FD20" s="25">
        <f t="shared" ref="FD20:FD83" si="105">FC20/(1-0.3*(M20/30)^0.5)/200000/N20</f>
        <v>0</v>
      </c>
      <c r="FE20" s="25">
        <f t="shared" ref="FE20:FE52" si="106">MAX(0.5*EP20, (1-2*FD20*(ES20*EZ20+FB20*FA20))/(1/EP20+FD20*FC20))</f>
        <v>8.1848336869692275</v>
      </c>
      <c r="FF20" s="4">
        <f t="shared" ref="FF20:FF51" si="107">MIN(4/N20*(1*EZ20*ES20+FA20*FG20+FH20*FE20)+EC20,MAX(J20,AJ20))</f>
        <v>425.89569119174138</v>
      </c>
      <c r="FG20" s="4">
        <f t="shared" ref="FG20:FG52" si="108">IF(DR20&lt;=FB$9, MAX(0,DQ20*DR20-ES20), MAX(0,DQ20*FB$9-ES20))</f>
        <v>0</v>
      </c>
      <c r="FH20" s="4">
        <f t="shared" ref="FH20:FH52" si="109">MAX(0, DQ20*DR20-FG20-ES20)</f>
        <v>0</v>
      </c>
      <c r="FJ20" s="4">
        <f t="shared" ref="FJ20:FJ51" si="110">4/N20*(1*EZ20*ES20+FA20*FB20+FC20*FE20)+EC20 - (4/N20*(1*EZ20*ES20+FA20*FG20+FH20*FE20)+EC20)</f>
        <v>0</v>
      </c>
      <c r="FO20" s="23"/>
      <c r="FP20" s="23"/>
      <c r="FQ20" s="23"/>
      <c r="FR20" s="23"/>
      <c r="FS20" s="23"/>
      <c r="FT20" s="23"/>
      <c r="FU20" s="30"/>
      <c r="FV20" s="30"/>
      <c r="GF20" s="4">
        <f t="shared" ref="GF20:GF83" si="111">IF(S20&gt;=2.5*25.4,1,1.25)</f>
        <v>1</v>
      </c>
      <c r="GG20" s="4">
        <f t="shared" ref="GG20:GG83" si="112">IF(AO20&gt;1, 0.05*(18-MIN(8,(W20+N20)/N20))*(1-48000/MAX(60000,(J20*145))*(N20/25.4)^0.75*GH20), 1/12*(14-MIN(8,(W20+N20)/N20)))</f>
        <v>0.85000000000000009</v>
      </c>
      <c r="GH20" s="4">
        <f t="shared" ref="GH20:GH83" si="113">MIN(0.3, AM20^2*PI()/4*2*AP20/(N20^2*PI()/4*X20))</f>
        <v>0</v>
      </c>
      <c r="GI20" s="4">
        <f t="shared" ref="GI20:GI83" si="114">(K20/25.4)/(N20/25.4)^1.5/0.0024*(M20*145)^0.25/GF20/GG20/145</f>
        <v>13.547917993669552</v>
      </c>
      <c r="GJ20" s="4"/>
    </row>
    <row r="21" spans="1:192" s="25" customFormat="1" ht="12" hidden="1" customHeight="1" x14ac:dyDescent="0.3">
      <c r="A21" s="25">
        <v>2</v>
      </c>
      <c r="B21" s="26" t="s">
        <v>81</v>
      </c>
      <c r="C21" s="26"/>
      <c r="D21" s="26" t="s">
        <v>82</v>
      </c>
      <c r="E21" s="26"/>
      <c r="F21" s="26"/>
      <c r="G21" s="26"/>
      <c r="H21" s="28" t="s">
        <v>300</v>
      </c>
      <c r="I21" s="28"/>
      <c r="J21" s="28">
        <f t="shared" ref="J21:J52" si="115">75*6.9</f>
        <v>517.5</v>
      </c>
      <c r="K21" s="28">
        <f>0.5*25.4</f>
        <v>12.7</v>
      </c>
      <c r="L21" s="28">
        <f>K21</f>
        <v>12.7</v>
      </c>
      <c r="M21" s="28">
        <v>28.46</v>
      </c>
      <c r="N21" s="28">
        <v>25.4</v>
      </c>
      <c r="O21" s="28">
        <f t="shared" ref="O21:O52" si="116">K21/N21</f>
        <v>0.5</v>
      </c>
      <c r="P21" s="28">
        <f t="shared" ref="P21:P52" si="117">L21/N21</f>
        <v>0.5</v>
      </c>
      <c r="Q21" s="28">
        <v>229</v>
      </c>
      <c r="R21" s="28"/>
      <c r="S21" s="28">
        <f t="shared" si="42"/>
        <v>101.8</v>
      </c>
      <c r="T21" s="28"/>
      <c r="U21" s="28">
        <v>305</v>
      </c>
      <c r="V21" s="28"/>
      <c r="W21" s="28">
        <v>0</v>
      </c>
      <c r="X21" s="28">
        <v>1</v>
      </c>
      <c r="Y21" s="28"/>
      <c r="Z21" s="28"/>
      <c r="AA21" s="28">
        <v>45.39</v>
      </c>
      <c r="AB21" s="7">
        <f t="shared" si="43"/>
        <v>2.2870078740157482</v>
      </c>
      <c r="AC21" s="28">
        <f t="shared" ref="AC21:AC52" si="118">AB21</f>
        <v>2.2870078740157482</v>
      </c>
      <c r="AD21" s="28">
        <f t="shared" si="44"/>
        <v>8.3959536742577185</v>
      </c>
      <c r="AE21" s="7">
        <f t="shared" si="45"/>
        <v>8.3959536742577185</v>
      </c>
      <c r="AF21" s="28">
        <f t="shared" si="46"/>
        <v>9.3959536742577185</v>
      </c>
      <c r="AG21" s="28">
        <f t="shared" si="47"/>
        <v>77.858162529590359</v>
      </c>
      <c r="AH21" s="28"/>
      <c r="AI21" s="28"/>
      <c r="AJ21" s="28">
        <f>196.74/(PI()/4*N21^2)*1000</f>
        <v>388.27135599106572</v>
      </c>
      <c r="AK21" s="28"/>
      <c r="AL21" s="28"/>
      <c r="AM21" s="28">
        <v>0</v>
      </c>
      <c r="AN21" s="28">
        <v>0</v>
      </c>
      <c r="AO21" s="28">
        <f>L21</f>
        <v>12.7</v>
      </c>
      <c r="AP21" s="28"/>
      <c r="AQ21" s="28"/>
      <c r="AR21" s="28"/>
      <c r="AS21" s="4">
        <v>1</v>
      </c>
      <c r="AT21" s="25">
        <f t="shared" si="48"/>
        <v>1</v>
      </c>
      <c r="AU21" s="25">
        <f t="shared" si="49"/>
        <v>0.10528345618346728</v>
      </c>
      <c r="AV21" s="4">
        <f t="shared" si="50"/>
        <v>1</v>
      </c>
      <c r="AW21" s="25">
        <v>1.25</v>
      </c>
      <c r="AX21" s="25">
        <f t="shared" ref="AX21:AX84" si="119">AX20</f>
        <v>5</v>
      </c>
      <c r="AY21" s="38">
        <f t="shared" ref="AY21:AY84" si="120">AT21*AV21*AW21*AX21*AU21</f>
        <v>0.65802160114667052</v>
      </c>
      <c r="AZ21" s="38">
        <f t="shared" ref="AZ21:AZ84" si="121">AY21</f>
        <v>0.65802160114667052</v>
      </c>
      <c r="BA21" s="38"/>
      <c r="BB21" s="38">
        <f t="shared" si="51"/>
        <v>2085.6063759609842</v>
      </c>
      <c r="BC21" s="38">
        <f t="shared" si="52"/>
        <v>3.155061322841776E-4</v>
      </c>
      <c r="BD21" s="38"/>
      <c r="BF21" s="25">
        <f t="shared" si="53"/>
        <v>14.038924914051726</v>
      </c>
      <c r="BG21" s="25">
        <f t="shared" si="54"/>
        <v>1</v>
      </c>
      <c r="BH21" s="38">
        <f t="shared" si="55"/>
        <v>377.19642514751001</v>
      </c>
      <c r="BI21" s="25">
        <f t="shared" si="56"/>
        <v>0.3</v>
      </c>
      <c r="BJ21" s="25">
        <f t="shared" si="57"/>
        <v>2.2006014802776082</v>
      </c>
      <c r="BK21" s="25">
        <f t="shared" si="58"/>
        <v>379.39702662778762</v>
      </c>
      <c r="BM21" s="36">
        <f t="shared" si="59"/>
        <v>1.0787007874015748</v>
      </c>
      <c r="BN21" s="36">
        <f t="shared" si="60"/>
        <v>131.20587764688875</v>
      </c>
      <c r="BS21" s="25">
        <f t="shared" si="61"/>
        <v>101.8</v>
      </c>
      <c r="BT21" s="25">
        <f t="shared" si="62"/>
        <v>45.39</v>
      </c>
      <c r="BU21" s="25">
        <f t="shared" si="63"/>
        <v>101.8</v>
      </c>
      <c r="BV21" s="25">
        <f t="shared" si="64"/>
        <v>58.09</v>
      </c>
      <c r="BW21" s="25">
        <f t="shared" si="65"/>
        <v>1.1242784754351178</v>
      </c>
      <c r="BX21" s="25">
        <f t="shared" si="66"/>
        <v>2.5712337259065356</v>
      </c>
      <c r="BZ21" s="25">
        <f t="shared" si="67"/>
        <v>101.8</v>
      </c>
      <c r="CD21" s="29"/>
      <c r="CF21" s="29"/>
      <c r="CG21" s="29"/>
      <c r="CH21" s="29">
        <f t="shared" si="68"/>
        <v>101.8</v>
      </c>
      <c r="CI21" s="29">
        <f t="shared" si="69"/>
        <v>101.8</v>
      </c>
      <c r="CJ21" s="29">
        <f t="shared" si="70"/>
        <v>2.001967536137395</v>
      </c>
      <c r="CK21" s="70">
        <v>0</v>
      </c>
      <c r="CL21" s="29">
        <f t="shared" si="71"/>
        <v>0</v>
      </c>
      <c r="CM21" s="29">
        <f t="shared" si="72"/>
        <v>0</v>
      </c>
      <c r="CN21" s="29">
        <f t="shared" si="73"/>
        <v>0.99524931562137331</v>
      </c>
      <c r="CO21" s="29">
        <f t="shared" si="74"/>
        <v>0.97375</v>
      </c>
      <c r="CP21" s="29">
        <f t="shared" si="75"/>
        <v>1.8095260954698043</v>
      </c>
      <c r="CQ21" s="29">
        <f t="shared" si="76"/>
        <v>3.6226124989240045</v>
      </c>
      <c r="CR21" s="29">
        <v>1</v>
      </c>
      <c r="CS21" s="29">
        <f t="shared" si="77"/>
        <v>224.60197493328826</v>
      </c>
      <c r="CU21" s="4"/>
      <c r="CV21" s="4"/>
      <c r="CW21" s="4"/>
      <c r="CX21" s="4"/>
      <c r="CY21" s="4"/>
      <c r="CZ21" s="4"/>
      <c r="DA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P21" s="4">
        <f t="shared" si="78"/>
        <v>0</v>
      </c>
      <c r="DQ21" s="25">
        <f t="shared" si="79"/>
        <v>12.7</v>
      </c>
      <c r="DR21" s="25">
        <f t="shared" si="80"/>
        <v>1</v>
      </c>
      <c r="DT21" s="4">
        <f t="shared" si="81"/>
        <v>8.8301600844121163E-7</v>
      </c>
      <c r="DU21" s="4">
        <f t="shared" si="82"/>
        <v>8.1848336869692275</v>
      </c>
      <c r="DV21" s="4"/>
      <c r="DW21" s="4">
        <f t="shared" si="83"/>
        <v>0</v>
      </c>
      <c r="DX21" s="4">
        <f t="shared" si="84"/>
        <v>5.8463097764065912</v>
      </c>
      <c r="DY21" s="4">
        <f t="shared" si="85"/>
        <v>8.1904203412824206</v>
      </c>
      <c r="DZ21" s="38">
        <f t="shared" si="86"/>
        <v>517.5</v>
      </c>
      <c r="EA21" s="4">
        <f t="shared" si="87"/>
        <v>1</v>
      </c>
      <c r="EB21" s="4"/>
      <c r="EC21" s="4">
        <f t="shared" ref="EC21:EC84" si="122">MIN(EB$10*BB21)</f>
        <v>2085.6063759609842</v>
      </c>
      <c r="EG21" s="25">
        <f t="shared" si="88"/>
        <v>0.85</v>
      </c>
      <c r="EH21" s="25">
        <f t="shared" si="89"/>
        <v>0.7</v>
      </c>
      <c r="EI21" s="25">
        <f t="shared" si="90"/>
        <v>1</v>
      </c>
      <c r="EJ21" s="25">
        <f t="shared" si="91"/>
        <v>0.7</v>
      </c>
      <c r="EL21" s="4">
        <f t="shared" si="92"/>
        <v>517.5</v>
      </c>
      <c r="EM21" s="25">
        <f t="shared" si="93"/>
        <v>3360.6713135428445</v>
      </c>
      <c r="EP21" s="4">
        <f t="shared" si="94"/>
        <v>8.1848336869692275</v>
      </c>
      <c r="EQ21" s="25">
        <f t="shared" si="95"/>
        <v>5.0087386592153482</v>
      </c>
      <c r="ES21" s="4">
        <f t="shared" si="96"/>
        <v>77.858162529590359</v>
      </c>
      <c r="ET21" s="4">
        <f t="shared" si="97"/>
        <v>3.0652819893539514</v>
      </c>
      <c r="EU21" s="4">
        <f t="shared" si="98"/>
        <v>0.77134941850336602</v>
      </c>
      <c r="EX21" s="25">
        <f t="shared" si="99"/>
        <v>0.77134941850336602</v>
      </c>
      <c r="EY21" s="25">
        <f t="shared" si="100"/>
        <v>0.999</v>
      </c>
      <c r="EZ21" s="4">
        <f t="shared" si="101"/>
        <v>8.1815587707902271</v>
      </c>
      <c r="FA21" s="25">
        <f t="shared" si="102"/>
        <v>8.1831963927074298</v>
      </c>
      <c r="FB21" s="4">
        <f t="shared" si="103"/>
        <v>0</v>
      </c>
      <c r="FC21" s="4">
        <f t="shared" si="104"/>
        <v>0</v>
      </c>
      <c r="FD21" s="25">
        <f t="shared" si="105"/>
        <v>0</v>
      </c>
      <c r="FE21" s="25">
        <f t="shared" si="106"/>
        <v>8.1848336869692275</v>
      </c>
      <c r="FF21" s="4">
        <f t="shared" si="107"/>
        <v>517.5</v>
      </c>
      <c r="FG21" s="4">
        <f t="shared" si="108"/>
        <v>0</v>
      </c>
      <c r="FH21" s="4">
        <f t="shared" si="109"/>
        <v>0</v>
      </c>
      <c r="FJ21" s="4">
        <f t="shared" si="110"/>
        <v>0</v>
      </c>
      <c r="FO21" s="23"/>
      <c r="FP21" s="23"/>
      <c r="FQ21" s="23"/>
      <c r="FR21" s="23"/>
      <c r="FS21" s="23"/>
      <c r="FT21" s="23"/>
      <c r="FU21" s="30"/>
      <c r="FV21" s="30"/>
      <c r="GF21" s="4">
        <f t="shared" si="111"/>
        <v>1</v>
      </c>
      <c r="GG21" s="4">
        <f t="shared" si="112"/>
        <v>0.85000000000000009</v>
      </c>
      <c r="GH21" s="4">
        <f t="shared" si="113"/>
        <v>0</v>
      </c>
      <c r="GI21" s="4">
        <f t="shared" si="114"/>
        <v>13.547917993669552</v>
      </c>
      <c r="GJ21" s="4"/>
    </row>
    <row r="22" spans="1:192" s="25" customFormat="1" ht="12" hidden="1" customHeight="1" x14ac:dyDescent="0.3">
      <c r="A22" s="25">
        <v>3</v>
      </c>
      <c r="B22" s="26" t="s">
        <v>81</v>
      </c>
      <c r="C22" s="26"/>
      <c r="D22" s="26" t="s">
        <v>82</v>
      </c>
      <c r="E22" s="26"/>
      <c r="F22" s="26"/>
      <c r="G22" s="26"/>
      <c r="H22" s="28" t="s">
        <v>301</v>
      </c>
      <c r="I22" s="28"/>
      <c r="J22" s="28">
        <f t="shared" si="115"/>
        <v>517.5</v>
      </c>
      <c r="K22" s="28">
        <f>0.5*25.4</f>
        <v>12.7</v>
      </c>
      <c r="L22" s="28">
        <f t="shared" ref="L22:L52" si="123">K22</f>
        <v>12.7</v>
      </c>
      <c r="M22" s="28">
        <v>28.46</v>
      </c>
      <c r="N22" s="28">
        <v>25.4</v>
      </c>
      <c r="O22" s="28">
        <f t="shared" si="116"/>
        <v>0.5</v>
      </c>
      <c r="P22" s="28">
        <f t="shared" si="117"/>
        <v>0.5</v>
      </c>
      <c r="Q22" s="28">
        <v>229</v>
      </c>
      <c r="R22" s="28"/>
      <c r="S22" s="28">
        <f t="shared" si="42"/>
        <v>101.8</v>
      </c>
      <c r="T22" s="28"/>
      <c r="U22" s="28">
        <v>305</v>
      </c>
      <c r="V22" s="28"/>
      <c r="W22" s="28">
        <v>0</v>
      </c>
      <c r="X22" s="28">
        <v>1</v>
      </c>
      <c r="Y22" s="28"/>
      <c r="Z22" s="28"/>
      <c r="AA22" s="28">
        <v>47.12</v>
      </c>
      <c r="AB22" s="7">
        <f t="shared" si="43"/>
        <v>2.3551181102362202</v>
      </c>
      <c r="AC22" s="28">
        <f t="shared" si="118"/>
        <v>2.3551181102362202</v>
      </c>
      <c r="AD22" s="28">
        <f t="shared" si="44"/>
        <v>8.3959536742577185</v>
      </c>
      <c r="AE22" s="7">
        <f t="shared" si="45"/>
        <v>8.3959536742577185</v>
      </c>
      <c r="AF22" s="28">
        <f t="shared" si="46"/>
        <v>9.3959536742577185</v>
      </c>
      <c r="AG22" s="28">
        <f t="shared" si="47"/>
        <v>77.858162529590359</v>
      </c>
      <c r="AH22" s="28"/>
      <c r="AI22" s="28"/>
      <c r="AJ22" s="28">
        <f>184.68/(PI()/4*N22^2)*1000</f>
        <v>364.47064157990252</v>
      </c>
      <c r="AK22" s="28"/>
      <c r="AL22" s="28"/>
      <c r="AM22" s="28">
        <v>0</v>
      </c>
      <c r="AN22" s="28">
        <v>0</v>
      </c>
      <c r="AO22" s="28">
        <f>L22</f>
        <v>12.7</v>
      </c>
      <c r="AP22" s="28"/>
      <c r="AQ22" s="28"/>
      <c r="AR22" s="28"/>
      <c r="AS22" s="4">
        <v>1</v>
      </c>
      <c r="AT22" s="25">
        <f t="shared" si="48"/>
        <v>1</v>
      </c>
      <c r="AU22" s="25">
        <f t="shared" si="49"/>
        <v>0.10528345618346728</v>
      </c>
      <c r="AV22" s="4">
        <f t="shared" si="50"/>
        <v>1</v>
      </c>
      <c r="AW22" s="25">
        <v>1.25</v>
      </c>
      <c r="AX22" s="25">
        <f t="shared" si="119"/>
        <v>5</v>
      </c>
      <c r="AY22" s="38">
        <f t="shared" si="120"/>
        <v>0.65802160114667052</v>
      </c>
      <c r="AZ22" s="38">
        <f t="shared" si="121"/>
        <v>0.65802160114667052</v>
      </c>
      <c r="BA22" s="38"/>
      <c r="BB22" s="38">
        <f t="shared" si="51"/>
        <v>2168.3561324959337</v>
      </c>
      <c r="BC22" s="38">
        <f t="shared" si="52"/>
        <v>3.0346564906256443E-4</v>
      </c>
      <c r="BD22" s="38"/>
      <c r="BF22" s="25">
        <f t="shared" si="53"/>
        <v>14.038924914051726</v>
      </c>
      <c r="BG22" s="25">
        <f t="shared" si="54"/>
        <v>1</v>
      </c>
      <c r="BH22" s="38">
        <f t="shared" si="55"/>
        <v>388.42985285460571</v>
      </c>
      <c r="BI22" s="25">
        <f t="shared" si="56"/>
        <v>0.3</v>
      </c>
      <c r="BJ22" s="25">
        <f t="shared" si="57"/>
        <v>2.2006014802776082</v>
      </c>
      <c r="BK22" s="25">
        <f t="shared" si="58"/>
        <v>390.63045433488332</v>
      </c>
      <c r="BM22" s="36">
        <f t="shared" si="59"/>
        <v>1.0855118110236219</v>
      </c>
      <c r="BN22" s="36">
        <f t="shared" si="60"/>
        <v>132.03432455491136</v>
      </c>
      <c r="BS22" s="25">
        <f t="shared" si="61"/>
        <v>101.8</v>
      </c>
      <c r="BT22" s="25">
        <f t="shared" si="62"/>
        <v>47.12</v>
      </c>
      <c r="BU22" s="25">
        <f t="shared" si="63"/>
        <v>101.8</v>
      </c>
      <c r="BV22" s="25">
        <f t="shared" si="64"/>
        <v>59.819999999999993</v>
      </c>
      <c r="BW22" s="25">
        <f t="shared" si="65"/>
        <v>1.1160441426146011</v>
      </c>
      <c r="BX22" s="25">
        <f t="shared" si="66"/>
        <v>2.6284157720947023</v>
      </c>
      <c r="BZ22" s="25">
        <f t="shared" si="67"/>
        <v>101.8</v>
      </c>
      <c r="CD22" s="29"/>
      <c r="CF22" s="29"/>
      <c r="CG22" s="29"/>
      <c r="CH22" s="29">
        <f t="shared" si="68"/>
        <v>101.8</v>
      </c>
      <c r="CI22" s="29">
        <f t="shared" si="69"/>
        <v>101.8</v>
      </c>
      <c r="CJ22" s="29">
        <f t="shared" si="70"/>
        <v>2.001967536137395</v>
      </c>
      <c r="CK22" s="70">
        <v>0</v>
      </c>
      <c r="CL22" s="29">
        <f t="shared" si="71"/>
        <v>0</v>
      </c>
      <c r="CM22" s="29">
        <f t="shared" si="72"/>
        <v>0</v>
      </c>
      <c r="CN22" s="29">
        <f t="shared" si="73"/>
        <v>0.99524931562137331</v>
      </c>
      <c r="CO22" s="29">
        <f t="shared" si="74"/>
        <v>0.97375</v>
      </c>
      <c r="CP22" s="29">
        <f t="shared" si="75"/>
        <v>1.8095260954698043</v>
      </c>
      <c r="CQ22" s="29">
        <f t="shared" si="76"/>
        <v>3.6226124989240045</v>
      </c>
      <c r="CR22" s="29">
        <v>1</v>
      </c>
      <c r="CS22" s="29">
        <f t="shared" si="77"/>
        <v>224.60197493328826</v>
      </c>
      <c r="CU22" s="4"/>
      <c r="CV22" s="4"/>
      <c r="CW22" s="4"/>
      <c r="CX22" s="4"/>
      <c r="CY22" s="4"/>
      <c r="CZ22" s="4"/>
      <c r="DA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P22" s="4">
        <f t="shared" si="78"/>
        <v>0</v>
      </c>
      <c r="DQ22" s="25">
        <f t="shared" si="79"/>
        <v>12.7</v>
      </c>
      <c r="DR22" s="25">
        <f t="shared" si="80"/>
        <v>1</v>
      </c>
      <c r="DT22" s="4">
        <f t="shared" si="81"/>
        <v>8.8301600844121163E-7</v>
      </c>
      <c r="DU22" s="4">
        <f t="shared" si="82"/>
        <v>8.1848336869692275</v>
      </c>
      <c r="DV22" s="4"/>
      <c r="DW22" s="4">
        <f t="shared" si="83"/>
        <v>0</v>
      </c>
      <c r="DX22" s="4">
        <f t="shared" si="84"/>
        <v>5.8463097764065912</v>
      </c>
      <c r="DY22" s="4">
        <f t="shared" si="85"/>
        <v>8.1904203412824206</v>
      </c>
      <c r="DZ22" s="38">
        <f t="shared" si="86"/>
        <v>517.5</v>
      </c>
      <c r="EA22" s="4">
        <f t="shared" si="87"/>
        <v>1</v>
      </c>
      <c r="EB22" s="4"/>
      <c r="EC22" s="4">
        <f t="shared" si="122"/>
        <v>2168.3561324959337</v>
      </c>
      <c r="EG22" s="25">
        <f t="shared" si="88"/>
        <v>0.85</v>
      </c>
      <c r="EH22" s="25">
        <f t="shared" si="89"/>
        <v>0.7</v>
      </c>
      <c r="EI22" s="25">
        <f t="shared" si="90"/>
        <v>1</v>
      </c>
      <c r="EJ22" s="25">
        <f t="shared" si="91"/>
        <v>0.7</v>
      </c>
      <c r="EL22" s="4">
        <f t="shared" si="92"/>
        <v>517.5</v>
      </c>
      <c r="EM22" s="25">
        <f t="shared" si="93"/>
        <v>3425.3859325591975</v>
      </c>
      <c r="EP22" s="4">
        <f t="shared" si="94"/>
        <v>8.1848336869692275</v>
      </c>
      <c r="EQ22" s="25">
        <f t="shared" si="95"/>
        <v>5.1201287372428643</v>
      </c>
      <c r="ES22" s="4">
        <f t="shared" si="96"/>
        <v>77.858162529590359</v>
      </c>
      <c r="ET22" s="4">
        <f t="shared" si="97"/>
        <v>3.0652819893539514</v>
      </c>
      <c r="EU22" s="4">
        <f t="shared" si="98"/>
        <v>0.80195393588508823</v>
      </c>
      <c r="EX22" s="25">
        <f t="shared" si="99"/>
        <v>0.80195393588508823</v>
      </c>
      <c r="EY22" s="25">
        <f t="shared" si="100"/>
        <v>0.999</v>
      </c>
      <c r="EZ22" s="4">
        <f t="shared" si="101"/>
        <v>8.1815587707902271</v>
      </c>
      <c r="FA22" s="25">
        <f t="shared" si="102"/>
        <v>8.1831963927074298</v>
      </c>
      <c r="FB22" s="4">
        <f t="shared" si="103"/>
        <v>0</v>
      </c>
      <c r="FC22" s="4">
        <f t="shared" si="104"/>
        <v>0</v>
      </c>
      <c r="FD22" s="25">
        <f t="shared" si="105"/>
        <v>0</v>
      </c>
      <c r="FE22" s="25">
        <f t="shared" si="106"/>
        <v>8.1848336869692275</v>
      </c>
      <c r="FF22" s="4">
        <f t="shared" si="107"/>
        <v>517.5</v>
      </c>
      <c r="FG22" s="4">
        <f t="shared" si="108"/>
        <v>0</v>
      </c>
      <c r="FH22" s="4">
        <f t="shared" si="109"/>
        <v>0</v>
      </c>
      <c r="FJ22" s="4">
        <f t="shared" si="110"/>
        <v>0</v>
      </c>
      <c r="FO22" s="23"/>
      <c r="FP22" s="23"/>
      <c r="FQ22" s="23"/>
      <c r="FR22" s="23"/>
      <c r="FS22" s="23"/>
      <c r="FT22" s="23"/>
      <c r="FU22" s="30"/>
      <c r="FV22" s="30"/>
      <c r="GF22" s="4">
        <f t="shared" si="111"/>
        <v>1</v>
      </c>
      <c r="GG22" s="4">
        <f t="shared" si="112"/>
        <v>0.85000000000000009</v>
      </c>
      <c r="GH22" s="4">
        <f t="shared" si="113"/>
        <v>0</v>
      </c>
      <c r="GI22" s="4">
        <f t="shared" si="114"/>
        <v>13.547917993669552</v>
      </c>
      <c r="GJ22" s="4"/>
    </row>
    <row r="23" spans="1:192" ht="12" hidden="1" customHeight="1" x14ac:dyDescent="0.3">
      <c r="A23" s="25">
        <v>4</v>
      </c>
      <c r="B23" s="26" t="s">
        <v>81</v>
      </c>
      <c r="C23" s="26"/>
      <c r="D23" s="26" t="s">
        <v>82</v>
      </c>
      <c r="E23" s="26"/>
      <c r="F23" s="26"/>
      <c r="G23" s="26"/>
      <c r="H23" s="7" t="s">
        <v>84</v>
      </c>
      <c r="I23" s="7"/>
      <c r="J23" s="28">
        <f t="shared" si="115"/>
        <v>517.5</v>
      </c>
      <c r="K23" s="7">
        <f t="shared" ref="K23:K24" si="124">11.25*25.4</f>
        <v>285.75</v>
      </c>
      <c r="L23" s="7">
        <f t="shared" si="123"/>
        <v>285.75</v>
      </c>
      <c r="M23" s="7">
        <v>33.630000000000003</v>
      </c>
      <c r="N23" s="7">
        <v>25.4</v>
      </c>
      <c r="O23" s="7">
        <f t="shared" si="116"/>
        <v>11.25</v>
      </c>
      <c r="P23" s="7">
        <f t="shared" si="117"/>
        <v>11.25</v>
      </c>
      <c r="Q23" s="7">
        <v>229</v>
      </c>
      <c r="R23" s="7"/>
      <c r="S23" s="7">
        <f t="shared" si="42"/>
        <v>101.8</v>
      </c>
      <c r="T23" s="7"/>
      <c r="U23" s="7">
        <v>305</v>
      </c>
      <c r="V23" s="7"/>
      <c r="W23" s="7">
        <v>0</v>
      </c>
      <c r="X23" s="7">
        <v>1</v>
      </c>
      <c r="Y23" s="7"/>
      <c r="Z23" s="7"/>
      <c r="AA23" s="7">
        <v>47.96</v>
      </c>
      <c r="AB23" s="7">
        <f t="shared" si="43"/>
        <v>2.3881889763779527</v>
      </c>
      <c r="AC23" s="28">
        <f t="shared" si="118"/>
        <v>2.3881889763779527</v>
      </c>
      <c r="AD23" s="28">
        <f t="shared" si="44"/>
        <v>8.3959536742577185</v>
      </c>
      <c r="AE23" s="7">
        <f t="shared" si="45"/>
        <v>8.3959536742577185</v>
      </c>
      <c r="AF23" s="7">
        <f t="shared" si="46"/>
        <v>9.3959536742577185</v>
      </c>
      <c r="AG23" s="7">
        <f t="shared" si="47"/>
        <v>77.858162529590359</v>
      </c>
      <c r="AH23" s="7"/>
      <c r="AI23" s="7"/>
      <c r="AJ23" s="7">
        <f>244.28/(PI()/4*N23^2)*1000</f>
        <v>482.09274596674555</v>
      </c>
      <c r="AK23" s="7"/>
      <c r="AL23" s="7"/>
      <c r="AM23" s="7">
        <v>9.5</v>
      </c>
      <c r="AN23" s="7">
        <v>3</v>
      </c>
      <c r="AO23" s="7">
        <v>127</v>
      </c>
      <c r="AP23" s="7">
        <v>3</v>
      </c>
      <c r="AQ23" s="7"/>
      <c r="AR23" s="7"/>
      <c r="AS23" s="4">
        <f t="shared" ref="AS23:AS86" si="125">K23</f>
        <v>285.75</v>
      </c>
      <c r="AT23" s="4">
        <f t="shared" si="48"/>
        <v>0.15246929654353136</v>
      </c>
      <c r="AU23" s="25">
        <f t="shared" si="49"/>
        <v>552.82220346472604</v>
      </c>
      <c r="AV23" s="4">
        <f t="shared" si="50"/>
        <v>0.74245669291338579</v>
      </c>
      <c r="AW23" s="4">
        <v>1.25</v>
      </c>
      <c r="AX23" s="25">
        <f t="shared" si="119"/>
        <v>5</v>
      </c>
      <c r="AY23" s="38">
        <f t="shared" si="120"/>
        <v>391.12809986115502</v>
      </c>
      <c r="AZ23" s="38">
        <f t="shared" si="121"/>
        <v>391.12809986115502</v>
      </c>
      <c r="BB23" s="38">
        <f t="shared" si="51"/>
        <v>391.12809986115491</v>
      </c>
      <c r="BC23" s="38">
        <f t="shared" si="52"/>
        <v>1.0000000000000002</v>
      </c>
      <c r="BF23" s="4">
        <f t="shared" si="53"/>
        <v>343.37000528047849</v>
      </c>
      <c r="BG23" s="4">
        <f t="shared" si="54"/>
        <v>1</v>
      </c>
      <c r="BH23" s="38">
        <f t="shared" si="55"/>
        <v>465.43664045428261</v>
      </c>
      <c r="BI23" s="4">
        <f t="shared" si="56"/>
        <v>0.3</v>
      </c>
      <c r="BJ23" s="4">
        <f t="shared" si="57"/>
        <v>53.823248327714992</v>
      </c>
      <c r="BK23" s="4">
        <f t="shared" si="58"/>
        <v>519.25988878199757</v>
      </c>
      <c r="BM23" s="36">
        <f t="shared" si="59"/>
        <v>1.8798656559235878</v>
      </c>
      <c r="BN23" s="36">
        <f t="shared" si="60"/>
        <v>436.06400440250223</v>
      </c>
      <c r="BS23" s="4">
        <f t="shared" si="61"/>
        <v>101.8</v>
      </c>
      <c r="BT23" s="4">
        <f t="shared" si="62"/>
        <v>47.96</v>
      </c>
      <c r="BU23" s="4">
        <f t="shared" si="63"/>
        <v>101.8</v>
      </c>
      <c r="BV23" s="4">
        <f t="shared" si="64"/>
        <v>60.66</v>
      </c>
      <c r="BW23" s="4">
        <f t="shared" si="65"/>
        <v>1.1122602168473728</v>
      </c>
      <c r="BX23" s="25">
        <f t="shared" si="66"/>
        <v>4</v>
      </c>
      <c r="BZ23" s="4">
        <f t="shared" si="67"/>
        <v>101.8</v>
      </c>
      <c r="CD23" s="9"/>
      <c r="CF23" s="9"/>
      <c r="CG23" s="9"/>
      <c r="CH23" s="9">
        <f t="shared" si="68"/>
        <v>101.8</v>
      </c>
      <c r="CI23" s="9">
        <f t="shared" si="69"/>
        <v>101.8</v>
      </c>
      <c r="CJ23" s="9">
        <f t="shared" si="70"/>
        <v>2.001967536137395</v>
      </c>
      <c r="CK23" s="70">
        <v>20</v>
      </c>
      <c r="CL23" s="9">
        <f t="shared" si="71"/>
        <v>0.05</v>
      </c>
      <c r="CM23" s="9">
        <f t="shared" si="72"/>
        <v>0.8</v>
      </c>
      <c r="CN23" s="9">
        <f t="shared" si="73"/>
        <v>0.99524931562137331</v>
      </c>
      <c r="CO23" s="9">
        <f t="shared" si="74"/>
        <v>0.97375</v>
      </c>
      <c r="CP23" s="9">
        <f t="shared" si="75"/>
        <v>1.9670293329614872</v>
      </c>
      <c r="CQ23" s="9">
        <f t="shared" si="76"/>
        <v>4.9175733324037179</v>
      </c>
      <c r="CR23" s="9">
        <v>1</v>
      </c>
      <c r="CS23" s="9">
        <f t="shared" si="77"/>
        <v>516.34519990239039</v>
      </c>
      <c r="DP23" s="4">
        <f t="shared" si="78"/>
        <v>3</v>
      </c>
      <c r="DQ23" s="4">
        <f t="shared" si="79"/>
        <v>285.75</v>
      </c>
      <c r="DR23" s="4">
        <f t="shared" si="80"/>
        <v>1</v>
      </c>
      <c r="DT23" s="4">
        <f t="shared" si="81"/>
        <v>2.0608377244988005E-5</v>
      </c>
      <c r="DU23" s="4">
        <f t="shared" si="82"/>
        <v>8.8972510471034791</v>
      </c>
      <c r="DW23" s="4">
        <f t="shared" si="83"/>
        <v>0</v>
      </c>
      <c r="DX23" s="4">
        <f t="shared" si="84"/>
        <v>6.3551793193596282</v>
      </c>
      <c r="DY23" s="4">
        <f t="shared" si="85"/>
        <v>8.4683147824653329</v>
      </c>
      <c r="DZ23" s="38">
        <f t="shared" si="86"/>
        <v>517.5</v>
      </c>
      <c r="EA23" s="4">
        <f t="shared" si="87"/>
        <v>1</v>
      </c>
      <c r="EC23" s="4">
        <f t="shared" si="122"/>
        <v>391.12809986115491</v>
      </c>
      <c r="EG23" s="4">
        <f t="shared" si="88"/>
        <v>0.85</v>
      </c>
      <c r="EH23" s="4">
        <f t="shared" si="89"/>
        <v>0.7</v>
      </c>
      <c r="EI23" s="4">
        <f t="shared" si="90"/>
        <v>0.82320199640399283</v>
      </c>
      <c r="EJ23" s="4">
        <f t="shared" si="91"/>
        <v>0.7</v>
      </c>
      <c r="EL23" s="4">
        <f t="shared" si="92"/>
        <v>517.5</v>
      </c>
      <c r="EM23" s="25">
        <f t="shared" si="93"/>
        <v>399.32362943258647</v>
      </c>
      <c r="EP23" s="4">
        <f t="shared" si="94"/>
        <v>8.8972510471034791</v>
      </c>
      <c r="EQ23" s="4">
        <f t="shared" si="95"/>
        <v>8.470182996842512</v>
      </c>
      <c r="ES23" s="4">
        <f t="shared" si="96"/>
        <v>77.858162529590359</v>
      </c>
      <c r="ET23" s="4">
        <f t="shared" si="97"/>
        <v>3.0652819893539514</v>
      </c>
      <c r="EU23" s="4">
        <f t="shared" si="98"/>
        <v>0.13307358072180214</v>
      </c>
      <c r="EX23" s="4">
        <f t="shared" si="99"/>
        <v>0.13307358072180214</v>
      </c>
      <c r="EY23" s="4">
        <f t="shared" si="100"/>
        <v>0.41895538981517921</v>
      </c>
      <c r="EZ23" s="4">
        <f t="shared" si="101"/>
        <v>6.2823620020062467</v>
      </c>
      <c r="FA23" s="4">
        <f t="shared" si="102"/>
        <v>7.7019186230321308</v>
      </c>
      <c r="FB23" s="4">
        <f t="shared" si="103"/>
        <v>136.45433747040965</v>
      </c>
      <c r="FC23" s="4">
        <f t="shared" si="104"/>
        <v>71.4375</v>
      </c>
      <c r="FD23" s="4">
        <f t="shared" si="105"/>
        <v>2.0608377244988005E-5</v>
      </c>
      <c r="FE23" s="4">
        <f t="shared" si="106"/>
        <v>8.2247416076663136</v>
      </c>
      <c r="FF23" s="4">
        <f t="shared" si="107"/>
        <v>517.5</v>
      </c>
      <c r="FG23" s="4">
        <f t="shared" si="108"/>
        <v>136.45433747040965</v>
      </c>
      <c r="FH23" s="4">
        <f t="shared" si="109"/>
        <v>71.437499999999986</v>
      </c>
      <c r="FJ23" s="4">
        <f t="shared" si="110"/>
        <v>0</v>
      </c>
      <c r="FO23" s="23"/>
      <c r="FP23" s="23"/>
      <c r="FQ23" s="23"/>
      <c r="FR23" s="23"/>
      <c r="FS23" s="23"/>
      <c r="FT23" s="23"/>
      <c r="FU23" s="23"/>
      <c r="FV23" s="23"/>
      <c r="GF23" s="4">
        <f t="shared" si="111"/>
        <v>1</v>
      </c>
      <c r="GG23" s="4">
        <f t="shared" si="112"/>
        <v>0.68688155922038985</v>
      </c>
      <c r="GH23" s="4">
        <f t="shared" si="113"/>
        <v>0.3</v>
      </c>
      <c r="GI23" s="4">
        <f t="shared" si="114"/>
        <v>393.29202394425954</v>
      </c>
    </row>
    <row r="24" spans="1:192" ht="12" hidden="1" customHeight="1" x14ac:dyDescent="0.3">
      <c r="A24" s="25">
        <v>5</v>
      </c>
      <c r="B24" s="26" t="s">
        <v>81</v>
      </c>
      <c r="C24" s="26"/>
      <c r="D24" s="26" t="s">
        <v>82</v>
      </c>
      <c r="E24" s="26"/>
      <c r="F24" s="26"/>
      <c r="G24" s="26"/>
      <c r="H24" s="7" t="s">
        <v>303</v>
      </c>
      <c r="I24" s="7"/>
      <c r="J24" s="28">
        <f t="shared" si="115"/>
        <v>517.5</v>
      </c>
      <c r="K24" s="7">
        <f t="shared" si="124"/>
        <v>285.75</v>
      </c>
      <c r="L24" s="7">
        <f t="shared" si="123"/>
        <v>285.75</v>
      </c>
      <c r="M24" s="7">
        <v>33.630000000000003</v>
      </c>
      <c r="N24" s="7">
        <v>25.4</v>
      </c>
      <c r="O24" s="7">
        <f t="shared" si="116"/>
        <v>11.25</v>
      </c>
      <c r="P24" s="7">
        <f t="shared" si="117"/>
        <v>11.25</v>
      </c>
      <c r="Q24" s="7">
        <v>229</v>
      </c>
      <c r="R24" s="7"/>
      <c r="S24" s="7">
        <f t="shared" si="42"/>
        <v>101.8</v>
      </c>
      <c r="T24" s="7"/>
      <c r="U24" s="7">
        <v>305</v>
      </c>
      <c r="V24" s="7"/>
      <c r="W24" s="7">
        <v>0</v>
      </c>
      <c r="X24" s="7">
        <v>1</v>
      </c>
      <c r="Y24" s="7"/>
      <c r="Z24" s="7"/>
      <c r="AA24" s="7">
        <v>50.8</v>
      </c>
      <c r="AB24" s="7">
        <f t="shared" si="43"/>
        <v>2.5</v>
      </c>
      <c r="AC24" s="28">
        <f t="shared" si="118"/>
        <v>2.5</v>
      </c>
      <c r="AD24" s="28">
        <f t="shared" si="44"/>
        <v>8.3959536742577185</v>
      </c>
      <c r="AE24" s="7">
        <f t="shared" si="45"/>
        <v>8.3959536742577185</v>
      </c>
      <c r="AF24" s="7">
        <f t="shared" si="46"/>
        <v>9.3959536742577185</v>
      </c>
      <c r="AG24" s="7">
        <f t="shared" si="47"/>
        <v>77.858162529590359</v>
      </c>
      <c r="AH24" s="7"/>
      <c r="AI24" s="7"/>
      <c r="AJ24" s="7">
        <f>234.45/(PI()/4*N24^2)*1000</f>
        <v>462.692992843882</v>
      </c>
      <c r="AK24" s="7"/>
      <c r="AL24" s="7"/>
      <c r="AM24" s="7">
        <v>9.5</v>
      </c>
      <c r="AN24" s="7">
        <v>3</v>
      </c>
      <c r="AO24" s="7">
        <v>127</v>
      </c>
      <c r="AP24" s="7">
        <v>3</v>
      </c>
      <c r="AQ24" s="7"/>
      <c r="AR24" s="7"/>
      <c r="AS24" s="4">
        <f t="shared" si="125"/>
        <v>285.75</v>
      </c>
      <c r="AT24" s="4">
        <f t="shared" si="48"/>
        <v>0.15335428750418542</v>
      </c>
      <c r="AU24" s="25">
        <f t="shared" si="49"/>
        <v>552.82220346472604</v>
      </c>
      <c r="AV24" s="4">
        <f t="shared" si="50"/>
        <v>0.74444444444444435</v>
      </c>
      <c r="AW24" s="4">
        <v>1.25</v>
      </c>
      <c r="AX24" s="25">
        <f t="shared" si="119"/>
        <v>5</v>
      </c>
      <c r="AY24" s="38">
        <f t="shared" si="120"/>
        <v>394.45158983551403</v>
      </c>
      <c r="AZ24" s="38">
        <f t="shared" si="121"/>
        <v>394.45158983551403</v>
      </c>
      <c r="BB24" s="38">
        <f t="shared" si="51"/>
        <v>394.45158983551386</v>
      </c>
      <c r="BC24" s="38">
        <f t="shared" si="52"/>
        <v>1.0000000000000004</v>
      </c>
      <c r="BF24" s="4">
        <f t="shared" si="53"/>
        <v>343.37000528047849</v>
      </c>
      <c r="BG24" s="4">
        <f t="shared" si="54"/>
        <v>1</v>
      </c>
      <c r="BH24" s="38">
        <f t="shared" si="55"/>
        <v>487.22760746533044</v>
      </c>
      <c r="BI24" s="4">
        <f t="shared" si="56"/>
        <v>0.3</v>
      </c>
      <c r="BJ24" s="4">
        <f t="shared" si="57"/>
        <v>53.823248327714992</v>
      </c>
      <c r="BK24" s="4">
        <f t="shared" si="58"/>
        <v>541.05085579304546</v>
      </c>
      <c r="BM24" s="36">
        <f t="shared" si="59"/>
        <v>1.8910467582857926</v>
      </c>
      <c r="BN24" s="36">
        <f t="shared" si="60"/>
        <v>438.65763456662262</v>
      </c>
      <c r="BS24" s="4">
        <f t="shared" si="61"/>
        <v>101.8</v>
      </c>
      <c r="BT24" s="4">
        <f t="shared" si="62"/>
        <v>50.8</v>
      </c>
      <c r="BU24" s="4">
        <f t="shared" si="63"/>
        <v>101.8</v>
      </c>
      <c r="BV24" s="4">
        <f t="shared" si="64"/>
        <v>63.5</v>
      </c>
      <c r="BW24" s="4">
        <f t="shared" si="65"/>
        <v>1.1003937007874016</v>
      </c>
      <c r="BX24" s="25">
        <f t="shared" si="66"/>
        <v>4</v>
      </c>
      <c r="BZ24" s="4">
        <f t="shared" si="67"/>
        <v>101.8</v>
      </c>
      <c r="CD24" s="9"/>
      <c r="CF24" s="9"/>
      <c r="CG24" s="9"/>
      <c r="CH24" s="9">
        <f t="shared" si="68"/>
        <v>101.8</v>
      </c>
      <c r="CI24" s="9">
        <f t="shared" si="69"/>
        <v>101.8</v>
      </c>
      <c r="CJ24" s="9">
        <f t="shared" si="70"/>
        <v>2.001967536137395</v>
      </c>
      <c r="CK24" s="70">
        <v>20</v>
      </c>
      <c r="CL24" s="9">
        <f t="shared" si="71"/>
        <v>0.05</v>
      </c>
      <c r="CM24" s="9">
        <f t="shared" si="72"/>
        <v>0.8</v>
      </c>
      <c r="CN24" s="9">
        <f t="shared" si="73"/>
        <v>0.99524931562137331</v>
      </c>
      <c r="CO24" s="9">
        <f t="shared" si="74"/>
        <v>0.97375</v>
      </c>
      <c r="CP24" s="9">
        <f t="shared" si="75"/>
        <v>1.9670293329614872</v>
      </c>
      <c r="CQ24" s="9">
        <f t="shared" si="76"/>
        <v>4.9175733324037179</v>
      </c>
      <c r="CR24" s="9">
        <v>1</v>
      </c>
      <c r="CS24" s="9">
        <f t="shared" si="77"/>
        <v>516.34519990239039</v>
      </c>
      <c r="DP24" s="4">
        <f t="shared" si="78"/>
        <v>3</v>
      </c>
      <c r="DQ24" s="4">
        <f t="shared" si="79"/>
        <v>285.75</v>
      </c>
      <c r="DR24" s="4">
        <f t="shared" si="80"/>
        <v>1</v>
      </c>
      <c r="DT24" s="4">
        <f t="shared" si="81"/>
        <v>2.0608377244988005E-5</v>
      </c>
      <c r="DU24" s="4">
        <f t="shared" si="82"/>
        <v>8.8972510471034791</v>
      </c>
      <c r="DW24" s="4">
        <f t="shared" si="83"/>
        <v>0</v>
      </c>
      <c r="DX24" s="4">
        <f t="shared" si="84"/>
        <v>6.3551793193596282</v>
      </c>
      <c r="DY24" s="4">
        <f t="shared" si="85"/>
        <v>8.4683147824653329</v>
      </c>
      <c r="DZ24" s="38">
        <f t="shared" si="86"/>
        <v>517.5</v>
      </c>
      <c r="EA24" s="4">
        <f t="shared" si="87"/>
        <v>1</v>
      </c>
      <c r="EC24" s="4">
        <f t="shared" si="122"/>
        <v>394.45158983551386</v>
      </c>
      <c r="EG24" s="4">
        <f t="shared" si="88"/>
        <v>0.85</v>
      </c>
      <c r="EH24" s="4">
        <f t="shared" si="89"/>
        <v>0.7</v>
      </c>
      <c r="EI24" s="4">
        <f t="shared" si="90"/>
        <v>0.82320199640399283</v>
      </c>
      <c r="EJ24" s="4">
        <f t="shared" si="91"/>
        <v>0.7</v>
      </c>
      <c r="EL24" s="4">
        <f t="shared" si="92"/>
        <v>517.5</v>
      </c>
      <c r="EM24" s="25">
        <f t="shared" si="93"/>
        <v>400.40567822403813</v>
      </c>
      <c r="EP24" s="4">
        <f t="shared" si="94"/>
        <v>8.8972510471034791</v>
      </c>
      <c r="EQ24" s="4">
        <f t="shared" si="95"/>
        <v>8.470182996842512</v>
      </c>
      <c r="ES24" s="4">
        <f t="shared" si="96"/>
        <v>77.858162529590359</v>
      </c>
      <c r="ET24" s="4">
        <f t="shared" si="97"/>
        <v>3.0652819893539514</v>
      </c>
      <c r="EU24" s="4">
        <f t="shared" si="98"/>
        <v>0.13420433228769058</v>
      </c>
      <c r="EX24" s="4">
        <f t="shared" si="99"/>
        <v>0.13420433228769058</v>
      </c>
      <c r="EY24" s="4">
        <f t="shared" si="100"/>
        <v>0.42251533357337173</v>
      </c>
      <c r="EZ24" s="4">
        <f t="shared" si="101"/>
        <v>6.3036607859393676</v>
      </c>
      <c r="FA24" s="4">
        <f t="shared" si="102"/>
        <v>7.7106038725457431</v>
      </c>
      <c r="FB24" s="4">
        <f t="shared" si="103"/>
        <v>136.45433747040965</v>
      </c>
      <c r="FC24" s="4">
        <f t="shared" si="104"/>
        <v>71.4375</v>
      </c>
      <c r="FD24" s="4">
        <f t="shared" si="105"/>
        <v>2.0608377244988005E-5</v>
      </c>
      <c r="FE24" s="4">
        <f t="shared" si="106"/>
        <v>8.2237123607947922</v>
      </c>
      <c r="FF24" s="4">
        <f t="shared" si="107"/>
        <v>517.5</v>
      </c>
      <c r="FG24" s="4">
        <f t="shared" si="108"/>
        <v>136.45433747040965</v>
      </c>
      <c r="FH24" s="4">
        <f t="shared" si="109"/>
        <v>71.437499999999986</v>
      </c>
      <c r="FJ24" s="4">
        <f t="shared" si="110"/>
        <v>0</v>
      </c>
      <c r="FO24" s="23"/>
      <c r="FP24" s="23"/>
      <c r="FQ24" s="23"/>
      <c r="FR24" s="23"/>
      <c r="FS24" s="23"/>
      <c r="FT24" s="23"/>
      <c r="FU24" s="23"/>
      <c r="FV24" s="23"/>
      <c r="GF24" s="4">
        <f t="shared" si="111"/>
        <v>1</v>
      </c>
      <c r="GG24" s="4">
        <f t="shared" si="112"/>
        <v>0.68688155922038985</v>
      </c>
      <c r="GH24" s="4">
        <f t="shared" si="113"/>
        <v>0.3</v>
      </c>
      <c r="GI24" s="4">
        <f t="shared" si="114"/>
        <v>393.29202394425954</v>
      </c>
    </row>
    <row r="25" spans="1:192" ht="12" hidden="1" customHeight="1" x14ac:dyDescent="0.3">
      <c r="A25" s="25">
        <v>6</v>
      </c>
      <c r="B25" s="26" t="s">
        <v>81</v>
      </c>
      <c r="C25" s="26"/>
      <c r="D25" s="26" t="s">
        <v>82</v>
      </c>
      <c r="E25" s="26"/>
      <c r="F25" s="26"/>
      <c r="G25" s="26"/>
      <c r="H25" s="7" t="s">
        <v>83</v>
      </c>
      <c r="I25" s="7"/>
      <c r="J25" s="28">
        <f t="shared" si="115"/>
        <v>517.5</v>
      </c>
      <c r="K25" s="7">
        <f>11.5*25.4</f>
        <v>292.09999999999997</v>
      </c>
      <c r="L25" s="7">
        <f t="shared" si="123"/>
        <v>292.09999999999997</v>
      </c>
      <c r="M25" s="7">
        <v>33.630000000000003</v>
      </c>
      <c r="N25" s="7">
        <v>25.4</v>
      </c>
      <c r="O25" s="7">
        <f t="shared" si="116"/>
        <v>11.5</v>
      </c>
      <c r="P25" s="7">
        <f t="shared" si="117"/>
        <v>11.5</v>
      </c>
      <c r="Q25" s="7">
        <v>229</v>
      </c>
      <c r="R25" s="7"/>
      <c r="S25" s="7">
        <f t="shared" si="42"/>
        <v>101.8</v>
      </c>
      <c r="T25" s="7"/>
      <c r="U25" s="7">
        <v>305</v>
      </c>
      <c r="V25" s="7"/>
      <c r="W25" s="7">
        <v>0</v>
      </c>
      <c r="X25" s="7">
        <v>1</v>
      </c>
      <c r="Y25" s="7"/>
      <c r="Z25" s="7"/>
      <c r="AA25" s="7">
        <v>47.73</v>
      </c>
      <c r="AB25" s="7">
        <f t="shared" si="43"/>
        <v>2.3791338582677164</v>
      </c>
      <c r="AC25" s="28">
        <f t="shared" si="118"/>
        <v>2.3791338582677164</v>
      </c>
      <c r="AD25" s="28">
        <f t="shared" si="44"/>
        <v>8.3959536742577185</v>
      </c>
      <c r="AE25" s="7">
        <f t="shared" si="45"/>
        <v>8.3959536742577185</v>
      </c>
      <c r="AF25" s="7">
        <f t="shared" si="46"/>
        <v>9.3959536742577185</v>
      </c>
      <c r="AG25" s="7">
        <f t="shared" si="47"/>
        <v>77.858162529590359</v>
      </c>
      <c r="AH25" s="7"/>
      <c r="AI25" s="7"/>
      <c r="AJ25" s="7">
        <f>229.78/(PI()/4*N25^2)*1000</f>
        <v>453.47662996659079</v>
      </c>
      <c r="AK25" s="7"/>
      <c r="AL25" s="7"/>
      <c r="AM25" s="7">
        <v>9.5</v>
      </c>
      <c r="AN25" s="7">
        <v>3</v>
      </c>
      <c r="AO25" s="7">
        <v>127</v>
      </c>
      <c r="AP25" s="7">
        <v>3</v>
      </c>
      <c r="AQ25" s="7"/>
      <c r="AR25" s="7"/>
      <c r="AS25" s="4">
        <f t="shared" si="125"/>
        <v>292.09999999999997</v>
      </c>
      <c r="AT25" s="4">
        <f t="shared" si="48"/>
        <v>0.14868416294278508</v>
      </c>
      <c r="AU25" s="25">
        <f t="shared" si="49"/>
        <v>571.35160868930427</v>
      </c>
      <c r="AV25" s="4">
        <f t="shared" si="50"/>
        <v>0.74137624101335153</v>
      </c>
      <c r="AW25" s="4">
        <v>1.25</v>
      </c>
      <c r="AX25" s="25">
        <f t="shared" si="119"/>
        <v>5</v>
      </c>
      <c r="AY25" s="38">
        <f t="shared" si="120"/>
        <v>393.62878354973896</v>
      </c>
      <c r="AZ25" s="38">
        <f t="shared" si="121"/>
        <v>393.62878354973896</v>
      </c>
      <c r="BB25" s="38">
        <f t="shared" si="51"/>
        <v>393.62878354973918</v>
      </c>
      <c r="BC25" s="38">
        <f t="shared" si="52"/>
        <v>0.99999999999999944</v>
      </c>
      <c r="BF25" s="4">
        <f t="shared" si="53"/>
        <v>351.0004498422669</v>
      </c>
      <c r="BG25" s="4">
        <f t="shared" si="54"/>
        <v>1</v>
      </c>
      <c r="BH25" s="38">
        <f t="shared" si="55"/>
        <v>463.67187904141605</v>
      </c>
      <c r="BI25" s="4">
        <f t="shared" si="56"/>
        <v>0.3</v>
      </c>
      <c r="BJ25" s="4">
        <f t="shared" si="57"/>
        <v>55.019320512775316</v>
      </c>
      <c r="BK25" s="4">
        <f t="shared" si="58"/>
        <v>518.69119955419137</v>
      </c>
      <c r="BM25" s="36">
        <f t="shared" si="59"/>
        <v>1.8789601441125643</v>
      </c>
      <c r="BN25" s="36">
        <f t="shared" si="60"/>
        <v>440.21249645810303</v>
      </c>
      <c r="BS25" s="4">
        <f t="shared" si="61"/>
        <v>101.8</v>
      </c>
      <c r="BT25" s="4">
        <f t="shared" si="62"/>
        <v>47.73</v>
      </c>
      <c r="BU25" s="4">
        <f t="shared" si="63"/>
        <v>101.8</v>
      </c>
      <c r="BV25" s="4">
        <f t="shared" si="64"/>
        <v>60.429999999999993</v>
      </c>
      <c r="BW25" s="4">
        <f t="shared" si="65"/>
        <v>1.1132830504923528</v>
      </c>
      <c r="BX25" s="25">
        <f t="shared" si="66"/>
        <v>4</v>
      </c>
      <c r="BZ25" s="4">
        <f t="shared" si="67"/>
        <v>101.8</v>
      </c>
      <c r="CD25" s="9"/>
      <c r="CF25" s="9"/>
      <c r="CG25" s="9"/>
      <c r="CH25" s="9">
        <f t="shared" si="68"/>
        <v>101.8</v>
      </c>
      <c r="CI25" s="9">
        <f t="shared" si="69"/>
        <v>101.8</v>
      </c>
      <c r="CJ25" s="9">
        <f t="shared" si="70"/>
        <v>2.001967536137395</v>
      </c>
      <c r="CK25" s="70">
        <v>20</v>
      </c>
      <c r="CL25" s="9">
        <f t="shared" si="71"/>
        <v>0.05</v>
      </c>
      <c r="CM25" s="9">
        <f t="shared" si="72"/>
        <v>0.8</v>
      </c>
      <c r="CN25" s="9">
        <f t="shared" si="73"/>
        <v>0.99524931562137331</v>
      </c>
      <c r="CO25" s="9">
        <f t="shared" si="74"/>
        <v>0.97375</v>
      </c>
      <c r="CP25" s="9">
        <f t="shared" si="75"/>
        <v>1.9670293329614872</v>
      </c>
      <c r="CQ25" s="9">
        <f t="shared" si="76"/>
        <v>4.9175733324037179</v>
      </c>
      <c r="CR25" s="9">
        <v>1</v>
      </c>
      <c r="CS25" s="9">
        <f t="shared" si="77"/>
        <v>521.26277323479405</v>
      </c>
      <c r="DP25" s="4">
        <f t="shared" si="78"/>
        <v>3</v>
      </c>
      <c r="DQ25" s="4">
        <f t="shared" si="79"/>
        <v>292.09999999999997</v>
      </c>
      <c r="DR25" s="4">
        <f t="shared" si="80"/>
        <v>1</v>
      </c>
      <c r="DT25" s="4">
        <f t="shared" si="81"/>
        <v>2.1066341183765516E-5</v>
      </c>
      <c r="DU25" s="4">
        <f t="shared" si="82"/>
        <v>8.8972510471034791</v>
      </c>
      <c r="DW25" s="4">
        <f t="shared" si="83"/>
        <v>0</v>
      </c>
      <c r="DX25" s="4">
        <f t="shared" si="84"/>
        <v>6.3551793193596282</v>
      </c>
      <c r="DY25" s="4">
        <f t="shared" si="85"/>
        <v>8.445233180953025</v>
      </c>
      <c r="DZ25" s="38">
        <f t="shared" si="86"/>
        <v>517.5</v>
      </c>
      <c r="EA25" s="4">
        <f t="shared" si="87"/>
        <v>1</v>
      </c>
      <c r="EC25" s="4">
        <f t="shared" si="122"/>
        <v>393.62878354973918</v>
      </c>
      <c r="EG25" s="4">
        <f t="shared" si="88"/>
        <v>0.85</v>
      </c>
      <c r="EH25" s="4">
        <f t="shared" si="89"/>
        <v>0.7</v>
      </c>
      <c r="EI25" s="4">
        <f t="shared" si="90"/>
        <v>0.82320199640399283</v>
      </c>
      <c r="EJ25" s="4">
        <f t="shared" si="91"/>
        <v>0.7</v>
      </c>
      <c r="EL25" s="4">
        <f t="shared" si="92"/>
        <v>517.5</v>
      </c>
      <c r="EM25" s="25">
        <f t="shared" si="93"/>
        <v>394.48162132390439</v>
      </c>
      <c r="EP25" s="4">
        <f t="shared" si="94"/>
        <v>8.8972510471034791</v>
      </c>
      <c r="EQ25" s="4">
        <f t="shared" si="95"/>
        <v>8.470182996842512</v>
      </c>
      <c r="ES25" s="4">
        <f t="shared" si="96"/>
        <v>77.858162529590359</v>
      </c>
      <c r="ET25" s="4">
        <f t="shared" si="97"/>
        <v>3.0652819893539514</v>
      </c>
      <c r="EU25" s="4">
        <f t="shared" si="98"/>
        <v>0.13392438876349141</v>
      </c>
      <c r="EX25" s="4">
        <f t="shared" si="99"/>
        <v>0.13392438876349141</v>
      </c>
      <c r="EY25" s="4">
        <f t="shared" si="100"/>
        <v>0.42163398772191918</v>
      </c>
      <c r="EZ25" s="4">
        <f t="shared" si="101"/>
        <v>6.2983978424284564</v>
      </c>
      <c r="FA25" s="4">
        <f t="shared" si="102"/>
        <v>7.7084558863593733</v>
      </c>
      <c r="FB25" s="4">
        <f t="shared" si="103"/>
        <v>141.21683747040964</v>
      </c>
      <c r="FC25" s="4">
        <f t="shared" si="104"/>
        <v>73.024999999999977</v>
      </c>
      <c r="FD25" s="4">
        <f t="shared" si="105"/>
        <v>2.1066341183765513E-5</v>
      </c>
      <c r="FE25" s="4">
        <f t="shared" si="106"/>
        <v>8.1932168886722874</v>
      </c>
      <c r="FF25" s="4">
        <f t="shared" si="107"/>
        <v>517.5</v>
      </c>
      <c r="FG25" s="4">
        <f t="shared" si="108"/>
        <v>141.21683747040964</v>
      </c>
      <c r="FH25" s="4">
        <f t="shared" si="109"/>
        <v>73.024999999999963</v>
      </c>
      <c r="FJ25" s="4">
        <f t="shared" si="110"/>
        <v>0</v>
      </c>
      <c r="FO25" s="23"/>
      <c r="FP25" s="23"/>
      <c r="FQ25" s="23"/>
      <c r="FR25" s="23"/>
      <c r="FS25" s="23"/>
      <c r="FT25" s="23"/>
      <c r="FU25" s="23"/>
      <c r="FV25" s="23"/>
      <c r="GF25" s="4">
        <f t="shared" si="111"/>
        <v>1</v>
      </c>
      <c r="GG25" s="4">
        <f t="shared" si="112"/>
        <v>0.68688155922038985</v>
      </c>
      <c r="GH25" s="4">
        <f t="shared" si="113"/>
        <v>0.3</v>
      </c>
      <c r="GI25" s="4">
        <f t="shared" si="114"/>
        <v>402.03184669857649</v>
      </c>
    </row>
    <row r="26" spans="1:192" s="25" customFormat="1" ht="12" hidden="1" customHeight="1" x14ac:dyDescent="0.3">
      <c r="A26" s="25">
        <v>7</v>
      </c>
      <c r="B26" s="26" t="s">
        <v>81</v>
      </c>
      <c r="C26" s="26"/>
      <c r="D26" s="26" t="s">
        <v>82</v>
      </c>
      <c r="E26" s="26"/>
      <c r="F26" s="26"/>
      <c r="G26" s="26"/>
      <c r="H26" s="28" t="s">
        <v>85</v>
      </c>
      <c r="I26" s="28"/>
      <c r="J26" s="28">
        <f t="shared" si="115"/>
        <v>517.5</v>
      </c>
      <c r="K26" s="28">
        <f>11.38*25.4</f>
        <v>289.05200000000002</v>
      </c>
      <c r="L26" s="28">
        <f t="shared" si="123"/>
        <v>289.05200000000002</v>
      </c>
      <c r="M26" s="28">
        <v>33.630000000000003</v>
      </c>
      <c r="N26" s="28">
        <v>25.4</v>
      </c>
      <c r="O26" s="28">
        <f t="shared" si="116"/>
        <v>11.38</v>
      </c>
      <c r="P26" s="28">
        <f t="shared" si="117"/>
        <v>11.38</v>
      </c>
      <c r="Q26" s="28">
        <v>229</v>
      </c>
      <c r="R26" s="28"/>
      <c r="S26" s="28">
        <f t="shared" si="42"/>
        <v>101.8</v>
      </c>
      <c r="T26" s="28"/>
      <c r="U26" s="28">
        <v>305</v>
      </c>
      <c r="V26" s="28"/>
      <c r="W26" s="28">
        <v>0</v>
      </c>
      <c r="X26" s="28">
        <v>1</v>
      </c>
      <c r="Y26" s="28"/>
      <c r="Z26" s="28"/>
      <c r="AA26" s="28">
        <v>47.68</v>
      </c>
      <c r="AB26" s="7">
        <f t="shared" si="43"/>
        <v>2.3771653543307085</v>
      </c>
      <c r="AC26" s="28">
        <f t="shared" si="118"/>
        <v>2.3771653543307085</v>
      </c>
      <c r="AD26" s="28">
        <f t="shared" si="44"/>
        <v>8.3959536742577185</v>
      </c>
      <c r="AE26" s="7">
        <f t="shared" si="45"/>
        <v>8.3959536742577185</v>
      </c>
      <c r="AF26" s="28">
        <f t="shared" si="46"/>
        <v>9.3959536742577185</v>
      </c>
      <c r="AG26" s="28">
        <f t="shared" si="47"/>
        <v>77.858162529590359</v>
      </c>
      <c r="AH26" s="28"/>
      <c r="AI26" s="28"/>
      <c r="AJ26" s="28">
        <f>148.74/(PI()/4*N26^2)*1000</f>
        <v>293.5421444043464</v>
      </c>
      <c r="AK26" s="28"/>
      <c r="AL26" s="28"/>
      <c r="AM26" s="28">
        <v>0</v>
      </c>
      <c r="AN26" s="28">
        <v>0</v>
      </c>
      <c r="AO26" s="28">
        <f>L26</f>
        <v>289.05200000000002</v>
      </c>
      <c r="AP26" s="28"/>
      <c r="AQ26" s="28"/>
      <c r="AR26" s="28"/>
      <c r="AS26" s="4">
        <f t="shared" si="125"/>
        <v>289.05200000000002</v>
      </c>
      <c r="AT26" s="25">
        <f t="shared" si="48"/>
        <v>0.15042881662835439</v>
      </c>
      <c r="AU26" s="25">
        <f t="shared" si="49"/>
        <v>562.43208396751641</v>
      </c>
      <c r="AV26" s="4">
        <f t="shared" si="50"/>
        <v>0.74177794998823732</v>
      </c>
      <c r="AW26" s="25">
        <v>1.25</v>
      </c>
      <c r="AX26" s="25">
        <f t="shared" si="119"/>
        <v>5</v>
      </c>
      <c r="AY26" s="38">
        <f t="shared" si="120"/>
        <v>392.24287446554456</v>
      </c>
      <c r="AZ26" s="38">
        <f t="shared" si="121"/>
        <v>392.24287446554456</v>
      </c>
      <c r="BA26" s="38"/>
      <c r="BB26" s="38">
        <f t="shared" si="51"/>
        <v>392.24287446554479</v>
      </c>
      <c r="BC26" s="38">
        <f t="shared" si="52"/>
        <v>0.99999999999999944</v>
      </c>
      <c r="BD26" s="38"/>
      <c r="BF26" s="25">
        <f t="shared" si="53"/>
        <v>347.33783645260843</v>
      </c>
      <c r="BG26" s="25">
        <f t="shared" si="54"/>
        <v>1</v>
      </c>
      <c r="BH26" s="38">
        <f t="shared" si="55"/>
        <v>463.2882352560103</v>
      </c>
      <c r="BI26" s="25">
        <f t="shared" si="56"/>
        <v>0.3</v>
      </c>
      <c r="BJ26" s="25">
        <f t="shared" si="57"/>
        <v>54.44520586394637</v>
      </c>
      <c r="BK26" s="25">
        <f t="shared" si="58"/>
        <v>517.73344111995664</v>
      </c>
      <c r="BM26" s="36">
        <f t="shared" si="59"/>
        <v>1.0877165354330709</v>
      </c>
      <c r="BN26" s="36">
        <f t="shared" si="60"/>
        <v>253.62475214092589</v>
      </c>
      <c r="BS26" s="25">
        <f t="shared" si="61"/>
        <v>101.8</v>
      </c>
      <c r="BT26" s="25">
        <f t="shared" si="62"/>
        <v>47.68</v>
      </c>
      <c r="BU26" s="25">
        <f t="shared" si="63"/>
        <v>101.8</v>
      </c>
      <c r="BV26" s="25">
        <f t="shared" si="64"/>
        <v>60.379999999999995</v>
      </c>
      <c r="BW26" s="25">
        <f t="shared" si="65"/>
        <v>1.1135067114093959</v>
      </c>
      <c r="BX26" s="25">
        <f t="shared" si="66"/>
        <v>2.6469895761771389</v>
      </c>
      <c r="BZ26" s="25">
        <f t="shared" si="67"/>
        <v>101.8</v>
      </c>
      <c r="CD26" s="29"/>
      <c r="CF26" s="29"/>
      <c r="CG26" s="29"/>
      <c r="CH26" s="29">
        <f t="shared" si="68"/>
        <v>101.8</v>
      </c>
      <c r="CI26" s="29">
        <f t="shared" si="69"/>
        <v>101.8</v>
      </c>
      <c r="CJ26" s="29">
        <f t="shared" si="70"/>
        <v>2.001967536137395</v>
      </c>
      <c r="CK26" s="70">
        <v>0</v>
      </c>
      <c r="CL26" s="29">
        <f t="shared" si="71"/>
        <v>0</v>
      </c>
      <c r="CM26" s="29">
        <f t="shared" si="72"/>
        <v>0</v>
      </c>
      <c r="CN26" s="29">
        <f t="shared" si="73"/>
        <v>0.99524931562137331</v>
      </c>
      <c r="CO26" s="29">
        <f t="shared" si="74"/>
        <v>0.97375</v>
      </c>
      <c r="CP26" s="29">
        <f t="shared" si="75"/>
        <v>1.9670293329614872</v>
      </c>
      <c r="CQ26" s="29">
        <f t="shared" si="76"/>
        <v>3.9379288672188921</v>
      </c>
      <c r="CR26" s="29">
        <v>1</v>
      </c>
      <c r="CS26" s="29">
        <f t="shared" si="77"/>
        <v>415.5302540689375</v>
      </c>
      <c r="CU26" s="4"/>
      <c r="CV26" s="4"/>
      <c r="CW26" s="4"/>
      <c r="CX26" s="4"/>
      <c r="CY26" s="4"/>
      <c r="CZ26" s="4"/>
      <c r="DA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P26" s="4">
        <f t="shared" si="78"/>
        <v>0</v>
      </c>
      <c r="DQ26" s="25">
        <f t="shared" si="79"/>
        <v>289.05200000000002</v>
      </c>
      <c r="DR26" s="25">
        <f t="shared" si="80"/>
        <v>1</v>
      </c>
      <c r="DT26" s="4">
        <f t="shared" si="81"/>
        <v>2.0846518493152316E-5</v>
      </c>
      <c r="DU26" s="4">
        <f t="shared" si="82"/>
        <v>8.8972510471034791</v>
      </c>
      <c r="DV26" s="4"/>
      <c r="DW26" s="4">
        <f t="shared" si="83"/>
        <v>0</v>
      </c>
      <c r="DX26" s="4">
        <f t="shared" si="84"/>
        <v>6.3551793193596282</v>
      </c>
      <c r="DY26" s="4">
        <f t="shared" si="85"/>
        <v>8.4563832251512334</v>
      </c>
      <c r="DZ26" s="38">
        <f t="shared" si="86"/>
        <v>517.5</v>
      </c>
      <c r="EA26" s="4">
        <f t="shared" si="87"/>
        <v>1</v>
      </c>
      <c r="EB26" s="4"/>
      <c r="EC26" s="4">
        <f t="shared" si="122"/>
        <v>392.24287446554479</v>
      </c>
      <c r="EG26" s="25">
        <f t="shared" si="88"/>
        <v>0.85</v>
      </c>
      <c r="EH26" s="25">
        <f t="shared" si="89"/>
        <v>0.7</v>
      </c>
      <c r="EI26" s="25">
        <f t="shared" si="90"/>
        <v>1</v>
      </c>
      <c r="EJ26" s="25">
        <f t="shared" si="91"/>
        <v>0.7</v>
      </c>
      <c r="EL26" s="4">
        <f t="shared" si="92"/>
        <v>517.5</v>
      </c>
      <c r="EM26" s="25">
        <f t="shared" si="93"/>
        <v>396.72382751434384</v>
      </c>
      <c r="EP26" s="4">
        <f t="shared" si="94"/>
        <v>8.8972510471034791</v>
      </c>
      <c r="EQ26" s="25">
        <f t="shared" si="95"/>
        <v>5.6051215252387419</v>
      </c>
      <c r="ES26" s="4">
        <f t="shared" si="96"/>
        <v>77.858162529590359</v>
      </c>
      <c r="ET26" s="4">
        <f t="shared" si="97"/>
        <v>3.0652819893539514</v>
      </c>
      <c r="EU26" s="4">
        <f t="shared" si="98"/>
        <v>0.13345286067728618</v>
      </c>
      <c r="EX26" s="25">
        <f t="shared" si="99"/>
        <v>0.13345286067728618</v>
      </c>
      <c r="EY26" s="25">
        <f t="shared" si="100"/>
        <v>0.42014947643054645</v>
      </c>
      <c r="EZ26" s="4">
        <f t="shared" si="101"/>
        <v>6.2895181623147547</v>
      </c>
      <c r="FA26" s="25">
        <f t="shared" si="102"/>
        <v>7.7048345465996162</v>
      </c>
      <c r="FB26" s="4">
        <f t="shared" si="103"/>
        <v>138.93083747040964</v>
      </c>
      <c r="FC26" s="4">
        <f t="shared" si="104"/>
        <v>72.263000000000034</v>
      </c>
      <c r="FD26" s="25">
        <f t="shared" si="105"/>
        <v>2.0846518493152323E-5</v>
      </c>
      <c r="FE26" s="25">
        <f t="shared" si="106"/>
        <v>8.2084963735849374</v>
      </c>
      <c r="FF26" s="4">
        <f t="shared" si="107"/>
        <v>517.5</v>
      </c>
      <c r="FG26" s="4">
        <f t="shared" si="108"/>
        <v>138.93083747040964</v>
      </c>
      <c r="FH26" s="4">
        <f t="shared" si="109"/>
        <v>72.263000000000019</v>
      </c>
      <c r="FJ26" s="4">
        <f t="shared" si="110"/>
        <v>0</v>
      </c>
      <c r="FO26" s="23"/>
      <c r="FP26" s="23"/>
      <c r="FQ26" s="23"/>
      <c r="FR26" s="23"/>
      <c r="FS26" s="23"/>
      <c r="FT26" s="23"/>
      <c r="FU26" s="30"/>
      <c r="FV26" s="30"/>
      <c r="GF26" s="4">
        <f t="shared" si="111"/>
        <v>1</v>
      </c>
      <c r="GG26" s="4">
        <f t="shared" si="112"/>
        <v>0.85000000000000009</v>
      </c>
      <c r="GH26" s="4">
        <f t="shared" si="113"/>
        <v>0</v>
      </c>
      <c r="GI26" s="4">
        <f t="shared" si="114"/>
        <v>321.49025251504622</v>
      </c>
      <c r="GJ26" s="4"/>
    </row>
    <row r="27" spans="1:192" s="25" customFormat="1" ht="12" hidden="1" customHeight="1" x14ac:dyDescent="0.3">
      <c r="A27" s="25">
        <v>8</v>
      </c>
      <c r="B27" s="26" t="s">
        <v>81</v>
      </c>
      <c r="C27" s="26"/>
      <c r="D27" s="26" t="s">
        <v>82</v>
      </c>
      <c r="E27" s="26"/>
      <c r="F27" s="26"/>
      <c r="G27" s="26"/>
      <c r="H27" s="28" t="s">
        <v>86</v>
      </c>
      <c r="I27" s="28"/>
      <c r="J27" s="28">
        <f t="shared" si="115"/>
        <v>517.5</v>
      </c>
      <c r="K27" s="28">
        <f>11.38*25.4</f>
        <v>289.05200000000002</v>
      </c>
      <c r="L27" s="28">
        <f t="shared" si="123"/>
        <v>289.05200000000002</v>
      </c>
      <c r="M27" s="28">
        <v>33.630000000000003</v>
      </c>
      <c r="N27" s="28">
        <v>25.4</v>
      </c>
      <c r="O27" s="28">
        <f t="shared" si="116"/>
        <v>11.38</v>
      </c>
      <c r="P27" s="28">
        <f t="shared" si="117"/>
        <v>11.38</v>
      </c>
      <c r="Q27" s="28">
        <v>229</v>
      </c>
      <c r="R27" s="28"/>
      <c r="S27" s="28">
        <f t="shared" si="42"/>
        <v>101.8</v>
      </c>
      <c r="T27" s="28"/>
      <c r="U27" s="28">
        <v>305</v>
      </c>
      <c r="V27" s="28"/>
      <c r="W27" s="28">
        <v>0</v>
      </c>
      <c r="X27" s="28">
        <v>1</v>
      </c>
      <c r="Y27" s="28"/>
      <c r="Z27" s="28"/>
      <c r="AA27" s="28">
        <v>47.68</v>
      </c>
      <c r="AB27" s="7">
        <f t="shared" si="43"/>
        <v>2.3771653543307085</v>
      </c>
      <c r="AC27" s="28">
        <f t="shared" si="118"/>
        <v>2.3771653543307085</v>
      </c>
      <c r="AD27" s="28">
        <f t="shared" si="44"/>
        <v>8.3959536742577185</v>
      </c>
      <c r="AE27" s="7">
        <f t="shared" si="45"/>
        <v>8.3959536742577185</v>
      </c>
      <c r="AF27" s="28">
        <f t="shared" si="46"/>
        <v>9.3959536742577185</v>
      </c>
      <c r="AG27" s="28">
        <f t="shared" si="47"/>
        <v>77.858162529590359</v>
      </c>
      <c r="AH27" s="28"/>
      <c r="AI27" s="28"/>
      <c r="AJ27" s="28">
        <f>155.72/(PI()/4*N27^2)*1000</f>
        <v>307.31735058924846</v>
      </c>
      <c r="AK27" s="28"/>
      <c r="AL27" s="28"/>
      <c r="AM27" s="28">
        <v>0</v>
      </c>
      <c r="AN27" s="28">
        <v>0</v>
      </c>
      <c r="AO27" s="28">
        <f>L27</f>
        <v>289.05200000000002</v>
      </c>
      <c r="AP27" s="28"/>
      <c r="AQ27" s="28"/>
      <c r="AR27" s="28"/>
      <c r="AS27" s="4">
        <f t="shared" si="125"/>
        <v>289.05200000000002</v>
      </c>
      <c r="AT27" s="25">
        <f t="shared" si="48"/>
        <v>0.15042881662835439</v>
      </c>
      <c r="AU27" s="25">
        <f t="shared" si="49"/>
        <v>562.43208396751641</v>
      </c>
      <c r="AV27" s="4">
        <f t="shared" si="50"/>
        <v>0.74177794998823732</v>
      </c>
      <c r="AW27" s="25">
        <v>1.25</v>
      </c>
      <c r="AX27" s="25">
        <f t="shared" si="119"/>
        <v>5</v>
      </c>
      <c r="AY27" s="38">
        <f t="shared" si="120"/>
        <v>392.24287446554456</v>
      </c>
      <c r="AZ27" s="38">
        <f t="shared" si="121"/>
        <v>392.24287446554456</v>
      </c>
      <c r="BA27" s="38"/>
      <c r="BB27" s="38">
        <f t="shared" si="51"/>
        <v>392.24287446554479</v>
      </c>
      <c r="BC27" s="38">
        <f t="shared" si="52"/>
        <v>0.99999999999999944</v>
      </c>
      <c r="BD27" s="38"/>
      <c r="BF27" s="25">
        <f t="shared" si="53"/>
        <v>347.33783645260843</v>
      </c>
      <c r="BG27" s="25">
        <f t="shared" si="54"/>
        <v>1</v>
      </c>
      <c r="BH27" s="38">
        <f t="shared" si="55"/>
        <v>463.2882352560103</v>
      </c>
      <c r="BI27" s="25">
        <f t="shared" si="56"/>
        <v>0.3</v>
      </c>
      <c r="BJ27" s="25">
        <f t="shared" si="57"/>
        <v>54.44520586394637</v>
      </c>
      <c r="BK27" s="25">
        <f t="shared" si="58"/>
        <v>517.73344111995664</v>
      </c>
      <c r="BM27" s="36">
        <f t="shared" si="59"/>
        <v>1.0877165354330709</v>
      </c>
      <c r="BN27" s="36">
        <f t="shared" si="60"/>
        <v>253.62475214092589</v>
      </c>
      <c r="BS27" s="25">
        <f t="shared" si="61"/>
        <v>101.8</v>
      </c>
      <c r="BT27" s="25">
        <f t="shared" si="62"/>
        <v>47.68</v>
      </c>
      <c r="BU27" s="25">
        <f t="shared" si="63"/>
        <v>101.8</v>
      </c>
      <c r="BV27" s="25">
        <f t="shared" si="64"/>
        <v>60.379999999999995</v>
      </c>
      <c r="BW27" s="25">
        <f t="shared" si="65"/>
        <v>1.1135067114093959</v>
      </c>
      <c r="BX27" s="25">
        <f t="shared" si="66"/>
        <v>2.6469895761771389</v>
      </c>
      <c r="BZ27" s="25">
        <f t="shared" si="67"/>
        <v>101.8</v>
      </c>
      <c r="CD27" s="29"/>
      <c r="CF27" s="29"/>
      <c r="CG27" s="29"/>
      <c r="CH27" s="29">
        <f t="shared" si="68"/>
        <v>101.8</v>
      </c>
      <c r="CI27" s="29">
        <f t="shared" si="69"/>
        <v>101.8</v>
      </c>
      <c r="CJ27" s="29">
        <f t="shared" si="70"/>
        <v>2.001967536137395</v>
      </c>
      <c r="CK27" s="70">
        <v>0</v>
      </c>
      <c r="CL27" s="29">
        <f t="shared" si="71"/>
        <v>0</v>
      </c>
      <c r="CM27" s="29">
        <f t="shared" si="72"/>
        <v>0</v>
      </c>
      <c r="CN27" s="29">
        <f t="shared" si="73"/>
        <v>0.99524931562137331</v>
      </c>
      <c r="CO27" s="29">
        <f t="shared" si="74"/>
        <v>0.97375</v>
      </c>
      <c r="CP27" s="29">
        <f t="shared" si="75"/>
        <v>1.9670293329614872</v>
      </c>
      <c r="CQ27" s="29">
        <f t="shared" si="76"/>
        <v>3.9379288672188921</v>
      </c>
      <c r="CR27" s="29">
        <v>1</v>
      </c>
      <c r="CS27" s="29">
        <f t="shared" si="77"/>
        <v>415.5302540689375</v>
      </c>
      <c r="CU27" s="4"/>
      <c r="CV27" s="4"/>
      <c r="CW27" s="4"/>
      <c r="CX27" s="4"/>
      <c r="CY27" s="4"/>
      <c r="CZ27" s="4"/>
      <c r="DA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P27" s="4">
        <f t="shared" si="78"/>
        <v>0</v>
      </c>
      <c r="DQ27" s="25">
        <f t="shared" si="79"/>
        <v>289.05200000000002</v>
      </c>
      <c r="DR27" s="25">
        <f t="shared" si="80"/>
        <v>1</v>
      </c>
      <c r="DT27" s="4">
        <f t="shared" si="81"/>
        <v>2.0846518493152316E-5</v>
      </c>
      <c r="DU27" s="4">
        <f t="shared" si="82"/>
        <v>8.8972510471034791</v>
      </c>
      <c r="DV27" s="4"/>
      <c r="DW27" s="4">
        <f t="shared" si="83"/>
        <v>0</v>
      </c>
      <c r="DX27" s="4">
        <f t="shared" si="84"/>
        <v>6.3551793193596282</v>
      </c>
      <c r="DY27" s="4">
        <f t="shared" si="85"/>
        <v>8.4563832251512334</v>
      </c>
      <c r="DZ27" s="38">
        <f t="shared" si="86"/>
        <v>517.5</v>
      </c>
      <c r="EA27" s="4">
        <f t="shared" si="87"/>
        <v>1</v>
      </c>
      <c r="EB27" s="4"/>
      <c r="EC27" s="4">
        <f t="shared" si="122"/>
        <v>392.24287446554479</v>
      </c>
      <c r="EG27" s="25">
        <f t="shared" si="88"/>
        <v>0.85</v>
      </c>
      <c r="EH27" s="25">
        <f t="shared" si="89"/>
        <v>0.7</v>
      </c>
      <c r="EI27" s="25">
        <f t="shared" si="90"/>
        <v>1</v>
      </c>
      <c r="EJ27" s="25">
        <f t="shared" si="91"/>
        <v>0.7</v>
      </c>
      <c r="EL27" s="4">
        <f t="shared" si="92"/>
        <v>517.5</v>
      </c>
      <c r="EM27" s="25">
        <f t="shared" si="93"/>
        <v>396.72382751434384</v>
      </c>
      <c r="EP27" s="4">
        <f t="shared" si="94"/>
        <v>8.8972510471034791</v>
      </c>
      <c r="EQ27" s="25">
        <f t="shared" si="95"/>
        <v>5.6051215252387419</v>
      </c>
      <c r="ES27" s="4">
        <f t="shared" si="96"/>
        <v>77.858162529590359</v>
      </c>
      <c r="ET27" s="4">
        <f t="shared" si="97"/>
        <v>3.0652819893539514</v>
      </c>
      <c r="EU27" s="4">
        <f t="shared" si="98"/>
        <v>0.13345286067728618</v>
      </c>
      <c r="EX27" s="25">
        <f t="shared" si="99"/>
        <v>0.13345286067728618</v>
      </c>
      <c r="EY27" s="25">
        <f t="shared" si="100"/>
        <v>0.42014947643054645</v>
      </c>
      <c r="EZ27" s="4">
        <f t="shared" si="101"/>
        <v>6.2895181623147547</v>
      </c>
      <c r="FA27" s="25">
        <f t="shared" si="102"/>
        <v>7.7048345465996162</v>
      </c>
      <c r="FB27" s="4">
        <f t="shared" si="103"/>
        <v>138.93083747040964</v>
      </c>
      <c r="FC27" s="4">
        <f t="shared" si="104"/>
        <v>72.263000000000034</v>
      </c>
      <c r="FD27" s="25">
        <f t="shared" si="105"/>
        <v>2.0846518493152323E-5</v>
      </c>
      <c r="FE27" s="25">
        <f t="shared" si="106"/>
        <v>8.2084963735849374</v>
      </c>
      <c r="FF27" s="4">
        <f t="shared" si="107"/>
        <v>517.5</v>
      </c>
      <c r="FG27" s="4">
        <f t="shared" si="108"/>
        <v>138.93083747040964</v>
      </c>
      <c r="FH27" s="4">
        <f t="shared" si="109"/>
        <v>72.263000000000019</v>
      </c>
      <c r="FJ27" s="4">
        <f t="shared" si="110"/>
        <v>0</v>
      </c>
      <c r="FO27" s="23"/>
      <c r="FP27" s="23"/>
      <c r="FQ27" s="23"/>
      <c r="FR27" s="23"/>
      <c r="FS27" s="23"/>
      <c r="FT27" s="23"/>
      <c r="FU27" s="30"/>
      <c r="FV27" s="30"/>
      <c r="GF27" s="4">
        <f t="shared" si="111"/>
        <v>1</v>
      </c>
      <c r="GG27" s="4">
        <f t="shared" si="112"/>
        <v>0.85000000000000009</v>
      </c>
      <c r="GH27" s="4">
        <f t="shared" si="113"/>
        <v>0</v>
      </c>
      <c r="GI27" s="4">
        <f t="shared" si="114"/>
        <v>321.49025251504622</v>
      </c>
      <c r="GJ27" s="4"/>
    </row>
    <row r="28" spans="1:192" s="25" customFormat="1" ht="12" hidden="1" customHeight="1" x14ac:dyDescent="0.3">
      <c r="A28" s="25">
        <v>9</v>
      </c>
      <c r="B28" s="26" t="s">
        <v>81</v>
      </c>
      <c r="C28" s="26"/>
      <c r="D28" s="26" t="s">
        <v>82</v>
      </c>
      <c r="E28" s="26"/>
      <c r="F28" s="26"/>
      <c r="G28" s="26"/>
      <c r="H28" s="28" t="s">
        <v>87</v>
      </c>
      <c r="I28" s="28"/>
      <c r="J28" s="28">
        <f t="shared" si="115"/>
        <v>517.5</v>
      </c>
      <c r="K28" s="28">
        <f>11.38*25.4</f>
        <v>289.05200000000002</v>
      </c>
      <c r="L28" s="28">
        <f t="shared" si="123"/>
        <v>289.05200000000002</v>
      </c>
      <c r="M28" s="28">
        <v>33.630000000000003</v>
      </c>
      <c r="N28" s="28">
        <v>25.4</v>
      </c>
      <c r="O28" s="28">
        <f t="shared" si="116"/>
        <v>11.38</v>
      </c>
      <c r="P28" s="28">
        <f t="shared" si="117"/>
        <v>11.38</v>
      </c>
      <c r="Q28" s="28">
        <v>229</v>
      </c>
      <c r="R28" s="28"/>
      <c r="S28" s="28">
        <f t="shared" si="42"/>
        <v>101.8</v>
      </c>
      <c r="T28" s="28"/>
      <c r="U28" s="28">
        <v>305</v>
      </c>
      <c r="V28" s="28"/>
      <c r="W28" s="28">
        <v>0</v>
      </c>
      <c r="X28" s="28">
        <v>1</v>
      </c>
      <c r="Y28" s="28"/>
      <c r="Z28" s="28"/>
      <c r="AA28" s="28">
        <v>49.48</v>
      </c>
      <c r="AB28" s="7">
        <f t="shared" si="43"/>
        <v>2.4480314960629919</v>
      </c>
      <c r="AC28" s="28">
        <f t="shared" si="118"/>
        <v>2.4480314960629919</v>
      </c>
      <c r="AD28" s="28">
        <f t="shared" si="44"/>
        <v>8.3959536742577185</v>
      </c>
      <c r="AE28" s="7">
        <f t="shared" si="45"/>
        <v>8.3959536742577185</v>
      </c>
      <c r="AF28" s="28">
        <f t="shared" si="46"/>
        <v>9.3959536742577185</v>
      </c>
      <c r="AG28" s="28">
        <f t="shared" si="47"/>
        <v>77.858162529590359</v>
      </c>
      <c r="AH28" s="28"/>
      <c r="AI28" s="28"/>
      <c r="AJ28" s="28">
        <f>167.51/(PI()/4*N28^2)*1000</f>
        <v>330.5852131852364</v>
      </c>
      <c r="AK28" s="28"/>
      <c r="AL28" s="28"/>
      <c r="AM28" s="28">
        <v>0</v>
      </c>
      <c r="AN28" s="28">
        <v>0</v>
      </c>
      <c r="AO28" s="28">
        <f>L28</f>
        <v>289.05200000000002</v>
      </c>
      <c r="AP28" s="28"/>
      <c r="AQ28" s="28"/>
      <c r="AR28" s="28"/>
      <c r="AS28" s="4">
        <f t="shared" si="125"/>
        <v>289.05200000000002</v>
      </c>
      <c r="AT28" s="25">
        <f t="shared" si="48"/>
        <v>0.15097698442790625</v>
      </c>
      <c r="AU28" s="25">
        <f t="shared" si="49"/>
        <v>562.43208396751641</v>
      </c>
      <c r="AV28" s="4">
        <f t="shared" si="50"/>
        <v>0.74302340063379591</v>
      </c>
      <c r="AW28" s="25">
        <v>1.25</v>
      </c>
      <c r="AX28" s="25">
        <f t="shared" si="119"/>
        <v>5</v>
      </c>
      <c r="AY28" s="38">
        <f t="shared" si="120"/>
        <v>394.33319959841521</v>
      </c>
      <c r="AZ28" s="38">
        <f t="shared" si="121"/>
        <v>394.33319959841521</v>
      </c>
      <c r="BA28" s="38"/>
      <c r="BB28" s="38">
        <f t="shared" si="51"/>
        <v>394.33319959841538</v>
      </c>
      <c r="BC28" s="38">
        <f t="shared" si="52"/>
        <v>0.99999999999999956</v>
      </c>
      <c r="BD28" s="38"/>
      <c r="BF28" s="25">
        <f t="shared" si="53"/>
        <v>347.33783645260843</v>
      </c>
      <c r="BG28" s="25">
        <f t="shared" si="54"/>
        <v>1</v>
      </c>
      <c r="BH28" s="38">
        <f t="shared" si="55"/>
        <v>477.09941153061794</v>
      </c>
      <c r="BI28" s="25">
        <f t="shared" si="56"/>
        <v>0.3</v>
      </c>
      <c r="BJ28" s="25">
        <f t="shared" si="57"/>
        <v>54.44520586394637</v>
      </c>
      <c r="BK28" s="25">
        <f t="shared" si="58"/>
        <v>531.54461739456428</v>
      </c>
      <c r="BM28" s="36">
        <f t="shared" si="59"/>
        <v>1.0948031496062991</v>
      </c>
      <c r="BN28" s="36">
        <f t="shared" si="60"/>
        <v>255.27715026548674</v>
      </c>
      <c r="BS28" s="25">
        <f t="shared" si="61"/>
        <v>101.8</v>
      </c>
      <c r="BT28" s="25">
        <f t="shared" si="62"/>
        <v>49.48</v>
      </c>
      <c r="BU28" s="25">
        <f t="shared" si="63"/>
        <v>101.8</v>
      </c>
      <c r="BV28" s="25">
        <f t="shared" si="64"/>
        <v>62.179999999999993</v>
      </c>
      <c r="BW28" s="25">
        <f t="shared" si="65"/>
        <v>1.1057396928051739</v>
      </c>
      <c r="BX28" s="25">
        <f t="shared" si="66"/>
        <v>2.7068855944340835</v>
      </c>
      <c r="BZ28" s="25">
        <f t="shared" si="67"/>
        <v>101.8</v>
      </c>
      <c r="CD28" s="29"/>
      <c r="CF28" s="29"/>
      <c r="CG28" s="29"/>
      <c r="CH28" s="29">
        <f t="shared" si="68"/>
        <v>101.8</v>
      </c>
      <c r="CI28" s="29">
        <f t="shared" si="69"/>
        <v>101.8</v>
      </c>
      <c r="CJ28" s="29">
        <f t="shared" si="70"/>
        <v>2.001967536137395</v>
      </c>
      <c r="CK28" s="70">
        <v>0</v>
      </c>
      <c r="CL28" s="29">
        <f t="shared" si="71"/>
        <v>0</v>
      </c>
      <c r="CM28" s="29">
        <f t="shared" si="72"/>
        <v>0</v>
      </c>
      <c r="CN28" s="29">
        <f t="shared" si="73"/>
        <v>0.99524931562137331</v>
      </c>
      <c r="CO28" s="29">
        <f t="shared" si="74"/>
        <v>0.97375</v>
      </c>
      <c r="CP28" s="29">
        <f t="shared" si="75"/>
        <v>1.9670293329614872</v>
      </c>
      <c r="CQ28" s="29">
        <f t="shared" si="76"/>
        <v>3.9379288672188921</v>
      </c>
      <c r="CR28" s="29">
        <v>1</v>
      </c>
      <c r="CS28" s="29">
        <f t="shared" si="77"/>
        <v>415.5302540689375</v>
      </c>
      <c r="CU28" s="4"/>
      <c r="CV28" s="4"/>
      <c r="CW28" s="4"/>
      <c r="CX28" s="4"/>
      <c r="CY28" s="4"/>
      <c r="CZ28" s="4"/>
      <c r="DA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P28" s="4">
        <f t="shared" si="78"/>
        <v>0</v>
      </c>
      <c r="DQ28" s="25">
        <f t="shared" si="79"/>
        <v>289.05200000000002</v>
      </c>
      <c r="DR28" s="25">
        <f t="shared" si="80"/>
        <v>1</v>
      </c>
      <c r="DT28" s="4">
        <f t="shared" si="81"/>
        <v>2.0846518493152316E-5</v>
      </c>
      <c r="DU28" s="4">
        <f t="shared" si="82"/>
        <v>8.8972510471034791</v>
      </c>
      <c r="DV28" s="4"/>
      <c r="DW28" s="4">
        <f t="shared" si="83"/>
        <v>0</v>
      </c>
      <c r="DX28" s="4">
        <f t="shared" si="84"/>
        <v>6.3551793193596282</v>
      </c>
      <c r="DY28" s="4">
        <f t="shared" si="85"/>
        <v>8.4563832251512334</v>
      </c>
      <c r="DZ28" s="38">
        <f t="shared" si="86"/>
        <v>517.5</v>
      </c>
      <c r="EA28" s="4">
        <f t="shared" si="87"/>
        <v>1</v>
      </c>
      <c r="EB28" s="4"/>
      <c r="EC28" s="4">
        <f t="shared" si="122"/>
        <v>394.33319959841538</v>
      </c>
      <c r="EG28" s="25">
        <f t="shared" si="88"/>
        <v>0.85</v>
      </c>
      <c r="EH28" s="25">
        <f t="shared" si="89"/>
        <v>0.7</v>
      </c>
      <c r="EI28" s="25">
        <f t="shared" si="90"/>
        <v>1</v>
      </c>
      <c r="EJ28" s="25">
        <f t="shared" si="91"/>
        <v>0.7</v>
      </c>
      <c r="EL28" s="4">
        <f t="shared" si="92"/>
        <v>517.5</v>
      </c>
      <c r="EM28" s="25">
        <f t="shared" si="93"/>
        <v>397.39791521007561</v>
      </c>
      <c r="EP28" s="4">
        <f t="shared" si="94"/>
        <v>8.8972510471034791</v>
      </c>
      <c r="EQ28" s="25">
        <f t="shared" si="95"/>
        <v>5.7319540840933767</v>
      </c>
      <c r="ES28" s="4">
        <f t="shared" si="96"/>
        <v>77.858162529590359</v>
      </c>
      <c r="ET28" s="4">
        <f t="shared" si="97"/>
        <v>3.0652819893539514</v>
      </c>
      <c r="EU28" s="4">
        <f t="shared" si="98"/>
        <v>0.13416405235694975</v>
      </c>
      <c r="EX28" s="25">
        <f t="shared" si="99"/>
        <v>0.13416405235694975</v>
      </c>
      <c r="EY28" s="25">
        <f t="shared" si="100"/>
        <v>0.42238852031717383</v>
      </c>
      <c r="EZ28" s="4">
        <f t="shared" si="101"/>
        <v>6.3029039284467085</v>
      </c>
      <c r="FA28" s="25">
        <f t="shared" si="102"/>
        <v>7.7102948983845332</v>
      </c>
      <c r="FB28" s="4">
        <f t="shared" si="103"/>
        <v>138.93083747040964</v>
      </c>
      <c r="FC28" s="4">
        <f t="shared" si="104"/>
        <v>72.263000000000034</v>
      </c>
      <c r="FD28" s="25">
        <f t="shared" si="105"/>
        <v>2.0846518493152323E-5</v>
      </c>
      <c r="FE28" s="25">
        <f t="shared" si="106"/>
        <v>8.20783719482192</v>
      </c>
      <c r="FF28" s="4">
        <f t="shared" si="107"/>
        <v>517.5</v>
      </c>
      <c r="FG28" s="4">
        <f t="shared" si="108"/>
        <v>138.93083747040964</v>
      </c>
      <c r="FH28" s="4">
        <f t="shared" si="109"/>
        <v>72.263000000000019</v>
      </c>
      <c r="FJ28" s="4">
        <f t="shared" si="110"/>
        <v>0</v>
      </c>
      <c r="FO28" s="23"/>
      <c r="FP28" s="23"/>
      <c r="FQ28" s="23"/>
      <c r="FR28" s="23"/>
      <c r="FS28" s="23"/>
      <c r="FT28" s="23"/>
      <c r="FU28" s="30"/>
      <c r="FV28" s="30"/>
      <c r="GF28" s="4">
        <f t="shared" si="111"/>
        <v>1</v>
      </c>
      <c r="GG28" s="4">
        <f t="shared" si="112"/>
        <v>0.85000000000000009</v>
      </c>
      <c r="GH28" s="4">
        <f t="shared" si="113"/>
        <v>0</v>
      </c>
      <c r="GI28" s="4">
        <f t="shared" si="114"/>
        <v>321.49025251504622</v>
      </c>
      <c r="GJ28" s="4"/>
    </row>
    <row r="29" spans="1:192" ht="12" hidden="1" customHeight="1" x14ac:dyDescent="0.3">
      <c r="A29" s="25">
        <v>10</v>
      </c>
      <c r="B29" s="26" t="s">
        <v>81</v>
      </c>
      <c r="C29" s="26"/>
      <c r="D29" s="26" t="s">
        <v>82</v>
      </c>
      <c r="E29" s="26"/>
      <c r="F29" s="26"/>
      <c r="G29" s="26"/>
      <c r="H29" s="7" t="s">
        <v>88</v>
      </c>
      <c r="I29" s="7"/>
      <c r="J29" s="28">
        <f t="shared" si="115"/>
        <v>517.5</v>
      </c>
      <c r="K29" s="7">
        <f t="shared" ref="K29:K34" si="126">11.25*25.4</f>
        <v>285.75</v>
      </c>
      <c r="L29" s="7">
        <f t="shared" si="123"/>
        <v>285.75</v>
      </c>
      <c r="M29" s="7">
        <v>33.44</v>
      </c>
      <c r="N29" s="7">
        <v>25.4</v>
      </c>
      <c r="O29" s="7">
        <f t="shared" si="116"/>
        <v>11.25</v>
      </c>
      <c r="P29" s="7">
        <f t="shared" si="117"/>
        <v>11.25</v>
      </c>
      <c r="Q29" s="7">
        <v>229</v>
      </c>
      <c r="R29" s="7"/>
      <c r="S29" s="7">
        <f t="shared" si="42"/>
        <v>101.8</v>
      </c>
      <c r="T29" s="7"/>
      <c r="U29" s="7">
        <v>305</v>
      </c>
      <c r="V29" s="7"/>
      <c r="W29" s="7">
        <v>0</v>
      </c>
      <c r="X29" s="7">
        <v>1</v>
      </c>
      <c r="Y29" s="7"/>
      <c r="Z29" s="7"/>
      <c r="AA29" s="7">
        <v>82.19</v>
      </c>
      <c r="AB29" s="7">
        <f t="shared" si="43"/>
        <v>3.7358267716535436</v>
      </c>
      <c r="AC29" s="28">
        <f t="shared" si="118"/>
        <v>3.7358267716535436</v>
      </c>
      <c r="AD29" s="28">
        <f t="shared" si="44"/>
        <v>8.3959536742577185</v>
      </c>
      <c r="AE29" s="7">
        <f t="shared" si="45"/>
        <v>8.3959536742577185</v>
      </c>
      <c r="AF29" s="7">
        <f t="shared" si="46"/>
        <v>9.3959536742577185</v>
      </c>
      <c r="AG29" s="7">
        <f t="shared" si="47"/>
        <v>77.858162529590359</v>
      </c>
      <c r="AH29" s="7"/>
      <c r="AI29" s="7"/>
      <c r="AJ29" s="7">
        <f>243.35/(PI()/4*N29^2)*1000</f>
        <v>480.25736749225291</v>
      </c>
      <c r="AK29" s="7"/>
      <c r="AL29" s="7"/>
      <c r="AM29" s="7">
        <v>9.5</v>
      </c>
      <c r="AN29" s="7">
        <v>3</v>
      </c>
      <c r="AO29" s="7">
        <v>76</v>
      </c>
      <c r="AP29" s="7">
        <v>3</v>
      </c>
      <c r="AQ29" s="7"/>
      <c r="AR29" s="7"/>
      <c r="AS29" s="4">
        <f t="shared" si="125"/>
        <v>285.75</v>
      </c>
      <c r="AT29" s="4">
        <f t="shared" si="48"/>
        <v>0.16313593055169648</v>
      </c>
      <c r="AU29" s="25">
        <f t="shared" si="49"/>
        <v>551.25834685648249</v>
      </c>
      <c r="AV29" s="4">
        <f t="shared" si="50"/>
        <v>0.76641469816272956</v>
      </c>
      <c r="AW29" s="4">
        <v>1.25</v>
      </c>
      <c r="AX29" s="25">
        <f t="shared" si="119"/>
        <v>5</v>
      </c>
      <c r="AY29" s="38">
        <f t="shared" si="120"/>
        <v>430.77316912253309</v>
      </c>
      <c r="AZ29" s="38">
        <f t="shared" si="121"/>
        <v>430.77316912253309</v>
      </c>
      <c r="BB29" s="38">
        <f t="shared" si="51"/>
        <v>430.77316912253286</v>
      </c>
      <c r="BC29" s="38">
        <f t="shared" si="52"/>
        <v>1.0000000000000004</v>
      </c>
      <c r="BF29" s="4">
        <f t="shared" si="53"/>
        <v>342.39865961370697</v>
      </c>
      <c r="BG29" s="4">
        <f t="shared" si="54"/>
        <v>1</v>
      </c>
      <c r="BH29" s="38">
        <f t="shared" si="55"/>
        <v>723.96573427107933</v>
      </c>
      <c r="BI29" s="4">
        <f t="shared" si="56"/>
        <v>0.3</v>
      </c>
      <c r="BJ29" s="4">
        <f t="shared" si="57"/>
        <v>53.67098989444856</v>
      </c>
      <c r="BK29" s="4">
        <f t="shared" si="58"/>
        <v>777.63672416552788</v>
      </c>
      <c r="BM29" s="36">
        <f t="shared" si="59"/>
        <v>2.2250000000000001</v>
      </c>
      <c r="BN29" s="36">
        <f t="shared" si="60"/>
        <v>514.66322969491421</v>
      </c>
      <c r="BS29" s="4">
        <f t="shared" si="61"/>
        <v>101.8</v>
      </c>
      <c r="BT29" s="4">
        <f t="shared" si="62"/>
        <v>82.19</v>
      </c>
      <c r="BU29" s="4">
        <f t="shared" si="63"/>
        <v>101.8</v>
      </c>
      <c r="BV29" s="4">
        <f t="shared" si="64"/>
        <v>94.89</v>
      </c>
      <c r="BW29" s="4">
        <f t="shared" si="65"/>
        <v>1.0238593502859228</v>
      </c>
      <c r="BX29" s="25">
        <f t="shared" si="66"/>
        <v>4</v>
      </c>
      <c r="BZ29" s="4">
        <f t="shared" si="67"/>
        <v>101.8</v>
      </c>
      <c r="CD29" s="9"/>
      <c r="CF29" s="9"/>
      <c r="CG29" s="9"/>
      <c r="CH29" s="9">
        <f t="shared" si="68"/>
        <v>101.8</v>
      </c>
      <c r="CI29" s="9">
        <f t="shared" si="69"/>
        <v>101.8</v>
      </c>
      <c r="CJ29" s="9">
        <f t="shared" si="70"/>
        <v>2.001967536137395</v>
      </c>
      <c r="CK29" s="70">
        <v>20</v>
      </c>
      <c r="CL29" s="9">
        <f t="shared" si="71"/>
        <v>0.05</v>
      </c>
      <c r="CM29" s="9">
        <f t="shared" si="72"/>
        <v>0.8</v>
      </c>
      <c r="CN29" s="9">
        <f t="shared" si="73"/>
        <v>0.99524931562137331</v>
      </c>
      <c r="CO29" s="9">
        <f t="shared" si="74"/>
        <v>0.97375</v>
      </c>
      <c r="CP29" s="9">
        <f t="shared" si="75"/>
        <v>1.961464882399115</v>
      </c>
      <c r="CQ29" s="9">
        <f t="shared" si="76"/>
        <v>4.9036622059977875</v>
      </c>
      <c r="CR29" s="9">
        <v>1</v>
      </c>
      <c r="CS29" s="9">
        <f t="shared" si="77"/>
        <v>514.88453162976771</v>
      </c>
      <c r="DP29" s="4">
        <f t="shared" si="78"/>
        <v>3</v>
      </c>
      <c r="DQ29" s="4">
        <f t="shared" si="79"/>
        <v>285.75</v>
      </c>
      <c r="DR29" s="4">
        <f t="shared" si="80"/>
        <v>1</v>
      </c>
      <c r="DT29" s="4">
        <f t="shared" si="81"/>
        <v>2.058127601073333E-5</v>
      </c>
      <c r="DU29" s="4">
        <f t="shared" si="82"/>
        <v>8.8720819696713296</v>
      </c>
      <c r="DW29" s="4">
        <f t="shared" si="83"/>
        <v>0</v>
      </c>
      <c r="DX29" s="4">
        <f t="shared" si="84"/>
        <v>6.3372014069080933</v>
      </c>
      <c r="DY29" s="4">
        <f t="shared" si="85"/>
        <v>8.446107161096263</v>
      </c>
      <c r="DZ29" s="38">
        <f t="shared" si="86"/>
        <v>517.5</v>
      </c>
      <c r="EA29" s="4">
        <f t="shared" si="87"/>
        <v>1</v>
      </c>
      <c r="EC29" s="4">
        <f t="shared" si="122"/>
        <v>430.77316912253286</v>
      </c>
      <c r="EG29" s="4">
        <f t="shared" si="88"/>
        <v>0.85</v>
      </c>
      <c r="EH29" s="4">
        <f t="shared" si="89"/>
        <v>0.7</v>
      </c>
      <c r="EI29" s="4">
        <f t="shared" si="90"/>
        <v>0.82320199640399283</v>
      </c>
      <c r="EJ29" s="4">
        <f t="shared" si="91"/>
        <v>0.7</v>
      </c>
      <c r="EL29" s="4">
        <f t="shared" si="92"/>
        <v>517.5</v>
      </c>
      <c r="EM29" s="25">
        <f t="shared" si="93"/>
        <v>411.19884151443893</v>
      </c>
      <c r="EP29" s="4">
        <f t="shared" si="94"/>
        <v>8.8720819696713296</v>
      </c>
      <c r="EQ29" s="4">
        <f t="shared" si="95"/>
        <v>8.4462220351271053</v>
      </c>
      <c r="ES29" s="4">
        <f t="shared" si="96"/>
        <v>77.858162529590359</v>
      </c>
      <c r="ET29" s="4">
        <f t="shared" si="97"/>
        <v>3.0652819893539514</v>
      </c>
      <c r="EU29" s="4">
        <f t="shared" si="98"/>
        <v>0.14697780910112584</v>
      </c>
      <c r="EX29" s="4">
        <f t="shared" si="99"/>
        <v>0.14697780910112584</v>
      </c>
      <c r="EY29" s="4">
        <f t="shared" si="100"/>
        <v>0.46404276686028506</v>
      </c>
      <c r="EZ29" s="4">
        <f t="shared" si="101"/>
        <v>6.526025233208558</v>
      </c>
      <c r="FA29" s="4">
        <f t="shared" si="102"/>
        <v>7.7881042986793609</v>
      </c>
      <c r="FB29" s="4">
        <f t="shared" si="103"/>
        <v>136.45433747040965</v>
      </c>
      <c r="FC29" s="4">
        <f t="shared" si="104"/>
        <v>71.4375</v>
      </c>
      <c r="FD29" s="4">
        <f t="shared" si="105"/>
        <v>2.058127601073333E-5</v>
      </c>
      <c r="FE29" s="4">
        <f t="shared" si="106"/>
        <v>8.1915665048717425</v>
      </c>
      <c r="FF29" s="4">
        <f t="shared" si="107"/>
        <v>517.5</v>
      </c>
      <c r="FG29" s="4">
        <f t="shared" si="108"/>
        <v>136.45433747040965</v>
      </c>
      <c r="FH29" s="4">
        <f t="shared" si="109"/>
        <v>71.437499999999986</v>
      </c>
      <c r="FJ29" s="4">
        <f t="shared" si="110"/>
        <v>0</v>
      </c>
      <c r="FO29" s="23"/>
      <c r="FP29" s="23"/>
      <c r="FQ29" s="23"/>
      <c r="FR29" s="23"/>
      <c r="FS29" s="23"/>
      <c r="FT29" s="23"/>
      <c r="FU29" s="23"/>
      <c r="FV29" s="23"/>
      <c r="GF29" s="4">
        <f t="shared" si="111"/>
        <v>1</v>
      </c>
      <c r="GG29" s="4">
        <f t="shared" si="112"/>
        <v>0.68688155922038985</v>
      </c>
      <c r="GH29" s="4">
        <f t="shared" si="113"/>
        <v>0.3</v>
      </c>
      <c r="GI29" s="4">
        <f t="shared" si="114"/>
        <v>392.73534594062755</v>
      </c>
    </row>
    <row r="30" spans="1:192" ht="12" hidden="1" customHeight="1" x14ac:dyDescent="0.3">
      <c r="A30" s="25">
        <v>11</v>
      </c>
      <c r="B30" s="26" t="s">
        <v>81</v>
      </c>
      <c r="C30" s="26"/>
      <c r="D30" s="26" t="s">
        <v>82</v>
      </c>
      <c r="E30" s="26"/>
      <c r="F30" s="26"/>
      <c r="G30" s="26"/>
      <c r="H30" s="7" t="s">
        <v>89</v>
      </c>
      <c r="I30" s="7"/>
      <c r="J30" s="28">
        <f t="shared" si="115"/>
        <v>517.5</v>
      </c>
      <c r="K30" s="7">
        <f t="shared" si="126"/>
        <v>285.75</v>
      </c>
      <c r="L30" s="7">
        <f t="shared" si="123"/>
        <v>285.75</v>
      </c>
      <c r="M30" s="7">
        <v>33.44</v>
      </c>
      <c r="N30" s="7">
        <v>25.4</v>
      </c>
      <c r="O30" s="7">
        <f t="shared" si="116"/>
        <v>11.25</v>
      </c>
      <c r="P30" s="7">
        <f t="shared" si="117"/>
        <v>11.25</v>
      </c>
      <c r="Q30" s="7">
        <v>229</v>
      </c>
      <c r="R30" s="7"/>
      <c r="S30" s="7">
        <f t="shared" si="42"/>
        <v>101.8</v>
      </c>
      <c r="T30" s="7"/>
      <c r="U30" s="7">
        <v>305</v>
      </c>
      <c r="V30" s="7"/>
      <c r="W30" s="7">
        <v>0</v>
      </c>
      <c r="X30" s="7">
        <v>1</v>
      </c>
      <c r="Y30" s="7"/>
      <c r="Z30" s="7"/>
      <c r="AA30" s="7">
        <v>83.24</v>
      </c>
      <c r="AB30" s="7">
        <f t="shared" si="43"/>
        <v>3.7771653543307089</v>
      </c>
      <c r="AC30" s="28">
        <f t="shared" si="118"/>
        <v>3.7771653543307089</v>
      </c>
      <c r="AD30" s="28">
        <f t="shared" si="44"/>
        <v>8.3959536742577185</v>
      </c>
      <c r="AE30" s="7">
        <f t="shared" si="45"/>
        <v>8.3959536742577185</v>
      </c>
      <c r="AF30" s="7">
        <f t="shared" si="46"/>
        <v>9.3959536742577185</v>
      </c>
      <c r="AG30" s="7">
        <f t="shared" si="47"/>
        <v>77.858162529590359</v>
      </c>
      <c r="AH30" s="7"/>
      <c r="AI30" s="7"/>
      <c r="AJ30" s="7">
        <f>246.33/(PI()/4*N30^2)*1000</f>
        <v>486.13847271159506</v>
      </c>
      <c r="AK30" s="7"/>
      <c r="AL30" s="7"/>
      <c r="AM30" s="7">
        <v>9.5</v>
      </c>
      <c r="AN30" s="7">
        <v>3</v>
      </c>
      <c r="AO30" s="7">
        <v>76</v>
      </c>
      <c r="AP30" s="7">
        <v>3</v>
      </c>
      <c r="AQ30" s="7"/>
      <c r="AR30" s="7"/>
      <c r="AS30" s="4">
        <f t="shared" si="125"/>
        <v>285.75</v>
      </c>
      <c r="AT30" s="4">
        <f t="shared" si="48"/>
        <v>0.16346312791391016</v>
      </c>
      <c r="AU30" s="25">
        <f t="shared" si="49"/>
        <v>551.25834685648249</v>
      </c>
      <c r="AV30" s="4">
        <f t="shared" si="50"/>
        <v>0.76714960629921258</v>
      </c>
      <c r="AW30" s="4">
        <v>1.25</v>
      </c>
      <c r="AX30" s="25">
        <f t="shared" si="119"/>
        <v>5</v>
      </c>
      <c r="AY30" s="38">
        <f t="shared" si="120"/>
        <v>432.05105229491716</v>
      </c>
      <c r="AZ30" s="38">
        <f t="shared" si="121"/>
        <v>432.05105229491716</v>
      </c>
      <c r="BB30" s="38">
        <f t="shared" si="51"/>
        <v>432.05105229491693</v>
      </c>
      <c r="BC30" s="38">
        <f t="shared" si="52"/>
        <v>1.0000000000000004</v>
      </c>
      <c r="BF30" s="4">
        <f t="shared" si="53"/>
        <v>342.39865961370697</v>
      </c>
      <c r="BG30" s="4">
        <f t="shared" si="54"/>
        <v>1</v>
      </c>
      <c r="BH30" s="38">
        <f t="shared" si="55"/>
        <v>731.97673670531515</v>
      </c>
      <c r="BI30" s="4">
        <f t="shared" si="56"/>
        <v>0.3</v>
      </c>
      <c r="BJ30" s="4">
        <f t="shared" si="57"/>
        <v>53.67098989444856</v>
      </c>
      <c r="BK30" s="4">
        <f t="shared" si="58"/>
        <v>785.6477265997637</v>
      </c>
      <c r="BM30" s="36">
        <f t="shared" si="59"/>
        <v>2.2250000000000001</v>
      </c>
      <c r="BN30" s="36">
        <f t="shared" si="60"/>
        <v>514.66322969491421</v>
      </c>
      <c r="BS30" s="4">
        <f t="shared" si="61"/>
        <v>101.8</v>
      </c>
      <c r="BT30" s="4">
        <f t="shared" si="62"/>
        <v>83.24</v>
      </c>
      <c r="BU30" s="4">
        <f t="shared" si="63"/>
        <v>101.8</v>
      </c>
      <c r="BV30" s="4">
        <f t="shared" si="64"/>
        <v>95.94</v>
      </c>
      <c r="BW30" s="4">
        <f t="shared" si="65"/>
        <v>1.0222969726093225</v>
      </c>
      <c r="BX30" s="25">
        <f t="shared" si="66"/>
        <v>4</v>
      </c>
      <c r="BZ30" s="4">
        <f t="shared" si="67"/>
        <v>101.8</v>
      </c>
      <c r="CD30" s="9"/>
      <c r="CF30" s="9"/>
      <c r="CG30" s="9"/>
      <c r="CH30" s="9">
        <f t="shared" si="68"/>
        <v>101.8</v>
      </c>
      <c r="CI30" s="9">
        <f t="shared" si="69"/>
        <v>101.8</v>
      </c>
      <c r="CJ30" s="9">
        <f t="shared" si="70"/>
        <v>2.001967536137395</v>
      </c>
      <c r="CK30" s="70">
        <v>20</v>
      </c>
      <c r="CL30" s="9">
        <f t="shared" si="71"/>
        <v>0.05</v>
      </c>
      <c r="CM30" s="9">
        <f t="shared" si="72"/>
        <v>0.8</v>
      </c>
      <c r="CN30" s="9">
        <f t="shared" si="73"/>
        <v>0.99524931562137331</v>
      </c>
      <c r="CO30" s="9">
        <f t="shared" si="74"/>
        <v>0.97375</v>
      </c>
      <c r="CP30" s="9">
        <f t="shared" si="75"/>
        <v>1.961464882399115</v>
      </c>
      <c r="CQ30" s="9">
        <f t="shared" si="76"/>
        <v>4.9036622059977875</v>
      </c>
      <c r="CR30" s="9">
        <v>1</v>
      </c>
      <c r="CS30" s="9">
        <f t="shared" si="77"/>
        <v>514.88453162976771</v>
      </c>
      <c r="DP30" s="4">
        <f t="shared" si="78"/>
        <v>3</v>
      </c>
      <c r="DQ30" s="4">
        <f t="shared" si="79"/>
        <v>285.75</v>
      </c>
      <c r="DR30" s="4">
        <f t="shared" si="80"/>
        <v>1</v>
      </c>
      <c r="DT30" s="4">
        <f t="shared" si="81"/>
        <v>2.058127601073333E-5</v>
      </c>
      <c r="DU30" s="4">
        <f t="shared" si="82"/>
        <v>8.8720819696713296</v>
      </c>
      <c r="DW30" s="4">
        <f t="shared" si="83"/>
        <v>0</v>
      </c>
      <c r="DX30" s="4">
        <f t="shared" si="84"/>
        <v>6.3372014069080933</v>
      </c>
      <c r="DY30" s="4">
        <f t="shared" si="85"/>
        <v>8.446107161096263</v>
      </c>
      <c r="DZ30" s="38">
        <f t="shared" si="86"/>
        <v>517.5</v>
      </c>
      <c r="EA30" s="4">
        <f t="shared" si="87"/>
        <v>1</v>
      </c>
      <c r="EC30" s="4">
        <f t="shared" si="122"/>
        <v>432.05105229491693</v>
      </c>
      <c r="EG30" s="4">
        <f t="shared" si="88"/>
        <v>0.85</v>
      </c>
      <c r="EH30" s="4">
        <f t="shared" si="89"/>
        <v>0.7</v>
      </c>
      <c r="EI30" s="4">
        <f t="shared" si="90"/>
        <v>0.82320199640399283</v>
      </c>
      <c r="EJ30" s="4">
        <f t="shared" si="91"/>
        <v>0.7</v>
      </c>
      <c r="EL30" s="4">
        <f t="shared" si="92"/>
        <v>517.5</v>
      </c>
      <c r="EM30" s="25">
        <f t="shared" si="93"/>
        <v>411.59776307016909</v>
      </c>
      <c r="EP30" s="4">
        <f t="shared" si="94"/>
        <v>8.8720819696713296</v>
      </c>
      <c r="EQ30" s="4">
        <f t="shared" si="95"/>
        <v>8.4462220351271053</v>
      </c>
      <c r="ES30" s="4">
        <f t="shared" si="96"/>
        <v>77.858162529590359</v>
      </c>
      <c r="ET30" s="4">
        <f t="shared" si="97"/>
        <v>3.0652819893539514</v>
      </c>
      <c r="EU30" s="4">
        <f t="shared" si="98"/>
        <v>0.14741381691783081</v>
      </c>
      <c r="EX30" s="4">
        <f t="shared" si="99"/>
        <v>0.14741381691783081</v>
      </c>
      <c r="EY30" s="4">
        <f t="shared" si="100"/>
        <v>0.46541934387469186</v>
      </c>
      <c r="EZ30" s="4">
        <f t="shared" si="101"/>
        <v>6.5337621011847986</v>
      </c>
      <c r="FA30" s="4">
        <f t="shared" si="102"/>
        <v>7.7913442630090861</v>
      </c>
      <c r="FB30" s="4">
        <f t="shared" si="103"/>
        <v>136.45433747040965</v>
      </c>
      <c r="FC30" s="4">
        <f t="shared" si="104"/>
        <v>71.4375</v>
      </c>
      <c r="FD30" s="4">
        <f t="shared" si="105"/>
        <v>2.058127601073333E-5</v>
      </c>
      <c r="FE30" s="4">
        <f t="shared" si="106"/>
        <v>8.1911899729698998</v>
      </c>
      <c r="FF30" s="4">
        <f t="shared" si="107"/>
        <v>517.5</v>
      </c>
      <c r="FG30" s="4">
        <f t="shared" si="108"/>
        <v>136.45433747040965</v>
      </c>
      <c r="FH30" s="4">
        <f t="shared" si="109"/>
        <v>71.437499999999986</v>
      </c>
      <c r="FJ30" s="4">
        <f t="shared" si="110"/>
        <v>0</v>
      </c>
      <c r="FO30" s="23"/>
      <c r="FP30" s="23"/>
      <c r="FQ30" s="23"/>
      <c r="FR30" s="23"/>
      <c r="FS30" s="23"/>
      <c r="FT30" s="23"/>
      <c r="FU30" s="23"/>
      <c r="FV30" s="23"/>
      <c r="GF30" s="4">
        <f t="shared" si="111"/>
        <v>1</v>
      </c>
      <c r="GG30" s="4">
        <f t="shared" si="112"/>
        <v>0.68688155922038985</v>
      </c>
      <c r="GH30" s="4">
        <f t="shared" si="113"/>
        <v>0.3</v>
      </c>
      <c r="GI30" s="4">
        <f t="shared" si="114"/>
        <v>392.73534594062755</v>
      </c>
    </row>
    <row r="31" spans="1:192" ht="12" hidden="1" customHeight="1" x14ac:dyDescent="0.3">
      <c r="A31" s="25">
        <v>12</v>
      </c>
      <c r="B31" s="26" t="s">
        <v>81</v>
      </c>
      <c r="C31" s="26"/>
      <c r="D31" s="26" t="s">
        <v>82</v>
      </c>
      <c r="E31" s="26"/>
      <c r="F31" s="26"/>
      <c r="G31" s="26"/>
      <c r="H31" s="7" t="s">
        <v>90</v>
      </c>
      <c r="I31" s="7"/>
      <c r="J31" s="28">
        <f t="shared" si="115"/>
        <v>517.5</v>
      </c>
      <c r="K31" s="7">
        <f t="shared" si="126"/>
        <v>285.75</v>
      </c>
      <c r="L31" s="7">
        <f t="shared" si="123"/>
        <v>285.75</v>
      </c>
      <c r="M31" s="7">
        <v>33.44</v>
      </c>
      <c r="N31" s="7">
        <v>25.4</v>
      </c>
      <c r="O31" s="7">
        <f t="shared" si="116"/>
        <v>11.25</v>
      </c>
      <c r="P31" s="7">
        <f t="shared" si="117"/>
        <v>11.25</v>
      </c>
      <c r="Q31" s="7">
        <v>229</v>
      </c>
      <c r="R31" s="7"/>
      <c r="S31" s="7">
        <f t="shared" si="42"/>
        <v>101.8</v>
      </c>
      <c r="T31" s="7"/>
      <c r="U31" s="7">
        <v>305</v>
      </c>
      <c r="V31" s="7"/>
      <c r="W31" s="7">
        <v>0</v>
      </c>
      <c r="X31" s="7">
        <v>1</v>
      </c>
      <c r="Y31" s="7"/>
      <c r="Z31" s="7"/>
      <c r="AA31" s="7">
        <v>81.69</v>
      </c>
      <c r="AB31" s="7">
        <f t="shared" si="43"/>
        <v>3.7161417322834649</v>
      </c>
      <c r="AC31" s="28">
        <f t="shared" si="118"/>
        <v>3.7161417322834649</v>
      </c>
      <c r="AD31" s="28">
        <f t="shared" si="44"/>
        <v>8.3959536742577185</v>
      </c>
      <c r="AE31" s="7">
        <f t="shared" si="45"/>
        <v>8.3959536742577185</v>
      </c>
      <c r="AF31" s="7">
        <f t="shared" si="46"/>
        <v>9.3959536742577185</v>
      </c>
      <c r="AG31" s="7">
        <f t="shared" si="47"/>
        <v>77.858162529590359</v>
      </c>
      <c r="AH31" s="7"/>
      <c r="AI31" s="7"/>
      <c r="AJ31" s="7">
        <f>225.65/(PI()/4*N31^2)*1000</f>
        <v>445.32597071965017</v>
      </c>
      <c r="AK31" s="7"/>
      <c r="AL31" s="7"/>
      <c r="AM31" s="7">
        <v>9.5</v>
      </c>
      <c r="AN31" s="7">
        <v>3</v>
      </c>
      <c r="AO31" s="7">
        <v>76</v>
      </c>
      <c r="AP31" s="7">
        <v>3</v>
      </c>
      <c r="AQ31" s="7"/>
      <c r="AR31" s="7"/>
      <c r="AS31" s="4">
        <f t="shared" si="125"/>
        <v>285.75</v>
      </c>
      <c r="AT31" s="4">
        <f t="shared" si="48"/>
        <v>0.16298012228397571</v>
      </c>
      <c r="AU31" s="25">
        <f t="shared" si="49"/>
        <v>551.25834685648249</v>
      </c>
      <c r="AV31" s="4">
        <f t="shared" si="50"/>
        <v>0.76606474190726159</v>
      </c>
      <c r="AW31" s="4">
        <v>1.25</v>
      </c>
      <c r="AX31" s="25">
        <f t="shared" si="119"/>
        <v>5</v>
      </c>
      <c r="AY31" s="38">
        <f t="shared" si="120"/>
        <v>430.16523569904933</v>
      </c>
      <c r="AZ31" s="38">
        <f t="shared" si="121"/>
        <v>430.16523569904933</v>
      </c>
      <c r="BB31" s="38">
        <f t="shared" si="51"/>
        <v>430.16523569904911</v>
      </c>
      <c r="BC31" s="38">
        <f t="shared" si="52"/>
        <v>1.0000000000000004</v>
      </c>
      <c r="BF31" s="4">
        <f t="shared" si="53"/>
        <v>342.39865961370697</v>
      </c>
      <c r="BG31" s="4">
        <f t="shared" si="54"/>
        <v>1</v>
      </c>
      <c r="BH31" s="38">
        <f t="shared" si="55"/>
        <v>720.15097120715757</v>
      </c>
      <c r="BI31" s="4">
        <f t="shared" si="56"/>
        <v>0.3</v>
      </c>
      <c r="BJ31" s="4">
        <f t="shared" si="57"/>
        <v>53.67098989444856</v>
      </c>
      <c r="BK31" s="4">
        <f t="shared" si="58"/>
        <v>773.82196110160612</v>
      </c>
      <c r="BM31" s="36">
        <f t="shared" si="59"/>
        <v>2.2250000000000001</v>
      </c>
      <c r="BN31" s="36">
        <f t="shared" si="60"/>
        <v>514.66322969491421</v>
      </c>
      <c r="BS31" s="4">
        <f t="shared" si="61"/>
        <v>101.8</v>
      </c>
      <c r="BT31" s="4">
        <f t="shared" si="62"/>
        <v>81.69</v>
      </c>
      <c r="BU31" s="4">
        <f t="shared" si="63"/>
        <v>101.8</v>
      </c>
      <c r="BV31" s="4">
        <f t="shared" si="64"/>
        <v>94.39</v>
      </c>
      <c r="BW31" s="4">
        <f t="shared" si="65"/>
        <v>1.0246174562369936</v>
      </c>
      <c r="BX31" s="25">
        <f t="shared" si="66"/>
        <v>4</v>
      </c>
      <c r="BZ31" s="4">
        <f t="shared" si="67"/>
        <v>101.8</v>
      </c>
      <c r="CD31" s="9"/>
      <c r="CF31" s="9"/>
      <c r="CG31" s="9"/>
      <c r="CH31" s="9">
        <f t="shared" si="68"/>
        <v>101.8</v>
      </c>
      <c r="CI31" s="9">
        <f t="shared" si="69"/>
        <v>101.8</v>
      </c>
      <c r="CJ31" s="9">
        <f t="shared" si="70"/>
        <v>2.001967536137395</v>
      </c>
      <c r="CK31" s="70">
        <v>20</v>
      </c>
      <c r="CL31" s="9">
        <f t="shared" si="71"/>
        <v>0.05</v>
      </c>
      <c r="CM31" s="9">
        <f t="shared" si="72"/>
        <v>0.8</v>
      </c>
      <c r="CN31" s="9">
        <f t="shared" si="73"/>
        <v>0.99524931562137331</v>
      </c>
      <c r="CO31" s="9">
        <f t="shared" si="74"/>
        <v>0.97375</v>
      </c>
      <c r="CP31" s="9">
        <f t="shared" si="75"/>
        <v>1.961464882399115</v>
      </c>
      <c r="CQ31" s="9">
        <f t="shared" si="76"/>
        <v>4.9036622059977875</v>
      </c>
      <c r="CR31" s="9">
        <v>1</v>
      </c>
      <c r="CS31" s="9">
        <f t="shared" si="77"/>
        <v>514.88453162976771</v>
      </c>
      <c r="DP31" s="4">
        <f t="shared" si="78"/>
        <v>3</v>
      </c>
      <c r="DQ31" s="4">
        <f t="shared" si="79"/>
        <v>285.75</v>
      </c>
      <c r="DR31" s="4">
        <f t="shared" si="80"/>
        <v>1</v>
      </c>
      <c r="DT31" s="4">
        <f t="shared" si="81"/>
        <v>2.058127601073333E-5</v>
      </c>
      <c r="DU31" s="4">
        <f t="shared" si="82"/>
        <v>8.8720819696713296</v>
      </c>
      <c r="DW31" s="4">
        <f t="shared" si="83"/>
        <v>0</v>
      </c>
      <c r="DX31" s="4">
        <f t="shared" si="84"/>
        <v>6.3372014069080933</v>
      </c>
      <c r="DY31" s="4">
        <f t="shared" si="85"/>
        <v>8.446107161096263</v>
      </c>
      <c r="DZ31" s="38">
        <f t="shared" si="86"/>
        <v>517.5</v>
      </c>
      <c r="EA31" s="4">
        <f t="shared" si="87"/>
        <v>1</v>
      </c>
      <c r="EC31" s="4">
        <f t="shared" si="122"/>
        <v>430.16523569904911</v>
      </c>
      <c r="EG31" s="4">
        <f t="shared" si="88"/>
        <v>0.85</v>
      </c>
      <c r="EH31" s="4">
        <f t="shared" si="89"/>
        <v>0.7</v>
      </c>
      <c r="EI31" s="4">
        <f t="shared" si="90"/>
        <v>0.82320199640399283</v>
      </c>
      <c r="EJ31" s="4">
        <f t="shared" si="91"/>
        <v>0.7</v>
      </c>
      <c r="EL31" s="4">
        <f t="shared" si="92"/>
        <v>517.5</v>
      </c>
      <c r="EM31" s="25">
        <f t="shared" si="93"/>
        <v>411.00887886885306</v>
      </c>
      <c r="EP31" s="4">
        <f t="shared" si="94"/>
        <v>8.8720819696713296</v>
      </c>
      <c r="EQ31" s="4">
        <f t="shared" si="95"/>
        <v>8.4462220351271053</v>
      </c>
      <c r="ES31" s="4">
        <f t="shared" si="96"/>
        <v>77.858162529590359</v>
      </c>
      <c r="ET31" s="4">
        <f t="shared" si="97"/>
        <v>3.0652819893539514</v>
      </c>
      <c r="EU31" s="4">
        <f t="shared" si="98"/>
        <v>0.14677038503419751</v>
      </c>
      <c r="EX31" s="4">
        <f t="shared" si="99"/>
        <v>0.14677038503419751</v>
      </c>
      <c r="EY31" s="4">
        <f t="shared" si="100"/>
        <v>0.46338788134716236</v>
      </c>
      <c r="EZ31" s="4">
        <f t="shared" si="101"/>
        <v>6.5223397020583498</v>
      </c>
      <c r="FA31" s="4">
        <f t="shared" si="102"/>
        <v>7.7865617991761473</v>
      </c>
      <c r="FB31" s="4">
        <f t="shared" si="103"/>
        <v>136.45433747040965</v>
      </c>
      <c r="FC31" s="4">
        <f t="shared" si="104"/>
        <v>71.4375</v>
      </c>
      <c r="FD31" s="4">
        <f t="shared" si="105"/>
        <v>2.058127601073333E-5</v>
      </c>
      <c r="FE31" s="4">
        <f t="shared" si="106"/>
        <v>8.1917458257410534</v>
      </c>
      <c r="FF31" s="4">
        <f t="shared" si="107"/>
        <v>517.5</v>
      </c>
      <c r="FG31" s="4">
        <f t="shared" si="108"/>
        <v>136.45433747040965</v>
      </c>
      <c r="FH31" s="4">
        <f t="shared" si="109"/>
        <v>71.437499999999986</v>
      </c>
      <c r="FJ31" s="4">
        <f t="shared" si="110"/>
        <v>0</v>
      </c>
      <c r="FO31" s="23"/>
      <c r="FP31" s="23"/>
      <c r="FQ31" s="23"/>
      <c r="FR31" s="23"/>
      <c r="FS31" s="23"/>
      <c r="FT31" s="23"/>
      <c r="FU31" s="23"/>
      <c r="FV31" s="23"/>
      <c r="GF31" s="4">
        <f t="shared" si="111"/>
        <v>1</v>
      </c>
      <c r="GG31" s="4">
        <f t="shared" si="112"/>
        <v>0.68688155922038985</v>
      </c>
      <c r="GH31" s="4">
        <f t="shared" si="113"/>
        <v>0.3</v>
      </c>
      <c r="GI31" s="4">
        <f t="shared" si="114"/>
        <v>392.73534594062755</v>
      </c>
    </row>
    <row r="32" spans="1:192" ht="12" hidden="1" customHeight="1" x14ac:dyDescent="0.3">
      <c r="A32" s="25">
        <v>13</v>
      </c>
      <c r="B32" s="26" t="s">
        <v>81</v>
      </c>
      <c r="C32" s="26"/>
      <c r="D32" s="26" t="s">
        <v>82</v>
      </c>
      <c r="E32" s="26"/>
      <c r="F32" s="26"/>
      <c r="G32" s="26"/>
      <c r="H32" s="7" t="s">
        <v>91</v>
      </c>
      <c r="I32" s="7"/>
      <c r="J32" s="28">
        <f t="shared" si="115"/>
        <v>517.5</v>
      </c>
      <c r="K32" s="7">
        <f t="shared" si="126"/>
        <v>285.75</v>
      </c>
      <c r="L32" s="7">
        <f t="shared" si="123"/>
        <v>285.75</v>
      </c>
      <c r="M32" s="7">
        <v>33.44</v>
      </c>
      <c r="N32" s="7">
        <v>25.4</v>
      </c>
      <c r="O32" s="7">
        <f t="shared" si="116"/>
        <v>11.25</v>
      </c>
      <c r="P32" s="7">
        <f t="shared" si="117"/>
        <v>11.25</v>
      </c>
      <c r="Q32" s="7">
        <v>229</v>
      </c>
      <c r="R32" s="7"/>
      <c r="S32" s="7">
        <f t="shared" si="42"/>
        <v>101.8</v>
      </c>
      <c r="T32" s="7"/>
      <c r="U32" s="7">
        <v>305</v>
      </c>
      <c r="V32" s="7"/>
      <c r="W32" s="7">
        <v>0</v>
      </c>
      <c r="X32" s="7">
        <v>1</v>
      </c>
      <c r="Y32" s="7"/>
      <c r="Z32" s="7"/>
      <c r="AA32" s="7">
        <v>53.72</v>
      </c>
      <c r="AB32" s="7">
        <f t="shared" si="43"/>
        <v>2.61496062992126</v>
      </c>
      <c r="AC32" s="28">
        <f t="shared" si="118"/>
        <v>2.61496062992126</v>
      </c>
      <c r="AD32" s="28">
        <f t="shared" si="44"/>
        <v>8.3959536742577185</v>
      </c>
      <c r="AE32" s="7">
        <f t="shared" si="45"/>
        <v>8.3959536742577185</v>
      </c>
      <c r="AF32" s="7">
        <f t="shared" si="46"/>
        <v>9.3959536742577185</v>
      </c>
      <c r="AG32" s="7">
        <f t="shared" si="47"/>
        <v>77.858162529590359</v>
      </c>
      <c r="AH32" s="7"/>
      <c r="AI32" s="7"/>
      <c r="AJ32" s="7">
        <f>228.81/(PI()/4*N32^2)*1000</f>
        <v>451.56231048244251</v>
      </c>
      <c r="AK32" s="7"/>
      <c r="AL32" s="7"/>
      <c r="AM32" s="7">
        <v>9.5</v>
      </c>
      <c r="AN32" s="7">
        <v>3</v>
      </c>
      <c r="AO32" s="7">
        <v>76</v>
      </c>
      <c r="AP32" s="7">
        <v>3</v>
      </c>
      <c r="AQ32" s="7"/>
      <c r="AR32" s="7"/>
      <c r="AS32" s="4">
        <f t="shared" si="125"/>
        <v>285.75</v>
      </c>
      <c r="AT32" s="4">
        <f t="shared" si="48"/>
        <v>0.15426420778767486</v>
      </c>
      <c r="AU32" s="25">
        <f t="shared" si="49"/>
        <v>551.25834685648249</v>
      </c>
      <c r="AV32" s="4">
        <f t="shared" si="50"/>
        <v>0.74648818897637792</v>
      </c>
      <c r="AW32" s="4">
        <v>1.25</v>
      </c>
      <c r="AX32" s="25">
        <f t="shared" si="119"/>
        <v>5</v>
      </c>
      <c r="AY32" s="38">
        <f t="shared" si="120"/>
        <v>396.7558231737641</v>
      </c>
      <c r="AZ32" s="38">
        <f t="shared" si="121"/>
        <v>396.7558231737641</v>
      </c>
      <c r="BB32" s="38">
        <f t="shared" si="51"/>
        <v>396.75582317376393</v>
      </c>
      <c r="BC32" s="38">
        <f t="shared" si="52"/>
        <v>1.0000000000000004</v>
      </c>
      <c r="BF32" s="4">
        <f t="shared" si="53"/>
        <v>342.39865961370697</v>
      </c>
      <c r="BG32" s="4">
        <f t="shared" si="54"/>
        <v>1</v>
      </c>
      <c r="BH32" s="38">
        <f t="shared" si="55"/>
        <v>506.75312541137197</v>
      </c>
      <c r="BI32" s="4">
        <f t="shared" si="56"/>
        <v>0.3</v>
      </c>
      <c r="BJ32" s="4">
        <f t="shared" si="57"/>
        <v>53.67098989444856</v>
      </c>
      <c r="BK32" s="4">
        <f t="shared" si="58"/>
        <v>560.42411530582058</v>
      </c>
      <c r="BM32" s="36">
        <f t="shared" si="59"/>
        <v>2.2250000000000001</v>
      </c>
      <c r="BN32" s="36">
        <f t="shared" si="60"/>
        <v>514.66322969491421</v>
      </c>
      <c r="BS32" s="4">
        <f t="shared" si="61"/>
        <v>101.8</v>
      </c>
      <c r="BT32" s="4">
        <f t="shared" si="62"/>
        <v>53.72</v>
      </c>
      <c r="BU32" s="4">
        <f t="shared" si="63"/>
        <v>101.8</v>
      </c>
      <c r="BV32" s="4">
        <f t="shared" si="64"/>
        <v>66.42</v>
      </c>
      <c r="BW32" s="4">
        <f t="shared" si="65"/>
        <v>1.0895011169024573</v>
      </c>
      <c r="BX32" s="25">
        <f t="shared" si="66"/>
        <v>4</v>
      </c>
      <c r="BZ32" s="4">
        <f t="shared" si="67"/>
        <v>101.8</v>
      </c>
      <c r="CD32" s="9"/>
      <c r="CF32" s="9"/>
      <c r="CG32" s="9"/>
      <c r="CH32" s="9">
        <f t="shared" si="68"/>
        <v>101.8</v>
      </c>
      <c r="CI32" s="9">
        <f t="shared" si="69"/>
        <v>101.8</v>
      </c>
      <c r="CJ32" s="9">
        <f t="shared" si="70"/>
        <v>2.001967536137395</v>
      </c>
      <c r="CK32" s="70">
        <v>20</v>
      </c>
      <c r="CL32" s="9">
        <f t="shared" si="71"/>
        <v>0.05</v>
      </c>
      <c r="CM32" s="9">
        <f t="shared" si="72"/>
        <v>0.8</v>
      </c>
      <c r="CN32" s="9">
        <f t="shared" si="73"/>
        <v>0.99524931562137331</v>
      </c>
      <c r="CO32" s="9">
        <f t="shared" si="74"/>
        <v>0.97375</v>
      </c>
      <c r="CP32" s="9">
        <f t="shared" si="75"/>
        <v>1.961464882399115</v>
      </c>
      <c r="CQ32" s="9">
        <f t="shared" si="76"/>
        <v>4.9036622059977875</v>
      </c>
      <c r="CR32" s="9">
        <v>1</v>
      </c>
      <c r="CS32" s="9">
        <f t="shared" si="77"/>
        <v>514.88453162976771</v>
      </c>
      <c r="DP32" s="4">
        <f t="shared" si="78"/>
        <v>3</v>
      </c>
      <c r="DQ32" s="4">
        <f t="shared" si="79"/>
        <v>285.75</v>
      </c>
      <c r="DR32" s="4">
        <f t="shared" si="80"/>
        <v>1</v>
      </c>
      <c r="DT32" s="4">
        <f t="shared" si="81"/>
        <v>2.058127601073333E-5</v>
      </c>
      <c r="DU32" s="4">
        <f t="shared" si="82"/>
        <v>8.8720819696713296</v>
      </c>
      <c r="DW32" s="4">
        <f t="shared" si="83"/>
        <v>0</v>
      </c>
      <c r="DX32" s="4">
        <f t="shared" si="84"/>
        <v>6.3372014069080933</v>
      </c>
      <c r="DY32" s="4">
        <f t="shared" si="85"/>
        <v>8.446107161096263</v>
      </c>
      <c r="DZ32" s="38">
        <f t="shared" si="86"/>
        <v>517.5</v>
      </c>
      <c r="EA32" s="4">
        <f t="shared" si="87"/>
        <v>1</v>
      </c>
      <c r="EC32" s="4">
        <f t="shared" si="122"/>
        <v>396.75582317376393</v>
      </c>
      <c r="EG32" s="4">
        <f t="shared" si="88"/>
        <v>0.85</v>
      </c>
      <c r="EH32" s="4">
        <f t="shared" si="89"/>
        <v>0.7</v>
      </c>
      <c r="EI32" s="4">
        <f t="shared" si="90"/>
        <v>0.82320199640399283</v>
      </c>
      <c r="EJ32" s="4">
        <f t="shared" si="91"/>
        <v>0.7</v>
      </c>
      <c r="EL32" s="4">
        <f t="shared" si="92"/>
        <v>517.5</v>
      </c>
      <c r="EM32" s="25">
        <f t="shared" si="93"/>
        <v>400.38236847478214</v>
      </c>
      <c r="EP32" s="4">
        <f t="shared" si="94"/>
        <v>8.8720819696713296</v>
      </c>
      <c r="EQ32" s="4">
        <f t="shared" si="95"/>
        <v>8.4462220351271053</v>
      </c>
      <c r="ES32" s="4">
        <f t="shared" si="96"/>
        <v>77.858162529590359</v>
      </c>
      <c r="ET32" s="4">
        <f t="shared" si="97"/>
        <v>3.0652819893539514</v>
      </c>
      <c r="EU32" s="4">
        <f t="shared" si="98"/>
        <v>0.13537124829983568</v>
      </c>
      <c r="EX32" s="4">
        <f t="shared" si="99"/>
        <v>0.13537124829983568</v>
      </c>
      <c r="EY32" s="4">
        <f t="shared" si="100"/>
        <v>0.42739818343029867</v>
      </c>
      <c r="EZ32" s="4">
        <f t="shared" si="101"/>
        <v>6.3147856649016321</v>
      </c>
      <c r="FA32" s="4">
        <f t="shared" si="102"/>
        <v>7.7006317842330088</v>
      </c>
      <c r="FB32" s="4">
        <f t="shared" si="103"/>
        <v>136.45433747040965</v>
      </c>
      <c r="FC32" s="4">
        <f t="shared" si="104"/>
        <v>71.4375</v>
      </c>
      <c r="FD32" s="4">
        <f t="shared" si="105"/>
        <v>2.058127601073333E-5</v>
      </c>
      <c r="FE32" s="4">
        <f t="shared" si="106"/>
        <v>8.2017983392923259</v>
      </c>
      <c r="FF32" s="4">
        <f t="shared" si="107"/>
        <v>517.5</v>
      </c>
      <c r="FG32" s="4">
        <f t="shared" si="108"/>
        <v>136.45433747040965</v>
      </c>
      <c r="FH32" s="4">
        <f t="shared" si="109"/>
        <v>71.437499999999986</v>
      </c>
      <c r="FJ32" s="4">
        <f t="shared" si="110"/>
        <v>0</v>
      </c>
      <c r="FO32" s="23"/>
      <c r="FP32" s="23"/>
      <c r="FQ32" s="23"/>
      <c r="FR32" s="23"/>
      <c r="FS32" s="23"/>
      <c r="FT32" s="23"/>
      <c r="FU32" s="23"/>
      <c r="FV32" s="23"/>
      <c r="GF32" s="4">
        <f t="shared" si="111"/>
        <v>1</v>
      </c>
      <c r="GG32" s="4">
        <f t="shared" si="112"/>
        <v>0.68688155922038985</v>
      </c>
      <c r="GH32" s="4">
        <f t="shared" si="113"/>
        <v>0.3</v>
      </c>
      <c r="GI32" s="4">
        <f t="shared" si="114"/>
        <v>392.73534594062755</v>
      </c>
    </row>
    <row r="33" spans="1:192" ht="12" hidden="1" customHeight="1" x14ac:dyDescent="0.3">
      <c r="A33" s="25">
        <v>14</v>
      </c>
      <c r="B33" s="26" t="s">
        <v>81</v>
      </c>
      <c r="C33" s="26"/>
      <c r="D33" s="26" t="s">
        <v>82</v>
      </c>
      <c r="E33" s="26"/>
      <c r="F33" s="26"/>
      <c r="G33" s="26"/>
      <c r="H33" s="7" t="s">
        <v>92</v>
      </c>
      <c r="I33" s="7"/>
      <c r="J33" s="28">
        <f t="shared" si="115"/>
        <v>517.5</v>
      </c>
      <c r="K33" s="7">
        <f t="shared" si="126"/>
        <v>285.75</v>
      </c>
      <c r="L33" s="7">
        <f t="shared" si="123"/>
        <v>285.75</v>
      </c>
      <c r="M33" s="7">
        <v>33.44</v>
      </c>
      <c r="N33" s="7">
        <v>25.4</v>
      </c>
      <c r="O33" s="7">
        <f t="shared" si="116"/>
        <v>11.25</v>
      </c>
      <c r="P33" s="7">
        <f t="shared" si="117"/>
        <v>11.25</v>
      </c>
      <c r="Q33" s="7">
        <v>229</v>
      </c>
      <c r="R33" s="7"/>
      <c r="S33" s="7">
        <f t="shared" si="42"/>
        <v>101.8</v>
      </c>
      <c r="T33" s="7"/>
      <c r="U33" s="7">
        <v>305</v>
      </c>
      <c r="V33" s="7"/>
      <c r="W33" s="7">
        <v>0</v>
      </c>
      <c r="X33" s="7">
        <v>1</v>
      </c>
      <c r="Y33" s="7"/>
      <c r="Z33" s="7"/>
      <c r="AA33" s="7">
        <v>51.33</v>
      </c>
      <c r="AB33" s="7">
        <f t="shared" si="43"/>
        <v>2.5208661417322835</v>
      </c>
      <c r="AC33" s="28">
        <f t="shared" si="118"/>
        <v>2.5208661417322835</v>
      </c>
      <c r="AD33" s="28">
        <f t="shared" si="44"/>
        <v>8.3959536742577185</v>
      </c>
      <c r="AE33" s="7">
        <f t="shared" si="45"/>
        <v>8.3959536742577185</v>
      </c>
      <c r="AF33" s="7">
        <f t="shared" si="46"/>
        <v>9.3959536742577185</v>
      </c>
      <c r="AG33" s="7">
        <f t="shared" si="47"/>
        <v>77.858162529590359</v>
      </c>
      <c r="AH33" s="7"/>
      <c r="AI33" s="7"/>
      <c r="AJ33" s="7">
        <f>226.27/(PI()/4*N33^2)*1000</f>
        <v>446.54955636931197</v>
      </c>
      <c r="AK33" s="7"/>
      <c r="AL33" s="7"/>
      <c r="AM33" s="7">
        <v>9.5</v>
      </c>
      <c r="AN33" s="7">
        <v>3</v>
      </c>
      <c r="AO33" s="7">
        <v>76</v>
      </c>
      <c r="AP33" s="7">
        <v>3</v>
      </c>
      <c r="AQ33" s="7"/>
      <c r="AR33" s="7"/>
      <c r="AS33" s="4">
        <f t="shared" si="125"/>
        <v>285.75</v>
      </c>
      <c r="AT33" s="4">
        <f t="shared" si="48"/>
        <v>0.15351944426796946</v>
      </c>
      <c r="AU33" s="25">
        <f t="shared" si="49"/>
        <v>551.25834685648249</v>
      </c>
      <c r="AV33" s="4">
        <f t="shared" si="50"/>
        <v>0.74481539807524055</v>
      </c>
      <c r="AW33" s="4">
        <v>1.25</v>
      </c>
      <c r="AX33" s="25">
        <f t="shared" si="119"/>
        <v>5</v>
      </c>
      <c r="AY33" s="38">
        <f t="shared" si="120"/>
        <v>393.95555790376119</v>
      </c>
      <c r="AZ33" s="38">
        <f t="shared" si="121"/>
        <v>393.95555790376119</v>
      </c>
      <c r="BB33" s="38">
        <f t="shared" si="51"/>
        <v>393.95555790376096</v>
      </c>
      <c r="BC33" s="38">
        <f t="shared" si="52"/>
        <v>1.0000000000000007</v>
      </c>
      <c r="BF33" s="4">
        <f t="shared" si="53"/>
        <v>342.39865961370697</v>
      </c>
      <c r="BG33" s="4">
        <f t="shared" si="54"/>
        <v>1</v>
      </c>
      <c r="BH33" s="38">
        <f t="shared" si="55"/>
        <v>488.51855796582578</v>
      </c>
      <c r="BI33" s="4">
        <f t="shared" si="56"/>
        <v>0.3</v>
      </c>
      <c r="BJ33" s="4">
        <f t="shared" si="57"/>
        <v>53.67098989444856</v>
      </c>
      <c r="BK33" s="4">
        <f t="shared" si="58"/>
        <v>542.18954786027439</v>
      </c>
      <c r="BM33" s="36">
        <f t="shared" si="59"/>
        <v>2.2250000000000001</v>
      </c>
      <c r="BN33" s="36">
        <f t="shared" si="60"/>
        <v>514.66322969491421</v>
      </c>
      <c r="BS33" s="4">
        <f t="shared" si="61"/>
        <v>101.8</v>
      </c>
      <c r="BT33" s="4">
        <f t="shared" si="62"/>
        <v>51.33</v>
      </c>
      <c r="BU33" s="4">
        <f t="shared" si="63"/>
        <v>101.8</v>
      </c>
      <c r="BV33" s="4">
        <f t="shared" si="64"/>
        <v>64.03</v>
      </c>
      <c r="BW33" s="4">
        <f t="shared" si="65"/>
        <v>1.0983245665302941</v>
      </c>
      <c r="BX33" s="25">
        <f t="shared" si="66"/>
        <v>4</v>
      </c>
      <c r="BZ33" s="4">
        <f t="shared" si="67"/>
        <v>101.8</v>
      </c>
      <c r="CD33" s="9"/>
      <c r="CF33" s="9"/>
      <c r="CG33" s="9"/>
      <c r="CH33" s="9">
        <f t="shared" si="68"/>
        <v>101.8</v>
      </c>
      <c r="CI33" s="9">
        <f t="shared" si="69"/>
        <v>101.8</v>
      </c>
      <c r="CJ33" s="9">
        <f t="shared" si="70"/>
        <v>2.001967536137395</v>
      </c>
      <c r="CK33" s="70">
        <v>20</v>
      </c>
      <c r="CL33" s="9">
        <f t="shared" si="71"/>
        <v>0.05</v>
      </c>
      <c r="CM33" s="9">
        <f t="shared" si="72"/>
        <v>0.8</v>
      </c>
      <c r="CN33" s="9">
        <f t="shared" si="73"/>
        <v>0.99524931562137331</v>
      </c>
      <c r="CO33" s="9">
        <f t="shared" si="74"/>
        <v>0.97375</v>
      </c>
      <c r="CP33" s="9">
        <f t="shared" si="75"/>
        <v>1.961464882399115</v>
      </c>
      <c r="CQ33" s="9">
        <f t="shared" si="76"/>
        <v>4.9036622059977875</v>
      </c>
      <c r="CR33" s="9">
        <v>1</v>
      </c>
      <c r="CS33" s="9">
        <f t="shared" si="77"/>
        <v>514.88453162976771</v>
      </c>
      <c r="DP33" s="4">
        <f t="shared" si="78"/>
        <v>3</v>
      </c>
      <c r="DQ33" s="4">
        <f t="shared" si="79"/>
        <v>285.75</v>
      </c>
      <c r="DR33" s="4">
        <f t="shared" si="80"/>
        <v>1</v>
      </c>
      <c r="DT33" s="4">
        <f t="shared" si="81"/>
        <v>2.058127601073333E-5</v>
      </c>
      <c r="DU33" s="4">
        <f t="shared" si="82"/>
        <v>8.8720819696713296</v>
      </c>
      <c r="DW33" s="4">
        <f t="shared" si="83"/>
        <v>0</v>
      </c>
      <c r="DX33" s="4">
        <f t="shared" si="84"/>
        <v>6.3372014069080933</v>
      </c>
      <c r="DY33" s="4">
        <f t="shared" si="85"/>
        <v>8.446107161096263</v>
      </c>
      <c r="DZ33" s="38">
        <f t="shared" si="86"/>
        <v>517.5</v>
      </c>
      <c r="EA33" s="4">
        <f t="shared" si="87"/>
        <v>1</v>
      </c>
      <c r="EC33" s="4">
        <f t="shared" si="122"/>
        <v>393.95555790376096</v>
      </c>
      <c r="EG33" s="4">
        <f t="shared" si="88"/>
        <v>0.85</v>
      </c>
      <c r="EH33" s="4">
        <f t="shared" si="89"/>
        <v>0.7</v>
      </c>
      <c r="EI33" s="4">
        <f t="shared" si="90"/>
        <v>0.82320199640399283</v>
      </c>
      <c r="EJ33" s="4">
        <f t="shared" si="91"/>
        <v>0.7</v>
      </c>
      <c r="EL33" s="4">
        <f t="shared" si="92"/>
        <v>517.5</v>
      </c>
      <c r="EM33" s="25">
        <f t="shared" si="93"/>
        <v>399.47434702888194</v>
      </c>
      <c r="EP33" s="4">
        <f t="shared" si="94"/>
        <v>8.8720819696713296</v>
      </c>
      <c r="EQ33" s="4">
        <f t="shared" si="95"/>
        <v>8.4462220351271053</v>
      </c>
      <c r="ES33" s="4">
        <f t="shared" si="96"/>
        <v>77.858162529590359</v>
      </c>
      <c r="ET33" s="4">
        <f t="shared" si="97"/>
        <v>3.0652819893539514</v>
      </c>
      <c r="EU33" s="4">
        <f t="shared" si="98"/>
        <v>0.13441581076614395</v>
      </c>
      <c r="EX33" s="4">
        <f t="shared" si="99"/>
        <v>0.13441581076614395</v>
      </c>
      <c r="EY33" s="4">
        <f t="shared" si="100"/>
        <v>0.42438164726468319</v>
      </c>
      <c r="EZ33" s="4">
        <f t="shared" si="101"/>
        <v>6.2969201091294611</v>
      </c>
      <c r="FA33" s="4">
        <f t="shared" si="102"/>
        <v>7.6933224587384004</v>
      </c>
      <c r="FB33" s="4">
        <f t="shared" si="103"/>
        <v>136.45433747040965</v>
      </c>
      <c r="FC33" s="4">
        <f t="shared" si="104"/>
        <v>71.4375</v>
      </c>
      <c r="FD33" s="4">
        <f t="shared" si="105"/>
        <v>2.058127601073333E-5</v>
      </c>
      <c r="FE33" s="4">
        <f t="shared" si="106"/>
        <v>8.2026593344228811</v>
      </c>
      <c r="FF33" s="4">
        <f t="shared" si="107"/>
        <v>517.5</v>
      </c>
      <c r="FG33" s="4">
        <f t="shared" si="108"/>
        <v>136.45433747040965</v>
      </c>
      <c r="FH33" s="4">
        <f t="shared" si="109"/>
        <v>71.437499999999986</v>
      </c>
      <c r="FJ33" s="4">
        <f t="shared" si="110"/>
        <v>0</v>
      </c>
      <c r="FO33" s="23"/>
      <c r="FP33" s="23"/>
      <c r="FQ33" s="23"/>
      <c r="FR33" s="23"/>
      <c r="FS33" s="23"/>
      <c r="FT33" s="23"/>
      <c r="FU33" s="23"/>
      <c r="FV33" s="23"/>
      <c r="GF33" s="4">
        <f t="shared" si="111"/>
        <v>1</v>
      </c>
      <c r="GG33" s="4">
        <f t="shared" si="112"/>
        <v>0.68688155922038985</v>
      </c>
      <c r="GH33" s="4">
        <f t="shared" si="113"/>
        <v>0.3</v>
      </c>
      <c r="GI33" s="4">
        <f t="shared" si="114"/>
        <v>392.73534594062755</v>
      </c>
    </row>
    <row r="34" spans="1:192" ht="12" hidden="1" customHeight="1" x14ac:dyDescent="0.3">
      <c r="A34" s="25">
        <v>15</v>
      </c>
      <c r="B34" s="26" t="s">
        <v>81</v>
      </c>
      <c r="C34" s="26"/>
      <c r="D34" s="26" t="s">
        <v>82</v>
      </c>
      <c r="E34" s="26"/>
      <c r="F34" s="26"/>
      <c r="G34" s="26"/>
      <c r="H34" s="7" t="s">
        <v>93</v>
      </c>
      <c r="I34" s="7"/>
      <c r="J34" s="28">
        <f t="shared" si="115"/>
        <v>517.5</v>
      </c>
      <c r="K34" s="7">
        <f t="shared" si="126"/>
        <v>285.75</v>
      </c>
      <c r="L34" s="7">
        <f t="shared" si="123"/>
        <v>285.75</v>
      </c>
      <c r="M34" s="7">
        <v>33.44</v>
      </c>
      <c r="N34" s="7">
        <v>25.4</v>
      </c>
      <c r="O34" s="7">
        <f t="shared" si="116"/>
        <v>11.25</v>
      </c>
      <c r="P34" s="7">
        <f t="shared" si="117"/>
        <v>11.25</v>
      </c>
      <c r="Q34" s="7">
        <v>229</v>
      </c>
      <c r="R34" s="7"/>
      <c r="S34" s="7">
        <f t="shared" si="42"/>
        <v>101.8</v>
      </c>
      <c r="T34" s="7"/>
      <c r="U34" s="7">
        <v>305</v>
      </c>
      <c r="V34" s="7"/>
      <c r="W34" s="7">
        <v>0</v>
      </c>
      <c r="X34" s="7">
        <v>1</v>
      </c>
      <c r="Y34" s="7"/>
      <c r="Z34" s="7"/>
      <c r="AA34" s="7">
        <v>52.65</v>
      </c>
      <c r="AB34" s="7">
        <f t="shared" si="43"/>
        <v>2.5728346456692912</v>
      </c>
      <c r="AC34" s="28">
        <f t="shared" si="118"/>
        <v>2.5728346456692912</v>
      </c>
      <c r="AD34" s="28">
        <f t="shared" si="44"/>
        <v>8.3959536742577185</v>
      </c>
      <c r="AE34" s="7">
        <f t="shared" si="45"/>
        <v>8.3959536742577185</v>
      </c>
      <c r="AF34" s="7">
        <f t="shared" si="46"/>
        <v>9.3959536742577185</v>
      </c>
      <c r="AG34" s="7">
        <f t="shared" si="47"/>
        <v>77.858162529590359</v>
      </c>
      <c r="AH34" s="7"/>
      <c r="AI34" s="7"/>
      <c r="AJ34" s="7">
        <f>226.71/(PI()/4*N34^2)*1000</f>
        <v>447.41790747552358</v>
      </c>
      <c r="AK34" s="7"/>
      <c r="AL34" s="7"/>
      <c r="AM34" s="7">
        <v>9.5</v>
      </c>
      <c r="AN34" s="7">
        <v>3</v>
      </c>
      <c r="AO34" s="7">
        <v>76</v>
      </c>
      <c r="AP34" s="7">
        <v>3</v>
      </c>
      <c r="AQ34" s="7"/>
      <c r="AR34" s="7"/>
      <c r="AS34" s="4">
        <f t="shared" si="125"/>
        <v>285.75</v>
      </c>
      <c r="AT34" s="4">
        <f t="shared" si="48"/>
        <v>0.15393077809475234</v>
      </c>
      <c r="AU34" s="25">
        <f t="shared" si="49"/>
        <v>551.25834685648249</v>
      </c>
      <c r="AV34" s="4">
        <f t="shared" si="50"/>
        <v>0.74573928258967626</v>
      </c>
      <c r="AW34" s="4">
        <v>1.25</v>
      </c>
      <c r="AX34" s="25">
        <f t="shared" si="119"/>
        <v>5</v>
      </c>
      <c r="AY34" s="38">
        <f t="shared" si="120"/>
        <v>395.50108658094928</v>
      </c>
      <c r="AZ34" s="38">
        <f t="shared" si="121"/>
        <v>395.50108658094928</v>
      </c>
      <c r="BB34" s="38">
        <f t="shared" si="51"/>
        <v>395.50108658094916</v>
      </c>
      <c r="BC34" s="38">
        <f t="shared" si="52"/>
        <v>1.0000000000000002</v>
      </c>
      <c r="BF34" s="4">
        <f t="shared" si="53"/>
        <v>342.39865961370697</v>
      </c>
      <c r="BG34" s="4">
        <f t="shared" si="54"/>
        <v>1</v>
      </c>
      <c r="BH34" s="38">
        <f t="shared" si="55"/>
        <v>498.58953245457928</v>
      </c>
      <c r="BI34" s="4">
        <f t="shared" si="56"/>
        <v>0.3</v>
      </c>
      <c r="BJ34" s="4">
        <f t="shared" si="57"/>
        <v>53.67098989444856</v>
      </c>
      <c r="BK34" s="4">
        <f t="shared" si="58"/>
        <v>552.26052234902784</v>
      </c>
      <c r="BM34" s="36">
        <f t="shared" si="59"/>
        <v>2.2250000000000001</v>
      </c>
      <c r="BN34" s="36">
        <f t="shared" si="60"/>
        <v>514.66322969491421</v>
      </c>
      <c r="BS34" s="4">
        <f t="shared" si="61"/>
        <v>101.8</v>
      </c>
      <c r="BT34" s="4">
        <f t="shared" si="62"/>
        <v>52.65</v>
      </c>
      <c r="BU34" s="4">
        <f t="shared" si="63"/>
        <v>101.8</v>
      </c>
      <c r="BV34" s="4">
        <f t="shared" si="64"/>
        <v>65.349999999999994</v>
      </c>
      <c r="BW34" s="4">
        <f t="shared" si="65"/>
        <v>1.09335232668566</v>
      </c>
      <c r="BX34" s="25">
        <f t="shared" si="66"/>
        <v>4</v>
      </c>
      <c r="BZ34" s="4">
        <f t="shared" si="67"/>
        <v>101.8</v>
      </c>
      <c r="CD34" s="9"/>
      <c r="CF34" s="9"/>
      <c r="CG34" s="9"/>
      <c r="CH34" s="9">
        <f t="shared" si="68"/>
        <v>101.8</v>
      </c>
      <c r="CI34" s="9">
        <f t="shared" si="69"/>
        <v>101.8</v>
      </c>
      <c r="CJ34" s="9">
        <f t="shared" si="70"/>
        <v>2.001967536137395</v>
      </c>
      <c r="CK34" s="70">
        <v>20</v>
      </c>
      <c r="CL34" s="9">
        <f t="shared" si="71"/>
        <v>0.05</v>
      </c>
      <c r="CM34" s="9">
        <f t="shared" si="72"/>
        <v>0.8</v>
      </c>
      <c r="CN34" s="9">
        <f t="shared" si="73"/>
        <v>0.99524931562137331</v>
      </c>
      <c r="CO34" s="9">
        <f t="shared" si="74"/>
        <v>0.97375</v>
      </c>
      <c r="CP34" s="9">
        <f t="shared" si="75"/>
        <v>1.961464882399115</v>
      </c>
      <c r="CQ34" s="9">
        <f t="shared" si="76"/>
        <v>4.9036622059977875</v>
      </c>
      <c r="CR34" s="9">
        <v>1</v>
      </c>
      <c r="CS34" s="9">
        <f t="shared" si="77"/>
        <v>514.88453162976771</v>
      </c>
      <c r="DP34" s="4">
        <f t="shared" si="78"/>
        <v>3</v>
      </c>
      <c r="DQ34" s="4">
        <f t="shared" si="79"/>
        <v>285.75</v>
      </c>
      <c r="DR34" s="4">
        <f t="shared" si="80"/>
        <v>1</v>
      </c>
      <c r="DT34" s="4">
        <f t="shared" si="81"/>
        <v>2.058127601073333E-5</v>
      </c>
      <c r="DU34" s="4">
        <f t="shared" si="82"/>
        <v>8.8720819696713296</v>
      </c>
      <c r="DW34" s="4">
        <f t="shared" si="83"/>
        <v>0</v>
      </c>
      <c r="DX34" s="4">
        <f t="shared" si="84"/>
        <v>6.3372014069080933</v>
      </c>
      <c r="DY34" s="4">
        <f t="shared" si="85"/>
        <v>8.446107161096263</v>
      </c>
      <c r="DZ34" s="38">
        <f t="shared" si="86"/>
        <v>517.5</v>
      </c>
      <c r="EA34" s="4">
        <f t="shared" si="87"/>
        <v>1</v>
      </c>
      <c r="EC34" s="4">
        <f t="shared" si="122"/>
        <v>395.50108658094916</v>
      </c>
      <c r="EG34" s="4">
        <f t="shared" si="88"/>
        <v>0.85</v>
      </c>
      <c r="EH34" s="4">
        <f t="shared" si="89"/>
        <v>0.7</v>
      </c>
      <c r="EI34" s="4">
        <f t="shared" si="90"/>
        <v>0.82320199640399283</v>
      </c>
      <c r="EJ34" s="4">
        <f t="shared" si="91"/>
        <v>0.7</v>
      </c>
      <c r="EL34" s="4">
        <f t="shared" si="92"/>
        <v>517.5</v>
      </c>
      <c r="EM34" s="25">
        <f t="shared" si="93"/>
        <v>399.9758484132285</v>
      </c>
      <c r="EP34" s="4">
        <f t="shared" si="94"/>
        <v>8.8720819696713296</v>
      </c>
      <c r="EQ34" s="4">
        <f t="shared" si="95"/>
        <v>8.4462220351271053</v>
      </c>
      <c r="ES34" s="4">
        <f t="shared" si="96"/>
        <v>77.858162529590359</v>
      </c>
      <c r="ET34" s="4">
        <f t="shared" si="97"/>
        <v>3.0652819893539514</v>
      </c>
      <c r="EU34" s="4">
        <f t="shared" si="98"/>
        <v>0.13494313798881846</v>
      </c>
      <c r="EX34" s="4">
        <f t="shared" si="99"/>
        <v>0.13494313798881846</v>
      </c>
      <c r="EY34" s="4">
        <f t="shared" si="100"/>
        <v>0.42604654065877551</v>
      </c>
      <c r="EZ34" s="4">
        <f t="shared" si="101"/>
        <v>6.3067898930054849</v>
      </c>
      <c r="FA34" s="4">
        <f t="shared" si="102"/>
        <v>7.6973587472627116</v>
      </c>
      <c r="FB34" s="4">
        <f t="shared" si="103"/>
        <v>136.45433747040965</v>
      </c>
      <c r="FC34" s="4">
        <f t="shared" si="104"/>
        <v>71.4375</v>
      </c>
      <c r="FD34" s="4">
        <f t="shared" si="105"/>
        <v>2.058127601073333E-5</v>
      </c>
      <c r="FE34" s="4">
        <f t="shared" si="106"/>
        <v>8.2021837648564127</v>
      </c>
      <c r="FF34" s="4">
        <f t="shared" si="107"/>
        <v>517.5</v>
      </c>
      <c r="FG34" s="4">
        <f t="shared" si="108"/>
        <v>136.45433747040965</v>
      </c>
      <c r="FH34" s="4">
        <f t="shared" si="109"/>
        <v>71.437499999999986</v>
      </c>
      <c r="FJ34" s="4">
        <f t="shared" si="110"/>
        <v>0</v>
      </c>
      <c r="FO34" s="23"/>
      <c r="FP34" s="23"/>
      <c r="FQ34" s="23"/>
      <c r="FR34" s="23"/>
      <c r="FS34" s="23"/>
      <c r="FT34" s="23"/>
      <c r="FU34" s="23"/>
      <c r="FV34" s="23"/>
      <c r="GF34" s="4">
        <f t="shared" si="111"/>
        <v>1</v>
      </c>
      <c r="GG34" s="4">
        <f t="shared" si="112"/>
        <v>0.68688155922038985</v>
      </c>
      <c r="GH34" s="4">
        <f t="shared" si="113"/>
        <v>0.3</v>
      </c>
      <c r="GI34" s="4">
        <f t="shared" si="114"/>
        <v>392.73534594062755</v>
      </c>
    </row>
    <row r="35" spans="1:192" s="25" customFormat="1" ht="12" hidden="1" customHeight="1" x14ac:dyDescent="0.3">
      <c r="A35" s="25">
        <v>16</v>
      </c>
      <c r="B35" s="26" t="s">
        <v>81</v>
      </c>
      <c r="C35" s="26"/>
      <c r="D35" s="26" t="s">
        <v>82</v>
      </c>
      <c r="E35" s="26"/>
      <c r="F35" s="26"/>
      <c r="G35" s="26"/>
      <c r="H35" s="28" t="s">
        <v>94</v>
      </c>
      <c r="I35" s="28"/>
      <c r="J35" s="28">
        <f t="shared" si="115"/>
        <v>517.5</v>
      </c>
      <c r="K35" s="28">
        <f t="shared" ref="K35:K37" si="127">0.5*25.4</f>
        <v>12.7</v>
      </c>
      <c r="L35" s="28">
        <f t="shared" si="123"/>
        <v>12.7</v>
      </c>
      <c r="M35" s="28">
        <v>34.659999999999997</v>
      </c>
      <c r="N35" s="28">
        <v>25.4</v>
      </c>
      <c r="O35" s="28">
        <f t="shared" si="116"/>
        <v>0.5</v>
      </c>
      <c r="P35" s="28">
        <f t="shared" si="117"/>
        <v>0.5</v>
      </c>
      <c r="Q35" s="28">
        <v>229</v>
      </c>
      <c r="R35" s="28"/>
      <c r="S35" s="28">
        <f t="shared" si="42"/>
        <v>101.8</v>
      </c>
      <c r="T35" s="28"/>
      <c r="U35" s="28">
        <v>305</v>
      </c>
      <c r="V35" s="28"/>
      <c r="W35" s="28">
        <v>0</v>
      </c>
      <c r="X35" s="28">
        <v>1</v>
      </c>
      <c r="Y35" s="28"/>
      <c r="Z35" s="28"/>
      <c r="AA35" s="28">
        <v>73.459999999999994</v>
      </c>
      <c r="AB35" s="7">
        <f t="shared" si="43"/>
        <v>3.3921259842519684</v>
      </c>
      <c r="AC35" s="28">
        <f t="shared" si="118"/>
        <v>3.3921259842519684</v>
      </c>
      <c r="AD35" s="28">
        <f t="shared" si="44"/>
        <v>8.3959536742577185</v>
      </c>
      <c r="AE35" s="7">
        <f t="shared" si="45"/>
        <v>8.3959536742577185</v>
      </c>
      <c r="AF35" s="28">
        <f t="shared" si="46"/>
        <v>9.3959536742577185</v>
      </c>
      <c r="AG35" s="28">
        <f t="shared" si="47"/>
        <v>77.858162529590359</v>
      </c>
      <c r="AH35" s="28"/>
      <c r="AI35" s="28"/>
      <c r="AJ35" s="28">
        <f>270.13/(PI()/4*N35^2)*1000</f>
        <v>533.10837345667676</v>
      </c>
      <c r="AK35" s="28"/>
      <c r="AL35" s="28"/>
      <c r="AM35" s="28">
        <v>0</v>
      </c>
      <c r="AN35" s="28">
        <v>0</v>
      </c>
      <c r="AO35" s="28">
        <f>L35</f>
        <v>12.7</v>
      </c>
      <c r="AP35" s="28"/>
      <c r="AQ35" s="28"/>
      <c r="AR35" s="28"/>
      <c r="AS35" s="4">
        <f t="shared" si="125"/>
        <v>12.7</v>
      </c>
      <c r="AT35" s="25">
        <f t="shared" si="48"/>
        <v>1</v>
      </c>
      <c r="AU35" s="25">
        <f t="shared" si="49"/>
        <v>5.2585080853609538</v>
      </c>
      <c r="AV35" s="4">
        <f t="shared" si="50"/>
        <v>1</v>
      </c>
      <c r="AW35" s="25">
        <v>1.25</v>
      </c>
      <c r="AX35" s="25">
        <f t="shared" si="119"/>
        <v>5</v>
      </c>
      <c r="AY35" s="38">
        <f t="shared" si="120"/>
        <v>32.865675533505964</v>
      </c>
      <c r="AZ35" s="38">
        <f t="shared" si="121"/>
        <v>32.865675533505964</v>
      </c>
      <c r="BA35" s="38"/>
      <c r="BB35" s="38">
        <f t="shared" si="51"/>
        <v>1121.9869848998135</v>
      </c>
      <c r="BC35" s="38">
        <f t="shared" si="52"/>
        <v>2.929238571910945E-2</v>
      </c>
      <c r="BD35" s="38"/>
      <c r="BF35" s="25">
        <f t="shared" si="53"/>
        <v>15.492827399510553</v>
      </c>
      <c r="BG35" s="25">
        <f t="shared" si="54"/>
        <v>1</v>
      </c>
      <c r="BH35" s="38">
        <f t="shared" si="55"/>
        <v>681.34260170232233</v>
      </c>
      <c r="BI35" s="25">
        <f t="shared" si="56"/>
        <v>0.3</v>
      </c>
      <c r="BJ35" s="25">
        <f t="shared" si="57"/>
        <v>2.428500694873279</v>
      </c>
      <c r="BK35" s="25">
        <f t="shared" si="58"/>
        <v>683.77110239719559</v>
      </c>
      <c r="BM35" s="36">
        <f t="shared" si="59"/>
        <v>1.1000000000000001</v>
      </c>
      <c r="BN35" s="36">
        <f t="shared" si="60"/>
        <v>147.65284224829537</v>
      </c>
      <c r="BS35" s="25">
        <f t="shared" si="61"/>
        <v>101.8</v>
      </c>
      <c r="BT35" s="25">
        <f t="shared" si="62"/>
        <v>73.459999999999994</v>
      </c>
      <c r="BU35" s="25">
        <f t="shared" si="63"/>
        <v>101.8</v>
      </c>
      <c r="BV35" s="25">
        <f t="shared" si="64"/>
        <v>86.16</v>
      </c>
      <c r="BW35" s="25">
        <f t="shared" si="65"/>
        <v>1.0385788184045739</v>
      </c>
      <c r="BX35" s="25">
        <f t="shared" si="66"/>
        <v>3.5229901966038617</v>
      </c>
      <c r="BZ35" s="25">
        <f t="shared" si="67"/>
        <v>101.8</v>
      </c>
      <c r="CD35" s="29"/>
      <c r="CF35" s="29"/>
      <c r="CG35" s="29"/>
      <c r="CH35" s="29">
        <f t="shared" si="68"/>
        <v>101.8</v>
      </c>
      <c r="CI35" s="29">
        <f t="shared" si="69"/>
        <v>101.8</v>
      </c>
      <c r="CJ35" s="29">
        <f t="shared" si="70"/>
        <v>2.001967536137395</v>
      </c>
      <c r="CK35" s="70">
        <v>0</v>
      </c>
      <c r="CL35" s="29">
        <f t="shared" si="71"/>
        <v>0</v>
      </c>
      <c r="CM35" s="29">
        <f t="shared" si="72"/>
        <v>0</v>
      </c>
      <c r="CN35" s="29">
        <f t="shared" si="73"/>
        <v>0.99524931562137331</v>
      </c>
      <c r="CO35" s="29">
        <f t="shared" si="74"/>
        <v>0.97375</v>
      </c>
      <c r="CP35" s="29">
        <f t="shared" si="75"/>
        <v>1.9969246679255115</v>
      </c>
      <c r="CQ35" s="29">
        <f t="shared" si="76"/>
        <v>3.9977783572988219</v>
      </c>
      <c r="CR35" s="29">
        <v>1</v>
      </c>
      <c r="CS35" s="29">
        <f t="shared" si="77"/>
        <v>247.86225815252698</v>
      </c>
      <c r="CU35" s="4"/>
      <c r="CV35" s="4"/>
      <c r="CW35" s="4"/>
      <c r="CX35" s="4"/>
      <c r="CY35" s="4"/>
      <c r="CZ35" s="4"/>
      <c r="DA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P35" s="4">
        <f t="shared" si="78"/>
        <v>0</v>
      </c>
      <c r="DQ35" s="25">
        <f t="shared" si="79"/>
        <v>12.7</v>
      </c>
      <c r="DR35" s="25">
        <f t="shared" si="80"/>
        <v>1</v>
      </c>
      <c r="DT35" s="4">
        <f t="shared" si="81"/>
        <v>9.2245380945552914E-7</v>
      </c>
      <c r="DU35" s="4">
        <f t="shared" si="82"/>
        <v>9.0324733825588019</v>
      </c>
      <c r="DV35" s="4"/>
      <c r="DW35" s="4">
        <f t="shared" si="83"/>
        <v>0</v>
      </c>
      <c r="DX35" s="4">
        <f t="shared" si="84"/>
        <v>6.4517667018277161</v>
      </c>
      <c r="DY35" s="4">
        <f t="shared" si="85"/>
        <v>9.0395809336509103</v>
      </c>
      <c r="DZ35" s="38">
        <f t="shared" si="86"/>
        <v>533.10837345667676</v>
      </c>
      <c r="EA35" s="4">
        <f t="shared" si="87"/>
        <v>1</v>
      </c>
      <c r="EB35" s="4"/>
      <c r="EC35" s="4">
        <f t="shared" si="122"/>
        <v>1121.9869848998135</v>
      </c>
      <c r="EG35" s="25">
        <f t="shared" si="88"/>
        <v>0.85</v>
      </c>
      <c r="EH35" s="25">
        <f t="shared" si="89"/>
        <v>0.7</v>
      </c>
      <c r="EI35" s="25">
        <f t="shared" si="90"/>
        <v>1</v>
      </c>
      <c r="EJ35" s="25">
        <f t="shared" si="91"/>
        <v>0.7</v>
      </c>
      <c r="EL35" s="4">
        <f t="shared" si="92"/>
        <v>533.10837345667676</v>
      </c>
      <c r="EM35" s="25">
        <f t="shared" si="93"/>
        <v>4867.4754115107617</v>
      </c>
      <c r="EP35" s="4">
        <f t="shared" si="94"/>
        <v>9.0324733825588019</v>
      </c>
      <c r="EQ35" s="25">
        <f t="shared" si="95"/>
        <v>7.5734730123259153</v>
      </c>
      <c r="ES35" s="4">
        <f t="shared" si="96"/>
        <v>77.858162529590359</v>
      </c>
      <c r="ET35" s="4">
        <f t="shared" si="97"/>
        <v>3.0652819893539514</v>
      </c>
      <c r="EU35" s="4">
        <f t="shared" si="98"/>
        <v>0.37601900718293008</v>
      </c>
      <c r="EX35" s="25">
        <f t="shared" si="99"/>
        <v>0.37601900718293008</v>
      </c>
      <c r="EY35" s="25">
        <f t="shared" si="100"/>
        <v>0.999</v>
      </c>
      <c r="EZ35" s="4">
        <f t="shared" si="101"/>
        <v>9.0288593087305173</v>
      </c>
      <c r="FA35" s="25">
        <f t="shared" si="102"/>
        <v>9.0306665264387256</v>
      </c>
      <c r="FB35" s="4">
        <f t="shared" si="103"/>
        <v>0</v>
      </c>
      <c r="FC35" s="4">
        <f t="shared" si="104"/>
        <v>0</v>
      </c>
      <c r="FD35" s="25">
        <f t="shared" si="105"/>
        <v>0</v>
      </c>
      <c r="FE35" s="25">
        <f t="shared" si="106"/>
        <v>9.0324733825588019</v>
      </c>
      <c r="FF35" s="4">
        <f t="shared" si="107"/>
        <v>533.10837345667676</v>
      </c>
      <c r="FG35" s="4">
        <f t="shared" si="108"/>
        <v>0</v>
      </c>
      <c r="FH35" s="4">
        <f t="shared" si="109"/>
        <v>0</v>
      </c>
      <c r="FJ35" s="4">
        <f t="shared" si="110"/>
        <v>0</v>
      </c>
      <c r="FO35" s="23"/>
      <c r="FP35" s="23"/>
      <c r="FQ35" s="23"/>
      <c r="FR35" s="23"/>
      <c r="FS35" s="23"/>
      <c r="FT35" s="23"/>
      <c r="FU35" s="30"/>
      <c r="FV35" s="30"/>
      <c r="GF35" s="4">
        <f t="shared" si="111"/>
        <v>1</v>
      </c>
      <c r="GG35" s="4">
        <f t="shared" si="112"/>
        <v>0.85000000000000009</v>
      </c>
      <c r="GH35" s="4">
        <f t="shared" si="113"/>
        <v>0</v>
      </c>
      <c r="GI35" s="4">
        <f t="shared" si="114"/>
        <v>14.232165155618285</v>
      </c>
      <c r="GJ35" s="4"/>
    </row>
    <row r="36" spans="1:192" s="25" customFormat="1" ht="12" hidden="1" customHeight="1" x14ac:dyDescent="0.3">
      <c r="A36" s="25">
        <v>17</v>
      </c>
      <c r="B36" s="26" t="s">
        <v>81</v>
      </c>
      <c r="C36" s="26"/>
      <c r="D36" s="26" t="s">
        <v>82</v>
      </c>
      <c r="E36" s="26"/>
      <c r="F36" s="26"/>
      <c r="G36" s="26"/>
      <c r="H36" s="28" t="s">
        <v>95</v>
      </c>
      <c r="I36" s="28"/>
      <c r="J36" s="28">
        <f t="shared" si="115"/>
        <v>517.5</v>
      </c>
      <c r="K36" s="28">
        <f t="shared" si="127"/>
        <v>12.7</v>
      </c>
      <c r="L36" s="28">
        <f t="shared" si="123"/>
        <v>12.7</v>
      </c>
      <c r="M36" s="28">
        <v>34.659999999999997</v>
      </c>
      <c r="N36" s="28">
        <v>25.4</v>
      </c>
      <c r="O36" s="28">
        <f t="shared" si="116"/>
        <v>0.5</v>
      </c>
      <c r="P36" s="28">
        <f t="shared" si="117"/>
        <v>0.5</v>
      </c>
      <c r="Q36" s="28">
        <v>229</v>
      </c>
      <c r="R36" s="28"/>
      <c r="S36" s="28">
        <f t="shared" si="42"/>
        <v>101.8</v>
      </c>
      <c r="T36" s="28"/>
      <c r="U36" s="28">
        <v>305</v>
      </c>
      <c r="V36" s="28"/>
      <c r="W36" s="28">
        <v>0</v>
      </c>
      <c r="X36" s="28">
        <v>1</v>
      </c>
      <c r="Y36" s="28"/>
      <c r="Z36" s="28"/>
      <c r="AA36" s="28">
        <v>68.86</v>
      </c>
      <c r="AB36" s="7">
        <f t="shared" si="43"/>
        <v>3.2110236220472443</v>
      </c>
      <c r="AC36" s="28">
        <f t="shared" si="118"/>
        <v>3.2110236220472443</v>
      </c>
      <c r="AD36" s="28">
        <f t="shared" si="44"/>
        <v>8.3959536742577185</v>
      </c>
      <c r="AE36" s="7">
        <f t="shared" si="45"/>
        <v>8.3959536742577185</v>
      </c>
      <c r="AF36" s="28">
        <f t="shared" si="46"/>
        <v>9.3959536742577185</v>
      </c>
      <c r="AG36" s="28">
        <f t="shared" si="47"/>
        <v>77.858162529590359</v>
      </c>
      <c r="AH36" s="28"/>
      <c r="AI36" s="28"/>
      <c r="AJ36" s="28">
        <f>262.79/(PI()/4*N36^2)*1000</f>
        <v>518.62269818487425</v>
      </c>
      <c r="AK36" s="28"/>
      <c r="AL36" s="28"/>
      <c r="AM36" s="28">
        <v>0</v>
      </c>
      <c r="AN36" s="28">
        <v>0</v>
      </c>
      <c r="AO36" s="28">
        <f>L36</f>
        <v>12.7</v>
      </c>
      <c r="AP36" s="28"/>
      <c r="AQ36" s="28"/>
      <c r="AR36" s="28"/>
      <c r="AS36" s="4">
        <f t="shared" si="125"/>
        <v>12.7</v>
      </c>
      <c r="AT36" s="25">
        <f t="shared" si="48"/>
        <v>1</v>
      </c>
      <c r="AU36" s="25">
        <f t="shared" si="49"/>
        <v>5.2585080853609538</v>
      </c>
      <c r="AV36" s="4">
        <f t="shared" si="50"/>
        <v>1</v>
      </c>
      <c r="AW36" s="25">
        <v>1.25</v>
      </c>
      <c r="AX36" s="25">
        <f t="shared" si="119"/>
        <v>5</v>
      </c>
      <c r="AY36" s="38">
        <f t="shared" si="120"/>
        <v>32.865675533505964</v>
      </c>
      <c r="AZ36" s="38">
        <f t="shared" si="121"/>
        <v>32.865675533505964</v>
      </c>
      <c r="BA36" s="38"/>
      <c r="BB36" s="38">
        <f t="shared" si="51"/>
        <v>1035.1434290393081</v>
      </c>
      <c r="BC36" s="38">
        <f t="shared" si="52"/>
        <v>3.1749876018638122E-2</v>
      </c>
      <c r="BD36" s="38"/>
      <c r="BF36" s="25">
        <f t="shared" si="53"/>
        <v>15.492827399510553</v>
      </c>
      <c r="BG36" s="25">
        <f t="shared" si="54"/>
        <v>1</v>
      </c>
      <c r="BH36" s="38">
        <f t="shared" si="55"/>
        <v>644.96637180642313</v>
      </c>
      <c r="BI36" s="25">
        <f t="shared" si="56"/>
        <v>0.3</v>
      </c>
      <c r="BJ36" s="25">
        <f t="shared" si="57"/>
        <v>2.428500694873279</v>
      </c>
      <c r="BK36" s="25">
        <f t="shared" si="58"/>
        <v>647.39487250129639</v>
      </c>
      <c r="BM36" s="36">
        <f t="shared" si="59"/>
        <v>1.1000000000000001</v>
      </c>
      <c r="BN36" s="36">
        <f t="shared" si="60"/>
        <v>147.65284224829537</v>
      </c>
      <c r="BS36" s="25">
        <f t="shared" si="61"/>
        <v>101.8</v>
      </c>
      <c r="BT36" s="25">
        <f t="shared" si="62"/>
        <v>68.86</v>
      </c>
      <c r="BU36" s="25">
        <f t="shared" si="63"/>
        <v>101.8</v>
      </c>
      <c r="BV36" s="25">
        <f t="shared" si="64"/>
        <v>81.56</v>
      </c>
      <c r="BW36" s="25">
        <f t="shared" si="65"/>
        <v>1.0478361893697357</v>
      </c>
      <c r="BX36" s="25">
        <f t="shared" si="66"/>
        <v>3.364626756102191</v>
      </c>
      <c r="BZ36" s="25">
        <f t="shared" si="67"/>
        <v>101.8</v>
      </c>
      <c r="CD36" s="29"/>
      <c r="CF36" s="29"/>
      <c r="CG36" s="29"/>
      <c r="CH36" s="29">
        <f t="shared" si="68"/>
        <v>101.8</v>
      </c>
      <c r="CI36" s="29">
        <f t="shared" si="69"/>
        <v>101.8</v>
      </c>
      <c r="CJ36" s="29">
        <f t="shared" si="70"/>
        <v>2.001967536137395</v>
      </c>
      <c r="CK36" s="70">
        <v>0</v>
      </c>
      <c r="CL36" s="29">
        <f t="shared" si="71"/>
        <v>0</v>
      </c>
      <c r="CM36" s="29">
        <f t="shared" si="72"/>
        <v>0</v>
      </c>
      <c r="CN36" s="29">
        <f t="shared" si="73"/>
        <v>0.99524931562137331</v>
      </c>
      <c r="CO36" s="29">
        <f t="shared" si="74"/>
        <v>0.97375</v>
      </c>
      <c r="CP36" s="29">
        <f t="shared" si="75"/>
        <v>1.9969246679255115</v>
      </c>
      <c r="CQ36" s="29">
        <f t="shared" si="76"/>
        <v>3.9977783572988219</v>
      </c>
      <c r="CR36" s="29">
        <v>1</v>
      </c>
      <c r="CS36" s="29">
        <f t="shared" si="77"/>
        <v>247.86225815252698</v>
      </c>
      <c r="CU36" s="4"/>
      <c r="CV36" s="4"/>
      <c r="CW36" s="4"/>
      <c r="CX36" s="4"/>
      <c r="CY36" s="4"/>
      <c r="CZ36" s="4"/>
      <c r="DA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P36" s="4">
        <f t="shared" si="78"/>
        <v>0</v>
      </c>
      <c r="DQ36" s="25">
        <f t="shared" si="79"/>
        <v>12.7</v>
      </c>
      <c r="DR36" s="25">
        <f t="shared" si="80"/>
        <v>1</v>
      </c>
      <c r="DT36" s="4">
        <f t="shared" si="81"/>
        <v>9.2245380945552914E-7</v>
      </c>
      <c r="DU36" s="4">
        <f t="shared" si="82"/>
        <v>9.0324733825588019</v>
      </c>
      <c r="DV36" s="4"/>
      <c r="DW36" s="4">
        <f t="shared" si="83"/>
        <v>0</v>
      </c>
      <c r="DX36" s="4">
        <f t="shared" si="84"/>
        <v>6.4517667018277161</v>
      </c>
      <c r="DY36" s="4">
        <f t="shared" si="85"/>
        <v>9.0395809336509103</v>
      </c>
      <c r="DZ36" s="38">
        <f t="shared" si="86"/>
        <v>518.62269818487425</v>
      </c>
      <c r="EA36" s="4">
        <f t="shared" si="87"/>
        <v>1</v>
      </c>
      <c r="EB36" s="4"/>
      <c r="EC36" s="4">
        <f t="shared" si="122"/>
        <v>1035.1434290393081</v>
      </c>
      <c r="EG36" s="25">
        <f t="shared" si="88"/>
        <v>0.85</v>
      </c>
      <c r="EH36" s="25">
        <f t="shared" si="89"/>
        <v>0.7</v>
      </c>
      <c r="EI36" s="25">
        <f t="shared" si="90"/>
        <v>1</v>
      </c>
      <c r="EJ36" s="25">
        <f t="shared" si="91"/>
        <v>0.7</v>
      </c>
      <c r="EL36" s="4">
        <f t="shared" si="92"/>
        <v>518.62269818487425</v>
      </c>
      <c r="EM36" s="25">
        <f t="shared" si="93"/>
        <v>4677.5815357330548</v>
      </c>
      <c r="EP36" s="4">
        <f t="shared" si="94"/>
        <v>9.0324733825588019</v>
      </c>
      <c r="EQ36" s="25">
        <f t="shared" si="95"/>
        <v>7.2330345847836925</v>
      </c>
      <c r="ES36" s="4">
        <f t="shared" si="96"/>
        <v>77.858162529590359</v>
      </c>
      <c r="ET36" s="4">
        <f t="shared" si="97"/>
        <v>3.0652819893539514</v>
      </c>
      <c r="EU36" s="4">
        <f t="shared" si="98"/>
        <v>0.34691454510414893</v>
      </c>
      <c r="EX36" s="25">
        <f t="shared" si="99"/>
        <v>0.34691454510414893</v>
      </c>
      <c r="EY36" s="25">
        <f t="shared" si="100"/>
        <v>0.999</v>
      </c>
      <c r="EZ36" s="4">
        <f t="shared" si="101"/>
        <v>9.0288593087305173</v>
      </c>
      <c r="FA36" s="25">
        <f t="shared" si="102"/>
        <v>9.0306665264387256</v>
      </c>
      <c r="FB36" s="4">
        <f t="shared" si="103"/>
        <v>0</v>
      </c>
      <c r="FC36" s="4">
        <f t="shared" si="104"/>
        <v>0</v>
      </c>
      <c r="FD36" s="25">
        <f t="shared" si="105"/>
        <v>0</v>
      </c>
      <c r="FE36" s="25">
        <f t="shared" si="106"/>
        <v>9.0324733825588019</v>
      </c>
      <c r="FF36" s="4">
        <f t="shared" si="107"/>
        <v>518.62269818487425</v>
      </c>
      <c r="FG36" s="4">
        <f t="shared" si="108"/>
        <v>0</v>
      </c>
      <c r="FH36" s="4">
        <f t="shared" si="109"/>
        <v>0</v>
      </c>
      <c r="FJ36" s="4">
        <f t="shared" si="110"/>
        <v>0</v>
      </c>
      <c r="FO36" s="23"/>
      <c r="FP36" s="23"/>
      <c r="FQ36" s="23"/>
      <c r="FR36" s="23"/>
      <c r="FS36" s="23"/>
      <c r="FT36" s="23"/>
      <c r="FU36" s="30"/>
      <c r="FV36" s="30"/>
      <c r="GF36" s="4">
        <f t="shared" si="111"/>
        <v>1</v>
      </c>
      <c r="GG36" s="4">
        <f t="shared" si="112"/>
        <v>0.85000000000000009</v>
      </c>
      <c r="GH36" s="4">
        <f t="shared" si="113"/>
        <v>0</v>
      </c>
      <c r="GI36" s="4">
        <f t="shared" si="114"/>
        <v>14.232165155618285</v>
      </c>
      <c r="GJ36" s="4"/>
    </row>
    <row r="37" spans="1:192" s="25" customFormat="1" ht="12" hidden="1" customHeight="1" x14ac:dyDescent="0.3">
      <c r="A37" s="25">
        <v>18</v>
      </c>
      <c r="B37" s="26" t="s">
        <v>81</v>
      </c>
      <c r="C37" s="26"/>
      <c r="D37" s="26" t="s">
        <v>82</v>
      </c>
      <c r="E37" s="26"/>
      <c r="F37" s="26"/>
      <c r="G37" s="26"/>
      <c r="H37" s="27" t="s">
        <v>96</v>
      </c>
      <c r="I37" s="27"/>
      <c r="J37" s="28">
        <f t="shared" si="115"/>
        <v>517.5</v>
      </c>
      <c r="K37" s="28">
        <f t="shared" si="127"/>
        <v>12.7</v>
      </c>
      <c r="L37" s="28">
        <f t="shared" si="123"/>
        <v>12.7</v>
      </c>
      <c r="M37" s="28">
        <v>34.659999999999997</v>
      </c>
      <c r="N37" s="28">
        <v>25.4</v>
      </c>
      <c r="O37" s="28">
        <f t="shared" si="116"/>
        <v>0.5</v>
      </c>
      <c r="P37" s="28">
        <f t="shared" si="117"/>
        <v>0.5</v>
      </c>
      <c r="Q37" s="28">
        <v>229</v>
      </c>
      <c r="R37" s="28"/>
      <c r="S37" s="28">
        <f t="shared" si="42"/>
        <v>101.8</v>
      </c>
      <c r="T37" s="28"/>
      <c r="U37" s="28">
        <v>305</v>
      </c>
      <c r="V37" s="28"/>
      <c r="W37" s="28">
        <v>0</v>
      </c>
      <c r="X37" s="28">
        <v>1</v>
      </c>
      <c r="Y37" s="28"/>
      <c r="Z37" s="28"/>
      <c r="AA37" s="28">
        <v>69.16</v>
      </c>
      <c r="AB37" s="7">
        <f t="shared" si="43"/>
        <v>3.2228346456692916</v>
      </c>
      <c r="AC37" s="28">
        <f t="shared" si="118"/>
        <v>3.2228346456692916</v>
      </c>
      <c r="AD37" s="28">
        <f t="shared" si="44"/>
        <v>8.3959536742577185</v>
      </c>
      <c r="AE37" s="7">
        <f t="shared" si="45"/>
        <v>8.3959536742577185</v>
      </c>
      <c r="AF37" s="28">
        <f t="shared" si="46"/>
        <v>9.3959536742577185</v>
      </c>
      <c r="AG37" s="28">
        <f t="shared" si="47"/>
        <v>77.858162529590359</v>
      </c>
      <c r="AH37" s="28"/>
      <c r="AI37" s="28"/>
      <c r="AJ37" s="28">
        <f>262.08/(PI()/4*N37^2)*1000</f>
        <v>517.22149526348721</v>
      </c>
      <c r="AK37" s="28"/>
      <c r="AL37" s="28"/>
      <c r="AM37" s="28">
        <v>0</v>
      </c>
      <c r="AN37" s="28">
        <v>0</v>
      </c>
      <c r="AO37" s="28">
        <f>L37</f>
        <v>12.7</v>
      </c>
      <c r="AP37" s="28"/>
      <c r="AQ37" s="28"/>
      <c r="AR37" s="28"/>
      <c r="AS37" s="4">
        <f t="shared" si="125"/>
        <v>12.7</v>
      </c>
      <c r="AT37" s="25">
        <f t="shared" si="48"/>
        <v>1</v>
      </c>
      <c r="AU37" s="25">
        <f t="shared" si="49"/>
        <v>5.2585080853609538</v>
      </c>
      <c r="AV37" s="4">
        <f t="shared" si="50"/>
        <v>1</v>
      </c>
      <c r="AW37" s="25">
        <v>1.25</v>
      </c>
      <c r="AX37" s="25">
        <f t="shared" si="119"/>
        <v>5</v>
      </c>
      <c r="AY37" s="38">
        <f t="shared" si="120"/>
        <v>32.865675533505964</v>
      </c>
      <c r="AZ37" s="38">
        <f t="shared" si="121"/>
        <v>32.865675533505964</v>
      </c>
      <c r="BA37" s="38"/>
      <c r="BB37" s="38">
        <f t="shared" si="51"/>
        <v>1040.7018111455272</v>
      </c>
      <c r="BC37" s="38">
        <f t="shared" si="52"/>
        <v>3.158030012202042E-2</v>
      </c>
      <c r="BD37" s="38"/>
      <c r="BF37" s="25">
        <f t="shared" si="53"/>
        <v>15.492827399510553</v>
      </c>
      <c r="BG37" s="25">
        <f t="shared" si="54"/>
        <v>1</v>
      </c>
      <c r="BH37" s="38">
        <f t="shared" si="55"/>
        <v>647.33873462572092</v>
      </c>
      <c r="BI37" s="25">
        <f t="shared" si="56"/>
        <v>0.3</v>
      </c>
      <c r="BJ37" s="25">
        <f t="shared" si="57"/>
        <v>2.428500694873279</v>
      </c>
      <c r="BK37" s="25">
        <f t="shared" si="58"/>
        <v>649.76723532059418</v>
      </c>
      <c r="BM37" s="36">
        <f t="shared" si="59"/>
        <v>1.1000000000000001</v>
      </c>
      <c r="BN37" s="36">
        <f t="shared" si="60"/>
        <v>147.65284224829537</v>
      </c>
      <c r="BS37" s="25">
        <f t="shared" si="61"/>
        <v>101.8</v>
      </c>
      <c r="BT37" s="25">
        <f t="shared" si="62"/>
        <v>69.16</v>
      </c>
      <c r="BU37" s="25">
        <f t="shared" si="63"/>
        <v>101.8</v>
      </c>
      <c r="BV37" s="25">
        <f t="shared" si="64"/>
        <v>81.86</v>
      </c>
      <c r="BW37" s="25">
        <f t="shared" si="65"/>
        <v>1.0471949103528051</v>
      </c>
      <c r="BX37" s="25">
        <f t="shared" si="66"/>
        <v>3.3749360378535678</v>
      </c>
      <c r="BZ37" s="25">
        <f t="shared" si="67"/>
        <v>101.8</v>
      </c>
      <c r="CD37" s="29"/>
      <c r="CF37" s="29"/>
      <c r="CG37" s="29"/>
      <c r="CH37" s="29">
        <f t="shared" si="68"/>
        <v>101.8</v>
      </c>
      <c r="CI37" s="29">
        <f t="shared" si="69"/>
        <v>101.8</v>
      </c>
      <c r="CJ37" s="29">
        <f t="shared" si="70"/>
        <v>2.001967536137395</v>
      </c>
      <c r="CK37" s="70">
        <v>0</v>
      </c>
      <c r="CL37" s="29">
        <f t="shared" si="71"/>
        <v>0</v>
      </c>
      <c r="CM37" s="29">
        <f t="shared" si="72"/>
        <v>0</v>
      </c>
      <c r="CN37" s="29">
        <f t="shared" si="73"/>
        <v>0.99524931562137331</v>
      </c>
      <c r="CO37" s="29">
        <f t="shared" si="74"/>
        <v>0.97375</v>
      </c>
      <c r="CP37" s="29">
        <f t="shared" si="75"/>
        <v>1.9969246679255115</v>
      </c>
      <c r="CQ37" s="29">
        <f t="shared" si="76"/>
        <v>3.9977783572988219</v>
      </c>
      <c r="CR37" s="29">
        <v>1</v>
      </c>
      <c r="CS37" s="29">
        <f t="shared" si="77"/>
        <v>247.86225815252698</v>
      </c>
      <c r="CU37" s="4"/>
      <c r="CV37" s="4"/>
      <c r="CW37" s="4"/>
      <c r="CX37" s="4"/>
      <c r="CY37" s="4"/>
      <c r="CZ37" s="4"/>
      <c r="DA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P37" s="4">
        <f t="shared" si="78"/>
        <v>0</v>
      </c>
      <c r="DQ37" s="25">
        <f t="shared" si="79"/>
        <v>12.7</v>
      </c>
      <c r="DR37" s="25">
        <f t="shared" si="80"/>
        <v>1</v>
      </c>
      <c r="DT37" s="4">
        <f t="shared" si="81"/>
        <v>9.2245380945552914E-7</v>
      </c>
      <c r="DU37" s="4">
        <f t="shared" si="82"/>
        <v>9.0324733825588019</v>
      </c>
      <c r="DV37" s="4"/>
      <c r="DW37" s="4">
        <f t="shared" si="83"/>
        <v>0</v>
      </c>
      <c r="DX37" s="4">
        <f t="shared" si="84"/>
        <v>6.4517667018277161</v>
      </c>
      <c r="DY37" s="4">
        <f t="shared" si="85"/>
        <v>9.0395809336509103</v>
      </c>
      <c r="DZ37" s="38">
        <f t="shared" si="86"/>
        <v>517.5</v>
      </c>
      <c r="EA37" s="4">
        <f t="shared" si="87"/>
        <v>1</v>
      </c>
      <c r="EB37" s="4"/>
      <c r="EC37" s="4">
        <f t="shared" si="122"/>
        <v>1040.7018111455272</v>
      </c>
      <c r="EG37" s="25">
        <f t="shared" si="88"/>
        <v>0.85</v>
      </c>
      <c r="EH37" s="25">
        <f t="shared" si="89"/>
        <v>0.7</v>
      </c>
      <c r="EI37" s="25">
        <f t="shared" si="90"/>
        <v>1</v>
      </c>
      <c r="EJ37" s="25">
        <f t="shared" si="91"/>
        <v>0.7</v>
      </c>
      <c r="EL37" s="4">
        <f t="shared" si="92"/>
        <v>517.5</v>
      </c>
      <c r="EM37" s="25">
        <f t="shared" si="93"/>
        <v>4689.9659189359481</v>
      </c>
      <c r="EP37" s="4">
        <f t="shared" si="94"/>
        <v>9.0324733825588019</v>
      </c>
      <c r="EQ37" s="25">
        <f t="shared" si="95"/>
        <v>7.2551967432806936</v>
      </c>
      <c r="ES37" s="4">
        <f t="shared" si="96"/>
        <v>77.858162529590359</v>
      </c>
      <c r="ET37" s="4">
        <f t="shared" si="97"/>
        <v>3.0652819893539514</v>
      </c>
      <c r="EU37" s="4">
        <f t="shared" si="98"/>
        <v>0.34877736289905453</v>
      </c>
      <c r="EX37" s="25">
        <f t="shared" si="99"/>
        <v>0.34877736289905453</v>
      </c>
      <c r="EY37" s="25">
        <f t="shared" si="100"/>
        <v>0.999</v>
      </c>
      <c r="EZ37" s="4">
        <f t="shared" si="101"/>
        <v>9.0288593087305173</v>
      </c>
      <c r="FA37" s="25">
        <f t="shared" si="102"/>
        <v>9.0306665264387256</v>
      </c>
      <c r="FB37" s="4">
        <f t="shared" si="103"/>
        <v>0</v>
      </c>
      <c r="FC37" s="4">
        <f t="shared" si="104"/>
        <v>0</v>
      </c>
      <c r="FD37" s="25">
        <f t="shared" si="105"/>
        <v>0</v>
      </c>
      <c r="FE37" s="25">
        <f t="shared" si="106"/>
        <v>9.0324733825588019</v>
      </c>
      <c r="FF37" s="4">
        <f t="shared" si="107"/>
        <v>517.5</v>
      </c>
      <c r="FG37" s="4">
        <f t="shared" si="108"/>
        <v>0</v>
      </c>
      <c r="FH37" s="4">
        <f t="shared" si="109"/>
        <v>0</v>
      </c>
      <c r="FJ37" s="4">
        <f t="shared" si="110"/>
        <v>0</v>
      </c>
      <c r="FO37" s="23"/>
      <c r="FP37" s="23"/>
      <c r="FQ37" s="23"/>
      <c r="FR37" s="23"/>
      <c r="FS37" s="23"/>
      <c r="FT37" s="23"/>
      <c r="FU37" s="30"/>
      <c r="FV37" s="30"/>
      <c r="GF37" s="4">
        <f t="shared" si="111"/>
        <v>1</v>
      </c>
      <c r="GG37" s="4">
        <f t="shared" si="112"/>
        <v>0.85000000000000009</v>
      </c>
      <c r="GH37" s="4">
        <f t="shared" si="113"/>
        <v>0</v>
      </c>
      <c r="GI37" s="4">
        <f t="shared" si="114"/>
        <v>14.232165155618285</v>
      </c>
      <c r="GJ37" s="4"/>
    </row>
    <row r="38" spans="1:192" ht="12" hidden="1" customHeight="1" x14ac:dyDescent="0.3">
      <c r="A38" s="25">
        <v>19</v>
      </c>
      <c r="B38" s="26" t="s">
        <v>81</v>
      </c>
      <c r="C38" s="26"/>
      <c r="D38" s="26" t="s">
        <v>82</v>
      </c>
      <c r="E38" s="26"/>
      <c r="F38" s="26"/>
      <c r="G38" s="26"/>
      <c r="H38" s="7" t="s">
        <v>97</v>
      </c>
      <c r="I38" s="7"/>
      <c r="J38" s="28">
        <f t="shared" si="115"/>
        <v>517.5</v>
      </c>
      <c r="K38" s="7">
        <f t="shared" ref="K38:K52" si="128">11.25*25.4</f>
        <v>285.75</v>
      </c>
      <c r="L38" s="7">
        <f t="shared" si="123"/>
        <v>285.75</v>
      </c>
      <c r="M38" s="7">
        <v>34.49</v>
      </c>
      <c r="N38" s="7">
        <v>25.4</v>
      </c>
      <c r="O38" s="7">
        <f t="shared" si="116"/>
        <v>11.25</v>
      </c>
      <c r="P38" s="7">
        <f t="shared" si="117"/>
        <v>11.25</v>
      </c>
      <c r="Q38" s="7">
        <v>229</v>
      </c>
      <c r="R38" s="7"/>
      <c r="S38" s="7">
        <f t="shared" si="42"/>
        <v>101.8</v>
      </c>
      <c r="T38" s="7"/>
      <c r="U38" s="7">
        <v>305</v>
      </c>
      <c r="V38" s="7"/>
      <c r="W38" s="7">
        <v>0</v>
      </c>
      <c r="X38" s="7">
        <v>1</v>
      </c>
      <c r="Y38" s="7"/>
      <c r="Z38" s="7"/>
      <c r="AA38" s="7">
        <v>81.97</v>
      </c>
      <c r="AB38" s="7">
        <f t="shared" si="43"/>
        <v>3.7271653543307091</v>
      </c>
      <c r="AC38" s="28">
        <f t="shared" si="118"/>
        <v>3.7271653543307091</v>
      </c>
      <c r="AD38" s="28">
        <f t="shared" si="44"/>
        <v>8.3959536742577185</v>
      </c>
      <c r="AE38" s="7">
        <f t="shared" si="45"/>
        <v>8.3959536742577185</v>
      </c>
      <c r="AF38" s="7">
        <f t="shared" si="46"/>
        <v>9.3959536742577185</v>
      </c>
      <c r="AG38" s="7">
        <f t="shared" si="47"/>
        <v>77.858162529590359</v>
      </c>
      <c r="AH38" s="7"/>
      <c r="AI38" s="7"/>
      <c r="AJ38" s="7">
        <f>265.95/(PI()/4*N38^2)*1000</f>
        <v>524.85903794766648</v>
      </c>
      <c r="AK38" s="7"/>
      <c r="AL38" s="7"/>
      <c r="AM38" s="7">
        <v>9.5</v>
      </c>
      <c r="AN38" s="7">
        <v>3</v>
      </c>
      <c r="AO38" s="7">
        <v>127</v>
      </c>
      <c r="AP38" s="7">
        <v>3</v>
      </c>
      <c r="AQ38" s="7"/>
      <c r="AR38" s="7"/>
      <c r="AS38" s="4">
        <f t="shared" si="125"/>
        <v>285.75</v>
      </c>
      <c r="AT38" s="4">
        <f t="shared" si="48"/>
        <v>0.16306737491389939</v>
      </c>
      <c r="AU38" s="25">
        <f t="shared" si="49"/>
        <v>559.8460793819969</v>
      </c>
      <c r="AV38" s="4">
        <f t="shared" si="50"/>
        <v>0.76626071741032364</v>
      </c>
      <c r="AW38" s="4">
        <v>1.25</v>
      </c>
      <c r="AX38" s="25">
        <f t="shared" si="119"/>
        <v>5</v>
      </c>
      <c r="AY38" s="38">
        <f t="shared" si="120"/>
        <v>437.21222848148204</v>
      </c>
      <c r="AZ38" s="38">
        <f t="shared" si="121"/>
        <v>437.21222848148204</v>
      </c>
      <c r="BB38" s="38">
        <f t="shared" si="51"/>
        <v>437.2122284814817</v>
      </c>
      <c r="BC38" s="38">
        <f t="shared" si="52"/>
        <v>1.0000000000000009</v>
      </c>
      <c r="BF38" s="4">
        <f t="shared" si="53"/>
        <v>347.73268879009004</v>
      </c>
      <c r="BG38" s="4">
        <f t="shared" si="54"/>
        <v>1</v>
      </c>
      <c r="BH38" s="38">
        <f t="shared" si="55"/>
        <v>744.96671222059445</v>
      </c>
      <c r="BI38" s="4">
        <f t="shared" si="56"/>
        <v>0.3</v>
      </c>
      <c r="BJ38" s="4">
        <f t="shared" si="57"/>
        <v>54.507098967846609</v>
      </c>
      <c r="BK38" s="4">
        <f t="shared" si="58"/>
        <v>799.473811188441</v>
      </c>
      <c r="BM38" s="36">
        <f t="shared" si="59"/>
        <v>1.8910467582857926</v>
      </c>
      <c r="BN38" s="36">
        <f t="shared" si="60"/>
        <v>444.23099391443697</v>
      </c>
      <c r="BS38" s="4">
        <f t="shared" si="61"/>
        <v>101.8</v>
      </c>
      <c r="BT38" s="4">
        <f t="shared" si="62"/>
        <v>81.97</v>
      </c>
      <c r="BU38" s="4">
        <f t="shared" si="63"/>
        <v>101.8</v>
      </c>
      <c r="BV38" s="4">
        <f t="shared" si="64"/>
        <v>94.67</v>
      </c>
      <c r="BW38" s="4">
        <f t="shared" si="65"/>
        <v>1.0241917774795657</v>
      </c>
      <c r="BX38" s="25">
        <f t="shared" si="66"/>
        <v>4</v>
      </c>
      <c r="BZ38" s="4">
        <f t="shared" si="67"/>
        <v>101.8</v>
      </c>
      <c r="CD38" s="9"/>
      <c r="CF38" s="9"/>
      <c r="CG38" s="9"/>
      <c r="CH38" s="9">
        <f t="shared" si="68"/>
        <v>101.8</v>
      </c>
      <c r="CI38" s="9">
        <f t="shared" si="69"/>
        <v>101.8</v>
      </c>
      <c r="CJ38" s="9">
        <f t="shared" si="70"/>
        <v>2.001967536137395</v>
      </c>
      <c r="CK38" s="70">
        <v>20</v>
      </c>
      <c r="CL38" s="9">
        <f t="shared" si="71"/>
        <v>0.05</v>
      </c>
      <c r="CM38" s="9">
        <f t="shared" si="72"/>
        <v>0.8</v>
      </c>
      <c r="CN38" s="9">
        <f t="shared" si="73"/>
        <v>0.99524931562137331</v>
      </c>
      <c r="CO38" s="9">
        <f t="shared" si="74"/>
        <v>0.97375</v>
      </c>
      <c r="CP38" s="9">
        <f t="shared" si="75"/>
        <v>1.9920214007072519</v>
      </c>
      <c r="CQ38" s="9">
        <f t="shared" si="76"/>
        <v>4.98005350176813</v>
      </c>
      <c r="CR38" s="9">
        <v>1</v>
      </c>
      <c r="CS38" s="9">
        <f t="shared" si="77"/>
        <v>522.90561768565362</v>
      </c>
      <c r="DP38" s="4">
        <f t="shared" si="78"/>
        <v>3</v>
      </c>
      <c r="DQ38" s="4">
        <f t="shared" si="79"/>
        <v>285.75</v>
      </c>
      <c r="DR38" s="4">
        <f t="shared" si="80"/>
        <v>1</v>
      </c>
      <c r="DT38" s="4">
        <f t="shared" si="81"/>
        <v>2.0730984622674179E-5</v>
      </c>
      <c r="DU38" s="4">
        <f t="shared" si="82"/>
        <v>9.0102949642399413</v>
      </c>
      <c r="DW38" s="4">
        <f t="shared" si="83"/>
        <v>0</v>
      </c>
      <c r="DX38" s="4">
        <f t="shared" si="84"/>
        <v>6.4359249744571017</v>
      </c>
      <c r="DY38" s="4">
        <f t="shared" si="85"/>
        <v>8.5678797379957317</v>
      </c>
      <c r="DZ38" s="38">
        <f t="shared" si="86"/>
        <v>524.85903794766648</v>
      </c>
      <c r="EA38" s="4">
        <f t="shared" si="87"/>
        <v>1</v>
      </c>
      <c r="EC38" s="4">
        <f t="shared" si="122"/>
        <v>437.2122284814817</v>
      </c>
      <c r="EG38" s="4">
        <f t="shared" si="88"/>
        <v>0.85</v>
      </c>
      <c r="EH38" s="4">
        <f t="shared" si="89"/>
        <v>0.7</v>
      </c>
      <c r="EI38" s="4">
        <f t="shared" si="90"/>
        <v>0.82320199640399283</v>
      </c>
      <c r="EJ38" s="4">
        <f t="shared" si="91"/>
        <v>0.7</v>
      </c>
      <c r="EL38" s="4">
        <f t="shared" si="92"/>
        <v>524.85903794766648</v>
      </c>
      <c r="EM38" s="25">
        <f t="shared" si="93"/>
        <v>417.51978296586339</v>
      </c>
      <c r="EP38" s="4">
        <f t="shared" si="94"/>
        <v>9.0102949642399413</v>
      </c>
      <c r="EQ38" s="4">
        <f t="shared" si="95"/>
        <v>8.5778008059564232</v>
      </c>
      <c r="ES38" s="4">
        <f t="shared" si="96"/>
        <v>77.858162529590359</v>
      </c>
      <c r="ET38" s="4">
        <f t="shared" si="97"/>
        <v>3.0652819893539514</v>
      </c>
      <c r="EU38" s="4">
        <f t="shared" si="98"/>
        <v>0.14688652671799926</v>
      </c>
      <c r="EV38" s="4">
        <f>DQ38</f>
        <v>285.75</v>
      </c>
      <c r="EW38" s="4">
        <f>ES38+FG38+FH38</f>
        <v>285.75</v>
      </c>
      <c r="EX38" s="4">
        <f t="shared" si="99"/>
        <v>0.14688652671799926</v>
      </c>
      <c r="EY38" s="4">
        <f t="shared" si="100"/>
        <v>0.45664082606037759</v>
      </c>
      <c r="EZ38" s="4">
        <f t="shared" si="101"/>
        <v>6.58519899538069</v>
      </c>
      <c r="FA38" s="4">
        <f t="shared" si="102"/>
        <v>7.8916811030629992</v>
      </c>
      <c r="FB38" s="4">
        <f t="shared" si="103"/>
        <v>136.45433747040965</v>
      </c>
      <c r="FC38" s="4">
        <f t="shared" si="104"/>
        <v>71.4375</v>
      </c>
      <c r="FD38" s="4">
        <f t="shared" si="105"/>
        <v>2.0730984622674179E-5</v>
      </c>
      <c r="FE38" s="4">
        <f t="shared" si="106"/>
        <v>8.305627695351431</v>
      </c>
      <c r="FF38" s="4">
        <f t="shared" si="107"/>
        <v>524.85903794766648</v>
      </c>
      <c r="FG38" s="4">
        <f t="shared" si="108"/>
        <v>136.45433747040965</v>
      </c>
      <c r="FH38" s="4">
        <f t="shared" si="109"/>
        <v>71.437499999999986</v>
      </c>
      <c r="FJ38" s="4">
        <f t="shared" si="110"/>
        <v>0</v>
      </c>
      <c r="FO38" s="23"/>
      <c r="FP38" s="23"/>
      <c r="FQ38" s="23"/>
      <c r="FR38" s="23"/>
      <c r="FS38" s="23"/>
      <c r="FT38" s="23"/>
      <c r="FU38" s="23"/>
      <c r="FV38" s="23"/>
      <c r="GF38" s="4">
        <f t="shared" si="111"/>
        <v>1</v>
      </c>
      <c r="GG38" s="4">
        <f t="shared" si="112"/>
        <v>0.68688155922038985</v>
      </c>
      <c r="GH38" s="4">
        <f t="shared" si="113"/>
        <v>0.3</v>
      </c>
      <c r="GI38" s="4">
        <f t="shared" si="114"/>
        <v>395.78262141162713</v>
      </c>
    </row>
    <row r="39" spans="1:192" ht="12" hidden="1" customHeight="1" x14ac:dyDescent="0.3">
      <c r="A39" s="25">
        <v>20</v>
      </c>
      <c r="B39" s="26" t="s">
        <v>81</v>
      </c>
      <c r="C39" s="26"/>
      <c r="D39" s="26" t="s">
        <v>82</v>
      </c>
      <c r="E39" s="26"/>
      <c r="F39" s="26"/>
      <c r="G39" s="26"/>
      <c r="H39" s="7" t="s">
        <v>98</v>
      </c>
      <c r="I39" s="7"/>
      <c r="J39" s="28">
        <f t="shared" si="115"/>
        <v>517.5</v>
      </c>
      <c r="K39" s="7">
        <f t="shared" si="128"/>
        <v>285.75</v>
      </c>
      <c r="L39" s="7">
        <f t="shared" si="123"/>
        <v>285.75</v>
      </c>
      <c r="M39" s="7">
        <v>34.49</v>
      </c>
      <c r="N39" s="7">
        <v>25.4</v>
      </c>
      <c r="O39" s="7">
        <f t="shared" si="116"/>
        <v>11.25</v>
      </c>
      <c r="P39" s="7">
        <f t="shared" si="117"/>
        <v>11.25</v>
      </c>
      <c r="Q39" s="7">
        <v>229</v>
      </c>
      <c r="R39" s="7"/>
      <c r="S39" s="7">
        <f t="shared" si="42"/>
        <v>101.8</v>
      </c>
      <c r="T39" s="7"/>
      <c r="U39" s="7">
        <v>305</v>
      </c>
      <c r="V39" s="7"/>
      <c r="W39" s="7">
        <v>0</v>
      </c>
      <c r="X39" s="7">
        <v>1</v>
      </c>
      <c r="Y39" s="7"/>
      <c r="Z39" s="7"/>
      <c r="AA39" s="7">
        <v>80.06</v>
      </c>
      <c r="AB39" s="7">
        <f t="shared" si="43"/>
        <v>3.6519685039370082</v>
      </c>
      <c r="AC39" s="28">
        <f t="shared" si="118"/>
        <v>3.6519685039370082</v>
      </c>
      <c r="AD39" s="28">
        <f t="shared" si="44"/>
        <v>8.3959536742577185</v>
      </c>
      <c r="AE39" s="7">
        <f t="shared" si="45"/>
        <v>8.3959536742577185</v>
      </c>
      <c r="AF39" s="7">
        <f t="shared" si="46"/>
        <v>9.3959536742577185</v>
      </c>
      <c r="AG39" s="7">
        <f t="shared" si="47"/>
        <v>77.858162529590359</v>
      </c>
      <c r="AH39" s="7"/>
      <c r="AI39" s="7"/>
      <c r="AJ39" s="7">
        <f>255.8/(PI()/4*N39^2)*1000</f>
        <v>504.82775674755823</v>
      </c>
      <c r="AK39" s="7"/>
      <c r="AL39" s="7"/>
      <c r="AM39" s="7">
        <v>9.5</v>
      </c>
      <c r="AN39" s="7">
        <v>3</v>
      </c>
      <c r="AO39" s="7">
        <v>127</v>
      </c>
      <c r="AP39" s="7">
        <v>3</v>
      </c>
      <c r="AQ39" s="7"/>
      <c r="AR39" s="7"/>
      <c r="AS39" s="4">
        <f t="shared" si="125"/>
        <v>285.75</v>
      </c>
      <c r="AT39" s="4">
        <f t="shared" si="48"/>
        <v>0.16247218733120594</v>
      </c>
      <c r="AU39" s="25">
        <f t="shared" si="49"/>
        <v>559.8460793819969</v>
      </c>
      <c r="AV39" s="4">
        <f t="shared" si="50"/>
        <v>0.7649238845144356</v>
      </c>
      <c r="AW39" s="4">
        <v>1.25</v>
      </c>
      <c r="AX39" s="25">
        <f t="shared" si="119"/>
        <v>5</v>
      </c>
      <c r="AY39" s="38">
        <f t="shared" si="120"/>
        <v>434.85644156616553</v>
      </c>
      <c r="AZ39" s="38">
        <f t="shared" si="121"/>
        <v>434.85644156616553</v>
      </c>
      <c r="BB39" s="38">
        <f t="shared" si="51"/>
        <v>434.85644156616524</v>
      </c>
      <c r="BC39" s="38">
        <f t="shared" si="52"/>
        <v>1.0000000000000007</v>
      </c>
      <c r="BF39" s="4">
        <f t="shared" si="53"/>
        <v>347.73268879009004</v>
      </c>
      <c r="BG39" s="4">
        <f t="shared" si="54"/>
        <v>1</v>
      </c>
      <c r="BH39" s="38">
        <f t="shared" si="55"/>
        <v>729.93675108885964</v>
      </c>
      <c r="BI39" s="4">
        <f t="shared" si="56"/>
        <v>0.3</v>
      </c>
      <c r="BJ39" s="4">
        <f t="shared" si="57"/>
        <v>54.507098967846609</v>
      </c>
      <c r="BK39" s="4">
        <f t="shared" si="58"/>
        <v>784.4438500567062</v>
      </c>
      <c r="BM39" s="36">
        <f t="shared" si="59"/>
        <v>1.8910467582857926</v>
      </c>
      <c r="BN39" s="36">
        <f t="shared" si="60"/>
        <v>444.23099391443697</v>
      </c>
      <c r="BS39" s="4">
        <f t="shared" si="61"/>
        <v>101.8</v>
      </c>
      <c r="BT39" s="4">
        <f t="shared" si="62"/>
        <v>80.06</v>
      </c>
      <c r="BU39" s="4">
        <f t="shared" si="63"/>
        <v>101.8</v>
      </c>
      <c r="BV39" s="4">
        <f t="shared" si="64"/>
        <v>92.76</v>
      </c>
      <c r="BW39" s="4">
        <f t="shared" si="65"/>
        <v>1.0271546340244817</v>
      </c>
      <c r="BX39" s="25">
        <f t="shared" si="66"/>
        <v>4</v>
      </c>
      <c r="BZ39" s="4">
        <f t="shared" si="67"/>
        <v>101.8</v>
      </c>
      <c r="CD39" s="9"/>
      <c r="CF39" s="9"/>
      <c r="CG39" s="9"/>
      <c r="CH39" s="9">
        <f t="shared" si="68"/>
        <v>101.8</v>
      </c>
      <c r="CI39" s="9">
        <f t="shared" si="69"/>
        <v>101.8</v>
      </c>
      <c r="CJ39" s="9">
        <f t="shared" si="70"/>
        <v>2.001967536137395</v>
      </c>
      <c r="CK39" s="70">
        <v>20</v>
      </c>
      <c r="CL39" s="9">
        <f t="shared" si="71"/>
        <v>0.05</v>
      </c>
      <c r="CM39" s="9">
        <f t="shared" si="72"/>
        <v>0.8</v>
      </c>
      <c r="CN39" s="9">
        <f t="shared" si="73"/>
        <v>0.99524931562137331</v>
      </c>
      <c r="CO39" s="9">
        <f t="shared" si="74"/>
        <v>0.97375</v>
      </c>
      <c r="CP39" s="9">
        <f t="shared" si="75"/>
        <v>1.9920214007072519</v>
      </c>
      <c r="CQ39" s="9">
        <f t="shared" si="76"/>
        <v>4.98005350176813</v>
      </c>
      <c r="CR39" s="9">
        <v>1</v>
      </c>
      <c r="CS39" s="9">
        <f t="shared" si="77"/>
        <v>522.90561768565362</v>
      </c>
      <c r="DP39" s="4">
        <f t="shared" si="78"/>
        <v>3</v>
      </c>
      <c r="DQ39" s="4">
        <f t="shared" si="79"/>
        <v>285.75</v>
      </c>
      <c r="DR39" s="4">
        <f t="shared" si="80"/>
        <v>1</v>
      </c>
      <c r="DT39" s="4">
        <f t="shared" si="81"/>
        <v>2.0730984622674179E-5</v>
      </c>
      <c r="DU39" s="4">
        <f t="shared" si="82"/>
        <v>9.0102949642399413</v>
      </c>
      <c r="DW39" s="4">
        <f t="shared" si="83"/>
        <v>0</v>
      </c>
      <c r="DX39" s="4">
        <f t="shared" si="84"/>
        <v>6.4359249744571017</v>
      </c>
      <c r="DY39" s="4">
        <f t="shared" si="85"/>
        <v>8.5678797379957317</v>
      </c>
      <c r="DZ39" s="38">
        <f t="shared" si="86"/>
        <v>517.5</v>
      </c>
      <c r="EA39" s="4">
        <f t="shared" si="87"/>
        <v>1</v>
      </c>
      <c r="EC39" s="4">
        <f t="shared" si="122"/>
        <v>434.85644156616524</v>
      </c>
      <c r="EG39" s="4">
        <f t="shared" si="88"/>
        <v>0.85</v>
      </c>
      <c r="EH39" s="4">
        <f t="shared" si="89"/>
        <v>0.7</v>
      </c>
      <c r="EI39" s="4">
        <f t="shared" si="90"/>
        <v>0.82320199640399283</v>
      </c>
      <c r="EJ39" s="4">
        <f t="shared" si="91"/>
        <v>0.7</v>
      </c>
      <c r="EL39" s="4">
        <f t="shared" si="92"/>
        <v>517.5</v>
      </c>
      <c r="EM39" s="25">
        <f t="shared" si="93"/>
        <v>416.78282106744894</v>
      </c>
      <c r="EP39" s="4">
        <f t="shared" si="94"/>
        <v>9.0102949642399413</v>
      </c>
      <c r="EQ39" s="4">
        <f t="shared" si="95"/>
        <v>8.5778008059564232</v>
      </c>
      <c r="ES39" s="4">
        <f t="shared" si="96"/>
        <v>77.858162529590359</v>
      </c>
      <c r="ET39" s="4">
        <f t="shared" si="97"/>
        <v>3.0652819893539514</v>
      </c>
      <c r="EU39" s="4">
        <f t="shared" si="98"/>
        <v>0.14609507273950373</v>
      </c>
      <c r="EX39" s="4">
        <f t="shared" si="99"/>
        <v>0.14609507273950373</v>
      </c>
      <c r="EY39" s="4">
        <f t="shared" si="100"/>
        <v>0.45418035397621681</v>
      </c>
      <c r="EZ39" s="4">
        <f t="shared" si="101"/>
        <v>6.5709830392821145</v>
      </c>
      <c r="FA39" s="4">
        <f t="shared" si="102"/>
        <v>7.8857596557302916</v>
      </c>
      <c r="FB39" s="4">
        <f t="shared" si="103"/>
        <v>136.45433747040965</v>
      </c>
      <c r="FC39" s="4">
        <f t="shared" si="104"/>
        <v>71.4375</v>
      </c>
      <c r="FD39" s="4">
        <f t="shared" si="105"/>
        <v>2.0730984622674179E-5</v>
      </c>
      <c r="FE39" s="4">
        <f t="shared" si="106"/>
        <v>8.3063336283618412</v>
      </c>
      <c r="FF39" s="4">
        <f t="shared" si="107"/>
        <v>517.5</v>
      </c>
      <c r="FG39" s="4">
        <f t="shared" si="108"/>
        <v>136.45433747040965</v>
      </c>
      <c r="FH39" s="4">
        <f t="shared" si="109"/>
        <v>71.437499999999986</v>
      </c>
      <c r="FJ39" s="4">
        <f t="shared" si="110"/>
        <v>0</v>
      </c>
      <c r="FO39" s="23"/>
      <c r="FP39" s="23"/>
      <c r="FQ39" s="23"/>
      <c r="FR39" s="23"/>
      <c r="FS39" s="23"/>
      <c r="FT39" s="23"/>
      <c r="FU39" s="23"/>
      <c r="FV39" s="23"/>
      <c r="GF39" s="4">
        <f t="shared" si="111"/>
        <v>1</v>
      </c>
      <c r="GG39" s="4">
        <f t="shared" si="112"/>
        <v>0.68688155922038985</v>
      </c>
      <c r="GH39" s="4">
        <f t="shared" si="113"/>
        <v>0.3</v>
      </c>
      <c r="GI39" s="4">
        <f t="shared" si="114"/>
        <v>395.78262141162713</v>
      </c>
    </row>
    <row r="40" spans="1:192" ht="12" hidden="1" customHeight="1" x14ac:dyDescent="0.3">
      <c r="A40" s="25">
        <v>21</v>
      </c>
      <c r="B40" s="26" t="s">
        <v>81</v>
      </c>
      <c r="C40" s="26"/>
      <c r="D40" s="26" t="s">
        <v>82</v>
      </c>
      <c r="E40" s="26"/>
      <c r="F40" s="26"/>
      <c r="G40" s="26"/>
      <c r="H40" s="7" t="s">
        <v>99</v>
      </c>
      <c r="I40" s="7"/>
      <c r="J40" s="28">
        <f t="shared" si="115"/>
        <v>517.5</v>
      </c>
      <c r="K40" s="7">
        <f t="shared" si="128"/>
        <v>285.75</v>
      </c>
      <c r="L40" s="7">
        <f t="shared" si="123"/>
        <v>285.75</v>
      </c>
      <c r="M40" s="7">
        <v>34.49</v>
      </c>
      <c r="N40" s="7">
        <v>25.4</v>
      </c>
      <c r="O40" s="7">
        <f t="shared" si="116"/>
        <v>11.25</v>
      </c>
      <c r="P40" s="7">
        <f t="shared" si="117"/>
        <v>11.25</v>
      </c>
      <c r="Q40" s="7">
        <v>229</v>
      </c>
      <c r="R40" s="7"/>
      <c r="S40" s="7">
        <f t="shared" si="42"/>
        <v>101.8</v>
      </c>
      <c r="T40" s="7"/>
      <c r="U40" s="7">
        <v>305</v>
      </c>
      <c r="V40" s="7"/>
      <c r="W40" s="7">
        <v>0</v>
      </c>
      <c r="X40" s="7">
        <v>1</v>
      </c>
      <c r="Y40" s="7"/>
      <c r="Z40" s="7"/>
      <c r="AA40" s="7">
        <v>82.4</v>
      </c>
      <c r="AB40" s="7">
        <f t="shared" si="43"/>
        <v>3.7440944881889768</v>
      </c>
      <c r="AC40" s="28">
        <f t="shared" si="118"/>
        <v>3.7440944881889768</v>
      </c>
      <c r="AD40" s="28">
        <f t="shared" si="44"/>
        <v>8.3959536742577185</v>
      </c>
      <c r="AE40" s="7">
        <f t="shared" si="45"/>
        <v>8.3959536742577185</v>
      </c>
      <c r="AF40" s="7">
        <f t="shared" si="46"/>
        <v>9.3959536742577185</v>
      </c>
      <c r="AG40" s="7">
        <f t="shared" si="47"/>
        <v>77.858162529590359</v>
      </c>
      <c r="AH40" s="7"/>
      <c r="AI40" s="7"/>
      <c r="AJ40" s="7">
        <f>246.02/(PI()/4*N40^2)*1000</f>
        <v>485.52667988676416</v>
      </c>
      <c r="AK40" s="7"/>
      <c r="AL40" s="7"/>
      <c r="AM40" s="7">
        <v>9.5</v>
      </c>
      <c r="AN40" s="7">
        <v>3</v>
      </c>
      <c r="AO40" s="7">
        <v>127</v>
      </c>
      <c r="AP40" s="7">
        <v>3</v>
      </c>
      <c r="AQ40" s="7"/>
      <c r="AR40" s="7"/>
      <c r="AS40" s="4">
        <f t="shared" si="125"/>
        <v>285.75</v>
      </c>
      <c r="AT40" s="4">
        <f t="shared" si="48"/>
        <v>0.16320137002413923</v>
      </c>
      <c r="AU40" s="25">
        <f t="shared" si="49"/>
        <v>559.8460793819969</v>
      </c>
      <c r="AV40" s="4">
        <f t="shared" si="50"/>
        <v>0.76656167979002621</v>
      </c>
      <c r="AW40" s="4">
        <v>1.25</v>
      </c>
      <c r="AX40" s="25">
        <f t="shared" si="119"/>
        <v>5</v>
      </c>
      <c r="AY40" s="38">
        <f t="shared" si="120"/>
        <v>437.74335677333755</v>
      </c>
      <c r="AZ40" s="38">
        <f t="shared" si="121"/>
        <v>437.74335677333755</v>
      </c>
      <c r="BB40" s="38">
        <f t="shared" si="51"/>
        <v>437.74335677333738</v>
      </c>
      <c r="BC40" s="38">
        <f t="shared" si="52"/>
        <v>1.0000000000000004</v>
      </c>
      <c r="BF40" s="4">
        <f t="shared" si="53"/>
        <v>347.73268879009004</v>
      </c>
      <c r="BG40" s="4">
        <f t="shared" si="54"/>
        <v>1</v>
      </c>
      <c r="BH40" s="38">
        <f t="shared" si="55"/>
        <v>748.35042074763419</v>
      </c>
      <c r="BI40" s="4">
        <f t="shared" si="56"/>
        <v>0.3</v>
      </c>
      <c r="BJ40" s="4">
        <f t="shared" si="57"/>
        <v>54.507098967846609</v>
      </c>
      <c r="BK40" s="4">
        <f t="shared" si="58"/>
        <v>802.85751971548075</v>
      </c>
      <c r="BM40" s="36">
        <f t="shared" si="59"/>
        <v>1.8910467582857926</v>
      </c>
      <c r="BN40" s="36">
        <f t="shared" si="60"/>
        <v>444.23099391443697</v>
      </c>
      <c r="BS40" s="4">
        <f t="shared" si="61"/>
        <v>101.8</v>
      </c>
      <c r="BT40" s="4">
        <f t="shared" si="62"/>
        <v>82.4</v>
      </c>
      <c r="BU40" s="4">
        <f t="shared" si="63"/>
        <v>101.8</v>
      </c>
      <c r="BV40" s="4">
        <f t="shared" si="64"/>
        <v>95.100000000000009</v>
      </c>
      <c r="BW40" s="4">
        <f t="shared" si="65"/>
        <v>1.0235436893203884</v>
      </c>
      <c r="BX40" s="25">
        <f t="shared" si="66"/>
        <v>4</v>
      </c>
      <c r="BZ40" s="4">
        <f t="shared" si="67"/>
        <v>101.8</v>
      </c>
      <c r="CD40" s="9"/>
      <c r="CF40" s="9"/>
      <c r="CG40" s="9"/>
      <c r="CH40" s="9">
        <f t="shared" si="68"/>
        <v>101.8</v>
      </c>
      <c r="CI40" s="9">
        <f t="shared" si="69"/>
        <v>101.8</v>
      </c>
      <c r="CJ40" s="9">
        <f t="shared" si="70"/>
        <v>2.001967536137395</v>
      </c>
      <c r="CK40" s="70">
        <v>20</v>
      </c>
      <c r="CL40" s="9">
        <f t="shared" si="71"/>
        <v>0.05</v>
      </c>
      <c r="CM40" s="9">
        <f t="shared" si="72"/>
        <v>0.8</v>
      </c>
      <c r="CN40" s="9">
        <f t="shared" si="73"/>
        <v>0.99524931562137331</v>
      </c>
      <c r="CO40" s="9">
        <f t="shared" si="74"/>
        <v>0.97375</v>
      </c>
      <c r="CP40" s="9">
        <f t="shared" si="75"/>
        <v>1.9920214007072519</v>
      </c>
      <c r="CQ40" s="9">
        <f t="shared" si="76"/>
        <v>4.98005350176813</v>
      </c>
      <c r="CR40" s="9">
        <v>1</v>
      </c>
      <c r="CS40" s="9">
        <f t="shared" si="77"/>
        <v>522.90561768565362</v>
      </c>
      <c r="DP40" s="4">
        <f t="shared" si="78"/>
        <v>3</v>
      </c>
      <c r="DQ40" s="4">
        <f t="shared" si="79"/>
        <v>285.75</v>
      </c>
      <c r="DR40" s="4">
        <f t="shared" si="80"/>
        <v>1</v>
      </c>
      <c r="DT40" s="4">
        <f t="shared" si="81"/>
        <v>2.0730984622674179E-5</v>
      </c>
      <c r="DU40" s="4">
        <f t="shared" si="82"/>
        <v>9.0102949642399413</v>
      </c>
      <c r="DW40" s="4">
        <f t="shared" si="83"/>
        <v>0</v>
      </c>
      <c r="DX40" s="4">
        <f t="shared" si="84"/>
        <v>6.4359249744571017</v>
      </c>
      <c r="DY40" s="4">
        <f t="shared" si="85"/>
        <v>8.5678797379957317</v>
      </c>
      <c r="DZ40" s="38">
        <f t="shared" si="86"/>
        <v>517.5</v>
      </c>
      <c r="EA40" s="4">
        <f t="shared" si="87"/>
        <v>1</v>
      </c>
      <c r="EC40" s="4">
        <f t="shared" si="122"/>
        <v>437.74335677333738</v>
      </c>
      <c r="EG40" s="4">
        <f t="shared" si="88"/>
        <v>0.85</v>
      </c>
      <c r="EH40" s="4">
        <f t="shared" si="89"/>
        <v>0.7</v>
      </c>
      <c r="EI40" s="4">
        <f t="shared" si="90"/>
        <v>0.82320199640399283</v>
      </c>
      <c r="EJ40" s="4">
        <f t="shared" si="91"/>
        <v>0.7</v>
      </c>
      <c r="EL40" s="4">
        <f t="shared" si="92"/>
        <v>517.5</v>
      </c>
      <c r="EM40" s="25">
        <f t="shared" si="93"/>
        <v>417.68569585398814</v>
      </c>
      <c r="EP40" s="4">
        <f t="shared" si="94"/>
        <v>9.0102949642399413</v>
      </c>
      <c r="EQ40" s="4">
        <f t="shared" si="95"/>
        <v>8.5778008059564232</v>
      </c>
      <c r="ES40" s="4">
        <f t="shared" si="96"/>
        <v>77.858162529590359</v>
      </c>
      <c r="ET40" s="4">
        <f t="shared" si="97"/>
        <v>3.0652819893539514</v>
      </c>
      <c r="EU40" s="4">
        <f t="shared" si="98"/>
        <v>0.14706496543711581</v>
      </c>
      <c r="EX40" s="4">
        <f t="shared" si="99"/>
        <v>0.14706496543711581</v>
      </c>
      <c r="EY40" s="4">
        <f t="shared" si="100"/>
        <v>0.45719555634040504</v>
      </c>
      <c r="EZ40" s="4">
        <f t="shared" si="101"/>
        <v>6.5883977271859084</v>
      </c>
      <c r="FA40" s="4">
        <f t="shared" si="102"/>
        <v>7.8930146548964295</v>
      </c>
      <c r="FB40" s="4">
        <f t="shared" si="103"/>
        <v>136.45433747040965</v>
      </c>
      <c r="FC40" s="4">
        <f t="shared" si="104"/>
        <v>71.4375</v>
      </c>
      <c r="FD40" s="4">
        <f t="shared" si="105"/>
        <v>2.0730984622674179E-5</v>
      </c>
      <c r="FE40" s="4">
        <f t="shared" si="106"/>
        <v>8.3054687946729437</v>
      </c>
      <c r="FF40" s="4">
        <f t="shared" si="107"/>
        <v>517.5</v>
      </c>
      <c r="FG40" s="4">
        <f t="shared" si="108"/>
        <v>136.45433747040965</v>
      </c>
      <c r="FH40" s="4">
        <f t="shared" si="109"/>
        <v>71.437499999999986</v>
      </c>
      <c r="FJ40" s="4">
        <f t="shared" si="110"/>
        <v>0</v>
      </c>
      <c r="FO40" s="23"/>
      <c r="FP40" s="23"/>
      <c r="FQ40" s="23"/>
      <c r="FR40" s="23"/>
      <c r="FS40" s="23"/>
      <c r="FT40" s="23"/>
      <c r="FU40" s="23"/>
      <c r="FV40" s="23"/>
      <c r="GF40" s="4">
        <f t="shared" si="111"/>
        <v>1</v>
      </c>
      <c r="GG40" s="4">
        <f t="shared" si="112"/>
        <v>0.68688155922038985</v>
      </c>
      <c r="GH40" s="4">
        <f t="shared" si="113"/>
        <v>0.3</v>
      </c>
      <c r="GI40" s="4">
        <f t="shared" si="114"/>
        <v>395.78262141162713</v>
      </c>
    </row>
    <row r="41" spans="1:192" ht="12" hidden="1" customHeight="1" x14ac:dyDescent="0.3">
      <c r="A41" s="25">
        <v>22</v>
      </c>
      <c r="B41" s="26" t="s">
        <v>81</v>
      </c>
      <c r="C41" s="26"/>
      <c r="D41" s="26" t="s">
        <v>82</v>
      </c>
      <c r="E41" s="26"/>
      <c r="F41" s="26"/>
      <c r="G41" s="26"/>
      <c r="H41" s="7" t="s">
        <v>100</v>
      </c>
      <c r="I41" s="7"/>
      <c r="J41" s="28">
        <f t="shared" si="115"/>
        <v>517.5</v>
      </c>
      <c r="K41" s="7">
        <f t="shared" si="128"/>
        <v>285.75</v>
      </c>
      <c r="L41" s="7">
        <f t="shared" si="123"/>
        <v>285.75</v>
      </c>
      <c r="M41" s="7">
        <v>34.659999999999997</v>
      </c>
      <c r="N41" s="7">
        <v>25.4</v>
      </c>
      <c r="O41" s="7">
        <f t="shared" si="116"/>
        <v>11.25</v>
      </c>
      <c r="P41" s="7">
        <f t="shared" si="117"/>
        <v>11.25</v>
      </c>
      <c r="Q41" s="7">
        <v>229</v>
      </c>
      <c r="R41" s="7"/>
      <c r="S41" s="7">
        <f t="shared" si="42"/>
        <v>101.8</v>
      </c>
      <c r="T41" s="7"/>
      <c r="U41" s="7">
        <v>305</v>
      </c>
      <c r="V41" s="7"/>
      <c r="W41" s="7">
        <v>0</v>
      </c>
      <c r="X41" s="7">
        <v>1</v>
      </c>
      <c r="Y41" s="7"/>
      <c r="Z41" s="7"/>
      <c r="AA41" s="7">
        <v>76.86</v>
      </c>
      <c r="AB41" s="7">
        <f t="shared" si="43"/>
        <v>3.5259842519685041</v>
      </c>
      <c r="AC41" s="28">
        <f t="shared" si="118"/>
        <v>3.5259842519685041</v>
      </c>
      <c r="AD41" s="28">
        <f t="shared" si="44"/>
        <v>8.3959536742577185</v>
      </c>
      <c r="AE41" s="7">
        <f t="shared" si="45"/>
        <v>8.3959536742577185</v>
      </c>
      <c r="AF41" s="7">
        <f t="shared" si="46"/>
        <v>9.3959536742577185</v>
      </c>
      <c r="AG41" s="7">
        <f t="shared" si="47"/>
        <v>77.858162529590359</v>
      </c>
      <c r="AH41" s="7"/>
      <c r="AI41" s="7"/>
      <c r="AJ41" s="7">
        <f>258.56/(PI()/4*N41^2)*1000</f>
        <v>510.2746864137946</v>
      </c>
      <c r="AK41" s="7"/>
      <c r="AL41" s="7"/>
      <c r="AM41" s="7">
        <v>9.5</v>
      </c>
      <c r="AN41" s="7">
        <v>4</v>
      </c>
      <c r="AO41" s="7">
        <v>76</v>
      </c>
      <c r="AP41" s="7">
        <v>4</v>
      </c>
      <c r="AQ41" s="7"/>
      <c r="AR41" s="7"/>
      <c r="AS41" s="4">
        <f t="shared" si="125"/>
        <v>285.75</v>
      </c>
      <c r="AT41" s="4">
        <f t="shared" si="48"/>
        <v>0.16147501441779291</v>
      </c>
      <c r="AU41" s="25">
        <f t="shared" si="49"/>
        <v>561.22411424012159</v>
      </c>
      <c r="AV41" s="4">
        <f t="shared" si="50"/>
        <v>0.76268416447943999</v>
      </c>
      <c r="AW41" s="4">
        <v>1.25</v>
      </c>
      <c r="AX41" s="25">
        <f t="shared" si="119"/>
        <v>5</v>
      </c>
      <c r="AY41" s="38">
        <f t="shared" si="120"/>
        <v>431.98274696563578</v>
      </c>
      <c r="AZ41" s="38">
        <f t="shared" si="121"/>
        <v>431.98274696563578</v>
      </c>
      <c r="BB41" s="38">
        <f t="shared" si="51"/>
        <v>431.9827469656355</v>
      </c>
      <c r="BC41" s="38">
        <f t="shared" si="52"/>
        <v>1.0000000000000007</v>
      </c>
      <c r="BF41" s="4">
        <f t="shared" si="53"/>
        <v>348.58861648898744</v>
      </c>
      <c r="BG41" s="4">
        <f t="shared" si="54"/>
        <v>1</v>
      </c>
      <c r="BH41" s="38">
        <f t="shared" si="55"/>
        <v>708.22938032103059</v>
      </c>
      <c r="BI41" s="4">
        <f t="shared" si="56"/>
        <v>0.3</v>
      </c>
      <c r="BJ41" s="4">
        <f t="shared" si="57"/>
        <v>54.641265634648782</v>
      </c>
      <c r="BK41" s="4">
        <f t="shared" si="58"/>
        <v>762.87064595567938</v>
      </c>
      <c r="BM41" s="36">
        <f t="shared" si="59"/>
        <v>2.2250000000000001</v>
      </c>
      <c r="BN41" s="36">
        <f t="shared" si="60"/>
        <v>523.9674226514469</v>
      </c>
      <c r="BS41" s="4">
        <f t="shared" si="61"/>
        <v>101.8</v>
      </c>
      <c r="BT41" s="4">
        <f t="shared" si="62"/>
        <v>76.86</v>
      </c>
      <c r="BU41" s="4">
        <f t="shared" si="63"/>
        <v>101.8</v>
      </c>
      <c r="BV41" s="4">
        <f t="shared" si="64"/>
        <v>89.56</v>
      </c>
      <c r="BW41" s="4">
        <f t="shared" si="65"/>
        <v>1.0324486078584441</v>
      </c>
      <c r="BX41" s="25">
        <f t="shared" si="66"/>
        <v>4</v>
      </c>
      <c r="BZ41" s="4">
        <f t="shared" si="67"/>
        <v>101.8</v>
      </c>
      <c r="CD41" s="9"/>
      <c r="CF41" s="9"/>
      <c r="CG41" s="9"/>
      <c r="CH41" s="9">
        <f t="shared" si="68"/>
        <v>101.8</v>
      </c>
      <c r="CI41" s="9">
        <f t="shared" si="69"/>
        <v>101.8</v>
      </c>
      <c r="CJ41" s="9">
        <f t="shared" si="70"/>
        <v>2.001967536137395</v>
      </c>
      <c r="CK41" s="70">
        <v>20</v>
      </c>
      <c r="CL41" s="9">
        <f t="shared" si="71"/>
        <v>0.05</v>
      </c>
      <c r="CM41" s="9">
        <f t="shared" si="72"/>
        <v>0.8</v>
      </c>
      <c r="CN41" s="9">
        <f t="shared" si="73"/>
        <v>0.99524931562137331</v>
      </c>
      <c r="CO41" s="9">
        <f t="shared" si="74"/>
        <v>0.97375</v>
      </c>
      <c r="CP41" s="9">
        <f t="shared" si="75"/>
        <v>1.9969246679255115</v>
      </c>
      <c r="CQ41" s="9">
        <f t="shared" si="76"/>
        <v>4.9923116698137786</v>
      </c>
      <c r="CR41" s="9">
        <v>1</v>
      </c>
      <c r="CS41" s="9">
        <f t="shared" si="77"/>
        <v>524.19272533044682</v>
      </c>
      <c r="DP41" s="4">
        <f t="shared" si="78"/>
        <v>4</v>
      </c>
      <c r="DQ41" s="4">
        <f t="shared" si="79"/>
        <v>285.75</v>
      </c>
      <c r="DR41" s="4">
        <f t="shared" si="80"/>
        <v>1</v>
      </c>
      <c r="DT41" s="4">
        <f t="shared" si="81"/>
        <v>2.0755210712749404E-5</v>
      </c>
      <c r="DU41" s="4">
        <f t="shared" si="82"/>
        <v>9.0324733825588019</v>
      </c>
      <c r="DW41" s="4">
        <f t="shared" si="83"/>
        <v>0</v>
      </c>
      <c r="DX41" s="4">
        <f t="shared" si="84"/>
        <v>6.4517667018277161</v>
      </c>
      <c r="DY41" s="4">
        <f t="shared" si="85"/>
        <v>8.5873792483918443</v>
      </c>
      <c r="DZ41" s="38">
        <f t="shared" si="86"/>
        <v>517.5</v>
      </c>
      <c r="EA41" s="4">
        <f t="shared" si="87"/>
        <v>1</v>
      </c>
      <c r="EC41" s="4">
        <f t="shared" si="122"/>
        <v>431.9827469656355</v>
      </c>
      <c r="EG41" s="4">
        <f t="shared" si="88"/>
        <v>0.85</v>
      </c>
      <c r="EH41" s="4">
        <f t="shared" si="89"/>
        <v>0.7</v>
      </c>
      <c r="EI41" s="4">
        <f t="shared" si="90"/>
        <v>0.73926932853865712</v>
      </c>
      <c r="EJ41" s="4">
        <f t="shared" si="91"/>
        <v>0.7</v>
      </c>
      <c r="EL41" s="4">
        <f t="shared" si="92"/>
        <v>517.5</v>
      </c>
      <c r="EM41" s="25">
        <f t="shared" si="93"/>
        <v>416.57097270702945</v>
      </c>
      <c r="EP41" s="4">
        <f t="shared" si="94"/>
        <v>9.0324733825588019</v>
      </c>
      <c r="EQ41" s="4">
        <f t="shared" si="95"/>
        <v>8.5989146601959785</v>
      </c>
      <c r="ES41" s="4">
        <f t="shared" si="96"/>
        <v>77.858162529590359</v>
      </c>
      <c r="ET41" s="4">
        <f t="shared" si="97"/>
        <v>3.0652819893539514</v>
      </c>
      <c r="EU41" s="4">
        <f t="shared" si="98"/>
        <v>0.14477326904881829</v>
      </c>
      <c r="EX41" s="4">
        <f t="shared" si="99"/>
        <v>0.14477326904881829</v>
      </c>
      <c r="EY41" s="4">
        <f t="shared" si="100"/>
        <v>0.4489660219375291</v>
      </c>
      <c r="EZ41" s="4">
        <f t="shared" si="101"/>
        <v>6.556802166961301</v>
      </c>
      <c r="FA41" s="4">
        <f t="shared" si="102"/>
        <v>7.8925545162461042</v>
      </c>
      <c r="FB41" s="4">
        <f t="shared" si="103"/>
        <v>136.45433747040965</v>
      </c>
      <c r="FC41" s="4">
        <f t="shared" si="104"/>
        <v>71.4375</v>
      </c>
      <c r="FD41" s="4">
        <f t="shared" si="105"/>
        <v>2.0755210712749404E-5</v>
      </c>
      <c r="FE41" s="4">
        <f t="shared" si="106"/>
        <v>8.3257607628853858</v>
      </c>
      <c r="FF41" s="4">
        <f t="shared" si="107"/>
        <v>517.5</v>
      </c>
      <c r="FG41" s="4">
        <f t="shared" si="108"/>
        <v>136.45433747040965</v>
      </c>
      <c r="FH41" s="4">
        <f t="shared" si="109"/>
        <v>71.437499999999986</v>
      </c>
      <c r="FJ41" s="4">
        <f t="shared" si="110"/>
        <v>0</v>
      </c>
      <c r="FO41" s="23"/>
      <c r="FP41" s="23"/>
      <c r="FQ41" s="23"/>
      <c r="FR41" s="23"/>
      <c r="FS41" s="23"/>
      <c r="FT41" s="23"/>
      <c r="FU41" s="23"/>
      <c r="FV41" s="23"/>
      <c r="GF41" s="4">
        <f t="shared" si="111"/>
        <v>1</v>
      </c>
      <c r="GG41" s="4">
        <f t="shared" si="112"/>
        <v>0.68688155922038985</v>
      </c>
      <c r="GH41" s="4">
        <f t="shared" si="113"/>
        <v>0.3</v>
      </c>
      <c r="GI41" s="4">
        <f t="shared" si="114"/>
        <v>396.26942221324936</v>
      </c>
    </row>
    <row r="42" spans="1:192" ht="12" hidden="1" customHeight="1" x14ac:dyDescent="0.3">
      <c r="A42" s="25">
        <v>23</v>
      </c>
      <c r="B42" s="26" t="s">
        <v>81</v>
      </c>
      <c r="C42" s="26"/>
      <c r="D42" s="26" t="s">
        <v>82</v>
      </c>
      <c r="E42" s="26"/>
      <c r="F42" s="26"/>
      <c r="G42" s="26"/>
      <c r="H42" s="7" t="s">
        <v>101</v>
      </c>
      <c r="I42" s="7"/>
      <c r="J42" s="28">
        <f t="shared" si="115"/>
        <v>517.5</v>
      </c>
      <c r="K42" s="7">
        <f t="shared" si="128"/>
        <v>285.75</v>
      </c>
      <c r="L42" s="7">
        <f t="shared" si="123"/>
        <v>285.75</v>
      </c>
      <c r="M42" s="7">
        <v>34.659999999999997</v>
      </c>
      <c r="N42" s="7">
        <v>25.4</v>
      </c>
      <c r="O42" s="7">
        <f t="shared" si="116"/>
        <v>11.25</v>
      </c>
      <c r="P42" s="7">
        <f t="shared" si="117"/>
        <v>11.25</v>
      </c>
      <c r="Q42" s="7">
        <v>229</v>
      </c>
      <c r="R42" s="7"/>
      <c r="S42" s="7">
        <f t="shared" si="42"/>
        <v>101.8</v>
      </c>
      <c r="T42" s="7"/>
      <c r="U42" s="7">
        <v>305</v>
      </c>
      <c r="V42" s="7"/>
      <c r="W42" s="7">
        <v>0</v>
      </c>
      <c r="X42" s="7">
        <v>1</v>
      </c>
      <c r="Y42" s="7"/>
      <c r="Z42" s="7"/>
      <c r="AA42" s="7">
        <v>80.19</v>
      </c>
      <c r="AB42" s="7">
        <f t="shared" si="43"/>
        <v>3.6570866141732288</v>
      </c>
      <c r="AC42" s="28">
        <f t="shared" si="118"/>
        <v>3.6570866141732288</v>
      </c>
      <c r="AD42" s="28">
        <f t="shared" si="44"/>
        <v>8.3959536742577185</v>
      </c>
      <c r="AE42" s="7">
        <f t="shared" si="45"/>
        <v>8.3959536742577185</v>
      </c>
      <c r="AF42" s="7">
        <f t="shared" si="46"/>
        <v>9.3959536742577185</v>
      </c>
      <c r="AG42" s="7">
        <f t="shared" si="47"/>
        <v>77.858162529590359</v>
      </c>
      <c r="AH42" s="7"/>
      <c r="AI42" s="7"/>
      <c r="AJ42" s="7">
        <f>253.27/(PI()/4*N42^2)*1000</f>
        <v>499.83473788684159</v>
      </c>
      <c r="AK42" s="7"/>
      <c r="AL42" s="7"/>
      <c r="AM42" s="7">
        <v>9.5</v>
      </c>
      <c r="AN42" s="7">
        <v>4</v>
      </c>
      <c r="AO42" s="7">
        <v>76</v>
      </c>
      <c r="AP42" s="7">
        <v>4</v>
      </c>
      <c r="AQ42" s="7"/>
      <c r="AR42" s="7"/>
      <c r="AS42" s="4">
        <f t="shared" si="125"/>
        <v>285.75</v>
      </c>
      <c r="AT42" s="4">
        <f t="shared" si="48"/>
        <v>0.16251269748081335</v>
      </c>
      <c r="AU42" s="25">
        <f t="shared" si="49"/>
        <v>561.22411424012159</v>
      </c>
      <c r="AV42" s="4">
        <f t="shared" si="50"/>
        <v>0.76501487314085737</v>
      </c>
      <c r="AW42" s="4">
        <v>1.25</v>
      </c>
      <c r="AX42" s="25">
        <f t="shared" si="119"/>
        <v>5</v>
      </c>
      <c r="AY42" s="38">
        <f t="shared" si="120"/>
        <v>436.0873794570511</v>
      </c>
      <c r="AZ42" s="38">
        <f t="shared" si="121"/>
        <v>436.0873794570511</v>
      </c>
      <c r="BB42" s="38">
        <f t="shared" si="51"/>
        <v>436.08737945705087</v>
      </c>
      <c r="BC42" s="38">
        <f t="shared" si="52"/>
        <v>1.0000000000000004</v>
      </c>
      <c r="BF42" s="4">
        <f t="shared" si="53"/>
        <v>348.58861648898744</v>
      </c>
      <c r="BG42" s="4">
        <f t="shared" si="54"/>
        <v>1</v>
      </c>
      <c r="BH42" s="38">
        <f t="shared" si="55"/>
        <v>734.56260761523595</v>
      </c>
      <c r="BI42" s="4">
        <f t="shared" si="56"/>
        <v>0.3</v>
      </c>
      <c r="BJ42" s="4">
        <f t="shared" si="57"/>
        <v>54.641265634648782</v>
      </c>
      <c r="BK42" s="4">
        <f t="shared" si="58"/>
        <v>789.20387324988474</v>
      </c>
      <c r="BM42" s="36">
        <f t="shared" si="59"/>
        <v>2.2250000000000001</v>
      </c>
      <c r="BN42" s="36">
        <f t="shared" si="60"/>
        <v>523.9674226514469</v>
      </c>
      <c r="BS42" s="4">
        <f t="shared" si="61"/>
        <v>101.8</v>
      </c>
      <c r="BT42" s="4">
        <f t="shared" si="62"/>
        <v>80.19</v>
      </c>
      <c r="BU42" s="4">
        <f t="shared" si="63"/>
        <v>101.8</v>
      </c>
      <c r="BV42" s="4">
        <f t="shared" si="64"/>
        <v>92.89</v>
      </c>
      <c r="BW42" s="4">
        <f t="shared" si="65"/>
        <v>1.0269484973188676</v>
      </c>
      <c r="BX42" s="25">
        <f t="shared" si="66"/>
        <v>4</v>
      </c>
      <c r="BZ42" s="4">
        <f t="shared" si="67"/>
        <v>101.8</v>
      </c>
      <c r="CD42" s="9"/>
      <c r="CF42" s="9"/>
      <c r="CG42" s="9"/>
      <c r="CH42" s="9">
        <f t="shared" si="68"/>
        <v>101.8</v>
      </c>
      <c r="CI42" s="9">
        <f t="shared" si="69"/>
        <v>101.8</v>
      </c>
      <c r="CJ42" s="9">
        <f t="shared" si="70"/>
        <v>2.001967536137395</v>
      </c>
      <c r="CK42" s="70">
        <v>20</v>
      </c>
      <c r="CL42" s="9">
        <f t="shared" si="71"/>
        <v>0.05</v>
      </c>
      <c r="CM42" s="9">
        <f t="shared" si="72"/>
        <v>0.8</v>
      </c>
      <c r="CN42" s="9">
        <f t="shared" si="73"/>
        <v>0.99524931562137331</v>
      </c>
      <c r="CO42" s="9">
        <f t="shared" si="74"/>
        <v>0.97375</v>
      </c>
      <c r="CP42" s="9">
        <f t="shared" si="75"/>
        <v>1.9969246679255115</v>
      </c>
      <c r="CQ42" s="9">
        <f t="shared" si="76"/>
        <v>4.9923116698137786</v>
      </c>
      <c r="CR42" s="9">
        <v>1</v>
      </c>
      <c r="CS42" s="9">
        <f t="shared" si="77"/>
        <v>524.19272533044682</v>
      </c>
      <c r="DP42" s="4">
        <f t="shared" si="78"/>
        <v>4</v>
      </c>
      <c r="DQ42" s="4">
        <f t="shared" si="79"/>
        <v>285.75</v>
      </c>
      <c r="DR42" s="4">
        <f t="shared" si="80"/>
        <v>1</v>
      </c>
      <c r="DT42" s="4">
        <f t="shared" si="81"/>
        <v>2.0755210712749404E-5</v>
      </c>
      <c r="DU42" s="4">
        <f t="shared" si="82"/>
        <v>9.0324733825588019</v>
      </c>
      <c r="DW42" s="4">
        <f t="shared" si="83"/>
        <v>0</v>
      </c>
      <c r="DX42" s="4">
        <f t="shared" si="84"/>
        <v>6.4517667018277161</v>
      </c>
      <c r="DY42" s="4">
        <f t="shared" si="85"/>
        <v>8.5873792483918443</v>
      </c>
      <c r="DZ42" s="38">
        <f t="shared" si="86"/>
        <v>517.5</v>
      </c>
      <c r="EA42" s="4">
        <f t="shared" si="87"/>
        <v>1</v>
      </c>
      <c r="EC42" s="4">
        <f t="shared" si="122"/>
        <v>436.08737945705087</v>
      </c>
      <c r="EG42" s="4">
        <f t="shared" si="88"/>
        <v>0.85</v>
      </c>
      <c r="EH42" s="4">
        <f t="shared" si="89"/>
        <v>0.7</v>
      </c>
      <c r="EI42" s="4">
        <f t="shared" si="90"/>
        <v>0.73926932853865712</v>
      </c>
      <c r="EJ42" s="4">
        <f t="shared" si="91"/>
        <v>0.7</v>
      </c>
      <c r="EL42" s="4">
        <f t="shared" si="92"/>
        <v>517.5</v>
      </c>
      <c r="EM42" s="25">
        <f t="shared" si="93"/>
        <v>417.85899560346201</v>
      </c>
      <c r="EP42" s="4">
        <f t="shared" si="94"/>
        <v>9.0324733825588019</v>
      </c>
      <c r="EQ42" s="4">
        <f t="shared" si="95"/>
        <v>8.5989146601959785</v>
      </c>
      <c r="ES42" s="4">
        <f t="shared" si="96"/>
        <v>77.858162529590359</v>
      </c>
      <c r="ET42" s="4">
        <f t="shared" si="97"/>
        <v>3.0652819893539514</v>
      </c>
      <c r="EU42" s="4">
        <f t="shared" si="98"/>
        <v>0.14614888200604936</v>
      </c>
      <c r="EX42" s="4">
        <f t="shared" si="99"/>
        <v>0.14614888200604936</v>
      </c>
      <c r="EY42" s="4">
        <f t="shared" si="100"/>
        <v>0.45323202685122277</v>
      </c>
      <c r="EZ42" s="4">
        <f t="shared" si="101"/>
        <v>6.5816521704497388</v>
      </c>
      <c r="FA42" s="4">
        <f t="shared" si="102"/>
        <v>7.9028793178392709</v>
      </c>
      <c r="FB42" s="4">
        <f t="shared" si="103"/>
        <v>136.45433747040965</v>
      </c>
      <c r="FC42" s="4">
        <f t="shared" si="104"/>
        <v>71.4375</v>
      </c>
      <c r="FD42" s="4">
        <f t="shared" si="105"/>
        <v>2.0755210712749404E-5</v>
      </c>
      <c r="FE42" s="4">
        <f t="shared" si="106"/>
        <v>8.3245236605571389</v>
      </c>
      <c r="FF42" s="4">
        <f t="shared" si="107"/>
        <v>517.5</v>
      </c>
      <c r="FG42" s="4">
        <f t="shared" si="108"/>
        <v>136.45433747040965</v>
      </c>
      <c r="FH42" s="4">
        <f t="shared" si="109"/>
        <v>71.437499999999986</v>
      </c>
      <c r="FJ42" s="4">
        <f t="shared" si="110"/>
        <v>0</v>
      </c>
      <c r="FO42" s="23"/>
      <c r="FP42" s="23"/>
      <c r="FQ42" s="23"/>
      <c r="FR42" s="23"/>
      <c r="FS42" s="23"/>
      <c r="FT42" s="23"/>
      <c r="FU42" s="23"/>
      <c r="FV42" s="23"/>
      <c r="GF42" s="4">
        <f t="shared" si="111"/>
        <v>1</v>
      </c>
      <c r="GG42" s="4">
        <f t="shared" si="112"/>
        <v>0.68688155922038985</v>
      </c>
      <c r="GH42" s="4">
        <f t="shared" si="113"/>
        <v>0.3</v>
      </c>
      <c r="GI42" s="4">
        <f t="shared" si="114"/>
        <v>396.26942221324936</v>
      </c>
    </row>
    <row r="43" spans="1:192" ht="12" hidden="1" customHeight="1" x14ac:dyDescent="0.3">
      <c r="A43" s="25">
        <v>24</v>
      </c>
      <c r="B43" s="26" t="s">
        <v>81</v>
      </c>
      <c r="C43" s="26"/>
      <c r="D43" s="26" t="s">
        <v>82</v>
      </c>
      <c r="E43" s="26"/>
      <c r="F43" s="26"/>
      <c r="G43" s="26"/>
      <c r="H43" s="7" t="s">
        <v>102</v>
      </c>
      <c r="I43" s="7"/>
      <c r="J43" s="28">
        <f t="shared" si="115"/>
        <v>517.5</v>
      </c>
      <c r="K43" s="7">
        <f t="shared" si="128"/>
        <v>285.75</v>
      </c>
      <c r="L43" s="7">
        <f t="shared" si="123"/>
        <v>285.75</v>
      </c>
      <c r="M43" s="7">
        <v>34.659999999999997</v>
      </c>
      <c r="N43" s="7">
        <v>25.4</v>
      </c>
      <c r="O43" s="7">
        <f t="shared" si="116"/>
        <v>11.25</v>
      </c>
      <c r="P43" s="7">
        <f t="shared" si="117"/>
        <v>11.25</v>
      </c>
      <c r="Q43" s="7">
        <v>229</v>
      </c>
      <c r="R43" s="7"/>
      <c r="S43" s="7">
        <f t="shared" si="42"/>
        <v>101.8</v>
      </c>
      <c r="T43" s="7"/>
      <c r="U43" s="7">
        <v>305</v>
      </c>
      <c r="V43" s="7"/>
      <c r="W43" s="7">
        <v>0</v>
      </c>
      <c r="X43" s="7">
        <v>1</v>
      </c>
      <c r="Y43" s="7"/>
      <c r="Z43" s="7"/>
      <c r="AA43" s="7">
        <v>82.22</v>
      </c>
      <c r="AB43" s="7">
        <f t="shared" si="43"/>
        <v>3.7370078740157484</v>
      </c>
      <c r="AC43" s="28">
        <f t="shared" si="118"/>
        <v>3.7370078740157484</v>
      </c>
      <c r="AD43" s="28">
        <f t="shared" si="44"/>
        <v>8.3959536742577185</v>
      </c>
      <c r="AE43" s="7">
        <f t="shared" si="45"/>
        <v>8.3959536742577185</v>
      </c>
      <c r="AF43" s="7">
        <f t="shared" si="46"/>
        <v>9.3959536742577185</v>
      </c>
      <c r="AG43" s="7">
        <f t="shared" si="47"/>
        <v>77.858162529590359</v>
      </c>
      <c r="AH43" s="7"/>
      <c r="AI43" s="7"/>
      <c r="AJ43" s="7">
        <f>248.6/(PI()/4*N43^2)*1000</f>
        <v>490.61837500955028</v>
      </c>
      <c r="AK43" s="7"/>
      <c r="AL43" s="7"/>
      <c r="AM43" s="7">
        <v>9.5</v>
      </c>
      <c r="AN43" s="7">
        <v>4</v>
      </c>
      <c r="AO43" s="7">
        <v>76</v>
      </c>
      <c r="AP43" s="7">
        <v>4</v>
      </c>
      <c r="AQ43" s="7"/>
      <c r="AR43" s="7"/>
      <c r="AS43" s="4">
        <f t="shared" si="125"/>
        <v>285.75</v>
      </c>
      <c r="AT43" s="4">
        <f t="shared" si="48"/>
        <v>0.16314527904775977</v>
      </c>
      <c r="AU43" s="25">
        <f t="shared" si="49"/>
        <v>561.22411424012159</v>
      </c>
      <c r="AV43" s="4">
        <f t="shared" si="50"/>
        <v>0.76643569553805768</v>
      </c>
      <c r="AW43" s="4">
        <v>1.25</v>
      </c>
      <c r="AX43" s="25">
        <f t="shared" si="119"/>
        <v>5</v>
      </c>
      <c r="AY43" s="38">
        <f t="shared" si="120"/>
        <v>438.5979270469054</v>
      </c>
      <c r="AZ43" s="38">
        <f t="shared" si="121"/>
        <v>438.5979270469054</v>
      </c>
      <c r="BB43" s="38">
        <f t="shared" si="51"/>
        <v>438.59792704690506</v>
      </c>
      <c r="BC43" s="38">
        <f t="shared" si="52"/>
        <v>1.0000000000000009</v>
      </c>
      <c r="BF43" s="4">
        <f t="shared" si="53"/>
        <v>348.58861648898744</v>
      </c>
      <c r="BG43" s="4">
        <f t="shared" si="54"/>
        <v>1</v>
      </c>
      <c r="BH43" s="38">
        <f t="shared" si="55"/>
        <v>750.61559602581758</v>
      </c>
      <c r="BI43" s="4">
        <f t="shared" si="56"/>
        <v>0.3</v>
      </c>
      <c r="BJ43" s="4">
        <f t="shared" si="57"/>
        <v>54.641265634648782</v>
      </c>
      <c r="BK43" s="4">
        <f t="shared" si="58"/>
        <v>805.25686166046637</v>
      </c>
      <c r="BM43" s="36">
        <f t="shared" si="59"/>
        <v>2.2250000000000001</v>
      </c>
      <c r="BN43" s="36">
        <f t="shared" si="60"/>
        <v>523.9674226514469</v>
      </c>
      <c r="BS43" s="4">
        <f t="shared" si="61"/>
        <v>101.8</v>
      </c>
      <c r="BT43" s="4">
        <f t="shared" si="62"/>
        <v>82.22</v>
      </c>
      <c r="BU43" s="4">
        <f t="shared" si="63"/>
        <v>101.8</v>
      </c>
      <c r="BV43" s="4">
        <f t="shared" si="64"/>
        <v>94.92</v>
      </c>
      <c r="BW43" s="4">
        <f t="shared" si="65"/>
        <v>1.0238141571393822</v>
      </c>
      <c r="BX43" s="25">
        <f t="shared" si="66"/>
        <v>4</v>
      </c>
      <c r="BZ43" s="4">
        <f t="shared" si="67"/>
        <v>101.8</v>
      </c>
      <c r="CD43" s="9"/>
      <c r="CF43" s="9"/>
      <c r="CG43" s="9"/>
      <c r="CH43" s="9">
        <f t="shared" si="68"/>
        <v>101.8</v>
      </c>
      <c r="CI43" s="9">
        <f t="shared" si="69"/>
        <v>101.8</v>
      </c>
      <c r="CJ43" s="9">
        <f t="shared" si="70"/>
        <v>2.001967536137395</v>
      </c>
      <c r="CK43" s="70">
        <v>20</v>
      </c>
      <c r="CL43" s="9">
        <f t="shared" si="71"/>
        <v>0.05</v>
      </c>
      <c r="CM43" s="9">
        <f t="shared" si="72"/>
        <v>0.8</v>
      </c>
      <c r="CN43" s="9">
        <f t="shared" si="73"/>
        <v>0.99524931562137331</v>
      </c>
      <c r="CO43" s="9">
        <f t="shared" si="74"/>
        <v>0.97375</v>
      </c>
      <c r="CP43" s="9">
        <f t="shared" si="75"/>
        <v>1.9969246679255115</v>
      </c>
      <c r="CQ43" s="9">
        <f t="shared" si="76"/>
        <v>4.9923116698137786</v>
      </c>
      <c r="CR43" s="9">
        <v>1</v>
      </c>
      <c r="CS43" s="9">
        <f t="shared" si="77"/>
        <v>524.19272533044682</v>
      </c>
      <c r="DP43" s="4">
        <f t="shared" si="78"/>
        <v>4</v>
      </c>
      <c r="DQ43" s="4">
        <f t="shared" si="79"/>
        <v>285.75</v>
      </c>
      <c r="DR43" s="4">
        <f t="shared" si="80"/>
        <v>1</v>
      </c>
      <c r="DT43" s="4">
        <f t="shared" si="81"/>
        <v>2.0755210712749404E-5</v>
      </c>
      <c r="DU43" s="4">
        <f t="shared" si="82"/>
        <v>9.0324733825588019</v>
      </c>
      <c r="DW43" s="4">
        <f t="shared" si="83"/>
        <v>0</v>
      </c>
      <c r="DX43" s="4">
        <f t="shared" si="84"/>
        <v>6.4517667018277161</v>
      </c>
      <c r="DY43" s="4">
        <f t="shared" si="85"/>
        <v>8.5873792483918443</v>
      </c>
      <c r="DZ43" s="38">
        <f t="shared" si="86"/>
        <v>517.5</v>
      </c>
      <c r="EA43" s="4">
        <f t="shared" si="87"/>
        <v>1</v>
      </c>
      <c r="EC43" s="4">
        <f t="shared" si="122"/>
        <v>438.59792704690506</v>
      </c>
      <c r="EG43" s="4">
        <f t="shared" si="88"/>
        <v>0.85</v>
      </c>
      <c r="EH43" s="4">
        <f t="shared" si="89"/>
        <v>0.7</v>
      </c>
      <c r="EI43" s="4">
        <f t="shared" si="90"/>
        <v>0.73926932853865712</v>
      </c>
      <c r="EJ43" s="4">
        <f t="shared" si="91"/>
        <v>0.7</v>
      </c>
      <c r="EL43" s="4">
        <f t="shared" si="92"/>
        <v>517.5</v>
      </c>
      <c r="EM43" s="25">
        <f t="shared" si="93"/>
        <v>418.64418673852452</v>
      </c>
      <c r="EP43" s="4">
        <f t="shared" si="94"/>
        <v>9.0324733825588019</v>
      </c>
      <c r="EQ43" s="4">
        <f t="shared" si="95"/>
        <v>8.5989146601959785</v>
      </c>
      <c r="ES43" s="4">
        <f t="shared" si="96"/>
        <v>77.858162529590359</v>
      </c>
      <c r="ET43" s="4">
        <f t="shared" si="97"/>
        <v>3.0652819893539514</v>
      </c>
      <c r="EU43" s="4">
        <f t="shared" si="98"/>
        <v>0.14699025862175652</v>
      </c>
      <c r="EX43" s="4">
        <f t="shared" si="99"/>
        <v>0.14699025862175652</v>
      </c>
      <c r="EY43" s="4">
        <f t="shared" si="100"/>
        <v>0.45584127588308598</v>
      </c>
      <c r="EZ43" s="4">
        <f t="shared" si="101"/>
        <v>6.5967822579745006</v>
      </c>
      <c r="FA43" s="4">
        <f t="shared" si="102"/>
        <v>7.9091783259944446</v>
      </c>
      <c r="FB43" s="4">
        <f t="shared" si="103"/>
        <v>136.45433747040965</v>
      </c>
      <c r="FC43" s="4">
        <f t="shared" si="104"/>
        <v>71.4375</v>
      </c>
      <c r="FD43" s="4">
        <f t="shared" si="105"/>
        <v>2.0755210712749404E-5</v>
      </c>
      <c r="FE43" s="4">
        <f t="shared" si="106"/>
        <v>8.3237698022751303</v>
      </c>
      <c r="FF43" s="4">
        <f t="shared" si="107"/>
        <v>517.5</v>
      </c>
      <c r="FG43" s="4">
        <f t="shared" si="108"/>
        <v>136.45433747040965</v>
      </c>
      <c r="FH43" s="4">
        <f t="shared" si="109"/>
        <v>71.437499999999986</v>
      </c>
      <c r="FJ43" s="4">
        <f t="shared" si="110"/>
        <v>0</v>
      </c>
      <c r="FO43" s="23"/>
      <c r="FP43" s="23"/>
      <c r="FQ43" s="23"/>
      <c r="FR43" s="23"/>
      <c r="FS43" s="23"/>
      <c r="FT43" s="23"/>
      <c r="FU43" s="23"/>
      <c r="FV43" s="23"/>
      <c r="GF43" s="4">
        <f t="shared" si="111"/>
        <v>1</v>
      </c>
      <c r="GG43" s="4">
        <f t="shared" si="112"/>
        <v>0.68688155922038985</v>
      </c>
      <c r="GH43" s="4">
        <f t="shared" si="113"/>
        <v>0.3</v>
      </c>
      <c r="GI43" s="4">
        <f t="shared" si="114"/>
        <v>396.26942221324936</v>
      </c>
    </row>
    <row r="44" spans="1:192" ht="12" hidden="1" customHeight="1" x14ac:dyDescent="0.3">
      <c r="A44" s="25">
        <v>25</v>
      </c>
      <c r="B44" s="26" t="s">
        <v>81</v>
      </c>
      <c r="C44" s="26"/>
      <c r="D44" s="26" t="s">
        <v>82</v>
      </c>
      <c r="E44" s="26"/>
      <c r="F44" s="26"/>
      <c r="G44" s="26"/>
      <c r="H44" s="7" t="s">
        <v>103</v>
      </c>
      <c r="I44" s="7"/>
      <c r="J44" s="28">
        <f t="shared" si="115"/>
        <v>517.5</v>
      </c>
      <c r="K44" s="7">
        <f t="shared" si="128"/>
        <v>285.75</v>
      </c>
      <c r="L44" s="7">
        <f t="shared" si="123"/>
        <v>285.75</v>
      </c>
      <c r="M44" s="7">
        <v>34.659999999999997</v>
      </c>
      <c r="N44" s="7">
        <v>25.4</v>
      </c>
      <c r="O44" s="7">
        <f t="shared" si="116"/>
        <v>11.25</v>
      </c>
      <c r="P44" s="7">
        <f t="shared" si="117"/>
        <v>11.25</v>
      </c>
      <c r="Q44" s="7">
        <v>229</v>
      </c>
      <c r="R44" s="7"/>
      <c r="S44" s="7">
        <f t="shared" si="42"/>
        <v>101.8</v>
      </c>
      <c r="T44" s="7"/>
      <c r="U44" s="7">
        <v>305</v>
      </c>
      <c r="V44" s="7"/>
      <c r="W44" s="7">
        <v>0</v>
      </c>
      <c r="X44" s="7">
        <v>1</v>
      </c>
      <c r="Y44" s="7"/>
      <c r="Z44" s="7"/>
      <c r="AA44" s="7">
        <v>55.45</v>
      </c>
      <c r="AB44" s="7">
        <f t="shared" si="43"/>
        <v>2.6830708661417328</v>
      </c>
      <c r="AC44" s="28">
        <f t="shared" si="118"/>
        <v>2.6830708661417328</v>
      </c>
      <c r="AD44" s="28">
        <f t="shared" si="44"/>
        <v>8.3959536742577185</v>
      </c>
      <c r="AE44" s="7">
        <f t="shared" si="45"/>
        <v>8.3959536742577185</v>
      </c>
      <c r="AF44" s="7">
        <f t="shared" si="46"/>
        <v>9.3959536742577185</v>
      </c>
      <c r="AG44" s="7">
        <f t="shared" si="47"/>
        <v>77.858162529590359</v>
      </c>
      <c r="AH44" s="7"/>
      <c r="AI44" s="7"/>
      <c r="AJ44" s="7">
        <f>249.62/(PI()/4*N44^2)*1000</f>
        <v>492.6313707557681</v>
      </c>
      <c r="AK44" s="7"/>
      <c r="AL44" s="7"/>
      <c r="AM44" s="7">
        <v>9.5</v>
      </c>
      <c r="AN44" s="7">
        <v>4</v>
      </c>
      <c r="AO44" s="7">
        <v>76</v>
      </c>
      <c r="AP44" s="7">
        <v>4</v>
      </c>
      <c r="AQ44" s="7"/>
      <c r="AR44" s="7"/>
      <c r="AS44" s="4">
        <f t="shared" si="125"/>
        <v>285.75</v>
      </c>
      <c r="AT44" s="4">
        <f t="shared" si="48"/>
        <v>0.15480330439398876</v>
      </c>
      <c r="AU44" s="25">
        <f t="shared" si="49"/>
        <v>561.22411424012159</v>
      </c>
      <c r="AV44" s="4">
        <f t="shared" si="50"/>
        <v>0.74769903762029744</v>
      </c>
      <c r="AW44" s="4">
        <v>1.25</v>
      </c>
      <c r="AX44" s="25">
        <f t="shared" si="119"/>
        <v>5</v>
      </c>
      <c r="AY44" s="38">
        <f t="shared" si="120"/>
        <v>405.99752770345503</v>
      </c>
      <c r="AZ44" s="38">
        <f t="shared" si="121"/>
        <v>405.99752770345503</v>
      </c>
      <c r="BB44" s="38">
        <f t="shared" si="51"/>
        <v>405.99752770345469</v>
      </c>
      <c r="BC44" s="38">
        <f t="shared" si="52"/>
        <v>1.0000000000000009</v>
      </c>
      <c r="BF44" s="4">
        <f t="shared" si="53"/>
        <v>348.58861648898744</v>
      </c>
      <c r="BG44" s="4">
        <f t="shared" si="54"/>
        <v>1</v>
      </c>
      <c r="BH44" s="38">
        <f t="shared" si="55"/>
        <v>538.92175378381239</v>
      </c>
      <c r="BI44" s="4">
        <f t="shared" si="56"/>
        <v>0.3</v>
      </c>
      <c r="BJ44" s="4">
        <f t="shared" si="57"/>
        <v>54.641265634648782</v>
      </c>
      <c r="BK44" s="4">
        <f t="shared" si="58"/>
        <v>593.56301941846118</v>
      </c>
      <c r="BM44" s="36">
        <f t="shared" si="59"/>
        <v>2.2250000000000001</v>
      </c>
      <c r="BN44" s="36">
        <f t="shared" si="60"/>
        <v>523.9674226514469</v>
      </c>
      <c r="BS44" s="4">
        <f t="shared" si="61"/>
        <v>101.8</v>
      </c>
      <c r="BT44" s="4">
        <f t="shared" si="62"/>
        <v>55.45</v>
      </c>
      <c r="BU44" s="4">
        <f t="shared" si="63"/>
        <v>101.8</v>
      </c>
      <c r="BV44" s="4">
        <f t="shared" si="64"/>
        <v>68.150000000000006</v>
      </c>
      <c r="BW44" s="4">
        <f t="shared" si="65"/>
        <v>1.0835888187556357</v>
      </c>
      <c r="BX44" s="25">
        <f t="shared" si="66"/>
        <v>4</v>
      </c>
      <c r="BZ44" s="4">
        <f t="shared" si="67"/>
        <v>101.8</v>
      </c>
      <c r="CD44" s="9"/>
      <c r="CF44" s="9"/>
      <c r="CG44" s="9"/>
      <c r="CH44" s="9">
        <f t="shared" si="68"/>
        <v>101.8</v>
      </c>
      <c r="CI44" s="9">
        <f t="shared" si="69"/>
        <v>101.8</v>
      </c>
      <c r="CJ44" s="9">
        <f t="shared" si="70"/>
        <v>2.001967536137395</v>
      </c>
      <c r="CK44" s="70">
        <v>20</v>
      </c>
      <c r="CL44" s="9">
        <f t="shared" si="71"/>
        <v>0.05</v>
      </c>
      <c r="CM44" s="9">
        <f t="shared" si="72"/>
        <v>0.8</v>
      </c>
      <c r="CN44" s="9">
        <f t="shared" si="73"/>
        <v>0.99524931562137331</v>
      </c>
      <c r="CO44" s="9">
        <f t="shared" si="74"/>
        <v>0.97375</v>
      </c>
      <c r="CP44" s="9">
        <f t="shared" si="75"/>
        <v>1.9969246679255115</v>
      </c>
      <c r="CQ44" s="9">
        <f t="shared" si="76"/>
        <v>4.9923116698137786</v>
      </c>
      <c r="CR44" s="9">
        <v>1</v>
      </c>
      <c r="CS44" s="9">
        <f t="shared" si="77"/>
        <v>524.19272533044682</v>
      </c>
      <c r="DP44" s="4">
        <f t="shared" si="78"/>
        <v>4</v>
      </c>
      <c r="DQ44" s="4">
        <f t="shared" si="79"/>
        <v>285.75</v>
      </c>
      <c r="DR44" s="4">
        <f t="shared" si="80"/>
        <v>1</v>
      </c>
      <c r="DT44" s="4">
        <f t="shared" si="81"/>
        <v>2.0755210712749404E-5</v>
      </c>
      <c r="DU44" s="4">
        <f t="shared" si="82"/>
        <v>9.0324733825588019</v>
      </c>
      <c r="DW44" s="4">
        <f t="shared" si="83"/>
        <v>0</v>
      </c>
      <c r="DX44" s="4">
        <f t="shared" si="84"/>
        <v>6.4517667018277161</v>
      </c>
      <c r="DY44" s="4">
        <f t="shared" si="85"/>
        <v>8.5873792483918443</v>
      </c>
      <c r="DZ44" s="38">
        <f t="shared" si="86"/>
        <v>517.5</v>
      </c>
      <c r="EA44" s="4">
        <f t="shared" si="87"/>
        <v>1</v>
      </c>
      <c r="EC44" s="4">
        <f t="shared" si="122"/>
        <v>405.99752770345469</v>
      </c>
      <c r="EG44" s="4">
        <f t="shared" si="88"/>
        <v>0.85</v>
      </c>
      <c r="EH44" s="4">
        <f t="shared" si="89"/>
        <v>0.7</v>
      </c>
      <c r="EI44" s="4">
        <f t="shared" si="90"/>
        <v>0.73926932853865712</v>
      </c>
      <c r="EJ44" s="4">
        <f t="shared" si="91"/>
        <v>0.7</v>
      </c>
      <c r="EL44" s="4">
        <f t="shared" si="92"/>
        <v>517.5</v>
      </c>
      <c r="EM44" s="25">
        <f t="shared" si="93"/>
        <v>408.28972039092707</v>
      </c>
      <c r="EP44" s="4">
        <f t="shared" si="94"/>
        <v>9.0324733825588019</v>
      </c>
      <c r="EQ44" s="4">
        <f t="shared" si="95"/>
        <v>8.5989146601959785</v>
      </c>
      <c r="ES44" s="4">
        <f t="shared" si="96"/>
        <v>77.858162529590359</v>
      </c>
      <c r="ET44" s="4">
        <f t="shared" si="97"/>
        <v>3.0652819893539514</v>
      </c>
      <c r="EU44" s="4">
        <f t="shared" si="98"/>
        <v>0.13606466861058017</v>
      </c>
      <c r="EX44" s="4">
        <f t="shared" si="99"/>
        <v>0.13606466861058017</v>
      </c>
      <c r="EY44" s="4">
        <f t="shared" si="100"/>
        <v>0.42195920140299542</v>
      </c>
      <c r="EZ44" s="4">
        <f t="shared" si="101"/>
        <v>6.3960945508971907</v>
      </c>
      <c r="FA44" s="4">
        <f t="shared" si="102"/>
        <v>7.8264154773661634</v>
      </c>
      <c r="FB44" s="4">
        <f t="shared" si="103"/>
        <v>136.45433747040965</v>
      </c>
      <c r="FC44" s="4">
        <f t="shared" si="104"/>
        <v>71.4375</v>
      </c>
      <c r="FD44" s="4">
        <f t="shared" si="105"/>
        <v>2.0755210712749404E-5</v>
      </c>
      <c r="FE44" s="4">
        <f t="shared" si="106"/>
        <v>8.3337293000677306</v>
      </c>
      <c r="FF44" s="4">
        <f t="shared" si="107"/>
        <v>517.5</v>
      </c>
      <c r="FG44" s="4">
        <f t="shared" si="108"/>
        <v>136.45433747040965</v>
      </c>
      <c r="FH44" s="4">
        <f t="shared" si="109"/>
        <v>71.437499999999986</v>
      </c>
      <c r="FJ44" s="4">
        <f t="shared" si="110"/>
        <v>0</v>
      </c>
      <c r="FO44" s="23"/>
      <c r="FP44" s="23"/>
      <c r="FQ44" s="23"/>
      <c r="FR44" s="23"/>
      <c r="FS44" s="23"/>
      <c r="FT44" s="23"/>
      <c r="FU44" s="23"/>
      <c r="FV44" s="23"/>
      <c r="GF44" s="4">
        <f t="shared" si="111"/>
        <v>1</v>
      </c>
      <c r="GG44" s="4">
        <f t="shared" si="112"/>
        <v>0.68688155922038985</v>
      </c>
      <c r="GH44" s="4">
        <f t="shared" si="113"/>
        <v>0.3</v>
      </c>
      <c r="GI44" s="4">
        <f t="shared" si="114"/>
        <v>396.26942221324936</v>
      </c>
    </row>
    <row r="45" spans="1:192" ht="12" hidden="1" customHeight="1" x14ac:dyDescent="0.3">
      <c r="A45" s="25">
        <v>26</v>
      </c>
      <c r="B45" s="26" t="s">
        <v>81</v>
      </c>
      <c r="C45" s="26"/>
      <c r="D45" s="26" t="s">
        <v>82</v>
      </c>
      <c r="E45" s="26"/>
      <c r="F45" s="26"/>
      <c r="G45" s="26"/>
      <c r="H45" s="7" t="s">
        <v>104</v>
      </c>
      <c r="I45" s="7"/>
      <c r="J45" s="28">
        <f t="shared" si="115"/>
        <v>517.5</v>
      </c>
      <c r="K45" s="7">
        <f t="shared" si="128"/>
        <v>285.75</v>
      </c>
      <c r="L45" s="7">
        <f t="shared" si="123"/>
        <v>285.75</v>
      </c>
      <c r="M45" s="7">
        <v>34.659999999999997</v>
      </c>
      <c r="N45" s="7">
        <v>25.4</v>
      </c>
      <c r="O45" s="7">
        <f t="shared" si="116"/>
        <v>11.25</v>
      </c>
      <c r="P45" s="7">
        <f t="shared" si="117"/>
        <v>11.25</v>
      </c>
      <c r="Q45" s="7">
        <v>229</v>
      </c>
      <c r="R45" s="7"/>
      <c r="S45" s="7">
        <f t="shared" si="42"/>
        <v>101.8</v>
      </c>
      <c r="T45" s="7"/>
      <c r="U45" s="7">
        <v>305</v>
      </c>
      <c r="V45" s="7"/>
      <c r="W45" s="7">
        <v>0</v>
      </c>
      <c r="X45" s="7">
        <v>1</v>
      </c>
      <c r="Y45" s="7"/>
      <c r="Z45" s="7"/>
      <c r="AA45" s="7">
        <v>55.7</v>
      </c>
      <c r="AB45" s="7">
        <f t="shared" si="43"/>
        <v>2.6929133858267722</v>
      </c>
      <c r="AC45" s="28">
        <f t="shared" si="118"/>
        <v>2.6929133858267722</v>
      </c>
      <c r="AD45" s="28">
        <f t="shared" si="44"/>
        <v>8.3959536742577185</v>
      </c>
      <c r="AE45" s="7">
        <f t="shared" si="45"/>
        <v>8.3959536742577185</v>
      </c>
      <c r="AF45" s="7">
        <f t="shared" si="46"/>
        <v>9.3959536742577185</v>
      </c>
      <c r="AG45" s="7">
        <f t="shared" si="47"/>
        <v>77.858162529590359</v>
      </c>
      <c r="AH45" s="7"/>
      <c r="AI45" s="7"/>
      <c r="AJ45" s="7">
        <f>231.87/(PI()/4*N45^2)*1000</f>
        <v>457.60129772109588</v>
      </c>
      <c r="AK45" s="7"/>
      <c r="AL45" s="7"/>
      <c r="AM45" s="7">
        <v>9.5</v>
      </c>
      <c r="AN45" s="7">
        <v>4</v>
      </c>
      <c r="AO45" s="7">
        <v>76</v>
      </c>
      <c r="AP45" s="7">
        <v>4</v>
      </c>
      <c r="AQ45" s="7"/>
      <c r="AR45" s="7"/>
      <c r="AS45" s="4">
        <f t="shared" si="125"/>
        <v>285.75</v>
      </c>
      <c r="AT45" s="4">
        <f t="shared" si="48"/>
        <v>0.15488120852784915</v>
      </c>
      <c r="AU45" s="25">
        <f t="shared" si="49"/>
        <v>561.22411424012159</v>
      </c>
      <c r="AV45" s="4">
        <f t="shared" si="50"/>
        <v>0.74787401574803147</v>
      </c>
      <c r="AW45" s="4">
        <v>1.25</v>
      </c>
      <c r="AX45" s="25">
        <f t="shared" si="119"/>
        <v>5</v>
      </c>
      <c r="AY45" s="38">
        <f t="shared" si="120"/>
        <v>406.29690453368073</v>
      </c>
      <c r="AZ45" s="38">
        <f t="shared" si="121"/>
        <v>406.29690453368073</v>
      </c>
      <c r="BB45" s="38">
        <f t="shared" si="51"/>
        <v>406.29690453368045</v>
      </c>
      <c r="BC45" s="38">
        <f t="shared" si="52"/>
        <v>1.0000000000000007</v>
      </c>
      <c r="BF45" s="4">
        <f t="shared" si="53"/>
        <v>348.58861648898744</v>
      </c>
      <c r="BG45" s="4">
        <f t="shared" si="54"/>
        <v>1</v>
      </c>
      <c r="BH45" s="38">
        <f t="shared" si="55"/>
        <v>540.8987227998939</v>
      </c>
      <c r="BI45" s="4">
        <f t="shared" si="56"/>
        <v>0.3</v>
      </c>
      <c r="BJ45" s="4">
        <f t="shared" si="57"/>
        <v>54.641265634648782</v>
      </c>
      <c r="BK45" s="4">
        <f t="shared" si="58"/>
        <v>595.53998843454269</v>
      </c>
      <c r="BM45" s="36">
        <f t="shared" si="59"/>
        <v>2.2250000000000001</v>
      </c>
      <c r="BN45" s="36">
        <f t="shared" si="60"/>
        <v>523.9674226514469</v>
      </c>
      <c r="BS45" s="4">
        <f t="shared" si="61"/>
        <v>101.8</v>
      </c>
      <c r="BT45" s="4">
        <f t="shared" si="62"/>
        <v>55.7</v>
      </c>
      <c r="BU45" s="4">
        <f t="shared" si="63"/>
        <v>101.8</v>
      </c>
      <c r="BV45" s="4">
        <f t="shared" si="64"/>
        <v>68.400000000000006</v>
      </c>
      <c r="BW45" s="4">
        <f t="shared" si="65"/>
        <v>1.0827648114901256</v>
      </c>
      <c r="BX45" s="25">
        <f t="shared" si="66"/>
        <v>4</v>
      </c>
      <c r="BZ45" s="4">
        <f t="shared" si="67"/>
        <v>101.8</v>
      </c>
      <c r="CD45" s="9"/>
      <c r="CF45" s="9"/>
      <c r="CG45" s="9"/>
      <c r="CH45" s="9">
        <f t="shared" si="68"/>
        <v>101.8</v>
      </c>
      <c r="CI45" s="9">
        <f t="shared" si="69"/>
        <v>101.8</v>
      </c>
      <c r="CJ45" s="9">
        <f t="shared" si="70"/>
        <v>2.001967536137395</v>
      </c>
      <c r="CK45" s="70">
        <v>20</v>
      </c>
      <c r="CL45" s="9">
        <f t="shared" si="71"/>
        <v>0.05</v>
      </c>
      <c r="CM45" s="9">
        <f t="shared" si="72"/>
        <v>0.8</v>
      </c>
      <c r="CN45" s="9">
        <f t="shared" si="73"/>
        <v>0.99524931562137331</v>
      </c>
      <c r="CO45" s="9">
        <f t="shared" si="74"/>
        <v>0.97375</v>
      </c>
      <c r="CP45" s="9">
        <f t="shared" si="75"/>
        <v>1.9969246679255115</v>
      </c>
      <c r="CQ45" s="9">
        <f t="shared" si="76"/>
        <v>4.9923116698137786</v>
      </c>
      <c r="CR45" s="9">
        <v>1</v>
      </c>
      <c r="CS45" s="9">
        <f t="shared" si="77"/>
        <v>524.19272533044682</v>
      </c>
      <c r="DP45" s="4">
        <f t="shared" si="78"/>
        <v>4</v>
      </c>
      <c r="DQ45" s="4">
        <f t="shared" si="79"/>
        <v>285.75</v>
      </c>
      <c r="DR45" s="4">
        <f t="shared" si="80"/>
        <v>1</v>
      </c>
      <c r="DT45" s="4">
        <f t="shared" si="81"/>
        <v>2.0755210712749404E-5</v>
      </c>
      <c r="DU45" s="4">
        <f t="shared" si="82"/>
        <v>9.0324733825588019</v>
      </c>
      <c r="DW45" s="4">
        <f t="shared" si="83"/>
        <v>0</v>
      </c>
      <c r="DX45" s="4">
        <f t="shared" si="84"/>
        <v>6.4517667018277161</v>
      </c>
      <c r="DY45" s="4">
        <f t="shared" si="85"/>
        <v>8.5873792483918443</v>
      </c>
      <c r="DZ45" s="38">
        <f t="shared" si="86"/>
        <v>517.5</v>
      </c>
      <c r="EA45" s="4">
        <f t="shared" si="87"/>
        <v>1</v>
      </c>
      <c r="EC45" s="4">
        <f t="shared" si="122"/>
        <v>406.29690453368045</v>
      </c>
      <c r="EG45" s="4">
        <f t="shared" si="88"/>
        <v>0.85</v>
      </c>
      <c r="EH45" s="4">
        <f t="shared" si="89"/>
        <v>0.7</v>
      </c>
      <c r="EI45" s="4">
        <f t="shared" si="90"/>
        <v>0.73926932853865712</v>
      </c>
      <c r="EJ45" s="4">
        <f t="shared" si="91"/>
        <v>0.7</v>
      </c>
      <c r="EL45" s="4">
        <f t="shared" si="92"/>
        <v>517.5</v>
      </c>
      <c r="EM45" s="25">
        <f t="shared" si="93"/>
        <v>408.38641880657519</v>
      </c>
      <c r="EP45" s="4">
        <f t="shared" si="94"/>
        <v>9.0324733825588019</v>
      </c>
      <c r="EQ45" s="4">
        <f t="shared" si="95"/>
        <v>8.5989146601959785</v>
      </c>
      <c r="ES45" s="4">
        <f t="shared" si="96"/>
        <v>77.858162529590359</v>
      </c>
      <c r="ET45" s="4">
        <f t="shared" si="97"/>
        <v>3.0652819893539514</v>
      </c>
      <c r="EU45" s="4">
        <f t="shared" si="98"/>
        <v>0.13616500077128266</v>
      </c>
      <c r="EX45" s="4">
        <f t="shared" si="99"/>
        <v>0.13616500077128266</v>
      </c>
      <c r="EY45" s="4">
        <f t="shared" si="100"/>
        <v>0.42227034814547731</v>
      </c>
      <c r="EZ45" s="4">
        <f t="shared" si="101"/>
        <v>6.3979806895606242</v>
      </c>
      <c r="FA45" s="4">
        <f t="shared" si="102"/>
        <v>7.8271852945998246</v>
      </c>
      <c r="FB45" s="4">
        <f t="shared" si="103"/>
        <v>136.45433747040965</v>
      </c>
      <c r="FC45" s="4">
        <f t="shared" si="104"/>
        <v>71.4375</v>
      </c>
      <c r="FD45" s="4">
        <f t="shared" si="105"/>
        <v>2.0755210712749404E-5</v>
      </c>
      <c r="FE45" s="4">
        <f t="shared" si="106"/>
        <v>8.3336361018153582</v>
      </c>
      <c r="FF45" s="4">
        <f t="shared" si="107"/>
        <v>517.5</v>
      </c>
      <c r="FG45" s="4">
        <f t="shared" si="108"/>
        <v>136.45433747040965</v>
      </c>
      <c r="FH45" s="4">
        <f t="shared" si="109"/>
        <v>71.437499999999986</v>
      </c>
      <c r="FJ45" s="4">
        <f t="shared" si="110"/>
        <v>0</v>
      </c>
      <c r="FO45" s="23"/>
      <c r="FP45" s="23"/>
      <c r="FQ45" s="23"/>
      <c r="FR45" s="23"/>
      <c r="FS45" s="23"/>
      <c r="FT45" s="23"/>
      <c r="FU45" s="23"/>
      <c r="FV45" s="23"/>
      <c r="GF45" s="4">
        <f t="shared" si="111"/>
        <v>1</v>
      </c>
      <c r="GG45" s="4">
        <f t="shared" si="112"/>
        <v>0.68688155922038985</v>
      </c>
      <c r="GH45" s="4">
        <f t="shared" si="113"/>
        <v>0.3</v>
      </c>
      <c r="GI45" s="4">
        <f t="shared" si="114"/>
        <v>396.26942221324936</v>
      </c>
    </row>
    <row r="46" spans="1:192" ht="12" hidden="1" customHeight="1" x14ac:dyDescent="0.3">
      <c r="A46" s="25">
        <v>27</v>
      </c>
      <c r="B46" s="26" t="s">
        <v>81</v>
      </c>
      <c r="C46" s="26"/>
      <c r="D46" s="26" t="s">
        <v>82</v>
      </c>
      <c r="E46" s="26"/>
      <c r="F46" s="26"/>
      <c r="G46" s="26"/>
      <c r="H46" s="7" t="s">
        <v>105</v>
      </c>
      <c r="I46" s="7"/>
      <c r="J46" s="28">
        <f t="shared" si="115"/>
        <v>517.5</v>
      </c>
      <c r="K46" s="7">
        <f t="shared" si="128"/>
        <v>285.75</v>
      </c>
      <c r="L46" s="7">
        <f t="shared" si="123"/>
        <v>285.75</v>
      </c>
      <c r="M46" s="7">
        <v>34.659999999999997</v>
      </c>
      <c r="N46" s="7">
        <v>25.4</v>
      </c>
      <c r="O46" s="7">
        <f t="shared" si="116"/>
        <v>11.25</v>
      </c>
      <c r="P46" s="7">
        <f t="shared" si="117"/>
        <v>11.25</v>
      </c>
      <c r="Q46" s="7">
        <v>229</v>
      </c>
      <c r="R46" s="7"/>
      <c r="S46" s="7">
        <f t="shared" si="42"/>
        <v>101.8</v>
      </c>
      <c r="T46" s="7"/>
      <c r="U46" s="7">
        <v>305</v>
      </c>
      <c r="V46" s="7"/>
      <c r="W46" s="7">
        <v>0</v>
      </c>
      <c r="X46" s="7">
        <v>1</v>
      </c>
      <c r="Y46" s="7"/>
      <c r="Z46" s="7"/>
      <c r="AA46" s="7">
        <v>56.57</v>
      </c>
      <c r="AB46" s="7">
        <f t="shared" si="43"/>
        <v>2.7271653543307086</v>
      </c>
      <c r="AC46" s="28">
        <f t="shared" si="118"/>
        <v>2.7271653543307086</v>
      </c>
      <c r="AD46" s="28">
        <f t="shared" si="44"/>
        <v>8.3959536742577185</v>
      </c>
      <c r="AE46" s="7">
        <f t="shared" si="45"/>
        <v>8.3959536742577185</v>
      </c>
      <c r="AF46" s="7">
        <f t="shared" si="46"/>
        <v>9.3959536742577185</v>
      </c>
      <c r="AG46" s="7">
        <f t="shared" si="47"/>
        <v>77.858162529590359</v>
      </c>
      <c r="AH46" s="7"/>
      <c r="AI46" s="7"/>
      <c r="AJ46" s="7">
        <f>257.14/(PI()/4*N46^2)*1000</f>
        <v>507.4722805710208</v>
      </c>
      <c r="AK46" s="7"/>
      <c r="AL46" s="7"/>
      <c r="AM46" s="7">
        <v>9.5</v>
      </c>
      <c r="AN46" s="7">
        <v>4</v>
      </c>
      <c r="AO46" s="7">
        <v>76</v>
      </c>
      <c r="AP46" s="7">
        <v>4</v>
      </c>
      <c r="AQ46" s="7"/>
      <c r="AR46" s="7"/>
      <c r="AS46" s="4">
        <f t="shared" si="125"/>
        <v>285.75</v>
      </c>
      <c r="AT46" s="4">
        <f t="shared" si="48"/>
        <v>0.15515231491368334</v>
      </c>
      <c r="AU46" s="25">
        <f t="shared" si="49"/>
        <v>561.22411424012159</v>
      </c>
      <c r="AV46" s="4">
        <f t="shared" si="50"/>
        <v>0.74848293963254586</v>
      </c>
      <c r="AW46" s="4">
        <v>1.25</v>
      </c>
      <c r="AX46" s="25">
        <f t="shared" si="119"/>
        <v>5</v>
      </c>
      <c r="AY46" s="38">
        <f t="shared" si="120"/>
        <v>407.33948135174751</v>
      </c>
      <c r="AZ46" s="38">
        <f t="shared" si="121"/>
        <v>407.33948135174751</v>
      </c>
      <c r="BB46" s="38">
        <f t="shared" si="51"/>
        <v>407.33948135174728</v>
      </c>
      <c r="BC46" s="38">
        <f t="shared" si="52"/>
        <v>1.0000000000000007</v>
      </c>
      <c r="BF46" s="4">
        <f t="shared" si="53"/>
        <v>348.58861648898744</v>
      </c>
      <c r="BG46" s="4">
        <f t="shared" si="54"/>
        <v>1</v>
      </c>
      <c r="BH46" s="38">
        <f t="shared" si="55"/>
        <v>547.7785749758574</v>
      </c>
      <c r="BI46" s="4">
        <f t="shared" si="56"/>
        <v>0.3</v>
      </c>
      <c r="BJ46" s="4">
        <f t="shared" si="57"/>
        <v>54.641265634648782</v>
      </c>
      <c r="BK46" s="4">
        <f t="shared" si="58"/>
        <v>602.41984061050618</v>
      </c>
      <c r="BM46" s="36">
        <f t="shared" si="59"/>
        <v>2.2250000000000001</v>
      </c>
      <c r="BN46" s="36">
        <f t="shared" si="60"/>
        <v>523.9674226514469</v>
      </c>
      <c r="BS46" s="4">
        <f t="shared" si="61"/>
        <v>101.8</v>
      </c>
      <c r="BT46" s="4">
        <f t="shared" si="62"/>
        <v>56.57</v>
      </c>
      <c r="BU46" s="4">
        <f t="shared" si="63"/>
        <v>101.8</v>
      </c>
      <c r="BV46" s="4">
        <f t="shared" si="64"/>
        <v>69.27</v>
      </c>
      <c r="BW46" s="4">
        <f t="shared" si="65"/>
        <v>1.0799540392434153</v>
      </c>
      <c r="BX46" s="25">
        <f t="shared" si="66"/>
        <v>4</v>
      </c>
      <c r="BZ46" s="4">
        <f t="shared" si="67"/>
        <v>101.8</v>
      </c>
      <c r="CD46" s="9"/>
      <c r="CF46" s="9"/>
      <c r="CG46" s="9"/>
      <c r="CH46" s="9">
        <f t="shared" si="68"/>
        <v>101.8</v>
      </c>
      <c r="CI46" s="9">
        <f t="shared" si="69"/>
        <v>101.8</v>
      </c>
      <c r="CJ46" s="9">
        <f t="shared" si="70"/>
        <v>2.001967536137395</v>
      </c>
      <c r="CK46" s="70">
        <v>20</v>
      </c>
      <c r="CL46" s="9">
        <f t="shared" si="71"/>
        <v>0.05</v>
      </c>
      <c r="CM46" s="9">
        <f t="shared" si="72"/>
        <v>0.8</v>
      </c>
      <c r="CN46" s="9">
        <f t="shared" si="73"/>
        <v>0.99524931562137331</v>
      </c>
      <c r="CO46" s="9">
        <f t="shared" si="74"/>
        <v>0.97375</v>
      </c>
      <c r="CP46" s="9">
        <f t="shared" si="75"/>
        <v>1.9969246679255115</v>
      </c>
      <c r="CQ46" s="9">
        <f t="shared" si="76"/>
        <v>4.9923116698137786</v>
      </c>
      <c r="CR46" s="9">
        <v>1</v>
      </c>
      <c r="CS46" s="9">
        <f t="shared" si="77"/>
        <v>524.19272533044682</v>
      </c>
      <c r="DP46" s="4">
        <f t="shared" si="78"/>
        <v>4</v>
      </c>
      <c r="DQ46" s="4">
        <f t="shared" si="79"/>
        <v>285.75</v>
      </c>
      <c r="DR46" s="4">
        <f t="shared" si="80"/>
        <v>1</v>
      </c>
      <c r="DT46" s="4">
        <f t="shared" si="81"/>
        <v>2.0755210712749404E-5</v>
      </c>
      <c r="DU46" s="4">
        <f t="shared" si="82"/>
        <v>9.0324733825588019</v>
      </c>
      <c r="DW46" s="4">
        <f t="shared" si="83"/>
        <v>0</v>
      </c>
      <c r="DX46" s="4">
        <f t="shared" si="84"/>
        <v>6.4517667018277161</v>
      </c>
      <c r="DY46" s="4">
        <f t="shared" si="85"/>
        <v>8.5873792483918443</v>
      </c>
      <c r="DZ46" s="38">
        <f t="shared" si="86"/>
        <v>517.5</v>
      </c>
      <c r="EA46" s="4">
        <f t="shared" si="87"/>
        <v>1</v>
      </c>
      <c r="EC46" s="4">
        <f t="shared" si="122"/>
        <v>407.33948135174728</v>
      </c>
      <c r="EG46" s="4">
        <f t="shared" si="88"/>
        <v>0.85</v>
      </c>
      <c r="EH46" s="4">
        <f t="shared" si="89"/>
        <v>0.7</v>
      </c>
      <c r="EI46" s="4">
        <f t="shared" si="90"/>
        <v>0.73926932853865712</v>
      </c>
      <c r="EJ46" s="4">
        <f t="shared" si="91"/>
        <v>0.7</v>
      </c>
      <c r="EL46" s="4">
        <f t="shared" si="92"/>
        <v>517.5</v>
      </c>
      <c r="EM46" s="25">
        <f t="shared" si="93"/>
        <v>408.72292929303057</v>
      </c>
      <c r="EP46" s="4">
        <f t="shared" si="94"/>
        <v>9.0324733825588019</v>
      </c>
      <c r="EQ46" s="4">
        <f t="shared" si="95"/>
        <v>8.5989146601959785</v>
      </c>
      <c r="ES46" s="4">
        <f t="shared" si="96"/>
        <v>77.858162529590359</v>
      </c>
      <c r="ET46" s="4">
        <f t="shared" si="97"/>
        <v>3.0652819893539514</v>
      </c>
      <c r="EU46" s="4">
        <f t="shared" si="98"/>
        <v>0.13651440651779981</v>
      </c>
      <c r="EX46" s="4">
        <f t="shared" si="99"/>
        <v>0.13651440651779981</v>
      </c>
      <c r="EY46" s="4">
        <f t="shared" si="100"/>
        <v>0.42335391356529956</v>
      </c>
      <c r="EZ46" s="4">
        <f t="shared" si="101"/>
        <v>6.4045426479058536</v>
      </c>
      <c r="FA46" s="4">
        <f t="shared" si="102"/>
        <v>7.8298647207808791</v>
      </c>
      <c r="FB46" s="4">
        <f t="shared" si="103"/>
        <v>136.45433747040965</v>
      </c>
      <c r="FC46" s="4">
        <f t="shared" si="104"/>
        <v>71.4375</v>
      </c>
      <c r="FD46" s="4">
        <f t="shared" si="105"/>
        <v>2.0755210712749404E-5</v>
      </c>
      <c r="FE46" s="4">
        <f t="shared" si="106"/>
        <v>8.3333118005347053</v>
      </c>
      <c r="FF46" s="4">
        <f t="shared" si="107"/>
        <v>517.5</v>
      </c>
      <c r="FG46" s="4">
        <f t="shared" si="108"/>
        <v>136.45433747040965</v>
      </c>
      <c r="FH46" s="4">
        <f t="shared" si="109"/>
        <v>71.437499999999986</v>
      </c>
      <c r="FJ46" s="4">
        <f t="shared" si="110"/>
        <v>0</v>
      </c>
      <c r="FO46" s="23"/>
      <c r="FP46" s="23"/>
      <c r="FQ46" s="23"/>
      <c r="FR46" s="23"/>
      <c r="FS46" s="23"/>
      <c r="FT46" s="23"/>
      <c r="FU46" s="23"/>
      <c r="FV46" s="23"/>
      <c r="GF46" s="4">
        <f t="shared" si="111"/>
        <v>1</v>
      </c>
      <c r="GG46" s="4">
        <f t="shared" si="112"/>
        <v>0.68688155922038985</v>
      </c>
      <c r="GH46" s="4">
        <f t="shared" si="113"/>
        <v>0.3</v>
      </c>
      <c r="GI46" s="4">
        <f t="shared" si="114"/>
        <v>396.26942221324936</v>
      </c>
    </row>
    <row r="47" spans="1:192" ht="12" hidden="1" customHeight="1" x14ac:dyDescent="0.3">
      <c r="A47" s="25">
        <v>28</v>
      </c>
      <c r="B47" s="26" t="s">
        <v>81</v>
      </c>
      <c r="C47" s="26"/>
      <c r="D47" s="26" t="s">
        <v>82</v>
      </c>
      <c r="E47" s="26"/>
      <c r="F47" s="26"/>
      <c r="G47" s="26"/>
      <c r="H47" s="7" t="s">
        <v>106</v>
      </c>
      <c r="I47" s="7"/>
      <c r="J47" s="28">
        <f t="shared" si="115"/>
        <v>517.5</v>
      </c>
      <c r="K47" s="7">
        <f t="shared" si="128"/>
        <v>285.75</v>
      </c>
      <c r="L47" s="7">
        <f t="shared" si="123"/>
        <v>285.75</v>
      </c>
      <c r="M47" s="7">
        <v>34.659999999999997</v>
      </c>
      <c r="N47" s="7">
        <v>25.4</v>
      </c>
      <c r="O47" s="7">
        <f t="shared" si="116"/>
        <v>11.25</v>
      </c>
      <c r="P47" s="7">
        <f t="shared" si="117"/>
        <v>11.25</v>
      </c>
      <c r="Q47" s="7">
        <v>229</v>
      </c>
      <c r="R47" s="7"/>
      <c r="S47" s="7">
        <f t="shared" si="42"/>
        <v>101.8</v>
      </c>
      <c r="T47" s="7"/>
      <c r="U47" s="7">
        <v>305</v>
      </c>
      <c r="V47" s="7"/>
      <c r="W47" s="7">
        <v>0</v>
      </c>
      <c r="X47" s="7">
        <v>1</v>
      </c>
      <c r="Y47" s="7"/>
      <c r="Z47" s="7"/>
      <c r="AA47" s="7">
        <v>78.97</v>
      </c>
      <c r="AB47" s="7">
        <f t="shared" si="43"/>
        <v>3.6090551181102364</v>
      </c>
      <c r="AC47" s="28">
        <f t="shared" si="118"/>
        <v>3.6090551181102364</v>
      </c>
      <c r="AD47" s="28">
        <f t="shared" si="44"/>
        <v>8.3959536742577185</v>
      </c>
      <c r="AE47" s="7">
        <f t="shared" si="45"/>
        <v>8.3959536742577185</v>
      </c>
      <c r="AF47" s="7">
        <f t="shared" si="46"/>
        <v>9.3959536742577185</v>
      </c>
      <c r="AG47" s="7">
        <f t="shared" si="47"/>
        <v>77.858162529590359</v>
      </c>
      <c r="AH47" s="7"/>
      <c r="AI47" s="7"/>
      <c r="AJ47" s="7">
        <f>261.45/(PI()/4*N47^2)*1000</f>
        <v>515.97817436141156</v>
      </c>
      <c r="AK47" s="7"/>
      <c r="AL47" s="7"/>
      <c r="AM47" s="7">
        <v>9.5</v>
      </c>
      <c r="AN47" s="7">
        <v>5</v>
      </c>
      <c r="AO47" s="7">
        <v>64</v>
      </c>
      <c r="AP47" s="7">
        <v>5</v>
      </c>
      <c r="AQ47" s="7"/>
      <c r="AR47" s="7"/>
      <c r="AS47" s="4">
        <f t="shared" si="125"/>
        <v>285.75</v>
      </c>
      <c r="AT47" s="4">
        <f t="shared" si="48"/>
        <v>0.16213252530757466</v>
      </c>
      <c r="AU47" s="25">
        <f t="shared" si="49"/>
        <v>561.22411424012159</v>
      </c>
      <c r="AV47" s="4">
        <f t="shared" si="50"/>
        <v>0.7641609798775153</v>
      </c>
      <c r="AW47" s="4">
        <v>1.25</v>
      </c>
      <c r="AX47" s="25">
        <f t="shared" si="119"/>
        <v>5</v>
      </c>
      <c r="AY47" s="38">
        <f t="shared" si="120"/>
        <v>434.58161081603589</v>
      </c>
      <c r="AZ47" s="38">
        <f t="shared" si="121"/>
        <v>434.58161081603589</v>
      </c>
      <c r="BB47" s="38">
        <f t="shared" si="51"/>
        <v>434.58161081603555</v>
      </c>
      <c r="BC47" s="38">
        <f t="shared" si="52"/>
        <v>1.0000000000000009</v>
      </c>
      <c r="BF47" s="4">
        <f t="shared" si="53"/>
        <v>348.58861648898744</v>
      </c>
      <c r="BG47" s="4">
        <f t="shared" si="54"/>
        <v>1</v>
      </c>
      <c r="BH47" s="38">
        <f t="shared" si="55"/>
        <v>724.91499881675827</v>
      </c>
      <c r="BI47" s="4">
        <f t="shared" si="56"/>
        <v>0.3</v>
      </c>
      <c r="BJ47" s="4">
        <f t="shared" si="57"/>
        <v>54.641265634648782</v>
      </c>
      <c r="BK47" s="4">
        <f t="shared" si="58"/>
        <v>779.55626445140706</v>
      </c>
      <c r="BM47" s="36">
        <f t="shared" si="59"/>
        <v>2.2250000000000001</v>
      </c>
      <c r="BN47" s="36">
        <f t="shared" si="60"/>
        <v>523.9674226514469</v>
      </c>
      <c r="BS47" s="4">
        <f t="shared" si="61"/>
        <v>101.8</v>
      </c>
      <c r="BT47" s="4">
        <f t="shared" si="62"/>
        <v>78.97</v>
      </c>
      <c r="BU47" s="4">
        <f t="shared" si="63"/>
        <v>101.8</v>
      </c>
      <c r="BV47" s="4">
        <f t="shared" si="64"/>
        <v>91.67</v>
      </c>
      <c r="BW47" s="4">
        <f t="shared" si="65"/>
        <v>1.0289097125490694</v>
      </c>
      <c r="BX47" s="25">
        <f t="shared" si="66"/>
        <v>4</v>
      </c>
      <c r="BZ47" s="4">
        <f t="shared" si="67"/>
        <v>101.8</v>
      </c>
      <c r="CD47" s="9"/>
      <c r="CF47" s="9"/>
      <c r="CG47" s="9"/>
      <c r="CH47" s="9">
        <f t="shared" si="68"/>
        <v>101.8</v>
      </c>
      <c r="CI47" s="9">
        <f t="shared" si="69"/>
        <v>101.8</v>
      </c>
      <c r="CJ47" s="9">
        <f t="shared" si="70"/>
        <v>2.001967536137395</v>
      </c>
      <c r="CK47" s="70">
        <v>20</v>
      </c>
      <c r="CL47" s="9">
        <f t="shared" si="71"/>
        <v>0.05</v>
      </c>
      <c r="CM47" s="9">
        <f t="shared" si="72"/>
        <v>0.8</v>
      </c>
      <c r="CN47" s="9">
        <f t="shared" si="73"/>
        <v>0.99524931562137331</v>
      </c>
      <c r="CO47" s="9">
        <f t="shared" si="74"/>
        <v>0.97375</v>
      </c>
      <c r="CP47" s="9">
        <f t="shared" si="75"/>
        <v>1.9969246679255115</v>
      </c>
      <c r="CQ47" s="9">
        <f t="shared" si="76"/>
        <v>4.9923116698137786</v>
      </c>
      <c r="CR47" s="9">
        <v>1</v>
      </c>
      <c r="CS47" s="9">
        <f t="shared" si="77"/>
        <v>524.19272533044682</v>
      </c>
      <c r="DP47" s="4">
        <f t="shared" si="78"/>
        <v>5</v>
      </c>
      <c r="DQ47" s="4">
        <f t="shared" si="79"/>
        <v>285.75</v>
      </c>
      <c r="DR47" s="4">
        <f t="shared" si="80"/>
        <v>1</v>
      </c>
      <c r="DT47" s="4">
        <f t="shared" si="81"/>
        <v>2.0755210712749404E-5</v>
      </c>
      <c r="DU47" s="4">
        <f t="shared" si="82"/>
        <v>9.0324733825588019</v>
      </c>
      <c r="DW47" s="4">
        <f t="shared" si="83"/>
        <v>0</v>
      </c>
      <c r="DX47" s="4">
        <f t="shared" si="84"/>
        <v>6.4517667018277161</v>
      </c>
      <c r="DY47" s="4">
        <f t="shared" si="85"/>
        <v>8.5873792483918443</v>
      </c>
      <c r="DZ47" s="38">
        <f t="shared" si="86"/>
        <v>517.5</v>
      </c>
      <c r="EA47" s="4">
        <f t="shared" si="87"/>
        <v>1</v>
      </c>
      <c r="EC47" s="4">
        <f t="shared" si="122"/>
        <v>434.58161081603555</v>
      </c>
      <c r="EG47" s="4">
        <f t="shared" si="88"/>
        <v>0.85</v>
      </c>
      <c r="EH47" s="4">
        <f t="shared" si="89"/>
        <v>0.7</v>
      </c>
      <c r="EI47" s="4">
        <f t="shared" si="90"/>
        <v>0.7</v>
      </c>
      <c r="EJ47" s="4">
        <f t="shared" si="91"/>
        <v>0.7</v>
      </c>
      <c r="EL47" s="4">
        <f t="shared" si="92"/>
        <v>517.5</v>
      </c>
      <c r="EM47" s="25">
        <f t="shared" si="93"/>
        <v>417.38710733509936</v>
      </c>
      <c r="EP47" s="4">
        <f t="shared" si="94"/>
        <v>9.0324733825588019</v>
      </c>
      <c r="EQ47" s="4">
        <f t="shared" si="95"/>
        <v>8.5989146601959785</v>
      </c>
      <c r="ES47" s="4">
        <f t="shared" si="96"/>
        <v>77.858162529590359</v>
      </c>
      <c r="ET47" s="4">
        <f t="shared" si="97"/>
        <v>3.0652819893539514</v>
      </c>
      <c r="EU47" s="4">
        <f t="shared" si="98"/>
        <v>0.14564424368398154</v>
      </c>
      <c r="EX47" s="4">
        <f t="shared" si="99"/>
        <v>0.14564424368398154</v>
      </c>
      <c r="EY47" s="4">
        <f t="shared" si="100"/>
        <v>0.45166705935781332</v>
      </c>
      <c r="EZ47" s="4">
        <f t="shared" si="101"/>
        <v>6.5725524066777705</v>
      </c>
      <c r="FA47" s="4">
        <f t="shared" si="102"/>
        <v>7.8990954935645004</v>
      </c>
      <c r="FB47" s="4">
        <f t="shared" si="103"/>
        <v>136.45433747040965</v>
      </c>
      <c r="FC47" s="4">
        <f t="shared" si="104"/>
        <v>71.4375</v>
      </c>
      <c r="FD47" s="4">
        <f t="shared" si="105"/>
        <v>2.0755210712749404E-5</v>
      </c>
      <c r="FE47" s="4">
        <f t="shared" si="106"/>
        <v>8.324976824069628</v>
      </c>
      <c r="FF47" s="4">
        <f t="shared" si="107"/>
        <v>517.5</v>
      </c>
      <c r="FG47" s="4">
        <f t="shared" si="108"/>
        <v>136.45433747040965</v>
      </c>
      <c r="FH47" s="4">
        <f t="shared" si="109"/>
        <v>71.437499999999986</v>
      </c>
      <c r="FJ47" s="4">
        <f t="shared" si="110"/>
        <v>0</v>
      </c>
      <c r="FO47" s="23"/>
      <c r="FP47" s="23"/>
      <c r="FQ47" s="23"/>
      <c r="FR47" s="23"/>
      <c r="FS47" s="23"/>
      <c r="FT47" s="23"/>
      <c r="FU47" s="23"/>
      <c r="FV47" s="23"/>
      <c r="GF47" s="4">
        <f t="shared" si="111"/>
        <v>1</v>
      </c>
      <c r="GG47" s="4">
        <f t="shared" si="112"/>
        <v>0.68688155922038985</v>
      </c>
      <c r="GH47" s="4">
        <f t="shared" si="113"/>
        <v>0.3</v>
      </c>
      <c r="GI47" s="4">
        <f t="shared" si="114"/>
        <v>396.26942221324936</v>
      </c>
    </row>
    <row r="48" spans="1:192" ht="12" hidden="1" customHeight="1" x14ac:dyDescent="0.3">
      <c r="A48" s="25">
        <v>29</v>
      </c>
      <c r="B48" s="26" t="s">
        <v>81</v>
      </c>
      <c r="C48" s="26"/>
      <c r="D48" s="26" t="s">
        <v>82</v>
      </c>
      <c r="E48" s="26"/>
      <c r="F48" s="26"/>
      <c r="G48" s="26"/>
      <c r="H48" s="31" t="s">
        <v>110</v>
      </c>
      <c r="I48" s="31"/>
      <c r="J48" s="28">
        <f t="shared" si="115"/>
        <v>517.5</v>
      </c>
      <c r="K48" s="7">
        <f t="shared" si="128"/>
        <v>285.75</v>
      </c>
      <c r="L48" s="7">
        <f t="shared" si="123"/>
        <v>285.75</v>
      </c>
      <c r="M48" s="7">
        <v>34.659999999999997</v>
      </c>
      <c r="N48" s="7">
        <v>25.4</v>
      </c>
      <c r="O48" s="7">
        <f t="shared" si="116"/>
        <v>11.25</v>
      </c>
      <c r="P48" s="7">
        <f t="shared" si="117"/>
        <v>11.25</v>
      </c>
      <c r="Q48" s="7">
        <v>229</v>
      </c>
      <c r="R48" s="7"/>
      <c r="S48" s="7">
        <f t="shared" si="42"/>
        <v>101.8</v>
      </c>
      <c r="T48" s="7"/>
      <c r="U48" s="7">
        <v>305</v>
      </c>
      <c r="V48" s="7"/>
      <c r="W48" s="7">
        <v>0</v>
      </c>
      <c r="X48" s="7">
        <v>1</v>
      </c>
      <c r="Y48" s="7"/>
      <c r="Z48" s="7"/>
      <c r="AA48" s="7">
        <v>78.790000000000006</v>
      </c>
      <c r="AB48" s="7">
        <f t="shared" si="43"/>
        <v>3.6019685039370084</v>
      </c>
      <c r="AC48" s="28">
        <f t="shared" si="118"/>
        <v>3.6019685039370084</v>
      </c>
      <c r="AD48" s="28">
        <f t="shared" si="44"/>
        <v>8.3959536742577185</v>
      </c>
      <c r="AE48" s="7">
        <f t="shared" si="45"/>
        <v>8.3959536742577185</v>
      </c>
      <c r="AF48" s="7">
        <f t="shared" si="46"/>
        <v>9.3959536742577185</v>
      </c>
      <c r="AG48" s="7">
        <f t="shared" si="47"/>
        <v>77.858162529590359</v>
      </c>
      <c r="AH48" s="7"/>
      <c r="AI48" s="7"/>
      <c r="AJ48" s="7">
        <f>263.9/(PI()/4*N48^2)*1000</f>
        <v>520.81331120281709</v>
      </c>
      <c r="AK48" s="7"/>
      <c r="AL48" s="7"/>
      <c r="AM48" s="7">
        <v>9.5</v>
      </c>
      <c r="AN48" s="7">
        <v>5</v>
      </c>
      <c r="AO48" s="7">
        <v>64</v>
      </c>
      <c r="AP48" s="7">
        <v>5</v>
      </c>
      <c r="AQ48" s="7"/>
      <c r="AR48" s="7"/>
      <c r="AS48" s="4">
        <f t="shared" si="125"/>
        <v>285.75</v>
      </c>
      <c r="AT48" s="4">
        <f t="shared" si="48"/>
        <v>0.16207643433119515</v>
      </c>
      <c r="AU48" s="25">
        <f t="shared" si="49"/>
        <v>561.22411424012159</v>
      </c>
      <c r="AV48" s="4">
        <f t="shared" si="50"/>
        <v>0.76403499562554678</v>
      </c>
      <c r="AW48" s="4">
        <v>1.25</v>
      </c>
      <c r="AX48" s="25">
        <f t="shared" si="119"/>
        <v>5</v>
      </c>
      <c r="AY48" s="38">
        <f t="shared" si="120"/>
        <v>434.35964101816023</v>
      </c>
      <c r="AZ48" s="38">
        <f t="shared" si="121"/>
        <v>434.35964101816023</v>
      </c>
      <c r="BB48" s="38">
        <f t="shared" si="51"/>
        <v>434.35964101816</v>
      </c>
      <c r="BC48" s="38">
        <f t="shared" si="52"/>
        <v>1.0000000000000004</v>
      </c>
      <c r="BF48" s="4">
        <f t="shared" si="53"/>
        <v>348.58861648898744</v>
      </c>
      <c r="BG48" s="4">
        <f t="shared" si="54"/>
        <v>1</v>
      </c>
      <c r="BH48" s="38">
        <f t="shared" si="55"/>
        <v>723.49158112517978</v>
      </c>
      <c r="BI48" s="4">
        <f t="shared" si="56"/>
        <v>0.3</v>
      </c>
      <c r="BJ48" s="4">
        <f t="shared" si="57"/>
        <v>54.641265634648782</v>
      </c>
      <c r="BK48" s="4">
        <f t="shared" si="58"/>
        <v>778.13284675982857</v>
      </c>
      <c r="BM48" s="36">
        <f t="shared" si="59"/>
        <v>2.2250000000000001</v>
      </c>
      <c r="BN48" s="36">
        <f t="shared" si="60"/>
        <v>523.9674226514469</v>
      </c>
      <c r="BS48" s="4">
        <f t="shared" si="61"/>
        <v>101.8</v>
      </c>
      <c r="BT48" s="4">
        <f t="shared" si="62"/>
        <v>78.790000000000006</v>
      </c>
      <c r="BU48" s="4">
        <f t="shared" si="63"/>
        <v>101.8</v>
      </c>
      <c r="BV48" s="4">
        <f t="shared" si="64"/>
        <v>91.490000000000009</v>
      </c>
      <c r="BW48" s="4">
        <f t="shared" si="65"/>
        <v>1.0292042137327071</v>
      </c>
      <c r="BX48" s="25">
        <f t="shared" si="66"/>
        <v>4</v>
      </c>
      <c r="BZ48" s="4">
        <f t="shared" si="67"/>
        <v>101.8</v>
      </c>
      <c r="CD48" s="9"/>
      <c r="CF48" s="9"/>
      <c r="CG48" s="9"/>
      <c r="CH48" s="9">
        <f t="shared" si="68"/>
        <v>101.8</v>
      </c>
      <c r="CI48" s="9">
        <f t="shared" si="69"/>
        <v>101.8</v>
      </c>
      <c r="CJ48" s="9">
        <f t="shared" si="70"/>
        <v>2.001967536137395</v>
      </c>
      <c r="CK48" s="70">
        <v>20</v>
      </c>
      <c r="CL48" s="9">
        <f t="shared" si="71"/>
        <v>0.05</v>
      </c>
      <c r="CM48" s="9">
        <f t="shared" si="72"/>
        <v>0.8</v>
      </c>
      <c r="CN48" s="9">
        <f t="shared" si="73"/>
        <v>0.99524931562137331</v>
      </c>
      <c r="CO48" s="9">
        <f t="shared" si="74"/>
        <v>0.97375</v>
      </c>
      <c r="CP48" s="9">
        <f t="shared" si="75"/>
        <v>1.9969246679255115</v>
      </c>
      <c r="CQ48" s="9">
        <f t="shared" si="76"/>
        <v>4.9923116698137786</v>
      </c>
      <c r="CR48" s="9">
        <v>1</v>
      </c>
      <c r="CS48" s="9">
        <f t="shared" si="77"/>
        <v>524.19272533044682</v>
      </c>
      <c r="DP48" s="4">
        <f t="shared" si="78"/>
        <v>5</v>
      </c>
      <c r="DQ48" s="4">
        <f t="shared" si="79"/>
        <v>285.75</v>
      </c>
      <c r="DR48" s="4">
        <f t="shared" si="80"/>
        <v>1</v>
      </c>
      <c r="DT48" s="4">
        <f t="shared" si="81"/>
        <v>2.0755210712749404E-5</v>
      </c>
      <c r="DU48" s="4">
        <f t="shared" si="82"/>
        <v>9.0324733825588019</v>
      </c>
      <c r="DW48" s="4">
        <f t="shared" si="83"/>
        <v>0</v>
      </c>
      <c r="DX48" s="4">
        <f t="shared" si="84"/>
        <v>6.4517667018277161</v>
      </c>
      <c r="DY48" s="4">
        <f t="shared" si="85"/>
        <v>8.5873792483918443</v>
      </c>
      <c r="DZ48" s="38">
        <f t="shared" si="86"/>
        <v>520.81331120281709</v>
      </c>
      <c r="EA48" s="4">
        <f t="shared" si="87"/>
        <v>1</v>
      </c>
      <c r="EC48" s="4">
        <f t="shared" si="122"/>
        <v>434.35964101816</v>
      </c>
      <c r="EG48" s="4">
        <f t="shared" si="88"/>
        <v>0.85</v>
      </c>
      <c r="EH48" s="4">
        <f t="shared" si="89"/>
        <v>0.7</v>
      </c>
      <c r="EI48" s="4">
        <f t="shared" si="90"/>
        <v>0.7</v>
      </c>
      <c r="EJ48" s="4">
        <f t="shared" si="91"/>
        <v>0.7</v>
      </c>
      <c r="EL48" s="4">
        <f t="shared" si="92"/>
        <v>520.81331120281709</v>
      </c>
      <c r="EM48" s="25">
        <f t="shared" si="93"/>
        <v>417.31748447583271</v>
      </c>
      <c r="EP48" s="4">
        <f t="shared" si="94"/>
        <v>9.0324733825588019</v>
      </c>
      <c r="EQ48" s="4">
        <f t="shared" si="95"/>
        <v>8.5989146601959785</v>
      </c>
      <c r="ES48" s="4">
        <f t="shared" si="96"/>
        <v>77.858162529590359</v>
      </c>
      <c r="ET48" s="4">
        <f t="shared" si="97"/>
        <v>3.0652819893539514</v>
      </c>
      <c r="EU48" s="4">
        <f t="shared" si="98"/>
        <v>0.14556985346007961</v>
      </c>
      <c r="EX48" s="4">
        <f t="shared" si="99"/>
        <v>0.14556985346007961</v>
      </c>
      <c r="EY48" s="4">
        <f t="shared" si="100"/>
        <v>0.45143636288245065</v>
      </c>
      <c r="EZ48" s="4">
        <f t="shared" si="101"/>
        <v>6.5712093846056652</v>
      </c>
      <c r="FA48" s="4">
        <f t="shared" si="102"/>
        <v>7.8985373382272543</v>
      </c>
      <c r="FB48" s="4">
        <f t="shared" si="103"/>
        <v>136.45433747040965</v>
      </c>
      <c r="FC48" s="4">
        <f t="shared" si="104"/>
        <v>71.4375</v>
      </c>
      <c r="FD48" s="4">
        <f t="shared" si="105"/>
        <v>2.0755210712749404E-5</v>
      </c>
      <c r="FE48" s="4">
        <f t="shared" si="106"/>
        <v>8.3250436910150292</v>
      </c>
      <c r="FF48" s="4">
        <f t="shared" si="107"/>
        <v>520.81331120281709</v>
      </c>
      <c r="FG48" s="4">
        <f t="shared" si="108"/>
        <v>136.45433747040965</v>
      </c>
      <c r="FH48" s="4">
        <f t="shared" si="109"/>
        <v>71.437499999999986</v>
      </c>
      <c r="FJ48" s="4">
        <f t="shared" si="110"/>
        <v>0</v>
      </c>
      <c r="FO48" s="23"/>
      <c r="FP48" s="23"/>
      <c r="FQ48" s="23"/>
      <c r="FR48" s="23"/>
      <c r="FS48" s="23"/>
      <c r="FT48" s="23"/>
      <c r="FU48" s="23"/>
      <c r="FV48" s="23"/>
      <c r="GF48" s="4">
        <f t="shared" si="111"/>
        <v>1</v>
      </c>
      <c r="GG48" s="4">
        <f t="shared" si="112"/>
        <v>0.68688155922038985</v>
      </c>
      <c r="GH48" s="4">
        <f t="shared" si="113"/>
        <v>0.3</v>
      </c>
      <c r="GI48" s="4">
        <f t="shared" si="114"/>
        <v>396.26942221324936</v>
      </c>
    </row>
    <row r="49" spans="1:191" ht="12" hidden="1" customHeight="1" x14ac:dyDescent="0.3">
      <c r="A49" s="25">
        <v>30</v>
      </c>
      <c r="B49" s="26" t="s">
        <v>81</v>
      </c>
      <c r="C49" s="26"/>
      <c r="D49" s="26" t="s">
        <v>82</v>
      </c>
      <c r="E49" s="26"/>
      <c r="F49" s="26"/>
      <c r="G49" s="26"/>
      <c r="H49" s="7" t="s">
        <v>107</v>
      </c>
      <c r="I49" s="7"/>
      <c r="J49" s="28">
        <f t="shared" si="115"/>
        <v>517.5</v>
      </c>
      <c r="K49" s="7">
        <f t="shared" si="128"/>
        <v>285.75</v>
      </c>
      <c r="L49" s="7">
        <f t="shared" si="123"/>
        <v>285.75</v>
      </c>
      <c r="M49" s="7">
        <v>34.659999999999997</v>
      </c>
      <c r="N49" s="7">
        <v>25.4</v>
      </c>
      <c r="O49" s="7">
        <f t="shared" si="116"/>
        <v>11.25</v>
      </c>
      <c r="P49" s="7">
        <f t="shared" si="117"/>
        <v>11.25</v>
      </c>
      <c r="Q49" s="7">
        <v>229</v>
      </c>
      <c r="R49" s="7"/>
      <c r="S49" s="7">
        <f t="shared" si="42"/>
        <v>101.8</v>
      </c>
      <c r="T49" s="7"/>
      <c r="U49" s="7">
        <v>305</v>
      </c>
      <c r="V49" s="7"/>
      <c r="W49" s="7">
        <v>0</v>
      </c>
      <c r="X49" s="7">
        <v>1</v>
      </c>
      <c r="Y49" s="7"/>
      <c r="Z49" s="7"/>
      <c r="AA49" s="7">
        <v>79.319999999999993</v>
      </c>
      <c r="AB49" s="7">
        <f t="shared" si="43"/>
        <v>3.6228346456692915</v>
      </c>
      <c r="AC49" s="28">
        <f t="shared" si="118"/>
        <v>3.6228346456692915</v>
      </c>
      <c r="AD49" s="28">
        <f t="shared" si="44"/>
        <v>8.3959536742577185</v>
      </c>
      <c r="AE49" s="7">
        <f t="shared" si="45"/>
        <v>8.3959536742577185</v>
      </c>
      <c r="AF49" s="7">
        <f t="shared" si="46"/>
        <v>9.3959536742577185</v>
      </c>
      <c r="AG49" s="7">
        <f t="shared" si="47"/>
        <v>77.858162529590359</v>
      </c>
      <c r="AH49" s="7"/>
      <c r="AI49" s="7"/>
      <c r="AJ49" s="7">
        <f>267.24/(PI()/4*N49^2)*1000</f>
        <v>527.40488550905957</v>
      </c>
      <c r="AK49" s="7"/>
      <c r="AL49" s="7"/>
      <c r="AM49" s="7">
        <v>9.5</v>
      </c>
      <c r="AN49" s="7">
        <v>5</v>
      </c>
      <c r="AO49" s="7">
        <v>64</v>
      </c>
      <c r="AP49" s="7">
        <v>5</v>
      </c>
      <c r="AQ49" s="7"/>
      <c r="AR49" s="7"/>
      <c r="AS49" s="4">
        <f t="shared" si="125"/>
        <v>285.75</v>
      </c>
      <c r="AT49" s="4">
        <f t="shared" si="48"/>
        <v>0.16224159109497918</v>
      </c>
      <c r="AU49" s="25">
        <f t="shared" si="49"/>
        <v>561.22411424012159</v>
      </c>
      <c r="AV49" s="4">
        <f t="shared" si="50"/>
        <v>0.76440594925634286</v>
      </c>
      <c r="AW49" s="4">
        <v>1.25</v>
      </c>
      <c r="AX49" s="25">
        <f t="shared" si="119"/>
        <v>5</v>
      </c>
      <c r="AY49" s="38">
        <f t="shared" si="120"/>
        <v>435.01336067010908</v>
      </c>
      <c r="AZ49" s="38">
        <f t="shared" si="121"/>
        <v>435.01336067010908</v>
      </c>
      <c r="BB49" s="38">
        <f t="shared" si="51"/>
        <v>435.01336067010885</v>
      </c>
      <c r="BC49" s="38">
        <f t="shared" si="52"/>
        <v>1.0000000000000004</v>
      </c>
      <c r="BF49" s="4">
        <f t="shared" si="53"/>
        <v>348.58861648898744</v>
      </c>
      <c r="BG49" s="4">
        <f t="shared" si="54"/>
        <v>1</v>
      </c>
      <c r="BH49" s="38">
        <f t="shared" si="55"/>
        <v>727.68275543927234</v>
      </c>
      <c r="BI49" s="4">
        <f t="shared" si="56"/>
        <v>0.3</v>
      </c>
      <c r="BJ49" s="4">
        <f t="shared" si="57"/>
        <v>54.641265634648782</v>
      </c>
      <c r="BK49" s="4">
        <f t="shared" si="58"/>
        <v>782.32402107392113</v>
      </c>
      <c r="BM49" s="36">
        <f t="shared" si="59"/>
        <v>2.2250000000000001</v>
      </c>
      <c r="BN49" s="36">
        <f t="shared" si="60"/>
        <v>523.9674226514469</v>
      </c>
      <c r="BS49" s="4">
        <f t="shared" si="61"/>
        <v>101.8</v>
      </c>
      <c r="BT49" s="4">
        <f t="shared" si="62"/>
        <v>79.319999999999993</v>
      </c>
      <c r="BU49" s="4">
        <f t="shared" si="63"/>
        <v>101.8</v>
      </c>
      <c r="BV49" s="4">
        <f t="shared" si="64"/>
        <v>92.02</v>
      </c>
      <c r="BW49" s="4">
        <f t="shared" si="65"/>
        <v>1.0283408976298538</v>
      </c>
      <c r="BX49" s="25">
        <f t="shared" si="66"/>
        <v>4</v>
      </c>
      <c r="BZ49" s="4">
        <f t="shared" si="67"/>
        <v>101.8</v>
      </c>
      <c r="CD49" s="9"/>
      <c r="CF49" s="9"/>
      <c r="CG49" s="9"/>
      <c r="CH49" s="9">
        <f t="shared" si="68"/>
        <v>101.8</v>
      </c>
      <c r="CI49" s="9">
        <f t="shared" si="69"/>
        <v>101.8</v>
      </c>
      <c r="CJ49" s="9">
        <f t="shared" si="70"/>
        <v>2.001967536137395</v>
      </c>
      <c r="CK49" s="70">
        <v>20</v>
      </c>
      <c r="CL49" s="9">
        <f t="shared" si="71"/>
        <v>0.05</v>
      </c>
      <c r="CM49" s="9">
        <f t="shared" si="72"/>
        <v>0.8</v>
      </c>
      <c r="CN49" s="9">
        <f t="shared" si="73"/>
        <v>0.99524931562137331</v>
      </c>
      <c r="CO49" s="9">
        <f t="shared" si="74"/>
        <v>0.97375</v>
      </c>
      <c r="CP49" s="9">
        <f t="shared" si="75"/>
        <v>1.9969246679255115</v>
      </c>
      <c r="CQ49" s="9">
        <f t="shared" si="76"/>
        <v>4.9923116698137786</v>
      </c>
      <c r="CR49" s="9">
        <v>1</v>
      </c>
      <c r="CS49" s="9">
        <f t="shared" si="77"/>
        <v>524.19272533044682</v>
      </c>
      <c r="DP49" s="4">
        <f t="shared" si="78"/>
        <v>5</v>
      </c>
      <c r="DQ49" s="4">
        <f t="shared" si="79"/>
        <v>285.75</v>
      </c>
      <c r="DR49" s="4">
        <f t="shared" si="80"/>
        <v>1</v>
      </c>
      <c r="DT49" s="4">
        <f t="shared" si="81"/>
        <v>2.0755210712749404E-5</v>
      </c>
      <c r="DU49" s="4">
        <f t="shared" si="82"/>
        <v>9.0324733825588019</v>
      </c>
      <c r="DW49" s="4">
        <f t="shared" si="83"/>
        <v>0</v>
      </c>
      <c r="DX49" s="4">
        <f t="shared" si="84"/>
        <v>6.4517667018277161</v>
      </c>
      <c r="DY49" s="4">
        <f t="shared" si="85"/>
        <v>8.5873792483918443</v>
      </c>
      <c r="DZ49" s="38">
        <f t="shared" si="86"/>
        <v>527.40488550905957</v>
      </c>
      <c r="EA49" s="4">
        <f t="shared" si="87"/>
        <v>1</v>
      </c>
      <c r="EC49" s="4">
        <f t="shared" si="122"/>
        <v>435.01336067010885</v>
      </c>
      <c r="EG49" s="4">
        <f t="shared" si="88"/>
        <v>0.85</v>
      </c>
      <c r="EH49" s="4">
        <f t="shared" si="89"/>
        <v>0.7</v>
      </c>
      <c r="EI49" s="4">
        <f t="shared" si="90"/>
        <v>0.7</v>
      </c>
      <c r="EJ49" s="4">
        <f t="shared" si="91"/>
        <v>0.7</v>
      </c>
      <c r="EL49" s="4">
        <f t="shared" si="92"/>
        <v>527.40488550905957</v>
      </c>
      <c r="EM49" s="25">
        <f t="shared" si="93"/>
        <v>417.52248511700668</v>
      </c>
      <c r="EP49" s="4">
        <f t="shared" si="94"/>
        <v>9.0324733825588019</v>
      </c>
      <c r="EQ49" s="4">
        <f t="shared" si="95"/>
        <v>8.5989146601959785</v>
      </c>
      <c r="ES49" s="4">
        <f t="shared" si="96"/>
        <v>77.858162529590359</v>
      </c>
      <c r="ET49" s="4">
        <f t="shared" si="97"/>
        <v>3.0652819893539514</v>
      </c>
      <c r="EU49" s="4">
        <f t="shared" si="98"/>
        <v>0.14578893890207673</v>
      </c>
      <c r="EX49" s="4">
        <f t="shared" si="99"/>
        <v>0.14578893890207673</v>
      </c>
      <c r="EY49" s="4">
        <f t="shared" si="100"/>
        <v>0.45211578333074282</v>
      </c>
      <c r="EZ49" s="4">
        <f t="shared" si="101"/>
        <v>6.5751635187518467</v>
      </c>
      <c r="FA49" s="4">
        <f t="shared" si="102"/>
        <v>7.9001808794428525</v>
      </c>
      <c r="FB49" s="4">
        <f t="shared" si="103"/>
        <v>136.45433747040965</v>
      </c>
      <c r="FC49" s="4">
        <f t="shared" si="104"/>
        <v>71.4375</v>
      </c>
      <c r="FD49" s="4">
        <f t="shared" si="105"/>
        <v>2.0755210712749404E-5</v>
      </c>
      <c r="FE49" s="4">
        <f t="shared" si="106"/>
        <v>8.3248468099870543</v>
      </c>
      <c r="FF49" s="4">
        <f t="shared" si="107"/>
        <v>527.40488550905957</v>
      </c>
      <c r="FG49" s="4">
        <f t="shared" si="108"/>
        <v>136.45433747040965</v>
      </c>
      <c r="FH49" s="4">
        <f t="shared" si="109"/>
        <v>71.437499999999986</v>
      </c>
      <c r="FJ49" s="4">
        <f t="shared" si="110"/>
        <v>0</v>
      </c>
      <c r="FO49" s="23"/>
      <c r="FP49" s="23"/>
      <c r="FQ49" s="23"/>
      <c r="FR49" s="23"/>
      <c r="FS49" s="23"/>
      <c r="FT49" s="23"/>
      <c r="FU49" s="23"/>
      <c r="FV49" s="23"/>
      <c r="GF49" s="4">
        <f t="shared" si="111"/>
        <v>1</v>
      </c>
      <c r="GG49" s="4">
        <f t="shared" si="112"/>
        <v>0.68688155922038985</v>
      </c>
      <c r="GH49" s="4">
        <f t="shared" si="113"/>
        <v>0.3</v>
      </c>
      <c r="GI49" s="4">
        <f t="shared" si="114"/>
        <v>396.26942221324936</v>
      </c>
    </row>
    <row r="50" spans="1:191" ht="12" hidden="1" customHeight="1" x14ac:dyDescent="0.3">
      <c r="A50" s="25">
        <v>31</v>
      </c>
      <c r="B50" s="26" t="s">
        <v>81</v>
      </c>
      <c r="C50" s="26"/>
      <c r="D50" s="26" t="s">
        <v>82</v>
      </c>
      <c r="E50" s="26"/>
      <c r="F50" s="26"/>
      <c r="G50" s="26"/>
      <c r="H50" s="31" t="s">
        <v>111</v>
      </c>
      <c r="I50" s="31"/>
      <c r="J50" s="28">
        <f t="shared" si="115"/>
        <v>517.5</v>
      </c>
      <c r="K50" s="7">
        <f t="shared" si="128"/>
        <v>285.75</v>
      </c>
      <c r="L50" s="7">
        <f t="shared" si="123"/>
        <v>285.75</v>
      </c>
      <c r="M50" s="7">
        <v>34.659999999999997</v>
      </c>
      <c r="N50" s="7">
        <v>25.4</v>
      </c>
      <c r="O50" s="7">
        <f t="shared" si="116"/>
        <v>11.25</v>
      </c>
      <c r="P50" s="7">
        <f t="shared" si="117"/>
        <v>11.25</v>
      </c>
      <c r="Q50" s="7">
        <v>229</v>
      </c>
      <c r="R50" s="7"/>
      <c r="S50" s="7">
        <f t="shared" si="42"/>
        <v>101.8</v>
      </c>
      <c r="T50" s="7"/>
      <c r="U50" s="7">
        <v>305</v>
      </c>
      <c r="V50" s="7"/>
      <c r="W50" s="7">
        <v>0</v>
      </c>
      <c r="X50" s="7">
        <v>1</v>
      </c>
      <c r="Y50" s="7"/>
      <c r="Z50" s="7"/>
      <c r="AA50" s="7">
        <v>49.56</v>
      </c>
      <c r="AB50" s="7">
        <f t="shared" si="43"/>
        <v>2.451181102362205</v>
      </c>
      <c r="AC50" s="28">
        <f t="shared" si="118"/>
        <v>2.451181102362205</v>
      </c>
      <c r="AD50" s="28">
        <f t="shared" si="44"/>
        <v>8.3959536742577185</v>
      </c>
      <c r="AE50" s="7">
        <f t="shared" si="45"/>
        <v>8.3959536742577185</v>
      </c>
      <c r="AF50" s="7">
        <f t="shared" si="46"/>
        <v>9.3959536742577185</v>
      </c>
      <c r="AG50" s="7">
        <f t="shared" si="47"/>
        <v>77.858162529590359</v>
      </c>
      <c r="AH50" s="7"/>
      <c r="AI50" s="7"/>
      <c r="AJ50" s="7">
        <f>248.64/(PI()/4*N50^2)*1000</f>
        <v>490.69731601920591</v>
      </c>
      <c r="AK50" s="7"/>
      <c r="AL50" s="7"/>
      <c r="AM50" s="7">
        <v>9.5</v>
      </c>
      <c r="AN50" s="7">
        <v>5</v>
      </c>
      <c r="AO50" s="7">
        <v>64</v>
      </c>
      <c r="AP50" s="7">
        <v>5</v>
      </c>
      <c r="AQ50" s="7"/>
      <c r="AR50" s="7"/>
      <c r="AS50" s="4">
        <f t="shared" si="125"/>
        <v>285.75</v>
      </c>
      <c r="AT50" s="4">
        <f t="shared" si="48"/>
        <v>0.15296788300023786</v>
      </c>
      <c r="AU50" s="25">
        <f t="shared" si="49"/>
        <v>561.22411424012159</v>
      </c>
      <c r="AV50" s="4">
        <f t="shared" si="50"/>
        <v>0.74357655293088354</v>
      </c>
      <c r="AW50" s="4">
        <v>1.25</v>
      </c>
      <c r="AX50" s="25">
        <f t="shared" si="119"/>
        <v>5</v>
      </c>
      <c r="AY50" s="38">
        <f t="shared" si="120"/>
        <v>398.97187672270633</v>
      </c>
      <c r="AZ50" s="38">
        <f t="shared" si="121"/>
        <v>398.97187672270633</v>
      </c>
      <c r="BB50" s="38">
        <f t="shared" si="51"/>
        <v>398.97187672270616</v>
      </c>
      <c r="BC50" s="38">
        <f t="shared" si="52"/>
        <v>1.0000000000000004</v>
      </c>
      <c r="BF50" s="4">
        <f t="shared" si="53"/>
        <v>348.58861648898744</v>
      </c>
      <c r="BG50" s="4">
        <f t="shared" si="54"/>
        <v>1</v>
      </c>
      <c r="BH50" s="38">
        <f t="shared" si="55"/>
        <v>492.34436376493267</v>
      </c>
      <c r="BI50" s="4">
        <f t="shared" si="56"/>
        <v>0.3</v>
      </c>
      <c r="BJ50" s="4">
        <f t="shared" si="57"/>
        <v>54.641265634648782</v>
      </c>
      <c r="BK50" s="4">
        <f t="shared" si="58"/>
        <v>546.9856293995814</v>
      </c>
      <c r="BM50" s="36">
        <f t="shared" si="59"/>
        <v>2.2201181102362204</v>
      </c>
      <c r="BN50" s="36">
        <f t="shared" si="60"/>
        <v>522.81778166394304</v>
      </c>
      <c r="BS50" s="4">
        <f t="shared" si="61"/>
        <v>101.8</v>
      </c>
      <c r="BT50" s="4">
        <f t="shared" si="62"/>
        <v>49.56</v>
      </c>
      <c r="BU50" s="4">
        <f t="shared" si="63"/>
        <v>101.8</v>
      </c>
      <c r="BV50" s="4">
        <f t="shared" si="64"/>
        <v>62.260000000000005</v>
      </c>
      <c r="BW50" s="4">
        <f t="shared" si="65"/>
        <v>1.1054075867635189</v>
      </c>
      <c r="BX50" s="25">
        <f t="shared" si="66"/>
        <v>4</v>
      </c>
      <c r="BZ50" s="4">
        <f t="shared" si="67"/>
        <v>101.8</v>
      </c>
      <c r="CD50" s="9"/>
      <c r="CF50" s="9"/>
      <c r="CG50" s="9"/>
      <c r="CH50" s="9">
        <f t="shared" si="68"/>
        <v>101.8</v>
      </c>
      <c r="CI50" s="9">
        <f t="shared" si="69"/>
        <v>101.8</v>
      </c>
      <c r="CJ50" s="9">
        <f t="shared" si="70"/>
        <v>2.001967536137395</v>
      </c>
      <c r="CK50" s="70">
        <v>20</v>
      </c>
      <c r="CL50" s="9">
        <f t="shared" si="71"/>
        <v>0.05</v>
      </c>
      <c r="CM50" s="9">
        <f t="shared" si="72"/>
        <v>0.8</v>
      </c>
      <c r="CN50" s="9">
        <f t="shared" si="73"/>
        <v>0.99524931562137331</v>
      </c>
      <c r="CO50" s="9">
        <f t="shared" si="74"/>
        <v>0.97375</v>
      </c>
      <c r="CP50" s="9">
        <f t="shared" si="75"/>
        <v>1.9969246679255115</v>
      </c>
      <c r="CQ50" s="9">
        <f t="shared" si="76"/>
        <v>4.9923116698137786</v>
      </c>
      <c r="CR50" s="9">
        <v>1</v>
      </c>
      <c r="CS50" s="9">
        <f t="shared" si="77"/>
        <v>524.19272533044682</v>
      </c>
      <c r="DP50" s="4">
        <f t="shared" si="78"/>
        <v>5</v>
      </c>
      <c r="DQ50" s="4">
        <f t="shared" si="79"/>
        <v>285.75</v>
      </c>
      <c r="DR50" s="4">
        <f t="shared" si="80"/>
        <v>1</v>
      </c>
      <c r="DT50" s="4">
        <f t="shared" si="81"/>
        <v>2.0755210712749404E-5</v>
      </c>
      <c r="DU50" s="4">
        <f t="shared" si="82"/>
        <v>9.0324733825588019</v>
      </c>
      <c r="DW50" s="4">
        <f t="shared" si="83"/>
        <v>0</v>
      </c>
      <c r="DX50" s="4">
        <f t="shared" si="84"/>
        <v>6.4517667018277161</v>
      </c>
      <c r="DY50" s="4">
        <f t="shared" si="85"/>
        <v>8.5873792483918443</v>
      </c>
      <c r="DZ50" s="38">
        <f t="shared" si="86"/>
        <v>517.5</v>
      </c>
      <c r="EA50" s="4">
        <f t="shared" si="87"/>
        <v>1</v>
      </c>
      <c r="EC50" s="4">
        <f t="shared" si="122"/>
        <v>398.97187672270616</v>
      </c>
      <c r="EG50" s="4">
        <f t="shared" si="88"/>
        <v>0.85</v>
      </c>
      <c r="EH50" s="4">
        <f t="shared" si="89"/>
        <v>0.7</v>
      </c>
      <c r="EI50" s="4">
        <f t="shared" si="90"/>
        <v>0.7</v>
      </c>
      <c r="EJ50" s="4">
        <f t="shared" si="91"/>
        <v>0.7</v>
      </c>
      <c r="EL50" s="4">
        <f t="shared" si="92"/>
        <v>517.5</v>
      </c>
      <c r="EM50" s="25">
        <f t="shared" si="93"/>
        <v>406.01150571825815</v>
      </c>
      <c r="EP50" s="4">
        <f t="shared" si="94"/>
        <v>9.0324733825588019</v>
      </c>
      <c r="EQ50" s="4">
        <f t="shared" si="95"/>
        <v>8.5989146601959785</v>
      </c>
      <c r="ES50" s="4">
        <f t="shared" si="96"/>
        <v>77.858162529590359</v>
      </c>
      <c r="ET50" s="4">
        <f t="shared" si="97"/>
        <v>3.0652819893539514</v>
      </c>
      <c r="EU50" s="4">
        <f t="shared" si="98"/>
        <v>0.1337101151780101</v>
      </c>
      <c r="EX50" s="4">
        <f t="shared" si="99"/>
        <v>0.1337101151780101</v>
      </c>
      <c r="EY50" s="4">
        <f t="shared" si="100"/>
        <v>0.4146573390149611</v>
      </c>
      <c r="EZ50" s="4">
        <f t="shared" si="101"/>
        <v>6.3515896592037286</v>
      </c>
      <c r="FA50" s="4">
        <f t="shared" si="102"/>
        <v>7.8082958220823215</v>
      </c>
      <c r="FB50" s="4">
        <f t="shared" si="103"/>
        <v>136.45433747040965</v>
      </c>
      <c r="FC50" s="4">
        <f t="shared" si="104"/>
        <v>71.4375</v>
      </c>
      <c r="FD50" s="4">
        <f t="shared" si="105"/>
        <v>2.0755210712749404E-5</v>
      </c>
      <c r="FE50" s="4">
        <f t="shared" si="106"/>
        <v>8.3359261239969022</v>
      </c>
      <c r="FF50" s="4">
        <f t="shared" si="107"/>
        <v>517.5</v>
      </c>
      <c r="FG50" s="4">
        <f t="shared" si="108"/>
        <v>136.45433747040965</v>
      </c>
      <c r="FH50" s="4">
        <f t="shared" si="109"/>
        <v>71.437499999999986</v>
      </c>
      <c r="FJ50" s="4">
        <f t="shared" si="110"/>
        <v>0</v>
      </c>
      <c r="FO50" s="23"/>
      <c r="FP50" s="23"/>
      <c r="FQ50" s="23"/>
      <c r="FR50" s="23"/>
      <c r="FS50" s="23"/>
      <c r="FT50" s="23"/>
      <c r="FU50" s="23"/>
      <c r="FV50" s="23"/>
      <c r="GF50" s="4">
        <f t="shared" si="111"/>
        <v>1</v>
      </c>
      <c r="GG50" s="4">
        <f t="shared" si="112"/>
        <v>0.68688155922038985</v>
      </c>
      <c r="GH50" s="4">
        <f t="shared" si="113"/>
        <v>0.3</v>
      </c>
      <c r="GI50" s="4">
        <f t="shared" si="114"/>
        <v>396.26942221324936</v>
      </c>
    </row>
    <row r="51" spans="1:191" ht="12" hidden="1" customHeight="1" x14ac:dyDescent="0.3">
      <c r="A51" s="25">
        <v>32</v>
      </c>
      <c r="B51" s="26" t="s">
        <v>81</v>
      </c>
      <c r="C51" s="26"/>
      <c r="D51" s="26" t="s">
        <v>82</v>
      </c>
      <c r="E51" s="26"/>
      <c r="F51" s="26"/>
      <c r="G51" s="26"/>
      <c r="H51" s="7" t="s">
        <v>108</v>
      </c>
      <c r="I51" s="7"/>
      <c r="J51" s="28">
        <f t="shared" si="115"/>
        <v>517.5</v>
      </c>
      <c r="K51" s="7">
        <f t="shared" si="128"/>
        <v>285.75</v>
      </c>
      <c r="L51" s="7">
        <f t="shared" si="123"/>
        <v>285.75</v>
      </c>
      <c r="M51" s="7">
        <v>34.659999999999997</v>
      </c>
      <c r="N51" s="7">
        <v>25.4</v>
      </c>
      <c r="O51" s="7">
        <f t="shared" si="116"/>
        <v>11.25</v>
      </c>
      <c r="P51" s="7">
        <f t="shared" si="117"/>
        <v>11.25</v>
      </c>
      <c r="Q51" s="7">
        <v>229</v>
      </c>
      <c r="R51" s="7"/>
      <c r="S51" s="7">
        <f t="shared" si="42"/>
        <v>101.8</v>
      </c>
      <c r="T51" s="7"/>
      <c r="U51" s="7">
        <v>305</v>
      </c>
      <c r="V51" s="7"/>
      <c r="W51" s="7">
        <v>0</v>
      </c>
      <c r="X51" s="7">
        <v>1</v>
      </c>
      <c r="Y51" s="7"/>
      <c r="Z51" s="7"/>
      <c r="AA51" s="7">
        <v>55.37</v>
      </c>
      <c r="AB51" s="7">
        <f t="shared" si="43"/>
        <v>2.6799212598425197</v>
      </c>
      <c r="AC51" s="28">
        <f t="shared" si="118"/>
        <v>2.6799212598425197</v>
      </c>
      <c r="AD51" s="28">
        <f t="shared" si="44"/>
        <v>8.3959536742577185</v>
      </c>
      <c r="AE51" s="7">
        <f t="shared" si="45"/>
        <v>8.3959536742577185</v>
      </c>
      <c r="AF51" s="7">
        <f t="shared" si="46"/>
        <v>9.3959536742577185</v>
      </c>
      <c r="AG51" s="7">
        <f t="shared" si="47"/>
        <v>77.858162529590359</v>
      </c>
      <c r="AH51" s="7"/>
      <c r="AI51" s="7"/>
      <c r="AJ51" s="7">
        <f>254.51/(PI()/4*N51^2)*1000</f>
        <v>502.28190918616514</v>
      </c>
      <c r="AK51" s="7"/>
      <c r="AL51" s="7"/>
      <c r="AM51" s="7">
        <v>9.5</v>
      </c>
      <c r="AN51" s="7">
        <v>5</v>
      </c>
      <c r="AO51" s="7">
        <v>64</v>
      </c>
      <c r="AP51" s="7">
        <v>5</v>
      </c>
      <c r="AQ51" s="7"/>
      <c r="AR51" s="7"/>
      <c r="AS51" s="4">
        <f t="shared" si="125"/>
        <v>285.75</v>
      </c>
      <c r="AT51" s="4">
        <f t="shared" si="48"/>
        <v>0.15477837507115344</v>
      </c>
      <c r="AU51" s="25">
        <f t="shared" si="49"/>
        <v>561.22411424012159</v>
      </c>
      <c r="AV51" s="4">
        <f t="shared" si="50"/>
        <v>0.74764304461942255</v>
      </c>
      <c r="AW51" s="4">
        <v>1.25</v>
      </c>
      <c r="AX51" s="25">
        <f t="shared" si="119"/>
        <v>5</v>
      </c>
      <c r="AY51" s="38">
        <f t="shared" si="120"/>
        <v>405.90174731467357</v>
      </c>
      <c r="AZ51" s="38">
        <f t="shared" si="121"/>
        <v>405.90174731467357</v>
      </c>
      <c r="BB51" s="38">
        <f t="shared" ref="BB51:BB94" si="129">AX51* (M51^0.5/AS51^0.5)/(PI()/4*N51^2)/X51/0.72 *(0.7+(MIN(S51,AA51)+0.5*N51)/5/K51) *(Q51*MIN(AA51+0.5*N51+1.5*K51,508))</f>
        <v>405.90174731467334</v>
      </c>
      <c r="BC51" s="38">
        <f t="shared" si="52"/>
        <v>1.0000000000000007</v>
      </c>
      <c r="BF51" s="4">
        <f t="shared" si="53"/>
        <v>348.58861648898744</v>
      </c>
      <c r="BG51" s="4">
        <f t="shared" si="54"/>
        <v>1</v>
      </c>
      <c r="BH51" s="38">
        <f t="shared" si="55"/>
        <v>538.28912369866623</v>
      </c>
      <c r="BI51" s="4">
        <f t="shared" si="56"/>
        <v>0.3</v>
      </c>
      <c r="BJ51" s="4">
        <f t="shared" si="57"/>
        <v>54.641265634648782</v>
      </c>
      <c r="BK51" s="4">
        <f t="shared" si="58"/>
        <v>592.93038933331502</v>
      </c>
      <c r="BM51" s="36">
        <f t="shared" si="59"/>
        <v>2.2250000000000001</v>
      </c>
      <c r="BN51" s="36">
        <f t="shared" si="60"/>
        <v>523.9674226514469</v>
      </c>
      <c r="BS51" s="4">
        <f t="shared" si="61"/>
        <v>101.8</v>
      </c>
      <c r="BT51" s="4">
        <f t="shared" si="62"/>
        <v>55.37</v>
      </c>
      <c r="BU51" s="4">
        <f t="shared" si="63"/>
        <v>101.8</v>
      </c>
      <c r="BV51" s="4">
        <f t="shared" si="64"/>
        <v>68.069999999999993</v>
      </c>
      <c r="BW51" s="4">
        <f t="shared" si="65"/>
        <v>1.0838540726024923</v>
      </c>
      <c r="BX51" s="25">
        <f t="shared" si="66"/>
        <v>4</v>
      </c>
      <c r="BZ51" s="4">
        <f t="shared" si="67"/>
        <v>101.8</v>
      </c>
      <c r="CD51" s="9"/>
      <c r="CF51" s="9"/>
      <c r="CG51" s="9"/>
      <c r="CH51" s="9">
        <f t="shared" si="68"/>
        <v>101.8</v>
      </c>
      <c r="CI51" s="9">
        <f t="shared" si="69"/>
        <v>101.8</v>
      </c>
      <c r="CJ51" s="9">
        <f t="shared" si="70"/>
        <v>2.001967536137395</v>
      </c>
      <c r="CK51" s="70">
        <v>20</v>
      </c>
      <c r="CL51" s="9">
        <f t="shared" si="71"/>
        <v>0.05</v>
      </c>
      <c r="CM51" s="9">
        <f t="shared" si="72"/>
        <v>0.8</v>
      </c>
      <c r="CN51" s="9">
        <f t="shared" si="73"/>
        <v>0.99524931562137331</v>
      </c>
      <c r="CO51" s="9">
        <f t="shared" si="74"/>
        <v>0.97375</v>
      </c>
      <c r="CP51" s="9">
        <f t="shared" si="75"/>
        <v>1.9969246679255115</v>
      </c>
      <c r="CQ51" s="9">
        <f t="shared" si="76"/>
        <v>4.9923116698137786</v>
      </c>
      <c r="CR51" s="9">
        <v>1</v>
      </c>
      <c r="CS51" s="9">
        <f t="shared" si="77"/>
        <v>524.19272533044682</v>
      </c>
      <c r="DP51" s="4">
        <f t="shared" si="78"/>
        <v>5</v>
      </c>
      <c r="DQ51" s="4">
        <f t="shared" si="79"/>
        <v>285.75</v>
      </c>
      <c r="DR51" s="4">
        <f t="shared" si="80"/>
        <v>1</v>
      </c>
      <c r="DT51" s="4">
        <f t="shared" si="81"/>
        <v>2.0755210712749404E-5</v>
      </c>
      <c r="DU51" s="4">
        <f t="shared" si="82"/>
        <v>9.0324733825588019</v>
      </c>
      <c r="DW51" s="4">
        <f t="shared" si="83"/>
        <v>0</v>
      </c>
      <c r="DX51" s="4">
        <f t="shared" si="84"/>
        <v>6.4517667018277161</v>
      </c>
      <c r="DY51" s="4">
        <f t="shared" si="85"/>
        <v>8.5873792483918443</v>
      </c>
      <c r="DZ51" s="38">
        <f t="shared" si="86"/>
        <v>517.5</v>
      </c>
      <c r="EA51" s="4">
        <f t="shared" si="87"/>
        <v>1</v>
      </c>
      <c r="EC51" s="4">
        <f t="shared" si="122"/>
        <v>405.90174731467334</v>
      </c>
      <c r="EG51" s="4">
        <f t="shared" si="88"/>
        <v>0.85</v>
      </c>
      <c r="EH51" s="4">
        <f t="shared" si="89"/>
        <v>0.7</v>
      </c>
      <c r="EI51" s="4">
        <f t="shared" si="90"/>
        <v>0.7</v>
      </c>
      <c r="EJ51" s="4">
        <f t="shared" si="91"/>
        <v>0.7</v>
      </c>
      <c r="EL51" s="4">
        <f t="shared" si="92"/>
        <v>517.5</v>
      </c>
      <c r="EM51" s="25">
        <f t="shared" si="93"/>
        <v>408.25877689791969</v>
      </c>
      <c r="EP51" s="4">
        <f t="shared" si="94"/>
        <v>9.0324733825588019</v>
      </c>
      <c r="EQ51" s="4">
        <f t="shared" si="95"/>
        <v>8.5989146601959785</v>
      </c>
      <c r="ES51" s="4">
        <f t="shared" si="96"/>
        <v>77.858162529590359</v>
      </c>
      <c r="ET51" s="4">
        <f t="shared" si="97"/>
        <v>3.0652819893539514</v>
      </c>
      <c r="EU51" s="4">
        <f t="shared" si="98"/>
        <v>0.13603256908787462</v>
      </c>
      <c r="EX51" s="4">
        <f t="shared" si="99"/>
        <v>0.13603256908787462</v>
      </c>
      <c r="EY51" s="4">
        <f t="shared" si="100"/>
        <v>0.42185965543632703</v>
      </c>
      <c r="EZ51" s="4">
        <f t="shared" si="101"/>
        <v>6.3954909375802735</v>
      </c>
      <c r="FA51" s="4">
        <f t="shared" si="102"/>
        <v>7.8261691483847384</v>
      </c>
      <c r="FB51" s="4">
        <f t="shared" si="103"/>
        <v>136.45433747040965</v>
      </c>
      <c r="FC51" s="4">
        <f t="shared" si="104"/>
        <v>71.4375</v>
      </c>
      <c r="FD51" s="4">
        <f t="shared" si="105"/>
        <v>2.0755210712749404E-5</v>
      </c>
      <c r="FE51" s="4">
        <f t="shared" si="106"/>
        <v>8.3337591242856508</v>
      </c>
      <c r="FF51" s="4">
        <f t="shared" si="107"/>
        <v>517.5</v>
      </c>
      <c r="FG51" s="4">
        <f t="shared" si="108"/>
        <v>136.45433747040965</v>
      </c>
      <c r="FH51" s="4">
        <f t="shared" si="109"/>
        <v>71.437499999999986</v>
      </c>
      <c r="FJ51" s="4">
        <f t="shared" si="110"/>
        <v>0</v>
      </c>
      <c r="FO51" s="23"/>
      <c r="FP51" s="23"/>
      <c r="FQ51" s="23"/>
      <c r="FR51" s="23"/>
      <c r="FS51" s="23"/>
      <c r="FT51" s="23"/>
      <c r="FU51" s="23"/>
      <c r="FV51" s="23"/>
      <c r="GF51" s="4">
        <f t="shared" si="111"/>
        <v>1</v>
      </c>
      <c r="GG51" s="4">
        <f t="shared" si="112"/>
        <v>0.68688155922038985</v>
      </c>
      <c r="GH51" s="4">
        <f t="shared" si="113"/>
        <v>0.3</v>
      </c>
      <c r="GI51" s="4">
        <f t="shared" si="114"/>
        <v>396.26942221324936</v>
      </c>
    </row>
    <row r="52" spans="1:191" ht="12" hidden="1" customHeight="1" x14ac:dyDescent="0.3">
      <c r="A52" s="25">
        <v>33</v>
      </c>
      <c r="B52" s="26" t="s">
        <v>81</v>
      </c>
      <c r="C52" s="26"/>
      <c r="D52" s="26" t="s">
        <v>82</v>
      </c>
      <c r="E52" s="26"/>
      <c r="F52" s="26"/>
      <c r="G52" s="26"/>
      <c r="H52" s="7" t="s">
        <v>109</v>
      </c>
      <c r="I52" s="7"/>
      <c r="J52" s="28">
        <f t="shared" si="115"/>
        <v>517.5</v>
      </c>
      <c r="K52" s="7">
        <f t="shared" si="128"/>
        <v>285.75</v>
      </c>
      <c r="L52" s="7">
        <f t="shared" si="123"/>
        <v>285.75</v>
      </c>
      <c r="M52" s="7">
        <v>34.659999999999997</v>
      </c>
      <c r="N52" s="7">
        <v>25.4</v>
      </c>
      <c r="O52" s="7">
        <f t="shared" si="116"/>
        <v>11.25</v>
      </c>
      <c r="P52" s="7">
        <f t="shared" si="117"/>
        <v>11.25</v>
      </c>
      <c r="Q52" s="7">
        <v>229</v>
      </c>
      <c r="R52" s="7"/>
      <c r="S52" s="7">
        <f t="shared" ref="S52:S83" si="130">(Q52-N52)/2</f>
        <v>101.8</v>
      </c>
      <c r="T52" s="7"/>
      <c r="U52" s="7">
        <v>305</v>
      </c>
      <c r="V52" s="7"/>
      <c r="W52" s="7">
        <v>0</v>
      </c>
      <c r="X52" s="7">
        <v>1</v>
      </c>
      <c r="Y52" s="7"/>
      <c r="Z52" s="7"/>
      <c r="AA52" s="7">
        <v>51.69</v>
      </c>
      <c r="AB52" s="7">
        <f t="shared" ref="AB52:AB83" si="131">MIN(Q52/2/N52, (AA52+N52/2)/N52)</f>
        <v>2.5350393700787404</v>
      </c>
      <c r="AC52" s="28">
        <f t="shared" si="118"/>
        <v>2.5350393700787404</v>
      </c>
      <c r="AD52" s="28">
        <f t="shared" si="44"/>
        <v>8.3959536742577185</v>
      </c>
      <c r="AE52" s="7">
        <f t="shared" si="45"/>
        <v>8.3959536742577185</v>
      </c>
      <c r="AF52" s="7">
        <f t="shared" si="46"/>
        <v>9.3959536742577185</v>
      </c>
      <c r="AG52" s="7">
        <f t="shared" si="47"/>
        <v>77.858162529590359</v>
      </c>
      <c r="AH52" s="7"/>
      <c r="AI52" s="7"/>
      <c r="AJ52" s="7">
        <f>265.15/(PI()/4*N52^2)*1000</f>
        <v>523.28021775455443</v>
      </c>
      <c r="AK52" s="7"/>
      <c r="AL52" s="7"/>
      <c r="AM52" s="7">
        <v>9.5</v>
      </c>
      <c r="AN52" s="7">
        <v>5</v>
      </c>
      <c r="AO52" s="7">
        <v>64</v>
      </c>
      <c r="AP52" s="7">
        <v>5</v>
      </c>
      <c r="AQ52" s="7"/>
      <c r="AR52" s="7"/>
      <c r="AS52" s="4">
        <f t="shared" si="125"/>
        <v>285.75</v>
      </c>
      <c r="AT52" s="4">
        <f t="shared" si="48"/>
        <v>0.15363162622072843</v>
      </c>
      <c r="AU52" s="25">
        <f t="shared" ref="AU52:AU83" si="132">MIN(10*M52^0.5*AS52^1.5,100*3.9*M52^0.5*AS52^(5/3))/(PI()/4*N52^2)/X52</f>
        <v>561.22411424012159</v>
      </c>
      <c r="AV52" s="4">
        <f t="shared" ref="AV52:AV83" si="133">MIN(0.7+0.3*(MIN(S52,AA52)+0.5*N52)/1.5/K52,1)</f>
        <v>0.7450673665791776</v>
      </c>
      <c r="AW52" s="4">
        <v>1.25</v>
      </c>
      <c r="AX52" s="25">
        <f t="shared" si="119"/>
        <v>5</v>
      </c>
      <c r="AY52" s="38">
        <f t="shared" si="120"/>
        <v>401.50643504965132</v>
      </c>
      <c r="AZ52" s="38">
        <f t="shared" si="121"/>
        <v>401.50643504965132</v>
      </c>
      <c r="BB52" s="38">
        <f t="shared" si="129"/>
        <v>401.50643504965109</v>
      </c>
      <c r="BC52" s="38">
        <f t="shared" si="52"/>
        <v>1.0000000000000007</v>
      </c>
      <c r="BF52" s="4">
        <f t="shared" si="53"/>
        <v>348.58861648898744</v>
      </c>
      <c r="BG52" s="4">
        <f t="shared" si="54"/>
        <v>1</v>
      </c>
      <c r="BH52" s="38">
        <f t="shared" si="55"/>
        <v>509.18813978194686</v>
      </c>
      <c r="BI52" s="4">
        <f t="shared" si="56"/>
        <v>0.3</v>
      </c>
      <c r="BJ52" s="4">
        <f t="shared" si="57"/>
        <v>54.641265634648782</v>
      </c>
      <c r="BK52" s="4">
        <f t="shared" si="58"/>
        <v>563.82940541659559</v>
      </c>
      <c r="BM52" s="36">
        <f t="shared" ref="BM52:BM83" si="134">MAX(1, (0.9+0.1*MIN(2,AB52-0.5))*(0.9+0.1*MIN(3.5,S52/S52))+0.45*MIN(2.5,(40*2*PI()*AM52^2/4/AO52/X52)/N52))</f>
        <v>2.2250000000000001</v>
      </c>
      <c r="BN52" s="36">
        <f t="shared" ref="BN52:BN83" si="135">(1.6*P52+22)*BM52*M52^0.5</f>
        <v>523.9674226514469</v>
      </c>
      <c r="BS52" s="4">
        <f t="shared" si="61"/>
        <v>101.8</v>
      </c>
      <c r="BT52" s="4">
        <f t="shared" si="62"/>
        <v>51.69</v>
      </c>
      <c r="BU52" s="4">
        <f t="shared" si="63"/>
        <v>101.8</v>
      </c>
      <c r="BV52" s="4">
        <f t="shared" ref="BV52:BV83" si="136">BT52+N52/2</f>
        <v>64.39</v>
      </c>
      <c r="BW52" s="4">
        <f t="shared" si="65"/>
        <v>1.0969433159218418</v>
      </c>
      <c r="BX52" s="25">
        <f t="shared" ref="BX52:BX83" si="137">MIN(4, (BV52*BW52+(6*M52^0.5*(0.03*N52+0.22)*(AM52^2/4*PI())*2/AO52/X52))/N52)</f>
        <v>4</v>
      </c>
      <c r="BZ52" s="4">
        <f t="shared" si="67"/>
        <v>101.8</v>
      </c>
      <c r="CD52" s="9"/>
      <c r="CF52" s="9"/>
      <c r="CG52" s="9"/>
      <c r="CH52" s="9">
        <f t="shared" si="68"/>
        <v>101.8</v>
      </c>
      <c r="CI52" s="9">
        <f t="shared" si="69"/>
        <v>101.8</v>
      </c>
      <c r="CJ52" s="9">
        <f t="shared" si="70"/>
        <v>2.001967536137395</v>
      </c>
      <c r="CK52" s="70">
        <v>20</v>
      </c>
      <c r="CL52" s="9">
        <f t="shared" si="71"/>
        <v>0.05</v>
      </c>
      <c r="CM52" s="9">
        <f t="shared" si="72"/>
        <v>0.8</v>
      </c>
      <c r="CN52" s="9">
        <f t="shared" si="73"/>
        <v>0.99524931562137331</v>
      </c>
      <c r="CO52" s="9">
        <f t="shared" si="74"/>
        <v>0.97375</v>
      </c>
      <c r="CP52" s="9">
        <f t="shared" si="75"/>
        <v>1.9969246679255115</v>
      </c>
      <c r="CQ52" s="9">
        <f t="shared" si="76"/>
        <v>4.9923116698137786</v>
      </c>
      <c r="CR52" s="9">
        <v>1</v>
      </c>
      <c r="CS52" s="9">
        <f t="shared" si="77"/>
        <v>524.19272533044682</v>
      </c>
      <c r="DP52" s="4">
        <f t="shared" si="78"/>
        <v>5</v>
      </c>
      <c r="DQ52" s="4">
        <f t="shared" ref="DQ52:DQ83" si="138">K52</f>
        <v>285.75</v>
      </c>
      <c r="DR52" s="4">
        <f t="shared" ref="DR52:DR83" si="139">L52/K52</f>
        <v>1</v>
      </c>
      <c r="DT52" s="4">
        <f t="shared" si="81"/>
        <v>2.0755210712749404E-5</v>
      </c>
      <c r="DU52" s="4">
        <f t="shared" si="82"/>
        <v>9.0324733825588019</v>
      </c>
      <c r="DW52" s="4">
        <f t="shared" si="83"/>
        <v>0</v>
      </c>
      <c r="DX52" s="4">
        <f t="shared" si="84"/>
        <v>6.4517667018277161</v>
      </c>
      <c r="DY52" s="4">
        <f t="shared" ref="DY52:DY83" si="140">MAX(DU52/2, (4-DT52*(8*AG52*(DW52-DX52)+6*K52*DX52))/(4+DT52*K52*DU52)*DU52)</f>
        <v>8.5873792483918443</v>
      </c>
      <c r="DZ52" s="38">
        <f t="shared" si="86"/>
        <v>523.28021775455443</v>
      </c>
      <c r="EA52" s="4">
        <f t="shared" si="87"/>
        <v>1</v>
      </c>
      <c r="EC52" s="4">
        <f t="shared" si="122"/>
        <v>401.50643504965109</v>
      </c>
      <c r="EG52" s="4">
        <f t="shared" si="88"/>
        <v>0.85</v>
      </c>
      <c r="EH52" s="4">
        <f t="shared" si="89"/>
        <v>0.7</v>
      </c>
      <c r="EI52" s="4">
        <f t="shared" ref="EI52:EI83" si="141">MIN(1,MAX(0.7,1-0.3*(PI()*AM52^2/4*AN52*2-0.25*PI()/4*N52^2)/(PI()/4*N52^2)))</f>
        <v>0.7</v>
      </c>
      <c r="EJ52" s="4">
        <f t="shared" si="91"/>
        <v>0.7</v>
      </c>
      <c r="EL52" s="4">
        <f t="shared" ref="EL52:EL83" si="142">MIN(DU52/N52*3*K52+EM52-FJ52,MAX(J52,AJ52))</f>
        <v>523.28021775455443</v>
      </c>
      <c r="EM52" s="25">
        <f t="shared" ref="EM52:EM83" si="143">8.8*Q52*508*M52^0.5/X52/N52^2/K52^0.5*(0.7+MIN(AA52,S52)/5/K52)</f>
        <v>406.83537621957981</v>
      </c>
      <c r="EP52" s="4">
        <f t="shared" ref="EP52:EP83" si="144">IF(N52&lt;22.2,1.1*5*(M52/30)^0.5,IF(N52&gt;=31.8,0.9*5*(M52/30)^0.5,1*5*(M52/30)^0.5))/EG52/EJ52</f>
        <v>9.0324733825588019</v>
      </c>
      <c r="EQ52" s="4">
        <f t="shared" ref="EQ52:EQ83" si="145">IF(N52&lt;22.2,1.1*5*(M52/30)^0.5,IF(N52&gt;=31.8,0.9*5*(M52/30)^0.5,1*5*(M52/30)^0.5))*BX52/2.5</f>
        <v>8.5989146601959785</v>
      </c>
      <c r="ES52" s="4">
        <f t="shared" si="96"/>
        <v>77.858162529590359</v>
      </c>
      <c r="ET52" s="4">
        <f t="shared" si="97"/>
        <v>3.0652819893539514</v>
      </c>
      <c r="EU52" s="4">
        <f t="shared" si="98"/>
        <v>0.13455953867273107</v>
      </c>
      <c r="EX52" s="4">
        <f t="shared" si="99"/>
        <v>0.13455953867273107</v>
      </c>
      <c r="EY52" s="4">
        <f t="shared" si="100"/>
        <v>0.41729154275900004</v>
      </c>
      <c r="EZ52" s="4">
        <f t="shared" si="101"/>
        <v>6.3676989623094746</v>
      </c>
      <c r="FA52" s="4">
        <f t="shared" si="102"/>
        <v>7.8148446026109291</v>
      </c>
      <c r="FB52" s="4">
        <f t="shared" si="103"/>
        <v>136.45433747040965</v>
      </c>
      <c r="FC52" s="4">
        <f t="shared" si="104"/>
        <v>71.4375</v>
      </c>
      <c r="FD52" s="4">
        <f t="shared" si="105"/>
        <v>2.0755210712749404E-5</v>
      </c>
      <c r="FE52" s="4">
        <f t="shared" si="106"/>
        <v>8.3351314478706442</v>
      </c>
      <c r="FF52" s="4">
        <f t="shared" ref="FF52:FF83" si="146">MIN(4/N52*(1*EZ52*ES52+FA52*FG52+FH52*FE52)+EC52,MAX(J52,AJ52))</f>
        <v>523.28021775455443</v>
      </c>
      <c r="FG52" s="4">
        <f t="shared" si="108"/>
        <v>136.45433747040965</v>
      </c>
      <c r="FH52" s="4">
        <f t="shared" si="109"/>
        <v>71.437499999999986</v>
      </c>
      <c r="FJ52" s="4">
        <f t="shared" ref="FJ52:FJ83" si="147">4/N52*(1*EZ52*ES52+FA52*FB52+FC52*FE52)+EC52 - (4/N52*(1*EZ52*ES52+FA52*FG52+FH52*FE52)+EC52)</f>
        <v>0</v>
      </c>
      <c r="FO52" s="23"/>
      <c r="FP52" s="23"/>
      <c r="FQ52" s="23"/>
      <c r="FR52" s="23"/>
      <c r="FS52" s="23"/>
      <c r="FT52" s="23"/>
      <c r="FU52" s="23"/>
      <c r="FV52" s="23"/>
      <c r="GF52" s="4">
        <f t="shared" si="111"/>
        <v>1</v>
      </c>
      <c r="GG52" s="4">
        <f t="shared" si="112"/>
        <v>0.68688155922038985</v>
      </c>
      <c r="GH52" s="4">
        <f t="shared" si="113"/>
        <v>0.3</v>
      </c>
      <c r="GI52" s="4">
        <f t="shared" si="114"/>
        <v>396.26942221324936</v>
      </c>
    </row>
    <row r="53" spans="1:191" ht="12" hidden="1" customHeight="1" x14ac:dyDescent="0.3">
      <c r="A53" s="25">
        <v>34</v>
      </c>
      <c r="B53" s="20" t="s">
        <v>54</v>
      </c>
      <c r="C53" s="20">
        <v>2006</v>
      </c>
      <c r="D53" s="24" t="s">
        <v>55</v>
      </c>
      <c r="E53" s="24"/>
      <c r="F53" s="24"/>
      <c r="G53" s="24"/>
      <c r="H53" s="7" t="s">
        <v>77</v>
      </c>
      <c r="I53" s="7"/>
      <c r="J53" s="7">
        <v>472</v>
      </c>
      <c r="K53" s="7">
        <f>10*25.4</f>
        <v>254</v>
      </c>
      <c r="L53" s="7">
        <f t="shared" ref="L53:L116" si="148">N53*P53</f>
        <v>177.79999999999998</v>
      </c>
      <c r="M53" s="7">
        <v>27</v>
      </c>
      <c r="N53" s="7">
        <v>25.4</v>
      </c>
      <c r="O53" s="7">
        <f>K53/N53</f>
        <v>10</v>
      </c>
      <c r="P53" s="7">
        <v>7</v>
      </c>
      <c r="Q53" s="7">
        <f t="shared" ref="Q53:Q79" si="149">6*25.4</f>
        <v>152.39999999999998</v>
      </c>
      <c r="R53" s="7"/>
      <c r="S53" s="7">
        <f t="shared" si="130"/>
        <v>63.499999999999986</v>
      </c>
      <c r="T53" s="7"/>
      <c r="U53" s="7">
        <f t="shared" ref="U53:U104" si="150">2*25.4</f>
        <v>50.8</v>
      </c>
      <c r="V53" s="7"/>
      <c r="W53" s="7">
        <v>0</v>
      </c>
      <c r="X53" s="7">
        <v>1</v>
      </c>
      <c r="Y53" s="7"/>
      <c r="Z53" s="7"/>
      <c r="AA53" s="7">
        <f t="shared" ref="AA53:AA94" si="151">4*25.4-N53/2</f>
        <v>88.899999999999991</v>
      </c>
      <c r="AB53" s="7">
        <f t="shared" si="131"/>
        <v>2.9999999999999996</v>
      </c>
      <c r="AC53" s="7">
        <f t="shared" ref="AC53:AC94" si="152">MAX(Q53/2/N53, (AA53+N53/2)/N53)</f>
        <v>4</v>
      </c>
      <c r="AD53" s="7">
        <v>1.18</v>
      </c>
      <c r="AE53" s="7">
        <f>MIN(AE$16,AD53)</f>
        <v>1.18</v>
      </c>
      <c r="AF53" s="7">
        <f t="shared" si="46"/>
        <v>2.1799999999999997</v>
      </c>
      <c r="AG53" s="7">
        <f t="shared" si="47"/>
        <v>37.502650572992827</v>
      </c>
      <c r="AH53" s="7"/>
      <c r="AI53" s="7"/>
      <c r="AJ53" s="7">
        <v>426</v>
      </c>
      <c r="AK53" s="7"/>
      <c r="AL53" s="7"/>
      <c r="AM53" s="7">
        <v>0</v>
      </c>
      <c r="AN53" s="7">
        <v>0</v>
      </c>
      <c r="AO53" s="7">
        <f t="shared" ref="AO53:AO90" si="153">L53</f>
        <v>177.79999999999998</v>
      </c>
      <c r="AP53" s="7"/>
      <c r="AQ53" s="7"/>
      <c r="AR53" s="7"/>
      <c r="AS53" s="4">
        <f t="shared" si="125"/>
        <v>254</v>
      </c>
      <c r="AT53" s="44">
        <f t="shared" ref="AT53:AT94" si="154">MIN(Q53)*(MIN(508-AA53-0.5*N53,1.5*AS53)+AA53+N53/2)/(3*K53)^2</f>
        <v>0.12666666666666665</v>
      </c>
      <c r="AU53" s="25">
        <f t="shared" si="132"/>
        <v>415.1214191673746</v>
      </c>
      <c r="AV53" s="4">
        <f t="shared" si="133"/>
        <v>0.7599999999999999</v>
      </c>
      <c r="AW53" s="4">
        <v>1.25</v>
      </c>
      <c r="AX53" s="25">
        <f t="shared" si="119"/>
        <v>5</v>
      </c>
      <c r="AY53" s="38">
        <f t="shared" si="120"/>
        <v>249.76472053237029</v>
      </c>
      <c r="AZ53" s="38">
        <f t="shared" si="121"/>
        <v>249.76472053237029</v>
      </c>
      <c r="BB53" s="38">
        <f t="shared" si="129"/>
        <v>249.76472053237032</v>
      </c>
      <c r="BC53" s="38">
        <f t="shared" si="52"/>
        <v>0.99999999999999989</v>
      </c>
      <c r="BD53" s="38">
        <f t="shared" ref="BD53:BD116" si="155">BH53/BB53</f>
        <v>0.79851409515855842</v>
      </c>
      <c r="BE53" s="4">
        <f>IF(BD53&lt;1,1,0)</f>
        <v>1</v>
      </c>
      <c r="BF53" s="4">
        <f t="shared" si="53"/>
        <v>191.43719452077065</v>
      </c>
      <c r="BG53" s="4">
        <f t="shared" si="54"/>
        <v>1.1333333333333333</v>
      </c>
      <c r="BH53" s="38">
        <f t="shared" si="55"/>
        <v>199.4406498184359</v>
      </c>
      <c r="BI53" s="4">
        <f t="shared" si="56"/>
        <v>0.83479999999999999</v>
      </c>
      <c r="BJ53" s="4">
        <f t="shared" si="57"/>
        <v>83.501649817653302</v>
      </c>
      <c r="BK53" s="4">
        <f t="shared" si="58"/>
        <v>282.94229963608922</v>
      </c>
      <c r="BM53" s="36">
        <f t="shared" si="134"/>
        <v>1.1000000000000001</v>
      </c>
      <c r="BN53" s="36">
        <f t="shared" si="135"/>
        <v>189.7634864772462</v>
      </c>
      <c r="BS53" s="4">
        <f>IF(X53=1,S53,MIN(S53,W53/2+6.4))</f>
        <v>63.499999999999986</v>
      </c>
      <c r="BT53" s="4">
        <f>MIN(AA53,BS53)</f>
        <v>63.499999999999986</v>
      </c>
      <c r="BU53" s="4">
        <f>MAX(AA53,BS53)</f>
        <v>88.899999999999991</v>
      </c>
      <c r="BV53" s="4">
        <f t="shared" si="136"/>
        <v>76.199999999999989</v>
      </c>
      <c r="BW53" s="4">
        <f>MIN(1.25, 0.1*BU53/BT53+0.9)</f>
        <v>1.04</v>
      </c>
      <c r="BX53" s="25">
        <f t="shared" si="137"/>
        <v>3.1199999999999997</v>
      </c>
      <c r="BZ53" s="4">
        <f>IF(W53=0,S53,MIN(W53/2,S53))</f>
        <v>63.499999999999986</v>
      </c>
      <c r="CD53" s="9"/>
      <c r="CF53" s="9"/>
      <c r="CG53" s="9"/>
      <c r="CH53" s="9">
        <f>IF(W53=0,MIN(S53,U53),MIN(W53/2,S53,U53))</f>
        <v>50.8</v>
      </c>
      <c r="CI53" s="9">
        <f>MAX(W53/2,S53)</f>
        <v>63.499999999999986</v>
      </c>
      <c r="CJ53" s="9">
        <f t="shared" si="70"/>
        <v>1.4623505735569622</v>
      </c>
      <c r="CK53" s="70">
        <v>0</v>
      </c>
      <c r="CL53" s="9">
        <f t="shared" si="71"/>
        <v>0</v>
      </c>
      <c r="CM53" s="9">
        <f t="shared" si="72"/>
        <v>0</v>
      </c>
      <c r="CN53" s="9">
        <f t="shared" si="73"/>
        <v>0.99524931562137331</v>
      </c>
      <c r="CO53" s="9">
        <f t="shared" si="74"/>
        <v>1.056</v>
      </c>
      <c r="CP53" s="9">
        <f t="shared" si="75"/>
        <v>1.911374255891328</v>
      </c>
      <c r="CQ53" s="9">
        <f t="shared" si="76"/>
        <v>2.7950992393846952</v>
      </c>
      <c r="CR53" s="9">
        <v>1</v>
      </c>
      <c r="CS53" s="9">
        <f t="shared" si="77"/>
        <v>245.96873306585317</v>
      </c>
      <c r="CU53" s="4">
        <f t="shared" ref="CU53:CU62" si="156">AJ53/BF53</f>
        <v>2.2252728946765861</v>
      </c>
      <c r="CV53" s="4">
        <f t="shared" ref="CV53:CV62" si="157">AJ53/BK53</f>
        <v>1.5056073289427092</v>
      </c>
      <c r="CW53" s="4">
        <f t="shared" ref="CW53:CW62" si="158">AJ53/BN53</f>
        <v>2.2448997323364419</v>
      </c>
      <c r="CX53" s="4">
        <f t="shared" ref="CX53:CX62" si="159">AJ53/CS53</f>
        <v>1.7319274474042483</v>
      </c>
      <c r="CY53" s="4">
        <f t="shared" ref="CY53:CY62" si="160">AJ53/DZ53</f>
        <v>0.97772168955200822</v>
      </c>
      <c r="CZ53" s="4">
        <f t="shared" ref="CZ53:CZ62" si="161">AJ53/EL53</f>
        <v>1.121877261169794</v>
      </c>
      <c r="DA53" s="4">
        <f t="shared" ref="DA53:DA116" si="162">AJ53/GI53</f>
        <v>1.5930332009124273</v>
      </c>
      <c r="DC53" s="4">
        <f t="shared" ref="DC53:DD62" si="163">CU53</f>
        <v>2.2252728946765861</v>
      </c>
      <c r="DD53" s="4">
        <f t="shared" si="163"/>
        <v>1.5056073289427092</v>
      </c>
      <c r="DE53" s="4">
        <f t="shared" ref="DE53:DE62" si="164">CX53</f>
        <v>1.7319274474042483</v>
      </c>
      <c r="DF53" s="4">
        <f>DA53</f>
        <v>1.5930332009124273</v>
      </c>
      <c r="DG53" s="4">
        <f t="shared" ref="DG53:DH62" si="165">CY53</f>
        <v>0.97772168955200822</v>
      </c>
      <c r="DH53" s="4">
        <f t="shared" si="165"/>
        <v>1.121877261169794</v>
      </c>
      <c r="DP53" s="4">
        <f>AN53</f>
        <v>0</v>
      </c>
      <c r="DQ53" s="4">
        <f t="shared" si="138"/>
        <v>254</v>
      </c>
      <c r="DR53" s="4">
        <f t="shared" si="139"/>
        <v>0.7</v>
      </c>
      <c r="DT53" s="4">
        <f t="shared" si="81"/>
        <v>1.7472864382687078E-5</v>
      </c>
      <c r="DU53" s="4">
        <f>EP53</f>
        <v>6.5652823394499222</v>
      </c>
      <c r="DV53" s="4">
        <f t="shared" ref="DV53:DV84" si="166">EC53*AG53/257/M53/AD53</f>
        <v>1.1439687543003914</v>
      </c>
      <c r="DW53" s="4">
        <f t="shared" si="83"/>
        <v>6.928178566683842</v>
      </c>
      <c r="DX53" s="4">
        <f t="shared" si="84"/>
        <v>6.5652823394499222</v>
      </c>
      <c r="DY53" s="4">
        <f t="shared" si="140"/>
        <v>6.2298363875986897</v>
      </c>
      <c r="DZ53" s="38">
        <f t="shared" si="86"/>
        <v>435.70681161342861</v>
      </c>
      <c r="EA53" s="4">
        <f t="shared" si="87"/>
        <v>1.0049791856082171</v>
      </c>
      <c r="EB53" s="4">
        <f t="shared" ref="EB53:EB84" si="167">AG53/N53</f>
        <v>1.4764823060233399</v>
      </c>
      <c r="EC53" s="4">
        <f t="shared" si="122"/>
        <v>249.76472053237032</v>
      </c>
      <c r="EG53" s="4">
        <f t="shared" si="88"/>
        <v>0.85</v>
      </c>
      <c r="EH53" s="4">
        <f t="shared" si="89"/>
        <v>0.85000000000000009</v>
      </c>
      <c r="EI53" s="4">
        <f t="shared" si="141"/>
        <v>1</v>
      </c>
      <c r="EJ53" s="4">
        <f t="shared" si="91"/>
        <v>0.85000000000000009</v>
      </c>
      <c r="EL53" s="4">
        <f t="shared" si="142"/>
        <v>379.72068313052802</v>
      </c>
      <c r="EM53" s="25">
        <f t="shared" si="143"/>
        <v>258.22019535919065</v>
      </c>
      <c r="EO53" s="4">
        <f t="shared" ref="EO53:EO93" si="168">EG53*EJ53</f>
        <v>0.72250000000000003</v>
      </c>
      <c r="EP53" s="4">
        <f t="shared" si="144"/>
        <v>6.5652823394499222</v>
      </c>
      <c r="EQ53" s="4">
        <f t="shared" si="145"/>
        <v>5.9197837798352051</v>
      </c>
      <c r="ES53" s="4">
        <f t="shared" si="96"/>
        <v>37.502650572992827</v>
      </c>
      <c r="ET53" s="4">
        <f>AF53^0.5</f>
        <v>1.4764823060233399</v>
      </c>
      <c r="EU53" s="4">
        <f t="shared" si="98"/>
        <v>0.32503588417846324</v>
      </c>
      <c r="EV53" s="4">
        <f>DQ53</f>
        <v>254</v>
      </c>
      <c r="EW53" s="4">
        <f>ES53+FB53+FC53</f>
        <v>254</v>
      </c>
      <c r="EX53" s="4">
        <f>EU53</f>
        <v>0.32503588417846324</v>
      </c>
      <c r="EY53" s="4">
        <f t="shared" si="100"/>
        <v>0.999</v>
      </c>
      <c r="EZ53" s="4">
        <f>EP53/1*EY53^0.4</f>
        <v>6.5626554382598101</v>
      </c>
      <c r="FA53" s="4">
        <f>EP53/1.4*(1-EY53^1.4)/(1-EY53)</f>
        <v>6.5639690202656151</v>
      </c>
      <c r="FB53" s="4">
        <f>MAX(0,DQ53*FB$9-ES53)</f>
        <v>152.99734942700718</v>
      </c>
      <c r="FC53" s="4">
        <f>MAX(0,DQ53-ES53-FB53)</f>
        <v>63.5</v>
      </c>
      <c r="FD53" s="4">
        <f t="shared" si="105"/>
        <v>1.7472864382687078E-5</v>
      </c>
      <c r="FE53" s="4">
        <f>MAX(0.5*EP53, (1-2*FD53*(ES53*EZ53+FB53*FA53))/(1/EP53+FD53*FC53))</f>
        <v>6.2330044371629034</v>
      </c>
      <c r="FF53" s="4">
        <f t="shared" si="146"/>
        <v>433.54809517745116</v>
      </c>
      <c r="FG53" s="4">
        <f>IF(DR53&lt;=FB$9, MAX(0,DQ53*DR53-ES53), MAX(0,DQ53*FB$9-ES53))</f>
        <v>140.29734942700716</v>
      </c>
      <c r="FH53" s="4">
        <f>MAX(0, DQ53*DR53-FG53-ES53)</f>
        <v>0</v>
      </c>
      <c r="FJ53" s="4">
        <f t="shared" si="147"/>
        <v>75.457982412160277</v>
      </c>
      <c r="FO53" s="23">
        <f>IF(CU53&lt;0.6,0.6,IF(CU53&lt;0.8,0.8,IF(CU53&lt;1,1,IF(CU53&lt;1.2,1.2,IF(CU53&lt;1.4,1.4,IF(CU53&lt;1.6,1.6,IF(CU53&lt;1.8,1.8,IF(CU53&lt;2,2,2.2))))))))</f>
        <v>2.2000000000000002</v>
      </c>
      <c r="FP53" s="23">
        <f>IF(CV53&lt;0.6,0.6,IF(CV53&lt;0.8,0.8,IF(CV53&lt;1,1,IF(CV53&lt;1.2,1.2,IF(CV53&lt;1.4,1.4,IF(CV53&lt;1.6,1.6,IF(CV53&lt;1.8,1.8,IF(CV53&lt;2,2,2.2))))))))</f>
        <v>1.6</v>
      </c>
      <c r="FQ53" s="23">
        <f>IF(DA53&lt;0.6,0.6,IF(DA53&lt;0.8,0.8,IF(DA53&lt;1,1,IF(DA53&lt;1.2,1.2,IF(DA53&lt;1.4,1.4,IF(DA53&lt;1.6,1.6,IF(DA53&lt;1.8,1.8,IF(DA53&lt;2,2,2.2))))))))</f>
        <v>1.6</v>
      </c>
      <c r="FR53" s="23">
        <f>IF(CX53&lt;0.6,0.6,IF(CX53&lt;0.8,0.8,IF(CX53&lt;1,1,IF(CX53&lt;1.2,1.2,IF(CX53&lt;1.4,1.4,IF(CX53&lt;1.6,1.6,IF(CX53&lt;1.8,1.8,IF(CX53&lt;2,2,2.2))))))))</f>
        <v>1.8</v>
      </c>
      <c r="FS53" s="23">
        <f t="shared" ref="FS53:FT62" si="169">IF(CY53&lt;0.6,0.6,IF(CY53&lt;0.8,0.8,IF(CY53&lt;1,1,IF(CY53&lt;1.2,1.2,IF(CY53&lt;1.4,1.4,IF(CY53&lt;1.6,1.6,IF(CY53&lt;1.8,1.8,IF(CY53&lt;2,2,2.2))))))))</f>
        <v>1</v>
      </c>
      <c r="FT53" s="23">
        <f t="shared" si="169"/>
        <v>1.2</v>
      </c>
      <c r="FU53" s="23">
        <f>IF(FS53&lt;1,1,0)</f>
        <v>0</v>
      </c>
      <c r="FV53" s="23"/>
      <c r="FW53"/>
      <c r="FX53" s="3" t="s">
        <v>371</v>
      </c>
      <c r="FY53" s="1" t="s">
        <v>372</v>
      </c>
      <c r="FZ53" s="1" t="s">
        <v>658</v>
      </c>
      <c r="GA53" s="1" t="s">
        <v>373</v>
      </c>
      <c r="GB53" s="1" t="s">
        <v>379</v>
      </c>
      <c r="GC53" s="1" t="s">
        <v>380</v>
      </c>
      <c r="GF53" s="4">
        <f t="shared" si="111"/>
        <v>1</v>
      </c>
      <c r="GG53" s="4">
        <f t="shared" si="112"/>
        <v>0.85000000000000009</v>
      </c>
      <c r="GH53" s="4">
        <f t="shared" si="113"/>
        <v>0</v>
      </c>
      <c r="GI53" s="4">
        <f t="shared" si="114"/>
        <v>267.41438895059048</v>
      </c>
    </row>
    <row r="54" spans="1:191" ht="12" hidden="1" customHeight="1" x14ac:dyDescent="0.3">
      <c r="A54" s="25">
        <v>35</v>
      </c>
      <c r="B54" s="20" t="s">
        <v>54</v>
      </c>
      <c r="C54" s="20">
        <v>2006</v>
      </c>
      <c r="D54" s="24" t="s">
        <v>55</v>
      </c>
      <c r="E54" s="24"/>
      <c r="F54" s="24"/>
      <c r="G54" s="24"/>
      <c r="H54" s="7" t="s">
        <v>69</v>
      </c>
      <c r="I54" s="7"/>
      <c r="J54" s="7">
        <v>472</v>
      </c>
      <c r="K54" s="7">
        <f t="shared" ref="K54:K62" si="170">10*25.4</f>
        <v>254</v>
      </c>
      <c r="L54" s="7">
        <f t="shared" si="148"/>
        <v>177.79999999999998</v>
      </c>
      <c r="M54" s="7">
        <v>27</v>
      </c>
      <c r="N54" s="7">
        <v>25.4</v>
      </c>
      <c r="O54" s="7">
        <f t="shared" ref="O54:O94" si="171">K54/N54</f>
        <v>10</v>
      </c>
      <c r="P54" s="7">
        <v>7</v>
      </c>
      <c r="Q54" s="7">
        <f t="shared" si="149"/>
        <v>152.39999999999998</v>
      </c>
      <c r="R54" s="7"/>
      <c r="S54" s="7">
        <f t="shared" si="130"/>
        <v>63.499999999999986</v>
      </c>
      <c r="T54" s="7"/>
      <c r="U54" s="7">
        <f t="shared" si="150"/>
        <v>50.8</v>
      </c>
      <c r="V54" s="7"/>
      <c r="W54" s="7">
        <v>0</v>
      </c>
      <c r="X54" s="7">
        <v>1</v>
      </c>
      <c r="Y54" s="7"/>
      <c r="Z54" s="7"/>
      <c r="AA54" s="7">
        <f t="shared" si="151"/>
        <v>88.899999999999991</v>
      </c>
      <c r="AB54" s="7">
        <f t="shared" si="131"/>
        <v>2.9999999999999996</v>
      </c>
      <c r="AC54" s="7">
        <f t="shared" si="152"/>
        <v>4</v>
      </c>
      <c r="AD54" s="7">
        <v>1.85</v>
      </c>
      <c r="AE54" s="7">
        <f t="shared" ref="AE54:AE127" si="172">MIN(AE$16,AD54)</f>
        <v>1.85</v>
      </c>
      <c r="AF54" s="7">
        <f t="shared" si="46"/>
        <v>2.85</v>
      </c>
      <c r="AG54" s="7">
        <f t="shared" si="47"/>
        <v>42.880135260980694</v>
      </c>
      <c r="AH54" s="7"/>
      <c r="AI54" s="7"/>
      <c r="AJ54" s="7">
        <v>456</v>
      </c>
      <c r="AK54" s="7"/>
      <c r="AL54" s="7"/>
      <c r="AM54" s="7">
        <v>0</v>
      </c>
      <c r="AN54" s="7">
        <v>0</v>
      </c>
      <c r="AO54" s="7">
        <f t="shared" si="153"/>
        <v>177.79999999999998</v>
      </c>
      <c r="AP54" s="7"/>
      <c r="AQ54" s="7"/>
      <c r="AR54" s="7"/>
      <c r="AS54" s="4">
        <f t="shared" si="125"/>
        <v>254</v>
      </c>
      <c r="AT54" s="44">
        <f t="shared" si="154"/>
        <v>0.12666666666666665</v>
      </c>
      <c r="AU54" s="25">
        <f t="shared" si="132"/>
        <v>415.1214191673746</v>
      </c>
      <c r="AV54" s="4">
        <f t="shared" si="133"/>
        <v>0.7599999999999999</v>
      </c>
      <c r="AW54" s="4">
        <v>1.25</v>
      </c>
      <c r="AX54" s="25">
        <f t="shared" si="119"/>
        <v>5</v>
      </c>
      <c r="AY54" s="38">
        <f t="shared" si="120"/>
        <v>249.76472053237029</v>
      </c>
      <c r="AZ54" s="38">
        <f t="shared" si="121"/>
        <v>249.76472053237029</v>
      </c>
      <c r="BB54" s="38">
        <f t="shared" si="129"/>
        <v>249.76472053237032</v>
      </c>
      <c r="BC54" s="38">
        <f t="shared" si="52"/>
        <v>0.99999999999999989</v>
      </c>
      <c r="BD54" s="38">
        <f t="shared" si="155"/>
        <v>0.99983295482284784</v>
      </c>
      <c r="BE54" s="4">
        <f t="shared" ref="BE54:BE104" si="173">IF(BD54&lt;1,1,0)</f>
        <v>1</v>
      </c>
      <c r="BF54" s="4">
        <f t="shared" si="53"/>
        <v>191.43719452077065</v>
      </c>
      <c r="BG54" s="4">
        <f t="shared" si="54"/>
        <v>1.1333333333333333</v>
      </c>
      <c r="BH54" s="38">
        <f t="shared" si="55"/>
        <v>249.72299854038263</v>
      </c>
      <c r="BI54" s="4">
        <f t="shared" si="56"/>
        <v>0.74099999999999999</v>
      </c>
      <c r="BJ54" s="4">
        <f t="shared" si="57"/>
        <v>74.11921719559308</v>
      </c>
      <c r="BK54" s="4">
        <f t="shared" si="58"/>
        <v>323.84221573597574</v>
      </c>
      <c r="BM54" s="36">
        <f t="shared" si="134"/>
        <v>1.1000000000000001</v>
      </c>
      <c r="BN54" s="36">
        <f t="shared" si="135"/>
        <v>189.7634864772462</v>
      </c>
      <c r="BS54" s="4">
        <f t="shared" ref="BS54:BS127" si="174">IF(X54=1,S54,MIN(S54,W54/2+6.4))</f>
        <v>63.499999999999986</v>
      </c>
      <c r="BT54" s="4">
        <f t="shared" ref="BT54:BT127" si="175">MIN(AA54,BS54)</f>
        <v>63.499999999999986</v>
      </c>
      <c r="BU54" s="4">
        <f t="shared" ref="BU54:BU127" si="176">MAX(AA54,BS54)</f>
        <v>88.899999999999991</v>
      </c>
      <c r="BV54" s="4">
        <f t="shared" si="136"/>
        <v>76.199999999999989</v>
      </c>
      <c r="BW54" s="4">
        <f t="shared" ref="BW54:BW127" si="177">MIN(1.25, 0.1*BU54/BT54+0.9)</f>
        <v>1.04</v>
      </c>
      <c r="BX54" s="25">
        <f t="shared" si="137"/>
        <v>3.1199999999999997</v>
      </c>
      <c r="BZ54" s="4">
        <f t="shared" ref="BZ54:BZ117" si="178">IF(W54=0,S54,MIN(W54/2,S54))</f>
        <v>63.499999999999986</v>
      </c>
      <c r="CD54" s="9"/>
      <c r="CF54" s="9"/>
      <c r="CG54" s="9"/>
      <c r="CH54" s="9">
        <f t="shared" ref="CH54:CH62" si="179">IF(W54=0,MIN(S54,U54),MIN(W54/2,S54,U54))</f>
        <v>50.8</v>
      </c>
      <c r="CI54" s="9">
        <f t="shared" ref="CI54:CI62" si="180">MAX(W54/2,S54)</f>
        <v>63.499999999999986</v>
      </c>
      <c r="CJ54" s="9">
        <f t="shared" si="70"/>
        <v>1.4623505735569622</v>
      </c>
      <c r="CK54" s="70">
        <v>0</v>
      </c>
      <c r="CL54" s="9">
        <f t="shared" si="71"/>
        <v>0</v>
      </c>
      <c r="CM54" s="9">
        <f t="shared" si="72"/>
        <v>0</v>
      </c>
      <c r="CN54" s="9">
        <f t="shared" si="73"/>
        <v>0.99524931562137331</v>
      </c>
      <c r="CO54" s="9">
        <f t="shared" si="74"/>
        <v>1.056</v>
      </c>
      <c r="CP54" s="9">
        <f t="shared" si="75"/>
        <v>1.911374255891328</v>
      </c>
      <c r="CQ54" s="9">
        <f t="shared" si="76"/>
        <v>2.7950992393846952</v>
      </c>
      <c r="CR54" s="9">
        <v>1</v>
      </c>
      <c r="CS54" s="9">
        <f t="shared" si="77"/>
        <v>245.96873306585317</v>
      </c>
      <c r="CU54" s="4">
        <f t="shared" si="156"/>
        <v>2.3819822534566275</v>
      </c>
      <c r="CV54" s="4">
        <f t="shared" si="157"/>
        <v>1.4080931325265225</v>
      </c>
      <c r="CW54" s="4">
        <f t="shared" si="158"/>
        <v>2.4029912627826699</v>
      </c>
      <c r="CX54" s="4">
        <f t="shared" si="159"/>
        <v>1.8538941690524346</v>
      </c>
      <c r="CY54" s="4">
        <f t="shared" si="160"/>
        <v>1.0711542892578541</v>
      </c>
      <c r="CZ54" s="4">
        <f t="shared" si="161"/>
        <v>1.1998368896021039</v>
      </c>
      <c r="DA54" s="4">
        <f t="shared" si="162"/>
        <v>1.7052186375964011</v>
      </c>
      <c r="DC54" s="4">
        <f t="shared" si="163"/>
        <v>2.3819822534566275</v>
      </c>
      <c r="DD54" s="4">
        <f t="shared" si="163"/>
        <v>1.4080931325265225</v>
      </c>
      <c r="DE54" s="4">
        <f t="shared" si="164"/>
        <v>1.8538941690524346</v>
      </c>
      <c r="DF54" s="4">
        <f t="shared" ref="DF54:DF62" si="181">DA54</f>
        <v>1.7052186375964011</v>
      </c>
      <c r="DG54" s="4">
        <f t="shared" si="165"/>
        <v>1.0711542892578541</v>
      </c>
      <c r="DH54" s="4">
        <f t="shared" si="165"/>
        <v>1.1998368896021039</v>
      </c>
      <c r="DP54" s="4">
        <f t="shared" ref="DP54:DP127" si="182">AN54</f>
        <v>0</v>
      </c>
      <c r="DQ54" s="4">
        <f t="shared" si="138"/>
        <v>254</v>
      </c>
      <c r="DR54" s="4">
        <f t="shared" si="139"/>
        <v>0.7</v>
      </c>
      <c r="DT54" s="4">
        <f t="shared" si="81"/>
        <v>1.7472864382687078E-5</v>
      </c>
      <c r="DU54" s="4">
        <f t="shared" ref="DU54:DU127" si="183">EP54</f>
        <v>6.5652823394499222</v>
      </c>
      <c r="DV54" s="4">
        <f t="shared" si="166"/>
        <v>0.83429304789996861</v>
      </c>
      <c r="DW54" s="4">
        <f t="shared" si="83"/>
        <v>6.1063382482034685</v>
      </c>
      <c r="DX54" s="4">
        <f t="shared" si="84"/>
        <v>6.3399650157285841</v>
      </c>
      <c r="DY54" s="4">
        <f t="shared" si="140"/>
        <v>6.2449945492245247</v>
      </c>
      <c r="DZ54" s="38">
        <f t="shared" si="86"/>
        <v>425.70898009094299</v>
      </c>
      <c r="EA54" s="4">
        <f t="shared" si="87"/>
        <v>1.0001694595504687</v>
      </c>
      <c r="EB54" s="4">
        <f t="shared" si="167"/>
        <v>1.6881943016134133</v>
      </c>
      <c r="EC54" s="4">
        <f t="shared" si="122"/>
        <v>249.76472053237032</v>
      </c>
      <c r="EG54" s="4">
        <f t="shared" si="88"/>
        <v>0.85</v>
      </c>
      <c r="EH54" s="4">
        <f t="shared" si="89"/>
        <v>0.85000000000000009</v>
      </c>
      <c r="EI54" s="4">
        <f t="shared" si="141"/>
        <v>1</v>
      </c>
      <c r="EJ54" s="4">
        <f t="shared" si="91"/>
        <v>0.85000000000000009</v>
      </c>
      <c r="EL54" s="4">
        <f t="shared" si="142"/>
        <v>380.05165864771925</v>
      </c>
      <c r="EM54" s="25">
        <f t="shared" si="143"/>
        <v>258.22019535919065</v>
      </c>
      <c r="EO54" s="4">
        <f t="shared" si="168"/>
        <v>0.72250000000000003</v>
      </c>
      <c r="EP54" s="4">
        <f t="shared" si="144"/>
        <v>6.5652823394499222</v>
      </c>
      <c r="EQ54" s="4">
        <f t="shared" si="145"/>
        <v>5.9197837798352051</v>
      </c>
      <c r="ES54" s="4">
        <f t="shared" si="96"/>
        <v>42.880135260980694</v>
      </c>
      <c r="ET54" s="4">
        <f t="shared" ref="ET54:ET127" si="184">AF54^0.5</f>
        <v>1.6881943016134133</v>
      </c>
      <c r="EU54" s="4">
        <f t="shared" si="98"/>
        <v>0.23704771434421898</v>
      </c>
      <c r="EX54" s="4">
        <f t="shared" ref="EX54:EX117" si="185">EU54</f>
        <v>0.23704771434421898</v>
      </c>
      <c r="EY54" s="4">
        <f t="shared" si="100"/>
        <v>0.83290076829411031</v>
      </c>
      <c r="EZ54" s="4">
        <f t="shared" ref="EZ54:EZ127" si="186">EP54/1*EY54^0.4</f>
        <v>6.102260069503922</v>
      </c>
      <c r="FA54" s="4">
        <f t="shared" ref="FA54:FA62" si="187">EP54/1.4*(1-EY54^1.4)/(1-EY54)</f>
        <v>6.3380014382255325</v>
      </c>
      <c r="FB54" s="4">
        <f t="shared" ref="FB54:FB127" si="188">MAX(0,DQ54*FB$9-ES54)</f>
        <v>147.61986473901931</v>
      </c>
      <c r="FC54" s="4">
        <f t="shared" ref="FC54:FC127" si="189">MAX(0,DQ54-ES54-FB54)</f>
        <v>63.5</v>
      </c>
      <c r="FD54" s="4">
        <f t="shared" si="105"/>
        <v>1.7472864382687078E-5</v>
      </c>
      <c r="FE54" s="4">
        <f t="shared" ref="FE54:FE62" si="190">MAX(0.5*EP54, (1-2*FD54*(ES54*EZ54+FB54*FA54))/(1/EP54+FD54*FC54))</f>
        <v>6.2451004018517979</v>
      </c>
      <c r="FF54" s="4">
        <f t="shared" si="146"/>
        <v>425.63685186136371</v>
      </c>
      <c r="FG54" s="4">
        <f t="shared" ref="FG54:FG127" si="191">IF(DR54&lt;=FB$9, MAX(0,DQ54*DR54-ES54), MAX(0,DQ54*FB$9-ES54))</f>
        <v>134.91986473901929</v>
      </c>
      <c r="FH54" s="4">
        <f t="shared" ref="FH54:FH127" si="192">MAX(0, DQ54*DR54-FG54-ES54)</f>
        <v>0</v>
      </c>
      <c r="FJ54" s="4">
        <f t="shared" si="147"/>
        <v>75.127006894969043</v>
      </c>
      <c r="FO54" s="23">
        <f t="shared" ref="FO54:FP62" si="193">IF(CU54&lt;0.6,0.6,IF(CU54&lt;0.8,0.8,IF(CU54&lt;1,1,IF(CU54&lt;1.2,1.2,IF(CU54&lt;1.4,1.4,IF(CU54&lt;1.6,1.6,IF(CU54&lt;1.8,1.8,IF(CU54&lt;2,2,2.2))))))))</f>
        <v>2.2000000000000002</v>
      </c>
      <c r="FP54" s="23">
        <f t="shared" si="193"/>
        <v>1.6</v>
      </c>
      <c r="FQ54" s="23">
        <f t="shared" ref="FQ54:FQ62" si="194">IF(DA54&lt;0.6,0.6,IF(DA54&lt;0.8,0.8,IF(DA54&lt;1,1,IF(DA54&lt;1.2,1.2,IF(DA54&lt;1.4,1.4,IF(DA54&lt;1.6,1.6,IF(DA54&lt;1.8,1.8,IF(DA54&lt;2,2,2.2))))))))</f>
        <v>1.8</v>
      </c>
      <c r="FR54" s="23">
        <f t="shared" ref="FR54:FR62" si="195">IF(CX54&lt;0.6,0.6,IF(CX54&lt;0.8,0.8,IF(CX54&lt;1,1,IF(CX54&lt;1.2,1.2,IF(CX54&lt;1.4,1.4,IF(CX54&lt;1.6,1.6,IF(CX54&lt;1.8,1.8,IF(CX54&lt;2,2,2.2))))))))</f>
        <v>2</v>
      </c>
      <c r="FS54" s="23">
        <f t="shared" si="169"/>
        <v>1.2</v>
      </c>
      <c r="FT54" s="23">
        <f t="shared" si="169"/>
        <v>1.2</v>
      </c>
      <c r="FU54" s="23">
        <f t="shared" ref="FU54:FU62" si="196">IF(FS54&lt;1,1,0)</f>
        <v>0</v>
      </c>
      <c r="FV54" s="23"/>
      <c r="FW54" s="1" t="s">
        <v>42</v>
      </c>
      <c r="FX54">
        <f t="shared" ref="FX54:GC54" si="197">COUNTIF(FO20:FO578,0.6)</f>
        <v>12</v>
      </c>
      <c r="FY54">
        <f t="shared" si="197"/>
        <v>71</v>
      </c>
      <c r="FZ54">
        <f t="shared" si="197"/>
        <v>2</v>
      </c>
      <c r="GA54">
        <f t="shared" si="197"/>
        <v>0</v>
      </c>
      <c r="GB54">
        <f t="shared" si="197"/>
        <v>0</v>
      </c>
      <c r="GC54">
        <f t="shared" si="197"/>
        <v>1</v>
      </c>
      <c r="GF54" s="4">
        <f t="shared" si="111"/>
        <v>1</v>
      </c>
      <c r="GG54" s="4">
        <f t="shared" si="112"/>
        <v>0.85000000000000009</v>
      </c>
      <c r="GH54" s="4">
        <f t="shared" si="113"/>
        <v>0</v>
      </c>
      <c r="GI54" s="4">
        <f t="shared" si="114"/>
        <v>267.41438895059048</v>
      </c>
    </row>
    <row r="55" spans="1:191" ht="12" hidden="1" customHeight="1" x14ac:dyDescent="0.3">
      <c r="A55" s="25">
        <v>36</v>
      </c>
      <c r="B55" s="20" t="s">
        <v>54</v>
      </c>
      <c r="C55" s="20">
        <v>2006</v>
      </c>
      <c r="D55" s="24" t="s">
        <v>55</v>
      </c>
      <c r="E55" s="24"/>
      <c r="F55" s="24"/>
      <c r="G55" s="24"/>
      <c r="H55" s="7" t="s">
        <v>67</v>
      </c>
      <c r="I55" s="7"/>
      <c r="J55" s="7">
        <v>472</v>
      </c>
      <c r="K55" s="7">
        <f t="shared" si="170"/>
        <v>254</v>
      </c>
      <c r="L55" s="7">
        <f t="shared" si="148"/>
        <v>177.79999999999998</v>
      </c>
      <c r="M55" s="7">
        <v>27</v>
      </c>
      <c r="N55" s="7">
        <v>25.4</v>
      </c>
      <c r="O55" s="7">
        <f t="shared" si="171"/>
        <v>10</v>
      </c>
      <c r="P55" s="7">
        <v>7</v>
      </c>
      <c r="Q55" s="7">
        <f t="shared" si="149"/>
        <v>152.39999999999998</v>
      </c>
      <c r="R55" s="7"/>
      <c r="S55" s="7">
        <f t="shared" si="130"/>
        <v>63.499999999999986</v>
      </c>
      <c r="T55" s="7"/>
      <c r="U55" s="7">
        <f t="shared" si="150"/>
        <v>50.8</v>
      </c>
      <c r="V55" s="7"/>
      <c r="W55" s="7">
        <v>0</v>
      </c>
      <c r="X55" s="7">
        <v>1</v>
      </c>
      <c r="Y55" s="7"/>
      <c r="Z55" s="7"/>
      <c r="AA55" s="7">
        <f t="shared" si="151"/>
        <v>88.899999999999991</v>
      </c>
      <c r="AB55" s="7">
        <f t="shared" si="131"/>
        <v>2.9999999999999996</v>
      </c>
      <c r="AC55" s="7">
        <f t="shared" si="152"/>
        <v>4</v>
      </c>
      <c r="AD55" s="7">
        <v>2.8</v>
      </c>
      <c r="AE55" s="7">
        <f t="shared" si="172"/>
        <v>2.8</v>
      </c>
      <c r="AF55" s="7">
        <f t="shared" si="46"/>
        <v>3.8</v>
      </c>
      <c r="AG55" s="7">
        <f t="shared" si="47"/>
        <v>49.513715271629529</v>
      </c>
      <c r="AH55" s="7"/>
      <c r="AI55" s="7"/>
      <c r="AJ55" s="7">
        <v>471</v>
      </c>
      <c r="AK55" s="7"/>
      <c r="AL55" s="7"/>
      <c r="AM55" s="7">
        <v>0</v>
      </c>
      <c r="AN55" s="7">
        <v>0</v>
      </c>
      <c r="AO55" s="7">
        <f t="shared" si="153"/>
        <v>177.79999999999998</v>
      </c>
      <c r="AP55" s="7"/>
      <c r="AQ55" s="7"/>
      <c r="AR55" s="7"/>
      <c r="AS55" s="4">
        <f t="shared" si="125"/>
        <v>254</v>
      </c>
      <c r="AT55" s="44">
        <f t="shared" si="154"/>
        <v>0.12666666666666665</v>
      </c>
      <c r="AU55" s="25">
        <f t="shared" si="132"/>
        <v>415.1214191673746</v>
      </c>
      <c r="AV55" s="4">
        <f t="shared" si="133"/>
        <v>0.7599999999999999</v>
      </c>
      <c r="AW55" s="4">
        <v>1.25</v>
      </c>
      <c r="AX55" s="25">
        <f t="shared" si="119"/>
        <v>5</v>
      </c>
      <c r="AY55" s="38">
        <f t="shared" si="120"/>
        <v>249.76472053237029</v>
      </c>
      <c r="AZ55" s="38">
        <f t="shared" si="121"/>
        <v>249.76472053237029</v>
      </c>
      <c r="BB55" s="38">
        <f t="shared" si="129"/>
        <v>249.76472053237032</v>
      </c>
      <c r="BC55" s="38">
        <f t="shared" si="52"/>
        <v>0.99999999999999989</v>
      </c>
      <c r="BD55" s="38">
        <f t="shared" si="155"/>
        <v>1.2300438632344617</v>
      </c>
      <c r="BE55" s="4">
        <f t="shared" si="173"/>
        <v>0</v>
      </c>
      <c r="BF55" s="4">
        <f t="shared" si="53"/>
        <v>191.43719452077065</v>
      </c>
      <c r="BG55" s="4">
        <f t="shared" si="54"/>
        <v>1.1333333333333333</v>
      </c>
      <c r="BH55" s="38">
        <f t="shared" si="55"/>
        <v>307.22156174331246</v>
      </c>
      <c r="BI55" s="4">
        <f t="shared" si="56"/>
        <v>0.6080000000000001</v>
      </c>
      <c r="BJ55" s="4">
        <f t="shared" si="57"/>
        <v>60.815767955358432</v>
      </c>
      <c r="BK55" s="4">
        <f t="shared" si="58"/>
        <v>368.03732969867087</v>
      </c>
      <c r="BM55" s="36">
        <f t="shared" si="134"/>
        <v>1.1000000000000001</v>
      </c>
      <c r="BN55" s="36">
        <f t="shared" si="135"/>
        <v>189.7634864772462</v>
      </c>
      <c r="BS55" s="4">
        <f t="shared" si="174"/>
        <v>63.499999999999986</v>
      </c>
      <c r="BT55" s="4">
        <f t="shared" si="175"/>
        <v>63.499999999999986</v>
      </c>
      <c r="BU55" s="4">
        <f t="shared" si="176"/>
        <v>88.899999999999991</v>
      </c>
      <c r="BV55" s="4">
        <f t="shared" si="136"/>
        <v>76.199999999999989</v>
      </c>
      <c r="BW55" s="4">
        <f t="shared" si="177"/>
        <v>1.04</v>
      </c>
      <c r="BX55" s="25">
        <f t="shared" si="137"/>
        <v>3.1199999999999997</v>
      </c>
      <c r="BZ55" s="4">
        <f t="shared" si="178"/>
        <v>63.499999999999986</v>
      </c>
      <c r="CD55" s="9"/>
      <c r="CF55" s="9"/>
      <c r="CG55" s="9"/>
      <c r="CH55" s="9">
        <f t="shared" si="179"/>
        <v>50.8</v>
      </c>
      <c r="CI55" s="9">
        <f t="shared" si="180"/>
        <v>63.499999999999986</v>
      </c>
      <c r="CJ55" s="9">
        <f t="shared" si="70"/>
        <v>1.4623505735569622</v>
      </c>
      <c r="CK55" s="70">
        <v>0</v>
      </c>
      <c r="CL55" s="9">
        <f t="shared" si="71"/>
        <v>0</v>
      </c>
      <c r="CM55" s="9">
        <f t="shared" si="72"/>
        <v>0</v>
      </c>
      <c r="CN55" s="9">
        <f t="shared" si="73"/>
        <v>0.99524931562137331</v>
      </c>
      <c r="CO55" s="9">
        <f t="shared" si="74"/>
        <v>1.056</v>
      </c>
      <c r="CP55" s="9">
        <f t="shared" si="75"/>
        <v>1.911374255891328</v>
      </c>
      <c r="CQ55" s="9">
        <f t="shared" si="76"/>
        <v>2.7950992393846952</v>
      </c>
      <c r="CR55" s="9">
        <v>1</v>
      </c>
      <c r="CS55" s="9">
        <f t="shared" si="77"/>
        <v>245.96873306585317</v>
      </c>
      <c r="CU55" s="4">
        <f t="shared" si="156"/>
        <v>2.4603369328466482</v>
      </c>
      <c r="CV55" s="4">
        <f t="shared" si="157"/>
        <v>1.2797614861123718</v>
      </c>
      <c r="CW55" s="4">
        <f t="shared" si="158"/>
        <v>2.4820370280057844</v>
      </c>
      <c r="CX55" s="4">
        <f t="shared" si="159"/>
        <v>1.9148775298765279</v>
      </c>
      <c r="CY55" s="4">
        <f t="shared" si="160"/>
        <v>1.1358656375632361</v>
      </c>
      <c r="CZ55" s="4">
        <f t="shared" si="161"/>
        <v>1.2379464417646227</v>
      </c>
      <c r="DA55" s="4">
        <f t="shared" si="162"/>
        <v>1.7613113559383879</v>
      </c>
      <c r="DC55" s="4">
        <f t="shared" si="163"/>
        <v>2.4603369328466482</v>
      </c>
      <c r="DD55" s="4">
        <f t="shared" si="163"/>
        <v>1.2797614861123718</v>
      </c>
      <c r="DE55" s="4">
        <f t="shared" si="164"/>
        <v>1.9148775298765279</v>
      </c>
      <c r="DF55" s="4">
        <f t="shared" si="181"/>
        <v>1.7613113559383879</v>
      </c>
      <c r="DG55" s="4">
        <f t="shared" si="165"/>
        <v>1.1358656375632361</v>
      </c>
      <c r="DH55" s="4">
        <f t="shared" si="165"/>
        <v>1.2379464417646227</v>
      </c>
      <c r="DP55" s="4">
        <f t="shared" si="182"/>
        <v>0</v>
      </c>
      <c r="DQ55" s="4">
        <f t="shared" si="138"/>
        <v>254</v>
      </c>
      <c r="DR55" s="4">
        <f t="shared" si="139"/>
        <v>0.7</v>
      </c>
      <c r="DT55" s="4">
        <f t="shared" si="81"/>
        <v>1.7472864382687078E-5</v>
      </c>
      <c r="DU55" s="4">
        <f t="shared" si="183"/>
        <v>6.5652823394499222</v>
      </c>
      <c r="DV55" s="4">
        <f t="shared" si="166"/>
        <v>0.63650481014853455</v>
      </c>
      <c r="DW55" s="4">
        <f t="shared" si="83"/>
        <v>5.4799182998901728</v>
      </c>
      <c r="DX55" s="4">
        <f t="shared" si="84"/>
        <v>6.0470204445706219</v>
      </c>
      <c r="DY55" s="4">
        <f t="shared" si="140"/>
        <v>6.2618192677258611</v>
      </c>
      <c r="DZ55" s="38">
        <f t="shared" si="86"/>
        <v>414.66172091483702</v>
      </c>
      <c r="EA55" s="4">
        <f t="shared" si="87"/>
        <v>1.0001553245307295</v>
      </c>
      <c r="EB55" s="4">
        <f t="shared" si="167"/>
        <v>1.9493588689617927</v>
      </c>
      <c r="EC55" s="4">
        <f t="shared" si="122"/>
        <v>249.76472053237032</v>
      </c>
      <c r="EG55" s="4">
        <f t="shared" si="88"/>
        <v>0.85</v>
      </c>
      <c r="EH55" s="4">
        <f t="shared" si="89"/>
        <v>0.85000000000000009</v>
      </c>
      <c r="EI55" s="4">
        <f t="shared" si="141"/>
        <v>1</v>
      </c>
      <c r="EJ55" s="4">
        <f t="shared" si="91"/>
        <v>0.85000000000000009</v>
      </c>
      <c r="EL55" s="4">
        <f t="shared" si="142"/>
        <v>380.46880229213804</v>
      </c>
      <c r="EM55" s="25">
        <f t="shared" si="143"/>
        <v>258.22019535919065</v>
      </c>
      <c r="EO55" s="4">
        <f t="shared" si="168"/>
        <v>0.72250000000000003</v>
      </c>
      <c r="EP55" s="4">
        <f t="shared" si="144"/>
        <v>6.5652823394499222</v>
      </c>
      <c r="EQ55" s="4">
        <f t="shared" si="145"/>
        <v>5.9197837798352051</v>
      </c>
      <c r="ES55" s="4">
        <f t="shared" si="96"/>
        <v>49.513715271629529</v>
      </c>
      <c r="ET55" s="4">
        <f t="shared" si="184"/>
        <v>1.9493588689617927</v>
      </c>
      <c r="EU55" s="4">
        <f t="shared" si="98"/>
        <v>0.18085013508694833</v>
      </c>
      <c r="EX55" s="4">
        <f t="shared" si="185"/>
        <v>0.18085013508694833</v>
      </c>
      <c r="EY55" s="4">
        <f t="shared" si="100"/>
        <v>0.63544260224876703</v>
      </c>
      <c r="EZ55" s="4">
        <f t="shared" si="186"/>
        <v>5.4762584819800804</v>
      </c>
      <c r="FA55" s="4">
        <f t="shared" si="187"/>
        <v>6.0453627528027827</v>
      </c>
      <c r="FB55" s="4">
        <f t="shared" si="188"/>
        <v>140.98628472837046</v>
      </c>
      <c r="FC55" s="4">
        <f t="shared" si="189"/>
        <v>63.5</v>
      </c>
      <c r="FD55" s="4">
        <f t="shared" si="105"/>
        <v>1.7472864382687078E-5</v>
      </c>
      <c r="FE55" s="4">
        <f t="shared" si="190"/>
        <v>6.2619137744944693</v>
      </c>
      <c r="FF55" s="4">
        <f t="shared" si="146"/>
        <v>414.59732378007914</v>
      </c>
      <c r="FG55" s="4">
        <f t="shared" si="191"/>
        <v>128.28628472837045</v>
      </c>
      <c r="FH55" s="4">
        <f t="shared" si="192"/>
        <v>7.1054273576010019E-15</v>
      </c>
      <c r="FJ55" s="4">
        <f t="shared" si="147"/>
        <v>74.709863250550256</v>
      </c>
      <c r="FO55" s="23">
        <f t="shared" si="193"/>
        <v>2.2000000000000002</v>
      </c>
      <c r="FP55" s="23">
        <f t="shared" si="193"/>
        <v>1.4</v>
      </c>
      <c r="FQ55" s="23">
        <f t="shared" si="194"/>
        <v>1.8</v>
      </c>
      <c r="FR55" s="23">
        <f t="shared" si="195"/>
        <v>2</v>
      </c>
      <c r="FS55" s="23">
        <f t="shared" si="169"/>
        <v>1.2</v>
      </c>
      <c r="FT55" s="23">
        <f t="shared" si="169"/>
        <v>1.4</v>
      </c>
      <c r="FU55" s="23">
        <f t="shared" si="196"/>
        <v>0</v>
      </c>
      <c r="FV55" s="23"/>
      <c r="FW55" s="1" t="s">
        <v>43</v>
      </c>
      <c r="FX55">
        <f t="shared" ref="FX55:GC55" si="198">COUNTIF(FO20:FO578,0.8)</f>
        <v>14</v>
      </c>
      <c r="FY55">
        <f t="shared" si="198"/>
        <v>67</v>
      </c>
      <c r="FZ55">
        <f t="shared" si="198"/>
        <v>22</v>
      </c>
      <c r="GA55">
        <f t="shared" si="198"/>
        <v>0</v>
      </c>
      <c r="GB55">
        <f t="shared" si="198"/>
        <v>18</v>
      </c>
      <c r="GC55">
        <f t="shared" si="198"/>
        <v>40</v>
      </c>
      <c r="GF55" s="4">
        <f t="shared" si="111"/>
        <v>1</v>
      </c>
      <c r="GG55" s="4">
        <f t="shared" si="112"/>
        <v>0.85000000000000009</v>
      </c>
      <c r="GH55" s="4">
        <f t="shared" si="113"/>
        <v>0</v>
      </c>
      <c r="GI55" s="4">
        <f t="shared" si="114"/>
        <v>267.41438895059048</v>
      </c>
    </row>
    <row r="56" spans="1:191" ht="12" hidden="1" customHeight="1" x14ac:dyDescent="0.3">
      <c r="A56" s="25">
        <v>37</v>
      </c>
      <c r="B56" s="20" t="s">
        <v>54</v>
      </c>
      <c r="C56" s="20">
        <v>2006</v>
      </c>
      <c r="D56" s="24" t="s">
        <v>55</v>
      </c>
      <c r="E56" s="24"/>
      <c r="F56" s="24"/>
      <c r="G56" s="24"/>
      <c r="H56" s="7" t="s">
        <v>277</v>
      </c>
      <c r="I56" s="7"/>
      <c r="J56" s="7">
        <v>472</v>
      </c>
      <c r="K56" s="7">
        <f t="shared" si="170"/>
        <v>254</v>
      </c>
      <c r="L56" s="7">
        <f t="shared" si="148"/>
        <v>177.79999999999998</v>
      </c>
      <c r="M56" s="7">
        <v>27</v>
      </c>
      <c r="N56" s="7">
        <v>25.4</v>
      </c>
      <c r="O56" s="7">
        <f t="shared" si="171"/>
        <v>10</v>
      </c>
      <c r="P56" s="7">
        <v>7</v>
      </c>
      <c r="Q56" s="7">
        <f t="shared" si="149"/>
        <v>152.39999999999998</v>
      </c>
      <c r="R56" s="7"/>
      <c r="S56" s="7">
        <f t="shared" si="130"/>
        <v>63.499999999999986</v>
      </c>
      <c r="T56" s="7"/>
      <c r="U56" s="7">
        <f t="shared" si="150"/>
        <v>50.8</v>
      </c>
      <c r="V56" s="7"/>
      <c r="W56" s="7">
        <v>0</v>
      </c>
      <c r="X56" s="7">
        <v>1</v>
      </c>
      <c r="Y56" s="7"/>
      <c r="Z56" s="7"/>
      <c r="AA56" s="7">
        <f t="shared" si="151"/>
        <v>88.899999999999991</v>
      </c>
      <c r="AB56" s="7">
        <f t="shared" si="131"/>
        <v>2.9999999999999996</v>
      </c>
      <c r="AC56" s="7">
        <f t="shared" si="152"/>
        <v>4</v>
      </c>
      <c r="AD56" s="7">
        <v>2.8</v>
      </c>
      <c r="AE56" s="7">
        <f t="shared" si="172"/>
        <v>2.8</v>
      </c>
      <c r="AF56" s="7">
        <f t="shared" si="46"/>
        <v>3.8</v>
      </c>
      <c r="AG56" s="7">
        <f t="shared" si="47"/>
        <v>49.513715271629529</v>
      </c>
      <c r="AH56" s="7"/>
      <c r="AI56" s="7"/>
      <c r="AJ56" s="7">
        <v>451</v>
      </c>
      <c r="AK56" s="7"/>
      <c r="AL56" s="7"/>
      <c r="AM56" s="7">
        <v>0</v>
      </c>
      <c r="AN56" s="7">
        <v>0</v>
      </c>
      <c r="AO56" s="7">
        <f t="shared" si="153"/>
        <v>177.79999999999998</v>
      </c>
      <c r="AP56" s="7"/>
      <c r="AQ56" s="7"/>
      <c r="AR56" s="7"/>
      <c r="AS56" s="4">
        <f t="shared" si="125"/>
        <v>254</v>
      </c>
      <c r="AT56" s="44">
        <f t="shared" si="154"/>
        <v>0.12666666666666665</v>
      </c>
      <c r="AU56" s="25">
        <f t="shared" si="132"/>
        <v>415.1214191673746</v>
      </c>
      <c r="AV56" s="4">
        <f t="shared" si="133"/>
        <v>0.7599999999999999</v>
      </c>
      <c r="AW56" s="4">
        <v>1.25</v>
      </c>
      <c r="AX56" s="25">
        <f t="shared" si="119"/>
        <v>5</v>
      </c>
      <c r="AY56" s="38">
        <f t="shared" si="120"/>
        <v>249.76472053237029</v>
      </c>
      <c r="AZ56" s="38">
        <f t="shared" si="121"/>
        <v>249.76472053237029</v>
      </c>
      <c r="BB56" s="38">
        <f t="shared" si="129"/>
        <v>249.76472053237032</v>
      </c>
      <c r="BC56" s="38">
        <f t="shared" si="52"/>
        <v>0.99999999999999989</v>
      </c>
      <c r="BD56" s="38">
        <f t="shared" si="155"/>
        <v>1.2300438632344617</v>
      </c>
      <c r="BE56" s="4">
        <f t="shared" si="173"/>
        <v>0</v>
      </c>
      <c r="BF56" s="4">
        <f t="shared" si="53"/>
        <v>191.43719452077065</v>
      </c>
      <c r="BG56" s="4">
        <f t="shared" si="54"/>
        <v>1.1333333333333333</v>
      </c>
      <c r="BH56" s="38">
        <f t="shared" si="55"/>
        <v>307.22156174331246</v>
      </c>
      <c r="BI56" s="4">
        <f t="shared" si="56"/>
        <v>0.6080000000000001</v>
      </c>
      <c r="BJ56" s="4">
        <f t="shared" si="57"/>
        <v>60.815767955358432</v>
      </c>
      <c r="BK56" s="4">
        <f t="shared" si="58"/>
        <v>368.03732969867087</v>
      </c>
      <c r="BM56" s="36">
        <f t="shared" si="134"/>
        <v>1.1000000000000001</v>
      </c>
      <c r="BN56" s="36">
        <f t="shared" si="135"/>
        <v>189.7634864772462</v>
      </c>
      <c r="BS56" s="4">
        <f t="shared" si="174"/>
        <v>63.499999999999986</v>
      </c>
      <c r="BT56" s="4">
        <f t="shared" si="175"/>
        <v>63.499999999999986</v>
      </c>
      <c r="BU56" s="4">
        <f t="shared" si="176"/>
        <v>88.899999999999991</v>
      </c>
      <c r="BV56" s="4">
        <f t="shared" si="136"/>
        <v>76.199999999999989</v>
      </c>
      <c r="BW56" s="4">
        <f t="shared" si="177"/>
        <v>1.04</v>
      </c>
      <c r="BX56" s="25">
        <f t="shared" si="137"/>
        <v>3.1199999999999997</v>
      </c>
      <c r="BZ56" s="4">
        <f t="shared" si="178"/>
        <v>63.499999999999986</v>
      </c>
      <c r="CD56" s="9"/>
      <c r="CF56" s="9"/>
      <c r="CG56" s="9"/>
      <c r="CH56" s="9">
        <f t="shared" si="179"/>
        <v>50.8</v>
      </c>
      <c r="CI56" s="9">
        <f t="shared" si="180"/>
        <v>63.499999999999986</v>
      </c>
      <c r="CJ56" s="9">
        <f t="shared" si="70"/>
        <v>1.4623505735569622</v>
      </c>
      <c r="CK56" s="70">
        <v>0</v>
      </c>
      <c r="CL56" s="9">
        <f t="shared" si="71"/>
        <v>0</v>
      </c>
      <c r="CM56" s="9">
        <f t="shared" si="72"/>
        <v>0</v>
      </c>
      <c r="CN56" s="9">
        <f t="shared" si="73"/>
        <v>0.99524931562137331</v>
      </c>
      <c r="CO56" s="9">
        <f t="shared" si="74"/>
        <v>1.056</v>
      </c>
      <c r="CP56" s="9">
        <f t="shared" si="75"/>
        <v>1.911374255891328</v>
      </c>
      <c r="CQ56" s="9">
        <f t="shared" si="76"/>
        <v>2.7950992393846952</v>
      </c>
      <c r="CR56" s="9">
        <v>1</v>
      </c>
      <c r="CS56" s="9">
        <f t="shared" si="77"/>
        <v>245.96873306585317</v>
      </c>
      <c r="CU56" s="4">
        <f t="shared" si="156"/>
        <v>2.3558640269932871</v>
      </c>
      <c r="CV56" s="4">
        <f t="shared" si="157"/>
        <v>1.2254191724770269</v>
      </c>
      <c r="CW56" s="4">
        <f t="shared" si="158"/>
        <v>2.3766426743749656</v>
      </c>
      <c r="CX56" s="4">
        <f t="shared" si="159"/>
        <v>1.8335663821110704</v>
      </c>
      <c r="CY56" s="4">
        <f t="shared" si="160"/>
        <v>1.0876335510425041</v>
      </c>
      <c r="CZ56" s="4">
        <f t="shared" si="161"/>
        <v>1.1853797138765283</v>
      </c>
      <c r="DA56" s="4">
        <f t="shared" si="162"/>
        <v>1.6865210648157389</v>
      </c>
      <c r="DC56" s="4">
        <f t="shared" si="163"/>
        <v>2.3558640269932871</v>
      </c>
      <c r="DD56" s="4">
        <f t="shared" si="163"/>
        <v>1.2254191724770269</v>
      </c>
      <c r="DE56" s="4">
        <f t="shared" si="164"/>
        <v>1.8335663821110704</v>
      </c>
      <c r="DF56" s="4">
        <f t="shared" si="181"/>
        <v>1.6865210648157389</v>
      </c>
      <c r="DG56" s="4">
        <f t="shared" si="165"/>
        <v>1.0876335510425041</v>
      </c>
      <c r="DH56" s="4">
        <f t="shared" si="165"/>
        <v>1.1853797138765283</v>
      </c>
      <c r="DP56" s="4">
        <f t="shared" si="182"/>
        <v>0</v>
      </c>
      <c r="DQ56" s="4">
        <f t="shared" si="138"/>
        <v>254</v>
      </c>
      <c r="DR56" s="4">
        <f t="shared" si="139"/>
        <v>0.7</v>
      </c>
      <c r="DT56" s="4">
        <f t="shared" si="81"/>
        <v>1.7472864382687078E-5</v>
      </c>
      <c r="DU56" s="4">
        <f t="shared" si="183"/>
        <v>6.5652823394499222</v>
      </c>
      <c r="DV56" s="4">
        <f t="shared" si="166"/>
        <v>0.63650481014853455</v>
      </c>
      <c r="DW56" s="4">
        <f t="shared" si="83"/>
        <v>5.4799182998901728</v>
      </c>
      <c r="DX56" s="4">
        <f t="shared" si="84"/>
        <v>6.0470204445706219</v>
      </c>
      <c r="DY56" s="4">
        <f t="shared" si="140"/>
        <v>6.2618192677258611</v>
      </c>
      <c r="DZ56" s="38">
        <f t="shared" si="86"/>
        <v>414.66172091483702</v>
      </c>
      <c r="EA56" s="4">
        <f t="shared" si="87"/>
        <v>1.0001553245307295</v>
      </c>
      <c r="EB56" s="4">
        <f t="shared" si="167"/>
        <v>1.9493588689617927</v>
      </c>
      <c r="EC56" s="4">
        <f t="shared" si="122"/>
        <v>249.76472053237032</v>
      </c>
      <c r="EG56" s="4">
        <f t="shared" si="88"/>
        <v>0.85</v>
      </c>
      <c r="EH56" s="4">
        <f t="shared" si="89"/>
        <v>0.85000000000000009</v>
      </c>
      <c r="EI56" s="4">
        <f t="shared" si="141"/>
        <v>1</v>
      </c>
      <c r="EJ56" s="4">
        <f t="shared" si="91"/>
        <v>0.85000000000000009</v>
      </c>
      <c r="EL56" s="4">
        <f t="shared" si="142"/>
        <v>380.46880229213804</v>
      </c>
      <c r="EM56" s="25">
        <f t="shared" si="143"/>
        <v>258.22019535919065</v>
      </c>
      <c r="EO56" s="4">
        <f t="shared" si="168"/>
        <v>0.72250000000000003</v>
      </c>
      <c r="EP56" s="4">
        <f t="shared" si="144"/>
        <v>6.5652823394499222</v>
      </c>
      <c r="EQ56" s="4">
        <f t="shared" si="145"/>
        <v>5.9197837798352051</v>
      </c>
      <c r="ES56" s="4">
        <f t="shared" si="96"/>
        <v>49.513715271629529</v>
      </c>
      <c r="ET56" s="4">
        <f t="shared" si="184"/>
        <v>1.9493588689617927</v>
      </c>
      <c r="EU56" s="4">
        <f t="shared" si="98"/>
        <v>0.18085013508694833</v>
      </c>
      <c r="EX56" s="4">
        <f t="shared" si="185"/>
        <v>0.18085013508694833</v>
      </c>
      <c r="EY56" s="4">
        <f t="shared" si="100"/>
        <v>0.63544260224876703</v>
      </c>
      <c r="EZ56" s="4">
        <f t="shared" si="186"/>
        <v>5.4762584819800804</v>
      </c>
      <c r="FA56" s="4">
        <f t="shared" si="187"/>
        <v>6.0453627528027827</v>
      </c>
      <c r="FB56" s="4">
        <f t="shared" si="188"/>
        <v>140.98628472837046</v>
      </c>
      <c r="FC56" s="4">
        <f t="shared" si="189"/>
        <v>63.5</v>
      </c>
      <c r="FD56" s="4">
        <f t="shared" si="105"/>
        <v>1.7472864382687078E-5</v>
      </c>
      <c r="FE56" s="4">
        <f t="shared" si="190"/>
        <v>6.2619137744944693</v>
      </c>
      <c r="FF56" s="4">
        <f t="shared" si="146"/>
        <v>414.59732378007914</v>
      </c>
      <c r="FG56" s="4">
        <f t="shared" si="191"/>
        <v>128.28628472837045</v>
      </c>
      <c r="FH56" s="4">
        <f t="shared" si="192"/>
        <v>7.1054273576010019E-15</v>
      </c>
      <c r="FJ56" s="4">
        <f t="shared" si="147"/>
        <v>74.709863250550256</v>
      </c>
      <c r="FO56" s="23">
        <f t="shared" si="193"/>
        <v>2.2000000000000002</v>
      </c>
      <c r="FP56" s="23">
        <f t="shared" si="193"/>
        <v>1.4</v>
      </c>
      <c r="FQ56" s="23">
        <f t="shared" si="194"/>
        <v>1.8</v>
      </c>
      <c r="FR56" s="23">
        <f t="shared" si="195"/>
        <v>2</v>
      </c>
      <c r="FS56" s="23">
        <f t="shared" si="169"/>
        <v>1.2</v>
      </c>
      <c r="FT56" s="23">
        <f t="shared" si="169"/>
        <v>1.2</v>
      </c>
      <c r="FU56" s="23">
        <f t="shared" si="196"/>
        <v>0</v>
      </c>
      <c r="FV56" s="23"/>
      <c r="FW56" s="1" t="s">
        <v>44</v>
      </c>
      <c r="FX56">
        <f t="shared" ref="FX56:GC56" si="199">COUNTIF(FO20:FO577,1)</f>
        <v>22</v>
      </c>
      <c r="FY56">
        <f t="shared" si="199"/>
        <v>77</v>
      </c>
      <c r="FZ56">
        <f t="shared" si="199"/>
        <v>47</v>
      </c>
      <c r="GA56">
        <f t="shared" si="199"/>
        <v>6</v>
      </c>
      <c r="GB56">
        <f t="shared" si="199"/>
        <v>57</v>
      </c>
      <c r="GC56">
        <f t="shared" si="199"/>
        <v>80</v>
      </c>
      <c r="GF56" s="4">
        <f t="shared" si="111"/>
        <v>1</v>
      </c>
      <c r="GG56" s="4">
        <f t="shared" si="112"/>
        <v>0.85000000000000009</v>
      </c>
      <c r="GH56" s="4">
        <f t="shared" si="113"/>
        <v>0</v>
      </c>
      <c r="GI56" s="4">
        <f t="shared" si="114"/>
        <v>267.41438895059048</v>
      </c>
    </row>
    <row r="57" spans="1:191" ht="12" hidden="1" customHeight="1" x14ac:dyDescent="0.3">
      <c r="A57" s="25">
        <v>38</v>
      </c>
      <c r="B57" s="20" t="s">
        <v>54</v>
      </c>
      <c r="C57" s="20">
        <v>2006</v>
      </c>
      <c r="D57" s="24" t="s">
        <v>55</v>
      </c>
      <c r="E57" s="24"/>
      <c r="F57" s="24"/>
      <c r="G57" s="24"/>
      <c r="H57" s="7" t="s">
        <v>68</v>
      </c>
      <c r="I57" s="7"/>
      <c r="J57" s="7">
        <v>472</v>
      </c>
      <c r="K57" s="7">
        <f t="shared" si="170"/>
        <v>254</v>
      </c>
      <c r="L57" s="7">
        <f t="shared" si="148"/>
        <v>177.79999999999998</v>
      </c>
      <c r="M57" s="7">
        <v>21</v>
      </c>
      <c r="N57" s="7">
        <v>25.4</v>
      </c>
      <c r="O57" s="7">
        <f t="shared" si="171"/>
        <v>10</v>
      </c>
      <c r="P57" s="7">
        <v>7</v>
      </c>
      <c r="Q57" s="7">
        <f t="shared" si="149"/>
        <v>152.39999999999998</v>
      </c>
      <c r="R57" s="7"/>
      <c r="S57" s="7">
        <f t="shared" si="130"/>
        <v>63.499999999999986</v>
      </c>
      <c r="T57" s="7"/>
      <c r="U57" s="7">
        <f t="shared" si="150"/>
        <v>50.8</v>
      </c>
      <c r="V57" s="7"/>
      <c r="W57" s="7">
        <v>0</v>
      </c>
      <c r="X57" s="7">
        <v>1</v>
      </c>
      <c r="Y57" s="7"/>
      <c r="Z57" s="7"/>
      <c r="AA57" s="7">
        <f t="shared" si="151"/>
        <v>88.899999999999991</v>
      </c>
      <c r="AB57" s="7">
        <f t="shared" si="131"/>
        <v>2.9999999999999996</v>
      </c>
      <c r="AC57" s="7">
        <f t="shared" si="152"/>
        <v>4</v>
      </c>
      <c r="AD57" s="7">
        <v>4.04</v>
      </c>
      <c r="AE57" s="7">
        <f t="shared" si="172"/>
        <v>4.04</v>
      </c>
      <c r="AF57" s="7">
        <f t="shared" si="46"/>
        <v>5.04</v>
      </c>
      <c r="AG57" s="7">
        <f t="shared" si="47"/>
        <v>57.022858574434863</v>
      </c>
      <c r="AH57" s="7"/>
      <c r="AI57" s="7"/>
      <c r="AJ57" s="7">
        <v>319</v>
      </c>
      <c r="AK57" s="7"/>
      <c r="AL57" s="7"/>
      <c r="AM57" s="7">
        <v>0</v>
      </c>
      <c r="AN57" s="7">
        <v>0</v>
      </c>
      <c r="AO57" s="7">
        <f t="shared" si="153"/>
        <v>177.79999999999998</v>
      </c>
      <c r="AP57" s="7"/>
      <c r="AQ57" s="7"/>
      <c r="AR57" s="7"/>
      <c r="AS57" s="4">
        <f t="shared" si="125"/>
        <v>254</v>
      </c>
      <c r="AT57" s="44">
        <f t="shared" si="154"/>
        <v>0.12666666666666665</v>
      </c>
      <c r="AU57" s="25">
        <f t="shared" si="132"/>
        <v>366.10267967102493</v>
      </c>
      <c r="AV57" s="4">
        <f t="shared" si="133"/>
        <v>0.7599999999999999</v>
      </c>
      <c r="AW57" s="4">
        <v>1.25</v>
      </c>
      <c r="AX57" s="25">
        <f t="shared" si="119"/>
        <v>5</v>
      </c>
      <c r="AY57" s="38">
        <f t="shared" si="120"/>
        <v>220.27177893539994</v>
      </c>
      <c r="AZ57" s="38">
        <f t="shared" si="121"/>
        <v>220.27177893539994</v>
      </c>
      <c r="BB57" s="38">
        <f t="shared" si="129"/>
        <v>220.27177893539994</v>
      </c>
      <c r="BC57" s="38">
        <f t="shared" si="52"/>
        <v>1</v>
      </c>
      <c r="BD57" s="38">
        <f t="shared" si="155"/>
        <v>1.3030468502430785</v>
      </c>
      <c r="BE57" s="4">
        <f t="shared" si="173"/>
        <v>0</v>
      </c>
      <c r="BF57" s="4">
        <f t="shared" si="53"/>
        <v>168.83173612995199</v>
      </c>
      <c r="BG57" s="4">
        <f t="shared" si="54"/>
        <v>1.1333333333333333</v>
      </c>
      <c r="BH57" s="38">
        <f t="shared" si="55"/>
        <v>287.02444773921258</v>
      </c>
      <c r="BI57" s="4">
        <f t="shared" si="56"/>
        <v>0.43440000000000001</v>
      </c>
      <c r="BJ57" s="4">
        <f t="shared" si="57"/>
        <v>38.32041447635973</v>
      </c>
      <c r="BK57" s="4">
        <f t="shared" si="58"/>
        <v>325.34486221557233</v>
      </c>
      <c r="BM57" s="36">
        <f t="shared" si="134"/>
        <v>1.1000000000000001</v>
      </c>
      <c r="BN57" s="36">
        <f t="shared" si="135"/>
        <v>167.35566437978727</v>
      </c>
      <c r="BS57" s="4">
        <f t="shared" si="174"/>
        <v>63.499999999999986</v>
      </c>
      <c r="BT57" s="4">
        <f t="shared" si="175"/>
        <v>63.499999999999986</v>
      </c>
      <c r="BU57" s="4">
        <f t="shared" si="176"/>
        <v>88.899999999999991</v>
      </c>
      <c r="BV57" s="4">
        <f t="shared" si="136"/>
        <v>76.199999999999989</v>
      </c>
      <c r="BW57" s="4">
        <f t="shared" si="177"/>
        <v>1.04</v>
      </c>
      <c r="BX57" s="25">
        <f t="shared" si="137"/>
        <v>3.1199999999999997</v>
      </c>
      <c r="BZ57" s="4">
        <f t="shared" si="178"/>
        <v>63.499999999999986</v>
      </c>
      <c r="CD57" s="9"/>
      <c r="CF57" s="9"/>
      <c r="CG57" s="9"/>
      <c r="CH57" s="9">
        <f t="shared" si="179"/>
        <v>50.8</v>
      </c>
      <c r="CI57" s="9">
        <f t="shared" si="180"/>
        <v>63.499999999999986</v>
      </c>
      <c r="CJ57" s="9">
        <f t="shared" si="70"/>
        <v>1.4623505735569622</v>
      </c>
      <c r="CK57" s="70">
        <v>0</v>
      </c>
      <c r="CL57" s="9">
        <f t="shared" si="71"/>
        <v>0</v>
      </c>
      <c r="CM57" s="9">
        <f t="shared" si="72"/>
        <v>0</v>
      </c>
      <c r="CN57" s="9">
        <f t="shared" si="73"/>
        <v>0.99524931562137331</v>
      </c>
      <c r="CO57" s="9">
        <f t="shared" si="74"/>
        <v>1.056</v>
      </c>
      <c r="CP57" s="9">
        <f t="shared" si="75"/>
        <v>1.6856736478198622</v>
      </c>
      <c r="CQ57" s="9">
        <f t="shared" si="76"/>
        <v>2.465045825719232</v>
      </c>
      <c r="CR57" s="9">
        <v>1</v>
      </c>
      <c r="CS57" s="9">
        <f t="shared" si="77"/>
        <v>216.92403266329242</v>
      </c>
      <c r="CU57" s="4">
        <f t="shared" si="156"/>
        <v>1.8894551896004999</v>
      </c>
      <c r="CV57" s="4">
        <f t="shared" si="157"/>
        <v>0.98049804084083481</v>
      </c>
      <c r="CW57" s="4">
        <f t="shared" si="158"/>
        <v>1.9061201255553553</v>
      </c>
      <c r="CX57" s="4">
        <f t="shared" si="159"/>
        <v>1.4705608967501955</v>
      </c>
      <c r="CY57" s="4">
        <f t="shared" si="160"/>
        <v>0.88170720161183924</v>
      </c>
      <c r="CZ57" s="4">
        <f t="shared" si="161"/>
        <v>0.95155081061725866</v>
      </c>
      <c r="DA57" s="4">
        <f t="shared" si="162"/>
        <v>1.2702582624412369</v>
      </c>
      <c r="DC57" s="4">
        <f t="shared" si="163"/>
        <v>1.8894551896004999</v>
      </c>
      <c r="DD57" s="4">
        <f t="shared" si="163"/>
        <v>0.98049804084083481</v>
      </c>
      <c r="DE57" s="4">
        <f t="shared" si="164"/>
        <v>1.4705608967501955</v>
      </c>
      <c r="DF57" s="4">
        <f t="shared" si="181"/>
        <v>1.2702582624412369</v>
      </c>
      <c r="DG57" s="4">
        <f t="shared" si="165"/>
        <v>0.88170720161183924</v>
      </c>
      <c r="DH57" s="4">
        <f t="shared" si="165"/>
        <v>0.95155081061725866</v>
      </c>
      <c r="DP57" s="4">
        <f t="shared" si="182"/>
        <v>0</v>
      </c>
      <c r="DQ57" s="4">
        <f t="shared" si="138"/>
        <v>254</v>
      </c>
      <c r="DR57" s="4">
        <f t="shared" si="139"/>
        <v>0.7</v>
      </c>
      <c r="DT57" s="4">
        <f t="shared" si="81"/>
        <v>1.668887417236156E-5</v>
      </c>
      <c r="DU57" s="4">
        <f t="shared" si="183"/>
        <v>5.7900347857029448</v>
      </c>
      <c r="DV57" s="4">
        <f t="shared" si="166"/>
        <v>0.57606841067610404</v>
      </c>
      <c r="DW57" s="4">
        <f t="shared" si="83"/>
        <v>4.6437710234872753</v>
      </c>
      <c r="DX57" s="4">
        <f t="shared" si="84"/>
        <v>5.248328253060607</v>
      </c>
      <c r="DY57" s="4">
        <f t="shared" si="140"/>
        <v>5.5693031817357328</v>
      </c>
      <c r="DZ57" s="38">
        <f t="shared" si="86"/>
        <v>361.79811100197389</v>
      </c>
      <c r="EA57" s="4">
        <f t="shared" si="87"/>
        <v>1.0001547654350216</v>
      </c>
      <c r="EB57" s="4">
        <f t="shared" si="167"/>
        <v>2.2449944320643649</v>
      </c>
      <c r="EC57" s="4">
        <f t="shared" si="122"/>
        <v>220.27177893539994</v>
      </c>
      <c r="EG57" s="4">
        <f t="shared" si="88"/>
        <v>0.85</v>
      </c>
      <c r="EH57" s="4">
        <f t="shared" si="89"/>
        <v>0.85000000000000009</v>
      </c>
      <c r="EI57" s="4">
        <f t="shared" si="141"/>
        <v>1</v>
      </c>
      <c r="EJ57" s="4">
        <f t="shared" si="91"/>
        <v>0.85000000000000009</v>
      </c>
      <c r="EL57" s="4">
        <f t="shared" si="142"/>
        <v>335.24221349049014</v>
      </c>
      <c r="EM57" s="25">
        <f t="shared" si="143"/>
        <v>227.72880680497778</v>
      </c>
      <c r="EO57" s="4">
        <f t="shared" si="168"/>
        <v>0.72250000000000003</v>
      </c>
      <c r="EP57" s="4">
        <f t="shared" si="144"/>
        <v>5.7900347857029448</v>
      </c>
      <c r="EQ57" s="4">
        <f t="shared" si="145"/>
        <v>5.2207585655726314</v>
      </c>
      <c r="ES57" s="4">
        <f t="shared" si="96"/>
        <v>57.022858574434863</v>
      </c>
      <c r="ET57" s="4">
        <f t="shared" si="184"/>
        <v>2.2449944320643649</v>
      </c>
      <c r="EU57" s="4">
        <f t="shared" si="98"/>
        <v>0.14435072638953436</v>
      </c>
      <c r="EX57" s="4">
        <f t="shared" si="185"/>
        <v>0.14435072638953436</v>
      </c>
      <c r="EY57" s="4">
        <f t="shared" si="100"/>
        <v>0.5751070598632424</v>
      </c>
      <c r="EZ57" s="4">
        <f t="shared" si="186"/>
        <v>4.6406696348475087</v>
      </c>
      <c r="FA57" s="4">
        <f t="shared" si="187"/>
        <v>5.2469568909096118</v>
      </c>
      <c r="FB57" s="4">
        <f t="shared" si="188"/>
        <v>133.47714142556515</v>
      </c>
      <c r="FC57" s="4">
        <f t="shared" si="189"/>
        <v>63.5</v>
      </c>
      <c r="FD57" s="4">
        <f t="shared" si="105"/>
        <v>1.668887417236156E-5</v>
      </c>
      <c r="FE57" s="4">
        <f t="shared" si="190"/>
        <v>5.5693723103756767</v>
      </c>
      <c r="FF57" s="4">
        <f t="shared" si="146"/>
        <v>361.74212582450502</v>
      </c>
      <c r="FG57" s="4">
        <f t="shared" si="191"/>
        <v>120.77714142556512</v>
      </c>
      <c r="FH57" s="4">
        <f t="shared" si="192"/>
        <v>0</v>
      </c>
      <c r="FJ57" s="4">
        <f t="shared" si="147"/>
        <v>66.187636885576012</v>
      </c>
      <c r="FO57" s="23">
        <f t="shared" si="193"/>
        <v>2</v>
      </c>
      <c r="FP57" s="23">
        <f t="shared" si="193"/>
        <v>1</v>
      </c>
      <c r="FQ57" s="23">
        <f t="shared" si="194"/>
        <v>1.4</v>
      </c>
      <c r="FR57" s="23">
        <f t="shared" si="195"/>
        <v>1.6</v>
      </c>
      <c r="FS57" s="23">
        <f t="shared" si="169"/>
        <v>1</v>
      </c>
      <c r="FT57" s="23">
        <f t="shared" si="169"/>
        <v>1</v>
      </c>
      <c r="FU57" s="23">
        <f t="shared" si="196"/>
        <v>0</v>
      </c>
      <c r="FV57" s="23"/>
      <c r="FW57" s="1" t="s">
        <v>45</v>
      </c>
      <c r="FX57">
        <f t="shared" ref="FX57:GC57" si="200">COUNTIF(FO20:FO580,1.2)</f>
        <v>43</v>
      </c>
      <c r="FY57">
        <f t="shared" si="200"/>
        <v>69</v>
      </c>
      <c r="FZ57">
        <f t="shared" si="200"/>
        <v>78</v>
      </c>
      <c r="GA57">
        <f t="shared" si="200"/>
        <v>18</v>
      </c>
      <c r="GB57">
        <f t="shared" si="200"/>
        <v>77</v>
      </c>
      <c r="GC57">
        <f t="shared" si="200"/>
        <v>143</v>
      </c>
      <c r="GF57" s="4">
        <f t="shared" si="111"/>
        <v>1</v>
      </c>
      <c r="GG57" s="4">
        <f t="shared" si="112"/>
        <v>0.85000000000000009</v>
      </c>
      <c r="GH57" s="4">
        <f t="shared" si="113"/>
        <v>0</v>
      </c>
      <c r="GI57" s="4">
        <f t="shared" si="114"/>
        <v>251.13003349959095</v>
      </c>
    </row>
    <row r="58" spans="1:191" ht="12" hidden="1" customHeight="1" x14ac:dyDescent="0.3">
      <c r="A58" s="25">
        <v>39</v>
      </c>
      <c r="B58" s="20" t="s">
        <v>54</v>
      </c>
      <c r="C58" s="20">
        <v>2006</v>
      </c>
      <c r="D58" s="24" t="s">
        <v>55</v>
      </c>
      <c r="E58" s="24"/>
      <c r="F58" s="24"/>
      <c r="G58" s="24"/>
      <c r="H58" s="7" t="s">
        <v>279</v>
      </c>
      <c r="I58" s="7"/>
      <c r="J58" s="7">
        <v>472</v>
      </c>
      <c r="K58" s="7">
        <f t="shared" si="170"/>
        <v>254</v>
      </c>
      <c r="L58" s="7">
        <f t="shared" si="148"/>
        <v>177.79999999999998</v>
      </c>
      <c r="M58" s="7">
        <v>21</v>
      </c>
      <c r="N58" s="7">
        <v>25.4</v>
      </c>
      <c r="O58" s="7">
        <f t="shared" si="171"/>
        <v>10</v>
      </c>
      <c r="P58" s="7">
        <v>7</v>
      </c>
      <c r="Q58" s="7">
        <f t="shared" si="149"/>
        <v>152.39999999999998</v>
      </c>
      <c r="R58" s="7"/>
      <c r="S58" s="7">
        <f t="shared" si="130"/>
        <v>63.499999999999986</v>
      </c>
      <c r="T58" s="7"/>
      <c r="U58" s="7">
        <f t="shared" si="150"/>
        <v>50.8</v>
      </c>
      <c r="V58" s="7"/>
      <c r="W58" s="7">
        <v>0</v>
      </c>
      <c r="X58" s="7">
        <v>1</v>
      </c>
      <c r="Y58" s="7"/>
      <c r="Z58" s="7"/>
      <c r="AA58" s="7">
        <f t="shared" si="151"/>
        <v>88.899999999999991</v>
      </c>
      <c r="AB58" s="7">
        <f t="shared" si="131"/>
        <v>2.9999999999999996</v>
      </c>
      <c r="AC58" s="7">
        <f t="shared" si="152"/>
        <v>4</v>
      </c>
      <c r="AD58" s="7">
        <v>4.0599999999999996</v>
      </c>
      <c r="AE58" s="7">
        <f t="shared" si="172"/>
        <v>4.0599999999999996</v>
      </c>
      <c r="AF58" s="7">
        <f t="shared" si="46"/>
        <v>5.0599999999999996</v>
      </c>
      <c r="AG58" s="7">
        <f t="shared" si="47"/>
        <v>57.135887146346114</v>
      </c>
      <c r="AH58" s="7"/>
      <c r="AI58" s="7"/>
      <c r="AJ58" s="7">
        <v>386</v>
      </c>
      <c r="AK58" s="7"/>
      <c r="AL58" s="7"/>
      <c r="AM58" s="7">
        <v>0</v>
      </c>
      <c r="AN58" s="7">
        <v>0</v>
      </c>
      <c r="AO58" s="7">
        <f t="shared" si="153"/>
        <v>177.79999999999998</v>
      </c>
      <c r="AP58" s="7"/>
      <c r="AQ58" s="7"/>
      <c r="AR58" s="7"/>
      <c r="AS58" s="4">
        <f t="shared" si="125"/>
        <v>254</v>
      </c>
      <c r="AT58" s="44">
        <f t="shared" si="154"/>
        <v>0.12666666666666665</v>
      </c>
      <c r="AU58" s="25">
        <f t="shared" si="132"/>
        <v>366.10267967102493</v>
      </c>
      <c r="AV58" s="4">
        <f t="shared" si="133"/>
        <v>0.7599999999999999</v>
      </c>
      <c r="AW58" s="4">
        <v>1.25</v>
      </c>
      <c r="AX58" s="25">
        <f t="shared" si="119"/>
        <v>5</v>
      </c>
      <c r="AY58" s="38">
        <f t="shared" si="120"/>
        <v>220.27177893539994</v>
      </c>
      <c r="AZ58" s="38">
        <f t="shared" si="121"/>
        <v>220.27177893539994</v>
      </c>
      <c r="BB58" s="38">
        <f t="shared" si="129"/>
        <v>220.27177893539994</v>
      </c>
      <c r="BC58" s="38">
        <f t="shared" si="52"/>
        <v>1</v>
      </c>
      <c r="BD58" s="38">
        <f t="shared" si="155"/>
        <v>1.3062682317974748</v>
      </c>
      <c r="BE58" s="4">
        <f t="shared" si="173"/>
        <v>0</v>
      </c>
      <c r="BF58" s="4">
        <f t="shared" si="53"/>
        <v>168.83173612995199</v>
      </c>
      <c r="BG58" s="4">
        <f t="shared" si="54"/>
        <v>1.1333333333333333</v>
      </c>
      <c r="BH58" s="38">
        <f t="shared" si="55"/>
        <v>287.73402718482913</v>
      </c>
      <c r="BI58" s="4">
        <f t="shared" si="56"/>
        <v>0.43160000000000009</v>
      </c>
      <c r="BJ58" s="4">
        <f t="shared" si="57"/>
        <v>38.073413646401619</v>
      </c>
      <c r="BK58" s="4">
        <f t="shared" si="58"/>
        <v>325.80744083123074</v>
      </c>
      <c r="BM58" s="36">
        <f t="shared" si="134"/>
        <v>1.1000000000000001</v>
      </c>
      <c r="BN58" s="36">
        <f t="shared" si="135"/>
        <v>167.35566437978727</v>
      </c>
      <c r="BS58" s="4">
        <f t="shared" si="174"/>
        <v>63.499999999999986</v>
      </c>
      <c r="BT58" s="4">
        <f t="shared" si="175"/>
        <v>63.499999999999986</v>
      </c>
      <c r="BU58" s="4">
        <f t="shared" si="176"/>
        <v>88.899999999999991</v>
      </c>
      <c r="BV58" s="4">
        <f t="shared" si="136"/>
        <v>76.199999999999989</v>
      </c>
      <c r="BW58" s="4">
        <f t="shared" si="177"/>
        <v>1.04</v>
      </c>
      <c r="BX58" s="25">
        <f t="shared" si="137"/>
        <v>3.1199999999999997</v>
      </c>
      <c r="BZ58" s="4">
        <f t="shared" si="178"/>
        <v>63.499999999999986</v>
      </c>
      <c r="CD58" s="9"/>
      <c r="CF58" s="9"/>
      <c r="CG58" s="9"/>
      <c r="CH58" s="9">
        <f t="shared" si="179"/>
        <v>50.8</v>
      </c>
      <c r="CI58" s="9">
        <f t="shared" si="180"/>
        <v>63.499999999999986</v>
      </c>
      <c r="CJ58" s="9">
        <f t="shared" si="70"/>
        <v>1.4623505735569622</v>
      </c>
      <c r="CK58" s="70">
        <v>0</v>
      </c>
      <c r="CL58" s="9">
        <f t="shared" si="71"/>
        <v>0</v>
      </c>
      <c r="CM58" s="9">
        <f t="shared" si="72"/>
        <v>0</v>
      </c>
      <c r="CN58" s="9">
        <f t="shared" si="73"/>
        <v>0.99524931562137331</v>
      </c>
      <c r="CO58" s="9">
        <f t="shared" si="74"/>
        <v>1.056</v>
      </c>
      <c r="CP58" s="9">
        <f t="shared" si="75"/>
        <v>1.6856736478198622</v>
      </c>
      <c r="CQ58" s="9">
        <f t="shared" si="76"/>
        <v>2.465045825719232</v>
      </c>
      <c r="CR58" s="9">
        <v>1</v>
      </c>
      <c r="CS58" s="9">
        <f t="shared" si="77"/>
        <v>216.92403266329242</v>
      </c>
      <c r="CU58" s="4">
        <f t="shared" si="156"/>
        <v>2.2863000099868116</v>
      </c>
      <c r="CV58" s="4">
        <f t="shared" si="157"/>
        <v>1.1847488780956026</v>
      </c>
      <c r="CW58" s="4">
        <f t="shared" si="158"/>
        <v>2.3064651049039719</v>
      </c>
      <c r="CX58" s="4">
        <f t="shared" si="159"/>
        <v>1.7794247841554089</v>
      </c>
      <c r="CY58" s="4">
        <f t="shared" si="160"/>
        <v>1.0672069378723441</v>
      </c>
      <c r="CZ58" s="4">
        <f t="shared" si="161"/>
        <v>1.1513943056540974</v>
      </c>
      <c r="DA58" s="4">
        <f t="shared" si="162"/>
        <v>1.5370523175621236</v>
      </c>
      <c r="DC58" s="4">
        <f t="shared" si="163"/>
        <v>2.2863000099868116</v>
      </c>
      <c r="DD58" s="4">
        <f t="shared" si="163"/>
        <v>1.1847488780956026</v>
      </c>
      <c r="DE58" s="4">
        <f t="shared" si="164"/>
        <v>1.7794247841554089</v>
      </c>
      <c r="DF58" s="4">
        <f t="shared" si="181"/>
        <v>1.5370523175621236</v>
      </c>
      <c r="DG58" s="4">
        <f t="shared" si="165"/>
        <v>1.0672069378723441</v>
      </c>
      <c r="DH58" s="4">
        <f t="shared" si="165"/>
        <v>1.1513943056540974</v>
      </c>
      <c r="DP58" s="4">
        <f t="shared" si="182"/>
        <v>0</v>
      </c>
      <c r="DQ58" s="4">
        <f t="shared" si="138"/>
        <v>254</v>
      </c>
      <c r="DR58" s="4">
        <f t="shared" si="139"/>
        <v>0.7</v>
      </c>
      <c r="DT58" s="4">
        <f t="shared" si="81"/>
        <v>1.668887417236156E-5</v>
      </c>
      <c r="DU58" s="4">
        <f t="shared" si="183"/>
        <v>5.7900347857029448</v>
      </c>
      <c r="DV58" s="4">
        <f t="shared" si="166"/>
        <v>0.57436687152312826</v>
      </c>
      <c r="DW58" s="4">
        <f t="shared" si="83"/>
        <v>4.6382796125420667</v>
      </c>
      <c r="DX58" s="4">
        <f t="shared" si="84"/>
        <v>5.2459004619170866</v>
      </c>
      <c r="DY58" s="4">
        <f t="shared" si="140"/>
        <v>5.5694387648810642</v>
      </c>
      <c r="DZ58" s="38">
        <f t="shared" si="86"/>
        <v>361.69180156339286</v>
      </c>
      <c r="EA58" s="4">
        <f t="shared" si="87"/>
        <v>1.0001546548260865</v>
      </c>
      <c r="EB58" s="4">
        <f t="shared" si="167"/>
        <v>2.2494443758403984</v>
      </c>
      <c r="EC58" s="4">
        <f t="shared" si="122"/>
        <v>220.27177893539994</v>
      </c>
      <c r="EG58" s="4">
        <f t="shared" si="88"/>
        <v>0.85</v>
      </c>
      <c r="EH58" s="4">
        <f t="shared" si="89"/>
        <v>0.85000000000000009</v>
      </c>
      <c r="EI58" s="4">
        <f t="shared" si="141"/>
        <v>1</v>
      </c>
      <c r="EJ58" s="4">
        <f t="shared" si="91"/>
        <v>0.85000000000000009</v>
      </c>
      <c r="EL58" s="4">
        <f t="shared" si="142"/>
        <v>335.24570870681583</v>
      </c>
      <c r="EM58" s="25">
        <f t="shared" si="143"/>
        <v>227.72880680497778</v>
      </c>
      <c r="EO58" s="4">
        <f t="shared" si="168"/>
        <v>0.72250000000000003</v>
      </c>
      <c r="EP58" s="4">
        <f t="shared" si="144"/>
        <v>5.7900347857029448</v>
      </c>
      <c r="EQ58" s="4">
        <f t="shared" si="145"/>
        <v>5.2207585655726314</v>
      </c>
      <c r="ES58" s="4">
        <f t="shared" si="96"/>
        <v>57.135887146346114</v>
      </c>
      <c r="ET58" s="4">
        <f t="shared" si="184"/>
        <v>2.2494443758403984</v>
      </c>
      <c r="EU58" s="4">
        <f t="shared" si="98"/>
        <v>0.14392435617349697</v>
      </c>
      <c r="EX58" s="4">
        <f t="shared" si="185"/>
        <v>0.14392435617349697</v>
      </c>
      <c r="EY58" s="4">
        <f t="shared" si="100"/>
        <v>0.57340836026198916</v>
      </c>
      <c r="EZ58" s="4">
        <f t="shared" si="186"/>
        <v>4.6351818913956864</v>
      </c>
      <c r="FA58" s="4">
        <f t="shared" si="187"/>
        <v>5.2445317154987805</v>
      </c>
      <c r="FB58" s="4">
        <f t="shared" si="188"/>
        <v>133.36411285365389</v>
      </c>
      <c r="FC58" s="4">
        <f t="shared" si="189"/>
        <v>63.5</v>
      </c>
      <c r="FD58" s="4">
        <f t="shared" si="105"/>
        <v>1.668887417236156E-5</v>
      </c>
      <c r="FE58" s="4">
        <f t="shared" si="190"/>
        <v>5.5695078238252744</v>
      </c>
      <c r="FF58" s="4">
        <f t="shared" si="146"/>
        <v>361.63587283037361</v>
      </c>
      <c r="FG58" s="4">
        <f t="shared" si="191"/>
        <v>120.66411285365388</v>
      </c>
      <c r="FH58" s="4">
        <f t="shared" si="192"/>
        <v>0</v>
      </c>
      <c r="FJ58" s="4">
        <f t="shared" si="147"/>
        <v>66.184141669250323</v>
      </c>
      <c r="FO58" s="23">
        <f t="shared" si="193"/>
        <v>2.2000000000000002</v>
      </c>
      <c r="FP58" s="23">
        <f t="shared" si="193"/>
        <v>1.2</v>
      </c>
      <c r="FQ58" s="23">
        <f t="shared" si="194"/>
        <v>1.6</v>
      </c>
      <c r="FR58" s="23">
        <f t="shared" si="195"/>
        <v>1.8</v>
      </c>
      <c r="FS58" s="23">
        <f t="shared" si="169"/>
        <v>1.2</v>
      </c>
      <c r="FT58" s="23">
        <f t="shared" si="169"/>
        <v>1.2</v>
      </c>
      <c r="FU58" s="23">
        <f t="shared" si="196"/>
        <v>0</v>
      </c>
      <c r="FV58" s="23"/>
      <c r="FW58" s="1" t="s">
        <v>46</v>
      </c>
      <c r="FX58">
        <f t="shared" ref="FX58:GC58" si="201">COUNTIF(FO20:FO578,1.4)</f>
        <v>54</v>
      </c>
      <c r="FY58">
        <f t="shared" si="201"/>
        <v>48</v>
      </c>
      <c r="FZ58">
        <f t="shared" si="201"/>
        <v>100</v>
      </c>
      <c r="GA58">
        <f t="shared" si="201"/>
        <v>37</v>
      </c>
      <c r="GB58">
        <f t="shared" si="201"/>
        <v>61</v>
      </c>
      <c r="GC58">
        <f t="shared" si="201"/>
        <v>61</v>
      </c>
      <c r="GF58" s="4">
        <f t="shared" si="111"/>
        <v>1</v>
      </c>
      <c r="GG58" s="4">
        <f t="shared" si="112"/>
        <v>0.85000000000000009</v>
      </c>
      <c r="GH58" s="4">
        <f t="shared" si="113"/>
        <v>0</v>
      </c>
      <c r="GI58" s="4">
        <f t="shared" si="114"/>
        <v>251.13003349959095</v>
      </c>
    </row>
    <row r="59" spans="1:191" ht="12" hidden="1" customHeight="1" x14ac:dyDescent="0.3">
      <c r="A59" s="25">
        <v>40</v>
      </c>
      <c r="B59" s="20" t="s">
        <v>54</v>
      </c>
      <c r="C59" s="20">
        <v>2006</v>
      </c>
      <c r="D59" s="24" t="s">
        <v>55</v>
      </c>
      <c r="E59" s="24"/>
      <c r="F59" s="24"/>
      <c r="G59" s="24"/>
      <c r="H59" s="7" t="s">
        <v>66</v>
      </c>
      <c r="I59" s="7"/>
      <c r="J59" s="7">
        <v>472</v>
      </c>
      <c r="K59" s="7">
        <f t="shared" si="170"/>
        <v>254</v>
      </c>
      <c r="L59" s="7">
        <f t="shared" si="148"/>
        <v>177.79999999999998</v>
      </c>
      <c r="M59" s="7">
        <v>28</v>
      </c>
      <c r="N59" s="7">
        <v>25.4</v>
      </c>
      <c r="O59" s="7">
        <f t="shared" si="171"/>
        <v>10</v>
      </c>
      <c r="P59" s="7">
        <v>7</v>
      </c>
      <c r="Q59" s="7">
        <f t="shared" si="149"/>
        <v>152.39999999999998</v>
      </c>
      <c r="R59" s="7"/>
      <c r="S59" s="7">
        <f t="shared" si="130"/>
        <v>63.499999999999986</v>
      </c>
      <c r="T59" s="7"/>
      <c r="U59" s="7">
        <f t="shared" si="150"/>
        <v>50.8</v>
      </c>
      <c r="V59" s="7"/>
      <c r="W59" s="7">
        <v>0</v>
      </c>
      <c r="X59" s="7">
        <v>1</v>
      </c>
      <c r="Y59" s="7"/>
      <c r="Z59" s="7"/>
      <c r="AA59" s="7">
        <f t="shared" si="151"/>
        <v>88.899999999999991</v>
      </c>
      <c r="AB59" s="7">
        <f t="shared" si="131"/>
        <v>2.9999999999999996</v>
      </c>
      <c r="AC59" s="7">
        <f t="shared" si="152"/>
        <v>4</v>
      </c>
      <c r="AD59" s="7">
        <v>4.7</v>
      </c>
      <c r="AE59" s="7">
        <f t="shared" si="172"/>
        <v>4.7</v>
      </c>
      <c r="AF59" s="7">
        <f t="shared" si="46"/>
        <v>5.7</v>
      </c>
      <c r="AG59" s="7">
        <f t="shared" si="47"/>
        <v>60.641668842471674</v>
      </c>
      <c r="AH59" s="7"/>
      <c r="AI59" s="7"/>
      <c r="AJ59" s="7">
        <v>458</v>
      </c>
      <c r="AK59" s="7"/>
      <c r="AL59" s="7"/>
      <c r="AM59" s="7">
        <v>0</v>
      </c>
      <c r="AN59" s="7">
        <v>0</v>
      </c>
      <c r="AO59" s="7">
        <f t="shared" si="153"/>
        <v>177.79999999999998</v>
      </c>
      <c r="AP59" s="7"/>
      <c r="AQ59" s="7"/>
      <c r="AR59" s="7"/>
      <c r="AS59" s="4">
        <f t="shared" si="125"/>
        <v>254</v>
      </c>
      <c r="AT59" s="44">
        <f t="shared" si="154"/>
        <v>0.12666666666666665</v>
      </c>
      <c r="AU59" s="25">
        <f t="shared" si="132"/>
        <v>422.7389613182192</v>
      </c>
      <c r="AV59" s="4">
        <f t="shared" si="133"/>
        <v>0.7599999999999999</v>
      </c>
      <c r="AW59" s="4">
        <v>1.25</v>
      </c>
      <c r="AX59" s="25">
        <f t="shared" si="119"/>
        <v>5</v>
      </c>
      <c r="AY59" s="38">
        <f t="shared" si="120"/>
        <v>254.34794172646178</v>
      </c>
      <c r="AZ59" s="38">
        <f t="shared" si="121"/>
        <v>254.34794172646178</v>
      </c>
      <c r="BB59" s="38">
        <f t="shared" si="129"/>
        <v>254.34794172646181</v>
      </c>
      <c r="BC59" s="38">
        <f t="shared" si="52"/>
        <v>0.99999999999999989</v>
      </c>
      <c r="BD59" s="38">
        <f t="shared" si="155"/>
        <v>1.6228846237897425</v>
      </c>
      <c r="BE59" s="4">
        <f t="shared" si="173"/>
        <v>0</v>
      </c>
      <c r="BF59" s="4">
        <f t="shared" si="53"/>
        <v>194.95009660475932</v>
      </c>
      <c r="BG59" s="4">
        <f t="shared" si="54"/>
        <v>1.1333333333333333</v>
      </c>
      <c r="BH59" s="38">
        <f t="shared" si="55"/>
        <v>412.77736372044433</v>
      </c>
      <c r="BI59" s="4">
        <f t="shared" si="56"/>
        <v>0.34199999999999997</v>
      </c>
      <c r="BJ59" s="4">
        <f t="shared" si="57"/>
        <v>34.836607512787459</v>
      </c>
      <c r="BK59" s="4">
        <f t="shared" si="58"/>
        <v>447.61397123323178</v>
      </c>
      <c r="BM59" s="36">
        <f t="shared" si="134"/>
        <v>1.1000000000000001</v>
      </c>
      <c r="BN59" s="36">
        <f t="shared" si="135"/>
        <v>193.24567576015772</v>
      </c>
      <c r="BS59" s="4">
        <f t="shared" si="174"/>
        <v>63.499999999999986</v>
      </c>
      <c r="BT59" s="4">
        <f t="shared" si="175"/>
        <v>63.499999999999986</v>
      </c>
      <c r="BU59" s="4">
        <f t="shared" si="176"/>
        <v>88.899999999999991</v>
      </c>
      <c r="BV59" s="4">
        <f t="shared" si="136"/>
        <v>76.199999999999989</v>
      </c>
      <c r="BW59" s="4">
        <f t="shared" si="177"/>
        <v>1.04</v>
      </c>
      <c r="BX59" s="25">
        <f t="shared" si="137"/>
        <v>3.1199999999999997</v>
      </c>
      <c r="BZ59" s="4">
        <f t="shared" si="178"/>
        <v>63.499999999999986</v>
      </c>
      <c r="CD59" s="9"/>
      <c r="CF59" s="9"/>
      <c r="CG59" s="9"/>
      <c r="CH59" s="9">
        <f t="shared" si="179"/>
        <v>50.8</v>
      </c>
      <c r="CI59" s="9">
        <f t="shared" si="180"/>
        <v>63.499999999999986</v>
      </c>
      <c r="CJ59" s="9">
        <f t="shared" si="70"/>
        <v>1.4623505735569622</v>
      </c>
      <c r="CK59" s="70">
        <v>0</v>
      </c>
      <c r="CL59" s="9">
        <f t="shared" si="71"/>
        <v>0</v>
      </c>
      <c r="CM59" s="9">
        <f t="shared" si="72"/>
        <v>0</v>
      </c>
      <c r="CN59" s="9">
        <f t="shared" si="73"/>
        <v>0.99524931562137331</v>
      </c>
      <c r="CO59" s="9">
        <f t="shared" si="74"/>
        <v>1.056</v>
      </c>
      <c r="CP59" s="9">
        <f t="shared" si="75"/>
        <v>1.9464482686693119</v>
      </c>
      <c r="CQ59" s="9">
        <f t="shared" si="76"/>
        <v>2.8463897420875242</v>
      </c>
      <c r="CR59" s="9">
        <v>1</v>
      </c>
      <c r="CS59" s="9">
        <f t="shared" si="77"/>
        <v>250.48229730370213</v>
      </c>
      <c r="CU59" s="4">
        <f t="shared" si="156"/>
        <v>2.3493191743759252</v>
      </c>
      <c r="CV59" s="4">
        <f t="shared" si="157"/>
        <v>1.0232030933667093</v>
      </c>
      <c r="CW59" s="4">
        <f t="shared" si="158"/>
        <v>2.3700400963612549</v>
      </c>
      <c r="CX59" s="4">
        <f t="shared" si="159"/>
        <v>1.8284725305145577</v>
      </c>
      <c r="CY59" s="4">
        <f t="shared" si="160"/>
        <v>1.1197809722276568</v>
      </c>
      <c r="CZ59" s="4">
        <f t="shared" si="161"/>
        <v>1.1806252210562127</v>
      </c>
      <c r="DA59" s="4">
        <f t="shared" si="162"/>
        <v>1.6971965460652709</v>
      </c>
      <c r="DC59" s="4">
        <f t="shared" si="163"/>
        <v>2.3493191743759252</v>
      </c>
      <c r="DD59" s="4">
        <f t="shared" si="163"/>
        <v>1.0232030933667093</v>
      </c>
      <c r="DE59" s="4">
        <f t="shared" si="164"/>
        <v>1.8284725305145577</v>
      </c>
      <c r="DF59" s="4">
        <f t="shared" si="181"/>
        <v>1.6971965460652709</v>
      </c>
      <c r="DG59" s="4">
        <f t="shared" si="165"/>
        <v>1.1197809722276568</v>
      </c>
      <c r="DH59" s="4">
        <f t="shared" si="165"/>
        <v>1.1806252210562127</v>
      </c>
      <c r="DP59" s="4">
        <f t="shared" si="182"/>
        <v>0</v>
      </c>
      <c r="DQ59" s="4">
        <f t="shared" si="138"/>
        <v>254</v>
      </c>
      <c r="DR59" s="4">
        <f t="shared" si="139"/>
        <v>0.7</v>
      </c>
      <c r="DT59" s="4">
        <f t="shared" si="81"/>
        <v>1.7601358282256944E-5</v>
      </c>
      <c r="DU59" s="4">
        <f t="shared" si="183"/>
        <v>6.6857562842857838</v>
      </c>
      <c r="DV59" s="4">
        <f t="shared" si="166"/>
        <v>0.45604779407414225</v>
      </c>
      <c r="DW59" s="4">
        <f t="shared" si="83"/>
        <v>4.8837641772607956</v>
      </c>
      <c r="DX59" s="4">
        <f t="shared" si="84"/>
        <v>5.8546719413635264</v>
      </c>
      <c r="DY59" s="4">
        <f t="shared" si="140"/>
        <v>6.3893714675739641</v>
      </c>
      <c r="DZ59" s="38">
        <f t="shared" si="86"/>
        <v>409.00855735105887</v>
      </c>
      <c r="EA59" s="4">
        <f t="shared" si="87"/>
        <v>1.0001419780087477</v>
      </c>
      <c r="EB59" s="4">
        <f t="shared" si="167"/>
        <v>2.3874672772626644</v>
      </c>
      <c r="EC59" s="4">
        <f t="shared" si="122"/>
        <v>254.34794172646181</v>
      </c>
      <c r="EG59" s="4">
        <f t="shared" si="88"/>
        <v>0.85</v>
      </c>
      <c r="EH59" s="4">
        <f t="shared" si="89"/>
        <v>0.85000000000000009</v>
      </c>
      <c r="EI59" s="4">
        <f t="shared" si="141"/>
        <v>1</v>
      </c>
      <c r="EJ59" s="4">
        <f t="shared" si="91"/>
        <v>0.85000000000000009</v>
      </c>
      <c r="EL59" s="4">
        <f t="shared" si="142"/>
        <v>387.93004912283965</v>
      </c>
      <c r="EM59" s="25">
        <f t="shared" si="143"/>
        <v>262.95857582217241</v>
      </c>
      <c r="EO59" s="4">
        <f t="shared" si="168"/>
        <v>0.72250000000000003</v>
      </c>
      <c r="EP59" s="4">
        <f t="shared" si="144"/>
        <v>6.6857562842857838</v>
      </c>
      <c r="EQ59" s="4">
        <f t="shared" si="145"/>
        <v>6.028412726414806</v>
      </c>
      <c r="ES59" s="4">
        <f t="shared" si="96"/>
        <v>60.641668842471674</v>
      </c>
      <c r="ET59" s="4">
        <f t="shared" si="184"/>
        <v>2.3874672772626644</v>
      </c>
      <c r="EU59" s="4">
        <f t="shared" si="98"/>
        <v>0.13195463217595851</v>
      </c>
      <c r="EX59" s="4">
        <f t="shared" si="185"/>
        <v>0.13195463217595851</v>
      </c>
      <c r="EY59" s="4">
        <f t="shared" si="100"/>
        <v>0.45528673530158714</v>
      </c>
      <c r="EZ59" s="4">
        <f t="shared" si="186"/>
        <v>4.8805025068076127</v>
      </c>
      <c r="FA59" s="4">
        <f t="shared" si="187"/>
        <v>5.8533131368817264</v>
      </c>
      <c r="FB59" s="4">
        <f t="shared" si="188"/>
        <v>129.85833115752831</v>
      </c>
      <c r="FC59" s="4">
        <f t="shared" si="189"/>
        <v>63.5</v>
      </c>
      <c r="FD59" s="4">
        <f t="shared" si="105"/>
        <v>1.7601358282256944E-5</v>
      </c>
      <c r="FE59" s="4">
        <f t="shared" si="190"/>
        <v>6.3894588954142764</v>
      </c>
      <c r="FF59" s="4">
        <f t="shared" si="146"/>
        <v>408.95049537404924</v>
      </c>
      <c r="FG59" s="4">
        <f t="shared" si="191"/>
        <v>117.15833115752831</v>
      </c>
      <c r="FH59" s="4">
        <f t="shared" si="192"/>
        <v>0</v>
      </c>
      <c r="FJ59" s="4">
        <f t="shared" si="147"/>
        <v>75.601215227906266</v>
      </c>
      <c r="FO59" s="23">
        <f t="shared" si="193"/>
        <v>2.2000000000000002</v>
      </c>
      <c r="FP59" s="23">
        <f t="shared" si="193"/>
        <v>1.2</v>
      </c>
      <c r="FQ59" s="23">
        <f t="shared" si="194"/>
        <v>1.8</v>
      </c>
      <c r="FR59" s="23">
        <f t="shared" si="195"/>
        <v>2</v>
      </c>
      <c r="FS59" s="23">
        <f t="shared" si="169"/>
        <v>1.2</v>
      </c>
      <c r="FT59" s="23">
        <f t="shared" si="169"/>
        <v>1.2</v>
      </c>
      <c r="FU59" s="23">
        <f t="shared" si="196"/>
        <v>0</v>
      </c>
      <c r="FV59" s="23"/>
      <c r="FW59" s="1" t="s">
        <v>47</v>
      </c>
      <c r="FX59">
        <f t="shared" ref="FX59:GC59" si="202">COUNTIF(FO20:FO578,1.6)</f>
        <v>39</v>
      </c>
      <c r="FY59">
        <f t="shared" si="202"/>
        <v>29</v>
      </c>
      <c r="FZ59">
        <f t="shared" si="202"/>
        <v>52</v>
      </c>
      <c r="GA59">
        <f t="shared" si="202"/>
        <v>49</v>
      </c>
      <c r="GB59">
        <f t="shared" si="202"/>
        <v>59</v>
      </c>
      <c r="GC59">
        <f t="shared" si="202"/>
        <v>33</v>
      </c>
      <c r="GF59" s="4">
        <f t="shared" si="111"/>
        <v>1</v>
      </c>
      <c r="GG59" s="4">
        <f t="shared" si="112"/>
        <v>0.85000000000000009</v>
      </c>
      <c r="GH59" s="4">
        <f t="shared" si="113"/>
        <v>0</v>
      </c>
      <c r="GI59" s="4">
        <f t="shared" si="114"/>
        <v>269.85678297649929</v>
      </c>
    </row>
    <row r="60" spans="1:191" ht="12" hidden="1" customHeight="1" x14ac:dyDescent="0.3">
      <c r="A60" s="25">
        <v>41</v>
      </c>
      <c r="B60" s="20" t="s">
        <v>54</v>
      </c>
      <c r="C60" s="20">
        <v>2006</v>
      </c>
      <c r="D60" s="24" t="s">
        <v>55</v>
      </c>
      <c r="E60" s="24"/>
      <c r="F60" s="24"/>
      <c r="G60" s="24"/>
      <c r="H60" s="7" t="s">
        <v>66</v>
      </c>
      <c r="I60" s="7"/>
      <c r="J60" s="7">
        <v>472</v>
      </c>
      <c r="K60" s="7">
        <f t="shared" si="170"/>
        <v>254</v>
      </c>
      <c r="L60" s="7">
        <f t="shared" si="148"/>
        <v>177.79999999999998</v>
      </c>
      <c r="M60" s="7">
        <v>21</v>
      </c>
      <c r="N60" s="7">
        <v>25.4</v>
      </c>
      <c r="O60" s="7">
        <f t="shared" si="171"/>
        <v>10</v>
      </c>
      <c r="P60" s="7">
        <v>7</v>
      </c>
      <c r="Q60" s="7">
        <f t="shared" si="149"/>
        <v>152.39999999999998</v>
      </c>
      <c r="R60" s="7"/>
      <c r="S60" s="7">
        <f t="shared" si="130"/>
        <v>63.499999999999986</v>
      </c>
      <c r="T60" s="7"/>
      <c r="U60" s="7">
        <f t="shared" si="150"/>
        <v>50.8</v>
      </c>
      <c r="V60" s="7"/>
      <c r="W60" s="7">
        <v>0</v>
      </c>
      <c r="X60" s="7">
        <v>1</v>
      </c>
      <c r="Y60" s="7"/>
      <c r="Z60" s="7"/>
      <c r="AA60" s="7">
        <f t="shared" si="151"/>
        <v>88.899999999999991</v>
      </c>
      <c r="AB60" s="7">
        <f t="shared" si="131"/>
        <v>2.9999999999999996</v>
      </c>
      <c r="AC60" s="7">
        <f t="shared" si="152"/>
        <v>4</v>
      </c>
      <c r="AD60" s="7">
        <v>4.7</v>
      </c>
      <c r="AE60" s="7">
        <f t="shared" si="172"/>
        <v>4.7</v>
      </c>
      <c r="AF60" s="7">
        <f t="shared" si="46"/>
        <v>5.7</v>
      </c>
      <c r="AG60" s="7">
        <f t="shared" si="47"/>
        <v>60.641668842471674</v>
      </c>
      <c r="AH60" s="7"/>
      <c r="AI60" s="7"/>
      <c r="AJ60" s="7">
        <v>458</v>
      </c>
      <c r="AK60" s="7"/>
      <c r="AL60" s="7"/>
      <c r="AM60" s="7">
        <v>0</v>
      </c>
      <c r="AN60" s="7">
        <v>0</v>
      </c>
      <c r="AO60" s="7">
        <f t="shared" si="153"/>
        <v>177.79999999999998</v>
      </c>
      <c r="AP60" s="7"/>
      <c r="AQ60" s="7"/>
      <c r="AR60" s="7"/>
      <c r="AS60" s="4">
        <f t="shared" si="125"/>
        <v>254</v>
      </c>
      <c r="AT60" s="44">
        <f t="shared" si="154"/>
        <v>0.12666666666666665</v>
      </c>
      <c r="AU60" s="25">
        <f t="shared" si="132"/>
        <v>366.10267967102493</v>
      </c>
      <c r="AV60" s="4">
        <f t="shared" si="133"/>
        <v>0.7599999999999999</v>
      </c>
      <c r="AW60" s="4">
        <v>1.25</v>
      </c>
      <c r="AX60" s="25">
        <f t="shared" si="119"/>
        <v>5</v>
      </c>
      <c r="AY60" s="38">
        <f t="shared" si="120"/>
        <v>220.27177893539994</v>
      </c>
      <c r="AZ60" s="38">
        <f t="shared" si="121"/>
        <v>220.27177893539994</v>
      </c>
      <c r="BB60" s="38">
        <f t="shared" si="129"/>
        <v>220.27177893539994</v>
      </c>
      <c r="BC60" s="38">
        <f t="shared" si="52"/>
        <v>1</v>
      </c>
      <c r="BD60" s="38">
        <f t="shared" si="155"/>
        <v>1.4054593116130687</v>
      </c>
      <c r="BE60" s="4">
        <f t="shared" si="173"/>
        <v>0</v>
      </c>
      <c r="BF60" s="4">
        <f t="shared" si="53"/>
        <v>168.83173612995199</v>
      </c>
      <c r="BG60" s="4">
        <f t="shared" si="54"/>
        <v>1.1333333333333333</v>
      </c>
      <c r="BH60" s="38">
        <f t="shared" si="55"/>
        <v>309.58302279033325</v>
      </c>
      <c r="BI60" s="4">
        <f t="shared" si="56"/>
        <v>0.34199999999999997</v>
      </c>
      <c r="BJ60" s="4">
        <f t="shared" si="57"/>
        <v>30.169387087741768</v>
      </c>
      <c r="BK60" s="4">
        <f t="shared" si="58"/>
        <v>339.75240987807501</v>
      </c>
      <c r="BM60" s="36">
        <f t="shared" si="134"/>
        <v>1.1000000000000001</v>
      </c>
      <c r="BN60" s="36">
        <f t="shared" si="135"/>
        <v>167.35566437978727</v>
      </c>
      <c r="BS60" s="4">
        <f t="shared" si="174"/>
        <v>63.499999999999986</v>
      </c>
      <c r="BT60" s="4">
        <f t="shared" si="175"/>
        <v>63.499999999999986</v>
      </c>
      <c r="BU60" s="4">
        <f t="shared" si="176"/>
        <v>88.899999999999991</v>
      </c>
      <c r="BV60" s="4">
        <f t="shared" si="136"/>
        <v>76.199999999999989</v>
      </c>
      <c r="BW60" s="4">
        <f t="shared" si="177"/>
        <v>1.04</v>
      </c>
      <c r="BX60" s="25">
        <f t="shared" si="137"/>
        <v>3.1199999999999997</v>
      </c>
      <c r="BZ60" s="4">
        <f t="shared" si="178"/>
        <v>63.499999999999986</v>
      </c>
      <c r="CD60" s="9"/>
      <c r="CF60" s="9"/>
      <c r="CG60" s="9"/>
      <c r="CH60" s="9">
        <f t="shared" si="179"/>
        <v>50.8</v>
      </c>
      <c r="CI60" s="9">
        <f t="shared" si="180"/>
        <v>63.499999999999986</v>
      </c>
      <c r="CJ60" s="9">
        <f t="shared" si="70"/>
        <v>1.4623505735569622</v>
      </c>
      <c r="CK60" s="70">
        <v>0</v>
      </c>
      <c r="CL60" s="9">
        <f t="shared" si="71"/>
        <v>0</v>
      </c>
      <c r="CM60" s="9">
        <f t="shared" si="72"/>
        <v>0</v>
      </c>
      <c r="CN60" s="9">
        <f t="shared" si="73"/>
        <v>0.99524931562137331</v>
      </c>
      <c r="CO60" s="9">
        <f t="shared" si="74"/>
        <v>1.056</v>
      </c>
      <c r="CP60" s="9">
        <f t="shared" si="75"/>
        <v>1.6856736478198622</v>
      </c>
      <c r="CQ60" s="9">
        <f t="shared" si="76"/>
        <v>2.465045825719232</v>
      </c>
      <c r="CR60" s="9">
        <v>1</v>
      </c>
      <c r="CS60" s="9">
        <f t="shared" si="77"/>
        <v>216.92403266329242</v>
      </c>
      <c r="CU60" s="4">
        <f t="shared" si="156"/>
        <v>2.7127601154765797</v>
      </c>
      <c r="CV60" s="4">
        <f t="shared" si="157"/>
        <v>1.3480404750163797</v>
      </c>
      <c r="CW60" s="4">
        <f t="shared" si="158"/>
        <v>2.7366865752487546</v>
      </c>
      <c r="CX60" s="4">
        <f t="shared" si="159"/>
        <v>2.1113382153968323</v>
      </c>
      <c r="CY60" s="4">
        <f t="shared" si="160"/>
        <v>1.2773071017135704</v>
      </c>
      <c r="CZ60" s="4">
        <f t="shared" si="161"/>
        <v>1.3657607623619461</v>
      </c>
      <c r="DA60" s="4">
        <f t="shared" si="162"/>
        <v>1.8237563767965093</v>
      </c>
      <c r="DC60" s="4">
        <f t="shared" si="163"/>
        <v>2.7127601154765797</v>
      </c>
      <c r="DD60" s="4">
        <f t="shared" si="163"/>
        <v>1.3480404750163797</v>
      </c>
      <c r="DE60" s="4">
        <f t="shared" si="164"/>
        <v>2.1113382153968323</v>
      </c>
      <c r="DF60" s="4">
        <f t="shared" si="181"/>
        <v>1.8237563767965093</v>
      </c>
      <c r="DG60" s="4">
        <f t="shared" si="165"/>
        <v>1.2773071017135704</v>
      </c>
      <c r="DH60" s="4">
        <f t="shared" si="165"/>
        <v>1.3657607623619461</v>
      </c>
      <c r="DP60" s="4">
        <f t="shared" si="182"/>
        <v>0</v>
      </c>
      <c r="DQ60" s="4">
        <f t="shared" si="138"/>
        <v>254</v>
      </c>
      <c r="DR60" s="4">
        <f t="shared" si="139"/>
        <v>0.7</v>
      </c>
      <c r="DT60" s="4">
        <f t="shared" si="81"/>
        <v>1.668887417236156E-5</v>
      </c>
      <c r="DU60" s="4">
        <f t="shared" si="183"/>
        <v>5.7900347857029448</v>
      </c>
      <c r="DV60" s="4">
        <f t="shared" si="166"/>
        <v>0.52659863334408208</v>
      </c>
      <c r="DW60" s="4">
        <f t="shared" si="83"/>
        <v>4.4799489379953377</v>
      </c>
      <c r="DX60" s="4">
        <f t="shared" si="84"/>
        <v>5.1766701262685118</v>
      </c>
      <c r="DY60" s="4">
        <f t="shared" si="140"/>
        <v>5.5734189946502246</v>
      </c>
      <c r="DZ60" s="38">
        <f t="shared" si="86"/>
        <v>358.56686257014496</v>
      </c>
      <c r="EA60" s="4">
        <f t="shared" si="87"/>
        <v>1.000151622901764</v>
      </c>
      <c r="EB60" s="4">
        <f t="shared" si="167"/>
        <v>2.3874672772626644</v>
      </c>
      <c r="EC60" s="4">
        <f t="shared" si="122"/>
        <v>220.27177893539994</v>
      </c>
      <c r="EG60" s="4">
        <f t="shared" si="88"/>
        <v>0.85</v>
      </c>
      <c r="EH60" s="4">
        <f t="shared" si="89"/>
        <v>0.85000000000000009</v>
      </c>
      <c r="EI60" s="4">
        <f t="shared" si="141"/>
        <v>1</v>
      </c>
      <c r="EJ60" s="4">
        <f t="shared" si="91"/>
        <v>0.85000000000000009</v>
      </c>
      <c r="EL60" s="4">
        <f t="shared" si="142"/>
        <v>335.34423642976458</v>
      </c>
      <c r="EM60" s="25">
        <f t="shared" si="143"/>
        <v>227.72880680497778</v>
      </c>
      <c r="EO60" s="4">
        <f t="shared" si="168"/>
        <v>0.72250000000000003</v>
      </c>
      <c r="EP60" s="4">
        <f t="shared" si="144"/>
        <v>5.7900347857029448</v>
      </c>
      <c r="EQ60" s="4">
        <f t="shared" si="145"/>
        <v>5.2207585655726314</v>
      </c>
      <c r="ES60" s="4">
        <f t="shared" si="96"/>
        <v>60.641668842471674</v>
      </c>
      <c r="ET60" s="4">
        <f t="shared" si="184"/>
        <v>2.3874672772626644</v>
      </c>
      <c r="EU60" s="4">
        <f t="shared" si="98"/>
        <v>0.13195463217595851</v>
      </c>
      <c r="EX60" s="4">
        <f t="shared" si="185"/>
        <v>0.13195463217595851</v>
      </c>
      <c r="EY60" s="4">
        <f t="shared" si="100"/>
        <v>0.52571983836967451</v>
      </c>
      <c r="EZ60" s="4">
        <f t="shared" si="186"/>
        <v>4.4769569595638528</v>
      </c>
      <c r="FA60" s="4">
        <f t="shared" si="187"/>
        <v>5.1753763982640848</v>
      </c>
      <c r="FB60" s="4">
        <f t="shared" si="188"/>
        <v>129.85833115752831</v>
      </c>
      <c r="FC60" s="4">
        <f t="shared" si="189"/>
        <v>63.5</v>
      </c>
      <c r="FD60" s="4">
        <f t="shared" si="105"/>
        <v>1.668887417236156E-5</v>
      </c>
      <c r="FE60" s="4">
        <f t="shared" si="190"/>
        <v>5.5734861149773431</v>
      </c>
      <c r="FF60" s="4">
        <f t="shared" si="146"/>
        <v>358.51250386399045</v>
      </c>
      <c r="FG60" s="4">
        <f t="shared" si="191"/>
        <v>117.15833115752831</v>
      </c>
      <c r="FH60" s="4">
        <f t="shared" si="192"/>
        <v>0</v>
      </c>
      <c r="FJ60" s="4">
        <f t="shared" si="147"/>
        <v>66.085613946301578</v>
      </c>
      <c r="FO60" s="23">
        <f t="shared" si="193"/>
        <v>2.2000000000000002</v>
      </c>
      <c r="FP60" s="23">
        <f t="shared" si="193"/>
        <v>1.4</v>
      </c>
      <c r="FQ60" s="23">
        <f t="shared" si="194"/>
        <v>2</v>
      </c>
      <c r="FR60" s="23">
        <f t="shared" si="195"/>
        <v>2.2000000000000002</v>
      </c>
      <c r="FS60" s="23">
        <f t="shared" si="169"/>
        <v>1.4</v>
      </c>
      <c r="FT60" s="23">
        <f t="shared" si="169"/>
        <v>1.4</v>
      </c>
      <c r="FU60" s="23">
        <f t="shared" si="196"/>
        <v>0</v>
      </c>
      <c r="FV60" s="23"/>
      <c r="FW60" s="1" t="s">
        <v>48</v>
      </c>
      <c r="FX60">
        <f t="shared" ref="FX60:GC60" si="203">COUNTIF(FO20:FO578,1.8)</f>
        <v>37</v>
      </c>
      <c r="FY60">
        <f t="shared" si="203"/>
        <v>11</v>
      </c>
      <c r="FZ60">
        <f t="shared" si="203"/>
        <v>30</v>
      </c>
      <c r="GA60">
        <f t="shared" si="203"/>
        <v>59</v>
      </c>
      <c r="GB60">
        <f t="shared" si="203"/>
        <v>47</v>
      </c>
      <c r="GC60">
        <f t="shared" si="203"/>
        <v>17</v>
      </c>
      <c r="GF60" s="4">
        <f t="shared" si="111"/>
        <v>1</v>
      </c>
      <c r="GG60" s="4">
        <f t="shared" si="112"/>
        <v>0.85000000000000009</v>
      </c>
      <c r="GH60" s="4">
        <f t="shared" si="113"/>
        <v>0</v>
      </c>
      <c r="GI60" s="4">
        <f t="shared" si="114"/>
        <v>251.13003349959095</v>
      </c>
    </row>
    <row r="61" spans="1:191" ht="12" hidden="1" customHeight="1" x14ac:dyDescent="0.3">
      <c r="A61" s="25">
        <v>42</v>
      </c>
      <c r="B61" s="20" t="s">
        <v>54</v>
      </c>
      <c r="C61" s="20">
        <v>2006</v>
      </c>
      <c r="D61" s="24" t="s">
        <v>55</v>
      </c>
      <c r="E61" s="24"/>
      <c r="F61" s="24"/>
      <c r="G61" s="24"/>
      <c r="H61" s="7" t="s">
        <v>281</v>
      </c>
      <c r="I61" s="7"/>
      <c r="J61" s="7">
        <v>472</v>
      </c>
      <c r="K61" s="7">
        <f t="shared" si="170"/>
        <v>254</v>
      </c>
      <c r="L61" s="7">
        <f t="shared" si="148"/>
        <v>177.79999999999998</v>
      </c>
      <c r="M61" s="7">
        <v>27</v>
      </c>
      <c r="N61" s="7">
        <v>25.4</v>
      </c>
      <c r="O61" s="7">
        <f t="shared" si="171"/>
        <v>10</v>
      </c>
      <c r="P61" s="7">
        <v>7</v>
      </c>
      <c r="Q61" s="7">
        <f t="shared" si="149"/>
        <v>152.39999999999998</v>
      </c>
      <c r="R61" s="7"/>
      <c r="S61" s="7">
        <f t="shared" si="130"/>
        <v>63.499999999999986</v>
      </c>
      <c r="T61" s="7"/>
      <c r="U61" s="7">
        <f t="shared" si="150"/>
        <v>50.8</v>
      </c>
      <c r="V61" s="7"/>
      <c r="W61" s="7">
        <v>0</v>
      </c>
      <c r="X61" s="7">
        <v>1</v>
      </c>
      <c r="Y61" s="7"/>
      <c r="Z61" s="7"/>
      <c r="AA61" s="7">
        <f t="shared" si="151"/>
        <v>88.899999999999991</v>
      </c>
      <c r="AB61" s="7">
        <f t="shared" si="131"/>
        <v>2.9999999999999996</v>
      </c>
      <c r="AC61" s="7">
        <f t="shared" si="152"/>
        <v>4</v>
      </c>
      <c r="AD61" s="7">
        <v>4.7</v>
      </c>
      <c r="AE61" s="7">
        <f t="shared" si="172"/>
        <v>4.7</v>
      </c>
      <c r="AF61" s="7">
        <f t="shared" si="46"/>
        <v>5.7</v>
      </c>
      <c r="AG61" s="7">
        <f t="shared" si="47"/>
        <v>60.641668842471674</v>
      </c>
      <c r="AH61" s="7"/>
      <c r="AI61" s="7"/>
      <c r="AJ61" s="7">
        <v>472</v>
      </c>
      <c r="AK61" s="7"/>
      <c r="AL61" s="7"/>
      <c r="AM61" s="7">
        <v>0</v>
      </c>
      <c r="AN61" s="7">
        <v>0</v>
      </c>
      <c r="AO61" s="7">
        <f t="shared" si="153"/>
        <v>177.79999999999998</v>
      </c>
      <c r="AP61" s="7"/>
      <c r="AQ61" s="7"/>
      <c r="AR61" s="7"/>
      <c r="AS61" s="4">
        <f t="shared" si="125"/>
        <v>254</v>
      </c>
      <c r="AT61" s="44">
        <f t="shared" si="154"/>
        <v>0.12666666666666665</v>
      </c>
      <c r="AU61" s="25">
        <f t="shared" si="132"/>
        <v>415.1214191673746</v>
      </c>
      <c r="AV61" s="4">
        <f t="shared" si="133"/>
        <v>0.7599999999999999</v>
      </c>
      <c r="AW61" s="4">
        <v>1.25</v>
      </c>
      <c r="AX61" s="25">
        <f t="shared" si="119"/>
        <v>5</v>
      </c>
      <c r="AY61" s="38">
        <f t="shared" si="120"/>
        <v>249.76472053237029</v>
      </c>
      <c r="AZ61" s="38">
        <f t="shared" si="121"/>
        <v>249.76472053237029</v>
      </c>
      <c r="BB61" s="38">
        <f t="shared" si="129"/>
        <v>249.76472053237032</v>
      </c>
      <c r="BC61" s="38">
        <f t="shared" si="52"/>
        <v>0.99999999999999989</v>
      </c>
      <c r="BD61" s="38">
        <f t="shared" si="155"/>
        <v>1.5936410641492338</v>
      </c>
      <c r="BE61" s="4">
        <f t="shared" si="173"/>
        <v>0</v>
      </c>
      <c r="BF61" s="4">
        <f t="shared" si="53"/>
        <v>191.43719452077065</v>
      </c>
      <c r="BG61" s="4">
        <f>MIN(0.6+0.4*(AC61/AB61),2)</f>
        <v>1.1333333333333333</v>
      </c>
      <c r="BH61" s="38">
        <f t="shared" si="55"/>
        <v>398.03531501614259</v>
      </c>
      <c r="BI61" s="4">
        <f>MAX(1-0.7*AE61/5,0.3)</f>
        <v>0.34199999999999997</v>
      </c>
      <c r="BJ61" s="4">
        <f t="shared" si="57"/>
        <v>34.208869474889106</v>
      </c>
      <c r="BK61" s="4">
        <f t="shared" si="58"/>
        <v>432.24418449103172</v>
      </c>
      <c r="BM61" s="36">
        <f t="shared" si="134"/>
        <v>1.1000000000000001</v>
      </c>
      <c r="BN61" s="36">
        <f t="shared" si="135"/>
        <v>189.7634864772462</v>
      </c>
      <c r="BS61" s="4">
        <f t="shared" si="174"/>
        <v>63.499999999999986</v>
      </c>
      <c r="BT61" s="4">
        <f t="shared" si="175"/>
        <v>63.499999999999986</v>
      </c>
      <c r="BU61" s="4">
        <f t="shared" si="176"/>
        <v>88.899999999999991</v>
      </c>
      <c r="BV61" s="4">
        <f t="shared" si="136"/>
        <v>76.199999999999989</v>
      </c>
      <c r="BW61" s="4">
        <f t="shared" si="177"/>
        <v>1.04</v>
      </c>
      <c r="BX61" s="25">
        <f t="shared" si="137"/>
        <v>3.1199999999999997</v>
      </c>
      <c r="BZ61" s="4">
        <f t="shared" si="178"/>
        <v>63.499999999999986</v>
      </c>
      <c r="CD61" s="9"/>
      <c r="CF61" s="9"/>
      <c r="CG61" s="9"/>
      <c r="CH61" s="9">
        <f t="shared" si="179"/>
        <v>50.8</v>
      </c>
      <c r="CI61" s="9">
        <f t="shared" si="180"/>
        <v>63.499999999999986</v>
      </c>
      <c r="CJ61" s="9">
        <f t="shared" si="70"/>
        <v>1.4623505735569622</v>
      </c>
      <c r="CK61" s="70">
        <v>0</v>
      </c>
      <c r="CL61" s="9">
        <f t="shared" si="71"/>
        <v>0</v>
      </c>
      <c r="CM61" s="9">
        <f t="shared" si="72"/>
        <v>0</v>
      </c>
      <c r="CN61" s="9">
        <f t="shared" si="73"/>
        <v>0.99524931562137331</v>
      </c>
      <c r="CO61" s="9">
        <f t="shared" si="74"/>
        <v>1.056</v>
      </c>
      <c r="CP61" s="9">
        <f t="shared" si="75"/>
        <v>1.911374255891328</v>
      </c>
      <c r="CQ61" s="9">
        <f t="shared" si="76"/>
        <v>2.7950992393846952</v>
      </c>
      <c r="CR61" s="9">
        <v>1</v>
      </c>
      <c r="CS61" s="9">
        <f t="shared" si="77"/>
        <v>245.96873306585317</v>
      </c>
      <c r="CU61" s="4">
        <f t="shared" si="156"/>
        <v>2.465560578139316</v>
      </c>
      <c r="CV61" s="4">
        <f t="shared" si="157"/>
        <v>1.0919753623886943</v>
      </c>
      <c r="CW61" s="4">
        <f t="shared" si="158"/>
        <v>2.487306745687325</v>
      </c>
      <c r="CX61" s="4">
        <f t="shared" si="159"/>
        <v>1.9189430872648008</v>
      </c>
      <c r="CY61" s="4">
        <f t="shared" si="160"/>
        <v>1.1734211874058873</v>
      </c>
      <c r="CZ61" s="4">
        <f t="shared" si="161"/>
        <v>1.2393430683283218</v>
      </c>
      <c r="DA61" s="4">
        <f t="shared" si="162"/>
        <v>1.7650508704945205</v>
      </c>
      <c r="DC61" s="4">
        <f t="shared" si="163"/>
        <v>2.465560578139316</v>
      </c>
      <c r="DD61" s="4">
        <f t="shared" si="163"/>
        <v>1.0919753623886943</v>
      </c>
      <c r="DE61" s="4">
        <f t="shared" si="164"/>
        <v>1.9189430872648008</v>
      </c>
      <c r="DF61" s="4">
        <f t="shared" si="181"/>
        <v>1.7650508704945205</v>
      </c>
      <c r="DG61" s="4">
        <f t="shared" si="165"/>
        <v>1.1734211874058873</v>
      </c>
      <c r="DH61" s="4">
        <f t="shared" si="165"/>
        <v>1.2393430683283218</v>
      </c>
      <c r="DP61" s="4">
        <f t="shared" si="182"/>
        <v>0</v>
      </c>
      <c r="DQ61" s="4">
        <f t="shared" si="138"/>
        <v>254</v>
      </c>
      <c r="DR61" s="4">
        <f t="shared" si="139"/>
        <v>0.7</v>
      </c>
      <c r="DT61" s="4">
        <f t="shared" si="81"/>
        <v>1.7472864382687078E-5</v>
      </c>
      <c r="DU61" s="4">
        <f t="shared" si="183"/>
        <v>6.5652823394499222</v>
      </c>
      <c r="DV61" s="4">
        <f t="shared" si="166"/>
        <v>0.46441634152497552</v>
      </c>
      <c r="DW61" s="4">
        <f t="shared" si="83"/>
        <v>4.8307704919126984</v>
      </c>
      <c r="DX61" s="4">
        <f t="shared" si="84"/>
        <v>5.7637968710281546</v>
      </c>
      <c r="DY61" s="4">
        <f t="shared" si="140"/>
        <v>6.2806000030155449</v>
      </c>
      <c r="DZ61" s="38">
        <f t="shared" si="86"/>
        <v>402.24260910395071</v>
      </c>
      <c r="EA61" s="4">
        <f t="shared" si="87"/>
        <v>1.0001431777712819</v>
      </c>
      <c r="EB61" s="4">
        <f t="shared" si="167"/>
        <v>2.3874672772626644</v>
      </c>
      <c r="EC61" s="4">
        <f t="shared" si="122"/>
        <v>249.76472053237032</v>
      </c>
      <c r="EG61" s="4">
        <f t="shared" si="88"/>
        <v>0.85</v>
      </c>
      <c r="EH61" s="4">
        <f t="shared" si="89"/>
        <v>0.85000000000000009</v>
      </c>
      <c r="EI61" s="4">
        <f t="shared" si="141"/>
        <v>1</v>
      </c>
      <c r="EJ61" s="4">
        <f t="shared" si="91"/>
        <v>0.85000000000000009</v>
      </c>
      <c r="EL61" s="4">
        <f t="shared" si="142"/>
        <v>380.84692774911269</v>
      </c>
      <c r="EM61" s="25">
        <f t="shared" si="143"/>
        <v>258.22019535919065</v>
      </c>
      <c r="EO61" s="4">
        <f t="shared" si="168"/>
        <v>0.72250000000000003</v>
      </c>
      <c r="EP61" s="4">
        <f t="shared" si="144"/>
        <v>6.5652823394499222</v>
      </c>
      <c r="EQ61" s="4">
        <f t="shared" si="145"/>
        <v>5.9197837798352051</v>
      </c>
      <c r="ES61" s="4">
        <f t="shared" si="96"/>
        <v>60.641668842471674</v>
      </c>
      <c r="ET61" s="4">
        <f t="shared" si="184"/>
        <v>2.3874672772626644</v>
      </c>
      <c r="EU61" s="4">
        <f t="shared" si="98"/>
        <v>0.13195463217595849</v>
      </c>
      <c r="EX61" s="4">
        <f t="shared" si="185"/>
        <v>0.13195463217595849</v>
      </c>
      <c r="EY61" s="4">
        <f t="shared" si="100"/>
        <v>0.46364131720641022</v>
      </c>
      <c r="EZ61" s="4">
        <f t="shared" si="186"/>
        <v>4.8275442138190625</v>
      </c>
      <c r="FA61" s="4">
        <f t="shared" si="187"/>
        <v>5.7624463416714153</v>
      </c>
      <c r="FB61" s="4">
        <f t="shared" si="188"/>
        <v>129.85833115752831</v>
      </c>
      <c r="FC61" s="4">
        <f t="shared" si="189"/>
        <v>63.5</v>
      </c>
      <c r="FD61" s="4">
        <f t="shared" si="105"/>
        <v>1.7472864382687078E-5</v>
      </c>
      <c r="FE61" s="4">
        <f t="shared" si="190"/>
        <v>6.2806845110232778</v>
      </c>
      <c r="FF61" s="4">
        <f t="shared" si="146"/>
        <v>402.18502514840702</v>
      </c>
      <c r="FG61" s="4">
        <f t="shared" si="191"/>
        <v>117.15833115752831</v>
      </c>
      <c r="FH61" s="4">
        <f t="shared" si="192"/>
        <v>0</v>
      </c>
      <c r="FJ61" s="4">
        <f t="shared" si="147"/>
        <v>74.331737793575599</v>
      </c>
      <c r="FO61" s="23">
        <f t="shared" si="193"/>
        <v>2.2000000000000002</v>
      </c>
      <c r="FP61" s="23">
        <f t="shared" si="193"/>
        <v>1.2</v>
      </c>
      <c r="FQ61" s="23">
        <f t="shared" si="194"/>
        <v>1.8</v>
      </c>
      <c r="FR61" s="23">
        <f t="shared" si="195"/>
        <v>2</v>
      </c>
      <c r="FS61" s="23">
        <f t="shared" si="169"/>
        <v>1.2</v>
      </c>
      <c r="FT61" s="23">
        <f t="shared" si="169"/>
        <v>1.4</v>
      </c>
      <c r="FU61" s="23">
        <f t="shared" si="196"/>
        <v>0</v>
      </c>
      <c r="FV61" s="23"/>
      <c r="FW61" s="1" t="s">
        <v>49</v>
      </c>
      <c r="FX61">
        <f t="shared" ref="FX61:GC61" si="204">COUNTIF(FO20:FO578,2)</f>
        <v>38</v>
      </c>
      <c r="FY61">
        <f t="shared" si="204"/>
        <v>3</v>
      </c>
      <c r="FZ61">
        <f t="shared" si="204"/>
        <v>12</v>
      </c>
      <c r="GA61">
        <f t="shared" si="204"/>
        <v>75</v>
      </c>
      <c r="GB61">
        <f t="shared" si="204"/>
        <v>24</v>
      </c>
      <c r="GC61">
        <f t="shared" si="204"/>
        <v>1</v>
      </c>
      <c r="GF61" s="4">
        <f t="shared" si="111"/>
        <v>1</v>
      </c>
      <c r="GG61" s="4">
        <f t="shared" si="112"/>
        <v>0.85000000000000009</v>
      </c>
      <c r="GH61" s="4">
        <f t="shared" si="113"/>
        <v>0</v>
      </c>
      <c r="GI61" s="4">
        <f t="shared" si="114"/>
        <v>267.41438895059048</v>
      </c>
    </row>
    <row r="62" spans="1:191" ht="12" hidden="1" customHeight="1" x14ac:dyDescent="0.3">
      <c r="A62" s="25">
        <v>43</v>
      </c>
      <c r="B62" s="20" t="s">
        <v>54</v>
      </c>
      <c r="C62" s="20">
        <v>2006</v>
      </c>
      <c r="D62" s="24" t="s">
        <v>55</v>
      </c>
      <c r="E62" s="24"/>
      <c r="F62" s="24"/>
      <c r="G62" s="24"/>
      <c r="H62" s="7" t="s">
        <v>282</v>
      </c>
      <c r="I62" s="7"/>
      <c r="J62" s="7">
        <v>472</v>
      </c>
      <c r="K62" s="7">
        <f t="shared" si="170"/>
        <v>254</v>
      </c>
      <c r="L62" s="7">
        <f t="shared" si="148"/>
        <v>177.79999999999998</v>
      </c>
      <c r="M62" s="7">
        <v>28</v>
      </c>
      <c r="N62" s="7">
        <v>25.4</v>
      </c>
      <c r="O62" s="7">
        <f t="shared" si="171"/>
        <v>10</v>
      </c>
      <c r="P62" s="7">
        <v>7</v>
      </c>
      <c r="Q62" s="7">
        <f t="shared" si="149"/>
        <v>152.39999999999998</v>
      </c>
      <c r="R62" s="7"/>
      <c r="S62" s="7">
        <f t="shared" si="130"/>
        <v>63.499999999999986</v>
      </c>
      <c r="T62" s="7"/>
      <c r="U62" s="7">
        <f t="shared" si="150"/>
        <v>50.8</v>
      </c>
      <c r="V62" s="7"/>
      <c r="W62" s="7">
        <v>0</v>
      </c>
      <c r="X62" s="7">
        <v>1</v>
      </c>
      <c r="Y62" s="7"/>
      <c r="Z62" s="7"/>
      <c r="AA62" s="7">
        <f t="shared" si="151"/>
        <v>88.899999999999991</v>
      </c>
      <c r="AB62" s="7">
        <f t="shared" si="131"/>
        <v>2.9999999999999996</v>
      </c>
      <c r="AC62" s="7">
        <f t="shared" si="152"/>
        <v>4</v>
      </c>
      <c r="AD62" s="7">
        <v>10.39</v>
      </c>
      <c r="AE62" s="7">
        <f t="shared" si="172"/>
        <v>10.39</v>
      </c>
      <c r="AF62" s="7">
        <f t="shared" si="46"/>
        <v>11.39</v>
      </c>
      <c r="AG62" s="7">
        <f t="shared" si="47"/>
        <v>85.722648115885917</v>
      </c>
      <c r="AH62" s="7"/>
      <c r="AI62" s="7"/>
      <c r="AJ62" s="7">
        <v>472</v>
      </c>
      <c r="AK62" s="7"/>
      <c r="AL62" s="7"/>
      <c r="AM62" s="7">
        <v>0</v>
      </c>
      <c r="AN62" s="7">
        <v>0</v>
      </c>
      <c r="AO62" s="7">
        <f t="shared" si="153"/>
        <v>177.79999999999998</v>
      </c>
      <c r="AP62" s="7"/>
      <c r="AQ62" s="7"/>
      <c r="AR62" s="7"/>
      <c r="AS62" s="4">
        <f t="shared" si="125"/>
        <v>254</v>
      </c>
      <c r="AT62" s="44">
        <f t="shared" si="154"/>
        <v>0.12666666666666665</v>
      </c>
      <c r="AU62" s="25">
        <f t="shared" si="132"/>
        <v>422.7389613182192</v>
      </c>
      <c r="AV62" s="4">
        <f t="shared" si="133"/>
        <v>0.7599999999999999</v>
      </c>
      <c r="AW62" s="4">
        <v>1.25</v>
      </c>
      <c r="AX62" s="25">
        <f t="shared" si="119"/>
        <v>5</v>
      </c>
      <c r="AY62" s="38">
        <f t="shared" si="120"/>
        <v>254.34794172646178</v>
      </c>
      <c r="AZ62" s="38">
        <f t="shared" si="121"/>
        <v>254.34794172646178</v>
      </c>
      <c r="BB62" s="38">
        <f t="shared" si="129"/>
        <v>254.34794172646181</v>
      </c>
      <c r="BC62" s="38">
        <f t="shared" si="52"/>
        <v>0.99999999999999989</v>
      </c>
      <c r="BD62" s="38">
        <f t="shared" si="155"/>
        <v>2.4129398188950528</v>
      </c>
      <c r="BE62" s="4">
        <f t="shared" si="173"/>
        <v>0</v>
      </c>
      <c r="BF62" s="4">
        <f t="shared" si="53"/>
        <v>194.95009660475932</v>
      </c>
      <c r="BG62" s="4">
        <f t="shared" ref="BG62" si="205">MIN(0.6+0.4*(AC62/AB62),2)</f>
        <v>1.1333333333333333</v>
      </c>
      <c r="BH62" s="38">
        <f t="shared" si="55"/>
        <v>613.72627644577824</v>
      </c>
      <c r="BI62" s="4">
        <f t="shared" ref="BI62" si="206">MAX(1-0.7*AE62/5,0.3)</f>
        <v>0.3</v>
      </c>
      <c r="BJ62" s="4">
        <f t="shared" si="57"/>
        <v>30.558427642796019</v>
      </c>
      <c r="BK62" s="4">
        <f t="shared" si="58"/>
        <v>644.28470408857424</v>
      </c>
      <c r="BM62" s="36">
        <f t="shared" si="134"/>
        <v>1.1000000000000001</v>
      </c>
      <c r="BN62" s="36">
        <f t="shared" si="135"/>
        <v>193.24567576015772</v>
      </c>
      <c r="BS62" s="4">
        <f t="shared" si="174"/>
        <v>63.499999999999986</v>
      </c>
      <c r="BT62" s="4">
        <f t="shared" si="175"/>
        <v>63.499999999999986</v>
      </c>
      <c r="BU62" s="4">
        <f t="shared" si="176"/>
        <v>88.899999999999991</v>
      </c>
      <c r="BV62" s="4">
        <f t="shared" si="136"/>
        <v>76.199999999999989</v>
      </c>
      <c r="BW62" s="4">
        <f t="shared" si="177"/>
        <v>1.04</v>
      </c>
      <c r="BX62" s="25">
        <f t="shared" si="137"/>
        <v>3.1199999999999997</v>
      </c>
      <c r="BZ62" s="4">
        <f t="shared" si="178"/>
        <v>63.499999999999986</v>
      </c>
      <c r="CD62" s="9"/>
      <c r="CF62" s="9"/>
      <c r="CG62" s="9"/>
      <c r="CH62" s="9">
        <f t="shared" si="179"/>
        <v>50.8</v>
      </c>
      <c r="CI62" s="9">
        <f t="shared" si="180"/>
        <v>63.499999999999986</v>
      </c>
      <c r="CJ62" s="9">
        <f t="shared" si="70"/>
        <v>1.4623505735569622</v>
      </c>
      <c r="CK62" s="70">
        <v>0</v>
      </c>
      <c r="CL62" s="9">
        <f t="shared" si="71"/>
        <v>0</v>
      </c>
      <c r="CM62" s="9">
        <f t="shared" si="72"/>
        <v>0</v>
      </c>
      <c r="CN62" s="9">
        <f t="shared" si="73"/>
        <v>0.99524931562137331</v>
      </c>
      <c r="CO62" s="9">
        <f t="shared" si="74"/>
        <v>1.056</v>
      </c>
      <c r="CP62" s="9">
        <f t="shared" si="75"/>
        <v>1.9464482686693119</v>
      </c>
      <c r="CQ62" s="9">
        <f t="shared" si="76"/>
        <v>2.8463897420875242</v>
      </c>
      <c r="CR62" s="9">
        <v>1</v>
      </c>
      <c r="CS62" s="9">
        <f t="shared" si="77"/>
        <v>250.48229730370213</v>
      </c>
      <c r="CU62" s="4">
        <f t="shared" si="156"/>
        <v>2.4211324242476784</v>
      </c>
      <c r="CV62" s="4">
        <f t="shared" si="157"/>
        <v>0.7325953836940865</v>
      </c>
      <c r="CW62" s="4">
        <f t="shared" si="158"/>
        <v>2.4424867368613805</v>
      </c>
      <c r="CX62" s="4">
        <f t="shared" si="159"/>
        <v>1.8843647039364</v>
      </c>
      <c r="CY62" s="4">
        <f t="shared" si="160"/>
        <v>1.2108105529790076</v>
      </c>
      <c r="CZ62" s="4">
        <f t="shared" si="161"/>
        <v>1.2156689397553775</v>
      </c>
      <c r="DA62" s="4">
        <f t="shared" si="162"/>
        <v>1.7490759164690128</v>
      </c>
      <c r="DC62" s="4">
        <f t="shared" si="163"/>
        <v>2.4211324242476784</v>
      </c>
      <c r="DD62" s="4">
        <f t="shared" si="163"/>
        <v>0.7325953836940865</v>
      </c>
      <c r="DE62" s="4">
        <f t="shared" si="164"/>
        <v>1.8843647039364</v>
      </c>
      <c r="DF62" s="4">
        <f t="shared" si="181"/>
        <v>1.7490759164690128</v>
      </c>
      <c r="DG62" s="4">
        <f t="shared" si="165"/>
        <v>1.2108105529790076</v>
      </c>
      <c r="DH62" s="4">
        <f t="shared" si="165"/>
        <v>1.2156689397553775</v>
      </c>
      <c r="DP62" s="4">
        <f t="shared" si="182"/>
        <v>0</v>
      </c>
      <c r="DQ62" s="4">
        <f t="shared" si="138"/>
        <v>254</v>
      </c>
      <c r="DR62" s="4">
        <f t="shared" si="139"/>
        <v>0.7</v>
      </c>
      <c r="DT62" s="4">
        <f t="shared" si="81"/>
        <v>1.7601358282256944E-5</v>
      </c>
      <c r="DU62" s="4">
        <f t="shared" si="183"/>
        <v>6.6857562842857838</v>
      </c>
      <c r="DV62" s="4">
        <f t="shared" si="166"/>
        <v>0.29161986457583566</v>
      </c>
      <c r="DW62" s="4">
        <f t="shared" si="83"/>
        <v>4.083921473569565</v>
      </c>
      <c r="DX62" s="4">
        <f t="shared" si="84"/>
        <v>5.5406123899996746</v>
      </c>
      <c r="DY62" s="4">
        <f t="shared" si="140"/>
        <v>6.4187649496664125</v>
      </c>
      <c r="DZ62" s="38">
        <f t="shared" si="86"/>
        <v>389.82151158058434</v>
      </c>
      <c r="EA62" s="4">
        <f t="shared" si="87"/>
        <v>1.0001348124900087</v>
      </c>
      <c r="EB62" s="4">
        <f t="shared" si="167"/>
        <v>3.3749074061372411</v>
      </c>
      <c r="EC62" s="4">
        <f t="shared" si="122"/>
        <v>254.34794172646181</v>
      </c>
      <c r="EG62" s="4">
        <f t="shared" si="88"/>
        <v>0.85</v>
      </c>
      <c r="EH62" s="4">
        <f t="shared" si="89"/>
        <v>0.85000000000000009</v>
      </c>
      <c r="EI62" s="4">
        <f t="shared" si="141"/>
        <v>1</v>
      </c>
      <c r="EJ62" s="4">
        <f t="shared" si="91"/>
        <v>0.85000000000000009</v>
      </c>
      <c r="EL62" s="4">
        <f t="shared" si="142"/>
        <v>388.26360085746535</v>
      </c>
      <c r="EM62" s="25">
        <f t="shared" si="143"/>
        <v>262.95857582217241</v>
      </c>
      <c r="EO62" s="4">
        <f t="shared" si="168"/>
        <v>0.72250000000000003</v>
      </c>
      <c r="EP62" s="4">
        <f t="shared" si="144"/>
        <v>6.6857562842857838</v>
      </c>
      <c r="EQ62" s="4">
        <f t="shared" si="145"/>
        <v>6.028412726414806</v>
      </c>
      <c r="ES62" s="4">
        <f t="shared" si="96"/>
        <v>85.722648115885917</v>
      </c>
      <c r="ET62" s="4">
        <f t="shared" si="184"/>
        <v>3.3749074061372411</v>
      </c>
      <c r="EU62" s="4">
        <f t="shared" si="98"/>
        <v>8.437841924754759E-2</v>
      </c>
      <c r="EX62" s="4">
        <f t="shared" si="185"/>
        <v>8.437841924754759E-2</v>
      </c>
      <c r="EY62" s="4">
        <f t="shared" si="100"/>
        <v>0.291133205372413</v>
      </c>
      <c r="EZ62" s="4">
        <f t="shared" si="186"/>
        <v>4.0811939860169337</v>
      </c>
      <c r="FA62" s="4">
        <f t="shared" si="187"/>
        <v>5.5396113900741408</v>
      </c>
      <c r="FB62" s="4">
        <f t="shared" si="188"/>
        <v>104.77735188411408</v>
      </c>
      <c r="FC62" s="4">
        <f t="shared" si="189"/>
        <v>63.499999999999986</v>
      </c>
      <c r="FD62" s="4">
        <f t="shared" si="105"/>
        <v>1.760135828225694E-5</v>
      </c>
      <c r="FE62" s="4">
        <f t="shared" si="190"/>
        <v>6.4188440713132247</v>
      </c>
      <c r="FF62" s="4">
        <f t="shared" si="146"/>
        <v>389.76896585576924</v>
      </c>
      <c r="FG62" s="4">
        <f t="shared" si="191"/>
        <v>92.077351884114066</v>
      </c>
      <c r="FH62" s="4">
        <f t="shared" si="192"/>
        <v>0</v>
      </c>
      <c r="FJ62" s="4">
        <f t="shared" si="147"/>
        <v>75.267663493280565</v>
      </c>
      <c r="FO62" s="23">
        <f t="shared" si="193"/>
        <v>2.2000000000000002</v>
      </c>
      <c r="FP62" s="23">
        <f t="shared" si="193"/>
        <v>0.8</v>
      </c>
      <c r="FQ62" s="23">
        <f t="shared" si="194"/>
        <v>1.8</v>
      </c>
      <c r="FR62" s="23">
        <f t="shared" si="195"/>
        <v>2</v>
      </c>
      <c r="FS62" s="23">
        <f t="shared" si="169"/>
        <v>1.4</v>
      </c>
      <c r="FT62" s="23">
        <f t="shared" si="169"/>
        <v>1.4</v>
      </c>
      <c r="FU62" s="23">
        <f t="shared" si="196"/>
        <v>0</v>
      </c>
      <c r="FV62" s="23"/>
      <c r="FW62" s="1" t="s">
        <v>50</v>
      </c>
      <c r="FX62">
        <f t="shared" ref="FX62:GC62" si="207">COUNTIF(FO20:FO578,2.2)</f>
        <v>117</v>
      </c>
      <c r="FY62">
        <f t="shared" si="207"/>
        <v>1</v>
      </c>
      <c r="FZ62">
        <f t="shared" si="207"/>
        <v>33</v>
      </c>
      <c r="GA62">
        <f t="shared" si="207"/>
        <v>132</v>
      </c>
      <c r="GB62">
        <f t="shared" si="207"/>
        <v>33</v>
      </c>
      <c r="GC62">
        <f t="shared" si="207"/>
        <v>0</v>
      </c>
      <c r="GF62" s="4">
        <f t="shared" si="111"/>
        <v>1</v>
      </c>
      <c r="GG62" s="4">
        <f t="shared" si="112"/>
        <v>0.85000000000000009</v>
      </c>
      <c r="GH62" s="4">
        <f t="shared" si="113"/>
        <v>0</v>
      </c>
      <c r="GI62" s="4">
        <f t="shared" si="114"/>
        <v>269.85678297649929</v>
      </c>
    </row>
    <row r="63" spans="1:191" ht="12" hidden="1" customHeight="1" x14ac:dyDescent="0.3">
      <c r="A63" s="25">
        <v>44</v>
      </c>
      <c r="B63" s="20" t="s">
        <v>54</v>
      </c>
      <c r="C63" s="20">
        <v>2006</v>
      </c>
      <c r="D63" s="24" t="s">
        <v>55</v>
      </c>
      <c r="E63" s="24"/>
      <c r="F63" s="24"/>
      <c r="G63" s="24"/>
      <c r="H63" s="7" t="s">
        <v>77</v>
      </c>
      <c r="I63" s="7"/>
      <c r="J63" s="7">
        <v>472</v>
      </c>
      <c r="K63" s="7">
        <f>15*25.4</f>
        <v>381</v>
      </c>
      <c r="L63" s="7">
        <f t="shared" si="148"/>
        <v>177.79999999999998</v>
      </c>
      <c r="M63" s="7">
        <v>28</v>
      </c>
      <c r="N63" s="7">
        <v>25.4</v>
      </c>
      <c r="O63" s="7">
        <f t="shared" si="171"/>
        <v>15</v>
      </c>
      <c r="P63" s="7">
        <v>7</v>
      </c>
      <c r="Q63" s="7">
        <f t="shared" si="149"/>
        <v>152.39999999999998</v>
      </c>
      <c r="R63" s="7"/>
      <c r="S63" s="7">
        <f t="shared" si="130"/>
        <v>63.499999999999986</v>
      </c>
      <c r="T63" s="7"/>
      <c r="U63" s="7">
        <f t="shared" si="150"/>
        <v>50.8</v>
      </c>
      <c r="V63" s="7"/>
      <c r="W63" s="7">
        <v>0</v>
      </c>
      <c r="X63" s="7">
        <v>1</v>
      </c>
      <c r="Y63" s="7"/>
      <c r="Z63" s="7"/>
      <c r="AA63" s="7">
        <f t="shared" si="151"/>
        <v>88.899999999999991</v>
      </c>
      <c r="AB63" s="7">
        <f t="shared" si="131"/>
        <v>2.9999999999999996</v>
      </c>
      <c r="AC63" s="7">
        <f t="shared" si="152"/>
        <v>4</v>
      </c>
      <c r="AD63" s="7">
        <v>1.18</v>
      </c>
      <c r="AE63" s="7">
        <f t="shared" si="172"/>
        <v>1.18</v>
      </c>
      <c r="AF63" s="7">
        <f t="shared" si="46"/>
        <v>2.1799999999999997</v>
      </c>
      <c r="AG63" s="7">
        <f t="shared" si="47"/>
        <v>37.502650572992827</v>
      </c>
      <c r="AH63" s="7"/>
      <c r="AI63" s="7"/>
      <c r="AJ63" s="7">
        <v>0</v>
      </c>
      <c r="AK63" s="7"/>
      <c r="AL63" s="7"/>
      <c r="AM63" s="7">
        <v>0</v>
      </c>
      <c r="AN63" s="7">
        <v>0</v>
      </c>
      <c r="AO63" s="7">
        <f t="shared" si="153"/>
        <v>177.79999999999998</v>
      </c>
      <c r="AP63" s="7"/>
      <c r="AQ63" s="7"/>
      <c r="AR63" s="7"/>
      <c r="AS63" s="4">
        <f t="shared" si="125"/>
        <v>381</v>
      </c>
      <c r="AT63" s="44">
        <f t="shared" si="154"/>
        <v>5.9259259259259248E-2</v>
      </c>
      <c r="AU63" s="25">
        <f t="shared" si="132"/>
        <v>776.62106221784506</v>
      </c>
      <c r="AV63" s="4">
        <f t="shared" si="133"/>
        <v>0.74</v>
      </c>
      <c r="AW63" s="4">
        <v>1.25</v>
      </c>
      <c r="AX63" s="25">
        <f t="shared" si="119"/>
        <v>5</v>
      </c>
      <c r="AY63" s="38">
        <f t="shared" si="120"/>
        <v>212.85169853377971</v>
      </c>
      <c r="AZ63" s="38">
        <f t="shared" si="121"/>
        <v>212.85169853377971</v>
      </c>
      <c r="BB63" s="38">
        <f t="shared" si="129"/>
        <v>212.85169853377948</v>
      </c>
      <c r="BC63" s="38">
        <f t="shared" si="52"/>
        <v>1.0000000000000011</v>
      </c>
      <c r="BD63" s="38">
        <f t="shared" si="155"/>
        <v>0.9716969231496575</v>
      </c>
      <c r="BE63" s="4">
        <f t="shared" si="173"/>
        <v>1</v>
      </c>
      <c r="BF63" s="4">
        <f t="shared" si="53"/>
        <v>194.95009660475932</v>
      </c>
      <c r="BG63" s="4">
        <f>MIN(0.6+0.4*(AC63/AB63),2)</f>
        <v>1.1333333333333333</v>
      </c>
      <c r="BH63" s="38">
        <f t="shared" si="55"/>
        <v>206.827340552452</v>
      </c>
      <c r="BI63" s="4">
        <f>MAX(1-0.7*AE63/5,0.3)</f>
        <v>0.83479999999999999</v>
      </c>
      <c r="BJ63" s="4">
        <f t="shared" si="57"/>
        <v>85.033917987353718</v>
      </c>
      <c r="BK63" s="4">
        <f t="shared" si="58"/>
        <v>291.8612585398057</v>
      </c>
      <c r="BM63" s="36">
        <f t="shared" si="134"/>
        <v>1.1000000000000001</v>
      </c>
      <c r="BN63" s="36">
        <f t="shared" si="135"/>
        <v>193.24567576015772</v>
      </c>
      <c r="BS63" s="4">
        <f t="shared" si="174"/>
        <v>63.499999999999986</v>
      </c>
      <c r="BT63" s="4">
        <f t="shared" si="175"/>
        <v>63.499999999999986</v>
      </c>
      <c r="BU63" s="4">
        <f t="shared" si="176"/>
        <v>88.899999999999991</v>
      </c>
      <c r="BV63" s="4">
        <f t="shared" si="136"/>
        <v>76.199999999999989</v>
      </c>
      <c r="BW63" s="4">
        <f t="shared" si="177"/>
        <v>1.04</v>
      </c>
      <c r="BX63" s="25">
        <f t="shared" si="137"/>
        <v>3.1199999999999997</v>
      </c>
      <c r="BZ63" s="4">
        <f t="shared" si="178"/>
        <v>63.499999999999986</v>
      </c>
      <c r="CD63" s="9"/>
      <c r="CF63" s="9"/>
      <c r="CG63" s="9"/>
      <c r="CH63" s="9">
        <f>IF(W63=0,MIN(S63,U63),MIN(W63/2,S63,U63))</f>
        <v>50.8</v>
      </c>
      <c r="CI63" s="9">
        <f>MAX(W63/2,S63)</f>
        <v>63.499999999999986</v>
      </c>
      <c r="CJ63" s="9">
        <f t="shared" si="70"/>
        <v>1.4623505735569622</v>
      </c>
      <c r="CK63" s="70">
        <v>0</v>
      </c>
      <c r="CL63" s="9">
        <f t="shared" si="71"/>
        <v>0</v>
      </c>
      <c r="CM63" s="9">
        <f t="shared" si="72"/>
        <v>0</v>
      </c>
      <c r="CN63" s="9">
        <f t="shared" si="73"/>
        <v>0.99524931562137331</v>
      </c>
      <c r="CO63" s="9">
        <f t="shared" si="74"/>
        <v>1.056</v>
      </c>
      <c r="CP63" s="9">
        <f t="shared" si="75"/>
        <v>1.9464482686693119</v>
      </c>
      <c r="CQ63" s="9">
        <f t="shared" si="76"/>
        <v>2.8463897420875242</v>
      </c>
      <c r="CR63" s="9">
        <v>1</v>
      </c>
      <c r="CS63" s="9">
        <f t="shared" si="77"/>
        <v>250.48229730370213</v>
      </c>
      <c r="DP63" s="4">
        <f t="shared" si="182"/>
        <v>0</v>
      </c>
      <c r="DQ63" s="4">
        <f t="shared" si="138"/>
        <v>381</v>
      </c>
      <c r="DR63" s="4">
        <f t="shared" si="139"/>
        <v>0.46666666666666662</v>
      </c>
      <c r="DT63" s="4">
        <f t="shared" si="81"/>
        <v>2.6402037423385414E-5</v>
      </c>
      <c r="DU63" s="4">
        <f t="shared" si="183"/>
        <v>6.6857562842857838</v>
      </c>
      <c r="DV63" s="4">
        <f t="shared" si="166"/>
        <v>0.9400823991177234</v>
      </c>
      <c r="DW63" s="4">
        <f t="shared" si="83"/>
        <v>6.5225423839155505</v>
      </c>
      <c r="DX63" s="4">
        <f t="shared" si="84"/>
        <v>6.6046535278620073</v>
      </c>
      <c r="DY63" s="4">
        <f t="shared" si="140"/>
        <v>5.9210154692863419</v>
      </c>
      <c r="DZ63" s="38">
        <f t="shared" si="86"/>
        <v>397.32998405897229</v>
      </c>
      <c r="EA63" s="4">
        <f t="shared" si="87"/>
        <v>1.0002672863210411</v>
      </c>
      <c r="EB63" s="4">
        <f t="shared" si="167"/>
        <v>1.4764823060233399</v>
      </c>
      <c r="EC63" s="4">
        <f t="shared" si="122"/>
        <v>212.85169853377948</v>
      </c>
      <c r="EG63" s="4">
        <f t="shared" si="88"/>
        <v>0.85</v>
      </c>
      <c r="EH63" s="4">
        <f t="shared" si="89"/>
        <v>0.85000000000000009</v>
      </c>
      <c r="EI63" s="4">
        <f t="shared" si="141"/>
        <v>1</v>
      </c>
      <c r="EJ63" s="4">
        <f t="shared" si="91"/>
        <v>0.85000000000000009</v>
      </c>
      <c r="EL63" s="4">
        <f t="shared" si="142"/>
        <v>309.73118092328752</v>
      </c>
      <c r="EM63" s="25">
        <f t="shared" si="143"/>
        <v>209.93356079366291</v>
      </c>
      <c r="EO63" s="4">
        <f t="shared" si="168"/>
        <v>0.72250000000000003</v>
      </c>
      <c r="EP63" s="4">
        <f t="shared" si="144"/>
        <v>6.6857562842857838</v>
      </c>
      <c r="EQ63" s="4">
        <f t="shared" si="145"/>
        <v>6.028412726414806</v>
      </c>
      <c r="ES63" s="4">
        <f t="shared" si="96"/>
        <v>37.502650572992827</v>
      </c>
      <c r="ET63" s="4">
        <f t="shared" si="184"/>
        <v>1.4764823060233399</v>
      </c>
      <c r="EU63" s="4">
        <f t="shared" si="98"/>
        <v>0.27200707645678157</v>
      </c>
      <c r="EX63" s="4">
        <f t="shared" si="185"/>
        <v>0.27200707645678157</v>
      </c>
      <c r="EY63" s="4">
        <f t="shared" si="100"/>
        <v>0.93851357680113745</v>
      </c>
      <c r="EZ63" s="4">
        <f t="shared" si="186"/>
        <v>6.5181862391466634</v>
      </c>
      <c r="FA63" s="4">
        <f>EP63/1.4*(1-EY63^1.4)/(1-EY63)</f>
        <v>6.602502902959194</v>
      </c>
      <c r="FB63" s="4">
        <f t="shared" si="188"/>
        <v>248.24734942700718</v>
      </c>
      <c r="FC63" s="4">
        <f t="shared" si="189"/>
        <v>95.25</v>
      </c>
      <c r="FD63" s="4">
        <f t="shared" si="105"/>
        <v>2.6402037423385414E-5</v>
      </c>
      <c r="FE63" s="4">
        <f>MAX(0.5*EP63, (1-2*FD63*(ES63*EZ63+FB63*FA63))/(1/EP63+FD63*FC63))</f>
        <v>5.9212575541952805</v>
      </c>
      <c r="FF63" s="4">
        <f t="shared" si="146"/>
        <v>397.22381156774838</v>
      </c>
      <c r="FG63" s="4">
        <f t="shared" si="191"/>
        <v>140.29734942700716</v>
      </c>
      <c r="FH63" s="4">
        <f t="shared" si="192"/>
        <v>0</v>
      </c>
      <c r="FJ63" s="4">
        <f t="shared" si="147"/>
        <v>201.06141266323561</v>
      </c>
      <c r="FO63" s="23"/>
      <c r="FP63" s="23"/>
      <c r="FQ63" s="23"/>
      <c r="FR63" s="23"/>
      <c r="FS63" s="23"/>
      <c r="FT63" s="23"/>
      <c r="FU63" s="23"/>
      <c r="FV63" s="23"/>
      <c r="FW63"/>
      <c r="FX63"/>
      <c r="FY63"/>
      <c r="FZ63"/>
      <c r="GA63"/>
      <c r="GB63"/>
      <c r="GC63"/>
      <c r="GF63" s="4">
        <f t="shared" si="111"/>
        <v>1</v>
      </c>
      <c r="GG63" s="4">
        <f t="shared" si="112"/>
        <v>0.85000000000000009</v>
      </c>
      <c r="GH63" s="4">
        <f t="shared" si="113"/>
        <v>0</v>
      </c>
      <c r="GI63" s="4">
        <f t="shared" si="114"/>
        <v>404.78517446474899</v>
      </c>
    </row>
    <row r="64" spans="1:191" ht="12" hidden="1" customHeight="1" x14ac:dyDescent="0.3">
      <c r="A64" s="25">
        <v>45</v>
      </c>
      <c r="B64" s="20" t="s">
        <v>54</v>
      </c>
      <c r="C64" s="20">
        <v>2006</v>
      </c>
      <c r="D64" s="24" t="s">
        <v>55</v>
      </c>
      <c r="E64" s="24"/>
      <c r="F64" s="24"/>
      <c r="G64" s="24"/>
      <c r="H64" s="7" t="s">
        <v>69</v>
      </c>
      <c r="I64" s="7"/>
      <c r="J64" s="7">
        <v>472</v>
      </c>
      <c r="K64" s="7">
        <f t="shared" ref="K64:K74" si="208">15*25.4</f>
        <v>381</v>
      </c>
      <c r="L64" s="7">
        <f t="shared" si="148"/>
        <v>177.79999999999998</v>
      </c>
      <c r="M64" s="7">
        <v>28</v>
      </c>
      <c r="N64" s="7">
        <v>25.4</v>
      </c>
      <c r="O64" s="7">
        <f t="shared" si="171"/>
        <v>15</v>
      </c>
      <c r="P64" s="7">
        <v>7</v>
      </c>
      <c r="Q64" s="7">
        <f t="shared" si="149"/>
        <v>152.39999999999998</v>
      </c>
      <c r="R64" s="7"/>
      <c r="S64" s="7">
        <f t="shared" si="130"/>
        <v>63.499999999999986</v>
      </c>
      <c r="T64" s="7"/>
      <c r="U64" s="7">
        <f t="shared" si="150"/>
        <v>50.8</v>
      </c>
      <c r="V64" s="7"/>
      <c r="W64" s="7">
        <v>0</v>
      </c>
      <c r="X64" s="7">
        <v>1</v>
      </c>
      <c r="Y64" s="7"/>
      <c r="Z64" s="7"/>
      <c r="AA64" s="7">
        <f t="shared" si="151"/>
        <v>88.899999999999991</v>
      </c>
      <c r="AB64" s="7">
        <f t="shared" si="131"/>
        <v>2.9999999999999996</v>
      </c>
      <c r="AC64" s="7">
        <f t="shared" si="152"/>
        <v>4</v>
      </c>
      <c r="AD64" s="7">
        <v>1.85</v>
      </c>
      <c r="AE64" s="7">
        <f t="shared" si="172"/>
        <v>1.85</v>
      </c>
      <c r="AF64" s="7">
        <f t="shared" si="46"/>
        <v>2.85</v>
      </c>
      <c r="AG64" s="7">
        <f t="shared" si="47"/>
        <v>42.880135260980694</v>
      </c>
      <c r="AH64" s="7"/>
      <c r="AI64" s="7"/>
      <c r="AJ64" s="7">
        <v>0</v>
      </c>
      <c r="AK64" s="7"/>
      <c r="AL64" s="7"/>
      <c r="AM64" s="7">
        <v>0</v>
      </c>
      <c r="AN64" s="7">
        <v>0</v>
      </c>
      <c r="AO64" s="7">
        <f t="shared" si="153"/>
        <v>177.79999999999998</v>
      </c>
      <c r="AP64" s="7"/>
      <c r="AQ64" s="7"/>
      <c r="AR64" s="7"/>
      <c r="AS64" s="4">
        <f t="shared" si="125"/>
        <v>381</v>
      </c>
      <c r="AT64" s="44">
        <f t="shared" si="154"/>
        <v>5.9259259259259248E-2</v>
      </c>
      <c r="AU64" s="25">
        <f t="shared" si="132"/>
        <v>776.62106221784506</v>
      </c>
      <c r="AV64" s="4">
        <f t="shared" si="133"/>
        <v>0.74</v>
      </c>
      <c r="AW64" s="4">
        <v>1.25</v>
      </c>
      <c r="AX64" s="25">
        <f t="shared" si="119"/>
        <v>5</v>
      </c>
      <c r="AY64" s="38">
        <f t="shared" si="120"/>
        <v>212.85169853377971</v>
      </c>
      <c r="AZ64" s="38">
        <f t="shared" si="121"/>
        <v>212.85169853377971</v>
      </c>
      <c r="BB64" s="38">
        <f t="shared" si="129"/>
        <v>212.85169853377948</v>
      </c>
      <c r="BC64" s="38">
        <f t="shared" si="52"/>
        <v>1.0000000000000011</v>
      </c>
      <c r="BD64" s="38">
        <f t="shared" si="155"/>
        <v>1.2166780921657716</v>
      </c>
      <c r="BE64" s="4">
        <f t="shared" si="173"/>
        <v>0</v>
      </c>
      <c r="BF64" s="4">
        <f t="shared" si="53"/>
        <v>194.95009660475932</v>
      </c>
      <c r="BG64" s="4">
        <f>MIN(0.6+0.4*(AC64/AB64),2)</f>
        <v>1.1333333333333333</v>
      </c>
      <c r="BH64" s="38">
        <f t="shared" si="55"/>
        <v>258.97199848632278</v>
      </c>
      <c r="BI64" s="4">
        <f>MAX(1-0.7*AE64/5,0.3)</f>
        <v>0.74099999999999999</v>
      </c>
      <c r="BJ64" s="4">
        <f t="shared" si="57"/>
        <v>75.479316277706175</v>
      </c>
      <c r="BK64" s="4">
        <f t="shared" si="58"/>
        <v>334.45131476402895</v>
      </c>
      <c r="BM64" s="36">
        <f t="shared" si="134"/>
        <v>1.1000000000000001</v>
      </c>
      <c r="BN64" s="36">
        <f t="shared" si="135"/>
        <v>193.24567576015772</v>
      </c>
      <c r="BS64" s="4">
        <f t="shared" si="174"/>
        <v>63.499999999999986</v>
      </c>
      <c r="BT64" s="4">
        <f t="shared" si="175"/>
        <v>63.499999999999986</v>
      </c>
      <c r="BU64" s="4">
        <f t="shared" si="176"/>
        <v>88.899999999999991</v>
      </c>
      <c r="BV64" s="4">
        <f t="shared" si="136"/>
        <v>76.199999999999989</v>
      </c>
      <c r="BW64" s="4">
        <f t="shared" si="177"/>
        <v>1.04</v>
      </c>
      <c r="BX64" s="25">
        <f t="shared" si="137"/>
        <v>3.1199999999999997</v>
      </c>
      <c r="BZ64" s="4">
        <f t="shared" si="178"/>
        <v>63.499999999999986</v>
      </c>
      <c r="CD64" s="9"/>
      <c r="CF64" s="9"/>
      <c r="CG64" s="9"/>
      <c r="CH64" s="9">
        <f>IF(W64=0,MIN(S64,U64),MIN(W64/2,S64,U64))</f>
        <v>50.8</v>
      </c>
      <c r="CI64" s="9">
        <f>MAX(W64/2,S64)</f>
        <v>63.499999999999986</v>
      </c>
      <c r="CJ64" s="9">
        <f t="shared" si="70"/>
        <v>1.4623505735569622</v>
      </c>
      <c r="CK64" s="70">
        <v>0</v>
      </c>
      <c r="CL64" s="9">
        <f t="shared" si="71"/>
        <v>0</v>
      </c>
      <c r="CM64" s="9">
        <f t="shared" si="72"/>
        <v>0</v>
      </c>
      <c r="CN64" s="9">
        <f t="shared" si="73"/>
        <v>0.99524931562137331</v>
      </c>
      <c r="CO64" s="9">
        <f t="shared" si="74"/>
        <v>1.056</v>
      </c>
      <c r="CP64" s="9">
        <f t="shared" si="75"/>
        <v>1.9464482686693119</v>
      </c>
      <c r="CQ64" s="9">
        <f t="shared" si="76"/>
        <v>2.8463897420875242</v>
      </c>
      <c r="CR64" s="9">
        <v>1</v>
      </c>
      <c r="CS64" s="9">
        <f t="shared" si="77"/>
        <v>250.48229730370213</v>
      </c>
      <c r="DP64" s="4">
        <f t="shared" si="182"/>
        <v>0</v>
      </c>
      <c r="DQ64" s="4">
        <f t="shared" si="138"/>
        <v>381</v>
      </c>
      <c r="DR64" s="4">
        <f t="shared" si="139"/>
        <v>0.46666666666666662</v>
      </c>
      <c r="DT64" s="4">
        <f t="shared" si="81"/>
        <v>2.6402037423385414E-5</v>
      </c>
      <c r="DU64" s="4">
        <f t="shared" si="183"/>
        <v>6.6857562842857838</v>
      </c>
      <c r="DV64" s="4">
        <f t="shared" si="166"/>
        <v>0.68559932873052221</v>
      </c>
      <c r="DW64" s="4">
        <f t="shared" si="83"/>
        <v>5.7488197873479097</v>
      </c>
      <c r="DX64" s="4">
        <f t="shared" si="84"/>
        <v>6.2349223865162244</v>
      </c>
      <c r="DY64" s="4">
        <f t="shared" si="140"/>
        <v>5.9638650161149709</v>
      </c>
      <c r="DZ64" s="38">
        <f t="shared" si="86"/>
        <v>384.17396911408935</v>
      </c>
      <c r="EA64" s="4">
        <f t="shared" si="87"/>
        <v>1.0002356530690875</v>
      </c>
      <c r="EB64" s="4">
        <f t="shared" si="167"/>
        <v>1.6881943016134133</v>
      </c>
      <c r="EC64" s="4">
        <f t="shared" si="122"/>
        <v>212.85169853377948</v>
      </c>
      <c r="EG64" s="4">
        <f t="shared" si="88"/>
        <v>0.85</v>
      </c>
      <c r="EH64" s="4">
        <f t="shared" si="89"/>
        <v>0.85000000000000009</v>
      </c>
      <c r="EI64" s="4">
        <f t="shared" si="141"/>
        <v>1</v>
      </c>
      <c r="EJ64" s="4">
        <f t="shared" si="91"/>
        <v>0.85000000000000009</v>
      </c>
      <c r="EL64" s="4">
        <f t="shared" si="142"/>
        <v>315.36792408353995</v>
      </c>
      <c r="EM64" s="25">
        <f t="shared" si="143"/>
        <v>209.93356079366291</v>
      </c>
      <c r="EO64" s="4">
        <f t="shared" si="168"/>
        <v>0.72250000000000003</v>
      </c>
      <c r="EP64" s="4">
        <f t="shared" si="144"/>
        <v>6.6857562842857838</v>
      </c>
      <c r="EQ64" s="4">
        <f t="shared" si="145"/>
        <v>6.028412726414806</v>
      </c>
      <c r="ES64" s="4">
        <f t="shared" si="96"/>
        <v>42.880135260980694</v>
      </c>
      <c r="ET64" s="4">
        <f t="shared" si="184"/>
        <v>1.6881943016134133</v>
      </c>
      <c r="EU64" s="4">
        <f t="shared" si="98"/>
        <v>0.19837396083975403</v>
      </c>
      <c r="EX64" s="4">
        <f t="shared" si="185"/>
        <v>0.19837396083975403</v>
      </c>
      <c r="EY64" s="4">
        <f t="shared" si="100"/>
        <v>0.68445519122921572</v>
      </c>
      <c r="EZ64" s="4">
        <f t="shared" si="186"/>
        <v>5.7449803809063837</v>
      </c>
      <c r="FA64" s="4">
        <f>EP64/1.4*(1-EY64^1.4)/(1-EY64)</f>
        <v>6.2331528620769934</v>
      </c>
      <c r="FB64" s="4">
        <f t="shared" si="188"/>
        <v>242.86986473901931</v>
      </c>
      <c r="FC64" s="4">
        <f t="shared" si="189"/>
        <v>95.25</v>
      </c>
      <c r="FD64" s="4">
        <f t="shared" si="105"/>
        <v>2.6402037423385414E-5</v>
      </c>
      <c r="FE64" s="4">
        <f>MAX(0.5*EP64, (1-2*FD64*(ES64*EZ64+FB64*FA64))/(1/EP64+FD64*FC64))</f>
        <v>5.9640713898449462</v>
      </c>
      <c r="FF64" s="4">
        <f t="shared" si="146"/>
        <v>384.08345866826846</v>
      </c>
      <c r="FG64" s="4">
        <f t="shared" si="191"/>
        <v>134.91986473901929</v>
      </c>
      <c r="FH64" s="4">
        <f t="shared" si="192"/>
        <v>0</v>
      </c>
      <c r="FJ64" s="4">
        <f t="shared" si="147"/>
        <v>195.42466950298319</v>
      </c>
      <c r="FO64" s="23"/>
      <c r="FP64" s="23"/>
      <c r="FQ64" s="23"/>
      <c r="FR64" s="23"/>
      <c r="FS64" s="23"/>
      <c r="FT64" s="23"/>
      <c r="FU64" s="23"/>
      <c r="FV64" s="23"/>
      <c r="FW64"/>
      <c r="FX64"/>
      <c r="FY64"/>
      <c r="FZ64"/>
      <c r="GA64"/>
      <c r="GB64"/>
      <c r="GC64"/>
      <c r="GF64" s="4">
        <f t="shared" si="111"/>
        <v>1</v>
      </c>
      <c r="GG64" s="4">
        <f t="shared" si="112"/>
        <v>0.85000000000000009</v>
      </c>
      <c r="GH64" s="4">
        <f t="shared" si="113"/>
        <v>0</v>
      </c>
      <c r="GI64" s="4">
        <f t="shared" si="114"/>
        <v>404.78517446474899</v>
      </c>
    </row>
    <row r="65" spans="1:193" ht="12" hidden="1" customHeight="1" x14ac:dyDescent="0.3">
      <c r="A65" s="25">
        <v>46</v>
      </c>
      <c r="B65" s="20" t="s">
        <v>54</v>
      </c>
      <c r="C65" s="20">
        <v>2006</v>
      </c>
      <c r="D65" s="24" t="s">
        <v>55</v>
      </c>
      <c r="E65" s="24"/>
      <c r="F65" s="24"/>
      <c r="G65" s="24"/>
      <c r="H65" s="7" t="s">
        <v>69</v>
      </c>
      <c r="I65" s="7"/>
      <c r="J65" s="7">
        <v>472</v>
      </c>
      <c r="K65" s="7">
        <f t="shared" si="208"/>
        <v>381</v>
      </c>
      <c r="L65" s="7">
        <f t="shared" si="148"/>
        <v>177.79999999999998</v>
      </c>
      <c r="M65" s="7">
        <v>21</v>
      </c>
      <c r="N65" s="7">
        <v>25.4</v>
      </c>
      <c r="O65" s="7">
        <f t="shared" si="171"/>
        <v>15</v>
      </c>
      <c r="P65" s="7">
        <v>7</v>
      </c>
      <c r="Q65" s="7">
        <f t="shared" si="149"/>
        <v>152.39999999999998</v>
      </c>
      <c r="R65" s="7"/>
      <c r="S65" s="7">
        <f t="shared" si="130"/>
        <v>63.499999999999986</v>
      </c>
      <c r="T65" s="7"/>
      <c r="U65" s="7">
        <f t="shared" si="150"/>
        <v>50.8</v>
      </c>
      <c r="V65" s="7"/>
      <c r="W65" s="7">
        <v>0</v>
      </c>
      <c r="X65" s="7">
        <v>1</v>
      </c>
      <c r="Y65" s="7"/>
      <c r="Z65" s="7"/>
      <c r="AA65" s="7">
        <f t="shared" si="151"/>
        <v>88.899999999999991</v>
      </c>
      <c r="AB65" s="7">
        <f t="shared" si="131"/>
        <v>2.9999999999999996</v>
      </c>
      <c r="AC65" s="7">
        <f t="shared" si="152"/>
        <v>4</v>
      </c>
      <c r="AD65" s="7">
        <v>1.85</v>
      </c>
      <c r="AE65" s="7">
        <f t="shared" si="172"/>
        <v>1.85</v>
      </c>
      <c r="AF65" s="7">
        <f t="shared" si="46"/>
        <v>2.85</v>
      </c>
      <c r="AG65" s="7">
        <f t="shared" si="47"/>
        <v>42.880135260980694</v>
      </c>
      <c r="AH65" s="7"/>
      <c r="AI65" s="7"/>
      <c r="AJ65" s="7">
        <v>420</v>
      </c>
      <c r="AK65" s="7"/>
      <c r="AL65" s="7"/>
      <c r="AM65" s="7">
        <v>0</v>
      </c>
      <c r="AN65" s="7">
        <v>0</v>
      </c>
      <c r="AO65" s="7">
        <f t="shared" si="153"/>
        <v>177.79999999999998</v>
      </c>
      <c r="AP65" s="7"/>
      <c r="AQ65" s="7"/>
      <c r="AR65" s="7"/>
      <c r="AS65" s="4">
        <f t="shared" si="125"/>
        <v>381</v>
      </c>
      <c r="AT65" s="44">
        <f t="shared" si="154"/>
        <v>5.9259259259259248E-2</v>
      </c>
      <c r="AU65" s="25">
        <f t="shared" si="132"/>
        <v>672.57356899470892</v>
      </c>
      <c r="AV65" s="4">
        <f t="shared" si="133"/>
        <v>0.74</v>
      </c>
      <c r="AW65" s="4">
        <v>1.25</v>
      </c>
      <c r="AX65" s="25">
        <f t="shared" si="119"/>
        <v>5</v>
      </c>
      <c r="AY65" s="38">
        <f t="shared" si="120"/>
        <v>184.3349781689202</v>
      </c>
      <c r="AZ65" s="38">
        <f t="shared" si="121"/>
        <v>184.3349781689202</v>
      </c>
      <c r="BB65" s="38">
        <f t="shared" si="129"/>
        <v>184.33497816892</v>
      </c>
      <c r="BC65" s="38">
        <f t="shared" si="52"/>
        <v>1.0000000000000011</v>
      </c>
      <c r="BD65" s="38">
        <f t="shared" si="155"/>
        <v>1.0536741360435427</v>
      </c>
      <c r="BE65" s="4">
        <f t="shared" si="173"/>
        <v>0</v>
      </c>
      <c r="BF65" s="4">
        <f t="shared" si="53"/>
        <v>168.83173612995199</v>
      </c>
      <c r="BG65" s="4">
        <f>MIN(0.6+0.4*(AC65/AB65),2)</f>
        <v>1.1333333333333333</v>
      </c>
      <c r="BH65" s="38">
        <f t="shared" si="55"/>
        <v>194.22899886474207</v>
      </c>
      <c r="BI65" s="4">
        <f>MAX(1-0.7*AE65/5,0.3)</f>
        <v>0.74099999999999999</v>
      </c>
      <c r="BJ65" s="4">
        <f t="shared" si="57"/>
        <v>65.367005356773845</v>
      </c>
      <c r="BK65" s="4">
        <f t="shared" si="58"/>
        <v>259.5960042215159</v>
      </c>
      <c r="BM65" s="36">
        <f t="shared" si="134"/>
        <v>1.1000000000000001</v>
      </c>
      <c r="BN65" s="36">
        <f t="shared" si="135"/>
        <v>167.35566437978727</v>
      </c>
      <c r="BS65" s="4">
        <f t="shared" si="174"/>
        <v>63.499999999999986</v>
      </c>
      <c r="BT65" s="4">
        <f t="shared" si="175"/>
        <v>63.499999999999986</v>
      </c>
      <c r="BU65" s="4">
        <f t="shared" si="176"/>
        <v>88.899999999999991</v>
      </c>
      <c r="BV65" s="4">
        <f t="shared" si="136"/>
        <v>76.199999999999989</v>
      </c>
      <c r="BW65" s="4">
        <f t="shared" si="177"/>
        <v>1.04</v>
      </c>
      <c r="BX65" s="25">
        <f t="shared" si="137"/>
        <v>3.1199999999999997</v>
      </c>
      <c r="BZ65" s="4">
        <f t="shared" si="178"/>
        <v>63.499999999999986</v>
      </c>
      <c r="CD65" s="9"/>
      <c r="CF65" s="9"/>
      <c r="CG65" s="9"/>
      <c r="CH65" s="9">
        <f>IF(W65=0,MIN(S65,U65),MIN(W65/2,S65,U65))</f>
        <v>50.8</v>
      </c>
      <c r="CI65" s="9">
        <f>MAX(W65/2,S65)</f>
        <v>63.499999999999986</v>
      </c>
      <c r="CJ65" s="9">
        <f t="shared" si="70"/>
        <v>1.4623505735569622</v>
      </c>
      <c r="CK65" s="70">
        <v>0</v>
      </c>
      <c r="CL65" s="9">
        <f t="shared" si="71"/>
        <v>0</v>
      </c>
      <c r="CM65" s="9">
        <f t="shared" si="72"/>
        <v>0</v>
      </c>
      <c r="CN65" s="9">
        <f t="shared" si="73"/>
        <v>0.99524931562137331</v>
      </c>
      <c r="CO65" s="9">
        <f t="shared" si="74"/>
        <v>1.056</v>
      </c>
      <c r="CP65" s="9">
        <f t="shared" si="75"/>
        <v>1.6856736478198622</v>
      </c>
      <c r="CQ65" s="9">
        <f t="shared" si="76"/>
        <v>2.465045825719232</v>
      </c>
      <c r="CR65" s="9">
        <v>1</v>
      </c>
      <c r="CS65" s="9">
        <f t="shared" si="77"/>
        <v>216.92403266329242</v>
      </c>
      <c r="CU65" s="4">
        <f t="shared" ref="CU65:CU117" si="209">AJ65/BF65</f>
        <v>2.4876839486903131</v>
      </c>
      <c r="CV65" s="4">
        <f t="shared" ref="CV65:CV104" si="210">AJ65/BK65</f>
        <v>1.6178985545617635</v>
      </c>
      <c r="CW65" s="4">
        <f t="shared" ref="CW65:CW138" si="211">AJ65/BN65</f>
        <v>2.5096252436778972</v>
      </c>
      <c r="CX65" s="4">
        <f t="shared" ref="CX65:CX117" si="212">AJ65/CS65</f>
        <v>1.9361616822416368</v>
      </c>
      <c r="CY65" s="4">
        <f t="shared" ref="CY65:CY138" si="213">AJ65/DZ65</f>
        <v>1.2439497251559821</v>
      </c>
      <c r="CZ65" s="4">
        <f t="shared" ref="CZ65:CZ138" si="214">AJ65/EL65</f>
        <v>1.5595184773545239</v>
      </c>
      <c r="DA65" s="4">
        <f t="shared" si="162"/>
        <v>1.1149602303559443</v>
      </c>
      <c r="DC65" s="4">
        <f t="shared" ref="DC65:DD127" si="215">CU65</f>
        <v>2.4876839486903131</v>
      </c>
      <c r="DD65" s="4">
        <f t="shared" si="215"/>
        <v>1.6178985545617635</v>
      </c>
      <c r="DE65" s="4">
        <f t="shared" ref="DE65:DE128" si="216">CX65</f>
        <v>1.9361616822416368</v>
      </c>
      <c r="DF65" s="4">
        <f t="shared" ref="DF65:DF89" si="217">DA65</f>
        <v>1.1149602303559443</v>
      </c>
      <c r="DG65" s="4">
        <f t="shared" ref="DG65:DH127" si="218">CY65</f>
        <v>1.2439497251559821</v>
      </c>
      <c r="DH65" s="4">
        <f t="shared" si="218"/>
        <v>1.5595184773545239</v>
      </c>
      <c r="DP65" s="4">
        <f t="shared" si="182"/>
        <v>0</v>
      </c>
      <c r="DQ65" s="4">
        <f t="shared" si="138"/>
        <v>381</v>
      </c>
      <c r="DR65" s="4">
        <f t="shared" si="139"/>
        <v>0.46666666666666662</v>
      </c>
      <c r="DT65" s="4">
        <f t="shared" si="81"/>
        <v>2.5033311258542346E-5</v>
      </c>
      <c r="DU65" s="4">
        <f t="shared" si="183"/>
        <v>5.7900347857029448</v>
      </c>
      <c r="DV65" s="4">
        <f t="shared" si="166"/>
        <v>0.79166191399758756</v>
      </c>
      <c r="DW65" s="4">
        <f t="shared" si="83"/>
        <v>5.2734772127144325</v>
      </c>
      <c r="DX65" s="4">
        <f t="shared" si="84"/>
        <v>5.5377835718020325</v>
      </c>
      <c r="DY65" s="4">
        <f t="shared" si="140"/>
        <v>5.2619500758916633</v>
      </c>
      <c r="DZ65" s="38">
        <f t="shared" si="86"/>
        <v>337.63422388098127</v>
      </c>
      <c r="EA65" s="4">
        <f t="shared" si="87"/>
        <v>1.0002533360754802</v>
      </c>
      <c r="EB65" s="4">
        <f t="shared" si="167"/>
        <v>1.6881943016134133</v>
      </c>
      <c r="EC65" s="4">
        <f t="shared" si="122"/>
        <v>184.33497816892</v>
      </c>
      <c r="EG65" s="4">
        <f t="shared" si="88"/>
        <v>0.85</v>
      </c>
      <c r="EH65" s="4">
        <f t="shared" si="89"/>
        <v>0.85000000000000009</v>
      </c>
      <c r="EI65" s="4">
        <f t="shared" si="141"/>
        <v>1</v>
      </c>
      <c r="EJ65" s="4">
        <f t="shared" si="91"/>
        <v>0.85000000000000009</v>
      </c>
      <c r="EL65" s="4">
        <f t="shared" si="142"/>
        <v>269.31389791063168</v>
      </c>
      <c r="EM65" s="25">
        <f t="shared" si="143"/>
        <v>181.80779675423688</v>
      </c>
      <c r="EO65" s="4">
        <f t="shared" si="168"/>
        <v>0.72250000000000003</v>
      </c>
      <c r="EP65" s="4">
        <f t="shared" si="144"/>
        <v>5.7900347857029448</v>
      </c>
      <c r="EQ65" s="4">
        <f t="shared" si="145"/>
        <v>5.2207585655726314</v>
      </c>
      <c r="ES65" s="4">
        <f t="shared" si="96"/>
        <v>42.880135260980694</v>
      </c>
      <c r="ET65" s="4">
        <f t="shared" si="184"/>
        <v>1.6881943016134133</v>
      </c>
      <c r="EU65" s="4">
        <f t="shared" si="98"/>
        <v>0.19837396083975409</v>
      </c>
      <c r="EX65" s="4">
        <f t="shared" si="185"/>
        <v>0.19837396083975409</v>
      </c>
      <c r="EY65" s="4">
        <f t="shared" si="100"/>
        <v>0.79034077780884915</v>
      </c>
      <c r="EZ65" s="4">
        <f t="shared" si="186"/>
        <v>5.2699552685365516</v>
      </c>
      <c r="FA65" s="4">
        <f>EP65/1.4*(1-EY65^1.4)/(1-EY65)</f>
        <v>5.5361069902159068</v>
      </c>
      <c r="FB65" s="4">
        <f t="shared" si="188"/>
        <v>242.86986473901931</v>
      </c>
      <c r="FC65" s="4">
        <f t="shared" si="189"/>
        <v>95.25</v>
      </c>
      <c r="FD65" s="4">
        <f t="shared" si="105"/>
        <v>2.5033311258542346E-5</v>
      </c>
      <c r="FE65" s="4">
        <f>MAX(0.5*EP65, (1-2*FD65*(ES65*EZ65+FB65*FA65))/(1/EP65+FD65*FC65))</f>
        <v>5.2621096911044809</v>
      </c>
      <c r="FF65" s="4">
        <f t="shared" si="146"/>
        <v>337.54871061535061</v>
      </c>
      <c r="FG65" s="4">
        <f t="shared" si="191"/>
        <v>134.91986473901929</v>
      </c>
      <c r="FH65" s="4">
        <f t="shared" si="192"/>
        <v>0</v>
      </c>
      <c r="FJ65" s="4">
        <f t="shared" si="147"/>
        <v>173.04546420023769</v>
      </c>
      <c r="FO65" s="23">
        <f t="shared" ref="FO65:FP117" si="219">IF(CU65&lt;0.6,0.6,IF(CU65&lt;0.8,0.8,IF(CU65&lt;1,1,IF(CU65&lt;1.2,1.2,IF(CU65&lt;1.4,1.4,IF(CU65&lt;1.6,1.6,IF(CU65&lt;1.8,1.8,IF(CU65&lt;2,2,2.2))))))))</f>
        <v>2.2000000000000002</v>
      </c>
      <c r="FP65" s="23">
        <f t="shared" si="219"/>
        <v>1.8</v>
      </c>
      <c r="FQ65" s="23">
        <f>IF(DA65&lt;0.6,0.6,IF(DA65&lt;0.8,0.8,IF(DA65&lt;1,1,IF(DA65&lt;1.2,1.2,IF(DA65&lt;1.4,1.4,IF(DA65&lt;1.6,1.6,IF(DA65&lt;1.8,1.8,IF(DA65&lt;2,2,2.2))))))))</f>
        <v>1.2</v>
      </c>
      <c r="FR65" s="23">
        <f t="shared" ref="FR65:FT117" si="220">IF(CX65&lt;0.6,0.6,IF(CX65&lt;0.8,0.8,IF(CX65&lt;1,1,IF(CX65&lt;1.2,1.2,IF(CX65&lt;1.4,1.4,IF(CX65&lt;1.6,1.6,IF(CX65&lt;1.8,1.8,IF(CX65&lt;2,2,2.2))))))))</f>
        <v>2</v>
      </c>
      <c r="FS65" s="23">
        <f t="shared" si="220"/>
        <v>1.4</v>
      </c>
      <c r="FT65" s="23">
        <f t="shared" si="220"/>
        <v>1.6</v>
      </c>
      <c r="FU65" s="23">
        <f t="shared" ref="FU65:FU138" si="221">IF(FS65&lt;1,1,0)</f>
        <v>0</v>
      </c>
      <c r="FV65" s="23"/>
      <c r="FW65"/>
      <c r="FX65">
        <f t="shared" ref="FX65:GC65" si="222">SUM(FX54:FX64)</f>
        <v>376</v>
      </c>
      <c r="FY65">
        <f t="shared" si="222"/>
        <v>376</v>
      </c>
      <c r="FZ65">
        <f t="shared" si="222"/>
        <v>376</v>
      </c>
      <c r="GA65">
        <f t="shared" si="222"/>
        <v>376</v>
      </c>
      <c r="GB65">
        <f t="shared" si="222"/>
        <v>376</v>
      </c>
      <c r="GC65">
        <f t="shared" si="222"/>
        <v>376</v>
      </c>
      <c r="GD65" s="4">
        <f>40+42+69</f>
        <v>151</v>
      </c>
      <c r="GF65" s="4">
        <f t="shared" si="111"/>
        <v>1</v>
      </c>
      <c r="GG65" s="4">
        <f t="shared" si="112"/>
        <v>0.85000000000000009</v>
      </c>
      <c r="GH65" s="4">
        <f t="shared" si="113"/>
        <v>0</v>
      </c>
      <c r="GI65" s="4">
        <f t="shared" si="114"/>
        <v>376.69505024938655</v>
      </c>
    </row>
    <row r="66" spans="1:193" ht="12" hidden="1" customHeight="1" x14ac:dyDescent="0.3">
      <c r="A66" s="25">
        <v>47</v>
      </c>
      <c r="B66" s="20" t="s">
        <v>54</v>
      </c>
      <c r="C66" s="20">
        <v>2006</v>
      </c>
      <c r="D66" s="24" t="s">
        <v>55</v>
      </c>
      <c r="E66" s="24"/>
      <c r="F66" s="24"/>
      <c r="G66" s="24"/>
      <c r="H66" s="7" t="s">
        <v>67</v>
      </c>
      <c r="I66" s="7"/>
      <c r="J66" s="7">
        <v>472</v>
      </c>
      <c r="K66" s="7">
        <f t="shared" si="208"/>
        <v>381</v>
      </c>
      <c r="L66" s="7">
        <f t="shared" si="148"/>
        <v>177.79999999999998</v>
      </c>
      <c r="M66" s="7">
        <v>28</v>
      </c>
      <c r="N66" s="7">
        <v>25.4</v>
      </c>
      <c r="O66" s="7">
        <f t="shared" si="171"/>
        <v>15</v>
      </c>
      <c r="P66" s="7">
        <v>7</v>
      </c>
      <c r="Q66" s="7">
        <f t="shared" si="149"/>
        <v>152.39999999999998</v>
      </c>
      <c r="R66" s="7"/>
      <c r="S66" s="7">
        <f t="shared" si="130"/>
        <v>63.499999999999986</v>
      </c>
      <c r="T66" s="7"/>
      <c r="U66" s="7">
        <f t="shared" si="150"/>
        <v>50.8</v>
      </c>
      <c r="V66" s="7"/>
      <c r="W66" s="7">
        <v>0</v>
      </c>
      <c r="X66" s="7">
        <v>1</v>
      </c>
      <c r="Y66" s="7"/>
      <c r="Z66" s="7"/>
      <c r="AA66" s="7">
        <f t="shared" si="151"/>
        <v>88.899999999999991</v>
      </c>
      <c r="AB66" s="7">
        <f t="shared" si="131"/>
        <v>2.9999999999999996</v>
      </c>
      <c r="AC66" s="7">
        <f t="shared" si="152"/>
        <v>4</v>
      </c>
      <c r="AD66" s="7">
        <v>2.8</v>
      </c>
      <c r="AE66" s="7">
        <f t="shared" si="172"/>
        <v>2.8</v>
      </c>
      <c r="AF66" s="7">
        <f t="shared" si="46"/>
        <v>3.8</v>
      </c>
      <c r="AG66" s="7">
        <f t="shared" si="47"/>
        <v>49.513715271629529</v>
      </c>
      <c r="AH66" s="7"/>
      <c r="AI66" s="7"/>
      <c r="AJ66" s="7">
        <v>472</v>
      </c>
      <c r="AK66" s="7"/>
      <c r="AL66" s="7"/>
      <c r="AM66" s="7">
        <v>0</v>
      </c>
      <c r="AN66" s="7">
        <v>0</v>
      </c>
      <c r="AO66" s="7">
        <f t="shared" si="153"/>
        <v>177.79999999999998</v>
      </c>
      <c r="AP66" s="7"/>
      <c r="AQ66" s="7"/>
      <c r="AR66" s="7"/>
      <c r="AS66" s="4">
        <f t="shared" si="125"/>
        <v>381</v>
      </c>
      <c r="AT66" s="44">
        <f t="shared" si="154"/>
        <v>5.9259259259259248E-2</v>
      </c>
      <c r="AU66" s="25">
        <f t="shared" si="132"/>
        <v>776.62106221784506</v>
      </c>
      <c r="AV66" s="4">
        <f t="shared" si="133"/>
        <v>0.74</v>
      </c>
      <c r="AW66" s="4">
        <v>1.25</v>
      </c>
      <c r="AX66" s="25">
        <f t="shared" si="119"/>
        <v>5</v>
      </c>
      <c r="AY66" s="38">
        <f t="shared" si="120"/>
        <v>212.85169853377971</v>
      </c>
      <c r="AZ66" s="38">
        <f t="shared" si="121"/>
        <v>212.85169853377971</v>
      </c>
      <c r="BB66" s="38">
        <f t="shared" si="129"/>
        <v>212.85169853377948</v>
      </c>
      <c r="BC66" s="38">
        <f t="shared" si="52"/>
        <v>1.0000000000000011</v>
      </c>
      <c r="BD66" s="38">
        <f t="shared" si="155"/>
        <v>1.4968174569375785</v>
      </c>
      <c r="BE66" s="4">
        <f t="shared" si="173"/>
        <v>0</v>
      </c>
      <c r="BF66" s="4">
        <f t="shared" si="53"/>
        <v>194.95009660475932</v>
      </c>
      <c r="BG66" s="4">
        <f t="shared" ref="BG66:BG129" si="223">MIN(0.6+0.4*(AC66/AB66),2)</f>
        <v>1.1333333333333333</v>
      </c>
      <c r="BH66" s="38">
        <f t="shared" si="55"/>
        <v>318.60013810417593</v>
      </c>
      <c r="BI66" s="4">
        <f t="shared" ref="BI66:BI129" si="224">MAX(1-0.7*AE66/5,0.3)</f>
        <v>0.6080000000000001</v>
      </c>
      <c r="BJ66" s="4">
        <f t="shared" si="57"/>
        <v>61.931746689399951</v>
      </c>
      <c r="BK66" s="4">
        <f t="shared" si="58"/>
        <v>380.5318847935759</v>
      </c>
      <c r="BM66" s="36">
        <f t="shared" si="134"/>
        <v>1.1000000000000001</v>
      </c>
      <c r="BN66" s="36">
        <f t="shared" si="135"/>
        <v>193.24567576015772</v>
      </c>
      <c r="BS66" s="4">
        <f t="shared" si="174"/>
        <v>63.499999999999986</v>
      </c>
      <c r="BT66" s="4">
        <f t="shared" si="175"/>
        <v>63.499999999999986</v>
      </c>
      <c r="BU66" s="4">
        <f t="shared" si="176"/>
        <v>88.899999999999991</v>
      </c>
      <c r="BV66" s="4">
        <f t="shared" si="136"/>
        <v>76.199999999999989</v>
      </c>
      <c r="BW66" s="4">
        <f t="shared" si="177"/>
        <v>1.04</v>
      </c>
      <c r="BX66" s="25">
        <f t="shared" si="137"/>
        <v>3.1199999999999997</v>
      </c>
      <c r="BZ66" s="4">
        <f t="shared" si="178"/>
        <v>63.499999999999986</v>
      </c>
      <c r="CD66" s="9"/>
      <c r="CF66" s="9"/>
      <c r="CG66" s="9"/>
      <c r="CH66" s="9">
        <f t="shared" ref="CH66" si="225">IF(W66=0,MIN(S66,U66),MIN(W66/2,S66,U66))</f>
        <v>50.8</v>
      </c>
      <c r="CI66" s="9">
        <f t="shared" ref="CI66" si="226">MAX(W66/2,S66)</f>
        <v>63.499999999999986</v>
      </c>
      <c r="CJ66" s="9">
        <f t="shared" si="70"/>
        <v>1.4623505735569622</v>
      </c>
      <c r="CK66" s="70">
        <v>0</v>
      </c>
      <c r="CL66" s="9">
        <f t="shared" si="71"/>
        <v>0</v>
      </c>
      <c r="CM66" s="9">
        <f t="shared" si="72"/>
        <v>0</v>
      </c>
      <c r="CN66" s="9">
        <f t="shared" si="73"/>
        <v>0.99524931562137331</v>
      </c>
      <c r="CO66" s="9">
        <f t="shared" si="74"/>
        <v>1.056</v>
      </c>
      <c r="CP66" s="9">
        <f t="shared" si="75"/>
        <v>1.9464482686693119</v>
      </c>
      <c r="CQ66" s="9">
        <f t="shared" si="76"/>
        <v>2.8463897420875242</v>
      </c>
      <c r="CR66" s="9">
        <v>1</v>
      </c>
      <c r="CS66" s="9">
        <f t="shared" si="77"/>
        <v>250.48229730370213</v>
      </c>
      <c r="CU66" s="4">
        <f t="shared" si="209"/>
        <v>2.4211324242476784</v>
      </c>
      <c r="CV66" s="4">
        <f t="shared" si="210"/>
        <v>1.2403691224351465</v>
      </c>
      <c r="CW66" s="4">
        <f t="shared" si="211"/>
        <v>2.4424867368613805</v>
      </c>
      <c r="CX66" s="4">
        <f t="shared" si="212"/>
        <v>1.8843647039364</v>
      </c>
      <c r="CY66" s="4">
        <f t="shared" si="213"/>
        <v>1.2629060562532859</v>
      </c>
      <c r="CZ66" s="4">
        <f t="shared" si="214"/>
        <v>1.4780071547414189</v>
      </c>
      <c r="DA66" s="4">
        <f t="shared" si="162"/>
        <v>1.1660506109793418</v>
      </c>
      <c r="DC66" s="4">
        <f t="shared" si="215"/>
        <v>2.4211324242476784</v>
      </c>
      <c r="DD66" s="4">
        <f t="shared" si="215"/>
        <v>1.2403691224351465</v>
      </c>
      <c r="DE66" s="4">
        <f t="shared" si="216"/>
        <v>1.8843647039364</v>
      </c>
      <c r="DF66" s="4">
        <f t="shared" si="217"/>
        <v>1.1660506109793418</v>
      </c>
      <c r="DG66" s="4">
        <f t="shared" si="218"/>
        <v>1.2629060562532859</v>
      </c>
      <c r="DH66" s="4">
        <f t="shared" si="218"/>
        <v>1.4780071547414189</v>
      </c>
      <c r="DP66" s="4">
        <f t="shared" si="182"/>
        <v>0</v>
      </c>
      <c r="DQ66" s="4">
        <f t="shared" si="138"/>
        <v>381</v>
      </c>
      <c r="DR66" s="4">
        <f t="shared" si="139"/>
        <v>0.46666666666666662</v>
      </c>
      <c r="DT66" s="4">
        <f t="shared" si="81"/>
        <v>2.6402037423385414E-5</v>
      </c>
      <c r="DU66" s="4">
        <f t="shared" si="183"/>
        <v>6.6857562842857838</v>
      </c>
      <c r="DV66" s="4">
        <f t="shared" si="166"/>
        <v>0.52306233603412022</v>
      </c>
      <c r="DW66" s="4">
        <f t="shared" si="83"/>
        <v>5.1590759428904853</v>
      </c>
      <c r="DX66" s="4">
        <f t="shared" si="84"/>
        <v>5.97148712814551</v>
      </c>
      <c r="DY66" s="4">
        <f t="shared" si="140"/>
        <v>5.9967300417133593</v>
      </c>
      <c r="DZ66" s="38">
        <f t="shared" si="86"/>
        <v>373.7411802428926</v>
      </c>
      <c r="EA66" s="4">
        <f t="shared" si="87"/>
        <v>1.0002127051142102</v>
      </c>
      <c r="EB66" s="4">
        <f t="shared" si="167"/>
        <v>1.9493588689617927</v>
      </c>
      <c r="EC66" s="4">
        <f t="shared" si="122"/>
        <v>212.85169853377948</v>
      </c>
      <c r="EG66" s="4">
        <f t="shared" si="88"/>
        <v>0.85</v>
      </c>
      <c r="EH66" s="4">
        <f t="shared" si="89"/>
        <v>0.85000000000000009</v>
      </c>
      <c r="EI66" s="4">
        <f t="shared" si="141"/>
        <v>1</v>
      </c>
      <c r="EJ66" s="4">
        <f t="shared" si="91"/>
        <v>0.85000000000000009</v>
      </c>
      <c r="EL66" s="4">
        <f t="shared" si="142"/>
        <v>319.34892770027056</v>
      </c>
      <c r="EM66" s="25">
        <f t="shared" si="143"/>
        <v>209.93356079366291</v>
      </c>
      <c r="EO66" s="4">
        <f t="shared" si="168"/>
        <v>0.72250000000000003</v>
      </c>
      <c r="EP66" s="4">
        <f t="shared" si="144"/>
        <v>6.6857562842857838</v>
      </c>
      <c r="EQ66" s="4">
        <f t="shared" si="145"/>
        <v>6.028412726414806</v>
      </c>
      <c r="ES66" s="4">
        <f t="shared" si="96"/>
        <v>49.513715271629529</v>
      </c>
      <c r="ET66" s="4">
        <f t="shared" si="184"/>
        <v>1.9493588689617927</v>
      </c>
      <c r="EU66" s="4">
        <f t="shared" si="98"/>
        <v>0.15134487887745135</v>
      </c>
      <c r="EX66" s="4">
        <f t="shared" si="185"/>
        <v>0.15134487887745135</v>
      </c>
      <c r="EY66" s="4">
        <f t="shared" si="100"/>
        <v>0.52218944248084664</v>
      </c>
      <c r="EZ66" s="4">
        <f t="shared" si="186"/>
        <v>5.1556304027378701</v>
      </c>
      <c r="FA66" s="4">
        <f t="shared" ref="FA66" si="227">EP66/1.4*(1-EY66^1.4)/(1-EY66)</f>
        <v>5.9699998189624841</v>
      </c>
      <c r="FB66" s="4">
        <f t="shared" si="188"/>
        <v>236.23628472837046</v>
      </c>
      <c r="FC66" s="4">
        <f t="shared" si="189"/>
        <v>95.250000000000028</v>
      </c>
      <c r="FD66" s="4">
        <f t="shared" si="105"/>
        <v>2.6402037423385424E-5</v>
      </c>
      <c r="FE66" s="4">
        <f t="shared" ref="FE66" si="228">MAX(0.5*EP66, (1-2*FD66*(ES66*EZ66+FB66*FA66))/(1/EP66+FD66*FC66))</f>
        <v>5.9969112642593512</v>
      </c>
      <c r="FF66" s="4">
        <f t="shared" si="146"/>
        <v>373.66170048821425</v>
      </c>
      <c r="FG66" s="4">
        <f t="shared" si="191"/>
        <v>128.28628472837045</v>
      </c>
      <c r="FH66" s="4">
        <f t="shared" si="192"/>
        <v>7.1054273576010019E-15</v>
      </c>
      <c r="FJ66" s="4">
        <f t="shared" si="147"/>
        <v>191.44366588625257</v>
      </c>
      <c r="FO66" s="23">
        <f t="shared" si="219"/>
        <v>2.2000000000000002</v>
      </c>
      <c r="FP66" s="23">
        <f t="shared" si="219"/>
        <v>1.4</v>
      </c>
      <c r="FQ66" s="23">
        <f t="shared" ref="FQ66:FQ129" si="229">IF(DA66&lt;0.6,0.6,IF(DA66&lt;0.8,0.8,IF(DA66&lt;1,1,IF(DA66&lt;1.2,1.2,IF(DA66&lt;1.4,1.4,IF(DA66&lt;1.6,1.6,IF(DA66&lt;1.8,1.8,IF(DA66&lt;2,2,2.2))))))))</f>
        <v>1.2</v>
      </c>
      <c r="FR66" s="23">
        <f t="shared" si="220"/>
        <v>2</v>
      </c>
      <c r="FS66" s="23">
        <f t="shared" si="220"/>
        <v>1.4</v>
      </c>
      <c r="FT66" s="23">
        <f t="shared" si="220"/>
        <v>1.6</v>
      </c>
      <c r="FU66" s="23">
        <f t="shared" si="221"/>
        <v>0</v>
      </c>
      <c r="FV66" s="23"/>
      <c r="GF66" s="4">
        <f t="shared" si="111"/>
        <v>1</v>
      </c>
      <c r="GG66" s="4">
        <f t="shared" si="112"/>
        <v>0.85000000000000009</v>
      </c>
      <c r="GH66" s="4">
        <f t="shared" si="113"/>
        <v>0</v>
      </c>
      <c r="GI66" s="4">
        <f t="shared" si="114"/>
        <v>404.78517446474899</v>
      </c>
    </row>
    <row r="67" spans="1:193" ht="12" hidden="1" customHeight="1" x14ac:dyDescent="0.3">
      <c r="A67" s="25">
        <v>48</v>
      </c>
      <c r="B67" s="20" t="s">
        <v>54</v>
      </c>
      <c r="C67" s="20">
        <v>2006</v>
      </c>
      <c r="D67" s="24" t="s">
        <v>55</v>
      </c>
      <c r="E67" s="24"/>
      <c r="F67" s="24"/>
      <c r="G67" s="24"/>
      <c r="H67" s="7" t="s">
        <v>67</v>
      </c>
      <c r="I67" s="7"/>
      <c r="J67" s="7">
        <v>472</v>
      </c>
      <c r="K67" s="7">
        <f t="shared" si="208"/>
        <v>381</v>
      </c>
      <c r="L67" s="7">
        <f t="shared" si="148"/>
        <v>177.79999999999998</v>
      </c>
      <c r="M67" s="7">
        <v>21</v>
      </c>
      <c r="N67" s="7">
        <v>25.4</v>
      </c>
      <c r="O67" s="7">
        <f t="shared" si="171"/>
        <v>15</v>
      </c>
      <c r="P67" s="7">
        <v>7</v>
      </c>
      <c r="Q67" s="7">
        <f t="shared" si="149"/>
        <v>152.39999999999998</v>
      </c>
      <c r="R67" s="7"/>
      <c r="S67" s="7">
        <f t="shared" si="130"/>
        <v>63.499999999999986</v>
      </c>
      <c r="T67" s="7"/>
      <c r="U67" s="7">
        <f t="shared" si="150"/>
        <v>50.8</v>
      </c>
      <c r="V67" s="7"/>
      <c r="W67" s="7">
        <v>0</v>
      </c>
      <c r="X67" s="7">
        <v>1</v>
      </c>
      <c r="Y67" s="7"/>
      <c r="Z67" s="7"/>
      <c r="AA67" s="7">
        <f t="shared" si="151"/>
        <v>88.899999999999991</v>
      </c>
      <c r="AB67" s="7">
        <f t="shared" si="131"/>
        <v>2.9999999999999996</v>
      </c>
      <c r="AC67" s="7">
        <f t="shared" si="152"/>
        <v>4</v>
      </c>
      <c r="AD67" s="7">
        <v>2.8</v>
      </c>
      <c r="AE67" s="7">
        <f t="shared" si="172"/>
        <v>2.8</v>
      </c>
      <c r="AF67" s="7">
        <f t="shared" si="46"/>
        <v>3.8</v>
      </c>
      <c r="AG67" s="7">
        <f t="shared" si="47"/>
        <v>49.513715271629529</v>
      </c>
      <c r="AH67" s="7"/>
      <c r="AI67" s="7"/>
      <c r="AJ67" s="7">
        <v>413</v>
      </c>
      <c r="AK67" s="7"/>
      <c r="AL67" s="7"/>
      <c r="AM67" s="7">
        <v>0</v>
      </c>
      <c r="AN67" s="7">
        <v>0</v>
      </c>
      <c r="AO67" s="7">
        <f t="shared" si="153"/>
        <v>177.79999999999998</v>
      </c>
      <c r="AP67" s="7"/>
      <c r="AQ67" s="7"/>
      <c r="AR67" s="7"/>
      <c r="AS67" s="4">
        <f t="shared" si="125"/>
        <v>381</v>
      </c>
      <c r="AT67" s="44">
        <f t="shared" si="154"/>
        <v>5.9259259259259248E-2</v>
      </c>
      <c r="AU67" s="25">
        <f t="shared" si="132"/>
        <v>672.57356899470892</v>
      </c>
      <c r="AV67" s="4">
        <f t="shared" si="133"/>
        <v>0.74</v>
      </c>
      <c r="AW67" s="4">
        <v>1.25</v>
      </c>
      <c r="AX67" s="25">
        <f t="shared" si="119"/>
        <v>5</v>
      </c>
      <c r="AY67" s="38">
        <f t="shared" si="120"/>
        <v>184.3349781689202</v>
      </c>
      <c r="AZ67" s="38">
        <f t="shared" si="121"/>
        <v>184.3349781689202</v>
      </c>
      <c r="BB67" s="38">
        <f t="shared" si="129"/>
        <v>184.33497816892</v>
      </c>
      <c r="BC67" s="38">
        <f t="shared" si="52"/>
        <v>1.0000000000000011</v>
      </c>
      <c r="BD67" s="38">
        <f t="shared" si="155"/>
        <v>1.2962819425359629</v>
      </c>
      <c r="BE67" s="4">
        <f t="shared" si="173"/>
        <v>0</v>
      </c>
      <c r="BF67" s="4">
        <f t="shared" si="53"/>
        <v>168.83173612995199</v>
      </c>
      <c r="BG67" s="4">
        <f t="shared" si="223"/>
        <v>1.1333333333333333</v>
      </c>
      <c r="BH67" s="38">
        <f t="shared" si="55"/>
        <v>238.95010357813194</v>
      </c>
      <c r="BI67" s="4">
        <f t="shared" si="224"/>
        <v>0.6080000000000001</v>
      </c>
      <c r="BJ67" s="4">
        <f t="shared" si="57"/>
        <v>53.63446593376316</v>
      </c>
      <c r="BK67" s="4">
        <f t="shared" si="58"/>
        <v>292.5845695118951</v>
      </c>
      <c r="BM67" s="36">
        <f t="shared" si="134"/>
        <v>1.1000000000000001</v>
      </c>
      <c r="BN67" s="36">
        <f t="shared" si="135"/>
        <v>167.35566437978727</v>
      </c>
      <c r="BS67" s="4">
        <f t="shared" si="174"/>
        <v>63.499999999999986</v>
      </c>
      <c r="BT67" s="4">
        <f t="shared" si="175"/>
        <v>63.499999999999986</v>
      </c>
      <c r="BU67" s="4">
        <f t="shared" si="176"/>
        <v>88.899999999999991</v>
      </c>
      <c r="BV67" s="4">
        <f t="shared" si="136"/>
        <v>76.199999999999989</v>
      </c>
      <c r="BW67" s="4">
        <f t="shared" si="177"/>
        <v>1.04</v>
      </c>
      <c r="BX67" s="25">
        <f t="shared" si="137"/>
        <v>3.1199999999999997</v>
      </c>
      <c r="BZ67" s="4">
        <f t="shared" si="178"/>
        <v>63.499999999999986</v>
      </c>
      <c r="CD67" s="9"/>
      <c r="CF67" s="9"/>
      <c r="CG67" s="9"/>
      <c r="CH67" s="9">
        <f>IF(W67=0,MIN(S67,U67),MIN(W67/2,S67,U67))</f>
        <v>50.8</v>
      </c>
      <c r="CI67" s="9">
        <f>MAX(W67/2,S67)</f>
        <v>63.499999999999986</v>
      </c>
      <c r="CJ67" s="9">
        <f t="shared" si="70"/>
        <v>1.4623505735569622</v>
      </c>
      <c r="CK67" s="70">
        <v>0</v>
      </c>
      <c r="CL67" s="9">
        <f t="shared" si="71"/>
        <v>0</v>
      </c>
      <c r="CM67" s="9">
        <f t="shared" si="72"/>
        <v>0</v>
      </c>
      <c r="CN67" s="9">
        <f t="shared" si="73"/>
        <v>0.99524931562137331</v>
      </c>
      <c r="CO67" s="9">
        <f t="shared" si="74"/>
        <v>1.056</v>
      </c>
      <c r="CP67" s="9">
        <f t="shared" si="75"/>
        <v>1.6856736478198622</v>
      </c>
      <c r="CQ67" s="9">
        <f t="shared" si="76"/>
        <v>2.465045825719232</v>
      </c>
      <c r="CR67" s="9">
        <v>1</v>
      </c>
      <c r="CS67" s="9">
        <f t="shared" si="77"/>
        <v>216.92403266329242</v>
      </c>
      <c r="CU67" s="4">
        <f t="shared" si="209"/>
        <v>2.4462225495454746</v>
      </c>
      <c r="CV67" s="4">
        <f t="shared" si="210"/>
        <v>1.4115576931790634</v>
      </c>
      <c r="CW67" s="4">
        <f t="shared" si="211"/>
        <v>2.4677981562832656</v>
      </c>
      <c r="CX67" s="4">
        <f t="shared" si="212"/>
        <v>1.9038923208709428</v>
      </c>
      <c r="CY67" s="4">
        <f t="shared" si="213"/>
        <v>1.2588189822404476</v>
      </c>
      <c r="CZ67" s="4">
        <f t="shared" si="214"/>
        <v>1.5118027134906338</v>
      </c>
      <c r="DA67" s="4">
        <f t="shared" si="162"/>
        <v>1.0963775598500118</v>
      </c>
      <c r="DC67" s="4">
        <f t="shared" si="215"/>
        <v>2.4462225495454746</v>
      </c>
      <c r="DD67" s="4">
        <f t="shared" si="215"/>
        <v>1.4115576931790634</v>
      </c>
      <c r="DE67" s="4">
        <f t="shared" si="216"/>
        <v>1.9038923208709428</v>
      </c>
      <c r="DF67" s="4">
        <f t="shared" si="217"/>
        <v>1.0963775598500118</v>
      </c>
      <c r="DG67" s="4">
        <f t="shared" si="218"/>
        <v>1.2588189822404476</v>
      </c>
      <c r="DH67" s="4">
        <f t="shared" si="218"/>
        <v>1.5118027134906338</v>
      </c>
      <c r="DP67" s="4">
        <f t="shared" si="182"/>
        <v>0</v>
      </c>
      <c r="DQ67" s="4">
        <f t="shared" si="138"/>
        <v>381</v>
      </c>
      <c r="DR67" s="4">
        <f t="shared" si="139"/>
        <v>0.46666666666666662</v>
      </c>
      <c r="DT67" s="4">
        <f t="shared" si="81"/>
        <v>2.5033311258542346E-5</v>
      </c>
      <c r="DU67" s="4">
        <f t="shared" si="183"/>
        <v>5.7900347857029448</v>
      </c>
      <c r="DV67" s="4">
        <f t="shared" si="166"/>
        <v>0.60398036102450769</v>
      </c>
      <c r="DW67" s="4">
        <f t="shared" si="83"/>
        <v>4.7324964827341036</v>
      </c>
      <c r="DX67" s="4">
        <f t="shared" si="84"/>
        <v>5.2877966555582434</v>
      </c>
      <c r="DY67" s="4">
        <f t="shared" si="140"/>
        <v>5.2869970450842949</v>
      </c>
      <c r="DZ67" s="38">
        <f t="shared" si="86"/>
        <v>328.08529727200494</v>
      </c>
      <c r="EA67" s="4">
        <f t="shared" si="87"/>
        <v>1.0002290668671658</v>
      </c>
      <c r="EB67" s="4">
        <f t="shared" si="167"/>
        <v>1.9493588689617927</v>
      </c>
      <c r="EC67" s="4">
        <f t="shared" si="122"/>
        <v>184.33497816892</v>
      </c>
      <c r="EG67" s="4">
        <f t="shared" si="88"/>
        <v>0.85</v>
      </c>
      <c r="EH67" s="4">
        <f t="shared" si="89"/>
        <v>0.85000000000000009</v>
      </c>
      <c r="EI67" s="4">
        <f t="shared" si="141"/>
        <v>1</v>
      </c>
      <c r="EJ67" s="4">
        <f t="shared" si="91"/>
        <v>0.85000000000000009</v>
      </c>
      <c r="EL67" s="4">
        <f t="shared" si="142"/>
        <v>273.18379330489188</v>
      </c>
      <c r="EM67" s="25">
        <f t="shared" si="143"/>
        <v>181.80779675423688</v>
      </c>
      <c r="EO67" s="4">
        <f t="shared" si="168"/>
        <v>0.72250000000000003</v>
      </c>
      <c r="EP67" s="4">
        <f t="shared" si="144"/>
        <v>5.7900347857029448</v>
      </c>
      <c r="EQ67" s="4">
        <f t="shared" si="145"/>
        <v>5.2207585655726314</v>
      </c>
      <c r="ES67" s="4">
        <f t="shared" si="96"/>
        <v>49.513715271629529</v>
      </c>
      <c r="ET67" s="4">
        <f t="shared" si="184"/>
        <v>1.9493588689617927</v>
      </c>
      <c r="EU67" s="4">
        <f t="shared" si="98"/>
        <v>0.15134487887745141</v>
      </c>
      <c r="EX67" s="4">
        <f t="shared" si="185"/>
        <v>0.15134487887745141</v>
      </c>
      <c r="EY67" s="4">
        <f t="shared" si="100"/>
        <v>0.60297243036859505</v>
      </c>
      <c r="EZ67" s="4">
        <f t="shared" si="186"/>
        <v>4.7293358379143973</v>
      </c>
      <c r="FA67" s="4">
        <f>EP67/1.4*(1-EY67^1.4)/(1-EY67)</f>
        <v>5.2863829082527172</v>
      </c>
      <c r="FB67" s="4">
        <f t="shared" si="188"/>
        <v>236.23628472837046</v>
      </c>
      <c r="FC67" s="4">
        <f t="shared" si="189"/>
        <v>95.250000000000028</v>
      </c>
      <c r="FD67" s="4">
        <f t="shared" si="105"/>
        <v>2.503331125854235E-5</v>
      </c>
      <c r="FE67" s="4">
        <f>MAX(0.5*EP67, (1-2*FD67*(ES67*EZ67+FB67*FA67))/(1/EP67+FD67*FC67))</f>
        <v>5.2871372910454193</v>
      </c>
      <c r="FF67" s="4">
        <f t="shared" si="146"/>
        <v>328.01016101202333</v>
      </c>
      <c r="FG67" s="4">
        <f t="shared" si="191"/>
        <v>128.28628472837045</v>
      </c>
      <c r="FH67" s="4">
        <f t="shared" si="192"/>
        <v>7.1054273576010019E-15</v>
      </c>
      <c r="FJ67" s="4">
        <f t="shared" si="147"/>
        <v>169.17556880597749</v>
      </c>
      <c r="FO67" s="23">
        <f t="shared" si="219"/>
        <v>2.2000000000000002</v>
      </c>
      <c r="FP67" s="23">
        <f t="shared" si="219"/>
        <v>1.6</v>
      </c>
      <c r="FQ67" s="23">
        <f t="shared" si="229"/>
        <v>1.2</v>
      </c>
      <c r="FR67" s="23">
        <f t="shared" si="220"/>
        <v>2</v>
      </c>
      <c r="FS67" s="23">
        <f t="shared" si="220"/>
        <v>1.4</v>
      </c>
      <c r="FT67" s="23">
        <f t="shared" si="220"/>
        <v>1.6</v>
      </c>
      <c r="FU67" s="23">
        <f t="shared" si="221"/>
        <v>0</v>
      </c>
      <c r="FV67" s="23"/>
      <c r="GF67" s="4">
        <f t="shared" si="111"/>
        <v>1</v>
      </c>
      <c r="GG67" s="4">
        <f t="shared" si="112"/>
        <v>0.85000000000000009</v>
      </c>
      <c r="GH67" s="4">
        <f t="shared" si="113"/>
        <v>0</v>
      </c>
      <c r="GI67" s="4">
        <f t="shared" si="114"/>
        <v>376.69505024938655</v>
      </c>
    </row>
    <row r="68" spans="1:193" ht="12" hidden="1" customHeight="1" x14ac:dyDescent="0.3">
      <c r="A68" s="25">
        <v>49</v>
      </c>
      <c r="B68" s="20" t="s">
        <v>54</v>
      </c>
      <c r="C68" s="20">
        <v>2006</v>
      </c>
      <c r="D68" s="24" t="s">
        <v>55</v>
      </c>
      <c r="E68" s="24"/>
      <c r="F68" s="24"/>
      <c r="G68" s="24"/>
      <c r="H68" s="7" t="s">
        <v>277</v>
      </c>
      <c r="I68" s="7"/>
      <c r="J68" s="7">
        <v>472</v>
      </c>
      <c r="K68" s="7">
        <f t="shared" si="208"/>
        <v>381</v>
      </c>
      <c r="L68" s="7">
        <f t="shared" si="148"/>
        <v>177.79999999999998</v>
      </c>
      <c r="M68" s="7">
        <v>27</v>
      </c>
      <c r="N68" s="7">
        <v>25.4</v>
      </c>
      <c r="O68" s="7">
        <f t="shared" si="171"/>
        <v>15</v>
      </c>
      <c r="P68" s="7">
        <v>7</v>
      </c>
      <c r="Q68" s="7">
        <f t="shared" si="149"/>
        <v>152.39999999999998</v>
      </c>
      <c r="R68" s="7"/>
      <c r="S68" s="7">
        <f t="shared" si="130"/>
        <v>63.499999999999986</v>
      </c>
      <c r="T68" s="7"/>
      <c r="U68" s="7">
        <f t="shared" si="150"/>
        <v>50.8</v>
      </c>
      <c r="V68" s="7"/>
      <c r="W68" s="7">
        <v>0</v>
      </c>
      <c r="X68" s="7">
        <v>1</v>
      </c>
      <c r="Y68" s="7"/>
      <c r="Z68" s="7"/>
      <c r="AA68" s="7">
        <f t="shared" si="151"/>
        <v>88.899999999999991</v>
      </c>
      <c r="AB68" s="7">
        <f t="shared" si="131"/>
        <v>2.9999999999999996</v>
      </c>
      <c r="AC68" s="7">
        <f t="shared" si="152"/>
        <v>4</v>
      </c>
      <c r="AD68" s="7">
        <v>2.8</v>
      </c>
      <c r="AE68" s="7">
        <f t="shared" si="172"/>
        <v>2.8</v>
      </c>
      <c r="AF68" s="7">
        <f t="shared" si="46"/>
        <v>3.8</v>
      </c>
      <c r="AG68" s="7">
        <f t="shared" si="47"/>
        <v>49.513715271629529</v>
      </c>
      <c r="AH68" s="7"/>
      <c r="AI68" s="7"/>
      <c r="AJ68" s="7">
        <v>458</v>
      </c>
      <c r="AK68" s="7"/>
      <c r="AL68" s="7"/>
      <c r="AM68" s="7">
        <v>0</v>
      </c>
      <c r="AN68" s="7">
        <v>0</v>
      </c>
      <c r="AO68" s="7">
        <f t="shared" si="153"/>
        <v>177.79999999999998</v>
      </c>
      <c r="AP68" s="7"/>
      <c r="AQ68" s="7"/>
      <c r="AR68" s="7"/>
      <c r="AS68" s="4">
        <f t="shared" si="125"/>
        <v>381</v>
      </c>
      <c r="AT68" s="44">
        <f t="shared" si="154"/>
        <v>5.9259259259259248E-2</v>
      </c>
      <c r="AU68" s="25">
        <f t="shared" si="132"/>
        <v>762.62674369506078</v>
      </c>
      <c r="AV68" s="4">
        <f t="shared" si="133"/>
        <v>0.74</v>
      </c>
      <c r="AW68" s="4">
        <v>1.25</v>
      </c>
      <c r="AX68" s="25">
        <f t="shared" si="119"/>
        <v>5</v>
      </c>
      <c r="AY68" s="38">
        <f t="shared" si="120"/>
        <v>209.01621864234997</v>
      </c>
      <c r="AZ68" s="38">
        <f t="shared" si="121"/>
        <v>209.01621864234997</v>
      </c>
      <c r="BB68" s="38">
        <f t="shared" si="129"/>
        <v>209.0162186423498</v>
      </c>
      <c r="BC68" s="38">
        <f t="shared" si="52"/>
        <v>1.0000000000000009</v>
      </c>
      <c r="BD68" s="38">
        <f t="shared" si="155"/>
        <v>1.4698455638459473</v>
      </c>
      <c r="BE68" s="4">
        <f t="shared" si="173"/>
        <v>0</v>
      </c>
      <c r="BF68" s="4">
        <f t="shared" si="53"/>
        <v>191.43719452077065</v>
      </c>
      <c r="BG68" s="4">
        <f t="shared" si="223"/>
        <v>1.1333333333333333</v>
      </c>
      <c r="BH68" s="38">
        <f t="shared" si="55"/>
        <v>307.22156174331246</v>
      </c>
      <c r="BI68" s="4">
        <f t="shared" si="224"/>
        <v>0.6080000000000001</v>
      </c>
      <c r="BJ68" s="4">
        <f t="shared" si="57"/>
        <v>60.815767955358432</v>
      </c>
      <c r="BK68" s="4">
        <f t="shared" si="58"/>
        <v>368.03732969867087</v>
      </c>
      <c r="BM68" s="36">
        <f t="shared" si="134"/>
        <v>1.1000000000000001</v>
      </c>
      <c r="BN68" s="36">
        <f t="shared" si="135"/>
        <v>189.7634864772462</v>
      </c>
      <c r="BS68" s="4">
        <f t="shared" si="174"/>
        <v>63.499999999999986</v>
      </c>
      <c r="BT68" s="4">
        <f t="shared" si="175"/>
        <v>63.499999999999986</v>
      </c>
      <c r="BU68" s="4">
        <f t="shared" si="176"/>
        <v>88.899999999999991</v>
      </c>
      <c r="BV68" s="4">
        <f t="shared" si="136"/>
        <v>76.199999999999989</v>
      </c>
      <c r="BW68" s="4">
        <f t="shared" si="177"/>
        <v>1.04</v>
      </c>
      <c r="BX68" s="25">
        <f t="shared" si="137"/>
        <v>3.1199999999999997</v>
      </c>
      <c r="BZ68" s="4">
        <f t="shared" si="178"/>
        <v>63.499999999999986</v>
      </c>
      <c r="CD68" s="9"/>
      <c r="CF68" s="9"/>
      <c r="CG68" s="9"/>
      <c r="CH68" s="9">
        <f>IF(W68=0,MIN(S68,U68),MIN(W68/2,S68,U68))</f>
        <v>50.8</v>
      </c>
      <c r="CI68" s="9">
        <f>MAX(W68/2,S68)</f>
        <v>63.499999999999986</v>
      </c>
      <c r="CJ68" s="9">
        <f t="shared" si="70"/>
        <v>1.4623505735569622</v>
      </c>
      <c r="CK68" s="70">
        <v>0</v>
      </c>
      <c r="CL68" s="9">
        <f t="shared" si="71"/>
        <v>0</v>
      </c>
      <c r="CM68" s="9">
        <f t="shared" si="72"/>
        <v>0</v>
      </c>
      <c r="CN68" s="9">
        <f t="shared" si="73"/>
        <v>0.99524931562137331</v>
      </c>
      <c r="CO68" s="9">
        <f t="shared" si="74"/>
        <v>1.056</v>
      </c>
      <c r="CP68" s="9">
        <f t="shared" si="75"/>
        <v>1.911374255891328</v>
      </c>
      <c r="CQ68" s="9">
        <f t="shared" si="76"/>
        <v>2.7950992393846952</v>
      </c>
      <c r="CR68" s="9">
        <v>1</v>
      </c>
      <c r="CS68" s="9">
        <f t="shared" si="77"/>
        <v>245.96873306585317</v>
      </c>
      <c r="CU68" s="4">
        <f t="shared" si="209"/>
        <v>2.3924295440419634</v>
      </c>
      <c r="CV68" s="4">
        <f t="shared" si="210"/>
        <v>1.2444389822493978</v>
      </c>
      <c r="CW68" s="4">
        <f t="shared" si="211"/>
        <v>2.4135306981457521</v>
      </c>
      <c r="CX68" s="4">
        <f t="shared" si="212"/>
        <v>1.8620252838289806</v>
      </c>
      <c r="CY68" s="4">
        <f t="shared" si="213"/>
        <v>1.245856482021686</v>
      </c>
      <c r="CZ68" s="4">
        <f t="shared" si="214"/>
        <v>1.462792979371798</v>
      </c>
      <c r="DA68" s="4">
        <f t="shared" si="162"/>
        <v>1.1417984444724441</v>
      </c>
      <c r="DC68" s="4">
        <f t="shared" si="215"/>
        <v>2.3924295440419634</v>
      </c>
      <c r="DD68" s="4">
        <f t="shared" si="215"/>
        <v>1.2444389822493978</v>
      </c>
      <c r="DE68" s="4">
        <f t="shared" si="216"/>
        <v>1.8620252838289806</v>
      </c>
      <c r="DF68" s="4">
        <f t="shared" si="217"/>
        <v>1.1417984444724441</v>
      </c>
      <c r="DG68" s="4">
        <f t="shared" si="218"/>
        <v>1.245856482021686</v>
      </c>
      <c r="DH68" s="4">
        <f t="shared" si="218"/>
        <v>1.462792979371798</v>
      </c>
      <c r="DP68" s="4">
        <f t="shared" si="182"/>
        <v>0</v>
      </c>
      <c r="DQ68" s="4">
        <f t="shared" si="138"/>
        <v>381</v>
      </c>
      <c r="DR68" s="4">
        <f t="shared" si="139"/>
        <v>0.46666666666666662</v>
      </c>
      <c r="DT68" s="4">
        <f t="shared" si="81"/>
        <v>2.6209296574030622E-5</v>
      </c>
      <c r="DU68" s="4">
        <f t="shared" si="183"/>
        <v>6.5652823394499222</v>
      </c>
      <c r="DV68" s="4">
        <f t="shared" si="166"/>
        <v>0.5326606106792855</v>
      </c>
      <c r="DW68" s="4">
        <f t="shared" si="83"/>
        <v>5.103094851813764</v>
      </c>
      <c r="DX68" s="4">
        <f t="shared" si="84"/>
        <v>5.8798882220115054</v>
      </c>
      <c r="DY68" s="4">
        <f t="shared" si="140"/>
        <v>5.9035395914032618</v>
      </c>
      <c r="DZ68" s="38">
        <f t="shared" si="86"/>
        <v>367.61858738077973</v>
      </c>
      <c r="EA68" s="4">
        <f t="shared" si="87"/>
        <v>1.0002147463510491</v>
      </c>
      <c r="EB68" s="4">
        <f t="shared" si="167"/>
        <v>1.9493588689617927</v>
      </c>
      <c r="EC68" s="4">
        <f t="shared" si="122"/>
        <v>209.0162186423498</v>
      </c>
      <c r="EG68" s="4">
        <f t="shared" si="88"/>
        <v>0.85</v>
      </c>
      <c r="EH68" s="4">
        <f t="shared" si="89"/>
        <v>0.85000000000000009</v>
      </c>
      <c r="EI68" s="4">
        <f t="shared" si="141"/>
        <v>1</v>
      </c>
      <c r="EJ68" s="4">
        <f t="shared" si="91"/>
        <v>0.85000000000000009</v>
      </c>
      <c r="EL68" s="4">
        <f t="shared" si="142"/>
        <v>313.09967060184402</v>
      </c>
      <c r="EM68" s="25">
        <f t="shared" si="143"/>
        <v>206.15066426755152</v>
      </c>
      <c r="EO68" s="4">
        <f t="shared" si="168"/>
        <v>0.72250000000000003</v>
      </c>
      <c r="EP68" s="4">
        <f t="shared" si="144"/>
        <v>6.5652823394499222</v>
      </c>
      <c r="EQ68" s="4">
        <f t="shared" si="145"/>
        <v>5.9197837798352051</v>
      </c>
      <c r="ES68" s="4">
        <f t="shared" si="96"/>
        <v>49.513715271629529</v>
      </c>
      <c r="ET68" s="4">
        <f t="shared" si="184"/>
        <v>1.9493588689617927</v>
      </c>
      <c r="EU68" s="4">
        <f t="shared" si="98"/>
        <v>0.15134487887745141</v>
      </c>
      <c r="EX68" s="4">
        <f t="shared" si="185"/>
        <v>0.15134487887745141</v>
      </c>
      <c r="EY68" s="4">
        <f t="shared" si="100"/>
        <v>0.5317716993945043</v>
      </c>
      <c r="EZ68" s="4">
        <f t="shared" si="186"/>
        <v>5.0996866991893075</v>
      </c>
      <c r="FA68" s="4">
        <f>EP68/1.4*(1-EY68^1.4)/(1-EY68)</f>
        <v>5.8784102786418222</v>
      </c>
      <c r="FB68" s="4">
        <f t="shared" si="188"/>
        <v>236.23628472837046</v>
      </c>
      <c r="FC68" s="4">
        <f t="shared" si="189"/>
        <v>95.250000000000028</v>
      </c>
      <c r="FD68" s="4">
        <f t="shared" si="105"/>
        <v>2.6209296574030629E-5</v>
      </c>
      <c r="FE68" s="4">
        <f>MAX(0.5*EP68, (1-2*FD68*(ES68*EZ68+FB68*FA68))/(1/EP68+FD68*FC68))</f>
        <v>5.9037149469361943</v>
      </c>
      <c r="FF68" s="4">
        <f t="shared" si="146"/>
        <v>367.53965958001908</v>
      </c>
      <c r="FG68" s="4">
        <f t="shared" si="191"/>
        <v>128.28628472837045</v>
      </c>
      <c r="FH68" s="4">
        <f t="shared" si="192"/>
        <v>7.1054273576010019E-15</v>
      </c>
      <c r="FJ68" s="4">
        <f t="shared" si="147"/>
        <v>188.48869894095395</v>
      </c>
      <c r="FO68" s="23">
        <f t="shared" si="219"/>
        <v>2.2000000000000002</v>
      </c>
      <c r="FP68" s="23">
        <f t="shared" si="219"/>
        <v>1.4</v>
      </c>
      <c r="FQ68" s="23">
        <f t="shared" si="229"/>
        <v>1.2</v>
      </c>
      <c r="FR68" s="23">
        <f t="shared" si="220"/>
        <v>2</v>
      </c>
      <c r="FS68" s="23">
        <f t="shared" si="220"/>
        <v>1.4</v>
      </c>
      <c r="FT68" s="23">
        <f t="shared" si="220"/>
        <v>1.6</v>
      </c>
      <c r="FU68" s="23">
        <f t="shared" si="221"/>
        <v>0</v>
      </c>
      <c r="FV68" s="23"/>
      <c r="GF68" s="4">
        <f t="shared" si="111"/>
        <v>1</v>
      </c>
      <c r="GG68" s="4">
        <f t="shared" si="112"/>
        <v>0.85000000000000009</v>
      </c>
      <c r="GH68" s="4">
        <f t="shared" si="113"/>
        <v>0</v>
      </c>
      <c r="GI68" s="4">
        <f t="shared" si="114"/>
        <v>401.12158342588572</v>
      </c>
    </row>
    <row r="69" spans="1:193" ht="12" hidden="1" customHeight="1" x14ac:dyDescent="0.3">
      <c r="A69" s="25">
        <v>50</v>
      </c>
      <c r="B69" s="20" t="s">
        <v>54</v>
      </c>
      <c r="C69" s="20">
        <v>2006</v>
      </c>
      <c r="D69" s="24" t="s">
        <v>55</v>
      </c>
      <c r="E69" s="24"/>
      <c r="F69" s="24"/>
      <c r="G69" s="24"/>
      <c r="H69" s="7" t="s">
        <v>68</v>
      </c>
      <c r="I69" s="7"/>
      <c r="J69" s="7">
        <v>472</v>
      </c>
      <c r="K69" s="7">
        <f t="shared" si="208"/>
        <v>381</v>
      </c>
      <c r="L69" s="7">
        <f t="shared" si="148"/>
        <v>177.79999999999998</v>
      </c>
      <c r="M69" s="7">
        <v>28</v>
      </c>
      <c r="N69" s="7">
        <v>25.4</v>
      </c>
      <c r="O69" s="7">
        <f t="shared" si="171"/>
        <v>15</v>
      </c>
      <c r="P69" s="7">
        <v>7</v>
      </c>
      <c r="Q69" s="7">
        <f t="shared" si="149"/>
        <v>152.39999999999998</v>
      </c>
      <c r="R69" s="7"/>
      <c r="S69" s="7">
        <f t="shared" si="130"/>
        <v>63.499999999999986</v>
      </c>
      <c r="T69" s="7"/>
      <c r="U69" s="7">
        <f t="shared" si="150"/>
        <v>50.8</v>
      </c>
      <c r="V69" s="7"/>
      <c r="W69" s="7">
        <v>0</v>
      </c>
      <c r="X69" s="7">
        <v>1</v>
      </c>
      <c r="Y69" s="7"/>
      <c r="Z69" s="7"/>
      <c r="AA69" s="7">
        <f t="shared" si="151"/>
        <v>88.899999999999991</v>
      </c>
      <c r="AB69" s="7">
        <f t="shared" si="131"/>
        <v>2.9999999999999996</v>
      </c>
      <c r="AC69" s="7">
        <f t="shared" si="152"/>
        <v>4</v>
      </c>
      <c r="AD69" s="7">
        <v>4.04</v>
      </c>
      <c r="AE69" s="7">
        <f t="shared" si="172"/>
        <v>4.04</v>
      </c>
      <c r="AF69" s="7">
        <f t="shared" si="46"/>
        <v>5.04</v>
      </c>
      <c r="AG69" s="7">
        <f t="shared" si="47"/>
        <v>57.022858574434863</v>
      </c>
      <c r="AH69" s="7"/>
      <c r="AI69" s="7"/>
      <c r="AJ69" s="7">
        <v>421</v>
      </c>
      <c r="AK69" s="7"/>
      <c r="AL69" s="7"/>
      <c r="AM69" s="7">
        <v>0</v>
      </c>
      <c r="AN69" s="7">
        <v>0</v>
      </c>
      <c r="AO69" s="7">
        <f t="shared" si="153"/>
        <v>177.79999999999998</v>
      </c>
      <c r="AP69" s="7"/>
      <c r="AQ69" s="7"/>
      <c r="AR69" s="7"/>
      <c r="AS69" s="4">
        <f t="shared" si="125"/>
        <v>381</v>
      </c>
      <c r="AT69" s="44">
        <f t="shared" si="154"/>
        <v>5.9259259259259248E-2</v>
      </c>
      <c r="AU69" s="25">
        <f t="shared" si="132"/>
        <v>776.62106221784506</v>
      </c>
      <c r="AV69" s="4">
        <f t="shared" si="133"/>
        <v>0.74</v>
      </c>
      <c r="AW69" s="4">
        <v>1.25</v>
      </c>
      <c r="AX69" s="25">
        <f t="shared" si="119"/>
        <v>5</v>
      </c>
      <c r="AY69" s="38">
        <f t="shared" si="120"/>
        <v>212.85169853377971</v>
      </c>
      <c r="AZ69" s="38">
        <f t="shared" si="121"/>
        <v>212.85169853377971</v>
      </c>
      <c r="BB69" s="38">
        <f t="shared" si="129"/>
        <v>212.85169853377948</v>
      </c>
      <c r="BC69" s="38">
        <f t="shared" si="52"/>
        <v>1.0000000000000011</v>
      </c>
      <c r="BD69" s="38">
        <f t="shared" si="155"/>
        <v>1.7979619908532192</v>
      </c>
      <c r="BE69" s="4">
        <f t="shared" si="173"/>
        <v>0</v>
      </c>
      <c r="BF69" s="4">
        <f t="shared" si="53"/>
        <v>194.95009660475932</v>
      </c>
      <c r="BG69" s="4">
        <f t="shared" si="223"/>
        <v>1.1333333333333333</v>
      </c>
      <c r="BH69" s="38">
        <f t="shared" si="55"/>
        <v>382.69926365228338</v>
      </c>
      <c r="BI69" s="4">
        <f t="shared" si="224"/>
        <v>0.43440000000000001</v>
      </c>
      <c r="BJ69" s="4">
        <f t="shared" si="57"/>
        <v>44.248603226768637</v>
      </c>
      <c r="BK69" s="4">
        <f t="shared" si="58"/>
        <v>426.94786687905201</v>
      </c>
      <c r="BM69" s="36">
        <f t="shared" si="134"/>
        <v>1.1000000000000001</v>
      </c>
      <c r="BN69" s="36">
        <f t="shared" si="135"/>
        <v>193.24567576015772</v>
      </c>
      <c r="BS69" s="4">
        <f t="shared" si="174"/>
        <v>63.499999999999986</v>
      </c>
      <c r="BT69" s="4">
        <f t="shared" si="175"/>
        <v>63.499999999999986</v>
      </c>
      <c r="BU69" s="4">
        <f t="shared" si="176"/>
        <v>88.899999999999991</v>
      </c>
      <c r="BV69" s="4">
        <f t="shared" si="136"/>
        <v>76.199999999999989</v>
      </c>
      <c r="BW69" s="4">
        <f t="shared" si="177"/>
        <v>1.04</v>
      </c>
      <c r="BX69" s="25">
        <f t="shared" si="137"/>
        <v>3.1199999999999997</v>
      </c>
      <c r="BZ69" s="4">
        <f t="shared" si="178"/>
        <v>63.499999999999986</v>
      </c>
      <c r="CD69" s="9"/>
      <c r="CF69" s="9"/>
      <c r="CG69" s="9"/>
      <c r="CH69" s="9">
        <f t="shared" ref="CH69:CH132" si="230">IF(W69=0,MIN(S69,U69),MIN(W69/2,S69,U69))</f>
        <v>50.8</v>
      </c>
      <c r="CI69" s="9">
        <f t="shared" ref="CI69:CI132" si="231">MAX(W69/2,S69)</f>
        <v>63.499999999999986</v>
      </c>
      <c r="CJ69" s="9">
        <f t="shared" si="70"/>
        <v>1.4623505735569622</v>
      </c>
      <c r="CK69" s="70">
        <v>0</v>
      </c>
      <c r="CL69" s="9">
        <f t="shared" si="71"/>
        <v>0</v>
      </c>
      <c r="CM69" s="9">
        <f t="shared" si="72"/>
        <v>0</v>
      </c>
      <c r="CN69" s="9">
        <f t="shared" si="73"/>
        <v>0.99524931562137331</v>
      </c>
      <c r="CO69" s="9">
        <f t="shared" si="74"/>
        <v>1.056</v>
      </c>
      <c r="CP69" s="9">
        <f t="shared" si="75"/>
        <v>1.9464482686693119</v>
      </c>
      <c r="CQ69" s="9">
        <f t="shared" si="76"/>
        <v>2.8463897420875242</v>
      </c>
      <c r="CR69" s="9">
        <v>1</v>
      </c>
      <c r="CS69" s="9">
        <f t="shared" si="77"/>
        <v>250.48229730370213</v>
      </c>
      <c r="CU69" s="4">
        <f t="shared" si="209"/>
        <v>2.1595270140005773</v>
      </c>
      <c r="CV69" s="4">
        <f t="shared" si="210"/>
        <v>0.98606886849551367</v>
      </c>
      <c r="CW69" s="4">
        <f t="shared" si="211"/>
        <v>2.1785739750394941</v>
      </c>
      <c r="CX69" s="4">
        <f t="shared" si="212"/>
        <v>1.6807575007568314</v>
      </c>
      <c r="CY69" s="4">
        <f t="shared" si="213"/>
        <v>1.1526891216084647</v>
      </c>
      <c r="CZ69" s="4">
        <f t="shared" si="214"/>
        <v>1.3069168110853688</v>
      </c>
      <c r="DA69" s="4">
        <f t="shared" si="162"/>
        <v>1.04005785428454</v>
      </c>
      <c r="DC69" s="4">
        <f t="shared" si="215"/>
        <v>2.1595270140005773</v>
      </c>
      <c r="DD69" s="4">
        <f t="shared" si="215"/>
        <v>0.98606886849551367</v>
      </c>
      <c r="DE69" s="4">
        <f t="shared" si="216"/>
        <v>1.6807575007568314</v>
      </c>
      <c r="DF69" s="4">
        <f t="shared" si="217"/>
        <v>1.04005785428454</v>
      </c>
      <c r="DG69" s="4">
        <f t="shared" si="218"/>
        <v>1.1526891216084647</v>
      </c>
      <c r="DH69" s="4">
        <f t="shared" si="218"/>
        <v>1.3069168110853688</v>
      </c>
      <c r="DP69" s="4">
        <f t="shared" si="182"/>
        <v>0</v>
      </c>
      <c r="DQ69" s="4">
        <f t="shared" si="138"/>
        <v>381</v>
      </c>
      <c r="DR69" s="4">
        <f t="shared" si="139"/>
        <v>0.46666666666666662</v>
      </c>
      <c r="DT69" s="4">
        <f t="shared" si="81"/>
        <v>2.6402037423385414E-5</v>
      </c>
      <c r="DU69" s="4">
        <f t="shared" si="183"/>
        <v>6.6857562842857838</v>
      </c>
      <c r="DV69" s="4">
        <f t="shared" si="166"/>
        <v>0.41749721733539918</v>
      </c>
      <c r="DW69" s="4">
        <f t="shared" si="83"/>
        <v>4.7142431131926301</v>
      </c>
      <c r="DX69" s="4">
        <f t="shared" si="84"/>
        <v>5.7848563659647452</v>
      </c>
      <c r="DY69" s="4">
        <f t="shared" si="140"/>
        <v>6.0224760215150344</v>
      </c>
      <c r="DZ69" s="38">
        <f t="shared" si="86"/>
        <v>365.23290808239409</v>
      </c>
      <c r="EA69" s="4">
        <f t="shared" si="87"/>
        <v>1.000197037064424</v>
      </c>
      <c r="EB69" s="4">
        <f t="shared" si="167"/>
        <v>2.2449944320643649</v>
      </c>
      <c r="EC69" s="4">
        <f t="shared" si="122"/>
        <v>212.85169853377948</v>
      </c>
      <c r="EG69" s="4">
        <f t="shared" si="88"/>
        <v>0.85</v>
      </c>
      <c r="EH69" s="4">
        <f t="shared" si="89"/>
        <v>0.85000000000000009</v>
      </c>
      <c r="EI69" s="4">
        <f t="shared" si="141"/>
        <v>1</v>
      </c>
      <c r="EJ69" s="4">
        <f t="shared" si="91"/>
        <v>0.85000000000000009</v>
      </c>
      <c r="EL69" s="4">
        <f t="shared" si="142"/>
        <v>322.13220950946965</v>
      </c>
      <c r="EM69" s="25">
        <f t="shared" si="143"/>
        <v>209.93356079366291</v>
      </c>
      <c r="EO69" s="4">
        <f t="shared" si="168"/>
        <v>0.72250000000000003</v>
      </c>
      <c r="EP69" s="4">
        <f t="shared" si="144"/>
        <v>6.6857562842857838</v>
      </c>
      <c r="EQ69" s="4">
        <f t="shared" si="145"/>
        <v>6.028412726414806</v>
      </c>
      <c r="ES69" s="4">
        <f t="shared" si="96"/>
        <v>57.022858574434863</v>
      </c>
      <c r="ET69" s="4">
        <f t="shared" si="184"/>
        <v>2.2449944320643649</v>
      </c>
      <c r="EU69" s="4">
        <f t="shared" si="98"/>
        <v>0.12080025923559758</v>
      </c>
      <c r="EX69" s="4">
        <f t="shared" si="185"/>
        <v>0.12080025923559758</v>
      </c>
      <c r="EY69" s="4">
        <f t="shared" si="100"/>
        <v>0.41680049229057015</v>
      </c>
      <c r="EZ69" s="4">
        <f t="shared" si="186"/>
        <v>4.7110946590672214</v>
      </c>
      <c r="FA69" s="4">
        <f t="shared" ref="FA69:FA132" si="232">EP69/1.4*(1-EY69^1.4)/(1-EY69)</f>
        <v>5.7835754669295278</v>
      </c>
      <c r="FB69" s="4">
        <f t="shared" si="188"/>
        <v>228.72714142556515</v>
      </c>
      <c r="FC69" s="4">
        <f t="shared" si="189"/>
        <v>95.25</v>
      </c>
      <c r="FD69" s="4">
        <f t="shared" si="105"/>
        <v>2.6402037423385414E-5</v>
      </c>
      <c r="FE69" s="4">
        <f t="shared" ref="FE69:FE132" si="233">MAX(0.5*EP69, (1-2*FD69*(ES69*EZ69+FB69*FA69))/(1/EP69+FD69*FC69))</f>
        <v>6.0226400759500986</v>
      </c>
      <c r="FF69" s="4">
        <f t="shared" si="146"/>
        <v>365.16095783921918</v>
      </c>
      <c r="FG69" s="4">
        <f t="shared" si="191"/>
        <v>120.77714142556512</v>
      </c>
      <c r="FH69" s="4">
        <f t="shared" si="192"/>
        <v>0</v>
      </c>
      <c r="FJ69" s="4">
        <f t="shared" si="147"/>
        <v>188.66038407705349</v>
      </c>
      <c r="FO69" s="23">
        <f t="shared" si="219"/>
        <v>2.2000000000000002</v>
      </c>
      <c r="FP69" s="23">
        <f t="shared" si="219"/>
        <v>1</v>
      </c>
      <c r="FQ69" s="23">
        <f t="shared" si="229"/>
        <v>1.2</v>
      </c>
      <c r="FR69" s="23">
        <f t="shared" si="220"/>
        <v>1.8</v>
      </c>
      <c r="FS69" s="23">
        <f t="shared" si="220"/>
        <v>1.2</v>
      </c>
      <c r="FT69" s="23">
        <f t="shared" si="220"/>
        <v>1.4</v>
      </c>
      <c r="FU69" s="23">
        <f t="shared" si="221"/>
        <v>0</v>
      </c>
      <c r="FV69" s="23"/>
      <c r="GF69" s="4">
        <f t="shared" si="111"/>
        <v>1</v>
      </c>
      <c r="GG69" s="4">
        <f t="shared" si="112"/>
        <v>0.85000000000000009</v>
      </c>
      <c r="GH69" s="4">
        <f t="shared" si="113"/>
        <v>0</v>
      </c>
      <c r="GI69" s="4">
        <f t="shared" si="114"/>
        <v>404.78517446474899</v>
      </c>
    </row>
    <row r="70" spans="1:193" ht="12" hidden="1" customHeight="1" x14ac:dyDescent="0.3">
      <c r="A70" s="25">
        <v>51</v>
      </c>
      <c r="B70" s="20" t="s">
        <v>54</v>
      </c>
      <c r="C70" s="20">
        <v>2006</v>
      </c>
      <c r="D70" s="24" t="s">
        <v>55</v>
      </c>
      <c r="E70" s="24"/>
      <c r="F70" s="24"/>
      <c r="G70" s="24"/>
      <c r="H70" s="7" t="s">
        <v>279</v>
      </c>
      <c r="I70" s="7"/>
      <c r="J70" s="7">
        <v>472</v>
      </c>
      <c r="K70" s="7">
        <f t="shared" si="208"/>
        <v>381</v>
      </c>
      <c r="L70" s="7">
        <f t="shared" si="148"/>
        <v>177.79999999999998</v>
      </c>
      <c r="M70" s="7">
        <v>21</v>
      </c>
      <c r="N70" s="7">
        <v>25.4</v>
      </c>
      <c r="O70" s="7">
        <f t="shared" si="171"/>
        <v>15</v>
      </c>
      <c r="P70" s="7">
        <v>7</v>
      </c>
      <c r="Q70" s="7">
        <f t="shared" si="149"/>
        <v>152.39999999999998</v>
      </c>
      <c r="R70" s="7"/>
      <c r="S70" s="7">
        <f t="shared" si="130"/>
        <v>63.499999999999986</v>
      </c>
      <c r="T70" s="7"/>
      <c r="U70" s="7">
        <f t="shared" si="150"/>
        <v>50.8</v>
      </c>
      <c r="V70" s="7"/>
      <c r="W70" s="7">
        <v>0</v>
      </c>
      <c r="X70" s="7">
        <v>1</v>
      </c>
      <c r="Y70" s="7"/>
      <c r="Z70" s="7"/>
      <c r="AA70" s="7">
        <f t="shared" si="151"/>
        <v>88.899999999999991</v>
      </c>
      <c r="AB70" s="7">
        <f t="shared" si="131"/>
        <v>2.9999999999999996</v>
      </c>
      <c r="AC70" s="7">
        <f t="shared" si="152"/>
        <v>4</v>
      </c>
      <c r="AD70" s="7">
        <v>4.0599999999999996</v>
      </c>
      <c r="AE70" s="7">
        <f t="shared" si="172"/>
        <v>4.0599999999999996</v>
      </c>
      <c r="AF70" s="7">
        <f t="shared" si="46"/>
        <v>5.0599999999999996</v>
      </c>
      <c r="AG70" s="7">
        <f t="shared" si="47"/>
        <v>57.135887146346114</v>
      </c>
      <c r="AH70" s="7"/>
      <c r="AI70" s="7"/>
      <c r="AJ70" s="7">
        <v>459</v>
      </c>
      <c r="AK70" s="7"/>
      <c r="AL70" s="7"/>
      <c r="AM70" s="7">
        <v>0</v>
      </c>
      <c r="AN70" s="7">
        <v>0</v>
      </c>
      <c r="AO70" s="7">
        <f t="shared" si="153"/>
        <v>177.79999999999998</v>
      </c>
      <c r="AP70" s="7"/>
      <c r="AQ70" s="7"/>
      <c r="AR70" s="7"/>
      <c r="AS70" s="4">
        <f t="shared" si="125"/>
        <v>381</v>
      </c>
      <c r="AT70" s="44">
        <f t="shared" si="154"/>
        <v>5.9259259259259248E-2</v>
      </c>
      <c r="AU70" s="25">
        <f t="shared" si="132"/>
        <v>672.57356899470892</v>
      </c>
      <c r="AV70" s="4">
        <f t="shared" si="133"/>
        <v>0.74</v>
      </c>
      <c r="AW70" s="4">
        <v>1.25</v>
      </c>
      <c r="AX70" s="25">
        <f t="shared" si="119"/>
        <v>5</v>
      </c>
      <c r="AY70" s="38">
        <f t="shared" si="120"/>
        <v>184.3349781689202</v>
      </c>
      <c r="AZ70" s="38">
        <f t="shared" si="121"/>
        <v>184.3349781689202</v>
      </c>
      <c r="BB70" s="38">
        <f t="shared" si="129"/>
        <v>184.33497816892</v>
      </c>
      <c r="BC70" s="38">
        <f t="shared" si="52"/>
        <v>1.0000000000000011</v>
      </c>
      <c r="BD70" s="38">
        <f t="shared" si="155"/>
        <v>1.5609301611827398</v>
      </c>
      <c r="BE70" s="4">
        <f t="shared" si="173"/>
        <v>0</v>
      </c>
      <c r="BF70" s="4">
        <f t="shared" si="53"/>
        <v>168.83173612995199</v>
      </c>
      <c r="BG70" s="4">
        <f t="shared" si="223"/>
        <v>1.1333333333333333</v>
      </c>
      <c r="BH70" s="38">
        <f t="shared" si="55"/>
        <v>287.73402718482913</v>
      </c>
      <c r="BI70" s="4">
        <f t="shared" si="224"/>
        <v>0.43160000000000009</v>
      </c>
      <c r="BJ70" s="4">
        <f t="shared" si="57"/>
        <v>38.073413646401619</v>
      </c>
      <c r="BK70" s="4">
        <f t="shared" si="58"/>
        <v>325.80744083123074</v>
      </c>
      <c r="BM70" s="36">
        <f t="shared" si="134"/>
        <v>1.1000000000000001</v>
      </c>
      <c r="BN70" s="36">
        <f t="shared" si="135"/>
        <v>167.35566437978727</v>
      </c>
      <c r="BS70" s="4">
        <f t="shared" si="174"/>
        <v>63.499999999999986</v>
      </c>
      <c r="BT70" s="4">
        <f t="shared" si="175"/>
        <v>63.499999999999986</v>
      </c>
      <c r="BU70" s="4">
        <f t="shared" si="176"/>
        <v>88.899999999999991</v>
      </c>
      <c r="BV70" s="4">
        <f t="shared" si="136"/>
        <v>76.199999999999989</v>
      </c>
      <c r="BW70" s="4">
        <f t="shared" si="177"/>
        <v>1.04</v>
      </c>
      <c r="BX70" s="25">
        <f t="shared" si="137"/>
        <v>3.1199999999999997</v>
      </c>
      <c r="BZ70" s="4">
        <f t="shared" si="178"/>
        <v>63.499999999999986</v>
      </c>
      <c r="CD70" s="9"/>
      <c r="CF70" s="9"/>
      <c r="CG70" s="9"/>
      <c r="CH70" s="9">
        <f t="shared" si="230"/>
        <v>50.8</v>
      </c>
      <c r="CI70" s="9">
        <f t="shared" si="231"/>
        <v>63.499999999999986</v>
      </c>
      <c r="CJ70" s="9">
        <f t="shared" si="70"/>
        <v>1.4623505735569622</v>
      </c>
      <c r="CK70" s="70">
        <v>0</v>
      </c>
      <c r="CL70" s="9">
        <f t="shared" si="71"/>
        <v>0</v>
      </c>
      <c r="CM70" s="9">
        <f t="shared" si="72"/>
        <v>0</v>
      </c>
      <c r="CN70" s="9">
        <f t="shared" si="73"/>
        <v>0.99524931562137331</v>
      </c>
      <c r="CO70" s="9">
        <f t="shared" si="74"/>
        <v>1.056</v>
      </c>
      <c r="CP70" s="9">
        <f t="shared" si="75"/>
        <v>1.6856736478198622</v>
      </c>
      <c r="CQ70" s="9">
        <f t="shared" si="76"/>
        <v>2.465045825719232</v>
      </c>
      <c r="CR70" s="9">
        <v>1</v>
      </c>
      <c r="CS70" s="9">
        <f t="shared" si="77"/>
        <v>216.92403266329242</v>
      </c>
      <c r="CU70" s="4">
        <f t="shared" si="209"/>
        <v>2.7186831724972711</v>
      </c>
      <c r="CV70" s="4">
        <f t="shared" si="210"/>
        <v>1.408807603745807</v>
      </c>
      <c r="CW70" s="4">
        <f t="shared" si="211"/>
        <v>2.7426618734479877</v>
      </c>
      <c r="CX70" s="4">
        <f t="shared" si="212"/>
        <v>2.1159481241640745</v>
      </c>
      <c r="CY70" s="4">
        <f t="shared" si="213"/>
        <v>1.4331139899777334</v>
      </c>
      <c r="CZ70" s="4">
        <f t="shared" si="214"/>
        <v>1.6633962074813795</v>
      </c>
      <c r="DA70" s="4">
        <f t="shared" si="162"/>
        <v>1.218492251746139</v>
      </c>
      <c r="DC70" s="4">
        <f t="shared" si="215"/>
        <v>2.7186831724972711</v>
      </c>
      <c r="DD70" s="4">
        <f t="shared" si="215"/>
        <v>1.408807603745807</v>
      </c>
      <c r="DE70" s="4">
        <f t="shared" si="216"/>
        <v>2.1159481241640745</v>
      </c>
      <c r="DF70" s="4">
        <f t="shared" si="217"/>
        <v>1.218492251746139</v>
      </c>
      <c r="DG70" s="4">
        <f t="shared" si="218"/>
        <v>1.4331139899777334</v>
      </c>
      <c r="DH70" s="4">
        <f t="shared" si="218"/>
        <v>1.6633962074813795</v>
      </c>
      <c r="DP70" s="4">
        <f t="shared" si="182"/>
        <v>0</v>
      </c>
      <c r="DQ70" s="4">
        <f t="shared" si="138"/>
        <v>381</v>
      </c>
      <c r="DR70" s="4">
        <f t="shared" si="139"/>
        <v>0.46666666666666662</v>
      </c>
      <c r="DT70" s="4">
        <f t="shared" si="81"/>
        <v>2.5033311258542346E-5</v>
      </c>
      <c r="DU70" s="4">
        <f t="shared" si="183"/>
        <v>5.7900347857029448</v>
      </c>
      <c r="DV70" s="4">
        <f t="shared" si="166"/>
        <v>0.48066032441776124</v>
      </c>
      <c r="DW70" s="4">
        <f t="shared" si="83"/>
        <v>4.3193309674909806</v>
      </c>
      <c r="DX70" s="4">
        <f t="shared" si="84"/>
        <v>5.1080025768674968</v>
      </c>
      <c r="DY70" s="4">
        <f t="shared" si="140"/>
        <v>5.3067104906481672</v>
      </c>
      <c r="DZ70" s="38">
        <f t="shared" si="86"/>
        <v>320.28157090779052</v>
      </c>
      <c r="EA70" s="4">
        <f t="shared" si="87"/>
        <v>1.0002121140175244</v>
      </c>
      <c r="EB70" s="4">
        <f t="shared" si="167"/>
        <v>2.2494443758403984</v>
      </c>
      <c r="EC70" s="4">
        <f t="shared" si="122"/>
        <v>184.33497816892</v>
      </c>
      <c r="EG70" s="4">
        <f t="shared" si="88"/>
        <v>0.85</v>
      </c>
      <c r="EH70" s="4">
        <f t="shared" si="89"/>
        <v>0.85000000000000009</v>
      </c>
      <c r="EI70" s="4">
        <f t="shared" si="141"/>
        <v>1</v>
      </c>
      <c r="EJ70" s="4">
        <f t="shared" si="91"/>
        <v>0.85000000000000009</v>
      </c>
      <c r="EL70" s="4">
        <f t="shared" si="142"/>
        <v>275.94147319536808</v>
      </c>
      <c r="EM70" s="25">
        <f t="shared" si="143"/>
        <v>181.80779675423688</v>
      </c>
      <c r="EO70" s="4">
        <f t="shared" si="168"/>
        <v>0.72250000000000003</v>
      </c>
      <c r="EP70" s="4">
        <f t="shared" si="144"/>
        <v>5.7900347857029448</v>
      </c>
      <c r="EQ70" s="4">
        <f t="shared" si="145"/>
        <v>5.2207585655726314</v>
      </c>
      <c r="ES70" s="4">
        <f t="shared" si="96"/>
        <v>57.135887146346114</v>
      </c>
      <c r="ET70" s="4">
        <f t="shared" si="184"/>
        <v>2.2494443758403984</v>
      </c>
      <c r="EU70" s="4">
        <f t="shared" si="98"/>
        <v>0.1204434502751171</v>
      </c>
      <c r="EX70" s="4">
        <f t="shared" si="185"/>
        <v>0.1204434502751171</v>
      </c>
      <c r="EY70" s="4">
        <f t="shared" si="100"/>
        <v>0.47985819191921475</v>
      </c>
      <c r="EZ70" s="4">
        <f t="shared" si="186"/>
        <v>4.3164462593677309</v>
      </c>
      <c r="FA70" s="4">
        <f t="shared" si="232"/>
        <v>5.1067841093562398</v>
      </c>
      <c r="FB70" s="4">
        <f t="shared" si="188"/>
        <v>228.61411285365389</v>
      </c>
      <c r="FC70" s="4">
        <f t="shared" si="189"/>
        <v>95.249999999999972</v>
      </c>
      <c r="FD70" s="4">
        <f t="shared" si="105"/>
        <v>2.5033311258542336E-5</v>
      </c>
      <c r="FE70" s="4">
        <f t="shared" si="233"/>
        <v>5.3068372704296802</v>
      </c>
      <c r="FF70" s="4">
        <f t="shared" si="146"/>
        <v>320.21364910421289</v>
      </c>
      <c r="FG70" s="4">
        <f t="shared" si="191"/>
        <v>120.66411285365388</v>
      </c>
      <c r="FH70" s="4">
        <f t="shared" si="192"/>
        <v>0</v>
      </c>
      <c r="FJ70" s="4">
        <f t="shared" si="147"/>
        <v>166.41788891550129</v>
      </c>
      <c r="FO70" s="23">
        <f t="shared" si="219"/>
        <v>2.2000000000000002</v>
      </c>
      <c r="FP70" s="23">
        <f t="shared" si="219"/>
        <v>1.6</v>
      </c>
      <c r="FQ70" s="23">
        <f t="shared" si="229"/>
        <v>1.4</v>
      </c>
      <c r="FR70" s="23">
        <f t="shared" si="220"/>
        <v>2.2000000000000002</v>
      </c>
      <c r="FS70" s="23">
        <f t="shared" si="220"/>
        <v>1.6</v>
      </c>
      <c r="FT70" s="23">
        <f t="shared" si="220"/>
        <v>1.8</v>
      </c>
      <c r="FU70" s="23">
        <f t="shared" si="221"/>
        <v>0</v>
      </c>
      <c r="FV70" s="23"/>
      <c r="GF70" s="4">
        <f t="shared" si="111"/>
        <v>1</v>
      </c>
      <c r="GG70" s="4">
        <f t="shared" si="112"/>
        <v>0.85000000000000009</v>
      </c>
      <c r="GH70" s="4">
        <f t="shared" si="113"/>
        <v>0</v>
      </c>
      <c r="GI70" s="4">
        <f t="shared" si="114"/>
        <v>376.69505024938655</v>
      </c>
    </row>
    <row r="71" spans="1:193" ht="12" hidden="1" customHeight="1" x14ac:dyDescent="0.3">
      <c r="A71" s="25">
        <v>52</v>
      </c>
      <c r="B71" s="20" t="s">
        <v>54</v>
      </c>
      <c r="C71" s="20">
        <v>2006</v>
      </c>
      <c r="D71" s="24" t="s">
        <v>55</v>
      </c>
      <c r="E71" s="24"/>
      <c r="F71" s="24"/>
      <c r="G71" s="24"/>
      <c r="H71" s="7" t="s">
        <v>66</v>
      </c>
      <c r="I71" s="7"/>
      <c r="J71" s="7">
        <v>472</v>
      </c>
      <c r="K71" s="7">
        <f t="shared" si="208"/>
        <v>381</v>
      </c>
      <c r="L71" s="7">
        <f t="shared" si="148"/>
        <v>177.79999999999998</v>
      </c>
      <c r="M71" s="7">
        <v>21</v>
      </c>
      <c r="N71" s="7">
        <v>25.4</v>
      </c>
      <c r="O71" s="7">
        <f t="shared" si="171"/>
        <v>15</v>
      </c>
      <c r="P71" s="7">
        <v>7</v>
      </c>
      <c r="Q71" s="7">
        <f t="shared" si="149"/>
        <v>152.39999999999998</v>
      </c>
      <c r="R71" s="7"/>
      <c r="S71" s="7">
        <f t="shared" si="130"/>
        <v>63.499999999999986</v>
      </c>
      <c r="T71" s="7"/>
      <c r="U71" s="7">
        <f t="shared" si="150"/>
        <v>50.8</v>
      </c>
      <c r="V71" s="7"/>
      <c r="W71" s="7">
        <v>0</v>
      </c>
      <c r="X71" s="7">
        <v>1</v>
      </c>
      <c r="Y71" s="7"/>
      <c r="Z71" s="7"/>
      <c r="AA71" s="7">
        <f t="shared" si="151"/>
        <v>88.899999999999991</v>
      </c>
      <c r="AB71" s="7">
        <f t="shared" si="131"/>
        <v>2.9999999999999996</v>
      </c>
      <c r="AC71" s="7">
        <f t="shared" si="152"/>
        <v>4</v>
      </c>
      <c r="AD71" s="7">
        <v>4.7</v>
      </c>
      <c r="AE71" s="7">
        <f t="shared" si="172"/>
        <v>4.7</v>
      </c>
      <c r="AF71" s="7">
        <f t="shared" si="46"/>
        <v>5.7</v>
      </c>
      <c r="AG71" s="7">
        <f t="shared" si="47"/>
        <v>60.641668842471674</v>
      </c>
      <c r="AH71" s="7"/>
      <c r="AI71" s="7"/>
      <c r="AJ71" s="7">
        <v>413</v>
      </c>
      <c r="AK71" s="7"/>
      <c r="AL71" s="7"/>
      <c r="AM71" s="7">
        <v>0</v>
      </c>
      <c r="AN71" s="7">
        <v>0</v>
      </c>
      <c r="AO71" s="7">
        <f t="shared" si="153"/>
        <v>177.79999999999998</v>
      </c>
      <c r="AP71" s="7"/>
      <c r="AQ71" s="7"/>
      <c r="AR71" s="7"/>
      <c r="AS71" s="4">
        <f t="shared" si="125"/>
        <v>381</v>
      </c>
      <c r="AT71" s="44">
        <f t="shared" si="154"/>
        <v>5.9259259259259248E-2</v>
      </c>
      <c r="AU71" s="25">
        <f t="shared" si="132"/>
        <v>672.57356899470892</v>
      </c>
      <c r="AV71" s="4">
        <f t="shared" si="133"/>
        <v>0.74</v>
      </c>
      <c r="AW71" s="4">
        <v>1.25</v>
      </c>
      <c r="AX71" s="25">
        <f t="shared" si="119"/>
        <v>5</v>
      </c>
      <c r="AY71" s="38">
        <f t="shared" si="120"/>
        <v>184.3349781689202</v>
      </c>
      <c r="AZ71" s="38">
        <f t="shared" si="121"/>
        <v>184.3349781689202</v>
      </c>
      <c r="BB71" s="38">
        <f t="shared" si="129"/>
        <v>184.33497816892</v>
      </c>
      <c r="BC71" s="38">
        <f t="shared" si="52"/>
        <v>1.0000000000000011</v>
      </c>
      <c r="BD71" s="38">
        <f t="shared" si="155"/>
        <v>1.6794589169432566</v>
      </c>
      <c r="BE71" s="4">
        <f t="shared" si="173"/>
        <v>0</v>
      </c>
      <c r="BF71" s="4">
        <f t="shared" si="53"/>
        <v>168.83173612995199</v>
      </c>
      <c r="BG71" s="4">
        <f t="shared" si="223"/>
        <v>1.1333333333333333</v>
      </c>
      <c r="BH71" s="38">
        <f t="shared" si="55"/>
        <v>309.58302279033325</v>
      </c>
      <c r="BI71" s="4">
        <f t="shared" si="224"/>
        <v>0.34199999999999997</v>
      </c>
      <c r="BJ71" s="4">
        <f t="shared" si="57"/>
        <v>30.169387087741768</v>
      </c>
      <c r="BK71" s="4">
        <f t="shared" si="58"/>
        <v>339.75240987807501</v>
      </c>
      <c r="BM71" s="36">
        <f t="shared" si="134"/>
        <v>1.1000000000000001</v>
      </c>
      <c r="BN71" s="36">
        <f t="shared" si="135"/>
        <v>167.35566437978727</v>
      </c>
      <c r="BS71" s="4">
        <f t="shared" si="174"/>
        <v>63.499999999999986</v>
      </c>
      <c r="BT71" s="4">
        <f t="shared" si="175"/>
        <v>63.499999999999986</v>
      </c>
      <c r="BU71" s="4">
        <f t="shared" si="176"/>
        <v>88.899999999999991</v>
      </c>
      <c r="BV71" s="4">
        <f t="shared" si="136"/>
        <v>76.199999999999989</v>
      </c>
      <c r="BW71" s="4">
        <f t="shared" si="177"/>
        <v>1.04</v>
      </c>
      <c r="BX71" s="25">
        <f t="shared" si="137"/>
        <v>3.1199999999999997</v>
      </c>
      <c r="BZ71" s="4">
        <f t="shared" si="178"/>
        <v>63.499999999999986</v>
      </c>
      <c r="CD71" s="9"/>
      <c r="CF71" s="9"/>
      <c r="CG71" s="9"/>
      <c r="CH71" s="9">
        <f t="shared" si="230"/>
        <v>50.8</v>
      </c>
      <c r="CI71" s="9">
        <f t="shared" si="231"/>
        <v>63.499999999999986</v>
      </c>
      <c r="CJ71" s="9">
        <f t="shared" si="70"/>
        <v>1.4623505735569622</v>
      </c>
      <c r="CK71" s="70">
        <v>0</v>
      </c>
      <c r="CL71" s="9">
        <f t="shared" si="71"/>
        <v>0</v>
      </c>
      <c r="CM71" s="9">
        <f t="shared" si="72"/>
        <v>0</v>
      </c>
      <c r="CN71" s="9">
        <f t="shared" si="73"/>
        <v>0.99524931562137331</v>
      </c>
      <c r="CO71" s="9">
        <f t="shared" si="74"/>
        <v>1.056</v>
      </c>
      <c r="CP71" s="9">
        <f t="shared" si="75"/>
        <v>1.6856736478198622</v>
      </c>
      <c r="CQ71" s="9">
        <f t="shared" si="76"/>
        <v>2.465045825719232</v>
      </c>
      <c r="CR71" s="9">
        <v>1</v>
      </c>
      <c r="CS71" s="9">
        <f t="shared" si="77"/>
        <v>216.92403266329242</v>
      </c>
      <c r="CU71" s="4">
        <f t="shared" si="209"/>
        <v>2.4462225495454746</v>
      </c>
      <c r="CV71" s="4">
        <f t="shared" si="210"/>
        <v>1.2155910833662988</v>
      </c>
      <c r="CW71" s="4">
        <f t="shared" si="211"/>
        <v>2.4677981562832656</v>
      </c>
      <c r="CX71" s="4">
        <f t="shared" si="212"/>
        <v>1.9038923208709428</v>
      </c>
      <c r="CY71" s="4">
        <f t="shared" si="213"/>
        <v>1.3016046889462036</v>
      </c>
      <c r="CZ71" s="4">
        <f t="shared" si="214"/>
        <v>1.4916330668423277</v>
      </c>
      <c r="DA71" s="4">
        <f t="shared" si="162"/>
        <v>1.0963775598500118</v>
      </c>
      <c r="DC71" s="4">
        <f t="shared" si="215"/>
        <v>2.4462225495454746</v>
      </c>
      <c r="DD71" s="4">
        <f t="shared" si="215"/>
        <v>1.2155910833662988</v>
      </c>
      <c r="DE71" s="4">
        <f t="shared" si="216"/>
        <v>1.9038923208709428</v>
      </c>
      <c r="DF71" s="4">
        <f t="shared" si="217"/>
        <v>1.0963775598500118</v>
      </c>
      <c r="DG71" s="4">
        <f t="shared" si="218"/>
        <v>1.3016046889462036</v>
      </c>
      <c r="DH71" s="4">
        <f t="shared" si="218"/>
        <v>1.4916330668423277</v>
      </c>
      <c r="DP71" s="4">
        <f t="shared" si="182"/>
        <v>0</v>
      </c>
      <c r="DQ71" s="4">
        <f t="shared" si="138"/>
        <v>381</v>
      </c>
      <c r="DR71" s="4">
        <f t="shared" si="139"/>
        <v>0.46666666666666662</v>
      </c>
      <c r="DT71" s="4">
        <f t="shared" si="81"/>
        <v>2.5033311258542346E-5</v>
      </c>
      <c r="DU71" s="4">
        <f t="shared" si="183"/>
        <v>5.7900347857029448</v>
      </c>
      <c r="DV71" s="4">
        <f t="shared" si="166"/>
        <v>0.44068535720017393</v>
      </c>
      <c r="DW71" s="4">
        <f t="shared" si="83"/>
        <v>4.1718878112344715</v>
      </c>
      <c r="DX71" s="4">
        <f t="shared" si="84"/>
        <v>5.0464119235403171</v>
      </c>
      <c r="DY71" s="4">
        <f t="shared" si="140"/>
        <v>5.3140221662208873</v>
      </c>
      <c r="DZ71" s="38">
        <f t="shared" si="86"/>
        <v>317.30063936260882</v>
      </c>
      <c r="EA71" s="4">
        <f t="shared" si="87"/>
        <v>1.0002066216475634</v>
      </c>
      <c r="EB71" s="4">
        <f t="shared" si="167"/>
        <v>2.3874672772626644</v>
      </c>
      <c r="EC71" s="4">
        <f t="shared" si="122"/>
        <v>184.33497816892</v>
      </c>
      <c r="EG71" s="4">
        <f t="shared" si="88"/>
        <v>0.85</v>
      </c>
      <c r="EH71" s="4">
        <f t="shared" si="89"/>
        <v>0.85000000000000009</v>
      </c>
      <c r="EI71" s="4">
        <f t="shared" si="141"/>
        <v>1</v>
      </c>
      <c r="EJ71" s="4">
        <f t="shared" si="91"/>
        <v>0.85000000000000009</v>
      </c>
      <c r="EL71" s="4">
        <f t="shared" si="142"/>
        <v>276.87774505716021</v>
      </c>
      <c r="EM71" s="25">
        <f t="shared" si="143"/>
        <v>181.80779675423688</v>
      </c>
      <c r="EO71" s="4">
        <f t="shared" si="168"/>
        <v>0.72250000000000003</v>
      </c>
      <c r="EP71" s="4">
        <f t="shared" si="144"/>
        <v>5.7900347857029448</v>
      </c>
      <c r="EQ71" s="4">
        <f t="shared" si="145"/>
        <v>5.2207585655726314</v>
      </c>
      <c r="ES71" s="4">
        <f t="shared" si="96"/>
        <v>60.641668842471674</v>
      </c>
      <c r="ET71" s="4">
        <f t="shared" si="184"/>
        <v>2.3874672772626644</v>
      </c>
      <c r="EU71" s="4">
        <f t="shared" si="98"/>
        <v>0.11042655740559822</v>
      </c>
      <c r="EX71" s="4">
        <f t="shared" si="185"/>
        <v>0.11042655740559822</v>
      </c>
      <c r="EY71" s="4">
        <f t="shared" si="100"/>
        <v>0.4399499354715925</v>
      </c>
      <c r="EZ71" s="4">
        <f t="shared" si="186"/>
        <v>4.1691015744887965</v>
      </c>
      <c r="FA71" s="4">
        <f t="shared" si="232"/>
        <v>5.0452617256677321</v>
      </c>
      <c r="FB71" s="4">
        <f t="shared" si="188"/>
        <v>225.10833115752831</v>
      </c>
      <c r="FC71" s="4">
        <f t="shared" si="189"/>
        <v>95.25</v>
      </c>
      <c r="FD71" s="4">
        <f t="shared" si="105"/>
        <v>2.5033311258542346E-5</v>
      </c>
      <c r="FE71" s="4">
        <f t="shared" si="233"/>
        <v>5.3141445144905157</v>
      </c>
      <c r="FF71" s="4">
        <f t="shared" si="146"/>
        <v>317.23509172529162</v>
      </c>
      <c r="FG71" s="4">
        <f t="shared" si="191"/>
        <v>117.15833115752831</v>
      </c>
      <c r="FH71" s="4">
        <f t="shared" si="192"/>
        <v>0</v>
      </c>
      <c r="FJ71" s="4">
        <f t="shared" si="147"/>
        <v>165.48161705370916</v>
      </c>
      <c r="FO71" s="23">
        <f t="shared" si="219"/>
        <v>2.2000000000000002</v>
      </c>
      <c r="FP71" s="23">
        <f t="shared" si="219"/>
        <v>1.4</v>
      </c>
      <c r="FQ71" s="23">
        <f t="shared" si="229"/>
        <v>1.2</v>
      </c>
      <c r="FR71" s="23">
        <f t="shared" si="220"/>
        <v>2</v>
      </c>
      <c r="FS71" s="23">
        <f t="shared" si="220"/>
        <v>1.4</v>
      </c>
      <c r="FT71" s="23">
        <f t="shared" si="220"/>
        <v>1.6</v>
      </c>
      <c r="FU71" s="23">
        <f t="shared" si="221"/>
        <v>0</v>
      </c>
      <c r="FV71" s="23"/>
      <c r="GF71" s="4">
        <f t="shared" si="111"/>
        <v>1</v>
      </c>
      <c r="GG71" s="4">
        <f t="shared" si="112"/>
        <v>0.85000000000000009</v>
      </c>
      <c r="GH71" s="4">
        <f t="shared" si="113"/>
        <v>0</v>
      </c>
      <c r="GI71" s="4">
        <f t="shared" si="114"/>
        <v>376.69505024938655</v>
      </c>
    </row>
    <row r="72" spans="1:193" ht="12" hidden="1" customHeight="1" x14ac:dyDescent="0.3">
      <c r="A72" s="25">
        <v>53</v>
      </c>
      <c r="B72" s="20" t="s">
        <v>54</v>
      </c>
      <c r="C72" s="20">
        <v>2006</v>
      </c>
      <c r="D72" s="24" t="s">
        <v>55</v>
      </c>
      <c r="E72" s="24"/>
      <c r="F72" s="24"/>
      <c r="G72" s="24"/>
      <c r="H72" s="7" t="s">
        <v>281</v>
      </c>
      <c r="I72" s="7"/>
      <c r="J72" s="7">
        <v>472</v>
      </c>
      <c r="K72" s="7">
        <f t="shared" si="208"/>
        <v>381</v>
      </c>
      <c r="L72" s="7">
        <f t="shared" si="148"/>
        <v>177.79999999999998</v>
      </c>
      <c r="M72" s="7">
        <v>27</v>
      </c>
      <c r="N72" s="7">
        <v>25.4</v>
      </c>
      <c r="O72" s="7">
        <f t="shared" si="171"/>
        <v>15</v>
      </c>
      <c r="P72" s="7">
        <v>7</v>
      </c>
      <c r="Q72" s="7">
        <f t="shared" si="149"/>
        <v>152.39999999999998</v>
      </c>
      <c r="R72" s="7"/>
      <c r="S72" s="7">
        <f t="shared" si="130"/>
        <v>63.499999999999986</v>
      </c>
      <c r="T72" s="7"/>
      <c r="U72" s="7">
        <f t="shared" si="150"/>
        <v>50.8</v>
      </c>
      <c r="V72" s="7"/>
      <c r="W72" s="7">
        <v>0</v>
      </c>
      <c r="X72" s="7">
        <v>1</v>
      </c>
      <c r="Y72" s="7"/>
      <c r="Z72" s="7"/>
      <c r="AA72" s="7">
        <f t="shared" si="151"/>
        <v>88.899999999999991</v>
      </c>
      <c r="AB72" s="7">
        <f t="shared" si="131"/>
        <v>2.9999999999999996</v>
      </c>
      <c r="AC72" s="7">
        <f t="shared" si="152"/>
        <v>4</v>
      </c>
      <c r="AD72" s="7">
        <v>4.7</v>
      </c>
      <c r="AE72" s="7">
        <f t="shared" si="172"/>
        <v>4.7</v>
      </c>
      <c r="AF72" s="7">
        <f t="shared" si="46"/>
        <v>5.7</v>
      </c>
      <c r="AG72" s="7">
        <f t="shared" si="47"/>
        <v>60.641668842471674</v>
      </c>
      <c r="AH72" s="7"/>
      <c r="AI72" s="7"/>
      <c r="AJ72" s="7">
        <v>471</v>
      </c>
      <c r="AK72" s="7"/>
      <c r="AL72" s="7"/>
      <c r="AM72" s="7">
        <v>0</v>
      </c>
      <c r="AN72" s="7">
        <v>0</v>
      </c>
      <c r="AO72" s="7">
        <f t="shared" si="153"/>
        <v>177.79999999999998</v>
      </c>
      <c r="AP72" s="7"/>
      <c r="AQ72" s="7"/>
      <c r="AR72" s="7"/>
      <c r="AS72" s="4">
        <f t="shared" si="125"/>
        <v>381</v>
      </c>
      <c r="AT72" s="44">
        <f t="shared" si="154"/>
        <v>5.9259259259259248E-2</v>
      </c>
      <c r="AU72" s="25">
        <f t="shared" si="132"/>
        <v>762.62674369506078</v>
      </c>
      <c r="AV72" s="4">
        <f t="shared" si="133"/>
        <v>0.74</v>
      </c>
      <c r="AW72" s="4">
        <v>1.25</v>
      </c>
      <c r="AX72" s="25">
        <f t="shared" si="119"/>
        <v>5</v>
      </c>
      <c r="AY72" s="38">
        <f t="shared" si="120"/>
        <v>209.01621864234997</v>
      </c>
      <c r="AZ72" s="38">
        <f t="shared" si="121"/>
        <v>209.01621864234997</v>
      </c>
      <c r="BB72" s="38">
        <f t="shared" si="129"/>
        <v>209.0162186423498</v>
      </c>
      <c r="BC72" s="38">
        <f t="shared" si="52"/>
        <v>1.0000000000000009</v>
      </c>
      <c r="BD72" s="38">
        <f t="shared" si="155"/>
        <v>1.9043274134493156</v>
      </c>
      <c r="BE72" s="4">
        <f t="shared" si="173"/>
        <v>0</v>
      </c>
      <c r="BF72" s="4">
        <f t="shared" si="53"/>
        <v>191.43719452077065</v>
      </c>
      <c r="BG72" s="4">
        <f t="shared" si="223"/>
        <v>1.1333333333333333</v>
      </c>
      <c r="BH72" s="38">
        <f t="shared" si="55"/>
        <v>398.03531501614259</v>
      </c>
      <c r="BI72" s="4">
        <f t="shared" si="224"/>
        <v>0.34199999999999997</v>
      </c>
      <c r="BJ72" s="4">
        <f t="shared" si="57"/>
        <v>34.208869474889106</v>
      </c>
      <c r="BK72" s="4">
        <f t="shared" si="58"/>
        <v>432.24418449103172</v>
      </c>
      <c r="BM72" s="36">
        <f t="shared" si="134"/>
        <v>1.1000000000000001</v>
      </c>
      <c r="BN72" s="36">
        <f t="shared" si="135"/>
        <v>189.7634864772462</v>
      </c>
      <c r="BS72" s="4">
        <f t="shared" si="174"/>
        <v>63.499999999999986</v>
      </c>
      <c r="BT72" s="4">
        <f t="shared" si="175"/>
        <v>63.499999999999986</v>
      </c>
      <c r="BU72" s="4">
        <f t="shared" si="176"/>
        <v>88.899999999999991</v>
      </c>
      <c r="BV72" s="4">
        <f t="shared" si="136"/>
        <v>76.199999999999989</v>
      </c>
      <c r="BW72" s="4">
        <f t="shared" si="177"/>
        <v>1.04</v>
      </c>
      <c r="BX72" s="25">
        <f t="shared" si="137"/>
        <v>3.1199999999999997</v>
      </c>
      <c r="BZ72" s="4">
        <f t="shared" si="178"/>
        <v>63.499999999999986</v>
      </c>
      <c r="CD72" s="9"/>
      <c r="CF72" s="9"/>
      <c r="CG72" s="9"/>
      <c r="CH72" s="9">
        <f t="shared" si="230"/>
        <v>50.8</v>
      </c>
      <c r="CI72" s="9">
        <f t="shared" si="231"/>
        <v>63.499999999999986</v>
      </c>
      <c r="CJ72" s="9">
        <f t="shared" si="70"/>
        <v>1.4623505735569622</v>
      </c>
      <c r="CK72" s="70">
        <v>0</v>
      </c>
      <c r="CL72" s="9">
        <f t="shared" si="71"/>
        <v>0</v>
      </c>
      <c r="CM72" s="9">
        <f t="shared" si="72"/>
        <v>0</v>
      </c>
      <c r="CN72" s="9">
        <f t="shared" si="73"/>
        <v>0.99524931562137331</v>
      </c>
      <c r="CO72" s="9">
        <f t="shared" si="74"/>
        <v>1.056</v>
      </c>
      <c r="CP72" s="9">
        <f t="shared" si="75"/>
        <v>1.911374255891328</v>
      </c>
      <c r="CQ72" s="9">
        <f t="shared" si="76"/>
        <v>2.7950992393846952</v>
      </c>
      <c r="CR72" s="9">
        <v>1</v>
      </c>
      <c r="CS72" s="9">
        <f t="shared" si="77"/>
        <v>245.96873306585317</v>
      </c>
      <c r="CU72" s="4">
        <f t="shared" si="209"/>
        <v>2.4603369328466482</v>
      </c>
      <c r="CV72" s="4">
        <f t="shared" si="210"/>
        <v>1.0896618552649895</v>
      </c>
      <c r="CW72" s="4">
        <f t="shared" si="211"/>
        <v>2.4820370280057844</v>
      </c>
      <c r="CX72" s="4">
        <f t="shared" si="212"/>
        <v>1.9148775298765279</v>
      </c>
      <c r="CY72" s="4">
        <f t="shared" si="213"/>
        <v>1.3236602712925347</v>
      </c>
      <c r="CZ72" s="4">
        <f t="shared" si="214"/>
        <v>1.4864600348804182</v>
      </c>
      <c r="DA72" s="4">
        <f t="shared" si="162"/>
        <v>1.1742075706255921</v>
      </c>
      <c r="DC72" s="4">
        <f t="shared" si="215"/>
        <v>2.4603369328466482</v>
      </c>
      <c r="DD72" s="4">
        <f t="shared" si="215"/>
        <v>1.0896618552649895</v>
      </c>
      <c r="DE72" s="4">
        <f t="shared" si="216"/>
        <v>1.9148775298765279</v>
      </c>
      <c r="DF72" s="4">
        <f t="shared" si="217"/>
        <v>1.1742075706255921</v>
      </c>
      <c r="DG72" s="4">
        <f t="shared" si="218"/>
        <v>1.3236602712925347</v>
      </c>
      <c r="DH72" s="4">
        <f t="shared" si="218"/>
        <v>1.4864600348804182</v>
      </c>
      <c r="DP72" s="4">
        <f t="shared" si="182"/>
        <v>0</v>
      </c>
      <c r="DQ72" s="4">
        <f t="shared" si="138"/>
        <v>381</v>
      </c>
      <c r="DR72" s="4">
        <f t="shared" si="139"/>
        <v>0.46666666666666662</v>
      </c>
      <c r="DT72" s="4">
        <f t="shared" si="81"/>
        <v>2.6209296574030622E-5</v>
      </c>
      <c r="DU72" s="4">
        <f t="shared" si="183"/>
        <v>6.5652823394499222</v>
      </c>
      <c r="DV72" s="4">
        <f t="shared" si="166"/>
        <v>0.38864795385977591</v>
      </c>
      <c r="DW72" s="4">
        <f t="shared" si="83"/>
        <v>4.4985853216219667</v>
      </c>
      <c r="DX72" s="4">
        <f t="shared" si="84"/>
        <v>5.6279431202056429</v>
      </c>
      <c r="DY72" s="4">
        <f t="shared" si="140"/>
        <v>5.9380820517460586</v>
      </c>
      <c r="DZ72" s="38">
        <f t="shared" si="86"/>
        <v>355.83148502302288</v>
      </c>
      <c r="EA72" s="4">
        <f t="shared" si="87"/>
        <v>1.0001936169023238</v>
      </c>
      <c r="EB72" s="4">
        <f t="shared" si="167"/>
        <v>2.3874672772626644</v>
      </c>
      <c r="EC72" s="4">
        <f t="shared" si="122"/>
        <v>209.0162186423498</v>
      </c>
      <c r="EG72" s="4">
        <f t="shared" si="88"/>
        <v>0.85</v>
      </c>
      <c r="EH72" s="4">
        <f t="shared" si="89"/>
        <v>0.85000000000000009</v>
      </c>
      <c r="EI72" s="4">
        <f t="shared" si="141"/>
        <v>1</v>
      </c>
      <c r="EJ72" s="4">
        <f t="shared" si="91"/>
        <v>0.85000000000000009</v>
      </c>
      <c r="EL72" s="4">
        <f t="shared" si="142"/>
        <v>316.86018389178605</v>
      </c>
      <c r="EM72" s="25">
        <f t="shared" si="143"/>
        <v>206.15066426755152</v>
      </c>
      <c r="EO72" s="4">
        <f t="shared" si="168"/>
        <v>0.72250000000000003</v>
      </c>
      <c r="EP72" s="4">
        <f t="shared" si="144"/>
        <v>6.5652823394499222</v>
      </c>
      <c r="EQ72" s="4">
        <f t="shared" si="145"/>
        <v>5.9197837798352051</v>
      </c>
      <c r="ES72" s="4">
        <f t="shared" si="96"/>
        <v>60.641668842471674</v>
      </c>
      <c r="ET72" s="4">
        <f t="shared" si="184"/>
        <v>2.3874672772626644</v>
      </c>
      <c r="EU72" s="4">
        <f t="shared" si="98"/>
        <v>0.11042655740559822</v>
      </c>
      <c r="EX72" s="4">
        <f t="shared" si="185"/>
        <v>0.11042655740559822</v>
      </c>
      <c r="EY72" s="4">
        <f t="shared" si="100"/>
        <v>0.387999372858916</v>
      </c>
      <c r="EZ72" s="4">
        <f t="shared" si="186"/>
        <v>4.4955808966964188</v>
      </c>
      <c r="FA72" s="4">
        <f t="shared" si="232"/>
        <v>5.6267446669320007</v>
      </c>
      <c r="FB72" s="4">
        <f t="shared" si="188"/>
        <v>225.10833115752831</v>
      </c>
      <c r="FC72" s="4">
        <f t="shared" si="189"/>
        <v>95.25</v>
      </c>
      <c r="FD72" s="4">
        <f t="shared" si="105"/>
        <v>2.6209296574030622E-5</v>
      </c>
      <c r="FE72" s="4">
        <f t="shared" si="233"/>
        <v>5.9382350875445296</v>
      </c>
      <c r="FF72" s="4">
        <f t="shared" si="146"/>
        <v>355.76260336979578</v>
      </c>
      <c r="FG72" s="4">
        <f t="shared" si="191"/>
        <v>117.15833115752831</v>
      </c>
      <c r="FH72" s="4">
        <f t="shared" si="192"/>
        <v>0</v>
      </c>
      <c r="FJ72" s="4">
        <f t="shared" si="147"/>
        <v>184.72818565101193</v>
      </c>
      <c r="FO72" s="23">
        <f t="shared" si="219"/>
        <v>2.2000000000000002</v>
      </c>
      <c r="FP72" s="23">
        <f t="shared" si="219"/>
        <v>1.2</v>
      </c>
      <c r="FQ72" s="23">
        <f t="shared" si="229"/>
        <v>1.2</v>
      </c>
      <c r="FR72" s="23">
        <f t="shared" si="220"/>
        <v>2</v>
      </c>
      <c r="FS72" s="23">
        <f t="shared" si="220"/>
        <v>1.4</v>
      </c>
      <c r="FT72" s="23">
        <f t="shared" si="220"/>
        <v>1.6</v>
      </c>
      <c r="FU72" s="23">
        <f t="shared" si="221"/>
        <v>0</v>
      </c>
      <c r="FV72" s="23"/>
      <c r="GF72" s="4">
        <f t="shared" si="111"/>
        <v>1</v>
      </c>
      <c r="GG72" s="4">
        <f t="shared" si="112"/>
        <v>0.85000000000000009</v>
      </c>
      <c r="GH72" s="4">
        <f t="shared" si="113"/>
        <v>0</v>
      </c>
      <c r="GI72" s="4">
        <f t="shared" si="114"/>
        <v>401.12158342588572</v>
      </c>
    </row>
    <row r="73" spans="1:193" ht="12" hidden="1" customHeight="1" x14ac:dyDescent="0.3">
      <c r="A73" s="25">
        <v>54</v>
      </c>
      <c r="B73" s="20" t="s">
        <v>54</v>
      </c>
      <c r="C73" s="20">
        <v>2006</v>
      </c>
      <c r="D73" s="24" t="s">
        <v>55</v>
      </c>
      <c r="E73" s="24"/>
      <c r="F73" s="24"/>
      <c r="G73" s="24"/>
      <c r="H73" s="7" t="s">
        <v>282</v>
      </c>
      <c r="I73" s="7"/>
      <c r="J73" s="7">
        <v>472</v>
      </c>
      <c r="K73" s="7">
        <f t="shared" si="208"/>
        <v>381</v>
      </c>
      <c r="L73" s="7">
        <f t="shared" si="148"/>
        <v>177.79999999999998</v>
      </c>
      <c r="M73" s="7">
        <v>21</v>
      </c>
      <c r="N73" s="7">
        <v>25.4</v>
      </c>
      <c r="O73" s="7">
        <f t="shared" si="171"/>
        <v>15</v>
      </c>
      <c r="P73" s="7">
        <v>7</v>
      </c>
      <c r="Q73" s="7">
        <f t="shared" si="149"/>
        <v>152.39999999999998</v>
      </c>
      <c r="R73" s="7"/>
      <c r="S73" s="7">
        <f t="shared" si="130"/>
        <v>63.499999999999986</v>
      </c>
      <c r="T73" s="7"/>
      <c r="U73" s="7">
        <f t="shared" si="150"/>
        <v>50.8</v>
      </c>
      <c r="V73" s="7"/>
      <c r="W73" s="7">
        <v>0</v>
      </c>
      <c r="X73" s="7">
        <v>1</v>
      </c>
      <c r="Y73" s="7"/>
      <c r="Z73" s="7"/>
      <c r="AA73" s="7">
        <f t="shared" si="151"/>
        <v>88.899999999999991</v>
      </c>
      <c r="AB73" s="7">
        <f t="shared" si="131"/>
        <v>2.9999999999999996</v>
      </c>
      <c r="AC73" s="7">
        <f t="shared" si="152"/>
        <v>4</v>
      </c>
      <c r="AD73" s="7">
        <v>10.39</v>
      </c>
      <c r="AE73" s="7">
        <f t="shared" si="172"/>
        <v>10.39</v>
      </c>
      <c r="AF73" s="7">
        <f t="shared" si="46"/>
        <v>11.39</v>
      </c>
      <c r="AG73" s="7">
        <f t="shared" si="47"/>
        <v>85.722648115885917</v>
      </c>
      <c r="AH73" s="7"/>
      <c r="AI73" s="7"/>
      <c r="AJ73" s="7">
        <v>376</v>
      </c>
      <c r="AK73" s="7"/>
      <c r="AL73" s="7"/>
      <c r="AM73" s="7">
        <v>0</v>
      </c>
      <c r="AN73" s="7">
        <v>0</v>
      </c>
      <c r="AO73" s="7">
        <f t="shared" si="153"/>
        <v>177.79999999999998</v>
      </c>
      <c r="AP73" s="7"/>
      <c r="AQ73" s="7"/>
      <c r="AR73" s="7"/>
      <c r="AS73" s="4">
        <f t="shared" si="125"/>
        <v>381</v>
      </c>
      <c r="AT73" s="44">
        <f t="shared" si="154"/>
        <v>5.9259259259259248E-2</v>
      </c>
      <c r="AU73" s="25">
        <f t="shared" si="132"/>
        <v>672.57356899470892</v>
      </c>
      <c r="AV73" s="4">
        <f t="shared" si="133"/>
        <v>0.74</v>
      </c>
      <c r="AW73" s="4">
        <v>1.25</v>
      </c>
      <c r="AX73" s="25">
        <f t="shared" si="119"/>
        <v>5</v>
      </c>
      <c r="AY73" s="38">
        <f t="shared" si="120"/>
        <v>184.3349781689202</v>
      </c>
      <c r="AZ73" s="38">
        <f t="shared" si="121"/>
        <v>184.3349781689202</v>
      </c>
      <c r="BB73" s="38">
        <f t="shared" si="129"/>
        <v>184.33497816892</v>
      </c>
      <c r="BC73" s="38">
        <f t="shared" si="52"/>
        <v>1.0000000000000011</v>
      </c>
      <c r="BD73" s="38">
        <f t="shared" si="155"/>
        <v>2.4970556966813486</v>
      </c>
      <c r="BE73" s="4">
        <f t="shared" si="173"/>
        <v>0</v>
      </c>
      <c r="BF73" s="4">
        <f t="shared" si="53"/>
        <v>168.83173612995199</v>
      </c>
      <c r="BG73" s="4">
        <f t="shared" si="223"/>
        <v>1.1333333333333333</v>
      </c>
      <c r="BH73" s="38">
        <f t="shared" si="55"/>
        <v>460.29470733433374</v>
      </c>
      <c r="BI73" s="4">
        <f t="shared" si="224"/>
        <v>0.3</v>
      </c>
      <c r="BJ73" s="4">
        <f t="shared" si="57"/>
        <v>26.464374638369975</v>
      </c>
      <c r="BK73" s="4">
        <f t="shared" si="58"/>
        <v>486.75908197270371</v>
      </c>
      <c r="BM73" s="36">
        <f t="shared" si="134"/>
        <v>1.1000000000000001</v>
      </c>
      <c r="BN73" s="36">
        <f t="shared" si="135"/>
        <v>167.35566437978727</v>
      </c>
      <c r="BS73" s="4">
        <f t="shared" si="174"/>
        <v>63.499999999999986</v>
      </c>
      <c r="BT73" s="4">
        <f t="shared" si="175"/>
        <v>63.499999999999986</v>
      </c>
      <c r="BU73" s="4">
        <f t="shared" si="176"/>
        <v>88.899999999999991</v>
      </c>
      <c r="BV73" s="4">
        <f t="shared" si="136"/>
        <v>76.199999999999989</v>
      </c>
      <c r="BW73" s="4">
        <f t="shared" si="177"/>
        <v>1.04</v>
      </c>
      <c r="BX73" s="25">
        <f t="shared" si="137"/>
        <v>3.1199999999999997</v>
      </c>
      <c r="BZ73" s="4">
        <f t="shared" si="178"/>
        <v>63.499999999999986</v>
      </c>
      <c r="CD73" s="9"/>
      <c r="CF73" s="9"/>
      <c r="CG73" s="9"/>
      <c r="CH73" s="9">
        <f t="shared" si="230"/>
        <v>50.8</v>
      </c>
      <c r="CI73" s="9">
        <f t="shared" si="231"/>
        <v>63.499999999999986</v>
      </c>
      <c r="CJ73" s="9">
        <f t="shared" si="70"/>
        <v>1.4623505735569622</v>
      </c>
      <c r="CK73" s="70">
        <v>0</v>
      </c>
      <c r="CL73" s="9">
        <f t="shared" si="71"/>
        <v>0</v>
      </c>
      <c r="CM73" s="9">
        <f t="shared" si="72"/>
        <v>0</v>
      </c>
      <c r="CN73" s="9">
        <f t="shared" si="73"/>
        <v>0.99524931562137331</v>
      </c>
      <c r="CO73" s="9">
        <f t="shared" si="74"/>
        <v>1.056</v>
      </c>
      <c r="CP73" s="9">
        <f t="shared" si="75"/>
        <v>1.6856736478198622</v>
      </c>
      <c r="CQ73" s="9">
        <f t="shared" si="76"/>
        <v>2.465045825719232</v>
      </c>
      <c r="CR73" s="9">
        <v>1</v>
      </c>
      <c r="CS73" s="9">
        <f t="shared" si="77"/>
        <v>216.92403266329242</v>
      </c>
      <c r="CU73" s="4">
        <f t="shared" si="209"/>
        <v>2.2270694397798994</v>
      </c>
      <c r="CV73" s="4">
        <f t="shared" si="210"/>
        <v>0.772456054597221</v>
      </c>
      <c r="CW73" s="4">
        <f t="shared" si="211"/>
        <v>2.2467121229116414</v>
      </c>
      <c r="CX73" s="4">
        <f t="shared" si="212"/>
        <v>1.7333256964829891</v>
      </c>
      <c r="CY73" s="4">
        <f t="shared" si="213"/>
        <v>1.2501439525632614</v>
      </c>
      <c r="CZ73" s="4">
        <f t="shared" si="214"/>
        <v>1.3389539545467144</v>
      </c>
      <c r="DA73" s="4">
        <f t="shared" si="162"/>
        <v>0.99815487289008331</v>
      </c>
      <c r="DC73" s="4">
        <f t="shared" si="215"/>
        <v>2.2270694397798994</v>
      </c>
      <c r="DD73" s="4">
        <f t="shared" si="215"/>
        <v>0.772456054597221</v>
      </c>
      <c r="DE73" s="4">
        <f t="shared" si="216"/>
        <v>1.7333256964829891</v>
      </c>
      <c r="DF73" s="4">
        <f t="shared" si="217"/>
        <v>0.99815487289008331</v>
      </c>
      <c r="DG73" s="4">
        <f t="shared" si="218"/>
        <v>1.2501439525632614</v>
      </c>
      <c r="DH73" s="4">
        <f t="shared" si="218"/>
        <v>1.3389539545467144</v>
      </c>
      <c r="DP73" s="4">
        <f t="shared" si="182"/>
        <v>0</v>
      </c>
      <c r="DQ73" s="4">
        <f t="shared" si="138"/>
        <v>381</v>
      </c>
      <c r="DR73" s="4">
        <f t="shared" si="139"/>
        <v>0.46666666666666662</v>
      </c>
      <c r="DT73" s="4">
        <f t="shared" si="81"/>
        <v>2.5033311258542346E-5</v>
      </c>
      <c r="DU73" s="4">
        <f t="shared" si="183"/>
        <v>5.7900347857029448</v>
      </c>
      <c r="DV73" s="4">
        <f t="shared" si="166"/>
        <v>0.28179635085873361</v>
      </c>
      <c r="DW73" s="4">
        <f t="shared" si="83"/>
        <v>3.4886332753232305</v>
      </c>
      <c r="DX73" s="4">
        <f t="shared" si="84"/>
        <v>4.7807278468599366</v>
      </c>
      <c r="DY73" s="4">
        <f t="shared" si="140"/>
        <v>5.3522375648153364</v>
      </c>
      <c r="DZ73" s="38">
        <f t="shared" si="86"/>
        <v>300.76536324401661</v>
      </c>
      <c r="EA73" s="4">
        <f t="shared" si="87"/>
        <v>1.0001879806537954</v>
      </c>
      <c r="EB73" s="4">
        <f t="shared" si="167"/>
        <v>3.3749074061372411</v>
      </c>
      <c r="EC73" s="4">
        <f t="shared" si="122"/>
        <v>184.33497816892</v>
      </c>
      <c r="EG73" s="4">
        <f t="shared" si="88"/>
        <v>0.85</v>
      </c>
      <c r="EH73" s="4">
        <f t="shared" si="89"/>
        <v>0.85000000000000009</v>
      </c>
      <c r="EI73" s="4">
        <f t="shared" si="141"/>
        <v>1</v>
      </c>
      <c r="EJ73" s="4">
        <f t="shared" si="91"/>
        <v>0.85000000000000009</v>
      </c>
      <c r="EL73" s="4">
        <f t="shared" si="142"/>
        <v>280.81622876067456</v>
      </c>
      <c r="EM73" s="25">
        <f t="shared" si="143"/>
        <v>181.80779675423688</v>
      </c>
      <c r="EO73" s="4">
        <f t="shared" si="168"/>
        <v>0.72250000000000003</v>
      </c>
      <c r="EP73" s="4">
        <f t="shared" si="144"/>
        <v>5.7900347857029448</v>
      </c>
      <c r="EQ73" s="4">
        <f t="shared" si="145"/>
        <v>5.2207585655726314</v>
      </c>
      <c r="ES73" s="4">
        <f t="shared" si="96"/>
        <v>85.722648115885917</v>
      </c>
      <c r="ET73" s="4">
        <f t="shared" si="184"/>
        <v>3.3749074061372411</v>
      </c>
      <c r="EU73" s="4">
        <f t="shared" si="98"/>
        <v>7.0612286989729281E-2</v>
      </c>
      <c r="EX73" s="4">
        <f t="shared" si="185"/>
        <v>7.0612286989729281E-2</v>
      </c>
      <c r="EY73" s="4">
        <f t="shared" si="100"/>
        <v>0.28132608526885078</v>
      </c>
      <c r="EZ73" s="4">
        <f t="shared" si="186"/>
        <v>3.4863033569113027</v>
      </c>
      <c r="FA73" s="4">
        <f t="shared" si="232"/>
        <v>4.7798816002491602</v>
      </c>
      <c r="FB73" s="4">
        <f t="shared" si="188"/>
        <v>200.02735188411407</v>
      </c>
      <c r="FC73" s="4">
        <f t="shared" si="189"/>
        <v>95.25</v>
      </c>
      <c r="FD73" s="4">
        <f t="shared" si="105"/>
        <v>2.5033311258542346E-5</v>
      </c>
      <c r="FE73" s="4">
        <f t="shared" si="233"/>
        <v>5.3523430763972728</v>
      </c>
      <c r="FF73" s="4">
        <f t="shared" si="146"/>
        <v>300.70883580046075</v>
      </c>
      <c r="FG73" s="4">
        <f t="shared" si="191"/>
        <v>92.077351884114066</v>
      </c>
      <c r="FH73" s="4">
        <f t="shared" si="192"/>
        <v>0</v>
      </c>
      <c r="FJ73" s="4">
        <f t="shared" si="147"/>
        <v>161.54313335019481</v>
      </c>
      <c r="FO73" s="23">
        <f t="shared" si="219"/>
        <v>2.2000000000000002</v>
      </c>
      <c r="FP73" s="23">
        <f t="shared" si="219"/>
        <v>0.8</v>
      </c>
      <c r="FQ73" s="23">
        <f t="shared" si="229"/>
        <v>1</v>
      </c>
      <c r="FR73" s="23">
        <f t="shared" si="220"/>
        <v>1.8</v>
      </c>
      <c r="FS73" s="23">
        <f t="shared" si="220"/>
        <v>1.4</v>
      </c>
      <c r="FT73" s="23">
        <f t="shared" si="220"/>
        <v>1.4</v>
      </c>
      <c r="FU73" s="23">
        <f t="shared" si="221"/>
        <v>0</v>
      </c>
      <c r="FV73" s="23"/>
      <c r="GF73" s="4">
        <f t="shared" si="111"/>
        <v>1</v>
      </c>
      <c r="GG73" s="4">
        <f t="shared" si="112"/>
        <v>0.85000000000000009</v>
      </c>
      <c r="GH73" s="4">
        <f t="shared" si="113"/>
        <v>0</v>
      </c>
      <c r="GI73" s="4">
        <f t="shared" si="114"/>
        <v>376.69505024938655</v>
      </c>
    </row>
    <row r="74" spans="1:193" ht="12" hidden="1" customHeight="1" x14ac:dyDescent="0.3">
      <c r="A74" s="25">
        <v>55</v>
      </c>
      <c r="B74" s="20" t="s">
        <v>54</v>
      </c>
      <c r="C74" s="20">
        <v>2006</v>
      </c>
      <c r="D74" s="24" t="s">
        <v>55</v>
      </c>
      <c r="E74" s="24"/>
      <c r="F74" s="24"/>
      <c r="G74" s="24"/>
      <c r="H74" s="7" t="s">
        <v>282</v>
      </c>
      <c r="I74" s="7"/>
      <c r="J74" s="7">
        <v>472</v>
      </c>
      <c r="K74" s="7">
        <f t="shared" si="208"/>
        <v>381</v>
      </c>
      <c r="L74" s="7">
        <f t="shared" si="148"/>
        <v>177.79999999999998</v>
      </c>
      <c r="M74" s="7">
        <v>26</v>
      </c>
      <c r="N74" s="7">
        <v>25.4</v>
      </c>
      <c r="O74" s="7">
        <f t="shared" si="171"/>
        <v>15</v>
      </c>
      <c r="P74" s="7">
        <v>7</v>
      </c>
      <c r="Q74" s="7">
        <f t="shared" si="149"/>
        <v>152.39999999999998</v>
      </c>
      <c r="R74" s="7"/>
      <c r="S74" s="7">
        <f t="shared" si="130"/>
        <v>63.499999999999986</v>
      </c>
      <c r="T74" s="7"/>
      <c r="U74" s="7">
        <f t="shared" si="150"/>
        <v>50.8</v>
      </c>
      <c r="V74" s="7"/>
      <c r="W74" s="7">
        <v>0</v>
      </c>
      <c r="X74" s="7">
        <v>1</v>
      </c>
      <c r="Y74" s="7"/>
      <c r="Z74" s="7"/>
      <c r="AA74" s="7">
        <f t="shared" si="151"/>
        <v>88.899999999999991</v>
      </c>
      <c r="AB74" s="7">
        <f t="shared" si="131"/>
        <v>2.9999999999999996</v>
      </c>
      <c r="AC74" s="7">
        <f t="shared" si="152"/>
        <v>4</v>
      </c>
      <c r="AD74" s="7">
        <v>10.39</v>
      </c>
      <c r="AE74" s="7">
        <f t="shared" si="172"/>
        <v>10.39</v>
      </c>
      <c r="AF74" s="7">
        <f t="shared" si="46"/>
        <v>11.39</v>
      </c>
      <c r="AG74" s="7">
        <f t="shared" si="47"/>
        <v>85.722648115885917</v>
      </c>
      <c r="AH74" s="7"/>
      <c r="AI74" s="7"/>
      <c r="AJ74" s="7">
        <v>460</v>
      </c>
      <c r="AK74" s="7"/>
      <c r="AL74" s="7"/>
      <c r="AM74" s="7">
        <v>0</v>
      </c>
      <c r="AN74" s="7">
        <v>0</v>
      </c>
      <c r="AO74" s="7">
        <f t="shared" si="153"/>
        <v>177.79999999999998</v>
      </c>
      <c r="AP74" s="7"/>
      <c r="AQ74" s="7"/>
      <c r="AR74" s="7"/>
      <c r="AS74" s="4">
        <f t="shared" si="125"/>
        <v>381</v>
      </c>
      <c r="AT74" s="44">
        <f t="shared" si="154"/>
        <v>5.9259259259259248E-2</v>
      </c>
      <c r="AU74" s="25">
        <f t="shared" si="132"/>
        <v>748.37078117567501</v>
      </c>
      <c r="AV74" s="4">
        <f t="shared" si="133"/>
        <v>0.74</v>
      </c>
      <c r="AW74" s="4">
        <v>1.25</v>
      </c>
      <c r="AX74" s="25">
        <f t="shared" si="119"/>
        <v>5</v>
      </c>
      <c r="AY74" s="38">
        <f t="shared" si="120"/>
        <v>205.10902891481459</v>
      </c>
      <c r="AZ74" s="38">
        <f t="shared" si="121"/>
        <v>205.10902891481459</v>
      </c>
      <c r="BB74" s="38">
        <f t="shared" si="129"/>
        <v>205.10902891481439</v>
      </c>
      <c r="BC74" s="38">
        <f t="shared" si="52"/>
        <v>1.0000000000000009</v>
      </c>
      <c r="BD74" s="38">
        <f t="shared" si="155"/>
        <v>2.7784670830252196</v>
      </c>
      <c r="BE74" s="4">
        <f t="shared" si="173"/>
        <v>0</v>
      </c>
      <c r="BF74" s="4">
        <f t="shared" si="53"/>
        <v>187.85861365868152</v>
      </c>
      <c r="BG74" s="4">
        <f t="shared" si="223"/>
        <v>1.1333333333333333</v>
      </c>
      <c r="BH74" s="38">
        <f t="shared" si="55"/>
        <v>569.88868527107979</v>
      </c>
      <c r="BI74" s="4">
        <f t="shared" si="224"/>
        <v>0.3</v>
      </c>
      <c r="BJ74" s="4">
        <f t="shared" si="57"/>
        <v>29.446837690998329</v>
      </c>
      <c r="BK74" s="4">
        <f t="shared" si="58"/>
        <v>599.33552296207813</v>
      </c>
      <c r="BM74" s="36">
        <f t="shared" si="134"/>
        <v>1.1000000000000001</v>
      </c>
      <c r="BN74" s="36">
        <f t="shared" si="135"/>
        <v>186.21619263640849</v>
      </c>
      <c r="BS74" s="4">
        <f t="shared" si="174"/>
        <v>63.499999999999986</v>
      </c>
      <c r="BT74" s="4">
        <f t="shared" si="175"/>
        <v>63.499999999999986</v>
      </c>
      <c r="BU74" s="4">
        <f t="shared" si="176"/>
        <v>88.899999999999991</v>
      </c>
      <c r="BV74" s="4">
        <f t="shared" si="136"/>
        <v>76.199999999999989</v>
      </c>
      <c r="BW74" s="4">
        <f t="shared" si="177"/>
        <v>1.04</v>
      </c>
      <c r="BX74" s="25">
        <f t="shared" si="137"/>
        <v>3.1199999999999997</v>
      </c>
      <c r="BZ74" s="4">
        <f t="shared" si="178"/>
        <v>63.499999999999986</v>
      </c>
      <c r="CD74" s="9"/>
      <c r="CF74" s="9"/>
      <c r="CG74" s="9"/>
      <c r="CH74" s="9">
        <f t="shared" si="230"/>
        <v>50.8</v>
      </c>
      <c r="CI74" s="9">
        <f t="shared" si="231"/>
        <v>63.499999999999986</v>
      </c>
      <c r="CJ74" s="9">
        <f t="shared" si="70"/>
        <v>1.4623505735569622</v>
      </c>
      <c r="CK74" s="70">
        <v>0</v>
      </c>
      <c r="CL74" s="9">
        <f t="shared" si="71"/>
        <v>0</v>
      </c>
      <c r="CM74" s="9">
        <f t="shared" si="72"/>
        <v>0</v>
      </c>
      <c r="CN74" s="9">
        <f t="shared" si="73"/>
        <v>0.99524931562137331</v>
      </c>
      <c r="CO74" s="9">
        <f t="shared" si="74"/>
        <v>1.056</v>
      </c>
      <c r="CP74" s="9">
        <f t="shared" si="75"/>
        <v>1.8756444837875041</v>
      </c>
      <c r="CQ74" s="9">
        <f t="shared" si="76"/>
        <v>2.7428497866556087</v>
      </c>
      <c r="CR74" s="9">
        <v>1</v>
      </c>
      <c r="CS74" s="9">
        <f t="shared" si="77"/>
        <v>241.37078122569358</v>
      </c>
      <c r="CU74" s="4">
        <f t="shared" si="209"/>
        <v>2.4486500301538983</v>
      </c>
      <c r="CV74" s="4">
        <f t="shared" si="210"/>
        <v>0.76751666199686563</v>
      </c>
      <c r="CW74" s="4">
        <f t="shared" si="211"/>
        <v>2.4702470471950893</v>
      </c>
      <c r="CX74" s="4">
        <f t="shared" si="212"/>
        <v>1.9057816263596434</v>
      </c>
      <c r="CY74" s="4">
        <f t="shared" si="213"/>
        <v>1.3871008429046237</v>
      </c>
      <c r="CZ74" s="4">
        <f t="shared" si="214"/>
        <v>1.462886612654708</v>
      </c>
      <c r="DA74" s="4">
        <f t="shared" si="162"/>
        <v>1.1576556740616271</v>
      </c>
      <c r="DC74" s="4">
        <f t="shared" si="215"/>
        <v>2.4486500301538983</v>
      </c>
      <c r="DD74" s="4">
        <f t="shared" si="215"/>
        <v>0.76751666199686563</v>
      </c>
      <c r="DE74" s="4">
        <f t="shared" si="216"/>
        <v>1.9057816263596434</v>
      </c>
      <c r="DF74" s="4">
        <f t="shared" si="217"/>
        <v>1.1576556740616271</v>
      </c>
      <c r="DG74" s="4">
        <f t="shared" si="218"/>
        <v>1.3871008429046237</v>
      </c>
      <c r="DH74" s="4">
        <f t="shared" si="218"/>
        <v>1.462886612654708</v>
      </c>
      <c r="DP74" s="4">
        <f t="shared" si="182"/>
        <v>0</v>
      </c>
      <c r="DQ74" s="4">
        <f t="shared" si="138"/>
        <v>381</v>
      </c>
      <c r="DR74" s="4">
        <f t="shared" si="139"/>
        <v>0.46666666666666662</v>
      </c>
      <c r="DT74" s="4">
        <f t="shared" si="81"/>
        <v>2.6015824312812745E-5</v>
      </c>
      <c r="DU74" s="4">
        <f t="shared" si="183"/>
        <v>6.4425559602163514</v>
      </c>
      <c r="DV74" s="4">
        <f t="shared" si="166"/>
        <v>0.25325518071269149</v>
      </c>
      <c r="DW74" s="4">
        <f t="shared" si="83"/>
        <v>3.7194740651305009</v>
      </c>
      <c r="DX74" s="4">
        <f t="shared" si="84"/>
        <v>5.2614836149260835</v>
      </c>
      <c r="DY74" s="4">
        <f t="shared" si="140"/>
        <v>5.8888646217889873</v>
      </c>
      <c r="DZ74" s="38">
        <f t="shared" si="86"/>
        <v>331.62693422977708</v>
      </c>
      <c r="EA74" s="4">
        <f t="shared" si="87"/>
        <v>1.000178286690298</v>
      </c>
      <c r="EB74" s="4">
        <f t="shared" si="167"/>
        <v>3.3749074061372411</v>
      </c>
      <c r="EC74" s="4">
        <f t="shared" si="122"/>
        <v>205.10902891481439</v>
      </c>
      <c r="EG74" s="4">
        <f t="shared" si="88"/>
        <v>0.85</v>
      </c>
      <c r="EH74" s="4">
        <f t="shared" si="89"/>
        <v>0.85000000000000009</v>
      </c>
      <c r="EI74" s="4">
        <f t="shared" si="141"/>
        <v>1</v>
      </c>
      <c r="EJ74" s="4">
        <f t="shared" si="91"/>
        <v>0.85000000000000009</v>
      </c>
      <c r="EL74" s="4">
        <f t="shared" si="142"/>
        <v>314.44679035324248</v>
      </c>
      <c r="EM74" s="25">
        <f t="shared" si="143"/>
        <v>202.29704102729465</v>
      </c>
      <c r="EO74" s="4">
        <f t="shared" si="168"/>
        <v>0.72250000000000003</v>
      </c>
      <c r="EP74" s="4">
        <f t="shared" si="144"/>
        <v>6.4425559602163514</v>
      </c>
      <c r="EQ74" s="4">
        <f t="shared" si="145"/>
        <v>5.8091238582078786</v>
      </c>
      <c r="ES74" s="4">
        <f t="shared" si="96"/>
        <v>85.722648115885917</v>
      </c>
      <c r="ET74" s="4">
        <f t="shared" si="184"/>
        <v>3.3749074061372411</v>
      </c>
      <c r="EU74" s="4">
        <f t="shared" si="98"/>
        <v>7.0612286989729267E-2</v>
      </c>
      <c r="EX74" s="4">
        <f t="shared" si="185"/>
        <v>7.0612286989729267E-2</v>
      </c>
      <c r="EY74" s="4">
        <f t="shared" si="100"/>
        <v>0.25283254501643132</v>
      </c>
      <c r="EZ74" s="4">
        <f t="shared" si="186"/>
        <v>3.7169899774024113</v>
      </c>
      <c r="FA74" s="4">
        <f t="shared" si="232"/>
        <v>5.2606106739009268</v>
      </c>
      <c r="FB74" s="4">
        <f t="shared" si="188"/>
        <v>200.02735188411407</v>
      </c>
      <c r="FC74" s="4">
        <f t="shared" si="189"/>
        <v>95.25</v>
      </c>
      <c r="FD74" s="4">
        <f t="shared" si="105"/>
        <v>2.6015824312812745E-5</v>
      </c>
      <c r="FE74" s="4">
        <f t="shared" si="233"/>
        <v>5.8889924951648212</v>
      </c>
      <c r="FF74" s="4">
        <f t="shared" si="146"/>
        <v>331.56782010052206</v>
      </c>
      <c r="FG74" s="4">
        <f t="shared" si="191"/>
        <v>92.077351884114066</v>
      </c>
      <c r="FH74" s="4">
        <f t="shared" si="192"/>
        <v>0</v>
      </c>
      <c r="FJ74" s="4">
        <f t="shared" si="147"/>
        <v>177.765268883788</v>
      </c>
      <c r="FO74" s="23">
        <f t="shared" si="219"/>
        <v>2.2000000000000002</v>
      </c>
      <c r="FP74" s="23">
        <f t="shared" si="219"/>
        <v>0.8</v>
      </c>
      <c r="FQ74" s="23">
        <f t="shared" si="229"/>
        <v>1.2</v>
      </c>
      <c r="FR74" s="23">
        <f t="shared" si="220"/>
        <v>2</v>
      </c>
      <c r="FS74" s="23">
        <f t="shared" si="220"/>
        <v>1.4</v>
      </c>
      <c r="FT74" s="23">
        <f t="shared" si="220"/>
        <v>1.6</v>
      </c>
      <c r="FU74" s="23">
        <f t="shared" si="221"/>
        <v>0</v>
      </c>
      <c r="FV74" s="23"/>
      <c r="GF74" s="4">
        <f t="shared" si="111"/>
        <v>1</v>
      </c>
      <c r="GG74" s="4">
        <f t="shared" si="112"/>
        <v>0.85000000000000009</v>
      </c>
      <c r="GH74" s="4">
        <f t="shared" si="113"/>
        <v>0</v>
      </c>
      <c r="GI74" s="4">
        <f t="shared" si="114"/>
        <v>397.35476645321762</v>
      </c>
      <c r="GK74" s="4">
        <f>60000/145</f>
        <v>413.79310344827587</v>
      </c>
    </row>
    <row r="75" spans="1:193" ht="12" hidden="1" customHeight="1" x14ac:dyDescent="0.3">
      <c r="A75" s="25">
        <v>56</v>
      </c>
      <c r="B75" s="20" t="s">
        <v>54</v>
      </c>
      <c r="C75" s="20">
        <v>2006</v>
      </c>
      <c r="D75" s="24" t="s">
        <v>55</v>
      </c>
      <c r="E75" s="24"/>
      <c r="F75" s="24"/>
      <c r="G75" s="24"/>
      <c r="H75" s="7" t="s">
        <v>77</v>
      </c>
      <c r="I75" s="7"/>
      <c r="J75" s="7">
        <v>472</v>
      </c>
      <c r="K75" s="7">
        <f>25*25.4</f>
        <v>635</v>
      </c>
      <c r="L75" s="7">
        <f t="shared" si="148"/>
        <v>177.79999999999998</v>
      </c>
      <c r="M75" s="7">
        <v>28</v>
      </c>
      <c r="N75" s="7">
        <v>25.4</v>
      </c>
      <c r="O75" s="7">
        <f t="shared" si="171"/>
        <v>25</v>
      </c>
      <c r="P75" s="7">
        <v>7</v>
      </c>
      <c r="Q75" s="7">
        <f t="shared" si="149"/>
        <v>152.39999999999998</v>
      </c>
      <c r="R75" s="7"/>
      <c r="S75" s="7">
        <f t="shared" si="130"/>
        <v>63.499999999999986</v>
      </c>
      <c r="T75" s="7"/>
      <c r="U75" s="7">
        <f t="shared" si="150"/>
        <v>50.8</v>
      </c>
      <c r="V75" s="7"/>
      <c r="W75" s="7">
        <v>0</v>
      </c>
      <c r="X75" s="7">
        <v>1</v>
      </c>
      <c r="Y75" s="7"/>
      <c r="Z75" s="7"/>
      <c r="AA75" s="7">
        <f t="shared" si="151"/>
        <v>88.899999999999991</v>
      </c>
      <c r="AB75" s="7">
        <f t="shared" si="131"/>
        <v>2.9999999999999996</v>
      </c>
      <c r="AC75" s="7">
        <f t="shared" si="152"/>
        <v>4</v>
      </c>
      <c r="AD75" s="7">
        <v>1.18</v>
      </c>
      <c r="AE75" s="7">
        <f t="shared" si="172"/>
        <v>1.18</v>
      </c>
      <c r="AF75" s="7">
        <f t="shared" si="46"/>
        <v>2.1799999999999997</v>
      </c>
      <c r="AG75" s="7">
        <f t="shared" si="47"/>
        <v>37.502650572992827</v>
      </c>
      <c r="AH75" s="7"/>
      <c r="AI75" s="7"/>
      <c r="AJ75" s="7">
        <v>412</v>
      </c>
      <c r="AK75" s="7"/>
      <c r="AL75" s="7"/>
      <c r="AM75" s="7">
        <v>0</v>
      </c>
      <c r="AN75" s="7">
        <v>0</v>
      </c>
      <c r="AO75" s="7">
        <f t="shared" si="153"/>
        <v>177.79999999999998</v>
      </c>
      <c r="AP75" s="7"/>
      <c r="AQ75" s="7"/>
      <c r="AR75" s="7"/>
      <c r="AS75" s="4">
        <f t="shared" si="125"/>
        <v>635</v>
      </c>
      <c r="AT75" s="44">
        <f t="shared" si="154"/>
        <v>2.1333333333333329E-2</v>
      </c>
      <c r="AU75" s="25">
        <f t="shared" si="132"/>
        <v>1671.0224668242358</v>
      </c>
      <c r="AV75" s="4">
        <f t="shared" si="133"/>
        <v>0.72399999999999998</v>
      </c>
      <c r="AW75" s="4">
        <v>1.25</v>
      </c>
      <c r="AX75" s="25">
        <f t="shared" si="119"/>
        <v>5</v>
      </c>
      <c r="AY75" s="38">
        <f t="shared" si="120"/>
        <v>161.30936879743288</v>
      </c>
      <c r="AZ75" s="38">
        <f t="shared" si="121"/>
        <v>161.30936879743288</v>
      </c>
      <c r="BB75" s="38">
        <f t="shared" si="129"/>
        <v>161.30936879743294</v>
      </c>
      <c r="BC75" s="38">
        <f t="shared" si="52"/>
        <v>0.99999999999999967</v>
      </c>
      <c r="BD75" s="38">
        <f t="shared" si="155"/>
        <v>1.2821781034440662</v>
      </c>
      <c r="BE75" s="4">
        <f t="shared" si="173"/>
        <v>0</v>
      </c>
      <c r="BF75" s="4">
        <f t="shared" si="53"/>
        <v>194.95009660475932</v>
      </c>
      <c r="BG75" s="4">
        <f t="shared" si="223"/>
        <v>1.1333333333333333</v>
      </c>
      <c r="BH75" s="38">
        <f t="shared" si="55"/>
        <v>206.827340552452</v>
      </c>
      <c r="BI75" s="4">
        <f t="shared" si="224"/>
        <v>0.83479999999999999</v>
      </c>
      <c r="BJ75" s="4">
        <f t="shared" si="57"/>
        <v>85.033917987353718</v>
      </c>
      <c r="BK75" s="4">
        <f t="shared" si="58"/>
        <v>291.8612585398057</v>
      </c>
      <c r="BM75" s="36">
        <f t="shared" si="134"/>
        <v>1.1000000000000001</v>
      </c>
      <c r="BN75" s="36">
        <f t="shared" si="135"/>
        <v>193.24567576015772</v>
      </c>
      <c r="BS75" s="4">
        <f t="shared" si="174"/>
        <v>63.499999999999986</v>
      </c>
      <c r="BT75" s="4">
        <f t="shared" si="175"/>
        <v>63.499999999999986</v>
      </c>
      <c r="BU75" s="4">
        <f t="shared" si="176"/>
        <v>88.899999999999991</v>
      </c>
      <c r="BV75" s="4">
        <f t="shared" si="136"/>
        <v>76.199999999999989</v>
      </c>
      <c r="BW75" s="4">
        <f t="shared" si="177"/>
        <v>1.04</v>
      </c>
      <c r="BX75" s="25">
        <f t="shared" si="137"/>
        <v>3.1199999999999997</v>
      </c>
      <c r="BZ75" s="4">
        <f t="shared" si="178"/>
        <v>63.499999999999986</v>
      </c>
      <c r="CD75" s="9"/>
      <c r="CF75" s="9"/>
      <c r="CG75" s="9"/>
      <c r="CH75" s="9">
        <f t="shared" si="230"/>
        <v>50.8</v>
      </c>
      <c r="CI75" s="9">
        <f t="shared" si="231"/>
        <v>63.499999999999986</v>
      </c>
      <c r="CJ75" s="9">
        <f t="shared" si="70"/>
        <v>1.4623505735569622</v>
      </c>
      <c r="CK75" s="70">
        <v>0</v>
      </c>
      <c r="CL75" s="9">
        <f t="shared" si="71"/>
        <v>0</v>
      </c>
      <c r="CM75" s="9">
        <f t="shared" si="72"/>
        <v>0</v>
      </c>
      <c r="CN75" s="9">
        <f t="shared" si="73"/>
        <v>0.99524931562137331</v>
      </c>
      <c r="CO75" s="9">
        <f t="shared" si="74"/>
        <v>1.056</v>
      </c>
      <c r="CP75" s="9">
        <f t="shared" si="75"/>
        <v>1.9464482686693119</v>
      </c>
      <c r="CQ75" s="9">
        <f t="shared" si="76"/>
        <v>2.8463897420875242</v>
      </c>
      <c r="CR75" s="9">
        <v>1</v>
      </c>
      <c r="CS75" s="9">
        <f t="shared" si="77"/>
        <v>250.48229730370213</v>
      </c>
      <c r="CU75" s="4">
        <f t="shared" si="209"/>
        <v>2.1133613533687359</v>
      </c>
      <c r="CV75" s="4">
        <f t="shared" si="210"/>
        <v>1.4116296286161909</v>
      </c>
      <c r="CW75" s="4">
        <f t="shared" si="211"/>
        <v>2.1320011347179846</v>
      </c>
      <c r="CX75" s="4">
        <f t="shared" si="212"/>
        <v>1.6448268178427898</v>
      </c>
      <c r="CY75" s="4">
        <f t="shared" si="213"/>
        <v>1.2315999827566606</v>
      </c>
      <c r="CZ75" s="4">
        <f t="shared" si="214"/>
        <v>1.6594714708343867</v>
      </c>
      <c r="DA75" s="4">
        <f t="shared" si="162"/>
        <v>0.61069430303833316</v>
      </c>
      <c r="DC75" s="4">
        <f t="shared" si="215"/>
        <v>2.1133613533687359</v>
      </c>
      <c r="DD75" s="4">
        <f t="shared" si="215"/>
        <v>1.4116296286161909</v>
      </c>
      <c r="DE75" s="4">
        <f t="shared" si="216"/>
        <v>1.6448268178427898</v>
      </c>
      <c r="DF75" s="4">
        <f t="shared" si="217"/>
        <v>0.61069430303833316</v>
      </c>
      <c r="DG75" s="4">
        <f t="shared" si="218"/>
        <v>1.2315999827566606</v>
      </c>
      <c r="DH75" s="4">
        <f t="shared" si="218"/>
        <v>1.6594714708343867</v>
      </c>
      <c r="DP75" s="4">
        <f t="shared" si="182"/>
        <v>0</v>
      </c>
      <c r="DQ75" s="4">
        <f t="shared" si="138"/>
        <v>635</v>
      </c>
      <c r="DR75" s="4">
        <f t="shared" si="139"/>
        <v>0.27999999999999997</v>
      </c>
      <c r="DT75" s="4">
        <f t="shared" si="81"/>
        <v>4.4003395705642358E-5</v>
      </c>
      <c r="DU75" s="4">
        <f t="shared" si="183"/>
        <v>6.6857562842857838</v>
      </c>
      <c r="DV75" s="4">
        <f t="shared" si="166"/>
        <v>0.71244016121952869</v>
      </c>
      <c r="DW75" s="4">
        <f t="shared" si="83"/>
        <v>5.8378092254880025</v>
      </c>
      <c r="DX75" s="4">
        <f t="shared" si="84"/>
        <v>6.2761261130049659</v>
      </c>
      <c r="DY75" s="4">
        <f t="shared" si="140"/>
        <v>4.7164466615171561</v>
      </c>
      <c r="DZ75" s="38">
        <f t="shared" si="86"/>
        <v>334.52420085118086</v>
      </c>
      <c r="EA75" s="4">
        <f t="shared" si="87"/>
        <v>1.0004038645523856</v>
      </c>
      <c r="EB75" s="4">
        <f t="shared" si="167"/>
        <v>1.4764823060233399</v>
      </c>
      <c r="EC75" s="4">
        <f t="shared" si="122"/>
        <v>161.30936879743294</v>
      </c>
      <c r="EG75" s="4">
        <f t="shared" si="88"/>
        <v>0.85</v>
      </c>
      <c r="EH75" s="4">
        <f t="shared" si="89"/>
        <v>0.85000000000000009</v>
      </c>
      <c r="EI75" s="4">
        <f t="shared" si="141"/>
        <v>1</v>
      </c>
      <c r="EJ75" s="4">
        <f t="shared" si="91"/>
        <v>0.85000000000000009</v>
      </c>
      <c r="EL75" s="4">
        <f t="shared" si="142"/>
        <v>248.27181861273294</v>
      </c>
      <c r="EM75" s="25">
        <f t="shared" si="143"/>
        <v>159.65722173545257</v>
      </c>
      <c r="EO75" s="4">
        <f t="shared" si="168"/>
        <v>0.72250000000000003</v>
      </c>
      <c r="EP75" s="4">
        <f t="shared" si="144"/>
        <v>6.6857562842857838</v>
      </c>
      <c r="EQ75" s="4">
        <f t="shared" si="145"/>
        <v>6.028412726414806</v>
      </c>
      <c r="ES75" s="4">
        <f t="shared" si="96"/>
        <v>37.502650572992827</v>
      </c>
      <c r="ET75" s="4">
        <f t="shared" si="184"/>
        <v>1.4764823060233399</v>
      </c>
      <c r="EU75" s="4">
        <f t="shared" si="98"/>
        <v>0.20614019109983853</v>
      </c>
      <c r="EX75" s="4">
        <f t="shared" si="185"/>
        <v>0.20614019109983853</v>
      </c>
      <c r="EY75" s="4">
        <f t="shared" si="100"/>
        <v>0.71125123137124935</v>
      </c>
      <c r="EZ75" s="4">
        <f t="shared" si="186"/>
        <v>5.8339103865656092</v>
      </c>
      <c r="FA75" s="4">
        <f t="shared" si="232"/>
        <v>6.2743133074683879</v>
      </c>
      <c r="FB75" s="4">
        <f t="shared" si="188"/>
        <v>438.74734942700718</v>
      </c>
      <c r="FC75" s="4">
        <f t="shared" si="189"/>
        <v>158.75</v>
      </c>
      <c r="FD75" s="4">
        <f t="shared" si="105"/>
        <v>4.4003395705642358E-5</v>
      </c>
      <c r="FE75" s="4">
        <f t="shared" si="233"/>
        <v>4.7169759597255663</v>
      </c>
      <c r="FF75" s="4">
        <f t="shared" si="146"/>
        <v>334.389152925612</v>
      </c>
      <c r="FG75" s="4">
        <f t="shared" si="191"/>
        <v>140.29734942700716</v>
      </c>
      <c r="FH75" s="4">
        <f t="shared" si="192"/>
        <v>0</v>
      </c>
      <c r="FJ75" s="4">
        <f t="shared" si="147"/>
        <v>412.81712444415342</v>
      </c>
      <c r="FO75" s="23">
        <f t="shared" si="219"/>
        <v>2.2000000000000002</v>
      </c>
      <c r="FP75" s="23">
        <f t="shared" si="219"/>
        <v>1.6</v>
      </c>
      <c r="FQ75" s="23">
        <f t="shared" si="229"/>
        <v>0.8</v>
      </c>
      <c r="FR75" s="23">
        <f t="shared" si="220"/>
        <v>1.8</v>
      </c>
      <c r="FS75" s="23">
        <f t="shared" si="220"/>
        <v>1.4</v>
      </c>
      <c r="FT75" s="23">
        <f t="shared" si="220"/>
        <v>1.8</v>
      </c>
      <c r="FU75" s="23">
        <f t="shared" si="221"/>
        <v>0</v>
      </c>
      <c r="FV75" s="23"/>
      <c r="GF75" s="4">
        <f t="shared" si="111"/>
        <v>1</v>
      </c>
      <c r="GG75" s="4">
        <f t="shared" si="112"/>
        <v>0.85000000000000009</v>
      </c>
      <c r="GH75" s="4">
        <f t="shared" si="113"/>
        <v>0</v>
      </c>
      <c r="GI75" s="4">
        <f t="shared" si="114"/>
        <v>674.64195744124834</v>
      </c>
    </row>
    <row r="76" spans="1:193" ht="12" hidden="1" customHeight="1" x14ac:dyDescent="0.3">
      <c r="A76" s="25">
        <v>57</v>
      </c>
      <c r="B76" s="20" t="s">
        <v>54</v>
      </c>
      <c r="C76" s="20">
        <v>2006</v>
      </c>
      <c r="D76" s="24" t="s">
        <v>55</v>
      </c>
      <c r="E76" s="24"/>
      <c r="F76" s="24"/>
      <c r="G76" s="24"/>
      <c r="H76" s="7" t="s">
        <v>69</v>
      </c>
      <c r="I76" s="7"/>
      <c r="J76" s="7">
        <v>472</v>
      </c>
      <c r="K76" s="7">
        <f t="shared" ref="K76:K79" si="234">25*25.4</f>
        <v>635</v>
      </c>
      <c r="L76" s="7">
        <f t="shared" si="148"/>
        <v>177.79999999999998</v>
      </c>
      <c r="M76" s="7">
        <v>28</v>
      </c>
      <c r="N76" s="7">
        <v>25.4</v>
      </c>
      <c r="O76" s="7">
        <f t="shared" si="171"/>
        <v>25</v>
      </c>
      <c r="P76" s="7">
        <v>7</v>
      </c>
      <c r="Q76" s="7">
        <f t="shared" si="149"/>
        <v>152.39999999999998</v>
      </c>
      <c r="R76" s="7"/>
      <c r="S76" s="7">
        <f t="shared" si="130"/>
        <v>63.499999999999986</v>
      </c>
      <c r="T76" s="7"/>
      <c r="U76" s="7">
        <f t="shared" si="150"/>
        <v>50.8</v>
      </c>
      <c r="V76" s="7"/>
      <c r="W76" s="7">
        <v>0</v>
      </c>
      <c r="X76" s="7">
        <v>1</v>
      </c>
      <c r="Y76" s="7"/>
      <c r="Z76" s="7"/>
      <c r="AA76" s="7">
        <f t="shared" si="151"/>
        <v>88.899999999999991</v>
      </c>
      <c r="AB76" s="7">
        <f t="shared" si="131"/>
        <v>2.9999999999999996</v>
      </c>
      <c r="AC76" s="7">
        <f t="shared" si="152"/>
        <v>4</v>
      </c>
      <c r="AD76" s="7">
        <v>1.85</v>
      </c>
      <c r="AE76" s="7">
        <f t="shared" si="172"/>
        <v>1.85</v>
      </c>
      <c r="AF76" s="7">
        <f t="shared" si="46"/>
        <v>2.85</v>
      </c>
      <c r="AG76" s="7">
        <f t="shared" si="47"/>
        <v>42.880135260980694</v>
      </c>
      <c r="AH76" s="7"/>
      <c r="AI76" s="7"/>
      <c r="AJ76" s="7">
        <v>472</v>
      </c>
      <c r="AK76" s="7"/>
      <c r="AL76" s="7"/>
      <c r="AM76" s="7">
        <v>0</v>
      </c>
      <c r="AN76" s="7">
        <v>0</v>
      </c>
      <c r="AO76" s="7">
        <f t="shared" si="153"/>
        <v>177.79999999999998</v>
      </c>
      <c r="AP76" s="7"/>
      <c r="AQ76" s="7"/>
      <c r="AR76" s="7"/>
      <c r="AS76" s="4">
        <f t="shared" si="125"/>
        <v>635</v>
      </c>
      <c r="AT76" s="44">
        <f t="shared" si="154"/>
        <v>2.1333333333333329E-2</v>
      </c>
      <c r="AU76" s="25">
        <f t="shared" si="132"/>
        <v>1671.0224668242358</v>
      </c>
      <c r="AV76" s="4">
        <f t="shared" si="133"/>
        <v>0.72399999999999998</v>
      </c>
      <c r="AW76" s="4">
        <v>1.25</v>
      </c>
      <c r="AX76" s="25">
        <f t="shared" si="119"/>
        <v>5</v>
      </c>
      <c r="AY76" s="38">
        <f t="shared" si="120"/>
        <v>161.30936879743288</v>
      </c>
      <c r="AZ76" s="38">
        <f t="shared" si="121"/>
        <v>161.30936879743288</v>
      </c>
      <c r="BB76" s="38">
        <f t="shared" si="129"/>
        <v>161.30936879743294</v>
      </c>
      <c r="BC76" s="38">
        <f t="shared" si="52"/>
        <v>0.99999999999999967</v>
      </c>
      <c r="BD76" s="38">
        <f t="shared" si="155"/>
        <v>1.6054368101305474</v>
      </c>
      <c r="BE76" s="4">
        <f t="shared" si="173"/>
        <v>0</v>
      </c>
      <c r="BF76" s="4">
        <f t="shared" si="53"/>
        <v>194.95009660475932</v>
      </c>
      <c r="BG76" s="4">
        <f t="shared" si="223"/>
        <v>1.1333333333333333</v>
      </c>
      <c r="BH76" s="38">
        <f t="shared" si="55"/>
        <v>258.97199848632278</v>
      </c>
      <c r="BI76" s="4">
        <f t="shared" si="224"/>
        <v>0.74099999999999999</v>
      </c>
      <c r="BJ76" s="4">
        <f t="shared" si="57"/>
        <v>75.479316277706175</v>
      </c>
      <c r="BK76" s="4">
        <f t="shared" si="58"/>
        <v>334.45131476402895</v>
      </c>
      <c r="BM76" s="36">
        <f t="shared" si="134"/>
        <v>1.1000000000000001</v>
      </c>
      <c r="BN76" s="36">
        <f t="shared" si="135"/>
        <v>193.24567576015772</v>
      </c>
      <c r="BS76" s="4">
        <f t="shared" si="174"/>
        <v>63.499999999999986</v>
      </c>
      <c r="BT76" s="4">
        <f t="shared" si="175"/>
        <v>63.499999999999986</v>
      </c>
      <c r="BU76" s="4">
        <f t="shared" si="176"/>
        <v>88.899999999999991</v>
      </c>
      <c r="BV76" s="4">
        <f t="shared" si="136"/>
        <v>76.199999999999989</v>
      </c>
      <c r="BW76" s="4">
        <f t="shared" si="177"/>
        <v>1.04</v>
      </c>
      <c r="BX76" s="25">
        <f t="shared" si="137"/>
        <v>3.1199999999999997</v>
      </c>
      <c r="BZ76" s="4">
        <f t="shared" si="178"/>
        <v>63.499999999999986</v>
      </c>
      <c r="CD76" s="9"/>
      <c r="CF76" s="9"/>
      <c r="CG76" s="9"/>
      <c r="CH76" s="9">
        <f t="shared" si="230"/>
        <v>50.8</v>
      </c>
      <c r="CI76" s="9">
        <f t="shared" si="231"/>
        <v>63.499999999999986</v>
      </c>
      <c r="CJ76" s="9">
        <f t="shared" si="70"/>
        <v>1.4623505735569622</v>
      </c>
      <c r="CK76" s="70">
        <v>0</v>
      </c>
      <c r="CL76" s="9">
        <f t="shared" si="71"/>
        <v>0</v>
      </c>
      <c r="CM76" s="9">
        <f t="shared" si="72"/>
        <v>0</v>
      </c>
      <c r="CN76" s="9">
        <f t="shared" si="73"/>
        <v>0.99524931562137331</v>
      </c>
      <c r="CO76" s="9">
        <f t="shared" si="74"/>
        <v>1.056</v>
      </c>
      <c r="CP76" s="9">
        <f t="shared" si="75"/>
        <v>1.9464482686693119</v>
      </c>
      <c r="CQ76" s="9">
        <f t="shared" si="76"/>
        <v>2.8463897420875242</v>
      </c>
      <c r="CR76" s="9">
        <v>1</v>
      </c>
      <c r="CS76" s="9">
        <f t="shared" si="77"/>
        <v>250.48229730370213</v>
      </c>
      <c r="CU76" s="4">
        <f t="shared" si="209"/>
        <v>2.4211324242476784</v>
      </c>
      <c r="CV76" s="4">
        <f t="shared" si="210"/>
        <v>1.4112666901399926</v>
      </c>
      <c r="CW76" s="4">
        <f t="shared" si="211"/>
        <v>2.4424867368613805</v>
      </c>
      <c r="CX76" s="4">
        <f t="shared" si="212"/>
        <v>1.8843647039364</v>
      </c>
      <c r="CY76" s="4">
        <f t="shared" si="213"/>
        <v>1.4619141424540527</v>
      </c>
      <c r="CZ76" s="4">
        <f t="shared" si="214"/>
        <v>1.8118062019953518</v>
      </c>
      <c r="DA76" s="4">
        <f t="shared" si="162"/>
        <v>0.69963036658760502</v>
      </c>
      <c r="DC76" s="4">
        <f t="shared" si="215"/>
        <v>2.4211324242476784</v>
      </c>
      <c r="DD76" s="4">
        <f t="shared" si="215"/>
        <v>1.4112666901399926</v>
      </c>
      <c r="DE76" s="4">
        <f t="shared" si="216"/>
        <v>1.8843647039364</v>
      </c>
      <c r="DF76" s="4">
        <f t="shared" si="217"/>
        <v>0.69963036658760502</v>
      </c>
      <c r="DG76" s="4">
        <f t="shared" si="218"/>
        <v>1.4619141424540527</v>
      </c>
      <c r="DH76" s="4">
        <f t="shared" si="218"/>
        <v>1.8118062019953518</v>
      </c>
      <c r="DP76" s="4">
        <f t="shared" si="182"/>
        <v>0</v>
      </c>
      <c r="DQ76" s="4">
        <f t="shared" si="138"/>
        <v>635</v>
      </c>
      <c r="DR76" s="4">
        <f t="shared" si="139"/>
        <v>0.27999999999999997</v>
      </c>
      <c r="DT76" s="4">
        <f t="shared" si="81"/>
        <v>4.4003395705642358E-5</v>
      </c>
      <c r="DU76" s="4">
        <f t="shared" si="183"/>
        <v>6.6857562842857838</v>
      </c>
      <c r="DV76" s="4">
        <f t="shared" si="166"/>
        <v>0.51958051416683015</v>
      </c>
      <c r="DW76" s="4">
        <f t="shared" si="83"/>
        <v>5.1453116307848159</v>
      </c>
      <c r="DX76" s="4">
        <f t="shared" si="84"/>
        <v>5.9655493642715705</v>
      </c>
      <c r="DY76" s="4">
        <f t="shared" si="140"/>
        <v>4.8101247445158783</v>
      </c>
      <c r="DZ76" s="38">
        <f t="shared" si="86"/>
        <v>322.86437779969333</v>
      </c>
      <c r="EA76" s="4">
        <f t="shared" si="87"/>
        <v>1.0003506660726607</v>
      </c>
      <c r="EB76" s="4">
        <f t="shared" si="167"/>
        <v>1.6881943016134133</v>
      </c>
      <c r="EC76" s="4">
        <f t="shared" si="122"/>
        <v>161.30936879743294</v>
      </c>
      <c r="EG76" s="4">
        <f t="shared" si="88"/>
        <v>0.85</v>
      </c>
      <c r="EH76" s="4">
        <f t="shared" si="89"/>
        <v>0.85000000000000009</v>
      </c>
      <c r="EI76" s="4">
        <f t="shared" si="141"/>
        <v>1</v>
      </c>
      <c r="EJ76" s="4">
        <f t="shared" si="91"/>
        <v>0.85000000000000009</v>
      </c>
      <c r="EL76" s="4">
        <f t="shared" si="142"/>
        <v>260.51351379644461</v>
      </c>
      <c r="EM76" s="25">
        <f t="shared" si="143"/>
        <v>159.65722173545257</v>
      </c>
      <c r="EO76" s="4">
        <f t="shared" si="168"/>
        <v>0.72250000000000003</v>
      </c>
      <c r="EP76" s="4">
        <f t="shared" si="144"/>
        <v>6.6857562842857838</v>
      </c>
      <c r="EQ76" s="4">
        <f t="shared" si="145"/>
        <v>6.028412726414806</v>
      </c>
      <c r="ES76" s="4">
        <f t="shared" si="96"/>
        <v>42.880135260980694</v>
      </c>
      <c r="ET76" s="4">
        <f t="shared" si="184"/>
        <v>1.6881943016134133</v>
      </c>
      <c r="EU76" s="4">
        <f t="shared" si="98"/>
        <v>0.15033743507491476</v>
      </c>
      <c r="EX76" s="4">
        <f t="shared" si="185"/>
        <v>0.15033743507491476</v>
      </c>
      <c r="EY76" s="4">
        <f t="shared" si="100"/>
        <v>0.51871343112532964</v>
      </c>
      <c r="EZ76" s="4">
        <f t="shared" si="186"/>
        <v>5.1418752832648664</v>
      </c>
      <c r="FA76" s="4">
        <f t="shared" si="232"/>
        <v>5.9640685338779997</v>
      </c>
      <c r="FB76" s="4">
        <f t="shared" si="188"/>
        <v>433.36986473901931</v>
      </c>
      <c r="FC76" s="4">
        <f t="shared" si="189"/>
        <v>158.74999999999994</v>
      </c>
      <c r="FD76" s="4">
        <f t="shared" si="105"/>
        <v>4.4003395705642344E-5</v>
      </c>
      <c r="FE76" s="4">
        <f t="shared" si="233"/>
        <v>4.8105683267270267</v>
      </c>
      <c r="FF76" s="4">
        <f t="shared" si="146"/>
        <v>322.7511999039765</v>
      </c>
      <c r="FG76" s="4">
        <f t="shared" si="191"/>
        <v>134.91986473901929</v>
      </c>
      <c r="FH76" s="4">
        <f t="shared" si="192"/>
        <v>0</v>
      </c>
      <c r="FJ76" s="4">
        <f t="shared" si="147"/>
        <v>400.57542926044175</v>
      </c>
      <c r="FO76" s="23">
        <f t="shared" si="219"/>
        <v>2.2000000000000002</v>
      </c>
      <c r="FP76" s="23">
        <f t="shared" si="219"/>
        <v>1.6</v>
      </c>
      <c r="FQ76" s="23">
        <f t="shared" si="229"/>
        <v>0.8</v>
      </c>
      <c r="FR76" s="23">
        <f t="shared" si="220"/>
        <v>2</v>
      </c>
      <c r="FS76" s="23">
        <f t="shared" si="220"/>
        <v>1.6</v>
      </c>
      <c r="FT76" s="23">
        <f t="shared" si="220"/>
        <v>2</v>
      </c>
      <c r="FU76" s="23">
        <f t="shared" si="221"/>
        <v>0</v>
      </c>
      <c r="FV76" s="23"/>
      <c r="GF76" s="4">
        <f t="shared" si="111"/>
        <v>1</v>
      </c>
      <c r="GG76" s="4">
        <f t="shared" si="112"/>
        <v>0.85000000000000009</v>
      </c>
      <c r="GH76" s="4">
        <f t="shared" si="113"/>
        <v>0</v>
      </c>
      <c r="GI76" s="4">
        <f t="shared" si="114"/>
        <v>674.64195744124834</v>
      </c>
    </row>
    <row r="77" spans="1:193" ht="12" hidden="1" customHeight="1" x14ac:dyDescent="0.3">
      <c r="A77" s="25">
        <v>58</v>
      </c>
      <c r="B77" s="20" t="s">
        <v>54</v>
      </c>
      <c r="C77" s="20">
        <v>2006</v>
      </c>
      <c r="D77" s="24" t="s">
        <v>55</v>
      </c>
      <c r="E77" s="24"/>
      <c r="F77" s="24"/>
      <c r="G77" s="24"/>
      <c r="H77" s="7" t="s">
        <v>68</v>
      </c>
      <c r="I77" s="7"/>
      <c r="J77" s="7">
        <v>472</v>
      </c>
      <c r="K77" s="7">
        <f t="shared" si="234"/>
        <v>635</v>
      </c>
      <c r="L77" s="7">
        <f t="shared" si="148"/>
        <v>177.79999999999998</v>
      </c>
      <c r="M77" s="7">
        <v>28</v>
      </c>
      <c r="N77" s="7">
        <v>25.4</v>
      </c>
      <c r="O77" s="7">
        <f t="shared" si="171"/>
        <v>25</v>
      </c>
      <c r="P77" s="7">
        <v>7</v>
      </c>
      <c r="Q77" s="7">
        <f t="shared" si="149"/>
        <v>152.39999999999998</v>
      </c>
      <c r="R77" s="7"/>
      <c r="S77" s="7">
        <f t="shared" si="130"/>
        <v>63.499999999999986</v>
      </c>
      <c r="T77" s="7"/>
      <c r="U77" s="7">
        <f t="shared" si="150"/>
        <v>50.8</v>
      </c>
      <c r="V77" s="7"/>
      <c r="W77" s="7">
        <v>0</v>
      </c>
      <c r="X77" s="7">
        <v>1</v>
      </c>
      <c r="Y77" s="7"/>
      <c r="Z77" s="7"/>
      <c r="AA77" s="7">
        <f t="shared" si="151"/>
        <v>88.899999999999991</v>
      </c>
      <c r="AB77" s="7">
        <f t="shared" si="131"/>
        <v>2.9999999999999996</v>
      </c>
      <c r="AC77" s="7">
        <f t="shared" si="152"/>
        <v>4</v>
      </c>
      <c r="AD77" s="7">
        <v>4.04</v>
      </c>
      <c r="AE77" s="7">
        <f t="shared" si="172"/>
        <v>4.04</v>
      </c>
      <c r="AF77" s="7">
        <f t="shared" si="46"/>
        <v>5.04</v>
      </c>
      <c r="AG77" s="7">
        <f t="shared" si="47"/>
        <v>57.022858574434863</v>
      </c>
      <c r="AH77" s="7"/>
      <c r="AI77" s="7"/>
      <c r="AJ77" s="7">
        <v>421</v>
      </c>
      <c r="AK77" s="7"/>
      <c r="AL77" s="7"/>
      <c r="AM77" s="7">
        <v>0</v>
      </c>
      <c r="AN77" s="7">
        <v>0</v>
      </c>
      <c r="AO77" s="7">
        <f t="shared" si="153"/>
        <v>177.79999999999998</v>
      </c>
      <c r="AP77" s="7"/>
      <c r="AQ77" s="7"/>
      <c r="AR77" s="7"/>
      <c r="AS77" s="4">
        <f t="shared" si="125"/>
        <v>635</v>
      </c>
      <c r="AT77" s="44">
        <f t="shared" si="154"/>
        <v>2.1333333333333329E-2</v>
      </c>
      <c r="AU77" s="25">
        <f t="shared" si="132"/>
        <v>1671.0224668242358</v>
      </c>
      <c r="AV77" s="4">
        <f t="shared" si="133"/>
        <v>0.72399999999999998</v>
      </c>
      <c r="AW77" s="4">
        <v>1.25</v>
      </c>
      <c r="AX77" s="25">
        <f t="shared" si="119"/>
        <v>5</v>
      </c>
      <c r="AY77" s="38">
        <f t="shared" si="120"/>
        <v>161.30936879743288</v>
      </c>
      <c r="AZ77" s="38">
        <f t="shared" si="121"/>
        <v>161.30936879743288</v>
      </c>
      <c r="BB77" s="38">
        <f t="shared" si="129"/>
        <v>161.30936879743294</v>
      </c>
      <c r="BC77" s="38">
        <f t="shared" si="52"/>
        <v>0.99999999999999967</v>
      </c>
      <c r="BD77" s="38">
        <f t="shared" si="155"/>
        <v>2.3724552795991949</v>
      </c>
      <c r="BE77" s="4">
        <f t="shared" si="173"/>
        <v>0</v>
      </c>
      <c r="BF77" s="4">
        <f t="shared" si="53"/>
        <v>194.95009660475932</v>
      </c>
      <c r="BG77" s="4">
        <f t="shared" si="223"/>
        <v>1.1333333333333333</v>
      </c>
      <c r="BH77" s="38">
        <f t="shared" si="55"/>
        <v>382.69926365228338</v>
      </c>
      <c r="BI77" s="4">
        <f t="shared" si="224"/>
        <v>0.43440000000000001</v>
      </c>
      <c r="BJ77" s="4">
        <f t="shared" si="57"/>
        <v>44.248603226768637</v>
      </c>
      <c r="BK77" s="4">
        <f t="shared" si="58"/>
        <v>426.94786687905201</v>
      </c>
      <c r="BM77" s="36">
        <f t="shared" si="134"/>
        <v>1.1000000000000001</v>
      </c>
      <c r="BN77" s="36">
        <f t="shared" si="135"/>
        <v>193.24567576015772</v>
      </c>
      <c r="BS77" s="4">
        <f t="shared" si="174"/>
        <v>63.499999999999986</v>
      </c>
      <c r="BT77" s="4">
        <f t="shared" si="175"/>
        <v>63.499999999999986</v>
      </c>
      <c r="BU77" s="4">
        <f t="shared" si="176"/>
        <v>88.899999999999991</v>
      </c>
      <c r="BV77" s="4">
        <f t="shared" si="136"/>
        <v>76.199999999999989</v>
      </c>
      <c r="BW77" s="4">
        <f t="shared" si="177"/>
        <v>1.04</v>
      </c>
      <c r="BX77" s="25">
        <f t="shared" si="137"/>
        <v>3.1199999999999997</v>
      </c>
      <c r="BZ77" s="4">
        <f t="shared" si="178"/>
        <v>63.499999999999986</v>
      </c>
      <c r="CD77" s="9"/>
      <c r="CF77" s="9"/>
      <c r="CG77" s="9"/>
      <c r="CH77" s="9">
        <f t="shared" si="230"/>
        <v>50.8</v>
      </c>
      <c r="CI77" s="9">
        <f t="shared" si="231"/>
        <v>63.499999999999986</v>
      </c>
      <c r="CJ77" s="9">
        <f t="shared" si="70"/>
        <v>1.4623505735569622</v>
      </c>
      <c r="CK77" s="70">
        <v>0</v>
      </c>
      <c r="CL77" s="9">
        <f t="shared" si="71"/>
        <v>0</v>
      </c>
      <c r="CM77" s="9">
        <f t="shared" si="72"/>
        <v>0</v>
      </c>
      <c r="CN77" s="9">
        <f t="shared" si="73"/>
        <v>0.99524931562137331</v>
      </c>
      <c r="CO77" s="9">
        <f t="shared" si="74"/>
        <v>1.056</v>
      </c>
      <c r="CP77" s="9">
        <f t="shared" si="75"/>
        <v>1.9464482686693119</v>
      </c>
      <c r="CQ77" s="9">
        <f t="shared" si="76"/>
        <v>2.8463897420875242</v>
      </c>
      <c r="CR77" s="9">
        <v>1</v>
      </c>
      <c r="CS77" s="9">
        <f t="shared" si="77"/>
        <v>250.48229730370213</v>
      </c>
      <c r="CU77" s="4">
        <f t="shared" si="209"/>
        <v>2.1595270140005773</v>
      </c>
      <c r="CV77" s="4">
        <f t="shared" si="210"/>
        <v>0.98606886849551367</v>
      </c>
      <c r="CW77" s="4">
        <f t="shared" si="211"/>
        <v>2.1785739750394941</v>
      </c>
      <c r="CX77" s="4">
        <f t="shared" si="212"/>
        <v>1.6807575007568314</v>
      </c>
      <c r="CY77" s="4">
        <f t="shared" si="213"/>
        <v>1.3777074136323781</v>
      </c>
      <c r="CZ77" s="4">
        <f t="shared" si="214"/>
        <v>1.5309604404548034</v>
      </c>
      <c r="DA77" s="4">
        <f t="shared" si="162"/>
        <v>0.62403471257072396</v>
      </c>
      <c r="DC77" s="4">
        <f t="shared" si="215"/>
        <v>2.1595270140005773</v>
      </c>
      <c r="DD77" s="4">
        <f t="shared" si="215"/>
        <v>0.98606886849551367</v>
      </c>
      <c r="DE77" s="4">
        <f t="shared" si="216"/>
        <v>1.6807575007568314</v>
      </c>
      <c r="DF77" s="4">
        <f t="shared" si="217"/>
        <v>0.62403471257072396</v>
      </c>
      <c r="DG77" s="4">
        <f t="shared" si="218"/>
        <v>1.3777074136323781</v>
      </c>
      <c r="DH77" s="4">
        <f t="shared" si="218"/>
        <v>1.5309604404548034</v>
      </c>
      <c r="DP77" s="4">
        <f t="shared" si="182"/>
        <v>0</v>
      </c>
      <c r="DQ77" s="4">
        <f t="shared" si="138"/>
        <v>635</v>
      </c>
      <c r="DR77" s="4">
        <f t="shared" si="139"/>
        <v>0.27999999999999997</v>
      </c>
      <c r="DT77" s="4">
        <f t="shared" si="81"/>
        <v>4.4003395705642358E-5</v>
      </c>
      <c r="DU77" s="4">
        <f t="shared" si="183"/>
        <v>6.6857562842857838</v>
      </c>
      <c r="DV77" s="4">
        <f t="shared" si="166"/>
        <v>0.31639969550146724</v>
      </c>
      <c r="DW77" s="4">
        <f t="shared" si="83"/>
        <v>4.219344285942098</v>
      </c>
      <c r="DX77" s="4">
        <f t="shared" si="84"/>
        <v>5.5909415004503167</v>
      </c>
      <c r="DY77" s="4">
        <f t="shared" si="140"/>
        <v>4.9346088081125474</v>
      </c>
      <c r="DZ77" s="38">
        <f t="shared" si="86"/>
        <v>305.58012233527688</v>
      </c>
      <c r="EA77" s="4">
        <f t="shared" si="87"/>
        <v>1.0002840135222777</v>
      </c>
      <c r="EB77" s="4">
        <f t="shared" si="167"/>
        <v>2.2449944320643649</v>
      </c>
      <c r="EC77" s="4">
        <f t="shared" si="122"/>
        <v>161.30936879743294</v>
      </c>
      <c r="EG77" s="4">
        <f t="shared" si="88"/>
        <v>0.85</v>
      </c>
      <c r="EH77" s="4">
        <f t="shared" si="89"/>
        <v>0.85000000000000009</v>
      </c>
      <c r="EI77" s="4">
        <f t="shared" si="141"/>
        <v>1</v>
      </c>
      <c r="EJ77" s="4">
        <f t="shared" si="91"/>
        <v>0.85000000000000009</v>
      </c>
      <c r="EL77" s="4">
        <f t="shared" si="142"/>
        <v>274.99077629656665</v>
      </c>
      <c r="EM77" s="25">
        <f t="shared" si="143"/>
        <v>159.65722173545257</v>
      </c>
      <c r="EO77" s="4">
        <f t="shared" si="168"/>
        <v>0.72250000000000003</v>
      </c>
      <c r="EP77" s="4">
        <f t="shared" si="144"/>
        <v>6.6857562842857838</v>
      </c>
      <c r="EQ77" s="4">
        <f t="shared" si="145"/>
        <v>6.028412726414806</v>
      </c>
      <c r="ES77" s="4">
        <f t="shared" si="96"/>
        <v>57.022858574434863</v>
      </c>
      <c r="ET77" s="4">
        <f t="shared" si="184"/>
        <v>2.2449944320643649</v>
      </c>
      <c r="EU77" s="4">
        <f t="shared" si="98"/>
        <v>9.1548311345836214E-2</v>
      </c>
      <c r="EX77" s="4">
        <f t="shared" si="185"/>
        <v>9.1548311345836214E-2</v>
      </c>
      <c r="EY77" s="4">
        <f t="shared" si="100"/>
        <v>0.31587168337856231</v>
      </c>
      <c r="EZ77" s="4">
        <f t="shared" si="186"/>
        <v>4.2165263549180425</v>
      </c>
      <c r="FA77" s="4">
        <f t="shared" si="232"/>
        <v>5.5898818106728223</v>
      </c>
      <c r="FB77" s="4">
        <f t="shared" si="188"/>
        <v>419.22714142556515</v>
      </c>
      <c r="FC77" s="4">
        <f t="shared" si="189"/>
        <v>158.75</v>
      </c>
      <c r="FD77" s="4">
        <f t="shared" si="105"/>
        <v>4.4003395705642358E-5</v>
      </c>
      <c r="FE77" s="4">
        <f t="shared" si="233"/>
        <v>4.9349488663478827</v>
      </c>
      <c r="FF77" s="4">
        <f t="shared" si="146"/>
        <v>305.49335809061313</v>
      </c>
      <c r="FG77" s="4">
        <f t="shared" si="191"/>
        <v>120.77714142556512</v>
      </c>
      <c r="FH77" s="4">
        <f t="shared" si="192"/>
        <v>0</v>
      </c>
      <c r="FJ77" s="4">
        <f t="shared" si="147"/>
        <v>386.09816676031971</v>
      </c>
      <c r="FO77" s="23">
        <f t="shared" si="219"/>
        <v>2.2000000000000002</v>
      </c>
      <c r="FP77" s="23">
        <f t="shared" si="219"/>
        <v>1</v>
      </c>
      <c r="FQ77" s="23">
        <f t="shared" si="229"/>
        <v>0.8</v>
      </c>
      <c r="FR77" s="23">
        <f t="shared" si="220"/>
        <v>1.8</v>
      </c>
      <c r="FS77" s="23">
        <f t="shared" si="220"/>
        <v>1.4</v>
      </c>
      <c r="FT77" s="23">
        <f t="shared" si="220"/>
        <v>1.6</v>
      </c>
      <c r="FU77" s="23">
        <f t="shared" si="221"/>
        <v>0</v>
      </c>
      <c r="FV77" s="23"/>
      <c r="GF77" s="4">
        <f t="shared" si="111"/>
        <v>1</v>
      </c>
      <c r="GG77" s="4">
        <f t="shared" si="112"/>
        <v>0.85000000000000009</v>
      </c>
      <c r="GH77" s="4">
        <f t="shared" si="113"/>
        <v>0</v>
      </c>
      <c r="GI77" s="4">
        <f t="shared" si="114"/>
        <v>674.64195744124834</v>
      </c>
    </row>
    <row r="78" spans="1:193" ht="12" hidden="1" customHeight="1" x14ac:dyDescent="0.3">
      <c r="A78" s="25">
        <v>59</v>
      </c>
      <c r="B78" s="20" t="s">
        <v>54</v>
      </c>
      <c r="C78" s="20">
        <v>2006</v>
      </c>
      <c r="D78" s="24" t="s">
        <v>55</v>
      </c>
      <c r="E78" s="24"/>
      <c r="F78" s="24"/>
      <c r="G78" s="24"/>
      <c r="H78" s="7" t="s">
        <v>279</v>
      </c>
      <c r="I78" s="7"/>
      <c r="J78" s="7">
        <v>472</v>
      </c>
      <c r="K78" s="7">
        <f t="shared" si="234"/>
        <v>635</v>
      </c>
      <c r="L78" s="7">
        <f t="shared" si="148"/>
        <v>177.79999999999998</v>
      </c>
      <c r="M78" s="7">
        <v>28</v>
      </c>
      <c r="N78" s="7">
        <v>25.4</v>
      </c>
      <c r="O78" s="7">
        <f t="shared" si="171"/>
        <v>25</v>
      </c>
      <c r="P78" s="7">
        <v>7</v>
      </c>
      <c r="Q78" s="7">
        <f t="shared" si="149"/>
        <v>152.39999999999998</v>
      </c>
      <c r="R78" s="7"/>
      <c r="S78" s="7">
        <f t="shared" si="130"/>
        <v>63.499999999999986</v>
      </c>
      <c r="T78" s="7"/>
      <c r="U78" s="7">
        <f t="shared" si="150"/>
        <v>50.8</v>
      </c>
      <c r="V78" s="7"/>
      <c r="W78" s="7">
        <v>0</v>
      </c>
      <c r="X78" s="7">
        <v>1</v>
      </c>
      <c r="Y78" s="7"/>
      <c r="Z78" s="7"/>
      <c r="AA78" s="7">
        <f t="shared" si="151"/>
        <v>88.899999999999991</v>
      </c>
      <c r="AB78" s="7">
        <f t="shared" si="131"/>
        <v>2.9999999999999996</v>
      </c>
      <c r="AC78" s="7">
        <f t="shared" si="152"/>
        <v>4</v>
      </c>
      <c r="AD78" s="7">
        <v>4.0599999999999996</v>
      </c>
      <c r="AE78" s="7">
        <f t="shared" si="172"/>
        <v>4.0599999999999996</v>
      </c>
      <c r="AF78" s="7">
        <f t="shared" si="46"/>
        <v>5.0599999999999996</v>
      </c>
      <c r="AG78" s="7">
        <f t="shared" si="47"/>
        <v>57.135887146346114</v>
      </c>
      <c r="AH78" s="7"/>
      <c r="AI78" s="7"/>
      <c r="AJ78" s="7">
        <v>472</v>
      </c>
      <c r="AK78" s="7"/>
      <c r="AL78" s="7"/>
      <c r="AM78" s="7">
        <v>0</v>
      </c>
      <c r="AN78" s="7">
        <v>0</v>
      </c>
      <c r="AO78" s="7">
        <f t="shared" si="153"/>
        <v>177.79999999999998</v>
      </c>
      <c r="AP78" s="7"/>
      <c r="AQ78" s="7"/>
      <c r="AR78" s="7"/>
      <c r="AS78" s="4">
        <f t="shared" si="125"/>
        <v>635</v>
      </c>
      <c r="AT78" s="44">
        <f t="shared" si="154"/>
        <v>2.1333333333333329E-2</v>
      </c>
      <c r="AU78" s="25">
        <f t="shared" si="132"/>
        <v>1671.0224668242358</v>
      </c>
      <c r="AV78" s="4">
        <f t="shared" si="133"/>
        <v>0.72399999999999998</v>
      </c>
      <c r="AW78" s="4">
        <v>1.25</v>
      </c>
      <c r="AX78" s="25">
        <f t="shared" si="119"/>
        <v>5</v>
      </c>
      <c r="AY78" s="38">
        <f t="shared" si="120"/>
        <v>161.30936879743288</v>
      </c>
      <c r="AZ78" s="38">
        <f t="shared" si="121"/>
        <v>161.30936879743288</v>
      </c>
      <c r="BB78" s="38">
        <f t="shared" si="129"/>
        <v>161.30936879743294</v>
      </c>
      <c r="BC78" s="38">
        <f t="shared" si="52"/>
        <v>0.99999999999999967</v>
      </c>
      <c r="BD78" s="38">
        <f t="shared" si="155"/>
        <v>2.3783204437526595</v>
      </c>
      <c r="BE78" s="4">
        <f t="shared" si="173"/>
        <v>0</v>
      </c>
      <c r="BF78" s="4">
        <f t="shared" si="53"/>
        <v>194.95009660475932</v>
      </c>
      <c r="BG78" s="4">
        <f t="shared" si="223"/>
        <v>1.1333333333333333</v>
      </c>
      <c r="BH78" s="38">
        <f t="shared" si="55"/>
        <v>383.64536957977214</v>
      </c>
      <c r="BI78" s="4">
        <f t="shared" si="224"/>
        <v>0.43160000000000009</v>
      </c>
      <c r="BJ78" s="4">
        <f t="shared" si="57"/>
        <v>43.963391235435886</v>
      </c>
      <c r="BK78" s="4">
        <f t="shared" si="58"/>
        <v>427.60876081520803</v>
      </c>
      <c r="BM78" s="36">
        <f t="shared" si="134"/>
        <v>1.1000000000000001</v>
      </c>
      <c r="BN78" s="36">
        <f t="shared" si="135"/>
        <v>193.24567576015772</v>
      </c>
      <c r="BS78" s="4">
        <f t="shared" si="174"/>
        <v>63.499999999999986</v>
      </c>
      <c r="BT78" s="4">
        <f t="shared" si="175"/>
        <v>63.499999999999986</v>
      </c>
      <c r="BU78" s="4">
        <f t="shared" si="176"/>
        <v>88.899999999999991</v>
      </c>
      <c r="BV78" s="4">
        <f t="shared" si="136"/>
        <v>76.199999999999989</v>
      </c>
      <c r="BW78" s="4">
        <f t="shared" si="177"/>
        <v>1.04</v>
      </c>
      <c r="BX78" s="25">
        <f t="shared" si="137"/>
        <v>3.1199999999999997</v>
      </c>
      <c r="BZ78" s="4">
        <f t="shared" si="178"/>
        <v>63.499999999999986</v>
      </c>
      <c r="CD78" s="9"/>
      <c r="CF78" s="9"/>
      <c r="CG78" s="9"/>
      <c r="CH78" s="9">
        <f t="shared" si="230"/>
        <v>50.8</v>
      </c>
      <c r="CI78" s="9">
        <f t="shared" si="231"/>
        <v>63.499999999999986</v>
      </c>
      <c r="CJ78" s="9">
        <f t="shared" si="70"/>
        <v>1.4623505735569622</v>
      </c>
      <c r="CK78" s="70">
        <v>0</v>
      </c>
      <c r="CL78" s="9">
        <f t="shared" si="71"/>
        <v>0</v>
      </c>
      <c r="CM78" s="9">
        <f t="shared" si="72"/>
        <v>0</v>
      </c>
      <c r="CN78" s="9">
        <f t="shared" si="73"/>
        <v>0.99524931562137331</v>
      </c>
      <c r="CO78" s="9">
        <f t="shared" si="74"/>
        <v>1.056</v>
      </c>
      <c r="CP78" s="9">
        <f t="shared" si="75"/>
        <v>1.9464482686693119</v>
      </c>
      <c r="CQ78" s="9">
        <f t="shared" si="76"/>
        <v>2.8463897420875242</v>
      </c>
      <c r="CR78" s="9">
        <v>1</v>
      </c>
      <c r="CS78" s="9">
        <f t="shared" si="77"/>
        <v>250.48229730370213</v>
      </c>
      <c r="CU78" s="4">
        <f t="shared" si="209"/>
        <v>2.4211324242476784</v>
      </c>
      <c r="CV78" s="4">
        <f t="shared" si="210"/>
        <v>1.1038127448562163</v>
      </c>
      <c r="CW78" s="4">
        <f t="shared" si="211"/>
        <v>2.4424867368613805</v>
      </c>
      <c r="CX78" s="4">
        <f t="shared" si="212"/>
        <v>1.8843647039364</v>
      </c>
      <c r="CY78" s="4">
        <f t="shared" si="213"/>
        <v>1.5451342388757128</v>
      </c>
      <c r="CZ78" s="4">
        <f t="shared" si="214"/>
        <v>1.7159791174041488</v>
      </c>
      <c r="DA78" s="4">
        <f t="shared" si="162"/>
        <v>0.69963036658760502</v>
      </c>
      <c r="DC78" s="4">
        <f t="shared" si="215"/>
        <v>2.4211324242476784</v>
      </c>
      <c r="DD78" s="4">
        <f t="shared" si="215"/>
        <v>1.1038127448562163</v>
      </c>
      <c r="DE78" s="4">
        <f t="shared" si="216"/>
        <v>1.8843647039364</v>
      </c>
      <c r="DF78" s="4">
        <f t="shared" si="217"/>
        <v>0.69963036658760502</v>
      </c>
      <c r="DG78" s="4">
        <f t="shared" si="218"/>
        <v>1.5451342388757128</v>
      </c>
      <c r="DH78" s="4">
        <f t="shared" si="218"/>
        <v>1.7159791174041488</v>
      </c>
      <c r="DP78" s="4">
        <f t="shared" si="182"/>
        <v>0</v>
      </c>
      <c r="DQ78" s="4">
        <f t="shared" si="138"/>
        <v>635</v>
      </c>
      <c r="DR78" s="4">
        <f t="shared" si="139"/>
        <v>0.27999999999999997</v>
      </c>
      <c r="DT78" s="4">
        <f t="shared" si="81"/>
        <v>4.4003395705642358E-5</v>
      </c>
      <c r="DU78" s="4">
        <f t="shared" si="183"/>
        <v>6.6857562842857838</v>
      </c>
      <c r="DV78" s="4">
        <f t="shared" si="166"/>
        <v>0.3154651424867419</v>
      </c>
      <c r="DW78" s="4">
        <f t="shared" si="83"/>
        <v>4.2143547734798679</v>
      </c>
      <c r="DX78" s="4">
        <f t="shared" si="84"/>
        <v>5.5890655388539159</v>
      </c>
      <c r="DY78" s="4">
        <f t="shared" si="140"/>
        <v>4.9352981872014201</v>
      </c>
      <c r="DZ78" s="38">
        <f t="shared" si="86"/>
        <v>305.47507661434111</v>
      </c>
      <c r="EA78" s="4">
        <f t="shared" si="87"/>
        <v>1.0002836863845934</v>
      </c>
      <c r="EB78" s="4">
        <f t="shared" si="167"/>
        <v>2.2494443758403984</v>
      </c>
      <c r="EC78" s="4">
        <f t="shared" si="122"/>
        <v>161.30936879743294</v>
      </c>
      <c r="EG78" s="4">
        <f t="shared" si="88"/>
        <v>0.85</v>
      </c>
      <c r="EH78" s="4">
        <f t="shared" si="89"/>
        <v>0.85000000000000009</v>
      </c>
      <c r="EI78" s="4">
        <f t="shared" si="141"/>
        <v>1</v>
      </c>
      <c r="EJ78" s="4">
        <f t="shared" si="91"/>
        <v>0.85000000000000009</v>
      </c>
      <c r="EL78" s="4">
        <f t="shared" si="142"/>
        <v>275.06162237802698</v>
      </c>
      <c r="EM78" s="25">
        <f t="shared" si="143"/>
        <v>159.65722173545257</v>
      </c>
      <c r="EO78" s="4">
        <f t="shared" si="168"/>
        <v>0.72250000000000003</v>
      </c>
      <c r="EP78" s="4">
        <f t="shared" si="144"/>
        <v>6.6857562842857838</v>
      </c>
      <c r="EQ78" s="4">
        <f t="shared" si="145"/>
        <v>6.028412726414806</v>
      </c>
      <c r="ES78" s="4">
        <f t="shared" si="96"/>
        <v>57.135887146346114</v>
      </c>
      <c r="ET78" s="4">
        <f t="shared" si="184"/>
        <v>2.2494443758403984</v>
      </c>
      <c r="EU78" s="4">
        <f t="shared" si="98"/>
        <v>9.127790416284047E-2</v>
      </c>
      <c r="EX78" s="4">
        <f t="shared" si="185"/>
        <v>9.127790416284047E-2</v>
      </c>
      <c r="EY78" s="4">
        <f t="shared" si="100"/>
        <v>0.31493868995864155</v>
      </c>
      <c r="EZ78" s="4">
        <f t="shared" si="186"/>
        <v>4.2115401747513097</v>
      </c>
      <c r="FA78" s="4">
        <f t="shared" si="232"/>
        <v>5.5880080266286809</v>
      </c>
      <c r="FB78" s="4">
        <f t="shared" si="188"/>
        <v>419.11411285365386</v>
      </c>
      <c r="FC78" s="4">
        <f t="shared" si="189"/>
        <v>158.75</v>
      </c>
      <c r="FD78" s="4">
        <f t="shared" si="105"/>
        <v>4.4003395705642358E-5</v>
      </c>
      <c r="FE78" s="4">
        <f t="shared" si="233"/>
        <v>4.9356377370924536</v>
      </c>
      <c r="FF78" s="4">
        <f t="shared" si="146"/>
        <v>305.38844207131331</v>
      </c>
      <c r="FG78" s="4">
        <f t="shared" si="191"/>
        <v>120.66411285365388</v>
      </c>
      <c r="FH78" s="4">
        <f t="shared" si="192"/>
        <v>0</v>
      </c>
      <c r="FJ78" s="4">
        <f t="shared" si="147"/>
        <v>386.02732067885938</v>
      </c>
      <c r="FO78" s="23">
        <f t="shared" si="219"/>
        <v>2.2000000000000002</v>
      </c>
      <c r="FP78" s="23">
        <f t="shared" si="219"/>
        <v>1.2</v>
      </c>
      <c r="FQ78" s="23">
        <f t="shared" si="229"/>
        <v>0.8</v>
      </c>
      <c r="FR78" s="23">
        <f t="shared" si="220"/>
        <v>2</v>
      </c>
      <c r="FS78" s="23">
        <f t="shared" si="220"/>
        <v>1.6</v>
      </c>
      <c r="FT78" s="23">
        <f t="shared" si="220"/>
        <v>1.8</v>
      </c>
      <c r="FU78" s="23">
        <f t="shared" si="221"/>
        <v>0</v>
      </c>
      <c r="FV78" s="23"/>
      <c r="GF78" s="4">
        <f t="shared" si="111"/>
        <v>1</v>
      </c>
      <c r="GG78" s="4">
        <f t="shared" si="112"/>
        <v>0.85000000000000009</v>
      </c>
      <c r="GH78" s="4">
        <f t="shared" si="113"/>
        <v>0</v>
      </c>
      <c r="GI78" s="4">
        <f t="shared" si="114"/>
        <v>674.64195744124834</v>
      </c>
    </row>
    <row r="79" spans="1:193" ht="12" hidden="1" customHeight="1" x14ac:dyDescent="0.3">
      <c r="A79" s="25">
        <v>60</v>
      </c>
      <c r="B79" s="20" t="s">
        <v>54</v>
      </c>
      <c r="C79" s="20">
        <v>2006</v>
      </c>
      <c r="D79" s="24" t="s">
        <v>55</v>
      </c>
      <c r="E79" s="24"/>
      <c r="F79" s="24"/>
      <c r="G79" s="24"/>
      <c r="H79" s="7" t="s">
        <v>282</v>
      </c>
      <c r="I79" s="7"/>
      <c r="J79" s="7">
        <v>472</v>
      </c>
      <c r="K79" s="7">
        <f t="shared" si="234"/>
        <v>635</v>
      </c>
      <c r="L79" s="7">
        <f t="shared" si="148"/>
        <v>177.79999999999998</v>
      </c>
      <c r="M79" s="7">
        <v>28</v>
      </c>
      <c r="N79" s="7">
        <v>25.4</v>
      </c>
      <c r="O79" s="7">
        <f t="shared" si="171"/>
        <v>25</v>
      </c>
      <c r="P79" s="7">
        <v>7</v>
      </c>
      <c r="Q79" s="7">
        <f t="shared" si="149"/>
        <v>152.39999999999998</v>
      </c>
      <c r="R79" s="7"/>
      <c r="S79" s="7">
        <f t="shared" si="130"/>
        <v>63.499999999999986</v>
      </c>
      <c r="T79" s="7"/>
      <c r="U79" s="7">
        <f t="shared" si="150"/>
        <v>50.8</v>
      </c>
      <c r="V79" s="7"/>
      <c r="W79" s="7">
        <v>0</v>
      </c>
      <c r="X79" s="7">
        <v>1</v>
      </c>
      <c r="Y79" s="7"/>
      <c r="Z79" s="7"/>
      <c r="AA79" s="7">
        <f t="shared" si="151"/>
        <v>88.899999999999991</v>
      </c>
      <c r="AB79" s="7">
        <f t="shared" si="131"/>
        <v>2.9999999999999996</v>
      </c>
      <c r="AC79" s="7">
        <f t="shared" si="152"/>
        <v>4</v>
      </c>
      <c r="AD79" s="7">
        <v>10.39</v>
      </c>
      <c r="AE79" s="7">
        <f t="shared" si="172"/>
        <v>10.39</v>
      </c>
      <c r="AF79" s="7">
        <f t="shared" si="46"/>
        <v>11.39</v>
      </c>
      <c r="AG79" s="7">
        <f t="shared" si="47"/>
        <v>85.722648115885917</v>
      </c>
      <c r="AH79" s="7"/>
      <c r="AI79" s="7"/>
      <c r="AJ79" s="7">
        <v>472</v>
      </c>
      <c r="AK79" s="7"/>
      <c r="AL79" s="7"/>
      <c r="AM79" s="7">
        <v>0</v>
      </c>
      <c r="AN79" s="7">
        <v>0</v>
      </c>
      <c r="AO79" s="7">
        <f t="shared" si="153"/>
        <v>177.79999999999998</v>
      </c>
      <c r="AP79" s="7"/>
      <c r="AQ79" s="7"/>
      <c r="AR79" s="7"/>
      <c r="AS79" s="4">
        <f t="shared" si="125"/>
        <v>635</v>
      </c>
      <c r="AT79" s="44">
        <f t="shared" si="154"/>
        <v>2.1333333333333329E-2</v>
      </c>
      <c r="AU79" s="25">
        <f t="shared" si="132"/>
        <v>1671.0224668242358</v>
      </c>
      <c r="AV79" s="4">
        <f t="shared" si="133"/>
        <v>0.72399999999999998</v>
      </c>
      <c r="AW79" s="4">
        <v>1.25</v>
      </c>
      <c r="AX79" s="25">
        <f t="shared" si="119"/>
        <v>5</v>
      </c>
      <c r="AY79" s="38">
        <f t="shared" si="120"/>
        <v>161.30936879743288</v>
      </c>
      <c r="AZ79" s="38">
        <f t="shared" si="121"/>
        <v>161.30936879743288</v>
      </c>
      <c r="BB79" s="38">
        <f t="shared" si="129"/>
        <v>161.30936879743294</v>
      </c>
      <c r="BC79" s="38">
        <f t="shared" si="52"/>
        <v>0.99999999999999967</v>
      </c>
      <c r="BD79" s="38">
        <f t="shared" si="155"/>
        <v>3.8046536355645637</v>
      </c>
      <c r="BE79" s="4">
        <f t="shared" si="173"/>
        <v>0</v>
      </c>
      <c r="BF79" s="4">
        <f t="shared" si="53"/>
        <v>194.95009660475932</v>
      </c>
      <c r="BG79" s="4">
        <f t="shared" si="223"/>
        <v>1.1333333333333333</v>
      </c>
      <c r="BH79" s="38">
        <f t="shared" si="55"/>
        <v>613.72627644577824</v>
      </c>
      <c r="BI79" s="4">
        <f t="shared" si="224"/>
        <v>0.3</v>
      </c>
      <c r="BJ79" s="4">
        <f t="shared" si="57"/>
        <v>30.558427642796019</v>
      </c>
      <c r="BK79" s="4">
        <f t="shared" si="58"/>
        <v>644.28470408857424</v>
      </c>
      <c r="BM79" s="36">
        <f t="shared" si="134"/>
        <v>1.1000000000000001</v>
      </c>
      <c r="BN79" s="36">
        <f t="shared" si="135"/>
        <v>193.24567576015772</v>
      </c>
      <c r="BS79" s="4">
        <f t="shared" si="174"/>
        <v>63.499999999999986</v>
      </c>
      <c r="BT79" s="4">
        <f t="shared" si="175"/>
        <v>63.499999999999986</v>
      </c>
      <c r="BU79" s="4">
        <f t="shared" si="176"/>
        <v>88.899999999999991</v>
      </c>
      <c r="BV79" s="4">
        <f t="shared" si="136"/>
        <v>76.199999999999989</v>
      </c>
      <c r="BW79" s="4">
        <f t="shared" si="177"/>
        <v>1.04</v>
      </c>
      <c r="BX79" s="25">
        <f t="shared" si="137"/>
        <v>3.1199999999999997</v>
      </c>
      <c r="BZ79" s="4">
        <f t="shared" si="178"/>
        <v>63.499999999999986</v>
      </c>
      <c r="CD79" s="9"/>
      <c r="CF79" s="9"/>
      <c r="CG79" s="9"/>
      <c r="CH79" s="9">
        <f t="shared" si="230"/>
        <v>50.8</v>
      </c>
      <c r="CI79" s="9">
        <f t="shared" si="231"/>
        <v>63.499999999999986</v>
      </c>
      <c r="CJ79" s="9">
        <f t="shared" si="70"/>
        <v>1.4623505735569622</v>
      </c>
      <c r="CK79" s="70">
        <v>0</v>
      </c>
      <c r="CL79" s="9">
        <f t="shared" si="71"/>
        <v>0</v>
      </c>
      <c r="CM79" s="9">
        <f t="shared" si="72"/>
        <v>0</v>
      </c>
      <c r="CN79" s="9">
        <f t="shared" si="73"/>
        <v>0.99524931562137331</v>
      </c>
      <c r="CO79" s="9">
        <f t="shared" si="74"/>
        <v>1.056</v>
      </c>
      <c r="CP79" s="9">
        <f t="shared" si="75"/>
        <v>1.9464482686693119</v>
      </c>
      <c r="CQ79" s="9">
        <f t="shared" si="76"/>
        <v>2.8463897420875242</v>
      </c>
      <c r="CR79" s="9">
        <v>1</v>
      </c>
      <c r="CS79" s="9">
        <f t="shared" si="77"/>
        <v>250.48229730370213</v>
      </c>
      <c r="CU79" s="4">
        <f t="shared" si="209"/>
        <v>2.4211324242476784</v>
      </c>
      <c r="CV79" s="4">
        <f t="shared" si="210"/>
        <v>0.7325953836940865</v>
      </c>
      <c r="CW79" s="4">
        <f t="shared" si="211"/>
        <v>2.4424867368613805</v>
      </c>
      <c r="CX79" s="4">
        <f t="shared" si="212"/>
        <v>1.8843647039364</v>
      </c>
      <c r="CY79" s="4">
        <f t="shared" si="213"/>
        <v>1.6605239427889933</v>
      </c>
      <c r="CZ79" s="4">
        <f t="shared" si="214"/>
        <v>1.6549322135268125</v>
      </c>
      <c r="DA79" s="4">
        <f t="shared" si="162"/>
        <v>0.69963036658760502</v>
      </c>
      <c r="DC79" s="4">
        <f t="shared" si="215"/>
        <v>2.4211324242476784</v>
      </c>
      <c r="DD79" s="4">
        <f t="shared" si="215"/>
        <v>0.7325953836940865</v>
      </c>
      <c r="DE79" s="4">
        <f t="shared" si="216"/>
        <v>1.8843647039364</v>
      </c>
      <c r="DF79" s="4">
        <f t="shared" si="217"/>
        <v>0.69963036658760502</v>
      </c>
      <c r="DG79" s="4">
        <f t="shared" si="218"/>
        <v>1.6605239427889933</v>
      </c>
      <c r="DH79" s="4">
        <f t="shared" si="218"/>
        <v>1.6549322135268125</v>
      </c>
      <c r="DP79" s="4">
        <f t="shared" si="182"/>
        <v>0</v>
      </c>
      <c r="DQ79" s="4">
        <f t="shared" si="138"/>
        <v>635</v>
      </c>
      <c r="DR79" s="4">
        <f t="shared" si="139"/>
        <v>0.27999999999999997</v>
      </c>
      <c r="DT79" s="4">
        <f t="shared" si="81"/>
        <v>4.4003395705642358E-5</v>
      </c>
      <c r="DU79" s="4">
        <f t="shared" si="183"/>
        <v>6.6857562842857838</v>
      </c>
      <c r="DV79" s="4">
        <f t="shared" si="166"/>
        <v>0.1849475013016269</v>
      </c>
      <c r="DW79" s="4">
        <f t="shared" si="83"/>
        <v>3.4038461991995663</v>
      </c>
      <c r="DX79" s="4">
        <f t="shared" si="84"/>
        <v>5.3074788298917506</v>
      </c>
      <c r="DY79" s="4">
        <f t="shared" si="140"/>
        <v>5.0582629585034002</v>
      </c>
      <c r="DZ79" s="38">
        <f t="shared" si="86"/>
        <v>284.24763283282459</v>
      </c>
      <c r="EA79" s="4">
        <f t="shared" si="87"/>
        <v>1.0002404677277599</v>
      </c>
      <c r="EB79" s="4">
        <f t="shared" si="167"/>
        <v>3.3749074061372411</v>
      </c>
      <c r="EC79" s="4">
        <f t="shared" si="122"/>
        <v>161.30936879743294</v>
      </c>
      <c r="EG79" s="4">
        <f t="shared" si="88"/>
        <v>0.85</v>
      </c>
      <c r="EH79" s="4">
        <f t="shared" si="89"/>
        <v>0.85000000000000009</v>
      </c>
      <c r="EI79" s="4">
        <f t="shared" si="141"/>
        <v>1</v>
      </c>
      <c r="EJ79" s="4">
        <f t="shared" si="91"/>
        <v>0.85000000000000009</v>
      </c>
      <c r="EL79" s="4">
        <f t="shared" si="142"/>
        <v>285.20805634336205</v>
      </c>
      <c r="EM79" s="25">
        <f t="shared" si="143"/>
        <v>159.65722173545257</v>
      </c>
      <c r="EO79" s="4">
        <f t="shared" si="168"/>
        <v>0.72250000000000003</v>
      </c>
      <c r="EP79" s="4">
        <f t="shared" si="144"/>
        <v>6.6857562842857838</v>
      </c>
      <c r="EQ79" s="4">
        <f t="shared" si="145"/>
        <v>6.028412726414806</v>
      </c>
      <c r="ES79" s="4">
        <f t="shared" si="96"/>
        <v>85.722648115885917</v>
      </c>
      <c r="ET79" s="4">
        <f t="shared" si="184"/>
        <v>3.3749074061372411</v>
      </c>
      <c r="EU79" s="4">
        <f t="shared" si="98"/>
        <v>5.3513425178746021E-2</v>
      </c>
      <c r="EX79" s="4">
        <f t="shared" si="185"/>
        <v>5.3513425178746021E-2</v>
      </c>
      <c r="EY79" s="4">
        <f t="shared" si="100"/>
        <v>0.18463885839148297</v>
      </c>
      <c r="EZ79" s="4">
        <f t="shared" si="186"/>
        <v>3.4015729066792599</v>
      </c>
      <c r="FA79" s="4">
        <f t="shared" si="232"/>
        <v>5.3067578077039173</v>
      </c>
      <c r="FB79" s="4">
        <f t="shared" si="188"/>
        <v>390.52735188411407</v>
      </c>
      <c r="FC79" s="4">
        <f t="shared" si="189"/>
        <v>158.75</v>
      </c>
      <c r="FD79" s="4">
        <f t="shared" si="105"/>
        <v>4.4003395705642358E-5</v>
      </c>
      <c r="FE79" s="4">
        <f t="shared" si="233"/>
        <v>5.0585307900576097</v>
      </c>
      <c r="FF79" s="4">
        <f t="shared" si="146"/>
        <v>284.17929688302672</v>
      </c>
      <c r="FG79" s="4">
        <f t="shared" si="191"/>
        <v>92.077351884114066</v>
      </c>
      <c r="FH79" s="4">
        <f t="shared" si="192"/>
        <v>0</v>
      </c>
      <c r="FJ79" s="4">
        <f t="shared" si="147"/>
        <v>375.88088671352432</v>
      </c>
      <c r="FO79" s="23">
        <f t="shared" si="219"/>
        <v>2.2000000000000002</v>
      </c>
      <c r="FP79" s="23">
        <f t="shared" si="219"/>
        <v>0.8</v>
      </c>
      <c r="FQ79" s="23">
        <f t="shared" si="229"/>
        <v>0.8</v>
      </c>
      <c r="FR79" s="23">
        <f t="shared" si="220"/>
        <v>2</v>
      </c>
      <c r="FS79" s="23">
        <f t="shared" si="220"/>
        <v>1.8</v>
      </c>
      <c r="FT79" s="23">
        <f t="shared" si="220"/>
        <v>1.8</v>
      </c>
      <c r="FU79" s="23">
        <f t="shared" si="221"/>
        <v>0</v>
      </c>
      <c r="FV79" s="23"/>
      <c r="GF79" s="4">
        <f t="shared" si="111"/>
        <v>1</v>
      </c>
      <c r="GG79" s="4">
        <f t="shared" si="112"/>
        <v>0.85000000000000009</v>
      </c>
      <c r="GH79" s="4">
        <f t="shared" si="113"/>
        <v>0</v>
      </c>
      <c r="GI79" s="4">
        <f t="shared" si="114"/>
        <v>674.64195744124834</v>
      </c>
    </row>
    <row r="80" spans="1:193" ht="12" hidden="1" customHeight="1" x14ac:dyDescent="0.3">
      <c r="A80" s="25">
        <v>61</v>
      </c>
      <c r="B80" s="20" t="s">
        <v>54</v>
      </c>
      <c r="C80" s="20">
        <v>2006</v>
      </c>
      <c r="D80" s="24" t="s">
        <v>55</v>
      </c>
      <c r="E80" s="24"/>
      <c r="F80" s="24"/>
      <c r="G80" s="24"/>
      <c r="H80" s="7" t="s">
        <v>283</v>
      </c>
      <c r="I80" s="7"/>
      <c r="J80" s="7">
        <v>433</v>
      </c>
      <c r="K80" s="7">
        <f>15*25.4</f>
        <v>381</v>
      </c>
      <c r="L80" s="7">
        <f t="shared" si="148"/>
        <v>252</v>
      </c>
      <c r="M80" s="7">
        <v>28</v>
      </c>
      <c r="N80" s="7">
        <v>36</v>
      </c>
      <c r="O80" s="7">
        <f t="shared" si="171"/>
        <v>10.583333333333334</v>
      </c>
      <c r="P80" s="7">
        <v>7</v>
      </c>
      <c r="Q80" s="7">
        <f t="shared" ref="Q80:Q90" si="235">8.5*25.4</f>
        <v>215.89999999999998</v>
      </c>
      <c r="R80" s="7"/>
      <c r="S80" s="7">
        <f t="shared" si="130"/>
        <v>89.949999999999989</v>
      </c>
      <c r="T80" s="7"/>
      <c r="U80" s="7">
        <f t="shared" si="150"/>
        <v>50.8</v>
      </c>
      <c r="V80" s="7"/>
      <c r="W80" s="7">
        <v>0</v>
      </c>
      <c r="X80" s="7">
        <v>1</v>
      </c>
      <c r="Y80" s="7"/>
      <c r="Z80" s="7"/>
      <c r="AA80" s="7">
        <f t="shared" si="151"/>
        <v>83.6</v>
      </c>
      <c r="AB80" s="7">
        <f t="shared" si="131"/>
        <v>2.822222222222222</v>
      </c>
      <c r="AC80" s="7">
        <f t="shared" si="152"/>
        <v>2.9986111111111109</v>
      </c>
      <c r="AD80" s="7">
        <v>1.1000000000000001</v>
      </c>
      <c r="AE80" s="7">
        <f t="shared" si="172"/>
        <v>1.1000000000000001</v>
      </c>
      <c r="AF80" s="7">
        <f t="shared" si="46"/>
        <v>2.1</v>
      </c>
      <c r="AG80" s="7">
        <f t="shared" si="47"/>
        <v>52.168956286281983</v>
      </c>
      <c r="AH80" s="7"/>
      <c r="AI80" s="7"/>
      <c r="AJ80" s="7">
        <v>354</v>
      </c>
      <c r="AK80" s="7"/>
      <c r="AL80" s="7"/>
      <c r="AM80" s="7">
        <v>0</v>
      </c>
      <c r="AN80" s="7">
        <v>0</v>
      </c>
      <c r="AO80" s="7">
        <f t="shared" si="153"/>
        <v>252</v>
      </c>
      <c r="AP80" s="7"/>
      <c r="AQ80" s="7"/>
      <c r="AR80" s="7"/>
      <c r="AS80" s="4">
        <f t="shared" si="125"/>
        <v>381</v>
      </c>
      <c r="AT80" s="44">
        <f t="shared" si="154"/>
        <v>8.3950617283950604E-2</v>
      </c>
      <c r="AU80" s="25">
        <f t="shared" si="132"/>
        <v>386.60867631208708</v>
      </c>
      <c r="AV80" s="4">
        <f t="shared" si="133"/>
        <v>0.7533333333333333</v>
      </c>
      <c r="AW80" s="4">
        <v>1.25</v>
      </c>
      <c r="AX80" s="25">
        <f t="shared" si="119"/>
        <v>5</v>
      </c>
      <c r="AY80" s="38">
        <f t="shared" si="120"/>
        <v>152.81384098673232</v>
      </c>
      <c r="AZ80" s="38">
        <f t="shared" si="121"/>
        <v>152.81384098673232</v>
      </c>
      <c r="BB80" s="38">
        <f t="shared" si="129"/>
        <v>152.8138409867322</v>
      </c>
      <c r="BC80" s="38">
        <f t="shared" si="52"/>
        <v>1.0000000000000007</v>
      </c>
      <c r="BD80" s="38">
        <f t="shared" si="155"/>
        <v>1.111825806705935</v>
      </c>
      <c r="BE80" s="4">
        <f t="shared" si="173"/>
        <v>0</v>
      </c>
      <c r="BF80" s="4">
        <f t="shared" si="53"/>
        <v>194.95009660475932</v>
      </c>
      <c r="BG80" s="4">
        <f t="shared" si="223"/>
        <v>1.0249999999999999</v>
      </c>
      <c r="BH80" s="38">
        <f t="shared" si="55"/>
        <v>169.90237203090601</v>
      </c>
      <c r="BI80" s="4">
        <f t="shared" si="224"/>
        <v>0.84599999999999997</v>
      </c>
      <c r="BJ80" s="4">
        <f t="shared" si="57"/>
        <v>86.17476595268478</v>
      </c>
      <c r="BK80" s="4">
        <f t="shared" si="58"/>
        <v>256.07713798359077</v>
      </c>
      <c r="BM80" s="36">
        <f t="shared" si="134"/>
        <v>1.1000000000000001</v>
      </c>
      <c r="BN80" s="36">
        <f t="shared" si="135"/>
        <v>193.24567576015772</v>
      </c>
      <c r="BS80" s="4">
        <f t="shared" si="174"/>
        <v>89.949999999999989</v>
      </c>
      <c r="BT80" s="4">
        <f t="shared" si="175"/>
        <v>83.6</v>
      </c>
      <c r="BU80" s="4">
        <f t="shared" si="176"/>
        <v>89.949999999999989</v>
      </c>
      <c r="BV80" s="4">
        <f t="shared" si="136"/>
        <v>101.6</v>
      </c>
      <c r="BW80" s="4">
        <f t="shared" si="177"/>
        <v>1.0075956937799044</v>
      </c>
      <c r="BX80" s="25">
        <f t="shared" si="137"/>
        <v>2.8436589580010634</v>
      </c>
      <c r="BZ80" s="4">
        <f t="shared" si="178"/>
        <v>89.949999999999989</v>
      </c>
      <c r="CD80" s="9"/>
      <c r="CF80" s="9"/>
      <c r="CG80" s="9"/>
      <c r="CH80" s="9">
        <f t="shared" si="230"/>
        <v>50.8</v>
      </c>
      <c r="CI80" s="9">
        <f t="shared" si="231"/>
        <v>89.949999999999989</v>
      </c>
      <c r="CJ80" s="9">
        <f t="shared" si="70"/>
        <v>1.2941994891728255</v>
      </c>
      <c r="CK80" s="70">
        <v>0</v>
      </c>
      <c r="CL80" s="9">
        <f t="shared" si="71"/>
        <v>0</v>
      </c>
      <c r="CM80" s="9">
        <f t="shared" si="72"/>
        <v>0</v>
      </c>
      <c r="CN80" s="9">
        <f t="shared" si="73"/>
        <v>0.89637813077714179</v>
      </c>
      <c r="CO80" s="9">
        <f t="shared" si="74"/>
        <v>1.1339999999999999</v>
      </c>
      <c r="CP80" s="9">
        <f t="shared" si="75"/>
        <v>1.8825710113593779</v>
      </c>
      <c r="CQ80" s="9">
        <f t="shared" si="76"/>
        <v>2.4364224412328763</v>
      </c>
      <c r="CR80" s="9">
        <v>1</v>
      </c>
      <c r="CS80" s="9">
        <f t="shared" si="77"/>
        <v>214.4051748284931</v>
      </c>
      <c r="CU80" s="4">
        <f t="shared" si="209"/>
        <v>1.8158493181857587</v>
      </c>
      <c r="CV80" s="4">
        <f t="shared" si="210"/>
        <v>1.3823959561071166</v>
      </c>
      <c r="CW80" s="4">
        <f t="shared" si="211"/>
        <v>1.8318650526460354</v>
      </c>
      <c r="CX80" s="4">
        <f t="shared" si="212"/>
        <v>1.6510795519892256</v>
      </c>
      <c r="CY80" s="4">
        <f t="shared" si="213"/>
        <v>1.1015400381976519</v>
      </c>
      <c r="CZ80" s="4">
        <f t="shared" si="214"/>
        <v>1.3632451207336602</v>
      </c>
      <c r="DA80" s="4">
        <f t="shared" si="162"/>
        <v>1.4756448295332454</v>
      </c>
      <c r="DC80" s="4">
        <f t="shared" si="215"/>
        <v>1.8158493181857587</v>
      </c>
      <c r="DD80" s="4">
        <f t="shared" si="215"/>
        <v>1.3823959561071166</v>
      </c>
      <c r="DE80" s="4">
        <f t="shared" si="216"/>
        <v>1.6510795519892256</v>
      </c>
      <c r="DF80" s="4">
        <f t="shared" si="217"/>
        <v>1.4756448295332454</v>
      </c>
      <c r="DG80" s="4">
        <f t="shared" si="218"/>
        <v>1.1015400381976519</v>
      </c>
      <c r="DH80" s="4">
        <f t="shared" si="218"/>
        <v>1.3632451207336602</v>
      </c>
      <c r="DP80" s="4">
        <f t="shared" si="182"/>
        <v>0</v>
      </c>
      <c r="DQ80" s="4">
        <f t="shared" si="138"/>
        <v>381</v>
      </c>
      <c r="DR80" s="4">
        <f t="shared" si="139"/>
        <v>0.66141732283464572</v>
      </c>
      <c r="DT80" s="4">
        <f t="shared" si="81"/>
        <v>1.8628104182055264E-5</v>
      </c>
      <c r="DU80" s="4">
        <f t="shared" si="183"/>
        <v>6.0161976170308948</v>
      </c>
      <c r="DV80" s="4">
        <f t="shared" si="166"/>
        <v>1.0071426790610538</v>
      </c>
      <c r="DW80" s="4">
        <f t="shared" si="83"/>
        <v>6.0333496321639828</v>
      </c>
      <c r="DX80" s="4">
        <f t="shared" si="84"/>
        <v>6.0161976170308948</v>
      </c>
      <c r="DY80" s="4">
        <f t="shared" si="140"/>
        <v>5.5711994852791937</v>
      </c>
      <c r="DZ80" s="38">
        <f t="shared" si="86"/>
        <v>321.3682551014827</v>
      </c>
      <c r="EA80" s="4">
        <f t="shared" si="87"/>
        <v>1.0004406723229435</v>
      </c>
      <c r="EB80" s="4">
        <f t="shared" si="167"/>
        <v>1.4491376746189439</v>
      </c>
      <c r="EC80" s="4">
        <f t="shared" si="122"/>
        <v>152.8138409867322</v>
      </c>
      <c r="EG80" s="4">
        <f t="shared" si="88"/>
        <v>0.85</v>
      </c>
      <c r="EH80" s="4">
        <f t="shared" si="89"/>
        <v>0.85013888888888889</v>
      </c>
      <c r="EI80" s="4">
        <f t="shared" si="141"/>
        <v>1</v>
      </c>
      <c r="EJ80" s="4">
        <f t="shared" si="91"/>
        <v>0.85013888888888889</v>
      </c>
      <c r="EL80" s="4">
        <f t="shared" si="142"/>
        <v>259.674503591465</v>
      </c>
      <c r="EM80" s="25">
        <f t="shared" si="143"/>
        <v>150.18137322121927</v>
      </c>
      <c r="EO80" s="4">
        <f t="shared" si="168"/>
        <v>0.72261805555555558</v>
      </c>
      <c r="EP80" s="4">
        <f t="shared" si="144"/>
        <v>6.0161976170308948</v>
      </c>
      <c r="EQ80" s="4">
        <f t="shared" si="145"/>
        <v>4.9450239957683877</v>
      </c>
      <c r="ES80" s="4">
        <f t="shared" si="96"/>
        <v>52.168956286281983</v>
      </c>
      <c r="ET80" s="4">
        <f t="shared" si="184"/>
        <v>1.4491376746189439</v>
      </c>
      <c r="EU80" s="4">
        <f t="shared" si="98"/>
        <v>0.29141055716323655</v>
      </c>
      <c r="EX80" s="4">
        <f t="shared" si="185"/>
        <v>0.29141055716323655</v>
      </c>
      <c r="EY80" s="4">
        <f t="shared" si="100"/>
        <v>0.999</v>
      </c>
      <c r="EZ80" s="4">
        <f t="shared" si="186"/>
        <v>6.0137904156550812</v>
      </c>
      <c r="FA80" s="4">
        <f t="shared" si="232"/>
        <v>6.0149941367632529</v>
      </c>
      <c r="FB80" s="4">
        <f t="shared" si="188"/>
        <v>233.58104371371803</v>
      </c>
      <c r="FC80" s="4">
        <f t="shared" si="189"/>
        <v>95.25</v>
      </c>
      <c r="FD80" s="4">
        <f t="shared" si="105"/>
        <v>1.8628104182055264E-5</v>
      </c>
      <c r="FE80" s="4">
        <f t="shared" si="233"/>
        <v>5.5714881219801278</v>
      </c>
      <c r="FF80" s="4">
        <f t="shared" si="146"/>
        <v>321.22669938567293</v>
      </c>
      <c r="FG80" s="4">
        <f t="shared" si="191"/>
        <v>199.83104371371803</v>
      </c>
      <c r="FH80" s="4">
        <f t="shared" si="192"/>
        <v>1.4210854715202004E-14</v>
      </c>
      <c r="FJ80" s="4">
        <f t="shared" si="147"/>
        <v>81.521143970485184</v>
      </c>
      <c r="FO80" s="23">
        <f t="shared" si="219"/>
        <v>2</v>
      </c>
      <c r="FP80" s="23">
        <f t="shared" si="219"/>
        <v>1.4</v>
      </c>
      <c r="FQ80" s="23">
        <f t="shared" si="229"/>
        <v>1.6</v>
      </c>
      <c r="FR80" s="23">
        <f t="shared" si="220"/>
        <v>1.8</v>
      </c>
      <c r="FS80" s="23">
        <f t="shared" si="220"/>
        <v>1.2</v>
      </c>
      <c r="FT80" s="23">
        <f t="shared" si="220"/>
        <v>1.4</v>
      </c>
      <c r="FU80" s="23">
        <f t="shared" si="221"/>
        <v>0</v>
      </c>
      <c r="FV80" s="23"/>
      <c r="GF80" s="4">
        <f t="shared" si="111"/>
        <v>1</v>
      </c>
      <c r="GG80" s="4">
        <f t="shared" si="112"/>
        <v>0.85000000000000009</v>
      </c>
      <c r="GH80" s="4">
        <f t="shared" si="113"/>
        <v>0</v>
      </c>
      <c r="GI80" s="4">
        <f t="shared" si="114"/>
        <v>239.89512443314166</v>
      </c>
    </row>
    <row r="81" spans="1:192" ht="12" hidden="1" customHeight="1" x14ac:dyDescent="0.3">
      <c r="A81" s="25">
        <v>62</v>
      </c>
      <c r="B81" s="20" t="s">
        <v>54</v>
      </c>
      <c r="C81" s="20">
        <v>2006</v>
      </c>
      <c r="D81" s="24" t="s">
        <v>55</v>
      </c>
      <c r="E81" s="24"/>
      <c r="F81" s="24"/>
      <c r="G81" s="24"/>
      <c r="H81" s="7" t="s">
        <v>279</v>
      </c>
      <c r="I81" s="7"/>
      <c r="J81" s="7">
        <v>433</v>
      </c>
      <c r="K81" s="7">
        <f t="shared" ref="K81:K94" si="236">15*25.4</f>
        <v>381</v>
      </c>
      <c r="L81" s="7">
        <f t="shared" si="148"/>
        <v>252</v>
      </c>
      <c r="M81" s="7">
        <v>28</v>
      </c>
      <c r="N81" s="7">
        <v>36</v>
      </c>
      <c r="O81" s="7">
        <f t="shared" si="171"/>
        <v>10.583333333333334</v>
      </c>
      <c r="P81" s="7">
        <v>7</v>
      </c>
      <c r="Q81" s="7">
        <f t="shared" si="235"/>
        <v>215.89999999999998</v>
      </c>
      <c r="R81" s="7"/>
      <c r="S81" s="7">
        <f t="shared" si="130"/>
        <v>89.949999999999989</v>
      </c>
      <c r="T81" s="7"/>
      <c r="U81" s="7">
        <f t="shared" si="150"/>
        <v>50.8</v>
      </c>
      <c r="V81" s="7"/>
      <c r="W81" s="7">
        <v>0</v>
      </c>
      <c r="X81" s="7">
        <v>1</v>
      </c>
      <c r="Y81" s="7"/>
      <c r="Z81" s="7"/>
      <c r="AA81" s="7">
        <f t="shared" si="151"/>
        <v>83.6</v>
      </c>
      <c r="AB81" s="7">
        <f t="shared" si="131"/>
        <v>2.822222222222222</v>
      </c>
      <c r="AC81" s="7">
        <f t="shared" si="152"/>
        <v>2.9986111111111109</v>
      </c>
      <c r="AD81" s="7">
        <v>1.56</v>
      </c>
      <c r="AE81" s="7">
        <f t="shared" si="172"/>
        <v>1.56</v>
      </c>
      <c r="AF81" s="7">
        <f t="shared" si="46"/>
        <v>2.56</v>
      </c>
      <c r="AG81" s="7">
        <f t="shared" si="47"/>
        <v>57.6</v>
      </c>
      <c r="AH81" s="7"/>
      <c r="AI81" s="7"/>
      <c r="AJ81" s="7">
        <v>370</v>
      </c>
      <c r="AK81" s="7"/>
      <c r="AL81" s="7"/>
      <c r="AM81" s="7">
        <v>0</v>
      </c>
      <c r="AN81" s="7">
        <v>0</v>
      </c>
      <c r="AO81" s="7">
        <f t="shared" si="153"/>
        <v>252</v>
      </c>
      <c r="AP81" s="7"/>
      <c r="AQ81" s="7"/>
      <c r="AR81" s="7"/>
      <c r="AS81" s="4">
        <f t="shared" si="125"/>
        <v>381</v>
      </c>
      <c r="AT81" s="44">
        <f t="shared" si="154"/>
        <v>8.3950617283950604E-2</v>
      </c>
      <c r="AU81" s="25">
        <f t="shared" si="132"/>
        <v>386.60867631208708</v>
      </c>
      <c r="AV81" s="4">
        <f t="shared" si="133"/>
        <v>0.7533333333333333</v>
      </c>
      <c r="AW81" s="4">
        <v>1.25</v>
      </c>
      <c r="AX81" s="25">
        <f t="shared" si="119"/>
        <v>5</v>
      </c>
      <c r="AY81" s="38">
        <f t="shared" si="120"/>
        <v>152.81384098673232</v>
      </c>
      <c r="AZ81" s="38">
        <f t="shared" si="121"/>
        <v>152.81384098673232</v>
      </c>
      <c r="BB81" s="38">
        <f t="shared" si="129"/>
        <v>152.8138409867322</v>
      </c>
      <c r="BC81" s="38">
        <f t="shared" si="52"/>
        <v>1.0000000000000007</v>
      </c>
      <c r="BD81" s="38">
        <f t="shared" si="155"/>
        <v>1.3240448818791442</v>
      </c>
      <c r="BE81" s="4">
        <f t="shared" si="173"/>
        <v>0</v>
      </c>
      <c r="BF81" s="4">
        <f t="shared" si="53"/>
        <v>194.95009660475932</v>
      </c>
      <c r="BG81" s="4">
        <f t="shared" si="223"/>
        <v>1.0249999999999999</v>
      </c>
      <c r="BH81" s="38">
        <f t="shared" si="55"/>
        <v>202.33238403877615</v>
      </c>
      <c r="BI81" s="4">
        <f t="shared" si="224"/>
        <v>0.78160000000000007</v>
      </c>
      <c r="BJ81" s="4">
        <f t="shared" si="57"/>
        <v>79.614890152031251</v>
      </c>
      <c r="BK81" s="4">
        <f t="shared" si="58"/>
        <v>281.94727419080743</v>
      </c>
      <c r="BM81" s="36">
        <f t="shared" si="134"/>
        <v>1.1000000000000001</v>
      </c>
      <c r="BN81" s="36">
        <f t="shared" si="135"/>
        <v>193.24567576015772</v>
      </c>
      <c r="BS81" s="4">
        <f t="shared" si="174"/>
        <v>89.949999999999989</v>
      </c>
      <c r="BT81" s="4">
        <f t="shared" si="175"/>
        <v>83.6</v>
      </c>
      <c r="BU81" s="4">
        <f t="shared" si="176"/>
        <v>89.949999999999989</v>
      </c>
      <c r="BV81" s="4">
        <f t="shared" si="136"/>
        <v>101.6</v>
      </c>
      <c r="BW81" s="4">
        <f t="shared" si="177"/>
        <v>1.0075956937799044</v>
      </c>
      <c r="BX81" s="25">
        <f t="shared" si="137"/>
        <v>2.8436589580010634</v>
      </c>
      <c r="BZ81" s="4">
        <f t="shared" si="178"/>
        <v>89.949999999999989</v>
      </c>
      <c r="CD81" s="9"/>
      <c r="CF81" s="9"/>
      <c r="CG81" s="9"/>
      <c r="CH81" s="9">
        <f t="shared" si="230"/>
        <v>50.8</v>
      </c>
      <c r="CI81" s="9">
        <f t="shared" si="231"/>
        <v>89.949999999999989</v>
      </c>
      <c r="CJ81" s="9">
        <f t="shared" si="70"/>
        <v>1.2941994891728255</v>
      </c>
      <c r="CK81" s="70">
        <v>0</v>
      </c>
      <c r="CL81" s="9">
        <f t="shared" si="71"/>
        <v>0</v>
      </c>
      <c r="CM81" s="9">
        <f t="shared" si="72"/>
        <v>0</v>
      </c>
      <c r="CN81" s="9">
        <f t="shared" si="73"/>
        <v>0.89637813077714179</v>
      </c>
      <c r="CO81" s="9">
        <f t="shared" si="74"/>
        <v>1.1339999999999999</v>
      </c>
      <c r="CP81" s="9">
        <f t="shared" si="75"/>
        <v>1.8825710113593779</v>
      </c>
      <c r="CQ81" s="9">
        <f t="shared" si="76"/>
        <v>2.4364224412328763</v>
      </c>
      <c r="CR81" s="9">
        <v>1</v>
      </c>
      <c r="CS81" s="9">
        <f t="shared" si="77"/>
        <v>214.4051748284931</v>
      </c>
      <c r="CU81" s="4">
        <f t="shared" si="209"/>
        <v>1.8979216037534765</v>
      </c>
      <c r="CV81" s="4">
        <f t="shared" si="210"/>
        <v>1.312302099964985</v>
      </c>
      <c r="CW81" s="4">
        <f t="shared" si="211"/>
        <v>1.9146612132176075</v>
      </c>
      <c r="CX81" s="4">
        <f t="shared" si="212"/>
        <v>1.7257046164859138</v>
      </c>
      <c r="CY81" s="4">
        <f t="shared" si="213"/>
        <v>1.1865605272060056</v>
      </c>
      <c r="CZ81" s="4">
        <f t="shared" si="214"/>
        <v>1.4204803422427006</v>
      </c>
      <c r="DA81" s="4">
        <f t="shared" si="162"/>
        <v>1.5423406410375728</v>
      </c>
      <c r="DC81" s="4">
        <f t="shared" si="215"/>
        <v>1.8979216037534765</v>
      </c>
      <c r="DD81" s="4">
        <f t="shared" si="215"/>
        <v>1.312302099964985</v>
      </c>
      <c r="DE81" s="4">
        <f t="shared" si="216"/>
        <v>1.7257046164859138</v>
      </c>
      <c r="DF81" s="4">
        <f t="shared" si="217"/>
        <v>1.5423406410375728</v>
      </c>
      <c r="DG81" s="4">
        <f t="shared" si="218"/>
        <v>1.1865605272060056</v>
      </c>
      <c r="DH81" s="4">
        <f t="shared" si="218"/>
        <v>1.4204803422427006</v>
      </c>
      <c r="DP81" s="4">
        <f t="shared" si="182"/>
        <v>0</v>
      </c>
      <c r="DQ81" s="4">
        <f t="shared" si="138"/>
        <v>381</v>
      </c>
      <c r="DR81" s="4">
        <f t="shared" si="139"/>
        <v>0.66141732283464572</v>
      </c>
      <c r="DT81" s="4">
        <f t="shared" si="81"/>
        <v>1.8628104182055264E-5</v>
      </c>
      <c r="DU81" s="4">
        <f t="shared" si="183"/>
        <v>6.0161976170308948</v>
      </c>
      <c r="DV81" s="4">
        <f t="shared" si="166"/>
        <v>0.78409633208226204</v>
      </c>
      <c r="DW81" s="4">
        <f t="shared" si="83"/>
        <v>5.4584566077996932</v>
      </c>
      <c r="DX81" s="4">
        <f t="shared" si="84"/>
        <v>5.7441021490542692</v>
      </c>
      <c r="DY81" s="4">
        <f t="shared" si="140"/>
        <v>5.5922899678380382</v>
      </c>
      <c r="DZ81" s="38">
        <f t="shared" si="86"/>
        <v>311.82564354406691</v>
      </c>
      <c r="EA81" s="4">
        <f t="shared" si="87"/>
        <v>1.0002110936527455</v>
      </c>
      <c r="EB81" s="4">
        <f t="shared" si="167"/>
        <v>1.6</v>
      </c>
      <c r="EC81" s="4">
        <f t="shared" si="122"/>
        <v>152.8138409867322</v>
      </c>
      <c r="EG81" s="4">
        <f t="shared" si="88"/>
        <v>0.85</v>
      </c>
      <c r="EH81" s="4">
        <f t="shared" si="89"/>
        <v>0.85013888888888889</v>
      </c>
      <c r="EI81" s="4">
        <f t="shared" si="141"/>
        <v>1</v>
      </c>
      <c r="EJ81" s="4">
        <f t="shared" si="91"/>
        <v>0.85013888888888889</v>
      </c>
      <c r="EL81" s="4">
        <f t="shared" si="142"/>
        <v>260.4752695245553</v>
      </c>
      <c r="EM81" s="25">
        <f t="shared" si="143"/>
        <v>150.18137322121927</v>
      </c>
      <c r="EO81" s="4">
        <f t="shared" si="168"/>
        <v>0.72261805555555558</v>
      </c>
      <c r="EP81" s="4">
        <f t="shared" si="144"/>
        <v>6.0161976170308948</v>
      </c>
      <c r="EQ81" s="4">
        <f t="shared" si="145"/>
        <v>4.9450239957683877</v>
      </c>
      <c r="ES81" s="4">
        <f t="shared" si="96"/>
        <v>57.6</v>
      </c>
      <c r="ET81" s="4">
        <f t="shared" si="184"/>
        <v>1.6</v>
      </c>
      <c r="EU81" s="4">
        <f t="shared" si="98"/>
        <v>0.22687346465623337</v>
      </c>
      <c r="EX81" s="4">
        <f t="shared" si="185"/>
        <v>0.22687346465623337</v>
      </c>
      <c r="EY81" s="4">
        <f t="shared" si="100"/>
        <v>0.7827878214397076</v>
      </c>
      <c r="EZ81" s="4">
        <f t="shared" si="186"/>
        <v>5.4548111232940046</v>
      </c>
      <c r="FA81" s="4">
        <f t="shared" si="232"/>
        <v>5.7423704095518984</v>
      </c>
      <c r="FB81" s="4">
        <f t="shared" si="188"/>
        <v>228.15</v>
      </c>
      <c r="FC81" s="4">
        <f t="shared" si="189"/>
        <v>95.249999999999972</v>
      </c>
      <c r="FD81" s="4">
        <f t="shared" si="105"/>
        <v>1.8628104182055258E-5</v>
      </c>
      <c r="FE81" s="4">
        <f t="shared" si="233"/>
        <v>5.5924241576291642</v>
      </c>
      <c r="FF81" s="4">
        <f t="shared" si="146"/>
        <v>311.7598330221349</v>
      </c>
      <c r="FG81" s="4">
        <f t="shared" si="191"/>
        <v>194.40000000000003</v>
      </c>
      <c r="FH81" s="4">
        <f t="shared" si="192"/>
        <v>0</v>
      </c>
      <c r="FJ81" s="4">
        <f t="shared" si="147"/>
        <v>80.72037803739488</v>
      </c>
      <c r="FO81" s="23">
        <f t="shared" si="219"/>
        <v>2</v>
      </c>
      <c r="FP81" s="23">
        <f t="shared" si="219"/>
        <v>1.4</v>
      </c>
      <c r="FQ81" s="23">
        <f t="shared" si="229"/>
        <v>1.6</v>
      </c>
      <c r="FR81" s="23">
        <f t="shared" si="220"/>
        <v>1.8</v>
      </c>
      <c r="FS81" s="23">
        <f t="shared" si="220"/>
        <v>1.2</v>
      </c>
      <c r="FT81" s="23">
        <f t="shared" si="220"/>
        <v>1.6</v>
      </c>
      <c r="FU81" s="23">
        <f t="shared" si="221"/>
        <v>0</v>
      </c>
      <c r="FV81" s="23"/>
      <c r="GF81" s="4">
        <f t="shared" si="111"/>
        <v>1</v>
      </c>
      <c r="GG81" s="4">
        <f t="shared" si="112"/>
        <v>0.85000000000000009</v>
      </c>
      <c r="GH81" s="4">
        <f t="shared" si="113"/>
        <v>0</v>
      </c>
      <c r="GI81" s="4">
        <f t="shared" si="114"/>
        <v>239.89512443314166</v>
      </c>
    </row>
    <row r="82" spans="1:192" ht="12" hidden="1" customHeight="1" x14ac:dyDescent="0.3">
      <c r="A82" s="25">
        <v>63</v>
      </c>
      <c r="B82" s="20" t="s">
        <v>54</v>
      </c>
      <c r="C82" s="20">
        <v>2006</v>
      </c>
      <c r="D82" s="24" t="s">
        <v>55</v>
      </c>
      <c r="E82" s="24"/>
      <c r="F82" s="24"/>
      <c r="G82" s="24"/>
      <c r="H82" s="7" t="s">
        <v>284</v>
      </c>
      <c r="I82" s="7"/>
      <c r="J82" s="7">
        <v>433</v>
      </c>
      <c r="K82" s="7">
        <f t="shared" si="236"/>
        <v>381</v>
      </c>
      <c r="L82" s="7">
        <f t="shared" si="148"/>
        <v>252</v>
      </c>
      <c r="M82" s="7">
        <v>28</v>
      </c>
      <c r="N82" s="7">
        <v>36</v>
      </c>
      <c r="O82" s="7">
        <f t="shared" si="171"/>
        <v>10.583333333333334</v>
      </c>
      <c r="P82" s="7">
        <v>7</v>
      </c>
      <c r="Q82" s="7">
        <f t="shared" si="235"/>
        <v>215.89999999999998</v>
      </c>
      <c r="R82" s="7"/>
      <c r="S82" s="7">
        <f t="shared" si="130"/>
        <v>89.949999999999989</v>
      </c>
      <c r="T82" s="7"/>
      <c r="U82" s="7">
        <f t="shared" si="150"/>
        <v>50.8</v>
      </c>
      <c r="V82" s="7"/>
      <c r="W82" s="7">
        <v>0</v>
      </c>
      <c r="X82" s="7">
        <v>1</v>
      </c>
      <c r="Y82" s="7"/>
      <c r="Z82" s="7"/>
      <c r="AA82" s="7">
        <f t="shared" si="151"/>
        <v>83.6</v>
      </c>
      <c r="AB82" s="7">
        <f t="shared" si="131"/>
        <v>2.822222222222222</v>
      </c>
      <c r="AC82" s="7">
        <f t="shared" si="152"/>
        <v>2.9986111111111109</v>
      </c>
      <c r="AD82" s="7">
        <v>2.85</v>
      </c>
      <c r="AE82" s="7">
        <f t="shared" si="172"/>
        <v>2.85</v>
      </c>
      <c r="AF82" s="7">
        <f t="shared" si="46"/>
        <v>3.85</v>
      </c>
      <c r="AG82" s="7">
        <f t="shared" si="47"/>
        <v>70.637100733254911</v>
      </c>
      <c r="AH82" s="7"/>
      <c r="AI82" s="7"/>
      <c r="AJ82" s="7">
        <v>345</v>
      </c>
      <c r="AK82" s="7"/>
      <c r="AL82" s="7"/>
      <c r="AM82" s="7">
        <v>0</v>
      </c>
      <c r="AN82" s="7">
        <v>0</v>
      </c>
      <c r="AO82" s="7">
        <f t="shared" si="153"/>
        <v>252</v>
      </c>
      <c r="AP82" s="7"/>
      <c r="AQ82" s="7"/>
      <c r="AR82" s="7"/>
      <c r="AS82" s="4">
        <f t="shared" si="125"/>
        <v>381</v>
      </c>
      <c r="AT82" s="44">
        <f t="shared" si="154"/>
        <v>8.3950617283950604E-2</v>
      </c>
      <c r="AU82" s="25">
        <f t="shared" si="132"/>
        <v>386.60867631208708</v>
      </c>
      <c r="AV82" s="4">
        <f t="shared" si="133"/>
        <v>0.7533333333333333</v>
      </c>
      <c r="AW82" s="4">
        <v>1.25</v>
      </c>
      <c r="AX82" s="25">
        <f t="shared" si="119"/>
        <v>5</v>
      </c>
      <c r="AY82" s="38">
        <f t="shared" si="120"/>
        <v>152.81384098673232</v>
      </c>
      <c r="AZ82" s="38">
        <f t="shared" si="121"/>
        <v>152.81384098673232</v>
      </c>
      <c r="BB82" s="38">
        <f t="shared" si="129"/>
        <v>152.8138409867322</v>
      </c>
      <c r="BC82" s="38">
        <f t="shared" si="52"/>
        <v>1.0000000000000007</v>
      </c>
      <c r="BD82" s="38">
        <f t="shared" si="155"/>
        <v>1.7896282955110878</v>
      </c>
      <c r="BE82" s="4">
        <f t="shared" si="173"/>
        <v>0</v>
      </c>
      <c r="BF82" s="4">
        <f t="shared" si="53"/>
        <v>194.95009660475932</v>
      </c>
      <c r="BG82" s="4">
        <f t="shared" si="223"/>
        <v>1.0249999999999999</v>
      </c>
      <c r="BH82" s="38">
        <f t="shared" si="55"/>
        <v>273.47997377558795</v>
      </c>
      <c r="BI82" s="4">
        <f t="shared" si="224"/>
        <v>0.60099999999999998</v>
      </c>
      <c r="BJ82" s="4">
        <f t="shared" si="57"/>
        <v>61.218716711068033</v>
      </c>
      <c r="BK82" s="4">
        <f t="shared" si="58"/>
        <v>334.69869048665601</v>
      </c>
      <c r="BM82" s="36">
        <f t="shared" si="134"/>
        <v>1.1000000000000001</v>
      </c>
      <c r="BN82" s="36">
        <f t="shared" si="135"/>
        <v>193.24567576015772</v>
      </c>
      <c r="BS82" s="4">
        <f t="shared" si="174"/>
        <v>89.949999999999989</v>
      </c>
      <c r="BT82" s="4">
        <f t="shared" si="175"/>
        <v>83.6</v>
      </c>
      <c r="BU82" s="4">
        <f t="shared" si="176"/>
        <v>89.949999999999989</v>
      </c>
      <c r="BV82" s="4">
        <f t="shared" si="136"/>
        <v>101.6</v>
      </c>
      <c r="BW82" s="4">
        <f t="shared" si="177"/>
        <v>1.0075956937799044</v>
      </c>
      <c r="BX82" s="25">
        <f t="shared" si="137"/>
        <v>2.8436589580010634</v>
      </c>
      <c r="BZ82" s="4">
        <f t="shared" si="178"/>
        <v>89.949999999999989</v>
      </c>
      <c r="CD82" s="9"/>
      <c r="CF82" s="9"/>
      <c r="CG82" s="9"/>
      <c r="CH82" s="9">
        <f t="shared" si="230"/>
        <v>50.8</v>
      </c>
      <c r="CI82" s="9">
        <f t="shared" si="231"/>
        <v>89.949999999999989</v>
      </c>
      <c r="CJ82" s="9">
        <f t="shared" si="70"/>
        <v>1.2941994891728255</v>
      </c>
      <c r="CK82" s="70">
        <v>0</v>
      </c>
      <c r="CL82" s="9">
        <f t="shared" si="71"/>
        <v>0</v>
      </c>
      <c r="CM82" s="9">
        <f t="shared" si="72"/>
        <v>0</v>
      </c>
      <c r="CN82" s="9">
        <f t="shared" si="73"/>
        <v>0.89637813077714179</v>
      </c>
      <c r="CO82" s="9">
        <f t="shared" si="74"/>
        <v>1.1339999999999999</v>
      </c>
      <c r="CP82" s="9">
        <f t="shared" si="75"/>
        <v>1.8825710113593779</v>
      </c>
      <c r="CQ82" s="9">
        <f t="shared" si="76"/>
        <v>2.4364224412328763</v>
      </c>
      <c r="CR82" s="9">
        <v>1</v>
      </c>
      <c r="CS82" s="9">
        <f t="shared" si="77"/>
        <v>214.4051748284931</v>
      </c>
      <c r="CU82" s="4">
        <f t="shared" si="209"/>
        <v>1.7696836575539174</v>
      </c>
      <c r="CV82" s="4">
        <f t="shared" si="210"/>
        <v>1.0307778602251647</v>
      </c>
      <c r="CW82" s="4">
        <f t="shared" si="211"/>
        <v>1.7852922123245258</v>
      </c>
      <c r="CX82" s="4">
        <f t="shared" si="212"/>
        <v>1.6091029532098386</v>
      </c>
      <c r="CY82" s="4">
        <f t="shared" si="213"/>
        <v>1.1587731438285154</v>
      </c>
      <c r="CZ82" s="4">
        <f t="shared" si="214"/>
        <v>1.3192185620272767</v>
      </c>
      <c r="DA82" s="4">
        <f t="shared" si="162"/>
        <v>1.4381284355620612</v>
      </c>
      <c r="DC82" s="4">
        <f t="shared" si="215"/>
        <v>1.7696836575539174</v>
      </c>
      <c r="DD82" s="4">
        <f t="shared" si="215"/>
        <v>1.0307778602251647</v>
      </c>
      <c r="DE82" s="4">
        <f t="shared" si="216"/>
        <v>1.6091029532098386</v>
      </c>
      <c r="DF82" s="4">
        <f t="shared" si="217"/>
        <v>1.4381284355620612</v>
      </c>
      <c r="DG82" s="4">
        <f t="shared" si="218"/>
        <v>1.1587731438285154</v>
      </c>
      <c r="DH82" s="4">
        <f t="shared" si="218"/>
        <v>1.3192185620272767</v>
      </c>
      <c r="DP82" s="4">
        <f t="shared" si="182"/>
        <v>0</v>
      </c>
      <c r="DQ82" s="4">
        <f t="shared" si="138"/>
        <v>381</v>
      </c>
      <c r="DR82" s="4">
        <f t="shared" si="139"/>
        <v>0.66141732283464572</v>
      </c>
      <c r="DT82" s="4">
        <f t="shared" si="81"/>
        <v>1.8628104182055264E-5</v>
      </c>
      <c r="DU82" s="4">
        <f t="shared" si="183"/>
        <v>6.0161976170308948</v>
      </c>
      <c r="DV82" s="4">
        <f t="shared" si="166"/>
        <v>0.52633171836280401</v>
      </c>
      <c r="DW82" s="4">
        <f t="shared" si="83"/>
        <v>4.6539949788353114</v>
      </c>
      <c r="DX82" s="4">
        <f t="shared" si="84"/>
        <v>5.3784662944781267</v>
      </c>
      <c r="DY82" s="4">
        <f t="shared" si="140"/>
        <v>5.623161220484743</v>
      </c>
      <c r="DZ82" s="38">
        <f t="shared" si="86"/>
        <v>297.7286812672765</v>
      </c>
      <c r="EA82" s="4">
        <f t="shared" si="87"/>
        <v>1.0001858426308585</v>
      </c>
      <c r="EB82" s="4">
        <f t="shared" si="167"/>
        <v>1.9621416870348587</v>
      </c>
      <c r="EC82" s="4">
        <f t="shared" si="122"/>
        <v>152.8138409867322</v>
      </c>
      <c r="EG82" s="4">
        <f t="shared" si="88"/>
        <v>0.85</v>
      </c>
      <c r="EH82" s="4">
        <f t="shared" si="89"/>
        <v>0.85013888888888889</v>
      </c>
      <c r="EI82" s="4">
        <f t="shared" si="141"/>
        <v>1</v>
      </c>
      <c r="EJ82" s="4">
        <f t="shared" si="91"/>
        <v>0.85013888888888889</v>
      </c>
      <c r="EL82" s="4">
        <f t="shared" si="142"/>
        <v>261.51845488728549</v>
      </c>
      <c r="EM82" s="25">
        <f t="shared" si="143"/>
        <v>150.18137322121927</v>
      </c>
      <c r="EO82" s="4">
        <f t="shared" si="168"/>
        <v>0.72261805555555558</v>
      </c>
      <c r="EP82" s="4">
        <f t="shared" si="144"/>
        <v>6.0161976170308948</v>
      </c>
      <c r="EQ82" s="4">
        <f t="shared" si="145"/>
        <v>4.9450239957683877</v>
      </c>
      <c r="ES82" s="4">
        <f t="shared" si="96"/>
        <v>70.637100733254911</v>
      </c>
      <c r="ET82" s="4">
        <f t="shared" si="184"/>
        <v>1.9621416870348585</v>
      </c>
      <c r="EU82" s="4">
        <f t="shared" si="98"/>
        <v>0.15229085460242964</v>
      </c>
      <c r="EX82" s="4">
        <f t="shared" si="185"/>
        <v>0.15229085460242964</v>
      </c>
      <c r="EY82" s="4">
        <f t="shared" si="100"/>
        <v>0.5254533688197538</v>
      </c>
      <c r="EZ82" s="4">
        <f t="shared" si="186"/>
        <v>4.6508867620253334</v>
      </c>
      <c r="FA82" s="4">
        <f t="shared" si="232"/>
        <v>5.3771224773913264</v>
      </c>
      <c r="FB82" s="4">
        <f t="shared" si="188"/>
        <v>215.1128992667451</v>
      </c>
      <c r="FC82" s="4">
        <f t="shared" si="189"/>
        <v>95.25</v>
      </c>
      <c r="FD82" s="4">
        <f t="shared" si="105"/>
        <v>1.8628104182055264E-5</v>
      </c>
      <c r="FE82" s="4">
        <f t="shared" si="233"/>
        <v>5.6232740205776892</v>
      </c>
      <c r="FF82" s="4">
        <f t="shared" si="146"/>
        <v>297.67336086675652</v>
      </c>
      <c r="FG82" s="4">
        <f t="shared" si="191"/>
        <v>181.3628992667451</v>
      </c>
      <c r="FH82" s="4">
        <f t="shared" si="192"/>
        <v>1.4210854715202004E-14</v>
      </c>
      <c r="FJ82" s="4">
        <f t="shared" si="147"/>
        <v>79.677192674664695</v>
      </c>
      <c r="FO82" s="23">
        <f t="shared" si="219"/>
        <v>1.8</v>
      </c>
      <c r="FP82" s="23">
        <f t="shared" si="219"/>
        <v>1.2</v>
      </c>
      <c r="FQ82" s="23">
        <f t="shared" si="229"/>
        <v>1.6</v>
      </c>
      <c r="FR82" s="23">
        <f t="shared" si="220"/>
        <v>1.8</v>
      </c>
      <c r="FS82" s="23">
        <f t="shared" si="220"/>
        <v>1.2</v>
      </c>
      <c r="FT82" s="23">
        <f t="shared" si="220"/>
        <v>1.4</v>
      </c>
      <c r="FU82" s="23">
        <f t="shared" si="221"/>
        <v>0</v>
      </c>
      <c r="FV82" s="23"/>
      <c r="GF82" s="4">
        <f t="shared" si="111"/>
        <v>1</v>
      </c>
      <c r="GG82" s="4">
        <f t="shared" si="112"/>
        <v>0.85000000000000009</v>
      </c>
      <c r="GH82" s="4">
        <f t="shared" si="113"/>
        <v>0</v>
      </c>
      <c r="GI82" s="4">
        <f t="shared" si="114"/>
        <v>239.89512443314166</v>
      </c>
    </row>
    <row r="83" spans="1:192" ht="12" hidden="1" customHeight="1" x14ac:dyDescent="0.3">
      <c r="A83" s="25">
        <v>64</v>
      </c>
      <c r="B83" s="20" t="s">
        <v>54</v>
      </c>
      <c r="C83" s="20">
        <v>2006</v>
      </c>
      <c r="D83" s="24" t="s">
        <v>55</v>
      </c>
      <c r="E83" s="24"/>
      <c r="F83" s="24"/>
      <c r="G83" s="24"/>
      <c r="H83" s="7" t="s">
        <v>285</v>
      </c>
      <c r="I83" s="7"/>
      <c r="J83" s="7">
        <v>433</v>
      </c>
      <c r="K83" s="7">
        <f t="shared" si="236"/>
        <v>381</v>
      </c>
      <c r="L83" s="7">
        <f t="shared" si="148"/>
        <v>252</v>
      </c>
      <c r="M83" s="7">
        <v>28</v>
      </c>
      <c r="N83" s="7">
        <v>36</v>
      </c>
      <c r="O83" s="7">
        <f t="shared" si="171"/>
        <v>10.583333333333334</v>
      </c>
      <c r="P83" s="7">
        <v>7</v>
      </c>
      <c r="Q83" s="7">
        <f t="shared" si="235"/>
        <v>215.89999999999998</v>
      </c>
      <c r="R83" s="7"/>
      <c r="S83" s="7">
        <f t="shared" si="130"/>
        <v>89.949999999999989</v>
      </c>
      <c r="T83" s="7"/>
      <c r="U83" s="7">
        <f t="shared" si="150"/>
        <v>50.8</v>
      </c>
      <c r="V83" s="7"/>
      <c r="W83" s="7">
        <v>0</v>
      </c>
      <c r="X83" s="7">
        <v>1</v>
      </c>
      <c r="Y83" s="7"/>
      <c r="Z83" s="7"/>
      <c r="AA83" s="7">
        <f t="shared" si="151"/>
        <v>83.6</v>
      </c>
      <c r="AB83" s="7">
        <f t="shared" si="131"/>
        <v>2.822222222222222</v>
      </c>
      <c r="AC83" s="7">
        <f t="shared" si="152"/>
        <v>2.9986111111111109</v>
      </c>
      <c r="AD83" s="7">
        <v>2.85</v>
      </c>
      <c r="AE83" s="7">
        <f t="shared" si="172"/>
        <v>2.85</v>
      </c>
      <c r="AF83" s="7">
        <f t="shared" si="46"/>
        <v>3.85</v>
      </c>
      <c r="AG83" s="7">
        <f t="shared" si="47"/>
        <v>70.637100733254911</v>
      </c>
      <c r="AH83" s="7"/>
      <c r="AI83" s="7"/>
      <c r="AJ83" s="7">
        <v>375</v>
      </c>
      <c r="AK83" s="7"/>
      <c r="AL83" s="7"/>
      <c r="AM83" s="7">
        <v>0</v>
      </c>
      <c r="AN83" s="7">
        <v>0</v>
      </c>
      <c r="AO83" s="7">
        <f t="shared" si="153"/>
        <v>252</v>
      </c>
      <c r="AP83" s="7"/>
      <c r="AQ83" s="7"/>
      <c r="AR83" s="7"/>
      <c r="AS83" s="4">
        <f t="shared" si="125"/>
        <v>381</v>
      </c>
      <c r="AT83" s="44">
        <f t="shared" si="154"/>
        <v>8.3950617283950604E-2</v>
      </c>
      <c r="AU83" s="25">
        <f t="shared" si="132"/>
        <v>386.60867631208708</v>
      </c>
      <c r="AV83" s="4">
        <f t="shared" si="133"/>
        <v>0.7533333333333333</v>
      </c>
      <c r="AW83" s="4">
        <v>1.25</v>
      </c>
      <c r="AX83" s="25">
        <f t="shared" si="119"/>
        <v>5</v>
      </c>
      <c r="AY83" s="38">
        <f t="shared" si="120"/>
        <v>152.81384098673232</v>
      </c>
      <c r="AZ83" s="38">
        <f t="shared" si="121"/>
        <v>152.81384098673232</v>
      </c>
      <c r="BB83" s="38">
        <f t="shared" si="129"/>
        <v>152.8138409867322</v>
      </c>
      <c r="BC83" s="38">
        <f t="shared" si="52"/>
        <v>1.0000000000000007</v>
      </c>
      <c r="BD83" s="38">
        <f t="shared" si="155"/>
        <v>1.7896282955110878</v>
      </c>
      <c r="BE83" s="4">
        <f t="shared" si="173"/>
        <v>0</v>
      </c>
      <c r="BF83" s="4">
        <f t="shared" si="53"/>
        <v>194.95009660475932</v>
      </c>
      <c r="BG83" s="4">
        <f t="shared" si="223"/>
        <v>1.0249999999999999</v>
      </c>
      <c r="BH83" s="38">
        <f t="shared" si="55"/>
        <v>273.47997377558795</v>
      </c>
      <c r="BI83" s="4">
        <f t="shared" si="224"/>
        <v>0.60099999999999998</v>
      </c>
      <c r="BJ83" s="4">
        <f t="shared" si="57"/>
        <v>61.218716711068033</v>
      </c>
      <c r="BK83" s="4">
        <f t="shared" si="58"/>
        <v>334.69869048665601</v>
      </c>
      <c r="BM83" s="36">
        <f t="shared" si="134"/>
        <v>1.1000000000000001</v>
      </c>
      <c r="BN83" s="36">
        <f t="shared" si="135"/>
        <v>193.24567576015772</v>
      </c>
      <c r="BS83" s="4">
        <f t="shared" si="174"/>
        <v>89.949999999999989</v>
      </c>
      <c r="BT83" s="4">
        <f t="shared" si="175"/>
        <v>83.6</v>
      </c>
      <c r="BU83" s="4">
        <f t="shared" si="176"/>
        <v>89.949999999999989</v>
      </c>
      <c r="BV83" s="4">
        <f t="shared" si="136"/>
        <v>101.6</v>
      </c>
      <c r="BW83" s="4">
        <f t="shared" si="177"/>
        <v>1.0075956937799044</v>
      </c>
      <c r="BX83" s="25">
        <f t="shared" si="137"/>
        <v>2.8436589580010634</v>
      </c>
      <c r="BZ83" s="4">
        <f t="shared" si="178"/>
        <v>89.949999999999989</v>
      </c>
      <c r="CD83" s="9"/>
      <c r="CF83" s="9"/>
      <c r="CG83" s="9"/>
      <c r="CH83" s="9">
        <f t="shared" si="230"/>
        <v>50.8</v>
      </c>
      <c r="CI83" s="9">
        <f t="shared" si="231"/>
        <v>89.949999999999989</v>
      </c>
      <c r="CJ83" s="9">
        <f t="shared" si="70"/>
        <v>1.2941994891728255</v>
      </c>
      <c r="CK83" s="70">
        <v>0</v>
      </c>
      <c r="CL83" s="9">
        <f t="shared" si="71"/>
        <v>0</v>
      </c>
      <c r="CM83" s="9">
        <f t="shared" si="72"/>
        <v>0</v>
      </c>
      <c r="CN83" s="9">
        <f t="shared" si="73"/>
        <v>0.89637813077714179</v>
      </c>
      <c r="CO83" s="9">
        <f t="shared" si="74"/>
        <v>1.1339999999999999</v>
      </c>
      <c r="CP83" s="9">
        <f t="shared" si="75"/>
        <v>1.8825710113593779</v>
      </c>
      <c r="CQ83" s="9">
        <f t="shared" si="76"/>
        <v>2.4364224412328763</v>
      </c>
      <c r="CR83" s="9">
        <v>1</v>
      </c>
      <c r="CS83" s="9">
        <f t="shared" si="77"/>
        <v>214.4051748284931</v>
      </c>
      <c r="CU83" s="4">
        <f t="shared" si="209"/>
        <v>1.9235691929933885</v>
      </c>
      <c r="CV83" s="4">
        <f t="shared" si="210"/>
        <v>1.1204107176360487</v>
      </c>
      <c r="CW83" s="4">
        <f t="shared" si="211"/>
        <v>1.9405350133962238</v>
      </c>
      <c r="CX83" s="4">
        <f t="shared" si="212"/>
        <v>1.7490249491411289</v>
      </c>
      <c r="CY83" s="4">
        <f t="shared" si="213"/>
        <v>1.2595360259005601</v>
      </c>
      <c r="CZ83" s="4">
        <f t="shared" si="214"/>
        <v>1.433933219594866</v>
      </c>
      <c r="DA83" s="4">
        <f t="shared" si="162"/>
        <v>1.5631830821326751</v>
      </c>
      <c r="DC83" s="4">
        <f t="shared" si="215"/>
        <v>1.9235691929933885</v>
      </c>
      <c r="DD83" s="4">
        <f t="shared" si="215"/>
        <v>1.1204107176360487</v>
      </c>
      <c r="DE83" s="4">
        <f t="shared" si="216"/>
        <v>1.7490249491411289</v>
      </c>
      <c r="DF83" s="4">
        <f t="shared" si="217"/>
        <v>1.5631830821326751</v>
      </c>
      <c r="DG83" s="4">
        <f t="shared" si="218"/>
        <v>1.2595360259005601</v>
      </c>
      <c r="DH83" s="4">
        <f t="shared" si="218"/>
        <v>1.433933219594866</v>
      </c>
      <c r="DP83" s="4">
        <f t="shared" si="182"/>
        <v>0</v>
      </c>
      <c r="DQ83" s="4">
        <f t="shared" si="138"/>
        <v>381</v>
      </c>
      <c r="DR83" s="4">
        <f t="shared" si="139"/>
        <v>0.66141732283464572</v>
      </c>
      <c r="DT83" s="4">
        <f t="shared" si="81"/>
        <v>1.8628104182055264E-5</v>
      </c>
      <c r="DU83" s="4">
        <f t="shared" si="183"/>
        <v>6.0161976170308948</v>
      </c>
      <c r="DV83" s="4">
        <f t="shared" si="166"/>
        <v>0.52633171836280401</v>
      </c>
      <c r="DW83" s="4">
        <f t="shared" si="83"/>
        <v>4.6539949788353114</v>
      </c>
      <c r="DX83" s="4">
        <f t="shared" si="84"/>
        <v>5.3784662944781267</v>
      </c>
      <c r="DY83" s="4">
        <f t="shared" si="140"/>
        <v>5.623161220484743</v>
      </c>
      <c r="DZ83" s="38">
        <f t="shared" si="86"/>
        <v>297.7286812672765</v>
      </c>
      <c r="EA83" s="4">
        <f t="shared" si="87"/>
        <v>1.0001858426308585</v>
      </c>
      <c r="EB83" s="4">
        <f t="shared" si="167"/>
        <v>1.9621416870348587</v>
      </c>
      <c r="EC83" s="4">
        <f t="shared" si="122"/>
        <v>152.8138409867322</v>
      </c>
      <c r="EG83" s="4">
        <f t="shared" si="88"/>
        <v>0.85</v>
      </c>
      <c r="EH83" s="4">
        <f t="shared" si="89"/>
        <v>0.85013888888888889</v>
      </c>
      <c r="EI83" s="4">
        <f t="shared" si="141"/>
        <v>1</v>
      </c>
      <c r="EJ83" s="4">
        <f t="shared" si="91"/>
        <v>0.85013888888888889</v>
      </c>
      <c r="EL83" s="4">
        <f t="shared" si="142"/>
        <v>261.51845488728549</v>
      </c>
      <c r="EM83" s="25">
        <f t="shared" si="143"/>
        <v>150.18137322121927</v>
      </c>
      <c r="EO83" s="4">
        <f t="shared" si="168"/>
        <v>0.72261805555555558</v>
      </c>
      <c r="EP83" s="4">
        <f t="shared" si="144"/>
        <v>6.0161976170308948</v>
      </c>
      <c r="EQ83" s="4">
        <f t="shared" si="145"/>
        <v>4.9450239957683877</v>
      </c>
      <c r="ES83" s="4">
        <f t="shared" si="96"/>
        <v>70.637100733254911</v>
      </c>
      <c r="ET83" s="4">
        <f t="shared" si="184"/>
        <v>1.9621416870348585</v>
      </c>
      <c r="EU83" s="4">
        <f t="shared" si="98"/>
        <v>0.15229085460242964</v>
      </c>
      <c r="EX83" s="4">
        <f t="shared" si="185"/>
        <v>0.15229085460242964</v>
      </c>
      <c r="EY83" s="4">
        <f t="shared" si="100"/>
        <v>0.5254533688197538</v>
      </c>
      <c r="EZ83" s="4">
        <f t="shared" si="186"/>
        <v>4.6508867620253334</v>
      </c>
      <c r="FA83" s="4">
        <f t="shared" si="232"/>
        <v>5.3771224773913264</v>
      </c>
      <c r="FB83" s="4">
        <f t="shared" si="188"/>
        <v>215.1128992667451</v>
      </c>
      <c r="FC83" s="4">
        <f t="shared" si="189"/>
        <v>95.25</v>
      </c>
      <c r="FD83" s="4">
        <f t="shared" si="105"/>
        <v>1.8628104182055264E-5</v>
      </c>
      <c r="FE83" s="4">
        <f t="shared" si="233"/>
        <v>5.6232740205776892</v>
      </c>
      <c r="FF83" s="4">
        <f t="shared" si="146"/>
        <v>297.67336086675652</v>
      </c>
      <c r="FG83" s="4">
        <f t="shared" si="191"/>
        <v>181.3628992667451</v>
      </c>
      <c r="FH83" s="4">
        <f t="shared" si="192"/>
        <v>1.4210854715202004E-14</v>
      </c>
      <c r="FJ83" s="4">
        <f t="shared" si="147"/>
        <v>79.677192674664695</v>
      </c>
      <c r="FO83" s="23">
        <f t="shared" si="219"/>
        <v>2</v>
      </c>
      <c r="FP83" s="23">
        <f t="shared" si="219"/>
        <v>1.2</v>
      </c>
      <c r="FQ83" s="23">
        <f t="shared" si="229"/>
        <v>1.6</v>
      </c>
      <c r="FR83" s="23">
        <f t="shared" si="220"/>
        <v>1.8</v>
      </c>
      <c r="FS83" s="23">
        <f t="shared" si="220"/>
        <v>1.4</v>
      </c>
      <c r="FT83" s="23">
        <f t="shared" si="220"/>
        <v>1.6</v>
      </c>
      <c r="FU83" s="23">
        <f t="shared" si="221"/>
        <v>0</v>
      </c>
      <c r="FV83" s="23"/>
      <c r="GF83" s="4">
        <f t="shared" si="111"/>
        <v>1</v>
      </c>
      <c r="GG83" s="4">
        <f t="shared" si="112"/>
        <v>0.85000000000000009</v>
      </c>
      <c r="GH83" s="4">
        <f t="shared" si="113"/>
        <v>0</v>
      </c>
      <c r="GI83" s="4">
        <f t="shared" si="114"/>
        <v>239.89512443314166</v>
      </c>
    </row>
    <row r="84" spans="1:192" ht="12" hidden="1" customHeight="1" x14ac:dyDescent="0.3">
      <c r="A84" s="25">
        <v>65</v>
      </c>
      <c r="B84" s="20" t="s">
        <v>54</v>
      </c>
      <c r="C84" s="20">
        <v>2006</v>
      </c>
      <c r="D84" s="24" t="s">
        <v>55</v>
      </c>
      <c r="E84" s="24"/>
      <c r="F84" s="24"/>
      <c r="G84" s="24"/>
      <c r="H84" s="7" t="s">
        <v>286</v>
      </c>
      <c r="I84" s="7"/>
      <c r="J84" s="7">
        <v>433</v>
      </c>
      <c r="K84" s="7">
        <f t="shared" si="236"/>
        <v>381</v>
      </c>
      <c r="L84" s="7">
        <f t="shared" si="148"/>
        <v>252</v>
      </c>
      <c r="M84" s="7">
        <v>28</v>
      </c>
      <c r="N84" s="7">
        <v>36</v>
      </c>
      <c r="O84" s="7">
        <f t="shared" si="171"/>
        <v>10.583333333333334</v>
      </c>
      <c r="P84" s="7">
        <v>7</v>
      </c>
      <c r="Q84" s="7">
        <f t="shared" si="235"/>
        <v>215.89999999999998</v>
      </c>
      <c r="R84" s="7"/>
      <c r="S84" s="7">
        <f t="shared" ref="S84:S94" si="237">(Q84-N84)/2</f>
        <v>89.949999999999989</v>
      </c>
      <c r="T84" s="7"/>
      <c r="U84" s="7">
        <f t="shared" si="150"/>
        <v>50.8</v>
      </c>
      <c r="V84" s="7"/>
      <c r="W84" s="7">
        <v>0</v>
      </c>
      <c r="X84" s="7">
        <v>1</v>
      </c>
      <c r="Y84" s="7"/>
      <c r="Z84" s="7"/>
      <c r="AA84" s="7">
        <f t="shared" si="151"/>
        <v>83.6</v>
      </c>
      <c r="AB84" s="7">
        <f t="shared" ref="AB84:AB94" si="238">MIN(Q84/2/N84, (AA84+N84/2)/N84)</f>
        <v>2.822222222222222</v>
      </c>
      <c r="AC84" s="7">
        <f t="shared" si="152"/>
        <v>2.9986111111111109</v>
      </c>
      <c r="AD84" s="7">
        <v>3.53</v>
      </c>
      <c r="AE84" s="7">
        <f t="shared" si="172"/>
        <v>3.53</v>
      </c>
      <c r="AF84" s="7">
        <f t="shared" ref="AF84:AF123" si="239">AE84+1</f>
        <v>4.5299999999999994</v>
      </c>
      <c r="AG84" s="7">
        <f t="shared" ref="AG84:AG147" si="240">N84*AF84^0.5</f>
        <v>76.62166795365394</v>
      </c>
      <c r="AH84" s="7"/>
      <c r="AI84" s="7"/>
      <c r="AJ84" s="7">
        <v>387</v>
      </c>
      <c r="AK84" s="7"/>
      <c r="AL84" s="7"/>
      <c r="AM84" s="7">
        <v>0</v>
      </c>
      <c r="AN84" s="7">
        <v>0</v>
      </c>
      <c r="AO84" s="7">
        <f t="shared" si="153"/>
        <v>252</v>
      </c>
      <c r="AP84" s="7"/>
      <c r="AQ84" s="7"/>
      <c r="AR84" s="7"/>
      <c r="AS84" s="4">
        <f t="shared" si="125"/>
        <v>381</v>
      </c>
      <c r="AT84" s="44">
        <f t="shared" si="154"/>
        <v>8.3950617283950604E-2</v>
      </c>
      <c r="AU84" s="25">
        <f t="shared" ref="AU84:AU115" si="241">MIN(10*M84^0.5*AS84^1.5,100*3.9*M84^0.5*AS84^(5/3))/(PI()/4*N84^2)/X84</f>
        <v>386.60867631208708</v>
      </c>
      <c r="AV84" s="4">
        <f t="shared" ref="AV84:AV115" si="242">MIN(0.7+0.3*(MIN(S84,AA84)+0.5*N84)/1.5/K84,1)</f>
        <v>0.7533333333333333</v>
      </c>
      <c r="AW84" s="4">
        <v>1.25</v>
      </c>
      <c r="AX84" s="25">
        <f t="shared" si="119"/>
        <v>5</v>
      </c>
      <c r="AY84" s="38">
        <f t="shared" si="120"/>
        <v>152.81384098673232</v>
      </c>
      <c r="AZ84" s="38">
        <f t="shared" si="121"/>
        <v>152.81384098673232</v>
      </c>
      <c r="BB84" s="38">
        <f t="shared" si="129"/>
        <v>152.8138409867322</v>
      </c>
      <c r="BC84" s="38">
        <f t="shared" ref="BC84:BC147" si="243">AY84/BB84</f>
        <v>1.0000000000000007</v>
      </c>
      <c r="BD84" s="38">
        <f t="shared" si="155"/>
        <v>1.9917175968892866</v>
      </c>
      <c r="BE84" s="4">
        <f t="shared" si="173"/>
        <v>0</v>
      </c>
      <c r="BF84" s="4">
        <f t="shared" ref="BF84:BF147" si="244">L84/N84*M84^0.5/0.19</f>
        <v>194.95009660475932</v>
      </c>
      <c r="BG84" s="4">
        <f t="shared" si="223"/>
        <v>1.0249999999999999</v>
      </c>
      <c r="BH84" s="38">
        <f t="shared" ref="BH84:BH147" si="245">2*M84*AB84*AD84^0.5*BG84*0.7/0.7</f>
        <v>304.36201614151582</v>
      </c>
      <c r="BI84" s="4">
        <f t="shared" si="224"/>
        <v>0.50580000000000003</v>
      </c>
      <c r="BJ84" s="4">
        <f t="shared" ref="BJ84:BJ147" si="246">BI84*J84*L84/(J84*N84/2.75/M84^0.5)</f>
        <v>51.521509005754098</v>
      </c>
      <c r="BK84" s="4">
        <f t="shared" ref="BK84:BK147" si="247">BH84+BJ84</f>
        <v>355.88352514726989</v>
      </c>
      <c r="BM84" s="36">
        <f t="shared" ref="BM84:BM104" si="248">MAX(1, (0.9+0.1*MIN(2,AB84-0.5))*(0.9+0.1*MIN(3.5,S84/S84))+0.45*MIN(2.5,(40*2*PI()*AM84^2/4/AO84/X84)/N84))</f>
        <v>1.1000000000000001</v>
      </c>
      <c r="BN84" s="36">
        <f t="shared" ref="BN84:BN115" si="249">(1.6*P84+22)*BM84*M84^0.5</f>
        <v>193.24567576015772</v>
      </c>
      <c r="BS84" s="4">
        <f t="shared" si="174"/>
        <v>89.949999999999989</v>
      </c>
      <c r="BT84" s="4">
        <f t="shared" si="175"/>
        <v>83.6</v>
      </c>
      <c r="BU84" s="4">
        <f t="shared" si="176"/>
        <v>89.949999999999989</v>
      </c>
      <c r="BV84" s="4">
        <f t="shared" ref="BV84:BV115" si="250">BT84+N84/2</f>
        <v>101.6</v>
      </c>
      <c r="BW84" s="4">
        <f t="shared" si="177"/>
        <v>1.0075956937799044</v>
      </c>
      <c r="BX84" s="25">
        <f t="shared" ref="BX84:BX115" si="251">MIN(4, (BV84*BW84+(6*M84^0.5*(0.03*N84+0.22)*(AM84^2/4*PI())*2/AO84/X84))/N84)</f>
        <v>2.8436589580010634</v>
      </c>
      <c r="BZ84" s="4">
        <f t="shared" si="178"/>
        <v>89.949999999999989</v>
      </c>
      <c r="CD84" s="9"/>
      <c r="CF84" s="9"/>
      <c r="CG84" s="9"/>
      <c r="CH84" s="9">
        <f t="shared" si="230"/>
        <v>50.8</v>
      </c>
      <c r="CI84" s="9">
        <f t="shared" si="231"/>
        <v>89.949999999999989</v>
      </c>
      <c r="CJ84" s="9">
        <f t="shared" ref="CJ84:CJ147" si="252">(CH84/N84)^0.5*(CI84/CH84)^0.15</f>
        <v>1.2941994891728255</v>
      </c>
      <c r="CK84" s="70">
        <v>0</v>
      </c>
      <c r="CL84" s="9">
        <f t="shared" ref="CL84:CL147" si="253">MIN(PI()*AM84^2/4*AN84*2/X84/N84/MAX(0.01,AO84),0.05)</f>
        <v>0</v>
      </c>
      <c r="CM84" s="9">
        <f t="shared" ref="CM84:CM147" si="254">MAX(0,CK84*(CL84-0.5/50))</f>
        <v>0</v>
      </c>
      <c r="CN84" s="9">
        <f t="shared" ref="CN84:CN147" si="255">MIN(1,(25/N84)^0.3)</f>
        <v>0.89637813077714179</v>
      </c>
      <c r="CO84" s="9">
        <f t="shared" ref="CO84:CO147" si="256">IF(J84&gt;=800,0.68,IF(J84&gt;=700,0.75-(J84-700)*0.07/100,IF(J84&gt;=600,0.85-(J84-600)*0.1/100,IF(J84&gt;=500,1-(J84-500)*0.15/100,1.2-(J84-400)*0.2/100))))</f>
        <v>1.1339999999999999</v>
      </c>
      <c r="CP84" s="9">
        <f t="shared" ref="CP84:CP147" si="257">1.75*CN84*CO84*(M84/25)^0.5</f>
        <v>1.8825710113593779</v>
      </c>
      <c r="CQ84" s="9">
        <f t="shared" ref="CQ84:CQ147" si="258">MIN((CJ84+CM84)*CP84,2.5*CP84,M84^0.5)</f>
        <v>2.4364224412328763</v>
      </c>
      <c r="CR84" s="9">
        <v>1</v>
      </c>
      <c r="CS84" s="9">
        <f t="shared" ref="CS84:CS147" si="259">4*CQ84*P84+60*CQ84</f>
        <v>214.4051748284931</v>
      </c>
      <c r="CU84" s="4">
        <f t="shared" si="209"/>
        <v>1.9851234071691768</v>
      </c>
      <c r="CV84" s="4">
        <f t="shared" si="210"/>
        <v>1.0874344347349421</v>
      </c>
      <c r="CW84" s="4">
        <f t="shared" si="211"/>
        <v>2.0026321338249029</v>
      </c>
      <c r="CX84" s="4">
        <f t="shared" si="212"/>
        <v>1.8049937475136451</v>
      </c>
      <c r="CY84" s="4">
        <f t="shared" si="213"/>
        <v>1.3198908746235813</v>
      </c>
      <c r="CZ84" s="4">
        <f t="shared" si="214"/>
        <v>1.4782390424361687</v>
      </c>
      <c r="DA84" s="4">
        <f t="shared" si="162"/>
        <v>1.6132049407609208</v>
      </c>
      <c r="DC84" s="4">
        <f t="shared" si="215"/>
        <v>1.9851234071691768</v>
      </c>
      <c r="DD84" s="4">
        <f t="shared" si="215"/>
        <v>1.0874344347349421</v>
      </c>
      <c r="DE84" s="4">
        <f t="shared" si="216"/>
        <v>1.8049937475136451</v>
      </c>
      <c r="DF84" s="4">
        <f t="shared" si="217"/>
        <v>1.6132049407609208</v>
      </c>
      <c r="DG84" s="4">
        <f t="shared" si="218"/>
        <v>1.3198908746235813</v>
      </c>
      <c r="DH84" s="4">
        <f t="shared" si="218"/>
        <v>1.4782390424361687</v>
      </c>
      <c r="DP84" s="4">
        <f t="shared" si="182"/>
        <v>0</v>
      </c>
      <c r="DQ84" s="4">
        <f t="shared" ref="DQ84:DQ115" si="260">K84</f>
        <v>381</v>
      </c>
      <c r="DR84" s="4">
        <f t="shared" ref="DR84:DR115" si="261">L84/K84</f>
        <v>0.66141732283464572</v>
      </c>
      <c r="DT84" s="4">
        <f t="shared" ref="DT84:DT147" si="262">K84/4/(1-0.3*(M84/30)^0.5)/200000/N84</f>
        <v>1.8628104182055264E-5</v>
      </c>
      <c r="DU84" s="4">
        <f t="shared" si="183"/>
        <v>6.0161976170308948</v>
      </c>
      <c r="DV84" s="4">
        <f t="shared" si="166"/>
        <v>0.4609442837619841</v>
      </c>
      <c r="DW84" s="4">
        <f t="shared" ref="DW84:DW147" si="263">DU84*DV84^0.4</f>
        <v>4.4134830878635238</v>
      </c>
      <c r="DX84" s="4">
        <f t="shared" ref="DX84:DX147" si="264">MIN(DU84, DU84/1.4*(1-DV84^1.4)/(1-DV84))</f>
        <v>5.2761943527954989</v>
      </c>
      <c r="DY84" s="4">
        <f t="shared" ref="DY84:DY104" si="265">MAX(DU84/2, (4-DT84*(8*AG84*(DW84-DX84)+6*K84*DX84))/(4+DT84*K84*DU84)*DU84)</f>
        <v>5.6329529640118547</v>
      </c>
      <c r="DZ84" s="38">
        <f t="shared" ref="DZ84:DZ147" si="266">MIN(1/N84*(4*AG84*(DW84-DX84)+(3*DX84+DY84)*K84)+EC84 -FJ84,MAX(J84,AJ84))</f>
        <v>293.20605774349963</v>
      </c>
      <c r="EA84" s="4">
        <f t="shared" ref="EA84:EA147" si="267">DZ84/FF84</f>
        <v>1.0001793392708846</v>
      </c>
      <c r="EB84" s="4">
        <f t="shared" si="167"/>
        <v>2.1283796653792759</v>
      </c>
      <c r="EC84" s="4">
        <f t="shared" si="122"/>
        <v>152.8138409867322</v>
      </c>
      <c r="EG84" s="4">
        <f t="shared" ref="EG84:EG147" si="268">IF(U84&gt;1*N84,0.85,1)</f>
        <v>0.85</v>
      </c>
      <c r="EH84" s="4">
        <f t="shared" ref="EH84:EH147" si="269">MIN(1,MAX(0.7,(1-0.1*(BZ84-1*N84)/N84)))</f>
        <v>0.85013888888888889</v>
      </c>
      <c r="EI84" s="4">
        <f t="shared" ref="EI84:EI115" si="270">MIN(1,MAX(0.7,1-0.3*(PI()*AM84^2/4*AN84*2-0.25*PI()/4*N84^2)/(PI()/4*N84^2)))</f>
        <v>1</v>
      </c>
      <c r="EJ84" s="4">
        <f t="shared" ref="EJ84:EJ147" si="271">IF(EH84*EI84&lt;0.7,0.7,EH84*EI84)</f>
        <v>0.85013888888888889</v>
      </c>
      <c r="EL84" s="4">
        <f t="shared" ref="EL84:EL115" si="272">MIN(DU84/N84*3*K84+EM84-FJ84,MAX(J84,AJ84))</f>
        <v>261.79798320183448</v>
      </c>
      <c r="EM84" s="25">
        <f t="shared" ref="EM84:EM94" si="273">8.8*Q84*508*M84^0.5/X84/N84^2/K84^0.5*(0.7+MIN(AA84,S84)/5/K84)</f>
        <v>150.18137322121927</v>
      </c>
      <c r="EO84" s="4">
        <f t="shared" si="168"/>
        <v>0.72261805555555558</v>
      </c>
      <c r="EP84" s="4">
        <f t="shared" ref="EP84:EP104" si="274">IF(N84&lt;22.2,1.1*5*(M84/30)^0.5,IF(N84&gt;=31.8,0.9*5*(M84/30)^0.5,1*5*(M84/30)^0.5))/EG84/EJ84</f>
        <v>6.0161976170308948</v>
      </c>
      <c r="EQ84" s="4">
        <f t="shared" ref="EQ84:EQ115" si="275">IF(N84&lt;22.2,1.1*5*(M84/30)^0.5,IF(N84&gt;=31.8,0.9*5*(M84/30)^0.5,1*5*(M84/30)^0.5))*BX84/2.5</f>
        <v>4.9450239957683877</v>
      </c>
      <c r="ES84" s="4">
        <f t="shared" ref="ES84:ES147" si="276">ET84*N84</f>
        <v>76.62166795365394</v>
      </c>
      <c r="ET84" s="4">
        <f t="shared" si="184"/>
        <v>2.1283796653792759</v>
      </c>
      <c r="EU84" s="4">
        <f t="shared" ref="EU84:EU147" si="277">MIN(EC84)/(4700*M84^0.5)/AE84*ES84</f>
        <v>0.13337140143590914</v>
      </c>
      <c r="EX84" s="4">
        <f t="shared" si="185"/>
        <v>0.13337140143590914</v>
      </c>
      <c r="EY84" s="4">
        <f t="shared" ref="EY84:EY147" si="278">MIN(0.999, EX84/(0.3*(M84/30)^0.5))</f>
        <v>0.46017505366072153</v>
      </c>
      <c r="EZ84" s="4">
        <f t="shared" si="186"/>
        <v>4.4105354993107566</v>
      </c>
      <c r="FA84" s="4">
        <f t="shared" si="232"/>
        <v>5.2749629221701388</v>
      </c>
      <c r="FB84" s="4">
        <f t="shared" si="188"/>
        <v>209.12833204634606</v>
      </c>
      <c r="FC84" s="4">
        <f t="shared" si="189"/>
        <v>95.249999999999972</v>
      </c>
      <c r="FD84" s="4">
        <f t="shared" ref="FD84:FD147" si="279">FC84/(1-0.3*(M84/30)^0.5)/200000/N84</f>
        <v>1.8628104182055258E-5</v>
      </c>
      <c r="FE84" s="4">
        <f t="shared" si="233"/>
        <v>5.6330601639663991</v>
      </c>
      <c r="FF84" s="4">
        <f t="shared" ref="FF84:FF115" si="280">MIN(4/N84*(1*EZ84*ES84+FA84*FG84+FH84*FE84)+EC84,MAX(J84,AJ84))</f>
        <v>293.1534838114556</v>
      </c>
      <c r="FG84" s="4">
        <f t="shared" si="191"/>
        <v>175.37833204634609</v>
      </c>
      <c r="FH84" s="4">
        <f t="shared" si="192"/>
        <v>0</v>
      </c>
      <c r="FJ84" s="4">
        <f t="shared" ref="FJ84:FJ117" si="281">4/N84*(1*EZ84*ES84+FA84*FB84+FC84*FE84)+EC84 - (4/N84*(1*EZ84*ES84+FA84*FG84+FH84*FE84)+EC84)</f>
        <v>79.397664360115698</v>
      </c>
      <c r="FO84" s="23">
        <f t="shared" si="219"/>
        <v>2</v>
      </c>
      <c r="FP84" s="23">
        <f t="shared" si="219"/>
        <v>1.2</v>
      </c>
      <c r="FQ84" s="23">
        <f t="shared" si="229"/>
        <v>1.8</v>
      </c>
      <c r="FR84" s="23">
        <f t="shared" si="220"/>
        <v>2</v>
      </c>
      <c r="FS84" s="23">
        <f t="shared" si="220"/>
        <v>1.4</v>
      </c>
      <c r="FT84" s="23">
        <f t="shared" si="220"/>
        <v>1.6</v>
      </c>
      <c r="FU84" s="23">
        <f t="shared" si="221"/>
        <v>0</v>
      </c>
      <c r="FV84" s="23"/>
      <c r="GF84" s="4">
        <f t="shared" ref="GF84:GF147" si="282">IF(S84&gt;=2.5*25.4,1,1.25)</f>
        <v>1</v>
      </c>
      <c r="GG84" s="4">
        <f t="shared" ref="GG84:GG147" si="283">IF(AO84&gt;1, 0.05*(18-MIN(8,(W84+N84)/N84))*(1-48000/MAX(60000,(J84*145))*(N84/25.4)^0.75*GH84), 1/12*(14-MIN(8,(W84+N84)/N84)))</f>
        <v>0.85000000000000009</v>
      </c>
      <c r="GH84" s="4">
        <f t="shared" ref="GH84:GH147" si="284">MIN(0.3, AM84^2*PI()/4*2*AP84/(N84^2*PI()/4*X84))</f>
        <v>0</v>
      </c>
      <c r="GI84" s="4">
        <f t="shared" ref="GI84:GI147" si="285">(K84/25.4)/(N84/25.4)^1.5/0.0024*(M84*145)^0.25/GF84/GG84/145</f>
        <v>239.89512443314166</v>
      </c>
    </row>
    <row r="85" spans="1:192" ht="12" hidden="1" customHeight="1" x14ac:dyDescent="0.3">
      <c r="A85" s="25">
        <v>66</v>
      </c>
      <c r="B85" s="20" t="s">
        <v>54</v>
      </c>
      <c r="C85" s="20">
        <v>2006</v>
      </c>
      <c r="D85" s="24" t="s">
        <v>55</v>
      </c>
      <c r="E85" s="24"/>
      <c r="F85" s="24"/>
      <c r="G85" s="24"/>
      <c r="H85" s="7" t="s">
        <v>287</v>
      </c>
      <c r="I85" s="7"/>
      <c r="J85" s="7">
        <v>433</v>
      </c>
      <c r="K85" s="7">
        <f t="shared" si="236"/>
        <v>381</v>
      </c>
      <c r="L85" s="7">
        <f t="shared" si="148"/>
        <v>252</v>
      </c>
      <c r="M85" s="7">
        <v>28</v>
      </c>
      <c r="N85" s="7">
        <v>36</v>
      </c>
      <c r="O85" s="7">
        <f t="shared" si="171"/>
        <v>10.583333333333334</v>
      </c>
      <c r="P85" s="7">
        <v>7</v>
      </c>
      <c r="Q85" s="7">
        <f t="shared" si="235"/>
        <v>215.89999999999998</v>
      </c>
      <c r="R85" s="7"/>
      <c r="S85" s="7">
        <f t="shared" si="237"/>
        <v>89.949999999999989</v>
      </c>
      <c r="T85" s="7"/>
      <c r="U85" s="7">
        <f t="shared" si="150"/>
        <v>50.8</v>
      </c>
      <c r="V85" s="7"/>
      <c r="W85" s="7">
        <v>0</v>
      </c>
      <c r="X85" s="7">
        <v>1</v>
      </c>
      <c r="Y85" s="7"/>
      <c r="Z85" s="7"/>
      <c r="AA85" s="7">
        <f t="shared" si="151"/>
        <v>83.6</v>
      </c>
      <c r="AB85" s="7">
        <f t="shared" si="238"/>
        <v>2.822222222222222</v>
      </c>
      <c r="AC85" s="7">
        <f t="shared" si="152"/>
        <v>2.9986111111111109</v>
      </c>
      <c r="AD85" s="7">
        <v>4.13</v>
      </c>
      <c r="AE85" s="7">
        <f t="shared" si="172"/>
        <v>4.13</v>
      </c>
      <c r="AF85" s="7">
        <f t="shared" si="239"/>
        <v>5.13</v>
      </c>
      <c r="AG85" s="7">
        <f t="shared" si="240"/>
        <v>81.538211900924097</v>
      </c>
      <c r="AH85" s="7"/>
      <c r="AI85" s="7"/>
      <c r="AJ85" s="7">
        <v>427</v>
      </c>
      <c r="AK85" s="7"/>
      <c r="AL85" s="7"/>
      <c r="AM85" s="7">
        <v>0</v>
      </c>
      <c r="AN85" s="7">
        <v>0</v>
      </c>
      <c r="AO85" s="7">
        <f t="shared" si="153"/>
        <v>252</v>
      </c>
      <c r="AP85" s="7"/>
      <c r="AQ85" s="7"/>
      <c r="AR85" s="7"/>
      <c r="AS85" s="4">
        <f t="shared" si="125"/>
        <v>381</v>
      </c>
      <c r="AT85" s="44">
        <f t="shared" si="154"/>
        <v>8.3950617283950604E-2</v>
      </c>
      <c r="AU85" s="25">
        <f t="shared" si="241"/>
        <v>386.60867631208708</v>
      </c>
      <c r="AV85" s="4">
        <f t="shared" si="242"/>
        <v>0.7533333333333333</v>
      </c>
      <c r="AW85" s="4">
        <v>1.25</v>
      </c>
      <c r="AX85" s="25">
        <f t="shared" ref="AX85:AX103" si="286">AX84</f>
        <v>5</v>
      </c>
      <c r="AY85" s="38">
        <f t="shared" ref="AY85:AY146" si="287">AT85*AV85*AW85*AX85*AU85</f>
        <v>152.81384098673232</v>
      </c>
      <c r="AZ85" s="38">
        <f t="shared" ref="AZ85:AZ148" si="288">AY85</f>
        <v>152.81384098673232</v>
      </c>
      <c r="BB85" s="38">
        <f t="shared" si="129"/>
        <v>152.8138409867322</v>
      </c>
      <c r="BC85" s="38">
        <f t="shared" si="243"/>
        <v>1.0000000000000007</v>
      </c>
      <c r="BD85" s="38">
        <f t="shared" si="155"/>
        <v>2.1543458950369176</v>
      </c>
      <c r="BE85" s="4">
        <f t="shared" si="173"/>
        <v>0</v>
      </c>
      <c r="BF85" s="4">
        <f t="shared" si="244"/>
        <v>194.95009660475932</v>
      </c>
      <c r="BG85" s="4">
        <f t="shared" si="223"/>
        <v>1.0249999999999999</v>
      </c>
      <c r="BH85" s="38">
        <f t="shared" si="245"/>
        <v>329.2138710345908</v>
      </c>
      <c r="BI85" s="4">
        <f t="shared" si="224"/>
        <v>0.42180000000000006</v>
      </c>
      <c r="BJ85" s="4">
        <f t="shared" si="246"/>
        <v>42.96514926577121</v>
      </c>
      <c r="BK85" s="4">
        <f t="shared" si="247"/>
        <v>372.17902030036203</v>
      </c>
      <c r="BM85" s="36">
        <f t="shared" si="248"/>
        <v>1.1000000000000001</v>
      </c>
      <c r="BN85" s="36">
        <f t="shared" si="249"/>
        <v>193.24567576015772</v>
      </c>
      <c r="BS85" s="4">
        <f t="shared" si="174"/>
        <v>89.949999999999989</v>
      </c>
      <c r="BT85" s="4">
        <f t="shared" si="175"/>
        <v>83.6</v>
      </c>
      <c r="BU85" s="4">
        <f t="shared" si="176"/>
        <v>89.949999999999989</v>
      </c>
      <c r="BV85" s="4">
        <f t="shared" si="250"/>
        <v>101.6</v>
      </c>
      <c r="BW85" s="4">
        <f t="shared" si="177"/>
        <v>1.0075956937799044</v>
      </c>
      <c r="BX85" s="25">
        <f t="shared" si="251"/>
        <v>2.8436589580010634</v>
      </c>
      <c r="BZ85" s="4">
        <f t="shared" si="178"/>
        <v>89.949999999999989</v>
      </c>
      <c r="CD85" s="9"/>
      <c r="CF85" s="9"/>
      <c r="CG85" s="9"/>
      <c r="CH85" s="9">
        <f t="shared" si="230"/>
        <v>50.8</v>
      </c>
      <c r="CI85" s="9">
        <f t="shared" si="231"/>
        <v>89.949999999999989</v>
      </c>
      <c r="CJ85" s="9">
        <f t="shared" si="252"/>
        <v>1.2941994891728255</v>
      </c>
      <c r="CK85" s="70">
        <v>0</v>
      </c>
      <c r="CL85" s="9">
        <f t="shared" si="253"/>
        <v>0</v>
      </c>
      <c r="CM85" s="9">
        <f t="shared" si="254"/>
        <v>0</v>
      </c>
      <c r="CN85" s="9">
        <f t="shared" si="255"/>
        <v>0.89637813077714179</v>
      </c>
      <c r="CO85" s="9">
        <f t="shared" si="256"/>
        <v>1.1339999999999999</v>
      </c>
      <c r="CP85" s="9">
        <f t="shared" si="257"/>
        <v>1.8825710113593779</v>
      </c>
      <c r="CQ85" s="9">
        <f t="shared" si="258"/>
        <v>2.4364224412328763</v>
      </c>
      <c r="CR85" s="9">
        <v>1</v>
      </c>
      <c r="CS85" s="9">
        <f t="shared" si="259"/>
        <v>214.4051748284931</v>
      </c>
      <c r="CU85" s="4">
        <f t="shared" si="209"/>
        <v>2.1903041210884715</v>
      </c>
      <c r="CV85" s="4">
        <f t="shared" si="210"/>
        <v>1.1472973400150159</v>
      </c>
      <c r="CW85" s="4">
        <f t="shared" si="211"/>
        <v>2.2096225352538337</v>
      </c>
      <c r="CX85" s="4">
        <f t="shared" si="212"/>
        <v>1.9915564087553654</v>
      </c>
      <c r="CY85" s="4">
        <f t="shared" si="213"/>
        <v>1.4725994513297929</v>
      </c>
      <c r="CZ85" s="4">
        <f t="shared" si="214"/>
        <v>1.6299079458025423</v>
      </c>
      <c r="DA85" s="4">
        <f t="shared" si="162"/>
        <v>1.7799444695217395</v>
      </c>
      <c r="DC85" s="4">
        <f t="shared" si="215"/>
        <v>2.1903041210884715</v>
      </c>
      <c r="DD85" s="4">
        <f t="shared" si="215"/>
        <v>1.1472973400150159</v>
      </c>
      <c r="DE85" s="4">
        <f t="shared" si="216"/>
        <v>1.9915564087553654</v>
      </c>
      <c r="DF85" s="4">
        <f t="shared" si="217"/>
        <v>1.7799444695217395</v>
      </c>
      <c r="DG85" s="4">
        <f t="shared" si="218"/>
        <v>1.4725994513297929</v>
      </c>
      <c r="DH85" s="4">
        <f t="shared" si="218"/>
        <v>1.6299079458025423</v>
      </c>
      <c r="DP85" s="4">
        <f t="shared" si="182"/>
        <v>0</v>
      </c>
      <c r="DQ85" s="4">
        <f t="shared" si="260"/>
        <v>381</v>
      </c>
      <c r="DR85" s="4">
        <f t="shared" si="261"/>
        <v>0.66141732283464572</v>
      </c>
      <c r="DT85" s="4">
        <f t="shared" si="262"/>
        <v>1.8628104182055264E-5</v>
      </c>
      <c r="DU85" s="4">
        <f t="shared" si="183"/>
        <v>6.0161976170308948</v>
      </c>
      <c r="DV85" s="4">
        <f t="shared" ref="DV85:DV104" si="289">EC85*AG85/257/M85/AD85</f>
        <v>0.4192592652284054</v>
      </c>
      <c r="DW85" s="4">
        <f t="shared" si="263"/>
        <v>4.2492781569476614</v>
      </c>
      <c r="DX85" s="4">
        <f t="shared" si="264"/>
        <v>5.2084323712436884</v>
      </c>
      <c r="DY85" s="4">
        <f t="shared" si="265"/>
        <v>5.6399318008403121</v>
      </c>
      <c r="DZ85" s="38">
        <f t="shared" si="266"/>
        <v>289.96343820066528</v>
      </c>
      <c r="EA85" s="4">
        <f t="shared" si="267"/>
        <v>1.0001753673247638</v>
      </c>
      <c r="EB85" s="4">
        <f t="shared" ref="EB85:EB104" si="290">AG85/N85</f>
        <v>2.2649503305812249</v>
      </c>
      <c r="EC85" s="4">
        <f t="shared" ref="EC85:EC148" si="291">MIN(EB$10*BB85)</f>
        <v>152.8138409867322</v>
      </c>
      <c r="EG85" s="4">
        <f t="shared" si="268"/>
        <v>0.85</v>
      </c>
      <c r="EH85" s="4">
        <f t="shared" si="269"/>
        <v>0.85013888888888889</v>
      </c>
      <c r="EI85" s="4">
        <f t="shared" si="270"/>
        <v>1</v>
      </c>
      <c r="EJ85" s="4">
        <f t="shared" si="271"/>
        <v>0.85013888888888889</v>
      </c>
      <c r="EL85" s="4">
        <f t="shared" si="272"/>
        <v>261.97798538232882</v>
      </c>
      <c r="EM85" s="25">
        <f t="shared" si="273"/>
        <v>150.18137322121927</v>
      </c>
      <c r="EO85" s="4">
        <f t="shared" si="168"/>
        <v>0.72261805555555558</v>
      </c>
      <c r="EP85" s="4">
        <f t="shared" si="274"/>
        <v>6.0161976170308948</v>
      </c>
      <c r="EQ85" s="4">
        <f t="shared" si="275"/>
        <v>4.9450239957683877</v>
      </c>
      <c r="ES85" s="4">
        <f t="shared" si="276"/>
        <v>81.538211900924097</v>
      </c>
      <c r="ET85" s="4">
        <f t="shared" si="184"/>
        <v>2.2649503305812249</v>
      </c>
      <c r="EU85" s="4">
        <f t="shared" si="277"/>
        <v>0.12131009698641951</v>
      </c>
      <c r="EX85" s="4">
        <f t="shared" si="185"/>
        <v>0.12131009698641951</v>
      </c>
      <c r="EY85" s="4">
        <f t="shared" si="278"/>
        <v>0.4185595996540441</v>
      </c>
      <c r="EZ85" s="4">
        <f t="shared" si="186"/>
        <v>4.2464402342902972</v>
      </c>
      <c r="FA85" s="4">
        <f t="shared" si="232"/>
        <v>5.2072764835268703</v>
      </c>
      <c r="FB85" s="4">
        <f t="shared" si="188"/>
        <v>204.2117880990759</v>
      </c>
      <c r="FC85" s="4">
        <f t="shared" si="189"/>
        <v>95.249999999999972</v>
      </c>
      <c r="FD85" s="4">
        <f t="shared" si="279"/>
        <v>1.8628104182055258E-5</v>
      </c>
      <c r="FE85" s="4">
        <f t="shared" si="233"/>
        <v>5.6400354676909252</v>
      </c>
      <c r="FF85" s="4">
        <f t="shared" si="280"/>
        <v>289.91259700411337</v>
      </c>
      <c r="FG85" s="4">
        <f t="shared" si="191"/>
        <v>170.46178809907593</v>
      </c>
      <c r="FH85" s="4">
        <f t="shared" si="192"/>
        <v>0</v>
      </c>
      <c r="FJ85" s="4">
        <f t="shared" si="281"/>
        <v>79.217662179621357</v>
      </c>
      <c r="FO85" s="23">
        <f t="shared" si="219"/>
        <v>2.2000000000000002</v>
      </c>
      <c r="FP85" s="23">
        <f t="shared" si="219"/>
        <v>1.2</v>
      </c>
      <c r="FQ85" s="23">
        <f t="shared" si="229"/>
        <v>1.8</v>
      </c>
      <c r="FR85" s="23">
        <f t="shared" si="220"/>
        <v>2</v>
      </c>
      <c r="FS85" s="23">
        <f t="shared" si="220"/>
        <v>1.6</v>
      </c>
      <c r="FT85" s="23">
        <f t="shared" si="220"/>
        <v>1.8</v>
      </c>
      <c r="FU85" s="23">
        <f t="shared" si="221"/>
        <v>0</v>
      </c>
      <c r="FV85" s="23"/>
      <c r="GF85" s="4">
        <f t="shared" si="282"/>
        <v>1</v>
      </c>
      <c r="GG85" s="4">
        <f t="shared" si="283"/>
        <v>0.85000000000000009</v>
      </c>
      <c r="GH85" s="4">
        <f t="shared" si="284"/>
        <v>0</v>
      </c>
      <c r="GI85" s="4">
        <f t="shared" si="285"/>
        <v>239.89512443314166</v>
      </c>
    </row>
    <row r="86" spans="1:192" ht="12" hidden="1" customHeight="1" x14ac:dyDescent="0.3">
      <c r="A86" s="25">
        <v>67</v>
      </c>
      <c r="B86" s="20" t="s">
        <v>54</v>
      </c>
      <c r="C86" s="20">
        <v>2006</v>
      </c>
      <c r="D86" s="24" t="s">
        <v>55</v>
      </c>
      <c r="E86" s="24"/>
      <c r="F86" s="24"/>
      <c r="G86" s="24"/>
      <c r="H86" s="7" t="s">
        <v>288</v>
      </c>
      <c r="I86" s="7"/>
      <c r="J86" s="7">
        <v>433</v>
      </c>
      <c r="K86" s="7">
        <f t="shared" si="236"/>
        <v>381</v>
      </c>
      <c r="L86" s="7">
        <f t="shared" si="148"/>
        <v>252</v>
      </c>
      <c r="M86" s="7">
        <v>28</v>
      </c>
      <c r="N86" s="7">
        <v>36</v>
      </c>
      <c r="O86" s="7">
        <f t="shared" si="171"/>
        <v>10.583333333333334</v>
      </c>
      <c r="P86" s="7">
        <v>7</v>
      </c>
      <c r="Q86" s="7">
        <f t="shared" si="235"/>
        <v>215.89999999999998</v>
      </c>
      <c r="R86" s="7"/>
      <c r="S86" s="7">
        <f t="shared" si="237"/>
        <v>89.949999999999989</v>
      </c>
      <c r="T86" s="7"/>
      <c r="U86" s="7">
        <f t="shared" si="150"/>
        <v>50.8</v>
      </c>
      <c r="V86" s="7"/>
      <c r="W86" s="7">
        <v>0</v>
      </c>
      <c r="X86" s="7">
        <v>1</v>
      </c>
      <c r="Y86" s="7"/>
      <c r="Z86" s="7"/>
      <c r="AA86" s="7">
        <f t="shared" si="151"/>
        <v>83.6</v>
      </c>
      <c r="AB86" s="7">
        <f t="shared" si="238"/>
        <v>2.822222222222222</v>
      </c>
      <c r="AC86" s="7">
        <f t="shared" si="152"/>
        <v>2.9986111111111109</v>
      </c>
      <c r="AD86" s="7">
        <v>4.13</v>
      </c>
      <c r="AE86" s="7">
        <f t="shared" si="172"/>
        <v>4.13</v>
      </c>
      <c r="AF86" s="7">
        <f t="shared" si="239"/>
        <v>5.13</v>
      </c>
      <c r="AG86" s="7">
        <f t="shared" si="240"/>
        <v>81.538211900924097</v>
      </c>
      <c r="AH86" s="7"/>
      <c r="AI86" s="7"/>
      <c r="AJ86" s="7">
        <v>393</v>
      </c>
      <c r="AK86" s="7"/>
      <c r="AL86" s="7"/>
      <c r="AM86" s="7">
        <v>0</v>
      </c>
      <c r="AN86" s="7">
        <v>0</v>
      </c>
      <c r="AO86" s="7">
        <f t="shared" si="153"/>
        <v>252</v>
      </c>
      <c r="AP86" s="7"/>
      <c r="AQ86" s="7"/>
      <c r="AR86" s="7"/>
      <c r="AS86" s="4">
        <f t="shared" si="125"/>
        <v>381</v>
      </c>
      <c r="AT86" s="44">
        <f t="shared" si="154"/>
        <v>8.3950617283950604E-2</v>
      </c>
      <c r="AU86" s="25">
        <f t="shared" si="241"/>
        <v>386.60867631208708</v>
      </c>
      <c r="AV86" s="4">
        <f t="shared" si="242"/>
        <v>0.7533333333333333</v>
      </c>
      <c r="AW86" s="4">
        <v>1.25</v>
      </c>
      <c r="AX86" s="25">
        <f t="shared" si="286"/>
        <v>5</v>
      </c>
      <c r="AY86" s="38">
        <f t="shared" si="287"/>
        <v>152.81384098673232</v>
      </c>
      <c r="AZ86" s="38">
        <f t="shared" si="288"/>
        <v>152.81384098673232</v>
      </c>
      <c r="BB86" s="38">
        <f t="shared" si="129"/>
        <v>152.8138409867322</v>
      </c>
      <c r="BC86" s="38">
        <f t="shared" si="243"/>
        <v>1.0000000000000007</v>
      </c>
      <c r="BD86" s="38">
        <f t="shared" si="155"/>
        <v>2.1543458950369176</v>
      </c>
      <c r="BE86" s="4">
        <f t="shared" si="173"/>
        <v>0</v>
      </c>
      <c r="BF86" s="4">
        <f t="shared" si="244"/>
        <v>194.95009660475932</v>
      </c>
      <c r="BG86" s="4">
        <f t="shared" si="223"/>
        <v>1.0249999999999999</v>
      </c>
      <c r="BH86" s="38">
        <f t="shared" si="245"/>
        <v>329.2138710345908</v>
      </c>
      <c r="BI86" s="4">
        <f t="shared" si="224"/>
        <v>0.42180000000000006</v>
      </c>
      <c r="BJ86" s="4">
        <f t="shared" si="246"/>
        <v>42.96514926577121</v>
      </c>
      <c r="BK86" s="4">
        <f t="shared" si="247"/>
        <v>372.17902030036203</v>
      </c>
      <c r="BM86" s="36">
        <f t="shared" si="248"/>
        <v>1.1000000000000001</v>
      </c>
      <c r="BN86" s="36">
        <f t="shared" si="249"/>
        <v>193.24567576015772</v>
      </c>
      <c r="BS86" s="4">
        <f t="shared" si="174"/>
        <v>89.949999999999989</v>
      </c>
      <c r="BT86" s="4">
        <f t="shared" si="175"/>
        <v>83.6</v>
      </c>
      <c r="BU86" s="4">
        <f t="shared" si="176"/>
        <v>89.949999999999989</v>
      </c>
      <c r="BV86" s="4">
        <f t="shared" si="250"/>
        <v>101.6</v>
      </c>
      <c r="BW86" s="4">
        <f t="shared" si="177"/>
        <v>1.0075956937799044</v>
      </c>
      <c r="BX86" s="25">
        <f t="shared" si="251"/>
        <v>2.8436589580010634</v>
      </c>
      <c r="BZ86" s="4">
        <f t="shared" si="178"/>
        <v>89.949999999999989</v>
      </c>
      <c r="CD86" s="9"/>
      <c r="CF86" s="9"/>
      <c r="CG86" s="9"/>
      <c r="CH86" s="9">
        <f t="shared" si="230"/>
        <v>50.8</v>
      </c>
      <c r="CI86" s="9">
        <f t="shared" si="231"/>
        <v>89.949999999999989</v>
      </c>
      <c r="CJ86" s="9">
        <f t="shared" si="252"/>
        <v>1.2941994891728255</v>
      </c>
      <c r="CK86" s="70">
        <v>0</v>
      </c>
      <c r="CL86" s="9">
        <f t="shared" si="253"/>
        <v>0</v>
      </c>
      <c r="CM86" s="9">
        <f t="shared" si="254"/>
        <v>0</v>
      </c>
      <c r="CN86" s="9">
        <f t="shared" si="255"/>
        <v>0.89637813077714179</v>
      </c>
      <c r="CO86" s="9">
        <f t="shared" si="256"/>
        <v>1.1339999999999999</v>
      </c>
      <c r="CP86" s="9">
        <f t="shared" si="257"/>
        <v>1.8825710113593779</v>
      </c>
      <c r="CQ86" s="9">
        <f t="shared" si="258"/>
        <v>2.4364224412328763</v>
      </c>
      <c r="CR86" s="9">
        <v>1</v>
      </c>
      <c r="CS86" s="9">
        <f t="shared" si="259"/>
        <v>214.4051748284931</v>
      </c>
      <c r="CU86" s="4">
        <f t="shared" si="209"/>
        <v>2.015900514257071</v>
      </c>
      <c r="CV86" s="4">
        <f t="shared" si="210"/>
        <v>1.0559434534564434</v>
      </c>
      <c r="CW86" s="4">
        <f t="shared" si="211"/>
        <v>2.0336806940392425</v>
      </c>
      <c r="CX86" s="4">
        <f t="shared" si="212"/>
        <v>1.8329781466999031</v>
      </c>
      <c r="CY86" s="4">
        <f t="shared" si="213"/>
        <v>1.3553432889288257</v>
      </c>
      <c r="CZ86" s="4">
        <f t="shared" si="214"/>
        <v>1.5001260484786865</v>
      </c>
      <c r="DA86" s="4">
        <f t="shared" si="162"/>
        <v>1.6382158700750435</v>
      </c>
      <c r="DC86" s="4">
        <f t="shared" si="215"/>
        <v>2.015900514257071</v>
      </c>
      <c r="DD86" s="4">
        <f t="shared" si="215"/>
        <v>1.0559434534564434</v>
      </c>
      <c r="DE86" s="4">
        <f t="shared" si="216"/>
        <v>1.8329781466999031</v>
      </c>
      <c r="DF86" s="4">
        <f t="shared" si="217"/>
        <v>1.6382158700750435</v>
      </c>
      <c r="DG86" s="4">
        <f t="shared" si="218"/>
        <v>1.3553432889288257</v>
      </c>
      <c r="DH86" s="4">
        <f t="shared" si="218"/>
        <v>1.5001260484786865</v>
      </c>
      <c r="DP86" s="4">
        <f t="shared" si="182"/>
        <v>0</v>
      </c>
      <c r="DQ86" s="4">
        <f t="shared" si="260"/>
        <v>381</v>
      </c>
      <c r="DR86" s="4">
        <f t="shared" si="261"/>
        <v>0.66141732283464572</v>
      </c>
      <c r="DT86" s="4">
        <f t="shared" si="262"/>
        <v>1.8628104182055264E-5</v>
      </c>
      <c r="DU86" s="4">
        <f t="shared" si="183"/>
        <v>6.0161976170308948</v>
      </c>
      <c r="DV86" s="4">
        <f t="shared" si="289"/>
        <v>0.4192592652284054</v>
      </c>
      <c r="DW86" s="4">
        <f t="shared" si="263"/>
        <v>4.2492781569476614</v>
      </c>
      <c r="DX86" s="4">
        <f t="shared" si="264"/>
        <v>5.2084323712436884</v>
      </c>
      <c r="DY86" s="4">
        <f t="shared" si="265"/>
        <v>5.6399318008403121</v>
      </c>
      <c r="DZ86" s="38">
        <f t="shared" si="266"/>
        <v>289.96343820066528</v>
      </c>
      <c r="EA86" s="4">
        <f t="shared" si="267"/>
        <v>1.0001753673247638</v>
      </c>
      <c r="EB86" s="4">
        <f t="shared" si="290"/>
        <v>2.2649503305812249</v>
      </c>
      <c r="EC86" s="4">
        <f t="shared" si="291"/>
        <v>152.8138409867322</v>
      </c>
      <c r="EG86" s="4">
        <f t="shared" si="268"/>
        <v>0.85</v>
      </c>
      <c r="EH86" s="4">
        <f t="shared" si="269"/>
        <v>0.85013888888888889</v>
      </c>
      <c r="EI86" s="4">
        <f t="shared" si="270"/>
        <v>1</v>
      </c>
      <c r="EJ86" s="4">
        <f t="shared" si="271"/>
        <v>0.85013888888888889</v>
      </c>
      <c r="EL86" s="4">
        <f t="shared" si="272"/>
        <v>261.97798538232882</v>
      </c>
      <c r="EM86" s="25">
        <f t="shared" si="273"/>
        <v>150.18137322121927</v>
      </c>
      <c r="EO86" s="4">
        <f t="shared" si="168"/>
        <v>0.72261805555555558</v>
      </c>
      <c r="EP86" s="4">
        <f t="shared" si="274"/>
        <v>6.0161976170308948</v>
      </c>
      <c r="EQ86" s="4">
        <f t="shared" si="275"/>
        <v>4.9450239957683877</v>
      </c>
      <c r="ES86" s="4">
        <f t="shared" si="276"/>
        <v>81.538211900924097</v>
      </c>
      <c r="ET86" s="4">
        <f t="shared" si="184"/>
        <v>2.2649503305812249</v>
      </c>
      <c r="EU86" s="4">
        <f t="shared" si="277"/>
        <v>0.12131009698641951</v>
      </c>
      <c r="EX86" s="4">
        <f t="shared" si="185"/>
        <v>0.12131009698641951</v>
      </c>
      <c r="EY86" s="4">
        <f t="shared" si="278"/>
        <v>0.4185595996540441</v>
      </c>
      <c r="EZ86" s="4">
        <f t="shared" si="186"/>
        <v>4.2464402342902972</v>
      </c>
      <c r="FA86" s="4">
        <f t="shared" si="232"/>
        <v>5.2072764835268703</v>
      </c>
      <c r="FB86" s="4">
        <f t="shared" si="188"/>
        <v>204.2117880990759</v>
      </c>
      <c r="FC86" s="4">
        <f t="shared" si="189"/>
        <v>95.249999999999972</v>
      </c>
      <c r="FD86" s="4">
        <f t="shared" si="279"/>
        <v>1.8628104182055258E-5</v>
      </c>
      <c r="FE86" s="4">
        <f t="shared" si="233"/>
        <v>5.6400354676909252</v>
      </c>
      <c r="FF86" s="4">
        <f t="shared" si="280"/>
        <v>289.91259700411337</v>
      </c>
      <c r="FG86" s="4">
        <f t="shared" si="191"/>
        <v>170.46178809907593</v>
      </c>
      <c r="FH86" s="4">
        <f t="shared" si="192"/>
        <v>0</v>
      </c>
      <c r="FJ86" s="4">
        <f t="shared" si="281"/>
        <v>79.217662179621357</v>
      </c>
      <c r="FO86" s="23">
        <f t="shared" si="219"/>
        <v>2.2000000000000002</v>
      </c>
      <c r="FP86" s="23">
        <f t="shared" si="219"/>
        <v>1.2</v>
      </c>
      <c r="FQ86" s="23">
        <f t="shared" si="229"/>
        <v>1.8</v>
      </c>
      <c r="FR86" s="23">
        <f t="shared" si="220"/>
        <v>2</v>
      </c>
      <c r="FS86" s="23">
        <f t="shared" si="220"/>
        <v>1.4</v>
      </c>
      <c r="FT86" s="23">
        <f t="shared" si="220"/>
        <v>1.6</v>
      </c>
      <c r="FU86" s="23">
        <f t="shared" si="221"/>
        <v>0</v>
      </c>
      <c r="FV86" s="23"/>
      <c r="GF86" s="4">
        <f t="shared" si="282"/>
        <v>1</v>
      </c>
      <c r="GG86" s="4">
        <f t="shared" si="283"/>
        <v>0.85000000000000009</v>
      </c>
      <c r="GH86" s="4">
        <f t="shared" si="284"/>
        <v>0</v>
      </c>
      <c r="GI86" s="4">
        <f t="shared" si="285"/>
        <v>239.89512443314166</v>
      </c>
    </row>
    <row r="87" spans="1:192" ht="12" hidden="1" customHeight="1" x14ac:dyDescent="0.3">
      <c r="A87" s="25">
        <v>68</v>
      </c>
      <c r="B87" s="20" t="s">
        <v>54</v>
      </c>
      <c r="C87" s="20">
        <v>2006</v>
      </c>
      <c r="D87" s="24" t="s">
        <v>55</v>
      </c>
      <c r="E87" s="24"/>
      <c r="F87" s="24"/>
      <c r="G87" s="24"/>
      <c r="H87" s="7" t="s">
        <v>282</v>
      </c>
      <c r="I87" s="7"/>
      <c r="J87" s="7">
        <v>433</v>
      </c>
      <c r="K87" s="7">
        <f t="shared" si="236"/>
        <v>381</v>
      </c>
      <c r="L87" s="7">
        <f t="shared" si="148"/>
        <v>252</v>
      </c>
      <c r="M87" s="7">
        <v>28</v>
      </c>
      <c r="N87" s="7">
        <v>36</v>
      </c>
      <c r="O87" s="7">
        <f t="shared" si="171"/>
        <v>10.583333333333334</v>
      </c>
      <c r="P87" s="7">
        <v>7</v>
      </c>
      <c r="Q87" s="7">
        <f t="shared" si="235"/>
        <v>215.89999999999998</v>
      </c>
      <c r="R87" s="7"/>
      <c r="S87" s="7">
        <f t="shared" si="237"/>
        <v>89.949999999999989</v>
      </c>
      <c r="T87" s="7"/>
      <c r="U87" s="7">
        <f t="shared" si="150"/>
        <v>50.8</v>
      </c>
      <c r="V87" s="7"/>
      <c r="W87" s="7">
        <v>0</v>
      </c>
      <c r="X87" s="7">
        <v>1</v>
      </c>
      <c r="Y87" s="7"/>
      <c r="Z87" s="7"/>
      <c r="AA87" s="7">
        <f t="shared" si="151"/>
        <v>83.6</v>
      </c>
      <c r="AB87" s="7">
        <f t="shared" si="238"/>
        <v>2.822222222222222</v>
      </c>
      <c r="AC87" s="7">
        <f t="shared" si="152"/>
        <v>2.9986111111111109</v>
      </c>
      <c r="AD87" s="7">
        <v>4.7699999999999996</v>
      </c>
      <c r="AE87" s="7">
        <f t="shared" si="172"/>
        <v>4.7699999999999996</v>
      </c>
      <c r="AF87" s="7">
        <f t="shared" si="239"/>
        <v>5.77</v>
      </c>
      <c r="AG87" s="7">
        <f t="shared" si="240"/>
        <v>86.474967476143064</v>
      </c>
      <c r="AH87" s="7"/>
      <c r="AI87" s="7"/>
      <c r="AJ87" s="7">
        <v>392</v>
      </c>
      <c r="AK87" s="7"/>
      <c r="AL87" s="7"/>
      <c r="AM87" s="7">
        <v>0</v>
      </c>
      <c r="AN87" s="7">
        <v>0</v>
      </c>
      <c r="AO87" s="7">
        <f t="shared" si="153"/>
        <v>252</v>
      </c>
      <c r="AP87" s="7"/>
      <c r="AQ87" s="7"/>
      <c r="AR87" s="7"/>
      <c r="AS87" s="4">
        <f t="shared" ref="AS87:AS150" si="292">K87</f>
        <v>381</v>
      </c>
      <c r="AT87" s="44">
        <f t="shared" si="154"/>
        <v>8.3950617283950604E-2</v>
      </c>
      <c r="AU87" s="25">
        <f t="shared" si="241"/>
        <v>386.60867631208708</v>
      </c>
      <c r="AV87" s="4">
        <f t="shared" si="242"/>
        <v>0.7533333333333333</v>
      </c>
      <c r="AW87" s="4">
        <v>1.25</v>
      </c>
      <c r="AX87" s="25">
        <f t="shared" si="286"/>
        <v>5</v>
      </c>
      <c r="AY87" s="38">
        <f t="shared" si="287"/>
        <v>152.81384098673232</v>
      </c>
      <c r="AZ87" s="38">
        <f t="shared" si="288"/>
        <v>152.81384098673232</v>
      </c>
      <c r="BB87" s="38">
        <f t="shared" si="129"/>
        <v>152.8138409867322</v>
      </c>
      <c r="BC87" s="38">
        <f t="shared" si="243"/>
        <v>1.0000000000000007</v>
      </c>
      <c r="BD87" s="38">
        <f t="shared" si="155"/>
        <v>2.3152590859656867</v>
      </c>
      <c r="BE87" s="4">
        <f t="shared" si="173"/>
        <v>0</v>
      </c>
      <c r="BF87" s="4">
        <f t="shared" si="244"/>
        <v>194.95009660475932</v>
      </c>
      <c r="BG87" s="4">
        <f t="shared" si="223"/>
        <v>1.0249999999999999</v>
      </c>
      <c r="BH87" s="38">
        <f t="shared" si="245"/>
        <v>353.80363380584743</v>
      </c>
      <c r="BI87" s="4">
        <f t="shared" si="224"/>
        <v>0.33220000000000005</v>
      </c>
      <c r="BJ87" s="4">
        <f t="shared" si="246"/>
        <v>33.838365543122805</v>
      </c>
      <c r="BK87" s="4">
        <f t="shared" si="247"/>
        <v>387.64199934897022</v>
      </c>
      <c r="BM87" s="36">
        <f t="shared" si="248"/>
        <v>1.1000000000000001</v>
      </c>
      <c r="BN87" s="36">
        <f t="shared" si="249"/>
        <v>193.24567576015772</v>
      </c>
      <c r="BS87" s="4">
        <f t="shared" si="174"/>
        <v>89.949999999999989</v>
      </c>
      <c r="BT87" s="4">
        <f t="shared" si="175"/>
        <v>83.6</v>
      </c>
      <c r="BU87" s="4">
        <f t="shared" si="176"/>
        <v>89.949999999999989</v>
      </c>
      <c r="BV87" s="4">
        <f t="shared" si="250"/>
        <v>101.6</v>
      </c>
      <c r="BW87" s="4">
        <f t="shared" si="177"/>
        <v>1.0075956937799044</v>
      </c>
      <c r="BX87" s="25">
        <f t="shared" si="251"/>
        <v>2.8436589580010634</v>
      </c>
      <c r="BZ87" s="4">
        <f t="shared" si="178"/>
        <v>89.949999999999989</v>
      </c>
      <c r="CD87" s="9"/>
      <c r="CF87" s="9"/>
      <c r="CG87" s="9"/>
      <c r="CH87" s="9">
        <f t="shared" si="230"/>
        <v>50.8</v>
      </c>
      <c r="CI87" s="9">
        <f t="shared" si="231"/>
        <v>89.949999999999989</v>
      </c>
      <c r="CJ87" s="9">
        <f t="shared" si="252"/>
        <v>1.2941994891728255</v>
      </c>
      <c r="CK87" s="70">
        <v>0</v>
      </c>
      <c r="CL87" s="9">
        <f t="shared" si="253"/>
        <v>0</v>
      </c>
      <c r="CM87" s="9">
        <f t="shared" si="254"/>
        <v>0</v>
      </c>
      <c r="CN87" s="9">
        <f t="shared" si="255"/>
        <v>0.89637813077714179</v>
      </c>
      <c r="CO87" s="9">
        <f t="shared" si="256"/>
        <v>1.1339999999999999</v>
      </c>
      <c r="CP87" s="9">
        <f t="shared" si="257"/>
        <v>1.8825710113593779</v>
      </c>
      <c r="CQ87" s="9">
        <f t="shared" si="258"/>
        <v>2.4364224412328763</v>
      </c>
      <c r="CR87" s="9">
        <v>1</v>
      </c>
      <c r="CS87" s="9">
        <f t="shared" si="259"/>
        <v>214.4051748284931</v>
      </c>
      <c r="CU87" s="4">
        <f t="shared" si="209"/>
        <v>2.0107709964090885</v>
      </c>
      <c r="CV87" s="4">
        <f t="shared" si="210"/>
        <v>1.0112423335406093</v>
      </c>
      <c r="CW87" s="4">
        <f t="shared" si="211"/>
        <v>2.0285059340035194</v>
      </c>
      <c r="CX87" s="4">
        <f t="shared" si="212"/>
        <v>1.82831408016886</v>
      </c>
      <c r="CY87" s="4">
        <f t="shared" si="213"/>
        <v>1.3657953537061176</v>
      </c>
      <c r="CZ87" s="4">
        <f t="shared" si="214"/>
        <v>1.4954634150959114</v>
      </c>
      <c r="DA87" s="4">
        <f t="shared" si="162"/>
        <v>1.6340473818560231</v>
      </c>
      <c r="DC87" s="4">
        <f t="shared" si="215"/>
        <v>2.0107709964090885</v>
      </c>
      <c r="DD87" s="4">
        <f t="shared" si="215"/>
        <v>1.0112423335406093</v>
      </c>
      <c r="DE87" s="4">
        <f t="shared" si="216"/>
        <v>1.82831408016886</v>
      </c>
      <c r="DF87" s="4">
        <f t="shared" si="217"/>
        <v>1.6340473818560231</v>
      </c>
      <c r="DG87" s="4">
        <f>CY87</f>
        <v>1.3657953537061176</v>
      </c>
      <c r="DH87" s="4">
        <f t="shared" si="218"/>
        <v>1.4954634150959114</v>
      </c>
      <c r="DP87" s="4">
        <f t="shared" si="182"/>
        <v>0</v>
      </c>
      <c r="DQ87" s="4">
        <f t="shared" si="260"/>
        <v>381</v>
      </c>
      <c r="DR87" s="4">
        <f t="shared" si="261"/>
        <v>0.66141732283464572</v>
      </c>
      <c r="DT87" s="4">
        <f t="shared" si="262"/>
        <v>1.8628104182055264E-5</v>
      </c>
      <c r="DU87" s="4">
        <f t="shared" si="183"/>
        <v>6.0161976170308948</v>
      </c>
      <c r="DV87" s="4">
        <f t="shared" si="289"/>
        <v>0.38498478450152734</v>
      </c>
      <c r="DW87" s="4">
        <f t="shared" si="263"/>
        <v>4.1067618551540557</v>
      </c>
      <c r="DX87" s="4">
        <f t="shared" si="264"/>
        <v>5.1510418853512236</v>
      </c>
      <c r="DY87" s="4">
        <f t="shared" si="265"/>
        <v>5.6462513861654875</v>
      </c>
      <c r="DZ87" s="38">
        <f t="shared" si="266"/>
        <v>287.01225182550144</v>
      </c>
      <c r="EA87" s="4">
        <f t="shared" si="267"/>
        <v>1.0001723108511535</v>
      </c>
      <c r="EB87" s="4">
        <f t="shared" si="290"/>
        <v>2.4020824298928627</v>
      </c>
      <c r="EC87" s="4">
        <f t="shared" si="291"/>
        <v>152.8138409867322</v>
      </c>
      <c r="EG87" s="4">
        <f t="shared" si="268"/>
        <v>0.85</v>
      </c>
      <c r="EH87" s="4">
        <f t="shared" si="269"/>
        <v>0.85013888888888889</v>
      </c>
      <c r="EI87" s="4">
        <f t="shared" si="270"/>
        <v>1</v>
      </c>
      <c r="EJ87" s="4">
        <f t="shared" si="271"/>
        <v>0.85013888888888889</v>
      </c>
      <c r="EL87" s="4">
        <f t="shared" si="272"/>
        <v>262.12610488693173</v>
      </c>
      <c r="EM87" s="25">
        <f t="shared" si="273"/>
        <v>150.18137322121927</v>
      </c>
      <c r="EO87" s="4">
        <f t="shared" si="168"/>
        <v>0.72261805555555558</v>
      </c>
      <c r="EP87" s="4">
        <f t="shared" si="274"/>
        <v>6.0161976170308948</v>
      </c>
      <c r="EQ87" s="4">
        <f t="shared" si="275"/>
        <v>4.9450239957683877</v>
      </c>
      <c r="ES87" s="4">
        <f t="shared" si="276"/>
        <v>86.474967476143064</v>
      </c>
      <c r="ET87" s="4">
        <f t="shared" si="184"/>
        <v>2.4020824298928627</v>
      </c>
      <c r="EU87" s="4">
        <f t="shared" si="277"/>
        <v>0.11139298620087341</v>
      </c>
      <c r="EX87" s="4">
        <f t="shared" si="185"/>
        <v>0.11139298620087341</v>
      </c>
      <c r="EY87" s="4">
        <f t="shared" si="278"/>
        <v>0.38434231664760432</v>
      </c>
      <c r="EZ87" s="4">
        <f t="shared" si="186"/>
        <v>4.1040191134255366</v>
      </c>
      <c r="FA87" s="4">
        <f t="shared" si="232"/>
        <v>5.1499506989945818</v>
      </c>
      <c r="FB87" s="4">
        <f t="shared" si="188"/>
        <v>199.27503252385694</v>
      </c>
      <c r="FC87" s="4">
        <f t="shared" si="189"/>
        <v>95.249999999999972</v>
      </c>
      <c r="FD87" s="4">
        <f t="shared" si="279"/>
        <v>1.8628104182055258E-5</v>
      </c>
      <c r="FE87" s="4">
        <f t="shared" si="233"/>
        <v>5.646352209806822</v>
      </c>
      <c r="FF87" s="4">
        <f t="shared" si="280"/>
        <v>286.96280502031897</v>
      </c>
      <c r="FG87" s="4">
        <f t="shared" si="191"/>
        <v>165.52503252385696</v>
      </c>
      <c r="FH87" s="4">
        <f t="shared" si="192"/>
        <v>0</v>
      </c>
      <c r="FJ87" s="4">
        <f t="shared" si="281"/>
        <v>79.069542675018454</v>
      </c>
      <c r="FO87" s="23">
        <f t="shared" si="219"/>
        <v>2.2000000000000002</v>
      </c>
      <c r="FP87" s="23">
        <f t="shared" si="219"/>
        <v>1.2</v>
      </c>
      <c r="FQ87" s="23">
        <f t="shared" si="229"/>
        <v>1.8</v>
      </c>
      <c r="FR87" s="23">
        <f t="shared" si="220"/>
        <v>2</v>
      </c>
      <c r="FS87" s="23">
        <f t="shared" si="220"/>
        <v>1.4</v>
      </c>
      <c r="FT87" s="23">
        <f t="shared" si="220"/>
        <v>1.6</v>
      </c>
      <c r="FU87" s="23">
        <f t="shared" si="221"/>
        <v>0</v>
      </c>
      <c r="FV87" s="23"/>
      <c r="GF87" s="4">
        <f t="shared" si="282"/>
        <v>1</v>
      </c>
      <c r="GG87" s="4">
        <f t="shared" si="283"/>
        <v>0.85000000000000009</v>
      </c>
      <c r="GH87" s="4">
        <f t="shared" si="284"/>
        <v>0</v>
      </c>
      <c r="GI87" s="4">
        <f t="shared" si="285"/>
        <v>239.89512443314166</v>
      </c>
    </row>
    <row r="88" spans="1:192" ht="12" hidden="1" customHeight="1" x14ac:dyDescent="0.3">
      <c r="A88" s="25">
        <v>69</v>
      </c>
      <c r="B88" s="20" t="s">
        <v>54</v>
      </c>
      <c r="C88" s="20">
        <v>2006</v>
      </c>
      <c r="D88" s="24" t="s">
        <v>55</v>
      </c>
      <c r="E88" s="24"/>
      <c r="F88" s="24"/>
      <c r="G88" s="24"/>
      <c r="H88" s="7" t="s">
        <v>70</v>
      </c>
      <c r="I88" s="7"/>
      <c r="J88" s="7">
        <v>433</v>
      </c>
      <c r="K88" s="7">
        <f t="shared" si="236"/>
        <v>381</v>
      </c>
      <c r="L88" s="7">
        <f t="shared" si="148"/>
        <v>252</v>
      </c>
      <c r="M88" s="7">
        <v>28</v>
      </c>
      <c r="N88" s="7">
        <v>36</v>
      </c>
      <c r="O88" s="7">
        <f t="shared" si="171"/>
        <v>10.583333333333334</v>
      </c>
      <c r="P88" s="7">
        <v>7</v>
      </c>
      <c r="Q88" s="7">
        <f t="shared" si="235"/>
        <v>215.89999999999998</v>
      </c>
      <c r="R88" s="7"/>
      <c r="S88" s="7">
        <f t="shared" si="237"/>
        <v>89.949999999999989</v>
      </c>
      <c r="T88" s="7"/>
      <c r="U88" s="7">
        <f t="shared" si="150"/>
        <v>50.8</v>
      </c>
      <c r="V88" s="7"/>
      <c r="W88" s="7">
        <v>0</v>
      </c>
      <c r="X88" s="7">
        <v>1</v>
      </c>
      <c r="Y88" s="7"/>
      <c r="Z88" s="7"/>
      <c r="AA88" s="7">
        <f t="shared" si="151"/>
        <v>83.6</v>
      </c>
      <c r="AB88" s="7">
        <f t="shared" si="238"/>
        <v>2.822222222222222</v>
      </c>
      <c r="AC88" s="7">
        <f t="shared" si="152"/>
        <v>2.9986111111111109</v>
      </c>
      <c r="AD88" s="7">
        <v>6.69</v>
      </c>
      <c r="AE88" s="7">
        <f t="shared" si="172"/>
        <v>6.69</v>
      </c>
      <c r="AF88" s="7">
        <f t="shared" si="239"/>
        <v>7.69</v>
      </c>
      <c r="AG88" s="7">
        <f t="shared" si="240"/>
        <v>99.831057291806744</v>
      </c>
      <c r="AH88" s="7"/>
      <c r="AI88" s="7"/>
      <c r="AJ88" s="7">
        <v>433</v>
      </c>
      <c r="AK88" s="7"/>
      <c r="AL88" s="7"/>
      <c r="AM88" s="7">
        <v>0</v>
      </c>
      <c r="AN88" s="7">
        <v>0</v>
      </c>
      <c r="AO88" s="7">
        <f t="shared" si="153"/>
        <v>252</v>
      </c>
      <c r="AP88" s="7"/>
      <c r="AQ88" s="7"/>
      <c r="AR88" s="7"/>
      <c r="AS88" s="4">
        <f t="shared" si="292"/>
        <v>381</v>
      </c>
      <c r="AT88" s="44">
        <f t="shared" si="154"/>
        <v>8.3950617283950604E-2</v>
      </c>
      <c r="AU88" s="25">
        <f t="shared" si="241"/>
        <v>386.60867631208708</v>
      </c>
      <c r="AV88" s="4">
        <f t="shared" si="242"/>
        <v>0.7533333333333333</v>
      </c>
      <c r="AW88" s="4">
        <v>1.25</v>
      </c>
      <c r="AX88" s="25">
        <f t="shared" si="286"/>
        <v>5</v>
      </c>
      <c r="AY88" s="38">
        <f t="shared" si="287"/>
        <v>152.81384098673232</v>
      </c>
      <c r="AZ88" s="38">
        <f t="shared" si="288"/>
        <v>152.81384098673232</v>
      </c>
      <c r="BB88" s="38">
        <f t="shared" si="129"/>
        <v>152.8138409867322</v>
      </c>
      <c r="BC88" s="38">
        <f t="shared" si="243"/>
        <v>1.0000000000000007</v>
      </c>
      <c r="BD88" s="38">
        <f t="shared" si="155"/>
        <v>2.7419117115982075</v>
      </c>
      <c r="BE88" s="4">
        <f t="shared" si="173"/>
        <v>0</v>
      </c>
      <c r="BF88" s="4">
        <f t="shared" si="244"/>
        <v>194.95009660475932</v>
      </c>
      <c r="BG88" s="4">
        <f t="shared" si="223"/>
        <v>1.0249999999999999</v>
      </c>
      <c r="BH88" s="38">
        <f t="shared" si="245"/>
        <v>419.00206029582722</v>
      </c>
      <c r="BI88" s="4">
        <f t="shared" si="224"/>
        <v>0.3</v>
      </c>
      <c r="BJ88" s="4">
        <f t="shared" si="246"/>
        <v>30.558427642796026</v>
      </c>
      <c r="BK88" s="4">
        <f t="shared" si="247"/>
        <v>449.56048793862323</v>
      </c>
      <c r="BM88" s="36">
        <f t="shared" si="248"/>
        <v>1.1000000000000001</v>
      </c>
      <c r="BN88" s="36">
        <f t="shared" si="249"/>
        <v>193.24567576015772</v>
      </c>
      <c r="BS88" s="4">
        <f t="shared" si="174"/>
        <v>89.949999999999989</v>
      </c>
      <c r="BT88" s="4">
        <f t="shared" si="175"/>
        <v>83.6</v>
      </c>
      <c r="BU88" s="4">
        <f t="shared" si="176"/>
        <v>89.949999999999989</v>
      </c>
      <c r="BV88" s="4">
        <f t="shared" si="250"/>
        <v>101.6</v>
      </c>
      <c r="BW88" s="4">
        <f t="shared" si="177"/>
        <v>1.0075956937799044</v>
      </c>
      <c r="BX88" s="25">
        <f t="shared" si="251"/>
        <v>2.8436589580010634</v>
      </c>
      <c r="BZ88" s="4">
        <f t="shared" si="178"/>
        <v>89.949999999999989</v>
      </c>
      <c r="CD88" s="9"/>
      <c r="CF88" s="9"/>
      <c r="CG88" s="9"/>
      <c r="CH88" s="9">
        <f t="shared" si="230"/>
        <v>50.8</v>
      </c>
      <c r="CI88" s="9">
        <f t="shared" si="231"/>
        <v>89.949999999999989</v>
      </c>
      <c r="CJ88" s="9">
        <f t="shared" si="252"/>
        <v>1.2941994891728255</v>
      </c>
      <c r="CK88" s="70">
        <v>0</v>
      </c>
      <c r="CL88" s="9">
        <f t="shared" si="253"/>
        <v>0</v>
      </c>
      <c r="CM88" s="9">
        <f t="shared" si="254"/>
        <v>0</v>
      </c>
      <c r="CN88" s="9">
        <f t="shared" si="255"/>
        <v>0.89637813077714179</v>
      </c>
      <c r="CO88" s="9">
        <f t="shared" si="256"/>
        <v>1.1339999999999999</v>
      </c>
      <c r="CP88" s="9">
        <f t="shared" si="257"/>
        <v>1.8825710113593779</v>
      </c>
      <c r="CQ88" s="9">
        <f t="shared" si="258"/>
        <v>2.4364224412328763</v>
      </c>
      <c r="CR88" s="9">
        <v>1</v>
      </c>
      <c r="CS88" s="9">
        <f t="shared" si="259"/>
        <v>214.4051748284931</v>
      </c>
      <c r="CU88" s="4">
        <f t="shared" si="209"/>
        <v>2.2210812281763657</v>
      </c>
      <c r="CV88" s="4">
        <f t="shared" si="210"/>
        <v>0.96316293717324164</v>
      </c>
      <c r="CW88" s="4">
        <f t="shared" si="211"/>
        <v>2.2406710954681732</v>
      </c>
      <c r="CX88" s="4">
        <f t="shared" si="212"/>
        <v>2.0195408079416235</v>
      </c>
      <c r="CY88" s="4">
        <f t="shared" si="213"/>
        <v>1.5462310523396727</v>
      </c>
      <c r="CZ88" s="4">
        <f t="shared" si="214"/>
        <v>1.6500544563540349</v>
      </c>
      <c r="DA88" s="4">
        <f t="shared" si="162"/>
        <v>1.8049553988358622</v>
      </c>
      <c r="DC88" s="4">
        <f t="shared" si="215"/>
        <v>2.2210812281763657</v>
      </c>
      <c r="DD88" s="4">
        <f t="shared" si="215"/>
        <v>0.96316293717324164</v>
      </c>
      <c r="DE88" s="4">
        <f t="shared" si="216"/>
        <v>2.0195408079416235</v>
      </c>
      <c r="DF88" s="4">
        <f t="shared" si="217"/>
        <v>1.8049553988358622</v>
      </c>
      <c r="DG88" s="4">
        <f t="shared" si="218"/>
        <v>1.5462310523396727</v>
      </c>
      <c r="DH88" s="4">
        <f t="shared" si="218"/>
        <v>1.6500544563540349</v>
      </c>
      <c r="DP88" s="4">
        <f t="shared" si="182"/>
        <v>0</v>
      </c>
      <c r="DQ88" s="4">
        <f t="shared" si="260"/>
        <v>381</v>
      </c>
      <c r="DR88" s="4">
        <f t="shared" si="261"/>
        <v>0.66141732283464572</v>
      </c>
      <c r="DT88" s="4">
        <f t="shared" si="262"/>
        <v>1.8628104182055264E-5</v>
      </c>
      <c r="DU88" s="4">
        <f t="shared" si="183"/>
        <v>6.0161976170308948</v>
      </c>
      <c r="DV88" s="4">
        <f t="shared" si="289"/>
        <v>0.31689186474065706</v>
      </c>
      <c r="DW88" s="4">
        <f t="shared" si="263"/>
        <v>3.7991507734546111</v>
      </c>
      <c r="DX88" s="4">
        <f t="shared" si="264"/>
        <v>5.0319136852040129</v>
      </c>
      <c r="DY88" s="4">
        <f t="shared" si="265"/>
        <v>5.6610669161628726</v>
      </c>
      <c r="DZ88" s="38">
        <f t="shared" si="266"/>
        <v>280.03576784000552</v>
      </c>
      <c r="EA88" s="4">
        <f t="shared" si="267"/>
        <v>1.0001673396150337</v>
      </c>
      <c r="EB88" s="4">
        <f t="shared" si="290"/>
        <v>2.7730849247724096</v>
      </c>
      <c r="EC88" s="4">
        <f t="shared" si="291"/>
        <v>152.8138409867322</v>
      </c>
      <c r="EG88" s="4">
        <f t="shared" si="268"/>
        <v>0.85</v>
      </c>
      <c r="EH88" s="4">
        <f t="shared" si="269"/>
        <v>0.85013888888888889</v>
      </c>
      <c r="EI88" s="4">
        <f t="shared" si="270"/>
        <v>1</v>
      </c>
      <c r="EJ88" s="4">
        <f t="shared" si="271"/>
        <v>0.85013888888888889</v>
      </c>
      <c r="EL88" s="4">
        <f t="shared" si="272"/>
        <v>262.41558169950224</v>
      </c>
      <c r="EM88" s="25">
        <f t="shared" si="273"/>
        <v>150.18137322121927</v>
      </c>
      <c r="EO88" s="4">
        <f t="shared" si="168"/>
        <v>0.72261805555555558</v>
      </c>
      <c r="EP88" s="4">
        <f t="shared" si="274"/>
        <v>6.0161976170308948</v>
      </c>
      <c r="EQ88" s="4">
        <f t="shared" si="275"/>
        <v>4.9450239957683877</v>
      </c>
      <c r="ES88" s="4">
        <f t="shared" si="276"/>
        <v>99.831057291806744</v>
      </c>
      <c r="ET88" s="4">
        <f t="shared" si="184"/>
        <v>2.7730849247724096</v>
      </c>
      <c r="EU88" s="4">
        <f t="shared" si="277"/>
        <v>9.1690717496615795E-2</v>
      </c>
      <c r="EX88" s="4">
        <f t="shared" si="185"/>
        <v>9.1690717496615795E-2</v>
      </c>
      <c r="EY88" s="4">
        <f t="shared" si="278"/>
        <v>0.31636303127901982</v>
      </c>
      <c r="EZ88" s="4">
        <f t="shared" si="186"/>
        <v>3.796613472844836</v>
      </c>
      <c r="FA88" s="4">
        <f t="shared" si="232"/>
        <v>5.0309590892700076</v>
      </c>
      <c r="FB88" s="4">
        <f t="shared" si="188"/>
        <v>185.91894270819324</v>
      </c>
      <c r="FC88" s="4">
        <f t="shared" si="189"/>
        <v>95.25</v>
      </c>
      <c r="FD88" s="4">
        <f t="shared" si="279"/>
        <v>1.8628104182055264E-5</v>
      </c>
      <c r="FE88" s="4">
        <f t="shared" si="233"/>
        <v>5.6611624514348415</v>
      </c>
      <c r="FF88" s="4">
        <f t="shared" si="280"/>
        <v>279.98891460282221</v>
      </c>
      <c r="FG88" s="4">
        <f t="shared" si="191"/>
        <v>152.1689427081933</v>
      </c>
      <c r="FH88" s="4">
        <f t="shared" si="192"/>
        <v>0</v>
      </c>
      <c r="FJ88" s="4">
        <f t="shared" si="281"/>
        <v>78.780065862447941</v>
      </c>
      <c r="FO88" s="23">
        <f t="shared" si="219"/>
        <v>2.2000000000000002</v>
      </c>
      <c r="FP88" s="23">
        <f t="shared" si="219"/>
        <v>1</v>
      </c>
      <c r="FQ88" s="23">
        <f t="shared" si="229"/>
        <v>2</v>
      </c>
      <c r="FR88" s="23">
        <f t="shared" si="220"/>
        <v>2.2000000000000002</v>
      </c>
      <c r="FS88" s="23">
        <f t="shared" si="220"/>
        <v>1.6</v>
      </c>
      <c r="FT88" s="23">
        <f t="shared" si="220"/>
        <v>1.8</v>
      </c>
      <c r="FU88" s="23">
        <f t="shared" si="221"/>
        <v>0</v>
      </c>
      <c r="FV88" s="23"/>
      <c r="GF88" s="4">
        <f t="shared" si="282"/>
        <v>1</v>
      </c>
      <c r="GG88" s="4">
        <f t="shared" si="283"/>
        <v>0.85000000000000009</v>
      </c>
      <c r="GH88" s="4">
        <f t="shared" si="284"/>
        <v>0</v>
      </c>
      <c r="GI88" s="4">
        <f t="shared" si="285"/>
        <v>239.89512443314166</v>
      </c>
    </row>
    <row r="89" spans="1:192" ht="12" hidden="1" customHeight="1" x14ac:dyDescent="0.3">
      <c r="A89" s="25">
        <v>70</v>
      </c>
      <c r="B89" s="20" t="s">
        <v>54</v>
      </c>
      <c r="C89" s="20">
        <v>2006</v>
      </c>
      <c r="D89" s="24" t="s">
        <v>55</v>
      </c>
      <c r="E89" s="24"/>
      <c r="F89" s="24"/>
      <c r="G89" s="24"/>
      <c r="H89" s="7" t="s">
        <v>71</v>
      </c>
      <c r="I89" s="7"/>
      <c r="J89" s="7">
        <v>433</v>
      </c>
      <c r="K89" s="7">
        <f t="shared" si="236"/>
        <v>381</v>
      </c>
      <c r="L89" s="7">
        <f t="shared" si="148"/>
        <v>252</v>
      </c>
      <c r="M89" s="7">
        <v>28</v>
      </c>
      <c r="N89" s="7">
        <v>36</v>
      </c>
      <c r="O89" s="7">
        <f t="shared" si="171"/>
        <v>10.583333333333334</v>
      </c>
      <c r="P89" s="7">
        <v>7</v>
      </c>
      <c r="Q89" s="7">
        <f t="shared" si="235"/>
        <v>215.89999999999998</v>
      </c>
      <c r="R89" s="7"/>
      <c r="S89" s="7">
        <f t="shared" si="237"/>
        <v>89.949999999999989</v>
      </c>
      <c r="T89" s="7"/>
      <c r="U89" s="7">
        <f t="shared" si="150"/>
        <v>50.8</v>
      </c>
      <c r="V89" s="7"/>
      <c r="W89" s="7">
        <v>0</v>
      </c>
      <c r="X89" s="7">
        <v>1</v>
      </c>
      <c r="Y89" s="7"/>
      <c r="Z89" s="7"/>
      <c r="AA89" s="7">
        <f t="shared" si="151"/>
        <v>83.6</v>
      </c>
      <c r="AB89" s="7">
        <f t="shared" si="238"/>
        <v>2.822222222222222</v>
      </c>
      <c r="AC89" s="7">
        <f t="shared" si="152"/>
        <v>2.9986111111111109</v>
      </c>
      <c r="AD89" s="7">
        <v>6.69</v>
      </c>
      <c r="AE89" s="7">
        <f t="shared" si="172"/>
        <v>6.69</v>
      </c>
      <c r="AF89" s="7">
        <f t="shared" si="239"/>
        <v>7.69</v>
      </c>
      <c r="AG89" s="7">
        <f t="shared" si="240"/>
        <v>99.831057291806744</v>
      </c>
      <c r="AH89" s="7"/>
      <c r="AI89" s="7"/>
      <c r="AJ89" s="7">
        <v>433</v>
      </c>
      <c r="AK89" s="7"/>
      <c r="AL89" s="7"/>
      <c r="AM89" s="7">
        <v>0</v>
      </c>
      <c r="AN89" s="7">
        <v>0</v>
      </c>
      <c r="AO89" s="7">
        <f t="shared" si="153"/>
        <v>252</v>
      </c>
      <c r="AP89" s="7"/>
      <c r="AQ89" s="7"/>
      <c r="AR89" s="7"/>
      <c r="AS89" s="4">
        <f t="shared" si="292"/>
        <v>381</v>
      </c>
      <c r="AT89" s="44">
        <f t="shared" si="154"/>
        <v>8.3950617283950604E-2</v>
      </c>
      <c r="AU89" s="25">
        <f t="shared" si="241"/>
        <v>386.60867631208708</v>
      </c>
      <c r="AV89" s="4">
        <f t="shared" si="242"/>
        <v>0.7533333333333333</v>
      </c>
      <c r="AW89" s="4">
        <v>1.25</v>
      </c>
      <c r="AX89" s="25">
        <f t="shared" si="286"/>
        <v>5</v>
      </c>
      <c r="AY89" s="38">
        <f t="shared" si="287"/>
        <v>152.81384098673232</v>
      </c>
      <c r="AZ89" s="38">
        <f t="shared" si="288"/>
        <v>152.81384098673232</v>
      </c>
      <c r="BB89" s="38">
        <f t="shared" si="129"/>
        <v>152.8138409867322</v>
      </c>
      <c r="BC89" s="38">
        <f t="shared" si="243"/>
        <v>1.0000000000000007</v>
      </c>
      <c r="BD89" s="38">
        <f t="shared" si="155"/>
        <v>2.7419117115982075</v>
      </c>
      <c r="BE89" s="4">
        <f t="shared" si="173"/>
        <v>0</v>
      </c>
      <c r="BF89" s="4">
        <f t="shared" si="244"/>
        <v>194.95009660475932</v>
      </c>
      <c r="BG89" s="4">
        <f t="shared" si="223"/>
        <v>1.0249999999999999</v>
      </c>
      <c r="BH89" s="38">
        <f t="shared" si="245"/>
        <v>419.00206029582722</v>
      </c>
      <c r="BI89" s="4">
        <f t="shared" si="224"/>
        <v>0.3</v>
      </c>
      <c r="BJ89" s="4">
        <f t="shared" si="246"/>
        <v>30.558427642796026</v>
      </c>
      <c r="BK89" s="4">
        <f t="shared" si="247"/>
        <v>449.56048793862323</v>
      </c>
      <c r="BM89" s="36">
        <f t="shared" si="248"/>
        <v>1.1000000000000001</v>
      </c>
      <c r="BN89" s="36">
        <f t="shared" si="249"/>
        <v>193.24567576015772</v>
      </c>
      <c r="BS89" s="4">
        <f t="shared" si="174"/>
        <v>89.949999999999989</v>
      </c>
      <c r="BT89" s="4">
        <f t="shared" si="175"/>
        <v>83.6</v>
      </c>
      <c r="BU89" s="4">
        <f t="shared" si="176"/>
        <v>89.949999999999989</v>
      </c>
      <c r="BV89" s="4">
        <f t="shared" si="250"/>
        <v>101.6</v>
      </c>
      <c r="BW89" s="4">
        <f t="shared" si="177"/>
        <v>1.0075956937799044</v>
      </c>
      <c r="BX89" s="25">
        <f t="shared" si="251"/>
        <v>2.8436589580010634</v>
      </c>
      <c r="BZ89" s="4">
        <f t="shared" si="178"/>
        <v>89.949999999999989</v>
      </c>
      <c r="CD89" s="9"/>
      <c r="CF89" s="9"/>
      <c r="CG89" s="9"/>
      <c r="CH89" s="9">
        <f t="shared" si="230"/>
        <v>50.8</v>
      </c>
      <c r="CI89" s="9">
        <f t="shared" si="231"/>
        <v>89.949999999999989</v>
      </c>
      <c r="CJ89" s="9">
        <f t="shared" si="252"/>
        <v>1.2941994891728255</v>
      </c>
      <c r="CK89" s="70">
        <v>0</v>
      </c>
      <c r="CL89" s="9">
        <f t="shared" si="253"/>
        <v>0</v>
      </c>
      <c r="CM89" s="9">
        <f t="shared" si="254"/>
        <v>0</v>
      </c>
      <c r="CN89" s="9">
        <f t="shared" si="255"/>
        <v>0.89637813077714179</v>
      </c>
      <c r="CO89" s="9">
        <f t="shared" si="256"/>
        <v>1.1339999999999999</v>
      </c>
      <c r="CP89" s="9">
        <f t="shared" si="257"/>
        <v>1.8825710113593779</v>
      </c>
      <c r="CQ89" s="9">
        <f t="shared" si="258"/>
        <v>2.4364224412328763</v>
      </c>
      <c r="CR89" s="9">
        <v>1</v>
      </c>
      <c r="CS89" s="9">
        <f t="shared" si="259"/>
        <v>214.4051748284931</v>
      </c>
      <c r="CU89" s="4">
        <f t="shared" si="209"/>
        <v>2.2210812281763657</v>
      </c>
      <c r="CV89" s="4">
        <f t="shared" si="210"/>
        <v>0.96316293717324164</v>
      </c>
      <c r="CW89" s="4">
        <f t="shared" si="211"/>
        <v>2.2406710954681732</v>
      </c>
      <c r="CX89" s="4">
        <f t="shared" si="212"/>
        <v>2.0195408079416235</v>
      </c>
      <c r="CY89" s="4">
        <f t="shared" si="213"/>
        <v>1.5462310523396727</v>
      </c>
      <c r="CZ89" s="4">
        <f t="shared" si="214"/>
        <v>1.6500544563540349</v>
      </c>
      <c r="DA89" s="4">
        <f t="shared" si="162"/>
        <v>1.8049553988358622</v>
      </c>
      <c r="DC89" s="4">
        <f t="shared" si="215"/>
        <v>2.2210812281763657</v>
      </c>
      <c r="DD89" s="4">
        <f t="shared" si="215"/>
        <v>0.96316293717324164</v>
      </c>
      <c r="DE89" s="4">
        <f t="shared" si="216"/>
        <v>2.0195408079416235</v>
      </c>
      <c r="DF89" s="4">
        <f t="shared" si="217"/>
        <v>1.8049553988358622</v>
      </c>
      <c r="DG89" s="4">
        <f t="shared" si="218"/>
        <v>1.5462310523396727</v>
      </c>
      <c r="DH89" s="4">
        <f t="shared" si="218"/>
        <v>1.6500544563540349</v>
      </c>
      <c r="DP89" s="4">
        <f t="shared" si="182"/>
        <v>0</v>
      </c>
      <c r="DQ89" s="4">
        <f t="shared" si="260"/>
        <v>381</v>
      </c>
      <c r="DR89" s="4">
        <f t="shared" si="261"/>
        <v>0.66141732283464572</v>
      </c>
      <c r="DT89" s="4">
        <f t="shared" si="262"/>
        <v>1.8628104182055264E-5</v>
      </c>
      <c r="DU89" s="4">
        <f t="shared" si="183"/>
        <v>6.0161976170308948</v>
      </c>
      <c r="DV89" s="4">
        <f t="shared" si="289"/>
        <v>0.31689186474065706</v>
      </c>
      <c r="DW89" s="4">
        <f t="shared" si="263"/>
        <v>3.7991507734546111</v>
      </c>
      <c r="DX89" s="4">
        <f t="shared" si="264"/>
        <v>5.0319136852040129</v>
      </c>
      <c r="DY89" s="4">
        <f t="shared" si="265"/>
        <v>5.6610669161628726</v>
      </c>
      <c r="DZ89" s="38">
        <f t="shared" si="266"/>
        <v>280.03576784000552</v>
      </c>
      <c r="EA89" s="4">
        <f t="shared" si="267"/>
        <v>1.0001673396150337</v>
      </c>
      <c r="EB89" s="4">
        <f t="shared" si="290"/>
        <v>2.7730849247724096</v>
      </c>
      <c r="EC89" s="4">
        <f t="shared" si="291"/>
        <v>152.8138409867322</v>
      </c>
      <c r="EG89" s="4">
        <f t="shared" si="268"/>
        <v>0.85</v>
      </c>
      <c r="EH89" s="4">
        <f t="shared" si="269"/>
        <v>0.85013888888888889</v>
      </c>
      <c r="EI89" s="4">
        <f t="shared" si="270"/>
        <v>1</v>
      </c>
      <c r="EJ89" s="4">
        <f t="shared" si="271"/>
        <v>0.85013888888888889</v>
      </c>
      <c r="EL89" s="4">
        <f t="shared" si="272"/>
        <v>262.41558169950224</v>
      </c>
      <c r="EM89" s="25">
        <f t="shared" si="273"/>
        <v>150.18137322121927</v>
      </c>
      <c r="EO89" s="4">
        <f t="shared" si="168"/>
        <v>0.72261805555555558</v>
      </c>
      <c r="EP89" s="4">
        <f t="shared" si="274"/>
        <v>6.0161976170308948</v>
      </c>
      <c r="EQ89" s="4">
        <f t="shared" si="275"/>
        <v>4.9450239957683877</v>
      </c>
      <c r="ES89" s="4">
        <f t="shared" si="276"/>
        <v>99.831057291806744</v>
      </c>
      <c r="ET89" s="4">
        <f t="shared" si="184"/>
        <v>2.7730849247724096</v>
      </c>
      <c r="EU89" s="4">
        <f t="shared" si="277"/>
        <v>9.1690717496615795E-2</v>
      </c>
      <c r="EX89" s="4">
        <f t="shared" si="185"/>
        <v>9.1690717496615795E-2</v>
      </c>
      <c r="EY89" s="4">
        <f t="shared" si="278"/>
        <v>0.31636303127901982</v>
      </c>
      <c r="EZ89" s="4">
        <f t="shared" si="186"/>
        <v>3.796613472844836</v>
      </c>
      <c r="FA89" s="4">
        <f t="shared" si="232"/>
        <v>5.0309590892700076</v>
      </c>
      <c r="FB89" s="4">
        <f t="shared" si="188"/>
        <v>185.91894270819324</v>
      </c>
      <c r="FC89" s="4">
        <f t="shared" si="189"/>
        <v>95.25</v>
      </c>
      <c r="FD89" s="4">
        <f t="shared" si="279"/>
        <v>1.8628104182055264E-5</v>
      </c>
      <c r="FE89" s="4">
        <f t="shared" si="233"/>
        <v>5.6611624514348415</v>
      </c>
      <c r="FF89" s="4">
        <f t="shared" si="280"/>
        <v>279.98891460282221</v>
      </c>
      <c r="FG89" s="4">
        <f t="shared" si="191"/>
        <v>152.1689427081933</v>
      </c>
      <c r="FH89" s="4">
        <f t="shared" si="192"/>
        <v>0</v>
      </c>
      <c r="FJ89" s="4">
        <f t="shared" si="281"/>
        <v>78.780065862447941</v>
      </c>
      <c r="FO89" s="23">
        <f t="shared" si="219"/>
        <v>2.2000000000000002</v>
      </c>
      <c r="FP89" s="23">
        <f t="shared" si="219"/>
        <v>1</v>
      </c>
      <c r="FQ89" s="23">
        <f t="shared" si="229"/>
        <v>2</v>
      </c>
      <c r="FR89" s="23">
        <f t="shared" si="220"/>
        <v>2.2000000000000002</v>
      </c>
      <c r="FS89" s="23">
        <f t="shared" si="220"/>
        <v>1.6</v>
      </c>
      <c r="FT89" s="23">
        <f t="shared" si="220"/>
        <v>1.8</v>
      </c>
      <c r="FU89" s="23">
        <f t="shared" si="221"/>
        <v>0</v>
      </c>
      <c r="FV89" s="23"/>
      <c r="GF89" s="4">
        <f t="shared" si="282"/>
        <v>1</v>
      </c>
      <c r="GG89" s="4">
        <f t="shared" si="283"/>
        <v>0.85000000000000009</v>
      </c>
      <c r="GH89" s="4">
        <f t="shared" si="284"/>
        <v>0</v>
      </c>
      <c r="GI89" s="4">
        <f t="shared" si="285"/>
        <v>239.89512443314166</v>
      </c>
    </row>
    <row r="90" spans="1:192" ht="12" hidden="1" customHeight="1" x14ac:dyDescent="0.3">
      <c r="A90" s="25">
        <v>71</v>
      </c>
      <c r="B90" s="20" t="s">
        <v>54</v>
      </c>
      <c r="C90" s="20">
        <v>2006</v>
      </c>
      <c r="D90" s="24" t="s">
        <v>55</v>
      </c>
      <c r="E90" s="24"/>
      <c r="F90" s="24"/>
      <c r="G90" s="24"/>
      <c r="H90" s="7" t="s">
        <v>291</v>
      </c>
      <c r="I90" s="7"/>
      <c r="J90" s="7">
        <v>433</v>
      </c>
      <c r="K90" s="7">
        <f t="shared" si="236"/>
        <v>381</v>
      </c>
      <c r="L90" s="7">
        <f t="shared" si="148"/>
        <v>252</v>
      </c>
      <c r="M90" s="7">
        <v>28</v>
      </c>
      <c r="N90" s="7">
        <v>36</v>
      </c>
      <c r="O90" s="7">
        <f t="shared" si="171"/>
        <v>10.583333333333334</v>
      </c>
      <c r="P90" s="7">
        <v>7</v>
      </c>
      <c r="Q90" s="7">
        <f t="shared" si="235"/>
        <v>215.89999999999998</v>
      </c>
      <c r="R90" s="7"/>
      <c r="S90" s="7">
        <f t="shared" si="237"/>
        <v>89.949999999999989</v>
      </c>
      <c r="T90" s="7"/>
      <c r="U90" s="7">
        <f t="shared" si="150"/>
        <v>50.8</v>
      </c>
      <c r="V90" s="7"/>
      <c r="W90" s="7">
        <v>0</v>
      </c>
      <c r="X90" s="7">
        <v>1</v>
      </c>
      <c r="Y90" s="7"/>
      <c r="Z90" s="7"/>
      <c r="AA90" s="7">
        <f t="shared" si="151"/>
        <v>83.6</v>
      </c>
      <c r="AB90" s="7">
        <f t="shared" si="238"/>
        <v>2.822222222222222</v>
      </c>
      <c r="AC90" s="7">
        <f t="shared" si="152"/>
        <v>2.9986111111111109</v>
      </c>
      <c r="AD90" s="7">
        <v>9.26</v>
      </c>
      <c r="AE90" s="7">
        <f t="shared" si="172"/>
        <v>9.26</v>
      </c>
      <c r="AF90" s="7">
        <f t="shared" si="239"/>
        <v>10.26</v>
      </c>
      <c r="AG90" s="7">
        <f t="shared" si="240"/>
        <v>115.31244512193817</v>
      </c>
      <c r="AH90" s="7"/>
      <c r="AI90" s="7"/>
      <c r="AJ90" s="7">
        <v>433</v>
      </c>
      <c r="AK90" s="7"/>
      <c r="AL90" s="7"/>
      <c r="AM90" s="7">
        <v>0</v>
      </c>
      <c r="AN90" s="7">
        <v>0</v>
      </c>
      <c r="AO90" s="7">
        <f t="shared" si="153"/>
        <v>252</v>
      </c>
      <c r="AP90" s="7"/>
      <c r="AQ90" s="7"/>
      <c r="AR90" s="7"/>
      <c r="AS90" s="4">
        <f t="shared" si="292"/>
        <v>381</v>
      </c>
      <c r="AT90" s="44">
        <f t="shared" si="154"/>
        <v>8.3950617283950604E-2</v>
      </c>
      <c r="AU90" s="25">
        <f t="shared" si="241"/>
        <v>386.60867631208708</v>
      </c>
      <c r="AV90" s="4">
        <f t="shared" si="242"/>
        <v>0.7533333333333333</v>
      </c>
      <c r="AW90" s="4">
        <v>1.25</v>
      </c>
      <c r="AX90" s="25">
        <f t="shared" si="286"/>
        <v>5</v>
      </c>
      <c r="AY90" s="38">
        <f t="shared" si="287"/>
        <v>152.81384098673232</v>
      </c>
      <c r="AZ90" s="38">
        <f t="shared" si="288"/>
        <v>152.81384098673232</v>
      </c>
      <c r="BB90" s="38">
        <f t="shared" si="129"/>
        <v>152.8138409867322</v>
      </c>
      <c r="BC90" s="38">
        <f t="shared" si="243"/>
        <v>1.0000000000000007</v>
      </c>
      <c r="BD90" s="38">
        <f t="shared" si="155"/>
        <v>3.2258628644800567</v>
      </c>
      <c r="BE90" s="4">
        <f t="shared" si="173"/>
        <v>0</v>
      </c>
      <c r="BF90" s="4">
        <f t="shared" si="244"/>
        <v>194.95009660475932</v>
      </c>
      <c r="BG90" s="4">
        <f t="shared" si="223"/>
        <v>1.0249999999999999</v>
      </c>
      <c r="BH90" s="38">
        <f t="shared" si="245"/>
        <v>492.9564948176598</v>
      </c>
      <c r="BI90" s="4">
        <f t="shared" si="224"/>
        <v>0.3</v>
      </c>
      <c r="BJ90" s="4">
        <f t="shared" si="246"/>
        <v>30.558427642796026</v>
      </c>
      <c r="BK90" s="4">
        <f t="shared" si="247"/>
        <v>523.51492246045586</v>
      </c>
      <c r="BM90" s="36">
        <f t="shared" si="248"/>
        <v>1.1000000000000001</v>
      </c>
      <c r="BN90" s="36">
        <f t="shared" si="249"/>
        <v>193.24567576015772</v>
      </c>
      <c r="BS90" s="4">
        <f t="shared" si="174"/>
        <v>89.949999999999989</v>
      </c>
      <c r="BT90" s="4">
        <f t="shared" si="175"/>
        <v>83.6</v>
      </c>
      <c r="BU90" s="4">
        <f t="shared" si="176"/>
        <v>89.949999999999989</v>
      </c>
      <c r="BV90" s="4">
        <f t="shared" si="250"/>
        <v>101.6</v>
      </c>
      <c r="BW90" s="4">
        <f t="shared" si="177"/>
        <v>1.0075956937799044</v>
      </c>
      <c r="BX90" s="25">
        <f t="shared" si="251"/>
        <v>2.8436589580010634</v>
      </c>
      <c r="BZ90" s="4">
        <f t="shared" si="178"/>
        <v>89.949999999999989</v>
      </c>
      <c r="CD90" s="9"/>
      <c r="CF90" s="9"/>
      <c r="CG90" s="9"/>
      <c r="CH90" s="9">
        <f t="shared" si="230"/>
        <v>50.8</v>
      </c>
      <c r="CI90" s="9">
        <f t="shared" si="231"/>
        <v>89.949999999999989</v>
      </c>
      <c r="CJ90" s="9">
        <f t="shared" si="252"/>
        <v>1.2941994891728255</v>
      </c>
      <c r="CK90" s="70">
        <v>0</v>
      </c>
      <c r="CL90" s="9">
        <f t="shared" si="253"/>
        <v>0</v>
      </c>
      <c r="CM90" s="9">
        <f t="shared" si="254"/>
        <v>0</v>
      </c>
      <c r="CN90" s="9">
        <f t="shared" si="255"/>
        <v>0.89637813077714179</v>
      </c>
      <c r="CO90" s="9">
        <f t="shared" si="256"/>
        <v>1.1339999999999999</v>
      </c>
      <c r="CP90" s="9">
        <f t="shared" si="257"/>
        <v>1.8825710113593779</v>
      </c>
      <c r="CQ90" s="9">
        <f t="shared" si="258"/>
        <v>2.4364224412328763</v>
      </c>
      <c r="CR90" s="9">
        <v>1</v>
      </c>
      <c r="CS90" s="9">
        <f t="shared" si="259"/>
        <v>214.4051748284931</v>
      </c>
      <c r="CU90" s="4">
        <f t="shared" si="209"/>
        <v>2.2210812281763657</v>
      </c>
      <c r="CV90" s="4">
        <f t="shared" si="210"/>
        <v>0.82710154271238945</v>
      </c>
      <c r="CW90" s="4">
        <f t="shared" si="211"/>
        <v>2.2406710954681732</v>
      </c>
      <c r="CX90" s="4">
        <f t="shared" si="212"/>
        <v>2.0195408079416235</v>
      </c>
      <c r="CY90" s="4">
        <f t="shared" si="213"/>
        <v>1.5858446483348607</v>
      </c>
      <c r="CZ90" s="4">
        <f t="shared" si="214"/>
        <v>1.6487439106558772</v>
      </c>
      <c r="DA90" s="4">
        <f t="shared" si="162"/>
        <v>1.8049553988358622</v>
      </c>
      <c r="DC90" s="4">
        <f t="shared" si="215"/>
        <v>2.2210812281763657</v>
      </c>
      <c r="DD90" s="4">
        <f t="shared" si="215"/>
        <v>0.82710154271238945</v>
      </c>
      <c r="DE90" s="4">
        <f t="shared" si="216"/>
        <v>2.0195408079416235</v>
      </c>
      <c r="DF90" s="4">
        <f>DA90</f>
        <v>1.8049553988358622</v>
      </c>
      <c r="DG90" s="4">
        <f t="shared" si="218"/>
        <v>1.5858446483348607</v>
      </c>
      <c r="DH90" s="4">
        <f t="shared" si="218"/>
        <v>1.6487439106558772</v>
      </c>
      <c r="DP90" s="4">
        <f t="shared" si="182"/>
        <v>0</v>
      </c>
      <c r="DQ90" s="4">
        <f t="shared" si="260"/>
        <v>381</v>
      </c>
      <c r="DR90" s="4">
        <f t="shared" si="261"/>
        <v>0.66141732283464572</v>
      </c>
      <c r="DT90" s="4">
        <f t="shared" si="262"/>
        <v>1.8628104182055264E-5</v>
      </c>
      <c r="DU90" s="4">
        <f t="shared" si="183"/>
        <v>6.0161976170308948</v>
      </c>
      <c r="DV90" s="4">
        <f t="shared" si="289"/>
        <v>0.26444583522906207</v>
      </c>
      <c r="DW90" s="4">
        <f t="shared" si="263"/>
        <v>3.533920587061155</v>
      </c>
      <c r="DX90" s="4">
        <f t="shared" si="264"/>
        <v>4.9347313117653027</v>
      </c>
      <c r="DY90" s="4">
        <f t="shared" si="265"/>
        <v>5.6757555744502399</v>
      </c>
      <c r="DZ90" s="38">
        <f t="shared" si="266"/>
        <v>273.04061621335399</v>
      </c>
      <c r="EA90" s="4">
        <f t="shared" si="267"/>
        <v>1.0001655130606142</v>
      </c>
      <c r="EB90" s="4">
        <f t="shared" si="290"/>
        <v>3.2031234756093934</v>
      </c>
      <c r="EC90" s="4">
        <f t="shared" si="291"/>
        <v>152.8138409867322</v>
      </c>
      <c r="EG90" s="4">
        <f t="shared" si="268"/>
        <v>0.85</v>
      </c>
      <c r="EH90" s="4">
        <f t="shared" si="269"/>
        <v>0.85013888888888889</v>
      </c>
      <c r="EI90" s="4">
        <f t="shared" si="270"/>
        <v>1</v>
      </c>
      <c r="EJ90" s="4">
        <f t="shared" si="271"/>
        <v>0.85013888888888889</v>
      </c>
      <c r="EL90" s="4">
        <f t="shared" si="272"/>
        <v>262.62416934583297</v>
      </c>
      <c r="EM90" s="25">
        <f t="shared" si="273"/>
        <v>150.18137322121927</v>
      </c>
      <c r="EO90" s="4">
        <f t="shared" si="168"/>
        <v>0.72261805555555558</v>
      </c>
      <c r="EP90" s="4">
        <f t="shared" si="274"/>
        <v>6.0161976170308948</v>
      </c>
      <c r="EQ90" s="4">
        <f t="shared" si="275"/>
        <v>4.9450239957683877</v>
      </c>
      <c r="ES90" s="4">
        <f t="shared" si="276"/>
        <v>115.31244512193817</v>
      </c>
      <c r="ET90" s="4">
        <f t="shared" si="184"/>
        <v>3.2031234756093934</v>
      </c>
      <c r="EU90" s="4">
        <f t="shared" si="277"/>
        <v>7.6515780520236359E-2</v>
      </c>
      <c r="EX90" s="4">
        <f t="shared" si="185"/>
        <v>7.6515780520236359E-2</v>
      </c>
      <c r="EY90" s="4">
        <f t="shared" si="278"/>
        <v>0.26400452441606859</v>
      </c>
      <c r="EZ90" s="4">
        <f t="shared" si="186"/>
        <v>3.5315604230679014</v>
      </c>
      <c r="FA90" s="4">
        <f t="shared" si="232"/>
        <v>4.9338906630979427</v>
      </c>
      <c r="FB90" s="4">
        <f t="shared" si="188"/>
        <v>170.43755487806183</v>
      </c>
      <c r="FC90" s="4">
        <f t="shared" si="189"/>
        <v>95.250000000000028</v>
      </c>
      <c r="FD90" s="4">
        <f t="shared" si="279"/>
        <v>1.8628104182055271E-5</v>
      </c>
      <c r="FE90" s="4">
        <f t="shared" si="233"/>
        <v>5.6758477067244071</v>
      </c>
      <c r="FF90" s="4">
        <f t="shared" si="280"/>
        <v>272.9954319038859</v>
      </c>
      <c r="FG90" s="4">
        <f t="shared" si="191"/>
        <v>136.68755487806186</v>
      </c>
      <c r="FH90" s="4">
        <f t="shared" si="192"/>
        <v>0</v>
      </c>
      <c r="FJ90" s="4">
        <f t="shared" si="281"/>
        <v>78.571478216117214</v>
      </c>
      <c r="FO90" s="23">
        <f t="shared" si="219"/>
        <v>2.2000000000000002</v>
      </c>
      <c r="FP90" s="23">
        <f t="shared" si="219"/>
        <v>1</v>
      </c>
      <c r="FQ90" s="23">
        <f t="shared" si="229"/>
        <v>2</v>
      </c>
      <c r="FR90" s="23">
        <f t="shared" si="220"/>
        <v>2.2000000000000002</v>
      </c>
      <c r="FS90" s="23">
        <f t="shared" si="220"/>
        <v>1.6</v>
      </c>
      <c r="FT90" s="23">
        <f t="shared" si="220"/>
        <v>1.8</v>
      </c>
      <c r="FU90" s="23">
        <f t="shared" si="221"/>
        <v>0</v>
      </c>
      <c r="FV90" s="23"/>
      <c r="GF90" s="4">
        <f t="shared" si="282"/>
        <v>1</v>
      </c>
      <c r="GG90" s="4">
        <f t="shared" si="283"/>
        <v>0.85000000000000009</v>
      </c>
      <c r="GH90" s="4">
        <f t="shared" si="284"/>
        <v>0</v>
      </c>
      <c r="GI90" s="4">
        <f t="shared" si="285"/>
        <v>239.89512443314166</v>
      </c>
    </row>
    <row r="91" spans="1:192" ht="12" hidden="1" customHeight="1" x14ac:dyDescent="0.3">
      <c r="A91" s="25">
        <v>72</v>
      </c>
      <c r="B91" s="20" t="s">
        <v>54</v>
      </c>
      <c r="C91" s="20">
        <v>2006</v>
      </c>
      <c r="D91" s="24" t="s">
        <v>55</v>
      </c>
      <c r="E91" s="24" t="s">
        <v>72</v>
      </c>
      <c r="F91" s="24"/>
      <c r="G91" s="24"/>
      <c r="H91" s="7" t="s">
        <v>281</v>
      </c>
      <c r="I91" s="7"/>
      <c r="J91" s="7">
        <v>472</v>
      </c>
      <c r="K91" s="7">
        <f t="shared" si="236"/>
        <v>381</v>
      </c>
      <c r="L91" s="7">
        <f t="shared" si="148"/>
        <v>177.79999999999998</v>
      </c>
      <c r="M91" s="7">
        <v>26</v>
      </c>
      <c r="N91" s="7">
        <v>25.4</v>
      </c>
      <c r="O91" s="7">
        <f t="shared" si="171"/>
        <v>15</v>
      </c>
      <c r="P91" s="7">
        <v>7</v>
      </c>
      <c r="Q91" s="7">
        <f t="shared" ref="Q91:Q94" si="293">6*25.4</f>
        <v>152.39999999999998</v>
      </c>
      <c r="R91" s="7"/>
      <c r="S91" s="7">
        <f t="shared" si="237"/>
        <v>63.499999999999986</v>
      </c>
      <c r="T91" s="7"/>
      <c r="U91" s="7">
        <f t="shared" si="150"/>
        <v>50.8</v>
      </c>
      <c r="V91" s="7"/>
      <c r="W91" s="7">
        <v>0</v>
      </c>
      <c r="X91" s="7">
        <v>1</v>
      </c>
      <c r="Y91" s="7"/>
      <c r="Z91" s="7"/>
      <c r="AA91" s="7">
        <f t="shared" si="151"/>
        <v>88.899999999999991</v>
      </c>
      <c r="AB91" s="7">
        <f t="shared" si="238"/>
        <v>2.9999999999999996</v>
      </c>
      <c r="AC91" s="7">
        <f t="shared" si="152"/>
        <v>4</v>
      </c>
      <c r="AD91" s="7">
        <v>4.7</v>
      </c>
      <c r="AE91" s="7">
        <f t="shared" si="172"/>
        <v>4.7</v>
      </c>
      <c r="AF91" s="7">
        <f t="shared" si="239"/>
        <v>5.7</v>
      </c>
      <c r="AG91" s="7">
        <f t="shared" si="240"/>
        <v>60.641668842471674</v>
      </c>
      <c r="AH91" s="7"/>
      <c r="AI91" s="7"/>
      <c r="AJ91" s="7">
        <v>442</v>
      </c>
      <c r="AK91" s="7"/>
      <c r="AL91" s="7"/>
      <c r="AM91" s="7">
        <v>9.5</v>
      </c>
      <c r="AN91" s="7">
        <v>2</v>
      </c>
      <c r="AO91" s="7">
        <v>152</v>
      </c>
      <c r="AP91" s="7">
        <v>2</v>
      </c>
      <c r="AQ91" s="7">
        <v>2</v>
      </c>
      <c r="AR91" s="7"/>
      <c r="AS91" s="4">
        <f t="shared" si="292"/>
        <v>381</v>
      </c>
      <c r="AT91" s="44">
        <f t="shared" si="154"/>
        <v>5.9259259259259248E-2</v>
      </c>
      <c r="AU91" s="25">
        <f t="shared" si="241"/>
        <v>748.37078117567501</v>
      </c>
      <c r="AV91" s="4">
        <f t="shared" si="242"/>
        <v>0.74</v>
      </c>
      <c r="AW91" s="4">
        <v>1.25</v>
      </c>
      <c r="AX91" s="25">
        <f t="shared" si="286"/>
        <v>5</v>
      </c>
      <c r="AY91" s="38">
        <f t="shared" si="287"/>
        <v>205.10902891481459</v>
      </c>
      <c r="AZ91" s="38">
        <f t="shared" si="288"/>
        <v>205.10902891481459</v>
      </c>
      <c r="BB91" s="38">
        <f t="shared" si="129"/>
        <v>205.10902891481439</v>
      </c>
      <c r="BC91" s="38">
        <f t="shared" si="243"/>
        <v>1.0000000000000009</v>
      </c>
      <c r="BD91" s="38">
        <f t="shared" si="155"/>
        <v>1.868729369641889</v>
      </c>
      <c r="BE91" s="4">
        <f t="shared" si="173"/>
        <v>0</v>
      </c>
      <c r="BF91" s="4">
        <f t="shared" si="244"/>
        <v>187.85861365868152</v>
      </c>
      <c r="BG91" s="4">
        <f t="shared" si="223"/>
        <v>1.1333333333333333</v>
      </c>
      <c r="BH91" s="38">
        <f t="shared" si="245"/>
        <v>383.29326631184108</v>
      </c>
      <c r="BI91" s="4">
        <f t="shared" si="224"/>
        <v>0.34199999999999997</v>
      </c>
      <c r="BJ91" s="4">
        <f t="shared" si="246"/>
        <v>33.569394967738091</v>
      </c>
      <c r="BK91" s="4">
        <f t="shared" si="247"/>
        <v>416.86266127957919</v>
      </c>
      <c r="BM91" s="36">
        <f t="shared" si="248"/>
        <v>1.7609403835677346</v>
      </c>
      <c r="BN91" s="36">
        <f t="shared" si="249"/>
        <v>298.10510335243669</v>
      </c>
      <c r="BS91" s="4">
        <f t="shared" si="174"/>
        <v>63.499999999999986</v>
      </c>
      <c r="BT91" s="4">
        <f t="shared" si="175"/>
        <v>63.499999999999986</v>
      </c>
      <c r="BU91" s="4">
        <f t="shared" si="176"/>
        <v>88.899999999999991</v>
      </c>
      <c r="BV91" s="4">
        <f t="shared" si="250"/>
        <v>76.199999999999989</v>
      </c>
      <c r="BW91" s="4">
        <f t="shared" si="177"/>
        <v>1.04</v>
      </c>
      <c r="BX91" s="25">
        <f t="shared" si="251"/>
        <v>4</v>
      </c>
      <c r="BZ91" s="4">
        <f t="shared" si="178"/>
        <v>63.499999999999986</v>
      </c>
      <c r="CD91" s="9"/>
      <c r="CF91" s="9"/>
      <c r="CG91" s="9"/>
      <c r="CH91" s="9">
        <f t="shared" si="230"/>
        <v>50.8</v>
      </c>
      <c r="CI91" s="9">
        <f t="shared" si="231"/>
        <v>63.499999999999986</v>
      </c>
      <c r="CJ91" s="9">
        <f t="shared" si="252"/>
        <v>1.4623505735569622</v>
      </c>
      <c r="CK91" s="70">
        <v>20</v>
      </c>
      <c r="CL91" s="9">
        <f t="shared" si="253"/>
        <v>0.05</v>
      </c>
      <c r="CM91" s="9">
        <f t="shared" si="254"/>
        <v>0.8</v>
      </c>
      <c r="CN91" s="9">
        <f t="shared" si="255"/>
        <v>0.99524931562137331</v>
      </c>
      <c r="CO91" s="9">
        <f t="shared" si="256"/>
        <v>1.056</v>
      </c>
      <c r="CP91" s="9">
        <f t="shared" si="257"/>
        <v>1.8756444837875041</v>
      </c>
      <c r="CQ91" s="9">
        <f t="shared" si="258"/>
        <v>4.243365373685613</v>
      </c>
      <c r="CR91" s="9">
        <v>1</v>
      </c>
      <c r="CS91" s="9">
        <f t="shared" si="259"/>
        <v>373.41615288433394</v>
      </c>
      <c r="CU91" s="4">
        <f t="shared" si="209"/>
        <v>2.3528332898435282</v>
      </c>
      <c r="CV91" s="4">
        <f t="shared" si="210"/>
        <v>1.0603012480015854</v>
      </c>
      <c r="CW91" s="4">
        <f t="shared" si="211"/>
        <v>1.4826985349440416</v>
      </c>
      <c r="CX91" s="4">
        <f t="shared" si="212"/>
        <v>1.1836659892345631</v>
      </c>
      <c r="CY91" s="4">
        <f t="shared" si="213"/>
        <v>1.2124437123028964</v>
      </c>
      <c r="CZ91" s="4">
        <f t="shared" si="214"/>
        <v>1.3702187218050508</v>
      </c>
      <c r="DA91" s="4">
        <f t="shared" si="162"/>
        <v>0.87831273920731312</v>
      </c>
      <c r="DI91" s="4">
        <f t="shared" ref="DI91:DJ123" si="294">CU91</f>
        <v>2.3528332898435282</v>
      </c>
      <c r="DJ91" s="4">
        <f t="shared" si="294"/>
        <v>1.0603012480015854</v>
      </c>
      <c r="DK91" s="4">
        <f t="shared" ref="DK91:DK123" si="295">CX91</f>
        <v>1.1836659892345631</v>
      </c>
      <c r="DL91" s="4">
        <f t="shared" ref="DL91:DL92" si="296">DA91</f>
        <v>0.87831273920731312</v>
      </c>
      <c r="DM91" s="4">
        <f t="shared" ref="DM91:DN123" si="297">CY91</f>
        <v>1.2124437123028964</v>
      </c>
      <c r="DN91" s="4">
        <f t="shared" si="297"/>
        <v>1.3702187218050508</v>
      </c>
      <c r="DP91" s="4">
        <f t="shared" si="182"/>
        <v>2</v>
      </c>
      <c r="DQ91" s="4">
        <f t="shared" si="260"/>
        <v>381</v>
      </c>
      <c r="DR91" s="4">
        <f t="shared" si="261"/>
        <v>0.46666666666666662</v>
      </c>
      <c r="DT91" s="4">
        <f t="shared" si="262"/>
        <v>2.6015824312812745E-5</v>
      </c>
      <c r="DU91" s="4">
        <f t="shared" si="183"/>
        <v>7.1020943350297925</v>
      </c>
      <c r="DV91" s="4">
        <f t="shared" si="289"/>
        <v>0.3960514372704414</v>
      </c>
      <c r="DW91" s="4">
        <f t="shared" si="263"/>
        <v>4.9032842891802595</v>
      </c>
      <c r="DX91" s="4">
        <f t="shared" si="264"/>
        <v>6.1028630858810287</v>
      </c>
      <c r="DY91" s="4">
        <f t="shared" si="265"/>
        <v>6.3724004838122834</v>
      </c>
      <c r="DZ91" s="38">
        <f t="shared" si="266"/>
        <v>364.55300606118215</v>
      </c>
      <c r="EA91" s="4">
        <f t="shared" si="267"/>
        <v>1.0002061347589606</v>
      </c>
      <c r="EB91" s="4">
        <f t="shared" si="290"/>
        <v>2.3874672772626644</v>
      </c>
      <c r="EC91" s="4">
        <f t="shared" si="291"/>
        <v>205.10902891481439</v>
      </c>
      <c r="EG91" s="4">
        <f t="shared" si="268"/>
        <v>0.85</v>
      </c>
      <c r="EH91" s="4">
        <f t="shared" si="269"/>
        <v>0.85000000000000009</v>
      </c>
      <c r="EI91" s="4">
        <f t="shared" si="270"/>
        <v>0.90713466426932854</v>
      </c>
      <c r="EJ91" s="4">
        <f t="shared" si="271"/>
        <v>0.7710644646289293</v>
      </c>
      <c r="EL91" s="4">
        <f t="shared" si="272"/>
        <v>322.57623762265746</v>
      </c>
      <c r="EM91" s="25">
        <f t="shared" si="273"/>
        <v>202.29704102729465</v>
      </c>
      <c r="EO91" s="4">
        <f t="shared" si="168"/>
        <v>0.65540479493458992</v>
      </c>
      <c r="EP91" s="4">
        <f t="shared" si="274"/>
        <v>7.1020943350297925</v>
      </c>
      <c r="EQ91" s="4">
        <f t="shared" si="275"/>
        <v>7.447594690010102</v>
      </c>
      <c r="ES91" s="4">
        <f t="shared" si="276"/>
        <v>60.641668842471674</v>
      </c>
      <c r="ET91" s="4">
        <f t="shared" si="184"/>
        <v>2.3874672772626644</v>
      </c>
      <c r="EU91" s="4">
        <f t="shared" si="277"/>
        <v>0.11042655740559819</v>
      </c>
      <c r="EX91" s="4">
        <f t="shared" si="185"/>
        <v>0.11042655740559819</v>
      </c>
      <c r="EY91" s="4">
        <f t="shared" si="278"/>
        <v>0.39539050123559077</v>
      </c>
      <c r="EZ91" s="4">
        <f t="shared" si="186"/>
        <v>4.9000095820262892</v>
      </c>
      <c r="FA91" s="4">
        <f t="shared" si="232"/>
        <v>6.1015499625175389</v>
      </c>
      <c r="FB91" s="4">
        <f t="shared" si="188"/>
        <v>225.10833115752831</v>
      </c>
      <c r="FC91" s="4">
        <f t="shared" si="189"/>
        <v>95.25</v>
      </c>
      <c r="FD91" s="4">
        <f t="shared" si="279"/>
        <v>2.6015824312812745E-5</v>
      </c>
      <c r="FE91" s="4">
        <f t="shared" si="233"/>
        <v>6.3725799412119812</v>
      </c>
      <c r="FF91" s="4">
        <f t="shared" si="280"/>
        <v>364.47787450237513</v>
      </c>
      <c r="FG91" s="4">
        <f t="shared" si="191"/>
        <v>117.15833115752831</v>
      </c>
      <c r="FH91" s="4">
        <f t="shared" si="192"/>
        <v>0</v>
      </c>
      <c r="FJ91" s="4">
        <f t="shared" si="281"/>
        <v>199.31504848097791</v>
      </c>
      <c r="FO91" s="23">
        <f t="shared" si="219"/>
        <v>2.2000000000000002</v>
      </c>
      <c r="FP91" s="23">
        <f t="shared" si="219"/>
        <v>1.2</v>
      </c>
      <c r="FQ91" s="23">
        <f t="shared" si="229"/>
        <v>1</v>
      </c>
      <c r="FR91" s="23">
        <f t="shared" si="220"/>
        <v>1.2</v>
      </c>
      <c r="FS91" s="23">
        <f t="shared" si="220"/>
        <v>1.4</v>
      </c>
      <c r="FT91" s="23">
        <f t="shared" si="220"/>
        <v>1.4</v>
      </c>
      <c r="FU91" s="23">
        <f t="shared" si="221"/>
        <v>0</v>
      </c>
      <c r="FV91" s="23"/>
      <c r="GF91" s="4">
        <f t="shared" si="282"/>
        <v>1</v>
      </c>
      <c r="GG91" s="4">
        <f t="shared" si="283"/>
        <v>0.6711572180011689</v>
      </c>
      <c r="GH91" s="4">
        <f t="shared" si="284"/>
        <v>0.3</v>
      </c>
      <c r="GI91" s="4">
        <f t="shared" si="285"/>
        <v>503.23760577457847</v>
      </c>
    </row>
    <row r="92" spans="1:192" ht="12" hidden="1" customHeight="1" x14ac:dyDescent="0.3">
      <c r="A92" s="25">
        <v>73</v>
      </c>
      <c r="B92" s="20" t="s">
        <v>54</v>
      </c>
      <c r="C92" s="20">
        <v>2006</v>
      </c>
      <c r="D92" s="24" t="s">
        <v>55</v>
      </c>
      <c r="E92" s="24"/>
      <c r="F92" s="24"/>
      <c r="G92" s="24"/>
      <c r="H92" s="7" t="s">
        <v>281</v>
      </c>
      <c r="I92" s="7"/>
      <c r="J92" s="7">
        <v>472</v>
      </c>
      <c r="K92" s="7">
        <f t="shared" si="236"/>
        <v>381</v>
      </c>
      <c r="L92" s="7">
        <f t="shared" si="148"/>
        <v>177.79999999999998</v>
      </c>
      <c r="M92" s="7">
        <v>26</v>
      </c>
      <c r="N92" s="7">
        <v>25.4</v>
      </c>
      <c r="O92" s="7">
        <f t="shared" si="171"/>
        <v>15</v>
      </c>
      <c r="P92" s="7">
        <v>7</v>
      </c>
      <c r="Q92" s="7">
        <f t="shared" si="293"/>
        <v>152.39999999999998</v>
      </c>
      <c r="R92" s="7"/>
      <c r="S92" s="7">
        <f t="shared" si="237"/>
        <v>63.499999999999986</v>
      </c>
      <c r="T92" s="7"/>
      <c r="U92" s="7">
        <f t="shared" si="150"/>
        <v>50.8</v>
      </c>
      <c r="V92" s="7"/>
      <c r="W92" s="7">
        <v>0</v>
      </c>
      <c r="X92" s="7">
        <v>1</v>
      </c>
      <c r="Y92" s="7"/>
      <c r="Z92" s="7"/>
      <c r="AA92" s="7">
        <f t="shared" si="151"/>
        <v>88.899999999999991</v>
      </c>
      <c r="AB92" s="7">
        <f t="shared" si="238"/>
        <v>2.9999999999999996</v>
      </c>
      <c r="AC92" s="7">
        <f t="shared" si="152"/>
        <v>4</v>
      </c>
      <c r="AD92" s="7">
        <v>4.7</v>
      </c>
      <c r="AE92" s="7">
        <f t="shared" si="172"/>
        <v>4.7</v>
      </c>
      <c r="AF92" s="7">
        <f t="shared" si="239"/>
        <v>5.7</v>
      </c>
      <c r="AG92" s="7">
        <f t="shared" si="240"/>
        <v>60.641668842471674</v>
      </c>
      <c r="AH92" s="7"/>
      <c r="AI92" s="7"/>
      <c r="AJ92" s="7">
        <v>459</v>
      </c>
      <c r="AK92" s="7"/>
      <c r="AL92" s="7"/>
      <c r="AM92" s="7">
        <v>9.5</v>
      </c>
      <c r="AN92" s="7">
        <v>3</v>
      </c>
      <c r="AO92" s="7">
        <v>76</v>
      </c>
      <c r="AP92" s="7">
        <v>3</v>
      </c>
      <c r="AQ92" s="7">
        <v>3</v>
      </c>
      <c r="AR92" s="7"/>
      <c r="AS92" s="4">
        <f t="shared" si="292"/>
        <v>381</v>
      </c>
      <c r="AT92" s="44">
        <f t="shared" si="154"/>
        <v>5.9259259259259248E-2</v>
      </c>
      <c r="AU92" s="25">
        <f t="shared" si="241"/>
        <v>748.37078117567501</v>
      </c>
      <c r="AV92" s="4">
        <f t="shared" si="242"/>
        <v>0.74</v>
      </c>
      <c r="AW92" s="4">
        <v>1.25</v>
      </c>
      <c r="AX92" s="25">
        <f t="shared" si="286"/>
        <v>5</v>
      </c>
      <c r="AY92" s="38">
        <f t="shared" si="287"/>
        <v>205.10902891481459</v>
      </c>
      <c r="AZ92" s="38">
        <f t="shared" si="288"/>
        <v>205.10902891481459</v>
      </c>
      <c r="BB92" s="38">
        <f t="shared" si="129"/>
        <v>205.10902891481439</v>
      </c>
      <c r="BC92" s="38">
        <f t="shared" si="243"/>
        <v>1.0000000000000009</v>
      </c>
      <c r="BD92" s="38">
        <f t="shared" si="155"/>
        <v>1.868729369641889</v>
      </c>
      <c r="BE92" s="4">
        <f t="shared" si="173"/>
        <v>0</v>
      </c>
      <c r="BF92" s="4">
        <f t="shared" si="244"/>
        <v>187.85861365868152</v>
      </c>
      <c r="BG92" s="4">
        <f t="shared" si="223"/>
        <v>1.1333333333333333</v>
      </c>
      <c r="BH92" s="38">
        <f t="shared" si="245"/>
        <v>383.29326631184108</v>
      </c>
      <c r="BI92" s="4">
        <f t="shared" si="224"/>
        <v>0.34199999999999997</v>
      </c>
      <c r="BJ92" s="4">
        <f t="shared" si="246"/>
        <v>33.569394967738091</v>
      </c>
      <c r="BK92" s="4">
        <f t="shared" si="247"/>
        <v>416.86266127957919</v>
      </c>
      <c r="BM92" s="36">
        <f t="shared" si="248"/>
        <v>2.2250000000000001</v>
      </c>
      <c r="BN92" s="36">
        <f t="shared" si="249"/>
        <v>376.66457146909903</v>
      </c>
      <c r="BS92" s="4">
        <f t="shared" si="174"/>
        <v>63.499999999999986</v>
      </c>
      <c r="BT92" s="4">
        <f t="shared" si="175"/>
        <v>63.499999999999986</v>
      </c>
      <c r="BU92" s="4">
        <f t="shared" si="176"/>
        <v>88.899999999999991</v>
      </c>
      <c r="BV92" s="4">
        <f t="shared" si="250"/>
        <v>76.199999999999989</v>
      </c>
      <c r="BW92" s="4">
        <f t="shared" si="177"/>
        <v>1.04</v>
      </c>
      <c r="BX92" s="25">
        <f t="shared" si="251"/>
        <v>4</v>
      </c>
      <c r="BZ92" s="4">
        <f t="shared" si="178"/>
        <v>63.499999999999986</v>
      </c>
      <c r="CD92" s="9"/>
      <c r="CF92" s="9"/>
      <c r="CG92" s="9"/>
      <c r="CH92" s="9">
        <f t="shared" si="230"/>
        <v>50.8</v>
      </c>
      <c r="CI92" s="9">
        <f t="shared" si="231"/>
        <v>63.499999999999986</v>
      </c>
      <c r="CJ92" s="9">
        <f t="shared" si="252"/>
        <v>1.4623505735569622</v>
      </c>
      <c r="CK92" s="70">
        <v>20</v>
      </c>
      <c r="CL92" s="9">
        <f t="shared" si="253"/>
        <v>0.05</v>
      </c>
      <c r="CM92" s="9">
        <f t="shared" si="254"/>
        <v>0.8</v>
      </c>
      <c r="CN92" s="9">
        <f t="shared" si="255"/>
        <v>0.99524931562137331</v>
      </c>
      <c r="CO92" s="9">
        <f t="shared" si="256"/>
        <v>1.056</v>
      </c>
      <c r="CP92" s="9">
        <f t="shared" si="257"/>
        <v>1.8756444837875041</v>
      </c>
      <c r="CQ92" s="9">
        <f t="shared" si="258"/>
        <v>4.243365373685613</v>
      </c>
      <c r="CR92" s="9">
        <v>1</v>
      </c>
      <c r="CS92" s="9">
        <f t="shared" si="259"/>
        <v>373.41615288433394</v>
      </c>
      <c r="CU92" s="4">
        <f t="shared" si="209"/>
        <v>2.443326877914433</v>
      </c>
      <c r="CV92" s="4">
        <f t="shared" si="210"/>
        <v>1.1010820652324156</v>
      </c>
      <c r="CW92" s="4">
        <f t="shared" si="211"/>
        <v>1.2185908491732296</v>
      </c>
      <c r="CX92" s="4">
        <f t="shared" si="212"/>
        <v>1.2291916042051232</v>
      </c>
      <c r="CY92" s="4">
        <f t="shared" si="213"/>
        <v>1.2055484567032204</v>
      </c>
      <c r="CZ92" s="4">
        <f t="shared" si="214"/>
        <v>1.3661223216497842</v>
      </c>
      <c r="DA92" s="4">
        <f t="shared" si="162"/>
        <v>0.91209399840759442</v>
      </c>
      <c r="DI92" s="4">
        <f t="shared" si="294"/>
        <v>2.443326877914433</v>
      </c>
      <c r="DJ92" s="4">
        <f t="shared" si="294"/>
        <v>1.1010820652324156</v>
      </c>
      <c r="DK92" s="4">
        <f t="shared" si="295"/>
        <v>1.2291916042051232</v>
      </c>
      <c r="DL92" s="4">
        <f t="shared" si="296"/>
        <v>0.91209399840759442</v>
      </c>
      <c r="DM92" s="4">
        <f t="shared" si="297"/>
        <v>1.2055484567032204</v>
      </c>
      <c r="DN92" s="4">
        <f t="shared" si="297"/>
        <v>1.3661223216497842</v>
      </c>
      <c r="DP92" s="4">
        <f t="shared" si="182"/>
        <v>3</v>
      </c>
      <c r="DQ92" s="4">
        <f t="shared" si="260"/>
        <v>381</v>
      </c>
      <c r="DR92" s="4">
        <f t="shared" si="261"/>
        <v>0.46666666666666662</v>
      </c>
      <c r="DT92" s="4">
        <f t="shared" si="262"/>
        <v>2.6015824312812745E-5</v>
      </c>
      <c r="DU92" s="4">
        <f t="shared" si="183"/>
        <v>7.8231036659769986</v>
      </c>
      <c r="DV92" s="4">
        <f t="shared" si="289"/>
        <v>0.3960514372704414</v>
      </c>
      <c r="DW92" s="4">
        <f t="shared" si="263"/>
        <v>5.4010689648003103</v>
      </c>
      <c r="DX92" s="4">
        <f t="shared" si="264"/>
        <v>6.7224297971693012</v>
      </c>
      <c r="DY92" s="4">
        <f t="shared" si="265"/>
        <v>6.9392830395578722</v>
      </c>
      <c r="DZ92" s="38">
        <f t="shared" si="266"/>
        <v>380.73956915445314</v>
      </c>
      <c r="EA92" s="4">
        <f t="shared" si="267"/>
        <v>1.0002166350368193</v>
      </c>
      <c r="EB92" s="4">
        <f t="shared" si="290"/>
        <v>2.3874672772626644</v>
      </c>
      <c r="EC92" s="4">
        <f t="shared" si="291"/>
        <v>205.10902891481439</v>
      </c>
      <c r="EG92" s="4">
        <f t="shared" si="268"/>
        <v>0.85</v>
      </c>
      <c r="EH92" s="4">
        <f t="shared" si="269"/>
        <v>0.85000000000000009</v>
      </c>
      <c r="EI92" s="4">
        <f t="shared" si="270"/>
        <v>0.82320199640399283</v>
      </c>
      <c r="EJ92" s="4">
        <f t="shared" si="271"/>
        <v>0.7</v>
      </c>
      <c r="EL92" s="4">
        <f t="shared" si="272"/>
        <v>335.98748276486191</v>
      </c>
      <c r="EM92" s="25">
        <f t="shared" si="273"/>
        <v>202.29704102729465</v>
      </c>
      <c r="EO92" s="4">
        <f t="shared" si="168"/>
        <v>0.59499999999999997</v>
      </c>
      <c r="EP92" s="4">
        <f t="shared" si="274"/>
        <v>7.8231036659769986</v>
      </c>
      <c r="EQ92" s="4">
        <f t="shared" si="275"/>
        <v>7.447594690010102</v>
      </c>
      <c r="ES92" s="4">
        <f t="shared" si="276"/>
        <v>60.641668842471674</v>
      </c>
      <c r="ET92" s="4">
        <f t="shared" si="184"/>
        <v>2.3874672772626644</v>
      </c>
      <c r="EU92" s="4">
        <f t="shared" si="277"/>
        <v>0.11042655740559819</v>
      </c>
      <c r="EX92" s="4">
        <f t="shared" si="185"/>
        <v>0.11042655740559819</v>
      </c>
      <c r="EY92" s="4">
        <f t="shared" si="278"/>
        <v>0.39539050123559077</v>
      </c>
      <c r="EZ92" s="4">
        <f t="shared" si="186"/>
        <v>5.3974618072024638</v>
      </c>
      <c r="FA92" s="4">
        <f t="shared" si="232"/>
        <v>6.7209833646503565</v>
      </c>
      <c r="FB92" s="4">
        <f t="shared" si="188"/>
        <v>225.10833115752831</v>
      </c>
      <c r="FC92" s="4">
        <f t="shared" si="189"/>
        <v>95.25</v>
      </c>
      <c r="FD92" s="4">
        <f t="shared" si="279"/>
        <v>2.6015824312812745E-5</v>
      </c>
      <c r="FE92" s="4">
        <f t="shared" si="233"/>
        <v>6.9395004021561064</v>
      </c>
      <c r="FF92" s="4">
        <f t="shared" si="280"/>
        <v>380.65710548839007</v>
      </c>
      <c r="FG92" s="4">
        <f t="shared" si="191"/>
        <v>117.15833115752831</v>
      </c>
      <c r="FH92" s="4">
        <f t="shared" si="192"/>
        <v>0</v>
      </c>
      <c r="FJ92" s="4">
        <f t="shared" si="281"/>
        <v>218.34922323139773</v>
      </c>
      <c r="FO92" s="23">
        <f t="shared" si="219"/>
        <v>2.2000000000000002</v>
      </c>
      <c r="FP92" s="23">
        <f t="shared" si="219"/>
        <v>1.2</v>
      </c>
      <c r="FQ92" s="23">
        <f t="shared" si="229"/>
        <v>1</v>
      </c>
      <c r="FR92" s="23">
        <f t="shared" si="220"/>
        <v>1.4</v>
      </c>
      <c r="FS92" s="23">
        <f t="shared" si="220"/>
        <v>1.4</v>
      </c>
      <c r="FT92" s="23">
        <f t="shared" si="220"/>
        <v>1.4</v>
      </c>
      <c r="FU92" s="23">
        <f t="shared" si="221"/>
        <v>0</v>
      </c>
      <c r="FV92" s="23"/>
      <c r="GF92" s="4">
        <f t="shared" si="282"/>
        <v>1</v>
      </c>
      <c r="GG92" s="4">
        <f t="shared" si="283"/>
        <v>0.6711572180011689</v>
      </c>
      <c r="GH92" s="4">
        <f t="shared" si="284"/>
        <v>0.3</v>
      </c>
      <c r="GI92" s="4">
        <f t="shared" si="285"/>
        <v>503.23760577457847</v>
      </c>
    </row>
    <row r="93" spans="1:192" ht="12" hidden="1" customHeight="1" x14ac:dyDescent="0.3">
      <c r="A93" s="25">
        <v>74</v>
      </c>
      <c r="B93" s="20" t="s">
        <v>54</v>
      </c>
      <c r="C93" s="20">
        <v>2006</v>
      </c>
      <c r="D93" s="24" t="s">
        <v>55</v>
      </c>
      <c r="E93" s="24"/>
      <c r="F93" s="24"/>
      <c r="G93" s="24"/>
      <c r="H93" s="7" t="s">
        <v>281</v>
      </c>
      <c r="I93" s="7"/>
      <c r="J93" s="7">
        <v>472</v>
      </c>
      <c r="K93" s="7">
        <f t="shared" si="236"/>
        <v>381</v>
      </c>
      <c r="L93" s="7">
        <f t="shared" si="148"/>
        <v>177.79999999999998</v>
      </c>
      <c r="M93" s="7">
        <v>28</v>
      </c>
      <c r="N93" s="7">
        <v>25.4</v>
      </c>
      <c r="O93" s="7">
        <f t="shared" si="171"/>
        <v>15</v>
      </c>
      <c r="P93" s="7">
        <v>7</v>
      </c>
      <c r="Q93" s="7">
        <f t="shared" si="293"/>
        <v>152.39999999999998</v>
      </c>
      <c r="R93" s="7"/>
      <c r="S93" s="7">
        <f t="shared" si="237"/>
        <v>63.499999999999986</v>
      </c>
      <c r="T93" s="7"/>
      <c r="U93" s="7">
        <f t="shared" si="150"/>
        <v>50.8</v>
      </c>
      <c r="V93" s="7"/>
      <c r="W93" s="7">
        <v>0</v>
      </c>
      <c r="X93" s="7">
        <v>1</v>
      </c>
      <c r="Y93" s="7"/>
      <c r="Z93" s="7"/>
      <c r="AA93" s="7">
        <f t="shared" si="151"/>
        <v>88.899999999999991</v>
      </c>
      <c r="AB93" s="7">
        <f t="shared" si="238"/>
        <v>2.9999999999999996</v>
      </c>
      <c r="AC93" s="7">
        <f t="shared" si="152"/>
        <v>4</v>
      </c>
      <c r="AD93" s="7">
        <v>4.7</v>
      </c>
      <c r="AE93" s="7">
        <f t="shared" si="172"/>
        <v>4.7</v>
      </c>
      <c r="AF93" s="7">
        <f t="shared" si="239"/>
        <v>5.7</v>
      </c>
      <c r="AG93" s="7">
        <f t="shared" si="240"/>
        <v>60.641668842471674</v>
      </c>
      <c r="AH93" s="7"/>
      <c r="AI93" s="7"/>
      <c r="AJ93" s="7">
        <v>400</v>
      </c>
      <c r="AK93" s="7"/>
      <c r="AL93" s="7"/>
      <c r="AM93" s="7">
        <v>0</v>
      </c>
      <c r="AN93" s="7">
        <v>0</v>
      </c>
      <c r="AO93" s="7">
        <f t="shared" ref="AO93:AO118" si="298">L93</f>
        <v>177.79999999999998</v>
      </c>
      <c r="AP93" s="7"/>
      <c r="AQ93" s="7"/>
      <c r="AR93" s="7"/>
      <c r="AS93" s="4">
        <f t="shared" si="292"/>
        <v>381</v>
      </c>
      <c r="AT93" s="44">
        <f t="shared" si="154"/>
        <v>5.9259259259259248E-2</v>
      </c>
      <c r="AU93" s="25">
        <f t="shared" si="241"/>
        <v>776.62106221784506</v>
      </c>
      <c r="AV93" s="4">
        <f t="shared" si="242"/>
        <v>0.74</v>
      </c>
      <c r="AW93" s="4">
        <v>1.25</v>
      </c>
      <c r="AX93" s="25">
        <f t="shared" si="286"/>
        <v>5</v>
      </c>
      <c r="AY93" s="38">
        <f t="shared" si="287"/>
        <v>212.85169853377971</v>
      </c>
      <c r="AZ93" s="38">
        <f t="shared" si="288"/>
        <v>212.85169853377971</v>
      </c>
      <c r="BB93" s="38">
        <f t="shared" si="129"/>
        <v>212.85169853377948</v>
      </c>
      <c r="BC93" s="38">
        <f t="shared" si="243"/>
        <v>1.0000000000000011</v>
      </c>
      <c r="BD93" s="38">
        <f t="shared" si="155"/>
        <v>1.9392721155802133</v>
      </c>
      <c r="BE93" s="4">
        <f t="shared" si="173"/>
        <v>0</v>
      </c>
      <c r="BF93" s="4">
        <f t="shared" si="244"/>
        <v>194.95009660475932</v>
      </c>
      <c r="BG93" s="4">
        <f t="shared" si="223"/>
        <v>1.1333333333333333</v>
      </c>
      <c r="BH93" s="38">
        <f t="shared" si="245"/>
        <v>412.77736372044433</v>
      </c>
      <c r="BI93" s="4">
        <f t="shared" si="224"/>
        <v>0.34199999999999997</v>
      </c>
      <c r="BJ93" s="4">
        <f t="shared" si="246"/>
        <v>34.836607512787459</v>
      </c>
      <c r="BK93" s="4">
        <f t="shared" si="247"/>
        <v>447.61397123323178</v>
      </c>
      <c r="BM93" s="36">
        <f t="shared" si="248"/>
        <v>1.1000000000000001</v>
      </c>
      <c r="BN93" s="36">
        <f t="shared" si="249"/>
        <v>193.24567576015772</v>
      </c>
      <c r="BS93" s="4">
        <f t="shared" si="174"/>
        <v>63.499999999999986</v>
      </c>
      <c r="BT93" s="4">
        <f t="shared" si="175"/>
        <v>63.499999999999986</v>
      </c>
      <c r="BU93" s="4">
        <f t="shared" si="176"/>
        <v>88.899999999999991</v>
      </c>
      <c r="BV93" s="4">
        <f t="shared" si="250"/>
        <v>76.199999999999989</v>
      </c>
      <c r="BW93" s="4">
        <f t="shared" si="177"/>
        <v>1.04</v>
      </c>
      <c r="BX93" s="25">
        <f t="shared" si="251"/>
        <v>3.1199999999999997</v>
      </c>
      <c r="BZ93" s="4">
        <f t="shared" si="178"/>
        <v>63.499999999999986</v>
      </c>
      <c r="CD93" s="9"/>
      <c r="CF93" s="9"/>
      <c r="CG93" s="9"/>
      <c r="CH93" s="9">
        <f t="shared" si="230"/>
        <v>50.8</v>
      </c>
      <c r="CI93" s="9">
        <f t="shared" si="231"/>
        <v>63.499999999999986</v>
      </c>
      <c r="CJ93" s="9">
        <f t="shared" si="252"/>
        <v>1.4623505735569622</v>
      </c>
      <c r="CK93" s="70">
        <v>0</v>
      </c>
      <c r="CL93" s="9">
        <f t="shared" si="253"/>
        <v>0</v>
      </c>
      <c r="CM93" s="9">
        <f t="shared" si="254"/>
        <v>0</v>
      </c>
      <c r="CN93" s="9">
        <f t="shared" si="255"/>
        <v>0.99524931562137331</v>
      </c>
      <c r="CO93" s="9">
        <f t="shared" si="256"/>
        <v>1.056</v>
      </c>
      <c r="CP93" s="9">
        <f t="shared" si="257"/>
        <v>1.9464482686693119</v>
      </c>
      <c r="CQ93" s="9">
        <f t="shared" si="258"/>
        <v>2.8463897420875242</v>
      </c>
      <c r="CR93" s="9">
        <v>1</v>
      </c>
      <c r="CS93" s="9">
        <f t="shared" si="259"/>
        <v>250.48229730370213</v>
      </c>
      <c r="CU93" s="4">
        <f t="shared" si="209"/>
        <v>2.0518071391929475</v>
      </c>
      <c r="CV93" s="4">
        <f t="shared" si="210"/>
        <v>0.89362715577878549</v>
      </c>
      <c r="CW93" s="4">
        <f t="shared" si="211"/>
        <v>2.0699040142893055</v>
      </c>
      <c r="CX93" s="4">
        <f t="shared" si="212"/>
        <v>1.5969192406240678</v>
      </c>
      <c r="CY93" s="4">
        <f t="shared" si="213"/>
        <v>1.1055834412003578</v>
      </c>
      <c r="CZ93" s="4">
        <f t="shared" si="214"/>
        <v>1.2379438411590769</v>
      </c>
      <c r="DA93" s="4">
        <f t="shared" si="162"/>
        <v>0.9881784838807981</v>
      </c>
      <c r="DC93" s="4">
        <f t="shared" si="215"/>
        <v>2.0518071391929475</v>
      </c>
      <c r="DD93" s="4">
        <f t="shared" si="215"/>
        <v>0.89362715577878549</v>
      </c>
      <c r="DE93" s="4">
        <f t="shared" si="216"/>
        <v>1.5969192406240678</v>
      </c>
      <c r="DF93" s="4">
        <f>DA93</f>
        <v>0.9881784838807981</v>
      </c>
      <c r="DG93" s="4">
        <f t="shared" si="218"/>
        <v>1.1055834412003578</v>
      </c>
      <c r="DH93" s="4">
        <f t="shared" si="218"/>
        <v>1.2379438411590769</v>
      </c>
      <c r="DP93" s="4">
        <f t="shared" si="182"/>
        <v>0</v>
      </c>
      <c r="DQ93" s="4">
        <f t="shared" si="260"/>
        <v>381</v>
      </c>
      <c r="DR93" s="4">
        <f t="shared" si="261"/>
        <v>0.46666666666666662</v>
      </c>
      <c r="DT93" s="4">
        <f t="shared" si="262"/>
        <v>2.6402037423385414E-5</v>
      </c>
      <c r="DU93" s="4">
        <f t="shared" si="183"/>
        <v>6.6857562842857838</v>
      </c>
      <c r="DV93" s="4">
        <f t="shared" si="289"/>
        <v>0.38164471441117015</v>
      </c>
      <c r="DW93" s="4">
        <f t="shared" si="263"/>
        <v>4.5479349265027409</v>
      </c>
      <c r="DX93" s="4">
        <f t="shared" si="264"/>
        <v>5.718003726364846</v>
      </c>
      <c r="DY93" s="4">
        <f t="shared" si="265"/>
        <v>6.0325477522062965</v>
      </c>
      <c r="DZ93" s="38">
        <f t="shared" si="266"/>
        <v>361.7999194757391</v>
      </c>
      <c r="EA93" s="4">
        <f t="shared" si="267"/>
        <v>1.0001917675827809</v>
      </c>
      <c r="EB93" s="4">
        <f t="shared" si="290"/>
        <v>2.3874672772626644</v>
      </c>
      <c r="EC93" s="4">
        <f t="shared" si="291"/>
        <v>212.85169853377948</v>
      </c>
      <c r="EG93" s="4">
        <f t="shared" si="268"/>
        <v>0.85</v>
      </c>
      <c r="EH93" s="4">
        <f t="shared" si="269"/>
        <v>0.85000000000000009</v>
      </c>
      <c r="EI93" s="4">
        <f t="shared" si="270"/>
        <v>1</v>
      </c>
      <c r="EJ93" s="4">
        <f t="shared" si="271"/>
        <v>0.85000000000000009</v>
      </c>
      <c r="EL93" s="4">
        <f t="shared" si="272"/>
        <v>323.11643444623724</v>
      </c>
      <c r="EM93" s="25">
        <f t="shared" si="273"/>
        <v>209.93356079366291</v>
      </c>
      <c r="EO93" s="4">
        <f t="shared" si="168"/>
        <v>0.72250000000000003</v>
      </c>
      <c r="EP93" s="4">
        <f t="shared" si="274"/>
        <v>6.6857562842857838</v>
      </c>
      <c r="EQ93" s="4">
        <f t="shared" si="275"/>
        <v>6.028412726414806</v>
      </c>
      <c r="ES93" s="4">
        <f t="shared" si="276"/>
        <v>60.641668842471674</v>
      </c>
      <c r="ET93" s="4">
        <f t="shared" si="184"/>
        <v>2.3874672772626644</v>
      </c>
      <c r="EU93" s="4">
        <f t="shared" si="277"/>
        <v>0.11042655740559816</v>
      </c>
      <c r="EX93" s="4">
        <f t="shared" si="185"/>
        <v>0.11042655740559816</v>
      </c>
      <c r="EY93" s="4">
        <f t="shared" si="278"/>
        <v>0.38100782051172344</v>
      </c>
      <c r="EZ93" s="4">
        <f t="shared" si="186"/>
        <v>4.5448975429530103</v>
      </c>
      <c r="FA93" s="4">
        <f t="shared" si="232"/>
        <v>5.7167982559416854</v>
      </c>
      <c r="FB93" s="4">
        <f t="shared" si="188"/>
        <v>225.10833115752831</v>
      </c>
      <c r="FC93" s="4">
        <f t="shared" si="189"/>
        <v>95.25</v>
      </c>
      <c r="FD93" s="4">
        <f t="shared" si="279"/>
        <v>2.6402037423385414E-5</v>
      </c>
      <c r="FE93" s="4">
        <f t="shared" si="233"/>
        <v>6.0327059192851493</v>
      </c>
      <c r="FF93" s="4">
        <f t="shared" si="280"/>
        <v>361.73055128230169</v>
      </c>
      <c r="FG93" s="4">
        <f t="shared" si="191"/>
        <v>117.15833115752831</v>
      </c>
      <c r="FH93" s="4">
        <f t="shared" si="192"/>
        <v>0</v>
      </c>
      <c r="FJ93" s="4">
        <f t="shared" si="281"/>
        <v>187.6761591402859</v>
      </c>
      <c r="FO93" s="23">
        <f t="shared" si="219"/>
        <v>2.2000000000000002</v>
      </c>
      <c r="FP93" s="23">
        <f t="shared" si="219"/>
        <v>1</v>
      </c>
      <c r="FQ93" s="23">
        <f t="shared" si="229"/>
        <v>1</v>
      </c>
      <c r="FR93" s="23">
        <f t="shared" si="220"/>
        <v>1.6</v>
      </c>
      <c r="FS93" s="23">
        <f t="shared" si="220"/>
        <v>1.2</v>
      </c>
      <c r="FT93" s="23">
        <f t="shared" si="220"/>
        <v>1.4</v>
      </c>
      <c r="FU93" s="23">
        <f t="shared" si="221"/>
        <v>0</v>
      </c>
      <c r="FV93" s="23"/>
      <c r="GF93" s="4">
        <f t="shared" si="282"/>
        <v>1</v>
      </c>
      <c r="GG93" s="4">
        <f t="shared" si="283"/>
        <v>0.85000000000000009</v>
      </c>
      <c r="GH93" s="4">
        <f t="shared" si="284"/>
        <v>0</v>
      </c>
      <c r="GI93" s="4">
        <f t="shared" si="285"/>
        <v>404.78517446474899</v>
      </c>
    </row>
    <row r="94" spans="1:192" ht="12" hidden="1" customHeight="1" x14ac:dyDescent="0.3">
      <c r="A94" s="25">
        <v>75</v>
      </c>
      <c r="B94" s="20" t="s">
        <v>54</v>
      </c>
      <c r="C94" s="20">
        <v>2006</v>
      </c>
      <c r="D94" s="24" t="s">
        <v>55</v>
      </c>
      <c r="E94" s="24"/>
      <c r="F94" s="24"/>
      <c r="G94" s="24"/>
      <c r="H94" s="7" t="s">
        <v>66</v>
      </c>
      <c r="I94" s="7"/>
      <c r="J94" s="7">
        <v>472</v>
      </c>
      <c r="K94" s="7">
        <f t="shared" si="236"/>
        <v>381</v>
      </c>
      <c r="L94" s="7">
        <f t="shared" si="148"/>
        <v>177.79999999999998</v>
      </c>
      <c r="M94" s="7">
        <v>26</v>
      </c>
      <c r="N94" s="7">
        <v>25.4</v>
      </c>
      <c r="O94" s="7">
        <f t="shared" si="171"/>
        <v>15</v>
      </c>
      <c r="P94" s="7">
        <v>7</v>
      </c>
      <c r="Q94" s="7">
        <f t="shared" si="293"/>
        <v>152.39999999999998</v>
      </c>
      <c r="R94" s="7"/>
      <c r="S94" s="7">
        <f t="shared" si="237"/>
        <v>63.499999999999986</v>
      </c>
      <c r="T94" s="7"/>
      <c r="U94" s="7">
        <f t="shared" si="150"/>
        <v>50.8</v>
      </c>
      <c r="V94" s="7"/>
      <c r="W94" s="7">
        <v>0</v>
      </c>
      <c r="X94" s="7">
        <v>1</v>
      </c>
      <c r="Y94" s="7"/>
      <c r="Z94" s="7"/>
      <c r="AA94" s="7">
        <f t="shared" si="151"/>
        <v>88.899999999999991</v>
      </c>
      <c r="AB94" s="7">
        <f t="shared" si="238"/>
        <v>2.9999999999999996</v>
      </c>
      <c r="AC94" s="7">
        <f t="shared" si="152"/>
        <v>4</v>
      </c>
      <c r="AD94" s="7">
        <v>4.7</v>
      </c>
      <c r="AE94" s="7">
        <f t="shared" si="172"/>
        <v>4.7</v>
      </c>
      <c r="AF94" s="7">
        <f t="shared" si="239"/>
        <v>5.7</v>
      </c>
      <c r="AG94" s="7">
        <f t="shared" si="240"/>
        <v>60.641668842471674</v>
      </c>
      <c r="AH94" s="7"/>
      <c r="AI94" s="7"/>
      <c r="AJ94" s="7">
        <v>455</v>
      </c>
      <c r="AK94" s="7"/>
      <c r="AL94" s="7"/>
      <c r="AM94" s="7">
        <v>0</v>
      </c>
      <c r="AN94" s="7">
        <v>0</v>
      </c>
      <c r="AO94" s="7">
        <f t="shared" si="298"/>
        <v>177.79999999999998</v>
      </c>
      <c r="AP94" s="7"/>
      <c r="AQ94" s="7"/>
      <c r="AR94" s="7"/>
      <c r="AS94" s="4">
        <f t="shared" si="292"/>
        <v>381</v>
      </c>
      <c r="AT94" s="44">
        <f t="shared" si="154"/>
        <v>5.9259259259259248E-2</v>
      </c>
      <c r="AU94" s="25">
        <f t="shared" si="241"/>
        <v>748.37078117567501</v>
      </c>
      <c r="AV94" s="4">
        <f t="shared" si="242"/>
        <v>0.74</v>
      </c>
      <c r="AW94" s="4">
        <v>1.25</v>
      </c>
      <c r="AX94" s="25">
        <f t="shared" si="286"/>
        <v>5</v>
      </c>
      <c r="AY94" s="38">
        <f t="shared" si="287"/>
        <v>205.10902891481459</v>
      </c>
      <c r="AZ94" s="38">
        <f t="shared" si="288"/>
        <v>205.10902891481459</v>
      </c>
      <c r="BB94" s="38">
        <f t="shared" si="129"/>
        <v>205.10902891481439</v>
      </c>
      <c r="BC94" s="38">
        <f t="shared" si="243"/>
        <v>1.0000000000000009</v>
      </c>
      <c r="BD94" s="38">
        <f t="shared" si="155"/>
        <v>1.868729369641889</v>
      </c>
      <c r="BE94" s="4">
        <f t="shared" si="173"/>
        <v>0</v>
      </c>
      <c r="BF94" s="4">
        <f t="shared" si="244"/>
        <v>187.85861365868152</v>
      </c>
      <c r="BG94" s="4">
        <f t="shared" si="223"/>
        <v>1.1333333333333333</v>
      </c>
      <c r="BH94" s="38">
        <f t="shared" si="245"/>
        <v>383.29326631184108</v>
      </c>
      <c r="BI94" s="4">
        <f t="shared" si="224"/>
        <v>0.34199999999999997</v>
      </c>
      <c r="BJ94" s="4">
        <f t="shared" si="246"/>
        <v>33.569394967738091</v>
      </c>
      <c r="BK94" s="4">
        <f t="shared" si="247"/>
        <v>416.86266127957919</v>
      </c>
      <c r="BM94" s="36">
        <f t="shared" si="248"/>
        <v>1.1000000000000001</v>
      </c>
      <c r="BN94" s="36">
        <f t="shared" si="249"/>
        <v>186.21619263640849</v>
      </c>
      <c r="BS94" s="4">
        <f t="shared" si="174"/>
        <v>63.499999999999986</v>
      </c>
      <c r="BT94" s="4">
        <f t="shared" si="175"/>
        <v>63.499999999999986</v>
      </c>
      <c r="BU94" s="4">
        <f t="shared" si="176"/>
        <v>88.899999999999991</v>
      </c>
      <c r="BV94" s="4">
        <f t="shared" si="250"/>
        <v>76.199999999999989</v>
      </c>
      <c r="BW94" s="4">
        <f t="shared" si="177"/>
        <v>1.04</v>
      </c>
      <c r="BX94" s="25">
        <f t="shared" si="251"/>
        <v>3.1199999999999997</v>
      </c>
      <c r="BZ94" s="4">
        <f t="shared" si="178"/>
        <v>63.499999999999986</v>
      </c>
      <c r="CD94" s="9"/>
      <c r="CF94" s="9"/>
      <c r="CG94" s="9"/>
      <c r="CH94" s="9">
        <f t="shared" si="230"/>
        <v>50.8</v>
      </c>
      <c r="CI94" s="9">
        <f t="shared" si="231"/>
        <v>63.499999999999986</v>
      </c>
      <c r="CJ94" s="9">
        <f t="shared" si="252"/>
        <v>1.4623505735569622</v>
      </c>
      <c r="CK94" s="70">
        <v>0</v>
      </c>
      <c r="CL94" s="9">
        <f t="shared" si="253"/>
        <v>0</v>
      </c>
      <c r="CM94" s="9">
        <f t="shared" si="254"/>
        <v>0</v>
      </c>
      <c r="CN94" s="9">
        <f t="shared" si="255"/>
        <v>0.99524931562137331</v>
      </c>
      <c r="CO94" s="9">
        <f t="shared" si="256"/>
        <v>1.056</v>
      </c>
      <c r="CP94" s="9">
        <f t="shared" si="257"/>
        <v>1.8756444837875041</v>
      </c>
      <c r="CQ94" s="9">
        <f t="shared" si="258"/>
        <v>2.7428497866556087</v>
      </c>
      <c r="CR94" s="9">
        <v>1</v>
      </c>
      <c r="CS94" s="9">
        <f t="shared" si="259"/>
        <v>241.37078122569358</v>
      </c>
      <c r="CU94" s="4">
        <f t="shared" si="209"/>
        <v>2.422034268956573</v>
      </c>
      <c r="CV94" s="4">
        <f t="shared" si="210"/>
        <v>1.0914865788251615</v>
      </c>
      <c r="CW94" s="4">
        <f t="shared" si="211"/>
        <v>2.4433965358125338</v>
      </c>
      <c r="CX94" s="4">
        <f t="shared" si="212"/>
        <v>1.8850666086818213</v>
      </c>
      <c r="CY94" s="4">
        <f t="shared" si="213"/>
        <v>1.300942585699558</v>
      </c>
      <c r="CZ94" s="4">
        <f t="shared" si="214"/>
        <v>1.4653825476444258</v>
      </c>
      <c r="DA94" s="4">
        <f t="shared" si="162"/>
        <v>1.145072460213131</v>
      </c>
      <c r="DC94" s="4">
        <f t="shared" si="215"/>
        <v>2.422034268956573</v>
      </c>
      <c r="DD94" s="4">
        <f t="shared" si="215"/>
        <v>1.0914865788251615</v>
      </c>
      <c r="DE94" s="4">
        <f t="shared" si="216"/>
        <v>1.8850666086818213</v>
      </c>
      <c r="DF94" s="4">
        <f t="shared" ref="DF94:DF104" si="299">DA94</f>
        <v>1.145072460213131</v>
      </c>
      <c r="DG94" s="4">
        <f t="shared" si="218"/>
        <v>1.300942585699558</v>
      </c>
      <c r="DH94" s="4">
        <f t="shared" si="218"/>
        <v>1.4653825476444258</v>
      </c>
      <c r="DP94" s="4">
        <f t="shared" si="182"/>
        <v>0</v>
      </c>
      <c r="DQ94" s="4">
        <f t="shared" si="260"/>
        <v>381</v>
      </c>
      <c r="DR94" s="4">
        <f t="shared" si="261"/>
        <v>0.46666666666666662</v>
      </c>
      <c r="DT94" s="4">
        <f t="shared" si="262"/>
        <v>2.6015824312812745E-5</v>
      </c>
      <c r="DU94" s="4">
        <f t="shared" si="183"/>
        <v>6.4425559602163514</v>
      </c>
      <c r="DV94" s="4">
        <f t="shared" si="289"/>
        <v>0.3960514372704414</v>
      </c>
      <c r="DW94" s="4">
        <f t="shared" si="263"/>
        <v>4.4479391474826082</v>
      </c>
      <c r="DX94" s="4">
        <f t="shared" si="264"/>
        <v>5.5361186564923655</v>
      </c>
      <c r="DY94" s="4">
        <f t="shared" si="265"/>
        <v>5.841129843893162</v>
      </c>
      <c r="DZ94" s="38">
        <f t="shared" si="266"/>
        <v>349.74641079593232</v>
      </c>
      <c r="EA94" s="4">
        <f t="shared" si="267"/>
        <v>1.000195544579793</v>
      </c>
      <c r="EB94" s="4">
        <f t="shared" si="290"/>
        <v>2.3874672772626644</v>
      </c>
      <c r="EC94" s="4">
        <f t="shared" si="291"/>
        <v>205.10902891481439</v>
      </c>
      <c r="EG94" s="4">
        <f t="shared" si="268"/>
        <v>0.85</v>
      </c>
      <c r="EH94" s="4">
        <f t="shared" si="269"/>
        <v>0.85000000000000009</v>
      </c>
      <c r="EI94" s="4">
        <f t="shared" si="270"/>
        <v>1</v>
      </c>
      <c r="EJ94" s="4">
        <f t="shared" si="271"/>
        <v>0.85000000000000009</v>
      </c>
      <c r="EL94" s="4">
        <f t="shared" si="272"/>
        <v>310.49912579578876</v>
      </c>
      <c r="EM94" s="25">
        <f t="shared" si="273"/>
        <v>202.29704102729465</v>
      </c>
      <c r="EO94" s="4">
        <f>EG94*EJ94</f>
        <v>0.72250000000000003</v>
      </c>
      <c r="EP94" s="4">
        <f t="shared" si="274"/>
        <v>6.4425559602163514</v>
      </c>
      <c r="EQ94" s="4">
        <f t="shared" si="275"/>
        <v>5.8091238582078786</v>
      </c>
      <c r="ES94" s="4">
        <f t="shared" si="276"/>
        <v>60.641668842471674</v>
      </c>
      <c r="ET94" s="4">
        <f t="shared" si="184"/>
        <v>2.3874672772626644</v>
      </c>
      <c r="EU94" s="4">
        <f t="shared" si="277"/>
        <v>0.11042655740559819</v>
      </c>
      <c r="EX94" s="4">
        <f t="shared" si="185"/>
        <v>0.11042655740559819</v>
      </c>
      <c r="EY94" s="4">
        <f t="shared" si="278"/>
        <v>0.39539050123559077</v>
      </c>
      <c r="EZ94" s="4">
        <f t="shared" si="186"/>
        <v>4.4449685471079112</v>
      </c>
      <c r="FA94" s="4">
        <f t="shared" si="232"/>
        <v>5.534927476770882</v>
      </c>
      <c r="FB94" s="4">
        <f t="shared" si="188"/>
        <v>225.10833115752831</v>
      </c>
      <c r="FC94" s="4">
        <f t="shared" si="189"/>
        <v>95.25</v>
      </c>
      <c r="FD94" s="4">
        <f t="shared" si="279"/>
        <v>2.6015824312812745E-5</v>
      </c>
      <c r="FE94" s="4">
        <f t="shared" si="233"/>
        <v>5.8412777557424471</v>
      </c>
      <c r="FF94" s="4">
        <f t="shared" si="280"/>
        <v>349.67803315187678</v>
      </c>
      <c r="FG94" s="4">
        <f t="shared" si="191"/>
        <v>117.15833115752831</v>
      </c>
      <c r="FH94" s="4">
        <f t="shared" si="192"/>
        <v>0</v>
      </c>
      <c r="FJ94" s="4">
        <f t="shared" si="281"/>
        <v>181.71293344124172</v>
      </c>
      <c r="FO94" s="23">
        <f t="shared" si="219"/>
        <v>2.2000000000000002</v>
      </c>
      <c r="FP94" s="23">
        <f t="shared" si="219"/>
        <v>1.2</v>
      </c>
      <c r="FQ94" s="23">
        <f t="shared" si="229"/>
        <v>1.2</v>
      </c>
      <c r="FR94" s="23">
        <f t="shared" si="220"/>
        <v>2</v>
      </c>
      <c r="FS94" s="23">
        <f t="shared" si="220"/>
        <v>1.4</v>
      </c>
      <c r="FT94" s="23">
        <f t="shared" si="220"/>
        <v>1.6</v>
      </c>
      <c r="FU94" s="23">
        <f t="shared" si="221"/>
        <v>0</v>
      </c>
      <c r="FV94" s="23"/>
      <c r="GF94" s="4">
        <f t="shared" si="282"/>
        <v>1</v>
      </c>
      <c r="GG94" s="4">
        <f t="shared" si="283"/>
        <v>0.85000000000000009</v>
      </c>
      <c r="GH94" s="4">
        <f t="shared" si="284"/>
        <v>0</v>
      </c>
      <c r="GI94" s="4">
        <f t="shared" si="285"/>
        <v>397.35476645321762</v>
      </c>
    </row>
    <row r="95" spans="1:192" ht="12" hidden="1" customHeight="1" x14ac:dyDescent="0.3">
      <c r="A95" s="25">
        <v>76</v>
      </c>
      <c r="B95" s="24" t="s">
        <v>605</v>
      </c>
      <c r="C95" s="24">
        <v>2016</v>
      </c>
      <c r="D95" s="24" t="s">
        <v>55</v>
      </c>
      <c r="E95" s="24"/>
      <c r="F95" s="24"/>
      <c r="G95" s="24"/>
      <c r="H95" s="7" t="s">
        <v>612</v>
      </c>
      <c r="I95" s="7"/>
      <c r="J95" s="38">
        <f>129/0.145</f>
        <v>889.65517241379314</v>
      </c>
      <c r="K95" s="38">
        <f>9*25.4</f>
        <v>228.6</v>
      </c>
      <c r="L95" s="4">
        <f>K95</f>
        <v>228.6</v>
      </c>
      <c r="M95" s="38">
        <f>5740/145</f>
        <v>39.586206896551722</v>
      </c>
      <c r="N95" s="38">
        <f>1*25.4</f>
        <v>25.4</v>
      </c>
      <c r="O95" s="7">
        <f>K95/N95</f>
        <v>9</v>
      </c>
      <c r="P95" s="7">
        <f>L95/N95</f>
        <v>9</v>
      </c>
      <c r="Q95" s="38">
        <f>18*25.4</f>
        <v>457.2</v>
      </c>
      <c r="R95" s="38"/>
      <c r="S95" s="38">
        <f>2.5*25.4</f>
        <v>63.5</v>
      </c>
      <c r="T95" s="38"/>
      <c r="U95" s="7">
        <f t="shared" si="150"/>
        <v>50.8</v>
      </c>
      <c r="V95" s="7"/>
      <c r="W95" s="7">
        <f t="shared" ref="W95:W104" si="300">(Q95-X95*N95-2*S95)/(X95-1)</f>
        <v>279.39999999999998</v>
      </c>
      <c r="X95" s="38">
        <v>2</v>
      </c>
      <c r="Y95" s="38"/>
      <c r="Z95" s="38"/>
      <c r="AA95" s="39">
        <f>2*25.4</f>
        <v>50.8</v>
      </c>
      <c r="AB95" s="7">
        <f t="shared" ref="AB95:AB126" si="301">MIN(W95/N95/2+0.5, (AA95+N95/2)/N95, S95/N95+0.5)</f>
        <v>2.5</v>
      </c>
      <c r="AC95" s="7">
        <f t="shared" ref="AC95:AC104" si="302">S95/N95+0.5</f>
        <v>3</v>
      </c>
      <c r="AD95" s="38">
        <v>4</v>
      </c>
      <c r="AE95" s="4">
        <f>AD95</f>
        <v>4</v>
      </c>
      <c r="AF95" s="4">
        <f>AE95+1</f>
        <v>5</v>
      </c>
      <c r="AG95" s="7">
        <f t="shared" si="240"/>
        <v>56.796126628494655</v>
      </c>
      <c r="AJ95" s="38">
        <f>101.9/(PI()/4)/0.145*AL104</f>
        <v>756.43445013829012</v>
      </c>
      <c r="AK95" s="4" t="s">
        <v>654</v>
      </c>
      <c r="AM95" s="38">
        <v>0</v>
      </c>
      <c r="AN95" s="38">
        <v>0</v>
      </c>
      <c r="AO95" s="7">
        <f t="shared" si="298"/>
        <v>228.6</v>
      </c>
      <c r="AP95" s="39"/>
      <c r="AQ95" s="39"/>
      <c r="AR95" s="7"/>
      <c r="AS95" s="4">
        <f t="shared" si="292"/>
        <v>228.6</v>
      </c>
      <c r="AT95" s="44">
        <f t="shared" ref="AT95:AT104" si="303">MIN(Q95)*(MIN(20*25.4-AA95-0.5*N95,1.5*AS95)+AA95+N95/2)/(3*K95)^2</f>
        <v>0.39506172839506176</v>
      </c>
      <c r="AU95" s="25">
        <f t="shared" si="241"/>
        <v>214.58480899223187</v>
      </c>
      <c r="AV95" s="4">
        <f t="shared" si="242"/>
        <v>0.75555555555555554</v>
      </c>
      <c r="AW95" s="4">
        <v>1.25</v>
      </c>
      <c r="AX95" s="25">
        <f t="shared" si="286"/>
        <v>5</v>
      </c>
      <c r="AY95" s="38">
        <f t="shared" si="287"/>
        <v>400.32282610347784</v>
      </c>
      <c r="AZ95" s="38">
        <f t="shared" si="288"/>
        <v>400.32282610347784</v>
      </c>
      <c r="BB95" s="38">
        <f t="shared" ref="BB95:BB104" si="304">AX95* (M95^0.5/AS95^0.5)/(PI()/4*N95^2)/X95/0.72 *(0.7+(MIN(S95,AA95)+0.5*N95)/5/K95) *(Q95*MIN(AA95+0.5*N95+1.5*K95,20*25.4))</f>
        <v>400.32282610347767</v>
      </c>
      <c r="BC95" s="38">
        <f t="shared" si="243"/>
        <v>1.0000000000000004</v>
      </c>
      <c r="BD95" s="38">
        <f t="shared" si="155"/>
        <v>1.0679656682185992</v>
      </c>
      <c r="BE95" s="4">
        <f t="shared" si="173"/>
        <v>0</v>
      </c>
      <c r="BF95" s="4">
        <f t="shared" si="244"/>
        <v>298.030597558213</v>
      </c>
      <c r="BG95" s="4">
        <f t="shared" si="223"/>
        <v>1.08</v>
      </c>
      <c r="BH95" s="38">
        <f t="shared" si="245"/>
        <v>427.53103448275863</v>
      </c>
      <c r="BI95" s="4">
        <f t="shared" si="224"/>
        <v>0.44000000000000006</v>
      </c>
      <c r="BJ95" s="4">
        <f t="shared" si="246"/>
        <v>68.517234378633177</v>
      </c>
      <c r="BK95" s="4">
        <f t="shared" si="247"/>
        <v>496.04826886139182</v>
      </c>
      <c r="BM95" s="36">
        <f t="shared" si="248"/>
        <v>1.1000000000000001</v>
      </c>
      <c r="BN95" s="36">
        <f t="shared" si="249"/>
        <v>251.92195266487349</v>
      </c>
      <c r="BS95" s="4">
        <f t="shared" si="174"/>
        <v>63.5</v>
      </c>
      <c r="BT95" s="4">
        <f t="shared" si="175"/>
        <v>50.8</v>
      </c>
      <c r="BU95" s="4">
        <f t="shared" si="176"/>
        <v>63.5</v>
      </c>
      <c r="BV95" s="4">
        <f t="shared" si="250"/>
        <v>63.5</v>
      </c>
      <c r="BW95" s="4">
        <f t="shared" si="177"/>
        <v>1.0250000000000001</v>
      </c>
      <c r="BX95" s="25">
        <f t="shared" si="251"/>
        <v>2.5625000000000004</v>
      </c>
      <c r="BZ95" s="4">
        <f t="shared" si="178"/>
        <v>63.5</v>
      </c>
      <c r="CD95" s="9"/>
      <c r="CF95" s="9"/>
      <c r="CG95" s="9"/>
      <c r="CH95" s="9">
        <f t="shared" si="230"/>
        <v>50.8</v>
      </c>
      <c r="CI95" s="9">
        <f t="shared" si="231"/>
        <v>139.69999999999999</v>
      </c>
      <c r="CJ95" s="9">
        <f t="shared" si="252"/>
        <v>1.6459434193552143</v>
      </c>
      <c r="CK95" s="70">
        <v>0</v>
      </c>
      <c r="CL95" s="9">
        <f t="shared" si="253"/>
        <v>0</v>
      </c>
      <c r="CM95" s="9">
        <f t="shared" si="254"/>
        <v>0</v>
      </c>
      <c r="CN95" s="9">
        <f t="shared" si="255"/>
        <v>0.99524931562137331</v>
      </c>
      <c r="CO95" s="9">
        <f t="shared" si="256"/>
        <v>0.68</v>
      </c>
      <c r="CP95" s="9">
        <f t="shared" si="257"/>
        <v>1.490324324005301</v>
      </c>
      <c r="CQ95" s="9">
        <f t="shared" si="258"/>
        <v>2.4529895138015334</v>
      </c>
      <c r="CR95" s="9">
        <v>1</v>
      </c>
      <c r="CS95" s="9">
        <f t="shared" si="259"/>
        <v>235.48699332494721</v>
      </c>
      <c r="CU95" s="4">
        <f t="shared" si="209"/>
        <v>2.5381100341233895</v>
      </c>
      <c r="CV95" s="4">
        <f t="shared" si="210"/>
        <v>1.5249210563209457</v>
      </c>
      <c r="CW95" s="4">
        <f t="shared" si="211"/>
        <v>3.0026539653912536</v>
      </c>
      <c r="CX95" s="4">
        <f t="shared" si="212"/>
        <v>3.2122132923685105</v>
      </c>
      <c r="CY95" s="4">
        <f t="shared" si="213"/>
        <v>1.1561639069038447</v>
      </c>
      <c r="CZ95" s="4">
        <f t="shared" si="214"/>
        <v>1.0724330257730104</v>
      </c>
      <c r="DA95" s="4">
        <f t="shared" si="162"/>
        <v>1.6801577724580639</v>
      </c>
      <c r="DC95" s="4">
        <f t="shared" si="215"/>
        <v>2.5381100341233895</v>
      </c>
      <c r="DD95" s="4">
        <f t="shared" si="215"/>
        <v>1.5249210563209457</v>
      </c>
      <c r="DE95" s="4">
        <f t="shared" si="216"/>
        <v>3.2122132923685105</v>
      </c>
      <c r="DF95" s="4">
        <f t="shared" si="299"/>
        <v>1.6801577724580639</v>
      </c>
      <c r="DG95" s="4">
        <f t="shared" si="218"/>
        <v>1.1561639069038447</v>
      </c>
      <c r="DH95" s="4">
        <f t="shared" si="218"/>
        <v>1.0724330257730104</v>
      </c>
      <c r="DP95" s="4">
        <f t="shared" si="182"/>
        <v>0</v>
      </c>
      <c r="DQ95" s="4">
        <f t="shared" si="260"/>
        <v>228.6</v>
      </c>
      <c r="DR95" s="4">
        <f t="shared" si="261"/>
        <v>1</v>
      </c>
      <c r="DT95" s="4">
        <f t="shared" si="262"/>
        <v>1.7165449536863499E-5</v>
      </c>
      <c r="DU95" s="4">
        <f t="shared" si="183"/>
        <v>7.9495669385574006</v>
      </c>
      <c r="DV95" s="4">
        <f t="shared" si="289"/>
        <v>0.55871723432551368</v>
      </c>
      <c r="DW95" s="4">
        <f t="shared" si="263"/>
        <v>6.298255836540501</v>
      </c>
      <c r="DX95" s="4">
        <f t="shared" si="264"/>
        <v>7.1716614786486721</v>
      </c>
      <c r="DY95" s="4">
        <f t="shared" si="265"/>
        <v>7.5685095187246061</v>
      </c>
      <c r="DZ95" s="38">
        <f t="shared" si="266"/>
        <v>654.26229414477029</v>
      </c>
      <c r="EA95" s="4">
        <f t="shared" si="267"/>
        <v>1.0001067807267576</v>
      </c>
      <c r="EB95" s="4">
        <f t="shared" si="290"/>
        <v>2.2360679774997898</v>
      </c>
      <c r="EC95" s="4">
        <f t="shared" si="291"/>
        <v>400.32282610347767</v>
      </c>
      <c r="EG95" s="4">
        <f t="shared" si="268"/>
        <v>0.85</v>
      </c>
      <c r="EH95" s="4">
        <f t="shared" si="269"/>
        <v>0.85</v>
      </c>
      <c r="EI95" s="4">
        <f t="shared" si="270"/>
        <v>1</v>
      </c>
      <c r="EJ95" s="4">
        <f t="shared" si="271"/>
        <v>0.85</v>
      </c>
      <c r="EL95" s="4">
        <f t="shared" si="272"/>
        <v>705.34423312173897</v>
      </c>
      <c r="EM95" s="25">
        <f t="shared" ref="EM95:EM104" si="305">8.8*Q95*(20*25.4)*M95^0.5/X95/N95^2/K95^0.5*(0.7+MIN(AA95,S95)/5/K95)</f>
        <v>490.70592578068914</v>
      </c>
      <c r="EO95" s="4">
        <f>EG95*EJ95</f>
        <v>0.72249999999999992</v>
      </c>
      <c r="EP95" s="4">
        <f t="shared" si="274"/>
        <v>7.9495669385574006</v>
      </c>
      <c r="EQ95" s="4">
        <f t="shared" si="275"/>
        <v>5.8871511659354159</v>
      </c>
      <c r="ES95" s="4">
        <f t="shared" si="276"/>
        <v>56.796126628494655</v>
      </c>
      <c r="ET95" s="4">
        <f t="shared" si="184"/>
        <v>2.2360679774997898</v>
      </c>
      <c r="EU95" s="4">
        <f t="shared" si="277"/>
        <v>0.1922203122479216</v>
      </c>
      <c r="EX95" s="4">
        <f t="shared" si="185"/>
        <v>0.1922203122479216</v>
      </c>
      <c r="EY95" s="4">
        <f t="shared" si="278"/>
        <v>0.55778483939216139</v>
      </c>
      <c r="EZ95" s="4">
        <f t="shared" si="186"/>
        <v>6.2940494837718139</v>
      </c>
      <c r="FA95" s="4">
        <f t="shared" si="232"/>
        <v>7.1698155001937067</v>
      </c>
      <c r="FB95" s="4">
        <f t="shared" si="188"/>
        <v>114.65387337150534</v>
      </c>
      <c r="FC95" s="4">
        <f t="shared" si="189"/>
        <v>57.150000000000006</v>
      </c>
      <c r="FD95" s="4">
        <f t="shared" si="279"/>
        <v>1.7165449536863506E-5</v>
      </c>
      <c r="FE95" s="4">
        <f t="shared" si="233"/>
        <v>7.5686315302667664</v>
      </c>
      <c r="FF95" s="4">
        <f t="shared" si="280"/>
        <v>654.19243900069443</v>
      </c>
      <c r="FG95" s="4">
        <f t="shared" si="191"/>
        <v>114.65387337150534</v>
      </c>
      <c r="FH95" s="4">
        <f t="shared" si="192"/>
        <v>57.15</v>
      </c>
      <c r="FJ95" s="4">
        <f t="shared" si="281"/>
        <v>0</v>
      </c>
      <c r="FO95" s="23">
        <f t="shared" si="219"/>
        <v>2.2000000000000002</v>
      </c>
      <c r="FP95" s="23">
        <f t="shared" si="219"/>
        <v>1.6</v>
      </c>
      <c r="FQ95" s="23">
        <f t="shared" si="229"/>
        <v>1.8</v>
      </c>
      <c r="FR95" s="23">
        <f t="shared" si="220"/>
        <v>2.2000000000000002</v>
      </c>
      <c r="FS95" s="23">
        <f t="shared" si="220"/>
        <v>1.2</v>
      </c>
      <c r="FT95" s="23">
        <f t="shared" si="220"/>
        <v>1.2</v>
      </c>
      <c r="FU95" s="23">
        <f t="shared" si="221"/>
        <v>0</v>
      </c>
      <c r="FV95" s="23"/>
      <c r="GF95" s="4">
        <f t="shared" si="282"/>
        <v>1</v>
      </c>
      <c r="GG95" s="4">
        <f t="shared" si="283"/>
        <v>0.5</v>
      </c>
      <c r="GH95" s="4">
        <f t="shared" si="284"/>
        <v>0</v>
      </c>
      <c r="GI95" s="4">
        <f t="shared" si="285"/>
        <v>450.21632047782612</v>
      </c>
      <c r="GJ95" s="4">
        <f>GI95*510*0.145*2</f>
        <v>66586.993798670475</v>
      </c>
    </row>
    <row r="96" spans="1:192" ht="12" hidden="1" customHeight="1" x14ac:dyDescent="0.3">
      <c r="A96" s="25">
        <v>77</v>
      </c>
      <c r="B96" s="24" t="s">
        <v>605</v>
      </c>
      <c r="C96" s="24">
        <v>2016</v>
      </c>
      <c r="D96" s="24" t="s">
        <v>55</v>
      </c>
      <c r="G96" s="4"/>
      <c r="H96" s="7" t="s">
        <v>613</v>
      </c>
      <c r="I96" s="7"/>
      <c r="J96" s="38">
        <f t="shared" ref="J96:J104" si="306">129/0.145</f>
        <v>889.65517241379314</v>
      </c>
      <c r="K96" s="38">
        <f>10.4*25.4</f>
        <v>264.15999999999997</v>
      </c>
      <c r="L96" s="4">
        <f t="shared" ref="L96:L104" si="307">K96</f>
        <v>264.15999999999997</v>
      </c>
      <c r="M96" s="38">
        <f>4490/145</f>
        <v>30.96551724137931</v>
      </c>
      <c r="N96" s="38">
        <f t="shared" ref="N96:N104" si="308">1*25.4</f>
        <v>25.4</v>
      </c>
      <c r="O96" s="7">
        <f t="shared" ref="O96:O104" si="309">K96/N96</f>
        <v>10.399999999999999</v>
      </c>
      <c r="P96" s="7">
        <f t="shared" ref="P96:P104" si="310">L96/N96</f>
        <v>10.399999999999999</v>
      </c>
      <c r="Q96" s="38">
        <f>18.1*25.4</f>
        <v>459.74</v>
      </c>
      <c r="R96" s="38"/>
      <c r="S96" s="38">
        <f t="shared" ref="S96:S104" si="311">2.5*25.4</f>
        <v>63.5</v>
      </c>
      <c r="T96" s="38"/>
      <c r="U96" s="7">
        <f t="shared" si="150"/>
        <v>50.8</v>
      </c>
      <c r="V96" s="7"/>
      <c r="W96" s="7">
        <f t="shared" si="300"/>
        <v>281.94</v>
      </c>
      <c r="X96" s="38">
        <v>2</v>
      </c>
      <c r="Y96" s="38"/>
      <c r="Z96" s="38"/>
      <c r="AA96" s="39">
        <f t="shared" ref="AA96:AA104" si="312">2*25.4</f>
        <v>50.8</v>
      </c>
      <c r="AB96" s="7">
        <f t="shared" si="301"/>
        <v>2.5</v>
      </c>
      <c r="AC96" s="7">
        <f t="shared" si="302"/>
        <v>3</v>
      </c>
      <c r="AD96" s="38">
        <v>4</v>
      </c>
      <c r="AE96" s="4">
        <f t="shared" ref="AE96:AE104" si="313">AD96</f>
        <v>4</v>
      </c>
      <c r="AF96" s="4">
        <f t="shared" ref="AF96:AF104" si="314">AE96+1</f>
        <v>5</v>
      </c>
      <c r="AG96" s="7">
        <f t="shared" si="240"/>
        <v>56.796126628494655</v>
      </c>
      <c r="AH96" s="7"/>
      <c r="AI96" s="7"/>
      <c r="AJ96" s="38">
        <f>105/(PI()/4)/0.145</f>
        <v>922.00104963580748</v>
      </c>
      <c r="AK96" s="7"/>
      <c r="AL96" s="7">
        <f>105/127</f>
        <v>0.82677165354330706</v>
      </c>
      <c r="AM96" s="7">
        <v>0</v>
      </c>
      <c r="AN96" s="7">
        <v>0</v>
      </c>
      <c r="AO96" s="7">
        <f t="shared" si="298"/>
        <v>264.15999999999997</v>
      </c>
      <c r="AP96" s="7"/>
      <c r="AQ96" s="7"/>
      <c r="AR96" s="7"/>
      <c r="AS96" s="4">
        <f t="shared" si="292"/>
        <v>264.15999999999997</v>
      </c>
      <c r="AT96" s="44">
        <f t="shared" si="303"/>
        <v>0.33654873438527289</v>
      </c>
      <c r="AU96" s="25">
        <f t="shared" si="241"/>
        <v>235.75040255705565</v>
      </c>
      <c r="AV96" s="4">
        <f t="shared" si="242"/>
        <v>0.74807692307692308</v>
      </c>
      <c r="AW96" s="4">
        <v>1.25</v>
      </c>
      <c r="AX96" s="25">
        <f t="shared" si="286"/>
        <v>5</v>
      </c>
      <c r="AY96" s="38">
        <f t="shared" si="287"/>
        <v>370.95965563501107</v>
      </c>
      <c r="AZ96" s="38">
        <f t="shared" si="288"/>
        <v>370.95965563501107</v>
      </c>
      <c r="BB96" s="38">
        <f t="shared" si="304"/>
        <v>370.95965563501068</v>
      </c>
      <c r="BC96" s="38">
        <f t="shared" si="243"/>
        <v>1.0000000000000011</v>
      </c>
      <c r="BD96" s="38">
        <f t="shared" si="155"/>
        <v>0.90152010097815527</v>
      </c>
      <c r="BE96" s="4">
        <f t="shared" si="173"/>
        <v>1</v>
      </c>
      <c r="BF96" s="4">
        <f t="shared" si="244"/>
        <v>304.59229117894546</v>
      </c>
      <c r="BG96" s="4">
        <f t="shared" si="223"/>
        <v>1.08</v>
      </c>
      <c r="BH96" s="38">
        <f t="shared" si="245"/>
        <v>334.42758620689654</v>
      </c>
      <c r="BI96" s="4">
        <f t="shared" si="224"/>
        <v>0.44000000000000006</v>
      </c>
      <c r="BJ96" s="4">
        <f t="shared" si="246"/>
        <v>70.025767742039562</v>
      </c>
      <c r="BK96" s="4">
        <f t="shared" si="247"/>
        <v>404.45335394893607</v>
      </c>
      <c r="BM96" s="36">
        <f t="shared" si="248"/>
        <v>1.1000000000000001</v>
      </c>
      <c r="BN96" s="36">
        <f t="shared" si="249"/>
        <v>236.52060013570011</v>
      </c>
      <c r="BS96" s="4">
        <f t="shared" si="174"/>
        <v>63.5</v>
      </c>
      <c r="BT96" s="4">
        <f t="shared" si="175"/>
        <v>50.8</v>
      </c>
      <c r="BU96" s="4">
        <f t="shared" si="176"/>
        <v>63.5</v>
      </c>
      <c r="BV96" s="4">
        <f t="shared" si="250"/>
        <v>63.5</v>
      </c>
      <c r="BW96" s="4">
        <f t="shared" si="177"/>
        <v>1.0250000000000001</v>
      </c>
      <c r="BX96" s="25">
        <f t="shared" si="251"/>
        <v>2.5625000000000004</v>
      </c>
      <c r="BZ96" s="4">
        <f t="shared" si="178"/>
        <v>63.5</v>
      </c>
      <c r="CD96" s="9"/>
      <c r="CF96" s="9"/>
      <c r="CG96" s="9"/>
      <c r="CH96" s="9">
        <f t="shared" si="230"/>
        <v>50.8</v>
      </c>
      <c r="CI96" s="9">
        <f t="shared" si="231"/>
        <v>140.97</v>
      </c>
      <c r="CJ96" s="9">
        <f t="shared" si="252"/>
        <v>1.6481792641469835</v>
      </c>
      <c r="CK96" s="70">
        <v>0</v>
      </c>
      <c r="CL96" s="9">
        <f t="shared" si="253"/>
        <v>0</v>
      </c>
      <c r="CM96" s="9">
        <f t="shared" si="254"/>
        <v>0</v>
      </c>
      <c r="CN96" s="9">
        <f t="shared" si="255"/>
        <v>0.99524931562137331</v>
      </c>
      <c r="CO96" s="9">
        <f t="shared" si="256"/>
        <v>0.68</v>
      </c>
      <c r="CP96" s="9">
        <f t="shared" si="257"/>
        <v>1.3180989499545468</v>
      </c>
      <c r="CQ96" s="9">
        <f t="shared" si="258"/>
        <v>2.1724633574089967</v>
      </c>
      <c r="CR96" s="9">
        <v>1</v>
      </c>
      <c r="CS96" s="9">
        <f t="shared" si="259"/>
        <v>220.72227711275406</v>
      </c>
      <c r="CU96" s="4">
        <f t="shared" si="209"/>
        <v>3.0270006048647482</v>
      </c>
      <c r="CV96" s="4">
        <f t="shared" si="210"/>
        <v>2.2796227071273441</v>
      </c>
      <c r="CW96" s="4">
        <f t="shared" si="211"/>
        <v>3.8981849746145723</v>
      </c>
      <c r="CX96" s="4">
        <f t="shared" si="212"/>
        <v>4.1771997901453837</v>
      </c>
      <c r="CY96" s="4">
        <f t="shared" si="213"/>
        <v>1.4442027183793973</v>
      </c>
      <c r="CZ96" s="4">
        <f t="shared" si="214"/>
        <v>1.4821353465266294</v>
      </c>
      <c r="DA96" s="4">
        <f t="shared" si="162"/>
        <v>1.8844548614240106</v>
      </c>
      <c r="DC96" s="4">
        <f t="shared" si="215"/>
        <v>3.0270006048647482</v>
      </c>
      <c r="DD96" s="4">
        <f t="shared" si="215"/>
        <v>2.2796227071273441</v>
      </c>
      <c r="DE96" s="4">
        <f t="shared" si="216"/>
        <v>4.1771997901453837</v>
      </c>
      <c r="DF96" s="4">
        <f t="shared" si="299"/>
        <v>1.8844548614240106</v>
      </c>
      <c r="DG96" s="4">
        <f t="shared" si="218"/>
        <v>1.4442027183793973</v>
      </c>
      <c r="DH96" s="4">
        <f t="shared" si="218"/>
        <v>1.4821353465266294</v>
      </c>
      <c r="DP96" s="4">
        <f t="shared" si="182"/>
        <v>0</v>
      </c>
      <c r="DQ96" s="4">
        <f t="shared" si="260"/>
        <v>264.15999999999997</v>
      </c>
      <c r="DR96" s="4">
        <f t="shared" si="261"/>
        <v>1</v>
      </c>
      <c r="DT96" s="4">
        <f t="shared" si="262"/>
        <v>1.8699368483673423E-5</v>
      </c>
      <c r="DU96" s="4">
        <f t="shared" si="183"/>
        <v>7.0308963394927586</v>
      </c>
      <c r="DV96" s="4">
        <f t="shared" si="289"/>
        <v>0.66187190263897755</v>
      </c>
      <c r="DW96" s="4">
        <f t="shared" si="263"/>
        <v>5.9610158002057858</v>
      </c>
      <c r="DX96" s="4">
        <f t="shared" si="264"/>
        <v>6.5179597703410481</v>
      </c>
      <c r="DY96" s="4">
        <f t="shared" si="265"/>
        <v>6.6419918127671052</v>
      </c>
      <c r="DZ96" s="38">
        <f t="shared" si="266"/>
        <v>638.41525701490502</v>
      </c>
      <c r="EA96" s="4">
        <f t="shared" si="267"/>
        <v>1.0001171802702424</v>
      </c>
      <c r="EB96" s="4">
        <f t="shared" si="290"/>
        <v>2.2360679774997898</v>
      </c>
      <c r="EC96" s="4">
        <f t="shared" si="291"/>
        <v>370.95965563501068</v>
      </c>
      <c r="EG96" s="4">
        <f t="shared" si="268"/>
        <v>0.85</v>
      </c>
      <c r="EH96" s="4">
        <f t="shared" si="269"/>
        <v>0.85</v>
      </c>
      <c r="EI96" s="4">
        <f t="shared" si="270"/>
        <v>1</v>
      </c>
      <c r="EJ96" s="4">
        <f t="shared" si="271"/>
        <v>0.85</v>
      </c>
      <c r="EL96" s="4">
        <f t="shared" si="272"/>
        <v>622.07614965563607</v>
      </c>
      <c r="EM96" s="25">
        <f t="shared" si="305"/>
        <v>402.71218386346197</v>
      </c>
      <c r="EO96" s="4">
        <f t="shared" ref="EO96:EO104" si="315">EG96*EJ96</f>
        <v>0.72249999999999992</v>
      </c>
      <c r="EP96" s="4">
        <f t="shared" si="274"/>
        <v>7.0308963394927586</v>
      </c>
      <c r="EQ96" s="4">
        <f t="shared" si="275"/>
        <v>5.2068181704156071</v>
      </c>
      <c r="ES96" s="4">
        <f t="shared" si="276"/>
        <v>56.796126628494655</v>
      </c>
      <c r="ET96" s="4">
        <f t="shared" si="184"/>
        <v>2.2360679774997898</v>
      </c>
      <c r="EU96" s="4">
        <f t="shared" si="277"/>
        <v>0.20139485887514993</v>
      </c>
      <c r="EX96" s="4">
        <f t="shared" si="185"/>
        <v>0.20139485887514993</v>
      </c>
      <c r="EY96" s="4">
        <f t="shared" si="278"/>
        <v>0.66076736178962692</v>
      </c>
      <c r="EZ96" s="4">
        <f t="shared" si="186"/>
        <v>5.9570346765477238</v>
      </c>
      <c r="FA96" s="4">
        <f t="shared" si="232"/>
        <v>6.5161398816101084</v>
      </c>
      <c r="FB96" s="4">
        <f t="shared" si="188"/>
        <v>141.32387337150533</v>
      </c>
      <c r="FC96" s="4">
        <f t="shared" si="189"/>
        <v>66.039999999999992</v>
      </c>
      <c r="FD96" s="4">
        <f t="shared" si="279"/>
        <v>1.8699368483673423E-5</v>
      </c>
      <c r="FE96" s="4">
        <f t="shared" si="233"/>
        <v>6.642117802584564</v>
      </c>
      <c r="FF96" s="4">
        <f t="shared" si="280"/>
        <v>638.34045610775161</v>
      </c>
      <c r="FG96" s="4">
        <f t="shared" si="191"/>
        <v>141.32387337150533</v>
      </c>
      <c r="FH96" s="4">
        <f t="shared" si="192"/>
        <v>66.039999999999992</v>
      </c>
      <c r="FJ96" s="4">
        <f t="shared" si="281"/>
        <v>0</v>
      </c>
      <c r="FO96" s="23">
        <f t="shared" si="219"/>
        <v>2.2000000000000002</v>
      </c>
      <c r="FP96" s="23">
        <f t="shared" si="219"/>
        <v>2.2000000000000002</v>
      </c>
      <c r="FQ96" s="23">
        <f t="shared" si="229"/>
        <v>2</v>
      </c>
      <c r="FR96" s="23">
        <f t="shared" si="220"/>
        <v>2.2000000000000002</v>
      </c>
      <c r="FS96" s="23">
        <f t="shared" si="220"/>
        <v>1.6</v>
      </c>
      <c r="FT96" s="23">
        <f t="shared" si="220"/>
        <v>1.6</v>
      </c>
      <c r="FU96" s="23">
        <f t="shared" si="221"/>
        <v>0</v>
      </c>
      <c r="FV96" s="23"/>
      <c r="GF96" s="4">
        <f t="shared" si="282"/>
        <v>1</v>
      </c>
      <c r="GG96" s="4">
        <f t="shared" si="283"/>
        <v>0.5</v>
      </c>
      <c r="GH96" s="4">
        <f t="shared" si="284"/>
        <v>0</v>
      </c>
      <c r="GI96" s="4">
        <f t="shared" si="285"/>
        <v>489.26672031777213</v>
      </c>
    </row>
    <row r="97" spans="1:191" ht="12" hidden="1" customHeight="1" x14ac:dyDescent="0.3">
      <c r="A97" s="25">
        <v>78</v>
      </c>
      <c r="B97" s="24" t="s">
        <v>605</v>
      </c>
      <c r="C97" s="24">
        <v>2016</v>
      </c>
      <c r="D97" s="24" t="s">
        <v>55</v>
      </c>
      <c r="E97" s="24"/>
      <c r="F97" s="24"/>
      <c r="G97" s="24"/>
      <c r="H97" s="7" t="s">
        <v>614</v>
      </c>
      <c r="I97" s="7"/>
      <c r="J97" s="38">
        <f t="shared" si="306"/>
        <v>889.65517241379314</v>
      </c>
      <c r="K97" s="38">
        <f>9*25.4</f>
        <v>228.6</v>
      </c>
      <c r="L97" s="4">
        <f t="shared" si="307"/>
        <v>228.6</v>
      </c>
      <c r="M97" s="38">
        <f>5800/145</f>
        <v>40</v>
      </c>
      <c r="N97" s="38">
        <f t="shared" si="308"/>
        <v>25.4</v>
      </c>
      <c r="O97" s="7">
        <f t="shared" si="309"/>
        <v>9</v>
      </c>
      <c r="P97" s="7">
        <f t="shared" si="310"/>
        <v>9</v>
      </c>
      <c r="Q97" s="38">
        <f>18.3*25.4</f>
        <v>464.82</v>
      </c>
      <c r="R97" s="38"/>
      <c r="S97" s="38">
        <f t="shared" si="311"/>
        <v>63.5</v>
      </c>
      <c r="T97" s="38"/>
      <c r="U97" s="7">
        <f t="shared" si="150"/>
        <v>50.8</v>
      </c>
      <c r="V97" s="7"/>
      <c r="W97" s="7">
        <f t="shared" si="300"/>
        <v>130.81</v>
      </c>
      <c r="X97" s="38">
        <v>3</v>
      </c>
      <c r="Y97" s="38"/>
      <c r="Z97" s="38"/>
      <c r="AA97" s="39">
        <f t="shared" si="312"/>
        <v>50.8</v>
      </c>
      <c r="AB97" s="7">
        <f t="shared" si="301"/>
        <v>2.5</v>
      </c>
      <c r="AC97" s="7">
        <f t="shared" si="302"/>
        <v>3</v>
      </c>
      <c r="AD97" s="38">
        <v>4</v>
      </c>
      <c r="AE97" s="4">
        <f t="shared" si="313"/>
        <v>4</v>
      </c>
      <c r="AF97" s="4">
        <f t="shared" si="314"/>
        <v>5</v>
      </c>
      <c r="AG97" s="7">
        <f t="shared" si="240"/>
        <v>56.796126628494655</v>
      </c>
      <c r="AH97" s="7"/>
      <c r="AI97" s="7"/>
      <c r="AJ97" s="38">
        <f>109/(PI()/4)/0.145*AL104</f>
        <v>809.13989268963303</v>
      </c>
      <c r="AK97" s="7" t="s">
        <v>654</v>
      </c>
      <c r="AL97" s="7"/>
      <c r="AM97" s="7">
        <v>0</v>
      </c>
      <c r="AN97" s="7">
        <v>0</v>
      </c>
      <c r="AO97" s="7">
        <f t="shared" si="298"/>
        <v>228.6</v>
      </c>
      <c r="AP97" s="7"/>
      <c r="AQ97" s="7"/>
      <c r="AR97" s="7"/>
      <c r="AS97" s="4">
        <f t="shared" si="292"/>
        <v>228.6</v>
      </c>
      <c r="AT97" s="44">
        <f t="shared" si="303"/>
        <v>0.40164609053497946</v>
      </c>
      <c r="AU97" s="25">
        <f t="shared" si="241"/>
        <v>143.80227786159796</v>
      </c>
      <c r="AV97" s="4">
        <f t="shared" si="242"/>
        <v>0.75555555555555554</v>
      </c>
      <c r="AW97" s="4">
        <v>1.25</v>
      </c>
      <c r="AX97" s="25">
        <f t="shared" si="286"/>
        <v>5</v>
      </c>
      <c r="AY97" s="38">
        <f t="shared" si="287"/>
        <v>272.7443294786961</v>
      </c>
      <c r="AZ97" s="38">
        <f t="shared" si="288"/>
        <v>272.7443294786961</v>
      </c>
      <c r="BB97" s="38">
        <f t="shared" si="304"/>
        <v>272.74432947869599</v>
      </c>
      <c r="BC97" s="38">
        <f t="shared" si="243"/>
        <v>1.0000000000000004</v>
      </c>
      <c r="BD97" s="38">
        <f t="shared" si="155"/>
        <v>1.5839009405830504</v>
      </c>
      <c r="BE97" s="4">
        <f t="shared" si="173"/>
        <v>0</v>
      </c>
      <c r="BF97" s="4">
        <f t="shared" si="244"/>
        <v>299.58419938437277</v>
      </c>
      <c r="BG97" s="4">
        <f t="shared" si="223"/>
        <v>1.08</v>
      </c>
      <c r="BH97" s="38">
        <f t="shared" si="245"/>
        <v>432</v>
      </c>
      <c r="BI97" s="4">
        <f t="shared" si="224"/>
        <v>0.44000000000000006</v>
      </c>
      <c r="BJ97" s="4">
        <f t="shared" si="246"/>
        <v>68.874407438467301</v>
      </c>
      <c r="BK97" s="4">
        <f t="shared" si="247"/>
        <v>500.8744074384673</v>
      </c>
      <c r="BM97" s="36">
        <f t="shared" si="248"/>
        <v>1.1000000000000001</v>
      </c>
      <c r="BN97" s="36">
        <f t="shared" si="249"/>
        <v>253.23519502628383</v>
      </c>
      <c r="BS97" s="4">
        <f t="shared" si="174"/>
        <v>63.5</v>
      </c>
      <c r="BT97" s="4">
        <f t="shared" si="175"/>
        <v>50.8</v>
      </c>
      <c r="BU97" s="4">
        <f t="shared" si="176"/>
        <v>63.5</v>
      </c>
      <c r="BV97" s="4">
        <f t="shared" si="250"/>
        <v>63.5</v>
      </c>
      <c r="BW97" s="4">
        <f t="shared" si="177"/>
        <v>1.0250000000000001</v>
      </c>
      <c r="BX97" s="25">
        <f t="shared" si="251"/>
        <v>2.5625000000000004</v>
      </c>
      <c r="BZ97" s="4">
        <f t="shared" si="178"/>
        <v>63.5</v>
      </c>
      <c r="CD97" s="9"/>
      <c r="CF97" s="9"/>
      <c r="CG97" s="9"/>
      <c r="CH97" s="9">
        <f t="shared" si="230"/>
        <v>50.8</v>
      </c>
      <c r="CI97" s="9">
        <f t="shared" si="231"/>
        <v>65.405000000000001</v>
      </c>
      <c r="CJ97" s="9">
        <f t="shared" si="252"/>
        <v>1.4688487685376905</v>
      </c>
      <c r="CK97" s="70">
        <v>0</v>
      </c>
      <c r="CL97" s="9">
        <f t="shared" si="253"/>
        <v>0</v>
      </c>
      <c r="CM97" s="9">
        <f t="shared" si="254"/>
        <v>0</v>
      </c>
      <c r="CN97" s="9">
        <f t="shared" si="255"/>
        <v>0.99524931562137331</v>
      </c>
      <c r="CO97" s="9">
        <f t="shared" si="256"/>
        <v>0.68</v>
      </c>
      <c r="CP97" s="9">
        <f t="shared" si="257"/>
        <v>1.4980932262935727</v>
      </c>
      <c r="CQ97" s="9">
        <f t="shared" si="258"/>
        <v>2.2004723905959698</v>
      </c>
      <c r="CR97" s="9">
        <v>1</v>
      </c>
      <c r="CS97" s="9">
        <f t="shared" si="259"/>
        <v>211.24534949721311</v>
      </c>
      <c r="CU97" s="4">
        <f t="shared" si="209"/>
        <v>2.7008763958592144</v>
      </c>
      <c r="CV97" s="4">
        <f t="shared" si="210"/>
        <v>1.6154546542469059</v>
      </c>
      <c r="CW97" s="4">
        <f t="shared" si="211"/>
        <v>3.1952110472071253</v>
      </c>
      <c r="CX97" s="4">
        <f t="shared" si="212"/>
        <v>3.8303323344891327</v>
      </c>
      <c r="CY97" s="4">
        <f t="shared" si="213"/>
        <v>1.5772980431508556</v>
      </c>
      <c r="CZ97" s="4">
        <f t="shared" si="214"/>
        <v>1.4709480943819242</v>
      </c>
      <c r="DA97" s="4">
        <f t="shared" si="162"/>
        <v>2.1241819020208603</v>
      </c>
      <c r="DC97" s="4">
        <f t="shared" si="215"/>
        <v>2.7008763958592144</v>
      </c>
      <c r="DD97" s="4">
        <f t="shared" si="215"/>
        <v>1.6154546542469059</v>
      </c>
      <c r="DE97" s="4">
        <f t="shared" si="216"/>
        <v>3.8303323344891327</v>
      </c>
      <c r="DF97" s="4">
        <f t="shared" si="299"/>
        <v>2.1241819020208603</v>
      </c>
      <c r="DG97" s="4">
        <f t="shared" si="218"/>
        <v>1.5772980431508556</v>
      </c>
      <c r="DH97" s="4">
        <f t="shared" si="218"/>
        <v>1.4709480943819242</v>
      </c>
      <c r="DP97" s="4">
        <f t="shared" si="182"/>
        <v>0</v>
      </c>
      <c r="DQ97" s="4">
        <f t="shared" si="260"/>
        <v>228.6</v>
      </c>
      <c r="DR97" s="4">
        <f t="shared" si="261"/>
        <v>1</v>
      </c>
      <c r="DT97" s="4">
        <f t="shared" si="262"/>
        <v>1.7212629905715879E-5</v>
      </c>
      <c r="DU97" s="4">
        <f t="shared" si="183"/>
        <v>7.9910071860155822</v>
      </c>
      <c r="DV97" s="4">
        <f t="shared" si="289"/>
        <v>0.37672231211760421</v>
      </c>
      <c r="DW97" s="4">
        <f t="shared" si="263"/>
        <v>5.4076684710303295</v>
      </c>
      <c r="DX97" s="4">
        <f t="shared" si="264"/>
        <v>6.8231658126479218</v>
      </c>
      <c r="DY97" s="4">
        <f t="shared" si="265"/>
        <v>7.6313231741846339</v>
      </c>
      <c r="DZ97" s="38">
        <f t="shared" si="266"/>
        <v>512.99112187654282</v>
      </c>
      <c r="EA97" s="4">
        <f t="shared" si="267"/>
        <v>1.0001114819956296</v>
      </c>
      <c r="EB97" s="4">
        <f t="shared" si="290"/>
        <v>2.2360679774997898</v>
      </c>
      <c r="EC97" s="4">
        <f t="shared" si="291"/>
        <v>272.74432947869599</v>
      </c>
      <c r="EG97" s="4">
        <f t="shared" si="268"/>
        <v>0.85</v>
      </c>
      <c r="EH97" s="4">
        <f t="shared" si="269"/>
        <v>0.85</v>
      </c>
      <c r="EI97" s="4">
        <f t="shared" si="270"/>
        <v>1</v>
      </c>
      <c r="EJ97" s="4">
        <f t="shared" si="271"/>
        <v>0.85</v>
      </c>
      <c r="EL97" s="4">
        <f t="shared" si="272"/>
        <v>550.0805200265238</v>
      </c>
      <c r="EM97" s="25">
        <f t="shared" si="305"/>
        <v>334.32332600410302</v>
      </c>
      <c r="EO97" s="4">
        <f t="shared" si="315"/>
        <v>0.72249999999999992</v>
      </c>
      <c r="EP97" s="4">
        <f t="shared" si="274"/>
        <v>7.9910071860155822</v>
      </c>
      <c r="EQ97" s="4">
        <f t="shared" si="275"/>
        <v>5.9178402591936647</v>
      </c>
      <c r="ES97" s="4">
        <f t="shared" si="276"/>
        <v>56.796126628494655</v>
      </c>
      <c r="ET97" s="4">
        <f t="shared" si="184"/>
        <v>2.2360679774997898</v>
      </c>
      <c r="EU97" s="4">
        <f t="shared" si="277"/>
        <v>0.13028265607914691</v>
      </c>
      <c r="EX97" s="4">
        <f t="shared" si="185"/>
        <v>0.13028265607914691</v>
      </c>
      <c r="EY97" s="4">
        <f t="shared" si="278"/>
        <v>0.37609363279017455</v>
      </c>
      <c r="EZ97" s="4">
        <f t="shared" si="186"/>
        <v>5.4040569058866454</v>
      </c>
      <c r="FA97" s="4">
        <f t="shared" si="232"/>
        <v>6.8217376672849355</v>
      </c>
      <c r="FB97" s="4">
        <f t="shared" si="188"/>
        <v>114.65387337150534</v>
      </c>
      <c r="FC97" s="4">
        <f t="shared" si="189"/>
        <v>57.150000000000006</v>
      </c>
      <c r="FD97" s="4">
        <f t="shared" si="279"/>
        <v>1.7212629905715879E-5</v>
      </c>
      <c r="FE97" s="4">
        <f t="shared" si="233"/>
        <v>7.6314238548367994</v>
      </c>
      <c r="FF97" s="4">
        <f t="shared" si="280"/>
        <v>512.93393897739952</v>
      </c>
      <c r="FG97" s="4">
        <f t="shared" si="191"/>
        <v>114.65387337150534</v>
      </c>
      <c r="FH97" s="4">
        <f t="shared" si="192"/>
        <v>57.15</v>
      </c>
      <c r="FJ97" s="4">
        <f t="shared" si="281"/>
        <v>0</v>
      </c>
      <c r="FO97" s="23">
        <f t="shared" si="219"/>
        <v>2.2000000000000002</v>
      </c>
      <c r="FP97" s="23">
        <f t="shared" si="219"/>
        <v>1.8</v>
      </c>
      <c r="FQ97" s="23">
        <f t="shared" si="229"/>
        <v>2.2000000000000002</v>
      </c>
      <c r="FR97" s="23">
        <f t="shared" si="220"/>
        <v>2.2000000000000002</v>
      </c>
      <c r="FS97" s="23">
        <f t="shared" si="220"/>
        <v>1.6</v>
      </c>
      <c r="FT97" s="23">
        <f t="shared" si="220"/>
        <v>1.6</v>
      </c>
      <c r="FU97" s="23">
        <f t="shared" si="221"/>
        <v>0</v>
      </c>
      <c r="FV97" s="23"/>
      <c r="GF97" s="4">
        <f t="shared" si="282"/>
        <v>1</v>
      </c>
      <c r="GG97" s="4">
        <f t="shared" si="283"/>
        <v>0.59250000000000003</v>
      </c>
      <c r="GH97" s="4">
        <f t="shared" si="284"/>
        <v>0</v>
      </c>
      <c r="GI97" s="4">
        <f t="shared" si="285"/>
        <v>380.91836293297212</v>
      </c>
    </row>
    <row r="98" spans="1:191" ht="12" hidden="1" customHeight="1" x14ac:dyDescent="0.3">
      <c r="A98" s="25">
        <v>79</v>
      </c>
      <c r="B98" s="24" t="s">
        <v>605</v>
      </c>
      <c r="C98" s="24">
        <v>2016</v>
      </c>
      <c r="D98" s="24" t="s">
        <v>55</v>
      </c>
      <c r="E98" s="24"/>
      <c r="F98" s="24"/>
      <c r="G98" s="24"/>
      <c r="H98" s="7" t="s">
        <v>615</v>
      </c>
      <c r="I98" s="7"/>
      <c r="J98" s="38">
        <f t="shared" si="306"/>
        <v>889.65517241379314</v>
      </c>
      <c r="K98" s="38">
        <f>11.4*25.4</f>
        <v>289.56</v>
      </c>
      <c r="L98" s="4">
        <f t="shared" si="307"/>
        <v>289.56</v>
      </c>
      <c r="M98" s="38">
        <f>5750/145</f>
        <v>39.655172413793103</v>
      </c>
      <c r="N98" s="38">
        <f t="shared" si="308"/>
        <v>25.4</v>
      </c>
      <c r="O98" s="7">
        <f t="shared" si="309"/>
        <v>11.4</v>
      </c>
      <c r="P98" s="7">
        <f t="shared" si="310"/>
        <v>11.4</v>
      </c>
      <c r="Q98" s="38">
        <f>18*25.4</f>
        <v>457.2</v>
      </c>
      <c r="R98" s="38"/>
      <c r="S98" s="38">
        <f t="shared" si="311"/>
        <v>63.5</v>
      </c>
      <c r="T98" s="38"/>
      <c r="U98" s="7">
        <f t="shared" si="150"/>
        <v>50.8</v>
      </c>
      <c r="V98" s="7"/>
      <c r="W98" s="7">
        <f t="shared" si="300"/>
        <v>127</v>
      </c>
      <c r="X98" s="38">
        <v>3</v>
      </c>
      <c r="Y98" s="38"/>
      <c r="Z98" s="38"/>
      <c r="AA98" s="39">
        <f t="shared" si="312"/>
        <v>50.8</v>
      </c>
      <c r="AB98" s="7">
        <f t="shared" si="301"/>
        <v>2.5</v>
      </c>
      <c r="AC98" s="7">
        <f t="shared" si="302"/>
        <v>3</v>
      </c>
      <c r="AD98" s="38">
        <v>4</v>
      </c>
      <c r="AE98" s="4">
        <f t="shared" si="313"/>
        <v>4</v>
      </c>
      <c r="AF98" s="4">
        <f t="shared" si="314"/>
        <v>5</v>
      </c>
      <c r="AG98" s="7">
        <f t="shared" si="240"/>
        <v>56.796126628494655</v>
      </c>
      <c r="AH98" s="7"/>
      <c r="AI98" s="7"/>
      <c r="AJ98" s="38">
        <f>84/(PI()/4)/0.145</f>
        <v>737.60083970864605</v>
      </c>
      <c r="AK98" s="7"/>
      <c r="AL98" s="7">
        <f>84/95</f>
        <v>0.88421052631578945</v>
      </c>
      <c r="AM98" s="7">
        <v>0</v>
      </c>
      <c r="AN98" s="7">
        <v>0</v>
      </c>
      <c r="AO98" s="7">
        <f t="shared" si="298"/>
        <v>289.56</v>
      </c>
      <c r="AP98" s="7"/>
      <c r="AQ98" s="7"/>
      <c r="AR98" s="7"/>
      <c r="AS98" s="4">
        <f t="shared" si="292"/>
        <v>289.56</v>
      </c>
      <c r="AT98" s="44">
        <f t="shared" si="303"/>
        <v>0.30163127116035704</v>
      </c>
      <c r="AU98" s="25">
        <f t="shared" si="241"/>
        <v>204.1170127612771</v>
      </c>
      <c r="AV98" s="4">
        <f t="shared" si="242"/>
        <v>0.743859649122807</v>
      </c>
      <c r="AW98" s="4">
        <v>1.25</v>
      </c>
      <c r="AX98" s="25">
        <f t="shared" si="286"/>
        <v>5</v>
      </c>
      <c r="AY98" s="38">
        <f t="shared" si="287"/>
        <v>286.23753713209283</v>
      </c>
      <c r="AZ98" s="38">
        <f t="shared" si="288"/>
        <v>286.23753713209283</v>
      </c>
      <c r="BB98" s="38">
        <f t="shared" si="304"/>
        <v>286.23753713209271</v>
      </c>
      <c r="BC98" s="38">
        <f t="shared" si="243"/>
        <v>1.0000000000000004</v>
      </c>
      <c r="BD98" s="38">
        <f t="shared" si="155"/>
        <v>1.4962253600977746</v>
      </c>
      <c r="BE98" s="4">
        <f t="shared" si="173"/>
        <v>0</v>
      </c>
      <c r="BF98" s="4">
        <f t="shared" si="244"/>
        <v>377.83411795344153</v>
      </c>
      <c r="BG98" s="4">
        <f t="shared" si="223"/>
        <v>1.08</v>
      </c>
      <c r="BH98" s="38">
        <f t="shared" si="245"/>
        <v>428.27586206896558</v>
      </c>
      <c r="BI98" s="4">
        <f t="shared" si="224"/>
        <v>0.44000000000000006</v>
      </c>
      <c r="BJ98" s="4">
        <f t="shared" si="246"/>
        <v>86.864063717496222</v>
      </c>
      <c r="BK98" s="4">
        <f t="shared" si="247"/>
        <v>515.13992578646184</v>
      </c>
      <c r="BM98" s="36">
        <f t="shared" si="248"/>
        <v>1.1000000000000001</v>
      </c>
      <c r="BN98" s="36">
        <f t="shared" si="249"/>
        <v>278.7408232848523</v>
      </c>
      <c r="BS98" s="4">
        <f t="shared" si="174"/>
        <v>63.5</v>
      </c>
      <c r="BT98" s="4">
        <f t="shared" si="175"/>
        <v>50.8</v>
      </c>
      <c r="BU98" s="4">
        <f t="shared" si="176"/>
        <v>63.5</v>
      </c>
      <c r="BV98" s="4">
        <f t="shared" si="250"/>
        <v>63.5</v>
      </c>
      <c r="BW98" s="4">
        <f t="shared" si="177"/>
        <v>1.0250000000000001</v>
      </c>
      <c r="BX98" s="25">
        <f t="shared" si="251"/>
        <v>2.5625000000000004</v>
      </c>
      <c r="BZ98" s="4">
        <f t="shared" si="178"/>
        <v>63.5</v>
      </c>
      <c r="CD98" s="9"/>
      <c r="CF98" s="9"/>
      <c r="CG98" s="9"/>
      <c r="CH98" s="9">
        <f t="shared" si="230"/>
        <v>50.8</v>
      </c>
      <c r="CI98" s="9">
        <f t="shared" si="231"/>
        <v>63.5</v>
      </c>
      <c r="CJ98" s="9">
        <f t="shared" si="252"/>
        <v>1.4623505735569622</v>
      </c>
      <c r="CK98" s="70">
        <v>0</v>
      </c>
      <c r="CL98" s="9">
        <f t="shared" si="253"/>
        <v>0</v>
      </c>
      <c r="CM98" s="9">
        <f t="shared" si="254"/>
        <v>0</v>
      </c>
      <c r="CN98" s="9">
        <f t="shared" si="255"/>
        <v>0.99524931562137331</v>
      </c>
      <c r="CO98" s="9">
        <f t="shared" si="256"/>
        <v>0.68</v>
      </c>
      <c r="CP98" s="9">
        <f t="shared" si="257"/>
        <v>1.4916219510025528</v>
      </c>
      <c r="CQ98" s="9">
        <f t="shared" si="258"/>
        <v>2.1812742155787381</v>
      </c>
      <c r="CR98" s="9">
        <v>1</v>
      </c>
      <c r="CS98" s="9">
        <f t="shared" si="259"/>
        <v>230.34255716511473</v>
      </c>
      <c r="CU98" s="4">
        <f t="shared" si="209"/>
        <v>1.9521816708980648</v>
      </c>
      <c r="CV98" s="4">
        <f t="shared" si="210"/>
        <v>1.4318456069631065</v>
      </c>
      <c r="CW98" s="4">
        <f t="shared" si="211"/>
        <v>2.6461887821679895</v>
      </c>
      <c r="CX98" s="4">
        <f t="shared" si="212"/>
        <v>3.2021908968385602</v>
      </c>
      <c r="CY98" s="4">
        <f t="shared" si="213"/>
        <v>1.2450645673170533</v>
      </c>
      <c r="CZ98" s="4">
        <f t="shared" si="214"/>
        <v>1.3186099499673773</v>
      </c>
      <c r="DA98" s="4">
        <f t="shared" si="162"/>
        <v>1.5514224951198869</v>
      </c>
      <c r="DC98" s="4">
        <f t="shared" si="215"/>
        <v>1.9521816708980648</v>
      </c>
      <c r="DD98" s="4">
        <f t="shared" si="215"/>
        <v>1.4318456069631065</v>
      </c>
      <c r="DE98" s="4">
        <f t="shared" si="216"/>
        <v>3.2021908968385602</v>
      </c>
      <c r="DF98" s="4">
        <f t="shared" si="299"/>
        <v>1.5514224951198869</v>
      </c>
      <c r="DG98" s="4">
        <f t="shared" si="218"/>
        <v>1.2450645673170533</v>
      </c>
      <c r="DH98" s="4">
        <f t="shared" si="218"/>
        <v>1.3186099499673773</v>
      </c>
      <c r="DP98" s="4">
        <f t="shared" si="182"/>
        <v>0</v>
      </c>
      <c r="DQ98" s="4">
        <f t="shared" si="260"/>
        <v>289.56</v>
      </c>
      <c r="DR98" s="4">
        <f t="shared" si="261"/>
        <v>1</v>
      </c>
      <c r="DT98" s="4">
        <f t="shared" si="262"/>
        <v>2.1752861860978003E-5</v>
      </c>
      <c r="DU98" s="4">
        <f t="shared" si="183"/>
        <v>7.9564886350698822</v>
      </c>
      <c r="DV98" s="4">
        <f t="shared" si="289"/>
        <v>0.39879742745618391</v>
      </c>
      <c r="DW98" s="4">
        <f t="shared" si="263"/>
        <v>5.5083608891899196</v>
      </c>
      <c r="DX98" s="4">
        <f t="shared" si="264"/>
        <v>6.84315159791183</v>
      </c>
      <c r="DY98" s="4">
        <f t="shared" si="265"/>
        <v>7.3758911635914579</v>
      </c>
      <c r="DZ98" s="38">
        <f t="shared" si="266"/>
        <v>592.4197500038706</v>
      </c>
      <c r="EA98" s="4">
        <f t="shared" si="267"/>
        <v>1.0001156303791274</v>
      </c>
      <c r="EB98" s="4">
        <f t="shared" si="290"/>
        <v>2.2360679774997898</v>
      </c>
      <c r="EC98" s="4">
        <f t="shared" si="291"/>
        <v>286.23753713209271</v>
      </c>
      <c r="EG98" s="4">
        <f t="shared" si="268"/>
        <v>0.85</v>
      </c>
      <c r="EH98" s="4">
        <f t="shared" si="269"/>
        <v>0.85</v>
      </c>
      <c r="EI98" s="4">
        <f t="shared" si="270"/>
        <v>1</v>
      </c>
      <c r="EJ98" s="4">
        <f t="shared" si="271"/>
        <v>0.85</v>
      </c>
      <c r="EL98" s="4">
        <f t="shared" si="272"/>
        <v>559.37757767328731</v>
      </c>
      <c r="EM98" s="25">
        <f t="shared" si="305"/>
        <v>287.26566635389725</v>
      </c>
      <c r="EO98" s="4">
        <f t="shared" si="315"/>
        <v>0.72249999999999992</v>
      </c>
      <c r="EP98" s="4">
        <f t="shared" si="274"/>
        <v>7.9564886350698822</v>
      </c>
      <c r="EQ98" s="4">
        <f t="shared" si="275"/>
        <v>5.8922771148089401</v>
      </c>
      <c r="ES98" s="4">
        <f t="shared" si="276"/>
        <v>56.796126628494655</v>
      </c>
      <c r="ET98" s="4">
        <f t="shared" si="184"/>
        <v>2.2360679774997898</v>
      </c>
      <c r="EU98" s="4">
        <f t="shared" si="277"/>
        <v>0.13732118255662151</v>
      </c>
      <c r="EX98" s="4">
        <f>EU98</f>
        <v>0.13732118255662151</v>
      </c>
      <c r="EY98" s="4">
        <f t="shared" si="278"/>
        <v>0.39813190887549621</v>
      </c>
      <c r="EZ98" s="4">
        <f t="shared" si="186"/>
        <v>5.5046820756138262</v>
      </c>
      <c r="FA98" s="4">
        <f t="shared" si="232"/>
        <v>6.8416736129745388</v>
      </c>
      <c r="FB98" s="4">
        <f t="shared" si="188"/>
        <v>160.37387337150537</v>
      </c>
      <c r="FC98" s="4">
        <f t="shared" si="189"/>
        <v>72.389999999999986</v>
      </c>
      <c r="FD98" s="4">
        <f t="shared" si="279"/>
        <v>2.1752861860977999E-5</v>
      </c>
      <c r="FE98" s="4">
        <f t="shared" si="233"/>
        <v>7.3760436280034343</v>
      </c>
      <c r="FF98" s="4">
        <f t="shared" si="280"/>
        <v>592.35125620353915</v>
      </c>
      <c r="FG98" s="4">
        <f t="shared" si="191"/>
        <v>160.37387337150537</v>
      </c>
      <c r="FH98" s="4">
        <f t="shared" si="192"/>
        <v>72.389999999999986</v>
      </c>
      <c r="FJ98" s="4">
        <f t="shared" si="281"/>
        <v>0</v>
      </c>
      <c r="FO98" s="23">
        <f t="shared" si="219"/>
        <v>2</v>
      </c>
      <c r="FP98" s="23">
        <f t="shared" si="219"/>
        <v>1.6</v>
      </c>
      <c r="FQ98" s="23">
        <f t="shared" si="229"/>
        <v>1.6</v>
      </c>
      <c r="FR98" s="23">
        <f t="shared" si="220"/>
        <v>2.2000000000000002</v>
      </c>
      <c r="FS98" s="23">
        <f t="shared" si="220"/>
        <v>1.4</v>
      </c>
      <c r="FT98" s="23">
        <f t="shared" si="220"/>
        <v>1.4</v>
      </c>
      <c r="FU98" s="23">
        <f t="shared" si="221"/>
        <v>0</v>
      </c>
      <c r="FV98" s="23"/>
      <c r="GF98" s="4">
        <f t="shared" si="282"/>
        <v>1</v>
      </c>
      <c r="GG98" s="4">
        <f t="shared" si="283"/>
        <v>0.60000000000000009</v>
      </c>
      <c r="GH98" s="4">
        <f t="shared" si="284"/>
        <v>0</v>
      </c>
      <c r="GI98" s="4">
        <f t="shared" si="285"/>
        <v>475.43518418021108</v>
      </c>
    </row>
    <row r="99" spans="1:191" ht="12" hidden="1" customHeight="1" x14ac:dyDescent="0.3">
      <c r="A99" s="25">
        <v>80</v>
      </c>
      <c r="B99" s="24" t="s">
        <v>605</v>
      </c>
      <c r="C99" s="24">
        <v>2016</v>
      </c>
      <c r="D99" s="24" t="s">
        <v>55</v>
      </c>
      <c r="E99" s="24"/>
      <c r="F99" s="24"/>
      <c r="G99" s="24"/>
      <c r="H99" s="7" t="s">
        <v>616</v>
      </c>
      <c r="I99" s="7"/>
      <c r="J99" s="38">
        <f t="shared" si="306"/>
        <v>889.65517241379314</v>
      </c>
      <c r="K99" s="38">
        <f>14*25.4</f>
        <v>355.59999999999997</v>
      </c>
      <c r="L99" s="4">
        <f t="shared" si="307"/>
        <v>355.59999999999997</v>
      </c>
      <c r="M99" s="38">
        <f>5750/145</f>
        <v>39.655172413793103</v>
      </c>
      <c r="N99" s="38">
        <f t="shared" si="308"/>
        <v>25.4</v>
      </c>
      <c r="O99" s="7">
        <f t="shared" si="309"/>
        <v>14</v>
      </c>
      <c r="P99" s="7">
        <f t="shared" si="310"/>
        <v>14</v>
      </c>
      <c r="Q99" s="38">
        <f>18.1*25.4</f>
        <v>459.74</v>
      </c>
      <c r="R99" s="38"/>
      <c r="S99" s="38">
        <f t="shared" si="311"/>
        <v>63.5</v>
      </c>
      <c r="T99" s="38"/>
      <c r="U99" s="7">
        <f t="shared" si="150"/>
        <v>50.8</v>
      </c>
      <c r="V99" s="7"/>
      <c r="W99" s="7">
        <f t="shared" si="300"/>
        <v>128.27000000000001</v>
      </c>
      <c r="X99" s="38">
        <v>3</v>
      </c>
      <c r="Y99" s="38"/>
      <c r="Z99" s="38"/>
      <c r="AA99" s="39">
        <f t="shared" si="312"/>
        <v>50.8</v>
      </c>
      <c r="AB99" s="7">
        <f t="shared" si="301"/>
        <v>2.5</v>
      </c>
      <c r="AC99" s="7">
        <f t="shared" si="302"/>
        <v>3</v>
      </c>
      <c r="AD99" s="38">
        <v>4</v>
      </c>
      <c r="AE99" s="4">
        <f t="shared" si="313"/>
        <v>4</v>
      </c>
      <c r="AF99" s="4">
        <f t="shared" si="314"/>
        <v>5</v>
      </c>
      <c r="AG99" s="7">
        <f t="shared" si="240"/>
        <v>56.796126628494655</v>
      </c>
      <c r="AH99" s="7"/>
      <c r="AI99" s="7"/>
      <c r="AJ99" s="38">
        <f>121/(PI()/4)/0.145</f>
        <v>1062.4964476755497</v>
      </c>
      <c r="AK99" s="7"/>
      <c r="AL99" s="7">
        <f>102/121</f>
        <v>0.84297520661157022</v>
      </c>
      <c r="AM99" s="7">
        <v>0</v>
      </c>
      <c r="AN99" s="7">
        <v>0</v>
      </c>
      <c r="AO99" s="7">
        <f t="shared" si="298"/>
        <v>355.59999999999997</v>
      </c>
      <c r="AP99" s="7"/>
      <c r="AQ99" s="7"/>
      <c r="AR99" s="7"/>
      <c r="AS99" s="4">
        <f t="shared" si="292"/>
        <v>355.59999999999997</v>
      </c>
      <c r="AT99" s="44">
        <f t="shared" si="303"/>
        <v>0.20521541950113381</v>
      </c>
      <c r="AU99" s="25">
        <f t="shared" si="241"/>
        <v>277.78831941457963</v>
      </c>
      <c r="AV99" s="4">
        <f t="shared" si="242"/>
        <v>0.73571428571428565</v>
      </c>
      <c r="AW99" s="4">
        <v>1.25</v>
      </c>
      <c r="AX99" s="25">
        <f t="shared" si="286"/>
        <v>5</v>
      </c>
      <c r="AY99" s="38">
        <f t="shared" si="287"/>
        <v>262.1278566795234</v>
      </c>
      <c r="AZ99" s="38">
        <f t="shared" si="288"/>
        <v>262.1278566795234</v>
      </c>
      <c r="BB99" s="38">
        <f t="shared" si="304"/>
        <v>262.12785667952323</v>
      </c>
      <c r="BC99" s="38">
        <f t="shared" si="243"/>
        <v>1.0000000000000007</v>
      </c>
      <c r="BD99" s="38">
        <f t="shared" si="155"/>
        <v>1.6338433751151233</v>
      </c>
      <c r="BE99" s="4">
        <f t="shared" si="173"/>
        <v>0</v>
      </c>
      <c r="BF99" s="4">
        <f t="shared" si="244"/>
        <v>464.00681152177032</v>
      </c>
      <c r="BG99" s="4">
        <f t="shared" si="223"/>
        <v>1.08</v>
      </c>
      <c r="BH99" s="38">
        <f t="shared" si="245"/>
        <v>428.27586206896558</v>
      </c>
      <c r="BI99" s="4">
        <f t="shared" si="224"/>
        <v>0.44000000000000006</v>
      </c>
      <c r="BJ99" s="4">
        <f t="shared" si="246"/>
        <v>106.675165968855</v>
      </c>
      <c r="BK99" s="4">
        <f t="shared" si="247"/>
        <v>534.95102803782061</v>
      </c>
      <c r="BM99" s="36">
        <f t="shared" si="248"/>
        <v>1.1000000000000001</v>
      </c>
      <c r="BN99" s="36">
        <f t="shared" si="249"/>
        <v>307.55697201410146</v>
      </c>
      <c r="BS99" s="4">
        <f t="shared" si="174"/>
        <v>63.5</v>
      </c>
      <c r="BT99" s="4">
        <f t="shared" si="175"/>
        <v>50.8</v>
      </c>
      <c r="BU99" s="4">
        <f t="shared" si="176"/>
        <v>63.5</v>
      </c>
      <c r="BV99" s="4">
        <f t="shared" si="250"/>
        <v>63.5</v>
      </c>
      <c r="BW99" s="4">
        <f t="shared" si="177"/>
        <v>1.0250000000000001</v>
      </c>
      <c r="BX99" s="25">
        <f t="shared" si="251"/>
        <v>2.5625000000000004</v>
      </c>
      <c r="BZ99" s="4">
        <f t="shared" si="178"/>
        <v>63.5</v>
      </c>
      <c r="CD99" s="9"/>
      <c r="CF99" s="9"/>
      <c r="CG99" s="9"/>
      <c r="CH99" s="9">
        <f t="shared" si="230"/>
        <v>50.8</v>
      </c>
      <c r="CI99" s="9">
        <f t="shared" si="231"/>
        <v>64.135000000000005</v>
      </c>
      <c r="CJ99" s="9">
        <f t="shared" si="252"/>
        <v>1.4645348340145701</v>
      </c>
      <c r="CK99" s="70">
        <v>0</v>
      </c>
      <c r="CL99" s="9">
        <f t="shared" si="253"/>
        <v>0</v>
      </c>
      <c r="CM99" s="9">
        <f t="shared" si="254"/>
        <v>0</v>
      </c>
      <c r="CN99" s="9">
        <f t="shared" si="255"/>
        <v>0.99524931562137331</v>
      </c>
      <c r="CO99" s="9">
        <f t="shared" si="256"/>
        <v>0.68</v>
      </c>
      <c r="CP99" s="9">
        <f t="shared" si="257"/>
        <v>1.4916219510025528</v>
      </c>
      <c r="CQ99" s="9">
        <f t="shared" si="258"/>
        <v>2.1845323064240127</v>
      </c>
      <c r="CR99" s="9">
        <v>1</v>
      </c>
      <c r="CS99" s="9">
        <f t="shared" si="259"/>
        <v>253.40574754518548</v>
      </c>
      <c r="CU99" s="4">
        <f t="shared" si="209"/>
        <v>2.2898294190789037</v>
      </c>
      <c r="CV99" s="4">
        <f t="shared" si="210"/>
        <v>1.9861564741220239</v>
      </c>
      <c r="CW99" s="4">
        <f t="shared" si="211"/>
        <v>3.4546329439959318</v>
      </c>
      <c r="CX99" s="4">
        <f t="shared" si="212"/>
        <v>4.1928664127323829</v>
      </c>
      <c r="CY99" s="4">
        <f t="shared" si="213"/>
        <v>1.6794082019601415</v>
      </c>
      <c r="CZ99" s="4">
        <f t="shared" si="214"/>
        <v>1.793169919181012</v>
      </c>
      <c r="DA99" s="4">
        <f t="shared" si="162"/>
        <v>1.812172949810944</v>
      </c>
      <c r="DC99" s="4">
        <f t="shared" si="215"/>
        <v>2.2898294190789037</v>
      </c>
      <c r="DD99" s="4">
        <f t="shared" si="215"/>
        <v>1.9861564741220239</v>
      </c>
      <c r="DE99" s="4">
        <f t="shared" si="216"/>
        <v>4.1928664127323829</v>
      </c>
      <c r="DF99" s="4">
        <f t="shared" si="299"/>
        <v>1.812172949810944</v>
      </c>
      <c r="DG99" s="4">
        <f t="shared" si="218"/>
        <v>1.6794082019601415</v>
      </c>
      <c r="DH99" s="4">
        <f t="shared" si="218"/>
        <v>1.793169919181012</v>
      </c>
      <c r="DP99" s="4">
        <f t="shared" si="182"/>
        <v>0</v>
      </c>
      <c r="DQ99" s="4">
        <f t="shared" si="260"/>
        <v>355.59999999999997</v>
      </c>
      <c r="DR99" s="4">
        <f t="shared" si="261"/>
        <v>1</v>
      </c>
      <c r="DT99" s="4">
        <f t="shared" si="262"/>
        <v>2.6714040881902812E-5</v>
      </c>
      <c r="DU99" s="4">
        <f t="shared" si="183"/>
        <v>7.9564886350698822</v>
      </c>
      <c r="DV99" s="4">
        <f t="shared" si="289"/>
        <v>0.36520686963623494</v>
      </c>
      <c r="DW99" s="4">
        <f t="shared" si="263"/>
        <v>5.3178614973305693</v>
      </c>
      <c r="DX99" s="4">
        <f t="shared" si="264"/>
        <v>6.767524272068445</v>
      </c>
      <c r="DY99" s="4">
        <f t="shared" si="265"/>
        <v>7.0902518106979704</v>
      </c>
      <c r="DZ99" s="38">
        <f t="shared" si="266"/>
        <v>632.66122342110998</v>
      </c>
      <c r="EA99" s="4">
        <f t="shared" si="267"/>
        <v>1.0001184041722562</v>
      </c>
      <c r="EB99" s="4">
        <f t="shared" si="290"/>
        <v>2.2360679774997898</v>
      </c>
      <c r="EC99" s="4">
        <f t="shared" si="291"/>
        <v>262.12785667952323</v>
      </c>
      <c r="EG99" s="4">
        <f t="shared" si="268"/>
        <v>0.85</v>
      </c>
      <c r="EH99" s="4">
        <f t="shared" si="269"/>
        <v>0.85</v>
      </c>
      <c r="EI99" s="4">
        <f t="shared" si="270"/>
        <v>1</v>
      </c>
      <c r="EJ99" s="4">
        <f t="shared" si="271"/>
        <v>0.85</v>
      </c>
      <c r="EL99" s="4">
        <f t="shared" si="272"/>
        <v>592.52413076437279</v>
      </c>
      <c r="EM99" s="25">
        <f t="shared" si="305"/>
        <v>258.35160809143781</v>
      </c>
      <c r="EO99" s="4">
        <f t="shared" si="315"/>
        <v>0.72249999999999992</v>
      </c>
      <c r="EP99" s="4">
        <f t="shared" si="274"/>
        <v>7.9564886350698822</v>
      </c>
      <c r="EQ99" s="4">
        <f t="shared" si="275"/>
        <v>5.8922771148089401</v>
      </c>
      <c r="ES99" s="4">
        <f t="shared" si="276"/>
        <v>56.796126628494655</v>
      </c>
      <c r="ET99" s="4">
        <f t="shared" si="184"/>
        <v>2.2360679774997898</v>
      </c>
      <c r="EU99" s="4">
        <f t="shared" si="277"/>
        <v>0.12575467082660599</v>
      </c>
      <c r="EX99" s="4">
        <f t="shared" si="185"/>
        <v>0.12575467082660599</v>
      </c>
      <c r="EY99" s="4">
        <f t="shared" si="278"/>
        <v>0.36459740743611979</v>
      </c>
      <c r="EZ99" s="4">
        <f t="shared" si="186"/>
        <v>5.3143099106670029</v>
      </c>
      <c r="FA99" s="4">
        <f t="shared" si="232"/>
        <v>6.7661320889508163</v>
      </c>
      <c r="FB99" s="4">
        <f t="shared" si="188"/>
        <v>209.90387337150534</v>
      </c>
      <c r="FC99" s="4">
        <f t="shared" si="189"/>
        <v>88.899999999999949</v>
      </c>
      <c r="FD99" s="4">
        <f t="shared" si="279"/>
        <v>2.6714040881902795E-5</v>
      </c>
      <c r="FE99" s="4">
        <f t="shared" si="233"/>
        <v>7.090457890949061</v>
      </c>
      <c r="FF99" s="4">
        <f t="shared" si="280"/>
        <v>632.58632256120654</v>
      </c>
      <c r="FG99" s="4">
        <f t="shared" si="191"/>
        <v>209.90387337150534</v>
      </c>
      <c r="FH99" s="4">
        <f t="shared" si="192"/>
        <v>88.899999999999977</v>
      </c>
      <c r="FJ99" s="4">
        <f t="shared" si="281"/>
        <v>0</v>
      </c>
      <c r="FO99" s="23">
        <f t="shared" si="219"/>
        <v>2.2000000000000002</v>
      </c>
      <c r="FP99" s="23">
        <f t="shared" si="219"/>
        <v>2</v>
      </c>
      <c r="FQ99" s="23">
        <f t="shared" si="229"/>
        <v>2</v>
      </c>
      <c r="FR99" s="23">
        <f t="shared" si="220"/>
        <v>2.2000000000000002</v>
      </c>
      <c r="FS99" s="23">
        <f t="shared" si="220"/>
        <v>1.8</v>
      </c>
      <c r="FT99" s="23">
        <f t="shared" si="220"/>
        <v>1.8</v>
      </c>
      <c r="FU99" s="23">
        <f t="shared" si="221"/>
        <v>0</v>
      </c>
      <c r="FV99" s="23"/>
      <c r="GF99" s="4">
        <f t="shared" si="282"/>
        <v>1</v>
      </c>
      <c r="GG99" s="4">
        <f t="shared" si="283"/>
        <v>0.59750000000000003</v>
      </c>
      <c r="GH99" s="4">
        <f t="shared" si="284"/>
        <v>0</v>
      </c>
      <c r="GI99" s="4">
        <f t="shared" si="285"/>
        <v>586.31073142681839</v>
      </c>
    </row>
    <row r="100" spans="1:191" ht="12" hidden="1" customHeight="1" x14ac:dyDescent="0.3">
      <c r="A100" s="25">
        <v>81</v>
      </c>
      <c r="B100" s="24" t="s">
        <v>605</v>
      </c>
      <c r="C100" s="24">
        <v>2016</v>
      </c>
      <c r="D100" s="24" t="s">
        <v>55</v>
      </c>
      <c r="E100" s="24"/>
      <c r="F100" s="24"/>
      <c r="G100" s="24"/>
      <c r="H100" s="7" t="s">
        <v>617</v>
      </c>
      <c r="I100" s="7"/>
      <c r="J100" s="38">
        <f t="shared" si="306"/>
        <v>889.65517241379314</v>
      </c>
      <c r="K100" s="38">
        <f>9*25.4</f>
        <v>228.6</v>
      </c>
      <c r="L100" s="4">
        <f t="shared" si="307"/>
        <v>228.6</v>
      </c>
      <c r="M100" s="38">
        <f>4630/145</f>
        <v>31.931034482758619</v>
      </c>
      <c r="N100" s="38">
        <f t="shared" si="308"/>
        <v>25.4</v>
      </c>
      <c r="O100" s="7">
        <f t="shared" si="309"/>
        <v>9</v>
      </c>
      <c r="P100" s="7">
        <f t="shared" si="310"/>
        <v>9</v>
      </c>
      <c r="Q100" s="38">
        <f>18.3*25.4</f>
        <v>464.82</v>
      </c>
      <c r="R100" s="38"/>
      <c r="S100" s="38">
        <f t="shared" si="311"/>
        <v>63.5</v>
      </c>
      <c r="T100" s="38"/>
      <c r="U100" s="7">
        <f t="shared" si="150"/>
        <v>50.8</v>
      </c>
      <c r="V100" s="7"/>
      <c r="W100" s="7">
        <f t="shared" si="300"/>
        <v>287.02</v>
      </c>
      <c r="X100" s="38">
        <v>2</v>
      </c>
      <c r="Y100" s="38"/>
      <c r="Z100" s="38"/>
      <c r="AA100" s="39">
        <f t="shared" si="312"/>
        <v>50.8</v>
      </c>
      <c r="AB100" s="7">
        <f t="shared" si="301"/>
        <v>2.5</v>
      </c>
      <c r="AC100" s="7">
        <f t="shared" si="302"/>
        <v>3</v>
      </c>
      <c r="AD100" s="38">
        <v>4</v>
      </c>
      <c r="AE100" s="4">
        <f t="shared" si="313"/>
        <v>4</v>
      </c>
      <c r="AF100" s="4">
        <f t="shared" si="314"/>
        <v>5</v>
      </c>
      <c r="AG100" s="7">
        <f t="shared" si="240"/>
        <v>56.796126628494655</v>
      </c>
      <c r="AH100" s="7"/>
      <c r="AI100" s="7"/>
      <c r="AJ100" s="38">
        <f>79.9/(PI()/4)/0.145*AL104</f>
        <v>593.12181124680444</v>
      </c>
      <c r="AK100" s="7" t="s">
        <v>654</v>
      </c>
      <c r="AL100" s="7"/>
      <c r="AM100" s="7">
        <v>0</v>
      </c>
      <c r="AN100" s="7">
        <v>0</v>
      </c>
      <c r="AO100" s="7">
        <f t="shared" si="298"/>
        <v>228.6</v>
      </c>
      <c r="AP100" s="7"/>
      <c r="AQ100" s="7"/>
      <c r="AR100" s="7"/>
      <c r="AS100" s="4">
        <f t="shared" si="292"/>
        <v>228.6</v>
      </c>
      <c r="AT100" s="44">
        <f t="shared" si="303"/>
        <v>0.40164609053497946</v>
      </c>
      <c r="AU100" s="25">
        <f t="shared" si="241"/>
        <v>192.722989249124</v>
      </c>
      <c r="AV100" s="4">
        <f t="shared" si="242"/>
        <v>0.75555555555555554</v>
      </c>
      <c r="AW100" s="4">
        <v>1.25</v>
      </c>
      <c r="AX100" s="25">
        <f t="shared" si="286"/>
        <v>5</v>
      </c>
      <c r="AY100" s="38">
        <f t="shared" si="287"/>
        <v>365.53038838837051</v>
      </c>
      <c r="AZ100" s="38">
        <f t="shared" si="288"/>
        <v>365.53038838837051</v>
      </c>
      <c r="BB100" s="38">
        <f t="shared" si="304"/>
        <v>365.53038838837034</v>
      </c>
      <c r="BC100" s="38">
        <f t="shared" si="243"/>
        <v>1.0000000000000004</v>
      </c>
      <c r="BD100" s="38">
        <f t="shared" si="155"/>
        <v>0.94343776432450766</v>
      </c>
      <c r="BE100" s="4">
        <f t="shared" si="173"/>
        <v>1</v>
      </c>
      <c r="BF100" s="4">
        <f t="shared" si="244"/>
        <v>267.66735221783927</v>
      </c>
      <c r="BG100" s="4">
        <f t="shared" si="223"/>
        <v>1.08</v>
      </c>
      <c r="BH100" s="38">
        <f t="shared" si="245"/>
        <v>344.85517241379307</v>
      </c>
      <c r="BI100" s="4">
        <f t="shared" si="224"/>
        <v>0.44000000000000006</v>
      </c>
      <c r="BJ100" s="4">
        <f t="shared" si="246"/>
        <v>61.536724274881244</v>
      </c>
      <c r="BK100" s="4">
        <f t="shared" si="247"/>
        <v>406.39189668867431</v>
      </c>
      <c r="BM100" s="36">
        <f t="shared" si="248"/>
        <v>1.1000000000000001</v>
      </c>
      <c r="BN100" s="36">
        <f t="shared" si="249"/>
        <v>226.25623874804819</v>
      </c>
      <c r="BS100" s="4">
        <f t="shared" si="174"/>
        <v>63.5</v>
      </c>
      <c r="BT100" s="4">
        <f t="shared" si="175"/>
        <v>50.8</v>
      </c>
      <c r="BU100" s="4">
        <f t="shared" si="176"/>
        <v>63.5</v>
      </c>
      <c r="BV100" s="4">
        <f t="shared" si="250"/>
        <v>63.5</v>
      </c>
      <c r="BW100" s="4">
        <f t="shared" si="177"/>
        <v>1.0250000000000001</v>
      </c>
      <c r="BX100" s="25">
        <f t="shared" si="251"/>
        <v>2.5625000000000004</v>
      </c>
      <c r="BZ100" s="4">
        <f t="shared" si="178"/>
        <v>63.5</v>
      </c>
      <c r="CD100" s="9"/>
      <c r="CF100" s="9"/>
      <c r="CG100" s="9"/>
      <c r="CH100" s="9">
        <f t="shared" si="230"/>
        <v>50.8</v>
      </c>
      <c r="CI100" s="9">
        <f t="shared" si="231"/>
        <v>143.51</v>
      </c>
      <c r="CJ100" s="9">
        <f t="shared" si="252"/>
        <v>1.6526000655830793</v>
      </c>
      <c r="CK100" s="70">
        <v>0</v>
      </c>
      <c r="CL100" s="9">
        <f t="shared" si="253"/>
        <v>0</v>
      </c>
      <c r="CM100" s="9">
        <f t="shared" si="254"/>
        <v>0</v>
      </c>
      <c r="CN100" s="9">
        <f t="shared" si="255"/>
        <v>0.99524931562137331</v>
      </c>
      <c r="CO100" s="9">
        <f t="shared" si="256"/>
        <v>0.68</v>
      </c>
      <c r="CP100" s="9">
        <f t="shared" si="257"/>
        <v>1.3384906416342788</v>
      </c>
      <c r="CQ100" s="9">
        <f t="shared" si="258"/>
        <v>2.211989722147147</v>
      </c>
      <c r="CR100" s="9">
        <v>1</v>
      </c>
      <c r="CS100" s="9">
        <f t="shared" si="259"/>
        <v>212.35101332612612</v>
      </c>
      <c r="CU100" s="4">
        <f t="shared" si="209"/>
        <v>2.2158915023902366</v>
      </c>
      <c r="CV100" s="4">
        <f t="shared" si="210"/>
        <v>1.4594823766901504</v>
      </c>
      <c r="CW100" s="4">
        <f t="shared" si="211"/>
        <v>2.6214605817225052</v>
      </c>
      <c r="CX100" s="4">
        <f t="shared" si="212"/>
        <v>2.7931197593858199</v>
      </c>
      <c r="CY100" s="4">
        <f t="shared" si="213"/>
        <v>0.99039775367630722</v>
      </c>
      <c r="CZ100" s="4">
        <f t="shared" si="214"/>
        <v>0.92555359594594022</v>
      </c>
      <c r="DA100" s="4">
        <f t="shared" si="162"/>
        <v>1.3901299045477662</v>
      </c>
      <c r="DC100" s="4">
        <f t="shared" si="215"/>
        <v>2.2158915023902366</v>
      </c>
      <c r="DD100" s="4">
        <f t="shared" si="215"/>
        <v>1.4594823766901504</v>
      </c>
      <c r="DE100" s="4">
        <f t="shared" si="216"/>
        <v>2.7931197593858199</v>
      </c>
      <c r="DF100" s="4">
        <f t="shared" si="299"/>
        <v>1.3901299045477662</v>
      </c>
      <c r="DG100" s="4">
        <f t="shared" si="218"/>
        <v>0.99039775367630722</v>
      </c>
      <c r="DH100" s="4">
        <f t="shared" si="218"/>
        <v>0.92555359594594022</v>
      </c>
      <c r="DP100" s="4">
        <f t="shared" si="182"/>
        <v>0</v>
      </c>
      <c r="DQ100" s="4">
        <f t="shared" si="260"/>
        <v>228.6</v>
      </c>
      <c r="DR100" s="4">
        <f t="shared" si="261"/>
        <v>1</v>
      </c>
      <c r="DT100" s="4">
        <f t="shared" si="262"/>
        <v>1.6292650405255247E-5</v>
      </c>
      <c r="DU100" s="4">
        <f>EP100</f>
        <v>7.1396680446762248</v>
      </c>
      <c r="DV100" s="4">
        <f t="shared" si="289"/>
        <v>0.63246442644674039</v>
      </c>
      <c r="DW100" s="4">
        <f t="shared" si="263"/>
        <v>5.944186968008955</v>
      </c>
      <c r="DX100" s="4">
        <f t="shared" si="264"/>
        <v>6.5692013168049943</v>
      </c>
      <c r="DY100" s="4">
        <f t="shared" si="265"/>
        <v>6.8404228028420162</v>
      </c>
      <c r="DZ100" s="38">
        <f t="shared" si="266"/>
        <v>598.87233088440053</v>
      </c>
      <c r="EA100" s="4">
        <f t="shared" si="267"/>
        <v>1.0001119365080668</v>
      </c>
      <c r="EB100" s="4">
        <f t="shared" si="290"/>
        <v>2.2360679774997898</v>
      </c>
      <c r="EC100" s="4">
        <f t="shared" si="291"/>
        <v>365.53038838837034</v>
      </c>
      <c r="EG100" s="4">
        <f t="shared" si="268"/>
        <v>0.85</v>
      </c>
      <c r="EH100" s="4">
        <f t="shared" si="269"/>
        <v>0.85</v>
      </c>
      <c r="EI100" s="4">
        <f t="shared" si="270"/>
        <v>1</v>
      </c>
      <c r="EJ100" s="4">
        <f t="shared" si="271"/>
        <v>0.85</v>
      </c>
      <c r="EL100" s="4">
        <f t="shared" si="272"/>
        <v>640.8292440813417</v>
      </c>
      <c r="EM100" s="25">
        <f t="shared" si="305"/>
        <v>448.05820687508361</v>
      </c>
      <c r="EO100" s="4">
        <f t="shared" si="315"/>
        <v>0.72249999999999992</v>
      </c>
      <c r="EP100" s="4">
        <f t="shared" si="274"/>
        <v>7.1396680446762248</v>
      </c>
      <c r="EQ100" s="4">
        <f t="shared" si="275"/>
        <v>5.2873704163355377</v>
      </c>
      <c r="ES100" s="4">
        <f t="shared" si="276"/>
        <v>56.796126628494655</v>
      </c>
      <c r="ET100" s="4">
        <f t="shared" si="184"/>
        <v>2.2360679774997898</v>
      </c>
      <c r="EU100" s="4">
        <f t="shared" si="277"/>
        <v>0.19542398411872033</v>
      </c>
      <c r="EX100" s="4">
        <f t="shared" si="185"/>
        <v>0.19542398411872033</v>
      </c>
      <c r="EY100" s="4">
        <f t="shared" si="278"/>
        <v>0.6314089611943462</v>
      </c>
      <c r="EZ100" s="4">
        <f t="shared" si="186"/>
        <v>5.9402170836537644</v>
      </c>
      <c r="FA100" s="4">
        <f t="shared" si="232"/>
        <v>6.5674058970977542</v>
      </c>
      <c r="FB100" s="4">
        <f t="shared" si="188"/>
        <v>114.65387337150534</v>
      </c>
      <c r="FC100" s="4">
        <f t="shared" si="189"/>
        <v>57.150000000000006</v>
      </c>
      <c r="FD100" s="4">
        <f t="shared" si="279"/>
        <v>1.629265040525525E-5</v>
      </c>
      <c r="FE100" s="4">
        <f t="shared" si="233"/>
        <v>6.8405224873496033</v>
      </c>
      <c r="FF100" s="4">
        <f t="shared" si="280"/>
        <v>598.8053027098033</v>
      </c>
      <c r="FG100" s="4">
        <f t="shared" si="191"/>
        <v>114.65387337150534</v>
      </c>
      <c r="FH100" s="4">
        <f t="shared" si="192"/>
        <v>57.15</v>
      </c>
      <c r="FJ100" s="4">
        <f t="shared" si="281"/>
        <v>0</v>
      </c>
      <c r="FO100" s="23">
        <f t="shared" si="219"/>
        <v>2.2000000000000002</v>
      </c>
      <c r="FP100" s="23">
        <f t="shared" si="219"/>
        <v>1.6</v>
      </c>
      <c r="FQ100" s="23">
        <f t="shared" si="229"/>
        <v>1.4</v>
      </c>
      <c r="FR100" s="23">
        <f t="shared" si="220"/>
        <v>2.2000000000000002</v>
      </c>
      <c r="FS100" s="23">
        <f t="shared" si="220"/>
        <v>1</v>
      </c>
      <c r="FT100" s="23">
        <f t="shared" si="220"/>
        <v>1</v>
      </c>
      <c r="FU100" s="23">
        <f t="shared" si="221"/>
        <v>0</v>
      </c>
      <c r="FV100" s="23"/>
      <c r="GF100" s="4">
        <f t="shared" si="282"/>
        <v>1</v>
      </c>
      <c r="GG100" s="4">
        <f t="shared" si="283"/>
        <v>0.5</v>
      </c>
      <c r="GH100" s="4">
        <f t="shared" si="284"/>
        <v>0</v>
      </c>
      <c r="GI100" s="4">
        <f t="shared" si="285"/>
        <v>426.66646426814151</v>
      </c>
    </row>
    <row r="101" spans="1:191" ht="12" hidden="1" customHeight="1" x14ac:dyDescent="0.3">
      <c r="A101" s="25">
        <v>82</v>
      </c>
      <c r="B101" s="24" t="s">
        <v>605</v>
      </c>
      <c r="C101" s="24">
        <v>2016</v>
      </c>
      <c r="D101" s="24" t="s">
        <v>55</v>
      </c>
      <c r="E101" s="24"/>
      <c r="F101" s="24"/>
      <c r="G101" s="24"/>
      <c r="H101" s="7" t="s">
        <v>618</v>
      </c>
      <c r="I101" s="7"/>
      <c r="J101" s="38">
        <f t="shared" si="306"/>
        <v>889.65517241379314</v>
      </c>
      <c r="K101" s="38">
        <f>13*25.4</f>
        <v>330.2</v>
      </c>
      <c r="L101" s="4">
        <f t="shared" si="307"/>
        <v>330.2</v>
      </c>
      <c r="M101" s="38">
        <f>4760/145</f>
        <v>32.827586206896555</v>
      </c>
      <c r="N101" s="38">
        <f t="shared" si="308"/>
        <v>25.4</v>
      </c>
      <c r="O101" s="7">
        <f t="shared" si="309"/>
        <v>13</v>
      </c>
      <c r="P101" s="7">
        <f t="shared" si="310"/>
        <v>13</v>
      </c>
      <c r="Q101" s="38">
        <f>18.4*25.4</f>
        <v>467.35999999999996</v>
      </c>
      <c r="R101" s="38"/>
      <c r="S101" s="38">
        <f t="shared" si="311"/>
        <v>63.5</v>
      </c>
      <c r="T101" s="38"/>
      <c r="U101" s="7">
        <f t="shared" si="150"/>
        <v>50.8</v>
      </c>
      <c r="V101" s="7"/>
      <c r="W101" s="7">
        <f t="shared" si="300"/>
        <v>289.55999999999995</v>
      </c>
      <c r="X101" s="38">
        <v>2</v>
      </c>
      <c r="Y101" s="38"/>
      <c r="Z101" s="38"/>
      <c r="AA101" s="39">
        <f t="shared" si="312"/>
        <v>50.8</v>
      </c>
      <c r="AB101" s="7">
        <f t="shared" si="301"/>
        <v>2.5</v>
      </c>
      <c r="AC101" s="7">
        <f t="shared" si="302"/>
        <v>3</v>
      </c>
      <c r="AD101" s="38">
        <v>4</v>
      </c>
      <c r="AE101" s="4">
        <f t="shared" si="313"/>
        <v>4</v>
      </c>
      <c r="AF101" s="4">
        <f t="shared" si="314"/>
        <v>5</v>
      </c>
      <c r="AG101" s="7">
        <f t="shared" si="240"/>
        <v>56.796126628494655</v>
      </c>
      <c r="AH101" s="7"/>
      <c r="AI101" s="7"/>
      <c r="AJ101" s="38">
        <f>91.7/(PI()/4)/0.145*AL104</f>
        <v>680.71677210678308</v>
      </c>
      <c r="AK101" s="7" t="s">
        <v>654</v>
      </c>
      <c r="AL101" s="7"/>
      <c r="AM101" s="7">
        <v>0</v>
      </c>
      <c r="AN101" s="7">
        <v>0</v>
      </c>
      <c r="AO101" s="7">
        <f t="shared" si="298"/>
        <v>330.2</v>
      </c>
      <c r="AP101" s="7"/>
      <c r="AQ101" s="7"/>
      <c r="AR101" s="7"/>
      <c r="AS101" s="4">
        <f t="shared" si="292"/>
        <v>330.2</v>
      </c>
      <c r="AT101" s="44">
        <f t="shared" si="303"/>
        <v>0.24194608809993426</v>
      </c>
      <c r="AU101" s="25">
        <f t="shared" si="241"/>
        <v>339.2327463778492</v>
      </c>
      <c r="AV101" s="4">
        <f t="shared" si="242"/>
        <v>0.73846153846153839</v>
      </c>
      <c r="AW101" s="4">
        <v>1.25</v>
      </c>
      <c r="AX101" s="25">
        <f t="shared" si="286"/>
        <v>5</v>
      </c>
      <c r="AY101" s="38">
        <f t="shared" si="287"/>
        <v>378.81247357623579</v>
      </c>
      <c r="AZ101" s="38">
        <f t="shared" si="288"/>
        <v>378.81247357623579</v>
      </c>
      <c r="BB101" s="38">
        <f t="shared" si="304"/>
        <v>378.81247357623596</v>
      </c>
      <c r="BC101" s="38">
        <f t="shared" si="243"/>
        <v>0.99999999999999956</v>
      </c>
      <c r="BD101" s="38">
        <f t="shared" si="155"/>
        <v>0.93591936846063783</v>
      </c>
      <c r="BE101" s="4">
        <f t="shared" si="173"/>
        <v>1</v>
      </c>
      <c r="BF101" s="4">
        <f t="shared" si="244"/>
        <v>392.02090470029344</v>
      </c>
      <c r="BG101" s="4">
        <f t="shared" si="223"/>
        <v>1.08</v>
      </c>
      <c r="BH101" s="38">
        <f t="shared" si="245"/>
        <v>354.53793103448282</v>
      </c>
      <c r="BI101" s="4">
        <f t="shared" si="224"/>
        <v>0.44000000000000006</v>
      </c>
      <c r="BJ101" s="4">
        <f t="shared" si="246"/>
        <v>90.125605990597464</v>
      </c>
      <c r="BK101" s="4">
        <f t="shared" si="247"/>
        <v>444.6635370250803</v>
      </c>
      <c r="BM101" s="36">
        <f t="shared" si="248"/>
        <v>1.1000000000000001</v>
      </c>
      <c r="BN101" s="36">
        <f t="shared" si="249"/>
        <v>269.74656897885109</v>
      </c>
      <c r="BS101" s="4">
        <f t="shared" si="174"/>
        <v>63.5</v>
      </c>
      <c r="BT101" s="4">
        <f t="shared" si="175"/>
        <v>50.8</v>
      </c>
      <c r="BU101" s="4">
        <f t="shared" si="176"/>
        <v>63.5</v>
      </c>
      <c r="BV101" s="4">
        <f t="shared" si="250"/>
        <v>63.5</v>
      </c>
      <c r="BW101" s="4">
        <f t="shared" si="177"/>
        <v>1.0250000000000001</v>
      </c>
      <c r="BX101" s="25">
        <f t="shared" si="251"/>
        <v>2.5625000000000004</v>
      </c>
      <c r="BZ101" s="4">
        <f t="shared" si="178"/>
        <v>63.5</v>
      </c>
      <c r="CD101" s="9"/>
      <c r="CF101" s="9"/>
      <c r="CG101" s="9"/>
      <c r="CH101" s="9">
        <f t="shared" si="230"/>
        <v>50.8</v>
      </c>
      <c r="CI101" s="9">
        <f t="shared" si="231"/>
        <v>144.77999999999997</v>
      </c>
      <c r="CJ101" s="9">
        <f t="shared" si="252"/>
        <v>1.6547855765231267</v>
      </c>
      <c r="CK101" s="70">
        <v>0</v>
      </c>
      <c r="CL101" s="9">
        <f t="shared" si="253"/>
        <v>0</v>
      </c>
      <c r="CM101" s="9">
        <f t="shared" si="254"/>
        <v>0</v>
      </c>
      <c r="CN101" s="9">
        <f t="shared" si="255"/>
        <v>0.99524931562137331</v>
      </c>
      <c r="CO101" s="9">
        <f t="shared" si="256"/>
        <v>0.68</v>
      </c>
      <c r="CP101" s="9">
        <f t="shared" si="257"/>
        <v>1.3571514652473406</v>
      </c>
      <c r="CQ101" s="9">
        <f t="shared" si="258"/>
        <v>2.2457946698485269</v>
      </c>
      <c r="CR101" s="9">
        <v>1</v>
      </c>
      <c r="CS101" s="9">
        <f t="shared" si="259"/>
        <v>251.52900302303502</v>
      </c>
      <c r="CU101" s="4">
        <f t="shared" si="209"/>
        <v>1.7364297769457027</v>
      </c>
      <c r="CV101" s="4">
        <f t="shared" si="210"/>
        <v>1.5308580880298011</v>
      </c>
      <c r="CW101" s="4">
        <f t="shared" si="211"/>
        <v>2.5235419107783099</v>
      </c>
      <c r="CX101" s="4">
        <f t="shared" si="212"/>
        <v>2.7063152317446391</v>
      </c>
      <c r="CY101" s="4">
        <f t="shared" si="213"/>
        <v>0.94669817807579748</v>
      </c>
      <c r="CZ101" s="4">
        <f t="shared" si="214"/>
        <v>1.0386003539475714</v>
      </c>
      <c r="DA101" s="4">
        <f t="shared" si="162"/>
        <v>1.0969090233322247</v>
      </c>
      <c r="DC101" s="4">
        <f t="shared" si="215"/>
        <v>1.7364297769457027</v>
      </c>
      <c r="DD101" s="4">
        <f t="shared" si="215"/>
        <v>1.5308580880298011</v>
      </c>
      <c r="DE101" s="4">
        <f t="shared" si="216"/>
        <v>2.7063152317446391</v>
      </c>
      <c r="DF101" s="4">
        <f t="shared" si="299"/>
        <v>1.0969090233322247</v>
      </c>
      <c r="DG101" s="4">
        <f t="shared" si="218"/>
        <v>0.94669817807579748</v>
      </c>
      <c r="DH101" s="4">
        <f t="shared" si="218"/>
        <v>1.0386003539475714</v>
      </c>
      <c r="DP101" s="4">
        <f t="shared" si="182"/>
        <v>0</v>
      </c>
      <c r="DQ101" s="4">
        <f t="shared" si="260"/>
        <v>330.2</v>
      </c>
      <c r="DR101" s="4">
        <f t="shared" si="261"/>
        <v>1</v>
      </c>
      <c r="DT101" s="4">
        <f t="shared" si="262"/>
        <v>2.3681819900234351E-5</v>
      </c>
      <c r="DU101" s="4">
        <f t="shared" si="183"/>
        <v>7.2392070940302364</v>
      </c>
      <c r="DV101" s="4">
        <f t="shared" si="289"/>
        <v>0.63754511831837357</v>
      </c>
      <c r="DW101" s="4">
        <f t="shared" si="263"/>
        <v>6.0463790621963174</v>
      </c>
      <c r="DX101" s="4">
        <f t="shared" si="264"/>
        <v>6.6695348273863901</v>
      </c>
      <c r="DY101" s="4">
        <f t="shared" si="265"/>
        <v>6.5917246907396922</v>
      </c>
      <c r="DZ101" s="38">
        <f t="shared" si="266"/>
        <v>719.04307821777752</v>
      </c>
      <c r="EA101" s="4">
        <f t="shared" si="267"/>
        <v>1.0001231926487528</v>
      </c>
      <c r="EB101" s="4">
        <f t="shared" si="290"/>
        <v>2.2360679774997898</v>
      </c>
      <c r="EC101" s="4">
        <f t="shared" si="291"/>
        <v>378.81247357623596</v>
      </c>
      <c r="EG101" s="4">
        <f t="shared" si="268"/>
        <v>0.85</v>
      </c>
      <c r="EH101" s="4">
        <f t="shared" si="269"/>
        <v>0.85</v>
      </c>
      <c r="EI101" s="4">
        <f t="shared" si="270"/>
        <v>1</v>
      </c>
      <c r="EJ101" s="4">
        <f t="shared" si="271"/>
        <v>0.85</v>
      </c>
      <c r="EL101" s="4">
        <f t="shared" si="272"/>
        <v>655.41742742477982</v>
      </c>
      <c r="EM101" s="25">
        <f t="shared" si="305"/>
        <v>373.08835075760055</v>
      </c>
      <c r="EO101" s="4">
        <f t="shared" si="315"/>
        <v>0.72249999999999992</v>
      </c>
      <c r="EP101" s="4">
        <f t="shared" si="274"/>
        <v>7.2392070940302364</v>
      </c>
      <c r="EQ101" s="4">
        <f t="shared" si="275"/>
        <v>5.3610853035727679</v>
      </c>
      <c r="ES101" s="4">
        <f t="shared" si="276"/>
        <v>56.796126628494655</v>
      </c>
      <c r="ET101" s="4">
        <f t="shared" si="184"/>
        <v>2.2360679774997898</v>
      </c>
      <c r="EU101" s="4">
        <f t="shared" si="277"/>
        <v>0.19974028505824587</v>
      </c>
      <c r="EX101" s="4">
        <f t="shared" si="185"/>
        <v>0.19974028505824587</v>
      </c>
      <c r="EY101" s="4">
        <f t="shared" si="278"/>
        <v>0.63648117433815776</v>
      </c>
      <c r="EZ101" s="4">
        <f t="shared" si="186"/>
        <v>6.0423409278351752</v>
      </c>
      <c r="FA101" s="4">
        <f t="shared" si="232"/>
        <v>6.6677050716935931</v>
      </c>
      <c r="FB101" s="4">
        <f t="shared" si="188"/>
        <v>190.85387337150533</v>
      </c>
      <c r="FC101" s="4">
        <f t="shared" si="189"/>
        <v>82.549999999999983</v>
      </c>
      <c r="FD101" s="4">
        <f t="shared" si="279"/>
        <v>2.3681819900234344E-5</v>
      </c>
      <c r="FE101" s="4">
        <f t="shared" si="233"/>
        <v>6.5919202985164418</v>
      </c>
      <c r="FF101" s="4">
        <f t="shared" si="280"/>
        <v>718.95450830756636</v>
      </c>
      <c r="FG101" s="4">
        <f t="shared" si="191"/>
        <v>190.85387337150533</v>
      </c>
      <c r="FH101" s="4">
        <f t="shared" si="192"/>
        <v>82.550000000000011</v>
      </c>
      <c r="FJ101" s="4">
        <f t="shared" si="281"/>
        <v>0</v>
      </c>
      <c r="FO101" s="23">
        <f t="shared" si="219"/>
        <v>1.8</v>
      </c>
      <c r="FP101" s="23">
        <f t="shared" si="219"/>
        <v>1.6</v>
      </c>
      <c r="FQ101" s="23">
        <f t="shared" si="229"/>
        <v>1.2</v>
      </c>
      <c r="FR101" s="23">
        <f t="shared" si="220"/>
        <v>2.2000000000000002</v>
      </c>
      <c r="FS101" s="23">
        <f t="shared" si="220"/>
        <v>1</v>
      </c>
      <c r="FT101" s="23">
        <f t="shared" si="220"/>
        <v>1.2</v>
      </c>
      <c r="FU101" s="23">
        <f t="shared" si="221"/>
        <v>0</v>
      </c>
      <c r="FV101" s="23"/>
      <c r="GF101" s="4">
        <f t="shared" si="282"/>
        <v>1</v>
      </c>
      <c r="GG101" s="4">
        <f t="shared" si="283"/>
        <v>0.5</v>
      </c>
      <c r="GH101" s="4">
        <f t="shared" si="284"/>
        <v>0</v>
      </c>
      <c r="GI101" s="4">
        <f t="shared" si="285"/>
        <v>620.57723806380977</v>
      </c>
    </row>
    <row r="102" spans="1:191" ht="12" hidden="1" customHeight="1" x14ac:dyDescent="0.3">
      <c r="A102" s="25">
        <v>83</v>
      </c>
      <c r="B102" s="24" t="s">
        <v>605</v>
      </c>
      <c r="C102" s="24">
        <v>2016</v>
      </c>
      <c r="D102" s="24" t="s">
        <v>55</v>
      </c>
      <c r="E102" s="24"/>
      <c r="F102" s="24"/>
      <c r="G102" s="24"/>
      <c r="H102" s="7" t="s">
        <v>619</v>
      </c>
      <c r="I102" s="7"/>
      <c r="J102" s="38">
        <f t="shared" si="306"/>
        <v>889.65517241379314</v>
      </c>
      <c r="K102" s="38">
        <f>9*25.4</f>
        <v>228.6</v>
      </c>
      <c r="L102" s="4">
        <f t="shared" si="307"/>
        <v>228.6</v>
      </c>
      <c r="M102" s="38">
        <f>4770/145</f>
        <v>32.896551724137929</v>
      </c>
      <c r="N102" s="38">
        <f t="shared" si="308"/>
        <v>25.4</v>
      </c>
      <c r="O102" s="7">
        <f t="shared" si="309"/>
        <v>9</v>
      </c>
      <c r="P102" s="7">
        <f t="shared" si="310"/>
        <v>9</v>
      </c>
      <c r="Q102" s="38">
        <f>18.3*25.4</f>
        <v>464.82</v>
      </c>
      <c r="R102" s="38"/>
      <c r="S102" s="38">
        <f t="shared" si="311"/>
        <v>63.5</v>
      </c>
      <c r="T102" s="38"/>
      <c r="U102" s="7">
        <f t="shared" si="150"/>
        <v>50.8</v>
      </c>
      <c r="V102" s="7"/>
      <c r="W102" s="7">
        <f t="shared" si="300"/>
        <v>130.81</v>
      </c>
      <c r="X102" s="38">
        <v>3</v>
      </c>
      <c r="Y102" s="38"/>
      <c r="Z102" s="38"/>
      <c r="AA102" s="39">
        <f t="shared" si="312"/>
        <v>50.8</v>
      </c>
      <c r="AB102" s="7">
        <f t="shared" si="301"/>
        <v>2.5</v>
      </c>
      <c r="AC102" s="7">
        <f t="shared" si="302"/>
        <v>3</v>
      </c>
      <c r="AD102" s="38">
        <v>4</v>
      </c>
      <c r="AE102" s="4">
        <f t="shared" si="313"/>
        <v>4</v>
      </c>
      <c r="AF102" s="4">
        <f t="shared" si="314"/>
        <v>5</v>
      </c>
      <c r="AG102" s="7">
        <f t="shared" si="240"/>
        <v>56.796126628494655</v>
      </c>
      <c r="AH102" s="7"/>
      <c r="AI102" s="7"/>
      <c r="AJ102" s="38">
        <f>72/(PI()/4)/0.145</f>
        <v>632.2292911788395</v>
      </c>
      <c r="AK102" s="7"/>
      <c r="AL102" s="7">
        <f>72/87</f>
        <v>0.82758620689655171</v>
      </c>
      <c r="AM102" s="7">
        <v>0</v>
      </c>
      <c r="AN102" s="7">
        <v>0</v>
      </c>
      <c r="AO102" s="7">
        <f t="shared" si="298"/>
        <v>228.6</v>
      </c>
      <c r="AP102" s="7"/>
      <c r="AQ102" s="7"/>
      <c r="AR102" s="7"/>
      <c r="AS102" s="4">
        <f t="shared" si="292"/>
        <v>228.6</v>
      </c>
      <c r="AT102" s="44">
        <f t="shared" si="303"/>
        <v>0.40164609053497946</v>
      </c>
      <c r="AU102" s="25">
        <f t="shared" si="241"/>
        <v>130.41001899429696</v>
      </c>
      <c r="AV102" s="4">
        <f t="shared" si="242"/>
        <v>0.75555555555555554</v>
      </c>
      <c r="AW102" s="4">
        <v>1.25</v>
      </c>
      <c r="AX102" s="25">
        <f t="shared" si="286"/>
        <v>5</v>
      </c>
      <c r="AY102" s="38">
        <f t="shared" si="287"/>
        <v>247.34373972946676</v>
      </c>
      <c r="AZ102" s="38">
        <f t="shared" si="288"/>
        <v>247.34373972946676</v>
      </c>
      <c r="BB102" s="38">
        <f t="shared" si="304"/>
        <v>247.34373972946665</v>
      </c>
      <c r="BC102" s="38">
        <f t="shared" si="243"/>
        <v>1.0000000000000004</v>
      </c>
      <c r="BD102" s="38">
        <f t="shared" si="155"/>
        <v>1.4363927666383707</v>
      </c>
      <c r="BE102" s="4">
        <f t="shared" si="173"/>
        <v>0</v>
      </c>
      <c r="BF102" s="4">
        <f t="shared" si="244"/>
        <v>271.68402137349256</v>
      </c>
      <c r="BG102" s="4">
        <f t="shared" si="223"/>
        <v>1.08</v>
      </c>
      <c r="BH102" s="38">
        <f t="shared" si="245"/>
        <v>355.28275862068966</v>
      </c>
      <c r="BI102" s="4">
        <f t="shared" si="224"/>
        <v>0.44000000000000006</v>
      </c>
      <c r="BJ102" s="4">
        <f t="shared" si="246"/>
        <v>62.460156513765938</v>
      </c>
      <c r="BK102" s="4">
        <f t="shared" si="247"/>
        <v>417.74291513445559</v>
      </c>
      <c r="BM102" s="36">
        <f t="shared" si="248"/>
        <v>1.1000000000000001</v>
      </c>
      <c r="BN102" s="36">
        <f t="shared" si="249"/>
        <v>229.65148455566467</v>
      </c>
      <c r="BS102" s="4">
        <f t="shared" si="174"/>
        <v>63.5</v>
      </c>
      <c r="BT102" s="4">
        <f t="shared" si="175"/>
        <v>50.8</v>
      </c>
      <c r="BU102" s="4">
        <f t="shared" si="176"/>
        <v>63.5</v>
      </c>
      <c r="BV102" s="4">
        <f t="shared" si="250"/>
        <v>63.5</v>
      </c>
      <c r="BW102" s="4">
        <f t="shared" si="177"/>
        <v>1.0250000000000001</v>
      </c>
      <c r="BX102" s="25">
        <f t="shared" si="251"/>
        <v>2.5625000000000004</v>
      </c>
      <c r="BZ102" s="4">
        <f t="shared" si="178"/>
        <v>63.5</v>
      </c>
      <c r="CD102" s="9"/>
      <c r="CF102" s="9"/>
      <c r="CG102" s="9"/>
      <c r="CH102" s="9">
        <f t="shared" si="230"/>
        <v>50.8</v>
      </c>
      <c r="CI102" s="9">
        <f t="shared" si="231"/>
        <v>65.405000000000001</v>
      </c>
      <c r="CJ102" s="9">
        <f t="shared" si="252"/>
        <v>1.4688487685376905</v>
      </c>
      <c r="CK102" s="70">
        <v>0</v>
      </c>
      <c r="CL102" s="9">
        <f t="shared" si="253"/>
        <v>0</v>
      </c>
      <c r="CM102" s="9">
        <f t="shared" si="254"/>
        <v>0</v>
      </c>
      <c r="CN102" s="9">
        <f t="shared" si="255"/>
        <v>0.99524931562137331</v>
      </c>
      <c r="CO102" s="9">
        <f t="shared" si="256"/>
        <v>0.68</v>
      </c>
      <c r="CP102" s="9">
        <f t="shared" si="257"/>
        <v>1.3585762965743986</v>
      </c>
      <c r="CQ102" s="9">
        <f t="shared" si="258"/>
        <v>1.9955431201878016</v>
      </c>
      <c r="CR102" s="9">
        <v>1</v>
      </c>
      <c r="CS102" s="9">
        <f t="shared" si="259"/>
        <v>191.57213953802895</v>
      </c>
      <c r="CU102" s="4">
        <f t="shared" si="209"/>
        <v>2.3270757256264769</v>
      </c>
      <c r="CV102" s="4">
        <f t="shared" si="210"/>
        <v>1.5134410860692846</v>
      </c>
      <c r="CW102" s="4">
        <f t="shared" si="211"/>
        <v>2.7529945752455824</v>
      </c>
      <c r="CX102" s="4">
        <f t="shared" si="212"/>
        <v>3.3002152228577883</v>
      </c>
      <c r="CY102" s="4">
        <f t="shared" si="213"/>
        <v>1.3487999940488067</v>
      </c>
      <c r="CZ102" s="4">
        <f t="shared" si="214"/>
        <v>1.2673692173920306</v>
      </c>
      <c r="DA102" s="4">
        <f t="shared" si="162"/>
        <v>1.7428905183278425</v>
      </c>
      <c r="DC102" s="4">
        <f t="shared" si="215"/>
        <v>2.3270757256264769</v>
      </c>
      <c r="DD102" s="4">
        <f t="shared" si="215"/>
        <v>1.5134410860692846</v>
      </c>
      <c r="DE102" s="4">
        <f t="shared" si="216"/>
        <v>3.3002152228577883</v>
      </c>
      <c r="DF102" s="4">
        <f t="shared" si="299"/>
        <v>1.7428905183278425</v>
      </c>
      <c r="DG102" s="4">
        <f t="shared" si="218"/>
        <v>1.3487999940488067</v>
      </c>
      <c r="DH102" s="4">
        <f t="shared" si="218"/>
        <v>1.2673692173920306</v>
      </c>
      <c r="DP102" s="4">
        <f t="shared" si="182"/>
        <v>0</v>
      </c>
      <c r="DQ102" s="4">
        <f t="shared" si="260"/>
        <v>228.6</v>
      </c>
      <c r="DR102" s="4">
        <f t="shared" si="261"/>
        <v>1</v>
      </c>
      <c r="DT102" s="4">
        <f t="shared" si="262"/>
        <v>1.6402981976815728E-5</v>
      </c>
      <c r="DU102" s="4">
        <f t="shared" si="183"/>
        <v>7.2468073135449798</v>
      </c>
      <c r="DV102" s="4">
        <f t="shared" si="289"/>
        <v>0.41540923789121181</v>
      </c>
      <c r="DW102" s="4">
        <f t="shared" si="263"/>
        <v>5.0996124652241388</v>
      </c>
      <c r="DX102" s="4">
        <f t="shared" si="264"/>
        <v>6.2661431823399951</v>
      </c>
      <c r="DY102" s="4">
        <f t="shared" si="265"/>
        <v>6.9598678695184395</v>
      </c>
      <c r="DZ102" s="38">
        <f t="shared" si="266"/>
        <v>468.73464855306196</v>
      </c>
      <c r="EA102" s="4">
        <f t="shared" si="267"/>
        <v>1.0001167073244639</v>
      </c>
      <c r="EB102" s="4">
        <f t="shared" si="290"/>
        <v>2.2360679774997898</v>
      </c>
      <c r="EC102" s="4">
        <f t="shared" si="291"/>
        <v>247.34373972946665</v>
      </c>
      <c r="EG102" s="4">
        <f t="shared" si="268"/>
        <v>0.85</v>
      </c>
      <c r="EH102" s="4">
        <f t="shared" si="269"/>
        <v>0.85</v>
      </c>
      <c r="EI102" s="4">
        <f t="shared" si="270"/>
        <v>1</v>
      </c>
      <c r="EJ102" s="4">
        <f t="shared" si="271"/>
        <v>0.85</v>
      </c>
      <c r="EL102" s="4">
        <f t="shared" si="272"/>
        <v>498.85170201610981</v>
      </c>
      <c r="EM102" s="25">
        <f t="shared" si="305"/>
        <v>303.18790455039539</v>
      </c>
      <c r="EO102" s="4">
        <f t="shared" si="315"/>
        <v>0.72249999999999992</v>
      </c>
      <c r="EP102" s="4">
        <f t="shared" si="274"/>
        <v>7.2468073135449798</v>
      </c>
      <c r="EQ102" s="4">
        <f t="shared" si="275"/>
        <v>5.366713741137155</v>
      </c>
      <c r="ES102" s="4">
        <f t="shared" si="276"/>
        <v>56.796126628494655</v>
      </c>
      <c r="ET102" s="4">
        <f t="shared" si="184"/>
        <v>2.2360679774997898</v>
      </c>
      <c r="EU102" s="4">
        <f t="shared" si="277"/>
        <v>0.13028265607914691</v>
      </c>
      <c r="EX102" s="4">
        <f t="shared" si="185"/>
        <v>0.13028265607914691</v>
      </c>
      <c r="EY102" s="4">
        <f t="shared" si="278"/>
        <v>0.41471599729492875</v>
      </c>
      <c r="EZ102" s="4">
        <f t="shared" si="186"/>
        <v>5.0962066383461853</v>
      </c>
      <c r="FA102" s="4">
        <f t="shared" si="232"/>
        <v>6.2647594664384387</v>
      </c>
      <c r="FB102" s="4">
        <f t="shared" si="188"/>
        <v>114.65387337150534</v>
      </c>
      <c r="FC102" s="4">
        <f t="shared" si="189"/>
        <v>57.150000000000006</v>
      </c>
      <c r="FD102" s="4">
        <f t="shared" si="279"/>
        <v>1.6402981976815732E-5</v>
      </c>
      <c r="FE102" s="4">
        <f t="shared" si="233"/>
        <v>6.9599510091554349</v>
      </c>
      <c r="FF102" s="4">
        <f t="shared" si="280"/>
        <v>468.67995017004779</v>
      </c>
      <c r="FG102" s="4">
        <f t="shared" si="191"/>
        <v>114.65387337150534</v>
      </c>
      <c r="FH102" s="4">
        <f t="shared" si="192"/>
        <v>57.15</v>
      </c>
      <c r="FJ102" s="4">
        <f t="shared" si="281"/>
        <v>0</v>
      </c>
      <c r="FO102" s="23">
        <f t="shared" si="219"/>
        <v>2.2000000000000002</v>
      </c>
      <c r="FP102" s="23">
        <f t="shared" si="219"/>
        <v>1.6</v>
      </c>
      <c r="FQ102" s="23">
        <f t="shared" si="229"/>
        <v>1.8</v>
      </c>
      <c r="FR102" s="23">
        <f t="shared" si="220"/>
        <v>2.2000000000000002</v>
      </c>
      <c r="FS102" s="23">
        <f t="shared" si="220"/>
        <v>1.4</v>
      </c>
      <c r="FT102" s="23">
        <f t="shared" si="220"/>
        <v>1.4</v>
      </c>
      <c r="FU102" s="23">
        <f t="shared" si="221"/>
        <v>0</v>
      </c>
      <c r="FV102" s="23"/>
      <c r="GF102" s="4">
        <f t="shared" si="282"/>
        <v>1</v>
      </c>
      <c r="GG102" s="4">
        <f t="shared" si="283"/>
        <v>0.59250000000000003</v>
      </c>
      <c r="GH102" s="4">
        <f t="shared" si="284"/>
        <v>0</v>
      </c>
      <c r="GI102" s="4">
        <f t="shared" si="285"/>
        <v>362.74756476695427</v>
      </c>
    </row>
    <row r="103" spans="1:191" ht="12" hidden="1" customHeight="1" x14ac:dyDescent="0.3">
      <c r="A103" s="25">
        <v>84</v>
      </c>
      <c r="B103" s="24" t="s">
        <v>605</v>
      </c>
      <c r="C103" s="24">
        <v>2016</v>
      </c>
      <c r="D103" s="24" t="s">
        <v>55</v>
      </c>
      <c r="E103" s="24"/>
      <c r="F103" s="24"/>
      <c r="G103" s="24"/>
      <c r="H103" s="7" t="s">
        <v>620</v>
      </c>
      <c r="I103" s="7"/>
      <c r="J103" s="38">
        <f t="shared" si="306"/>
        <v>889.65517241379314</v>
      </c>
      <c r="K103" s="38">
        <f>11*25.4</f>
        <v>279.39999999999998</v>
      </c>
      <c r="L103" s="4">
        <f t="shared" si="307"/>
        <v>279.39999999999998</v>
      </c>
      <c r="M103" s="38">
        <f>4820/145</f>
        <v>33.241379310344826</v>
      </c>
      <c r="N103" s="38">
        <f t="shared" si="308"/>
        <v>25.4</v>
      </c>
      <c r="O103" s="7">
        <f t="shared" si="309"/>
        <v>11</v>
      </c>
      <c r="P103" s="7">
        <f t="shared" si="310"/>
        <v>11</v>
      </c>
      <c r="Q103" s="38">
        <f>18.3*25.4</f>
        <v>464.82</v>
      </c>
      <c r="R103" s="38"/>
      <c r="S103" s="38">
        <f t="shared" si="311"/>
        <v>63.5</v>
      </c>
      <c r="T103" s="38"/>
      <c r="U103" s="7">
        <f t="shared" si="150"/>
        <v>50.8</v>
      </c>
      <c r="V103" s="7"/>
      <c r="W103" s="7">
        <f t="shared" si="300"/>
        <v>130.81</v>
      </c>
      <c r="X103" s="38">
        <v>3</v>
      </c>
      <c r="Y103" s="38"/>
      <c r="Z103" s="38"/>
      <c r="AA103" s="39">
        <f t="shared" si="312"/>
        <v>50.8</v>
      </c>
      <c r="AB103" s="7">
        <f t="shared" si="301"/>
        <v>2.5</v>
      </c>
      <c r="AC103" s="7">
        <f t="shared" si="302"/>
        <v>3</v>
      </c>
      <c r="AD103" s="38">
        <v>4</v>
      </c>
      <c r="AE103" s="4">
        <f t="shared" si="313"/>
        <v>4</v>
      </c>
      <c r="AF103" s="4">
        <f t="shared" si="314"/>
        <v>5</v>
      </c>
      <c r="AG103" s="7">
        <f t="shared" si="240"/>
        <v>56.796126628494655</v>
      </c>
      <c r="AH103" s="7"/>
      <c r="AI103" s="7"/>
      <c r="AJ103" s="38">
        <f>98.5/(PI()/4)/0.145*AL104</f>
        <v>731.1952241277877</v>
      </c>
      <c r="AK103" s="7" t="s">
        <v>654</v>
      </c>
      <c r="AL103" s="7"/>
      <c r="AM103" s="7">
        <v>0</v>
      </c>
      <c r="AN103" s="7">
        <v>0</v>
      </c>
      <c r="AO103" s="7">
        <f t="shared" si="298"/>
        <v>279.39999999999998</v>
      </c>
      <c r="AP103" s="7"/>
      <c r="AQ103" s="7"/>
      <c r="AR103" s="7"/>
      <c r="AS103" s="4">
        <f t="shared" si="292"/>
        <v>279.39999999999998</v>
      </c>
      <c r="AT103" s="44">
        <f t="shared" si="303"/>
        <v>0.31928374655647385</v>
      </c>
      <c r="AU103" s="25">
        <f t="shared" si="241"/>
        <v>177.13343774215744</v>
      </c>
      <c r="AV103" s="4">
        <f t="shared" si="242"/>
        <v>0.74545454545454537</v>
      </c>
      <c r="AW103" s="4">
        <v>1.25</v>
      </c>
      <c r="AX103" s="25">
        <f t="shared" si="286"/>
        <v>5</v>
      </c>
      <c r="AY103" s="38">
        <f t="shared" si="287"/>
        <v>263.49874242642056</v>
      </c>
      <c r="AZ103" s="38">
        <f t="shared" si="288"/>
        <v>263.49874242642056</v>
      </c>
      <c r="BB103" s="38">
        <f t="shared" si="304"/>
        <v>263.49874242642068</v>
      </c>
      <c r="BC103" s="38">
        <f t="shared" si="243"/>
        <v>0.99999999999999956</v>
      </c>
      <c r="BD103" s="38">
        <f t="shared" si="155"/>
        <v>1.3624615178266861</v>
      </c>
      <c r="BE103" s="4">
        <f t="shared" si="173"/>
        <v>0</v>
      </c>
      <c r="BF103" s="4">
        <f t="shared" si="244"/>
        <v>333.79405864797894</v>
      </c>
      <c r="BG103" s="4">
        <f t="shared" si="223"/>
        <v>1.08</v>
      </c>
      <c r="BH103" s="38">
        <f t="shared" si="245"/>
        <v>359.00689655172414</v>
      </c>
      <c r="BI103" s="4">
        <f t="shared" si="224"/>
        <v>0.44000000000000006</v>
      </c>
      <c r="BJ103" s="4">
        <f t="shared" si="246"/>
        <v>76.739254083170351</v>
      </c>
      <c r="BK103" s="4">
        <f t="shared" si="247"/>
        <v>435.74615063489449</v>
      </c>
      <c r="BM103" s="36">
        <f t="shared" si="248"/>
        <v>1.1000000000000001</v>
      </c>
      <c r="BN103" s="36">
        <f t="shared" si="249"/>
        <v>251.14664972673935</v>
      </c>
      <c r="BS103" s="4">
        <f t="shared" si="174"/>
        <v>63.5</v>
      </c>
      <c r="BT103" s="4">
        <f t="shared" si="175"/>
        <v>50.8</v>
      </c>
      <c r="BU103" s="4">
        <f t="shared" si="176"/>
        <v>63.5</v>
      </c>
      <c r="BV103" s="4">
        <f t="shared" si="250"/>
        <v>63.5</v>
      </c>
      <c r="BW103" s="4">
        <f t="shared" si="177"/>
        <v>1.0250000000000001</v>
      </c>
      <c r="BX103" s="25">
        <f t="shared" si="251"/>
        <v>2.5625000000000004</v>
      </c>
      <c r="BZ103" s="4">
        <f t="shared" si="178"/>
        <v>63.5</v>
      </c>
      <c r="CD103" s="9"/>
      <c r="CF103" s="9"/>
      <c r="CG103" s="9"/>
      <c r="CH103" s="9">
        <f t="shared" si="230"/>
        <v>50.8</v>
      </c>
      <c r="CI103" s="9">
        <f t="shared" si="231"/>
        <v>65.405000000000001</v>
      </c>
      <c r="CJ103" s="9">
        <f t="shared" si="252"/>
        <v>1.4688487685376905</v>
      </c>
      <c r="CK103" s="70">
        <v>0</v>
      </c>
      <c r="CL103" s="9">
        <f t="shared" si="253"/>
        <v>0</v>
      </c>
      <c r="CM103" s="9">
        <f t="shared" si="254"/>
        <v>0</v>
      </c>
      <c r="CN103" s="9">
        <f t="shared" si="255"/>
        <v>0.99524931562137331</v>
      </c>
      <c r="CO103" s="9">
        <f t="shared" si="256"/>
        <v>0.68</v>
      </c>
      <c r="CP103" s="9">
        <f t="shared" si="257"/>
        <v>1.3656781551917097</v>
      </c>
      <c r="CQ103" s="9">
        <f t="shared" si="258"/>
        <v>2.0059746764721678</v>
      </c>
      <c r="CR103" s="9">
        <v>1</v>
      </c>
      <c r="CS103" s="9">
        <f t="shared" si="259"/>
        <v>208.62136635310543</v>
      </c>
      <c r="CU103" s="4">
        <f t="shared" si="209"/>
        <v>2.1905579359005616</v>
      </c>
      <c r="CV103" s="4">
        <f t="shared" si="210"/>
        <v>1.6780302546847874</v>
      </c>
      <c r="CW103" s="4">
        <f t="shared" si="211"/>
        <v>2.9114273470236065</v>
      </c>
      <c r="CX103" s="4">
        <f t="shared" si="212"/>
        <v>3.504891358491975</v>
      </c>
      <c r="CY103" s="4">
        <f t="shared" si="213"/>
        <v>1.3585563667404681</v>
      </c>
      <c r="CZ103" s="4">
        <f t="shared" si="214"/>
        <v>1.4251104346911909</v>
      </c>
      <c r="DA103" s="4">
        <f t="shared" si="162"/>
        <v>1.6449265106206508</v>
      </c>
      <c r="DC103" s="4">
        <f t="shared" si="215"/>
        <v>2.1905579359005616</v>
      </c>
      <c r="DD103" s="4">
        <f t="shared" si="215"/>
        <v>1.6780302546847874</v>
      </c>
      <c r="DE103" s="4">
        <f t="shared" si="216"/>
        <v>3.504891358491975</v>
      </c>
      <c r="DF103" s="4">
        <f t="shared" si="299"/>
        <v>1.6449265106206508</v>
      </c>
      <c r="DG103" s="4">
        <f t="shared" si="218"/>
        <v>1.3585563667404681</v>
      </c>
      <c r="DH103" s="4">
        <f t="shared" si="218"/>
        <v>1.4251104346911909</v>
      </c>
      <c r="DP103" s="4">
        <f t="shared" si="182"/>
        <v>0</v>
      </c>
      <c r="DQ103" s="4">
        <f t="shared" si="260"/>
        <v>279.39999999999998</v>
      </c>
      <c r="DR103" s="4">
        <f t="shared" si="261"/>
        <v>1</v>
      </c>
      <c r="DT103" s="4">
        <f t="shared" si="262"/>
        <v>2.0096207151589931E-5</v>
      </c>
      <c r="DU103" s="4">
        <f t="shared" si="183"/>
        <v>7.28468947084263</v>
      </c>
      <c r="DV103" s="4">
        <f t="shared" si="289"/>
        <v>0.43795058920526347</v>
      </c>
      <c r="DW103" s="4">
        <f t="shared" si="263"/>
        <v>5.2357763797277759</v>
      </c>
      <c r="DX103" s="4">
        <f t="shared" si="264"/>
        <v>6.3437205043384113</v>
      </c>
      <c r="DY103" s="4">
        <f t="shared" si="265"/>
        <v>6.8439176364279284</v>
      </c>
      <c r="DZ103" s="38">
        <f t="shared" si="266"/>
        <v>538.21485955869184</v>
      </c>
      <c r="EA103" s="4">
        <f t="shared" si="267"/>
        <v>1.0001200556164163</v>
      </c>
      <c r="EB103" s="4">
        <f t="shared" si="290"/>
        <v>2.2360679774997898</v>
      </c>
      <c r="EC103" s="4">
        <f t="shared" si="291"/>
        <v>263.49874242642068</v>
      </c>
      <c r="EG103" s="4">
        <f t="shared" si="268"/>
        <v>0.85</v>
      </c>
      <c r="EH103" s="4">
        <f t="shared" si="269"/>
        <v>0.85</v>
      </c>
      <c r="EI103" s="4">
        <f t="shared" si="270"/>
        <v>1</v>
      </c>
      <c r="EJ103" s="4">
        <f t="shared" si="271"/>
        <v>0.85</v>
      </c>
      <c r="EL103" s="4">
        <f t="shared" si="272"/>
        <v>513.07969286340347</v>
      </c>
      <c r="EM103" s="25">
        <f t="shared" si="305"/>
        <v>272.68494032559664</v>
      </c>
      <c r="EO103" s="4">
        <f t="shared" si="315"/>
        <v>0.72249999999999992</v>
      </c>
      <c r="EP103" s="4">
        <f t="shared" si="274"/>
        <v>7.28468947084263</v>
      </c>
      <c r="EQ103" s="4">
        <f t="shared" si="275"/>
        <v>5.3947678462508959</v>
      </c>
      <c r="ES103" s="4">
        <f t="shared" si="276"/>
        <v>56.796126628494655</v>
      </c>
      <c r="ET103" s="4">
        <f t="shared" si="184"/>
        <v>2.2360679774997898</v>
      </c>
      <c r="EU103" s="4">
        <f t="shared" si="277"/>
        <v>0.13807018232988313</v>
      </c>
      <c r="EX103" s="4">
        <f t="shared" si="185"/>
        <v>0.13807018232988313</v>
      </c>
      <c r="EY103" s="4">
        <f t="shared" si="278"/>
        <v>0.43721973129477409</v>
      </c>
      <c r="EZ103" s="4">
        <f t="shared" si="186"/>
        <v>5.2322796144259733</v>
      </c>
      <c r="FA103" s="4">
        <f t="shared" si="232"/>
        <v>6.342279396007469</v>
      </c>
      <c r="FB103" s="4">
        <f t="shared" si="188"/>
        <v>152.75387337150534</v>
      </c>
      <c r="FC103" s="4">
        <f t="shared" si="189"/>
        <v>69.849999999999994</v>
      </c>
      <c r="FD103" s="4">
        <f t="shared" si="279"/>
        <v>2.0096207151589931E-5</v>
      </c>
      <c r="FE103" s="4">
        <f t="shared" si="233"/>
        <v>6.8440389973044624</v>
      </c>
      <c r="FF103" s="4">
        <f t="shared" si="280"/>
        <v>538.15025159851166</v>
      </c>
      <c r="FG103" s="4">
        <f t="shared" si="191"/>
        <v>152.75387337150534</v>
      </c>
      <c r="FH103" s="4">
        <f t="shared" si="192"/>
        <v>69.849999999999994</v>
      </c>
      <c r="FJ103" s="4">
        <f t="shared" si="281"/>
        <v>0</v>
      </c>
      <c r="FO103" s="23">
        <f t="shared" si="219"/>
        <v>2.2000000000000002</v>
      </c>
      <c r="FP103" s="23">
        <f t="shared" si="219"/>
        <v>1.8</v>
      </c>
      <c r="FQ103" s="23">
        <f t="shared" si="229"/>
        <v>1.8</v>
      </c>
      <c r="FR103" s="23">
        <f t="shared" si="220"/>
        <v>2.2000000000000002</v>
      </c>
      <c r="FS103" s="23">
        <f t="shared" si="220"/>
        <v>1.4</v>
      </c>
      <c r="FT103" s="23">
        <f t="shared" si="220"/>
        <v>1.6</v>
      </c>
      <c r="FU103" s="23">
        <f t="shared" si="221"/>
        <v>0</v>
      </c>
      <c r="FV103" s="23"/>
      <c r="GF103" s="4">
        <f t="shared" si="282"/>
        <v>1</v>
      </c>
      <c r="GG103" s="4">
        <f t="shared" si="283"/>
        <v>0.59250000000000003</v>
      </c>
      <c r="GH103" s="4">
        <f t="shared" si="284"/>
        <v>0</v>
      </c>
      <c r="GI103" s="4">
        <f t="shared" si="285"/>
        <v>444.51543543540976</v>
      </c>
    </row>
    <row r="104" spans="1:191" ht="12" hidden="1" customHeight="1" x14ac:dyDescent="0.3">
      <c r="A104" s="25">
        <v>85</v>
      </c>
      <c r="B104" s="24" t="s">
        <v>605</v>
      </c>
      <c r="C104" s="24">
        <v>2016</v>
      </c>
      <c r="D104" s="24" t="s">
        <v>55</v>
      </c>
      <c r="E104" s="24"/>
      <c r="F104" s="24"/>
      <c r="G104" s="24"/>
      <c r="H104" s="7" t="s">
        <v>621</v>
      </c>
      <c r="I104" s="7"/>
      <c r="J104" s="38">
        <f t="shared" si="306"/>
        <v>889.65517241379314</v>
      </c>
      <c r="K104" s="38">
        <f>13*25.4</f>
        <v>330.2</v>
      </c>
      <c r="L104" s="4">
        <f t="shared" si="307"/>
        <v>330.2</v>
      </c>
      <c r="M104" s="38">
        <f>4900/145</f>
        <v>33.793103448275865</v>
      </c>
      <c r="N104" s="38">
        <f t="shared" si="308"/>
        <v>25.4</v>
      </c>
      <c r="O104" s="7">
        <f t="shared" si="309"/>
        <v>13</v>
      </c>
      <c r="P104" s="7">
        <f t="shared" si="310"/>
        <v>13</v>
      </c>
      <c r="Q104" s="38">
        <f>18.4*25.4</f>
        <v>467.35999999999996</v>
      </c>
      <c r="R104" s="38"/>
      <c r="S104" s="38">
        <f t="shared" si="311"/>
        <v>63.5</v>
      </c>
      <c r="T104" s="38"/>
      <c r="U104" s="7">
        <f t="shared" si="150"/>
        <v>50.8</v>
      </c>
      <c r="V104" s="7"/>
      <c r="W104" s="7">
        <f t="shared" si="300"/>
        <v>132.07999999999998</v>
      </c>
      <c r="X104" s="38">
        <v>3</v>
      </c>
      <c r="Y104" s="38"/>
      <c r="Z104" s="38"/>
      <c r="AA104" s="39">
        <f t="shared" si="312"/>
        <v>50.8</v>
      </c>
      <c r="AB104" s="7">
        <f t="shared" si="301"/>
        <v>2.5</v>
      </c>
      <c r="AC104" s="7">
        <f t="shared" si="302"/>
        <v>3</v>
      </c>
      <c r="AD104" s="38">
        <v>4</v>
      </c>
      <c r="AE104" s="4">
        <f t="shared" si="313"/>
        <v>4</v>
      </c>
      <c r="AF104" s="4">
        <f t="shared" si="314"/>
        <v>5</v>
      </c>
      <c r="AG104" s="7">
        <f t="shared" si="240"/>
        <v>56.796126628494655</v>
      </c>
      <c r="AH104" s="7"/>
      <c r="AI104" s="7"/>
      <c r="AJ104" s="38">
        <f>122/(PI()/4)/0.145*AL104</f>
        <v>905.64281567096566</v>
      </c>
      <c r="AK104" s="7" t="s">
        <v>654</v>
      </c>
      <c r="AL104" s="7">
        <f>AVERAGE(AL96:AL102)</f>
        <v>0.84538589834180455</v>
      </c>
      <c r="AM104" s="7">
        <v>0</v>
      </c>
      <c r="AN104" s="7">
        <v>0</v>
      </c>
      <c r="AO104" s="7">
        <f t="shared" si="298"/>
        <v>330.2</v>
      </c>
      <c r="AP104" s="7"/>
      <c r="AQ104" s="7"/>
      <c r="AR104" s="7"/>
      <c r="AS104" s="4">
        <f t="shared" si="292"/>
        <v>330.2</v>
      </c>
      <c r="AT104" s="44">
        <f t="shared" si="303"/>
        <v>0.24194608809993426</v>
      </c>
      <c r="AU104" s="25">
        <f t="shared" si="241"/>
        <v>229.45687414382829</v>
      </c>
      <c r="AV104" s="4">
        <f t="shared" si="242"/>
        <v>0.73846153846153839</v>
      </c>
      <c r="AW104" s="4">
        <v>1.25</v>
      </c>
      <c r="AX104" s="25">
        <f>AX103</f>
        <v>5</v>
      </c>
      <c r="AY104" s="38">
        <f t="shared" si="287"/>
        <v>256.22858347725327</v>
      </c>
      <c r="AZ104" s="38">
        <f t="shared" si="288"/>
        <v>256.22858347725327</v>
      </c>
      <c r="BB104" s="38">
        <f t="shared" si="304"/>
        <v>256.22858347725338</v>
      </c>
      <c r="BC104" s="38">
        <f t="shared" si="243"/>
        <v>0.99999999999999956</v>
      </c>
      <c r="BD104" s="38">
        <f t="shared" si="155"/>
        <v>1.424374721541475</v>
      </c>
      <c r="BE104" s="4">
        <f t="shared" si="173"/>
        <v>0</v>
      </c>
      <c r="BF104" s="4">
        <f t="shared" si="244"/>
        <v>397.74414035212305</v>
      </c>
      <c r="BG104" s="4">
        <f t="shared" si="223"/>
        <v>1.08</v>
      </c>
      <c r="BH104" s="38">
        <f t="shared" si="245"/>
        <v>364.96551724137936</v>
      </c>
      <c r="BI104" s="4">
        <f t="shared" si="224"/>
        <v>0.44000000000000006</v>
      </c>
      <c r="BJ104" s="4">
        <f t="shared" si="246"/>
        <v>91.44137786695309</v>
      </c>
      <c r="BK104" s="4">
        <f t="shared" si="247"/>
        <v>456.40689510833244</v>
      </c>
      <c r="BM104" s="36">
        <f t="shared" si="248"/>
        <v>1.1000000000000001</v>
      </c>
      <c r="BN104" s="36">
        <f t="shared" si="249"/>
        <v>273.68468340598542</v>
      </c>
      <c r="BS104" s="4">
        <f t="shared" si="174"/>
        <v>63.5</v>
      </c>
      <c r="BT104" s="4">
        <f t="shared" si="175"/>
        <v>50.8</v>
      </c>
      <c r="BU104" s="4">
        <f t="shared" si="176"/>
        <v>63.5</v>
      </c>
      <c r="BV104" s="4">
        <f t="shared" si="250"/>
        <v>63.5</v>
      </c>
      <c r="BW104" s="4">
        <f t="shared" si="177"/>
        <v>1.0250000000000001</v>
      </c>
      <c r="BX104" s="25">
        <f t="shared" si="251"/>
        <v>2.5625000000000004</v>
      </c>
      <c r="BZ104" s="4">
        <f t="shared" si="178"/>
        <v>63.5</v>
      </c>
      <c r="CD104" s="9"/>
      <c r="CF104" s="9"/>
      <c r="CG104" s="9"/>
      <c r="CH104" s="9">
        <f t="shared" si="230"/>
        <v>50.8</v>
      </c>
      <c r="CI104" s="9">
        <f t="shared" si="231"/>
        <v>66.039999999999992</v>
      </c>
      <c r="CJ104" s="9">
        <f t="shared" si="252"/>
        <v>1.47097909478315</v>
      </c>
      <c r="CK104" s="70">
        <v>0</v>
      </c>
      <c r="CL104" s="9">
        <f t="shared" si="253"/>
        <v>0</v>
      </c>
      <c r="CM104" s="9">
        <f t="shared" si="254"/>
        <v>0</v>
      </c>
      <c r="CN104" s="9">
        <f t="shared" si="255"/>
        <v>0.99524931562137331</v>
      </c>
      <c r="CO104" s="9">
        <f t="shared" si="256"/>
        <v>0.68</v>
      </c>
      <c r="CP104" s="9">
        <f t="shared" si="257"/>
        <v>1.3769649434514548</v>
      </c>
      <c r="CQ104" s="9">
        <f t="shared" si="258"/>
        <v>2.0254866460663523</v>
      </c>
      <c r="CR104" s="9">
        <v>1</v>
      </c>
      <c r="CS104" s="9">
        <f t="shared" si="259"/>
        <v>226.85450435943147</v>
      </c>
      <c r="CU104" s="4">
        <f t="shared" si="209"/>
        <v>2.2769482282484406</v>
      </c>
      <c r="CV104" s="4">
        <f t="shared" si="210"/>
        <v>1.9842881984857019</v>
      </c>
      <c r="CW104" s="4">
        <f t="shared" si="211"/>
        <v>3.3090738012822221</v>
      </c>
      <c r="CX104" s="4">
        <f t="shared" si="212"/>
        <v>3.9921747122818969</v>
      </c>
      <c r="CY104" s="4">
        <f t="shared" si="213"/>
        <v>1.5585926361575473</v>
      </c>
      <c r="CZ104" s="4">
        <f t="shared" si="214"/>
        <v>1.6808276036174601</v>
      </c>
      <c r="DA104" s="4">
        <f t="shared" si="162"/>
        <v>1.7096051977404618</v>
      </c>
      <c r="DC104" s="4">
        <f t="shared" si="215"/>
        <v>2.2769482282484406</v>
      </c>
      <c r="DD104" s="4">
        <f t="shared" si="215"/>
        <v>1.9842881984857019</v>
      </c>
      <c r="DE104" s="4">
        <f t="shared" si="216"/>
        <v>3.9921747122818969</v>
      </c>
      <c r="DF104" s="4">
        <f t="shared" si="299"/>
        <v>1.7096051977404618</v>
      </c>
      <c r="DG104" s="4">
        <f t="shared" si="218"/>
        <v>1.5585926361575473</v>
      </c>
      <c r="DH104" s="4">
        <f t="shared" si="218"/>
        <v>1.6808276036174601</v>
      </c>
      <c r="DP104" s="4">
        <f t="shared" si="182"/>
        <v>0</v>
      </c>
      <c r="DQ104" s="4">
        <f t="shared" si="260"/>
        <v>330.2</v>
      </c>
      <c r="DR104" s="4">
        <f t="shared" si="261"/>
        <v>1</v>
      </c>
      <c r="DT104" s="4">
        <f t="shared" si="262"/>
        <v>2.3841003655999786E-5</v>
      </c>
      <c r="DU104" s="4">
        <f t="shared" si="183"/>
        <v>7.3448945398648089</v>
      </c>
      <c r="DV104" s="4">
        <f t="shared" si="289"/>
        <v>0.41891421932562034</v>
      </c>
      <c r="DW104" s="4">
        <f t="shared" si="263"/>
        <v>5.186036931996048</v>
      </c>
      <c r="DX104" s="4">
        <f t="shared" si="264"/>
        <v>6.3580358640988877</v>
      </c>
      <c r="DY104" s="4">
        <f t="shared" si="265"/>
        <v>6.7196286453850629</v>
      </c>
      <c r="DZ104" s="38">
        <f t="shared" si="266"/>
        <v>581.06447744015941</v>
      </c>
      <c r="EA104" s="4">
        <f t="shared" si="267"/>
        <v>1.0001226834372552</v>
      </c>
      <c r="EB104" s="4">
        <f t="shared" si="290"/>
        <v>2.2360679774997898</v>
      </c>
      <c r="EC104" s="4">
        <f t="shared" si="291"/>
        <v>256.22858347725338</v>
      </c>
      <c r="EG104" s="4">
        <f t="shared" si="268"/>
        <v>0.85</v>
      </c>
      <c r="EH104" s="4">
        <f t="shared" si="269"/>
        <v>0.85</v>
      </c>
      <c r="EI104" s="4">
        <f t="shared" si="270"/>
        <v>1</v>
      </c>
      <c r="EJ104" s="4">
        <f t="shared" si="271"/>
        <v>0.85</v>
      </c>
      <c r="EL104" s="4">
        <f t="shared" si="272"/>
        <v>538.80767648142523</v>
      </c>
      <c r="EM104" s="25">
        <f t="shared" si="305"/>
        <v>252.35678942669762</v>
      </c>
      <c r="EO104" s="4">
        <f t="shared" si="315"/>
        <v>0.72249999999999992</v>
      </c>
      <c r="EP104" s="4">
        <f t="shared" si="274"/>
        <v>7.3448945398648089</v>
      </c>
      <c r="EQ104" s="4">
        <f t="shared" si="275"/>
        <v>5.4393534626786328</v>
      </c>
      <c r="ES104" s="4">
        <f t="shared" si="276"/>
        <v>56.796126628494655</v>
      </c>
      <c r="ET104" s="4">
        <f t="shared" si="184"/>
        <v>2.2360679774997898</v>
      </c>
      <c r="EU104" s="4">
        <f t="shared" si="277"/>
        <v>0.13316019003883056</v>
      </c>
      <c r="EX104" s="4">
        <f t="shared" si="185"/>
        <v>0.13316019003883056</v>
      </c>
      <c r="EY104" s="4">
        <f t="shared" si="278"/>
        <v>0.41821512956856294</v>
      </c>
      <c r="EZ104" s="4">
        <f t="shared" si="186"/>
        <v>5.1825733856788512</v>
      </c>
      <c r="FA104" s="4">
        <f t="shared" si="232"/>
        <v>6.3566254752196159</v>
      </c>
      <c r="FB104" s="4">
        <f t="shared" si="188"/>
        <v>190.85387337150533</v>
      </c>
      <c r="FC104" s="4">
        <f t="shared" si="189"/>
        <v>82.549999999999983</v>
      </c>
      <c r="FD104" s="4">
        <f t="shared" si="279"/>
        <v>2.3841003655999783E-5</v>
      </c>
      <c r="FE104" s="4">
        <f t="shared" si="233"/>
        <v>6.7197894855382199</v>
      </c>
      <c r="FF104" s="4">
        <f t="shared" si="280"/>
        <v>580.99319919745994</v>
      </c>
      <c r="FG104" s="4">
        <f t="shared" si="191"/>
        <v>190.85387337150533</v>
      </c>
      <c r="FH104" s="4">
        <f t="shared" si="192"/>
        <v>82.550000000000011</v>
      </c>
      <c r="FJ104" s="4">
        <f t="shared" si="281"/>
        <v>0</v>
      </c>
      <c r="FO104" s="23">
        <f t="shared" si="219"/>
        <v>2.2000000000000002</v>
      </c>
      <c r="FP104" s="23">
        <f t="shared" si="219"/>
        <v>2</v>
      </c>
      <c r="FQ104" s="23">
        <f t="shared" si="229"/>
        <v>1.8</v>
      </c>
      <c r="FR104" s="23">
        <f t="shared" si="220"/>
        <v>2.2000000000000002</v>
      </c>
      <c r="FS104" s="23">
        <f t="shared" si="220"/>
        <v>1.6</v>
      </c>
      <c r="FT104" s="23">
        <f t="shared" si="220"/>
        <v>1.8</v>
      </c>
      <c r="FU104" s="23">
        <f t="shared" si="221"/>
        <v>0</v>
      </c>
      <c r="FV104" s="23"/>
      <c r="GF104" s="4">
        <f t="shared" si="282"/>
        <v>1</v>
      </c>
      <c r="GG104" s="4">
        <f t="shared" si="283"/>
        <v>0.59000000000000008</v>
      </c>
      <c r="GH104" s="4">
        <f t="shared" si="284"/>
        <v>0</v>
      </c>
      <c r="GI104" s="4">
        <f t="shared" si="285"/>
        <v>529.73798679831395</v>
      </c>
    </row>
    <row r="105" spans="1:191" s="19" customFormat="1" ht="12" hidden="1" customHeight="1" x14ac:dyDescent="0.3">
      <c r="A105" s="25">
        <v>86</v>
      </c>
      <c r="B105" s="20" t="s">
        <v>54</v>
      </c>
      <c r="C105" s="20">
        <v>2006</v>
      </c>
      <c r="D105" s="20" t="s">
        <v>293</v>
      </c>
      <c r="E105" s="20"/>
      <c r="F105" s="20"/>
      <c r="G105" s="20"/>
      <c r="H105" s="21" t="s">
        <v>77</v>
      </c>
      <c r="I105" s="21"/>
      <c r="J105" s="21">
        <v>472</v>
      </c>
      <c r="K105" s="21">
        <f>N105*O105</f>
        <v>76.199999999999989</v>
      </c>
      <c r="L105" s="21">
        <f t="shared" si="148"/>
        <v>38.099999999999994</v>
      </c>
      <c r="M105" s="21">
        <v>26</v>
      </c>
      <c r="N105" s="7">
        <v>25.4</v>
      </c>
      <c r="O105" s="21">
        <v>3</v>
      </c>
      <c r="P105" s="21">
        <v>1.5</v>
      </c>
      <c r="Q105" s="21">
        <f>25*25.4</f>
        <v>635</v>
      </c>
      <c r="R105" s="21"/>
      <c r="S105" s="21">
        <f>0.5*(Q105-15*N105-N105)</f>
        <v>114.3</v>
      </c>
      <c r="T105" s="21"/>
      <c r="U105" s="21">
        <f>Q105-6*N105-5*W105</f>
        <v>228.60000000000002</v>
      </c>
      <c r="V105" s="21"/>
      <c r="W105" s="21">
        <f>2*25.4</f>
        <v>50.8</v>
      </c>
      <c r="X105" s="21">
        <v>3</v>
      </c>
      <c r="Y105" s="21"/>
      <c r="Z105" s="21"/>
      <c r="AA105" s="21">
        <f t="shared" ref="AA105:AA123" si="316">2.5*25.4-N105/2</f>
        <v>50.8</v>
      </c>
      <c r="AB105" s="7">
        <f t="shared" si="301"/>
        <v>1.5</v>
      </c>
      <c r="AC105" s="21">
        <f>(AA105+N105/2)/N105</f>
        <v>2.5</v>
      </c>
      <c r="AD105" s="21">
        <v>1.18</v>
      </c>
      <c r="AE105" s="7">
        <f t="shared" si="172"/>
        <v>1.18</v>
      </c>
      <c r="AF105" s="21">
        <f t="shared" si="239"/>
        <v>2.1799999999999997</v>
      </c>
      <c r="AG105" s="21">
        <f t="shared" si="240"/>
        <v>37.502650572992827</v>
      </c>
      <c r="AH105" s="21"/>
      <c r="AI105" s="21"/>
      <c r="AJ105" s="21">
        <v>62</v>
      </c>
      <c r="AK105" s="21"/>
      <c r="AL105" s="7">
        <f>CY105</f>
        <v>0</v>
      </c>
      <c r="AM105" s="7">
        <v>0</v>
      </c>
      <c r="AN105" s="7">
        <v>0</v>
      </c>
      <c r="AO105" s="7">
        <f t="shared" si="298"/>
        <v>38.099999999999994</v>
      </c>
      <c r="AP105" s="7"/>
      <c r="AQ105" s="7"/>
      <c r="AR105" s="21"/>
      <c r="AS105" s="4">
        <f t="shared" si="292"/>
        <v>76.199999999999989</v>
      </c>
      <c r="AT105" s="44">
        <f t="shared" ref="AT105:AT123" si="317">MIN(Q105)*(MIN(254-AA105-0.5*N105,1.5*AS105)+AA105+N105/2)/(3*K105)^2</f>
        <v>2.1604938271604941</v>
      </c>
      <c r="AU105" s="25">
        <f t="shared" si="241"/>
        <v>22.312105854445715</v>
      </c>
      <c r="AV105" s="4">
        <f t="shared" si="242"/>
        <v>0.8666666666666667</v>
      </c>
      <c r="AW105" s="4">
        <v>1.25</v>
      </c>
      <c r="AX105" s="25">
        <v>5</v>
      </c>
      <c r="AY105" s="38">
        <f t="shared" si="287"/>
        <v>261.11132108469138</v>
      </c>
      <c r="AZ105" s="38">
        <f t="shared" si="288"/>
        <v>261.11132108469138</v>
      </c>
      <c r="BA105" s="38"/>
      <c r="BB105" s="38">
        <f t="shared" ref="BB105:BB123" si="318">AX105* (M105^0.5/AS105^0.5)/(PI()/4*N105^2)/X105/0.72 *(0.7+(MIN(S105,AA105)+0.5*N105)/5/K105) *(Q105*MIN(AA105+0.5*N105+1.5*K105,254))</f>
        <v>261.11132108469127</v>
      </c>
      <c r="BC105" s="38">
        <f t="shared" si="243"/>
        <v>1.0000000000000004</v>
      </c>
      <c r="BD105" s="38"/>
      <c r="BE105" s="4"/>
      <c r="BF105" s="19">
        <f t="shared" si="244"/>
        <v>40.255417212574606</v>
      </c>
      <c r="BG105" s="19">
        <f t="shared" si="223"/>
        <v>1.2666666666666666</v>
      </c>
      <c r="BH105" s="38">
        <f t="shared" si="245"/>
        <v>107.32427125305811</v>
      </c>
      <c r="BI105" s="19">
        <f t="shared" si="224"/>
        <v>0.83479999999999999</v>
      </c>
      <c r="BJ105" s="19">
        <f t="shared" si="246"/>
        <v>17.558728646032431</v>
      </c>
      <c r="BK105" s="19">
        <f t="shared" si="247"/>
        <v>124.88299989909055</v>
      </c>
      <c r="BM105" s="36">
        <f t="shared" ref="BM105:BM136" si="319">MAX(1, (0.9+0.1*MIN(2,S105/N105,W105/N105))*(0.9+0.1*MIN(3.5,S105/W105))+0.45*MIN(2.5,(40*2*PI()*AM105^2/4/AO105/X105)/N105))</f>
        <v>1.2375</v>
      </c>
      <c r="BN105" s="36">
        <f t="shared" si="249"/>
        <v>153.96489421293413</v>
      </c>
      <c r="BS105" s="4">
        <f t="shared" si="174"/>
        <v>31.799999999999997</v>
      </c>
      <c r="BT105" s="4">
        <f t="shared" si="175"/>
        <v>31.799999999999997</v>
      </c>
      <c r="BU105" s="4">
        <f t="shared" si="176"/>
        <v>50.8</v>
      </c>
      <c r="BV105" s="4">
        <f t="shared" si="250"/>
        <v>44.5</v>
      </c>
      <c r="BW105" s="4">
        <f t="shared" si="177"/>
        <v>1.0597484276729561</v>
      </c>
      <c r="BX105" s="25">
        <f t="shared" si="251"/>
        <v>1.8566458673797854</v>
      </c>
      <c r="BY105" s="4"/>
      <c r="BZ105" s="19">
        <f t="shared" si="178"/>
        <v>25.4</v>
      </c>
      <c r="CD105" s="18"/>
      <c r="CF105" s="18"/>
      <c r="CG105" s="18"/>
      <c r="CH105" s="18">
        <f t="shared" si="230"/>
        <v>25.4</v>
      </c>
      <c r="CI105" s="18">
        <f t="shared" si="231"/>
        <v>114.3</v>
      </c>
      <c r="CJ105" s="18">
        <f t="shared" si="252"/>
        <v>1.2530888829563018</v>
      </c>
      <c r="CK105" s="70">
        <v>0</v>
      </c>
      <c r="CL105" s="18">
        <f t="shared" si="253"/>
        <v>0</v>
      </c>
      <c r="CM105" s="18">
        <f t="shared" si="254"/>
        <v>0</v>
      </c>
      <c r="CN105" s="18">
        <f t="shared" si="255"/>
        <v>0.99524931562137331</v>
      </c>
      <c r="CO105" s="18">
        <f t="shared" si="256"/>
        <v>1.056</v>
      </c>
      <c r="CP105" s="18">
        <f t="shared" si="257"/>
        <v>1.8756444837875041</v>
      </c>
      <c r="CQ105" s="18">
        <f t="shared" si="258"/>
        <v>2.3503492510124331</v>
      </c>
      <c r="CR105" s="9">
        <v>1</v>
      </c>
      <c r="CS105" s="18">
        <f t="shared" si="259"/>
        <v>155.12305056682058</v>
      </c>
      <c r="CW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P105" s="4">
        <f t="shared" si="182"/>
        <v>0</v>
      </c>
      <c r="DQ105" s="4">
        <f t="shared" si="260"/>
        <v>76.199999999999989</v>
      </c>
      <c r="DR105" s="4">
        <f t="shared" si="261"/>
        <v>0.5</v>
      </c>
      <c r="DT105" s="4">
        <f t="shared" si="262"/>
        <v>5.2031648625625478E-6</v>
      </c>
      <c r="DU105" s="4">
        <f t="shared" si="183"/>
        <v>3.4568864757817224</v>
      </c>
      <c r="DV105" s="4"/>
      <c r="DW105" s="4"/>
      <c r="DX105" s="4"/>
      <c r="DY105" s="4"/>
      <c r="DZ105" s="38">
        <f t="shared" si="266"/>
        <v>240.39693556508263</v>
      </c>
      <c r="EA105" s="4">
        <f t="shared" si="267"/>
        <v>0.85294201502455413</v>
      </c>
      <c r="EB105" s="4"/>
      <c r="EC105" s="4">
        <f t="shared" si="291"/>
        <v>261.11132108469127</v>
      </c>
      <c r="EG105" s="19">
        <f t="shared" si="268"/>
        <v>0.85</v>
      </c>
      <c r="EH105" s="19">
        <f t="shared" si="269"/>
        <v>1</v>
      </c>
      <c r="EI105" s="19">
        <f t="shared" si="270"/>
        <v>1</v>
      </c>
      <c r="EJ105" s="19">
        <f t="shared" si="271"/>
        <v>1</v>
      </c>
      <c r="EL105" s="4">
        <f t="shared" si="272"/>
        <v>367.36566045820871</v>
      </c>
      <c r="EM105" s="25">
        <f t="shared" ref="EM105:EM123" si="320">8.8*Q105*254*M105^0.5/X105/N105^2/K105^0.5*(0.7+MIN(AA105,S105)/5/K105)</f>
        <v>356.96806769578183</v>
      </c>
      <c r="EP105" s="4">
        <f>EQ105</f>
        <v>3.4568864757817224</v>
      </c>
      <c r="EQ105" s="4">
        <f t="shared" si="275"/>
        <v>3.4568864757817224</v>
      </c>
      <c r="ES105" s="4">
        <f t="shared" si="276"/>
        <v>37.502650572992827</v>
      </c>
      <c r="ET105" s="4">
        <f t="shared" si="184"/>
        <v>1.4764823060233399</v>
      </c>
      <c r="EU105" s="4">
        <f t="shared" si="277"/>
        <v>0.34627499069050011</v>
      </c>
      <c r="EX105" s="19">
        <f t="shared" si="185"/>
        <v>0.34627499069050011</v>
      </c>
      <c r="EY105" s="19">
        <f t="shared" si="278"/>
        <v>0.999</v>
      </c>
      <c r="EZ105" s="4">
        <f t="shared" si="186"/>
        <v>3.455503306143648</v>
      </c>
      <c r="FA105" s="19">
        <f t="shared" si="232"/>
        <v>3.4561949601557549</v>
      </c>
      <c r="FB105" s="4">
        <f t="shared" si="188"/>
        <v>19.647349427007164</v>
      </c>
      <c r="FC105" s="4">
        <f t="shared" si="189"/>
        <v>19.049999999999997</v>
      </c>
      <c r="FD105" s="19">
        <f t="shared" si="279"/>
        <v>5.2031648625625478E-6</v>
      </c>
      <c r="FE105" s="19">
        <f t="shared" si="233"/>
        <v>3.4486002130471327</v>
      </c>
      <c r="FF105" s="4">
        <f t="shared" si="280"/>
        <v>281.84440598598275</v>
      </c>
      <c r="FG105" s="4">
        <f t="shared" si="191"/>
        <v>0.59734942700716687</v>
      </c>
      <c r="FH105" s="4">
        <f t="shared" si="192"/>
        <v>0</v>
      </c>
      <c r="FI105" s="4"/>
      <c r="FJ105" s="4">
        <f t="shared" si="281"/>
        <v>20.714385519608641</v>
      </c>
      <c r="FO105" s="23"/>
      <c r="FP105" s="23"/>
      <c r="FQ105" s="23"/>
      <c r="FR105" s="23"/>
      <c r="FS105" s="23"/>
      <c r="FT105" s="23"/>
      <c r="FU105" s="23"/>
      <c r="FV105" s="22"/>
      <c r="GF105" s="4">
        <f t="shared" si="282"/>
        <v>1</v>
      </c>
      <c r="GG105" s="4">
        <f t="shared" si="283"/>
        <v>0.75</v>
      </c>
      <c r="GH105" s="4">
        <f t="shared" si="284"/>
        <v>0</v>
      </c>
      <c r="GI105" s="4">
        <f t="shared" si="285"/>
        <v>90.06708039606265</v>
      </c>
    </row>
    <row r="106" spans="1:191" s="19" customFormat="1" ht="12" hidden="1" customHeight="1" x14ac:dyDescent="0.3">
      <c r="A106" s="25">
        <v>87</v>
      </c>
      <c r="B106" s="20" t="s">
        <v>54</v>
      </c>
      <c r="C106" s="20">
        <v>2006</v>
      </c>
      <c r="D106" s="20" t="s">
        <v>293</v>
      </c>
      <c r="E106" s="20"/>
      <c r="F106" s="20"/>
      <c r="G106" s="20"/>
      <c r="H106" s="21" t="s">
        <v>77</v>
      </c>
      <c r="I106" s="21"/>
      <c r="J106" s="21">
        <v>472</v>
      </c>
      <c r="K106" s="21">
        <f>N106*O106</f>
        <v>127</v>
      </c>
      <c r="L106" s="21">
        <f t="shared" si="148"/>
        <v>76.199999999999989</v>
      </c>
      <c r="M106" s="21">
        <v>26</v>
      </c>
      <c r="N106" s="7">
        <v>25.4</v>
      </c>
      <c r="O106" s="21">
        <v>5</v>
      </c>
      <c r="P106" s="21">
        <v>3</v>
      </c>
      <c r="Q106" s="21">
        <f>36*25.4</f>
        <v>914.4</v>
      </c>
      <c r="R106" s="21"/>
      <c r="S106" s="21">
        <f>0.5*(Q106-25*N106-N106)</f>
        <v>126.99999999999999</v>
      </c>
      <c r="T106" s="21"/>
      <c r="U106" s="21">
        <f>Q105-15*25.4-25.4</f>
        <v>228.6</v>
      </c>
      <c r="V106" s="21"/>
      <c r="W106" s="21">
        <f t="shared" ref="W106:W123" si="321">4*25.4</f>
        <v>101.6</v>
      </c>
      <c r="X106" s="21">
        <v>3</v>
      </c>
      <c r="Y106" s="21"/>
      <c r="Z106" s="21"/>
      <c r="AA106" s="21">
        <f t="shared" si="316"/>
        <v>50.8</v>
      </c>
      <c r="AB106" s="7">
        <f t="shared" si="301"/>
        <v>2.5</v>
      </c>
      <c r="AC106" s="21">
        <f>(AA106+N106/2)/N106</f>
        <v>2.5</v>
      </c>
      <c r="AD106" s="21">
        <v>1.18</v>
      </c>
      <c r="AE106" s="7">
        <f t="shared" si="172"/>
        <v>1.18</v>
      </c>
      <c r="AF106" s="21">
        <f t="shared" si="239"/>
        <v>2.1799999999999997</v>
      </c>
      <c r="AG106" s="21">
        <f t="shared" si="240"/>
        <v>37.502650572992827</v>
      </c>
      <c r="AH106" s="21"/>
      <c r="AI106" s="21"/>
      <c r="AJ106" s="21">
        <v>92</v>
      </c>
      <c r="AK106" s="21"/>
      <c r="AL106" s="21"/>
      <c r="AM106" s="7">
        <v>0</v>
      </c>
      <c r="AN106" s="7">
        <v>0</v>
      </c>
      <c r="AO106" s="7">
        <f t="shared" si="298"/>
        <v>76.199999999999989</v>
      </c>
      <c r="AP106" s="7"/>
      <c r="AQ106" s="7"/>
      <c r="AR106" s="21"/>
      <c r="AS106" s="4">
        <f t="shared" si="292"/>
        <v>127</v>
      </c>
      <c r="AT106" s="44">
        <f t="shared" si="317"/>
        <v>1.6</v>
      </c>
      <c r="AU106" s="25">
        <f t="shared" si="241"/>
        <v>48.008007996158454</v>
      </c>
      <c r="AV106" s="4">
        <f t="shared" si="242"/>
        <v>0.79999999999999993</v>
      </c>
      <c r="AW106" s="4">
        <v>1.25</v>
      </c>
      <c r="AX106" s="25">
        <f>AX105</f>
        <v>5</v>
      </c>
      <c r="AY106" s="38">
        <f t="shared" si="287"/>
        <v>384.06406396926764</v>
      </c>
      <c r="AZ106" s="38">
        <f t="shared" si="288"/>
        <v>384.06406396926764</v>
      </c>
      <c r="BA106" s="38"/>
      <c r="BB106" s="38">
        <f t="shared" si="318"/>
        <v>384.06406396926775</v>
      </c>
      <c r="BC106" s="38">
        <f t="shared" si="243"/>
        <v>0.99999999999999967</v>
      </c>
      <c r="BD106" s="38"/>
      <c r="BE106" s="4"/>
      <c r="BF106" s="19">
        <f t="shared" si="244"/>
        <v>80.510834425149213</v>
      </c>
      <c r="BG106" s="19">
        <f t="shared" si="223"/>
        <v>1</v>
      </c>
      <c r="BH106" s="38">
        <f t="shared" si="245"/>
        <v>141.2161463856028</v>
      </c>
      <c r="BI106" s="19">
        <f t="shared" si="224"/>
        <v>0.83479999999999999</v>
      </c>
      <c r="BJ106" s="19">
        <f t="shared" si="246"/>
        <v>35.117457292064863</v>
      </c>
      <c r="BK106" s="19">
        <f t="shared" si="247"/>
        <v>176.33360367766767</v>
      </c>
      <c r="BM106" s="36">
        <f t="shared" si="319"/>
        <v>1.1274999999999999</v>
      </c>
      <c r="BN106" s="36">
        <f t="shared" si="249"/>
        <v>154.07707264223316</v>
      </c>
      <c r="BS106" s="4">
        <f t="shared" si="174"/>
        <v>57.199999999999996</v>
      </c>
      <c r="BT106" s="4">
        <f t="shared" si="175"/>
        <v>50.8</v>
      </c>
      <c r="BU106" s="4">
        <f t="shared" si="176"/>
        <v>57.199999999999996</v>
      </c>
      <c r="BV106" s="4">
        <f t="shared" si="250"/>
        <v>63.5</v>
      </c>
      <c r="BW106" s="4">
        <f t="shared" si="177"/>
        <v>1.0125984251968505</v>
      </c>
      <c r="BX106" s="25">
        <f t="shared" si="251"/>
        <v>2.5314960629921264</v>
      </c>
      <c r="BY106" s="4"/>
      <c r="BZ106" s="19">
        <f t="shared" si="178"/>
        <v>50.8</v>
      </c>
      <c r="CD106" s="18"/>
      <c r="CF106" s="18"/>
      <c r="CG106" s="18"/>
      <c r="CH106" s="18">
        <f t="shared" si="230"/>
        <v>50.8</v>
      </c>
      <c r="CI106" s="18">
        <f t="shared" si="231"/>
        <v>126.99999999999999</v>
      </c>
      <c r="CJ106" s="18">
        <f t="shared" si="252"/>
        <v>1.622579553879709</v>
      </c>
      <c r="CK106" s="70">
        <v>0</v>
      </c>
      <c r="CL106" s="18">
        <f t="shared" si="253"/>
        <v>0</v>
      </c>
      <c r="CM106" s="18">
        <f t="shared" si="254"/>
        <v>0</v>
      </c>
      <c r="CN106" s="18">
        <f t="shared" si="255"/>
        <v>0.99524931562137331</v>
      </c>
      <c r="CO106" s="18">
        <f t="shared" si="256"/>
        <v>1.056</v>
      </c>
      <c r="CP106" s="18">
        <f t="shared" si="257"/>
        <v>1.8756444837875041</v>
      </c>
      <c r="CQ106" s="18">
        <f t="shared" si="258"/>
        <v>3.0433823897408656</v>
      </c>
      <c r="CR106" s="9">
        <v>1</v>
      </c>
      <c r="CS106" s="18">
        <f t="shared" si="259"/>
        <v>219.12353206134233</v>
      </c>
      <c r="CW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P106" s="4">
        <f t="shared" si="182"/>
        <v>0</v>
      </c>
      <c r="DQ106" s="4">
        <f t="shared" si="260"/>
        <v>127</v>
      </c>
      <c r="DR106" s="4">
        <f t="shared" si="261"/>
        <v>0.59999999999999987</v>
      </c>
      <c r="DT106" s="4">
        <f t="shared" si="262"/>
        <v>8.6719414376042473E-6</v>
      </c>
      <c r="DU106" s="4">
        <f t="shared" si="183"/>
        <v>4.7133891591304096</v>
      </c>
      <c r="DV106" s="4"/>
      <c r="DW106" s="4"/>
      <c r="DX106" s="4"/>
      <c r="DY106" s="4"/>
      <c r="DZ106" s="38">
        <f t="shared" si="266"/>
        <v>346.57353989636255</v>
      </c>
      <c r="EA106" s="4">
        <f t="shared" si="267"/>
        <v>0.78658049329536572</v>
      </c>
      <c r="EB106" s="4"/>
      <c r="EC106" s="4">
        <f t="shared" si="291"/>
        <v>384.06406396926775</v>
      </c>
      <c r="EG106" s="19">
        <f t="shared" si="268"/>
        <v>0.85</v>
      </c>
      <c r="EH106" s="19">
        <f t="shared" si="269"/>
        <v>0.9</v>
      </c>
      <c r="EI106" s="19">
        <f t="shared" si="270"/>
        <v>1</v>
      </c>
      <c r="EJ106" s="19">
        <f t="shared" si="271"/>
        <v>0.9</v>
      </c>
      <c r="EL106" s="4">
        <f t="shared" si="272"/>
        <v>405.89653271199688</v>
      </c>
      <c r="EM106" s="25">
        <f t="shared" si="320"/>
        <v>372.68621939794593</v>
      </c>
      <c r="EP106" s="4">
        <f t="shared" ref="EP106:EP153" si="322">EQ106</f>
        <v>4.7133891591304096</v>
      </c>
      <c r="EQ106" s="4">
        <f t="shared" si="275"/>
        <v>4.7133891591304096</v>
      </c>
      <c r="ES106" s="4">
        <f t="shared" si="276"/>
        <v>37.502650572992827</v>
      </c>
      <c r="ET106" s="4">
        <f t="shared" si="184"/>
        <v>1.4764823060233399</v>
      </c>
      <c r="EU106" s="4">
        <f t="shared" si="277"/>
        <v>0.5093298123691008</v>
      </c>
      <c r="EX106" s="19">
        <f t="shared" si="185"/>
        <v>0.5093298123691008</v>
      </c>
      <c r="EY106" s="19">
        <f t="shared" si="278"/>
        <v>0.999</v>
      </c>
      <c r="EZ106" s="4">
        <f t="shared" si="186"/>
        <v>4.7115032375582047</v>
      </c>
      <c r="FA106" s="19">
        <f t="shared" si="232"/>
        <v>4.7124462926875461</v>
      </c>
      <c r="FB106" s="4">
        <f t="shared" si="188"/>
        <v>57.747349427007173</v>
      </c>
      <c r="FC106" s="4">
        <f t="shared" si="189"/>
        <v>31.750000000000007</v>
      </c>
      <c r="FD106" s="19">
        <f t="shared" si="279"/>
        <v>8.6719414376042506E-6</v>
      </c>
      <c r="FE106" s="19">
        <f t="shared" si="233"/>
        <v>4.6706370389684988</v>
      </c>
      <c r="FF106" s="4">
        <f t="shared" si="280"/>
        <v>440.60784986466996</v>
      </c>
      <c r="FG106" s="4">
        <f t="shared" si="191"/>
        <v>38.697349427007161</v>
      </c>
      <c r="FH106" s="4">
        <f t="shared" si="192"/>
        <v>0</v>
      </c>
      <c r="FI106" s="4"/>
      <c r="FJ106" s="4">
        <f t="shared" si="281"/>
        <v>37.490524072905203</v>
      </c>
      <c r="FO106" s="23"/>
      <c r="FP106" s="23"/>
      <c r="FQ106" s="23"/>
      <c r="FR106" s="23"/>
      <c r="FS106" s="23"/>
      <c r="FT106" s="23"/>
      <c r="FU106" s="23"/>
      <c r="FV106" s="22"/>
      <c r="GF106" s="4">
        <f t="shared" si="282"/>
        <v>1</v>
      </c>
      <c r="GG106" s="4">
        <f t="shared" si="283"/>
        <v>0.65</v>
      </c>
      <c r="GH106" s="4">
        <f t="shared" si="284"/>
        <v>0</v>
      </c>
      <c r="GI106" s="4">
        <f t="shared" si="285"/>
        <v>173.20592383858204</v>
      </c>
    </row>
    <row r="107" spans="1:191" s="19" customFormat="1" ht="12" hidden="1" customHeight="1" x14ac:dyDescent="0.3">
      <c r="A107" s="25">
        <v>88</v>
      </c>
      <c r="B107" s="20" t="s">
        <v>54</v>
      </c>
      <c r="C107" s="20">
        <v>2006</v>
      </c>
      <c r="D107" s="20" t="s">
        <v>293</v>
      </c>
      <c r="E107" s="20"/>
      <c r="F107" s="20"/>
      <c r="G107" s="20"/>
      <c r="H107" s="21" t="s">
        <v>79</v>
      </c>
      <c r="I107" s="21"/>
      <c r="J107" s="21">
        <v>472</v>
      </c>
      <c r="K107" s="21">
        <f t="shared" ref="K107:K147" si="323">N107*O107</f>
        <v>127</v>
      </c>
      <c r="L107" s="21">
        <f t="shared" si="148"/>
        <v>76.199999999999989</v>
      </c>
      <c r="M107" s="21">
        <v>26</v>
      </c>
      <c r="N107" s="7">
        <v>25.4</v>
      </c>
      <c r="O107" s="21">
        <v>5</v>
      </c>
      <c r="P107" s="21">
        <v>3</v>
      </c>
      <c r="Q107" s="21">
        <f>36*25.4</f>
        <v>914.4</v>
      </c>
      <c r="R107" s="21"/>
      <c r="S107" s="21">
        <f t="shared" ref="S107:S123" si="324">5*25.4</f>
        <v>127</v>
      </c>
      <c r="T107" s="21"/>
      <c r="U107" s="21"/>
      <c r="V107" s="21"/>
      <c r="W107" s="21">
        <f>10*25.4-1.5*N107-AG107/2</f>
        <v>197.1486747135036</v>
      </c>
      <c r="X107" s="21">
        <v>3</v>
      </c>
      <c r="Y107" s="21"/>
      <c r="Z107" s="21"/>
      <c r="AA107" s="21">
        <f t="shared" si="316"/>
        <v>50.8</v>
      </c>
      <c r="AB107" s="7">
        <f t="shared" si="301"/>
        <v>2.5</v>
      </c>
      <c r="AC107" s="10">
        <f>(S107+N107/2)/N107</f>
        <v>5.5</v>
      </c>
      <c r="AD107" s="21">
        <v>1.18</v>
      </c>
      <c r="AE107" s="7">
        <f t="shared" si="172"/>
        <v>1.18</v>
      </c>
      <c r="AF107" s="21">
        <f t="shared" si="239"/>
        <v>2.1799999999999997</v>
      </c>
      <c r="AG107" s="21">
        <f t="shared" si="240"/>
        <v>37.502650572992827</v>
      </c>
      <c r="AH107" s="21"/>
      <c r="AI107" s="21"/>
      <c r="AJ107" s="21">
        <v>121</v>
      </c>
      <c r="AK107" s="21"/>
      <c r="AL107" s="21"/>
      <c r="AM107" s="7">
        <v>0</v>
      </c>
      <c r="AN107" s="7">
        <v>0</v>
      </c>
      <c r="AO107" s="7">
        <f t="shared" si="298"/>
        <v>76.199999999999989</v>
      </c>
      <c r="AP107" s="7"/>
      <c r="AQ107" s="7"/>
      <c r="AR107" s="21"/>
      <c r="AS107" s="4">
        <f t="shared" si="292"/>
        <v>127</v>
      </c>
      <c r="AT107" s="44">
        <f t="shared" si="317"/>
        <v>1.6</v>
      </c>
      <c r="AU107" s="25">
        <f t="shared" si="241"/>
        <v>48.008007996158454</v>
      </c>
      <c r="AV107" s="4">
        <f t="shared" si="242"/>
        <v>0.79999999999999993</v>
      </c>
      <c r="AW107" s="4">
        <v>1.25</v>
      </c>
      <c r="AX107" s="25">
        <f t="shared" ref="AX107:AX153" si="325">AX106</f>
        <v>5</v>
      </c>
      <c r="AY107" s="38">
        <f t="shared" si="287"/>
        <v>384.06406396926764</v>
      </c>
      <c r="AZ107" s="38">
        <f t="shared" si="288"/>
        <v>384.06406396926764</v>
      </c>
      <c r="BA107" s="38"/>
      <c r="BB107" s="38">
        <f t="shared" si="318"/>
        <v>384.06406396926775</v>
      </c>
      <c r="BC107" s="38">
        <f t="shared" si="243"/>
        <v>0.99999999999999967</v>
      </c>
      <c r="BD107" s="38"/>
      <c r="BE107" s="4"/>
      <c r="BF107" s="19">
        <f t="shared" si="244"/>
        <v>80.510834425149213</v>
      </c>
      <c r="BG107" s="19">
        <f t="shared" si="223"/>
        <v>1.48</v>
      </c>
      <c r="BH107" s="38">
        <f t="shared" si="245"/>
        <v>208.99989665069214</v>
      </c>
      <c r="BI107" s="19">
        <f t="shared" si="224"/>
        <v>0.83479999999999999</v>
      </c>
      <c r="BJ107" s="19">
        <f t="shared" si="246"/>
        <v>35.117457292064863</v>
      </c>
      <c r="BK107" s="19">
        <f t="shared" si="247"/>
        <v>244.11735394275701</v>
      </c>
      <c r="BM107" s="36">
        <f t="shared" si="319"/>
        <v>1.060860227796617</v>
      </c>
      <c r="BN107" s="36">
        <f t="shared" si="249"/>
        <v>144.97049967314891</v>
      </c>
      <c r="BS107" s="4">
        <f t="shared" si="174"/>
        <v>104.9743373567518</v>
      </c>
      <c r="BT107" s="4">
        <f t="shared" si="175"/>
        <v>50.8</v>
      </c>
      <c r="BU107" s="4">
        <f t="shared" si="176"/>
        <v>104.9743373567518</v>
      </c>
      <c r="BV107" s="4">
        <f t="shared" si="250"/>
        <v>63.5</v>
      </c>
      <c r="BW107" s="4">
        <f t="shared" si="177"/>
        <v>1.1066423963715586</v>
      </c>
      <c r="BX107" s="25">
        <f t="shared" si="251"/>
        <v>2.7666059909288965</v>
      </c>
      <c r="BY107" s="4"/>
      <c r="BZ107" s="19">
        <f t="shared" si="178"/>
        <v>98.574337356751798</v>
      </c>
      <c r="CD107" s="18"/>
      <c r="CF107" s="18"/>
      <c r="CG107" s="18"/>
      <c r="CH107" s="18">
        <f t="shared" si="230"/>
        <v>98.574337356751798</v>
      </c>
      <c r="CI107" s="18">
        <f t="shared" si="231"/>
        <v>127</v>
      </c>
      <c r="CJ107" s="18">
        <f t="shared" si="252"/>
        <v>2.0463082399363279</v>
      </c>
      <c r="CK107" s="70">
        <v>0</v>
      </c>
      <c r="CL107" s="18">
        <f t="shared" si="253"/>
        <v>0</v>
      </c>
      <c r="CM107" s="18">
        <f t="shared" si="254"/>
        <v>0</v>
      </c>
      <c r="CN107" s="18">
        <f t="shared" si="255"/>
        <v>0.99524931562137331</v>
      </c>
      <c r="CO107" s="18">
        <f t="shared" si="256"/>
        <v>1.056</v>
      </c>
      <c r="CP107" s="18">
        <f t="shared" si="257"/>
        <v>1.8756444837875041</v>
      </c>
      <c r="CQ107" s="18">
        <f t="shared" si="258"/>
        <v>3.8381467623654899</v>
      </c>
      <c r="CR107" s="9">
        <v>1</v>
      </c>
      <c r="CS107" s="18">
        <f t="shared" si="259"/>
        <v>276.34656689031527</v>
      </c>
      <c r="CW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P107" s="4">
        <f t="shared" si="182"/>
        <v>0</v>
      </c>
      <c r="DQ107" s="4">
        <f t="shared" si="260"/>
        <v>127</v>
      </c>
      <c r="DR107" s="4">
        <f t="shared" si="261"/>
        <v>0.59999999999999987</v>
      </c>
      <c r="DT107" s="4">
        <f t="shared" si="262"/>
        <v>8.6719414376042473E-6</v>
      </c>
      <c r="DU107" s="4">
        <f t="shared" si="183"/>
        <v>5.1511400218480468</v>
      </c>
      <c r="DV107" s="4"/>
      <c r="DW107" s="4"/>
      <c r="DX107" s="4"/>
      <c r="DY107" s="4"/>
      <c r="DZ107" s="38">
        <f t="shared" si="266"/>
        <v>343.11331433873033</v>
      </c>
      <c r="EA107" s="4">
        <f t="shared" si="267"/>
        <v>0.76955514978126882</v>
      </c>
      <c r="EB107" s="4"/>
      <c r="EC107" s="4">
        <f t="shared" si="291"/>
        <v>384.06406396926775</v>
      </c>
      <c r="EG107" s="19">
        <f t="shared" si="268"/>
        <v>1</v>
      </c>
      <c r="EH107" s="19">
        <f t="shared" si="269"/>
        <v>0.71191205765058341</v>
      </c>
      <c r="EI107" s="19">
        <f t="shared" si="270"/>
        <v>1</v>
      </c>
      <c r="EJ107" s="19">
        <f t="shared" si="271"/>
        <v>0.71191205765058341</v>
      </c>
      <c r="EL107" s="4">
        <f t="shared" si="272"/>
        <v>409.00257009512922</v>
      </c>
      <c r="EM107" s="25">
        <f t="shared" si="320"/>
        <v>372.68621939794593</v>
      </c>
      <c r="EP107" s="4">
        <f t="shared" si="322"/>
        <v>5.1511400218480468</v>
      </c>
      <c r="EQ107" s="4">
        <f t="shared" si="275"/>
        <v>5.1511400218480468</v>
      </c>
      <c r="ES107" s="4">
        <f t="shared" si="276"/>
        <v>37.502650572992827</v>
      </c>
      <c r="ET107" s="4">
        <f t="shared" si="184"/>
        <v>1.4764823060233399</v>
      </c>
      <c r="EU107" s="4">
        <f t="shared" si="277"/>
        <v>0.5093298123691008</v>
      </c>
      <c r="EX107" s="19">
        <f t="shared" si="185"/>
        <v>0.5093298123691008</v>
      </c>
      <c r="EY107" s="19">
        <f t="shared" si="278"/>
        <v>0.999</v>
      </c>
      <c r="EZ107" s="4">
        <f t="shared" si="186"/>
        <v>5.1490789473726171</v>
      </c>
      <c r="FA107" s="19">
        <f t="shared" si="232"/>
        <v>5.1501095877155967</v>
      </c>
      <c r="FB107" s="4">
        <f t="shared" si="188"/>
        <v>57.747349427007173</v>
      </c>
      <c r="FC107" s="4">
        <f t="shared" si="189"/>
        <v>31.750000000000007</v>
      </c>
      <c r="FD107" s="19">
        <f t="shared" si="279"/>
        <v>8.6719414376042506E-6</v>
      </c>
      <c r="FE107" s="19">
        <f t="shared" si="233"/>
        <v>5.1000841734781224</v>
      </c>
      <c r="FF107" s="4">
        <f t="shared" si="280"/>
        <v>445.85929213293377</v>
      </c>
      <c r="FG107" s="4">
        <f t="shared" si="191"/>
        <v>38.697349427007161</v>
      </c>
      <c r="FH107" s="4">
        <f t="shared" si="192"/>
        <v>0</v>
      </c>
      <c r="FI107" s="4"/>
      <c r="FJ107" s="4">
        <f t="shared" si="281"/>
        <v>40.950749630537416</v>
      </c>
      <c r="FO107" s="23"/>
      <c r="FP107" s="23"/>
      <c r="FQ107" s="23"/>
      <c r="FR107" s="23"/>
      <c r="FS107" s="23"/>
      <c r="FT107" s="23"/>
      <c r="FU107" s="23"/>
      <c r="FV107" s="22"/>
      <c r="GF107" s="4">
        <f t="shared" si="282"/>
        <v>1</v>
      </c>
      <c r="GG107" s="4">
        <f t="shared" si="283"/>
        <v>0.5</v>
      </c>
      <c r="GH107" s="4">
        <f t="shared" si="284"/>
        <v>0</v>
      </c>
      <c r="GI107" s="4">
        <f t="shared" si="285"/>
        <v>225.16770099015665</v>
      </c>
    </row>
    <row r="108" spans="1:191" ht="12" hidden="1" customHeight="1" x14ac:dyDescent="0.3">
      <c r="A108" s="25">
        <v>89</v>
      </c>
      <c r="B108" s="20" t="s">
        <v>54</v>
      </c>
      <c r="C108" s="20">
        <v>2006</v>
      </c>
      <c r="D108" s="20" t="s">
        <v>293</v>
      </c>
      <c r="E108" s="24"/>
      <c r="F108" s="24"/>
      <c r="G108" s="24"/>
      <c r="H108" s="7" t="s">
        <v>77</v>
      </c>
      <c r="I108" s="7"/>
      <c r="J108" s="7">
        <v>472</v>
      </c>
      <c r="K108" s="7">
        <f t="shared" si="323"/>
        <v>203.2</v>
      </c>
      <c r="L108" s="7">
        <f t="shared" si="148"/>
        <v>152.39999999999998</v>
      </c>
      <c r="M108" s="7">
        <v>28</v>
      </c>
      <c r="N108" s="7">
        <v>25.4</v>
      </c>
      <c r="O108" s="7">
        <v>8</v>
      </c>
      <c r="P108" s="7">
        <v>6</v>
      </c>
      <c r="Q108" s="7">
        <f>36*25.4</f>
        <v>914.4</v>
      </c>
      <c r="R108" s="7"/>
      <c r="S108" s="7">
        <f t="shared" si="324"/>
        <v>127</v>
      </c>
      <c r="T108" s="7"/>
      <c r="U108" s="7"/>
      <c r="V108" s="7"/>
      <c r="W108" s="7">
        <f t="shared" si="321"/>
        <v>101.6</v>
      </c>
      <c r="X108" s="7">
        <v>3</v>
      </c>
      <c r="Y108" s="7"/>
      <c r="Z108" s="7"/>
      <c r="AA108" s="7">
        <f t="shared" si="316"/>
        <v>50.8</v>
      </c>
      <c r="AB108" s="7">
        <f t="shared" si="301"/>
        <v>2.5</v>
      </c>
      <c r="AC108" s="7">
        <f>(AA108+N108/2)/N108</f>
        <v>2.5</v>
      </c>
      <c r="AD108" s="7">
        <v>1.18</v>
      </c>
      <c r="AE108" s="7">
        <f t="shared" si="172"/>
        <v>1.18</v>
      </c>
      <c r="AF108" s="7">
        <f t="shared" si="239"/>
        <v>2.1799999999999997</v>
      </c>
      <c r="AG108" s="7">
        <f t="shared" si="240"/>
        <v>37.502650572992827</v>
      </c>
      <c r="AH108" s="7"/>
      <c r="AI108" s="7"/>
      <c r="AJ108" s="7">
        <v>182</v>
      </c>
      <c r="AK108" s="7"/>
      <c r="AL108" s="7"/>
      <c r="AM108" s="7">
        <v>0</v>
      </c>
      <c r="AN108" s="7">
        <v>0</v>
      </c>
      <c r="AO108" s="7">
        <f t="shared" si="298"/>
        <v>152.39999999999998</v>
      </c>
      <c r="AP108" s="7"/>
      <c r="AQ108" s="7"/>
      <c r="AR108" s="7"/>
      <c r="AS108" s="4">
        <f t="shared" si="292"/>
        <v>203.2</v>
      </c>
      <c r="AT108" s="44">
        <f t="shared" si="317"/>
        <v>0.62500000000000011</v>
      </c>
      <c r="AU108" s="25">
        <f t="shared" si="241"/>
        <v>100.82912578615378</v>
      </c>
      <c r="AV108" s="4">
        <f t="shared" si="242"/>
        <v>0.76249999999999996</v>
      </c>
      <c r="AW108" s="4">
        <v>1.25</v>
      </c>
      <c r="AX108" s="25">
        <f t="shared" si="325"/>
        <v>5</v>
      </c>
      <c r="AY108" s="38">
        <f t="shared" si="287"/>
        <v>300.32112660914947</v>
      </c>
      <c r="AZ108" s="38">
        <f t="shared" si="288"/>
        <v>300.32112660914947</v>
      </c>
      <c r="BB108" s="38">
        <f t="shared" si="318"/>
        <v>300.32112660914959</v>
      </c>
      <c r="BC108" s="38">
        <f t="shared" si="243"/>
        <v>0.99999999999999967</v>
      </c>
      <c r="BF108" s="4">
        <f t="shared" si="244"/>
        <v>167.10008280407939</v>
      </c>
      <c r="BG108" s="4">
        <f t="shared" si="223"/>
        <v>1</v>
      </c>
      <c r="BH108" s="38">
        <f t="shared" si="245"/>
        <v>152.078926876803</v>
      </c>
      <c r="BI108" s="4">
        <f t="shared" si="224"/>
        <v>0.83479999999999999</v>
      </c>
      <c r="BJ108" s="4">
        <f t="shared" si="246"/>
        <v>72.886215417731762</v>
      </c>
      <c r="BK108" s="4">
        <f t="shared" si="247"/>
        <v>224.96514229453476</v>
      </c>
      <c r="BM108" s="36">
        <f t="shared" si="319"/>
        <v>1.1274999999999999</v>
      </c>
      <c r="BN108" s="36">
        <f t="shared" si="249"/>
        <v>188.53094692384059</v>
      </c>
      <c r="BS108" s="4">
        <f t="shared" si="174"/>
        <v>57.199999999999996</v>
      </c>
      <c r="BT108" s="4">
        <f t="shared" si="175"/>
        <v>50.8</v>
      </c>
      <c r="BU108" s="4">
        <f t="shared" si="176"/>
        <v>57.199999999999996</v>
      </c>
      <c r="BV108" s="4">
        <f t="shared" si="250"/>
        <v>63.5</v>
      </c>
      <c r="BW108" s="4">
        <f t="shared" si="177"/>
        <v>1.0125984251968505</v>
      </c>
      <c r="BX108" s="25">
        <f t="shared" si="251"/>
        <v>2.5314960629921264</v>
      </c>
      <c r="BZ108" s="4">
        <f t="shared" si="178"/>
        <v>50.8</v>
      </c>
      <c r="CD108" s="9"/>
      <c r="CF108" s="9"/>
      <c r="CG108" s="9"/>
      <c r="CH108" s="9">
        <f t="shared" si="230"/>
        <v>50.8</v>
      </c>
      <c r="CI108" s="9">
        <f t="shared" si="231"/>
        <v>127</v>
      </c>
      <c r="CJ108" s="9">
        <f t="shared" si="252"/>
        <v>1.622579553879709</v>
      </c>
      <c r="CK108" s="70">
        <v>0</v>
      </c>
      <c r="CL108" s="9">
        <f t="shared" si="253"/>
        <v>0</v>
      </c>
      <c r="CM108" s="9">
        <f t="shared" si="254"/>
        <v>0</v>
      </c>
      <c r="CN108" s="9">
        <f t="shared" si="255"/>
        <v>0.99524931562137331</v>
      </c>
      <c r="CO108" s="9">
        <f t="shared" si="256"/>
        <v>1.056</v>
      </c>
      <c r="CP108" s="9">
        <f t="shared" si="257"/>
        <v>1.9464482686693119</v>
      </c>
      <c r="CQ108" s="9">
        <f t="shared" si="258"/>
        <v>3.158267163427384</v>
      </c>
      <c r="CR108" s="9">
        <v>1</v>
      </c>
      <c r="CS108" s="9">
        <f t="shared" si="259"/>
        <v>265.29444172790028</v>
      </c>
      <c r="DP108" s="4">
        <f t="shared" si="182"/>
        <v>0</v>
      </c>
      <c r="DQ108" s="4">
        <f t="shared" si="260"/>
        <v>203.2</v>
      </c>
      <c r="DR108" s="4">
        <f t="shared" si="261"/>
        <v>0.74999999999999989</v>
      </c>
      <c r="DT108" s="4">
        <f t="shared" si="262"/>
        <v>1.4081086625805556E-5</v>
      </c>
      <c r="DU108" s="4">
        <f t="shared" si="183"/>
        <v>4.8913150907085621</v>
      </c>
      <c r="DZ108" s="38">
        <f t="shared" si="266"/>
        <v>262.14544347104123</v>
      </c>
      <c r="EA108" s="4">
        <f t="shared" si="267"/>
        <v>0.62761753808854537</v>
      </c>
      <c r="EC108" s="4">
        <f t="shared" si="291"/>
        <v>300.32112660914959</v>
      </c>
      <c r="EG108" s="4">
        <f t="shared" si="268"/>
        <v>1</v>
      </c>
      <c r="EH108" s="4">
        <f t="shared" si="269"/>
        <v>0.9</v>
      </c>
      <c r="EI108" s="4">
        <f t="shared" si="270"/>
        <v>1</v>
      </c>
      <c r="EJ108" s="4">
        <f t="shared" si="271"/>
        <v>0.9</v>
      </c>
      <c r="EL108" s="4">
        <f t="shared" si="272"/>
        <v>373.21250444135222</v>
      </c>
      <c r="EM108" s="25">
        <f t="shared" si="320"/>
        <v>293.99662540245509</v>
      </c>
      <c r="EP108" s="4">
        <f t="shared" si="322"/>
        <v>4.8913150907085621</v>
      </c>
      <c r="EQ108" s="4">
        <f t="shared" si="275"/>
        <v>4.8913150907085621</v>
      </c>
      <c r="ES108" s="4">
        <f t="shared" si="276"/>
        <v>37.502650572992827</v>
      </c>
      <c r="ET108" s="4">
        <f t="shared" si="184"/>
        <v>1.4764823060233399</v>
      </c>
      <c r="EU108" s="4">
        <f t="shared" si="277"/>
        <v>0.38378585752369582</v>
      </c>
      <c r="EX108" s="4">
        <f t="shared" si="185"/>
        <v>0.38378585752369582</v>
      </c>
      <c r="EY108" s="4">
        <f t="shared" si="278"/>
        <v>0.999</v>
      </c>
      <c r="EZ108" s="4">
        <f t="shared" si="186"/>
        <v>4.8893579774012199</v>
      </c>
      <c r="FA108" s="4">
        <f t="shared" si="232"/>
        <v>4.8903366319594967</v>
      </c>
      <c r="FB108" s="4">
        <f t="shared" si="188"/>
        <v>114.89734942700716</v>
      </c>
      <c r="FC108" s="4">
        <f t="shared" si="189"/>
        <v>50.800000000000011</v>
      </c>
      <c r="FD108" s="4">
        <f t="shared" si="279"/>
        <v>1.4081086625805558E-5</v>
      </c>
      <c r="FE108" s="4">
        <f t="shared" si="233"/>
        <v>4.7719603922635478</v>
      </c>
      <c r="FF108" s="4">
        <f t="shared" si="280"/>
        <v>417.6834259116215</v>
      </c>
      <c r="FG108" s="4">
        <f t="shared" si="191"/>
        <v>114.89734942700716</v>
      </c>
      <c r="FH108" s="4">
        <f t="shared" si="192"/>
        <v>0</v>
      </c>
      <c r="FJ108" s="4">
        <f t="shared" si="281"/>
        <v>38.175683138108354</v>
      </c>
      <c r="FO108" s="23"/>
      <c r="FP108" s="23"/>
      <c r="FQ108" s="23"/>
      <c r="FR108" s="23"/>
      <c r="FS108" s="23"/>
      <c r="FT108" s="23"/>
      <c r="FU108" s="23"/>
      <c r="FV108" s="23"/>
      <c r="GF108" s="4">
        <f t="shared" si="282"/>
        <v>1</v>
      </c>
      <c r="GG108" s="4">
        <f t="shared" si="283"/>
        <v>0.65</v>
      </c>
      <c r="GH108" s="4">
        <f t="shared" si="284"/>
        <v>0</v>
      </c>
      <c r="GI108" s="4">
        <f t="shared" si="285"/>
        <v>282.31171142156853</v>
      </c>
    </row>
    <row r="109" spans="1:191" s="19" customFormat="1" ht="12" hidden="1" customHeight="1" x14ac:dyDescent="0.3">
      <c r="A109" s="25">
        <v>90</v>
      </c>
      <c r="B109" s="20" t="s">
        <v>54</v>
      </c>
      <c r="C109" s="20">
        <v>2006</v>
      </c>
      <c r="D109" s="20" t="s">
        <v>293</v>
      </c>
      <c r="E109" s="20"/>
      <c r="F109" s="20"/>
      <c r="G109" s="20"/>
      <c r="H109" s="21" t="s">
        <v>281</v>
      </c>
      <c r="I109" s="21"/>
      <c r="J109" s="21">
        <v>472</v>
      </c>
      <c r="K109" s="21">
        <f t="shared" si="323"/>
        <v>76.199999999999989</v>
      </c>
      <c r="L109" s="21">
        <f t="shared" si="148"/>
        <v>38.099999999999994</v>
      </c>
      <c r="M109" s="21">
        <v>22</v>
      </c>
      <c r="N109" s="7">
        <v>25.4</v>
      </c>
      <c r="O109" s="21">
        <v>3</v>
      </c>
      <c r="P109" s="21">
        <v>1.5</v>
      </c>
      <c r="Q109" s="21">
        <f t="shared" ref="Q109:Q110" si="326">25*25.4</f>
        <v>635</v>
      </c>
      <c r="R109" s="21"/>
      <c r="S109" s="21">
        <f>S105</f>
        <v>114.3</v>
      </c>
      <c r="T109" s="21"/>
      <c r="U109" s="21"/>
      <c r="V109" s="21"/>
      <c r="W109" s="21">
        <f t="shared" ref="W109:W110" si="327">2*25.4</f>
        <v>50.8</v>
      </c>
      <c r="X109" s="21">
        <v>3</v>
      </c>
      <c r="Y109" s="21"/>
      <c r="Z109" s="21"/>
      <c r="AA109" s="21">
        <f t="shared" si="316"/>
        <v>50.8</v>
      </c>
      <c r="AB109" s="7">
        <f t="shared" si="301"/>
        <v>1.5</v>
      </c>
      <c r="AC109" s="21">
        <f>(AA109+N109/2)/N109</f>
        <v>2.5</v>
      </c>
      <c r="AD109" s="21">
        <v>4.7</v>
      </c>
      <c r="AE109" s="7">
        <f t="shared" si="172"/>
        <v>4.7</v>
      </c>
      <c r="AF109" s="21">
        <f t="shared" si="239"/>
        <v>5.7</v>
      </c>
      <c r="AG109" s="21">
        <f t="shared" si="240"/>
        <v>60.641668842471674</v>
      </c>
      <c r="AH109" s="21"/>
      <c r="AI109" s="21"/>
      <c r="AJ109" s="21">
        <v>128</v>
      </c>
      <c r="AK109" s="21"/>
      <c r="AL109" s="21"/>
      <c r="AM109" s="7">
        <v>0</v>
      </c>
      <c r="AN109" s="7">
        <v>0</v>
      </c>
      <c r="AO109" s="7">
        <f t="shared" si="298"/>
        <v>38.099999999999994</v>
      </c>
      <c r="AP109" s="7"/>
      <c r="AQ109" s="7"/>
      <c r="AR109" s="21"/>
      <c r="AS109" s="4">
        <f t="shared" si="292"/>
        <v>76.199999999999989</v>
      </c>
      <c r="AT109" s="44">
        <f t="shared" si="317"/>
        <v>2.1604938271604941</v>
      </c>
      <c r="AU109" s="25">
        <f t="shared" si="241"/>
        <v>20.524152271933929</v>
      </c>
      <c r="AV109" s="4">
        <f t="shared" si="242"/>
        <v>0.8666666666666667</v>
      </c>
      <c r="AW109" s="4">
        <v>1.25</v>
      </c>
      <c r="AX109" s="25">
        <f t="shared" si="325"/>
        <v>5</v>
      </c>
      <c r="AY109" s="38">
        <f t="shared" si="287"/>
        <v>240.18748157741609</v>
      </c>
      <c r="AZ109" s="38">
        <f t="shared" si="288"/>
        <v>240.18748157741609</v>
      </c>
      <c r="BA109" s="38"/>
      <c r="BB109" s="38">
        <f t="shared" si="318"/>
        <v>240.18748157741595</v>
      </c>
      <c r="BC109" s="38">
        <f t="shared" si="243"/>
        <v>1.0000000000000007</v>
      </c>
      <c r="BD109" s="38"/>
      <c r="BE109" s="4"/>
      <c r="BF109" s="19">
        <f t="shared" si="244"/>
        <v>37.029598103869176</v>
      </c>
      <c r="BG109" s="19">
        <f t="shared" si="223"/>
        <v>1.2666666666666666</v>
      </c>
      <c r="BH109" s="38">
        <f t="shared" si="245"/>
        <v>181.24048112935475</v>
      </c>
      <c r="BI109" s="19">
        <f t="shared" si="224"/>
        <v>0.34199999999999997</v>
      </c>
      <c r="BJ109" s="19">
        <f t="shared" si="246"/>
        <v>6.6170040331709021</v>
      </c>
      <c r="BK109" s="19">
        <f t="shared" si="247"/>
        <v>187.85748516252565</v>
      </c>
      <c r="BM109" s="36">
        <f t="shared" si="319"/>
        <v>1.2375</v>
      </c>
      <c r="BN109" s="36">
        <f t="shared" si="249"/>
        <v>141.62710386786847</v>
      </c>
      <c r="BS109" s="4">
        <f t="shared" si="174"/>
        <v>31.799999999999997</v>
      </c>
      <c r="BT109" s="4">
        <f t="shared" si="175"/>
        <v>31.799999999999997</v>
      </c>
      <c r="BU109" s="4">
        <f t="shared" si="176"/>
        <v>50.8</v>
      </c>
      <c r="BV109" s="4">
        <f t="shared" si="250"/>
        <v>44.5</v>
      </c>
      <c r="BW109" s="4">
        <f t="shared" si="177"/>
        <v>1.0597484276729561</v>
      </c>
      <c r="BX109" s="25">
        <f t="shared" si="251"/>
        <v>1.8566458673797854</v>
      </c>
      <c r="BY109" s="4"/>
      <c r="BZ109" s="19">
        <f t="shared" si="178"/>
        <v>25.4</v>
      </c>
      <c r="CD109" s="18"/>
      <c r="CF109" s="18"/>
      <c r="CG109" s="18"/>
      <c r="CH109" s="18">
        <f t="shared" si="230"/>
        <v>25.4</v>
      </c>
      <c r="CI109" s="18">
        <f t="shared" si="231"/>
        <v>114.3</v>
      </c>
      <c r="CJ109" s="18">
        <f t="shared" si="252"/>
        <v>1.2530888829563018</v>
      </c>
      <c r="CK109" s="70">
        <v>0</v>
      </c>
      <c r="CL109" s="18">
        <f t="shared" si="253"/>
        <v>0</v>
      </c>
      <c r="CM109" s="18">
        <f t="shared" si="254"/>
        <v>0</v>
      </c>
      <c r="CN109" s="18">
        <f t="shared" si="255"/>
        <v>0.99524931562137331</v>
      </c>
      <c r="CO109" s="18">
        <f t="shared" si="256"/>
        <v>1.056</v>
      </c>
      <c r="CP109" s="18">
        <f t="shared" si="257"/>
        <v>1.7253419844992921</v>
      </c>
      <c r="CQ109" s="18">
        <f t="shared" si="258"/>
        <v>2.1620068600738271</v>
      </c>
      <c r="CR109" s="9">
        <v>1</v>
      </c>
      <c r="CS109" s="18">
        <f t="shared" si="259"/>
        <v>142.69245276487257</v>
      </c>
      <c r="CW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P109" s="4">
        <f t="shared" si="182"/>
        <v>0</v>
      </c>
      <c r="DQ109" s="4">
        <f t="shared" si="260"/>
        <v>76.199999999999989</v>
      </c>
      <c r="DR109" s="4">
        <f t="shared" si="261"/>
        <v>0.5</v>
      </c>
      <c r="DT109" s="4">
        <f t="shared" si="262"/>
        <v>5.0464587188435587E-6</v>
      </c>
      <c r="DU109" s="4">
        <f t="shared" si="183"/>
        <v>3.1798730643614395</v>
      </c>
      <c r="DV109" s="4"/>
      <c r="DW109" s="4"/>
      <c r="DX109" s="4"/>
      <c r="DY109" s="4"/>
      <c r="DZ109" s="38">
        <f t="shared" si="266"/>
        <v>232.40769288927373</v>
      </c>
      <c r="EA109" s="4">
        <f t="shared" si="267"/>
        <v>0.88017500971700602</v>
      </c>
      <c r="EB109" s="4"/>
      <c r="EC109" s="4">
        <f t="shared" si="291"/>
        <v>240.18748157741595</v>
      </c>
      <c r="EG109" s="19">
        <f t="shared" si="268"/>
        <v>1</v>
      </c>
      <c r="EH109" s="19">
        <f t="shared" si="269"/>
        <v>1</v>
      </c>
      <c r="EI109" s="19">
        <f t="shared" si="270"/>
        <v>1</v>
      </c>
      <c r="EJ109" s="19">
        <f t="shared" si="271"/>
        <v>1</v>
      </c>
      <c r="EL109" s="4">
        <f t="shared" si="272"/>
        <v>349.20193277320544</v>
      </c>
      <c r="EM109" s="25">
        <f t="shared" si="320"/>
        <v>328.3628638820947</v>
      </c>
      <c r="EP109" s="4">
        <f t="shared" si="322"/>
        <v>3.1798730643614395</v>
      </c>
      <c r="EQ109" s="4">
        <f t="shared" si="275"/>
        <v>3.1798730643614395</v>
      </c>
      <c r="ES109" s="4">
        <f t="shared" si="276"/>
        <v>60.641668842471674</v>
      </c>
      <c r="ET109" s="4">
        <f t="shared" si="184"/>
        <v>2.3874672772626644</v>
      </c>
      <c r="EU109" s="4">
        <f t="shared" si="277"/>
        <v>0.14057706011072471</v>
      </c>
      <c r="EX109" s="19">
        <f t="shared" si="185"/>
        <v>0.14057706011072471</v>
      </c>
      <c r="EY109" s="19">
        <f t="shared" si="278"/>
        <v>0.54719546434765076</v>
      </c>
      <c r="EZ109" s="4">
        <f t="shared" si="186"/>
        <v>2.4984276612451395</v>
      </c>
      <c r="FA109" s="19">
        <f t="shared" si="232"/>
        <v>2.8595510825119432</v>
      </c>
      <c r="FB109" s="4">
        <f t="shared" si="188"/>
        <v>0</v>
      </c>
      <c r="FC109" s="4">
        <f t="shared" si="189"/>
        <v>15.558331157528315</v>
      </c>
      <c r="FD109" s="19">
        <f t="shared" si="279"/>
        <v>4.1214947989797472E-6</v>
      </c>
      <c r="FE109" s="19">
        <f t="shared" si="233"/>
        <v>3.1752543167715603</v>
      </c>
      <c r="FF109" s="4">
        <f t="shared" si="280"/>
        <v>264.04713872073859</v>
      </c>
      <c r="FG109" s="4">
        <f t="shared" si="191"/>
        <v>0</v>
      </c>
      <c r="FH109" s="4">
        <f t="shared" si="192"/>
        <v>0</v>
      </c>
      <c r="FI109" s="4"/>
      <c r="FJ109" s="4">
        <f t="shared" si="281"/>
        <v>7.7797886881422187</v>
      </c>
      <c r="FO109" s="23"/>
      <c r="FP109" s="23"/>
      <c r="FQ109" s="23"/>
      <c r="FR109" s="23"/>
      <c r="FS109" s="23"/>
      <c r="FT109" s="23"/>
      <c r="FU109" s="23"/>
      <c r="FV109" s="22"/>
      <c r="GF109" s="4">
        <f t="shared" si="282"/>
        <v>1</v>
      </c>
      <c r="GG109" s="4">
        <f t="shared" si="283"/>
        <v>0.75</v>
      </c>
      <c r="GH109" s="4">
        <f t="shared" si="284"/>
        <v>0</v>
      </c>
      <c r="GI109" s="4">
        <f t="shared" si="285"/>
        <v>86.383026958511721</v>
      </c>
    </row>
    <row r="110" spans="1:191" s="19" customFormat="1" ht="12" hidden="1" customHeight="1" x14ac:dyDescent="0.3">
      <c r="A110" s="25">
        <v>91</v>
      </c>
      <c r="B110" s="20" t="s">
        <v>54</v>
      </c>
      <c r="C110" s="20">
        <v>2006</v>
      </c>
      <c r="D110" s="20" t="s">
        <v>293</v>
      </c>
      <c r="E110" s="20"/>
      <c r="F110" s="20"/>
      <c r="G110" s="20"/>
      <c r="H110" s="21" t="s">
        <v>281</v>
      </c>
      <c r="I110" s="21"/>
      <c r="J110" s="21">
        <v>472</v>
      </c>
      <c r="K110" s="21">
        <f t="shared" si="323"/>
        <v>127</v>
      </c>
      <c r="L110" s="21">
        <f t="shared" si="148"/>
        <v>76.199999999999989</v>
      </c>
      <c r="M110" s="21">
        <v>26</v>
      </c>
      <c r="N110" s="7">
        <v>25.4</v>
      </c>
      <c r="O110" s="21">
        <v>5</v>
      </c>
      <c r="P110" s="21">
        <v>3</v>
      </c>
      <c r="Q110" s="21">
        <f t="shared" si="326"/>
        <v>635</v>
      </c>
      <c r="R110" s="21"/>
      <c r="S110" s="21">
        <f>S109</f>
        <v>114.3</v>
      </c>
      <c r="T110" s="21"/>
      <c r="U110" s="21"/>
      <c r="V110" s="21"/>
      <c r="W110" s="21">
        <f t="shared" si="327"/>
        <v>50.8</v>
      </c>
      <c r="X110" s="21">
        <v>3</v>
      </c>
      <c r="Y110" s="21"/>
      <c r="Z110" s="21"/>
      <c r="AA110" s="21">
        <f t="shared" si="316"/>
        <v>50.8</v>
      </c>
      <c r="AB110" s="7">
        <f t="shared" si="301"/>
        <v>1.5</v>
      </c>
      <c r="AC110" s="21">
        <f>(AA110+N110/2)/N110</f>
        <v>2.5</v>
      </c>
      <c r="AD110" s="21">
        <v>4.7</v>
      </c>
      <c r="AE110" s="7">
        <f t="shared" si="172"/>
        <v>4.7</v>
      </c>
      <c r="AF110" s="21">
        <f t="shared" si="239"/>
        <v>5.7</v>
      </c>
      <c r="AG110" s="21">
        <f t="shared" si="240"/>
        <v>60.641668842471674</v>
      </c>
      <c r="AH110" s="21"/>
      <c r="AI110" s="21"/>
      <c r="AJ110" s="21">
        <v>186</v>
      </c>
      <c r="AK110" s="21"/>
      <c r="AL110" s="21"/>
      <c r="AM110" s="7">
        <v>0</v>
      </c>
      <c r="AN110" s="7">
        <v>0</v>
      </c>
      <c r="AO110" s="7">
        <f t="shared" si="298"/>
        <v>76.199999999999989</v>
      </c>
      <c r="AP110" s="7"/>
      <c r="AQ110" s="7"/>
      <c r="AR110" s="21"/>
      <c r="AS110" s="4">
        <f t="shared" si="292"/>
        <v>127</v>
      </c>
      <c r="AT110" s="44">
        <f t="shared" si="317"/>
        <v>1.1111111111111112</v>
      </c>
      <c r="AU110" s="25">
        <f t="shared" si="241"/>
        <v>48.008007996158454</v>
      </c>
      <c r="AV110" s="4">
        <f t="shared" si="242"/>
        <v>0.79999999999999993</v>
      </c>
      <c r="AW110" s="4">
        <v>1.25</v>
      </c>
      <c r="AX110" s="25">
        <f t="shared" si="325"/>
        <v>5</v>
      </c>
      <c r="AY110" s="38">
        <f t="shared" si="287"/>
        <v>266.71115553421362</v>
      </c>
      <c r="AZ110" s="38">
        <f t="shared" si="288"/>
        <v>266.71115553421362</v>
      </c>
      <c r="BA110" s="38"/>
      <c r="BB110" s="38">
        <f t="shared" si="318"/>
        <v>266.71115553421373</v>
      </c>
      <c r="BC110" s="38">
        <f t="shared" si="243"/>
        <v>0.99999999999999956</v>
      </c>
      <c r="BD110" s="38"/>
      <c r="BE110" s="4"/>
      <c r="BF110" s="19">
        <f t="shared" si="244"/>
        <v>80.510834425149213</v>
      </c>
      <c r="BG110" s="19">
        <f t="shared" si="223"/>
        <v>1.2666666666666666</v>
      </c>
      <c r="BH110" s="38">
        <f t="shared" si="245"/>
        <v>214.19329588014648</v>
      </c>
      <c r="BI110" s="19">
        <f t="shared" si="224"/>
        <v>0.34199999999999997</v>
      </c>
      <c r="BJ110" s="19">
        <f t="shared" si="246"/>
        <v>14.386883557602038</v>
      </c>
      <c r="BK110" s="19">
        <f t="shared" si="247"/>
        <v>228.58017943774851</v>
      </c>
      <c r="BM110" s="36">
        <f t="shared" si="319"/>
        <v>1.2375</v>
      </c>
      <c r="BN110" s="36">
        <f t="shared" si="249"/>
        <v>169.10898216830469</v>
      </c>
      <c r="BS110" s="4">
        <f t="shared" si="174"/>
        <v>31.799999999999997</v>
      </c>
      <c r="BT110" s="4">
        <f t="shared" si="175"/>
        <v>31.799999999999997</v>
      </c>
      <c r="BU110" s="4">
        <f t="shared" si="176"/>
        <v>50.8</v>
      </c>
      <c r="BV110" s="4">
        <f t="shared" si="250"/>
        <v>44.5</v>
      </c>
      <c r="BW110" s="4">
        <f t="shared" si="177"/>
        <v>1.0597484276729561</v>
      </c>
      <c r="BX110" s="25">
        <f t="shared" si="251"/>
        <v>1.8566458673797854</v>
      </c>
      <c r="BY110" s="4"/>
      <c r="BZ110" s="19">
        <f t="shared" si="178"/>
        <v>25.4</v>
      </c>
      <c r="CD110" s="18"/>
      <c r="CF110" s="18"/>
      <c r="CG110" s="18"/>
      <c r="CH110" s="18">
        <f t="shared" si="230"/>
        <v>25.4</v>
      </c>
      <c r="CI110" s="18">
        <f t="shared" si="231"/>
        <v>114.3</v>
      </c>
      <c r="CJ110" s="18">
        <f t="shared" si="252"/>
        <v>1.2530888829563018</v>
      </c>
      <c r="CK110" s="70">
        <v>0</v>
      </c>
      <c r="CL110" s="18">
        <f t="shared" si="253"/>
        <v>0</v>
      </c>
      <c r="CM110" s="18">
        <f t="shared" si="254"/>
        <v>0</v>
      </c>
      <c r="CN110" s="18">
        <f t="shared" si="255"/>
        <v>0.99524931562137331</v>
      </c>
      <c r="CO110" s="18">
        <f t="shared" si="256"/>
        <v>1.056</v>
      </c>
      <c r="CP110" s="18">
        <f t="shared" si="257"/>
        <v>1.8756444837875041</v>
      </c>
      <c r="CQ110" s="18">
        <f t="shared" si="258"/>
        <v>2.3503492510124331</v>
      </c>
      <c r="CR110" s="9">
        <v>1</v>
      </c>
      <c r="CS110" s="18">
        <f t="shared" si="259"/>
        <v>169.2251460728952</v>
      </c>
      <c r="CW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P110" s="4">
        <f t="shared" si="182"/>
        <v>0</v>
      </c>
      <c r="DQ110" s="4">
        <f t="shared" si="260"/>
        <v>127</v>
      </c>
      <c r="DR110" s="4">
        <f t="shared" si="261"/>
        <v>0.59999999999999987</v>
      </c>
      <c r="DT110" s="4">
        <f t="shared" si="262"/>
        <v>8.6719414376042473E-6</v>
      </c>
      <c r="DU110" s="4">
        <f t="shared" si="183"/>
        <v>3.4568864757817224</v>
      </c>
      <c r="DV110" s="4"/>
      <c r="DW110" s="4"/>
      <c r="DX110" s="4"/>
      <c r="DY110" s="4"/>
      <c r="DZ110" s="38">
        <f t="shared" si="266"/>
        <v>240.28411991979431</v>
      </c>
      <c r="EA110" s="4">
        <f t="shared" si="267"/>
        <v>0.80213284437653831</v>
      </c>
      <c r="EB110" s="4"/>
      <c r="EC110" s="4">
        <f t="shared" si="291"/>
        <v>266.71115553421373</v>
      </c>
      <c r="EG110" s="19">
        <f t="shared" si="268"/>
        <v>1</v>
      </c>
      <c r="EH110" s="19">
        <f t="shared" si="269"/>
        <v>1</v>
      </c>
      <c r="EI110" s="19">
        <f t="shared" si="270"/>
        <v>1</v>
      </c>
      <c r="EJ110" s="19">
        <f t="shared" si="271"/>
        <v>1</v>
      </c>
      <c r="EL110" s="4">
        <f t="shared" si="272"/>
        <v>284.2361361042133</v>
      </c>
      <c r="EM110" s="25">
        <f t="shared" si="320"/>
        <v>258.80987458190685</v>
      </c>
      <c r="EP110" s="4">
        <f t="shared" si="322"/>
        <v>3.4568864757817224</v>
      </c>
      <c r="EQ110" s="4">
        <f t="shared" si="275"/>
        <v>3.4568864757817224</v>
      </c>
      <c r="ES110" s="4">
        <f t="shared" si="276"/>
        <v>60.641668842471674</v>
      </c>
      <c r="ET110" s="4">
        <f t="shared" si="184"/>
        <v>2.3874672772626644</v>
      </c>
      <c r="EU110" s="4">
        <f t="shared" si="277"/>
        <v>0.14359189784640952</v>
      </c>
      <c r="EX110" s="19">
        <f t="shared" si="185"/>
        <v>0.14359189784640952</v>
      </c>
      <c r="EY110" s="19">
        <f t="shared" si="278"/>
        <v>0.51414146919682335</v>
      </c>
      <c r="EZ110" s="4">
        <f t="shared" si="186"/>
        <v>2.6492208917595552</v>
      </c>
      <c r="FA110" s="19">
        <f t="shared" si="232"/>
        <v>3.0796915172620825</v>
      </c>
      <c r="FB110" s="4">
        <f t="shared" si="188"/>
        <v>34.608331157528326</v>
      </c>
      <c r="FC110" s="4">
        <f t="shared" si="189"/>
        <v>31.75</v>
      </c>
      <c r="FD110" s="19">
        <f t="shared" si="279"/>
        <v>8.6719414376042473E-6</v>
      </c>
      <c r="FE110" s="19">
        <f t="shared" si="233"/>
        <v>3.437592212526638</v>
      </c>
      <c r="FF110" s="4">
        <f t="shared" si="280"/>
        <v>299.55651561251841</v>
      </c>
      <c r="FG110" s="4">
        <f t="shared" si="191"/>
        <v>15.558331157528315</v>
      </c>
      <c r="FH110" s="4">
        <f t="shared" si="192"/>
        <v>0</v>
      </c>
      <c r="FI110" s="4"/>
      <c r="FJ110" s="4">
        <f t="shared" si="281"/>
        <v>26.427035614419424</v>
      </c>
      <c r="FO110" s="23"/>
      <c r="FP110" s="23"/>
      <c r="FQ110" s="23"/>
      <c r="FR110" s="23"/>
      <c r="FS110" s="23"/>
      <c r="FT110" s="23"/>
      <c r="FU110" s="23"/>
      <c r="FV110" s="22"/>
      <c r="GF110" s="4">
        <f t="shared" si="282"/>
        <v>1</v>
      </c>
      <c r="GG110" s="4">
        <f t="shared" si="283"/>
        <v>0.75</v>
      </c>
      <c r="GH110" s="4">
        <f t="shared" si="284"/>
        <v>0</v>
      </c>
      <c r="GI110" s="4">
        <f t="shared" si="285"/>
        <v>150.11180066010442</v>
      </c>
    </row>
    <row r="111" spans="1:191" s="19" customFormat="1" ht="12" hidden="1" customHeight="1" x14ac:dyDescent="0.3">
      <c r="A111" s="25">
        <v>92</v>
      </c>
      <c r="B111" s="20" t="s">
        <v>54</v>
      </c>
      <c r="C111" s="20">
        <v>2006</v>
      </c>
      <c r="D111" s="20" t="s">
        <v>293</v>
      </c>
      <c r="E111" s="20"/>
      <c r="F111" s="20"/>
      <c r="G111" s="20"/>
      <c r="H111" s="21" t="s">
        <v>281</v>
      </c>
      <c r="I111" s="21"/>
      <c r="J111" s="21">
        <v>472</v>
      </c>
      <c r="K111" s="21">
        <f t="shared" si="323"/>
        <v>127</v>
      </c>
      <c r="L111" s="21">
        <f t="shared" si="148"/>
        <v>76.199999999999989</v>
      </c>
      <c r="M111" s="21">
        <v>22</v>
      </c>
      <c r="N111" s="7">
        <v>25.4</v>
      </c>
      <c r="O111" s="21">
        <v>5</v>
      </c>
      <c r="P111" s="21">
        <v>3</v>
      </c>
      <c r="Q111" s="21">
        <f t="shared" ref="Q111:Q123" si="328">36*25.4</f>
        <v>914.4</v>
      </c>
      <c r="R111" s="21"/>
      <c r="S111" s="21">
        <f t="shared" si="324"/>
        <v>127</v>
      </c>
      <c r="T111" s="21"/>
      <c r="U111" s="21"/>
      <c r="V111" s="21"/>
      <c r="W111" s="21">
        <f t="shared" si="321"/>
        <v>101.6</v>
      </c>
      <c r="X111" s="21">
        <v>3</v>
      </c>
      <c r="Y111" s="21"/>
      <c r="Z111" s="21"/>
      <c r="AA111" s="21">
        <f t="shared" si="316"/>
        <v>50.8</v>
      </c>
      <c r="AB111" s="7">
        <f t="shared" si="301"/>
        <v>2.5</v>
      </c>
      <c r="AC111" s="21">
        <f>(AA111+N111/2)/N111</f>
        <v>2.5</v>
      </c>
      <c r="AD111" s="21">
        <v>4.7</v>
      </c>
      <c r="AE111" s="7">
        <f t="shared" si="172"/>
        <v>4.7</v>
      </c>
      <c r="AF111" s="21">
        <f t="shared" si="239"/>
        <v>5.7</v>
      </c>
      <c r="AG111" s="21">
        <f t="shared" si="240"/>
        <v>60.641668842471674</v>
      </c>
      <c r="AH111" s="21"/>
      <c r="AI111" s="21"/>
      <c r="AJ111" s="21">
        <v>166</v>
      </c>
      <c r="AK111" s="21"/>
      <c r="AL111" s="21"/>
      <c r="AM111" s="7">
        <v>0</v>
      </c>
      <c r="AN111" s="7">
        <v>0</v>
      </c>
      <c r="AO111" s="7">
        <f t="shared" si="298"/>
        <v>76.199999999999989</v>
      </c>
      <c r="AP111" s="7"/>
      <c r="AQ111" s="7"/>
      <c r="AR111" s="21"/>
      <c r="AS111" s="4">
        <f t="shared" si="292"/>
        <v>127</v>
      </c>
      <c r="AT111" s="44">
        <f t="shared" si="317"/>
        <v>1.6</v>
      </c>
      <c r="AU111" s="25">
        <f t="shared" si="241"/>
        <v>44.160944413458445</v>
      </c>
      <c r="AV111" s="4">
        <f t="shared" si="242"/>
        <v>0.79999999999999993</v>
      </c>
      <c r="AW111" s="4">
        <v>1.25</v>
      </c>
      <c r="AX111" s="25">
        <f t="shared" si="325"/>
        <v>5</v>
      </c>
      <c r="AY111" s="38">
        <f t="shared" si="287"/>
        <v>353.28755530766756</v>
      </c>
      <c r="AZ111" s="38">
        <f t="shared" si="288"/>
        <v>353.28755530766756</v>
      </c>
      <c r="BA111" s="38"/>
      <c r="BB111" s="38">
        <f t="shared" si="318"/>
        <v>353.28755530766756</v>
      </c>
      <c r="BC111" s="38">
        <f t="shared" si="243"/>
        <v>1</v>
      </c>
      <c r="BD111" s="38"/>
      <c r="BE111" s="4"/>
      <c r="BF111" s="19">
        <f t="shared" si="244"/>
        <v>74.059196207738353</v>
      </c>
      <c r="BG111" s="19">
        <f t="shared" si="223"/>
        <v>1</v>
      </c>
      <c r="BH111" s="38">
        <f t="shared" si="245"/>
        <v>238.4743172754668</v>
      </c>
      <c r="BI111" s="19">
        <f t="shared" si="224"/>
        <v>0.34199999999999997</v>
      </c>
      <c r="BJ111" s="19">
        <f t="shared" si="246"/>
        <v>13.234008066341804</v>
      </c>
      <c r="BK111" s="19">
        <f t="shared" si="247"/>
        <v>251.7083253418086</v>
      </c>
      <c r="BM111" s="36">
        <f t="shared" si="319"/>
        <v>1.1274999999999999</v>
      </c>
      <c r="BN111" s="36">
        <f t="shared" si="249"/>
        <v>141.73029301458456</v>
      </c>
      <c r="BS111" s="4">
        <f t="shared" si="174"/>
        <v>57.199999999999996</v>
      </c>
      <c r="BT111" s="4">
        <f t="shared" si="175"/>
        <v>50.8</v>
      </c>
      <c r="BU111" s="4">
        <f t="shared" si="176"/>
        <v>57.199999999999996</v>
      </c>
      <c r="BV111" s="4">
        <f t="shared" si="250"/>
        <v>63.5</v>
      </c>
      <c r="BW111" s="4">
        <f t="shared" si="177"/>
        <v>1.0125984251968505</v>
      </c>
      <c r="BX111" s="25">
        <f t="shared" si="251"/>
        <v>2.5314960629921264</v>
      </c>
      <c r="BY111" s="4"/>
      <c r="BZ111" s="19">
        <f t="shared" si="178"/>
        <v>50.8</v>
      </c>
      <c r="CD111" s="18"/>
      <c r="CF111" s="18"/>
      <c r="CG111" s="18"/>
      <c r="CH111" s="18">
        <f t="shared" si="230"/>
        <v>50.8</v>
      </c>
      <c r="CI111" s="18">
        <f t="shared" si="231"/>
        <v>127</v>
      </c>
      <c r="CJ111" s="18">
        <f t="shared" si="252"/>
        <v>1.622579553879709</v>
      </c>
      <c r="CK111" s="70">
        <v>0</v>
      </c>
      <c r="CL111" s="18">
        <f t="shared" si="253"/>
        <v>0</v>
      </c>
      <c r="CM111" s="18">
        <f t="shared" si="254"/>
        <v>0</v>
      </c>
      <c r="CN111" s="18">
        <f t="shared" si="255"/>
        <v>0.99524931562137331</v>
      </c>
      <c r="CO111" s="18">
        <f t="shared" si="256"/>
        <v>1.056</v>
      </c>
      <c r="CP111" s="18">
        <f t="shared" si="257"/>
        <v>1.7253419844992921</v>
      </c>
      <c r="CQ111" s="18">
        <f t="shared" si="258"/>
        <v>2.7995046274987931</v>
      </c>
      <c r="CR111" s="9">
        <v>1</v>
      </c>
      <c r="CS111" s="18">
        <f t="shared" si="259"/>
        <v>201.56433317991312</v>
      </c>
      <c r="CW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P111" s="4">
        <f t="shared" si="182"/>
        <v>0</v>
      </c>
      <c r="DQ111" s="4">
        <f t="shared" si="260"/>
        <v>127</v>
      </c>
      <c r="DR111" s="4">
        <f t="shared" si="261"/>
        <v>0.59999999999999987</v>
      </c>
      <c r="DT111" s="4">
        <f t="shared" si="262"/>
        <v>8.4107645314059323E-6</v>
      </c>
      <c r="DU111" s="4">
        <f t="shared" si="183"/>
        <v>4.3356874268145296</v>
      </c>
      <c r="DV111" s="4"/>
      <c r="DW111" s="4"/>
      <c r="DX111" s="4"/>
      <c r="DY111" s="4"/>
      <c r="DZ111" s="38">
        <f t="shared" si="266"/>
        <v>319.29653618742071</v>
      </c>
      <c r="EA111" s="4">
        <f t="shared" si="267"/>
        <v>0.79537819456504089</v>
      </c>
      <c r="EB111" s="4"/>
      <c r="EC111" s="4">
        <f t="shared" si="291"/>
        <v>353.28755530766756</v>
      </c>
      <c r="EG111" s="19">
        <f t="shared" si="268"/>
        <v>1</v>
      </c>
      <c r="EH111" s="19">
        <f t="shared" si="269"/>
        <v>0.9</v>
      </c>
      <c r="EI111" s="19">
        <f t="shared" si="270"/>
        <v>1</v>
      </c>
      <c r="EJ111" s="19">
        <f t="shared" si="271"/>
        <v>0.9</v>
      </c>
      <c r="EL111" s="4">
        <f t="shared" si="272"/>
        <v>373.86575281438127</v>
      </c>
      <c r="EM111" s="25">
        <f t="shared" si="320"/>
        <v>342.82146053241013</v>
      </c>
      <c r="EP111" s="4">
        <f t="shared" si="322"/>
        <v>4.3356874268145296</v>
      </c>
      <c r="EQ111" s="4">
        <f t="shared" si="275"/>
        <v>4.3356874268145296</v>
      </c>
      <c r="ES111" s="4">
        <f t="shared" si="276"/>
        <v>60.641668842471674</v>
      </c>
      <c r="ET111" s="4">
        <f t="shared" si="184"/>
        <v>2.3874672772626644</v>
      </c>
      <c r="EU111" s="4">
        <f t="shared" si="277"/>
        <v>0.20677233289882965</v>
      </c>
      <c r="EX111" s="19">
        <f t="shared" si="185"/>
        <v>0.20677233289882965</v>
      </c>
      <c r="EY111" s="19">
        <f t="shared" si="278"/>
        <v>0.80486021421776921</v>
      </c>
      <c r="EZ111" s="4">
        <f t="shared" si="186"/>
        <v>3.9750825222153439</v>
      </c>
      <c r="FA111" s="19">
        <f t="shared" si="232"/>
        <v>4.1592955381630556</v>
      </c>
      <c r="FB111" s="4">
        <f t="shared" si="188"/>
        <v>34.608331157528326</v>
      </c>
      <c r="FC111" s="4">
        <f t="shared" si="189"/>
        <v>31.75</v>
      </c>
      <c r="FD111" s="19">
        <f t="shared" si="279"/>
        <v>8.4107645314059323E-6</v>
      </c>
      <c r="FE111" s="19">
        <f t="shared" si="233"/>
        <v>4.302626501151539</v>
      </c>
      <c r="FF111" s="4">
        <f t="shared" si="280"/>
        <v>401.43989157514011</v>
      </c>
      <c r="FG111" s="4">
        <f t="shared" si="191"/>
        <v>15.558331157528315</v>
      </c>
      <c r="FH111" s="4">
        <f t="shared" si="192"/>
        <v>0</v>
      </c>
      <c r="FI111" s="4"/>
      <c r="FJ111" s="4">
        <f t="shared" si="281"/>
        <v>33.991019120246847</v>
      </c>
      <c r="FO111" s="23"/>
      <c r="FP111" s="23"/>
      <c r="FQ111" s="23"/>
      <c r="FR111" s="23"/>
      <c r="FS111" s="23"/>
      <c r="FT111" s="23"/>
      <c r="FU111" s="23"/>
      <c r="FV111" s="22"/>
      <c r="GF111" s="4">
        <f t="shared" si="282"/>
        <v>1</v>
      </c>
      <c r="GG111" s="4">
        <f t="shared" si="283"/>
        <v>0.65</v>
      </c>
      <c r="GH111" s="4">
        <f t="shared" si="284"/>
        <v>0</v>
      </c>
      <c r="GI111" s="4">
        <f t="shared" si="285"/>
        <v>166.12120568944562</v>
      </c>
    </row>
    <row r="112" spans="1:191" s="19" customFormat="1" ht="12" hidden="1" customHeight="1" x14ac:dyDescent="0.3">
      <c r="A112" s="25">
        <v>93</v>
      </c>
      <c r="B112" s="20" t="s">
        <v>54</v>
      </c>
      <c r="C112" s="20">
        <v>2006</v>
      </c>
      <c r="D112" s="20" t="s">
        <v>293</v>
      </c>
      <c r="E112" s="20"/>
      <c r="F112" s="20"/>
      <c r="G112" s="20"/>
      <c r="H112" s="21" t="s">
        <v>80</v>
      </c>
      <c r="I112" s="21"/>
      <c r="J112" s="21">
        <v>472</v>
      </c>
      <c r="K112" s="21">
        <f t="shared" si="323"/>
        <v>127</v>
      </c>
      <c r="L112" s="21">
        <f t="shared" si="148"/>
        <v>76.199999999999989</v>
      </c>
      <c r="M112" s="21">
        <v>22</v>
      </c>
      <c r="N112" s="7">
        <v>25.4</v>
      </c>
      <c r="O112" s="21">
        <v>5</v>
      </c>
      <c r="P112" s="21">
        <v>3</v>
      </c>
      <c r="Q112" s="21">
        <f t="shared" si="328"/>
        <v>914.4</v>
      </c>
      <c r="R112" s="21"/>
      <c r="S112" s="21">
        <f t="shared" si="324"/>
        <v>127</v>
      </c>
      <c r="T112" s="21"/>
      <c r="U112" s="21"/>
      <c r="V112" s="21"/>
      <c r="W112" s="21">
        <f>10*25.4-1.5*N112-AG112/2</f>
        <v>185.57916557876416</v>
      </c>
      <c r="X112" s="21">
        <v>3</v>
      </c>
      <c r="Y112" s="21"/>
      <c r="Z112" s="21"/>
      <c r="AA112" s="21">
        <f t="shared" si="316"/>
        <v>50.8</v>
      </c>
      <c r="AB112" s="7">
        <f t="shared" si="301"/>
        <v>2.5</v>
      </c>
      <c r="AC112" s="10">
        <f>(S112+N112/2)/N112</f>
        <v>5.5</v>
      </c>
      <c r="AD112" s="21">
        <v>4.7</v>
      </c>
      <c r="AE112" s="7">
        <f t="shared" si="172"/>
        <v>4.7</v>
      </c>
      <c r="AF112" s="21">
        <f t="shared" si="239"/>
        <v>5.7</v>
      </c>
      <c r="AG112" s="21">
        <f t="shared" si="240"/>
        <v>60.641668842471674</v>
      </c>
      <c r="AH112" s="21"/>
      <c r="AI112" s="21"/>
      <c r="AJ112" s="21">
        <v>169</v>
      </c>
      <c r="AK112" s="21"/>
      <c r="AL112" s="21"/>
      <c r="AM112" s="7">
        <v>0</v>
      </c>
      <c r="AN112" s="7">
        <v>0</v>
      </c>
      <c r="AO112" s="7">
        <f t="shared" si="298"/>
        <v>76.199999999999989</v>
      </c>
      <c r="AP112" s="7"/>
      <c r="AQ112" s="7"/>
      <c r="AR112" s="21"/>
      <c r="AS112" s="4">
        <f t="shared" si="292"/>
        <v>127</v>
      </c>
      <c r="AT112" s="44">
        <f t="shared" si="317"/>
        <v>1.6</v>
      </c>
      <c r="AU112" s="25">
        <f t="shared" si="241"/>
        <v>44.160944413458445</v>
      </c>
      <c r="AV112" s="4">
        <f t="shared" si="242"/>
        <v>0.79999999999999993</v>
      </c>
      <c r="AW112" s="4">
        <v>1.25</v>
      </c>
      <c r="AX112" s="25">
        <f t="shared" si="325"/>
        <v>5</v>
      </c>
      <c r="AY112" s="38">
        <f t="shared" si="287"/>
        <v>353.28755530766756</v>
      </c>
      <c r="AZ112" s="38">
        <f t="shared" si="288"/>
        <v>353.28755530766756</v>
      </c>
      <c r="BA112" s="38"/>
      <c r="BB112" s="38">
        <f t="shared" si="318"/>
        <v>353.28755530766756</v>
      </c>
      <c r="BC112" s="38">
        <f t="shared" si="243"/>
        <v>1</v>
      </c>
      <c r="BD112" s="38"/>
      <c r="BE112" s="4"/>
      <c r="BF112" s="19">
        <f t="shared" si="244"/>
        <v>74.059196207738353</v>
      </c>
      <c r="BG112" s="19">
        <f t="shared" si="223"/>
        <v>1.48</v>
      </c>
      <c r="BH112" s="38">
        <f t="shared" si="245"/>
        <v>352.94198956769088</v>
      </c>
      <c r="BI112" s="19">
        <f t="shared" si="224"/>
        <v>0.34199999999999997</v>
      </c>
      <c r="BJ112" s="19">
        <f t="shared" si="246"/>
        <v>13.234008066341804</v>
      </c>
      <c r="BK112" s="19">
        <f t="shared" si="247"/>
        <v>366.17599763403268</v>
      </c>
      <c r="BM112" s="36">
        <f t="shared" si="319"/>
        <v>1.0652778468231168</v>
      </c>
      <c r="BN112" s="36">
        <f t="shared" si="249"/>
        <v>133.90877283564177</v>
      </c>
      <c r="BS112" s="4">
        <f t="shared" si="174"/>
        <v>99.189582789382087</v>
      </c>
      <c r="BT112" s="4">
        <f t="shared" si="175"/>
        <v>50.8</v>
      </c>
      <c r="BU112" s="4">
        <f t="shared" si="176"/>
        <v>99.189582789382087</v>
      </c>
      <c r="BV112" s="4">
        <f t="shared" si="250"/>
        <v>63.5</v>
      </c>
      <c r="BW112" s="4">
        <f t="shared" si="177"/>
        <v>1.0952550842310671</v>
      </c>
      <c r="BX112" s="25">
        <f t="shared" si="251"/>
        <v>2.7381377105776679</v>
      </c>
      <c r="BY112" s="4"/>
      <c r="BZ112" s="19">
        <f t="shared" si="178"/>
        <v>92.789582789382081</v>
      </c>
      <c r="CD112" s="18"/>
      <c r="CF112" s="18"/>
      <c r="CG112" s="18"/>
      <c r="CH112" s="18">
        <f t="shared" si="230"/>
        <v>92.789582789382081</v>
      </c>
      <c r="CI112" s="18">
        <f t="shared" si="231"/>
        <v>127</v>
      </c>
      <c r="CJ112" s="18">
        <f t="shared" si="252"/>
        <v>2.0034496277060567</v>
      </c>
      <c r="CK112" s="70">
        <v>0</v>
      </c>
      <c r="CL112" s="18">
        <f t="shared" si="253"/>
        <v>0</v>
      </c>
      <c r="CM112" s="18">
        <f t="shared" si="254"/>
        <v>0</v>
      </c>
      <c r="CN112" s="18">
        <f t="shared" si="255"/>
        <v>0.99524931562137331</v>
      </c>
      <c r="CO112" s="18">
        <f t="shared" si="256"/>
        <v>1.056</v>
      </c>
      <c r="CP112" s="18">
        <f t="shared" si="257"/>
        <v>1.7253419844992921</v>
      </c>
      <c r="CQ112" s="18">
        <f t="shared" si="258"/>
        <v>3.4566357565107357</v>
      </c>
      <c r="CR112" s="9">
        <v>1</v>
      </c>
      <c r="CS112" s="18">
        <f t="shared" si="259"/>
        <v>248.87777446877297</v>
      </c>
      <c r="CW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P112" s="4">
        <f t="shared" si="182"/>
        <v>0</v>
      </c>
      <c r="DQ112" s="4">
        <f t="shared" si="260"/>
        <v>127</v>
      </c>
      <c r="DR112" s="4">
        <f t="shared" si="261"/>
        <v>0.59999999999999987</v>
      </c>
      <c r="DT112" s="4">
        <f t="shared" si="262"/>
        <v>8.4107645314059323E-6</v>
      </c>
      <c r="DU112" s="4">
        <f t="shared" si="183"/>
        <v>4.6896020966378407</v>
      </c>
      <c r="DV112" s="4"/>
      <c r="DW112" s="4"/>
      <c r="DX112" s="4"/>
      <c r="DY112" s="4"/>
      <c r="DZ112" s="38">
        <f t="shared" si="266"/>
        <v>316.53648478469842</v>
      </c>
      <c r="EA112" s="4">
        <f t="shared" si="267"/>
        <v>0.7808572593030928</v>
      </c>
      <c r="EB112" s="4"/>
      <c r="EC112" s="4">
        <f t="shared" si="291"/>
        <v>353.28755530766756</v>
      </c>
      <c r="EG112" s="19">
        <f t="shared" si="268"/>
        <v>1</v>
      </c>
      <c r="EH112" s="19">
        <f t="shared" si="269"/>
        <v>0.73468668193156661</v>
      </c>
      <c r="EI112" s="19">
        <f t="shared" si="270"/>
        <v>1</v>
      </c>
      <c r="EJ112" s="19">
        <f t="shared" si="271"/>
        <v>0.73468668193156661</v>
      </c>
      <c r="EL112" s="4">
        <f t="shared" si="272"/>
        <v>376.41442145900862</v>
      </c>
      <c r="EM112" s="25">
        <f t="shared" si="320"/>
        <v>342.82146053241013</v>
      </c>
      <c r="EP112" s="4">
        <f t="shared" si="322"/>
        <v>4.6896020966378407</v>
      </c>
      <c r="EQ112" s="4">
        <f t="shared" si="275"/>
        <v>4.6896020966378407</v>
      </c>
      <c r="ES112" s="4">
        <f t="shared" si="276"/>
        <v>60.641668842471674</v>
      </c>
      <c r="ET112" s="4">
        <f t="shared" si="184"/>
        <v>2.3874672772626644</v>
      </c>
      <c r="EU112" s="4">
        <f t="shared" si="277"/>
        <v>0.20677233289882965</v>
      </c>
      <c r="EX112" s="19">
        <f t="shared" si="185"/>
        <v>0.20677233289882965</v>
      </c>
      <c r="EY112" s="19">
        <f t="shared" si="278"/>
        <v>0.80486021421776921</v>
      </c>
      <c r="EZ112" s="4">
        <f t="shared" si="186"/>
        <v>4.299561637031025</v>
      </c>
      <c r="FA112" s="19">
        <f t="shared" si="232"/>
        <v>4.4988116430332044</v>
      </c>
      <c r="FB112" s="4">
        <f t="shared" si="188"/>
        <v>34.608331157528326</v>
      </c>
      <c r="FC112" s="4">
        <f t="shared" si="189"/>
        <v>31.75</v>
      </c>
      <c r="FD112" s="19">
        <f t="shared" si="279"/>
        <v>8.4107645314059323E-6</v>
      </c>
      <c r="FE112" s="19">
        <f t="shared" si="233"/>
        <v>4.6509271187738959</v>
      </c>
      <c r="FF112" s="4">
        <f t="shared" si="280"/>
        <v>405.37048354676762</v>
      </c>
      <c r="FG112" s="4">
        <f t="shared" si="191"/>
        <v>15.558331157528315</v>
      </c>
      <c r="FH112" s="4">
        <f t="shared" si="192"/>
        <v>0</v>
      </c>
      <c r="FI112" s="4"/>
      <c r="FJ112" s="4">
        <f t="shared" si="281"/>
        <v>36.751070522969144</v>
      </c>
      <c r="FO112" s="23"/>
      <c r="FP112" s="23"/>
      <c r="FQ112" s="23"/>
      <c r="FR112" s="23"/>
      <c r="FS112" s="23"/>
      <c r="FT112" s="23"/>
      <c r="FU112" s="23"/>
      <c r="FV112" s="22"/>
      <c r="GF112" s="4">
        <f t="shared" si="282"/>
        <v>1</v>
      </c>
      <c r="GG112" s="4">
        <f t="shared" si="283"/>
        <v>0.5</v>
      </c>
      <c r="GH112" s="4">
        <f t="shared" si="284"/>
        <v>0</v>
      </c>
      <c r="GI112" s="4">
        <f t="shared" si="285"/>
        <v>215.95756739627933</v>
      </c>
    </row>
    <row r="113" spans="1:196" ht="12" hidden="1" customHeight="1" x14ac:dyDescent="0.3">
      <c r="A113" s="25">
        <v>94</v>
      </c>
      <c r="B113" s="20" t="s">
        <v>54</v>
      </c>
      <c r="C113" s="20">
        <v>2006</v>
      </c>
      <c r="D113" s="20" t="s">
        <v>293</v>
      </c>
      <c r="E113" s="24"/>
      <c r="F113" s="24"/>
      <c r="G113" s="24"/>
      <c r="H113" s="7" t="s">
        <v>281</v>
      </c>
      <c r="I113" s="7"/>
      <c r="J113" s="7">
        <v>472</v>
      </c>
      <c r="K113" s="7">
        <f t="shared" si="323"/>
        <v>203.2</v>
      </c>
      <c r="L113" s="7">
        <f t="shared" si="148"/>
        <v>152.39999999999998</v>
      </c>
      <c r="M113" s="7">
        <v>28</v>
      </c>
      <c r="N113" s="7">
        <v>25.4</v>
      </c>
      <c r="O113" s="7">
        <v>8</v>
      </c>
      <c r="P113" s="7">
        <v>6</v>
      </c>
      <c r="Q113" s="7">
        <f t="shared" si="328"/>
        <v>914.4</v>
      </c>
      <c r="R113" s="7"/>
      <c r="S113" s="7">
        <f t="shared" si="324"/>
        <v>127</v>
      </c>
      <c r="T113" s="7"/>
      <c r="U113" s="7"/>
      <c r="V113" s="7"/>
      <c r="W113" s="7">
        <f t="shared" si="321"/>
        <v>101.6</v>
      </c>
      <c r="X113" s="7">
        <v>3</v>
      </c>
      <c r="Y113" s="7"/>
      <c r="Z113" s="7"/>
      <c r="AA113" s="7">
        <f t="shared" si="316"/>
        <v>50.8</v>
      </c>
      <c r="AB113" s="7">
        <f t="shared" si="301"/>
        <v>2.5</v>
      </c>
      <c r="AC113" s="7">
        <f t="shared" ref="AC113:AC123" si="329">(AA113+N113/2)/N113</f>
        <v>2.5</v>
      </c>
      <c r="AD113" s="7">
        <v>4.7</v>
      </c>
      <c r="AE113" s="7">
        <f t="shared" si="172"/>
        <v>4.7</v>
      </c>
      <c r="AF113" s="7">
        <f t="shared" si="239"/>
        <v>5.7</v>
      </c>
      <c r="AG113" s="7">
        <f t="shared" si="240"/>
        <v>60.641668842471674</v>
      </c>
      <c r="AH113" s="7"/>
      <c r="AI113" s="7"/>
      <c r="AJ113" s="7">
        <v>300</v>
      </c>
      <c r="AK113" s="7"/>
      <c r="AL113" s="7">
        <f>CY113</f>
        <v>0.74963962286101182</v>
      </c>
      <c r="AM113" s="7">
        <v>0</v>
      </c>
      <c r="AN113" s="7">
        <v>0</v>
      </c>
      <c r="AO113" s="7">
        <f t="shared" si="298"/>
        <v>152.39999999999998</v>
      </c>
      <c r="AP113" s="7"/>
      <c r="AQ113" s="7"/>
      <c r="AR113" s="7"/>
      <c r="AS113" s="4">
        <f t="shared" si="292"/>
        <v>203.2</v>
      </c>
      <c r="AT113" s="44">
        <f t="shared" si="317"/>
        <v>0.62500000000000011</v>
      </c>
      <c r="AU113" s="25">
        <f t="shared" si="241"/>
        <v>100.82912578615378</v>
      </c>
      <c r="AV113" s="4">
        <f t="shared" si="242"/>
        <v>0.76249999999999996</v>
      </c>
      <c r="AW113" s="4">
        <v>1.25</v>
      </c>
      <c r="AX113" s="25">
        <f t="shared" si="325"/>
        <v>5</v>
      </c>
      <c r="AY113" s="38">
        <f t="shared" si="287"/>
        <v>300.32112660914947</v>
      </c>
      <c r="AZ113" s="38">
        <f t="shared" si="288"/>
        <v>300.32112660914947</v>
      </c>
      <c r="BB113" s="38">
        <f t="shared" si="318"/>
        <v>300.32112660914959</v>
      </c>
      <c r="BC113" s="38">
        <f t="shared" si="243"/>
        <v>0.99999999999999967</v>
      </c>
      <c r="BD113" s="38">
        <f t="shared" si="155"/>
        <v>1.010627426942585</v>
      </c>
      <c r="BE113" s="4">
        <f t="shared" ref="BE113:BE153" si="330">IF(BD113&lt;1,1,0)</f>
        <v>0</v>
      </c>
      <c r="BF113" s="4">
        <f t="shared" si="244"/>
        <v>167.10008280407939</v>
      </c>
      <c r="BG113" s="4">
        <f t="shared" si="223"/>
        <v>1</v>
      </c>
      <c r="BH113" s="38">
        <f t="shared" si="245"/>
        <v>303.51276744150317</v>
      </c>
      <c r="BI113" s="4">
        <f t="shared" si="224"/>
        <v>0.34199999999999997</v>
      </c>
      <c r="BJ113" s="4">
        <f t="shared" si="246"/>
        <v>29.859949296674962</v>
      </c>
      <c r="BK113" s="4">
        <f t="shared" si="247"/>
        <v>333.37271673817816</v>
      </c>
      <c r="BM113" s="36">
        <f t="shared" si="319"/>
        <v>1.1274999999999999</v>
      </c>
      <c r="BN113" s="36">
        <f t="shared" si="249"/>
        <v>188.53094692384059</v>
      </c>
      <c r="BS113" s="4">
        <f t="shared" si="174"/>
        <v>57.199999999999996</v>
      </c>
      <c r="BT113" s="4">
        <f t="shared" si="175"/>
        <v>50.8</v>
      </c>
      <c r="BU113" s="4">
        <f t="shared" si="176"/>
        <v>57.199999999999996</v>
      </c>
      <c r="BV113" s="4">
        <f t="shared" si="250"/>
        <v>63.5</v>
      </c>
      <c r="BW113" s="4">
        <f t="shared" si="177"/>
        <v>1.0125984251968505</v>
      </c>
      <c r="BX113" s="25">
        <f t="shared" si="251"/>
        <v>2.5314960629921264</v>
      </c>
      <c r="BZ113" s="4">
        <f t="shared" si="178"/>
        <v>50.8</v>
      </c>
      <c r="CD113" s="9"/>
      <c r="CF113" s="9"/>
      <c r="CG113" s="9"/>
      <c r="CH113" s="9">
        <f t="shared" si="230"/>
        <v>50.8</v>
      </c>
      <c r="CI113" s="9">
        <f t="shared" si="231"/>
        <v>127</v>
      </c>
      <c r="CJ113" s="9">
        <f t="shared" si="252"/>
        <v>1.622579553879709</v>
      </c>
      <c r="CK113" s="70">
        <v>0</v>
      </c>
      <c r="CL113" s="9">
        <f t="shared" si="253"/>
        <v>0</v>
      </c>
      <c r="CM113" s="9">
        <f t="shared" si="254"/>
        <v>0</v>
      </c>
      <c r="CN113" s="9">
        <f t="shared" si="255"/>
        <v>0.99524931562137331</v>
      </c>
      <c r="CO113" s="9">
        <f t="shared" si="256"/>
        <v>1.056</v>
      </c>
      <c r="CP113" s="9">
        <f t="shared" si="257"/>
        <v>1.9464482686693119</v>
      </c>
      <c r="CQ113" s="9">
        <f t="shared" si="258"/>
        <v>3.158267163427384</v>
      </c>
      <c r="CR113" s="9">
        <v>1</v>
      </c>
      <c r="CS113" s="9">
        <f t="shared" si="259"/>
        <v>265.29444172790028</v>
      </c>
      <c r="CU113" s="4">
        <f t="shared" si="209"/>
        <v>1.7953312467938294</v>
      </c>
      <c r="CV113" s="4">
        <f t="shared" ref="CV113:CV117" si="331">AJ113/BK113</f>
        <v>0.89989367736896064</v>
      </c>
      <c r="CW113" s="4">
        <f t="shared" si="211"/>
        <v>1.5912506932943413</v>
      </c>
      <c r="CX113" s="4">
        <f t="shared" si="212"/>
        <v>1.1308190177150246</v>
      </c>
      <c r="CY113" s="4">
        <f t="shared" si="213"/>
        <v>0.74963962286101182</v>
      </c>
      <c r="CZ113" s="4">
        <f t="shared" si="214"/>
        <v>0.80409497946677988</v>
      </c>
      <c r="DA113" s="4">
        <f t="shared" si="162"/>
        <v>1.0626551710850494</v>
      </c>
      <c r="DC113" s="4">
        <f t="shared" si="215"/>
        <v>1.7953312467938294</v>
      </c>
      <c r="DD113" s="4">
        <f t="shared" si="215"/>
        <v>0.89989367736896064</v>
      </c>
      <c r="DE113" s="4">
        <f t="shared" si="216"/>
        <v>1.1308190177150246</v>
      </c>
      <c r="DF113" s="4">
        <f t="shared" ref="DF113:DF117" si="332">DA113</f>
        <v>1.0626551710850494</v>
      </c>
      <c r="DG113" s="4">
        <f t="shared" si="218"/>
        <v>0.74963962286101182</v>
      </c>
      <c r="DH113" s="4">
        <f t="shared" si="218"/>
        <v>0.80409497946677988</v>
      </c>
      <c r="DP113" s="4">
        <f t="shared" si="182"/>
        <v>0</v>
      </c>
      <c r="DQ113" s="4">
        <f t="shared" si="260"/>
        <v>203.2</v>
      </c>
      <c r="DR113" s="4">
        <f t="shared" si="261"/>
        <v>0.74999999999999989</v>
      </c>
      <c r="DT113" s="4">
        <f t="shared" si="262"/>
        <v>1.4081086625805556E-5</v>
      </c>
      <c r="DU113" s="4">
        <f t="shared" si="183"/>
        <v>4.8913150907085621</v>
      </c>
      <c r="DV113" s="4">
        <f>EC113*AG113/257/M113/AD113</f>
        <v>0.53847806423870404</v>
      </c>
      <c r="DW113" s="4">
        <f t="shared" si="263"/>
        <v>3.8185004560434437</v>
      </c>
      <c r="DX113" s="4">
        <f t="shared" si="264"/>
        <v>4.3878681397992914</v>
      </c>
      <c r="DY113" s="4">
        <f>MAX(DU113/2, (4-DT113*(8*AG113*(DW113-DX113)+6*K113*DX113))/(4+DT113*K113*DU113)*DU113)</f>
        <v>4.7872065211519317</v>
      </c>
      <c r="DZ113" s="38">
        <f t="shared" si="266"/>
        <v>400.19229353838733</v>
      </c>
      <c r="EA113" s="4">
        <f t="shared" si="267"/>
        <v>1.0001002040418938</v>
      </c>
      <c r="EB113" s="4">
        <f>AG113/N113</f>
        <v>2.3874672772626644</v>
      </c>
      <c r="EC113" s="4">
        <f t="shared" si="291"/>
        <v>300.32112660914959</v>
      </c>
      <c r="EG113" s="4">
        <f t="shared" si="268"/>
        <v>1</v>
      </c>
      <c r="EH113" s="4">
        <f t="shared" si="269"/>
        <v>0.9</v>
      </c>
      <c r="EI113" s="4">
        <f t="shared" si="270"/>
        <v>1</v>
      </c>
      <c r="EJ113" s="4">
        <f t="shared" si="271"/>
        <v>0.9</v>
      </c>
      <c r="EL113" s="4">
        <f t="shared" si="272"/>
        <v>373.09025383909153</v>
      </c>
      <c r="EM113" s="25">
        <f t="shared" si="320"/>
        <v>293.99662540245509</v>
      </c>
      <c r="EP113" s="4">
        <f t="shared" si="322"/>
        <v>4.8913150907085621</v>
      </c>
      <c r="EQ113" s="4">
        <f t="shared" si="275"/>
        <v>4.8913150907085621</v>
      </c>
      <c r="ES113" s="4">
        <f t="shared" si="276"/>
        <v>60.641668842471674</v>
      </c>
      <c r="ET113" s="4">
        <f t="shared" si="184"/>
        <v>2.3874672772626644</v>
      </c>
      <c r="EU113" s="4">
        <f t="shared" si="277"/>
        <v>0.15580532528546467</v>
      </c>
      <c r="EX113" s="4">
        <f t="shared" si="185"/>
        <v>0.15580532528546467</v>
      </c>
      <c r="EY113" s="4">
        <f t="shared" si="278"/>
        <v>0.53757944470815811</v>
      </c>
      <c r="EZ113" s="4">
        <f t="shared" si="186"/>
        <v>3.8159502325558035</v>
      </c>
      <c r="FA113" s="4">
        <f t="shared" si="232"/>
        <v>4.3867592129495785</v>
      </c>
      <c r="FB113" s="4">
        <f t="shared" si="188"/>
        <v>91.758331157528303</v>
      </c>
      <c r="FC113" s="4">
        <f t="shared" si="189"/>
        <v>50.8</v>
      </c>
      <c r="FD113" s="4">
        <f t="shared" si="279"/>
        <v>1.4081086625805556E-5</v>
      </c>
      <c r="FE113" s="4">
        <f t="shared" si="233"/>
        <v>4.7872417175461299</v>
      </c>
      <c r="FF113" s="4">
        <f t="shared" si="280"/>
        <v>400.15219667090821</v>
      </c>
      <c r="FG113" s="4">
        <f t="shared" si="191"/>
        <v>91.758331157528303</v>
      </c>
      <c r="FH113" s="4">
        <f t="shared" si="192"/>
        <v>0</v>
      </c>
      <c r="FJ113" s="4">
        <f t="shared" si="281"/>
        <v>38.297933740369047</v>
      </c>
      <c r="FO113" s="23">
        <f t="shared" si="219"/>
        <v>1.8</v>
      </c>
      <c r="FP113" s="23">
        <f t="shared" si="219"/>
        <v>1</v>
      </c>
      <c r="FQ113" s="23">
        <f t="shared" si="229"/>
        <v>1.2</v>
      </c>
      <c r="FR113" s="23">
        <f t="shared" si="220"/>
        <v>1.2</v>
      </c>
      <c r="FS113" s="23">
        <f t="shared" si="220"/>
        <v>0.8</v>
      </c>
      <c r="FT113" s="23">
        <f t="shared" si="220"/>
        <v>1</v>
      </c>
      <c r="FU113" s="23">
        <f t="shared" si="221"/>
        <v>1</v>
      </c>
      <c r="FV113" s="23"/>
      <c r="GF113" s="4">
        <f t="shared" si="282"/>
        <v>1</v>
      </c>
      <c r="GG113" s="4">
        <f t="shared" si="283"/>
        <v>0.65</v>
      </c>
      <c r="GH113" s="4">
        <f t="shared" si="284"/>
        <v>0</v>
      </c>
      <c r="GI113" s="4">
        <f t="shared" si="285"/>
        <v>282.31171142156853</v>
      </c>
    </row>
    <row r="114" spans="1:196" ht="12" hidden="1" customHeight="1" x14ac:dyDescent="0.3">
      <c r="A114" s="25">
        <v>95</v>
      </c>
      <c r="B114" s="20" t="s">
        <v>54</v>
      </c>
      <c r="C114" s="20">
        <v>2006</v>
      </c>
      <c r="D114" s="20" t="s">
        <v>293</v>
      </c>
      <c r="E114" s="24"/>
      <c r="F114" s="24"/>
      <c r="G114" s="24"/>
      <c r="H114" s="7" t="s">
        <v>68</v>
      </c>
      <c r="I114" s="7"/>
      <c r="J114" s="7">
        <v>472</v>
      </c>
      <c r="K114" s="7">
        <f t="shared" si="323"/>
        <v>203.2</v>
      </c>
      <c r="L114" s="7">
        <f t="shared" si="148"/>
        <v>152.39999999999998</v>
      </c>
      <c r="M114" s="7">
        <v>28</v>
      </c>
      <c r="N114" s="7">
        <v>25.4</v>
      </c>
      <c r="O114" s="7">
        <v>8</v>
      </c>
      <c r="P114" s="7">
        <v>6</v>
      </c>
      <c r="Q114" s="7">
        <f t="shared" si="328"/>
        <v>914.4</v>
      </c>
      <c r="R114" s="7"/>
      <c r="S114" s="7">
        <f t="shared" si="324"/>
        <v>127</v>
      </c>
      <c r="T114" s="7"/>
      <c r="U114" s="7"/>
      <c r="V114" s="7"/>
      <c r="W114" s="7">
        <f t="shared" si="321"/>
        <v>101.6</v>
      </c>
      <c r="X114" s="7">
        <v>3</v>
      </c>
      <c r="Y114" s="7"/>
      <c r="Z114" s="7"/>
      <c r="AA114" s="7">
        <f t="shared" si="316"/>
        <v>50.8</v>
      </c>
      <c r="AB114" s="7">
        <f t="shared" si="301"/>
        <v>2.5</v>
      </c>
      <c r="AC114" s="7">
        <f t="shared" si="329"/>
        <v>2.5</v>
      </c>
      <c r="AD114" s="7">
        <v>4.04</v>
      </c>
      <c r="AE114" s="7">
        <f t="shared" si="172"/>
        <v>4.04</v>
      </c>
      <c r="AF114" s="7">
        <f t="shared" si="239"/>
        <v>5.04</v>
      </c>
      <c r="AG114" s="7">
        <f t="shared" si="240"/>
        <v>57.022858574434863</v>
      </c>
      <c r="AH114" s="7"/>
      <c r="AI114" s="7"/>
      <c r="AJ114" s="7">
        <v>306</v>
      </c>
      <c r="AK114" s="7"/>
      <c r="AL114" s="7">
        <f>CY114</f>
        <v>0.75988377667231821</v>
      </c>
      <c r="AM114" s="7">
        <v>0</v>
      </c>
      <c r="AN114" s="7">
        <v>0</v>
      </c>
      <c r="AO114" s="7">
        <f t="shared" si="298"/>
        <v>152.39999999999998</v>
      </c>
      <c r="AP114" s="7"/>
      <c r="AQ114" s="7"/>
      <c r="AR114" s="7"/>
      <c r="AS114" s="4">
        <f t="shared" si="292"/>
        <v>203.2</v>
      </c>
      <c r="AT114" s="44">
        <f t="shared" si="317"/>
        <v>0.62500000000000011</v>
      </c>
      <c r="AU114" s="25">
        <f t="shared" si="241"/>
        <v>100.82912578615378</v>
      </c>
      <c r="AV114" s="4">
        <f t="shared" si="242"/>
        <v>0.76249999999999996</v>
      </c>
      <c r="AW114" s="4">
        <v>1.25</v>
      </c>
      <c r="AX114" s="25">
        <f t="shared" si="325"/>
        <v>5</v>
      </c>
      <c r="AY114" s="38">
        <f t="shared" si="287"/>
        <v>300.32112660914947</v>
      </c>
      <c r="AZ114" s="38">
        <f t="shared" si="288"/>
        <v>300.32112660914947</v>
      </c>
      <c r="BB114" s="38">
        <f t="shared" si="318"/>
        <v>300.32112660914959</v>
      </c>
      <c r="BC114" s="38">
        <f t="shared" si="243"/>
        <v>0.99999999999999967</v>
      </c>
      <c r="BD114" s="38">
        <f t="shared" si="155"/>
        <v>0.93698542146722186</v>
      </c>
      <c r="BE114" s="4">
        <f t="shared" si="330"/>
        <v>1</v>
      </c>
      <c r="BF114" s="4">
        <f t="shared" si="244"/>
        <v>167.10008280407939</v>
      </c>
      <c r="BG114" s="4">
        <f t="shared" si="223"/>
        <v>1</v>
      </c>
      <c r="BH114" s="38">
        <f t="shared" si="245"/>
        <v>281.39651739138492</v>
      </c>
      <c r="BI114" s="4">
        <f t="shared" si="224"/>
        <v>0.43440000000000001</v>
      </c>
      <c r="BJ114" s="4">
        <f t="shared" si="246"/>
        <v>37.927374194373115</v>
      </c>
      <c r="BK114" s="4">
        <f t="shared" si="247"/>
        <v>319.32389158575802</v>
      </c>
      <c r="BM114" s="36">
        <f t="shared" si="319"/>
        <v>1.1274999999999999</v>
      </c>
      <c r="BN114" s="36">
        <f t="shared" si="249"/>
        <v>188.53094692384059</v>
      </c>
      <c r="BS114" s="4">
        <f t="shared" si="174"/>
        <v>57.199999999999996</v>
      </c>
      <c r="BT114" s="4">
        <f t="shared" si="175"/>
        <v>50.8</v>
      </c>
      <c r="BU114" s="4">
        <f t="shared" si="176"/>
        <v>57.199999999999996</v>
      </c>
      <c r="BV114" s="4">
        <f t="shared" si="250"/>
        <v>63.5</v>
      </c>
      <c r="BW114" s="4">
        <f t="shared" si="177"/>
        <v>1.0125984251968505</v>
      </c>
      <c r="BX114" s="25">
        <f t="shared" si="251"/>
        <v>2.5314960629921264</v>
      </c>
      <c r="BZ114" s="4">
        <f t="shared" si="178"/>
        <v>50.8</v>
      </c>
      <c r="CD114" s="9"/>
      <c r="CF114" s="9"/>
      <c r="CG114" s="9"/>
      <c r="CH114" s="9">
        <f t="shared" si="230"/>
        <v>50.8</v>
      </c>
      <c r="CI114" s="9">
        <f t="shared" si="231"/>
        <v>127</v>
      </c>
      <c r="CJ114" s="9">
        <f t="shared" si="252"/>
        <v>1.622579553879709</v>
      </c>
      <c r="CK114" s="70">
        <v>0</v>
      </c>
      <c r="CL114" s="9">
        <f t="shared" si="253"/>
        <v>0</v>
      </c>
      <c r="CM114" s="9">
        <f t="shared" si="254"/>
        <v>0</v>
      </c>
      <c r="CN114" s="9">
        <f t="shared" si="255"/>
        <v>0.99524931562137331</v>
      </c>
      <c r="CO114" s="9">
        <f t="shared" si="256"/>
        <v>1.056</v>
      </c>
      <c r="CP114" s="9">
        <f t="shared" si="257"/>
        <v>1.9464482686693119</v>
      </c>
      <c r="CQ114" s="9">
        <f t="shared" si="258"/>
        <v>3.158267163427384</v>
      </c>
      <c r="CR114" s="9">
        <v>1</v>
      </c>
      <c r="CS114" s="9">
        <f t="shared" si="259"/>
        <v>265.29444172790028</v>
      </c>
      <c r="CU114" s="4">
        <f t="shared" si="209"/>
        <v>1.831237871729706</v>
      </c>
      <c r="CV114" s="4">
        <f t="shared" si="331"/>
        <v>0.95827467991952697</v>
      </c>
      <c r="CW114" s="4">
        <f t="shared" si="211"/>
        <v>1.6230757071602282</v>
      </c>
      <c r="CX114" s="4">
        <f t="shared" si="212"/>
        <v>1.153435398069325</v>
      </c>
      <c r="CY114" s="4">
        <f t="shared" si="213"/>
        <v>0.75988377667231821</v>
      </c>
      <c r="CZ114" s="4">
        <f t="shared" si="214"/>
        <v>0.82013855883724562</v>
      </c>
      <c r="DA114" s="4">
        <f t="shared" si="162"/>
        <v>1.0839082745067503</v>
      </c>
      <c r="DC114" s="4">
        <f t="shared" si="215"/>
        <v>1.831237871729706</v>
      </c>
      <c r="DD114" s="4">
        <f t="shared" si="215"/>
        <v>0.95827467991952697</v>
      </c>
      <c r="DE114" s="4">
        <f t="shared" si="216"/>
        <v>1.153435398069325</v>
      </c>
      <c r="DF114" s="4">
        <f t="shared" si="332"/>
        <v>1.0839082745067503</v>
      </c>
      <c r="DG114" s="4">
        <f t="shared" si="218"/>
        <v>0.75988377667231821</v>
      </c>
      <c r="DH114" s="4">
        <f t="shared" si="218"/>
        <v>0.82013855883724562</v>
      </c>
      <c r="DP114" s="4">
        <f t="shared" si="182"/>
        <v>0</v>
      </c>
      <c r="DQ114" s="4">
        <f t="shared" si="260"/>
        <v>203.2</v>
      </c>
      <c r="DR114" s="4">
        <f t="shared" si="261"/>
        <v>0.74999999999999989</v>
      </c>
      <c r="DT114" s="4">
        <f t="shared" si="262"/>
        <v>1.4081086625805556E-5</v>
      </c>
      <c r="DU114" s="4">
        <f t="shared" si="183"/>
        <v>4.8913150907085621</v>
      </c>
      <c r="DV114" s="4">
        <f>EC114*AG114/257/M114/AD114</f>
        <v>0.5890638201623456</v>
      </c>
      <c r="DW114" s="4">
        <f t="shared" si="263"/>
        <v>3.9581347949207233</v>
      </c>
      <c r="DX114" s="4">
        <f t="shared" si="264"/>
        <v>4.4492850598328726</v>
      </c>
      <c r="DY114" s="4">
        <f>MAX(DU114/2, (4-DT114*(8*AG114*(DW114-DX114)+6*K114*DX114))/(4+DT114*K114*DU114)*DU114)</f>
        <v>4.7850266011856082</v>
      </c>
      <c r="DZ114" s="38">
        <f t="shared" si="266"/>
        <v>402.69316097263544</v>
      </c>
      <c r="EA114" s="4">
        <f t="shared" si="267"/>
        <v>1.0001020792306232</v>
      </c>
      <c r="EB114" s="4">
        <f>AG114/N114</f>
        <v>2.2449944320643649</v>
      </c>
      <c r="EC114" s="4">
        <f t="shared" si="291"/>
        <v>300.32112660914959</v>
      </c>
      <c r="EG114" s="4">
        <f t="shared" si="268"/>
        <v>1</v>
      </c>
      <c r="EH114" s="4">
        <f t="shared" si="269"/>
        <v>0.9</v>
      </c>
      <c r="EI114" s="4">
        <f t="shared" si="270"/>
        <v>1</v>
      </c>
      <c r="EJ114" s="4">
        <f t="shared" si="271"/>
        <v>0.9</v>
      </c>
      <c r="EL114" s="4">
        <f t="shared" si="272"/>
        <v>373.10768613761144</v>
      </c>
      <c r="EM114" s="25">
        <f t="shared" si="320"/>
        <v>293.99662540245509</v>
      </c>
      <c r="EP114" s="4">
        <f t="shared" si="322"/>
        <v>4.8913150907085621</v>
      </c>
      <c r="EQ114" s="4">
        <f t="shared" si="275"/>
        <v>4.8913150907085621</v>
      </c>
      <c r="ES114" s="4">
        <f t="shared" si="276"/>
        <v>57.022858574434863</v>
      </c>
      <c r="ET114" s="4">
        <f t="shared" si="184"/>
        <v>2.2449944320643649</v>
      </c>
      <c r="EU114" s="4">
        <f t="shared" si="277"/>
        <v>0.17044200350862856</v>
      </c>
      <c r="EX114" s="4">
        <f t="shared" si="185"/>
        <v>0.17044200350862856</v>
      </c>
      <c r="EY114" s="4">
        <f t="shared" si="278"/>
        <v>0.58808078243306638</v>
      </c>
      <c r="EZ114" s="4">
        <f t="shared" si="186"/>
        <v>3.9554913152518196</v>
      </c>
      <c r="FA114" s="4">
        <f t="shared" si="232"/>
        <v>4.4481097848672473</v>
      </c>
      <c r="FB114" s="4">
        <f t="shared" si="188"/>
        <v>95.377141425565114</v>
      </c>
      <c r="FC114" s="4">
        <f t="shared" si="189"/>
        <v>50.800000000000026</v>
      </c>
      <c r="FD114" s="4">
        <f t="shared" si="279"/>
        <v>1.4081086625805565E-5</v>
      </c>
      <c r="FE114" s="4">
        <f t="shared" si="233"/>
        <v>4.7850626802311398</v>
      </c>
      <c r="FF114" s="4">
        <f t="shared" si="280"/>
        <v>402.65205856028871</v>
      </c>
      <c r="FG114" s="4">
        <f t="shared" si="191"/>
        <v>95.377141425565114</v>
      </c>
      <c r="FH114" s="4">
        <f t="shared" si="192"/>
        <v>0</v>
      </c>
      <c r="FJ114" s="4">
        <f t="shared" si="281"/>
        <v>38.28050144184914</v>
      </c>
      <c r="FO114" s="23">
        <f t="shared" si="219"/>
        <v>2</v>
      </c>
      <c r="FP114" s="23">
        <f t="shared" si="219"/>
        <v>1</v>
      </c>
      <c r="FQ114" s="23">
        <f t="shared" si="229"/>
        <v>1.2</v>
      </c>
      <c r="FR114" s="23">
        <f t="shared" si="220"/>
        <v>1.2</v>
      </c>
      <c r="FS114" s="23">
        <f t="shared" si="220"/>
        <v>0.8</v>
      </c>
      <c r="FT114" s="23">
        <f t="shared" si="220"/>
        <v>1</v>
      </c>
      <c r="FU114" s="23">
        <f t="shared" si="221"/>
        <v>1</v>
      </c>
      <c r="FV114" s="23"/>
      <c r="GF114" s="4">
        <f t="shared" si="282"/>
        <v>1</v>
      </c>
      <c r="GG114" s="4">
        <f t="shared" si="283"/>
        <v>0.65</v>
      </c>
      <c r="GH114" s="4">
        <f t="shared" si="284"/>
        <v>0</v>
      </c>
      <c r="GI114" s="4">
        <f t="shared" si="285"/>
        <v>282.31171142156853</v>
      </c>
    </row>
    <row r="115" spans="1:196" ht="12" hidden="1" customHeight="1" x14ac:dyDescent="0.3">
      <c r="A115" s="25">
        <v>96</v>
      </c>
      <c r="B115" s="20" t="s">
        <v>54</v>
      </c>
      <c r="C115" s="20">
        <v>2006</v>
      </c>
      <c r="D115" s="20" t="s">
        <v>293</v>
      </c>
      <c r="E115" s="24"/>
      <c r="F115" s="24"/>
      <c r="G115" s="24"/>
      <c r="H115" s="7" t="s">
        <v>281</v>
      </c>
      <c r="I115" s="7"/>
      <c r="J115" s="7">
        <v>472</v>
      </c>
      <c r="K115" s="7">
        <f t="shared" si="323"/>
        <v>304.79999999999995</v>
      </c>
      <c r="L115" s="7">
        <f t="shared" si="148"/>
        <v>254</v>
      </c>
      <c r="M115" s="7">
        <v>29</v>
      </c>
      <c r="N115" s="7">
        <v>25.4</v>
      </c>
      <c r="O115" s="7">
        <v>12</v>
      </c>
      <c r="P115" s="7">
        <v>10</v>
      </c>
      <c r="Q115" s="7">
        <f t="shared" si="328"/>
        <v>914.4</v>
      </c>
      <c r="R115" s="7"/>
      <c r="S115" s="7">
        <f t="shared" si="324"/>
        <v>127</v>
      </c>
      <c r="T115" s="7"/>
      <c r="U115" s="7"/>
      <c r="V115" s="7"/>
      <c r="W115" s="7">
        <f t="shared" si="321"/>
        <v>101.6</v>
      </c>
      <c r="X115" s="7">
        <v>3</v>
      </c>
      <c r="Y115" s="7"/>
      <c r="Z115" s="7"/>
      <c r="AA115" s="7">
        <f t="shared" si="316"/>
        <v>50.8</v>
      </c>
      <c r="AB115" s="7">
        <f t="shared" si="301"/>
        <v>2.5</v>
      </c>
      <c r="AC115" s="7">
        <f t="shared" si="329"/>
        <v>2.5</v>
      </c>
      <c r="AD115" s="7">
        <v>4.7</v>
      </c>
      <c r="AE115" s="7">
        <f t="shared" si="172"/>
        <v>4.7</v>
      </c>
      <c r="AF115" s="7">
        <f t="shared" si="239"/>
        <v>5.7</v>
      </c>
      <c r="AG115" s="7">
        <f t="shared" si="240"/>
        <v>60.641668842471674</v>
      </c>
      <c r="AH115" s="7"/>
      <c r="AI115" s="7"/>
      <c r="AJ115" s="7">
        <v>457</v>
      </c>
      <c r="AK115" s="7"/>
      <c r="AL115" s="7">
        <f>CY115</f>
        <v>1.1164683616764477</v>
      </c>
      <c r="AM115" s="7">
        <v>0</v>
      </c>
      <c r="AN115" s="7">
        <v>0</v>
      </c>
      <c r="AO115" s="7">
        <f t="shared" si="298"/>
        <v>254</v>
      </c>
      <c r="AP115" s="7"/>
      <c r="AQ115" s="7"/>
      <c r="AR115" s="7"/>
      <c r="AS115" s="4">
        <f t="shared" si="292"/>
        <v>304.79999999999995</v>
      </c>
      <c r="AT115" s="44">
        <f t="shared" si="317"/>
        <v>0.27777777777777785</v>
      </c>
      <c r="AU115" s="25">
        <f t="shared" si="241"/>
        <v>188.51368095394432</v>
      </c>
      <c r="AV115" s="4">
        <f t="shared" si="242"/>
        <v>0.74166666666666659</v>
      </c>
      <c r="AW115" s="4">
        <v>1.25</v>
      </c>
      <c r="AX115" s="25">
        <f t="shared" si="325"/>
        <v>5</v>
      </c>
      <c r="AY115" s="38">
        <f t="shared" si="287"/>
        <v>242.73318294127671</v>
      </c>
      <c r="AZ115" s="38">
        <f t="shared" si="288"/>
        <v>242.73318294127671</v>
      </c>
      <c r="BB115" s="38">
        <f t="shared" si="318"/>
        <v>242.73318294127648</v>
      </c>
      <c r="BC115" s="38">
        <f t="shared" si="243"/>
        <v>1.0000000000000009</v>
      </c>
      <c r="BD115" s="38">
        <f t="shared" si="155"/>
        <v>1.2950537101138442</v>
      </c>
      <c r="BE115" s="4">
        <f t="shared" si="330"/>
        <v>0</v>
      </c>
      <c r="BF115" s="4">
        <f t="shared" si="244"/>
        <v>283.42972669128966</v>
      </c>
      <c r="BG115" s="4">
        <f t="shared" si="223"/>
        <v>1</v>
      </c>
      <c r="BH115" s="38">
        <f t="shared" si="245"/>
        <v>314.35250913584258</v>
      </c>
      <c r="BI115" s="4">
        <f t="shared" si="224"/>
        <v>0.34199999999999997</v>
      </c>
      <c r="BJ115" s="4">
        <f t="shared" si="246"/>
        <v>50.647475011100013</v>
      </c>
      <c r="BK115" s="4">
        <f t="shared" si="247"/>
        <v>364.99998414694261</v>
      </c>
      <c r="BM115" s="36">
        <f t="shared" si="319"/>
        <v>1.1274999999999999</v>
      </c>
      <c r="BN115" s="36">
        <f t="shared" si="249"/>
        <v>230.7273861616778</v>
      </c>
      <c r="BS115" s="4">
        <f t="shared" si="174"/>
        <v>57.199999999999996</v>
      </c>
      <c r="BT115" s="4">
        <f t="shared" si="175"/>
        <v>50.8</v>
      </c>
      <c r="BU115" s="4">
        <f t="shared" si="176"/>
        <v>57.199999999999996</v>
      </c>
      <c r="BV115" s="4">
        <f t="shared" si="250"/>
        <v>63.5</v>
      </c>
      <c r="BW115" s="4">
        <f t="shared" si="177"/>
        <v>1.0125984251968505</v>
      </c>
      <c r="BX115" s="25">
        <f t="shared" si="251"/>
        <v>2.5314960629921264</v>
      </c>
      <c r="BZ115" s="4">
        <f t="shared" si="178"/>
        <v>50.8</v>
      </c>
      <c r="CD115" s="9"/>
      <c r="CF115" s="9"/>
      <c r="CG115" s="9"/>
      <c r="CH115" s="9">
        <f t="shared" si="230"/>
        <v>50.8</v>
      </c>
      <c r="CI115" s="9">
        <f t="shared" si="231"/>
        <v>127</v>
      </c>
      <c r="CJ115" s="9">
        <f t="shared" si="252"/>
        <v>1.622579553879709</v>
      </c>
      <c r="CK115" s="70">
        <v>0</v>
      </c>
      <c r="CL115" s="9">
        <f t="shared" si="253"/>
        <v>0</v>
      </c>
      <c r="CM115" s="9">
        <f t="shared" si="254"/>
        <v>0</v>
      </c>
      <c r="CN115" s="9">
        <f t="shared" si="255"/>
        <v>0.99524931562137331</v>
      </c>
      <c r="CO115" s="9">
        <f t="shared" si="256"/>
        <v>1.056</v>
      </c>
      <c r="CP115" s="9">
        <f t="shared" si="257"/>
        <v>1.9809013552237766</v>
      </c>
      <c r="CQ115" s="9">
        <f t="shared" si="258"/>
        <v>3.2141700372387065</v>
      </c>
      <c r="CR115" s="9">
        <v>1</v>
      </c>
      <c r="CS115" s="9">
        <f t="shared" si="259"/>
        <v>321.41700372387061</v>
      </c>
      <c r="CU115" s="4">
        <f t="shared" si="209"/>
        <v>1.6123926213913415</v>
      </c>
      <c r="CV115" s="4">
        <f t="shared" si="331"/>
        <v>1.2520548489010888</v>
      </c>
      <c r="CW115" s="4">
        <f t="shared" si="211"/>
        <v>1.9806924856322257</v>
      </c>
      <c r="CX115" s="4">
        <f t="shared" si="212"/>
        <v>1.4218289471474532</v>
      </c>
      <c r="CY115" s="4">
        <f t="shared" si="213"/>
        <v>1.1164683616764477</v>
      </c>
      <c r="CZ115" s="4">
        <f t="shared" si="214"/>
        <v>1.2021807798100808</v>
      </c>
      <c r="DA115" s="4">
        <f t="shared" si="162"/>
        <v>1.0697592602127863</v>
      </c>
      <c r="DC115" s="4">
        <f t="shared" si="215"/>
        <v>1.6123926213913415</v>
      </c>
      <c r="DD115" s="4">
        <f t="shared" si="215"/>
        <v>1.2520548489010888</v>
      </c>
      <c r="DE115" s="4">
        <f t="shared" si="216"/>
        <v>1.4218289471474532</v>
      </c>
      <c r="DF115" s="4">
        <f t="shared" si="332"/>
        <v>1.0697592602127863</v>
      </c>
      <c r="DG115" s="4">
        <f t="shared" si="218"/>
        <v>1.1164683616764477</v>
      </c>
      <c r="DH115" s="4">
        <f t="shared" si="218"/>
        <v>1.2021807798100808</v>
      </c>
      <c r="DP115" s="4">
        <f t="shared" si="182"/>
        <v>0</v>
      </c>
      <c r="DQ115" s="4">
        <f t="shared" si="260"/>
        <v>304.79999999999995</v>
      </c>
      <c r="DR115" s="4">
        <f t="shared" si="261"/>
        <v>0.83333333333333348</v>
      </c>
      <c r="DT115" s="4">
        <f t="shared" si="262"/>
        <v>2.1275316934420354E-5</v>
      </c>
      <c r="DU115" s="4">
        <f t="shared" si="183"/>
        <v>4.9778937606367135</v>
      </c>
      <c r="DV115" s="4">
        <f>EC115*AG115/257/M115/AD115</f>
        <v>0.42021477277474967</v>
      </c>
      <c r="DW115" s="4">
        <f t="shared" si="263"/>
        <v>3.5191205972774449</v>
      </c>
      <c r="DX115" s="4">
        <f t="shared" si="264"/>
        <v>4.310841737072364</v>
      </c>
      <c r="DY115" s="4">
        <f>MAX(DU115/2, (4-DT115*(8*AG115*(DW115-DX115)+6*K115*DX115))/(4+DT115*K115*DU115)*DU115)</f>
        <v>4.7410699998847159</v>
      </c>
      <c r="DZ115" s="38">
        <f t="shared" si="266"/>
        <v>409.3264222138688</v>
      </c>
      <c r="EA115" s="4">
        <f t="shared" si="267"/>
        <v>1.0001148737284835</v>
      </c>
      <c r="EB115" s="4">
        <f>AG115/N115</f>
        <v>2.3874672772626644</v>
      </c>
      <c r="EC115" s="4">
        <f t="shared" si="291"/>
        <v>242.73318294127648</v>
      </c>
      <c r="EG115" s="4">
        <f t="shared" si="268"/>
        <v>1</v>
      </c>
      <c r="EH115" s="4">
        <f t="shared" si="269"/>
        <v>0.9</v>
      </c>
      <c r="EI115" s="4">
        <f t="shared" si="270"/>
        <v>1</v>
      </c>
      <c r="EJ115" s="4">
        <f t="shared" si="271"/>
        <v>0.9</v>
      </c>
      <c r="EL115" s="4">
        <f t="shared" si="272"/>
        <v>380.14249410325488</v>
      </c>
      <c r="EM115" s="25">
        <f t="shared" si="320"/>
        <v>238.86738872505268</v>
      </c>
      <c r="EP115" s="4">
        <f t="shared" si="322"/>
        <v>4.9778937606367135</v>
      </c>
      <c r="EQ115" s="4">
        <f t="shared" si="275"/>
        <v>4.9778937606367135</v>
      </c>
      <c r="ES115" s="4">
        <f t="shared" si="276"/>
        <v>60.641668842471674</v>
      </c>
      <c r="ET115" s="4">
        <f t="shared" si="184"/>
        <v>2.3874672772626644</v>
      </c>
      <c r="EU115" s="4">
        <f t="shared" si="277"/>
        <v>0.12373870895460494</v>
      </c>
      <c r="EX115" s="4">
        <f t="shared" si="185"/>
        <v>0.12373870895460494</v>
      </c>
      <c r="EY115" s="4">
        <f t="shared" si="278"/>
        <v>0.41951351263637587</v>
      </c>
      <c r="EZ115" s="4">
        <f t="shared" si="186"/>
        <v>3.5167703176044887</v>
      </c>
      <c r="FA115" s="4">
        <f t="shared" si="232"/>
        <v>4.3098838742637779</v>
      </c>
      <c r="FB115" s="4">
        <f t="shared" si="188"/>
        <v>167.95833115752828</v>
      </c>
      <c r="FC115" s="4">
        <f t="shared" si="189"/>
        <v>76.199999999999989</v>
      </c>
      <c r="FD115" s="4">
        <f t="shared" si="279"/>
        <v>2.1275316934420354E-5</v>
      </c>
      <c r="FE115" s="4">
        <f t="shared" si="233"/>
        <v>4.7411337505899471</v>
      </c>
      <c r="FF115" s="4">
        <f t="shared" si="280"/>
        <v>409.27940676242247</v>
      </c>
      <c r="FG115" s="4">
        <f t="shared" si="191"/>
        <v>167.95833115752828</v>
      </c>
      <c r="FH115" s="4">
        <f t="shared" si="192"/>
        <v>25.400000000000048</v>
      </c>
      <c r="FJ115" s="4">
        <f t="shared" si="281"/>
        <v>37.929070004719506</v>
      </c>
      <c r="FO115" s="23">
        <f t="shared" si="219"/>
        <v>1.8</v>
      </c>
      <c r="FP115" s="23">
        <f t="shared" si="219"/>
        <v>1.4</v>
      </c>
      <c r="FQ115" s="23">
        <f t="shared" si="229"/>
        <v>1.2</v>
      </c>
      <c r="FR115" s="23">
        <f t="shared" si="220"/>
        <v>1.6</v>
      </c>
      <c r="FS115" s="23">
        <f t="shared" si="220"/>
        <v>1.2</v>
      </c>
      <c r="FT115" s="23">
        <f t="shared" si="220"/>
        <v>1.4</v>
      </c>
      <c r="FU115" s="23">
        <f t="shared" si="221"/>
        <v>0</v>
      </c>
      <c r="FV115" s="23"/>
      <c r="GF115" s="4">
        <f t="shared" si="282"/>
        <v>1</v>
      </c>
      <c r="GG115" s="4">
        <f t="shared" si="283"/>
        <v>0.65</v>
      </c>
      <c r="GH115" s="4">
        <f t="shared" si="284"/>
        <v>0</v>
      </c>
      <c r="GI115" s="4">
        <f t="shared" si="285"/>
        <v>427.19891941771829</v>
      </c>
    </row>
    <row r="116" spans="1:196" ht="12" hidden="1" customHeight="1" x14ac:dyDescent="0.3">
      <c r="A116" s="25">
        <v>97</v>
      </c>
      <c r="B116" s="20" t="s">
        <v>54</v>
      </c>
      <c r="C116" s="20">
        <v>2006</v>
      </c>
      <c r="D116" s="20" t="s">
        <v>293</v>
      </c>
      <c r="E116" s="24"/>
      <c r="F116" s="24"/>
      <c r="G116" s="24"/>
      <c r="H116" s="7" t="s">
        <v>68</v>
      </c>
      <c r="I116" s="7"/>
      <c r="J116" s="7">
        <v>472</v>
      </c>
      <c r="K116" s="7">
        <f t="shared" si="323"/>
        <v>304.79999999999995</v>
      </c>
      <c r="L116" s="7">
        <f t="shared" si="148"/>
        <v>254</v>
      </c>
      <c r="M116" s="7">
        <v>26</v>
      </c>
      <c r="N116" s="7">
        <v>25.4</v>
      </c>
      <c r="O116" s="7">
        <v>12</v>
      </c>
      <c r="P116" s="7">
        <v>10</v>
      </c>
      <c r="Q116" s="7">
        <f t="shared" si="328"/>
        <v>914.4</v>
      </c>
      <c r="R116" s="7"/>
      <c r="S116" s="7">
        <f t="shared" si="324"/>
        <v>127</v>
      </c>
      <c r="T116" s="7"/>
      <c r="U116" s="7"/>
      <c r="V116" s="7"/>
      <c r="W116" s="7">
        <f t="shared" si="321"/>
        <v>101.6</v>
      </c>
      <c r="X116" s="7">
        <v>3</v>
      </c>
      <c r="Y116" s="7"/>
      <c r="Z116" s="7"/>
      <c r="AA116" s="7">
        <f t="shared" si="316"/>
        <v>50.8</v>
      </c>
      <c r="AB116" s="7">
        <f t="shared" si="301"/>
        <v>2.5</v>
      </c>
      <c r="AC116" s="7">
        <f t="shared" si="329"/>
        <v>2.5</v>
      </c>
      <c r="AD116" s="7">
        <v>4.04</v>
      </c>
      <c r="AE116" s="7">
        <f t="shared" si="172"/>
        <v>4.04</v>
      </c>
      <c r="AF116" s="7">
        <f t="shared" si="239"/>
        <v>5.04</v>
      </c>
      <c r="AG116" s="7">
        <f t="shared" si="240"/>
        <v>57.022858574434863</v>
      </c>
      <c r="AH116" s="7"/>
      <c r="AI116" s="7"/>
      <c r="AJ116" s="7">
        <v>352</v>
      </c>
      <c r="AK116" s="7"/>
      <c r="AL116" s="7">
        <f>CY116</f>
        <v>0.89784065148977055</v>
      </c>
      <c r="AM116" s="7">
        <v>0</v>
      </c>
      <c r="AN116" s="7">
        <v>0</v>
      </c>
      <c r="AO116" s="7">
        <f t="shared" si="298"/>
        <v>254</v>
      </c>
      <c r="AP116" s="7"/>
      <c r="AQ116" s="7"/>
      <c r="AR116" s="7"/>
      <c r="AS116" s="4">
        <f t="shared" si="292"/>
        <v>304.79999999999995</v>
      </c>
      <c r="AT116" s="44">
        <f t="shared" si="317"/>
        <v>0.27777777777777785</v>
      </c>
      <c r="AU116" s="25">
        <f t="shared" ref="AU116:AU147" si="333">MIN(10*M116^0.5*AS116^1.5,100*3.9*M116^0.5*AS116^(5/3))/(PI()/4*N116^2)/X116</f>
        <v>178.49684683556575</v>
      </c>
      <c r="AV116" s="4">
        <f t="shared" ref="AV116:AV147" si="334">MIN(0.7+0.3*(MIN(S116,AA116)+0.5*N116)/1.5/K116,1)</f>
        <v>0.74166666666666659</v>
      </c>
      <c r="AW116" s="4">
        <v>1.25</v>
      </c>
      <c r="AX116" s="25">
        <f t="shared" si="325"/>
        <v>5</v>
      </c>
      <c r="AY116" s="38">
        <f t="shared" si="287"/>
        <v>229.83534965806356</v>
      </c>
      <c r="AZ116" s="38">
        <f t="shared" si="288"/>
        <v>229.83534965806356</v>
      </c>
      <c r="BB116" s="38">
        <f t="shared" si="318"/>
        <v>229.83534965806339</v>
      </c>
      <c r="BC116" s="38">
        <f t="shared" si="243"/>
        <v>1.0000000000000007</v>
      </c>
      <c r="BD116" s="38">
        <f t="shared" si="155"/>
        <v>1.136886760621838</v>
      </c>
      <c r="BE116" s="4">
        <f t="shared" si="330"/>
        <v>0</v>
      </c>
      <c r="BF116" s="4">
        <f t="shared" si="244"/>
        <v>268.36944808383078</v>
      </c>
      <c r="BG116" s="4">
        <f t="shared" si="223"/>
        <v>1</v>
      </c>
      <c r="BH116" s="38">
        <f t="shared" si="245"/>
        <v>261.29676614914314</v>
      </c>
      <c r="BI116" s="4">
        <f t="shared" si="224"/>
        <v>0.43440000000000001</v>
      </c>
      <c r="BJ116" s="4">
        <f t="shared" si="246"/>
        <v>60.912887109379405</v>
      </c>
      <c r="BK116" s="4">
        <f t="shared" si="247"/>
        <v>322.20965325852256</v>
      </c>
      <c r="BM116" s="36">
        <f t="shared" si="319"/>
        <v>1.1274999999999999</v>
      </c>
      <c r="BN116" s="36">
        <f t="shared" ref="BN116:BN147" si="335">(1.6*P116+22)*BM116*M116^0.5</f>
        <v>218.46749105988283</v>
      </c>
      <c r="BS116" s="4">
        <f t="shared" si="174"/>
        <v>57.199999999999996</v>
      </c>
      <c r="BT116" s="4">
        <f t="shared" si="175"/>
        <v>50.8</v>
      </c>
      <c r="BU116" s="4">
        <f t="shared" si="176"/>
        <v>57.199999999999996</v>
      </c>
      <c r="BV116" s="4">
        <f t="shared" ref="BV116:BV147" si="336">BT116+N116/2</f>
        <v>63.5</v>
      </c>
      <c r="BW116" s="4">
        <f t="shared" si="177"/>
        <v>1.0125984251968505</v>
      </c>
      <c r="BX116" s="25">
        <f t="shared" ref="BX116:BX147" si="337">MIN(4, (BV116*BW116+(6*M116^0.5*(0.03*N116+0.22)*(AM116^2/4*PI())*2/AO116/X116))/N116)</f>
        <v>2.5314960629921264</v>
      </c>
      <c r="BZ116" s="4">
        <f t="shared" si="178"/>
        <v>50.8</v>
      </c>
      <c r="CD116" s="9"/>
      <c r="CF116" s="9"/>
      <c r="CG116" s="9"/>
      <c r="CH116" s="9">
        <f t="shared" si="230"/>
        <v>50.8</v>
      </c>
      <c r="CI116" s="9">
        <f t="shared" si="231"/>
        <v>127</v>
      </c>
      <c r="CJ116" s="9">
        <f t="shared" si="252"/>
        <v>1.622579553879709</v>
      </c>
      <c r="CK116" s="70">
        <v>0</v>
      </c>
      <c r="CL116" s="9">
        <f t="shared" si="253"/>
        <v>0</v>
      </c>
      <c r="CM116" s="9">
        <f t="shared" si="254"/>
        <v>0</v>
      </c>
      <c r="CN116" s="9">
        <f t="shared" si="255"/>
        <v>0.99524931562137331</v>
      </c>
      <c r="CO116" s="9">
        <f t="shared" si="256"/>
        <v>1.056</v>
      </c>
      <c r="CP116" s="9">
        <f t="shared" si="257"/>
        <v>1.8756444837875041</v>
      </c>
      <c r="CQ116" s="9">
        <f t="shared" si="258"/>
        <v>3.0433823897408656</v>
      </c>
      <c r="CR116" s="9">
        <v>1</v>
      </c>
      <c r="CS116" s="9">
        <f t="shared" si="259"/>
        <v>304.33823897408661</v>
      </c>
      <c r="CU116" s="4">
        <f t="shared" si="209"/>
        <v>1.3116247118041748</v>
      </c>
      <c r="CV116" s="4">
        <f t="shared" si="331"/>
        <v>1.0924564066911284</v>
      </c>
      <c r="CW116" s="4">
        <f t="shared" si="211"/>
        <v>1.6112237033175585</v>
      </c>
      <c r="CX116" s="4">
        <f t="shared" si="212"/>
        <v>1.1566078623132587</v>
      </c>
      <c r="CY116" s="4">
        <f t="shared" si="213"/>
        <v>0.89784065148977055</v>
      </c>
      <c r="CZ116" s="4">
        <f t="shared" si="214"/>
        <v>0.97816940092545301</v>
      </c>
      <c r="DA116" s="4">
        <f t="shared" si="162"/>
        <v>0.846776273098786</v>
      </c>
      <c r="DC116" s="4">
        <f t="shared" si="215"/>
        <v>1.3116247118041748</v>
      </c>
      <c r="DD116" s="4">
        <f t="shared" si="215"/>
        <v>1.0924564066911284</v>
      </c>
      <c r="DE116" s="4">
        <f t="shared" si="216"/>
        <v>1.1566078623132587</v>
      </c>
      <c r="DF116" s="4">
        <f t="shared" si="332"/>
        <v>0.846776273098786</v>
      </c>
      <c r="DG116" s="4">
        <f t="shared" si="218"/>
        <v>0.89784065148977055</v>
      </c>
      <c r="DH116" s="4">
        <f t="shared" si="218"/>
        <v>0.97816940092545301</v>
      </c>
      <c r="DP116" s="4">
        <f t="shared" si="182"/>
        <v>0</v>
      </c>
      <c r="DQ116" s="4">
        <f t="shared" ref="DQ116:DQ147" si="338">K116</f>
        <v>304.79999999999995</v>
      </c>
      <c r="DR116" s="4">
        <f t="shared" ref="DR116:DR147" si="339">L116/K116</f>
        <v>0.83333333333333348</v>
      </c>
      <c r="DT116" s="4">
        <f t="shared" si="262"/>
        <v>2.0812659450250191E-5</v>
      </c>
      <c r="DU116" s="4">
        <f t="shared" si="183"/>
        <v>4.7133891591304096</v>
      </c>
      <c r="DV116" s="4">
        <f>EC116*AG116/257/M116/AD116</f>
        <v>0.48548741257573685</v>
      </c>
      <c r="DW116" s="4">
        <f t="shared" si="263"/>
        <v>3.5302420875441731</v>
      </c>
      <c r="DX116" s="4">
        <f t="shared" si="264"/>
        <v>4.1641367211228433</v>
      </c>
      <c r="DY116" s="4">
        <f>MAX(DU116/2, (4-DT116*(8*AG116*(DW116-DX116)+6*K116*DX116))/(4+DT116*K116*DU116)*DU116)</f>
        <v>4.5000789838262119</v>
      </c>
      <c r="DZ116" s="38">
        <f t="shared" si="266"/>
        <v>392.05175151730191</v>
      </c>
      <c r="EA116" s="4">
        <f t="shared" si="267"/>
        <v>1.0001210089514805</v>
      </c>
      <c r="EB116" s="4">
        <f>AG116/N116</f>
        <v>2.2449944320643649</v>
      </c>
      <c r="EC116" s="4">
        <f t="shared" si="291"/>
        <v>229.83534965806339</v>
      </c>
      <c r="EG116" s="4">
        <f t="shared" si="268"/>
        <v>1</v>
      </c>
      <c r="EH116" s="4">
        <f t="shared" si="269"/>
        <v>0.9</v>
      </c>
      <c r="EI116" s="4">
        <f t="shared" ref="EI116:EI147" si="340">MIN(1,MAX(0.7,1-0.3*(PI()*AM116^2/4*AN116*2-0.25*PI()/4*N116^2)/(PI()/4*N116^2)))</f>
        <v>1</v>
      </c>
      <c r="EJ116" s="4">
        <f t="shared" si="271"/>
        <v>0.9</v>
      </c>
      <c r="EL116" s="4">
        <f t="shared" ref="EL116:EL147" si="341">MIN(DU116/N116*3*K116+EM116-FJ116,MAX(J116,AJ116))</f>
        <v>359.85586920524224</v>
      </c>
      <c r="EM116" s="25">
        <f t="shared" si="320"/>
        <v>226.1749676920474</v>
      </c>
      <c r="EP116" s="4">
        <f t="shared" si="322"/>
        <v>4.7133891591304096</v>
      </c>
      <c r="EQ116" s="4">
        <f t="shared" ref="EQ116:EQ147" si="342">IF(N116&lt;22.2,1.1*5*(M116/30)^0.5,IF(N116&gt;=31.8,0.9*5*(M116/30)^0.5,1*5*(M116/30)^0.5))*BX116/2.5</f>
        <v>4.7133891591304096</v>
      </c>
      <c r="ES116" s="4">
        <f t="shared" si="276"/>
        <v>57.022858574434863</v>
      </c>
      <c r="ET116" s="4">
        <f t="shared" si="184"/>
        <v>2.2449944320643649</v>
      </c>
      <c r="EU116" s="4">
        <f t="shared" si="277"/>
        <v>0.13536298215194248</v>
      </c>
      <c r="EX116" s="4">
        <f t="shared" si="185"/>
        <v>0.13536298215194248</v>
      </c>
      <c r="EY116" s="4">
        <f t="shared" si="278"/>
        <v>0.48467722456670143</v>
      </c>
      <c r="EZ116" s="4">
        <f t="shared" si="186"/>
        <v>3.5278843802733877</v>
      </c>
      <c r="FA116" s="4">
        <f t="shared" si="232"/>
        <v>4.1631382619256057</v>
      </c>
      <c r="FB116" s="4">
        <f t="shared" si="188"/>
        <v>171.57714142556512</v>
      </c>
      <c r="FC116" s="4">
        <f t="shared" si="189"/>
        <v>76.199999999999989</v>
      </c>
      <c r="FD116" s="4">
        <f t="shared" si="279"/>
        <v>2.0812659450250191E-5</v>
      </c>
      <c r="FE116" s="4">
        <f t="shared" si="233"/>
        <v>4.5001385269374961</v>
      </c>
      <c r="FF116" s="4">
        <f t="shared" ref="FF116:FF147" si="343">MIN(4/N116*(1*EZ116*ES116+FA116*FG116+FH116*FE116)+EC116,MAX(J116,AJ116))</f>
        <v>392.00431548610914</v>
      </c>
      <c r="FG116" s="4">
        <f t="shared" si="191"/>
        <v>171.57714142556512</v>
      </c>
      <c r="FH116" s="4">
        <f t="shared" si="192"/>
        <v>25.40000000000002</v>
      </c>
      <c r="FJ116" s="4">
        <f t="shared" si="281"/>
        <v>36.001108215499926</v>
      </c>
      <c r="FO116" s="23">
        <f t="shared" si="219"/>
        <v>1.4</v>
      </c>
      <c r="FP116" s="23">
        <f t="shared" si="219"/>
        <v>1.2</v>
      </c>
      <c r="FQ116" s="23">
        <f t="shared" si="229"/>
        <v>1</v>
      </c>
      <c r="FR116" s="23">
        <f t="shared" si="220"/>
        <v>1.2</v>
      </c>
      <c r="FS116" s="23">
        <f t="shared" si="220"/>
        <v>1</v>
      </c>
      <c r="FT116" s="23">
        <f t="shared" si="220"/>
        <v>1</v>
      </c>
      <c r="FU116" s="23">
        <f t="shared" si="221"/>
        <v>0</v>
      </c>
      <c r="FV116" s="23"/>
      <c r="GF116" s="4">
        <f t="shared" si="282"/>
        <v>1</v>
      </c>
      <c r="GG116" s="4">
        <f t="shared" si="283"/>
        <v>0.65</v>
      </c>
      <c r="GH116" s="4">
        <f t="shared" si="284"/>
        <v>0</v>
      </c>
      <c r="GI116" s="4">
        <f t="shared" si="285"/>
        <v>415.69421721259687</v>
      </c>
    </row>
    <row r="117" spans="1:196" ht="12" hidden="1" customHeight="1" x14ac:dyDescent="0.3">
      <c r="A117" s="25">
        <v>98</v>
      </c>
      <c r="B117" s="20" t="s">
        <v>54</v>
      </c>
      <c r="C117" s="20">
        <v>2006</v>
      </c>
      <c r="D117" s="20" t="s">
        <v>293</v>
      </c>
      <c r="E117" s="24"/>
      <c r="F117" s="24"/>
      <c r="G117" s="24"/>
      <c r="H117" s="7" t="s">
        <v>68</v>
      </c>
      <c r="I117" s="7"/>
      <c r="J117" s="7">
        <v>472</v>
      </c>
      <c r="K117" s="7">
        <f t="shared" si="323"/>
        <v>355.59999999999997</v>
      </c>
      <c r="L117" s="7">
        <f t="shared" ref="L117" si="344">N117*P117</f>
        <v>304.79999999999995</v>
      </c>
      <c r="M117" s="7">
        <v>24</v>
      </c>
      <c r="N117" s="7">
        <v>25.4</v>
      </c>
      <c r="O117" s="7">
        <v>14</v>
      </c>
      <c r="P117" s="7">
        <v>12</v>
      </c>
      <c r="Q117" s="7">
        <f t="shared" si="328"/>
        <v>914.4</v>
      </c>
      <c r="R117" s="7"/>
      <c r="S117" s="7">
        <f t="shared" si="324"/>
        <v>127</v>
      </c>
      <c r="T117" s="7"/>
      <c r="U117" s="7"/>
      <c r="V117" s="7"/>
      <c r="W117" s="7">
        <f t="shared" si="321"/>
        <v>101.6</v>
      </c>
      <c r="X117" s="7">
        <v>3</v>
      </c>
      <c r="Y117" s="7"/>
      <c r="Z117" s="7"/>
      <c r="AA117" s="7">
        <f t="shared" si="316"/>
        <v>50.8</v>
      </c>
      <c r="AB117" s="7">
        <f t="shared" si="301"/>
        <v>2.5</v>
      </c>
      <c r="AC117" s="7">
        <f t="shared" si="329"/>
        <v>2.5</v>
      </c>
      <c r="AD117" s="7">
        <v>4.04</v>
      </c>
      <c r="AE117" s="7">
        <f t="shared" si="172"/>
        <v>4.04</v>
      </c>
      <c r="AF117" s="7">
        <f t="shared" si="239"/>
        <v>5.04</v>
      </c>
      <c r="AG117" s="7">
        <f t="shared" si="240"/>
        <v>57.022858574434863</v>
      </c>
      <c r="AH117" s="7"/>
      <c r="AI117" s="7"/>
      <c r="AJ117" s="7">
        <v>448</v>
      </c>
      <c r="AK117" s="7"/>
      <c r="AL117" s="7">
        <f>CY117</f>
        <v>1.1499959349398579</v>
      </c>
      <c r="AM117" s="7">
        <v>0</v>
      </c>
      <c r="AN117" s="7">
        <v>0</v>
      </c>
      <c r="AO117" s="7">
        <f t="shared" si="298"/>
        <v>304.79999999999995</v>
      </c>
      <c r="AP117" s="7"/>
      <c r="AQ117" s="7"/>
      <c r="AR117" s="7"/>
      <c r="AS117" s="4">
        <f t="shared" si="292"/>
        <v>355.59999999999997</v>
      </c>
      <c r="AT117" s="44">
        <f t="shared" si="317"/>
        <v>0.20408163265306123</v>
      </c>
      <c r="AU117" s="25">
        <f t="shared" si="333"/>
        <v>216.10742071360642</v>
      </c>
      <c r="AV117" s="4">
        <f t="shared" si="334"/>
        <v>0.73571428571428565</v>
      </c>
      <c r="AW117" s="4">
        <v>1.25</v>
      </c>
      <c r="AX117" s="25">
        <f t="shared" si="325"/>
        <v>5</v>
      </c>
      <c r="AY117" s="38">
        <f t="shared" si="287"/>
        <v>202.79759779064742</v>
      </c>
      <c r="AZ117" s="38">
        <f t="shared" si="288"/>
        <v>202.79759779064742</v>
      </c>
      <c r="BB117" s="38">
        <f t="shared" si="318"/>
        <v>202.79759779064733</v>
      </c>
      <c r="BC117" s="38">
        <f t="shared" si="243"/>
        <v>1.0000000000000004</v>
      </c>
      <c r="BD117" s="38">
        <f t="shared" ref="BD117:BD153" si="345">BH117/BB117</f>
        <v>1.1893484811190644</v>
      </c>
      <c r="BE117" s="4">
        <f t="shared" si="330"/>
        <v>0</v>
      </c>
      <c r="BF117" s="4">
        <f t="shared" si="244"/>
        <v>309.40923066734877</v>
      </c>
      <c r="BG117" s="4">
        <f t="shared" si="223"/>
        <v>1</v>
      </c>
      <c r="BH117" s="38">
        <f t="shared" si="245"/>
        <v>241.19701490690136</v>
      </c>
      <c r="BI117" s="4">
        <f t="shared" si="224"/>
        <v>0.43440000000000001</v>
      </c>
      <c r="BJ117" s="4">
        <f t="shared" si="246"/>
        <v>70.227850721490825</v>
      </c>
      <c r="BK117" s="4">
        <f t="shared" si="247"/>
        <v>311.42486562839218</v>
      </c>
      <c r="BM117" s="36">
        <f t="shared" si="319"/>
        <v>1.1274999999999999</v>
      </c>
      <c r="BN117" s="36">
        <f t="shared" si="335"/>
        <v>227.57229404301393</v>
      </c>
      <c r="BS117" s="4">
        <f t="shared" si="174"/>
        <v>57.199999999999996</v>
      </c>
      <c r="BT117" s="4">
        <f t="shared" si="175"/>
        <v>50.8</v>
      </c>
      <c r="BU117" s="4">
        <f t="shared" si="176"/>
        <v>57.199999999999996</v>
      </c>
      <c r="BV117" s="4">
        <f t="shared" si="336"/>
        <v>63.5</v>
      </c>
      <c r="BW117" s="4">
        <f t="shared" si="177"/>
        <v>1.0125984251968505</v>
      </c>
      <c r="BX117" s="25">
        <f t="shared" si="337"/>
        <v>2.5314960629921264</v>
      </c>
      <c r="BZ117" s="4">
        <f t="shared" si="178"/>
        <v>50.8</v>
      </c>
      <c r="CD117" s="9"/>
      <c r="CF117" s="9"/>
      <c r="CG117" s="9"/>
      <c r="CH117" s="9">
        <f t="shared" si="230"/>
        <v>50.8</v>
      </c>
      <c r="CI117" s="9">
        <f t="shared" si="231"/>
        <v>127</v>
      </c>
      <c r="CJ117" s="9">
        <f t="shared" si="252"/>
        <v>1.622579553879709</v>
      </c>
      <c r="CK117" s="70">
        <v>0</v>
      </c>
      <c r="CL117" s="9">
        <f t="shared" si="253"/>
        <v>0</v>
      </c>
      <c r="CM117" s="9">
        <f t="shared" si="254"/>
        <v>0</v>
      </c>
      <c r="CN117" s="9">
        <f t="shared" si="255"/>
        <v>0.99524931562137331</v>
      </c>
      <c r="CO117" s="9">
        <f t="shared" si="256"/>
        <v>1.056</v>
      </c>
      <c r="CP117" s="9">
        <f t="shared" si="257"/>
        <v>1.8020609303015322</v>
      </c>
      <c r="CQ117" s="9">
        <f t="shared" si="258"/>
        <v>2.9239872203527137</v>
      </c>
      <c r="CR117" s="9">
        <v>1</v>
      </c>
      <c r="CS117" s="9">
        <f t="shared" si="259"/>
        <v>315.79061979809308</v>
      </c>
      <c r="CU117" s="4">
        <f t="shared" si="209"/>
        <v>1.4479206035118344</v>
      </c>
      <c r="CV117" s="4">
        <f t="shared" si="331"/>
        <v>1.4385492279045442</v>
      </c>
      <c r="CW117" s="4">
        <f t="shared" si="211"/>
        <v>1.9686051937206492</v>
      </c>
      <c r="CX117" s="4">
        <f t="shared" si="212"/>
        <v>1.4186615178324093</v>
      </c>
      <c r="CY117" s="4">
        <f t="shared" si="213"/>
        <v>1.1499959349398579</v>
      </c>
      <c r="CZ117" s="4">
        <f t="shared" si="214"/>
        <v>1.2586178925728151</v>
      </c>
      <c r="DA117" s="4">
        <f t="shared" ref="DA117:DA153" si="346">AJ117/GI117</f>
        <v>0.94242710418345987</v>
      </c>
      <c r="DC117" s="4">
        <f t="shared" si="215"/>
        <v>1.4479206035118344</v>
      </c>
      <c r="DD117" s="4">
        <f t="shared" si="215"/>
        <v>1.4385492279045442</v>
      </c>
      <c r="DE117" s="4">
        <f t="shared" si="216"/>
        <v>1.4186615178324093</v>
      </c>
      <c r="DF117" s="4">
        <f t="shared" si="332"/>
        <v>0.94242710418345987</v>
      </c>
      <c r="DG117" s="4">
        <f t="shared" si="218"/>
        <v>1.1499959349398579</v>
      </c>
      <c r="DH117" s="4">
        <f t="shared" si="218"/>
        <v>1.2586178925728151</v>
      </c>
      <c r="DP117" s="4">
        <f t="shared" si="182"/>
        <v>0</v>
      </c>
      <c r="DQ117" s="4">
        <f t="shared" si="338"/>
        <v>355.59999999999997</v>
      </c>
      <c r="DR117" s="4">
        <f t="shared" si="339"/>
        <v>0.8571428571428571</v>
      </c>
      <c r="DT117" s="4">
        <f t="shared" si="262"/>
        <v>2.3917826242187019E-5</v>
      </c>
      <c r="DU117" s="4">
        <f t="shared" si="183"/>
        <v>4.5284778252987881</v>
      </c>
      <c r="DV117" s="4">
        <f>EC117*AG117/257/M117/AD117</f>
        <v>0.46407274282351607</v>
      </c>
      <c r="DW117" s="4">
        <f t="shared" si="263"/>
        <v>3.3310923253526261</v>
      </c>
      <c r="DX117" s="4">
        <f t="shared" si="264"/>
        <v>3.9752312241934411</v>
      </c>
      <c r="DY117" s="4">
        <f>MAX(DU117/2, (4-DT117*(8*AG117*(DW117-DX117)+6*K117*DX117))/(4+DT117*K117*DU117)*DU117)</f>
        <v>4.2656985083286569</v>
      </c>
      <c r="DZ117" s="38">
        <f t="shared" si="266"/>
        <v>389.56659444490072</v>
      </c>
      <c r="EA117" s="4">
        <f t="shared" si="267"/>
        <v>1.0001277345891553</v>
      </c>
      <c r="EB117" s="4">
        <f>AG117/N117</f>
        <v>2.2449944320643649</v>
      </c>
      <c r="EC117" s="4">
        <f t="shared" si="291"/>
        <v>202.79759779064733</v>
      </c>
      <c r="EG117" s="4">
        <f t="shared" si="268"/>
        <v>1</v>
      </c>
      <c r="EH117" s="4">
        <f t="shared" si="269"/>
        <v>0.9</v>
      </c>
      <c r="EI117" s="4">
        <f t="shared" si="340"/>
        <v>1</v>
      </c>
      <c r="EJ117" s="4">
        <f t="shared" si="271"/>
        <v>0.9</v>
      </c>
      <c r="EL117" s="4">
        <f t="shared" si="341"/>
        <v>355.94599651226696</v>
      </c>
      <c r="EM117" s="25">
        <f t="shared" si="320"/>
        <v>199.87606876269541</v>
      </c>
      <c r="EP117" s="4">
        <f t="shared" si="322"/>
        <v>4.5284778252987881</v>
      </c>
      <c r="EQ117" s="4">
        <f t="shared" si="342"/>
        <v>4.5284778252987881</v>
      </c>
      <c r="ES117" s="4">
        <f t="shared" si="276"/>
        <v>57.022858574434863</v>
      </c>
      <c r="ET117" s="4">
        <f t="shared" si="184"/>
        <v>2.2449944320643649</v>
      </c>
      <c r="EU117" s="4">
        <f t="shared" si="277"/>
        <v>0.12431597694767015</v>
      </c>
      <c r="EX117" s="4">
        <f t="shared" si="185"/>
        <v>0.12431597694767015</v>
      </c>
      <c r="EY117" s="4">
        <f t="shared" si="278"/>
        <v>0.4632982919071455</v>
      </c>
      <c r="EZ117" s="4">
        <f t="shared" si="186"/>
        <v>3.3288676222301832</v>
      </c>
      <c r="FA117" s="4">
        <f t="shared" si="232"/>
        <v>3.974300138507024</v>
      </c>
      <c r="FB117" s="4">
        <f t="shared" si="188"/>
        <v>209.67714142556514</v>
      </c>
      <c r="FC117" s="4">
        <f t="shared" si="189"/>
        <v>88.899999999999977</v>
      </c>
      <c r="FD117" s="4">
        <f t="shared" si="279"/>
        <v>2.3917826242187016E-5</v>
      </c>
      <c r="FE117" s="4">
        <f t="shared" si="233"/>
        <v>4.2657676141221827</v>
      </c>
      <c r="FF117" s="4">
        <f t="shared" si="343"/>
        <v>389.51683967141622</v>
      </c>
      <c r="FG117" s="4">
        <f t="shared" si="191"/>
        <v>209.67714142556514</v>
      </c>
      <c r="FH117" s="4">
        <f t="shared" si="192"/>
        <v>38.099999999999952</v>
      </c>
      <c r="FJ117" s="4">
        <f t="shared" si="281"/>
        <v>34.126140912977519</v>
      </c>
      <c r="FO117" s="23">
        <f t="shared" si="219"/>
        <v>1.6</v>
      </c>
      <c r="FP117" s="23">
        <f t="shared" si="219"/>
        <v>1.6</v>
      </c>
      <c r="FQ117" s="23">
        <f t="shared" si="229"/>
        <v>1</v>
      </c>
      <c r="FR117" s="23">
        <f t="shared" si="220"/>
        <v>1.6</v>
      </c>
      <c r="FS117" s="23">
        <f t="shared" si="220"/>
        <v>1.2</v>
      </c>
      <c r="FT117" s="23">
        <f t="shared" si="220"/>
        <v>1.4</v>
      </c>
      <c r="FU117" s="23">
        <f t="shared" si="221"/>
        <v>0</v>
      </c>
      <c r="FV117" s="23"/>
      <c r="GF117" s="4">
        <f t="shared" si="282"/>
        <v>1</v>
      </c>
      <c r="GG117" s="4">
        <f t="shared" si="283"/>
        <v>0.65</v>
      </c>
      <c r="GH117" s="4">
        <f t="shared" si="284"/>
        <v>0</v>
      </c>
      <c r="GI117" s="4">
        <f t="shared" si="285"/>
        <v>475.36833141928503</v>
      </c>
      <c r="GK117" s="4">
        <f>25.4^0.5/145^0.75/0.0024</f>
        <v>50.255039065656455</v>
      </c>
      <c r="GL117" s="4">
        <f>1/GK117</f>
        <v>1.989850209236799E-2</v>
      </c>
    </row>
    <row r="118" spans="1:196" s="19" customFormat="1" ht="12" hidden="1" customHeight="1" x14ac:dyDescent="0.3">
      <c r="A118" s="25">
        <v>99</v>
      </c>
      <c r="B118" s="20" t="s">
        <v>54</v>
      </c>
      <c r="C118" s="20">
        <v>2007</v>
      </c>
      <c r="D118" s="20" t="s">
        <v>293</v>
      </c>
      <c r="E118" s="20" t="s">
        <v>296</v>
      </c>
      <c r="F118" s="20"/>
      <c r="G118" s="20"/>
      <c r="H118" s="21" t="s">
        <v>68</v>
      </c>
      <c r="I118" s="21"/>
      <c r="J118" s="21">
        <v>472</v>
      </c>
      <c r="K118" s="21">
        <v>0</v>
      </c>
      <c r="L118" s="21">
        <v>0</v>
      </c>
      <c r="M118" s="21">
        <v>24</v>
      </c>
      <c r="N118" s="21">
        <v>25.4</v>
      </c>
      <c r="O118" s="21">
        <v>14</v>
      </c>
      <c r="P118" s="21">
        <v>12</v>
      </c>
      <c r="Q118" s="21">
        <f t="shared" si="328"/>
        <v>914.4</v>
      </c>
      <c r="R118" s="21"/>
      <c r="S118" s="21">
        <f t="shared" si="324"/>
        <v>127</v>
      </c>
      <c r="T118" s="21"/>
      <c r="U118" s="21"/>
      <c r="V118" s="21"/>
      <c r="W118" s="21">
        <f t="shared" si="321"/>
        <v>101.6</v>
      </c>
      <c r="X118" s="21">
        <v>3</v>
      </c>
      <c r="Y118" s="21"/>
      <c r="Z118" s="21"/>
      <c r="AA118" s="21">
        <f t="shared" si="316"/>
        <v>50.8</v>
      </c>
      <c r="AB118" s="21">
        <f t="shared" si="301"/>
        <v>2.5</v>
      </c>
      <c r="AC118" s="21">
        <f t="shared" si="329"/>
        <v>2.5</v>
      </c>
      <c r="AD118" s="21">
        <v>4.04</v>
      </c>
      <c r="AE118" s="21">
        <f t="shared" si="172"/>
        <v>4.04</v>
      </c>
      <c r="AF118" s="21">
        <f t="shared" si="239"/>
        <v>5.04</v>
      </c>
      <c r="AG118" s="21">
        <f t="shared" si="240"/>
        <v>57.022858574434863</v>
      </c>
      <c r="AH118" s="21"/>
      <c r="AI118" s="21"/>
      <c r="AJ118" s="21">
        <v>375</v>
      </c>
      <c r="AK118" s="21"/>
      <c r="AL118" s="21"/>
      <c r="AM118" s="7">
        <v>0</v>
      </c>
      <c r="AN118" s="7">
        <v>0</v>
      </c>
      <c r="AO118" s="7">
        <f t="shared" si="298"/>
        <v>0</v>
      </c>
      <c r="AP118" s="21"/>
      <c r="AQ118" s="21"/>
      <c r="AR118" s="21"/>
      <c r="AS118" s="19">
        <f t="shared" si="292"/>
        <v>0</v>
      </c>
      <c r="AT118" s="19" t="e">
        <f t="shared" si="317"/>
        <v>#DIV/0!</v>
      </c>
      <c r="AU118" s="19">
        <f t="shared" si="333"/>
        <v>0</v>
      </c>
      <c r="AV118" s="19" t="e">
        <f t="shared" si="334"/>
        <v>#DIV/0!</v>
      </c>
      <c r="AW118" s="19">
        <v>1.25</v>
      </c>
      <c r="AX118" s="19">
        <f t="shared" si="325"/>
        <v>5</v>
      </c>
      <c r="AY118" s="19" t="e">
        <f t="shared" si="287"/>
        <v>#DIV/0!</v>
      </c>
      <c r="AZ118" s="19" t="e">
        <f t="shared" si="288"/>
        <v>#DIV/0!</v>
      </c>
      <c r="BB118" s="19" t="e">
        <f t="shared" si="318"/>
        <v>#DIV/0!</v>
      </c>
      <c r="BC118" s="19" t="e">
        <f t="shared" si="243"/>
        <v>#DIV/0!</v>
      </c>
      <c r="BF118" s="19">
        <f t="shared" si="244"/>
        <v>0</v>
      </c>
      <c r="BG118" s="19">
        <f t="shared" si="223"/>
        <v>1</v>
      </c>
      <c r="BH118" s="19">
        <f t="shared" si="245"/>
        <v>241.19701490690136</v>
      </c>
      <c r="BI118" s="19">
        <f t="shared" si="224"/>
        <v>0.43440000000000001</v>
      </c>
      <c r="BJ118" s="19">
        <f t="shared" si="246"/>
        <v>0</v>
      </c>
      <c r="BK118" s="19">
        <f t="shared" si="247"/>
        <v>241.19701490690136</v>
      </c>
      <c r="BM118" s="19" t="e">
        <f t="shared" si="319"/>
        <v>#DIV/0!</v>
      </c>
      <c r="BN118" s="19" t="e">
        <f t="shared" si="335"/>
        <v>#DIV/0!</v>
      </c>
      <c r="BS118" s="19">
        <f t="shared" si="174"/>
        <v>57.199999999999996</v>
      </c>
      <c r="BT118" s="19">
        <f t="shared" si="175"/>
        <v>50.8</v>
      </c>
      <c r="BU118" s="19">
        <f t="shared" si="176"/>
        <v>57.199999999999996</v>
      </c>
      <c r="BV118" s="19">
        <f t="shared" si="336"/>
        <v>63.5</v>
      </c>
      <c r="BW118" s="19">
        <f t="shared" si="177"/>
        <v>1.0125984251968505</v>
      </c>
      <c r="BX118" s="25" t="e">
        <f t="shared" si="337"/>
        <v>#DIV/0!</v>
      </c>
      <c r="BZ118" s="19">
        <f t="shared" ref="BZ118:BZ153" si="347">IF(W118=0,S118,MIN(W118/2,S118))</f>
        <v>50.8</v>
      </c>
      <c r="CD118" s="18"/>
      <c r="CF118" s="18"/>
      <c r="CG118" s="18"/>
      <c r="CH118" s="18">
        <f>IF(W118=0,MIN(S118,U118),MIN(W118/2,S118,U118))</f>
        <v>50.8</v>
      </c>
      <c r="CI118" s="18">
        <f t="shared" si="231"/>
        <v>127</v>
      </c>
      <c r="CJ118" s="18">
        <f t="shared" si="252"/>
        <v>1.622579553879709</v>
      </c>
      <c r="CK118" s="70">
        <v>0</v>
      </c>
      <c r="CL118" s="18">
        <f t="shared" si="253"/>
        <v>0</v>
      </c>
      <c r="CM118" s="18">
        <f t="shared" si="254"/>
        <v>0</v>
      </c>
      <c r="CN118" s="18">
        <f t="shared" si="255"/>
        <v>0.99524931562137331</v>
      </c>
      <c r="CO118" s="18">
        <f t="shared" si="256"/>
        <v>1.056</v>
      </c>
      <c r="CP118" s="18">
        <f t="shared" si="257"/>
        <v>1.8020609303015322</v>
      </c>
      <c r="CQ118" s="18">
        <f t="shared" si="258"/>
        <v>2.9239872203527137</v>
      </c>
      <c r="CR118" s="18">
        <v>1</v>
      </c>
      <c r="CS118" s="18">
        <f t="shared" si="259"/>
        <v>315.79061979809308</v>
      </c>
      <c r="DP118" s="19">
        <f t="shared" si="182"/>
        <v>0</v>
      </c>
      <c r="DQ118" s="19">
        <f t="shared" si="338"/>
        <v>0</v>
      </c>
      <c r="DR118" s="19" t="e">
        <f t="shared" si="339"/>
        <v>#DIV/0!</v>
      </c>
      <c r="DT118" s="19">
        <f t="shared" si="262"/>
        <v>0</v>
      </c>
      <c r="DU118" s="19" t="e">
        <f t="shared" si="183"/>
        <v>#DIV/0!</v>
      </c>
      <c r="DZ118" s="38" t="e">
        <f t="shared" si="266"/>
        <v>#DIV/0!</v>
      </c>
      <c r="EA118" s="19" t="e">
        <f t="shared" si="267"/>
        <v>#DIV/0!</v>
      </c>
      <c r="EC118" s="4" t="e">
        <f t="shared" si="291"/>
        <v>#DIV/0!</v>
      </c>
      <c r="EG118" s="19">
        <f t="shared" si="268"/>
        <v>1</v>
      </c>
      <c r="EH118" s="19">
        <f t="shared" si="269"/>
        <v>0.9</v>
      </c>
      <c r="EI118" s="19">
        <f t="shared" si="340"/>
        <v>1</v>
      </c>
      <c r="EJ118" s="19">
        <f t="shared" si="271"/>
        <v>0.9</v>
      </c>
      <c r="EL118" s="4" t="e">
        <f t="shared" si="341"/>
        <v>#DIV/0!</v>
      </c>
      <c r="EM118" s="25" t="e">
        <f t="shared" si="320"/>
        <v>#DIV/0!</v>
      </c>
      <c r="EP118" s="19" t="e">
        <f t="shared" si="322"/>
        <v>#DIV/0!</v>
      </c>
      <c r="EQ118" s="19" t="e">
        <f t="shared" si="342"/>
        <v>#DIV/0!</v>
      </c>
      <c r="ES118" s="19">
        <f t="shared" si="276"/>
        <v>57.022858574434863</v>
      </c>
      <c r="ET118" s="19">
        <f t="shared" si="184"/>
        <v>2.2449944320643649</v>
      </c>
      <c r="EU118" s="19" t="e">
        <f t="shared" si="277"/>
        <v>#DIV/0!</v>
      </c>
      <c r="EX118" s="19" t="e">
        <f t="shared" ref="EX118:EX153" si="348">EU118</f>
        <v>#DIV/0!</v>
      </c>
      <c r="EY118" s="19" t="e">
        <f t="shared" si="278"/>
        <v>#DIV/0!</v>
      </c>
      <c r="EZ118" s="19" t="e">
        <f t="shared" si="186"/>
        <v>#DIV/0!</v>
      </c>
      <c r="FA118" s="19" t="e">
        <f t="shared" si="232"/>
        <v>#DIV/0!</v>
      </c>
      <c r="FB118" s="19">
        <f t="shared" si="188"/>
        <v>0</v>
      </c>
      <c r="FC118" s="19">
        <f t="shared" si="189"/>
        <v>0</v>
      </c>
      <c r="FD118" s="19">
        <f t="shared" si="279"/>
        <v>0</v>
      </c>
      <c r="FE118" s="19" t="e">
        <f t="shared" si="233"/>
        <v>#DIV/0!</v>
      </c>
      <c r="FF118" s="19" t="e">
        <f t="shared" si="343"/>
        <v>#DIV/0!</v>
      </c>
      <c r="FG118" s="19" t="e">
        <f t="shared" si="191"/>
        <v>#DIV/0!</v>
      </c>
      <c r="FH118" s="19" t="e">
        <f t="shared" si="192"/>
        <v>#DIV/0!</v>
      </c>
      <c r="FO118" s="22"/>
      <c r="FP118" s="22"/>
      <c r="FQ118" s="22"/>
      <c r="FR118" s="22"/>
      <c r="FS118" s="22"/>
      <c r="FT118" s="22"/>
      <c r="FU118" s="22"/>
      <c r="FV118" s="22"/>
      <c r="GF118" s="19">
        <f t="shared" si="282"/>
        <v>1</v>
      </c>
      <c r="GG118" s="19">
        <f t="shared" si="283"/>
        <v>0.75</v>
      </c>
      <c r="GH118" s="19">
        <f t="shared" si="284"/>
        <v>0</v>
      </c>
      <c r="GI118" s="19">
        <f t="shared" si="285"/>
        <v>0</v>
      </c>
    </row>
    <row r="119" spans="1:196" ht="12" hidden="1" customHeight="1" x14ac:dyDescent="0.3">
      <c r="A119" s="25">
        <v>100</v>
      </c>
      <c r="B119" s="20" t="s">
        <v>54</v>
      </c>
      <c r="C119" s="20">
        <v>2008</v>
      </c>
      <c r="D119" s="20" t="s">
        <v>293</v>
      </c>
      <c r="E119" s="24" t="s">
        <v>72</v>
      </c>
      <c r="F119" s="24"/>
      <c r="G119" s="24"/>
      <c r="H119" s="7" t="s">
        <v>281</v>
      </c>
      <c r="I119" s="7"/>
      <c r="J119" s="7">
        <v>472</v>
      </c>
      <c r="K119" s="7">
        <f t="shared" si="323"/>
        <v>203.2</v>
      </c>
      <c r="L119" s="7">
        <f>N119*P119</f>
        <v>152.39999999999998</v>
      </c>
      <c r="M119" s="7">
        <v>29</v>
      </c>
      <c r="N119" s="7">
        <v>25.4</v>
      </c>
      <c r="O119" s="7">
        <v>8</v>
      </c>
      <c r="P119" s="7">
        <v>6</v>
      </c>
      <c r="Q119" s="7">
        <f t="shared" si="328"/>
        <v>914.4</v>
      </c>
      <c r="R119" s="7"/>
      <c r="S119" s="7">
        <f t="shared" si="324"/>
        <v>127</v>
      </c>
      <c r="T119" s="7"/>
      <c r="U119" s="7"/>
      <c r="V119" s="7"/>
      <c r="W119" s="7">
        <f t="shared" si="321"/>
        <v>101.6</v>
      </c>
      <c r="X119" s="7">
        <v>3</v>
      </c>
      <c r="Y119" s="7"/>
      <c r="Z119" s="7"/>
      <c r="AA119" s="7">
        <f t="shared" si="316"/>
        <v>50.8</v>
      </c>
      <c r="AB119" s="7">
        <f t="shared" si="301"/>
        <v>2.5</v>
      </c>
      <c r="AC119" s="7">
        <f t="shared" si="329"/>
        <v>2.5</v>
      </c>
      <c r="AD119" s="7">
        <v>4.7</v>
      </c>
      <c r="AE119" s="7">
        <f t="shared" si="172"/>
        <v>4.7</v>
      </c>
      <c r="AF119" s="7">
        <f t="shared" si="239"/>
        <v>5.7</v>
      </c>
      <c r="AG119" s="7">
        <f t="shared" si="240"/>
        <v>60.641668842471674</v>
      </c>
      <c r="AH119" s="7"/>
      <c r="AI119" s="7"/>
      <c r="AJ119" s="7">
        <v>378</v>
      </c>
      <c r="AK119" s="7"/>
      <c r="AL119" s="7">
        <f t="shared" ref="AL119:AL153" si="349">CY119</f>
        <v>0.91356273471495697</v>
      </c>
      <c r="AM119" s="7">
        <f>25.4/4</f>
        <v>6.35</v>
      </c>
      <c r="AN119" s="7">
        <v>2</v>
      </c>
      <c r="AO119" s="7">
        <f>K119-2*25.4</f>
        <v>152.39999999999998</v>
      </c>
      <c r="AP119" s="7">
        <v>2</v>
      </c>
      <c r="AQ119" s="7">
        <v>2</v>
      </c>
      <c r="AR119" s="7"/>
      <c r="AS119" s="4">
        <f t="shared" si="292"/>
        <v>203.2</v>
      </c>
      <c r="AT119" s="44">
        <f t="shared" si="317"/>
        <v>0.62500000000000011</v>
      </c>
      <c r="AU119" s="25">
        <f t="shared" si="333"/>
        <v>102.61385063799703</v>
      </c>
      <c r="AV119" s="4">
        <f t="shared" si="334"/>
        <v>0.76249999999999996</v>
      </c>
      <c r="AW119" s="4">
        <v>1.25</v>
      </c>
      <c r="AX119" s="25">
        <f t="shared" si="325"/>
        <v>5</v>
      </c>
      <c r="AY119" s="38">
        <f t="shared" si="287"/>
        <v>305.63695746669043</v>
      </c>
      <c r="AZ119" s="38">
        <f t="shared" si="288"/>
        <v>305.63695746669043</v>
      </c>
      <c r="BB119" s="38">
        <f t="shared" si="318"/>
        <v>305.63695746669049</v>
      </c>
      <c r="BC119" s="38">
        <f t="shared" si="243"/>
        <v>0.99999999999999978</v>
      </c>
      <c r="BD119" s="38">
        <f t="shared" si="345"/>
        <v>1.028516026796602</v>
      </c>
      <c r="BE119" s="4">
        <f t="shared" si="330"/>
        <v>0</v>
      </c>
      <c r="BF119" s="4">
        <f t="shared" si="244"/>
        <v>170.05783601477378</v>
      </c>
      <c r="BG119" s="4">
        <f t="shared" si="223"/>
        <v>1</v>
      </c>
      <c r="BH119" s="38">
        <f t="shared" si="245"/>
        <v>314.35250913584258</v>
      </c>
      <c r="BI119" s="4">
        <f t="shared" si="224"/>
        <v>0.34199999999999997</v>
      </c>
      <c r="BJ119" s="4">
        <f t="shared" si="246"/>
        <v>30.388485006659998</v>
      </c>
      <c r="BK119" s="4">
        <f t="shared" si="247"/>
        <v>344.74099414250259</v>
      </c>
      <c r="BM119" s="36">
        <f t="shared" si="319"/>
        <v>1.2256747704246811</v>
      </c>
      <c r="BN119" s="36">
        <f t="shared" si="335"/>
        <v>208.57455618240351</v>
      </c>
      <c r="BS119" s="4">
        <f t="shared" si="174"/>
        <v>57.199999999999996</v>
      </c>
      <c r="BT119" s="4">
        <f t="shared" si="175"/>
        <v>50.8</v>
      </c>
      <c r="BU119" s="4">
        <f t="shared" si="176"/>
        <v>57.199999999999996</v>
      </c>
      <c r="BV119" s="4">
        <f t="shared" si="336"/>
        <v>63.5</v>
      </c>
      <c r="BW119" s="4">
        <f t="shared" si="177"/>
        <v>1.0125984251968505</v>
      </c>
      <c r="BX119" s="25">
        <f t="shared" si="337"/>
        <v>2.7045530452934567</v>
      </c>
      <c r="BZ119" s="4">
        <f t="shared" si="347"/>
        <v>50.8</v>
      </c>
      <c r="CD119" s="9"/>
      <c r="CF119" s="9"/>
      <c r="CG119" s="9"/>
      <c r="CH119" s="9">
        <f t="shared" si="230"/>
        <v>50.8</v>
      </c>
      <c r="CI119" s="9">
        <f t="shared" si="231"/>
        <v>127</v>
      </c>
      <c r="CJ119" s="9">
        <f t="shared" si="252"/>
        <v>1.622579553879709</v>
      </c>
      <c r="CK119" s="70">
        <v>0</v>
      </c>
      <c r="CL119" s="9">
        <f t="shared" si="253"/>
        <v>1.0908307824964559E-2</v>
      </c>
      <c r="CM119" s="9">
        <f t="shared" si="254"/>
        <v>0</v>
      </c>
      <c r="CN119" s="9">
        <f t="shared" si="255"/>
        <v>0.99524931562137331</v>
      </c>
      <c r="CO119" s="9">
        <f t="shared" si="256"/>
        <v>1.056</v>
      </c>
      <c r="CP119" s="9">
        <f t="shared" si="257"/>
        <v>1.9809013552237766</v>
      </c>
      <c r="CQ119" s="9">
        <f t="shared" si="258"/>
        <v>3.2141700372387065</v>
      </c>
      <c r="CR119" s="9">
        <v>1</v>
      </c>
      <c r="CS119" s="9">
        <f t="shared" si="259"/>
        <v>269.99028312805137</v>
      </c>
      <c r="CU119" s="4">
        <f t="shared" ref="CU119:CU124" si="350">AJ119/BF119</f>
        <v>2.2227731979793113</v>
      </c>
      <c r="CV119" s="4">
        <f>AJ119/BK119</f>
        <v>1.0964753435843184</v>
      </c>
      <c r="CW119" s="4">
        <f t="shared" si="211"/>
        <v>1.8123015909449176</v>
      </c>
      <c r="CX119" s="4">
        <f t="shared" ref="CX119:CX153" si="351">AJ119/CS119</f>
        <v>1.400050385593772</v>
      </c>
      <c r="CY119" s="4">
        <f t="shared" si="213"/>
        <v>0.91356273471495697</v>
      </c>
      <c r="CZ119" s="4">
        <f t="shared" si="214"/>
        <v>0.98110685664411379</v>
      </c>
      <c r="DA119" s="4">
        <f t="shared" si="346"/>
        <v>1.2496789206294021</v>
      </c>
      <c r="DI119" s="4">
        <f t="shared" si="294"/>
        <v>2.2227731979793113</v>
      </c>
      <c r="DJ119" s="4">
        <f t="shared" si="294"/>
        <v>1.0964753435843184</v>
      </c>
      <c r="DK119" s="4">
        <f t="shared" si="295"/>
        <v>1.400050385593772</v>
      </c>
      <c r="DL119" s="4">
        <f t="shared" ref="DL119:DL123" si="352">DA119</f>
        <v>1.2496789206294021</v>
      </c>
      <c r="DM119" s="4">
        <f t="shared" si="297"/>
        <v>0.91356273471495697</v>
      </c>
      <c r="DN119" s="4">
        <f t="shared" si="297"/>
        <v>0.98110685664411379</v>
      </c>
      <c r="DP119" s="4">
        <f t="shared" si="182"/>
        <v>2</v>
      </c>
      <c r="DQ119" s="4">
        <f t="shared" si="338"/>
        <v>203.2</v>
      </c>
      <c r="DR119" s="4">
        <f t="shared" si="339"/>
        <v>0.74999999999999989</v>
      </c>
      <c r="DT119" s="4">
        <f t="shared" si="262"/>
        <v>1.4183544622946906E-5</v>
      </c>
      <c r="DU119" s="4">
        <f t="shared" si="183"/>
        <v>5.3181902694980394</v>
      </c>
      <c r="DV119" s="4">
        <f t="shared" ref="DV119:DV153" si="353">EC119*AG119/257/M119/AD119</f>
        <v>0.52911251390174574</v>
      </c>
      <c r="DW119" s="4">
        <f t="shared" si="263"/>
        <v>4.1227128250270235</v>
      </c>
      <c r="DX119" s="4">
        <f t="shared" si="264"/>
        <v>4.7582056908638855</v>
      </c>
      <c r="DY119" s="4">
        <f t="shared" ref="DY119:DY153" si="354">MAX(DU119/2, (4-DT119*(8*AG119*(DW119-DX119)+6*K119*DX119))/(4+DT119*K119*DU119)*DU119)</f>
        <v>5.1947012258310075</v>
      </c>
      <c r="DZ119" s="38">
        <f t="shared" si="266"/>
        <v>413.76468811191245</v>
      </c>
      <c r="EA119" s="4">
        <f t="shared" si="267"/>
        <v>1.0001043862507368</v>
      </c>
      <c r="EB119" s="4">
        <f t="shared" ref="EB119:EB153" si="355">AG119/N119</f>
        <v>2.3874672772626644</v>
      </c>
      <c r="EC119" s="4">
        <f t="shared" si="291"/>
        <v>305.63695746669049</v>
      </c>
      <c r="EG119" s="4">
        <f t="shared" si="268"/>
        <v>1</v>
      </c>
      <c r="EH119" s="4">
        <f t="shared" si="269"/>
        <v>0.9</v>
      </c>
      <c r="EI119" s="4">
        <f t="shared" si="340"/>
        <v>1</v>
      </c>
      <c r="EJ119" s="4">
        <f t="shared" si="271"/>
        <v>0.9</v>
      </c>
      <c r="EL119" s="4">
        <f t="shared" si="341"/>
        <v>385.2791339089739</v>
      </c>
      <c r="EM119" s="25">
        <f t="shared" si="320"/>
        <v>299.20050949470277</v>
      </c>
      <c r="EP119" s="4">
        <f t="shared" si="322"/>
        <v>5.3181902694980394</v>
      </c>
      <c r="EQ119" s="4">
        <f t="shared" si="342"/>
        <v>5.3181902694980394</v>
      </c>
      <c r="ES119" s="4">
        <f t="shared" si="276"/>
        <v>60.641668842471674</v>
      </c>
      <c r="ET119" s="4">
        <f t="shared" si="184"/>
        <v>2.3874672772626644</v>
      </c>
      <c r="EU119" s="4">
        <f t="shared" si="277"/>
        <v>0.15580532528546465</v>
      </c>
      <c r="EX119" s="4">
        <f t="shared" si="348"/>
        <v>0.15580532528546465</v>
      </c>
      <c r="EY119" s="4">
        <f t="shared" si="278"/>
        <v>0.52822952372921106</v>
      </c>
      <c r="EZ119" s="4">
        <f t="shared" si="186"/>
        <v>4.1199594302847133</v>
      </c>
      <c r="FA119" s="4">
        <f t="shared" si="232"/>
        <v>4.7570136930794718</v>
      </c>
      <c r="FB119" s="4">
        <f t="shared" si="188"/>
        <v>91.758331157528303</v>
      </c>
      <c r="FC119" s="4">
        <f t="shared" si="189"/>
        <v>50.8</v>
      </c>
      <c r="FD119" s="4">
        <f t="shared" si="279"/>
        <v>1.4183544622946906E-5</v>
      </c>
      <c r="FE119" s="4">
        <f t="shared" si="233"/>
        <v>5.1947427567102205</v>
      </c>
      <c r="FF119" s="4">
        <f t="shared" si="343"/>
        <v>413.72150127554505</v>
      </c>
      <c r="FG119" s="4">
        <f t="shared" si="191"/>
        <v>91.758331157528303</v>
      </c>
      <c r="FH119" s="4">
        <f t="shared" si="192"/>
        <v>0</v>
      </c>
      <c r="FJ119" s="4">
        <f t="shared" ref="FJ119:FJ153" si="356">4/N119*(1*EZ119*ES119+FA119*FB119+FC119*FE119)+EC119 - (4/N119*(1*EZ119*ES119+FA119*FG119+FH119*FE119)+EC119)</f>
        <v>41.557942053681813</v>
      </c>
      <c r="FO119" s="23">
        <f t="shared" ref="FO119:FP153" si="357">IF(CU119&lt;0.6,0.6,IF(CU119&lt;0.8,0.8,IF(CU119&lt;1,1,IF(CU119&lt;1.2,1.2,IF(CU119&lt;1.4,1.4,IF(CU119&lt;1.6,1.6,IF(CU119&lt;1.8,1.8,IF(CU119&lt;2,2,2.2))))))))</f>
        <v>2.2000000000000002</v>
      </c>
      <c r="FP119" s="23">
        <f t="shared" si="357"/>
        <v>1.2</v>
      </c>
      <c r="FQ119" s="23">
        <f t="shared" si="229"/>
        <v>1.4</v>
      </c>
      <c r="FR119" s="23">
        <f t="shared" ref="FR119:FT153" si="358">IF(CX119&lt;0.6,0.6,IF(CX119&lt;0.8,0.8,IF(CX119&lt;1,1,IF(CX119&lt;1.2,1.2,IF(CX119&lt;1.4,1.4,IF(CX119&lt;1.6,1.6,IF(CX119&lt;1.8,1.8,IF(CX119&lt;2,2,2.2))))))))</f>
        <v>1.6</v>
      </c>
      <c r="FS119" s="23">
        <f t="shared" si="358"/>
        <v>1</v>
      </c>
      <c r="FT119" s="23">
        <f t="shared" si="358"/>
        <v>1</v>
      </c>
      <c r="FU119" s="23">
        <f t="shared" si="221"/>
        <v>0</v>
      </c>
      <c r="FV119" s="23"/>
      <c r="GF119" s="4">
        <f t="shared" si="282"/>
        <v>1</v>
      </c>
      <c r="GG119" s="4">
        <f t="shared" si="283"/>
        <v>0.61201052016364699</v>
      </c>
      <c r="GH119" s="4">
        <f t="shared" si="284"/>
        <v>8.3333333333333343E-2</v>
      </c>
      <c r="GI119" s="4">
        <f t="shared" si="285"/>
        <v>302.4776954784673</v>
      </c>
      <c r="GK119" s="4">
        <f>(K119)/(N119)^1.5/0.0199*(M119)^0.25/GF119/GG119</f>
        <v>302.45492745592605</v>
      </c>
    </row>
    <row r="120" spans="1:196" ht="12" hidden="1" customHeight="1" x14ac:dyDescent="0.3">
      <c r="A120" s="25">
        <v>101</v>
      </c>
      <c r="B120" s="20" t="s">
        <v>54</v>
      </c>
      <c r="C120" s="20">
        <v>2009</v>
      </c>
      <c r="D120" s="20" t="s">
        <v>293</v>
      </c>
      <c r="E120" s="24"/>
      <c r="F120" s="24"/>
      <c r="G120" s="24"/>
      <c r="H120" s="7" t="s">
        <v>68</v>
      </c>
      <c r="I120" s="7"/>
      <c r="J120" s="7">
        <v>472</v>
      </c>
      <c r="K120" s="7">
        <f t="shared" si="323"/>
        <v>203.2</v>
      </c>
      <c r="L120" s="7">
        <f>N120*P120</f>
        <v>152.39999999999998</v>
      </c>
      <c r="M120" s="7">
        <v>24</v>
      </c>
      <c r="N120" s="7">
        <v>25.4</v>
      </c>
      <c r="O120" s="7">
        <v>8</v>
      </c>
      <c r="P120" s="7">
        <v>6</v>
      </c>
      <c r="Q120" s="7">
        <f t="shared" si="328"/>
        <v>914.4</v>
      </c>
      <c r="R120" s="7"/>
      <c r="S120" s="7">
        <f t="shared" si="324"/>
        <v>127</v>
      </c>
      <c r="T120" s="7"/>
      <c r="U120" s="7"/>
      <c r="V120" s="7"/>
      <c r="W120" s="7">
        <f t="shared" si="321"/>
        <v>101.6</v>
      </c>
      <c r="X120" s="7">
        <v>3</v>
      </c>
      <c r="Y120" s="7"/>
      <c r="Z120" s="7"/>
      <c r="AA120" s="7">
        <f t="shared" si="316"/>
        <v>50.8</v>
      </c>
      <c r="AB120" s="7">
        <f t="shared" si="301"/>
        <v>2.5</v>
      </c>
      <c r="AC120" s="7">
        <f t="shared" si="329"/>
        <v>2.5</v>
      </c>
      <c r="AD120" s="7">
        <v>4.04</v>
      </c>
      <c r="AE120" s="7">
        <f t="shared" si="172"/>
        <v>4.04</v>
      </c>
      <c r="AF120" s="7">
        <f t="shared" si="239"/>
        <v>5.04</v>
      </c>
      <c r="AG120" s="7">
        <f t="shared" si="240"/>
        <v>57.022858574434863</v>
      </c>
      <c r="AH120" s="7"/>
      <c r="AI120" s="7"/>
      <c r="AJ120" s="7">
        <v>373</v>
      </c>
      <c r="AK120" s="7"/>
      <c r="AL120" s="7">
        <f t="shared" si="349"/>
        <v>0.96116962804794615</v>
      </c>
      <c r="AM120" s="7">
        <v>9.5</v>
      </c>
      <c r="AN120" s="7">
        <v>2</v>
      </c>
      <c r="AO120" s="7">
        <f>K120-2*25.4</f>
        <v>152.39999999999998</v>
      </c>
      <c r="AP120" s="7">
        <v>2</v>
      </c>
      <c r="AQ120" s="7">
        <v>2</v>
      </c>
      <c r="AR120" s="7"/>
      <c r="AS120" s="4">
        <f t="shared" si="292"/>
        <v>203.2</v>
      </c>
      <c r="AT120" s="44">
        <f t="shared" si="317"/>
        <v>0.62500000000000011</v>
      </c>
      <c r="AU120" s="25">
        <f t="shared" si="333"/>
        <v>93.349631295316044</v>
      </c>
      <c r="AV120" s="4">
        <f t="shared" si="334"/>
        <v>0.76249999999999996</v>
      </c>
      <c r="AW120" s="4">
        <v>1.25</v>
      </c>
      <c r="AX120" s="25">
        <f t="shared" si="325"/>
        <v>5</v>
      </c>
      <c r="AY120" s="38">
        <f t="shared" si="287"/>
        <v>278.04333540108786</v>
      </c>
      <c r="AZ120" s="38">
        <f t="shared" si="288"/>
        <v>278.04333540108786</v>
      </c>
      <c r="BB120" s="38">
        <f t="shared" si="318"/>
        <v>278.04333540108792</v>
      </c>
      <c r="BC120" s="38">
        <f t="shared" si="243"/>
        <v>0.99999999999999978</v>
      </c>
      <c r="BD120" s="38">
        <f t="shared" si="345"/>
        <v>0.86747993638820953</v>
      </c>
      <c r="BE120" s="4">
        <f t="shared" si="330"/>
        <v>1</v>
      </c>
      <c r="BF120" s="4">
        <f t="shared" si="244"/>
        <v>154.70461533367438</v>
      </c>
      <c r="BG120" s="4">
        <f t="shared" si="223"/>
        <v>1</v>
      </c>
      <c r="BH120" s="38">
        <f t="shared" si="245"/>
        <v>241.19701490690136</v>
      </c>
      <c r="BI120" s="4">
        <f t="shared" si="224"/>
        <v>0.43440000000000001</v>
      </c>
      <c r="BJ120" s="4">
        <f t="shared" si="246"/>
        <v>35.113925360745412</v>
      </c>
      <c r="BK120" s="4">
        <f t="shared" si="247"/>
        <v>276.31094026764674</v>
      </c>
      <c r="BM120" s="36">
        <f t="shared" si="319"/>
        <v>1.3472352106349423</v>
      </c>
      <c r="BN120" s="36">
        <f t="shared" si="335"/>
        <v>208.56245402861074</v>
      </c>
      <c r="BS120" s="4">
        <f>IF(X120=1,S120,MIN(S120,W120/2+6.4))</f>
        <v>57.199999999999996</v>
      </c>
      <c r="BT120" s="4">
        <f t="shared" si="175"/>
        <v>50.8</v>
      </c>
      <c r="BU120" s="4">
        <f t="shared" si="176"/>
        <v>57.199999999999996</v>
      </c>
      <c r="BV120" s="4">
        <f t="shared" si="336"/>
        <v>63.5</v>
      </c>
      <c r="BW120" s="4">
        <f t="shared" si="177"/>
        <v>1.0125984251968505</v>
      </c>
      <c r="BX120" s="25">
        <f t="shared" si="337"/>
        <v>2.8838632896429117</v>
      </c>
      <c r="BZ120" s="4">
        <f t="shared" si="347"/>
        <v>50.8</v>
      </c>
      <c r="CD120" s="9"/>
      <c r="CF120" s="9"/>
      <c r="CG120" s="9"/>
      <c r="CH120" s="9">
        <f t="shared" si="230"/>
        <v>50.8</v>
      </c>
      <c r="CI120" s="9">
        <f t="shared" si="231"/>
        <v>127</v>
      </c>
      <c r="CJ120" s="9">
        <f t="shared" si="252"/>
        <v>1.622579553879709</v>
      </c>
      <c r="CK120" s="70">
        <v>0</v>
      </c>
      <c r="CL120" s="9">
        <f t="shared" si="253"/>
        <v>2.4415023403882487E-2</v>
      </c>
      <c r="CM120" s="9">
        <f t="shared" si="254"/>
        <v>0</v>
      </c>
      <c r="CN120" s="9">
        <f t="shared" si="255"/>
        <v>0.99524931562137331</v>
      </c>
      <c r="CO120" s="9">
        <f t="shared" si="256"/>
        <v>1.056</v>
      </c>
      <c r="CP120" s="9">
        <f t="shared" si="257"/>
        <v>1.8020609303015322</v>
      </c>
      <c r="CQ120" s="9">
        <f t="shared" si="258"/>
        <v>2.9239872203527137</v>
      </c>
      <c r="CR120" s="9">
        <v>1</v>
      </c>
      <c r="CS120" s="9">
        <f t="shared" si="259"/>
        <v>245.61492650962794</v>
      </c>
      <c r="CU120" s="4">
        <f t="shared" si="350"/>
        <v>2.4110463620978315</v>
      </c>
      <c r="CV120" s="4">
        <f>AJ120/BK120</f>
        <v>1.3499284524843498</v>
      </c>
      <c r="CW120" s="4">
        <f t="shared" si="211"/>
        <v>1.7884331182103927</v>
      </c>
      <c r="CX120" s="4">
        <f t="shared" si="351"/>
        <v>1.5186373454602673</v>
      </c>
      <c r="CY120" s="4">
        <f t="shared" si="213"/>
        <v>0.96116962804794615</v>
      </c>
      <c r="CZ120" s="4">
        <f t="shared" si="214"/>
        <v>1.0487505984287993</v>
      </c>
      <c r="DA120" s="4">
        <f t="shared" si="346"/>
        <v>1.1935209055402785</v>
      </c>
      <c r="DI120" s="4">
        <f t="shared" si="294"/>
        <v>2.4110463620978315</v>
      </c>
      <c r="DJ120" s="4">
        <f t="shared" si="294"/>
        <v>1.3499284524843498</v>
      </c>
      <c r="DK120" s="4">
        <f t="shared" si="295"/>
        <v>1.5186373454602673</v>
      </c>
      <c r="DL120" s="4">
        <f t="shared" si="352"/>
        <v>1.1935209055402785</v>
      </c>
      <c r="DM120" s="4">
        <f t="shared" si="297"/>
        <v>0.96116962804794615</v>
      </c>
      <c r="DN120" s="4">
        <f t="shared" si="297"/>
        <v>1.0487505984287993</v>
      </c>
      <c r="DP120" s="4">
        <f t="shared" si="182"/>
        <v>2</v>
      </c>
      <c r="DQ120" s="4">
        <f t="shared" si="338"/>
        <v>203.2</v>
      </c>
      <c r="DR120" s="4">
        <f t="shared" si="339"/>
        <v>0.74999999999999989</v>
      </c>
      <c r="DT120" s="4">
        <f t="shared" si="262"/>
        <v>1.3667329281249728E-5</v>
      </c>
      <c r="DU120" s="4">
        <f t="shared" si="183"/>
        <v>5.1588114827661729</v>
      </c>
      <c r="DV120" s="4">
        <f t="shared" si="353"/>
        <v>0.63626164554762021</v>
      </c>
      <c r="DW120" s="4">
        <f t="shared" si="263"/>
        <v>4.3053053177144411</v>
      </c>
      <c r="DX120" s="4">
        <f t="shared" si="264"/>
        <v>4.7512779586833123</v>
      </c>
      <c r="DY120" s="4">
        <f t="shared" si="354"/>
        <v>5.0422297353553445</v>
      </c>
      <c r="DZ120" s="38">
        <f t="shared" si="266"/>
        <v>388.0688581031543</v>
      </c>
      <c r="EA120" s="4">
        <f t="shared" si="267"/>
        <v>1.0001161176105406</v>
      </c>
      <c r="EB120" s="4">
        <f t="shared" si="355"/>
        <v>2.2449944320643649</v>
      </c>
      <c r="EC120" s="4">
        <f t="shared" si="291"/>
        <v>278.04333540108792</v>
      </c>
      <c r="EG120" s="4">
        <f t="shared" si="268"/>
        <v>1</v>
      </c>
      <c r="EH120" s="4">
        <f t="shared" si="269"/>
        <v>0.9</v>
      </c>
      <c r="EI120" s="4">
        <f t="shared" si="340"/>
        <v>0.90713466426932854</v>
      </c>
      <c r="EJ120" s="4">
        <f t="shared" si="271"/>
        <v>0.81642119784239575</v>
      </c>
      <c r="EL120" s="4">
        <f t="shared" si="341"/>
        <v>355.66129884341933</v>
      </c>
      <c r="EM120" s="25">
        <f t="shared" si="320"/>
        <v>272.18798506289443</v>
      </c>
      <c r="EP120" s="4">
        <f t="shared" si="322"/>
        <v>5.1588114827661729</v>
      </c>
      <c r="EQ120" s="4">
        <f t="shared" si="342"/>
        <v>5.1588114827661729</v>
      </c>
      <c r="ES120" s="4">
        <f t="shared" si="276"/>
        <v>57.022858574434863</v>
      </c>
      <c r="ET120" s="4">
        <f t="shared" si="184"/>
        <v>2.2449944320643649</v>
      </c>
      <c r="EU120" s="4">
        <f t="shared" si="277"/>
        <v>0.17044200350862856</v>
      </c>
      <c r="EX120" s="4">
        <f t="shared" si="348"/>
        <v>0.17044200350862856</v>
      </c>
      <c r="EY120" s="4">
        <f t="shared" si="278"/>
        <v>0.63519984344425195</v>
      </c>
      <c r="EZ120" s="4">
        <f t="shared" si="186"/>
        <v>4.3024299767608163</v>
      </c>
      <c r="FA120" s="4">
        <f t="shared" si="232"/>
        <v>4.7499757088178356</v>
      </c>
      <c r="FB120" s="4">
        <f t="shared" si="188"/>
        <v>95.377141425565114</v>
      </c>
      <c r="FC120" s="4">
        <f t="shared" si="189"/>
        <v>50.800000000000026</v>
      </c>
      <c r="FD120" s="4">
        <f t="shared" si="279"/>
        <v>1.3667329281249734E-5</v>
      </c>
      <c r="FE120" s="4">
        <f t="shared" si="233"/>
        <v>5.0422702257329002</v>
      </c>
      <c r="FF120" s="4">
        <f t="shared" si="343"/>
        <v>388.02380170646722</v>
      </c>
      <c r="FG120" s="4">
        <f t="shared" si="191"/>
        <v>95.377141425565114</v>
      </c>
      <c r="FH120" s="4">
        <f t="shared" si="192"/>
        <v>0</v>
      </c>
      <c r="FJ120" s="4">
        <f t="shared" si="356"/>
        <v>40.338161805863251</v>
      </c>
      <c r="FO120" s="23">
        <f t="shared" si="357"/>
        <v>2.2000000000000002</v>
      </c>
      <c r="FP120" s="23">
        <f t="shared" si="357"/>
        <v>1.4</v>
      </c>
      <c r="FQ120" s="23">
        <f t="shared" si="229"/>
        <v>1.2</v>
      </c>
      <c r="FR120" s="23">
        <f t="shared" si="358"/>
        <v>1.6</v>
      </c>
      <c r="FS120" s="23">
        <f t="shared" si="358"/>
        <v>1</v>
      </c>
      <c r="FT120" s="23">
        <f t="shared" si="358"/>
        <v>1.2</v>
      </c>
      <c r="FU120" s="23">
        <f t="shared" si="221"/>
        <v>0</v>
      </c>
      <c r="FV120" s="23"/>
      <c r="GF120" s="4">
        <f t="shared" si="282"/>
        <v>1</v>
      </c>
      <c r="GG120" s="4">
        <f t="shared" si="283"/>
        <v>0.56497177617382699</v>
      </c>
      <c r="GH120" s="4">
        <f t="shared" si="284"/>
        <v>0.18651703970074607</v>
      </c>
      <c r="GI120" s="4">
        <f t="shared" si="285"/>
        <v>312.52070933030853</v>
      </c>
      <c r="GK120" s="4">
        <f>(K120)/(N120)^1.5/0.0199*(M120)^0.25/GF120/GG120</f>
        <v>312.4971853526369</v>
      </c>
    </row>
    <row r="121" spans="1:196" ht="12" hidden="1" customHeight="1" x14ac:dyDescent="0.3">
      <c r="A121" s="25">
        <v>102</v>
      </c>
      <c r="B121" s="20" t="s">
        <v>54</v>
      </c>
      <c r="C121" s="20">
        <v>2010</v>
      </c>
      <c r="D121" s="20" t="s">
        <v>293</v>
      </c>
      <c r="E121" s="24"/>
      <c r="F121" s="24"/>
      <c r="G121" s="24"/>
      <c r="H121" s="7" t="s">
        <v>68</v>
      </c>
      <c r="I121" s="7"/>
      <c r="J121" s="7">
        <v>472</v>
      </c>
      <c r="K121" s="7">
        <f t="shared" si="323"/>
        <v>203.2</v>
      </c>
      <c r="L121" s="7">
        <f>N121*P121</f>
        <v>152.39999999999998</v>
      </c>
      <c r="M121" s="7">
        <v>24</v>
      </c>
      <c r="N121" s="7">
        <v>25.4</v>
      </c>
      <c r="O121" s="7">
        <v>8</v>
      </c>
      <c r="P121" s="7">
        <v>6</v>
      </c>
      <c r="Q121" s="7">
        <f t="shared" si="328"/>
        <v>914.4</v>
      </c>
      <c r="R121" s="7"/>
      <c r="S121" s="7">
        <f t="shared" si="324"/>
        <v>127</v>
      </c>
      <c r="T121" s="7"/>
      <c r="U121" s="7"/>
      <c r="V121" s="7"/>
      <c r="W121" s="7">
        <f t="shared" si="321"/>
        <v>101.6</v>
      </c>
      <c r="X121" s="7">
        <v>3</v>
      </c>
      <c r="Y121" s="7"/>
      <c r="Z121" s="7"/>
      <c r="AA121" s="7">
        <f t="shared" si="316"/>
        <v>50.8</v>
      </c>
      <c r="AB121" s="7">
        <f t="shared" si="301"/>
        <v>2.5</v>
      </c>
      <c r="AC121" s="7">
        <f t="shared" si="329"/>
        <v>2.5</v>
      </c>
      <c r="AD121" s="7">
        <v>4.04</v>
      </c>
      <c r="AE121" s="7">
        <f t="shared" si="172"/>
        <v>4.04</v>
      </c>
      <c r="AF121" s="7">
        <f t="shared" si="239"/>
        <v>5.04</v>
      </c>
      <c r="AG121" s="7">
        <f t="shared" si="240"/>
        <v>57.022858574434863</v>
      </c>
      <c r="AH121" s="7"/>
      <c r="AI121" s="7"/>
      <c r="AJ121" s="7">
        <v>391</v>
      </c>
      <c r="AK121" s="7"/>
      <c r="AL121" s="7">
        <f t="shared" si="349"/>
        <v>0.98080807123647029</v>
      </c>
      <c r="AM121" s="7">
        <v>12.7</v>
      </c>
      <c r="AN121" s="7">
        <v>2</v>
      </c>
      <c r="AO121" s="7">
        <f>K121-2*25.4</f>
        <v>152.39999999999998</v>
      </c>
      <c r="AP121" s="7">
        <v>2</v>
      </c>
      <c r="AQ121" s="7">
        <v>2</v>
      </c>
      <c r="AR121" s="7"/>
      <c r="AS121" s="4">
        <f t="shared" si="292"/>
        <v>203.2</v>
      </c>
      <c r="AT121" s="44">
        <f t="shared" si="317"/>
        <v>0.62500000000000011</v>
      </c>
      <c r="AU121" s="25">
        <f t="shared" si="333"/>
        <v>93.349631295316044</v>
      </c>
      <c r="AV121" s="4">
        <f t="shared" si="334"/>
        <v>0.76249999999999996</v>
      </c>
      <c r="AW121" s="4">
        <v>1.25</v>
      </c>
      <c r="AX121" s="25">
        <f t="shared" si="325"/>
        <v>5</v>
      </c>
      <c r="AY121" s="38">
        <f t="shared" si="287"/>
        <v>278.04333540108786</v>
      </c>
      <c r="AZ121" s="38">
        <f t="shared" si="288"/>
        <v>278.04333540108786</v>
      </c>
      <c r="BB121" s="38">
        <f t="shared" si="318"/>
        <v>278.04333540108792</v>
      </c>
      <c r="BC121" s="38">
        <f t="shared" si="243"/>
        <v>0.99999999999999978</v>
      </c>
      <c r="BD121" s="38">
        <f t="shared" si="345"/>
        <v>0.86747993638820953</v>
      </c>
      <c r="BE121" s="4">
        <f t="shared" si="330"/>
        <v>1</v>
      </c>
      <c r="BF121" s="4">
        <f t="shared" si="244"/>
        <v>154.70461533367438</v>
      </c>
      <c r="BG121" s="4">
        <f t="shared" si="223"/>
        <v>1</v>
      </c>
      <c r="BH121" s="38">
        <f t="shared" si="245"/>
        <v>241.19701490690136</v>
      </c>
      <c r="BI121" s="4">
        <f t="shared" si="224"/>
        <v>0.43440000000000001</v>
      </c>
      <c r="BJ121" s="4">
        <f t="shared" si="246"/>
        <v>35.113925360745412</v>
      </c>
      <c r="BK121" s="4">
        <f t="shared" si="247"/>
        <v>276.31094026764674</v>
      </c>
      <c r="BM121" s="36">
        <f t="shared" si="319"/>
        <v>1.5201990816987241</v>
      </c>
      <c r="BN121" s="36">
        <f t="shared" si="335"/>
        <v>235.33860204091607</v>
      </c>
      <c r="BS121" s="4">
        <f t="shared" si="174"/>
        <v>57.199999999999996</v>
      </c>
      <c r="BT121" s="4">
        <f t="shared" si="175"/>
        <v>50.8</v>
      </c>
      <c r="BU121" s="4">
        <f t="shared" si="176"/>
        <v>57.199999999999996</v>
      </c>
      <c r="BV121" s="4">
        <f t="shared" si="336"/>
        <v>63.5</v>
      </c>
      <c r="BW121" s="4">
        <f t="shared" si="177"/>
        <v>1.0125984251968505</v>
      </c>
      <c r="BX121" s="25">
        <f t="shared" si="337"/>
        <v>3.161228029601602</v>
      </c>
      <c r="BZ121" s="4">
        <f t="shared" si="347"/>
        <v>50.8</v>
      </c>
      <c r="CD121" s="9"/>
      <c r="CF121" s="9"/>
      <c r="CG121" s="9"/>
      <c r="CH121" s="9">
        <f t="shared" si="230"/>
        <v>50.8</v>
      </c>
      <c r="CI121" s="9">
        <f t="shared" si="231"/>
        <v>127</v>
      </c>
      <c r="CJ121" s="9">
        <f t="shared" si="252"/>
        <v>1.622579553879709</v>
      </c>
      <c r="CK121" s="70">
        <v>0</v>
      </c>
      <c r="CL121" s="9">
        <f t="shared" si="253"/>
        <v>4.3633231299858237E-2</v>
      </c>
      <c r="CM121" s="9">
        <f t="shared" si="254"/>
        <v>0</v>
      </c>
      <c r="CN121" s="9">
        <f t="shared" si="255"/>
        <v>0.99524931562137331</v>
      </c>
      <c r="CO121" s="9">
        <f t="shared" si="256"/>
        <v>1.056</v>
      </c>
      <c r="CP121" s="9">
        <f t="shared" si="257"/>
        <v>1.8020609303015322</v>
      </c>
      <c r="CQ121" s="9">
        <f t="shared" si="258"/>
        <v>2.9239872203527137</v>
      </c>
      <c r="CR121" s="9">
        <v>1</v>
      </c>
      <c r="CS121" s="9">
        <f t="shared" si="259"/>
        <v>245.61492650962794</v>
      </c>
      <c r="CU121" s="4">
        <f t="shared" si="350"/>
        <v>2.5273971248800322</v>
      </c>
      <c r="CV121" s="4">
        <f>AJ121/BK121</f>
        <v>1.4150724528723346</v>
      </c>
      <c r="CW121" s="4">
        <f t="shared" si="211"/>
        <v>1.6614358911336635</v>
      </c>
      <c r="CX121" s="4">
        <f t="shared" si="351"/>
        <v>1.5919227937666609</v>
      </c>
      <c r="CY121" s="4">
        <f t="shared" si="213"/>
        <v>0.98080807123647029</v>
      </c>
      <c r="CZ121" s="4">
        <f t="shared" si="214"/>
        <v>1.0748032245531951</v>
      </c>
      <c r="DA121" s="4">
        <f t="shared" si="346"/>
        <v>1.1365535412883889</v>
      </c>
      <c r="DI121" s="4">
        <f t="shared" si="294"/>
        <v>2.5273971248800322</v>
      </c>
      <c r="DJ121" s="4">
        <f t="shared" si="294"/>
        <v>1.4150724528723346</v>
      </c>
      <c r="DK121" s="4">
        <f t="shared" si="295"/>
        <v>1.5919227937666609</v>
      </c>
      <c r="DL121" s="4">
        <f t="shared" si="352"/>
        <v>1.1365535412883889</v>
      </c>
      <c r="DM121" s="4">
        <f t="shared" si="297"/>
        <v>0.98080807123647029</v>
      </c>
      <c r="DN121" s="4">
        <f t="shared" si="297"/>
        <v>1.0748032245531951</v>
      </c>
      <c r="DP121" s="4">
        <f t="shared" si="182"/>
        <v>2</v>
      </c>
      <c r="DQ121" s="4">
        <f t="shared" si="338"/>
        <v>203.2</v>
      </c>
      <c r="DR121" s="4">
        <f t="shared" si="339"/>
        <v>0.74999999999999989</v>
      </c>
      <c r="DT121" s="4">
        <f t="shared" si="262"/>
        <v>1.3667329281249728E-5</v>
      </c>
      <c r="DU121" s="4">
        <f t="shared" si="183"/>
        <v>5.6549766132535195</v>
      </c>
      <c r="DV121" s="4">
        <f t="shared" si="353"/>
        <v>0.63626164554762021</v>
      </c>
      <c r="DW121" s="4">
        <f t="shared" si="263"/>
        <v>4.7193817734810022</v>
      </c>
      <c r="DX121" s="4">
        <f t="shared" si="264"/>
        <v>5.2082472540776283</v>
      </c>
      <c r="DY121" s="4">
        <f t="shared" si="354"/>
        <v>5.5149392832684514</v>
      </c>
      <c r="DZ121" s="38">
        <f t="shared" si="266"/>
        <v>398.65087927659488</v>
      </c>
      <c r="EA121" s="4">
        <f t="shared" si="267"/>
        <v>1.0001238224621578</v>
      </c>
      <c r="EB121" s="4">
        <f t="shared" si="355"/>
        <v>2.2449944320643649</v>
      </c>
      <c r="EC121" s="4">
        <f t="shared" si="291"/>
        <v>278.04333540108792</v>
      </c>
      <c r="EG121" s="4">
        <f t="shared" si="268"/>
        <v>1</v>
      </c>
      <c r="EH121" s="4">
        <f t="shared" si="269"/>
        <v>0.9</v>
      </c>
      <c r="EI121" s="4">
        <f t="shared" si="340"/>
        <v>0.77500000000000002</v>
      </c>
      <c r="EJ121" s="4">
        <f t="shared" si="271"/>
        <v>0.7</v>
      </c>
      <c r="EL121" s="4">
        <f t="shared" si="341"/>
        <v>363.78752042034677</v>
      </c>
      <c r="EM121" s="25">
        <f t="shared" si="320"/>
        <v>272.18798506289443</v>
      </c>
      <c r="EP121" s="4">
        <f t="shared" si="322"/>
        <v>5.6549766132535195</v>
      </c>
      <c r="EQ121" s="4">
        <f t="shared" si="342"/>
        <v>5.6549766132535195</v>
      </c>
      <c r="ES121" s="4">
        <f t="shared" si="276"/>
        <v>57.022858574434863</v>
      </c>
      <c r="ET121" s="4">
        <f t="shared" si="184"/>
        <v>2.2449944320643649</v>
      </c>
      <c r="EU121" s="4">
        <f t="shared" si="277"/>
        <v>0.17044200350862856</v>
      </c>
      <c r="EX121" s="4">
        <f t="shared" si="348"/>
        <v>0.17044200350862856</v>
      </c>
      <c r="EY121" s="4">
        <f t="shared" si="278"/>
        <v>0.63519984344425195</v>
      </c>
      <c r="EZ121" s="4">
        <f t="shared" si="186"/>
        <v>4.716229887450238</v>
      </c>
      <c r="FA121" s="4">
        <f t="shared" si="232"/>
        <v>5.2068197561823304</v>
      </c>
      <c r="FB121" s="4">
        <f t="shared" si="188"/>
        <v>95.377141425565114</v>
      </c>
      <c r="FC121" s="4">
        <f t="shared" si="189"/>
        <v>50.800000000000026</v>
      </c>
      <c r="FD121" s="4">
        <f t="shared" si="279"/>
        <v>1.3667329281249734E-5</v>
      </c>
      <c r="FE121" s="4">
        <f t="shared" si="233"/>
        <v>5.5149879200790073</v>
      </c>
      <c r="FF121" s="4">
        <f t="shared" si="343"/>
        <v>398.60152345454088</v>
      </c>
      <c r="FG121" s="4">
        <f t="shared" si="191"/>
        <v>95.377141425565114</v>
      </c>
      <c r="FH121" s="4">
        <f t="shared" si="192"/>
        <v>0</v>
      </c>
      <c r="FJ121" s="4">
        <f t="shared" si="356"/>
        <v>44.119903360632122</v>
      </c>
      <c r="FO121" s="23">
        <f t="shared" si="357"/>
        <v>2.2000000000000002</v>
      </c>
      <c r="FP121" s="23">
        <f t="shared" si="357"/>
        <v>1.6</v>
      </c>
      <c r="FQ121" s="23">
        <f t="shared" si="229"/>
        <v>1.2</v>
      </c>
      <c r="FR121" s="23">
        <f t="shared" si="358"/>
        <v>1.6</v>
      </c>
      <c r="FS121" s="23">
        <f t="shared" si="358"/>
        <v>1</v>
      </c>
      <c r="FT121" s="23">
        <f t="shared" si="358"/>
        <v>1.2</v>
      </c>
      <c r="FU121" s="23">
        <f t="shared" si="221"/>
        <v>0</v>
      </c>
      <c r="FV121" s="23"/>
      <c r="GF121" s="4">
        <f t="shared" si="282"/>
        <v>1</v>
      </c>
      <c r="GG121" s="4">
        <f t="shared" si="283"/>
        <v>0.51323787258912912</v>
      </c>
      <c r="GH121" s="4">
        <f t="shared" si="284"/>
        <v>0.3</v>
      </c>
      <c r="GI121" s="4">
        <f t="shared" si="285"/>
        <v>344.02250821968772</v>
      </c>
    </row>
    <row r="122" spans="1:196" ht="12" hidden="1" customHeight="1" x14ac:dyDescent="0.3">
      <c r="A122" s="25">
        <v>103</v>
      </c>
      <c r="B122" s="20" t="s">
        <v>54</v>
      </c>
      <c r="C122" s="20">
        <v>2011</v>
      </c>
      <c r="D122" s="20" t="s">
        <v>293</v>
      </c>
      <c r="E122" s="24"/>
      <c r="F122" s="24"/>
      <c r="G122" s="24"/>
      <c r="H122" s="7" t="s">
        <v>68</v>
      </c>
      <c r="I122" s="7"/>
      <c r="J122" s="7">
        <v>472</v>
      </c>
      <c r="K122" s="7">
        <f t="shared" si="323"/>
        <v>304.79999999999995</v>
      </c>
      <c r="L122" s="7">
        <f>N122*P122</f>
        <v>254</v>
      </c>
      <c r="M122" s="7">
        <v>26</v>
      </c>
      <c r="N122" s="7">
        <v>25.4</v>
      </c>
      <c r="O122" s="7">
        <v>12</v>
      </c>
      <c r="P122" s="7">
        <v>10</v>
      </c>
      <c r="Q122" s="7">
        <f t="shared" si="328"/>
        <v>914.4</v>
      </c>
      <c r="R122" s="7"/>
      <c r="S122" s="7">
        <f t="shared" si="324"/>
        <v>127</v>
      </c>
      <c r="T122" s="7"/>
      <c r="U122" s="7"/>
      <c r="V122" s="7"/>
      <c r="W122" s="7">
        <f t="shared" si="321"/>
        <v>101.6</v>
      </c>
      <c r="X122" s="7">
        <v>3</v>
      </c>
      <c r="Y122" s="7"/>
      <c r="Z122" s="7"/>
      <c r="AA122" s="7">
        <f t="shared" si="316"/>
        <v>50.8</v>
      </c>
      <c r="AB122" s="7">
        <f t="shared" si="301"/>
        <v>2.5</v>
      </c>
      <c r="AC122" s="7">
        <f t="shared" si="329"/>
        <v>2.5</v>
      </c>
      <c r="AD122" s="7">
        <v>4.04</v>
      </c>
      <c r="AE122" s="7">
        <f t="shared" si="172"/>
        <v>4.04</v>
      </c>
      <c r="AF122" s="7">
        <f t="shared" si="239"/>
        <v>5.04</v>
      </c>
      <c r="AG122" s="7">
        <f t="shared" si="240"/>
        <v>57.022858574434863</v>
      </c>
      <c r="AH122" s="7"/>
      <c r="AI122" s="7"/>
      <c r="AJ122" s="7">
        <v>371</v>
      </c>
      <c r="AK122" s="7"/>
      <c r="AL122" s="7">
        <f t="shared" si="349"/>
        <v>0.91362974984847978</v>
      </c>
      <c r="AM122" s="7">
        <v>9.5</v>
      </c>
      <c r="AN122" s="7">
        <v>2</v>
      </c>
      <c r="AO122" s="7">
        <f>K122-2*25.4</f>
        <v>253.99999999999994</v>
      </c>
      <c r="AP122" s="7">
        <v>2</v>
      </c>
      <c r="AQ122" s="7">
        <v>2</v>
      </c>
      <c r="AR122" s="7"/>
      <c r="AS122" s="4">
        <f t="shared" si="292"/>
        <v>304.79999999999995</v>
      </c>
      <c r="AT122" s="44">
        <f t="shared" si="317"/>
        <v>0.27777777777777785</v>
      </c>
      <c r="AU122" s="25">
        <f t="shared" si="333"/>
        <v>178.49684683556575</v>
      </c>
      <c r="AV122" s="4">
        <f t="shared" si="334"/>
        <v>0.74166666666666659</v>
      </c>
      <c r="AW122" s="4">
        <v>1.25</v>
      </c>
      <c r="AX122" s="25">
        <f t="shared" si="325"/>
        <v>5</v>
      </c>
      <c r="AY122" s="38">
        <f t="shared" si="287"/>
        <v>229.83534965806356</v>
      </c>
      <c r="AZ122" s="38">
        <f t="shared" si="288"/>
        <v>229.83534965806356</v>
      </c>
      <c r="BB122" s="38">
        <f t="shared" si="318"/>
        <v>229.83534965806339</v>
      </c>
      <c r="BC122" s="38">
        <f t="shared" si="243"/>
        <v>1.0000000000000007</v>
      </c>
      <c r="BD122" s="38">
        <f t="shared" si="345"/>
        <v>1.136886760621838</v>
      </c>
      <c r="BE122" s="4">
        <f t="shared" si="330"/>
        <v>0</v>
      </c>
      <c r="BF122" s="4">
        <f t="shared" si="244"/>
        <v>268.36944808383078</v>
      </c>
      <c r="BG122" s="4">
        <f t="shared" si="223"/>
        <v>1</v>
      </c>
      <c r="BH122" s="38">
        <f t="shared" si="245"/>
        <v>261.29676614914314</v>
      </c>
      <c r="BI122" s="4">
        <f t="shared" si="224"/>
        <v>0.43440000000000001</v>
      </c>
      <c r="BJ122" s="4">
        <f t="shared" si="246"/>
        <v>60.912887109379405</v>
      </c>
      <c r="BK122" s="4">
        <f t="shared" si="247"/>
        <v>322.20965325852256</v>
      </c>
      <c r="BM122" s="36">
        <f t="shared" si="319"/>
        <v>1.2593411263809653</v>
      </c>
      <c r="BN122" s="36">
        <f t="shared" si="335"/>
        <v>244.01338915208541</v>
      </c>
      <c r="BS122" s="4">
        <f t="shared" si="174"/>
        <v>57.199999999999996</v>
      </c>
      <c r="BT122" s="4">
        <f t="shared" si="175"/>
        <v>50.8</v>
      </c>
      <c r="BU122" s="4">
        <f t="shared" si="176"/>
        <v>57.199999999999996</v>
      </c>
      <c r="BV122" s="4">
        <f t="shared" si="336"/>
        <v>63.5</v>
      </c>
      <c r="BW122" s="4">
        <f t="shared" si="177"/>
        <v>1.0125984251968505</v>
      </c>
      <c r="BX122" s="25">
        <f t="shared" si="337"/>
        <v>2.7515493255056613</v>
      </c>
      <c r="BZ122" s="4">
        <f t="shared" si="347"/>
        <v>50.8</v>
      </c>
      <c r="CD122" s="9"/>
      <c r="CF122" s="9"/>
      <c r="CG122" s="9"/>
      <c r="CH122" s="9">
        <f t="shared" si="230"/>
        <v>50.8</v>
      </c>
      <c r="CI122" s="9">
        <f t="shared" si="231"/>
        <v>127</v>
      </c>
      <c r="CJ122" s="9">
        <f t="shared" si="252"/>
        <v>1.622579553879709</v>
      </c>
      <c r="CK122" s="70">
        <v>0</v>
      </c>
      <c r="CL122" s="9">
        <f t="shared" si="253"/>
        <v>1.4649014042329492E-2</v>
      </c>
      <c r="CM122" s="9">
        <f t="shared" si="254"/>
        <v>0</v>
      </c>
      <c r="CN122" s="9">
        <f t="shared" si="255"/>
        <v>0.99524931562137331</v>
      </c>
      <c r="CO122" s="9">
        <f t="shared" si="256"/>
        <v>1.056</v>
      </c>
      <c r="CP122" s="9">
        <f t="shared" si="257"/>
        <v>1.8756444837875041</v>
      </c>
      <c r="CQ122" s="9">
        <f t="shared" si="258"/>
        <v>3.0433823897408656</v>
      </c>
      <c r="CR122" s="9">
        <v>1</v>
      </c>
      <c r="CS122" s="9">
        <f t="shared" si="259"/>
        <v>304.33823897408661</v>
      </c>
      <c r="CU122" s="4">
        <f t="shared" si="350"/>
        <v>1.3824226365890593</v>
      </c>
      <c r="CV122" s="4">
        <f>AJ122/BK122</f>
        <v>1.1514242240977519</v>
      </c>
      <c r="CW122" s="4">
        <f t="shared" si="211"/>
        <v>1.5204083730371372</v>
      </c>
      <c r="CX122" s="4">
        <f t="shared" si="351"/>
        <v>1.2190384003358494</v>
      </c>
      <c r="CY122" s="4">
        <f t="shared" si="213"/>
        <v>0.91362974984847978</v>
      </c>
      <c r="CZ122" s="4">
        <f t="shared" si="214"/>
        <v>0.99828830815771896</v>
      </c>
      <c r="DA122" s="4">
        <f t="shared" si="346"/>
        <v>0.77573488574208971</v>
      </c>
      <c r="DI122" s="4">
        <f t="shared" si="294"/>
        <v>1.3824226365890593</v>
      </c>
      <c r="DJ122" s="4">
        <f t="shared" si="294"/>
        <v>1.1514242240977519</v>
      </c>
      <c r="DK122" s="4">
        <f t="shared" si="295"/>
        <v>1.2190384003358494</v>
      </c>
      <c r="DL122" s="4">
        <f t="shared" si="352"/>
        <v>0.77573488574208971</v>
      </c>
      <c r="DM122" s="4">
        <f t="shared" si="297"/>
        <v>0.91362974984847978</v>
      </c>
      <c r="DN122" s="4">
        <f t="shared" si="297"/>
        <v>0.99828830815771896</v>
      </c>
      <c r="DP122" s="4">
        <f t="shared" si="182"/>
        <v>2</v>
      </c>
      <c r="DQ122" s="4">
        <f t="shared" si="338"/>
        <v>304.79999999999995</v>
      </c>
      <c r="DR122" s="4">
        <f t="shared" si="339"/>
        <v>0.83333333333333348</v>
      </c>
      <c r="DT122" s="4">
        <f t="shared" si="262"/>
        <v>2.0812659450250191E-5</v>
      </c>
      <c r="DU122" s="4">
        <f t="shared" si="183"/>
        <v>5.1231060364842103</v>
      </c>
      <c r="DV122" s="4">
        <f t="shared" si="353"/>
        <v>0.48548741257573685</v>
      </c>
      <c r="DW122" s="4">
        <f t="shared" si="263"/>
        <v>3.837112518900283</v>
      </c>
      <c r="DX122" s="4">
        <f t="shared" si="264"/>
        <v>4.5261091865085605</v>
      </c>
      <c r="DY122" s="4">
        <f t="shared" si="354"/>
        <v>4.8712620105281452</v>
      </c>
      <c r="DZ122" s="38">
        <f t="shared" si="266"/>
        <v>406.072591289336</v>
      </c>
      <c r="EA122" s="4">
        <f t="shared" si="267"/>
        <v>1.0001268222237163</v>
      </c>
      <c r="EB122" s="4">
        <f t="shared" si="355"/>
        <v>2.2449944320643649</v>
      </c>
      <c r="EC122" s="4">
        <f t="shared" si="291"/>
        <v>229.83534965806339</v>
      </c>
      <c r="EG122" s="4">
        <f t="shared" si="268"/>
        <v>1</v>
      </c>
      <c r="EH122" s="4">
        <f t="shared" si="269"/>
        <v>0.9</v>
      </c>
      <c r="EI122" s="4">
        <f t="shared" si="340"/>
        <v>0.90713466426932854</v>
      </c>
      <c r="EJ122" s="4">
        <f t="shared" si="271"/>
        <v>0.81642119784239575</v>
      </c>
      <c r="EL122" s="4">
        <f t="shared" si="341"/>
        <v>371.63612652607162</v>
      </c>
      <c r="EM122" s="25">
        <f t="shared" si="320"/>
        <v>226.1749676920474</v>
      </c>
      <c r="EP122" s="4">
        <f t="shared" si="322"/>
        <v>5.1231060364842103</v>
      </c>
      <c r="EQ122" s="4">
        <f t="shared" si="342"/>
        <v>5.1231060364842103</v>
      </c>
      <c r="ES122" s="4">
        <f t="shared" si="276"/>
        <v>57.022858574434863</v>
      </c>
      <c r="ET122" s="4">
        <f t="shared" si="184"/>
        <v>2.2449944320643649</v>
      </c>
      <c r="EU122" s="4">
        <f t="shared" si="277"/>
        <v>0.13536298215194248</v>
      </c>
      <c r="EX122" s="4">
        <f t="shared" si="348"/>
        <v>0.13536298215194248</v>
      </c>
      <c r="EY122" s="4">
        <f t="shared" si="278"/>
        <v>0.48467722456670143</v>
      </c>
      <c r="EZ122" s="4">
        <f t="shared" si="186"/>
        <v>3.8345498651614491</v>
      </c>
      <c r="FA122" s="4">
        <f t="shared" si="232"/>
        <v>4.5250239350752812</v>
      </c>
      <c r="FB122" s="4">
        <f t="shared" si="188"/>
        <v>171.57714142556512</v>
      </c>
      <c r="FC122" s="4">
        <f t="shared" si="189"/>
        <v>76.199999999999989</v>
      </c>
      <c r="FD122" s="4">
        <f t="shared" si="279"/>
        <v>2.0812659450250191E-5</v>
      </c>
      <c r="FE122" s="4">
        <f t="shared" si="233"/>
        <v>4.871332309925922</v>
      </c>
      <c r="FF122" s="4">
        <f t="shared" si="343"/>
        <v>406.02109879071168</v>
      </c>
      <c r="FG122" s="4">
        <f t="shared" si="191"/>
        <v>171.57714142556512</v>
      </c>
      <c r="FH122" s="4">
        <f t="shared" si="192"/>
        <v>25.40000000000002</v>
      </c>
      <c r="FJ122" s="4">
        <f t="shared" si="356"/>
        <v>38.970658479407348</v>
      </c>
      <c r="FO122" s="23">
        <f t="shared" si="357"/>
        <v>1.4</v>
      </c>
      <c r="FP122" s="23">
        <f t="shared" si="357"/>
        <v>1.2</v>
      </c>
      <c r="FQ122" s="23">
        <f t="shared" si="229"/>
        <v>0.8</v>
      </c>
      <c r="FR122" s="23">
        <f t="shared" si="358"/>
        <v>1.4</v>
      </c>
      <c r="FS122" s="23">
        <f t="shared" si="358"/>
        <v>1</v>
      </c>
      <c r="FT122" s="23">
        <f t="shared" si="358"/>
        <v>1</v>
      </c>
      <c r="FU122" s="23">
        <f t="shared" si="221"/>
        <v>0</v>
      </c>
      <c r="FV122" s="23"/>
      <c r="GF122" s="4">
        <f t="shared" si="282"/>
        <v>1</v>
      </c>
      <c r="GG122" s="4">
        <f t="shared" si="283"/>
        <v>0.56497177617382699</v>
      </c>
      <c r="GH122" s="4">
        <f t="shared" si="284"/>
        <v>0.18651703970074607</v>
      </c>
      <c r="GI122" s="4">
        <f t="shared" si="285"/>
        <v>478.25617594223706</v>
      </c>
      <c r="GK122" s="4">
        <f>48000/145/25.4^0.75</f>
        <v>29.258223133921348</v>
      </c>
      <c r="GL122" s="4">
        <f>IF(AO122&gt;1, 0.05*(18-MIN(8,(W122+N122)/N122))*(1-29.3/MAX(60000/145,(J122))*(N122)^0.75*GH122), 1/12*(14-MIN(8,(W122+N122)/N122)))</f>
        <v>0.56485036713598391</v>
      </c>
      <c r="GM122" s="4">
        <f>(1-48000/MAX(60000,(J122*145))*(N122/25.4)^0.75*GH122)</f>
        <v>0.86918734795973385</v>
      </c>
      <c r="GN122" s="4">
        <f>(1-29.3/MAX(60000/145,(J122))*(N122)^0.75*GH122)</f>
        <v>0.86900056482459054</v>
      </c>
    </row>
    <row r="123" spans="1:196" ht="12" hidden="1" customHeight="1" x14ac:dyDescent="0.3">
      <c r="A123" s="25">
        <v>104</v>
      </c>
      <c r="B123" s="20" t="s">
        <v>54</v>
      </c>
      <c r="C123" s="20">
        <v>2012</v>
      </c>
      <c r="D123" s="20" t="s">
        <v>293</v>
      </c>
      <c r="E123" s="24"/>
      <c r="F123" s="24"/>
      <c r="G123" s="24"/>
      <c r="H123" s="7" t="s">
        <v>68</v>
      </c>
      <c r="I123" s="7"/>
      <c r="J123" s="7">
        <v>472</v>
      </c>
      <c r="K123" s="7">
        <f t="shared" si="323"/>
        <v>304.79999999999995</v>
      </c>
      <c r="L123" s="7">
        <f>N123*P123</f>
        <v>254</v>
      </c>
      <c r="M123" s="7">
        <v>26</v>
      </c>
      <c r="N123" s="7">
        <v>25.4</v>
      </c>
      <c r="O123" s="7">
        <v>12</v>
      </c>
      <c r="P123" s="7">
        <v>10</v>
      </c>
      <c r="Q123" s="7">
        <f t="shared" si="328"/>
        <v>914.4</v>
      </c>
      <c r="R123" s="7"/>
      <c r="S123" s="7">
        <f t="shared" si="324"/>
        <v>127</v>
      </c>
      <c r="T123" s="7"/>
      <c r="U123" s="7"/>
      <c r="V123" s="7"/>
      <c r="W123" s="7">
        <f t="shared" si="321"/>
        <v>101.6</v>
      </c>
      <c r="X123" s="7">
        <v>3</v>
      </c>
      <c r="Y123" s="7"/>
      <c r="Z123" s="7"/>
      <c r="AA123" s="7">
        <f t="shared" si="316"/>
        <v>50.8</v>
      </c>
      <c r="AB123" s="7">
        <f t="shared" si="301"/>
        <v>2.5</v>
      </c>
      <c r="AC123" s="7">
        <f t="shared" si="329"/>
        <v>2.5</v>
      </c>
      <c r="AD123" s="7">
        <v>4.04</v>
      </c>
      <c r="AE123" s="7">
        <f t="shared" si="172"/>
        <v>4.04</v>
      </c>
      <c r="AF123" s="7">
        <f t="shared" si="239"/>
        <v>5.04</v>
      </c>
      <c r="AG123" s="7">
        <f t="shared" si="240"/>
        <v>57.022858574434863</v>
      </c>
      <c r="AH123" s="7"/>
      <c r="AI123" s="7"/>
      <c r="AJ123" s="7">
        <v>390</v>
      </c>
      <c r="AK123" s="7"/>
      <c r="AL123" s="7">
        <f t="shared" si="349"/>
        <v>0.88891200438416107</v>
      </c>
      <c r="AM123" s="7">
        <v>9.5</v>
      </c>
      <c r="AN123" s="7">
        <v>2</v>
      </c>
      <c r="AO123" s="7">
        <f>3*25.4</f>
        <v>76.199999999999989</v>
      </c>
      <c r="AP123" s="7">
        <v>2</v>
      </c>
      <c r="AQ123" s="7">
        <v>2</v>
      </c>
      <c r="AR123" s="7"/>
      <c r="AS123" s="4">
        <f t="shared" si="292"/>
        <v>304.79999999999995</v>
      </c>
      <c r="AT123" s="44">
        <f t="shared" si="317"/>
        <v>0.27777777777777785</v>
      </c>
      <c r="AU123" s="25">
        <f t="shared" si="333"/>
        <v>178.49684683556575</v>
      </c>
      <c r="AV123" s="4">
        <f t="shared" si="334"/>
        <v>0.74166666666666659</v>
      </c>
      <c r="AW123" s="4">
        <v>1.25</v>
      </c>
      <c r="AX123" s="25">
        <f t="shared" si="325"/>
        <v>5</v>
      </c>
      <c r="AY123" s="38">
        <f t="shared" si="287"/>
        <v>229.83534965806356</v>
      </c>
      <c r="AZ123" s="38">
        <f t="shared" si="288"/>
        <v>229.83534965806356</v>
      </c>
      <c r="BB123" s="38">
        <f t="shared" si="318"/>
        <v>229.83534965806339</v>
      </c>
      <c r="BC123" s="38">
        <f t="shared" si="243"/>
        <v>1.0000000000000007</v>
      </c>
      <c r="BD123" s="38">
        <f t="shared" si="345"/>
        <v>1.136886760621838</v>
      </c>
      <c r="BE123" s="4">
        <f t="shared" si="330"/>
        <v>0</v>
      </c>
      <c r="BF123" s="4">
        <f t="shared" si="244"/>
        <v>268.36944808383078</v>
      </c>
      <c r="BG123" s="4">
        <f t="shared" si="223"/>
        <v>1</v>
      </c>
      <c r="BH123" s="38">
        <f t="shared" si="245"/>
        <v>261.29676614914314</v>
      </c>
      <c r="BI123" s="4">
        <f t="shared" si="224"/>
        <v>0.43440000000000001</v>
      </c>
      <c r="BJ123" s="4">
        <f t="shared" si="246"/>
        <v>60.912887109379405</v>
      </c>
      <c r="BK123" s="4">
        <f t="shared" si="247"/>
        <v>322.20965325852256</v>
      </c>
      <c r="BM123" s="36">
        <f t="shared" si="319"/>
        <v>1.5669704212698847</v>
      </c>
      <c r="BN123" s="36">
        <f t="shared" si="335"/>
        <v>303.62048470055822</v>
      </c>
      <c r="BS123" s="4">
        <f t="shared" si="174"/>
        <v>57.199999999999996</v>
      </c>
      <c r="BT123" s="4">
        <f t="shared" si="175"/>
        <v>50.8</v>
      </c>
      <c r="BU123" s="4">
        <f t="shared" si="176"/>
        <v>57.199999999999996</v>
      </c>
      <c r="BV123" s="4">
        <f t="shared" si="336"/>
        <v>63.5</v>
      </c>
      <c r="BW123" s="4">
        <f t="shared" si="177"/>
        <v>1.0125984251968505</v>
      </c>
      <c r="BX123" s="25">
        <f t="shared" si="337"/>
        <v>3.2650069380372431</v>
      </c>
      <c r="BZ123" s="4">
        <f t="shared" si="347"/>
        <v>50.8</v>
      </c>
      <c r="CD123" s="9"/>
      <c r="CF123" s="9"/>
      <c r="CG123" s="9"/>
      <c r="CH123" s="9">
        <f t="shared" si="230"/>
        <v>50.8</v>
      </c>
      <c r="CI123" s="9">
        <f t="shared" si="231"/>
        <v>127</v>
      </c>
      <c r="CJ123" s="9">
        <f t="shared" si="252"/>
        <v>1.622579553879709</v>
      </c>
      <c r="CK123" s="70">
        <v>20</v>
      </c>
      <c r="CL123" s="9">
        <f t="shared" si="253"/>
        <v>4.8830046807764975E-2</v>
      </c>
      <c r="CM123" s="9">
        <f t="shared" si="254"/>
        <v>0.77660093615529946</v>
      </c>
      <c r="CN123" s="9">
        <f t="shared" si="255"/>
        <v>0.99524931562137331</v>
      </c>
      <c r="CO123" s="9">
        <f t="shared" si="256"/>
        <v>1.056</v>
      </c>
      <c r="CP123" s="9">
        <f t="shared" si="257"/>
        <v>1.8756444837875041</v>
      </c>
      <c r="CQ123" s="9">
        <f t="shared" si="258"/>
        <v>4.5000096517447643</v>
      </c>
      <c r="CR123" s="9">
        <v>1</v>
      </c>
      <c r="CS123" s="9">
        <f t="shared" si="259"/>
        <v>450.00096517447645</v>
      </c>
      <c r="CU123" s="4">
        <f t="shared" si="350"/>
        <v>1.4532205613739437</v>
      </c>
      <c r="CV123" s="4">
        <f>AJ123/BK123</f>
        <v>1.2103920415043752</v>
      </c>
      <c r="CW123" s="4">
        <f t="shared" si="211"/>
        <v>1.2844983117151416</v>
      </c>
      <c r="CX123" s="4">
        <f t="shared" si="351"/>
        <v>0.86666480781610633</v>
      </c>
      <c r="CY123" s="4">
        <f t="shared" si="213"/>
        <v>0.88891200438416107</v>
      </c>
      <c r="CZ123" s="4">
        <f t="shared" si="214"/>
        <v>0.9769003202032982</v>
      </c>
      <c r="DA123" s="4">
        <f t="shared" si="346"/>
        <v>0.81546254835421828</v>
      </c>
      <c r="DI123" s="4">
        <f t="shared" si="294"/>
        <v>1.4532205613739437</v>
      </c>
      <c r="DJ123" s="4">
        <f t="shared" si="294"/>
        <v>1.2103920415043752</v>
      </c>
      <c r="DK123" s="4">
        <f t="shared" si="295"/>
        <v>0.86666480781610633</v>
      </c>
      <c r="DL123" s="4">
        <f t="shared" si="352"/>
        <v>0.81546254835421828</v>
      </c>
      <c r="DM123" s="4">
        <f t="shared" si="297"/>
        <v>0.88891200438416107</v>
      </c>
      <c r="DN123" s="4">
        <f t="shared" si="297"/>
        <v>0.9769003202032982</v>
      </c>
      <c r="DP123" s="4">
        <f t="shared" si="182"/>
        <v>2</v>
      </c>
      <c r="DQ123" s="4">
        <f t="shared" si="338"/>
        <v>304.79999999999995</v>
      </c>
      <c r="DR123" s="4">
        <f t="shared" si="339"/>
        <v>0.83333333333333348</v>
      </c>
      <c r="DT123" s="4">
        <f t="shared" si="262"/>
        <v>2.0812659450250191E-5</v>
      </c>
      <c r="DU123" s="4">
        <f t="shared" si="183"/>
        <v>6.0791120836430785</v>
      </c>
      <c r="DV123" s="4">
        <f t="shared" si="353"/>
        <v>0.48548741257573685</v>
      </c>
      <c r="DW123" s="4">
        <f t="shared" si="263"/>
        <v>4.5531435253978731</v>
      </c>
      <c r="DX123" s="4">
        <f t="shared" si="264"/>
        <v>5.3707116057418993</v>
      </c>
      <c r="DY123" s="4">
        <f t="shared" si="354"/>
        <v>5.7250392510040635</v>
      </c>
      <c r="DZ123" s="38">
        <f t="shared" si="266"/>
        <v>438.73859063270532</v>
      </c>
      <c r="EA123" s="4">
        <f t="shared" si="267"/>
        <v>1.0001388635364257</v>
      </c>
      <c r="EB123" s="4">
        <f t="shared" si="355"/>
        <v>2.2449944320643649</v>
      </c>
      <c r="EC123" s="4">
        <f t="shared" si="291"/>
        <v>229.83534965806339</v>
      </c>
      <c r="EG123" s="4">
        <f t="shared" si="268"/>
        <v>1</v>
      </c>
      <c r="EH123" s="4">
        <f t="shared" si="269"/>
        <v>0.9</v>
      </c>
      <c r="EI123" s="4">
        <f t="shared" si="340"/>
        <v>0.90713466426932854</v>
      </c>
      <c r="EJ123" s="4">
        <f t="shared" si="271"/>
        <v>0.81642119784239575</v>
      </c>
      <c r="EL123" s="4">
        <f t="shared" si="341"/>
        <v>399.2218980119066</v>
      </c>
      <c r="EM123" s="25">
        <f t="shared" si="320"/>
        <v>226.1749676920474</v>
      </c>
      <c r="EP123" s="4">
        <f t="shared" si="322"/>
        <v>6.0791120836430785</v>
      </c>
      <c r="EQ123" s="4">
        <f t="shared" si="342"/>
        <v>6.0791120836430785</v>
      </c>
      <c r="ES123" s="4">
        <f t="shared" si="276"/>
        <v>57.022858574434863</v>
      </c>
      <c r="ET123" s="4">
        <f t="shared" si="184"/>
        <v>2.2449944320643649</v>
      </c>
      <c r="EU123" s="4">
        <f t="shared" si="277"/>
        <v>0.13536298215194248</v>
      </c>
      <c r="EX123" s="4">
        <f t="shared" si="348"/>
        <v>0.13536298215194248</v>
      </c>
      <c r="EY123" s="4">
        <f t="shared" si="278"/>
        <v>0.48467722456670143</v>
      </c>
      <c r="EZ123" s="4">
        <f t="shared" si="186"/>
        <v>4.5501026632335932</v>
      </c>
      <c r="FA123" s="4">
        <f t="shared" si="232"/>
        <v>5.3694238390911897</v>
      </c>
      <c r="FB123" s="4">
        <f t="shared" si="188"/>
        <v>171.57714142556512</v>
      </c>
      <c r="FC123" s="4">
        <f t="shared" si="189"/>
        <v>76.199999999999989</v>
      </c>
      <c r="FD123" s="4">
        <f t="shared" si="279"/>
        <v>2.0812659450250191E-5</v>
      </c>
      <c r="FE123" s="4">
        <f t="shared" si="233"/>
        <v>5.7251380864114534</v>
      </c>
      <c r="FF123" s="4">
        <f t="shared" si="343"/>
        <v>438.67767429950112</v>
      </c>
      <c r="FG123" s="4">
        <f t="shared" si="191"/>
        <v>171.57714142556512</v>
      </c>
      <c r="FH123" s="4">
        <f t="shared" si="192"/>
        <v>25.40000000000002</v>
      </c>
      <c r="FJ123" s="4">
        <f t="shared" si="356"/>
        <v>45.801104691291584</v>
      </c>
      <c r="FO123" s="23">
        <f t="shared" si="357"/>
        <v>1.6</v>
      </c>
      <c r="FP123" s="23">
        <f t="shared" si="357"/>
        <v>1.4</v>
      </c>
      <c r="FQ123" s="23">
        <f t="shared" si="229"/>
        <v>1</v>
      </c>
      <c r="FR123" s="23">
        <f t="shared" si="358"/>
        <v>1</v>
      </c>
      <c r="FS123" s="23">
        <f t="shared" si="358"/>
        <v>1</v>
      </c>
      <c r="FT123" s="23">
        <f t="shared" si="358"/>
        <v>1</v>
      </c>
      <c r="FU123" s="23">
        <f t="shared" si="221"/>
        <v>0</v>
      </c>
      <c r="FV123" s="23"/>
      <c r="GF123" s="4">
        <f t="shared" si="282"/>
        <v>1</v>
      </c>
      <c r="GG123" s="4">
        <f t="shared" si="283"/>
        <v>0.56497177617382699</v>
      </c>
      <c r="GH123" s="4">
        <f t="shared" si="284"/>
        <v>0.18651703970074607</v>
      </c>
      <c r="GI123" s="4">
        <f t="shared" si="285"/>
        <v>478.25617594223706</v>
      </c>
      <c r="GL123" s="4">
        <f>IF(AO123&gt;1, 0.05*(18-MIN(8,(W123+N123)/N123))*(1-29.3/MAX(60000/145,(J123))*(N123)^0.75*GH123), 1/12*(14-MIN(8,(W123+N123)/N123)))</f>
        <v>0.56485036713598391</v>
      </c>
    </row>
    <row r="124" spans="1:196" ht="12" hidden="1" customHeight="1" x14ac:dyDescent="0.3">
      <c r="A124" s="25">
        <v>105</v>
      </c>
      <c r="B124" s="24" t="s">
        <v>128</v>
      </c>
      <c r="C124" s="24">
        <v>2015</v>
      </c>
      <c r="D124" s="24" t="s">
        <v>293</v>
      </c>
      <c r="E124" s="24"/>
      <c r="F124" s="24"/>
      <c r="G124" s="24"/>
      <c r="H124" s="7" t="s">
        <v>129</v>
      </c>
      <c r="I124" s="7"/>
      <c r="J124" s="7">
        <v>710</v>
      </c>
      <c r="K124" s="7">
        <f t="shared" si="323"/>
        <v>429</v>
      </c>
      <c r="L124" s="7">
        <f>K124</f>
        <v>429</v>
      </c>
      <c r="M124" s="7">
        <v>41.4</v>
      </c>
      <c r="N124" s="7">
        <v>28.6</v>
      </c>
      <c r="O124" s="7">
        <v>15</v>
      </c>
      <c r="P124" s="7">
        <f>O124</f>
        <v>15</v>
      </c>
      <c r="Q124" s="7">
        <v>261</v>
      </c>
      <c r="R124" s="7"/>
      <c r="S124" s="7">
        <f>N124</f>
        <v>28.6</v>
      </c>
      <c r="T124" s="7"/>
      <c r="U124" s="7"/>
      <c r="V124" s="7"/>
      <c r="W124" s="7">
        <f>1*N124</f>
        <v>28.6</v>
      </c>
      <c r="X124" s="7">
        <v>2</v>
      </c>
      <c r="Y124" s="7"/>
      <c r="Z124" s="7"/>
      <c r="AA124" s="7">
        <f t="shared" ref="AA124:AA147" si="359">72.5-N124/2</f>
        <v>58.2</v>
      </c>
      <c r="AB124" s="7">
        <f t="shared" si="301"/>
        <v>1</v>
      </c>
      <c r="AC124" s="7">
        <f t="shared" ref="AC124:AC153" si="360">MIN(AA124/N124+0.5, (S124+N124/2)/N124)</f>
        <v>1.5000000000000002</v>
      </c>
      <c r="AD124" s="7">
        <f>AF124-1</f>
        <v>4</v>
      </c>
      <c r="AE124" s="7">
        <f t="shared" si="172"/>
        <v>4</v>
      </c>
      <c r="AF124" s="7">
        <v>5</v>
      </c>
      <c r="AG124" s="7">
        <f t="shared" si="240"/>
        <v>63.951544156493995</v>
      </c>
      <c r="AH124" s="7"/>
      <c r="AI124" s="7"/>
      <c r="AJ124" s="7">
        <v>312</v>
      </c>
      <c r="AK124" s="7"/>
      <c r="AL124" s="7">
        <f t="shared" si="349"/>
        <v>1.1567904160258464</v>
      </c>
      <c r="AM124" s="7">
        <v>0</v>
      </c>
      <c r="AN124" s="7">
        <v>0</v>
      </c>
      <c r="AO124" s="7">
        <f t="shared" ref="AO124:AO139" si="361">L124</f>
        <v>429</v>
      </c>
      <c r="AP124" s="7"/>
      <c r="AQ124" s="7"/>
      <c r="AR124" s="7"/>
      <c r="AS124" s="4">
        <f t="shared" si="292"/>
        <v>429</v>
      </c>
      <c r="AT124" s="46">
        <f t="shared" ref="AT124:AT147" si="362">MIN(Q124)*(MIN(350-AA124-0.5*N124,1.5*AS124)+AA124+N124/2)/(3*K124)^2</f>
        <v>5.5150754451453753E-2</v>
      </c>
      <c r="AU124" s="25">
        <f t="shared" si="333"/>
        <v>444.9735182569961</v>
      </c>
      <c r="AV124" s="4">
        <f t="shared" si="334"/>
        <v>0.72</v>
      </c>
      <c r="AW124" s="4">
        <v>1.25</v>
      </c>
      <c r="AX124" s="25">
        <f t="shared" si="325"/>
        <v>5</v>
      </c>
      <c r="AY124" s="38">
        <f t="shared" si="287"/>
        <v>110.4328135925598</v>
      </c>
      <c r="AZ124" s="38">
        <f t="shared" si="288"/>
        <v>110.4328135925598</v>
      </c>
      <c r="BB124" s="38">
        <f t="shared" ref="BB124:BB147" si="363">AX124* (M124^0.5/AS124^0.5)/(PI()/4*N124^2)/X124/0.72 *(0.7+(MIN(S124,AA124)+0.5*N124)/5/K124) *(Q124*MIN(AA124+0.5*N124+1.5*K124,350))</f>
        <v>110.43281359255974</v>
      </c>
      <c r="BC124" s="38">
        <f t="shared" si="243"/>
        <v>1.0000000000000004</v>
      </c>
      <c r="BD124" s="38">
        <f t="shared" si="345"/>
        <v>1.7994651547426346</v>
      </c>
      <c r="BE124" s="4">
        <f t="shared" si="330"/>
        <v>0</v>
      </c>
      <c r="BF124" s="4">
        <f t="shared" si="244"/>
        <v>507.96972448880257</v>
      </c>
      <c r="BG124" s="4">
        <f t="shared" si="223"/>
        <v>1.2000000000000002</v>
      </c>
      <c r="BH124" s="38">
        <f t="shared" si="245"/>
        <v>198.72000000000003</v>
      </c>
      <c r="BI124" s="4">
        <f t="shared" si="224"/>
        <v>0.44000000000000006</v>
      </c>
      <c r="BJ124" s="4">
        <f t="shared" si="246"/>
        <v>116.7822396599757</v>
      </c>
      <c r="BK124" s="4">
        <f t="shared" si="247"/>
        <v>315.50223965997571</v>
      </c>
      <c r="BM124" s="36">
        <f t="shared" si="319"/>
        <v>1</v>
      </c>
      <c r="BN124" s="36">
        <f t="shared" si="335"/>
        <v>295.97702613547563</v>
      </c>
      <c r="BS124" s="4">
        <f>IF(X124=1,S124,MIN(S124,W124/2+6.4))</f>
        <v>20.700000000000003</v>
      </c>
      <c r="BT124" s="4">
        <f t="shared" si="175"/>
        <v>20.700000000000003</v>
      </c>
      <c r="BU124" s="4">
        <f t="shared" si="176"/>
        <v>58.2</v>
      </c>
      <c r="BV124" s="4">
        <f t="shared" si="336"/>
        <v>35</v>
      </c>
      <c r="BW124" s="4">
        <f t="shared" si="177"/>
        <v>1.181159420289855</v>
      </c>
      <c r="BX124" s="25">
        <f t="shared" si="337"/>
        <v>1.4454748150400323</v>
      </c>
      <c r="BZ124" s="4">
        <f t="shared" si="347"/>
        <v>14.3</v>
      </c>
      <c r="CD124" s="9"/>
      <c r="CF124" s="9"/>
      <c r="CG124" s="9"/>
      <c r="CH124" s="9">
        <f t="shared" si="230"/>
        <v>14.3</v>
      </c>
      <c r="CI124" s="9">
        <f t="shared" si="231"/>
        <v>28.6</v>
      </c>
      <c r="CJ124" s="9">
        <f t="shared" si="252"/>
        <v>0.78458409789675088</v>
      </c>
      <c r="CK124" s="70">
        <v>0</v>
      </c>
      <c r="CL124" s="9">
        <f t="shared" si="253"/>
        <v>0</v>
      </c>
      <c r="CM124" s="9">
        <f t="shared" si="254"/>
        <v>0</v>
      </c>
      <c r="CN124" s="9">
        <f t="shared" si="255"/>
        <v>0.96044432035915817</v>
      </c>
      <c r="CO124" s="9">
        <f t="shared" si="256"/>
        <v>0.74299999999999999</v>
      </c>
      <c r="CP124" s="9">
        <f t="shared" si="257"/>
        <v>1.6070493790635749</v>
      </c>
      <c r="CQ124" s="9">
        <f t="shared" si="258"/>
        <v>1.2608653873481286</v>
      </c>
      <c r="CR124" s="9">
        <v>1</v>
      </c>
      <c r="CS124" s="9">
        <f t="shared" si="259"/>
        <v>151.30384648177542</v>
      </c>
      <c r="CU124" s="4">
        <f t="shared" si="350"/>
        <v>0.61420983369428661</v>
      </c>
      <c r="CV124" s="4">
        <f t="shared" ref="CV124:CV153" si="364">AJ124/BK124</f>
        <v>0.98889947765901709</v>
      </c>
      <c r="CW124" s="4">
        <f t="shared" si="211"/>
        <v>1.0541358701847023</v>
      </c>
      <c r="CX124" s="4">
        <f t="shared" si="351"/>
        <v>2.0620757981693512</v>
      </c>
      <c r="CY124" s="4">
        <f t="shared" si="213"/>
        <v>1.1567904160258464</v>
      </c>
      <c r="CZ124" s="4">
        <f t="shared" si="214"/>
        <v>1.1921334586493271</v>
      </c>
      <c r="DA124" s="4">
        <f t="shared" si="346"/>
        <v>0.87260289867724583</v>
      </c>
      <c r="DC124" s="4">
        <f t="shared" si="215"/>
        <v>0.61420983369428661</v>
      </c>
      <c r="DD124" s="4">
        <f t="shared" si="215"/>
        <v>0.98889947765901709</v>
      </c>
      <c r="DE124" s="4">
        <f t="shared" si="216"/>
        <v>2.0620757981693512</v>
      </c>
      <c r="DF124" s="4">
        <f t="shared" ref="DF124:DF139" si="365">DA124</f>
        <v>0.87260289867724583</v>
      </c>
      <c r="DG124" s="4">
        <f t="shared" si="218"/>
        <v>1.1567904160258464</v>
      </c>
      <c r="DH124" s="4">
        <f t="shared" si="218"/>
        <v>1.1921334586493271</v>
      </c>
      <c r="DP124" s="4">
        <f t="shared" si="182"/>
        <v>0</v>
      </c>
      <c r="DQ124" s="4">
        <f t="shared" si="338"/>
        <v>429</v>
      </c>
      <c r="DR124" s="4">
        <f t="shared" si="339"/>
        <v>1</v>
      </c>
      <c r="DT124" s="4">
        <f t="shared" si="262"/>
        <v>2.8953960744479089E-5</v>
      </c>
      <c r="DU124" s="4">
        <f t="shared" si="183"/>
        <v>3.3960968587263358</v>
      </c>
      <c r="DV124" s="4">
        <f t="shared" si="353"/>
        <v>0.16594176945972797</v>
      </c>
      <c r="DW124" s="4">
        <f t="shared" si="263"/>
        <v>1.6556264453486476</v>
      </c>
      <c r="DX124" s="4">
        <f t="shared" si="264"/>
        <v>2.6731255192363665</v>
      </c>
      <c r="DY124" s="4">
        <f t="shared" si="354"/>
        <v>3.2059403020553709</v>
      </c>
      <c r="DZ124" s="38">
        <f t="shared" si="266"/>
        <v>269.71177810400263</v>
      </c>
      <c r="EA124" s="4">
        <f t="shared" si="267"/>
        <v>1.0000801385301492</v>
      </c>
      <c r="EB124" s="4">
        <f t="shared" si="355"/>
        <v>2.2360679774997898</v>
      </c>
      <c r="EC124" s="4">
        <f t="shared" si="291"/>
        <v>110.43281359255974</v>
      </c>
      <c r="EG124" s="4">
        <f t="shared" si="268"/>
        <v>1</v>
      </c>
      <c r="EH124" s="4">
        <f t="shared" si="269"/>
        <v>1</v>
      </c>
      <c r="EI124" s="4">
        <f t="shared" si="340"/>
        <v>1</v>
      </c>
      <c r="EJ124" s="4">
        <f t="shared" si="271"/>
        <v>1</v>
      </c>
      <c r="EL124" s="4">
        <f t="shared" si="341"/>
        <v>261.71566424575673</v>
      </c>
      <c r="EM124" s="25">
        <f t="shared" ref="EM124:EM147" si="366">8.8*Q124*350*M124^0.5/X124/N124^2/K124^0.5*(0.7+MIN(AA124,S124)/5/K124)</f>
        <v>108.89130560307159</v>
      </c>
      <c r="EP124" s="4">
        <f t="shared" si="322"/>
        <v>3.3960968587263358</v>
      </c>
      <c r="EQ124" s="4">
        <f t="shared" si="342"/>
        <v>3.3960968587263358</v>
      </c>
      <c r="ES124" s="4">
        <f t="shared" si="276"/>
        <v>63.951544156493995</v>
      </c>
      <c r="ET124" s="4">
        <f t="shared" si="184"/>
        <v>2.2360679774997898</v>
      </c>
      <c r="EU124" s="4">
        <f t="shared" si="277"/>
        <v>5.8383637923874583E-2</v>
      </c>
      <c r="EX124" s="4">
        <f t="shared" si="348"/>
        <v>5.8383637923874583E-2</v>
      </c>
      <c r="EY124" s="4">
        <f t="shared" si="278"/>
        <v>0.16566484357384129</v>
      </c>
      <c r="EZ124" s="4">
        <f t="shared" si="186"/>
        <v>1.6545207187692508</v>
      </c>
      <c r="FA124" s="4">
        <f t="shared" si="232"/>
        <v>2.6727876155691903</v>
      </c>
      <c r="FB124" s="4">
        <f t="shared" si="188"/>
        <v>257.79845584350602</v>
      </c>
      <c r="FC124" s="4">
        <f t="shared" si="189"/>
        <v>107.25</v>
      </c>
      <c r="FD124" s="4">
        <f t="shared" si="279"/>
        <v>2.8953960744479089E-5</v>
      </c>
      <c r="FE124" s="4">
        <f t="shared" si="233"/>
        <v>3.20597101595318</v>
      </c>
      <c r="FF124" s="4">
        <f t="shared" si="343"/>
        <v>269.69016553054132</v>
      </c>
      <c r="FG124" s="4">
        <f t="shared" si="191"/>
        <v>257.79845584350602</v>
      </c>
      <c r="FH124" s="4">
        <f t="shared" si="192"/>
        <v>107.24999999999999</v>
      </c>
      <c r="FJ124" s="4">
        <f t="shared" si="356"/>
        <v>0</v>
      </c>
      <c r="FO124" s="23">
        <f>IF(CU124&lt;0.6,0.6,IF(CU124&lt;0.8,0.8,IF(CU124&lt;1,1,IF(CU124&lt;1.2,1.2,IF(CU124&lt;1.4,1.4,IF(CU124&lt;1.6,1.6,IF(CU124&lt;1.8,1.8,IF(CU124&lt;2,2,2.2))))))))</f>
        <v>0.8</v>
      </c>
      <c r="FP124" s="23">
        <f t="shared" si="357"/>
        <v>1</v>
      </c>
      <c r="FQ124" s="23">
        <f t="shared" si="229"/>
        <v>1</v>
      </c>
      <c r="FR124" s="23">
        <f t="shared" si="358"/>
        <v>2.2000000000000002</v>
      </c>
      <c r="FS124" s="23">
        <f t="shared" si="358"/>
        <v>1.2</v>
      </c>
      <c r="FT124" s="23">
        <f t="shared" si="358"/>
        <v>1.2</v>
      </c>
      <c r="FU124" s="23">
        <f t="shared" si="221"/>
        <v>0</v>
      </c>
      <c r="FV124" s="23"/>
      <c r="GF124" s="4">
        <f>IF(S124&gt;=2.5*25.4,1,1.25)</f>
        <v>1.25</v>
      </c>
      <c r="GG124" s="4">
        <f t="shared" si="283"/>
        <v>0.8</v>
      </c>
      <c r="GH124" s="4">
        <f t="shared" si="284"/>
        <v>0</v>
      </c>
      <c r="GI124" s="4">
        <f t="shared" si="285"/>
        <v>357.55095527754037</v>
      </c>
      <c r="GL124" s="4">
        <f>IF(AO124&gt;1, 0.05*(18-MIN(8,(W124+N124)/N124))*(1-29.3/MAX(60000/145,(J124))*(N124)^0.75*GH124), 1/12*(14-MIN(8,(W124+N124)/N124)))</f>
        <v>0.8</v>
      </c>
    </row>
    <row r="125" spans="1:196" ht="12" hidden="1" customHeight="1" x14ac:dyDescent="0.3">
      <c r="A125" s="25">
        <v>106</v>
      </c>
      <c r="B125" s="24" t="s">
        <v>128</v>
      </c>
      <c r="C125" s="24">
        <v>2015</v>
      </c>
      <c r="D125" s="24" t="s">
        <v>293</v>
      </c>
      <c r="E125" s="24"/>
      <c r="F125" s="24"/>
      <c r="G125" s="24"/>
      <c r="H125" s="7" t="s">
        <v>130</v>
      </c>
      <c r="I125" s="7"/>
      <c r="J125" s="7">
        <v>710</v>
      </c>
      <c r="K125" s="7">
        <f t="shared" si="323"/>
        <v>572</v>
      </c>
      <c r="L125" s="7">
        <f t="shared" ref="L125:L147" si="367">K125</f>
        <v>572</v>
      </c>
      <c r="M125" s="7">
        <v>41.4</v>
      </c>
      <c r="N125" s="7">
        <v>28.6</v>
      </c>
      <c r="O125" s="7">
        <v>20</v>
      </c>
      <c r="P125" s="7">
        <f t="shared" ref="P125:P147" si="368">O125</f>
        <v>20</v>
      </c>
      <c r="Q125" s="7">
        <v>261</v>
      </c>
      <c r="R125" s="7"/>
      <c r="S125" s="7">
        <f>N125</f>
        <v>28.6</v>
      </c>
      <c r="T125" s="7"/>
      <c r="U125" s="7"/>
      <c r="V125" s="7"/>
      <c r="W125" s="7">
        <f>1*N125</f>
        <v>28.6</v>
      </c>
      <c r="X125" s="7">
        <v>2</v>
      </c>
      <c r="Y125" s="7"/>
      <c r="Z125" s="7"/>
      <c r="AA125" s="7">
        <f t="shared" si="359"/>
        <v>58.2</v>
      </c>
      <c r="AB125" s="7">
        <f t="shared" si="301"/>
        <v>1</v>
      </c>
      <c r="AC125" s="7">
        <f t="shared" si="360"/>
        <v>1.5000000000000002</v>
      </c>
      <c r="AD125" s="7">
        <f t="shared" ref="AD125:AD147" si="369">AF125-1</f>
        <v>4</v>
      </c>
      <c r="AE125" s="7">
        <f t="shared" si="172"/>
        <v>4</v>
      </c>
      <c r="AF125" s="7">
        <v>5</v>
      </c>
      <c r="AG125" s="7">
        <f t="shared" si="240"/>
        <v>63.951544156493995</v>
      </c>
      <c r="AH125" s="7"/>
      <c r="AI125" s="7"/>
      <c r="AJ125" s="7">
        <v>367</v>
      </c>
      <c r="AK125" s="7"/>
      <c r="AL125" s="7">
        <f t="shared" si="349"/>
        <v>1.2028473585857065</v>
      </c>
      <c r="AM125" s="7">
        <v>0</v>
      </c>
      <c r="AN125" s="7">
        <v>0</v>
      </c>
      <c r="AO125" s="7">
        <f t="shared" si="361"/>
        <v>572</v>
      </c>
      <c r="AP125" s="7"/>
      <c r="AQ125" s="7"/>
      <c r="AR125" s="7"/>
      <c r="AS125" s="4">
        <f t="shared" si="292"/>
        <v>572</v>
      </c>
      <c r="AT125" s="46">
        <f t="shared" si="362"/>
        <v>3.1022299378942735E-2</v>
      </c>
      <c r="AU125" s="25">
        <f t="shared" si="333"/>
        <v>685.08154812781754</v>
      </c>
      <c r="AV125" s="4">
        <f t="shared" si="334"/>
        <v>0.71499999999999997</v>
      </c>
      <c r="AW125" s="4">
        <v>1.25</v>
      </c>
      <c r="AX125" s="25">
        <f t="shared" si="325"/>
        <v>5</v>
      </c>
      <c r="AY125" s="38">
        <f t="shared" si="287"/>
        <v>94.973471829891636</v>
      </c>
      <c r="AZ125" s="38">
        <f t="shared" si="288"/>
        <v>94.973471829891636</v>
      </c>
      <c r="BB125" s="38">
        <f t="shared" si="363"/>
        <v>94.973471829891608</v>
      </c>
      <c r="BC125" s="38">
        <f t="shared" si="243"/>
        <v>1.0000000000000002</v>
      </c>
      <c r="BD125" s="38">
        <f t="shared" si="345"/>
        <v>2.092373756283548</v>
      </c>
      <c r="BE125" s="4">
        <f t="shared" si="330"/>
        <v>0</v>
      </c>
      <c r="BF125" s="4">
        <f t="shared" si="244"/>
        <v>677.29296598506994</v>
      </c>
      <c r="BG125" s="4">
        <f t="shared" si="223"/>
        <v>1.2000000000000002</v>
      </c>
      <c r="BH125" s="38">
        <f t="shared" si="245"/>
        <v>198.72000000000003</v>
      </c>
      <c r="BI125" s="4">
        <f t="shared" si="224"/>
        <v>0.44000000000000006</v>
      </c>
      <c r="BJ125" s="4">
        <f t="shared" si="246"/>
        <v>155.70965287996762</v>
      </c>
      <c r="BK125" s="4">
        <f t="shared" si="247"/>
        <v>354.42965287996765</v>
      </c>
      <c r="BM125" s="36">
        <f t="shared" si="319"/>
        <v>1</v>
      </c>
      <c r="BN125" s="36">
        <f t="shared" si="335"/>
        <v>347.4512915503409</v>
      </c>
      <c r="BS125" s="4">
        <f t="shared" si="174"/>
        <v>20.700000000000003</v>
      </c>
      <c r="BT125" s="4">
        <f t="shared" si="175"/>
        <v>20.700000000000003</v>
      </c>
      <c r="BU125" s="4">
        <f t="shared" si="176"/>
        <v>58.2</v>
      </c>
      <c r="BV125" s="4">
        <f t="shared" si="336"/>
        <v>35</v>
      </c>
      <c r="BW125" s="4">
        <f t="shared" si="177"/>
        <v>1.181159420289855</v>
      </c>
      <c r="BX125" s="25">
        <f t="shared" si="337"/>
        <v>1.4454748150400323</v>
      </c>
      <c r="BZ125" s="4">
        <f t="shared" si="347"/>
        <v>14.3</v>
      </c>
      <c r="CD125" s="9"/>
      <c r="CF125" s="9"/>
      <c r="CG125" s="9"/>
      <c r="CH125" s="9">
        <f t="shared" si="230"/>
        <v>14.3</v>
      </c>
      <c r="CI125" s="9">
        <f t="shared" si="231"/>
        <v>28.6</v>
      </c>
      <c r="CJ125" s="9">
        <f t="shared" si="252"/>
        <v>0.78458409789675088</v>
      </c>
      <c r="CK125" s="70">
        <v>0</v>
      </c>
      <c r="CL125" s="9">
        <f t="shared" si="253"/>
        <v>0</v>
      </c>
      <c r="CM125" s="9">
        <f t="shared" si="254"/>
        <v>0</v>
      </c>
      <c r="CN125" s="9">
        <f t="shared" si="255"/>
        <v>0.96044432035915817</v>
      </c>
      <c r="CO125" s="9">
        <f t="shared" si="256"/>
        <v>0.74299999999999999</v>
      </c>
      <c r="CP125" s="9">
        <f t="shared" si="257"/>
        <v>1.6070493790635749</v>
      </c>
      <c r="CQ125" s="9">
        <f t="shared" si="258"/>
        <v>1.2608653873481286</v>
      </c>
      <c r="CR125" s="9">
        <v>1</v>
      </c>
      <c r="CS125" s="9">
        <f t="shared" si="259"/>
        <v>176.521154228738</v>
      </c>
      <c r="CU125" s="4">
        <f t="shared" ref="CU125:CU153" si="370">AJ125/BF125</f>
        <v>0.54186300232164242</v>
      </c>
      <c r="CV125" s="4">
        <f t="shared" si="364"/>
        <v>1.0354664092518509</v>
      </c>
      <c r="CW125" s="4">
        <f t="shared" si="211"/>
        <v>1.0562631624203553</v>
      </c>
      <c r="CX125" s="4">
        <f t="shared" si="351"/>
        <v>2.0790709283740432</v>
      </c>
      <c r="CY125" s="4">
        <f t="shared" si="213"/>
        <v>1.2028473585857065</v>
      </c>
      <c r="CZ125" s="4">
        <f t="shared" si="214"/>
        <v>1.2330838124645049</v>
      </c>
      <c r="DA125" s="4">
        <f t="shared" si="346"/>
        <v>0.76982034570805091</v>
      </c>
      <c r="DC125" s="4">
        <f t="shared" si="215"/>
        <v>0.54186300232164242</v>
      </c>
      <c r="DD125" s="4">
        <f t="shared" si="215"/>
        <v>1.0354664092518509</v>
      </c>
      <c r="DE125" s="4">
        <f t="shared" si="216"/>
        <v>2.0790709283740432</v>
      </c>
      <c r="DF125" s="4">
        <f t="shared" si="365"/>
        <v>0.76982034570805091</v>
      </c>
      <c r="DG125" s="4">
        <f t="shared" si="218"/>
        <v>1.2028473585857065</v>
      </c>
      <c r="DH125" s="4">
        <f t="shared" si="218"/>
        <v>1.2330838124645049</v>
      </c>
      <c r="DP125" s="4">
        <f t="shared" si="182"/>
        <v>0</v>
      </c>
      <c r="DQ125" s="4">
        <f t="shared" si="338"/>
        <v>572</v>
      </c>
      <c r="DR125" s="4">
        <f t="shared" si="339"/>
        <v>1</v>
      </c>
      <c r="DT125" s="4">
        <f t="shared" si="262"/>
        <v>3.8605280992638792E-5</v>
      </c>
      <c r="DU125" s="4">
        <f t="shared" si="183"/>
        <v>3.3960968587263358</v>
      </c>
      <c r="DV125" s="4">
        <f t="shared" si="353"/>
        <v>0.14271180326286331</v>
      </c>
      <c r="DW125" s="4">
        <f t="shared" si="263"/>
        <v>1.5587053483872719</v>
      </c>
      <c r="DX125" s="4">
        <f t="shared" si="264"/>
        <v>2.644260971299238</v>
      </c>
      <c r="DY125" s="4">
        <f t="shared" si="354"/>
        <v>3.0594872368137107</v>
      </c>
      <c r="DZ125" s="38">
        <f t="shared" si="266"/>
        <v>305.10937017936692</v>
      </c>
      <c r="EA125" s="4">
        <f t="shared" si="267"/>
        <v>1.0000780160694358</v>
      </c>
      <c r="EB125" s="4">
        <f t="shared" si="355"/>
        <v>2.2360679774997898</v>
      </c>
      <c r="EC125" s="4">
        <f t="shared" si="291"/>
        <v>94.973471829891608</v>
      </c>
      <c r="EG125" s="4">
        <f t="shared" si="268"/>
        <v>1</v>
      </c>
      <c r="EH125" s="4">
        <f t="shared" si="269"/>
        <v>1</v>
      </c>
      <c r="EI125" s="4">
        <f t="shared" si="340"/>
        <v>1</v>
      </c>
      <c r="EJ125" s="4">
        <f t="shared" si="271"/>
        <v>1</v>
      </c>
      <c r="EL125" s="4">
        <f t="shared" si="341"/>
        <v>297.62778189950842</v>
      </c>
      <c r="EM125" s="25">
        <f t="shared" si="366"/>
        <v>93.861970375928266</v>
      </c>
      <c r="EP125" s="4">
        <f t="shared" si="322"/>
        <v>3.3960968587263358</v>
      </c>
      <c r="EQ125" s="4">
        <f t="shared" si="342"/>
        <v>3.3960968587263358</v>
      </c>
      <c r="ES125" s="4">
        <f t="shared" si="276"/>
        <v>63.951544156493995</v>
      </c>
      <c r="ET125" s="4">
        <f t="shared" si="184"/>
        <v>2.2360679774997898</v>
      </c>
      <c r="EU125" s="4">
        <f t="shared" si="277"/>
        <v>5.0210590596265252E-2</v>
      </c>
      <c r="EX125" s="4">
        <f t="shared" si="348"/>
        <v>5.0210590596265252E-2</v>
      </c>
      <c r="EY125" s="4">
        <f t="shared" si="278"/>
        <v>0.14247364386108202</v>
      </c>
      <c r="EZ125" s="4">
        <f t="shared" si="186"/>
        <v>1.5576643515259319</v>
      </c>
      <c r="FA125" s="4">
        <f t="shared" si="232"/>
        <v>2.6439593371666055</v>
      </c>
      <c r="FB125" s="4">
        <f t="shared" si="188"/>
        <v>365.04845584350602</v>
      </c>
      <c r="FC125" s="4">
        <f t="shared" si="189"/>
        <v>143</v>
      </c>
      <c r="FD125" s="4">
        <f t="shared" si="279"/>
        <v>3.8605280992638792E-5</v>
      </c>
      <c r="FE125" s="4">
        <f t="shared" si="233"/>
        <v>3.0595327134306922</v>
      </c>
      <c r="FF125" s="4">
        <f t="shared" si="343"/>
        <v>305.08556860246296</v>
      </c>
      <c r="FG125" s="4">
        <f t="shared" si="191"/>
        <v>365.04845584350602</v>
      </c>
      <c r="FH125" s="4">
        <f t="shared" si="192"/>
        <v>143</v>
      </c>
      <c r="FJ125" s="4">
        <f t="shared" si="356"/>
        <v>0</v>
      </c>
      <c r="FO125" s="23">
        <f t="shared" si="357"/>
        <v>0.6</v>
      </c>
      <c r="FP125" s="23">
        <f t="shared" si="357"/>
        <v>1.2</v>
      </c>
      <c r="FQ125" s="23">
        <f t="shared" si="229"/>
        <v>0.8</v>
      </c>
      <c r="FR125" s="23">
        <f t="shared" si="358"/>
        <v>2.2000000000000002</v>
      </c>
      <c r="FS125" s="23">
        <f t="shared" si="358"/>
        <v>1.4</v>
      </c>
      <c r="FT125" s="23">
        <f t="shared" si="358"/>
        <v>1.4</v>
      </c>
      <c r="FU125" s="23">
        <f t="shared" si="221"/>
        <v>0</v>
      </c>
      <c r="FV125" s="23"/>
      <c r="GF125" s="4">
        <f t="shared" si="282"/>
        <v>1.25</v>
      </c>
      <c r="GG125" s="4">
        <f t="shared" si="283"/>
        <v>0.8</v>
      </c>
      <c r="GH125" s="4">
        <f t="shared" si="284"/>
        <v>0</v>
      </c>
      <c r="GI125" s="4">
        <f t="shared" si="285"/>
        <v>476.73460703672055</v>
      </c>
      <c r="GL125" s="4">
        <f>IF(AO125&gt;1, 0.05*(18-MIN(8,(W125+N125)/N125))*(1-29.3/MAX(60000/145,(J125))*(N125)^0.75*GH125), 1/12*(14-MIN(8,(W125+N125)/N125)))</f>
        <v>0.8</v>
      </c>
    </row>
    <row r="126" spans="1:196" ht="12" hidden="1" customHeight="1" x14ac:dyDescent="0.3">
      <c r="A126" s="25">
        <v>107</v>
      </c>
      <c r="B126" s="24" t="s">
        <v>128</v>
      </c>
      <c r="C126" s="24">
        <v>2015</v>
      </c>
      <c r="D126" s="24" t="s">
        <v>293</v>
      </c>
      <c r="E126" s="24"/>
      <c r="F126" s="24"/>
      <c r="G126" s="24"/>
      <c r="H126" s="7" t="s">
        <v>131</v>
      </c>
      <c r="I126" s="7"/>
      <c r="J126" s="7">
        <v>710</v>
      </c>
      <c r="K126" s="7">
        <f t="shared" si="323"/>
        <v>715</v>
      </c>
      <c r="L126" s="7">
        <f t="shared" si="367"/>
        <v>715</v>
      </c>
      <c r="M126" s="7">
        <v>41.4</v>
      </c>
      <c r="N126" s="7">
        <v>28.6</v>
      </c>
      <c r="O126" s="7">
        <v>25</v>
      </c>
      <c r="P126" s="7">
        <f t="shared" si="368"/>
        <v>25</v>
      </c>
      <c r="Q126" s="7">
        <v>261</v>
      </c>
      <c r="R126" s="7"/>
      <c r="S126" s="7">
        <f>N126</f>
        <v>28.6</v>
      </c>
      <c r="T126" s="7"/>
      <c r="U126" s="7"/>
      <c r="V126" s="7"/>
      <c r="W126" s="7">
        <f>1*N126</f>
        <v>28.6</v>
      </c>
      <c r="X126" s="7">
        <v>2</v>
      </c>
      <c r="Y126" s="7"/>
      <c r="Z126" s="7"/>
      <c r="AA126" s="7">
        <f t="shared" si="359"/>
        <v>58.2</v>
      </c>
      <c r="AB126" s="7">
        <f t="shared" si="301"/>
        <v>1</v>
      </c>
      <c r="AC126" s="7">
        <f t="shared" si="360"/>
        <v>1.5000000000000002</v>
      </c>
      <c r="AD126" s="7">
        <f t="shared" si="369"/>
        <v>4</v>
      </c>
      <c r="AE126" s="7">
        <f t="shared" si="172"/>
        <v>4</v>
      </c>
      <c r="AF126" s="7">
        <v>5</v>
      </c>
      <c r="AG126" s="7">
        <f t="shared" si="240"/>
        <v>63.951544156493995</v>
      </c>
      <c r="AH126" s="7"/>
      <c r="AI126" s="7"/>
      <c r="AJ126" s="7">
        <v>434</v>
      </c>
      <c r="AK126" s="7"/>
      <c r="AL126" s="7">
        <f t="shared" si="349"/>
        <v>1.2649074665071125</v>
      </c>
      <c r="AM126" s="7">
        <v>0</v>
      </c>
      <c r="AN126" s="7">
        <v>0</v>
      </c>
      <c r="AO126" s="7">
        <f t="shared" si="361"/>
        <v>715</v>
      </c>
      <c r="AP126" s="7"/>
      <c r="AQ126" s="7"/>
      <c r="AR126" s="7"/>
      <c r="AS126" s="4">
        <f t="shared" si="292"/>
        <v>715</v>
      </c>
      <c r="AT126" s="46">
        <f t="shared" si="362"/>
        <v>1.985427160252335E-2</v>
      </c>
      <c r="AU126" s="25">
        <f t="shared" si="333"/>
        <v>957.4305698403698</v>
      </c>
      <c r="AV126" s="4">
        <f t="shared" si="334"/>
        <v>0.71199999999999997</v>
      </c>
      <c r="AW126" s="4">
        <v>1.25</v>
      </c>
      <c r="AX126" s="25">
        <f t="shared" si="325"/>
        <v>5</v>
      </c>
      <c r="AY126" s="38">
        <f t="shared" si="287"/>
        <v>84.590435255053848</v>
      </c>
      <c r="AZ126" s="38">
        <f t="shared" si="288"/>
        <v>84.590435255053848</v>
      </c>
      <c r="BB126" s="38">
        <f t="shared" si="363"/>
        <v>84.590435255053919</v>
      </c>
      <c r="BC126" s="38">
        <f t="shared" si="243"/>
        <v>0.99999999999999911</v>
      </c>
      <c r="BD126" s="38">
        <f t="shared" si="345"/>
        <v>2.3492017673254302</v>
      </c>
      <c r="BE126" s="4">
        <f t="shared" si="330"/>
        <v>0</v>
      </c>
      <c r="BF126" s="4">
        <f t="shared" si="244"/>
        <v>846.61620748133748</v>
      </c>
      <c r="BG126" s="4">
        <f t="shared" si="223"/>
        <v>1.2000000000000002</v>
      </c>
      <c r="BH126" s="38">
        <f t="shared" si="245"/>
        <v>198.72000000000003</v>
      </c>
      <c r="BI126" s="4">
        <f t="shared" si="224"/>
        <v>0.44000000000000006</v>
      </c>
      <c r="BJ126" s="4">
        <f t="shared" si="246"/>
        <v>194.63706609995953</v>
      </c>
      <c r="BK126" s="4">
        <f t="shared" si="247"/>
        <v>393.35706609995952</v>
      </c>
      <c r="BM126" s="36">
        <f t="shared" si="319"/>
        <v>1</v>
      </c>
      <c r="BN126" s="36">
        <f t="shared" si="335"/>
        <v>398.92555696520623</v>
      </c>
      <c r="BS126" s="4">
        <f t="shared" si="174"/>
        <v>20.700000000000003</v>
      </c>
      <c r="BT126" s="4">
        <f t="shared" si="175"/>
        <v>20.700000000000003</v>
      </c>
      <c r="BU126" s="4">
        <f t="shared" si="176"/>
        <v>58.2</v>
      </c>
      <c r="BV126" s="4">
        <f t="shared" si="336"/>
        <v>35</v>
      </c>
      <c r="BW126" s="4">
        <f t="shared" si="177"/>
        <v>1.181159420289855</v>
      </c>
      <c r="BX126" s="25">
        <f t="shared" si="337"/>
        <v>1.4454748150400323</v>
      </c>
      <c r="BZ126" s="4">
        <f t="shared" si="347"/>
        <v>14.3</v>
      </c>
      <c r="CD126" s="9"/>
      <c r="CF126" s="9"/>
      <c r="CG126" s="9"/>
      <c r="CH126" s="9">
        <f t="shared" si="230"/>
        <v>14.3</v>
      </c>
      <c r="CI126" s="9">
        <f t="shared" si="231"/>
        <v>28.6</v>
      </c>
      <c r="CJ126" s="9">
        <f t="shared" si="252"/>
        <v>0.78458409789675088</v>
      </c>
      <c r="CK126" s="70">
        <v>0</v>
      </c>
      <c r="CL126" s="9">
        <f t="shared" si="253"/>
        <v>0</v>
      </c>
      <c r="CM126" s="9">
        <f t="shared" si="254"/>
        <v>0</v>
      </c>
      <c r="CN126" s="9">
        <f t="shared" si="255"/>
        <v>0.96044432035915817</v>
      </c>
      <c r="CO126" s="9">
        <f t="shared" si="256"/>
        <v>0.74299999999999999</v>
      </c>
      <c r="CP126" s="9">
        <f t="shared" si="257"/>
        <v>1.6070493790635749</v>
      </c>
      <c r="CQ126" s="9">
        <f t="shared" si="258"/>
        <v>1.2608653873481286</v>
      </c>
      <c r="CR126" s="9">
        <v>1</v>
      </c>
      <c r="CS126" s="9">
        <f t="shared" si="259"/>
        <v>201.73846197570057</v>
      </c>
      <c r="CU126" s="4">
        <f t="shared" si="370"/>
        <v>0.51262897658330853</v>
      </c>
      <c r="CV126" s="4">
        <f t="shared" si="364"/>
        <v>1.1033232586947157</v>
      </c>
      <c r="CW126" s="4">
        <f t="shared" si="211"/>
        <v>1.087922276280366</v>
      </c>
      <c r="CX126" s="4">
        <f t="shared" si="351"/>
        <v>2.1513002317439862</v>
      </c>
      <c r="CY126" s="4">
        <f t="shared" si="213"/>
        <v>1.2649074665071125</v>
      </c>
      <c r="CZ126" s="4">
        <f t="shared" si="214"/>
        <v>1.282416942736895</v>
      </c>
      <c r="DA126" s="4">
        <f t="shared" si="346"/>
        <v>0.72828780389600911</v>
      </c>
      <c r="DC126" s="4">
        <f t="shared" si="215"/>
        <v>0.51262897658330853</v>
      </c>
      <c r="DD126" s="4">
        <f t="shared" si="215"/>
        <v>1.1033232586947157</v>
      </c>
      <c r="DE126" s="4">
        <f t="shared" si="216"/>
        <v>2.1513002317439862</v>
      </c>
      <c r="DF126" s="4">
        <f t="shared" si="365"/>
        <v>0.72828780389600911</v>
      </c>
      <c r="DG126" s="4">
        <f t="shared" si="218"/>
        <v>1.2649074665071125</v>
      </c>
      <c r="DH126" s="4">
        <f t="shared" si="218"/>
        <v>1.282416942736895</v>
      </c>
      <c r="DP126" s="4">
        <f t="shared" si="182"/>
        <v>0</v>
      </c>
      <c r="DQ126" s="4">
        <f t="shared" si="338"/>
        <v>715</v>
      </c>
      <c r="DR126" s="4">
        <f t="shared" si="339"/>
        <v>1</v>
      </c>
      <c r="DT126" s="4">
        <f t="shared" si="262"/>
        <v>4.8256601240798481E-5</v>
      </c>
      <c r="DU126" s="4">
        <f t="shared" si="183"/>
        <v>3.3960968587263358</v>
      </c>
      <c r="DV126" s="4">
        <f t="shared" si="353"/>
        <v>0.12710974255697069</v>
      </c>
      <c r="DW126" s="4">
        <f t="shared" si="263"/>
        <v>1.4881667734234449</v>
      </c>
      <c r="DX126" s="4">
        <f t="shared" si="264"/>
        <v>2.6242346175572533</v>
      </c>
      <c r="DY126" s="4">
        <f t="shared" si="354"/>
        <v>2.8744548041420339</v>
      </c>
      <c r="DZ126" s="38">
        <f t="shared" si="266"/>
        <v>343.10810196925945</v>
      </c>
      <c r="EA126" s="4">
        <f t="shared" si="267"/>
        <v>1.0000745750655677</v>
      </c>
      <c r="EB126" s="4">
        <f t="shared" si="355"/>
        <v>2.2360679774997898</v>
      </c>
      <c r="EC126" s="4">
        <f t="shared" si="291"/>
        <v>84.590435255053919</v>
      </c>
      <c r="EG126" s="4">
        <f t="shared" si="268"/>
        <v>1</v>
      </c>
      <c r="EH126" s="4">
        <f t="shared" si="269"/>
        <v>1</v>
      </c>
      <c r="EI126" s="4">
        <f t="shared" si="340"/>
        <v>1</v>
      </c>
      <c r="EJ126" s="4">
        <f t="shared" si="271"/>
        <v>1</v>
      </c>
      <c r="EL126" s="4">
        <f t="shared" si="341"/>
        <v>338.42347643487187</v>
      </c>
      <c r="EM126" s="25">
        <f t="shared" si="366"/>
        <v>83.71621203039669</v>
      </c>
      <c r="EP126" s="4">
        <f t="shared" si="322"/>
        <v>3.3960968587263358</v>
      </c>
      <c r="EQ126" s="4">
        <f t="shared" si="342"/>
        <v>3.3960968587263358</v>
      </c>
      <c r="ES126" s="4">
        <f t="shared" si="276"/>
        <v>63.951544156493995</v>
      </c>
      <c r="ET126" s="4">
        <f t="shared" si="184"/>
        <v>2.2360679774997898</v>
      </c>
      <c r="EU126" s="4">
        <f t="shared" si="277"/>
        <v>4.4721285124322517E-2</v>
      </c>
      <c r="EX126" s="4">
        <f t="shared" si="348"/>
        <v>4.4721285124322517E-2</v>
      </c>
      <c r="EY126" s="4">
        <f t="shared" si="278"/>
        <v>0.12689762008667871</v>
      </c>
      <c r="EZ126" s="4">
        <f t="shared" si="186"/>
        <v>1.4871728864505882</v>
      </c>
      <c r="FA126" s="4">
        <f t="shared" si="232"/>
        <v>2.6239584862371039</v>
      </c>
      <c r="FB126" s="4">
        <f t="shared" si="188"/>
        <v>472.29845584350602</v>
      </c>
      <c r="FC126" s="4">
        <f t="shared" si="189"/>
        <v>178.74999999999994</v>
      </c>
      <c r="FD126" s="4">
        <f t="shared" si="279"/>
        <v>4.8256601240798467E-5</v>
      </c>
      <c r="FE126" s="4">
        <f t="shared" si="233"/>
        <v>2.8745165741246637</v>
      </c>
      <c r="FF126" s="4">
        <f t="shared" si="343"/>
        <v>343.08251656809125</v>
      </c>
      <c r="FG126" s="4">
        <f t="shared" si="191"/>
        <v>472.29845584350602</v>
      </c>
      <c r="FH126" s="4">
        <f t="shared" si="192"/>
        <v>178.75</v>
      </c>
      <c r="FJ126" s="4">
        <f t="shared" si="356"/>
        <v>0</v>
      </c>
      <c r="FO126" s="23">
        <f t="shared" si="357"/>
        <v>0.6</v>
      </c>
      <c r="FP126" s="23">
        <f t="shared" si="357"/>
        <v>1.2</v>
      </c>
      <c r="FQ126" s="23">
        <f t="shared" si="229"/>
        <v>0.8</v>
      </c>
      <c r="FR126" s="23">
        <f t="shared" si="358"/>
        <v>2.2000000000000002</v>
      </c>
      <c r="FS126" s="23">
        <f t="shared" si="358"/>
        <v>1.4</v>
      </c>
      <c r="FT126" s="23">
        <f t="shared" si="358"/>
        <v>1.4</v>
      </c>
      <c r="FU126" s="23">
        <f t="shared" si="221"/>
        <v>0</v>
      </c>
      <c r="FV126" s="23"/>
      <c r="GF126" s="4">
        <f t="shared" si="282"/>
        <v>1.25</v>
      </c>
      <c r="GG126" s="4">
        <f t="shared" si="283"/>
        <v>0.8</v>
      </c>
      <c r="GH126" s="4">
        <f t="shared" si="284"/>
        <v>0</v>
      </c>
      <c r="GI126" s="4">
        <f t="shared" si="285"/>
        <v>595.91825879590056</v>
      </c>
      <c r="GL126" s="4">
        <f>IF(AO126&gt;1, 0.05*(18-MIN(8,(W126+N126)/N126))*(1-29.3/MAX(60000/145,(J126))*(N126)^0.75*GH126), 1/12*(14-MIN(8,(W126+N126)/N126)))</f>
        <v>0.8</v>
      </c>
    </row>
    <row r="127" spans="1:196" ht="12" hidden="1" customHeight="1" x14ac:dyDescent="0.3">
      <c r="A127" s="25">
        <v>108</v>
      </c>
      <c r="B127" s="24" t="s">
        <v>128</v>
      </c>
      <c r="C127" s="24">
        <v>2015</v>
      </c>
      <c r="D127" s="24" t="s">
        <v>293</v>
      </c>
      <c r="E127" s="24"/>
      <c r="F127" s="24"/>
      <c r="G127" s="24"/>
      <c r="H127" s="7" t="s">
        <v>140</v>
      </c>
      <c r="I127" s="7"/>
      <c r="J127" s="7">
        <v>710</v>
      </c>
      <c r="K127" s="7">
        <f t="shared" si="323"/>
        <v>858</v>
      </c>
      <c r="L127" s="7">
        <f t="shared" si="367"/>
        <v>858</v>
      </c>
      <c r="M127" s="7">
        <v>40.1</v>
      </c>
      <c r="N127" s="7">
        <v>28.6</v>
      </c>
      <c r="O127" s="7">
        <v>30</v>
      </c>
      <c r="P127" s="7">
        <f t="shared" si="368"/>
        <v>30</v>
      </c>
      <c r="Q127" s="7">
        <v>261</v>
      </c>
      <c r="R127" s="7"/>
      <c r="S127" s="7">
        <f>N127</f>
        <v>28.6</v>
      </c>
      <c r="T127" s="7"/>
      <c r="U127" s="7"/>
      <c r="V127" s="7"/>
      <c r="W127" s="7">
        <f>1*N127</f>
        <v>28.6</v>
      </c>
      <c r="X127" s="7">
        <v>2</v>
      </c>
      <c r="Y127" s="7"/>
      <c r="Z127" s="7"/>
      <c r="AA127" s="7">
        <f t="shared" si="359"/>
        <v>58.2</v>
      </c>
      <c r="AB127" s="7">
        <f t="shared" ref="AB127:AB153" si="371">MIN(W127/N127/2+0.5, (AA127+N127/2)/N127, S127/N127+0.5)</f>
        <v>1</v>
      </c>
      <c r="AC127" s="7">
        <f t="shared" si="360"/>
        <v>1.5000000000000002</v>
      </c>
      <c r="AD127" s="7">
        <f t="shared" si="369"/>
        <v>4</v>
      </c>
      <c r="AE127" s="7">
        <f t="shared" si="172"/>
        <v>4</v>
      </c>
      <c r="AF127" s="7">
        <v>5</v>
      </c>
      <c r="AG127" s="7">
        <f t="shared" si="240"/>
        <v>63.951544156493995</v>
      </c>
      <c r="AH127" s="7"/>
      <c r="AI127" s="7"/>
      <c r="AJ127" s="7">
        <v>459</v>
      </c>
      <c r="AK127" s="7"/>
      <c r="AL127" s="7">
        <f t="shared" si="349"/>
        <v>1.2218671658492044</v>
      </c>
      <c r="AM127" s="7">
        <v>0</v>
      </c>
      <c r="AN127" s="7">
        <v>0</v>
      </c>
      <c r="AO127" s="7">
        <f t="shared" si="361"/>
        <v>858</v>
      </c>
      <c r="AP127" s="7"/>
      <c r="AQ127" s="7"/>
      <c r="AR127" s="7"/>
      <c r="AS127" s="4">
        <f t="shared" si="292"/>
        <v>858</v>
      </c>
      <c r="AT127" s="46">
        <f t="shared" si="362"/>
        <v>1.3787688612863438E-2</v>
      </c>
      <c r="AU127" s="25">
        <f t="shared" si="333"/>
        <v>1238.6573236566996</v>
      </c>
      <c r="AV127" s="4">
        <f t="shared" si="334"/>
        <v>0.71</v>
      </c>
      <c r="AW127" s="4">
        <v>1.25</v>
      </c>
      <c r="AX127" s="25">
        <f t="shared" si="325"/>
        <v>5</v>
      </c>
      <c r="AY127" s="38">
        <f t="shared" si="287"/>
        <v>75.784607802507367</v>
      </c>
      <c r="AZ127" s="38">
        <f t="shared" si="288"/>
        <v>75.784607802507367</v>
      </c>
      <c r="BB127" s="38">
        <f t="shared" si="363"/>
        <v>75.784607802507395</v>
      </c>
      <c r="BC127" s="38">
        <f t="shared" si="243"/>
        <v>0.99999999999999967</v>
      </c>
      <c r="BD127" s="38">
        <f t="shared" si="345"/>
        <v>2.5398297303536577</v>
      </c>
      <c r="BE127" s="4">
        <f t="shared" si="330"/>
        <v>0</v>
      </c>
      <c r="BF127" s="4">
        <f t="shared" si="244"/>
        <v>999.86148625184615</v>
      </c>
      <c r="BG127" s="4">
        <f t="shared" si="223"/>
        <v>1.2000000000000002</v>
      </c>
      <c r="BH127" s="38">
        <f t="shared" si="245"/>
        <v>192.48000000000005</v>
      </c>
      <c r="BI127" s="4">
        <f t="shared" si="224"/>
        <v>0.44000000000000006</v>
      </c>
      <c r="BJ127" s="4">
        <f t="shared" si="246"/>
        <v>229.86815568929941</v>
      </c>
      <c r="BK127" s="4">
        <f t="shared" si="247"/>
        <v>422.34815568929946</v>
      </c>
      <c r="BM127" s="36">
        <f t="shared" si="319"/>
        <v>1</v>
      </c>
      <c r="BN127" s="36">
        <f t="shared" si="335"/>
        <v>443.27192557165176</v>
      </c>
      <c r="BS127" s="4">
        <f t="shared" si="174"/>
        <v>20.700000000000003</v>
      </c>
      <c r="BT127" s="4">
        <f t="shared" si="175"/>
        <v>20.700000000000003</v>
      </c>
      <c r="BU127" s="4">
        <f t="shared" si="176"/>
        <v>58.2</v>
      </c>
      <c r="BV127" s="4">
        <f t="shared" si="336"/>
        <v>35</v>
      </c>
      <c r="BW127" s="4">
        <f t="shared" si="177"/>
        <v>1.181159420289855</v>
      </c>
      <c r="BX127" s="25">
        <f t="shared" si="337"/>
        <v>1.4454748150400323</v>
      </c>
      <c r="BZ127" s="4">
        <f t="shared" si="347"/>
        <v>14.3</v>
      </c>
      <c r="CD127" s="9"/>
      <c r="CF127" s="9"/>
      <c r="CG127" s="9"/>
      <c r="CH127" s="9">
        <f t="shared" si="230"/>
        <v>14.3</v>
      </c>
      <c r="CI127" s="9">
        <f t="shared" si="231"/>
        <v>28.6</v>
      </c>
      <c r="CJ127" s="9">
        <f t="shared" si="252"/>
        <v>0.78458409789675088</v>
      </c>
      <c r="CK127" s="70">
        <v>0</v>
      </c>
      <c r="CL127" s="9">
        <f t="shared" si="253"/>
        <v>0</v>
      </c>
      <c r="CM127" s="9">
        <f t="shared" si="254"/>
        <v>0</v>
      </c>
      <c r="CN127" s="9">
        <f t="shared" si="255"/>
        <v>0.96044432035915817</v>
      </c>
      <c r="CO127" s="9">
        <f t="shared" si="256"/>
        <v>0.74299999999999999</v>
      </c>
      <c r="CP127" s="9">
        <f t="shared" si="257"/>
        <v>1.5816166822222031</v>
      </c>
      <c r="CQ127" s="9">
        <f t="shared" si="258"/>
        <v>1.2409112978397594</v>
      </c>
      <c r="CR127" s="9">
        <v>1</v>
      </c>
      <c r="CS127" s="9">
        <f t="shared" si="259"/>
        <v>223.36403361115669</v>
      </c>
      <c r="CU127" s="4">
        <f t="shared" si="370"/>
        <v>0.45906358661802343</v>
      </c>
      <c r="CV127" s="4">
        <f t="shared" si="364"/>
        <v>1.0867811160460317</v>
      </c>
      <c r="CW127" s="4">
        <f t="shared" si="211"/>
        <v>1.0354817743263687</v>
      </c>
      <c r="CX127" s="4">
        <f t="shared" si="351"/>
        <v>2.0549414002750783</v>
      </c>
      <c r="CY127" s="4">
        <f t="shared" si="213"/>
        <v>1.2218671658492044</v>
      </c>
      <c r="CZ127" s="4">
        <f t="shared" si="214"/>
        <v>1.2211258658072901</v>
      </c>
      <c r="DA127" s="4">
        <f t="shared" si="346"/>
        <v>0.64700664238800421</v>
      </c>
      <c r="DC127" s="4">
        <f t="shared" si="215"/>
        <v>0.45906358661802343</v>
      </c>
      <c r="DD127" s="4">
        <f t="shared" si="215"/>
        <v>1.0867811160460317</v>
      </c>
      <c r="DE127" s="4">
        <f t="shared" si="216"/>
        <v>2.0549414002750783</v>
      </c>
      <c r="DF127" s="4">
        <f t="shared" si="365"/>
        <v>0.64700664238800421</v>
      </c>
      <c r="DG127" s="4">
        <f t="shared" si="218"/>
        <v>1.2218671658492044</v>
      </c>
      <c r="DH127" s="4">
        <f t="shared" si="218"/>
        <v>1.2211258658072901</v>
      </c>
      <c r="DP127" s="4">
        <f t="shared" si="182"/>
        <v>0</v>
      </c>
      <c r="DQ127" s="4">
        <f t="shared" si="338"/>
        <v>858</v>
      </c>
      <c r="DR127" s="4">
        <f t="shared" si="339"/>
        <v>1</v>
      </c>
      <c r="DT127" s="4">
        <f t="shared" si="262"/>
        <v>5.7413446512468419E-5</v>
      </c>
      <c r="DU127" s="4">
        <f t="shared" si="183"/>
        <v>3.3423512159494768</v>
      </c>
      <c r="DV127" s="4">
        <f t="shared" si="353"/>
        <v>0.1175694686499857</v>
      </c>
      <c r="DW127" s="4">
        <f t="shared" si="263"/>
        <v>1.4196127983037286</v>
      </c>
      <c r="DX127" s="4">
        <f t="shared" si="264"/>
        <v>2.5703748103759092</v>
      </c>
      <c r="DY127" s="4">
        <f t="shared" si="354"/>
        <v>2.6276323352079785</v>
      </c>
      <c r="DZ127" s="38">
        <f t="shared" si="266"/>
        <v>375.65458245290722</v>
      </c>
      <c r="EA127" s="4">
        <f t="shared" si="267"/>
        <v>1.0000716468355491</v>
      </c>
      <c r="EB127" s="4">
        <f t="shared" si="355"/>
        <v>2.2360679774997898</v>
      </c>
      <c r="EC127" s="4">
        <f t="shared" si="291"/>
        <v>75.784607802507395</v>
      </c>
      <c r="EG127" s="4">
        <f t="shared" si="268"/>
        <v>1</v>
      </c>
      <c r="EH127" s="4">
        <f t="shared" si="269"/>
        <v>1</v>
      </c>
      <c r="EI127" s="4">
        <f t="shared" si="340"/>
        <v>1</v>
      </c>
      <c r="EJ127" s="4">
        <f t="shared" si="271"/>
        <v>1</v>
      </c>
      <c r="EL127" s="4">
        <f t="shared" si="341"/>
        <v>375.88262836161749</v>
      </c>
      <c r="EM127" s="25">
        <f t="shared" si="366"/>
        <v>75.071018926164598</v>
      </c>
      <c r="EP127" s="4">
        <f t="shared" si="322"/>
        <v>3.3423512159494768</v>
      </c>
      <c r="EQ127" s="4">
        <f t="shared" si="342"/>
        <v>3.3423512159494768</v>
      </c>
      <c r="ES127" s="4">
        <f t="shared" si="276"/>
        <v>63.951544156493995</v>
      </c>
      <c r="ET127" s="4">
        <f t="shared" si="184"/>
        <v>2.2360679774997898</v>
      </c>
      <c r="EU127" s="4">
        <f t="shared" si="277"/>
        <v>4.0710084810113026E-2</v>
      </c>
      <c r="EX127" s="4">
        <f t="shared" si="348"/>
        <v>4.0710084810113026E-2</v>
      </c>
      <c r="EY127" s="4">
        <f t="shared" si="278"/>
        <v>0.11737326711877917</v>
      </c>
      <c r="EZ127" s="4">
        <f t="shared" si="186"/>
        <v>1.418664695784621</v>
      </c>
      <c r="FA127" s="4">
        <f t="shared" si="232"/>
        <v>2.5701188989532699</v>
      </c>
      <c r="FB127" s="4">
        <f t="shared" si="188"/>
        <v>579.54845584350596</v>
      </c>
      <c r="FC127" s="4">
        <f t="shared" si="189"/>
        <v>214.5</v>
      </c>
      <c r="FD127" s="4">
        <f t="shared" si="279"/>
        <v>5.7413446512468419E-5</v>
      </c>
      <c r="FE127" s="4">
        <f t="shared" si="233"/>
        <v>2.627709356525437</v>
      </c>
      <c r="FF127" s="4">
        <f t="shared" si="343"/>
        <v>375.62766991901287</v>
      </c>
      <c r="FG127" s="4">
        <f t="shared" si="191"/>
        <v>579.54845584350596</v>
      </c>
      <c r="FH127" s="4">
        <f t="shared" si="192"/>
        <v>214.50000000000006</v>
      </c>
      <c r="FJ127" s="4">
        <f t="shared" si="356"/>
        <v>0</v>
      </c>
      <c r="FO127" s="23">
        <f t="shared" si="357"/>
        <v>0.6</v>
      </c>
      <c r="FP127" s="23">
        <f t="shared" si="357"/>
        <v>1.2</v>
      </c>
      <c r="FQ127" s="23">
        <f t="shared" si="229"/>
        <v>0.8</v>
      </c>
      <c r="FR127" s="23">
        <f t="shared" si="358"/>
        <v>2.2000000000000002</v>
      </c>
      <c r="FS127" s="23">
        <f t="shared" si="358"/>
        <v>1.4</v>
      </c>
      <c r="FT127" s="23">
        <f t="shared" si="358"/>
        <v>1.4</v>
      </c>
      <c r="FU127" s="23">
        <f t="shared" si="221"/>
        <v>0</v>
      </c>
      <c r="FV127" s="23"/>
      <c r="GF127" s="4">
        <f t="shared" si="282"/>
        <v>1.25</v>
      </c>
      <c r="GG127" s="4">
        <f t="shared" si="283"/>
        <v>0.8</v>
      </c>
      <c r="GH127" s="4">
        <f t="shared" si="284"/>
        <v>0</v>
      </c>
      <c r="GI127" s="4">
        <f t="shared" si="285"/>
        <v>709.42084660197622</v>
      </c>
    </row>
    <row r="128" spans="1:196" ht="12" hidden="1" customHeight="1" x14ac:dyDescent="0.3">
      <c r="A128" s="25">
        <v>109</v>
      </c>
      <c r="B128" s="24" t="s">
        <v>128</v>
      </c>
      <c r="C128" s="24">
        <v>2015</v>
      </c>
      <c r="D128" s="24" t="s">
        <v>293</v>
      </c>
      <c r="E128" s="24"/>
      <c r="F128" s="24"/>
      <c r="G128" s="24"/>
      <c r="H128" s="7" t="s">
        <v>132</v>
      </c>
      <c r="I128" s="7"/>
      <c r="J128" s="7">
        <v>710</v>
      </c>
      <c r="K128" s="7">
        <f t="shared" si="323"/>
        <v>429</v>
      </c>
      <c r="L128" s="7">
        <f t="shared" si="367"/>
        <v>429</v>
      </c>
      <c r="M128" s="7">
        <v>41.4</v>
      </c>
      <c r="N128" s="7">
        <v>28.6</v>
      </c>
      <c r="O128" s="7">
        <v>15</v>
      </c>
      <c r="P128" s="7">
        <f t="shared" si="368"/>
        <v>15</v>
      </c>
      <c r="Q128" s="7">
        <v>406</v>
      </c>
      <c r="R128" s="7"/>
      <c r="S128" s="7">
        <f>N128*2</f>
        <v>57.2</v>
      </c>
      <c r="T128" s="7"/>
      <c r="U128" s="7"/>
      <c r="V128" s="7"/>
      <c r="W128" s="7">
        <f>2*N128</f>
        <v>57.2</v>
      </c>
      <c r="X128" s="7">
        <v>2</v>
      </c>
      <c r="Y128" s="7"/>
      <c r="Z128" s="7"/>
      <c r="AA128" s="7">
        <f t="shared" si="359"/>
        <v>58.2</v>
      </c>
      <c r="AB128" s="7">
        <f t="shared" si="371"/>
        <v>1.5</v>
      </c>
      <c r="AC128" s="7">
        <f t="shared" si="360"/>
        <v>2.5</v>
      </c>
      <c r="AD128" s="7">
        <f t="shared" si="369"/>
        <v>4</v>
      </c>
      <c r="AE128" s="7">
        <f t="shared" ref="AE128:AE147" si="372">MIN(AE$16,AD128)</f>
        <v>4</v>
      </c>
      <c r="AF128" s="7">
        <v>5</v>
      </c>
      <c r="AG128" s="7">
        <f t="shared" si="240"/>
        <v>63.951544156493995</v>
      </c>
      <c r="AH128" s="7"/>
      <c r="AI128" s="7"/>
      <c r="AJ128" s="7">
        <v>335</v>
      </c>
      <c r="AK128" s="7"/>
      <c r="AL128" s="7">
        <f t="shared" si="349"/>
        <v>0.8697189751249067</v>
      </c>
      <c r="AM128" s="7">
        <v>0</v>
      </c>
      <c r="AN128" s="7">
        <v>0</v>
      </c>
      <c r="AO128" s="7">
        <f t="shared" si="361"/>
        <v>429</v>
      </c>
      <c r="AP128" s="7"/>
      <c r="AQ128" s="7"/>
      <c r="AR128" s="7"/>
      <c r="AS128" s="4">
        <f t="shared" si="292"/>
        <v>429</v>
      </c>
      <c r="AT128" s="46">
        <f t="shared" si="362"/>
        <v>8.5790062480039175E-2</v>
      </c>
      <c r="AU128" s="25">
        <f t="shared" si="333"/>
        <v>444.9735182569961</v>
      </c>
      <c r="AV128" s="4">
        <f t="shared" si="334"/>
        <v>0.73333333333333328</v>
      </c>
      <c r="AW128" s="4">
        <v>1.25</v>
      </c>
      <c r="AX128" s="25">
        <f t="shared" si="325"/>
        <v>5</v>
      </c>
      <c r="AY128" s="38">
        <f t="shared" si="287"/>
        <v>174.96556886063999</v>
      </c>
      <c r="AZ128" s="38">
        <f t="shared" si="288"/>
        <v>174.96556886063999</v>
      </c>
      <c r="BB128" s="38">
        <f t="shared" si="363"/>
        <v>174.96556886063993</v>
      </c>
      <c r="BC128" s="38">
        <f t="shared" si="243"/>
        <v>1.0000000000000002</v>
      </c>
      <c r="BD128" s="38">
        <f t="shared" si="345"/>
        <v>1.7982966708759178</v>
      </c>
      <c r="BE128" s="4">
        <f t="shared" si="330"/>
        <v>0</v>
      </c>
      <c r="BF128" s="4">
        <f t="shared" si="244"/>
        <v>507.96972448880257</v>
      </c>
      <c r="BG128" s="4">
        <f t="shared" si="223"/>
        <v>1.2666666666666666</v>
      </c>
      <c r="BH128" s="38">
        <f t="shared" si="245"/>
        <v>314.63999999999993</v>
      </c>
      <c r="BI128" s="4">
        <f t="shared" si="224"/>
        <v>0.44000000000000006</v>
      </c>
      <c r="BJ128" s="4">
        <f t="shared" si="246"/>
        <v>116.7822396599757</v>
      </c>
      <c r="BK128" s="4">
        <f t="shared" si="247"/>
        <v>431.42223965997562</v>
      </c>
      <c r="BM128" s="36">
        <f t="shared" si="319"/>
        <v>1.1000000000000001</v>
      </c>
      <c r="BN128" s="36">
        <f t="shared" si="335"/>
        <v>325.57472874902317</v>
      </c>
      <c r="BS128" s="4">
        <f t="shared" ref="BS128:BS153" si="373">IF(X128=1,S128,MIN(S128,W128/2+6.4))</f>
        <v>35</v>
      </c>
      <c r="BT128" s="4">
        <f t="shared" ref="BT128:BT153" si="374">MIN(AA128,BS128)</f>
        <v>35</v>
      </c>
      <c r="BU128" s="4">
        <f t="shared" ref="BU128:BU153" si="375">MAX(AA128,BS128)</f>
        <v>58.2</v>
      </c>
      <c r="BV128" s="4">
        <f t="shared" si="336"/>
        <v>49.3</v>
      </c>
      <c r="BW128" s="4">
        <f t="shared" ref="BW128:BW153" si="376">MIN(1.25, 0.1*BU128/BT128+0.9)</f>
        <v>1.0662857142857143</v>
      </c>
      <c r="BX128" s="25">
        <f t="shared" si="337"/>
        <v>1.8380379620379617</v>
      </c>
      <c r="BZ128" s="4">
        <f t="shared" si="347"/>
        <v>28.6</v>
      </c>
      <c r="CD128" s="9"/>
      <c r="CF128" s="9"/>
      <c r="CG128" s="9"/>
      <c r="CH128" s="9">
        <f t="shared" si="230"/>
        <v>28.6</v>
      </c>
      <c r="CI128" s="9">
        <f t="shared" si="231"/>
        <v>57.2</v>
      </c>
      <c r="CJ128" s="9">
        <f t="shared" si="252"/>
        <v>1.1095694720678451</v>
      </c>
      <c r="CK128" s="70">
        <v>0</v>
      </c>
      <c r="CL128" s="9">
        <f t="shared" si="253"/>
        <v>0</v>
      </c>
      <c r="CM128" s="9">
        <f t="shared" si="254"/>
        <v>0</v>
      </c>
      <c r="CN128" s="9">
        <f t="shared" si="255"/>
        <v>0.96044432035915817</v>
      </c>
      <c r="CO128" s="9">
        <f t="shared" si="256"/>
        <v>0.74299999999999999</v>
      </c>
      <c r="CP128" s="9">
        <f t="shared" si="257"/>
        <v>1.6070493790635749</v>
      </c>
      <c r="CQ128" s="9">
        <f t="shared" si="258"/>
        <v>1.783132931114529</v>
      </c>
      <c r="CR128" s="9">
        <v>1</v>
      </c>
      <c r="CS128" s="9">
        <f t="shared" si="259"/>
        <v>213.97595173374347</v>
      </c>
      <c r="CU128" s="4">
        <f t="shared" si="370"/>
        <v>0.65948812271662183</v>
      </c>
      <c r="CV128" s="4">
        <f t="shared" si="364"/>
        <v>0.77650146238179429</v>
      </c>
      <c r="CW128" s="4">
        <f t="shared" si="211"/>
        <v>1.0289496401861169</v>
      </c>
      <c r="CX128" s="4">
        <f t="shared" si="351"/>
        <v>1.5655964947726944</v>
      </c>
      <c r="CY128" s="4">
        <f t="shared" si="213"/>
        <v>0.8697189751249067</v>
      </c>
      <c r="CZ128" s="4">
        <f t="shared" si="214"/>
        <v>0.91310238557343271</v>
      </c>
      <c r="DA128" s="4">
        <f t="shared" si="346"/>
        <v>0.87837130726225165</v>
      </c>
      <c r="DC128" s="4">
        <f t="shared" ref="DC128:DD139" si="377">CU128</f>
        <v>0.65948812271662183</v>
      </c>
      <c r="DD128" s="4">
        <f t="shared" si="377"/>
        <v>0.77650146238179429</v>
      </c>
      <c r="DE128" s="4">
        <f t="shared" si="216"/>
        <v>1.5655964947726944</v>
      </c>
      <c r="DF128" s="4">
        <f t="shared" si="365"/>
        <v>0.87837130726225165</v>
      </c>
      <c r="DG128" s="4">
        <f t="shared" ref="DG128:DH139" si="378">CY128</f>
        <v>0.8697189751249067</v>
      </c>
      <c r="DH128" s="4">
        <f t="shared" si="378"/>
        <v>0.91310238557343271</v>
      </c>
      <c r="DP128" s="4">
        <f t="shared" ref="DP128:DP156" si="379">AN128</f>
        <v>0</v>
      </c>
      <c r="DQ128" s="4">
        <f t="shared" si="338"/>
        <v>429</v>
      </c>
      <c r="DR128" s="4">
        <f t="shared" si="339"/>
        <v>1</v>
      </c>
      <c r="DT128" s="4">
        <f t="shared" si="262"/>
        <v>2.8953960744479089E-5</v>
      </c>
      <c r="DU128" s="4">
        <f t="shared" ref="DU128:DU156" si="380">EP128</f>
        <v>4.3184114203497916</v>
      </c>
      <c r="DV128" s="4">
        <f t="shared" si="353"/>
        <v>0.2629118569629435</v>
      </c>
      <c r="DW128" s="4">
        <f t="shared" si="263"/>
        <v>2.5307432361194584</v>
      </c>
      <c r="DX128" s="4">
        <f t="shared" si="264"/>
        <v>3.5400389367597964</v>
      </c>
      <c r="DY128" s="4">
        <f t="shared" si="354"/>
        <v>3.996132384694048</v>
      </c>
      <c r="DZ128" s="38">
        <f t="shared" si="266"/>
        <v>385.18189160112115</v>
      </c>
      <c r="EA128" s="4">
        <f t="shared" si="267"/>
        <v>1.0000929798376046</v>
      </c>
      <c r="EB128" s="4">
        <f t="shared" si="355"/>
        <v>2.2360679774997898</v>
      </c>
      <c r="EC128" s="4">
        <f t="shared" si="291"/>
        <v>174.96556886063993</v>
      </c>
      <c r="EG128" s="4">
        <f t="shared" si="268"/>
        <v>1</v>
      </c>
      <c r="EH128" s="4">
        <f t="shared" si="269"/>
        <v>1</v>
      </c>
      <c r="EI128" s="4">
        <f t="shared" si="340"/>
        <v>1</v>
      </c>
      <c r="EJ128" s="4">
        <f t="shared" si="271"/>
        <v>1</v>
      </c>
      <c r="EL128" s="4">
        <f t="shared" si="341"/>
        <v>366.88109164189552</v>
      </c>
      <c r="EM128" s="25">
        <f t="shared" si="366"/>
        <v>172.55257772615491</v>
      </c>
      <c r="EP128" s="4">
        <f t="shared" si="322"/>
        <v>4.3184114203497916</v>
      </c>
      <c r="EQ128" s="4">
        <f t="shared" si="342"/>
        <v>4.3184114203497916</v>
      </c>
      <c r="ES128" s="4">
        <f t="shared" si="276"/>
        <v>63.951544156493995</v>
      </c>
      <c r="ET128" s="4">
        <f t="shared" ref="ET128:ET156" si="381">AF128^0.5</f>
        <v>2.2360679774997898</v>
      </c>
      <c r="EU128" s="4">
        <f t="shared" si="277"/>
        <v>9.2500825517249863E-2</v>
      </c>
      <c r="EX128" s="4">
        <f t="shared" si="348"/>
        <v>9.2500825517249863E-2</v>
      </c>
      <c r="EY128" s="4">
        <f t="shared" si="278"/>
        <v>0.26247310607378149</v>
      </c>
      <c r="EZ128" s="4">
        <f t="shared" ref="EZ128:EZ156" si="382">EP128/1*EY128^0.4</f>
        <v>2.5290530540921856</v>
      </c>
      <c r="FA128" s="4">
        <f t="shared" si="232"/>
        <v>3.5394380093736388</v>
      </c>
      <c r="FB128" s="4">
        <f t="shared" ref="FB128:FB156" si="383">MAX(0,DQ128*FB$9-ES128)</f>
        <v>257.79845584350602</v>
      </c>
      <c r="FC128" s="4">
        <f t="shared" ref="FC128:FC156" si="384">MAX(0,DQ128-ES128-FB128)</f>
        <v>107.25</v>
      </c>
      <c r="FD128" s="4">
        <f t="shared" si="279"/>
        <v>2.8953960744479089E-5</v>
      </c>
      <c r="FE128" s="4">
        <f t="shared" si="233"/>
        <v>3.9961972848288032</v>
      </c>
      <c r="FF128" s="4">
        <f t="shared" si="343"/>
        <v>385.14608078107608</v>
      </c>
      <c r="FG128" s="4">
        <f t="shared" ref="FG128:FG153" si="385">IF(DR128&lt;=FB$9, MAX(0,DQ128*DR128-ES128), MAX(0,DQ128*FB$9-ES128))</f>
        <v>257.79845584350602</v>
      </c>
      <c r="FH128" s="4">
        <f t="shared" ref="FH128:FH153" si="386">MAX(0, DQ128*DR128-FG128-ES128)</f>
        <v>107.24999999999999</v>
      </c>
      <c r="FJ128" s="4">
        <f t="shared" si="356"/>
        <v>0</v>
      </c>
      <c r="FO128" s="23">
        <f t="shared" si="357"/>
        <v>0.8</v>
      </c>
      <c r="FP128" s="23">
        <f t="shared" si="357"/>
        <v>0.8</v>
      </c>
      <c r="FQ128" s="23">
        <f t="shared" si="229"/>
        <v>1</v>
      </c>
      <c r="FR128" s="23">
        <f t="shared" si="358"/>
        <v>1.6</v>
      </c>
      <c r="FS128" s="23">
        <f t="shared" si="358"/>
        <v>1</v>
      </c>
      <c r="FT128" s="23">
        <f t="shared" si="358"/>
        <v>1</v>
      </c>
      <c r="FU128" s="23">
        <f t="shared" si="221"/>
        <v>0</v>
      </c>
      <c r="FV128" s="23"/>
      <c r="GF128" s="4">
        <f t="shared" si="282"/>
        <v>1.25</v>
      </c>
      <c r="GG128" s="4">
        <f t="shared" si="283"/>
        <v>0.75</v>
      </c>
      <c r="GH128" s="4">
        <f t="shared" si="284"/>
        <v>0</v>
      </c>
      <c r="GI128" s="4">
        <f t="shared" si="285"/>
        <v>381.38768562937639</v>
      </c>
      <c r="GL128" s="4">
        <f>IF(AO128&gt;1, 0.05*(18-MIN(8,(W128+N128)/N128))*(1-29.3/MAX(60000/145,(J128))*(N128)^0.75*GH128), 1/12*(14-MIN(8,(W128+N128)/N128)))</f>
        <v>0.75</v>
      </c>
    </row>
    <row r="129" spans="1:191" ht="12" hidden="1" customHeight="1" x14ac:dyDescent="0.3">
      <c r="A129" s="25">
        <v>110</v>
      </c>
      <c r="B129" s="24" t="s">
        <v>128</v>
      </c>
      <c r="C129" s="24">
        <v>2015</v>
      </c>
      <c r="D129" s="24" t="s">
        <v>293</v>
      </c>
      <c r="E129" s="24"/>
      <c r="F129" s="24"/>
      <c r="G129" s="24"/>
      <c r="H129" s="7" t="s">
        <v>133</v>
      </c>
      <c r="I129" s="7"/>
      <c r="J129" s="7">
        <v>710</v>
      </c>
      <c r="K129" s="7">
        <f t="shared" si="323"/>
        <v>572</v>
      </c>
      <c r="L129" s="7">
        <f t="shared" si="367"/>
        <v>572</v>
      </c>
      <c r="M129" s="7">
        <v>41.4</v>
      </c>
      <c r="N129" s="7">
        <v>28.6</v>
      </c>
      <c r="O129" s="7">
        <v>20</v>
      </c>
      <c r="P129" s="7">
        <f t="shared" si="368"/>
        <v>20</v>
      </c>
      <c r="Q129" s="7">
        <v>406</v>
      </c>
      <c r="R129" s="7"/>
      <c r="S129" s="7">
        <f>N129*2</f>
        <v>57.2</v>
      </c>
      <c r="T129" s="7"/>
      <c r="U129" s="7"/>
      <c r="V129" s="7"/>
      <c r="W129" s="7">
        <f>2*N129</f>
        <v>57.2</v>
      </c>
      <c r="X129" s="7">
        <v>2</v>
      </c>
      <c r="Y129" s="7"/>
      <c r="Z129" s="7"/>
      <c r="AA129" s="7">
        <f t="shared" si="359"/>
        <v>58.2</v>
      </c>
      <c r="AB129" s="7">
        <f t="shared" si="371"/>
        <v>1.5</v>
      </c>
      <c r="AC129" s="7">
        <f t="shared" si="360"/>
        <v>2.5</v>
      </c>
      <c r="AD129" s="7">
        <f t="shared" si="369"/>
        <v>4</v>
      </c>
      <c r="AE129" s="7">
        <f t="shared" si="372"/>
        <v>4</v>
      </c>
      <c r="AF129" s="7">
        <v>5</v>
      </c>
      <c r="AG129" s="7">
        <f t="shared" si="240"/>
        <v>63.951544156493995</v>
      </c>
      <c r="AH129" s="7"/>
      <c r="AI129" s="7"/>
      <c r="AJ129" s="7">
        <v>379</v>
      </c>
      <c r="AK129" s="7"/>
      <c r="AL129" s="7">
        <f t="shared" si="349"/>
        <v>0.89347049803591605</v>
      </c>
      <c r="AM129" s="7">
        <v>0</v>
      </c>
      <c r="AN129" s="7">
        <v>0</v>
      </c>
      <c r="AO129" s="7">
        <f t="shared" si="361"/>
        <v>572</v>
      </c>
      <c r="AP129" s="7"/>
      <c r="AQ129" s="7"/>
      <c r="AR129" s="7"/>
      <c r="AS129" s="4">
        <f t="shared" si="292"/>
        <v>572</v>
      </c>
      <c r="AT129" s="46">
        <f t="shared" si="362"/>
        <v>4.8256910145022036E-2</v>
      </c>
      <c r="AU129" s="25">
        <f t="shared" si="333"/>
        <v>685.08154812781754</v>
      </c>
      <c r="AV129" s="4">
        <f t="shared" si="334"/>
        <v>0.72499999999999998</v>
      </c>
      <c r="AW129" s="4">
        <v>1.25</v>
      </c>
      <c r="AX129" s="25">
        <f t="shared" si="325"/>
        <v>5</v>
      </c>
      <c r="AY129" s="38">
        <f t="shared" si="287"/>
        <v>149.80275665476307</v>
      </c>
      <c r="AZ129" s="38">
        <f t="shared" si="288"/>
        <v>149.80275665476307</v>
      </c>
      <c r="BB129" s="38">
        <f t="shared" si="363"/>
        <v>149.80275665476299</v>
      </c>
      <c r="BC129" s="38">
        <f t="shared" si="243"/>
        <v>1.0000000000000007</v>
      </c>
      <c r="BD129" s="38">
        <f t="shared" si="345"/>
        <v>2.1003618826930039</v>
      </c>
      <c r="BE129" s="4">
        <f t="shared" si="330"/>
        <v>0</v>
      </c>
      <c r="BF129" s="4">
        <f t="shared" si="244"/>
        <v>677.29296598506994</v>
      </c>
      <c r="BG129" s="4">
        <f t="shared" si="223"/>
        <v>1.2666666666666666</v>
      </c>
      <c r="BH129" s="38">
        <f t="shared" si="245"/>
        <v>314.63999999999993</v>
      </c>
      <c r="BI129" s="4">
        <f t="shared" si="224"/>
        <v>0.44000000000000006</v>
      </c>
      <c r="BJ129" s="4">
        <f t="shared" si="246"/>
        <v>155.70965287996762</v>
      </c>
      <c r="BK129" s="4">
        <f t="shared" si="247"/>
        <v>470.34965287996755</v>
      </c>
      <c r="BM129" s="36">
        <f t="shared" si="319"/>
        <v>1.1000000000000001</v>
      </c>
      <c r="BN129" s="36">
        <f t="shared" si="335"/>
        <v>382.19642070537503</v>
      </c>
      <c r="BS129" s="4">
        <f t="shared" si="373"/>
        <v>35</v>
      </c>
      <c r="BT129" s="4">
        <f t="shared" si="374"/>
        <v>35</v>
      </c>
      <c r="BU129" s="4">
        <f t="shared" si="375"/>
        <v>58.2</v>
      </c>
      <c r="BV129" s="4">
        <f t="shared" si="336"/>
        <v>49.3</v>
      </c>
      <c r="BW129" s="4">
        <f t="shared" si="376"/>
        <v>1.0662857142857143</v>
      </c>
      <c r="BX129" s="25">
        <f t="shared" si="337"/>
        <v>1.8380379620379617</v>
      </c>
      <c r="BZ129" s="4">
        <f t="shared" si="347"/>
        <v>28.6</v>
      </c>
      <c r="CD129" s="9"/>
      <c r="CF129" s="9"/>
      <c r="CG129" s="9"/>
      <c r="CH129" s="9">
        <f t="shared" si="230"/>
        <v>28.6</v>
      </c>
      <c r="CI129" s="9">
        <f t="shared" si="231"/>
        <v>57.2</v>
      </c>
      <c r="CJ129" s="9">
        <f t="shared" si="252"/>
        <v>1.1095694720678451</v>
      </c>
      <c r="CK129" s="70">
        <v>0</v>
      </c>
      <c r="CL129" s="9">
        <f t="shared" si="253"/>
        <v>0</v>
      </c>
      <c r="CM129" s="9">
        <f t="shared" si="254"/>
        <v>0</v>
      </c>
      <c r="CN129" s="9">
        <f t="shared" si="255"/>
        <v>0.96044432035915817</v>
      </c>
      <c r="CO129" s="9">
        <f t="shared" si="256"/>
        <v>0.74299999999999999</v>
      </c>
      <c r="CP129" s="9">
        <f t="shared" si="257"/>
        <v>1.6070493790635749</v>
      </c>
      <c r="CQ129" s="9">
        <f t="shared" si="258"/>
        <v>1.783132931114529</v>
      </c>
      <c r="CR129" s="9">
        <v>1</v>
      </c>
      <c r="CS129" s="9">
        <f t="shared" si="259"/>
        <v>249.63861035603406</v>
      </c>
      <c r="CU129" s="4">
        <f t="shared" si="370"/>
        <v>0.55958059367820834</v>
      </c>
      <c r="CV129" s="4">
        <f t="shared" si="364"/>
        <v>0.80578352227830852</v>
      </c>
      <c r="CW129" s="4">
        <f t="shared" si="211"/>
        <v>0.99163670685487904</v>
      </c>
      <c r="CX129" s="4">
        <f t="shared" si="351"/>
        <v>1.5181946392806425</v>
      </c>
      <c r="CY129" s="4">
        <f t="shared" si="213"/>
        <v>0.89347049803591605</v>
      </c>
      <c r="CZ129" s="4">
        <f t="shared" si="214"/>
        <v>0.93081825114400285</v>
      </c>
      <c r="DA129" s="4">
        <f t="shared" si="346"/>
        <v>0.74530460922177599</v>
      </c>
      <c r="DC129" s="4">
        <f t="shared" si="377"/>
        <v>0.55958059367820834</v>
      </c>
      <c r="DD129" s="4">
        <f t="shared" si="377"/>
        <v>0.80578352227830852</v>
      </c>
      <c r="DE129" s="4">
        <f t="shared" ref="DE129:DE139" si="387">CX129</f>
        <v>1.5181946392806425</v>
      </c>
      <c r="DF129" s="4">
        <f t="shared" si="365"/>
        <v>0.74530460922177599</v>
      </c>
      <c r="DG129" s="4">
        <f t="shared" si="378"/>
        <v>0.89347049803591605</v>
      </c>
      <c r="DH129" s="4">
        <f t="shared" si="378"/>
        <v>0.93081825114400285</v>
      </c>
      <c r="DP129" s="4">
        <f t="shared" si="379"/>
        <v>0</v>
      </c>
      <c r="DQ129" s="4">
        <f t="shared" si="338"/>
        <v>572</v>
      </c>
      <c r="DR129" s="4">
        <f t="shared" si="339"/>
        <v>1</v>
      </c>
      <c r="DT129" s="4">
        <f t="shared" si="262"/>
        <v>3.8605280992638792E-5</v>
      </c>
      <c r="DU129" s="4">
        <f t="shared" si="380"/>
        <v>4.3184114203497916</v>
      </c>
      <c r="DV129" s="4">
        <f t="shared" si="353"/>
        <v>0.22510097950552643</v>
      </c>
      <c r="DW129" s="4">
        <f t="shared" si="263"/>
        <v>2.3783456382301056</v>
      </c>
      <c r="DX129" s="4">
        <f t="shared" si="264"/>
        <v>3.487130385036203</v>
      </c>
      <c r="DY129" s="4">
        <f t="shared" si="354"/>
        <v>3.7537646420196529</v>
      </c>
      <c r="DZ129" s="38">
        <f t="shared" si="266"/>
        <v>424.18860033223484</v>
      </c>
      <c r="EA129" s="4">
        <f t="shared" si="267"/>
        <v>1.0000936381697847</v>
      </c>
      <c r="EB129" s="4">
        <f t="shared" si="355"/>
        <v>2.2360679774997898</v>
      </c>
      <c r="EC129" s="4">
        <f t="shared" si="291"/>
        <v>149.80275665476299</v>
      </c>
      <c r="EG129" s="4">
        <f t="shared" si="268"/>
        <v>1</v>
      </c>
      <c r="EH129" s="4">
        <f t="shared" si="269"/>
        <v>1</v>
      </c>
      <c r="EI129" s="4">
        <f t="shared" si="340"/>
        <v>1</v>
      </c>
      <c r="EJ129" s="4">
        <f t="shared" si="271"/>
        <v>1</v>
      </c>
      <c r="EL129" s="4">
        <f t="shared" si="341"/>
        <v>407.16863849005745</v>
      </c>
      <c r="EM129" s="25">
        <f t="shared" si="366"/>
        <v>148.06395326906991</v>
      </c>
      <c r="EP129" s="4">
        <f t="shared" si="322"/>
        <v>4.3184114203497916</v>
      </c>
      <c r="EQ129" s="4">
        <f t="shared" si="342"/>
        <v>4.3184114203497916</v>
      </c>
      <c r="ES129" s="4">
        <f t="shared" si="276"/>
        <v>63.951544156493995</v>
      </c>
      <c r="ET129" s="4">
        <f t="shared" si="381"/>
        <v>2.2360679774997898</v>
      </c>
      <c r="EU129" s="4">
        <f t="shared" si="277"/>
        <v>7.9197745851140991E-2</v>
      </c>
      <c r="EX129" s="4">
        <f t="shared" si="348"/>
        <v>7.9197745851140991E-2</v>
      </c>
      <c r="EY129" s="4">
        <f t="shared" si="278"/>
        <v>0.22472532792385119</v>
      </c>
      <c r="EZ129" s="4">
        <f t="shared" si="382"/>
        <v>2.3767572364535021</v>
      </c>
      <c r="FA129" s="4">
        <f t="shared" si="232"/>
        <v>3.4865927497285139</v>
      </c>
      <c r="FB129" s="4">
        <f t="shared" si="383"/>
        <v>365.04845584350602</v>
      </c>
      <c r="FC129" s="4">
        <f t="shared" si="384"/>
        <v>143</v>
      </c>
      <c r="FD129" s="4">
        <f t="shared" si="279"/>
        <v>3.8605280992638792E-5</v>
      </c>
      <c r="FE129" s="4">
        <f t="shared" si="233"/>
        <v>3.7538616387335155</v>
      </c>
      <c r="FF129" s="4">
        <f t="shared" si="343"/>
        <v>424.14888380703894</v>
      </c>
      <c r="FG129" s="4">
        <f t="shared" si="385"/>
        <v>365.04845584350602</v>
      </c>
      <c r="FH129" s="4">
        <f t="shared" si="386"/>
        <v>143</v>
      </c>
      <c r="FJ129" s="4">
        <f t="shared" si="356"/>
        <v>0</v>
      </c>
      <c r="FO129" s="23">
        <f t="shared" si="357"/>
        <v>0.6</v>
      </c>
      <c r="FP129" s="23">
        <f t="shared" si="357"/>
        <v>1</v>
      </c>
      <c r="FQ129" s="23">
        <f t="shared" si="229"/>
        <v>0.8</v>
      </c>
      <c r="FR129" s="23">
        <f t="shared" si="358"/>
        <v>1.6</v>
      </c>
      <c r="FS129" s="23">
        <f t="shared" si="358"/>
        <v>1</v>
      </c>
      <c r="FT129" s="23">
        <f t="shared" si="358"/>
        <v>1</v>
      </c>
      <c r="FU129" s="23">
        <f t="shared" si="221"/>
        <v>0</v>
      </c>
      <c r="FV129" s="23"/>
      <c r="GF129" s="4">
        <f t="shared" si="282"/>
        <v>1.25</v>
      </c>
      <c r="GG129" s="4">
        <f t="shared" si="283"/>
        <v>0.75</v>
      </c>
      <c r="GH129" s="4">
        <f t="shared" si="284"/>
        <v>0</v>
      </c>
      <c r="GI129" s="4">
        <f t="shared" si="285"/>
        <v>508.51691417250197</v>
      </c>
    </row>
    <row r="130" spans="1:191" ht="12" hidden="1" customHeight="1" x14ac:dyDescent="0.3">
      <c r="A130" s="25">
        <v>111</v>
      </c>
      <c r="B130" s="24" t="s">
        <v>128</v>
      </c>
      <c r="C130" s="24">
        <v>2015</v>
      </c>
      <c r="D130" s="24" t="s">
        <v>293</v>
      </c>
      <c r="E130" s="24"/>
      <c r="F130" s="24"/>
      <c r="G130" s="24"/>
      <c r="H130" s="7" t="s">
        <v>141</v>
      </c>
      <c r="I130" s="7"/>
      <c r="J130" s="7">
        <v>710</v>
      </c>
      <c r="K130" s="7">
        <f t="shared" si="323"/>
        <v>429</v>
      </c>
      <c r="L130" s="7">
        <f t="shared" si="367"/>
        <v>429</v>
      </c>
      <c r="M130" s="7">
        <v>40.1</v>
      </c>
      <c r="N130" s="7">
        <v>28.6</v>
      </c>
      <c r="O130" s="7">
        <v>15</v>
      </c>
      <c r="P130" s="7">
        <f t="shared" si="368"/>
        <v>15</v>
      </c>
      <c r="Q130" s="7">
        <v>406</v>
      </c>
      <c r="R130" s="7"/>
      <c r="S130" s="7">
        <f>N130*3.5</f>
        <v>100.10000000000001</v>
      </c>
      <c r="T130" s="7"/>
      <c r="U130" s="7"/>
      <c r="V130" s="7"/>
      <c r="W130" s="7">
        <f t="shared" ref="W130:W147" si="388">1*N130</f>
        <v>28.6</v>
      </c>
      <c r="X130" s="7">
        <v>2</v>
      </c>
      <c r="Y130" s="7"/>
      <c r="Z130" s="7"/>
      <c r="AA130" s="7">
        <f t="shared" si="359"/>
        <v>58.2</v>
      </c>
      <c r="AB130" s="7">
        <f t="shared" si="371"/>
        <v>1</v>
      </c>
      <c r="AC130" s="7">
        <f t="shared" si="360"/>
        <v>2.534965034965035</v>
      </c>
      <c r="AD130" s="7">
        <f t="shared" si="369"/>
        <v>4</v>
      </c>
      <c r="AE130" s="7">
        <f t="shared" si="372"/>
        <v>4</v>
      </c>
      <c r="AF130" s="7">
        <v>5</v>
      </c>
      <c r="AG130" s="7">
        <f t="shared" si="240"/>
        <v>63.951544156493995</v>
      </c>
      <c r="AH130" s="7"/>
      <c r="AI130" s="7"/>
      <c r="AJ130" s="7">
        <v>366</v>
      </c>
      <c r="AK130" s="7"/>
      <c r="AL130" s="7">
        <f t="shared" si="349"/>
        <v>1.0888038558182622</v>
      </c>
      <c r="AM130" s="7">
        <v>0</v>
      </c>
      <c r="AN130" s="7">
        <v>0</v>
      </c>
      <c r="AO130" s="7">
        <f t="shared" si="361"/>
        <v>429</v>
      </c>
      <c r="AP130" s="7"/>
      <c r="AQ130" s="7"/>
      <c r="AR130" s="7"/>
      <c r="AS130" s="4">
        <f t="shared" si="292"/>
        <v>429</v>
      </c>
      <c r="AT130" s="46">
        <f t="shared" si="362"/>
        <v>8.5790062480039175E-2</v>
      </c>
      <c r="AU130" s="25">
        <f t="shared" si="333"/>
        <v>437.93149656201666</v>
      </c>
      <c r="AV130" s="4">
        <f t="shared" si="334"/>
        <v>0.73379953379953378</v>
      </c>
      <c r="AW130" s="4">
        <v>1.25</v>
      </c>
      <c r="AX130" s="25">
        <f t="shared" si="325"/>
        <v>5</v>
      </c>
      <c r="AY130" s="38">
        <f t="shared" si="287"/>
        <v>172.30608476544029</v>
      </c>
      <c r="AZ130" s="38">
        <f t="shared" si="288"/>
        <v>172.30608476544029</v>
      </c>
      <c r="BB130" s="38">
        <f t="shared" si="363"/>
        <v>172.30608476544018</v>
      </c>
      <c r="BC130" s="38">
        <f t="shared" si="243"/>
        <v>1.0000000000000007</v>
      </c>
      <c r="BD130" s="38">
        <f t="shared" si="345"/>
        <v>1.5024620691473194</v>
      </c>
      <c r="BE130" s="4">
        <f t="shared" si="330"/>
        <v>0</v>
      </c>
      <c r="BF130" s="4">
        <f t="shared" si="244"/>
        <v>499.93074312592307</v>
      </c>
      <c r="BG130" s="4">
        <f t="shared" ref="BG130:BG156" si="389">MIN(0.6+0.4*(AC130/AB130),2)</f>
        <v>1.6139860139860138</v>
      </c>
      <c r="BH130" s="38">
        <f t="shared" si="245"/>
        <v>258.88335664335665</v>
      </c>
      <c r="BI130" s="4">
        <f t="shared" ref="BI130:BI153" si="390">MAX(1-0.7*AE130/5,0.3)</f>
        <v>0.44000000000000006</v>
      </c>
      <c r="BJ130" s="4">
        <f t="shared" si="246"/>
        <v>114.93407784464971</v>
      </c>
      <c r="BK130" s="4">
        <f t="shared" si="247"/>
        <v>373.81743448800637</v>
      </c>
      <c r="BM130" s="36">
        <f t="shared" si="319"/>
        <v>1.25</v>
      </c>
      <c r="BN130" s="36">
        <f t="shared" si="335"/>
        <v>364.11622457671393</v>
      </c>
      <c r="BS130" s="4">
        <f t="shared" si="373"/>
        <v>20.700000000000003</v>
      </c>
      <c r="BT130" s="4">
        <f t="shared" si="374"/>
        <v>20.700000000000003</v>
      </c>
      <c r="BU130" s="4">
        <f t="shared" si="375"/>
        <v>58.2</v>
      </c>
      <c r="BV130" s="4">
        <f t="shared" si="336"/>
        <v>35</v>
      </c>
      <c r="BW130" s="4">
        <f t="shared" si="376"/>
        <v>1.181159420289855</v>
      </c>
      <c r="BX130" s="25">
        <f t="shared" si="337"/>
        <v>1.4454748150400323</v>
      </c>
      <c r="BZ130" s="4">
        <f t="shared" si="347"/>
        <v>14.3</v>
      </c>
      <c r="CD130" s="9"/>
      <c r="CF130" s="9"/>
      <c r="CG130" s="9"/>
      <c r="CH130" s="9">
        <f t="shared" si="230"/>
        <v>14.3</v>
      </c>
      <c r="CI130" s="9">
        <f t="shared" si="231"/>
        <v>100.10000000000001</v>
      </c>
      <c r="CJ130" s="9">
        <f t="shared" si="252"/>
        <v>0.94678137986575273</v>
      </c>
      <c r="CK130" s="70">
        <v>0</v>
      </c>
      <c r="CL130" s="9">
        <f t="shared" si="253"/>
        <v>0</v>
      </c>
      <c r="CM130" s="9">
        <f t="shared" si="254"/>
        <v>0</v>
      </c>
      <c r="CN130" s="9">
        <f t="shared" si="255"/>
        <v>0.96044432035915817</v>
      </c>
      <c r="CO130" s="9">
        <f t="shared" si="256"/>
        <v>0.74299999999999999</v>
      </c>
      <c r="CP130" s="9">
        <f t="shared" si="257"/>
        <v>1.5816166822222031</v>
      </c>
      <c r="CQ130" s="9">
        <f t="shared" si="258"/>
        <v>1.4974452248130312</v>
      </c>
      <c r="CR130" s="9">
        <v>1</v>
      </c>
      <c r="CS130" s="9">
        <f t="shared" si="259"/>
        <v>179.69342697756375</v>
      </c>
      <c r="CU130" s="4">
        <f t="shared" si="370"/>
        <v>0.73210140610978902</v>
      </c>
      <c r="CV130" s="4">
        <f t="shared" si="364"/>
        <v>0.97908756048600731</v>
      </c>
      <c r="CW130" s="4">
        <f t="shared" si="211"/>
        <v>1.0051735552994816</v>
      </c>
      <c r="CX130" s="4">
        <f t="shared" si="351"/>
        <v>2.036802381456603</v>
      </c>
      <c r="CY130" s="4">
        <f t="shared" si="213"/>
        <v>1.0888038558182622</v>
      </c>
      <c r="CZ130" s="4">
        <f t="shared" si="214"/>
        <v>1.1425483020450971</v>
      </c>
      <c r="DA130" s="4">
        <f t="shared" si="346"/>
        <v>0.82546206924273469</v>
      </c>
      <c r="DC130" s="4">
        <f t="shared" si="377"/>
        <v>0.73210140610978902</v>
      </c>
      <c r="DD130" s="4">
        <f t="shared" si="377"/>
        <v>0.97908756048600731</v>
      </c>
      <c r="DE130" s="4">
        <f t="shared" si="387"/>
        <v>2.036802381456603</v>
      </c>
      <c r="DF130" s="4">
        <f t="shared" si="365"/>
        <v>0.82546206924273469</v>
      </c>
      <c r="DG130" s="4">
        <f t="shared" si="378"/>
        <v>1.0888038558182622</v>
      </c>
      <c r="DH130" s="4">
        <f t="shared" si="378"/>
        <v>1.1425483020450971</v>
      </c>
      <c r="DP130" s="4">
        <f t="shared" si="379"/>
        <v>0</v>
      </c>
      <c r="DQ130" s="4">
        <f t="shared" si="338"/>
        <v>429</v>
      </c>
      <c r="DR130" s="4">
        <f t="shared" si="339"/>
        <v>1</v>
      </c>
      <c r="DT130" s="4">
        <f t="shared" si="262"/>
        <v>2.8706723256234209E-5</v>
      </c>
      <c r="DU130" s="4">
        <f t="shared" si="380"/>
        <v>3.3423512159494768</v>
      </c>
      <c r="DV130" s="4">
        <f t="shared" si="353"/>
        <v>0.26730935764454727</v>
      </c>
      <c r="DW130" s="4">
        <f t="shared" si="263"/>
        <v>1.9717767835101758</v>
      </c>
      <c r="DX130" s="4">
        <f t="shared" si="264"/>
        <v>2.7445580788955319</v>
      </c>
      <c r="DY130" s="4">
        <f t="shared" si="354"/>
        <v>3.1499644723327127</v>
      </c>
      <c r="DZ130" s="38">
        <f t="shared" si="266"/>
        <v>336.1486993678418</v>
      </c>
      <c r="EA130" s="4">
        <f t="shared" si="267"/>
        <v>1.0000837827998859</v>
      </c>
      <c r="EB130" s="4">
        <f t="shared" si="355"/>
        <v>2.2360679774997898</v>
      </c>
      <c r="EC130" s="4">
        <f t="shared" si="291"/>
        <v>172.30608476544018</v>
      </c>
      <c r="EG130" s="4">
        <f t="shared" si="268"/>
        <v>1</v>
      </c>
      <c r="EH130" s="4">
        <f t="shared" si="269"/>
        <v>1</v>
      </c>
      <c r="EI130" s="4">
        <f t="shared" si="340"/>
        <v>1</v>
      </c>
      <c r="EJ130" s="4">
        <f t="shared" si="271"/>
        <v>1</v>
      </c>
      <c r="EL130" s="4">
        <f t="shared" si="341"/>
        <v>320.33656637962758</v>
      </c>
      <c r="EM130" s="25">
        <f t="shared" si="366"/>
        <v>169.93076166190113</v>
      </c>
      <c r="EP130" s="4">
        <f t="shared" si="322"/>
        <v>3.3423512159494768</v>
      </c>
      <c r="EQ130" s="4">
        <f t="shared" si="342"/>
        <v>3.3423512159494768</v>
      </c>
      <c r="ES130" s="4">
        <f t="shared" si="276"/>
        <v>63.951544156493995</v>
      </c>
      <c r="ET130" s="4">
        <f t="shared" si="381"/>
        <v>2.2360679774997898</v>
      </c>
      <c r="EU130" s="4">
        <f t="shared" si="277"/>
        <v>9.2559630873586304E-2</v>
      </c>
      <c r="EX130" s="4">
        <f t="shared" si="348"/>
        <v>9.2559630873586304E-2</v>
      </c>
      <c r="EY130" s="4">
        <f t="shared" si="278"/>
        <v>0.26686326814633043</v>
      </c>
      <c r="EZ130" s="4">
        <f t="shared" si="382"/>
        <v>1.9704599127847238</v>
      </c>
      <c r="FA130" s="4">
        <f t="shared" si="232"/>
        <v>2.7440874664199293</v>
      </c>
      <c r="FB130" s="4">
        <f t="shared" si="383"/>
        <v>257.79845584350602</v>
      </c>
      <c r="FC130" s="4">
        <f t="shared" si="384"/>
        <v>107.25</v>
      </c>
      <c r="FD130" s="4">
        <f t="shared" si="279"/>
        <v>2.8706723256234209E-5</v>
      </c>
      <c r="FE130" s="4">
        <f t="shared" si="233"/>
        <v>3.1500035126994623</v>
      </c>
      <c r="FF130" s="4">
        <f t="shared" si="343"/>
        <v>336.12053824804821</v>
      </c>
      <c r="FG130" s="4">
        <f t="shared" si="385"/>
        <v>257.79845584350602</v>
      </c>
      <c r="FH130" s="4">
        <f t="shared" si="386"/>
        <v>107.24999999999999</v>
      </c>
      <c r="FJ130" s="4">
        <f t="shared" si="356"/>
        <v>0</v>
      </c>
      <c r="FO130" s="23">
        <f t="shared" si="357"/>
        <v>0.8</v>
      </c>
      <c r="FP130" s="23">
        <f t="shared" si="357"/>
        <v>1</v>
      </c>
      <c r="FQ130" s="23">
        <f t="shared" ref="FQ130:FQ153" si="391">IF(DA130&lt;0.6,0.6,IF(DA130&lt;0.8,0.8,IF(DA130&lt;1,1,IF(DA130&lt;1.2,1.2,IF(DA130&lt;1.4,1.4,IF(DA130&lt;1.6,1.6,IF(DA130&lt;1.8,1.8,IF(DA130&lt;2,2,2.2))))))))</f>
        <v>1</v>
      </c>
      <c r="FR130" s="23">
        <f t="shared" si="358"/>
        <v>2.2000000000000002</v>
      </c>
      <c r="FS130" s="23">
        <f t="shared" si="358"/>
        <v>1.2</v>
      </c>
      <c r="FT130" s="23">
        <f t="shared" si="358"/>
        <v>1.2</v>
      </c>
      <c r="FU130" s="23">
        <f t="shared" si="221"/>
        <v>0</v>
      </c>
      <c r="FV130" s="23"/>
      <c r="GF130" s="4">
        <f t="shared" si="282"/>
        <v>1</v>
      </c>
      <c r="GG130" s="4">
        <f t="shared" si="283"/>
        <v>0.8</v>
      </c>
      <c r="GH130" s="4">
        <f t="shared" si="284"/>
        <v>0</v>
      </c>
      <c r="GI130" s="4">
        <f t="shared" si="285"/>
        <v>443.38802912623515</v>
      </c>
    </row>
    <row r="131" spans="1:191" ht="12" hidden="1" customHeight="1" x14ac:dyDescent="0.3">
      <c r="A131" s="25">
        <v>112</v>
      </c>
      <c r="B131" s="24" t="s">
        <v>128</v>
      </c>
      <c r="C131" s="24">
        <v>2015</v>
      </c>
      <c r="D131" s="24" t="s">
        <v>293</v>
      </c>
      <c r="E131" s="24"/>
      <c r="F131" s="24"/>
      <c r="G131" s="24"/>
      <c r="H131" s="7" t="s">
        <v>142</v>
      </c>
      <c r="I131" s="7"/>
      <c r="J131" s="7">
        <v>710</v>
      </c>
      <c r="K131" s="7">
        <f t="shared" si="323"/>
        <v>572</v>
      </c>
      <c r="L131" s="7">
        <f t="shared" si="367"/>
        <v>572</v>
      </c>
      <c r="M131" s="7">
        <v>40.1</v>
      </c>
      <c r="N131" s="7">
        <v>28.6</v>
      </c>
      <c r="O131" s="7">
        <v>20</v>
      </c>
      <c r="P131" s="7">
        <f t="shared" si="368"/>
        <v>20</v>
      </c>
      <c r="Q131" s="7">
        <v>406</v>
      </c>
      <c r="R131" s="7"/>
      <c r="S131" s="7">
        <f>N131*3.5</f>
        <v>100.10000000000001</v>
      </c>
      <c r="T131" s="7"/>
      <c r="U131" s="7"/>
      <c r="V131" s="7"/>
      <c r="W131" s="7">
        <f t="shared" si="388"/>
        <v>28.6</v>
      </c>
      <c r="X131" s="7">
        <v>2</v>
      </c>
      <c r="Y131" s="7"/>
      <c r="Z131" s="7"/>
      <c r="AA131" s="7">
        <f t="shared" si="359"/>
        <v>58.2</v>
      </c>
      <c r="AB131" s="7">
        <f t="shared" si="371"/>
        <v>1</v>
      </c>
      <c r="AC131" s="7">
        <f t="shared" si="360"/>
        <v>2.534965034965035</v>
      </c>
      <c r="AD131" s="7">
        <f t="shared" si="369"/>
        <v>4</v>
      </c>
      <c r="AE131" s="7">
        <f t="shared" si="372"/>
        <v>4</v>
      </c>
      <c r="AF131" s="7">
        <v>5</v>
      </c>
      <c r="AG131" s="7">
        <f t="shared" si="240"/>
        <v>63.951544156493995</v>
      </c>
      <c r="AH131" s="7"/>
      <c r="AI131" s="7"/>
      <c r="AJ131" s="7">
        <v>442</v>
      </c>
      <c r="AK131" s="7"/>
      <c r="AL131" s="7">
        <f t="shared" si="349"/>
        <v>1.2204018199828255</v>
      </c>
      <c r="AM131" s="7">
        <v>0</v>
      </c>
      <c r="AN131" s="7">
        <v>0</v>
      </c>
      <c r="AO131" s="7">
        <f t="shared" si="361"/>
        <v>572</v>
      </c>
      <c r="AP131" s="7"/>
      <c r="AQ131" s="7"/>
      <c r="AR131" s="7"/>
      <c r="AS131" s="4">
        <f t="shared" si="292"/>
        <v>572</v>
      </c>
      <c r="AT131" s="46">
        <f t="shared" si="362"/>
        <v>4.8256910145022036E-2</v>
      </c>
      <c r="AU131" s="25">
        <f t="shared" si="333"/>
        <v>674.23964647118942</v>
      </c>
      <c r="AV131" s="4">
        <f t="shared" si="334"/>
        <v>0.72534965034965027</v>
      </c>
      <c r="AW131" s="4">
        <v>1.25</v>
      </c>
      <c r="AX131" s="25">
        <f t="shared" si="325"/>
        <v>5</v>
      </c>
      <c r="AY131" s="38">
        <f t="shared" si="287"/>
        <v>147.50312470197355</v>
      </c>
      <c r="AZ131" s="38">
        <f t="shared" si="288"/>
        <v>147.50312470197355</v>
      </c>
      <c r="BB131" s="38">
        <f t="shared" si="363"/>
        <v>147.50312470197341</v>
      </c>
      <c r="BC131" s="38">
        <f t="shared" si="243"/>
        <v>1.0000000000000009</v>
      </c>
      <c r="BD131" s="38">
        <f t="shared" si="345"/>
        <v>1.7551042201066884</v>
      </c>
      <c r="BE131" s="4">
        <f t="shared" si="330"/>
        <v>0</v>
      </c>
      <c r="BF131" s="4">
        <f t="shared" si="244"/>
        <v>666.57432416789743</v>
      </c>
      <c r="BG131" s="4">
        <f t="shared" si="389"/>
        <v>1.6139860139860138</v>
      </c>
      <c r="BH131" s="38">
        <f t="shared" si="245"/>
        <v>258.88335664335665</v>
      </c>
      <c r="BI131" s="4">
        <f t="shared" si="390"/>
        <v>0.44000000000000006</v>
      </c>
      <c r="BJ131" s="4">
        <f t="shared" si="246"/>
        <v>153.24543712619962</v>
      </c>
      <c r="BK131" s="4">
        <f t="shared" si="247"/>
        <v>412.1287937695563</v>
      </c>
      <c r="BM131" s="36">
        <f t="shared" si="319"/>
        <v>1.25</v>
      </c>
      <c r="BN131" s="36">
        <f t="shared" si="335"/>
        <v>427.44078537266421</v>
      </c>
      <c r="BS131" s="4">
        <f t="shared" si="373"/>
        <v>20.700000000000003</v>
      </c>
      <c r="BT131" s="4">
        <f t="shared" si="374"/>
        <v>20.700000000000003</v>
      </c>
      <c r="BU131" s="4">
        <f t="shared" si="375"/>
        <v>58.2</v>
      </c>
      <c r="BV131" s="4">
        <f t="shared" si="336"/>
        <v>35</v>
      </c>
      <c r="BW131" s="4">
        <f t="shared" si="376"/>
        <v>1.181159420289855</v>
      </c>
      <c r="BX131" s="25">
        <f t="shared" si="337"/>
        <v>1.4454748150400323</v>
      </c>
      <c r="BZ131" s="4">
        <f t="shared" si="347"/>
        <v>14.3</v>
      </c>
      <c r="CD131" s="9"/>
      <c r="CF131" s="9"/>
      <c r="CG131" s="9"/>
      <c r="CH131" s="9">
        <f t="shared" si="230"/>
        <v>14.3</v>
      </c>
      <c r="CI131" s="9">
        <f t="shared" si="231"/>
        <v>100.10000000000001</v>
      </c>
      <c r="CJ131" s="9">
        <f t="shared" si="252"/>
        <v>0.94678137986575273</v>
      </c>
      <c r="CK131" s="70">
        <v>0</v>
      </c>
      <c r="CL131" s="9">
        <f t="shared" si="253"/>
        <v>0</v>
      </c>
      <c r="CM131" s="9">
        <f t="shared" si="254"/>
        <v>0</v>
      </c>
      <c r="CN131" s="9">
        <f t="shared" si="255"/>
        <v>0.96044432035915817</v>
      </c>
      <c r="CO131" s="9">
        <f t="shared" si="256"/>
        <v>0.74299999999999999</v>
      </c>
      <c r="CP131" s="9">
        <f t="shared" si="257"/>
        <v>1.5816166822222031</v>
      </c>
      <c r="CQ131" s="9">
        <f t="shared" si="258"/>
        <v>1.4974452248130312</v>
      </c>
      <c r="CR131" s="9">
        <v>1</v>
      </c>
      <c r="CS131" s="9">
        <f t="shared" si="259"/>
        <v>209.64233147382436</v>
      </c>
      <c r="CU131" s="4">
        <f t="shared" si="370"/>
        <v>0.66309184733714488</v>
      </c>
      <c r="CV131" s="4">
        <f t="shared" si="364"/>
        <v>1.0724802699593621</v>
      </c>
      <c r="CW131" s="4">
        <f t="shared" si="211"/>
        <v>1.0340613603698168</v>
      </c>
      <c r="CX131" s="4">
        <f t="shared" si="351"/>
        <v>2.1083528164023853</v>
      </c>
      <c r="CY131" s="4">
        <f t="shared" si="213"/>
        <v>1.2204018199828255</v>
      </c>
      <c r="CZ131" s="4">
        <f t="shared" si="214"/>
        <v>1.276229936668285</v>
      </c>
      <c r="DA131" s="4">
        <f t="shared" si="346"/>
        <v>0.74765212009280479</v>
      </c>
      <c r="DC131" s="4">
        <f t="shared" si="377"/>
        <v>0.66309184733714488</v>
      </c>
      <c r="DD131" s="4">
        <f t="shared" si="377"/>
        <v>1.0724802699593621</v>
      </c>
      <c r="DE131" s="4">
        <f t="shared" si="387"/>
        <v>2.1083528164023853</v>
      </c>
      <c r="DF131" s="4">
        <f t="shared" si="365"/>
        <v>0.74765212009280479</v>
      </c>
      <c r="DG131" s="4">
        <f t="shared" si="378"/>
        <v>1.2204018199828255</v>
      </c>
      <c r="DH131" s="4">
        <f t="shared" si="378"/>
        <v>1.276229936668285</v>
      </c>
      <c r="DP131" s="4">
        <f t="shared" si="379"/>
        <v>0</v>
      </c>
      <c r="DQ131" s="4">
        <f t="shared" si="338"/>
        <v>572</v>
      </c>
      <c r="DR131" s="4">
        <f t="shared" si="339"/>
        <v>1</v>
      </c>
      <c r="DT131" s="4">
        <f t="shared" si="262"/>
        <v>3.8275631008312281E-5</v>
      </c>
      <c r="DU131" s="4">
        <f t="shared" si="380"/>
        <v>3.3423512159494768</v>
      </c>
      <c r="DV131" s="4">
        <f t="shared" si="353"/>
        <v>0.22883095259417338</v>
      </c>
      <c r="DW131" s="4">
        <f t="shared" si="263"/>
        <v>1.8529256412902424</v>
      </c>
      <c r="DX131" s="4">
        <f t="shared" si="264"/>
        <v>2.7030801817652446</v>
      </c>
      <c r="DY131" s="4">
        <f t="shared" si="354"/>
        <v>3.0045936641224626</v>
      </c>
      <c r="DZ131" s="38">
        <f t="shared" si="266"/>
        <v>362.17579551480856</v>
      </c>
      <c r="EA131" s="4">
        <f t="shared" si="267"/>
        <v>1.0000866980646379</v>
      </c>
      <c r="EB131" s="4">
        <f t="shared" si="355"/>
        <v>2.2360679774997898</v>
      </c>
      <c r="EC131" s="4">
        <f t="shared" si="291"/>
        <v>147.50312470197341</v>
      </c>
      <c r="EG131" s="4">
        <f t="shared" si="268"/>
        <v>1</v>
      </c>
      <c r="EH131" s="4">
        <f t="shared" si="269"/>
        <v>1</v>
      </c>
      <c r="EI131" s="4">
        <f t="shared" si="340"/>
        <v>1</v>
      </c>
      <c r="EJ131" s="4">
        <f t="shared" si="271"/>
        <v>1</v>
      </c>
      <c r="EL131" s="4">
        <f t="shared" si="341"/>
        <v>346.33257479751762</v>
      </c>
      <c r="EM131" s="25">
        <f t="shared" si="366"/>
        <v>145.79150184054899</v>
      </c>
      <c r="EP131" s="4">
        <f t="shared" si="322"/>
        <v>3.3423512159494768</v>
      </c>
      <c r="EQ131" s="4">
        <f t="shared" si="342"/>
        <v>3.3423512159494768</v>
      </c>
      <c r="ES131" s="4">
        <f t="shared" si="276"/>
        <v>63.951544156493995</v>
      </c>
      <c r="ET131" s="4">
        <f t="shared" si="381"/>
        <v>2.2360679774997898</v>
      </c>
      <c r="EU131" s="4">
        <f t="shared" si="277"/>
        <v>7.9235941050490449E-2</v>
      </c>
      <c r="EX131" s="4">
        <f t="shared" si="348"/>
        <v>7.9235941050490449E-2</v>
      </c>
      <c r="EY131" s="4">
        <f t="shared" si="278"/>
        <v>0.22844907638258577</v>
      </c>
      <c r="EZ131" s="4">
        <f t="shared" si="382"/>
        <v>1.85168814648157</v>
      </c>
      <c r="FA131" s="4">
        <f t="shared" si="232"/>
        <v>2.7026590947952389</v>
      </c>
      <c r="FB131" s="4">
        <f t="shared" si="383"/>
        <v>365.04845584350602</v>
      </c>
      <c r="FC131" s="4">
        <f t="shared" si="384"/>
        <v>143</v>
      </c>
      <c r="FD131" s="4">
        <f t="shared" si="279"/>
        <v>3.8275631008312281E-5</v>
      </c>
      <c r="FE131" s="4">
        <f t="shared" si="233"/>
        <v>3.0046521727948186</v>
      </c>
      <c r="FF131" s="4">
        <f t="shared" si="343"/>
        <v>362.14439829635683</v>
      </c>
      <c r="FG131" s="4">
        <f t="shared" si="385"/>
        <v>365.04845584350602</v>
      </c>
      <c r="FH131" s="4">
        <f t="shared" si="386"/>
        <v>143</v>
      </c>
      <c r="FJ131" s="4">
        <f t="shared" si="356"/>
        <v>0</v>
      </c>
      <c r="FO131" s="23">
        <f t="shared" si="357"/>
        <v>0.8</v>
      </c>
      <c r="FP131" s="23">
        <f t="shared" si="357"/>
        <v>1.2</v>
      </c>
      <c r="FQ131" s="23">
        <f t="shared" si="391"/>
        <v>0.8</v>
      </c>
      <c r="FR131" s="23">
        <f t="shared" si="358"/>
        <v>2.2000000000000002</v>
      </c>
      <c r="FS131" s="23">
        <f t="shared" si="358"/>
        <v>1.4</v>
      </c>
      <c r="FT131" s="23">
        <f t="shared" si="358"/>
        <v>1.4</v>
      </c>
      <c r="FU131" s="23">
        <f t="shared" si="221"/>
        <v>0</v>
      </c>
      <c r="FV131" s="23"/>
      <c r="GF131" s="4">
        <f t="shared" si="282"/>
        <v>1</v>
      </c>
      <c r="GG131" s="4">
        <f t="shared" si="283"/>
        <v>0.8</v>
      </c>
      <c r="GH131" s="4">
        <f t="shared" si="284"/>
        <v>0</v>
      </c>
      <c r="GI131" s="4">
        <f t="shared" si="285"/>
        <v>591.18403883498024</v>
      </c>
    </row>
    <row r="132" spans="1:191" ht="12" hidden="1" customHeight="1" x14ac:dyDescent="0.3">
      <c r="A132" s="25">
        <v>113</v>
      </c>
      <c r="B132" s="24" t="s">
        <v>128</v>
      </c>
      <c r="C132" s="24">
        <v>2015</v>
      </c>
      <c r="D132" s="24" t="s">
        <v>293</v>
      </c>
      <c r="E132" s="24"/>
      <c r="F132" s="24"/>
      <c r="G132" s="24"/>
      <c r="H132" s="7" t="s">
        <v>143</v>
      </c>
      <c r="I132" s="7"/>
      <c r="J132" s="7">
        <v>710</v>
      </c>
      <c r="K132" s="7">
        <f t="shared" si="323"/>
        <v>715</v>
      </c>
      <c r="L132" s="7">
        <f t="shared" si="367"/>
        <v>715</v>
      </c>
      <c r="M132" s="7">
        <v>40.1</v>
      </c>
      <c r="N132" s="7">
        <v>28.6</v>
      </c>
      <c r="O132" s="7">
        <v>25</v>
      </c>
      <c r="P132" s="7">
        <f t="shared" si="368"/>
        <v>25</v>
      </c>
      <c r="Q132" s="7">
        <v>406</v>
      </c>
      <c r="R132" s="7"/>
      <c r="S132" s="7">
        <f>N132*3.5</f>
        <v>100.10000000000001</v>
      </c>
      <c r="T132" s="7"/>
      <c r="U132" s="7"/>
      <c r="V132" s="7"/>
      <c r="W132" s="7">
        <f t="shared" si="388"/>
        <v>28.6</v>
      </c>
      <c r="X132" s="7">
        <v>2</v>
      </c>
      <c r="Y132" s="7"/>
      <c r="Z132" s="7"/>
      <c r="AA132" s="7">
        <f t="shared" si="359"/>
        <v>58.2</v>
      </c>
      <c r="AB132" s="7">
        <f t="shared" si="371"/>
        <v>1</v>
      </c>
      <c r="AC132" s="7">
        <f t="shared" si="360"/>
        <v>2.534965034965035</v>
      </c>
      <c r="AD132" s="7">
        <f t="shared" si="369"/>
        <v>4</v>
      </c>
      <c r="AE132" s="7">
        <f t="shared" si="372"/>
        <v>4</v>
      </c>
      <c r="AF132" s="7">
        <v>5</v>
      </c>
      <c r="AG132" s="7">
        <f t="shared" si="240"/>
        <v>63.951544156493995</v>
      </c>
      <c r="AH132" s="7"/>
      <c r="AI132" s="7"/>
      <c r="AJ132" s="7">
        <v>501</v>
      </c>
      <c r="AK132" s="7"/>
      <c r="AL132" s="7">
        <f t="shared" si="349"/>
        <v>1.2715293577383433</v>
      </c>
      <c r="AM132" s="7">
        <v>0</v>
      </c>
      <c r="AN132" s="7">
        <v>0</v>
      </c>
      <c r="AO132" s="7">
        <f t="shared" si="361"/>
        <v>715</v>
      </c>
      <c r="AP132" s="7"/>
      <c r="AQ132" s="7"/>
      <c r="AR132" s="7"/>
      <c r="AS132" s="4">
        <f t="shared" si="292"/>
        <v>715</v>
      </c>
      <c r="AT132" s="46">
        <f t="shared" si="362"/>
        <v>3.08844224928141E-2</v>
      </c>
      <c r="AU132" s="25">
        <f t="shared" si="333"/>
        <v>942.2785516468773</v>
      </c>
      <c r="AV132" s="4">
        <f t="shared" si="334"/>
        <v>0.7202797202797202</v>
      </c>
      <c r="AW132" s="4">
        <v>1.25</v>
      </c>
      <c r="AX132" s="25">
        <f t="shared" si="325"/>
        <v>5</v>
      </c>
      <c r="AY132" s="38">
        <f t="shared" si="287"/>
        <v>131.0086571758238</v>
      </c>
      <c r="AZ132" s="38">
        <f t="shared" si="288"/>
        <v>131.0086571758238</v>
      </c>
      <c r="BB132" s="38">
        <f t="shared" si="363"/>
        <v>131.00865717582386</v>
      </c>
      <c r="BC132" s="38">
        <f t="shared" si="243"/>
        <v>0.99999999999999956</v>
      </c>
      <c r="BD132" s="38">
        <f t="shared" si="345"/>
        <v>1.9760782395923266</v>
      </c>
      <c r="BE132" s="4">
        <f t="shared" si="330"/>
        <v>0</v>
      </c>
      <c r="BF132" s="4">
        <f t="shared" si="244"/>
        <v>833.21790520987179</v>
      </c>
      <c r="BG132" s="4">
        <f t="shared" si="389"/>
        <v>1.6139860139860138</v>
      </c>
      <c r="BH132" s="38">
        <f t="shared" si="245"/>
        <v>258.88335664335665</v>
      </c>
      <c r="BI132" s="4">
        <f t="shared" si="390"/>
        <v>0.44000000000000006</v>
      </c>
      <c r="BJ132" s="4">
        <f t="shared" si="246"/>
        <v>191.55679640774952</v>
      </c>
      <c r="BK132" s="4">
        <f t="shared" si="247"/>
        <v>450.44015305110617</v>
      </c>
      <c r="BM132" s="36">
        <f t="shared" si="319"/>
        <v>1.25</v>
      </c>
      <c r="BN132" s="36">
        <f t="shared" si="335"/>
        <v>490.76534616861449</v>
      </c>
      <c r="BS132" s="4">
        <f t="shared" si="373"/>
        <v>20.700000000000003</v>
      </c>
      <c r="BT132" s="4">
        <f t="shared" si="374"/>
        <v>20.700000000000003</v>
      </c>
      <c r="BU132" s="4">
        <f t="shared" si="375"/>
        <v>58.2</v>
      </c>
      <c r="BV132" s="4">
        <f t="shared" si="336"/>
        <v>35</v>
      </c>
      <c r="BW132" s="4">
        <f t="shared" si="376"/>
        <v>1.181159420289855</v>
      </c>
      <c r="BX132" s="25">
        <f t="shared" si="337"/>
        <v>1.4454748150400323</v>
      </c>
      <c r="BZ132" s="4">
        <f t="shared" si="347"/>
        <v>14.3</v>
      </c>
      <c r="CD132" s="9"/>
      <c r="CF132" s="9"/>
      <c r="CG132" s="9"/>
      <c r="CH132" s="9">
        <f t="shared" si="230"/>
        <v>14.3</v>
      </c>
      <c r="CI132" s="9">
        <f t="shared" si="231"/>
        <v>100.10000000000001</v>
      </c>
      <c r="CJ132" s="9">
        <f t="shared" si="252"/>
        <v>0.94678137986575273</v>
      </c>
      <c r="CK132" s="70">
        <v>0</v>
      </c>
      <c r="CL132" s="9">
        <f t="shared" si="253"/>
        <v>0</v>
      </c>
      <c r="CM132" s="9">
        <f t="shared" si="254"/>
        <v>0</v>
      </c>
      <c r="CN132" s="9">
        <f t="shared" si="255"/>
        <v>0.96044432035915817</v>
      </c>
      <c r="CO132" s="9">
        <f t="shared" si="256"/>
        <v>0.74299999999999999</v>
      </c>
      <c r="CP132" s="9">
        <f t="shared" si="257"/>
        <v>1.5816166822222031</v>
      </c>
      <c r="CQ132" s="9">
        <f t="shared" si="258"/>
        <v>1.4974452248130312</v>
      </c>
      <c r="CR132" s="9">
        <v>1</v>
      </c>
      <c r="CS132" s="9">
        <f t="shared" si="259"/>
        <v>239.59123597008499</v>
      </c>
      <c r="CU132" s="4">
        <f t="shared" si="370"/>
        <v>0.60128328600164638</v>
      </c>
      <c r="CV132" s="4">
        <f t="shared" si="364"/>
        <v>1.1122454261824155</v>
      </c>
      <c r="CW132" s="4">
        <f t="shared" si="211"/>
        <v>1.0208544753847986</v>
      </c>
      <c r="CX132" s="4">
        <f t="shared" si="351"/>
        <v>2.0910614612904879</v>
      </c>
      <c r="CY132" s="4">
        <f t="shared" si="213"/>
        <v>1.2715293577383433</v>
      </c>
      <c r="CZ132" s="4">
        <f t="shared" si="214"/>
        <v>1.317244290552404</v>
      </c>
      <c r="DA132" s="4">
        <f t="shared" si="346"/>
        <v>0.67796146998460671</v>
      </c>
      <c r="DC132" s="4">
        <f t="shared" si="377"/>
        <v>0.60128328600164638</v>
      </c>
      <c r="DD132" s="4">
        <f t="shared" si="377"/>
        <v>1.1122454261824155</v>
      </c>
      <c r="DE132" s="4">
        <f t="shared" si="387"/>
        <v>2.0910614612904879</v>
      </c>
      <c r="DF132" s="4">
        <f t="shared" si="365"/>
        <v>0.67796146998460671</v>
      </c>
      <c r="DG132" s="4">
        <f t="shared" si="378"/>
        <v>1.2715293577383433</v>
      </c>
      <c r="DH132" s="4">
        <f t="shared" si="378"/>
        <v>1.317244290552404</v>
      </c>
      <c r="DP132" s="4">
        <f t="shared" si="379"/>
        <v>0</v>
      </c>
      <c r="DQ132" s="4">
        <f t="shared" si="338"/>
        <v>715</v>
      </c>
      <c r="DR132" s="4">
        <f t="shared" si="339"/>
        <v>1</v>
      </c>
      <c r="DT132" s="4">
        <f t="shared" si="262"/>
        <v>4.7844538760390357E-5</v>
      </c>
      <c r="DU132" s="4">
        <f t="shared" si="380"/>
        <v>3.3423512159494768</v>
      </c>
      <c r="DV132" s="4">
        <f t="shared" si="353"/>
        <v>0.20324203897509832</v>
      </c>
      <c r="DW132" s="4">
        <f t="shared" si="263"/>
        <v>1.7670852472226173</v>
      </c>
      <c r="DX132" s="4">
        <f t="shared" si="264"/>
        <v>2.6744142720436348</v>
      </c>
      <c r="DY132" s="4">
        <f t="shared" si="354"/>
        <v>2.821575209296785</v>
      </c>
      <c r="DZ132" s="38">
        <f t="shared" si="266"/>
        <v>394.01371030168252</v>
      </c>
      <c r="EA132" s="4">
        <f t="shared" si="267"/>
        <v>1.0000864763076034</v>
      </c>
      <c r="EB132" s="4">
        <f t="shared" si="355"/>
        <v>2.2360679774997898</v>
      </c>
      <c r="EC132" s="4">
        <f t="shared" si="291"/>
        <v>131.00865717582386</v>
      </c>
      <c r="EG132" s="4">
        <f t="shared" si="268"/>
        <v>1</v>
      </c>
      <c r="EH132" s="4">
        <f t="shared" si="269"/>
        <v>1</v>
      </c>
      <c r="EI132" s="4">
        <f t="shared" si="340"/>
        <v>1</v>
      </c>
      <c r="EJ132" s="4">
        <f t="shared" si="271"/>
        <v>1</v>
      </c>
      <c r="EL132" s="4">
        <f t="shared" si="341"/>
        <v>380.33947354586667</v>
      </c>
      <c r="EM132" s="25">
        <f t="shared" si="366"/>
        <v>129.66313234965591</v>
      </c>
      <c r="EP132" s="4">
        <f t="shared" si="322"/>
        <v>3.3423512159494768</v>
      </c>
      <c r="EQ132" s="4">
        <f t="shared" si="342"/>
        <v>3.3423512159494768</v>
      </c>
      <c r="ES132" s="4">
        <f t="shared" si="276"/>
        <v>63.951544156493995</v>
      </c>
      <c r="ET132" s="4">
        <f t="shared" si="381"/>
        <v>2.2360679774997898</v>
      </c>
      <c r="EU132" s="4">
        <f t="shared" si="277"/>
        <v>7.037541921949951E-2</v>
      </c>
      <c r="EX132" s="4">
        <f t="shared" si="348"/>
        <v>7.037541921949951E-2</v>
      </c>
      <c r="EY132" s="4">
        <f t="shared" si="278"/>
        <v>0.20290286589121573</v>
      </c>
      <c r="EZ132" s="4">
        <f t="shared" si="382"/>
        <v>1.7659050817744251</v>
      </c>
      <c r="FA132" s="4">
        <f t="shared" si="232"/>
        <v>2.6740279431045169</v>
      </c>
      <c r="FB132" s="4">
        <f t="shared" si="383"/>
        <v>472.29845584350602</v>
      </c>
      <c r="FC132" s="4">
        <f t="shared" si="384"/>
        <v>178.74999999999994</v>
      </c>
      <c r="FD132" s="4">
        <f t="shared" si="279"/>
        <v>4.784453876039033E-5</v>
      </c>
      <c r="FE132" s="4">
        <f t="shared" si="233"/>
        <v>2.8216554115148091</v>
      </c>
      <c r="FF132" s="4">
        <f t="shared" si="343"/>
        <v>393.97964039711007</v>
      </c>
      <c r="FG132" s="4">
        <f t="shared" si="385"/>
        <v>472.29845584350602</v>
      </c>
      <c r="FH132" s="4">
        <f t="shared" si="386"/>
        <v>178.75</v>
      </c>
      <c r="FJ132" s="4">
        <f t="shared" si="356"/>
        <v>0</v>
      </c>
      <c r="FO132" s="23">
        <f t="shared" si="357"/>
        <v>0.8</v>
      </c>
      <c r="FP132" s="23">
        <f t="shared" si="357"/>
        <v>1.2</v>
      </c>
      <c r="FQ132" s="23">
        <f t="shared" si="391"/>
        <v>0.8</v>
      </c>
      <c r="FR132" s="23">
        <f t="shared" si="358"/>
        <v>2.2000000000000002</v>
      </c>
      <c r="FS132" s="23">
        <f t="shared" si="358"/>
        <v>1.4</v>
      </c>
      <c r="FT132" s="23">
        <f t="shared" si="358"/>
        <v>1.4</v>
      </c>
      <c r="FU132" s="23">
        <f t="shared" si="221"/>
        <v>0</v>
      </c>
      <c r="FV132" s="23"/>
      <c r="GF132" s="4">
        <f t="shared" si="282"/>
        <v>1</v>
      </c>
      <c r="GG132" s="4">
        <f t="shared" si="283"/>
        <v>0.8</v>
      </c>
      <c r="GH132" s="4">
        <f t="shared" si="284"/>
        <v>0</v>
      </c>
      <c r="GI132" s="4">
        <f t="shared" si="285"/>
        <v>738.98004854372527</v>
      </c>
    </row>
    <row r="133" spans="1:191" ht="12" hidden="1" customHeight="1" x14ac:dyDescent="0.3">
      <c r="A133" s="25">
        <v>114</v>
      </c>
      <c r="B133" s="24" t="s">
        <v>128</v>
      </c>
      <c r="C133" s="24">
        <v>2015</v>
      </c>
      <c r="D133" s="24" t="s">
        <v>293</v>
      </c>
      <c r="E133" s="24"/>
      <c r="F133" s="24"/>
      <c r="G133" s="24"/>
      <c r="H133" s="7" t="s">
        <v>134</v>
      </c>
      <c r="I133" s="7"/>
      <c r="J133" s="7">
        <v>601</v>
      </c>
      <c r="K133" s="7">
        <f t="shared" si="323"/>
        <v>508</v>
      </c>
      <c r="L133" s="7">
        <f t="shared" si="367"/>
        <v>508</v>
      </c>
      <c r="M133" s="7">
        <v>41.4</v>
      </c>
      <c r="N133" s="7">
        <v>25.4</v>
      </c>
      <c r="O133" s="7">
        <v>20</v>
      </c>
      <c r="P133" s="7">
        <f t="shared" si="368"/>
        <v>20</v>
      </c>
      <c r="Q133" s="7">
        <v>225</v>
      </c>
      <c r="R133" s="7"/>
      <c r="S133" s="7">
        <f t="shared" ref="S133:S147" si="392">N133</f>
        <v>25.4</v>
      </c>
      <c r="T133" s="7"/>
      <c r="U133" s="7"/>
      <c r="V133" s="7"/>
      <c r="W133" s="7">
        <f t="shared" si="388"/>
        <v>25.4</v>
      </c>
      <c r="X133" s="7">
        <v>2</v>
      </c>
      <c r="Y133" s="7"/>
      <c r="Z133" s="7"/>
      <c r="AA133" s="7">
        <f t="shared" si="359"/>
        <v>59.8</v>
      </c>
      <c r="AB133" s="7">
        <f t="shared" si="371"/>
        <v>1</v>
      </c>
      <c r="AC133" s="7">
        <f t="shared" si="360"/>
        <v>1.4999999999999998</v>
      </c>
      <c r="AD133" s="7">
        <f t="shared" si="369"/>
        <v>4</v>
      </c>
      <c r="AE133" s="7">
        <f t="shared" si="372"/>
        <v>4</v>
      </c>
      <c r="AF133" s="7">
        <v>5</v>
      </c>
      <c r="AG133" s="7">
        <f t="shared" si="240"/>
        <v>56.796126628494655</v>
      </c>
      <c r="AH133" s="7"/>
      <c r="AI133" s="7"/>
      <c r="AJ133" s="7">
        <v>326</v>
      </c>
      <c r="AK133" s="7"/>
      <c r="AL133" s="7">
        <f t="shared" si="349"/>
        <v>0.98237511321915549</v>
      </c>
      <c r="AM133" s="7">
        <v>0</v>
      </c>
      <c r="AN133" s="7">
        <v>0</v>
      </c>
      <c r="AO133" s="7">
        <f t="shared" si="361"/>
        <v>508</v>
      </c>
      <c r="AP133" s="7"/>
      <c r="AQ133" s="7"/>
      <c r="AR133" s="7"/>
      <c r="AS133" s="4">
        <f t="shared" si="292"/>
        <v>508</v>
      </c>
      <c r="AT133" s="46">
        <f t="shared" si="362"/>
        <v>3.3906317812635624E-2</v>
      </c>
      <c r="AU133" s="25">
        <f t="shared" si="333"/>
        <v>726.95650773025864</v>
      </c>
      <c r="AV133" s="4">
        <f t="shared" si="334"/>
        <v>0.71499999999999997</v>
      </c>
      <c r="AW133" s="4">
        <v>1.25</v>
      </c>
      <c r="AX133" s="25">
        <f t="shared" si="325"/>
        <v>5</v>
      </c>
      <c r="AY133" s="38">
        <f t="shared" si="287"/>
        <v>110.14761966720054</v>
      </c>
      <c r="AZ133" s="38">
        <f t="shared" si="288"/>
        <v>110.14761966720054</v>
      </c>
      <c r="BB133" s="38">
        <f t="shared" si="363"/>
        <v>110.14761966720066</v>
      </c>
      <c r="BC133" s="38">
        <f t="shared" si="243"/>
        <v>0.999999999999999</v>
      </c>
      <c r="BD133" s="38">
        <f t="shared" si="345"/>
        <v>1.8041243251593759</v>
      </c>
      <c r="BE133" s="4">
        <f t="shared" si="330"/>
        <v>0</v>
      </c>
      <c r="BF133" s="4">
        <f t="shared" si="244"/>
        <v>677.29296598506994</v>
      </c>
      <c r="BG133" s="4">
        <f t="shared" si="389"/>
        <v>1.2</v>
      </c>
      <c r="BH133" s="38">
        <f t="shared" si="245"/>
        <v>198.72</v>
      </c>
      <c r="BI133" s="4">
        <f t="shared" si="390"/>
        <v>0.44000000000000006</v>
      </c>
      <c r="BJ133" s="4">
        <f t="shared" si="246"/>
        <v>155.70965287996762</v>
      </c>
      <c r="BK133" s="4">
        <f t="shared" si="247"/>
        <v>354.42965287996765</v>
      </c>
      <c r="BM133" s="36">
        <f t="shared" si="319"/>
        <v>1</v>
      </c>
      <c r="BN133" s="36">
        <f t="shared" si="335"/>
        <v>347.4512915503409</v>
      </c>
      <c r="BS133" s="4">
        <f t="shared" si="373"/>
        <v>19.100000000000001</v>
      </c>
      <c r="BT133" s="4">
        <f t="shared" si="374"/>
        <v>19.100000000000001</v>
      </c>
      <c r="BU133" s="4">
        <f t="shared" si="375"/>
        <v>59.8</v>
      </c>
      <c r="BV133" s="4">
        <f t="shared" si="336"/>
        <v>31.8</v>
      </c>
      <c r="BW133" s="4">
        <f t="shared" si="376"/>
        <v>1.213089005235602</v>
      </c>
      <c r="BX133" s="25">
        <f t="shared" si="337"/>
        <v>1.51874922702725</v>
      </c>
      <c r="BZ133" s="4">
        <f t="shared" si="347"/>
        <v>12.7</v>
      </c>
      <c r="CD133" s="9"/>
      <c r="CF133" s="9"/>
      <c r="CG133" s="9"/>
      <c r="CH133" s="9">
        <f t="shared" ref="CH133:CH153" si="393">IF(W133=0,MIN(S133,U133),MIN(W133/2,S133,U133))</f>
        <v>12.7</v>
      </c>
      <c r="CI133" s="9">
        <f t="shared" ref="CI133:CI153" si="394">MAX(W133/2,S133)</f>
        <v>25.4</v>
      </c>
      <c r="CJ133" s="9">
        <f t="shared" si="252"/>
        <v>0.78458409789675088</v>
      </c>
      <c r="CK133" s="70">
        <v>0</v>
      </c>
      <c r="CL133" s="9">
        <f t="shared" si="253"/>
        <v>0</v>
      </c>
      <c r="CM133" s="9">
        <f t="shared" si="254"/>
        <v>0</v>
      </c>
      <c r="CN133" s="9">
        <f t="shared" si="255"/>
        <v>0.99524931562137331</v>
      </c>
      <c r="CO133" s="9">
        <f t="shared" si="256"/>
        <v>0.84899999999999998</v>
      </c>
      <c r="CP133" s="9">
        <f t="shared" si="257"/>
        <v>1.9028641880890567</v>
      </c>
      <c r="CQ133" s="9">
        <f t="shared" si="258"/>
        <v>1.4929569824318858</v>
      </c>
      <c r="CR133" s="9">
        <v>1</v>
      </c>
      <c r="CS133" s="9">
        <f t="shared" si="259"/>
        <v>209.013977540464</v>
      </c>
      <c r="CU133" s="4">
        <f t="shared" si="370"/>
        <v>0.48132789852004199</v>
      </c>
      <c r="CV133" s="4">
        <f t="shared" si="364"/>
        <v>0.91978760058883746</v>
      </c>
      <c r="CW133" s="4">
        <f t="shared" si="211"/>
        <v>0.93826101076031576</v>
      </c>
      <c r="CX133" s="4">
        <f t="shared" si="351"/>
        <v>1.5597043022488204</v>
      </c>
      <c r="CY133" s="4">
        <f t="shared" si="213"/>
        <v>0.98237511321915549</v>
      </c>
      <c r="CZ133" s="4">
        <f t="shared" si="214"/>
        <v>1.0094326350055061</v>
      </c>
      <c r="DA133" s="4">
        <f t="shared" si="346"/>
        <v>0.64442853496754349</v>
      </c>
      <c r="DC133" s="4">
        <f t="shared" si="377"/>
        <v>0.48132789852004199</v>
      </c>
      <c r="DD133" s="4">
        <f t="shared" si="377"/>
        <v>0.91978760058883746</v>
      </c>
      <c r="DE133" s="4">
        <f t="shared" si="387"/>
        <v>1.5597043022488204</v>
      </c>
      <c r="DF133" s="4">
        <f t="shared" si="365"/>
        <v>0.64442853496754349</v>
      </c>
      <c r="DG133" s="4">
        <f t="shared" si="378"/>
        <v>0.98237511321915549</v>
      </c>
      <c r="DH133" s="4">
        <f t="shared" si="378"/>
        <v>1.0094326350055061</v>
      </c>
      <c r="DP133" s="4">
        <f t="shared" si="379"/>
        <v>0</v>
      </c>
      <c r="DQ133" s="4">
        <f t="shared" si="338"/>
        <v>508</v>
      </c>
      <c r="DR133" s="4">
        <f t="shared" si="339"/>
        <v>1</v>
      </c>
      <c r="DT133" s="4">
        <f t="shared" si="262"/>
        <v>3.8605280992638798E-5</v>
      </c>
      <c r="DU133" s="4">
        <f t="shared" si="380"/>
        <v>3.5682527467332243</v>
      </c>
      <c r="DV133" s="4">
        <f t="shared" si="353"/>
        <v>0.14699426103981272</v>
      </c>
      <c r="DW133" s="4">
        <f t="shared" si="263"/>
        <v>1.6572031895700639</v>
      </c>
      <c r="DX133" s="4">
        <f t="shared" si="264"/>
        <v>2.7839817622382004</v>
      </c>
      <c r="DY133" s="4">
        <f t="shared" si="354"/>
        <v>3.2370243009413513</v>
      </c>
      <c r="DZ133" s="38">
        <f t="shared" si="266"/>
        <v>331.84879748401517</v>
      </c>
      <c r="EA133" s="4">
        <f t="shared" si="267"/>
        <v>1.0000769602945356</v>
      </c>
      <c r="EB133" s="4">
        <f t="shared" si="355"/>
        <v>2.2360679774997898</v>
      </c>
      <c r="EC133" s="4">
        <f t="shared" si="291"/>
        <v>110.14761966720066</v>
      </c>
      <c r="EG133" s="4">
        <f t="shared" si="268"/>
        <v>1</v>
      </c>
      <c r="EH133" s="4">
        <f t="shared" si="269"/>
        <v>1</v>
      </c>
      <c r="EI133" s="4">
        <f t="shared" si="340"/>
        <v>1</v>
      </c>
      <c r="EJ133" s="4">
        <f t="shared" si="271"/>
        <v>1</v>
      </c>
      <c r="EL133" s="4">
        <f t="shared" si="341"/>
        <v>322.9536956651117</v>
      </c>
      <c r="EM133" s="25">
        <f t="shared" si="366"/>
        <v>108.85853086111824</v>
      </c>
      <c r="EP133" s="4">
        <f t="shared" si="322"/>
        <v>3.5682527467332243</v>
      </c>
      <c r="EQ133" s="4">
        <f t="shared" si="342"/>
        <v>3.5682527467332243</v>
      </c>
      <c r="ES133" s="4">
        <f t="shared" si="276"/>
        <v>56.796126628494655</v>
      </c>
      <c r="ET133" s="4">
        <f t="shared" si="381"/>
        <v>2.2360679774997898</v>
      </c>
      <c r="EU133" s="4">
        <f t="shared" si="277"/>
        <v>5.1717296623853881E-2</v>
      </c>
      <c r="EX133" s="4">
        <f t="shared" si="348"/>
        <v>5.1717296623853881E-2</v>
      </c>
      <c r="EY133" s="4">
        <f t="shared" si="278"/>
        <v>0.14674895501414331</v>
      </c>
      <c r="EZ133" s="4">
        <f t="shared" si="382"/>
        <v>1.6560964099463651</v>
      </c>
      <c r="FA133" s="4">
        <f t="shared" ref="FA133:FA153" si="395">EP133/1.4*(1-EY133^1.4)/(1-EY133)</f>
        <v>2.7836576591476994</v>
      </c>
      <c r="FB133" s="4">
        <f t="shared" si="383"/>
        <v>324.20387337150532</v>
      </c>
      <c r="FC133" s="4">
        <f t="shared" si="384"/>
        <v>127</v>
      </c>
      <c r="FD133" s="4">
        <f t="shared" si="279"/>
        <v>3.8605280992638798E-5</v>
      </c>
      <c r="FE133" s="4">
        <f t="shared" ref="FE133:FE153" si="396">MAX(0.5*EP133, (1-2*FD133*(ES133*EZ133+FB133*FA133))/(1/EP133+FD133*FC133))</f>
        <v>3.2370697730071787</v>
      </c>
      <c r="FF133" s="4">
        <f t="shared" si="343"/>
        <v>331.82326026817117</v>
      </c>
      <c r="FG133" s="4">
        <f t="shared" si="385"/>
        <v>324.20387337150532</v>
      </c>
      <c r="FH133" s="4">
        <f t="shared" si="386"/>
        <v>127.00000000000003</v>
      </c>
      <c r="FJ133" s="4">
        <f t="shared" si="356"/>
        <v>0</v>
      </c>
      <c r="FO133" s="23">
        <f t="shared" si="357"/>
        <v>0.6</v>
      </c>
      <c r="FP133" s="23">
        <f t="shared" si="357"/>
        <v>1</v>
      </c>
      <c r="FQ133" s="23">
        <f t="shared" si="391"/>
        <v>0.8</v>
      </c>
      <c r="FR133" s="23">
        <f t="shared" si="358"/>
        <v>1.6</v>
      </c>
      <c r="FS133" s="23">
        <f t="shared" si="358"/>
        <v>1</v>
      </c>
      <c r="FT133" s="23">
        <f t="shared" si="358"/>
        <v>1.2</v>
      </c>
      <c r="FU133" s="23">
        <f t="shared" si="221"/>
        <v>0</v>
      </c>
      <c r="FV133" s="23"/>
      <c r="GF133" s="4">
        <f t="shared" si="282"/>
        <v>1.25</v>
      </c>
      <c r="GG133" s="4">
        <f t="shared" si="283"/>
        <v>0.8</v>
      </c>
      <c r="GH133" s="4">
        <f t="shared" si="284"/>
        <v>0</v>
      </c>
      <c r="GI133" s="4">
        <f t="shared" si="285"/>
        <v>505.87455755108505</v>
      </c>
    </row>
    <row r="134" spans="1:191" ht="12" hidden="1" customHeight="1" x14ac:dyDescent="0.3">
      <c r="A134" s="25">
        <v>115</v>
      </c>
      <c r="B134" s="24" t="s">
        <v>128</v>
      </c>
      <c r="C134" s="24">
        <v>2015</v>
      </c>
      <c r="D134" s="24" t="s">
        <v>293</v>
      </c>
      <c r="E134" s="24"/>
      <c r="F134" s="24"/>
      <c r="G134" s="24"/>
      <c r="H134" s="7" t="s">
        <v>135</v>
      </c>
      <c r="I134" s="7"/>
      <c r="J134" s="7">
        <v>601</v>
      </c>
      <c r="K134" s="7">
        <f t="shared" si="323"/>
        <v>635</v>
      </c>
      <c r="L134" s="7">
        <f t="shared" si="367"/>
        <v>635</v>
      </c>
      <c r="M134" s="7">
        <v>41.4</v>
      </c>
      <c r="N134" s="7">
        <v>25.4</v>
      </c>
      <c r="O134" s="7">
        <v>25</v>
      </c>
      <c r="P134" s="7">
        <f t="shared" si="368"/>
        <v>25</v>
      </c>
      <c r="Q134" s="7">
        <v>225</v>
      </c>
      <c r="R134" s="7"/>
      <c r="S134" s="7">
        <f t="shared" si="392"/>
        <v>25.4</v>
      </c>
      <c r="T134" s="7"/>
      <c r="U134" s="7"/>
      <c r="V134" s="7"/>
      <c r="W134" s="7">
        <f t="shared" si="388"/>
        <v>25.4</v>
      </c>
      <c r="X134" s="7">
        <v>2</v>
      </c>
      <c r="Y134" s="7"/>
      <c r="Z134" s="7"/>
      <c r="AA134" s="7">
        <f t="shared" si="359"/>
        <v>59.8</v>
      </c>
      <c r="AB134" s="7">
        <f t="shared" si="371"/>
        <v>1</v>
      </c>
      <c r="AC134" s="7">
        <f t="shared" si="360"/>
        <v>1.4999999999999998</v>
      </c>
      <c r="AD134" s="7">
        <f t="shared" si="369"/>
        <v>4</v>
      </c>
      <c r="AE134" s="7">
        <f t="shared" si="372"/>
        <v>4</v>
      </c>
      <c r="AF134" s="7">
        <v>5</v>
      </c>
      <c r="AG134" s="7">
        <f t="shared" si="240"/>
        <v>56.796126628494655</v>
      </c>
      <c r="AH134" s="7"/>
      <c r="AI134" s="7"/>
      <c r="AJ134" s="7">
        <v>408</v>
      </c>
      <c r="AK134" s="7"/>
      <c r="AL134" s="7">
        <f t="shared" si="349"/>
        <v>1.0994263216866613</v>
      </c>
      <c r="AM134" s="7">
        <v>0</v>
      </c>
      <c r="AN134" s="7">
        <v>0</v>
      </c>
      <c r="AO134" s="7">
        <f t="shared" si="361"/>
        <v>635</v>
      </c>
      <c r="AP134" s="7"/>
      <c r="AQ134" s="7"/>
      <c r="AR134" s="7"/>
      <c r="AS134" s="4">
        <f t="shared" si="292"/>
        <v>635</v>
      </c>
      <c r="AT134" s="46">
        <f t="shared" si="362"/>
        <v>2.1700043400086799E-2</v>
      </c>
      <c r="AU134" s="25">
        <f t="shared" si="333"/>
        <v>1015.952604981694</v>
      </c>
      <c r="AV134" s="4">
        <f t="shared" si="334"/>
        <v>0.71199999999999997</v>
      </c>
      <c r="AW134" s="4">
        <v>1.25</v>
      </c>
      <c r="AX134" s="25">
        <f t="shared" si="325"/>
        <v>5</v>
      </c>
      <c r="AY134" s="38">
        <f t="shared" si="287"/>
        <v>98.105659511376288</v>
      </c>
      <c r="AZ134" s="38">
        <f t="shared" si="288"/>
        <v>98.105659511376288</v>
      </c>
      <c r="BB134" s="38">
        <f t="shared" si="363"/>
        <v>98.105659511376331</v>
      </c>
      <c r="BC134" s="38">
        <f t="shared" si="243"/>
        <v>0.99999999999999956</v>
      </c>
      <c r="BD134" s="38">
        <f t="shared" si="345"/>
        <v>2.0255712156642343</v>
      </c>
      <c r="BE134" s="4">
        <f t="shared" si="330"/>
        <v>0</v>
      </c>
      <c r="BF134" s="4">
        <f t="shared" si="244"/>
        <v>846.61620748133748</v>
      </c>
      <c r="BG134" s="4">
        <f t="shared" si="389"/>
        <v>1.2</v>
      </c>
      <c r="BH134" s="38">
        <f t="shared" si="245"/>
        <v>198.72</v>
      </c>
      <c r="BI134" s="4">
        <f t="shared" si="390"/>
        <v>0.44000000000000006</v>
      </c>
      <c r="BJ134" s="4">
        <f t="shared" si="246"/>
        <v>194.63706609995953</v>
      </c>
      <c r="BK134" s="4">
        <f t="shared" si="247"/>
        <v>393.35706609995952</v>
      </c>
      <c r="BM134" s="36">
        <f t="shared" si="319"/>
        <v>1</v>
      </c>
      <c r="BN134" s="36">
        <f t="shared" si="335"/>
        <v>398.92555696520623</v>
      </c>
      <c r="BS134" s="4">
        <f t="shared" si="373"/>
        <v>19.100000000000001</v>
      </c>
      <c r="BT134" s="4">
        <f t="shared" si="374"/>
        <v>19.100000000000001</v>
      </c>
      <c r="BU134" s="4">
        <f t="shared" si="375"/>
        <v>59.8</v>
      </c>
      <c r="BV134" s="4">
        <f t="shared" si="336"/>
        <v>31.8</v>
      </c>
      <c r="BW134" s="4">
        <f t="shared" si="376"/>
        <v>1.213089005235602</v>
      </c>
      <c r="BX134" s="25">
        <f t="shared" si="337"/>
        <v>1.51874922702725</v>
      </c>
      <c r="BZ134" s="4">
        <f t="shared" si="347"/>
        <v>12.7</v>
      </c>
      <c r="CD134" s="9"/>
      <c r="CF134" s="9"/>
      <c r="CG134" s="9"/>
      <c r="CH134" s="9">
        <f t="shared" si="393"/>
        <v>12.7</v>
      </c>
      <c r="CI134" s="9">
        <f t="shared" si="394"/>
        <v>25.4</v>
      </c>
      <c r="CJ134" s="9">
        <f t="shared" si="252"/>
        <v>0.78458409789675088</v>
      </c>
      <c r="CK134" s="70">
        <v>0</v>
      </c>
      <c r="CL134" s="9">
        <f t="shared" si="253"/>
        <v>0</v>
      </c>
      <c r="CM134" s="9">
        <f t="shared" si="254"/>
        <v>0</v>
      </c>
      <c r="CN134" s="9">
        <f t="shared" si="255"/>
        <v>0.99524931562137331</v>
      </c>
      <c r="CO134" s="9">
        <f t="shared" si="256"/>
        <v>0.84899999999999998</v>
      </c>
      <c r="CP134" s="9">
        <f t="shared" si="257"/>
        <v>1.9028641880890567</v>
      </c>
      <c r="CQ134" s="9">
        <f t="shared" si="258"/>
        <v>1.4929569824318858</v>
      </c>
      <c r="CR134" s="9">
        <v>1</v>
      </c>
      <c r="CS134" s="9">
        <f t="shared" si="259"/>
        <v>238.87311718910172</v>
      </c>
      <c r="CU134" s="4">
        <f t="shared" si="370"/>
        <v>0.48191848489859418</v>
      </c>
      <c r="CV134" s="4">
        <f t="shared" si="364"/>
        <v>1.0372255519526359</v>
      </c>
      <c r="CW134" s="4">
        <f t="shared" si="211"/>
        <v>1.0227472090377634</v>
      </c>
      <c r="CX134" s="4">
        <f t="shared" si="351"/>
        <v>1.7080197420332173</v>
      </c>
      <c r="CY134" s="4">
        <f t="shared" si="213"/>
        <v>1.0994263216866613</v>
      </c>
      <c r="CZ134" s="4">
        <f t="shared" si="214"/>
        <v>1.1186948523610185</v>
      </c>
      <c r="DA134" s="4">
        <f t="shared" si="346"/>
        <v>0.64521924482639936</v>
      </c>
      <c r="DC134" s="4">
        <f t="shared" si="377"/>
        <v>0.48191848489859418</v>
      </c>
      <c r="DD134" s="4">
        <f t="shared" si="377"/>
        <v>1.0372255519526359</v>
      </c>
      <c r="DE134" s="4">
        <f t="shared" si="387"/>
        <v>1.7080197420332173</v>
      </c>
      <c r="DF134" s="4">
        <f t="shared" si="365"/>
        <v>0.64521924482639936</v>
      </c>
      <c r="DG134" s="4">
        <f t="shared" si="378"/>
        <v>1.0994263216866613</v>
      </c>
      <c r="DH134" s="4">
        <f t="shared" si="378"/>
        <v>1.1186948523610185</v>
      </c>
      <c r="DP134" s="4">
        <f t="shared" si="379"/>
        <v>0</v>
      </c>
      <c r="DQ134" s="4">
        <f t="shared" si="338"/>
        <v>635</v>
      </c>
      <c r="DR134" s="4">
        <f t="shared" si="339"/>
        <v>1</v>
      </c>
      <c r="DT134" s="4">
        <f t="shared" si="262"/>
        <v>4.8256601240798488E-5</v>
      </c>
      <c r="DU134" s="4">
        <f t="shared" si="380"/>
        <v>3.5682527467332243</v>
      </c>
      <c r="DV134" s="4">
        <f t="shared" si="353"/>
        <v>0.13092401785231186</v>
      </c>
      <c r="DW134" s="4">
        <f t="shared" si="263"/>
        <v>1.5822071349669731</v>
      </c>
      <c r="DX134" s="4">
        <f t="shared" si="264"/>
        <v>2.7624609360085506</v>
      </c>
      <c r="DY134" s="4">
        <f t="shared" si="354"/>
        <v>3.0547564676061842</v>
      </c>
      <c r="DZ134" s="38">
        <f t="shared" si="266"/>
        <v>371.10263048284628</v>
      </c>
      <c r="EA134" s="4">
        <f t="shared" si="267"/>
        <v>1.0000741331081429</v>
      </c>
      <c r="EB134" s="4">
        <f t="shared" si="355"/>
        <v>2.2360679774997898</v>
      </c>
      <c r="EC134" s="4">
        <f t="shared" si="291"/>
        <v>98.105659511376331</v>
      </c>
      <c r="EG134" s="4">
        <f t="shared" si="268"/>
        <v>1</v>
      </c>
      <c r="EH134" s="4">
        <f t="shared" si="269"/>
        <v>1</v>
      </c>
      <c r="EI134" s="4">
        <f t="shared" si="340"/>
        <v>1</v>
      </c>
      <c r="EJ134" s="4">
        <f t="shared" si="271"/>
        <v>1</v>
      </c>
      <c r="EL134" s="4">
        <f t="shared" si="341"/>
        <v>364.71071547250909</v>
      </c>
      <c r="EM134" s="25">
        <f t="shared" si="366"/>
        <v>97.09175946751725</v>
      </c>
      <c r="EP134" s="4">
        <f t="shared" si="322"/>
        <v>3.5682527467332243</v>
      </c>
      <c r="EQ134" s="4">
        <f t="shared" si="342"/>
        <v>3.5682527467332243</v>
      </c>
      <c r="ES134" s="4">
        <f t="shared" si="276"/>
        <v>56.796126628494655</v>
      </c>
      <c r="ET134" s="4">
        <f t="shared" si="381"/>
        <v>2.2360679774997898</v>
      </c>
      <c r="EU134" s="4">
        <f t="shared" si="277"/>
        <v>4.6063269535542281E-2</v>
      </c>
      <c r="EX134" s="4">
        <f t="shared" si="348"/>
        <v>4.6063269535542281E-2</v>
      </c>
      <c r="EY134" s="4">
        <f t="shared" si="278"/>
        <v>0.13070553006743624</v>
      </c>
      <c r="EZ134" s="4">
        <f t="shared" si="382"/>
        <v>1.5811504422038443</v>
      </c>
      <c r="FA134" s="4">
        <f t="shared" si="395"/>
        <v>2.7621641591792314</v>
      </c>
      <c r="FB134" s="4">
        <f t="shared" si="383"/>
        <v>419.45387337150532</v>
      </c>
      <c r="FC134" s="4">
        <f t="shared" si="384"/>
        <v>158.75</v>
      </c>
      <c r="FD134" s="4">
        <f t="shared" si="279"/>
        <v>4.8256601240798488E-5</v>
      </c>
      <c r="FE134" s="4">
        <f t="shared" si="396"/>
        <v>3.0548183157992312</v>
      </c>
      <c r="FF134" s="4">
        <f t="shared" si="343"/>
        <v>371.07512153073276</v>
      </c>
      <c r="FG134" s="4">
        <f t="shared" si="385"/>
        <v>419.45387337150532</v>
      </c>
      <c r="FH134" s="4">
        <f t="shared" si="386"/>
        <v>158.75000000000003</v>
      </c>
      <c r="FJ134" s="4">
        <f t="shared" si="356"/>
        <v>0</v>
      </c>
      <c r="FO134" s="23">
        <f t="shared" si="357"/>
        <v>0.6</v>
      </c>
      <c r="FP134" s="23">
        <f t="shared" si="357"/>
        <v>1.2</v>
      </c>
      <c r="FQ134" s="23">
        <f t="shared" si="391"/>
        <v>0.8</v>
      </c>
      <c r="FR134" s="23">
        <f t="shared" si="358"/>
        <v>1.8</v>
      </c>
      <c r="FS134" s="23">
        <f t="shared" si="358"/>
        <v>1.2</v>
      </c>
      <c r="FT134" s="23">
        <f t="shared" si="358"/>
        <v>1.2</v>
      </c>
      <c r="FU134" s="23">
        <f t="shared" si="221"/>
        <v>0</v>
      </c>
      <c r="FV134" s="23"/>
      <c r="GF134" s="4">
        <f t="shared" si="282"/>
        <v>1.25</v>
      </c>
      <c r="GG134" s="4">
        <f t="shared" si="283"/>
        <v>0.8</v>
      </c>
      <c r="GH134" s="4">
        <f t="shared" si="284"/>
        <v>0</v>
      </c>
      <c r="GI134" s="4">
        <f t="shared" si="285"/>
        <v>632.34319693885629</v>
      </c>
    </row>
    <row r="135" spans="1:191" ht="12" hidden="1" customHeight="1" x14ac:dyDescent="0.3">
      <c r="A135" s="25">
        <v>116</v>
      </c>
      <c r="B135" s="24" t="s">
        <v>128</v>
      </c>
      <c r="C135" s="24">
        <v>2015</v>
      </c>
      <c r="D135" s="24" t="s">
        <v>293</v>
      </c>
      <c r="E135" s="24"/>
      <c r="F135" s="24"/>
      <c r="G135" s="24"/>
      <c r="H135" s="7" t="s">
        <v>136</v>
      </c>
      <c r="I135" s="7"/>
      <c r="J135" s="7">
        <v>710</v>
      </c>
      <c r="K135" s="7">
        <f t="shared" si="323"/>
        <v>572</v>
      </c>
      <c r="L135" s="7">
        <f t="shared" si="367"/>
        <v>572</v>
      </c>
      <c r="M135" s="7">
        <v>20.3</v>
      </c>
      <c r="N135" s="7">
        <v>28.6</v>
      </c>
      <c r="O135" s="7">
        <v>20</v>
      </c>
      <c r="P135" s="7">
        <f t="shared" si="368"/>
        <v>20</v>
      </c>
      <c r="Q135" s="7">
        <v>261</v>
      </c>
      <c r="R135" s="7"/>
      <c r="S135" s="7">
        <f t="shared" si="392"/>
        <v>28.6</v>
      </c>
      <c r="T135" s="7"/>
      <c r="U135" s="7"/>
      <c r="V135" s="7"/>
      <c r="W135" s="7">
        <f t="shared" si="388"/>
        <v>28.6</v>
      </c>
      <c r="X135" s="7">
        <v>2</v>
      </c>
      <c r="Y135" s="7"/>
      <c r="Z135" s="7"/>
      <c r="AA135" s="7">
        <f t="shared" si="359"/>
        <v>58.2</v>
      </c>
      <c r="AB135" s="7">
        <f t="shared" si="371"/>
        <v>1</v>
      </c>
      <c r="AC135" s="7">
        <f t="shared" si="360"/>
        <v>1.5000000000000002</v>
      </c>
      <c r="AD135" s="7">
        <f t="shared" si="369"/>
        <v>4</v>
      </c>
      <c r="AE135" s="7">
        <f t="shared" si="372"/>
        <v>4</v>
      </c>
      <c r="AF135" s="7">
        <v>5</v>
      </c>
      <c r="AG135" s="7">
        <f t="shared" si="240"/>
        <v>63.951544156493995</v>
      </c>
      <c r="AH135" s="7"/>
      <c r="AI135" s="7"/>
      <c r="AJ135" s="7">
        <v>235</v>
      </c>
      <c r="AK135" s="7"/>
      <c r="AL135" s="7">
        <f t="shared" si="349"/>
        <v>1.0703841422803833</v>
      </c>
      <c r="AM135" s="7">
        <v>0</v>
      </c>
      <c r="AN135" s="7">
        <v>0</v>
      </c>
      <c r="AO135" s="7">
        <f t="shared" si="361"/>
        <v>572</v>
      </c>
      <c r="AP135" s="7"/>
      <c r="AQ135" s="7"/>
      <c r="AR135" s="7"/>
      <c r="AS135" s="4">
        <f t="shared" si="292"/>
        <v>572</v>
      </c>
      <c r="AT135" s="46">
        <f t="shared" si="362"/>
        <v>3.1022299378942735E-2</v>
      </c>
      <c r="AU135" s="25">
        <f t="shared" si="333"/>
        <v>479.72253378364422</v>
      </c>
      <c r="AV135" s="4">
        <f t="shared" si="334"/>
        <v>0.71499999999999997</v>
      </c>
      <c r="AW135" s="4">
        <v>1.25</v>
      </c>
      <c r="AX135" s="25">
        <f t="shared" si="325"/>
        <v>5</v>
      </c>
      <c r="AY135" s="38">
        <f t="shared" si="287"/>
        <v>66.50436677644214</v>
      </c>
      <c r="AZ135" s="38">
        <f t="shared" si="288"/>
        <v>66.50436677644214</v>
      </c>
      <c r="BB135" s="38">
        <f t="shared" si="363"/>
        <v>66.504366776442097</v>
      </c>
      <c r="BC135" s="38">
        <f t="shared" si="243"/>
        <v>1.0000000000000007</v>
      </c>
      <c r="BD135" s="38">
        <f t="shared" si="345"/>
        <v>1.4651669465187098</v>
      </c>
      <c r="BE135" s="4">
        <f t="shared" si="330"/>
        <v>0</v>
      </c>
      <c r="BF135" s="4">
        <f t="shared" si="244"/>
        <v>474.26864530816039</v>
      </c>
      <c r="BG135" s="4">
        <f t="shared" si="389"/>
        <v>1.2000000000000002</v>
      </c>
      <c r="BH135" s="38">
        <f t="shared" si="245"/>
        <v>97.44</v>
      </c>
      <c r="BI135" s="4">
        <f t="shared" si="390"/>
        <v>0.44000000000000006</v>
      </c>
      <c r="BJ135" s="4">
        <f t="shared" si="246"/>
        <v>109.03436155634608</v>
      </c>
      <c r="BK135" s="4">
        <f t="shared" si="247"/>
        <v>206.47436155634608</v>
      </c>
      <c r="BM135" s="36">
        <f t="shared" si="319"/>
        <v>1</v>
      </c>
      <c r="BN135" s="36">
        <f t="shared" si="335"/>
        <v>243.29981504308628</v>
      </c>
      <c r="BS135" s="4">
        <f t="shared" si="373"/>
        <v>20.700000000000003</v>
      </c>
      <c r="BT135" s="4">
        <f t="shared" si="374"/>
        <v>20.700000000000003</v>
      </c>
      <c r="BU135" s="4">
        <f t="shared" si="375"/>
        <v>58.2</v>
      </c>
      <c r="BV135" s="4">
        <f t="shared" si="336"/>
        <v>35</v>
      </c>
      <c r="BW135" s="4">
        <f t="shared" si="376"/>
        <v>1.181159420289855</v>
      </c>
      <c r="BX135" s="25">
        <f t="shared" si="337"/>
        <v>1.4454748150400323</v>
      </c>
      <c r="BZ135" s="4">
        <f t="shared" si="347"/>
        <v>14.3</v>
      </c>
      <c r="CD135" s="9"/>
      <c r="CF135" s="9"/>
      <c r="CG135" s="9"/>
      <c r="CH135" s="9">
        <f t="shared" si="393"/>
        <v>14.3</v>
      </c>
      <c r="CI135" s="9">
        <f t="shared" si="394"/>
        <v>28.6</v>
      </c>
      <c r="CJ135" s="9">
        <f t="shared" si="252"/>
        <v>0.78458409789675088</v>
      </c>
      <c r="CK135" s="70">
        <v>0</v>
      </c>
      <c r="CL135" s="9">
        <f t="shared" si="253"/>
        <v>0</v>
      </c>
      <c r="CM135" s="9">
        <f t="shared" si="254"/>
        <v>0</v>
      </c>
      <c r="CN135" s="9">
        <f t="shared" si="255"/>
        <v>0.96044432035915817</v>
      </c>
      <c r="CO135" s="9">
        <f t="shared" si="256"/>
        <v>0.74299999999999999</v>
      </c>
      <c r="CP135" s="9">
        <f t="shared" si="257"/>
        <v>1.1253226745730049</v>
      </c>
      <c r="CQ135" s="9">
        <f t="shared" si="258"/>
        <v>0.88291027547262002</v>
      </c>
      <c r="CR135" s="9">
        <v>1</v>
      </c>
      <c r="CS135" s="9">
        <f t="shared" si="259"/>
        <v>123.60743856616681</v>
      </c>
      <c r="CU135" s="4">
        <f t="shared" si="370"/>
        <v>0.49549976015662306</v>
      </c>
      <c r="CV135" s="4">
        <f t="shared" si="364"/>
        <v>1.1381558379870296</v>
      </c>
      <c r="CW135" s="4">
        <f t="shared" si="211"/>
        <v>0.96588647204020084</v>
      </c>
      <c r="CX135" s="4">
        <f t="shared" si="351"/>
        <v>1.9011800804706829</v>
      </c>
      <c r="CY135" s="4">
        <f t="shared" si="213"/>
        <v>1.0703841422803833</v>
      </c>
      <c r="CZ135" s="4">
        <f t="shared" si="214"/>
        <v>1.1275778761630597</v>
      </c>
      <c r="DA135" s="4">
        <f t="shared" si="346"/>
        <v>0.58907047894788955</v>
      </c>
      <c r="DC135" s="4">
        <f t="shared" si="377"/>
        <v>0.49549976015662306</v>
      </c>
      <c r="DD135" s="4">
        <f t="shared" si="377"/>
        <v>1.1381558379870296</v>
      </c>
      <c r="DE135" s="4">
        <f t="shared" si="387"/>
        <v>1.9011800804706829</v>
      </c>
      <c r="DF135" s="4">
        <f t="shared" si="365"/>
        <v>0.58907047894788955</v>
      </c>
      <c r="DG135" s="4">
        <f t="shared" si="378"/>
        <v>1.0703841422803833</v>
      </c>
      <c r="DH135" s="4">
        <f t="shared" si="378"/>
        <v>1.1275778761630597</v>
      </c>
      <c r="DP135" s="4">
        <f t="shared" si="379"/>
        <v>0</v>
      </c>
      <c r="DQ135" s="4">
        <f t="shared" si="338"/>
        <v>572</v>
      </c>
      <c r="DR135" s="4">
        <f t="shared" si="339"/>
        <v>1</v>
      </c>
      <c r="DT135" s="4">
        <f t="shared" si="262"/>
        <v>3.3190801128342592E-5</v>
      </c>
      <c r="DU135" s="4">
        <f t="shared" si="380"/>
        <v>2.3780879728772248</v>
      </c>
      <c r="DV135" s="4">
        <f t="shared" si="353"/>
        <v>0.20380369115520638</v>
      </c>
      <c r="DW135" s="4">
        <f t="shared" si="263"/>
        <v>1.2586724738780479</v>
      </c>
      <c r="DX135" s="4">
        <f t="shared" si="264"/>
        <v>1.903304726285421</v>
      </c>
      <c r="DY135" s="4">
        <f t="shared" si="354"/>
        <v>2.2305232000234416</v>
      </c>
      <c r="DZ135" s="38">
        <f t="shared" si="266"/>
        <v>219.54734820654937</v>
      </c>
      <c r="EA135" s="4">
        <f t="shared" si="267"/>
        <v>1.0000961123731371</v>
      </c>
      <c r="EB135" s="4">
        <f t="shared" si="355"/>
        <v>2.2360679774997898</v>
      </c>
      <c r="EC135" s="4">
        <f t="shared" si="291"/>
        <v>66.504366776442097</v>
      </c>
      <c r="EG135" s="4">
        <f t="shared" si="268"/>
        <v>1</v>
      </c>
      <c r="EH135" s="4">
        <f t="shared" si="269"/>
        <v>1</v>
      </c>
      <c r="EI135" s="4">
        <f t="shared" si="340"/>
        <v>1</v>
      </c>
      <c r="EJ135" s="4">
        <f t="shared" si="271"/>
        <v>1</v>
      </c>
      <c r="EL135" s="4">
        <f t="shared" si="341"/>
        <v>208.41132569899457</v>
      </c>
      <c r="EM135" s="25">
        <f t="shared" si="366"/>
        <v>65.726047326361083</v>
      </c>
      <c r="EP135" s="4">
        <f t="shared" si="322"/>
        <v>2.3780879728772248</v>
      </c>
      <c r="EQ135" s="4">
        <f t="shared" si="342"/>
        <v>2.3780879728772248</v>
      </c>
      <c r="ES135" s="4">
        <f t="shared" si="276"/>
        <v>63.951544156493995</v>
      </c>
      <c r="ET135" s="4">
        <f t="shared" si="381"/>
        <v>2.2360679774997898</v>
      </c>
      <c r="EU135" s="4">
        <f t="shared" si="277"/>
        <v>5.0210590596265245E-2</v>
      </c>
      <c r="EX135" s="4">
        <f t="shared" si="348"/>
        <v>5.0210590596265245E-2</v>
      </c>
      <c r="EY135" s="4">
        <f t="shared" si="278"/>
        <v>0.20346358077851293</v>
      </c>
      <c r="EZ135" s="4">
        <f t="shared" si="382"/>
        <v>1.2578318569544467</v>
      </c>
      <c r="FA135" s="4">
        <f t="shared" si="395"/>
        <v>1.9030292975161969</v>
      </c>
      <c r="FB135" s="4">
        <f t="shared" si="383"/>
        <v>365.04845584350602</v>
      </c>
      <c r="FC135" s="4">
        <f t="shared" si="384"/>
        <v>143</v>
      </c>
      <c r="FD135" s="4">
        <f t="shared" si="279"/>
        <v>3.3190801128342592E-5</v>
      </c>
      <c r="FE135" s="4">
        <f t="shared" si="396"/>
        <v>2.2305472867198173</v>
      </c>
      <c r="FF135" s="4">
        <f t="shared" si="343"/>
        <v>219.52624901779041</v>
      </c>
      <c r="FG135" s="4">
        <f t="shared" si="385"/>
        <v>365.04845584350602</v>
      </c>
      <c r="FH135" s="4">
        <f t="shared" si="386"/>
        <v>143</v>
      </c>
      <c r="FJ135" s="4">
        <f t="shared" si="356"/>
        <v>0</v>
      </c>
      <c r="FO135" s="23">
        <f t="shared" si="357"/>
        <v>0.6</v>
      </c>
      <c r="FP135" s="23">
        <f t="shared" si="357"/>
        <v>1.2</v>
      </c>
      <c r="FQ135" s="23">
        <f t="shared" si="391"/>
        <v>0.6</v>
      </c>
      <c r="FR135" s="23">
        <f t="shared" si="358"/>
        <v>2</v>
      </c>
      <c r="FS135" s="23">
        <f t="shared" si="358"/>
        <v>1.2</v>
      </c>
      <c r="FT135" s="23">
        <f t="shared" si="358"/>
        <v>1.2</v>
      </c>
      <c r="FU135" s="23">
        <f t="shared" si="221"/>
        <v>0</v>
      </c>
      <c r="FV135" s="23"/>
      <c r="GF135" s="4">
        <f t="shared" si="282"/>
        <v>1.25</v>
      </c>
      <c r="GG135" s="4">
        <f t="shared" si="283"/>
        <v>0.8</v>
      </c>
      <c r="GH135" s="4">
        <f t="shared" si="284"/>
        <v>0</v>
      </c>
      <c r="GI135" s="4">
        <f t="shared" si="285"/>
        <v>398.93358842174911</v>
      </c>
    </row>
    <row r="136" spans="1:191" ht="12" hidden="1" customHeight="1" x14ac:dyDescent="0.3">
      <c r="A136" s="25">
        <v>117</v>
      </c>
      <c r="B136" s="24" t="s">
        <v>128</v>
      </c>
      <c r="C136" s="24">
        <v>2015</v>
      </c>
      <c r="D136" s="24" t="s">
        <v>293</v>
      </c>
      <c r="E136" s="24"/>
      <c r="F136" s="24"/>
      <c r="G136" s="24"/>
      <c r="H136" s="7" t="s">
        <v>137</v>
      </c>
      <c r="I136" s="7"/>
      <c r="J136" s="7">
        <v>710</v>
      </c>
      <c r="K136" s="7">
        <f t="shared" si="323"/>
        <v>715</v>
      </c>
      <c r="L136" s="7">
        <f t="shared" si="367"/>
        <v>715</v>
      </c>
      <c r="M136" s="7">
        <v>20.3</v>
      </c>
      <c r="N136" s="7">
        <v>28.6</v>
      </c>
      <c r="O136" s="7">
        <v>25</v>
      </c>
      <c r="P136" s="7">
        <f t="shared" si="368"/>
        <v>25</v>
      </c>
      <c r="Q136" s="7">
        <v>261</v>
      </c>
      <c r="R136" s="7"/>
      <c r="S136" s="7">
        <f t="shared" si="392"/>
        <v>28.6</v>
      </c>
      <c r="T136" s="7"/>
      <c r="U136" s="7"/>
      <c r="V136" s="7"/>
      <c r="W136" s="7">
        <f t="shared" si="388"/>
        <v>28.6</v>
      </c>
      <c r="X136" s="7">
        <v>2</v>
      </c>
      <c r="Y136" s="7"/>
      <c r="Z136" s="7"/>
      <c r="AA136" s="7">
        <f t="shared" si="359"/>
        <v>58.2</v>
      </c>
      <c r="AB136" s="7">
        <f t="shared" si="371"/>
        <v>1</v>
      </c>
      <c r="AC136" s="7">
        <f t="shared" si="360"/>
        <v>1.5000000000000002</v>
      </c>
      <c r="AD136" s="7">
        <f t="shared" si="369"/>
        <v>4</v>
      </c>
      <c r="AE136" s="7">
        <f t="shared" si="372"/>
        <v>4</v>
      </c>
      <c r="AF136" s="7">
        <v>5</v>
      </c>
      <c r="AG136" s="7">
        <f t="shared" si="240"/>
        <v>63.951544156493995</v>
      </c>
      <c r="AH136" s="7"/>
      <c r="AI136" s="7"/>
      <c r="AJ136" s="7">
        <v>282</v>
      </c>
      <c r="AK136" s="7"/>
      <c r="AL136" s="7">
        <f t="shared" si="349"/>
        <v>1.1360427524926529</v>
      </c>
      <c r="AM136" s="7">
        <v>0</v>
      </c>
      <c r="AN136" s="7">
        <v>0</v>
      </c>
      <c r="AO136" s="7">
        <f t="shared" si="361"/>
        <v>715</v>
      </c>
      <c r="AP136" s="7"/>
      <c r="AQ136" s="7"/>
      <c r="AR136" s="7"/>
      <c r="AS136" s="4">
        <f t="shared" si="292"/>
        <v>715</v>
      </c>
      <c r="AT136" s="46">
        <f t="shared" si="362"/>
        <v>1.985427160252335E-2</v>
      </c>
      <c r="AU136" s="25">
        <f t="shared" si="333"/>
        <v>670.43262242416654</v>
      </c>
      <c r="AV136" s="4">
        <f t="shared" si="334"/>
        <v>0.71199999999999997</v>
      </c>
      <c r="AW136" s="4">
        <v>1.25</v>
      </c>
      <c r="AX136" s="25">
        <f t="shared" si="325"/>
        <v>5</v>
      </c>
      <c r="AY136" s="38">
        <f t="shared" si="287"/>
        <v>59.233733626766181</v>
      </c>
      <c r="AZ136" s="38">
        <f t="shared" si="288"/>
        <v>59.233733626766181</v>
      </c>
      <c r="BB136" s="38">
        <f t="shared" si="363"/>
        <v>59.23373362676621</v>
      </c>
      <c r="BC136" s="38">
        <f t="shared" si="243"/>
        <v>0.99999999999999956</v>
      </c>
      <c r="BD136" s="38">
        <f t="shared" si="345"/>
        <v>1.6450085792999778</v>
      </c>
      <c r="BE136" s="4">
        <f t="shared" si="330"/>
        <v>0</v>
      </c>
      <c r="BF136" s="4">
        <f t="shared" si="244"/>
        <v>592.83580663520047</v>
      </c>
      <c r="BG136" s="4">
        <f t="shared" si="389"/>
        <v>1.2000000000000002</v>
      </c>
      <c r="BH136" s="38">
        <f t="shared" si="245"/>
        <v>97.44</v>
      </c>
      <c r="BI136" s="4">
        <f t="shared" si="390"/>
        <v>0.44000000000000006</v>
      </c>
      <c r="BJ136" s="4">
        <f t="shared" si="246"/>
        <v>136.29295194543261</v>
      </c>
      <c r="BK136" s="4">
        <f t="shared" si="247"/>
        <v>233.7329519454326</v>
      </c>
      <c r="BM136" s="36">
        <f t="shared" si="319"/>
        <v>1</v>
      </c>
      <c r="BN136" s="36">
        <f t="shared" si="335"/>
        <v>279.34423208650645</v>
      </c>
      <c r="BS136" s="4">
        <f t="shared" si="373"/>
        <v>20.700000000000003</v>
      </c>
      <c r="BT136" s="4">
        <f t="shared" si="374"/>
        <v>20.700000000000003</v>
      </c>
      <c r="BU136" s="4">
        <f t="shared" si="375"/>
        <v>58.2</v>
      </c>
      <c r="BV136" s="4">
        <f t="shared" si="336"/>
        <v>35</v>
      </c>
      <c r="BW136" s="4">
        <f t="shared" si="376"/>
        <v>1.181159420289855</v>
      </c>
      <c r="BX136" s="25">
        <f t="shared" si="337"/>
        <v>1.4454748150400323</v>
      </c>
      <c r="BZ136" s="4">
        <f t="shared" si="347"/>
        <v>14.3</v>
      </c>
      <c r="CD136" s="9"/>
      <c r="CF136" s="9"/>
      <c r="CG136" s="9"/>
      <c r="CH136" s="9">
        <f t="shared" si="393"/>
        <v>14.3</v>
      </c>
      <c r="CI136" s="9">
        <f t="shared" si="394"/>
        <v>28.6</v>
      </c>
      <c r="CJ136" s="9">
        <f t="shared" si="252"/>
        <v>0.78458409789675088</v>
      </c>
      <c r="CK136" s="70">
        <v>0</v>
      </c>
      <c r="CL136" s="9">
        <f t="shared" si="253"/>
        <v>0</v>
      </c>
      <c r="CM136" s="9">
        <f t="shared" si="254"/>
        <v>0</v>
      </c>
      <c r="CN136" s="9">
        <f t="shared" si="255"/>
        <v>0.96044432035915817</v>
      </c>
      <c r="CO136" s="9">
        <f t="shared" si="256"/>
        <v>0.74299999999999999</v>
      </c>
      <c r="CP136" s="9">
        <f t="shared" si="257"/>
        <v>1.1253226745730049</v>
      </c>
      <c r="CQ136" s="9">
        <f t="shared" si="258"/>
        <v>0.88291027547262002</v>
      </c>
      <c r="CR136" s="9">
        <v>1</v>
      </c>
      <c r="CS136" s="9">
        <f t="shared" si="259"/>
        <v>141.26564407561921</v>
      </c>
      <c r="CU136" s="4">
        <f t="shared" si="370"/>
        <v>0.47567976975035814</v>
      </c>
      <c r="CV136" s="4">
        <f t="shared" si="364"/>
        <v>1.2065051061599386</v>
      </c>
      <c r="CW136" s="4">
        <f t="shared" si="211"/>
        <v>1.0095071514226617</v>
      </c>
      <c r="CX136" s="4">
        <f t="shared" si="351"/>
        <v>1.9962390844942171</v>
      </c>
      <c r="CY136" s="4">
        <f t="shared" si="213"/>
        <v>1.1360427524926529</v>
      </c>
      <c r="CZ136" s="4">
        <f t="shared" si="214"/>
        <v>1.1899830557976832</v>
      </c>
      <c r="DA136" s="4">
        <f t="shared" si="346"/>
        <v>0.56550765978997408</v>
      </c>
      <c r="DC136" s="4">
        <f t="shared" si="377"/>
        <v>0.47567976975035814</v>
      </c>
      <c r="DD136" s="4">
        <f t="shared" si="377"/>
        <v>1.2065051061599386</v>
      </c>
      <c r="DE136" s="4">
        <f t="shared" si="387"/>
        <v>1.9962390844942171</v>
      </c>
      <c r="DF136" s="4">
        <f t="shared" si="365"/>
        <v>0.56550765978997408</v>
      </c>
      <c r="DG136" s="4">
        <f t="shared" si="378"/>
        <v>1.1360427524926529</v>
      </c>
      <c r="DH136" s="4">
        <f t="shared" si="378"/>
        <v>1.1899830557976832</v>
      </c>
      <c r="DP136" s="4">
        <f t="shared" si="379"/>
        <v>0</v>
      </c>
      <c r="DQ136" s="4">
        <f t="shared" si="338"/>
        <v>715</v>
      </c>
      <c r="DR136" s="4">
        <f t="shared" si="339"/>
        <v>1</v>
      </c>
      <c r="DT136" s="4">
        <f t="shared" si="262"/>
        <v>4.1488501410428239E-5</v>
      </c>
      <c r="DU136" s="4">
        <f t="shared" si="380"/>
        <v>2.3780879728772248</v>
      </c>
      <c r="DV136" s="4">
        <f t="shared" si="353"/>
        <v>0.18152272007370676</v>
      </c>
      <c r="DW136" s="4">
        <f t="shared" si="263"/>
        <v>1.2017117643087798</v>
      </c>
      <c r="DX136" s="4">
        <f t="shared" si="264"/>
        <v>1.8849899141539597</v>
      </c>
      <c r="DY136" s="4">
        <f t="shared" si="354"/>
        <v>2.149341721747791</v>
      </c>
      <c r="DZ136" s="38">
        <f t="shared" si="266"/>
        <v>248.23009466963151</v>
      </c>
      <c r="EA136" s="4">
        <f t="shared" si="267"/>
        <v>1.000092901864754</v>
      </c>
      <c r="EB136" s="4">
        <f t="shared" si="355"/>
        <v>2.2360679774997898</v>
      </c>
      <c r="EC136" s="4">
        <f t="shared" si="291"/>
        <v>59.23373362676621</v>
      </c>
      <c r="EG136" s="4">
        <f t="shared" si="268"/>
        <v>1</v>
      </c>
      <c r="EH136" s="4">
        <f t="shared" si="269"/>
        <v>1</v>
      </c>
      <c r="EI136" s="4">
        <f t="shared" si="340"/>
        <v>1</v>
      </c>
      <c r="EJ136" s="4">
        <f t="shared" si="271"/>
        <v>1</v>
      </c>
      <c r="EL136" s="4">
        <f t="shared" si="341"/>
        <v>236.97816420668823</v>
      </c>
      <c r="EM136" s="25">
        <f t="shared" si="366"/>
        <v>58.621566240896378</v>
      </c>
      <c r="EP136" s="4">
        <f t="shared" si="322"/>
        <v>2.3780879728772248</v>
      </c>
      <c r="EQ136" s="4">
        <f t="shared" si="342"/>
        <v>2.3780879728772248</v>
      </c>
      <c r="ES136" s="4">
        <f t="shared" si="276"/>
        <v>63.951544156493995</v>
      </c>
      <c r="ET136" s="4">
        <f t="shared" si="381"/>
        <v>2.2360679774997898</v>
      </c>
      <c r="EU136" s="4">
        <f t="shared" si="277"/>
        <v>4.4721285124322503E-2</v>
      </c>
      <c r="EX136" s="4">
        <f t="shared" si="348"/>
        <v>4.4721285124322503E-2</v>
      </c>
      <c r="EY136" s="4">
        <f t="shared" si="278"/>
        <v>0.18121979248513981</v>
      </c>
      <c r="EZ136" s="4">
        <f t="shared" si="382"/>
        <v>1.2009091891612864</v>
      </c>
      <c r="FA136" s="4">
        <f t="shared" si="395"/>
        <v>1.8847369703955175</v>
      </c>
      <c r="FB136" s="4">
        <f t="shared" si="383"/>
        <v>472.29845584350602</v>
      </c>
      <c r="FC136" s="4">
        <f t="shared" si="384"/>
        <v>178.74999999999994</v>
      </c>
      <c r="FD136" s="4">
        <f t="shared" si="279"/>
        <v>4.1488501410428226E-5</v>
      </c>
      <c r="FE136" s="4">
        <f t="shared" si="396"/>
        <v>2.1493748392681402</v>
      </c>
      <c r="FF136" s="4">
        <f t="shared" si="343"/>
        <v>248.20703577316311</v>
      </c>
      <c r="FG136" s="4">
        <f t="shared" si="385"/>
        <v>472.29845584350602</v>
      </c>
      <c r="FH136" s="4">
        <f t="shared" si="386"/>
        <v>178.75</v>
      </c>
      <c r="FJ136" s="4">
        <f t="shared" si="356"/>
        <v>0</v>
      </c>
      <c r="FO136" s="23">
        <f t="shared" si="357"/>
        <v>0.6</v>
      </c>
      <c r="FP136" s="23">
        <f t="shared" si="357"/>
        <v>1.4</v>
      </c>
      <c r="FQ136" s="23">
        <f t="shared" si="391"/>
        <v>0.6</v>
      </c>
      <c r="FR136" s="23">
        <f t="shared" si="358"/>
        <v>2</v>
      </c>
      <c r="FS136" s="23">
        <f t="shared" si="358"/>
        <v>1.2</v>
      </c>
      <c r="FT136" s="23">
        <f t="shared" si="358"/>
        <v>1.2</v>
      </c>
      <c r="FU136" s="23">
        <f t="shared" si="221"/>
        <v>0</v>
      </c>
      <c r="FV136" s="23"/>
      <c r="GF136" s="4">
        <f t="shared" si="282"/>
        <v>1.25</v>
      </c>
      <c r="GG136" s="4">
        <f t="shared" si="283"/>
        <v>0.8</v>
      </c>
      <c r="GH136" s="4">
        <f t="shared" si="284"/>
        <v>0</v>
      </c>
      <c r="GI136" s="4">
        <f t="shared" si="285"/>
        <v>498.66698552718634</v>
      </c>
    </row>
    <row r="137" spans="1:191" ht="12" hidden="1" customHeight="1" x14ac:dyDescent="0.3">
      <c r="A137" s="25">
        <v>118</v>
      </c>
      <c r="B137" s="24" t="s">
        <v>128</v>
      </c>
      <c r="C137" s="24">
        <v>2015</v>
      </c>
      <c r="D137" s="24" t="s">
        <v>293</v>
      </c>
      <c r="E137" s="24"/>
      <c r="F137" s="24"/>
      <c r="G137" s="24"/>
      <c r="H137" s="7" t="s">
        <v>144</v>
      </c>
      <c r="I137" s="7"/>
      <c r="J137" s="7">
        <v>710</v>
      </c>
      <c r="K137" s="7">
        <f t="shared" si="323"/>
        <v>429</v>
      </c>
      <c r="L137" s="7">
        <f t="shared" si="367"/>
        <v>429</v>
      </c>
      <c r="M137" s="7">
        <v>62.9</v>
      </c>
      <c r="N137" s="7">
        <v>28.6</v>
      </c>
      <c r="O137" s="7">
        <v>15</v>
      </c>
      <c r="P137" s="7">
        <f t="shared" si="368"/>
        <v>15</v>
      </c>
      <c r="Q137" s="7">
        <v>261</v>
      </c>
      <c r="R137" s="7"/>
      <c r="S137" s="7">
        <f t="shared" si="392"/>
        <v>28.6</v>
      </c>
      <c r="T137" s="7"/>
      <c r="U137" s="7"/>
      <c r="V137" s="7"/>
      <c r="W137" s="7">
        <f t="shared" si="388"/>
        <v>28.6</v>
      </c>
      <c r="X137" s="7">
        <v>2</v>
      </c>
      <c r="Y137" s="7"/>
      <c r="Z137" s="7"/>
      <c r="AA137" s="7">
        <f t="shared" si="359"/>
        <v>58.2</v>
      </c>
      <c r="AB137" s="7">
        <f t="shared" si="371"/>
        <v>1</v>
      </c>
      <c r="AC137" s="7">
        <f t="shared" si="360"/>
        <v>1.5000000000000002</v>
      </c>
      <c r="AD137" s="7">
        <f t="shared" si="369"/>
        <v>4</v>
      </c>
      <c r="AE137" s="7">
        <f t="shared" si="372"/>
        <v>4</v>
      </c>
      <c r="AF137" s="7">
        <v>5</v>
      </c>
      <c r="AG137" s="7">
        <f t="shared" si="240"/>
        <v>63.951544156493995</v>
      </c>
      <c r="AH137" s="7"/>
      <c r="AI137" s="7"/>
      <c r="AJ137" s="7">
        <v>345</v>
      </c>
      <c r="AK137" s="7"/>
      <c r="AL137" s="7">
        <f t="shared" si="349"/>
        <v>1.052109744420656</v>
      </c>
      <c r="AM137" s="7">
        <v>0</v>
      </c>
      <c r="AN137" s="7">
        <v>0</v>
      </c>
      <c r="AO137" s="7">
        <f t="shared" si="361"/>
        <v>429</v>
      </c>
      <c r="AP137" s="7"/>
      <c r="AQ137" s="7"/>
      <c r="AR137" s="7"/>
      <c r="AS137" s="4">
        <f t="shared" si="292"/>
        <v>429</v>
      </c>
      <c r="AT137" s="46">
        <f t="shared" si="362"/>
        <v>5.5150754451453753E-2</v>
      </c>
      <c r="AU137" s="25">
        <f t="shared" si="333"/>
        <v>548.47813315761925</v>
      </c>
      <c r="AV137" s="4">
        <f t="shared" si="334"/>
        <v>0.72</v>
      </c>
      <c r="AW137" s="4">
        <v>1.25</v>
      </c>
      <c r="AX137" s="25">
        <f t="shared" si="325"/>
        <v>5</v>
      </c>
      <c r="AY137" s="38">
        <f t="shared" si="287"/>
        <v>136.12042279695424</v>
      </c>
      <c r="AZ137" s="38">
        <f t="shared" si="288"/>
        <v>136.12042279695424</v>
      </c>
      <c r="BB137" s="38">
        <f t="shared" si="363"/>
        <v>136.12042279695419</v>
      </c>
      <c r="BC137" s="38">
        <f t="shared" si="243"/>
        <v>1.0000000000000004</v>
      </c>
      <c r="BD137" s="38">
        <f t="shared" si="345"/>
        <v>2.2180360139665667</v>
      </c>
      <c r="BE137" s="4">
        <f t="shared" si="330"/>
        <v>0</v>
      </c>
      <c r="BF137" s="4">
        <f t="shared" si="244"/>
        <v>626.1277913336321</v>
      </c>
      <c r="BG137" s="4">
        <f t="shared" si="389"/>
        <v>1.2000000000000002</v>
      </c>
      <c r="BH137" s="38">
        <f t="shared" si="245"/>
        <v>301.92</v>
      </c>
      <c r="BI137" s="4">
        <f t="shared" si="390"/>
        <v>0.44000000000000006</v>
      </c>
      <c r="BJ137" s="4">
        <f t="shared" si="246"/>
        <v>143.94677922760204</v>
      </c>
      <c r="BK137" s="4">
        <f t="shared" si="247"/>
        <v>445.86677922760202</v>
      </c>
      <c r="BM137" s="36">
        <f t="shared" ref="BM137:BM153" si="397">MAX(1, (0.9+0.1*MIN(2,S137/N137,W137/N137))*(0.9+0.1*MIN(3.5,S137/W137))+0.45*MIN(2.5,(40*2*PI()*AM137^2/4/AO137/X137)/N137))</f>
        <v>1</v>
      </c>
      <c r="BN137" s="36">
        <f t="shared" si="335"/>
        <v>364.8237930837297</v>
      </c>
      <c r="BS137" s="4">
        <f t="shared" si="373"/>
        <v>20.700000000000003</v>
      </c>
      <c r="BT137" s="4">
        <f t="shared" si="374"/>
        <v>20.700000000000003</v>
      </c>
      <c r="BU137" s="4">
        <f t="shared" si="375"/>
        <v>58.2</v>
      </c>
      <c r="BV137" s="4">
        <f t="shared" si="336"/>
        <v>35</v>
      </c>
      <c r="BW137" s="4">
        <f t="shared" si="376"/>
        <v>1.181159420289855</v>
      </c>
      <c r="BX137" s="25">
        <f t="shared" si="337"/>
        <v>1.4454748150400323</v>
      </c>
      <c r="BZ137" s="4">
        <f t="shared" si="347"/>
        <v>14.3</v>
      </c>
      <c r="CD137" s="9"/>
      <c r="CF137" s="9"/>
      <c r="CG137" s="9"/>
      <c r="CH137" s="9">
        <f t="shared" si="393"/>
        <v>14.3</v>
      </c>
      <c r="CI137" s="9">
        <f t="shared" si="394"/>
        <v>28.6</v>
      </c>
      <c r="CJ137" s="9">
        <f t="shared" si="252"/>
        <v>0.78458409789675088</v>
      </c>
      <c r="CK137" s="70">
        <v>0</v>
      </c>
      <c r="CL137" s="9">
        <f t="shared" si="253"/>
        <v>0</v>
      </c>
      <c r="CM137" s="9">
        <f t="shared" si="254"/>
        <v>0</v>
      </c>
      <c r="CN137" s="9">
        <f t="shared" si="255"/>
        <v>0.96044432035915817</v>
      </c>
      <c r="CO137" s="9">
        <f t="shared" si="256"/>
        <v>0.74299999999999999</v>
      </c>
      <c r="CP137" s="9">
        <f t="shared" si="257"/>
        <v>1.9808626966691243</v>
      </c>
      <c r="CQ137" s="9">
        <f t="shared" si="258"/>
        <v>1.5541533719234701</v>
      </c>
      <c r="CR137" s="9">
        <v>1</v>
      </c>
      <c r="CS137" s="9">
        <f t="shared" si="259"/>
        <v>186.49840463081642</v>
      </c>
      <c r="CU137" s="4">
        <f t="shared" si="370"/>
        <v>0.55100572882280319</v>
      </c>
      <c r="CV137" s="4">
        <f t="shared" si="364"/>
        <v>0.77377372810250911</v>
      </c>
      <c r="CW137" s="4">
        <f t="shared" si="211"/>
        <v>0.94566200598879258</v>
      </c>
      <c r="CX137" s="4">
        <f t="shared" si="351"/>
        <v>1.8498817761092701</v>
      </c>
      <c r="CY137" s="4">
        <f t="shared" si="213"/>
        <v>1.052109744420656</v>
      </c>
      <c r="CZ137" s="4">
        <f t="shared" si="214"/>
        <v>1.0694592128006695</v>
      </c>
      <c r="DA137" s="4">
        <f t="shared" si="346"/>
        <v>0.86909765137264661</v>
      </c>
      <c r="DC137" s="4">
        <f t="shared" si="377"/>
        <v>0.55100572882280319</v>
      </c>
      <c r="DD137" s="4">
        <f t="shared" si="377"/>
        <v>0.77377372810250911</v>
      </c>
      <c r="DE137" s="4">
        <f t="shared" si="387"/>
        <v>1.8498817761092701</v>
      </c>
      <c r="DF137" s="4">
        <f t="shared" si="365"/>
        <v>0.86909765137264661</v>
      </c>
      <c r="DG137" s="4">
        <f t="shared" si="378"/>
        <v>1.052109744420656</v>
      </c>
      <c r="DH137" s="4">
        <f t="shared" si="378"/>
        <v>1.0694592128006695</v>
      </c>
      <c r="DP137" s="4">
        <f t="shared" si="379"/>
        <v>0</v>
      </c>
      <c r="DQ137" s="4">
        <f t="shared" si="338"/>
        <v>429</v>
      </c>
      <c r="DR137" s="4">
        <f t="shared" si="339"/>
        <v>1</v>
      </c>
      <c r="DT137" s="4">
        <f t="shared" si="262"/>
        <v>3.3150409818642976E-5</v>
      </c>
      <c r="DU137" s="4">
        <f t="shared" si="380"/>
        <v>4.1860577959627587</v>
      </c>
      <c r="DV137" s="4">
        <f t="shared" si="353"/>
        <v>0.13462650289663738</v>
      </c>
      <c r="DW137" s="4">
        <f t="shared" si="263"/>
        <v>1.8769704962221223</v>
      </c>
      <c r="DX137" s="4">
        <f t="shared" si="264"/>
        <v>3.2466310254492474</v>
      </c>
      <c r="DY137" s="4">
        <f t="shared" si="354"/>
        <v>3.8629571697698561</v>
      </c>
      <c r="DZ137" s="38">
        <f t="shared" si="266"/>
        <v>327.91256029091738</v>
      </c>
      <c r="EA137" s="4">
        <f t="shared" si="267"/>
        <v>1.000071154236343</v>
      </c>
      <c r="EB137" s="4">
        <f t="shared" si="355"/>
        <v>2.2360679774997898</v>
      </c>
      <c r="EC137" s="4">
        <f t="shared" si="291"/>
        <v>136.12042279695419</v>
      </c>
      <c r="EG137" s="4">
        <f t="shared" si="268"/>
        <v>1</v>
      </c>
      <c r="EH137" s="4">
        <f t="shared" si="269"/>
        <v>1</v>
      </c>
      <c r="EI137" s="4">
        <f t="shared" si="340"/>
        <v>1</v>
      </c>
      <c r="EJ137" s="4">
        <f t="shared" si="271"/>
        <v>1</v>
      </c>
      <c r="EL137" s="4">
        <f t="shared" si="341"/>
        <v>322.5929477913644</v>
      </c>
      <c r="EM137" s="25">
        <f t="shared" si="366"/>
        <v>134.22034697304031</v>
      </c>
      <c r="EP137" s="4">
        <f t="shared" si="322"/>
        <v>4.1860577959627587</v>
      </c>
      <c r="EQ137" s="4">
        <f t="shared" si="342"/>
        <v>4.1860577959627587</v>
      </c>
      <c r="ES137" s="4">
        <f t="shared" si="276"/>
        <v>63.951544156493995</v>
      </c>
      <c r="ET137" s="4">
        <f t="shared" si="381"/>
        <v>2.2360679774997898</v>
      </c>
      <c r="EU137" s="4">
        <f t="shared" si="277"/>
        <v>5.8383637923874576E-2</v>
      </c>
      <c r="EX137" s="4">
        <f t="shared" si="348"/>
        <v>5.8383637923874576E-2</v>
      </c>
      <c r="EY137" s="4">
        <f t="shared" si="278"/>
        <v>0.13440183635427219</v>
      </c>
      <c r="EZ137" s="4">
        <f t="shared" si="382"/>
        <v>1.8757169428180636</v>
      </c>
      <c r="FA137" s="4">
        <f t="shared" si="395"/>
        <v>3.2462753665529136</v>
      </c>
      <c r="FB137" s="4">
        <f t="shared" si="383"/>
        <v>257.79845584350602</v>
      </c>
      <c r="FC137" s="4">
        <f t="shared" si="384"/>
        <v>107.25</v>
      </c>
      <c r="FD137" s="4">
        <f t="shared" si="279"/>
        <v>3.3150409818642976E-5</v>
      </c>
      <c r="FE137" s="4">
        <f t="shared" si="396"/>
        <v>3.8630041667846942</v>
      </c>
      <c r="FF137" s="4">
        <f t="shared" si="343"/>
        <v>327.8892295831813</v>
      </c>
      <c r="FG137" s="4">
        <f t="shared" si="385"/>
        <v>257.79845584350602</v>
      </c>
      <c r="FH137" s="4">
        <f t="shared" si="386"/>
        <v>107.24999999999999</v>
      </c>
      <c r="FJ137" s="4">
        <f t="shared" si="356"/>
        <v>0</v>
      </c>
      <c r="FO137" s="23">
        <f t="shared" si="357"/>
        <v>0.6</v>
      </c>
      <c r="FP137" s="23">
        <f t="shared" si="357"/>
        <v>0.8</v>
      </c>
      <c r="FQ137" s="23">
        <f t="shared" si="391"/>
        <v>1</v>
      </c>
      <c r="FR137" s="23">
        <f t="shared" si="358"/>
        <v>2</v>
      </c>
      <c r="FS137" s="23">
        <f t="shared" si="358"/>
        <v>1.2</v>
      </c>
      <c r="FT137" s="23">
        <f t="shared" si="358"/>
        <v>1.2</v>
      </c>
      <c r="FU137" s="23">
        <f t="shared" si="221"/>
        <v>0</v>
      </c>
      <c r="FV137" s="23"/>
      <c r="GF137" s="4">
        <f t="shared" si="282"/>
        <v>1.25</v>
      </c>
      <c r="GG137" s="4">
        <f t="shared" si="283"/>
        <v>0.8</v>
      </c>
      <c r="GH137" s="4">
        <f t="shared" si="284"/>
        <v>0</v>
      </c>
      <c r="GI137" s="4">
        <f t="shared" si="285"/>
        <v>396.96344761156524</v>
      </c>
    </row>
    <row r="138" spans="1:191" ht="12" hidden="1" customHeight="1" x14ac:dyDescent="0.3">
      <c r="A138" s="25">
        <v>119</v>
      </c>
      <c r="B138" s="24" t="s">
        <v>128</v>
      </c>
      <c r="C138" s="24">
        <v>2015</v>
      </c>
      <c r="D138" s="24" t="s">
        <v>293</v>
      </c>
      <c r="E138" s="24"/>
      <c r="F138" s="24"/>
      <c r="G138" s="24"/>
      <c r="H138" s="7" t="s">
        <v>145</v>
      </c>
      <c r="I138" s="7"/>
      <c r="J138" s="7">
        <v>710</v>
      </c>
      <c r="K138" s="7">
        <f t="shared" si="323"/>
        <v>572</v>
      </c>
      <c r="L138" s="7">
        <f t="shared" si="367"/>
        <v>572</v>
      </c>
      <c r="M138" s="7">
        <v>62.9</v>
      </c>
      <c r="N138" s="7">
        <v>28.6</v>
      </c>
      <c r="O138" s="7">
        <v>20</v>
      </c>
      <c r="P138" s="7">
        <f t="shared" si="368"/>
        <v>20</v>
      </c>
      <c r="Q138" s="7">
        <v>261</v>
      </c>
      <c r="R138" s="7"/>
      <c r="S138" s="7">
        <f t="shared" si="392"/>
        <v>28.6</v>
      </c>
      <c r="T138" s="7"/>
      <c r="U138" s="7"/>
      <c r="V138" s="7"/>
      <c r="W138" s="7">
        <f t="shared" si="388"/>
        <v>28.6</v>
      </c>
      <c r="X138" s="7">
        <v>2</v>
      </c>
      <c r="Y138" s="7"/>
      <c r="Z138" s="7"/>
      <c r="AA138" s="7">
        <f t="shared" si="359"/>
        <v>58.2</v>
      </c>
      <c r="AB138" s="7">
        <f t="shared" si="371"/>
        <v>1</v>
      </c>
      <c r="AC138" s="7">
        <f t="shared" si="360"/>
        <v>1.5000000000000002</v>
      </c>
      <c r="AD138" s="7">
        <f t="shared" si="369"/>
        <v>4</v>
      </c>
      <c r="AE138" s="7">
        <f t="shared" si="372"/>
        <v>4</v>
      </c>
      <c r="AF138" s="7">
        <v>5</v>
      </c>
      <c r="AG138" s="7">
        <f t="shared" si="240"/>
        <v>63.951544156493995</v>
      </c>
      <c r="AH138" s="7"/>
      <c r="AI138" s="7"/>
      <c r="AJ138" s="7">
        <v>432</v>
      </c>
      <c r="AK138" s="7"/>
      <c r="AL138" s="7">
        <f t="shared" si="349"/>
        <v>1.1695813654354281</v>
      </c>
      <c r="AM138" s="7">
        <v>0</v>
      </c>
      <c r="AN138" s="7">
        <v>0</v>
      </c>
      <c r="AO138" s="7">
        <f t="shared" si="361"/>
        <v>572</v>
      </c>
      <c r="AP138" s="7"/>
      <c r="AQ138" s="7"/>
      <c r="AR138" s="7"/>
      <c r="AS138" s="4">
        <f t="shared" si="292"/>
        <v>572</v>
      </c>
      <c r="AT138" s="46">
        <f t="shared" si="362"/>
        <v>3.1022299378942735E-2</v>
      </c>
      <c r="AU138" s="25">
        <f t="shared" si="333"/>
        <v>844.43732752846654</v>
      </c>
      <c r="AV138" s="4">
        <f t="shared" si="334"/>
        <v>0.71499999999999997</v>
      </c>
      <c r="AW138" s="4">
        <v>1.25</v>
      </c>
      <c r="AX138" s="25">
        <f t="shared" si="325"/>
        <v>5</v>
      </c>
      <c r="AY138" s="38">
        <f t="shared" si="287"/>
        <v>117.06510700412386</v>
      </c>
      <c r="AZ138" s="38">
        <f t="shared" si="288"/>
        <v>117.06510700412386</v>
      </c>
      <c r="BB138" s="38">
        <f t="shared" si="363"/>
        <v>117.06510700412382</v>
      </c>
      <c r="BC138" s="38">
        <f t="shared" si="243"/>
        <v>1.0000000000000004</v>
      </c>
      <c r="BD138" s="38">
        <f t="shared" si="345"/>
        <v>2.5790776408666707</v>
      </c>
      <c r="BE138" s="4">
        <f t="shared" si="330"/>
        <v>0</v>
      </c>
      <c r="BF138" s="4">
        <f t="shared" si="244"/>
        <v>834.83705511150959</v>
      </c>
      <c r="BG138" s="4">
        <f t="shared" si="389"/>
        <v>1.2000000000000002</v>
      </c>
      <c r="BH138" s="38">
        <f t="shared" si="245"/>
        <v>301.92</v>
      </c>
      <c r="BI138" s="4">
        <f t="shared" si="390"/>
        <v>0.44000000000000006</v>
      </c>
      <c r="BJ138" s="4">
        <f t="shared" si="246"/>
        <v>191.92903897013608</v>
      </c>
      <c r="BK138" s="4">
        <f t="shared" si="247"/>
        <v>493.84903897013612</v>
      </c>
      <c r="BM138" s="36">
        <f t="shared" si="397"/>
        <v>1</v>
      </c>
      <c r="BN138" s="36">
        <f t="shared" si="335"/>
        <v>428.27140927220438</v>
      </c>
      <c r="BS138" s="4">
        <f t="shared" si="373"/>
        <v>20.700000000000003</v>
      </c>
      <c r="BT138" s="4">
        <f t="shared" si="374"/>
        <v>20.700000000000003</v>
      </c>
      <c r="BU138" s="4">
        <f t="shared" si="375"/>
        <v>58.2</v>
      </c>
      <c r="BV138" s="4">
        <f t="shared" si="336"/>
        <v>35</v>
      </c>
      <c r="BW138" s="4">
        <f t="shared" si="376"/>
        <v>1.181159420289855</v>
      </c>
      <c r="BX138" s="25">
        <f t="shared" si="337"/>
        <v>1.4454748150400323</v>
      </c>
      <c r="BZ138" s="4">
        <f t="shared" si="347"/>
        <v>14.3</v>
      </c>
      <c r="CD138" s="9"/>
      <c r="CF138" s="9"/>
      <c r="CG138" s="9"/>
      <c r="CH138" s="9">
        <f t="shared" si="393"/>
        <v>14.3</v>
      </c>
      <c r="CI138" s="9">
        <f t="shared" si="394"/>
        <v>28.6</v>
      </c>
      <c r="CJ138" s="9">
        <f t="shared" si="252"/>
        <v>0.78458409789675088</v>
      </c>
      <c r="CK138" s="70">
        <v>0</v>
      </c>
      <c r="CL138" s="9">
        <f t="shared" si="253"/>
        <v>0</v>
      </c>
      <c r="CM138" s="9">
        <f t="shared" si="254"/>
        <v>0</v>
      </c>
      <c r="CN138" s="9">
        <f t="shared" si="255"/>
        <v>0.96044432035915817</v>
      </c>
      <c r="CO138" s="9">
        <f t="shared" si="256"/>
        <v>0.74299999999999999</v>
      </c>
      <c r="CP138" s="9">
        <f t="shared" si="257"/>
        <v>1.9808626966691243</v>
      </c>
      <c r="CQ138" s="9">
        <f t="shared" si="258"/>
        <v>1.5541533719234701</v>
      </c>
      <c r="CR138" s="9">
        <v>1</v>
      </c>
      <c r="CS138" s="9">
        <f t="shared" si="259"/>
        <v>217.58147206928584</v>
      </c>
      <c r="CU138" s="4">
        <f t="shared" si="370"/>
        <v>0.51746624967706734</v>
      </c>
      <c r="CV138" s="4">
        <f t="shared" si="364"/>
        <v>0.87476124465258653</v>
      </c>
      <c r="CW138" s="4">
        <f t="shared" si="211"/>
        <v>1.0087061397213788</v>
      </c>
      <c r="CX138" s="4">
        <f t="shared" si="351"/>
        <v>1.9854631733644836</v>
      </c>
      <c r="CY138" s="4">
        <f t="shared" si="213"/>
        <v>1.1695813654354281</v>
      </c>
      <c r="CZ138" s="4">
        <f t="shared" si="214"/>
        <v>1.1775656452638794</v>
      </c>
      <c r="DA138" s="4">
        <f t="shared" si="346"/>
        <v>0.81619605520213756</v>
      </c>
      <c r="DC138" s="4">
        <f t="shared" si="377"/>
        <v>0.51746624967706734</v>
      </c>
      <c r="DD138" s="4">
        <f t="shared" si="377"/>
        <v>0.87476124465258653</v>
      </c>
      <c r="DE138" s="4">
        <f t="shared" si="387"/>
        <v>1.9854631733644836</v>
      </c>
      <c r="DF138" s="4">
        <f t="shared" si="365"/>
        <v>0.81619605520213756</v>
      </c>
      <c r="DG138" s="4">
        <f t="shared" si="378"/>
        <v>1.1695813654354281</v>
      </c>
      <c r="DH138" s="4">
        <f t="shared" si="378"/>
        <v>1.1775656452638794</v>
      </c>
      <c r="DP138" s="4">
        <f t="shared" si="379"/>
        <v>0</v>
      </c>
      <c r="DQ138" s="4">
        <f t="shared" si="338"/>
        <v>572</v>
      </c>
      <c r="DR138" s="4">
        <f t="shared" si="339"/>
        <v>1</v>
      </c>
      <c r="DT138" s="4">
        <f t="shared" si="262"/>
        <v>4.4200546424857304E-5</v>
      </c>
      <c r="DU138" s="4">
        <f t="shared" si="380"/>
        <v>4.1860577959627587</v>
      </c>
      <c r="DV138" s="4">
        <f t="shared" si="353"/>
        <v>0.11578031895106987</v>
      </c>
      <c r="DW138" s="4">
        <f t="shared" si="263"/>
        <v>1.7670918216158606</v>
      </c>
      <c r="DX138" s="4">
        <f t="shared" si="264"/>
        <v>3.2162848752999018</v>
      </c>
      <c r="DY138" s="4">
        <f t="shared" si="354"/>
        <v>3.6141353595512551</v>
      </c>
      <c r="DZ138" s="38">
        <f t="shared" si="266"/>
        <v>369.36292999091091</v>
      </c>
      <c r="EA138" s="4">
        <f t="shared" si="267"/>
        <v>1.0000686332486357</v>
      </c>
      <c r="EB138" s="4">
        <f t="shared" si="355"/>
        <v>2.2360679774997898</v>
      </c>
      <c r="EC138" s="4">
        <f t="shared" si="291"/>
        <v>117.06510700412382</v>
      </c>
      <c r="EG138" s="4">
        <f t="shared" si="268"/>
        <v>1</v>
      </c>
      <c r="EH138" s="4">
        <f t="shared" si="269"/>
        <v>1</v>
      </c>
      <c r="EI138" s="4">
        <f t="shared" si="340"/>
        <v>1</v>
      </c>
      <c r="EJ138" s="4">
        <f t="shared" si="271"/>
        <v>1</v>
      </c>
      <c r="EL138" s="4">
        <f t="shared" si="341"/>
        <v>366.85852864125769</v>
      </c>
      <c r="EM138" s="25">
        <f t="shared" si="366"/>
        <v>115.69506088349222</v>
      </c>
      <c r="EP138" s="4">
        <f t="shared" si="322"/>
        <v>4.1860577959627587</v>
      </c>
      <c r="EQ138" s="4">
        <f t="shared" si="342"/>
        <v>4.1860577959627587</v>
      </c>
      <c r="ES138" s="4">
        <f t="shared" si="276"/>
        <v>63.951544156493995</v>
      </c>
      <c r="ET138" s="4">
        <f t="shared" si="381"/>
        <v>2.2360679774997898</v>
      </c>
      <c r="EU138" s="4">
        <f t="shared" si="277"/>
        <v>5.0210590596265252E-2</v>
      </c>
      <c r="EX138" s="4">
        <f t="shared" si="348"/>
        <v>5.0210590596265252E-2</v>
      </c>
      <c r="EY138" s="4">
        <f t="shared" si="278"/>
        <v>0.11558710317725863</v>
      </c>
      <c r="EZ138" s="4">
        <f t="shared" si="382"/>
        <v>1.7659116517768947</v>
      </c>
      <c r="FA138" s="4">
        <f t="shared" si="395"/>
        <v>3.215968144333011</v>
      </c>
      <c r="FB138" s="4">
        <f t="shared" si="383"/>
        <v>365.04845584350602</v>
      </c>
      <c r="FC138" s="4">
        <f t="shared" si="384"/>
        <v>143</v>
      </c>
      <c r="FD138" s="4">
        <f t="shared" si="279"/>
        <v>4.4200546424857304E-5</v>
      </c>
      <c r="FE138" s="4">
        <f t="shared" si="396"/>
        <v>3.6142042521525095</v>
      </c>
      <c r="FF138" s="4">
        <f t="shared" si="343"/>
        <v>369.3375811528731</v>
      </c>
      <c r="FG138" s="4">
        <f t="shared" si="385"/>
        <v>365.04845584350602</v>
      </c>
      <c r="FH138" s="4">
        <f t="shared" si="386"/>
        <v>143</v>
      </c>
      <c r="FJ138" s="4">
        <f t="shared" si="356"/>
        <v>0</v>
      </c>
      <c r="FO138" s="23">
        <f t="shared" si="357"/>
        <v>0.6</v>
      </c>
      <c r="FP138" s="23">
        <f t="shared" si="357"/>
        <v>1</v>
      </c>
      <c r="FQ138" s="23">
        <f t="shared" si="391"/>
        <v>1</v>
      </c>
      <c r="FR138" s="23">
        <f t="shared" si="358"/>
        <v>2</v>
      </c>
      <c r="FS138" s="23">
        <f t="shared" si="358"/>
        <v>1.2</v>
      </c>
      <c r="FT138" s="23">
        <f t="shared" si="358"/>
        <v>1.2</v>
      </c>
      <c r="FU138" s="23">
        <f t="shared" si="221"/>
        <v>0</v>
      </c>
      <c r="FV138" s="23"/>
      <c r="GF138" s="4">
        <f t="shared" si="282"/>
        <v>1.25</v>
      </c>
      <c r="GG138" s="4">
        <f t="shared" si="283"/>
        <v>0.8</v>
      </c>
      <c r="GH138" s="4">
        <f t="shared" si="284"/>
        <v>0</v>
      </c>
      <c r="GI138" s="4">
        <f t="shared" si="285"/>
        <v>529.2845968154204</v>
      </c>
    </row>
    <row r="139" spans="1:191" ht="12" hidden="1" customHeight="1" x14ac:dyDescent="0.3">
      <c r="A139" s="25">
        <v>120</v>
      </c>
      <c r="B139" s="24" t="s">
        <v>128</v>
      </c>
      <c r="C139" s="24">
        <v>2015</v>
      </c>
      <c r="D139" s="24" t="s">
        <v>293</v>
      </c>
      <c r="E139" s="24"/>
      <c r="F139" s="24"/>
      <c r="G139" s="24"/>
      <c r="H139" s="7" t="s">
        <v>146</v>
      </c>
      <c r="I139" s="7"/>
      <c r="J139" s="7">
        <v>710</v>
      </c>
      <c r="K139" s="7">
        <f t="shared" si="323"/>
        <v>715</v>
      </c>
      <c r="L139" s="7">
        <f t="shared" si="367"/>
        <v>715</v>
      </c>
      <c r="M139" s="7">
        <v>62.9</v>
      </c>
      <c r="N139" s="7">
        <v>28.6</v>
      </c>
      <c r="O139" s="7">
        <v>25</v>
      </c>
      <c r="P139" s="7">
        <f t="shared" si="368"/>
        <v>25</v>
      </c>
      <c r="Q139" s="7">
        <v>261</v>
      </c>
      <c r="R139" s="7"/>
      <c r="S139" s="7">
        <f t="shared" si="392"/>
        <v>28.6</v>
      </c>
      <c r="T139" s="7"/>
      <c r="U139" s="7"/>
      <c r="V139" s="7"/>
      <c r="W139" s="7">
        <f t="shared" si="388"/>
        <v>28.6</v>
      </c>
      <c r="X139" s="7">
        <v>2</v>
      </c>
      <c r="Y139" s="7"/>
      <c r="Z139" s="7"/>
      <c r="AA139" s="7">
        <f t="shared" si="359"/>
        <v>58.2</v>
      </c>
      <c r="AB139" s="7">
        <f t="shared" si="371"/>
        <v>1</v>
      </c>
      <c r="AC139" s="7">
        <f t="shared" si="360"/>
        <v>1.5000000000000002</v>
      </c>
      <c r="AD139" s="7">
        <f t="shared" si="369"/>
        <v>4</v>
      </c>
      <c r="AE139" s="7">
        <f t="shared" si="372"/>
        <v>4</v>
      </c>
      <c r="AF139" s="7">
        <v>5</v>
      </c>
      <c r="AG139" s="7">
        <f t="shared" si="240"/>
        <v>63.951544156493995</v>
      </c>
      <c r="AH139" s="7"/>
      <c r="AI139" s="7"/>
      <c r="AJ139" s="7">
        <v>464</v>
      </c>
      <c r="AK139" s="7"/>
      <c r="AL139" s="7">
        <f t="shared" si="349"/>
        <v>1.1235877075133753</v>
      </c>
      <c r="AM139" s="7">
        <v>0</v>
      </c>
      <c r="AN139" s="7">
        <v>0</v>
      </c>
      <c r="AO139" s="7">
        <f t="shared" si="361"/>
        <v>715</v>
      </c>
      <c r="AP139" s="7"/>
      <c r="AQ139" s="7"/>
      <c r="AR139" s="7"/>
      <c r="AS139" s="4">
        <f t="shared" si="292"/>
        <v>715</v>
      </c>
      <c r="AT139" s="46">
        <f t="shared" si="362"/>
        <v>1.985427160252335E-2</v>
      </c>
      <c r="AU139" s="25">
        <f t="shared" si="333"/>
        <v>1180.1370419324396</v>
      </c>
      <c r="AV139" s="4">
        <f t="shared" si="334"/>
        <v>0.71199999999999997</v>
      </c>
      <c r="AW139" s="4">
        <v>1.25</v>
      </c>
      <c r="AX139" s="25">
        <f t="shared" si="325"/>
        <v>5</v>
      </c>
      <c r="AY139" s="38">
        <f t="shared" si="287"/>
        <v>104.2668880463269</v>
      </c>
      <c r="AZ139" s="38">
        <f t="shared" si="288"/>
        <v>104.2668880463269</v>
      </c>
      <c r="BB139" s="38">
        <f t="shared" si="363"/>
        <v>104.26688804632695</v>
      </c>
      <c r="BC139" s="38">
        <f t="shared" si="243"/>
        <v>0.99999999999999944</v>
      </c>
      <c r="BD139" s="38">
        <f t="shared" si="345"/>
        <v>2.895646025858694</v>
      </c>
      <c r="BE139" s="4">
        <f t="shared" si="330"/>
        <v>0</v>
      </c>
      <c r="BF139" s="4">
        <f t="shared" si="244"/>
        <v>1043.5463188893868</v>
      </c>
      <c r="BG139" s="4">
        <f t="shared" si="389"/>
        <v>1.2000000000000002</v>
      </c>
      <c r="BH139" s="38">
        <f t="shared" si="245"/>
        <v>301.92</v>
      </c>
      <c r="BI139" s="4">
        <f t="shared" si="390"/>
        <v>0.44000000000000006</v>
      </c>
      <c r="BJ139" s="4">
        <f t="shared" si="246"/>
        <v>239.91129871267009</v>
      </c>
      <c r="BK139" s="4">
        <f t="shared" si="247"/>
        <v>541.8312987126701</v>
      </c>
      <c r="BM139" s="36">
        <f t="shared" si="397"/>
        <v>1</v>
      </c>
      <c r="BN139" s="36">
        <f t="shared" si="335"/>
        <v>491.71902546067912</v>
      </c>
      <c r="BS139" s="4">
        <f t="shared" si="373"/>
        <v>20.700000000000003</v>
      </c>
      <c r="BT139" s="4">
        <f t="shared" si="374"/>
        <v>20.700000000000003</v>
      </c>
      <c r="BU139" s="4">
        <f t="shared" si="375"/>
        <v>58.2</v>
      </c>
      <c r="BV139" s="4">
        <f t="shared" si="336"/>
        <v>35</v>
      </c>
      <c r="BW139" s="4">
        <f t="shared" si="376"/>
        <v>1.181159420289855</v>
      </c>
      <c r="BX139" s="25">
        <f t="shared" si="337"/>
        <v>1.4454748150400323</v>
      </c>
      <c r="BZ139" s="4">
        <f t="shared" si="347"/>
        <v>14.3</v>
      </c>
      <c r="CD139" s="9"/>
      <c r="CF139" s="9"/>
      <c r="CG139" s="9"/>
      <c r="CH139" s="9">
        <f t="shared" si="393"/>
        <v>14.3</v>
      </c>
      <c r="CI139" s="9">
        <f t="shared" si="394"/>
        <v>28.6</v>
      </c>
      <c r="CJ139" s="9">
        <f t="shared" si="252"/>
        <v>0.78458409789675088</v>
      </c>
      <c r="CK139" s="70">
        <v>0</v>
      </c>
      <c r="CL139" s="9">
        <f t="shared" si="253"/>
        <v>0</v>
      </c>
      <c r="CM139" s="9">
        <f t="shared" si="254"/>
        <v>0</v>
      </c>
      <c r="CN139" s="9">
        <f t="shared" si="255"/>
        <v>0.96044432035915817</v>
      </c>
      <c r="CO139" s="9">
        <f t="shared" si="256"/>
        <v>0.74299999999999999</v>
      </c>
      <c r="CP139" s="9">
        <f t="shared" si="257"/>
        <v>1.9808626966691243</v>
      </c>
      <c r="CQ139" s="9">
        <f t="shared" si="258"/>
        <v>1.5541533719234701</v>
      </c>
      <c r="CR139" s="9">
        <v>1</v>
      </c>
      <c r="CS139" s="9">
        <f t="shared" si="259"/>
        <v>248.66453950775522</v>
      </c>
      <c r="CU139" s="4">
        <f t="shared" si="370"/>
        <v>0.44463766638918378</v>
      </c>
      <c r="CV139" s="4">
        <f t="shared" si="364"/>
        <v>0.85635510739673315</v>
      </c>
      <c r="CW139" s="4">
        <f t="shared" ref="CW139:CW153" si="398">AJ139/BN139</f>
        <v>0.94362832425548338</v>
      </c>
      <c r="CX139" s="4">
        <f t="shared" si="351"/>
        <v>1.8659677045971768</v>
      </c>
      <c r="CY139" s="4">
        <f t="shared" ref="CY139:CY153" si="399">AJ139/DZ139</f>
        <v>1.1235877075133753</v>
      </c>
      <c r="CZ139" s="4">
        <f t="shared" ref="CZ139:CZ153" si="400">AJ139/EL139</f>
        <v>1.1123266588575653</v>
      </c>
      <c r="DA139" s="4">
        <f t="shared" si="346"/>
        <v>0.70132401780331832</v>
      </c>
      <c r="DC139" s="4">
        <f t="shared" si="377"/>
        <v>0.44463766638918378</v>
      </c>
      <c r="DD139" s="4">
        <f t="shared" si="377"/>
        <v>0.85635510739673315</v>
      </c>
      <c r="DE139" s="4">
        <f t="shared" si="387"/>
        <v>1.8659677045971768</v>
      </c>
      <c r="DF139" s="4">
        <f t="shared" si="365"/>
        <v>0.70132401780331832</v>
      </c>
      <c r="DG139" s="4">
        <f t="shared" si="378"/>
        <v>1.1235877075133753</v>
      </c>
      <c r="DH139" s="4">
        <f t="shared" si="378"/>
        <v>1.1123266588575653</v>
      </c>
      <c r="DP139" s="4">
        <f t="shared" si="379"/>
        <v>0</v>
      </c>
      <c r="DQ139" s="4">
        <f t="shared" si="338"/>
        <v>715</v>
      </c>
      <c r="DR139" s="4">
        <f t="shared" si="339"/>
        <v>1</v>
      </c>
      <c r="DT139" s="4">
        <f t="shared" si="262"/>
        <v>5.5250683031071631E-5</v>
      </c>
      <c r="DU139" s="4">
        <f t="shared" si="380"/>
        <v>4.1860577959627587</v>
      </c>
      <c r="DV139" s="4">
        <f t="shared" si="353"/>
        <v>0.10312256028274906</v>
      </c>
      <c r="DW139" s="4">
        <f t="shared" si="263"/>
        <v>1.6871228017777082</v>
      </c>
      <c r="DX139" s="4">
        <f t="shared" si="264"/>
        <v>3.195274432525173</v>
      </c>
      <c r="DY139" s="4">
        <f t="shared" si="354"/>
        <v>3.3015885549114703</v>
      </c>
      <c r="DZ139" s="38">
        <f t="shared" si="266"/>
        <v>412.96286609158767</v>
      </c>
      <c r="EA139" s="4">
        <f t="shared" si="267"/>
        <v>1.0000650916666518</v>
      </c>
      <c r="EB139" s="4">
        <f t="shared" si="355"/>
        <v>2.2360679774997898</v>
      </c>
      <c r="EC139" s="4">
        <f t="shared" si="291"/>
        <v>104.26688804632695</v>
      </c>
      <c r="EG139" s="4">
        <f t="shared" si="268"/>
        <v>1</v>
      </c>
      <c r="EH139" s="4">
        <f t="shared" si="269"/>
        <v>1</v>
      </c>
      <c r="EI139" s="4">
        <f t="shared" si="340"/>
        <v>1</v>
      </c>
      <c r="EJ139" s="4">
        <f t="shared" si="271"/>
        <v>1</v>
      </c>
      <c r="EL139" s="4">
        <f t="shared" si="341"/>
        <v>417.1436477810928</v>
      </c>
      <c r="EM139" s="25">
        <f t="shared" si="366"/>
        <v>103.18931308388592</v>
      </c>
      <c r="EP139" s="4">
        <f t="shared" si="322"/>
        <v>4.1860577959627587</v>
      </c>
      <c r="EQ139" s="4">
        <f t="shared" si="342"/>
        <v>4.1860577959627587</v>
      </c>
      <c r="ES139" s="4">
        <f t="shared" si="276"/>
        <v>63.951544156493995</v>
      </c>
      <c r="ET139" s="4">
        <f t="shared" si="381"/>
        <v>2.2360679774997898</v>
      </c>
      <c r="EU139" s="4">
        <f t="shared" si="277"/>
        <v>4.4721285124322517E-2</v>
      </c>
      <c r="EX139" s="4">
        <f t="shared" si="348"/>
        <v>4.4721285124322517E-2</v>
      </c>
      <c r="EY139" s="4">
        <f t="shared" si="278"/>
        <v>0.10295046794906974</v>
      </c>
      <c r="EZ139" s="4">
        <f t="shared" si="382"/>
        <v>1.6859960400435789</v>
      </c>
      <c r="FA139" s="4">
        <f t="shared" si="395"/>
        <v>3.194984996700577</v>
      </c>
      <c r="FB139" s="4">
        <f t="shared" si="383"/>
        <v>472.29845584350602</v>
      </c>
      <c r="FC139" s="4">
        <f t="shared" si="384"/>
        <v>178.74999999999994</v>
      </c>
      <c r="FD139" s="4">
        <f t="shared" si="279"/>
        <v>5.5250683031071611E-5</v>
      </c>
      <c r="FE139" s="4">
        <f t="shared" si="396"/>
        <v>3.3016812855441273</v>
      </c>
      <c r="FF139" s="4">
        <f t="shared" si="343"/>
        <v>412.93598739994729</v>
      </c>
      <c r="FG139" s="4">
        <f t="shared" si="385"/>
        <v>472.29845584350602</v>
      </c>
      <c r="FH139" s="4">
        <f t="shared" si="386"/>
        <v>178.75</v>
      </c>
      <c r="FJ139" s="4">
        <f t="shared" si="356"/>
        <v>0</v>
      </c>
      <c r="FO139" s="23">
        <f t="shared" si="357"/>
        <v>0.6</v>
      </c>
      <c r="FP139" s="23">
        <f t="shared" si="357"/>
        <v>1</v>
      </c>
      <c r="FQ139" s="23">
        <f t="shared" si="391"/>
        <v>0.8</v>
      </c>
      <c r="FR139" s="23">
        <f t="shared" si="358"/>
        <v>2</v>
      </c>
      <c r="FS139" s="23">
        <f t="shared" si="358"/>
        <v>1.2</v>
      </c>
      <c r="FT139" s="23">
        <f t="shared" si="358"/>
        <v>1.2</v>
      </c>
      <c r="FU139" s="23">
        <f t="shared" ref="FU139:FU153" si="401">IF(FS139&lt;1,1,0)</f>
        <v>0</v>
      </c>
      <c r="FV139" s="23"/>
      <c r="GF139" s="4">
        <f t="shared" si="282"/>
        <v>1.25</v>
      </c>
      <c r="GG139" s="4">
        <f t="shared" si="283"/>
        <v>0.8</v>
      </c>
      <c r="GH139" s="4">
        <f t="shared" si="284"/>
        <v>0</v>
      </c>
      <c r="GI139" s="4">
        <f t="shared" si="285"/>
        <v>661.60574601927544</v>
      </c>
    </row>
    <row r="140" spans="1:191" ht="12" hidden="1" customHeight="1" x14ac:dyDescent="0.3">
      <c r="A140" s="25">
        <v>121</v>
      </c>
      <c r="B140" s="24" t="s">
        <v>128</v>
      </c>
      <c r="C140" s="24">
        <v>2015</v>
      </c>
      <c r="D140" s="24" t="s">
        <v>293</v>
      </c>
      <c r="E140" s="24" t="s">
        <v>72</v>
      </c>
      <c r="F140" s="24"/>
      <c r="G140" s="24"/>
      <c r="H140" s="7" t="s">
        <v>138</v>
      </c>
      <c r="I140" s="7"/>
      <c r="J140" s="7">
        <v>710</v>
      </c>
      <c r="K140" s="7">
        <f t="shared" si="323"/>
        <v>429</v>
      </c>
      <c r="L140" s="7">
        <f t="shared" si="367"/>
        <v>429</v>
      </c>
      <c r="M140" s="7">
        <v>41.4</v>
      </c>
      <c r="N140" s="7">
        <v>28.6</v>
      </c>
      <c r="O140" s="7">
        <v>15</v>
      </c>
      <c r="P140" s="7">
        <f t="shared" si="368"/>
        <v>15</v>
      </c>
      <c r="Q140" s="7">
        <v>261</v>
      </c>
      <c r="R140" s="7"/>
      <c r="S140" s="7">
        <f t="shared" si="392"/>
        <v>28.6</v>
      </c>
      <c r="T140" s="7"/>
      <c r="U140" s="7"/>
      <c r="V140" s="7"/>
      <c r="W140" s="7">
        <f t="shared" si="388"/>
        <v>28.6</v>
      </c>
      <c r="X140" s="7">
        <v>2</v>
      </c>
      <c r="Y140" s="7"/>
      <c r="Z140" s="7"/>
      <c r="AA140" s="7">
        <f t="shared" si="359"/>
        <v>58.2</v>
      </c>
      <c r="AB140" s="7">
        <f t="shared" si="371"/>
        <v>1</v>
      </c>
      <c r="AC140" s="7">
        <f t="shared" si="360"/>
        <v>1.5000000000000002</v>
      </c>
      <c r="AD140" s="7">
        <f t="shared" si="369"/>
        <v>4</v>
      </c>
      <c r="AE140" s="7">
        <f t="shared" si="372"/>
        <v>4</v>
      </c>
      <c r="AF140" s="7">
        <v>5</v>
      </c>
      <c r="AG140" s="7">
        <f t="shared" si="240"/>
        <v>63.951544156493995</v>
      </c>
      <c r="AH140" s="7"/>
      <c r="AI140" s="7"/>
      <c r="AJ140" s="7">
        <v>484</v>
      </c>
      <c r="AK140" s="7"/>
      <c r="AL140" s="7">
        <f t="shared" si="349"/>
        <v>1.1046714701548845</v>
      </c>
      <c r="AM140" s="7">
        <v>9.5</v>
      </c>
      <c r="AN140" s="7">
        <v>7</v>
      </c>
      <c r="AO140" s="7">
        <v>65</v>
      </c>
      <c r="AP140" s="7">
        <v>7</v>
      </c>
      <c r="AQ140" s="7">
        <v>7</v>
      </c>
      <c r="AR140" s="7">
        <f t="shared" ref="AR140:AR153" si="402">MIN(2.5,(40*2*PI()*AM140^2/4/AO140/X140)/N140)</f>
        <v>1.5251680311268359</v>
      </c>
      <c r="AS140" s="4">
        <f t="shared" si="292"/>
        <v>429</v>
      </c>
      <c r="AT140" s="46">
        <f t="shared" si="362"/>
        <v>5.5150754451453753E-2</v>
      </c>
      <c r="AU140" s="25">
        <f t="shared" si="333"/>
        <v>444.9735182569961</v>
      </c>
      <c r="AV140" s="4">
        <f t="shared" si="334"/>
        <v>0.72</v>
      </c>
      <c r="AW140" s="4">
        <v>1.25</v>
      </c>
      <c r="AX140" s="25">
        <f t="shared" si="325"/>
        <v>5</v>
      </c>
      <c r="AY140" s="38">
        <f t="shared" si="287"/>
        <v>110.4328135925598</v>
      </c>
      <c r="AZ140" s="38">
        <f t="shared" si="288"/>
        <v>110.4328135925598</v>
      </c>
      <c r="BB140" s="38">
        <f t="shared" si="363"/>
        <v>110.43281359255974</v>
      </c>
      <c r="BC140" s="38">
        <f t="shared" si="243"/>
        <v>1.0000000000000004</v>
      </c>
      <c r="BD140" s="38">
        <f t="shared" si="345"/>
        <v>1.7994651547426346</v>
      </c>
      <c r="BE140" s="4">
        <f t="shared" si="330"/>
        <v>0</v>
      </c>
      <c r="BF140" s="4">
        <f t="shared" si="244"/>
        <v>507.96972448880257</v>
      </c>
      <c r="BG140" s="4">
        <f t="shared" si="389"/>
        <v>1.2000000000000002</v>
      </c>
      <c r="BH140" s="38">
        <f t="shared" si="245"/>
        <v>198.72000000000003</v>
      </c>
      <c r="BI140" s="4">
        <f t="shared" si="390"/>
        <v>0.44000000000000006</v>
      </c>
      <c r="BJ140" s="4">
        <f t="shared" si="246"/>
        <v>116.7822396599757</v>
      </c>
      <c r="BK140" s="4">
        <f t="shared" si="247"/>
        <v>315.50223965997571</v>
      </c>
      <c r="BM140" s="36">
        <f t="shared" si="397"/>
        <v>1.6863256140070761</v>
      </c>
      <c r="BN140" s="36">
        <f t="shared" si="335"/>
        <v>499.11364032989434</v>
      </c>
      <c r="BS140" s="4">
        <f t="shared" si="373"/>
        <v>20.700000000000003</v>
      </c>
      <c r="BT140" s="4">
        <f t="shared" si="374"/>
        <v>20.700000000000003</v>
      </c>
      <c r="BU140" s="4">
        <f t="shared" si="375"/>
        <v>58.2</v>
      </c>
      <c r="BV140" s="4">
        <f t="shared" si="336"/>
        <v>35</v>
      </c>
      <c r="BW140" s="4">
        <f t="shared" si="376"/>
        <v>1.181159420289855</v>
      </c>
      <c r="BX140" s="25">
        <f t="shared" si="337"/>
        <v>3.0322956128775931</v>
      </c>
      <c r="BZ140" s="4">
        <f t="shared" si="347"/>
        <v>14.3</v>
      </c>
      <c r="CD140" s="9"/>
      <c r="CF140" s="9"/>
      <c r="CG140" s="9"/>
      <c r="CH140" s="9">
        <f t="shared" si="393"/>
        <v>14.3</v>
      </c>
      <c r="CI140" s="9">
        <f t="shared" si="394"/>
        <v>28.6</v>
      </c>
      <c r="CJ140" s="9">
        <f t="shared" si="252"/>
        <v>0.78458409789675088</v>
      </c>
      <c r="CK140" s="70">
        <v>20</v>
      </c>
      <c r="CL140" s="9">
        <f t="shared" si="253"/>
        <v>0.05</v>
      </c>
      <c r="CM140" s="9">
        <f t="shared" si="254"/>
        <v>0.8</v>
      </c>
      <c r="CN140" s="9">
        <f t="shared" si="255"/>
        <v>0.96044432035915817</v>
      </c>
      <c r="CO140" s="9">
        <f t="shared" si="256"/>
        <v>0.74299999999999999</v>
      </c>
      <c r="CP140" s="9">
        <f t="shared" si="257"/>
        <v>1.6070493790635749</v>
      </c>
      <c r="CQ140" s="9">
        <f t="shared" si="258"/>
        <v>2.5465048905989884</v>
      </c>
      <c r="CR140" s="9">
        <v>1</v>
      </c>
      <c r="CS140" s="9">
        <f t="shared" si="259"/>
        <v>305.58058687187861</v>
      </c>
      <c r="CU140" s="4">
        <f t="shared" si="370"/>
        <v>0.95281269073088048</v>
      </c>
      <c r="CV140" s="4">
        <f t="shared" si="364"/>
        <v>1.534062010214629</v>
      </c>
      <c r="CW140" s="4">
        <f t="shared" si="398"/>
        <v>0.96971903969624063</v>
      </c>
      <c r="CX140" s="4">
        <f t="shared" si="351"/>
        <v>1.5838702482855289</v>
      </c>
      <c r="CY140" s="4">
        <f t="shared" si="399"/>
        <v>1.1046714701548845</v>
      </c>
      <c r="CZ140" s="4">
        <f t="shared" si="400"/>
        <v>1.1269337764078953</v>
      </c>
      <c r="DA140" s="4">
        <f t="shared" si="346"/>
        <v>1.146690173406641</v>
      </c>
      <c r="DI140" s="4">
        <f t="shared" ref="DI140:DJ153" si="403">CU140</f>
        <v>0.95281269073088048</v>
      </c>
      <c r="DJ140" s="4">
        <f t="shared" si="403"/>
        <v>1.534062010214629</v>
      </c>
      <c r="DK140" s="4">
        <f t="shared" ref="DK140:DK153" si="404">CX140</f>
        <v>1.5838702482855289</v>
      </c>
      <c r="DL140" s="4">
        <f t="shared" ref="DL140:DL153" si="405">DA140</f>
        <v>1.146690173406641</v>
      </c>
      <c r="DM140" s="4">
        <f t="shared" ref="DM140:DN153" si="406">CY140</f>
        <v>1.1046714701548845</v>
      </c>
      <c r="DN140" s="4">
        <f t="shared" si="406"/>
        <v>1.1269337764078953</v>
      </c>
      <c r="DP140" s="4">
        <f t="shared" si="379"/>
        <v>7</v>
      </c>
      <c r="DQ140" s="4">
        <f t="shared" si="338"/>
        <v>429</v>
      </c>
      <c r="DR140" s="4">
        <f t="shared" si="339"/>
        <v>1</v>
      </c>
      <c r="DT140" s="4">
        <f t="shared" si="262"/>
        <v>2.8953960744479089E-5</v>
      </c>
      <c r="DU140" s="4">
        <f t="shared" si="380"/>
        <v>7.1242815844827039</v>
      </c>
      <c r="DV140" s="4">
        <f t="shared" si="353"/>
        <v>0.16594176945972797</v>
      </c>
      <c r="DW140" s="4">
        <f t="shared" si="263"/>
        <v>3.4731485838138183</v>
      </c>
      <c r="DX140" s="4">
        <f t="shared" si="264"/>
        <v>5.6076430390294192</v>
      </c>
      <c r="DY140" s="4">
        <f t="shared" si="354"/>
        <v>6.2969374888096059</v>
      </c>
      <c r="DZ140" s="38">
        <f t="shared" si="266"/>
        <v>438.13931388319372</v>
      </c>
      <c r="EA140" s="4">
        <f t="shared" si="267"/>
        <v>1.0001011208183974</v>
      </c>
      <c r="EB140" s="4">
        <f t="shared" si="355"/>
        <v>2.2360679774997898</v>
      </c>
      <c r="EC140" s="4">
        <f t="shared" si="291"/>
        <v>110.43281359255974</v>
      </c>
      <c r="EG140" s="4">
        <f t="shared" si="268"/>
        <v>1</v>
      </c>
      <c r="EH140" s="4">
        <f t="shared" si="269"/>
        <v>1</v>
      </c>
      <c r="EI140" s="4">
        <f t="shared" si="340"/>
        <v>0.7</v>
      </c>
      <c r="EJ140" s="4">
        <f t="shared" si="271"/>
        <v>0.7</v>
      </c>
      <c r="EL140" s="4">
        <f t="shared" si="341"/>
        <v>429.48397690479328</v>
      </c>
      <c r="EM140" s="25">
        <f t="shared" si="366"/>
        <v>108.89130560307159</v>
      </c>
      <c r="EP140" s="4">
        <f t="shared" si="322"/>
        <v>7.1242815844827039</v>
      </c>
      <c r="EQ140" s="4">
        <f t="shared" si="342"/>
        <v>7.1242815844827039</v>
      </c>
      <c r="ES140" s="4">
        <f t="shared" si="276"/>
        <v>63.951544156493995</v>
      </c>
      <c r="ET140" s="4">
        <f t="shared" si="381"/>
        <v>2.2360679774997898</v>
      </c>
      <c r="EU140" s="4">
        <f t="shared" si="277"/>
        <v>5.8383637923874583E-2</v>
      </c>
      <c r="EX140" s="4">
        <f t="shared" si="348"/>
        <v>5.8383637923874583E-2</v>
      </c>
      <c r="EY140" s="4">
        <f t="shared" si="278"/>
        <v>0.16566484357384129</v>
      </c>
      <c r="EZ140" s="4">
        <f t="shared" si="382"/>
        <v>3.4708290070070413</v>
      </c>
      <c r="FA140" s="4">
        <f t="shared" si="395"/>
        <v>5.6069341897316711</v>
      </c>
      <c r="FB140" s="4">
        <f t="shared" si="383"/>
        <v>257.79845584350602</v>
      </c>
      <c r="FC140" s="4">
        <f t="shared" si="384"/>
        <v>107.25</v>
      </c>
      <c r="FD140" s="4">
        <f t="shared" si="279"/>
        <v>2.8953960744479089E-5</v>
      </c>
      <c r="FE140" s="4">
        <f t="shared" si="396"/>
        <v>6.2970711206046541</v>
      </c>
      <c r="FF140" s="4">
        <f t="shared" si="343"/>
        <v>438.0950133569072</v>
      </c>
      <c r="FG140" s="4">
        <f t="shared" si="385"/>
        <v>257.79845584350602</v>
      </c>
      <c r="FH140" s="4">
        <f t="shared" si="386"/>
        <v>107.24999999999999</v>
      </c>
      <c r="FJ140" s="4">
        <f t="shared" si="356"/>
        <v>0</v>
      </c>
      <c r="FO140" s="23">
        <f t="shared" si="357"/>
        <v>1</v>
      </c>
      <c r="FP140" s="23">
        <f t="shared" si="357"/>
        <v>1.6</v>
      </c>
      <c r="FQ140" s="23">
        <f t="shared" si="391"/>
        <v>1.2</v>
      </c>
      <c r="FR140" s="23">
        <f t="shared" si="358"/>
        <v>1.6</v>
      </c>
      <c r="FS140" s="23">
        <f t="shared" si="358"/>
        <v>1.2</v>
      </c>
      <c r="FT140" s="23">
        <f t="shared" si="358"/>
        <v>1.2</v>
      </c>
      <c r="FU140" s="23">
        <f t="shared" si="401"/>
        <v>0</v>
      </c>
      <c r="FV140" s="23"/>
      <c r="GF140" s="4">
        <f t="shared" si="282"/>
        <v>1.25</v>
      </c>
      <c r="GG140" s="4">
        <f t="shared" si="283"/>
        <v>0.67768622629572395</v>
      </c>
      <c r="GH140" s="4">
        <f t="shared" si="284"/>
        <v>0.3</v>
      </c>
      <c r="GI140" s="4">
        <f t="shared" si="285"/>
        <v>422.08437049923435</v>
      </c>
    </row>
    <row r="141" spans="1:191" ht="12" hidden="1" customHeight="1" x14ac:dyDescent="0.3">
      <c r="A141" s="25">
        <v>122</v>
      </c>
      <c r="B141" s="24" t="s">
        <v>128</v>
      </c>
      <c r="C141" s="24">
        <v>2015</v>
      </c>
      <c r="D141" s="24" t="s">
        <v>293</v>
      </c>
      <c r="E141" s="24"/>
      <c r="F141" s="24"/>
      <c r="G141" s="24"/>
      <c r="H141" s="7" t="s">
        <v>139</v>
      </c>
      <c r="I141" s="7"/>
      <c r="J141" s="7">
        <v>710</v>
      </c>
      <c r="K141" s="7">
        <f t="shared" si="323"/>
        <v>572</v>
      </c>
      <c r="L141" s="7">
        <f t="shared" si="367"/>
        <v>572</v>
      </c>
      <c r="M141" s="7">
        <v>41.4</v>
      </c>
      <c r="N141" s="7">
        <v>28.6</v>
      </c>
      <c r="O141" s="7">
        <v>20</v>
      </c>
      <c r="P141" s="7">
        <f t="shared" si="368"/>
        <v>20</v>
      </c>
      <c r="Q141" s="7">
        <v>261</v>
      </c>
      <c r="R141" s="7"/>
      <c r="S141" s="7">
        <f t="shared" si="392"/>
        <v>28.6</v>
      </c>
      <c r="T141" s="7"/>
      <c r="U141" s="7"/>
      <c r="V141" s="7"/>
      <c r="W141" s="7">
        <f t="shared" si="388"/>
        <v>28.6</v>
      </c>
      <c r="X141" s="7">
        <v>2</v>
      </c>
      <c r="Y141" s="7"/>
      <c r="Z141" s="7"/>
      <c r="AA141" s="7">
        <f t="shared" si="359"/>
        <v>58.2</v>
      </c>
      <c r="AB141" s="7">
        <f t="shared" si="371"/>
        <v>1</v>
      </c>
      <c r="AC141" s="7">
        <f t="shared" si="360"/>
        <v>1.5000000000000002</v>
      </c>
      <c r="AD141" s="7">
        <f t="shared" si="369"/>
        <v>4</v>
      </c>
      <c r="AE141" s="7">
        <f t="shared" si="372"/>
        <v>4</v>
      </c>
      <c r="AF141" s="7">
        <v>5</v>
      </c>
      <c r="AG141" s="7">
        <f t="shared" si="240"/>
        <v>63.951544156493995</v>
      </c>
      <c r="AH141" s="7"/>
      <c r="AI141" s="7"/>
      <c r="AJ141" s="7">
        <v>585</v>
      </c>
      <c r="AK141" s="7"/>
      <c r="AL141" s="7">
        <f t="shared" si="349"/>
        <v>1.1231070404717092</v>
      </c>
      <c r="AM141" s="7">
        <v>9.5</v>
      </c>
      <c r="AN141" s="7">
        <v>9</v>
      </c>
      <c r="AO141" s="7">
        <v>65</v>
      </c>
      <c r="AP141" s="7">
        <v>9</v>
      </c>
      <c r="AQ141" s="7">
        <v>9</v>
      </c>
      <c r="AR141" s="7">
        <f t="shared" si="402"/>
        <v>1.5251680311268359</v>
      </c>
      <c r="AS141" s="4">
        <f t="shared" si="292"/>
        <v>572</v>
      </c>
      <c r="AT141" s="46">
        <f t="shared" si="362"/>
        <v>3.1022299378942735E-2</v>
      </c>
      <c r="AU141" s="25">
        <f t="shared" si="333"/>
        <v>685.08154812781754</v>
      </c>
      <c r="AV141" s="4">
        <f t="shared" si="334"/>
        <v>0.71499999999999997</v>
      </c>
      <c r="AW141" s="4">
        <v>1.25</v>
      </c>
      <c r="AX141" s="25">
        <f t="shared" si="325"/>
        <v>5</v>
      </c>
      <c r="AY141" s="38">
        <f t="shared" si="287"/>
        <v>94.973471829891636</v>
      </c>
      <c r="AZ141" s="38">
        <f t="shared" si="288"/>
        <v>94.973471829891636</v>
      </c>
      <c r="BB141" s="38">
        <f t="shared" si="363"/>
        <v>94.973471829891608</v>
      </c>
      <c r="BC141" s="38">
        <f t="shared" si="243"/>
        <v>1.0000000000000002</v>
      </c>
      <c r="BD141" s="38">
        <f t="shared" si="345"/>
        <v>2.092373756283548</v>
      </c>
      <c r="BE141" s="4">
        <f t="shared" si="330"/>
        <v>0</v>
      </c>
      <c r="BF141" s="4">
        <f t="shared" si="244"/>
        <v>677.29296598506994</v>
      </c>
      <c r="BG141" s="4">
        <f t="shared" si="389"/>
        <v>1.2000000000000002</v>
      </c>
      <c r="BH141" s="38">
        <f t="shared" si="245"/>
        <v>198.72000000000003</v>
      </c>
      <c r="BI141" s="4">
        <f t="shared" si="390"/>
        <v>0.44000000000000006</v>
      </c>
      <c r="BJ141" s="4">
        <f t="shared" si="246"/>
        <v>155.70965287996762</v>
      </c>
      <c r="BK141" s="4">
        <f t="shared" si="247"/>
        <v>354.42965287996765</v>
      </c>
      <c r="BM141" s="36">
        <f t="shared" si="397"/>
        <v>1.6863256140070761</v>
      </c>
      <c r="BN141" s="36">
        <f t="shared" si="335"/>
        <v>585.91601256118031</v>
      </c>
      <c r="BS141" s="4">
        <f t="shared" si="373"/>
        <v>20.700000000000003</v>
      </c>
      <c r="BT141" s="4">
        <f t="shared" si="374"/>
        <v>20.700000000000003</v>
      </c>
      <c r="BU141" s="4">
        <f t="shared" si="375"/>
        <v>58.2</v>
      </c>
      <c r="BV141" s="4">
        <f t="shared" si="336"/>
        <v>35</v>
      </c>
      <c r="BW141" s="4">
        <f t="shared" si="376"/>
        <v>1.181159420289855</v>
      </c>
      <c r="BX141" s="25">
        <f t="shared" si="337"/>
        <v>3.0322956128775931</v>
      </c>
      <c r="BZ141" s="4">
        <f t="shared" si="347"/>
        <v>14.3</v>
      </c>
      <c r="CD141" s="9"/>
      <c r="CF141" s="9"/>
      <c r="CG141" s="9"/>
      <c r="CH141" s="9">
        <f t="shared" si="393"/>
        <v>14.3</v>
      </c>
      <c r="CI141" s="9">
        <f t="shared" si="394"/>
        <v>28.6</v>
      </c>
      <c r="CJ141" s="9">
        <f t="shared" si="252"/>
        <v>0.78458409789675088</v>
      </c>
      <c r="CK141" s="70">
        <v>20</v>
      </c>
      <c r="CL141" s="9">
        <f t="shared" si="253"/>
        <v>0.05</v>
      </c>
      <c r="CM141" s="9">
        <f t="shared" si="254"/>
        <v>0.8</v>
      </c>
      <c r="CN141" s="9">
        <f t="shared" si="255"/>
        <v>0.96044432035915817</v>
      </c>
      <c r="CO141" s="9">
        <f t="shared" si="256"/>
        <v>0.74299999999999999</v>
      </c>
      <c r="CP141" s="9">
        <f t="shared" si="257"/>
        <v>1.6070493790635749</v>
      </c>
      <c r="CQ141" s="9">
        <f t="shared" si="258"/>
        <v>2.5465048905989884</v>
      </c>
      <c r="CR141" s="9">
        <v>1</v>
      </c>
      <c r="CS141" s="9">
        <f t="shared" si="259"/>
        <v>356.51068468385836</v>
      </c>
      <c r="CU141" s="4">
        <f t="shared" si="370"/>
        <v>0.86373257863259068</v>
      </c>
      <c r="CV141" s="4">
        <f t="shared" si="364"/>
        <v>1.6505390992161655</v>
      </c>
      <c r="CW141" s="4">
        <f t="shared" si="398"/>
        <v>0.99843661456327815</v>
      </c>
      <c r="CX141" s="4">
        <f t="shared" si="351"/>
        <v>1.640904537037251</v>
      </c>
      <c r="CY141" s="4">
        <f t="shared" si="399"/>
        <v>1.1231070404717092</v>
      </c>
      <c r="CZ141" s="4">
        <f t="shared" si="400"/>
        <v>1.1221539038315145</v>
      </c>
      <c r="DA141" s="4">
        <f t="shared" si="346"/>
        <v>1.0394841189714128</v>
      </c>
      <c r="DI141" s="4">
        <f t="shared" si="403"/>
        <v>0.86373257863259068</v>
      </c>
      <c r="DJ141" s="4">
        <f t="shared" si="403"/>
        <v>1.6505390992161655</v>
      </c>
      <c r="DK141" s="4">
        <f t="shared" si="404"/>
        <v>1.640904537037251</v>
      </c>
      <c r="DL141" s="4">
        <f t="shared" si="405"/>
        <v>1.0394841189714128</v>
      </c>
      <c r="DM141" s="4">
        <f t="shared" si="406"/>
        <v>1.1231070404717092</v>
      </c>
      <c r="DN141" s="4">
        <f t="shared" si="406"/>
        <v>1.1221539038315145</v>
      </c>
      <c r="DP141" s="4">
        <f t="shared" si="379"/>
        <v>9</v>
      </c>
      <c r="DQ141" s="4">
        <f t="shared" si="338"/>
        <v>572</v>
      </c>
      <c r="DR141" s="4">
        <f t="shared" si="339"/>
        <v>1</v>
      </c>
      <c r="DT141" s="4">
        <f t="shared" si="262"/>
        <v>3.8605280992638792E-5</v>
      </c>
      <c r="DU141" s="4">
        <f t="shared" si="380"/>
        <v>7.1242815844827039</v>
      </c>
      <c r="DV141" s="4">
        <f t="shared" si="353"/>
        <v>0.14271180326286331</v>
      </c>
      <c r="DW141" s="4">
        <f t="shared" si="263"/>
        <v>3.2698289451363891</v>
      </c>
      <c r="DX141" s="4">
        <f t="shared" si="264"/>
        <v>5.5470914187820428</v>
      </c>
      <c r="DY141" s="4">
        <f t="shared" si="354"/>
        <v>5.672297025351078</v>
      </c>
      <c r="DZ141" s="38">
        <f t="shared" si="266"/>
        <v>520.87644268911163</v>
      </c>
      <c r="EA141" s="4">
        <f t="shared" si="267"/>
        <v>1.0000919981850391</v>
      </c>
      <c r="EB141" s="4">
        <f t="shared" si="355"/>
        <v>2.2360679774997898</v>
      </c>
      <c r="EC141" s="4">
        <f t="shared" si="291"/>
        <v>94.973471829891608</v>
      </c>
      <c r="EG141" s="4">
        <f t="shared" si="268"/>
        <v>1</v>
      </c>
      <c r="EH141" s="4">
        <f t="shared" si="269"/>
        <v>1</v>
      </c>
      <c r="EI141" s="4">
        <f t="shared" si="340"/>
        <v>0.7</v>
      </c>
      <c r="EJ141" s="4">
        <f t="shared" si="271"/>
        <v>0.7</v>
      </c>
      <c r="EL141" s="4">
        <f t="shared" si="341"/>
        <v>521.31886544489055</v>
      </c>
      <c r="EM141" s="25">
        <f t="shared" si="366"/>
        <v>93.861970375928266</v>
      </c>
      <c r="EP141" s="4">
        <f t="shared" si="322"/>
        <v>7.1242815844827039</v>
      </c>
      <c r="EQ141" s="4">
        <f t="shared" si="342"/>
        <v>7.1242815844827039</v>
      </c>
      <c r="ES141" s="4">
        <f t="shared" si="276"/>
        <v>63.951544156493995</v>
      </c>
      <c r="ET141" s="4">
        <f t="shared" si="381"/>
        <v>2.2360679774997898</v>
      </c>
      <c r="EU141" s="4">
        <f t="shared" si="277"/>
        <v>5.0210590596265252E-2</v>
      </c>
      <c r="EX141" s="4">
        <f t="shared" si="348"/>
        <v>5.0210590596265252E-2</v>
      </c>
      <c r="EY141" s="4">
        <f t="shared" si="278"/>
        <v>0.14247364386108202</v>
      </c>
      <c r="EZ141" s="4">
        <f t="shared" si="382"/>
        <v>3.2676451573714158</v>
      </c>
      <c r="FA141" s="4">
        <f t="shared" si="395"/>
        <v>5.5464586551755382</v>
      </c>
      <c r="FB141" s="4">
        <f t="shared" si="383"/>
        <v>365.04845584350602</v>
      </c>
      <c r="FC141" s="4">
        <f t="shared" si="384"/>
        <v>143</v>
      </c>
      <c r="FD141" s="4">
        <f t="shared" si="279"/>
        <v>3.8605280992638792E-5</v>
      </c>
      <c r="FE141" s="4">
        <f t="shared" si="396"/>
        <v>5.6724931912992886</v>
      </c>
      <c r="FF141" s="4">
        <f t="shared" si="343"/>
        <v>520.82852740987335</v>
      </c>
      <c r="FG141" s="4">
        <f t="shared" si="385"/>
        <v>365.04845584350602</v>
      </c>
      <c r="FH141" s="4">
        <f t="shared" si="386"/>
        <v>143</v>
      </c>
      <c r="FJ141" s="4">
        <f t="shared" si="356"/>
        <v>0</v>
      </c>
      <c r="FO141" s="23">
        <f t="shared" si="357"/>
        <v>1</v>
      </c>
      <c r="FP141" s="23">
        <f t="shared" si="357"/>
        <v>1.8</v>
      </c>
      <c r="FQ141" s="23">
        <f t="shared" si="391"/>
        <v>1.2</v>
      </c>
      <c r="FR141" s="23">
        <f t="shared" si="358"/>
        <v>1.8</v>
      </c>
      <c r="FS141" s="23">
        <f t="shared" si="358"/>
        <v>1.2</v>
      </c>
      <c r="FT141" s="23">
        <f t="shared" si="358"/>
        <v>1.2</v>
      </c>
      <c r="FU141" s="23">
        <f t="shared" si="401"/>
        <v>0</v>
      </c>
      <c r="FV141" s="23"/>
      <c r="GF141" s="4">
        <f t="shared" si="282"/>
        <v>1.25</v>
      </c>
      <c r="GG141" s="4">
        <f t="shared" si="283"/>
        <v>0.67768622629572395</v>
      </c>
      <c r="GH141" s="4">
        <f t="shared" si="284"/>
        <v>0.3</v>
      </c>
      <c r="GI141" s="4">
        <f t="shared" si="285"/>
        <v>562.7791606656458</v>
      </c>
    </row>
    <row r="142" spans="1:191" ht="12" hidden="1" customHeight="1" x14ac:dyDescent="0.3">
      <c r="A142" s="25">
        <v>123</v>
      </c>
      <c r="B142" s="24" t="s">
        <v>128</v>
      </c>
      <c r="C142" s="24">
        <v>2015</v>
      </c>
      <c r="D142" s="24" t="s">
        <v>293</v>
      </c>
      <c r="E142" s="24"/>
      <c r="F142" s="24"/>
      <c r="G142" s="24"/>
      <c r="H142" s="7" t="s">
        <v>147</v>
      </c>
      <c r="I142" s="7"/>
      <c r="J142" s="7">
        <v>710</v>
      </c>
      <c r="K142" s="7">
        <f t="shared" si="323"/>
        <v>572</v>
      </c>
      <c r="L142" s="7">
        <f t="shared" si="367"/>
        <v>572</v>
      </c>
      <c r="M142" s="7">
        <v>41.4</v>
      </c>
      <c r="N142" s="7">
        <v>28.6</v>
      </c>
      <c r="O142" s="7">
        <v>20</v>
      </c>
      <c r="P142" s="7">
        <f t="shared" si="368"/>
        <v>20</v>
      </c>
      <c r="Q142" s="7">
        <v>261</v>
      </c>
      <c r="R142" s="7"/>
      <c r="S142" s="7">
        <f t="shared" si="392"/>
        <v>28.6</v>
      </c>
      <c r="T142" s="7"/>
      <c r="U142" s="7"/>
      <c r="V142" s="7"/>
      <c r="W142" s="7">
        <f t="shared" si="388"/>
        <v>28.6</v>
      </c>
      <c r="X142" s="7">
        <v>2</v>
      </c>
      <c r="Y142" s="7"/>
      <c r="Z142" s="7"/>
      <c r="AA142" s="7">
        <f t="shared" si="359"/>
        <v>58.2</v>
      </c>
      <c r="AB142" s="7">
        <f t="shared" si="371"/>
        <v>1</v>
      </c>
      <c r="AC142" s="7">
        <f t="shared" si="360"/>
        <v>1.5000000000000002</v>
      </c>
      <c r="AD142" s="7">
        <f t="shared" si="369"/>
        <v>4</v>
      </c>
      <c r="AE142" s="7">
        <f t="shared" si="372"/>
        <v>4</v>
      </c>
      <c r="AF142" s="7">
        <v>5</v>
      </c>
      <c r="AG142" s="7">
        <f t="shared" si="240"/>
        <v>63.951544156493995</v>
      </c>
      <c r="AH142" s="7"/>
      <c r="AI142" s="7"/>
      <c r="AJ142" s="7">
        <v>489</v>
      </c>
      <c r="AK142" s="7"/>
      <c r="AL142" s="7">
        <f t="shared" si="349"/>
        <v>1.2855692591244996</v>
      </c>
      <c r="AM142" s="7">
        <v>9.5</v>
      </c>
      <c r="AN142" s="7">
        <v>4</v>
      </c>
      <c r="AO142" s="7">
        <f>K142/3</f>
        <v>190.66666666666666</v>
      </c>
      <c r="AP142" s="7">
        <v>4</v>
      </c>
      <c r="AQ142" s="7">
        <v>4</v>
      </c>
      <c r="AR142" s="7">
        <f t="shared" si="402"/>
        <v>0.51994364697505768</v>
      </c>
      <c r="AS142" s="4">
        <f t="shared" si="292"/>
        <v>572</v>
      </c>
      <c r="AT142" s="46">
        <f t="shared" si="362"/>
        <v>3.1022299378942735E-2</v>
      </c>
      <c r="AU142" s="25">
        <f t="shared" si="333"/>
        <v>685.08154812781754</v>
      </c>
      <c r="AV142" s="4">
        <f t="shared" si="334"/>
        <v>0.71499999999999997</v>
      </c>
      <c r="AW142" s="4">
        <v>1.25</v>
      </c>
      <c r="AX142" s="25">
        <f t="shared" si="325"/>
        <v>5</v>
      </c>
      <c r="AY142" s="38">
        <f t="shared" si="287"/>
        <v>94.973471829891636</v>
      </c>
      <c r="AZ142" s="38">
        <f t="shared" si="288"/>
        <v>94.973471829891636</v>
      </c>
      <c r="BB142" s="38">
        <f t="shared" si="363"/>
        <v>94.973471829891608</v>
      </c>
      <c r="BC142" s="38">
        <f t="shared" si="243"/>
        <v>1.0000000000000002</v>
      </c>
      <c r="BD142" s="38">
        <f t="shared" si="345"/>
        <v>2.092373756283548</v>
      </c>
      <c r="BE142" s="4">
        <f t="shared" si="330"/>
        <v>0</v>
      </c>
      <c r="BF142" s="4">
        <f t="shared" si="244"/>
        <v>677.29296598506994</v>
      </c>
      <c r="BG142" s="4">
        <f t="shared" si="389"/>
        <v>1.2000000000000002</v>
      </c>
      <c r="BH142" s="38">
        <f t="shared" si="245"/>
        <v>198.72000000000003</v>
      </c>
      <c r="BI142" s="4">
        <f t="shared" si="390"/>
        <v>0.44000000000000006</v>
      </c>
      <c r="BJ142" s="4">
        <f t="shared" si="246"/>
        <v>155.70965287996762</v>
      </c>
      <c r="BK142" s="4">
        <f t="shared" si="247"/>
        <v>354.42965287996765</v>
      </c>
      <c r="BM142" s="36">
        <f t="shared" si="397"/>
        <v>1.233974641138776</v>
      </c>
      <c r="BN142" s="36">
        <f t="shared" si="335"/>
        <v>428.74608280403612</v>
      </c>
      <c r="BS142" s="4">
        <f t="shared" si="373"/>
        <v>20.700000000000003</v>
      </c>
      <c r="BT142" s="4">
        <f t="shared" si="374"/>
        <v>20.700000000000003</v>
      </c>
      <c r="BU142" s="4">
        <f t="shared" si="375"/>
        <v>58.2</v>
      </c>
      <c r="BV142" s="4">
        <f t="shared" si="336"/>
        <v>35</v>
      </c>
      <c r="BW142" s="4">
        <f t="shared" si="376"/>
        <v>1.181159420289855</v>
      </c>
      <c r="BX142" s="25">
        <f t="shared" si="337"/>
        <v>1.9864364506664733</v>
      </c>
      <c r="BZ142" s="4">
        <f t="shared" si="347"/>
        <v>14.3</v>
      </c>
      <c r="CD142" s="9"/>
      <c r="CF142" s="9"/>
      <c r="CG142" s="9"/>
      <c r="CH142" s="9">
        <f t="shared" si="393"/>
        <v>14.3</v>
      </c>
      <c r="CI142" s="9">
        <f t="shared" si="394"/>
        <v>28.6</v>
      </c>
      <c r="CJ142" s="9">
        <f t="shared" si="252"/>
        <v>0.78458409789675088</v>
      </c>
      <c r="CK142" s="70">
        <v>20</v>
      </c>
      <c r="CL142" s="9">
        <f t="shared" si="253"/>
        <v>0.05</v>
      </c>
      <c r="CM142" s="9">
        <f t="shared" si="254"/>
        <v>0.8</v>
      </c>
      <c r="CN142" s="9">
        <f t="shared" si="255"/>
        <v>0.96044432035915817</v>
      </c>
      <c r="CO142" s="9">
        <f t="shared" si="256"/>
        <v>0.74299999999999999</v>
      </c>
      <c r="CP142" s="9">
        <f t="shared" si="257"/>
        <v>1.6070493790635749</v>
      </c>
      <c r="CQ142" s="9">
        <f t="shared" si="258"/>
        <v>2.5465048905989884</v>
      </c>
      <c r="CR142" s="9">
        <v>1</v>
      </c>
      <c r="CS142" s="9">
        <f t="shared" si="259"/>
        <v>356.51068468385836</v>
      </c>
      <c r="CU142" s="4">
        <f t="shared" si="370"/>
        <v>0.72199184778006298</v>
      </c>
      <c r="CV142" s="4">
        <f t="shared" si="364"/>
        <v>1.3796814008832563</v>
      </c>
      <c r="CW142" s="4">
        <f t="shared" si="398"/>
        <v>1.1405352016323931</v>
      </c>
      <c r="CX142" s="4">
        <f t="shared" si="351"/>
        <v>1.3716278950619074</v>
      </c>
      <c r="CY142" s="4">
        <f t="shared" si="399"/>
        <v>1.2855692591244996</v>
      </c>
      <c r="CZ142" s="4">
        <f t="shared" si="400"/>
        <v>1.3078849210171859</v>
      </c>
      <c r="DA142" s="4">
        <f t="shared" si="346"/>
        <v>0.86890210970430914</v>
      </c>
      <c r="DI142" s="4">
        <f t="shared" si="403"/>
        <v>0.72199184778006298</v>
      </c>
      <c r="DJ142" s="4">
        <f t="shared" si="403"/>
        <v>1.3796814008832563</v>
      </c>
      <c r="DK142" s="4">
        <f t="shared" si="404"/>
        <v>1.3716278950619074</v>
      </c>
      <c r="DL142" s="4">
        <f t="shared" si="405"/>
        <v>0.86890210970430914</v>
      </c>
      <c r="DM142" s="4">
        <f t="shared" si="406"/>
        <v>1.2855692591244996</v>
      </c>
      <c r="DN142" s="4">
        <f t="shared" si="406"/>
        <v>1.3078849210171859</v>
      </c>
      <c r="DP142" s="4">
        <f t="shared" si="379"/>
        <v>4</v>
      </c>
      <c r="DQ142" s="4">
        <f t="shared" si="338"/>
        <v>572</v>
      </c>
      <c r="DR142" s="4">
        <f t="shared" si="339"/>
        <v>1</v>
      </c>
      <c r="DT142" s="4">
        <f t="shared" si="262"/>
        <v>3.8605280992638792E-5</v>
      </c>
      <c r="DU142" s="4">
        <f t="shared" si="380"/>
        <v>4.6670689243250978</v>
      </c>
      <c r="DV142" s="4">
        <f t="shared" si="353"/>
        <v>0.14271180326286331</v>
      </c>
      <c r="DW142" s="4">
        <f t="shared" si="263"/>
        <v>2.1420429381881072</v>
      </c>
      <c r="DX142" s="4">
        <f t="shared" si="264"/>
        <v>3.6338622602138306</v>
      </c>
      <c r="DY142" s="4">
        <f t="shared" si="354"/>
        <v>4.0357134700457804</v>
      </c>
      <c r="DZ142" s="38">
        <f t="shared" si="266"/>
        <v>380.3762391868483</v>
      </c>
      <c r="EA142" s="4">
        <f t="shared" si="267"/>
        <v>1.0000847999993252</v>
      </c>
      <c r="EB142" s="4">
        <f t="shared" si="355"/>
        <v>2.2360679774997898</v>
      </c>
      <c r="EC142" s="4">
        <f t="shared" si="291"/>
        <v>94.973471829891608</v>
      </c>
      <c r="EG142" s="4">
        <f t="shared" si="268"/>
        <v>1</v>
      </c>
      <c r="EH142" s="4">
        <f t="shared" si="269"/>
        <v>1</v>
      </c>
      <c r="EI142" s="4">
        <f t="shared" si="340"/>
        <v>0.81019487505501497</v>
      </c>
      <c r="EJ142" s="4">
        <f t="shared" si="271"/>
        <v>0.81019487505501497</v>
      </c>
      <c r="EL142" s="4">
        <f t="shared" si="341"/>
        <v>373.88610583543414</v>
      </c>
      <c r="EM142" s="25">
        <f t="shared" si="366"/>
        <v>93.861970375928266</v>
      </c>
      <c r="EP142" s="4">
        <f t="shared" si="322"/>
        <v>4.6670689243250978</v>
      </c>
      <c r="EQ142" s="4">
        <f t="shared" si="342"/>
        <v>4.6670689243250978</v>
      </c>
      <c r="ES142" s="4">
        <f t="shared" si="276"/>
        <v>63.951544156493995</v>
      </c>
      <c r="ET142" s="4">
        <f t="shared" si="381"/>
        <v>2.2360679774997898</v>
      </c>
      <c r="EU142" s="4">
        <f t="shared" si="277"/>
        <v>5.0210590596265252E-2</v>
      </c>
      <c r="EX142" s="4">
        <f t="shared" si="348"/>
        <v>5.0210590596265252E-2</v>
      </c>
      <c r="EY142" s="4">
        <f t="shared" si="278"/>
        <v>0.14247364386108202</v>
      </c>
      <c r="EZ142" s="4">
        <f t="shared" si="382"/>
        <v>2.1406123535187107</v>
      </c>
      <c r="FA142" s="4">
        <f t="shared" si="395"/>
        <v>3.6334477410332875</v>
      </c>
      <c r="FB142" s="4">
        <f t="shared" si="383"/>
        <v>365.04845584350602</v>
      </c>
      <c r="FC142" s="4">
        <f t="shared" si="384"/>
        <v>143</v>
      </c>
      <c r="FD142" s="4">
        <f t="shared" si="279"/>
        <v>3.8605280992638792E-5</v>
      </c>
      <c r="FE142" s="4">
        <f t="shared" si="396"/>
        <v>4.0357987674000588</v>
      </c>
      <c r="FF142" s="4">
        <f t="shared" si="343"/>
        <v>380.34398601709069</v>
      </c>
      <c r="FG142" s="4">
        <f t="shared" si="385"/>
        <v>365.04845584350602</v>
      </c>
      <c r="FH142" s="4">
        <f t="shared" si="386"/>
        <v>143</v>
      </c>
      <c r="FJ142" s="4">
        <f t="shared" si="356"/>
        <v>0</v>
      </c>
      <c r="FO142" s="23">
        <f t="shared" si="357"/>
        <v>0.8</v>
      </c>
      <c r="FP142" s="23">
        <f t="shared" si="357"/>
        <v>1.4</v>
      </c>
      <c r="FQ142" s="23">
        <f t="shared" si="391"/>
        <v>1</v>
      </c>
      <c r="FR142" s="23">
        <f t="shared" si="358"/>
        <v>1.4</v>
      </c>
      <c r="FS142" s="23">
        <f t="shared" si="358"/>
        <v>1.4</v>
      </c>
      <c r="FT142" s="23">
        <f t="shared" si="358"/>
        <v>1.4</v>
      </c>
      <c r="FU142" s="23">
        <f t="shared" si="401"/>
        <v>0</v>
      </c>
      <c r="FV142" s="23"/>
      <c r="GF142" s="4">
        <f t="shared" si="282"/>
        <v>1.25</v>
      </c>
      <c r="GG142" s="4">
        <f t="shared" si="283"/>
        <v>0.67768622629572395</v>
      </c>
      <c r="GH142" s="4">
        <f t="shared" si="284"/>
        <v>0.3</v>
      </c>
      <c r="GI142" s="4">
        <f t="shared" si="285"/>
        <v>562.7791606656458</v>
      </c>
    </row>
    <row r="143" spans="1:191" ht="12" hidden="1" customHeight="1" x14ac:dyDescent="0.3">
      <c r="A143" s="25">
        <v>124</v>
      </c>
      <c r="B143" s="24" t="s">
        <v>128</v>
      </c>
      <c r="C143" s="24">
        <v>2015</v>
      </c>
      <c r="D143" s="24" t="s">
        <v>293</v>
      </c>
      <c r="E143" s="24"/>
      <c r="F143" s="24"/>
      <c r="G143" s="24"/>
      <c r="H143" s="7" t="s">
        <v>148</v>
      </c>
      <c r="I143" s="7"/>
      <c r="J143" s="7">
        <v>710</v>
      </c>
      <c r="K143" s="7">
        <f t="shared" si="323"/>
        <v>715</v>
      </c>
      <c r="L143" s="7">
        <f t="shared" si="367"/>
        <v>715</v>
      </c>
      <c r="M143" s="7">
        <v>40.1</v>
      </c>
      <c r="N143" s="7">
        <v>28.6</v>
      </c>
      <c r="O143" s="7">
        <v>25</v>
      </c>
      <c r="P143" s="7">
        <f t="shared" si="368"/>
        <v>25</v>
      </c>
      <c r="Q143" s="7">
        <v>261</v>
      </c>
      <c r="R143" s="7"/>
      <c r="S143" s="7">
        <f t="shared" si="392"/>
        <v>28.6</v>
      </c>
      <c r="T143" s="7"/>
      <c r="U143" s="7"/>
      <c r="V143" s="7"/>
      <c r="W143" s="7">
        <f t="shared" si="388"/>
        <v>28.6</v>
      </c>
      <c r="X143" s="7">
        <v>2</v>
      </c>
      <c r="Y143" s="7"/>
      <c r="Z143" s="7"/>
      <c r="AA143" s="7">
        <f t="shared" si="359"/>
        <v>58.2</v>
      </c>
      <c r="AB143" s="7">
        <f t="shared" si="371"/>
        <v>1</v>
      </c>
      <c r="AC143" s="7">
        <f t="shared" si="360"/>
        <v>1.5000000000000002</v>
      </c>
      <c r="AD143" s="7">
        <f t="shared" si="369"/>
        <v>4</v>
      </c>
      <c r="AE143" s="7">
        <f t="shared" si="372"/>
        <v>4</v>
      </c>
      <c r="AF143" s="7">
        <v>5</v>
      </c>
      <c r="AG143" s="7">
        <f t="shared" si="240"/>
        <v>63.951544156493995</v>
      </c>
      <c r="AH143" s="7"/>
      <c r="AI143" s="7"/>
      <c r="AJ143" s="7">
        <v>570</v>
      </c>
      <c r="AK143" s="7"/>
      <c r="AL143" s="7">
        <f t="shared" si="349"/>
        <v>1.3945416640120281</v>
      </c>
      <c r="AM143" s="7">
        <v>9.5</v>
      </c>
      <c r="AN143" s="7">
        <v>4</v>
      </c>
      <c r="AO143" s="7">
        <f>K143/3</f>
        <v>238.33333333333334</v>
      </c>
      <c r="AP143" s="7">
        <v>4</v>
      </c>
      <c r="AQ143" s="7">
        <v>4</v>
      </c>
      <c r="AR143" s="7">
        <f t="shared" si="402"/>
        <v>0.41595491758004616</v>
      </c>
      <c r="AS143" s="4">
        <f t="shared" si="292"/>
        <v>715</v>
      </c>
      <c r="AT143" s="46">
        <f t="shared" si="362"/>
        <v>1.985427160252335E-2</v>
      </c>
      <c r="AU143" s="25">
        <f t="shared" si="333"/>
        <v>942.2785516468773</v>
      </c>
      <c r="AV143" s="4">
        <f t="shared" si="334"/>
        <v>0.71199999999999997</v>
      </c>
      <c r="AW143" s="4">
        <v>1.25</v>
      </c>
      <c r="AX143" s="25">
        <f t="shared" si="325"/>
        <v>5</v>
      </c>
      <c r="AY143" s="38">
        <f t="shared" si="287"/>
        <v>83.251731588850959</v>
      </c>
      <c r="AZ143" s="38">
        <f t="shared" si="288"/>
        <v>83.251731588850959</v>
      </c>
      <c r="BB143" s="38">
        <f t="shared" si="363"/>
        <v>83.251731588851015</v>
      </c>
      <c r="BC143" s="38">
        <f t="shared" si="243"/>
        <v>0.99999999999999933</v>
      </c>
      <c r="BD143" s="38">
        <f t="shared" si="345"/>
        <v>2.3120239822828714</v>
      </c>
      <c r="BE143" s="4">
        <f t="shared" si="330"/>
        <v>0</v>
      </c>
      <c r="BF143" s="4">
        <f t="shared" si="244"/>
        <v>833.21790520987179</v>
      </c>
      <c r="BG143" s="4">
        <f t="shared" si="389"/>
        <v>1.2000000000000002</v>
      </c>
      <c r="BH143" s="38">
        <f t="shared" si="245"/>
        <v>192.48000000000005</v>
      </c>
      <c r="BI143" s="4">
        <f t="shared" si="390"/>
        <v>0.44000000000000006</v>
      </c>
      <c r="BJ143" s="4">
        <f t="shared" si="246"/>
        <v>191.55679640774952</v>
      </c>
      <c r="BK143" s="4">
        <f t="shared" si="247"/>
        <v>384.03679640774953</v>
      </c>
      <c r="BM143" s="36">
        <f t="shared" si="397"/>
        <v>1.1871797129110209</v>
      </c>
      <c r="BN143" s="36">
        <f t="shared" si="335"/>
        <v>466.10133021690683</v>
      </c>
      <c r="BS143" s="4">
        <f t="shared" si="373"/>
        <v>20.700000000000003</v>
      </c>
      <c r="BT143" s="4">
        <f t="shared" si="374"/>
        <v>20.700000000000003</v>
      </c>
      <c r="BU143" s="4">
        <f t="shared" si="375"/>
        <v>58.2</v>
      </c>
      <c r="BV143" s="4">
        <f t="shared" si="336"/>
        <v>35</v>
      </c>
      <c r="BW143" s="4">
        <f t="shared" si="376"/>
        <v>1.181159420289855</v>
      </c>
      <c r="BX143" s="25">
        <f t="shared" si="337"/>
        <v>1.8713952421261202</v>
      </c>
      <c r="BZ143" s="4">
        <f t="shared" si="347"/>
        <v>14.3</v>
      </c>
      <c r="CD143" s="9"/>
      <c r="CF143" s="9"/>
      <c r="CG143" s="9"/>
      <c r="CH143" s="9">
        <f t="shared" si="393"/>
        <v>14.3</v>
      </c>
      <c r="CI143" s="9">
        <f t="shared" si="394"/>
        <v>28.6</v>
      </c>
      <c r="CJ143" s="9">
        <f t="shared" si="252"/>
        <v>0.78458409789675088</v>
      </c>
      <c r="CK143" s="70">
        <v>20</v>
      </c>
      <c r="CL143" s="9">
        <f t="shared" si="253"/>
        <v>4.1595491758004616E-2</v>
      </c>
      <c r="CM143" s="9">
        <f t="shared" si="254"/>
        <v>0.63190983516009225</v>
      </c>
      <c r="CN143" s="9">
        <f t="shared" si="255"/>
        <v>0.96044432035915817</v>
      </c>
      <c r="CO143" s="9">
        <f t="shared" si="256"/>
        <v>0.74299999999999999</v>
      </c>
      <c r="CP143" s="9">
        <f t="shared" si="257"/>
        <v>1.5816166822222031</v>
      </c>
      <c r="CQ143" s="9">
        <f t="shared" si="258"/>
        <v>2.2403504347892436</v>
      </c>
      <c r="CR143" s="9">
        <v>1</v>
      </c>
      <c r="CS143" s="9">
        <f t="shared" si="259"/>
        <v>358.45606956627898</v>
      </c>
      <c r="CU143" s="4">
        <f t="shared" si="370"/>
        <v>0.68409475652881924</v>
      </c>
      <c r="CV143" s="4">
        <f t="shared" si="364"/>
        <v>1.4842327749104667</v>
      </c>
      <c r="CW143" s="4">
        <f t="shared" si="398"/>
        <v>1.2229100477673867</v>
      </c>
      <c r="CX143" s="4">
        <f t="shared" si="351"/>
        <v>1.5901530156531671</v>
      </c>
      <c r="CY143" s="4">
        <f t="shared" si="399"/>
        <v>1.3945416640120281</v>
      </c>
      <c r="CZ143" s="4">
        <f t="shared" si="400"/>
        <v>1.4007274122258497</v>
      </c>
      <c r="DA143" s="4">
        <f t="shared" si="346"/>
        <v>0.81675316740153681</v>
      </c>
      <c r="DI143" s="4">
        <f t="shared" si="403"/>
        <v>0.68409475652881924</v>
      </c>
      <c r="DJ143" s="4">
        <f t="shared" si="403"/>
        <v>1.4842327749104667</v>
      </c>
      <c r="DK143" s="4">
        <f t="shared" si="404"/>
        <v>1.5901530156531671</v>
      </c>
      <c r="DL143" s="4">
        <f t="shared" si="405"/>
        <v>0.81675316740153681</v>
      </c>
      <c r="DM143" s="4">
        <f t="shared" si="406"/>
        <v>1.3945416640120281</v>
      </c>
      <c r="DN143" s="4">
        <f t="shared" si="406"/>
        <v>1.4007274122258497</v>
      </c>
      <c r="DP143" s="4">
        <f t="shared" si="379"/>
        <v>4</v>
      </c>
      <c r="DQ143" s="4">
        <f t="shared" si="338"/>
        <v>715</v>
      </c>
      <c r="DR143" s="4">
        <f t="shared" si="339"/>
        <v>1</v>
      </c>
      <c r="DT143" s="4">
        <f t="shared" si="262"/>
        <v>4.7844538760390357E-5</v>
      </c>
      <c r="DU143" s="4">
        <f t="shared" si="380"/>
        <v>4.3272010677467785</v>
      </c>
      <c r="DV143" s="4">
        <f t="shared" si="353"/>
        <v>0.12915369137489427</v>
      </c>
      <c r="DW143" s="4">
        <f t="shared" si="263"/>
        <v>1.9083138616493587</v>
      </c>
      <c r="DX143" s="4">
        <f t="shared" si="264"/>
        <v>3.3471014245372079</v>
      </c>
      <c r="DY143" s="4">
        <f t="shared" si="354"/>
        <v>3.492840488416765</v>
      </c>
      <c r="DZ143" s="38">
        <f t="shared" si="266"/>
        <v>408.73644345636683</v>
      </c>
      <c r="EA143" s="4">
        <f t="shared" si="267"/>
        <v>1.0000793568982886</v>
      </c>
      <c r="EB143" s="4">
        <f t="shared" si="355"/>
        <v>2.2360679774997898</v>
      </c>
      <c r="EC143" s="4">
        <f t="shared" si="291"/>
        <v>83.251731588851015</v>
      </c>
      <c r="EG143" s="4">
        <f t="shared" si="268"/>
        <v>1</v>
      </c>
      <c r="EH143" s="4">
        <f t="shared" si="269"/>
        <v>1</v>
      </c>
      <c r="EI143" s="4">
        <f t="shared" si="340"/>
        <v>0.81019487505501497</v>
      </c>
      <c r="EJ143" s="4">
        <f t="shared" si="271"/>
        <v>0.81019487505501497</v>
      </c>
      <c r="EL143" s="4">
        <f t="shared" si="341"/>
        <v>406.93142364811138</v>
      </c>
      <c r="EM143" s="25">
        <f t="shared" si="366"/>
        <v>82.39134356710295</v>
      </c>
      <c r="EP143" s="4">
        <f t="shared" si="322"/>
        <v>4.3272010677467785</v>
      </c>
      <c r="EQ143" s="4">
        <f t="shared" si="342"/>
        <v>4.3272010677467785</v>
      </c>
      <c r="ES143" s="4">
        <f t="shared" si="276"/>
        <v>63.951544156493995</v>
      </c>
      <c r="ET143" s="4">
        <f t="shared" si="381"/>
        <v>2.2360679774997898</v>
      </c>
      <c r="EU143" s="4">
        <f t="shared" si="277"/>
        <v>4.4721285124322517E-2</v>
      </c>
      <c r="EX143" s="4">
        <f t="shared" si="348"/>
        <v>4.4721285124322517E-2</v>
      </c>
      <c r="EY143" s="4">
        <f t="shared" si="278"/>
        <v>0.12893815793496546</v>
      </c>
      <c r="EZ143" s="4">
        <f t="shared" si="382"/>
        <v>1.9070393752671284</v>
      </c>
      <c r="FA143" s="4">
        <f t="shared" si="395"/>
        <v>3.3467452567635192</v>
      </c>
      <c r="FB143" s="4">
        <f t="shared" si="383"/>
        <v>472.29845584350602</v>
      </c>
      <c r="FC143" s="4">
        <f t="shared" si="384"/>
        <v>178.74999999999994</v>
      </c>
      <c r="FD143" s="4">
        <f t="shared" si="279"/>
        <v>4.784453876039033E-5</v>
      </c>
      <c r="FE143" s="4">
        <f t="shared" si="396"/>
        <v>3.4929402000892389</v>
      </c>
      <c r="FF143" s="4">
        <f t="shared" si="343"/>
        <v>408.70400997381716</v>
      </c>
      <c r="FG143" s="4">
        <f t="shared" si="385"/>
        <v>472.29845584350602</v>
      </c>
      <c r="FH143" s="4">
        <f t="shared" si="386"/>
        <v>178.75</v>
      </c>
      <c r="FJ143" s="4">
        <f t="shared" si="356"/>
        <v>0</v>
      </c>
      <c r="FO143" s="23">
        <f t="shared" si="357"/>
        <v>0.8</v>
      </c>
      <c r="FP143" s="23">
        <f t="shared" si="357"/>
        <v>1.6</v>
      </c>
      <c r="FQ143" s="23">
        <f t="shared" si="391"/>
        <v>1</v>
      </c>
      <c r="FR143" s="23">
        <f t="shared" si="358"/>
        <v>1.6</v>
      </c>
      <c r="FS143" s="23">
        <f t="shared" si="358"/>
        <v>1.4</v>
      </c>
      <c r="FT143" s="23">
        <f t="shared" si="358"/>
        <v>1.6</v>
      </c>
      <c r="FU143" s="23">
        <f t="shared" si="401"/>
        <v>0</v>
      </c>
      <c r="FV143" s="23"/>
      <c r="GF143" s="4">
        <f t="shared" si="282"/>
        <v>1.25</v>
      </c>
      <c r="GG143" s="4">
        <f t="shared" si="283"/>
        <v>0.67768622629572395</v>
      </c>
      <c r="GH143" s="4">
        <f t="shared" si="284"/>
        <v>0.3</v>
      </c>
      <c r="GI143" s="4">
        <f t="shared" si="285"/>
        <v>697.8852641777064</v>
      </c>
    </row>
    <row r="144" spans="1:191" ht="12" hidden="1" customHeight="1" x14ac:dyDescent="0.3">
      <c r="A144" s="25">
        <v>125</v>
      </c>
      <c r="B144" s="24" t="s">
        <v>128</v>
      </c>
      <c r="C144" s="24">
        <v>2015</v>
      </c>
      <c r="D144" s="24" t="s">
        <v>293</v>
      </c>
      <c r="E144" s="24"/>
      <c r="F144" s="24"/>
      <c r="G144" s="24"/>
      <c r="H144" s="7" t="s">
        <v>149</v>
      </c>
      <c r="I144" s="7"/>
      <c r="J144" s="7">
        <v>710</v>
      </c>
      <c r="K144" s="7">
        <f t="shared" si="323"/>
        <v>429</v>
      </c>
      <c r="L144" s="7">
        <f t="shared" si="367"/>
        <v>429</v>
      </c>
      <c r="M144" s="7">
        <v>40.1</v>
      </c>
      <c r="N144" s="7">
        <v>28.6</v>
      </c>
      <c r="O144" s="7">
        <v>15</v>
      </c>
      <c r="P144" s="7">
        <f t="shared" si="368"/>
        <v>15</v>
      </c>
      <c r="Q144" s="7">
        <v>261</v>
      </c>
      <c r="R144" s="7"/>
      <c r="S144" s="7">
        <f t="shared" si="392"/>
        <v>28.6</v>
      </c>
      <c r="T144" s="7"/>
      <c r="U144" s="7"/>
      <c r="V144" s="7"/>
      <c r="W144" s="7">
        <f t="shared" si="388"/>
        <v>28.6</v>
      </c>
      <c r="X144" s="7">
        <v>2</v>
      </c>
      <c r="Y144" s="7"/>
      <c r="Z144" s="7"/>
      <c r="AA144" s="7">
        <f t="shared" si="359"/>
        <v>58.2</v>
      </c>
      <c r="AB144" s="7">
        <f t="shared" si="371"/>
        <v>1</v>
      </c>
      <c r="AC144" s="7">
        <f t="shared" si="360"/>
        <v>1.5000000000000002</v>
      </c>
      <c r="AD144" s="7">
        <f t="shared" si="369"/>
        <v>4</v>
      </c>
      <c r="AE144" s="7">
        <f t="shared" si="372"/>
        <v>4</v>
      </c>
      <c r="AF144" s="7">
        <v>5</v>
      </c>
      <c r="AG144" s="7">
        <f t="shared" si="240"/>
        <v>63.951544156493995</v>
      </c>
      <c r="AH144" s="7"/>
      <c r="AI144" s="7"/>
      <c r="AJ144" s="7">
        <v>522</v>
      </c>
      <c r="AK144" s="7"/>
      <c r="AL144" s="7">
        <f t="shared" si="349"/>
        <v>0.98457361518909292</v>
      </c>
      <c r="AM144" s="7">
        <v>9.5</v>
      </c>
      <c r="AN144" s="7">
        <v>12</v>
      </c>
      <c r="AO144" s="7">
        <v>39</v>
      </c>
      <c r="AP144" s="7">
        <v>12</v>
      </c>
      <c r="AQ144" s="7">
        <v>12</v>
      </c>
      <c r="AR144" s="7">
        <f t="shared" si="402"/>
        <v>2.5</v>
      </c>
      <c r="AS144" s="4">
        <f t="shared" si="292"/>
        <v>429</v>
      </c>
      <c r="AT144" s="46">
        <f t="shared" si="362"/>
        <v>5.5150754451453753E-2</v>
      </c>
      <c r="AU144" s="25">
        <f t="shared" si="333"/>
        <v>437.93149656201666</v>
      </c>
      <c r="AV144" s="4">
        <f t="shared" si="334"/>
        <v>0.72</v>
      </c>
      <c r="AW144" s="4">
        <v>1.25</v>
      </c>
      <c r="AX144" s="25">
        <f t="shared" si="325"/>
        <v>5</v>
      </c>
      <c r="AY144" s="38">
        <f t="shared" si="287"/>
        <v>108.68513595052249</v>
      </c>
      <c r="AZ144" s="38">
        <f t="shared" si="288"/>
        <v>108.68513595052249</v>
      </c>
      <c r="BB144" s="38">
        <f t="shared" si="363"/>
        <v>108.68513595052244</v>
      </c>
      <c r="BC144" s="38">
        <f t="shared" si="243"/>
        <v>1.0000000000000004</v>
      </c>
      <c r="BD144" s="38">
        <f t="shared" si="345"/>
        <v>1.7709873417062678</v>
      </c>
      <c r="BE144" s="4">
        <f t="shared" si="330"/>
        <v>0</v>
      </c>
      <c r="BF144" s="4">
        <f t="shared" si="244"/>
        <v>499.93074312592307</v>
      </c>
      <c r="BG144" s="4">
        <f t="shared" si="389"/>
        <v>1.2000000000000002</v>
      </c>
      <c r="BH144" s="38">
        <f t="shared" si="245"/>
        <v>192.48000000000005</v>
      </c>
      <c r="BI144" s="4">
        <f t="shared" si="390"/>
        <v>0.44000000000000006</v>
      </c>
      <c r="BJ144" s="4">
        <f t="shared" si="246"/>
        <v>114.93407784464971</v>
      </c>
      <c r="BK144" s="4">
        <f t="shared" si="247"/>
        <v>307.41407784464974</v>
      </c>
      <c r="BM144" s="36">
        <f t="shared" si="397"/>
        <v>2.125</v>
      </c>
      <c r="BN144" s="36">
        <f t="shared" si="335"/>
        <v>618.99758178041373</v>
      </c>
      <c r="BS144" s="4">
        <f t="shared" si="373"/>
        <v>20.700000000000003</v>
      </c>
      <c r="BT144" s="4">
        <f t="shared" si="374"/>
        <v>20.700000000000003</v>
      </c>
      <c r="BU144" s="4">
        <f t="shared" si="375"/>
        <v>58.2</v>
      </c>
      <c r="BV144" s="4">
        <f t="shared" si="336"/>
        <v>35</v>
      </c>
      <c r="BW144" s="4">
        <f t="shared" si="376"/>
        <v>1.181159420289855</v>
      </c>
      <c r="BX144" s="25">
        <f t="shared" si="337"/>
        <v>4</v>
      </c>
      <c r="BZ144" s="4">
        <f t="shared" si="347"/>
        <v>14.3</v>
      </c>
      <c r="CD144" s="9"/>
      <c r="CF144" s="9"/>
      <c r="CG144" s="9"/>
      <c r="CH144" s="9">
        <f t="shared" si="393"/>
        <v>14.3</v>
      </c>
      <c r="CI144" s="9">
        <f t="shared" si="394"/>
        <v>28.6</v>
      </c>
      <c r="CJ144" s="9">
        <f t="shared" si="252"/>
        <v>0.78458409789675088</v>
      </c>
      <c r="CK144" s="70">
        <v>20</v>
      </c>
      <c r="CL144" s="9">
        <f t="shared" si="253"/>
        <v>0.05</v>
      </c>
      <c r="CM144" s="9">
        <f t="shared" si="254"/>
        <v>0.8</v>
      </c>
      <c r="CN144" s="9">
        <f t="shared" si="255"/>
        <v>0.96044432035915817</v>
      </c>
      <c r="CO144" s="9">
        <f t="shared" si="256"/>
        <v>0.74299999999999999</v>
      </c>
      <c r="CP144" s="9">
        <f t="shared" si="257"/>
        <v>1.5816166822222031</v>
      </c>
      <c r="CQ144" s="9">
        <f t="shared" si="258"/>
        <v>2.5062046436175218</v>
      </c>
      <c r="CR144" s="9">
        <v>1</v>
      </c>
      <c r="CS144" s="9">
        <f t="shared" si="259"/>
        <v>300.74455723410261</v>
      </c>
      <c r="CU144" s="4">
        <f t="shared" si="370"/>
        <v>1.0441446283860925</v>
      </c>
      <c r="CV144" s="4">
        <f t="shared" si="364"/>
        <v>1.6980354434639466</v>
      </c>
      <c r="CW144" s="4">
        <f t="shared" si="398"/>
        <v>0.84329893260419375</v>
      </c>
      <c r="CX144" s="4">
        <f t="shared" si="351"/>
        <v>1.735692259240688</v>
      </c>
      <c r="CY144" s="4">
        <f t="shared" si="399"/>
        <v>0.98457361518909292</v>
      </c>
      <c r="CZ144" s="4">
        <f t="shared" si="400"/>
        <v>0.99736422977580386</v>
      </c>
      <c r="DA144" s="4">
        <f t="shared" si="346"/>
        <v>1.2466232555076091</v>
      </c>
      <c r="DI144" s="4">
        <f t="shared" si="403"/>
        <v>1.0441446283860925</v>
      </c>
      <c r="DJ144" s="4">
        <f t="shared" si="403"/>
        <v>1.6980354434639466</v>
      </c>
      <c r="DK144" s="4">
        <f t="shared" si="404"/>
        <v>1.735692259240688</v>
      </c>
      <c r="DL144" s="4">
        <f t="shared" si="405"/>
        <v>1.2466232555076091</v>
      </c>
      <c r="DM144" s="4">
        <f t="shared" si="406"/>
        <v>0.98457361518909292</v>
      </c>
      <c r="DN144" s="4">
        <f t="shared" si="406"/>
        <v>0.99736422977580386</v>
      </c>
      <c r="DP144" s="4">
        <f t="shared" si="379"/>
        <v>12</v>
      </c>
      <c r="DQ144" s="4">
        <f t="shared" si="338"/>
        <v>429</v>
      </c>
      <c r="DR144" s="4">
        <f t="shared" si="339"/>
        <v>1</v>
      </c>
      <c r="DT144" s="4">
        <f t="shared" si="262"/>
        <v>2.8706723256234209E-5</v>
      </c>
      <c r="DU144" s="4">
        <f t="shared" si="380"/>
        <v>9.2491441045464668</v>
      </c>
      <c r="DV144" s="4">
        <f t="shared" si="353"/>
        <v>0.16861014465039709</v>
      </c>
      <c r="DW144" s="4">
        <f t="shared" si="263"/>
        <v>4.5379010977730605</v>
      </c>
      <c r="DX144" s="4">
        <f t="shared" si="264"/>
        <v>7.2890060364848717</v>
      </c>
      <c r="DY144" s="4">
        <f t="shared" si="354"/>
        <v>7.8729976209340178</v>
      </c>
      <c r="DZ144" s="38">
        <f t="shared" si="266"/>
        <v>530.17874128157189</v>
      </c>
      <c r="EA144" s="4">
        <f t="shared" si="267"/>
        <v>1.0001081359323825</v>
      </c>
      <c r="EB144" s="4">
        <f t="shared" si="355"/>
        <v>2.2360679774997898</v>
      </c>
      <c r="EC144" s="4">
        <f t="shared" si="291"/>
        <v>108.68513595052244</v>
      </c>
      <c r="EG144" s="4">
        <f t="shared" si="268"/>
        <v>1</v>
      </c>
      <c r="EH144" s="4">
        <f t="shared" si="269"/>
        <v>1</v>
      </c>
      <c r="EI144" s="4">
        <f t="shared" si="340"/>
        <v>0.7</v>
      </c>
      <c r="EJ144" s="4">
        <f t="shared" si="271"/>
        <v>0.7</v>
      </c>
      <c r="EL144" s="4">
        <f t="shared" si="341"/>
        <v>523.37950812346628</v>
      </c>
      <c r="EM144" s="25">
        <f t="shared" si="366"/>
        <v>107.16802341887519</v>
      </c>
      <c r="EP144" s="4">
        <f t="shared" si="322"/>
        <v>9.2491441045464668</v>
      </c>
      <c r="EQ144" s="4">
        <f t="shared" si="342"/>
        <v>9.2491441045464668</v>
      </c>
      <c r="ES144" s="4">
        <f t="shared" si="276"/>
        <v>63.951544156493995</v>
      </c>
      <c r="ET144" s="4">
        <f t="shared" si="381"/>
        <v>2.2360679774997898</v>
      </c>
      <c r="EU144" s="4">
        <f t="shared" si="277"/>
        <v>5.8383637923874576E-2</v>
      </c>
      <c r="EX144" s="4">
        <f t="shared" si="348"/>
        <v>5.8383637923874576E-2</v>
      </c>
      <c r="EY144" s="4">
        <f t="shared" si="278"/>
        <v>0.1683287657436347</v>
      </c>
      <c r="EZ144" s="4">
        <f t="shared" si="382"/>
        <v>4.5348704154155897</v>
      </c>
      <c r="FA144" s="4">
        <f t="shared" si="395"/>
        <v>7.2880747439476643</v>
      </c>
      <c r="FB144" s="4">
        <f t="shared" si="383"/>
        <v>257.79845584350602</v>
      </c>
      <c r="FC144" s="4">
        <f t="shared" si="384"/>
        <v>107.25</v>
      </c>
      <c r="FD144" s="4">
        <f t="shared" si="279"/>
        <v>2.8706723256234209E-5</v>
      </c>
      <c r="FE144" s="4">
        <f t="shared" si="396"/>
        <v>7.8732216545316964</v>
      </c>
      <c r="FF144" s="4">
        <f t="shared" si="343"/>
        <v>530.12141610796516</v>
      </c>
      <c r="FG144" s="4">
        <f t="shared" si="385"/>
        <v>257.79845584350602</v>
      </c>
      <c r="FH144" s="4">
        <f t="shared" si="386"/>
        <v>107.24999999999999</v>
      </c>
      <c r="FJ144" s="4">
        <f t="shared" si="356"/>
        <v>0</v>
      </c>
      <c r="FO144" s="23">
        <f t="shared" si="357"/>
        <v>1.2</v>
      </c>
      <c r="FP144" s="23">
        <f t="shared" si="357"/>
        <v>1.8</v>
      </c>
      <c r="FQ144" s="23">
        <f t="shared" si="391"/>
        <v>1.4</v>
      </c>
      <c r="FR144" s="23">
        <f t="shared" si="358"/>
        <v>1.8</v>
      </c>
      <c r="FS144" s="23">
        <f t="shared" si="358"/>
        <v>1</v>
      </c>
      <c r="FT144" s="23">
        <f t="shared" si="358"/>
        <v>1</v>
      </c>
      <c r="FU144" s="23">
        <f t="shared" si="401"/>
        <v>0</v>
      </c>
      <c r="FV144" s="23"/>
      <c r="GF144" s="4">
        <f t="shared" si="282"/>
        <v>1.25</v>
      </c>
      <c r="GG144" s="4">
        <f t="shared" si="283"/>
        <v>0.67768622629572395</v>
      </c>
      <c r="GH144" s="4">
        <f t="shared" si="284"/>
        <v>0.3</v>
      </c>
      <c r="GI144" s="4">
        <f t="shared" si="285"/>
        <v>418.73115850662379</v>
      </c>
    </row>
    <row r="145" spans="1:196" ht="12" hidden="1" customHeight="1" x14ac:dyDescent="0.3">
      <c r="A145" s="25">
        <v>126</v>
      </c>
      <c r="B145" s="24" t="s">
        <v>128</v>
      </c>
      <c r="C145" s="24">
        <v>2015</v>
      </c>
      <c r="D145" s="24" t="s">
        <v>293</v>
      </c>
      <c r="E145" s="24"/>
      <c r="F145" s="24"/>
      <c r="G145" s="24"/>
      <c r="H145" s="7" t="s">
        <v>150</v>
      </c>
      <c r="I145" s="7"/>
      <c r="J145" s="7">
        <v>710</v>
      </c>
      <c r="K145" s="7">
        <f t="shared" si="323"/>
        <v>572</v>
      </c>
      <c r="L145" s="7">
        <f t="shared" si="367"/>
        <v>572</v>
      </c>
      <c r="M145" s="7">
        <v>40.1</v>
      </c>
      <c r="N145" s="7">
        <v>28.6</v>
      </c>
      <c r="O145" s="7">
        <v>20</v>
      </c>
      <c r="P145" s="7">
        <f t="shared" si="368"/>
        <v>20</v>
      </c>
      <c r="Q145" s="7">
        <v>261</v>
      </c>
      <c r="R145" s="7"/>
      <c r="S145" s="7">
        <f t="shared" si="392"/>
        <v>28.6</v>
      </c>
      <c r="T145" s="7"/>
      <c r="U145" s="7"/>
      <c r="V145" s="7"/>
      <c r="W145" s="7">
        <f t="shared" si="388"/>
        <v>28.6</v>
      </c>
      <c r="X145" s="7">
        <v>2</v>
      </c>
      <c r="Y145" s="7"/>
      <c r="Z145" s="7"/>
      <c r="AA145" s="7">
        <f t="shared" si="359"/>
        <v>58.2</v>
      </c>
      <c r="AB145" s="7">
        <f t="shared" si="371"/>
        <v>1</v>
      </c>
      <c r="AC145" s="7">
        <f t="shared" si="360"/>
        <v>1.5000000000000002</v>
      </c>
      <c r="AD145" s="7">
        <f t="shared" si="369"/>
        <v>4</v>
      </c>
      <c r="AE145" s="7">
        <f t="shared" si="372"/>
        <v>4</v>
      </c>
      <c r="AF145" s="7">
        <v>5</v>
      </c>
      <c r="AG145" s="7">
        <f t="shared" si="240"/>
        <v>63.951544156493995</v>
      </c>
      <c r="AH145" s="7"/>
      <c r="AI145" s="7"/>
      <c r="AJ145" s="7">
        <v>681</v>
      </c>
      <c r="AK145" s="7"/>
      <c r="AL145" s="7">
        <f t="shared" si="349"/>
        <v>1.0696097344059088</v>
      </c>
      <c r="AM145" s="7">
        <v>9.5</v>
      </c>
      <c r="AN145" s="7">
        <v>15</v>
      </c>
      <c r="AO145" s="7">
        <v>39</v>
      </c>
      <c r="AP145" s="7">
        <v>15</v>
      </c>
      <c r="AQ145" s="7">
        <v>15</v>
      </c>
      <c r="AR145" s="7">
        <f t="shared" si="402"/>
        <v>2.5</v>
      </c>
      <c r="AS145" s="4">
        <f t="shared" si="292"/>
        <v>572</v>
      </c>
      <c r="AT145" s="46">
        <f t="shared" si="362"/>
        <v>3.1022299378942735E-2</v>
      </c>
      <c r="AU145" s="25">
        <f t="shared" si="333"/>
        <v>674.23964647118942</v>
      </c>
      <c r="AV145" s="4">
        <f t="shared" si="334"/>
        <v>0.71499999999999997</v>
      </c>
      <c r="AW145" s="4">
        <v>1.25</v>
      </c>
      <c r="AX145" s="25">
        <f t="shared" si="325"/>
        <v>5</v>
      </c>
      <c r="AY145" s="38">
        <f t="shared" si="287"/>
        <v>93.470449241730918</v>
      </c>
      <c r="AZ145" s="38">
        <f t="shared" si="288"/>
        <v>93.470449241730918</v>
      </c>
      <c r="BB145" s="38">
        <f t="shared" si="363"/>
        <v>93.470449241730861</v>
      </c>
      <c r="BC145" s="38">
        <f t="shared" si="243"/>
        <v>1.0000000000000007</v>
      </c>
      <c r="BD145" s="38">
        <f t="shared" si="345"/>
        <v>2.0592604567697461</v>
      </c>
      <c r="BE145" s="4">
        <f t="shared" si="330"/>
        <v>0</v>
      </c>
      <c r="BF145" s="4">
        <f t="shared" si="244"/>
        <v>666.57432416789743</v>
      </c>
      <c r="BG145" s="4">
        <f t="shared" si="389"/>
        <v>1.2000000000000002</v>
      </c>
      <c r="BH145" s="38">
        <f t="shared" si="245"/>
        <v>192.48000000000005</v>
      </c>
      <c r="BI145" s="4">
        <f t="shared" si="390"/>
        <v>0.44000000000000006</v>
      </c>
      <c r="BJ145" s="4">
        <f t="shared" si="246"/>
        <v>153.24543712619962</v>
      </c>
      <c r="BK145" s="4">
        <f t="shared" si="247"/>
        <v>345.72543712619967</v>
      </c>
      <c r="BM145" s="36">
        <f t="shared" si="397"/>
        <v>2.125</v>
      </c>
      <c r="BN145" s="36">
        <f t="shared" si="335"/>
        <v>726.64933513352912</v>
      </c>
      <c r="BS145" s="4">
        <f t="shared" si="373"/>
        <v>20.700000000000003</v>
      </c>
      <c r="BT145" s="4">
        <f t="shared" si="374"/>
        <v>20.700000000000003</v>
      </c>
      <c r="BU145" s="4">
        <f t="shared" si="375"/>
        <v>58.2</v>
      </c>
      <c r="BV145" s="4">
        <f t="shared" si="336"/>
        <v>35</v>
      </c>
      <c r="BW145" s="4">
        <f t="shared" si="376"/>
        <v>1.181159420289855</v>
      </c>
      <c r="BX145" s="25">
        <f t="shared" si="337"/>
        <v>4</v>
      </c>
      <c r="BZ145" s="4">
        <f t="shared" si="347"/>
        <v>14.3</v>
      </c>
      <c r="CD145" s="9"/>
      <c r="CF145" s="9"/>
      <c r="CG145" s="9"/>
      <c r="CH145" s="9">
        <f t="shared" si="393"/>
        <v>14.3</v>
      </c>
      <c r="CI145" s="9">
        <f t="shared" si="394"/>
        <v>28.6</v>
      </c>
      <c r="CJ145" s="9">
        <f t="shared" si="252"/>
        <v>0.78458409789675088</v>
      </c>
      <c r="CK145" s="70">
        <v>20</v>
      </c>
      <c r="CL145" s="9">
        <f t="shared" si="253"/>
        <v>0.05</v>
      </c>
      <c r="CM145" s="9">
        <f t="shared" si="254"/>
        <v>0.8</v>
      </c>
      <c r="CN145" s="9">
        <f t="shared" si="255"/>
        <v>0.96044432035915817</v>
      </c>
      <c r="CO145" s="9">
        <f t="shared" si="256"/>
        <v>0.74299999999999999</v>
      </c>
      <c r="CP145" s="9">
        <f t="shared" si="257"/>
        <v>1.5816166822222031</v>
      </c>
      <c r="CQ145" s="9">
        <f t="shared" si="258"/>
        <v>2.5062046436175218</v>
      </c>
      <c r="CR145" s="9">
        <v>1</v>
      </c>
      <c r="CS145" s="9">
        <f t="shared" si="259"/>
        <v>350.86865010645306</v>
      </c>
      <c r="CU145" s="4">
        <f t="shared" si="370"/>
        <v>1.0216415113950128</v>
      </c>
      <c r="CV145" s="4">
        <f t="shared" si="364"/>
        <v>1.9697711735090395</v>
      </c>
      <c r="CW145" s="4">
        <f t="shared" si="398"/>
        <v>0.93717831569316634</v>
      </c>
      <c r="CX145" s="4">
        <f t="shared" si="351"/>
        <v>1.9408972554070749</v>
      </c>
      <c r="CY145" s="4">
        <f t="shared" si="399"/>
        <v>1.0696097344059088</v>
      </c>
      <c r="CZ145" s="4">
        <f t="shared" si="400"/>
        <v>1.0520214823303664</v>
      </c>
      <c r="DA145" s="4">
        <f t="shared" si="346"/>
        <v>1.2197563750009797</v>
      </c>
      <c r="DI145" s="4">
        <f t="shared" si="403"/>
        <v>1.0216415113950128</v>
      </c>
      <c r="DJ145" s="4">
        <f t="shared" si="403"/>
        <v>1.9697711735090395</v>
      </c>
      <c r="DK145" s="4">
        <f t="shared" si="404"/>
        <v>1.9408972554070749</v>
      </c>
      <c r="DL145" s="4">
        <f t="shared" si="405"/>
        <v>1.2197563750009797</v>
      </c>
      <c r="DM145" s="4">
        <f t="shared" si="406"/>
        <v>1.0696097344059088</v>
      </c>
      <c r="DN145" s="4">
        <f t="shared" si="406"/>
        <v>1.0520214823303664</v>
      </c>
      <c r="DP145" s="4">
        <f t="shared" si="379"/>
        <v>15</v>
      </c>
      <c r="DQ145" s="4">
        <f t="shared" si="338"/>
        <v>572</v>
      </c>
      <c r="DR145" s="4">
        <f t="shared" si="339"/>
        <v>1</v>
      </c>
      <c r="DT145" s="4">
        <f t="shared" si="262"/>
        <v>3.8275631008312281E-5</v>
      </c>
      <c r="DU145" s="4">
        <f t="shared" si="380"/>
        <v>9.2491441045464668</v>
      </c>
      <c r="DV145" s="4">
        <f t="shared" si="353"/>
        <v>0.14500663618215845</v>
      </c>
      <c r="DW145" s="4">
        <f t="shared" si="263"/>
        <v>4.272250380768611</v>
      </c>
      <c r="DX145" s="4">
        <f t="shared" si="264"/>
        <v>7.2094456377406724</v>
      </c>
      <c r="DY145" s="4">
        <f t="shared" si="354"/>
        <v>6.8457351462215854</v>
      </c>
      <c r="DZ145" s="38">
        <f t="shared" si="266"/>
        <v>636.68081739948491</v>
      </c>
      <c r="EA145" s="4">
        <f t="shared" si="267"/>
        <v>1.0000964813136164</v>
      </c>
      <c r="EB145" s="4">
        <f t="shared" si="355"/>
        <v>2.2360679774997898</v>
      </c>
      <c r="EC145" s="4">
        <f t="shared" si="291"/>
        <v>93.470449241730861</v>
      </c>
      <c r="EG145" s="4">
        <f t="shared" si="268"/>
        <v>1</v>
      </c>
      <c r="EH145" s="4">
        <f t="shared" si="269"/>
        <v>1</v>
      </c>
      <c r="EI145" s="4">
        <f t="shared" si="340"/>
        <v>0.7</v>
      </c>
      <c r="EJ145" s="4">
        <f t="shared" si="271"/>
        <v>0.7</v>
      </c>
      <c r="EL145" s="4">
        <f t="shared" si="341"/>
        <v>647.32518435982422</v>
      </c>
      <c r="EM145" s="25">
        <f t="shared" si="366"/>
        <v>92.37653808703628</v>
      </c>
      <c r="EP145" s="4">
        <f t="shared" si="322"/>
        <v>9.2491441045464668</v>
      </c>
      <c r="EQ145" s="4">
        <f t="shared" si="342"/>
        <v>9.2491441045464668</v>
      </c>
      <c r="ES145" s="4">
        <f t="shared" si="276"/>
        <v>63.951544156493995</v>
      </c>
      <c r="ET145" s="4">
        <f t="shared" si="381"/>
        <v>2.2360679774997898</v>
      </c>
      <c r="EU145" s="4">
        <f t="shared" si="277"/>
        <v>5.0210590596265245E-2</v>
      </c>
      <c r="EX145" s="4">
        <f t="shared" si="348"/>
        <v>5.0210590596265245E-2</v>
      </c>
      <c r="EY145" s="4">
        <f t="shared" si="278"/>
        <v>0.1447646471319336</v>
      </c>
      <c r="EZ145" s="4">
        <f t="shared" si="382"/>
        <v>4.2693971158832111</v>
      </c>
      <c r="FA145" s="4">
        <f t="shared" si="395"/>
        <v>7.2086141540327731</v>
      </c>
      <c r="FB145" s="4">
        <f t="shared" si="383"/>
        <v>365.04845584350602</v>
      </c>
      <c r="FC145" s="4">
        <f t="shared" si="384"/>
        <v>143</v>
      </c>
      <c r="FD145" s="4">
        <f t="shared" si="279"/>
        <v>3.8275631008312281E-5</v>
      </c>
      <c r="FE145" s="4">
        <f t="shared" si="396"/>
        <v>6.8460626715972968</v>
      </c>
      <c r="FF145" s="4">
        <f t="shared" si="343"/>
        <v>636.61939552393108</v>
      </c>
      <c r="FG145" s="4">
        <f t="shared" si="385"/>
        <v>365.04845584350602</v>
      </c>
      <c r="FH145" s="4">
        <f t="shared" si="386"/>
        <v>143</v>
      </c>
      <c r="FJ145" s="4">
        <f t="shared" si="356"/>
        <v>0</v>
      </c>
      <c r="FO145" s="23">
        <f t="shared" si="357"/>
        <v>1.2</v>
      </c>
      <c r="FP145" s="23">
        <f t="shared" si="357"/>
        <v>2</v>
      </c>
      <c r="FQ145" s="23">
        <f t="shared" si="391"/>
        <v>1.4</v>
      </c>
      <c r="FR145" s="23">
        <f t="shared" si="358"/>
        <v>2</v>
      </c>
      <c r="FS145" s="23">
        <f t="shared" si="358"/>
        <v>1.2</v>
      </c>
      <c r="FT145" s="23">
        <f t="shared" si="358"/>
        <v>1.2</v>
      </c>
      <c r="FU145" s="23">
        <f t="shared" si="401"/>
        <v>0</v>
      </c>
      <c r="FV145" s="23"/>
      <c r="GF145" s="4">
        <f t="shared" si="282"/>
        <v>1.25</v>
      </c>
      <c r="GG145" s="4">
        <f t="shared" si="283"/>
        <v>0.67768622629572395</v>
      </c>
      <c r="GH145" s="4">
        <f t="shared" si="284"/>
        <v>0.3</v>
      </c>
      <c r="GI145" s="4">
        <f t="shared" si="285"/>
        <v>558.30821134216501</v>
      </c>
    </row>
    <row r="146" spans="1:196" ht="12" hidden="1" customHeight="1" x14ac:dyDescent="0.3">
      <c r="A146" s="25">
        <v>127</v>
      </c>
      <c r="B146" s="24" t="s">
        <v>128</v>
      </c>
      <c r="C146" s="24">
        <v>2015</v>
      </c>
      <c r="D146" s="24" t="s">
        <v>293</v>
      </c>
      <c r="E146" s="24"/>
      <c r="F146" s="24"/>
      <c r="G146" s="24"/>
      <c r="H146" s="7" t="s">
        <v>151</v>
      </c>
      <c r="I146" s="7"/>
      <c r="J146" s="7">
        <v>710</v>
      </c>
      <c r="K146" s="7">
        <f t="shared" si="323"/>
        <v>429</v>
      </c>
      <c r="L146" s="7">
        <f t="shared" si="367"/>
        <v>429</v>
      </c>
      <c r="M146" s="7">
        <v>62.9</v>
      </c>
      <c r="N146" s="7">
        <v>28.6</v>
      </c>
      <c r="O146" s="7">
        <v>15</v>
      </c>
      <c r="P146" s="7">
        <f t="shared" si="368"/>
        <v>15</v>
      </c>
      <c r="Q146" s="7">
        <v>261</v>
      </c>
      <c r="R146" s="7"/>
      <c r="S146" s="7">
        <f t="shared" si="392"/>
        <v>28.6</v>
      </c>
      <c r="T146" s="7"/>
      <c r="U146" s="7"/>
      <c r="V146" s="7"/>
      <c r="W146" s="7">
        <f t="shared" si="388"/>
        <v>28.6</v>
      </c>
      <c r="X146" s="7">
        <v>2</v>
      </c>
      <c r="Y146" s="7"/>
      <c r="Z146" s="7"/>
      <c r="AA146" s="7">
        <f t="shared" si="359"/>
        <v>58.2</v>
      </c>
      <c r="AB146" s="7">
        <f t="shared" si="371"/>
        <v>1</v>
      </c>
      <c r="AC146" s="7">
        <f t="shared" si="360"/>
        <v>1.5000000000000002</v>
      </c>
      <c r="AD146" s="7">
        <f t="shared" si="369"/>
        <v>4</v>
      </c>
      <c r="AE146" s="7">
        <f t="shared" si="372"/>
        <v>4</v>
      </c>
      <c r="AF146" s="7">
        <v>5</v>
      </c>
      <c r="AG146" s="7">
        <f t="shared" si="240"/>
        <v>63.951544156493995</v>
      </c>
      <c r="AH146" s="7"/>
      <c r="AI146" s="7"/>
      <c r="AJ146" s="7">
        <v>562</v>
      </c>
      <c r="AK146" s="7"/>
      <c r="AL146" s="7">
        <f t="shared" si="349"/>
        <v>0.98161770338061449</v>
      </c>
      <c r="AM146" s="7">
        <v>9.5</v>
      </c>
      <c r="AN146" s="7">
        <v>7</v>
      </c>
      <c r="AO146" s="7">
        <v>65</v>
      </c>
      <c r="AP146" s="7">
        <v>7</v>
      </c>
      <c r="AQ146" s="7">
        <v>7</v>
      </c>
      <c r="AR146" s="7">
        <f t="shared" si="402"/>
        <v>1.5251680311268359</v>
      </c>
      <c r="AS146" s="4">
        <f t="shared" si="292"/>
        <v>429</v>
      </c>
      <c r="AT146" s="46">
        <f t="shared" si="362"/>
        <v>5.5150754451453753E-2</v>
      </c>
      <c r="AU146" s="25">
        <f t="shared" si="333"/>
        <v>548.47813315761925</v>
      </c>
      <c r="AV146" s="4">
        <f t="shared" si="334"/>
        <v>0.72</v>
      </c>
      <c r="AW146" s="4">
        <v>1.25</v>
      </c>
      <c r="AX146" s="25">
        <f t="shared" si="325"/>
        <v>5</v>
      </c>
      <c r="AY146" s="38">
        <f t="shared" si="287"/>
        <v>136.12042279695424</v>
      </c>
      <c r="AZ146" s="38">
        <f t="shared" si="288"/>
        <v>136.12042279695424</v>
      </c>
      <c r="BB146" s="38">
        <f t="shared" si="363"/>
        <v>136.12042279695419</v>
      </c>
      <c r="BC146" s="38">
        <f t="shared" si="243"/>
        <v>1.0000000000000004</v>
      </c>
      <c r="BD146" s="38">
        <f t="shared" si="345"/>
        <v>2.2180360139665667</v>
      </c>
      <c r="BE146" s="4">
        <f t="shared" si="330"/>
        <v>0</v>
      </c>
      <c r="BF146" s="4">
        <f t="shared" si="244"/>
        <v>626.1277913336321</v>
      </c>
      <c r="BG146" s="4">
        <f t="shared" si="389"/>
        <v>1.2000000000000002</v>
      </c>
      <c r="BH146" s="38">
        <f t="shared" si="245"/>
        <v>301.92</v>
      </c>
      <c r="BI146" s="4">
        <f t="shared" si="390"/>
        <v>0.44000000000000006</v>
      </c>
      <c r="BJ146" s="4">
        <f t="shared" si="246"/>
        <v>143.94677922760204</v>
      </c>
      <c r="BK146" s="4">
        <f t="shared" si="247"/>
        <v>445.86677922760202</v>
      </c>
      <c r="BM146" s="36">
        <f t="shared" si="397"/>
        <v>1.6863256140070761</v>
      </c>
      <c r="BN146" s="36">
        <f t="shared" si="335"/>
        <v>615.21170687631093</v>
      </c>
      <c r="BS146" s="4">
        <f t="shared" si="373"/>
        <v>20.700000000000003</v>
      </c>
      <c r="BT146" s="4">
        <f t="shared" si="374"/>
        <v>20.700000000000003</v>
      </c>
      <c r="BU146" s="4">
        <f t="shared" si="375"/>
        <v>58.2</v>
      </c>
      <c r="BV146" s="4">
        <f t="shared" si="336"/>
        <v>35</v>
      </c>
      <c r="BW146" s="4">
        <f t="shared" si="376"/>
        <v>1.181159420289855</v>
      </c>
      <c r="BX146" s="25">
        <f t="shared" si="337"/>
        <v>3.4014035908980222</v>
      </c>
      <c r="BZ146" s="4">
        <f t="shared" si="347"/>
        <v>14.3</v>
      </c>
      <c r="CD146" s="9"/>
      <c r="CF146" s="9"/>
      <c r="CG146" s="9"/>
      <c r="CH146" s="9">
        <f t="shared" si="393"/>
        <v>14.3</v>
      </c>
      <c r="CI146" s="9">
        <f t="shared" si="394"/>
        <v>28.6</v>
      </c>
      <c r="CJ146" s="9">
        <f t="shared" si="252"/>
        <v>0.78458409789675088</v>
      </c>
      <c r="CK146" s="70">
        <v>20</v>
      </c>
      <c r="CL146" s="9">
        <f t="shared" si="253"/>
        <v>0.05</v>
      </c>
      <c r="CM146" s="9">
        <f t="shared" si="254"/>
        <v>0.8</v>
      </c>
      <c r="CN146" s="9">
        <f t="shared" si="255"/>
        <v>0.96044432035915817</v>
      </c>
      <c r="CO146" s="9">
        <f t="shared" si="256"/>
        <v>0.74299999999999999</v>
      </c>
      <c r="CP146" s="9">
        <f t="shared" si="257"/>
        <v>1.9808626966691243</v>
      </c>
      <c r="CQ146" s="9">
        <f t="shared" si="258"/>
        <v>3.1388435292587697</v>
      </c>
      <c r="CR146" s="9">
        <v>1</v>
      </c>
      <c r="CS146" s="9">
        <f t="shared" si="259"/>
        <v>376.66122351105236</v>
      </c>
      <c r="CU146" s="4">
        <f t="shared" si="370"/>
        <v>0.89758034666207365</v>
      </c>
      <c r="CV146" s="4">
        <f t="shared" si="364"/>
        <v>1.2604661889669859</v>
      </c>
      <c r="CW146" s="4">
        <f t="shared" si="398"/>
        <v>0.91350667374896166</v>
      </c>
      <c r="CX146" s="4">
        <f t="shared" si="351"/>
        <v>1.4920569597297801</v>
      </c>
      <c r="CY146" s="4">
        <f t="shared" si="399"/>
        <v>0.98161770338061449</v>
      </c>
      <c r="CZ146" s="4">
        <f t="shared" si="400"/>
        <v>0.97318154685335856</v>
      </c>
      <c r="DA146" s="4">
        <f t="shared" si="346"/>
        <v>1.199290707588252</v>
      </c>
      <c r="DI146" s="4">
        <f t="shared" si="403"/>
        <v>0.89758034666207365</v>
      </c>
      <c r="DJ146" s="4">
        <f t="shared" si="403"/>
        <v>1.2604661889669859</v>
      </c>
      <c r="DK146" s="4">
        <f t="shared" si="404"/>
        <v>1.4920569597297801</v>
      </c>
      <c r="DL146" s="4">
        <f t="shared" si="405"/>
        <v>1.199290707588252</v>
      </c>
      <c r="DM146" s="4">
        <f t="shared" si="406"/>
        <v>0.98161770338061449</v>
      </c>
      <c r="DN146" s="4">
        <f t="shared" si="406"/>
        <v>0.97318154685335856</v>
      </c>
      <c r="DP146" s="4">
        <f t="shared" si="379"/>
        <v>7</v>
      </c>
      <c r="DQ146" s="4">
        <f t="shared" si="338"/>
        <v>429</v>
      </c>
      <c r="DR146" s="4">
        <f t="shared" si="339"/>
        <v>1</v>
      </c>
      <c r="DT146" s="4">
        <f t="shared" si="262"/>
        <v>3.3150409818642976E-5</v>
      </c>
      <c r="DU146" s="4">
        <f t="shared" si="380"/>
        <v>9.850377101520138</v>
      </c>
      <c r="DV146" s="4">
        <f t="shared" si="353"/>
        <v>0.13462650289663738</v>
      </c>
      <c r="DW146" s="4">
        <f t="shared" si="263"/>
        <v>4.4167730350132439</v>
      </c>
      <c r="DX146" s="4">
        <f t="shared" si="264"/>
        <v>7.6397750506487814</v>
      </c>
      <c r="DY146" s="4">
        <f t="shared" si="354"/>
        <v>8.0960945358675964</v>
      </c>
      <c r="DZ146" s="38">
        <f t="shared" si="266"/>
        <v>572.52431171984369</v>
      </c>
      <c r="EA146" s="4">
        <f t="shared" si="267"/>
        <v>1.0000921123312927</v>
      </c>
      <c r="EB146" s="4">
        <f t="shared" si="355"/>
        <v>2.2360679774997898</v>
      </c>
      <c r="EC146" s="4">
        <f t="shared" si="291"/>
        <v>136.12042279695419</v>
      </c>
      <c r="EG146" s="4">
        <f t="shared" si="268"/>
        <v>1</v>
      </c>
      <c r="EH146" s="4">
        <f t="shared" si="269"/>
        <v>1</v>
      </c>
      <c r="EI146" s="4">
        <f t="shared" si="340"/>
        <v>0.7</v>
      </c>
      <c r="EJ146" s="4">
        <f t="shared" si="271"/>
        <v>0.7</v>
      </c>
      <c r="EL146" s="4">
        <f t="shared" si="341"/>
        <v>577.48731654144649</v>
      </c>
      <c r="EM146" s="25">
        <f t="shared" si="366"/>
        <v>134.22034697304031</v>
      </c>
      <c r="EP146" s="4">
        <f t="shared" si="322"/>
        <v>9.850377101520138</v>
      </c>
      <c r="EQ146" s="4">
        <f t="shared" si="342"/>
        <v>9.850377101520138</v>
      </c>
      <c r="ES146" s="4">
        <f t="shared" si="276"/>
        <v>63.951544156493995</v>
      </c>
      <c r="ET146" s="4">
        <f t="shared" si="381"/>
        <v>2.2360679774997898</v>
      </c>
      <c r="EU146" s="4">
        <f t="shared" si="277"/>
        <v>5.8383637923874576E-2</v>
      </c>
      <c r="EX146" s="4">
        <f t="shared" si="348"/>
        <v>5.8383637923874576E-2</v>
      </c>
      <c r="EY146" s="4">
        <f t="shared" si="278"/>
        <v>0.13440183635427219</v>
      </c>
      <c r="EZ146" s="4">
        <f t="shared" si="382"/>
        <v>4.4138232492365681</v>
      </c>
      <c r="FA146" s="4">
        <f t="shared" si="395"/>
        <v>7.6389381357232935</v>
      </c>
      <c r="FB146" s="4">
        <f t="shared" si="383"/>
        <v>257.79845584350602</v>
      </c>
      <c r="FC146" s="4">
        <f t="shared" si="384"/>
        <v>107.25</v>
      </c>
      <c r="FD146" s="4">
        <f t="shared" si="279"/>
        <v>3.3150409818642976E-5</v>
      </c>
      <c r="FE146" s="4">
        <f t="shared" si="396"/>
        <v>8.096349707281961</v>
      </c>
      <c r="FF146" s="4">
        <f t="shared" si="343"/>
        <v>572.47158002800847</v>
      </c>
      <c r="FG146" s="4">
        <f t="shared" si="385"/>
        <v>257.79845584350602</v>
      </c>
      <c r="FH146" s="4">
        <f t="shared" si="386"/>
        <v>107.24999999999999</v>
      </c>
      <c r="FJ146" s="4">
        <f t="shared" si="356"/>
        <v>0</v>
      </c>
      <c r="FO146" s="23">
        <f t="shared" si="357"/>
        <v>1</v>
      </c>
      <c r="FP146" s="23">
        <f t="shared" si="357"/>
        <v>1.4</v>
      </c>
      <c r="FQ146" s="23">
        <f t="shared" si="391"/>
        <v>1.2</v>
      </c>
      <c r="FR146" s="23">
        <f t="shared" si="358"/>
        <v>1.6</v>
      </c>
      <c r="FS146" s="23">
        <f t="shared" si="358"/>
        <v>1</v>
      </c>
      <c r="FT146" s="23">
        <f t="shared" si="358"/>
        <v>1</v>
      </c>
      <c r="FU146" s="23">
        <f t="shared" si="401"/>
        <v>0</v>
      </c>
      <c r="FV146" s="23"/>
      <c r="GF146" s="4">
        <f t="shared" si="282"/>
        <v>1.25</v>
      </c>
      <c r="GG146" s="4">
        <f t="shared" si="283"/>
        <v>0.67768622629572395</v>
      </c>
      <c r="GH146" s="4">
        <f t="shared" si="284"/>
        <v>0.3</v>
      </c>
      <c r="GI146" s="4">
        <f t="shared" si="285"/>
        <v>468.61031811892383</v>
      </c>
    </row>
    <row r="147" spans="1:196" ht="12" hidden="1" customHeight="1" x14ac:dyDescent="0.3">
      <c r="A147" s="25">
        <v>128</v>
      </c>
      <c r="B147" s="24" t="s">
        <v>128</v>
      </c>
      <c r="C147" s="24">
        <v>2015</v>
      </c>
      <c r="D147" s="51" t="s">
        <v>293</v>
      </c>
      <c r="E147" s="24"/>
      <c r="F147" s="24"/>
      <c r="G147" s="24"/>
      <c r="H147" s="7" t="s">
        <v>152</v>
      </c>
      <c r="I147" s="7"/>
      <c r="J147" s="7">
        <v>710</v>
      </c>
      <c r="K147" s="7">
        <f t="shared" si="323"/>
        <v>572</v>
      </c>
      <c r="L147" s="7">
        <f t="shared" si="367"/>
        <v>572</v>
      </c>
      <c r="M147" s="7">
        <v>62.9</v>
      </c>
      <c r="N147" s="7">
        <v>28.6</v>
      </c>
      <c r="O147" s="7">
        <v>20</v>
      </c>
      <c r="P147" s="7">
        <f t="shared" si="368"/>
        <v>20</v>
      </c>
      <c r="Q147" s="7">
        <v>261</v>
      </c>
      <c r="R147" s="7"/>
      <c r="S147" s="7">
        <f t="shared" si="392"/>
        <v>28.6</v>
      </c>
      <c r="T147" s="7"/>
      <c r="U147" s="7"/>
      <c r="V147" s="7"/>
      <c r="W147" s="7">
        <f t="shared" si="388"/>
        <v>28.6</v>
      </c>
      <c r="X147" s="7">
        <v>2</v>
      </c>
      <c r="Y147" s="7"/>
      <c r="Z147" s="7"/>
      <c r="AA147" s="7">
        <f t="shared" si="359"/>
        <v>58.2</v>
      </c>
      <c r="AB147" s="7">
        <f t="shared" si="371"/>
        <v>1</v>
      </c>
      <c r="AC147" s="7">
        <f t="shared" si="360"/>
        <v>1.5000000000000002</v>
      </c>
      <c r="AD147" s="7">
        <f t="shared" si="369"/>
        <v>4</v>
      </c>
      <c r="AE147" s="7">
        <f t="shared" si="372"/>
        <v>4</v>
      </c>
      <c r="AF147" s="7">
        <v>5</v>
      </c>
      <c r="AG147" s="7">
        <f t="shared" si="240"/>
        <v>63.951544156493995</v>
      </c>
      <c r="AH147" s="7"/>
      <c r="AI147" s="7"/>
      <c r="AJ147" s="7">
        <v>710</v>
      </c>
      <c r="AK147" s="7"/>
      <c r="AL147" s="7">
        <f t="shared" si="349"/>
        <v>1.0495656592307139</v>
      </c>
      <c r="AM147" s="7">
        <v>9.5</v>
      </c>
      <c r="AN147" s="7">
        <v>9</v>
      </c>
      <c r="AO147" s="7">
        <v>65</v>
      </c>
      <c r="AP147" s="7">
        <v>9</v>
      </c>
      <c r="AQ147" s="7">
        <v>9</v>
      </c>
      <c r="AR147" s="7">
        <f t="shared" si="402"/>
        <v>1.5251680311268359</v>
      </c>
      <c r="AS147" s="4">
        <f t="shared" si="292"/>
        <v>572</v>
      </c>
      <c r="AT147" s="46">
        <f t="shared" si="362"/>
        <v>3.1022299378942735E-2</v>
      </c>
      <c r="AU147" s="25">
        <f t="shared" si="333"/>
        <v>844.43732752846654</v>
      </c>
      <c r="AV147" s="4">
        <f t="shared" si="334"/>
        <v>0.71499999999999997</v>
      </c>
      <c r="AW147" s="4">
        <v>1.25</v>
      </c>
      <c r="AX147" s="25">
        <f t="shared" si="325"/>
        <v>5</v>
      </c>
      <c r="AY147" s="38">
        <f>AT147*AV147*AW147*AX147*AU147</f>
        <v>117.06510700412386</v>
      </c>
      <c r="AZ147" s="38">
        <f t="shared" si="288"/>
        <v>117.06510700412386</v>
      </c>
      <c r="BB147" s="38">
        <f t="shared" si="363"/>
        <v>117.06510700412382</v>
      </c>
      <c r="BC147" s="38">
        <f t="shared" si="243"/>
        <v>1.0000000000000004</v>
      </c>
      <c r="BD147" s="38">
        <f t="shared" si="345"/>
        <v>2.5790776408666707</v>
      </c>
      <c r="BE147" s="4">
        <f t="shared" si="330"/>
        <v>0</v>
      </c>
      <c r="BF147" s="4">
        <f t="shared" si="244"/>
        <v>834.83705511150959</v>
      </c>
      <c r="BG147" s="4">
        <f t="shared" si="389"/>
        <v>1.2000000000000002</v>
      </c>
      <c r="BH147" s="38">
        <f t="shared" si="245"/>
        <v>301.92</v>
      </c>
      <c r="BI147" s="4">
        <f t="shared" si="390"/>
        <v>0.44000000000000006</v>
      </c>
      <c r="BJ147" s="4">
        <f t="shared" si="246"/>
        <v>191.92903897013608</v>
      </c>
      <c r="BK147" s="4">
        <f t="shared" si="247"/>
        <v>493.84903897013612</v>
      </c>
      <c r="BM147" s="36">
        <f t="shared" si="397"/>
        <v>1.6863256140070761</v>
      </c>
      <c r="BN147" s="36">
        <f t="shared" si="335"/>
        <v>722.20504720262591</v>
      </c>
      <c r="BS147" s="4">
        <f t="shared" si="373"/>
        <v>20.700000000000003</v>
      </c>
      <c r="BT147" s="4">
        <f t="shared" si="374"/>
        <v>20.700000000000003</v>
      </c>
      <c r="BU147" s="4">
        <f t="shared" si="375"/>
        <v>58.2</v>
      </c>
      <c r="BV147" s="4">
        <f t="shared" si="336"/>
        <v>35</v>
      </c>
      <c r="BW147" s="4">
        <f t="shared" si="376"/>
        <v>1.181159420289855</v>
      </c>
      <c r="BX147" s="25">
        <f t="shared" si="337"/>
        <v>3.4014035908980222</v>
      </c>
      <c r="BZ147" s="4">
        <f t="shared" si="347"/>
        <v>14.3</v>
      </c>
      <c r="CD147" s="9"/>
      <c r="CF147" s="9"/>
      <c r="CG147" s="9"/>
      <c r="CH147" s="9">
        <f t="shared" si="393"/>
        <v>14.3</v>
      </c>
      <c r="CI147" s="9">
        <f t="shared" si="394"/>
        <v>28.6</v>
      </c>
      <c r="CJ147" s="9">
        <f t="shared" si="252"/>
        <v>0.78458409789675088</v>
      </c>
      <c r="CK147" s="70">
        <v>20</v>
      </c>
      <c r="CL147" s="9">
        <f t="shared" si="253"/>
        <v>0.05</v>
      </c>
      <c r="CM147" s="9">
        <f t="shared" si="254"/>
        <v>0.8</v>
      </c>
      <c r="CN147" s="9">
        <f t="shared" si="255"/>
        <v>0.96044432035915817</v>
      </c>
      <c r="CO147" s="9">
        <f t="shared" si="256"/>
        <v>0.74299999999999999</v>
      </c>
      <c r="CP147" s="9">
        <f t="shared" si="257"/>
        <v>1.9808626966691243</v>
      </c>
      <c r="CQ147" s="9">
        <f t="shared" si="258"/>
        <v>3.1388435292587697</v>
      </c>
      <c r="CR147" s="9">
        <v>1</v>
      </c>
      <c r="CS147" s="9">
        <f t="shared" si="259"/>
        <v>439.43809409622776</v>
      </c>
      <c r="CU147" s="4">
        <f t="shared" si="370"/>
        <v>0.85046536405258744</v>
      </c>
      <c r="CV147" s="4">
        <f t="shared" si="364"/>
        <v>1.4376863048688344</v>
      </c>
      <c r="CW147" s="4">
        <f t="shared" si="398"/>
        <v>0.98310030198501008</v>
      </c>
      <c r="CX147" s="4">
        <f t="shared" si="351"/>
        <v>1.6156997072823751</v>
      </c>
      <c r="CY147" s="4">
        <f t="shared" si="399"/>
        <v>1.0495656592307139</v>
      </c>
      <c r="CZ147" s="4">
        <f t="shared" si="400"/>
        <v>1.0046444472606173</v>
      </c>
      <c r="DA147" s="4">
        <f t="shared" si="346"/>
        <v>1.1363386152860215</v>
      </c>
      <c r="DI147" s="4">
        <f t="shared" si="403"/>
        <v>0.85046536405258744</v>
      </c>
      <c r="DJ147" s="4">
        <f t="shared" si="403"/>
        <v>1.4376863048688344</v>
      </c>
      <c r="DK147" s="4">
        <f t="shared" si="404"/>
        <v>1.6156997072823751</v>
      </c>
      <c r="DL147" s="4">
        <f t="shared" si="405"/>
        <v>1.1363386152860215</v>
      </c>
      <c r="DM147" s="4">
        <f t="shared" si="406"/>
        <v>1.0495656592307139</v>
      </c>
      <c r="DN147" s="4">
        <f t="shared" si="406"/>
        <v>1.0046444472606173</v>
      </c>
      <c r="DP147" s="4">
        <f t="shared" si="379"/>
        <v>9</v>
      </c>
      <c r="DQ147" s="4">
        <f t="shared" si="338"/>
        <v>572</v>
      </c>
      <c r="DR147" s="4">
        <f t="shared" si="339"/>
        <v>1</v>
      </c>
      <c r="DT147" s="4">
        <f t="shared" si="262"/>
        <v>4.4200546424857304E-5</v>
      </c>
      <c r="DU147" s="4">
        <f t="shared" si="380"/>
        <v>9.850377101520138</v>
      </c>
      <c r="DV147" s="4">
        <f t="shared" si="353"/>
        <v>0.11578031895106987</v>
      </c>
      <c r="DW147" s="4">
        <f t="shared" si="263"/>
        <v>4.158213207833894</v>
      </c>
      <c r="DX147" s="4">
        <f t="shared" si="264"/>
        <v>7.5683663322028245</v>
      </c>
      <c r="DY147" s="4">
        <f t="shared" si="354"/>
        <v>6.790227666092334</v>
      </c>
      <c r="DZ147" s="38">
        <f t="shared" si="266"/>
        <v>676.47030345905102</v>
      </c>
      <c r="EA147" s="4">
        <f t="shared" si="267"/>
        <v>1.0000820786886133</v>
      </c>
      <c r="EB147" s="4">
        <f t="shared" si="355"/>
        <v>2.2360679774997898</v>
      </c>
      <c r="EC147" s="4">
        <f t="shared" si="291"/>
        <v>117.06510700412382</v>
      </c>
      <c r="EG147" s="4">
        <f t="shared" si="268"/>
        <v>1</v>
      </c>
      <c r="EH147" s="4">
        <f t="shared" si="269"/>
        <v>1</v>
      </c>
      <c r="EI147" s="4">
        <f t="shared" si="340"/>
        <v>0.7</v>
      </c>
      <c r="EJ147" s="4">
        <f t="shared" si="271"/>
        <v>0.7</v>
      </c>
      <c r="EL147" s="4">
        <f t="shared" si="341"/>
        <v>706.71768697470054</v>
      </c>
      <c r="EM147" s="25">
        <f t="shared" si="366"/>
        <v>115.69506088349222</v>
      </c>
      <c r="EP147" s="4">
        <f t="shared" si="322"/>
        <v>9.850377101520138</v>
      </c>
      <c r="EQ147" s="4">
        <f t="shared" si="342"/>
        <v>9.850377101520138</v>
      </c>
      <c r="ES147" s="4">
        <f t="shared" si="276"/>
        <v>63.951544156493995</v>
      </c>
      <c r="ET147" s="4">
        <f t="shared" si="381"/>
        <v>2.2360679774997898</v>
      </c>
      <c r="EU147" s="4">
        <f t="shared" si="277"/>
        <v>5.0210590596265252E-2</v>
      </c>
      <c r="EX147" s="4">
        <f t="shared" si="348"/>
        <v>5.0210590596265252E-2</v>
      </c>
      <c r="EY147" s="4">
        <f t="shared" si="278"/>
        <v>0.11558710317725863</v>
      </c>
      <c r="EZ147" s="4">
        <f t="shared" si="382"/>
        <v>4.1554361038080332</v>
      </c>
      <c r="FA147" s="4">
        <f t="shared" si="395"/>
        <v>7.5676210201178815</v>
      </c>
      <c r="FB147" s="4">
        <f t="shared" si="383"/>
        <v>365.04845584350602</v>
      </c>
      <c r="FC147" s="4">
        <f t="shared" si="384"/>
        <v>143</v>
      </c>
      <c r="FD147" s="4">
        <f t="shared" si="279"/>
        <v>4.4200546424857304E-5</v>
      </c>
      <c r="FE147" s="4">
        <f t="shared" si="396"/>
        <v>6.7905962854039981</v>
      </c>
      <c r="FF147" s="4">
        <f t="shared" si="343"/>
        <v>676.41478422060356</v>
      </c>
      <c r="FG147" s="4">
        <f t="shared" si="385"/>
        <v>365.04845584350602</v>
      </c>
      <c r="FH147" s="4">
        <f t="shared" si="386"/>
        <v>143</v>
      </c>
      <c r="FJ147" s="4">
        <f t="shared" si="356"/>
        <v>0</v>
      </c>
      <c r="FO147" s="23">
        <f t="shared" si="357"/>
        <v>1</v>
      </c>
      <c r="FP147" s="23">
        <f t="shared" si="357"/>
        <v>1.6</v>
      </c>
      <c r="FQ147" s="23">
        <f t="shared" si="391"/>
        <v>1.2</v>
      </c>
      <c r="FR147" s="23">
        <f t="shared" si="358"/>
        <v>1.8</v>
      </c>
      <c r="FS147" s="23">
        <f t="shared" si="358"/>
        <v>1.2</v>
      </c>
      <c r="FT147" s="23">
        <f t="shared" si="358"/>
        <v>1.2</v>
      </c>
      <c r="FU147" s="23">
        <f t="shared" si="401"/>
        <v>0</v>
      </c>
      <c r="FV147" s="23"/>
      <c r="GF147" s="4">
        <f t="shared" si="282"/>
        <v>1.25</v>
      </c>
      <c r="GG147" s="4">
        <f t="shared" si="283"/>
        <v>0.67768622629572395</v>
      </c>
      <c r="GH147" s="4">
        <f t="shared" si="284"/>
        <v>0.3</v>
      </c>
      <c r="GI147" s="4">
        <f t="shared" si="285"/>
        <v>624.81375749189851</v>
      </c>
    </row>
    <row r="148" spans="1:196" ht="12" hidden="1" customHeight="1" x14ac:dyDescent="0.3">
      <c r="A148" s="25">
        <v>129</v>
      </c>
      <c r="B148" s="24" t="s">
        <v>605</v>
      </c>
      <c r="C148" s="24">
        <v>2016</v>
      </c>
      <c r="D148" s="51" t="s">
        <v>293</v>
      </c>
      <c r="E148" s="24"/>
      <c r="F148" s="24"/>
      <c r="G148" s="24"/>
      <c r="H148" s="7" t="s">
        <v>646</v>
      </c>
      <c r="I148" s="7"/>
      <c r="J148" s="38">
        <f>119.8/0.145</f>
        <v>826.20689655172418</v>
      </c>
      <c r="K148" s="38">
        <f>12*25.4</f>
        <v>304.79999999999995</v>
      </c>
      <c r="L148" s="4">
        <f>K148</f>
        <v>304.79999999999995</v>
      </c>
      <c r="M148" s="38">
        <f>6330/145</f>
        <v>43.655172413793103</v>
      </c>
      <c r="N148" s="38">
        <f>0.75*25.4</f>
        <v>19.049999999999997</v>
      </c>
      <c r="O148" s="7">
        <f>K148/N148</f>
        <v>16</v>
      </c>
      <c r="P148" s="7">
        <f>L148/N148</f>
        <v>16</v>
      </c>
      <c r="Q148" s="38">
        <f>18*25.4</f>
        <v>457.2</v>
      </c>
      <c r="R148" s="38"/>
      <c r="S148" s="38">
        <f>2*25.4</f>
        <v>50.8</v>
      </c>
      <c r="T148" s="38"/>
      <c r="U148" s="21">
        <f>(6-0.5-2*0.75)*25.4</f>
        <v>101.6</v>
      </c>
      <c r="V148" s="21"/>
      <c r="W148" s="21">
        <f>(0.5)*25.4</f>
        <v>12.7</v>
      </c>
      <c r="X148" s="38">
        <v>3</v>
      </c>
      <c r="Y148" s="38"/>
      <c r="Z148" s="38"/>
      <c r="AA148" s="38">
        <f>2*25.4</f>
        <v>50.8</v>
      </c>
      <c r="AB148" s="7">
        <f t="shared" si="371"/>
        <v>0.83333333333333337</v>
      </c>
      <c r="AC148" s="7">
        <f t="shared" si="360"/>
        <v>3.166666666666667</v>
      </c>
      <c r="AD148" s="38">
        <v>4</v>
      </c>
      <c r="AE148" s="4">
        <f>AD148</f>
        <v>4</v>
      </c>
      <c r="AF148" s="4">
        <f>AE148+1</f>
        <v>5</v>
      </c>
      <c r="AG148" s="7">
        <f t="shared" ref="AG148:AG156" si="407">N148*AF148^0.5</f>
        <v>42.597094971370993</v>
      </c>
      <c r="AH148" s="7"/>
      <c r="AI148" s="7"/>
      <c r="AJ148" s="38">
        <f t="shared" ref="AJ148:AJ153" si="408">AK148/0.145</f>
        <v>573.79310344827593</v>
      </c>
      <c r="AK148" s="4">
        <v>83.2</v>
      </c>
      <c r="AL148" s="7">
        <f t="shared" si="349"/>
        <v>0.98217058503586896</v>
      </c>
      <c r="AM148" s="7">
        <v>0</v>
      </c>
      <c r="AN148" s="7">
        <v>0</v>
      </c>
      <c r="AO148" s="7">
        <f t="shared" ref="AO148:AO156" si="409">L148</f>
        <v>304.79999999999995</v>
      </c>
      <c r="AP148" s="7"/>
      <c r="AQ148" s="7"/>
      <c r="AR148" s="7">
        <f t="shared" si="402"/>
        <v>0</v>
      </c>
      <c r="AS148" s="4">
        <f t="shared" si="292"/>
        <v>304.79999999999995</v>
      </c>
      <c r="AT148" s="47">
        <f t="shared" ref="AT148:AT153" si="410">MIN(Q148)*(MIN(360-AA148-0.5*N148,1.5*AS148)+AA148+N148/2)/(3*K148)^2</f>
        <v>0.19685039370078747</v>
      </c>
      <c r="AU148" s="25">
        <f t="shared" ref="AU148:AU153" si="411">MIN(10*M148^0.5*AS148^1.5,100*3.9*M148^0.5*AS148^(5/3))/(PI()/4*N148^2)/X148</f>
        <v>411.18683539092382</v>
      </c>
      <c r="AV148" s="4">
        <f t="shared" ref="AV148:AV153" si="412">MIN(0.7+0.3*(MIN(S148,AA148)+0.5*N148)/1.5/K148,1)</f>
        <v>0.73958333333333326</v>
      </c>
      <c r="AW148" s="4">
        <v>1.25</v>
      </c>
      <c r="AX148" s="25">
        <f t="shared" si="325"/>
        <v>5</v>
      </c>
      <c r="AY148" s="38">
        <f>AT148*AV148*AW148*AX148*AU148</f>
        <v>374.14730603002477</v>
      </c>
      <c r="AZ148" s="38">
        <f t="shared" si="288"/>
        <v>374.14730603002477</v>
      </c>
      <c r="BB148" s="38">
        <f t="shared" ref="BB148:BB153" si="413">AX148* (M148^0.5/AS148^0.5)/(PI()/4*N148^2)/X148/0.72 *(0.7+(MIN(S148,AA148)+0.5*N148)/5/K148) *(Q148*MIN(AA148+0.5*N148+1.5*K148,360))</f>
        <v>374.14730603002448</v>
      </c>
      <c r="BC148" s="38">
        <f t="shared" ref="BC148:BC156" si="414">AY148/BB148</f>
        <v>1.0000000000000007</v>
      </c>
      <c r="BD148" s="38">
        <f t="shared" si="345"/>
        <v>0.77786069301609739</v>
      </c>
      <c r="BE148" s="4">
        <f t="shared" si="330"/>
        <v>1</v>
      </c>
      <c r="BF148" s="4">
        <f t="shared" ref="BF148:BF156" si="415">L148/N148*M148^0.5/0.19</f>
        <v>556.39630294068945</v>
      </c>
      <c r="BG148" s="4">
        <f t="shared" si="389"/>
        <v>2</v>
      </c>
      <c r="BH148" s="38">
        <f t="shared" ref="BH148:BH156" si="416">2*M148*AB148*AD148^0.5*BG148*0.7/0.7</f>
        <v>291.0344827586207</v>
      </c>
      <c r="BI148" s="4">
        <f t="shared" si="390"/>
        <v>0.44000000000000006</v>
      </c>
      <c r="BJ148" s="4">
        <f t="shared" ref="BJ148:BJ156" si="417">BI148*J148*L148/(J148*N148/2.75/M148^0.5)</f>
        <v>127.91551004606451</v>
      </c>
      <c r="BK148" s="4">
        <f t="shared" ref="BK148:BK153" si="418">BH148+BJ148</f>
        <v>418.94999280468522</v>
      </c>
      <c r="BM148" s="36">
        <f t="shared" si="397"/>
        <v>1.2083333333333333</v>
      </c>
      <c r="BN148" s="36">
        <f t="shared" ref="BN148:BN153" si="419">(1.6*P148+22)*BM148*M148^0.5</f>
        <v>380.02447070331317</v>
      </c>
      <c r="BS148" s="4">
        <f t="shared" si="373"/>
        <v>12.75</v>
      </c>
      <c r="BT148" s="4">
        <f t="shared" si="374"/>
        <v>12.75</v>
      </c>
      <c r="BU148" s="4">
        <f t="shared" si="375"/>
        <v>50.8</v>
      </c>
      <c r="BV148" s="4">
        <f t="shared" ref="BV148:BV153" si="420">BT148+N148/2</f>
        <v>22.274999999999999</v>
      </c>
      <c r="BW148" s="4">
        <f t="shared" si="376"/>
        <v>1.25</v>
      </c>
      <c r="BX148" s="25">
        <f t="shared" ref="BX148:BX153" si="421">MIN(4, (BV148*BW148+(6*M148^0.5*(0.03*N148+0.22)*(AM148^2/4*PI())*2/AO148/X148))/N148)</f>
        <v>1.4616141732283467</v>
      </c>
      <c r="BZ148" s="4">
        <f t="shared" si="347"/>
        <v>6.35</v>
      </c>
      <c r="CD148" s="9"/>
      <c r="CF148" s="9"/>
      <c r="CG148" s="9"/>
      <c r="CH148" s="9">
        <f t="shared" si="393"/>
        <v>6.35</v>
      </c>
      <c r="CI148" s="9">
        <f t="shared" si="394"/>
        <v>50.8</v>
      </c>
      <c r="CJ148" s="9">
        <f t="shared" ref="CJ148:CJ156" si="422">(CH148/N148)^0.5*(CI148/CH148)^0.15</f>
        <v>0.78868370996101578</v>
      </c>
      <c r="CK148" s="70">
        <v>20</v>
      </c>
      <c r="CL148" s="9">
        <f t="shared" ref="CL148:CL156" si="423">MIN(PI()*AM148^2/4*AN148*2/X148/N148/MAX(0.01,AO148),0.05)</f>
        <v>0</v>
      </c>
      <c r="CM148" s="9">
        <f t="shared" ref="CM148:CM153" si="424">MAX(0,CK148*(CL148-0.5/50))</f>
        <v>0</v>
      </c>
      <c r="CN148" s="9">
        <f t="shared" ref="CN148:CN156" si="425">MIN(1,(25/N148)^0.3)</f>
        <v>1</v>
      </c>
      <c r="CO148" s="9">
        <f t="shared" ref="CO148:CO156" si="426">IF(J148&gt;=800,0.68,IF(J148&gt;=700,0.75-(J148-700)*0.07/100,IF(J148&gt;=600,0.85-(J148-600)*0.1/100,IF(J148&gt;=500,1-(J148-500)*0.15/100,1.2-(J148-400)*0.2/100))))</f>
        <v>0.68</v>
      </c>
      <c r="CP148" s="9">
        <f t="shared" ref="CP148:CP156" si="427">1.75*CN148*CO148*(M148/25)^0.5</f>
        <v>1.5725150511861237</v>
      </c>
      <c r="CQ148" s="9">
        <f t="shared" ref="CQ148:CQ156" si="428">MIN((CJ148+CM148)*CP148,2.5*CP148,M148^0.5)</f>
        <v>1.2402170045390086</v>
      </c>
      <c r="CR148" s="9">
        <v>1</v>
      </c>
      <c r="CS148" s="9">
        <f t="shared" ref="CS148:CS156" si="429">4*CQ148*P148+60*CQ148</f>
        <v>153.78690856283708</v>
      </c>
      <c r="CU148" s="4">
        <f t="shared" si="370"/>
        <v>1.0312669232625022</v>
      </c>
      <c r="CV148" s="4">
        <f t="shared" si="364"/>
        <v>1.3695980744789717</v>
      </c>
      <c r="CW148" s="4">
        <f t="shared" si="398"/>
        <v>1.509884619762391</v>
      </c>
      <c r="CX148" s="4">
        <f t="shared" si="351"/>
        <v>3.7310919948288381</v>
      </c>
      <c r="CY148" s="4">
        <f t="shared" si="399"/>
        <v>0.98217058503586896</v>
      </c>
      <c r="CZ148" s="4">
        <f t="shared" si="400"/>
        <v>1.0330895299523886</v>
      </c>
      <c r="DA148" s="4">
        <f t="shared" si="346"/>
        <v>1.2369414191987771</v>
      </c>
      <c r="DI148" s="4">
        <f t="shared" si="403"/>
        <v>1.0312669232625022</v>
      </c>
      <c r="DJ148" s="4">
        <f t="shared" si="403"/>
        <v>1.3695980744789717</v>
      </c>
      <c r="DK148" s="4">
        <f t="shared" si="404"/>
        <v>3.7310919948288381</v>
      </c>
      <c r="DL148" s="4">
        <f t="shared" si="405"/>
        <v>1.2369414191987771</v>
      </c>
      <c r="DM148" s="4">
        <f t="shared" si="406"/>
        <v>0.98217058503586896</v>
      </c>
      <c r="DN148" s="4">
        <f t="shared" si="406"/>
        <v>1.0330895299523886</v>
      </c>
      <c r="DP148" s="4">
        <f t="shared" si="379"/>
        <v>0</v>
      </c>
      <c r="DQ148" s="4">
        <f t="shared" ref="DQ148:DQ153" si="430">K148</f>
        <v>304.79999999999995</v>
      </c>
      <c r="DR148" s="4">
        <f t="shared" ref="DR148:DR153" si="431">L148/K148</f>
        <v>1</v>
      </c>
      <c r="DT148" s="4">
        <f t="shared" ref="DT148:DT156" si="432">K148/4/(1-0.3*(M148/30)^0.5)/200000/N148</f>
        <v>3.1342636205669919E-5</v>
      </c>
      <c r="DU148" s="4">
        <f t="shared" si="380"/>
        <v>3.8789363481980437</v>
      </c>
      <c r="DV148" s="4">
        <f t="shared" si="353"/>
        <v>0.35513525052023837</v>
      </c>
      <c r="DW148" s="4">
        <f t="shared" ref="DW148:DW153" si="433">DU148*DV148^0.4</f>
        <v>2.5637174885558873</v>
      </c>
      <c r="DX148" s="4">
        <f t="shared" ref="DX148:DX153" si="434">MIN(DU148, DU148/1.4*(1-DV148^1.4)/(1-DV148))</f>
        <v>3.2880315468491821</v>
      </c>
      <c r="DY148" s="4">
        <f t="shared" si="354"/>
        <v>3.6696783450107433</v>
      </c>
      <c r="DZ148" s="38">
        <f t="shared" ref="DZ148:DZ156" si="435">MIN(1/N148*(4*AG148*(DW148-DX148)+(3*DX148+DY148)*K148)+EC148 -FJ148,MAX(J148,AJ148))</f>
        <v>584.20921191334696</v>
      </c>
      <c r="EA148" s="4">
        <f t="shared" ref="EA148:EA156" si="436">DZ148/FF148</f>
        <v>1.0000694336744724</v>
      </c>
      <c r="EB148" s="4">
        <f t="shared" si="355"/>
        <v>2.2360679774997898</v>
      </c>
      <c r="EC148" s="4">
        <f t="shared" si="291"/>
        <v>374.14730603002448</v>
      </c>
      <c r="EG148" s="4">
        <f t="shared" ref="EG148:EG156" si="437">IF(U148&gt;1*N148,0.85,1)</f>
        <v>0.85</v>
      </c>
      <c r="EH148" s="4">
        <f t="shared" ref="EH148:EH156" si="438">MIN(1,MAX(0.7,(1-0.1*(BZ148-1*N148)/N148)))</f>
        <v>1</v>
      </c>
      <c r="EI148" s="4">
        <f t="shared" ref="EI148:EI156" si="439">MIN(1,MAX(0.7,1-0.3*(PI()*AM148^2/4*AN148*2-0.25*PI()/4*N148^2)/(PI()/4*N148^2)))</f>
        <v>1</v>
      </c>
      <c r="EJ148" s="4">
        <f t="shared" ref="EJ148:EJ153" si="440">IF(EH148*EI148&lt;0.7,0.7,EH148*EI148)</f>
        <v>1</v>
      </c>
      <c r="EL148" s="4">
        <f t="shared" ref="EL148:EL153" si="441">MIN(DU148/N148*3*K148+EM148-FJ148,MAX(J148,AJ148))</f>
        <v>555.41469234977149</v>
      </c>
      <c r="EM148" s="25">
        <f t="shared" ref="EM148:EM153" si="442">8.8*Q148*360*M148^0.5/X148/N148^2/K148^0.5*(0.7+MIN(AA148,S148)/5/K148)</f>
        <v>369.2257476362654</v>
      </c>
      <c r="EP148" s="4">
        <f t="shared" si="322"/>
        <v>3.8789363481980437</v>
      </c>
      <c r="EQ148" s="4">
        <f t="shared" ref="EQ148:EQ153" si="443">IF(N148&lt;22.2,1.1*5*(M148/30)^0.5,IF(N148&gt;=31.8,0.9*5*(M148/30)^0.5,1*5*(M148/30)^0.5))*BX148/2.5</f>
        <v>3.8789363481980437</v>
      </c>
      <c r="ES148" s="4">
        <f t="shared" ref="ES148:ES156" si="444">ET148*N148</f>
        <v>42.597094971370993</v>
      </c>
      <c r="ET148" s="4">
        <f t="shared" si="381"/>
        <v>2.2360679774997898</v>
      </c>
      <c r="EU148" s="4">
        <f t="shared" ref="EU148:EU156" si="445">MIN(EC148)/(4700*M148^0.5)/AE148*ES148</f>
        <v>0.12830598100215107</v>
      </c>
      <c r="EX148" s="4">
        <f t="shared" si="348"/>
        <v>0.12830598100215107</v>
      </c>
      <c r="EY148" s="4">
        <f t="shared" ref="EY148:EY156" si="446">MIN(0.999, EX148/(0.3*(M148/30)^0.5))</f>
        <v>0.35454259597533333</v>
      </c>
      <c r="EZ148" s="4">
        <f t="shared" si="382"/>
        <v>2.5620052843463426</v>
      </c>
      <c r="FA148" s="4">
        <f t="shared" si="395"/>
        <v>3.2873657007314261</v>
      </c>
      <c r="FB148" s="4">
        <f t="shared" si="383"/>
        <v>186.00290502862896</v>
      </c>
      <c r="FC148" s="4">
        <f t="shared" si="384"/>
        <v>76.199999999999989</v>
      </c>
      <c r="FD148" s="4">
        <f t="shared" ref="FD148:FD156" si="447">FC148/(1-0.3*(M148/30)^0.5)/200000/N148</f>
        <v>3.1342636205669919E-5</v>
      </c>
      <c r="FE148" s="4">
        <f t="shared" si="396"/>
        <v>3.6697257543228932</v>
      </c>
      <c r="FF148" s="4">
        <f t="shared" ref="FF148:FF153" si="448">MIN(4/N148*(1*EZ148*ES148+FA148*FG148+FH148*FE148)+EC148,MAX(J148,AJ148))</f>
        <v>584.1686509374008</v>
      </c>
      <c r="FG148" s="4">
        <f t="shared" si="385"/>
        <v>186.00290502862896</v>
      </c>
      <c r="FH148" s="4">
        <f t="shared" si="386"/>
        <v>76.2</v>
      </c>
      <c r="FJ148" s="4">
        <f t="shared" si="356"/>
        <v>0</v>
      </c>
      <c r="FO148" s="23">
        <f t="shared" si="357"/>
        <v>1.2</v>
      </c>
      <c r="FP148" s="23">
        <f t="shared" si="357"/>
        <v>1.4</v>
      </c>
      <c r="FQ148" s="23">
        <f t="shared" si="391"/>
        <v>1.4</v>
      </c>
      <c r="FR148" s="23">
        <f t="shared" si="358"/>
        <v>2.2000000000000002</v>
      </c>
      <c r="FS148" s="23">
        <f t="shared" si="358"/>
        <v>1</v>
      </c>
      <c r="FT148" s="23">
        <f t="shared" si="358"/>
        <v>1.2</v>
      </c>
      <c r="FU148" s="23">
        <f t="shared" si="401"/>
        <v>0</v>
      </c>
      <c r="FV148" s="23"/>
      <c r="GF148" s="4">
        <f t="shared" ref="GF148:GF156" si="449">IF(S148&gt;=2.5*25.4,1,1.25)</f>
        <v>1.25</v>
      </c>
      <c r="GG148" s="4">
        <f t="shared" ref="GG148:GG156" si="450">IF(AO148&gt;1, 0.05*(18-MIN(8,(W148+N148)/N148))*(1-48000/MAX(60000,(J148*145))*(N148/25.4)^0.75*GH148), 1/12*(14-MIN(8,(W148+N148)/N148)))</f>
        <v>0.81666666666666665</v>
      </c>
      <c r="GH148" s="4">
        <f t="shared" ref="GH148:GH156" si="451">MIN(0.3, AM148^2*PI()/4*2*AP148/(N148^2*PI()/4*X148))</f>
        <v>0</v>
      </c>
      <c r="GI148" s="4">
        <f t="shared" ref="GI148:GI156" si="452">(K148/25.4)/(N148/25.4)^1.5/0.0024*(M148*145)^0.25/GF148/GG148/145</f>
        <v>463.8805803915497</v>
      </c>
    </row>
    <row r="149" spans="1:196" ht="12" hidden="1" customHeight="1" x14ac:dyDescent="0.3">
      <c r="A149" s="25">
        <v>130</v>
      </c>
      <c r="B149" s="24" t="s">
        <v>605</v>
      </c>
      <c r="C149" s="24">
        <v>2016</v>
      </c>
      <c r="D149" s="51" t="s">
        <v>293</v>
      </c>
      <c r="E149" s="24"/>
      <c r="F149" s="24"/>
      <c r="G149" s="24"/>
      <c r="H149" s="7" t="s">
        <v>647</v>
      </c>
      <c r="I149" s="7"/>
      <c r="J149" s="38">
        <f t="shared" ref="J149:J153" si="453">119.8/0.145</f>
        <v>826.20689655172418</v>
      </c>
      <c r="K149" s="38">
        <f t="shared" ref="K149:K153" si="454">12*25.4</f>
        <v>304.79999999999995</v>
      </c>
      <c r="L149" s="7">
        <f t="shared" ref="L149:L153" si="455">K149</f>
        <v>304.79999999999995</v>
      </c>
      <c r="M149" s="38">
        <f t="shared" ref="M149:M150" si="456">6330/145</f>
        <v>43.655172413793103</v>
      </c>
      <c r="N149" s="38">
        <f t="shared" ref="N149:N153" si="457">0.75*25.4</f>
        <v>19.049999999999997</v>
      </c>
      <c r="O149" s="7">
        <f t="shared" ref="O149:O153" si="458">K149/N149</f>
        <v>16</v>
      </c>
      <c r="P149" s="7">
        <f t="shared" ref="P149:P153" si="459">L149/N149</f>
        <v>16</v>
      </c>
      <c r="Q149" s="38">
        <f>18.1*25.4</f>
        <v>459.74</v>
      </c>
      <c r="R149" s="38"/>
      <c r="S149" s="38">
        <f t="shared" ref="S149:S153" si="460">2*25.4</f>
        <v>50.8</v>
      </c>
      <c r="T149" s="38"/>
      <c r="U149" s="21">
        <f>(5.8-1-2*0.75)*25.4</f>
        <v>83.82</v>
      </c>
      <c r="V149" s="21"/>
      <c r="W149" s="21">
        <f>(1)*25.4</f>
        <v>25.4</v>
      </c>
      <c r="X149" s="38">
        <v>3</v>
      </c>
      <c r="Y149" s="38"/>
      <c r="Z149" s="38"/>
      <c r="AA149" s="38">
        <f t="shared" ref="AA149:AA153" si="461">2*25.4</f>
        <v>50.8</v>
      </c>
      <c r="AB149" s="7">
        <f t="shared" si="371"/>
        <v>1.1666666666666667</v>
      </c>
      <c r="AC149" s="7">
        <f t="shared" si="360"/>
        <v>3.166666666666667</v>
      </c>
      <c r="AD149" s="38">
        <v>4</v>
      </c>
      <c r="AE149" s="7">
        <f t="shared" ref="AE149:AE153" si="462">MIN(AE$16,AD149)</f>
        <v>4</v>
      </c>
      <c r="AF149" s="4">
        <f t="shared" ref="AF149:AF153" si="463">AE149+1</f>
        <v>5</v>
      </c>
      <c r="AG149" s="7">
        <f t="shared" si="407"/>
        <v>42.597094971370993</v>
      </c>
      <c r="AH149" s="7"/>
      <c r="AI149" s="7"/>
      <c r="AJ149" s="38">
        <f t="shared" si="408"/>
        <v>621.37931034482756</v>
      </c>
      <c r="AK149" s="4">
        <v>90.1</v>
      </c>
      <c r="AL149" s="7">
        <f t="shared" si="349"/>
        <v>0.99040992596962307</v>
      </c>
      <c r="AM149" s="7">
        <v>0</v>
      </c>
      <c r="AN149" s="7">
        <v>0</v>
      </c>
      <c r="AO149" s="7">
        <f t="shared" si="409"/>
        <v>304.79999999999995</v>
      </c>
      <c r="AP149" s="7"/>
      <c r="AQ149" s="7"/>
      <c r="AR149" s="7">
        <f t="shared" si="402"/>
        <v>0</v>
      </c>
      <c r="AS149" s="4">
        <f t="shared" si="292"/>
        <v>304.79999999999995</v>
      </c>
      <c r="AT149" s="47">
        <f t="shared" si="410"/>
        <v>0.19794400699912515</v>
      </c>
      <c r="AU149" s="25">
        <f t="shared" si="411"/>
        <v>411.18683539092382</v>
      </c>
      <c r="AV149" s="4">
        <f t="shared" si="412"/>
        <v>0.73958333333333326</v>
      </c>
      <c r="AW149" s="4">
        <v>1.25</v>
      </c>
      <c r="AX149" s="25">
        <f t="shared" si="325"/>
        <v>5</v>
      </c>
      <c r="AY149" s="38">
        <f t="shared" ref="AY149:AY153" si="464">AT149*AV149*AW149*AX149*AU149</f>
        <v>376.22590217463596</v>
      </c>
      <c r="AZ149" s="38">
        <f t="shared" ref="AZ149:AZ153" si="465">AY149</f>
        <v>376.22590217463596</v>
      </c>
      <c r="BB149" s="38">
        <f t="shared" si="413"/>
        <v>376.22590217463573</v>
      </c>
      <c r="BC149" s="38">
        <f t="shared" si="414"/>
        <v>1.0000000000000007</v>
      </c>
      <c r="BD149" s="38">
        <f t="shared" si="345"/>
        <v>0.91280448174927686</v>
      </c>
      <c r="BE149" s="4">
        <f t="shared" si="330"/>
        <v>1</v>
      </c>
      <c r="BF149" s="4">
        <f t="shared" si="415"/>
        <v>556.39630294068945</v>
      </c>
      <c r="BG149" s="4">
        <f t="shared" si="389"/>
        <v>1.6857142857142859</v>
      </c>
      <c r="BH149" s="38">
        <f t="shared" si="416"/>
        <v>343.42068965517251</v>
      </c>
      <c r="BI149" s="4">
        <f t="shared" si="390"/>
        <v>0.44000000000000006</v>
      </c>
      <c r="BJ149" s="4">
        <f t="shared" si="417"/>
        <v>127.91551004606451</v>
      </c>
      <c r="BK149" s="4">
        <f t="shared" si="418"/>
        <v>471.33619970123704</v>
      </c>
      <c r="BM149" s="36">
        <f t="shared" si="397"/>
        <v>1.1366666666666669</v>
      </c>
      <c r="BN149" s="36">
        <f t="shared" si="419"/>
        <v>357.48508830297885</v>
      </c>
      <c r="BS149" s="4">
        <f t="shared" si="373"/>
        <v>19.100000000000001</v>
      </c>
      <c r="BT149" s="4">
        <f t="shared" si="374"/>
        <v>19.100000000000001</v>
      </c>
      <c r="BU149" s="4">
        <f t="shared" si="375"/>
        <v>50.8</v>
      </c>
      <c r="BV149" s="4">
        <f t="shared" si="420"/>
        <v>28.625</v>
      </c>
      <c r="BW149" s="4">
        <f t="shared" si="376"/>
        <v>1.1659685863874345</v>
      </c>
      <c r="BX149" s="25">
        <f t="shared" si="421"/>
        <v>1.7520131645847936</v>
      </c>
      <c r="BZ149" s="4">
        <f t="shared" si="347"/>
        <v>12.7</v>
      </c>
      <c r="CD149" s="9"/>
      <c r="CF149" s="9"/>
      <c r="CG149" s="9"/>
      <c r="CH149" s="9">
        <f t="shared" si="393"/>
        <v>12.7</v>
      </c>
      <c r="CI149" s="9">
        <f t="shared" si="394"/>
        <v>50.8</v>
      </c>
      <c r="CJ149" s="9">
        <f t="shared" si="422"/>
        <v>1.0052252041243952</v>
      </c>
      <c r="CK149" s="70">
        <v>20</v>
      </c>
      <c r="CL149" s="9">
        <f t="shared" si="423"/>
        <v>0</v>
      </c>
      <c r="CM149" s="9">
        <f t="shared" si="424"/>
        <v>0</v>
      </c>
      <c r="CN149" s="9">
        <f t="shared" si="425"/>
        <v>1</v>
      </c>
      <c r="CO149" s="9">
        <f t="shared" si="426"/>
        <v>0.68</v>
      </c>
      <c r="CP149" s="9">
        <f t="shared" si="427"/>
        <v>1.5725150511861237</v>
      </c>
      <c r="CQ149" s="9">
        <f t="shared" si="428"/>
        <v>1.5807317633172548</v>
      </c>
      <c r="CR149" s="9">
        <v>1</v>
      </c>
      <c r="CS149" s="9">
        <f t="shared" si="429"/>
        <v>196.01073865133961</v>
      </c>
      <c r="CU149" s="4">
        <f t="shared" si="370"/>
        <v>1.1167926656965317</v>
      </c>
      <c r="CV149" s="4">
        <f t="shared" si="364"/>
        <v>1.3183356396956087</v>
      </c>
      <c r="CW149" s="4">
        <f t="shared" si="398"/>
        <v>1.7381964470031006</v>
      </c>
      <c r="CX149" s="4">
        <f t="shared" si="351"/>
        <v>3.1701289154882781</v>
      </c>
      <c r="CY149" s="4">
        <f t="shared" si="399"/>
        <v>0.99040992596962307</v>
      </c>
      <c r="CZ149" s="4">
        <f t="shared" si="400"/>
        <v>1.0452859834815846</v>
      </c>
      <c r="DA149" s="4">
        <f t="shared" si="346"/>
        <v>1.2848498400414692</v>
      </c>
      <c r="DI149" s="4">
        <f t="shared" si="403"/>
        <v>1.1167926656965317</v>
      </c>
      <c r="DJ149" s="4">
        <f t="shared" si="403"/>
        <v>1.3183356396956087</v>
      </c>
      <c r="DK149" s="4">
        <f t="shared" si="404"/>
        <v>3.1701289154882781</v>
      </c>
      <c r="DL149" s="4">
        <f t="shared" si="405"/>
        <v>1.2848498400414692</v>
      </c>
      <c r="DM149" s="4">
        <f t="shared" si="406"/>
        <v>0.99040992596962307</v>
      </c>
      <c r="DN149" s="4">
        <f t="shared" si="406"/>
        <v>1.0452859834815846</v>
      </c>
      <c r="DP149" s="4">
        <f t="shared" si="379"/>
        <v>0</v>
      </c>
      <c r="DQ149" s="4">
        <f t="shared" si="430"/>
        <v>304.79999999999995</v>
      </c>
      <c r="DR149" s="4">
        <f t="shared" si="431"/>
        <v>1</v>
      </c>
      <c r="DT149" s="4">
        <f t="shared" si="432"/>
        <v>3.1342636205669919E-5</v>
      </c>
      <c r="DU149" s="4">
        <f t="shared" si="380"/>
        <v>4.6496179847646513</v>
      </c>
      <c r="DV149" s="4">
        <f t="shared" si="353"/>
        <v>0.35710822413423976</v>
      </c>
      <c r="DW149" s="4">
        <f t="shared" si="433"/>
        <v>3.0799042372107639</v>
      </c>
      <c r="DX149" s="4">
        <f t="shared" si="434"/>
        <v>3.9439640269273464</v>
      </c>
      <c r="DY149" s="4">
        <f t="shared" si="354"/>
        <v>4.349268467956561</v>
      </c>
      <c r="DZ149" s="38">
        <f t="shared" si="435"/>
        <v>627.39608524873154</v>
      </c>
      <c r="EA149" s="4">
        <f t="shared" si="436"/>
        <v>1.000077464150948</v>
      </c>
      <c r="EB149" s="4">
        <f t="shared" si="355"/>
        <v>2.2360679774997898</v>
      </c>
      <c r="EC149" s="4">
        <f t="shared" ref="EC149:EC156" si="466">MIN(EB$10*BB149)</f>
        <v>376.22590217463573</v>
      </c>
      <c r="EG149" s="4">
        <f t="shared" si="437"/>
        <v>0.85</v>
      </c>
      <c r="EH149" s="4">
        <f t="shared" si="438"/>
        <v>1</v>
      </c>
      <c r="EI149" s="4">
        <f t="shared" si="439"/>
        <v>1</v>
      </c>
      <c r="EJ149" s="4">
        <f t="shared" si="440"/>
        <v>1</v>
      </c>
      <c r="EL149" s="4">
        <f t="shared" si="441"/>
        <v>594.45866505850336</v>
      </c>
      <c r="EM149" s="25">
        <f t="shared" si="442"/>
        <v>371.27700178980012</v>
      </c>
      <c r="EP149" s="4">
        <f t="shared" si="322"/>
        <v>4.6496179847646513</v>
      </c>
      <c r="EQ149" s="4">
        <f t="shared" si="443"/>
        <v>4.6496179847646513</v>
      </c>
      <c r="ES149" s="4">
        <f t="shared" si="444"/>
        <v>42.597094971370993</v>
      </c>
      <c r="ET149" s="4">
        <f t="shared" si="381"/>
        <v>2.2360679774997898</v>
      </c>
      <c r="EU149" s="4">
        <f t="shared" si="445"/>
        <v>0.12901879200771857</v>
      </c>
      <c r="EX149" s="4">
        <f t="shared" si="348"/>
        <v>0.12901879200771857</v>
      </c>
      <c r="EY149" s="4">
        <f t="shared" si="446"/>
        <v>0.35651227706408517</v>
      </c>
      <c r="EZ149" s="4">
        <f t="shared" si="382"/>
        <v>3.0778472925499387</v>
      </c>
      <c r="FA149" s="4">
        <f t="shared" si="395"/>
        <v>3.9431628512491677</v>
      </c>
      <c r="FB149" s="4">
        <f t="shared" si="383"/>
        <v>186.00290502862896</v>
      </c>
      <c r="FC149" s="4">
        <f t="shared" si="384"/>
        <v>76.199999999999989</v>
      </c>
      <c r="FD149" s="4">
        <f t="shared" si="447"/>
        <v>3.1342636205669919E-5</v>
      </c>
      <c r="FE149" s="4">
        <f t="shared" si="396"/>
        <v>4.3493366824102093</v>
      </c>
      <c r="FF149" s="4">
        <f t="shared" si="448"/>
        <v>627.34748830820035</v>
      </c>
      <c r="FG149" s="4">
        <f t="shared" si="385"/>
        <v>186.00290502862896</v>
      </c>
      <c r="FH149" s="4">
        <f t="shared" si="386"/>
        <v>76.2</v>
      </c>
      <c r="FJ149" s="4">
        <f t="shared" si="356"/>
        <v>0</v>
      </c>
      <c r="FO149" s="23">
        <f t="shared" si="357"/>
        <v>1.2</v>
      </c>
      <c r="FP149" s="23">
        <f t="shared" si="357"/>
        <v>1.4</v>
      </c>
      <c r="FQ149" s="23">
        <f t="shared" si="391"/>
        <v>1.4</v>
      </c>
      <c r="FR149" s="23">
        <f t="shared" si="358"/>
        <v>2.2000000000000002</v>
      </c>
      <c r="FS149" s="23">
        <f t="shared" si="358"/>
        <v>1</v>
      </c>
      <c r="FT149" s="23">
        <f t="shared" si="358"/>
        <v>1.2</v>
      </c>
      <c r="FU149" s="23">
        <f t="shared" si="401"/>
        <v>0</v>
      </c>
      <c r="FV149" s="23"/>
      <c r="GF149" s="4">
        <f t="shared" si="449"/>
        <v>1.25</v>
      </c>
      <c r="GG149" s="4">
        <f t="shared" si="450"/>
        <v>0.78333333333333333</v>
      </c>
      <c r="GH149" s="4">
        <f t="shared" si="451"/>
        <v>0</v>
      </c>
      <c r="GI149" s="4">
        <f t="shared" si="452"/>
        <v>483.62017955714748</v>
      </c>
    </row>
    <row r="150" spans="1:196" ht="12" hidden="1" customHeight="1" x14ac:dyDescent="0.3">
      <c r="A150" s="25">
        <v>131</v>
      </c>
      <c r="B150" s="24" t="s">
        <v>605</v>
      </c>
      <c r="C150" s="24">
        <v>2016</v>
      </c>
      <c r="D150" s="51" t="s">
        <v>293</v>
      </c>
      <c r="E150" s="24"/>
      <c r="F150" s="24"/>
      <c r="G150" s="24"/>
      <c r="H150" s="7" t="s">
        <v>648</v>
      </c>
      <c r="I150" s="7"/>
      <c r="J150" s="38">
        <f t="shared" si="453"/>
        <v>826.20689655172418</v>
      </c>
      <c r="K150" s="38">
        <f t="shared" si="454"/>
        <v>304.79999999999995</v>
      </c>
      <c r="L150" s="7">
        <f t="shared" si="455"/>
        <v>304.79999999999995</v>
      </c>
      <c r="M150" s="38">
        <f t="shared" si="456"/>
        <v>43.655172413793103</v>
      </c>
      <c r="N150" s="38">
        <f t="shared" si="457"/>
        <v>19.049999999999997</v>
      </c>
      <c r="O150" s="7">
        <f t="shared" si="458"/>
        <v>16</v>
      </c>
      <c r="P150" s="7">
        <f t="shared" si="459"/>
        <v>16</v>
      </c>
      <c r="Q150" s="38">
        <f t="shared" ref="Q150:Q153" si="467">18*25.4</f>
        <v>457.2</v>
      </c>
      <c r="R150" s="38"/>
      <c r="S150" s="38">
        <f t="shared" si="460"/>
        <v>50.8</v>
      </c>
      <c r="T150" s="38"/>
      <c r="U150" s="21">
        <f>(5.3-1.9-2*0.75)*25.4</f>
        <v>48.26</v>
      </c>
      <c r="V150" s="21"/>
      <c r="W150" s="21">
        <f>(1.9)*25.4</f>
        <v>48.26</v>
      </c>
      <c r="X150" s="38">
        <v>3</v>
      </c>
      <c r="Y150" s="38"/>
      <c r="Z150" s="38"/>
      <c r="AA150" s="38">
        <f t="shared" si="461"/>
        <v>50.8</v>
      </c>
      <c r="AB150" s="7">
        <f t="shared" si="371"/>
        <v>1.7666666666666668</v>
      </c>
      <c r="AC150" s="7">
        <f t="shared" si="360"/>
        <v>3.166666666666667</v>
      </c>
      <c r="AD150" s="38">
        <v>4</v>
      </c>
      <c r="AE150" s="7">
        <f t="shared" si="462"/>
        <v>4</v>
      </c>
      <c r="AF150" s="4">
        <f t="shared" si="463"/>
        <v>5</v>
      </c>
      <c r="AG150" s="7">
        <f t="shared" si="407"/>
        <v>42.597094971370993</v>
      </c>
      <c r="AH150" s="7"/>
      <c r="AI150" s="7"/>
      <c r="AJ150" s="38">
        <f t="shared" si="408"/>
        <v>566.89655172413802</v>
      </c>
      <c r="AK150" s="4">
        <v>82.2</v>
      </c>
      <c r="AL150" s="7">
        <f t="shared" si="349"/>
        <v>0.81721497365135776</v>
      </c>
      <c r="AM150" s="7">
        <v>0</v>
      </c>
      <c r="AN150" s="7">
        <v>0</v>
      </c>
      <c r="AO150" s="7">
        <f t="shared" si="409"/>
        <v>304.79999999999995</v>
      </c>
      <c r="AP150" s="7"/>
      <c r="AQ150" s="7"/>
      <c r="AR150" s="7">
        <f t="shared" si="402"/>
        <v>0</v>
      </c>
      <c r="AS150" s="4">
        <f t="shared" si="292"/>
        <v>304.79999999999995</v>
      </c>
      <c r="AT150" s="47">
        <f t="shared" si="410"/>
        <v>0.19685039370078747</v>
      </c>
      <c r="AU150" s="25">
        <f t="shared" si="411"/>
        <v>411.18683539092382</v>
      </c>
      <c r="AV150" s="4">
        <f t="shared" si="412"/>
        <v>0.73958333333333326</v>
      </c>
      <c r="AW150" s="4">
        <v>1.25</v>
      </c>
      <c r="AX150" s="25">
        <f t="shared" si="325"/>
        <v>5</v>
      </c>
      <c r="AY150" s="38">
        <f t="shared" si="464"/>
        <v>374.14730603002477</v>
      </c>
      <c r="AZ150" s="38">
        <f t="shared" si="465"/>
        <v>374.14730603002477</v>
      </c>
      <c r="BB150" s="38">
        <f t="shared" si="413"/>
        <v>374.14730603002448</v>
      </c>
      <c r="BC150" s="38">
        <f t="shared" si="414"/>
        <v>1.0000000000000007</v>
      </c>
      <c r="BD150" s="38">
        <f t="shared" si="345"/>
        <v>1.0858935274504717</v>
      </c>
      <c r="BE150" s="4">
        <f t="shared" si="330"/>
        <v>0</v>
      </c>
      <c r="BF150" s="4">
        <f t="shared" si="415"/>
        <v>556.39630294068945</v>
      </c>
      <c r="BG150" s="4">
        <f t="shared" si="389"/>
        <v>1.3169811320754716</v>
      </c>
      <c r="BH150" s="38">
        <f t="shared" si="416"/>
        <v>406.28413793103448</v>
      </c>
      <c r="BI150" s="4">
        <f t="shared" si="390"/>
        <v>0.44000000000000006</v>
      </c>
      <c r="BJ150" s="4">
        <f t="shared" si="417"/>
        <v>127.91551004606451</v>
      </c>
      <c r="BK150" s="4">
        <f t="shared" si="418"/>
        <v>534.19964797709895</v>
      </c>
      <c r="BM150" s="36">
        <f t="shared" si="397"/>
        <v>1.1057894736842107</v>
      </c>
      <c r="BN150" s="36">
        <f t="shared" si="419"/>
        <v>347.77411816232063</v>
      </c>
      <c r="BS150" s="4">
        <f t="shared" si="373"/>
        <v>30.53</v>
      </c>
      <c r="BT150" s="4">
        <f t="shared" si="374"/>
        <v>30.53</v>
      </c>
      <c r="BU150" s="4">
        <f t="shared" si="375"/>
        <v>50.8</v>
      </c>
      <c r="BV150" s="4">
        <f t="shared" si="420"/>
        <v>40.055</v>
      </c>
      <c r="BW150" s="4">
        <f t="shared" si="376"/>
        <v>1.0663937111038324</v>
      </c>
      <c r="BX150" s="25">
        <f t="shared" si="421"/>
        <v>2.2422257269429928</v>
      </c>
      <c r="BZ150" s="4">
        <f t="shared" si="347"/>
        <v>24.13</v>
      </c>
      <c r="CD150" s="9"/>
      <c r="CF150" s="9"/>
      <c r="CG150" s="9"/>
      <c r="CH150" s="9">
        <f t="shared" si="393"/>
        <v>24.13</v>
      </c>
      <c r="CI150" s="9">
        <f t="shared" si="394"/>
        <v>50.8</v>
      </c>
      <c r="CJ150" s="9">
        <f t="shared" si="422"/>
        <v>1.2584243974819915</v>
      </c>
      <c r="CK150" s="70">
        <v>20</v>
      </c>
      <c r="CL150" s="9">
        <f t="shared" si="423"/>
        <v>0</v>
      </c>
      <c r="CM150" s="9">
        <f t="shared" si="424"/>
        <v>0</v>
      </c>
      <c r="CN150" s="9">
        <f t="shared" si="425"/>
        <v>1</v>
      </c>
      <c r="CO150" s="9">
        <f t="shared" si="426"/>
        <v>0.68</v>
      </c>
      <c r="CP150" s="9">
        <f t="shared" si="427"/>
        <v>1.5725150511861237</v>
      </c>
      <c r="CQ150" s="9">
        <f t="shared" si="428"/>
        <v>1.9788913058202608</v>
      </c>
      <c r="CR150" s="9">
        <v>1</v>
      </c>
      <c r="CS150" s="9">
        <f t="shared" si="429"/>
        <v>245.38252192171234</v>
      </c>
      <c r="CU150" s="4">
        <f t="shared" si="370"/>
        <v>1.0188718881271357</v>
      </c>
      <c r="CV150" s="4">
        <f t="shared" si="364"/>
        <v>1.0612072731063289</v>
      </c>
      <c r="CW150" s="4">
        <f t="shared" si="398"/>
        <v>1.6300711355971114</v>
      </c>
      <c r="CX150" s="4">
        <f t="shared" si="351"/>
        <v>2.3102564407786246</v>
      </c>
      <c r="CY150" s="4">
        <f t="shared" si="399"/>
        <v>0.81721497365135776</v>
      </c>
      <c r="CZ150" s="4">
        <f t="shared" si="400"/>
        <v>0.86568447721291919</v>
      </c>
      <c r="DA150" s="4">
        <f t="shared" si="346"/>
        <v>1.0824086965667323</v>
      </c>
      <c r="DI150" s="4">
        <f t="shared" si="403"/>
        <v>1.0188718881271357</v>
      </c>
      <c r="DJ150" s="4">
        <f t="shared" si="403"/>
        <v>1.0612072731063289</v>
      </c>
      <c r="DK150" s="4">
        <f t="shared" si="404"/>
        <v>2.3102564407786246</v>
      </c>
      <c r="DL150" s="4">
        <f t="shared" si="405"/>
        <v>1.0824086965667323</v>
      </c>
      <c r="DM150" s="4">
        <f t="shared" si="406"/>
        <v>0.81721497365135776</v>
      </c>
      <c r="DN150" s="4">
        <f t="shared" si="406"/>
        <v>0.86568447721291919</v>
      </c>
      <c r="DP150" s="4">
        <f t="shared" si="379"/>
        <v>0</v>
      </c>
      <c r="DQ150" s="4">
        <f t="shared" si="430"/>
        <v>304.79999999999995</v>
      </c>
      <c r="DR150" s="4">
        <f t="shared" si="431"/>
        <v>1</v>
      </c>
      <c r="DT150" s="4">
        <f t="shared" si="432"/>
        <v>3.1342636205669919E-5</v>
      </c>
      <c r="DU150" s="4">
        <f t="shared" si="380"/>
        <v>5.9505791832145585</v>
      </c>
      <c r="DV150" s="4">
        <f t="shared" si="353"/>
        <v>0.35513525052023837</v>
      </c>
      <c r="DW150" s="4">
        <f t="shared" si="433"/>
        <v>3.9329348433703348</v>
      </c>
      <c r="DX150" s="4">
        <f t="shared" si="434"/>
        <v>5.0440869145797498</v>
      </c>
      <c r="DY150" s="4">
        <f t="shared" si="354"/>
        <v>5.4605167584808374</v>
      </c>
      <c r="DZ150" s="38">
        <f t="shared" si="435"/>
        <v>693.69329980729015</v>
      </c>
      <c r="EA150" s="4">
        <f t="shared" si="436"/>
        <v>1.0000888235071765</v>
      </c>
      <c r="EB150" s="4">
        <f t="shared" si="355"/>
        <v>2.2360679774997898</v>
      </c>
      <c r="EC150" s="4">
        <f t="shared" si="466"/>
        <v>374.14730603002448</v>
      </c>
      <c r="EG150" s="4">
        <f t="shared" si="437"/>
        <v>0.85</v>
      </c>
      <c r="EH150" s="4">
        <f t="shared" si="438"/>
        <v>0.97333333333333327</v>
      </c>
      <c r="EI150" s="4">
        <f t="shared" si="439"/>
        <v>1</v>
      </c>
      <c r="EJ150" s="4">
        <f t="shared" si="440"/>
        <v>0.97333333333333327</v>
      </c>
      <c r="EL150" s="4">
        <f t="shared" si="441"/>
        <v>654.85354843056416</v>
      </c>
      <c r="EM150" s="25">
        <f t="shared" si="442"/>
        <v>369.2257476362654</v>
      </c>
      <c r="EP150" s="4">
        <f t="shared" si="322"/>
        <v>5.9505791832145585</v>
      </c>
      <c r="EQ150" s="4">
        <f t="shared" si="443"/>
        <v>5.9505791832145585</v>
      </c>
      <c r="ES150" s="4">
        <f t="shared" si="444"/>
        <v>42.597094971370993</v>
      </c>
      <c r="ET150" s="4">
        <f t="shared" si="381"/>
        <v>2.2360679774997898</v>
      </c>
      <c r="EU150" s="4">
        <f t="shared" si="445"/>
        <v>0.12830598100215107</v>
      </c>
      <c r="EX150" s="4">
        <f t="shared" si="348"/>
        <v>0.12830598100215107</v>
      </c>
      <c r="EY150" s="4">
        <f t="shared" si="446"/>
        <v>0.35454259597533333</v>
      </c>
      <c r="EZ150" s="4">
        <f t="shared" si="382"/>
        <v>3.9303081937395761</v>
      </c>
      <c r="FA150" s="4">
        <f t="shared" si="395"/>
        <v>5.0430654567129842</v>
      </c>
      <c r="FB150" s="4">
        <f t="shared" si="383"/>
        <v>186.00290502862896</v>
      </c>
      <c r="FC150" s="4">
        <f t="shared" si="384"/>
        <v>76.199999999999989</v>
      </c>
      <c r="FD150" s="4">
        <f t="shared" si="447"/>
        <v>3.1342636205669919E-5</v>
      </c>
      <c r="FE150" s="4">
        <f t="shared" si="396"/>
        <v>5.4606277865997805</v>
      </c>
      <c r="FF150" s="4">
        <f t="shared" si="448"/>
        <v>693.6316890079836</v>
      </c>
      <c r="FG150" s="4">
        <f t="shared" si="385"/>
        <v>186.00290502862896</v>
      </c>
      <c r="FH150" s="4">
        <f t="shared" si="386"/>
        <v>76.2</v>
      </c>
      <c r="FJ150" s="4">
        <f t="shared" si="356"/>
        <v>0</v>
      </c>
      <c r="FO150" s="23">
        <f t="shared" si="357"/>
        <v>1.2</v>
      </c>
      <c r="FP150" s="23">
        <f t="shared" si="357"/>
        <v>1.2</v>
      </c>
      <c r="FQ150" s="23">
        <f t="shared" si="391"/>
        <v>1.2</v>
      </c>
      <c r="FR150" s="23">
        <f t="shared" si="358"/>
        <v>2.2000000000000002</v>
      </c>
      <c r="FS150" s="23">
        <f t="shared" si="358"/>
        <v>1</v>
      </c>
      <c r="FT150" s="23">
        <f t="shared" si="358"/>
        <v>1</v>
      </c>
      <c r="FU150" s="23">
        <f t="shared" si="401"/>
        <v>0</v>
      </c>
      <c r="FV150" s="23"/>
      <c r="GF150" s="4">
        <f t="shared" si="449"/>
        <v>1.25</v>
      </c>
      <c r="GG150" s="4">
        <f t="shared" si="450"/>
        <v>0.72333333333333327</v>
      </c>
      <c r="GH150" s="4">
        <f t="shared" si="451"/>
        <v>0</v>
      </c>
      <c r="GI150" s="4">
        <f t="shared" si="452"/>
        <v>523.73613915174963</v>
      </c>
    </row>
    <row r="151" spans="1:196" ht="12" hidden="1" customHeight="1" x14ac:dyDescent="0.3">
      <c r="A151" s="25">
        <v>132</v>
      </c>
      <c r="B151" s="24" t="s">
        <v>605</v>
      </c>
      <c r="C151" s="24">
        <v>2016</v>
      </c>
      <c r="D151" s="51" t="s">
        <v>293</v>
      </c>
      <c r="E151" s="24"/>
      <c r="F151" s="24"/>
      <c r="G151" s="24"/>
      <c r="H151" s="7" t="s">
        <v>649</v>
      </c>
      <c r="I151" s="7"/>
      <c r="J151" s="38">
        <f t="shared" si="453"/>
        <v>826.20689655172418</v>
      </c>
      <c r="K151" s="38">
        <f t="shared" si="454"/>
        <v>304.79999999999995</v>
      </c>
      <c r="L151" s="7">
        <f t="shared" si="455"/>
        <v>304.79999999999995</v>
      </c>
      <c r="M151" s="38">
        <f>10890/145</f>
        <v>75.103448275862064</v>
      </c>
      <c r="N151" s="38">
        <f t="shared" si="457"/>
        <v>19.049999999999997</v>
      </c>
      <c r="O151" s="7">
        <f t="shared" si="458"/>
        <v>16</v>
      </c>
      <c r="P151" s="7">
        <f t="shared" si="459"/>
        <v>16</v>
      </c>
      <c r="Q151" s="38">
        <f t="shared" si="467"/>
        <v>457.2</v>
      </c>
      <c r="R151" s="38"/>
      <c r="S151" s="38">
        <f t="shared" si="460"/>
        <v>50.8</v>
      </c>
      <c r="T151" s="38"/>
      <c r="U151" s="21">
        <f>(6-0.5-2*0.75)*25.4</f>
        <v>101.6</v>
      </c>
      <c r="V151" s="21"/>
      <c r="W151" s="21">
        <f>(0.5)*25.4</f>
        <v>12.7</v>
      </c>
      <c r="X151" s="38">
        <v>3</v>
      </c>
      <c r="Y151" s="38"/>
      <c r="Z151" s="38"/>
      <c r="AA151" s="38">
        <f t="shared" si="461"/>
        <v>50.8</v>
      </c>
      <c r="AB151" s="7">
        <f t="shared" si="371"/>
        <v>0.83333333333333337</v>
      </c>
      <c r="AC151" s="7">
        <f t="shared" si="360"/>
        <v>3.166666666666667</v>
      </c>
      <c r="AD151" s="38">
        <v>4</v>
      </c>
      <c r="AE151" s="7">
        <f t="shared" si="462"/>
        <v>4</v>
      </c>
      <c r="AF151" s="4">
        <f t="shared" si="463"/>
        <v>5</v>
      </c>
      <c r="AG151" s="7">
        <f t="shared" si="407"/>
        <v>42.597094971370993</v>
      </c>
      <c r="AH151" s="7"/>
      <c r="AI151" s="7"/>
      <c r="AJ151" s="38">
        <f t="shared" si="408"/>
        <v>614.48275862068965</v>
      </c>
      <c r="AK151" s="4">
        <v>89.1</v>
      </c>
      <c r="AL151" s="7">
        <f t="shared" si="349"/>
        <v>0.81303221963079941</v>
      </c>
      <c r="AM151" s="7">
        <v>0</v>
      </c>
      <c r="AN151" s="7">
        <v>0</v>
      </c>
      <c r="AO151" s="7">
        <f t="shared" si="409"/>
        <v>304.79999999999995</v>
      </c>
      <c r="AP151" s="7"/>
      <c r="AQ151" s="7"/>
      <c r="AR151" s="7">
        <f t="shared" si="402"/>
        <v>0</v>
      </c>
      <c r="AS151" s="4">
        <f t="shared" ref="AS151:AS156" si="468">K151</f>
        <v>304.79999999999995</v>
      </c>
      <c r="AT151" s="47">
        <f t="shared" si="410"/>
        <v>0.19685039370078747</v>
      </c>
      <c r="AU151" s="25">
        <f t="shared" si="411"/>
        <v>539.3259121429644</v>
      </c>
      <c r="AV151" s="4">
        <f t="shared" si="412"/>
        <v>0.73958333333333326</v>
      </c>
      <c r="AW151" s="4">
        <v>1.25</v>
      </c>
      <c r="AX151" s="25">
        <f t="shared" si="325"/>
        <v>5</v>
      </c>
      <c r="AY151" s="38">
        <f t="shared" si="464"/>
        <v>490.74367108235009</v>
      </c>
      <c r="AZ151" s="38">
        <f t="shared" si="465"/>
        <v>490.74367108235009</v>
      </c>
      <c r="BB151" s="38">
        <f t="shared" si="413"/>
        <v>490.74367108234986</v>
      </c>
      <c r="BC151" s="38">
        <f t="shared" si="414"/>
        <v>1.0000000000000004</v>
      </c>
      <c r="BD151" s="38">
        <f t="shared" si="345"/>
        <v>1.020267167313901</v>
      </c>
      <c r="BE151" s="4">
        <f t="shared" si="330"/>
        <v>0</v>
      </c>
      <c r="BF151" s="4">
        <f t="shared" si="415"/>
        <v>729.78733210456323</v>
      </c>
      <c r="BG151" s="4">
        <f t="shared" si="389"/>
        <v>2</v>
      </c>
      <c r="BH151" s="38">
        <f t="shared" si="416"/>
        <v>500.68965517241384</v>
      </c>
      <c r="BI151" s="4">
        <f t="shared" si="390"/>
        <v>0.44000000000000006</v>
      </c>
      <c r="BJ151" s="4">
        <f t="shared" si="417"/>
        <v>167.7781076508391</v>
      </c>
      <c r="BK151" s="4">
        <f t="shared" si="418"/>
        <v>668.467762823253</v>
      </c>
      <c r="BM151" s="36">
        <f t="shared" si="397"/>
        <v>1.2083333333333333</v>
      </c>
      <c r="BN151" s="36">
        <f t="shared" si="419"/>
        <v>498.45234977879278</v>
      </c>
      <c r="BS151" s="4">
        <f t="shared" si="373"/>
        <v>12.75</v>
      </c>
      <c r="BT151" s="4">
        <f t="shared" si="374"/>
        <v>12.75</v>
      </c>
      <c r="BU151" s="4">
        <f t="shared" si="375"/>
        <v>50.8</v>
      </c>
      <c r="BV151" s="4">
        <f t="shared" si="420"/>
        <v>22.274999999999999</v>
      </c>
      <c r="BW151" s="4">
        <f t="shared" si="376"/>
        <v>1.25</v>
      </c>
      <c r="BX151" s="25">
        <f t="shared" si="421"/>
        <v>1.4616141732283467</v>
      </c>
      <c r="BZ151" s="4">
        <f t="shared" si="347"/>
        <v>6.35</v>
      </c>
      <c r="CD151" s="9"/>
      <c r="CF151" s="9"/>
      <c r="CG151" s="9"/>
      <c r="CH151" s="9">
        <f t="shared" si="393"/>
        <v>6.35</v>
      </c>
      <c r="CI151" s="9">
        <f t="shared" si="394"/>
        <v>50.8</v>
      </c>
      <c r="CJ151" s="9">
        <f t="shared" si="422"/>
        <v>0.78868370996101578</v>
      </c>
      <c r="CK151" s="70">
        <v>20</v>
      </c>
      <c r="CL151" s="9">
        <f t="shared" si="423"/>
        <v>0</v>
      </c>
      <c r="CM151" s="9">
        <f t="shared" si="424"/>
        <v>0</v>
      </c>
      <c r="CN151" s="9">
        <f t="shared" si="425"/>
        <v>1</v>
      </c>
      <c r="CO151" s="9">
        <f t="shared" si="426"/>
        <v>0.68</v>
      </c>
      <c r="CP151" s="9">
        <f t="shared" si="427"/>
        <v>2.062561447360522</v>
      </c>
      <c r="CQ151" s="9">
        <f t="shared" si="428"/>
        <v>1.626708614326859</v>
      </c>
      <c r="CR151" s="9">
        <v>1</v>
      </c>
      <c r="CS151" s="9">
        <f t="shared" si="429"/>
        <v>201.71186817653052</v>
      </c>
      <c r="CU151" s="4">
        <f t="shared" si="370"/>
        <v>0.84200250071297089</v>
      </c>
      <c r="CV151" s="4">
        <f t="shared" si="364"/>
        <v>0.91924067665647879</v>
      </c>
      <c r="CW151" s="4">
        <f t="shared" si="398"/>
        <v>1.2327813458867027</v>
      </c>
      <c r="CX151" s="4">
        <f t="shared" si="351"/>
        <v>3.0463391379773341</v>
      </c>
      <c r="CY151" s="4">
        <f t="shared" si="399"/>
        <v>0.81303221963079941</v>
      </c>
      <c r="CZ151" s="4">
        <f t="shared" si="400"/>
        <v>0.84349061145916415</v>
      </c>
      <c r="DA151" s="4">
        <f t="shared" si="346"/>
        <v>1.1566380294527625</v>
      </c>
      <c r="DI151" s="4">
        <f t="shared" si="403"/>
        <v>0.84200250071297089</v>
      </c>
      <c r="DJ151" s="4">
        <f t="shared" si="403"/>
        <v>0.91924067665647879</v>
      </c>
      <c r="DK151" s="4">
        <f t="shared" si="404"/>
        <v>3.0463391379773341</v>
      </c>
      <c r="DL151" s="4">
        <f t="shared" si="405"/>
        <v>1.1566380294527625</v>
      </c>
      <c r="DM151" s="4">
        <f t="shared" si="406"/>
        <v>0.81303221963079941</v>
      </c>
      <c r="DN151" s="4">
        <f t="shared" si="406"/>
        <v>0.84349061145916415</v>
      </c>
      <c r="DP151" s="4">
        <f t="shared" si="379"/>
        <v>0</v>
      </c>
      <c r="DQ151" s="4">
        <f t="shared" si="430"/>
        <v>304.79999999999995</v>
      </c>
      <c r="DR151" s="4">
        <f t="shared" si="431"/>
        <v>1</v>
      </c>
      <c r="DT151" s="4">
        <f t="shared" si="432"/>
        <v>3.807121106173361E-5</v>
      </c>
      <c r="DU151" s="4">
        <f t="shared" si="380"/>
        <v>5.0877379917756649</v>
      </c>
      <c r="DV151" s="4">
        <f t="shared" si="353"/>
        <v>0.2707582493430632</v>
      </c>
      <c r="DW151" s="4">
        <f t="shared" si="433"/>
        <v>3.0168756996773256</v>
      </c>
      <c r="DX151" s="4">
        <f t="shared" si="434"/>
        <v>4.1833021422574221</v>
      </c>
      <c r="DY151" s="4">
        <f t="shared" si="354"/>
        <v>4.6676287655490585</v>
      </c>
      <c r="DZ151" s="38">
        <f t="shared" si="435"/>
        <v>755.79139889404166</v>
      </c>
      <c r="EA151" s="4">
        <f t="shared" si="436"/>
        <v>1.000059423889732</v>
      </c>
      <c r="EB151" s="4">
        <f t="shared" si="355"/>
        <v>2.2360679774997898</v>
      </c>
      <c r="EC151" s="4">
        <f t="shared" si="466"/>
        <v>490.74367108234986</v>
      </c>
      <c r="EG151" s="4">
        <f t="shared" si="437"/>
        <v>0.85</v>
      </c>
      <c r="EH151" s="4">
        <f t="shared" si="438"/>
        <v>1</v>
      </c>
      <c r="EI151" s="4">
        <f t="shared" si="439"/>
        <v>1</v>
      </c>
      <c r="EJ151" s="4">
        <f t="shared" si="440"/>
        <v>1</v>
      </c>
      <c r="EL151" s="4">
        <f t="shared" si="441"/>
        <v>728.49982000118393</v>
      </c>
      <c r="EM151" s="25">
        <f t="shared" si="442"/>
        <v>484.28839639595202</v>
      </c>
      <c r="EP151" s="4">
        <f t="shared" si="322"/>
        <v>5.0877379917756649</v>
      </c>
      <c r="EQ151" s="4">
        <f t="shared" si="443"/>
        <v>5.0877379917756649</v>
      </c>
      <c r="ES151" s="4">
        <f t="shared" si="444"/>
        <v>42.597094971370993</v>
      </c>
      <c r="ET151" s="4">
        <f t="shared" si="381"/>
        <v>2.2360679774997898</v>
      </c>
      <c r="EU151" s="4">
        <f t="shared" si="445"/>
        <v>0.1283059810021511</v>
      </c>
      <c r="EX151" s="4">
        <f t="shared" si="348"/>
        <v>0.1283059810021511</v>
      </c>
      <c r="EY151" s="4">
        <f t="shared" si="446"/>
        <v>0.27030640428738761</v>
      </c>
      <c r="EZ151" s="4">
        <f t="shared" si="382"/>
        <v>3.0148608492518321</v>
      </c>
      <c r="FA151" s="4">
        <f t="shared" si="395"/>
        <v>4.1825792372626935</v>
      </c>
      <c r="FB151" s="4">
        <f t="shared" si="383"/>
        <v>186.00290502862896</v>
      </c>
      <c r="FC151" s="4">
        <f t="shared" si="384"/>
        <v>76.199999999999989</v>
      </c>
      <c r="FD151" s="4">
        <f t="shared" si="447"/>
        <v>3.807121106173361E-5</v>
      </c>
      <c r="FE151" s="4">
        <f t="shared" si="396"/>
        <v>4.6677128627312667</v>
      </c>
      <c r="FF151" s="4">
        <f t="shared" si="448"/>
        <v>755.74648949798438</v>
      </c>
      <c r="FG151" s="4">
        <f t="shared" si="385"/>
        <v>186.00290502862896</v>
      </c>
      <c r="FH151" s="4">
        <f t="shared" si="386"/>
        <v>76.2</v>
      </c>
      <c r="FJ151" s="4">
        <f t="shared" si="356"/>
        <v>0</v>
      </c>
      <c r="FO151" s="23">
        <f t="shared" si="357"/>
        <v>1</v>
      </c>
      <c r="FP151" s="23">
        <f t="shared" si="357"/>
        <v>1</v>
      </c>
      <c r="FQ151" s="23">
        <f t="shared" si="391"/>
        <v>1.2</v>
      </c>
      <c r="FR151" s="23">
        <f t="shared" si="358"/>
        <v>2.2000000000000002</v>
      </c>
      <c r="FS151" s="23">
        <f t="shared" si="358"/>
        <v>1</v>
      </c>
      <c r="FT151" s="23">
        <f t="shared" si="358"/>
        <v>1</v>
      </c>
      <c r="FU151" s="23">
        <f t="shared" si="401"/>
        <v>0</v>
      </c>
      <c r="FV151" s="23"/>
      <c r="GF151" s="4">
        <f t="shared" si="449"/>
        <v>1.25</v>
      </c>
      <c r="GG151" s="4">
        <f t="shared" si="450"/>
        <v>0.81666666666666665</v>
      </c>
      <c r="GH151" s="4">
        <f t="shared" si="451"/>
        <v>0</v>
      </c>
      <c r="GI151" s="4">
        <f t="shared" si="452"/>
        <v>531.26625873733246</v>
      </c>
    </row>
    <row r="152" spans="1:196" ht="12" hidden="1" customHeight="1" x14ac:dyDescent="0.3">
      <c r="A152" s="25">
        <v>133</v>
      </c>
      <c r="B152" s="24" t="s">
        <v>605</v>
      </c>
      <c r="C152" s="24">
        <v>2016</v>
      </c>
      <c r="D152" s="51" t="s">
        <v>293</v>
      </c>
      <c r="E152" s="24"/>
      <c r="F152" s="24"/>
      <c r="G152" s="24"/>
      <c r="H152" s="7" t="s">
        <v>650</v>
      </c>
      <c r="I152" s="7"/>
      <c r="J152" s="38">
        <f t="shared" si="453"/>
        <v>826.20689655172418</v>
      </c>
      <c r="K152" s="38">
        <f t="shared" si="454"/>
        <v>304.79999999999995</v>
      </c>
      <c r="L152" s="7">
        <f t="shared" si="455"/>
        <v>304.79999999999995</v>
      </c>
      <c r="M152" s="38">
        <f t="shared" ref="M152:M153" si="469">10890/145</f>
        <v>75.103448275862064</v>
      </c>
      <c r="N152" s="38">
        <f t="shared" si="457"/>
        <v>19.049999999999997</v>
      </c>
      <c r="O152" s="7">
        <f t="shared" si="458"/>
        <v>16</v>
      </c>
      <c r="P152" s="7">
        <f t="shared" si="459"/>
        <v>16</v>
      </c>
      <c r="Q152" s="38">
        <f t="shared" si="467"/>
        <v>457.2</v>
      </c>
      <c r="R152" s="38"/>
      <c r="S152" s="38">
        <f t="shared" si="460"/>
        <v>50.8</v>
      </c>
      <c r="T152" s="38"/>
      <c r="U152" s="21">
        <f>(5.8-1-2*0.75)*25.4</f>
        <v>83.82</v>
      </c>
      <c r="V152" s="21"/>
      <c r="W152" s="21">
        <f>(1)*25.4</f>
        <v>25.4</v>
      </c>
      <c r="X152" s="38">
        <v>3</v>
      </c>
      <c r="Y152" s="38"/>
      <c r="Z152" s="38"/>
      <c r="AA152" s="38">
        <f t="shared" si="461"/>
        <v>50.8</v>
      </c>
      <c r="AB152" s="7">
        <f t="shared" si="371"/>
        <v>1.1666666666666667</v>
      </c>
      <c r="AC152" s="7">
        <f t="shared" si="360"/>
        <v>3.166666666666667</v>
      </c>
      <c r="AD152" s="38">
        <v>4</v>
      </c>
      <c r="AE152" s="7">
        <f t="shared" si="462"/>
        <v>4</v>
      </c>
      <c r="AF152" s="4">
        <f t="shared" si="463"/>
        <v>5</v>
      </c>
      <c r="AG152" s="7">
        <f t="shared" si="407"/>
        <v>42.597094971370993</v>
      </c>
      <c r="AH152" s="7"/>
      <c r="AI152" s="7"/>
      <c r="AJ152" s="38">
        <f t="shared" si="408"/>
        <v>562.06896551724139</v>
      </c>
      <c r="AK152" s="4">
        <v>81.5</v>
      </c>
      <c r="AL152" s="7">
        <f t="shared" si="349"/>
        <v>0.69659629554846381</v>
      </c>
      <c r="AM152" s="7">
        <v>0</v>
      </c>
      <c r="AN152" s="7">
        <v>0</v>
      </c>
      <c r="AO152" s="7">
        <f t="shared" si="409"/>
        <v>304.79999999999995</v>
      </c>
      <c r="AP152" s="7"/>
      <c r="AQ152" s="7"/>
      <c r="AR152" s="7">
        <f t="shared" si="402"/>
        <v>0</v>
      </c>
      <c r="AS152" s="4">
        <f t="shared" si="468"/>
        <v>304.79999999999995</v>
      </c>
      <c r="AT152" s="47">
        <f t="shared" si="410"/>
        <v>0.19685039370078747</v>
      </c>
      <c r="AU152" s="25">
        <f t="shared" si="411"/>
        <v>539.3259121429644</v>
      </c>
      <c r="AV152" s="4">
        <f t="shared" si="412"/>
        <v>0.73958333333333326</v>
      </c>
      <c r="AW152" s="4">
        <v>1.25</v>
      </c>
      <c r="AX152" s="25">
        <f t="shared" si="325"/>
        <v>5</v>
      </c>
      <c r="AY152" s="38">
        <f t="shared" si="464"/>
        <v>490.74367108235009</v>
      </c>
      <c r="AZ152" s="38">
        <f t="shared" si="465"/>
        <v>490.74367108235009</v>
      </c>
      <c r="BB152" s="38">
        <f t="shared" si="413"/>
        <v>490.74367108234986</v>
      </c>
      <c r="BC152" s="38">
        <f t="shared" si="414"/>
        <v>1.0000000000000004</v>
      </c>
      <c r="BD152" s="38">
        <f t="shared" si="345"/>
        <v>1.2039152574304033</v>
      </c>
      <c r="BE152" s="4">
        <f t="shared" si="330"/>
        <v>0</v>
      </c>
      <c r="BF152" s="4">
        <f t="shared" si="415"/>
        <v>729.78733210456323</v>
      </c>
      <c r="BG152" s="4">
        <f t="shared" si="389"/>
        <v>1.6857142857142859</v>
      </c>
      <c r="BH152" s="38">
        <f t="shared" si="416"/>
        <v>590.81379310344835</v>
      </c>
      <c r="BI152" s="4">
        <f t="shared" si="390"/>
        <v>0.44000000000000006</v>
      </c>
      <c r="BJ152" s="4">
        <f t="shared" si="417"/>
        <v>167.7781076508391</v>
      </c>
      <c r="BK152" s="4">
        <f t="shared" si="418"/>
        <v>758.59190075428751</v>
      </c>
      <c r="BM152" s="36">
        <f t="shared" si="397"/>
        <v>1.1366666666666669</v>
      </c>
      <c r="BN152" s="36">
        <f t="shared" si="419"/>
        <v>468.88896903329208</v>
      </c>
      <c r="BS152" s="4">
        <f t="shared" si="373"/>
        <v>19.100000000000001</v>
      </c>
      <c r="BT152" s="4">
        <f t="shared" si="374"/>
        <v>19.100000000000001</v>
      </c>
      <c r="BU152" s="4">
        <f t="shared" si="375"/>
        <v>50.8</v>
      </c>
      <c r="BV152" s="4">
        <f t="shared" si="420"/>
        <v>28.625</v>
      </c>
      <c r="BW152" s="4">
        <f t="shared" si="376"/>
        <v>1.1659685863874345</v>
      </c>
      <c r="BX152" s="25">
        <f t="shared" si="421"/>
        <v>1.7520131645847936</v>
      </c>
      <c r="BZ152" s="4">
        <f t="shared" si="347"/>
        <v>12.7</v>
      </c>
      <c r="CD152" s="9"/>
      <c r="CF152" s="9"/>
      <c r="CG152" s="9"/>
      <c r="CH152" s="9">
        <f t="shared" si="393"/>
        <v>12.7</v>
      </c>
      <c r="CI152" s="9">
        <f t="shared" si="394"/>
        <v>50.8</v>
      </c>
      <c r="CJ152" s="9">
        <f t="shared" si="422"/>
        <v>1.0052252041243952</v>
      </c>
      <c r="CK152" s="70">
        <v>20</v>
      </c>
      <c r="CL152" s="9">
        <f t="shared" si="423"/>
        <v>0</v>
      </c>
      <c r="CM152" s="9">
        <f t="shared" si="424"/>
        <v>0</v>
      </c>
      <c r="CN152" s="9">
        <f t="shared" si="425"/>
        <v>1</v>
      </c>
      <c r="CO152" s="9">
        <f t="shared" si="426"/>
        <v>0.68</v>
      </c>
      <c r="CP152" s="9">
        <f t="shared" si="427"/>
        <v>2.062561447360522</v>
      </c>
      <c r="CQ152" s="9">
        <f t="shared" si="428"/>
        <v>2.0733387519420887</v>
      </c>
      <c r="CR152" s="9">
        <v>1</v>
      </c>
      <c r="CS152" s="9">
        <f t="shared" si="429"/>
        <v>257.094005240819</v>
      </c>
      <c r="CU152" s="4">
        <f t="shared" si="370"/>
        <v>0.77018186092151664</v>
      </c>
      <c r="CV152" s="4">
        <f t="shared" si="364"/>
        <v>0.74093720873945756</v>
      </c>
      <c r="CW152" s="4">
        <f t="shared" si="398"/>
        <v>1.1987250770178246</v>
      </c>
      <c r="CX152" s="4">
        <f t="shared" si="351"/>
        <v>2.1862390956597899</v>
      </c>
      <c r="CY152" s="4">
        <f t="shared" si="399"/>
        <v>0.69659629554846381</v>
      </c>
      <c r="CZ152" s="4">
        <f t="shared" si="400"/>
        <v>0.72336424582212799</v>
      </c>
      <c r="DA152" s="4">
        <f t="shared" si="346"/>
        <v>1.0147969426278216</v>
      </c>
      <c r="DI152" s="4">
        <f t="shared" si="403"/>
        <v>0.77018186092151664</v>
      </c>
      <c r="DJ152" s="4">
        <f t="shared" si="403"/>
        <v>0.74093720873945756</v>
      </c>
      <c r="DK152" s="4">
        <f t="shared" si="404"/>
        <v>2.1862390956597899</v>
      </c>
      <c r="DL152" s="4">
        <f t="shared" si="405"/>
        <v>1.0147969426278216</v>
      </c>
      <c r="DM152" s="4">
        <f t="shared" si="406"/>
        <v>0.69659629554846381</v>
      </c>
      <c r="DN152" s="4">
        <f t="shared" si="406"/>
        <v>0.72336424582212799</v>
      </c>
      <c r="DP152" s="4">
        <f t="shared" si="379"/>
        <v>0</v>
      </c>
      <c r="DQ152" s="4">
        <f t="shared" si="430"/>
        <v>304.79999999999995</v>
      </c>
      <c r="DR152" s="4">
        <f t="shared" si="431"/>
        <v>1</v>
      </c>
      <c r="DT152" s="4">
        <f t="shared" si="432"/>
        <v>3.807121106173361E-5</v>
      </c>
      <c r="DU152" s="4">
        <f t="shared" si="380"/>
        <v>6.0985888771595622</v>
      </c>
      <c r="DV152" s="4">
        <f t="shared" si="353"/>
        <v>0.2707582493430632</v>
      </c>
      <c r="DW152" s="4">
        <f t="shared" si="433"/>
        <v>3.6162798901135647</v>
      </c>
      <c r="DX152" s="4">
        <f t="shared" si="434"/>
        <v>5.0144563174851866</v>
      </c>
      <c r="DY152" s="4">
        <f t="shared" si="354"/>
        <v>5.4966973614584278</v>
      </c>
      <c r="DZ152" s="38">
        <f t="shared" si="435"/>
        <v>806.87906196041058</v>
      </c>
      <c r="EA152" s="4">
        <f t="shared" si="436"/>
        <v>1.0000663306694051</v>
      </c>
      <c r="EB152" s="4">
        <f t="shared" si="355"/>
        <v>2.2360679774997898</v>
      </c>
      <c r="EC152" s="4">
        <f t="shared" si="466"/>
        <v>490.74367108234986</v>
      </c>
      <c r="EG152" s="4">
        <f t="shared" si="437"/>
        <v>0.85</v>
      </c>
      <c r="EH152" s="4">
        <f t="shared" si="438"/>
        <v>1</v>
      </c>
      <c r="EI152" s="4">
        <f t="shared" si="439"/>
        <v>1</v>
      </c>
      <c r="EJ152" s="4">
        <f t="shared" si="440"/>
        <v>1</v>
      </c>
      <c r="EL152" s="4">
        <f t="shared" si="441"/>
        <v>777.02066249961103</v>
      </c>
      <c r="EM152" s="25">
        <f t="shared" si="442"/>
        <v>484.28839639595202</v>
      </c>
      <c r="EP152" s="4">
        <f t="shared" si="322"/>
        <v>6.0985888771595622</v>
      </c>
      <c r="EQ152" s="4">
        <f t="shared" si="443"/>
        <v>6.0985888771595622</v>
      </c>
      <c r="ES152" s="4">
        <f t="shared" si="444"/>
        <v>42.597094971370993</v>
      </c>
      <c r="ET152" s="4">
        <f t="shared" si="381"/>
        <v>2.2360679774997898</v>
      </c>
      <c r="EU152" s="4">
        <f t="shared" si="445"/>
        <v>0.1283059810021511</v>
      </c>
      <c r="EX152" s="4">
        <f t="shared" si="348"/>
        <v>0.1283059810021511</v>
      </c>
      <c r="EY152" s="4">
        <f t="shared" si="446"/>
        <v>0.27030640428738761</v>
      </c>
      <c r="EZ152" s="4">
        <f t="shared" si="382"/>
        <v>3.6138647216410691</v>
      </c>
      <c r="FA152" s="4">
        <f t="shared" si="395"/>
        <v>5.0135897830120628</v>
      </c>
      <c r="FB152" s="4">
        <f t="shared" si="383"/>
        <v>186.00290502862896</v>
      </c>
      <c r="FC152" s="4">
        <f t="shared" si="384"/>
        <v>76.199999999999989</v>
      </c>
      <c r="FD152" s="4">
        <f t="shared" si="447"/>
        <v>3.807121106173361E-5</v>
      </c>
      <c r="FE152" s="4">
        <f t="shared" si="396"/>
        <v>5.4968178476970175</v>
      </c>
      <c r="FF152" s="4">
        <f t="shared" si="448"/>
        <v>806.82554468193871</v>
      </c>
      <c r="FG152" s="4">
        <f t="shared" si="385"/>
        <v>186.00290502862896</v>
      </c>
      <c r="FH152" s="4">
        <f t="shared" si="386"/>
        <v>76.2</v>
      </c>
      <c r="FJ152" s="4">
        <f t="shared" si="356"/>
        <v>0</v>
      </c>
      <c r="FO152" s="23">
        <f t="shared" si="357"/>
        <v>0.8</v>
      </c>
      <c r="FP152" s="23">
        <f t="shared" si="357"/>
        <v>0.8</v>
      </c>
      <c r="FQ152" s="23">
        <f t="shared" si="391"/>
        <v>1.2</v>
      </c>
      <c r="FR152" s="23">
        <f t="shared" si="358"/>
        <v>2.2000000000000002</v>
      </c>
      <c r="FS152" s="23">
        <f t="shared" si="358"/>
        <v>0.8</v>
      </c>
      <c r="FT152" s="23">
        <f t="shared" si="358"/>
        <v>0.8</v>
      </c>
      <c r="FU152" s="23">
        <f t="shared" si="401"/>
        <v>1</v>
      </c>
      <c r="FV152" s="23"/>
      <c r="GF152" s="4">
        <f t="shared" si="449"/>
        <v>1.25</v>
      </c>
      <c r="GG152" s="4">
        <f t="shared" si="450"/>
        <v>0.78333333333333333</v>
      </c>
      <c r="GH152" s="4">
        <f t="shared" si="451"/>
        <v>0</v>
      </c>
      <c r="GI152" s="4">
        <f t="shared" si="452"/>
        <v>553.873333577219</v>
      </c>
    </row>
    <row r="153" spans="1:196" ht="12" hidden="1" customHeight="1" x14ac:dyDescent="0.3">
      <c r="A153" s="25">
        <v>134</v>
      </c>
      <c r="B153" s="24" t="s">
        <v>605</v>
      </c>
      <c r="C153" s="24">
        <v>2016</v>
      </c>
      <c r="D153" s="51" t="s">
        <v>293</v>
      </c>
      <c r="E153" s="24"/>
      <c r="F153" s="24"/>
      <c r="G153" s="24"/>
      <c r="H153" s="7" t="s">
        <v>651</v>
      </c>
      <c r="I153" s="7"/>
      <c r="J153" s="38">
        <f t="shared" si="453"/>
        <v>826.20689655172418</v>
      </c>
      <c r="K153" s="38">
        <f t="shared" si="454"/>
        <v>304.79999999999995</v>
      </c>
      <c r="L153" s="7">
        <f t="shared" si="455"/>
        <v>304.79999999999995</v>
      </c>
      <c r="M153" s="38">
        <f t="shared" si="469"/>
        <v>75.103448275862064</v>
      </c>
      <c r="N153" s="38">
        <f t="shared" si="457"/>
        <v>19.049999999999997</v>
      </c>
      <c r="O153" s="7">
        <f t="shared" si="458"/>
        <v>16</v>
      </c>
      <c r="P153" s="7">
        <f t="shared" si="459"/>
        <v>16</v>
      </c>
      <c r="Q153" s="38">
        <f t="shared" si="467"/>
        <v>457.2</v>
      </c>
      <c r="R153" s="38"/>
      <c r="S153" s="38">
        <f t="shared" si="460"/>
        <v>50.8</v>
      </c>
      <c r="T153" s="38"/>
      <c r="U153" s="21">
        <f>(5.3-1.9-2*0.75)*25.4</f>
        <v>48.26</v>
      </c>
      <c r="V153" s="21"/>
      <c r="W153" s="21">
        <f>(1.9)*25.4</f>
        <v>48.26</v>
      </c>
      <c r="X153" s="38">
        <v>3</v>
      </c>
      <c r="Y153" s="38"/>
      <c r="Z153" s="38"/>
      <c r="AA153" s="38">
        <f t="shared" si="461"/>
        <v>50.8</v>
      </c>
      <c r="AB153" s="7">
        <f t="shared" si="371"/>
        <v>1.7666666666666668</v>
      </c>
      <c r="AC153" s="7">
        <f t="shared" si="360"/>
        <v>3.166666666666667</v>
      </c>
      <c r="AD153" s="38">
        <v>4</v>
      </c>
      <c r="AE153" s="7">
        <f t="shared" si="462"/>
        <v>4</v>
      </c>
      <c r="AF153" s="4">
        <f t="shared" si="463"/>
        <v>5</v>
      </c>
      <c r="AG153" s="7">
        <f t="shared" si="407"/>
        <v>42.597094971370993</v>
      </c>
      <c r="AH153" s="7"/>
      <c r="AI153" s="7"/>
      <c r="AJ153" s="38">
        <f t="shared" si="408"/>
        <v>621.37931034482756</v>
      </c>
      <c r="AK153" s="4">
        <v>90.1</v>
      </c>
      <c r="AL153" s="7">
        <f t="shared" si="349"/>
        <v>0.75208681135225364</v>
      </c>
      <c r="AM153" s="7">
        <v>0</v>
      </c>
      <c r="AN153" s="7">
        <v>0</v>
      </c>
      <c r="AO153" s="7">
        <f t="shared" si="409"/>
        <v>304.79999999999995</v>
      </c>
      <c r="AP153" s="7"/>
      <c r="AQ153" s="7"/>
      <c r="AR153" s="7">
        <f t="shared" si="402"/>
        <v>0</v>
      </c>
      <c r="AS153" s="4">
        <f t="shared" si="468"/>
        <v>304.79999999999995</v>
      </c>
      <c r="AT153" s="47">
        <f t="shared" si="410"/>
        <v>0.19685039370078747</v>
      </c>
      <c r="AU153" s="25">
        <f t="shared" si="411"/>
        <v>539.3259121429644</v>
      </c>
      <c r="AV153" s="4">
        <f t="shared" si="412"/>
        <v>0.73958333333333326</v>
      </c>
      <c r="AW153" s="4">
        <v>1.25</v>
      </c>
      <c r="AX153" s="25">
        <f t="shared" si="325"/>
        <v>5</v>
      </c>
      <c r="AY153" s="38">
        <f t="shared" si="464"/>
        <v>490.74367108235009</v>
      </c>
      <c r="AZ153" s="38">
        <f t="shared" si="465"/>
        <v>490.74367108235009</v>
      </c>
      <c r="BB153" s="38">
        <f t="shared" si="413"/>
        <v>490.74367108234986</v>
      </c>
      <c r="BC153" s="38">
        <f t="shared" si="414"/>
        <v>1.0000000000000004</v>
      </c>
      <c r="BD153" s="38">
        <f t="shared" si="345"/>
        <v>1.4242929655702057</v>
      </c>
      <c r="BE153" s="4">
        <f t="shared" si="330"/>
        <v>0</v>
      </c>
      <c r="BF153" s="4">
        <f t="shared" si="415"/>
        <v>729.78733210456323</v>
      </c>
      <c r="BG153" s="4">
        <f t="shared" si="389"/>
        <v>1.3169811320754716</v>
      </c>
      <c r="BH153" s="38">
        <f t="shared" si="416"/>
        <v>698.96275862068967</v>
      </c>
      <c r="BI153" s="4">
        <f t="shared" si="390"/>
        <v>0.44000000000000006</v>
      </c>
      <c r="BJ153" s="4">
        <f t="shared" si="417"/>
        <v>167.7781076508391</v>
      </c>
      <c r="BK153" s="4">
        <f t="shared" si="418"/>
        <v>866.74086627152883</v>
      </c>
      <c r="BM153" s="36">
        <f t="shared" si="397"/>
        <v>1.1057894736842107</v>
      </c>
      <c r="BN153" s="36">
        <f t="shared" si="419"/>
        <v>456.15174746362703</v>
      </c>
      <c r="BS153" s="4">
        <f t="shared" si="373"/>
        <v>30.53</v>
      </c>
      <c r="BT153" s="4">
        <f t="shared" si="374"/>
        <v>30.53</v>
      </c>
      <c r="BU153" s="4">
        <f t="shared" si="375"/>
        <v>50.8</v>
      </c>
      <c r="BV153" s="4">
        <f t="shared" si="420"/>
        <v>40.055</v>
      </c>
      <c r="BW153" s="4">
        <f t="shared" si="376"/>
        <v>1.0663937111038324</v>
      </c>
      <c r="BX153" s="25">
        <f t="shared" si="421"/>
        <v>2.2422257269429928</v>
      </c>
      <c r="BZ153" s="4">
        <f t="shared" si="347"/>
        <v>24.13</v>
      </c>
      <c r="CD153" s="9"/>
      <c r="CF153" s="9"/>
      <c r="CG153" s="9"/>
      <c r="CH153" s="9">
        <f t="shared" si="393"/>
        <v>24.13</v>
      </c>
      <c r="CI153" s="9">
        <f t="shared" si="394"/>
        <v>50.8</v>
      </c>
      <c r="CJ153" s="9">
        <f t="shared" si="422"/>
        <v>1.2584243974819915</v>
      </c>
      <c r="CK153" s="70">
        <v>20</v>
      </c>
      <c r="CL153" s="9">
        <f t="shared" si="423"/>
        <v>0</v>
      </c>
      <c r="CM153" s="9">
        <f t="shared" si="424"/>
        <v>0</v>
      </c>
      <c r="CN153" s="9">
        <f t="shared" si="425"/>
        <v>1</v>
      </c>
      <c r="CO153" s="9">
        <f t="shared" si="426"/>
        <v>0.68</v>
      </c>
      <c r="CP153" s="9">
        <f t="shared" si="427"/>
        <v>2.062561447360522</v>
      </c>
      <c r="CQ153" s="9">
        <f t="shared" si="428"/>
        <v>2.5955776466642493</v>
      </c>
      <c r="CR153" s="9">
        <v>1</v>
      </c>
      <c r="CS153" s="9">
        <f t="shared" si="429"/>
        <v>321.85162818636695</v>
      </c>
      <c r="CU153" s="4">
        <f t="shared" si="370"/>
        <v>0.85145258489605702</v>
      </c>
      <c r="CV153" s="4">
        <f t="shared" si="364"/>
        <v>0.7169147487158688</v>
      </c>
      <c r="CW153" s="4">
        <f t="shared" si="398"/>
        <v>1.362220607067554</v>
      </c>
      <c r="CX153" s="4">
        <f t="shared" si="351"/>
        <v>1.9306390147730439</v>
      </c>
      <c r="CY153" s="4">
        <f t="shared" si="399"/>
        <v>0.75208681135225364</v>
      </c>
      <c r="CZ153" s="4">
        <f t="shared" si="400"/>
        <v>0.75208681135225364</v>
      </c>
      <c r="DA153" s="4">
        <f t="shared" si="346"/>
        <v>1.0359485906892771</v>
      </c>
      <c r="DI153" s="4">
        <f t="shared" si="403"/>
        <v>0.85145258489605702</v>
      </c>
      <c r="DJ153" s="4">
        <f t="shared" si="403"/>
        <v>0.7169147487158688</v>
      </c>
      <c r="DK153" s="4">
        <f t="shared" si="404"/>
        <v>1.9306390147730439</v>
      </c>
      <c r="DL153" s="4">
        <f t="shared" si="405"/>
        <v>1.0359485906892771</v>
      </c>
      <c r="DM153" s="4">
        <f t="shared" si="406"/>
        <v>0.75208681135225364</v>
      </c>
      <c r="DN153" s="4">
        <f t="shared" si="406"/>
        <v>0.75208681135225364</v>
      </c>
      <c r="DP153" s="4">
        <f t="shared" si="379"/>
        <v>0</v>
      </c>
      <c r="DQ153" s="4">
        <f t="shared" si="430"/>
        <v>304.79999999999995</v>
      </c>
      <c r="DR153" s="4">
        <f t="shared" si="431"/>
        <v>1</v>
      </c>
      <c r="DT153" s="4">
        <f t="shared" si="432"/>
        <v>3.807121106173361E-5</v>
      </c>
      <c r="DU153" s="4">
        <f t="shared" si="380"/>
        <v>7.8049715349349125</v>
      </c>
      <c r="DV153" s="4">
        <f t="shared" si="353"/>
        <v>0.2707582493430632</v>
      </c>
      <c r="DW153" s="4">
        <f t="shared" si="433"/>
        <v>4.6281135149808286</v>
      </c>
      <c r="DX153" s="4">
        <f t="shared" si="434"/>
        <v>6.4174991312703371</v>
      </c>
      <c r="DY153" s="4">
        <f t="shared" si="354"/>
        <v>6.8239133200440145</v>
      </c>
      <c r="DZ153" s="38">
        <f t="shared" si="435"/>
        <v>826.20689655172418</v>
      </c>
      <c r="EA153" s="4">
        <f t="shared" si="436"/>
        <v>1</v>
      </c>
      <c r="EB153" s="4">
        <f t="shared" si="355"/>
        <v>2.2360679774997898</v>
      </c>
      <c r="EC153" s="4">
        <f t="shared" si="466"/>
        <v>490.74367108234986</v>
      </c>
      <c r="EG153" s="4">
        <f t="shared" si="437"/>
        <v>0.85</v>
      </c>
      <c r="EH153" s="4">
        <f t="shared" si="438"/>
        <v>0.97333333333333327</v>
      </c>
      <c r="EI153" s="4">
        <f t="shared" si="439"/>
        <v>1</v>
      </c>
      <c r="EJ153" s="4">
        <f t="shared" si="440"/>
        <v>0.97333333333333327</v>
      </c>
      <c r="EL153" s="4">
        <f t="shared" si="441"/>
        <v>826.20689655172418</v>
      </c>
      <c r="EM153" s="25">
        <f t="shared" si="442"/>
        <v>484.28839639595202</v>
      </c>
      <c r="EP153" s="4">
        <f t="shared" si="322"/>
        <v>7.8049715349349125</v>
      </c>
      <c r="EQ153" s="4">
        <f t="shared" si="443"/>
        <v>7.8049715349349125</v>
      </c>
      <c r="ES153" s="4">
        <f t="shared" si="444"/>
        <v>42.597094971370993</v>
      </c>
      <c r="ET153" s="4">
        <f t="shared" si="381"/>
        <v>2.2360679774997898</v>
      </c>
      <c r="EU153" s="4">
        <f t="shared" si="445"/>
        <v>0.1283059810021511</v>
      </c>
      <c r="EX153" s="4">
        <f t="shared" si="348"/>
        <v>0.1283059810021511</v>
      </c>
      <c r="EY153" s="4">
        <f t="shared" si="446"/>
        <v>0.27030640428738761</v>
      </c>
      <c r="EZ153" s="4">
        <f t="shared" si="382"/>
        <v>4.6250225833637622</v>
      </c>
      <c r="FA153" s="4">
        <f t="shared" si="395"/>
        <v>6.4163901408082813</v>
      </c>
      <c r="FB153" s="4">
        <f t="shared" si="383"/>
        <v>186.00290502862896</v>
      </c>
      <c r="FC153" s="4">
        <f t="shared" si="384"/>
        <v>76.199999999999989</v>
      </c>
      <c r="FD153" s="4">
        <f t="shared" si="447"/>
        <v>3.807121106173361E-5</v>
      </c>
      <c r="FE153" s="4">
        <f t="shared" si="396"/>
        <v>6.824109707617299</v>
      </c>
      <c r="FF153" s="4">
        <f t="shared" si="448"/>
        <v>826.20689655172418</v>
      </c>
      <c r="FG153" s="4">
        <f t="shared" si="385"/>
        <v>186.00290502862896</v>
      </c>
      <c r="FH153" s="4">
        <f t="shared" si="386"/>
        <v>76.2</v>
      </c>
      <c r="FJ153" s="4">
        <f t="shared" si="356"/>
        <v>0</v>
      </c>
      <c r="FO153" s="23">
        <f t="shared" si="357"/>
        <v>1</v>
      </c>
      <c r="FP153" s="23">
        <f t="shared" si="357"/>
        <v>0.8</v>
      </c>
      <c r="FQ153" s="23">
        <f t="shared" si="391"/>
        <v>1.2</v>
      </c>
      <c r="FR153" s="23">
        <f t="shared" si="358"/>
        <v>2</v>
      </c>
      <c r="FS153" s="23">
        <f t="shared" si="358"/>
        <v>0.8</v>
      </c>
      <c r="FT153" s="23">
        <f t="shared" si="358"/>
        <v>0.8</v>
      </c>
      <c r="FU153" s="23">
        <f t="shared" si="401"/>
        <v>1</v>
      </c>
      <c r="FV153" s="23"/>
      <c r="GF153" s="4">
        <f t="shared" si="449"/>
        <v>1.25</v>
      </c>
      <c r="GG153" s="4">
        <f t="shared" si="450"/>
        <v>0.72333333333333327</v>
      </c>
      <c r="GH153" s="4">
        <f t="shared" si="451"/>
        <v>0</v>
      </c>
      <c r="GI153" s="4">
        <f t="shared" si="452"/>
        <v>599.81674373569797</v>
      </c>
    </row>
    <row r="154" spans="1:196" ht="12" hidden="1" customHeight="1" x14ac:dyDescent="0.3">
      <c r="A154" s="25">
        <v>135</v>
      </c>
      <c r="B154" s="24" t="s">
        <v>659</v>
      </c>
      <c r="C154" s="24">
        <v>2007</v>
      </c>
      <c r="D154" s="24" t="s">
        <v>309</v>
      </c>
      <c r="E154" s="24"/>
      <c r="F154" s="24"/>
      <c r="G154" s="24"/>
      <c r="H154" s="4" t="s">
        <v>112</v>
      </c>
      <c r="J154" s="7">
        <v>447.7</v>
      </c>
      <c r="K154" s="7">
        <v>888</v>
      </c>
      <c r="L154" s="7">
        <f>K154</f>
        <v>888</v>
      </c>
      <c r="M154" s="7">
        <v>24.2</v>
      </c>
      <c r="N154" s="37">
        <v>57.3</v>
      </c>
      <c r="O154" s="7">
        <f t="shared" ref="O154:O156" si="470">K154/N154</f>
        <v>15.497382198952881</v>
      </c>
      <c r="P154" s="7">
        <f t="shared" ref="P154:P156" si="471">L154/N154</f>
        <v>15.497382198952881</v>
      </c>
      <c r="Q154" s="7">
        <v>350</v>
      </c>
      <c r="R154" s="7"/>
      <c r="S154" s="7">
        <f t="shared" ref="S154:S165" si="472">(Q154-N154)/2</f>
        <v>146.35</v>
      </c>
      <c r="T154" s="7"/>
      <c r="U154" s="7">
        <f>958-20-L154</f>
        <v>50</v>
      </c>
      <c r="V154" s="7"/>
      <c r="W154" s="7">
        <v>0</v>
      </c>
      <c r="X154" s="7">
        <v>1</v>
      </c>
      <c r="Y154" s="7"/>
      <c r="Z154" s="7"/>
      <c r="AA154" s="7">
        <f>958-105</f>
        <v>853</v>
      </c>
      <c r="AB154" s="7">
        <f t="shared" ref="AB154:AB165" si="473">S154/N154+0.5</f>
        <v>3.0541012216404888</v>
      </c>
      <c r="AC154" s="7">
        <f t="shared" ref="AC154:AC156" si="474">S154/N154+0.5</f>
        <v>3.0541012216404888</v>
      </c>
      <c r="AD154" s="7">
        <f>10324/2581</f>
        <v>4</v>
      </c>
      <c r="AE154" s="7">
        <f>10324/2581</f>
        <v>4</v>
      </c>
      <c r="AF154" s="7">
        <f t="shared" ref="AF154:AF156" si="475">AE154+1</f>
        <v>5</v>
      </c>
      <c r="AG154" s="7">
        <f t="shared" si="407"/>
        <v>128.12669511073796</v>
      </c>
      <c r="AH154" s="7">
        <f t="shared" ref="AH154:AH156" si="476">J154</f>
        <v>447.7</v>
      </c>
      <c r="AI154" s="7">
        <v>20</v>
      </c>
      <c r="AJ154" s="7"/>
      <c r="AK154" s="32" t="s">
        <v>183</v>
      </c>
      <c r="AL154" s="7"/>
      <c r="AM154" s="7">
        <v>0</v>
      </c>
      <c r="AN154" s="7">
        <v>0</v>
      </c>
      <c r="AO154" s="7">
        <f t="shared" si="409"/>
        <v>888</v>
      </c>
      <c r="AP154" s="7"/>
      <c r="AQ154" s="7"/>
      <c r="AR154" s="7"/>
      <c r="AS154" s="4">
        <f t="shared" si="468"/>
        <v>888</v>
      </c>
      <c r="AT154" s="4">
        <f t="shared" ref="AT154:AT156" si="477">MIN(9*K154^2,Q154*3*K154)/(9*K154^2)</f>
        <v>0.13138138138138139</v>
      </c>
      <c r="AU154" s="4">
        <f t="shared" ref="AU154:AU156" si="478">MIN(10*M154^0.5*K154^1.5,3.9*M154^0.5*K154^(5/3))/(PI()/4*N154^2)</f>
        <v>504.810066148418</v>
      </c>
      <c r="AV154" s="4">
        <f t="shared" ref="AV154:AV156" si="479">MIN(0.7+0.3*Q154/2/1.5/K154,1)</f>
        <v>0.73941441441441436</v>
      </c>
      <c r="AW154" s="4">
        <v>1.25</v>
      </c>
      <c r="AX154" s="25">
        <v>1</v>
      </c>
      <c r="AY154" s="38">
        <f>AT154*AV154*AW154*AX154*AU154</f>
        <v>61.299898558592346</v>
      </c>
      <c r="BB154" s="38">
        <f t="shared" ref="BB154:BB156" si="480">AX154* (M154^0.5/AS154^0.5)/(PI()/4*N154^2)/X154/0.72 *(0.7+(MIN(S154,AA154)+0.5*N154)/5/K154) *(3*Q154*K154)</f>
        <v>61.299898558592375</v>
      </c>
      <c r="BC154" s="38">
        <f t="shared" si="414"/>
        <v>0.99999999999999956</v>
      </c>
      <c r="BD154" s="38">
        <f t="shared" ref="BD154:BD156" si="481">BH154/BB154</f>
        <v>4.8227975120092603</v>
      </c>
      <c r="BE154" s="4">
        <f t="shared" ref="BE154:BE156" si="482">IF(BD154&lt;1,1,0)</f>
        <v>0</v>
      </c>
      <c r="BF154" s="4">
        <f t="shared" si="415"/>
        <v>401.24757975967572</v>
      </c>
      <c r="BG154" s="4">
        <f t="shared" si="389"/>
        <v>1</v>
      </c>
      <c r="BH154" s="38">
        <f t="shared" si="416"/>
        <v>295.63699825479932</v>
      </c>
      <c r="BI154" s="4">
        <f t="shared" ref="BI154:BI156" si="483">MAX(1-0.7*AE154/5,0.3)</f>
        <v>0.44000000000000006</v>
      </c>
      <c r="BJ154" s="4">
        <f t="shared" si="417"/>
        <v>92.246818586749441</v>
      </c>
      <c r="BK154" s="4">
        <f t="shared" ref="BK154:BK156" si="484">BH154+BJ154</f>
        <v>387.88381684154876</v>
      </c>
      <c r="BM154" s="4">
        <f t="shared" ref="BM154:BM156" si="485">MIN(1.5, 0.75+0.25*MIN(3,MAX(1,S154/N154))+0.4*MIN(1,(40*2*PI()*AM154^2/4/AO154/X154)/N154))</f>
        <v>1.3885253054101221</v>
      </c>
      <c r="BN154" s="4">
        <f t="shared" ref="BN154:BN156" si="486">(3*P154+30)*BM154*M154^0.5</f>
        <v>522.49041850239485</v>
      </c>
      <c r="BP154" s="4">
        <f t="shared" ref="BP154:BP156" si="487">3.4/PI()^0.5*M154*AB154*AE154^0.5*BG154</f>
        <v>283.55203537536278</v>
      </c>
      <c r="BQ154" s="4">
        <f t="shared" ref="BQ154:BQ156" si="488">8/3*AH154*AI154^2/(AG154-N154-22)/N154*(AG154^2-N154^2)/(AG154^2-(N154+22)^2)</f>
        <v>221.33552459284101</v>
      </c>
      <c r="BR154" s="4">
        <f>BQ154/BP154</f>
        <v>0.78058168159449004</v>
      </c>
      <c r="BZ154" s="4">
        <f t="shared" ref="BZ154:BZ156" si="489">IF(W154=0,S154,MIN(W154/2,S154))</f>
        <v>146.35</v>
      </c>
      <c r="CD154" s="9"/>
      <c r="CF154" s="9"/>
      <c r="CG154" s="9"/>
      <c r="CH154" s="9">
        <f t="shared" ref="CH154:CH156" si="490">IF(W154=0,MIN(S154,U154),MIN(W154/2,S154,U154))</f>
        <v>50</v>
      </c>
      <c r="CI154" s="9">
        <f t="shared" ref="CI154:CI156" si="491">MAX(W154/2,S154)</f>
        <v>146.35</v>
      </c>
      <c r="CJ154" s="9">
        <f t="shared" si="422"/>
        <v>1.0974155243334465</v>
      </c>
      <c r="CK154" s="70">
        <v>0</v>
      </c>
      <c r="CL154" s="9">
        <f t="shared" si="423"/>
        <v>0</v>
      </c>
      <c r="CM154" s="9">
        <f t="shared" ref="CM154:CM156" si="492">MAX(0,CK154*(CL154-0.5/50))</f>
        <v>0</v>
      </c>
      <c r="CN154" s="9">
        <f t="shared" si="425"/>
        <v>0.77971450958075206</v>
      </c>
      <c r="CO154" s="9">
        <f t="shared" si="426"/>
        <v>1.1046</v>
      </c>
      <c r="CP154" s="9">
        <f t="shared" si="427"/>
        <v>1.4829154235940361</v>
      </c>
      <c r="CQ154" s="9">
        <f t="shared" si="428"/>
        <v>1.627374407125604</v>
      </c>
      <c r="CR154" s="9">
        <v>1</v>
      </c>
      <c r="CS154" s="9">
        <f t="shared" si="429"/>
        <v>198.52263709961557</v>
      </c>
      <c r="DP154" s="4">
        <f t="shared" si="379"/>
        <v>0</v>
      </c>
      <c r="DQ154" s="4">
        <f t="shared" ref="DQ154:DQ156" si="493">L154</f>
        <v>888</v>
      </c>
      <c r="DT154" s="4">
        <f t="shared" si="432"/>
        <v>2.6516412632020574E-5</v>
      </c>
      <c r="DU154" s="4">
        <f t="shared" si="380"/>
        <v>4.7853498859682935</v>
      </c>
      <c r="DZ154" s="38">
        <f t="shared" si="435"/>
        <v>61.299898558592375</v>
      </c>
      <c r="EA154" s="4">
        <f t="shared" si="436"/>
        <v>0.20373398091093661</v>
      </c>
      <c r="EC154" s="4">
        <f t="shared" si="466"/>
        <v>61.299898558592375</v>
      </c>
      <c r="EG154" s="4">
        <f t="shared" si="437"/>
        <v>1</v>
      </c>
      <c r="EH154" s="4">
        <f t="shared" si="438"/>
        <v>0.84458987783595108</v>
      </c>
      <c r="EI154" s="4">
        <f t="shared" si="439"/>
        <v>1</v>
      </c>
      <c r="EJ154" s="4">
        <f t="shared" ref="EJ154:EJ156" si="494">IF(EH154*EI154&lt;0.7,0.7,EH154*EI154)</f>
        <v>0.84458987783595108</v>
      </c>
      <c r="EM154" s="25"/>
      <c r="EP154" s="4">
        <f t="shared" ref="EP154:EP156" si="495">IF(N154&lt;22.2,1.1*5*(M154/30)^0.5,IF(N154&gt;=31.8,0.9*5*(M154/30)^0.5,1*5*(M154/30)^0.5))/EJ154/EG154</f>
        <v>4.7853498859682935</v>
      </c>
      <c r="ES154" s="4">
        <f t="shared" si="444"/>
        <v>128.12669511073796</v>
      </c>
      <c r="ET154" s="4">
        <f t="shared" si="381"/>
        <v>2.2360679774997898</v>
      </c>
      <c r="EU154" s="4">
        <f t="shared" si="445"/>
        <v>8.4924666039829386E-2</v>
      </c>
      <c r="EX154" s="4">
        <f t="shared" ref="EX154:EX156" si="496">EU154</f>
        <v>8.4924666039829386E-2</v>
      </c>
      <c r="EY154" s="4">
        <f t="shared" si="446"/>
        <v>0.31518499753613483</v>
      </c>
      <c r="EZ154" s="4">
        <f t="shared" si="382"/>
        <v>3.0153651565646373</v>
      </c>
      <c r="FA154" s="4">
        <f t="shared" ref="FA154:FA156" si="497">EP154/1.4*(1-EY154^1.4)/(1-EY154)</f>
        <v>3.9999874968613209</v>
      </c>
      <c r="FB154" s="4">
        <f t="shared" si="383"/>
        <v>537.87330488926204</v>
      </c>
      <c r="FC154" s="4">
        <f t="shared" si="384"/>
        <v>222</v>
      </c>
      <c r="FD154" s="4">
        <f t="shared" si="447"/>
        <v>2.6516412632020574E-5</v>
      </c>
      <c r="FE154" s="4">
        <f t="shared" ref="FE154:FE156" si="498">MAX(0.5*EP154, (1-2*FD154*(ES154*EZ154+FB154*FA154))/(1/EP154+FD154*FC154))</f>
        <v>4.0278338019438173</v>
      </c>
      <c r="FF154" s="4">
        <f t="shared" ref="FF154:FF156" si="499">MIN(4/N154*(1*EZ154*ES154+FA154*FB154+FC154*FE154)+EC154,MAX(J154,AJ154))</f>
        <v>300.88205357058206</v>
      </c>
      <c r="FO154" s="23"/>
      <c r="FP154" s="23"/>
      <c r="FQ154" s="23"/>
      <c r="FR154" s="23"/>
      <c r="FS154" s="23"/>
      <c r="FT154" s="23"/>
      <c r="FU154" s="23"/>
      <c r="FV154" s="23"/>
      <c r="GF154" s="4">
        <f t="shared" si="449"/>
        <v>1</v>
      </c>
      <c r="GG154" s="4">
        <f t="shared" si="450"/>
        <v>0.85000000000000009</v>
      </c>
      <c r="GH154" s="4">
        <f t="shared" si="451"/>
        <v>0</v>
      </c>
      <c r="GI154" s="4">
        <f t="shared" si="452"/>
        <v>268.46987681572057</v>
      </c>
    </row>
    <row r="155" spans="1:196" ht="12" hidden="1" customHeight="1" x14ac:dyDescent="0.3">
      <c r="A155" s="25">
        <v>136</v>
      </c>
      <c r="B155" s="24" t="s">
        <v>659</v>
      </c>
      <c r="C155" s="24">
        <v>2007</v>
      </c>
      <c r="D155" s="24" t="s">
        <v>309</v>
      </c>
      <c r="E155" s="24"/>
      <c r="F155" s="24"/>
      <c r="G155" s="24"/>
      <c r="H155" s="4" t="s">
        <v>113</v>
      </c>
      <c r="J155" s="7">
        <v>447.7</v>
      </c>
      <c r="K155" s="7">
        <v>684</v>
      </c>
      <c r="L155" s="7">
        <f t="shared" ref="L155:L156" si="500">K155</f>
        <v>684</v>
      </c>
      <c r="M155" s="7">
        <v>24.2</v>
      </c>
      <c r="N155" s="37">
        <v>57.3</v>
      </c>
      <c r="O155" s="7">
        <f t="shared" si="470"/>
        <v>11.93717277486911</v>
      </c>
      <c r="P155" s="7">
        <f t="shared" si="471"/>
        <v>11.93717277486911</v>
      </c>
      <c r="Q155" s="7">
        <v>350</v>
      </c>
      <c r="R155" s="7"/>
      <c r="S155" s="7">
        <f t="shared" si="472"/>
        <v>146.35</v>
      </c>
      <c r="T155" s="7"/>
      <c r="U155" s="7">
        <f>958-20-L155</f>
        <v>254</v>
      </c>
      <c r="V155" s="7"/>
      <c r="W155" s="7">
        <v>0</v>
      </c>
      <c r="X155" s="7">
        <v>1</v>
      </c>
      <c r="Y155" s="7"/>
      <c r="Z155" s="7"/>
      <c r="AA155" s="7">
        <f t="shared" ref="AA155:AA156" si="501">958-105</f>
        <v>853</v>
      </c>
      <c r="AB155" s="7">
        <f t="shared" si="473"/>
        <v>3.0541012216404888</v>
      </c>
      <c r="AC155" s="7">
        <f t="shared" si="474"/>
        <v>3.0541012216404888</v>
      </c>
      <c r="AD155" s="7">
        <f t="shared" ref="AD155:AE156" si="502">10324/2581</f>
        <v>4</v>
      </c>
      <c r="AE155" s="7">
        <f t="shared" si="502"/>
        <v>4</v>
      </c>
      <c r="AF155" s="7">
        <f t="shared" si="475"/>
        <v>5</v>
      </c>
      <c r="AG155" s="7">
        <f t="shared" si="407"/>
        <v>128.12669511073796</v>
      </c>
      <c r="AH155" s="7">
        <f t="shared" si="476"/>
        <v>447.7</v>
      </c>
      <c r="AI155" s="7">
        <v>20</v>
      </c>
      <c r="AJ155" s="7"/>
      <c r="AK155" s="32" t="s">
        <v>183</v>
      </c>
      <c r="AL155" s="7"/>
      <c r="AM155" s="7">
        <v>0</v>
      </c>
      <c r="AN155" s="7">
        <v>0</v>
      </c>
      <c r="AO155" s="7">
        <f t="shared" si="409"/>
        <v>684</v>
      </c>
      <c r="AP155" s="7"/>
      <c r="AQ155" s="7"/>
      <c r="AR155" s="7"/>
      <c r="AS155" s="4">
        <f t="shared" si="468"/>
        <v>684</v>
      </c>
      <c r="AT155" s="4">
        <f t="shared" si="477"/>
        <v>0.1705653021442495</v>
      </c>
      <c r="AU155" s="4">
        <f t="shared" si="478"/>
        <v>341.26575496815576</v>
      </c>
      <c r="AV155" s="4">
        <f t="shared" si="479"/>
        <v>0.75116959064327482</v>
      </c>
      <c r="AW155" s="4">
        <v>1.25</v>
      </c>
      <c r="AX155" s="25">
        <v>1</v>
      </c>
      <c r="AY155" s="38">
        <f t="shared" ref="AY155:AY156" si="503">AT155*AV155*AW155*AX155*AU155</f>
        <v>54.655190126095995</v>
      </c>
      <c r="BB155" s="38">
        <f t="shared" si="480"/>
        <v>54.655190126096059</v>
      </c>
      <c r="BC155" s="38">
        <f t="shared" si="414"/>
        <v>0.99999999999999878</v>
      </c>
      <c r="BD155" s="38">
        <f t="shared" si="481"/>
        <v>5.4091294453963004</v>
      </c>
      <c r="BE155" s="4">
        <f t="shared" si="482"/>
        <v>0</v>
      </c>
      <c r="BF155" s="4">
        <f t="shared" si="415"/>
        <v>309.06908170677718</v>
      </c>
      <c r="BG155" s="4">
        <f t="shared" si="389"/>
        <v>1</v>
      </c>
      <c r="BH155" s="38">
        <f t="shared" si="416"/>
        <v>295.63699825479932</v>
      </c>
      <c r="BI155" s="4">
        <f t="shared" si="483"/>
        <v>0.44000000000000006</v>
      </c>
      <c r="BJ155" s="4">
        <f t="shared" si="417"/>
        <v>71.054981884388084</v>
      </c>
      <c r="BK155" s="4">
        <f t="shared" si="484"/>
        <v>366.69198013918742</v>
      </c>
      <c r="BM155" s="4">
        <f t="shared" si="485"/>
        <v>1.3885253054101221</v>
      </c>
      <c r="BN155" s="4">
        <f t="shared" si="486"/>
        <v>449.53487752054093</v>
      </c>
      <c r="BP155" s="4">
        <f t="shared" si="487"/>
        <v>283.55203537536278</v>
      </c>
      <c r="BQ155" s="4">
        <f t="shared" si="488"/>
        <v>221.33552459284101</v>
      </c>
      <c r="BR155" s="4">
        <f t="shared" ref="BR155:BR156" si="504">BQ155/BP155</f>
        <v>0.78058168159449004</v>
      </c>
      <c r="BZ155" s="4">
        <f t="shared" si="489"/>
        <v>146.35</v>
      </c>
      <c r="CD155" s="9"/>
      <c r="CF155" s="9"/>
      <c r="CG155" s="9"/>
      <c r="CH155" s="9">
        <f t="shared" si="490"/>
        <v>146.35</v>
      </c>
      <c r="CI155" s="9">
        <f t="shared" si="491"/>
        <v>146.35</v>
      </c>
      <c r="CJ155" s="9">
        <f t="shared" si="422"/>
        <v>1.5981555686604758</v>
      </c>
      <c r="CK155" s="70">
        <v>0</v>
      </c>
      <c r="CL155" s="9">
        <f t="shared" si="423"/>
        <v>0</v>
      </c>
      <c r="CM155" s="9">
        <f t="shared" si="492"/>
        <v>0</v>
      </c>
      <c r="CN155" s="9">
        <f t="shared" si="425"/>
        <v>0.77971450958075206</v>
      </c>
      <c r="CO155" s="9">
        <f t="shared" si="426"/>
        <v>1.1046</v>
      </c>
      <c r="CP155" s="9">
        <f t="shared" si="427"/>
        <v>1.4829154235940361</v>
      </c>
      <c r="CQ155" s="9">
        <f t="shared" si="428"/>
        <v>2.3699295420693169</v>
      </c>
      <c r="CR155" s="9">
        <v>1</v>
      </c>
      <c r="CS155" s="9">
        <f t="shared" si="429"/>
        <v>255.35680615595049</v>
      </c>
      <c r="DP155" s="4">
        <f t="shared" si="379"/>
        <v>0</v>
      </c>
      <c r="DQ155" s="4">
        <f t="shared" si="493"/>
        <v>684</v>
      </c>
      <c r="DT155" s="4">
        <f t="shared" si="432"/>
        <v>2.0424804324664502E-5</v>
      </c>
      <c r="DU155" s="4">
        <f t="shared" si="380"/>
        <v>5.6298233952568157</v>
      </c>
      <c r="DZ155" s="38">
        <f t="shared" si="435"/>
        <v>54.655190126096059</v>
      </c>
      <c r="EA155" s="4">
        <f t="shared" si="436"/>
        <v>0.20262170774375035</v>
      </c>
      <c r="EC155" s="4">
        <f t="shared" si="466"/>
        <v>54.655190126096059</v>
      </c>
      <c r="EG155" s="4">
        <f t="shared" si="437"/>
        <v>0.85</v>
      </c>
      <c r="EH155" s="4">
        <f t="shared" si="438"/>
        <v>0.84458987783595108</v>
      </c>
      <c r="EI155" s="4">
        <f t="shared" si="439"/>
        <v>1</v>
      </c>
      <c r="EJ155" s="4">
        <f t="shared" si="494"/>
        <v>0.84458987783595108</v>
      </c>
      <c r="EM155" s="25"/>
      <c r="EP155" s="4">
        <f t="shared" si="495"/>
        <v>5.6298233952568157</v>
      </c>
      <c r="ES155" s="4">
        <f t="shared" si="444"/>
        <v>128.12669511073796</v>
      </c>
      <c r="ET155" s="4">
        <f t="shared" si="381"/>
        <v>2.2360679774997898</v>
      </c>
      <c r="EU155" s="4">
        <f t="shared" si="445"/>
        <v>7.5719110111830371E-2</v>
      </c>
      <c r="EX155" s="4">
        <f t="shared" si="496"/>
        <v>7.5719110111830371E-2</v>
      </c>
      <c r="EY155" s="4">
        <f t="shared" si="446"/>
        <v>0.28101997507817955</v>
      </c>
      <c r="EZ155" s="4">
        <f t="shared" si="382"/>
        <v>3.3883607929613855</v>
      </c>
      <c r="FA155" s="4">
        <f t="shared" si="497"/>
        <v>4.64708552147642</v>
      </c>
      <c r="FB155" s="4">
        <f t="shared" si="383"/>
        <v>384.87330488926204</v>
      </c>
      <c r="FC155" s="4">
        <f t="shared" si="384"/>
        <v>171</v>
      </c>
      <c r="FD155" s="4">
        <f t="shared" si="447"/>
        <v>2.0424804324664502E-5</v>
      </c>
      <c r="FE155" s="4">
        <f t="shared" si="498"/>
        <v>5.0199533535242882</v>
      </c>
      <c r="FF155" s="4">
        <f t="shared" si="499"/>
        <v>269.74005270559093</v>
      </c>
      <c r="FO155" s="23"/>
      <c r="FP155" s="23"/>
      <c r="FQ155" s="23"/>
      <c r="FR155" s="23"/>
      <c r="FS155" s="23"/>
      <c r="FT155" s="23"/>
      <c r="FU155" s="23"/>
      <c r="FV155" s="23"/>
      <c r="GF155" s="4">
        <f t="shared" si="449"/>
        <v>1</v>
      </c>
      <c r="GG155" s="4">
        <f t="shared" si="450"/>
        <v>0.85000000000000009</v>
      </c>
      <c r="GH155" s="4">
        <f t="shared" si="451"/>
        <v>0</v>
      </c>
      <c r="GI155" s="4">
        <f t="shared" si="452"/>
        <v>206.79436457427124</v>
      </c>
    </row>
    <row r="156" spans="1:196" ht="12" hidden="1" customHeight="1" x14ac:dyDescent="0.3">
      <c r="A156" s="25">
        <v>137</v>
      </c>
      <c r="B156" s="24" t="s">
        <v>659</v>
      </c>
      <c r="C156" s="24">
        <v>2007</v>
      </c>
      <c r="D156" s="24" t="s">
        <v>309</v>
      </c>
      <c r="E156" s="24"/>
      <c r="F156" s="24"/>
      <c r="G156" s="24"/>
      <c r="H156" s="4" t="s">
        <v>114</v>
      </c>
      <c r="J156" s="7">
        <v>447.7</v>
      </c>
      <c r="K156" s="7">
        <v>684</v>
      </c>
      <c r="L156" s="7">
        <f t="shared" si="500"/>
        <v>684</v>
      </c>
      <c r="M156" s="7">
        <v>24.2</v>
      </c>
      <c r="N156" s="37">
        <v>57.3</v>
      </c>
      <c r="O156" s="7">
        <f t="shared" si="470"/>
        <v>11.93717277486911</v>
      </c>
      <c r="P156" s="7">
        <f t="shared" si="471"/>
        <v>11.93717277486911</v>
      </c>
      <c r="Q156" s="7">
        <v>350</v>
      </c>
      <c r="R156" s="7"/>
      <c r="S156" s="7">
        <f t="shared" si="472"/>
        <v>146.35</v>
      </c>
      <c r="T156" s="7"/>
      <c r="U156" s="7">
        <f>958-20-L156</f>
        <v>254</v>
      </c>
      <c r="V156" s="7"/>
      <c r="W156" s="7">
        <v>0</v>
      </c>
      <c r="X156" s="7">
        <v>1</v>
      </c>
      <c r="Y156" s="7"/>
      <c r="Z156" s="7"/>
      <c r="AA156" s="7">
        <f t="shared" si="501"/>
        <v>853</v>
      </c>
      <c r="AB156" s="7">
        <f t="shared" si="473"/>
        <v>3.0541012216404888</v>
      </c>
      <c r="AC156" s="7">
        <f t="shared" si="474"/>
        <v>3.0541012216404888</v>
      </c>
      <c r="AD156" s="7">
        <f t="shared" si="502"/>
        <v>4</v>
      </c>
      <c r="AE156" s="7">
        <f t="shared" si="502"/>
        <v>4</v>
      </c>
      <c r="AF156" s="7">
        <f t="shared" si="475"/>
        <v>5</v>
      </c>
      <c r="AG156" s="7">
        <f t="shared" si="407"/>
        <v>128.12669511073796</v>
      </c>
      <c r="AH156" s="7">
        <f t="shared" si="476"/>
        <v>447.7</v>
      </c>
      <c r="AI156" s="7">
        <v>20</v>
      </c>
      <c r="AJ156" s="7"/>
      <c r="AK156" s="32" t="s">
        <v>183</v>
      </c>
      <c r="AL156" s="7"/>
      <c r="AM156" s="7">
        <v>0</v>
      </c>
      <c r="AN156" s="7">
        <v>0</v>
      </c>
      <c r="AO156" s="7">
        <f t="shared" si="409"/>
        <v>684</v>
      </c>
      <c r="AP156" s="7"/>
      <c r="AQ156" s="7"/>
      <c r="AR156" s="7"/>
      <c r="AS156" s="4">
        <f t="shared" si="468"/>
        <v>684</v>
      </c>
      <c r="AT156" s="4">
        <f t="shared" si="477"/>
        <v>0.1705653021442495</v>
      </c>
      <c r="AU156" s="4">
        <f t="shared" si="478"/>
        <v>341.26575496815576</v>
      </c>
      <c r="AV156" s="4">
        <f t="shared" si="479"/>
        <v>0.75116959064327482</v>
      </c>
      <c r="AW156" s="4">
        <v>1.25</v>
      </c>
      <c r="AX156" s="25">
        <v>1</v>
      </c>
      <c r="AY156" s="38">
        <f t="shared" si="503"/>
        <v>54.655190126095995</v>
      </c>
      <c r="BB156" s="38">
        <f t="shared" si="480"/>
        <v>54.655190126096059</v>
      </c>
      <c r="BC156" s="38">
        <f t="shared" si="414"/>
        <v>0.99999999999999878</v>
      </c>
      <c r="BD156" s="38">
        <f t="shared" si="481"/>
        <v>5.4091294453963004</v>
      </c>
      <c r="BE156" s="4">
        <f t="shared" si="482"/>
        <v>0</v>
      </c>
      <c r="BF156" s="4">
        <f t="shared" si="415"/>
        <v>309.06908170677718</v>
      </c>
      <c r="BG156" s="4">
        <f t="shared" si="389"/>
        <v>1</v>
      </c>
      <c r="BH156" s="38">
        <f t="shared" si="416"/>
        <v>295.63699825479932</v>
      </c>
      <c r="BI156" s="4">
        <f t="shared" si="483"/>
        <v>0.44000000000000006</v>
      </c>
      <c r="BJ156" s="4">
        <f t="shared" si="417"/>
        <v>71.054981884388084</v>
      </c>
      <c r="BK156" s="4">
        <f t="shared" si="484"/>
        <v>366.69198013918742</v>
      </c>
      <c r="BM156" s="4">
        <f t="shared" si="485"/>
        <v>1.3885253054101221</v>
      </c>
      <c r="BN156" s="4">
        <f t="shared" si="486"/>
        <v>449.53487752054093</v>
      </c>
      <c r="BP156" s="4">
        <f t="shared" si="487"/>
        <v>283.55203537536278</v>
      </c>
      <c r="BQ156" s="4">
        <f t="shared" si="488"/>
        <v>221.33552459284101</v>
      </c>
      <c r="BR156" s="4">
        <f t="shared" si="504"/>
        <v>0.78058168159449004</v>
      </c>
      <c r="BZ156" s="4">
        <f t="shared" si="489"/>
        <v>146.35</v>
      </c>
      <c r="CD156" s="9"/>
      <c r="CF156" s="9"/>
      <c r="CG156" s="9"/>
      <c r="CH156" s="9">
        <f t="shared" si="490"/>
        <v>146.35</v>
      </c>
      <c r="CI156" s="9">
        <f t="shared" si="491"/>
        <v>146.35</v>
      </c>
      <c r="CJ156" s="9">
        <f t="shared" si="422"/>
        <v>1.5981555686604758</v>
      </c>
      <c r="CK156" s="70">
        <v>0</v>
      </c>
      <c r="CL156" s="9">
        <f t="shared" si="423"/>
        <v>0</v>
      </c>
      <c r="CM156" s="9">
        <f t="shared" si="492"/>
        <v>0</v>
      </c>
      <c r="CN156" s="9">
        <f t="shared" si="425"/>
        <v>0.77971450958075206</v>
      </c>
      <c r="CO156" s="9">
        <f t="shared" si="426"/>
        <v>1.1046</v>
      </c>
      <c r="CP156" s="9">
        <f t="shared" si="427"/>
        <v>1.4829154235940361</v>
      </c>
      <c r="CQ156" s="9">
        <f t="shared" si="428"/>
        <v>2.3699295420693169</v>
      </c>
      <c r="CR156" s="9">
        <v>1</v>
      </c>
      <c r="CS156" s="9">
        <f t="shared" si="429"/>
        <v>255.35680615595049</v>
      </c>
      <c r="DP156" s="4">
        <f t="shared" si="379"/>
        <v>0</v>
      </c>
      <c r="DQ156" s="4">
        <f t="shared" si="493"/>
        <v>684</v>
      </c>
      <c r="DT156" s="4">
        <f t="shared" si="432"/>
        <v>2.0424804324664502E-5</v>
      </c>
      <c r="DU156" s="4">
        <f t="shared" si="380"/>
        <v>5.6298233952568157</v>
      </c>
      <c r="DZ156" s="38">
        <f t="shared" si="435"/>
        <v>54.655190126096059</v>
      </c>
      <c r="EA156" s="4">
        <f t="shared" si="436"/>
        <v>0.20262170774375035</v>
      </c>
      <c r="EC156" s="4">
        <f t="shared" si="466"/>
        <v>54.655190126096059</v>
      </c>
      <c r="EG156" s="4">
        <f t="shared" si="437"/>
        <v>0.85</v>
      </c>
      <c r="EH156" s="4">
        <f t="shared" si="438"/>
        <v>0.84458987783595108</v>
      </c>
      <c r="EI156" s="4">
        <f t="shared" si="439"/>
        <v>1</v>
      </c>
      <c r="EJ156" s="4">
        <f t="shared" si="494"/>
        <v>0.84458987783595108</v>
      </c>
      <c r="EM156" s="25"/>
      <c r="EP156" s="4">
        <f t="shared" si="495"/>
        <v>5.6298233952568157</v>
      </c>
      <c r="ES156" s="4">
        <f t="shared" si="444"/>
        <v>128.12669511073796</v>
      </c>
      <c r="ET156" s="4">
        <f t="shared" si="381"/>
        <v>2.2360679774997898</v>
      </c>
      <c r="EU156" s="4">
        <f t="shared" si="445"/>
        <v>7.5719110111830371E-2</v>
      </c>
      <c r="EX156" s="4">
        <f t="shared" si="496"/>
        <v>7.5719110111830371E-2</v>
      </c>
      <c r="EY156" s="4">
        <f t="shared" si="446"/>
        <v>0.28101997507817955</v>
      </c>
      <c r="EZ156" s="4">
        <f t="shared" si="382"/>
        <v>3.3883607929613855</v>
      </c>
      <c r="FA156" s="4">
        <f t="shared" si="497"/>
        <v>4.64708552147642</v>
      </c>
      <c r="FB156" s="4">
        <f t="shared" si="383"/>
        <v>384.87330488926204</v>
      </c>
      <c r="FC156" s="4">
        <f t="shared" si="384"/>
        <v>171</v>
      </c>
      <c r="FD156" s="4">
        <f t="shared" si="447"/>
        <v>2.0424804324664502E-5</v>
      </c>
      <c r="FE156" s="4">
        <f t="shared" si="498"/>
        <v>5.0199533535242882</v>
      </c>
      <c r="FF156" s="4">
        <f t="shared" si="499"/>
        <v>269.74005270559093</v>
      </c>
      <c r="FO156" s="23"/>
      <c r="FP156" s="23"/>
      <c r="FQ156" s="23"/>
      <c r="FR156" s="23"/>
      <c r="FS156" s="23"/>
      <c r="FT156" s="23"/>
      <c r="FU156" s="23"/>
      <c r="FV156" s="23"/>
      <c r="GF156" s="4">
        <f t="shared" si="449"/>
        <v>1</v>
      </c>
      <c r="GG156" s="4">
        <f t="shared" si="450"/>
        <v>0.85000000000000009</v>
      </c>
      <c r="GH156" s="4">
        <f t="shared" si="451"/>
        <v>0</v>
      </c>
      <c r="GI156" s="4">
        <f t="shared" si="452"/>
        <v>206.79436457427124</v>
      </c>
    </row>
    <row r="157" spans="1:196" s="5" customFormat="1" ht="12" customHeight="1" x14ac:dyDescent="0.3">
      <c r="A157" s="25">
        <v>172</v>
      </c>
      <c r="B157" s="24" t="s">
        <v>128</v>
      </c>
      <c r="C157" s="24">
        <v>2017</v>
      </c>
      <c r="D157" s="24" t="s">
        <v>309</v>
      </c>
      <c r="E157" s="24"/>
      <c r="F157" s="115" t="s">
        <v>777</v>
      </c>
      <c r="G157" s="109"/>
      <c r="H157" s="4" t="s">
        <v>179</v>
      </c>
      <c r="I157" s="5">
        <f>K157/N157</f>
        <v>16</v>
      </c>
      <c r="J157" s="100">
        <v>583</v>
      </c>
      <c r="K157" s="7">
        <f>16*N157</f>
        <v>916.8</v>
      </c>
      <c r="L157" s="7">
        <f>K157</f>
        <v>916.8</v>
      </c>
      <c r="M157" s="21">
        <v>41.8</v>
      </c>
      <c r="N157" s="37">
        <v>57.3</v>
      </c>
      <c r="O157" s="7">
        <f>K157/N157</f>
        <v>16</v>
      </c>
      <c r="P157" s="7">
        <f>L157/N157</f>
        <v>16</v>
      </c>
      <c r="Q157" s="7">
        <f>W157+2*S157+2*N157</f>
        <v>584.46</v>
      </c>
      <c r="R157" s="32">
        <f>S157/N157</f>
        <v>1</v>
      </c>
      <c r="S157" s="7">
        <f>1*N157</f>
        <v>57.3</v>
      </c>
      <c r="T157" s="32">
        <f>U157/N157</f>
        <v>0.97731239092495636</v>
      </c>
      <c r="U157" s="7">
        <f>40+16</f>
        <v>56</v>
      </c>
      <c r="V157" s="32">
        <f>W157/N157</f>
        <v>6.2</v>
      </c>
      <c r="W157" s="7">
        <f>(7.2-1)*N157</f>
        <v>355.26</v>
      </c>
      <c r="X157" s="7">
        <v>2</v>
      </c>
      <c r="Y157" s="7">
        <f>AN157</f>
        <v>0</v>
      </c>
      <c r="Z157" s="32">
        <f>AA157/N157</f>
        <v>8.5724258289703315</v>
      </c>
      <c r="AA157" s="7">
        <f>2/3*K157-0.5*240</f>
        <v>491.19999999999993</v>
      </c>
      <c r="AB157" s="7">
        <f>MIN(S157/N157+0.5, W157/2/N157+0.5)</f>
        <v>1.5</v>
      </c>
      <c r="AC157" s="7">
        <f>S157/N157+0.5</f>
        <v>1.5</v>
      </c>
      <c r="AD157" s="7">
        <f>2040/510</f>
        <v>4</v>
      </c>
      <c r="AE157" s="7">
        <f>2040/510</f>
        <v>4</v>
      </c>
      <c r="AF157" s="7">
        <f>AE157+1</f>
        <v>5</v>
      </c>
      <c r="AG157" s="7">
        <f>N157*AF157^0.5</f>
        <v>128.12669511073796</v>
      </c>
      <c r="AH157" s="7">
        <f>J157</f>
        <v>583</v>
      </c>
      <c r="AI157" s="7">
        <v>25</v>
      </c>
      <c r="AJ157" s="7">
        <f>(510+510)/2</f>
        <v>510</v>
      </c>
      <c r="AK157" s="7"/>
      <c r="AL157" s="4">
        <f>CY157</f>
        <v>1.5692649380457224</v>
      </c>
      <c r="AM157" s="7">
        <v>0</v>
      </c>
      <c r="AN157" s="7">
        <v>0</v>
      </c>
      <c r="AO157" s="7">
        <f>L157</f>
        <v>916.8</v>
      </c>
      <c r="AP157" s="7"/>
      <c r="AQ157" s="7"/>
      <c r="AR157" s="7">
        <f>3*AS157/(W157+N157)</f>
        <v>6.6666666666666661</v>
      </c>
      <c r="AS157" s="4">
        <f>K157</f>
        <v>916.8</v>
      </c>
      <c r="AT157" s="4">
        <f>IF(K157*3&gt;W157+N157, Q157, (S157+N157/2)*2+1.5*K157*(2*X157-2))*(3*K157)/(9*K157^2)</f>
        <v>0.21250000000000002</v>
      </c>
      <c r="AU157" s="4">
        <f>MIN(10*M157^0.5*K157^1.5,100*3.9*M157^0.5*K157^(5/3))/(PI()/4*N157^2)/X157</f>
        <v>347.99333558360394</v>
      </c>
      <c r="AV157" s="4">
        <f>MIN(0.7+0.3*(MIN(S157,AA157)+0.5*N157)/1.5/K157,1)</f>
        <v>0.71875</v>
      </c>
      <c r="AW157" s="4">
        <v>1.25</v>
      </c>
      <c r="AX157" s="4">
        <f>AX156</f>
        <v>1</v>
      </c>
      <c r="AY157" s="38">
        <f>AT157*AV157*AW157*AX157*AU157</f>
        <v>66.438180768158759</v>
      </c>
      <c r="AZ157" s="38">
        <f>AY157</f>
        <v>66.438180768158759</v>
      </c>
      <c r="BA157" s="38">
        <f>IF(M157&lt;50, 0.3*M157^(2/3), 2.12*LN(1+0.1*(M157+8)))</f>
        <v>3.613311826901703</v>
      </c>
      <c r="BB157" s="38">
        <f>AX157* (M157^0.5/AS157^0.5)/(PI()/4*N157^2)/X157/0.72 *(0.7+(MIN(S157,AA157)+0.5*N157)/5/K157) *(3*Q157*K157)</f>
        <v>66.438180768158773</v>
      </c>
      <c r="BC157" s="38">
        <f>AY157/BB157</f>
        <v>0.99999999999999978</v>
      </c>
      <c r="BD157" s="38">
        <f>BH157/BB157</f>
        <v>3.7749378008285053</v>
      </c>
      <c r="BE157" s="4">
        <f>IF(BD157&lt;1,1,0)</f>
        <v>0</v>
      </c>
      <c r="BF157" s="4">
        <f>L157/N157*M157^0.5/0.19</f>
        <v>544.4456379029765</v>
      </c>
      <c r="BG157" s="4">
        <f>MIN(0.6+0.4*(AC157/AB157),2)</f>
        <v>1</v>
      </c>
      <c r="BH157" s="38">
        <f>2*M157*AB157*AD157^0.5*BG157*0.7/0.7</f>
        <v>250.79999999999998</v>
      </c>
      <c r="BI157" s="4">
        <f>MAX(1-0.7*AE157/5,0.3)</f>
        <v>0.44000000000000006</v>
      </c>
      <c r="BJ157" s="4">
        <f>BI157*J157*L157/(J157*N157/2.75/M157^0.5)</f>
        <v>125.16805215389429</v>
      </c>
      <c r="BK157" s="4">
        <f>BH157+BJ157</f>
        <v>375.96805215389429</v>
      </c>
      <c r="BL157" s="4"/>
      <c r="BM157" s="4">
        <f>MIN(1.5, 0.75+0.25*MIN(3,MAX(1,S157/N157))+0.4*MIN(1,(40*2*PI()*AM157^2/4/AO157/X157)/N157))</f>
        <v>1</v>
      </c>
      <c r="BN157" s="4">
        <f>(3*P157+30)*BM157*M157^0.5</f>
        <v>504.29277210763195</v>
      </c>
      <c r="BO157" s="4"/>
      <c r="BP157" s="4">
        <f>3.4/PI()^0.5*M157*AB157*AE157^0.5*BG157</f>
        <v>240.54787084142137</v>
      </c>
      <c r="BQ157" s="4">
        <f>8/3*AH157*AI157^2/(AG157-N157-22)/N157*(AG157^2-N157^2)/(AG157^2-(N157+22)^2)</f>
        <v>450.3525339151019</v>
      </c>
      <c r="BR157" s="4">
        <f>BQ157/BP157</f>
        <v>1.8721950534826892</v>
      </c>
      <c r="BS157" s="4"/>
      <c r="BT157" s="4"/>
      <c r="BU157" s="4"/>
      <c r="BV157" s="4"/>
      <c r="BW157" s="4"/>
      <c r="BX157" s="4"/>
      <c r="BY157" s="4"/>
      <c r="BZ157" s="4">
        <f>IF(W157=0,S157,MIN(W157/2,S157))</f>
        <v>57.3</v>
      </c>
      <c r="CA157" s="4"/>
      <c r="CB157" s="4"/>
      <c r="CC157" s="4"/>
      <c r="CD157" s="9"/>
      <c r="CE157" s="4"/>
      <c r="CF157" s="9"/>
      <c r="CG157" s="9"/>
      <c r="CH157" s="9">
        <f>IF(W157=0,MIN(S157,U157),MIN(W157/2,S157,U157))</f>
        <v>56</v>
      </c>
      <c r="CI157" s="9">
        <f>MAX(W157/2,S157)</f>
        <v>177.63</v>
      </c>
      <c r="CJ157" s="9">
        <f>(CH157/N157)^0.5*(CI157/CH157)^0.15</f>
        <v>1.1754818988273255</v>
      </c>
      <c r="CK157" s="70">
        <v>0</v>
      </c>
      <c r="CL157" s="9">
        <f>MIN(PI()*AM157^2/4*AN157*2/X157/N157/MAX(0.01,AO157),0.05)</f>
        <v>0</v>
      </c>
      <c r="CM157" s="9">
        <f>MAX(0,CK157*(CL157-0.5/50))</f>
        <v>0</v>
      </c>
      <c r="CN157" s="9">
        <f>MIN(1,(25/N157)^0.3)</f>
        <v>0.77971450958075206</v>
      </c>
      <c r="CO157" s="9">
        <f>IF(J157&gt;=800,0.68,IF(J157&gt;=700,0.75-(J157-700)*0.07/100,IF(J157&gt;=600,0.85-(J157-600)*0.1/100,IF(J157&gt;=500,1-(J157-500)*0.15/100,1.2-(J157-400)*0.2/100))))</f>
        <v>0.87549999999999994</v>
      </c>
      <c r="CP157" s="9">
        <f>1.75*CN157*CO157*(M157/25)^0.5</f>
        <v>1.5447135341285001</v>
      </c>
      <c r="CQ157" s="9">
        <f>MIN((CJ157+CM157)*CP157,2.5*CP157,M157^0.5)</f>
        <v>1.8157827982416379</v>
      </c>
      <c r="CR157" s="9">
        <v>1</v>
      </c>
      <c r="CS157" s="9">
        <f>4*CQ157*P157+60*CQ157</f>
        <v>225.15706698196311</v>
      </c>
      <c r="CT157" s="4"/>
      <c r="CU157" s="4">
        <f>AJ157/BF157</f>
        <v>0.9367326404971309</v>
      </c>
      <c r="CV157" s="4">
        <f>AJ157/BK157</f>
        <v>1.3564982372258658</v>
      </c>
      <c r="CW157" s="4">
        <f>AJ157/BN157</f>
        <v>1.0113172906851617</v>
      </c>
      <c r="CX157" s="4">
        <f>AJ157/CS157</f>
        <v>2.265085466053149</v>
      </c>
      <c r="CY157" s="4">
        <f>AJ157/DZ157</f>
        <v>1.5692649380457224</v>
      </c>
      <c r="CZ157" s="4">
        <f>AJ157/EL157</f>
        <v>1.2140631955584191</v>
      </c>
      <c r="DA157" s="4">
        <f>AJ157/GI157</f>
        <v>1.27455209712855</v>
      </c>
      <c r="DB157" s="4"/>
      <c r="DC157" s="4">
        <f>CU157</f>
        <v>0.9367326404971309</v>
      </c>
      <c r="DD157" s="4">
        <f>CV157</f>
        <v>1.3564982372258658</v>
      </c>
      <c r="DE157" s="4">
        <f>CX157</f>
        <v>2.265085466053149</v>
      </c>
      <c r="DF157" s="4">
        <f>DA157</f>
        <v>1.27455209712855</v>
      </c>
      <c r="DG157" s="4">
        <f>CY157</f>
        <v>1.5692649380457224</v>
      </c>
      <c r="DH157" s="4">
        <f>CZ157</f>
        <v>1.2140631955584191</v>
      </c>
      <c r="DI157" s="4"/>
      <c r="DJ157" s="4"/>
      <c r="DK157" s="4"/>
      <c r="DL157" s="4"/>
      <c r="DM157" s="4"/>
      <c r="DN157" s="4"/>
      <c r="DO157" s="4"/>
      <c r="DP157" s="4">
        <f>AN157</f>
        <v>0</v>
      </c>
      <c r="DQ157" s="4">
        <f>L157</f>
        <v>916.8</v>
      </c>
      <c r="DR157" s="4"/>
      <c r="DS157" s="4"/>
      <c r="DT157" s="4">
        <f>K157/4/(1-0.3*(M157/30)^0.5)/200000/N157</f>
        <v>3.0965438467699871E-5</v>
      </c>
      <c r="DU157" s="4">
        <f>EP157</f>
        <v>5.3117793628877328</v>
      </c>
      <c r="DV157" s="4">
        <f>EC157*AG157/257/M157/AD157</f>
        <v>0.19810158925665047</v>
      </c>
      <c r="DW157" s="4">
        <f>DU157*DV157^0.4</f>
        <v>2.7796826168530373</v>
      </c>
      <c r="DX157" s="4">
        <f>MIN(DU157, DU157/1.4*(1-DV157^1.4)/(1-DV157))</f>
        <v>4.2409360400924498</v>
      </c>
      <c r="DY157" s="4">
        <f>MAX(DU157/2, (4-DT157*(8*AG157*(DW157-DX157)+6*K157*DX157))/(4+DT157*K157*DU157)*DU157)</f>
        <v>4.253728798674465</v>
      </c>
      <c r="DZ157" s="38">
        <f>MIN(1/N157*(4*AG157*(DW157-DX157)+(3*DX157+DY157)*K157)+EC157 -FJ157,MAX(J157,AJ157))</f>
        <v>324.99292352451738</v>
      </c>
      <c r="EA157" s="4">
        <f>DZ157/FF157</f>
        <v>1.0001145431360134</v>
      </c>
      <c r="EB157" s="4">
        <f>AG157/N157</f>
        <v>2.2360679774997898</v>
      </c>
      <c r="EC157" s="4">
        <f>MIN(EB$10*BB157)</f>
        <v>66.438180768158773</v>
      </c>
      <c r="ED157" s="4"/>
      <c r="EE157" s="4"/>
      <c r="EF157" s="4"/>
      <c r="EG157" s="4">
        <f>IF(U157&gt;1*N157,0.85,1)</f>
        <v>1</v>
      </c>
      <c r="EH157" s="4">
        <f>MIN(1,MAX(0.7,(1-0.1*(BZ157-1*N157)/N157)))</f>
        <v>1</v>
      </c>
      <c r="EI157" s="4">
        <f>MIN(1,MAX(0.7,1-0.3*(PI()*AM157^2/4*AQ157*2-0.25*PI()/4*N157^2)/(PI()/4*N157^2)))</f>
        <v>1</v>
      </c>
      <c r="EJ157" s="4">
        <f>IF(EH157*EI157&lt;0.7,0.7,EH157*EI157)</f>
        <v>1</v>
      </c>
      <c r="EK157" s="4"/>
      <c r="EL157" s="4">
        <f>MIN(DU157/N157*3*K157+EM157-FJ157,MAX(J157,AJ157))</f>
        <v>420.07697940750188</v>
      </c>
      <c r="EM157" s="25">
        <f>13.3*Q157*K157^0.5*M157^0.5/X157/N157^2*(0.7+S157/5/K157)</f>
        <v>165.11156998889066</v>
      </c>
      <c r="EN157" s="4"/>
      <c r="EO157" s="4"/>
      <c r="EP157" s="4">
        <f>IF(N157&lt;22.2,1.1*5*(M157/30)^0.5,IF(N157&gt;=31.8,0.9*5*(M157/30)^0.5,1*5*(M157/30)^0.5))/EG157/EJ157</f>
        <v>5.3117793628877328</v>
      </c>
      <c r="EQ157" s="4"/>
      <c r="ER157" s="4"/>
      <c r="ES157" s="4">
        <f>ET157*N157</f>
        <v>128.12669511073796</v>
      </c>
      <c r="ET157" s="4">
        <f>AF157^0.5</f>
        <v>2.2360679774997898</v>
      </c>
      <c r="EU157" s="4">
        <f>MIN(EC157)/(4700*M157^0.5)/AE157*ES157</f>
        <v>7.0034392521896027E-2</v>
      </c>
      <c r="EV157" s="4"/>
      <c r="EW157" s="4"/>
      <c r="EX157" s="4">
        <f>EU157</f>
        <v>7.0034392521896027E-2</v>
      </c>
      <c r="EY157" s="4">
        <f>MIN(0.999, EX157/(0.3*(M157/30)^0.5))</f>
        <v>0.19777099462529835</v>
      </c>
      <c r="EZ157" s="4">
        <f>EP157/1*EY157^0.4</f>
        <v>2.7778261781857427</v>
      </c>
      <c r="FA157" s="4">
        <f>EP157/1.4*(1-EY157^1.4)/(1-EY157)</f>
        <v>4.240333482285882</v>
      </c>
      <c r="FB157" s="4">
        <f>MAX(0,DQ157*FB$9-ES157)</f>
        <v>559.47330488926195</v>
      </c>
      <c r="FC157" s="4">
        <f>MAX(0,DQ157-ES157-FB157)</f>
        <v>229.20000000000005</v>
      </c>
      <c r="FD157" s="4">
        <f>FC157/(1-0.3*(M157/30)^0.5)/200000/N157</f>
        <v>3.0965438467699885E-5</v>
      </c>
      <c r="FE157" s="4">
        <f>MAX(0.5*EP157, (1-2*FD157*(ES157*EZ157+FB157*FA157))/(1/EP157+FD157*FC157))</f>
        <v>4.2539110724803839</v>
      </c>
      <c r="FF157" s="4">
        <f>MIN(4/N157*(1*EZ157*ES157+FA157*FB157+FC157*FE157)+EC157,MAX(J157,AJ157))</f>
        <v>324.95570207933577</v>
      </c>
      <c r="FG157" s="4"/>
      <c r="FH157" s="4"/>
      <c r="FI157" s="4"/>
      <c r="FJ157" s="4"/>
      <c r="FK157" s="4"/>
      <c r="FL157" s="4"/>
      <c r="FM157" s="4"/>
      <c r="FN157" s="4"/>
      <c r="FO157" s="23">
        <f>IF(CU157&lt;0.6,0.6,IF(CU157&lt;0.8,0.8,IF(CU157&lt;1,1,IF(CU157&lt;1.2,1.2,IF(CU157&lt;1.4,1.4,IF(CU157&lt;1.6,1.6,IF(CU157&lt;1.8,1.8,IF(CU157&lt;2,2,2.2))))))))</f>
        <v>1</v>
      </c>
      <c r="FP157" s="23">
        <f>IF(CV157&lt;0.6,0.6,IF(CV157&lt;0.8,0.8,IF(CV157&lt;1,1,IF(CV157&lt;1.2,1.2,IF(CV157&lt;1.4,1.4,IF(CV157&lt;1.6,1.6,IF(CV157&lt;1.8,1.8,IF(CV157&lt;2,2,2.2))))))))</f>
        <v>1.4</v>
      </c>
      <c r="FQ157" s="23">
        <f>IF(DA157&lt;0.6,0.6,IF(DA157&lt;0.8,0.8,IF(DA157&lt;1,1,IF(DA157&lt;1.2,1.2,IF(DA157&lt;1.4,1.4,IF(DA157&lt;1.6,1.6,IF(DA157&lt;1.8,1.8,IF(DA157&lt;2,2,2.2))))))))</f>
        <v>1.4</v>
      </c>
      <c r="FR157" s="23">
        <f>IF(CX157&lt;0.6,0.6,IF(CX157&lt;0.8,0.8,IF(CX157&lt;1,1,IF(CX157&lt;1.2,1.2,IF(CX157&lt;1.4,1.4,IF(CX157&lt;1.6,1.6,IF(CX157&lt;1.8,1.8,IF(CX157&lt;2,2,2.2))))))))</f>
        <v>2.2000000000000002</v>
      </c>
      <c r="FS157" s="23">
        <f>IF(CY157&lt;0.6,0.6,IF(CY157&lt;0.8,0.8,IF(CY157&lt;1,1,IF(CY157&lt;1.2,1.2,IF(CY157&lt;1.4,1.4,IF(CY157&lt;1.6,1.6,IF(CY157&lt;1.8,1.8,IF(CY157&lt;2,2,2.2))))))))</f>
        <v>1.6</v>
      </c>
      <c r="FT157" s="23">
        <f>IF(CZ157&lt;0.6,0.6,IF(CZ157&lt;0.8,0.8,IF(CZ157&lt;1,1,IF(CZ157&lt;1.2,1.2,IF(CZ157&lt;1.4,1.4,IF(CZ157&lt;1.6,1.6,IF(CZ157&lt;1.8,1.8,IF(CZ157&lt;2,2,2.2))))))))</f>
        <v>1.4</v>
      </c>
      <c r="FU157" s="23">
        <f>IF(FS157&lt;1,1,0)</f>
        <v>0</v>
      </c>
      <c r="FV157" s="23"/>
      <c r="FW157" s="4"/>
      <c r="FX157" s="4"/>
      <c r="FY157" s="4"/>
      <c r="FZ157" s="4"/>
      <c r="GA157" s="4"/>
      <c r="GB157" s="4"/>
      <c r="GC157" s="4"/>
      <c r="GD157" s="4"/>
      <c r="GE157" s="4"/>
      <c r="GF157" s="4">
        <f>IF(S157&gt;=2.5*25.4,1,1.25)</f>
        <v>1.25</v>
      </c>
      <c r="GG157" s="4">
        <f>IF(AO157&gt;1, 0.05*(18-MIN(8,(W157+N157)/N157))*(1-48000/MAX(60000,(J157*145))*(N157/25.4)^0.75*GH157), 1/12*(14-MIN(8,(W157+N157)/N157)))</f>
        <v>0.54</v>
      </c>
      <c r="GH157" s="4">
        <f>MIN(0.3, AM157^2*PI()/4*2*AP157/(N157^2*PI()/4*X157))</f>
        <v>0</v>
      </c>
      <c r="GI157" s="4">
        <f>(K157/25.4)/(N157/25.4)^1.5/0.0024*(M157*145)^0.25/GF157/GG157/145</f>
        <v>400.14056792890898</v>
      </c>
      <c r="GJ157" s="4"/>
      <c r="GK157" s="4"/>
      <c r="GL157" s="4"/>
      <c r="GM157" s="4"/>
      <c r="GN157" s="4"/>
    </row>
    <row r="158" spans="1:196" ht="12" hidden="1" customHeight="1" x14ac:dyDescent="0.3">
      <c r="A158" s="25">
        <v>139</v>
      </c>
      <c r="B158" s="24" t="s">
        <v>659</v>
      </c>
      <c r="C158" s="24">
        <v>2007</v>
      </c>
      <c r="D158" s="24" t="s">
        <v>309</v>
      </c>
      <c r="E158" s="24"/>
      <c r="F158" s="24"/>
      <c r="G158" s="24"/>
      <c r="H158" s="4" t="s">
        <v>116</v>
      </c>
      <c r="J158" s="7">
        <v>450.6</v>
      </c>
      <c r="K158" s="7">
        <v>372</v>
      </c>
      <c r="L158" s="7">
        <f>K158</f>
        <v>372</v>
      </c>
      <c r="M158" s="7">
        <v>24.6</v>
      </c>
      <c r="N158" s="7">
        <v>35.799999999999997</v>
      </c>
      <c r="O158" s="7">
        <f>K158/N158</f>
        <v>10.391061452513968</v>
      </c>
      <c r="P158" s="7">
        <f>L158/N158</f>
        <v>10.391061452513968</v>
      </c>
      <c r="Q158" s="7">
        <v>220</v>
      </c>
      <c r="R158" s="7"/>
      <c r="S158" s="7">
        <f>(Q158-N158)/2</f>
        <v>92.1</v>
      </c>
      <c r="T158" s="7"/>
      <c r="U158" s="7">
        <f>434-12-L158</f>
        <v>50</v>
      </c>
      <c r="V158" s="7"/>
      <c r="W158" s="7">
        <v>0</v>
      </c>
      <c r="X158" s="7">
        <v>1</v>
      </c>
      <c r="Y158" s="7"/>
      <c r="Z158" s="7"/>
      <c r="AA158" s="7">
        <f>434-65</f>
        <v>369</v>
      </c>
      <c r="AB158" s="7">
        <f>S158/N158+0.5</f>
        <v>3.0726256983240225</v>
      </c>
      <c r="AC158" s="7">
        <f>S158/N158+0.5</f>
        <v>3.0726256983240225</v>
      </c>
      <c r="AD158" s="7">
        <f>4024/1006</f>
        <v>4</v>
      </c>
      <c r="AE158" s="7">
        <f>4024/1006</f>
        <v>4</v>
      </c>
      <c r="AF158" s="7">
        <f>AE158+1</f>
        <v>5</v>
      </c>
      <c r="AG158" s="7">
        <f>N158*AF158^0.5</f>
        <v>80.051233594492473</v>
      </c>
      <c r="AH158" s="7">
        <f>J158</f>
        <v>450.6</v>
      </c>
      <c r="AI158" s="7">
        <v>12</v>
      </c>
      <c r="AJ158" s="7"/>
      <c r="AK158" s="32" t="s">
        <v>183</v>
      </c>
      <c r="AL158" s="7"/>
      <c r="AM158" s="7">
        <v>0</v>
      </c>
      <c r="AN158" s="7">
        <v>0</v>
      </c>
      <c r="AO158" s="7">
        <f>L158</f>
        <v>372</v>
      </c>
      <c r="AP158" s="7"/>
      <c r="AQ158" s="7"/>
      <c r="AR158" s="7"/>
      <c r="AS158" s="4">
        <f>K158</f>
        <v>372</v>
      </c>
      <c r="AT158" s="4">
        <f>MIN(9*K158^2,Q158*3*K158)/(9*K158^2)</f>
        <v>0.1971326164874552</v>
      </c>
      <c r="AU158" s="4">
        <f>MIN(10*M158^0.5*K158^1.5,3.9*M158^0.5*K158^(5/3))/(PI()/4*N158^2)</f>
        <v>353.52980095027158</v>
      </c>
      <c r="AV158" s="4">
        <f>MIN(0.7+0.3*Q158/2/1.5/K158,1)</f>
        <v>0.75913978494623646</v>
      </c>
      <c r="AW158" s="4">
        <v>1.25</v>
      </c>
      <c r="AX158" s="25">
        <v>1</v>
      </c>
      <c r="AY158" s="38">
        <f>AT158*AV158*AW158*AX158*AU158</f>
        <v>66.132704025990705</v>
      </c>
      <c r="BB158" s="38">
        <f>AX158* (M158^0.5/AS158^0.5)/(PI()/4*N158^2)/X158/0.72 *(0.7+(MIN(S158,AA158)+0.5*N158)/5/K158) *(3*Q158*K158)</f>
        <v>66.132704025990748</v>
      </c>
      <c r="BC158" s="38">
        <f>AY158/BB158</f>
        <v>0.99999999999999933</v>
      </c>
      <c r="BD158" s="38">
        <f>BH158/BB158</f>
        <v>4.5718131923996177</v>
      </c>
      <c r="BE158" s="4">
        <f>IF(BD158&lt;1,1,0)</f>
        <v>0</v>
      </c>
      <c r="BF158" s="4">
        <f>L158/N158*M158^0.5/0.19</f>
        <v>271.25257262928875</v>
      </c>
      <c r="BG158" s="4">
        <f>MIN(0.6+0.4*(AC158/AB158),2)</f>
        <v>1</v>
      </c>
      <c r="BH158" s="38">
        <f>2*M158*AB158*AD158^0.5*BG158*0.7/0.7</f>
        <v>302.34636871508383</v>
      </c>
      <c r="BI158" s="4">
        <f>MAX(1-0.7*AE158/5,0.3)</f>
        <v>0.44000000000000006</v>
      </c>
      <c r="BJ158" s="4">
        <f>BI158*J158*L158/(J158*N158/2.75/M158^0.5)</f>
        <v>62.360966447473494</v>
      </c>
      <c r="BK158" s="4">
        <f>BH158+BJ158</f>
        <v>364.70733516255734</v>
      </c>
      <c r="BM158" s="4">
        <f>MIN(1.5, 0.75+0.25*MIN(3,MAX(1,S158/N158))+0.4*MIN(1,(40*2*PI()*AM158^2/4/AO158/X158)/N158))</f>
        <v>1.3931564245810057</v>
      </c>
      <c r="BN158" s="4">
        <f>(3*P158+30)*BM158*M158^0.5</f>
        <v>422.69637540686551</v>
      </c>
      <c r="BP158" s="4">
        <f>3.4/PI()^0.5*M158*AB158*AE158^0.5*BG158</f>
        <v>289.98714214931721</v>
      </c>
      <c r="BQ158" s="4">
        <f>8/3*AH158*AI158^2/(AG158-N158-22)/N158*(AG158^2-N158^2)/(AG158^2-(N158+22)^2)</f>
        <v>363.03340318192352</v>
      </c>
      <c r="BR158" s="4">
        <f>BQ158/BP158</f>
        <v>1.2518948270988997</v>
      </c>
      <c r="BZ158" s="4">
        <f>IF(W158=0,S158,MIN(W158/2,S158))</f>
        <v>92.1</v>
      </c>
      <c r="CD158" s="9"/>
      <c r="CF158" s="9"/>
      <c r="CG158" s="9"/>
      <c r="CH158" s="9">
        <f>IF(W158=0,MIN(S158,U158),MIN(W158/2,S158,U158))</f>
        <v>50</v>
      </c>
      <c r="CI158" s="9">
        <f>MAX(W158/2,S158)</f>
        <v>92.1</v>
      </c>
      <c r="CJ158" s="9">
        <f>(CH158/N158)^0.5*(CI158/CH158)^0.15</f>
        <v>1.2952002892239232</v>
      </c>
      <c r="CK158" s="70">
        <v>0</v>
      </c>
      <c r="CL158" s="9">
        <f>MIN(PI()*AM158^2/4*AN158*2/X158/N158/MAX(0.01,AO158),0.05)</f>
        <v>0</v>
      </c>
      <c r="CM158" s="9">
        <f>MAX(0,CK158*(CL158-0.5/50))</f>
        <v>0</v>
      </c>
      <c r="CN158" s="9">
        <f>MIN(1,(25/N158)^0.3)</f>
        <v>0.89787751228078194</v>
      </c>
      <c r="CO158" s="9">
        <f>IF(J158&gt;=800,0.68,IF(J158&gt;=700,0.75-(J158-700)*0.07/100,IF(J158&gt;=600,0.85-(J158-600)*0.1/100,IF(J158&gt;=500,1-(J158-500)*0.15/100,1.2-(J158-400)*0.2/100))))</f>
        <v>1.0988</v>
      </c>
      <c r="CP158" s="9">
        <f>1.75*CN158*CO158*(M158/25)^0.5</f>
        <v>1.7126607436390533</v>
      </c>
      <c r="CQ158" s="9">
        <f>MIN((CJ158+CM158)*CP158,2.5*CP158,M158^0.5)</f>
        <v>2.2182386905037612</v>
      </c>
      <c r="CR158" s="9">
        <v>1</v>
      </c>
      <c r="CS158" s="9">
        <f>4*CQ158*P158+60*CQ158</f>
        <v>225.29373962770046</v>
      </c>
      <c r="DP158" s="4">
        <f>AN158</f>
        <v>0</v>
      </c>
      <c r="DQ158" s="4">
        <f>L158</f>
        <v>372</v>
      </c>
      <c r="DT158" s="4">
        <f>K158/4/(1-0.3*(M158/30)^0.5)/200000/N158</f>
        <v>1.7833504313203137E-5</v>
      </c>
      <c r="DU158" s="4">
        <f>EP158</f>
        <v>5.6886371181108544</v>
      </c>
      <c r="DZ158" s="38">
        <f>MIN(1/N158*(4*AG158*(DW158-DX158)+(3*DX158+DY158)*K158)+EC158 -FJ158,MAX(J158,AJ158))</f>
        <v>66.132704025990748</v>
      </c>
      <c r="EA158" s="4">
        <f>DZ158/FF158</f>
        <v>0.26356326816005199</v>
      </c>
      <c r="EC158" s="4">
        <f>MIN(EB$10*BB158)</f>
        <v>66.132704025990748</v>
      </c>
      <c r="EG158" s="4">
        <f>IF(U158&gt;1*N158,0.85,1)</f>
        <v>0.85</v>
      </c>
      <c r="EH158" s="4">
        <f>MIN(1,MAX(0.7,(1-0.1*(BZ158-1*N158)/N158)))</f>
        <v>0.84273743016759772</v>
      </c>
      <c r="EI158" s="4">
        <f>MIN(1,MAX(0.7,1-0.3*(PI()*AM158^2/4*AN158*2-0.25*PI()/4*N158^2)/(PI()/4*N158^2)))</f>
        <v>1</v>
      </c>
      <c r="EJ158" s="4">
        <f>IF(EH158*EI158&lt;0.7,0.7,EH158*EI158)</f>
        <v>0.84273743016759772</v>
      </c>
      <c r="EM158" s="25"/>
      <c r="EP158" s="4">
        <f>IF(N158&lt;22.2,1.1*5*(M158/30)^0.5,IF(N158&gt;=31.8,0.9*5*(M158/30)^0.5,1*5*(M158/30)^0.5))/EJ158/EG158</f>
        <v>5.6886371181108544</v>
      </c>
      <c r="ES158" s="4">
        <f>ET158*N158</f>
        <v>80.051233594492473</v>
      </c>
      <c r="ET158" s="4">
        <f>AF158^0.5</f>
        <v>2.2360679774997898</v>
      </c>
      <c r="EU158" s="4">
        <f>MIN(EC158)/(4700*M158^0.5)/AE158*ES158</f>
        <v>5.6775230548321946E-2</v>
      </c>
      <c r="EX158" s="4">
        <f>EU158</f>
        <v>5.6775230548321946E-2</v>
      </c>
      <c r="EY158" s="4">
        <f>MIN(0.999, EX158/(0.3*(M158/30)^0.5))</f>
        <v>0.20899251175674796</v>
      </c>
      <c r="EZ158" s="4">
        <f>EP158/1*EY158^0.4</f>
        <v>3.0413088165266138</v>
      </c>
      <c r="FA158" s="4">
        <f>EP158/1.4*(1-EY158^1.4)/(1-EY158)</f>
        <v>4.5629208180888385</v>
      </c>
      <c r="FB158" s="4">
        <f>MAX(0,DQ158*FB$9-ES158)</f>
        <v>198.94876640550751</v>
      </c>
      <c r="FC158" s="4">
        <f>MAX(0,DQ158-ES158-FB158)</f>
        <v>93</v>
      </c>
      <c r="FD158" s="4">
        <f>FC158/(1-0.3*(M158/30)^0.5)/200000/N158</f>
        <v>1.7833504313203137E-5</v>
      </c>
      <c r="FE158" s="4">
        <f>MAX(0.5*EP158, (1-2*FD158*(ES158*EZ158+FB158*FA158))/(1/EP158+FD158*FC158))</f>
        <v>5.4040670108283386</v>
      </c>
      <c r="FF158" s="4">
        <f>MIN(4/N158*(1*EZ158*ES158+FA158*FB158+FC158*FE158)+EC158,MAX(J158,AJ158))</f>
        <v>250.91775681667013</v>
      </c>
      <c r="FO158" s="23"/>
      <c r="FP158" s="23"/>
      <c r="FQ158" s="23"/>
      <c r="FR158" s="23"/>
      <c r="FS158" s="23"/>
      <c r="FT158" s="23"/>
      <c r="FU158" s="23"/>
      <c r="FV158" s="23"/>
      <c r="GF158" s="4">
        <f>IF(S158&gt;=2.5*25.4,1,1.25)</f>
        <v>1</v>
      </c>
      <c r="GG158" s="4">
        <f>IF(AO158&gt;1, 0.05*(18-MIN(8,(W158+N158)/N158))*(1-48000/MAX(60000,(J158*145))*(N158/25.4)^0.75*GH158), 1/12*(14-MIN(8,(W158+N158)/N158)))</f>
        <v>0.85000000000000009</v>
      </c>
      <c r="GH158" s="4">
        <f>MIN(0.3, AM158^2*PI()/4*2*AP158/(N158^2*PI()/4*X158))</f>
        <v>0</v>
      </c>
      <c r="GI158" s="4">
        <f>(K158/25.4)/(N158/25.4)^1.5/0.0024*(M158*145)^0.25/GF158/GG158/145</f>
        <v>228.6719345585708</v>
      </c>
    </row>
    <row r="159" spans="1:196" ht="12" hidden="1" customHeight="1" x14ac:dyDescent="0.3">
      <c r="A159" s="25">
        <v>140</v>
      </c>
      <c r="B159" s="24" t="s">
        <v>659</v>
      </c>
      <c r="C159" s="24">
        <v>2007</v>
      </c>
      <c r="D159" s="24" t="s">
        <v>309</v>
      </c>
      <c r="E159" s="24"/>
      <c r="F159" s="24"/>
      <c r="G159" s="24"/>
      <c r="H159" s="4" t="s">
        <v>117</v>
      </c>
      <c r="J159" s="7">
        <v>450.6</v>
      </c>
      <c r="K159" s="7">
        <v>295</v>
      </c>
      <c r="L159" s="7">
        <f>K159</f>
        <v>295</v>
      </c>
      <c r="M159" s="7">
        <v>24.6</v>
      </c>
      <c r="N159" s="7">
        <v>35.799999999999997</v>
      </c>
      <c r="O159" s="7">
        <f>K159/N159</f>
        <v>8.2402234636871512</v>
      </c>
      <c r="P159" s="7">
        <f>L159/N159</f>
        <v>8.2402234636871512</v>
      </c>
      <c r="Q159" s="7">
        <v>220</v>
      </c>
      <c r="R159" s="7"/>
      <c r="S159" s="7">
        <f>(Q159-N159)/2</f>
        <v>92.1</v>
      </c>
      <c r="T159" s="7"/>
      <c r="U159" s="7">
        <f>434-12-L159</f>
        <v>127</v>
      </c>
      <c r="V159" s="7"/>
      <c r="W159" s="7">
        <v>0</v>
      </c>
      <c r="X159" s="7">
        <v>1</v>
      </c>
      <c r="Y159" s="7"/>
      <c r="Z159" s="7"/>
      <c r="AA159" s="7">
        <f>434-65</f>
        <v>369</v>
      </c>
      <c r="AB159" s="7">
        <f>S159/N159+0.5</f>
        <v>3.0726256983240225</v>
      </c>
      <c r="AC159" s="7">
        <f>S159/N159+0.5</f>
        <v>3.0726256983240225</v>
      </c>
      <c r="AD159" s="7">
        <f>10324/2581</f>
        <v>4</v>
      </c>
      <c r="AE159" s="7">
        <f>10324/2581</f>
        <v>4</v>
      </c>
      <c r="AF159" s="7">
        <f>AE159+1</f>
        <v>5</v>
      </c>
      <c r="AG159" s="7">
        <f>N159*AF159^0.5</f>
        <v>80.051233594492473</v>
      </c>
      <c r="AH159" s="7">
        <f>J159</f>
        <v>450.6</v>
      </c>
      <c r="AI159" s="7">
        <v>12</v>
      </c>
      <c r="AJ159" s="7"/>
      <c r="AK159" s="32" t="s">
        <v>183</v>
      </c>
      <c r="AL159" s="7"/>
      <c r="AM159" s="7">
        <v>0</v>
      </c>
      <c r="AN159" s="7">
        <v>0</v>
      </c>
      <c r="AO159" s="7">
        <f>L159</f>
        <v>295</v>
      </c>
      <c r="AP159" s="7"/>
      <c r="AQ159" s="7"/>
      <c r="AR159" s="7"/>
      <c r="AS159" s="4">
        <f>K159</f>
        <v>295</v>
      </c>
      <c r="AT159" s="4">
        <f>MIN(9*K159^2,Q159*3*K159)/(9*K159^2)</f>
        <v>0.24858757062146894</v>
      </c>
      <c r="AU159" s="4">
        <f>MIN(10*M159^0.5*K159^1.5,3.9*M159^0.5*K159^(5/3))/(PI()/4*N159^2)</f>
        <v>249.65751469880246</v>
      </c>
      <c r="AV159" s="4">
        <f>MIN(0.7+0.3*Q159/2/1.5/K159,1)</f>
        <v>0.77457627118644068</v>
      </c>
      <c r="AW159" s="4">
        <v>1.25</v>
      </c>
      <c r="AX159" s="25">
        <v>1</v>
      </c>
      <c r="AY159" s="38">
        <f>AT159*AV159*AW159*AX159*AU159</f>
        <v>60.089453528242842</v>
      </c>
      <c r="BB159" s="38">
        <f>AX159* (M159^0.5/AS159^0.5)/(PI()/4*N159^2)/X159/0.72 *(0.7+(MIN(S159,AA159)+0.5*N159)/5/K159) *(3*Q159*K159)</f>
        <v>60.089453528242863</v>
      </c>
      <c r="BC159" s="38">
        <f>AY159/BB159</f>
        <v>0.99999999999999967</v>
      </c>
      <c r="BD159" s="38">
        <f>BH159/BB159</f>
        <v>5.0316045655661839</v>
      </c>
      <c r="BE159" s="4">
        <f>IF(BD159&lt;1,1,0)</f>
        <v>0</v>
      </c>
      <c r="BF159" s="4">
        <f>L159/N159*M159^0.5/0.19</f>
        <v>215.10620678935533</v>
      </c>
      <c r="BG159" s="4">
        <f>MIN(0.6+0.4*(AC159/AB159),2)</f>
        <v>1</v>
      </c>
      <c r="BH159" s="38">
        <f>2*M159*AB159*AD159^0.5*BG159*0.7/0.7</f>
        <v>302.34636871508383</v>
      </c>
      <c r="BI159" s="4">
        <f>MAX(1-0.7*AE159/5,0.3)</f>
        <v>0.44000000000000006</v>
      </c>
      <c r="BJ159" s="4">
        <f>BI159*J159*L159/(J159*N159/2.75/M159^0.5)</f>
        <v>49.452916940872797</v>
      </c>
      <c r="BK159" s="4">
        <f>BH159+BJ159</f>
        <v>351.79928565595662</v>
      </c>
      <c r="BM159" s="4">
        <f>MIN(1.5, 0.75+0.25*MIN(3,MAX(1,S159/N159))+0.4*MIN(1,(40*2*PI()*AM159^2/4/AO159/X159)/N159))</f>
        <v>1.3931564245810057</v>
      </c>
      <c r="BN159" s="4">
        <f>(3*P159+30)*BM159*M159^0.5</f>
        <v>378.1105933434016</v>
      </c>
      <c r="BP159" s="4">
        <f>3.4/PI()^0.5*M159*AB159*AE159^0.5*BG159</f>
        <v>289.98714214931721</v>
      </c>
      <c r="BQ159" s="4">
        <f>8/3*AH159*AI159^2/(AG159-N159-22)/N159*(AG159^2-N159^2)/(AG159^2-(N159+22)^2)</f>
        <v>363.03340318192352</v>
      </c>
      <c r="BR159" s="4">
        <f>BQ159/BP159</f>
        <v>1.2518948270988997</v>
      </c>
      <c r="BZ159" s="4">
        <f>IF(W159=0,S159,MIN(W159/2,S159))</f>
        <v>92.1</v>
      </c>
      <c r="CD159" s="9"/>
      <c r="CF159" s="9"/>
      <c r="CG159" s="9"/>
      <c r="CH159" s="9">
        <f>IF(W159=0,MIN(S159,U159),MIN(W159/2,S159,U159))</f>
        <v>92.1</v>
      </c>
      <c r="CI159" s="9">
        <f>MAX(W159/2,S159)</f>
        <v>92.1</v>
      </c>
      <c r="CJ159" s="9">
        <f>(CH159/N159)^0.5*(CI159/CH159)^0.15</f>
        <v>1.6039406779317067</v>
      </c>
      <c r="CK159" s="70">
        <v>0</v>
      </c>
      <c r="CL159" s="9">
        <f>MIN(PI()*AM159^2/4*AN159*2/X159/N159/MAX(0.01,AO159),0.05)</f>
        <v>0</v>
      </c>
      <c r="CM159" s="9">
        <f>MAX(0,CK159*(CL159-0.5/50))</f>
        <v>0</v>
      </c>
      <c r="CN159" s="9">
        <f>MIN(1,(25/N159)^0.3)</f>
        <v>0.89787751228078194</v>
      </c>
      <c r="CO159" s="9">
        <f>IF(J159&gt;=800,0.68,IF(J159&gt;=700,0.75-(J159-700)*0.07/100,IF(J159&gt;=600,0.85-(J159-600)*0.1/100,IF(J159&gt;=500,1-(J159-500)*0.15/100,1.2-(J159-400)*0.2/100))))</f>
        <v>1.0988</v>
      </c>
      <c r="CP159" s="9">
        <f>1.75*CN159*CO159*(M159/25)^0.5</f>
        <v>1.7126607436390533</v>
      </c>
      <c r="CQ159" s="9">
        <f>MIN((CJ159+CM159)*CP159,2.5*CP159,M159^0.5)</f>
        <v>2.7470062342194441</v>
      </c>
      <c r="CR159" s="9">
        <v>1</v>
      </c>
      <c r="CS159" s="9">
        <f>4*CQ159*P159+60*CQ159</f>
        <v>255.36415495760644</v>
      </c>
      <c r="DP159" s="4">
        <f>AN159</f>
        <v>0</v>
      </c>
      <c r="DQ159" s="4">
        <f>L159</f>
        <v>295</v>
      </c>
      <c r="DT159" s="4">
        <f>K159/4/(1-0.3*(M159/30)^0.5)/200000/N159</f>
        <v>1.4142160678480981E-5</v>
      </c>
      <c r="DU159" s="4">
        <f>EP159</f>
        <v>5.6886371181108544</v>
      </c>
      <c r="DZ159" s="38">
        <f>MIN(1/N159*(4*AG159*(DW159-DX159)+(3*DX159+DY159)*K159)+EC159 -FJ159,MAX(J159,AJ159))</f>
        <v>60.089453528242863</v>
      </c>
      <c r="EA159" s="4">
        <f>DZ159/FF159</f>
        <v>0.29583762773159056</v>
      </c>
      <c r="EC159" s="4">
        <f>MIN(EB$10*BB159)</f>
        <v>60.089453528242863</v>
      </c>
      <c r="EG159" s="4">
        <f>IF(U159&gt;1*N159,0.85,1)</f>
        <v>0.85</v>
      </c>
      <c r="EH159" s="4">
        <f>MIN(1,MAX(0.7,(1-0.1*(BZ159-1*N159)/N159)))</f>
        <v>0.84273743016759772</v>
      </c>
      <c r="EI159" s="4">
        <f>MIN(1,MAX(0.7,1-0.3*(PI()*AM159^2/4*AN159*2-0.25*PI()/4*N159^2)/(PI()/4*N159^2)))</f>
        <v>1</v>
      </c>
      <c r="EJ159" s="4">
        <f>IF(EH159*EI159&lt;0.7,0.7,EH159*EI159)</f>
        <v>0.84273743016759772</v>
      </c>
      <c r="EM159" s="25"/>
      <c r="EP159" s="4">
        <f>IF(N159&lt;22.2,1.1*5*(M159/30)^0.5,IF(N159&gt;=31.8,0.9*5*(M159/30)^0.5,1*5*(M159/30)^0.5))/EJ159/EG159</f>
        <v>5.6886371181108544</v>
      </c>
      <c r="ES159" s="4">
        <f>ET159*N159</f>
        <v>80.051233594492473</v>
      </c>
      <c r="ET159" s="4">
        <f>AF159^0.5</f>
        <v>2.2360679774997898</v>
      </c>
      <c r="EU159" s="4">
        <f>MIN(EC159)/(4700*M159^0.5)/AE159*ES159</f>
        <v>5.1587072203306245E-2</v>
      </c>
      <c r="EX159" s="4">
        <f>EU159</f>
        <v>5.1587072203306245E-2</v>
      </c>
      <c r="EY159" s="4">
        <f>MIN(0.999, EX159/(0.3*(M159/30)^0.5))</f>
        <v>0.18989463697148015</v>
      </c>
      <c r="EZ159" s="4">
        <f>EP159/1*EY159^0.4</f>
        <v>2.9269365675660954</v>
      </c>
      <c r="FA159" s="4">
        <f>EP159/1.4*(1-EY159^1.4)/(1-EY159)</f>
        <v>4.5257142689842214</v>
      </c>
      <c r="FB159" s="4">
        <f>MAX(0,DQ159*FB$9-ES159)</f>
        <v>141.19876640550751</v>
      </c>
      <c r="FC159" s="4">
        <f>MAX(0,DQ159-ES159-FB159)</f>
        <v>73.75</v>
      </c>
      <c r="FD159" s="4">
        <f>FC159/(1-0.3*(M159/30)^0.5)/200000/N159</f>
        <v>1.4142160678480981E-5</v>
      </c>
      <c r="FE159" s="4">
        <f>MAX(0.5*EP159, (1-2*FD159*(ES159*EZ159+FB159*FA159))/(1/EP159+FD159*FC159))</f>
        <v>5.5153952400549962</v>
      </c>
      <c r="FF159" s="4">
        <f>MIN(4/N159*(1*EZ159*ES159+FA159*FB159+FC159*FE159)+EC159,MAX(J159,AJ159))</f>
        <v>203.1163310394079</v>
      </c>
      <c r="FO159" s="23"/>
      <c r="FP159" s="23"/>
      <c r="FQ159" s="23"/>
      <c r="FR159" s="23"/>
      <c r="FS159" s="23"/>
      <c r="FT159" s="23"/>
      <c r="FU159" s="23"/>
      <c r="FV159" s="23"/>
      <c r="GF159" s="4">
        <f>IF(S159&gt;=2.5*25.4,1,1.25)</f>
        <v>1</v>
      </c>
      <c r="GG159" s="4">
        <f>IF(AO159&gt;1, 0.05*(18-MIN(8,(W159+N159)/N159))*(1-48000/MAX(60000,(J159*145))*(N159/25.4)^0.75*GH159), 1/12*(14-MIN(8,(W159+N159)/N159)))</f>
        <v>0.85000000000000009</v>
      </c>
      <c r="GH159" s="4">
        <f>MIN(0.3, AM159^2*PI()/4*2*AP159/(N159^2*PI()/4*X159))</f>
        <v>0</v>
      </c>
      <c r="GI159" s="4">
        <f>(K159/25.4)/(N159/25.4)^1.5/0.0024*(M159*145)^0.25/GF159/GG159/145</f>
        <v>181.33930294295271</v>
      </c>
    </row>
    <row r="160" spans="1:196" ht="12" hidden="1" customHeight="1" x14ac:dyDescent="0.3">
      <c r="A160" s="25">
        <v>141</v>
      </c>
      <c r="B160" s="24" t="s">
        <v>659</v>
      </c>
      <c r="C160" s="24">
        <v>2007</v>
      </c>
      <c r="D160" s="24" t="s">
        <v>309</v>
      </c>
      <c r="E160" s="24"/>
      <c r="F160" s="24"/>
      <c r="G160" s="24"/>
      <c r="H160" s="4" t="s">
        <v>118</v>
      </c>
      <c r="J160" s="7">
        <v>450.6</v>
      </c>
      <c r="K160" s="7">
        <v>295</v>
      </c>
      <c r="L160" s="7">
        <f>K160</f>
        <v>295</v>
      </c>
      <c r="M160" s="7">
        <v>24.6</v>
      </c>
      <c r="N160" s="7">
        <v>35.799999999999997</v>
      </c>
      <c r="O160" s="7">
        <f>K160/N160</f>
        <v>8.2402234636871512</v>
      </c>
      <c r="P160" s="7">
        <f>L160/N160</f>
        <v>8.2402234636871512</v>
      </c>
      <c r="Q160" s="7">
        <v>220</v>
      </c>
      <c r="R160" s="7"/>
      <c r="S160" s="7">
        <f>(Q160-N160)/2</f>
        <v>92.1</v>
      </c>
      <c r="T160" s="7"/>
      <c r="U160" s="7">
        <f>434-12-L160</f>
        <v>127</v>
      </c>
      <c r="V160" s="7"/>
      <c r="W160" s="7">
        <v>0</v>
      </c>
      <c r="X160" s="7">
        <v>1</v>
      </c>
      <c r="Y160" s="7"/>
      <c r="Z160" s="7"/>
      <c r="AA160" s="7">
        <f>434-65</f>
        <v>369</v>
      </c>
      <c r="AB160" s="7">
        <f>S160/N160+0.5</f>
        <v>3.0726256983240225</v>
      </c>
      <c r="AC160" s="7">
        <f>S160/N160+0.5</f>
        <v>3.0726256983240225</v>
      </c>
      <c r="AD160" s="7">
        <f>10324/2581</f>
        <v>4</v>
      </c>
      <c r="AE160" s="7">
        <f>10324/2581</f>
        <v>4</v>
      </c>
      <c r="AF160" s="7">
        <f>AE160+1</f>
        <v>5</v>
      </c>
      <c r="AG160" s="7">
        <f>N160*AF160^0.5</f>
        <v>80.051233594492473</v>
      </c>
      <c r="AH160" s="7">
        <f>J160</f>
        <v>450.6</v>
      </c>
      <c r="AI160" s="7">
        <v>12</v>
      </c>
      <c r="AJ160" s="7"/>
      <c r="AK160" s="32" t="s">
        <v>183</v>
      </c>
      <c r="AL160" s="7"/>
      <c r="AM160" s="7">
        <v>0</v>
      </c>
      <c r="AN160" s="7">
        <v>0</v>
      </c>
      <c r="AO160" s="7">
        <f>L160</f>
        <v>295</v>
      </c>
      <c r="AP160" s="7"/>
      <c r="AQ160" s="7"/>
      <c r="AR160" s="7"/>
      <c r="AS160" s="4">
        <f>K160</f>
        <v>295</v>
      </c>
      <c r="AT160" s="4">
        <f>MIN(9*K160^2,Q160*3*K160)/(9*K160^2)</f>
        <v>0.24858757062146894</v>
      </c>
      <c r="AU160" s="4">
        <f>MIN(10*M160^0.5*K160^1.5,3.9*M160^0.5*K160^(5/3))/(PI()/4*N160^2)</f>
        <v>249.65751469880246</v>
      </c>
      <c r="AV160" s="4">
        <f>MIN(0.7+0.3*Q160/2/1.5/K160,1)</f>
        <v>0.77457627118644068</v>
      </c>
      <c r="AW160" s="4">
        <v>1.25</v>
      </c>
      <c r="AX160" s="25">
        <v>1</v>
      </c>
      <c r="AY160" s="38">
        <f>AT160*AV160*AW160*AX160*AU160</f>
        <v>60.089453528242842</v>
      </c>
      <c r="BB160" s="38">
        <f>AX160* (M160^0.5/AS160^0.5)/(PI()/4*N160^2)/X160/0.72 *(0.7+(MIN(S160,AA160)+0.5*N160)/5/K160) *(3*Q160*K160)</f>
        <v>60.089453528242863</v>
      </c>
      <c r="BC160" s="38">
        <f>AY160/BB160</f>
        <v>0.99999999999999967</v>
      </c>
      <c r="BD160" s="38">
        <f>BH160/BB160</f>
        <v>5.0316045655661839</v>
      </c>
      <c r="BE160" s="4">
        <f>IF(BD160&lt;1,1,0)</f>
        <v>0</v>
      </c>
      <c r="BF160" s="4">
        <f>L160/N160*M160^0.5/0.19</f>
        <v>215.10620678935533</v>
      </c>
      <c r="BG160" s="4">
        <f>MIN(0.6+0.4*(AC160/AB160),2)</f>
        <v>1</v>
      </c>
      <c r="BH160" s="38">
        <f>2*M160*AB160*AD160^0.5*BG160*0.7/0.7</f>
        <v>302.34636871508383</v>
      </c>
      <c r="BI160" s="4">
        <f>MAX(1-0.7*AE160/5,0.3)</f>
        <v>0.44000000000000006</v>
      </c>
      <c r="BJ160" s="4">
        <f>BI160*J160*L160/(J160*N160/2.75/M160^0.5)</f>
        <v>49.452916940872797</v>
      </c>
      <c r="BK160" s="4">
        <f>BH160+BJ160</f>
        <v>351.79928565595662</v>
      </c>
      <c r="BM160" s="4">
        <f>MIN(1.5, 0.75+0.25*MIN(3,MAX(1,S160/N160))+0.4*MIN(1,(40*2*PI()*AM160^2/4/AO160/X160)/N160))</f>
        <v>1.3931564245810057</v>
      </c>
      <c r="BN160" s="4">
        <f>(3*P160+30)*BM160*M160^0.5</f>
        <v>378.1105933434016</v>
      </c>
      <c r="BP160" s="4">
        <f>3.4/PI()^0.5*M160*AB160*AE160^0.5*BG160</f>
        <v>289.98714214931721</v>
      </c>
      <c r="BQ160" s="4">
        <f>8/3*AH160*AI160^2/(AG160-N160-22)/N160*(AG160^2-N160^2)/(AG160^2-(N160+22)^2)</f>
        <v>363.03340318192352</v>
      </c>
      <c r="BR160" s="4">
        <f>BQ160/BP160</f>
        <v>1.2518948270988997</v>
      </c>
      <c r="BZ160" s="4">
        <f>IF(W160=0,S160,MIN(W160/2,S160))</f>
        <v>92.1</v>
      </c>
      <c r="CD160" s="9"/>
      <c r="CF160" s="9"/>
      <c r="CG160" s="9"/>
      <c r="CH160" s="9">
        <f>IF(W160=0,MIN(S160,U160),MIN(W160/2,S160,U160))</f>
        <v>92.1</v>
      </c>
      <c r="CI160" s="9">
        <f>MAX(W160/2,S160)</f>
        <v>92.1</v>
      </c>
      <c r="CJ160" s="9">
        <f>(CH160/N160)^0.5*(CI160/CH160)^0.15</f>
        <v>1.6039406779317067</v>
      </c>
      <c r="CK160" s="70">
        <v>0</v>
      </c>
      <c r="CL160" s="9">
        <f>MIN(PI()*AM160^2/4*AN160*2/X160/N160/MAX(0.01,AO160),0.05)</f>
        <v>0</v>
      </c>
      <c r="CM160" s="9">
        <f>MAX(0,CK160*(CL160-0.5/50))</f>
        <v>0</v>
      </c>
      <c r="CN160" s="9">
        <f>MIN(1,(25/N160)^0.3)</f>
        <v>0.89787751228078194</v>
      </c>
      <c r="CO160" s="9">
        <f>IF(J160&gt;=800,0.68,IF(J160&gt;=700,0.75-(J160-700)*0.07/100,IF(J160&gt;=600,0.85-(J160-600)*0.1/100,IF(J160&gt;=500,1-(J160-500)*0.15/100,1.2-(J160-400)*0.2/100))))</f>
        <v>1.0988</v>
      </c>
      <c r="CP160" s="9">
        <f>1.75*CN160*CO160*(M160/25)^0.5</f>
        <v>1.7126607436390533</v>
      </c>
      <c r="CQ160" s="9">
        <f>MIN((CJ160+CM160)*CP160,2.5*CP160,M160^0.5)</f>
        <v>2.7470062342194441</v>
      </c>
      <c r="CR160" s="9">
        <v>1</v>
      </c>
      <c r="CS160" s="9">
        <f>4*CQ160*P160+60*CQ160</f>
        <v>255.36415495760644</v>
      </c>
      <c r="DP160" s="4">
        <f>AN160</f>
        <v>0</v>
      </c>
      <c r="DQ160" s="4">
        <f>L160</f>
        <v>295</v>
      </c>
      <c r="DT160" s="4">
        <f>K160/4/(1-0.3*(M160/30)^0.5)/200000/N160</f>
        <v>1.4142160678480981E-5</v>
      </c>
      <c r="DU160" s="4">
        <f>EP160</f>
        <v>5.6886371181108544</v>
      </c>
      <c r="DZ160" s="38">
        <f>MIN(1/N160*(4*AG160*(DW160-DX160)+(3*DX160+DY160)*K160)+EC160 -FJ160,MAX(J160,AJ160))</f>
        <v>60.089453528242863</v>
      </c>
      <c r="EA160" s="4">
        <f>DZ160/FF160</f>
        <v>0.29583762773159056</v>
      </c>
      <c r="EC160" s="4">
        <f>MIN(EB$10*BB160)</f>
        <v>60.089453528242863</v>
      </c>
      <c r="EG160" s="4">
        <f>IF(U160&gt;1*N160,0.85,1)</f>
        <v>0.85</v>
      </c>
      <c r="EH160" s="4">
        <f>MIN(1,MAX(0.7,(1-0.1*(BZ160-1*N160)/N160)))</f>
        <v>0.84273743016759772</v>
      </c>
      <c r="EI160" s="4">
        <f>MIN(1,MAX(0.7,1-0.3*(PI()*AM160^2/4*AN160*2-0.25*PI()/4*N160^2)/(PI()/4*N160^2)))</f>
        <v>1</v>
      </c>
      <c r="EJ160" s="4">
        <f>IF(EH160*EI160&lt;0.7,0.7,EH160*EI160)</f>
        <v>0.84273743016759772</v>
      </c>
      <c r="EM160" s="25"/>
      <c r="EP160" s="4">
        <f>IF(N160&lt;22.2,1.1*5*(M160/30)^0.5,IF(N160&gt;=31.8,0.9*5*(M160/30)^0.5,1*5*(M160/30)^0.5))/EJ160/EG160</f>
        <v>5.6886371181108544</v>
      </c>
      <c r="ES160" s="4">
        <f>ET160*N160</f>
        <v>80.051233594492473</v>
      </c>
      <c r="ET160" s="4">
        <f>AF160^0.5</f>
        <v>2.2360679774997898</v>
      </c>
      <c r="EU160" s="4">
        <f>MIN(EC160)/(4700*M160^0.5)/AE160*ES160</f>
        <v>5.1587072203306245E-2</v>
      </c>
      <c r="EX160" s="4">
        <f>EU160</f>
        <v>5.1587072203306245E-2</v>
      </c>
      <c r="EY160" s="4">
        <f>MIN(0.999, EX160/(0.3*(M160/30)^0.5))</f>
        <v>0.18989463697148015</v>
      </c>
      <c r="EZ160" s="4">
        <f>EP160/1*EY160^0.4</f>
        <v>2.9269365675660954</v>
      </c>
      <c r="FA160" s="4">
        <f>EP160/1.4*(1-EY160^1.4)/(1-EY160)</f>
        <v>4.5257142689842214</v>
      </c>
      <c r="FB160" s="4">
        <f>MAX(0,DQ160*FB$9-ES160)</f>
        <v>141.19876640550751</v>
      </c>
      <c r="FC160" s="4">
        <f>MAX(0,DQ160-ES160-FB160)</f>
        <v>73.75</v>
      </c>
      <c r="FD160" s="4">
        <f>FC160/(1-0.3*(M160/30)^0.5)/200000/N160</f>
        <v>1.4142160678480981E-5</v>
      </c>
      <c r="FE160" s="4">
        <f>MAX(0.5*EP160, (1-2*FD160*(ES160*EZ160+FB160*FA160))/(1/EP160+FD160*FC160))</f>
        <v>5.5153952400549962</v>
      </c>
      <c r="FF160" s="4">
        <f>MIN(4/N160*(1*EZ160*ES160+FA160*FB160+FC160*FE160)+EC160,MAX(J160,AJ160))</f>
        <v>203.1163310394079</v>
      </c>
      <c r="FO160" s="23"/>
      <c r="FP160" s="23"/>
      <c r="FQ160" s="23"/>
      <c r="FR160" s="23"/>
      <c r="FS160" s="23"/>
      <c r="FT160" s="23"/>
      <c r="FU160" s="23"/>
      <c r="FV160" s="23"/>
      <c r="GF160" s="4">
        <f>IF(S160&gt;=2.5*25.4,1,1.25)</f>
        <v>1</v>
      </c>
      <c r="GG160" s="4">
        <f>IF(AO160&gt;1, 0.05*(18-MIN(8,(W160+N160)/N160))*(1-48000/MAX(60000,(J160*145))*(N160/25.4)^0.75*GH160), 1/12*(14-MIN(8,(W160+N160)/N160)))</f>
        <v>0.85000000000000009</v>
      </c>
      <c r="GH160" s="4">
        <f>MIN(0.3, AM160^2*PI()/4*2*AP160/(N160^2*PI()/4*X160))</f>
        <v>0</v>
      </c>
      <c r="GI160" s="4">
        <f>(K160/25.4)/(N160/25.4)^1.5/0.0024*(M160*145)^0.25/GF160/GG160/145</f>
        <v>181.33930294295271</v>
      </c>
    </row>
    <row r="161" spans="1:191" ht="12" customHeight="1" x14ac:dyDescent="0.3">
      <c r="A161" s="25">
        <v>173</v>
      </c>
      <c r="B161" s="24" t="s">
        <v>128</v>
      </c>
      <c r="C161" s="24">
        <v>2017</v>
      </c>
      <c r="D161" s="24" t="s">
        <v>309</v>
      </c>
      <c r="E161" s="24"/>
      <c r="F161" s="115" t="s">
        <v>777</v>
      </c>
      <c r="G161" s="109"/>
      <c r="H161" s="4" t="s">
        <v>180</v>
      </c>
      <c r="I161" s="5">
        <f>K161/N161</f>
        <v>16</v>
      </c>
      <c r="J161" s="100">
        <v>583</v>
      </c>
      <c r="K161" s="7">
        <f>16*N161</f>
        <v>916.8</v>
      </c>
      <c r="L161" s="7">
        <f>K161</f>
        <v>916.8</v>
      </c>
      <c r="M161" s="21">
        <v>41.8</v>
      </c>
      <c r="N161" s="37">
        <v>57.3</v>
      </c>
      <c r="O161" s="7">
        <f>K161/N161</f>
        <v>16</v>
      </c>
      <c r="P161" s="7">
        <f>L161/N161</f>
        <v>16</v>
      </c>
      <c r="Q161" s="7">
        <f>W161+2*S161+2*N161</f>
        <v>699.06000000000006</v>
      </c>
      <c r="R161" s="32">
        <f>S161/N161</f>
        <v>2</v>
      </c>
      <c r="S161" s="7">
        <f>2*N161</f>
        <v>114.6</v>
      </c>
      <c r="T161" s="32">
        <f>U161/N161</f>
        <v>0.97731239092495636</v>
      </c>
      <c r="U161" s="7">
        <f>40+16</f>
        <v>56</v>
      </c>
      <c r="V161" s="32">
        <f>W161/N161</f>
        <v>6.2</v>
      </c>
      <c r="W161" s="7">
        <f>(7.2-1)*N161</f>
        <v>355.26</v>
      </c>
      <c r="X161" s="7">
        <v>2</v>
      </c>
      <c r="Y161" s="7">
        <f>AN161</f>
        <v>0</v>
      </c>
      <c r="Z161" s="32">
        <f>AA161/N161</f>
        <v>8.5724258289703315</v>
      </c>
      <c r="AA161" s="7">
        <f>2/3*K161-0.5*240</f>
        <v>491.19999999999993</v>
      </c>
      <c r="AB161" s="7">
        <f>MIN(S161/N161+0.5, W161/2/N161+0.5)</f>
        <v>2.5</v>
      </c>
      <c r="AC161" s="7">
        <f>S161/N161+0.5</f>
        <v>2.5</v>
      </c>
      <c r="AD161" s="7">
        <f>2040/510</f>
        <v>4</v>
      </c>
      <c r="AE161" s="7">
        <f>2040/510</f>
        <v>4</v>
      </c>
      <c r="AF161" s="7">
        <f>AE161+1</f>
        <v>5</v>
      </c>
      <c r="AG161" s="7">
        <f>N161*AF161^0.5</f>
        <v>128.12669511073796</v>
      </c>
      <c r="AH161" s="7">
        <f>J161</f>
        <v>583</v>
      </c>
      <c r="AI161" s="7">
        <v>25</v>
      </c>
      <c r="AJ161" s="7">
        <f>(588+588)/2</f>
        <v>588</v>
      </c>
      <c r="AK161" s="7"/>
      <c r="AL161" s="4">
        <f>CY161</f>
        <v>1.5838852696285155</v>
      </c>
      <c r="AM161" s="7">
        <v>0</v>
      </c>
      <c r="AN161" s="7">
        <v>0</v>
      </c>
      <c r="AO161" s="7">
        <f>L161</f>
        <v>916.8</v>
      </c>
      <c r="AP161" s="7"/>
      <c r="AQ161" s="7"/>
      <c r="AR161" s="7">
        <f>3*AS161/(W161+N161)</f>
        <v>6.6666666666666661</v>
      </c>
      <c r="AS161" s="4">
        <f>K161</f>
        <v>916.8</v>
      </c>
      <c r="AT161" s="4">
        <f>IF(K161*3&gt;W161+N161, Q161, (S161+N161/2)*2+1.5*K161*(2*X161-2))*(3*K161)/(9*K161^2)</f>
        <v>0.25416666666666665</v>
      </c>
      <c r="AU161" s="4">
        <f>MIN(10*M161^0.5*K161^1.5,100*3.9*M161^0.5*K161^(5/3))/(PI()/4*N161^2)/X161</f>
        <v>347.99333558360394</v>
      </c>
      <c r="AV161" s="4">
        <f>MIN(0.7+0.3*(MIN(S161,AA161)+0.5*N161)/1.5/K161,1)</f>
        <v>0.73124999999999996</v>
      </c>
      <c r="AW161" s="4">
        <v>1.25</v>
      </c>
      <c r="AX161" s="4">
        <f>AX160</f>
        <v>1</v>
      </c>
      <c r="AY161" s="38">
        <f>AT161*AV161*AW161*AX161*AU161</f>
        <v>80.847279819667349</v>
      </c>
      <c r="AZ161" s="38">
        <f>AY161</f>
        <v>80.847279819667349</v>
      </c>
      <c r="BA161" s="38">
        <f>IF(M161&lt;50, 0.3*M161^(2/3), 2.12*LN(1+0.1*(M161+8)))</f>
        <v>3.613311826901703</v>
      </c>
      <c r="BB161" s="38">
        <f>AX161* (M161^0.5/AS161^0.5)/(PI()/4*N161^2)/X161/0.72 *(0.7+(MIN(S161,AA161)+0.5*N161)/5/K161) *(3*Q161*K161)</f>
        <v>80.847279819667378</v>
      </c>
      <c r="BC161" s="38">
        <f>AY161/BB161</f>
        <v>0.99999999999999967</v>
      </c>
      <c r="BD161" s="38">
        <f>BH161/BB161</f>
        <v>5.1702419788564722</v>
      </c>
      <c r="BE161" s="4">
        <f>IF(BD161&lt;1,1,0)</f>
        <v>0</v>
      </c>
      <c r="BF161" s="4">
        <f>L161/N161*M161^0.5/0.19</f>
        <v>544.4456379029765</v>
      </c>
      <c r="BG161" s="4">
        <f>MIN(0.6+0.4*(AC161/AB161),2)</f>
        <v>1</v>
      </c>
      <c r="BH161" s="38">
        <f>2*M161*AB161*AD161^0.5*BG161*0.7/0.7</f>
        <v>418</v>
      </c>
      <c r="BI161" s="4">
        <f>MAX(1-0.7*AE161/5,0.3)</f>
        <v>0.44000000000000006</v>
      </c>
      <c r="BJ161" s="4">
        <f>BI161*J161*L161/(J161*N161/2.75/M161^0.5)</f>
        <v>125.16805215389429</v>
      </c>
      <c r="BK161" s="4">
        <f>BH161+BJ161</f>
        <v>543.16805215389434</v>
      </c>
      <c r="BM161" s="4">
        <f>MIN(1.5, 0.75+0.25*MIN(3,MAX(1,S161/N161))+0.4*MIN(1,(40*2*PI()*AM161^2/4/AO161/X161)/N161))</f>
        <v>1.25</v>
      </c>
      <c r="BN161" s="4">
        <f>(3*P161+30)*BM161*M161^0.5</f>
        <v>630.36596513453992</v>
      </c>
      <c r="BP161" s="4">
        <f>3.4/PI()^0.5*M161*AB161*AE161^0.5*BG161</f>
        <v>400.91311806903559</v>
      </c>
      <c r="BQ161" s="4">
        <f>8/3*AH161*AI161^2/(AG161-N161-22)/N161*(AG161^2-N161^2)/(AG161^2-(N161+22)^2)</f>
        <v>450.3525339151019</v>
      </c>
      <c r="BR161" s="4">
        <f>BQ161/BP161</f>
        <v>1.1233170320896135</v>
      </c>
      <c r="BZ161" s="4">
        <f>IF(W161=0,S161,MIN(W161/2,S161))</f>
        <v>114.6</v>
      </c>
      <c r="CD161" s="9"/>
      <c r="CF161" s="9"/>
      <c r="CG161" s="9"/>
      <c r="CH161" s="9">
        <f>IF(W161=0,MIN(S161,U161),MIN(W161/2,S161,U161))</f>
        <v>56</v>
      </c>
      <c r="CI161" s="9">
        <f>MAX(W161/2,S161)</f>
        <v>177.63</v>
      </c>
      <c r="CJ161" s="9">
        <f>(CH161/N161)^0.5*(CI161/CH161)^0.15</f>
        <v>1.1754818988273255</v>
      </c>
      <c r="CK161" s="70">
        <v>0</v>
      </c>
      <c r="CL161" s="9">
        <f>MIN(PI()*AM161^2/4*AN161*2/X161/N161/MAX(0.01,AO161),0.05)</f>
        <v>0</v>
      </c>
      <c r="CM161" s="9">
        <f>MAX(0,CK161*(CL161-0.5/50))</f>
        <v>0</v>
      </c>
      <c r="CN161" s="9">
        <f>MIN(1,(25/N161)^0.3)</f>
        <v>0.77971450958075206</v>
      </c>
      <c r="CO161" s="9">
        <f>IF(J161&gt;=800,0.68,IF(J161&gt;=700,0.75-(J161-700)*0.07/100,IF(J161&gt;=600,0.85-(J161-600)*0.1/100,IF(J161&gt;=500,1-(J161-500)*0.15/100,1.2-(J161-400)*0.2/100))))</f>
        <v>0.87549999999999994</v>
      </c>
      <c r="CP161" s="9">
        <f>1.75*CN161*CO161*(M161/25)^0.5</f>
        <v>1.5447135341285001</v>
      </c>
      <c r="CQ161" s="9">
        <f>MIN((CJ161+CM161)*CP161,2.5*CP161,M161^0.5)</f>
        <v>1.8157827982416379</v>
      </c>
      <c r="CR161" s="9">
        <v>1</v>
      </c>
      <c r="CS161" s="9">
        <f>4*CQ161*P161+60*CQ161</f>
        <v>225.15706698196311</v>
      </c>
      <c r="CU161" s="4">
        <f>AJ161/BF161</f>
        <v>1.0799976325731626</v>
      </c>
      <c r="CV161" s="4">
        <f>AJ161/BK161</f>
        <v>1.0825378953499341</v>
      </c>
      <c r="CW161" s="4">
        <f>AJ161/BN161</f>
        <v>0.93279147752607849</v>
      </c>
      <c r="CX161" s="4">
        <f>AJ161/CS161</f>
        <v>2.6115103020377481</v>
      </c>
      <c r="CY161" s="4">
        <f>AJ161/DZ161</f>
        <v>1.5838852696285155</v>
      </c>
      <c r="CZ161" s="4">
        <f>AJ161/EL161</f>
        <v>1.2142589675863487</v>
      </c>
      <c r="DA161" s="4">
        <f>AJ161/GI161</f>
        <v>1.1755868754691567</v>
      </c>
      <c r="DC161" s="4">
        <f>CU161</f>
        <v>1.0799976325731626</v>
      </c>
      <c r="DD161" s="4">
        <f>CV161</f>
        <v>1.0825378953499341</v>
      </c>
      <c r="DE161" s="4">
        <f>CX161</f>
        <v>2.6115103020377481</v>
      </c>
      <c r="DF161" s="4">
        <f>DA161</f>
        <v>1.1755868754691567</v>
      </c>
      <c r="DG161" s="4">
        <f>CY161</f>
        <v>1.5838852696285155</v>
      </c>
      <c r="DH161" s="4">
        <f>CZ161</f>
        <v>1.2142589675863487</v>
      </c>
      <c r="DP161" s="4">
        <f>AN161</f>
        <v>0</v>
      </c>
      <c r="DQ161" s="4">
        <f>L161</f>
        <v>916.8</v>
      </c>
      <c r="DT161" s="4">
        <f>K161/4/(1-0.3*(M161/30)^0.5)/200000/N161</f>
        <v>3.0965438467699871E-5</v>
      </c>
      <c r="DU161" s="4">
        <f>EP161</f>
        <v>5.9019770698752589</v>
      </c>
      <c r="DV161" s="4">
        <f>EC161*AG161/257/M161/AD161</f>
        <v>0.24106582140233837</v>
      </c>
      <c r="DW161" s="4">
        <f>DU161*DV161^0.4</f>
        <v>3.3408099760797088</v>
      </c>
      <c r="DX161" s="4">
        <f>MIN(DU161, DU161/1.4*(1-DV161^1.4)/(1-DV161))</f>
        <v>4.7967852366138377</v>
      </c>
      <c r="DY161" s="4">
        <f>MAX(DU161/2, (4-DT161*(8*AG161*(DW161-DX161)+6*K161*DX161))/(4+DT161*K161*DU161)*DU161)</f>
        <v>4.5730423621416376</v>
      </c>
      <c r="DZ161" s="38">
        <f>MIN(1/N161*(4*AG161*(DW161-DX161)+(3*DX161+DY161)*K161)+EC161 -FJ161,MAX(J161,AJ161))</f>
        <v>371.23901034694865</v>
      </c>
      <c r="EA161" s="4">
        <f>DZ161/FF161</f>
        <v>1.0001241322620118</v>
      </c>
      <c r="EB161" s="4">
        <f>AG161/N161</f>
        <v>2.2360679774997898</v>
      </c>
      <c r="EC161" s="4">
        <f>MIN(EB$10*BB161)</f>
        <v>80.847279819667378</v>
      </c>
      <c r="EG161" s="4">
        <f>IF(U161&gt;1*N161,0.85,1)</f>
        <v>1</v>
      </c>
      <c r="EH161" s="4">
        <f>MIN(1,MAX(0.7,(1-0.1*(BZ161-1*N161)/N161)))</f>
        <v>0.9</v>
      </c>
      <c r="EI161" s="4">
        <f>MIN(1,MAX(0.7,1-0.3*(PI()*AM161^2/4*AQ161*2-0.25*PI()/4*N161^2)/(PI()/4*N161^2)))</f>
        <v>1</v>
      </c>
      <c r="EJ161" s="4">
        <f>IF(EH161*EI161&lt;0.7,0.7,EH161*EI161)</f>
        <v>0.9</v>
      </c>
      <c r="EL161" s="4">
        <f>MIN(DU161/N161*3*K161+EM161-FJ161,MAX(J161,AJ161))</f>
        <v>484.24596045504273</v>
      </c>
      <c r="EM161" s="25">
        <f>13.3*Q161*K161^0.5*M161^0.5/X161/N161^2*(0.7+S161/5/K161)</f>
        <v>200.95106110103035</v>
      </c>
      <c r="EP161" s="4">
        <f>IF(N161&lt;22.2,1.1*5*(M161/30)^0.5,IF(N161&gt;=31.8,0.9*5*(M161/30)^0.5,1*5*(M161/30)^0.5))/EG161/EJ161</f>
        <v>5.9019770698752589</v>
      </c>
      <c r="ES161" s="4">
        <f>ET161*N161</f>
        <v>128.12669511073796</v>
      </c>
      <c r="ET161" s="4">
        <f>AF161^0.5</f>
        <v>2.2360679774997898</v>
      </c>
      <c r="EU161" s="4">
        <f>MIN(EC161)/(4700*M161^0.5)/AE161*ES161</f>
        <v>8.5223437242757355E-2</v>
      </c>
      <c r="EX161" s="4">
        <f>EU161</f>
        <v>8.5223437242757355E-2</v>
      </c>
      <c r="EY161" s="4">
        <f>MIN(0.999, EX161/(0.3*(M161/30)^0.5))</f>
        <v>0.24066352747497941</v>
      </c>
      <c r="EZ161" s="4">
        <f>EP161/1*EY161^0.4</f>
        <v>3.3385787829276281</v>
      </c>
      <c r="FA161" s="4">
        <f>EP161/1.4*(1-EY161^1.4)/(1-EY161)</f>
        <v>4.7960132748423741</v>
      </c>
      <c r="FB161" s="4">
        <f>MAX(0,DQ161*FB$9-ES161)</f>
        <v>559.47330488926195</v>
      </c>
      <c r="FC161" s="4">
        <f>MAX(0,DQ161-ES161-FB161)</f>
        <v>229.20000000000005</v>
      </c>
      <c r="FD161" s="4">
        <f>FC161/(1-0.3*(M161/30)^0.5)/200000/N161</f>
        <v>3.0965438467699885E-5</v>
      </c>
      <c r="FE161" s="4">
        <f>MAX(0.5*EP161, (1-2*FD161*(ES161*EZ161+FB161*FA161))/(1/EP161+FD161*FC161))</f>
        <v>4.5732941689429643</v>
      </c>
      <c r="FF161" s="4">
        <f>MIN(4/N161*(1*EZ161*ES161+FA161*FB161+FC161*FE161)+EC161,MAX(J161,AJ161))</f>
        <v>371.19293332849179</v>
      </c>
      <c r="FO161" s="23">
        <f>IF(CU161&lt;0.6,0.6,IF(CU161&lt;0.8,0.8,IF(CU161&lt;1,1,IF(CU161&lt;1.2,1.2,IF(CU161&lt;1.4,1.4,IF(CU161&lt;1.6,1.6,IF(CU161&lt;1.8,1.8,IF(CU161&lt;2,2,2.2))))))))</f>
        <v>1.2</v>
      </c>
      <c r="FP161" s="23">
        <f>IF(CV161&lt;0.6,0.6,IF(CV161&lt;0.8,0.8,IF(CV161&lt;1,1,IF(CV161&lt;1.2,1.2,IF(CV161&lt;1.4,1.4,IF(CV161&lt;1.6,1.6,IF(CV161&lt;1.8,1.8,IF(CV161&lt;2,2,2.2))))))))</f>
        <v>1.2</v>
      </c>
      <c r="FQ161" s="23">
        <f>IF(DA161&lt;0.6,0.6,IF(DA161&lt;0.8,0.8,IF(DA161&lt;1,1,IF(DA161&lt;1.2,1.2,IF(DA161&lt;1.4,1.4,IF(DA161&lt;1.6,1.6,IF(DA161&lt;1.8,1.8,IF(DA161&lt;2,2,2.2))))))))</f>
        <v>1.2</v>
      </c>
      <c r="FR161" s="23">
        <f>IF(CX161&lt;0.6,0.6,IF(CX161&lt;0.8,0.8,IF(CX161&lt;1,1,IF(CX161&lt;1.2,1.2,IF(CX161&lt;1.4,1.4,IF(CX161&lt;1.6,1.6,IF(CX161&lt;1.8,1.8,IF(CX161&lt;2,2,2.2))))))))</f>
        <v>2.2000000000000002</v>
      </c>
      <c r="FS161" s="23">
        <f>IF(CY161&lt;0.6,0.6,IF(CY161&lt;0.8,0.8,IF(CY161&lt;1,1,IF(CY161&lt;1.2,1.2,IF(CY161&lt;1.4,1.4,IF(CY161&lt;1.6,1.6,IF(CY161&lt;1.8,1.8,IF(CY161&lt;2,2,2.2))))))))</f>
        <v>1.6</v>
      </c>
      <c r="FT161" s="23">
        <f>IF(CZ161&lt;0.6,0.6,IF(CZ161&lt;0.8,0.8,IF(CZ161&lt;1,1,IF(CZ161&lt;1.2,1.2,IF(CZ161&lt;1.4,1.4,IF(CZ161&lt;1.6,1.6,IF(CZ161&lt;1.8,1.8,IF(CZ161&lt;2,2,2.2))))))))</f>
        <v>1.4</v>
      </c>
      <c r="FU161" s="23">
        <f>IF(FS161&lt;1,1,0)</f>
        <v>0</v>
      </c>
      <c r="FV161" s="23"/>
      <c r="GF161" s="4">
        <f>IF(S161&gt;=2.5*25.4,1,1.25)</f>
        <v>1</v>
      </c>
      <c r="GG161" s="4">
        <f>IF(AO161&gt;1, 0.05*(18-MIN(8,(W161+N161)/N161))*(1-48000/MAX(60000,(J161*145))*(N161/25.4)^0.75*GH161), 1/12*(14-MIN(8,(W161+N161)/N161)))</f>
        <v>0.54</v>
      </c>
      <c r="GH161" s="4">
        <f>MIN(0.3, AM161^2*PI()/4*2*AP161/(N161^2*PI()/4*X161))</f>
        <v>0</v>
      </c>
      <c r="GI161" s="4">
        <f>(K161/25.4)/(N161/25.4)^1.5/0.0024*(M161*145)^0.25/GF161/GG161/145</f>
        <v>500.17570991113627</v>
      </c>
    </row>
    <row r="162" spans="1:191" ht="12" hidden="1" customHeight="1" x14ac:dyDescent="0.3">
      <c r="A162" s="25">
        <v>143</v>
      </c>
      <c r="B162" s="24" t="s">
        <v>659</v>
      </c>
      <c r="C162" s="24">
        <v>2007</v>
      </c>
      <c r="D162" s="24" t="s">
        <v>309</v>
      </c>
      <c r="E162" s="24"/>
      <c r="F162" s="24"/>
      <c r="G162" s="24"/>
      <c r="H162" s="4" t="s">
        <v>120</v>
      </c>
      <c r="J162" s="7">
        <v>454.8</v>
      </c>
      <c r="K162" s="7">
        <v>264</v>
      </c>
      <c r="L162" s="7">
        <f>K162</f>
        <v>264</v>
      </c>
      <c r="M162" s="7">
        <v>25.1</v>
      </c>
      <c r="N162" s="7">
        <v>25.4</v>
      </c>
      <c r="O162" s="7">
        <f>K162/N162</f>
        <v>10.393700787401576</v>
      </c>
      <c r="P162" s="7">
        <f>L162/N162</f>
        <v>10.393700787401576</v>
      </c>
      <c r="Q162" s="7">
        <v>160</v>
      </c>
      <c r="R162" s="7"/>
      <c r="S162" s="7">
        <f>(Q162-N162)/2</f>
        <v>67.3</v>
      </c>
      <c r="T162" s="7"/>
      <c r="U162" s="7">
        <f>323-9-L162</f>
        <v>50</v>
      </c>
      <c r="V162" s="7"/>
      <c r="W162" s="7">
        <v>0</v>
      </c>
      <c r="X162" s="7">
        <v>1</v>
      </c>
      <c r="Y162" s="7"/>
      <c r="Z162" s="7"/>
      <c r="AA162" s="7">
        <f>323-45</f>
        <v>278</v>
      </c>
      <c r="AB162" s="7">
        <f>S162/N162+0.5</f>
        <v>3.1496062992125986</v>
      </c>
      <c r="AC162" s="7">
        <f>S162/N162+0.5</f>
        <v>3.1496062992125986</v>
      </c>
      <c r="AD162" s="7">
        <f>2040/510</f>
        <v>4</v>
      </c>
      <c r="AE162" s="7">
        <f>2040/510</f>
        <v>4</v>
      </c>
      <c r="AF162" s="7">
        <f>AE162+1</f>
        <v>5</v>
      </c>
      <c r="AG162" s="7">
        <f>N162*AF162^0.5</f>
        <v>56.796126628494655</v>
      </c>
      <c r="AH162" s="7">
        <f>J162</f>
        <v>454.8</v>
      </c>
      <c r="AI162" s="7">
        <v>9</v>
      </c>
      <c r="AJ162" s="7"/>
      <c r="AK162" s="32" t="s">
        <v>183</v>
      </c>
      <c r="AL162" s="7"/>
      <c r="AM162" s="7">
        <v>0</v>
      </c>
      <c r="AN162" s="7">
        <v>0</v>
      </c>
      <c r="AO162" s="7">
        <f>L162</f>
        <v>264</v>
      </c>
      <c r="AP162" s="7"/>
      <c r="AQ162" s="7"/>
      <c r="AR162" s="7"/>
      <c r="AS162" s="4">
        <f>K162</f>
        <v>264</v>
      </c>
      <c r="AT162" s="4">
        <f>MIN(9*K162^2,Q162*3*K162)/(9*K162^2)</f>
        <v>0.20202020202020202</v>
      </c>
      <c r="AU162" s="4">
        <f>MIN(10*M162^0.5*K162^1.5,3.9*M162^0.5*K162^(5/3))/(PI()/4*N162^2)</f>
        <v>418.93890953923358</v>
      </c>
      <c r="AV162" s="4">
        <f>MIN(0.7+0.3*Q162/2/1.5/K162,1)</f>
        <v>0.76060606060606051</v>
      </c>
      <c r="AW162" s="4">
        <v>1.25</v>
      </c>
      <c r="AX162" s="25">
        <v>1</v>
      </c>
      <c r="AY162" s="38">
        <f>AT162*AV162*AW162*AX162*AU162</f>
        <v>80.466533742231093</v>
      </c>
      <c r="BB162" s="38">
        <f>AX162* (M162^0.5/AS162^0.5)/(PI()/4*N162^2)/X162/0.72 *(0.7+(MIN(S162,AA162)+0.5*N162)/5/K162) *(3*Q162*K162)</f>
        <v>81.461055336491228</v>
      </c>
      <c r="BC162" s="38">
        <f>AY162/BB162</f>
        <v>0.98779144721177425</v>
      </c>
      <c r="BD162" s="38">
        <f>BH162/BB162</f>
        <v>3.8818607386650328</v>
      </c>
      <c r="BE162" s="4">
        <f>IF(BD162&lt;1,1,0)</f>
        <v>0</v>
      </c>
      <c r="BF162" s="4">
        <f>L162/N162*M162^0.5/0.19</f>
        <v>274.06493271173576</v>
      </c>
      <c r="BG162" s="4">
        <f>MIN(0.6+0.4*(AC162/AB162),2)</f>
        <v>1</v>
      </c>
      <c r="BH162" s="38">
        <f>2*M162*AB162*AD162^0.5*BG162*0.7/0.7</f>
        <v>316.22047244094495</v>
      </c>
      <c r="BI162" s="4">
        <f>MAX(1-0.7*AE162/5,0.3)</f>
        <v>0.44000000000000006</v>
      </c>
      <c r="BJ162" s="4">
        <f>BI162*J162*L162/(J162*N162/2.75/M162^0.5)</f>
        <v>63.007528030428062</v>
      </c>
      <c r="BK162" s="4">
        <f>BH162+BJ162</f>
        <v>379.22800047137298</v>
      </c>
      <c r="BM162" s="4">
        <f>MIN(1.5, 0.75+0.25*MIN(3,MAX(1,S162/N162))+0.4*MIN(1,(40*2*PI()*AM162^2/4/AO162/X162)/N162))</f>
        <v>1.4124015748031495</v>
      </c>
      <c r="BN162" s="4">
        <f>(3*P162+30)*BM162*M162^0.5</f>
        <v>432.92468707718285</v>
      </c>
      <c r="BP162" s="4">
        <f>3.4/PI()^0.5*M162*AB162*AE162^0.5*BG162</f>
        <v>303.29410431474349</v>
      </c>
      <c r="BQ162" s="4">
        <f>8/3*AH162*AI162^2/(AG162-N162-22)/N162*(AG162^2-N162^2)/(AG162^2-(N162+22)^2)</f>
        <v>1084.9722194286705</v>
      </c>
      <c r="BR162" s="4">
        <f>BQ162/BP162</f>
        <v>3.5772941313186242</v>
      </c>
      <c r="BZ162" s="4">
        <f>IF(W162=0,S162,MIN(W162/2,S162))</f>
        <v>67.3</v>
      </c>
      <c r="CD162" s="9"/>
      <c r="CF162" s="9"/>
      <c r="CG162" s="9"/>
      <c r="CH162" s="9">
        <f>IF(W162=0,MIN(S162,U162),MIN(W162/2,S162,U162))</f>
        <v>50</v>
      </c>
      <c r="CI162" s="9">
        <f>MAX(W162/2,S162)</f>
        <v>67.3</v>
      </c>
      <c r="CJ162" s="9">
        <f>(CH162/N162)^0.5*(CI162/CH162)^0.15</f>
        <v>1.4669823979017429</v>
      </c>
      <c r="CK162" s="70">
        <v>0</v>
      </c>
      <c r="CL162" s="9">
        <f>MIN(PI()*AM162^2/4*AN162*2/X162/N162/MAX(0.01,AO162),0.05)</f>
        <v>0</v>
      </c>
      <c r="CM162" s="9">
        <f>MAX(0,CK162*(CL162-0.5/50))</f>
        <v>0</v>
      </c>
      <c r="CN162" s="9">
        <f>MIN(1,(25/N162)^0.3)</f>
        <v>0.99524931562137331</v>
      </c>
      <c r="CO162" s="9">
        <f>IF(J162&gt;=800,0.68,IF(J162&gt;=700,0.75-(J162-700)*0.07/100,IF(J162&gt;=600,0.85-(J162-600)*0.1/100,IF(J162&gt;=500,1-(J162-500)*0.15/100,1.2-(J162-400)*0.2/100))))</f>
        <v>1.0903999999999998</v>
      </c>
      <c r="CP162" s="9">
        <f>1.75*CN162*CO162*(M162/25)^0.5</f>
        <v>1.9029292228649537</v>
      </c>
      <c r="CQ162" s="9">
        <f>MIN((CJ162+CM162)*CP162,2.5*CP162,M162^0.5)</f>
        <v>2.7915636743957299</v>
      </c>
      <c r="CR162" s="9">
        <v>1</v>
      </c>
      <c r="CS162" s="9">
        <f>4*CQ162*P162+60*CQ162</f>
        <v>283.55253070633796</v>
      </c>
      <c r="DP162" s="4">
        <f>AN162</f>
        <v>0</v>
      </c>
      <c r="DQ162" s="4">
        <f>L162</f>
        <v>264</v>
      </c>
      <c r="DT162" s="4">
        <f>K162/4/(1-0.3*(M162/30)^0.5)/200000/N162</f>
        <v>1.7905564181465992E-5</v>
      </c>
      <c r="DU162" s="4">
        <f>EP162</f>
        <v>6.4434781492989988</v>
      </c>
      <c r="DZ162" s="38">
        <f>MIN(1/N162*(4*AG162*(DW162-DX162)+(3*DX162+DY162)*K162)+EC162 -FJ162,MAX(J162,AJ162))</f>
        <v>81.461055336491228</v>
      </c>
      <c r="EA162" s="4">
        <f>DZ162/FF162</f>
        <v>0.28267276618563297</v>
      </c>
      <c r="EC162" s="4">
        <f>MIN(EB$10*BB162)</f>
        <v>81.461055336491228</v>
      </c>
      <c r="EG162" s="4">
        <f>IF(U162&gt;1*N162,0.85,1)</f>
        <v>0.85</v>
      </c>
      <c r="EH162" s="4">
        <f>MIN(1,MAX(0.7,(1-0.1*(BZ162-1*N162)/N162)))</f>
        <v>0.83503937007874018</v>
      </c>
      <c r="EI162" s="4">
        <f>MIN(1,MAX(0.7,1-0.3*(PI()*AM162^2/4*AN162*2-0.25*PI()/4*N162^2)/(PI()/4*N162^2)))</f>
        <v>1</v>
      </c>
      <c r="EJ162" s="4">
        <f>IF(EH162*EI162&lt;0.7,0.7,EH162*EI162)</f>
        <v>0.83503937007874018</v>
      </c>
      <c r="EM162" s="25"/>
      <c r="EP162" s="4">
        <f>IF(N162&lt;22.2,1.1*5*(M162/30)^0.5,IF(N162&gt;=31.8,0.9*5*(M162/30)^0.5,1*5*(M162/30)^0.5))/EJ162/EG162</f>
        <v>6.4434781492989988</v>
      </c>
      <c r="ES162" s="4">
        <f>ET162*N162</f>
        <v>56.796126628494655</v>
      </c>
      <c r="ET162" s="4">
        <f>AF162^0.5</f>
        <v>2.2360679774997898</v>
      </c>
      <c r="EU162" s="4">
        <f>MIN(EC162)/(4700*M162^0.5)/AE162*ES162</f>
        <v>4.9121773799761105E-2</v>
      </c>
      <c r="EX162" s="4">
        <f>EU162</f>
        <v>4.9121773799761105E-2</v>
      </c>
      <c r="EY162" s="4">
        <f>MIN(0.999, EX162/(0.3*(M162/30)^0.5))</f>
        <v>0.1790096950802787</v>
      </c>
      <c r="EZ162" s="4">
        <f>EP162/1*EY162^0.4</f>
        <v>3.2379562856849557</v>
      </c>
      <c r="FA162" s="4">
        <f>EP162/1.4*(1-EY162^1.4)/(1-EY162)</f>
        <v>5.1017242284597168</v>
      </c>
      <c r="FB162" s="4">
        <f>MAX(0,DQ162*FB$9-ES162)</f>
        <v>141.20387337150535</v>
      </c>
      <c r="FC162" s="4">
        <f>MAX(0,DQ162-ES162-FB162)</f>
        <v>66</v>
      </c>
      <c r="FD162" s="4">
        <f>FC162/(1-0.3*(M162/30)^0.5)/200000/N162</f>
        <v>1.7905564181465992E-5</v>
      </c>
      <c r="FE162" s="4">
        <f>MAX(0.5*EP162, (1-2*FD162*(ES162*EZ162+FB162*FA162))/(1/EP162+FD162*FC162))</f>
        <v>6.1876982116989092</v>
      </c>
      <c r="FF162" s="4">
        <f>MIN(4/N162*(1*EZ162*ES162+FA162*FB162+FC162*FE162)+EC162,MAX(J162,AJ162))</f>
        <v>288.18147724565461</v>
      </c>
      <c r="FO162" s="23"/>
      <c r="FP162" s="23"/>
      <c r="FQ162" s="23"/>
      <c r="FR162" s="23"/>
      <c r="FS162" s="23"/>
      <c r="FT162" s="23"/>
      <c r="FU162" s="23"/>
      <c r="FV162" s="23"/>
      <c r="GF162" s="4">
        <f>IF(S162&gt;=2.5*25.4,1,1.25)</f>
        <v>1</v>
      </c>
      <c r="GG162" s="4">
        <f>IF(AO162&gt;1, 0.05*(18-MIN(8,(W162+N162)/N162))*(1-48000/MAX(60000,(J162*145))*(N162/25.4)^0.75*GH162), 1/12*(14-MIN(8,(W162+N162)/N162)))</f>
        <v>0.85000000000000009</v>
      </c>
      <c r="GH162" s="4">
        <f>MIN(0.3, AM162^2*PI()/4*2*AP162/(N162^2*PI()/4*X162))</f>
        <v>0</v>
      </c>
      <c r="GI162" s="4">
        <f>(K162/25.4)/(N162/25.4)^1.5/0.0024*(M162*145)^0.25/GF162/GG162/145</f>
        <v>272.91818318296151</v>
      </c>
    </row>
    <row r="163" spans="1:191" ht="12" hidden="1" customHeight="1" x14ac:dyDescent="0.3">
      <c r="A163" s="25">
        <v>144</v>
      </c>
      <c r="B163" s="24" t="s">
        <v>659</v>
      </c>
      <c r="C163" s="24">
        <v>2007</v>
      </c>
      <c r="D163" s="24" t="s">
        <v>309</v>
      </c>
      <c r="E163" s="24"/>
      <c r="F163" s="24"/>
      <c r="G163" s="24"/>
      <c r="H163" s="4" t="s">
        <v>121</v>
      </c>
      <c r="J163" s="7">
        <v>454.8</v>
      </c>
      <c r="K163" s="7">
        <v>212</v>
      </c>
      <c r="L163" s="7">
        <f>K163</f>
        <v>212</v>
      </c>
      <c r="M163" s="7">
        <v>25.1</v>
      </c>
      <c r="N163" s="7">
        <v>25.4</v>
      </c>
      <c r="O163" s="7">
        <f>K163/N163</f>
        <v>8.346456692913387</v>
      </c>
      <c r="P163" s="7">
        <f>L163/N163</f>
        <v>8.346456692913387</v>
      </c>
      <c r="Q163" s="7">
        <v>160</v>
      </c>
      <c r="R163" s="7"/>
      <c r="S163" s="7">
        <f>(Q163-N163)/2</f>
        <v>67.3</v>
      </c>
      <c r="T163" s="7"/>
      <c r="U163" s="7">
        <f>323-9-L163</f>
        <v>102</v>
      </c>
      <c r="V163" s="7"/>
      <c r="W163" s="7">
        <v>0</v>
      </c>
      <c r="X163" s="7">
        <v>1</v>
      </c>
      <c r="Y163" s="7"/>
      <c r="Z163" s="7"/>
      <c r="AA163" s="7">
        <f>323-45</f>
        <v>278</v>
      </c>
      <c r="AB163" s="7">
        <f>S163/N163+0.5</f>
        <v>3.1496062992125986</v>
      </c>
      <c r="AC163" s="7">
        <f>S163/N163+0.5</f>
        <v>3.1496062992125986</v>
      </c>
      <c r="AD163" s="7">
        <f>2040/510</f>
        <v>4</v>
      </c>
      <c r="AE163" s="7">
        <f>2040/510</f>
        <v>4</v>
      </c>
      <c r="AF163" s="7">
        <f>AE163+1</f>
        <v>5</v>
      </c>
      <c r="AG163" s="7">
        <f>N163*AF163^0.5</f>
        <v>56.796126628494655</v>
      </c>
      <c r="AH163" s="7">
        <f>J163</f>
        <v>454.8</v>
      </c>
      <c r="AI163" s="7">
        <v>9</v>
      </c>
      <c r="AJ163" s="7"/>
      <c r="AK163" s="32" t="s">
        <v>183</v>
      </c>
      <c r="AL163" s="7"/>
      <c r="AM163" s="7">
        <v>0</v>
      </c>
      <c r="AN163" s="7">
        <v>0</v>
      </c>
      <c r="AO163" s="7">
        <f>L163</f>
        <v>212</v>
      </c>
      <c r="AP163" s="7"/>
      <c r="AQ163" s="7"/>
      <c r="AR163" s="7"/>
      <c r="AS163" s="4">
        <f>K163</f>
        <v>212</v>
      </c>
      <c r="AT163" s="4">
        <f>MIN(9*K163^2,Q163*3*K163)/(9*K163^2)</f>
        <v>0.25157232704402516</v>
      </c>
      <c r="AU163" s="4">
        <f>MIN(10*M163^0.5*K163^1.5,3.9*M163^0.5*K163^(5/3))/(PI()/4*N163^2)</f>
        <v>290.65017450591699</v>
      </c>
      <c r="AV163" s="4">
        <f>MIN(0.7+0.3*Q163/2/1.5/K163,1)</f>
        <v>0.77547169811320749</v>
      </c>
      <c r="AW163" s="4">
        <v>1.25</v>
      </c>
      <c r="AX163" s="25">
        <v>1</v>
      </c>
      <c r="AY163" s="38">
        <f>AT163*AV163*AW163*AX163*AU163</f>
        <v>70.877668044340737</v>
      </c>
      <c r="BB163" s="38">
        <f>AX163* (M163^0.5/AS163^0.5)/(PI()/4*N163^2)/X163/0.72 *(0.7+(MIN(S163,AA163)+0.5*N163)/5/K163) *(3*Q163*K163)</f>
        <v>74.425570064086557</v>
      </c>
      <c r="BC163" s="38">
        <f>AY163/BB163</f>
        <v>0.95232952845788377</v>
      </c>
      <c r="BD163" s="38">
        <f>BH163/BB163</f>
        <v>4.2488149189674065</v>
      </c>
      <c r="BE163" s="4">
        <f>IF(BD163&lt;1,1,0)</f>
        <v>0</v>
      </c>
      <c r="BF163" s="4">
        <f>L163/N163*M163^0.5/0.19</f>
        <v>220.08244596548479</v>
      </c>
      <c r="BG163" s="4">
        <f>MIN(0.6+0.4*(AC163/AB163),2)</f>
        <v>1</v>
      </c>
      <c r="BH163" s="38">
        <f>2*M163*AB163*AD163^0.5*BG163*0.7/0.7</f>
        <v>316.22047244094495</v>
      </c>
      <c r="BI163" s="4">
        <f>MAX(1-0.7*AE163/5,0.3)</f>
        <v>0.44000000000000006</v>
      </c>
      <c r="BJ163" s="4">
        <f>BI163*J163*L163/(J163*N163/2.75/M163^0.5)</f>
        <v>50.596954327464957</v>
      </c>
      <c r="BK163" s="4">
        <f>BH163+BJ163</f>
        <v>366.81742676840992</v>
      </c>
      <c r="BM163" s="4">
        <f>MIN(1.5, 0.75+0.25*MIN(3,MAX(1,S163/N163))+0.4*MIN(1,(40*2*PI()*AM163^2/4/AO163/X163)/N163))</f>
        <v>1.4124015748031495</v>
      </c>
      <c r="BN163" s="4">
        <f>(3*P163+30)*BM163*M163^0.5</f>
        <v>389.46506598063172</v>
      </c>
      <c r="BP163" s="4">
        <f>3.4/PI()^0.5*M163*AB163*AE163^0.5*BG163</f>
        <v>303.29410431474349</v>
      </c>
      <c r="BQ163" s="4">
        <f>8/3*AH163*AI163^2/(AG163-N163-22)/N163*(AG163^2-N163^2)/(AG163^2-(N163+22)^2)</f>
        <v>1084.9722194286705</v>
      </c>
      <c r="BR163" s="4">
        <f>BQ163/BP163</f>
        <v>3.5772941313186242</v>
      </c>
      <c r="BZ163" s="4">
        <f>IF(W163=0,S163,MIN(W163/2,S163))</f>
        <v>67.3</v>
      </c>
      <c r="CD163" s="9"/>
      <c r="CF163" s="9"/>
      <c r="CG163" s="9"/>
      <c r="CH163" s="9">
        <f>IF(W163=0,MIN(S163,U163),MIN(W163/2,S163,U163))</f>
        <v>67.3</v>
      </c>
      <c r="CI163" s="9">
        <f>MAX(W163/2,S163)</f>
        <v>67.3</v>
      </c>
      <c r="CJ163" s="9">
        <f>(CH163/N163)^0.5*(CI163/CH163)^0.15</f>
        <v>1.6277611308827222</v>
      </c>
      <c r="CK163" s="70">
        <v>0</v>
      </c>
      <c r="CL163" s="9">
        <f>MIN(PI()*AM163^2/4*AN163*2/X163/N163/MAX(0.01,AO163),0.05)</f>
        <v>0</v>
      </c>
      <c r="CM163" s="9">
        <f>MAX(0,CK163*(CL163-0.5/50))</f>
        <v>0</v>
      </c>
      <c r="CN163" s="9">
        <f>MIN(1,(25/N163)^0.3)</f>
        <v>0.99524931562137331</v>
      </c>
      <c r="CO163" s="9">
        <f>IF(J163&gt;=800,0.68,IF(J163&gt;=700,0.75-(J163-700)*0.07/100,IF(J163&gt;=600,0.85-(J163-600)*0.1/100,IF(J163&gt;=500,1-(J163-500)*0.15/100,1.2-(J163-400)*0.2/100))))</f>
        <v>1.0903999999999998</v>
      </c>
      <c r="CP163" s="9">
        <f>1.75*CN163*CO163*(M163/25)^0.5</f>
        <v>1.9029292228649537</v>
      </c>
      <c r="CQ163" s="9">
        <f>MIN((CJ163+CM163)*CP163,2.5*CP163,M163^0.5)</f>
        <v>3.0975142238004367</v>
      </c>
      <c r="CR163" s="9">
        <v>1</v>
      </c>
      <c r="CS163" s="9">
        <f>4*CQ163*P163+60*CQ163</f>
        <v>289.2639267265605</v>
      </c>
      <c r="DP163" s="4">
        <f>AN163</f>
        <v>0</v>
      </c>
      <c r="DQ163" s="4">
        <f>L163</f>
        <v>212</v>
      </c>
      <c r="DT163" s="4">
        <f>K163/4/(1-0.3*(M163/30)^0.5)/200000/N163</f>
        <v>1.4378710630571176E-5</v>
      </c>
      <c r="DU163" s="4">
        <f>EP163</f>
        <v>6.4434781492989988</v>
      </c>
      <c r="DZ163" s="38">
        <f>MIN(1/N163*(4*AG163*(DW163-DX163)+(3*DX163+DY163)*K163)+EC163 -FJ163,MAX(J163,AJ163))</f>
        <v>74.425570064086557</v>
      </c>
      <c r="EA163" s="4">
        <f>DZ163/FF163</f>
        <v>0.31489832014202762</v>
      </c>
      <c r="EC163" s="4">
        <f>MIN(EB$10*BB163)</f>
        <v>74.425570064086557</v>
      </c>
      <c r="EG163" s="4">
        <f>IF(U163&gt;1*N163,0.85,1)</f>
        <v>0.85</v>
      </c>
      <c r="EH163" s="4">
        <f>MIN(1,MAX(0.7,(1-0.1*(BZ163-1*N163)/N163)))</f>
        <v>0.83503937007874018</v>
      </c>
      <c r="EI163" s="4">
        <f>MIN(1,MAX(0.7,1-0.3*(PI()*AM163^2/4*AN163*2-0.25*PI()/4*N163^2)/(PI()/4*N163^2)))</f>
        <v>1</v>
      </c>
      <c r="EJ163" s="4">
        <f>IF(EH163*EI163&lt;0.7,0.7,EH163*EI163)</f>
        <v>0.83503937007874018</v>
      </c>
      <c r="EM163" s="25"/>
      <c r="EP163" s="4">
        <f>IF(N163&lt;22.2,1.1*5*(M163/30)^0.5,IF(N163&gt;=31.8,0.9*5*(M163/30)^0.5,1*5*(M163/30)^0.5))/EJ163/EG163</f>
        <v>6.4434781492989988</v>
      </c>
      <c r="ES163" s="4">
        <f>ET163*N163</f>
        <v>56.796126628494655</v>
      </c>
      <c r="ET163" s="4">
        <f>AF163^0.5</f>
        <v>2.2360679774997898</v>
      </c>
      <c r="EU163" s="4">
        <f>MIN(EC163)/(4700*M163^0.5)/AE163*ES163</f>
        <v>4.4879310763957535E-2</v>
      </c>
      <c r="EX163" s="4">
        <f>EU163</f>
        <v>4.4879310763957535E-2</v>
      </c>
      <c r="EY163" s="4">
        <f>MIN(0.999, EX163/(0.3*(M163/30)^0.5))</f>
        <v>0.16354930031676054</v>
      </c>
      <c r="EZ163" s="4">
        <f>EP163/1*EY163^0.4</f>
        <v>3.1230564645812455</v>
      </c>
      <c r="FA163" s="4">
        <f>EP163/1.4*(1-EY163^1.4)/(1-EY163)</f>
        <v>5.0662233136767156</v>
      </c>
      <c r="FB163" s="4">
        <f>MAX(0,DQ163*FB$9-ES163)</f>
        <v>102.20387337150535</v>
      </c>
      <c r="FC163" s="4">
        <f>MAX(0,DQ163-ES163-FB163)</f>
        <v>53</v>
      </c>
      <c r="FD163" s="4">
        <f>FC163/(1-0.3*(M163/30)^0.5)/200000/N163</f>
        <v>1.4378710630571176E-5</v>
      </c>
      <c r="FE163" s="4">
        <f>MAX(0.5*EP163, (1-2*FD163*(ES163*EZ163+FB163*FA163))/(1/EP163+FD163*FC163))</f>
        <v>6.2838095953115438</v>
      </c>
      <c r="FF163" s="4">
        <f>MIN(4/N163*(1*EZ163*ES163+FA163*FB163+FC163*FE163)+EC163,MAX(J163,AJ163))</f>
        <v>236.3479425057543</v>
      </c>
      <c r="FO163" s="23"/>
      <c r="FP163" s="23"/>
      <c r="FQ163" s="23"/>
      <c r="FR163" s="23"/>
      <c r="FS163" s="23"/>
      <c r="FT163" s="23"/>
      <c r="FU163" s="23"/>
      <c r="FV163" s="23"/>
      <c r="GF163" s="4">
        <f>IF(S163&gt;=2.5*25.4,1,1.25)</f>
        <v>1</v>
      </c>
      <c r="GG163" s="4">
        <f>IF(AO163&gt;1, 0.05*(18-MIN(8,(W163+N163)/N163))*(1-48000/MAX(60000,(J163*145))*(N163/25.4)^0.75*GH163), 1/12*(14-MIN(8,(W163+N163)/N163)))</f>
        <v>0.85000000000000009</v>
      </c>
      <c r="GH163" s="4">
        <f>MIN(0.3, AM163^2*PI()/4*2*AP163/(N163^2*PI()/4*X163))</f>
        <v>0</v>
      </c>
      <c r="GI163" s="4">
        <f>(K163/25.4)/(N163/25.4)^1.5/0.0024*(M163*145)^0.25/GF163/GG163/145</f>
        <v>219.16157134389334</v>
      </c>
    </row>
    <row r="164" spans="1:191" ht="12" hidden="1" customHeight="1" x14ac:dyDescent="0.3">
      <c r="A164" s="25">
        <v>145</v>
      </c>
      <c r="B164" s="24" t="s">
        <v>659</v>
      </c>
      <c r="C164" s="24">
        <v>2007</v>
      </c>
      <c r="D164" s="24" t="s">
        <v>309</v>
      </c>
      <c r="E164" s="24"/>
      <c r="F164" s="24"/>
      <c r="G164" s="24"/>
      <c r="H164" s="4" t="s">
        <v>122</v>
      </c>
      <c r="J164" s="7">
        <v>454.8</v>
      </c>
      <c r="K164" s="7">
        <v>212</v>
      </c>
      <c r="L164" s="7">
        <f>K164</f>
        <v>212</v>
      </c>
      <c r="M164" s="7">
        <v>25.1</v>
      </c>
      <c r="N164" s="7">
        <v>25.4</v>
      </c>
      <c r="O164" s="7">
        <f>K164/N164</f>
        <v>8.346456692913387</v>
      </c>
      <c r="P164" s="7">
        <f>L164/N164</f>
        <v>8.346456692913387</v>
      </c>
      <c r="Q164" s="7">
        <v>160</v>
      </c>
      <c r="R164" s="7"/>
      <c r="S164" s="7">
        <f>(Q164-N164)/2</f>
        <v>67.3</v>
      </c>
      <c r="T164" s="7"/>
      <c r="U164" s="7">
        <f>323-9-L164</f>
        <v>102</v>
      </c>
      <c r="V164" s="7"/>
      <c r="W164" s="7">
        <v>0</v>
      </c>
      <c r="X164" s="7">
        <v>1</v>
      </c>
      <c r="Y164" s="7"/>
      <c r="Z164" s="7"/>
      <c r="AA164" s="7">
        <f>323-45</f>
        <v>278</v>
      </c>
      <c r="AB164" s="7">
        <f>S164/N164+0.5</f>
        <v>3.1496062992125986</v>
      </c>
      <c r="AC164" s="7">
        <f>S164/N164+0.5</f>
        <v>3.1496062992125986</v>
      </c>
      <c r="AD164" s="7">
        <f>2040/510</f>
        <v>4</v>
      </c>
      <c r="AE164" s="7">
        <f>2040/510</f>
        <v>4</v>
      </c>
      <c r="AF164" s="7">
        <f>AE164+1</f>
        <v>5</v>
      </c>
      <c r="AG164" s="7">
        <f>N164*AF164^0.5</f>
        <v>56.796126628494655</v>
      </c>
      <c r="AH164" s="7">
        <f>J164</f>
        <v>454.8</v>
      </c>
      <c r="AI164" s="7">
        <v>9</v>
      </c>
      <c r="AJ164" s="7"/>
      <c r="AK164" s="32" t="s">
        <v>183</v>
      </c>
      <c r="AL164" s="7"/>
      <c r="AM164" s="7">
        <v>0</v>
      </c>
      <c r="AN164" s="7">
        <v>0</v>
      </c>
      <c r="AO164" s="7">
        <f>L164</f>
        <v>212</v>
      </c>
      <c r="AP164" s="7"/>
      <c r="AQ164" s="7"/>
      <c r="AR164" s="7">
        <f>3*AS164/(W164+N164)</f>
        <v>25.039370078740159</v>
      </c>
      <c r="AS164" s="4">
        <f>K164</f>
        <v>212</v>
      </c>
      <c r="AT164" s="4">
        <f>MIN(9*K164^2,Q164*3*K164)/(9*K164^2)</f>
        <v>0.25157232704402516</v>
      </c>
      <c r="AU164" s="4">
        <f>MIN(10*M164^0.5*K164^1.5,3.9*M164^0.5*K164^(5/3))/(PI()/4*N164^2)</f>
        <v>290.65017450591699</v>
      </c>
      <c r="AV164" s="4">
        <f>MIN(0.7+0.3*Q164/2/1.5/K164,1)</f>
        <v>0.77547169811320749</v>
      </c>
      <c r="AW164" s="4">
        <v>1.25</v>
      </c>
      <c r="AX164" s="25">
        <v>1</v>
      </c>
      <c r="AY164" s="38">
        <f>AT164*AV164*AW164*AX164*AU164</f>
        <v>70.877668044340737</v>
      </c>
      <c r="BB164" s="38">
        <f>AX164* (M164^0.5/AS164^0.5)/(PI()/4*N164^2)/X164/0.72 *(0.7+(MIN(S164,AA164)+0.5*N164)/5/K164) *(3*Q164*K164)</f>
        <v>74.425570064086557</v>
      </c>
      <c r="BC164" s="38">
        <f>AY164/BB164</f>
        <v>0.95232952845788377</v>
      </c>
      <c r="BD164" s="38">
        <f>BH164/BB164</f>
        <v>4.2488149189674065</v>
      </c>
      <c r="BE164" s="4">
        <f>IF(BD164&lt;1,1,0)</f>
        <v>0</v>
      </c>
      <c r="BF164" s="4">
        <f>L164/N164*M164^0.5/0.19</f>
        <v>220.08244596548479</v>
      </c>
      <c r="BG164" s="4">
        <f>MIN(0.6+0.4*(AC164/AB164),2)</f>
        <v>1</v>
      </c>
      <c r="BH164" s="38">
        <f>2*M164*AB164*AD164^0.5*BG164*0.7/0.7</f>
        <v>316.22047244094495</v>
      </c>
      <c r="BI164" s="4">
        <f>MAX(1-0.7*AE164/5,0.3)</f>
        <v>0.44000000000000006</v>
      </c>
      <c r="BJ164" s="4">
        <f>BI164*J164*L164/(J164*N164/2.75/M164^0.5)</f>
        <v>50.596954327464957</v>
      </c>
      <c r="BK164" s="4">
        <f>BH164+BJ164</f>
        <v>366.81742676840992</v>
      </c>
      <c r="BM164" s="4">
        <f>MIN(1.5, 0.75+0.25*MIN(3,MAX(1,S164/N164))+0.4*MIN(1,(40*2*PI()*AM164^2/4/AO164/X164)/N164))</f>
        <v>1.4124015748031495</v>
      </c>
      <c r="BN164" s="4">
        <f>(3*P164+30)*BM164*M164^0.5</f>
        <v>389.46506598063172</v>
      </c>
      <c r="BP164" s="4">
        <f>3.4/PI()^0.5*M164*AB164*AE164^0.5*BG164</f>
        <v>303.29410431474349</v>
      </c>
      <c r="BQ164" s="4">
        <f>8/3*AH164*AI164^2/(AG164-N164-22)/N164*(AG164^2-N164^2)/(AG164^2-(N164+22)^2)</f>
        <v>1084.9722194286705</v>
      </c>
      <c r="BR164" s="4">
        <f>BQ164/BP164</f>
        <v>3.5772941313186242</v>
      </c>
      <c r="BZ164" s="4">
        <f>IF(W164=0,S164,MIN(W164/2,S164))</f>
        <v>67.3</v>
      </c>
      <c r="CD164" s="9"/>
      <c r="CF164" s="9"/>
      <c r="CG164" s="9"/>
      <c r="CH164" s="9">
        <f>IF(W164=0,MIN(S164,U164),MIN(W164/2,S164,U164))</f>
        <v>67.3</v>
      </c>
      <c r="CI164" s="9">
        <f>MAX(W164/2,S164)</f>
        <v>67.3</v>
      </c>
      <c r="CJ164" s="9">
        <f>(CH164/N164)^0.5*(CI164/CH164)^0.15</f>
        <v>1.6277611308827222</v>
      </c>
      <c r="CK164" s="70">
        <v>0</v>
      </c>
      <c r="CL164" s="9">
        <f>MIN(PI()*AM164^2/4*AN164*2/X164/N164/MAX(0.01,AO164),0.05)</f>
        <v>0</v>
      </c>
      <c r="CM164" s="9">
        <f>MAX(0,CK164*(CL164-0.5/50))</f>
        <v>0</v>
      </c>
      <c r="CN164" s="9">
        <f>MIN(1,(25/N164)^0.3)</f>
        <v>0.99524931562137331</v>
      </c>
      <c r="CO164" s="9">
        <f>IF(J164&gt;=800,0.68,IF(J164&gt;=700,0.75-(J164-700)*0.07/100,IF(J164&gt;=600,0.85-(J164-600)*0.1/100,IF(J164&gt;=500,1-(J164-500)*0.15/100,1.2-(J164-400)*0.2/100))))</f>
        <v>1.0903999999999998</v>
      </c>
      <c r="CP164" s="9">
        <f>1.75*CN164*CO164*(M164/25)^0.5</f>
        <v>1.9029292228649537</v>
      </c>
      <c r="CQ164" s="9">
        <f>MIN((CJ164+CM164)*CP164,2.5*CP164,M164^0.5)</f>
        <v>3.0975142238004367</v>
      </c>
      <c r="CR164" s="9">
        <v>1</v>
      </c>
      <c r="CS164" s="9">
        <f>4*CQ164*P164+60*CQ164</f>
        <v>289.2639267265605</v>
      </c>
      <c r="DP164" s="4">
        <f>AN164</f>
        <v>0</v>
      </c>
      <c r="DQ164" s="4">
        <f>L164</f>
        <v>212</v>
      </c>
      <c r="DT164" s="4">
        <f>K164/4/(1-0.3*(M164/30)^0.5)/200000/N164</f>
        <v>1.4378710630571176E-5</v>
      </c>
      <c r="DU164" s="4">
        <f>EP164</f>
        <v>6.4434781492989988</v>
      </c>
      <c r="DZ164" s="38">
        <f>MIN(1/N164*(4*AG164*(DW164-DX164)+(3*DX164+DY164)*K164)+EC164 -FJ164,MAX(J164,AJ164))</f>
        <v>74.425570064086557</v>
      </c>
      <c r="EA164" s="4">
        <f>DZ164/FF164</f>
        <v>0.31489832014202762</v>
      </c>
      <c r="EC164" s="4">
        <f>MIN(EB$10*BB164)</f>
        <v>74.425570064086557</v>
      </c>
      <c r="EG164" s="4">
        <f>IF(U164&gt;1*N164,0.85,1)</f>
        <v>0.85</v>
      </c>
      <c r="EH164" s="4">
        <f>MIN(1,MAX(0.7,(1-0.1*(BZ164-1*N164)/N164)))</f>
        <v>0.83503937007874018</v>
      </c>
      <c r="EI164" s="4">
        <f>MIN(1,MAX(0.7,1-0.3*(PI()*AM164^2/4*AN164*2-0.25*PI()/4*N164^2)/(PI()/4*N164^2)))</f>
        <v>1</v>
      </c>
      <c r="EJ164" s="4">
        <f>IF(EH164*EI164&lt;0.7,0.7,EH164*EI164)</f>
        <v>0.83503937007874018</v>
      </c>
      <c r="EM164" s="25"/>
      <c r="EP164" s="4">
        <f>IF(N164&lt;22.2,1.1*5*(M164/30)^0.5,IF(N164&gt;=31.8,0.9*5*(M164/30)^0.5,1*5*(M164/30)^0.5))/EJ164/EG164</f>
        <v>6.4434781492989988</v>
      </c>
      <c r="ES164" s="4">
        <f>ET164*N164</f>
        <v>56.796126628494655</v>
      </c>
      <c r="ET164" s="4">
        <f>AF164^0.5</f>
        <v>2.2360679774997898</v>
      </c>
      <c r="EU164" s="4">
        <f>MIN(EC164)/(4700*M164^0.5)/AE164*ES164</f>
        <v>4.4879310763957535E-2</v>
      </c>
      <c r="EX164" s="4">
        <f>EU164</f>
        <v>4.4879310763957535E-2</v>
      </c>
      <c r="EY164" s="4">
        <f>MIN(0.999, EX164/(0.3*(M164/30)^0.5))</f>
        <v>0.16354930031676054</v>
      </c>
      <c r="EZ164" s="4">
        <f>EP164/1*EY164^0.4</f>
        <v>3.1230564645812455</v>
      </c>
      <c r="FA164" s="4">
        <f>EP164/1.4*(1-EY164^1.4)/(1-EY164)</f>
        <v>5.0662233136767156</v>
      </c>
      <c r="FB164" s="4">
        <f>MAX(0,DQ164*FB$9-ES164)</f>
        <v>102.20387337150535</v>
      </c>
      <c r="FC164" s="4">
        <f>MAX(0,DQ164-ES164-FB164)</f>
        <v>53</v>
      </c>
      <c r="FD164" s="4">
        <f>FC164/(1-0.3*(M164/30)^0.5)/200000/N164</f>
        <v>1.4378710630571176E-5</v>
      </c>
      <c r="FE164" s="4">
        <f>MAX(0.5*EP164, (1-2*FD164*(ES164*EZ164+FB164*FA164))/(1/EP164+FD164*FC164))</f>
        <v>6.2838095953115438</v>
      </c>
      <c r="FF164" s="4">
        <f>MIN(4/N164*(1*EZ164*ES164+FA164*FB164+FC164*FE164)+EC164,MAX(J164,AJ164))</f>
        <v>236.3479425057543</v>
      </c>
      <c r="FO164" s="23"/>
      <c r="FP164" s="23"/>
      <c r="FQ164" s="23"/>
      <c r="FR164" s="23"/>
      <c r="FS164" s="23"/>
      <c r="FT164" s="23"/>
      <c r="FU164" s="23"/>
      <c r="FV164" s="23"/>
      <c r="GF164" s="4">
        <f>IF(S164&gt;=2.5*25.4,1,1.25)</f>
        <v>1</v>
      </c>
      <c r="GG164" s="4">
        <f>IF(AO164&gt;1, 0.05*(18-MIN(8,(W164+N164)/N164))*(1-48000/MAX(60000,(J164*145))*(N164/25.4)^0.75*GH164), 1/12*(14-MIN(8,(W164+N164)/N164)))</f>
        <v>0.85000000000000009</v>
      </c>
      <c r="GH164" s="4">
        <f>MIN(0.3, AM164^2*PI()/4*2*AP164/(N164^2*PI()/4*X164))</f>
        <v>0</v>
      </c>
      <c r="GI164" s="4">
        <f>(K164/25.4)/(N164/25.4)^1.5/0.0024*(M164*145)^0.25/GF164/GG164/145</f>
        <v>219.16157134389334</v>
      </c>
    </row>
    <row r="165" spans="1:191" ht="12" customHeight="1" x14ac:dyDescent="0.3">
      <c r="A165" s="25">
        <v>167</v>
      </c>
      <c r="B165" s="24" t="s">
        <v>128</v>
      </c>
      <c r="C165" s="24">
        <v>2017</v>
      </c>
      <c r="D165" s="24" t="s">
        <v>309</v>
      </c>
      <c r="E165" s="24"/>
      <c r="F165" s="115"/>
      <c r="G165" s="109" t="s">
        <v>779</v>
      </c>
      <c r="H165" s="4" t="s">
        <v>174</v>
      </c>
      <c r="I165" s="5">
        <f>K165/N165</f>
        <v>13</v>
      </c>
      <c r="J165" s="100">
        <v>583</v>
      </c>
      <c r="K165" s="7">
        <f>13*N165</f>
        <v>744.9</v>
      </c>
      <c r="L165" s="7">
        <f>K165</f>
        <v>744.9</v>
      </c>
      <c r="M165" s="21">
        <v>40.5</v>
      </c>
      <c r="N165" s="37">
        <v>57.3</v>
      </c>
      <c r="O165" s="7">
        <f>K165/N165</f>
        <v>13</v>
      </c>
      <c r="P165" s="7">
        <f>L165/N165</f>
        <v>13</v>
      </c>
      <c r="Q165" s="7">
        <f>W165+2*S165+2*N165</f>
        <v>584.46</v>
      </c>
      <c r="R165" s="32">
        <f>S165/N165</f>
        <v>1</v>
      </c>
      <c r="S165" s="7">
        <f>1*N165</f>
        <v>57.3</v>
      </c>
      <c r="T165" s="32">
        <f>U165/N165</f>
        <v>0.97731239092495636</v>
      </c>
      <c r="U165" s="7">
        <f>40+16</f>
        <v>56</v>
      </c>
      <c r="V165" s="32">
        <f>W165/N165</f>
        <v>6.2</v>
      </c>
      <c r="W165" s="7">
        <f>(7.2-1)*N165</f>
        <v>355.26</v>
      </c>
      <c r="X165" s="7">
        <v>2</v>
      </c>
      <c r="Y165" s="7">
        <f>AN165</f>
        <v>0</v>
      </c>
      <c r="Z165" s="32">
        <f>AA165/N165</f>
        <v>6.5724258289703315</v>
      </c>
      <c r="AA165" s="7">
        <f>2/3*K165-0.5*240</f>
        <v>376.59999999999997</v>
      </c>
      <c r="AB165" s="7">
        <f>MIN(S165/N165+0.5, W165/2/N165+0.5)</f>
        <v>1.5</v>
      </c>
      <c r="AC165" s="7">
        <f>S165/N165+0.5</f>
        <v>1.5</v>
      </c>
      <c r="AD165" s="7">
        <f>2040/510</f>
        <v>4</v>
      </c>
      <c r="AE165" s="7">
        <f>2040/510</f>
        <v>4</v>
      </c>
      <c r="AF165" s="7">
        <f>AE165+1</f>
        <v>5</v>
      </c>
      <c r="AG165" s="7">
        <f>N165*AF165^0.5</f>
        <v>128.12669511073796</v>
      </c>
      <c r="AH165" s="7">
        <f>J165</f>
        <v>583</v>
      </c>
      <c r="AI165" s="7">
        <v>25</v>
      </c>
      <c r="AJ165" s="7">
        <f>(439+439)/2</f>
        <v>439</v>
      </c>
      <c r="AK165" s="7"/>
      <c r="AL165" s="4">
        <f>CY165</f>
        <v>1.6446377336345006</v>
      </c>
      <c r="AM165" s="7">
        <v>0</v>
      </c>
      <c r="AN165" s="7">
        <v>0</v>
      </c>
      <c r="AO165" s="7">
        <f>L165</f>
        <v>744.9</v>
      </c>
      <c r="AP165" s="7"/>
      <c r="AQ165" s="7"/>
      <c r="AR165" s="7">
        <f>3*AS165/(W165+N165)</f>
        <v>5.4166666666666661</v>
      </c>
      <c r="AS165" s="4">
        <f>K165</f>
        <v>744.9</v>
      </c>
      <c r="AT165" s="4">
        <f>IF(K165*3&gt;W165+N165, Q165, (S165+N165/2)*2+1.5*K165*(2*X165-2))*(3*K165)/(9*K165^2)</f>
        <v>0.2615384615384615</v>
      </c>
      <c r="AU165" s="4">
        <f>MIN(10*M165^0.5*K165^1.5,100*3.9*M165^0.5*K165^(5/3))/(PI()/4*N165^2)/X165</f>
        <v>250.86804884585459</v>
      </c>
      <c r="AV165" s="4">
        <f>MIN(0.7+0.3*(MIN(S165,AA165)+0.5*N165)/1.5/K165,1)</f>
        <v>0.72307692307692306</v>
      </c>
      <c r="AW165" s="4">
        <v>1.25</v>
      </c>
      <c r="AX165" s="4">
        <f>AX164</f>
        <v>1</v>
      </c>
      <c r="AY165" s="38">
        <f>AT165*AV165*AW165*AX165*AU165</f>
        <v>59.302831665040763</v>
      </c>
      <c r="AZ165" s="38">
        <f>AY165</f>
        <v>59.302831665040763</v>
      </c>
      <c r="BA165" s="38">
        <f>IF(M165&lt;50, 0.3*M165^(2/3), 2.12*LN(1+0.1*(M165+8)))</f>
        <v>3.538000882182009</v>
      </c>
      <c r="BB165" s="38">
        <f>AX165* (M165^0.5/AS165^0.5)/(PI()/4*N165^2)/X165/0.72 *(0.7+(MIN(S165,AA165)+0.5*N165)/5/K165) *(3*Q165*K165)</f>
        <v>59.302831665040749</v>
      </c>
      <c r="BC165" s="38">
        <f>AY165/BB165</f>
        <v>1.0000000000000002</v>
      </c>
      <c r="BD165" s="38">
        <f>BH165/BB165</f>
        <v>4.0976120899678632</v>
      </c>
      <c r="BE165" s="4">
        <f>IF(BD165&lt;1,1,0)</f>
        <v>0</v>
      </c>
      <c r="BF165" s="4">
        <f>L165/N165*M165^0.5/0.19</f>
        <v>435.4289126254003</v>
      </c>
      <c r="BG165" s="4">
        <f>MIN(0.6+0.4*(AC165/AB165),2)</f>
        <v>1</v>
      </c>
      <c r="BH165" s="38">
        <f>2*M165*AB165*AD165^0.5*BG165*0.7/0.7</f>
        <v>243</v>
      </c>
      <c r="BI165" s="4">
        <f>MAX(1-0.7*AE165/5,0.3)</f>
        <v>0.44000000000000006</v>
      </c>
      <c r="BJ165" s="4">
        <f>BI165*J165*L165/(J165*N165/2.75/M165^0.5)</f>
        <v>100.10510701257954</v>
      </c>
      <c r="BK165" s="4">
        <f>BH165+BJ165</f>
        <v>343.10510701257954</v>
      </c>
      <c r="BM165" s="4">
        <f>MIN(1.5, 0.75+0.25*MIN(3,MAX(1,S165/N165))+0.4*MIN(1,(40*2*PI()*AM165^2/4/AO165/X165)/N165))</f>
        <v>1</v>
      </c>
      <c r="BN165" s="4">
        <f>(3*P165+30)*BM165*M165^0.5</f>
        <v>439.11331111684598</v>
      </c>
      <c r="BP165" s="4">
        <f>3.4/PI()^0.5*M165*AB165*AE165^0.5*BG165</f>
        <v>233.06671696357813</v>
      </c>
      <c r="BQ165" s="4">
        <f>8/3*AH165*AI165^2/(AG165-N165-22)/N165*(AG165^2-N165^2)/(AG165^2-(N165+22)^2)</f>
        <v>450.3525339151019</v>
      </c>
      <c r="BR165" s="4">
        <f>BQ165/BP165</f>
        <v>1.9322902033475655</v>
      </c>
      <c r="BZ165" s="4">
        <f>IF(W165=0,S165,MIN(W165/2,S165))</f>
        <v>57.3</v>
      </c>
      <c r="CD165" s="9"/>
      <c r="CF165" s="9"/>
      <c r="CG165" s="9"/>
      <c r="CH165" s="9">
        <f>IF(W165=0,MIN(S165,U165),MIN(W165/2,S165,U165))</f>
        <v>56</v>
      </c>
      <c r="CI165" s="9">
        <f>MAX(W165/2,S165)</f>
        <v>177.63</v>
      </c>
      <c r="CJ165" s="9">
        <f>(CH165/N165)^0.5*(CI165/CH165)^0.15</f>
        <v>1.1754818988273255</v>
      </c>
      <c r="CK165" s="70">
        <v>0</v>
      </c>
      <c r="CL165" s="9">
        <f>MIN(PI()*AM165^2/4*AN165*2/X165/N165/MAX(0.01,AO165),0.05)</f>
        <v>0</v>
      </c>
      <c r="CM165" s="9">
        <f>MAX(0,CK165*(CL165-0.5/50))</f>
        <v>0</v>
      </c>
      <c r="CN165" s="9">
        <f>MIN(1,(25/N165)^0.3)</f>
        <v>0.77971450958075206</v>
      </c>
      <c r="CO165" s="9">
        <f>IF(J165&gt;=800,0.68,IF(J165&gt;=700,0.75-(J165-700)*0.07/100,IF(J165&gt;=600,0.85-(J165-600)*0.1/100,IF(J165&gt;=500,1-(J165-500)*0.15/100,1.2-(J165-400)*0.2/100))))</f>
        <v>0.87549999999999994</v>
      </c>
      <c r="CP165" s="9">
        <f>1.75*CN165*CO165*(M165/25)^0.5</f>
        <v>1.5205031436526735</v>
      </c>
      <c r="CQ165" s="9">
        <f>MIN((CJ165+CM165)*CP165,2.5*CP165,M165^0.5)</f>
        <v>1.7873239224737623</v>
      </c>
      <c r="CR165" s="9">
        <v>1</v>
      </c>
      <c r="CS165" s="9">
        <f>4*CQ165*P165+60*CQ165</f>
        <v>200.18027931706138</v>
      </c>
      <c r="CU165" s="4">
        <f>AJ165/BF165</f>
        <v>1.0082013097225628</v>
      </c>
      <c r="CV165" s="4">
        <f>AJ165/BK165</f>
        <v>1.2794913017249394</v>
      </c>
      <c r="CW165" s="4">
        <f>AJ165/BN165</f>
        <v>0.99974195472107696</v>
      </c>
      <c r="CX165" s="4">
        <f>AJ165/CS165</f>
        <v>2.1930232163612731</v>
      </c>
      <c r="CY165" s="4">
        <f>AJ165/DZ165</f>
        <v>1.6446377336345006</v>
      </c>
      <c r="CZ165" s="4">
        <f>AJ165/EL165</f>
        <v>1.250702910301895</v>
      </c>
      <c r="DA165" s="4">
        <f>AJ165/GI165</f>
        <v>1.3610023686073467</v>
      </c>
      <c r="DC165" s="4">
        <f>CU165</f>
        <v>1.0082013097225628</v>
      </c>
      <c r="DD165" s="4">
        <f>CV165</f>
        <v>1.2794913017249394</v>
      </c>
      <c r="DE165" s="4">
        <f>CX165</f>
        <v>2.1930232163612731</v>
      </c>
      <c r="DF165" s="4">
        <f>DA165</f>
        <v>1.3610023686073467</v>
      </c>
      <c r="DG165" s="4">
        <f>CY165</f>
        <v>1.6446377336345006</v>
      </c>
      <c r="DH165" s="4">
        <f>CZ165</f>
        <v>1.250702910301895</v>
      </c>
      <c r="DP165" s="4">
        <f>AN165</f>
        <v>0</v>
      </c>
      <c r="DQ165" s="4">
        <f>L165</f>
        <v>744.9</v>
      </c>
      <c r="DT165" s="4">
        <f>K165/4/(1-0.3*(M165/30)^0.5)/200000/N165</f>
        <v>2.4945063339588324E-5</v>
      </c>
      <c r="DU165" s="4">
        <f>EP165</f>
        <v>5.2285275173800132</v>
      </c>
      <c r="DV165" s="4">
        <f>EC165*AG165/257/M165/AD165</f>
        <v>0.1825017013006219</v>
      </c>
      <c r="DW165" s="4">
        <f>DU165*DV165^0.4</f>
        <v>2.6478060183420724</v>
      </c>
      <c r="DX165" s="4">
        <f>MIN(DU165, DU165/1.4*(1-DV165^1.4)/(1-DV165))</f>
        <v>4.1461846131827045</v>
      </c>
      <c r="DY165" s="4">
        <f>MAX(DU165/2, (4-DT165*(8*AG165*(DW165-DX165)+6*K165*DX165))/(4+DT165*K165*DU165)*DU165)</f>
        <v>4.5635352720340254</v>
      </c>
      <c r="DZ165" s="38">
        <f>MIN(1/N165*(4*AG165*(DW165-DX165)+(3*DX165+DY165)*K165)+EC165 -FJ165,MAX(J165,AJ165))</f>
        <v>266.92808453923146</v>
      </c>
      <c r="EA165" s="4">
        <f>DZ165/FF165</f>
        <v>1.0001163454576056</v>
      </c>
      <c r="EB165" s="4">
        <f>AG165/N165</f>
        <v>2.2360679774997898</v>
      </c>
      <c r="EC165" s="4">
        <f>MIN(EB$10*BB165)</f>
        <v>59.302831665040749</v>
      </c>
      <c r="EG165" s="4">
        <f>IF(U165&gt;1*N165,0.85,1)</f>
        <v>1</v>
      </c>
      <c r="EH165" s="4">
        <f>MIN(1,MAX(0.7,(1-0.1*(BZ165-1*N165)/N165)))</f>
        <v>1</v>
      </c>
      <c r="EI165" s="4">
        <f>MIN(1,MAX(0.7,1-0.3*(PI()*AM165^2/4*AQ165*2-0.25*PI()/4*N165^2)/(PI()/4*N165^2)))</f>
        <v>1</v>
      </c>
      <c r="EJ165" s="4">
        <f>IF(EH165*EI165&lt;0.7,0.7,EH165*EI165)</f>
        <v>1</v>
      </c>
      <c r="EL165" s="4">
        <f>MIN(DU165/N165*3*K165+EM165-FJ165,MAX(J165,AJ165))</f>
        <v>351.00262131318948</v>
      </c>
      <c r="EM165" s="25">
        <f>13.3*Q165*K165^0.5*M165^0.5/X165/N165^2*(0.7+S165/5/K165)</f>
        <v>147.09004813536899</v>
      </c>
      <c r="EP165" s="4">
        <f>IF(N165&lt;22.2,1.1*5*(M165/30)^0.5,IF(N165&gt;=31.8,0.9*5*(M165/30)^0.5,1*5*(M165/30)^0.5))/EG165/EJ165</f>
        <v>5.2285275173800132</v>
      </c>
      <c r="ES165" s="4">
        <f>ET165*N165</f>
        <v>128.12669511073796</v>
      </c>
      <c r="ET165" s="4">
        <f>AF165^0.5</f>
        <v>2.2360679774997898</v>
      </c>
      <c r="EU165" s="4">
        <f>MIN(EC165)/(4700*M165^0.5)/AE165*ES165</f>
        <v>6.3508183996427492E-2</v>
      </c>
      <c r="EX165" s="4">
        <f>EU165</f>
        <v>6.3508183996427492E-2</v>
      </c>
      <c r="EY165" s="4">
        <f>MIN(0.999, EX165/(0.3*(M165/30)^0.5))</f>
        <v>0.18219713997484452</v>
      </c>
      <c r="EZ165" s="4">
        <f>EP165/1*EY165^0.4</f>
        <v>2.6460376547720221</v>
      </c>
      <c r="FA165" s="4">
        <f>EP165/1.4*(1-EY165^1.4)/(1-EY165)</f>
        <v>4.1456262666223278</v>
      </c>
      <c r="FB165" s="4">
        <f>MAX(0,DQ165*FB$9-ES165)</f>
        <v>430.548304889262</v>
      </c>
      <c r="FC165" s="4">
        <f>MAX(0,DQ165-ES165-FB165)</f>
        <v>186.22500000000002</v>
      </c>
      <c r="FD165" s="4">
        <f>FC165/(1-0.3*(M165/30)^0.5)/200000/N165</f>
        <v>2.4945063339588331E-5</v>
      </c>
      <c r="FE165" s="4">
        <f>MAX(0.5*EP165, (1-2*FD165*(ES165*EZ165+FB165*FA165))/(1/EP165+FD165*FC165))</f>
        <v>4.5636541935456014</v>
      </c>
      <c r="FF165" s="4">
        <f>MIN(4/N165*(1*EZ165*ES165+FA165*FB165+FC165*FE165)+EC165,MAX(J165,AJ165))</f>
        <v>266.89703228187705</v>
      </c>
      <c r="FO165" s="23">
        <f>IF(CU165&lt;0.6,0.6,IF(CU165&lt;0.8,0.8,IF(CU165&lt;1,1,IF(CU165&lt;1.2,1.2,IF(CU165&lt;1.4,1.4,IF(CU165&lt;1.6,1.6,IF(CU165&lt;1.8,1.8,IF(CU165&lt;2,2,2.2))))))))</f>
        <v>1.2</v>
      </c>
      <c r="FP165" s="23">
        <f>IF(CV165&lt;0.6,0.6,IF(CV165&lt;0.8,0.8,IF(CV165&lt;1,1,IF(CV165&lt;1.2,1.2,IF(CV165&lt;1.4,1.4,IF(CV165&lt;1.6,1.6,IF(CV165&lt;1.8,1.8,IF(CV165&lt;2,2,2.2))))))))</f>
        <v>1.4</v>
      </c>
      <c r="FQ165" s="23">
        <f>IF(DA165&lt;0.6,0.6,IF(DA165&lt;0.8,0.8,IF(DA165&lt;1,1,IF(DA165&lt;1.2,1.2,IF(DA165&lt;1.4,1.4,IF(DA165&lt;1.6,1.6,IF(DA165&lt;1.8,1.8,IF(DA165&lt;2,2,2.2))))))))</f>
        <v>1.4</v>
      </c>
      <c r="FR165" s="23">
        <f>IF(CX165&lt;0.6,0.6,IF(CX165&lt;0.8,0.8,IF(CX165&lt;1,1,IF(CX165&lt;1.2,1.2,IF(CX165&lt;1.4,1.4,IF(CX165&lt;1.6,1.6,IF(CX165&lt;1.8,1.8,IF(CX165&lt;2,2,2.2))))))))</f>
        <v>2.2000000000000002</v>
      </c>
      <c r="FS165" s="23">
        <f>IF(CY165&lt;0.6,0.6,IF(CY165&lt;0.8,0.8,IF(CY165&lt;1,1,IF(CY165&lt;1.2,1.2,IF(CY165&lt;1.4,1.4,IF(CY165&lt;1.6,1.6,IF(CY165&lt;1.8,1.8,IF(CY165&lt;2,2,2.2))))))))</f>
        <v>1.8</v>
      </c>
      <c r="FT165" s="23">
        <f>IF(CZ165&lt;0.6,0.6,IF(CZ165&lt;0.8,0.8,IF(CZ165&lt;1,1,IF(CZ165&lt;1.2,1.2,IF(CZ165&lt;1.4,1.4,IF(CZ165&lt;1.6,1.6,IF(CZ165&lt;1.8,1.8,IF(CZ165&lt;2,2,2.2))))))))</f>
        <v>1.4</v>
      </c>
      <c r="FU165" s="23">
        <f>IF(FS165&lt;1,1,0)</f>
        <v>0</v>
      </c>
      <c r="FV165" s="23"/>
      <c r="GF165" s="4">
        <f>IF(S165&gt;=2.5*25.4,1,1.25)</f>
        <v>1.25</v>
      </c>
      <c r="GG165" s="4">
        <f>IF(AO165&gt;1, 0.05*(18-MIN(8,(W165+N165)/N165))*(1-48000/MAX(60000,(J165*145))*(N165/25.4)^0.75*GH165), 1/12*(14-MIN(8,(W165+N165)/N165)))</f>
        <v>0.54</v>
      </c>
      <c r="GH165" s="4">
        <f>MIN(0.3, AM165^2*PI()/4*2*AP165/(N165^2*PI()/4*X165))</f>
        <v>0</v>
      </c>
      <c r="GI165" s="4">
        <f>(K165/25.4)/(N165/25.4)^1.5/0.0024*(M165*145)^0.25/GF165/GG165/145</f>
        <v>322.55638206508723</v>
      </c>
    </row>
    <row r="166" spans="1:191" ht="12" customHeight="1" x14ac:dyDescent="0.3">
      <c r="A166" s="25">
        <v>168</v>
      </c>
      <c r="B166" s="24" t="s">
        <v>128</v>
      </c>
      <c r="C166" s="24">
        <v>2017</v>
      </c>
      <c r="D166" s="24" t="s">
        <v>309</v>
      </c>
      <c r="E166" s="24"/>
      <c r="F166" s="24"/>
      <c r="G166" s="109" t="s">
        <v>779</v>
      </c>
      <c r="H166" s="4" t="s">
        <v>175</v>
      </c>
      <c r="I166" s="5">
        <f>K166/N166</f>
        <v>13</v>
      </c>
      <c r="J166" s="100">
        <v>583</v>
      </c>
      <c r="K166" s="7">
        <f>13*N166</f>
        <v>744.9</v>
      </c>
      <c r="L166" s="7">
        <f>K166</f>
        <v>744.9</v>
      </c>
      <c r="M166" s="21">
        <v>40.5</v>
      </c>
      <c r="N166" s="37">
        <v>57.3</v>
      </c>
      <c r="O166" s="7">
        <f>K166/N166</f>
        <v>13</v>
      </c>
      <c r="P166" s="7">
        <f>L166/N166</f>
        <v>13</v>
      </c>
      <c r="Q166" s="7">
        <f>W166+2*S166+2*N166</f>
        <v>584.46</v>
      </c>
      <c r="R166" s="32">
        <f>S166/N166</f>
        <v>1</v>
      </c>
      <c r="S166" s="7">
        <f>1*N166</f>
        <v>57.3</v>
      </c>
      <c r="T166" s="32">
        <f>U166/N166</f>
        <v>0.97731239092495636</v>
      </c>
      <c r="U166" s="7">
        <f>40+16</f>
        <v>56</v>
      </c>
      <c r="V166" s="32">
        <f>W166/N166</f>
        <v>6.2</v>
      </c>
      <c r="W166" s="7">
        <f>(7.2-1)*N166</f>
        <v>355.26</v>
      </c>
      <c r="X166" s="7">
        <v>2</v>
      </c>
      <c r="Y166" s="7">
        <f>AN166</f>
        <v>3</v>
      </c>
      <c r="Z166" s="32">
        <f>AA166/N166</f>
        <v>6.5724258289703315</v>
      </c>
      <c r="AA166" s="7">
        <f>2/3*K166-0.5*240</f>
        <v>376.59999999999997</v>
      </c>
      <c r="AB166" s="7">
        <f>MIN(S166/N166+0.5, W166/2/N166+0.5)</f>
        <v>1.5</v>
      </c>
      <c r="AC166" s="7">
        <f>S166/N166+0.5</f>
        <v>1.5</v>
      </c>
      <c r="AD166" s="7">
        <f>2040/510</f>
        <v>4</v>
      </c>
      <c r="AE166" s="7">
        <f>2040/510</f>
        <v>4</v>
      </c>
      <c r="AF166" s="7">
        <f>AE166+1</f>
        <v>5</v>
      </c>
      <c r="AG166" s="7">
        <f>N166*AF166^0.5</f>
        <v>128.12669511073796</v>
      </c>
      <c r="AH166" s="7">
        <f>J166</f>
        <v>583</v>
      </c>
      <c r="AI166" s="7">
        <v>25</v>
      </c>
      <c r="AJ166" s="7">
        <f>(586+586)/2</f>
        <v>586</v>
      </c>
      <c r="AK166" s="7"/>
      <c r="AL166" s="4">
        <f>CY166</f>
        <v>2.0897350040707581</v>
      </c>
      <c r="AM166" s="7">
        <v>15.9</v>
      </c>
      <c r="AN166" s="7">
        <v>3</v>
      </c>
      <c r="AO166" s="7">
        <v>275</v>
      </c>
      <c r="AP166" s="7">
        <v>4</v>
      </c>
      <c r="AQ166" s="7">
        <f>AN166</f>
        <v>3</v>
      </c>
      <c r="AR166" s="7">
        <f>3*AS166/(W166+N166)</f>
        <v>5.4166666666666661</v>
      </c>
      <c r="AS166" s="4">
        <f>K166</f>
        <v>744.9</v>
      </c>
      <c r="AT166" s="4">
        <f>IF(K166*3&gt;W166+N166, Q166, (S166+N166/2)*2+1.5*K166*(2*X166-2))*(3*K166)/(9*K166^2)</f>
        <v>0.2615384615384615</v>
      </c>
      <c r="AU166" s="4">
        <f>MIN(10*M166^0.5*K166^1.5,100*3.9*M166^0.5*K166^(5/3))/(PI()/4*N166^2)/X166</f>
        <v>250.86804884585459</v>
      </c>
      <c r="AV166" s="4">
        <f>MIN(0.7+0.3*(MIN(S166,AA166)+0.5*N166)/1.5/K166,1)</f>
        <v>0.72307692307692306</v>
      </c>
      <c r="AW166" s="4">
        <v>1.25</v>
      </c>
      <c r="AX166" s="4">
        <f>AX165</f>
        <v>1</v>
      </c>
      <c r="AY166" s="38">
        <f>AT166*AV166*AW166*AX166*AU166</f>
        <v>59.302831665040763</v>
      </c>
      <c r="AZ166" s="38">
        <f>AY166</f>
        <v>59.302831665040763</v>
      </c>
      <c r="BA166" s="38">
        <f>IF(M166&lt;50, 0.3*M166^(2/3), 2.12*LN(1+0.1*(M166+8)))</f>
        <v>3.538000882182009</v>
      </c>
      <c r="BB166" s="38">
        <f>AX166* (M166^0.5/AS166^0.5)/(PI()/4*N166^2)/X166/0.72 *(0.7+(MIN(S166,AA166)+0.5*N166)/5/K166) *(3*Q166*K166)</f>
        <v>59.302831665040749</v>
      </c>
      <c r="BC166" s="38">
        <f>AY166/BB166</f>
        <v>1.0000000000000002</v>
      </c>
      <c r="BD166" s="38">
        <f>BH166/BB166</f>
        <v>4.0976120899678632</v>
      </c>
      <c r="BE166" s="4">
        <f>IF(BD166&lt;1,1,0)</f>
        <v>0</v>
      </c>
      <c r="BF166" s="4">
        <f>L166/N166*M166^0.5/0.19</f>
        <v>435.4289126254003</v>
      </c>
      <c r="BG166" s="4">
        <f>MIN(0.6+0.4*(AC166/AB166),2)</f>
        <v>1</v>
      </c>
      <c r="BH166" s="38">
        <f>2*M166*AB166*AD166^0.5*BG166*0.7/0.7</f>
        <v>243</v>
      </c>
      <c r="BI166" s="4">
        <f>MAX(1-0.7*AE166/5,0.3)</f>
        <v>0.44000000000000006</v>
      </c>
      <c r="BJ166" s="4">
        <f>BI166*J166*L166/(J166*N166/2.75/M166^0.5)</f>
        <v>100.10510701257954</v>
      </c>
      <c r="BK166" s="4">
        <f>BH166+BJ166</f>
        <v>343.10510701257954</v>
      </c>
      <c r="BM166" s="4">
        <f>MIN(1.5, 0.75+0.25*MIN(3,MAX(1,S166/N166))+0.4*MIN(1,(40*2*PI()*AM166^2/4/AO166/X166)/N166))</f>
        <v>1.201612194511575</v>
      </c>
      <c r="BN166" s="4">
        <f>(3*P166+30)*BM166*M166^0.5</f>
        <v>527.64390941035731</v>
      </c>
      <c r="BP166" s="4">
        <f>3.4/PI()^0.5*M166*AB166*AE166^0.5*BG166</f>
        <v>233.06671696357813</v>
      </c>
      <c r="BQ166" s="4">
        <f>8/3*AH166*AI166^2/(AG166-N166-22)/N166*(AG166^2-N166^2)/(AG166^2-(N166+22)^2)</f>
        <v>450.3525339151019</v>
      </c>
      <c r="BR166" s="4">
        <f>BQ166/BP166</f>
        <v>1.9322902033475655</v>
      </c>
      <c r="BZ166" s="4">
        <f>IF(W166=0,S166,MIN(W166/2,S166))</f>
        <v>57.3</v>
      </c>
      <c r="CD166" s="9"/>
      <c r="CF166" s="9"/>
      <c r="CG166" s="9"/>
      <c r="CH166" s="9">
        <f>IF(W166=0,MIN(S166,U166),MIN(W166/2,S166,U166))</f>
        <v>56</v>
      </c>
      <c r="CI166" s="9">
        <f>MAX(W166/2,S166)</f>
        <v>177.63</v>
      </c>
      <c r="CJ166" s="9">
        <f>(CH166/N166)^0.5*(CI166/CH166)^0.15</f>
        <v>1.1754818988273255</v>
      </c>
      <c r="CK166" s="70">
        <v>20</v>
      </c>
      <c r="CL166" s="9">
        <f>MIN(PI()*AM166^2/4*AN166*2/X166/N166/MAX(0.01,AO166),0.05)</f>
        <v>3.7802286470920307E-2</v>
      </c>
      <c r="CM166" s="9">
        <f>MAX(0,CK166*(CL166-0.5/50))</f>
        <v>0.55604572941840613</v>
      </c>
      <c r="CN166" s="9">
        <f>MIN(1,(25/N166)^0.3)</f>
        <v>0.77971450958075206</v>
      </c>
      <c r="CO166" s="9">
        <f>IF(J166&gt;=800,0.68,IF(J166&gt;=700,0.75-(J166-700)*0.07/100,IF(J166&gt;=600,0.85-(J166-600)*0.1/100,IF(J166&gt;=500,1-(J166-500)*0.15/100,1.2-(J166-400)*0.2/100))))</f>
        <v>0.87549999999999994</v>
      </c>
      <c r="CP166" s="9">
        <f>1.75*CN166*CO166*(M166/25)^0.5</f>
        <v>1.5205031436526735</v>
      </c>
      <c r="CQ166" s="9">
        <f>MIN((CJ166+CM166)*CP166,2.5*CP166,M166^0.5)</f>
        <v>2.632793202069093</v>
      </c>
      <c r="CR166" s="9">
        <v>1</v>
      </c>
      <c r="CS166" s="9">
        <f>4*CQ166*P166+60*CQ166</f>
        <v>294.87283863173843</v>
      </c>
      <c r="CU166" s="4">
        <f>AJ166/BF166</f>
        <v>1.3457994703813709</v>
      </c>
      <c r="CV166" s="4">
        <f>AJ166/BK166</f>
        <v>1.7079314414824931</v>
      </c>
      <c r="CW166" s="4">
        <f>AJ166/BN166</f>
        <v>1.1105974873373516</v>
      </c>
      <c r="CX166" s="4">
        <f>AJ166/CS166</f>
        <v>1.9872973133746143</v>
      </c>
      <c r="CY166" s="4">
        <f>AJ166/DZ166</f>
        <v>2.0897350040707581</v>
      </c>
      <c r="CZ166" s="4">
        <f>AJ166/EL166</f>
        <v>1.6061312508358303</v>
      </c>
      <c r="DA166" s="4">
        <f>AJ166/GI166</f>
        <v>1.2470860052703576</v>
      </c>
      <c r="DI166" s="4">
        <f>CU166</f>
        <v>1.3457994703813709</v>
      </c>
      <c r="DJ166" s="4">
        <f>CV166</f>
        <v>1.7079314414824931</v>
      </c>
      <c r="DK166" s="4">
        <f>CX166</f>
        <v>1.9872973133746143</v>
      </c>
      <c r="DL166" s="4">
        <f>DA166</f>
        <v>1.2470860052703576</v>
      </c>
      <c r="DM166" s="4">
        <f>CY166</f>
        <v>2.0897350040707581</v>
      </c>
      <c r="DN166" s="4">
        <f>CZ166</f>
        <v>1.6061312508358303</v>
      </c>
      <c r="DP166" s="4">
        <f>AN166</f>
        <v>3</v>
      </c>
      <c r="DQ166" s="4">
        <f>L166</f>
        <v>744.9</v>
      </c>
      <c r="DT166" s="4">
        <f>K166/4/(1-0.3*(M166/30)^0.5)/200000/N166</f>
        <v>2.4945063339588324E-5</v>
      </c>
      <c r="DU166" s="4">
        <f>EP166</f>
        <v>5.5836366123976697</v>
      </c>
      <c r="DV166" s="4">
        <f>EC166*AG166/257/M166/AD166</f>
        <v>0.1825017013006219</v>
      </c>
      <c r="DW166" s="4">
        <f>DU166*DV166^0.4</f>
        <v>2.827638675974697</v>
      </c>
      <c r="DX166" s="4">
        <f>MIN(DU166, DU166/1.4*(1-DV166^1.4)/(1-DV166))</f>
        <v>4.427783564487684</v>
      </c>
      <c r="DY166" s="4">
        <f>MAX(DU166/2, (4-DT166*(8*AG166*(DW166-DX166)+6*K166*DX166))/(4+DT166*K166*DU166)*DU166)</f>
        <v>4.8264669466015615</v>
      </c>
      <c r="DZ166" s="38">
        <f>MIN(1/N166*(4*AG166*(DW166-DX166)+(3*DX166+DY166)*K166)+EC166 -FJ166,MAX(J166,AJ166))</f>
        <v>280.41833000762529</v>
      </c>
      <c r="EA166" s="4">
        <f>DZ166/FF166</f>
        <v>1.0001178805003297</v>
      </c>
      <c r="EB166" s="4">
        <f>AG166/N166</f>
        <v>2.2360679774997898</v>
      </c>
      <c r="EC166" s="4">
        <f>MIN(EB$10*BB166)</f>
        <v>59.302831665040749</v>
      </c>
      <c r="EG166" s="4">
        <f>IF(U166&gt;1*N166,0.85,1)</f>
        <v>1</v>
      </c>
      <c r="EH166" s="4">
        <f>MIN(1,MAX(0.7,(1-0.1*(BZ166-1*N166)/N166)))</f>
        <v>1</v>
      </c>
      <c r="EI166" s="4">
        <f>MIN(1,MAX(0.7,1-0.3*(PI()*AM166^2/4*AQ166*2-0.25*PI()/4*N166^2)/(PI()/4*N166^2)))</f>
        <v>0.93640182560785068</v>
      </c>
      <c r="EJ166" s="4">
        <f>IF(EH166*EI166&lt;0.7,0.7,EH166*EI166)</f>
        <v>0.93640182560785068</v>
      </c>
      <c r="EL166" s="4">
        <f>MIN(DU166/N166*3*K166+EM166-FJ166,MAX(J166,AJ166))</f>
        <v>364.8518760188781</v>
      </c>
      <c r="EM166" s="25">
        <f>13.3*Q166*K166^0.5*M166^0.5/X166/N166^2*(0.7+S166/5/K166)</f>
        <v>147.09004813536899</v>
      </c>
      <c r="EP166" s="4">
        <f>IF(N166&lt;22.2,1.1*5*(M166/30)^0.5,IF(N166&gt;=31.8,0.9*5*(M166/30)^0.5,1*5*(M166/30)^0.5))/EG166/EJ166</f>
        <v>5.5836366123976697</v>
      </c>
      <c r="ES166" s="4">
        <f>ET166*N166</f>
        <v>128.12669511073796</v>
      </c>
      <c r="ET166" s="4">
        <f>AF166^0.5</f>
        <v>2.2360679774997898</v>
      </c>
      <c r="EU166" s="4">
        <f>MIN(EC166)/(4700*M166^0.5)/AE166*ES166</f>
        <v>6.3508183996427492E-2</v>
      </c>
      <c r="EX166" s="4">
        <f>EU166</f>
        <v>6.3508183996427492E-2</v>
      </c>
      <c r="EY166" s="4">
        <f>MIN(0.999, EX166/(0.3*(M166/30)^0.5))</f>
        <v>0.18219713997484452</v>
      </c>
      <c r="EZ166" s="4">
        <f>EP166/1*EY166^0.4</f>
        <v>2.8257502093766078</v>
      </c>
      <c r="FA166" s="4">
        <f>EP166/1.4*(1-EY166^1.4)/(1-EY166)</f>
        <v>4.4271872963631376</v>
      </c>
      <c r="FB166" s="4">
        <f>MAX(0,DQ166*FB$9-ES166)</f>
        <v>430.548304889262</v>
      </c>
      <c r="FC166" s="4">
        <f>MAX(0,DQ166-ES166-FB166)</f>
        <v>186.22500000000002</v>
      </c>
      <c r="FD166" s="4">
        <f>FC166/(1-0.3*(M166/30)^0.5)/200000/N166</f>
        <v>2.4945063339588331E-5</v>
      </c>
      <c r="FE166" s="4">
        <f>MAX(0.5*EP166, (1-2*FD166*(ES166*EZ166+FB166*FA166))/(1/EP166+FD166*FC166))</f>
        <v>4.8266023523326904</v>
      </c>
      <c r="FF166" s="4">
        <f>MIN(4/N166*(1*EZ166*ES166+FA166*FB166+FC166*FE166)+EC166,MAX(J166,AJ166))</f>
        <v>280.38527805076359</v>
      </c>
      <c r="FO166" s="23">
        <f>IF(CU166&lt;0.6,0.6,IF(CU166&lt;0.8,0.8,IF(CU166&lt;1,1,IF(CU166&lt;1.2,1.2,IF(CU166&lt;1.4,1.4,IF(CU166&lt;1.6,1.6,IF(CU166&lt;1.8,1.8,IF(CU166&lt;2,2,2.2))))))))</f>
        <v>1.4</v>
      </c>
      <c r="FP166" s="23">
        <f>IF(CV166&lt;0.6,0.6,IF(CV166&lt;0.8,0.8,IF(CV166&lt;1,1,IF(CV166&lt;1.2,1.2,IF(CV166&lt;1.4,1.4,IF(CV166&lt;1.6,1.6,IF(CV166&lt;1.8,1.8,IF(CV166&lt;2,2,2.2))))))))</f>
        <v>1.8</v>
      </c>
      <c r="FQ166" s="23">
        <f>IF(DA166&lt;0.6,0.6,IF(DA166&lt;0.8,0.8,IF(DA166&lt;1,1,IF(DA166&lt;1.2,1.2,IF(DA166&lt;1.4,1.4,IF(DA166&lt;1.6,1.6,IF(DA166&lt;1.8,1.8,IF(DA166&lt;2,2,2.2))))))))</f>
        <v>1.4</v>
      </c>
      <c r="FR166" s="23">
        <f>IF(CX166&lt;0.6,0.6,IF(CX166&lt;0.8,0.8,IF(CX166&lt;1,1,IF(CX166&lt;1.2,1.2,IF(CX166&lt;1.4,1.4,IF(CX166&lt;1.6,1.6,IF(CX166&lt;1.8,1.8,IF(CX166&lt;2,2,2.2))))))))</f>
        <v>2</v>
      </c>
      <c r="FS166" s="23">
        <f>IF(CY166&lt;0.6,0.6,IF(CY166&lt;0.8,0.8,IF(CY166&lt;1,1,IF(CY166&lt;1.2,1.2,IF(CY166&lt;1.4,1.4,IF(CY166&lt;1.6,1.6,IF(CY166&lt;1.8,1.8,IF(CY166&lt;2,2,2.2))))))))</f>
        <v>2.2000000000000002</v>
      </c>
      <c r="FT166" s="23">
        <f>IF(CZ166&lt;0.6,0.6,IF(CZ166&lt;0.8,0.8,IF(CZ166&lt;1,1,IF(CZ166&lt;1.2,1.2,IF(CZ166&lt;1.4,1.4,IF(CZ166&lt;1.6,1.6,IF(CZ166&lt;1.8,1.8,IF(CZ166&lt;2,2,2.2))))))))</f>
        <v>1.8</v>
      </c>
      <c r="FU166" s="23">
        <f>IF(FS166&lt;1,1,0)</f>
        <v>0</v>
      </c>
      <c r="FV166" s="23"/>
      <c r="GF166" s="4">
        <f>IF(S166&gt;=2.5*25.4,1,1.25)</f>
        <v>1.25</v>
      </c>
      <c r="GG166" s="4">
        <f>IF(AO166&gt;1, 0.05*(18-MIN(8,(W166+N166)/N166))*(1-48000/MAX(60000,(J166*145))*(N166/25.4)^0.75*GH166), 1/12*(14-MIN(8,(W166+N166)/N166)))</f>
        <v>0.37067917575318227</v>
      </c>
      <c r="GH166" s="4">
        <f>MIN(0.3, AM166^2*PI()/4*2*AP166/(N166^2*PI()/4*X166))</f>
        <v>0.3</v>
      </c>
      <c r="GI166" s="4">
        <f>(K166/25.4)/(N166/25.4)^1.5/0.0024*(M166*145)^0.25/GF166/GG166/145</f>
        <v>469.89541821773565</v>
      </c>
    </row>
    <row r="167" spans="1:191" ht="12" customHeight="1" x14ac:dyDescent="0.3">
      <c r="A167" s="25">
        <v>169</v>
      </c>
      <c r="B167" s="24" t="s">
        <v>128</v>
      </c>
      <c r="C167" s="24">
        <v>2017</v>
      </c>
      <c r="D167" s="24" t="s">
        <v>309</v>
      </c>
      <c r="E167" s="24"/>
      <c r="F167" s="115"/>
      <c r="G167" s="109" t="s">
        <v>779</v>
      </c>
      <c r="H167" s="4" t="s">
        <v>176</v>
      </c>
      <c r="I167" s="5">
        <f>K167/N167</f>
        <v>13</v>
      </c>
      <c r="J167" s="100">
        <v>583</v>
      </c>
      <c r="K167" s="7">
        <f>13*N167</f>
        <v>744.9</v>
      </c>
      <c r="L167" s="7">
        <f>K167</f>
        <v>744.9</v>
      </c>
      <c r="M167" s="21">
        <v>40.5</v>
      </c>
      <c r="N167" s="37">
        <v>57.3</v>
      </c>
      <c r="O167" s="7">
        <f>K167/N167</f>
        <v>13</v>
      </c>
      <c r="P167" s="7">
        <f>L167/N167</f>
        <v>13</v>
      </c>
      <c r="Q167" s="7">
        <f>W167+2*S167+2*N167</f>
        <v>584.46</v>
      </c>
      <c r="R167" s="32">
        <f>S167/N167</f>
        <v>1</v>
      </c>
      <c r="S167" s="7">
        <f>1*N167</f>
        <v>57.3</v>
      </c>
      <c r="T167" s="32">
        <f>U167/N167</f>
        <v>0.97731239092495636</v>
      </c>
      <c r="U167" s="7">
        <f>40+16</f>
        <v>56</v>
      </c>
      <c r="V167" s="32">
        <f>W167/N167</f>
        <v>6.2</v>
      </c>
      <c r="W167" s="7">
        <f>(7.2-1)*N167</f>
        <v>355.26</v>
      </c>
      <c r="X167" s="7">
        <v>2</v>
      </c>
      <c r="Y167" s="7">
        <f>AN167</f>
        <v>5</v>
      </c>
      <c r="Z167" s="32">
        <f>AA167/N167</f>
        <v>6.5724258289703315</v>
      </c>
      <c r="AA167" s="7">
        <f>2/3*K167-0.5*240</f>
        <v>376.59999999999997</v>
      </c>
      <c r="AB167" s="7">
        <f>MIN(S167/N167+0.5, W167/2/N167+0.5)</f>
        <v>1.5</v>
      </c>
      <c r="AC167" s="7">
        <f>S167/N167+0.5</f>
        <v>1.5</v>
      </c>
      <c r="AD167" s="7">
        <f>2040/510</f>
        <v>4</v>
      </c>
      <c r="AE167" s="7">
        <f>2040/510</f>
        <v>4</v>
      </c>
      <c r="AF167" s="7">
        <f>AE167+1</f>
        <v>5</v>
      </c>
      <c r="AG167" s="7">
        <f>N167*AF167^0.5</f>
        <v>128.12669511073796</v>
      </c>
      <c r="AH167" s="7">
        <f>J167</f>
        <v>583</v>
      </c>
      <c r="AI167" s="7">
        <v>25</v>
      </c>
      <c r="AJ167" s="7">
        <f>(586+586)/2</f>
        <v>586</v>
      </c>
      <c r="AK167" s="7"/>
      <c r="AL167" s="4">
        <f>CY167</f>
        <v>1.9310412434474262</v>
      </c>
      <c r="AM167" s="7">
        <v>15.9</v>
      </c>
      <c r="AN167" s="7">
        <v>5</v>
      </c>
      <c r="AO167" s="7">
        <v>138</v>
      </c>
      <c r="AP167" s="7">
        <v>6</v>
      </c>
      <c r="AQ167" s="7">
        <f>AN167</f>
        <v>5</v>
      </c>
      <c r="AR167" s="7">
        <f>3*AS167/(W167+N167)</f>
        <v>5.4166666666666661</v>
      </c>
      <c r="AS167" s="4">
        <f>K167</f>
        <v>744.9</v>
      </c>
      <c r="AT167" s="4">
        <f>IF(K167*3&gt;W167+N167, Q167, (S167+N167/2)*2+1.5*K167*(2*X167-2))*(3*K167)/(9*K167^2)</f>
        <v>0.2615384615384615</v>
      </c>
      <c r="AU167" s="4">
        <f>MIN(10*M167^0.5*K167^1.5,100*3.9*M167^0.5*K167^(5/3))/(PI()/4*N167^2)/X167</f>
        <v>250.86804884585459</v>
      </c>
      <c r="AV167" s="4">
        <f>MIN(0.7+0.3*(MIN(S167,AA167)+0.5*N167)/1.5/K167,1)</f>
        <v>0.72307692307692306</v>
      </c>
      <c r="AW167" s="4">
        <v>1.25</v>
      </c>
      <c r="AX167" s="4">
        <f>AX166</f>
        <v>1</v>
      </c>
      <c r="AY167" s="38">
        <f>AT167*AV167*AW167*AX167*AU167</f>
        <v>59.302831665040763</v>
      </c>
      <c r="AZ167" s="38">
        <f>AY167</f>
        <v>59.302831665040763</v>
      </c>
      <c r="BA167" s="38">
        <f>IF(M167&lt;50, 0.3*M167^(2/3), 2.12*LN(1+0.1*(M167+8)))</f>
        <v>3.538000882182009</v>
      </c>
      <c r="BB167" s="38">
        <f>AX167* (M167^0.5/AS167^0.5)/(PI()/4*N167^2)/X167/0.72 *(0.7+(MIN(S167,AA167)+0.5*N167)/5/K167) *(3*Q167*K167)</f>
        <v>59.302831665040749</v>
      </c>
      <c r="BC167" s="38">
        <f>AY167/BB167</f>
        <v>1.0000000000000002</v>
      </c>
      <c r="BD167" s="38">
        <f>BH167/BB167</f>
        <v>4.0976120899678632</v>
      </c>
      <c r="BE167" s="4">
        <f>IF(BD167&lt;1,1,0)</f>
        <v>0</v>
      </c>
      <c r="BF167" s="4">
        <f>L167/N167*M167^0.5/0.19</f>
        <v>435.4289126254003</v>
      </c>
      <c r="BG167" s="4">
        <f>MIN(0.6+0.4*(AC167/AB167),2)</f>
        <v>1</v>
      </c>
      <c r="BH167" s="38">
        <f>2*M167*AB167*AD167^0.5*BG167*0.7/0.7</f>
        <v>243</v>
      </c>
      <c r="BI167" s="4">
        <f>MAX(1-0.7*AE167/5,0.3)</f>
        <v>0.44000000000000006</v>
      </c>
      <c r="BJ167" s="4">
        <f>BI167*J167*L167/(J167*N167/2.75/M167^0.5)</f>
        <v>100.10510701257954</v>
      </c>
      <c r="BK167" s="4">
        <f>BH167+BJ167</f>
        <v>343.10510701257954</v>
      </c>
      <c r="BM167" s="4">
        <f>MIN(1.5, 0.75+0.25*MIN(3,MAX(1,S167/N167))+0.4*MIN(1,(40*2*PI()*AM167^2/4/AO167/X167)/N167))</f>
        <v>1.4</v>
      </c>
      <c r="BN167" s="4">
        <f>(3*P167+30)*BM167*M167^0.5</f>
        <v>614.75863556358433</v>
      </c>
      <c r="BP167" s="4">
        <f>3.4/PI()^0.5*M167*AB167*AE167^0.5*BG167</f>
        <v>233.06671696357813</v>
      </c>
      <c r="BQ167" s="4">
        <f>8/3*AH167*AI167^2/(AG167-N167-22)/N167*(AG167^2-N167^2)/(AG167^2-(N167+22)^2)</f>
        <v>450.3525339151019</v>
      </c>
      <c r="BR167" s="4">
        <f>BQ167/BP167</f>
        <v>1.9322902033475655</v>
      </c>
      <c r="BZ167" s="4">
        <f>IF(W167=0,S167,MIN(W167/2,S167))</f>
        <v>57.3</v>
      </c>
      <c r="CD167" s="9"/>
      <c r="CF167" s="9"/>
      <c r="CG167" s="9"/>
      <c r="CH167" s="9">
        <f>IF(W167=0,MIN(S167,U167),MIN(W167/2,S167,U167))</f>
        <v>56</v>
      </c>
      <c r="CI167" s="9">
        <f>MAX(W167/2,S167)</f>
        <v>177.63</v>
      </c>
      <c r="CJ167" s="9">
        <f>(CH167/N167)^0.5*(CI167/CH167)^0.15</f>
        <v>1.1754818988273255</v>
      </c>
      <c r="CK167" s="70">
        <v>20</v>
      </c>
      <c r="CL167" s="9">
        <f>MIN(PI()*AM167^2/4*AN167*2/X167/N167/MAX(0.01,AO167),0.05)</f>
        <v>0.05</v>
      </c>
      <c r="CM167" s="9">
        <f>MAX(0,CK167*(CL167-0.5/50))</f>
        <v>0.8</v>
      </c>
      <c r="CN167" s="9">
        <f>MIN(1,(25/N167)^0.3)</f>
        <v>0.77971450958075206</v>
      </c>
      <c r="CO167" s="9">
        <f>IF(J167&gt;=800,0.68,IF(J167&gt;=700,0.75-(J167-700)*0.07/100,IF(J167&gt;=600,0.85-(J167-600)*0.1/100,IF(J167&gt;=500,1-(J167-500)*0.15/100,1.2-(J167-400)*0.2/100))))</f>
        <v>0.87549999999999994</v>
      </c>
      <c r="CP167" s="9">
        <f>1.75*CN167*CO167*(M167/25)^0.5</f>
        <v>1.5205031436526735</v>
      </c>
      <c r="CQ167" s="9">
        <f>MIN((CJ167+CM167)*CP167,2.5*CP167,M167^0.5)</f>
        <v>3.0037264373959012</v>
      </c>
      <c r="CR167" s="9">
        <v>1</v>
      </c>
      <c r="CS167" s="9">
        <f>4*CQ167*P167+60*CQ167</f>
        <v>336.41736098834093</v>
      </c>
      <c r="CU167" s="4">
        <f>AJ167/BF167</f>
        <v>1.3457994703813709</v>
      </c>
      <c r="CV167" s="4">
        <f>AJ167/BK167</f>
        <v>1.7079314414824931</v>
      </c>
      <c r="CW167" s="4">
        <f>AJ167/BN167</f>
        <v>0.95321963141319743</v>
      </c>
      <c r="CX167" s="4">
        <f>AJ167/CS167</f>
        <v>1.7418839452233523</v>
      </c>
      <c r="CY167" s="4">
        <f>AJ167/DZ167</f>
        <v>1.9310412434474262</v>
      </c>
      <c r="CZ167" s="4">
        <f>AJ167/EL167</f>
        <v>1.5076213914643732</v>
      </c>
      <c r="DA167" s="4">
        <f>AJ167/GI167</f>
        <v>1.2470860052703576</v>
      </c>
      <c r="DI167" s="4">
        <f>CU167</f>
        <v>1.3457994703813709</v>
      </c>
      <c r="DJ167" s="4">
        <f>CV167</f>
        <v>1.7079314414824931</v>
      </c>
      <c r="DK167" s="4">
        <f>CX167</f>
        <v>1.7418839452233523</v>
      </c>
      <c r="DL167" s="4">
        <f>DA167</f>
        <v>1.2470860052703576</v>
      </c>
      <c r="DM167" s="4">
        <f>CY167</f>
        <v>1.9310412434474262</v>
      </c>
      <c r="DN167" s="4">
        <f>CZ167</f>
        <v>1.5076213914643732</v>
      </c>
      <c r="DP167" s="4">
        <f>AN167</f>
        <v>5</v>
      </c>
      <c r="DQ167" s="4">
        <f>L167</f>
        <v>744.9</v>
      </c>
      <c r="DT167" s="4">
        <f>K167/4/(1-0.3*(M167/30)^0.5)/200000/N167</f>
        <v>2.4945063339588324E-5</v>
      </c>
      <c r="DU167" s="4">
        <f>EP167</f>
        <v>6.1949154836920748</v>
      </c>
      <c r="DV167" s="4">
        <f>EC167*AG167/257/M167/AD167</f>
        <v>0.1825017013006219</v>
      </c>
      <c r="DW167" s="4">
        <f>DU167*DV167^0.4</f>
        <v>3.1371996123795456</v>
      </c>
      <c r="DX167" s="4">
        <f>MIN(DU167, DU167/1.4*(1-DV167^1.4)/(1-DV167))</f>
        <v>4.9125233008856979</v>
      </c>
      <c r="DY167" s="4">
        <f>MAX(DU167/2, (4-DT167*(8*AG167*(DW167-DX167)+6*K167*DX167))/(4+DT167*K167*DU167)*DU167)</f>
        <v>5.2654585128213309</v>
      </c>
      <c r="DZ167" s="38">
        <f>MIN(1/N167*(4*AG167*(DW167-DX167)+(3*DX167+DY167)*K167)+EC167 -FJ167,MAX(J167,AJ167))</f>
        <v>303.46322326799861</v>
      </c>
      <c r="EA167" s="4">
        <f>DZ167/FF167</f>
        <v>1.0001201692122736</v>
      </c>
      <c r="EB167" s="4">
        <f>AG167/N167</f>
        <v>2.2360679774997898</v>
      </c>
      <c r="EC167" s="4">
        <f>MIN(EB$10*BB167)</f>
        <v>59.302831665040749</v>
      </c>
      <c r="EG167" s="4">
        <f>IF(U167&gt;1*N167,0.85,1)</f>
        <v>1</v>
      </c>
      <c r="EH167" s="4">
        <f>MIN(1,MAX(0.7,(1-0.1*(BZ167-1*N167)/N167)))</f>
        <v>1</v>
      </c>
      <c r="EI167" s="4">
        <f>MIN(1,MAX(0.7,1-0.3*(PI()*AM167^2/4*AQ167*2-0.25*PI()/4*N167^2)/(PI()/4*N167^2)))</f>
        <v>0.84400304267975113</v>
      </c>
      <c r="EJ167" s="4">
        <f>IF(EH167*EI167&lt;0.7,0.7,EH167*EI167)</f>
        <v>0.84400304267975113</v>
      </c>
      <c r="EL167" s="4">
        <f>MIN(DU167/N167*3*K167+EM167-FJ167,MAX(J167,AJ167))</f>
        <v>388.69175199935989</v>
      </c>
      <c r="EM167" s="25">
        <f>13.3*Q167*K167^0.5*M167^0.5/X167/N167^2*(0.7+S167/5/K167)</f>
        <v>147.09004813536899</v>
      </c>
      <c r="EP167" s="4">
        <f>IF(N167&lt;22.2,1.1*5*(M167/30)^0.5,IF(N167&gt;=31.8,0.9*5*(M167/30)^0.5,1*5*(M167/30)^0.5))/EG167/EJ167</f>
        <v>6.1949154836920748</v>
      </c>
      <c r="ES167" s="4">
        <f>ET167*N167</f>
        <v>128.12669511073796</v>
      </c>
      <c r="ET167" s="4">
        <f>AF167^0.5</f>
        <v>2.2360679774997898</v>
      </c>
      <c r="EU167" s="4">
        <f>MIN(EC167)/(4700*M167^0.5)/AE167*ES167</f>
        <v>6.3508183996427492E-2</v>
      </c>
      <c r="EX167" s="4">
        <f>EU167</f>
        <v>6.3508183996427492E-2</v>
      </c>
      <c r="EY167" s="4">
        <f>MIN(0.999, EX167/(0.3*(M167/30)^0.5))</f>
        <v>0.18219713997484452</v>
      </c>
      <c r="EZ167" s="4">
        <f>EP167/1*EY167^0.4</f>
        <v>3.1351044024328663</v>
      </c>
      <c r="FA167" s="4">
        <f>EP167/1.4*(1-EY167^1.4)/(1-EY167)</f>
        <v>4.911861755213299</v>
      </c>
      <c r="FB167" s="4">
        <f>MAX(0,DQ167*FB$9-ES167)</f>
        <v>430.548304889262</v>
      </c>
      <c r="FC167" s="4">
        <f>MAX(0,DQ167-ES167-FB167)</f>
        <v>186.22500000000002</v>
      </c>
      <c r="FD167" s="4">
        <f>FC167/(1-0.3*(M167/30)^0.5)/200000/N167</f>
        <v>2.4945063339588331E-5</v>
      </c>
      <c r="FE167" s="4">
        <f>MAX(0.5*EP167, (1-2*FD167*(ES167*EZ167+FB167*FA167))/(1/EP167+FD167*FC167))</f>
        <v>5.2656247289369222</v>
      </c>
      <c r="FF167" s="4">
        <f>MIN(4/N167*(1*EZ167*ES167+FA167*FB167+FC167*FE167)+EC167,MAX(J167,AJ167))</f>
        <v>303.42676071318095</v>
      </c>
      <c r="FO167" s="23">
        <f>IF(CU167&lt;0.6,0.6,IF(CU167&lt;0.8,0.8,IF(CU167&lt;1,1,IF(CU167&lt;1.2,1.2,IF(CU167&lt;1.4,1.4,IF(CU167&lt;1.6,1.6,IF(CU167&lt;1.8,1.8,IF(CU167&lt;2,2,2.2))))))))</f>
        <v>1.4</v>
      </c>
      <c r="FP167" s="23">
        <f>IF(CV167&lt;0.6,0.6,IF(CV167&lt;0.8,0.8,IF(CV167&lt;1,1,IF(CV167&lt;1.2,1.2,IF(CV167&lt;1.4,1.4,IF(CV167&lt;1.6,1.6,IF(CV167&lt;1.8,1.8,IF(CV167&lt;2,2,2.2))))))))</f>
        <v>1.8</v>
      </c>
      <c r="FQ167" s="23">
        <f>IF(DA167&lt;0.6,0.6,IF(DA167&lt;0.8,0.8,IF(DA167&lt;1,1,IF(DA167&lt;1.2,1.2,IF(DA167&lt;1.4,1.4,IF(DA167&lt;1.6,1.6,IF(DA167&lt;1.8,1.8,IF(DA167&lt;2,2,2.2))))))))</f>
        <v>1.4</v>
      </c>
      <c r="FR167" s="23">
        <f>IF(CX167&lt;0.6,0.6,IF(CX167&lt;0.8,0.8,IF(CX167&lt;1,1,IF(CX167&lt;1.2,1.2,IF(CX167&lt;1.4,1.4,IF(CX167&lt;1.6,1.6,IF(CX167&lt;1.8,1.8,IF(CX167&lt;2,2,2.2))))))))</f>
        <v>1.8</v>
      </c>
      <c r="FS167" s="23">
        <f>IF(CY167&lt;0.6,0.6,IF(CY167&lt;0.8,0.8,IF(CY167&lt;1,1,IF(CY167&lt;1.2,1.2,IF(CY167&lt;1.4,1.4,IF(CY167&lt;1.6,1.6,IF(CY167&lt;1.8,1.8,IF(CY167&lt;2,2,2.2))))))))</f>
        <v>2</v>
      </c>
      <c r="FT167" s="23">
        <f>IF(CZ167&lt;0.6,0.6,IF(CZ167&lt;0.8,0.8,IF(CZ167&lt;1,1,IF(CZ167&lt;1.2,1.2,IF(CZ167&lt;1.4,1.4,IF(CZ167&lt;1.6,1.6,IF(CZ167&lt;1.8,1.8,IF(CZ167&lt;2,2,2.2))))))))</f>
        <v>1.6</v>
      </c>
      <c r="FU167" s="23">
        <f>IF(FS167&lt;1,1,0)</f>
        <v>0</v>
      </c>
      <c r="FV167" s="23"/>
      <c r="GF167" s="4">
        <f>IF(S167&gt;=2.5*25.4,1,1.25)</f>
        <v>1.25</v>
      </c>
      <c r="GG167" s="4">
        <f>IF(AO167&gt;1, 0.05*(18-MIN(8,(W167+N167)/N167))*(1-48000/MAX(60000,(J167*145))*(N167/25.4)^0.75*GH167), 1/12*(14-MIN(8,(W167+N167)/N167)))</f>
        <v>0.37067917575318227</v>
      </c>
      <c r="GH167" s="4">
        <f>MIN(0.3, AM167^2*PI()/4*2*AP167/(N167^2*PI()/4*X167))</f>
        <v>0.3</v>
      </c>
      <c r="GI167" s="4">
        <f>(K167/25.4)/(N167/25.4)^1.5/0.0024*(M167*145)^0.25/GF167/GG167/145</f>
        <v>469.89541821773565</v>
      </c>
    </row>
    <row r="168" spans="1:191" ht="12" customHeight="1" x14ac:dyDescent="0.3">
      <c r="A168" s="25">
        <v>170</v>
      </c>
      <c r="B168" s="24" t="s">
        <v>128</v>
      </c>
      <c r="C168" s="24">
        <v>2017</v>
      </c>
      <c r="D168" s="24" t="s">
        <v>309</v>
      </c>
      <c r="E168" s="24"/>
      <c r="F168" s="115"/>
      <c r="G168" s="109" t="s">
        <v>779</v>
      </c>
      <c r="H168" s="4" t="s">
        <v>177</v>
      </c>
      <c r="I168" s="5">
        <f>K168/N168</f>
        <v>13</v>
      </c>
      <c r="J168" s="100">
        <v>583</v>
      </c>
      <c r="K168" s="7">
        <f>13*N168</f>
        <v>744.9</v>
      </c>
      <c r="L168" s="7">
        <f>K168</f>
        <v>744.9</v>
      </c>
      <c r="M168" s="21">
        <v>40.5</v>
      </c>
      <c r="N168" s="37">
        <v>57.3</v>
      </c>
      <c r="O168" s="7">
        <f>K168/N168</f>
        <v>13</v>
      </c>
      <c r="P168" s="7">
        <f>L168/N168</f>
        <v>13</v>
      </c>
      <c r="Q168" s="7">
        <f>W168+2*S168+2*N168</f>
        <v>584.46</v>
      </c>
      <c r="R168" s="32">
        <f>S168/N168</f>
        <v>1</v>
      </c>
      <c r="S168" s="7">
        <f>1*N168</f>
        <v>57.3</v>
      </c>
      <c r="T168" s="32">
        <f>U168/N168</f>
        <v>0.97731239092495636</v>
      </c>
      <c r="U168" s="7">
        <f>40+16</f>
        <v>56</v>
      </c>
      <c r="V168" s="32">
        <f>W168/N168</f>
        <v>6.2</v>
      </c>
      <c r="W168" s="7">
        <f>(7.2-1)*N168</f>
        <v>355.26</v>
      </c>
      <c r="X168" s="7">
        <v>2</v>
      </c>
      <c r="Y168" s="7">
        <f>AN168</f>
        <v>3</v>
      </c>
      <c r="Z168" s="32">
        <f>AA168/N168</f>
        <v>6.5724258289703315</v>
      </c>
      <c r="AA168" s="7">
        <f>2/3*K168-0.5*240</f>
        <v>376.59999999999997</v>
      </c>
      <c r="AB168" s="7">
        <f>MIN(S168/N168+0.5, W168/2/N168+0.5)</f>
        <v>1.5</v>
      </c>
      <c r="AC168" s="7">
        <f>S168/N168+0.5</f>
        <v>1.5</v>
      </c>
      <c r="AD168" s="7">
        <f>2040/510</f>
        <v>4</v>
      </c>
      <c r="AE168" s="7">
        <f>2040/510</f>
        <v>4</v>
      </c>
      <c r="AF168" s="7">
        <f>AE168+1</f>
        <v>5</v>
      </c>
      <c r="AG168" s="7">
        <f>N168*AF168^0.5</f>
        <v>128.12669511073796</v>
      </c>
      <c r="AH168" s="7">
        <f>J168</f>
        <v>583</v>
      </c>
      <c r="AI168" s="7">
        <v>25</v>
      </c>
      <c r="AJ168" s="7">
        <f>(588+588)/2</f>
        <v>588</v>
      </c>
      <c r="AK168" s="7"/>
      <c r="AL168" s="4">
        <f>CY168</f>
        <v>2.096867205449839</v>
      </c>
      <c r="AM168" s="7">
        <v>15.9</v>
      </c>
      <c r="AN168" s="7">
        <v>3</v>
      </c>
      <c r="AO168" s="7">
        <v>275</v>
      </c>
      <c r="AP168" s="7">
        <v>4</v>
      </c>
      <c r="AQ168" s="7">
        <f>AN168</f>
        <v>3</v>
      </c>
      <c r="AR168" s="7">
        <f>3*AS168/(W168+N168)</f>
        <v>5.4166666666666661</v>
      </c>
      <c r="AS168" s="4">
        <f>K168</f>
        <v>744.9</v>
      </c>
      <c r="AT168" s="4">
        <f>IF(K168*3&gt;W168+N168, Q168, (S168+N168/2)*2+1.5*K168*(2*X168-2))*(3*K168)/(9*K168^2)</f>
        <v>0.2615384615384615</v>
      </c>
      <c r="AU168" s="4">
        <f>MIN(10*M168^0.5*K168^1.5,100*3.9*M168^0.5*K168^(5/3))/(PI()/4*N168^2)/X168</f>
        <v>250.86804884585459</v>
      </c>
      <c r="AV168" s="4">
        <f>MIN(0.7+0.3*(MIN(S168,AA168)+0.5*N168)/1.5/K168,1)</f>
        <v>0.72307692307692306</v>
      </c>
      <c r="AW168" s="4">
        <v>1.25</v>
      </c>
      <c r="AX168" s="4">
        <f>AX167</f>
        <v>1</v>
      </c>
      <c r="AY168" s="38">
        <f>AT168*AV168*AW168*AX168*AU168</f>
        <v>59.302831665040763</v>
      </c>
      <c r="AZ168" s="38">
        <f>AY168</f>
        <v>59.302831665040763</v>
      </c>
      <c r="BA168" s="38">
        <f>IF(M168&lt;50, 0.3*M168^(2/3), 2.12*LN(1+0.1*(M168+8)))</f>
        <v>3.538000882182009</v>
      </c>
      <c r="BB168" s="38">
        <f>AX168* (M168^0.5/AS168^0.5)/(PI()/4*N168^2)/X168/0.72 *(0.7+(MIN(S168,AA168)+0.5*N168)/5/K168) *(3*Q168*K168)</f>
        <v>59.302831665040749</v>
      </c>
      <c r="BC168" s="38">
        <f>AY168/BB168</f>
        <v>1.0000000000000002</v>
      </c>
      <c r="BD168" s="38">
        <f>BH168/BB168</f>
        <v>4.0976120899678632</v>
      </c>
      <c r="BE168" s="4">
        <f>IF(BD168&lt;1,1,0)</f>
        <v>0</v>
      </c>
      <c r="BF168" s="4">
        <f>L168/N168*M168^0.5/0.19</f>
        <v>435.4289126254003</v>
      </c>
      <c r="BG168" s="4">
        <f>MIN(0.6+0.4*(AC168/AB168),2)</f>
        <v>1</v>
      </c>
      <c r="BH168" s="38">
        <f>2*M168*AB168*AD168^0.5*BG168*0.7/0.7</f>
        <v>243</v>
      </c>
      <c r="BI168" s="4">
        <f>MAX(1-0.7*AE168/5,0.3)</f>
        <v>0.44000000000000006</v>
      </c>
      <c r="BJ168" s="4">
        <f>BI168*J168*L168/(J168*N168/2.75/M168^0.5)</f>
        <v>100.10510701257954</v>
      </c>
      <c r="BK168" s="4">
        <f>BH168+BJ168</f>
        <v>343.10510701257954</v>
      </c>
      <c r="BM168" s="4">
        <f>MIN(1.5, 0.75+0.25*MIN(3,MAX(1,S168/N168))+0.4*MIN(1,(40*2*PI()*AM168^2/4/AO168/X168)/N168))</f>
        <v>1.201612194511575</v>
      </c>
      <c r="BN168" s="4">
        <f>(3*P168+30)*BM168*M168^0.5</f>
        <v>527.64390941035731</v>
      </c>
      <c r="BP168" s="4">
        <f>3.4/PI()^0.5*M168*AB168*AE168^0.5*BG168</f>
        <v>233.06671696357813</v>
      </c>
      <c r="BQ168" s="4">
        <f>8/3*AH168*AI168^2/(AG168-N168-22)/N168*(AG168^2-N168^2)/(AG168^2-(N168+22)^2)</f>
        <v>450.3525339151019</v>
      </c>
      <c r="BR168" s="4">
        <f>BQ168/BP168</f>
        <v>1.9322902033475655</v>
      </c>
      <c r="BZ168" s="4">
        <f>IF(W168=0,S168,MIN(W168/2,S168))</f>
        <v>57.3</v>
      </c>
      <c r="CD168" s="9"/>
      <c r="CF168" s="9"/>
      <c r="CG168" s="9"/>
      <c r="CH168" s="9">
        <f>IF(W168=0,MIN(S168,U168),MIN(W168/2,S168,U168))</f>
        <v>56</v>
      </c>
      <c r="CI168" s="9">
        <f>MAX(W168/2,S168)</f>
        <v>177.63</v>
      </c>
      <c r="CJ168" s="9">
        <f>(CH168/N168)^0.5*(CI168/CH168)^0.15</f>
        <v>1.1754818988273255</v>
      </c>
      <c r="CK168" s="70">
        <v>20</v>
      </c>
      <c r="CL168" s="9">
        <f>MIN(PI()*AM168^2/4*AN168*2/X168/N168/MAX(0.01,AO168),0.05)</f>
        <v>3.7802286470920307E-2</v>
      </c>
      <c r="CM168" s="9">
        <f>MAX(0,CK168*(CL168-0.5/50))</f>
        <v>0.55604572941840613</v>
      </c>
      <c r="CN168" s="9">
        <f>MIN(1,(25/N168)^0.3)</f>
        <v>0.77971450958075206</v>
      </c>
      <c r="CO168" s="9">
        <f>IF(J168&gt;=800,0.68,IF(J168&gt;=700,0.75-(J168-700)*0.07/100,IF(J168&gt;=600,0.85-(J168-600)*0.1/100,IF(J168&gt;=500,1-(J168-500)*0.15/100,1.2-(J168-400)*0.2/100))))</f>
        <v>0.87549999999999994</v>
      </c>
      <c r="CP168" s="9">
        <f>1.75*CN168*CO168*(M168/25)^0.5</f>
        <v>1.5205031436526735</v>
      </c>
      <c r="CQ168" s="9">
        <f>MIN((CJ168+CM168)*CP168,2.5*CP168,M168^0.5)</f>
        <v>2.632793202069093</v>
      </c>
      <c r="CR168" s="9">
        <v>1</v>
      </c>
      <c r="CS168" s="9">
        <f>4*CQ168*P168+60*CQ168</f>
        <v>294.87283863173843</v>
      </c>
      <c r="CU168" s="4">
        <f>AJ168/BF168</f>
        <v>1.3503926426352324</v>
      </c>
      <c r="CV168" s="4">
        <f>AJ168/BK168</f>
        <v>1.713760559030215</v>
      </c>
      <c r="CW168" s="4">
        <f>AJ168/BN168</f>
        <v>1.114387922447718</v>
      </c>
      <c r="CX168" s="4">
        <f>AJ168/CS168</f>
        <v>1.9940798980618999</v>
      </c>
      <c r="CY168" s="4">
        <f>AJ168/DZ168</f>
        <v>2.096867205449839</v>
      </c>
      <c r="CZ168" s="4">
        <f>AJ168/EL168</f>
        <v>1.6116129274598434</v>
      </c>
      <c r="DA168" s="4">
        <f>AJ168/GI168</f>
        <v>1.2513422714999494</v>
      </c>
      <c r="DI168" s="4">
        <f>CU168</f>
        <v>1.3503926426352324</v>
      </c>
      <c r="DJ168" s="4">
        <f>CV168</f>
        <v>1.713760559030215</v>
      </c>
      <c r="DK168" s="4">
        <f>CX168</f>
        <v>1.9940798980618999</v>
      </c>
      <c r="DL168" s="4">
        <f>DA168</f>
        <v>1.2513422714999494</v>
      </c>
      <c r="DM168" s="4">
        <f>CY168</f>
        <v>2.096867205449839</v>
      </c>
      <c r="DN168" s="4">
        <f>CZ168</f>
        <v>1.6116129274598434</v>
      </c>
      <c r="DP168" s="4">
        <f>AN168</f>
        <v>3</v>
      </c>
      <c r="DQ168" s="4">
        <f>L168</f>
        <v>744.9</v>
      </c>
      <c r="DT168" s="4">
        <f>K168/4/(1-0.3*(M168/30)^0.5)/200000/N168</f>
        <v>2.4945063339588324E-5</v>
      </c>
      <c r="DU168" s="4">
        <f>EP168</f>
        <v>5.5836366123976697</v>
      </c>
      <c r="DV168" s="4">
        <f>EC168*AG168/257/M168/AD168</f>
        <v>0.1825017013006219</v>
      </c>
      <c r="DW168" s="4">
        <f>DU168*DV168^0.4</f>
        <v>2.827638675974697</v>
      </c>
      <c r="DX168" s="4">
        <f>MIN(DU168, DU168/1.4*(1-DV168^1.4)/(1-DV168))</f>
        <v>4.427783564487684</v>
      </c>
      <c r="DY168" s="4">
        <f>MAX(DU168/2, (4-DT168*(8*AG168*(DW168-DX168)+6*K168*DX168))/(4+DT168*K168*DU168)*DU168)</f>
        <v>4.8264669466015615</v>
      </c>
      <c r="DZ168" s="38">
        <f>MIN(1/N168*(4*AG168*(DW168-DX168)+(3*DX168+DY168)*K168)+EC168 -FJ168,MAX(J168,AJ168))</f>
        <v>280.41833000762529</v>
      </c>
      <c r="EA168" s="4">
        <f>DZ168/FF168</f>
        <v>1.0001178805003297</v>
      </c>
      <c r="EB168" s="4">
        <f>AG168/N168</f>
        <v>2.2360679774997898</v>
      </c>
      <c r="EC168" s="4">
        <f>MIN(EB$10*BB168)</f>
        <v>59.302831665040749</v>
      </c>
      <c r="EG168" s="4">
        <f>IF(U168&gt;1*N168,0.85,1)</f>
        <v>1</v>
      </c>
      <c r="EH168" s="4">
        <f>MIN(1,MAX(0.7,(1-0.1*(BZ168-1*N168)/N168)))</f>
        <v>1</v>
      </c>
      <c r="EI168" s="4">
        <f>MIN(1,MAX(0.7,1-0.3*(PI()*AM168^2/4*AQ168*2-0.25*PI()/4*N168^2)/(PI()/4*N168^2)))</f>
        <v>0.93640182560785068</v>
      </c>
      <c r="EJ168" s="4">
        <f>IF(EH168*EI168&lt;0.7,0.7,EH168*EI168)</f>
        <v>0.93640182560785068</v>
      </c>
      <c r="EL168" s="4">
        <f>MIN(DU168/N168*3*K168+EM168-FJ168,MAX(J168,AJ168))</f>
        <v>364.8518760188781</v>
      </c>
      <c r="EM168" s="25">
        <f>13.3*Q168*K168^0.5*M168^0.5/X168/N168^2*(0.7+S168/5/K168)</f>
        <v>147.09004813536899</v>
      </c>
      <c r="EP168" s="4">
        <f>IF(N168&lt;22.2,1.1*5*(M168/30)^0.5,IF(N168&gt;=31.8,0.9*5*(M168/30)^0.5,1*5*(M168/30)^0.5))/EG168/EJ168</f>
        <v>5.5836366123976697</v>
      </c>
      <c r="ES168" s="4">
        <f>ET168*N168</f>
        <v>128.12669511073796</v>
      </c>
      <c r="ET168" s="4">
        <f>AF168^0.5</f>
        <v>2.2360679774997898</v>
      </c>
      <c r="EU168" s="4">
        <f>MIN(EC168)/(4700*M168^0.5)/AE168*ES168</f>
        <v>6.3508183996427492E-2</v>
      </c>
      <c r="EX168" s="4">
        <f>EU168</f>
        <v>6.3508183996427492E-2</v>
      </c>
      <c r="EY168" s="4">
        <f>MIN(0.999, EX168/(0.3*(M168/30)^0.5))</f>
        <v>0.18219713997484452</v>
      </c>
      <c r="EZ168" s="4">
        <f>EP168/1*EY168^0.4</f>
        <v>2.8257502093766078</v>
      </c>
      <c r="FA168" s="4">
        <f>EP168/1.4*(1-EY168^1.4)/(1-EY168)</f>
        <v>4.4271872963631376</v>
      </c>
      <c r="FB168" s="4">
        <f>MAX(0,DQ168*FB$9-ES168)</f>
        <v>430.548304889262</v>
      </c>
      <c r="FC168" s="4">
        <f>MAX(0,DQ168-ES168-FB168)</f>
        <v>186.22500000000002</v>
      </c>
      <c r="FD168" s="4">
        <f>FC168/(1-0.3*(M168/30)^0.5)/200000/N168</f>
        <v>2.4945063339588331E-5</v>
      </c>
      <c r="FE168" s="4">
        <f>MAX(0.5*EP168, (1-2*FD168*(ES168*EZ168+FB168*FA168))/(1/EP168+FD168*FC168))</f>
        <v>4.8266023523326904</v>
      </c>
      <c r="FF168" s="4">
        <f>MIN(4/N168*(1*EZ168*ES168+FA168*FB168+FC168*FE168)+EC168,MAX(J168,AJ168))</f>
        <v>280.38527805076359</v>
      </c>
      <c r="FO168" s="23">
        <f>IF(CU168&lt;0.6,0.6,IF(CU168&lt;0.8,0.8,IF(CU168&lt;1,1,IF(CU168&lt;1.2,1.2,IF(CU168&lt;1.4,1.4,IF(CU168&lt;1.6,1.6,IF(CU168&lt;1.8,1.8,IF(CU168&lt;2,2,2.2))))))))</f>
        <v>1.4</v>
      </c>
      <c r="FP168" s="23">
        <f>IF(CV168&lt;0.6,0.6,IF(CV168&lt;0.8,0.8,IF(CV168&lt;1,1,IF(CV168&lt;1.2,1.2,IF(CV168&lt;1.4,1.4,IF(CV168&lt;1.6,1.6,IF(CV168&lt;1.8,1.8,IF(CV168&lt;2,2,2.2))))))))</f>
        <v>1.8</v>
      </c>
      <c r="FQ168" s="23">
        <f>IF(DA168&lt;0.6,0.6,IF(DA168&lt;0.8,0.8,IF(DA168&lt;1,1,IF(DA168&lt;1.2,1.2,IF(DA168&lt;1.4,1.4,IF(DA168&lt;1.6,1.6,IF(DA168&lt;1.8,1.8,IF(DA168&lt;2,2,2.2))))))))</f>
        <v>1.4</v>
      </c>
      <c r="FR168" s="23">
        <f>IF(CX168&lt;0.6,0.6,IF(CX168&lt;0.8,0.8,IF(CX168&lt;1,1,IF(CX168&lt;1.2,1.2,IF(CX168&lt;1.4,1.4,IF(CX168&lt;1.6,1.6,IF(CX168&lt;1.8,1.8,IF(CX168&lt;2,2,2.2))))))))</f>
        <v>2</v>
      </c>
      <c r="FS168" s="23">
        <f>IF(CY168&lt;0.6,0.6,IF(CY168&lt;0.8,0.8,IF(CY168&lt;1,1,IF(CY168&lt;1.2,1.2,IF(CY168&lt;1.4,1.4,IF(CY168&lt;1.6,1.6,IF(CY168&lt;1.8,1.8,IF(CY168&lt;2,2,2.2))))))))</f>
        <v>2.2000000000000002</v>
      </c>
      <c r="FT168" s="23">
        <f>IF(CZ168&lt;0.6,0.6,IF(CZ168&lt;0.8,0.8,IF(CZ168&lt;1,1,IF(CZ168&lt;1.2,1.2,IF(CZ168&lt;1.4,1.4,IF(CZ168&lt;1.6,1.6,IF(CZ168&lt;1.8,1.8,IF(CZ168&lt;2,2,2.2))))))))</f>
        <v>1.8</v>
      </c>
      <c r="FU168" s="23">
        <f>IF(FS168&lt;1,1,0)</f>
        <v>0</v>
      </c>
      <c r="FV168" s="23"/>
      <c r="GF168" s="4">
        <f>IF(S168&gt;=2.5*25.4,1,1.25)</f>
        <v>1.25</v>
      </c>
      <c r="GG168" s="4">
        <f>IF(AO168&gt;1, 0.05*(18-MIN(8,(W168+N168)/N168))*(1-48000/MAX(60000,(J168*145))*(N168/25.4)^0.75*GH168), 1/12*(14-MIN(8,(W168+N168)/N168)))</f>
        <v>0.37067917575318227</v>
      </c>
      <c r="GH168" s="4">
        <f>MIN(0.3, AM168^2*PI()/4*2*AP168/(N168^2*PI()/4*X168))</f>
        <v>0.3</v>
      </c>
      <c r="GI168" s="4">
        <f>(K168/25.4)/(N168/25.4)^1.5/0.0024*(M168*145)^0.25/GF168/GG168/145</f>
        <v>469.89541821773565</v>
      </c>
    </row>
    <row r="169" spans="1:191" ht="12" customHeight="1" x14ac:dyDescent="0.3">
      <c r="A169" s="25">
        <v>171</v>
      </c>
      <c r="B169" s="24" t="s">
        <v>128</v>
      </c>
      <c r="C169" s="24">
        <v>2017</v>
      </c>
      <c r="D169" s="24" t="s">
        <v>309</v>
      </c>
      <c r="E169" s="24"/>
      <c r="F169" s="115"/>
      <c r="G169" s="109" t="s">
        <v>779</v>
      </c>
      <c r="H169" s="4" t="s">
        <v>178</v>
      </c>
      <c r="I169" s="5">
        <f>K169/N169</f>
        <v>13</v>
      </c>
      <c r="J169" s="100">
        <v>583</v>
      </c>
      <c r="K169" s="7">
        <f>13*N169</f>
        <v>744.9</v>
      </c>
      <c r="L169" s="7">
        <f>K169</f>
        <v>744.9</v>
      </c>
      <c r="M169" s="21">
        <v>40.5</v>
      </c>
      <c r="N169" s="37">
        <v>57.3</v>
      </c>
      <c r="O169" s="7">
        <f>K169/N169</f>
        <v>13</v>
      </c>
      <c r="P169" s="7">
        <f>L169/N169</f>
        <v>13</v>
      </c>
      <c r="Q169" s="7">
        <f>W169+2*S169+2*N169</f>
        <v>699.06000000000006</v>
      </c>
      <c r="R169" s="32">
        <f>S169/N169</f>
        <v>2</v>
      </c>
      <c r="S169" s="7">
        <f>2*N169</f>
        <v>114.6</v>
      </c>
      <c r="T169" s="32">
        <f>U169/N169</f>
        <v>0.97731239092495636</v>
      </c>
      <c r="U169" s="7">
        <f>40+16</f>
        <v>56</v>
      </c>
      <c r="V169" s="32">
        <f>W169/N169</f>
        <v>6.2</v>
      </c>
      <c r="W169" s="7">
        <f>(7.2-1)*N169</f>
        <v>355.26</v>
      </c>
      <c r="X169" s="7">
        <v>2</v>
      </c>
      <c r="Y169" s="7">
        <f>AN169</f>
        <v>0</v>
      </c>
      <c r="Z169" s="32">
        <f>AA169/N169</f>
        <v>6.5724258289703315</v>
      </c>
      <c r="AA169" s="7">
        <f>2/3*K169-0.5*240</f>
        <v>376.59999999999997</v>
      </c>
      <c r="AB169" s="7">
        <f>MIN(S169/N169+0.5, W169/2/N169+0.5)</f>
        <v>2.5</v>
      </c>
      <c r="AC169" s="7">
        <f>S169/N169+0.5</f>
        <v>2.5</v>
      </c>
      <c r="AD169" s="7">
        <f>2040/510</f>
        <v>4</v>
      </c>
      <c r="AE169" s="7">
        <f>2040/510</f>
        <v>4</v>
      </c>
      <c r="AF169" s="7">
        <f>AE169+1</f>
        <v>5</v>
      </c>
      <c r="AG169" s="7">
        <f>N169*AF169^0.5</f>
        <v>128.12669511073796</v>
      </c>
      <c r="AH169" s="7">
        <f>J169</f>
        <v>583</v>
      </c>
      <c r="AI169" s="7">
        <v>25</v>
      </c>
      <c r="AJ169" s="7">
        <f>(550+550)/2</f>
        <v>550</v>
      </c>
      <c r="AK169" s="7"/>
      <c r="AL169" s="4">
        <f>CY169</f>
        <v>1.794720670111744</v>
      </c>
      <c r="AM169" s="7">
        <v>0</v>
      </c>
      <c r="AN169" s="7">
        <v>0</v>
      </c>
      <c r="AO169" s="7">
        <f>L169</f>
        <v>744.9</v>
      </c>
      <c r="AP169" s="7"/>
      <c r="AQ169" s="7"/>
      <c r="AR169" s="7">
        <f>3*AS169/(W169+N169)</f>
        <v>5.4166666666666661</v>
      </c>
      <c r="AS169" s="4">
        <f>K169</f>
        <v>744.9</v>
      </c>
      <c r="AT169" s="4">
        <f>IF(K169*3&gt;W169+N169, Q169, (S169+N169/2)*2+1.5*K169*(2*X169-2))*(3*K169)/(9*K169^2)</f>
        <v>0.31282051282051282</v>
      </c>
      <c r="AU169" s="4">
        <f>MIN(10*M169^0.5*K169^1.5,100*3.9*M169^0.5*K169^(5/3))/(PI()/4*N169^2)/X169</f>
        <v>250.86804884585459</v>
      </c>
      <c r="AV169" s="4">
        <f>MIN(0.7+0.3*(MIN(S169,AA169)+0.5*N169)/1.5/K169,1)</f>
        <v>0.73846153846153839</v>
      </c>
      <c r="AW169" s="4">
        <v>1.25</v>
      </c>
      <c r="AX169" s="4">
        <f>AX168</f>
        <v>1</v>
      </c>
      <c r="AY169" s="38">
        <f>AT169*AV169*AW169*AX169*AU169</f>
        <v>72.440004637146174</v>
      </c>
      <c r="AZ169" s="38">
        <f>AY169</f>
        <v>72.440004637146174</v>
      </c>
      <c r="BA169" s="38">
        <f>IF(M169&lt;50, 0.3*M169^(2/3), 2.12*LN(1+0.1*(M169+8)))</f>
        <v>3.538000882182009</v>
      </c>
      <c r="BB169" s="38">
        <f>AX169* (M169^0.5/AS169^0.5)/(PI()/4*N169^2)/X169/0.72 *(0.7+(MIN(S169,AA169)+0.5*N169)/5/K169) *(3*Q169*K169)</f>
        <v>72.440004637146146</v>
      </c>
      <c r="BC169" s="38">
        <f>AY169/BB169</f>
        <v>1.0000000000000004</v>
      </c>
      <c r="BD169" s="38">
        <f>BH169/BB169</f>
        <v>5.5908334355948135</v>
      </c>
      <c r="BE169" s="4">
        <f>IF(BD169&lt;1,1,0)</f>
        <v>0</v>
      </c>
      <c r="BF169" s="4">
        <f>L169/N169*M169^0.5/0.19</f>
        <v>435.4289126254003</v>
      </c>
      <c r="BG169" s="4">
        <f>MIN(0.6+0.4*(AC169/AB169),2)</f>
        <v>1</v>
      </c>
      <c r="BH169" s="38">
        <f>2*M169*AB169*AD169^0.5*BG169*0.7/0.7</f>
        <v>405</v>
      </c>
      <c r="BI169" s="4">
        <f>MAX(1-0.7*AE169/5,0.3)</f>
        <v>0.44000000000000006</v>
      </c>
      <c r="BJ169" s="4">
        <f>BI169*J169*L169/(J169*N169/2.75/M169^0.5)</f>
        <v>100.10510701257954</v>
      </c>
      <c r="BK169" s="4">
        <f>BH169+BJ169</f>
        <v>505.10510701257954</v>
      </c>
      <c r="BM169" s="4">
        <f>MIN(1.5, 0.75+0.25*MIN(3,MAX(1,S169/N169))+0.4*MIN(1,(40*2*PI()*AM169^2/4/AO169/X169)/N169))</f>
        <v>1.25</v>
      </c>
      <c r="BN169" s="4">
        <f>(3*P169+30)*BM169*M169^0.5</f>
        <v>548.89163889605754</v>
      </c>
      <c r="BP169" s="4">
        <f>3.4/PI()^0.5*M169*AB169*AE169^0.5*BG169</f>
        <v>388.44452827263018</v>
      </c>
      <c r="BQ169" s="4">
        <f>8/3*AH169*AI169^2/(AG169-N169-22)/N169*(AG169^2-N169^2)/(AG169^2-(N169+22)^2)</f>
        <v>450.3525339151019</v>
      </c>
      <c r="BR169" s="4">
        <f>BQ169/BP169</f>
        <v>1.1593741220085394</v>
      </c>
      <c r="BZ169" s="4">
        <f>IF(W169=0,S169,MIN(W169/2,S169))</f>
        <v>114.6</v>
      </c>
      <c r="CD169" s="9"/>
      <c r="CF169" s="9"/>
      <c r="CG169" s="9"/>
      <c r="CH169" s="9">
        <f>IF(W169=0,MIN(S169,U169),MIN(W169/2,S169,U169))</f>
        <v>56</v>
      </c>
      <c r="CI169" s="9">
        <f>MAX(W169/2,S169)</f>
        <v>177.63</v>
      </c>
      <c r="CJ169" s="9">
        <f>(CH169/N169)^0.5*(CI169/CH169)^0.15</f>
        <v>1.1754818988273255</v>
      </c>
      <c r="CK169" s="70">
        <v>0</v>
      </c>
      <c r="CL169" s="9">
        <f>MIN(PI()*AM169^2/4*AN169*2/X169/N169/MAX(0.01,AO169),0.05)</f>
        <v>0</v>
      </c>
      <c r="CM169" s="9">
        <f>MAX(0,CK169*(CL169-0.5/50))</f>
        <v>0</v>
      </c>
      <c r="CN169" s="9">
        <f>MIN(1,(25/N169)^0.3)</f>
        <v>0.77971450958075206</v>
      </c>
      <c r="CO169" s="9">
        <f>IF(J169&gt;=800,0.68,IF(J169&gt;=700,0.75-(J169-700)*0.07/100,IF(J169&gt;=600,0.85-(J169-600)*0.1/100,IF(J169&gt;=500,1-(J169-500)*0.15/100,1.2-(J169-400)*0.2/100))))</f>
        <v>0.87549999999999994</v>
      </c>
      <c r="CP169" s="9">
        <f>1.75*CN169*CO169*(M169/25)^0.5</f>
        <v>1.5205031436526735</v>
      </c>
      <c r="CQ169" s="9">
        <f>MIN((CJ169+CM169)*CP169,2.5*CP169,M169^0.5)</f>
        <v>1.7873239224737623</v>
      </c>
      <c r="CR169" s="9">
        <v>1</v>
      </c>
      <c r="CS169" s="9">
        <f>4*CQ169*P169+60*CQ169</f>
        <v>200.18027931706138</v>
      </c>
      <c r="CU169" s="4">
        <f>AJ169/BF169</f>
        <v>1.263122369811867</v>
      </c>
      <c r="CV169" s="4">
        <f>AJ169/BK169</f>
        <v>1.0888822788843875</v>
      </c>
      <c r="CW169" s="4">
        <f>AJ169/BN169</f>
        <v>1.0020192712466374</v>
      </c>
      <c r="CX169" s="4">
        <f>AJ169/CS169</f>
        <v>2.7475233917965838</v>
      </c>
      <c r="CY169" s="4">
        <f>AJ169/DZ169</f>
        <v>1.794720670111744</v>
      </c>
      <c r="CZ169" s="4">
        <f>AJ169/EL169</f>
        <v>1.353732099805089</v>
      </c>
      <c r="DA169" s="4">
        <f>AJ169/GI169</f>
        <v>1.3641026017932405</v>
      </c>
      <c r="DC169" s="4">
        <f>CU169</f>
        <v>1.263122369811867</v>
      </c>
      <c r="DD169" s="4">
        <f>CV169</f>
        <v>1.0888822788843875</v>
      </c>
      <c r="DE169" s="4">
        <f>CX169</f>
        <v>2.7475233917965838</v>
      </c>
      <c r="DF169" s="4">
        <f>DA169</f>
        <v>1.3641026017932405</v>
      </c>
      <c r="DG169" s="4">
        <f>CY169</f>
        <v>1.794720670111744</v>
      </c>
      <c r="DH169" s="4">
        <f>CZ169</f>
        <v>1.353732099805089</v>
      </c>
      <c r="DP169" s="4">
        <f>AN169</f>
        <v>0</v>
      </c>
      <c r="DQ169" s="4">
        <f>L169</f>
        <v>744.9</v>
      </c>
      <c r="DT169" s="4">
        <f>K169/4/(1-0.3*(M169/30)^0.5)/200000/N169</f>
        <v>2.4945063339588324E-5</v>
      </c>
      <c r="DU169" s="4">
        <f>EP169</f>
        <v>5.809475019311126</v>
      </c>
      <c r="DV169" s="4">
        <f>EC169*AG169/257/M169/AD169</f>
        <v>0.22293073901052188</v>
      </c>
      <c r="DW169" s="4">
        <f>DU169*DV169^0.4</f>
        <v>3.187167372758255</v>
      </c>
      <c r="DX169" s="4">
        <f>MIN(DU169, DU169/1.4*(1-DV169^1.4)/(1-DV169))</f>
        <v>4.6869856280425894</v>
      </c>
      <c r="DY169" s="4">
        <f>MAX(DU169/2, (4-DT169*(8*AG169*(DW169-DX169)+6*K169*DX169))/(4+DT169*K169*DU169)*DU169)</f>
        <v>4.9720548045165591</v>
      </c>
      <c r="DZ169" s="38">
        <f>MIN(1/N169*(4*AG169*(DW169-DX169)+(3*DX169+DY169)*K169)+EC169 -FJ169,MAX(J169,AJ169))</f>
        <v>306.45437429867877</v>
      </c>
      <c r="EA169" s="4">
        <f>DZ169/FF169</f>
        <v>1.0001256139030541</v>
      </c>
      <c r="EB169" s="4">
        <f>AG169/N169</f>
        <v>2.2360679774997898</v>
      </c>
      <c r="EC169" s="4">
        <f>MIN(EB$10*BB169)</f>
        <v>72.440004637146146</v>
      </c>
      <c r="EG169" s="4">
        <f>IF(U169&gt;1*N169,0.85,1)</f>
        <v>1</v>
      </c>
      <c r="EH169" s="4">
        <f>MIN(1,MAX(0.7,(1-0.1*(BZ169-1*N169)/N169)))</f>
        <v>0.9</v>
      </c>
      <c r="EI169" s="4">
        <f>MIN(1,MAX(0.7,1-0.3*(PI()*AM169^2/4*AQ169*2-0.25*PI()/4*N169^2)/(PI()/4*N169^2)))</f>
        <v>1</v>
      </c>
      <c r="EJ169" s="4">
        <f>IF(EH169*EI169&lt;0.7,0.7,EH169*EI169)</f>
        <v>0.9</v>
      </c>
      <c r="EL169" s="4">
        <f>MIN(DU169/N169*3*K169+EM169-FJ169,MAX(J169,AJ169))</f>
        <v>406.28422719620022</v>
      </c>
      <c r="EM169" s="25">
        <f>13.3*Q169*K169^0.5*M169^0.5/X169/N169^2*(0.7+S169/5/K169)</f>
        <v>179.7147014430663</v>
      </c>
      <c r="EP169" s="4">
        <f>IF(N169&lt;22.2,1.1*5*(M169/30)^0.5,IF(N169&gt;=31.8,0.9*5*(M169/30)^0.5,1*5*(M169/30)^0.5))/EG169/EJ169</f>
        <v>5.809475019311126</v>
      </c>
      <c r="ES169" s="4">
        <f>ET169*N169</f>
        <v>128.12669511073796</v>
      </c>
      <c r="ET169" s="4">
        <f>AF169^0.5</f>
        <v>2.2360679774997898</v>
      </c>
      <c r="EU169" s="4">
        <f>MIN(EC169)/(4700*M169^0.5)/AE169*ES169</f>
        <v>7.7576955670229333E-2</v>
      </c>
      <c r="EX169" s="4">
        <f>EU169</f>
        <v>7.7576955670229333E-2</v>
      </c>
      <c r="EY169" s="4">
        <f>MIN(0.999, EX169/(0.3*(M169/30)^0.5))</f>
        <v>0.22255870915575501</v>
      </c>
      <c r="EZ169" s="4">
        <f>EP169/1*EY169^0.4</f>
        <v>3.185038791346098</v>
      </c>
      <c r="FA169" s="4">
        <f>EP169/1.4*(1-EY169^1.4)/(1-EY169)</f>
        <v>4.6862674091158993</v>
      </c>
      <c r="FB169" s="4">
        <f>MAX(0,DQ169*FB$9-ES169)</f>
        <v>430.548304889262</v>
      </c>
      <c r="FC169" s="4">
        <f>MAX(0,DQ169-ES169-FB169)</f>
        <v>186.22500000000002</v>
      </c>
      <c r="FD169" s="4">
        <f>FC169/(1-0.3*(M169/30)^0.5)/200000/N169</f>
        <v>2.4945063339588331E-5</v>
      </c>
      <c r="FE169" s="4">
        <f>MAX(0.5*EP169, (1-2*FD169*(ES169*EZ169+FB169*FA169))/(1/EP169+FD169*FC169))</f>
        <v>4.9722190436342535</v>
      </c>
      <c r="FF169" s="4">
        <f>MIN(4/N169*(1*EZ169*ES169+FA169*FB169+FC169*FE169)+EC169,MAX(J169,AJ169))</f>
        <v>306.41588420350621</v>
      </c>
      <c r="FO169" s="23">
        <f>IF(CU169&lt;0.6,0.6,IF(CU169&lt;0.8,0.8,IF(CU169&lt;1,1,IF(CU169&lt;1.2,1.2,IF(CU169&lt;1.4,1.4,IF(CU169&lt;1.6,1.6,IF(CU169&lt;1.8,1.8,IF(CU169&lt;2,2,2.2))))))))</f>
        <v>1.4</v>
      </c>
      <c r="FP169" s="23">
        <f>IF(CV169&lt;0.6,0.6,IF(CV169&lt;0.8,0.8,IF(CV169&lt;1,1,IF(CV169&lt;1.2,1.2,IF(CV169&lt;1.4,1.4,IF(CV169&lt;1.6,1.6,IF(CV169&lt;1.8,1.8,IF(CV169&lt;2,2,2.2))))))))</f>
        <v>1.2</v>
      </c>
      <c r="FQ169" s="23">
        <f>IF(DA169&lt;0.6,0.6,IF(DA169&lt;0.8,0.8,IF(DA169&lt;1,1,IF(DA169&lt;1.2,1.2,IF(DA169&lt;1.4,1.4,IF(DA169&lt;1.6,1.6,IF(DA169&lt;1.8,1.8,IF(DA169&lt;2,2,2.2))))))))</f>
        <v>1.4</v>
      </c>
      <c r="FR169" s="23">
        <f>IF(CX169&lt;0.6,0.6,IF(CX169&lt;0.8,0.8,IF(CX169&lt;1,1,IF(CX169&lt;1.2,1.2,IF(CX169&lt;1.4,1.4,IF(CX169&lt;1.6,1.6,IF(CX169&lt;1.8,1.8,IF(CX169&lt;2,2,2.2))))))))</f>
        <v>2.2000000000000002</v>
      </c>
      <c r="FS169" s="23">
        <f>IF(CY169&lt;0.6,0.6,IF(CY169&lt;0.8,0.8,IF(CY169&lt;1,1,IF(CY169&lt;1.2,1.2,IF(CY169&lt;1.4,1.4,IF(CY169&lt;1.6,1.6,IF(CY169&lt;1.8,1.8,IF(CY169&lt;2,2,2.2))))))))</f>
        <v>1.8</v>
      </c>
      <c r="FT169" s="23">
        <f>IF(CZ169&lt;0.6,0.6,IF(CZ169&lt;0.8,0.8,IF(CZ169&lt;1,1,IF(CZ169&lt;1.2,1.2,IF(CZ169&lt;1.4,1.4,IF(CZ169&lt;1.6,1.6,IF(CZ169&lt;1.8,1.8,IF(CZ169&lt;2,2,2.2))))))))</f>
        <v>1.4</v>
      </c>
      <c r="FU169" s="23">
        <f>IF(FS169&lt;1,1,0)</f>
        <v>0</v>
      </c>
      <c r="FV169" s="23"/>
      <c r="GF169" s="4">
        <f>IF(S169&gt;=2.5*25.4,1,1.25)</f>
        <v>1</v>
      </c>
      <c r="GG169" s="4">
        <f>IF(AO169&gt;1, 0.05*(18-MIN(8,(W169+N169)/N169))*(1-48000/MAX(60000,(J169*145))*(N169/25.4)^0.75*GH169), 1/12*(14-MIN(8,(W169+N169)/N169)))</f>
        <v>0.54</v>
      </c>
      <c r="GH169" s="4">
        <f>MIN(0.3, AM169^2*PI()/4*2*AP169/(N169^2*PI()/4*X169))</f>
        <v>0</v>
      </c>
      <c r="GI169" s="4">
        <f>(K169/25.4)/(N169/25.4)^1.5/0.0024*(M169*145)^0.25/GF169/GG169/145</f>
        <v>403.195477581359</v>
      </c>
    </row>
    <row r="170" spans="1:191" ht="12" customHeight="1" x14ac:dyDescent="0.3">
      <c r="A170" s="25">
        <v>157</v>
      </c>
      <c r="B170" s="24" t="s">
        <v>128</v>
      </c>
      <c r="C170" s="24">
        <v>2017</v>
      </c>
      <c r="D170" s="24" t="s">
        <v>309</v>
      </c>
      <c r="E170" s="24"/>
      <c r="F170" s="115" t="s">
        <v>784</v>
      </c>
      <c r="G170" s="109" t="s">
        <v>774</v>
      </c>
      <c r="H170" s="4" t="s">
        <v>164</v>
      </c>
      <c r="I170" s="5">
        <f>K170/N170</f>
        <v>16</v>
      </c>
      <c r="J170" s="72">
        <v>606</v>
      </c>
      <c r="K170" s="7">
        <f>16*N170</f>
        <v>688</v>
      </c>
      <c r="L170" s="7">
        <f>K170</f>
        <v>688</v>
      </c>
      <c r="M170" s="103">
        <v>45.8</v>
      </c>
      <c r="N170" s="88">
        <v>43</v>
      </c>
      <c r="O170" s="7">
        <f>K170/N170</f>
        <v>16</v>
      </c>
      <c r="P170" s="7">
        <f>L170/N170</f>
        <v>16</v>
      </c>
      <c r="Q170" s="7">
        <f>W170+2*S170+2*N170</f>
        <v>344</v>
      </c>
      <c r="R170" s="32">
        <f>S170/N170</f>
        <v>1</v>
      </c>
      <c r="S170" s="7">
        <f>1*N170</f>
        <v>43</v>
      </c>
      <c r="T170" s="32">
        <f>U170/N170</f>
        <v>1.3023255813953489</v>
      </c>
      <c r="U170" s="7">
        <f>40+16</f>
        <v>56</v>
      </c>
      <c r="V170" s="32">
        <f>W170/N170</f>
        <v>4</v>
      </c>
      <c r="W170" s="7">
        <f>(5-1)*N170</f>
        <v>172</v>
      </c>
      <c r="X170" s="7">
        <v>2</v>
      </c>
      <c r="Y170" s="7">
        <f>AN170</f>
        <v>0</v>
      </c>
      <c r="Z170" s="32">
        <f>AA170/N170</f>
        <v>8.3410852713178283</v>
      </c>
      <c r="AA170" s="7">
        <f>2/3*K170-0.5*200</f>
        <v>358.66666666666663</v>
      </c>
      <c r="AB170" s="7">
        <f>MIN(S170/N170+0.5, W170/2/N170+0.5)</f>
        <v>1.5</v>
      </c>
      <c r="AC170" s="7">
        <f>S170/N170+0.5</f>
        <v>1.5</v>
      </c>
      <c r="AD170" s="7">
        <f>2040/510</f>
        <v>4</v>
      </c>
      <c r="AE170" s="7">
        <f>2040/510</f>
        <v>4</v>
      </c>
      <c r="AF170" s="7">
        <f>AE170+1</f>
        <v>5</v>
      </c>
      <c r="AG170" s="7">
        <f>N170*AF170^0.5</f>
        <v>96.150923032490965</v>
      </c>
      <c r="AH170" s="7">
        <f>J170</f>
        <v>606</v>
      </c>
      <c r="AI170" s="7">
        <v>19</v>
      </c>
      <c r="AJ170" s="7">
        <f>(572+572)/2</f>
        <v>572</v>
      </c>
      <c r="AK170" s="7"/>
      <c r="AL170" s="4">
        <f>CY170</f>
        <v>1.5380197612821445</v>
      </c>
      <c r="AM170" s="7">
        <v>0</v>
      </c>
      <c r="AN170" s="7">
        <v>0</v>
      </c>
      <c r="AO170" s="7">
        <f>L170</f>
        <v>688</v>
      </c>
      <c r="AP170" s="7"/>
      <c r="AQ170" s="7"/>
      <c r="AR170" s="7">
        <f>3*AS170/(W170+N170)</f>
        <v>9.6</v>
      </c>
      <c r="AS170" s="4">
        <f>K170</f>
        <v>688</v>
      </c>
      <c r="AT170" s="4">
        <f>IF(K170*3&gt;W170+N170, Q170, (S170+N170/2)*2+1.5*K170*(2*X170-2))*(3*K170)/(9*K170^2)</f>
        <v>0.16666666666666666</v>
      </c>
      <c r="AU170" s="4">
        <f>MIN(10*M170^0.5*K170^1.5,100*3.9*M170^0.5*K170^(5/3))/(PI()/4*N170^2)/X170</f>
        <v>420.49284288370211</v>
      </c>
      <c r="AV170" s="4">
        <f>MIN(0.7+0.3*(MIN(S170,AA170)+0.5*N170)/1.5/K170,1)</f>
        <v>0.71875</v>
      </c>
      <c r="AW170" s="4">
        <v>1.25</v>
      </c>
      <c r="AX170" s="4">
        <f>AX169</f>
        <v>1</v>
      </c>
      <c r="AY170" s="38">
        <f>AT170*AV170*AW170*AX170*AU170</f>
        <v>62.964423088054346</v>
      </c>
      <c r="AZ170" s="38">
        <f>AY170</f>
        <v>62.964423088054346</v>
      </c>
      <c r="BA170" s="38">
        <f>IF(M170&lt;50, 0.3*M170^(2/3), 2.12*LN(1+0.1*(M170+8)))</f>
        <v>3.8402978284624769</v>
      </c>
      <c r="BB170" s="38">
        <f>AX170* (M170^0.5/AS170^0.5)/(PI()/4*N170^2)/X170/0.72 *(0.7+(MIN(S170,AA170)+0.5*N170)/5/K170) *(3*Q170*K170)</f>
        <v>62.964423088054367</v>
      </c>
      <c r="BC170" s="38">
        <f>AY170/BB170</f>
        <v>0.99999999999999967</v>
      </c>
      <c r="BD170" s="38">
        <f>BH170/BB170</f>
        <v>4.3643693775403642</v>
      </c>
      <c r="BE170" s="4">
        <f>IF(BD170&lt;1,1,0)</f>
        <v>0</v>
      </c>
      <c r="BF170" s="4">
        <f>L170/N170*M170^0.5/0.19</f>
        <v>569.90060852845909</v>
      </c>
      <c r="BG170" s="4">
        <f>MIN(0.6+0.4*(AC170/AB170),2)</f>
        <v>1</v>
      </c>
      <c r="BH170" s="38">
        <f>2*M170*AB170*AD170^0.5*BG170*0.7/0.7</f>
        <v>274.79999999999995</v>
      </c>
      <c r="BI170" s="4">
        <f>MAX(1-0.7*AE170/5,0.3)</f>
        <v>0.44000000000000006</v>
      </c>
      <c r="BJ170" s="4">
        <f>BI170*J170*L170/(J170*N170/2.75/M170^0.5)</f>
        <v>131.02014990069279</v>
      </c>
      <c r="BK170" s="4">
        <f>BH170+BJ170</f>
        <v>405.82014990069274</v>
      </c>
      <c r="BM170" s="4">
        <f>MIN(1.5, 0.75+0.25*MIN(3,MAX(1,S170/N170))+0.4*MIN(1,(40*2*PI()*AM170^2/4/AO170/X170)/N170))</f>
        <v>1</v>
      </c>
      <c r="BN170" s="4">
        <f>(3*P170+30)*BM170*M170^0.5</f>
        <v>527.87043864948532</v>
      </c>
      <c r="BP170" s="4">
        <f>3.4/PI()^0.5*M170*AB170*AE170^0.5*BG170</f>
        <v>263.56680585016983</v>
      </c>
      <c r="BQ170" s="4">
        <f>8/3*AH170*AI170^2/(AG170-N170-22)/N170*(AG170^2-N170^2)/(AG170^2-(N170+22)^2)</f>
        <v>641.65616063635548</v>
      </c>
      <c r="BR170" s="4">
        <f>BQ170/BP170</f>
        <v>2.4345105164764891</v>
      </c>
      <c r="BZ170" s="4">
        <f>IF(W170=0,S170,MIN(W170/2,S170))</f>
        <v>43</v>
      </c>
      <c r="CD170" s="9"/>
      <c r="CF170" s="9"/>
      <c r="CG170" s="9"/>
      <c r="CH170" s="9">
        <f>IF(W170=0,MIN(S170,U170),MIN(W170/2,S170,U170))</f>
        <v>43</v>
      </c>
      <c r="CI170" s="9">
        <f>MAX(W170/2,S170)</f>
        <v>86</v>
      </c>
      <c r="CJ170" s="9">
        <f>(CH170/N170)^0.5*(CI170/CH170)^0.15</f>
        <v>1.1095694720678451</v>
      </c>
      <c r="CK170" s="70">
        <v>0</v>
      </c>
      <c r="CL170" s="9">
        <f>MIN(PI()*AM170^2/4*AN170*2/X170/N170/MAX(0.01,AO170),0.05)</f>
        <v>0</v>
      </c>
      <c r="CM170" s="9">
        <f>MAX(0,CK170*(CL170-0.5/50))</f>
        <v>0</v>
      </c>
      <c r="CN170" s="9">
        <f>MIN(1,(25/N170)^0.3)</f>
        <v>0.84984840943171969</v>
      </c>
      <c r="CO170" s="9">
        <f>IF(J170&gt;=800,0.68,IF(J170&gt;=700,0.75-(J170-700)*0.07/100,IF(J170&gt;=600,0.85-(J170-600)*0.1/100,IF(J170&gt;=500,1-(J170-500)*0.15/100,1.2-(J170-400)*0.2/100))))</f>
        <v>0.84399999999999997</v>
      </c>
      <c r="CP170" s="9">
        <f>1.75*CN170*CO170*(M170/25)^0.5</f>
        <v>1.6989660317871056</v>
      </c>
      <c r="CQ170" s="9">
        <f>MIN((CJ170+CM170)*CP170,2.5*CP170,M170^0.5)</f>
        <v>1.8851208429512205</v>
      </c>
      <c r="CR170" s="9">
        <v>1</v>
      </c>
      <c r="CS170" s="9">
        <f>4*CQ170*P170+60*CQ170</f>
        <v>233.75498452595133</v>
      </c>
      <c r="CU170" s="4">
        <f>AJ170/BF170</f>
        <v>1.0036837852778606</v>
      </c>
      <c r="CV170" s="4">
        <f>AJ170/BK170</f>
        <v>1.4094913723233622</v>
      </c>
      <c r="CW170" s="4">
        <f>AJ170/BN170</f>
        <v>1.0835992283701597</v>
      </c>
      <c r="CX170" s="4">
        <f>AJ170/CS170</f>
        <v>2.4470066431310555</v>
      </c>
      <c r="CY170" s="4">
        <f>AJ170/DZ170</f>
        <v>1.5380197612821445</v>
      </c>
      <c r="CZ170" s="4">
        <f>AJ170/EL170</f>
        <v>1.2158256317980205</v>
      </c>
      <c r="DA170" s="4">
        <f>AJ170/GI170</f>
        <v>1.4569265550499924</v>
      </c>
      <c r="DC170" s="4">
        <f>CU170</f>
        <v>1.0036837852778606</v>
      </c>
      <c r="DD170" s="4">
        <f>CV170</f>
        <v>1.4094913723233622</v>
      </c>
      <c r="DE170" s="4">
        <f>CX170</f>
        <v>2.4470066431310555</v>
      </c>
      <c r="DF170" s="4">
        <f>DA170</f>
        <v>1.4569265550499924</v>
      </c>
      <c r="DG170" s="4">
        <f>CY170</f>
        <v>1.5380197612821445</v>
      </c>
      <c r="DH170" s="4">
        <f>CZ170</f>
        <v>1.2158256317980205</v>
      </c>
      <c r="DP170" s="4">
        <f>AN170</f>
        <v>0</v>
      </c>
      <c r="DQ170" s="4">
        <f>L170</f>
        <v>688</v>
      </c>
      <c r="DT170" s="4">
        <f>K170/4/(1-0.3*(M170/30)^0.5)/200000/N170</f>
        <v>3.1780084856411147E-5</v>
      </c>
      <c r="DU170" s="4">
        <f>EP170</f>
        <v>6.5413245857119913</v>
      </c>
      <c r="DV170" s="4">
        <f>EC170*AG170/257/M170/AD170</f>
        <v>0.12858493615713543</v>
      </c>
      <c r="DW170" s="4">
        <f>DU170*DV170^0.4</f>
        <v>2.8796634696676926</v>
      </c>
      <c r="DX170" s="4">
        <f>MIN(DU170, DU170/1.4*(1-DV170^1.4)/(1-DV170))</f>
        <v>5.058310572212914</v>
      </c>
      <c r="DY170" s="4">
        <f>MAX(DU170/2, (4-DT170*(8*AG170*(DW170-DX170)+6*K170*DX170))/(4+DT170*K170*DU170)*DU170)</f>
        <v>5.3518672802806284</v>
      </c>
      <c r="DZ170" s="38">
        <f>MIN(1/N170*(4*AG170*(DW170-DX170)+(3*DX170+DY170)*K170)+EC170 -FJ170,MAX(J170,AJ170))</f>
        <v>371.90679495766801</v>
      </c>
      <c r="EA170" s="4">
        <f>DZ170/FF170</f>
        <v>1.0000955280222568</v>
      </c>
      <c r="EB170" s="4">
        <f>AG170/N170</f>
        <v>2.2360679774997898</v>
      </c>
      <c r="EC170" s="4">
        <f>MIN(EB$10*BB170)</f>
        <v>62.964423088054367</v>
      </c>
      <c r="EG170" s="4">
        <f>IF(U170&gt;1*N170,0.85,1)</f>
        <v>0.85</v>
      </c>
      <c r="EH170" s="4">
        <f>MIN(1,MAX(0.7,(1-0.1*(BZ170-1*N170)/N170)))</f>
        <v>1</v>
      </c>
      <c r="EI170" s="4">
        <f>MIN(1,MAX(0.7,1-0.3*(PI()*AM170^2/4*AQ170*2-0.25*PI()/4*N170^2)/(PI()/4*N170^2)))</f>
        <v>1</v>
      </c>
      <c r="EJ170" s="4">
        <f>IF(EH170*EI170&lt;0.7,0.7,EH170*EI170)</f>
        <v>1</v>
      </c>
      <c r="EL170" s="4">
        <f>MIN(DU170/N170*3*K170+EM170-FJ170,MAX(J170,AJ170))</f>
        <v>470.46219872342988</v>
      </c>
      <c r="EM170" s="25">
        <f>13.3*Q170*K170^0.5*M170^0.5/X170/N170^2*(0.7+S170/5/K170)</f>
        <v>156.47861860925426</v>
      </c>
      <c r="EP170" s="4">
        <f>IF(N170&lt;22.2,1.1*5*(M170/30)^0.5,IF(N170&gt;=31.8,0.9*5*(M170/30)^0.5,1*5*(M170/30)^0.5))/EG170/EJ170</f>
        <v>6.5413245857119913</v>
      </c>
      <c r="ES170" s="4">
        <f>ET170*N170</f>
        <v>96.150923032490965</v>
      </c>
      <c r="ET170" s="4">
        <f>AF170^0.5</f>
        <v>2.2360679774997898</v>
      </c>
      <c r="EU170" s="4">
        <f>MIN(EC170)/(4700*M170^0.5)/AE170*ES170</f>
        <v>4.7583687860929251E-2</v>
      </c>
      <c r="EX170" s="4">
        <f>EU170</f>
        <v>4.7583687860929251E-2</v>
      </c>
      <c r="EY170" s="4">
        <f>MIN(0.999, EX170/(0.3*(M170/30)^0.5))</f>
        <v>0.12837035186366347</v>
      </c>
      <c r="EZ170" s="4">
        <f>EP170/1*EY170^0.4</f>
        <v>2.8777402577939788</v>
      </c>
      <c r="FA170" s="4">
        <f>EP170/1.4*(1-EY170^1.4)/(1-EY170)</f>
        <v>5.0577739799098751</v>
      </c>
      <c r="FB170" s="4">
        <f>MAX(0,DQ170*FB$9-ES170)</f>
        <v>419.84907696750906</v>
      </c>
      <c r="FC170" s="4">
        <f>MAX(0,DQ170-ES170-FB170)</f>
        <v>172</v>
      </c>
      <c r="FD170" s="4">
        <f>FC170/(1-0.3*(M170/30)^0.5)/200000/N170</f>
        <v>3.1780084856411147E-5</v>
      </c>
      <c r="FE170" s="4">
        <f>MAX(0.5*EP170, (1-2*FD170*(ES170*EZ170+FB170*FA170))/(1/EP170+FD170*FC170))</f>
        <v>5.3520319431547012</v>
      </c>
      <c r="FF170" s="4">
        <f>MIN(4/N170*(1*EZ170*ES170+FA170*FB170+FC170*FE170)+EC170,MAX(J170,AJ170))</f>
        <v>371.87127083063149</v>
      </c>
      <c r="FO170" s="23">
        <f>IF(CU170&lt;0.6,0.6,IF(CU170&lt;0.8,0.8,IF(CU170&lt;1,1,IF(CU170&lt;1.2,1.2,IF(CU170&lt;1.4,1.4,IF(CU170&lt;1.6,1.6,IF(CU170&lt;1.8,1.8,IF(CU170&lt;2,2,2.2))))))))</f>
        <v>1.2</v>
      </c>
      <c r="FP170" s="23">
        <f>IF(CV170&lt;0.6,0.6,IF(CV170&lt;0.8,0.8,IF(CV170&lt;1,1,IF(CV170&lt;1.2,1.2,IF(CV170&lt;1.4,1.4,IF(CV170&lt;1.6,1.6,IF(CV170&lt;1.8,1.8,IF(CV170&lt;2,2,2.2))))))))</f>
        <v>1.6</v>
      </c>
      <c r="FQ170" s="23">
        <f>IF(DA170&lt;0.6,0.6,IF(DA170&lt;0.8,0.8,IF(DA170&lt;1,1,IF(DA170&lt;1.2,1.2,IF(DA170&lt;1.4,1.4,IF(DA170&lt;1.6,1.6,IF(DA170&lt;1.8,1.8,IF(DA170&lt;2,2,2.2))))))))</f>
        <v>1.6</v>
      </c>
      <c r="FR170" s="23">
        <f>IF(CX170&lt;0.6,0.6,IF(CX170&lt;0.8,0.8,IF(CX170&lt;1,1,IF(CX170&lt;1.2,1.2,IF(CX170&lt;1.4,1.4,IF(CX170&lt;1.6,1.6,IF(CX170&lt;1.8,1.8,IF(CX170&lt;2,2,2.2))))))))</f>
        <v>2.2000000000000002</v>
      </c>
      <c r="FS170" s="23">
        <f>IF(CY170&lt;0.6,0.6,IF(CY170&lt;0.8,0.8,IF(CY170&lt;1,1,IF(CY170&lt;1.2,1.2,IF(CY170&lt;1.4,1.4,IF(CY170&lt;1.6,1.6,IF(CY170&lt;1.8,1.8,IF(CY170&lt;2,2,2.2))))))))</f>
        <v>1.6</v>
      </c>
      <c r="FT170" s="23">
        <f>IF(CZ170&lt;0.6,0.6,IF(CZ170&lt;0.8,0.8,IF(CZ170&lt;1,1,IF(CZ170&lt;1.2,1.2,IF(CZ170&lt;1.4,1.4,IF(CZ170&lt;1.6,1.6,IF(CZ170&lt;1.8,1.8,IF(CZ170&lt;2,2,2.2))))))))</f>
        <v>1.4</v>
      </c>
      <c r="FU170" s="23">
        <f>IF(FS170&lt;1,1,0)</f>
        <v>0</v>
      </c>
      <c r="FV170" s="23"/>
      <c r="GF170" s="4">
        <f>IF(S170&gt;=2.5*25.4,1,1.25)</f>
        <v>1.25</v>
      </c>
      <c r="GG170" s="4">
        <f>IF(AO170&gt;1, 0.05*(18-MIN(8,(W170+N170)/N170))*(1-48000/MAX(60000,(J170*145))*(N170/25.4)^0.75*GH170), 1/12*(14-MIN(8,(W170+N170)/N170)))</f>
        <v>0.65</v>
      </c>
      <c r="GH170" s="4">
        <f>MIN(0.3, AM170^2*PI()/4*2*AP170/(N170^2*PI()/4*X170))</f>
        <v>0</v>
      </c>
      <c r="GI170" s="4">
        <f>(K170/25.4)/(N170/25.4)^1.5/0.0024*(M170*145)^0.25/GF170/GG170/145</f>
        <v>392.60729926113032</v>
      </c>
    </row>
    <row r="171" spans="1:191" ht="12" customHeight="1" x14ac:dyDescent="0.3">
      <c r="A171" s="25">
        <v>158</v>
      </c>
      <c r="B171" s="24" t="s">
        <v>128</v>
      </c>
      <c r="C171" s="24">
        <v>2017</v>
      </c>
      <c r="D171" s="24" t="s">
        <v>309</v>
      </c>
      <c r="E171" s="24"/>
      <c r="F171" s="115" t="s">
        <v>784</v>
      </c>
      <c r="G171" s="109" t="s">
        <v>774</v>
      </c>
      <c r="H171" s="4" t="s">
        <v>165</v>
      </c>
      <c r="I171" s="5">
        <f>K171/N171</f>
        <v>16</v>
      </c>
      <c r="J171" s="72">
        <v>606</v>
      </c>
      <c r="K171" s="7">
        <f>16*N171</f>
        <v>688</v>
      </c>
      <c r="L171" s="7">
        <f>K171</f>
        <v>688</v>
      </c>
      <c r="M171" s="103">
        <v>45.8</v>
      </c>
      <c r="N171" s="88">
        <v>43</v>
      </c>
      <c r="O171" s="7">
        <f>K171/N171</f>
        <v>16</v>
      </c>
      <c r="P171" s="7">
        <f>L171/N171</f>
        <v>16</v>
      </c>
      <c r="Q171" s="7">
        <f>W171+2*S171+2*N171</f>
        <v>430</v>
      </c>
      <c r="R171" s="32">
        <f>S171/N171</f>
        <v>2</v>
      </c>
      <c r="S171" s="7">
        <f>2*N171</f>
        <v>86</v>
      </c>
      <c r="T171" s="32">
        <f>U171/N171</f>
        <v>1.3023255813953489</v>
      </c>
      <c r="U171" s="7">
        <f>40+16</f>
        <v>56</v>
      </c>
      <c r="V171" s="32">
        <f>W171/N171</f>
        <v>4</v>
      </c>
      <c r="W171" s="7">
        <f>(5-1)*N171</f>
        <v>172</v>
      </c>
      <c r="X171" s="7">
        <v>2</v>
      </c>
      <c r="Y171" s="7">
        <f>AN171</f>
        <v>0</v>
      </c>
      <c r="Z171" s="32">
        <f>AA171/N171</f>
        <v>8.3410852713178283</v>
      </c>
      <c r="AA171" s="7">
        <f>2/3*K171-0.5*200</f>
        <v>358.66666666666663</v>
      </c>
      <c r="AB171" s="7">
        <f>MIN(S171/N171+0.5, W171/2/N171+0.5)</f>
        <v>2.5</v>
      </c>
      <c r="AC171" s="7">
        <f>S171/N171+0.5</f>
        <v>2.5</v>
      </c>
      <c r="AD171" s="7">
        <f>2040/510</f>
        <v>4</v>
      </c>
      <c r="AE171" s="7">
        <f>2040/510</f>
        <v>4</v>
      </c>
      <c r="AF171" s="7">
        <f>AE171+1</f>
        <v>5</v>
      </c>
      <c r="AG171" s="7">
        <f>N171*AF171^0.5</f>
        <v>96.150923032490965</v>
      </c>
      <c r="AH171" s="7">
        <f>J171</f>
        <v>606</v>
      </c>
      <c r="AI171" s="7">
        <v>19</v>
      </c>
      <c r="AJ171" s="7">
        <f>(607+607)/2</f>
        <v>607</v>
      </c>
      <c r="AK171" s="7"/>
      <c r="AL171" s="4">
        <f>CY171</f>
        <v>1.4210468912230823</v>
      </c>
      <c r="AM171" s="7">
        <v>0</v>
      </c>
      <c r="AN171" s="7">
        <v>0</v>
      </c>
      <c r="AO171" s="7">
        <f>L171</f>
        <v>688</v>
      </c>
      <c r="AP171" s="7"/>
      <c r="AQ171" s="7"/>
      <c r="AR171" s="7">
        <f>3*AS171/(W171+N171)</f>
        <v>9.6</v>
      </c>
      <c r="AS171" s="4">
        <f>K171</f>
        <v>688</v>
      </c>
      <c r="AT171" s="4">
        <f>IF(K171*3&gt;W171+N171, Q171, (S171+N171/2)*2+1.5*K171*(2*X171-2))*(3*K171)/(9*K171^2)</f>
        <v>0.20833333333333334</v>
      </c>
      <c r="AU171" s="4">
        <f>MIN(10*M171^0.5*K171^1.5,100*3.9*M171^0.5*K171^(5/3))/(PI()/4*N171^2)/X171</f>
        <v>420.49284288370211</v>
      </c>
      <c r="AV171" s="4">
        <f>MIN(0.7+0.3*(MIN(S171,AA171)+0.5*N171)/1.5/K171,1)</f>
        <v>0.73124999999999996</v>
      </c>
      <c r="AW171" s="4">
        <v>1.25</v>
      </c>
      <c r="AX171" s="4">
        <f>AX170</f>
        <v>1</v>
      </c>
      <c r="AY171" s="38">
        <f>AT171*AV171*AW171*AX171*AU171</f>
        <v>80.074320666329996</v>
      </c>
      <c r="AZ171" s="38">
        <f>AY171</f>
        <v>80.074320666329996</v>
      </c>
      <c r="BA171" s="38">
        <f>IF(M171&lt;50, 0.3*M171^(2/3), 2.12*LN(1+0.1*(M171+8)))</f>
        <v>3.8402978284624769</v>
      </c>
      <c r="BB171" s="38">
        <f>AX171* (M171^0.5/AS171^0.5)/(PI()/4*N171^2)/X171/0.72 *(0.7+(MIN(S171,AA171)+0.5*N171)/5/K171) *(3*Q171*K171)</f>
        <v>80.074320666329996</v>
      </c>
      <c r="BC171" s="38">
        <f>AY171/BB171</f>
        <v>1</v>
      </c>
      <c r="BD171" s="38">
        <f>BH171/BB171</f>
        <v>5.7196863637281146</v>
      </c>
      <c r="BE171" s="4">
        <f>IF(BD171&lt;1,1,0)</f>
        <v>0</v>
      </c>
      <c r="BF171" s="4">
        <f>L171/N171*M171^0.5/0.19</f>
        <v>569.90060852845909</v>
      </c>
      <c r="BG171" s="4">
        <f>MIN(0.6+0.4*(AC171/AB171),2)</f>
        <v>1</v>
      </c>
      <c r="BH171" s="38">
        <f>2*M171*AB171*AD171^0.5*BG171*0.7/0.7</f>
        <v>458</v>
      </c>
      <c r="BI171" s="4">
        <f>MAX(1-0.7*AE171/5,0.3)</f>
        <v>0.44000000000000006</v>
      </c>
      <c r="BJ171" s="4">
        <f>BI171*J171*L171/(J171*N171/2.75/M171^0.5)</f>
        <v>131.02014990069279</v>
      </c>
      <c r="BK171" s="4">
        <f>BH171+BJ171</f>
        <v>589.02014990069279</v>
      </c>
      <c r="BM171" s="4">
        <f>MIN(1.5, 0.75+0.25*MIN(3,MAX(1,S171/N171))+0.4*MIN(1,(40*2*PI()*AM171^2/4/AO171/X171)/N171))</f>
        <v>1.25</v>
      </c>
      <c r="BN171" s="4">
        <f>(3*P171+30)*BM171*M171^0.5</f>
        <v>659.8380483118566</v>
      </c>
      <c r="BP171" s="4">
        <f>3.4/PI()^0.5*M171*AB171*AE171^0.5*BG171</f>
        <v>439.27800975028305</v>
      </c>
      <c r="BQ171" s="4">
        <f>8/3*AH171*AI171^2/(AG171-N171-22)/N171*(AG171^2-N171^2)/(AG171^2-(N171+22)^2)</f>
        <v>641.65616063635548</v>
      </c>
      <c r="BR171" s="4">
        <f>BQ171/BP171</f>
        <v>1.4607063098858935</v>
      </c>
      <c r="BZ171" s="4">
        <f>IF(W171=0,S171,MIN(W171/2,S171))</f>
        <v>86</v>
      </c>
      <c r="CD171" s="9"/>
      <c r="CF171" s="9"/>
      <c r="CG171" s="9"/>
      <c r="CH171" s="9">
        <f>IF(W171=0,MIN(S171,U171),MIN(W171/2,S171,U171))</f>
        <v>56</v>
      </c>
      <c r="CI171" s="9">
        <f>MAX(W171/2,S171)</f>
        <v>86</v>
      </c>
      <c r="CJ171" s="9">
        <f>(CH171/N171)^0.5*(CI171/CH171)^0.15</f>
        <v>1.2170441953580799</v>
      </c>
      <c r="CK171" s="70">
        <v>0</v>
      </c>
      <c r="CL171" s="9">
        <f>MIN(PI()*AM171^2/4*AN171*2/X171/N171/MAX(0.01,AO171),0.05)</f>
        <v>0</v>
      </c>
      <c r="CM171" s="9">
        <f>MAX(0,CK171*(CL171-0.5/50))</f>
        <v>0</v>
      </c>
      <c r="CN171" s="9">
        <f>MIN(1,(25/N171)^0.3)</f>
        <v>0.84984840943171969</v>
      </c>
      <c r="CO171" s="9">
        <f>IF(J171&gt;=800,0.68,IF(J171&gt;=700,0.75-(J171-700)*0.07/100,IF(J171&gt;=600,0.85-(J171-600)*0.1/100,IF(J171&gt;=500,1-(J171-500)*0.15/100,1.2-(J171-400)*0.2/100))))</f>
        <v>0.84399999999999997</v>
      </c>
      <c r="CP171" s="9">
        <f>1.75*CN171*CO171*(M171/25)^0.5</f>
        <v>1.6989660317871056</v>
      </c>
      <c r="CQ171" s="9">
        <f>MIN((CJ171+CM171)*CP171,2.5*CP171,M171^0.5)</f>
        <v>2.0677167470970481</v>
      </c>
      <c r="CR171" s="9">
        <v>1</v>
      </c>
      <c r="CS171" s="9">
        <f>4*CQ171*P171+60*CQ171</f>
        <v>256.39687664003395</v>
      </c>
      <c r="CU171" s="4">
        <f>AJ171/BF171</f>
        <v>1.0650980029084989</v>
      </c>
      <c r="CV171" s="4">
        <f>AJ171/BK171</f>
        <v>1.030525017017395</v>
      </c>
      <c r="CW171" s="4">
        <f>AJ171/BN171</f>
        <v>0.91992270156739442</v>
      </c>
      <c r="CX171" s="4">
        <f>AJ171/CS171</f>
        <v>2.3674235347733665</v>
      </c>
      <c r="CY171" s="4">
        <f>AJ171/DZ171</f>
        <v>1.4210468912230823</v>
      </c>
      <c r="CZ171" s="4">
        <f>AJ171/EL171</f>
        <v>1.1078654557321155</v>
      </c>
      <c r="DA171" s="4">
        <f>AJ171/GI171</f>
        <v>1.2368593271543291</v>
      </c>
      <c r="DC171" s="4">
        <f>CU171</f>
        <v>1.0650980029084989</v>
      </c>
      <c r="DD171" s="4">
        <f>CV171</f>
        <v>1.030525017017395</v>
      </c>
      <c r="DE171" s="4">
        <f>CX171</f>
        <v>2.3674235347733665</v>
      </c>
      <c r="DF171" s="4">
        <f>DA171</f>
        <v>1.2368593271543291</v>
      </c>
      <c r="DG171" s="4">
        <f>CY171</f>
        <v>1.4210468912230823</v>
      </c>
      <c r="DH171" s="4">
        <f>CZ171</f>
        <v>1.1078654557321155</v>
      </c>
      <c r="DP171" s="4">
        <f>AN171</f>
        <v>0</v>
      </c>
      <c r="DQ171" s="4">
        <f>L171</f>
        <v>688</v>
      </c>
      <c r="DT171" s="4">
        <f>K171/4/(1-0.3*(M171/30)^0.5)/200000/N171</f>
        <v>3.1780084856411147E-5</v>
      </c>
      <c r="DU171" s="4">
        <f>EP171</f>
        <v>7.2681384285688786</v>
      </c>
      <c r="DV171" s="4">
        <f>EC171*AG171/257/M171/AD171</f>
        <v>0.1635264948954874</v>
      </c>
      <c r="DW171" s="4">
        <f>DU171*DV171^0.4</f>
        <v>3.5225603426222643</v>
      </c>
      <c r="DX171" s="4">
        <f>MIN(DU171, DU171/1.4*(1-DV171^1.4)/(1-DV171))</f>
        <v>5.7145576397680857</v>
      </c>
      <c r="DY171" s="4">
        <f>MAX(DU171/2, (4-DT171*(8*AG171*(DW171-DX171)+6*K171*DX171))/(4+DT171*K171*DU171)*DU171)</f>
        <v>5.773912881291003</v>
      </c>
      <c r="DZ171" s="38">
        <f>MIN(1/N171*(4*AG171*(DW171-DX171)+(3*DX171+DY171)*K171)+EC171 -FJ171,MAX(J171,AJ171))</f>
        <v>427.14987362419868</v>
      </c>
      <c r="EA171" s="4">
        <f>DZ171/FF171</f>
        <v>1.0001059104362682</v>
      </c>
      <c r="EB171" s="4">
        <f>AG171/N171</f>
        <v>2.2360679774997898</v>
      </c>
      <c r="EC171" s="4">
        <f>MIN(EB$10*BB171)</f>
        <v>80.074320666329996</v>
      </c>
      <c r="EG171" s="4">
        <f>IF(U171&gt;1*N171,0.85,1)</f>
        <v>0.85</v>
      </c>
      <c r="EH171" s="4">
        <f>MIN(1,MAX(0.7,(1-0.1*(BZ171-1*N171)/N171)))</f>
        <v>0.9</v>
      </c>
      <c r="EI171" s="4">
        <f>MIN(1,MAX(0.7,1-0.3*(PI()*AM171^2/4*AQ171*2-0.25*PI()/4*N171^2)/(PI()/4*N171^2)))</f>
        <v>1</v>
      </c>
      <c r="EJ171" s="4">
        <f>IF(EH171*EI171&lt;0.7,0.7,EH171*EI171)</f>
        <v>0.9</v>
      </c>
      <c r="EL171" s="4">
        <f>MIN(DU171/N171*3*K171+EM171-FJ171,MAX(J171,AJ171))</f>
        <v>547.90046648658574</v>
      </c>
      <c r="EM171" s="25">
        <f>13.3*Q171*K171^0.5*M171^0.5/X171/N171^2*(0.7+S171/5/K171)</f>
        <v>199.02982191527957</v>
      </c>
      <c r="EP171" s="4">
        <f>IF(N171&lt;22.2,1.1*5*(M171/30)^0.5,IF(N171&gt;=31.8,0.9*5*(M171/30)^0.5,1*5*(M171/30)^0.5))/EG171/EJ171</f>
        <v>7.2681384285688786</v>
      </c>
      <c r="ES171" s="4">
        <f>ET171*N171</f>
        <v>96.150923032490965</v>
      </c>
      <c r="ET171" s="4">
        <f>AF171^0.5</f>
        <v>2.2360679774997898</v>
      </c>
      <c r="EU171" s="4">
        <f>MIN(EC171)/(4700*M171^0.5)/AE171*ES171</f>
        <v>6.0514037823138286E-2</v>
      </c>
      <c r="EX171" s="4">
        <f>EU171</f>
        <v>6.0514037823138286E-2</v>
      </c>
      <c r="EY171" s="4">
        <f>MIN(0.999, EX171/(0.3*(M171/30)^0.5))</f>
        <v>0.16325359965270247</v>
      </c>
      <c r="EZ171" s="4">
        <f>EP171/1*EY171^0.4</f>
        <v>3.5202077656811861</v>
      </c>
      <c r="FA171" s="4">
        <f>EP171/1.4*(1-EY171^1.4)/(1-EY171)</f>
        <v>5.7138423614182123</v>
      </c>
      <c r="FB171" s="4">
        <f>MAX(0,DQ171*FB$9-ES171)</f>
        <v>419.84907696750906</v>
      </c>
      <c r="FC171" s="4">
        <f>MAX(0,DQ171-ES171-FB171)</f>
        <v>172</v>
      </c>
      <c r="FD171" s="4">
        <f>FC171/(1-0.3*(M171/30)^0.5)/200000/N171</f>
        <v>3.1780084856411147E-5</v>
      </c>
      <c r="FE171" s="4">
        <f>MAX(0.5*EP171, (1-2*FD171*(ES171*EZ171+FB171*FA171))/(1/EP171+FD171*FC171))</f>
        <v>5.7741468166638503</v>
      </c>
      <c r="FF171" s="4">
        <f>MIN(4/N171*(1*EZ171*ES171+FA171*FB171+FC171*FE171)+EC171,MAX(J171,AJ171))</f>
        <v>427.10463878557272</v>
      </c>
      <c r="FO171" s="23">
        <f>IF(CU171&lt;0.6,0.6,IF(CU171&lt;0.8,0.8,IF(CU171&lt;1,1,IF(CU171&lt;1.2,1.2,IF(CU171&lt;1.4,1.4,IF(CU171&lt;1.6,1.6,IF(CU171&lt;1.8,1.8,IF(CU171&lt;2,2,2.2))))))))</f>
        <v>1.2</v>
      </c>
      <c r="FP171" s="23">
        <f>IF(CV171&lt;0.6,0.6,IF(CV171&lt;0.8,0.8,IF(CV171&lt;1,1,IF(CV171&lt;1.2,1.2,IF(CV171&lt;1.4,1.4,IF(CV171&lt;1.6,1.6,IF(CV171&lt;1.8,1.8,IF(CV171&lt;2,2,2.2))))))))</f>
        <v>1.2</v>
      </c>
      <c r="FQ171" s="23">
        <f>IF(DA171&lt;0.6,0.6,IF(DA171&lt;0.8,0.8,IF(DA171&lt;1,1,IF(DA171&lt;1.2,1.2,IF(DA171&lt;1.4,1.4,IF(DA171&lt;1.6,1.6,IF(DA171&lt;1.8,1.8,IF(DA171&lt;2,2,2.2))))))))</f>
        <v>1.4</v>
      </c>
      <c r="FR171" s="23">
        <f>IF(CX171&lt;0.6,0.6,IF(CX171&lt;0.8,0.8,IF(CX171&lt;1,1,IF(CX171&lt;1.2,1.2,IF(CX171&lt;1.4,1.4,IF(CX171&lt;1.6,1.6,IF(CX171&lt;1.8,1.8,IF(CX171&lt;2,2,2.2))))))))</f>
        <v>2.2000000000000002</v>
      </c>
      <c r="FS171" s="23">
        <f>IF(CY171&lt;0.6,0.6,IF(CY171&lt;0.8,0.8,IF(CY171&lt;1,1,IF(CY171&lt;1.2,1.2,IF(CY171&lt;1.4,1.4,IF(CY171&lt;1.6,1.6,IF(CY171&lt;1.8,1.8,IF(CY171&lt;2,2,2.2))))))))</f>
        <v>1.6</v>
      </c>
      <c r="FT171" s="23">
        <f>IF(CZ171&lt;0.6,0.6,IF(CZ171&lt;0.8,0.8,IF(CZ171&lt;1,1,IF(CZ171&lt;1.2,1.2,IF(CZ171&lt;1.4,1.4,IF(CZ171&lt;1.6,1.6,IF(CZ171&lt;1.8,1.8,IF(CZ171&lt;2,2,2.2))))))))</f>
        <v>1.2</v>
      </c>
      <c r="FU171" s="23">
        <f>IF(FS171&lt;1,1,0)</f>
        <v>0</v>
      </c>
      <c r="FV171" s="23"/>
      <c r="GF171" s="4">
        <f>IF(S171&gt;=2.5*25.4,1,1.25)</f>
        <v>1</v>
      </c>
      <c r="GG171" s="4">
        <f>IF(AO171&gt;1, 0.05*(18-MIN(8,(W171+N171)/N171))*(1-48000/MAX(60000,(J171*145))*(N171/25.4)^0.75*GH171), 1/12*(14-MIN(8,(W171+N171)/N171)))</f>
        <v>0.65</v>
      </c>
      <c r="GH171" s="4">
        <f>MIN(0.3, AM171^2*PI()/4*2*AP171/(N171^2*PI()/4*X171))</f>
        <v>0</v>
      </c>
      <c r="GI171" s="4">
        <f>(K171/25.4)/(N171/25.4)^1.5/0.0024*(M171*145)^0.25/GF171/GG171/145</f>
        <v>490.75912407641289</v>
      </c>
    </row>
    <row r="172" spans="1:191" ht="12" customHeight="1" x14ac:dyDescent="0.3">
      <c r="A172" s="25">
        <v>159</v>
      </c>
      <c r="B172" s="24" t="s">
        <v>128</v>
      </c>
      <c r="C172" s="24">
        <v>2017</v>
      </c>
      <c r="D172" s="24" t="s">
        <v>309</v>
      </c>
      <c r="E172" s="24"/>
      <c r="F172" s="115"/>
      <c r="G172" s="109" t="s">
        <v>774</v>
      </c>
      <c r="H172" s="4" t="s">
        <v>166</v>
      </c>
      <c r="I172" s="5">
        <f>K172/N172</f>
        <v>16</v>
      </c>
      <c r="J172" s="72">
        <v>606</v>
      </c>
      <c r="K172" s="7">
        <f>16*N172</f>
        <v>688</v>
      </c>
      <c r="L172" s="7">
        <f>K172</f>
        <v>688</v>
      </c>
      <c r="M172" s="21">
        <v>41.8</v>
      </c>
      <c r="N172" s="88">
        <v>43</v>
      </c>
      <c r="O172" s="7">
        <f>K172/N172</f>
        <v>16</v>
      </c>
      <c r="P172" s="7">
        <f>L172/N172</f>
        <v>16</v>
      </c>
      <c r="Q172" s="7">
        <f>W172+2*S172+2*N172</f>
        <v>344</v>
      </c>
      <c r="R172" s="32">
        <f>S172/N172</f>
        <v>1</v>
      </c>
      <c r="S172" s="7">
        <f>1*N172</f>
        <v>43</v>
      </c>
      <c r="T172" s="32">
        <f>U172/N172</f>
        <v>1.3023255813953489</v>
      </c>
      <c r="U172" s="7">
        <f>40+16</f>
        <v>56</v>
      </c>
      <c r="V172" s="32">
        <f>W172/N172</f>
        <v>4</v>
      </c>
      <c r="W172" s="7">
        <f>(5-1)*N172</f>
        <v>172</v>
      </c>
      <c r="X172" s="7">
        <v>2</v>
      </c>
      <c r="Y172" s="7">
        <f>AN172</f>
        <v>2</v>
      </c>
      <c r="Z172" s="32">
        <f>AA172/N172</f>
        <v>8.3410852713178283</v>
      </c>
      <c r="AA172" s="7">
        <f>2/3*K172-0.5*200</f>
        <v>358.66666666666663</v>
      </c>
      <c r="AB172" s="7">
        <f>MIN(S172/N172+0.5, W172/2/N172+0.5)</f>
        <v>1.5</v>
      </c>
      <c r="AC172" s="7">
        <f>S172/N172+0.5</f>
        <v>1.5</v>
      </c>
      <c r="AD172" s="7">
        <f>2040/510</f>
        <v>4</v>
      </c>
      <c r="AE172" s="7">
        <f>2040/510</f>
        <v>4</v>
      </c>
      <c r="AF172" s="7">
        <f>AE172+1</f>
        <v>5</v>
      </c>
      <c r="AG172" s="7">
        <f>N172*AF172^0.5</f>
        <v>96.150923032490965</v>
      </c>
      <c r="AH172" s="7">
        <f>J172</f>
        <v>606</v>
      </c>
      <c r="AI172" s="7">
        <v>19</v>
      </c>
      <c r="AJ172" s="7">
        <f>(424+424)/2</f>
        <v>424</v>
      </c>
      <c r="AK172" s="7"/>
      <c r="AL172" s="4">
        <f>CY172</f>
        <v>1.1019664488447403</v>
      </c>
      <c r="AM172" s="7">
        <v>15.9</v>
      </c>
      <c r="AN172" s="10">
        <v>2</v>
      </c>
      <c r="AO172" s="7">
        <v>120</v>
      </c>
      <c r="AP172" s="7">
        <v>4</v>
      </c>
      <c r="AQ172" s="7">
        <f>AN172</f>
        <v>2</v>
      </c>
      <c r="AR172" s="7">
        <f>3*AS172/(W172+N172)</f>
        <v>9.6</v>
      </c>
      <c r="AS172" s="4">
        <f>K172</f>
        <v>688</v>
      </c>
      <c r="AT172" s="4">
        <f>IF(K172*3&gt;W172+N172, Q172, (S172+N172/2)*2+1.5*K172*(2*X172-2))*(3*K172)/(9*K172^2)</f>
        <v>0.16666666666666666</v>
      </c>
      <c r="AU172" s="4">
        <f>MIN(10*M172^0.5*K172^1.5,100*3.9*M172^0.5*K172^(5/3))/(PI()/4*N172^2)/X172</f>
        <v>401.7112644757263</v>
      </c>
      <c r="AV172" s="4">
        <f>MIN(0.7+0.3*(MIN(S172,AA172)+0.5*N172)/1.5/K172,1)</f>
        <v>0.71875</v>
      </c>
      <c r="AW172" s="4">
        <v>1.25</v>
      </c>
      <c r="AX172" s="4">
        <f>AX171</f>
        <v>1</v>
      </c>
      <c r="AY172" s="38">
        <f>AT172*AV172*AW172*AX172*AU172</f>
        <v>60.152077362901714</v>
      </c>
      <c r="AZ172" s="38">
        <f>AY172</f>
        <v>60.152077362901714</v>
      </c>
      <c r="BA172" s="38">
        <f>IF(M172&lt;50, 0.3*M172^(2/3), 2.12*LN(1+0.1*(M172+8)))</f>
        <v>3.613311826901703</v>
      </c>
      <c r="BB172" s="38">
        <f>AX172* (M172^0.5/AS172^0.5)/(PI()/4*N172^2)/X172/0.72 *(0.7+(MIN(S172,AA172)+0.5*N172)/5/K172) *(3*Q172*K172)</f>
        <v>60.15207736290175</v>
      </c>
      <c r="BC172" s="38">
        <f>AY172/BB172</f>
        <v>0.99999999999999944</v>
      </c>
      <c r="BD172" s="38">
        <f>BH172/BB172</f>
        <v>4.1694320627848942</v>
      </c>
      <c r="BE172" s="4">
        <f>IF(BD172&lt;1,1,0)</f>
        <v>0</v>
      </c>
      <c r="BF172" s="4">
        <f>L172/N172*M172^0.5/0.19</f>
        <v>544.4456379029765</v>
      </c>
      <c r="BG172" s="4">
        <f>MIN(0.6+0.4*(AC172/AB172),2)</f>
        <v>1</v>
      </c>
      <c r="BH172" s="38">
        <f>2*M172*AB172*AD172^0.5*BG172*0.7/0.7</f>
        <v>250.79999999999998</v>
      </c>
      <c r="BI172" s="4">
        <f>MAX(1-0.7*AE172/5,0.3)</f>
        <v>0.44000000000000006</v>
      </c>
      <c r="BJ172" s="4">
        <f>BI172*J172*L172/(J172*N172/2.75/M172^0.5)</f>
        <v>125.16805215389431</v>
      </c>
      <c r="BK172" s="4">
        <f>BH172+BJ172</f>
        <v>375.96805215389429</v>
      </c>
      <c r="BM172" s="4">
        <f>MIN(1.5, 0.75+0.25*MIN(3,MAX(1,S172/N172))+0.4*MIN(1,(40*2*PI()*AM172^2/4/AO172/X172)/N172))</f>
        <v>1.4</v>
      </c>
      <c r="BN172" s="4">
        <f>(3*P172+30)*BM172*M172^0.5</f>
        <v>706.00988095068465</v>
      </c>
      <c r="BP172" s="4">
        <f>3.4/PI()^0.5*M172*AB172*AE172^0.5*BG172</f>
        <v>240.54787084142137</v>
      </c>
      <c r="BQ172" s="4">
        <f>8/3*AH172*AI172^2/(AG172-N172-22)/N172*(AG172^2-N172^2)/(AG172^2-(N172+22)^2)</f>
        <v>641.65616063635548</v>
      </c>
      <c r="BR172" s="4">
        <f>BQ172/BP172</f>
        <v>2.6674780300149092</v>
      </c>
      <c r="BZ172" s="4">
        <f>IF(W172=0,S172,MIN(W172/2,S172))</f>
        <v>43</v>
      </c>
      <c r="CD172" s="9"/>
      <c r="CF172" s="9"/>
      <c r="CG172" s="9"/>
      <c r="CH172" s="9">
        <f>IF(W172=0,MIN(S172,U172),MIN(W172/2,S172,U172))</f>
        <v>43</v>
      </c>
      <c r="CI172" s="9">
        <f>MAX(W172/2,S172)</f>
        <v>86</v>
      </c>
      <c r="CJ172" s="9">
        <f>(CH172/N172)^0.5*(CI172/CH172)^0.15</f>
        <v>1.1095694720678451</v>
      </c>
      <c r="CK172" s="70">
        <v>20</v>
      </c>
      <c r="CL172" s="9">
        <f>MIN(PI()*AM172^2/4*AN172*2/X172/N172/MAX(0.01,AO172),0.05)</f>
        <v>0.05</v>
      </c>
      <c r="CM172" s="9">
        <f>MAX(0,CK172*(CL172-0.5/50))</f>
        <v>0.8</v>
      </c>
      <c r="CN172" s="9">
        <f>MIN(1,(25/N172)^0.3)</f>
        <v>0.84984840943171969</v>
      </c>
      <c r="CO172" s="9">
        <f>IF(J172&gt;=800,0.68,IF(J172&gt;=700,0.75-(J172-700)*0.07/100,IF(J172&gt;=600,0.85-(J172-600)*0.1/100,IF(J172&gt;=500,1-(J172-500)*0.15/100,1.2-(J172-400)*0.2/100))))</f>
        <v>0.84399999999999997</v>
      </c>
      <c r="CP172" s="9">
        <f>1.75*CN172*CO172*(M172/25)^0.5</f>
        <v>1.6230806409213159</v>
      </c>
      <c r="CQ172" s="9">
        <f>MIN((CJ172+CM172)*CP172,2.5*CP172,M172^0.5)</f>
        <v>3.0993852426076569</v>
      </c>
      <c r="CR172" s="9">
        <v>1</v>
      </c>
      <c r="CS172" s="9">
        <f>4*CQ172*P172+60*CQ172</f>
        <v>384.32377008334947</v>
      </c>
      <c r="CU172" s="4">
        <f>AJ172/BF172</f>
        <v>0.77877380307996769</v>
      </c>
      <c r="CV172" s="4">
        <f>AJ172/BK172</f>
        <v>1.1277553972230727</v>
      </c>
      <c r="CW172" s="4">
        <f>AJ172/BN172</f>
        <v>0.60055816701751907</v>
      </c>
      <c r="CX172" s="4">
        <f>AJ172/CS172</f>
        <v>1.1032364714470975</v>
      </c>
      <c r="CY172" s="4">
        <f>AJ172/DZ172</f>
        <v>1.1019664488447403</v>
      </c>
      <c r="CZ172" s="4">
        <f>AJ172/EL172</f>
        <v>0.88558461738800009</v>
      </c>
      <c r="DA172" s="4">
        <f>AJ172/GI172</f>
        <v>0.83618018255731019</v>
      </c>
      <c r="DI172" s="4">
        <f>CU172</f>
        <v>0.77877380307996769</v>
      </c>
      <c r="DJ172" s="4">
        <f>CV172</f>
        <v>1.1277553972230727</v>
      </c>
      <c r="DK172" s="4">
        <f>CX172</f>
        <v>1.1032364714470975</v>
      </c>
      <c r="DL172" s="4">
        <f>DA172</f>
        <v>0.83618018255731019</v>
      </c>
      <c r="DM172" s="4">
        <f>CY172</f>
        <v>1.1019664488447403</v>
      </c>
      <c r="DN172" s="4">
        <f>CZ172</f>
        <v>0.88558461738800009</v>
      </c>
      <c r="DP172" s="4">
        <f>AN172</f>
        <v>2</v>
      </c>
      <c r="DQ172" s="4">
        <f>L172</f>
        <v>688</v>
      </c>
      <c r="DT172" s="4">
        <f>K172/4/(1-0.3*(M172/30)^0.5)/200000/N172</f>
        <v>3.0965438467699878E-5</v>
      </c>
      <c r="DU172" s="4">
        <f>EP172</f>
        <v>6.8602160076475114</v>
      </c>
      <c r="DV172" s="4">
        <f>EC172*AG172/257/M172/AD172</f>
        <v>0.13459678664301028</v>
      </c>
      <c r="DW172" s="4">
        <f>DU172*DV172^0.4</f>
        <v>3.0757544939953343</v>
      </c>
      <c r="DX172" s="4">
        <f>MIN(DU172, DU172/1.4*(1-DV172^1.4)/(1-DV172))</f>
        <v>5.3205828853278883</v>
      </c>
      <c r="DY172" s="4">
        <f>MAX(DU172/2, (4-DT172*(8*AG172*(DW172-DX172)+6*K172*DX172))/(4+DT172*K172*DU172)*DU172)</f>
        <v>5.5815628174908118</v>
      </c>
      <c r="DZ172" s="38">
        <f>MIN(1/N172*(4*AG172*(DW172-DX172)+(3*DX172+DY172)*K172)+EC172 -FJ172,MAX(J172,AJ172))</f>
        <v>384.76670541512902</v>
      </c>
      <c r="EA172" s="4">
        <f>DZ172/FF172</f>
        <v>1.0000993778238449</v>
      </c>
      <c r="EB172" s="4">
        <f>AG172/N172</f>
        <v>2.2360679774997898</v>
      </c>
      <c r="EC172" s="4">
        <f>MIN(EB$10*BB172)</f>
        <v>60.15207736290175</v>
      </c>
      <c r="EG172" s="4">
        <f>IF(U172&gt;1*N172,0.85,1)</f>
        <v>0.85</v>
      </c>
      <c r="EH172" s="4">
        <f>MIN(1,MAX(0.7,(1-0.1*(BZ172-1*N172)/N172)))</f>
        <v>1</v>
      </c>
      <c r="EI172" s="4">
        <f>MIN(1,MAX(0.7,1-0.3*(PI()*AM172^2/4*AQ172*2-0.25*PI()/4*N172^2)/(PI()/4*N172^2)))</f>
        <v>0.91092644672796108</v>
      </c>
      <c r="EJ172" s="4">
        <f>IF(EH172*EI172&lt;0.7,0.7,EH172*EI172)</f>
        <v>0.91092644672796108</v>
      </c>
      <c r="EL172" s="4">
        <f>MIN(DU172/N172*3*K172+EM172-FJ172,MAX(J172,AJ172))</f>
        <v>478.77977064526334</v>
      </c>
      <c r="EM172" s="25">
        <f>13.3*Q172*K172^0.5*M172^0.5/X172/N172^2*(0.7+S172/5/K172)</f>
        <v>149.48940227818281</v>
      </c>
      <c r="EP172" s="4">
        <f>IF(N172&lt;22.2,1.1*5*(M172/30)^0.5,IF(N172&gt;=31.8,0.9*5*(M172/30)^0.5,1*5*(M172/30)^0.5))/EG172/EJ172</f>
        <v>6.8602160076475114</v>
      </c>
      <c r="ES172" s="4">
        <f>ET172*N172</f>
        <v>96.150923032490965</v>
      </c>
      <c r="ET172" s="4">
        <f>AF172^0.5</f>
        <v>2.2360679774997898</v>
      </c>
      <c r="EU172" s="4">
        <f>MIN(EC172)/(4700*M172^0.5)/AE172*ES172</f>
        <v>4.7583687860929251E-2</v>
      </c>
      <c r="EX172" s="4">
        <f>EU172</f>
        <v>4.7583687860929251E-2</v>
      </c>
      <c r="EY172" s="4">
        <f>MIN(0.999, EX172/(0.3*(M172/30)^0.5))</f>
        <v>0.13437216969153401</v>
      </c>
      <c r="EZ172" s="4">
        <f>EP172/1*EY172^0.4</f>
        <v>3.0737003207817666</v>
      </c>
      <c r="FA172" s="4">
        <f>EP172/1.4*(1-EY172^1.4)/(1-EY172)</f>
        <v>5.3200001208248109</v>
      </c>
      <c r="FB172" s="4">
        <f>MAX(0,DQ172*FB$9-ES172)</f>
        <v>419.84907696750906</v>
      </c>
      <c r="FC172" s="4">
        <f>MAX(0,DQ172-ES172-FB172)</f>
        <v>172</v>
      </c>
      <c r="FD172" s="4">
        <f>FC172/(1-0.3*(M172/30)^0.5)/200000/N172</f>
        <v>3.0965438467699878E-5</v>
      </c>
      <c r="FE172" s="4">
        <f>MAX(0.5*EP172, (1-2*FD172*(ES172*EZ172+FB172*FA172))/(1/EP172+FD172*FC172))</f>
        <v>5.5817440610803635</v>
      </c>
      <c r="FF172" s="4">
        <f>MIN(4/N172*(1*EZ172*ES172+FA172*FB172+FC172*FE172)+EC172,MAX(J172,AJ172))</f>
        <v>384.72847193681679</v>
      </c>
      <c r="FO172" s="23">
        <f>IF(CU172&lt;0.6,0.6,IF(CU172&lt;0.8,0.8,IF(CU172&lt;1,1,IF(CU172&lt;1.2,1.2,IF(CU172&lt;1.4,1.4,IF(CU172&lt;1.6,1.6,IF(CU172&lt;1.8,1.8,IF(CU172&lt;2,2,2.2))))))))</f>
        <v>0.8</v>
      </c>
      <c r="FP172" s="23">
        <f>IF(CV172&lt;0.6,0.6,IF(CV172&lt;0.8,0.8,IF(CV172&lt;1,1,IF(CV172&lt;1.2,1.2,IF(CV172&lt;1.4,1.4,IF(CV172&lt;1.6,1.6,IF(CV172&lt;1.8,1.8,IF(CV172&lt;2,2,2.2))))))))</f>
        <v>1.2</v>
      </c>
      <c r="FQ172" s="23">
        <f>IF(DA172&lt;0.6,0.6,IF(DA172&lt;0.8,0.8,IF(DA172&lt;1,1,IF(DA172&lt;1.2,1.2,IF(DA172&lt;1.4,1.4,IF(DA172&lt;1.6,1.6,IF(DA172&lt;1.8,1.8,IF(DA172&lt;2,2,2.2))))))))</f>
        <v>1</v>
      </c>
      <c r="FR172" s="23">
        <f>IF(CX172&lt;0.6,0.6,IF(CX172&lt;0.8,0.8,IF(CX172&lt;1,1,IF(CX172&lt;1.2,1.2,IF(CX172&lt;1.4,1.4,IF(CX172&lt;1.6,1.6,IF(CX172&lt;1.8,1.8,IF(CX172&lt;2,2,2.2))))))))</f>
        <v>1.2</v>
      </c>
      <c r="FS172" s="23">
        <f>IF(CY172&lt;0.6,0.6,IF(CY172&lt;0.8,0.8,IF(CY172&lt;1,1,IF(CY172&lt;1.2,1.2,IF(CY172&lt;1.4,1.4,IF(CY172&lt;1.6,1.6,IF(CY172&lt;1.8,1.8,IF(CY172&lt;2,2,2.2))))))))</f>
        <v>1.2</v>
      </c>
      <c r="FT172" s="23">
        <f>IF(CZ172&lt;0.6,0.6,IF(CZ172&lt;0.8,0.8,IF(CZ172&lt;1,1,IF(CZ172&lt;1.2,1.2,IF(CZ172&lt;1.4,1.4,IF(CZ172&lt;1.6,1.6,IF(CZ172&lt;1.8,1.8,IF(CZ172&lt;2,2,2.2))))))))</f>
        <v>1</v>
      </c>
      <c r="FU172" s="23">
        <f>IF(FS172&lt;1,1,0)</f>
        <v>0</v>
      </c>
      <c r="FV172" s="23"/>
      <c r="GF172" s="4">
        <f>IF(S172&gt;=2.5*25.4,1,1.25)</f>
        <v>1.25</v>
      </c>
      <c r="GG172" s="4">
        <f>IF(AO172&gt;1, 0.05*(18-MIN(8,(W172+N172)/N172))*(1-48000/MAX(60000,(J172*145))*(N172/25.4)^0.75*GH172), 1/12*(14-MIN(8,(W172+N172)/N172)))</f>
        <v>0.49190749660801991</v>
      </c>
      <c r="GH172" s="4">
        <f>MIN(0.3, AM172^2*PI()/4*2*AP172/(N172^2*PI()/4*X172))</f>
        <v>0.3</v>
      </c>
      <c r="GI172" s="4">
        <f>(K172/25.4)/(N172/25.4)^1.5/0.0024*(M172*145)^0.25/GF172/GG172/145</f>
        <v>507.0677454986681</v>
      </c>
    </row>
    <row r="173" spans="1:191" ht="12" customHeight="1" x14ac:dyDescent="0.3">
      <c r="A173" s="25">
        <v>160</v>
      </c>
      <c r="B173" s="24" t="s">
        <v>128</v>
      </c>
      <c r="C173" s="24">
        <v>2017</v>
      </c>
      <c r="D173" s="24" t="s">
        <v>309</v>
      </c>
      <c r="E173" s="24"/>
      <c r="F173" s="115"/>
      <c r="G173" s="109" t="s">
        <v>774</v>
      </c>
      <c r="H173" s="4" t="s">
        <v>167</v>
      </c>
      <c r="I173" s="5">
        <f>K173/N173</f>
        <v>16</v>
      </c>
      <c r="J173" s="72">
        <v>606</v>
      </c>
      <c r="K173" s="7">
        <f>16*N173</f>
        <v>688</v>
      </c>
      <c r="L173" s="7">
        <f>K173</f>
        <v>688</v>
      </c>
      <c r="M173" s="103">
        <v>44.3</v>
      </c>
      <c r="N173" s="88">
        <v>43</v>
      </c>
      <c r="O173" s="7">
        <f>K173/N173</f>
        <v>16</v>
      </c>
      <c r="P173" s="7">
        <f>L173/N173</f>
        <v>16</v>
      </c>
      <c r="Q173" s="7">
        <f>W173+2*S173+2*N173</f>
        <v>430</v>
      </c>
      <c r="R173" s="32">
        <f>S173/N173</f>
        <v>2</v>
      </c>
      <c r="S173" s="7">
        <f>2*N173</f>
        <v>86</v>
      </c>
      <c r="T173" s="32">
        <f>U173/N173</f>
        <v>1.3023255813953489</v>
      </c>
      <c r="U173" s="7">
        <f>40+16</f>
        <v>56</v>
      </c>
      <c r="V173" s="32">
        <f>W173/N173</f>
        <v>4</v>
      </c>
      <c r="W173" s="7">
        <f>(5-1)*N173</f>
        <v>172</v>
      </c>
      <c r="X173" s="7">
        <v>2</v>
      </c>
      <c r="Y173" s="7">
        <f>AN173</f>
        <v>2</v>
      </c>
      <c r="Z173" s="32">
        <f>AA173/N173</f>
        <v>8.3410852713178283</v>
      </c>
      <c r="AA173" s="7">
        <f>2/3*K173-0.5*200</f>
        <v>358.66666666666663</v>
      </c>
      <c r="AB173" s="7">
        <f>MIN(S173/N173+0.5, W173/2/N173+0.5)</f>
        <v>2.5</v>
      </c>
      <c r="AC173" s="7">
        <f>S173/N173+0.5</f>
        <v>2.5</v>
      </c>
      <c r="AD173" s="7">
        <f>2040/510</f>
        <v>4</v>
      </c>
      <c r="AE173" s="7">
        <f>2040/510</f>
        <v>4</v>
      </c>
      <c r="AF173" s="7">
        <f>AE173+1</f>
        <v>5</v>
      </c>
      <c r="AG173" s="7">
        <f>N173*AF173^0.5</f>
        <v>96.150923032490965</v>
      </c>
      <c r="AH173" s="7">
        <f>J173</f>
        <v>606</v>
      </c>
      <c r="AI173" s="7">
        <v>19</v>
      </c>
      <c r="AJ173" s="7">
        <f>(628+628)/2</f>
        <v>628</v>
      </c>
      <c r="AK173" s="7"/>
      <c r="AL173" s="4">
        <f>CY173</f>
        <v>1.3886226253286234</v>
      </c>
      <c r="AM173" s="7">
        <v>15.9</v>
      </c>
      <c r="AN173" s="10">
        <v>2</v>
      </c>
      <c r="AO173" s="7">
        <v>120</v>
      </c>
      <c r="AP173" s="7">
        <v>4</v>
      </c>
      <c r="AQ173" s="7">
        <f>AN173</f>
        <v>2</v>
      </c>
      <c r="AR173" s="7">
        <f>3*AS173/(W173+N173)</f>
        <v>9.6</v>
      </c>
      <c r="AS173" s="4">
        <f>K173</f>
        <v>688</v>
      </c>
      <c r="AT173" s="4">
        <f>IF(K173*3&gt;W173+N173, Q173, (S173+N173/2)*2+1.5*K173*(2*X173-2))*(3*K173)/(9*K173^2)</f>
        <v>0.20833333333333334</v>
      </c>
      <c r="AU173" s="4">
        <f>MIN(10*M173^0.5*K173^1.5,100*3.9*M173^0.5*K173^(5/3))/(PI()/4*N173^2)/X173</f>
        <v>413.54972110408767</v>
      </c>
      <c r="AV173" s="4">
        <f>MIN(0.7+0.3*(MIN(S173,AA173)+0.5*N173)/1.5/K173,1)</f>
        <v>0.73124999999999996</v>
      </c>
      <c r="AW173" s="4">
        <v>1.25</v>
      </c>
      <c r="AX173" s="4">
        <f>AX172</f>
        <v>1</v>
      </c>
      <c r="AY173" s="38">
        <f>AT173*AV173*AW173*AX173*AU173</f>
        <v>78.75214415556357</v>
      </c>
      <c r="AZ173" s="38">
        <f>AY173</f>
        <v>78.75214415556357</v>
      </c>
      <c r="BA173" s="38">
        <f>IF(M173&lt;50, 0.3*M173^(2/3), 2.12*LN(1+0.1*(M173+8)))</f>
        <v>3.7559840459059588</v>
      </c>
      <c r="BB173" s="38">
        <f>AX173* (M173^0.5/AS173^0.5)/(PI()/4*N173^2)/X173/0.72 *(0.7+(MIN(S173,AA173)+0.5*N173)/5/K173) *(3*Q173*K173)</f>
        <v>78.75214415556357</v>
      </c>
      <c r="BC173" s="38">
        <f>AY173/BB173</f>
        <v>1</v>
      </c>
      <c r="BD173" s="38">
        <f>BH173/BB173</f>
        <v>5.625243664793647</v>
      </c>
      <c r="BE173" s="4">
        <f>IF(BD173&lt;1,1,0)</f>
        <v>0</v>
      </c>
      <c r="BF173" s="4">
        <f>L173/N173*M173^0.5/0.19</f>
        <v>560.49048563515748</v>
      </c>
      <c r="BG173" s="4">
        <f>MIN(0.6+0.4*(AC173/AB173),2)</f>
        <v>1</v>
      </c>
      <c r="BH173" s="38">
        <f>2*M173*AB173*AD173^0.5*BG173*0.7/0.7</f>
        <v>443</v>
      </c>
      <c r="BI173" s="4">
        <f>MAX(1-0.7*AE173/5,0.3)</f>
        <v>0.44000000000000006</v>
      </c>
      <c r="BJ173" s="4">
        <f>BI173*J173*L173/(J173*N173/2.75/M173^0.5)</f>
        <v>128.85676264752271</v>
      </c>
      <c r="BK173" s="4">
        <f>BH173+BJ173</f>
        <v>571.85676264752271</v>
      </c>
      <c r="BM173" s="4">
        <f>MIN(1.5, 0.75+0.25*MIN(3,MAX(1,S173/N173))+0.4*MIN(1,(40*2*PI()*AM173^2/4/AO173/X173)/N173))</f>
        <v>1.5</v>
      </c>
      <c r="BN173" s="4">
        <f>(3*P173+30)*BM173*M173^0.5</f>
        <v>778.73146847934686</v>
      </c>
      <c r="BP173" s="4">
        <f>3.4/PI()^0.5*M173*AB173*AE173^0.5*BG173</f>
        <v>424.89117536981524</v>
      </c>
      <c r="BQ173" s="4">
        <f>8/3*AH173*AI173^2/(AG173-N173-22)/N173*(AG173^2-N173^2)/(AG173^2-(N173+22)^2)</f>
        <v>641.65616063635548</v>
      </c>
      <c r="BR173" s="4">
        <f>BQ173/BP173</f>
        <v>1.5101658914847387</v>
      </c>
      <c r="BZ173" s="4">
        <f>IF(W173=0,S173,MIN(W173/2,S173))</f>
        <v>86</v>
      </c>
      <c r="CD173" s="9"/>
      <c r="CF173" s="9"/>
      <c r="CG173" s="9"/>
      <c r="CH173" s="9">
        <f>IF(W173=0,MIN(S173,U173),MIN(W173/2,S173,U173))</f>
        <v>56</v>
      </c>
      <c r="CI173" s="9">
        <f>MAX(W173/2,S173)</f>
        <v>86</v>
      </c>
      <c r="CJ173" s="9">
        <f>(CH173/N173)^0.5*(CI173/CH173)^0.15</f>
        <v>1.2170441953580799</v>
      </c>
      <c r="CK173" s="70">
        <v>20</v>
      </c>
      <c r="CL173" s="9">
        <f>MIN(PI()*AM173^2/4*AN173*2/X173/N173/MAX(0.01,AO173),0.05)</f>
        <v>0.05</v>
      </c>
      <c r="CM173" s="9">
        <f>MAX(0,CK173*(CL173-0.5/50))</f>
        <v>0.8</v>
      </c>
      <c r="CN173" s="9">
        <f>MIN(1,(25/N173)^0.3)</f>
        <v>0.84984840943171969</v>
      </c>
      <c r="CO173" s="9">
        <f>IF(J173&gt;=800,0.68,IF(J173&gt;=700,0.75-(J173-700)*0.07/100,IF(J173&gt;=600,0.85-(J173-600)*0.1/100,IF(J173&gt;=500,1-(J173-500)*0.15/100,1.2-(J173-400)*0.2/100))))</f>
        <v>0.84399999999999997</v>
      </c>
      <c r="CP173" s="9">
        <f>1.75*CN173*CO173*(M173/25)^0.5</f>
        <v>1.6709129311035618</v>
      </c>
      <c r="CQ173" s="9">
        <f>MIN((CJ173+CM173)*CP173,2.5*CP173,M173^0.5)</f>
        <v>3.370305228631195</v>
      </c>
      <c r="CR173" s="9">
        <v>1</v>
      </c>
      <c r="CS173" s="9">
        <f>4*CQ173*P173+60*CQ173</f>
        <v>417.91784835026817</v>
      </c>
      <c r="CU173" s="4">
        <f>AJ173/BF173</f>
        <v>1.1204472084630297</v>
      </c>
      <c r="CV173" s="4">
        <f>AJ173/BK173</f>
        <v>1.0981770978672198</v>
      </c>
      <c r="CW173" s="4">
        <f>AJ173/BN173</f>
        <v>0.8064397361857164</v>
      </c>
      <c r="CX173" s="4">
        <f>AJ173/CS173</f>
        <v>1.5026876752908058</v>
      </c>
      <c r="CY173" s="4">
        <f>AJ173/DZ173</f>
        <v>1.3886226253286234</v>
      </c>
      <c r="CZ173" s="4">
        <f>AJ173/EL173</f>
        <v>1.0971269956239666</v>
      </c>
      <c r="DA173" s="4">
        <f>AJ173/GI173</f>
        <v>0.97651019906997372</v>
      </c>
      <c r="DI173" s="4">
        <f>CU173</f>
        <v>1.1204472084630297</v>
      </c>
      <c r="DJ173" s="4">
        <f>CV173</f>
        <v>1.0981770978672198</v>
      </c>
      <c r="DK173" s="4">
        <f>CX173</f>
        <v>1.5026876752908058</v>
      </c>
      <c r="DL173" s="4">
        <f>DA173</f>
        <v>0.97651019906997372</v>
      </c>
      <c r="DM173" s="4">
        <f>CY173</f>
        <v>1.3886226253286234</v>
      </c>
      <c r="DN173" s="4">
        <f>CZ173</f>
        <v>1.0971269956239666</v>
      </c>
      <c r="DP173" s="4">
        <f>AN173</f>
        <v>2</v>
      </c>
      <c r="DQ173" s="4">
        <f>L173</f>
        <v>688</v>
      </c>
      <c r="DT173" s="4">
        <f>K173/4/(1-0.3*(M173/30)^0.5)/200000/N173</f>
        <v>3.1473982762568646E-5</v>
      </c>
      <c r="DU173" s="4">
        <f>EP173</f>
        <v>7.8470966796375476</v>
      </c>
      <c r="DV173" s="4">
        <f>EC173*AG173/257/M173/AD173</f>
        <v>0.16627195526049895</v>
      </c>
      <c r="DW173" s="4">
        <f>DU173*DV173^0.4</f>
        <v>3.8285701138958639</v>
      </c>
      <c r="DX173" s="4">
        <f>MIN(DU173, DU173/1.4*(1-DV173^1.4)/(1-DV173))</f>
        <v>6.1775135758713926</v>
      </c>
      <c r="DY173" s="4">
        <f>MAX(DU173/2, (4-DT173*(8*AG173*(DW173-DX173)+6*K173*DX173))/(4+DT173*K173*DU173)*DU173)</f>
        <v>6.123968333475351</v>
      </c>
      <c r="DZ173" s="38">
        <f>MIN(1/N173*(4*AG173*(DW173-DX173)+(3*DX173+DY173)*K173)+EC173 -FJ173,MAX(J173,AJ173))</f>
        <v>452.24670010787213</v>
      </c>
      <c r="EA173" s="4">
        <f>DZ173/FF173</f>
        <v>1.000108483661005</v>
      </c>
      <c r="EB173" s="4">
        <f>AG173/N173</f>
        <v>2.2360679774997898</v>
      </c>
      <c r="EC173" s="4">
        <f>MIN(EB$10*BB173)</f>
        <v>78.75214415556357</v>
      </c>
      <c r="EG173" s="4">
        <f>IF(U173&gt;1*N173,0.85,1)</f>
        <v>0.85</v>
      </c>
      <c r="EH173" s="4">
        <f>MIN(1,MAX(0.7,(1-0.1*(BZ173-1*N173)/N173)))</f>
        <v>0.9</v>
      </c>
      <c r="EI173" s="4">
        <f>MIN(1,MAX(0.7,1-0.3*(PI()*AM173^2/4*AQ173*2-0.25*PI()/4*N173^2)/(PI()/4*N173^2)))</f>
        <v>0.91092644672796108</v>
      </c>
      <c r="EJ173" s="4">
        <f>IF(EH173*EI173&lt;0.7,0.7,EH173*EI173)</f>
        <v>0.81983380205516498</v>
      </c>
      <c r="EL173" s="4">
        <f>MIN(DU173/N173*3*K173+EM173-FJ173,MAX(J173,AJ173))</f>
        <v>572.40410864454111</v>
      </c>
      <c r="EM173" s="25">
        <f>13.3*Q173*K173^0.5*M173^0.5/X173/N173^2*(0.7+S173/5/K173)</f>
        <v>195.7434680219389</v>
      </c>
      <c r="EP173" s="4">
        <f>IF(N173&lt;22.2,1.1*5*(M173/30)^0.5,IF(N173&gt;=31.8,0.9*5*(M173/30)^0.5,1*5*(M173/30)^0.5))/EG173/EJ173</f>
        <v>7.8470966796375476</v>
      </c>
      <c r="ES173" s="4">
        <f>ET173*N173</f>
        <v>96.150923032490965</v>
      </c>
      <c r="ET173" s="4">
        <f>AF173^0.5</f>
        <v>2.2360679774997898</v>
      </c>
      <c r="EU173" s="4">
        <f>MIN(EC173)/(4700*M173^0.5)/AE173*ES173</f>
        <v>6.0514037823138273E-2</v>
      </c>
      <c r="EX173" s="4">
        <f>EU173</f>
        <v>6.0514037823138273E-2</v>
      </c>
      <c r="EY173" s="4">
        <f>MIN(0.999, EX173/(0.3*(M173/30)^0.5))</f>
        <v>0.16599447835604905</v>
      </c>
      <c r="EZ173" s="4">
        <f>EP173/1*EY173^0.4</f>
        <v>3.8260131652871294</v>
      </c>
      <c r="FA173" s="4">
        <f>EP173/1.4*(1-EY173^1.4)/(1-EY173)</f>
        <v>6.1767316478967276</v>
      </c>
      <c r="FB173" s="4">
        <f>MAX(0,DQ173*FB$9-ES173)</f>
        <v>419.84907696750906</v>
      </c>
      <c r="FC173" s="4">
        <f>MAX(0,DQ173-ES173-FB173)</f>
        <v>172</v>
      </c>
      <c r="FD173" s="4">
        <f>FC173/(1-0.3*(M173/30)^0.5)/200000/N173</f>
        <v>3.1473982762568646E-5</v>
      </c>
      <c r="FE173" s="4">
        <f>MAX(0.5*EP173, (1-2*FD173*(ES173*EZ173+FB173*FA173))/(1/EP173+FD173*FC173))</f>
        <v>6.1242403806038741</v>
      </c>
      <c r="FF173" s="4">
        <f>MIN(4/N173*(1*EZ173*ES173+FA173*FB173+FC173*FE173)+EC173,MAX(J173,AJ173))</f>
        <v>452.19764405194758</v>
      </c>
      <c r="FO173" s="23">
        <f>IF(CU173&lt;0.6,0.6,IF(CU173&lt;0.8,0.8,IF(CU173&lt;1,1,IF(CU173&lt;1.2,1.2,IF(CU173&lt;1.4,1.4,IF(CU173&lt;1.6,1.6,IF(CU173&lt;1.8,1.8,IF(CU173&lt;2,2,2.2))))))))</f>
        <v>1.2</v>
      </c>
      <c r="FP173" s="23">
        <f>IF(CV173&lt;0.6,0.6,IF(CV173&lt;0.8,0.8,IF(CV173&lt;1,1,IF(CV173&lt;1.2,1.2,IF(CV173&lt;1.4,1.4,IF(CV173&lt;1.6,1.6,IF(CV173&lt;1.8,1.8,IF(CV173&lt;2,2,2.2))))))))</f>
        <v>1.2</v>
      </c>
      <c r="FQ173" s="23">
        <f>IF(DA173&lt;0.6,0.6,IF(DA173&lt;0.8,0.8,IF(DA173&lt;1,1,IF(DA173&lt;1.2,1.2,IF(DA173&lt;1.4,1.4,IF(DA173&lt;1.6,1.6,IF(DA173&lt;1.8,1.8,IF(DA173&lt;2,2,2.2))))))))</f>
        <v>1</v>
      </c>
      <c r="FR173" s="23">
        <f>IF(CX173&lt;0.6,0.6,IF(CX173&lt;0.8,0.8,IF(CX173&lt;1,1,IF(CX173&lt;1.2,1.2,IF(CX173&lt;1.4,1.4,IF(CX173&lt;1.6,1.6,IF(CX173&lt;1.8,1.8,IF(CX173&lt;2,2,2.2))))))))</f>
        <v>1.6</v>
      </c>
      <c r="FS173" s="23">
        <f>IF(CY173&lt;0.6,0.6,IF(CY173&lt;0.8,0.8,IF(CY173&lt;1,1,IF(CY173&lt;1.2,1.2,IF(CY173&lt;1.4,1.4,IF(CY173&lt;1.6,1.6,IF(CY173&lt;1.8,1.8,IF(CY173&lt;2,2,2.2))))))))</f>
        <v>1.4</v>
      </c>
      <c r="FT173" s="23">
        <f>IF(CZ173&lt;0.6,0.6,IF(CZ173&lt;0.8,0.8,IF(CZ173&lt;1,1,IF(CZ173&lt;1.2,1.2,IF(CZ173&lt;1.4,1.4,IF(CZ173&lt;1.6,1.6,IF(CZ173&lt;1.8,1.8,IF(CZ173&lt;2,2,2.2))))))))</f>
        <v>1.2</v>
      </c>
      <c r="FU173" s="23">
        <f>IF(FS173&lt;1,1,0)</f>
        <v>0</v>
      </c>
      <c r="FV173" s="23"/>
      <c r="GF173" s="4">
        <f>IF(S173&gt;=2.5*25.4,1,1.25)</f>
        <v>1</v>
      </c>
      <c r="GG173" s="4">
        <f>IF(AO173&gt;1, 0.05*(18-MIN(8,(W173+N173)/N173))*(1-48000/MAX(60000,(J173*145))*(N173/25.4)^0.75*GH173), 1/12*(14-MIN(8,(W173+N173)/N173)))</f>
        <v>0.49190749660801991</v>
      </c>
      <c r="GH173" s="4">
        <f>MIN(0.3, AM173^2*PI()/4*2*AP173/(N173^2*PI()/4*X173))</f>
        <v>0.3</v>
      </c>
      <c r="GI173" s="4">
        <f>(K173/25.4)/(N173/25.4)^1.5/0.0024*(M173*145)^0.25/GF173/GG173/145</f>
        <v>643.10644230659943</v>
      </c>
    </row>
    <row r="174" spans="1:191" ht="12" customHeight="1" x14ac:dyDescent="0.3">
      <c r="A174" s="25">
        <v>164</v>
      </c>
      <c r="B174" s="24" t="s">
        <v>128</v>
      </c>
      <c r="C174" s="24">
        <v>2017</v>
      </c>
      <c r="D174" s="24" t="s">
        <v>309</v>
      </c>
      <c r="E174" s="24"/>
      <c r="F174" s="24"/>
      <c r="G174" s="109" t="s">
        <v>775</v>
      </c>
      <c r="H174" s="4" t="s">
        <v>171</v>
      </c>
      <c r="I174" s="5">
        <f>K174/N174</f>
        <v>10</v>
      </c>
      <c r="J174" s="100">
        <v>583</v>
      </c>
      <c r="K174" s="7">
        <f>10*N174</f>
        <v>573</v>
      </c>
      <c r="L174" s="7">
        <f>K174</f>
        <v>573</v>
      </c>
      <c r="M174" s="80">
        <v>51.4</v>
      </c>
      <c r="N174" s="37">
        <v>57.3</v>
      </c>
      <c r="O174" s="7">
        <f>K174/N174</f>
        <v>10</v>
      </c>
      <c r="P174" s="7">
        <f>L174/N174</f>
        <v>10</v>
      </c>
      <c r="Q174" s="7">
        <f>W174+2*S174+2*N174</f>
        <v>584.46</v>
      </c>
      <c r="R174" s="32">
        <f>S174/N174</f>
        <v>1</v>
      </c>
      <c r="S174" s="7">
        <f>1*N174</f>
        <v>57.3</v>
      </c>
      <c r="T174" s="32">
        <f>U174/N174</f>
        <v>0.97731239092495636</v>
      </c>
      <c r="U174" s="7">
        <f>40+16</f>
        <v>56</v>
      </c>
      <c r="V174" s="32">
        <f>W174/N174</f>
        <v>6.2</v>
      </c>
      <c r="W174" s="7">
        <f>(7.2-1)*N174</f>
        <v>355.26</v>
      </c>
      <c r="X174" s="7">
        <v>2</v>
      </c>
      <c r="Y174" s="7">
        <f>AN174</f>
        <v>0</v>
      </c>
      <c r="Z174" s="32">
        <f>AA174/N174</f>
        <v>5.0436300174520072</v>
      </c>
      <c r="AA174" s="7">
        <f>2/3*K174-0.5*186</f>
        <v>289</v>
      </c>
      <c r="AB174" s="7">
        <f>MIN(S174/N174+0.5, W174/2/N174+0.5)</f>
        <v>1.5</v>
      </c>
      <c r="AC174" s="7">
        <f>S174/N174+0.5</f>
        <v>1.5</v>
      </c>
      <c r="AD174" s="7">
        <f>2040/510</f>
        <v>4</v>
      </c>
      <c r="AE174" s="7">
        <f>2040/510</f>
        <v>4</v>
      </c>
      <c r="AF174" s="7">
        <f>AE174+1</f>
        <v>5</v>
      </c>
      <c r="AG174" s="7">
        <f>N174*AF174^0.5</f>
        <v>128.12669511073796</v>
      </c>
      <c r="AH174" s="7">
        <f>J174</f>
        <v>583</v>
      </c>
      <c r="AI174" s="7">
        <v>25</v>
      </c>
      <c r="AJ174" s="7">
        <f>(354+380)/2</f>
        <v>367</v>
      </c>
      <c r="AK174" s="7"/>
      <c r="AL174" s="4">
        <f>CY174</f>
        <v>1.5700011264151312</v>
      </c>
      <c r="AM174" s="7">
        <v>0</v>
      </c>
      <c r="AN174" s="7">
        <v>0</v>
      </c>
      <c r="AO174" s="7">
        <f>L174</f>
        <v>573</v>
      </c>
      <c r="AP174" s="7"/>
      <c r="AQ174" s="7"/>
      <c r="AR174" s="7">
        <f>3*AS174/(W174+N174)</f>
        <v>4.166666666666667</v>
      </c>
      <c r="AS174" s="4">
        <f>K174</f>
        <v>573</v>
      </c>
      <c r="AT174" s="4">
        <f>IF(K174*3&gt;W174+N174, Q174, (S174+N174/2)*2+1.5*K174*(2*X174-2))*(3*K174)/(9*K174^2)</f>
        <v>0.34</v>
      </c>
      <c r="AU174" s="4">
        <f>MIN(10*M174^0.5*K174^1.5,100*3.9*M174^0.5*K174^(5/3))/(PI()/4*N174^2)/X174</f>
        <v>190.67088022808852</v>
      </c>
      <c r="AV174" s="4">
        <f>MIN(0.7+0.3*(MIN(S174,AA174)+0.5*N174)/1.5/K174,1)</f>
        <v>0.73</v>
      </c>
      <c r="AW174" s="4">
        <v>1.25</v>
      </c>
      <c r="AX174" s="4">
        <f>AX173</f>
        <v>1</v>
      </c>
      <c r="AY174" s="38">
        <f>AT174*AV174*AW174*AX174*AU174</f>
        <v>59.15564059076447</v>
      </c>
      <c r="AZ174" s="38">
        <f>AY174</f>
        <v>59.15564059076447</v>
      </c>
      <c r="BA174" s="38">
        <f>IF(M174&lt;50, 0.3*M174^(2/3), 2.12*LN(1+0.1*(M174+8)))</f>
        <v>4.107079761979672</v>
      </c>
      <c r="BB174" s="38">
        <f>AX174* (M174^0.5/AS174^0.5)/(PI()/4*N174^2)/X174/0.72 *(0.7+(MIN(S174,AA174)+0.5*N174)/5/K174) *(3*Q174*K174)</f>
        <v>59.15564059076442</v>
      </c>
      <c r="BC174" s="38">
        <f>AY174/BB174</f>
        <v>1.0000000000000009</v>
      </c>
      <c r="BD174" s="38">
        <f>BH174/BB174</f>
        <v>5.2133659093220679</v>
      </c>
      <c r="BE174" s="4">
        <f>IF(BD174&lt;1,1,0)</f>
        <v>0</v>
      </c>
      <c r="BF174" s="4">
        <f>L174/N174*M174^0.5/0.19</f>
        <v>377.33575429336673</v>
      </c>
      <c r="BG174" s="4">
        <f>MIN(0.6+0.4*(AC174/AB174),2)</f>
        <v>1</v>
      </c>
      <c r="BH174" s="38">
        <f>2*M174*AB174*AD174^0.5*BG174*0.7/0.7</f>
        <v>308.39999999999998</v>
      </c>
      <c r="BI174" s="4">
        <f>MAX(1-0.7*AE174/5,0.3)</f>
        <v>0.44000000000000006</v>
      </c>
      <c r="BJ174" s="4">
        <f>BI174*J174*L174/(J174*N174/2.75/M174^0.5)</f>
        <v>86.749489912045021</v>
      </c>
      <c r="BK174" s="4">
        <f>BH174+BJ174</f>
        <v>395.149489912045</v>
      </c>
      <c r="BM174" s="4">
        <f>MIN(1.5, 0.75+0.25*MIN(3,MAX(1,S174/N174))+0.4*MIN(1,(40*2*PI()*AM174^2/4/AO174/X174)/N174))</f>
        <v>1</v>
      </c>
      <c r="BN174" s="4">
        <f>(3*P174+30)*BM174*M174^0.5</f>
        <v>430.16275989443812</v>
      </c>
      <c r="BP174" s="4">
        <f>3.4/PI()^0.5*M174*AB174*AE174^0.5*BG174</f>
        <v>295.79331486241767</v>
      </c>
      <c r="BQ174" s="4">
        <f>8/3*AH174*AI174^2/(AG174-N174-22)/N174*(AG174^2-N174^2)/(AG174^2-(N174+22)^2)</f>
        <v>450.3525339151019</v>
      </c>
      <c r="BR174" s="4">
        <f>BQ174/BP174</f>
        <v>1.5225243820151051</v>
      </c>
      <c r="BZ174" s="4">
        <f>IF(W174=0,S174,MIN(W174/2,S174))</f>
        <v>57.3</v>
      </c>
      <c r="CD174" s="9"/>
      <c r="CF174" s="9"/>
      <c r="CG174" s="9"/>
      <c r="CH174" s="9">
        <f>IF(W174=0,MIN(S174,U174),MIN(W174/2,S174,U174))</f>
        <v>56</v>
      </c>
      <c r="CI174" s="9">
        <f>MAX(W174/2,S174)</f>
        <v>177.63</v>
      </c>
      <c r="CJ174" s="9">
        <f>(CH174/N174)^0.5*(CI174/CH174)^0.15</f>
        <v>1.1754818988273255</v>
      </c>
      <c r="CK174" s="70">
        <v>0</v>
      </c>
      <c r="CL174" s="9">
        <f>MIN(PI()*AM174^2/4*AN174*2/X174/N174/MAX(0.01,AO174),0.05)</f>
        <v>0</v>
      </c>
      <c r="CM174" s="9">
        <f>MAX(0,CK174*(CL174-0.5/50))</f>
        <v>0</v>
      </c>
      <c r="CN174" s="9">
        <f>MIN(1,(25/N174)^0.3)</f>
        <v>0.77971450958075206</v>
      </c>
      <c r="CO174" s="9">
        <f>IF(J174&gt;=800,0.68,IF(J174&gt;=700,0.75-(J174-700)*0.07/100,IF(J174&gt;=600,0.85-(J174-600)*0.1/100,IF(J174&gt;=500,1-(J174-500)*0.15/100,1.2-(J174-400)*0.2/100))))</f>
        <v>0.87549999999999994</v>
      </c>
      <c r="CP174" s="9">
        <f>1.75*CN174*CO174*(M174/25)^0.5</f>
        <v>1.7129369207551171</v>
      </c>
      <c r="CQ174" s="9">
        <f>MIN((CJ174+CM174)*CP174,2.5*CP174,M174^0.5)</f>
        <v>2.013526344180657</v>
      </c>
      <c r="CR174" s="9">
        <v>1</v>
      </c>
      <c r="CS174" s="9">
        <f>4*CQ174*P174+60*CQ174</f>
        <v>201.35263441806569</v>
      </c>
      <c r="CU174" s="4">
        <f>AJ174/BF174</f>
        <v>0.97260860076002498</v>
      </c>
      <c r="CV174" s="4">
        <f>AJ174/BK174</f>
        <v>0.92876242882583326</v>
      </c>
      <c r="CW174" s="4">
        <f>AJ174/BN174</f>
        <v>0.85316543926317967</v>
      </c>
      <c r="CX174" s="4">
        <f>AJ174/CS174</f>
        <v>1.8226729491803071</v>
      </c>
      <c r="CY174" s="4">
        <f>AJ174/DZ174</f>
        <v>1.5700011264151312</v>
      </c>
      <c r="CZ174" s="4">
        <f>AJ174/EL174</f>
        <v>1.1362985571149462</v>
      </c>
      <c r="DA174" s="4">
        <f>AJ174/GI174</f>
        <v>1.3935634697003241</v>
      </c>
      <c r="DC174" s="4">
        <f>CU174</f>
        <v>0.97260860076002498</v>
      </c>
      <c r="DD174" s="4">
        <f>CV174</f>
        <v>0.92876242882583326</v>
      </c>
      <c r="DE174" s="4">
        <f>CX174</f>
        <v>1.8226729491803071</v>
      </c>
      <c r="DF174" s="4">
        <f>DA174</f>
        <v>1.3935634697003241</v>
      </c>
      <c r="DG174" s="4">
        <f>CY174</f>
        <v>1.5700011264151312</v>
      </c>
      <c r="DH174" s="4">
        <f>CZ174</f>
        <v>1.1362985571149462</v>
      </c>
      <c r="DP174" s="4">
        <f>AN174</f>
        <v>0</v>
      </c>
      <c r="DQ174" s="4">
        <f>L174</f>
        <v>573</v>
      </c>
      <c r="DT174" s="4">
        <f>K174/4/(1-0.3*(M174/30)^0.5)/200000/N174</f>
        <v>2.0582334451428195E-5</v>
      </c>
      <c r="DU174" s="4">
        <f>EP174</f>
        <v>5.8902461748215584</v>
      </c>
      <c r="DV174" s="4">
        <f>EC174*AG174/257/M174/AD174</f>
        <v>0.14344306359773176</v>
      </c>
      <c r="DW174" s="4">
        <f>DU174*DV174^0.4</f>
        <v>2.7089766819081986</v>
      </c>
      <c r="DX174" s="4">
        <f>MIN(DU174, DU174/1.4*(1-DV174^1.4)/(1-DV174))</f>
        <v>4.587854689381726</v>
      </c>
      <c r="DY174" s="4">
        <f>MAX(DU174/2, (4-DT174*(8*AG174*(DW174-DX174)+6*K174*DX174))/(4+DT174*K174*DU174)*DU174)</f>
        <v>5.3771708583480589</v>
      </c>
      <c r="DZ174" s="38">
        <f>MIN(1/N174*(4*AG174*(DW174-DX174)+(3*DX174+DY174)*K174)+EC174 -FJ174,MAX(J174,AJ174))</f>
        <v>233.75779407113612</v>
      </c>
      <c r="EA174" s="4">
        <f>DZ174/FF174</f>
        <v>1.0001125667706501</v>
      </c>
      <c r="EB174" s="4">
        <f>AG174/N174</f>
        <v>2.2360679774997898</v>
      </c>
      <c r="EC174" s="4">
        <f>MIN(EB$10*BB174)</f>
        <v>59.15564059076442</v>
      </c>
      <c r="EG174" s="4">
        <f>IF(U174&gt;1*N174,0.85,1)</f>
        <v>1</v>
      </c>
      <c r="EH174" s="4">
        <f>MIN(1,MAX(0.7,(1-0.1*(BZ174-1*N174)/N174)))</f>
        <v>1</v>
      </c>
      <c r="EI174" s="4">
        <f>MIN(1,MAX(0.7,1-0.3*(PI()*AM174^2/4*AQ174*2-0.25*PI()/4*N174^2)/(PI()/4*N174^2)))</f>
        <v>1</v>
      </c>
      <c r="EJ174" s="4">
        <f>IF(EH174*EI174&lt;0.7,0.7,EH174*EI174)</f>
        <v>1</v>
      </c>
      <c r="EL174" s="4">
        <f>MIN(DU174/N174*3*K174+EM174-FJ174,MAX(J174,AJ174))</f>
        <v>322.97849689417046</v>
      </c>
      <c r="EM174" s="25">
        <f>13.3*Q174*K174^0.5*M174^0.5/X174/N174^2*(0.7+S174/5/K174)</f>
        <v>146.27111164952376</v>
      </c>
      <c r="EP174" s="4">
        <f>IF(N174&lt;22.2,1.1*5*(M174/30)^0.5,IF(N174&gt;=31.8,0.9*5*(M174/30)^0.5,1*5*(M174/30)^0.5))/EG174/EJ174</f>
        <v>5.8902461748215584</v>
      </c>
      <c r="ES174" s="4">
        <f>ET174*N174</f>
        <v>128.12669511073796</v>
      </c>
      <c r="ET174" s="4">
        <f>AF174^0.5</f>
        <v>2.2360679774997898</v>
      </c>
      <c r="EU174" s="4">
        <f>MIN(EC174)/(4700*M174^0.5)/AE174*ES174</f>
        <v>5.6233663404619924E-2</v>
      </c>
      <c r="EX174" s="4">
        <f>EU174</f>
        <v>5.6233663404619924E-2</v>
      </c>
      <c r="EY174" s="4">
        <f>MIN(0.999, EX174/(0.3*(M174/30)^0.5))</f>
        <v>0.14320368385873999</v>
      </c>
      <c r="EZ174" s="4">
        <f>EP174/1*EY174^0.4</f>
        <v>2.707167464902414</v>
      </c>
      <c r="FA174" s="4">
        <f>EP174/1.4*(1-EY174^1.4)/(1-EY174)</f>
        <v>4.5873294982396446</v>
      </c>
      <c r="FB174" s="4">
        <f>MAX(0,DQ174*FB$9-ES174)</f>
        <v>301.62330488926204</v>
      </c>
      <c r="FC174" s="4">
        <f>MAX(0,DQ174-ES174-FB174)</f>
        <v>143.25</v>
      </c>
      <c r="FD174" s="4">
        <f>FC174/(1-0.3*(M174/30)^0.5)/200000/N174</f>
        <v>2.0582334451428195E-5</v>
      </c>
      <c r="FE174" s="4">
        <f>MAX(0.5*EP174, (1-2*FD174*(ES174*EZ174+FB174*FA174))/(1/EP174+FD174*FC174))</f>
        <v>5.3772638595891129</v>
      </c>
      <c r="FF174" s="4">
        <f>MIN(4/N174*(1*EZ174*ES174+FA174*FB174+FC174*FE174)+EC174,MAX(J174,AJ174))</f>
        <v>233.73148367281979</v>
      </c>
      <c r="FO174" s="23">
        <f>IF(CU174&lt;0.6,0.6,IF(CU174&lt;0.8,0.8,IF(CU174&lt;1,1,IF(CU174&lt;1.2,1.2,IF(CU174&lt;1.4,1.4,IF(CU174&lt;1.6,1.6,IF(CU174&lt;1.8,1.8,IF(CU174&lt;2,2,2.2))))))))</f>
        <v>1</v>
      </c>
      <c r="FP174" s="23">
        <f>IF(CV174&lt;0.6,0.6,IF(CV174&lt;0.8,0.8,IF(CV174&lt;1,1,IF(CV174&lt;1.2,1.2,IF(CV174&lt;1.4,1.4,IF(CV174&lt;1.6,1.6,IF(CV174&lt;1.8,1.8,IF(CV174&lt;2,2,2.2))))))))</f>
        <v>1</v>
      </c>
      <c r="FQ174" s="23">
        <f>IF(DA174&lt;0.6,0.6,IF(DA174&lt;0.8,0.8,IF(DA174&lt;1,1,IF(DA174&lt;1.2,1.2,IF(DA174&lt;1.4,1.4,IF(DA174&lt;1.6,1.6,IF(DA174&lt;1.8,1.8,IF(DA174&lt;2,2,2.2))))))))</f>
        <v>1.4</v>
      </c>
      <c r="FR174" s="23">
        <f>IF(CX174&lt;0.6,0.6,IF(CX174&lt;0.8,0.8,IF(CX174&lt;1,1,IF(CX174&lt;1.2,1.2,IF(CX174&lt;1.4,1.4,IF(CX174&lt;1.6,1.6,IF(CX174&lt;1.8,1.8,IF(CX174&lt;2,2,2.2))))))))</f>
        <v>2</v>
      </c>
      <c r="FS174" s="23">
        <f>IF(CY174&lt;0.6,0.6,IF(CY174&lt;0.8,0.8,IF(CY174&lt;1,1,IF(CY174&lt;1.2,1.2,IF(CY174&lt;1.4,1.4,IF(CY174&lt;1.6,1.6,IF(CY174&lt;1.8,1.8,IF(CY174&lt;2,2,2.2))))))))</f>
        <v>1.6</v>
      </c>
      <c r="FT174" s="23">
        <f>IF(CZ174&lt;0.6,0.6,IF(CZ174&lt;0.8,0.8,IF(CZ174&lt;1,1,IF(CZ174&lt;1.2,1.2,IF(CZ174&lt;1.4,1.4,IF(CZ174&lt;1.6,1.6,IF(CZ174&lt;1.8,1.8,IF(CZ174&lt;2,2,2.2))))))))</f>
        <v>1.2</v>
      </c>
      <c r="FU174" s="23">
        <f>IF(FS174&lt;1,1,0)</f>
        <v>0</v>
      </c>
      <c r="FV174" s="23"/>
      <c r="GF174" s="4">
        <f>IF(S174&gt;=2.5*25.4,1,1.25)</f>
        <v>1.25</v>
      </c>
      <c r="GG174" s="4">
        <f>IF(AO174&gt;1, 0.05*(18-MIN(8,(W174+N174)/N174))*(1-48000/MAX(60000,(J174*145))*(N174/25.4)^0.75*GH174), 1/12*(14-MIN(8,(W174+N174)/N174)))</f>
        <v>0.54</v>
      </c>
      <c r="GH174" s="4">
        <f>MIN(0.3, AM174^2*PI()/4*2*AP174/(N174^2*PI()/4*X174))</f>
        <v>0</v>
      </c>
      <c r="GI174" s="4">
        <f>(K174/25.4)/(N174/25.4)^1.5/0.0024*(M174*145)^0.25/GF174/GG174/145</f>
        <v>263.35363116178752</v>
      </c>
    </row>
    <row r="175" spans="1:191" ht="12" customHeight="1" x14ac:dyDescent="0.3">
      <c r="A175" s="25">
        <v>165</v>
      </c>
      <c r="B175" s="24" t="s">
        <v>128</v>
      </c>
      <c r="C175" s="24">
        <v>2017</v>
      </c>
      <c r="D175" s="24" t="s">
        <v>309</v>
      </c>
      <c r="E175" s="24"/>
      <c r="F175" s="24"/>
      <c r="G175" s="109" t="s">
        <v>775</v>
      </c>
      <c r="H175" s="4" t="s">
        <v>172</v>
      </c>
      <c r="I175" s="5">
        <f>K175/N175</f>
        <v>10</v>
      </c>
      <c r="J175" s="100">
        <v>583</v>
      </c>
      <c r="K175" s="7">
        <f>10*N175</f>
        <v>573</v>
      </c>
      <c r="L175" s="7">
        <f>K175</f>
        <v>573</v>
      </c>
      <c r="M175" s="80">
        <v>51.4</v>
      </c>
      <c r="N175" s="37">
        <v>57.3</v>
      </c>
      <c r="O175" s="7">
        <f>K175/N175</f>
        <v>10</v>
      </c>
      <c r="P175" s="7">
        <f>L175/N175</f>
        <v>10</v>
      </c>
      <c r="Q175" s="7">
        <f>W175+2*S175+2*N175</f>
        <v>584.46</v>
      </c>
      <c r="R175" s="32">
        <f>S175/N175</f>
        <v>1</v>
      </c>
      <c r="S175" s="7">
        <f>1*N175</f>
        <v>57.3</v>
      </c>
      <c r="T175" s="32">
        <f>U175/N175</f>
        <v>0.97731239092495636</v>
      </c>
      <c r="U175" s="7">
        <f>40+16</f>
        <v>56</v>
      </c>
      <c r="V175" s="32">
        <f>W175/N175</f>
        <v>6.2</v>
      </c>
      <c r="W175" s="7">
        <f>(7.2-1)*N175</f>
        <v>355.26</v>
      </c>
      <c r="X175" s="7">
        <v>2</v>
      </c>
      <c r="Y175" s="7">
        <f>AN175</f>
        <v>2</v>
      </c>
      <c r="Z175" s="32">
        <f>AA175/N175</f>
        <v>5.0436300174520072</v>
      </c>
      <c r="AA175" s="7">
        <f>2/3*K175-0.5*186</f>
        <v>289</v>
      </c>
      <c r="AB175" s="7">
        <f>MIN(S175/N175+0.5, W175/2/N175+0.5)</f>
        <v>1.5</v>
      </c>
      <c r="AC175" s="7">
        <f>S175/N175+0.5</f>
        <v>1.5</v>
      </c>
      <c r="AD175" s="7">
        <f>2040/510</f>
        <v>4</v>
      </c>
      <c r="AE175" s="7">
        <f>2040/510</f>
        <v>4</v>
      </c>
      <c r="AF175" s="7">
        <f>AE175+1</f>
        <v>5</v>
      </c>
      <c r="AG175" s="7">
        <f>N175*AF175^0.5</f>
        <v>128.12669511073796</v>
      </c>
      <c r="AH175" s="7">
        <f>J175</f>
        <v>583</v>
      </c>
      <c r="AI175" s="7">
        <v>25</v>
      </c>
      <c r="AJ175" s="7">
        <f>(470+475)/2</f>
        <v>472.5</v>
      </c>
      <c r="AK175" s="7"/>
      <c r="AL175" s="4">
        <f>CY175</f>
        <v>1.9957036604518148</v>
      </c>
      <c r="AM175" s="7">
        <v>15.9</v>
      </c>
      <c r="AN175" s="7">
        <v>2</v>
      </c>
      <c r="AO175" s="7">
        <v>275</v>
      </c>
      <c r="AP175" s="7">
        <v>4</v>
      </c>
      <c r="AQ175" s="7">
        <f>AN175</f>
        <v>2</v>
      </c>
      <c r="AR175" s="7">
        <f>3*AS175/(W175+N175)</f>
        <v>4.166666666666667</v>
      </c>
      <c r="AS175" s="4">
        <f>K175</f>
        <v>573</v>
      </c>
      <c r="AT175" s="4">
        <f>IF(K175*3&gt;W175+N175, Q175, (S175+N175/2)*2+1.5*K175*(2*X175-2))*(3*K175)/(9*K175^2)</f>
        <v>0.34</v>
      </c>
      <c r="AU175" s="4">
        <f>MIN(10*M175^0.5*K175^1.5,100*3.9*M175^0.5*K175^(5/3))/(PI()/4*N175^2)/X175</f>
        <v>190.67088022808852</v>
      </c>
      <c r="AV175" s="4">
        <f>MIN(0.7+0.3*(MIN(S175,AA175)+0.5*N175)/1.5/K175,1)</f>
        <v>0.73</v>
      </c>
      <c r="AW175" s="4">
        <v>1.25</v>
      </c>
      <c r="AX175" s="4">
        <f>AX174</f>
        <v>1</v>
      </c>
      <c r="AY175" s="38">
        <f>AT175*AV175*AW175*AX175*AU175</f>
        <v>59.15564059076447</v>
      </c>
      <c r="AZ175" s="38">
        <f>AY175</f>
        <v>59.15564059076447</v>
      </c>
      <c r="BA175" s="38">
        <f>IF(M175&lt;50, 0.3*M175^(2/3), 2.12*LN(1+0.1*(M175+8)))</f>
        <v>4.107079761979672</v>
      </c>
      <c r="BB175" s="38">
        <f>AX175* (M175^0.5/AS175^0.5)/(PI()/4*N175^2)/X175/0.72 *(0.7+(MIN(S175,AA175)+0.5*N175)/5/K175) *(3*Q175*K175)</f>
        <v>59.15564059076442</v>
      </c>
      <c r="BC175" s="38">
        <f>AY175/BB175</f>
        <v>1.0000000000000009</v>
      </c>
      <c r="BD175" s="38">
        <f>BH175/BB175</f>
        <v>5.2133659093220679</v>
      </c>
      <c r="BE175" s="4">
        <f>IF(BD175&lt;1,1,0)</f>
        <v>0</v>
      </c>
      <c r="BF175" s="4">
        <f>L175/N175*M175^0.5/0.19</f>
        <v>377.33575429336673</v>
      </c>
      <c r="BG175" s="4">
        <f>MIN(0.6+0.4*(AC175/AB175),2)</f>
        <v>1</v>
      </c>
      <c r="BH175" s="38">
        <f>2*M175*AB175*AD175^0.5*BG175*0.7/0.7</f>
        <v>308.39999999999998</v>
      </c>
      <c r="BI175" s="4">
        <f>MAX(1-0.7*AE175/5,0.3)</f>
        <v>0.44000000000000006</v>
      </c>
      <c r="BJ175" s="4">
        <f>BI175*J175*L175/(J175*N175/2.75/M175^0.5)</f>
        <v>86.749489912045021</v>
      </c>
      <c r="BK175" s="4">
        <f>BH175+BJ175</f>
        <v>395.149489912045</v>
      </c>
      <c r="BM175" s="4">
        <f>MIN(1.5, 0.75+0.25*MIN(3,MAX(1,S175/N175))+0.4*MIN(1,(40*2*PI()*AM175^2/4/AO175/X175)/N175))</f>
        <v>1.201612194511575</v>
      </c>
      <c r="BN175" s="4">
        <f>(3*P175+30)*BM175*M175^0.5</f>
        <v>516.88881791391145</v>
      </c>
      <c r="BP175" s="4">
        <f>3.4/PI()^0.5*M175*AB175*AE175^0.5*BG175</f>
        <v>295.79331486241767</v>
      </c>
      <c r="BQ175" s="4">
        <f>8/3*AH175*AI175^2/(AG175-N175-22)/N175*(AG175^2-N175^2)/(AG175^2-(N175+22)^2)</f>
        <v>450.3525339151019</v>
      </c>
      <c r="BR175" s="4">
        <f>BQ175/BP175</f>
        <v>1.5225243820151051</v>
      </c>
      <c r="BZ175" s="4">
        <f>IF(W175=0,S175,MIN(W175/2,S175))</f>
        <v>57.3</v>
      </c>
      <c r="CD175" s="9"/>
      <c r="CF175" s="9"/>
      <c r="CG175" s="9"/>
      <c r="CH175" s="9">
        <f>IF(W175=0,MIN(S175,U175),MIN(W175/2,S175,U175))</f>
        <v>56</v>
      </c>
      <c r="CI175" s="9">
        <f>MAX(W175/2,S175)</f>
        <v>177.63</v>
      </c>
      <c r="CJ175" s="9">
        <f>(CH175/N175)^0.5*(CI175/CH175)^0.15</f>
        <v>1.1754818988273255</v>
      </c>
      <c r="CK175" s="70">
        <v>20</v>
      </c>
      <c r="CL175" s="9">
        <f>MIN(PI()*AM175^2/4*AN175*2/X175/N175/MAX(0.01,AO175),0.05)</f>
        <v>2.5201524313946871E-2</v>
      </c>
      <c r="CM175" s="9">
        <f>MAX(0,CK175*(CL175-0.5/50))</f>
        <v>0.30403048627893742</v>
      </c>
      <c r="CN175" s="9">
        <f>MIN(1,(25/N175)^0.3)</f>
        <v>0.77971450958075206</v>
      </c>
      <c r="CO175" s="9">
        <f>IF(J175&gt;=800,0.68,IF(J175&gt;=700,0.75-(J175-700)*0.07/100,IF(J175&gt;=600,0.85-(J175-600)*0.1/100,IF(J175&gt;=500,1-(J175-500)*0.15/100,1.2-(J175-400)*0.2/100))))</f>
        <v>0.87549999999999994</v>
      </c>
      <c r="CP175" s="9">
        <f>1.75*CN175*CO175*(M175/25)^0.5</f>
        <v>1.7129369207551171</v>
      </c>
      <c r="CQ175" s="9">
        <f>MIN((CJ175+CM175)*CP175,2.5*CP175,M175^0.5)</f>
        <v>2.5343113891629807</v>
      </c>
      <c r="CR175" s="9">
        <v>1</v>
      </c>
      <c r="CS175" s="9">
        <f>4*CQ175*P175+60*CQ175</f>
        <v>253.43113891629807</v>
      </c>
      <c r="CU175" s="4">
        <f>AJ175/BF175</f>
        <v>1.2522004464825935</v>
      </c>
      <c r="CV175" s="4">
        <f>AJ175/BK175</f>
        <v>1.1957499935155482</v>
      </c>
      <c r="CW175" s="4">
        <f>AJ175/BN175</f>
        <v>0.91412308338752946</v>
      </c>
      <c r="CX175" s="4">
        <f>AJ175/CS175</f>
        <v>1.8644117767866515</v>
      </c>
      <c r="CY175" s="4">
        <f>AJ175/DZ175</f>
        <v>1.9957036604518148</v>
      </c>
      <c r="CZ175" s="4">
        <f>AJ175/EL175</f>
        <v>1.4489090299456451</v>
      </c>
      <c r="DA175" s="4">
        <f>AJ175/GI175</f>
        <v>1.2315922030510305</v>
      </c>
      <c r="DI175" s="4">
        <f>CU175</f>
        <v>1.2522004464825935</v>
      </c>
      <c r="DJ175" s="4">
        <f>CV175</f>
        <v>1.1957499935155482</v>
      </c>
      <c r="DK175" s="4">
        <f>CX175</f>
        <v>1.8644117767866515</v>
      </c>
      <c r="DL175" s="4">
        <f>DA175</f>
        <v>1.2315922030510305</v>
      </c>
      <c r="DM175" s="4">
        <f>CY175</f>
        <v>1.9957036604518148</v>
      </c>
      <c r="DN175" s="4">
        <f>CZ175</f>
        <v>1.4489090299456451</v>
      </c>
      <c r="DP175" s="4">
        <f>AN175</f>
        <v>2</v>
      </c>
      <c r="DQ175" s="4">
        <f>L175</f>
        <v>573</v>
      </c>
      <c r="DT175" s="4">
        <f>K175/4/(1-0.3*(M175/30)^0.5)/200000/N175</f>
        <v>2.0582334451428195E-5</v>
      </c>
      <c r="DU175" s="4">
        <f>EP175</f>
        <v>5.99454394365008</v>
      </c>
      <c r="DV175" s="4">
        <f>EC175*AG175/257/M175/AD175</f>
        <v>0.14344306359773176</v>
      </c>
      <c r="DW175" s="4">
        <f>DU175*DV175^0.4</f>
        <v>2.7569441548025</v>
      </c>
      <c r="DX175" s="4">
        <f>MIN(DU175, DU175/1.4*(1-DV175^1.4)/(1-DV175))</f>
        <v>4.6690911935294466</v>
      </c>
      <c r="DY175" s="4">
        <f>MAX(DU175/2, (4-DT175*(8*AG175*(DW175-DX175)+6*K175*DX175))/(4+DT175*K175*DU175)*DU175)</f>
        <v>5.4632984312882416</v>
      </c>
      <c r="DZ175" s="38">
        <f>MIN(1/N175*(4*AG175*(DW175-DX175)+(3*DX175+DY175)*K175)+EC175 -FJ175,MAX(J175,AJ175))</f>
        <v>236.75859766325675</v>
      </c>
      <c r="EA175" s="4">
        <f>DZ175/FF175</f>
        <v>1.0001130384699952</v>
      </c>
      <c r="EB175" s="4">
        <f>AG175/N175</f>
        <v>2.2360679774997898</v>
      </c>
      <c r="EC175" s="4">
        <f>MIN(EB$10*BB175)</f>
        <v>59.15564059076442</v>
      </c>
      <c r="EG175" s="4">
        <f>IF(U175&gt;1*N175,0.85,1)</f>
        <v>1</v>
      </c>
      <c r="EH175" s="4">
        <f>MIN(1,MAX(0.7,(1-0.1*(BZ175-1*N175)/N175)))</f>
        <v>1</v>
      </c>
      <c r="EI175" s="4">
        <f>MIN(1,MAX(0.7,1-0.3*(PI()*AM175^2/4*AQ175*2-0.25*PI()/4*N175^2)/(PI()/4*N175^2)))</f>
        <v>0.9826012170719004</v>
      </c>
      <c r="EJ175" s="4">
        <f>IF(EH175*EI175&lt;0.7,0.7,EH175*EI175)</f>
        <v>0.9826012170719004</v>
      </c>
      <c r="EL175" s="4">
        <f>MIN(DU175/N175*3*K175+EM175-FJ175,MAX(J175,AJ175))</f>
        <v>326.10742995902615</v>
      </c>
      <c r="EM175" s="25">
        <f>13.3*Q175*K175^0.5*M175^0.5/X175/N175^2*(0.7+S175/5/K175)</f>
        <v>146.27111164952376</v>
      </c>
      <c r="EP175" s="4">
        <f>IF(N175&lt;22.2,1.1*5*(M175/30)^0.5,IF(N175&gt;=31.8,0.9*5*(M175/30)^0.5,1*5*(M175/30)^0.5))/EG175/EJ175</f>
        <v>5.99454394365008</v>
      </c>
      <c r="ES175" s="4">
        <f>ET175*N175</f>
        <v>128.12669511073796</v>
      </c>
      <c r="ET175" s="4">
        <f>AF175^0.5</f>
        <v>2.2360679774997898</v>
      </c>
      <c r="EU175" s="4">
        <f>MIN(EC175)/(4700*M175^0.5)/AE175*ES175</f>
        <v>5.6233663404619924E-2</v>
      </c>
      <c r="EX175" s="4">
        <f>EU175</f>
        <v>5.6233663404619924E-2</v>
      </c>
      <c r="EY175" s="4">
        <f>MIN(0.999, EX175/(0.3*(M175/30)^0.5))</f>
        <v>0.14320368385873999</v>
      </c>
      <c r="EZ175" s="4">
        <f>EP175/1*EY175^0.4</f>
        <v>2.7551029022431193</v>
      </c>
      <c r="FA175" s="4">
        <f>EP175/1.4*(1-EY175^1.4)/(1-EY175)</f>
        <v>4.6685567029009425</v>
      </c>
      <c r="FB175" s="4">
        <f>MAX(0,DQ175*FB$9-ES175)</f>
        <v>301.62330488926204</v>
      </c>
      <c r="FC175" s="4">
        <f>MAX(0,DQ175-ES175-FB175)</f>
        <v>143.25</v>
      </c>
      <c r="FD175" s="4">
        <f>FC175/(1-0.3*(M175/30)^0.5)/200000/N175</f>
        <v>2.0582334451428195E-5</v>
      </c>
      <c r="FE175" s="4">
        <f>MAX(0.5*EP175, (1-2*FD175*(ES175*EZ175+FB175*FA175))/(1/EP175+FD175*FC175))</f>
        <v>5.463394726101825</v>
      </c>
      <c r="FF175" s="4">
        <f>MIN(4/N175*(1*EZ175*ES175+FA175*FB175+FC175*FE175)+EC175,MAX(J175,AJ175))</f>
        <v>236.73183785850605</v>
      </c>
      <c r="FO175" s="23">
        <f>IF(CU175&lt;0.6,0.6,IF(CU175&lt;0.8,0.8,IF(CU175&lt;1,1,IF(CU175&lt;1.2,1.2,IF(CU175&lt;1.4,1.4,IF(CU175&lt;1.6,1.6,IF(CU175&lt;1.8,1.8,IF(CU175&lt;2,2,2.2))))))))</f>
        <v>1.4</v>
      </c>
      <c r="FP175" s="23">
        <f>IF(CV175&lt;0.6,0.6,IF(CV175&lt;0.8,0.8,IF(CV175&lt;1,1,IF(CV175&lt;1.2,1.2,IF(CV175&lt;1.4,1.4,IF(CV175&lt;1.6,1.6,IF(CV175&lt;1.8,1.8,IF(CV175&lt;2,2,2.2))))))))</f>
        <v>1.2</v>
      </c>
      <c r="FQ175" s="23">
        <f>IF(DA175&lt;0.6,0.6,IF(DA175&lt;0.8,0.8,IF(DA175&lt;1,1,IF(DA175&lt;1.2,1.2,IF(DA175&lt;1.4,1.4,IF(DA175&lt;1.6,1.6,IF(DA175&lt;1.8,1.8,IF(DA175&lt;2,2,2.2))))))))</f>
        <v>1.4</v>
      </c>
      <c r="FR175" s="23">
        <f>IF(CX175&lt;0.6,0.6,IF(CX175&lt;0.8,0.8,IF(CX175&lt;1,1,IF(CX175&lt;1.2,1.2,IF(CX175&lt;1.4,1.4,IF(CX175&lt;1.6,1.6,IF(CX175&lt;1.8,1.8,IF(CX175&lt;2,2,2.2))))))))</f>
        <v>2</v>
      </c>
      <c r="FS175" s="23">
        <f>IF(CY175&lt;0.6,0.6,IF(CY175&lt;0.8,0.8,IF(CY175&lt;1,1,IF(CY175&lt;1.2,1.2,IF(CY175&lt;1.4,1.4,IF(CY175&lt;1.6,1.6,IF(CY175&lt;1.8,1.8,IF(CY175&lt;2,2,2.2))))))))</f>
        <v>2</v>
      </c>
      <c r="FT175" s="23">
        <f>IF(CZ175&lt;0.6,0.6,IF(CZ175&lt;0.8,0.8,IF(CZ175&lt;1,1,IF(CZ175&lt;1.2,1.2,IF(CZ175&lt;1.4,1.4,IF(CZ175&lt;1.6,1.6,IF(CZ175&lt;1.8,1.8,IF(CZ175&lt;2,2,2.2))))))))</f>
        <v>1.6</v>
      </c>
      <c r="FU175" s="23">
        <f>IF(FS175&lt;1,1,0)</f>
        <v>0</v>
      </c>
      <c r="FV175" s="23"/>
      <c r="GF175" s="4">
        <f>IF(S175&gt;=2.5*25.4,1,1.25)</f>
        <v>1.25</v>
      </c>
      <c r="GG175" s="4">
        <f>IF(AO175&gt;1, 0.05*(18-MIN(8,(W175+N175)/N175))*(1-48000/MAX(60000,(J175*145))*(N175/25.4)^0.75*GH175), 1/12*(14-MIN(8,(W175+N175)/N175)))</f>
        <v>0.37067917575318227</v>
      </c>
      <c r="GH175" s="4">
        <f>MIN(0.3, AM175^2*PI()/4*2*AP175/(N175^2*PI()/4*X175))</f>
        <v>0.3</v>
      </c>
      <c r="GI175" s="4">
        <f>(K175/25.4)/(N175/25.4)^1.5/0.0024*(M175*145)^0.25/GF175/GG175/145</f>
        <v>383.64971687014014</v>
      </c>
    </row>
    <row r="176" spans="1:191" ht="12" customHeight="1" x14ac:dyDescent="0.3">
      <c r="A176" s="25">
        <v>166</v>
      </c>
      <c r="B176" s="24" t="s">
        <v>128</v>
      </c>
      <c r="C176" s="24">
        <v>2017</v>
      </c>
      <c r="D176" s="24" t="s">
        <v>309</v>
      </c>
      <c r="E176" s="24"/>
      <c r="F176" s="24"/>
      <c r="G176" s="109" t="s">
        <v>775</v>
      </c>
      <c r="H176" s="4" t="s">
        <v>173</v>
      </c>
      <c r="I176" s="5">
        <f>K176/N176</f>
        <v>10</v>
      </c>
      <c r="J176" s="100">
        <v>583</v>
      </c>
      <c r="K176" s="7">
        <f>10*N176</f>
        <v>573</v>
      </c>
      <c r="L176" s="7">
        <f>K176</f>
        <v>573</v>
      </c>
      <c r="M176" s="84">
        <v>76.900000000000006</v>
      </c>
      <c r="N176" s="37">
        <v>57.3</v>
      </c>
      <c r="O176" s="7">
        <f>K176/N176</f>
        <v>10</v>
      </c>
      <c r="P176" s="7">
        <f>L176/N176</f>
        <v>10</v>
      </c>
      <c r="Q176" s="7">
        <f>W176+2*S176+2*N176</f>
        <v>584.46</v>
      </c>
      <c r="R176" s="32">
        <f>S176/N176</f>
        <v>1</v>
      </c>
      <c r="S176" s="7">
        <f>1*N176</f>
        <v>57.3</v>
      </c>
      <c r="T176" s="32">
        <f>U176/N176</f>
        <v>0.97731239092495636</v>
      </c>
      <c r="U176" s="7">
        <f>40+16</f>
        <v>56</v>
      </c>
      <c r="V176" s="32">
        <f>W176/N176</f>
        <v>6.2</v>
      </c>
      <c r="W176" s="7">
        <f>(7.2-1)*N176</f>
        <v>355.26</v>
      </c>
      <c r="X176" s="7">
        <v>2</v>
      </c>
      <c r="Y176" s="7">
        <f>AN176</f>
        <v>0</v>
      </c>
      <c r="Z176" s="32">
        <f>AA176/N176</f>
        <v>5.0436300174520072</v>
      </c>
      <c r="AA176" s="7">
        <f>2/3*K176-0.5*186</f>
        <v>289</v>
      </c>
      <c r="AB176" s="7">
        <f>MIN(S176/N176+0.5, W176/2/N176+0.5)</f>
        <v>1.5</v>
      </c>
      <c r="AC176" s="7">
        <f>S176/N176+0.5</f>
        <v>1.5</v>
      </c>
      <c r="AD176" s="7">
        <f>2040/510</f>
        <v>4</v>
      </c>
      <c r="AE176" s="7">
        <f>2040/510</f>
        <v>4</v>
      </c>
      <c r="AF176" s="7">
        <f>AE176+1</f>
        <v>5</v>
      </c>
      <c r="AG176" s="7">
        <f>N176*AF176^0.5</f>
        <v>128.12669511073796</v>
      </c>
      <c r="AH176" s="7">
        <f>J176</f>
        <v>583</v>
      </c>
      <c r="AI176" s="7">
        <v>25</v>
      </c>
      <c r="AJ176" s="7">
        <f>(445+445)/2</f>
        <v>445</v>
      </c>
      <c r="AK176" s="7"/>
      <c r="AL176" s="4">
        <f>CY176</f>
        <v>1.5911627720568966</v>
      </c>
      <c r="AM176" s="7">
        <v>0</v>
      </c>
      <c r="AN176" s="7">
        <v>0</v>
      </c>
      <c r="AO176" s="7">
        <f>L176</f>
        <v>573</v>
      </c>
      <c r="AP176" s="7"/>
      <c r="AQ176" s="7"/>
      <c r="AR176" s="7">
        <f>3*AS176/(W176+N176)</f>
        <v>4.166666666666667</v>
      </c>
      <c r="AS176" s="4">
        <f>K176</f>
        <v>573</v>
      </c>
      <c r="AT176" s="4">
        <f>IF(K176*3&gt;W176+N176, Q176, (S176+N176/2)*2+1.5*K176*(2*X176-2))*(3*K176)/(9*K176^2)</f>
        <v>0.34</v>
      </c>
      <c r="AU176" s="4">
        <f>MIN(10*M176^0.5*K176^1.5,100*3.9*M176^0.5*K176^(5/3))/(PI()/4*N176^2)/X176</f>
        <v>233.220102499962</v>
      </c>
      <c r="AV176" s="4">
        <f>MIN(0.7+0.3*(MIN(S176,AA176)+0.5*N176)/1.5/K176,1)</f>
        <v>0.73</v>
      </c>
      <c r="AW176" s="4">
        <v>1.25</v>
      </c>
      <c r="AX176" s="4">
        <f>AX175</f>
        <v>1</v>
      </c>
      <c r="AY176" s="38">
        <f>AT176*AV176*AW176*AX176*AU176</f>
        <v>72.356536800613213</v>
      </c>
      <c r="AZ176" s="38">
        <f>AY176</f>
        <v>72.356536800613213</v>
      </c>
      <c r="BA176" s="38">
        <f>IF(M176&lt;50, 0.3*M176^(2/3), 2.12*LN(1+0.1*(M176+8)))</f>
        <v>4.7705058587582929</v>
      </c>
      <c r="BB176" s="38">
        <f>AX176* (M176^0.5/AS176^0.5)/(PI()/4*N176^2)/X176/0.72 *(0.7+(MIN(S176,AA176)+0.5*N176)/5/K176) *(3*Q176*K176)</f>
        <v>72.356536800613142</v>
      </c>
      <c r="BC176" s="38">
        <f>AY176/BB176</f>
        <v>1.0000000000000009</v>
      </c>
      <c r="BD176" s="38">
        <f>BH176/BB176</f>
        <v>6.3767562738863726</v>
      </c>
      <c r="BE176" s="4">
        <f>IF(BD176&lt;1,1,0)</f>
        <v>0</v>
      </c>
      <c r="BF176" s="4">
        <f>L176/N176*M176^0.5/0.19</f>
        <v>461.54023722934221</v>
      </c>
      <c r="BG176" s="4">
        <f>MIN(0.6+0.4*(AC176/AB176),2)</f>
        <v>1</v>
      </c>
      <c r="BH176" s="38">
        <f>2*M176*AB176*AD176^0.5*BG176*0.7/0.7</f>
        <v>461.40000000000003</v>
      </c>
      <c r="BI176" s="4">
        <f>MAX(1-0.7*AE176/5,0.3)</f>
        <v>0.44000000000000006</v>
      </c>
      <c r="BJ176" s="4">
        <f>BI176*J176*L176/(J176*N176/2.75/M176^0.5)</f>
        <v>106.10810053902577</v>
      </c>
      <c r="BK176" s="4">
        <f>BH176+BJ176</f>
        <v>567.5081005390258</v>
      </c>
      <c r="BM176" s="4">
        <f>MIN(1.5, 0.75+0.25*MIN(3,MAX(1,S176/N176))+0.4*MIN(1,(40*2*PI()*AM176^2/4/AO176/X176)/N176))</f>
        <v>1</v>
      </c>
      <c r="BN176" s="4">
        <f>(3*P176+30)*BM176*M176^0.5</f>
        <v>526.15587044145013</v>
      </c>
      <c r="BP176" s="4">
        <f>3.4/PI()^0.5*M176*AB176*AE176^0.5*BG176</f>
        <v>442.53902554318915</v>
      </c>
      <c r="BQ176" s="4">
        <f>8/3*AH176*AI176^2/(AG176-N176-22)/N176*(AG176^2-N176^2)/(AG176^2-(N176+22)^2)</f>
        <v>450.3525339151019</v>
      </c>
      <c r="BR176" s="4">
        <f>BQ176/BP176</f>
        <v>1.0176560888891599</v>
      </c>
      <c r="BZ176" s="4">
        <f>IF(W176=0,S176,MIN(W176/2,S176))</f>
        <v>57.3</v>
      </c>
      <c r="CD176" s="9"/>
      <c r="CF176" s="9"/>
      <c r="CG176" s="9"/>
      <c r="CH176" s="9">
        <f>IF(W176=0,MIN(S176,U176),MIN(W176/2,S176,U176))</f>
        <v>56</v>
      </c>
      <c r="CI176" s="9">
        <f>MAX(W176/2,S176)</f>
        <v>177.63</v>
      </c>
      <c r="CJ176" s="9">
        <f>(CH176/N176)^0.5*(CI176/CH176)^0.15</f>
        <v>1.1754818988273255</v>
      </c>
      <c r="CK176" s="70">
        <v>0</v>
      </c>
      <c r="CL176" s="9">
        <f>MIN(PI()*AM176^2/4*AN176*2/X176/N176/MAX(0.01,AO176),0.05)</f>
        <v>0</v>
      </c>
      <c r="CM176" s="9">
        <f>MAX(0,CK176*(CL176-0.5/50))</f>
        <v>0</v>
      </c>
      <c r="CN176" s="9">
        <f>MIN(1,(25/N176)^0.3)</f>
        <v>0.77971450958075206</v>
      </c>
      <c r="CO176" s="9">
        <f>IF(J176&gt;=800,0.68,IF(J176&gt;=700,0.75-(J176-700)*0.07/100,IF(J176&gt;=600,0.85-(J176-600)*0.1/100,IF(J176&gt;=500,1-(J176-500)*0.15/100,1.2-(J176-400)*0.2/100))))</f>
        <v>0.87549999999999994</v>
      </c>
      <c r="CP176" s="9">
        <f>1.75*CN176*CO176*(M176/25)^0.5</f>
        <v>2.0951879162491376</v>
      </c>
      <c r="CQ176" s="9">
        <f>MIN((CJ176+CM176)*CP176,2.5*CP176,M176^0.5)</f>
        <v>2.4628554701926038</v>
      </c>
      <c r="CR176" s="9">
        <v>1</v>
      </c>
      <c r="CS176" s="9">
        <f>4*CQ176*P176+60*CQ176</f>
        <v>246.28554701926038</v>
      </c>
      <c r="CU176" s="4">
        <f>AJ176/BF176</f>
        <v>0.96416295721336365</v>
      </c>
      <c r="CV176" s="4">
        <f>AJ176/BK176</f>
        <v>0.78412977643373516</v>
      </c>
      <c r="CW176" s="4">
        <f>AJ176/BN176</f>
        <v>0.8457569800117225</v>
      </c>
      <c r="CX176" s="4">
        <f>AJ176/CS176</f>
        <v>1.8068457746941986</v>
      </c>
      <c r="CY176" s="4">
        <f>AJ176/DZ176</f>
        <v>1.5911627720568966</v>
      </c>
      <c r="CZ176" s="4">
        <f>AJ176/EL176</f>
        <v>1.1264315123772384</v>
      </c>
      <c r="DA176" s="4">
        <f>AJ176/GI176</f>
        <v>1.5278471025630567</v>
      </c>
      <c r="DC176" s="4">
        <f>CU176</f>
        <v>0.96416295721336365</v>
      </c>
      <c r="DD176" s="4">
        <f>CV176</f>
        <v>0.78412977643373516</v>
      </c>
      <c r="DE176" s="4">
        <f>CX176</f>
        <v>1.8068457746941986</v>
      </c>
      <c r="DF176" s="4">
        <f>DA176</f>
        <v>1.5278471025630567</v>
      </c>
      <c r="DG176" s="4">
        <f>CY176</f>
        <v>1.5911627720568966</v>
      </c>
      <c r="DH176" s="4">
        <f>CZ176</f>
        <v>1.1264315123772384</v>
      </c>
      <c r="DP176" s="4">
        <f>AN176</f>
        <v>0</v>
      </c>
      <c r="DQ176" s="4">
        <f>L176</f>
        <v>573</v>
      </c>
      <c r="DT176" s="4">
        <f>K176/4/(1-0.3*(M176/30)^0.5)/200000/N176</f>
        <v>2.4052911710985851E-5</v>
      </c>
      <c r="DU176" s="4">
        <f>EP176</f>
        <v>7.2046859751136969</v>
      </c>
      <c r="DV176" s="4">
        <f>EC176*AG176/257/M176/AD176</f>
        <v>0.11727297478054083</v>
      </c>
      <c r="DW176" s="4">
        <f>DU176*DV176^0.4</f>
        <v>3.0569915129671954</v>
      </c>
      <c r="DX176" s="4">
        <f>MIN(DU176, DU176/1.4*(1-DV176^1.4)/(1-DV176))</f>
        <v>5.5397998725330773</v>
      </c>
      <c r="DY176" s="4">
        <f>MAX(DU176/2, (4-DT176*(8*AG176*(DW176-DX176)+6*K176*DX176))/(4+DT176*K176*DU176)*DU176)</f>
        <v>6.3326070594112283</v>
      </c>
      <c r="DZ176" s="38">
        <f>MIN(1/N176*(4*AG176*(DW176-DX176)+(3*DX176+DY176)*K176)+EC176 -FJ176,MAX(J176,AJ176))</f>
        <v>279.6696905023415</v>
      </c>
      <c r="EA176" s="4">
        <f>DZ176/FF176</f>
        <v>1.0001015843123859</v>
      </c>
      <c r="EB176" s="4">
        <f>AG176/N176</f>
        <v>2.2360679774997898</v>
      </c>
      <c r="EC176" s="4">
        <f>MIN(EB$10*BB176)</f>
        <v>72.356536800613142</v>
      </c>
      <c r="EG176" s="4">
        <f>IF(U176&gt;1*N176,0.85,1)</f>
        <v>1</v>
      </c>
      <c r="EH176" s="4">
        <f>MIN(1,MAX(0.7,(1-0.1*(BZ176-1*N176)/N176)))</f>
        <v>1</v>
      </c>
      <c r="EI176" s="4">
        <f>MIN(1,MAX(0.7,1-0.3*(PI()*AM176^2/4*AQ176*2-0.25*PI()/4*N176^2)/(PI()/4*N176^2)))</f>
        <v>1</v>
      </c>
      <c r="EJ176" s="4">
        <f>IF(EH176*EI176&lt;0.7,0.7,EH176*EI176)</f>
        <v>1</v>
      </c>
      <c r="EL176" s="4">
        <f>MIN(DU176/N176*3*K176+EM176-FJ176,MAX(J176,AJ176))</f>
        <v>395.05286838155405</v>
      </c>
      <c r="EM176" s="25">
        <f>13.3*Q176*K176^0.5*M176^0.5/X176/N176^2*(0.7+S176/5/K176)</f>
        <v>178.9122891281431</v>
      </c>
      <c r="EP176" s="4">
        <f>IF(N176&lt;22.2,1.1*5*(M176/30)^0.5,IF(N176&gt;=31.8,0.9*5*(M176/30)^0.5,1*5*(M176/30)^0.5))/EG176/EJ176</f>
        <v>7.2046859751136969</v>
      </c>
      <c r="ES176" s="4">
        <f>ET176*N176</f>
        <v>128.12669511073796</v>
      </c>
      <c r="ET176" s="4">
        <f>AF176^0.5</f>
        <v>2.2360679774997898</v>
      </c>
      <c r="EU176" s="4">
        <f>MIN(EC176)/(4700*M176^0.5)/AE176*ES176</f>
        <v>5.6233663404619917E-2</v>
      </c>
      <c r="EX176" s="4">
        <f>EU176</f>
        <v>5.6233663404619917E-2</v>
      </c>
      <c r="EY176" s="4">
        <f>MIN(0.999, EX176/(0.3*(M176/30)^0.5))</f>
        <v>0.11707726804234343</v>
      </c>
      <c r="EZ176" s="4">
        <f>EP176/1*EY176^0.4</f>
        <v>3.0549498707970226</v>
      </c>
      <c r="FA176" s="4">
        <f>EP176/1.4*(1-EY176^1.4)/(1-EY176)</f>
        <v>5.53924931238073</v>
      </c>
      <c r="FB176" s="4">
        <f>MAX(0,DQ176*FB$9-ES176)</f>
        <v>301.62330488926204</v>
      </c>
      <c r="FC176" s="4">
        <f>MAX(0,DQ176-ES176-FB176)</f>
        <v>143.25</v>
      </c>
      <c r="FD176" s="4">
        <f>FC176/(1-0.3*(M176/30)^0.5)/200000/N176</f>
        <v>2.4052911710985851E-5</v>
      </c>
      <c r="FE176" s="4">
        <f>MAX(0.5*EP176, (1-2*FD176*(ES176*EZ176+FB176*FA176))/(1/EP176+FD176*FC176))</f>
        <v>6.3327516874207941</v>
      </c>
      <c r="FF176" s="4">
        <f>MIN(4/N176*(1*EZ176*ES176+FA176*FB176+FC176*FE176)+EC176,MAX(J176,AJ176))</f>
        <v>279.64128333485922</v>
      </c>
      <c r="FO176" s="23">
        <f>IF(CU176&lt;0.6,0.6,IF(CU176&lt;0.8,0.8,IF(CU176&lt;1,1,IF(CU176&lt;1.2,1.2,IF(CU176&lt;1.4,1.4,IF(CU176&lt;1.6,1.6,IF(CU176&lt;1.8,1.8,IF(CU176&lt;2,2,2.2))))))))</f>
        <v>1</v>
      </c>
      <c r="FP176" s="23">
        <f>IF(CV176&lt;0.6,0.6,IF(CV176&lt;0.8,0.8,IF(CV176&lt;1,1,IF(CV176&lt;1.2,1.2,IF(CV176&lt;1.4,1.4,IF(CV176&lt;1.6,1.6,IF(CV176&lt;1.8,1.8,IF(CV176&lt;2,2,2.2))))))))</f>
        <v>0.8</v>
      </c>
      <c r="FQ176" s="23">
        <f>IF(DA176&lt;0.6,0.6,IF(DA176&lt;0.8,0.8,IF(DA176&lt;1,1,IF(DA176&lt;1.2,1.2,IF(DA176&lt;1.4,1.4,IF(DA176&lt;1.6,1.6,IF(DA176&lt;1.8,1.8,IF(DA176&lt;2,2,2.2))))))))</f>
        <v>1.6</v>
      </c>
      <c r="FR176" s="23">
        <f>IF(CX176&lt;0.6,0.6,IF(CX176&lt;0.8,0.8,IF(CX176&lt;1,1,IF(CX176&lt;1.2,1.2,IF(CX176&lt;1.4,1.4,IF(CX176&lt;1.6,1.6,IF(CX176&lt;1.8,1.8,IF(CX176&lt;2,2,2.2))))))))</f>
        <v>2</v>
      </c>
      <c r="FS176" s="23">
        <f>IF(CY176&lt;0.6,0.6,IF(CY176&lt;0.8,0.8,IF(CY176&lt;1,1,IF(CY176&lt;1.2,1.2,IF(CY176&lt;1.4,1.4,IF(CY176&lt;1.6,1.6,IF(CY176&lt;1.8,1.8,IF(CY176&lt;2,2,2.2))))))))</f>
        <v>1.6</v>
      </c>
      <c r="FT176" s="23">
        <f>IF(CZ176&lt;0.6,0.6,IF(CZ176&lt;0.8,0.8,IF(CZ176&lt;1,1,IF(CZ176&lt;1.2,1.2,IF(CZ176&lt;1.4,1.4,IF(CZ176&lt;1.6,1.6,IF(CZ176&lt;1.8,1.8,IF(CZ176&lt;2,2,2.2))))))))</f>
        <v>1.2</v>
      </c>
      <c r="FU176" s="23">
        <f>IF(FS176&lt;1,1,0)</f>
        <v>0</v>
      </c>
      <c r="FV176" s="23"/>
      <c r="GF176" s="4">
        <f>IF(S176&gt;=2.5*25.4,1,1.25)</f>
        <v>1.25</v>
      </c>
      <c r="GG176" s="4">
        <f>IF(AO176&gt;1, 0.05*(18-MIN(8,(W176+N176)/N176))*(1-48000/MAX(60000,(J176*145))*(N176/25.4)^0.75*GH176), 1/12*(14-MIN(8,(W176+N176)/N176)))</f>
        <v>0.54</v>
      </c>
      <c r="GH176" s="4">
        <f>MIN(0.3, AM176^2*PI()/4*2*AP176/(N176^2*PI()/4*X176))</f>
        <v>0</v>
      </c>
      <c r="GI176" s="4">
        <f>(K176/25.4)/(N176/25.4)^1.5/0.0024*(M176*145)^0.25/GF176/GG176/145</f>
        <v>291.25951101617784</v>
      </c>
    </row>
    <row r="177" spans="1:196" ht="12" customHeight="1" x14ac:dyDescent="0.3">
      <c r="A177" s="25">
        <v>153</v>
      </c>
      <c r="B177" s="24" t="s">
        <v>128</v>
      </c>
      <c r="C177" s="24">
        <v>2017</v>
      </c>
      <c r="D177" s="24" t="s">
        <v>309</v>
      </c>
      <c r="E177" s="24"/>
      <c r="F177" s="115" t="s">
        <v>783</v>
      </c>
      <c r="G177" s="109" t="s">
        <v>782</v>
      </c>
      <c r="H177" s="4" t="s">
        <v>160</v>
      </c>
      <c r="I177" s="5">
        <f>K177/N177</f>
        <v>13</v>
      </c>
      <c r="J177" s="72">
        <v>606</v>
      </c>
      <c r="K177" s="7">
        <f>13*N177</f>
        <v>559</v>
      </c>
      <c r="L177" s="7">
        <f>K177</f>
        <v>559</v>
      </c>
      <c r="M177" s="103">
        <v>45.8</v>
      </c>
      <c r="N177" s="88">
        <v>43</v>
      </c>
      <c r="O177" s="7">
        <f>K177/N177</f>
        <v>13</v>
      </c>
      <c r="P177" s="7">
        <f>L177/N177</f>
        <v>13</v>
      </c>
      <c r="Q177" s="7">
        <f>W177+2*S177+2*N177</f>
        <v>344</v>
      </c>
      <c r="R177" s="32">
        <f>S177/N177</f>
        <v>1</v>
      </c>
      <c r="S177" s="7">
        <f>1*N177</f>
        <v>43</v>
      </c>
      <c r="T177" s="32">
        <f>U177/N177</f>
        <v>1.3023255813953489</v>
      </c>
      <c r="U177" s="7">
        <f>40+16</f>
        <v>56</v>
      </c>
      <c r="V177" s="32">
        <f>W177/N177</f>
        <v>4</v>
      </c>
      <c r="W177" s="7">
        <f>(5-1)*N177</f>
        <v>172</v>
      </c>
      <c r="X177" s="7">
        <v>2</v>
      </c>
      <c r="Y177" s="7">
        <f>AN177</f>
        <v>0</v>
      </c>
      <c r="Z177" s="32">
        <f>AA177/N177</f>
        <v>6.3410852713178283</v>
      </c>
      <c r="AA177" s="7">
        <f>2/3*K177-0.5*200</f>
        <v>272.66666666666663</v>
      </c>
      <c r="AB177" s="7">
        <f>MIN(S177/N177+0.5, W177/2/N177+0.5)</f>
        <v>1.5</v>
      </c>
      <c r="AC177" s="7">
        <f>S177/N177+0.5</f>
        <v>1.5</v>
      </c>
      <c r="AD177" s="7">
        <f>2040/510</f>
        <v>4</v>
      </c>
      <c r="AE177" s="7">
        <f>2040/510</f>
        <v>4</v>
      </c>
      <c r="AF177" s="7">
        <f>AE177+1</f>
        <v>5</v>
      </c>
      <c r="AG177" s="7">
        <f>N177*AF177^0.5</f>
        <v>96.150923032490965</v>
      </c>
      <c r="AH177" s="7">
        <f>J177</f>
        <v>606</v>
      </c>
      <c r="AI177" s="7">
        <v>19</v>
      </c>
      <c r="AJ177" s="7">
        <f>(475+475)/2</f>
        <v>475</v>
      </c>
      <c r="AK177" s="7"/>
      <c r="AL177" s="4">
        <f>CY177</f>
        <v>1.5424576588157013</v>
      </c>
      <c r="AM177" s="7">
        <v>0</v>
      </c>
      <c r="AN177" s="7">
        <v>0</v>
      </c>
      <c r="AO177" s="7">
        <f>L177</f>
        <v>559</v>
      </c>
      <c r="AP177" s="7"/>
      <c r="AQ177" s="7"/>
      <c r="AR177" s="7">
        <f>3*AS177/(W177+N177)</f>
        <v>7.8</v>
      </c>
      <c r="AS177" s="4">
        <f>K177</f>
        <v>559</v>
      </c>
      <c r="AT177" s="4">
        <f>IF(K177*3&gt;W177+N177, Q177, (S177+N177/2)*2+1.5*K177*(2*X177-2))*(3*K177)/(9*K177^2)</f>
        <v>0.20512820512820512</v>
      </c>
      <c r="AU177" s="4">
        <f>MIN(10*M177^0.5*K177^1.5,100*3.9*M177^0.5*K177^(5/3))/(PI()/4*N177^2)/X177</f>
        <v>307.95954027775866</v>
      </c>
      <c r="AV177" s="4">
        <f>MIN(0.7+0.3*(MIN(S177,AA177)+0.5*N177)/1.5/K177,1)</f>
        <v>0.72307692307692306</v>
      </c>
      <c r="AW177" s="4">
        <v>1.25</v>
      </c>
      <c r="AX177" s="4">
        <f>AX176</f>
        <v>1</v>
      </c>
      <c r="AY177" s="38">
        <f>AT177*AV177*AW177*AX177*AU177</f>
        <v>57.097035081083462</v>
      </c>
      <c r="AZ177" s="38">
        <f>AY177</f>
        <v>57.097035081083462</v>
      </c>
      <c r="BA177" s="38">
        <f>IF(M177&lt;50, 0.3*M177^(2/3), 2.12*LN(1+0.1*(M177+8)))</f>
        <v>3.8402978284624769</v>
      </c>
      <c r="BB177" s="38">
        <f>AX177* (M177^0.5/AS177^0.5)/(PI()/4*N177^2)/X177/0.72 *(0.7+(MIN(S177,AA177)+0.5*N177)/5/K177) *(3*Q177*K177)</f>
        <v>57.097035081083426</v>
      </c>
      <c r="BC177" s="38">
        <f>AY177/BB177</f>
        <v>1.0000000000000007</v>
      </c>
      <c r="BD177" s="38">
        <f>BH177/BB177</f>
        <v>4.8128593649347433</v>
      </c>
      <c r="BE177" s="4">
        <f>IF(BD177&lt;1,1,0)</f>
        <v>0</v>
      </c>
      <c r="BF177" s="4">
        <f>L177/N177*M177^0.5/0.19</f>
        <v>463.04424442937301</v>
      </c>
      <c r="BG177" s="4">
        <f>MIN(0.6+0.4*(AC177/AB177),2)</f>
        <v>1</v>
      </c>
      <c r="BH177" s="38">
        <f>2*M177*AB177*AD177^0.5*BG177*0.7/0.7</f>
        <v>274.79999999999995</v>
      </c>
      <c r="BI177" s="4">
        <f>MAX(1-0.7*AE177/5,0.3)</f>
        <v>0.44000000000000006</v>
      </c>
      <c r="BJ177" s="4">
        <f>BI177*J177*L177/(J177*N177/2.75/M177^0.5)</f>
        <v>106.45387179431289</v>
      </c>
      <c r="BK177" s="4">
        <f>BH177+BJ177</f>
        <v>381.25387179431283</v>
      </c>
      <c r="BM177" s="4">
        <f>MIN(1.5, 0.75+0.25*MIN(3,MAX(1,S177/N177))+0.4*MIN(1,(40*2*PI()*AM177^2/4/AO177/X177)/N177))</f>
        <v>1</v>
      </c>
      <c r="BN177" s="4">
        <f>(3*P177+30)*BM177*M177^0.5</f>
        <v>466.96231111300619</v>
      </c>
      <c r="BP177" s="4">
        <f>3.4/PI()^0.5*M177*AB177*AE177^0.5*BG177</f>
        <v>263.56680585016983</v>
      </c>
      <c r="BQ177" s="4">
        <f>8/3*AH177*AI177^2/(AG177-N177-22)/N177*(AG177^2-N177^2)/(AG177^2-(N177+22)^2)</f>
        <v>641.65616063635548</v>
      </c>
      <c r="BR177" s="4">
        <f>BQ177/BP177</f>
        <v>2.4345105164764891</v>
      </c>
      <c r="BZ177" s="4">
        <f>IF(W177=0,S177,MIN(W177/2,S177))</f>
        <v>43</v>
      </c>
      <c r="CD177" s="9"/>
      <c r="CF177" s="9"/>
      <c r="CG177" s="9"/>
      <c r="CH177" s="9">
        <f>IF(W177=0,MIN(S177,U177),MIN(W177/2,S177,U177))</f>
        <v>43</v>
      </c>
      <c r="CI177" s="9">
        <f>MAX(W177/2,S177)</f>
        <v>86</v>
      </c>
      <c r="CJ177" s="9">
        <f>(CH177/N177)^0.5*(CI177/CH177)^0.15</f>
        <v>1.1095694720678451</v>
      </c>
      <c r="CK177" s="70">
        <v>0</v>
      </c>
      <c r="CL177" s="9">
        <f>MIN(PI()*AM177^2/4*AN177*2/X177/N177/MAX(0.01,AO177),0.05)</f>
        <v>0</v>
      </c>
      <c r="CM177" s="9">
        <f>MAX(0,CK177*(CL177-0.5/50))</f>
        <v>0</v>
      </c>
      <c r="CN177" s="9">
        <f>MIN(1,(25/N177)^0.3)</f>
        <v>0.84984840943171969</v>
      </c>
      <c r="CO177" s="9">
        <f>IF(J177&gt;=800,0.68,IF(J177&gt;=700,0.75-(J177-700)*0.07/100,IF(J177&gt;=600,0.85-(J177-600)*0.1/100,IF(J177&gt;=500,1-(J177-500)*0.15/100,1.2-(J177-400)*0.2/100))))</f>
        <v>0.84399999999999997</v>
      </c>
      <c r="CP177" s="9">
        <f>1.75*CN177*CO177*(M177/25)^0.5</f>
        <v>1.6989660317871056</v>
      </c>
      <c r="CQ177" s="9">
        <f>MIN((CJ177+CM177)*CP177,2.5*CP177,M177^0.5)</f>
        <v>1.8851208429512205</v>
      </c>
      <c r="CR177" s="9">
        <v>1</v>
      </c>
      <c r="CS177" s="9">
        <f>4*CQ177*P177+60*CQ177</f>
        <v>211.1335344105367</v>
      </c>
      <c r="CU177" s="4">
        <f>AJ177/BF177</f>
        <v>1.0258198988853873</v>
      </c>
      <c r="CV177" s="4">
        <f>AJ177/BK177</f>
        <v>1.2458889866861822</v>
      </c>
      <c r="CW177" s="4">
        <f>AJ177/BN177</f>
        <v>1.0172127143791025</v>
      </c>
      <c r="CX177" s="4">
        <f>AJ177/CS177</f>
        <v>2.2497610402163333</v>
      </c>
      <c r="CY177" s="4">
        <f>AJ177/DZ177</f>
        <v>1.5424576588157013</v>
      </c>
      <c r="CZ177" s="4">
        <f>AJ177/EL177</f>
        <v>1.1972859454860088</v>
      </c>
      <c r="DA177" s="4">
        <f>AJ177/GI177</f>
        <v>1.489058878211396</v>
      </c>
      <c r="DC177" s="4">
        <f>CU177</f>
        <v>1.0258198988853873</v>
      </c>
      <c r="DD177" s="4">
        <f>CV177</f>
        <v>1.2458889866861822</v>
      </c>
      <c r="DE177" s="4">
        <f>CX177</f>
        <v>2.2497610402163333</v>
      </c>
      <c r="DF177" s="4">
        <f>DA177</f>
        <v>1.489058878211396</v>
      </c>
      <c r="DG177" s="4">
        <f>CY177</f>
        <v>1.5424576588157013</v>
      </c>
      <c r="DH177" s="4">
        <f>CZ177</f>
        <v>1.1972859454860088</v>
      </c>
      <c r="DP177" s="4">
        <f>AN177</f>
        <v>0</v>
      </c>
      <c r="DQ177" s="4">
        <f>L177</f>
        <v>559</v>
      </c>
      <c r="DT177" s="4">
        <f>K177/4/(1-0.3*(M177/30)^0.5)/200000/N177</f>
        <v>2.5821318945834057E-5</v>
      </c>
      <c r="DU177" s="4">
        <f>EP177</f>
        <v>6.5413245857119913</v>
      </c>
      <c r="DV177" s="4">
        <f>EC177*AG177/257/M177/AD177</f>
        <v>0.11660265036329265</v>
      </c>
      <c r="DW177" s="4">
        <f>DU177*DV177^0.4</f>
        <v>2.7691664962252549</v>
      </c>
      <c r="DX177" s="4">
        <f>MIN(DU177, DU177/1.4*(1-DV177^1.4)/(1-DV177))</f>
        <v>5.0280176343491183</v>
      </c>
      <c r="DY177" s="4">
        <f>MAX(DU177/2, (4-DT177*(8*AG177*(DW177-DX177)+6*K177*DX177))/(4+DT177*K177*DU177)*DU177)</f>
        <v>5.766474020444659</v>
      </c>
      <c r="DZ177" s="38">
        <f>MIN(1/N177*(4*AG177*(DW177-DX177)+(3*DX177+DY177)*K177)+EC177 -FJ177,MAX(J177,AJ177))</f>
        <v>307.95010630288868</v>
      </c>
      <c r="EA177" s="4">
        <f>DZ177/FF177</f>
        <v>1.000097578424967</v>
      </c>
      <c r="EB177" s="4">
        <f>AG177/N177</f>
        <v>2.2360679774997898</v>
      </c>
      <c r="EC177" s="4">
        <f>MIN(EB$10*BB177)</f>
        <v>57.097035081083426</v>
      </c>
      <c r="EG177" s="4">
        <f>IF(U177&gt;1*N177,0.85,1)</f>
        <v>0.85</v>
      </c>
      <c r="EH177" s="4">
        <f>MIN(1,MAX(0.7,(1-0.1*(BZ177-1*N177)/N177)))</f>
        <v>1</v>
      </c>
      <c r="EI177" s="4">
        <f>MIN(1,MAX(0.7,1-0.3*(PI()*AM177^2/4*AQ177*2-0.25*PI()/4*N177^2)/(PI()/4*N177^2)))</f>
        <v>1</v>
      </c>
      <c r="EJ177" s="4">
        <f>IF(EH177*EI177&lt;0.7,0.7,EH177*EI177)</f>
        <v>1</v>
      </c>
      <c r="EL177" s="4">
        <f>MIN(DU177/N177*3*K177+EM177-FJ177,MAX(J177,AJ177))</f>
        <v>396.73062378359873</v>
      </c>
      <c r="EM177" s="25">
        <f>13.3*Q177*K177^0.5*M177^0.5/X177/N177^2*(0.7+S177/5/K177)</f>
        <v>141.61896494083106</v>
      </c>
      <c r="EP177" s="4">
        <f>IF(N177&lt;22.2,1.1*5*(M177/30)^0.5,IF(N177&gt;=31.8,0.9*5*(M177/30)^0.5,1*5*(M177/30)^0.5))/EG177/EJ177</f>
        <v>6.5413245857119913</v>
      </c>
      <c r="ES177" s="4">
        <f>ET177*N177</f>
        <v>96.150923032490965</v>
      </c>
      <c r="ET177" s="4">
        <f>AF177^0.5</f>
        <v>2.2360679774997898</v>
      </c>
      <c r="EU177" s="4">
        <f>MIN(EC177)/(4700*M177^0.5)/AE177*ES177</f>
        <v>4.3149565450370179E-2</v>
      </c>
      <c r="EX177" s="4">
        <f>EU177</f>
        <v>4.3149565450370179E-2</v>
      </c>
      <c r="EY177" s="4">
        <f>MIN(0.999, EX177/(0.3*(M177/30)^0.5))</f>
        <v>0.11640806227161614</v>
      </c>
      <c r="EZ177" s="4">
        <f>EP177/1*EY177^0.4</f>
        <v>2.7673170808536574</v>
      </c>
      <c r="FA177" s="4">
        <f>EP177/1.4*(1-EY177^1.4)/(1-EY177)</f>
        <v>5.0275199776587129</v>
      </c>
      <c r="FB177" s="4">
        <f>MAX(0,DQ177*FB$9-ES177)</f>
        <v>323.09907696750906</v>
      </c>
      <c r="FC177" s="4">
        <f>MAX(0,DQ177-ES177-FB177)</f>
        <v>139.75</v>
      </c>
      <c r="FD177" s="4">
        <f>FC177/(1-0.3*(M177/30)^0.5)/200000/N177</f>
        <v>2.5821318945834057E-5</v>
      </c>
      <c r="FE177" s="4">
        <f>MAX(0.5*EP177, (1-2*FD177*(ES177*EZ177+FB177*FA177))/(1/EP177+FD177*FC177))</f>
        <v>5.7665857707263166</v>
      </c>
      <c r="FF177" s="4">
        <f>MIN(4/N177*(1*EZ177*ES177+FA177*FB177+FC177*FE177)+EC177,MAX(J177,AJ177))</f>
        <v>307.92005994842316</v>
      </c>
      <c r="FO177" s="23">
        <f>IF(CU177&lt;0.6,0.6,IF(CU177&lt;0.8,0.8,IF(CU177&lt;1,1,IF(CU177&lt;1.2,1.2,IF(CU177&lt;1.4,1.4,IF(CU177&lt;1.6,1.6,IF(CU177&lt;1.8,1.8,IF(CU177&lt;2,2,2.2))))))))</f>
        <v>1.2</v>
      </c>
      <c r="FP177" s="23">
        <f>IF(CV177&lt;0.6,0.6,IF(CV177&lt;0.8,0.8,IF(CV177&lt;1,1,IF(CV177&lt;1.2,1.2,IF(CV177&lt;1.4,1.4,IF(CV177&lt;1.6,1.6,IF(CV177&lt;1.8,1.8,IF(CV177&lt;2,2,2.2))))))))</f>
        <v>1.4</v>
      </c>
      <c r="FQ177" s="23">
        <f>IF(DA177&lt;0.6,0.6,IF(DA177&lt;0.8,0.8,IF(DA177&lt;1,1,IF(DA177&lt;1.2,1.2,IF(DA177&lt;1.4,1.4,IF(DA177&lt;1.6,1.6,IF(DA177&lt;1.8,1.8,IF(DA177&lt;2,2,2.2))))))))</f>
        <v>1.6</v>
      </c>
      <c r="FR177" s="23">
        <f>IF(CX177&lt;0.6,0.6,IF(CX177&lt;0.8,0.8,IF(CX177&lt;1,1,IF(CX177&lt;1.2,1.2,IF(CX177&lt;1.4,1.4,IF(CX177&lt;1.6,1.6,IF(CX177&lt;1.8,1.8,IF(CX177&lt;2,2,2.2))))))))</f>
        <v>2.2000000000000002</v>
      </c>
      <c r="FS177" s="23">
        <f>IF(CY177&lt;0.6,0.6,IF(CY177&lt;0.8,0.8,IF(CY177&lt;1,1,IF(CY177&lt;1.2,1.2,IF(CY177&lt;1.4,1.4,IF(CY177&lt;1.6,1.6,IF(CY177&lt;1.8,1.8,IF(CY177&lt;2,2,2.2))))))))</f>
        <v>1.6</v>
      </c>
      <c r="FT177" s="23">
        <f>IF(CZ177&lt;0.6,0.6,IF(CZ177&lt;0.8,0.8,IF(CZ177&lt;1,1,IF(CZ177&lt;1.2,1.2,IF(CZ177&lt;1.4,1.4,IF(CZ177&lt;1.6,1.6,IF(CZ177&lt;1.8,1.8,IF(CZ177&lt;2,2,2.2))))))))</f>
        <v>1.2</v>
      </c>
      <c r="FU177" s="23">
        <f>IF(FS177&lt;1,1,0)</f>
        <v>0</v>
      </c>
      <c r="FV177" s="23"/>
      <c r="GF177" s="4">
        <f>IF(S177&gt;=2.5*25.4,1,1.25)</f>
        <v>1.25</v>
      </c>
      <c r="GG177" s="4">
        <f>IF(AO177&gt;1, 0.05*(18-MIN(8,(W177+N177)/N177))*(1-48000/MAX(60000,(J177*145))*(N177/25.4)^0.75*GH177), 1/12*(14-MIN(8,(W177+N177)/N177)))</f>
        <v>0.65</v>
      </c>
      <c r="GH177" s="4">
        <f>MIN(0.3, AM177^2*PI()/4*2*AP177/(N177^2*PI()/4*X177))</f>
        <v>0</v>
      </c>
      <c r="GI177" s="4">
        <f>(K177/25.4)/(N177/25.4)^1.5/0.0024*(M177*145)^0.25/GF177/GG177/145</f>
        <v>318.99343064966843</v>
      </c>
    </row>
    <row r="178" spans="1:196" ht="12" customHeight="1" x14ac:dyDescent="0.3">
      <c r="A178" s="25">
        <v>154</v>
      </c>
      <c r="B178" s="24" t="s">
        <v>128</v>
      </c>
      <c r="C178" s="24">
        <v>2017</v>
      </c>
      <c r="D178" s="24" t="s">
        <v>309</v>
      </c>
      <c r="E178" s="24"/>
      <c r="F178" s="115" t="s">
        <v>783</v>
      </c>
      <c r="G178" s="109" t="s">
        <v>782</v>
      </c>
      <c r="H178" s="4" t="s">
        <v>161</v>
      </c>
      <c r="I178" s="5">
        <f>K178/N178</f>
        <v>13</v>
      </c>
      <c r="J178" s="72">
        <v>606</v>
      </c>
      <c r="K178" s="7">
        <f>13*N178</f>
        <v>559</v>
      </c>
      <c r="L178" s="7">
        <f>K178</f>
        <v>559</v>
      </c>
      <c r="M178" s="103">
        <v>44.3</v>
      </c>
      <c r="N178" s="88">
        <v>43</v>
      </c>
      <c r="O178" s="7">
        <f>K178/N178</f>
        <v>13</v>
      </c>
      <c r="P178" s="7">
        <f>L178/N178</f>
        <v>13</v>
      </c>
      <c r="Q178" s="7">
        <f>W178+2*S178+2*N178</f>
        <v>430</v>
      </c>
      <c r="R178" s="32">
        <f>S178/N178</f>
        <v>2</v>
      </c>
      <c r="S178" s="7">
        <f>2*N178</f>
        <v>86</v>
      </c>
      <c r="T178" s="32">
        <f>U178/N178</f>
        <v>1.3023255813953489</v>
      </c>
      <c r="U178" s="7">
        <f>40+16</f>
        <v>56</v>
      </c>
      <c r="V178" s="32">
        <f>W178/N178</f>
        <v>4</v>
      </c>
      <c r="W178" s="7">
        <f>(5-1)*N178</f>
        <v>172</v>
      </c>
      <c r="X178" s="7">
        <v>2</v>
      </c>
      <c r="Y178" s="7">
        <f>AN178</f>
        <v>0</v>
      </c>
      <c r="Z178" s="32">
        <f>AA178/N178</f>
        <v>6.3410852713178283</v>
      </c>
      <c r="AA178" s="7">
        <f>2/3*K178-0.5*200</f>
        <v>272.66666666666663</v>
      </c>
      <c r="AB178" s="7">
        <f>MIN(S178/N178+0.5, W178/2/N178+0.5)</f>
        <v>2.5</v>
      </c>
      <c r="AC178" s="7">
        <f>S178/N178+0.5</f>
        <v>2.5</v>
      </c>
      <c r="AD178" s="7">
        <f>2040/510</f>
        <v>4</v>
      </c>
      <c r="AE178" s="7">
        <f>2040/510</f>
        <v>4</v>
      </c>
      <c r="AF178" s="7">
        <f>AE178+1</f>
        <v>5</v>
      </c>
      <c r="AG178" s="7">
        <f>N178*AF178^0.5</f>
        <v>96.150923032490965</v>
      </c>
      <c r="AH178" s="7">
        <f>J178</f>
        <v>606</v>
      </c>
      <c r="AI178" s="7">
        <v>19</v>
      </c>
      <c r="AJ178" s="7">
        <f>(540+540)/2</f>
        <v>540</v>
      </c>
      <c r="AK178" s="7"/>
      <c r="AL178" s="4">
        <f>CY178</f>
        <v>1.5409103389183063</v>
      </c>
      <c r="AM178" s="7">
        <v>0</v>
      </c>
      <c r="AN178" s="7">
        <v>0</v>
      </c>
      <c r="AO178" s="7">
        <f>L178</f>
        <v>559</v>
      </c>
      <c r="AP178" s="7"/>
      <c r="AQ178" s="7"/>
      <c r="AR178" s="7">
        <f>3*AS178/(W178+N178)</f>
        <v>7.8</v>
      </c>
      <c r="AS178" s="4">
        <f>K178</f>
        <v>559</v>
      </c>
      <c r="AT178" s="4">
        <f>IF(K178*3&gt;W178+N178, Q178, (S178+N178/2)*2+1.5*K178*(2*X178-2))*(3*K178)/(9*K178^2)</f>
        <v>0.25641025641025639</v>
      </c>
      <c r="AU178" s="4">
        <f>MIN(10*M178^0.5*K178^1.5,100*3.9*M178^0.5*K178^(5/3))/(PI()/4*N178^2)/X178</f>
        <v>302.87455339265739</v>
      </c>
      <c r="AV178" s="4">
        <f>MIN(0.7+0.3*(MIN(S178,AA178)+0.5*N178)/1.5/K178,1)</f>
        <v>0.73846153846153839</v>
      </c>
      <c r="AW178" s="4">
        <v>1.25</v>
      </c>
      <c r="AX178" s="4">
        <f>AX177</f>
        <v>1</v>
      </c>
      <c r="AY178" s="38">
        <f>AT178*AV178*AW178*AX178*AU178</f>
        <v>71.686284826664462</v>
      </c>
      <c r="AZ178" s="38">
        <f>AY178</f>
        <v>71.686284826664462</v>
      </c>
      <c r="BA178" s="38">
        <f>IF(M178&lt;50, 0.3*M178^(2/3), 2.12*LN(1+0.1*(M178+8)))</f>
        <v>3.7559840459059588</v>
      </c>
      <c r="BB178" s="38">
        <f>AX178* (M178^0.5/AS178^0.5)/(PI()/4*N178^2)/X178/0.72 *(0.7+(MIN(S178,AA178)+0.5*N178)/5/K178) *(3*Q178*K178)</f>
        <v>71.686284826664462</v>
      </c>
      <c r="BC178" s="38">
        <f>AY178/BB178</f>
        <v>1</v>
      </c>
      <c r="BD178" s="38">
        <f>BH178/BB178</f>
        <v>6.1797037058227007</v>
      </c>
      <c r="BE178" s="4">
        <f>IF(BD178&lt;1,1,0)</f>
        <v>0</v>
      </c>
      <c r="BF178" s="4">
        <f>L178/N178*M178^0.5/0.19</f>
        <v>455.39851957856541</v>
      </c>
      <c r="BG178" s="4">
        <f>MIN(0.6+0.4*(AC178/AB178),2)</f>
        <v>1</v>
      </c>
      <c r="BH178" s="38">
        <f>2*M178*AB178*AD178^0.5*BG178*0.7/0.7</f>
        <v>443</v>
      </c>
      <c r="BI178" s="4">
        <f>MAX(1-0.7*AE178/5,0.3)</f>
        <v>0.44000000000000006</v>
      </c>
      <c r="BJ178" s="4">
        <f>BI178*J178*L178/(J178*N178/2.75/M178^0.5)</f>
        <v>104.69611965111221</v>
      </c>
      <c r="BK178" s="4">
        <f>BH178+BJ178</f>
        <v>547.69611965111221</v>
      </c>
      <c r="BM178" s="4">
        <f>MIN(1.5, 0.75+0.25*MIN(3,MAX(1,S178/N178))+0.4*MIN(1,(40*2*PI()*AM178^2/4/AO178/X178)/N178))</f>
        <v>1.25</v>
      </c>
      <c r="BN178" s="4">
        <f>(3*P178+30)*BM178*M178^0.5</f>
        <v>574.06486458413394</v>
      </c>
      <c r="BP178" s="4">
        <f>3.4/PI()^0.5*M178*AB178*AE178^0.5*BG178</f>
        <v>424.89117536981524</v>
      </c>
      <c r="BQ178" s="4">
        <f>8/3*AH178*AI178^2/(AG178-N178-22)/N178*(AG178^2-N178^2)/(AG178^2-(N178+22)^2)</f>
        <v>641.65616063635548</v>
      </c>
      <c r="BR178" s="4">
        <f>BQ178/BP178</f>
        <v>1.5101658914847387</v>
      </c>
      <c r="BZ178" s="4">
        <f>IF(W178=0,S178,MIN(W178/2,S178))</f>
        <v>86</v>
      </c>
      <c r="CD178" s="9"/>
      <c r="CF178" s="9"/>
      <c r="CG178" s="9"/>
      <c r="CH178" s="9">
        <f>IF(W178=0,MIN(S178,U178),MIN(W178/2,S178,U178))</f>
        <v>56</v>
      </c>
      <c r="CI178" s="9">
        <f>MAX(W178/2,S178)</f>
        <v>86</v>
      </c>
      <c r="CJ178" s="9">
        <f>(CH178/N178)^0.5*(CI178/CH178)^0.15</f>
        <v>1.2170441953580799</v>
      </c>
      <c r="CK178" s="70">
        <v>0</v>
      </c>
      <c r="CL178" s="9">
        <f>MIN(PI()*AM178^2/4*AN178*2/X178/N178/MAX(0.01,AO178),0.05)</f>
        <v>0</v>
      </c>
      <c r="CM178" s="9">
        <f>MAX(0,CK178*(CL178-0.5/50))</f>
        <v>0</v>
      </c>
      <c r="CN178" s="9">
        <f>MIN(1,(25/N178)^0.3)</f>
        <v>0.84984840943171969</v>
      </c>
      <c r="CO178" s="9">
        <f>IF(J178&gt;=800,0.68,IF(J178&gt;=700,0.75-(J178-700)*0.07/100,IF(J178&gt;=600,0.85-(J178-600)*0.1/100,IF(J178&gt;=500,1-(J178-500)*0.15/100,1.2-(J178-400)*0.2/100))))</f>
        <v>0.84399999999999997</v>
      </c>
      <c r="CP178" s="9">
        <f>1.75*CN178*CO178*(M178/25)^0.5</f>
        <v>1.6709129311035618</v>
      </c>
      <c r="CQ178" s="9">
        <f>MIN((CJ178+CM178)*CP178,2.5*CP178,M178^0.5)</f>
        <v>2.0335748837483454</v>
      </c>
      <c r="CR178" s="9">
        <v>1</v>
      </c>
      <c r="CS178" s="9">
        <f>4*CQ178*P178+60*CQ178</f>
        <v>227.76038697981468</v>
      </c>
      <c r="CU178" s="4">
        <f>AJ178/BF178</f>
        <v>1.1857746057227556</v>
      </c>
      <c r="CV178" s="4">
        <f>AJ178/BK178</f>
        <v>0.98594819394372424</v>
      </c>
      <c r="CW178" s="4">
        <f>AJ178/BN178</f>
        <v>0.94066025167937894</v>
      </c>
      <c r="CX178" s="4">
        <f>AJ178/CS178</f>
        <v>2.3709127261355487</v>
      </c>
      <c r="CY178" s="4">
        <f>AJ178/DZ178</f>
        <v>1.5409103389183063</v>
      </c>
      <c r="CZ178" s="4">
        <f>AJ178/EL178</f>
        <v>1.1825979304836267</v>
      </c>
      <c r="DA178" s="4">
        <f>AJ178/GI178</f>
        <v>1.3655809367192053</v>
      </c>
      <c r="DC178" s="4">
        <f>CU178</f>
        <v>1.1857746057227556</v>
      </c>
      <c r="DD178" s="4">
        <f>CV178</f>
        <v>0.98594819394372424</v>
      </c>
      <c r="DE178" s="4">
        <f>CX178</f>
        <v>2.3709127261355487</v>
      </c>
      <c r="DF178" s="4">
        <f>DA178</f>
        <v>1.3655809367192053</v>
      </c>
      <c r="DG178" s="4">
        <f>CY178</f>
        <v>1.5409103389183063</v>
      </c>
      <c r="DH178" s="4">
        <f>CZ178</f>
        <v>1.1825979304836267</v>
      </c>
      <c r="DP178" s="4">
        <f>AN178</f>
        <v>0</v>
      </c>
      <c r="DQ178" s="4">
        <f>L178</f>
        <v>559</v>
      </c>
      <c r="DT178" s="4">
        <f>K178/4/(1-0.3*(M178/30)^0.5)/200000/N178</f>
        <v>2.5572610994587026E-5</v>
      </c>
      <c r="DU178" s="4">
        <f>EP178</f>
        <v>7.1481278955130128</v>
      </c>
      <c r="DV178" s="4">
        <f>EC178*AG178/257/M178/AD178</f>
        <v>0.15135357736984831</v>
      </c>
      <c r="DW178" s="4">
        <f>DU178*DV178^0.4</f>
        <v>3.3588405723438077</v>
      </c>
      <c r="DX178" s="4">
        <f>MIN(DU178, DU178/1.4*(1-DV178^1.4)/(1-DV178))</f>
        <v>5.5885257662899832</v>
      </c>
      <c r="DY178" s="4">
        <f>MAX(DU178/2, (4-DT178*(8*AG178*(DW178-DX178)+6*K178*DX178))/(4+DT178*K178*DU178)*DU178)</f>
        <v>6.2112549987096752</v>
      </c>
      <c r="DZ178" s="38">
        <f>MIN(1/N178*(4*AG178*(DW178-DX178)+(3*DX178+DY178)*K178)+EC178 -FJ178,MAX(J178,AJ178))</f>
        <v>350.44219404684577</v>
      </c>
      <c r="EA178" s="4">
        <f>DZ178/FF178</f>
        <v>1.0001085039681528</v>
      </c>
      <c r="EB178" s="4">
        <f>AG178/N178</f>
        <v>2.2360679774997898</v>
      </c>
      <c r="EC178" s="4">
        <f>MIN(EB$10*BB178)</f>
        <v>71.686284826664462</v>
      </c>
      <c r="EG178" s="4">
        <f>IF(U178&gt;1*N178,0.85,1)</f>
        <v>0.85</v>
      </c>
      <c r="EH178" s="4">
        <f>MIN(1,MAX(0.7,(1-0.1*(BZ178-1*N178)/N178)))</f>
        <v>0.9</v>
      </c>
      <c r="EI178" s="4">
        <f>MIN(1,MAX(0.7,1-0.3*(PI()*AM178^2/4*AQ178*2-0.25*PI()/4*N178^2)/(PI()/4*N178^2)))</f>
        <v>1</v>
      </c>
      <c r="EJ178" s="4">
        <f>IF(EH178*EI178&lt;0.7,0.7,EH178*EI178)</f>
        <v>0.9</v>
      </c>
      <c r="EL178" s="4">
        <f>MIN(DU178/N178*3*K178+EM178-FJ178,MAX(J178,AJ178))</f>
        <v>456.6218036413826</v>
      </c>
      <c r="EM178" s="25">
        <f>13.3*Q178*K178^0.5*M178^0.5/X178/N178^2*(0.7+S178/5/K178)</f>
        <v>177.84481571637505</v>
      </c>
      <c r="EP178" s="4">
        <f>IF(N178&lt;22.2,1.1*5*(M178/30)^0.5,IF(N178&gt;=31.8,0.9*5*(M178/30)^0.5,1*5*(M178/30)^0.5))/EG178/EJ178</f>
        <v>7.1481278955130128</v>
      </c>
      <c r="ES178" s="4">
        <f>ET178*N178</f>
        <v>96.150923032490965</v>
      </c>
      <c r="ET178" s="4">
        <f>AF178^0.5</f>
        <v>2.2360679774997898</v>
      </c>
      <c r="EU178" s="4">
        <f>MIN(EC178)/(4700*M178^0.5)/AE178*ES178</f>
        <v>5.5084551638770449E-2</v>
      </c>
      <c r="EX178" s="4">
        <f>EU178</f>
        <v>5.5084551638770449E-2</v>
      </c>
      <c r="EY178" s="4">
        <f>MIN(0.999, EX178/(0.3*(M178/30)^0.5))</f>
        <v>0.15110099645769021</v>
      </c>
      <c r="EZ178" s="4">
        <f>EP178/1*EY178^0.4</f>
        <v>3.3565973372787776</v>
      </c>
      <c r="FA178" s="4">
        <f>EP178/1.4*(1-EY178^1.4)/(1-EY178)</f>
        <v>5.5878620133940275</v>
      </c>
      <c r="FB178" s="4">
        <f>MAX(0,DQ178*FB$9-ES178)</f>
        <v>323.09907696750906</v>
      </c>
      <c r="FC178" s="4">
        <f>MAX(0,DQ178-ES178-FB178)</f>
        <v>139.75</v>
      </c>
      <c r="FD178" s="4">
        <f>FC178/(1-0.3*(M178/30)^0.5)/200000/N178</f>
        <v>2.5572610994587026E-5</v>
      </c>
      <c r="FE178" s="4">
        <f>MAX(0.5*EP178, (1-2*FD178*(ES178*EZ178+FB178*FA178))/(1/EP178+FD178*FC178))</f>
        <v>6.2114083400654039</v>
      </c>
      <c r="FF178" s="4">
        <f>MIN(4/N178*(1*EZ178*ES178+FA178*FB178+FC178*FE178)+EC178,MAX(J178,AJ178))</f>
        <v>350.4041738035308</v>
      </c>
      <c r="FO178" s="23">
        <f>IF(CU178&lt;0.6,0.6,IF(CU178&lt;0.8,0.8,IF(CU178&lt;1,1,IF(CU178&lt;1.2,1.2,IF(CU178&lt;1.4,1.4,IF(CU178&lt;1.6,1.6,IF(CU178&lt;1.8,1.8,IF(CU178&lt;2,2,2.2))))))))</f>
        <v>1.2</v>
      </c>
      <c r="FP178" s="23">
        <f>IF(CV178&lt;0.6,0.6,IF(CV178&lt;0.8,0.8,IF(CV178&lt;1,1,IF(CV178&lt;1.2,1.2,IF(CV178&lt;1.4,1.4,IF(CV178&lt;1.6,1.6,IF(CV178&lt;1.8,1.8,IF(CV178&lt;2,2,2.2))))))))</f>
        <v>1</v>
      </c>
      <c r="FQ178" s="23">
        <f>IF(DA178&lt;0.6,0.6,IF(DA178&lt;0.8,0.8,IF(DA178&lt;1,1,IF(DA178&lt;1.2,1.2,IF(DA178&lt;1.4,1.4,IF(DA178&lt;1.6,1.6,IF(DA178&lt;1.8,1.8,IF(DA178&lt;2,2,2.2))))))))</f>
        <v>1.4</v>
      </c>
      <c r="FR178" s="23">
        <f>IF(CX178&lt;0.6,0.6,IF(CX178&lt;0.8,0.8,IF(CX178&lt;1,1,IF(CX178&lt;1.2,1.2,IF(CX178&lt;1.4,1.4,IF(CX178&lt;1.6,1.6,IF(CX178&lt;1.8,1.8,IF(CX178&lt;2,2,2.2))))))))</f>
        <v>2.2000000000000002</v>
      </c>
      <c r="FS178" s="23">
        <f>IF(CY178&lt;0.6,0.6,IF(CY178&lt;0.8,0.8,IF(CY178&lt;1,1,IF(CY178&lt;1.2,1.2,IF(CY178&lt;1.4,1.4,IF(CY178&lt;1.6,1.6,IF(CY178&lt;1.8,1.8,IF(CY178&lt;2,2,2.2))))))))</f>
        <v>1.6</v>
      </c>
      <c r="FT178" s="23">
        <f>IF(CZ178&lt;0.6,0.6,IF(CZ178&lt;0.8,0.8,IF(CZ178&lt;1,1,IF(CZ178&lt;1.2,1.2,IF(CZ178&lt;1.4,1.4,IF(CZ178&lt;1.6,1.6,IF(CZ178&lt;1.8,1.8,IF(CZ178&lt;2,2,2.2))))))))</f>
        <v>1.2</v>
      </c>
      <c r="FU178" s="23">
        <f>IF(FS178&lt;1,1,0)</f>
        <v>0</v>
      </c>
      <c r="FV178" s="23"/>
      <c r="GF178" s="4">
        <f>IF(S178&gt;=2.5*25.4,1,1.25)</f>
        <v>1</v>
      </c>
      <c r="GG178" s="4">
        <f>IF(AO178&gt;1, 0.05*(18-MIN(8,(W178+N178)/N178))*(1-48000/MAX(60000,(J178*145))*(N178/25.4)^0.75*GH178), 1/12*(14-MIN(8,(W178+N178)/N178)))</f>
        <v>0.65</v>
      </c>
      <c r="GH178" s="4">
        <f>MIN(0.3, AM178^2*PI()/4*2*AP178/(N178^2*PI()/4*X178))</f>
        <v>0</v>
      </c>
      <c r="GI178" s="4">
        <f>(K178/25.4)/(N178/25.4)^1.5/0.0024*(M178*145)^0.25/GF178/GG178/145</f>
        <v>395.43610010941177</v>
      </c>
    </row>
    <row r="179" spans="1:196" ht="12" hidden="1" customHeight="1" x14ac:dyDescent="0.3">
      <c r="A179" s="25">
        <v>228</v>
      </c>
      <c r="B179" s="24" t="s">
        <v>660</v>
      </c>
      <c r="C179" s="24">
        <v>2002</v>
      </c>
      <c r="D179" s="24" t="s">
        <v>309</v>
      </c>
      <c r="E179" s="24"/>
      <c r="F179" s="24"/>
      <c r="G179" s="24"/>
      <c r="H179" s="7" t="s">
        <v>127</v>
      </c>
      <c r="I179" s="7"/>
      <c r="J179" s="7">
        <v>506</v>
      </c>
      <c r="K179" s="7">
        <v>190</v>
      </c>
      <c r="L179" s="7">
        <f>K179</f>
        <v>190</v>
      </c>
      <c r="M179" s="7">
        <v>27.1</v>
      </c>
      <c r="N179" s="7">
        <v>19.100000000000001</v>
      </c>
      <c r="O179" s="7">
        <f>K179/N179</f>
        <v>9.9476439790575917</v>
      </c>
      <c r="P179" s="7">
        <f>L179/N179</f>
        <v>9.9476439790575917</v>
      </c>
      <c r="Q179" s="7">
        <v>240</v>
      </c>
      <c r="R179" s="7"/>
      <c r="S179" s="7">
        <f>63-N179/2</f>
        <v>53.45</v>
      </c>
      <c r="T179" s="7"/>
      <c r="U179" s="7">
        <f>400-N179-L179</f>
        <v>190.89999999999998</v>
      </c>
      <c r="V179" s="7"/>
      <c r="W179" s="7">
        <f>114-N179</f>
        <v>94.9</v>
      </c>
      <c r="X179" s="7">
        <v>2</v>
      </c>
      <c r="Y179" s="7"/>
      <c r="Z179" s="7"/>
      <c r="AA179" s="7"/>
      <c r="AB179" s="7">
        <f>MIN(S179/N179+0.5, W179/2/N179+0.5)</f>
        <v>2.9842931937172774</v>
      </c>
      <c r="AC179" s="7">
        <f>S179/N179+0.5</f>
        <v>3.2984293193717278</v>
      </c>
      <c r="AD179" s="7">
        <f>32^2/(PI()/4*N179^2)-1</f>
        <v>2.5739077706444626</v>
      </c>
      <c r="AE179" s="7">
        <f>32^2/(PI()/4*N179^2)-1</f>
        <v>2.5739077706444626</v>
      </c>
      <c r="AF179" s="7">
        <f>AE179+1</f>
        <v>3.5739077706444626</v>
      </c>
      <c r="AG179" s="7">
        <f>N179*AF179^0.5</f>
        <v>36.108133347056402</v>
      </c>
      <c r="AH179" s="7"/>
      <c r="AI179" s="7"/>
      <c r="AJ179" s="7">
        <f>284/(PI()/4*N179^2)*1000/X179</f>
        <v>495.60049163233754</v>
      </c>
      <c r="AK179" s="7"/>
      <c r="AL179" s="4">
        <f>CY179</f>
        <v>1.3381260866257922</v>
      </c>
      <c r="AM179" s="7">
        <v>9.5</v>
      </c>
      <c r="AN179" s="10">
        <v>2</v>
      </c>
      <c r="AO179" s="7">
        <v>114</v>
      </c>
      <c r="AP179" s="7">
        <v>2</v>
      </c>
      <c r="AQ179" s="7">
        <f>AN179</f>
        <v>2</v>
      </c>
      <c r="AR179" s="7"/>
      <c r="AS179" s="4">
        <f>K179</f>
        <v>190</v>
      </c>
      <c r="AT179" s="4">
        <f>IF(K179*3&gt;W179+N179, Q179, (S179+N179/2)*2+1.5*K179*(2*X179-2))*(3*K179)/(9*K179^2)</f>
        <v>0.42105263157894735</v>
      </c>
      <c r="AU179" s="4">
        <f>MIN(10*M179^0.5*K179^1.5,100*3.9*M179^0.5*K179^(5/3))/(PI()/4*N179^2)/X179</f>
        <v>237.91862175035638</v>
      </c>
      <c r="AV179" s="4">
        <f>MIN(0.7+0.3*(MIN(S179,AA179)+0.5*N179)/1.5/K179,1)</f>
        <v>0.76631578947368417</v>
      </c>
      <c r="AW179" s="4">
        <v>1.25</v>
      </c>
      <c r="AX179" s="4">
        <f>AX178</f>
        <v>1</v>
      </c>
      <c r="AY179" s="38">
        <f>AT179*AV179*AW179*AX179*AU179</f>
        <v>95.958313924797466</v>
      </c>
      <c r="AZ179" s="38">
        <f>AY179</f>
        <v>95.958313924797466</v>
      </c>
      <c r="BA179" s="38">
        <f>IF(M179&lt;50, 0.3*M179^(2/3), 2.12*LN(1+0.1*(M179+8)))</f>
        <v>2.7066625581997639</v>
      </c>
      <c r="BB179" s="38">
        <f>AX179* (M179^0.5/AS179^0.5)/(PI()/4*N179^2)/X179/0.72 *(0.7+(MIN(S179,AA179)+0.5*N179)/5/K179) *(3*Q179*K179)</f>
        <v>95.958313924797437</v>
      </c>
      <c r="BC179" s="38">
        <f>AY179/BB179</f>
        <v>1.0000000000000002</v>
      </c>
      <c r="BD179" s="38">
        <f>BH179/BB179</f>
        <v>2.8181638933565973</v>
      </c>
      <c r="BE179" s="4">
        <f>IF(BD179&lt;1,1,0)</f>
        <v>0</v>
      </c>
      <c r="BF179" s="4">
        <f>L179/N179*M179^0.5/0.19</f>
        <v>272.55319549362031</v>
      </c>
      <c r="BG179" s="4">
        <f>MIN(0.6+0.4*(AC179/AB179),2)</f>
        <v>1.0421052631578949</v>
      </c>
      <c r="BH179" s="38">
        <f>2*M179*AB179*AD179^0.5*BG179*0.7/0.7</f>
        <v>270.42625557024172</v>
      </c>
      <c r="BI179" s="4">
        <f>MAX(1-0.7*AE179/5,0.3)</f>
        <v>0.63965291210977526</v>
      </c>
      <c r="BJ179" s="4">
        <f>BI179*J179*L179/(J179*N179/2.75/M179^0.5)</f>
        <v>91.092360118211744</v>
      </c>
      <c r="BK179" s="4">
        <f>BH179+BJ179</f>
        <v>361.51861568845345</v>
      </c>
      <c r="BM179" s="4">
        <f>MIN(1.5, 0.75+0.25*MIN(3,MAX(1,S179/N179))+0.4*MIN(1,(40*2*PI()*AM179^2/4/AO179/X179)/N179))</f>
        <v>1.5</v>
      </c>
      <c r="BN179" s="4">
        <f>(3*P179+30)*BM179*M179^0.5</f>
        <v>467.29245367381208</v>
      </c>
      <c r="BP179" s="4">
        <f>3.4/PI()^0.5*M179*AB179*AE179^0.5*BG179</f>
        <v>259.37185006794141</v>
      </c>
      <c r="BQ179" s="4">
        <f>8/3*AH179*AI179^2/(AG179-N179-22)/N179*(AG179^2-N179^2)/(AG179^2-(N179+22)^2)</f>
        <v>0</v>
      </c>
      <c r="BR179" s="4">
        <f>BQ179/BP179</f>
        <v>0</v>
      </c>
      <c r="BZ179" s="4">
        <f>IF(W179=0,S179,MIN(W179/2,S179))</f>
        <v>47.45</v>
      </c>
      <c r="CD179" s="9"/>
      <c r="CF179" s="9"/>
      <c r="CG179" s="9"/>
      <c r="CH179" s="9">
        <f>IF(W179=0,MIN(S179,U179),MIN(W179/2,S179,U179))</f>
        <v>47.45</v>
      </c>
      <c r="CI179" s="9">
        <f>MAX(W179/2,S179)</f>
        <v>53.45</v>
      </c>
      <c r="CJ179" s="9">
        <f>(CH179/N179)^0.5*(CI179/CH179)^0.15</f>
        <v>1.6045680808545388</v>
      </c>
      <c r="CK179" s="70">
        <v>20</v>
      </c>
      <c r="CL179" s="9">
        <f>MIN(PI()*AM179^2/4*AN179*2/X179/N179/MAX(0.01,AO179),0.05)</f>
        <v>0.05</v>
      </c>
      <c r="CM179" s="9">
        <f>MAX(0,CK179*(CL179-0.5/50))</f>
        <v>0.8</v>
      </c>
      <c r="CN179" s="9">
        <f>MIN(1,(25/N179)^0.3)</f>
        <v>1</v>
      </c>
      <c r="CO179" s="9">
        <f>IF(J179&gt;=800,0.68,IF(J179&gt;=700,0.75-(J179-700)*0.07/100,IF(J179&gt;=600,0.85-(J179-600)*0.1/100,IF(J179&gt;=500,1-(J179-500)*0.15/100,1.2-(J179-400)*0.2/100))))</f>
        <v>0.99099999999999999</v>
      </c>
      <c r="CP179" s="9">
        <f>1.75*CN179*CO179*(M179/25)^0.5</f>
        <v>1.8056199488679785</v>
      </c>
      <c r="CQ179" s="9">
        <f>MIN((CJ179+CM179)*CP179,2.5*CP179,M179^0.5)</f>
        <v>4.3417360952021458</v>
      </c>
      <c r="CR179" s="9">
        <v>1</v>
      </c>
      <c r="CS179" s="9">
        <f>4*CQ179*P179+60*CQ179</f>
        <v>433.2643454165073</v>
      </c>
      <c r="CU179" s="4">
        <f>AJ179/BF179</f>
        <v>1.8183624328262118</v>
      </c>
      <c r="CV179" s="4">
        <f>AJ179/BK179</f>
        <v>1.370885122163203</v>
      </c>
      <c r="CW179" s="4">
        <f>AJ179/BN179</f>
        <v>1.0605788467927744</v>
      </c>
      <c r="CX179" s="4">
        <f>AJ179/CS179</f>
        <v>1.1438755505161751</v>
      </c>
      <c r="CY179" s="4">
        <f>AJ179/DZ179</f>
        <v>1.3381260866257922</v>
      </c>
      <c r="CZ179" s="4">
        <f>AJ179/EL179</f>
        <v>0.99199877929520175</v>
      </c>
      <c r="DA179" s="4">
        <f>AJ179/GI179</f>
        <v>1.2016105487261854</v>
      </c>
      <c r="DI179" s="4">
        <f>CU179</f>
        <v>1.8183624328262118</v>
      </c>
      <c r="DJ179" s="4">
        <f>CV179</f>
        <v>1.370885122163203</v>
      </c>
      <c r="DK179" s="4">
        <f>CX179</f>
        <v>1.1438755505161751</v>
      </c>
      <c r="DL179" s="4">
        <f>DA179</f>
        <v>1.2016105487261854</v>
      </c>
      <c r="DM179" s="4">
        <f>CY179</f>
        <v>1.3381260866257922</v>
      </c>
      <c r="DN179" s="4">
        <f>CZ179</f>
        <v>0.99199877929520175</v>
      </c>
      <c r="DP179" s="4">
        <f>AN179</f>
        <v>2</v>
      </c>
      <c r="DQ179" s="4">
        <f>L179</f>
        <v>190</v>
      </c>
      <c r="DT179" s="4">
        <f>K179/4/(1-0.3*(M179/30)^0.5)/200000/N179</f>
        <v>1.7394186230005775E-5</v>
      </c>
      <c r="DU179" s="4">
        <f>EP179</f>
        <v>8.7855659228692318</v>
      </c>
      <c r="DV179" s="4">
        <f>EC179*AG179/257/M179/AD179</f>
        <v>0.19328237382366786</v>
      </c>
      <c r="DW179" s="4">
        <f>DU179*DV179^0.4</f>
        <v>4.5524652789303683</v>
      </c>
      <c r="DX179" s="4">
        <f>MIN(DU179, DU179/1.4*(1-DV179^1.4)/(1-DV179))</f>
        <v>6.9998422978725046</v>
      </c>
      <c r="DY179" s="4">
        <f>MAX(DU179/2, (4-DT179*(8*AG179*(DW179-DX179)+6*K179*DX179))/(4+DT179*K179*DU179)*DU179)</f>
        <v>8.4463993235039485</v>
      </c>
      <c r="DZ179" s="38">
        <f>MIN(1/N179*(4*AG179*(DW179-DX179)+(3*DX179+DY179)*K179)+EC179 -FJ179,MAX(J179,AJ179))</f>
        <v>370.3690531002498</v>
      </c>
      <c r="EA179" s="4">
        <f>DZ179/FF179</f>
        <v>1.0001192286808744</v>
      </c>
      <c r="EB179" s="4">
        <f>AG179/N179</f>
        <v>1.8904781857097592</v>
      </c>
      <c r="EC179" s="4">
        <f>MIN(EB$10*BB179)</f>
        <v>95.958313924797437</v>
      </c>
      <c r="EG179" s="4">
        <f>IF(U179&gt;1*N179,0.85,1)</f>
        <v>0.85</v>
      </c>
      <c r="EH179" s="4">
        <f>MIN(1,MAX(0.7,(1-0.1*(BZ179-1*N179)/N179)))</f>
        <v>0.85157068062827224</v>
      </c>
      <c r="EI179" s="4">
        <f>MIN(1,MAX(0.7,1-0.3*(PI()*AM179^2/4*AQ179*2-0.25*PI()/4*N179^2)/(PI()/4*N179^2)))</f>
        <v>0.77813313779775783</v>
      </c>
      <c r="EJ179" s="4">
        <f>IF(EH179*EI179&lt;0.7,0.7,EH179*EI179)</f>
        <v>0.7</v>
      </c>
      <c r="EL179" s="4">
        <f>MIN(DU179/N179*3*K179+EM179-FJ179,MAX(J179,AJ179))</f>
        <v>499.59788457043589</v>
      </c>
      <c r="EM179" s="25">
        <f>13.3*Q179*K179^0.5*M179^0.5/X179/N179^2*(0.7+S179/5/K179)</f>
        <v>237.4108387047049</v>
      </c>
      <c r="EO179" s="4">
        <f>EG179*EJ179</f>
        <v>0.59499999999999997</v>
      </c>
      <c r="EP179" s="4">
        <f>IF(N179&lt;22.2,1.1*5*(M179/30)^0.5,IF(N179&gt;=31.8,0.9*5*(M179/30)^0.5,1*5*(M179/30)^0.5))/EG179/EJ179</f>
        <v>8.7855659228692318</v>
      </c>
      <c r="ES179" s="4">
        <f>ET179*N179</f>
        <v>36.108133347056402</v>
      </c>
      <c r="ET179" s="4">
        <f>AF179^0.5</f>
        <v>1.8904781857097592</v>
      </c>
      <c r="EU179" s="4">
        <f>MIN(EC179)/(4700*M179^0.5)/AE179*ES179</f>
        <v>5.5018932737940653E-2</v>
      </c>
      <c r="EX179" s="4">
        <f>EU179</f>
        <v>5.5018932737940653E-2</v>
      </c>
      <c r="EY179" s="4">
        <f>MIN(0.999, EX179/(0.3*(M179/30)^0.5))</f>
        <v>0.19295982156469374</v>
      </c>
      <c r="EZ179" s="4">
        <f>EP179/1*EY179^0.4</f>
        <v>4.5494248697397346</v>
      </c>
      <c r="FA179" s="4">
        <f>EP179/1.4*(1-EY179^1.4)/(1-EY179)</f>
        <v>6.9988635396016576</v>
      </c>
      <c r="FB179" s="4">
        <f>MAX(0,DQ179*FB$9-ES179)</f>
        <v>106.39186665294361</v>
      </c>
      <c r="FC179" s="4">
        <f>MAX(0,DQ179-ES179-FB179)</f>
        <v>47.5</v>
      </c>
      <c r="FD179" s="4">
        <f>FC179/(1-0.3*(M179/30)^0.5)/200000/N179</f>
        <v>1.7394186230005775E-5</v>
      </c>
      <c r="FE179" s="4">
        <f>MAX(0.5*EP179, (1-2*FD179*(ES179*EZ179+FB179*FA179))/(1/EP179+FD179*FC179))</f>
        <v>8.4464642324945043</v>
      </c>
      <c r="FF179" s="4">
        <f>MIN(4/N179*(1*EZ179*ES179+FA179*FB179+FC179*FE179)+EC179,MAX(J179,AJ179))</f>
        <v>370.32489975095751</v>
      </c>
      <c r="FO179" s="23">
        <f>IF(CU179&lt;0.6,0.6,IF(CU179&lt;0.8,0.8,IF(CU179&lt;1,1,IF(CU179&lt;1.2,1.2,IF(CU179&lt;1.4,1.4,IF(CU179&lt;1.6,1.6,IF(CU179&lt;1.8,1.8,IF(CU179&lt;2,2,2.2))))))))</f>
        <v>2</v>
      </c>
      <c r="FP179" s="23">
        <f>IF(CV179&lt;0.6,0.6,IF(CV179&lt;0.8,0.8,IF(CV179&lt;1,1,IF(CV179&lt;1.2,1.2,IF(CV179&lt;1.4,1.4,IF(CV179&lt;1.6,1.6,IF(CV179&lt;1.8,1.8,IF(CV179&lt;2,2,2.2))))))))</f>
        <v>1.4</v>
      </c>
      <c r="FQ179" s="23">
        <f>IF(DA179&lt;0.6,0.6,IF(DA179&lt;0.8,0.8,IF(DA179&lt;1,1,IF(DA179&lt;1.2,1.2,IF(DA179&lt;1.4,1.4,IF(DA179&lt;1.6,1.6,IF(DA179&lt;1.8,1.8,IF(DA179&lt;2,2,2.2))))))))</f>
        <v>1.4</v>
      </c>
      <c r="FR179" s="23">
        <f>IF(CX179&lt;0.6,0.6,IF(CX179&lt;0.8,0.8,IF(CX179&lt;1,1,IF(CX179&lt;1.2,1.2,IF(CX179&lt;1.4,1.4,IF(CX179&lt;1.6,1.6,IF(CX179&lt;1.8,1.8,IF(CX179&lt;2,2,2.2))))))))</f>
        <v>1.2</v>
      </c>
      <c r="FS179" s="23">
        <f>IF(CY179&lt;0.6,0.6,IF(CY179&lt;0.8,0.8,IF(CY179&lt;1,1,IF(CY179&lt;1.2,1.2,IF(CY179&lt;1.4,1.4,IF(CY179&lt;1.6,1.6,IF(CY179&lt;1.8,1.8,IF(CY179&lt;2,2,2.2))))))))</f>
        <v>1.4</v>
      </c>
      <c r="FT179" s="23">
        <f>IF(CZ179&lt;0.6,0.6,IF(CZ179&lt;0.8,0.8,IF(CZ179&lt;1,1,IF(CZ179&lt;1.2,1.2,IF(CZ179&lt;1.4,1.4,IF(CZ179&lt;1.6,1.6,IF(CZ179&lt;1.8,1.8,IF(CZ179&lt;2,2,2.2))))))))</f>
        <v>1</v>
      </c>
      <c r="FU179" s="23">
        <f>IF(FS179&lt;1,1,0)</f>
        <v>0</v>
      </c>
      <c r="FV179" s="23"/>
      <c r="GF179" s="4">
        <f>IF(S179&gt;=2.5*25.4,1,1.25)</f>
        <v>1.25</v>
      </c>
      <c r="GG179" s="4">
        <f>IF(AO179&gt;1, 0.05*(18-MIN(8,(W179+N179)/N179))*(1-48000/MAX(60000,(J179*145))*(N179/25.4)^0.75*GH179), 1/12*(14-MIN(8,(W179+N179)/N179)))</f>
        <v>0.50622953362009215</v>
      </c>
      <c r="GH179" s="4">
        <f>MIN(0.3, AM179^2*PI()/4*2*AP179/(N179^2*PI()/4*X179))</f>
        <v>0.3</v>
      </c>
      <c r="GI179" s="4">
        <f>(K179/25.4)/(N179/25.4)^1.5/0.0024*(M179*145)^0.25/GF179/GG179/145</f>
        <v>412.44685489630422</v>
      </c>
    </row>
    <row r="180" spans="1:196" s="54" customFormat="1" ht="12" hidden="1" customHeight="1" x14ac:dyDescent="0.3">
      <c r="A180" s="25">
        <v>229</v>
      </c>
      <c r="B180" s="24" t="s">
        <v>660</v>
      </c>
      <c r="C180" s="24">
        <v>2002</v>
      </c>
      <c r="D180" s="24" t="s">
        <v>309</v>
      </c>
      <c r="E180" s="24"/>
      <c r="F180" s="24"/>
      <c r="G180" s="24"/>
      <c r="H180" s="7" t="s">
        <v>364</v>
      </c>
      <c r="I180" s="7"/>
      <c r="J180" s="7">
        <v>506</v>
      </c>
      <c r="K180" s="7">
        <v>190</v>
      </c>
      <c r="L180" s="7">
        <f>K180</f>
        <v>190</v>
      </c>
      <c r="M180" s="7">
        <v>27.1</v>
      </c>
      <c r="N180" s="7">
        <v>19.100000000000001</v>
      </c>
      <c r="O180" s="7">
        <f>K180/N180</f>
        <v>9.9476439790575917</v>
      </c>
      <c r="P180" s="7">
        <f>L180/N180</f>
        <v>9.9476439790575917</v>
      </c>
      <c r="Q180" s="7">
        <v>240</v>
      </c>
      <c r="R180" s="7"/>
      <c r="S180" s="7">
        <f>63-N180/2</f>
        <v>53.45</v>
      </c>
      <c r="T180" s="7"/>
      <c r="U180" s="7">
        <f>400-N180-L180</f>
        <v>190.89999999999998</v>
      </c>
      <c r="V180" s="7"/>
      <c r="W180" s="7">
        <f>114-N180</f>
        <v>94.9</v>
      </c>
      <c r="X180" s="7">
        <v>2</v>
      </c>
      <c r="Y180" s="7"/>
      <c r="Z180" s="7"/>
      <c r="AA180" s="7"/>
      <c r="AB180" s="7">
        <f>MIN(S180/N180+0.5, W180/2/N180+0.5)</f>
        <v>2.9842931937172774</v>
      </c>
      <c r="AC180" s="7">
        <f>S180/N180+0.5</f>
        <v>3.2984293193717278</v>
      </c>
      <c r="AD180" s="7">
        <f>32^2/(PI()/4*N180^2)-1</f>
        <v>2.5739077706444626</v>
      </c>
      <c r="AE180" s="7">
        <f>32^2/(PI()/4*N180^2)-1</f>
        <v>2.5739077706444626</v>
      </c>
      <c r="AF180" s="7">
        <f>AE180+1</f>
        <v>3.5739077706444626</v>
      </c>
      <c r="AG180" s="7">
        <f>N180*AF180^0.5</f>
        <v>36.108133347056402</v>
      </c>
      <c r="AH180" s="7"/>
      <c r="AI180" s="7"/>
      <c r="AJ180" s="7">
        <f>287/(PI()/4*N180^2)*1000/X180</f>
        <v>500.83570809324249</v>
      </c>
      <c r="AK180" s="7"/>
      <c r="AL180" s="4">
        <f>CY180</f>
        <v>1.3522612213436704</v>
      </c>
      <c r="AM180" s="7">
        <v>9.5</v>
      </c>
      <c r="AN180" s="10">
        <v>2</v>
      </c>
      <c r="AO180" s="7">
        <v>114</v>
      </c>
      <c r="AP180" s="7">
        <v>2</v>
      </c>
      <c r="AQ180" s="7">
        <f>AN180</f>
        <v>2</v>
      </c>
      <c r="AR180" s="7"/>
      <c r="AS180" s="4">
        <f>K180</f>
        <v>190</v>
      </c>
      <c r="AT180" s="4">
        <f>IF(K180*3&gt;W180+N180, Q180, (S180+N180/2)*2+1.5*K180*(2*X180-2))*(3*K180)/(9*K180^2)</f>
        <v>0.42105263157894735</v>
      </c>
      <c r="AU180" s="4">
        <f>MIN(10*M180^0.5*K180^1.5,100*3.9*M180^0.5*K180^(5/3))/(PI()/4*N180^2)/X180</f>
        <v>237.91862175035638</v>
      </c>
      <c r="AV180" s="4">
        <f>MIN(0.7+0.3*(MIN(S180,AA180)+0.5*N180)/1.5/K180,1)</f>
        <v>0.76631578947368417</v>
      </c>
      <c r="AW180" s="4">
        <v>1.25</v>
      </c>
      <c r="AX180" s="4">
        <f>AX179</f>
        <v>1</v>
      </c>
      <c r="AY180" s="38">
        <f>AT180*AV180*AW180*AX180*AU180</f>
        <v>95.958313924797466</v>
      </c>
      <c r="AZ180" s="38">
        <f>AY180</f>
        <v>95.958313924797466</v>
      </c>
      <c r="BA180" s="38">
        <f>IF(M180&lt;50, 0.3*M180^(2/3), 2.12*LN(1+0.1*(M180+8)))</f>
        <v>2.7066625581997639</v>
      </c>
      <c r="BB180" s="38">
        <f>AX180* (M180^0.5/AS180^0.5)/(PI()/4*N180^2)/X180/0.72 *(0.7+(MIN(S180,AA180)+0.5*N180)/5/K180) *(3*Q180*K180)</f>
        <v>95.958313924797437</v>
      </c>
      <c r="BC180" s="38">
        <f>AY180/BB180</f>
        <v>1.0000000000000002</v>
      </c>
      <c r="BD180" s="38">
        <f>BH180/BB180</f>
        <v>2.8181638933565973</v>
      </c>
      <c r="BE180" s="4">
        <f>IF(BD180&lt;1,1,0)</f>
        <v>0</v>
      </c>
      <c r="BF180" s="4">
        <f>L180/N180*M180^0.5/0.19</f>
        <v>272.55319549362031</v>
      </c>
      <c r="BG180" s="4">
        <f>MIN(0.6+0.4*(AC180/AB180),2)</f>
        <v>1.0421052631578949</v>
      </c>
      <c r="BH180" s="38">
        <f>2*M180*AB180*AD180^0.5*BG180*0.7/0.7</f>
        <v>270.42625557024172</v>
      </c>
      <c r="BI180" s="4">
        <f>MAX(1-0.7*AE180/5,0.3)</f>
        <v>0.63965291210977526</v>
      </c>
      <c r="BJ180" s="4">
        <f>BI180*J180*L180/(J180*N180/2.75/M180^0.5)</f>
        <v>91.092360118211744</v>
      </c>
      <c r="BK180" s="4">
        <f>BH180+BJ180</f>
        <v>361.51861568845345</v>
      </c>
      <c r="BL180" s="4"/>
      <c r="BM180" s="4">
        <f>MIN(1.5, 0.75+0.25*MIN(3,MAX(1,S180/N180))+0.4*MIN(1,(40*2*PI()*AM180^2/4/AO180/X180)/N180))</f>
        <v>1.5</v>
      </c>
      <c r="BN180" s="4">
        <f>(3*P180+30)*BM180*M180^0.5</f>
        <v>467.29245367381208</v>
      </c>
      <c r="BO180" s="4"/>
      <c r="BP180" s="4">
        <f>3.4/PI()^0.5*M180*AB180*AE180^0.5*BG180</f>
        <v>259.37185006794141</v>
      </c>
      <c r="BQ180" s="4">
        <f>8/3*AH180*AI180^2/(AG180-N180-22)/N180*(AG180^2-N180^2)/(AG180^2-(N180+22)^2)</f>
        <v>0</v>
      </c>
      <c r="BR180" s="4">
        <f>BQ180/BP180</f>
        <v>0</v>
      </c>
      <c r="BS180" s="4"/>
      <c r="BT180" s="4"/>
      <c r="BU180" s="4"/>
      <c r="BV180" s="4"/>
      <c r="BW180" s="4"/>
      <c r="BX180" s="4"/>
      <c r="BY180" s="4"/>
      <c r="BZ180" s="4">
        <f>IF(W180=0,S180,MIN(W180/2,S180))</f>
        <v>47.45</v>
      </c>
      <c r="CA180" s="4"/>
      <c r="CB180" s="4"/>
      <c r="CC180" s="4"/>
      <c r="CD180" s="9"/>
      <c r="CE180" s="4"/>
      <c r="CF180" s="9"/>
      <c r="CG180" s="9"/>
      <c r="CH180" s="9">
        <f>IF(W180=0,MIN(S180,U180),MIN(W180/2,S180,U180))</f>
        <v>47.45</v>
      </c>
      <c r="CI180" s="9">
        <f>MAX(W180/2,S180)</f>
        <v>53.45</v>
      </c>
      <c r="CJ180" s="9">
        <f>(CH180/N180)^0.5*(CI180/CH180)^0.15</f>
        <v>1.6045680808545388</v>
      </c>
      <c r="CK180" s="70">
        <v>20</v>
      </c>
      <c r="CL180" s="9">
        <f>MIN(PI()*AM180^2/4*AN180*2/X180/N180/MAX(0.01,AO180),0.05)</f>
        <v>0.05</v>
      </c>
      <c r="CM180" s="9">
        <f>MAX(0,CK180*(CL180-0.5/50))</f>
        <v>0.8</v>
      </c>
      <c r="CN180" s="9">
        <f>MIN(1,(25/N180)^0.3)</f>
        <v>1</v>
      </c>
      <c r="CO180" s="9">
        <f>IF(J180&gt;=800,0.68,IF(J180&gt;=700,0.75-(J180-700)*0.07/100,IF(J180&gt;=600,0.85-(J180-600)*0.1/100,IF(J180&gt;=500,1-(J180-500)*0.15/100,1.2-(J180-400)*0.2/100))))</f>
        <v>0.99099999999999999</v>
      </c>
      <c r="CP180" s="9">
        <f>1.75*CN180*CO180*(M180/25)^0.5</f>
        <v>1.8056199488679785</v>
      </c>
      <c r="CQ180" s="9">
        <f>MIN((CJ180+CM180)*CP180,2.5*CP180,M180^0.5)</f>
        <v>4.3417360952021458</v>
      </c>
      <c r="CR180" s="9">
        <v>1</v>
      </c>
      <c r="CS180" s="9">
        <f>4*CQ180*P180+60*CQ180</f>
        <v>433.2643454165073</v>
      </c>
      <c r="CT180" s="4"/>
      <c r="CU180" s="4">
        <f>AJ180/BF180</f>
        <v>1.8375704866940943</v>
      </c>
      <c r="CV180" s="4">
        <f>AJ180/BK180</f>
        <v>1.3853663030311241</v>
      </c>
      <c r="CW180" s="4">
        <f>AJ180/BN180</f>
        <v>1.0717821444701627</v>
      </c>
      <c r="CX180" s="4">
        <f>AJ180/CS180</f>
        <v>1.155958742951205</v>
      </c>
      <c r="CY180" s="4">
        <f>AJ180/DZ180</f>
        <v>1.3522612213436704</v>
      </c>
      <c r="CZ180" s="4">
        <f>AJ180/EL180</f>
        <v>1.0024776396398694</v>
      </c>
      <c r="DA180" s="4">
        <f>AJ180/GI180</f>
        <v>1.2143036179028706</v>
      </c>
      <c r="DB180" s="4"/>
      <c r="DC180" s="4"/>
      <c r="DD180" s="4"/>
      <c r="DE180" s="4"/>
      <c r="DF180" s="4"/>
      <c r="DG180" s="4"/>
      <c r="DH180" s="4"/>
      <c r="DI180" s="4">
        <f>CU180</f>
        <v>1.8375704866940943</v>
      </c>
      <c r="DJ180" s="4">
        <f>CV180</f>
        <v>1.3853663030311241</v>
      </c>
      <c r="DK180" s="4">
        <f>CX180</f>
        <v>1.155958742951205</v>
      </c>
      <c r="DL180" s="4">
        <f>DA180</f>
        <v>1.2143036179028706</v>
      </c>
      <c r="DM180" s="4">
        <f>CY180</f>
        <v>1.3522612213436704</v>
      </c>
      <c r="DN180" s="4">
        <f>CZ180</f>
        <v>1.0024776396398694</v>
      </c>
      <c r="DO180" s="4"/>
      <c r="DP180" s="4">
        <f>AN180</f>
        <v>2</v>
      </c>
      <c r="DQ180" s="4">
        <f>L180</f>
        <v>190</v>
      </c>
      <c r="DR180" s="4"/>
      <c r="DS180" s="4"/>
      <c r="DT180" s="4">
        <f>K180/4/(1-0.3*(M180/30)^0.5)/200000/N180</f>
        <v>1.7394186230005775E-5</v>
      </c>
      <c r="DU180" s="4">
        <f>EP180</f>
        <v>8.7855659228692318</v>
      </c>
      <c r="DV180" s="4">
        <f>EC180*AG180/257/M180/AD180</f>
        <v>0.19328237382366786</v>
      </c>
      <c r="DW180" s="4">
        <f>DU180*DV180^0.4</f>
        <v>4.5524652789303683</v>
      </c>
      <c r="DX180" s="4">
        <f>MIN(DU180, DU180/1.4*(1-DV180^1.4)/(1-DV180))</f>
        <v>6.9998422978725046</v>
      </c>
      <c r="DY180" s="4">
        <f>MAX(DU180/2, (4-DT180*(8*AG180*(DW180-DX180)+6*K180*DX180))/(4+DT180*K180*DU180)*DU180)</f>
        <v>8.4463993235039485</v>
      </c>
      <c r="DZ180" s="38">
        <f>MIN(1/N180*(4*AG180*(DW180-DX180)+(3*DX180+DY180)*K180)+EC180 -FJ180,MAX(J180,AJ180))</f>
        <v>370.3690531002498</v>
      </c>
      <c r="EA180" s="4">
        <f>DZ180/FF180</f>
        <v>1.0001192286808744</v>
      </c>
      <c r="EB180" s="4">
        <f>AG180/N180</f>
        <v>1.8904781857097592</v>
      </c>
      <c r="EC180" s="4">
        <f>MIN(EB$10*BB180)</f>
        <v>95.958313924797437</v>
      </c>
      <c r="ED180" s="4"/>
      <c r="EE180" s="4"/>
      <c r="EF180" s="4"/>
      <c r="EG180" s="4">
        <f>IF(U180&gt;1*N180,0.85,1)</f>
        <v>0.85</v>
      </c>
      <c r="EH180" s="4">
        <f>MIN(1,MAX(0.7,(1-0.1*(BZ180-1*N180)/N180)))</f>
        <v>0.85157068062827224</v>
      </c>
      <c r="EI180" s="4">
        <f>MIN(1,MAX(0.7,1-0.3*(PI()*AM180^2/4*AQ180*2-0.25*PI()/4*N180^2)/(PI()/4*N180^2)))</f>
        <v>0.77813313779775783</v>
      </c>
      <c r="EJ180" s="4">
        <f>IF(EH180*EI180&lt;0.7,0.7,EH180*EI180)</f>
        <v>0.7</v>
      </c>
      <c r="EK180" s="4"/>
      <c r="EL180" s="4">
        <f>MIN(DU180/N180*3*K180+EM180-FJ180,MAX(J180,AJ180))</f>
        <v>499.59788457043589</v>
      </c>
      <c r="EM180" s="25">
        <f>13.3*Q180*K180^0.5*M180^0.5/X180/N180^2*(0.7+S180/5/K180)</f>
        <v>237.4108387047049</v>
      </c>
      <c r="EN180" s="4"/>
      <c r="EO180" s="4">
        <f>EG180*EJ180</f>
        <v>0.59499999999999997</v>
      </c>
      <c r="EP180" s="4">
        <f>IF(N180&lt;22.2,1.1*5*(M180/30)^0.5,IF(N180&gt;=31.8,0.9*5*(M180/30)^0.5,1*5*(M180/30)^0.5))/EG180/EJ180</f>
        <v>8.7855659228692318</v>
      </c>
      <c r="EQ180" s="4"/>
      <c r="ER180" s="4"/>
      <c r="ES180" s="4">
        <f>ET180*N180</f>
        <v>36.108133347056402</v>
      </c>
      <c r="ET180" s="4">
        <f>AF180^0.5</f>
        <v>1.8904781857097592</v>
      </c>
      <c r="EU180" s="4">
        <f>MIN(EC180)/(4700*M180^0.5)/AE180*ES180</f>
        <v>5.5018932737940653E-2</v>
      </c>
      <c r="EV180" s="4"/>
      <c r="EW180" s="4"/>
      <c r="EX180" s="4">
        <f>EU180</f>
        <v>5.5018932737940653E-2</v>
      </c>
      <c r="EY180" s="4">
        <f>MIN(0.999, EX180/(0.3*(M180/30)^0.5))</f>
        <v>0.19295982156469374</v>
      </c>
      <c r="EZ180" s="4">
        <f>EP180/1*EY180^0.4</f>
        <v>4.5494248697397346</v>
      </c>
      <c r="FA180" s="4">
        <f>EP180/1.4*(1-EY180^1.4)/(1-EY180)</f>
        <v>6.9988635396016576</v>
      </c>
      <c r="FB180" s="4">
        <f>MAX(0,DQ180*FB$9-ES180)</f>
        <v>106.39186665294361</v>
      </c>
      <c r="FC180" s="4">
        <f>MAX(0,DQ180-ES180-FB180)</f>
        <v>47.5</v>
      </c>
      <c r="FD180" s="4">
        <f>FC180/(1-0.3*(M180/30)^0.5)/200000/N180</f>
        <v>1.7394186230005775E-5</v>
      </c>
      <c r="FE180" s="4">
        <f>MAX(0.5*EP180, (1-2*FD180*(ES180*EZ180+FB180*FA180))/(1/EP180+FD180*FC180))</f>
        <v>8.4464642324945043</v>
      </c>
      <c r="FF180" s="4">
        <f>MIN(4/N180*(1*EZ180*ES180+FA180*FB180+FC180*FE180)+EC180,MAX(J180,AJ180))</f>
        <v>370.32489975095751</v>
      </c>
      <c r="FG180" s="4"/>
      <c r="FH180" s="4"/>
      <c r="FI180" s="4"/>
      <c r="FJ180" s="4"/>
      <c r="FK180" s="4"/>
      <c r="FL180" s="4"/>
      <c r="FM180" s="4"/>
      <c r="FN180" s="4"/>
      <c r="FO180" s="23">
        <f>IF(CU180&lt;0.6,0.6,IF(CU180&lt;0.8,0.8,IF(CU180&lt;1,1,IF(CU180&lt;1.2,1.2,IF(CU180&lt;1.4,1.4,IF(CU180&lt;1.6,1.6,IF(CU180&lt;1.8,1.8,IF(CU180&lt;2,2,2.2))))))))</f>
        <v>2</v>
      </c>
      <c r="FP180" s="23">
        <f>IF(CV180&lt;0.6,0.6,IF(CV180&lt;0.8,0.8,IF(CV180&lt;1,1,IF(CV180&lt;1.2,1.2,IF(CV180&lt;1.4,1.4,IF(CV180&lt;1.6,1.6,IF(CV180&lt;1.8,1.8,IF(CV180&lt;2,2,2.2))))))))</f>
        <v>1.4</v>
      </c>
      <c r="FQ180" s="23">
        <f>IF(DA180&lt;0.6,0.6,IF(DA180&lt;0.8,0.8,IF(DA180&lt;1,1,IF(DA180&lt;1.2,1.2,IF(DA180&lt;1.4,1.4,IF(DA180&lt;1.6,1.6,IF(DA180&lt;1.8,1.8,IF(DA180&lt;2,2,2.2))))))))</f>
        <v>1.4</v>
      </c>
      <c r="FR180" s="23">
        <f>IF(CX180&lt;0.6,0.6,IF(CX180&lt;0.8,0.8,IF(CX180&lt;1,1,IF(CX180&lt;1.2,1.2,IF(CX180&lt;1.4,1.4,IF(CX180&lt;1.6,1.6,IF(CX180&lt;1.8,1.8,IF(CX180&lt;2,2,2.2))))))))</f>
        <v>1.2</v>
      </c>
      <c r="FS180" s="23">
        <f>IF(CY180&lt;0.6,0.6,IF(CY180&lt;0.8,0.8,IF(CY180&lt;1,1,IF(CY180&lt;1.2,1.2,IF(CY180&lt;1.4,1.4,IF(CY180&lt;1.6,1.6,IF(CY180&lt;1.8,1.8,IF(CY180&lt;2,2,2.2))))))))</f>
        <v>1.4</v>
      </c>
      <c r="FT180" s="23">
        <f>IF(CZ180&lt;0.6,0.6,IF(CZ180&lt;0.8,0.8,IF(CZ180&lt;1,1,IF(CZ180&lt;1.2,1.2,IF(CZ180&lt;1.4,1.4,IF(CZ180&lt;1.6,1.6,IF(CZ180&lt;1.8,1.8,IF(CZ180&lt;2,2,2.2))))))))</f>
        <v>1.2</v>
      </c>
      <c r="FU180" s="23">
        <f>IF(FS180&lt;1,1,0)</f>
        <v>0</v>
      </c>
      <c r="FV180" s="23"/>
      <c r="FW180" s="4"/>
      <c r="FX180" s="4"/>
      <c r="FY180" s="4"/>
      <c r="FZ180" s="4"/>
      <c r="GA180" s="4"/>
      <c r="GB180" s="4"/>
      <c r="GC180" s="4"/>
      <c r="GD180" s="4"/>
      <c r="GE180" s="4"/>
      <c r="GF180" s="4">
        <f>IF(S180&gt;=2.5*25.4,1,1.25)</f>
        <v>1.25</v>
      </c>
      <c r="GG180" s="4">
        <f>IF(AO180&gt;1, 0.05*(18-MIN(8,(W180+N180)/N180))*(1-48000/MAX(60000,(J180*145))*(N180/25.4)^0.75*GH180), 1/12*(14-MIN(8,(W180+N180)/N180)))</f>
        <v>0.50622953362009215</v>
      </c>
      <c r="GH180" s="4">
        <f>MIN(0.3, AM180^2*PI()/4*2*AP180/(N180^2*PI()/4*X180))</f>
        <v>0.3</v>
      </c>
      <c r="GI180" s="4">
        <f>(K180/25.4)/(N180/25.4)^1.5/0.0024*(M180*145)^0.25/GF180/GG180/145</f>
        <v>412.44685489630422</v>
      </c>
      <c r="GJ180" s="4"/>
      <c r="GK180" s="4"/>
      <c r="GL180" s="4"/>
      <c r="GM180" s="4"/>
      <c r="GN180" s="4"/>
    </row>
    <row r="181" spans="1:196" ht="12" hidden="1" customHeight="1" x14ac:dyDescent="0.3">
      <c r="A181" s="25">
        <v>226</v>
      </c>
      <c r="B181" s="24" t="s">
        <v>660</v>
      </c>
      <c r="C181" s="24">
        <v>2002</v>
      </c>
      <c r="D181" s="24" t="s">
        <v>309</v>
      </c>
      <c r="E181" s="24"/>
      <c r="F181" s="24"/>
      <c r="G181" s="24"/>
      <c r="H181" s="7" t="s">
        <v>361</v>
      </c>
      <c r="I181" s="7"/>
      <c r="J181" s="7">
        <v>506</v>
      </c>
      <c r="K181" s="7">
        <v>190</v>
      </c>
      <c r="L181" s="7">
        <f>K181</f>
        <v>190</v>
      </c>
      <c r="M181" s="7">
        <v>27.1</v>
      </c>
      <c r="N181" s="7">
        <v>19.100000000000001</v>
      </c>
      <c r="O181" s="7">
        <f>K181/N181</f>
        <v>9.9476439790575917</v>
      </c>
      <c r="P181" s="7">
        <f>L181/N181</f>
        <v>9.9476439790575917</v>
      </c>
      <c r="Q181" s="7">
        <v>240</v>
      </c>
      <c r="R181" s="7"/>
      <c r="S181" s="7">
        <f>63-N181/2</f>
        <v>53.45</v>
      </c>
      <c r="T181" s="7"/>
      <c r="U181" s="7">
        <f>400-N181-L181</f>
        <v>190.89999999999998</v>
      </c>
      <c r="V181" s="7"/>
      <c r="W181" s="7">
        <f>114-N181</f>
        <v>94.9</v>
      </c>
      <c r="X181" s="7">
        <v>2</v>
      </c>
      <c r="Y181" s="7"/>
      <c r="Z181" s="7"/>
      <c r="AA181" s="7"/>
      <c r="AB181" s="7">
        <f>MIN(S181/N181+0.5, W181/2/N181+0.5)</f>
        <v>2.9842931937172774</v>
      </c>
      <c r="AC181" s="7">
        <f>S181/N181+0.5</f>
        <v>3.2984293193717278</v>
      </c>
      <c r="AD181" s="7">
        <f>32^2/(PI()/4*N181^2)-1</f>
        <v>2.5739077706444626</v>
      </c>
      <c r="AE181" s="7">
        <f>32^2/(PI()/4*N181^2)-1</f>
        <v>2.5739077706444626</v>
      </c>
      <c r="AF181" s="7">
        <f>AE181+1</f>
        <v>3.5739077706444626</v>
      </c>
      <c r="AG181" s="7">
        <f>N181*AF181^0.5</f>
        <v>36.108133347056402</v>
      </c>
      <c r="AH181" s="7"/>
      <c r="AI181" s="7"/>
      <c r="AJ181" s="7">
        <f>290/(PI()/4*N181^2)*1000/X181</f>
        <v>506.0709245541475</v>
      </c>
      <c r="AK181" s="7"/>
      <c r="AL181" s="4">
        <f>CY181</f>
        <v>1.3663963560615484</v>
      </c>
      <c r="AM181" s="7">
        <v>9.5</v>
      </c>
      <c r="AN181" s="10">
        <v>3</v>
      </c>
      <c r="AO181" s="7">
        <v>57</v>
      </c>
      <c r="AP181" s="7">
        <v>4</v>
      </c>
      <c r="AQ181" s="7">
        <f>AN181</f>
        <v>3</v>
      </c>
      <c r="AR181" s="7"/>
      <c r="AS181" s="4">
        <f>K181</f>
        <v>190</v>
      </c>
      <c r="AT181" s="4">
        <f>IF(K181*3&gt;W181+N181, Q181, (S181+N181/2)*2+1.5*K181*(2*X181-2))*(3*K181)/(9*K181^2)</f>
        <v>0.42105263157894735</v>
      </c>
      <c r="AU181" s="4">
        <f>MIN(10*M181^0.5*K181^1.5,100*3.9*M181^0.5*K181^(5/3))/(PI()/4*N181^2)/X181</f>
        <v>237.91862175035638</v>
      </c>
      <c r="AV181" s="4">
        <f>MIN(0.7+0.3*(MIN(S181,AA181)+0.5*N181)/1.5/K181,1)</f>
        <v>0.76631578947368417</v>
      </c>
      <c r="AW181" s="4">
        <v>1.25</v>
      </c>
      <c r="AX181" s="4">
        <f>AX180</f>
        <v>1</v>
      </c>
      <c r="AY181" s="38">
        <f>AT181*AV181*AW181*AX181*AU181</f>
        <v>95.958313924797466</v>
      </c>
      <c r="AZ181" s="38">
        <f>AY181</f>
        <v>95.958313924797466</v>
      </c>
      <c r="BA181" s="38">
        <f>IF(M181&lt;50, 0.3*M181^(2/3), 2.12*LN(1+0.1*(M181+8)))</f>
        <v>2.7066625581997639</v>
      </c>
      <c r="BB181" s="38">
        <f>AX181* (M181^0.5/AS181^0.5)/(PI()/4*N181^2)/X181/0.72 *(0.7+(MIN(S181,AA181)+0.5*N181)/5/K181) *(3*Q181*K181)</f>
        <v>95.958313924797437</v>
      </c>
      <c r="BC181" s="38">
        <f>AY181/BB181</f>
        <v>1.0000000000000002</v>
      </c>
      <c r="BD181" s="38">
        <f>BH181/BB181</f>
        <v>2.8181638933565973</v>
      </c>
      <c r="BE181" s="4">
        <f>IF(BD181&lt;1,1,0)</f>
        <v>0</v>
      </c>
      <c r="BF181" s="4">
        <f>L181/N181*M181^0.5/0.19</f>
        <v>272.55319549362031</v>
      </c>
      <c r="BG181" s="4">
        <f>MIN(0.6+0.4*(AC181/AB181),2)</f>
        <v>1.0421052631578949</v>
      </c>
      <c r="BH181" s="38">
        <f>2*M181*AB181*AD181^0.5*BG181*0.7/0.7</f>
        <v>270.42625557024172</v>
      </c>
      <c r="BI181" s="4">
        <f>MAX(1-0.7*AE181/5,0.3)</f>
        <v>0.63965291210977526</v>
      </c>
      <c r="BJ181" s="4">
        <f>BI181*J181*L181/(J181*N181/2.75/M181^0.5)</f>
        <v>91.092360118211744</v>
      </c>
      <c r="BK181" s="4">
        <f>BH181+BJ181</f>
        <v>361.51861568845345</v>
      </c>
      <c r="BM181" s="4">
        <f>MIN(1.5, 0.75+0.25*MIN(3,MAX(1,S181/N181))+0.4*MIN(1,(40*2*PI()*AM181^2/4/AO181/X181)/N181))</f>
        <v>1.5</v>
      </c>
      <c r="BN181" s="4">
        <f>(3*P181+30)*BM181*M181^0.5</f>
        <v>467.29245367381208</v>
      </c>
      <c r="BP181" s="4">
        <f>3.4/PI()^0.5*M181*AB181*AE181^0.5*BG181</f>
        <v>259.37185006794141</v>
      </c>
      <c r="BQ181" s="4">
        <f>8/3*AH181*AI181^2/(AG181-N181-22)/N181*(AG181^2-N181^2)/(AG181^2-(N181+22)^2)</f>
        <v>0</v>
      </c>
      <c r="BR181" s="4">
        <f>BQ181/BP181</f>
        <v>0</v>
      </c>
      <c r="BZ181" s="4">
        <f>IF(W181=0,S181,MIN(W181/2,S181))</f>
        <v>47.45</v>
      </c>
      <c r="CD181" s="9"/>
      <c r="CF181" s="9"/>
      <c r="CG181" s="9"/>
      <c r="CH181" s="9">
        <f>IF(W181=0,MIN(S181,U181),MIN(W181/2,S181,U181))</f>
        <v>47.45</v>
      </c>
      <c r="CI181" s="9">
        <f>MAX(W181/2,S181)</f>
        <v>53.45</v>
      </c>
      <c r="CJ181" s="9">
        <f>(CH181/N181)^0.5*(CI181/CH181)^0.15</f>
        <v>1.6045680808545388</v>
      </c>
      <c r="CK181" s="70">
        <v>20</v>
      </c>
      <c r="CL181" s="9">
        <f>MIN(PI()*AM181^2/4*AN181*2/X181/N181/MAX(0.01,AO181),0.05)</f>
        <v>0.05</v>
      </c>
      <c r="CM181" s="9">
        <f>MAX(0,CK181*(CL181-0.5/50))</f>
        <v>0.8</v>
      </c>
      <c r="CN181" s="9">
        <f>MIN(1,(25/N181)^0.3)</f>
        <v>1</v>
      </c>
      <c r="CO181" s="9">
        <f>IF(J181&gt;=800,0.68,IF(J181&gt;=700,0.75-(J181-700)*0.07/100,IF(J181&gt;=600,0.85-(J181-600)*0.1/100,IF(J181&gt;=500,1-(J181-500)*0.15/100,1.2-(J181-400)*0.2/100))))</f>
        <v>0.99099999999999999</v>
      </c>
      <c r="CP181" s="9">
        <f>1.75*CN181*CO181*(M181/25)^0.5</f>
        <v>1.8056199488679785</v>
      </c>
      <c r="CQ181" s="9">
        <f>MIN((CJ181+CM181)*CP181,2.5*CP181,M181^0.5)</f>
        <v>4.3417360952021458</v>
      </c>
      <c r="CR181" s="9">
        <v>1</v>
      </c>
      <c r="CS181" s="9">
        <f>4*CQ181*P181+60*CQ181</f>
        <v>433.2643454165073</v>
      </c>
      <c r="CU181" s="4">
        <f>AJ181/BF181</f>
        <v>1.856778540561977</v>
      </c>
      <c r="CV181" s="4">
        <f>AJ181/BK181</f>
        <v>1.3998474838990453</v>
      </c>
      <c r="CW181" s="4">
        <f>AJ181/BN181</f>
        <v>1.0829854421475513</v>
      </c>
      <c r="CX181" s="4">
        <f>AJ181/CS181</f>
        <v>1.1680419353862352</v>
      </c>
      <c r="CY181" s="4">
        <f>AJ181/DZ181</f>
        <v>1.3663963560615484</v>
      </c>
      <c r="CZ181" s="4">
        <f>AJ181/EL181</f>
        <v>1.0129564999845371</v>
      </c>
      <c r="DA181" s="4">
        <f>AJ181/GI181</f>
        <v>1.2269966870795557</v>
      </c>
      <c r="DI181" s="4">
        <f>CU181</f>
        <v>1.856778540561977</v>
      </c>
      <c r="DJ181" s="4">
        <f>CV181</f>
        <v>1.3998474838990453</v>
      </c>
      <c r="DK181" s="4">
        <f>CX181</f>
        <v>1.1680419353862352</v>
      </c>
      <c r="DL181" s="4">
        <f>DA181</f>
        <v>1.2269966870795557</v>
      </c>
      <c r="DM181" s="4">
        <f>CY181</f>
        <v>1.3663963560615484</v>
      </c>
      <c r="DN181" s="4">
        <f>CZ181</f>
        <v>1.0129564999845371</v>
      </c>
      <c r="DP181" s="4">
        <f>AN181</f>
        <v>3</v>
      </c>
      <c r="DQ181" s="4">
        <f>L181</f>
        <v>190</v>
      </c>
      <c r="DT181" s="4">
        <f>K181/4/(1-0.3*(M181/30)^0.5)/200000/N181</f>
        <v>1.7394186230005775E-5</v>
      </c>
      <c r="DU181" s="4">
        <f>EP181</f>
        <v>8.7855659228692318</v>
      </c>
      <c r="DV181" s="4">
        <f>EC181*AG181/257/M181/AD181</f>
        <v>0.19328237382366786</v>
      </c>
      <c r="DW181" s="4">
        <f>DU181*DV181^0.4</f>
        <v>4.5524652789303683</v>
      </c>
      <c r="DX181" s="4">
        <f>MIN(DU181, DU181/1.4*(1-DV181^1.4)/(1-DV181))</f>
        <v>6.9998422978725046</v>
      </c>
      <c r="DY181" s="4">
        <f>MAX(DU181/2, (4-DT181*(8*AG181*(DW181-DX181)+6*K181*DX181))/(4+DT181*K181*DU181)*DU181)</f>
        <v>8.4463993235039485</v>
      </c>
      <c r="DZ181" s="38">
        <f>MIN(1/N181*(4*AG181*(DW181-DX181)+(3*DX181+DY181)*K181)+EC181 -FJ181,MAX(J181,AJ181))</f>
        <v>370.3690531002498</v>
      </c>
      <c r="EA181" s="4">
        <f>DZ181/FF181</f>
        <v>1.0001192286808744</v>
      </c>
      <c r="EB181" s="4">
        <f>AG181/N181</f>
        <v>1.8904781857097592</v>
      </c>
      <c r="EC181" s="4">
        <f>MIN(EB$10*BB181)</f>
        <v>95.958313924797437</v>
      </c>
      <c r="EG181" s="4">
        <f>IF(U181&gt;1*N181,0.85,1)</f>
        <v>0.85</v>
      </c>
      <c r="EH181" s="4">
        <f>MIN(1,MAX(0.7,(1-0.1*(BZ181-1*N181)/N181)))</f>
        <v>0.85157068062827224</v>
      </c>
      <c r="EI181" s="4">
        <f>MIN(1,MAX(0.7,1-0.3*(PI()*AM181^2/4*AQ181*2-0.25*PI()/4*N181^2)/(PI()/4*N181^2)))</f>
        <v>0.7</v>
      </c>
      <c r="EJ181" s="4">
        <f>IF(EH181*EI181&lt;0.7,0.7,EH181*EI181)</f>
        <v>0.7</v>
      </c>
      <c r="EL181" s="4">
        <f>MIN(DU181/N181*3*K181+EM181-FJ181,MAX(J181,AJ181))</f>
        <v>499.59788457043589</v>
      </c>
      <c r="EM181" s="25">
        <f>13.3*Q181*K181^0.5*M181^0.5/X181/N181^2*(0.7+S181/5/K181)</f>
        <v>237.4108387047049</v>
      </c>
      <c r="EO181" s="4">
        <f>EG181*EJ181</f>
        <v>0.59499999999999997</v>
      </c>
      <c r="EP181" s="4">
        <f>IF(N181&lt;22.2,1.1*5*(M181/30)^0.5,IF(N181&gt;=31.8,0.9*5*(M181/30)^0.5,1*5*(M181/30)^0.5))/EG181/EJ181</f>
        <v>8.7855659228692318</v>
      </c>
      <c r="ES181" s="4">
        <f>ET181*N181</f>
        <v>36.108133347056402</v>
      </c>
      <c r="ET181" s="4">
        <f>AF181^0.5</f>
        <v>1.8904781857097592</v>
      </c>
      <c r="EU181" s="4">
        <f>MIN(EC181)/(4700*M181^0.5)/AE181*ES181</f>
        <v>5.5018932737940653E-2</v>
      </c>
      <c r="EX181" s="4">
        <f>EU181</f>
        <v>5.5018932737940653E-2</v>
      </c>
      <c r="EY181" s="4">
        <f>MIN(0.999, EX181/(0.3*(M181/30)^0.5))</f>
        <v>0.19295982156469374</v>
      </c>
      <c r="EZ181" s="4">
        <f>EP181/1*EY181^0.4</f>
        <v>4.5494248697397346</v>
      </c>
      <c r="FA181" s="4">
        <f>EP181/1.4*(1-EY181^1.4)/(1-EY181)</f>
        <v>6.9988635396016576</v>
      </c>
      <c r="FB181" s="4">
        <f>MAX(0,DQ181*FB$9-ES181)</f>
        <v>106.39186665294361</v>
      </c>
      <c r="FC181" s="4">
        <f>MAX(0,DQ181-ES181-FB181)</f>
        <v>47.5</v>
      </c>
      <c r="FD181" s="4">
        <f>FC181/(1-0.3*(M181/30)^0.5)/200000/N181</f>
        <v>1.7394186230005775E-5</v>
      </c>
      <c r="FE181" s="4">
        <f>MAX(0.5*EP181, (1-2*FD181*(ES181*EZ181+FB181*FA181))/(1/EP181+FD181*FC181))</f>
        <v>8.4464642324945043</v>
      </c>
      <c r="FF181" s="4">
        <f>MIN(4/N181*(1*EZ181*ES181+FA181*FB181+FC181*FE181)+EC181,MAX(J181,AJ181))</f>
        <v>370.32489975095751</v>
      </c>
      <c r="FO181" s="23">
        <f>IF(CU181&lt;0.6,0.6,IF(CU181&lt;0.8,0.8,IF(CU181&lt;1,1,IF(CU181&lt;1.2,1.2,IF(CU181&lt;1.4,1.4,IF(CU181&lt;1.6,1.6,IF(CU181&lt;1.8,1.8,IF(CU181&lt;2,2,2.2))))))))</f>
        <v>2</v>
      </c>
      <c r="FP181" s="23">
        <f>IF(CV181&lt;0.6,0.6,IF(CV181&lt;0.8,0.8,IF(CV181&lt;1,1,IF(CV181&lt;1.2,1.2,IF(CV181&lt;1.4,1.4,IF(CV181&lt;1.6,1.6,IF(CV181&lt;1.8,1.8,IF(CV181&lt;2,2,2.2))))))))</f>
        <v>1.4</v>
      </c>
      <c r="FQ181" s="23">
        <f>IF(DA181&lt;0.6,0.6,IF(DA181&lt;0.8,0.8,IF(DA181&lt;1,1,IF(DA181&lt;1.2,1.2,IF(DA181&lt;1.4,1.4,IF(DA181&lt;1.6,1.6,IF(DA181&lt;1.8,1.8,IF(DA181&lt;2,2,2.2))))))))</f>
        <v>1.4</v>
      </c>
      <c r="FR181" s="23">
        <f>IF(CX181&lt;0.6,0.6,IF(CX181&lt;0.8,0.8,IF(CX181&lt;1,1,IF(CX181&lt;1.2,1.2,IF(CX181&lt;1.4,1.4,IF(CX181&lt;1.6,1.6,IF(CX181&lt;1.8,1.8,IF(CX181&lt;2,2,2.2))))))))</f>
        <v>1.2</v>
      </c>
      <c r="FS181" s="23">
        <f>IF(CY181&lt;0.6,0.6,IF(CY181&lt;0.8,0.8,IF(CY181&lt;1,1,IF(CY181&lt;1.2,1.2,IF(CY181&lt;1.4,1.4,IF(CY181&lt;1.6,1.6,IF(CY181&lt;1.8,1.8,IF(CY181&lt;2,2,2.2))))))))</f>
        <v>1.4</v>
      </c>
      <c r="FT181" s="23">
        <f>IF(CZ181&lt;0.6,0.6,IF(CZ181&lt;0.8,0.8,IF(CZ181&lt;1,1,IF(CZ181&lt;1.2,1.2,IF(CZ181&lt;1.4,1.4,IF(CZ181&lt;1.6,1.6,IF(CZ181&lt;1.8,1.8,IF(CZ181&lt;2,2,2.2))))))))</f>
        <v>1.2</v>
      </c>
      <c r="FU181" s="23">
        <f>IF(FS181&lt;1,1,0)</f>
        <v>0</v>
      </c>
      <c r="FV181" s="23"/>
      <c r="GF181" s="4">
        <f>IF(S181&gt;=2.5*25.4,1,1.25)</f>
        <v>1.25</v>
      </c>
      <c r="GG181" s="4">
        <f>IF(AO181&gt;1, 0.05*(18-MIN(8,(W181+N181)/N181))*(1-48000/MAX(60000,(J181*145))*(N181/25.4)^0.75*GH181), 1/12*(14-MIN(8,(W181+N181)/N181)))</f>
        <v>0.50622953362009215</v>
      </c>
      <c r="GH181" s="4">
        <f>MIN(0.3, AM181^2*PI()/4*2*AP181/(N181^2*PI()/4*X181))</f>
        <v>0.3</v>
      </c>
      <c r="GI181" s="4">
        <f>(K181/25.4)/(N181/25.4)^1.5/0.0024*(M181*145)^0.25/GF181/GG181/145</f>
        <v>412.44685489630422</v>
      </c>
    </row>
    <row r="182" spans="1:196" ht="12" customHeight="1" x14ac:dyDescent="0.3">
      <c r="A182" s="25">
        <v>155</v>
      </c>
      <c r="B182" s="24" t="s">
        <v>128</v>
      </c>
      <c r="C182" s="24">
        <v>2017</v>
      </c>
      <c r="D182" s="24" t="s">
        <v>309</v>
      </c>
      <c r="E182" s="24"/>
      <c r="F182" s="115" t="s">
        <v>782</v>
      </c>
      <c r="G182" s="109" t="s">
        <v>782</v>
      </c>
      <c r="H182" s="4" t="s">
        <v>162</v>
      </c>
      <c r="I182" s="5">
        <f>K182/N182</f>
        <v>13</v>
      </c>
      <c r="J182" s="72">
        <v>606</v>
      </c>
      <c r="K182" s="7">
        <f>13*N182</f>
        <v>559</v>
      </c>
      <c r="L182" s="7">
        <f>K182</f>
        <v>559</v>
      </c>
      <c r="M182" s="21">
        <v>40.5</v>
      </c>
      <c r="N182" s="88">
        <v>43</v>
      </c>
      <c r="O182" s="7">
        <f>K182/N182</f>
        <v>13</v>
      </c>
      <c r="P182" s="7">
        <f>L182/N182</f>
        <v>13</v>
      </c>
      <c r="Q182" s="7">
        <f>W182+2*S182+2*N182</f>
        <v>344</v>
      </c>
      <c r="R182" s="32">
        <f>S182/N182</f>
        <v>1</v>
      </c>
      <c r="S182" s="7">
        <f>1*N182</f>
        <v>43</v>
      </c>
      <c r="T182" s="32">
        <f>U182/N182</f>
        <v>1.3023255813953489</v>
      </c>
      <c r="U182" s="7">
        <f>40+16</f>
        <v>56</v>
      </c>
      <c r="V182" s="32">
        <f>W182/N182</f>
        <v>4</v>
      </c>
      <c r="W182" s="7">
        <f>(5-1)*N182</f>
        <v>172</v>
      </c>
      <c r="X182" s="7">
        <v>2</v>
      </c>
      <c r="Y182" s="7">
        <f>AN182</f>
        <v>2</v>
      </c>
      <c r="Z182" s="32">
        <f>AA182/N182</f>
        <v>6.3410852713178283</v>
      </c>
      <c r="AA182" s="7">
        <f>2/3*K182-0.5*200</f>
        <v>272.66666666666663</v>
      </c>
      <c r="AB182" s="7">
        <f>MIN(S182/N182+0.5, W182/2/N182+0.5)</f>
        <v>1.5</v>
      </c>
      <c r="AC182" s="7">
        <f>S182/N182+0.5</f>
        <v>1.5</v>
      </c>
      <c r="AD182" s="7">
        <f>2040/510</f>
        <v>4</v>
      </c>
      <c r="AE182" s="7">
        <f>2040/510</f>
        <v>4</v>
      </c>
      <c r="AF182" s="7">
        <f>AE182+1</f>
        <v>5</v>
      </c>
      <c r="AG182" s="7">
        <f>N182*AF182^0.5</f>
        <v>96.150923032490965</v>
      </c>
      <c r="AH182" s="7">
        <f>J182</f>
        <v>606</v>
      </c>
      <c r="AI182" s="7">
        <v>19</v>
      </c>
      <c r="AJ182" s="7">
        <f>(468+468)/2</f>
        <v>468</v>
      </c>
      <c r="AK182" s="7"/>
      <c r="AL182" s="4">
        <f>CY182</f>
        <v>1.491198292511049</v>
      </c>
      <c r="AM182" s="7">
        <v>15.9</v>
      </c>
      <c r="AN182" s="10">
        <v>2</v>
      </c>
      <c r="AO182" s="7">
        <v>120</v>
      </c>
      <c r="AP182" s="7">
        <v>4</v>
      </c>
      <c r="AQ182" s="7">
        <f>AN182</f>
        <v>2</v>
      </c>
      <c r="AR182" s="7">
        <f>3*AS182/(W182+N182)</f>
        <v>7.8</v>
      </c>
      <c r="AS182" s="4">
        <f>K182</f>
        <v>559</v>
      </c>
      <c r="AT182" s="4">
        <f>IF(K182*3&gt;W182+N182, Q182, (S182+N182/2)*2+1.5*K182*(2*X182-2))*(3*K182)/(9*K182^2)</f>
        <v>0.20512820512820512</v>
      </c>
      <c r="AU182" s="4">
        <f>MIN(10*M182^0.5*K182^1.5,100*3.9*M182^0.5*K182^(5/3))/(PI()/4*N182^2)/X182</f>
        <v>289.59325025411408</v>
      </c>
      <c r="AV182" s="4">
        <f>MIN(0.7+0.3*(MIN(S182,AA182)+0.5*N182)/1.5/K182,1)</f>
        <v>0.72307692307692306</v>
      </c>
      <c r="AW182" s="4">
        <v>1.25</v>
      </c>
      <c r="AX182" s="4">
        <f>AX181</f>
        <v>1</v>
      </c>
      <c r="AY182" s="38">
        <f>AT182*AV182*AW182*AX182*AU182</f>
        <v>53.691845214766715</v>
      </c>
      <c r="AZ182" s="38">
        <f>AY182</f>
        <v>53.691845214766715</v>
      </c>
      <c r="BA182" s="38">
        <f>IF(M182&lt;50, 0.3*M182^(2/3), 2.12*LN(1+0.1*(M182+8)))</f>
        <v>3.538000882182009</v>
      </c>
      <c r="BB182" s="38">
        <f>AX182* (M182^0.5/AS182^0.5)/(PI()/4*N182^2)/X182/0.72 *(0.7+(MIN(S182,AA182)+0.5*N182)/5/K182) *(3*Q182*K182)</f>
        <v>53.691845214766687</v>
      </c>
      <c r="BC182" s="38">
        <f>AY182/BB182</f>
        <v>1.0000000000000004</v>
      </c>
      <c r="BD182" s="38">
        <f>BH182/BB182</f>
        <v>4.5258269487294234</v>
      </c>
      <c r="BE182" s="4">
        <f>IF(BD182&lt;1,1,0)</f>
        <v>0</v>
      </c>
      <c r="BF182" s="4">
        <f>L182/N182*M182^0.5/0.19</f>
        <v>435.4289126254003</v>
      </c>
      <c r="BG182" s="4">
        <f>MIN(0.6+0.4*(AC182/AB182),2)</f>
        <v>1</v>
      </c>
      <c r="BH182" s="38">
        <f>2*M182*AB182*AD182^0.5*BG182*0.7/0.7</f>
        <v>243</v>
      </c>
      <c r="BI182" s="4">
        <f>MAX(1-0.7*AE182/5,0.3)</f>
        <v>0.44000000000000006</v>
      </c>
      <c r="BJ182" s="4">
        <f>BI182*J182*L182/(J182*N182/2.75/M182^0.5)</f>
        <v>100.10510701257955</v>
      </c>
      <c r="BK182" s="4">
        <f>BH182+BJ182</f>
        <v>343.10510701257954</v>
      </c>
      <c r="BM182" s="4">
        <f>MIN(1.5, 0.75+0.25*MIN(3,MAX(1,S182/N182))+0.4*MIN(1,(40*2*PI()*AM182^2/4/AO182/X182)/N182))</f>
        <v>1.4</v>
      </c>
      <c r="BN182" s="4">
        <f>(3*P182+30)*BM182*M182^0.5</f>
        <v>614.75863556358433</v>
      </c>
      <c r="BP182" s="4">
        <f>3.4/PI()^0.5*M182*AB182*AE182^0.5*BG182</f>
        <v>233.06671696357813</v>
      </c>
      <c r="BQ182" s="4">
        <f>8/3*AH182*AI182^2/(AG182-N182-22)/N182*(AG182^2-N182^2)/(AG182^2-(N182+22)^2)</f>
        <v>641.65616063635548</v>
      </c>
      <c r="BR182" s="4">
        <f>BQ182/BP182</f>
        <v>2.7531007815956343</v>
      </c>
      <c r="BZ182" s="4">
        <f>IF(W182=0,S182,MIN(W182/2,S182))</f>
        <v>43</v>
      </c>
      <c r="CD182" s="9"/>
      <c r="CF182" s="9"/>
      <c r="CG182" s="9"/>
      <c r="CH182" s="9">
        <f>IF(W182=0,MIN(S182,U182),MIN(W182/2,S182,U182))</f>
        <v>43</v>
      </c>
      <c r="CI182" s="9">
        <f>MAX(W182/2,S182)</f>
        <v>86</v>
      </c>
      <c r="CJ182" s="9">
        <f>(CH182/N182)^0.5*(CI182/CH182)^0.15</f>
        <v>1.1095694720678451</v>
      </c>
      <c r="CK182" s="70">
        <v>20</v>
      </c>
      <c r="CL182" s="9">
        <f>MIN(PI()*AM182^2/4*AN182*2/X182/N182/MAX(0.01,AO182),0.05)</f>
        <v>0.05</v>
      </c>
      <c r="CM182" s="9">
        <f>MAX(0,CK182*(CL182-0.5/50))</f>
        <v>0.8</v>
      </c>
      <c r="CN182" s="9">
        <f>MIN(1,(25/N182)^0.3)</f>
        <v>0.84984840943171969</v>
      </c>
      <c r="CO182" s="9">
        <f>IF(J182&gt;=800,0.68,IF(J182&gt;=700,0.75-(J182-700)*0.07/100,IF(J182&gt;=600,0.85-(J182-600)*0.1/100,IF(J182&gt;=500,1-(J182-500)*0.15/100,1.2-(J182-400)*0.2/100))))</f>
        <v>0.84399999999999997</v>
      </c>
      <c r="CP182" s="9">
        <f>1.75*CN182*CO182*(M182/25)^0.5</f>
        <v>1.5976419979481837</v>
      </c>
      <c r="CQ182" s="9">
        <f>MIN((CJ182+CM182)*CP182,2.5*CP182,M182^0.5)</f>
        <v>3.0508083865753304</v>
      </c>
      <c r="CR182" s="9">
        <v>1</v>
      </c>
      <c r="CS182" s="9">
        <f>4*CQ182*P182+60*CQ182</f>
        <v>341.69053929643701</v>
      </c>
      <c r="CU182" s="4">
        <f>AJ182/BF182</f>
        <v>1.0748023074035522</v>
      </c>
      <c r="CV182" s="4">
        <f>AJ182/BK182</f>
        <v>1.3640135061669056</v>
      </c>
      <c r="CW182" s="4">
        <f>AJ182/BN182</f>
        <v>0.76127438140166614</v>
      </c>
      <c r="CX182" s="4">
        <f>AJ182/CS182</f>
        <v>1.3696603978665678</v>
      </c>
      <c r="CY182" s="4">
        <f>AJ182/DZ182</f>
        <v>1.491198292511049</v>
      </c>
      <c r="CZ182" s="4">
        <f>AJ182/EL182</f>
        <v>1.1802441564682067</v>
      </c>
      <c r="DA182" s="4">
        <f>AJ182/GI182</f>
        <v>1.1449507661346809</v>
      </c>
      <c r="DI182" s="4">
        <f>CU182</f>
        <v>1.0748023074035522</v>
      </c>
      <c r="DJ182" s="4">
        <f>CV182</f>
        <v>1.3640135061669056</v>
      </c>
      <c r="DK182" s="4">
        <f>CX182</f>
        <v>1.3696603978665678</v>
      </c>
      <c r="DL182" s="4">
        <f>DA182</f>
        <v>1.1449507661346809</v>
      </c>
      <c r="DM182" s="4">
        <f>CY182</f>
        <v>1.491198292511049</v>
      </c>
      <c r="DN182" s="4">
        <f>CZ182</f>
        <v>1.1802441564682067</v>
      </c>
      <c r="DP182" s="4">
        <f>AN182</f>
        <v>2</v>
      </c>
      <c r="DQ182" s="4">
        <f>L182</f>
        <v>559</v>
      </c>
      <c r="DT182" s="4">
        <f>K182/4/(1-0.3*(M182/30)^0.5)/200000/N182</f>
        <v>2.4945063339588327E-5</v>
      </c>
      <c r="DU182" s="4">
        <f>EP182</f>
        <v>6.7526954191214541</v>
      </c>
      <c r="DV182" s="4">
        <f>EC182*AG182/257/M182/AD182</f>
        <v>0.12399770564244247</v>
      </c>
      <c r="DW182" s="4">
        <f>DU182*DV182^0.4</f>
        <v>2.9298313450488789</v>
      </c>
      <c r="DX182" s="4">
        <f>MIN(DU182, DU182/1.4*(1-DV182^1.4)/(1-DV182))</f>
        <v>5.2098714283961538</v>
      </c>
      <c r="DY182" s="4">
        <f>MAX(DU182/2, (4-DT182*(8*AG182*(DW182-DX182)+6*K182*DX182))/(4+DT182*K182*DU182)*DU182)</f>
        <v>5.9506175867641424</v>
      </c>
      <c r="DZ182" s="38">
        <f>MIN(1/N182*(4*AG182*(DW182-DX182)+(3*DX182+DY182)*K182)+EC182 -FJ182,MAX(J182,AJ182))</f>
        <v>313.84156107899537</v>
      </c>
      <c r="EA182" s="4">
        <f>DZ182/FF182</f>
        <v>1.0001024267687861</v>
      </c>
      <c r="EB182" s="4">
        <f>AG182/N182</f>
        <v>2.2360679774997898</v>
      </c>
      <c r="EC182" s="4">
        <f>MIN(EB$10*BB182)</f>
        <v>53.691845214766687</v>
      </c>
      <c r="EG182" s="4">
        <f>IF(U182&gt;1*N182,0.85,1)</f>
        <v>0.85</v>
      </c>
      <c r="EH182" s="4">
        <f>MIN(1,MAX(0.7,(1-0.1*(BZ182-1*N182)/N182)))</f>
        <v>1</v>
      </c>
      <c r="EI182" s="4">
        <f>MIN(1,MAX(0.7,1-0.3*(PI()*AM182^2/4*AQ182*2-0.25*PI()/4*N182^2)/(PI()/4*N182^2)))</f>
        <v>0.91092644672796108</v>
      </c>
      <c r="EJ182" s="4">
        <f>IF(EH182*EI182&lt;0.7,0.7,EH182*EI182)</f>
        <v>0.91092644672796108</v>
      </c>
      <c r="EL182" s="4">
        <f>MIN(DU182/N182*3*K182+EM182-FJ182,MAX(J182,AJ182))</f>
        <v>396.52812296097733</v>
      </c>
      <c r="EM182" s="25">
        <f>13.3*Q182*K182^0.5*M182^0.5/X182/N182^2*(0.7+S182/5/K182)</f>
        <v>133.17300161524059</v>
      </c>
      <c r="EP182" s="4">
        <f>IF(N182&lt;22.2,1.1*5*(M182/30)^0.5,IF(N182&gt;=31.8,0.9*5*(M182/30)^0.5,1*5*(M182/30)^0.5))/EG182/EJ182</f>
        <v>6.7526954191214541</v>
      </c>
      <c r="ES182" s="4">
        <f>ET182*N182</f>
        <v>96.150923032490965</v>
      </c>
      <c r="ET182" s="4">
        <f>AF182^0.5</f>
        <v>2.2360679774997898</v>
      </c>
      <c r="EU182" s="4">
        <f>MIN(EC182)/(4700*M182^0.5)/AE182*ES182</f>
        <v>4.3149565450370179E-2</v>
      </c>
      <c r="EX182" s="4">
        <f>EU182</f>
        <v>4.3149565450370179E-2</v>
      </c>
      <c r="EY182" s="4">
        <f>MIN(0.999, EX182/(0.3*(M182/30)^0.5))</f>
        <v>0.12379077658175604</v>
      </c>
      <c r="EZ182" s="4">
        <f>EP182/1*EY182^0.4</f>
        <v>2.9278746280608945</v>
      </c>
      <c r="FA182" s="4">
        <f>EP182/1.4*(1-EY182^1.4)/(1-EY182)</f>
        <v>5.2093327340328104</v>
      </c>
      <c r="FB182" s="4">
        <f>MAX(0,DQ182*FB$9-ES182)</f>
        <v>323.09907696750906</v>
      </c>
      <c r="FC182" s="4">
        <f>MAX(0,DQ182-ES182-FB182)</f>
        <v>139.75</v>
      </c>
      <c r="FD182" s="4">
        <f>FC182/(1-0.3*(M182/30)^0.5)/200000/N182</f>
        <v>2.4945063339588327E-5</v>
      </c>
      <c r="FE182" s="4">
        <f>MAX(0.5*EP182, (1-2*FD182*(ES182*EZ182+FB182*FA182))/(1/EP182+FD182*FC182))</f>
        <v>5.9507368002517103</v>
      </c>
      <c r="FF182" s="4">
        <f>MIN(4/N182*(1*EZ182*ES182+FA182*FB182+FC182*FE182)+EC182,MAX(J182,AJ182))</f>
        <v>313.8094185942341</v>
      </c>
      <c r="FO182" s="23">
        <f>IF(CU182&lt;0.6,0.6,IF(CU182&lt;0.8,0.8,IF(CU182&lt;1,1,IF(CU182&lt;1.2,1.2,IF(CU182&lt;1.4,1.4,IF(CU182&lt;1.6,1.6,IF(CU182&lt;1.8,1.8,IF(CU182&lt;2,2,2.2))))))))</f>
        <v>1.2</v>
      </c>
      <c r="FP182" s="23">
        <f>IF(CV182&lt;0.6,0.6,IF(CV182&lt;0.8,0.8,IF(CV182&lt;1,1,IF(CV182&lt;1.2,1.2,IF(CV182&lt;1.4,1.4,IF(CV182&lt;1.6,1.6,IF(CV182&lt;1.8,1.8,IF(CV182&lt;2,2,2.2))))))))</f>
        <v>1.4</v>
      </c>
      <c r="FQ182" s="23">
        <f>IF(DA182&lt;0.6,0.6,IF(DA182&lt;0.8,0.8,IF(DA182&lt;1,1,IF(DA182&lt;1.2,1.2,IF(DA182&lt;1.4,1.4,IF(DA182&lt;1.6,1.6,IF(DA182&lt;1.8,1.8,IF(DA182&lt;2,2,2.2))))))))</f>
        <v>1.2</v>
      </c>
      <c r="FR182" s="23">
        <f>IF(CX182&lt;0.6,0.6,IF(CX182&lt;0.8,0.8,IF(CX182&lt;1,1,IF(CX182&lt;1.2,1.2,IF(CX182&lt;1.4,1.4,IF(CX182&lt;1.6,1.6,IF(CX182&lt;1.8,1.8,IF(CX182&lt;2,2,2.2))))))))</f>
        <v>1.4</v>
      </c>
      <c r="FS182" s="23">
        <f>IF(CY182&lt;0.6,0.6,IF(CY182&lt;0.8,0.8,IF(CY182&lt;1,1,IF(CY182&lt;1.2,1.2,IF(CY182&lt;1.4,1.4,IF(CY182&lt;1.6,1.6,IF(CY182&lt;1.8,1.8,IF(CY182&lt;2,2,2.2))))))))</f>
        <v>1.6</v>
      </c>
      <c r="FT182" s="23">
        <f>IF(CZ182&lt;0.6,0.6,IF(CZ182&lt;0.8,0.8,IF(CZ182&lt;1,1,IF(CZ182&lt;1.2,1.2,IF(CZ182&lt;1.4,1.4,IF(CZ182&lt;1.6,1.6,IF(CZ182&lt;1.8,1.8,IF(CZ182&lt;2,2,2.2))))))))</f>
        <v>1.2</v>
      </c>
      <c r="FU182" s="23">
        <f>IF(FS182&lt;1,1,0)</f>
        <v>0</v>
      </c>
      <c r="FV182" s="23"/>
      <c r="GF182" s="4">
        <f>IF(S182&gt;=2.5*25.4,1,1.25)</f>
        <v>1.25</v>
      </c>
      <c r="GG182" s="4">
        <f>IF(AO182&gt;1, 0.05*(18-MIN(8,(W182+N182)/N182))*(1-48000/MAX(60000,(J182*145))*(N182/25.4)^0.75*GH182), 1/12*(14-MIN(8,(W182+N182)/N182)))</f>
        <v>0.49190749660801991</v>
      </c>
      <c r="GH182" s="4">
        <f>MIN(0.3, AM182^2*PI()/4*2*AP182/(N182^2*PI()/4*X182))</f>
        <v>0.3</v>
      </c>
      <c r="GI182" s="4">
        <f>(K182/25.4)/(N182/25.4)^1.5/0.0024*(M182*145)^0.25/GF182/GG182/145</f>
        <v>408.75120035069614</v>
      </c>
    </row>
    <row r="183" spans="1:196" ht="12" customHeight="1" x14ac:dyDescent="0.3">
      <c r="A183" s="25">
        <v>156</v>
      </c>
      <c r="B183" s="24" t="s">
        <v>128</v>
      </c>
      <c r="C183" s="24">
        <v>2017</v>
      </c>
      <c r="D183" s="24" t="s">
        <v>309</v>
      </c>
      <c r="E183" s="24"/>
      <c r="F183" s="115" t="s">
        <v>782</v>
      </c>
      <c r="G183" s="109" t="s">
        <v>782</v>
      </c>
      <c r="H183" s="4" t="s">
        <v>163</v>
      </c>
      <c r="I183" s="5">
        <f>K183/N183</f>
        <v>13</v>
      </c>
      <c r="J183" s="72">
        <v>606</v>
      </c>
      <c r="K183" s="7">
        <f>13*N183</f>
        <v>559</v>
      </c>
      <c r="L183" s="7">
        <f>K183</f>
        <v>559</v>
      </c>
      <c r="M183" s="21">
        <v>41.8</v>
      </c>
      <c r="N183" s="88">
        <v>43</v>
      </c>
      <c r="O183" s="7">
        <f>K183/N183</f>
        <v>13</v>
      </c>
      <c r="P183" s="7">
        <f>L183/N183</f>
        <v>13</v>
      </c>
      <c r="Q183" s="7">
        <f>W183+2*S183+2*N183</f>
        <v>430</v>
      </c>
      <c r="R183" s="32">
        <f>S183/N183</f>
        <v>2</v>
      </c>
      <c r="S183" s="7">
        <f>2*N183</f>
        <v>86</v>
      </c>
      <c r="T183" s="32">
        <f>U183/N183</f>
        <v>1.3023255813953489</v>
      </c>
      <c r="U183" s="7">
        <f>40+16</f>
        <v>56</v>
      </c>
      <c r="V183" s="32">
        <f>W183/N183</f>
        <v>4</v>
      </c>
      <c r="W183" s="7">
        <f>(5-1)*N183</f>
        <v>172</v>
      </c>
      <c r="X183" s="7">
        <v>2</v>
      </c>
      <c r="Y183" s="7">
        <f>AN183</f>
        <v>2</v>
      </c>
      <c r="Z183" s="32">
        <f>AA183/N183</f>
        <v>6.3410852713178283</v>
      </c>
      <c r="AA183" s="7">
        <f>2/3*K183-0.5*200</f>
        <v>272.66666666666663</v>
      </c>
      <c r="AB183" s="7">
        <f>MIN(S183/N183+0.5, W183/2/N183+0.5)</f>
        <v>2.5</v>
      </c>
      <c r="AC183" s="7">
        <f>S183/N183+0.5</f>
        <v>2.5</v>
      </c>
      <c r="AD183" s="7">
        <f>2040/510</f>
        <v>4</v>
      </c>
      <c r="AE183" s="7">
        <f>2040/510</f>
        <v>4</v>
      </c>
      <c r="AF183" s="7">
        <f>AE183+1</f>
        <v>5</v>
      </c>
      <c r="AG183" s="7">
        <f>N183*AF183^0.5</f>
        <v>96.150923032490965</v>
      </c>
      <c r="AH183" s="7">
        <f>J183</f>
        <v>606</v>
      </c>
      <c r="AI183" s="7">
        <v>19</v>
      </c>
      <c r="AJ183" s="7">
        <f>(644+644)/2</f>
        <v>644</v>
      </c>
      <c r="AK183" s="7"/>
      <c r="AL183" s="4">
        <f>CY183</f>
        <v>1.7548839458286425</v>
      </c>
      <c r="AM183" s="7">
        <v>15.9</v>
      </c>
      <c r="AN183" s="10">
        <v>2</v>
      </c>
      <c r="AO183" s="7">
        <v>120</v>
      </c>
      <c r="AP183" s="7">
        <v>4</v>
      </c>
      <c r="AQ183" s="7">
        <f>AN183</f>
        <v>2</v>
      </c>
      <c r="AR183" s="7">
        <f>3*AS183/(W183+N183)</f>
        <v>7.8</v>
      </c>
      <c r="AS183" s="4">
        <f>K183</f>
        <v>559</v>
      </c>
      <c r="AT183" s="4">
        <f>IF(K183*3&gt;W183+N183, Q183, (S183+N183/2)*2+1.5*K183*(2*X183-2))*(3*K183)/(9*K183^2)</f>
        <v>0.25641025641025639</v>
      </c>
      <c r="AU183" s="4">
        <f>MIN(10*M183^0.5*K183^1.5,100*3.9*M183^0.5*K183^(5/3))/(PI()/4*N183^2)/X183</f>
        <v>294.20433290598754</v>
      </c>
      <c r="AV183" s="4">
        <f>MIN(0.7+0.3*(MIN(S183,AA183)+0.5*N183)/1.5/K183,1)</f>
        <v>0.73846153846153839</v>
      </c>
      <c r="AW183" s="4">
        <v>1.25</v>
      </c>
      <c r="AX183" s="4">
        <f>AX182</f>
        <v>1</v>
      </c>
      <c r="AY183" s="38">
        <f>AT183*AV183*AW183*AX183*AU183</f>
        <v>69.634161634553251</v>
      </c>
      <c r="AZ183" s="38">
        <f>AY183</f>
        <v>69.634161634553251</v>
      </c>
      <c r="BA183" s="38">
        <f>IF(M183&lt;50, 0.3*M183^(2/3), 2.12*LN(1+0.1*(M183+8)))</f>
        <v>3.613311826901703</v>
      </c>
      <c r="BB183" s="38">
        <f>AX183* (M183^0.5/AS183^0.5)/(PI()/4*N183^2)/X183/0.72 *(0.7+(MIN(S183,AA183)+0.5*N183)/5/K183) *(3*Q183*K183)</f>
        <v>69.634161634553237</v>
      </c>
      <c r="BC183" s="38">
        <f>AY183/BB183</f>
        <v>1.0000000000000002</v>
      </c>
      <c r="BD183" s="38">
        <f>BH183/BB183</f>
        <v>6.0028007832377464</v>
      </c>
      <c r="BE183" s="4">
        <f>IF(BD183&lt;1,1,0)</f>
        <v>0</v>
      </c>
      <c r="BF183" s="4">
        <f>L183/N183*M183^0.5/0.19</f>
        <v>442.36208079616836</v>
      </c>
      <c r="BG183" s="4">
        <f>MIN(0.6+0.4*(AC183/AB183),2)</f>
        <v>1</v>
      </c>
      <c r="BH183" s="38">
        <f>2*M183*AB183*AD183^0.5*BG183*0.7/0.7</f>
        <v>418</v>
      </c>
      <c r="BI183" s="4">
        <f>MAX(1-0.7*AE183/5,0.3)</f>
        <v>0.44000000000000006</v>
      </c>
      <c r="BJ183" s="4">
        <f>BI183*J183*L183/(J183*N183/2.75/M183^0.5)</f>
        <v>101.69904237503914</v>
      </c>
      <c r="BK183" s="4">
        <f>BH183+BJ183</f>
        <v>519.6990423750392</v>
      </c>
      <c r="BM183" s="4">
        <f>MIN(1.5, 0.75+0.25*MIN(3,MAX(1,S183/N183))+0.4*MIN(1,(40*2*PI()*AM183^2/4/AO183/X183)/N183))</f>
        <v>1.5</v>
      </c>
      <c r="BN183" s="4">
        <f>(3*P183+30)*BM183*M183^0.5</f>
        <v>669.15771683512696</v>
      </c>
      <c r="BP183" s="4">
        <f>3.4/PI()^0.5*M183*AB183*AE183^0.5*BG183</f>
        <v>400.91311806903559</v>
      </c>
      <c r="BQ183" s="4">
        <f>8/3*AH183*AI183^2/(AG183-N183-22)/N183*(AG183^2-N183^2)/(AG183^2-(N183+22)^2)</f>
        <v>641.65616063635548</v>
      </c>
      <c r="BR183" s="4">
        <f>BQ183/BP183</f>
        <v>1.6004868180089455</v>
      </c>
      <c r="BZ183" s="4">
        <f>IF(W183=0,S183,MIN(W183/2,S183))</f>
        <v>86</v>
      </c>
      <c r="CD183" s="9"/>
      <c r="CF183" s="9"/>
      <c r="CG183" s="9"/>
      <c r="CH183" s="9">
        <f>IF(W183=0,MIN(S183,U183),MIN(W183/2,S183,U183))</f>
        <v>56</v>
      </c>
      <c r="CI183" s="9">
        <f>MAX(W183/2,S183)</f>
        <v>86</v>
      </c>
      <c r="CJ183" s="9">
        <f>(CH183/N183)^0.5*(CI183/CH183)^0.15</f>
        <v>1.2170441953580799</v>
      </c>
      <c r="CK183" s="70">
        <v>20</v>
      </c>
      <c r="CL183" s="9">
        <f>MIN(PI()*AM183^2/4*AN183*2/X183/N183/MAX(0.01,AO183),0.05)</f>
        <v>0.05</v>
      </c>
      <c r="CM183" s="9">
        <f>MAX(0,CK183*(CL183-0.5/50))</f>
        <v>0.8</v>
      </c>
      <c r="CN183" s="9">
        <f>MIN(1,(25/N183)^0.3)</f>
        <v>0.84984840943171969</v>
      </c>
      <c r="CO183" s="9">
        <f>IF(J183&gt;=800,0.68,IF(J183&gt;=700,0.75-(J183-700)*0.07/100,IF(J183&gt;=600,0.85-(J183-600)*0.1/100,IF(J183&gt;=500,1-(J183-500)*0.15/100,1.2-(J183-400)*0.2/100))))</f>
        <v>0.84399999999999997</v>
      </c>
      <c r="CP183" s="9">
        <f>1.75*CN183*CO183*(M183/25)^0.5</f>
        <v>1.6230806409213159</v>
      </c>
      <c r="CQ183" s="9">
        <f>MIN((CJ183+CM183)*CP183,2.5*CP183,M183^0.5)</f>
        <v>3.2738253853684127</v>
      </c>
      <c r="CR183" s="9">
        <v>1</v>
      </c>
      <c r="CS183" s="9">
        <f>4*CQ183*P183+60*CQ183</f>
        <v>366.66844316126219</v>
      </c>
      <c r="CU183" s="4">
        <f>AJ183/BF183</f>
        <v>1.455820984567487</v>
      </c>
      <c r="CV183" s="4">
        <f>AJ183/BK183</f>
        <v>1.2391787313228477</v>
      </c>
      <c r="CW183" s="4">
        <f>AJ183/BN183</f>
        <v>0.9624039053840493</v>
      </c>
      <c r="CX183" s="4">
        <f>AJ183/CS183</f>
        <v>1.7563551268489346</v>
      </c>
      <c r="CY183" s="4">
        <f>AJ183/DZ183</f>
        <v>1.7548839458286425</v>
      </c>
      <c r="CZ183" s="4">
        <f>AJ183/EL183</f>
        <v>1.3701259564751176</v>
      </c>
      <c r="DA183" s="4">
        <f>AJ183/GI183</f>
        <v>1.2505080698215565</v>
      </c>
      <c r="DI183" s="4">
        <f>CU183</f>
        <v>1.455820984567487</v>
      </c>
      <c r="DJ183" s="4">
        <f>CV183</f>
        <v>1.2391787313228477</v>
      </c>
      <c r="DK183" s="4">
        <f>CX183</f>
        <v>1.7563551268489346</v>
      </c>
      <c r="DL183" s="4">
        <f>DA183</f>
        <v>1.2505080698215565</v>
      </c>
      <c r="DM183" s="4">
        <f>CY183</f>
        <v>1.7548839458286425</v>
      </c>
      <c r="DN183" s="4">
        <f>CZ183</f>
        <v>1.3701259564751176</v>
      </c>
      <c r="DP183" s="4">
        <f>AN183</f>
        <v>2</v>
      </c>
      <c r="DQ183" s="4">
        <f>L183</f>
        <v>559</v>
      </c>
      <c r="DT183" s="4">
        <f>K183/4/(1-0.3*(M183/30)^0.5)/200000/N183</f>
        <v>2.5159418755006149E-5</v>
      </c>
      <c r="DU183" s="4">
        <f>EP183</f>
        <v>7.6224622307194574</v>
      </c>
      <c r="DV183" s="4">
        <f>EC183*AG183/257/M183/AD183</f>
        <v>0.15581397696451427</v>
      </c>
      <c r="DW183" s="4">
        <f>DU183*DV183^0.4</f>
        <v>3.6235799348438031</v>
      </c>
      <c r="DX183" s="4">
        <f>MIN(DU183, DU183/1.4*(1-DV183^1.4)/(1-DV183))</f>
        <v>5.9718200539025954</v>
      </c>
      <c r="DY183" s="4">
        <f>MAX(DU183/2, (4-DT183*(8*AG183*(DW183-DX183)+6*K183*DX183))/(4+DT183*K183*DU183)*DU183)</f>
        <v>6.572614509970359</v>
      </c>
      <c r="DZ183" s="38">
        <f>MIN(1/N183*(4*AG183*(DW183-DX183)+(3*DX183+DY183)*K183)+EC183 -FJ183,MAX(J183,AJ183))</f>
        <v>366.97583423153844</v>
      </c>
      <c r="EA183" s="4">
        <f>DZ183/FF183</f>
        <v>1.000112075290936</v>
      </c>
      <c r="EB183" s="4">
        <f>AG183/N183</f>
        <v>2.2360679774997898</v>
      </c>
      <c r="EC183" s="4">
        <f>MIN(EB$10*BB183)</f>
        <v>69.634161634553237</v>
      </c>
      <c r="EG183" s="4">
        <f>IF(U183&gt;1*N183,0.85,1)</f>
        <v>0.85</v>
      </c>
      <c r="EH183" s="4">
        <f>MIN(1,MAX(0.7,(1-0.1*(BZ183-1*N183)/N183)))</f>
        <v>0.9</v>
      </c>
      <c r="EI183" s="4">
        <f>MIN(1,MAX(0.7,1-0.3*(PI()*AM183^2/4*AQ183*2-0.25*PI()/4*N183^2)/(PI()/4*N183^2)))</f>
        <v>0.91092644672796108</v>
      </c>
      <c r="EJ183" s="4">
        <f>IF(EH183*EI183&lt;0.7,0.7,EH183*EI183)</f>
        <v>0.81983380205516498</v>
      </c>
      <c r="EL183" s="4">
        <f>MIN(DU183/N183*3*K183+EM183-FJ183,MAX(J183,AJ183))</f>
        <v>470.02977861743432</v>
      </c>
      <c r="EM183" s="25">
        <f>13.3*Q183*K183^0.5*M183^0.5/X183/N183^2*(0.7+S183/5/K183)</f>
        <v>172.75375161937544</v>
      </c>
      <c r="EP183" s="4">
        <f>IF(N183&lt;22.2,1.1*5*(M183/30)^0.5,IF(N183&gt;=31.8,0.9*5*(M183/30)^0.5,1*5*(M183/30)^0.5))/EG183/EJ183</f>
        <v>7.6224622307194574</v>
      </c>
      <c r="ES183" s="4">
        <f>ET183*N183</f>
        <v>96.150923032490965</v>
      </c>
      <c r="ET183" s="4">
        <f>AF183^0.5</f>
        <v>2.2360679774997898</v>
      </c>
      <c r="EU183" s="4">
        <f>MIN(EC183)/(4700*M183^0.5)/AE183*ES183</f>
        <v>5.5084551638770449E-2</v>
      </c>
      <c r="EX183" s="4">
        <f>EU183</f>
        <v>5.5084551638770449E-2</v>
      </c>
      <c r="EY183" s="4">
        <f>MIN(0.999, EX183/(0.3*(M183/30)^0.5))</f>
        <v>0.15555395247673814</v>
      </c>
      <c r="EZ183" s="4">
        <f>EP183/1*EY183^0.4</f>
        <v>3.6211598909638676</v>
      </c>
      <c r="FA183" s="4">
        <f>EP183/1.4*(1-EY183^1.4)/(1-EY183)</f>
        <v>5.9710966038743676</v>
      </c>
      <c r="FB183" s="4">
        <f>MAX(0,DQ183*FB$9-ES183)</f>
        <v>323.09907696750906</v>
      </c>
      <c r="FC183" s="4">
        <f>MAX(0,DQ183-ES183-FB183)</f>
        <v>139.75</v>
      </c>
      <c r="FD183" s="4">
        <f>FC183/(1-0.3*(M183/30)^0.5)/200000/N183</f>
        <v>2.5159418755006149E-5</v>
      </c>
      <c r="FE183" s="4">
        <f>MAX(0.5*EP183, (1-2*FD183*(ES183*EZ183+FB183*FA183))/(1/EP183+FD183*FC183))</f>
        <v>6.572788743313656</v>
      </c>
      <c r="FF183" s="4">
        <f>MIN(4/N183*(1*EZ183*ES183+FA183*FB183+FC183*FE183)+EC183,MAX(J183,AJ183))</f>
        <v>366.93470991716993</v>
      </c>
      <c r="FO183" s="23">
        <f>IF(CU183&lt;0.6,0.6,IF(CU183&lt;0.8,0.8,IF(CU183&lt;1,1,IF(CU183&lt;1.2,1.2,IF(CU183&lt;1.4,1.4,IF(CU183&lt;1.6,1.6,IF(CU183&lt;1.8,1.8,IF(CU183&lt;2,2,2.2))))))))</f>
        <v>1.6</v>
      </c>
      <c r="FP183" s="23">
        <f>IF(CV183&lt;0.6,0.6,IF(CV183&lt;0.8,0.8,IF(CV183&lt;1,1,IF(CV183&lt;1.2,1.2,IF(CV183&lt;1.4,1.4,IF(CV183&lt;1.6,1.6,IF(CV183&lt;1.8,1.8,IF(CV183&lt;2,2,2.2))))))))</f>
        <v>1.4</v>
      </c>
      <c r="FQ183" s="23">
        <f>IF(DA183&lt;0.6,0.6,IF(DA183&lt;0.8,0.8,IF(DA183&lt;1,1,IF(DA183&lt;1.2,1.2,IF(DA183&lt;1.4,1.4,IF(DA183&lt;1.6,1.6,IF(DA183&lt;1.8,1.8,IF(DA183&lt;2,2,2.2))))))))</f>
        <v>1.4</v>
      </c>
      <c r="FR183" s="23">
        <f>IF(CX183&lt;0.6,0.6,IF(CX183&lt;0.8,0.8,IF(CX183&lt;1,1,IF(CX183&lt;1.2,1.2,IF(CX183&lt;1.4,1.4,IF(CX183&lt;1.6,1.6,IF(CX183&lt;1.8,1.8,IF(CX183&lt;2,2,2.2))))))))</f>
        <v>1.8</v>
      </c>
      <c r="FS183" s="23">
        <f>IF(CY183&lt;0.6,0.6,IF(CY183&lt;0.8,0.8,IF(CY183&lt;1,1,IF(CY183&lt;1.2,1.2,IF(CY183&lt;1.4,1.4,IF(CY183&lt;1.6,1.6,IF(CY183&lt;1.8,1.8,IF(CY183&lt;2,2,2.2))))))))</f>
        <v>1.8</v>
      </c>
      <c r="FT183" s="23">
        <f>IF(CZ183&lt;0.6,0.6,IF(CZ183&lt;0.8,0.8,IF(CZ183&lt;1,1,IF(CZ183&lt;1.2,1.2,IF(CZ183&lt;1.4,1.4,IF(CZ183&lt;1.6,1.6,IF(CZ183&lt;1.8,1.8,IF(CZ183&lt;2,2,2.2))))))))</f>
        <v>1.4</v>
      </c>
      <c r="FU183" s="23">
        <f>IF(FS183&lt;1,1,0)</f>
        <v>0</v>
      </c>
      <c r="FV183" s="23"/>
      <c r="GF183" s="4">
        <f>IF(S183&gt;=2.5*25.4,1,1.25)</f>
        <v>1</v>
      </c>
      <c r="GG183" s="4">
        <f>IF(AO183&gt;1, 0.05*(18-MIN(8,(W183+N183)/N183))*(1-48000/MAX(60000,(J183*145))*(N183/25.4)^0.75*GH183), 1/12*(14-MIN(8,(W183+N183)/N183)))</f>
        <v>0.49190749660801991</v>
      </c>
      <c r="GH183" s="4">
        <f>MIN(0.3, AM183^2*PI()/4*2*AP183/(N183^2*PI()/4*X183))</f>
        <v>0.3</v>
      </c>
      <c r="GI183" s="4">
        <f>(K183/25.4)/(N183/25.4)^1.5/0.0024*(M183*145)^0.25/GF183/GG183/145</f>
        <v>514.99067902208481</v>
      </c>
    </row>
    <row r="184" spans="1:196" ht="12" customHeight="1" x14ac:dyDescent="0.3">
      <c r="A184" s="25">
        <v>426</v>
      </c>
      <c r="B184" s="4" t="s">
        <v>605</v>
      </c>
      <c r="C184" s="4">
        <v>2016</v>
      </c>
      <c r="D184" s="4" t="s">
        <v>309</v>
      </c>
      <c r="E184" s="14" t="s">
        <v>680</v>
      </c>
      <c r="F184" s="14"/>
      <c r="G184" s="14">
        <v>26</v>
      </c>
      <c r="H184" s="48" t="s">
        <v>598</v>
      </c>
      <c r="I184" s="5">
        <f>K184/N184</f>
        <v>13.921985815602838</v>
      </c>
      <c r="J184" s="78">
        <f>115.9/0.145</f>
        <v>799.31034482758628</v>
      </c>
      <c r="K184" s="91">
        <f>19.63*25.4</f>
        <v>498.60199999999992</v>
      </c>
      <c r="L184" s="4">
        <f>K184</f>
        <v>498.60199999999992</v>
      </c>
      <c r="M184" s="38">
        <f>5430/145</f>
        <v>37.448275862068968</v>
      </c>
      <c r="N184" s="38">
        <f>1.41*25.4</f>
        <v>35.813999999999993</v>
      </c>
      <c r="O184" s="7">
        <f>K184/N184</f>
        <v>13.921985815602838</v>
      </c>
      <c r="P184" s="7">
        <f>L184/N184</f>
        <v>13.921985815602838</v>
      </c>
      <c r="Q184" s="38">
        <f>21.7*25.4</f>
        <v>551.17999999999995</v>
      </c>
      <c r="R184" s="32">
        <f>S184/N184</f>
        <v>1.8794326241134751</v>
      </c>
      <c r="S184" s="38">
        <f>2.65*25.4</f>
        <v>67.309999999999988</v>
      </c>
      <c r="T184" s="32">
        <f>U184/N184</f>
        <v>2.6950354609929081</v>
      </c>
      <c r="U184" s="39">
        <f>3.8*25.4</f>
        <v>96.52</v>
      </c>
      <c r="V184" s="32">
        <f>W184/N184</f>
        <v>9.6312056737588669</v>
      </c>
      <c r="W184" s="7">
        <f>(Q184-X184*N184-2*S184)/(X184-1)</f>
        <v>344.93200000000002</v>
      </c>
      <c r="X184" s="38">
        <v>2</v>
      </c>
      <c r="Y184" s="7">
        <f>AN184</f>
        <v>12</v>
      </c>
      <c r="Z184" s="32">
        <f>AA184/N184</f>
        <v>14.18439716312057</v>
      </c>
      <c r="AA184" s="4">
        <f>20*25.4</f>
        <v>508</v>
      </c>
      <c r="AB184" s="7">
        <f>MIN(S184/N184+0.5, W184/2/N184+0.5)</f>
        <v>2.3794326241134751</v>
      </c>
      <c r="AC184" s="7">
        <f>S184/N184+0.5</f>
        <v>2.3794326241134751</v>
      </c>
      <c r="AD184" s="38">
        <v>4.5</v>
      </c>
      <c r="AE184" s="4">
        <f>AD184</f>
        <v>4.5</v>
      </c>
      <c r="AF184" s="4">
        <f>AE184+1</f>
        <v>5.5</v>
      </c>
      <c r="AG184" s="7">
        <f>N184*AF184^0.5</f>
        <v>83.991275011158137</v>
      </c>
      <c r="AJ184" s="38">
        <f>AK184/0.145</f>
        <v>802.06896551724139</v>
      </c>
      <c r="AK184" s="4">
        <v>116.3</v>
      </c>
      <c r="AL184" s="4">
        <f>CY184</f>
        <v>2.019483679818086</v>
      </c>
      <c r="AM184" s="38">
        <f>0.5*25.4</f>
        <v>12.7</v>
      </c>
      <c r="AN184" s="38">
        <v>12</v>
      </c>
      <c r="AO184" s="39">
        <f>4*25.4</f>
        <v>101.6</v>
      </c>
      <c r="AP184" s="39">
        <v>2</v>
      </c>
      <c r="AQ184" s="39">
        <f>AP184-1</f>
        <v>1</v>
      </c>
      <c r="AR184" s="7"/>
      <c r="AS184" s="4">
        <f>K184</f>
        <v>498.60199999999992</v>
      </c>
      <c r="AT184" s="4">
        <f>IF(K184*3&gt;W184+N184, Q184, (S184+N184/2)*2+1.5*K184*(2*X184-2))*(3*K184)/(9*K184^2)</f>
        <v>0.36848361351672609</v>
      </c>
      <c r="AU184" s="4">
        <f>MIN(10*M184^0.5*K184^1.5,100*3.9*M184^0.5*K184^(5/3))/(PI()/4*N184^2)/X184</f>
        <v>338.15935186284662</v>
      </c>
      <c r="AV184" s="4">
        <f>MIN(0.7+0.3*(MIN(S184,AA184)+0.5*N184)/1.5/K184,1)</f>
        <v>0.73418237391747321</v>
      </c>
      <c r="AW184" s="4">
        <v>1.25</v>
      </c>
      <c r="AX184" s="4">
        <f>AX183</f>
        <v>1</v>
      </c>
      <c r="AY184" s="38">
        <f>AT184*AV184*AW184*AX184*AU184</f>
        <v>114.35457622205334</v>
      </c>
      <c r="AZ184" s="38">
        <f>AY184</f>
        <v>114.35457622205334</v>
      </c>
      <c r="BA184" s="38">
        <f>IF(M184&lt;50, 0.3*M184^(2/3), 2.12*LN(1+0.1*(M184+8)))</f>
        <v>3.3579622250305636</v>
      </c>
      <c r="BB184" s="38">
        <f>AX184* (M184^0.5/AS184^0.5)/(PI()/4*N184^2)/X184/0.72 *(0.7+(MIN(S184,AA184)+0.5*N184)/5/K184) *(3*Q184*K184)</f>
        <v>114.35457622205345</v>
      </c>
      <c r="BC184" s="38">
        <f>AY184/BB184</f>
        <v>0.999999999999999</v>
      </c>
      <c r="BD184" s="38">
        <f>BH184/BB184</f>
        <v>3.3058865300767741</v>
      </c>
      <c r="BE184" s="4">
        <f>IF(BD184&lt;1,1,0)</f>
        <v>0</v>
      </c>
      <c r="BF184" s="4">
        <f>L184/N184*M184^0.5/0.19</f>
        <v>448.39782740666135</v>
      </c>
      <c r="BG184" s="4">
        <f>MIN(0.6+0.4*(AC184/AB184),2)</f>
        <v>1</v>
      </c>
      <c r="BH184" s="38">
        <f>2*M184*AB184*AD184^0.5*BG184*0.7/0.7</f>
        <v>378.04325318512429</v>
      </c>
      <c r="BI184" s="4">
        <f>MAX(1-0.7*AE184/5,0.3)</f>
        <v>0.37</v>
      </c>
      <c r="BJ184" s="4">
        <f>BI184*J184*L184/(J184*N184/2.75/M184^0.5)</f>
        <v>86.68650998339281</v>
      </c>
      <c r="BK184" s="4">
        <f>BH184+BJ184</f>
        <v>464.72976316851708</v>
      </c>
      <c r="BM184" s="4">
        <f>MIN(1.5, 0.75+0.25*MIN(3,MAX(1,S184/N184))+0.4*MIN(1,(40*2*PI()*AM184^2/4/AO184/X184)/N184))</f>
        <v>1.5</v>
      </c>
      <c r="BN184" s="4">
        <f>(3*P184+30)*BM184*M184^0.5</f>
        <v>658.7576262992776</v>
      </c>
      <c r="BP184" s="4">
        <f>3.4/PI()^0.5*M184*AB184*AE184^0.5*BG184</f>
        <v>362.58971148184219</v>
      </c>
      <c r="BQ184" s="4">
        <f>8/3*AH184*AI184^2/(AG184-N184-22)/N184*(AG184^2-N184^2)/(AG184^2-(N184+22)^2)</f>
        <v>0</v>
      </c>
      <c r="BR184" s="4">
        <f>BQ184/BP184</f>
        <v>0</v>
      </c>
      <c r="BZ184" s="4">
        <f>IF(W184=0,S184,MIN(W184/2,S184))</f>
        <v>67.309999999999988</v>
      </c>
      <c r="CD184" s="9"/>
      <c r="CF184" s="9"/>
      <c r="CG184" s="9"/>
      <c r="CH184" s="9">
        <f>IF(W184=0,MIN(S184,U184),MIN(W184/2,S184,U184))</f>
        <v>67.309999999999988</v>
      </c>
      <c r="CI184" s="9">
        <f>MAX(W184/2,S184)</f>
        <v>172.46600000000001</v>
      </c>
      <c r="CJ184" s="9">
        <f>(CH184/N184)^0.5*(CI184/CH184)^0.15</f>
        <v>1.5787267425904519</v>
      </c>
      <c r="CK184" s="70">
        <f>IF(AO184&gt;1,20,0)</f>
        <v>20</v>
      </c>
      <c r="CL184" s="9">
        <f>MIN(PI()*AM184^2/4*AN184*2/X184/N184/MAX(0.01,AO184),0.05)</f>
        <v>0.05</v>
      </c>
      <c r="CM184" s="9">
        <f>MAX(0,CK184*(CL184-0.5/50))</f>
        <v>0.8</v>
      </c>
      <c r="CN184" s="9">
        <f>MIN(1,(25/N184)^0.3)</f>
        <v>0.89777220146327208</v>
      </c>
      <c r="CO184" s="9">
        <f>IF(J184&gt;=800,0.68,IF(J184&gt;=700,0.75-(J184-700)*0.07/100,IF(J184&gt;=600,0.85-(J184-600)*0.1/100,IF(J184&gt;=500,1-(J184-500)*0.15/100,1.2-(J184-400)*0.2/100))))</f>
        <v>0.68048275862068963</v>
      </c>
      <c r="CP184" s="9">
        <f>1.75*CN184*CO184*(M184/25)^0.5</f>
        <v>1.3084804487373733</v>
      </c>
      <c r="CQ184" s="9">
        <f>MIN((CJ184+CM184)*CP184,2.5*CP184,M184^0.5)</f>
        <v>3.1125174355683445</v>
      </c>
      <c r="CR184" s="40">
        <v>1</v>
      </c>
      <c r="CS184" s="9">
        <f>4*CQ184*P184+60*CQ184</f>
        <v>360.08074048929672</v>
      </c>
      <c r="CU184" s="4">
        <f>AJ184/BF184</f>
        <v>1.7887440939579493</v>
      </c>
      <c r="CV184" s="4">
        <f>AJ184/BK184</f>
        <v>1.725882500076503</v>
      </c>
      <c r="CW184" s="4">
        <f>AJ184/BN184</f>
        <v>1.2175479015295021</v>
      </c>
      <c r="CX184" s="4">
        <f>AJ184/CS184</f>
        <v>2.2274697736606179</v>
      </c>
      <c r="CY184" s="4">
        <f>AJ184/DZ184</f>
        <v>2.019483679818086</v>
      </c>
      <c r="CZ184" s="4">
        <f>AJ184/EL184</f>
        <v>1.4455193526381414</v>
      </c>
      <c r="DA184" s="4">
        <f>AJ184/GI184</f>
        <v>1.1997735337343924</v>
      </c>
      <c r="DB184" s="4">
        <f>AN184</f>
        <v>12</v>
      </c>
      <c r="DI184" s="4">
        <f>CU184</f>
        <v>1.7887440939579493</v>
      </c>
      <c r="DJ184" s="4">
        <f>CV184</f>
        <v>1.725882500076503</v>
      </c>
      <c r="DK184" s="4">
        <f>CX184</f>
        <v>2.2274697736606179</v>
      </c>
      <c r="DL184" s="4">
        <f>DA184</f>
        <v>1.1997735337343924</v>
      </c>
      <c r="DM184" s="4">
        <f>CY184</f>
        <v>2.019483679818086</v>
      </c>
      <c r="DN184" s="4">
        <f>CZ184</f>
        <v>1.4455193526381414</v>
      </c>
      <c r="DQ184" s="4">
        <f>L184</f>
        <v>498.60199999999992</v>
      </c>
      <c r="DT184" s="4">
        <f>K184/4/(1-0.3*(M184/30)^0.5)/200000/N184</f>
        <v>2.6176184295174446E-5</v>
      </c>
      <c r="DU184" s="4">
        <f>EP184</f>
        <v>6.4881670962699065</v>
      </c>
      <c r="DV184" s="4">
        <f>EC184*AG184/257/M184/AD184</f>
        <v>0.2217738104088407</v>
      </c>
      <c r="DW184" s="4">
        <f>DU184*DV184^0.4</f>
        <v>3.5521077359216462</v>
      </c>
      <c r="DX184" s="4">
        <f>MIN(DU184, DU184/1.4*(1-DV184^1.4)/(1-DV184))</f>
        <v>5.2320472091672867</v>
      </c>
      <c r="DY184" s="4">
        <f>MAX(DU184/2, (4-DT184*(8*AG184*(DW184-DX184)+6*K184*DX184))/(4+DT184*K184*DU184)*DU184)</f>
        <v>5.7497941955031902</v>
      </c>
      <c r="DZ184" s="38">
        <f>MIN(1/N184*(4*AG184*(DW184-DX184)+(3*DX184+DY184)*K184)+EC184 -FJ184,MAX(J184,AJ184))</f>
        <v>397.16536139053687</v>
      </c>
      <c r="EA184" s="4">
        <f>DZ184/FF184</f>
        <v>1.0001161811120634</v>
      </c>
      <c r="EB184" s="4">
        <f>AG184/N184</f>
        <v>2.3452078799117149</v>
      </c>
      <c r="EC184" s="4">
        <f>MIN(EB$10*BB184)</f>
        <v>114.35457622205345</v>
      </c>
      <c r="EG184" s="4">
        <f>IF(U184&gt;1*N184,0.85,1)</f>
        <v>0.85</v>
      </c>
      <c r="EH184" s="4">
        <f>MIN(1,MAX(0.7,(1-0.1*(BZ184-1*N184)/N184)))</f>
        <v>0.91205673758865247</v>
      </c>
      <c r="EI184" s="4">
        <f>MIN(1,MAX(0.7,1-0.3*(PI()*AM184^2/4*AQ184*2-0.25*PI()/4*N184^2)/(PI()/4*N184^2)))</f>
        <v>0.9995510789195714</v>
      </c>
      <c r="EJ184" s="4">
        <f>IF(EH184*EI184&lt;0.7,0.7,EH184*EI184)</f>
        <v>0.91164729609260198</v>
      </c>
      <c r="EL184" s="4">
        <f>MIN(DU184/N184*3*K184+EM184-FJ184,MAX(J184,AJ184))</f>
        <v>554.86560180147535</v>
      </c>
      <c r="EM184" s="25">
        <f>13.3*Q184*K184^0.5*M184^0.5/X184/N184^2*(0.7+S184/5/K184)</f>
        <v>283.88109095088328</v>
      </c>
      <c r="EO184" s="4">
        <f>EG184*EJ184</f>
        <v>0.77490020167871165</v>
      </c>
      <c r="EP184" s="4">
        <f>IF(N184&lt;22.2,1.1*5*(M184/30)^0.5,IF(N184&gt;=31.8,0.9*5*(M184/30)^0.5,1*5*(M184/30)^0.5))/EG184/EJ184</f>
        <v>6.4881670962699065</v>
      </c>
      <c r="ES184" s="4">
        <f>ET184*N184</f>
        <v>83.991275011158137</v>
      </c>
      <c r="ET184" s="4">
        <f>AF184^0.5</f>
        <v>2.3452078799117149</v>
      </c>
      <c r="EU184" s="4">
        <f>MIN(EC184)/(4700*M184^0.5)/AE184*ES184</f>
        <v>7.4209830126515261E-2</v>
      </c>
      <c r="EX184" s="4">
        <f>EU184</f>
        <v>7.4209830126515261E-2</v>
      </c>
      <c r="EY184" s="4">
        <f>MIN(0.999, EX184/(0.3*(M184/30)^0.5))</f>
        <v>0.22140371125228786</v>
      </c>
      <c r="EZ184" s="4">
        <f>EP184/1*EY184^0.4</f>
        <v>3.5497354254602351</v>
      </c>
      <c r="FA184" s="4">
        <f>EP184/1.4*(1-EY184^1.4)/(1-EY184)</f>
        <v>5.2312481004214204</v>
      </c>
      <c r="FB184" s="4">
        <f>MAX(0,DQ184*FB$9-ES184)</f>
        <v>289.96022498884179</v>
      </c>
      <c r="FC184" s="4">
        <f>MAX(0,DQ184-ES184-FB184)</f>
        <v>124.65049999999997</v>
      </c>
      <c r="FD184" s="4">
        <f>FC184/(1-0.3*(M184/30)^0.5)/200000/N184</f>
        <v>2.6176184295174439E-5</v>
      </c>
      <c r="FE184" s="4">
        <f>MAX(0.5*EP184, (1-2*FD184*(ES184*EZ184+FB184*FA184))/(1/EP184+FD184*FC184))</f>
        <v>5.7499375463956346</v>
      </c>
      <c r="FF184" s="4">
        <f>MIN(4/N184*(1*EZ184*ES184+FA184*FB184+FC184*FE184)+EC184,MAX(J184,AJ184))</f>
        <v>397.11922363751296</v>
      </c>
      <c r="FI184" s="4">
        <f>6.75*25.4</f>
        <v>171.45</v>
      </c>
      <c r="FO184" s="23">
        <f>IF(CU184&lt;0.6,0.6,IF(CU184&lt;0.8,0.8,IF(CU184&lt;1,1,IF(CU184&lt;1.2,1.2,IF(CU184&lt;1.4,1.4,IF(CU184&lt;1.6,1.6,IF(CU184&lt;1.8,1.8,IF(CU184&lt;2,2,2.2))))))))</f>
        <v>1.8</v>
      </c>
      <c r="FP184" s="23">
        <f>IF(CV184&lt;0.6,0.6,IF(CV184&lt;0.8,0.8,IF(CV184&lt;1,1,IF(CV184&lt;1.2,1.2,IF(CV184&lt;1.4,1.4,IF(CV184&lt;1.6,1.6,IF(CV184&lt;1.8,1.8,IF(CV184&lt;2,2,2.2))))))))</f>
        <v>1.8</v>
      </c>
      <c r="FQ184" s="23">
        <f>IF(DA184&lt;0.6,0.6,IF(DA184&lt;0.8,0.8,IF(DA184&lt;1,1,IF(DA184&lt;1.2,1.2,IF(DA184&lt;1.4,1.4,IF(DA184&lt;1.6,1.6,IF(DA184&lt;1.8,1.8,IF(DA184&lt;2,2,2.2))))))))</f>
        <v>1.2</v>
      </c>
      <c r="FR184" s="23">
        <f>IF(CX184&lt;0.6,0.6,IF(CX184&lt;0.8,0.8,IF(CX184&lt;1,1,IF(CX184&lt;1.2,1.2,IF(CX184&lt;1.4,1.4,IF(CX184&lt;1.6,1.6,IF(CX184&lt;1.8,1.8,IF(CX184&lt;2,2,2.2))))))))</f>
        <v>2.2000000000000002</v>
      </c>
      <c r="FS184" s="23">
        <f>IF(CY184&lt;0.6,0.6,IF(CY184&lt;0.8,0.8,IF(CY184&lt;1,1,IF(CY184&lt;1.2,1.2,IF(CY184&lt;1.4,1.4,IF(CY184&lt;1.6,1.6,IF(CY184&lt;1.8,1.8,IF(CY184&lt;2,2,2.2))))))))</f>
        <v>2.2000000000000002</v>
      </c>
      <c r="FT184" s="23">
        <f>IF(CZ184&lt;0.6,0.6,IF(CZ184&lt;0.8,0.8,IF(CZ184&lt;1,1,IF(CZ184&lt;1.2,1.2,IF(CZ184&lt;1.4,1.4,IF(CZ184&lt;1.6,1.6,IF(CZ184&lt;1.8,1.8,IF(CZ184&lt;2,2,2.2))))))))</f>
        <v>1.6</v>
      </c>
      <c r="FU184" s="23">
        <f>IF(FS184&lt;1,1,0)</f>
        <v>0</v>
      </c>
      <c r="FV184" s="23"/>
      <c r="GF184" s="4">
        <f>IF(S184&gt;=2.5*25.4,1,1.25)</f>
        <v>1</v>
      </c>
      <c r="GG184" s="4">
        <f>IF(AO184&gt;1, 0.05*(18-MIN(8,(W184+N184)/N184))*(1-48000/MAX(60000,(J184*145))*(N184/25.4)^0.75*GH184), 1/12*(14-MIN(8,(W184+N184)/N184)))</f>
        <v>0.43261334185606104</v>
      </c>
      <c r="GH184" s="4">
        <f>MIN(0.3, AM184^2*PI()/4*2*AP184/(N184^2*PI()/4*X184))</f>
        <v>0.25149640360142855</v>
      </c>
      <c r="GI184" s="4">
        <f>(K184/25.4)/(N184/25.4)^1.5/0.0024*(M184*145)^0.25/GF184/GG184/145</f>
        <v>668.51696838213854</v>
      </c>
    </row>
    <row r="185" spans="1:196" ht="12" customHeight="1" x14ac:dyDescent="0.3">
      <c r="A185" s="25">
        <v>428</v>
      </c>
      <c r="B185" s="4" t="s">
        <v>605</v>
      </c>
      <c r="C185" s="4">
        <v>2016</v>
      </c>
      <c r="D185" s="4" t="s">
        <v>309</v>
      </c>
      <c r="E185" s="14" t="s">
        <v>680</v>
      </c>
      <c r="F185" s="14"/>
      <c r="G185" s="14">
        <v>26</v>
      </c>
      <c r="H185" s="48" t="s">
        <v>600</v>
      </c>
      <c r="I185" s="5">
        <f>K185/N185</f>
        <v>13.829787234042554</v>
      </c>
      <c r="J185" s="78">
        <f>115.9/0.145</f>
        <v>799.31034482758628</v>
      </c>
      <c r="K185" s="91">
        <f>19.5*25.4</f>
        <v>495.29999999999995</v>
      </c>
      <c r="L185" s="4">
        <f>K185</f>
        <v>495.29999999999995</v>
      </c>
      <c r="M185" s="38">
        <f>5430/145</f>
        <v>37.448275862068968</v>
      </c>
      <c r="N185" s="38">
        <f>1.41*25.4</f>
        <v>35.813999999999993</v>
      </c>
      <c r="O185" s="7">
        <f>K185/N185</f>
        <v>13.829787234042554</v>
      </c>
      <c r="P185" s="7">
        <f>L185/N185</f>
        <v>13.829787234042554</v>
      </c>
      <c r="Q185" s="38">
        <f>22*25.4</f>
        <v>558.79999999999995</v>
      </c>
      <c r="R185" s="32">
        <f>S185/N185</f>
        <v>1.9858156028368796</v>
      </c>
      <c r="S185" s="38">
        <f>2.8*25.4</f>
        <v>71.11999999999999</v>
      </c>
      <c r="T185" s="32">
        <f>U185/N185</f>
        <v>2.6241134751773054</v>
      </c>
      <c r="U185" s="39">
        <f>3.7*25.4</f>
        <v>93.98</v>
      </c>
      <c r="V185" s="32">
        <f>W185/N185</f>
        <v>4.3156028368794326</v>
      </c>
      <c r="W185" s="7">
        <f>(Q185-X185*N185-2*S185)/(X185-1)</f>
        <v>154.55899999999997</v>
      </c>
      <c r="X185" s="38">
        <v>3</v>
      </c>
      <c r="Y185" s="7">
        <f>AN185</f>
        <v>0</v>
      </c>
      <c r="Z185" s="32">
        <f>AA185/N185</f>
        <v>14.18439716312057</v>
      </c>
      <c r="AA185" s="4">
        <f>20*25.4</f>
        <v>508</v>
      </c>
      <c r="AB185" s="7">
        <f>MIN(S185/N185+0.5, W185/2/N185+0.5)</f>
        <v>2.4858156028368796</v>
      </c>
      <c r="AC185" s="7">
        <f>S185/N185+0.5</f>
        <v>2.4858156028368796</v>
      </c>
      <c r="AD185" s="38">
        <v>4.5</v>
      </c>
      <c r="AE185" s="4">
        <f>AD185</f>
        <v>4.5</v>
      </c>
      <c r="AF185" s="4">
        <f>AE185+1</f>
        <v>5.5</v>
      </c>
      <c r="AG185" s="7">
        <f>N185*AF185^0.5</f>
        <v>83.991275011158137</v>
      </c>
      <c r="AJ185" s="38">
        <f>AK185/0.145</f>
        <v>568.9655172413793</v>
      </c>
      <c r="AK185" s="4">
        <v>82.5</v>
      </c>
      <c r="AL185" s="4">
        <f>CY185</f>
        <v>1.618747126999279</v>
      </c>
      <c r="AM185" s="38">
        <v>0</v>
      </c>
      <c r="AN185" s="38">
        <v>0</v>
      </c>
      <c r="AO185" s="39">
        <f>L185</f>
        <v>495.29999999999995</v>
      </c>
      <c r="AP185" s="39"/>
      <c r="AQ185" s="39"/>
      <c r="AR185" s="7"/>
      <c r="AS185" s="4">
        <f>K185</f>
        <v>495.29999999999995</v>
      </c>
      <c r="AT185" s="4">
        <f>IF(K185*3&gt;W185+N185, Q185, (S185+N185/2)*2+1.5*K185*(2*X185-2))*(3*K185)/(9*K185^2)</f>
        <v>0.37606837606837606</v>
      </c>
      <c r="AU185" s="4">
        <f>MIN(10*M185^0.5*K185^1.5,100*3.9*M185^0.5*K185^(5/3))/(PI()/4*N185^2)/X185</f>
        <v>223.2038138298075</v>
      </c>
      <c r="AV185" s="4">
        <f>MIN(0.7+0.3*(MIN(S185,AA185)+0.5*N185)/1.5/K185,1)</f>
        <v>0.73594871794871786</v>
      </c>
      <c r="AW185" s="4">
        <v>1.25</v>
      </c>
      <c r="AX185" s="4">
        <f>AX184</f>
        <v>1</v>
      </c>
      <c r="AY185" s="38">
        <f>AT185*AV185*AW185*AX185*AU185</f>
        <v>77.219323372753095</v>
      </c>
      <c r="AZ185" s="38">
        <f>AY185</f>
        <v>77.219323372753095</v>
      </c>
      <c r="BA185" s="38">
        <f>IF(M185&lt;50, 0.3*M185^(2/3), 2.12*LN(1+0.1*(M185+8)))</f>
        <v>3.3579622250305636</v>
      </c>
      <c r="BB185" s="38">
        <f>AX185* (M185^0.5/AS185^0.5)/(PI()/4*N185^2)/X185/0.72 *(0.7+(MIN(S185,AA185)+0.5*N185)/5/K185) *(3*Q185*K185)</f>
        <v>77.219323372753081</v>
      </c>
      <c r="BC185" s="38">
        <f>AY185/BB185</f>
        <v>1.0000000000000002</v>
      </c>
      <c r="BD185" s="38">
        <f>BH185/BB185</f>
        <v>5.1145920320153397</v>
      </c>
      <c r="BE185" s="4">
        <f>IF(BD185&lt;1,1,0)</f>
        <v>0</v>
      </c>
      <c r="BF185" s="4">
        <f>L185/N185*M185^0.5/0.19</f>
        <v>445.42830537085564</v>
      </c>
      <c r="BG185" s="4">
        <f>MIN(0.6+0.4*(AC185/AB185),2)</f>
        <v>1</v>
      </c>
      <c r="BH185" s="38">
        <f>2*M185*AB185*AD185^0.5*BG185*0.7/0.7</f>
        <v>394.94533603989879</v>
      </c>
      <c r="BI185" s="4">
        <f>MAX(1-0.7*AE185/5,0.3)</f>
        <v>0.37</v>
      </c>
      <c r="BJ185" s="4">
        <f>BI185*J185*L185/(J185*N185/2.75/M185^0.5)</f>
        <v>86.112427135820681</v>
      </c>
      <c r="BK185" s="4">
        <f>BH185+BJ185</f>
        <v>481.05776317571946</v>
      </c>
      <c r="BM185" s="4">
        <f>MIN(1.5, 0.75+0.25*MIN(3,MAX(1,S185/N185))+0.4*MIN(1,(40*2*PI()*AM185^2/4/AO185/X185)/N185))</f>
        <v>1.2464539007092199</v>
      </c>
      <c r="BN185" s="4">
        <f>(3*P185+30)*BM185*M185^0.5</f>
        <v>545.29755972333407</v>
      </c>
      <c r="BP185" s="4">
        <f>3.4/PI()^0.5*M185*AB185*AE185^0.5*BG185</f>
        <v>378.80087592961462</v>
      </c>
      <c r="BQ185" s="4">
        <f>8/3*AH185*AI185^2/(AG185-N185-22)/N185*(AG185^2-N185^2)/(AG185^2-(N185+22)^2)</f>
        <v>0</v>
      </c>
      <c r="BR185" s="4">
        <f>BQ185/BP185</f>
        <v>0</v>
      </c>
      <c r="BZ185" s="4">
        <f>IF(W185=0,S185,MIN(W185/2,S185))</f>
        <v>71.11999999999999</v>
      </c>
      <c r="CD185" s="9"/>
      <c r="CF185" s="9"/>
      <c r="CG185" s="9"/>
      <c r="CH185" s="9">
        <f>IF(W185=0,MIN(S185,U185),MIN(W185/2,S185,U185))</f>
        <v>71.11999999999999</v>
      </c>
      <c r="CI185" s="9">
        <f>MAX(W185/2,S185)</f>
        <v>77.279499999999985</v>
      </c>
      <c r="CJ185" s="9">
        <f>(CH185/N185)^0.5*(CI185/CH185)^0.15</f>
        <v>1.4268566467933428</v>
      </c>
      <c r="CK185" s="70">
        <f>IF(AO185&gt;1,20,0)</f>
        <v>20</v>
      </c>
      <c r="CL185" s="9">
        <f>MIN(PI()*AM185^2/4*AN185*2/X185/N185/MAX(0.01,AO185),0.05)</f>
        <v>0</v>
      </c>
      <c r="CM185" s="9">
        <f>MAX(0,CK185*(CL185-0.5/50))</f>
        <v>0</v>
      </c>
      <c r="CN185" s="9">
        <f>MIN(1,(25/N185)^0.3)</f>
        <v>0.89777220146327208</v>
      </c>
      <c r="CO185" s="9">
        <f>IF(J185&gt;=800,0.68,IF(J185&gt;=700,0.75-(J185-700)*0.07/100,IF(J185&gt;=600,0.85-(J185-600)*0.1/100,IF(J185&gt;=500,1-(J185-500)*0.15/100,1.2-(J185-400)*0.2/100))))</f>
        <v>0.68048275862068963</v>
      </c>
      <c r="CP185" s="9">
        <f>1.75*CN185*CO185*(M185/25)^0.5</f>
        <v>1.3084804487373733</v>
      </c>
      <c r="CQ185" s="9">
        <f>MIN((CJ185+CM185)*CP185,2.5*CP185,M185^0.5)</f>
        <v>1.8670140254800569</v>
      </c>
      <c r="CR185" s="40">
        <v>1</v>
      </c>
      <c r="CS185" s="9">
        <f>4*CQ185*P185+60*CQ185</f>
        <v>215.30246847025336</v>
      </c>
      <c r="CU185" s="4">
        <f>AJ185/BF185</f>
        <v>1.2773447721685958</v>
      </c>
      <c r="CV185" s="4">
        <f>AJ185/BK185</f>
        <v>1.1827384584448524</v>
      </c>
      <c r="CW185" s="4">
        <f>AJ185/BN185</f>
        <v>1.0434037473596134</v>
      </c>
      <c r="CX185" s="4">
        <f>AJ185/CS185</f>
        <v>2.6426335066380755</v>
      </c>
      <c r="CY185" s="4">
        <f>AJ185/DZ185</f>
        <v>1.618747126999279</v>
      </c>
      <c r="CZ185" s="4">
        <f>AJ185/EL185</f>
        <v>1.2264020383181997</v>
      </c>
      <c r="DA185" s="4">
        <f>AJ185/GI185</f>
        <v>1.2560274378694603</v>
      </c>
      <c r="DB185" s="4">
        <f>AN185</f>
        <v>0</v>
      </c>
      <c r="DC185" s="4">
        <f>CU185</f>
        <v>1.2773447721685958</v>
      </c>
      <c r="DD185" s="4">
        <f>CV185</f>
        <v>1.1827384584448524</v>
      </c>
      <c r="DE185" s="4">
        <f>CX185</f>
        <v>2.6426335066380755</v>
      </c>
      <c r="DF185" s="4">
        <f>DA185</f>
        <v>1.2560274378694603</v>
      </c>
      <c r="DG185" s="4">
        <f>CY185</f>
        <v>1.618747126999279</v>
      </c>
      <c r="DH185" s="4">
        <f>CZ185</f>
        <v>1.2264020383181997</v>
      </c>
      <c r="DQ185" s="4">
        <f>L185</f>
        <v>495.29999999999995</v>
      </c>
      <c r="DT185" s="4">
        <f>K185/4/(1-0.3*(M185/30)^0.5)/200000/N185</f>
        <v>2.6002832081299119E-5</v>
      </c>
      <c r="DU185" s="4">
        <f>EP185</f>
        <v>6.5617916489182875</v>
      </c>
      <c r="DV185" s="4">
        <f>EC185*AG185/257/M185/AD185</f>
        <v>0.14975547238541798</v>
      </c>
      <c r="DW185" s="4">
        <f>DU185*DV185^0.4</f>
        <v>3.0702625625659876</v>
      </c>
      <c r="DX185" s="4">
        <f>MIN(DU185, DU185/1.4*(1-DV185^1.4)/(1-DV185))</f>
        <v>5.1262589175656927</v>
      </c>
      <c r="DY185" s="4">
        <f>MAX(DU185/2, (4-DT185*(8*AG185*(DW185-DX185)+6*K185*DX185))/(4+DT185*K185*DU185)*DU185)</f>
        <v>5.8473448290293097</v>
      </c>
      <c r="DZ185" s="38">
        <f>MIN(1/N185*(4*AG185*(DW185-DX185)+(3*DX185+DY185)*K185)+EC185 -FJ185,MAX(J185,AJ185))</f>
        <v>351.48511324068761</v>
      </c>
      <c r="EA185" s="4">
        <f>DZ185/FF185</f>
        <v>1.0001054045718349</v>
      </c>
      <c r="EB185" s="4">
        <f>AG185/N185</f>
        <v>2.3452078799117149</v>
      </c>
      <c r="EC185" s="4">
        <f>MIN(EB$10*BB185)</f>
        <v>77.219323372753081</v>
      </c>
      <c r="EG185" s="4">
        <f>IF(U185&gt;1*N185,0.85,1)</f>
        <v>0.85</v>
      </c>
      <c r="EH185" s="4">
        <f>MIN(1,MAX(0.7,(1-0.1*(BZ185-1*N185)/N185)))</f>
        <v>0.90141843971631208</v>
      </c>
      <c r="EI185" s="4">
        <f>MIN(1,MAX(0.7,1-0.3*(PI()*AM185^2/4*AQ185*2-0.25*PI()/4*N185^2)/(PI()/4*N185^2)))</f>
        <v>1</v>
      </c>
      <c r="EJ185" s="4">
        <f>IF(EH185*EI185&lt;0.7,0.7,EH185*EI185)</f>
        <v>0.90141843971631208</v>
      </c>
      <c r="EL185" s="4">
        <f>MIN(DU185/N185*3*K185+EM185-FJ185,MAX(J185,AJ185))</f>
        <v>463.93066829994672</v>
      </c>
      <c r="EM185" s="25">
        <f>13.3*Q185*K185^0.5*M185^0.5/X185/N185^2*(0.7+S185/5/K185)</f>
        <v>191.6861211639752</v>
      </c>
      <c r="EO185" s="4">
        <f>EG185*EJ185</f>
        <v>0.76620567375886528</v>
      </c>
      <c r="EP185" s="4">
        <f>IF(N185&lt;22.2,1.1*5*(M185/30)^0.5,IF(N185&gt;=31.8,0.9*5*(M185/30)^0.5,1*5*(M185/30)^0.5))/EG185/EJ185</f>
        <v>6.5617916489182875</v>
      </c>
      <c r="ES185" s="4">
        <f>ET185*N185</f>
        <v>83.991275011158137</v>
      </c>
      <c r="ET185" s="4">
        <f>AF185^0.5</f>
        <v>2.3452078799117149</v>
      </c>
      <c r="EU185" s="4">
        <f>MIN(EC185)/(4700*M185^0.5)/AE185*ES185</f>
        <v>5.0111093576606085E-2</v>
      </c>
      <c r="EX185" s="4">
        <f>EU185</f>
        <v>5.0111093576606085E-2</v>
      </c>
      <c r="EY185" s="4">
        <f>MIN(0.999, EX185/(0.3*(M185/30)^0.5))</f>
        <v>0.14950555841263261</v>
      </c>
      <c r="EZ185" s="4">
        <f>EP185/1*EY185^0.4</f>
        <v>3.0682120571934179</v>
      </c>
      <c r="FA185" s="4">
        <f>EP185/1.4*(1-EY185^1.4)/(1-EY185)</f>
        <v>5.1256544710529939</v>
      </c>
      <c r="FB185" s="4">
        <f>MAX(0,DQ185*FB$9-ES185)</f>
        <v>287.4837249888418</v>
      </c>
      <c r="FC185" s="4">
        <f>MAX(0,DQ185-ES185-FB185)</f>
        <v>123.82500000000005</v>
      </c>
      <c r="FD185" s="4">
        <f>FC185/(1-0.3*(M185/30)^0.5)/200000/N185</f>
        <v>2.6002832081299129E-5</v>
      </c>
      <c r="FE185" s="4">
        <f>MAX(0.5*EP185, (1-2*FD185*(ES185*EZ185+FB185*FA185))/(1/EP185+FD185*FC185))</f>
        <v>5.847460456353426</v>
      </c>
      <c r="FF185" s="4">
        <f>MIN(4/N185*(1*EZ185*ES185+FA185*FB185+FC185*FE185)+EC185,MAX(J185,AJ185))</f>
        <v>351.44806900745164</v>
      </c>
      <c r="FI185" s="4">
        <f>6.75*25.4</f>
        <v>171.45</v>
      </c>
      <c r="FO185" s="23">
        <f>IF(CU185&lt;0.6,0.6,IF(CU185&lt;0.8,0.8,IF(CU185&lt;1,1,IF(CU185&lt;1.2,1.2,IF(CU185&lt;1.4,1.4,IF(CU185&lt;1.6,1.6,IF(CU185&lt;1.8,1.8,IF(CU185&lt;2,2,2.2))))))))</f>
        <v>1.4</v>
      </c>
      <c r="FP185" s="23">
        <f>IF(CV185&lt;0.6,0.6,IF(CV185&lt;0.8,0.8,IF(CV185&lt;1,1,IF(CV185&lt;1.2,1.2,IF(CV185&lt;1.4,1.4,IF(CV185&lt;1.6,1.6,IF(CV185&lt;1.8,1.8,IF(CV185&lt;2,2,2.2))))))))</f>
        <v>1.2</v>
      </c>
      <c r="FQ185" s="23">
        <f>IF(DA185&lt;0.6,0.6,IF(DA185&lt;0.8,0.8,IF(DA185&lt;1,1,IF(DA185&lt;1.2,1.2,IF(DA185&lt;1.4,1.4,IF(DA185&lt;1.6,1.6,IF(DA185&lt;1.8,1.8,IF(DA185&lt;2,2,2.2))))))))</f>
        <v>1.4</v>
      </c>
      <c r="FR185" s="23">
        <f>IF(CX185&lt;0.6,0.6,IF(CX185&lt;0.8,0.8,IF(CX185&lt;1,1,IF(CX185&lt;1.2,1.2,IF(CX185&lt;1.4,1.4,IF(CX185&lt;1.6,1.6,IF(CX185&lt;1.8,1.8,IF(CX185&lt;2,2,2.2))))))))</f>
        <v>2.2000000000000002</v>
      </c>
      <c r="FS185" s="23">
        <f>IF(CY185&lt;0.6,0.6,IF(CY185&lt;0.8,0.8,IF(CY185&lt;1,1,IF(CY185&lt;1.2,1.2,IF(CY185&lt;1.4,1.4,IF(CY185&lt;1.6,1.6,IF(CY185&lt;1.8,1.8,IF(CY185&lt;2,2,2.2))))))))</f>
        <v>1.8</v>
      </c>
      <c r="FT185" s="23">
        <f>IF(CZ185&lt;0.6,0.6,IF(CZ185&lt;0.8,0.8,IF(CZ185&lt;1,1,IF(CZ185&lt;1.2,1.2,IF(CZ185&lt;1.4,1.4,IF(CZ185&lt;1.6,1.6,IF(CZ185&lt;1.8,1.8,IF(CZ185&lt;2,2,2.2))))))))</f>
        <v>1.4</v>
      </c>
      <c r="FU185" s="23">
        <f>IF(FS185&lt;1,1,0)</f>
        <v>0</v>
      </c>
      <c r="FV185" s="23"/>
      <c r="GF185" s="4">
        <f>IF(S185&gt;=2.5*25.4,1,1.25)</f>
        <v>1</v>
      </c>
      <c r="GG185" s="4">
        <f>IF(AO185&gt;1, 0.05*(18-MIN(8,(W185+N185)/N185))*(1-48000/MAX(60000,(J185*145))*(N185/25.4)^0.75*GH185), 1/12*(14-MIN(8,(W185+N185)/N185)))</f>
        <v>0.63421985815602844</v>
      </c>
      <c r="GH185" s="4">
        <f>MIN(0.3, AM185^2*PI()/4*2*AP185/(N185^2*PI()/4*X185))</f>
        <v>0</v>
      </c>
      <c r="GI185" s="4">
        <f>(K185/25.4)/(N185/25.4)^1.5/0.0024*(M185*145)^0.25/GF185/GG185/145</f>
        <v>452.98812755753852</v>
      </c>
    </row>
    <row r="186" spans="1:196" ht="12" customHeight="1" x14ac:dyDescent="0.3">
      <c r="A186" s="25">
        <v>424</v>
      </c>
      <c r="B186" s="4" t="s">
        <v>605</v>
      </c>
      <c r="C186" s="4">
        <v>2016</v>
      </c>
      <c r="D186" s="4" t="s">
        <v>309</v>
      </c>
      <c r="E186" s="14" t="s">
        <v>595</v>
      </c>
      <c r="F186" s="14"/>
      <c r="G186" s="14">
        <v>26</v>
      </c>
      <c r="H186" s="48" t="s">
        <v>596</v>
      </c>
      <c r="I186" s="5">
        <f>K186/N186</f>
        <v>13.787234042553195</v>
      </c>
      <c r="J186" s="78">
        <f>115.9/0.145</f>
        <v>799.31034482758628</v>
      </c>
      <c r="K186" s="91">
        <f>19.44*25.4</f>
        <v>493.77600000000001</v>
      </c>
      <c r="L186" s="4">
        <f>K186</f>
        <v>493.77600000000001</v>
      </c>
      <c r="M186" s="38">
        <f>5430/145</f>
        <v>37.448275862068968</v>
      </c>
      <c r="N186" s="38">
        <f>1.41*25.4</f>
        <v>35.813999999999993</v>
      </c>
      <c r="O186" s="7">
        <f>K186/N186</f>
        <v>13.787234042553195</v>
      </c>
      <c r="P186" s="7">
        <f>L186/N186</f>
        <v>13.787234042553195</v>
      </c>
      <c r="Q186" s="38">
        <f>21.9*25.4</f>
        <v>556.25999999999988</v>
      </c>
      <c r="R186" s="32">
        <f>S186/N186</f>
        <v>1.9148936170212769</v>
      </c>
      <c r="S186" s="38">
        <f>2.7*25.4</f>
        <v>68.58</v>
      </c>
      <c r="T186" s="32">
        <f>U186/N186</f>
        <v>2.9078014184397163</v>
      </c>
      <c r="U186" s="39">
        <f>4.1*25.4</f>
        <v>104.13999999999999</v>
      </c>
      <c r="V186" s="32">
        <f>W186/N186</f>
        <v>9.702127659574467</v>
      </c>
      <c r="W186" s="7">
        <f>(Q186-X186*N186-2*S186)/(X186-1)</f>
        <v>347.47199999999987</v>
      </c>
      <c r="X186" s="38">
        <v>2</v>
      </c>
      <c r="Y186" s="7">
        <f>AN186</f>
        <v>0</v>
      </c>
      <c r="Z186" s="32">
        <f>AA186/N186</f>
        <v>14.18439716312057</v>
      </c>
      <c r="AA186" s="4">
        <f>20*25.4</f>
        <v>508</v>
      </c>
      <c r="AB186" s="7">
        <f>MIN(S186/N186+0.5, W186/2/N186+0.5)</f>
        <v>2.4148936170212769</v>
      </c>
      <c r="AC186" s="7">
        <f>S186/N186+0.5</f>
        <v>2.4148936170212769</v>
      </c>
      <c r="AD186" s="38">
        <v>4.5</v>
      </c>
      <c r="AE186" s="4">
        <f>AD186</f>
        <v>4.5</v>
      </c>
      <c r="AF186" s="4">
        <f>AE186+1</f>
        <v>5.5</v>
      </c>
      <c r="AG186" s="7">
        <f>N186*AF186^0.5</f>
        <v>83.991275011158137</v>
      </c>
      <c r="AJ186" s="38">
        <f>AK186/0.145</f>
        <v>697.93103448275872</v>
      </c>
      <c r="AK186" s="4">
        <v>101.2</v>
      </c>
      <c r="AL186" s="4">
        <f>CY186</f>
        <v>1.7616301001435395</v>
      </c>
      <c r="AM186" s="38">
        <v>0</v>
      </c>
      <c r="AN186" s="38">
        <v>0</v>
      </c>
      <c r="AO186" s="39">
        <f>L186</f>
        <v>493.77600000000001</v>
      </c>
      <c r="AP186" s="39"/>
      <c r="AQ186" s="39"/>
      <c r="AR186" s="7"/>
      <c r="AS186" s="4">
        <f>K186</f>
        <v>493.77600000000001</v>
      </c>
      <c r="AT186" s="4">
        <f>IF(K186*3&gt;W186+N186, Q186, (S186+N186/2)*2+1.5*K186*(2*X186-2))*(3*K186)/(9*K186^2)</f>
        <v>0.375514403292181</v>
      </c>
      <c r="AU186" s="4">
        <f>MIN(10*M186^0.5*K186^1.5,100*3.9*M186^0.5*K186^(5/3))/(PI()/4*N186^2)/X186</f>
        <v>333.26165284168025</v>
      </c>
      <c r="AV186" s="4">
        <f>MIN(0.7+0.3*(MIN(S186,AA186)+0.5*N186)/1.5/K186,1)</f>
        <v>0.73503086419753083</v>
      </c>
      <c r="AW186" s="4">
        <v>1.25</v>
      </c>
      <c r="AX186" s="4">
        <f>AX185</f>
        <v>1</v>
      </c>
      <c r="AY186" s="38">
        <f>AT186*AV186*AW186*AX186*AU186</f>
        <v>114.98138406973115</v>
      </c>
      <c r="AZ186" s="38">
        <f>AY186</f>
        <v>114.98138406973115</v>
      </c>
      <c r="BA186" s="38">
        <f>IF(M186&lt;50, 0.3*M186^(2/3), 2.12*LN(1+0.1*(M186+8)))</f>
        <v>3.3579622250305636</v>
      </c>
      <c r="BB186" s="38">
        <f>AX186* (M186^0.5/AS186^0.5)/(PI()/4*N186^2)/X186/0.72 *(0.7+(MIN(S186,AA186)+0.5*N186)/5/K186) *(3*Q186*K186)</f>
        <v>114.98138406973115</v>
      </c>
      <c r="BC186" s="38">
        <f>AY186/BB186</f>
        <v>1</v>
      </c>
      <c r="BD186" s="38">
        <f>BH186/BB186</f>
        <v>3.336864344672517</v>
      </c>
      <c r="BE186" s="4">
        <f>IF(BD186&lt;1,1,0)</f>
        <v>0</v>
      </c>
      <c r="BF186" s="4">
        <f>L186/N186*M186^0.5/0.19</f>
        <v>444.05775673894539</v>
      </c>
      <c r="BG186" s="4">
        <f>MIN(0.6+0.4*(AC186/AB186),2)</f>
        <v>1</v>
      </c>
      <c r="BH186" s="38">
        <f>2*M186*AB186*AD186^0.5*BG186*0.7/0.7</f>
        <v>383.67728080338242</v>
      </c>
      <c r="BI186" s="4">
        <f>MAX(1-0.7*AE186/5,0.3)</f>
        <v>0.37</v>
      </c>
      <c r="BJ186" s="4">
        <f>BI186*J186*L186/(J186*N186/2.75/M186^0.5)</f>
        <v>85.847465821556639</v>
      </c>
      <c r="BK186" s="4">
        <f>BH186+BJ186</f>
        <v>469.52474662493904</v>
      </c>
      <c r="BM186" s="4">
        <f>MIN(1.5, 0.75+0.25*MIN(3,MAX(1,S186/N186))+0.4*MIN(1,(40*2*PI()*AM186^2/4/AO186/X186)/N186))</f>
        <v>1.2287234042553192</v>
      </c>
      <c r="BN186" s="4">
        <f>(3*P186+30)*BM186*M186^0.5</f>
        <v>536.58094332590736</v>
      </c>
      <c r="BP186" s="4">
        <f>3.4/PI()^0.5*M186*AB186*AE186^0.5*BG186</f>
        <v>367.993432964433</v>
      </c>
      <c r="BQ186" s="4">
        <f>8/3*AH186*AI186^2/(AG186-N186-22)/N186*(AG186^2-N186^2)/(AG186^2-(N186+22)^2)</f>
        <v>0</v>
      </c>
      <c r="BR186" s="4">
        <f>BQ186/BP186</f>
        <v>0</v>
      </c>
      <c r="BZ186" s="4">
        <f>IF(W186=0,S186,MIN(W186/2,S186))</f>
        <v>68.58</v>
      </c>
      <c r="CD186" s="9"/>
      <c r="CF186" s="9"/>
      <c r="CG186" s="9"/>
      <c r="CH186" s="9">
        <f>IF(W186=0,MIN(S186,U186),MIN(W186/2,S186,U186))</f>
        <v>68.58</v>
      </c>
      <c r="CI186" s="9">
        <f>MAX(W186/2,S186)</f>
        <v>173.73599999999993</v>
      </c>
      <c r="CJ186" s="9">
        <f>(CH186/N186)^0.5*(CI186/CH186)^0.15</f>
        <v>1.5908388060545191</v>
      </c>
      <c r="CK186" s="70">
        <f>IF(AO186&gt;1,20,0)</f>
        <v>20</v>
      </c>
      <c r="CL186" s="9">
        <f>MIN(PI()*AM186^2/4*AN186*2/X186/N186/MAX(0.01,AO186),0.05)</f>
        <v>0</v>
      </c>
      <c r="CM186" s="9">
        <f>MAX(0,CK186*(CL186-0.5/50))</f>
        <v>0</v>
      </c>
      <c r="CN186" s="9">
        <f>MIN(1,(25/N186)^0.3)</f>
        <v>0.89777220146327208</v>
      </c>
      <c r="CO186" s="9">
        <f>IF(J186&gt;=800,0.68,IF(J186&gt;=700,0.75-(J186-700)*0.07/100,IF(J186&gt;=600,0.85-(J186-600)*0.1/100,IF(J186&gt;=500,1-(J186-500)*0.15/100,1.2-(J186-400)*0.2/100))))</f>
        <v>0.68048275862068963</v>
      </c>
      <c r="CP186" s="9">
        <f>1.75*CN186*CO186*(M186/25)^0.5</f>
        <v>1.3084804487373733</v>
      </c>
      <c r="CQ186" s="9">
        <f>MIN((CJ186+CM186)*CP186,2.5*CP186,M186^0.5)</f>
        <v>2.0815814748150445</v>
      </c>
      <c r="CR186" s="40">
        <v>1</v>
      </c>
      <c r="CS186" s="9">
        <f>4*CQ186*P186+60*CQ186</f>
        <v>239.69189237657491</v>
      </c>
      <c r="CU186" s="4">
        <f>AJ186/BF186</f>
        <v>1.5717122916807</v>
      </c>
      <c r="CV186" s="4">
        <f>AJ186/BK186</f>
        <v>1.4864627253401679</v>
      </c>
      <c r="CW186" s="4">
        <f>AJ186/BN186</f>
        <v>1.3007003755234947</v>
      </c>
      <c r="CX186" s="4">
        <f>AJ186/CS186</f>
        <v>2.9117840723050152</v>
      </c>
      <c r="CY186" s="4">
        <f>AJ186/DZ186</f>
        <v>1.7616301001435395</v>
      </c>
      <c r="CZ186" s="4">
        <f>AJ186/EL186</f>
        <v>1.2582112350998493</v>
      </c>
      <c r="DA186" s="4">
        <f>AJ186/GI186</f>
        <v>1.2184121174982501</v>
      </c>
      <c r="DB186" s="4">
        <f>AN186</f>
        <v>0</v>
      </c>
      <c r="DC186" s="4">
        <f>CU186</f>
        <v>1.5717122916807</v>
      </c>
      <c r="DD186" s="4">
        <f>CV186</f>
        <v>1.4864627253401679</v>
      </c>
      <c r="DE186" s="4">
        <f>CX186</f>
        <v>2.9117840723050152</v>
      </c>
      <c r="DF186" s="4">
        <f>DA186</f>
        <v>1.2184121174982501</v>
      </c>
      <c r="DG186" s="4">
        <f>CY186</f>
        <v>1.7616301001435395</v>
      </c>
      <c r="DH186" s="4">
        <f>CZ186</f>
        <v>1.2582112350998493</v>
      </c>
      <c r="DQ186" s="4">
        <f>L186</f>
        <v>493.77600000000001</v>
      </c>
      <c r="DT186" s="4">
        <f>K186/4/(1-0.3*(M186/30)^0.5)/200000/N186</f>
        <v>2.5922823367202814E-5</v>
      </c>
      <c r="DU186" s="4">
        <f>EP186</f>
        <v>6.5105676703943356</v>
      </c>
      <c r="DV186" s="4">
        <f>EC186*AG186/257/M186/AD186</f>
        <v>0.22298941164987646</v>
      </c>
      <c r="DW186" s="4">
        <f>DU186*DV186^0.4</f>
        <v>3.5721735789202351</v>
      </c>
      <c r="DX186" s="4">
        <f>MIN(DU186, DU186/1.4*(1-DV186^1.4)/(1-DV186))</f>
        <v>5.2527421591260834</v>
      </c>
      <c r="DY186" s="4">
        <f>MAX(DU186/2, (4-DT186*(8*AG186*(DW186-DX186)+6*K186*DX186))/(4+DT186*K186*DU186)*DU186)</f>
        <v>5.781157432769132</v>
      </c>
      <c r="DZ186" s="38">
        <f>MIN(1/N186*(4*AG186*(DW186-DX186)+(3*DX186+DY186)*K186)+EC186 -FJ186,MAX(J186,AJ186))</f>
        <v>396.18478046321445</v>
      </c>
      <c r="EA186" s="4">
        <f>DZ186/FF186</f>
        <v>1.0001165291485534</v>
      </c>
      <c r="EB186" s="4">
        <f>AG186/N186</f>
        <v>2.3452078799117149</v>
      </c>
      <c r="EC186" s="4">
        <f>MIN(EB$10*BB186)</f>
        <v>114.98138406973115</v>
      </c>
      <c r="EG186" s="4">
        <f>IF(U186&gt;1*N186,0.85,1)</f>
        <v>0.85</v>
      </c>
      <c r="EH186" s="4">
        <f>MIN(1,MAX(0.7,(1-0.1*(BZ186-1*N186)/N186)))</f>
        <v>0.90851063829787226</v>
      </c>
      <c r="EI186" s="4">
        <f>MIN(1,MAX(0.7,1-0.3*(PI()*AM186^2/4*AQ186*2-0.25*PI()/4*N186^2)/(PI()/4*N186^2)))</f>
        <v>1</v>
      </c>
      <c r="EJ186" s="4">
        <f>IF(EH186*EI186&lt;0.7,0.7,EH186*EI186)</f>
        <v>0.90851063829787226</v>
      </c>
      <c r="EL186" s="4">
        <f>MIN(DU186/N186*3*K186+EM186-FJ186,MAX(J186,AJ186))</f>
        <v>554.70100330758225</v>
      </c>
      <c r="EM186" s="25">
        <f>13.3*Q186*K186^0.5*M186^0.5/X186/N186^2*(0.7+S186/5/K186)</f>
        <v>285.41284264276118</v>
      </c>
      <c r="EO186" s="4">
        <f>EG186*EJ186</f>
        <v>0.77223404255319139</v>
      </c>
      <c r="EP186" s="4">
        <f>IF(N186&lt;22.2,1.1*5*(M186/30)^0.5,IF(N186&gt;=31.8,0.9*5*(M186/30)^0.5,1*5*(M186/30)^0.5))/EG186/EJ186</f>
        <v>6.5105676703943356</v>
      </c>
      <c r="ES186" s="4">
        <f>ET186*N186</f>
        <v>83.991275011158137</v>
      </c>
      <c r="ET186" s="4">
        <f>AF186^0.5</f>
        <v>2.3452078799117149</v>
      </c>
      <c r="EU186" s="4">
        <f>MIN(EC186)/(4700*M186^0.5)/AE186*ES186</f>
        <v>7.4616593943363327E-2</v>
      </c>
      <c r="EX186" s="4">
        <f>EU186</f>
        <v>7.4616593943363327E-2</v>
      </c>
      <c r="EY186" s="4">
        <f>MIN(0.999, EX186/(0.3*(M186/30)^0.5))</f>
        <v>0.22261728388140953</v>
      </c>
      <c r="EZ186" s="4">
        <f>EP186/1*EY186^0.4</f>
        <v>3.5697878672861116</v>
      </c>
      <c r="FA186" s="4">
        <f>EP186/1.4*(1-EY186^1.4)/(1-EY186)</f>
        <v>5.2519371115695002</v>
      </c>
      <c r="FB186" s="4">
        <f>MAX(0,DQ186*FB$9-ES186)</f>
        <v>286.34072498884188</v>
      </c>
      <c r="FC186" s="4">
        <f>MAX(0,DQ186-ES186-FB186)</f>
        <v>123.44399999999996</v>
      </c>
      <c r="FD186" s="4">
        <f>FC186/(1-0.3*(M186/30)^0.5)/200000/N186</f>
        <v>2.5922823367202804E-5</v>
      </c>
      <c r="FE186" s="4">
        <f>MAX(0.5*EP186, (1-2*FD186*(ES186*EZ186+FB186*FA186))/(1/EP186+FD186*FC186))</f>
        <v>5.7812999112876184</v>
      </c>
      <c r="FF186" s="4">
        <f>MIN(4/N186*(1*EZ186*ES186+FA186*FB186+FC186*FE186)+EC186,MAX(J186,AJ186))</f>
        <v>396.13861876726037</v>
      </c>
      <c r="FI186" s="4">
        <f>6.75*25.4</f>
        <v>171.45</v>
      </c>
      <c r="FO186" s="23">
        <f>IF(CU186&lt;0.6,0.6,IF(CU186&lt;0.8,0.8,IF(CU186&lt;1,1,IF(CU186&lt;1.2,1.2,IF(CU186&lt;1.4,1.4,IF(CU186&lt;1.6,1.6,IF(CU186&lt;1.8,1.8,IF(CU186&lt;2,2,2.2))))))))</f>
        <v>1.6</v>
      </c>
      <c r="FP186" s="23">
        <f>IF(CV186&lt;0.6,0.6,IF(CV186&lt;0.8,0.8,IF(CV186&lt;1,1,IF(CV186&lt;1.2,1.2,IF(CV186&lt;1.4,1.4,IF(CV186&lt;1.6,1.6,IF(CV186&lt;1.8,1.8,IF(CV186&lt;2,2,2.2))))))))</f>
        <v>1.6</v>
      </c>
      <c r="FQ186" s="23">
        <f>IF(DA186&lt;0.6,0.6,IF(DA186&lt;0.8,0.8,IF(DA186&lt;1,1,IF(DA186&lt;1.2,1.2,IF(DA186&lt;1.4,1.4,IF(DA186&lt;1.6,1.6,IF(DA186&lt;1.8,1.8,IF(DA186&lt;2,2,2.2))))))))</f>
        <v>1.4</v>
      </c>
      <c r="FR186" s="23">
        <f>IF(CX186&lt;0.6,0.6,IF(CX186&lt;0.8,0.8,IF(CX186&lt;1,1,IF(CX186&lt;1.2,1.2,IF(CX186&lt;1.4,1.4,IF(CX186&lt;1.6,1.6,IF(CX186&lt;1.8,1.8,IF(CX186&lt;2,2,2.2))))))))</f>
        <v>2.2000000000000002</v>
      </c>
      <c r="FS186" s="23">
        <f>IF(CY186&lt;0.6,0.6,IF(CY186&lt;0.8,0.8,IF(CY186&lt;1,1,IF(CY186&lt;1.2,1.2,IF(CY186&lt;1.4,1.4,IF(CY186&lt;1.6,1.6,IF(CY186&lt;1.8,1.8,IF(CY186&lt;2,2,2.2))))))))</f>
        <v>1.8</v>
      </c>
      <c r="FT186" s="23">
        <f>IF(CZ186&lt;0.6,0.6,IF(CZ186&lt;0.8,0.8,IF(CZ186&lt;1,1,IF(CZ186&lt;1.2,1.2,IF(CZ186&lt;1.4,1.4,IF(CZ186&lt;1.6,1.6,IF(CZ186&lt;1.8,1.8,IF(CZ186&lt;2,2,2.2))))))))</f>
        <v>1.4</v>
      </c>
      <c r="FU186" s="23">
        <f>IF(FS186&lt;1,1,0)</f>
        <v>0</v>
      </c>
      <c r="FV186" s="23"/>
      <c r="GF186" s="4">
        <f>IF(S186&gt;=2.5*25.4,1,1.25)</f>
        <v>1</v>
      </c>
      <c r="GG186" s="4">
        <f>IF(AO186&gt;1, 0.05*(18-MIN(8,(W186+N186)/N186))*(1-48000/MAX(60000,(J186*145))*(N186/25.4)^0.75*GH186), 1/12*(14-MIN(8,(W186+N186)/N186)))</f>
        <v>0.5</v>
      </c>
      <c r="GH186" s="4">
        <f>MIN(0.3, AM186^2*PI()/4*2*AP186/(N186^2*PI()/4*X186))</f>
        <v>0</v>
      </c>
      <c r="GI186" s="4">
        <f>(K186/25.4)/(N186/25.4)^1.5/0.0024*(M186*145)^0.25/GF186/GG186/145</f>
        <v>572.82016852870072</v>
      </c>
    </row>
    <row r="187" spans="1:196" ht="12" customHeight="1" x14ac:dyDescent="0.3">
      <c r="A187" s="25">
        <v>425</v>
      </c>
      <c r="B187" s="4" t="s">
        <v>605</v>
      </c>
      <c r="C187" s="4">
        <v>2016</v>
      </c>
      <c r="D187" s="4" t="s">
        <v>309</v>
      </c>
      <c r="E187" s="14" t="s">
        <v>595</v>
      </c>
      <c r="F187" s="14"/>
      <c r="G187" s="14">
        <v>11</v>
      </c>
      <c r="H187" s="7" t="s">
        <v>597</v>
      </c>
      <c r="I187" s="5">
        <f>K187/N187</f>
        <v>13.744680851063832</v>
      </c>
      <c r="J187" s="90">
        <f>135/0.145</f>
        <v>931.0344827586207</v>
      </c>
      <c r="K187" s="91">
        <f>19.38*25.4</f>
        <v>492.25199999999995</v>
      </c>
      <c r="L187" s="4">
        <f>K187</f>
        <v>492.25199999999995</v>
      </c>
      <c r="M187" s="92">
        <f>6320/145</f>
        <v>43.586206896551722</v>
      </c>
      <c r="N187" s="38">
        <f>1.41*25.4</f>
        <v>35.813999999999993</v>
      </c>
      <c r="O187" s="7">
        <f>K187/N187</f>
        <v>13.744680851063832</v>
      </c>
      <c r="P187" s="7">
        <f>L187/N187</f>
        <v>13.744680851063832</v>
      </c>
      <c r="Q187" s="38">
        <f>22*25.4</f>
        <v>558.79999999999995</v>
      </c>
      <c r="R187" s="32">
        <f>S187/N187</f>
        <v>1.9503546099290783</v>
      </c>
      <c r="S187" s="38">
        <f>2.75*25.4</f>
        <v>69.849999999999994</v>
      </c>
      <c r="T187" s="32">
        <f>U187/N187</f>
        <v>2.3404255319148941</v>
      </c>
      <c r="U187" s="39">
        <f>3.3*25.4</f>
        <v>83.82</v>
      </c>
      <c r="V187" s="32">
        <f>W187/N187</f>
        <v>9.7021276595744688</v>
      </c>
      <c r="W187" s="7">
        <f>(Q187-X187*N187-2*S187)/(X187-1)</f>
        <v>347.47199999999998</v>
      </c>
      <c r="X187" s="38">
        <v>2</v>
      </c>
      <c r="Y187" s="7">
        <f>AN187</f>
        <v>0</v>
      </c>
      <c r="Z187" s="32">
        <f>AA187/N187</f>
        <v>14.18439716312057</v>
      </c>
      <c r="AA187" s="4">
        <f>20*25.4</f>
        <v>508</v>
      </c>
      <c r="AB187" s="7">
        <f>MIN(S187/N187+0.5, W187/2/N187+0.5)</f>
        <v>2.4503546099290783</v>
      </c>
      <c r="AC187" s="7">
        <f>S187/N187+0.5</f>
        <v>2.4503546099290783</v>
      </c>
      <c r="AD187" s="38">
        <v>5.5</v>
      </c>
      <c r="AE187" s="4">
        <f>AD187</f>
        <v>5.5</v>
      </c>
      <c r="AF187" s="4">
        <f>AE187+1</f>
        <v>6.5</v>
      </c>
      <c r="AG187" s="7">
        <f>N187*AF187^0.5</f>
        <v>91.308142429905971</v>
      </c>
      <c r="AJ187" s="38">
        <f>AK187/0.145</f>
        <v>781.37931034482767</v>
      </c>
      <c r="AK187" s="4">
        <v>113.3</v>
      </c>
      <c r="AL187" s="4">
        <f>CY187</f>
        <v>1.8607883579121227</v>
      </c>
      <c r="AM187" s="38">
        <v>0</v>
      </c>
      <c r="AN187" s="38">
        <v>0</v>
      </c>
      <c r="AO187" s="39">
        <f>L187</f>
        <v>492.25199999999995</v>
      </c>
      <c r="AP187" s="39"/>
      <c r="AQ187" s="39"/>
      <c r="AR187" s="7"/>
      <c r="AS187" s="4">
        <f>K187</f>
        <v>492.25199999999995</v>
      </c>
      <c r="AT187" s="4">
        <f>IF(K187*3&gt;W187+N187, Q187, (S187+N187/2)*2+1.5*K187*(2*X187-2))*(3*K187)/(9*K187^2)</f>
        <v>0.37839697282421741</v>
      </c>
      <c r="AU187" s="4">
        <f>MIN(10*M187^0.5*K187^1.5,100*3.9*M187^0.5*K187^(5/3))/(PI()/4*N187^2)/X187</f>
        <v>357.87407330106765</v>
      </c>
      <c r="AV187" s="4">
        <f>MIN(0.7+0.3*(MIN(S187,AA187)+0.5*N187)/1.5/K187,1)</f>
        <v>0.73565531475748192</v>
      </c>
      <c r="AW187" s="4">
        <v>1.25</v>
      </c>
      <c r="AX187" s="4">
        <f>AX186</f>
        <v>1</v>
      </c>
      <c r="AY187" s="38">
        <f>AT187*AV187*AW187*AX187*AU187</f>
        <v>124.52664277675568</v>
      </c>
      <c r="AZ187" s="38">
        <f>AY187</f>
        <v>124.52664277675568</v>
      </c>
      <c r="BA187" s="38">
        <f>IF(M187&lt;50, 0.3*M187^(2/3), 2.12*LN(1+0.1*(M187+8)))</f>
        <v>3.7155288579258352</v>
      </c>
      <c r="BB187" s="38">
        <f>AX187* (M187^0.5/AS187^0.5)/(PI()/4*N187^2)/X187/0.72 *(0.7+(MIN(S187,AA187)+0.5*N187)/5/K187) *(3*Q187*K187)</f>
        <v>124.52664277675578</v>
      </c>
      <c r="BC187" s="38">
        <f>AY187/BB187</f>
        <v>0.99999999999999922</v>
      </c>
      <c r="BD187" s="38">
        <f>BH187/BB187</f>
        <v>4.022787350017822</v>
      </c>
      <c r="BE187" s="4">
        <f>IF(BD187&lt;1,1,0)</f>
        <v>0</v>
      </c>
      <c r="BF187" s="4">
        <f>L187/N187*M187^0.5/0.19</f>
        <v>477.5904094947345</v>
      </c>
      <c r="BG187" s="4">
        <f>MIN(0.6+0.4*(AC187/AB187),2)</f>
        <v>1</v>
      </c>
      <c r="BH187" s="38">
        <f>2*M187*AB187*AD187^0.5*BG187*0.7/0.7</f>
        <v>500.94420330252137</v>
      </c>
      <c r="BI187" s="4">
        <f>MAX(1-0.7*AE187/5,0.3)</f>
        <v>0.3</v>
      </c>
      <c r="BJ187" s="4">
        <f>BI187*J187*L187/(J187*N187/2.75/M187^0.5)</f>
        <v>74.862296688299637</v>
      </c>
      <c r="BK187" s="4">
        <f>BH187+BJ187</f>
        <v>575.80649999082107</v>
      </c>
      <c r="BM187" s="4">
        <f>MIN(1.5, 0.75+0.25*MIN(3,MAX(1,S187/N187))+0.4*MIN(1,(40*2*PI()*AM187^2/4/AO187/X187)/N187))</f>
        <v>1.2375886524822697</v>
      </c>
      <c r="BN187" s="4">
        <f>(3*P187+30)*BM187*M187^0.5</f>
        <v>582.02072294007257</v>
      </c>
      <c r="BP187" s="4">
        <f>3.4/PI()^0.5*M187*AB187*AE187^0.5*BG187</f>
        <v>480.46675245125056</v>
      </c>
      <c r="BQ187" s="4">
        <f>8/3*AH187*AI187^2/(AG187-N187-22)/N187*(AG187^2-N187^2)/(AG187^2-(N187+22)^2)</f>
        <v>0</v>
      </c>
      <c r="BR187" s="4">
        <f>BQ187/BP187</f>
        <v>0</v>
      </c>
      <c r="BZ187" s="4">
        <f>IF(W187=0,S187,MIN(W187/2,S187))</f>
        <v>69.849999999999994</v>
      </c>
      <c r="CD187" s="9"/>
      <c r="CF187" s="9"/>
      <c r="CG187" s="9"/>
      <c r="CH187" s="9">
        <f>IF(W187=0,MIN(S187,U187),MIN(W187/2,S187,U187))</f>
        <v>69.849999999999994</v>
      </c>
      <c r="CI187" s="9">
        <f>MAX(W187/2,S187)</f>
        <v>173.73599999999999</v>
      </c>
      <c r="CJ187" s="9">
        <f>(CH187/N187)^0.5*(CI187/CH187)^0.15</f>
        <v>1.6010883658280048</v>
      </c>
      <c r="CK187" s="70">
        <f>IF(AO187&gt;1,20,0)</f>
        <v>20</v>
      </c>
      <c r="CL187" s="9">
        <f>MIN(PI()*AM187^2/4*AN187*2/X187/N187/MAX(0.01,AO187),0.05)</f>
        <v>0</v>
      </c>
      <c r="CM187" s="9">
        <f>MAX(0,CK187*(CL187-0.5/50))</f>
        <v>0</v>
      </c>
      <c r="CN187" s="9">
        <f>MIN(1,(25/N187)^0.3)</f>
        <v>0.89777220146327208</v>
      </c>
      <c r="CO187" s="9">
        <f>IF(J187&gt;=800,0.68,IF(J187&gt;=700,0.75-(J187-700)*0.07/100,IF(J187&gt;=600,0.85-(J187-600)*0.1/100,IF(J187&gt;=500,1-(J187-500)*0.15/100,1.2-(J187-400)*0.2/100))))</f>
        <v>0.68</v>
      </c>
      <c r="CP187" s="9">
        <f>1.75*CN187*CO187*(M187/25)^0.5</f>
        <v>1.4106447240551518</v>
      </c>
      <c r="CQ187" s="9">
        <f>MIN((CJ187+CM187)*CP187,2.5*CP187,M187^0.5)</f>
        <v>2.2585668560013601</v>
      </c>
      <c r="CR187" s="40">
        <v>1</v>
      </c>
      <c r="CS187" s="9">
        <f>4*CQ187*P187+60*CQ187</f>
        <v>259.68713382619899</v>
      </c>
      <c r="CU187" s="4">
        <f>AJ187/BF187</f>
        <v>1.6360866860192729</v>
      </c>
      <c r="CV187" s="4">
        <f>AJ187/BK187</f>
        <v>1.3570171756610661</v>
      </c>
      <c r="CW187" s="4">
        <f>AJ187/BN187</f>
        <v>1.3425283319770762</v>
      </c>
      <c r="CX187" s="4">
        <f>AJ187/CS187</f>
        <v>3.0089257747662694</v>
      </c>
      <c r="CY187" s="4">
        <f>AJ187/DZ187</f>
        <v>1.8607883579121227</v>
      </c>
      <c r="CZ187" s="4">
        <f>AJ187/EL187</f>
        <v>1.3026075869753657</v>
      </c>
      <c r="DA187" s="4">
        <f>AJ187/GI187</f>
        <v>1.3173670073694528</v>
      </c>
      <c r="DB187" s="4">
        <f>AN187</f>
        <v>0</v>
      </c>
      <c r="DC187" s="4">
        <f>CU187</f>
        <v>1.6360866860192729</v>
      </c>
      <c r="DD187" s="4">
        <f>CV187</f>
        <v>1.3570171756610661</v>
      </c>
      <c r="DE187" s="4">
        <f>CX187</f>
        <v>3.0089257747662694</v>
      </c>
      <c r="DF187" s="4">
        <f>DA187</f>
        <v>1.3173670073694528</v>
      </c>
      <c r="DG187" s="4">
        <f>CY187</f>
        <v>1.8607883579121227</v>
      </c>
      <c r="DH187" s="4">
        <f>CZ187</f>
        <v>1.3026075869753657</v>
      </c>
      <c r="DQ187" s="4">
        <f>L187</f>
        <v>492.25199999999995</v>
      </c>
      <c r="DT187" s="4">
        <f>K187/4/(1-0.3*(M187/30)^0.5)/200000/N187</f>
        <v>2.6912597390312449E-5</v>
      </c>
      <c r="DU187" s="4">
        <f>EP187</f>
        <v>7.0514095095305276</v>
      </c>
      <c r="DV187" s="4">
        <f>EC187*AG187/257/M187/AD187</f>
        <v>0.18455546012812879</v>
      </c>
      <c r="DW187" s="4">
        <f>DU187*DV187^0.4</f>
        <v>3.58696134386952</v>
      </c>
      <c r="DX187" s="4">
        <f>MIN(DU187, DU187/1.4*(1-DV187^1.4)/(1-DV187))</f>
        <v>5.5967861663483669</v>
      </c>
      <c r="DY187" s="4">
        <f>MAX(DU187/2, (4-DT187*(8*AG187*(DW187-DX187)+6*K187*DX187))/(4+DT187*K187*DU187)*DU187)</f>
        <v>6.1922086706781458</v>
      </c>
      <c r="DZ187" s="38">
        <f>MIN(1/N187*(4*AG187*(DW187-DX187)+(3*DX187+DY187)*K187)+EC187 -FJ187,MAX(J187,AJ187))</f>
        <v>419.91842168529354</v>
      </c>
      <c r="EA187" s="4">
        <f>DZ187/FF187</f>
        <v>1.0001090908651129</v>
      </c>
      <c r="EB187" s="4">
        <f>AG187/N187</f>
        <v>2.5495097567963922</v>
      </c>
      <c r="EC187" s="4">
        <f>MIN(EB$10*BB187)</f>
        <v>124.52664277675578</v>
      </c>
      <c r="EG187" s="4">
        <f>IF(U187&gt;1*N187,0.85,1)</f>
        <v>0.85</v>
      </c>
      <c r="EH187" s="4">
        <f>MIN(1,MAX(0.7,(1-0.1*(BZ187-1*N187)/N187)))</f>
        <v>0.90496453900709217</v>
      </c>
      <c r="EI187" s="4">
        <f>MIN(1,MAX(0.7,1-0.3*(PI()*AM187^2/4*AQ187*2-0.25*PI()/4*N187^2)/(PI()/4*N187^2)))</f>
        <v>1</v>
      </c>
      <c r="EJ187" s="4">
        <f>IF(EH187*EI187&lt;0.7,0.7,EH187*EI187)</f>
        <v>0.90496453900709217</v>
      </c>
      <c r="EL187" s="4">
        <f>MIN(DU187/N187*3*K187+EM187-FJ187,MAX(J187,AJ187))</f>
        <v>599.85779152352256</v>
      </c>
      <c r="EM187" s="25">
        <f>13.3*Q187*K187^0.5*M187^0.5/X187/N187^2*(0.7+S187/5/K187)</f>
        <v>309.09967174756156</v>
      </c>
      <c r="EO187" s="4">
        <f>EG187*EJ187</f>
        <v>0.76921985815602834</v>
      </c>
      <c r="EP187" s="4">
        <f>IF(N187&lt;22.2,1.1*5*(M187/30)^0.5,IF(N187&gt;=31.8,0.9*5*(M187/30)^0.5,1*5*(M187/30)^0.5))/EG187/EJ187</f>
        <v>7.0514095095305276</v>
      </c>
      <c r="ES187" s="4">
        <f>ET187*N187</f>
        <v>91.308142429905971</v>
      </c>
      <c r="ET187" s="4">
        <f>AF187^0.5</f>
        <v>2.5495097567963922</v>
      </c>
      <c r="EU187" s="4">
        <f>MIN(EC187)/(4700*M187^0.5)/AE187*ES187</f>
        <v>6.6624920202088572E-2</v>
      </c>
      <c r="EX187" s="4">
        <f>EU187</f>
        <v>6.6624920202088572E-2</v>
      </c>
      <c r="EY187" s="4">
        <f>MIN(0.999, EX187/(0.3*(M187/30)^0.5))</f>
        <v>0.18424747146163692</v>
      </c>
      <c r="EZ187" s="4">
        <f>EP187/1*EY187^0.4</f>
        <v>3.5845657560795767</v>
      </c>
      <c r="FA187" s="4">
        <f>EP187/1.4*(1-EY187^1.4)/(1-EY187)</f>
        <v>5.5960269016319009</v>
      </c>
      <c r="FB187" s="4">
        <f>MAX(0,DQ187*FB$9-ES187)</f>
        <v>277.88085757009401</v>
      </c>
      <c r="FC187" s="4">
        <f>MAX(0,DQ187-ES187-FB187)</f>
        <v>123.06299999999999</v>
      </c>
      <c r="FD187" s="4">
        <f>FC187/(1-0.3*(M187/30)^0.5)/200000/N187</f>
        <v>2.6912597390312449E-5</v>
      </c>
      <c r="FE187" s="4">
        <f>MAX(0.5*EP187, (1-2*FD187*(ES187*EZ187+FB187*FA187))/(1/EP187+FD187*FC187))</f>
        <v>6.192368046741124</v>
      </c>
      <c r="FF187" s="4">
        <f>MIN(4/N187*(1*EZ187*ES187+FA187*FB187+FC187*FE187)+EC187,MAX(J187,AJ187))</f>
        <v>419.87261741822215</v>
      </c>
      <c r="FO187" s="23">
        <f>IF(CU187&lt;0.6,0.6,IF(CU187&lt;0.8,0.8,IF(CU187&lt;1,1,IF(CU187&lt;1.2,1.2,IF(CU187&lt;1.4,1.4,IF(CU187&lt;1.6,1.6,IF(CU187&lt;1.8,1.8,IF(CU187&lt;2,2,2.2))))))))</f>
        <v>1.8</v>
      </c>
      <c r="FP187" s="23">
        <f>IF(CV187&lt;0.6,0.6,IF(CV187&lt;0.8,0.8,IF(CV187&lt;1,1,IF(CV187&lt;1.2,1.2,IF(CV187&lt;1.4,1.4,IF(CV187&lt;1.6,1.6,IF(CV187&lt;1.8,1.8,IF(CV187&lt;2,2,2.2))))))))</f>
        <v>1.4</v>
      </c>
      <c r="FQ187" s="23">
        <f>IF(DA187&lt;0.6,0.6,IF(DA187&lt;0.8,0.8,IF(DA187&lt;1,1,IF(DA187&lt;1.2,1.2,IF(DA187&lt;1.4,1.4,IF(DA187&lt;1.6,1.6,IF(DA187&lt;1.8,1.8,IF(DA187&lt;2,2,2.2))))))))</f>
        <v>1.4</v>
      </c>
      <c r="FR187" s="23">
        <f>IF(CX187&lt;0.6,0.6,IF(CX187&lt;0.8,0.8,IF(CX187&lt;1,1,IF(CX187&lt;1.2,1.2,IF(CX187&lt;1.4,1.4,IF(CX187&lt;1.6,1.6,IF(CX187&lt;1.8,1.8,IF(CX187&lt;2,2,2.2))))))))</f>
        <v>2.2000000000000002</v>
      </c>
      <c r="FS187" s="23">
        <f>IF(CY187&lt;0.6,0.6,IF(CY187&lt;0.8,0.8,IF(CY187&lt;1,1,IF(CY187&lt;1.2,1.2,IF(CY187&lt;1.4,1.4,IF(CY187&lt;1.6,1.6,IF(CY187&lt;1.8,1.8,IF(CY187&lt;2,2,2.2))))))))</f>
        <v>2</v>
      </c>
      <c r="FT187" s="23">
        <f>IF(CZ187&lt;0.6,0.6,IF(CZ187&lt;0.8,0.8,IF(CZ187&lt;1,1,IF(CZ187&lt;1.2,1.2,IF(CZ187&lt;1.4,1.4,IF(CZ187&lt;1.6,1.6,IF(CZ187&lt;1.8,1.8,IF(CZ187&lt;2,2,2.2))))))))</f>
        <v>1.4</v>
      </c>
      <c r="FU187" s="23">
        <f>IF(FS187&lt;1,1,0)</f>
        <v>0</v>
      </c>
      <c r="FV187" s="23"/>
      <c r="GF187" s="4">
        <f>IF(S187&gt;=2.5*25.4,1,1.25)</f>
        <v>1</v>
      </c>
      <c r="GG187" s="4">
        <f>IF(AO187&gt;1, 0.05*(18-MIN(8,(W187+N187)/N187))*(1-48000/MAX(60000,(J187*145))*(N187/25.4)^0.75*GH187), 1/12*(14-MIN(8,(W187+N187)/N187)))</f>
        <v>0.5</v>
      </c>
      <c r="GH187" s="4">
        <f>MIN(0.3, AM187^2*PI()/4*2*AP187/(N187^2*PI()/4*X187))</f>
        <v>0</v>
      </c>
      <c r="GI187" s="4">
        <f>(K187/25.4)/(N187/25.4)^1.5/0.0024*(M187*145)^0.25/GF187/GG187/145</f>
        <v>593.13714854989644</v>
      </c>
    </row>
    <row r="188" spans="1:196" ht="12" customHeight="1" x14ac:dyDescent="0.3">
      <c r="A188" s="25">
        <v>430</v>
      </c>
      <c r="B188" s="4" t="s">
        <v>605</v>
      </c>
      <c r="C188" s="4">
        <v>2016</v>
      </c>
      <c r="D188" s="4" t="s">
        <v>309</v>
      </c>
      <c r="E188" s="14" t="s">
        <v>680</v>
      </c>
      <c r="F188" s="14"/>
      <c r="G188" s="14">
        <v>26</v>
      </c>
      <c r="H188" s="48" t="s">
        <v>602</v>
      </c>
      <c r="I188" s="5">
        <f>K188/N188</f>
        <v>13.744680851063832</v>
      </c>
      <c r="J188" s="78">
        <f>115.9/0.145</f>
        <v>799.31034482758628</v>
      </c>
      <c r="K188" s="91">
        <f>19.38*25.4</f>
        <v>492.25199999999995</v>
      </c>
      <c r="L188" s="4">
        <f>K188</f>
        <v>492.25199999999995</v>
      </c>
      <c r="M188" s="38">
        <f>5430/145</f>
        <v>37.448275862068968</v>
      </c>
      <c r="N188" s="38">
        <f>1.41*25.4</f>
        <v>35.813999999999993</v>
      </c>
      <c r="O188" s="7">
        <f>K188/N188</f>
        <v>13.744680851063832</v>
      </c>
      <c r="P188" s="7">
        <f>L188/N188</f>
        <v>13.744680851063832</v>
      </c>
      <c r="Q188" s="38">
        <f>21.8*25.4</f>
        <v>553.72</v>
      </c>
      <c r="R188" s="32">
        <f>S188/N188</f>
        <v>1.8085106382978726</v>
      </c>
      <c r="S188" s="38">
        <f>2.55*25.4</f>
        <v>64.77</v>
      </c>
      <c r="T188" s="32">
        <f>U188/N188</f>
        <v>2.6950354609929081</v>
      </c>
      <c r="U188" s="39">
        <f>3.8*25.4</f>
        <v>96.52</v>
      </c>
      <c r="V188" s="32">
        <f>W188/N188</f>
        <v>4.4219858156028389</v>
      </c>
      <c r="W188" s="7">
        <f>(Q188-X188*N188-2*S188)/(X188-1)</f>
        <v>158.36900000000003</v>
      </c>
      <c r="X188" s="38">
        <v>3</v>
      </c>
      <c r="Y188" s="7">
        <f>AN188</f>
        <v>12</v>
      </c>
      <c r="Z188" s="32">
        <f>AA188/N188</f>
        <v>14.18439716312057</v>
      </c>
      <c r="AA188" s="4">
        <f>20*25.4</f>
        <v>508</v>
      </c>
      <c r="AB188" s="7">
        <f>MIN(S188/N188+0.5, W188/2/N188+0.5)</f>
        <v>2.3085106382978724</v>
      </c>
      <c r="AC188" s="7">
        <f>S188/N188+0.5</f>
        <v>2.3085106382978724</v>
      </c>
      <c r="AD188" s="38">
        <v>4.5</v>
      </c>
      <c r="AE188" s="4">
        <f>AD188</f>
        <v>4.5</v>
      </c>
      <c r="AF188" s="4">
        <f>AE188+1</f>
        <v>5.5</v>
      </c>
      <c r="AG188" s="7">
        <f>N188*AF188^0.5</f>
        <v>83.991275011158137</v>
      </c>
      <c r="AJ188" s="38">
        <f>AK188/0.145</f>
        <v>626.20689655172418</v>
      </c>
      <c r="AK188" s="4">
        <v>90.8</v>
      </c>
      <c r="AL188" s="4">
        <f>CY188</f>
        <v>1.8239555927677222</v>
      </c>
      <c r="AM188" s="38">
        <f>0.5*25.4</f>
        <v>12.7</v>
      </c>
      <c r="AN188" s="38">
        <v>12</v>
      </c>
      <c r="AO188" s="39">
        <f>4*25.4</f>
        <v>101.6</v>
      </c>
      <c r="AP188" s="39">
        <v>2</v>
      </c>
      <c r="AQ188" s="39">
        <f>AP188-1</f>
        <v>1</v>
      </c>
      <c r="AS188" s="4">
        <f>K188</f>
        <v>492.25199999999995</v>
      </c>
      <c r="AT188" s="4">
        <f>IF(K188*3&gt;W188+N188, Q188, (S188+N188/2)*2+1.5*K188*(2*X188-2))*(3*K188)/(9*K188^2)</f>
        <v>0.37495700034399726</v>
      </c>
      <c r="AU188" s="4">
        <f>MIN(10*M188^0.5*K188^1.5,100*3.9*M188^0.5*K188^(5/3))/(PI()/4*N188^2)/X188</f>
        <v>221.14664394977936</v>
      </c>
      <c r="AV188" s="4">
        <f>MIN(0.7+0.3*(MIN(S188,AA188)+0.5*N188)/1.5/K188,1)</f>
        <v>0.73359133126934983</v>
      </c>
      <c r="AW188" s="4">
        <v>1.25</v>
      </c>
      <c r="AX188" s="4">
        <f>AX187</f>
        <v>1</v>
      </c>
      <c r="AY188" s="38">
        <f>AT188*AV188*AW188*AX188*AU188</f>
        <v>76.037183705514991</v>
      </c>
      <c r="AZ188" s="38">
        <f>AY188</f>
        <v>76.037183705514991</v>
      </c>
      <c r="BA188" s="38">
        <f>IF(M188&lt;50, 0.3*M188^(2/3), 2.12*LN(1+0.1*(M188+8)))</f>
        <v>3.3579622250305636</v>
      </c>
      <c r="BB188" s="38">
        <f>AX188* (M188^0.5/AS188^0.5)/(PI()/4*N188^2)/X188/0.72 *(0.7+(MIN(S188,AA188)+0.5*N188)/5/K188) *(3*Q188*K188)</f>
        <v>76.037183705515019</v>
      </c>
      <c r="BC188" s="38">
        <f>AY188/BB188</f>
        <v>0.99999999999999967</v>
      </c>
      <c r="BD188" s="38">
        <f>BH188/BB188</f>
        <v>4.8236294412098992</v>
      </c>
      <c r="BE188" s="4">
        <f>IF(BD188&lt;1,1,0)</f>
        <v>0</v>
      </c>
      <c r="BF188" s="4">
        <f>L188/N188*M188^0.5/0.19</f>
        <v>442.68720810703502</v>
      </c>
      <c r="BG188" s="4">
        <f>MIN(0.6+0.4*(AC188/AB188),2)</f>
        <v>1</v>
      </c>
      <c r="BH188" s="38">
        <f>2*M188*AB188*AD188^0.5*BG188*0.7/0.7</f>
        <v>366.77519794860785</v>
      </c>
      <c r="BI188" s="4">
        <f>MAX(1-0.7*AE188/5,0.3)</f>
        <v>0.37</v>
      </c>
      <c r="BJ188" s="4">
        <f>BI188*J188*L188/(J188*N188/2.75/M188^0.5)</f>
        <v>85.582504507292555</v>
      </c>
      <c r="BK188" s="4">
        <f>BH188+BJ188</f>
        <v>452.35770245590038</v>
      </c>
      <c r="BM188" s="4">
        <f>MIN(1.5, 0.75+0.25*MIN(3,MAX(1,S188/N188))+0.4*MIN(1,(40*2*PI()*AM188^2/4/AO188/X188)/N188))</f>
        <v>1.5</v>
      </c>
      <c r="BN188" s="4">
        <f>(3*P188+30)*BM188*M188^0.5</f>
        <v>653.87504679809706</v>
      </c>
      <c r="BP188" s="4">
        <f>3.4/PI()^0.5*M188*AB188*AE188^0.5*BG188</f>
        <v>351.78226851666062</v>
      </c>
      <c r="BQ188" s="4">
        <f>8/3*AH188*AI188^2/(AG188-N188-22)/N188*(AG188^2-N188^2)/(AG188^2-(N188+22)^2)</f>
        <v>0</v>
      </c>
      <c r="BR188" s="4">
        <f>BQ188/BP188</f>
        <v>0</v>
      </c>
      <c r="BZ188" s="4">
        <f>IF(W188=0,S188,MIN(W188/2,S188))</f>
        <v>64.77</v>
      </c>
      <c r="CD188" s="9"/>
      <c r="CF188" s="9"/>
      <c r="CG188" s="9"/>
      <c r="CH188" s="9">
        <f>IF(W188=0,MIN(S188,U188),MIN(W188/2,S188,U188))</f>
        <v>64.77</v>
      </c>
      <c r="CI188" s="9">
        <f>MAX(W188/2,S188)</f>
        <v>79.184500000000014</v>
      </c>
      <c r="CJ188" s="9">
        <f>(CH188/N188)^0.5*(CI188/CH188)^0.15</f>
        <v>1.3859592972879591</v>
      </c>
      <c r="CK188" s="70">
        <f>IF(AO188&gt;1,20,0)</f>
        <v>20</v>
      </c>
      <c r="CL188" s="9">
        <f>MIN(PI()*AM188^2/4*AN188*2/X188/N188/MAX(0.01,AO188),0.05)</f>
        <v>0.05</v>
      </c>
      <c r="CM188" s="9">
        <f>MAX(0,CK188*(CL188-0.5/50))</f>
        <v>0.8</v>
      </c>
      <c r="CN188" s="9">
        <f>MIN(1,(25/N188)^0.3)</f>
        <v>0.89777220146327208</v>
      </c>
      <c r="CO188" s="9">
        <f>IF(J188&gt;=800,0.68,IF(J188&gt;=700,0.75-(J188-700)*0.07/100,IF(J188&gt;=600,0.85-(J188-600)*0.1/100,IF(J188&gt;=500,1-(J188-500)*0.15/100,1.2-(J188-400)*0.2/100))))</f>
        <v>0.68048275862068963</v>
      </c>
      <c r="CP188" s="9">
        <f>1.75*CN188*CO188*(M188/25)^0.5</f>
        <v>1.3084804487373733</v>
      </c>
      <c r="CQ188" s="9">
        <f>MIN((CJ188+CM188)*CP188,2.5*CP188,M188^0.5)</f>
        <v>2.8602850022369819</v>
      </c>
      <c r="CR188" s="40">
        <v>1</v>
      </c>
      <c r="CS188" s="9">
        <f>4*CQ188*P188+60*CQ188</f>
        <v>328.87191812954575</v>
      </c>
      <c r="CU188" s="4">
        <f>AJ188/BF188</f>
        <v>1.4145583723311854</v>
      </c>
      <c r="CV188" s="4">
        <f>AJ188/BK188</f>
        <v>1.3843179703848905</v>
      </c>
      <c r="CW188" s="4">
        <f>AJ188/BN188</f>
        <v>0.9576858753337375</v>
      </c>
      <c r="CX188" s="4">
        <f>AJ188/CS188</f>
        <v>1.9041057081226844</v>
      </c>
      <c r="CY188" s="4">
        <f>AJ188/DZ188</f>
        <v>1.8239555927677222</v>
      </c>
      <c r="CZ188" s="4">
        <f>AJ188/EL188</f>
        <v>1.3786937883911297</v>
      </c>
      <c r="DA188" s="4">
        <f>AJ188/GI188</f>
        <v>1.255358081169357</v>
      </c>
      <c r="DB188" s="4">
        <f>AN188</f>
        <v>12</v>
      </c>
      <c r="DI188" s="4">
        <f>CU188</f>
        <v>1.4145583723311854</v>
      </c>
      <c r="DJ188" s="4">
        <f>CV188</f>
        <v>1.3843179703848905</v>
      </c>
      <c r="DK188" s="4">
        <f>CX188</f>
        <v>1.9041057081226844</v>
      </c>
      <c r="DL188" s="4">
        <f>DA188</f>
        <v>1.255358081169357</v>
      </c>
      <c r="DM188" s="4">
        <f>CY188</f>
        <v>1.8239555927677222</v>
      </c>
      <c r="DN188" s="4">
        <f>CZ188</f>
        <v>1.3786937883911297</v>
      </c>
      <c r="DQ188" s="4">
        <f>L188</f>
        <v>492.25199999999995</v>
      </c>
      <c r="DT188" s="4">
        <f>K188/4/(1-0.3*(M188/30)^0.5)/200000/N188</f>
        <v>2.584281465310651E-5</v>
      </c>
      <c r="DU188" s="4">
        <f>EP188</f>
        <v>6.438104078551774</v>
      </c>
      <c r="DV188" s="4">
        <f>EC188*AG188/257/M188/AD188</f>
        <v>0.14746288710286884</v>
      </c>
      <c r="DW188" s="4">
        <f>DU188*DV188^0.4</f>
        <v>2.993857231356285</v>
      </c>
      <c r="DX188" s="4">
        <f>MIN(DU188, DU188/1.4*(1-DV188^1.4)/(1-DV188))</f>
        <v>5.0241811486860319</v>
      </c>
      <c r="DY188" s="4">
        <f>MAX(DU188/2, (4-DT188*(8*AG188*(DW188-DX188)+6*K188*DX188))/(4+DT188*K188*DU188)*DU188)</f>
        <v>5.7596962463778905</v>
      </c>
      <c r="DZ188" s="38">
        <f>MIN(1/N188*(4*AG188*(DW188-DX188)+(3*DX188+DY188)*K188)+EC188 -FJ188,MAX(J188,AJ188))</f>
        <v>343.32354309213196</v>
      </c>
      <c r="EA188" s="4">
        <f>DZ188/FF188</f>
        <v>1.000104654307161</v>
      </c>
      <c r="EB188" s="4">
        <f>AG188/N188</f>
        <v>2.3452078799117149</v>
      </c>
      <c r="EC188" s="4">
        <f>MIN(EB$10*BB188)</f>
        <v>76.037183705515019</v>
      </c>
      <c r="EG188" s="4">
        <f>IF(U188&gt;1*N188,0.85,1)</f>
        <v>0.85</v>
      </c>
      <c r="EH188" s="4">
        <f>MIN(1,MAX(0.7,(1-0.1*(BZ188-1*N188)/N188)))</f>
        <v>0.91914893617021276</v>
      </c>
      <c r="EI188" s="4">
        <f>MIN(1,MAX(0.7,1-0.3*(PI()*AM188^2/4*AQ188*2-0.25*PI()/4*N188^2)/(PI()/4*N188^2)))</f>
        <v>0.9995510789195714</v>
      </c>
      <c r="EJ188" s="4">
        <f>IF(EH188*EI188&lt;0.7,0.7,EH188*EI188)</f>
        <v>0.91873631083671248</v>
      </c>
      <c r="EL188" s="4">
        <f>MIN(DU188/N188*3*K188+EM188-FJ188,MAX(J188,AJ188))</f>
        <v>454.20303030630026</v>
      </c>
      <c r="EM188" s="25">
        <f>13.3*Q188*K188^0.5*M188^0.5/X188/N188^2*(0.7+S188/5/K188)</f>
        <v>188.73397276942069</v>
      </c>
      <c r="EO188" s="4">
        <f>EG188*EJ188</f>
        <v>0.78092586421120558</v>
      </c>
      <c r="EP188" s="4">
        <f>IF(N188&lt;22.2,1.1*5*(M188/30)^0.5,IF(N188&gt;=31.8,0.9*5*(M188/30)^0.5,1*5*(M188/30)^0.5))/EG188/EJ188</f>
        <v>6.438104078551774</v>
      </c>
      <c r="ES188" s="4">
        <f>ET188*N188</f>
        <v>83.991275011158137</v>
      </c>
      <c r="ET188" s="4">
        <f>AF188^0.5</f>
        <v>2.3452078799117149</v>
      </c>
      <c r="EU188" s="4">
        <f>MIN(EC188)/(4700*M188^0.5)/AE188*ES188</f>
        <v>4.9343949953764052E-2</v>
      </c>
      <c r="EX188" s="4">
        <f>EU188</f>
        <v>4.9343949953764052E-2</v>
      </c>
      <c r="EY188" s="4">
        <f>MIN(0.999, EX188/(0.3*(M188/30)^0.5))</f>
        <v>0.14721679902764023</v>
      </c>
      <c r="EZ188" s="4">
        <f>EP188/1*EY188^0.4</f>
        <v>2.9918577540436764</v>
      </c>
      <c r="FA188" s="4">
        <f>EP188/1.4*(1-EY188^1.4)/(1-EY188)</f>
        <v>5.0235949686498795</v>
      </c>
      <c r="FB188" s="4">
        <f>MAX(0,DQ188*FB$9-ES188)</f>
        <v>285.19772498884186</v>
      </c>
      <c r="FC188" s="4">
        <f>MAX(0,DQ188-ES188-FB188)</f>
        <v>123.06299999999999</v>
      </c>
      <c r="FD188" s="4">
        <f>FC188/(1-0.3*(M188/30)^0.5)/200000/N188</f>
        <v>2.584281465310651E-5</v>
      </c>
      <c r="FE188" s="4">
        <f>MAX(0.5*EP188, (1-2*FD188*(ES188*EZ188+FB188*FA188))/(1/EP188+FD188*FC188))</f>
        <v>5.7598055212704722</v>
      </c>
      <c r="FF188" s="4">
        <f>MIN(4/N188*(1*EZ188*ES188+FA188*FB188+FC188*FE188)+EC188,MAX(J188,AJ188))</f>
        <v>343.28761656446346</v>
      </c>
      <c r="FI188" s="4">
        <f>6.75*25.4</f>
        <v>171.45</v>
      </c>
      <c r="FO188" s="23">
        <f>IF(CU188&lt;0.6,0.6,IF(CU188&lt;0.8,0.8,IF(CU188&lt;1,1,IF(CU188&lt;1.2,1.2,IF(CU188&lt;1.4,1.4,IF(CU188&lt;1.6,1.6,IF(CU188&lt;1.8,1.8,IF(CU188&lt;2,2,2.2))))))))</f>
        <v>1.6</v>
      </c>
      <c r="FP188" s="23">
        <f>IF(CV188&lt;0.6,0.6,IF(CV188&lt;0.8,0.8,IF(CV188&lt;1,1,IF(CV188&lt;1.2,1.2,IF(CV188&lt;1.4,1.4,IF(CV188&lt;1.6,1.6,IF(CV188&lt;1.8,1.8,IF(CV188&lt;2,2,2.2))))))))</f>
        <v>1.4</v>
      </c>
      <c r="FQ188" s="23">
        <f>IF(DA188&lt;0.6,0.6,IF(DA188&lt;0.8,0.8,IF(DA188&lt;1,1,IF(DA188&lt;1.2,1.2,IF(DA188&lt;1.4,1.4,IF(DA188&lt;1.6,1.6,IF(DA188&lt;1.8,1.8,IF(DA188&lt;2,2,2.2))))))))</f>
        <v>1.4</v>
      </c>
      <c r="FR188" s="23">
        <f>IF(CX188&lt;0.6,0.6,IF(CX188&lt;0.8,0.8,IF(CX188&lt;1,1,IF(CX188&lt;1.2,1.2,IF(CX188&lt;1.4,1.4,IF(CX188&lt;1.6,1.6,IF(CX188&lt;1.8,1.8,IF(CX188&lt;2,2,2.2))))))))</f>
        <v>2</v>
      </c>
      <c r="FS188" s="23">
        <f>IF(CY188&lt;0.6,0.6,IF(CY188&lt;0.8,0.8,IF(CY188&lt;1,1,IF(CY188&lt;1.2,1.2,IF(CY188&lt;1.4,1.4,IF(CY188&lt;1.6,1.6,IF(CY188&lt;1.8,1.8,IF(CY188&lt;2,2,2.2))))))))</f>
        <v>2</v>
      </c>
      <c r="FT188" s="23">
        <f>IF(CZ188&lt;0.6,0.6,IF(CZ188&lt;0.8,0.8,IF(CZ188&lt;1,1,IF(CZ188&lt;1.2,1.2,IF(CZ188&lt;1.4,1.4,IF(CZ188&lt;1.6,1.6,IF(CZ188&lt;1.8,1.8,IF(CZ188&lt;2,2,2.2))))))))</f>
        <v>1.4</v>
      </c>
      <c r="FU188" s="23">
        <f>IF(FS188&lt;1,1,0)</f>
        <v>0</v>
      </c>
      <c r="FV188" s="23"/>
      <c r="GF188" s="4">
        <f>IF(S188&gt;=2.5*25.4,1,1.25)</f>
        <v>1</v>
      </c>
      <c r="GG188" s="4">
        <f>IF(AO188&gt;1, 0.05*(18-MIN(8,(W188+N188)/N188))*(1-48000/MAX(60000,(J188*145))*(N188/25.4)^0.75*GH188), 1/12*(14-MIN(8,(W188+N188)/N188)))</f>
        <v>0.57239468642161906</v>
      </c>
      <c r="GH188" s="4">
        <f>MIN(0.3, AM188^2*PI()/4*2*AP188/(N188^2*PI()/4*X188))</f>
        <v>0.16766426906761905</v>
      </c>
      <c r="GI188" s="4">
        <f>(K188/25.4)/(N188/25.4)^1.5/0.0024*(M188*145)^0.25/GF188/GG188/145</f>
        <v>498.82731146193521</v>
      </c>
    </row>
    <row r="189" spans="1:196" ht="12" customHeight="1" x14ac:dyDescent="0.3">
      <c r="A189" s="25">
        <v>429</v>
      </c>
      <c r="B189" s="4" t="s">
        <v>605</v>
      </c>
      <c r="C189" s="4">
        <v>2016</v>
      </c>
      <c r="D189" s="4" t="s">
        <v>309</v>
      </c>
      <c r="E189" s="14" t="s">
        <v>680</v>
      </c>
      <c r="F189" s="14"/>
      <c r="G189" s="14">
        <v>11</v>
      </c>
      <c r="H189" s="7" t="s">
        <v>601</v>
      </c>
      <c r="I189" s="5">
        <f>K189/N189</f>
        <v>13.680851063829788</v>
      </c>
      <c r="J189" s="90">
        <f>135/0.145</f>
        <v>931.0344827586207</v>
      </c>
      <c r="K189" s="91">
        <f>19.29*25.4</f>
        <v>489.96599999999995</v>
      </c>
      <c r="L189" s="4">
        <f>K189</f>
        <v>489.96599999999995</v>
      </c>
      <c r="M189" s="92">
        <f>6320/145</f>
        <v>43.586206896551722</v>
      </c>
      <c r="N189" s="38">
        <f>1.41*25.4</f>
        <v>35.813999999999993</v>
      </c>
      <c r="O189" s="7">
        <f>K189/N189</f>
        <v>13.680851063829788</v>
      </c>
      <c r="P189" s="7">
        <f>L189/N189</f>
        <v>13.680851063829788</v>
      </c>
      <c r="Q189" s="38">
        <f>21.9*25.4</f>
        <v>556.25999999999988</v>
      </c>
      <c r="R189" s="32">
        <f>S189/N189</f>
        <v>1.9858156028368796</v>
      </c>
      <c r="S189" s="38">
        <f>2.8*25.4</f>
        <v>71.11999999999999</v>
      </c>
      <c r="T189" s="32">
        <f>U189/N189</f>
        <v>2.4468085106382982</v>
      </c>
      <c r="U189" s="39">
        <f>3.45*25.4</f>
        <v>87.63</v>
      </c>
      <c r="V189" s="32">
        <f>W189/N189</f>
        <v>4.2801418439716299</v>
      </c>
      <c r="W189" s="7">
        <f>(Q189-X189*N189-2*S189)/(X189-1)</f>
        <v>153.28899999999993</v>
      </c>
      <c r="X189" s="38">
        <v>3</v>
      </c>
      <c r="Y189" s="7">
        <f>AN189</f>
        <v>0</v>
      </c>
      <c r="Z189" s="32">
        <f>AA189/N189</f>
        <v>14.18439716312057</v>
      </c>
      <c r="AA189" s="4">
        <f>20*25.4</f>
        <v>508</v>
      </c>
      <c r="AB189" s="7">
        <f>MIN(S189/N189+0.5, W189/2/N189+0.5)</f>
        <v>2.4858156028368796</v>
      </c>
      <c r="AC189" s="7">
        <f>S189/N189+0.5</f>
        <v>2.4858156028368796</v>
      </c>
      <c r="AD189" s="38">
        <v>5.5</v>
      </c>
      <c r="AE189" s="4">
        <f>AD189</f>
        <v>5.5</v>
      </c>
      <c r="AF189" s="4">
        <f>AE189+1</f>
        <v>6.5</v>
      </c>
      <c r="AG189" s="7">
        <f>N189*AF189^0.5</f>
        <v>91.308142429905971</v>
      </c>
      <c r="AJ189" s="38">
        <f>AK189/0.145</f>
        <v>607.58620689655174</v>
      </c>
      <c r="AK189" s="4">
        <v>88.1</v>
      </c>
      <c r="AL189" s="4">
        <f>CY189</f>
        <v>1.6528810129954532</v>
      </c>
      <c r="AM189" s="38">
        <v>0</v>
      </c>
      <c r="AN189" s="38">
        <v>0</v>
      </c>
      <c r="AO189" s="39">
        <f>L189</f>
        <v>489.96599999999995</v>
      </c>
      <c r="AP189" s="39"/>
      <c r="AQ189" s="39"/>
      <c r="AR189" s="7"/>
      <c r="AS189" s="4">
        <f>K189</f>
        <v>489.96599999999995</v>
      </c>
      <c r="AT189" s="4">
        <f>IF(K189*3&gt;W189+N189, Q189, (S189+N189/2)*2+1.5*K189*(2*X189-2))*(3*K189)/(9*K189^2)</f>
        <v>0.37843442198030064</v>
      </c>
      <c r="AU189" s="4">
        <f>MIN(10*M189^0.5*K189^1.5,100*3.9*M189^0.5*K189^(5/3))/(PI()/4*N189^2)/X189</f>
        <v>236.92269264234707</v>
      </c>
      <c r="AV189" s="4">
        <f>MIN(0.7+0.3*(MIN(S189,AA189)+0.5*N189)/1.5/K189,1)</f>
        <v>0.73634007257646439</v>
      </c>
      <c r="AW189" s="4">
        <v>1.25</v>
      </c>
      <c r="AX189" s="4">
        <f>AX188</f>
        <v>1</v>
      </c>
      <c r="AY189" s="38">
        <f>AT189*AV189*AW189*AX189*AU189</f>
        <v>82.525039572027183</v>
      </c>
      <c r="AZ189" s="38">
        <f>AY189</f>
        <v>82.525039572027183</v>
      </c>
      <c r="BA189" s="38">
        <f>IF(M189&lt;50, 0.3*M189^(2/3), 2.12*LN(1+0.1*(M189+8)))</f>
        <v>3.7155288579258352</v>
      </c>
      <c r="BB189" s="38">
        <f>AX189* (M189^0.5/AS189^0.5)/(PI()/4*N189^2)/X189/0.72 *(0.7+(MIN(S189,AA189)+0.5*N189)/5/K189) *(3*Q189*K189)</f>
        <v>82.525039572027211</v>
      </c>
      <c r="BC189" s="38">
        <f>AY189/BB189</f>
        <v>0.99999999999999967</v>
      </c>
      <c r="BD189" s="38">
        <f>BH189/BB189</f>
        <v>6.1580553036383856</v>
      </c>
      <c r="BE189" s="4">
        <f>IF(BD189&lt;1,1,0)</f>
        <v>0</v>
      </c>
      <c r="BF189" s="4">
        <f>L189/N189*M189^0.5/0.19</f>
        <v>475.37249737633783</v>
      </c>
      <c r="BG189" s="4">
        <f>MIN(0.6+0.4*(AC189/AB189),2)</f>
        <v>1</v>
      </c>
      <c r="BH189" s="38">
        <f>2*M189*AB189*AD189^0.5*BG189*0.7/0.7</f>
        <v>508.19375761948982</v>
      </c>
      <c r="BI189" s="4">
        <f>MAX(1-0.7*AE189/5,0.3)</f>
        <v>0.3</v>
      </c>
      <c r="BJ189" s="4">
        <f>BI189*J189*L189/(J189*N189/2.75/M189^0.5)</f>
        <v>74.514638963740964</v>
      </c>
      <c r="BK189" s="4">
        <f>BH189+BJ189</f>
        <v>582.70839658323075</v>
      </c>
      <c r="BM189" s="4">
        <f>MIN(1.5, 0.75+0.25*MIN(3,MAX(1,S189/N189))+0.4*MIN(1,(40*2*PI()*AM189^2/4/AO189/X189)/N189))</f>
        <v>1.2464539007092199</v>
      </c>
      <c r="BN189" s="4">
        <f>(3*P189+30)*BM189*M189^0.5</f>
        <v>584.61414645596142</v>
      </c>
      <c r="BP189" s="4">
        <f>3.4/PI()^0.5*M189*AB189*AE189^0.5*BG189</f>
        <v>487.41996160394592</v>
      </c>
      <c r="BQ189" s="4">
        <f>8/3*AH189*AI189^2/(AG189-N189-22)/N189*(AG189^2-N189^2)/(AG189^2-(N189+22)^2)</f>
        <v>0</v>
      </c>
      <c r="BR189" s="4">
        <f>BQ189/BP189</f>
        <v>0</v>
      </c>
      <c r="BZ189" s="4">
        <f>IF(W189=0,S189,MIN(W189/2,S189))</f>
        <v>71.11999999999999</v>
      </c>
      <c r="CD189" s="9"/>
      <c r="CF189" s="9"/>
      <c r="CG189" s="9"/>
      <c r="CH189" s="9">
        <f>IF(W189=0,MIN(S189,U189),MIN(W189/2,S189,U189))</f>
        <v>71.11999999999999</v>
      </c>
      <c r="CI189" s="9">
        <f>MAX(W189/2,S189)</f>
        <v>76.644499999999965</v>
      </c>
      <c r="CJ189" s="9">
        <f>(CH189/N189)^0.5*(CI189/CH189)^0.15</f>
        <v>1.4250918174124854</v>
      </c>
      <c r="CK189" s="70">
        <f>IF(AO189&gt;1,20,0)</f>
        <v>20</v>
      </c>
      <c r="CL189" s="9">
        <f>MIN(PI()*AM189^2/4*AN189*2/X189/N189/MAX(0.01,AO189),0.05)</f>
        <v>0</v>
      </c>
      <c r="CM189" s="9">
        <f>MAX(0,CK189*(CL189-0.5/50))</f>
        <v>0</v>
      </c>
      <c r="CN189" s="9">
        <f>MIN(1,(25/N189)^0.3)</f>
        <v>0.89777220146327208</v>
      </c>
      <c r="CO189" s="9">
        <f>IF(J189&gt;=800,0.68,IF(J189&gt;=700,0.75-(J189-700)*0.07/100,IF(J189&gt;=600,0.85-(J189-600)*0.1/100,IF(J189&gt;=500,1-(J189-500)*0.15/100,1.2-(J189-400)*0.2/100))))</f>
        <v>0.68</v>
      </c>
      <c r="CP189" s="9">
        <f>1.75*CN189*CO189*(M189/25)^0.5</f>
        <v>1.4106447240551518</v>
      </c>
      <c r="CQ189" s="9">
        <f>MIN((CJ189+CM189)*CP189,2.5*CP189,M189^0.5)</f>
        <v>2.0102982535270901</v>
      </c>
      <c r="CR189" s="40">
        <v>1</v>
      </c>
      <c r="CS189" s="9">
        <f>4*CQ189*P189+60*CQ189</f>
        <v>230.62825921315044</v>
      </c>
      <c r="CU189" s="4">
        <f>AJ189/BF189</f>
        <v>1.2781265433947568</v>
      </c>
      <c r="CV189" s="4">
        <f>AJ189/BK189</f>
        <v>1.0426934131363037</v>
      </c>
      <c r="CW189" s="4">
        <f>AJ189/BN189</f>
        <v>1.0392943971333077</v>
      </c>
      <c r="CX189" s="4">
        <f>AJ189/CS189</f>
        <v>2.6344829075564871</v>
      </c>
      <c r="CY189" s="4">
        <f>AJ189/DZ189</f>
        <v>1.6528810129954532</v>
      </c>
      <c r="CZ189" s="4">
        <f>AJ189/EL189</f>
        <v>1.2265000402860071</v>
      </c>
      <c r="DA189" s="4">
        <f>AJ189/GI189</f>
        <v>1.3090510837932749</v>
      </c>
      <c r="DB189" s="4">
        <f>AN189</f>
        <v>0</v>
      </c>
      <c r="DC189" s="4">
        <f>CU189</f>
        <v>1.2781265433947568</v>
      </c>
      <c r="DD189" s="4">
        <f>CV189</f>
        <v>1.0426934131363037</v>
      </c>
      <c r="DE189" s="4">
        <f>CX189</f>
        <v>2.6344829075564871</v>
      </c>
      <c r="DF189" s="4">
        <f>DA189</f>
        <v>1.3090510837932749</v>
      </c>
      <c r="DG189" s="4">
        <f>CY189</f>
        <v>1.6528810129954532</v>
      </c>
      <c r="DH189" s="4">
        <f>CZ189</f>
        <v>1.2265000402860071</v>
      </c>
      <c r="DQ189" s="4">
        <f>L189</f>
        <v>489.96599999999995</v>
      </c>
      <c r="DT189" s="4">
        <f>K189/4/(1-0.3*(M189/30)^0.5)/200000/N189</f>
        <v>2.6787616287880659E-5</v>
      </c>
      <c r="DU189" s="4">
        <f>EP189</f>
        <v>7.0791491220778546</v>
      </c>
      <c r="DV189" s="4">
        <f>EC189*AG189/257/M189/AD189</f>
        <v>0.12230673140053884</v>
      </c>
      <c r="DW189" s="4">
        <f>DU189*DV189^0.4</f>
        <v>3.0546482317149386</v>
      </c>
      <c r="DX189" s="4">
        <f>MIN(DU189, DU189/1.4*(1-DV189^1.4)/(1-DV189))</f>
        <v>5.4571172292330328</v>
      </c>
      <c r="DY189" s="4">
        <f>MAX(DU189/2, (4-DT189*(8*AG189*(DW189-DX189)+6*K189*DX189))/(4+DT189*K189*DU189)*DU189)</f>
        <v>6.2564552500311486</v>
      </c>
      <c r="DZ189" s="38">
        <f>MIN(1/N189*(4*AG189*(DW189-DX189)+(3*DX189+DY189)*K189)+EC189 -FJ189,MAX(J189,AJ189))</f>
        <v>367.59222358991616</v>
      </c>
      <c r="EA189" s="4">
        <f>DZ189/FF189</f>
        <v>1.0000987974040545</v>
      </c>
      <c r="EB189" s="4">
        <f>AG189/N189</f>
        <v>2.5495097567963922</v>
      </c>
      <c r="EC189" s="4">
        <f>MIN(EB$10*BB189)</f>
        <v>82.525039572027211</v>
      </c>
      <c r="EG189" s="4">
        <f>IF(U189&gt;1*N189,0.85,1)</f>
        <v>0.85</v>
      </c>
      <c r="EH189" s="4">
        <f>MIN(1,MAX(0.7,(1-0.1*(BZ189-1*N189)/N189)))</f>
        <v>0.90141843971631208</v>
      </c>
      <c r="EI189" s="4">
        <f>MIN(1,MAX(0.7,1-0.3*(PI()*AM189^2/4*AQ189*2-0.25*PI()/4*N189^2)/(PI()/4*N189^2)))</f>
        <v>1</v>
      </c>
      <c r="EJ189" s="4">
        <f>IF(EH189*EI189&lt;0.7,0.7,EH189*EI189)</f>
        <v>0.90141843971631208</v>
      </c>
      <c r="EL189" s="4">
        <f>MIN(DU189/N189*3*K189+EM189-FJ189,MAX(J189,AJ189))</f>
        <v>495.38213366456063</v>
      </c>
      <c r="EM189" s="25">
        <f>13.3*Q189*K189^0.5*M189^0.5/X189/N189^2*(0.7+S189/5/K189)</f>
        <v>204.83577927119507</v>
      </c>
      <c r="EO189" s="4">
        <f>EG189*EJ189</f>
        <v>0.76620567375886528</v>
      </c>
      <c r="EP189" s="4">
        <f>IF(N189&lt;22.2,1.1*5*(M189/30)^0.5,IF(N189&gt;=31.8,0.9*5*(M189/30)^0.5,1*5*(M189/30)^0.5))/EG189/EJ189</f>
        <v>7.0791491220778546</v>
      </c>
      <c r="ES189" s="4">
        <f>ET189*N189</f>
        <v>91.308142429905971</v>
      </c>
      <c r="ET189" s="4">
        <f>AF189^0.5</f>
        <v>2.5495097567963922</v>
      </c>
      <c r="EU189" s="4">
        <f>MIN(EC189)/(4700*M189^0.5)/AE189*ES189</f>
        <v>4.4152994520356696E-2</v>
      </c>
      <c r="EX189" s="4">
        <f>EU189</f>
        <v>4.4152994520356696E-2</v>
      </c>
      <c r="EY189" s="4">
        <f>MIN(0.999, EX189/(0.3*(M189/30)^0.5))</f>
        <v>0.12210262426070737</v>
      </c>
      <c r="EZ189" s="4">
        <f>EP189/1*EY189^0.4</f>
        <v>3.0526081545284423</v>
      </c>
      <c r="FA189" s="4">
        <f>EP189/1.4*(1-EY189^1.4)/(1-EY189)</f>
        <v>5.4565584290229392</v>
      </c>
      <c r="FB189" s="4">
        <f>MAX(0,DQ189*FB$9-ES189)</f>
        <v>276.16635757009402</v>
      </c>
      <c r="FC189" s="4">
        <f>MAX(0,DQ189-ES189-FB189)</f>
        <v>122.49149999999997</v>
      </c>
      <c r="FD189" s="4">
        <f>FC189/(1-0.3*(M189/30)^0.5)/200000/N189</f>
        <v>2.6787616287880659E-5</v>
      </c>
      <c r="FE189" s="4">
        <f>MAX(0.5*EP189, (1-2*FD189*(ES189*EZ189+FB189*FA189))/(1/EP189+FD189*FC189))</f>
        <v>6.2565814949554293</v>
      </c>
      <c r="FF189" s="4">
        <f>MIN(4/N189*(1*EZ189*ES189+FA189*FB189+FC189*FE189)+EC189,MAX(J189,AJ189))</f>
        <v>367.55591002016126</v>
      </c>
      <c r="FO189" s="23">
        <f>IF(CU189&lt;0.6,0.6,IF(CU189&lt;0.8,0.8,IF(CU189&lt;1,1,IF(CU189&lt;1.2,1.2,IF(CU189&lt;1.4,1.4,IF(CU189&lt;1.6,1.6,IF(CU189&lt;1.8,1.8,IF(CU189&lt;2,2,2.2))))))))</f>
        <v>1.4</v>
      </c>
      <c r="FP189" s="23">
        <f>IF(CV189&lt;0.6,0.6,IF(CV189&lt;0.8,0.8,IF(CV189&lt;1,1,IF(CV189&lt;1.2,1.2,IF(CV189&lt;1.4,1.4,IF(CV189&lt;1.6,1.6,IF(CV189&lt;1.8,1.8,IF(CV189&lt;2,2,2.2))))))))</f>
        <v>1.2</v>
      </c>
      <c r="FQ189" s="23">
        <f>IF(DA189&lt;0.6,0.6,IF(DA189&lt;0.8,0.8,IF(DA189&lt;1,1,IF(DA189&lt;1.2,1.2,IF(DA189&lt;1.4,1.4,IF(DA189&lt;1.6,1.6,IF(DA189&lt;1.8,1.8,IF(DA189&lt;2,2,2.2))))))))</f>
        <v>1.4</v>
      </c>
      <c r="FR189" s="23">
        <f>IF(CX189&lt;0.6,0.6,IF(CX189&lt;0.8,0.8,IF(CX189&lt;1,1,IF(CX189&lt;1.2,1.2,IF(CX189&lt;1.4,1.4,IF(CX189&lt;1.6,1.6,IF(CX189&lt;1.8,1.8,IF(CX189&lt;2,2,2.2))))))))</f>
        <v>2.2000000000000002</v>
      </c>
      <c r="FS189" s="23">
        <f>IF(CY189&lt;0.6,0.6,IF(CY189&lt;0.8,0.8,IF(CY189&lt;1,1,IF(CY189&lt;1.2,1.2,IF(CY189&lt;1.4,1.4,IF(CY189&lt;1.6,1.6,IF(CY189&lt;1.8,1.8,IF(CY189&lt;2,2,2.2))))))))</f>
        <v>1.8</v>
      </c>
      <c r="FT189" s="23">
        <f>IF(CZ189&lt;0.6,0.6,IF(CZ189&lt;0.8,0.8,IF(CZ189&lt;1,1,IF(CZ189&lt;1.2,1.2,IF(CZ189&lt;1.4,1.4,IF(CZ189&lt;1.6,1.6,IF(CZ189&lt;1.8,1.8,IF(CZ189&lt;2,2,2.2))))))))</f>
        <v>1.4</v>
      </c>
      <c r="FU189" s="23">
        <f>IF(FS189&lt;1,1,0)</f>
        <v>0</v>
      </c>
      <c r="FV189" s="23"/>
      <c r="GF189" s="4">
        <f>IF(S189&gt;=2.5*25.4,1,1.25)</f>
        <v>1</v>
      </c>
      <c r="GG189" s="4">
        <f>IF(AO189&gt;1, 0.05*(18-MIN(8,(W189+N189)/N189))*(1-48000/MAX(60000,(J189*145))*(N189/25.4)^0.75*GH189), 1/12*(14-MIN(8,(W189+N189)/N189)))</f>
        <v>0.63599290780141848</v>
      </c>
      <c r="GH189" s="4">
        <f>MIN(0.3, AM189^2*PI()/4*2*AP189/(N189^2*PI()/4*X189))</f>
        <v>0</v>
      </c>
      <c r="GI189" s="4">
        <f>(K189/25.4)/(N189/25.4)^1.5/0.0024*(M189*145)^0.25/GF189/GG189/145</f>
        <v>464.14247268023468</v>
      </c>
    </row>
    <row r="190" spans="1:196" ht="12" hidden="1" customHeight="1" x14ac:dyDescent="0.35">
      <c r="A190" s="25">
        <v>227</v>
      </c>
      <c r="B190" s="24" t="s">
        <v>660</v>
      </c>
      <c r="C190" s="24">
        <v>2002</v>
      </c>
      <c r="D190" s="24" t="s">
        <v>309</v>
      </c>
      <c r="E190" s="24"/>
      <c r="F190" s="24"/>
      <c r="G190" s="24"/>
      <c r="H190" s="7" t="s">
        <v>362</v>
      </c>
      <c r="I190" s="7"/>
      <c r="J190" s="7">
        <v>506</v>
      </c>
      <c r="K190" s="7">
        <v>190</v>
      </c>
      <c r="L190" s="7">
        <f>K190</f>
        <v>190</v>
      </c>
      <c r="M190" s="7">
        <v>27.1</v>
      </c>
      <c r="N190" s="7">
        <v>19.100000000000001</v>
      </c>
      <c r="O190" s="7">
        <f>K190/N190</f>
        <v>9.9476439790575917</v>
      </c>
      <c r="P190" s="7">
        <f>L190/N190</f>
        <v>9.9476439790575917</v>
      </c>
      <c r="Q190" s="7">
        <v>240</v>
      </c>
      <c r="R190" s="7"/>
      <c r="S190" s="7">
        <f>63-N190/2</f>
        <v>53.45</v>
      </c>
      <c r="T190" s="7"/>
      <c r="U190" s="7">
        <f>400-N190-L190</f>
        <v>190.89999999999998</v>
      </c>
      <c r="V190" s="7"/>
      <c r="W190" s="7">
        <f>114-N190</f>
        <v>94.9</v>
      </c>
      <c r="X190" s="7">
        <v>2</v>
      </c>
      <c r="Y190" s="7"/>
      <c r="Z190" s="7"/>
      <c r="AA190" s="7"/>
      <c r="AB190" s="7">
        <f>MIN(S190/N190+0.5, W190/2/N190+0.5)</f>
        <v>2.9842931937172774</v>
      </c>
      <c r="AC190" s="7">
        <f>S190/N190+0.5</f>
        <v>3.2984293193717278</v>
      </c>
      <c r="AD190" s="7">
        <f>32^2/(PI()/4*N190^2)-1</f>
        <v>2.5739077706444626</v>
      </c>
      <c r="AE190" s="7">
        <f>32^2/(PI()/4*N190^2)-1</f>
        <v>2.5739077706444626</v>
      </c>
      <c r="AF190" s="7">
        <f>AE190+1</f>
        <v>3.5739077706444626</v>
      </c>
      <c r="AG190" s="7">
        <f>N190*AF190^0.5</f>
        <v>36.108133347056402</v>
      </c>
      <c r="AH190" s="7"/>
      <c r="AI190" s="7"/>
      <c r="AJ190" s="7">
        <f>302/(PI()/4*N190^2)*1000/X190</f>
        <v>527.0117903977673</v>
      </c>
      <c r="AK190" s="7"/>
      <c r="AL190" s="4">
        <f>CY190</f>
        <v>1.4229368949330605</v>
      </c>
      <c r="AM190" s="7">
        <v>9.5</v>
      </c>
      <c r="AN190" s="10">
        <v>3</v>
      </c>
      <c r="AO190" s="7">
        <v>57</v>
      </c>
      <c r="AP190" s="7">
        <v>4</v>
      </c>
      <c r="AQ190" s="7">
        <f>AN190</f>
        <v>3</v>
      </c>
      <c r="AR190" s="7"/>
      <c r="AS190" s="4">
        <f>K190</f>
        <v>190</v>
      </c>
      <c r="AT190" s="4">
        <f>IF(K190*3&gt;W190+N190, Q190, (S190+N190/2)*2+1.5*K190*(2*X190-2))*(3*K190)/(9*K190^2)</f>
        <v>0.42105263157894735</v>
      </c>
      <c r="AU190" s="4">
        <f>MIN(10*M190^0.5*K190^1.5,100*3.9*M190^0.5*K190^(5/3))/(PI()/4*N190^2)/X190</f>
        <v>237.91862175035638</v>
      </c>
      <c r="AV190" s="4">
        <f>MIN(0.7+0.3*(MIN(S190,AA190)+0.5*N190)/1.5/K190,1)</f>
        <v>0.76631578947368417</v>
      </c>
      <c r="AW190" s="4">
        <v>1.25</v>
      </c>
      <c r="AX190" s="4">
        <f>AX189</f>
        <v>1</v>
      </c>
      <c r="AY190" s="38">
        <f>AT190*AV190*AW190*AX190*AU190</f>
        <v>95.958313924797466</v>
      </c>
      <c r="AZ190" s="38">
        <f>AY190</f>
        <v>95.958313924797466</v>
      </c>
      <c r="BA190" s="38">
        <f>IF(M190&lt;50, 0.3*M190^(2/3), 2.12*LN(1+0.1*(M190+8)))</f>
        <v>2.7066625581997639</v>
      </c>
      <c r="BB190" s="38">
        <f>AX190* (M190^0.5/AS190^0.5)/(PI()/4*N190^2)/X190/0.72 *(0.7+(MIN(S190,AA190)+0.5*N190)/5/K190) *(3*Q190*K190)</f>
        <v>95.958313924797437</v>
      </c>
      <c r="BC190" s="38">
        <f>AY190/BB190</f>
        <v>1.0000000000000002</v>
      </c>
      <c r="BD190" s="38">
        <f>BH190/BB190</f>
        <v>2.8181638933565973</v>
      </c>
      <c r="BE190" s="4">
        <f>IF(BD190&lt;1,1,0)</f>
        <v>0</v>
      </c>
      <c r="BF190" s="4">
        <f>L190/N190*M190^0.5/0.19</f>
        <v>272.55319549362031</v>
      </c>
      <c r="BG190" s="4">
        <f>MIN(0.6+0.4*(AC190/AB190),2)</f>
        <v>1.0421052631578949</v>
      </c>
      <c r="BH190" s="38">
        <f>2*M190*AB190*AD190^0.5*BG190*0.7/0.7</f>
        <v>270.42625557024172</v>
      </c>
      <c r="BI190" s="4">
        <f>MAX(1-0.7*AE190/5,0.3)</f>
        <v>0.63965291210977526</v>
      </c>
      <c r="BJ190" s="4">
        <f>BI190*J190*L190/(J190*N190/2.75/M190^0.5)</f>
        <v>91.092360118211744</v>
      </c>
      <c r="BK190" s="4">
        <f>BH190+BJ190</f>
        <v>361.51861568845345</v>
      </c>
      <c r="BM190" s="4">
        <f>MIN(1.5, 0.75+0.25*MIN(3,MAX(1,S190/N190))+0.4*MIN(1,(40*2*PI()*AM190^2/4/AO190/X190)/N190))</f>
        <v>1.5</v>
      </c>
      <c r="BN190" s="4">
        <f>(3*P190+30)*BM190*M190^0.5</f>
        <v>467.29245367381208</v>
      </c>
      <c r="BP190" s="4">
        <f>3.4/PI()^0.5*M190*AB190*AE190^0.5*BG190</f>
        <v>259.37185006794141</v>
      </c>
      <c r="BQ190" s="4">
        <f>8/3*AH190*AI190^2/(AG190-N190-22)/N190*(AG190^2-N190^2)/(AG190^2-(N190+22)^2)</f>
        <v>0</v>
      </c>
      <c r="BR190" s="4">
        <f>BQ190/BP190</f>
        <v>0</v>
      </c>
      <c r="BZ190" s="4">
        <f>IF(W190=0,S190,MIN(W190/2,S190))</f>
        <v>47.45</v>
      </c>
      <c r="CD190" s="9"/>
      <c r="CF190" s="9"/>
      <c r="CG190" s="9"/>
      <c r="CH190" s="9">
        <f>IF(W190=0,MIN(S190,U190),MIN(W190/2,S190,U190))</f>
        <v>47.45</v>
      </c>
      <c r="CI190" s="9">
        <f>MAX(W190/2,S190)</f>
        <v>53.45</v>
      </c>
      <c r="CJ190" s="9">
        <f>(CH190/N190)^0.5*(CI190/CH190)^0.15</f>
        <v>1.6045680808545388</v>
      </c>
      <c r="CK190" s="70">
        <v>20</v>
      </c>
      <c r="CL190" s="9">
        <f>MIN(PI()*AM190^2/4*AN190*2/X190/N190/MAX(0.01,AO190),0.05)</f>
        <v>0.05</v>
      </c>
      <c r="CM190" s="9">
        <f>MAX(0,CK190*(CL190-0.5/50))</f>
        <v>0.8</v>
      </c>
      <c r="CN190" s="9">
        <f>MIN(1,(25/N190)^0.3)</f>
        <v>1</v>
      </c>
      <c r="CO190" s="9">
        <f>IF(J190&gt;=800,0.68,IF(J190&gt;=700,0.75-(J190-700)*0.07/100,IF(J190&gt;=600,0.85-(J190-600)*0.1/100,IF(J190&gt;=500,1-(J190-500)*0.15/100,1.2-(J190-400)*0.2/100))))</f>
        <v>0.99099999999999999</v>
      </c>
      <c r="CP190" s="9">
        <f>1.75*CN190*CO190*(M190/25)^0.5</f>
        <v>1.8056199488679785</v>
      </c>
      <c r="CQ190" s="9">
        <f>MIN((CJ190+CM190)*CP190,2.5*CP190,M190^0.5)</f>
        <v>4.3417360952021458</v>
      </c>
      <c r="CR190" s="9">
        <v>1</v>
      </c>
      <c r="CS190" s="9">
        <f>4*CQ190*P190+60*CQ190</f>
        <v>433.2643454165073</v>
      </c>
      <c r="CU190" s="4">
        <f>AJ190/BF190</f>
        <v>1.9336107560335067</v>
      </c>
      <c r="CV190" s="4">
        <f>AJ190/BK190</f>
        <v>1.4577722073707298</v>
      </c>
      <c r="CW190" s="4">
        <f>AJ190/BN190</f>
        <v>1.127798632857105</v>
      </c>
      <c r="CX190" s="4">
        <f>AJ190/CS190</f>
        <v>1.2163747051263551</v>
      </c>
      <c r="CY190" s="4">
        <f>AJ190/DZ190</f>
        <v>1.4229368949330605</v>
      </c>
      <c r="CZ190" s="4">
        <f>AJ190/EL190</f>
        <v>1.0548719413632073</v>
      </c>
      <c r="DA190" s="4">
        <f>AJ190/GI190</f>
        <v>1.2777689637862957</v>
      </c>
      <c r="DI190" s="4">
        <f>CU190</f>
        <v>1.9336107560335067</v>
      </c>
      <c r="DJ190" s="4">
        <f>CV190</f>
        <v>1.4577722073707298</v>
      </c>
      <c r="DK190" s="4">
        <f>CX190</f>
        <v>1.2163747051263551</v>
      </c>
      <c r="DL190" s="4">
        <f>DA190</f>
        <v>1.2777689637862957</v>
      </c>
      <c r="DM190" s="4">
        <f>CY190</f>
        <v>1.4229368949330605</v>
      </c>
      <c r="DN190" s="4">
        <f>CZ190</f>
        <v>1.0548719413632073</v>
      </c>
      <c r="DP190" s="4">
        <f>AN190</f>
        <v>3</v>
      </c>
      <c r="DQ190" s="4">
        <f>L190</f>
        <v>190</v>
      </c>
      <c r="DT190" s="4">
        <f>K190/4/(1-0.3*(M190/30)^0.5)/200000/N190</f>
        <v>1.7394186230005775E-5</v>
      </c>
      <c r="DU190" s="4">
        <f>EP190</f>
        <v>8.7855659228692318</v>
      </c>
      <c r="DV190" s="4">
        <f>EC190*AG190/257/M190/AD190</f>
        <v>0.19328237382366786</v>
      </c>
      <c r="DW190" s="4">
        <f>DU190*DV190^0.4</f>
        <v>4.5524652789303683</v>
      </c>
      <c r="DX190" s="4">
        <f>MIN(DU190, DU190/1.4*(1-DV190^1.4)/(1-DV190))</f>
        <v>6.9998422978725046</v>
      </c>
      <c r="DY190" s="4">
        <f>MAX(DU190/2, (4-DT190*(8*AG190*(DW190-DX190)+6*K190*DX190))/(4+DT190*K190*DU190)*DU190)</f>
        <v>8.4463993235039485</v>
      </c>
      <c r="DZ190" s="38">
        <f>MIN(1/N190*(4*AG190*(DW190-DX190)+(3*DX190+DY190)*K190)+EC190 -FJ190,MAX(J190,AJ190))</f>
        <v>370.3690531002498</v>
      </c>
      <c r="EA190" s="4">
        <f>DZ190/FF190</f>
        <v>1.0001192286808744</v>
      </c>
      <c r="EB190" s="4">
        <f>AG190/N190</f>
        <v>1.8904781857097592</v>
      </c>
      <c r="EC190" s="4">
        <f>MIN(EB$10*BB190)</f>
        <v>95.958313924797437</v>
      </c>
      <c r="EG190" s="4">
        <f>IF(U190&gt;1*N190,0.85,1)</f>
        <v>0.85</v>
      </c>
      <c r="EH190" s="4">
        <f>MIN(1,MAX(0.7,(1-0.1*(BZ190-1*N190)/N190)))</f>
        <v>0.85157068062827224</v>
      </c>
      <c r="EI190" s="4">
        <f>MIN(1,MAX(0.7,1-0.3*(PI()*AM190^2/4*AQ190*2-0.25*PI()/4*N190^2)/(PI()/4*N190^2)))</f>
        <v>0.7</v>
      </c>
      <c r="EJ190" s="4">
        <f>IF(EH190*EI190&lt;0.7,0.7,EH190*EI190)</f>
        <v>0.7</v>
      </c>
      <c r="EL190" s="4">
        <f>MIN(DU190/N190*3*K190+EM190-FJ190,MAX(J190,AJ190))</f>
        <v>499.59788457043589</v>
      </c>
      <c r="EM190" s="25">
        <f>13.3*Q190*K190^0.5*M190^0.5/X190/N190^2*(0.7+S190/5/K190)</f>
        <v>237.4108387047049</v>
      </c>
      <c r="EO190" s="4">
        <f>EG190*EJ190</f>
        <v>0.59499999999999997</v>
      </c>
      <c r="EP190" s="4">
        <f>IF(N190&lt;22.2,1.1*5*(M190/30)^0.5,IF(N190&gt;=31.8,0.9*5*(M190/30)^0.5,1*5*(M190/30)^0.5))/EG190/EJ190</f>
        <v>8.7855659228692318</v>
      </c>
      <c r="ES190" s="4">
        <f>ET190*N190</f>
        <v>36.108133347056402</v>
      </c>
      <c r="ET190" s="4">
        <f>AF190^0.5</f>
        <v>1.8904781857097592</v>
      </c>
      <c r="EU190" s="4">
        <f>MIN(EC190)/(4700*M190^0.5)/AE190*ES190</f>
        <v>5.5018932737940653E-2</v>
      </c>
      <c r="EX190" s="4">
        <f>EU190</f>
        <v>5.5018932737940653E-2</v>
      </c>
      <c r="EY190" s="4">
        <f>MIN(0.999, EX190/(0.3*(M190/30)^0.5))</f>
        <v>0.19295982156469374</v>
      </c>
      <c r="EZ190" s="4">
        <f>EP190/1*EY190^0.4</f>
        <v>4.5494248697397346</v>
      </c>
      <c r="FA190" s="4">
        <f>EP190/1.4*(1-EY190^1.4)/(1-EY190)</f>
        <v>6.9988635396016576</v>
      </c>
      <c r="FB190" s="4">
        <f>MAX(0,DQ190*FB$9-ES190)</f>
        <v>106.39186665294361</v>
      </c>
      <c r="FC190" s="4">
        <f>MAX(0,DQ190-ES190-FB190)</f>
        <v>47.5</v>
      </c>
      <c r="FD190" s="4">
        <f>FC190/(1-0.3*(M190/30)^0.5)/200000/N190</f>
        <v>1.7394186230005775E-5</v>
      </c>
      <c r="FE190" s="4">
        <f>MAX(0.5*EP190, (1-2*FD190*(ES190*EZ190+FB190*FA190))/(1/EP190+FD190*FC190))</f>
        <v>8.4464642324945043</v>
      </c>
      <c r="FF190" s="4">
        <f>MIN(4/N190*(1*EZ190*ES190+FA190*FB190+FC190*FE190)+EC190,MAX(J190,AJ190))</f>
        <v>370.32489975095751</v>
      </c>
      <c r="FO190" s="23">
        <f>IF(CU190&lt;0.6,0.6,IF(CU190&lt;0.8,0.8,IF(CU190&lt;1,1,IF(CU190&lt;1.2,1.2,IF(CU190&lt;1.4,1.4,IF(CU190&lt;1.6,1.6,IF(CU190&lt;1.8,1.8,IF(CU190&lt;2,2,2.2))))))))</f>
        <v>2</v>
      </c>
      <c r="FP190" s="23">
        <f>IF(CV190&lt;0.6,0.6,IF(CV190&lt;0.8,0.8,IF(CV190&lt;1,1,IF(CV190&lt;1.2,1.2,IF(CV190&lt;1.4,1.4,IF(CV190&lt;1.6,1.6,IF(CV190&lt;1.8,1.8,IF(CV190&lt;2,2,2.2))))))))</f>
        <v>1.6</v>
      </c>
      <c r="FQ190" s="23">
        <f>IF(DA190&lt;0.6,0.6,IF(DA190&lt;0.8,0.8,IF(DA190&lt;1,1,IF(DA190&lt;1.2,1.2,IF(DA190&lt;1.4,1.4,IF(DA190&lt;1.6,1.6,IF(DA190&lt;1.8,1.8,IF(DA190&lt;2,2,2.2))))))))</f>
        <v>1.4</v>
      </c>
      <c r="FR190" s="23">
        <f>IF(CX190&lt;0.6,0.6,IF(CX190&lt;0.8,0.8,IF(CX190&lt;1,1,IF(CX190&lt;1.2,1.2,IF(CX190&lt;1.4,1.4,IF(CX190&lt;1.6,1.6,IF(CX190&lt;1.8,1.8,IF(CX190&lt;2,2,2.2))))))))</f>
        <v>1.4</v>
      </c>
      <c r="FS190" s="23">
        <f>IF(CY190&lt;0.6,0.6,IF(CY190&lt;0.8,0.8,IF(CY190&lt;1,1,IF(CY190&lt;1.2,1.2,IF(CY190&lt;1.4,1.4,IF(CY190&lt;1.6,1.6,IF(CY190&lt;1.8,1.8,IF(CY190&lt;2,2,2.2))))))))</f>
        <v>1.6</v>
      </c>
      <c r="FT190" s="23">
        <f>IF(CZ190&lt;0.6,0.6,IF(CZ190&lt;0.8,0.8,IF(CZ190&lt;1,1,IF(CZ190&lt;1.2,1.2,IF(CZ190&lt;1.4,1.4,IF(CZ190&lt;1.6,1.6,IF(CZ190&lt;1.8,1.8,IF(CZ190&lt;2,2,2.2))))))))</f>
        <v>1.2</v>
      </c>
      <c r="FU190" s="23">
        <f>IF(FS190&lt;1,1,0)</f>
        <v>0</v>
      </c>
      <c r="FV190" s="23"/>
      <c r="GF190" s="4">
        <f>IF(S190&gt;=2.5*25.4,1,1.25)</f>
        <v>1.25</v>
      </c>
      <c r="GG190" s="4">
        <f>IF(AO190&gt;1, 0.05*(18-MIN(8,(W190+N190)/N190))*(1-48000/MAX(60000,(J190*145))*(N190/25.4)^0.75*GH190), 1/12*(14-MIN(8,(W190+N190)/N190)))</f>
        <v>0.50622953362009215</v>
      </c>
      <c r="GH190" s="4">
        <f>MIN(0.3, AM190^2*PI()/4*2*AP190/(N190^2*PI()/4*X190))</f>
        <v>0.3</v>
      </c>
      <c r="GI190" s="4">
        <f>(K190/25.4)/(N190/25.4)^1.5/0.0024*(M190*145)^0.25/GF190/GG190/145</f>
        <v>412.44685489630422</v>
      </c>
    </row>
    <row r="191" spans="1:196" ht="12" customHeight="1" thickBot="1" x14ac:dyDescent="0.35">
      <c r="A191" s="25">
        <v>431</v>
      </c>
      <c r="B191" s="4" t="s">
        <v>605</v>
      </c>
      <c r="C191" s="4">
        <v>2016</v>
      </c>
      <c r="D191" s="4" t="s">
        <v>309</v>
      </c>
      <c r="E191" s="14" t="s">
        <v>680</v>
      </c>
      <c r="F191" s="14"/>
      <c r="G191" s="14">
        <v>11</v>
      </c>
      <c r="H191" s="7" t="s">
        <v>609</v>
      </c>
      <c r="I191" s="5">
        <f>K191/N191</f>
        <v>13.652482269503549</v>
      </c>
      <c r="J191" s="90">
        <f>135/0.145</f>
        <v>931.0344827586207</v>
      </c>
      <c r="K191" s="91">
        <f>19.25*25.4</f>
        <v>488.95</v>
      </c>
      <c r="L191" s="4">
        <f>K191</f>
        <v>488.95</v>
      </c>
      <c r="M191" s="92">
        <f>6320/145</f>
        <v>43.586206896551722</v>
      </c>
      <c r="N191" s="38">
        <f>1.41*25.4</f>
        <v>35.813999999999993</v>
      </c>
      <c r="O191" s="7">
        <f>K191/N191</f>
        <v>13.652482269503549</v>
      </c>
      <c r="P191" s="7">
        <f>L191/N191</f>
        <v>13.652482269503549</v>
      </c>
      <c r="Q191" s="38">
        <f>21.8*25.4</f>
        <v>553.72</v>
      </c>
      <c r="R191" s="32">
        <f>S191/N191</f>
        <v>1.9148936170212769</v>
      </c>
      <c r="S191" s="38">
        <f>2.7*25.4</f>
        <v>68.58</v>
      </c>
      <c r="T191" s="32">
        <f>U191/N191</f>
        <v>2.4113475177304968</v>
      </c>
      <c r="U191" s="39">
        <f>3.4*25.4</f>
        <v>86.36</v>
      </c>
      <c r="V191" s="32">
        <f>W191/N191</f>
        <v>4.3156028368794344</v>
      </c>
      <c r="W191" s="7">
        <f>(Q191-X191*N191-2*S191)/(X191-1)</f>
        <v>154.55900000000003</v>
      </c>
      <c r="X191" s="38">
        <v>3</v>
      </c>
      <c r="Y191" s="7">
        <f>AN191</f>
        <v>12</v>
      </c>
      <c r="Z191" s="32">
        <f>AA191/N191</f>
        <v>14.18439716312057</v>
      </c>
      <c r="AA191" s="4">
        <f>20*25.4</f>
        <v>508</v>
      </c>
      <c r="AB191" s="7">
        <f>MIN(S191/N191+0.5, W191/2/N191+0.5)</f>
        <v>2.4148936170212769</v>
      </c>
      <c r="AC191" s="7">
        <f>S191/N191+0.5</f>
        <v>2.4148936170212769</v>
      </c>
      <c r="AD191" s="38">
        <v>5.5</v>
      </c>
      <c r="AE191" s="4">
        <f>AD191</f>
        <v>5.5</v>
      </c>
      <c r="AF191" s="4">
        <f>AE191+1</f>
        <v>6.5</v>
      </c>
      <c r="AG191" s="7">
        <f>N191*AF191^0.5</f>
        <v>91.308142429905971</v>
      </c>
      <c r="AJ191" s="38">
        <f>AK191/0.145</f>
        <v>675.86206896551732</v>
      </c>
      <c r="AK191" s="4">
        <v>98</v>
      </c>
      <c r="AL191" s="4">
        <f>CY191</f>
        <v>1.8554105991258989</v>
      </c>
      <c r="AM191" s="38">
        <f>0.5*25.4</f>
        <v>12.7</v>
      </c>
      <c r="AN191" s="38">
        <v>12</v>
      </c>
      <c r="AO191" s="39">
        <f>4*25.4</f>
        <v>101.6</v>
      </c>
      <c r="AP191" s="39">
        <v>2</v>
      </c>
      <c r="AQ191" s="39">
        <f>AP191-1</f>
        <v>1</v>
      </c>
      <c r="AS191" s="4">
        <f>K191</f>
        <v>488.95</v>
      </c>
      <c r="AT191" s="4">
        <f>IF(K191*3&gt;W191+N191, Q191, (S191+N191/2)*2+1.5*K191*(2*X191-2))*(3*K191)/(9*K191^2)</f>
        <v>0.37748917748917754</v>
      </c>
      <c r="AU191" s="4">
        <f>MIN(10*M191^0.5*K191^1.5,100*3.9*M191^0.5*K191^(5/3))/(PI()/4*N191^2)/X191</f>
        <v>236.18614574140781</v>
      </c>
      <c r="AV191" s="4">
        <f>MIN(0.7+0.3*(MIN(S191,AA191)+0.5*N191)/1.5/K191,1)</f>
        <v>0.73537662337662335</v>
      </c>
      <c r="AW191" s="4">
        <v>1.25</v>
      </c>
      <c r="AX191" s="4">
        <f>AX190</f>
        <v>1</v>
      </c>
      <c r="AY191" s="38">
        <f>AT191*AV191*AW191*AX191*AU191</f>
        <v>81.955623235750892</v>
      </c>
      <c r="AZ191" s="38">
        <f>AY191</f>
        <v>81.955623235750892</v>
      </c>
      <c r="BA191" s="38">
        <f>IF(M191&lt;50, 0.3*M191^(2/3), 2.12*LN(1+0.1*(M191+8)))</f>
        <v>3.7155288579258352</v>
      </c>
      <c r="BB191" s="38">
        <f>AX191* (M191^0.5/AS191^0.5)/(PI()/4*N191^2)/X191/0.72 *(0.7+(MIN(S191,AA191)+0.5*N191)/5/K191) *(3*Q191*K191)</f>
        <v>81.955623235750835</v>
      </c>
      <c r="BC191" s="38">
        <f>AY191/BB191</f>
        <v>1.0000000000000007</v>
      </c>
      <c r="BD191" s="38">
        <f>BH191/BB191</f>
        <v>6.0239264798878693</v>
      </c>
      <c r="BE191" s="4">
        <f>IF(BD191&lt;1,1,0)</f>
        <v>0</v>
      </c>
      <c r="BF191" s="4">
        <f>L191/N191*M191^0.5/0.19</f>
        <v>474.38675865705051</v>
      </c>
      <c r="BG191" s="4">
        <f>MIN(0.6+0.4*(AC191/AB191),2)</f>
        <v>1</v>
      </c>
      <c r="BH191" s="38">
        <f>2*M191*AB191*AD191^0.5*BG191*0.7/0.7</f>
        <v>493.69464898555299</v>
      </c>
      <c r="BI191" s="4">
        <f>MAX(1-0.7*AE191/5,0.3)</f>
        <v>0.3</v>
      </c>
      <c r="BJ191" s="4">
        <f>BI191*J191*L191/(J191*N191/2.75/M191^0.5)</f>
        <v>74.360124419492692</v>
      </c>
      <c r="BK191" s="4">
        <f>BH191+BJ191</f>
        <v>568.05477340504569</v>
      </c>
      <c r="BM191" s="4">
        <f>MIN(1.5, 0.75+0.25*MIN(3,MAX(1,S191/N191))+0.4*MIN(1,(40*2*PI()*AM191^2/4/AO191/X191)/N191))</f>
        <v>1.5</v>
      </c>
      <c r="BN191" s="4">
        <f>(3*P191+30)*BM191*M191^0.5</f>
        <v>702.69000691100257</v>
      </c>
      <c r="BP191" s="4">
        <f>3.4/PI()^0.5*M191*AB191*AE191^0.5*BG191</f>
        <v>473.51354329855519</v>
      </c>
      <c r="BQ191" s="4">
        <f>8/3*AH191*AI191^2/(AG191-N191-22)/N191*(AG191^2-N191^2)/(AG191^2-(N191+22)^2)</f>
        <v>0</v>
      </c>
      <c r="BR191" s="4">
        <f>BQ191/BP191</f>
        <v>0</v>
      </c>
      <c r="BZ191" s="4">
        <f>IF(W191=0,S191,MIN(W191/2,S191))</f>
        <v>68.58</v>
      </c>
      <c r="CD191" s="9"/>
      <c r="CF191" s="9"/>
      <c r="CG191" s="9"/>
      <c r="CH191" s="9">
        <f>IF(W191=0,MIN(S191,U191),MIN(W191/2,S191,U191))</f>
        <v>68.58</v>
      </c>
      <c r="CI191" s="9">
        <f>MAX(W191/2,S191)</f>
        <v>77.279500000000013</v>
      </c>
      <c r="CJ191" s="9">
        <f>(CH191/N191)^0.5*(CI191/CH191)^0.15</f>
        <v>1.4088097518045952</v>
      </c>
      <c r="CK191" s="70">
        <f>IF(AO191&gt;1,20,0)</f>
        <v>20</v>
      </c>
      <c r="CL191" s="9">
        <f>MIN(PI()*AM191^2/4*AN191*2/X191/N191/MAX(0.01,AO191),0.05)</f>
        <v>0.05</v>
      </c>
      <c r="CM191" s="9">
        <f>MAX(0,CK191*(CL191-0.5/50))</f>
        <v>0.8</v>
      </c>
      <c r="CN191" s="9">
        <f>MIN(1,(25/N191)^0.3)</f>
        <v>0.89777220146327208</v>
      </c>
      <c r="CO191" s="9">
        <f>IF(J191&gt;=800,0.68,IF(J191&gt;=700,0.75-(J191-700)*0.07/100,IF(J191&gt;=600,0.85-(J191-600)*0.1/100,IF(J191&gt;=500,1-(J191-500)*0.15/100,1.2-(J191-400)*0.2/100))))</f>
        <v>0.68</v>
      </c>
      <c r="CP191" s="9">
        <f>1.75*CN191*CO191*(M191/25)^0.5</f>
        <v>1.4106447240551518</v>
      </c>
      <c r="CQ191" s="9">
        <f>MIN((CJ191+CM191)*CP191,2.5*CP191,M191^0.5)</f>
        <v>3.1158458228247214</v>
      </c>
      <c r="CR191" s="40">
        <v>1</v>
      </c>
      <c r="CS191" s="9">
        <f>4*CQ191*P191+60*CQ191</f>
        <v>357.1068687719681</v>
      </c>
      <c r="CU191" s="4">
        <f>AJ191/BF191</f>
        <v>1.4247068591855867</v>
      </c>
      <c r="CV191" s="4">
        <f>AJ191/BK191</f>
        <v>1.1897832755004432</v>
      </c>
      <c r="CW191" s="4">
        <f>AJ191/BN191</f>
        <v>0.96182109083432143</v>
      </c>
      <c r="CX191" s="4">
        <f>AJ191/CS191</f>
        <v>1.8926045060115926</v>
      </c>
      <c r="CY191" s="4">
        <f>AJ191/DZ191</f>
        <v>1.8554105991258989</v>
      </c>
      <c r="CZ191" s="4">
        <f>AJ191/EL191</f>
        <v>1.375870186901017</v>
      </c>
      <c r="DA191" s="4">
        <f>AJ191/GI191</f>
        <v>1.3428672695579413</v>
      </c>
      <c r="DB191" s="4">
        <f>AN191</f>
        <v>12</v>
      </c>
      <c r="DI191" s="4">
        <f>CU191</f>
        <v>1.4247068591855867</v>
      </c>
      <c r="DJ191" s="4">
        <f>CV191</f>
        <v>1.1897832755004432</v>
      </c>
      <c r="DK191" s="4">
        <f>CX191</f>
        <v>1.8926045060115926</v>
      </c>
      <c r="DL191" s="4">
        <f>DA191</f>
        <v>1.3428672695579413</v>
      </c>
      <c r="DM191" s="4">
        <f>CY191</f>
        <v>1.8554105991258989</v>
      </c>
      <c r="DN191" s="4">
        <f>CZ191</f>
        <v>1.375870186901017</v>
      </c>
      <c r="DQ191" s="4">
        <f>L191</f>
        <v>488.95</v>
      </c>
      <c r="DT191" s="4">
        <f>K191/4/(1-0.3*(M191/30)^0.5)/200000/N191</f>
        <v>2.6732069131244309E-5</v>
      </c>
      <c r="DU191" s="4">
        <f>EP191</f>
        <v>7.0270410303808131</v>
      </c>
      <c r="DV191" s="4">
        <f>EC191*AG191/257/M191/AD191</f>
        <v>0.12146282449352973</v>
      </c>
      <c r="DW191" s="4">
        <f>DU191*DV191^0.4</f>
        <v>3.0237775601112937</v>
      </c>
      <c r="DX191" s="4">
        <f>MIN(DU191, DU191/1.4*(1-DV191^1.4)/(1-DV191))</f>
        <v>5.4146537586758008</v>
      </c>
      <c r="DY191" s="4">
        <f>MAX(DU191/2, (4-DT191*(8*AG191*(DW191-DX191)+6*K191*DX191))/(4+DT191*K191*DU191)*DU191)</f>
        <v>6.2202411417048245</v>
      </c>
      <c r="DZ191" s="38">
        <f>MIN(1/N191*(4*AG191*(DW191-DX191)+(3*DX191+DY191)*K191)+EC191 -FJ191,MAX(J191,AJ191))</f>
        <v>364.26549966024891</v>
      </c>
      <c r="EA191" s="4">
        <f>DZ191/FF191</f>
        <v>1.0000985069941488</v>
      </c>
      <c r="EB191" s="4">
        <f>AG191/N191</f>
        <v>2.5495097567963922</v>
      </c>
      <c r="EC191" s="4">
        <f>MIN(EB$10*BB191)</f>
        <v>81.955623235750835</v>
      </c>
      <c r="EG191" s="4">
        <f>IF(U191&gt;1*N191,0.85,1)</f>
        <v>0.85</v>
      </c>
      <c r="EH191" s="4">
        <f>MIN(1,MAX(0.7,(1-0.1*(BZ191-1*N191)/N191)))</f>
        <v>0.90851063829787226</v>
      </c>
      <c r="EI191" s="4">
        <f>MIN(1,MAX(0.7,1-0.3*(PI()*AM191^2/4*AQ191*2-0.25*PI()/4*N191^2)/(PI()/4*N191^2)))</f>
        <v>0.9995510789195714</v>
      </c>
      <c r="EJ191" s="4">
        <f>IF(EH191*EI191&lt;0.7,0.7,EH191*EI191)</f>
        <v>0.90810278872054673</v>
      </c>
      <c r="EL191" s="4">
        <f>MIN(DU191/N191*3*K191+EM191-FJ191,MAX(J191,AJ191))</f>
        <v>491.22517182221657</v>
      </c>
      <c r="EM191" s="25">
        <f>13.3*Q191*K191^0.5*M191^0.5/X191/N191^2*(0.7+S191/5/K191)</f>
        <v>203.41551259917256</v>
      </c>
      <c r="EO191" s="4">
        <f>EG191*EJ191</f>
        <v>0.77188737041246469</v>
      </c>
      <c r="EP191" s="4">
        <f>IF(N191&lt;22.2,1.1*5*(M191/30)^0.5,IF(N191&gt;=31.8,0.9*5*(M191/30)^0.5,1*5*(M191/30)^0.5))/EG191/EJ191</f>
        <v>7.0270410303808131</v>
      </c>
      <c r="ES191" s="4">
        <f>ET191*N191</f>
        <v>91.308142429905971</v>
      </c>
      <c r="ET191" s="4">
        <f>AF191^0.5</f>
        <v>2.5495097567963922</v>
      </c>
      <c r="EU191" s="4">
        <f>MIN(EC191)/(4700*M191^0.5)/AE191*ES191</f>
        <v>4.3848342302002179E-2</v>
      </c>
      <c r="EX191" s="4">
        <f>EU191</f>
        <v>4.3848342302002179E-2</v>
      </c>
      <c r="EY191" s="4">
        <f>MIN(0.999, EX191/(0.3*(M191/30)^0.5))</f>
        <v>0.12126012567704318</v>
      </c>
      <c r="EZ191" s="4">
        <f>EP191/1*EY191^0.4</f>
        <v>3.0217581002097011</v>
      </c>
      <c r="FA191" s="4">
        <f>EP191/1.4*(1-EY191^1.4)/(1-EY191)</f>
        <v>5.4141020226878656</v>
      </c>
      <c r="FB191" s="4">
        <f>MAX(0,DQ191*FB$9-ES191)</f>
        <v>275.40435757009402</v>
      </c>
      <c r="FC191" s="4">
        <f>MAX(0,DQ191-ES191-FB191)</f>
        <v>122.23750000000001</v>
      </c>
      <c r="FD191" s="4">
        <f>FC191/(1-0.3*(M191/30)^0.5)/200000/N191</f>
        <v>2.6732069131244312E-5</v>
      </c>
      <c r="FE191" s="4">
        <f>MAX(0.5*EP191, (1-2*FD191*(ES191*EZ191+FB191*FA191))/(1/EP191+FD191*FC191))</f>
        <v>6.2203646678155042</v>
      </c>
      <c r="FF191" s="4">
        <f>MIN(4/N191*(1*EZ191*ES191+FA191*FB191+FC191*FE191)+EC191,MAX(J191,AJ191))</f>
        <v>364.22962049515399</v>
      </c>
      <c r="FO191" s="23">
        <f>IF(CU191&lt;0.6,0.6,IF(CU191&lt;0.8,0.8,IF(CU191&lt;1,1,IF(CU191&lt;1.2,1.2,IF(CU191&lt;1.4,1.4,IF(CU191&lt;1.6,1.6,IF(CU191&lt;1.8,1.8,IF(CU191&lt;2,2,2.2))))))))</f>
        <v>1.6</v>
      </c>
      <c r="FP191" s="23">
        <f>IF(CV191&lt;0.6,0.6,IF(CV191&lt;0.8,0.8,IF(CV191&lt;1,1,IF(CV191&lt;1.2,1.2,IF(CV191&lt;1.4,1.4,IF(CV191&lt;1.6,1.6,IF(CV191&lt;1.8,1.8,IF(CV191&lt;2,2,2.2))))))))</f>
        <v>1.2</v>
      </c>
      <c r="FQ191" s="23">
        <f>IF(DA191&lt;0.6,0.6,IF(DA191&lt;0.8,0.8,IF(DA191&lt;1,1,IF(DA191&lt;1.2,1.2,IF(DA191&lt;1.4,1.4,IF(DA191&lt;1.6,1.6,IF(DA191&lt;1.8,1.8,IF(DA191&lt;2,2,2.2))))))))</f>
        <v>1.4</v>
      </c>
      <c r="FR191" s="23">
        <f>IF(CX191&lt;0.6,0.6,IF(CX191&lt;0.8,0.8,IF(CX191&lt;1,1,IF(CX191&lt;1.2,1.2,IF(CX191&lt;1.4,1.4,IF(CX191&lt;1.6,1.6,IF(CX191&lt;1.8,1.8,IF(CX191&lt;2,2,2.2))))))))</f>
        <v>2</v>
      </c>
      <c r="FS191" s="23">
        <f>IF(CY191&lt;0.6,0.6,IF(CY191&lt;0.8,0.8,IF(CY191&lt;1,1,IF(CY191&lt;1.2,1.2,IF(CY191&lt;1.4,1.4,IF(CY191&lt;1.6,1.6,IF(CY191&lt;1.8,1.8,IF(CY191&lt;2,2,2.2))))))))</f>
        <v>2</v>
      </c>
      <c r="FT191" s="23">
        <f>IF(CZ191&lt;0.6,0.6,IF(CZ191&lt;0.8,0.8,IF(CZ191&lt;1,1,IF(CZ191&lt;1.2,1.2,IF(CZ191&lt;1.4,1.4,IF(CZ191&lt;1.6,1.6,IF(CZ191&lt;1.8,1.8,IF(CZ191&lt;2,2,2.2))))))))</f>
        <v>1.4</v>
      </c>
      <c r="FU191" s="23">
        <f>IF(FS191&lt;1,1,0)</f>
        <v>0</v>
      </c>
      <c r="FV191" s="23"/>
      <c r="GF191" s="4">
        <f>IF(S191&gt;=2.5*25.4,1,1.25)</f>
        <v>1</v>
      </c>
      <c r="GG191" s="4">
        <f>IF(AO191&gt;1, 0.05*(18-MIN(8,(W191+N191)/N191))*(1-48000/MAX(60000,(J191*145))*(N191/25.4)^0.75*GH191), 1/12*(14-MIN(8,(W191+N191)/N191)))</f>
        <v>0.58529808838216824</v>
      </c>
      <c r="GH191" s="4">
        <f>MIN(0.3, AM191^2*PI()/4*2*AP191/(N191^2*PI()/4*X191))</f>
        <v>0.16766426906761905</v>
      </c>
      <c r="GI191" s="4">
        <f>(K191/25.4)/(N191/25.4)^1.5/0.0024*(M191*145)^0.25/GF191/GG191/145</f>
        <v>503.29774527009243</v>
      </c>
    </row>
    <row r="192" spans="1:196" ht="12" customHeight="1" thickBot="1" x14ac:dyDescent="0.35">
      <c r="A192" s="25">
        <v>427</v>
      </c>
      <c r="B192" s="4" t="s">
        <v>605</v>
      </c>
      <c r="C192" s="4">
        <v>2016</v>
      </c>
      <c r="D192" s="4" t="s">
        <v>309</v>
      </c>
      <c r="E192" s="14" t="s">
        <v>680</v>
      </c>
      <c r="F192" s="117"/>
      <c r="G192" s="14">
        <v>11</v>
      </c>
      <c r="H192" s="7" t="s">
        <v>599</v>
      </c>
      <c r="I192" s="5">
        <f>K192/N192</f>
        <v>13.567375886524824</v>
      </c>
      <c r="J192" s="90">
        <f>135/0.145</f>
        <v>931.0344827586207</v>
      </c>
      <c r="K192" s="91">
        <f>19.13*25.4</f>
        <v>485.90199999999993</v>
      </c>
      <c r="L192" s="4">
        <f>K192</f>
        <v>485.90199999999993</v>
      </c>
      <c r="M192" s="92">
        <f>6320/145</f>
        <v>43.586206896551722</v>
      </c>
      <c r="N192" s="38">
        <f>1.41*25.4</f>
        <v>35.813999999999993</v>
      </c>
      <c r="O192" s="7">
        <f>K192/N192</f>
        <v>13.567375886524824</v>
      </c>
      <c r="P192" s="7">
        <f>L192/N192</f>
        <v>13.567375886524824</v>
      </c>
      <c r="Q192" s="38">
        <f>22.2*25.4</f>
        <v>563.88</v>
      </c>
      <c r="R192" s="32">
        <f>S192/N192</f>
        <v>1.9858156028368796</v>
      </c>
      <c r="S192" s="38">
        <f>2.8*25.4</f>
        <v>71.11999999999999</v>
      </c>
      <c r="T192" s="32">
        <f>U192/N192</f>
        <v>2.4113475177304968</v>
      </c>
      <c r="U192" s="39">
        <f>3.4*25.4</f>
        <v>86.36</v>
      </c>
      <c r="V192" s="32">
        <f>W192/N192</f>
        <v>9.7730496453900741</v>
      </c>
      <c r="W192" s="7">
        <f>(Q192-X192*N192-2*S192)/(X192-1)</f>
        <v>350.01200000000006</v>
      </c>
      <c r="X192" s="38">
        <v>2</v>
      </c>
      <c r="Y192" s="7">
        <f>AN192</f>
        <v>12</v>
      </c>
      <c r="Z192" s="32">
        <f>AA192/N192</f>
        <v>14.18439716312057</v>
      </c>
      <c r="AA192" s="4">
        <f>20*25.4</f>
        <v>508</v>
      </c>
      <c r="AB192" s="7">
        <f>MIN(S192/N192+0.5, W192/2/N192+0.5)</f>
        <v>2.4858156028368796</v>
      </c>
      <c r="AC192" s="7">
        <f>S192/N192+0.5</f>
        <v>2.4858156028368796</v>
      </c>
      <c r="AD192" s="38">
        <v>5.5</v>
      </c>
      <c r="AE192" s="4">
        <f>AD192</f>
        <v>5.5</v>
      </c>
      <c r="AF192" s="4">
        <f>AE192+1</f>
        <v>6.5</v>
      </c>
      <c r="AG192" s="7">
        <f>N192*AF192^0.5</f>
        <v>91.308142429905971</v>
      </c>
      <c r="AJ192" s="38">
        <f>AK192/0.145</f>
        <v>837.93103448275872</v>
      </c>
      <c r="AK192" s="4">
        <v>121.5</v>
      </c>
      <c r="AL192" s="4">
        <f>CY192</f>
        <v>2.0047597914593944</v>
      </c>
      <c r="AM192" s="38">
        <f>0.5*25.4</f>
        <v>12.7</v>
      </c>
      <c r="AN192" s="38">
        <v>12</v>
      </c>
      <c r="AO192" s="39">
        <f>4*25.4</f>
        <v>101.6</v>
      </c>
      <c r="AP192" s="39">
        <v>2</v>
      </c>
      <c r="AQ192" s="39">
        <f>AP192-1</f>
        <v>1</v>
      </c>
      <c r="AR192" s="7"/>
      <c r="AS192" s="4">
        <f>K192</f>
        <v>485.90199999999993</v>
      </c>
      <c r="AT192" s="4">
        <f>IF(K192*3&gt;W192+N192, Q192, (S192+N192/2)*2+1.5*K192*(2*X192-2))*(3*K192)/(9*K192^2)</f>
        <v>0.38682697334030319</v>
      </c>
      <c r="AU192" s="4">
        <f>MIN(10*M192^0.5*K192^1.5,100*3.9*M192^0.5*K192^(5/3))/(PI()/4*N192^2)/X192</f>
        <v>350.9716459559333</v>
      </c>
      <c r="AV192" s="4">
        <f>MIN(0.7+0.3*(MIN(S192,AA192)+0.5*N192)/1.5/K192,1)</f>
        <v>0.73664401463669626</v>
      </c>
      <c r="AW192" s="4">
        <v>1.25</v>
      </c>
      <c r="AX192" s="4">
        <f>AX191</f>
        <v>1</v>
      </c>
      <c r="AY192" s="38">
        <f>AT192*AV192*AW192*AX192*AU192</f>
        <v>125.01336912079499</v>
      </c>
      <c r="AZ192" s="38">
        <f>AY192</f>
        <v>125.01336912079499</v>
      </c>
      <c r="BA192" s="38">
        <f>IF(M192&lt;50, 0.3*M192^(2/3), 2.12*LN(1+0.1*(M192+8)))</f>
        <v>3.7155288579258352</v>
      </c>
      <c r="BB192" s="38">
        <f>AX192* (M192^0.5/AS192^0.5)/(PI()/4*N192^2)/X192/0.72 *(0.7+(MIN(S192,AA192)+0.5*N192)/5/K192) *(3*Q192*K192)</f>
        <v>125.01336912079499</v>
      </c>
      <c r="BC192" s="38">
        <f>AY192/BB192</f>
        <v>1</v>
      </c>
      <c r="BD192" s="38">
        <f>BH192/BB192</f>
        <v>4.0651152848176126</v>
      </c>
      <c r="BE192" s="4">
        <f>IF(BD192&lt;1,1,0)</f>
        <v>0</v>
      </c>
      <c r="BF192" s="4">
        <f>L192/N192*M192^0.5/0.19</f>
        <v>471.42954249918836</v>
      </c>
      <c r="BG192" s="4">
        <f>MIN(0.6+0.4*(AC192/AB192),2)</f>
        <v>1</v>
      </c>
      <c r="BH192" s="38">
        <f>2*M192*AB192*AD192^0.5*BG192*0.7/0.7</f>
        <v>508.19375761948982</v>
      </c>
      <c r="BI192" s="4">
        <f>MAX(1-0.7*AE192/5,0.3)</f>
        <v>0.3</v>
      </c>
      <c r="BJ192" s="4">
        <f>BI192*J192*L192/(J192*N192/2.75/M192^0.5)</f>
        <v>73.896580786747791</v>
      </c>
      <c r="BK192" s="4">
        <f>BH192+BJ192</f>
        <v>582.09033840623761</v>
      </c>
      <c r="BM192" s="4">
        <f>MIN(1.5, 0.75+0.25*MIN(3,MAX(1,S192/N192))+0.4*MIN(1,(40*2*PI()*AM192^2/4/AO192/X192)/N192))</f>
        <v>1.5</v>
      </c>
      <c r="BN192" s="4">
        <f>(3*P192+30)*BM192*M192^0.5</f>
        <v>700.16158709603053</v>
      </c>
      <c r="BP192" s="4">
        <f>3.4/PI()^0.5*M192*AB192*AE192^0.5*BG192</f>
        <v>487.41996160394592</v>
      </c>
      <c r="BQ192" s="4">
        <f>8/3*AH192*AI192^2/(AG192-N192-22)/N192*(AG192^2-N192^2)/(AG192^2-(N192+22)^2)</f>
        <v>0</v>
      </c>
      <c r="BR192" s="4">
        <f>BQ192/BP192</f>
        <v>0</v>
      </c>
      <c r="BZ192" s="4">
        <f>IF(W192=0,S192,MIN(W192/2,S192))</f>
        <v>71.11999999999999</v>
      </c>
      <c r="CD192" s="9"/>
      <c r="CF192" s="9"/>
      <c r="CG192" s="9"/>
      <c r="CH192" s="9">
        <f>IF(W192=0,MIN(S192,U192),MIN(W192/2,S192,U192))</f>
        <v>71.11999999999999</v>
      </c>
      <c r="CI192" s="9">
        <f>MAX(W192/2,S192)</f>
        <v>175.00600000000003</v>
      </c>
      <c r="CJ192" s="9">
        <f>(CH192/N192)^0.5*(CI192/CH192)^0.15</f>
        <v>1.6129787205235528</v>
      </c>
      <c r="CK192" s="70">
        <f>IF(AO192&gt;1,20,0)</f>
        <v>20</v>
      </c>
      <c r="CL192" s="9">
        <f>MIN(PI()*AM192^2/4*AN192*2/X192/N192/MAX(0.01,AO192),0.05)</f>
        <v>0.05</v>
      </c>
      <c r="CM192" s="9">
        <f>MAX(0,CK192*(CL192-0.5/50))</f>
        <v>0.8</v>
      </c>
      <c r="CN192" s="9">
        <f>MIN(1,(25/N192)^0.3)</f>
        <v>0.89777220146327208</v>
      </c>
      <c r="CO192" s="9">
        <f>IF(J192&gt;=800,0.68,IF(J192&gt;=700,0.75-(J192-700)*0.07/100,IF(J192&gt;=600,0.85-(J192-600)*0.1/100,IF(J192&gt;=500,1-(J192-500)*0.15/100,1.2-(J192-400)*0.2/100))))</f>
        <v>0.68</v>
      </c>
      <c r="CP192" s="9">
        <f>1.75*CN192*CO192*(M192/25)^0.5</f>
        <v>1.4106447240551518</v>
      </c>
      <c r="CQ192" s="9">
        <f>MIN((CJ192+CM192)*CP192,2.5*CP192,M192^0.5)</f>
        <v>3.4038557013639004</v>
      </c>
      <c r="CR192" s="40">
        <v>1</v>
      </c>
      <c r="CS192" s="9">
        <f>4*CQ192*P192+60*CQ192</f>
        <v>388.9569011374125</v>
      </c>
      <c r="CU192" s="4">
        <f>AJ192/BF192</f>
        <v>1.7774258058598467</v>
      </c>
      <c r="CV192" s="4">
        <f>AJ192/BK192</f>
        <v>1.4395206022092937</v>
      </c>
      <c r="CW192" s="4">
        <f>AJ192/BN192</f>
        <v>1.1967680745785221</v>
      </c>
      <c r="CX192" s="4">
        <f>AJ192/CS192</f>
        <v>2.1543030398289051</v>
      </c>
      <c r="CY192" s="4">
        <f>AJ192/DZ192</f>
        <v>2.0047597914593944</v>
      </c>
      <c r="CZ192" s="4">
        <f>AJ192/EL192</f>
        <v>1.3999644400429421</v>
      </c>
      <c r="DA192" s="4">
        <f>AJ192/GI192</f>
        <v>1.265578045451847</v>
      </c>
      <c r="DB192" s="4">
        <f>AN192</f>
        <v>12</v>
      </c>
      <c r="DI192" s="4">
        <f>CU192</f>
        <v>1.7774258058598467</v>
      </c>
      <c r="DJ192" s="4">
        <f>CV192</f>
        <v>1.4395206022092937</v>
      </c>
      <c r="DK192" s="4">
        <f>CX192</f>
        <v>2.1543030398289051</v>
      </c>
      <c r="DL192" s="4">
        <f>DA192</f>
        <v>1.265578045451847</v>
      </c>
      <c r="DM192" s="4">
        <f>CY192</f>
        <v>2.0047597914593944</v>
      </c>
      <c r="DN192" s="4">
        <f>CZ192</f>
        <v>1.3999644400429421</v>
      </c>
      <c r="DQ192" s="4">
        <f>L192</f>
        <v>485.90199999999993</v>
      </c>
      <c r="DT192" s="4">
        <f>K192/4/(1-0.3*(M192/30)^0.5)/200000/N192</f>
        <v>2.656542766133525E-5</v>
      </c>
      <c r="DU192" s="4">
        <f>EP192</f>
        <v>7.0823285286528881</v>
      </c>
      <c r="DV192" s="4">
        <f>EC192*AG192/257/M192/AD192</f>
        <v>0.18527681583464758</v>
      </c>
      <c r="DW192" s="4">
        <f>DU192*DV192^0.4</f>
        <v>3.6083154665906219</v>
      </c>
      <c r="DX192" s="4">
        <f>MIN(DU192, DU192/1.4*(1-DV192^1.4)/(1-DV192))</f>
        <v>5.6231117628417122</v>
      </c>
      <c r="DY192" s="4">
        <f>MAX(DU192/2, (4-DT192*(8*AG192*(DW192-DX192)+6*K192*DX192))/(4+DT192*K192*DU192)*DU192)</f>
        <v>6.2378886215813178</v>
      </c>
      <c r="DZ192" s="38">
        <f>MIN(1/N192*(4*AG192*(DW192-DX192)+(3*DX192+DY192)*K192)+EC192 -FJ192,MAX(J192,AJ192))</f>
        <v>417.97079034230558</v>
      </c>
      <c r="EA192" s="4">
        <f>DZ192/FF192</f>
        <v>1.0001095035737906</v>
      </c>
      <c r="EB192" s="4">
        <f>AG192/N192</f>
        <v>2.5495097567963922</v>
      </c>
      <c r="EC192" s="4">
        <f>MIN(EB$10*BB192)</f>
        <v>125.01336912079499</v>
      </c>
      <c r="EG192" s="4">
        <f>IF(U192&gt;1*N192,0.85,1)</f>
        <v>0.85</v>
      </c>
      <c r="EH192" s="4">
        <f>MIN(1,MAX(0.7,(1-0.1*(BZ192-1*N192)/N192)))</f>
        <v>0.90141843971631208</v>
      </c>
      <c r="EI192" s="4">
        <f>MIN(1,MAX(0.7,1-0.3*(PI()*AM192^2/4*AQ192*2-0.25*PI()/4*N192^2)/(PI()/4*N192^2)))</f>
        <v>0.9995510789195714</v>
      </c>
      <c r="EJ192" s="4">
        <f>IF(EH192*EI192&lt;0.7,0.7,EH192*EI192)</f>
        <v>0.90101377397643634</v>
      </c>
      <c r="EL192" s="4">
        <f>MIN(DU192/N192*3*K192+EM192-FJ192,MAX(J192,AJ192))</f>
        <v>598.537370318532</v>
      </c>
      <c r="EM192" s="25">
        <f>13.3*Q192*K192^0.5*M192^0.5/X192/N192^2*(0.7+S192/5/K192)</f>
        <v>310.27153041825591</v>
      </c>
      <c r="EO192" s="4">
        <f>EG192*EJ192</f>
        <v>0.76586170787997088</v>
      </c>
      <c r="EP192" s="4">
        <f>IF(N192&lt;22.2,1.1*5*(M192/30)^0.5,IF(N192&gt;=31.8,0.9*5*(M192/30)^0.5,1*5*(M192/30)^0.5))/EG192/EJ192</f>
        <v>7.0823285286528881</v>
      </c>
      <c r="ES192" s="4">
        <f>ET192*N192</f>
        <v>91.308142429905971</v>
      </c>
      <c r="ET192" s="4">
        <f>AF192^0.5</f>
        <v>2.5495097567963922</v>
      </c>
      <c r="EU192" s="4">
        <f>MIN(EC192)/(4700*M192^0.5)/AE192*ES192</f>
        <v>6.6885331172052656E-2</v>
      </c>
      <c r="EX192" s="4">
        <f>EU192</f>
        <v>6.6885331172052656E-2</v>
      </c>
      <c r="EY192" s="4">
        <f>MIN(0.999, EX192/(0.3*(M192/30)^0.5))</f>
        <v>0.18496762335992395</v>
      </c>
      <c r="EZ192" s="4">
        <f>EP192/1*EY192^0.4</f>
        <v>3.6059056172375472</v>
      </c>
      <c r="FA192" s="4">
        <f>EP192/1.4*(1-EY192^1.4)/(1-EY192)</f>
        <v>5.6223469682615397</v>
      </c>
      <c r="FB192" s="4">
        <f>MAX(0,DQ192*FB$9-ES192)</f>
        <v>273.11835757009396</v>
      </c>
      <c r="FC192" s="4">
        <f>MAX(0,DQ192-ES192-FB192)</f>
        <v>121.47550000000001</v>
      </c>
      <c r="FD192" s="4">
        <f>FC192/(1-0.3*(M192/30)^0.5)/200000/N192</f>
        <v>2.6565427661335253E-5</v>
      </c>
      <c r="FE192" s="4">
        <f>MAX(0.5*EP192, (1-2*FD192*(ES192*EZ192+FB192*FA192))/(1/EP192+FD192*FC192))</f>
        <v>6.2380464129994566</v>
      </c>
      <c r="FF192" s="4">
        <f>MIN(4/N192*(1*EZ192*ES192+FA192*FB192+FC192*FE192)+EC192,MAX(J192,AJ192))</f>
        <v>417.92502605837569</v>
      </c>
      <c r="FO192" s="23">
        <f>IF(CU192&lt;0.6,0.6,IF(CU192&lt;0.8,0.8,IF(CU192&lt;1,1,IF(CU192&lt;1.2,1.2,IF(CU192&lt;1.4,1.4,IF(CU192&lt;1.6,1.6,IF(CU192&lt;1.8,1.8,IF(CU192&lt;2,2,2.2))))))))</f>
        <v>1.8</v>
      </c>
      <c r="FP192" s="23">
        <f>IF(CV192&lt;0.6,0.6,IF(CV192&lt;0.8,0.8,IF(CV192&lt;1,1,IF(CV192&lt;1.2,1.2,IF(CV192&lt;1.4,1.4,IF(CV192&lt;1.6,1.6,IF(CV192&lt;1.8,1.8,IF(CV192&lt;2,2,2.2))))))))</f>
        <v>1.6</v>
      </c>
      <c r="FQ192" s="23">
        <f>IF(DA192&lt;0.6,0.6,IF(DA192&lt;0.8,0.8,IF(DA192&lt;1,1,IF(DA192&lt;1.2,1.2,IF(DA192&lt;1.4,1.4,IF(DA192&lt;1.6,1.6,IF(DA192&lt;1.8,1.8,IF(DA192&lt;2,2,2.2))))))))</f>
        <v>1.4</v>
      </c>
      <c r="FR192" s="23">
        <f>IF(CX192&lt;0.6,0.6,IF(CX192&lt;0.8,0.8,IF(CX192&lt;1,1,IF(CX192&lt;1.2,1.2,IF(CX192&lt;1.4,1.4,IF(CX192&lt;1.6,1.6,IF(CX192&lt;1.8,1.8,IF(CX192&lt;2,2,2.2))))))))</f>
        <v>2.2000000000000002</v>
      </c>
      <c r="FS192" s="23">
        <f>IF(CY192&lt;0.6,0.6,IF(CY192&lt;0.8,0.8,IF(CY192&lt;1,1,IF(CY192&lt;1.2,1.2,IF(CY192&lt;1.4,1.4,IF(CY192&lt;1.6,1.6,IF(CY192&lt;1.8,1.8,IF(CY192&lt;2,2,2.2))))))))</f>
        <v>2.2000000000000002</v>
      </c>
      <c r="FT192" s="23">
        <f>IF(CZ192&lt;0.6,0.6,IF(CZ192&lt;0.8,0.8,IF(CZ192&lt;1,1,IF(CZ192&lt;1.2,1.2,IF(CZ192&lt;1.4,1.4,IF(CZ192&lt;1.6,1.6,IF(CZ192&lt;1.8,1.8,IF(CZ192&lt;2,2,2.2))))))))</f>
        <v>1.4</v>
      </c>
      <c r="FU192" s="23">
        <f>IF(FS192&lt;1,1,0)</f>
        <v>0</v>
      </c>
      <c r="FV192" s="23"/>
      <c r="GF192" s="4">
        <f>IF(S192&gt;=2.5*25.4,1,1.25)</f>
        <v>1</v>
      </c>
      <c r="GG192" s="4">
        <f>IF(AO192&gt;1, 0.05*(18-MIN(8,(W192+N192)/N192))*(1-48000/MAX(60000,(J192*145))*(N192/25.4)^0.75*GH192), 1/12*(14-MIN(8,(W192+N192)/N192)))</f>
        <v>0.44214730608235164</v>
      </c>
      <c r="GH192" s="4">
        <f>MIN(0.3, AM192^2*PI()/4*2*AP192/(N192^2*PI()/4*X192))</f>
        <v>0.25149640360142855</v>
      </c>
      <c r="GI192" s="4">
        <f>(K192/25.4)/(N192/25.4)^1.5/0.0024*(M192*145)^0.25/GF192/GG192/145</f>
        <v>662.09352911427425</v>
      </c>
    </row>
    <row r="193" spans="1:196" s="54" customFormat="1" ht="12" customHeight="1" thickBot="1" x14ac:dyDescent="0.35">
      <c r="A193" s="5">
        <v>138</v>
      </c>
      <c r="B193" s="65" t="s">
        <v>659</v>
      </c>
      <c r="C193" s="65">
        <v>2007</v>
      </c>
      <c r="D193" s="65" t="s">
        <v>309</v>
      </c>
      <c r="E193" s="65"/>
      <c r="F193" s="118"/>
      <c r="G193" s="65">
        <v>1</v>
      </c>
      <c r="H193" s="5" t="s">
        <v>115</v>
      </c>
      <c r="I193" s="5">
        <f>K193/N193</f>
        <v>8.3595113438045381</v>
      </c>
      <c r="J193" s="8">
        <v>447.7</v>
      </c>
      <c r="K193" s="8">
        <v>479</v>
      </c>
      <c r="L193" s="8">
        <f>K193</f>
        <v>479</v>
      </c>
      <c r="M193" s="8">
        <v>24.2</v>
      </c>
      <c r="N193" s="8">
        <v>57.3</v>
      </c>
      <c r="O193" s="8">
        <f>K193/N193</f>
        <v>8.3595113438045381</v>
      </c>
      <c r="P193" s="8">
        <f>L193/N193</f>
        <v>8.3595113438045381</v>
      </c>
      <c r="Q193" s="8">
        <v>350</v>
      </c>
      <c r="R193" s="32">
        <f>S193/N193</f>
        <v>2.5541012216404888</v>
      </c>
      <c r="S193" s="8">
        <f>(Q193-N193)/2</f>
        <v>146.35</v>
      </c>
      <c r="T193" s="32">
        <f>U193/N193</f>
        <v>8.010471204188482</v>
      </c>
      <c r="U193" s="8">
        <f>958-20-L193</f>
        <v>459</v>
      </c>
      <c r="V193" s="32">
        <f>W193/N193</f>
        <v>0</v>
      </c>
      <c r="W193" s="8">
        <v>0</v>
      </c>
      <c r="X193" s="8">
        <v>1</v>
      </c>
      <c r="Y193" s="7">
        <f>AN193</f>
        <v>0</v>
      </c>
      <c r="Z193" s="32">
        <f>AA193/N193</f>
        <v>14.886561954624783</v>
      </c>
      <c r="AA193" s="8">
        <f>958-105</f>
        <v>853</v>
      </c>
      <c r="AB193" s="8">
        <f>S193/N193+0.5</f>
        <v>3.0541012216404888</v>
      </c>
      <c r="AC193" s="8">
        <f>S193/N193+0.5</f>
        <v>3.0541012216404888</v>
      </c>
      <c r="AD193" s="8">
        <f>10324/2581</f>
        <v>4</v>
      </c>
      <c r="AE193" s="8">
        <f>10324/2581</f>
        <v>4</v>
      </c>
      <c r="AF193" s="8">
        <f>AE193+1</f>
        <v>5</v>
      </c>
      <c r="AG193" s="8">
        <f>N193*AF193^0.5</f>
        <v>128.12669511073796</v>
      </c>
      <c r="AH193" s="8">
        <f>J193</f>
        <v>447.7</v>
      </c>
      <c r="AI193" s="8">
        <v>20</v>
      </c>
      <c r="AJ193" s="8">
        <f>309/2581*1000</f>
        <v>119.72103835722588</v>
      </c>
      <c r="AK193" s="66"/>
      <c r="AL193" s="8"/>
      <c r="AM193" s="8">
        <v>0</v>
      </c>
      <c r="AN193" s="8">
        <v>0</v>
      </c>
      <c r="AO193" s="8">
        <f>L193</f>
        <v>479</v>
      </c>
      <c r="AP193" s="8"/>
      <c r="AQ193" s="8"/>
      <c r="AR193" s="8"/>
      <c r="AS193" s="5">
        <f>K193</f>
        <v>479</v>
      </c>
      <c r="AT193" s="5">
        <f>MIN(9*K193^2,Q193*3*K193)/(9*K193^2)</f>
        <v>0.24356297842727906</v>
      </c>
      <c r="AU193" s="5">
        <f>MIN(10*M193^0.5*K193^1.5,3.9*M193^0.5*K193^(5/3))/(PI()/4*N193^2)</f>
        <v>199.9916335695587</v>
      </c>
      <c r="AV193" s="5">
        <f>MIN(0.7+0.3*Q193/2/1.5/K193,1)</f>
        <v>0.77306889352818364</v>
      </c>
      <c r="AW193" s="5">
        <v>1.25</v>
      </c>
      <c r="AX193" s="5">
        <v>1</v>
      </c>
      <c r="AY193" s="5">
        <f>AT193*AV193*AW193*AX193*AU193</f>
        <v>47.070771405253517</v>
      </c>
      <c r="AZ193" s="5"/>
      <c r="BA193" s="5"/>
      <c r="BB193" s="5">
        <f>AX193* (M193^0.5/AS193^0.5)/(PI()/4*N193^2)/X193/0.72 *(0.7+(MIN(S193,AA193)+0.5*N193)/5/K193) *(3*Q193*K193)</f>
        <v>47.070771405253538</v>
      </c>
      <c r="BC193" s="5">
        <f>AY193/BB193</f>
        <v>0.99999999999999956</v>
      </c>
      <c r="BD193" s="5">
        <f>BH193/BB193</f>
        <v>6.2806915932931462</v>
      </c>
      <c r="BE193" s="5">
        <f>IF(BD193&lt;1,1,0)</f>
        <v>0</v>
      </c>
      <c r="BF193" s="5">
        <f>L193/N193*M193^0.5/0.19</f>
        <v>216.43872827126648</v>
      </c>
      <c r="BG193" s="5">
        <f>MIN(0.6+0.4*(AC193/AB193),2)</f>
        <v>1</v>
      </c>
      <c r="BH193" s="5">
        <f>2*M193*AB193*AD193^0.5*BG193*0.7/0.7</f>
        <v>295.63699825479932</v>
      </c>
      <c r="BI193" s="5">
        <f>MAX(1-0.7*AE193/5,0.3)</f>
        <v>0.44000000000000006</v>
      </c>
      <c r="BJ193" s="5">
        <f>BI193*J193*L193/(J193*N193/2.75/M193^0.5)</f>
        <v>49.759263629564167</v>
      </c>
      <c r="BK193" s="5">
        <f>BH193+BJ193</f>
        <v>345.39626188436347</v>
      </c>
      <c r="BL193" s="5"/>
      <c r="BM193" s="5">
        <f>MIN(1.5, 0.75+0.25*MIN(3,MAX(1,S193/N193))+0.4*MIN(1,(40*2*PI()*AM193^2/4/AO193/X193)/N193))</f>
        <v>1.3885253054101221</v>
      </c>
      <c r="BN193" s="5">
        <f>(3*P193+30)*BM193*M193^0.5</f>
        <v>376.22171133779551</v>
      </c>
      <c r="BO193" s="5"/>
      <c r="BP193" s="5">
        <f>3.4/PI()^0.5*M193*AB193*AE193^0.5*BG193</f>
        <v>283.55203537536278</v>
      </c>
      <c r="BQ193" s="5">
        <f>8/3*AH193*AI193^2/(AG193-N193-22)/N193*(AG193^2-N193^2)/(AG193^2-(N193+22)^2)</f>
        <v>221.33552459284101</v>
      </c>
      <c r="BR193" s="5">
        <f>BQ193/BP193</f>
        <v>0.78058168159449004</v>
      </c>
      <c r="BS193" s="5"/>
      <c r="BT193" s="5"/>
      <c r="BU193" s="5"/>
      <c r="BV193" s="5"/>
      <c r="BW193" s="5"/>
      <c r="BX193" s="5"/>
      <c r="BY193" s="5"/>
      <c r="BZ193" s="5">
        <f>IF(W193=0,S193,MIN(W193/2,S193))</f>
        <v>146.35</v>
      </c>
      <c r="CA193" s="5"/>
      <c r="CB193" s="5"/>
      <c r="CC193" s="5"/>
      <c r="CD193" s="67"/>
      <c r="CE193" s="5"/>
      <c r="CF193" s="67"/>
      <c r="CG193" s="67"/>
      <c r="CH193" s="67">
        <f>IF(W193=0,MIN(S193,U193),MIN(W193/2,S193,U193))</f>
        <v>146.35</v>
      </c>
      <c r="CI193" s="67">
        <f>MAX(W193/2,S193)</f>
        <v>146.35</v>
      </c>
      <c r="CJ193" s="67">
        <f>(CH193/N193)^0.5*(CI193/CH193)^0.15</f>
        <v>1.5981555686604758</v>
      </c>
      <c r="CK193" s="70">
        <v>0</v>
      </c>
      <c r="CL193" s="67">
        <f>MIN(PI()*AM193^2/4*AN193*2/X193/N193/MAX(0.01,AO193),0.05)</f>
        <v>0</v>
      </c>
      <c r="CM193" s="67">
        <f>MAX(0,CK193*(CL193-0.5/50))</f>
        <v>0</v>
      </c>
      <c r="CN193" s="67">
        <f>MIN(1,(25/N193)^0.3)</f>
        <v>0.77971450958075206</v>
      </c>
      <c r="CO193" s="67">
        <f>IF(J193&gt;=800,0.68,IF(J193&gt;=700,0.75-(J193-700)*0.07/100,IF(J193&gt;=600,0.85-(J193-600)*0.1/100,IF(J193&gt;=500,1-(J193-500)*0.15/100,1.2-(J193-400)*0.2/100))))</f>
        <v>1.1046</v>
      </c>
      <c r="CP193" s="67">
        <f>1.75*CN193*CO193*(M193/25)^0.5</f>
        <v>1.4829154235940361</v>
      </c>
      <c r="CQ193" s="67">
        <f>MIN((CJ193+CM193)*CP193,2.5*CP193,M193^0.5)</f>
        <v>2.3699295420693169</v>
      </c>
      <c r="CR193" s="67">
        <v>1</v>
      </c>
      <c r="CS193" s="67">
        <f>4*CQ193*P193+60*CQ193</f>
        <v>221.44158408794283</v>
      </c>
      <c r="CT193" s="5"/>
      <c r="CU193" s="4">
        <f>AJ193/BF193</f>
        <v>0.55314055535928575</v>
      </c>
      <c r="CV193" s="4">
        <f>AJ193/BK193</f>
        <v>0.34661938060379976</v>
      </c>
      <c r="CW193" s="4">
        <f>AJ193/BN193</f>
        <v>0.31821937636590253</v>
      </c>
      <c r="CX193" s="4">
        <f>AJ193/CS193</f>
        <v>0.54064388515970929</v>
      </c>
      <c r="CY193" s="4">
        <f>AJ193/DZ193</f>
        <v>2.5434263085789133</v>
      </c>
      <c r="CZ193" s="4" t="e">
        <f>AJ193/EL193</f>
        <v>#DIV/0!</v>
      </c>
      <c r="DA193" s="4">
        <f>AJ193/GI193</f>
        <v>0.82670842530755007</v>
      </c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>
        <f>AN193</f>
        <v>0</v>
      </c>
      <c r="DQ193" s="5">
        <f>L193</f>
        <v>479</v>
      </c>
      <c r="DR193" s="5"/>
      <c r="DS193" s="5"/>
      <c r="DT193" s="5">
        <f>K193/4/(1-0.3*(M193/30)^0.5)/200000/N193</f>
        <v>1.4303335192272361E-5</v>
      </c>
      <c r="DU193" s="5">
        <f>EP193</f>
        <v>5.6298233952568157</v>
      </c>
      <c r="DV193" s="5"/>
      <c r="DW193" s="5"/>
      <c r="DX193" s="5"/>
      <c r="DY193" s="5"/>
      <c r="DZ193" s="5">
        <f>MIN(1/N193*(4*AG193*(DW193-DX193)+(3*DX193+DY193)*K193)+EC193 -FJ193,MAX(J193,AJ193))</f>
        <v>47.070771405253538</v>
      </c>
      <c r="EA193" s="5">
        <f>DZ193/FF193</f>
        <v>0.24247237022892729</v>
      </c>
      <c r="EB193" s="5"/>
      <c r="EC193" s="5">
        <f>MIN(EB$10*BB193)</f>
        <v>47.070771405253538</v>
      </c>
      <c r="ED193" s="5"/>
      <c r="EE193" s="5"/>
      <c r="EF193" s="5"/>
      <c r="EG193" s="5">
        <f>IF(U193&gt;1*N193,0.85,1)</f>
        <v>0.85</v>
      </c>
      <c r="EH193" s="5">
        <f>MIN(1,MAX(0.7,(1-0.1*(BZ193-1*N193)/N193)))</f>
        <v>0.84458987783595108</v>
      </c>
      <c r="EI193" s="5">
        <f>MIN(1,MAX(0.7,1-0.3*(PI()*AM193^2/4*AN193*2-0.25*PI()/4*N193^2)/(PI()/4*N193^2)))</f>
        <v>1</v>
      </c>
      <c r="EJ193" s="5">
        <f>IF(EH193*EI193&lt;0.7,0.7,EH193*EI193)</f>
        <v>0.84458987783595108</v>
      </c>
      <c r="EK193" s="5"/>
      <c r="EL193" s="5"/>
      <c r="EM193" s="5"/>
      <c r="EN193" s="5"/>
      <c r="EO193" s="5"/>
      <c r="EP193" s="5">
        <f>IF(N193&lt;22.2,1.1*5*(M193/30)^0.5,IF(N193&gt;=31.8,0.9*5*(M193/30)^0.5,1*5*(M193/30)^0.5))/EJ193/EG193</f>
        <v>5.6298233952568157</v>
      </c>
      <c r="EQ193" s="5"/>
      <c r="ER193" s="5"/>
      <c r="ES193" s="5">
        <f>ET193*N193</f>
        <v>128.12669511073796</v>
      </c>
      <c r="ET193" s="5">
        <f>AF193^0.5</f>
        <v>2.2360679774997898</v>
      </c>
      <c r="EU193" s="5">
        <f>MIN(EC193)/(4700*M193^0.5)/AE193*ES193</f>
        <v>6.5211682822075137E-2</v>
      </c>
      <c r="EV193" s="5"/>
      <c r="EW193" s="5"/>
      <c r="EX193" s="5">
        <f>EU193</f>
        <v>6.5211682822075137E-2</v>
      </c>
      <c r="EY193" s="5">
        <f>MIN(0.999, EX193/(0.3*(M193/30)^0.5))</f>
        <v>0.24202325482167125</v>
      </c>
      <c r="EZ193" s="5">
        <f>EP193/1*EY193^0.4</f>
        <v>3.1918142575020001</v>
      </c>
      <c r="FA193" s="5">
        <f>EP193/1.4*(1-EY193^1.4)/(1-EY193)</f>
        <v>4.5773455930716711</v>
      </c>
      <c r="FB193" s="5">
        <f>MAX(0,DQ193*FB$9-ES193)</f>
        <v>231.12330488926204</v>
      </c>
      <c r="FC193" s="5">
        <f>MAX(0,DQ193-ES193-FB193)</f>
        <v>119.75</v>
      </c>
      <c r="FD193" s="5">
        <f>FC193/(1-0.3*(M193/30)^0.5)/200000/N193</f>
        <v>1.4303335192272361E-5</v>
      </c>
      <c r="FE193" s="5">
        <f>MAX(0.5*EP193, (1-2*FD193*(ES193*EZ193+FB193*FA193))/(1/EP193+FD193*FC193))</f>
        <v>5.3420673548371704</v>
      </c>
      <c r="FF193" s="5">
        <f>MIN(4/N193*(1*EZ193*ES193+FA193*FB193+FC193*FE193)+EC193,MAX(J193,AJ193))</f>
        <v>194.12839228161235</v>
      </c>
      <c r="FG193" s="5"/>
      <c r="FH193" s="5"/>
      <c r="FI193" s="5"/>
      <c r="FJ193" s="5"/>
      <c r="FK193" s="5"/>
      <c r="FL193" s="5"/>
      <c r="FM193" s="5"/>
      <c r="FN193" s="5"/>
      <c r="FO193" s="68"/>
      <c r="FP193" s="68"/>
      <c r="FQ193" s="68"/>
      <c r="FR193" s="68"/>
      <c r="FS193" s="68"/>
      <c r="FT193" s="68"/>
      <c r="FU193" s="68"/>
      <c r="FV193" s="68"/>
      <c r="FW193" s="5"/>
      <c r="FX193" s="5"/>
      <c r="FY193" s="5"/>
      <c r="FZ193" s="5"/>
      <c r="GA193" s="5"/>
      <c r="GB193" s="5"/>
      <c r="GC193" s="5"/>
      <c r="GD193" s="5"/>
      <c r="GE193" s="5"/>
      <c r="GF193" s="5">
        <f>IF(S193&gt;=2.5*25.4,1,1.25)</f>
        <v>1</v>
      </c>
      <c r="GG193" s="5">
        <f>IF(AO193&gt;1, 0.05*(18-MIN(8,(W193+N193)/N193))*(1-48000/MAX(60000,(J193*145))*(N193/25.4)^0.75*GH193), 1/12*(14-MIN(8,(W193+N193)/N193)))</f>
        <v>0.85000000000000009</v>
      </c>
      <c r="GH193" s="5">
        <f>MIN(0.3, AM193^2*PI()/4*2*AP193/(N193^2*PI()/4*X193))</f>
        <v>0</v>
      </c>
      <c r="GI193" s="5">
        <f>(K193/25.4)/(N193/25.4)^1.5/0.0024*(M193*145)^0.25/GF193/GG193/145</f>
        <v>144.81652139046187</v>
      </c>
      <c r="GJ193" s="5"/>
      <c r="GK193" s="5"/>
      <c r="GL193" s="5"/>
      <c r="GM193" s="5"/>
      <c r="GN193" s="5"/>
    </row>
    <row r="194" spans="1:196" ht="12" customHeight="1" x14ac:dyDescent="0.3">
      <c r="A194" s="25">
        <v>382</v>
      </c>
      <c r="B194" s="4" t="s">
        <v>605</v>
      </c>
      <c r="C194" s="4">
        <v>2016</v>
      </c>
      <c r="D194" s="4" t="s">
        <v>309</v>
      </c>
      <c r="E194" s="14" t="s">
        <v>547</v>
      </c>
      <c r="F194" s="117"/>
      <c r="G194" s="14">
        <v>14</v>
      </c>
      <c r="H194" s="7" t="s">
        <v>549</v>
      </c>
      <c r="I194" s="5">
        <f>K194/N194</f>
        <v>12.368794326241137</v>
      </c>
      <c r="J194" s="90">
        <f>135/0.145</f>
        <v>931.0344827586207</v>
      </c>
      <c r="K194" s="95">
        <f>17.44*25.4</f>
        <v>442.976</v>
      </c>
      <c r="L194" s="4">
        <f>K194</f>
        <v>442.976</v>
      </c>
      <c r="M194" s="44">
        <f>4050/145</f>
        <v>27.931034482758619</v>
      </c>
      <c r="N194" s="38">
        <f>1.41*25.4</f>
        <v>35.813999999999993</v>
      </c>
      <c r="O194" s="7">
        <f>K194/N194</f>
        <v>12.368794326241137</v>
      </c>
      <c r="P194" s="7">
        <f>L194/N194</f>
        <v>12.368794326241137</v>
      </c>
      <c r="Q194" s="38">
        <f>21.7*25.4</f>
        <v>551.17999999999995</v>
      </c>
      <c r="R194" s="32">
        <f>S194/N194</f>
        <v>1.843971631205674</v>
      </c>
      <c r="S194" s="38">
        <f>2.6*25.4</f>
        <v>66.039999999999992</v>
      </c>
      <c r="T194" s="32">
        <f>U194/N194</f>
        <v>2.1276595744680851</v>
      </c>
      <c r="U194" s="39">
        <f>3*25.4</f>
        <v>76.199999999999989</v>
      </c>
      <c r="V194" s="32">
        <f>W194/N194</f>
        <v>9.7021276595744688</v>
      </c>
      <c r="W194" s="7">
        <f>(Q194-X194*N194-2*S194)/(X194-1)</f>
        <v>347.47199999999998</v>
      </c>
      <c r="X194" s="38">
        <v>2</v>
      </c>
      <c r="Y194" s="7">
        <f>AN194</f>
        <v>4</v>
      </c>
      <c r="Z194" s="32">
        <f>AA194/N194</f>
        <v>14.18439716312057</v>
      </c>
      <c r="AA194" s="4">
        <f>20*25.4</f>
        <v>508</v>
      </c>
      <c r="AB194" s="7">
        <f>MIN(S194/N194+0.5, W194/2/N194+0.5)</f>
        <v>2.3439716312056742</v>
      </c>
      <c r="AC194" s="7">
        <f>S194/N194+0.5</f>
        <v>2.3439716312056742</v>
      </c>
      <c r="AD194" s="38">
        <v>3.8</v>
      </c>
      <c r="AE194" s="4">
        <f>AD194</f>
        <v>3.8</v>
      </c>
      <c r="AF194" s="4">
        <f>AE194+1</f>
        <v>4.8</v>
      </c>
      <c r="AG194" s="7">
        <f>N194*AF194^0.5</f>
        <v>78.464542697960056</v>
      </c>
      <c r="AJ194" s="38">
        <f>AK194/0.145</f>
        <v>522.75862068965523</v>
      </c>
      <c r="AK194" s="4">
        <v>75.8</v>
      </c>
      <c r="AL194" s="4">
        <f>CY194</f>
        <v>1.6522350926872018</v>
      </c>
      <c r="AM194" s="38">
        <f>0.5*25.4</f>
        <v>12.7</v>
      </c>
      <c r="AN194" s="38">
        <v>4</v>
      </c>
      <c r="AO194" s="39">
        <f>8*25.4</f>
        <v>203.2</v>
      </c>
      <c r="AP194" s="39">
        <v>2</v>
      </c>
      <c r="AQ194" s="39">
        <f>AP194-1</f>
        <v>1</v>
      </c>
      <c r="AR194" s="7"/>
      <c r="AS194" s="4">
        <f>K194</f>
        <v>442.976</v>
      </c>
      <c r="AT194" s="4">
        <f>IF(K194*3&gt;W194+N194, Q194, (S194+N194/2)*2+1.5*K194*(2*X194-2))*(3*K194)/(9*K194^2)</f>
        <v>0.4147553516819571</v>
      </c>
      <c r="AU194" s="4">
        <f>MIN(10*M194^0.5*K194^1.5,100*3.9*M194^0.5*K194^(5/3))/(PI()/4*N194^2)/X194</f>
        <v>244.56160209111823</v>
      </c>
      <c r="AV194" s="4">
        <f>MIN(0.7+0.3*(MIN(S194,AA194)+0.5*N194)/1.5/K194,1)</f>
        <v>0.73790137614678897</v>
      </c>
      <c r="AW194" s="4">
        <v>1.25</v>
      </c>
      <c r="AX194" s="4">
        <f>AX193</f>
        <v>1</v>
      </c>
      <c r="AY194" s="38">
        <f>AT194*AV194*AW194*AX194*AU194</f>
        <v>93.55965303336869</v>
      </c>
      <c r="AZ194" s="38">
        <f>AY194</f>
        <v>93.55965303336869</v>
      </c>
      <c r="BA194" s="38">
        <f>IF(M194&lt;50, 0.3*M194^(2/3), 2.12*LN(1+0.1*(M194+8)))</f>
        <v>2.761717606769436</v>
      </c>
      <c r="BB194" s="38">
        <f>AX194* (M194^0.5/AS194^0.5)/(PI()/4*N194^2)/X194/0.72 *(0.7+(MIN(S194,AA194)+0.5*N194)/5/K194) *(3*Q194*K194)</f>
        <v>93.559653033368761</v>
      </c>
      <c r="BC194" s="38">
        <f>AY194/BB194</f>
        <v>0.99999999999999922</v>
      </c>
      <c r="BD194" s="38">
        <f>BH194/BB194</f>
        <v>2.7281771274863624</v>
      </c>
      <c r="BE194" s="4">
        <f>IF(BD194&lt;1,1,0)</f>
        <v>0</v>
      </c>
      <c r="BF194" s="4">
        <f>L194/N194*M194^0.5/0.19</f>
        <v>344.04660565519924</v>
      </c>
      <c r="BG194" s="4">
        <f>MIN(0.6+0.4*(AC194/AB194),2)</f>
        <v>1</v>
      </c>
      <c r="BH194" s="38">
        <f>2*M194*AB194*AD194^0.5*BG194*0.7/0.7</f>
        <v>255.24730546119673</v>
      </c>
      <c r="BI194" s="4">
        <f>MAX(1-0.7*AE194/5,0.3)</f>
        <v>0.46800000000000008</v>
      </c>
      <c r="BJ194" s="4">
        <f>BI194*J194*L194/(J194*N194/2.75/M194^0.5)</f>
        <v>84.129716480865909</v>
      </c>
      <c r="BK194" s="4">
        <f>BH194+BJ194</f>
        <v>339.37702194206264</v>
      </c>
      <c r="BM194" s="4">
        <f>MIN(1.5, 0.75+0.25*MIN(3,MAX(1,S194/N194))+0.4*MIN(1,(40*2*PI()*AM194^2/4/AO194/X194)/N194))</f>
        <v>1.4895028948217903</v>
      </c>
      <c r="BN194" s="4">
        <f>(3*P194+30)*BM194*M194^0.5</f>
        <v>528.26117514746761</v>
      </c>
      <c r="BP194" s="4">
        <f>3.4/PI()^0.5*M194*AB194*AE194^0.5*BG194</f>
        <v>244.81338064872722</v>
      </c>
      <c r="BQ194" s="4">
        <f>8/3*AH194*AI194^2/(AG194-N194-22)/N194*(AG194^2-N194^2)/(AG194^2-(N194+22)^2)</f>
        <v>0</v>
      </c>
      <c r="BR194" s="4">
        <f>BQ194/BP194</f>
        <v>0</v>
      </c>
      <c r="BZ194" s="4">
        <f>IF(W194=0,S194,MIN(W194/2,S194))</f>
        <v>66.039999999999992</v>
      </c>
      <c r="CD194" s="9"/>
      <c r="CF194" s="9"/>
      <c r="CG194" s="9"/>
      <c r="CH194" s="9">
        <f>IF(W194=0,MIN(S194,U194),MIN(W194/2,S194,U194))</f>
        <v>66.039999999999992</v>
      </c>
      <c r="CI194" s="9">
        <f>MAX(W194/2,S194)</f>
        <v>173.73599999999999</v>
      </c>
      <c r="CJ194" s="9">
        <f>(CH194/N194)^0.5*(CI194/CH194)^0.15</f>
        <v>1.5699634099271278</v>
      </c>
      <c r="CK194" s="70">
        <f>IF(AO194&gt;1,20,0)</f>
        <v>20</v>
      </c>
      <c r="CL194" s="9">
        <f>MIN(PI()*AM194^2/4*AN194*2/X194/N194/MAX(0.01,AO194),0.05)</f>
        <v>0.05</v>
      </c>
      <c r="CM194" s="9">
        <f>MAX(0,CK194*(CL194-0.5/50))</f>
        <v>0.8</v>
      </c>
      <c r="CN194" s="9">
        <f>MIN(1,(25/N194)^0.3)</f>
        <v>0.89777220146327208</v>
      </c>
      <c r="CO194" s="9">
        <f>IF(J194&gt;=800,0.68,IF(J194&gt;=700,0.75-(J194-700)*0.07/100,IF(J194&gt;=600,0.85-(J194-600)*0.1/100,IF(J194&gt;=500,1-(J194-500)*0.15/100,1.2-(J194-400)*0.2/100))))</f>
        <v>0.68</v>
      </c>
      <c r="CP194" s="9">
        <f>1.75*CN194*CO194*(M194/25)^0.5</f>
        <v>1.129240956903802</v>
      </c>
      <c r="CQ194" s="9">
        <f>MIN((CJ194+CM194)*CP194,2.5*CP194,M194^0.5)</f>
        <v>2.6762597488531075</v>
      </c>
      <c r="CR194" s="40">
        <v>1</v>
      </c>
      <c r="CS194" s="9">
        <f>4*CQ194*P194+60*CQ194</f>
        <v>292.98401051983387</v>
      </c>
      <c r="CU194" s="4">
        <f>AJ194/BF194</f>
        <v>1.5194412968967341</v>
      </c>
      <c r="CV194" s="4">
        <f>AJ194/BK194</f>
        <v>1.5403477162307675</v>
      </c>
      <c r="CW194" s="4">
        <f>AJ194/BN194</f>
        <v>0.9895836477926353</v>
      </c>
      <c r="CX194" s="4">
        <f>AJ194/CS194</f>
        <v>1.7842564847212592</v>
      </c>
      <c r="CY194" s="4">
        <f>AJ194/DZ194</f>
        <v>1.6522350926872018</v>
      </c>
      <c r="CZ194" s="4">
        <f>AJ194/EL194</f>
        <v>1.1905256945812908</v>
      </c>
      <c r="DA194" s="4">
        <f>AJ194/GI194</f>
        <v>0.96797883882138447</v>
      </c>
      <c r="DB194" s="4">
        <f>AN194</f>
        <v>4</v>
      </c>
      <c r="DI194" s="4">
        <f>CU194</f>
        <v>1.5194412968967341</v>
      </c>
      <c r="DJ194" s="4">
        <f>CV194</f>
        <v>1.5403477162307675</v>
      </c>
      <c r="DK194" s="4">
        <f>CX194</f>
        <v>1.7842564847212592</v>
      </c>
      <c r="DL194" s="4">
        <f>DA194</f>
        <v>0.96797883882138447</v>
      </c>
      <c r="DM194" s="4">
        <f>CY194</f>
        <v>1.6522350926872018</v>
      </c>
      <c r="DN194" s="4">
        <f>CZ194</f>
        <v>1.1905256945812908</v>
      </c>
      <c r="DQ194" s="4">
        <f>L194</f>
        <v>442.976</v>
      </c>
      <c r="DT194" s="4">
        <f>K194/4/(1-0.3*(M194/30)^0.5)/200000/N194</f>
        <v>2.1759814888054373E-5</v>
      </c>
      <c r="DU194" s="4">
        <f>EP194</f>
        <v>5.5816724777772073</v>
      </c>
      <c r="DV194" s="4">
        <f>EC194*AG194/257/M194/AD194</f>
        <v>0.26912764405236822</v>
      </c>
      <c r="DW194" s="4">
        <f>DU194*DV194^0.4</f>
        <v>3.3017765073951453</v>
      </c>
      <c r="DX194" s="4">
        <f>MIN(DU194, DU194/1.4*(1-DV194^1.4)/(1-DV194))</f>
        <v>4.586567102179429</v>
      </c>
      <c r="DY194" s="4">
        <f>MAX(DU194/2, (4-DT194*(8*AG194*(DW194-DX194)+6*K194*DX194))/(4+DT194*K194*DU194)*DU194)</f>
        <v>5.1665172870055294</v>
      </c>
      <c r="DZ194" s="38">
        <f>MIN(1/N194*(4*AG194*(DW194-DX194)+(3*DX194+DY194)*K194)+EC194 -FJ194,MAX(J194,AJ194))</f>
        <v>316.39481754345172</v>
      </c>
      <c r="EA194" s="4">
        <f>DZ194/FF194</f>
        <v>1.0001283372113983</v>
      </c>
      <c r="EB194" s="4">
        <f>AG194/N194</f>
        <v>2.1908902300206643</v>
      </c>
      <c r="EC194" s="4">
        <f>MIN(EB$10*BB194)</f>
        <v>93.559653033368761</v>
      </c>
      <c r="EG194" s="4">
        <f>IF(U194&gt;1*N194,0.85,1)</f>
        <v>0.85</v>
      </c>
      <c r="EH194" s="4">
        <f>MIN(1,MAX(0.7,(1-0.1*(BZ194-1*N194)/N194)))</f>
        <v>0.91560283687943256</v>
      </c>
      <c r="EI194" s="4">
        <f>MIN(1,MAX(0.7,1-0.3*(PI()*AM194^2/4*AQ194*2-0.25*PI()/4*N194^2)/(PI()/4*N194^2)))</f>
        <v>0.9995510789195714</v>
      </c>
      <c r="EJ194" s="4">
        <f>IF(EH194*EI194&lt;0.7,0.7,EH194*EI194)</f>
        <v>0.91519180346465712</v>
      </c>
      <c r="EL194" s="4">
        <f>MIN(DU194/N194*3*K194+EM194-FJ194,MAX(J194,AJ194))</f>
        <v>439.09898212949531</v>
      </c>
      <c r="EM194" s="25">
        <f>13.3*Q194*K194^0.5*M194^0.5/X194/N194^2*(0.7+S194/5/K194)</f>
        <v>231.98330550729423</v>
      </c>
      <c r="EO194" s="4">
        <f>EG194*EJ194</f>
        <v>0.7779130329449585</v>
      </c>
      <c r="EP194" s="4">
        <f>IF(N194&lt;22.2,1.1*5*(M194/30)^0.5,IF(N194&gt;=31.8,0.9*5*(M194/30)^0.5,1*5*(M194/30)^0.5))/EG194/EJ194</f>
        <v>5.5816724777772073</v>
      </c>
      <c r="ES194" s="4">
        <f>ET194*N194</f>
        <v>78.464542697960056</v>
      </c>
      <c r="ET194" s="4">
        <f>AF194^0.5</f>
        <v>2.1908902300206643</v>
      </c>
      <c r="EU194" s="4">
        <f>MIN(EC194)/(4700*M194^0.5)/AE194*ES194</f>
        <v>7.7774474516174044E-2</v>
      </c>
      <c r="EX194" s="4">
        <f>EU194</f>
        <v>7.7774474516174044E-2</v>
      </c>
      <c r="EY194" s="4">
        <f>MIN(0.999, EX194/(0.3*(M194/30)^0.5))</f>
        <v>0.26867852017301913</v>
      </c>
      <c r="EZ194" s="4">
        <f>EP194/1*EY194^0.4</f>
        <v>3.2995713831331406</v>
      </c>
      <c r="FA194" s="4">
        <f>EP194/1.4*(1-EY194^1.4)/(1-EY194)</f>
        <v>4.585777401266375</v>
      </c>
      <c r="FB194" s="4">
        <f>MAX(0,DQ194*FB$9-ES194)</f>
        <v>253.76745730203993</v>
      </c>
      <c r="FC194" s="4">
        <f>MAX(0,DQ194-ES194-FB194)</f>
        <v>110.74400000000003</v>
      </c>
      <c r="FD194" s="4">
        <f>FC194/(1-0.3*(M194/30)^0.5)/200000/N194</f>
        <v>2.1759814888054376E-5</v>
      </c>
      <c r="FE194" s="4">
        <f>MAX(0.5*EP194, (1-2*FD194*(ES194*EZ194+FB194*FA194))/(1/EP194+FD194*FC194))</f>
        <v>5.1666067925098016</v>
      </c>
      <c r="FF194" s="4">
        <f>MIN(4/N194*(1*EZ194*ES194+FA194*FB194+FC194*FE194)+EC194,MAX(J194,AJ194))</f>
        <v>316.35421752536047</v>
      </c>
      <c r="FO194" s="23">
        <f>IF(CU194&lt;0.6,0.6,IF(CU194&lt;0.8,0.8,IF(CU194&lt;1,1,IF(CU194&lt;1.2,1.2,IF(CU194&lt;1.4,1.4,IF(CU194&lt;1.6,1.6,IF(CU194&lt;1.8,1.8,IF(CU194&lt;2,2,2.2))))))))</f>
        <v>1.6</v>
      </c>
      <c r="FP194" s="23">
        <f>IF(CV194&lt;0.6,0.6,IF(CV194&lt;0.8,0.8,IF(CV194&lt;1,1,IF(CV194&lt;1.2,1.2,IF(CV194&lt;1.4,1.4,IF(CV194&lt;1.6,1.6,IF(CV194&lt;1.8,1.8,IF(CV194&lt;2,2,2.2))))))))</f>
        <v>1.6</v>
      </c>
      <c r="FQ194" s="23">
        <f>IF(DA194&lt;0.6,0.6,IF(DA194&lt;0.8,0.8,IF(DA194&lt;1,1,IF(DA194&lt;1.2,1.2,IF(DA194&lt;1.4,1.4,IF(DA194&lt;1.6,1.6,IF(DA194&lt;1.8,1.8,IF(DA194&lt;2,2,2.2))))))))</f>
        <v>1</v>
      </c>
      <c r="FR194" s="23">
        <f>IF(CX194&lt;0.6,0.6,IF(CX194&lt;0.8,0.8,IF(CX194&lt;1,1,IF(CX194&lt;1.2,1.2,IF(CX194&lt;1.4,1.4,IF(CX194&lt;1.6,1.6,IF(CX194&lt;1.8,1.8,IF(CX194&lt;2,2,2.2))))))))</f>
        <v>1.8</v>
      </c>
      <c r="FS194" s="23">
        <f>IF(CY194&lt;0.6,0.6,IF(CY194&lt;0.8,0.8,IF(CY194&lt;1,1,IF(CY194&lt;1.2,1.2,IF(CY194&lt;1.4,1.4,IF(CY194&lt;1.6,1.6,IF(CY194&lt;1.8,1.8,IF(CY194&lt;2,2,2.2))))))))</f>
        <v>1.8</v>
      </c>
      <c r="FT194" s="23">
        <f>IF(CZ194&lt;0.6,0.6,IF(CZ194&lt;0.8,0.8,IF(CZ194&lt;1,1,IF(CZ194&lt;1.2,1.2,IF(CZ194&lt;1.4,1.4,IF(CZ194&lt;1.6,1.6,IF(CZ194&lt;1.8,1.8,IF(CZ194&lt;2,2,2.2))))))))</f>
        <v>1.2</v>
      </c>
      <c r="FU194" s="23">
        <f>IF(FS194&lt;1,1,0)</f>
        <v>0</v>
      </c>
      <c r="FV194" s="23"/>
      <c r="GF194" s="4">
        <f>IF(S194&gt;=2.5*25.4,1,1.25)</f>
        <v>1</v>
      </c>
      <c r="GG194" s="4">
        <f>IF(AO194&gt;1, 0.05*(18-MIN(8,(W194+N194)/N194))*(1-48000/MAX(60000,(J194*145))*(N194/25.4)^0.75*GH194), 1/12*(14-MIN(8,(W194+N194)/N194)))</f>
        <v>0.44214730608235164</v>
      </c>
      <c r="GH194" s="4">
        <f>MIN(0.3, AM194^2*PI()/4*2*AP194/(N194^2*PI()/4*X194))</f>
        <v>0.25149640360142855</v>
      </c>
      <c r="GI194" s="4">
        <f>(K194/25.4)/(N194/25.4)^1.5/0.0024*(M194*145)^0.25/GF194/GG194/145</f>
        <v>540.05170332666421</v>
      </c>
    </row>
    <row r="195" spans="1:196" ht="12" customHeight="1" thickBot="1" x14ac:dyDescent="0.35">
      <c r="A195" s="25">
        <v>410</v>
      </c>
      <c r="B195" s="4" t="s">
        <v>605</v>
      </c>
      <c r="C195" s="4">
        <v>2016</v>
      </c>
      <c r="D195" s="4" t="s">
        <v>309</v>
      </c>
      <c r="E195" s="14" t="s">
        <v>678</v>
      </c>
      <c r="F195" s="119"/>
      <c r="G195" s="14">
        <v>22</v>
      </c>
      <c r="H195" s="7" t="s">
        <v>580</v>
      </c>
      <c r="I195" s="5">
        <f>K195/N195</f>
        <v>12.234042553191491</v>
      </c>
      <c r="J195" s="90">
        <f>135/0.145</f>
        <v>931.0344827586207</v>
      </c>
      <c r="K195" s="95">
        <f>17.25*25.4</f>
        <v>438.15</v>
      </c>
      <c r="L195" s="4">
        <f>K195</f>
        <v>438.15</v>
      </c>
      <c r="M195" s="95">
        <f>5760/145</f>
        <v>39.724137931034484</v>
      </c>
      <c r="N195" s="38">
        <f>1.41*25.4</f>
        <v>35.813999999999993</v>
      </c>
      <c r="O195" s="7">
        <f>K195/N195</f>
        <v>12.234042553191491</v>
      </c>
      <c r="P195" s="7">
        <f>L195/N195</f>
        <v>12.234042553191491</v>
      </c>
      <c r="Q195" s="38">
        <f>21.9*25.4</f>
        <v>556.25999999999988</v>
      </c>
      <c r="R195" s="32">
        <f>S195/N195</f>
        <v>1.9503546099290783</v>
      </c>
      <c r="S195" s="38">
        <f>2.75*25.4</f>
        <v>69.849999999999994</v>
      </c>
      <c r="T195" s="32">
        <f>U195/N195</f>
        <v>2.3049645390070927</v>
      </c>
      <c r="U195" s="39">
        <f>3.25*25.4</f>
        <v>82.55</v>
      </c>
      <c r="V195" s="32">
        <f>W195/N195</f>
        <v>9.6312056737588652</v>
      </c>
      <c r="W195" s="7">
        <f>(Q195-X195*N195-2*S195)/(X195-1)</f>
        <v>344.9319999999999</v>
      </c>
      <c r="X195" s="38">
        <v>2</v>
      </c>
      <c r="Y195" s="7">
        <f>AN195</f>
        <v>0</v>
      </c>
      <c r="Z195" s="32">
        <f>AA195/N195</f>
        <v>14.18439716312057</v>
      </c>
      <c r="AA195" s="4">
        <f>20*25.4</f>
        <v>508</v>
      </c>
      <c r="AB195" s="7">
        <f>MIN(S195/N195+0.5, W195/2/N195+0.5)</f>
        <v>2.4503546099290783</v>
      </c>
      <c r="AC195" s="7">
        <f>S195/N195+0.5</f>
        <v>2.4503546099290783</v>
      </c>
      <c r="AD195" s="38">
        <v>3.9</v>
      </c>
      <c r="AE195" s="4">
        <f>AD195</f>
        <v>3.9</v>
      </c>
      <c r="AF195" s="4">
        <f>AE195+1</f>
        <v>4.9000000000000004</v>
      </c>
      <c r="AG195" s="7">
        <f>N195*AF195^0.5</f>
        <v>79.277668484889219</v>
      </c>
      <c r="AJ195" s="38">
        <f>AK195/0.145</f>
        <v>586.89655172413791</v>
      </c>
      <c r="AK195" s="4">
        <v>85.1</v>
      </c>
      <c r="AL195" s="4">
        <f>CY195</f>
        <v>1.5816026934977176</v>
      </c>
      <c r="AM195" s="38">
        <v>0</v>
      </c>
      <c r="AN195" s="38">
        <v>0</v>
      </c>
      <c r="AO195" s="39">
        <f>L195</f>
        <v>438.15</v>
      </c>
      <c r="AP195" s="39"/>
      <c r="AQ195" s="39"/>
      <c r="AR195" s="7"/>
      <c r="AS195" s="4">
        <f>K195</f>
        <v>438.15</v>
      </c>
      <c r="AT195" s="4">
        <f>IF(K195*3&gt;W195+N195, Q195, (S195+N195/2)*2+1.5*K195*(2*X195-2))*(3*K195)/(9*K195^2)</f>
        <v>0.42318840579710132</v>
      </c>
      <c r="AU195" s="4">
        <f>MIN(10*M195^0.5*K195^1.5,100*3.9*M195^0.5*K195^(5/3))/(PI()/4*N195^2)/X195</f>
        <v>286.90355464864228</v>
      </c>
      <c r="AV195" s="4">
        <f>MIN(0.7+0.3*(MIN(S195,AA195)+0.5*N195)/1.5/K195,1)</f>
        <v>0.74005797101449267</v>
      </c>
      <c r="AW195" s="4">
        <v>1.25</v>
      </c>
      <c r="AX195" s="4">
        <f>AX194</f>
        <v>1</v>
      </c>
      <c r="AY195" s="38">
        <f>AT195*AV195*AW195*AX195*AU195</f>
        <v>112.31698670071552</v>
      </c>
      <c r="AZ195" s="38">
        <f>AY195</f>
        <v>112.31698670071552</v>
      </c>
      <c r="BA195" s="38">
        <f>IF(M195&lt;50, 0.3*M195^(2/3), 2.12*LN(1+0.1*(M195+8)))</f>
        <v>3.4926701740126327</v>
      </c>
      <c r="BB195" s="38">
        <f>AX195* (M195^0.5/AS195^0.5)/(PI()/4*N195^2)/X195/0.72 *(0.7+(MIN(S195,AA195)+0.5*N195)/5/K195) *(3*Q195*K195)</f>
        <v>112.31698670071553</v>
      </c>
      <c r="BC195" s="38">
        <f>AY195/BB195</f>
        <v>0.99999999999999989</v>
      </c>
      <c r="BD195" s="38">
        <f>BH195/BB195</f>
        <v>3.4229477981693401</v>
      </c>
      <c r="BE195" s="4">
        <f>IF(BD195&lt;1,1,0)</f>
        <v>0</v>
      </c>
      <c r="BF195" s="4">
        <f>L195/N195*M195^0.5/0.19</f>
        <v>405.82951253396902</v>
      </c>
      <c r="BG195" s="4">
        <f>MIN(0.6+0.4*(AC195/AB195),2)</f>
        <v>1</v>
      </c>
      <c r="BH195" s="38">
        <f>2*M195*AB195*AD195^0.5*BG195*0.7/0.7</f>
        <v>384.45518232422927</v>
      </c>
      <c r="BI195" s="4">
        <f>MAX(1-0.7*AE195/5,0.3)</f>
        <v>0.45399999999999996</v>
      </c>
      <c r="BJ195" s="4">
        <f>BI195*J195*L195/(J195*N195/2.75/M195^0.5)</f>
        <v>96.26884781574546</v>
      </c>
      <c r="BK195" s="4">
        <f>BH195+BJ195</f>
        <v>480.72403013997473</v>
      </c>
      <c r="BM195" s="4">
        <f>MIN(1.5, 0.75+0.25*MIN(3,MAX(1,S195/N195))+0.4*MIN(1,(40*2*PI()*AM195^2/4/AO195/X195)/N195))</f>
        <v>1.2375886524822697</v>
      </c>
      <c r="BN195" s="4">
        <f>(3*P195+30)*BM195*M195^0.5</f>
        <v>520.28732562540654</v>
      </c>
      <c r="BP195" s="4">
        <f>3.4/PI()^0.5*M195*AB195*AE195^0.5*BG195</f>
        <v>368.7395356540822</v>
      </c>
      <c r="BQ195" s="4">
        <f>8/3*AH195*AI195^2/(AG195-N195-22)/N195*(AG195^2-N195^2)/(AG195^2-(N195+22)^2)</f>
        <v>0</v>
      </c>
      <c r="BR195" s="4">
        <f>BQ195/BP195</f>
        <v>0</v>
      </c>
      <c r="BZ195" s="4">
        <f>IF(W195=0,S195,MIN(W195/2,S195))</f>
        <v>69.849999999999994</v>
      </c>
      <c r="CD195" s="9"/>
      <c r="CF195" s="9"/>
      <c r="CG195" s="9"/>
      <c r="CH195" s="9">
        <f>IF(W195=0,MIN(S195,U195),MIN(W195/2,S195,U195))</f>
        <v>69.849999999999994</v>
      </c>
      <c r="CI195" s="9">
        <f>MAX(W195/2,S195)</f>
        <v>172.46599999999995</v>
      </c>
      <c r="CJ195" s="9">
        <f>(CH195/N195)^0.5*(CI195/CH195)^0.15</f>
        <v>1.5993273076622354</v>
      </c>
      <c r="CK195" s="70">
        <f>IF(AO195&gt;1,20,0)</f>
        <v>20</v>
      </c>
      <c r="CL195" s="9">
        <f>MIN(PI()*AM195^2/4*AN195*2/X195/N195/MAX(0.01,AO195),0.05)</f>
        <v>0</v>
      </c>
      <c r="CM195" s="9">
        <f>MAX(0,CK195*(CL195-0.5/50))</f>
        <v>0</v>
      </c>
      <c r="CN195" s="9">
        <f>MIN(1,(25/N195)^0.3)</f>
        <v>0.89777220146327208</v>
      </c>
      <c r="CO195" s="9">
        <f>IF(J195&gt;=800,0.68,IF(J195&gt;=700,0.75-(J195-700)*0.07/100,IF(J195&gt;=600,0.85-(J195-600)*0.1/100,IF(J195&gt;=500,1-(J195-500)*0.15/100,1.2-(J195-400)*0.2/100))))</f>
        <v>0.68</v>
      </c>
      <c r="CP195" s="9">
        <f>1.75*CN195*CO195*(M195/25)^0.5</f>
        <v>1.3466984227273664</v>
      </c>
      <c r="CQ195" s="9">
        <f>MIN((CJ195+CM195)*CP195,2.5*CP195,M195^0.5)</f>
        <v>2.1538115626535377</v>
      </c>
      <c r="CR195" s="40">
        <v>1</v>
      </c>
      <c r="CS195" s="9">
        <f>4*CQ195*P195+60*CQ195</f>
        <v>234.62798299544923</v>
      </c>
      <c r="CU195" s="4">
        <f>AJ195/BF195</f>
        <v>1.4461652827060305</v>
      </c>
      <c r="CV195" s="4">
        <f>AJ195/BK195</f>
        <v>1.2208596095211808</v>
      </c>
      <c r="CW195" s="4">
        <f>AJ195/BN195</f>
        <v>1.1280239260463714</v>
      </c>
      <c r="CX195" s="4">
        <f>AJ195/CS195</f>
        <v>2.5013919662580109</v>
      </c>
      <c r="CY195" s="4">
        <f>AJ195/DZ195</f>
        <v>1.5816026934977176</v>
      </c>
      <c r="CZ195" s="4">
        <f>AJ195/EL195</f>
        <v>1.1167546869959355</v>
      </c>
      <c r="DA195" s="4">
        <f>AJ195/GI195</f>
        <v>1.1377445264616732</v>
      </c>
      <c r="DB195" s="4">
        <f>AN195</f>
        <v>0</v>
      </c>
      <c r="DC195" s="4">
        <f>CU195</f>
        <v>1.4461652827060305</v>
      </c>
      <c r="DD195" s="4">
        <f>CV195</f>
        <v>1.2208596095211808</v>
      </c>
      <c r="DE195" s="4">
        <f>CX195</f>
        <v>2.5013919662580109</v>
      </c>
      <c r="DF195" s="4">
        <f>DA195</f>
        <v>1.1377445264616732</v>
      </c>
      <c r="DG195" s="4">
        <f>CY195</f>
        <v>1.5816026934977176</v>
      </c>
      <c r="DH195" s="4">
        <f>CZ195</f>
        <v>1.1167546869959355</v>
      </c>
      <c r="DQ195" s="4">
        <f>L195</f>
        <v>438.15</v>
      </c>
      <c r="DT195" s="4">
        <f>K195/4/(1-0.3*(M195/30)^0.5)/200000/N195</f>
        <v>2.3355024869096883E-5</v>
      </c>
      <c r="DU195" s="4">
        <f>EP195</f>
        <v>6.7317602388156281</v>
      </c>
      <c r="DV195" s="4">
        <f>EC195*AG195/257/M195/AD195</f>
        <v>0.22363722835875929</v>
      </c>
      <c r="DW195" s="4">
        <f>DU195*DV195^0.4</f>
        <v>3.6978243680066525</v>
      </c>
      <c r="DX195" s="4">
        <f>MIN(DU195, DU195/1.4*(1-DV195^1.4)/(1-DV195))</f>
        <v>5.4326490342306091</v>
      </c>
      <c r="DY195" s="4">
        <f>MAX(DU195/2, (4-DT195*(8*AG195*(DW195-DX195)+6*K195*DX195))/(4+DT195*K195*DU195)*DU195)</f>
        <v>6.1084579250123436</v>
      </c>
      <c r="DZ195" s="38">
        <f>MIN(1/N195*(4*AG195*(DW195-DX195)+(3*DX195+DY195)*K195)+EC195 -FJ195,MAX(J195,AJ195))</f>
        <v>371.07710687202672</v>
      </c>
      <c r="EA195" s="4">
        <f>DZ195/FF195</f>
        <v>1.0001174266193569</v>
      </c>
      <c r="EB195" s="4">
        <f>AG195/N195</f>
        <v>2.2135943621178655</v>
      </c>
      <c r="EC195" s="4">
        <f>MIN(EB$10*BB195)</f>
        <v>112.31698670071553</v>
      </c>
      <c r="EG195" s="4">
        <f>IF(U195&gt;1*N195,0.85,1)</f>
        <v>0.85</v>
      </c>
      <c r="EH195" s="4">
        <f>MIN(1,MAX(0.7,(1-0.1*(BZ195-1*N195)/N195)))</f>
        <v>0.90496453900709217</v>
      </c>
      <c r="EI195" s="4">
        <f>MIN(1,MAX(0.7,1-0.3*(PI()*AM195^2/4*AQ195*2-0.25*PI()/4*N195^2)/(PI()/4*N195^2)))</f>
        <v>1</v>
      </c>
      <c r="EJ195" s="4">
        <f>IF(EH195*EI195&lt;0.7,0.7,EH195*EI195)</f>
        <v>0.90496453900709217</v>
      </c>
      <c r="EL195" s="4">
        <f>MIN(DU195/N195*3*K195+EM195-FJ195,MAX(J195,AJ195))</f>
        <v>525.53757647786256</v>
      </c>
      <c r="EM195" s="25">
        <f>13.3*Q195*K195^0.5*M195^0.5/X195/N195^2*(0.7+S195/5/K195)</f>
        <v>278.46765281920381</v>
      </c>
      <c r="EO195" s="4">
        <f>EG195*EJ195</f>
        <v>0.76921985815602834</v>
      </c>
      <c r="EP195" s="4">
        <f>IF(N195&lt;22.2,1.1*5*(M195/30)^0.5,IF(N195&gt;=31.8,0.9*5*(M195/30)^0.5,1*5*(M195/30)^0.5))/EG195/EJ195</f>
        <v>6.7317602388156281</v>
      </c>
      <c r="ES195" s="4">
        <f>ET195*N195</f>
        <v>79.277668484889219</v>
      </c>
      <c r="ET195" s="4">
        <f>AF195^0.5</f>
        <v>2.2135943621178655</v>
      </c>
      <c r="EU195" s="4">
        <f>MIN(EC195)/(4700*M195^0.5)/AE195*ES195</f>
        <v>7.7073770804210393E-2</v>
      </c>
      <c r="EX195" s="4">
        <f>EU195</f>
        <v>7.7073770804210393E-2</v>
      </c>
      <c r="EY195" s="4">
        <f>MIN(0.999, EX195/(0.3*(M195/30)^0.5))</f>
        <v>0.22326401950494193</v>
      </c>
      <c r="EZ195" s="4">
        <f>EP195/1*EY195^0.4</f>
        <v>3.6953547392439976</v>
      </c>
      <c r="FA195" s="4">
        <f>EP195/1.4*(1-EY195^1.4)/(1-EY195)</f>
        <v>5.4318148863242222</v>
      </c>
      <c r="FB195" s="4">
        <f>MAX(0,DQ195*FB$9-ES195)</f>
        <v>249.33483151511075</v>
      </c>
      <c r="FC195" s="4">
        <f>MAX(0,DQ195-ES195-FB195)</f>
        <v>109.53750000000002</v>
      </c>
      <c r="FD195" s="4">
        <f>FC195/(1-0.3*(M195/30)^0.5)/200000/N195</f>
        <v>2.3355024869096893E-5</v>
      </c>
      <c r="FE195" s="4">
        <f>MAX(0.5*EP195, (1-2*FD195*(ES195*EZ195+FB195*FA195))/(1/EP195+FD195*FC195))</f>
        <v>6.1085827368851593</v>
      </c>
      <c r="FF195" s="4">
        <f>MIN(4/N195*(1*EZ195*ES195+FA195*FB195+FC195*FE195)+EC195,MAX(J195,AJ195))</f>
        <v>371.03353765803155</v>
      </c>
      <c r="FO195" s="23">
        <f>IF(CU195&lt;0.6,0.6,IF(CU195&lt;0.8,0.8,IF(CU195&lt;1,1,IF(CU195&lt;1.2,1.2,IF(CU195&lt;1.4,1.4,IF(CU195&lt;1.6,1.6,IF(CU195&lt;1.8,1.8,IF(CU195&lt;2,2,2.2))))))))</f>
        <v>1.6</v>
      </c>
      <c r="FP195" s="23">
        <f>IF(CV195&lt;0.6,0.6,IF(CV195&lt;0.8,0.8,IF(CV195&lt;1,1,IF(CV195&lt;1.2,1.2,IF(CV195&lt;1.4,1.4,IF(CV195&lt;1.6,1.6,IF(CV195&lt;1.8,1.8,IF(CV195&lt;2,2,2.2))))))))</f>
        <v>1.4</v>
      </c>
      <c r="FQ195" s="23">
        <f>IF(DA195&lt;0.6,0.6,IF(DA195&lt;0.8,0.8,IF(DA195&lt;1,1,IF(DA195&lt;1.2,1.2,IF(DA195&lt;1.4,1.4,IF(DA195&lt;1.6,1.6,IF(DA195&lt;1.8,1.8,IF(DA195&lt;2,2,2.2))))))))</f>
        <v>1.2</v>
      </c>
      <c r="FR195" s="23">
        <f>IF(CX195&lt;0.6,0.6,IF(CX195&lt;0.8,0.8,IF(CX195&lt;1,1,IF(CX195&lt;1.2,1.2,IF(CX195&lt;1.4,1.4,IF(CX195&lt;1.6,1.6,IF(CX195&lt;1.8,1.8,IF(CX195&lt;2,2,2.2))))))))</f>
        <v>2.2000000000000002</v>
      </c>
      <c r="FS195" s="23">
        <f>IF(CY195&lt;0.6,0.6,IF(CY195&lt;0.8,0.8,IF(CY195&lt;1,1,IF(CY195&lt;1.2,1.2,IF(CY195&lt;1.4,1.4,IF(CY195&lt;1.6,1.6,IF(CY195&lt;1.8,1.8,IF(CY195&lt;2,2,2.2))))))))</f>
        <v>1.6</v>
      </c>
      <c r="FT195" s="23">
        <f>IF(CZ195&lt;0.6,0.6,IF(CZ195&lt;0.8,0.8,IF(CZ195&lt;1,1,IF(CZ195&lt;1.2,1.2,IF(CZ195&lt;1.4,1.4,IF(CZ195&lt;1.6,1.6,IF(CZ195&lt;1.8,1.8,IF(CZ195&lt;2,2,2.2))))))))</f>
        <v>1.2</v>
      </c>
      <c r="FU195" s="23">
        <f>IF(FS195&lt;1,1,0)</f>
        <v>0</v>
      </c>
      <c r="FV195" s="23"/>
      <c r="GF195" s="4">
        <f>IF(S195&gt;=2.5*25.4,1,1.25)</f>
        <v>1</v>
      </c>
      <c r="GG195" s="4">
        <f>IF(AO195&gt;1, 0.05*(18-MIN(8,(W195+N195)/N195))*(1-48000/MAX(60000,(J195*145))*(N195/25.4)^0.75*GH195), 1/12*(14-MIN(8,(W195+N195)/N195)))</f>
        <v>0.5</v>
      </c>
      <c r="GH195" s="4">
        <f>MIN(0.3, AM195^2*PI()/4*2*AP195/(N195^2*PI()/4*X195))</f>
        <v>0</v>
      </c>
      <c r="GI195" s="4">
        <f>(K195/25.4)/(N195/25.4)^1.5/0.0024*(M195*145)^0.25/GF195/GG195/145</f>
        <v>515.84212279127007</v>
      </c>
    </row>
    <row r="196" spans="1:196" ht="12" customHeight="1" thickBot="1" x14ac:dyDescent="0.35">
      <c r="A196" s="25">
        <v>416</v>
      </c>
      <c r="B196" s="4" t="s">
        <v>605</v>
      </c>
      <c r="C196" s="4">
        <v>2016</v>
      </c>
      <c r="D196" s="4" t="s">
        <v>309</v>
      </c>
      <c r="E196" s="14" t="s">
        <v>586</v>
      </c>
      <c r="F196" s="117"/>
      <c r="G196" s="14"/>
      <c r="H196" s="48" t="s">
        <v>587</v>
      </c>
      <c r="I196" s="5">
        <f>K196/N196</f>
        <v>12.148936170212767</v>
      </c>
      <c r="J196" s="78">
        <f>115.9/0.145</f>
        <v>799.31034482758628</v>
      </c>
      <c r="K196" s="38">
        <f>17.13*25.4</f>
        <v>435.10199999999998</v>
      </c>
      <c r="L196" s="4">
        <f>K196</f>
        <v>435.10199999999998</v>
      </c>
      <c r="M196" s="38">
        <f>10860/145</f>
        <v>74.896551724137936</v>
      </c>
      <c r="N196" s="38">
        <f>1.41*25.4</f>
        <v>35.813999999999993</v>
      </c>
      <c r="O196" s="7">
        <f>K196/N196</f>
        <v>12.148936170212767</v>
      </c>
      <c r="P196" s="7">
        <f>L196/N196</f>
        <v>12.148936170212767</v>
      </c>
      <c r="Q196" s="38">
        <f>21.9*25.4</f>
        <v>556.25999999999988</v>
      </c>
      <c r="R196" s="32">
        <f>S196/N196</f>
        <v>1.9858156028368796</v>
      </c>
      <c r="S196" s="38">
        <f>2.8*25.4</f>
        <v>71.11999999999999</v>
      </c>
      <c r="T196" s="32">
        <f>U196/N196</f>
        <v>2.7659574468085109</v>
      </c>
      <c r="U196" s="39">
        <f>3.9*25.4</f>
        <v>99.059999999999988</v>
      </c>
      <c r="V196" s="32">
        <f>W196/N196</f>
        <v>9.5602836879432633</v>
      </c>
      <c r="W196" s="7">
        <f>(Q196-X196*N196-2*S196)/(X196-1)</f>
        <v>342.39199999999994</v>
      </c>
      <c r="X196" s="38">
        <v>2</v>
      </c>
      <c r="Y196" s="7">
        <f>AN196</f>
        <v>0</v>
      </c>
      <c r="Z196" s="32">
        <f>AA196/N196</f>
        <v>14.18439716312057</v>
      </c>
      <c r="AA196" s="4">
        <f>20*25.4</f>
        <v>508</v>
      </c>
      <c r="AB196" s="7">
        <f>MIN(S196/N196+0.5, W196/2/N196+0.5)</f>
        <v>2.4858156028368796</v>
      </c>
      <c r="AC196" s="7">
        <f>S196/N196+0.5</f>
        <v>2.4858156028368796</v>
      </c>
      <c r="AD196" s="38">
        <v>4.5</v>
      </c>
      <c r="AE196" s="4">
        <f>AD196</f>
        <v>4.5</v>
      </c>
      <c r="AF196" s="4">
        <f>AE196+1</f>
        <v>5.5</v>
      </c>
      <c r="AG196" s="7">
        <f>N196*AF196^0.5</f>
        <v>83.991275011158137</v>
      </c>
      <c r="AJ196" s="38">
        <f>AK196/0.145</f>
        <v>749.65517241379314</v>
      </c>
      <c r="AK196" s="4">
        <v>108.7</v>
      </c>
      <c r="AL196" s="4">
        <f>CY196</f>
        <v>1.5398515478642198</v>
      </c>
      <c r="AM196" s="38">
        <v>0</v>
      </c>
      <c r="AN196" s="38">
        <v>0</v>
      </c>
      <c r="AO196" s="39">
        <f>L196</f>
        <v>435.10199999999998</v>
      </c>
      <c r="AP196" s="39"/>
      <c r="AQ196" s="39"/>
      <c r="AR196" s="7"/>
      <c r="AS196" s="4">
        <f>K196</f>
        <v>435.10199999999998</v>
      </c>
      <c r="AT196" s="4">
        <f>IF(K196*3&gt;W196+N196, Q196, (S196+N196/2)*2+1.5*K196*(2*X196-2))*(3*K196)/(9*K196^2)</f>
        <v>0.42615294804436654</v>
      </c>
      <c r="AU196" s="4">
        <f>MIN(10*M196^0.5*K196^1.5,100*3.9*M196^0.5*K196^(5/3))/(PI()/4*N196^2)/X196</f>
        <v>389.84502406210481</v>
      </c>
      <c r="AV196" s="4">
        <f>MIN(0.7+0.3*(MIN(S196,AA196)+0.5*N196)/1.5/K196,1)</f>
        <v>0.74092235843549326</v>
      </c>
      <c r="AW196" s="4">
        <v>1.25</v>
      </c>
      <c r="AX196" s="4">
        <f>AX195</f>
        <v>1</v>
      </c>
      <c r="AY196" s="38">
        <f>AT196*AV196*AW196*AX196*AU196</f>
        <v>153.86512922962527</v>
      </c>
      <c r="AZ196" s="38">
        <f>AY196</f>
        <v>153.86512922962527</v>
      </c>
      <c r="BA196" s="38">
        <f>IF(M196&lt;50, 0.3*M196^(2/3), 2.12*LN(1+0.1*(M196+8)))</f>
        <v>4.7252710400583542</v>
      </c>
      <c r="BB196" s="38">
        <f>AX196* (M196^0.5/AS196^0.5)/(PI()/4*N196^2)/X196/0.72 *(0.7+(MIN(S196,AA196)+0.5*N196)/5/K196) *(3*Q196*K196)</f>
        <v>153.86512922962518</v>
      </c>
      <c r="BC196" s="38">
        <f>AY196/BB196</f>
        <v>1.0000000000000004</v>
      </c>
      <c r="BD196" s="38">
        <f>BH196/BB196</f>
        <v>5.1336561834031986</v>
      </c>
      <c r="BE196" s="4">
        <f>IF(BD196&lt;1,1,0)</f>
        <v>0</v>
      </c>
      <c r="BF196" s="4">
        <f>L196/N196*M196^0.5/0.19</f>
        <v>553.3699362263194</v>
      </c>
      <c r="BG196" s="4">
        <f>MIN(0.6+0.4*(AC196/AB196),2)</f>
        <v>1</v>
      </c>
      <c r="BH196" s="38">
        <f>2*M196*AB196*AD196^0.5*BG196*0.7/0.7</f>
        <v>789.89067207979758</v>
      </c>
      <c r="BI196" s="4">
        <f>MAX(1-0.7*AE196/5,0.3)</f>
        <v>0.37</v>
      </c>
      <c r="BJ196" s="4">
        <f>BI196*J196*L196/(J196*N196/2.75/M196^0.5)</f>
        <v>106.98024292095322</v>
      </c>
      <c r="BK196" s="4">
        <f>BH196+BJ196</f>
        <v>896.87091500075076</v>
      </c>
      <c r="BM196" s="4">
        <f>MIN(1.5, 0.75+0.25*MIN(3,MAX(1,S196/N196))+0.4*MIN(1,(40*2*PI()*AM196^2/4/AO196/X196)/N196))</f>
        <v>1.2464539007092199</v>
      </c>
      <c r="BN196" s="4">
        <f>(3*P196+30)*BM196*M196^0.5</f>
        <v>716.77237488729395</v>
      </c>
      <c r="BP196" s="4">
        <f>3.4/PI()^0.5*M196*AB196*AE196^0.5*BG196</f>
        <v>757.60175185922924</v>
      </c>
      <c r="BQ196" s="4">
        <f>8/3*AH196*AI196^2/(AG196-N196-22)/N196*(AG196^2-N196^2)/(AG196^2-(N196+22)^2)</f>
        <v>0</v>
      </c>
      <c r="BR196" s="4">
        <f>BQ196/BP196</f>
        <v>0</v>
      </c>
      <c r="BZ196" s="4">
        <f>IF(W196=0,S196,MIN(W196/2,S196))</f>
        <v>71.11999999999999</v>
      </c>
      <c r="CD196" s="9"/>
      <c r="CF196" s="9"/>
      <c r="CG196" s="9"/>
      <c r="CH196" s="9">
        <f>IF(W196=0,MIN(S196,U196),MIN(W196/2,S196,U196))</f>
        <v>71.11999999999999</v>
      </c>
      <c r="CI196" s="9">
        <f>MAX(W196/2,S196)</f>
        <v>171.19599999999997</v>
      </c>
      <c r="CJ196" s="9">
        <f>(CH196/N196)^0.5*(CI196/CH196)^0.15</f>
        <v>1.6076619725091519</v>
      </c>
      <c r="CK196" s="70">
        <f>IF(AO196&gt;1,20,0)</f>
        <v>20</v>
      </c>
      <c r="CL196" s="9">
        <f>MIN(PI()*AM196^2/4*AN196*2/X196/N196/MAX(0.01,AO196),0.05)</f>
        <v>0</v>
      </c>
      <c r="CM196" s="9">
        <f>MAX(0,CK196*(CL196-0.5/50))</f>
        <v>0</v>
      </c>
      <c r="CN196" s="9">
        <f>MIN(1,(25/N196)^0.3)</f>
        <v>0.89777220146327208</v>
      </c>
      <c r="CO196" s="9">
        <f>IF(J196&gt;=800,0.68,IF(J196&gt;=700,0.75-(J196-700)*0.07/100,IF(J196&gt;=600,0.85-(J196-600)*0.1/100,IF(J196&gt;=500,1-(J196-500)*0.15/100,1.2-(J196-400)*0.2/100))))</f>
        <v>0.68048275862068963</v>
      </c>
      <c r="CP196" s="9">
        <f>1.75*CN196*CO196*(M196/25)^0.5</f>
        <v>1.8504707967044269</v>
      </c>
      <c r="CQ196" s="9">
        <f>MIN((CJ196+CM196)*CP196,2.5*CP196,M196^0.5)</f>
        <v>2.9749315311004207</v>
      </c>
      <c r="CR196" s="40">
        <v>1</v>
      </c>
      <c r="CS196" s="9">
        <f>4*CQ196*P196+60*CQ196</f>
        <v>323.06490499439462</v>
      </c>
      <c r="CU196" s="4">
        <f>AJ196/BF196</f>
        <v>1.3547088906311604</v>
      </c>
      <c r="CV196" s="4">
        <f>AJ196/BK196</f>
        <v>0.83585626412376812</v>
      </c>
      <c r="CW196" s="4">
        <f>AJ196/BN196</f>
        <v>1.0458762065595366</v>
      </c>
      <c r="CX196" s="4">
        <f>AJ196/CS196</f>
        <v>2.3204475658747277</v>
      </c>
      <c r="CY196" s="4">
        <f>AJ196/DZ196</f>
        <v>1.5398515478642198</v>
      </c>
      <c r="CZ196" s="4">
        <f>AJ196/EL196</f>
        <v>1.0416632154626597</v>
      </c>
      <c r="DA196" s="4">
        <f>AJ196/GI196</f>
        <v>1.2488912988332597</v>
      </c>
      <c r="DB196" s="4">
        <f>AN196</f>
        <v>0</v>
      </c>
      <c r="DC196" s="4">
        <f>CU196</f>
        <v>1.3547088906311604</v>
      </c>
      <c r="DD196" s="4">
        <f>CV196</f>
        <v>0.83585626412376812</v>
      </c>
      <c r="DE196" s="4">
        <f>CX196</f>
        <v>2.3204475658747277</v>
      </c>
      <c r="DF196" s="4">
        <f>DA196</f>
        <v>1.2488912988332597</v>
      </c>
      <c r="DG196" s="4">
        <f>CY196</f>
        <v>1.5398515478642198</v>
      </c>
      <c r="DH196" s="4">
        <f>CZ196</f>
        <v>1.0416632154626597</v>
      </c>
      <c r="DQ196" s="4">
        <f>L196</f>
        <v>435.10199999999998</v>
      </c>
      <c r="DT196" s="4">
        <f>K196/4/(1-0.3*(M196/30)^0.5)/200000/N196</f>
        <v>2.8871836657560902E-5</v>
      </c>
      <c r="DU196" s="4">
        <f>EP196</f>
        <v>9.2797747433667563</v>
      </c>
      <c r="DV196" s="4">
        <f>EC196*AG196/257/M196/AD196</f>
        <v>0.14919934612866828</v>
      </c>
      <c r="DW196" s="4">
        <f>DU196*DV196^0.4</f>
        <v>4.3355500312183706</v>
      </c>
      <c r="DX196" s="4">
        <f>MIN(DU196, DU196/1.4*(1-DV196^1.4)/(1-DV196))</f>
        <v>7.2477222100980301</v>
      </c>
      <c r="DY196" s="4">
        <f>MAX(DU196/2, (4-DT196*(8*AG196*(DW196-DX196)+6*K196*DX196))/(4+DT196*K196*DU196)*DU196)</f>
        <v>7.9128843237861739</v>
      </c>
      <c r="DZ196" s="38">
        <f>MIN(1/N196*(4*AG196*(DW196-DX196)+(3*DX196+DY196)*K196)+EC196 -FJ196,MAX(J196,AJ196))</f>
        <v>486.83600276505081</v>
      </c>
      <c r="EA196" s="4">
        <f>DZ196/FF196</f>
        <v>1.0000973503035313</v>
      </c>
      <c r="EB196" s="4">
        <f>AG196/N196</f>
        <v>2.3452078799117149</v>
      </c>
      <c r="EC196" s="4">
        <f>MIN(EB$10*BB196)</f>
        <v>153.86512922962518</v>
      </c>
      <c r="EG196" s="4">
        <f>IF(U196&gt;1*N196,0.85,1)</f>
        <v>0.85</v>
      </c>
      <c r="EH196" s="4">
        <f>MIN(1,MAX(0.7,(1-0.1*(BZ196-1*N196)/N196)))</f>
        <v>0.90141843971631208</v>
      </c>
      <c r="EI196" s="4">
        <f>MIN(1,MAX(0.7,1-0.3*(PI()*AM196^2/4*AQ196*2-0.25*PI()/4*N196^2)/(PI()/4*N196^2)))</f>
        <v>1</v>
      </c>
      <c r="EJ196" s="4">
        <f>IF(EH196*EI196&lt;0.7,0.7,EH196*EI196)</f>
        <v>0.90141843971631208</v>
      </c>
      <c r="EL196" s="4">
        <f>MIN(DU196/N196*3*K196+EM196-FJ196,MAX(J196,AJ196))</f>
        <v>719.67134990058207</v>
      </c>
      <c r="EM196" s="25">
        <f>13.3*Q196*K196^0.5*M196^0.5/X196/N196^2*(0.7+S196/5/K196)</f>
        <v>381.45317680723616</v>
      </c>
      <c r="EO196" s="4">
        <f>EG196*EJ196</f>
        <v>0.76620567375886528</v>
      </c>
      <c r="EP196" s="4">
        <f>IF(N196&lt;22.2,1.1*5*(M196/30)^0.5,IF(N196&gt;=31.8,0.9*5*(M196/30)^0.5,1*5*(M196/30)^0.5))/EG196/EJ196</f>
        <v>9.2797747433667563</v>
      </c>
      <c r="ES196" s="4">
        <f>ET196*N196</f>
        <v>83.991275011158137</v>
      </c>
      <c r="ET196" s="4">
        <f>AF196^0.5</f>
        <v>2.3452078799117149</v>
      </c>
      <c r="EU196" s="4">
        <f>MIN(EC196)/(4700*M196^0.5)/AE196*ES196</f>
        <v>7.060461622431484E-2</v>
      </c>
      <c r="EX196" s="4">
        <f>EU196</f>
        <v>7.060461622431484E-2</v>
      </c>
      <c r="EY196" s="4">
        <f>MIN(0.999, EX196/(0.3*(M196/30)^0.5))</f>
        <v>0.14895036022695762</v>
      </c>
      <c r="EZ196" s="4">
        <f>EP196/1*EY196^0.4</f>
        <v>4.3326544910321836</v>
      </c>
      <c r="FA196" s="4">
        <f>EP196/1.4*(1-EY196^1.4)/(1-EY196)</f>
        <v>7.246869791865147</v>
      </c>
      <c r="FB196" s="4">
        <f>MAX(0,DQ196*FB$9-ES196)</f>
        <v>242.33522498884187</v>
      </c>
      <c r="FC196" s="4">
        <f>MAX(0,DQ196-ES196-FB196)</f>
        <v>108.77549999999999</v>
      </c>
      <c r="FD196" s="4">
        <f>FC196/(1-0.3*(M196/30)^0.5)/200000/N196</f>
        <v>2.8871836657560902E-5</v>
      </c>
      <c r="FE196" s="4">
        <f>MAX(0.5*EP196, (1-2*FD196*(ES196*EZ196+FB196*FA196))/(1/EP196+FD196*FC196))</f>
        <v>7.9131185078809194</v>
      </c>
      <c r="FF196" s="4">
        <f>MIN(4/N196*(1*EZ196*ES196+FA196*FB196+FC196*FE196)+EC196,MAX(J196,AJ196))</f>
        <v>486.78861374574706</v>
      </c>
      <c r="FI196" s="4">
        <f>6.75*25.4</f>
        <v>171.45</v>
      </c>
      <c r="FO196" s="23">
        <f>IF(CU196&lt;0.6,0.6,IF(CU196&lt;0.8,0.8,IF(CU196&lt;1,1,IF(CU196&lt;1.2,1.2,IF(CU196&lt;1.4,1.4,IF(CU196&lt;1.6,1.6,IF(CU196&lt;1.8,1.8,IF(CU196&lt;2,2,2.2))))))))</f>
        <v>1.4</v>
      </c>
      <c r="FP196" s="23">
        <f>IF(CV196&lt;0.6,0.6,IF(CV196&lt;0.8,0.8,IF(CV196&lt;1,1,IF(CV196&lt;1.2,1.2,IF(CV196&lt;1.4,1.4,IF(CV196&lt;1.6,1.6,IF(CV196&lt;1.8,1.8,IF(CV196&lt;2,2,2.2))))))))</f>
        <v>1</v>
      </c>
      <c r="FQ196" s="23">
        <f>IF(DA196&lt;0.6,0.6,IF(DA196&lt;0.8,0.8,IF(DA196&lt;1,1,IF(DA196&lt;1.2,1.2,IF(DA196&lt;1.4,1.4,IF(DA196&lt;1.6,1.6,IF(DA196&lt;1.8,1.8,IF(DA196&lt;2,2,2.2))))))))</f>
        <v>1.4</v>
      </c>
      <c r="FR196" s="23">
        <f>IF(CX196&lt;0.6,0.6,IF(CX196&lt;0.8,0.8,IF(CX196&lt;1,1,IF(CX196&lt;1.2,1.2,IF(CX196&lt;1.4,1.4,IF(CX196&lt;1.6,1.6,IF(CX196&lt;1.8,1.8,IF(CX196&lt;2,2,2.2))))))))</f>
        <v>2.2000000000000002</v>
      </c>
      <c r="FS196" s="23">
        <f>IF(CY196&lt;0.6,0.6,IF(CY196&lt;0.8,0.8,IF(CY196&lt;1,1,IF(CY196&lt;1.2,1.2,IF(CY196&lt;1.4,1.4,IF(CY196&lt;1.6,1.6,IF(CY196&lt;1.8,1.8,IF(CY196&lt;2,2,2.2))))))))</f>
        <v>1.6</v>
      </c>
      <c r="FT196" s="23">
        <f>IF(CZ196&lt;0.6,0.6,IF(CZ196&lt;0.8,0.8,IF(CZ196&lt;1,1,IF(CZ196&lt;1.2,1.2,IF(CZ196&lt;1.4,1.4,IF(CZ196&lt;1.6,1.6,IF(CZ196&lt;1.8,1.8,IF(CZ196&lt;2,2,2.2))))))))</f>
        <v>1.2</v>
      </c>
      <c r="FU196" s="23">
        <f>IF(FS196&lt;1,1,0)</f>
        <v>0</v>
      </c>
      <c r="FV196" s="23"/>
      <c r="GF196" s="4">
        <f>IF(S196&gt;=2.5*25.4,1,1.25)</f>
        <v>1</v>
      </c>
      <c r="GG196" s="4">
        <f>IF(AO196&gt;1, 0.05*(18-MIN(8,(W196+N196)/N196))*(1-48000/MAX(60000,(J196*145))*(N196/25.4)^0.75*GH196), 1/12*(14-MIN(8,(W196+N196)/N196)))</f>
        <v>0.5</v>
      </c>
      <c r="GH196" s="4">
        <f>MIN(0.3, AM196^2*PI()/4*2*AP196/(N196^2*PI()/4*X196))</f>
        <v>0</v>
      </c>
      <c r="GI196" s="4">
        <f>(K196/25.4)/(N196/25.4)^1.5/0.0024*(M196*145)^0.25/GF196/GG196/145</f>
        <v>600.25654203383169</v>
      </c>
    </row>
    <row r="197" spans="1:196" ht="12" customHeight="1" thickBot="1" x14ac:dyDescent="0.35">
      <c r="A197" s="25">
        <v>219</v>
      </c>
      <c r="B197" s="24" t="s">
        <v>182</v>
      </c>
      <c r="C197" s="4">
        <v>1996</v>
      </c>
      <c r="D197" s="24" t="s">
        <v>309</v>
      </c>
      <c r="E197" s="24"/>
      <c r="F197" s="73"/>
      <c r="G197" s="24"/>
      <c r="H197" s="4" t="s">
        <v>353</v>
      </c>
      <c r="I197" s="5">
        <f>K197/N197</f>
        <v>12.067039106145252</v>
      </c>
      <c r="J197" s="110">
        <v>556</v>
      </c>
      <c r="K197" s="7">
        <f>533-U197-25</f>
        <v>432</v>
      </c>
      <c r="L197" s="7">
        <f>K197</f>
        <v>432</v>
      </c>
      <c r="M197" s="80">
        <v>31.4</v>
      </c>
      <c r="N197" s="105">
        <v>35.799999999999997</v>
      </c>
      <c r="O197" s="7">
        <f>K197/N197</f>
        <v>12.067039106145252</v>
      </c>
      <c r="P197" s="7">
        <f>L197/N197</f>
        <v>12.067039106145252</v>
      </c>
      <c r="Q197" s="7">
        <v>305</v>
      </c>
      <c r="R197" s="32">
        <f>S197/N197</f>
        <v>2.1229050279329611</v>
      </c>
      <c r="S197" s="7">
        <v>76</v>
      </c>
      <c r="T197" s="32">
        <f>U197/N197</f>
        <v>2.1229050279329611</v>
      </c>
      <c r="U197" s="7">
        <v>76</v>
      </c>
      <c r="V197" s="32">
        <f>W197/N197</f>
        <v>2.2737430167597767</v>
      </c>
      <c r="W197" s="7">
        <f>Q197-2*N197-2*S197</f>
        <v>81.400000000000006</v>
      </c>
      <c r="X197" s="7">
        <v>2</v>
      </c>
      <c r="Y197" s="7">
        <f>AN197</f>
        <v>0</v>
      </c>
      <c r="Z197" s="32">
        <f>AA197/N197</f>
        <v>7.8212290502793298</v>
      </c>
      <c r="AA197" s="7">
        <f>775-(343+152)</f>
        <v>280</v>
      </c>
      <c r="AB197" s="7">
        <f>MIN(S197/N197+0.5, W197/2/N197+0.5)</f>
        <v>1.6368715083798884</v>
      </c>
      <c r="AC197" s="7">
        <f>S197/N197+0.5</f>
        <v>2.6229050279329611</v>
      </c>
      <c r="AD197" s="7">
        <f>2970/(N197^2*PI()/4)-1</f>
        <v>1.9505332604034158</v>
      </c>
      <c r="AE197" s="7">
        <f>2970/(N197^2*PI()/4)-1</f>
        <v>1.9505332604034158</v>
      </c>
      <c r="AF197" s="7">
        <f>AE197+1</f>
        <v>2.9505332604034158</v>
      </c>
      <c r="AG197" s="7">
        <f>N197*AF197^0.5</f>
        <v>61.494076526633307</v>
      </c>
      <c r="AH197" s="7">
        <f>J197</f>
        <v>556</v>
      </c>
      <c r="AI197" s="7">
        <v>25</v>
      </c>
      <c r="AJ197" s="7">
        <f>495*1000/(N197^2*PI()/4)</f>
        <v>491.75554340056931</v>
      </c>
      <c r="AK197" s="7"/>
      <c r="AL197" s="4">
        <f>CY197</f>
        <v>1.8483645889323053</v>
      </c>
      <c r="AM197" s="7">
        <v>0</v>
      </c>
      <c r="AN197" s="7">
        <v>0</v>
      </c>
      <c r="AO197" s="7">
        <f>L197</f>
        <v>432</v>
      </c>
      <c r="AP197" s="7"/>
      <c r="AQ197" s="7"/>
      <c r="AR197" s="7">
        <f>3*AS197/(W197+N197)</f>
        <v>11.058020477815699</v>
      </c>
      <c r="AS197" s="4">
        <f>K197</f>
        <v>432</v>
      </c>
      <c r="AT197" s="4">
        <f>IF(K197*3&gt;W197+N197, Q197, (S197+N197/2)*2+1.5*K197*(2*X197-2))*(3*K197)/(9*K197^2)</f>
        <v>0.2353395061728395</v>
      </c>
      <c r="AU197" s="4">
        <f>MIN(10*M197^0.5*K197^1.5,100*3.9*M197^0.5*K197^(5/3))/(PI()/4*N197^2)/X197</f>
        <v>249.92201512888658</v>
      </c>
      <c r="AV197" s="4">
        <f>MIN(0.7+0.3*(MIN(S197,AA197)+0.5*N197)/1.5/K197,1)</f>
        <v>0.7434722222222222</v>
      </c>
      <c r="AW197" s="4">
        <v>1.25</v>
      </c>
      <c r="AX197" s="4">
        <f>AX196</f>
        <v>1</v>
      </c>
      <c r="AY197" s="38">
        <f>AT197*AV197*AW197*AX197*AU197</f>
        <v>54.66056440093498</v>
      </c>
      <c r="AZ197" s="38">
        <f>AY197</f>
        <v>54.66056440093498</v>
      </c>
      <c r="BA197" s="38">
        <f>IF(M197&lt;50, 0.3*M197^(2/3), 2.12*LN(1+0.1*(M197+8)))</f>
        <v>2.9858937754367516</v>
      </c>
      <c r="BB197" s="38">
        <f>AX197* (M197^0.5/AS197^0.5)/(PI()/4*N197^2)/X197/0.72 *(0.7+(MIN(S197,AA197)+0.5*N197)/5/K197) *(3*Q197*K197)</f>
        <v>54.660564400934952</v>
      </c>
      <c r="BC197" s="38">
        <f>AY197/BB197</f>
        <v>1.0000000000000004</v>
      </c>
      <c r="BD197" s="38">
        <f>BH197/BB197</f>
        <v>3.2593654358621467</v>
      </c>
      <c r="BE197" s="4">
        <f>IF(BD197&lt;1,1,0)</f>
        <v>0</v>
      </c>
      <c r="BF197" s="4">
        <f>L197/N197*M197^0.5/0.19</f>
        <v>355.88685173094154</v>
      </c>
      <c r="BG197" s="4">
        <f>MIN(0.6+0.4*(AC197/AB197),2)</f>
        <v>1.2409556313993173</v>
      </c>
      <c r="BH197" s="38">
        <f>2*M197*AB197*AD197^0.5*BG197*0.7/0.7</f>
        <v>178.15875431312429</v>
      </c>
      <c r="BI197" s="4">
        <f>MAX(1-0.7*AE197/5,0.3)</f>
        <v>0.72692534354352178</v>
      </c>
      <c r="BJ197" s="4">
        <f>BI197*J197*L197/(J197*N197/2.75/M197^0.5)</f>
        <v>135.17240734760412</v>
      </c>
      <c r="BK197" s="4">
        <f>BH197+BJ197</f>
        <v>313.33116166072841</v>
      </c>
      <c r="BM197" s="4">
        <f>MIN(1.5, 0.75+0.25*MIN(3,MAX(1,S197/N197))+0.4*MIN(1,(40*2*PI()*AM197^2/4/AO197/X197)/N197))</f>
        <v>1.2807262569832403</v>
      </c>
      <c r="BN197" s="4">
        <f>(3*P197+30)*BM197*M197^0.5</f>
        <v>475.10156036521124</v>
      </c>
      <c r="BP197" s="4">
        <f>3.4/PI()^0.5*M197*AB197*AE197^0.5*BG197</f>
        <v>170.87603278222466</v>
      </c>
      <c r="BQ197" s="4">
        <f>8/3*AH197*AI197^2/(AG197-N197-22)/N197*(AG197^2-N197^2)/(AG197^2-(N197+22)^2)</f>
        <v>39749.280546165857</v>
      </c>
      <c r="BR197" s="4">
        <f>BQ197/BP197</f>
        <v>232.62057234688308</v>
      </c>
      <c r="BZ197" s="4">
        <f>IF(W197=0,S197,MIN(W197/2,S197))</f>
        <v>40.700000000000003</v>
      </c>
      <c r="CD197" s="9"/>
      <c r="CF197" s="9"/>
      <c r="CG197" s="9"/>
      <c r="CH197" s="9">
        <f>IF(W197=0,MIN(S197,U197),MIN(W197/2,S197,U197))</f>
        <v>40.700000000000003</v>
      </c>
      <c r="CI197" s="9">
        <f>MAX(W197/2,S197)</f>
        <v>76</v>
      </c>
      <c r="CJ197" s="9">
        <f>(CH197/N197)^0.5*(CI197/CH197)^0.15</f>
        <v>1.1709505872794554</v>
      </c>
      <c r="CK197" s="70">
        <v>0</v>
      </c>
      <c r="CL197" s="9">
        <f>MIN(PI()*AM197^2/4*AN197*2/X197/N197/MAX(0.01,AO197),0.05)</f>
        <v>0</v>
      </c>
      <c r="CM197" s="9">
        <f>MAX(0,CK197*(CL197-0.5/50))</f>
        <v>0</v>
      </c>
      <c r="CN197" s="9">
        <f>MIN(1,(25/N197)^0.3)</f>
        <v>0.89787751228078194</v>
      </c>
      <c r="CO197" s="9">
        <f>IF(J197&gt;=800,0.68,IF(J197&gt;=700,0.75-(J197-700)*0.07/100,IF(J197&gt;=600,0.85-(J197-600)*0.1/100,IF(J197&gt;=500,1-(J197-500)*0.15/100,1.2-(J197-400)*0.2/100))))</f>
        <v>0.91600000000000004</v>
      </c>
      <c r="CP197" s="9">
        <f>1.75*CN197*CO197*(M197/25)^0.5</f>
        <v>1.6130411125805293</v>
      </c>
      <c r="CQ197" s="9">
        <f>MIN((CJ197+CM197)*CP197,2.5*CP197,M197^0.5)</f>
        <v>1.8887914380820769</v>
      </c>
      <c r="CR197" s="9">
        <v>1</v>
      </c>
      <c r="CS197" s="9">
        <f>4*CQ197*P197+60*CQ197</f>
        <v>204.49596687167963</v>
      </c>
      <c r="CU197" s="4">
        <f>AJ197/BF197</f>
        <v>1.3817749686699512</v>
      </c>
      <c r="CV197" s="4">
        <f>AJ197/BK197</f>
        <v>1.5694434629296043</v>
      </c>
      <c r="CW197" s="4">
        <f>AJ197/BN197</f>
        <v>1.0350535220775872</v>
      </c>
      <c r="CX197" s="4">
        <f>AJ197/CS197</f>
        <v>2.40472000951072</v>
      </c>
      <c r="CY197" s="4">
        <f>AJ197/DZ197</f>
        <v>1.8483645889323053</v>
      </c>
      <c r="CZ197" s="4">
        <f>AJ197/EL197</f>
        <v>1.4709966291791812</v>
      </c>
      <c r="DA197" s="4">
        <f>AJ197/GI197</f>
        <v>1.5091778057773073</v>
      </c>
      <c r="DC197" s="4">
        <f>CU197</f>
        <v>1.3817749686699512</v>
      </c>
      <c r="DD197" s="4">
        <f>CV197</f>
        <v>1.5694434629296043</v>
      </c>
      <c r="DE197" s="4">
        <f>CX197</f>
        <v>2.40472000951072</v>
      </c>
      <c r="DF197" s="4">
        <f>DA197</f>
        <v>1.5091778057773073</v>
      </c>
      <c r="DG197" s="4">
        <f>CY197</f>
        <v>1.8483645889323053</v>
      </c>
      <c r="DH197" s="4">
        <f>CZ197</f>
        <v>1.4709966291791812</v>
      </c>
      <c r="DP197" s="4">
        <f>AN197</f>
        <v>0</v>
      </c>
      <c r="DQ197" s="4">
        <f>L197</f>
        <v>432</v>
      </c>
      <c r="DT197" s="4">
        <f>K197/4/(1-0.3*(M197/30)^0.5)/200000/N197</f>
        <v>2.176343699186269E-5</v>
      </c>
      <c r="DU197" s="4">
        <f>EP197</f>
        <v>5.4914001825716072</v>
      </c>
      <c r="DV197" s="4">
        <f>EC197*AG197/257/M197/AD197</f>
        <v>0.21354591300561959</v>
      </c>
      <c r="DW197" s="4">
        <f>DU197*DV197^0.4</f>
        <v>2.9612808587102086</v>
      </c>
      <c r="DX197" s="4">
        <f>MIN(DU197, DU197/1.4*(1-DV197^1.4)/(1-DV197))</f>
        <v>4.4131454245856157</v>
      </c>
      <c r="DY197" s="4">
        <f>MAX(DU197/2, (4-DT197*(8*AG197*(DW197-DX197)+6*K197*DX197))/(4+DT197*K197*DU197)*DU197)</f>
        <v>5.1050779378601518</v>
      </c>
      <c r="DZ197" s="38">
        <f>MIN(1/N197*(4*AG197*(DW197-DX197)+(3*DX197+DY197)*K197)+EC197 -FJ197,MAX(J197,AJ197))</f>
        <v>266.04899614779379</v>
      </c>
      <c r="EA197" s="4">
        <f>DZ197/FF197</f>
        <v>1.0001204842119225</v>
      </c>
      <c r="EB197" s="4">
        <f>AG197/N197</f>
        <v>1.7177116348221595</v>
      </c>
      <c r="EC197" s="4">
        <f>MIN(EB$10*BB197)</f>
        <v>54.660564400934952</v>
      </c>
      <c r="EG197" s="4">
        <f>IF(U197&gt;1*N197,0.85,1)</f>
        <v>0.85</v>
      </c>
      <c r="EH197" s="4">
        <f>MIN(1,MAX(0.7,(1-0.1*(BZ197-1*N197)/N197)))</f>
        <v>0.98631284916201112</v>
      </c>
      <c r="EI197" s="4">
        <f>MIN(1,MAX(0.7,1-0.3*(PI()*AM197^2/4*AQ197*2-0.25*PI()/4*N197^2)/(PI()/4*N197^2)))</f>
        <v>1</v>
      </c>
      <c r="EJ197" s="4">
        <f>IF(EH197*EI197&lt;0.7,0.7,EH197*EI197)</f>
        <v>0.98631284916201112</v>
      </c>
      <c r="EL197" s="4">
        <f>MIN(DU197/N197*3*K197+EM197-FJ197,MAX(J197,AJ197))</f>
        <v>334.30093152216796</v>
      </c>
      <c r="EM197" s="25">
        <f>13.3*Q197*K197^0.5*M197^0.5/X197/N197^2*(0.7+S197/5/K197)</f>
        <v>135.50610927041362</v>
      </c>
      <c r="EO197" s="4">
        <f>EG197*EJ197</f>
        <v>0.83836592178770941</v>
      </c>
      <c r="EP197" s="4">
        <f>IF(N197&lt;22.2,1.1*5*(M197/30)^0.5,IF(N197&gt;=31.8,0.9*5*(M197/30)^0.5,1*5*(M197/30)^0.5))/EG197/EJ197</f>
        <v>5.4914001825716072</v>
      </c>
      <c r="ES197" s="4">
        <f>ET197*N197</f>
        <v>61.494076526633307</v>
      </c>
      <c r="ET197" s="4">
        <f>AF197^0.5</f>
        <v>1.7177116348221595</v>
      </c>
      <c r="EU197" s="4">
        <f>MIN(EC197)/(4700*M197^0.5)/AE197*ES197</f>
        <v>6.5432174505875879E-2</v>
      </c>
      <c r="EX197" s="4">
        <f>EU197</f>
        <v>6.5432174505875879E-2</v>
      </c>
      <c r="EY197" s="4">
        <f>MIN(0.999, EX197/(0.3*(M197/30)^0.5))</f>
        <v>0.21318954467636109</v>
      </c>
      <c r="EZ197" s="4">
        <f>EP197/1*EY197^0.4</f>
        <v>2.959303137851899</v>
      </c>
      <c r="FA197" s="4">
        <f>EP197/1.4*(1-EY197^1.4)/(1-EY197)</f>
        <v>4.4124873869530088</v>
      </c>
      <c r="FB197" s="4">
        <f>MAX(0,DQ197*FB$9-ES197)</f>
        <v>262.50592347336669</v>
      </c>
      <c r="FC197" s="4">
        <f>MAX(0,DQ197-ES197-FB197)</f>
        <v>108</v>
      </c>
      <c r="FD197" s="4">
        <f>FC197/(1-0.3*(M197/30)^0.5)/200000/N197</f>
        <v>2.176343699186269E-5</v>
      </c>
      <c r="FE197" s="4">
        <f>MAX(0.5*EP197, (1-2*FD197*(ES197*EZ197+FB197*FA197))/(1/EP197+FD197*FC197))</f>
        <v>5.105147399510332</v>
      </c>
      <c r="FF197" s="4">
        <f>MIN(4/N197*(1*EZ197*ES197+FA197*FB197+FC197*FE197)+EC197,MAX(J197,AJ197))</f>
        <v>266.01694530578061</v>
      </c>
      <c r="FO197" s="23">
        <f>IF(CU197&lt;0.6,0.6,IF(CU197&lt;0.8,0.8,IF(CU197&lt;1,1,IF(CU197&lt;1.2,1.2,IF(CU197&lt;1.4,1.4,IF(CU197&lt;1.6,1.6,IF(CU197&lt;1.8,1.8,IF(CU197&lt;2,2,2.2))))))))</f>
        <v>1.4</v>
      </c>
      <c r="FP197" s="23">
        <f>IF(CV197&lt;0.6,0.6,IF(CV197&lt;0.8,0.8,IF(CV197&lt;1,1,IF(CV197&lt;1.2,1.2,IF(CV197&lt;1.4,1.4,IF(CV197&lt;1.6,1.6,IF(CV197&lt;1.8,1.8,IF(CV197&lt;2,2,2.2))))))))</f>
        <v>1.6</v>
      </c>
      <c r="FQ197" s="23">
        <f>IF(DA197&lt;0.6,0.6,IF(DA197&lt;0.8,0.8,IF(DA197&lt;1,1,IF(DA197&lt;1.2,1.2,IF(DA197&lt;1.4,1.4,IF(DA197&lt;1.6,1.6,IF(DA197&lt;1.8,1.8,IF(DA197&lt;2,2,2.2))))))))</f>
        <v>1.6</v>
      </c>
      <c r="FR197" s="23">
        <f>IF(CX197&lt;0.6,0.6,IF(CX197&lt;0.8,0.8,IF(CX197&lt;1,1,IF(CX197&lt;1.2,1.2,IF(CX197&lt;1.4,1.4,IF(CX197&lt;1.6,1.6,IF(CX197&lt;1.8,1.8,IF(CX197&lt;2,2,2.2))))))))</f>
        <v>2.2000000000000002</v>
      </c>
      <c r="FS197" s="23">
        <f>IF(CY197&lt;0.6,0.6,IF(CY197&lt;0.8,0.8,IF(CY197&lt;1,1,IF(CY197&lt;1.2,1.2,IF(CY197&lt;1.4,1.4,IF(CY197&lt;1.6,1.6,IF(CY197&lt;1.8,1.8,IF(CY197&lt;2,2,2.2))))))))</f>
        <v>2</v>
      </c>
      <c r="FT197" s="23">
        <f>IF(CZ197&lt;0.6,0.6,IF(CZ197&lt;0.8,0.8,IF(CZ197&lt;1,1,IF(CZ197&lt;1.2,1.2,IF(CZ197&lt;1.4,1.4,IF(CZ197&lt;1.6,1.6,IF(CZ197&lt;1.8,1.8,IF(CZ197&lt;2,2,2.2))))))))</f>
        <v>1.6</v>
      </c>
      <c r="FU197" s="23">
        <f>IF(FS197&lt;1,1,0)</f>
        <v>0</v>
      </c>
      <c r="FV197" s="23"/>
      <c r="GF197" s="4">
        <f>IF(S197&gt;=2.5*25.4,1,1.25)</f>
        <v>1</v>
      </c>
      <c r="GG197" s="4">
        <f>IF(AO197&gt;1, 0.05*(18-MIN(8,(W197+N197)/N197))*(1-48000/MAX(60000,(J197*145))*(N197/25.4)^0.75*GH197), 1/12*(14-MIN(8,(W197+N197)/N197)))</f>
        <v>0.73631284916201123</v>
      </c>
      <c r="GH197" s="4">
        <f>MIN(0.3, AM197^2*PI()/4*2*AP197/(N197^2*PI()/4*X197))</f>
        <v>0</v>
      </c>
      <c r="GI197" s="4">
        <f>(K197/25.4)/(N197/25.4)^1.5/0.0024*(M197*145)^0.25/GF197/GG197/145</f>
        <v>325.84334431507818</v>
      </c>
    </row>
    <row r="198" spans="1:196" ht="12" customHeight="1" thickBot="1" x14ac:dyDescent="0.35">
      <c r="A198" s="25">
        <v>422</v>
      </c>
      <c r="B198" s="4" t="s">
        <v>605</v>
      </c>
      <c r="C198" s="4">
        <v>2016</v>
      </c>
      <c r="D198" s="4" t="s">
        <v>309</v>
      </c>
      <c r="E198" s="14" t="s">
        <v>679</v>
      </c>
      <c r="F198" s="117"/>
      <c r="G198" s="14"/>
      <c r="H198" s="48" t="s">
        <v>593</v>
      </c>
      <c r="I198" s="5">
        <f>K198/N198</f>
        <v>12.056737588652483</v>
      </c>
      <c r="J198" s="78">
        <f>115.9/0.145</f>
        <v>799.31034482758628</v>
      </c>
      <c r="K198" s="38">
        <f>17*25.4</f>
        <v>431.79999999999995</v>
      </c>
      <c r="L198" s="4">
        <f>K198</f>
        <v>431.79999999999995</v>
      </c>
      <c r="M198" s="38">
        <f>10860/145</f>
        <v>74.896551724137936</v>
      </c>
      <c r="N198" s="38">
        <f>1.41*25.4</f>
        <v>35.813999999999993</v>
      </c>
      <c r="O198" s="7">
        <f>K198/N198</f>
        <v>12.056737588652483</v>
      </c>
      <c r="P198" s="7">
        <f>L198/N198</f>
        <v>12.056737588652483</v>
      </c>
      <c r="Q198" s="38">
        <f>21.8*25.4</f>
        <v>553.72</v>
      </c>
      <c r="R198" s="32">
        <f>S198/N198</f>
        <v>1.8794326241134751</v>
      </c>
      <c r="S198" s="38">
        <f>2.65*25.4</f>
        <v>67.309999999999988</v>
      </c>
      <c r="T198" s="32">
        <f>U198/N198</f>
        <v>2.6950354609929081</v>
      </c>
      <c r="U198" s="39">
        <f>3.8*25.4</f>
        <v>96.52</v>
      </c>
      <c r="V198" s="32">
        <f>W198/N198</f>
        <v>4.3510638297872353</v>
      </c>
      <c r="W198" s="7">
        <f>(Q198-X198*N198-2*S198)/(X198-1)</f>
        <v>155.82900000000001</v>
      </c>
      <c r="X198" s="38">
        <v>3</v>
      </c>
      <c r="Y198" s="7">
        <f>AN198</f>
        <v>12</v>
      </c>
      <c r="Z198" s="32">
        <f>AA198/N198</f>
        <v>14.18439716312057</v>
      </c>
      <c r="AA198" s="4">
        <f>20*25.4</f>
        <v>508</v>
      </c>
      <c r="AB198" s="7">
        <f>MIN(S198/N198+0.5, W198/2/N198+0.5)</f>
        <v>2.3794326241134751</v>
      </c>
      <c r="AC198" s="7">
        <f>S198/N198+0.5</f>
        <v>2.3794326241134751</v>
      </c>
      <c r="AD198" s="38">
        <v>4.5</v>
      </c>
      <c r="AE198" s="4">
        <f>AD198</f>
        <v>4.5</v>
      </c>
      <c r="AF198" s="4">
        <f>AE198+1</f>
        <v>5.5</v>
      </c>
      <c r="AG198" s="7">
        <f>N198*AF198^0.5</f>
        <v>83.991275011158137</v>
      </c>
      <c r="AJ198" s="38">
        <f>AK198/0.145</f>
        <v>600.68965517241384</v>
      </c>
      <c r="AK198" s="4">
        <v>87.1</v>
      </c>
      <c r="AL198" s="4">
        <f>CY198</f>
        <v>1.4366977144918935</v>
      </c>
      <c r="AM198" s="38">
        <f>0.5*25.4</f>
        <v>12.7</v>
      </c>
      <c r="AN198" s="38">
        <v>12</v>
      </c>
      <c r="AO198" s="39">
        <f>4*25.4</f>
        <v>101.6</v>
      </c>
      <c r="AP198" s="39">
        <v>2</v>
      </c>
      <c r="AQ198" s="39">
        <f>AP198-1</f>
        <v>1</v>
      </c>
      <c r="AR198" s="7"/>
      <c r="AS198" s="4">
        <f>K198</f>
        <v>431.79999999999995</v>
      </c>
      <c r="AT198" s="4">
        <f>IF(K198*3&gt;W198+N198, Q198, (S198+N198/2)*2+1.5*K198*(2*X198-2))*(3*K198)/(9*K198^2)</f>
        <v>0.4274509803921569</v>
      </c>
      <c r="AU198" s="4">
        <f>MIN(10*M198^0.5*K198^1.5,100*3.9*M198^0.5*K198^(5/3))/(PI()/4*N198^2)/X198</f>
        <v>256.94375927002261</v>
      </c>
      <c r="AV198" s="4">
        <f>MIN(0.7+0.3*(MIN(S198,AA198)+0.5*N198)/1.5/K198,1)</f>
        <v>0.7394705882352941</v>
      </c>
      <c r="AW198" s="4">
        <v>1.25</v>
      </c>
      <c r="AX198" s="4">
        <f>AX197</f>
        <v>1</v>
      </c>
      <c r="AY198" s="38">
        <f>AT198*AV198*AW198*AX198*AU198</f>
        <v>101.52086498223659</v>
      </c>
      <c r="AZ198" s="38">
        <f>AY198</f>
        <v>101.52086498223659</v>
      </c>
      <c r="BA198" s="38">
        <f>IF(M198&lt;50, 0.3*M198^(2/3), 2.12*LN(1+0.1*(M198+8)))</f>
        <v>4.7252710400583542</v>
      </c>
      <c r="BB198" s="38">
        <f>AX198* (M198^0.5/AS198^0.5)/(PI()/4*N198^2)/X198/0.72 *(0.7+(MIN(S198,AA198)+0.5*N198)/5/K198) *(3*Q198*K198)</f>
        <v>101.52086498223652</v>
      </c>
      <c r="BC198" s="38">
        <f>AY198/BB198</f>
        <v>1.0000000000000007</v>
      </c>
      <c r="BD198" s="38">
        <f>BH198/BB198</f>
        <v>7.4475971663809588</v>
      </c>
      <c r="BE198" s="4">
        <f>IF(BD198&lt;1,1,0)</f>
        <v>0</v>
      </c>
      <c r="BF198" s="4">
        <f>L198/N198*M198^0.5/0.19</f>
        <v>549.17039788951729</v>
      </c>
      <c r="BG198" s="4">
        <f>MIN(0.6+0.4*(AC198/AB198),2)</f>
        <v>1</v>
      </c>
      <c r="BH198" s="38">
        <f>2*M198*AB198*AD198^0.5*BG198*0.7/0.7</f>
        <v>756.08650637024857</v>
      </c>
      <c r="BI198" s="4">
        <f>MAX(1-0.7*AE198/5,0.3)</f>
        <v>0.37</v>
      </c>
      <c r="BJ198" s="4">
        <f>BI198*J198*L198/(J198*N198/2.75/M198^0.5)</f>
        <v>106.16836717199092</v>
      </c>
      <c r="BK198" s="4">
        <f>BH198+BJ198</f>
        <v>862.25487354223947</v>
      </c>
      <c r="BM198" s="4">
        <f>MIN(1.5, 0.75+0.25*MIN(3,MAX(1,S198/N198))+0.4*MIN(1,(40*2*PI()*AM198^2/4/AO198/X198)/N198))</f>
        <v>1.5</v>
      </c>
      <c r="BN198" s="4">
        <f>(3*P198+30)*BM198*M198^0.5</f>
        <v>858.98326265183573</v>
      </c>
      <c r="BP198" s="4">
        <f>3.4/PI()^0.5*M198*AB198*AE198^0.5*BG198</f>
        <v>725.17942296368437</v>
      </c>
      <c r="BQ198" s="4">
        <f>8/3*AH198*AI198^2/(AG198-N198-22)/N198*(AG198^2-N198^2)/(AG198^2-(N198+22)^2)</f>
        <v>0</v>
      </c>
      <c r="BR198" s="4">
        <f>BQ198/BP198</f>
        <v>0</v>
      </c>
      <c r="BZ198" s="4">
        <f>IF(W198=0,S198,MIN(W198/2,S198))</f>
        <v>67.309999999999988</v>
      </c>
      <c r="CD198" s="9"/>
      <c r="CF198" s="9"/>
      <c r="CG198" s="9"/>
      <c r="CH198" s="9">
        <f>IF(W198=0,MIN(S198,U198),MIN(W198/2,S198,U198))</f>
        <v>67.309999999999988</v>
      </c>
      <c r="CI198" s="9">
        <f>MAX(W198/2,S198)</f>
        <v>77.914500000000004</v>
      </c>
      <c r="CJ198" s="9">
        <f>(CH198/N198)^0.5*(CI198/CH198)^0.15</f>
        <v>1.40134215068795</v>
      </c>
      <c r="CK198" s="70">
        <f>IF(AO198&gt;1,20,0)</f>
        <v>20</v>
      </c>
      <c r="CL198" s="9">
        <f>MIN(PI()*AM198^2/4*AN198*2/X198/N198/MAX(0.01,AO198),0.05)</f>
        <v>0.05</v>
      </c>
      <c r="CM198" s="9">
        <f>MAX(0,CK198*(CL198-0.5/50))</f>
        <v>0.8</v>
      </c>
      <c r="CN198" s="9">
        <f>MIN(1,(25/N198)^0.3)</f>
        <v>0.89777220146327208</v>
      </c>
      <c r="CO198" s="9">
        <f>IF(J198&gt;=800,0.68,IF(J198&gt;=700,0.75-(J198-700)*0.07/100,IF(J198&gt;=600,0.85-(J198-600)*0.1/100,IF(J198&gt;=500,1-(J198-500)*0.15/100,1.2-(J198-400)*0.2/100))))</f>
        <v>0.68048275862068963</v>
      </c>
      <c r="CP198" s="9">
        <f>1.75*CN198*CO198*(M198/25)^0.5</f>
        <v>1.8504707967044269</v>
      </c>
      <c r="CQ198" s="9">
        <f>MIN((CJ198+CM198)*CP198,2.5*CP198,M198^0.5)</f>
        <v>4.0735193634025677</v>
      </c>
      <c r="CR198" s="40">
        <v>1</v>
      </c>
      <c r="CS198" s="9">
        <f>4*CQ198*P198+60*CQ198</f>
        <v>440.86457791151196</v>
      </c>
      <c r="CU198" s="4">
        <f>AJ198/BF198</f>
        <v>1.0938128811765657</v>
      </c>
      <c r="CV198" s="4">
        <f>AJ198/BK198</f>
        <v>0.69664976517292798</v>
      </c>
      <c r="CW198" s="4">
        <f>AJ198/BN198</f>
        <v>0.69930309621863518</v>
      </c>
      <c r="CX198" s="4">
        <f>AJ198/CS198</f>
        <v>1.362526465650822</v>
      </c>
      <c r="CY198" s="4">
        <f>AJ198/DZ198</f>
        <v>1.4366977144918935</v>
      </c>
      <c r="CZ198" s="4">
        <f>AJ198/EL198</f>
        <v>1.0293844757547645</v>
      </c>
      <c r="DA198" s="4">
        <f>AJ198/GI198</f>
        <v>1.1608850073852048</v>
      </c>
      <c r="DB198" s="4">
        <f>AN198</f>
        <v>12</v>
      </c>
      <c r="DI198" s="4">
        <f>CU198</f>
        <v>1.0938128811765657</v>
      </c>
      <c r="DJ198" s="4">
        <f>CV198</f>
        <v>0.69664976517292798</v>
      </c>
      <c r="DK198" s="4">
        <f>CX198</f>
        <v>1.362526465650822</v>
      </c>
      <c r="DL198" s="4">
        <f>DA198</f>
        <v>1.1608850073852048</v>
      </c>
      <c r="DM198" s="4">
        <f>CY198</f>
        <v>1.4366977144918935</v>
      </c>
      <c r="DN198" s="4">
        <f>CZ198</f>
        <v>1.0293844757547645</v>
      </c>
      <c r="DQ198" s="4">
        <f>L198</f>
        <v>431.79999999999995</v>
      </c>
      <c r="DT198" s="4">
        <f>K198/4/(1-0.3*(M198/30)^0.5)/200000/N198</f>
        <v>2.8652727564421202E-5</v>
      </c>
      <c r="DU198" s="4">
        <f>EP198</f>
        <v>9.175653902487765</v>
      </c>
      <c r="DV198" s="4">
        <f>EC198*AG198/257/M198/AD198</f>
        <v>9.8442361499347E-2</v>
      </c>
      <c r="DW198" s="4">
        <f>DU198*DV198^0.4</f>
        <v>3.6300268161488698</v>
      </c>
      <c r="DX198" s="4">
        <f>MIN(DU198, DU198/1.4*(1-DV198^1.4)/(1-DV198))</f>
        <v>6.9865634397767016</v>
      </c>
      <c r="DY198" s="4">
        <f>MAX(DU198/2, (4-DT198*(8*AG198*(DW198-DX198)+6*K198*DX198))/(4+DT198*K198*DU198)*DU198)</f>
        <v>7.909699134431639</v>
      </c>
      <c r="DZ198" s="38">
        <f>MIN(1/N198*(4*AG198*(DW198-DX198)+(3*DX198+DY198)*K198)+EC198 -FJ198,MAX(J198,AJ198))</f>
        <v>418.10441341507624</v>
      </c>
      <c r="EA198" s="4">
        <f>DZ198/FF198</f>
        <v>1.0000884323289201</v>
      </c>
      <c r="EB198" s="4">
        <f>AG198/N198</f>
        <v>2.3452078799117149</v>
      </c>
      <c r="EC198" s="4">
        <f>MIN(EB$10*BB198)</f>
        <v>101.52086498223652</v>
      </c>
      <c r="EG198" s="4">
        <f>IF(U198&gt;1*N198,0.85,1)</f>
        <v>0.85</v>
      </c>
      <c r="EH198" s="4">
        <f>MIN(1,MAX(0.7,(1-0.1*(BZ198-1*N198)/N198)))</f>
        <v>0.91205673758865247</v>
      </c>
      <c r="EI198" s="4">
        <f>MIN(1,MAX(0.7,1-0.3*(PI()*AM198^2/4*AQ198*2-0.25*PI()/4*N198^2)/(PI()/4*N198^2)))</f>
        <v>0.9995510789195714</v>
      </c>
      <c r="EJ198" s="4">
        <f>IF(EH198*EI198&lt;0.7,0.7,EH198*EI198)</f>
        <v>0.91164729609260198</v>
      </c>
      <c r="EL198" s="4">
        <f>MIN(DU198/N198*3*K198+EM198-FJ198,MAX(J198,AJ198))</f>
        <v>583.54256288154784</v>
      </c>
      <c r="EM198" s="25">
        <f>13.3*Q198*K198^0.5*M198^0.5/X198/N198^2*(0.7+S198/5/K198)</f>
        <v>251.65720896177749</v>
      </c>
      <c r="EO198" s="4">
        <f>EG198*EJ198</f>
        <v>0.77490020167871165</v>
      </c>
      <c r="EP198" s="4">
        <f>IF(N198&lt;22.2,1.1*5*(M198/30)^0.5,IF(N198&gt;=31.8,0.9*5*(M198/30)^0.5,1*5*(M198/30)^0.5))/EG198/EJ198</f>
        <v>9.175653902487765</v>
      </c>
      <c r="ES198" s="4">
        <f>ET198*N198</f>
        <v>83.991275011158137</v>
      </c>
      <c r="ET198" s="4">
        <f>AF198^0.5</f>
        <v>2.3452078799117149</v>
      </c>
      <c r="EU198" s="4">
        <f>MIN(EC198)/(4700*M198^0.5)/AE198*ES198</f>
        <v>4.6585225299061443E-2</v>
      </c>
      <c r="EX198" s="4">
        <f>EU198</f>
        <v>4.6585225299061443E-2</v>
      </c>
      <c r="EY198" s="4">
        <f>MIN(0.999, EX198/(0.3*(M198/30)^0.5))</f>
        <v>9.8278079545166708E-2</v>
      </c>
      <c r="EZ198" s="4">
        <f>EP198/1*EY198^0.4</f>
        <v>3.6276024666551696</v>
      </c>
      <c r="FA198" s="4">
        <f>EP198/1.4*(1-EY198^1.4)/(1-EY198)</f>
        <v>6.9859517018467816</v>
      </c>
      <c r="FB198" s="4">
        <f>MAX(0,DQ198*FB$9-ES198)</f>
        <v>239.85872498884183</v>
      </c>
      <c r="FC198" s="4">
        <f>MAX(0,DQ198-ES198-FB198)</f>
        <v>107.95000000000002</v>
      </c>
      <c r="FD198" s="4">
        <f>FC198/(1-0.3*(M198/30)^0.5)/200000/N198</f>
        <v>2.8652727564421212E-5</v>
      </c>
      <c r="FE198" s="4">
        <f>MAX(0.5*EP198, (1-2*FD198*(ES198*EZ198+FB198*FA198))/(1/EP198+FD198*FC198))</f>
        <v>7.9098782722083083</v>
      </c>
      <c r="FF198" s="4">
        <f>MIN(4/N198*(1*EZ198*ES198+FA198*FB198+FC198*FE198)+EC198,MAX(J198,AJ198))</f>
        <v>418.06744273746926</v>
      </c>
      <c r="FI198" s="4">
        <f>6.75*25.4</f>
        <v>171.45</v>
      </c>
      <c r="FO198" s="23">
        <f>IF(CU198&lt;0.6,0.6,IF(CU198&lt;0.8,0.8,IF(CU198&lt;1,1,IF(CU198&lt;1.2,1.2,IF(CU198&lt;1.4,1.4,IF(CU198&lt;1.6,1.6,IF(CU198&lt;1.8,1.8,IF(CU198&lt;2,2,2.2))))))))</f>
        <v>1.2</v>
      </c>
      <c r="FP198" s="23">
        <f>IF(CV198&lt;0.6,0.6,IF(CV198&lt;0.8,0.8,IF(CV198&lt;1,1,IF(CV198&lt;1.2,1.2,IF(CV198&lt;1.4,1.4,IF(CV198&lt;1.6,1.6,IF(CV198&lt;1.8,1.8,IF(CV198&lt;2,2,2.2))))))))</f>
        <v>0.8</v>
      </c>
      <c r="FQ198" s="23">
        <f>IF(DA198&lt;0.6,0.6,IF(DA198&lt;0.8,0.8,IF(DA198&lt;1,1,IF(DA198&lt;1.2,1.2,IF(DA198&lt;1.4,1.4,IF(DA198&lt;1.6,1.6,IF(DA198&lt;1.8,1.8,IF(DA198&lt;2,2,2.2))))))))</f>
        <v>1.2</v>
      </c>
      <c r="FR198" s="23">
        <f>IF(CX198&lt;0.6,0.6,IF(CX198&lt;0.8,0.8,IF(CX198&lt;1,1,IF(CX198&lt;1.2,1.2,IF(CX198&lt;1.4,1.4,IF(CX198&lt;1.6,1.6,IF(CX198&lt;1.8,1.8,IF(CX198&lt;2,2,2.2))))))))</f>
        <v>1.4</v>
      </c>
      <c r="FS198" s="23">
        <f>IF(CY198&lt;0.6,0.6,IF(CY198&lt;0.8,0.8,IF(CY198&lt;1,1,IF(CY198&lt;1.2,1.2,IF(CY198&lt;1.4,1.4,IF(CY198&lt;1.6,1.6,IF(CY198&lt;1.8,1.8,IF(CY198&lt;2,2,2.2))))))))</f>
        <v>1.6</v>
      </c>
      <c r="FT198" s="23">
        <f>IF(CZ198&lt;0.6,0.6,IF(CZ198&lt;0.8,0.8,IF(CZ198&lt;1,1,IF(CZ198&lt;1.2,1.2,IF(CZ198&lt;1.4,1.4,IF(CZ198&lt;1.6,1.6,IF(CZ198&lt;1.8,1.8,IF(CZ198&lt;2,2,2.2))))))))</f>
        <v>1.2</v>
      </c>
      <c r="FU198" s="23">
        <f>IF(FS198&lt;1,1,0)</f>
        <v>0</v>
      </c>
      <c r="FV198" s="23"/>
      <c r="GF198" s="4">
        <f>IF(S198&gt;=2.5*25.4,1,1.25)</f>
        <v>1</v>
      </c>
      <c r="GG198" s="4">
        <f>IF(AO198&gt;1, 0.05*(18-MIN(8,(W198+N198)/N198))*(1-48000/MAX(60000,(J198*145))*(N198/25.4)^0.75*GH198), 1/12*(14-MIN(8,(W198+N198)/N198)))</f>
        <v>0.57562217267152949</v>
      </c>
      <c r="GH198" s="4">
        <f>MIN(0.3, AM198^2*PI()/4*2*AP198/(N198^2*PI()/4*X198))</f>
        <v>0.16766426906761905</v>
      </c>
      <c r="GI198" s="4">
        <f>(K198/25.4)/(N198/25.4)^1.5/0.0024*(M198*145)^0.25/GF198/GG198/145</f>
        <v>517.4411344370933</v>
      </c>
    </row>
    <row r="199" spans="1:196" ht="12" customHeight="1" thickBot="1" x14ac:dyDescent="0.35">
      <c r="A199" s="25">
        <v>417</v>
      </c>
      <c r="B199" s="4" t="s">
        <v>605</v>
      </c>
      <c r="C199" s="4">
        <v>2016</v>
      </c>
      <c r="D199" s="4" t="s">
        <v>309</v>
      </c>
      <c r="E199" s="14" t="s">
        <v>586</v>
      </c>
      <c r="F199" s="117"/>
      <c r="G199" s="14">
        <v>9</v>
      </c>
      <c r="H199" s="7" t="s">
        <v>588</v>
      </c>
      <c r="I199" s="5">
        <f>K199/N199</f>
        <v>12.014184397163124</v>
      </c>
      <c r="J199" s="90">
        <f>135/0.145</f>
        <v>931.0344827586207</v>
      </c>
      <c r="K199" s="90">
        <f>16.94*25.4</f>
        <v>430.27600000000001</v>
      </c>
      <c r="L199" s="4">
        <f>K199</f>
        <v>430.27600000000001</v>
      </c>
      <c r="M199" s="90">
        <f>10120/145</f>
        <v>69.793103448275858</v>
      </c>
      <c r="N199" s="38">
        <f>1.41*25.4</f>
        <v>35.813999999999993</v>
      </c>
      <c r="O199" s="7">
        <f>K199/N199</f>
        <v>12.014184397163124</v>
      </c>
      <c r="P199" s="7">
        <f>L199/N199</f>
        <v>12.014184397163124</v>
      </c>
      <c r="Q199" s="38">
        <f>22.3*25.4</f>
        <v>566.41999999999996</v>
      </c>
      <c r="R199" s="32">
        <f>S199/N199</f>
        <v>2.0212765957446814</v>
      </c>
      <c r="S199" s="38">
        <f>2.85*25.4</f>
        <v>72.39</v>
      </c>
      <c r="T199" s="32">
        <f>U199/N199</f>
        <v>2.4113475177304968</v>
      </c>
      <c r="U199" s="39">
        <f>3.4*25.4</f>
        <v>86.36</v>
      </c>
      <c r="V199" s="32">
        <f>W199/N199</f>
        <v>9.7730496453900706</v>
      </c>
      <c r="W199" s="7">
        <f>(Q199-X199*N199-2*S199)/(X199-1)</f>
        <v>350.01199999999994</v>
      </c>
      <c r="X199" s="38">
        <v>2</v>
      </c>
      <c r="Y199" s="7">
        <f>AN199</f>
        <v>0</v>
      </c>
      <c r="Z199" s="32">
        <f>AA199/N199</f>
        <v>14.18439716312057</v>
      </c>
      <c r="AA199" s="4">
        <f>20*25.4</f>
        <v>508</v>
      </c>
      <c r="AB199" s="7">
        <f>MIN(S199/N199+0.5, W199/2/N199+0.5)</f>
        <v>2.5212765957446814</v>
      </c>
      <c r="AC199" s="7">
        <f>S199/N199+0.5</f>
        <v>2.5212765957446814</v>
      </c>
      <c r="AD199" s="38">
        <v>5.5</v>
      </c>
      <c r="AE199" s="4">
        <f>AD199</f>
        <v>5.5</v>
      </c>
      <c r="AF199" s="4">
        <f>AE199+1</f>
        <v>6.5</v>
      </c>
      <c r="AG199" s="7">
        <f>N199*AF199^0.5</f>
        <v>91.308142429905971</v>
      </c>
      <c r="AJ199" s="38">
        <f>AK199/0.145</f>
        <v>777.93103448275861</v>
      </c>
      <c r="AK199" s="4">
        <v>112.8</v>
      </c>
      <c r="AL199" s="4">
        <f>CY199</f>
        <v>1.6671220701684981</v>
      </c>
      <c r="AM199" s="38">
        <v>0</v>
      </c>
      <c r="AN199" s="38">
        <v>0</v>
      </c>
      <c r="AO199" s="39">
        <f>L199</f>
        <v>430.27600000000001</v>
      </c>
      <c r="AP199" s="39"/>
      <c r="AQ199" s="39"/>
      <c r="AR199" s="7"/>
      <c r="AS199" s="4">
        <f>K199</f>
        <v>430.27600000000001</v>
      </c>
      <c r="AT199" s="4">
        <f>IF(K199*3&gt;W199+N199, Q199, (S199+N199/2)*2+1.5*K199*(2*X199-2))*(3*K199)/(9*K199^2)</f>
        <v>0.43880362062180234</v>
      </c>
      <c r="AU199" s="4">
        <f>MIN(10*M199^0.5*K199^1.5,100*3.9*M199^0.5*K199^(5/3))/(PI()/4*N199^2)/X199</f>
        <v>370.08493226495057</v>
      </c>
      <c r="AV199" s="4">
        <f>MIN(0.7+0.3*(MIN(S199,AA199)+0.5*N199)/1.5/K199,1)</f>
        <v>0.74197166469893738</v>
      </c>
      <c r="AW199" s="4">
        <v>1.25</v>
      </c>
      <c r="AX199" s="4">
        <f>AX198</f>
        <v>1</v>
      </c>
      <c r="AY199" s="38">
        <f>AT199*AV199*AW199*AX199*AU199</f>
        <v>150.61524724467233</v>
      </c>
      <c r="AZ199" s="38">
        <f>AY199</f>
        <v>150.61524724467233</v>
      </c>
      <c r="BA199" s="38">
        <f>IF(M199&lt;50, 0.3*M199^(2/3), 2.12*LN(1+0.1*(M199+8)))</f>
        <v>4.6054834550100843</v>
      </c>
      <c r="BB199" s="38">
        <f>AX199* (M199^0.5/AS199^0.5)/(PI()/4*N199^2)/X199/0.72 *(0.7+(MIN(S199,AA199)+0.5*N199)/5/K199) *(3*Q199*K199)</f>
        <v>150.61524724467247</v>
      </c>
      <c r="BC199" s="38">
        <f>AY199/BB199</f>
        <v>0.99999999999999911</v>
      </c>
      <c r="BD199" s="38">
        <f>BH199/BB199</f>
        <v>5.4799349606754708</v>
      </c>
      <c r="BE199" s="4">
        <f>IF(BD199&lt;1,1,0)</f>
        <v>0</v>
      </c>
      <c r="BF199" s="4">
        <f>L199/N199*M199^0.5/0.19</f>
        <v>528.25905183662746</v>
      </c>
      <c r="BG199" s="4">
        <f>MIN(0.6+0.4*(AC199/AB199),2)</f>
        <v>1</v>
      </c>
      <c r="BH199" s="38">
        <f>2*M199*AB199*AD199^0.5*BG199*0.7/0.7</f>
        <v>825.36175898686054</v>
      </c>
      <c r="BI199" s="4">
        <f>MAX(1-0.7*AE199/5,0.3)</f>
        <v>0.3</v>
      </c>
      <c r="BJ199" s="4">
        <f>BI199*J199*L199/(J199*N199/2.75/M199^0.5)</f>
        <v>82.804606375391359</v>
      </c>
      <c r="BK199" s="4">
        <f>BH199+BJ199</f>
        <v>908.1663653622519</v>
      </c>
      <c r="BM199" s="4">
        <f>MIN(1.5, 0.75+0.25*MIN(3,MAX(1,S199/N199))+0.4*MIN(1,(40*2*PI()*AM199^2/4/AO199/X199)/N199))</f>
        <v>1.2553191489361704</v>
      </c>
      <c r="BN199" s="4">
        <f>(3*P199+30)*BM199*M199^0.5</f>
        <v>692.60283276114683</v>
      </c>
      <c r="BP199" s="4">
        <f>3.4/PI()^0.5*M199*AB199*AE199^0.5*BG199</f>
        <v>791.62286203436884</v>
      </c>
      <c r="BQ199" s="4">
        <f>8/3*AH199*AI199^2/(AG199-N199-22)/N199*(AG199^2-N199^2)/(AG199^2-(N199+22)^2)</f>
        <v>0</v>
      </c>
      <c r="BR199" s="4">
        <f>BQ199/BP199</f>
        <v>0</v>
      </c>
      <c r="BZ199" s="4">
        <f>IF(W199=0,S199,MIN(W199/2,S199))</f>
        <v>72.39</v>
      </c>
      <c r="CD199" s="9"/>
      <c r="CF199" s="9"/>
      <c r="CG199" s="9"/>
      <c r="CH199" s="9">
        <f>IF(W199=0,MIN(S199,U199),MIN(W199/2,S199,U199))</f>
        <v>72.39</v>
      </c>
      <c r="CI199" s="9">
        <f>MAX(W199/2,S199)</f>
        <v>175.00599999999997</v>
      </c>
      <c r="CJ199" s="9">
        <f>(CH199/N199)^0.5*(CI199/CH199)^0.15</f>
        <v>1.6230018989509365</v>
      </c>
      <c r="CK199" s="70">
        <f>IF(AO199&gt;1,20,0)</f>
        <v>20</v>
      </c>
      <c r="CL199" s="9">
        <f>MIN(PI()*AM199^2/4*AN199*2/X199/N199/MAX(0.01,AO199),0.05)</f>
        <v>0</v>
      </c>
      <c r="CM199" s="9">
        <f>MAX(0,CK199*(CL199-0.5/50))</f>
        <v>0</v>
      </c>
      <c r="CN199" s="9">
        <f>MIN(1,(25/N199)^0.3)</f>
        <v>0.89777220146327208</v>
      </c>
      <c r="CO199" s="9">
        <f>IF(J199&gt;=800,0.68,IF(J199&gt;=700,0.75-(J199-700)*0.07/100,IF(J199&gt;=600,0.85-(J199-600)*0.1/100,IF(J199&gt;=500,1-(J199-500)*0.15/100,1.2-(J199-400)*0.2/100))))</f>
        <v>0.68</v>
      </c>
      <c r="CP199" s="9">
        <f>1.75*CN199*CO199*(M199/25)^0.5</f>
        <v>1.7850458101214393</v>
      </c>
      <c r="CQ199" s="9">
        <f>MIN((CJ199+CM199)*CP199,2.5*CP199,M199^0.5)</f>
        <v>2.8971327395415085</v>
      </c>
      <c r="CR199" s="40">
        <v>1</v>
      </c>
      <c r="CS199" s="9">
        <f>4*CQ199*P199+60*CQ199</f>
        <v>313.05471219613071</v>
      </c>
      <c r="CU199" s="4">
        <f>AJ199/BF199</f>
        <v>1.4726317169163174</v>
      </c>
      <c r="CV199" s="4">
        <f>AJ199/BK199</f>
        <v>0.85659529371851961</v>
      </c>
      <c r="CW199" s="4">
        <f>AJ199/BN199</f>
        <v>1.1231993253354746</v>
      </c>
      <c r="CX199" s="4">
        <f>AJ199/CS199</f>
        <v>2.4849682952396512</v>
      </c>
      <c r="CY199" s="4">
        <f>AJ199/DZ199</f>
        <v>1.6671220701684981</v>
      </c>
      <c r="CZ199" s="4">
        <f>AJ199/EL199</f>
        <v>1.1153119606929831</v>
      </c>
      <c r="DA199" s="4">
        <f>AJ199/GI199</f>
        <v>1.3338607110128451</v>
      </c>
      <c r="DB199" s="4">
        <f>AN199</f>
        <v>0</v>
      </c>
      <c r="DC199" s="4">
        <f>CU199</f>
        <v>1.4726317169163174</v>
      </c>
      <c r="DD199" s="4">
        <f>CV199</f>
        <v>0.85659529371851961</v>
      </c>
      <c r="DE199" s="4">
        <f>CX199</f>
        <v>2.4849682952396512</v>
      </c>
      <c r="DF199" s="4">
        <f>DA199</f>
        <v>1.3338607110128451</v>
      </c>
      <c r="DG199" s="4">
        <f>CY199</f>
        <v>1.6671220701684981</v>
      </c>
      <c r="DH199" s="4">
        <f>CZ199</f>
        <v>1.1153119606929831</v>
      </c>
      <c r="DQ199" s="4">
        <f>L199</f>
        <v>430.27600000000001</v>
      </c>
      <c r="DT199" s="4">
        <f>K199/4/(1-0.3*(M199/30)^0.5)/200000/N199</f>
        <v>2.7686527188922619E-5</v>
      </c>
      <c r="DU199" s="4">
        <f>EP199</f>
        <v>8.9934147612306088</v>
      </c>
      <c r="DV199" s="4">
        <f>EC199*AG199/257/M199/AD199</f>
        <v>0.13940235916033761</v>
      </c>
      <c r="DW199" s="4">
        <f>DU199*DV199^0.4</f>
        <v>4.0891465200392343</v>
      </c>
      <c r="DX199" s="4">
        <f>MIN(DU199, DU199/1.4*(1-DV199^1.4)/(1-DV199))</f>
        <v>6.9913027293504566</v>
      </c>
      <c r="DY199" s="4">
        <f>MAX(DU199/2, (4-DT199*(8*AG199*(DW199-DX199)+6*K199*DX199))/(4+DT199*K199*DU199)*DU199)</f>
        <v>7.7931026250316453</v>
      </c>
      <c r="DZ199" s="38">
        <f>MIN(1/N199*(4*AG199*(DW199-DX199)+(3*DX199+DY199)*K199)+EC199 -FJ199,MAX(J199,AJ199))</f>
        <v>466.63111742269245</v>
      </c>
      <c r="EA199" s="4">
        <f>DZ199/FF199</f>
        <v>1.0000977719075752</v>
      </c>
      <c r="EB199" s="4">
        <f>AG199/N199</f>
        <v>2.5495097567963922</v>
      </c>
      <c r="EC199" s="4">
        <f>MIN(EB$10*BB199)</f>
        <v>150.61524724467247</v>
      </c>
      <c r="EG199" s="4">
        <f>IF(U199&gt;1*N199,0.85,1)</f>
        <v>0.85</v>
      </c>
      <c r="EH199" s="4">
        <f>MIN(1,MAX(0.7,(1-0.1*(BZ199-1*N199)/N199)))</f>
        <v>0.89787234042553188</v>
      </c>
      <c r="EI199" s="4">
        <f>MIN(1,MAX(0.7,1-0.3*(PI()*AM199^2/4*AQ199*2-0.25*PI()/4*N199^2)/(PI()/4*N199^2)))</f>
        <v>1</v>
      </c>
      <c r="EJ199" s="4">
        <f>IF(EH199*EI199&lt;0.7,0.7,EH199*EI199)</f>
        <v>0.89787234042553188</v>
      </c>
      <c r="EL199" s="4">
        <f>MIN(DU199/N199*3*K199+EM199-FJ199,MAX(J199,AJ199))</f>
        <v>697.50084451654436</v>
      </c>
      <c r="EM199" s="25">
        <f>13.3*Q199*K199^0.5*M199^0.5/X199/N199^2*(0.7+S199/5/K199)</f>
        <v>373.3552146117645</v>
      </c>
      <c r="EO199" s="4">
        <f>EG199*EJ199</f>
        <v>0.76319148936170211</v>
      </c>
      <c r="EP199" s="4">
        <f>IF(N199&lt;22.2,1.1*5*(M199/30)^0.5,IF(N199&gt;=31.8,0.9*5*(M199/30)^0.5,1*5*(M199/30)^0.5))/EG199/EJ199</f>
        <v>8.9934147612306088</v>
      </c>
      <c r="ES199" s="4">
        <f>ET199*N199</f>
        <v>91.308142429905971</v>
      </c>
      <c r="ET199" s="4">
        <f>AF199^0.5</f>
        <v>2.5495097567963922</v>
      </c>
      <c r="EU199" s="4">
        <f>MIN(EC199)/(4700*M199^0.5)/AE199*ES199</f>
        <v>6.3681259458295156E-2</v>
      </c>
      <c r="EX199" s="4">
        <f>EU199</f>
        <v>6.3681259458295156E-2</v>
      </c>
      <c r="EY199" s="4">
        <f>MIN(0.999, EX199/(0.3*(M199/30)^0.5))</f>
        <v>0.13916972260396693</v>
      </c>
      <c r="EZ199" s="4">
        <f>EP199/1*EY199^0.4</f>
        <v>4.0864155428873792</v>
      </c>
      <c r="FA199" s="4">
        <f>EP199/1.4*(1-EY199^1.4)/(1-EY199)</f>
        <v>6.9905180622054655</v>
      </c>
      <c r="FB199" s="4">
        <f>MAX(0,DQ199*FB$9-ES199)</f>
        <v>231.39885757009404</v>
      </c>
      <c r="FC199" s="4">
        <f>MAX(0,DQ199-ES199-FB199)</f>
        <v>107.56900000000002</v>
      </c>
      <c r="FD199" s="4">
        <f>FC199/(1-0.3*(M199/30)^0.5)/200000/N199</f>
        <v>2.7686527188922619E-5</v>
      </c>
      <c r="FE199" s="4">
        <f>MAX(0.5*EP199, (1-2*FD199*(ES199*EZ199+FB199*FA199))/(1/EP199+FD199*FC199))</f>
        <v>7.7933116278573609</v>
      </c>
      <c r="FF199" s="4">
        <f>MIN(4/N199*(1*EZ199*ES199+FA199*FB199+FC199*FE199)+EC199,MAX(J199,AJ199))</f>
        <v>466.58549846846029</v>
      </c>
      <c r="FO199" s="23">
        <f>IF(CU199&lt;0.6,0.6,IF(CU199&lt;0.8,0.8,IF(CU199&lt;1,1,IF(CU199&lt;1.2,1.2,IF(CU199&lt;1.4,1.4,IF(CU199&lt;1.6,1.6,IF(CU199&lt;1.8,1.8,IF(CU199&lt;2,2,2.2))))))))</f>
        <v>1.6</v>
      </c>
      <c r="FP199" s="23">
        <f>IF(CV199&lt;0.6,0.6,IF(CV199&lt;0.8,0.8,IF(CV199&lt;1,1,IF(CV199&lt;1.2,1.2,IF(CV199&lt;1.4,1.4,IF(CV199&lt;1.6,1.6,IF(CV199&lt;1.8,1.8,IF(CV199&lt;2,2,2.2))))))))</f>
        <v>1</v>
      </c>
      <c r="FQ199" s="23">
        <f>IF(DA199&lt;0.6,0.6,IF(DA199&lt;0.8,0.8,IF(DA199&lt;1,1,IF(DA199&lt;1.2,1.2,IF(DA199&lt;1.4,1.4,IF(DA199&lt;1.6,1.6,IF(DA199&lt;1.8,1.8,IF(DA199&lt;2,2,2.2))))))))</f>
        <v>1.4</v>
      </c>
      <c r="FR199" s="23">
        <f>IF(CX199&lt;0.6,0.6,IF(CX199&lt;0.8,0.8,IF(CX199&lt;1,1,IF(CX199&lt;1.2,1.2,IF(CX199&lt;1.4,1.4,IF(CX199&lt;1.6,1.6,IF(CX199&lt;1.8,1.8,IF(CX199&lt;2,2,2.2))))))))</f>
        <v>2.2000000000000002</v>
      </c>
      <c r="FS199" s="23">
        <f>IF(CY199&lt;0.6,0.6,IF(CY199&lt;0.8,0.8,IF(CY199&lt;1,1,IF(CY199&lt;1.2,1.2,IF(CY199&lt;1.4,1.4,IF(CY199&lt;1.6,1.6,IF(CY199&lt;1.8,1.8,IF(CY199&lt;2,2,2.2))))))))</f>
        <v>1.8</v>
      </c>
      <c r="FT199" s="23">
        <f>IF(CZ199&lt;0.6,0.6,IF(CZ199&lt;0.8,0.8,IF(CZ199&lt;1,1,IF(CZ199&lt;1.2,1.2,IF(CZ199&lt;1.4,1.4,IF(CZ199&lt;1.6,1.6,IF(CZ199&lt;1.8,1.8,IF(CZ199&lt;2,2,2.2))))))))</f>
        <v>1.2</v>
      </c>
      <c r="FU199" s="23">
        <f>IF(FS199&lt;1,1,0)</f>
        <v>0</v>
      </c>
      <c r="FV199" s="23"/>
      <c r="GF199" s="4">
        <f>IF(S199&gt;=2.5*25.4,1,1.25)</f>
        <v>1</v>
      </c>
      <c r="GG199" s="4">
        <f>IF(AO199&gt;1, 0.05*(18-MIN(8,(W199+N199)/N199))*(1-48000/MAX(60000,(J199*145))*(N199/25.4)^0.75*GH199), 1/12*(14-MIN(8,(W199+N199)/N199)))</f>
        <v>0.5</v>
      </c>
      <c r="GH199" s="4">
        <f>MIN(0.3, AM199^2*PI()/4*2*AP199/(N199^2*PI()/4*X199))</f>
        <v>0</v>
      </c>
      <c r="GI199" s="4">
        <f>(K199/25.4)/(N199/25.4)^1.5/0.0024*(M199*145)^0.25/GF199/GG199/145</f>
        <v>583.21759390607554</v>
      </c>
    </row>
    <row r="200" spans="1:196" ht="12" customHeight="1" thickBot="1" x14ac:dyDescent="0.35">
      <c r="A200" s="25">
        <v>411</v>
      </c>
      <c r="B200" s="4" t="s">
        <v>605</v>
      </c>
      <c r="C200" s="4">
        <v>2016</v>
      </c>
      <c r="D200" s="4" t="s">
        <v>309</v>
      </c>
      <c r="E200" s="14" t="s">
        <v>678</v>
      </c>
      <c r="F200" s="117"/>
      <c r="G200" s="14">
        <v>22</v>
      </c>
      <c r="H200" s="7" t="s">
        <v>581</v>
      </c>
      <c r="I200" s="5">
        <f>K200/N200</f>
        <v>12.014184397163124</v>
      </c>
      <c r="J200" s="90">
        <f>135/0.145</f>
        <v>931.0344827586207</v>
      </c>
      <c r="K200" s="95">
        <f>16.94*25.4</f>
        <v>430.27600000000001</v>
      </c>
      <c r="L200" s="4">
        <f>K200</f>
        <v>430.27600000000001</v>
      </c>
      <c r="M200" s="95">
        <f>5970/145</f>
        <v>41.172413793103445</v>
      </c>
      <c r="N200" s="38">
        <f>1.41*25.4</f>
        <v>35.813999999999993</v>
      </c>
      <c r="O200" s="7">
        <f>K200/N200</f>
        <v>12.014184397163124</v>
      </c>
      <c r="P200" s="7">
        <f>L200/N200</f>
        <v>12.014184397163124</v>
      </c>
      <c r="Q200" s="38">
        <f>21.5*25.4</f>
        <v>546.1</v>
      </c>
      <c r="R200" s="32">
        <f>S200/N200</f>
        <v>1.8085106382978726</v>
      </c>
      <c r="S200" s="38">
        <f>2.55*25.4</f>
        <v>64.77</v>
      </c>
      <c r="T200" s="32">
        <f>U200/N200</f>
        <v>2.6241134751773054</v>
      </c>
      <c r="U200" s="39">
        <f>3.7*25.4</f>
        <v>93.98</v>
      </c>
      <c r="V200" s="32">
        <f>W200/N200</f>
        <v>9.6312056737588669</v>
      </c>
      <c r="W200" s="7">
        <f>(Q200-X200*N200-2*S200)/(X200-1)</f>
        <v>344.93200000000002</v>
      </c>
      <c r="X200" s="38">
        <v>2</v>
      </c>
      <c r="Y200" s="7">
        <f>AN200</f>
        <v>12</v>
      </c>
      <c r="Z200" s="32">
        <f>AA200/N200</f>
        <v>14.18439716312057</v>
      </c>
      <c r="AA200" s="4">
        <f>20*25.4</f>
        <v>508</v>
      </c>
      <c r="AB200" s="7">
        <f>MIN(S200/N200+0.5, W200/2/N200+0.5)</f>
        <v>2.3085106382978724</v>
      </c>
      <c r="AC200" s="7">
        <f>S200/N200+0.5</f>
        <v>2.3085106382978724</v>
      </c>
      <c r="AD200" s="38">
        <v>3.9</v>
      </c>
      <c r="AE200" s="4">
        <f>AD200</f>
        <v>3.9</v>
      </c>
      <c r="AF200" s="4">
        <f>AE200+1</f>
        <v>4.9000000000000004</v>
      </c>
      <c r="AG200" s="7">
        <f>N200*AF200^0.5</f>
        <v>79.277668484889219</v>
      </c>
      <c r="AJ200" s="38">
        <f>AK200/0.145</f>
        <v>671.72413793103453</v>
      </c>
      <c r="AK200" s="4">
        <v>97.4</v>
      </c>
      <c r="AL200" s="4">
        <f>CY200</f>
        <v>1.8427952176594291</v>
      </c>
      <c r="AM200" s="38">
        <f>0.5*25.4</f>
        <v>12.7</v>
      </c>
      <c r="AN200" s="38">
        <v>12</v>
      </c>
      <c r="AO200" s="39">
        <f>4*25.4</f>
        <v>101.6</v>
      </c>
      <c r="AP200" s="39">
        <v>2</v>
      </c>
      <c r="AQ200" s="39">
        <f>AP200-1</f>
        <v>1</v>
      </c>
      <c r="AR200" s="7"/>
      <c r="AS200" s="4">
        <f>K200</f>
        <v>430.27600000000001</v>
      </c>
      <c r="AT200" s="4">
        <f>IF(K200*3&gt;W200+N200, Q200, (S200+N200/2)*2+1.5*K200*(2*X200-2))*(3*K200)/(9*K200^2)</f>
        <v>0.42306178669815031</v>
      </c>
      <c r="AU200" s="4">
        <f>MIN(10*M200^0.5*K200^1.5,100*3.9*M200^0.5*K200^(5/3))/(PI()/4*N200^2)/X200</f>
        <v>284.24858588831904</v>
      </c>
      <c r="AV200" s="4">
        <f>MIN(0.7+0.3*(MIN(S200,AA200)+0.5*N200)/1.5/K200,1)</f>
        <v>0.73842975206611561</v>
      </c>
      <c r="AW200" s="4">
        <v>1.25</v>
      </c>
      <c r="AX200" s="4">
        <f>AX199</f>
        <v>1</v>
      </c>
      <c r="AY200" s="38">
        <f>AT200*AV200*AW200*AX200*AU200</f>
        <v>110.99957386995993</v>
      </c>
      <c r="AZ200" s="38">
        <f>AY200</f>
        <v>110.99957386995993</v>
      </c>
      <c r="BA200" s="38">
        <f>IF(M200&lt;50, 0.3*M200^(2/3), 2.12*LN(1+0.1*(M200+8)))</f>
        <v>3.5770538153249696</v>
      </c>
      <c r="BB200" s="38">
        <f>AX200* (M200^0.5/AS200^0.5)/(PI()/4*N200^2)/X200/0.72 *(0.7+(MIN(S200,AA200)+0.5*N200)/5/K200) *(3*Q200*K200)</f>
        <v>110.99957386996003</v>
      </c>
      <c r="BC200" s="38">
        <f>AY200/BB200</f>
        <v>0.99999999999999911</v>
      </c>
      <c r="BD200" s="38">
        <f>BH200/BB200</f>
        <v>3.382043559061636</v>
      </c>
      <c r="BE200" s="4">
        <f>IF(BD200&lt;1,1,0)</f>
        <v>0</v>
      </c>
      <c r="BF200" s="4">
        <f>L200/N200*M200^0.5/0.19</f>
        <v>405.73629287821291</v>
      </c>
      <c r="BG200" s="4">
        <f>MIN(0.6+0.4*(AC200/AB200),2)</f>
        <v>1</v>
      </c>
      <c r="BH200" s="38">
        <f>2*M200*AB200*AD200^0.5*BG200*0.7/0.7</f>
        <v>375.4053938654846</v>
      </c>
      <c r="BI200" s="4">
        <f>MAX(1-0.7*AE200/5,0.3)</f>
        <v>0.45399999999999996</v>
      </c>
      <c r="BJ200" s="4">
        <f>BI200*J200*L200/(J200*N200/2.75/M200^0.5)</f>
        <v>96.246734715105291</v>
      </c>
      <c r="BK200" s="4">
        <f>BH200+BJ200</f>
        <v>471.65212858058987</v>
      </c>
      <c r="BM200" s="4">
        <f>MIN(1.5, 0.75+0.25*MIN(3,MAX(1,S200/N200))+0.4*MIN(1,(40*2*PI()*AM200^2/4/AO200/X200)/N200))</f>
        <v>1.5</v>
      </c>
      <c r="BN200" s="4">
        <f>(3*P200+30)*BM200*M200^0.5</f>
        <v>635.65033199253048</v>
      </c>
      <c r="BP200" s="4">
        <f>3.4/PI()^0.5*M200*AB200*AE200^0.5*BG200</f>
        <v>360.05968180513355</v>
      </c>
      <c r="BQ200" s="4">
        <f>8/3*AH200*AI200^2/(AG200-N200-22)/N200*(AG200^2-N200^2)/(AG200^2-(N200+22)^2)</f>
        <v>0</v>
      </c>
      <c r="BR200" s="4">
        <f>BQ200/BP200</f>
        <v>0</v>
      </c>
      <c r="BZ200" s="4">
        <f>IF(W200=0,S200,MIN(W200/2,S200))</f>
        <v>64.77</v>
      </c>
      <c r="CD200" s="9"/>
      <c r="CF200" s="9"/>
      <c r="CG200" s="9"/>
      <c r="CH200" s="9">
        <f>IF(W200=0,MIN(S200,U200),MIN(W200/2,S200,U200))</f>
        <v>64.77</v>
      </c>
      <c r="CI200" s="9">
        <f>MAX(W200/2,S200)</f>
        <v>172.46600000000001</v>
      </c>
      <c r="CJ200" s="9">
        <f>(CH200/N200)^0.5*(CI200/CH200)^0.15</f>
        <v>1.5576144696639249</v>
      </c>
      <c r="CK200" s="70">
        <f>IF(AO200&gt;1,20,0)</f>
        <v>20</v>
      </c>
      <c r="CL200" s="9">
        <f>MIN(PI()*AM200^2/4*AN200*2/X200/N200/MAX(0.01,AO200),0.05)</f>
        <v>0.05</v>
      </c>
      <c r="CM200" s="9">
        <f>MAX(0,CK200*(CL200-0.5/50))</f>
        <v>0.8</v>
      </c>
      <c r="CN200" s="9">
        <f>MIN(1,(25/N200)^0.3)</f>
        <v>0.89777220146327208</v>
      </c>
      <c r="CO200" s="9">
        <f>IF(J200&gt;=800,0.68,IF(J200&gt;=700,0.75-(J200-700)*0.07/100,IF(J200&gt;=600,0.85-(J200-600)*0.1/100,IF(J200&gt;=500,1-(J200-500)*0.15/100,1.2-(J200-400)*0.2/100))))</f>
        <v>0.68</v>
      </c>
      <c r="CP200" s="9">
        <f>1.75*CN200*CO200*(M200/25)^0.5</f>
        <v>1.3710278453315501</v>
      </c>
      <c r="CQ200" s="9">
        <f>MIN((CJ200+CM200)*CP200,2.5*CP200,M200^0.5)</f>
        <v>3.2323550864658164</v>
      </c>
      <c r="CR200" s="40">
        <v>1</v>
      </c>
      <c r="CS200" s="9">
        <f>4*CQ200*P200+60*CQ200</f>
        <v>349.27774537158291</v>
      </c>
      <c r="CU200" s="4">
        <f>AJ200/BF200</f>
        <v>1.6555682834433088</v>
      </c>
      <c r="CV200" s="4">
        <f>AJ200/BK200</f>
        <v>1.4241940133982856</v>
      </c>
      <c r="CW200" s="4">
        <f>AJ200/BN200</f>
        <v>1.056751021942246</v>
      </c>
      <c r="CX200" s="4">
        <f>AJ200/CS200</f>
        <v>1.9231804683588229</v>
      </c>
      <c r="CY200" s="4">
        <f>AJ200/DZ200</f>
        <v>1.8427952176594291</v>
      </c>
      <c r="CZ200" s="4">
        <f>AJ200/EL200</f>
        <v>1.2956424138648808</v>
      </c>
      <c r="DA200" s="4">
        <f>AJ200/GI200</f>
        <v>1.1621411039397247</v>
      </c>
      <c r="DB200" s="4">
        <f>AN200</f>
        <v>12</v>
      </c>
      <c r="DI200" s="4">
        <f>CU200</f>
        <v>1.6555682834433088</v>
      </c>
      <c r="DJ200" s="4">
        <f>CV200</f>
        <v>1.4241940133982856</v>
      </c>
      <c r="DK200" s="4">
        <f>CX200</f>
        <v>1.9231804683588229</v>
      </c>
      <c r="DL200" s="4">
        <f>DA200</f>
        <v>1.1621411039397247</v>
      </c>
      <c r="DM200" s="4">
        <f>CY200</f>
        <v>1.8427952176594291</v>
      </c>
      <c r="DN200" s="4">
        <f>CZ200</f>
        <v>1.2956424138648808</v>
      </c>
      <c r="DQ200" s="4">
        <f>L200</f>
        <v>430.27600000000001</v>
      </c>
      <c r="DT200" s="4">
        <f>K200/4/(1-0.3*(M200/30)^0.5)/200000/N200</f>
        <v>2.3155863189575028E-5</v>
      </c>
      <c r="DU200" s="4">
        <f>EP200</f>
        <v>6.7506445941972286</v>
      </c>
      <c r="DV200" s="4">
        <f>EC200*AG200/257/M200/AD200</f>
        <v>0.21323972882268041</v>
      </c>
      <c r="DW200" s="4">
        <f>DU200*DV200^0.4</f>
        <v>3.6382496196536955</v>
      </c>
      <c r="DX200" s="4">
        <f>MIN(DU200, DU200/1.4*(1-DV200^1.4)/(1-DV200))</f>
        <v>5.4244379957353805</v>
      </c>
      <c r="DY200" s="4">
        <f>MAX(DU200/2, (4-DT200*(8*AG200*(DW200-DX200)+6*K200*DX200))/(4+DT200*K200*DU200)*DU200)</f>
        <v>6.1443318709449333</v>
      </c>
      <c r="DZ200" s="38">
        <f>MIN(1/N200*(4*AG200*(DW200-DX200)+(3*DX200+DY200)*K200)+EC200 -FJ200,MAX(J200,AJ200))</f>
        <v>364.51371888418765</v>
      </c>
      <c r="EA200" s="4">
        <f>DZ200/FF200</f>
        <v>1.0001153642664071</v>
      </c>
      <c r="EB200" s="4">
        <f>AG200/N200</f>
        <v>2.2135943621178655</v>
      </c>
      <c r="EC200" s="4">
        <f>MIN(EB$10*BB200)</f>
        <v>110.99957386996003</v>
      </c>
      <c r="EG200" s="4">
        <f>IF(U200&gt;1*N200,0.85,1)</f>
        <v>0.85</v>
      </c>
      <c r="EH200" s="4">
        <f>MIN(1,MAX(0.7,(1-0.1*(BZ200-1*N200)/N200)))</f>
        <v>0.91914893617021276</v>
      </c>
      <c r="EI200" s="4">
        <f>MIN(1,MAX(0.7,1-0.3*(PI()*AM200^2/4*AQ200*2-0.25*PI()/4*N200^2)/(PI()/4*N200^2)))</f>
        <v>0.9995510789195714</v>
      </c>
      <c r="EJ200" s="4">
        <f>IF(EH200*EI200&lt;0.7,0.7,EH200*EI200)</f>
        <v>0.91873631083671248</v>
      </c>
      <c r="EL200" s="4">
        <f>MIN(DU200/N200*3*K200+EM200-FJ200,MAX(J200,AJ200))</f>
        <v>518.44870987766762</v>
      </c>
      <c r="EM200" s="25">
        <f>13.3*Q200*K200^0.5*M200^0.5/X200/N200^2*(0.7+S200/5/K200)</f>
        <v>275.13824301447386</v>
      </c>
      <c r="EO200" s="4">
        <f>EG200*EJ200</f>
        <v>0.78092586421120558</v>
      </c>
      <c r="EP200" s="4">
        <f>IF(N200&lt;22.2,1.1*5*(M200/30)^0.5,IF(N200&gt;=31.8,0.9*5*(M200/30)^0.5,1*5*(M200/30)^0.5))/EG200/EJ200</f>
        <v>6.7506445941972286</v>
      </c>
      <c r="ES200" s="4">
        <f>ET200*N200</f>
        <v>79.277668484889219</v>
      </c>
      <c r="ET200" s="4">
        <f>AF200^0.5</f>
        <v>2.2135943621178655</v>
      </c>
      <c r="EU200" s="4">
        <f>MIN(EC200)/(4700*M200^0.5)/AE200*ES200</f>
        <v>7.4818078685512088E-2</v>
      </c>
      <c r="EX200" s="4">
        <f>EU200</f>
        <v>7.4818078685512088E-2</v>
      </c>
      <c r="EY200" s="4">
        <f>MIN(0.999, EX200/(0.3*(M200/30)^0.5))</f>
        <v>0.21288387145775828</v>
      </c>
      <c r="EZ200" s="4">
        <f>EP200/1*EY200^0.4</f>
        <v>3.6358197784789352</v>
      </c>
      <c r="FA200" s="4">
        <f>EP200/1.4*(1-EY200^1.4)/(1-EY200)</f>
        <v>5.4236299058844288</v>
      </c>
      <c r="FB200" s="4">
        <f>MAX(0,DQ200*FB$9-ES200)</f>
        <v>243.42933151511079</v>
      </c>
      <c r="FC200" s="4">
        <f>MAX(0,DQ200-ES200-FB200)</f>
        <v>107.56900000000002</v>
      </c>
      <c r="FD200" s="4">
        <f>FC200/(1-0.3*(M200/30)^0.5)/200000/N200</f>
        <v>2.3155863189575032E-5</v>
      </c>
      <c r="FE200" s="4">
        <f>MAX(0.5*EP200, (1-2*FD200*(ES200*EZ200+FB200*FA200))/(1/EP200+FD200*FC200))</f>
        <v>6.1444515805053346</v>
      </c>
      <c r="FF200" s="4">
        <f>MIN(4/N200*(1*EZ200*ES200+FA200*FB200+FC200*FE200)+EC200,MAX(J200,AJ200))</f>
        <v>364.47167187713541</v>
      </c>
      <c r="FO200" s="23">
        <f>IF(CU200&lt;0.6,0.6,IF(CU200&lt;0.8,0.8,IF(CU200&lt;1,1,IF(CU200&lt;1.2,1.2,IF(CU200&lt;1.4,1.4,IF(CU200&lt;1.6,1.6,IF(CU200&lt;1.8,1.8,IF(CU200&lt;2,2,2.2))))))))</f>
        <v>1.8</v>
      </c>
      <c r="FP200" s="23">
        <f>IF(CV200&lt;0.6,0.6,IF(CV200&lt;0.8,0.8,IF(CV200&lt;1,1,IF(CV200&lt;1.2,1.2,IF(CV200&lt;1.4,1.4,IF(CV200&lt;1.6,1.6,IF(CV200&lt;1.8,1.8,IF(CV200&lt;2,2,2.2))))))))</f>
        <v>1.6</v>
      </c>
      <c r="FQ200" s="23">
        <f>IF(DA200&lt;0.6,0.6,IF(DA200&lt;0.8,0.8,IF(DA200&lt;1,1,IF(DA200&lt;1.2,1.2,IF(DA200&lt;1.4,1.4,IF(DA200&lt;1.6,1.6,IF(DA200&lt;1.8,1.8,IF(DA200&lt;2,2,2.2))))))))</f>
        <v>1.2</v>
      </c>
      <c r="FR200" s="23">
        <f>IF(CX200&lt;0.6,0.6,IF(CX200&lt;0.8,0.8,IF(CX200&lt;1,1,IF(CX200&lt;1.2,1.2,IF(CX200&lt;1.4,1.4,IF(CX200&lt;1.6,1.6,IF(CX200&lt;1.8,1.8,IF(CX200&lt;2,2,2.2))))))))</f>
        <v>2</v>
      </c>
      <c r="FS200" s="23">
        <f>IF(CY200&lt;0.6,0.6,IF(CY200&lt;0.8,0.8,IF(CY200&lt;1,1,IF(CY200&lt;1.2,1.2,IF(CY200&lt;1.4,1.4,IF(CY200&lt;1.6,1.6,IF(CY200&lt;1.8,1.8,IF(CY200&lt;2,2,2.2))))))))</f>
        <v>2</v>
      </c>
      <c r="FT200" s="23">
        <f>IF(CZ200&lt;0.6,0.6,IF(CZ200&lt;0.8,0.8,IF(CZ200&lt;1,1,IF(CZ200&lt;1.2,1.2,IF(CZ200&lt;1.4,1.4,IF(CZ200&lt;1.6,1.6,IF(CZ200&lt;1.8,1.8,IF(CZ200&lt;2,2,2.2))))))))</f>
        <v>1.4</v>
      </c>
      <c r="FU200" s="23">
        <f>IF(FS200&lt;1,1,0)</f>
        <v>0</v>
      </c>
      <c r="FV200" s="23"/>
      <c r="GF200" s="4">
        <f>IF(S200&gt;=2.5*25.4,1,1.25)</f>
        <v>1</v>
      </c>
      <c r="GG200" s="4">
        <f>IF(AO200&gt;1, 0.05*(18-MIN(8,(W200+N200)/N200))*(1-48000/MAX(60000,(J200*145))*(N200/25.4)^0.75*GH200), 1/12*(14-MIN(8,(W200+N200)/N200)))</f>
        <v>0.44214730608235164</v>
      </c>
      <c r="GH200" s="4">
        <f>MIN(0.3, AM200^2*PI()/4*2*AP200/(N200^2*PI()/4*X200))</f>
        <v>0.25149640360142855</v>
      </c>
      <c r="GI200" s="4">
        <f>(K200/25.4)/(N200/25.4)^1.5/0.0024*(M200*145)^0.25/GF200/GG200/145</f>
        <v>578.00566183732019</v>
      </c>
    </row>
    <row r="201" spans="1:196" s="54" customFormat="1" ht="13.5" customHeight="1" thickBot="1" x14ac:dyDescent="0.35">
      <c r="A201" s="25">
        <v>152</v>
      </c>
      <c r="B201" s="24" t="s">
        <v>128</v>
      </c>
      <c r="C201" s="24">
        <v>2017</v>
      </c>
      <c r="D201" s="24" t="s">
        <v>309</v>
      </c>
      <c r="E201" s="24"/>
      <c r="F201" s="73"/>
      <c r="G201" s="109" t="s">
        <v>790</v>
      </c>
      <c r="H201" s="4" t="s">
        <v>159</v>
      </c>
      <c r="I201" s="5">
        <f>K201/N201</f>
        <v>10</v>
      </c>
      <c r="J201" s="72">
        <v>606</v>
      </c>
      <c r="K201" s="7">
        <f>10*N201</f>
        <v>430</v>
      </c>
      <c r="L201" s="7">
        <f>K201</f>
        <v>430</v>
      </c>
      <c r="M201" s="84">
        <v>81.2</v>
      </c>
      <c r="N201" s="88">
        <v>43</v>
      </c>
      <c r="O201" s="7">
        <f>K201/N201</f>
        <v>10</v>
      </c>
      <c r="P201" s="7">
        <f>L201/N201</f>
        <v>10</v>
      </c>
      <c r="Q201" s="7">
        <f>W201+2*S201+2*N201</f>
        <v>541.79999999999995</v>
      </c>
      <c r="R201" s="32">
        <f>S201/N201</f>
        <v>1</v>
      </c>
      <c r="S201" s="7">
        <f>1*N201</f>
        <v>43</v>
      </c>
      <c r="T201" s="32">
        <f>U201/N201</f>
        <v>1.3023255813953489</v>
      </c>
      <c r="U201" s="7">
        <f>40+16</f>
        <v>56</v>
      </c>
      <c r="V201" s="32">
        <f>W201/N201</f>
        <v>8.6</v>
      </c>
      <c r="W201" s="7">
        <f>(9.6-1)*N201</f>
        <v>369.8</v>
      </c>
      <c r="X201" s="7">
        <v>2</v>
      </c>
      <c r="Y201" s="7">
        <f>AN201</f>
        <v>0</v>
      </c>
      <c r="Z201" s="32">
        <f>AA201/N201</f>
        <v>5.2131782945736429</v>
      </c>
      <c r="AA201" s="7">
        <f>2/3*K201-0.5*125</f>
        <v>224.16666666666663</v>
      </c>
      <c r="AB201" s="7">
        <f>MIN(S201/N201+0.5, W201/2/N201+0.5)</f>
        <v>1.5</v>
      </c>
      <c r="AC201" s="7">
        <f>S201/N201+0.5</f>
        <v>1.5</v>
      </c>
      <c r="AD201" s="7">
        <f>2040/510</f>
        <v>4</v>
      </c>
      <c r="AE201" s="7">
        <f>2040/510</f>
        <v>4</v>
      </c>
      <c r="AF201" s="7">
        <f>AE201+1</f>
        <v>5</v>
      </c>
      <c r="AG201" s="7">
        <f>N201*AF201^0.5</f>
        <v>96.150923032490965</v>
      </c>
      <c r="AH201" s="7">
        <f>J201</f>
        <v>606</v>
      </c>
      <c r="AI201" s="7">
        <v>19</v>
      </c>
      <c r="AJ201" s="7">
        <f>(595+590)/2</f>
        <v>592.5</v>
      </c>
      <c r="AK201" s="7"/>
      <c r="AL201" s="4">
        <f>CY201</f>
        <v>1.6540735818514851</v>
      </c>
      <c r="AM201" s="7">
        <v>0</v>
      </c>
      <c r="AN201" s="7">
        <v>0</v>
      </c>
      <c r="AO201" s="7">
        <f>L201</f>
        <v>430</v>
      </c>
      <c r="AP201" s="7"/>
      <c r="AQ201" s="7"/>
      <c r="AR201" s="7">
        <f>3*AS201/(W201+N201)</f>
        <v>3.125</v>
      </c>
      <c r="AS201" s="4">
        <f>K201</f>
        <v>430</v>
      </c>
      <c r="AT201" s="4">
        <f>IF(K201*3&gt;W201+N201, Q201, (S201+N201/2)*2+1.5*K201*(2*X201-2))*(3*K201)/(9*K201^2)</f>
        <v>0.41999999999999993</v>
      </c>
      <c r="AU201" s="4">
        <f>MIN(10*M201^0.5*K201^1.5,100*3.9*M201^0.5*K201^(5/3))/(PI()/4*N201^2)/X201</f>
        <v>276.64569081934007</v>
      </c>
      <c r="AV201" s="4">
        <f>MIN(0.7+0.3*(MIN(S201,AA201)+0.5*N201)/1.5/K201,1)</f>
        <v>0.73</v>
      </c>
      <c r="AW201" s="4">
        <v>1.25</v>
      </c>
      <c r="AX201" s="4">
        <f>AX199</f>
        <v>1</v>
      </c>
      <c r="AY201" s="38">
        <f>AT201*AV201*AW201*AX201*AU201</f>
        <v>106.02446100651207</v>
      </c>
      <c r="AZ201" s="38">
        <f>AY201</f>
        <v>106.02446100651207</v>
      </c>
      <c r="BA201" s="38">
        <f>IF(M201&lt;50, 0.3*M201^(2/3), 2.12*LN(1+0.1*(M201+8)))</f>
        <v>4.8644521931491767</v>
      </c>
      <c r="BB201" s="38">
        <f>AX201* (M201^0.5/AS201^0.5)/(PI()/4*N201^2)/X201/0.72 *(0.7+(MIN(S201,AA201)+0.5*N201)/5/K201) *(3*Q201*K201)</f>
        <v>106.02446100651215</v>
      </c>
      <c r="BC201" s="38">
        <f>AY201/BB201</f>
        <v>0.99999999999999922</v>
      </c>
      <c r="BD201" s="38">
        <f>BH201/BB201</f>
        <v>4.5951660152280862</v>
      </c>
      <c r="BE201" s="4">
        <f>IF(BD201&lt;1,1,0)</f>
        <v>0</v>
      </c>
      <c r="BF201" s="4">
        <f>L201/N201*M201^0.5/0.19</f>
        <v>474.26864530816039</v>
      </c>
      <c r="BG201" s="4">
        <f>MIN(0.6+0.4*(AC201/AB201),2)</f>
        <v>1</v>
      </c>
      <c r="BH201" s="38">
        <f>2*M201*AB201*AD201^0.5*BG201*0.7/0.7</f>
        <v>487.20000000000005</v>
      </c>
      <c r="BI201" s="4">
        <f>MAX(1-0.7*AE201/5,0.3)</f>
        <v>0.44000000000000006</v>
      </c>
      <c r="BJ201" s="4">
        <f>BI201*J201*L201/(J201*N201/2.75/M201^0.5)</f>
        <v>109.03436155634607</v>
      </c>
      <c r="BK201" s="4">
        <f>BH201+BJ201</f>
        <v>596.23436155634613</v>
      </c>
      <c r="BL201" s="4"/>
      <c r="BM201" s="4">
        <f>MIN(1.5, 0.75+0.25*MIN(3,MAX(1,S201/N201))+0.4*MIN(1,(40*2*PI()*AM201^2/4/AO201/X201)/N201))</f>
        <v>1</v>
      </c>
      <c r="BN201" s="4">
        <f>(3*P201+30)*BM201*M201^0.5</f>
        <v>540.66625565130289</v>
      </c>
      <c r="BO201" s="4"/>
      <c r="BP201" s="4">
        <f>3.4/PI()^0.5*M201*AB201*AE201^0.5*BG201</f>
        <v>467.28438067759373</v>
      </c>
      <c r="BQ201" s="4">
        <f>8/3*AH201*AI201^2/(AG201-N201-22)/N201*(AG201^2-N201^2)/(AG201^2-(N201+22)^2)</f>
        <v>641.65616063635548</v>
      </c>
      <c r="BR201" s="4">
        <f>BQ201/BP201</f>
        <v>1.3731598725938816</v>
      </c>
      <c r="BS201" s="4"/>
      <c r="BT201" s="4"/>
      <c r="BU201" s="4"/>
      <c r="BV201" s="4"/>
      <c r="BW201" s="4"/>
      <c r="BX201" s="4"/>
      <c r="BY201" s="4"/>
      <c r="BZ201" s="4">
        <f>IF(W201=0,S201,MIN(W201/2,S201))</f>
        <v>43</v>
      </c>
      <c r="CA201" s="4"/>
      <c r="CB201" s="4"/>
      <c r="CC201" s="4"/>
      <c r="CD201" s="9"/>
      <c r="CE201" s="4"/>
      <c r="CF201" s="9"/>
      <c r="CG201" s="9"/>
      <c r="CH201" s="9">
        <f>IF(W201=0,MIN(S201,U201),MIN(W201/2,S201,U201))</f>
        <v>43</v>
      </c>
      <c r="CI201" s="9">
        <f>MAX(W201/2,S201)</f>
        <v>184.9</v>
      </c>
      <c r="CJ201" s="9">
        <f>(CH201/N201)^0.5*(CI201/CH201)^0.15</f>
        <v>1.2445726940891169</v>
      </c>
      <c r="CK201" s="70">
        <v>0</v>
      </c>
      <c r="CL201" s="9">
        <f>MIN(PI()*AM201^2/4*AN201*2/X201/N201/MAX(0.01,AO201),0.05)</f>
        <v>0</v>
      </c>
      <c r="CM201" s="9">
        <f>MAX(0,CK201*(CL201-0.5/50))</f>
        <v>0</v>
      </c>
      <c r="CN201" s="9">
        <f>MIN(1,(25/N201)^0.3)</f>
        <v>0.84984840943171969</v>
      </c>
      <c r="CO201" s="9">
        <f>IF(J201&gt;=800,0.68,IF(J201&gt;=700,0.75-(J201-700)*0.07/100,IF(J201&gt;=600,0.85-(J201-600)*0.1/100,IF(J201&gt;=500,1-(J201-500)*0.15/100,1.2-(J201-400)*0.2/100))))</f>
        <v>0.84399999999999997</v>
      </c>
      <c r="CP201" s="9">
        <f>1.75*CN201*CO201*(M201/25)^0.5</f>
        <v>2.2621946529260857</v>
      </c>
      <c r="CQ201" s="9">
        <f>MIN((CJ201+CM201)*CP201,2.5*CP201,M201^0.5)</f>
        <v>2.815465693746213</v>
      </c>
      <c r="CR201" s="9">
        <v>1</v>
      </c>
      <c r="CS201" s="9">
        <f>4*CQ201*P201+60*CQ201</f>
        <v>281.5465693746213</v>
      </c>
      <c r="CT201" s="4"/>
      <c r="CU201" s="4">
        <f>AJ201/BF201</f>
        <v>1.2492919484799965</v>
      </c>
      <c r="CV201" s="4">
        <f>AJ201/BK201</f>
        <v>0.99373675554928043</v>
      </c>
      <c r="CW201" s="4">
        <f>AJ201/BN201</f>
        <v>1.0958701302456109</v>
      </c>
      <c r="CX201" s="4">
        <f>AJ201/CS201</f>
        <v>2.1044475921552754</v>
      </c>
      <c r="CY201" s="4">
        <f>AJ201/DZ201</f>
        <v>1.6540735818514851</v>
      </c>
      <c r="CZ201" s="4">
        <f>AJ201/EL201</f>
        <v>1.131898315070766</v>
      </c>
      <c r="DA201" s="4">
        <f>AJ201/GI201</f>
        <v>1.6096593536070971</v>
      </c>
      <c r="DB201" s="4"/>
      <c r="DC201" s="4">
        <f>CU201</f>
        <v>1.2492919484799965</v>
      </c>
      <c r="DD201" s="4">
        <f>CV201</f>
        <v>0.99373675554928043</v>
      </c>
      <c r="DE201" s="4">
        <f>CX201</f>
        <v>2.1044475921552754</v>
      </c>
      <c r="DF201" s="4">
        <f>DA201</f>
        <v>1.6096593536070971</v>
      </c>
      <c r="DG201" s="4">
        <f>CY201</f>
        <v>1.6540735818514851</v>
      </c>
      <c r="DH201" s="4">
        <f>CZ201</f>
        <v>1.131898315070766</v>
      </c>
      <c r="DI201" s="4"/>
      <c r="DJ201" s="4"/>
      <c r="DK201" s="4"/>
      <c r="DL201" s="4"/>
      <c r="DM201" s="4"/>
      <c r="DN201" s="4"/>
      <c r="DO201" s="4"/>
      <c r="DP201" s="4">
        <f>AN201</f>
        <v>0</v>
      </c>
      <c r="DQ201" s="4">
        <f>L201</f>
        <v>430</v>
      </c>
      <c r="DR201" s="4"/>
      <c r="DS201" s="4"/>
      <c r="DT201" s="4">
        <f>K201/4/(1-0.3*(M201/30)^0.5)/200000/N201</f>
        <v>2.4682021866243434E-5</v>
      </c>
      <c r="DU201" s="4">
        <f>EP201</f>
        <v>8.7098560088845165</v>
      </c>
      <c r="DV201" s="4">
        <f>EC201*AG201/257/M201/AD201</f>
        <v>0.12212663392735534</v>
      </c>
      <c r="DW201" s="4">
        <f>DU201*DV201^0.4</f>
        <v>3.7560825647469938</v>
      </c>
      <c r="DX201" s="4">
        <f>MIN(DU201, DU201/1.4*(1-DV201^1.4)/(1-DV201))</f>
        <v>6.7135767342357466</v>
      </c>
      <c r="DY201" s="4">
        <f>MAX(DU201/2, (4-DT201*(8*AG201*(DW201-DX201)+6*K201*DX201))/(4+DT201*K201*DU201)*DU201)</f>
        <v>7.7227424310055408</v>
      </c>
      <c r="DZ201" s="38">
        <f>MIN(1/N201*(4*AG201*(DW201-DX201)+(3*DX201+DY201)*K201)+EC201 -FJ201,MAX(J201,AJ201))</f>
        <v>358.20655531949546</v>
      </c>
      <c r="EA201" s="4">
        <f>DZ201/FF201</f>
        <v>1.0000983608456986</v>
      </c>
      <c r="EB201" s="4">
        <f>AG201/N201</f>
        <v>2.2360679774997898</v>
      </c>
      <c r="EC201" s="4">
        <f>MIN(EB$10*BB201)</f>
        <v>106.02446100651215</v>
      </c>
      <c r="ED201" s="4"/>
      <c r="EE201" s="4"/>
      <c r="EF201" s="4"/>
      <c r="EG201" s="4">
        <f>IF(U201&gt;1*N201,0.85,1)</f>
        <v>0.85</v>
      </c>
      <c r="EH201" s="4">
        <f>MIN(1,MAX(0.7,(1-0.1*(BZ201-1*N201)/N201)))</f>
        <v>1</v>
      </c>
      <c r="EI201" s="4">
        <f>MIN(1,MAX(0.7,1-0.3*(PI()*AM201^2/4*AQ201*2-0.25*PI()/4*N201^2)/(PI()/4*N201^2)))</f>
        <v>1</v>
      </c>
      <c r="EJ201" s="4">
        <f>IF(EH201*EI201&lt;0.7,0.7,EH201*EI201)</f>
        <v>1</v>
      </c>
      <c r="EK201" s="4"/>
      <c r="EL201" s="4">
        <f>MIN(DU201/N201*3*K201+EM201-FJ201,MAX(J201,AJ201))</f>
        <v>523.45691491108641</v>
      </c>
      <c r="EM201" s="25">
        <f>13.3*Q201*K201^0.5*M201^0.5/X201/N201^2*(0.7+S201/5/K201)</f>
        <v>262.16123464455097</v>
      </c>
      <c r="EN201" s="4"/>
      <c r="EO201" s="4"/>
      <c r="EP201" s="4">
        <f>IF(N201&lt;22.2,1.1*5*(M201/30)^0.5,IF(N201&gt;=31.8,0.9*5*(M201/30)^0.5,1*5*(M201/30)^0.5))/EG201/EJ201</f>
        <v>8.7098560088845165</v>
      </c>
      <c r="EQ201" s="4"/>
      <c r="ER201" s="4"/>
      <c r="ES201" s="4">
        <f>ET201*N201</f>
        <v>96.150923032490965</v>
      </c>
      <c r="ET201" s="4">
        <f>AF201^0.5</f>
        <v>2.2360679774997898</v>
      </c>
      <c r="EU201" s="4">
        <f>MIN(EC201)/(4700*M201^0.5)/AE201*ES201</f>
        <v>6.0176048650233155E-2</v>
      </c>
      <c r="EV201" s="4"/>
      <c r="EW201" s="4"/>
      <c r="EX201" s="4">
        <f>EU201</f>
        <v>6.0176048650233155E-2</v>
      </c>
      <c r="EY201" s="4">
        <f>MIN(0.999, EX201/(0.3*(M201/30)^0.5))</f>
        <v>0.12192282733664102</v>
      </c>
      <c r="EZ201" s="4">
        <f>EP201/1*EY201^0.4</f>
        <v>3.7535740276685257</v>
      </c>
      <c r="FA201" s="4">
        <f>EP201/1.4*(1-EY201^1.4)/(1-EY201)</f>
        <v>6.7128899923319443</v>
      </c>
      <c r="FB201" s="4">
        <f>MAX(0,DQ201*FB$9-ES201)</f>
        <v>226.34907696750903</v>
      </c>
      <c r="FC201" s="4">
        <f>MAX(0,DQ201-ES201-FB201)</f>
        <v>107.50000000000003</v>
      </c>
      <c r="FD201" s="4">
        <f>FC201/(1-0.3*(M201/30)^0.5)/200000/N201</f>
        <v>2.468202186624344E-5</v>
      </c>
      <c r="FE201" s="4">
        <f>MAX(0.5*EP201, (1-2*FD201*(ES201*EZ201+FB201*FA201))/(1/EP201+FD201*FC201))</f>
        <v>7.7229091164116044</v>
      </c>
      <c r="FF201" s="4">
        <f>MIN(4/N201*(1*EZ201*ES201+FA201*FB201+FC201*FE201)+EC201,MAX(J201,AJ201))</f>
        <v>358.17132528503544</v>
      </c>
      <c r="FG201" s="4"/>
      <c r="FH201" s="4"/>
      <c r="FI201" s="4"/>
      <c r="FJ201" s="4"/>
      <c r="FK201" s="4"/>
      <c r="FL201" s="4"/>
      <c r="FM201" s="4"/>
      <c r="FN201" s="4"/>
      <c r="FO201" s="23">
        <f>IF(CU201&lt;0.6,0.6,IF(CU201&lt;0.8,0.8,IF(CU201&lt;1,1,IF(CU201&lt;1.2,1.2,IF(CU201&lt;1.4,1.4,IF(CU201&lt;1.6,1.6,IF(CU201&lt;1.8,1.8,IF(CU201&lt;2,2,2.2))))))))</f>
        <v>1.4</v>
      </c>
      <c r="FP201" s="23">
        <f>IF(CV201&lt;0.6,0.6,IF(CV201&lt;0.8,0.8,IF(CV201&lt;1,1,IF(CV201&lt;1.2,1.2,IF(CV201&lt;1.4,1.4,IF(CV201&lt;1.6,1.6,IF(CV201&lt;1.8,1.8,IF(CV201&lt;2,2,2.2))))))))</f>
        <v>1</v>
      </c>
      <c r="FQ201" s="23">
        <f>IF(DA201&lt;0.6,0.6,IF(DA201&lt;0.8,0.8,IF(DA201&lt;1,1,IF(DA201&lt;1.2,1.2,IF(DA201&lt;1.4,1.4,IF(DA201&lt;1.6,1.6,IF(DA201&lt;1.8,1.8,IF(DA201&lt;2,2,2.2))))))))</f>
        <v>1.8</v>
      </c>
      <c r="FR201" s="23">
        <f>IF(CX201&lt;0.6,0.6,IF(CX201&lt;0.8,0.8,IF(CX201&lt;1,1,IF(CX201&lt;1.2,1.2,IF(CX201&lt;1.4,1.4,IF(CX201&lt;1.6,1.6,IF(CX201&lt;1.8,1.8,IF(CX201&lt;2,2,2.2))))))))</f>
        <v>2.2000000000000002</v>
      </c>
      <c r="FS201" s="23">
        <f>IF(CY201&lt;0.6,0.6,IF(CY201&lt;0.8,0.8,IF(CY201&lt;1,1,IF(CY201&lt;1.2,1.2,IF(CY201&lt;1.4,1.4,IF(CY201&lt;1.6,1.6,IF(CY201&lt;1.8,1.8,IF(CY201&lt;2,2,2.2))))))))</f>
        <v>1.8</v>
      </c>
      <c r="FT201" s="23">
        <f>IF(CZ201&lt;0.6,0.6,IF(CZ201&lt;0.8,0.8,IF(CZ201&lt;1,1,IF(CZ201&lt;1.2,1.2,IF(CZ201&lt;1.4,1.4,IF(CZ201&lt;1.6,1.6,IF(CZ201&lt;1.8,1.8,IF(CZ201&lt;2,2,2.2))))))))</f>
        <v>1.2</v>
      </c>
      <c r="FU201" s="23">
        <f>IF(FS201&lt;1,1,0)</f>
        <v>0</v>
      </c>
      <c r="FV201" s="23"/>
      <c r="FW201" s="4"/>
      <c r="FX201" s="4"/>
      <c r="FY201" s="4"/>
      <c r="FZ201" s="4"/>
      <c r="GA201" s="4"/>
      <c r="GB201" s="4"/>
      <c r="GC201" s="4"/>
      <c r="GD201" s="4"/>
      <c r="GE201" s="4"/>
      <c r="GF201" s="4">
        <f>IF(S201&gt;=2.5*25.4,1,1.25)</f>
        <v>1.25</v>
      </c>
      <c r="GG201" s="4">
        <f>IF(AO201&gt;1, 0.05*(18-MIN(8,(W201+N201)/N201))*(1-48000/MAX(60000,(J201*145))*(N201/25.4)^0.75*GH201), 1/12*(14-MIN(8,(W201+N201)/N201)))</f>
        <v>0.5</v>
      </c>
      <c r="GH201" s="4">
        <f>MIN(0.3, AM201^2*PI()/4*2*AP201/(N201^2*PI()/4*X201))</f>
        <v>0</v>
      </c>
      <c r="GI201" s="4">
        <f>(K201/25.4)/(N201/25.4)^1.5/0.0024*(M201*145)^0.25/GF201/GG201/145</f>
        <v>368.09030349947182</v>
      </c>
      <c r="GJ201" s="4"/>
      <c r="GK201" s="4"/>
      <c r="GL201" s="4"/>
      <c r="GM201" s="4"/>
      <c r="GN201" s="4"/>
    </row>
    <row r="202" spans="1:196" s="54" customFormat="1" ht="13.5" customHeight="1" thickBot="1" x14ac:dyDescent="0.35">
      <c r="A202" s="25">
        <v>152</v>
      </c>
      <c r="B202" s="24" t="s">
        <v>128</v>
      </c>
      <c r="C202" s="24">
        <v>2017</v>
      </c>
      <c r="D202" s="24" t="s">
        <v>309</v>
      </c>
      <c r="E202" s="24"/>
      <c r="F202" s="73" t="s">
        <v>781</v>
      </c>
      <c r="G202" s="109" t="s">
        <v>780</v>
      </c>
      <c r="H202" s="4" t="s">
        <v>159</v>
      </c>
      <c r="I202" s="5">
        <f>K202/N202</f>
        <v>10</v>
      </c>
      <c r="J202" s="72">
        <v>606</v>
      </c>
      <c r="K202" s="7">
        <f>10*N202</f>
        <v>430</v>
      </c>
      <c r="L202" s="7">
        <f>K202</f>
        <v>430</v>
      </c>
      <c r="M202" s="84">
        <v>81.2</v>
      </c>
      <c r="N202" s="88">
        <v>43</v>
      </c>
      <c r="O202" s="7">
        <f>K202/N202</f>
        <v>10</v>
      </c>
      <c r="P202" s="7">
        <f>L202/N202</f>
        <v>10</v>
      </c>
      <c r="Q202" s="7">
        <f>W202+2*S202+2*N202</f>
        <v>541.79999999999995</v>
      </c>
      <c r="R202" s="32">
        <f>S202/N202</f>
        <v>1</v>
      </c>
      <c r="S202" s="7">
        <f>1*N202</f>
        <v>43</v>
      </c>
      <c r="T202" s="32">
        <f>U202/N202</f>
        <v>1.3023255813953489</v>
      </c>
      <c r="U202" s="7">
        <f>40+16</f>
        <v>56</v>
      </c>
      <c r="V202" s="32">
        <f>W202/N202</f>
        <v>8.6</v>
      </c>
      <c r="W202" s="7">
        <f>(9.6-1)*N202</f>
        <v>369.8</v>
      </c>
      <c r="X202" s="7">
        <v>2</v>
      </c>
      <c r="Y202" s="7">
        <f>AN202</f>
        <v>0</v>
      </c>
      <c r="Z202" s="32">
        <f>AA202/N202</f>
        <v>5.2131782945736429</v>
      </c>
      <c r="AA202" s="7">
        <f>2/3*K202-0.5*125</f>
        <v>224.16666666666663</v>
      </c>
      <c r="AB202" s="7">
        <f>MIN(S202/N202+0.5, W202/2/N202+0.5)</f>
        <v>1.5</v>
      </c>
      <c r="AC202" s="7">
        <f>S202/N202+0.5</f>
        <v>1.5</v>
      </c>
      <c r="AD202" s="7">
        <f>2040/510</f>
        <v>4</v>
      </c>
      <c r="AE202" s="7">
        <f>2040/510</f>
        <v>4</v>
      </c>
      <c r="AF202" s="7">
        <f>AE202+1</f>
        <v>5</v>
      </c>
      <c r="AG202" s="7">
        <f>N202*AF202^0.5</f>
        <v>96.150923032490965</v>
      </c>
      <c r="AH202" s="7">
        <f>J202</f>
        <v>606</v>
      </c>
      <c r="AI202" s="7">
        <v>19</v>
      </c>
      <c r="AJ202" s="7">
        <f>(595+590)/2</f>
        <v>592.5</v>
      </c>
      <c r="AK202" s="7"/>
      <c r="AL202" s="4">
        <f>CY202</f>
        <v>1.6540735818514851</v>
      </c>
      <c r="AM202" s="7">
        <v>0</v>
      </c>
      <c r="AN202" s="7">
        <v>0</v>
      </c>
      <c r="AO202" s="7">
        <f>L202</f>
        <v>430</v>
      </c>
      <c r="AP202" s="7"/>
      <c r="AQ202" s="7"/>
      <c r="AR202" s="7">
        <f>3*AS202/(W202+N202)</f>
        <v>3.125</v>
      </c>
      <c r="AS202" s="4">
        <f>K202</f>
        <v>430</v>
      </c>
      <c r="AT202" s="4">
        <f>IF(K202*3&gt;W202+N202, Q202, (S202+N202/2)*2+1.5*K202*(2*X202-2))*(3*K202)/(9*K202^2)</f>
        <v>0.41999999999999993</v>
      </c>
      <c r="AU202" s="4">
        <f>MIN(10*M202^0.5*K202^1.5,100*3.9*M202^0.5*K202^(5/3))/(PI()/4*N202^2)/X202</f>
        <v>276.64569081934007</v>
      </c>
      <c r="AV202" s="4">
        <f>MIN(0.7+0.3*(MIN(S202,AA202)+0.5*N202)/1.5/K202,1)</f>
        <v>0.73</v>
      </c>
      <c r="AW202" s="4">
        <v>1.25</v>
      </c>
      <c r="AX202" s="4">
        <f>AX200</f>
        <v>1</v>
      </c>
      <c r="AY202" s="38">
        <f>AT202*AV202*AW202*AX202*AU202</f>
        <v>106.02446100651207</v>
      </c>
      <c r="AZ202" s="38">
        <f>AY202</f>
        <v>106.02446100651207</v>
      </c>
      <c r="BA202" s="38">
        <f>IF(M202&lt;50, 0.3*M202^(2/3), 2.12*LN(1+0.1*(M202+8)))</f>
        <v>4.8644521931491767</v>
      </c>
      <c r="BB202" s="38">
        <f>AX202* (M202^0.5/AS202^0.5)/(PI()/4*N202^2)/X202/0.72 *(0.7+(MIN(S202,AA202)+0.5*N202)/5/K202) *(3*Q202*K202)</f>
        <v>106.02446100651215</v>
      </c>
      <c r="BC202" s="38">
        <f>AY202/BB202</f>
        <v>0.99999999999999922</v>
      </c>
      <c r="BD202" s="38">
        <f>BH202/BB202</f>
        <v>4.5951660152280862</v>
      </c>
      <c r="BE202" s="4">
        <f>IF(BD202&lt;1,1,0)</f>
        <v>0</v>
      </c>
      <c r="BF202" s="4">
        <f>L202/N202*M202^0.5/0.19</f>
        <v>474.26864530816039</v>
      </c>
      <c r="BG202" s="4">
        <f>MIN(0.6+0.4*(AC202/AB202),2)</f>
        <v>1</v>
      </c>
      <c r="BH202" s="38">
        <f>2*M202*AB202*AD202^0.5*BG202*0.7/0.7</f>
        <v>487.20000000000005</v>
      </c>
      <c r="BI202" s="4">
        <f>MAX(1-0.7*AE202/5,0.3)</f>
        <v>0.44000000000000006</v>
      </c>
      <c r="BJ202" s="4">
        <f>BI202*J202*L202/(J202*N202/2.75/M202^0.5)</f>
        <v>109.03436155634607</v>
      </c>
      <c r="BK202" s="4">
        <f>BH202+BJ202</f>
        <v>596.23436155634613</v>
      </c>
      <c r="BL202" s="4"/>
      <c r="BM202" s="4">
        <f>MIN(1.5, 0.75+0.25*MIN(3,MAX(1,S202/N202))+0.4*MIN(1,(40*2*PI()*AM202^2/4/AO202/X202)/N202))</f>
        <v>1</v>
      </c>
      <c r="BN202" s="4">
        <f>(3*P202+30)*BM202*M202^0.5</f>
        <v>540.66625565130289</v>
      </c>
      <c r="BO202" s="4"/>
      <c r="BP202" s="4">
        <f>3.4/PI()^0.5*M202*AB202*AE202^0.5*BG202</f>
        <v>467.28438067759373</v>
      </c>
      <c r="BQ202" s="4">
        <f>8/3*AH202*AI202^2/(AG202-N202-22)/N202*(AG202^2-N202^2)/(AG202^2-(N202+22)^2)</f>
        <v>641.65616063635548</v>
      </c>
      <c r="BR202" s="4">
        <f>BQ202/BP202</f>
        <v>1.3731598725938816</v>
      </c>
      <c r="BS202" s="4"/>
      <c r="BT202" s="4"/>
      <c r="BU202" s="4"/>
      <c r="BV202" s="4"/>
      <c r="BW202" s="4"/>
      <c r="BX202" s="4"/>
      <c r="BY202" s="4"/>
      <c r="BZ202" s="4">
        <f>IF(W202=0,S202,MIN(W202/2,S202))</f>
        <v>43</v>
      </c>
      <c r="CA202" s="4"/>
      <c r="CB202" s="4"/>
      <c r="CC202" s="4"/>
      <c r="CD202" s="9"/>
      <c r="CE202" s="4"/>
      <c r="CF202" s="9"/>
      <c r="CG202" s="9"/>
      <c r="CH202" s="9">
        <f>IF(W202=0,MIN(S202,U202),MIN(W202/2,S202,U202))</f>
        <v>43</v>
      </c>
      <c r="CI202" s="9">
        <f>MAX(W202/2,S202)</f>
        <v>184.9</v>
      </c>
      <c r="CJ202" s="9">
        <f>(CH202/N202)^0.5*(CI202/CH202)^0.15</f>
        <v>1.2445726940891169</v>
      </c>
      <c r="CK202" s="70">
        <v>0</v>
      </c>
      <c r="CL202" s="9">
        <f>MIN(PI()*AM202^2/4*AN202*2/X202/N202/MAX(0.01,AO202),0.05)</f>
        <v>0</v>
      </c>
      <c r="CM202" s="9">
        <f>MAX(0,CK202*(CL202-0.5/50))</f>
        <v>0</v>
      </c>
      <c r="CN202" s="9">
        <f>MIN(1,(25/N202)^0.3)</f>
        <v>0.84984840943171969</v>
      </c>
      <c r="CO202" s="9">
        <f>IF(J202&gt;=800,0.68,IF(J202&gt;=700,0.75-(J202-700)*0.07/100,IF(J202&gt;=600,0.85-(J202-600)*0.1/100,IF(J202&gt;=500,1-(J202-500)*0.15/100,1.2-(J202-400)*0.2/100))))</f>
        <v>0.84399999999999997</v>
      </c>
      <c r="CP202" s="9">
        <f>1.75*CN202*CO202*(M202/25)^0.5</f>
        <v>2.2621946529260857</v>
      </c>
      <c r="CQ202" s="9">
        <f>MIN((CJ202+CM202)*CP202,2.5*CP202,M202^0.5)</f>
        <v>2.815465693746213</v>
      </c>
      <c r="CR202" s="9">
        <v>1</v>
      </c>
      <c r="CS202" s="9">
        <f>4*CQ202*P202+60*CQ202</f>
        <v>281.5465693746213</v>
      </c>
      <c r="CT202" s="4"/>
      <c r="CU202" s="4">
        <f>AJ202/BF202</f>
        <v>1.2492919484799965</v>
      </c>
      <c r="CV202" s="4">
        <f>AJ202/BK202</f>
        <v>0.99373675554928043</v>
      </c>
      <c r="CW202" s="4">
        <f>AJ202/BN202</f>
        <v>1.0958701302456109</v>
      </c>
      <c r="CX202" s="4">
        <f>AJ202/CS202</f>
        <v>2.1044475921552754</v>
      </c>
      <c r="CY202" s="4">
        <f>AJ202/DZ202</f>
        <v>1.6540735818514851</v>
      </c>
      <c r="CZ202" s="4">
        <f>AJ202/EL202</f>
        <v>1.131898315070766</v>
      </c>
      <c r="DA202" s="4">
        <f>AJ202/GI202</f>
        <v>1.6096593536070971</v>
      </c>
      <c r="DB202" s="4"/>
      <c r="DC202" s="4">
        <f>CU202</f>
        <v>1.2492919484799965</v>
      </c>
      <c r="DD202" s="4">
        <f>CV202</f>
        <v>0.99373675554928043</v>
      </c>
      <c r="DE202" s="4">
        <f>CX202</f>
        <v>2.1044475921552754</v>
      </c>
      <c r="DF202" s="4">
        <f>DA202</f>
        <v>1.6096593536070971</v>
      </c>
      <c r="DG202" s="4">
        <f>CY202</f>
        <v>1.6540735818514851</v>
      </c>
      <c r="DH202" s="4">
        <f>CZ202</f>
        <v>1.131898315070766</v>
      </c>
      <c r="DI202" s="4"/>
      <c r="DJ202" s="4"/>
      <c r="DK202" s="4"/>
      <c r="DL202" s="4"/>
      <c r="DM202" s="4"/>
      <c r="DN202" s="4"/>
      <c r="DO202" s="4"/>
      <c r="DP202" s="4">
        <f>AN202</f>
        <v>0</v>
      </c>
      <c r="DQ202" s="4">
        <f>L202</f>
        <v>430</v>
      </c>
      <c r="DR202" s="4"/>
      <c r="DS202" s="4"/>
      <c r="DT202" s="4">
        <f>K202/4/(1-0.3*(M202/30)^0.5)/200000/N202</f>
        <v>2.4682021866243434E-5</v>
      </c>
      <c r="DU202" s="4">
        <f>EP202</f>
        <v>8.7098560088845165</v>
      </c>
      <c r="DV202" s="4">
        <f>EC202*AG202/257/M202/AD202</f>
        <v>0.12212663392735534</v>
      </c>
      <c r="DW202" s="4">
        <f>DU202*DV202^0.4</f>
        <v>3.7560825647469938</v>
      </c>
      <c r="DX202" s="4">
        <f>MIN(DU202, DU202/1.4*(1-DV202^1.4)/(1-DV202))</f>
        <v>6.7135767342357466</v>
      </c>
      <c r="DY202" s="4">
        <f>MAX(DU202/2, (4-DT202*(8*AG202*(DW202-DX202)+6*K202*DX202))/(4+DT202*K202*DU202)*DU202)</f>
        <v>7.7227424310055408</v>
      </c>
      <c r="DZ202" s="38">
        <f>MIN(1/N202*(4*AG202*(DW202-DX202)+(3*DX202+DY202)*K202)+EC202 -FJ202,MAX(J202,AJ202))</f>
        <v>358.20655531949546</v>
      </c>
      <c r="EA202" s="4">
        <f>DZ202/FF202</f>
        <v>1.0000983608456986</v>
      </c>
      <c r="EB202" s="4">
        <f>AG202/N202</f>
        <v>2.2360679774997898</v>
      </c>
      <c r="EC202" s="4">
        <f>MIN(EB$10*BB202)</f>
        <v>106.02446100651215</v>
      </c>
      <c r="ED202" s="4"/>
      <c r="EE202" s="4"/>
      <c r="EF202" s="4"/>
      <c r="EG202" s="4">
        <f>IF(U202&gt;1*N202,0.85,1)</f>
        <v>0.85</v>
      </c>
      <c r="EH202" s="4">
        <f>MIN(1,MAX(0.7,(1-0.1*(BZ202-1*N202)/N202)))</f>
        <v>1</v>
      </c>
      <c r="EI202" s="4">
        <f>MIN(1,MAX(0.7,1-0.3*(PI()*AM202^2/4*AQ202*2-0.25*PI()/4*N202^2)/(PI()/4*N202^2)))</f>
        <v>1</v>
      </c>
      <c r="EJ202" s="4">
        <f>IF(EH202*EI202&lt;0.7,0.7,EH202*EI202)</f>
        <v>1</v>
      </c>
      <c r="EK202" s="4"/>
      <c r="EL202" s="4">
        <f>MIN(DU202/N202*3*K202+EM202-FJ202,MAX(J202,AJ202))</f>
        <v>523.45691491108641</v>
      </c>
      <c r="EM202" s="25">
        <f>13.3*Q202*K202^0.5*M202^0.5/X202/N202^2*(0.7+S202/5/K202)</f>
        <v>262.16123464455097</v>
      </c>
      <c r="EN202" s="4"/>
      <c r="EO202" s="4"/>
      <c r="EP202" s="4">
        <f>IF(N202&lt;22.2,1.1*5*(M202/30)^0.5,IF(N202&gt;=31.8,0.9*5*(M202/30)^0.5,1*5*(M202/30)^0.5))/EG202/EJ202</f>
        <v>8.7098560088845165</v>
      </c>
      <c r="EQ202" s="4"/>
      <c r="ER202" s="4"/>
      <c r="ES202" s="4">
        <f>ET202*N202</f>
        <v>96.150923032490965</v>
      </c>
      <c r="ET202" s="4">
        <f>AF202^0.5</f>
        <v>2.2360679774997898</v>
      </c>
      <c r="EU202" s="4">
        <f>MIN(EC202)/(4700*M202^0.5)/AE202*ES202</f>
        <v>6.0176048650233155E-2</v>
      </c>
      <c r="EV202" s="4"/>
      <c r="EW202" s="4"/>
      <c r="EX202" s="4">
        <f>EU202</f>
        <v>6.0176048650233155E-2</v>
      </c>
      <c r="EY202" s="4">
        <f>MIN(0.999, EX202/(0.3*(M202/30)^0.5))</f>
        <v>0.12192282733664102</v>
      </c>
      <c r="EZ202" s="4">
        <f>EP202/1*EY202^0.4</f>
        <v>3.7535740276685257</v>
      </c>
      <c r="FA202" s="4">
        <f>EP202/1.4*(1-EY202^1.4)/(1-EY202)</f>
        <v>6.7128899923319443</v>
      </c>
      <c r="FB202" s="4">
        <f>MAX(0,DQ202*FB$9-ES202)</f>
        <v>226.34907696750903</v>
      </c>
      <c r="FC202" s="4">
        <f>MAX(0,DQ202-ES202-FB202)</f>
        <v>107.50000000000003</v>
      </c>
      <c r="FD202" s="4">
        <f>FC202/(1-0.3*(M202/30)^0.5)/200000/N202</f>
        <v>2.468202186624344E-5</v>
      </c>
      <c r="FE202" s="4">
        <f>MAX(0.5*EP202, (1-2*FD202*(ES202*EZ202+FB202*FA202))/(1/EP202+FD202*FC202))</f>
        <v>7.7229091164116044</v>
      </c>
      <c r="FF202" s="4">
        <f>MIN(4/N202*(1*EZ202*ES202+FA202*FB202+FC202*FE202)+EC202,MAX(J202,AJ202))</f>
        <v>358.17132528503544</v>
      </c>
      <c r="FG202" s="4"/>
      <c r="FH202" s="4"/>
      <c r="FI202" s="4"/>
      <c r="FJ202" s="4"/>
      <c r="FK202" s="4"/>
      <c r="FL202" s="4"/>
      <c r="FM202" s="4"/>
      <c r="FN202" s="4"/>
      <c r="FO202" s="23">
        <f>IF(CU202&lt;0.6,0.6,IF(CU202&lt;0.8,0.8,IF(CU202&lt;1,1,IF(CU202&lt;1.2,1.2,IF(CU202&lt;1.4,1.4,IF(CU202&lt;1.6,1.6,IF(CU202&lt;1.8,1.8,IF(CU202&lt;2,2,2.2))))))))</f>
        <v>1.4</v>
      </c>
      <c r="FP202" s="23">
        <f>IF(CV202&lt;0.6,0.6,IF(CV202&lt;0.8,0.8,IF(CV202&lt;1,1,IF(CV202&lt;1.2,1.2,IF(CV202&lt;1.4,1.4,IF(CV202&lt;1.6,1.6,IF(CV202&lt;1.8,1.8,IF(CV202&lt;2,2,2.2))))))))</f>
        <v>1</v>
      </c>
      <c r="FQ202" s="23">
        <f>IF(DA202&lt;0.6,0.6,IF(DA202&lt;0.8,0.8,IF(DA202&lt;1,1,IF(DA202&lt;1.2,1.2,IF(DA202&lt;1.4,1.4,IF(DA202&lt;1.6,1.6,IF(DA202&lt;1.8,1.8,IF(DA202&lt;2,2,2.2))))))))</f>
        <v>1.8</v>
      </c>
      <c r="FR202" s="23">
        <f>IF(CX202&lt;0.6,0.6,IF(CX202&lt;0.8,0.8,IF(CX202&lt;1,1,IF(CX202&lt;1.2,1.2,IF(CX202&lt;1.4,1.4,IF(CX202&lt;1.6,1.6,IF(CX202&lt;1.8,1.8,IF(CX202&lt;2,2,2.2))))))))</f>
        <v>2.2000000000000002</v>
      </c>
      <c r="FS202" s="23">
        <f>IF(CY202&lt;0.6,0.6,IF(CY202&lt;0.8,0.8,IF(CY202&lt;1,1,IF(CY202&lt;1.2,1.2,IF(CY202&lt;1.4,1.4,IF(CY202&lt;1.6,1.6,IF(CY202&lt;1.8,1.8,IF(CY202&lt;2,2,2.2))))))))</f>
        <v>1.8</v>
      </c>
      <c r="FT202" s="23">
        <f>IF(CZ202&lt;0.6,0.6,IF(CZ202&lt;0.8,0.8,IF(CZ202&lt;1,1,IF(CZ202&lt;1.2,1.2,IF(CZ202&lt;1.4,1.4,IF(CZ202&lt;1.6,1.6,IF(CZ202&lt;1.8,1.8,IF(CZ202&lt;2,2,2.2))))))))</f>
        <v>1.2</v>
      </c>
      <c r="FU202" s="23">
        <f>IF(FS202&lt;1,1,0)</f>
        <v>0</v>
      </c>
      <c r="FV202" s="23"/>
      <c r="FW202" s="4"/>
      <c r="FX202" s="4"/>
      <c r="FY202" s="4"/>
      <c r="FZ202" s="4"/>
      <c r="GA202" s="4"/>
      <c r="GB202" s="4"/>
      <c r="GC202" s="4"/>
      <c r="GD202" s="4"/>
      <c r="GE202" s="4"/>
      <c r="GF202" s="4">
        <f>IF(S202&gt;=2.5*25.4,1,1.25)</f>
        <v>1.25</v>
      </c>
      <c r="GG202" s="4">
        <f>IF(AO202&gt;1, 0.05*(18-MIN(8,(W202+N202)/N202))*(1-48000/MAX(60000,(J202*145))*(N202/25.4)^0.75*GH202), 1/12*(14-MIN(8,(W202+N202)/N202)))</f>
        <v>0.5</v>
      </c>
      <c r="GH202" s="4">
        <f>MIN(0.3, AM202^2*PI()/4*2*AP202/(N202^2*PI()/4*X202))</f>
        <v>0</v>
      </c>
      <c r="GI202" s="4">
        <f>(K202/25.4)/(N202/25.4)^1.5/0.0024*(M202*145)^0.25/GF202/GG202/145</f>
        <v>368.09030349947182</v>
      </c>
      <c r="GJ202" s="4"/>
      <c r="GK202" s="4"/>
      <c r="GL202" s="4"/>
      <c r="GM202" s="4"/>
      <c r="GN202" s="4"/>
    </row>
    <row r="203" spans="1:196" ht="12" customHeight="1" thickBot="1" x14ac:dyDescent="0.35">
      <c r="A203" s="25">
        <v>150</v>
      </c>
      <c r="B203" s="24" t="s">
        <v>128</v>
      </c>
      <c r="C203" s="24">
        <v>2017</v>
      </c>
      <c r="D203" s="24" t="s">
        <v>309</v>
      </c>
      <c r="E203" s="24"/>
      <c r="F203" s="73" t="s">
        <v>778</v>
      </c>
      <c r="G203" s="109" t="s">
        <v>780</v>
      </c>
      <c r="H203" s="44" t="s">
        <v>158</v>
      </c>
      <c r="I203" s="5">
        <f>K203/N203</f>
        <v>10</v>
      </c>
      <c r="J203" s="72">
        <v>606</v>
      </c>
      <c r="K203" s="7">
        <f>10*N203</f>
        <v>430</v>
      </c>
      <c r="L203" s="7">
        <f>K203</f>
        <v>430</v>
      </c>
      <c r="M203" s="80">
        <v>52.2</v>
      </c>
      <c r="N203" s="88">
        <v>43</v>
      </c>
      <c r="O203" s="7">
        <f>K203/N203</f>
        <v>10</v>
      </c>
      <c r="P203" s="7">
        <f>L203/N203</f>
        <v>10</v>
      </c>
      <c r="Q203" s="7">
        <f>W203+2*S203+2*N203</f>
        <v>541.79999999999995</v>
      </c>
      <c r="R203" s="32">
        <f>S203/N203</f>
        <v>1</v>
      </c>
      <c r="S203" s="7">
        <f>1*N203</f>
        <v>43</v>
      </c>
      <c r="T203" s="32">
        <f>U203/N203</f>
        <v>1.3023255813953489</v>
      </c>
      <c r="U203" s="7">
        <f>40+16</f>
        <v>56</v>
      </c>
      <c r="V203" s="32">
        <f>W203/N203</f>
        <v>8.6</v>
      </c>
      <c r="W203" s="7">
        <f>(9.6-1)*N203</f>
        <v>369.8</v>
      </c>
      <c r="X203" s="7">
        <v>2</v>
      </c>
      <c r="Y203" s="7">
        <f>AN203</f>
        <v>0</v>
      </c>
      <c r="Z203" s="32">
        <f>AA203/N203</f>
        <v>5.2131782945736429</v>
      </c>
      <c r="AA203" s="7">
        <f>2/3*K203-0.5*125</f>
        <v>224.16666666666663</v>
      </c>
      <c r="AB203" s="7">
        <f>MIN(S203/N203+0.5, W203/2/N203+0.5)</f>
        <v>1.5</v>
      </c>
      <c r="AC203" s="7">
        <f>S203/N203+0.5</f>
        <v>1.5</v>
      </c>
      <c r="AD203" s="7">
        <f>2040/510</f>
        <v>4</v>
      </c>
      <c r="AE203" s="7">
        <f>2040/510</f>
        <v>4</v>
      </c>
      <c r="AF203" s="7">
        <f>AE203+1</f>
        <v>5</v>
      </c>
      <c r="AG203" s="7">
        <f>N203*AF203^0.5</f>
        <v>96.150923032490965</v>
      </c>
      <c r="AH203" s="7">
        <f>J203</f>
        <v>606</v>
      </c>
      <c r="AI203" s="7">
        <v>19</v>
      </c>
      <c r="AJ203" s="7">
        <f>(437+437)/2</f>
        <v>437</v>
      </c>
      <c r="AK203" s="7"/>
      <c r="AL203" s="4">
        <f>CY203</f>
        <v>1.4874383120901835</v>
      </c>
      <c r="AM203" s="7">
        <v>0</v>
      </c>
      <c r="AN203" s="7">
        <v>0</v>
      </c>
      <c r="AO203" s="7">
        <f>L203</f>
        <v>430</v>
      </c>
      <c r="AP203" s="7"/>
      <c r="AQ203" s="7"/>
      <c r="AR203" s="7">
        <f>3*AS203/(W203+N203)</f>
        <v>3.125</v>
      </c>
      <c r="AS203" s="4">
        <f>K203</f>
        <v>430</v>
      </c>
      <c r="AT203" s="4">
        <f>IF(K203*3&gt;W203+N203, Q203, (S203+N203/2)*2+1.5*K203*(2*X203-2))*(3*K203)/(9*K203^2)</f>
        <v>0.41999999999999993</v>
      </c>
      <c r="AU203" s="4">
        <f>MIN(10*M203^0.5*K203^1.5,100*3.9*M203^0.5*K203^(5/3))/(PI()/4*N203^2)/X203</f>
        <v>221.8100126942922</v>
      </c>
      <c r="AV203" s="4">
        <f>MIN(0.7+0.3*(MIN(S203,AA203)+0.5*N203)/1.5/K203,1)</f>
        <v>0.73</v>
      </c>
      <c r="AW203" s="4">
        <v>1.25</v>
      </c>
      <c r="AX203" s="4">
        <f>AX201</f>
        <v>1</v>
      </c>
      <c r="AY203" s="38">
        <f>AT203*AV203*AW203*AX203*AU203</f>
        <v>85.008687365087468</v>
      </c>
      <c r="AZ203" s="38">
        <f>AY203</f>
        <v>85.008687365087468</v>
      </c>
      <c r="BA203" s="38">
        <f>IF(M203&lt;50, 0.3*M203^(2/3), 2.12*LN(1+0.1*(M203+8)))</f>
        <v>4.1313780222399661</v>
      </c>
      <c r="BB203" s="38">
        <f>AX203* (M203^0.5/AS203^0.5)/(PI()/4*N203^2)/X203/0.72 *(0.7+(MIN(S203,AA203)+0.5*N203)/5/K203) *(3*Q203*K203)</f>
        <v>85.008687365087567</v>
      </c>
      <c r="BC203" s="38">
        <f>AY203/BB203</f>
        <v>0.99999999999999878</v>
      </c>
      <c r="BD203" s="38">
        <f>BH203/BB203</f>
        <v>3.6843293280708735</v>
      </c>
      <c r="BE203" s="4">
        <f>IF(BD203&lt;1,1,0)</f>
        <v>0</v>
      </c>
      <c r="BF203" s="4">
        <f>L203/N203*M203^0.5/0.19</f>
        <v>380.26088143554614</v>
      </c>
      <c r="BG203" s="4">
        <f>MIN(0.6+0.4*(AC203/AB203),2)</f>
        <v>1</v>
      </c>
      <c r="BH203" s="38">
        <f>2*M203*AB203*AD203^0.5*BG203*0.7/0.7</f>
        <v>313.20000000000005</v>
      </c>
      <c r="BI203" s="4">
        <f>MAX(1-0.7*AE203/5,0.3)</f>
        <v>0.44000000000000006</v>
      </c>
      <c r="BJ203" s="4">
        <f>BI203*J203*L203/(J203*N203/2.75/M203^0.5)</f>
        <v>87.421976642032064</v>
      </c>
      <c r="BK203" s="4">
        <f>BH203+BJ203</f>
        <v>400.62197664203211</v>
      </c>
      <c r="BM203" s="4">
        <f>MIN(1.5, 0.75+0.25*MIN(3,MAX(1,S203/N203))+0.4*MIN(1,(40*2*PI()*AM203^2/4/AO203/X203)/N203))</f>
        <v>1</v>
      </c>
      <c r="BN203" s="4">
        <f>(3*P203+30)*BM203*M203^0.5</f>
        <v>433.49740483652266</v>
      </c>
      <c r="BP203" s="4">
        <f>3.4/PI()^0.5*M203*AB203*AE203^0.5*BG203</f>
        <v>300.39710186416738</v>
      </c>
      <c r="BQ203" s="4">
        <f>8/3*AH203*AI203^2/(AG203-N203-22)/N203*(AG203^2-N203^2)/(AG203^2-(N203+22)^2)</f>
        <v>641.65616063635548</v>
      </c>
      <c r="BR203" s="4">
        <f>BQ203/BP203</f>
        <v>2.1360264684793715</v>
      </c>
      <c r="BZ203" s="4">
        <f>IF(W203=0,S203,MIN(W203/2,S203))</f>
        <v>43</v>
      </c>
      <c r="CD203" s="9"/>
      <c r="CF203" s="9"/>
      <c r="CG203" s="9"/>
      <c r="CH203" s="9">
        <f>IF(W203=0,MIN(S203,U203),MIN(W203/2,S203,U203))</f>
        <v>43</v>
      </c>
      <c r="CI203" s="9">
        <f>MAX(W203/2,S203)</f>
        <v>184.9</v>
      </c>
      <c r="CJ203" s="9">
        <f>(CH203/N203)^0.5*(CI203/CH203)^0.15</f>
        <v>1.2445726940891169</v>
      </c>
      <c r="CK203" s="70">
        <v>0</v>
      </c>
      <c r="CL203" s="9">
        <f>MIN(PI()*AM203^2/4*AN203*2/X203/N203/MAX(0.01,AO203),0.05)</f>
        <v>0</v>
      </c>
      <c r="CM203" s="9">
        <f>MAX(0,CK203*(CL203-0.5/50))</f>
        <v>0</v>
      </c>
      <c r="CN203" s="9">
        <f>MIN(1,(25/N203)^0.3)</f>
        <v>0.84984840943171969</v>
      </c>
      <c r="CO203" s="9">
        <f>IF(J203&gt;=800,0.68,IF(J203&gt;=700,0.75-(J203-700)*0.07/100,IF(J203&gt;=600,0.85-(J203-600)*0.1/100,IF(J203&gt;=500,1-(J203-500)*0.15/100,1.2-(J203-400)*0.2/100))))</f>
        <v>0.84399999999999997</v>
      </c>
      <c r="CP203" s="9">
        <f>1.75*CN203*CO203*(M203/25)^0.5</f>
        <v>1.8137908571660144</v>
      </c>
      <c r="CQ203" s="9">
        <f>MIN((CJ203+CM203)*CP203,2.5*CP203,M203^0.5)</f>
        <v>2.2573945736173151</v>
      </c>
      <c r="CR203" s="9">
        <v>1</v>
      </c>
      <c r="CS203" s="9">
        <f>4*CQ203*P203+60*CQ203</f>
        <v>225.7394573617315</v>
      </c>
      <c r="CU203" s="4">
        <f>AJ203/BF203</f>
        <v>1.1492110320426716</v>
      </c>
      <c r="CV203" s="4">
        <f>AJ203/BK203</f>
        <v>1.0908038636893671</v>
      </c>
      <c r="CW203" s="4">
        <f>AJ203/BN203</f>
        <v>1.00807985266901</v>
      </c>
      <c r="CX203" s="4">
        <f>AJ203/CS203</f>
        <v>1.9358600623361049</v>
      </c>
      <c r="CY203" s="4">
        <f>AJ203/DZ203</f>
        <v>1.4874383120901835</v>
      </c>
      <c r="CZ203" s="4">
        <f>AJ203/EL203</f>
        <v>1.0412218156152346</v>
      </c>
      <c r="DA203" s="4">
        <f>AJ203/GI203</f>
        <v>1.3258623595815355</v>
      </c>
      <c r="DC203" s="4">
        <f>CU203</f>
        <v>1.1492110320426716</v>
      </c>
      <c r="DD203" s="4">
        <f>CV203</f>
        <v>1.0908038636893671</v>
      </c>
      <c r="DE203" s="4">
        <f>CX203</f>
        <v>1.9358600623361049</v>
      </c>
      <c r="DF203" s="4">
        <f>DA203</f>
        <v>1.3258623595815355</v>
      </c>
      <c r="DG203" s="4">
        <f>CY203</f>
        <v>1.4874383120901835</v>
      </c>
      <c r="DH203" s="4">
        <f>CZ203</f>
        <v>1.0412218156152346</v>
      </c>
      <c r="DP203" s="4">
        <f>AN203</f>
        <v>0</v>
      </c>
      <c r="DQ203" s="4">
        <f>L203</f>
        <v>430</v>
      </c>
      <c r="DT203" s="4">
        <f>K203/4/(1-0.3*(M203/30)^0.5)/200000/N203</f>
        <v>2.068602055294326E-5</v>
      </c>
      <c r="DU203" s="4">
        <f>EP203</f>
        <v>6.9834208014386041</v>
      </c>
      <c r="DV203" s="4">
        <f>EC203*AG203/257/M203/AD203</f>
        <v>0.15231867398537541</v>
      </c>
      <c r="DW203" s="4">
        <f>DU203*DV203^0.4</f>
        <v>3.2897998185981141</v>
      </c>
      <c r="DX203" s="4">
        <f>MIN(DU203, DU203/1.4*(1-DV203^1.4)/(1-DV203))</f>
        <v>5.4622302850100732</v>
      </c>
      <c r="DY203" s="4">
        <f>MAX(DU203/2, (4-DT203*(8*AG203*(DW203-DX203)+6*K203*DX203))/(4+DT203*K203*DU203)*DU203)</f>
        <v>6.4348909365162292</v>
      </c>
      <c r="DZ203" s="38">
        <f>MIN(1/N203*(4*AG203*(DW203-DX203)+(3*DX203+DY203)*K203)+EC203 -FJ203,MAX(J203,AJ203))</f>
        <v>293.79369648339718</v>
      </c>
      <c r="EA203" s="4">
        <f>DZ203/FF203</f>
        <v>1.0001101248856381</v>
      </c>
      <c r="EB203" s="4">
        <f>AG203/N203</f>
        <v>2.2360679774997898</v>
      </c>
      <c r="EC203" s="4">
        <f>MIN(EB$10*BB203)</f>
        <v>85.008687365087567</v>
      </c>
      <c r="EG203" s="4">
        <f>IF(U203&gt;1*N203,0.85,1)</f>
        <v>0.85</v>
      </c>
      <c r="EH203" s="4">
        <f>MIN(1,MAX(0.7,(1-0.1*(BZ203-1*N203)/N203)))</f>
        <v>1</v>
      </c>
      <c r="EI203" s="4">
        <f>MIN(1,MAX(0.7,1-0.3*(PI()*AM203^2/4*AQ203*2-0.25*PI()/4*N203^2)/(PI()/4*N203^2)))</f>
        <v>1</v>
      </c>
      <c r="EJ203" s="4">
        <f>IF(EH203*EI203&lt;0.7,0.7,EH203*EI203)</f>
        <v>1</v>
      </c>
      <c r="EL203" s="4">
        <f>MIN(DU203/N203*3*K203+EM203-FJ203,MAX(J203,AJ203))</f>
        <v>419.69923550034969</v>
      </c>
      <c r="EM203" s="25">
        <f>13.3*Q203*K203^0.5*M203^0.5/X203/N203^2*(0.7+S203/5/K203)</f>
        <v>210.19661145719158</v>
      </c>
      <c r="EP203" s="4">
        <f>IF(N203&lt;22.2,1.1*5*(M203/30)^0.5,IF(N203&gt;=31.8,0.9*5*(M203/30)^0.5,1*5*(M203/30)^0.5))/EG203/EJ203</f>
        <v>6.9834208014386041</v>
      </c>
      <c r="ES203" s="4">
        <f>ET203*N203</f>
        <v>96.150923032490965</v>
      </c>
      <c r="ET203" s="4">
        <f>AF203^0.5</f>
        <v>2.2360679774997898</v>
      </c>
      <c r="EU203" s="4">
        <f>MIN(EC203)/(4700*M203^0.5)/AE203*ES203</f>
        <v>6.0176048650233176E-2</v>
      </c>
      <c r="EX203" s="4">
        <f>EU203</f>
        <v>6.0176048650233176E-2</v>
      </c>
      <c r="EY203" s="4">
        <f>MIN(0.999, EX203/(0.3*(M203/30)^0.5))</f>
        <v>0.15206448250683563</v>
      </c>
      <c r="EZ203" s="4">
        <f>EP203/1*EY203^0.4</f>
        <v>3.2876026930867783</v>
      </c>
      <c r="FA203" s="4">
        <f>EP203/1.4*(1-EY203^1.4)/(1-EY203)</f>
        <v>5.461578711276533</v>
      </c>
      <c r="FB203" s="4">
        <f>MAX(0,DQ203*FB$9-ES203)</f>
        <v>226.34907696750903</v>
      </c>
      <c r="FC203" s="4">
        <f>MAX(0,DQ203-ES203-FB203)</f>
        <v>107.50000000000003</v>
      </c>
      <c r="FD203" s="4">
        <f>FC203/(1-0.3*(M203/30)^0.5)/200000/N203</f>
        <v>2.068602055294326E-5</v>
      </c>
      <c r="FE203" s="4">
        <f>MAX(0.5*EP203, (1-2*FD203*(ES203*EZ203+FB203*FA203))/(1/EP203+FD203*FC203))</f>
        <v>6.4349929977881528</v>
      </c>
      <c r="FF203" s="4">
        <f>MIN(4/N203*(1*EZ203*ES203+FA203*FB203+FC203*FE203)+EC203,MAX(J203,AJ203))</f>
        <v>293.7613460487587</v>
      </c>
      <c r="FO203" s="23">
        <f>IF(CU203&lt;0.6,0.6,IF(CU203&lt;0.8,0.8,IF(CU203&lt;1,1,IF(CU203&lt;1.2,1.2,IF(CU203&lt;1.4,1.4,IF(CU203&lt;1.6,1.6,IF(CU203&lt;1.8,1.8,IF(CU203&lt;2,2,2.2))))))))</f>
        <v>1.2</v>
      </c>
      <c r="FP203" s="23">
        <f>IF(CV203&lt;0.6,0.6,IF(CV203&lt;0.8,0.8,IF(CV203&lt;1,1,IF(CV203&lt;1.2,1.2,IF(CV203&lt;1.4,1.4,IF(CV203&lt;1.6,1.6,IF(CV203&lt;1.8,1.8,IF(CV203&lt;2,2,2.2))))))))</f>
        <v>1.2</v>
      </c>
      <c r="FQ203" s="23">
        <f>IF(DA203&lt;0.6,0.6,IF(DA203&lt;0.8,0.8,IF(DA203&lt;1,1,IF(DA203&lt;1.2,1.2,IF(DA203&lt;1.4,1.4,IF(DA203&lt;1.6,1.6,IF(DA203&lt;1.8,1.8,IF(DA203&lt;2,2,2.2))))))))</f>
        <v>1.4</v>
      </c>
      <c r="FR203" s="23">
        <f>IF(CX203&lt;0.6,0.6,IF(CX203&lt;0.8,0.8,IF(CX203&lt;1,1,IF(CX203&lt;1.2,1.2,IF(CX203&lt;1.4,1.4,IF(CX203&lt;1.6,1.6,IF(CX203&lt;1.8,1.8,IF(CX203&lt;2,2,2.2))))))))</f>
        <v>2</v>
      </c>
      <c r="FS203" s="23">
        <f>IF(CY203&lt;0.6,0.6,IF(CY203&lt;0.8,0.8,IF(CY203&lt;1,1,IF(CY203&lt;1.2,1.2,IF(CY203&lt;1.4,1.4,IF(CY203&lt;1.6,1.6,IF(CY203&lt;1.8,1.8,IF(CY203&lt;2,2,2.2))))))))</f>
        <v>1.6</v>
      </c>
      <c r="FT203" s="23">
        <f>IF(CZ203&lt;0.6,0.6,IF(CZ203&lt;0.8,0.8,IF(CZ203&lt;1,1,IF(CZ203&lt;1.2,1.2,IF(CZ203&lt;1.4,1.4,IF(CZ203&lt;1.6,1.6,IF(CZ203&lt;1.8,1.8,IF(CZ203&lt;2,2,2.2))))))))</f>
        <v>1.2</v>
      </c>
      <c r="FU203" s="23">
        <f>IF(FS203&lt;1,1,0)</f>
        <v>0</v>
      </c>
      <c r="FV203" s="23"/>
      <c r="GF203" s="4">
        <f>IF(S203&gt;=2.5*25.4,1,1.25)</f>
        <v>1.25</v>
      </c>
      <c r="GG203" s="4">
        <f>IF(AO203&gt;1, 0.05*(18-MIN(8,(W203+N203)/N203))*(1-48000/MAX(60000,(J203*145))*(N203/25.4)^0.75*GH203), 1/12*(14-MIN(8,(W203+N203)/N203)))</f>
        <v>0.5</v>
      </c>
      <c r="GH203" s="4">
        <f>MIN(0.3, AM203^2*PI()/4*2*AP203/(N203^2*PI()/4*X203))</f>
        <v>0</v>
      </c>
      <c r="GI203" s="4">
        <f>(K203/25.4)/(N203/25.4)^1.5/0.0024*(M203*145)^0.25/GF203/GG203/145</f>
        <v>329.59680681931764</v>
      </c>
    </row>
    <row r="204" spans="1:196" ht="12" customHeight="1" x14ac:dyDescent="0.3">
      <c r="A204" s="25">
        <v>150</v>
      </c>
      <c r="B204" s="24" t="s">
        <v>128</v>
      </c>
      <c r="C204" s="24">
        <v>2017</v>
      </c>
      <c r="D204" s="24" t="s">
        <v>309</v>
      </c>
      <c r="E204" s="24"/>
      <c r="F204" s="73" t="s">
        <v>778</v>
      </c>
      <c r="G204" s="109" t="s">
        <v>789</v>
      </c>
      <c r="H204" s="44" t="s">
        <v>158</v>
      </c>
      <c r="I204" s="5">
        <f>K204/N204</f>
        <v>10</v>
      </c>
      <c r="J204" s="72">
        <v>606</v>
      </c>
      <c r="K204" s="7">
        <f>10*N204</f>
        <v>430</v>
      </c>
      <c r="L204" s="7">
        <f>K204</f>
        <v>430</v>
      </c>
      <c r="M204" s="80">
        <v>52.2</v>
      </c>
      <c r="N204" s="88">
        <v>43</v>
      </c>
      <c r="O204" s="7">
        <f>K204/N204</f>
        <v>10</v>
      </c>
      <c r="P204" s="7">
        <f>L204/N204</f>
        <v>10</v>
      </c>
      <c r="Q204" s="7">
        <f>W204+2*S204+2*N204</f>
        <v>541.79999999999995</v>
      </c>
      <c r="R204" s="32">
        <f>S204/N204</f>
        <v>1</v>
      </c>
      <c r="S204" s="7">
        <f>1*N204</f>
        <v>43</v>
      </c>
      <c r="T204" s="32">
        <f>U204/N204</f>
        <v>1.3023255813953489</v>
      </c>
      <c r="U204" s="7">
        <f>40+16</f>
        <v>56</v>
      </c>
      <c r="V204" s="32">
        <f>W204/N204</f>
        <v>8.6</v>
      </c>
      <c r="W204" s="7">
        <f>(9.6-1)*N204</f>
        <v>369.8</v>
      </c>
      <c r="X204" s="7">
        <v>2</v>
      </c>
      <c r="Y204" s="7">
        <f>AN204</f>
        <v>0</v>
      </c>
      <c r="Z204" s="32">
        <f>AA204/N204</f>
        <v>5.2131782945736429</v>
      </c>
      <c r="AA204" s="7">
        <f>2/3*K204-0.5*125</f>
        <v>224.16666666666663</v>
      </c>
      <c r="AB204" s="7">
        <f>MIN(S204/N204+0.5, W204/2/N204+0.5)</f>
        <v>1.5</v>
      </c>
      <c r="AC204" s="7">
        <f>S204/N204+0.5</f>
        <v>1.5</v>
      </c>
      <c r="AD204" s="7">
        <f>2040/510</f>
        <v>4</v>
      </c>
      <c r="AE204" s="7">
        <f>2040/510</f>
        <v>4</v>
      </c>
      <c r="AF204" s="7">
        <f>AE204+1</f>
        <v>5</v>
      </c>
      <c r="AG204" s="7">
        <f>N204*AF204^0.5</f>
        <v>96.150923032490965</v>
      </c>
      <c r="AH204" s="7">
        <f>J204</f>
        <v>606</v>
      </c>
      <c r="AI204" s="7">
        <v>19</v>
      </c>
      <c r="AJ204" s="7">
        <f>(437+437)/2</f>
        <v>437</v>
      </c>
      <c r="AK204" s="7"/>
      <c r="AL204" s="4">
        <f>CY204</f>
        <v>1.4874383120901835</v>
      </c>
      <c r="AM204" s="7">
        <v>0</v>
      </c>
      <c r="AN204" s="7">
        <v>0</v>
      </c>
      <c r="AO204" s="7">
        <f>L204</f>
        <v>430</v>
      </c>
      <c r="AP204" s="7"/>
      <c r="AQ204" s="7"/>
      <c r="AR204" s="7">
        <f>3*AS204/(W204+N204)</f>
        <v>3.125</v>
      </c>
      <c r="AS204" s="4">
        <f>K204</f>
        <v>430</v>
      </c>
      <c r="AT204" s="4">
        <f>IF(K204*3&gt;W204+N204, Q204, (S204+N204/2)*2+1.5*K204*(2*X204-2))*(3*K204)/(9*K204^2)</f>
        <v>0.41999999999999993</v>
      </c>
      <c r="AU204" s="4">
        <f>MIN(10*M204^0.5*K204^1.5,100*3.9*M204^0.5*K204^(5/3))/(PI()/4*N204^2)/X204</f>
        <v>221.8100126942922</v>
      </c>
      <c r="AV204" s="4">
        <f>MIN(0.7+0.3*(MIN(S204,AA204)+0.5*N204)/1.5/K204,1)</f>
        <v>0.73</v>
      </c>
      <c r="AW204" s="4">
        <v>1.25</v>
      </c>
      <c r="AX204" s="4">
        <f>AX202</f>
        <v>1</v>
      </c>
      <c r="AY204" s="38">
        <f>AT204*AV204*AW204*AX204*AU204</f>
        <v>85.008687365087468</v>
      </c>
      <c r="AZ204" s="38">
        <f>AY204</f>
        <v>85.008687365087468</v>
      </c>
      <c r="BA204" s="38">
        <f>IF(M204&lt;50, 0.3*M204^(2/3), 2.12*LN(1+0.1*(M204+8)))</f>
        <v>4.1313780222399661</v>
      </c>
      <c r="BB204" s="38">
        <f>AX204* (M204^0.5/AS204^0.5)/(PI()/4*N204^2)/X204/0.72 *(0.7+(MIN(S204,AA204)+0.5*N204)/5/K204) *(3*Q204*K204)</f>
        <v>85.008687365087567</v>
      </c>
      <c r="BC204" s="38">
        <f>AY204/BB204</f>
        <v>0.99999999999999878</v>
      </c>
      <c r="BD204" s="38">
        <f>BH204/BB204</f>
        <v>3.6843293280708735</v>
      </c>
      <c r="BE204" s="4">
        <f>IF(BD204&lt;1,1,0)</f>
        <v>0</v>
      </c>
      <c r="BF204" s="4">
        <f>L204/N204*M204^0.5/0.19</f>
        <v>380.26088143554614</v>
      </c>
      <c r="BG204" s="4">
        <f>MIN(0.6+0.4*(AC204/AB204),2)</f>
        <v>1</v>
      </c>
      <c r="BH204" s="38">
        <f>2*M204*AB204*AD204^0.5*BG204*0.7/0.7</f>
        <v>313.20000000000005</v>
      </c>
      <c r="BI204" s="4">
        <f>MAX(1-0.7*AE204/5,0.3)</f>
        <v>0.44000000000000006</v>
      </c>
      <c r="BJ204" s="4">
        <f>BI204*J204*L204/(J204*N204/2.75/M204^0.5)</f>
        <v>87.421976642032064</v>
      </c>
      <c r="BK204" s="4">
        <f>BH204+BJ204</f>
        <v>400.62197664203211</v>
      </c>
      <c r="BM204" s="4">
        <f>MIN(1.5, 0.75+0.25*MIN(3,MAX(1,S204/N204))+0.4*MIN(1,(40*2*PI()*AM204^2/4/AO204/X204)/N204))</f>
        <v>1</v>
      </c>
      <c r="BN204" s="4">
        <f>(3*P204+30)*BM204*M204^0.5</f>
        <v>433.49740483652266</v>
      </c>
      <c r="BP204" s="4">
        <f>3.4/PI()^0.5*M204*AB204*AE204^0.5*BG204</f>
        <v>300.39710186416738</v>
      </c>
      <c r="BQ204" s="4">
        <f>8/3*AH204*AI204^2/(AG204-N204-22)/N204*(AG204^2-N204^2)/(AG204^2-(N204+22)^2)</f>
        <v>641.65616063635548</v>
      </c>
      <c r="BR204" s="4">
        <f>BQ204/BP204</f>
        <v>2.1360264684793715</v>
      </c>
      <c r="BZ204" s="4">
        <f>IF(W204=0,S204,MIN(W204/2,S204))</f>
        <v>43</v>
      </c>
      <c r="CD204" s="9"/>
      <c r="CF204" s="9"/>
      <c r="CG204" s="9"/>
      <c r="CH204" s="9">
        <f>IF(W204=0,MIN(S204,U204),MIN(W204/2,S204,U204))</f>
        <v>43</v>
      </c>
      <c r="CI204" s="9">
        <f>MAX(W204/2,S204)</f>
        <v>184.9</v>
      </c>
      <c r="CJ204" s="9">
        <f>(CH204/N204)^0.5*(CI204/CH204)^0.15</f>
        <v>1.2445726940891169</v>
      </c>
      <c r="CK204" s="70">
        <v>0</v>
      </c>
      <c r="CL204" s="9">
        <f>MIN(PI()*AM204^2/4*AN204*2/X204/N204/MAX(0.01,AO204),0.05)</f>
        <v>0</v>
      </c>
      <c r="CM204" s="9">
        <f>MAX(0,CK204*(CL204-0.5/50))</f>
        <v>0</v>
      </c>
      <c r="CN204" s="9">
        <f>MIN(1,(25/N204)^0.3)</f>
        <v>0.84984840943171969</v>
      </c>
      <c r="CO204" s="9">
        <f>IF(J204&gt;=800,0.68,IF(J204&gt;=700,0.75-(J204-700)*0.07/100,IF(J204&gt;=600,0.85-(J204-600)*0.1/100,IF(J204&gt;=500,1-(J204-500)*0.15/100,1.2-(J204-400)*0.2/100))))</f>
        <v>0.84399999999999997</v>
      </c>
      <c r="CP204" s="9">
        <f>1.75*CN204*CO204*(M204/25)^0.5</f>
        <v>1.8137908571660144</v>
      </c>
      <c r="CQ204" s="9">
        <f>MIN((CJ204+CM204)*CP204,2.5*CP204,M204^0.5)</f>
        <v>2.2573945736173151</v>
      </c>
      <c r="CR204" s="9">
        <v>1</v>
      </c>
      <c r="CS204" s="9">
        <f>4*CQ204*P204+60*CQ204</f>
        <v>225.7394573617315</v>
      </c>
      <c r="CU204" s="4">
        <f>AJ204/BF204</f>
        <v>1.1492110320426716</v>
      </c>
      <c r="CV204" s="4">
        <f>AJ204/BK204</f>
        <v>1.0908038636893671</v>
      </c>
      <c r="CW204" s="4">
        <f>AJ204/BN204</f>
        <v>1.00807985266901</v>
      </c>
      <c r="CX204" s="4">
        <f>AJ204/CS204</f>
        <v>1.9358600623361049</v>
      </c>
      <c r="CY204" s="4">
        <f>AJ204/DZ204</f>
        <v>1.4874383120901835</v>
      </c>
      <c r="CZ204" s="4">
        <f>AJ204/EL204</f>
        <v>1.0412218156152346</v>
      </c>
      <c r="DA204" s="4">
        <f>AJ204/GI204</f>
        <v>1.3258623595815355</v>
      </c>
      <c r="DC204" s="4">
        <f>CU204</f>
        <v>1.1492110320426716</v>
      </c>
      <c r="DD204" s="4">
        <f>CV204</f>
        <v>1.0908038636893671</v>
      </c>
      <c r="DE204" s="4">
        <f>CX204</f>
        <v>1.9358600623361049</v>
      </c>
      <c r="DF204" s="4">
        <f>DA204</f>
        <v>1.3258623595815355</v>
      </c>
      <c r="DG204" s="4">
        <f>CY204</f>
        <v>1.4874383120901835</v>
      </c>
      <c r="DH204" s="4">
        <f>CZ204</f>
        <v>1.0412218156152346</v>
      </c>
      <c r="DP204" s="4">
        <f>AN204</f>
        <v>0</v>
      </c>
      <c r="DQ204" s="4">
        <f>L204</f>
        <v>430</v>
      </c>
      <c r="DT204" s="4">
        <f>K204/4/(1-0.3*(M204/30)^0.5)/200000/N204</f>
        <v>2.068602055294326E-5</v>
      </c>
      <c r="DU204" s="4">
        <f>EP204</f>
        <v>6.9834208014386041</v>
      </c>
      <c r="DV204" s="4">
        <f>EC204*AG204/257/M204/AD204</f>
        <v>0.15231867398537541</v>
      </c>
      <c r="DW204" s="4">
        <f>DU204*DV204^0.4</f>
        <v>3.2897998185981141</v>
      </c>
      <c r="DX204" s="4">
        <f>MIN(DU204, DU204/1.4*(1-DV204^1.4)/(1-DV204))</f>
        <v>5.4622302850100732</v>
      </c>
      <c r="DY204" s="4">
        <f>MAX(DU204/2, (4-DT204*(8*AG204*(DW204-DX204)+6*K204*DX204))/(4+DT204*K204*DU204)*DU204)</f>
        <v>6.4348909365162292</v>
      </c>
      <c r="DZ204" s="38">
        <f>MIN(1/N204*(4*AG204*(DW204-DX204)+(3*DX204+DY204)*K204)+EC204 -FJ204,MAX(J204,AJ204))</f>
        <v>293.79369648339718</v>
      </c>
      <c r="EA204" s="4">
        <f>DZ204/FF204</f>
        <v>1.0001101248856381</v>
      </c>
      <c r="EB204" s="4">
        <f>AG204/N204</f>
        <v>2.2360679774997898</v>
      </c>
      <c r="EC204" s="4">
        <f>MIN(EB$10*BB204)</f>
        <v>85.008687365087567</v>
      </c>
      <c r="EG204" s="4">
        <f>IF(U204&gt;1*N204,0.85,1)</f>
        <v>0.85</v>
      </c>
      <c r="EH204" s="4">
        <f>MIN(1,MAX(0.7,(1-0.1*(BZ204-1*N204)/N204)))</f>
        <v>1</v>
      </c>
      <c r="EI204" s="4">
        <f>MIN(1,MAX(0.7,1-0.3*(PI()*AM204^2/4*AQ204*2-0.25*PI()/4*N204^2)/(PI()/4*N204^2)))</f>
        <v>1</v>
      </c>
      <c r="EJ204" s="4">
        <f>IF(EH204*EI204&lt;0.7,0.7,EH204*EI204)</f>
        <v>1</v>
      </c>
      <c r="EL204" s="4">
        <f>MIN(DU204/N204*3*K204+EM204-FJ204,MAX(J204,AJ204))</f>
        <v>419.69923550034969</v>
      </c>
      <c r="EM204" s="25">
        <f>13.3*Q204*K204^0.5*M204^0.5/X204/N204^2*(0.7+S204/5/K204)</f>
        <v>210.19661145719158</v>
      </c>
      <c r="EP204" s="4">
        <f>IF(N204&lt;22.2,1.1*5*(M204/30)^0.5,IF(N204&gt;=31.8,0.9*5*(M204/30)^0.5,1*5*(M204/30)^0.5))/EG204/EJ204</f>
        <v>6.9834208014386041</v>
      </c>
      <c r="ES204" s="4">
        <f>ET204*N204</f>
        <v>96.150923032490965</v>
      </c>
      <c r="ET204" s="4">
        <f>AF204^0.5</f>
        <v>2.2360679774997898</v>
      </c>
      <c r="EU204" s="4">
        <f>MIN(EC204)/(4700*M204^0.5)/AE204*ES204</f>
        <v>6.0176048650233176E-2</v>
      </c>
      <c r="EX204" s="4">
        <f>EU204</f>
        <v>6.0176048650233176E-2</v>
      </c>
      <c r="EY204" s="4">
        <f>MIN(0.999, EX204/(0.3*(M204/30)^0.5))</f>
        <v>0.15206448250683563</v>
      </c>
      <c r="EZ204" s="4">
        <f>EP204/1*EY204^0.4</f>
        <v>3.2876026930867783</v>
      </c>
      <c r="FA204" s="4">
        <f>EP204/1.4*(1-EY204^1.4)/(1-EY204)</f>
        <v>5.461578711276533</v>
      </c>
      <c r="FB204" s="4">
        <f>MAX(0,DQ204*FB$9-ES204)</f>
        <v>226.34907696750903</v>
      </c>
      <c r="FC204" s="4">
        <f>MAX(0,DQ204-ES204-FB204)</f>
        <v>107.50000000000003</v>
      </c>
      <c r="FD204" s="4">
        <f>FC204/(1-0.3*(M204/30)^0.5)/200000/N204</f>
        <v>2.068602055294326E-5</v>
      </c>
      <c r="FE204" s="4">
        <f>MAX(0.5*EP204, (1-2*FD204*(ES204*EZ204+FB204*FA204))/(1/EP204+FD204*FC204))</f>
        <v>6.4349929977881528</v>
      </c>
      <c r="FF204" s="4">
        <f>MIN(4/N204*(1*EZ204*ES204+FA204*FB204+FC204*FE204)+EC204,MAX(J204,AJ204))</f>
        <v>293.7613460487587</v>
      </c>
      <c r="FO204" s="23">
        <f>IF(CU204&lt;0.6,0.6,IF(CU204&lt;0.8,0.8,IF(CU204&lt;1,1,IF(CU204&lt;1.2,1.2,IF(CU204&lt;1.4,1.4,IF(CU204&lt;1.6,1.6,IF(CU204&lt;1.8,1.8,IF(CU204&lt;2,2,2.2))))))))</f>
        <v>1.2</v>
      </c>
      <c r="FP204" s="23">
        <f>IF(CV204&lt;0.6,0.6,IF(CV204&lt;0.8,0.8,IF(CV204&lt;1,1,IF(CV204&lt;1.2,1.2,IF(CV204&lt;1.4,1.4,IF(CV204&lt;1.6,1.6,IF(CV204&lt;1.8,1.8,IF(CV204&lt;2,2,2.2))))))))</f>
        <v>1.2</v>
      </c>
      <c r="FQ204" s="23">
        <f>IF(DA204&lt;0.6,0.6,IF(DA204&lt;0.8,0.8,IF(DA204&lt;1,1,IF(DA204&lt;1.2,1.2,IF(DA204&lt;1.4,1.4,IF(DA204&lt;1.6,1.6,IF(DA204&lt;1.8,1.8,IF(DA204&lt;2,2,2.2))))))))</f>
        <v>1.4</v>
      </c>
      <c r="FR204" s="23">
        <f>IF(CX204&lt;0.6,0.6,IF(CX204&lt;0.8,0.8,IF(CX204&lt;1,1,IF(CX204&lt;1.2,1.2,IF(CX204&lt;1.4,1.4,IF(CX204&lt;1.6,1.6,IF(CX204&lt;1.8,1.8,IF(CX204&lt;2,2,2.2))))))))</f>
        <v>2</v>
      </c>
      <c r="FS204" s="23">
        <f>IF(CY204&lt;0.6,0.6,IF(CY204&lt;0.8,0.8,IF(CY204&lt;1,1,IF(CY204&lt;1.2,1.2,IF(CY204&lt;1.4,1.4,IF(CY204&lt;1.6,1.6,IF(CY204&lt;1.8,1.8,IF(CY204&lt;2,2,2.2))))))))</f>
        <v>1.6</v>
      </c>
      <c r="FT204" s="23">
        <f>IF(CZ204&lt;0.6,0.6,IF(CZ204&lt;0.8,0.8,IF(CZ204&lt;1,1,IF(CZ204&lt;1.2,1.2,IF(CZ204&lt;1.4,1.4,IF(CZ204&lt;1.6,1.6,IF(CZ204&lt;1.8,1.8,IF(CZ204&lt;2,2,2.2))))))))</f>
        <v>1.2</v>
      </c>
      <c r="FU204" s="23">
        <f>IF(FS204&lt;1,1,0)</f>
        <v>0</v>
      </c>
      <c r="FV204" s="23"/>
      <c r="GF204" s="4">
        <f>IF(S204&gt;=2.5*25.4,1,1.25)</f>
        <v>1.25</v>
      </c>
      <c r="GG204" s="4">
        <f>IF(AO204&gt;1, 0.05*(18-MIN(8,(W204+N204)/N204))*(1-48000/MAX(60000,(J204*145))*(N204/25.4)^0.75*GH204), 1/12*(14-MIN(8,(W204+N204)/N204)))</f>
        <v>0.5</v>
      </c>
      <c r="GH204" s="4">
        <f>MIN(0.3, AM204^2*PI()/4*2*AP204/(N204^2*PI()/4*X204))</f>
        <v>0</v>
      </c>
      <c r="GI204" s="4">
        <f>(K204/25.4)/(N204/25.4)^1.5/0.0024*(M204*145)^0.25/GF204/GG204/145</f>
        <v>329.59680681931764</v>
      </c>
    </row>
    <row r="205" spans="1:196" ht="12" customHeight="1" thickBot="1" x14ac:dyDescent="0.35">
      <c r="A205" s="25">
        <v>151</v>
      </c>
      <c r="B205" s="24" t="s">
        <v>128</v>
      </c>
      <c r="C205" s="24">
        <v>2017</v>
      </c>
      <c r="D205" s="24" t="s">
        <v>309</v>
      </c>
      <c r="E205" s="24"/>
      <c r="F205" s="74" t="s">
        <v>780</v>
      </c>
      <c r="G205" s="109" t="s">
        <v>789</v>
      </c>
      <c r="H205" s="44" t="s">
        <v>181</v>
      </c>
      <c r="I205" s="5">
        <f>K205/N205</f>
        <v>10</v>
      </c>
      <c r="J205" s="72">
        <v>606</v>
      </c>
      <c r="K205" s="7">
        <f>10*N205</f>
        <v>430</v>
      </c>
      <c r="L205" s="7">
        <f>K205</f>
        <v>430</v>
      </c>
      <c r="M205" s="80">
        <v>52.2</v>
      </c>
      <c r="N205" s="88">
        <v>43</v>
      </c>
      <c r="O205" s="7">
        <f>K205/N205</f>
        <v>10</v>
      </c>
      <c r="P205" s="7">
        <f>L205/N205</f>
        <v>10</v>
      </c>
      <c r="Q205" s="7">
        <f>W205+2*S205+2*N205</f>
        <v>541.79999999999995</v>
      </c>
      <c r="R205" s="32">
        <f>S205/N205</f>
        <v>1</v>
      </c>
      <c r="S205" s="7">
        <f>1*N205</f>
        <v>43</v>
      </c>
      <c r="T205" s="32">
        <f>U205/N205</f>
        <v>1.3023255813953489</v>
      </c>
      <c r="U205" s="7">
        <f>40+16</f>
        <v>56</v>
      </c>
      <c r="V205" s="32">
        <f>W205/N205</f>
        <v>8.6</v>
      </c>
      <c r="W205" s="7">
        <f>(9.6-1)*N205</f>
        <v>369.8</v>
      </c>
      <c r="X205" s="7">
        <v>2</v>
      </c>
      <c r="Y205" s="7">
        <f>AN205</f>
        <v>1</v>
      </c>
      <c r="Z205" s="32">
        <f>AA205/N205</f>
        <v>5.2131782945736429</v>
      </c>
      <c r="AA205" s="7">
        <f>2/3*K205-0.5*125</f>
        <v>224.16666666666663</v>
      </c>
      <c r="AB205" s="7">
        <f>MIN(S205/N205+0.5, W205/2/N205+0.5)</f>
        <v>1.5</v>
      </c>
      <c r="AC205" s="7">
        <f>S205/N205+0.5</f>
        <v>1.5</v>
      </c>
      <c r="AD205" s="7">
        <f>2040/510</f>
        <v>4</v>
      </c>
      <c r="AE205" s="7">
        <f>2040/510</f>
        <v>4</v>
      </c>
      <c r="AF205" s="7">
        <f>AE205+1</f>
        <v>5</v>
      </c>
      <c r="AG205" s="7">
        <f>N205*AF205^0.5</f>
        <v>96.150923032490965</v>
      </c>
      <c r="AH205" s="7">
        <f>J205</f>
        <v>606</v>
      </c>
      <c r="AI205" s="7">
        <v>19</v>
      </c>
      <c r="AJ205" s="7">
        <f>(489+498)/2</f>
        <v>493.5</v>
      </c>
      <c r="AK205" s="7"/>
      <c r="AL205" s="4">
        <f>CY205</f>
        <v>1.6715512745016297</v>
      </c>
      <c r="AM205" s="7">
        <v>15.9</v>
      </c>
      <c r="AN205" s="7">
        <v>1</v>
      </c>
      <c r="AO205" s="7">
        <v>370</v>
      </c>
      <c r="AP205" s="7">
        <v>2</v>
      </c>
      <c r="AQ205" s="7">
        <f>AN205</f>
        <v>1</v>
      </c>
      <c r="AR205" s="7">
        <f>3*AS205/(W205+N205)</f>
        <v>3.125</v>
      </c>
      <c r="AS205" s="4">
        <f>K205</f>
        <v>430</v>
      </c>
      <c r="AT205" s="4">
        <f>IF(K205*3&gt;W205+N205, Q205, (S205+N205/2)*2+1.5*K205*(2*X205-2))*(3*K205)/(9*K205^2)</f>
        <v>0.41999999999999993</v>
      </c>
      <c r="AU205" s="4">
        <f>MIN(10*M205^0.5*K205^1.5,100*3.9*M205^0.5*K205^(5/3))/(PI()/4*N205^2)/X205</f>
        <v>221.8100126942922</v>
      </c>
      <c r="AV205" s="4">
        <f>MIN(0.7+0.3*(MIN(S205,AA205)+0.5*N205)/1.5/K205,1)</f>
        <v>0.73</v>
      </c>
      <c r="AW205" s="4">
        <v>1.25</v>
      </c>
      <c r="AX205" s="4">
        <f>AX203</f>
        <v>1</v>
      </c>
      <c r="AY205" s="38">
        <f>AT205*AV205*AW205*AX205*AU205</f>
        <v>85.008687365087468</v>
      </c>
      <c r="AZ205" s="38">
        <f>AY205</f>
        <v>85.008687365087468</v>
      </c>
      <c r="BA205" s="38">
        <f>IF(M205&lt;50, 0.3*M205^(2/3), 2.12*LN(1+0.1*(M205+8)))</f>
        <v>4.1313780222399661</v>
      </c>
      <c r="BB205" s="38">
        <f>AX205* (M205^0.5/AS205^0.5)/(PI()/4*N205^2)/X205/0.72 *(0.7+(MIN(S205,AA205)+0.5*N205)/5/K205) *(3*Q205*K205)</f>
        <v>85.008687365087567</v>
      </c>
      <c r="BC205" s="38">
        <f>AY205/BB205</f>
        <v>0.99999999999999878</v>
      </c>
      <c r="BD205" s="38">
        <f>BH205/BB205</f>
        <v>3.6843293280708735</v>
      </c>
      <c r="BE205" s="4">
        <f>IF(BD205&lt;1,1,0)</f>
        <v>0</v>
      </c>
      <c r="BF205" s="4">
        <f>L205/N205*M205^0.5/0.19</f>
        <v>380.26088143554614</v>
      </c>
      <c r="BG205" s="4">
        <f>MIN(0.6+0.4*(AC205/AB205),2)</f>
        <v>1</v>
      </c>
      <c r="BH205" s="38">
        <f>2*M205*AB205*AD205^0.5*BG205*0.7/0.7</f>
        <v>313.20000000000005</v>
      </c>
      <c r="BI205" s="4">
        <f>MAX(1-0.7*AE205/5,0.3)</f>
        <v>0.44000000000000006</v>
      </c>
      <c r="BJ205" s="4">
        <f>BI205*J205*L205/(J205*N205/2.75/M205^0.5)</f>
        <v>87.421976642032064</v>
      </c>
      <c r="BK205" s="4">
        <f>BH205+BJ205</f>
        <v>400.62197664203211</v>
      </c>
      <c r="BM205" s="4">
        <f>MIN(1.5, 0.75+0.25*MIN(3,MAX(1,S205/N205))+0.4*MIN(1,(40*2*PI()*AM205^2/4/AO205/X205)/N205))</f>
        <v>1.1996797080462691</v>
      </c>
      <c r="BN205" s="4">
        <f>(3*P205+30)*BM205*M205^0.5</f>
        <v>520.05804007309484</v>
      </c>
      <c r="BP205" s="4">
        <f>3.4/PI()^0.5*M205*AB205*AE205^0.5*BG205</f>
        <v>300.39710186416738</v>
      </c>
      <c r="BQ205" s="4">
        <f>8/3*AH205*AI205^2/(AG205-N205-22)/N205*(AG205^2-N205^2)/(AG205^2-(N205+22)^2)</f>
        <v>641.65616063635548</v>
      </c>
      <c r="BR205" s="4">
        <f>BQ205/BP205</f>
        <v>2.1360264684793715</v>
      </c>
      <c r="BZ205" s="4">
        <f>IF(W205=0,S205,MIN(W205/2,S205))</f>
        <v>43</v>
      </c>
      <c r="CD205" s="9"/>
      <c r="CF205" s="9"/>
      <c r="CG205" s="9"/>
      <c r="CH205" s="9">
        <f>IF(W205=0,MIN(S205,U205),MIN(W205/2,S205,U205))</f>
        <v>43</v>
      </c>
      <c r="CI205" s="9">
        <f>MAX(W205/2,S205)</f>
        <v>184.9</v>
      </c>
      <c r="CJ205" s="9">
        <f>(CH205/N205)^0.5*(CI205/CH205)^0.15</f>
        <v>1.2445726940891169</v>
      </c>
      <c r="CK205" s="70">
        <v>20</v>
      </c>
      <c r="CL205" s="9">
        <f>MIN(PI()*AM205^2/4*AN205*2/X205/N205/MAX(0.01,AO205),0.05)</f>
        <v>1.2479981752891823E-2</v>
      </c>
      <c r="CM205" s="9">
        <f>MAX(0,CK205*(CL205-0.5/50))</f>
        <v>4.9599635057836454E-2</v>
      </c>
      <c r="CN205" s="9">
        <f>MIN(1,(25/N205)^0.3)</f>
        <v>0.84984840943171969</v>
      </c>
      <c r="CO205" s="9">
        <f>IF(J205&gt;=800,0.68,IF(J205&gt;=700,0.75-(J205-700)*0.07/100,IF(J205&gt;=600,0.85-(J205-600)*0.1/100,IF(J205&gt;=500,1-(J205-500)*0.15/100,1.2-(J205-400)*0.2/100))))</f>
        <v>0.84399999999999997</v>
      </c>
      <c r="CP205" s="9">
        <f>1.75*CN205*CO205*(M205/25)^0.5</f>
        <v>1.8137908571660144</v>
      </c>
      <c r="CQ205" s="9">
        <f>MIN((CJ205+CM205)*CP205,2.5*CP205,M205^0.5)</f>
        <v>2.3473579382039897</v>
      </c>
      <c r="CR205" s="9">
        <v>1</v>
      </c>
      <c r="CS205" s="9">
        <f>4*CQ205*P205+60*CQ205</f>
        <v>234.73579382039895</v>
      </c>
      <c r="CU205" s="4">
        <f>AJ205/BF205</f>
        <v>1.2977932364143214</v>
      </c>
      <c r="CV205" s="4">
        <f>AJ205/BK205</f>
        <v>1.2318345691778092</v>
      </c>
      <c r="CW205" s="4">
        <f>AJ205/BN205</f>
        <v>0.94893254593398446</v>
      </c>
      <c r="CX205" s="4">
        <f>AJ205/CS205</f>
        <v>2.1023636487990696</v>
      </c>
      <c r="CY205" s="4">
        <f>AJ205/DZ205</f>
        <v>1.6715512745016297</v>
      </c>
      <c r="CZ205" s="4">
        <f>AJ205/EL205</f>
        <v>1.1716971921552939</v>
      </c>
      <c r="DA205" s="4">
        <f>AJ205/GI205</f>
        <v>1.1653373728318932</v>
      </c>
      <c r="DI205" s="4">
        <f>CU205</f>
        <v>1.2977932364143214</v>
      </c>
      <c r="DJ205" s="4">
        <f>CV205</f>
        <v>1.2318345691778092</v>
      </c>
      <c r="DK205" s="4">
        <f>CX205</f>
        <v>2.1023636487990696</v>
      </c>
      <c r="DL205" s="4">
        <f>DA205</f>
        <v>1.1653373728318932</v>
      </c>
      <c r="DM205" s="4">
        <f>CY205</f>
        <v>1.6715512745016297</v>
      </c>
      <c r="DN205" s="4">
        <f>CZ205</f>
        <v>1.1716971921552939</v>
      </c>
      <c r="DP205" s="4">
        <f>AN205</f>
        <v>1</v>
      </c>
      <c r="DQ205" s="4">
        <f>L205</f>
        <v>430</v>
      </c>
      <c r="DT205" s="4">
        <f>K205/4/(1-0.3*(M205/30)^0.5)/200000/N205</f>
        <v>2.068602055294326E-5</v>
      </c>
      <c r="DU205" s="4">
        <f>EP205</f>
        <v>7.0329098169215492</v>
      </c>
      <c r="DV205" s="4">
        <f>EC205*AG205/257/M205/AD205</f>
        <v>0.15231867398537541</v>
      </c>
      <c r="DW205" s="4">
        <f>DU205*DV205^0.4</f>
        <v>3.3131134579716504</v>
      </c>
      <c r="DX205" s="4">
        <f>MIN(DU205, DU205/1.4*(1-DV205^1.4)/(1-DV205))</f>
        <v>5.5009391652039437</v>
      </c>
      <c r="DY205" s="4">
        <f>MAX(DU205/2, (4-DT205*(8*AG205*(DW205-DX205)+6*K205*DX205))/(4+DT205*K205*DU205)*DU205)</f>
        <v>6.4766382151858553</v>
      </c>
      <c r="DZ205" s="38">
        <f>MIN(1/N205*(4*AG205*(DW205-DX205)+(3*DX205+DY205)*K205)+EC205 -FJ205,MAX(J205,AJ205))</f>
        <v>295.23473645589257</v>
      </c>
      <c r="EA205" s="4">
        <f>DZ205/FF205</f>
        <v>1.0001103397021163</v>
      </c>
      <c r="EB205" s="4">
        <f>AG205/N205</f>
        <v>2.2360679774997898</v>
      </c>
      <c r="EC205" s="4">
        <f>MIN(EB$10*BB205)</f>
        <v>85.008687365087567</v>
      </c>
      <c r="EG205" s="4">
        <f>IF(U205&gt;1*N205,0.85,1)</f>
        <v>0.85</v>
      </c>
      <c r="EH205" s="4">
        <f>MIN(1,MAX(0.7,(1-0.1*(BZ205-1*N205)/N205)))</f>
        <v>1</v>
      </c>
      <c r="EI205" s="4">
        <f>MIN(1,MAX(0.7,1-0.3*(PI()*AM205^2/4*AQ205*2-0.25*PI()/4*N205^2)/(PI()/4*N205^2)))</f>
        <v>0.99296322336398057</v>
      </c>
      <c r="EJ205" s="4">
        <f>IF(EH205*EI205&lt;0.7,0.7,EH205*EI205)</f>
        <v>0.99296322336398057</v>
      </c>
      <c r="EL205" s="4">
        <f>MIN(DU205/N205*3*K205+EM205-FJ205,MAX(J205,AJ205))</f>
        <v>421.183905964838</v>
      </c>
      <c r="EM205" s="25">
        <f>13.3*Q205*K205^0.5*M205^0.5/X205/N205^2*(0.7+S205/5/K205)</f>
        <v>210.19661145719158</v>
      </c>
      <c r="EP205" s="4">
        <f>IF(N205&lt;22.2,1.1*5*(M205/30)^0.5,IF(N205&gt;=31.8,0.9*5*(M205/30)^0.5,1*5*(M205/30)^0.5))/EG205/EJ205</f>
        <v>7.0329098169215492</v>
      </c>
      <c r="ES205" s="4">
        <f>ET205*N205</f>
        <v>96.150923032490965</v>
      </c>
      <c r="ET205" s="4">
        <f>AF205^0.5</f>
        <v>2.2360679774997898</v>
      </c>
      <c r="EU205" s="4">
        <f>MIN(EC205)/(4700*M205^0.5)/AE205*ES205</f>
        <v>6.0176048650233176E-2</v>
      </c>
      <c r="EX205" s="4">
        <f>EU205</f>
        <v>6.0176048650233176E-2</v>
      </c>
      <c r="EY205" s="4">
        <f>MIN(0.999, EX205/(0.3*(M205/30)^0.5))</f>
        <v>0.15206448250683563</v>
      </c>
      <c r="EZ205" s="4">
        <f>EP205/1*EY205^0.4</f>
        <v>3.3109007622145081</v>
      </c>
      <c r="FA205" s="4">
        <f>EP205/1.4*(1-EY205^1.4)/(1-EY205)</f>
        <v>5.5002829739994681</v>
      </c>
      <c r="FB205" s="4">
        <f>MAX(0,DQ205*FB$9-ES205)</f>
        <v>226.34907696750903</v>
      </c>
      <c r="FC205" s="4">
        <f>MAX(0,DQ205-ES205-FB205)</f>
        <v>107.50000000000003</v>
      </c>
      <c r="FD205" s="4">
        <f>FC205/(1-0.3*(M205/30)^0.5)/200000/N205</f>
        <v>2.068602055294326E-5</v>
      </c>
      <c r="FE205" s="4">
        <f>MAX(0.5*EP205, (1-2*FD205*(ES205*EZ205+FB205*FA205))/(1/EP205+FD205*FC205))</f>
        <v>6.4767417169108095</v>
      </c>
      <c r="FF205" s="4">
        <f>MIN(4/N205*(1*EZ205*ES205+FA205*FB205+FC205*FE205)+EC205,MAX(J205,AJ205))</f>
        <v>295.20216393705971</v>
      </c>
      <c r="FO205" s="23">
        <f>IF(CU205&lt;0.6,0.6,IF(CU205&lt;0.8,0.8,IF(CU205&lt;1,1,IF(CU205&lt;1.2,1.2,IF(CU205&lt;1.4,1.4,IF(CU205&lt;1.6,1.6,IF(CU205&lt;1.8,1.8,IF(CU205&lt;2,2,2.2))))))))</f>
        <v>1.4</v>
      </c>
      <c r="FP205" s="23">
        <f>IF(CV205&lt;0.6,0.6,IF(CV205&lt;0.8,0.8,IF(CV205&lt;1,1,IF(CV205&lt;1.2,1.2,IF(CV205&lt;1.4,1.4,IF(CV205&lt;1.6,1.6,IF(CV205&lt;1.8,1.8,IF(CV205&lt;2,2,2.2))))))))</f>
        <v>1.4</v>
      </c>
      <c r="FQ205" s="23">
        <f>IF(DA205&lt;0.6,0.6,IF(DA205&lt;0.8,0.8,IF(DA205&lt;1,1,IF(DA205&lt;1.2,1.2,IF(DA205&lt;1.4,1.4,IF(DA205&lt;1.6,1.6,IF(DA205&lt;1.8,1.8,IF(DA205&lt;2,2,2.2))))))))</f>
        <v>1.2</v>
      </c>
      <c r="FR205" s="23">
        <f>IF(CX205&lt;0.6,0.6,IF(CX205&lt;0.8,0.8,IF(CX205&lt;1,1,IF(CX205&lt;1.2,1.2,IF(CX205&lt;1.4,1.4,IF(CX205&lt;1.6,1.6,IF(CX205&lt;1.8,1.8,IF(CX205&lt;2,2,2.2))))))))</f>
        <v>2.2000000000000002</v>
      </c>
      <c r="FS205" s="23">
        <f>IF(CY205&lt;0.6,0.6,IF(CY205&lt;0.8,0.8,IF(CY205&lt;1,1,IF(CY205&lt;1.2,1.2,IF(CY205&lt;1.4,1.4,IF(CY205&lt;1.6,1.6,IF(CY205&lt;1.8,1.8,IF(CY205&lt;2,2,2.2))))))))</f>
        <v>1.8</v>
      </c>
      <c r="FT205" s="23">
        <f>IF(CZ205&lt;0.6,0.6,IF(CZ205&lt;0.8,0.8,IF(CZ205&lt;1,1,IF(CZ205&lt;1.2,1.2,IF(CZ205&lt;1.4,1.4,IF(CZ205&lt;1.6,1.6,IF(CZ205&lt;1.8,1.8,IF(CZ205&lt;2,2,2.2))))))))</f>
        <v>1.2</v>
      </c>
      <c r="FU205" s="23">
        <f>IF(FS205&lt;1,1,0)</f>
        <v>0</v>
      </c>
      <c r="FV205" s="23"/>
      <c r="GF205" s="4">
        <f>IF(S205&gt;=2.5*25.4,1,1.25)</f>
        <v>1.25</v>
      </c>
      <c r="GG205" s="4">
        <f>IF(AO205&gt;1, 0.05*(18-MIN(8,(W205+N205)/N205))*(1-48000/MAX(60000,(J205*145))*(N205/25.4)^0.75*GH205), 1/12*(14-MIN(8,(W205+N205)/N205)))</f>
        <v>0.38915043257609383</v>
      </c>
      <c r="GH205" s="4">
        <f>MIN(0.3, AM205^2*PI()/4*2*AP205/(N205^2*PI()/4*X205))</f>
        <v>0.27345592212006492</v>
      </c>
      <c r="GI205" s="4">
        <f>(K205/25.4)/(N205/25.4)^1.5/0.0024*(M205*145)^0.25/GF205/GG205/145</f>
        <v>423.48251373826855</v>
      </c>
    </row>
    <row r="206" spans="1:196" ht="12" customHeight="1" thickBot="1" x14ac:dyDescent="0.35">
      <c r="A206" s="25">
        <v>151</v>
      </c>
      <c r="B206" s="24" t="s">
        <v>128</v>
      </c>
      <c r="C206" s="24">
        <v>2017</v>
      </c>
      <c r="D206" s="24" t="s">
        <v>309</v>
      </c>
      <c r="E206" s="24"/>
      <c r="F206" s="74" t="s">
        <v>780</v>
      </c>
      <c r="G206" s="109" t="s">
        <v>780</v>
      </c>
      <c r="H206" s="44" t="s">
        <v>181</v>
      </c>
      <c r="I206" s="5">
        <f>K206/N206</f>
        <v>10</v>
      </c>
      <c r="J206" s="72">
        <v>606</v>
      </c>
      <c r="K206" s="7">
        <f>10*N206</f>
        <v>430</v>
      </c>
      <c r="L206" s="7">
        <f>K206</f>
        <v>430</v>
      </c>
      <c r="M206" s="80">
        <v>52.2</v>
      </c>
      <c r="N206" s="88">
        <v>43</v>
      </c>
      <c r="O206" s="7">
        <f>K206/N206</f>
        <v>10</v>
      </c>
      <c r="P206" s="7">
        <f>L206/N206</f>
        <v>10</v>
      </c>
      <c r="Q206" s="7">
        <f>W206+2*S206+2*N206</f>
        <v>541.79999999999995</v>
      </c>
      <c r="R206" s="32">
        <f>S206/N206</f>
        <v>1</v>
      </c>
      <c r="S206" s="7">
        <f>1*N206</f>
        <v>43</v>
      </c>
      <c r="T206" s="32">
        <f>U206/N206</f>
        <v>1.3023255813953489</v>
      </c>
      <c r="U206" s="7">
        <f>40+16</f>
        <v>56</v>
      </c>
      <c r="V206" s="32">
        <f>W206/N206</f>
        <v>8.6</v>
      </c>
      <c r="W206" s="7">
        <f>(9.6-1)*N206</f>
        <v>369.8</v>
      </c>
      <c r="X206" s="7">
        <v>2</v>
      </c>
      <c r="Y206" s="7">
        <f>AN206</f>
        <v>1</v>
      </c>
      <c r="Z206" s="32">
        <f>AA206/N206</f>
        <v>5.2131782945736429</v>
      </c>
      <c r="AA206" s="7">
        <f>2/3*K206-0.5*125</f>
        <v>224.16666666666663</v>
      </c>
      <c r="AB206" s="7">
        <f>MIN(S206/N206+0.5, W206/2/N206+0.5)</f>
        <v>1.5</v>
      </c>
      <c r="AC206" s="7">
        <f>S206/N206+0.5</f>
        <v>1.5</v>
      </c>
      <c r="AD206" s="7">
        <f>2040/510</f>
        <v>4</v>
      </c>
      <c r="AE206" s="7">
        <f>2040/510</f>
        <v>4</v>
      </c>
      <c r="AF206" s="7">
        <f>AE206+1</f>
        <v>5</v>
      </c>
      <c r="AG206" s="7">
        <f>N206*AF206^0.5</f>
        <v>96.150923032490965</v>
      </c>
      <c r="AH206" s="7">
        <f>J206</f>
        <v>606</v>
      </c>
      <c r="AI206" s="7">
        <v>19</v>
      </c>
      <c r="AJ206" s="7">
        <f>(489+498)/2</f>
        <v>493.5</v>
      </c>
      <c r="AK206" s="7"/>
      <c r="AL206" s="4">
        <f>CY206</f>
        <v>1.6715512745016297</v>
      </c>
      <c r="AM206" s="7">
        <v>15.9</v>
      </c>
      <c r="AN206" s="7">
        <v>1</v>
      </c>
      <c r="AO206" s="7">
        <v>370</v>
      </c>
      <c r="AP206" s="7">
        <v>2</v>
      </c>
      <c r="AQ206" s="7">
        <f>AN206</f>
        <v>1</v>
      </c>
      <c r="AR206" s="7">
        <f>3*AS206/(W206+N206)</f>
        <v>3.125</v>
      </c>
      <c r="AS206" s="4">
        <f>K206</f>
        <v>430</v>
      </c>
      <c r="AT206" s="4">
        <f>IF(K206*3&gt;W206+N206, Q206, (S206+N206/2)*2+1.5*K206*(2*X206-2))*(3*K206)/(9*K206^2)</f>
        <v>0.41999999999999993</v>
      </c>
      <c r="AU206" s="4">
        <f>MIN(10*M206^0.5*K206^1.5,100*3.9*M206^0.5*K206^(5/3))/(PI()/4*N206^2)/X206</f>
        <v>221.8100126942922</v>
      </c>
      <c r="AV206" s="4">
        <f>MIN(0.7+0.3*(MIN(S206,AA206)+0.5*N206)/1.5/K206,1)</f>
        <v>0.73</v>
      </c>
      <c r="AW206" s="4">
        <v>1.25</v>
      </c>
      <c r="AX206" s="4">
        <f>AX204</f>
        <v>1</v>
      </c>
      <c r="AY206" s="38">
        <f>AT206*AV206*AW206*AX206*AU206</f>
        <v>85.008687365087468</v>
      </c>
      <c r="AZ206" s="38">
        <f>AY206</f>
        <v>85.008687365087468</v>
      </c>
      <c r="BA206" s="38">
        <f>IF(M206&lt;50, 0.3*M206^(2/3), 2.12*LN(1+0.1*(M206+8)))</f>
        <v>4.1313780222399661</v>
      </c>
      <c r="BB206" s="38">
        <f>AX206* (M206^0.5/AS206^0.5)/(PI()/4*N206^2)/X206/0.72 *(0.7+(MIN(S206,AA206)+0.5*N206)/5/K206) *(3*Q206*K206)</f>
        <v>85.008687365087567</v>
      </c>
      <c r="BC206" s="38">
        <f>AY206/BB206</f>
        <v>0.99999999999999878</v>
      </c>
      <c r="BD206" s="38">
        <f>BH206/BB206</f>
        <v>3.6843293280708735</v>
      </c>
      <c r="BE206" s="4">
        <f>IF(BD206&lt;1,1,0)</f>
        <v>0</v>
      </c>
      <c r="BF206" s="4">
        <f>L206/N206*M206^0.5/0.19</f>
        <v>380.26088143554614</v>
      </c>
      <c r="BG206" s="4">
        <f>MIN(0.6+0.4*(AC206/AB206),2)</f>
        <v>1</v>
      </c>
      <c r="BH206" s="38">
        <f>2*M206*AB206*AD206^0.5*BG206*0.7/0.7</f>
        <v>313.20000000000005</v>
      </c>
      <c r="BI206" s="4">
        <f>MAX(1-0.7*AE206/5,0.3)</f>
        <v>0.44000000000000006</v>
      </c>
      <c r="BJ206" s="4">
        <f>BI206*J206*L206/(J206*N206/2.75/M206^0.5)</f>
        <v>87.421976642032064</v>
      </c>
      <c r="BK206" s="4">
        <f>BH206+BJ206</f>
        <v>400.62197664203211</v>
      </c>
      <c r="BM206" s="4">
        <f>MIN(1.5, 0.75+0.25*MIN(3,MAX(1,S206/N206))+0.4*MIN(1,(40*2*PI()*AM206^2/4/AO206/X206)/N206))</f>
        <v>1.1996797080462691</v>
      </c>
      <c r="BN206" s="4">
        <f>(3*P206+30)*BM206*M206^0.5</f>
        <v>520.05804007309484</v>
      </c>
      <c r="BP206" s="4">
        <f>3.4/PI()^0.5*M206*AB206*AE206^0.5*BG206</f>
        <v>300.39710186416738</v>
      </c>
      <c r="BQ206" s="4">
        <f>8/3*AH206*AI206^2/(AG206-N206-22)/N206*(AG206^2-N206^2)/(AG206^2-(N206+22)^2)</f>
        <v>641.65616063635548</v>
      </c>
      <c r="BR206" s="4">
        <f>BQ206/BP206</f>
        <v>2.1360264684793715</v>
      </c>
      <c r="BZ206" s="4">
        <f>IF(W206=0,S206,MIN(W206/2,S206))</f>
        <v>43</v>
      </c>
      <c r="CD206" s="9"/>
      <c r="CF206" s="9"/>
      <c r="CG206" s="9"/>
      <c r="CH206" s="9">
        <f>IF(W206=0,MIN(S206,U206),MIN(W206/2,S206,U206))</f>
        <v>43</v>
      </c>
      <c r="CI206" s="9">
        <f>MAX(W206/2,S206)</f>
        <v>184.9</v>
      </c>
      <c r="CJ206" s="9">
        <f>(CH206/N206)^0.5*(CI206/CH206)^0.15</f>
        <v>1.2445726940891169</v>
      </c>
      <c r="CK206" s="70">
        <v>20</v>
      </c>
      <c r="CL206" s="9">
        <f>MIN(PI()*AM206^2/4*AN206*2/X206/N206/MAX(0.01,AO206),0.05)</f>
        <v>1.2479981752891823E-2</v>
      </c>
      <c r="CM206" s="9">
        <f>MAX(0,CK206*(CL206-0.5/50))</f>
        <v>4.9599635057836454E-2</v>
      </c>
      <c r="CN206" s="9">
        <f>MIN(1,(25/N206)^0.3)</f>
        <v>0.84984840943171969</v>
      </c>
      <c r="CO206" s="9">
        <f>IF(J206&gt;=800,0.68,IF(J206&gt;=700,0.75-(J206-700)*0.07/100,IF(J206&gt;=600,0.85-(J206-600)*0.1/100,IF(J206&gt;=500,1-(J206-500)*0.15/100,1.2-(J206-400)*0.2/100))))</f>
        <v>0.84399999999999997</v>
      </c>
      <c r="CP206" s="9">
        <f>1.75*CN206*CO206*(M206/25)^0.5</f>
        <v>1.8137908571660144</v>
      </c>
      <c r="CQ206" s="9">
        <f>MIN((CJ206+CM206)*CP206,2.5*CP206,M206^0.5)</f>
        <v>2.3473579382039897</v>
      </c>
      <c r="CR206" s="9">
        <v>1</v>
      </c>
      <c r="CS206" s="9">
        <f>4*CQ206*P206+60*CQ206</f>
        <v>234.73579382039895</v>
      </c>
      <c r="CU206" s="4">
        <f>AJ206/BF206</f>
        <v>1.2977932364143214</v>
      </c>
      <c r="CV206" s="4">
        <f>AJ206/BK206</f>
        <v>1.2318345691778092</v>
      </c>
      <c r="CW206" s="4">
        <f>AJ206/BN206</f>
        <v>0.94893254593398446</v>
      </c>
      <c r="CX206" s="4">
        <f>AJ206/CS206</f>
        <v>2.1023636487990696</v>
      </c>
      <c r="CY206" s="4">
        <f>AJ206/DZ206</f>
        <v>1.6715512745016297</v>
      </c>
      <c r="CZ206" s="4">
        <f>AJ206/EL206</f>
        <v>1.1716971921552939</v>
      </c>
      <c r="DA206" s="4">
        <f>AJ206/GI206</f>
        <v>1.1653373728318932</v>
      </c>
      <c r="DI206" s="4">
        <f>CU206</f>
        <v>1.2977932364143214</v>
      </c>
      <c r="DJ206" s="4">
        <f>CV206</f>
        <v>1.2318345691778092</v>
      </c>
      <c r="DK206" s="4">
        <f>CX206</f>
        <v>2.1023636487990696</v>
      </c>
      <c r="DL206" s="4">
        <f>DA206</f>
        <v>1.1653373728318932</v>
      </c>
      <c r="DM206" s="4">
        <f>CY206</f>
        <v>1.6715512745016297</v>
      </c>
      <c r="DN206" s="4">
        <f>CZ206</f>
        <v>1.1716971921552939</v>
      </c>
      <c r="DP206" s="4">
        <f>AN206</f>
        <v>1</v>
      </c>
      <c r="DQ206" s="4">
        <f>L206</f>
        <v>430</v>
      </c>
      <c r="DT206" s="4">
        <f>K206/4/(1-0.3*(M206/30)^0.5)/200000/N206</f>
        <v>2.068602055294326E-5</v>
      </c>
      <c r="DU206" s="4">
        <f>EP206</f>
        <v>7.0329098169215492</v>
      </c>
      <c r="DV206" s="4">
        <f>EC206*AG206/257/M206/AD206</f>
        <v>0.15231867398537541</v>
      </c>
      <c r="DW206" s="4">
        <f>DU206*DV206^0.4</f>
        <v>3.3131134579716504</v>
      </c>
      <c r="DX206" s="4">
        <f>MIN(DU206, DU206/1.4*(1-DV206^1.4)/(1-DV206))</f>
        <v>5.5009391652039437</v>
      </c>
      <c r="DY206" s="4">
        <f>MAX(DU206/2, (4-DT206*(8*AG206*(DW206-DX206)+6*K206*DX206))/(4+DT206*K206*DU206)*DU206)</f>
        <v>6.4766382151858553</v>
      </c>
      <c r="DZ206" s="38">
        <f>MIN(1/N206*(4*AG206*(DW206-DX206)+(3*DX206+DY206)*K206)+EC206 -FJ206,MAX(J206,AJ206))</f>
        <v>295.23473645589257</v>
      </c>
      <c r="EA206" s="4">
        <f>DZ206/FF206</f>
        <v>1.0001103397021163</v>
      </c>
      <c r="EB206" s="4">
        <f>AG206/N206</f>
        <v>2.2360679774997898</v>
      </c>
      <c r="EC206" s="4">
        <f>MIN(EB$10*BB206)</f>
        <v>85.008687365087567</v>
      </c>
      <c r="EG206" s="4">
        <f>IF(U206&gt;1*N206,0.85,1)</f>
        <v>0.85</v>
      </c>
      <c r="EH206" s="4">
        <f>MIN(1,MAX(0.7,(1-0.1*(BZ206-1*N206)/N206)))</f>
        <v>1</v>
      </c>
      <c r="EI206" s="4">
        <f>MIN(1,MAX(0.7,1-0.3*(PI()*AM206^2/4*AQ206*2-0.25*PI()/4*N206^2)/(PI()/4*N206^2)))</f>
        <v>0.99296322336398057</v>
      </c>
      <c r="EJ206" s="4">
        <f>IF(EH206*EI206&lt;0.7,0.7,EH206*EI206)</f>
        <v>0.99296322336398057</v>
      </c>
      <c r="EL206" s="4">
        <f>MIN(DU206/N206*3*K206+EM206-FJ206,MAX(J206,AJ206))</f>
        <v>421.183905964838</v>
      </c>
      <c r="EM206" s="25">
        <f>13.3*Q206*K206^0.5*M206^0.5/X206/N206^2*(0.7+S206/5/K206)</f>
        <v>210.19661145719158</v>
      </c>
      <c r="EP206" s="4">
        <f>IF(N206&lt;22.2,1.1*5*(M206/30)^0.5,IF(N206&gt;=31.8,0.9*5*(M206/30)^0.5,1*5*(M206/30)^0.5))/EG206/EJ206</f>
        <v>7.0329098169215492</v>
      </c>
      <c r="ES206" s="4">
        <f>ET206*N206</f>
        <v>96.150923032490965</v>
      </c>
      <c r="ET206" s="4">
        <f>AF206^0.5</f>
        <v>2.2360679774997898</v>
      </c>
      <c r="EU206" s="4">
        <f>MIN(EC206)/(4700*M206^0.5)/AE206*ES206</f>
        <v>6.0176048650233176E-2</v>
      </c>
      <c r="EX206" s="4">
        <f>EU206</f>
        <v>6.0176048650233176E-2</v>
      </c>
      <c r="EY206" s="4">
        <f>MIN(0.999, EX206/(0.3*(M206/30)^0.5))</f>
        <v>0.15206448250683563</v>
      </c>
      <c r="EZ206" s="4">
        <f>EP206/1*EY206^0.4</f>
        <v>3.3109007622145081</v>
      </c>
      <c r="FA206" s="4">
        <f>EP206/1.4*(1-EY206^1.4)/(1-EY206)</f>
        <v>5.5002829739994681</v>
      </c>
      <c r="FB206" s="4">
        <f>MAX(0,DQ206*FB$9-ES206)</f>
        <v>226.34907696750903</v>
      </c>
      <c r="FC206" s="4">
        <f>MAX(0,DQ206-ES206-FB206)</f>
        <v>107.50000000000003</v>
      </c>
      <c r="FD206" s="4">
        <f>FC206/(1-0.3*(M206/30)^0.5)/200000/N206</f>
        <v>2.068602055294326E-5</v>
      </c>
      <c r="FE206" s="4">
        <f>MAX(0.5*EP206, (1-2*FD206*(ES206*EZ206+FB206*FA206))/(1/EP206+FD206*FC206))</f>
        <v>6.4767417169108095</v>
      </c>
      <c r="FF206" s="4">
        <f>MIN(4/N206*(1*EZ206*ES206+FA206*FB206+FC206*FE206)+EC206,MAX(J206,AJ206))</f>
        <v>295.20216393705971</v>
      </c>
      <c r="FO206" s="23">
        <f>IF(CU206&lt;0.6,0.6,IF(CU206&lt;0.8,0.8,IF(CU206&lt;1,1,IF(CU206&lt;1.2,1.2,IF(CU206&lt;1.4,1.4,IF(CU206&lt;1.6,1.6,IF(CU206&lt;1.8,1.8,IF(CU206&lt;2,2,2.2))))))))</f>
        <v>1.4</v>
      </c>
      <c r="FP206" s="23">
        <f>IF(CV206&lt;0.6,0.6,IF(CV206&lt;0.8,0.8,IF(CV206&lt;1,1,IF(CV206&lt;1.2,1.2,IF(CV206&lt;1.4,1.4,IF(CV206&lt;1.6,1.6,IF(CV206&lt;1.8,1.8,IF(CV206&lt;2,2,2.2))))))))</f>
        <v>1.4</v>
      </c>
      <c r="FQ206" s="23">
        <f>IF(DA206&lt;0.6,0.6,IF(DA206&lt;0.8,0.8,IF(DA206&lt;1,1,IF(DA206&lt;1.2,1.2,IF(DA206&lt;1.4,1.4,IF(DA206&lt;1.6,1.6,IF(DA206&lt;1.8,1.8,IF(DA206&lt;2,2,2.2))))))))</f>
        <v>1.2</v>
      </c>
      <c r="FR206" s="23">
        <f>IF(CX206&lt;0.6,0.6,IF(CX206&lt;0.8,0.8,IF(CX206&lt;1,1,IF(CX206&lt;1.2,1.2,IF(CX206&lt;1.4,1.4,IF(CX206&lt;1.6,1.6,IF(CX206&lt;1.8,1.8,IF(CX206&lt;2,2,2.2))))))))</f>
        <v>2.2000000000000002</v>
      </c>
      <c r="FS206" s="23">
        <f>IF(CY206&lt;0.6,0.6,IF(CY206&lt;0.8,0.8,IF(CY206&lt;1,1,IF(CY206&lt;1.2,1.2,IF(CY206&lt;1.4,1.4,IF(CY206&lt;1.6,1.6,IF(CY206&lt;1.8,1.8,IF(CY206&lt;2,2,2.2))))))))</f>
        <v>1.8</v>
      </c>
      <c r="FT206" s="23">
        <f>IF(CZ206&lt;0.6,0.6,IF(CZ206&lt;0.8,0.8,IF(CZ206&lt;1,1,IF(CZ206&lt;1.2,1.2,IF(CZ206&lt;1.4,1.4,IF(CZ206&lt;1.6,1.6,IF(CZ206&lt;1.8,1.8,IF(CZ206&lt;2,2,2.2))))))))</f>
        <v>1.2</v>
      </c>
      <c r="FU206" s="23">
        <f>IF(FS206&lt;1,1,0)</f>
        <v>0</v>
      </c>
      <c r="FV206" s="23"/>
      <c r="GF206" s="4">
        <f>IF(S206&gt;=2.5*25.4,1,1.25)</f>
        <v>1.25</v>
      </c>
      <c r="GG206" s="4">
        <f>IF(AO206&gt;1, 0.05*(18-MIN(8,(W206+N206)/N206))*(1-48000/MAX(60000,(J206*145))*(N206/25.4)^0.75*GH206), 1/12*(14-MIN(8,(W206+N206)/N206)))</f>
        <v>0.38915043257609383</v>
      </c>
      <c r="GH206" s="4">
        <f>MIN(0.3, AM206^2*PI()/4*2*AP206/(N206^2*PI()/4*X206))</f>
        <v>0.27345592212006492</v>
      </c>
      <c r="GI206" s="4">
        <f>(K206/25.4)/(N206/25.4)^1.5/0.0024*(M206*145)^0.25/GF206/GG206/145</f>
        <v>423.48251373826855</v>
      </c>
    </row>
    <row r="207" spans="1:196" ht="12" customHeight="1" x14ac:dyDescent="0.3">
      <c r="A207" s="25">
        <v>421</v>
      </c>
      <c r="B207" s="4" t="s">
        <v>605</v>
      </c>
      <c r="C207" s="4">
        <v>2016</v>
      </c>
      <c r="D207" s="4" t="s">
        <v>309</v>
      </c>
      <c r="E207" s="14" t="s">
        <v>679</v>
      </c>
      <c r="F207" s="14"/>
      <c r="G207" s="14">
        <v>9</v>
      </c>
      <c r="H207" s="7" t="s">
        <v>592</v>
      </c>
      <c r="I207" s="5">
        <f>K207/N207</f>
        <v>12.000000000000004</v>
      </c>
      <c r="J207" s="90">
        <f>135/0.145</f>
        <v>931.0344827586207</v>
      </c>
      <c r="K207" s="90">
        <f>16.92*25.4</f>
        <v>429.76800000000003</v>
      </c>
      <c r="L207" s="4">
        <f>K207</f>
        <v>429.76800000000003</v>
      </c>
      <c r="M207" s="90">
        <f>10120/145</f>
        <v>69.793103448275858</v>
      </c>
      <c r="N207" s="38">
        <f>1.41*25.4</f>
        <v>35.813999999999993</v>
      </c>
      <c r="O207" s="7">
        <f>K207/N207</f>
        <v>12.000000000000004</v>
      </c>
      <c r="P207" s="7">
        <f>L207/N207</f>
        <v>12.000000000000004</v>
      </c>
      <c r="Q207" s="38">
        <f>21.9*25.4</f>
        <v>556.25999999999988</v>
      </c>
      <c r="R207" s="32">
        <f>S207/N207</f>
        <v>1.9858156028368796</v>
      </c>
      <c r="S207" s="38">
        <f>2.8*25.4</f>
        <v>71.11999999999999</v>
      </c>
      <c r="T207" s="32">
        <f>U207/N207</f>
        <v>2.4822695035460995</v>
      </c>
      <c r="U207" s="39">
        <f>3.5*25.4</f>
        <v>88.899999999999991</v>
      </c>
      <c r="V207" s="32">
        <f>W207/N207</f>
        <v>4.2801418439716299</v>
      </c>
      <c r="W207" s="7">
        <f>(Q207-X207*N207-2*S207)/(X207-1)</f>
        <v>153.28899999999993</v>
      </c>
      <c r="X207" s="38">
        <v>3</v>
      </c>
      <c r="Y207" s="7">
        <f>AN207</f>
        <v>0</v>
      </c>
      <c r="Z207" s="32">
        <f>AA207/N207</f>
        <v>14.18439716312057</v>
      </c>
      <c r="AA207" s="4">
        <f>20*25.4</f>
        <v>508</v>
      </c>
      <c r="AB207" s="7">
        <f>MIN(S207/N207+0.5, W207/2/N207+0.5)</f>
        <v>2.4858156028368796</v>
      </c>
      <c r="AC207" s="7">
        <f>S207/N207+0.5</f>
        <v>2.4858156028368796</v>
      </c>
      <c r="AD207" s="38">
        <v>5.5</v>
      </c>
      <c r="AE207" s="4">
        <f>AD207</f>
        <v>5.5</v>
      </c>
      <c r="AF207" s="4">
        <f>AE207+1</f>
        <v>6.5</v>
      </c>
      <c r="AG207" s="7">
        <f>N207*AF207^0.5</f>
        <v>91.308142429905971</v>
      </c>
      <c r="AJ207" s="38">
        <f>AK207/0.145</f>
        <v>482.06896551724145</v>
      </c>
      <c r="AK207" s="4">
        <v>69.900000000000006</v>
      </c>
      <c r="AL207" s="4">
        <f>CY207</f>
        <v>1.1973043210093592</v>
      </c>
      <c r="AM207" s="38">
        <v>0</v>
      </c>
      <c r="AN207" s="38">
        <v>0</v>
      </c>
      <c r="AO207" s="39">
        <f>L207</f>
        <v>429.76800000000003</v>
      </c>
      <c r="AP207" s="39"/>
      <c r="AQ207" s="39"/>
      <c r="AR207" s="7"/>
      <c r="AS207" s="4">
        <f>K207</f>
        <v>429.76800000000003</v>
      </c>
      <c r="AT207" s="4">
        <f>IF(K207*3&gt;W207+N207, Q207, (S207+N207/2)*2+1.5*K207*(2*X207-2))*(3*K207)/(9*K207^2)</f>
        <v>0.43144208037825049</v>
      </c>
      <c r="AU207" s="4">
        <f>MIN(10*M207^0.5*K207^1.5,100*3.9*M207^0.5*K207^(5/3))/(PI()/4*N207^2)/X207</f>
        <v>246.2864810022304</v>
      </c>
      <c r="AV207" s="4">
        <f>MIN(0.7+0.3*(MIN(S207,AA207)+0.5*N207)/1.5/K207,1)</f>
        <v>0.7414302600472813</v>
      </c>
      <c r="AW207" s="4">
        <v>1.25</v>
      </c>
      <c r="AX207" s="4">
        <f>AX206</f>
        <v>1</v>
      </c>
      <c r="AY207" s="38">
        <f>AT207*AV207*AW207*AX207*AU207</f>
        <v>98.478946696659136</v>
      </c>
      <c r="AZ207" s="38">
        <f>AY207</f>
        <v>98.478946696659136</v>
      </c>
      <c r="BA207" s="38">
        <f>IF(M207&lt;50, 0.3*M207^(2/3), 2.12*LN(1+0.1*(M207+8)))</f>
        <v>4.6054834550100843</v>
      </c>
      <c r="BB207" s="38">
        <f>AX207* (M207^0.5/AS207^0.5)/(PI()/4*N207^2)/X207/0.72 *(0.7+(MIN(S207,AA207)+0.5*N207)/5/K207) *(3*Q207*K207)</f>
        <v>98.478946696659207</v>
      </c>
      <c r="BC207" s="38">
        <f>AY207/BB207</f>
        <v>0.99999999999999933</v>
      </c>
      <c r="BD207" s="38">
        <f>BH207/BB207</f>
        <v>8.2632209495015072</v>
      </c>
      <c r="BE207" s="4">
        <f>IF(BD207&lt;1,1,0)</f>
        <v>0</v>
      </c>
      <c r="BF207" s="4">
        <f>L207/N207*M207^0.5/0.19</f>
        <v>527.63536936692662</v>
      </c>
      <c r="BG207" s="4">
        <f>MIN(0.6+0.4*(AC207/AB207),2)</f>
        <v>1</v>
      </c>
      <c r="BH207" s="38">
        <f>2*M207*AB207*AD207^0.5*BG207*0.7/0.7</f>
        <v>813.75329542867667</v>
      </c>
      <c r="BI207" s="4">
        <f>MAX(1-0.7*AE207/5,0.3)</f>
        <v>0.3</v>
      </c>
      <c r="BJ207" s="4">
        <f>BI207*J207*L207/(J207*N207/2.75/M207^0.5)</f>
        <v>82.706844148265759</v>
      </c>
      <c r="BK207" s="4">
        <f>BH207+BJ207</f>
        <v>896.46013957694242</v>
      </c>
      <c r="BM207" s="4">
        <f>MIN(1.5, 0.75+0.25*MIN(3,MAX(1,S207/N207))+0.4*MIN(1,(40*2*PI()*AM207^2/4/AO207/X207)/N207))</f>
        <v>1.2464539007092199</v>
      </c>
      <c r="BN207" s="4">
        <f>(3*P207+30)*BM207*M207^0.5</f>
        <v>687.26845669303566</v>
      </c>
      <c r="BP207" s="4">
        <f>3.4/PI()^0.5*M207*AB207*AE207^0.5*BG207</f>
        <v>780.48892585948306</v>
      </c>
      <c r="BQ207" s="4">
        <f>8/3*AH207*AI207^2/(AG207-N207-22)/N207*(AG207^2-N207^2)/(AG207^2-(N207+22)^2)</f>
        <v>0</v>
      </c>
      <c r="BR207" s="4">
        <f>BQ207/BP207</f>
        <v>0</v>
      </c>
      <c r="BZ207" s="4">
        <f>IF(W207=0,S207,MIN(W207/2,S207))</f>
        <v>71.11999999999999</v>
      </c>
      <c r="CD207" s="9"/>
      <c r="CF207" s="9"/>
      <c r="CG207" s="9"/>
      <c r="CH207" s="9">
        <f>IF(W207=0,MIN(S207,U207),MIN(W207/2,S207,U207))</f>
        <v>71.11999999999999</v>
      </c>
      <c r="CI207" s="9">
        <f>MAX(W207/2,S207)</f>
        <v>76.644499999999965</v>
      </c>
      <c r="CJ207" s="9">
        <f>(CH207/N207)^0.5*(CI207/CH207)^0.15</f>
        <v>1.4250918174124854</v>
      </c>
      <c r="CK207" s="70">
        <f>IF(AO207&gt;1,20,0)</f>
        <v>20</v>
      </c>
      <c r="CL207" s="9">
        <f>MIN(PI()*AM207^2/4*AN207*2/X207/N207/MAX(0.01,AO207),0.05)</f>
        <v>0</v>
      </c>
      <c r="CM207" s="9">
        <f>MAX(0,CK207*(CL207-0.5/50))</f>
        <v>0</v>
      </c>
      <c r="CN207" s="9">
        <f>MIN(1,(25/N207)^0.3)</f>
        <v>0.89777220146327208</v>
      </c>
      <c r="CO207" s="9">
        <f>IF(J207&gt;=800,0.68,IF(J207&gt;=700,0.75-(J207-700)*0.07/100,IF(J207&gt;=600,0.85-(J207-600)*0.1/100,IF(J207&gt;=500,1-(J207-500)*0.15/100,1.2-(J207-400)*0.2/100))))</f>
        <v>0.68</v>
      </c>
      <c r="CP207" s="9">
        <f>1.75*CN207*CO207*(M207/25)^0.5</f>
        <v>1.7850458101214393</v>
      </c>
      <c r="CQ207" s="9">
        <f>MIN((CJ207+CM207)*CP207,2.5*CP207,M207^0.5)</f>
        <v>2.5438541777105041</v>
      </c>
      <c r="CR207" s="40">
        <v>1</v>
      </c>
      <c r="CS207" s="9">
        <f>4*CQ207*P207+60*CQ207</f>
        <v>274.73625119273447</v>
      </c>
      <c r="CU207" s="4">
        <f>AJ207/BF207</f>
        <v>0.91364035374588859</v>
      </c>
      <c r="CV207" s="4">
        <f>AJ207/BK207</f>
        <v>0.53774723965388971</v>
      </c>
      <c r="CW207" s="4">
        <f>AJ207/BN207</f>
        <v>0.70142745650926142</v>
      </c>
      <c r="CX207" s="4">
        <f>AJ207/CS207</f>
        <v>1.7546609281607246</v>
      </c>
      <c r="CY207" s="4">
        <f>AJ207/DZ207</f>
        <v>1.1973043210093592</v>
      </c>
      <c r="CZ207" s="4">
        <f>AJ207/EL207</f>
        <v>0.85080970194489203</v>
      </c>
      <c r="DA207" s="4">
        <f>AJ207/GI207</f>
        <v>1.0526254652208762</v>
      </c>
      <c r="DB207" s="4">
        <f>AN207</f>
        <v>0</v>
      </c>
      <c r="DC207" s="4">
        <f>CU207</f>
        <v>0.91364035374588859</v>
      </c>
      <c r="DD207" s="4">
        <f>CV207</f>
        <v>0.53774723965388971</v>
      </c>
      <c r="DE207" s="4">
        <f>CX207</f>
        <v>1.7546609281607246</v>
      </c>
      <c r="DF207" s="4">
        <f>DA207</f>
        <v>1.0526254652208762</v>
      </c>
      <c r="DG207" s="4">
        <f>CY207</f>
        <v>1.1973043210093592</v>
      </c>
      <c r="DH207" s="4">
        <f>CZ207</f>
        <v>0.85080970194489203</v>
      </c>
      <c r="DQ207" s="4">
        <f>L207</f>
        <v>429.76800000000003</v>
      </c>
      <c r="DT207" s="4">
        <f>K207/4/(1-0.3*(M207/30)^0.5)/200000/N207</f>
        <v>2.7653839435452814E-5</v>
      </c>
      <c r="DU207" s="4">
        <f>EP207</f>
        <v>8.9580354742076711</v>
      </c>
      <c r="DV207" s="4">
        <f>EC207*AG207/257/M207/AD207</f>
        <v>9.1147461815988345E-2</v>
      </c>
      <c r="DW207" s="4">
        <f>DU207*DV207^0.4</f>
        <v>3.4364545919901768</v>
      </c>
      <c r="DX207" s="4">
        <f>MIN(DU207, DU207/1.4*(1-DV207^1.4)/(1-DV207))</f>
        <v>6.7941332593287367</v>
      </c>
      <c r="DY207" s="4">
        <f>MAX(DU207/2, (4-DT207*(8*AG207*(DW207-DX207)+6*K207*DX207))/(4+DT207*K207*DU207)*DU207)</f>
        <v>7.8168830452305089</v>
      </c>
      <c r="DZ207" s="38">
        <f>MIN(1/N207*(4*AG207*(DW207-DX207)+(3*DX207+DY207)*K207)+EC207 -FJ207,MAX(J207,AJ207))</f>
        <v>402.62860248499277</v>
      </c>
      <c r="EA207" s="4">
        <f>DZ207/FF207</f>
        <v>1.0000892753840542</v>
      </c>
      <c r="EB207" s="4">
        <f>AG207/N207</f>
        <v>2.5495097567963922</v>
      </c>
      <c r="EC207" s="4">
        <f>MIN(EB$10*BB207)</f>
        <v>98.478946696659207</v>
      </c>
      <c r="EG207" s="4">
        <f>IF(U207&gt;1*N207,0.85,1)</f>
        <v>0.85</v>
      </c>
      <c r="EH207" s="4">
        <f>MIN(1,MAX(0.7,(1-0.1*(BZ207-1*N207)/N207)))</f>
        <v>0.90141843971631208</v>
      </c>
      <c r="EI207" s="4">
        <f>MIN(1,MAX(0.7,1-0.3*(PI()*AM207^2/4*AQ207*2-0.25*PI()/4*N207^2)/(PI()/4*N207^2)))</f>
        <v>1</v>
      </c>
      <c r="EJ207" s="4">
        <f>IF(EH207*EI207&lt;0.7,0.7,EH207*EI207)</f>
        <v>0.90141843971631208</v>
      </c>
      <c r="EL207" s="4">
        <f>MIN(DU207/N207*3*K207+EM207-FJ207,MAX(J207,AJ207))</f>
        <v>566.6002214305563</v>
      </c>
      <c r="EM207" s="25">
        <f>13.3*Q207*K207^0.5*M207^0.5/X207/N207^2*(0.7+S207/5/K207)</f>
        <v>244.11094435908009</v>
      </c>
      <c r="EO207" s="4">
        <f>EG207*EJ207</f>
        <v>0.76620567375886528</v>
      </c>
      <c r="EP207" s="4">
        <f>IF(N207&lt;22.2,1.1*5*(M207/30)^0.5,IF(N207&gt;=31.8,0.9*5*(M207/30)^0.5,1*5*(M207/30)^0.5))/EG207/EJ207</f>
        <v>8.9580354742076711</v>
      </c>
      <c r="ES207" s="4">
        <f>ET207*N207</f>
        <v>91.308142429905971</v>
      </c>
      <c r="ET207" s="4">
        <f>AF207^0.5</f>
        <v>2.5495097567963922</v>
      </c>
      <c r="EU207" s="4">
        <f>MIN(EC207)/(4700*M207^0.5)/AE207*ES207</f>
        <v>4.1637639418949331E-2</v>
      </c>
      <c r="EX207" s="4">
        <f>EU207</f>
        <v>4.1637639418949331E-2</v>
      </c>
      <c r="EY207" s="4">
        <f>MIN(0.999, EX207/(0.3*(M207/30)^0.5))</f>
        <v>9.0995353689795097E-2</v>
      </c>
      <c r="EZ207" s="4">
        <f>EP207/1*EY207^0.4</f>
        <v>3.4341595216305989</v>
      </c>
      <c r="FA207" s="4">
        <f>EP207/1.4*(1-EY207^1.4)/(1-EY207)</f>
        <v>6.7935712107926873</v>
      </c>
      <c r="FB207" s="4">
        <f>MAX(0,DQ207*FB$9-ES207)</f>
        <v>231.01785757009407</v>
      </c>
      <c r="FC207" s="4">
        <f>MAX(0,DQ207-ES207-FB207)</f>
        <v>107.44200000000001</v>
      </c>
      <c r="FD207" s="4">
        <f>FC207/(1-0.3*(M207/30)^0.5)/200000/N207</f>
        <v>2.7653839435452814E-5</v>
      </c>
      <c r="FE207" s="4">
        <f>MAX(0.5*EP207, (1-2*FD207*(ES207*EZ207+FB207*FA207))/(1/EP207+FD207*FC207))</f>
        <v>7.8170468416532071</v>
      </c>
      <c r="FF207" s="4">
        <f>MIN(4/N207*(1*EZ207*ES207+FA207*FB207+FC207*FE207)+EC207,MAX(J207,AJ207))</f>
        <v>402.59266087057614</v>
      </c>
      <c r="FO207" s="23">
        <f>IF(CU207&lt;0.6,0.6,IF(CU207&lt;0.8,0.8,IF(CU207&lt;1,1,IF(CU207&lt;1.2,1.2,IF(CU207&lt;1.4,1.4,IF(CU207&lt;1.6,1.6,IF(CU207&lt;1.8,1.8,IF(CU207&lt;2,2,2.2))))))))</f>
        <v>1</v>
      </c>
      <c r="FP207" s="23">
        <f>IF(CV207&lt;0.6,0.6,IF(CV207&lt;0.8,0.8,IF(CV207&lt;1,1,IF(CV207&lt;1.2,1.2,IF(CV207&lt;1.4,1.4,IF(CV207&lt;1.6,1.6,IF(CV207&lt;1.8,1.8,IF(CV207&lt;2,2,2.2))))))))</f>
        <v>0.6</v>
      </c>
      <c r="FQ207" s="23">
        <f>IF(DA207&lt;0.6,0.6,IF(DA207&lt;0.8,0.8,IF(DA207&lt;1,1,IF(DA207&lt;1.2,1.2,IF(DA207&lt;1.4,1.4,IF(DA207&lt;1.6,1.6,IF(DA207&lt;1.8,1.8,IF(DA207&lt;2,2,2.2))))))))</f>
        <v>1.2</v>
      </c>
      <c r="FR207" s="23">
        <f>IF(CX207&lt;0.6,0.6,IF(CX207&lt;0.8,0.8,IF(CX207&lt;1,1,IF(CX207&lt;1.2,1.2,IF(CX207&lt;1.4,1.4,IF(CX207&lt;1.6,1.6,IF(CX207&lt;1.8,1.8,IF(CX207&lt;2,2,2.2))))))))</f>
        <v>1.8</v>
      </c>
      <c r="FS207" s="23">
        <f>IF(CY207&lt;0.6,0.6,IF(CY207&lt;0.8,0.8,IF(CY207&lt;1,1,IF(CY207&lt;1.2,1.2,IF(CY207&lt;1.4,1.4,IF(CY207&lt;1.6,1.6,IF(CY207&lt;1.8,1.8,IF(CY207&lt;2,2,2.2))))))))</f>
        <v>1.2</v>
      </c>
      <c r="FT207" s="23">
        <f>IF(CZ207&lt;0.6,0.6,IF(CZ207&lt;0.8,0.8,IF(CZ207&lt;1,1,IF(CZ207&lt;1.2,1.2,IF(CZ207&lt;1.4,1.4,IF(CZ207&lt;1.6,1.6,IF(CZ207&lt;1.8,1.8,IF(CZ207&lt;2,2,2.2))))))))</f>
        <v>1</v>
      </c>
      <c r="FU207" s="23">
        <f>IF(FS207&lt;1,1,0)</f>
        <v>0</v>
      </c>
      <c r="FV207" s="23"/>
      <c r="GF207" s="4">
        <f>IF(S207&gt;=2.5*25.4,1,1.25)</f>
        <v>1</v>
      </c>
      <c r="GG207" s="4">
        <f>IF(AO207&gt;1, 0.05*(18-MIN(8,(W207+N207)/N207))*(1-48000/MAX(60000,(J207*145))*(N207/25.4)^0.75*GH207), 1/12*(14-MIN(8,(W207+N207)/N207)))</f>
        <v>0.63599290780141848</v>
      </c>
      <c r="GH207" s="4">
        <f>MIN(0.3, AM207^2*PI()/4*2*AP207/(N207^2*PI()/4*X207))</f>
        <v>0</v>
      </c>
      <c r="GI207" s="4">
        <f>(K207/25.4)/(N207/25.4)^1.5/0.0024*(M207*145)^0.25/GF207/GG207/145</f>
        <v>457.96817713894768</v>
      </c>
    </row>
    <row r="208" spans="1:196" ht="12" customHeight="1" x14ac:dyDescent="0.3">
      <c r="A208" s="25">
        <v>420</v>
      </c>
      <c r="B208" s="4" t="s">
        <v>605</v>
      </c>
      <c r="C208" s="4">
        <v>2016</v>
      </c>
      <c r="D208" s="4" t="s">
        <v>309</v>
      </c>
      <c r="E208" s="14" t="s">
        <v>679</v>
      </c>
      <c r="F208" s="14"/>
      <c r="G208" s="14"/>
      <c r="H208" s="48" t="s">
        <v>591</v>
      </c>
      <c r="I208" s="5">
        <f>K208/N208</f>
        <v>12.000000000000004</v>
      </c>
      <c r="J208" s="78">
        <f>115.9/0.145</f>
        <v>799.31034482758628</v>
      </c>
      <c r="K208" s="38">
        <f>16.92*25.4</f>
        <v>429.76800000000003</v>
      </c>
      <c r="L208" s="4">
        <f>K208</f>
        <v>429.76800000000003</v>
      </c>
      <c r="M208" s="38">
        <f>10860/145</f>
        <v>74.896551724137936</v>
      </c>
      <c r="N208" s="38">
        <f>1.41*25.4</f>
        <v>35.813999999999993</v>
      </c>
      <c r="O208" s="7">
        <f>K208/N208</f>
        <v>12.000000000000004</v>
      </c>
      <c r="P208" s="7">
        <f>L208/N208</f>
        <v>12.000000000000004</v>
      </c>
      <c r="Q208" s="38">
        <f>21.8*25.4</f>
        <v>553.72</v>
      </c>
      <c r="R208" s="32">
        <f>S208/N208</f>
        <v>1.9503546099290783</v>
      </c>
      <c r="S208" s="38">
        <f>2.75*25.4</f>
        <v>69.849999999999994</v>
      </c>
      <c r="T208" s="32">
        <f>U208/N208</f>
        <v>2.7659574468085109</v>
      </c>
      <c r="U208" s="39">
        <f>3.9*25.4</f>
        <v>99.059999999999988</v>
      </c>
      <c r="V208" s="32">
        <f>W208/N208</f>
        <v>4.2801418439716326</v>
      </c>
      <c r="W208" s="7">
        <f>(Q208-X208*N208-2*S208)/(X208-1)</f>
        <v>153.28900000000002</v>
      </c>
      <c r="X208" s="38">
        <v>3</v>
      </c>
      <c r="Y208" s="7">
        <f>AN208</f>
        <v>0</v>
      </c>
      <c r="Z208" s="32">
        <f>AA208/N208</f>
        <v>14.18439716312057</v>
      </c>
      <c r="AA208" s="4">
        <f>20*25.4</f>
        <v>508</v>
      </c>
      <c r="AB208" s="7">
        <f>MIN(S208/N208+0.5, W208/2/N208+0.5)</f>
        <v>2.4503546099290783</v>
      </c>
      <c r="AC208" s="7">
        <f>S208/N208+0.5</f>
        <v>2.4503546099290783</v>
      </c>
      <c r="AD208" s="38">
        <v>4.5</v>
      </c>
      <c r="AE208" s="4">
        <f>AD208</f>
        <v>4.5</v>
      </c>
      <c r="AF208" s="4">
        <f>AE208+1</f>
        <v>5.5</v>
      </c>
      <c r="AG208" s="7">
        <f>N208*AF208^0.5</f>
        <v>83.991275011158137</v>
      </c>
      <c r="AJ208" s="38">
        <f>AK208/0.145</f>
        <v>472.41379310344831</v>
      </c>
      <c r="AK208" s="4">
        <v>68.5</v>
      </c>
      <c r="AL208" s="4">
        <f>CY208</f>
        <v>1.1281032287987234</v>
      </c>
      <c r="AM208" s="38">
        <v>0</v>
      </c>
      <c r="AN208" s="38">
        <v>0</v>
      </c>
      <c r="AO208" s="39">
        <f>L208</f>
        <v>429.76800000000003</v>
      </c>
      <c r="AP208" s="39"/>
      <c r="AQ208" s="39"/>
      <c r="AR208" s="7"/>
      <c r="AS208" s="4">
        <f>K208</f>
        <v>429.76800000000003</v>
      </c>
      <c r="AT208" s="4">
        <f>IF(K208*3&gt;W208+N208, Q208, (S208+N208/2)*2+1.5*K208*(2*X208-2))*(3*K208)/(9*K208^2)</f>
        <v>0.42947202521670608</v>
      </c>
      <c r="AU208" s="4">
        <f>MIN(10*M208^0.5*K208^1.5,100*3.9*M208^0.5*K208^(5/3))/(PI()/4*N208^2)/X208</f>
        <v>255.13217408187629</v>
      </c>
      <c r="AV208" s="4">
        <f>MIN(0.7+0.3*(MIN(S208,AA208)+0.5*N208)/1.5/K208,1)</f>
        <v>0.74083924349881791</v>
      </c>
      <c r="AW208" s="4">
        <v>1.25</v>
      </c>
      <c r="AX208" s="4">
        <f>AX207</f>
        <v>1</v>
      </c>
      <c r="AY208" s="38">
        <f>AT208*AV208*AW208*AX208*AU208</f>
        <v>101.46916876208545</v>
      </c>
      <c r="AZ208" s="38">
        <f>AY208</f>
        <v>101.46916876208545</v>
      </c>
      <c r="BA208" s="38">
        <f>IF(M208&lt;50, 0.3*M208^(2/3), 2.12*LN(1+0.1*(M208+8)))</f>
        <v>4.7252710400583542</v>
      </c>
      <c r="BB208" s="38">
        <f>AX208* (M208^0.5/AS208^0.5)/(PI()/4*N208^2)/X208/0.72 *(0.7+(MIN(S208,AA208)+0.5*N208)/5/K208) *(3*Q208*K208)</f>
        <v>101.46916876208547</v>
      </c>
      <c r="BC208" s="38">
        <f>AY208/BB208</f>
        <v>0.99999999999999967</v>
      </c>
      <c r="BD208" s="38">
        <f>BH208/BB208</f>
        <v>7.6734896554530359</v>
      </c>
      <c r="BE208" s="4">
        <f>IF(BD208&lt;1,1,0)</f>
        <v>0</v>
      </c>
      <c r="BF208" s="4">
        <f>L208/N208*M208^0.5/0.19</f>
        <v>546.58606660533144</v>
      </c>
      <c r="BG208" s="4">
        <f>MIN(0.6+0.4*(AC208/AB208),2)</f>
        <v>1</v>
      </c>
      <c r="BH208" s="38">
        <f>2*M208*AB208*AD208^0.5*BG208*0.7/0.7</f>
        <v>778.62261684328121</v>
      </c>
      <c r="BI208" s="4">
        <f>MAX(1-0.7*AE208/5,0.3)</f>
        <v>0.37</v>
      </c>
      <c r="BJ208" s="4">
        <f>BI208*J208*L208/(J208*N208/2.75/M208^0.5)</f>
        <v>105.66875132647569</v>
      </c>
      <c r="BK208" s="4">
        <f>BH208+BJ208</f>
        <v>884.29136816975688</v>
      </c>
      <c r="BM208" s="4">
        <f>MIN(1.5, 0.75+0.25*MIN(3,MAX(1,S208/N208))+0.4*MIN(1,(40*2*PI()*AM208^2/4/AO208/X208)/N208))</f>
        <v>1.2375886524822697</v>
      </c>
      <c r="BN208" s="4">
        <f>(3*P208+30)*BM208*M208^0.5</f>
        <v>706.88890574928166</v>
      </c>
      <c r="BP208" s="4">
        <f>3.4/PI()^0.5*M208*AB208*AE208^0.5*BG208</f>
        <v>746.79430889404762</v>
      </c>
      <c r="BQ208" s="4">
        <f>8/3*AH208*AI208^2/(AG208-N208-22)/N208*(AG208^2-N208^2)/(AG208^2-(N208+22)^2)</f>
        <v>0</v>
      </c>
      <c r="BR208" s="4">
        <f>BQ208/BP208</f>
        <v>0</v>
      </c>
      <c r="BZ208" s="4">
        <f>IF(W208=0,S208,MIN(W208/2,S208))</f>
        <v>69.849999999999994</v>
      </c>
      <c r="CD208" s="9"/>
      <c r="CF208" s="9"/>
      <c r="CG208" s="9"/>
      <c r="CH208" s="9">
        <f>IF(W208=0,MIN(S208,U208),MIN(W208/2,S208,U208))</f>
        <v>69.849999999999994</v>
      </c>
      <c r="CI208" s="9">
        <f>MAX(W208/2,S208)</f>
        <v>76.644500000000008</v>
      </c>
      <c r="CJ208" s="9">
        <f>(CH208/N208)^0.5*(CI208/CH208)^0.15</f>
        <v>1.4161327883964441</v>
      </c>
      <c r="CK208" s="70">
        <f>IF(AO208&gt;1,20,0)</f>
        <v>20</v>
      </c>
      <c r="CL208" s="9">
        <f>MIN(PI()*AM208^2/4*AN208*2/X208/N208/MAX(0.01,AO208),0.05)</f>
        <v>0</v>
      </c>
      <c r="CM208" s="9">
        <f>MAX(0,CK208*(CL208-0.5/50))</f>
        <v>0</v>
      </c>
      <c r="CN208" s="9">
        <f>MIN(1,(25/N208)^0.3)</f>
        <v>0.89777220146327208</v>
      </c>
      <c r="CO208" s="9">
        <f>IF(J208&gt;=800,0.68,IF(J208&gt;=700,0.75-(J208-700)*0.07/100,IF(J208&gt;=600,0.85-(J208-600)*0.1/100,IF(J208&gt;=500,1-(J208-500)*0.15/100,1.2-(J208-400)*0.2/100))))</f>
        <v>0.68048275862068963</v>
      </c>
      <c r="CP208" s="9">
        <f>1.75*CN208*CO208*(M208/25)^0.5</f>
        <v>1.8504707967044269</v>
      </c>
      <c r="CQ208" s="9">
        <f>MIN((CJ208+CM208)*CP208,2.5*CP208,M208^0.5)</f>
        <v>2.6205123691832295</v>
      </c>
      <c r="CR208" s="40">
        <v>1</v>
      </c>
      <c r="CS208" s="9">
        <f>4*CQ208*P208+60*CQ208</f>
        <v>283.01533587178881</v>
      </c>
      <c r="CU208" s="4">
        <f>AJ208/BF208</f>
        <v>0.8642990042491514</v>
      </c>
      <c r="CV208" s="4">
        <f>AJ208/BK208</f>
        <v>0.5342286604936749</v>
      </c>
      <c r="CW208" s="4">
        <f>AJ208/BN208</f>
        <v>0.66829991143050049</v>
      </c>
      <c r="CX208" s="4">
        <f>AJ208/CS208</f>
        <v>1.6692162339833787</v>
      </c>
      <c r="CY208" s="4">
        <f>AJ208/DZ208</f>
        <v>1.1281032287987234</v>
      </c>
      <c r="CZ208" s="4">
        <f>AJ208/EL208</f>
        <v>0.8085349544542425</v>
      </c>
      <c r="DA208" s="4">
        <f>AJ208/GI208</f>
        <v>1.0135027696838101</v>
      </c>
      <c r="DB208" s="4">
        <f>AN208</f>
        <v>0</v>
      </c>
      <c r="DC208" s="4">
        <f>CU208</f>
        <v>0.8642990042491514</v>
      </c>
      <c r="DD208" s="4">
        <f>CV208</f>
        <v>0.5342286604936749</v>
      </c>
      <c r="DE208" s="4">
        <f>CX208</f>
        <v>1.6692162339833787</v>
      </c>
      <c r="DF208" s="4">
        <f>DA208</f>
        <v>1.0135027696838101</v>
      </c>
      <c r="DG208" s="4">
        <f>CY208</f>
        <v>1.1281032287987234</v>
      </c>
      <c r="DH208" s="4">
        <f>CZ208</f>
        <v>0.8085349544542425</v>
      </c>
      <c r="DQ208" s="4">
        <f>L208</f>
        <v>429.76800000000003</v>
      </c>
      <c r="DT208" s="4">
        <f>K208/4/(1-0.3*(M208/30)^0.5)/200000/N208</f>
        <v>2.8517891199412165E-5</v>
      </c>
      <c r="DU208" s="4">
        <f>EP208</f>
        <v>9.2434119896701787</v>
      </c>
      <c r="DV208" s="4">
        <f>EC208*AG208/257/M208/AD208</f>
        <v>9.8392232907622057E-2</v>
      </c>
      <c r="DW208" s="4">
        <f>DU208*DV208^0.4</f>
        <v>3.6560879720602451</v>
      </c>
      <c r="DX208" s="4">
        <f>MIN(DU208, DU208/1.4*(1-DV208^1.4)/(1-DV208))</f>
        <v>7.0379680568078991</v>
      </c>
      <c r="DY208" s="4">
        <f>MAX(DU208/2, (4-DT208*(8*AG208*(DW208-DX208)+6*K208*DX208))/(4+DT208*K208*DU208)*DU208)</f>
        <v>7.9714215939681026</v>
      </c>
      <c r="DZ208" s="38">
        <f>MIN(1/N208*(4*AG208*(DW208-DX208)+(3*DX208+DY208)*K208)+EC208 -FJ208,MAX(J208,AJ208))</f>
        <v>418.76823064012041</v>
      </c>
      <c r="EA208" s="4">
        <f>DZ208/FF208</f>
        <v>1.0000886925982944</v>
      </c>
      <c r="EB208" s="4">
        <f>AG208/N208</f>
        <v>2.3452078799117149</v>
      </c>
      <c r="EC208" s="4">
        <f>MIN(EB$10*BB208)</f>
        <v>101.46916876208547</v>
      </c>
      <c r="EG208" s="4">
        <f>IF(U208&gt;1*N208,0.85,1)</f>
        <v>0.85</v>
      </c>
      <c r="EH208" s="4">
        <f>MIN(1,MAX(0.7,(1-0.1*(BZ208-1*N208)/N208)))</f>
        <v>0.90496453900709217</v>
      </c>
      <c r="EI208" s="4">
        <f>MIN(1,MAX(0.7,1-0.3*(PI()*AM208^2/4*AQ208*2-0.25*PI()/4*N208^2)/(PI()/4*N208^2)))</f>
        <v>1</v>
      </c>
      <c r="EJ208" s="4">
        <f>IF(EH208*EI208&lt;0.7,0.7,EH208*EI208)</f>
        <v>0.90496453900709217</v>
      </c>
      <c r="EL208" s="4">
        <f>MIN(DU208/N208*3*K208+EM208-FJ208,MAX(J208,AJ208))</f>
        <v>584.28369794145203</v>
      </c>
      <c r="EM208" s="25">
        <f>13.3*Q208*K208^0.5*M208^0.5/X208/N208^2*(0.7+S208/5/K208)</f>
        <v>251.52086631332557</v>
      </c>
      <c r="EO208" s="4">
        <f>EG208*EJ208</f>
        <v>0.76921985815602834</v>
      </c>
      <c r="EP208" s="4">
        <f>IF(N208&lt;22.2,1.1*5*(M208/30)^0.5,IF(N208&gt;=31.8,0.9*5*(M208/30)^0.5,1*5*(M208/30)^0.5))/EG208/EJ208</f>
        <v>9.2434119896701787</v>
      </c>
      <c r="ES208" s="4">
        <f>ET208*N208</f>
        <v>83.991275011158137</v>
      </c>
      <c r="ET208" s="4">
        <f>AF208^0.5</f>
        <v>2.3452078799117149</v>
      </c>
      <c r="EU208" s="4">
        <f>MIN(EC208)/(4700*M208^0.5)/AE208*ES208</f>
        <v>4.6561503278339231E-2</v>
      </c>
      <c r="EX208" s="4">
        <f>EU208</f>
        <v>4.6561503278339231E-2</v>
      </c>
      <c r="EY208" s="4">
        <f>MIN(0.999, EX208/(0.3*(M208/30)^0.5))</f>
        <v>9.8228034608718651E-2</v>
      </c>
      <c r="EZ208" s="4">
        <f>EP208/1*EY208^0.4</f>
        <v>3.653646217364507</v>
      </c>
      <c r="FA208" s="4">
        <f>EP208/1.4*(1-EY208^1.4)/(1-EY208)</f>
        <v>7.0373520480930214</v>
      </c>
      <c r="FB208" s="4">
        <f>MAX(0,DQ208*FB$9-ES208)</f>
        <v>238.33472498884188</v>
      </c>
      <c r="FC208" s="4">
        <f>MAX(0,DQ208-ES208-FB208)</f>
        <v>107.44200000000004</v>
      </c>
      <c r="FD208" s="4">
        <f>FC208/(1-0.3*(M208/30)^0.5)/200000/N208</f>
        <v>2.8517891199412171E-5</v>
      </c>
      <c r="FE208" s="4">
        <f>MAX(0.5*EP208, (1-2*FD208*(ES208*EZ208+FB208*FA208))/(1/EP208+FD208*FC208))</f>
        <v>7.9716020090195805</v>
      </c>
      <c r="FF208" s="4">
        <f>MIN(4/N208*(1*EZ208*ES208+FA208*FB208+FC208*FE208)+EC208,MAX(J208,AJ208))</f>
        <v>418.73109229155847</v>
      </c>
      <c r="FI208" s="4">
        <f>6.75*25.4</f>
        <v>171.45</v>
      </c>
      <c r="FO208" s="23">
        <f>IF(CU208&lt;0.6,0.6,IF(CU208&lt;0.8,0.8,IF(CU208&lt;1,1,IF(CU208&lt;1.2,1.2,IF(CU208&lt;1.4,1.4,IF(CU208&lt;1.6,1.6,IF(CU208&lt;1.8,1.8,IF(CU208&lt;2,2,2.2))))))))</f>
        <v>1</v>
      </c>
      <c r="FP208" s="23">
        <f>IF(CV208&lt;0.6,0.6,IF(CV208&lt;0.8,0.8,IF(CV208&lt;1,1,IF(CV208&lt;1.2,1.2,IF(CV208&lt;1.4,1.4,IF(CV208&lt;1.6,1.6,IF(CV208&lt;1.8,1.8,IF(CV208&lt;2,2,2.2))))))))</f>
        <v>0.6</v>
      </c>
      <c r="FQ208" s="23">
        <f>IF(DA208&lt;0.6,0.6,IF(DA208&lt;0.8,0.8,IF(DA208&lt;1,1,IF(DA208&lt;1.2,1.2,IF(DA208&lt;1.4,1.4,IF(DA208&lt;1.6,1.6,IF(DA208&lt;1.8,1.8,IF(DA208&lt;2,2,2.2))))))))</f>
        <v>1.2</v>
      </c>
      <c r="FR208" s="23">
        <f>IF(CX208&lt;0.6,0.6,IF(CX208&lt;0.8,0.8,IF(CX208&lt;1,1,IF(CX208&lt;1.2,1.2,IF(CX208&lt;1.4,1.4,IF(CX208&lt;1.6,1.6,IF(CX208&lt;1.8,1.8,IF(CX208&lt;2,2,2.2))))))))</f>
        <v>1.8</v>
      </c>
      <c r="FS208" s="23">
        <f>IF(CY208&lt;0.6,0.6,IF(CY208&lt;0.8,0.8,IF(CY208&lt;1,1,IF(CY208&lt;1.2,1.2,IF(CY208&lt;1.4,1.4,IF(CY208&lt;1.6,1.6,IF(CY208&lt;1.8,1.8,IF(CY208&lt;2,2,2.2))))))))</f>
        <v>1.2</v>
      </c>
      <c r="FT208" s="23">
        <f>IF(CZ208&lt;0.6,0.6,IF(CZ208&lt;0.8,0.8,IF(CZ208&lt;1,1,IF(CZ208&lt;1.2,1.2,IF(CZ208&lt;1.4,1.4,IF(CZ208&lt;1.6,1.6,IF(CZ208&lt;1.8,1.8,IF(CZ208&lt;2,2,2.2))))))))</f>
        <v>1</v>
      </c>
      <c r="FU208" s="23">
        <f>IF(FS208&lt;1,1,0)</f>
        <v>0</v>
      </c>
      <c r="FV208" s="23"/>
      <c r="GF208" s="4">
        <f>IF(S208&gt;=2.5*25.4,1,1.25)</f>
        <v>1</v>
      </c>
      <c r="GG208" s="4">
        <f>IF(AO208&gt;1, 0.05*(18-MIN(8,(W208+N208)/N208))*(1-48000/MAX(60000,(J208*145))*(N208/25.4)^0.75*GH208), 1/12*(14-MIN(8,(W208+N208)/N208)))</f>
        <v>0.63599290780141837</v>
      </c>
      <c r="GH208" s="4">
        <f>MIN(0.3, AM208^2*PI()/4*2*AP208/(N208^2*PI()/4*X208))</f>
        <v>0</v>
      </c>
      <c r="GI208" s="4">
        <f>(K208/25.4)/(N208/25.4)^1.5/0.0024*(M208*145)^0.25/GF208/GG208/145</f>
        <v>466.11988366921844</v>
      </c>
    </row>
    <row r="209" spans="1:196" ht="12" customHeight="1" x14ac:dyDescent="0.3">
      <c r="A209" s="25">
        <v>419</v>
      </c>
      <c r="B209" s="4" t="s">
        <v>605</v>
      </c>
      <c r="C209" s="4">
        <v>2016</v>
      </c>
      <c r="D209" s="4" t="s">
        <v>309</v>
      </c>
      <c r="E209" s="14" t="s">
        <v>679</v>
      </c>
      <c r="F209" s="14"/>
      <c r="G209" s="14">
        <v>9</v>
      </c>
      <c r="H209" s="7" t="s">
        <v>590</v>
      </c>
      <c r="I209" s="5">
        <f>K209/N209</f>
        <v>11.921985815602838</v>
      </c>
      <c r="J209" s="90">
        <f>135/0.145</f>
        <v>931.0344827586207</v>
      </c>
      <c r="K209" s="90">
        <f>16.81*25.4</f>
        <v>426.97399999999993</v>
      </c>
      <c r="L209" s="4">
        <f>K209</f>
        <v>426.97399999999993</v>
      </c>
      <c r="M209" s="90">
        <f>10120/145</f>
        <v>69.793103448275858</v>
      </c>
      <c r="N209" s="38">
        <f>1.41*25.4</f>
        <v>35.813999999999993</v>
      </c>
      <c r="O209" s="7">
        <f>K209/N209</f>
        <v>11.921985815602838</v>
      </c>
      <c r="P209" s="7">
        <f>L209/N209</f>
        <v>11.921985815602838</v>
      </c>
      <c r="Q209" s="38">
        <f>22.4*25.4</f>
        <v>568.95999999999992</v>
      </c>
      <c r="R209" s="32">
        <f>S209/N209</f>
        <v>1.9858156028368796</v>
      </c>
      <c r="S209" s="38">
        <f>2.8*25.4</f>
        <v>71.11999999999999</v>
      </c>
      <c r="T209" s="32">
        <f>U209/N209</f>
        <v>2.1985815602836882</v>
      </c>
      <c r="U209" s="39">
        <f>3.1*25.4</f>
        <v>78.739999999999995</v>
      </c>
      <c r="V209" s="32">
        <f>W209/N209</f>
        <v>9.9148936170212778</v>
      </c>
      <c r="W209" s="7">
        <f>(Q209-X209*N209-2*S209)/(X209-1)</f>
        <v>355.09199999999998</v>
      </c>
      <c r="X209" s="38">
        <v>2</v>
      </c>
      <c r="Y209" s="7">
        <f>AN209</f>
        <v>12</v>
      </c>
      <c r="Z209" s="32">
        <f>AA209/N209</f>
        <v>14.18439716312057</v>
      </c>
      <c r="AA209" s="4">
        <f>20*25.4</f>
        <v>508</v>
      </c>
      <c r="AB209" s="7">
        <f>MIN(S209/N209+0.5, W209/2/N209+0.5)</f>
        <v>2.4858156028368796</v>
      </c>
      <c r="AC209" s="7">
        <f>S209/N209+0.5</f>
        <v>2.4858156028368796</v>
      </c>
      <c r="AD209" s="38">
        <v>5.5</v>
      </c>
      <c r="AE209" s="4">
        <f>AD209</f>
        <v>5.5</v>
      </c>
      <c r="AF209" s="4">
        <f>AE209+1</f>
        <v>6.5</v>
      </c>
      <c r="AG209" s="7">
        <f>N209*AF209^0.5</f>
        <v>91.308142429905971</v>
      </c>
      <c r="AJ209" s="38">
        <f>AK209/0.145</f>
        <v>872.41379310344837</v>
      </c>
      <c r="AK209" s="4">
        <v>126.5</v>
      </c>
      <c r="AL209" s="4">
        <f>CY209</f>
        <v>1.8834336158062253</v>
      </c>
      <c r="AM209" s="38">
        <f>0.5*25.4</f>
        <v>12.7</v>
      </c>
      <c r="AN209" s="38">
        <v>12</v>
      </c>
      <c r="AO209" s="39">
        <f>4*25.4</f>
        <v>101.6</v>
      </c>
      <c r="AP209" s="39">
        <v>2</v>
      </c>
      <c r="AQ209" s="39">
        <f>AP209-1</f>
        <v>1</v>
      </c>
      <c r="AR209" s="7"/>
      <c r="AS209" s="4">
        <f>K209</f>
        <v>426.97399999999993</v>
      </c>
      <c r="AT209" s="4">
        <f>IF(K209*3&gt;W209+N209, Q209, (S209+N209/2)*2+1.5*K209*(2*X209-2))*(3*K209)/(9*K209^2)</f>
        <v>0.44418005155661316</v>
      </c>
      <c r="AU209" s="4">
        <f>MIN(10*M209^0.5*K209^1.5,100*3.9*M209^0.5*K209^(5/3))/(PI()/4*N209^2)/X209</f>
        <v>365.83298834249337</v>
      </c>
      <c r="AV209" s="4">
        <f>MIN(0.7+0.3*(MIN(S209,AA209)+0.5*N209)/1.5/K209,1)</f>
        <v>0.74170136823319444</v>
      </c>
      <c r="AW209" s="4">
        <v>1.25</v>
      </c>
      <c r="AX209" s="4">
        <f>AX208</f>
        <v>1</v>
      </c>
      <c r="AY209" s="38">
        <f>AT209*AV209*AW209*AX209*AU209</f>
        <v>150.6541182620868</v>
      </c>
      <c r="AZ209" s="38">
        <f>AY209</f>
        <v>150.6541182620868</v>
      </c>
      <c r="BA209" s="38">
        <f>IF(M209&lt;50, 0.3*M209^(2/3), 2.12*LN(1+0.1*(M209+8)))</f>
        <v>4.6054834550100843</v>
      </c>
      <c r="BB209" s="38">
        <f>AX209* (M209^0.5/AS209^0.5)/(PI()/4*N209^2)/X209/0.72 *(0.7+(MIN(S209,AA209)+0.5*N209)/5/K209) *(3*Q209*K209)</f>
        <v>150.6541182620868</v>
      </c>
      <c r="BC209" s="38">
        <f>AY209/BB209</f>
        <v>1</v>
      </c>
      <c r="BD209" s="38">
        <f>BH209/BB209</f>
        <v>5.4014673134459121</v>
      </c>
      <c r="BE209" s="4">
        <f>IF(BD209&lt;1,1,0)</f>
        <v>0</v>
      </c>
      <c r="BF209" s="4">
        <f>L209/N209*M209^0.5/0.19</f>
        <v>524.20511578357173</v>
      </c>
      <c r="BG209" s="4">
        <f>MIN(0.6+0.4*(AC209/AB209),2)</f>
        <v>1</v>
      </c>
      <c r="BH209" s="38">
        <f>2*M209*AB209*AD209^0.5*BG209*0.7/0.7</f>
        <v>813.75329542867667</v>
      </c>
      <c r="BI209" s="4">
        <f>MAX(1-0.7*AE209/5,0.3)</f>
        <v>0.3</v>
      </c>
      <c r="BJ209" s="4">
        <f>BI209*J209*L209/(J209*N209/2.75/M209^0.5)</f>
        <v>82.16915189907489</v>
      </c>
      <c r="BK209" s="4">
        <f>BH209+BJ209</f>
        <v>895.92244732775157</v>
      </c>
      <c r="BM209" s="4">
        <f>MIN(1.5, 0.75+0.25*MIN(3,MAX(1,S209/N209))+0.4*MIN(1,(40*2*PI()*AM209^2/4/AO209/X209)/N209))</f>
        <v>1.5</v>
      </c>
      <c r="BN209" s="4">
        <f>(3*P209+30)*BM209*M209^0.5</f>
        <v>824.13557466888903</v>
      </c>
      <c r="BP209" s="4">
        <f>3.4/PI()^0.5*M209*AB209*AE209^0.5*BG209</f>
        <v>780.48892585948306</v>
      </c>
      <c r="BQ209" s="4">
        <f>8/3*AH209*AI209^2/(AG209-N209-22)/N209*(AG209^2-N209^2)/(AG209^2-(N209+22)^2)</f>
        <v>0</v>
      </c>
      <c r="BR209" s="4">
        <f>BQ209/BP209</f>
        <v>0</v>
      </c>
      <c r="BZ209" s="4">
        <f>IF(W209=0,S209,MIN(W209/2,S209))</f>
        <v>71.11999999999999</v>
      </c>
      <c r="CD209" s="9"/>
      <c r="CF209" s="9"/>
      <c r="CG209" s="9"/>
      <c r="CH209" s="9">
        <f>IF(W209=0,MIN(S209,U209),MIN(W209/2,S209,U209))</f>
        <v>71.11999999999999</v>
      </c>
      <c r="CI209" s="9">
        <f>MAX(W209/2,S209)</f>
        <v>177.54599999999999</v>
      </c>
      <c r="CJ209" s="9">
        <f>(CH209/N209)^0.5*(CI209/CH209)^0.15</f>
        <v>1.6164688165154646</v>
      </c>
      <c r="CK209" s="70">
        <f>IF(AO209&gt;1,20,0)</f>
        <v>20</v>
      </c>
      <c r="CL209" s="9">
        <f>MIN(PI()*AM209^2/4*AN209*2/X209/N209/MAX(0.01,AO209),0.05)</f>
        <v>0.05</v>
      </c>
      <c r="CM209" s="9">
        <f>MAX(0,CK209*(CL209-0.5/50))</f>
        <v>0.8</v>
      </c>
      <c r="CN209" s="9">
        <f>MIN(1,(25/N209)^0.3)</f>
        <v>0.89777220146327208</v>
      </c>
      <c r="CO209" s="9">
        <f>IF(J209&gt;=800,0.68,IF(J209&gt;=700,0.75-(J209-700)*0.07/100,IF(J209&gt;=600,0.85-(J209-600)*0.1/100,IF(J209&gt;=500,1-(J209-500)*0.15/100,1.2-(J209-400)*0.2/100))))</f>
        <v>0.68</v>
      </c>
      <c r="CP209" s="9">
        <f>1.75*CN209*CO209*(M209/25)^0.5</f>
        <v>1.7850458101214393</v>
      </c>
      <c r="CQ209" s="9">
        <f>MIN((CJ209+CM209)*CP209,2.5*CP209,M209^0.5)</f>
        <v>4.313507536210043</v>
      </c>
      <c r="CR209" s="40">
        <v>1</v>
      </c>
      <c r="CS209" s="9">
        <f>4*CQ209*P209+60*CQ209</f>
        <v>464.51275482137089</v>
      </c>
      <c r="CU209" s="4">
        <f>AJ209/BF209</f>
        <v>1.6642603569394416</v>
      </c>
      <c r="CV209" s="4">
        <f>AJ209/BK209</f>
        <v>0.9737603915445785</v>
      </c>
      <c r="CW209" s="4">
        <f>AJ209/BN209</f>
        <v>1.0585804325386099</v>
      </c>
      <c r="CX209" s="4">
        <f>AJ209/CS209</f>
        <v>1.8781266693934733</v>
      </c>
      <c r="CY209" s="4">
        <f>AJ209/DZ209</f>
        <v>1.8834336158062253</v>
      </c>
      <c r="CZ209" s="4">
        <f>AJ209/EL209</f>
        <v>1.2571639757274684</v>
      </c>
      <c r="DA209" s="4">
        <f>AJ209/GI209</f>
        <v>1.3330135927123574</v>
      </c>
      <c r="DB209" s="4">
        <f>AN209</f>
        <v>12</v>
      </c>
      <c r="DI209" s="4">
        <f>CU209</f>
        <v>1.6642603569394416</v>
      </c>
      <c r="DJ209" s="4">
        <f>CV209</f>
        <v>0.9737603915445785</v>
      </c>
      <c r="DK209" s="4">
        <f>CX209</f>
        <v>1.8781266693934733</v>
      </c>
      <c r="DL209" s="4">
        <f>DA209</f>
        <v>1.3330135927123574</v>
      </c>
      <c r="DM209" s="4">
        <f>CY209</f>
        <v>1.8834336158062253</v>
      </c>
      <c r="DN209" s="4">
        <f>CZ209</f>
        <v>1.2571639757274684</v>
      </c>
      <c r="DQ209" s="4">
        <f>L209</f>
        <v>426.97399999999993</v>
      </c>
      <c r="DT209" s="4">
        <f>K209/4/(1-0.3*(M209/30)^0.5)/200000/N209</f>
        <v>2.7474056791368898E-5</v>
      </c>
      <c r="DU209" s="4">
        <f>EP209</f>
        <v>8.9620587312961906</v>
      </c>
      <c r="DV209" s="4">
        <f>EC209*AG209/257/M209/AD209</f>
        <v>0.13943833633814429</v>
      </c>
      <c r="DW209" s="4">
        <f>DU209*DV209^0.4</f>
        <v>4.0753101171528821</v>
      </c>
      <c r="DX209" s="4">
        <f>MIN(DU209, DU209/1.4*(1-DV209^1.4)/(1-DV209))</f>
        <v>6.9670480694974506</v>
      </c>
      <c r="DY209" s="4">
        <f>MAX(DU209/2, (4-DT209*(8*AG209*(DW209-DX209)+6*K209*DX209))/(4+DT209*K209*DU209)*DU209)</f>
        <v>7.7886933623001813</v>
      </c>
      <c r="DZ209" s="38">
        <f>MIN(1/N209*(4*AG209*(DW209-DX209)+(3*DX209+DY209)*K209)+EC209 -FJ209,MAX(J209,AJ209))</f>
        <v>463.20389833862112</v>
      </c>
      <c r="EA209" s="4">
        <f>DZ209/FF209</f>
        <v>1.0000978213300211</v>
      </c>
      <c r="EB209" s="4">
        <f>AG209/N209</f>
        <v>2.5495097567963922</v>
      </c>
      <c r="EC209" s="4">
        <f>MIN(EB$10*BB209)</f>
        <v>150.6541182620868</v>
      </c>
      <c r="EG209" s="4">
        <f>IF(U209&gt;1*N209,0.85,1)</f>
        <v>0.85</v>
      </c>
      <c r="EH209" s="4">
        <f>MIN(1,MAX(0.7,(1-0.1*(BZ209-1*N209)/N209)))</f>
        <v>0.90141843971631208</v>
      </c>
      <c r="EI209" s="4">
        <f>MIN(1,MAX(0.7,1-0.3*(PI()*AM209^2/4*AQ209*2-0.25*PI()/4*N209^2)/(PI()/4*N209^2)))</f>
        <v>0.9995510789195714</v>
      </c>
      <c r="EJ209" s="4">
        <f>IF(EH209*EI209&lt;0.7,0.7,EH209*EI209)</f>
        <v>0.90101377397643634</v>
      </c>
      <c r="EL209" s="4">
        <f>MIN(DU209/N209*3*K209+EM209-FJ209,MAX(J209,AJ209))</f>
        <v>693.95385959784517</v>
      </c>
      <c r="EM209" s="25">
        <f>13.3*Q209*K209^0.5*M209^0.5/X209/N209^2*(0.7+S209/5/K209)</f>
        <v>373.417248378507</v>
      </c>
      <c r="EO209" s="4">
        <f>EG209*EJ209</f>
        <v>0.76586170787997088</v>
      </c>
      <c r="EP209" s="4">
        <f>IF(N209&lt;22.2,1.1*5*(M209/30)^0.5,IF(N209&gt;=31.8,0.9*5*(M209/30)^0.5,1*5*(M209/30)^0.5))/EG209/EJ209</f>
        <v>8.9620587312961906</v>
      </c>
      <c r="ES209" s="4">
        <f>ET209*N209</f>
        <v>91.308142429905971</v>
      </c>
      <c r="ET209" s="4">
        <f>AF209^0.5</f>
        <v>2.5495097567963922</v>
      </c>
      <c r="EU209" s="4">
        <f>MIN(EC209)/(4700*M209^0.5)/AE209*ES209</f>
        <v>6.369769441684453E-2</v>
      </c>
      <c r="EX209" s="4">
        <f>EU209</f>
        <v>6.369769441684453E-2</v>
      </c>
      <c r="EY209" s="4">
        <f>MIN(0.999, EX209/(0.3*(M209/30)^0.5))</f>
        <v>0.13920563974256908</v>
      </c>
      <c r="EZ209" s="4">
        <f>EP209/1*EY209^0.4</f>
        <v>4.0725883807802363</v>
      </c>
      <c r="FA209" s="4">
        <f>EP209/1.4*(1-EY209^1.4)/(1-EY209)</f>
        <v>6.9662659846878947</v>
      </c>
      <c r="FB209" s="4">
        <f>MAX(0,DQ209*FB$9-ES209)</f>
        <v>228.92235757009399</v>
      </c>
      <c r="FC209" s="4">
        <f>MAX(0,DQ209-ES209-FB209)</f>
        <v>106.74349999999998</v>
      </c>
      <c r="FD209" s="4">
        <f>FC209/(1-0.3*(M209/30)^0.5)/200000/N209</f>
        <v>2.7474056791368898E-5</v>
      </c>
      <c r="FE209" s="4">
        <f>MAX(0.5*EP209, (1-2*FD209*(ES209*EZ209+FB209*FA209))/(1/EP209+FD209*FC209))</f>
        <v>7.788898518132406</v>
      </c>
      <c r="FF209" s="4">
        <f>MIN(4/N209*(1*EZ209*ES209+FA209*FB209+FC209*FE209)+EC209,MAX(J209,AJ209))</f>
        <v>463.15859154918508</v>
      </c>
      <c r="FO209" s="23">
        <f>IF(CU209&lt;0.6,0.6,IF(CU209&lt;0.8,0.8,IF(CU209&lt;1,1,IF(CU209&lt;1.2,1.2,IF(CU209&lt;1.4,1.4,IF(CU209&lt;1.6,1.6,IF(CU209&lt;1.8,1.8,IF(CU209&lt;2,2,2.2))))))))</f>
        <v>1.8</v>
      </c>
      <c r="FP209" s="23">
        <f>IF(CV209&lt;0.6,0.6,IF(CV209&lt;0.8,0.8,IF(CV209&lt;1,1,IF(CV209&lt;1.2,1.2,IF(CV209&lt;1.4,1.4,IF(CV209&lt;1.6,1.6,IF(CV209&lt;1.8,1.8,IF(CV209&lt;2,2,2.2))))))))</f>
        <v>1</v>
      </c>
      <c r="FQ209" s="23">
        <f>IF(DA209&lt;0.6,0.6,IF(DA209&lt;0.8,0.8,IF(DA209&lt;1,1,IF(DA209&lt;1.2,1.2,IF(DA209&lt;1.4,1.4,IF(DA209&lt;1.6,1.6,IF(DA209&lt;1.8,1.8,IF(DA209&lt;2,2,2.2))))))))</f>
        <v>1.4</v>
      </c>
      <c r="FR209" s="23">
        <f>IF(CX209&lt;0.6,0.6,IF(CX209&lt;0.8,0.8,IF(CX209&lt;1,1,IF(CX209&lt;1.2,1.2,IF(CX209&lt;1.4,1.4,IF(CX209&lt;1.6,1.6,IF(CX209&lt;1.8,1.8,IF(CX209&lt;2,2,2.2))))))))</f>
        <v>2</v>
      </c>
      <c r="FS209" s="23">
        <f>IF(CY209&lt;0.6,0.6,IF(CY209&lt;0.8,0.8,IF(CY209&lt;1,1,IF(CY209&lt;1.2,1.2,IF(CY209&lt;1.4,1.4,IF(CY209&lt;1.6,1.6,IF(CY209&lt;1.8,1.8,IF(CY209&lt;2,2,2.2))))))))</f>
        <v>2</v>
      </c>
      <c r="FT209" s="23">
        <f>IF(CZ209&lt;0.6,0.6,IF(CZ209&lt;0.8,0.8,IF(CZ209&lt;1,1,IF(CZ209&lt;1.2,1.2,IF(CZ209&lt;1.4,1.4,IF(CZ209&lt;1.6,1.6,IF(CZ209&lt;1.8,1.8,IF(CZ209&lt;2,2,2.2))))))))</f>
        <v>1.4</v>
      </c>
      <c r="FU209" s="23">
        <f>IF(FS209&lt;1,1,0)</f>
        <v>0</v>
      </c>
      <c r="FV209" s="23"/>
      <c r="GF209" s="4">
        <f>IF(S209&gt;=2.5*25.4,1,1.25)</f>
        <v>1</v>
      </c>
      <c r="GG209" s="4">
        <f>IF(AO209&gt;1, 0.05*(18-MIN(8,(W209+N209)/N209))*(1-48000/MAX(60000,(J209*145))*(N209/25.4)^0.75*GH209), 1/12*(14-MIN(8,(W209+N209)/N209)))</f>
        <v>0.44214730608235164</v>
      </c>
      <c r="GH209" s="4">
        <f>MIN(0.3, AM209^2*PI()/4*2*AP209/(N209^2*PI()/4*X209))</f>
        <v>0.25149640360142855</v>
      </c>
      <c r="GI209" s="4">
        <f>(K209/25.4)/(N209/25.4)^1.5/0.0024*(M209*145)^0.25/GF209/GG209/145</f>
        <v>654.46728966078967</v>
      </c>
    </row>
    <row r="210" spans="1:196" ht="12" customHeight="1" x14ac:dyDescent="0.3">
      <c r="A210" s="25">
        <v>418</v>
      </c>
      <c r="B210" s="4" t="s">
        <v>605</v>
      </c>
      <c r="C210" s="4">
        <v>2016</v>
      </c>
      <c r="D210" s="4" t="s">
        <v>309</v>
      </c>
      <c r="E210" s="14" t="s">
        <v>679</v>
      </c>
      <c r="F210" s="14"/>
      <c r="G210" s="14"/>
      <c r="H210" s="48" t="s">
        <v>768</v>
      </c>
      <c r="I210" s="5">
        <f>K210/N210</f>
        <v>11.921985815602838</v>
      </c>
      <c r="J210" s="78">
        <f>115.9/0.145</f>
        <v>799.31034482758628</v>
      </c>
      <c r="K210" s="38">
        <f>16.81*25.4</f>
        <v>426.97399999999993</v>
      </c>
      <c r="L210" s="4">
        <f>K210</f>
        <v>426.97399999999993</v>
      </c>
      <c r="M210" s="38">
        <f>10860/145</f>
        <v>74.896551724137936</v>
      </c>
      <c r="N210" s="38">
        <f>1.41*25.4</f>
        <v>35.813999999999993</v>
      </c>
      <c r="O210" s="7">
        <f>K210/N210</f>
        <v>11.921985815602838</v>
      </c>
      <c r="P210" s="7">
        <f>L210/N210</f>
        <v>11.921985815602838</v>
      </c>
      <c r="Q210" s="38">
        <f>21.7*25.4</f>
        <v>551.17999999999995</v>
      </c>
      <c r="R210" s="32">
        <f>S210/N210</f>
        <v>1.8794326241134751</v>
      </c>
      <c r="S210" s="38">
        <f>2.65*25.4</f>
        <v>67.309999999999988</v>
      </c>
      <c r="T210" s="32">
        <f>U210/N210</f>
        <v>2.9787234042553195</v>
      </c>
      <c r="U210" s="39">
        <f>4.2*25.4</f>
        <v>106.67999999999999</v>
      </c>
      <c r="V210" s="32">
        <f>W210/N210</f>
        <v>9.6312056737588669</v>
      </c>
      <c r="W210" s="7">
        <f>(Q210-X210*N210-2*S210)/(X210-1)</f>
        <v>344.93200000000002</v>
      </c>
      <c r="X210" s="38">
        <v>2</v>
      </c>
      <c r="Y210" s="7">
        <f>AN210</f>
        <v>12</v>
      </c>
      <c r="Z210" s="32">
        <f>AA210/N210</f>
        <v>14.18439716312057</v>
      </c>
      <c r="AA210" s="4">
        <f>20*25.4</f>
        <v>508</v>
      </c>
      <c r="AB210" s="7">
        <f>MIN(S210/N210+0.5, W210/2/N210+0.5)</f>
        <v>2.3794326241134751</v>
      </c>
      <c r="AC210" s="7">
        <f>S210/N210+0.5</f>
        <v>2.3794326241134751</v>
      </c>
      <c r="AD210" s="38">
        <v>4.5</v>
      </c>
      <c r="AE210" s="4">
        <f>AD210</f>
        <v>4.5</v>
      </c>
      <c r="AF210" s="4">
        <f>AE210+1</f>
        <v>5.5</v>
      </c>
      <c r="AG210" s="7">
        <f>N210*AF210^0.5</f>
        <v>83.991275011158137</v>
      </c>
      <c r="AJ210" s="38">
        <f>AK210/0.145</f>
        <v>891.0344827586207</v>
      </c>
      <c r="AK210" s="4">
        <v>129.19999999999999</v>
      </c>
      <c r="AL210" s="4">
        <f>CY210</f>
        <v>1.8812925966750933</v>
      </c>
      <c r="AM210" s="38">
        <f>0.5*25.4</f>
        <v>12.7</v>
      </c>
      <c r="AN210" s="38">
        <v>12</v>
      </c>
      <c r="AO210" s="39">
        <f>4*25.4</f>
        <v>101.6</v>
      </c>
      <c r="AP210" s="39">
        <v>2</v>
      </c>
      <c r="AQ210" s="39">
        <f>AP210-1</f>
        <v>1</v>
      </c>
      <c r="AR210" s="7"/>
      <c r="AS210" s="4">
        <f>K210</f>
        <v>426.97399999999993</v>
      </c>
      <c r="AT210" s="4">
        <f>IF(K210*3&gt;W210+N210, Q210, (S210+N210/2)*2+1.5*K210*(2*X210-2))*(3*K210)/(9*K210^2)</f>
        <v>0.43029942494546902</v>
      </c>
      <c r="AU210" s="4">
        <f>MIN(10*M210^0.5*K210^1.5,100*3.9*M210^0.5*K210^(5/3))/(PI()/4*N210^2)/X210</f>
        <v>378.97234670320694</v>
      </c>
      <c r="AV210" s="4">
        <f>MIN(0.7+0.3*(MIN(S210,AA210)+0.5*N210)/1.5/K210,1)</f>
        <v>0.73991671624033306</v>
      </c>
      <c r="AW210" s="4">
        <v>1.25</v>
      </c>
      <c r="AX210" s="4">
        <f>AX209</f>
        <v>1</v>
      </c>
      <c r="AY210" s="38">
        <f>AT210*AV210*AW210*AX210*AU210</f>
        <v>150.82423762423406</v>
      </c>
      <c r="AZ210" s="38">
        <f>AY210</f>
        <v>150.82423762423406</v>
      </c>
      <c r="BA210" s="38">
        <f>IF(M210&lt;50, 0.3*M210^(2/3), 2.12*LN(1+0.1*(M210+8)))</f>
        <v>4.7252710400583542</v>
      </c>
      <c r="BB210" s="38">
        <f>AX210* (M210^0.5/AS210^0.5)/(PI()/4*N210^2)/X210/0.72 *(0.7+(MIN(S210,AA210)+0.5*N210)/5/K210) *(3*Q210*K210)</f>
        <v>150.82423762423406</v>
      </c>
      <c r="BC210" s="38">
        <f>AY210/BB210</f>
        <v>1</v>
      </c>
      <c r="BD210" s="38">
        <f>BH210/BB210</f>
        <v>5.0130305200280523</v>
      </c>
      <c r="BE210" s="4">
        <f>IF(BD210&lt;1,1,0)</f>
        <v>0</v>
      </c>
      <c r="BF210" s="4">
        <f>L210/N210*M210^0.5/0.19</f>
        <v>543.03261108957565</v>
      </c>
      <c r="BG210" s="4">
        <f>MIN(0.6+0.4*(AC210/AB210),2)</f>
        <v>1</v>
      </c>
      <c r="BH210" s="38">
        <f>2*M210*AB210*AD210^0.5*BG210*0.7/0.7</f>
        <v>756.08650637024857</v>
      </c>
      <c r="BI210" s="4">
        <f>MAX(1-0.7*AE210/5,0.3)</f>
        <v>0.37</v>
      </c>
      <c r="BJ210" s="4">
        <f>BI210*J210*L210/(J210*N210/2.75/M210^0.5)</f>
        <v>104.98177953889221</v>
      </c>
      <c r="BK210" s="4">
        <f>BH210+BJ210</f>
        <v>861.06828590914074</v>
      </c>
      <c r="BM210" s="4">
        <f>MIN(1.5, 0.75+0.25*MIN(3,MAX(1,S210/N210))+0.4*MIN(1,(40*2*PI()*AM210^2/4/AO210/X210)/N210))</f>
        <v>1.5</v>
      </c>
      <c r="BN210" s="4">
        <f>(3*P210+30)*BM210*M210^0.5</f>
        <v>853.73545493788572</v>
      </c>
      <c r="BP210" s="4">
        <f>3.4/PI()^0.5*M210*AB210*AE210^0.5*BG210</f>
        <v>725.17942296368437</v>
      </c>
      <c r="BQ210" s="4">
        <f>8/3*AH210*AI210^2/(AG210-N210-22)/N210*(AG210^2-N210^2)/(AG210^2-(N210+22)^2)</f>
        <v>0</v>
      </c>
      <c r="BR210" s="4">
        <f>BQ210/BP210</f>
        <v>0</v>
      </c>
      <c r="BZ210" s="4">
        <f>IF(W210=0,S210,MIN(W210/2,S210))</f>
        <v>67.309999999999988</v>
      </c>
      <c r="CD210" s="9"/>
      <c r="CF210" s="9"/>
      <c r="CG210" s="9"/>
      <c r="CH210" s="9">
        <f>IF(W210=0,MIN(S210,U210),MIN(W210/2,S210,U210))</f>
        <v>67.309999999999988</v>
      </c>
      <c r="CI210" s="9">
        <f>MAX(W210/2,S210)</f>
        <v>172.46600000000001</v>
      </c>
      <c r="CJ210" s="9">
        <f>(CH210/N210)^0.5*(CI210/CH210)^0.15</f>
        <v>1.5787267425904519</v>
      </c>
      <c r="CK210" s="70">
        <f>IF(AO210&gt;1,20,0)</f>
        <v>20</v>
      </c>
      <c r="CL210" s="9">
        <f>MIN(PI()*AM210^2/4*AN210*2/X210/N210/MAX(0.01,AO210),0.05)</f>
        <v>0.05</v>
      </c>
      <c r="CM210" s="9">
        <f>MAX(0,CK210*(CL210-0.5/50))</f>
        <v>0.8</v>
      </c>
      <c r="CN210" s="9">
        <f>MIN(1,(25/N210)^0.3)</f>
        <v>0.89777220146327208</v>
      </c>
      <c r="CO210" s="9">
        <f>IF(J210&gt;=800,0.68,IF(J210&gt;=700,0.75-(J210-700)*0.07/100,IF(J210&gt;=600,0.85-(J210-600)*0.1/100,IF(J210&gt;=500,1-(J210-500)*0.15/100,1.2-(J210-400)*0.2/100))))</f>
        <v>0.68048275862068963</v>
      </c>
      <c r="CP210" s="9">
        <f>1.75*CN210*CO210*(M210/25)^0.5</f>
        <v>1.8504707967044269</v>
      </c>
      <c r="CQ210" s="9">
        <f>MIN((CJ210+CM210)*CP210,2.5*CP210,M210^0.5)</f>
        <v>4.4017643705034795</v>
      </c>
      <c r="CR210" s="40">
        <v>1</v>
      </c>
      <c r="CS210" s="9">
        <f>4*CQ210*P210+60*CQ210</f>
        <v>474.01695178528246</v>
      </c>
      <c r="CU210" s="4">
        <f>AJ210/BF210</f>
        <v>1.6408489371767041</v>
      </c>
      <c r="CV210" s="4">
        <f>AJ210/BK210</f>
        <v>1.0348011851555312</v>
      </c>
      <c r="CW210" s="4">
        <f>AJ210/BN210</f>
        <v>1.0436892102875694</v>
      </c>
      <c r="CX210" s="4">
        <f>AJ210/CS210</f>
        <v>1.8797523578064703</v>
      </c>
      <c r="CY210" s="4">
        <f>AJ210/DZ210</f>
        <v>1.8812925966750933</v>
      </c>
      <c r="CZ210" s="4">
        <f>AJ210/EL210</f>
        <v>1.2692714892463186</v>
      </c>
      <c r="DA210" s="4">
        <f>AJ210/GI210</f>
        <v>1.3088116847320996</v>
      </c>
      <c r="DB210" s="4">
        <f>AN210</f>
        <v>12</v>
      </c>
      <c r="DI210" s="4">
        <f>CU210</f>
        <v>1.6408489371767041</v>
      </c>
      <c r="DJ210" s="4">
        <f>CV210</f>
        <v>1.0348011851555312</v>
      </c>
      <c r="DK210" s="4">
        <f>CX210</f>
        <v>1.8797523578064703</v>
      </c>
      <c r="DL210" s="4">
        <f>DA210</f>
        <v>1.3088116847320996</v>
      </c>
      <c r="DM210" s="4">
        <f>CY210</f>
        <v>1.8812925966750933</v>
      </c>
      <c r="DN210" s="4">
        <f>CZ210</f>
        <v>1.2692714892463186</v>
      </c>
      <c r="DQ210" s="4">
        <f>L210</f>
        <v>426.97399999999993</v>
      </c>
      <c r="DT210" s="4">
        <f>K210/4/(1-0.3*(M210/30)^0.5)/200000/N210</f>
        <v>2.8332491197524731E-5</v>
      </c>
      <c r="DU210" s="4">
        <f>EP210</f>
        <v>9.175653902487765</v>
      </c>
      <c r="DV210" s="4">
        <f>EC210*AG210/257/M210/AD210</f>
        <v>0.14625066606422418</v>
      </c>
      <c r="DW210" s="4">
        <f>DU210*DV210^0.4</f>
        <v>4.2528118077117654</v>
      </c>
      <c r="DX210" s="4">
        <f>MIN(DU210, DU210/1.4*(1-DV210^1.4)/(1-DV210))</f>
        <v>7.1563974199812064</v>
      </c>
      <c r="DY210" s="4">
        <f>MAX(DU210/2, (4-DT210*(8*AG210*(DW210-DX210)+6*K210*DX210))/(4+DT210*K210*DU210)*DU210)</f>
        <v>7.8919127711330797</v>
      </c>
      <c r="DZ210" s="38">
        <f>MIN(1/N210*(4*AG210*(DW210-DX210)+(3*DX210+DY210)*K210)+EC210 -FJ210,MAX(J210,AJ210))</f>
        <v>473.62886790358527</v>
      </c>
      <c r="EA210" s="4">
        <f>DZ210/FF210</f>
        <v>1.000096980169179</v>
      </c>
      <c r="EB210" s="4">
        <f>AG210/N210</f>
        <v>2.3452078799117149</v>
      </c>
      <c r="EC210" s="4">
        <f>MIN(EB$10*BB210)</f>
        <v>150.82423762423406</v>
      </c>
      <c r="EG210" s="4">
        <f>IF(U210&gt;1*N210,0.85,1)</f>
        <v>0.85</v>
      </c>
      <c r="EH210" s="4">
        <f>MIN(1,MAX(0.7,(1-0.1*(BZ210-1*N210)/N210)))</f>
        <v>0.91205673758865247</v>
      </c>
      <c r="EI210" s="4">
        <f>MIN(1,MAX(0.7,1-0.3*(PI()*AM210^2/4*AQ210*2-0.25*PI()/4*N210^2)/(PI()/4*N210^2)))</f>
        <v>0.9995510789195714</v>
      </c>
      <c r="EJ210" s="4">
        <f>IF(EH210*EI210&lt;0.7,0.7,EH210*EI210)</f>
        <v>0.91164729609260198</v>
      </c>
      <c r="EL210" s="4">
        <f>MIN(DU210/N210*3*K210+EM210-FJ210,MAX(J210,AJ210))</f>
        <v>702.00464621458445</v>
      </c>
      <c r="EM210" s="25">
        <f>13.3*Q210*K210^0.5*M210^0.5/X210/N210^2*(0.7+S210/5/K210)</f>
        <v>373.82859919156465</v>
      </c>
      <c r="EO210" s="4">
        <f>EG210*EJ210</f>
        <v>0.77490020167871165</v>
      </c>
      <c r="EP210" s="4">
        <f>IF(N210&lt;22.2,1.1*5*(M210/30)^0.5,IF(N210&gt;=31.8,0.9*5*(M210/30)^0.5,1*5*(M210/30)^0.5))/EG210/EJ210</f>
        <v>9.175653902487765</v>
      </c>
      <c r="ES210" s="4">
        <f>ET210*N210</f>
        <v>83.991275011158137</v>
      </c>
      <c r="ET210" s="4">
        <f>AF210^0.5</f>
        <v>2.3452078799117149</v>
      </c>
      <c r="EU210" s="4">
        <f>MIN(EC210)/(4700*M210^0.5)/AE210*ES210</f>
        <v>6.9209231929943854E-2</v>
      </c>
      <c r="EX210" s="4">
        <f>EU210</f>
        <v>6.9209231929943854E-2</v>
      </c>
      <c r="EY210" s="4">
        <f>MIN(0.999, EX210/(0.3*(M210/30)^0.5))</f>
        <v>0.1460066009599818</v>
      </c>
      <c r="EZ210" s="4">
        <f>EP210/1*EY210^0.4</f>
        <v>4.2499715250706114</v>
      </c>
      <c r="FA210" s="4">
        <f>EP210/1.4*(1-EY210^1.4)/(1-EY210)</f>
        <v>7.1555671905262939</v>
      </c>
      <c r="FB210" s="4">
        <f>MAX(0,DQ210*FB$9-ES210)</f>
        <v>236.23922498884181</v>
      </c>
      <c r="FC210" s="4">
        <f>MAX(0,DQ210-ES210-FB210)</f>
        <v>106.74350000000001</v>
      </c>
      <c r="FD210" s="4">
        <f>FC210/(1-0.3*(M210/30)^0.5)/200000/N210</f>
        <v>2.8332491197524738E-5</v>
      </c>
      <c r="FE210" s="4">
        <f>MAX(0.5*EP210, (1-2*FD210*(ES210*EZ210+FB210*FA210))/(1/EP210+FD210*FC210))</f>
        <v>7.892132681478925</v>
      </c>
      <c r="FF210" s="4">
        <f>MIN(4/N210*(1*EZ210*ES210+FA210*FB210+FC210*FE210)+EC210,MAX(J210,AJ210))</f>
        <v>473.58293974996798</v>
      </c>
      <c r="FI210" s="4">
        <f>6.75*25.4</f>
        <v>171.45</v>
      </c>
      <c r="FO210" s="23">
        <f>IF(CU210&lt;0.6,0.6,IF(CU210&lt;0.8,0.8,IF(CU210&lt;1,1,IF(CU210&lt;1.2,1.2,IF(CU210&lt;1.4,1.4,IF(CU210&lt;1.6,1.6,IF(CU210&lt;1.8,1.8,IF(CU210&lt;2,2,2.2))))))))</f>
        <v>1.8</v>
      </c>
      <c r="FP210" s="23">
        <f>IF(CV210&lt;0.6,0.6,IF(CV210&lt;0.8,0.8,IF(CV210&lt;1,1,IF(CV210&lt;1.2,1.2,IF(CV210&lt;1.4,1.4,IF(CV210&lt;1.6,1.6,IF(CV210&lt;1.8,1.8,IF(CV210&lt;2,2,2.2))))))))</f>
        <v>1.2</v>
      </c>
      <c r="FQ210" s="23">
        <f>IF(DA210&lt;0.6,0.6,IF(DA210&lt;0.8,0.8,IF(DA210&lt;1,1,IF(DA210&lt;1.2,1.2,IF(DA210&lt;1.4,1.4,IF(DA210&lt;1.6,1.6,IF(DA210&lt;1.8,1.8,IF(DA210&lt;2,2,2.2))))))))</f>
        <v>1.4</v>
      </c>
      <c r="FR210" s="23">
        <f>IF(CX210&lt;0.6,0.6,IF(CX210&lt;0.8,0.8,IF(CX210&lt;1,1,IF(CX210&lt;1.2,1.2,IF(CX210&lt;1.4,1.4,IF(CX210&lt;1.6,1.6,IF(CX210&lt;1.8,1.8,IF(CX210&lt;2,2,2.2))))))))</f>
        <v>2</v>
      </c>
      <c r="FS210" s="23">
        <f>IF(CY210&lt;0.6,0.6,IF(CY210&lt;0.8,0.8,IF(CY210&lt;1,1,IF(CY210&lt;1.2,1.2,IF(CY210&lt;1.4,1.4,IF(CY210&lt;1.6,1.6,IF(CY210&lt;1.8,1.8,IF(CY210&lt;2,2,2.2))))))))</f>
        <v>2</v>
      </c>
      <c r="FT210" s="23">
        <f>IF(CZ210&lt;0.6,0.6,IF(CZ210&lt;0.8,0.8,IF(CZ210&lt;1,1,IF(CZ210&lt;1.2,1.2,IF(CZ210&lt;1.4,1.4,IF(CZ210&lt;1.6,1.6,IF(CZ210&lt;1.8,1.8,IF(CZ210&lt;2,2,2.2))))))))</f>
        <v>1.4</v>
      </c>
      <c r="FU210" s="23">
        <f>IF(FS210&lt;1,1,0)</f>
        <v>0</v>
      </c>
      <c r="FV210" s="23"/>
      <c r="GF210" s="4">
        <f>IF(S210&gt;=2.5*25.4,1,1.25)</f>
        <v>1</v>
      </c>
      <c r="GG210" s="4">
        <f>IF(AO210&gt;1, 0.05*(18-MIN(8,(W210+N210)/N210))*(1-48000/MAX(60000,(J210*145))*(N210/25.4)^0.75*GH210), 1/12*(14-MIN(8,(W210+N210)/N210)))</f>
        <v>0.43261334185606104</v>
      </c>
      <c r="GH210" s="4">
        <f>MIN(0.3, AM210^2*PI()/4*2*AP210/(N210^2*PI()/4*X210))</f>
        <v>0.25149640360142855</v>
      </c>
      <c r="GI210" s="4">
        <f>(K210/25.4)/(N210/25.4)^1.5/0.0024*(M210*145)^0.25/GF210/GG210/145</f>
        <v>680.79655243986178</v>
      </c>
    </row>
    <row r="211" spans="1:196" ht="12" customHeight="1" x14ac:dyDescent="0.3">
      <c r="A211" s="25">
        <v>423</v>
      </c>
      <c r="B211" s="4" t="s">
        <v>605</v>
      </c>
      <c r="C211" s="4">
        <v>2016</v>
      </c>
      <c r="D211" s="4" t="s">
        <v>309</v>
      </c>
      <c r="E211" s="14" t="s">
        <v>679</v>
      </c>
      <c r="F211" s="14"/>
      <c r="G211" s="14">
        <v>9</v>
      </c>
      <c r="H211" s="7" t="s">
        <v>594</v>
      </c>
      <c r="I211" s="5">
        <f>K211/N211</f>
        <v>11.879432624113477</v>
      </c>
      <c r="J211" s="90">
        <f>135/0.145</f>
        <v>931.0344827586207</v>
      </c>
      <c r="K211" s="90">
        <f>16.75*25.4</f>
        <v>425.45</v>
      </c>
      <c r="L211" s="4">
        <f>K211</f>
        <v>425.45</v>
      </c>
      <c r="M211" s="90">
        <f>10120/145</f>
        <v>69.793103448275858</v>
      </c>
      <c r="N211" s="38">
        <f>1.41*25.4</f>
        <v>35.813999999999993</v>
      </c>
      <c r="O211" s="7">
        <f>K211/N211</f>
        <v>11.879432624113477</v>
      </c>
      <c r="P211" s="7">
        <f>L211/N211</f>
        <v>11.879432624113477</v>
      </c>
      <c r="Q211" s="38">
        <f>21.9*25.4</f>
        <v>556.25999999999988</v>
      </c>
      <c r="R211" s="32">
        <f>S211/N211</f>
        <v>1.9858156028368796</v>
      </c>
      <c r="S211" s="38">
        <f>2.8*25.4</f>
        <v>71.11999999999999</v>
      </c>
      <c r="T211" s="32">
        <f>U211/N211</f>
        <v>2.3404255319148941</v>
      </c>
      <c r="U211" s="39">
        <f>3.3*25.4</f>
        <v>83.82</v>
      </c>
      <c r="V211" s="32">
        <f>W211/N211</f>
        <v>4.2801418439716299</v>
      </c>
      <c r="W211" s="7">
        <f>(Q211-X211*N211-2*S211)/(X211-1)</f>
        <v>153.28899999999993</v>
      </c>
      <c r="X211" s="38">
        <v>3</v>
      </c>
      <c r="Y211" s="7">
        <f>AN211</f>
        <v>12</v>
      </c>
      <c r="Z211" s="32">
        <f>AA211/N211</f>
        <v>14.18439716312057</v>
      </c>
      <c r="AA211" s="4">
        <f>20*25.4</f>
        <v>508</v>
      </c>
      <c r="AB211" s="7">
        <f>MIN(S211/N211+0.5, W211/2/N211+0.5)</f>
        <v>2.4858156028368796</v>
      </c>
      <c r="AC211" s="7">
        <f>S211/N211+0.5</f>
        <v>2.4858156028368796</v>
      </c>
      <c r="AD211" s="38">
        <v>5.5</v>
      </c>
      <c r="AE211" s="4">
        <f>AD211</f>
        <v>5.5</v>
      </c>
      <c r="AF211" s="4">
        <f>AE211+1</f>
        <v>6.5</v>
      </c>
      <c r="AG211" s="7">
        <f>N211*AF211^0.5</f>
        <v>91.308142429905971</v>
      </c>
      <c r="AJ211" s="38">
        <f>AK211/0.145</f>
        <v>680</v>
      </c>
      <c r="AK211" s="4">
        <v>98.6</v>
      </c>
      <c r="AL211" s="4">
        <f>CY211</f>
        <v>1.7038194945882996</v>
      </c>
      <c r="AM211" s="38">
        <f>0.5*25.4</f>
        <v>12.7</v>
      </c>
      <c r="AN211" s="38">
        <v>12</v>
      </c>
      <c r="AO211" s="39">
        <f>4*25.4</f>
        <v>101.6</v>
      </c>
      <c r="AP211" s="39">
        <v>2</v>
      </c>
      <c r="AQ211" s="39">
        <f>AP211-1</f>
        <v>1</v>
      </c>
      <c r="AR211" s="7"/>
      <c r="AS211" s="4">
        <f>K211</f>
        <v>425.45</v>
      </c>
      <c r="AT211" s="4">
        <f>IF(K211*3&gt;W211+N211, Q211, (S211+N211/2)*2+1.5*K211*(2*X211-2))*(3*K211)/(9*K211^2)</f>
        <v>0.43582089552238795</v>
      </c>
      <c r="AU211" s="4">
        <f>MIN(10*M211^0.5*K211^1.5,100*3.9*M211^0.5*K211^(5/3))/(PI()/4*N211^2)/X211</f>
        <v>242.58405561741927</v>
      </c>
      <c r="AV211" s="4">
        <f>MIN(0.7+0.3*(MIN(S211,AA211)+0.5*N211)/1.5/K211,1)</f>
        <v>0.74185074626865666</v>
      </c>
      <c r="AW211" s="4">
        <v>1.25</v>
      </c>
      <c r="AX211" s="4">
        <f>AX210</f>
        <v>1</v>
      </c>
      <c r="AY211" s="38">
        <f>AT211*AV211*AW211*AX211*AU211</f>
        <v>98.03854385495643</v>
      </c>
      <c r="AZ211" s="38">
        <f>AY211</f>
        <v>98.03854385495643</v>
      </c>
      <c r="BA211" s="38">
        <f>IF(M211&lt;50, 0.3*M211^(2/3), 2.12*LN(1+0.1*(M211+8)))</f>
        <v>4.6054834550100843</v>
      </c>
      <c r="BB211" s="38">
        <f>AX211* (M211^0.5/AS211^0.5)/(PI()/4*N211^2)/X211/0.72 *(0.7+(MIN(S211,AA211)+0.5*N211)/5/K211) *(3*Q211*K211)</f>
        <v>98.038543854956473</v>
      </c>
      <c r="BC211" s="38">
        <f>AY211/BB211</f>
        <v>0.99999999999999956</v>
      </c>
      <c r="BD211" s="38">
        <f>BH211/BB211</f>
        <v>8.3003404929451765</v>
      </c>
      <c r="BE211" s="4">
        <f>IF(BD211&lt;1,1,0)</f>
        <v>0</v>
      </c>
      <c r="BF211" s="4">
        <f>L211/N211*M211^0.5/0.19</f>
        <v>522.33406837446921</v>
      </c>
      <c r="BG211" s="4">
        <f>MIN(0.6+0.4*(AC211/AB211),2)</f>
        <v>1</v>
      </c>
      <c r="BH211" s="38">
        <f>2*M211*AB211*AD211^0.5*BG211*0.7/0.7</f>
        <v>813.75329542867667</v>
      </c>
      <c r="BI211" s="4">
        <f>MAX(1-0.7*AE211/5,0.3)</f>
        <v>0.3</v>
      </c>
      <c r="BJ211" s="4">
        <f>BI211*J211*L211/(J211*N211/2.75/M211^0.5)</f>
        <v>81.875865217698063</v>
      </c>
      <c r="BK211" s="4">
        <f>BH211+BJ211</f>
        <v>895.62916064637477</v>
      </c>
      <c r="BM211" s="4">
        <f>MIN(1.5, 0.75+0.25*MIN(3,MAX(1,S211/N211))+0.4*MIN(1,(40*2*PI()*AM211^2/4/AO211/X211)/N211))</f>
        <v>1.5</v>
      </c>
      <c r="BN211" s="4">
        <f>(3*P211+30)*BM211*M211^0.5</f>
        <v>822.53582913410628</v>
      </c>
      <c r="BP211" s="4">
        <f>3.4/PI()^0.5*M211*AB211*AE211^0.5*BG211</f>
        <v>780.48892585948306</v>
      </c>
      <c r="BQ211" s="4">
        <f>8/3*AH211*AI211^2/(AG211-N211-22)/N211*(AG211^2-N211^2)/(AG211^2-(N211+22)^2)</f>
        <v>0</v>
      </c>
      <c r="BR211" s="4">
        <f>BQ211/BP211</f>
        <v>0</v>
      </c>
      <c r="BZ211" s="4">
        <f>IF(W211=0,S211,MIN(W211/2,S211))</f>
        <v>71.11999999999999</v>
      </c>
      <c r="CD211" s="9"/>
      <c r="CF211" s="9"/>
      <c r="CG211" s="9"/>
      <c r="CH211" s="9">
        <f>IF(W211=0,MIN(S211,U211),MIN(W211/2,S211,U211))</f>
        <v>71.11999999999999</v>
      </c>
      <c r="CI211" s="9">
        <f>MAX(W211/2,S211)</f>
        <v>76.644499999999965</v>
      </c>
      <c r="CJ211" s="9">
        <f>(CH211/N211)^0.5*(CI211/CH211)^0.15</f>
        <v>1.4250918174124854</v>
      </c>
      <c r="CK211" s="70">
        <f>IF(AO211&gt;1,20,0)</f>
        <v>20</v>
      </c>
      <c r="CL211" s="9">
        <f>MIN(PI()*AM211^2/4*AN211*2/X211/N211/MAX(0.01,AO211),0.05)</f>
        <v>0.05</v>
      </c>
      <c r="CM211" s="9">
        <f>MAX(0,CK211*(CL211-0.5/50))</f>
        <v>0.8</v>
      </c>
      <c r="CN211" s="9">
        <f>MIN(1,(25/N211)^0.3)</f>
        <v>0.89777220146327208</v>
      </c>
      <c r="CO211" s="9">
        <f>IF(J211&gt;=800,0.68,IF(J211&gt;=700,0.75-(J211-700)*0.07/100,IF(J211&gt;=600,0.85-(J211-600)*0.1/100,IF(J211&gt;=500,1-(J211-500)*0.15/100,1.2-(J211-400)*0.2/100))))</f>
        <v>0.68</v>
      </c>
      <c r="CP211" s="9">
        <f>1.75*CN211*CO211*(M211/25)^0.5</f>
        <v>1.7850458101214393</v>
      </c>
      <c r="CQ211" s="9">
        <f>MIN((CJ211+CM211)*CP211,2.5*CP211,M211^0.5)</f>
        <v>3.9718908258076553</v>
      </c>
      <c r="CR211" s="40">
        <v>1</v>
      </c>
      <c r="CS211" s="9">
        <f>4*CQ211*P211+60*CQ211</f>
        <v>427.04868737052527</v>
      </c>
      <c r="CU211" s="4">
        <f>AJ211/BF211</f>
        <v>1.3018488380744442</v>
      </c>
      <c r="CV211" s="4">
        <f>AJ211/BK211</f>
        <v>0.75924280927749677</v>
      </c>
      <c r="CW211" s="4">
        <f>AJ211/BN211</f>
        <v>0.8267117077633499</v>
      </c>
      <c r="CX211" s="4">
        <f>AJ211/CS211</f>
        <v>1.5923242948877245</v>
      </c>
      <c r="CY211" s="4">
        <f>AJ211/DZ211</f>
        <v>1.7038194945882996</v>
      </c>
      <c r="CZ211" s="4">
        <f>AJ211/EL211</f>
        <v>1.2091353781823571</v>
      </c>
      <c r="DA211" s="4">
        <f>AJ211/GI211</f>
        <v>1.3841922978836163</v>
      </c>
      <c r="DB211" s="4">
        <f>AN211</f>
        <v>12</v>
      </c>
      <c r="DI211" s="4">
        <f>CU211</f>
        <v>1.3018488380744442</v>
      </c>
      <c r="DJ211" s="4">
        <f>CV211</f>
        <v>0.75924280927749677</v>
      </c>
      <c r="DK211" s="4">
        <f>CX211</f>
        <v>1.5923242948877245</v>
      </c>
      <c r="DL211" s="4">
        <f>DA211</f>
        <v>1.3841922978836163</v>
      </c>
      <c r="DM211" s="4">
        <f>CY211</f>
        <v>1.7038194945882996</v>
      </c>
      <c r="DN211" s="4">
        <f>CZ211</f>
        <v>1.2091353781823571</v>
      </c>
      <c r="DQ211" s="4">
        <f>L211</f>
        <v>425.45</v>
      </c>
      <c r="DT211" s="4">
        <f>K211/4/(1-0.3*(M211/30)^0.5)/200000/N211</f>
        <v>2.737599353095949E-5</v>
      </c>
      <c r="DU211" s="4">
        <f>EP211</f>
        <v>8.9620587312961906</v>
      </c>
      <c r="DV211" s="4">
        <f>EC211*AG211/257/M211/AD211</f>
        <v>9.0739845746318146E-2</v>
      </c>
      <c r="DW211" s="4">
        <f>DU211*DV211^0.4</f>
        <v>3.4318397506405187</v>
      </c>
      <c r="DX211" s="4">
        <f>MIN(DU211, DU211/1.4*(1-DV211^1.4)/(1-DV211))</f>
        <v>6.7956773751146375</v>
      </c>
      <c r="DY211" s="4">
        <f>MAX(DU211/2, (4-DT211*(8*AG211*(DW211-DX211)+6*K211*DX211))/(4+DT211*K211*DU211)*DU211)</f>
        <v>7.8440563594112716</v>
      </c>
      <c r="DZ211" s="38">
        <f>MIN(1/N211*(4*AG211*(DW211-DX211)+(3*DX211+DY211)*K211)+EC211 -FJ211,MAX(J211,AJ211))</f>
        <v>399.10331003948926</v>
      </c>
      <c r="EA211" s="4">
        <f>DZ211/FF211</f>
        <v>1.0000894943710628</v>
      </c>
      <c r="EB211" s="4">
        <f>AG211/N211</f>
        <v>2.5495097567963922</v>
      </c>
      <c r="EC211" s="4">
        <f>MIN(EB$10*BB211)</f>
        <v>98.038543854956473</v>
      </c>
      <c r="EG211" s="4">
        <f>IF(U211&gt;1*N211,0.85,1)</f>
        <v>0.85</v>
      </c>
      <c r="EH211" s="4">
        <f>MIN(1,MAX(0.7,(1-0.1*(BZ211-1*N211)/N211)))</f>
        <v>0.90141843971631208</v>
      </c>
      <c r="EI211" s="4">
        <f>MIN(1,MAX(0.7,1-0.3*(PI()*AM211^2/4*AQ211*2-0.25*PI()/4*N211^2)/(PI()/4*N211^2)))</f>
        <v>0.9995510789195714</v>
      </c>
      <c r="EJ211" s="4">
        <f>IF(EH211*EI211&lt;0.7,0.7,EH211*EI211)</f>
        <v>0.90101377397643634</v>
      </c>
      <c r="EL211" s="4">
        <f>MIN(DU211/N211*3*K211+EM211-FJ211,MAX(J211,AJ211))</f>
        <v>562.38533109685011</v>
      </c>
      <c r="EM211" s="25">
        <f>13.3*Q211*K211^0.5*M211^0.5/X211/N211^2*(0.7+S211/5/K211)</f>
        <v>242.99281248150706</v>
      </c>
      <c r="EO211" s="4">
        <f>EG211*EJ211</f>
        <v>0.76586170787997088</v>
      </c>
      <c r="EP211" s="4">
        <f>IF(N211&lt;22.2,1.1*5*(M211/30)^0.5,IF(N211&gt;=31.8,0.9*5*(M211/30)^0.5,1*5*(M211/30)^0.5))/EG211/EJ211</f>
        <v>8.9620587312961906</v>
      </c>
      <c r="ES211" s="4">
        <f>ET211*N211</f>
        <v>91.308142429905971</v>
      </c>
      <c r="ET211" s="4">
        <f>AF211^0.5</f>
        <v>2.5495097567963922</v>
      </c>
      <c r="EU211" s="4">
        <f>MIN(EC211)/(4700*M211^0.5)/AE211*ES211</f>
        <v>4.1451433784780806E-2</v>
      </c>
      <c r="EX211" s="4">
        <f>EU211</f>
        <v>4.1451433784780806E-2</v>
      </c>
      <c r="EY211" s="4">
        <f>MIN(0.999, EX211/(0.3*(M211/30)^0.5))</f>
        <v>9.0588417855375858E-2</v>
      </c>
      <c r="EZ211" s="4">
        <f>EP211/1*EY211^0.4</f>
        <v>3.4295477623486104</v>
      </c>
      <c r="FA211" s="4">
        <f>EP211/1.4*(1-EY211^1.4)/(1-EY211)</f>
        <v>6.7951170651807828</v>
      </c>
      <c r="FB211" s="4">
        <f>MAX(0,DQ211*FB$9-ES211)</f>
        <v>227.77935757009402</v>
      </c>
      <c r="FC211" s="4">
        <f>MAX(0,DQ211-ES211-FB211)</f>
        <v>106.36250000000001</v>
      </c>
      <c r="FD211" s="4">
        <f>FC211/(1-0.3*(M211/30)^0.5)/200000/N211</f>
        <v>2.7375993530959494E-5</v>
      </c>
      <c r="FE211" s="4">
        <f>MAX(0.5*EP211, (1-2*FD211*(ES211*EZ211+FB211*FA211))/(1/EP211+FD211*FC211))</f>
        <v>7.8442174708355372</v>
      </c>
      <c r="FF211" s="4">
        <f>MIN(4/N211*(1*EZ211*ES211+FA211*FB211+FC211*FE211)+EC211,MAX(J211,AJ211))</f>
        <v>399.06759573599732</v>
      </c>
      <c r="FO211" s="23">
        <f>IF(CU211&lt;0.6,0.6,IF(CU211&lt;0.8,0.8,IF(CU211&lt;1,1,IF(CU211&lt;1.2,1.2,IF(CU211&lt;1.4,1.4,IF(CU211&lt;1.6,1.6,IF(CU211&lt;1.8,1.8,IF(CU211&lt;2,2,2.2))))))))</f>
        <v>1.4</v>
      </c>
      <c r="FP211" s="23">
        <f>IF(CV211&lt;0.6,0.6,IF(CV211&lt;0.8,0.8,IF(CV211&lt;1,1,IF(CV211&lt;1.2,1.2,IF(CV211&lt;1.4,1.4,IF(CV211&lt;1.6,1.6,IF(CV211&lt;1.8,1.8,IF(CV211&lt;2,2,2.2))))))))</f>
        <v>0.8</v>
      </c>
      <c r="FQ211" s="23">
        <f>IF(DA211&lt;0.6,0.6,IF(DA211&lt;0.8,0.8,IF(DA211&lt;1,1,IF(DA211&lt;1.2,1.2,IF(DA211&lt;1.4,1.4,IF(DA211&lt;1.6,1.6,IF(DA211&lt;1.8,1.8,IF(DA211&lt;2,2,2.2))))))))</f>
        <v>1.4</v>
      </c>
      <c r="FR211" s="23">
        <f>IF(CX211&lt;0.6,0.6,IF(CX211&lt;0.8,0.8,IF(CX211&lt;1,1,IF(CX211&lt;1.2,1.2,IF(CX211&lt;1.4,1.4,IF(CX211&lt;1.6,1.6,IF(CX211&lt;1.8,1.8,IF(CX211&lt;2,2,2.2))))))))</f>
        <v>1.6</v>
      </c>
      <c r="FS211" s="23">
        <f>IF(CY211&lt;0.6,0.6,IF(CY211&lt;0.8,0.8,IF(CY211&lt;1,1,IF(CY211&lt;1.2,1.2,IF(CY211&lt;1.4,1.4,IF(CY211&lt;1.6,1.6,IF(CY211&lt;1.8,1.8,IF(CY211&lt;2,2,2.2))))))))</f>
        <v>1.8</v>
      </c>
      <c r="FT211" s="23">
        <f>IF(CZ211&lt;0.6,0.6,IF(CZ211&lt;0.8,0.8,IF(CZ211&lt;1,1,IF(CZ211&lt;1.2,1.2,IF(CZ211&lt;1.4,1.4,IF(CZ211&lt;1.6,1.6,IF(CZ211&lt;1.8,1.8,IF(CZ211&lt;2,2,2.2))))))))</f>
        <v>1.4</v>
      </c>
      <c r="FU211" s="23">
        <f>IF(FS211&lt;1,1,0)</f>
        <v>0</v>
      </c>
      <c r="FV211" s="23"/>
      <c r="GF211" s="4">
        <f>IF(S211&gt;=2.5*25.4,1,1.25)</f>
        <v>1</v>
      </c>
      <c r="GG211" s="4">
        <f>IF(AO211&gt;1, 0.05*(18-MIN(8,(W211+N211)/N211))*(1-48000/MAX(60000,(J211*145))*(N211/25.4)^0.75*GH211), 1/12*(14-MIN(8,(W211+N211)/N211)))</f>
        <v>0.58693437042964436</v>
      </c>
      <c r="GH211" s="4">
        <f>MIN(0.3, AM211^2*PI()/4*2*AP211/(N211^2*PI()/4*X211))</f>
        <v>0.16766426906761905</v>
      </c>
      <c r="GI211" s="4">
        <f>(K211/25.4)/(N211/25.4)^1.5/0.0024*(M211*145)^0.25/GF211/GG211/145</f>
        <v>491.2612221869008</v>
      </c>
    </row>
    <row r="212" spans="1:196" ht="12" customHeight="1" x14ac:dyDescent="0.3">
      <c r="A212" s="25">
        <v>383</v>
      </c>
      <c r="B212" s="4" t="s">
        <v>605</v>
      </c>
      <c r="C212" s="4">
        <v>2016</v>
      </c>
      <c r="D212" s="4" t="s">
        <v>309</v>
      </c>
      <c r="E212" s="14" t="s">
        <v>675</v>
      </c>
      <c r="F212" s="14"/>
      <c r="G212" s="14">
        <v>14</v>
      </c>
      <c r="H212" s="7" t="s">
        <v>550</v>
      </c>
      <c r="I212" s="5">
        <f>K212/N212</f>
        <v>11.858156028368795</v>
      </c>
      <c r="J212" s="90">
        <f>135/0.145</f>
        <v>931.0344827586207</v>
      </c>
      <c r="K212" s="95">
        <f>16.72*25.4</f>
        <v>424.68799999999993</v>
      </c>
      <c r="L212" s="4">
        <f>K212</f>
        <v>424.68799999999993</v>
      </c>
      <c r="M212" s="44">
        <f>4050/145</f>
        <v>27.931034482758619</v>
      </c>
      <c r="N212" s="38">
        <f>1.41*25.4</f>
        <v>35.813999999999993</v>
      </c>
      <c r="O212" s="7">
        <f>K212/N212</f>
        <v>11.858156028368795</v>
      </c>
      <c r="P212" s="7">
        <f>L212/N212</f>
        <v>11.858156028368795</v>
      </c>
      <c r="Q212" s="38">
        <f>21.4*25.4</f>
        <v>543.55999999999995</v>
      </c>
      <c r="R212" s="32">
        <f>S212/N212</f>
        <v>1.7730496453900713</v>
      </c>
      <c r="S212" s="38">
        <f>2.5*25.4</f>
        <v>63.5</v>
      </c>
      <c r="T212" s="32">
        <f>U212/N212</f>
        <v>2.6950354609929081</v>
      </c>
      <c r="U212" s="39">
        <f>3.8*25.4</f>
        <v>96.52</v>
      </c>
      <c r="V212" s="32">
        <f>W212/N212</f>
        <v>9.6312056737588652</v>
      </c>
      <c r="W212" s="7">
        <f>(Q212-X212*N212-2*S212)/(X212-1)</f>
        <v>344.93199999999996</v>
      </c>
      <c r="X212" s="38">
        <v>2</v>
      </c>
      <c r="Y212" s="7">
        <f>AN212</f>
        <v>12</v>
      </c>
      <c r="Z212" s="32">
        <f>AA212/N212</f>
        <v>14.18439716312057</v>
      </c>
      <c r="AA212" s="4">
        <f>20*25.4</f>
        <v>508</v>
      </c>
      <c r="AB212" s="7">
        <f>MIN(S212/N212+0.5, W212/2/N212+0.5)</f>
        <v>2.2730496453900715</v>
      </c>
      <c r="AC212" s="7">
        <f>S212/N212+0.5</f>
        <v>2.2730496453900715</v>
      </c>
      <c r="AD212" s="38">
        <v>3.8</v>
      </c>
      <c r="AE212" s="4">
        <f>AD212</f>
        <v>3.8</v>
      </c>
      <c r="AF212" s="4">
        <f>AE212+1</f>
        <v>4.8</v>
      </c>
      <c r="AG212" s="7">
        <f>N212*AF212^0.5</f>
        <v>78.464542697960056</v>
      </c>
      <c r="AJ212" s="38">
        <f>AK212/0.145</f>
        <v>513.79310344827593</v>
      </c>
      <c r="AK212" s="4">
        <v>74.5</v>
      </c>
      <c r="AL212" s="4">
        <f>CY212</f>
        <v>1.6135859013275426</v>
      </c>
      <c r="AM212" s="38">
        <f>0.5*25.4</f>
        <v>12.7</v>
      </c>
      <c r="AN212" s="38">
        <v>12</v>
      </c>
      <c r="AO212" s="39">
        <f>4*25.4</f>
        <v>101.6</v>
      </c>
      <c r="AP212" s="39">
        <v>4</v>
      </c>
      <c r="AQ212" s="39">
        <v>2</v>
      </c>
      <c r="AR212" s="7"/>
      <c r="AS212" s="4">
        <f>K212</f>
        <v>424.68799999999993</v>
      </c>
      <c r="AT212" s="4">
        <f>IF(K212*3&gt;W212+N212, Q212, (S212+N212/2)*2+1.5*K212*(2*X212-2))*(3*K212)/(9*K212^2)</f>
        <v>0.42663476874003192</v>
      </c>
      <c r="AU212" s="4">
        <f>MIN(10*M212^0.5*K212^1.5,100*3.9*M212^0.5*K212^(5/3))/(PI()/4*N212^2)/X212</f>
        <v>229.5741365097727</v>
      </c>
      <c r="AV212" s="4">
        <f>MIN(0.7+0.3*(MIN(S212,AA212)+0.5*N212)/1.5/K212,1)</f>
        <v>0.73833732057416268</v>
      </c>
      <c r="AW212" s="4">
        <v>1.25</v>
      </c>
      <c r="AX212" s="4">
        <f>AX211</f>
        <v>1</v>
      </c>
      <c r="AY212" s="38">
        <f>AT212*AV212*AW212*AX212*AU212</f>
        <v>90.394923007084984</v>
      </c>
      <c r="AZ212" s="38">
        <f>AY212</f>
        <v>90.394923007084984</v>
      </c>
      <c r="BA212" s="38">
        <f>IF(M212&lt;50, 0.3*M212^(2/3), 2.12*LN(1+0.1*(M212+8)))</f>
        <v>2.761717606769436</v>
      </c>
      <c r="BB212" s="38">
        <f>AX212* (M212^0.5/AS212^0.5)/(PI()/4*N212^2)/X212/0.72 *(0.7+(MIN(S212,AA212)+0.5*N212)/5/K212) *(3*Q212*K212)</f>
        <v>90.394923007084984</v>
      </c>
      <c r="BC212" s="38">
        <f>AY212/BB212</f>
        <v>1</v>
      </c>
      <c r="BD212" s="38">
        <f>BH212/BB212</f>
        <v>2.7382537869256853</v>
      </c>
      <c r="BE212" s="4">
        <f>IF(BD212&lt;1,1,0)</f>
        <v>0</v>
      </c>
      <c r="BF212" s="4">
        <f>L212/N212*M212^0.5/0.19</f>
        <v>329.84284670613135</v>
      </c>
      <c r="BG212" s="4">
        <f>MIN(0.6+0.4*(AC212/AB212),2)</f>
        <v>1</v>
      </c>
      <c r="BH212" s="38">
        <f>2*M212*AB212*AD212^0.5*BG212*0.7/0.7</f>
        <v>247.52424024300623</v>
      </c>
      <c r="BI212" s="4">
        <f>MAX(1-0.7*AE212/5,0.3)</f>
        <v>0.46800000000000008</v>
      </c>
      <c r="BJ212" s="4">
        <f>BI212*J212*L212/(J212*N212/2.75/M212^0.5)</f>
        <v>80.656471305050331</v>
      </c>
      <c r="BK212" s="4">
        <f>BH212+BJ212</f>
        <v>328.18071154805659</v>
      </c>
      <c r="BM212" s="4">
        <f>MIN(1.5, 0.75+0.25*MIN(3,MAX(1,S212/N212))+0.4*MIN(1,(40*2*PI()*AM212^2/4/AO212/X212)/N212))</f>
        <v>1.5</v>
      </c>
      <c r="BN212" s="4">
        <f>(3*P212+30)*BM212*M212^0.5</f>
        <v>519.83982283719729</v>
      </c>
      <c r="BP212" s="4">
        <f>3.4/PI()^0.5*M212*AB212*AE212^0.5*BG212</f>
        <v>237.40601663515</v>
      </c>
      <c r="BQ212" s="4">
        <f>8/3*AH212*AI212^2/(AG212-N212-22)/N212*(AG212^2-N212^2)/(AG212^2-(N212+22)^2)</f>
        <v>0</v>
      </c>
      <c r="BR212" s="4">
        <f>BQ212/BP212</f>
        <v>0</v>
      </c>
      <c r="BZ212" s="4">
        <f>IF(W212=0,S212,MIN(W212/2,S212))</f>
        <v>63.5</v>
      </c>
      <c r="CD212" s="9"/>
      <c r="CF212" s="9"/>
      <c r="CG212" s="9"/>
      <c r="CH212" s="9">
        <f>IF(W212=0,MIN(S212,U212),MIN(W212/2,S212,U212))</f>
        <v>63.5</v>
      </c>
      <c r="CI212" s="9">
        <f>MAX(W212/2,S212)</f>
        <v>172.46599999999998</v>
      </c>
      <c r="CJ212" s="9">
        <f>(CH212/N212)^0.5*(CI212/CH212)^0.15</f>
        <v>1.5468560948614203</v>
      </c>
      <c r="CK212" s="70">
        <f>IF(AO212&gt;1,20,0)</f>
        <v>20</v>
      </c>
      <c r="CL212" s="9">
        <f>MIN(PI()*AM212^2/4*AN212*2/X212/N212/MAX(0.01,AO212),0.05)</f>
        <v>0.05</v>
      </c>
      <c r="CM212" s="9">
        <f>MAX(0,CK212*(CL212-0.5/50))</f>
        <v>0.8</v>
      </c>
      <c r="CN212" s="9">
        <f>MIN(1,(25/N212)^0.3)</f>
        <v>0.89777220146327208</v>
      </c>
      <c r="CO212" s="9">
        <f>IF(J212&gt;=800,0.68,IF(J212&gt;=700,0.75-(J212-700)*0.07/100,IF(J212&gt;=600,0.85-(J212-600)*0.1/100,IF(J212&gt;=500,1-(J212-500)*0.15/100,1.2-(J212-400)*0.2/100))))</f>
        <v>0.68</v>
      </c>
      <c r="CP212" s="9">
        <f>1.75*CN212*CO212*(M212/25)^0.5</f>
        <v>1.129240956903802</v>
      </c>
      <c r="CQ212" s="9">
        <f>MIN((CJ212+CM212)*CP212,2.5*CP212,M212^0.5)</f>
        <v>2.6501660222768302</v>
      </c>
      <c r="CR212" s="40">
        <v>1</v>
      </c>
      <c r="CS212" s="9">
        <f>4*CQ212*P212+60*CQ212</f>
        <v>284.71429010957036</v>
      </c>
      <c r="CU212" s="4">
        <f>AJ212/BF212</f>
        <v>1.5576906050232835</v>
      </c>
      <c r="CV212" s="4">
        <f>AJ212/BK212</f>
        <v>1.5655798326009769</v>
      </c>
      <c r="CW212" s="4">
        <f>AJ212/BN212</f>
        <v>0.98836811047695539</v>
      </c>
      <c r="CX212" s="4">
        <f>AJ212/CS212</f>
        <v>1.8045919059789592</v>
      </c>
      <c r="CY212" s="4">
        <f>AJ212/DZ212</f>
        <v>1.6135859013275426</v>
      </c>
      <c r="CZ212" s="4">
        <f>AJ212/EL212</f>
        <v>1.1753055919076683</v>
      </c>
      <c r="DA212" s="4">
        <f>AJ212/GI212</f>
        <v>0.9673044426554136</v>
      </c>
      <c r="DB212" s="4">
        <f>AN212</f>
        <v>12</v>
      </c>
      <c r="DI212" s="4">
        <f>CU212</f>
        <v>1.5576906050232835</v>
      </c>
      <c r="DJ212" s="4">
        <f>CV212</f>
        <v>1.5655798326009769</v>
      </c>
      <c r="DK212" s="4">
        <f>CX212</f>
        <v>1.8045919059789592</v>
      </c>
      <c r="DL212" s="4">
        <f>DA212</f>
        <v>0.9673044426554136</v>
      </c>
      <c r="DM212" s="4">
        <f>CY212</f>
        <v>1.6135859013275426</v>
      </c>
      <c r="DN212" s="4">
        <f>CZ212</f>
        <v>1.1753055919076683</v>
      </c>
      <c r="DQ212" s="4">
        <f>L212</f>
        <v>424.68799999999993</v>
      </c>
      <c r="DT212" s="4">
        <f>K212/4/(1-0.3*(M212/30)^0.5)/200000/N212</f>
        <v>2.0861473906437448E-5</v>
      </c>
      <c r="DU212" s="4">
        <f>EP212</f>
        <v>5.9909859754492585</v>
      </c>
      <c r="DV212" s="4">
        <f>EC212*AG212/257/M212/AD212</f>
        <v>0.2600241864355281</v>
      </c>
      <c r="DW212" s="4">
        <f>DU212*DV212^0.4</f>
        <v>3.4954556919386301</v>
      </c>
      <c r="DX212" s="4">
        <f>MIN(DU212, DU212/1.4*(1-DV212^1.4)/(1-DV212))</f>
        <v>4.9056458137569097</v>
      </c>
      <c r="DY212" s="4">
        <f>MAX(DU212/2, (4-DT212*(8*AG212*(DW212-DX212)+6*K212*DX212))/(4+DT212*K212*DU212)*DU212)</f>
        <v>5.5543690597694964</v>
      </c>
      <c r="DZ212" s="38">
        <f>MIN(1/N212*(4*AG212*(DW212-DX212)+(3*DX212+DY212)*K212)+EC212 -FJ212,MAX(J212,AJ212))</f>
        <v>318.41695135385345</v>
      </c>
      <c r="EA212" s="4">
        <f>DZ212/FF212</f>
        <v>1.0001304070193877</v>
      </c>
      <c r="EB212" s="4">
        <f>AG212/N212</f>
        <v>2.1908902300206643</v>
      </c>
      <c r="EC212" s="4">
        <f>MIN(EB$10*BB212)</f>
        <v>90.394923007084984</v>
      </c>
      <c r="EG212" s="4">
        <f>IF(U212&gt;1*N212,0.85,1)</f>
        <v>0.85</v>
      </c>
      <c r="EH212" s="4">
        <f>MIN(1,MAX(0.7,(1-0.1*(BZ212-1*N212)/N212)))</f>
        <v>0.92269503546099285</v>
      </c>
      <c r="EI212" s="4">
        <f>MIN(1,MAX(0.7,1-0.3*(PI()*AM212^2/4*AQ212*2-0.25*PI()/4*N212^2)/(PI()/4*N212^2)))</f>
        <v>0.92410215783914285</v>
      </c>
      <c r="EJ212" s="4">
        <f>IF(EH212*EI212&lt;0.7,0.7,EH212*EI212)</f>
        <v>0.85266447329696793</v>
      </c>
      <c r="EL212" s="4">
        <f>MIN(DU212/N212*3*K212+EM212-FJ212,MAX(J212,AJ212))</f>
        <v>437.15703131670239</v>
      </c>
      <c r="EM212" s="25">
        <f>13.3*Q212*K212^0.5*M212^0.5/X212/N212^2*(0.7+S212/5/K212)</f>
        <v>224.03089193476285</v>
      </c>
      <c r="EO212" s="4">
        <f>EG212*EJ212</f>
        <v>0.72476480230242268</v>
      </c>
      <c r="EP212" s="4">
        <f>IF(N212&lt;22.2,1.1*5*(M212/30)^0.5,IF(N212&gt;=31.8,0.9*5*(M212/30)^0.5,1*5*(M212/30)^0.5))/EG212/EJ212</f>
        <v>5.9909859754492585</v>
      </c>
      <c r="ES212" s="4">
        <f>ET212*N212</f>
        <v>78.464542697960056</v>
      </c>
      <c r="ET212" s="4">
        <f>AF212^0.5</f>
        <v>2.1908902300206643</v>
      </c>
      <c r="EU212" s="4">
        <f>MIN(EC212)/(4700*M212^0.5)/AE212*ES212</f>
        <v>7.5143690766986862E-2</v>
      </c>
      <c r="EX212" s="4">
        <f>EU212</f>
        <v>7.5143690766986862E-2</v>
      </c>
      <c r="EY212" s="4">
        <f>MIN(0.999, EX212/(0.3*(M212/30)^0.5))</f>
        <v>0.25959025453028767</v>
      </c>
      <c r="EZ212" s="4">
        <f>EP212/1*EY212^0.4</f>
        <v>3.4931212171079462</v>
      </c>
      <c r="FA212" s="4">
        <f>EP212/1.4*(1-EY212^1.4)/(1-EY212)</f>
        <v>4.9048186597289973</v>
      </c>
      <c r="FB212" s="4">
        <f>MAX(0,DQ212*FB$9-ES212)</f>
        <v>240.05145730203992</v>
      </c>
      <c r="FC212" s="4">
        <f>MAX(0,DQ212-ES212-FB212)</f>
        <v>106.17199999999997</v>
      </c>
      <c r="FD212" s="4">
        <f>FC212/(1-0.3*(M212/30)^0.5)/200000/N212</f>
        <v>2.0861473906437444E-5</v>
      </c>
      <c r="FE212" s="4">
        <f>MAX(0.5*EP212, (1-2*FD212*(ES212*EZ212+FB212*FA212))/(1/EP212+FD212*FC212))</f>
        <v>5.5544632287943525</v>
      </c>
      <c r="FF212" s="4">
        <f>MIN(4/N212*(1*EZ212*ES212+FA212*FB212+FC212*FE212)+EC212,MAX(J212,AJ212))</f>
        <v>318.37543296259452</v>
      </c>
      <c r="FO212" s="23">
        <f>IF(CU212&lt;0.6,0.6,IF(CU212&lt;0.8,0.8,IF(CU212&lt;1,1,IF(CU212&lt;1.2,1.2,IF(CU212&lt;1.4,1.4,IF(CU212&lt;1.6,1.6,IF(CU212&lt;1.8,1.8,IF(CU212&lt;2,2,2.2))))))))</f>
        <v>1.6</v>
      </c>
      <c r="FP212" s="23">
        <f>IF(CV212&lt;0.6,0.6,IF(CV212&lt;0.8,0.8,IF(CV212&lt;1,1,IF(CV212&lt;1.2,1.2,IF(CV212&lt;1.4,1.4,IF(CV212&lt;1.6,1.6,IF(CV212&lt;1.8,1.8,IF(CV212&lt;2,2,2.2))))))))</f>
        <v>1.6</v>
      </c>
      <c r="FQ212" s="23">
        <f>IF(DA212&lt;0.6,0.6,IF(DA212&lt;0.8,0.8,IF(DA212&lt;1,1,IF(DA212&lt;1.2,1.2,IF(DA212&lt;1.4,1.4,IF(DA212&lt;1.6,1.6,IF(DA212&lt;1.8,1.8,IF(DA212&lt;2,2,2.2))))))))</f>
        <v>1</v>
      </c>
      <c r="FR212" s="23">
        <f>IF(CX212&lt;0.6,0.6,IF(CX212&lt;0.8,0.8,IF(CX212&lt;1,1,IF(CX212&lt;1.2,1.2,IF(CX212&lt;1.4,1.4,IF(CX212&lt;1.6,1.6,IF(CX212&lt;1.8,1.8,IF(CX212&lt;2,2,2.2))))))))</f>
        <v>2</v>
      </c>
      <c r="FS212" s="23">
        <f>IF(CY212&lt;0.6,0.6,IF(CY212&lt;0.8,0.8,IF(CY212&lt;1,1,IF(CY212&lt;1.2,1.2,IF(CY212&lt;1.4,1.4,IF(CY212&lt;1.6,1.6,IF(CY212&lt;1.8,1.8,IF(CY212&lt;2,2,2.2))))))))</f>
        <v>1.8</v>
      </c>
      <c r="FT212" s="23">
        <f>IF(CZ212&lt;0.6,0.6,IF(CZ212&lt;0.8,0.8,IF(CZ212&lt;1,1,IF(CZ212&lt;1.2,1.2,IF(CZ212&lt;1.4,1.4,IF(CZ212&lt;1.6,1.6,IF(CZ212&lt;1.8,1.8,IF(CZ212&lt;2,2,2.2))))))))</f>
        <v>1.2</v>
      </c>
      <c r="FU212" s="23">
        <f>IF(FS212&lt;1,1,0)</f>
        <v>0</v>
      </c>
      <c r="FV212" s="23"/>
      <c r="GF212" s="4">
        <f>IF(S212&gt;=2.5*25.4,1,1.25)</f>
        <v>1</v>
      </c>
      <c r="GG212" s="4">
        <f>IF(AO212&gt;1, 0.05*(18-MIN(8,(W212+N212)/N212))*(1-48000/MAX(60000,(J212*145))*(N212/25.4)^0.75*GH212), 1/12*(14-MIN(8,(W212+N212)/N212)))</f>
        <v>0.43098983553339404</v>
      </c>
      <c r="GH212" s="4">
        <f>MIN(0.3, AM212^2*PI()/4*2*AP212/(N212^2*PI()/4*X212))</f>
        <v>0.3</v>
      </c>
      <c r="GI212" s="4">
        <f>(K212/25.4)/(N212/25.4)^1.5/0.0024*(M212*145)^0.25/GF212/GG212/145</f>
        <v>531.15966472543778</v>
      </c>
    </row>
    <row r="213" spans="1:196" ht="12" customHeight="1" x14ac:dyDescent="0.3">
      <c r="A213" s="25">
        <v>381</v>
      </c>
      <c r="B213" s="4" t="s">
        <v>605</v>
      </c>
      <c r="C213" s="4">
        <v>2016</v>
      </c>
      <c r="D213" s="4" t="s">
        <v>309</v>
      </c>
      <c r="E213" s="14" t="s">
        <v>547</v>
      </c>
      <c r="F213" s="14"/>
      <c r="G213" s="14">
        <v>14</v>
      </c>
      <c r="H213" s="7" t="s">
        <v>548</v>
      </c>
      <c r="I213" s="5">
        <f>K213/N213</f>
        <v>11.744680851063832</v>
      </c>
      <c r="J213" s="90">
        <f>135/0.145</f>
        <v>931.0344827586207</v>
      </c>
      <c r="K213" s="95">
        <f>16.56*25.4</f>
        <v>420.62399999999997</v>
      </c>
      <c r="L213" s="4">
        <f>K213</f>
        <v>420.62399999999997</v>
      </c>
      <c r="M213" s="44">
        <f>4050/145</f>
        <v>27.931034482758619</v>
      </c>
      <c r="N213" s="38">
        <f>1.41*25.4</f>
        <v>35.813999999999993</v>
      </c>
      <c r="O213" s="7">
        <f>K213/N213</f>
        <v>11.744680851063832</v>
      </c>
      <c r="P213" s="7">
        <f>L213/N213</f>
        <v>11.744680851063832</v>
      </c>
      <c r="Q213" s="38">
        <f>21.9*25.4</f>
        <v>556.25999999999988</v>
      </c>
      <c r="R213" s="32">
        <f>S213/N213</f>
        <v>1.7730496453900713</v>
      </c>
      <c r="S213" s="38">
        <f>2.5*25.4</f>
        <v>63.5</v>
      </c>
      <c r="T213" s="32">
        <f>U213/N213</f>
        <v>2.836879432624114</v>
      </c>
      <c r="U213" s="39">
        <f>4*25.4</f>
        <v>101.6</v>
      </c>
      <c r="V213" s="32">
        <f>W213/N213</f>
        <v>9.9858156028368779</v>
      </c>
      <c r="W213" s="7">
        <f>(Q213-X213*N213-2*S213)/(X213-1)</f>
        <v>357.63199999999989</v>
      </c>
      <c r="X213" s="38">
        <v>2</v>
      </c>
      <c r="Y213" s="7">
        <f>AN213</f>
        <v>0</v>
      </c>
      <c r="Z213" s="32">
        <f>AA213/N213</f>
        <v>14.18439716312057</v>
      </c>
      <c r="AA213" s="4">
        <f>20*25.4</f>
        <v>508</v>
      </c>
      <c r="AB213" s="7">
        <f>MIN(S213/N213+0.5, W213/2/N213+0.5)</f>
        <v>2.2730496453900715</v>
      </c>
      <c r="AC213" s="7">
        <f>S213/N213+0.5</f>
        <v>2.2730496453900715</v>
      </c>
      <c r="AD213" s="38">
        <v>3.8</v>
      </c>
      <c r="AE213" s="4">
        <f>AD213</f>
        <v>3.8</v>
      </c>
      <c r="AF213" s="4">
        <f>AE213+1</f>
        <v>4.8</v>
      </c>
      <c r="AG213" s="7">
        <f>N213*AF213^0.5</f>
        <v>78.464542697960056</v>
      </c>
      <c r="AJ213" s="38">
        <f>AK213/0.145</f>
        <v>431.0344827586207</v>
      </c>
      <c r="AK213" s="4">
        <v>62.5</v>
      </c>
      <c r="AL213" s="4">
        <f>CY213</f>
        <v>1.4292915545702025</v>
      </c>
      <c r="AM213" s="38">
        <v>0</v>
      </c>
      <c r="AN213" s="38">
        <v>0</v>
      </c>
      <c r="AO213" s="39">
        <f>L213</f>
        <v>420.62399999999997</v>
      </c>
      <c r="AP213" s="39"/>
      <c r="AQ213" s="39"/>
      <c r="AR213" s="7"/>
      <c r="AS213" s="4">
        <f>K213</f>
        <v>420.62399999999997</v>
      </c>
      <c r="AT213" s="4">
        <f>IF(K213*3&gt;W213+N213, Q213, (S213+N213/2)*2+1.5*K213*(2*X213-2))*(3*K213)/(9*K213^2)</f>
        <v>0.44082125603864725</v>
      </c>
      <c r="AU213" s="4">
        <f>MIN(10*M213^0.5*K213^1.5,100*3.9*M213^0.5*K213^(5/3))/(PI()/4*N213^2)/X213</f>
        <v>226.28671014164769</v>
      </c>
      <c r="AV213" s="4">
        <f>MIN(0.7+0.3*(MIN(S213,AA213)+0.5*N213)/1.5/K213,1)</f>
        <v>0.73870772946859897</v>
      </c>
      <c r="AW213" s="4">
        <v>1.25</v>
      </c>
      <c r="AX213" s="4">
        <f>AX212</f>
        <v>1</v>
      </c>
      <c r="AY213" s="38">
        <f>AT213*AV213*AW213*AX213*AU213</f>
        <v>92.109459205984706</v>
      </c>
      <c r="AZ213" s="38">
        <f>AY213</f>
        <v>92.109459205984706</v>
      </c>
      <c r="BA213" s="38">
        <f>IF(M213&lt;50, 0.3*M213^(2/3), 2.12*LN(1+0.1*(M213+8)))</f>
        <v>2.761717606769436</v>
      </c>
      <c r="BB213" s="38">
        <f>AX213* (M213^0.5/AS213^0.5)/(PI()/4*N213^2)/X213/0.72 *(0.7+(MIN(S213,AA213)+0.5*N213)/5/K213) *(3*Q213*K213)</f>
        <v>92.109459205984706</v>
      </c>
      <c r="BC213" s="38">
        <f>AY213/BB213</f>
        <v>1</v>
      </c>
      <c r="BD213" s="38">
        <f>BH213/BB213</f>
        <v>2.6872836120931609</v>
      </c>
      <c r="BE213" s="4">
        <f>IF(BD213&lt;1,1,0)</f>
        <v>0</v>
      </c>
      <c r="BF213" s="4">
        <f>L213/N213*M213^0.5/0.19</f>
        <v>326.68645582856072</v>
      </c>
      <c r="BG213" s="4">
        <f>MIN(0.6+0.4*(AC213/AB213),2)</f>
        <v>1</v>
      </c>
      <c r="BH213" s="38">
        <f>2*M213*AB213*AD213^0.5*BG213*0.7/0.7</f>
        <v>247.52424024300623</v>
      </c>
      <c r="BI213" s="4">
        <f>MAX(1-0.7*AE213/5,0.3)</f>
        <v>0.46800000000000008</v>
      </c>
      <c r="BJ213" s="4">
        <f>BI213*J213*L213/(J213*N213/2.75/M213^0.5)</f>
        <v>79.884639043757986</v>
      </c>
      <c r="BK213" s="4">
        <f>BH213+BJ213</f>
        <v>327.4088792867642</v>
      </c>
      <c r="BM213" s="4">
        <f>MIN(1.5, 0.75+0.25*MIN(3,MAX(1,S213/N213))+0.4*MIN(1,(40*2*PI()*AM213^2/4/AO213/X213)/N213))</f>
        <v>1.1932624113475179</v>
      </c>
      <c r="BN213" s="4">
        <f>(3*P213+30)*BM213*M213^0.5</f>
        <v>411.390030865977</v>
      </c>
      <c r="BP213" s="4">
        <f>3.4/PI()^0.5*M213*AB213*AE213^0.5*BG213</f>
        <v>237.40601663515</v>
      </c>
      <c r="BQ213" s="4">
        <f>8/3*AH213*AI213^2/(AG213-N213-22)/N213*(AG213^2-N213^2)/(AG213^2-(N213+22)^2)</f>
        <v>0</v>
      </c>
      <c r="BR213" s="4">
        <f>BQ213/BP213</f>
        <v>0</v>
      </c>
      <c r="BZ213" s="4">
        <f>IF(W213=0,S213,MIN(W213/2,S213))</f>
        <v>63.5</v>
      </c>
      <c r="CD213" s="9"/>
      <c r="CF213" s="9"/>
      <c r="CG213" s="9"/>
      <c r="CH213" s="9">
        <f>IF(W213=0,MIN(S213,U213),MIN(W213/2,S213,U213))</f>
        <v>63.5</v>
      </c>
      <c r="CI213" s="9">
        <f>MAX(W213/2,S213)</f>
        <v>178.81599999999995</v>
      </c>
      <c r="CJ213" s="9">
        <f>(CH213/N213)^0.5*(CI213/CH213)^0.15</f>
        <v>1.5552683910541685</v>
      </c>
      <c r="CK213" s="70">
        <f>IF(AO213&gt;1,20,0)</f>
        <v>20</v>
      </c>
      <c r="CL213" s="9">
        <f>MIN(PI()*AM213^2/4*AN213*2/X213/N213/MAX(0.01,AO213),0.05)</f>
        <v>0</v>
      </c>
      <c r="CM213" s="9">
        <f>MAX(0,CK213*(CL213-0.5/50))</f>
        <v>0</v>
      </c>
      <c r="CN213" s="9">
        <f>MIN(1,(25/N213)^0.3)</f>
        <v>0.89777220146327208</v>
      </c>
      <c r="CO213" s="9">
        <f>IF(J213&gt;=800,0.68,IF(J213&gt;=700,0.75-(J213-700)*0.07/100,IF(J213&gt;=600,0.85-(J213-600)*0.1/100,IF(J213&gt;=500,1-(J213-500)*0.15/100,1.2-(J213-400)*0.2/100))))</f>
        <v>0.68</v>
      </c>
      <c r="CP213" s="9">
        <f>1.75*CN213*CO213*(M213/25)^0.5</f>
        <v>1.129240956903802</v>
      </c>
      <c r="CQ213" s="9">
        <f>MIN((CJ213+CM213)*CP213,2.5*CP213,M213^0.5)</f>
        <v>1.7562727661562458</v>
      </c>
      <c r="CR213" s="40">
        <v>1</v>
      </c>
      <c r="CS213" s="9">
        <f>4*CQ213*P213+60*CQ213</f>
        <v>187.88381847305541</v>
      </c>
      <c r="CU213" s="4">
        <f>AJ213/BF213</f>
        <v>1.3194133857352812</v>
      </c>
      <c r="CV213" s="4">
        <f>AJ213/BK213</f>
        <v>1.3165021171618716</v>
      </c>
      <c r="CW213" s="4">
        <f>AJ213/BN213</f>
        <v>1.0477514047953278</v>
      </c>
      <c r="CX213" s="4">
        <f>AJ213/CS213</f>
        <v>2.2941543676388276</v>
      </c>
      <c r="CY213" s="4">
        <f>AJ213/DZ213</f>
        <v>1.4292915545702025</v>
      </c>
      <c r="CZ213" s="4">
        <f>AJ213/EL213</f>
        <v>1.0182198876788391</v>
      </c>
      <c r="DA213" s="4">
        <f>AJ213/GI213</f>
        <v>0.95053003455679075</v>
      </c>
      <c r="DB213" s="4">
        <f>AN213</f>
        <v>0</v>
      </c>
      <c r="DC213" s="4">
        <f>CU213</f>
        <v>1.3194133857352812</v>
      </c>
      <c r="DD213" s="4">
        <f>CV213</f>
        <v>1.3165021171618716</v>
      </c>
      <c r="DE213" s="4">
        <f>CX213</f>
        <v>2.2941543676388276</v>
      </c>
      <c r="DF213" s="4">
        <f>DA213</f>
        <v>0.95053003455679075</v>
      </c>
      <c r="DG213" s="4">
        <f>CY213</f>
        <v>1.4292915545702025</v>
      </c>
      <c r="DH213" s="4">
        <f>CZ213</f>
        <v>1.0182198876788391</v>
      </c>
      <c r="DQ213" s="4">
        <f>L213</f>
        <v>420.62399999999997</v>
      </c>
      <c r="DT213" s="4">
        <f>K213/4/(1-0.3*(M213/30)^0.5)/200000/N213</f>
        <v>2.0661842577189241E-5</v>
      </c>
      <c r="DU213" s="4">
        <f>EP213</f>
        <v>5.5362830674967025</v>
      </c>
      <c r="DV213" s="4">
        <f>EC213*AG213/257/M213/AD213</f>
        <v>0.26495611032464095</v>
      </c>
      <c r="DW213" s="4">
        <f>DU213*DV213^0.4</f>
        <v>3.2545268818277919</v>
      </c>
      <c r="DX213" s="4">
        <f>MIN(DU213, DU213/1.4*(1-DV213^1.4)/(1-DV213))</f>
        <v>4.5419797857288948</v>
      </c>
      <c r="DY213" s="4">
        <f>MAX(DU213/2, (4-DT213*(8*AG213*(DW213-DX213)+6*K213*DX213))/(4+DT213*K213*DU213)*DU213)</f>
        <v>5.1694059172452755</v>
      </c>
      <c r="DZ213" s="38">
        <f>MIN(1/N213*(4*AG213*(DW213-DX213)+(3*DX213+DY213)*K213)+EC213 -FJ213,MAX(J213,AJ213))</f>
        <v>301.57211898466414</v>
      </c>
      <c r="EA213" s="4">
        <f>DZ213/FF213</f>
        <v>1.000128056359386</v>
      </c>
      <c r="EB213" s="4">
        <f>AG213/N213</f>
        <v>2.1908902300206643</v>
      </c>
      <c r="EC213" s="4">
        <f>MIN(EB$10*BB213)</f>
        <v>92.109459205984706</v>
      </c>
      <c r="EG213" s="4">
        <f>IF(U213&gt;1*N213,0.85,1)</f>
        <v>0.85</v>
      </c>
      <c r="EH213" s="4">
        <f>MIN(1,MAX(0.7,(1-0.1*(BZ213-1*N213)/N213)))</f>
        <v>0.92269503546099285</v>
      </c>
      <c r="EI213" s="4">
        <f>MIN(1,MAX(0.7,1-0.3*(PI()*AM213^2/4*AQ213*2-0.25*PI()/4*N213^2)/(PI()/4*N213^2)))</f>
        <v>1</v>
      </c>
      <c r="EJ213" s="4">
        <f>IF(EH213*EI213&lt;0.7,0.7,EH213*EI213)</f>
        <v>0.92269503546099285</v>
      </c>
      <c r="EL213" s="4">
        <f>MIN(DU213/N213*3*K213+EM213-FJ213,MAX(J213,AJ213))</f>
        <v>423.32161056215301</v>
      </c>
      <c r="EM213" s="25">
        <f>13.3*Q213*K213^0.5*M213^0.5/X213/N213^2*(0.7+S213/5/K213)</f>
        <v>228.25597737546067</v>
      </c>
      <c r="EO213" s="4">
        <f>EG213*EJ213</f>
        <v>0.78429078014184395</v>
      </c>
      <c r="EP213" s="4">
        <f>IF(N213&lt;22.2,1.1*5*(M213/30)^0.5,IF(N213&gt;=31.8,0.9*5*(M213/30)^0.5,1*5*(M213/30)^0.5))/EG213/EJ213</f>
        <v>5.5362830674967025</v>
      </c>
      <c r="ES213" s="4">
        <f>ET213*N213</f>
        <v>78.464542697960056</v>
      </c>
      <c r="ET213" s="4">
        <f>AF213^0.5</f>
        <v>2.1908902300206643</v>
      </c>
      <c r="EU213" s="4">
        <f>MIN(EC213)/(4700*M213^0.5)/AE213*ES213</f>
        <v>7.6568954196093691E-2</v>
      </c>
      <c r="EX213" s="4">
        <f>EU213</f>
        <v>7.6568954196093691E-2</v>
      </c>
      <c r="EY213" s="4">
        <f>MIN(0.999, EX213/(0.3*(M213/30)^0.5))</f>
        <v>0.26451394795761529</v>
      </c>
      <c r="EZ213" s="4">
        <f>EP213/1*EY213^0.4</f>
        <v>3.2523533136979119</v>
      </c>
      <c r="FA213" s="4">
        <f>EP213/1.4*(1-EY213^1.4)/(1-EY213)</f>
        <v>4.5412051365338542</v>
      </c>
      <c r="FB213" s="4">
        <f>MAX(0,DQ213*FB$9-ES213)</f>
        <v>237.00345730203992</v>
      </c>
      <c r="FC213" s="4">
        <f>MAX(0,DQ213-ES213-FB213)</f>
        <v>105.15600000000001</v>
      </c>
      <c r="FD213" s="4">
        <f>FC213/(1-0.3*(M213/30)^0.5)/200000/N213</f>
        <v>2.0661842577189244E-5</v>
      </c>
      <c r="FE213" s="4">
        <f>MAX(0.5*EP213, (1-2*FD213*(ES213*EZ213+FB213*FA213))/(1/EP213+FD213*FC213))</f>
        <v>5.1694859748516429</v>
      </c>
      <c r="FF213" s="4">
        <f>MIN(4/N213*(1*EZ213*ES213+FA213*FB213+FC213*FE213)+EC213,MAX(J213,AJ213))</f>
        <v>301.53350570169107</v>
      </c>
      <c r="FO213" s="23">
        <f>IF(CU213&lt;0.6,0.6,IF(CU213&lt;0.8,0.8,IF(CU213&lt;1,1,IF(CU213&lt;1.2,1.2,IF(CU213&lt;1.4,1.4,IF(CU213&lt;1.6,1.6,IF(CU213&lt;1.8,1.8,IF(CU213&lt;2,2,2.2))))))))</f>
        <v>1.4</v>
      </c>
      <c r="FP213" s="23">
        <f>IF(CV213&lt;0.6,0.6,IF(CV213&lt;0.8,0.8,IF(CV213&lt;1,1,IF(CV213&lt;1.2,1.2,IF(CV213&lt;1.4,1.4,IF(CV213&lt;1.6,1.6,IF(CV213&lt;1.8,1.8,IF(CV213&lt;2,2,2.2))))))))</f>
        <v>1.4</v>
      </c>
      <c r="FQ213" s="23">
        <f>IF(DA213&lt;0.6,0.6,IF(DA213&lt;0.8,0.8,IF(DA213&lt;1,1,IF(DA213&lt;1.2,1.2,IF(DA213&lt;1.4,1.4,IF(DA213&lt;1.6,1.6,IF(DA213&lt;1.8,1.8,IF(DA213&lt;2,2,2.2))))))))</f>
        <v>1</v>
      </c>
      <c r="FR213" s="23">
        <f>IF(CX213&lt;0.6,0.6,IF(CX213&lt;0.8,0.8,IF(CX213&lt;1,1,IF(CX213&lt;1.2,1.2,IF(CX213&lt;1.4,1.4,IF(CX213&lt;1.6,1.6,IF(CX213&lt;1.8,1.8,IF(CX213&lt;2,2,2.2))))))))</f>
        <v>2.2000000000000002</v>
      </c>
      <c r="FS213" s="23">
        <f>IF(CY213&lt;0.6,0.6,IF(CY213&lt;0.8,0.8,IF(CY213&lt;1,1,IF(CY213&lt;1.2,1.2,IF(CY213&lt;1.4,1.4,IF(CY213&lt;1.6,1.6,IF(CY213&lt;1.8,1.8,IF(CY213&lt;2,2,2.2))))))))</f>
        <v>1.6</v>
      </c>
      <c r="FT213" s="23">
        <f>IF(CZ213&lt;0.6,0.6,IF(CZ213&lt;0.8,0.8,IF(CZ213&lt;1,1,IF(CZ213&lt;1.2,1.2,IF(CZ213&lt;1.4,1.4,IF(CZ213&lt;1.6,1.6,IF(CZ213&lt;1.8,1.8,IF(CZ213&lt;2,2,2.2))))))))</f>
        <v>1.2</v>
      </c>
      <c r="FU213" s="23">
        <f>IF(FS213&lt;1,1,0)</f>
        <v>0</v>
      </c>
      <c r="FV213" s="23"/>
      <c r="GF213" s="4">
        <f>IF(S213&gt;=2.5*25.4,1,1.25)</f>
        <v>1</v>
      </c>
      <c r="GG213" s="4">
        <f>IF(AO213&gt;1, 0.05*(18-MIN(8,(W213+N213)/N213))*(1-48000/MAX(60000,(J213*145))*(N213/25.4)^0.75*GH213), 1/12*(14-MIN(8,(W213+N213)/N213)))</f>
        <v>0.5</v>
      </c>
      <c r="GH213" s="4">
        <f>MIN(0.3, AM213^2*PI()/4*2*AP213/(N213^2*PI()/4*X213))</f>
        <v>0</v>
      </c>
      <c r="GI213" s="4">
        <f>(K213/25.4)/(N213/25.4)^1.5/0.0024*(M213*145)^0.25/GF213/GG213/145</f>
        <v>453.46750453772006</v>
      </c>
    </row>
    <row r="214" spans="1:196" ht="12" customHeight="1" x14ac:dyDescent="0.3">
      <c r="A214" s="25">
        <v>163</v>
      </c>
      <c r="B214" s="24" t="s">
        <v>128</v>
      </c>
      <c r="C214" s="24">
        <v>2017</v>
      </c>
      <c r="D214" s="24" t="s">
        <v>309</v>
      </c>
      <c r="E214" s="24"/>
      <c r="F214" s="115"/>
      <c r="G214" s="109" t="s">
        <v>790</v>
      </c>
      <c r="H214" s="4" t="s">
        <v>170</v>
      </c>
      <c r="I214" s="5">
        <f>K214/N214</f>
        <v>7</v>
      </c>
      <c r="J214" s="100">
        <v>583</v>
      </c>
      <c r="K214" s="7">
        <f>7*N214</f>
        <v>401.09999999999997</v>
      </c>
      <c r="L214" s="7">
        <f>K214</f>
        <v>401.09999999999997</v>
      </c>
      <c r="M214" s="84">
        <v>76.900000000000006</v>
      </c>
      <c r="N214" s="37">
        <v>57.3</v>
      </c>
      <c r="O214" s="7">
        <f>K214/N214</f>
        <v>7</v>
      </c>
      <c r="P214" s="7">
        <f>L214/N214</f>
        <v>7</v>
      </c>
      <c r="Q214" s="7">
        <f>W214+2*S214+2*N214</f>
        <v>584.46</v>
      </c>
      <c r="R214" s="32">
        <f>S214/N214</f>
        <v>1</v>
      </c>
      <c r="S214" s="7">
        <f>1*N214</f>
        <v>57.3</v>
      </c>
      <c r="T214" s="32">
        <f>U214/N214</f>
        <v>0.97731239092495636</v>
      </c>
      <c r="U214" s="7">
        <f>40+16</f>
        <v>56</v>
      </c>
      <c r="V214" s="32">
        <f>W214/N214</f>
        <v>6.2</v>
      </c>
      <c r="W214" s="7">
        <f>(7.2-1)*N214</f>
        <v>355.26</v>
      </c>
      <c r="X214" s="7">
        <v>2</v>
      </c>
      <c r="Y214" s="7">
        <f>AN214</f>
        <v>0</v>
      </c>
      <c r="Z214" s="32">
        <f>AA214/N214</f>
        <v>3.0436300174520068</v>
      </c>
      <c r="AA214" s="7">
        <f>2/3*K214-0.5*186</f>
        <v>174.39999999999998</v>
      </c>
      <c r="AB214" s="7">
        <f>MIN(S214/N214+0.5, W214/2/N214+0.5)</f>
        <v>1.5</v>
      </c>
      <c r="AC214" s="7">
        <f>S214/N214+0.5</f>
        <v>1.5</v>
      </c>
      <c r="AD214" s="7">
        <f>2040/510</f>
        <v>4</v>
      </c>
      <c r="AE214" s="7">
        <f>2040/510</f>
        <v>4</v>
      </c>
      <c r="AF214" s="7">
        <f>AE214+1</f>
        <v>5</v>
      </c>
      <c r="AG214" s="7">
        <f>N214*AF214^0.5</f>
        <v>128.12669511073796</v>
      </c>
      <c r="AH214" s="7">
        <f>J214</f>
        <v>583</v>
      </c>
      <c r="AI214" s="7">
        <v>25</v>
      </c>
      <c r="AJ214" s="7">
        <f>(405+388)/2</f>
        <v>396.5</v>
      </c>
      <c r="AK214" s="7"/>
      <c r="AL214" s="4">
        <f>CY214</f>
        <v>1.97217424829744</v>
      </c>
      <c r="AM214" s="7">
        <v>0</v>
      </c>
      <c r="AN214" s="7">
        <v>0</v>
      </c>
      <c r="AO214" s="7">
        <f>L214</f>
        <v>401.09999999999997</v>
      </c>
      <c r="AP214" s="7"/>
      <c r="AQ214" s="7"/>
      <c r="AR214" s="7">
        <f>3*AS214/(W214+N214)</f>
        <v>2.9166666666666665</v>
      </c>
      <c r="AS214" s="4">
        <f>K214</f>
        <v>401.09999999999997</v>
      </c>
      <c r="AT214" s="4">
        <f>IF(K214*3&gt;W214+N214, Q214, (S214+N214/2)*2+1.5*K214*(2*X214-2))*(3*K214)/(9*K214^2)</f>
        <v>0.48571428571428582</v>
      </c>
      <c r="AU214" s="4">
        <f>MIN(10*M214^0.5*K214^1.5,100*3.9*M214^0.5*K214^(5/3))/(PI()/4*N214^2)/X214</f>
        <v>136.58815600212856</v>
      </c>
      <c r="AV214" s="4">
        <f>MIN(0.7+0.3*(MIN(S214,AA214)+0.5*N214)/1.5/K214,1)</f>
        <v>0.74285714285714277</v>
      </c>
      <c r="AW214" s="4">
        <v>1.25</v>
      </c>
      <c r="AX214" s="4">
        <f>AX212</f>
        <v>1</v>
      </c>
      <c r="AY214" s="38">
        <f>AT214*AV214*AW214*AX214*AU214</f>
        <v>61.60404587034779</v>
      </c>
      <c r="AZ214" s="38">
        <f>AY214</f>
        <v>61.60404587034779</v>
      </c>
      <c r="BA214" s="38">
        <f>IF(M214&lt;50, 0.3*M214^(2/3), 2.12*LN(1+0.1*(M214+8)))</f>
        <v>4.7705058587582929</v>
      </c>
      <c r="BB214" s="38">
        <f>AX214* (M214^0.5/AS214^0.5)/(PI()/4*N214^2)/X214/0.72 *(0.7+(MIN(S214,AA214)+0.5*N214)/5/K214) *(3*Q214*K214)</f>
        <v>61.604045870347747</v>
      </c>
      <c r="BC214" s="38">
        <f>AY214/BB214</f>
        <v>1.0000000000000007</v>
      </c>
      <c r="BD214" s="38">
        <f>BH214/BB214</f>
        <v>7.4897678144559743</v>
      </c>
      <c r="BE214" s="4">
        <f>IF(BD214&lt;1,1,0)</f>
        <v>0</v>
      </c>
      <c r="BF214" s="4">
        <f>L214/N214*M214^0.5/0.19</f>
        <v>323.0781660605395</v>
      </c>
      <c r="BG214" s="4">
        <f>MIN(0.6+0.4*(AC214/AB214),2)</f>
        <v>1</v>
      </c>
      <c r="BH214" s="38">
        <f>2*M214*AB214*AD214^0.5*BG214*0.7/0.7</f>
        <v>461.40000000000003</v>
      </c>
      <c r="BI214" s="4">
        <f>MAX(1-0.7*AE214/5,0.3)</f>
        <v>0.44000000000000006</v>
      </c>
      <c r="BJ214" s="4">
        <f>BI214*J214*L214/(J214*N214/2.75/M214^0.5)</f>
        <v>74.275670377318036</v>
      </c>
      <c r="BK214" s="4">
        <f>BH214+BJ214</f>
        <v>535.67567037731806</v>
      </c>
      <c r="BM214" s="4">
        <f>MIN(1.5, 0.75+0.25*MIN(3,MAX(1,S214/N214))+0.4*MIN(1,(40*2*PI()*AM214^2/4/AO214/X214)/N214))</f>
        <v>1</v>
      </c>
      <c r="BN214" s="4">
        <f>(3*P214+30)*BM214*M214^0.5</f>
        <v>447.2324898752326</v>
      </c>
      <c r="BP214" s="4">
        <f>3.4/PI()^0.5*M214*AB214*AE214^0.5*BG214</f>
        <v>442.53902554318915</v>
      </c>
      <c r="BQ214" s="4">
        <f>8/3*AH214*AI214^2/(AG214-N214-22)/N214*(AG214^2-N214^2)/(AG214^2-(N214+22)^2)</f>
        <v>450.3525339151019</v>
      </c>
      <c r="BR214" s="4">
        <f>BQ214/BP214</f>
        <v>1.0176560888891599</v>
      </c>
      <c r="BZ214" s="4">
        <f>IF(W214=0,S214,MIN(W214/2,S214))</f>
        <v>57.3</v>
      </c>
      <c r="CD214" s="9"/>
      <c r="CF214" s="9"/>
      <c r="CG214" s="9"/>
      <c r="CH214" s="9">
        <f>IF(W214=0,MIN(S214,U214),MIN(W214/2,S214,U214))</f>
        <v>56</v>
      </c>
      <c r="CI214" s="9">
        <f>MAX(W214/2,S214)</f>
        <v>177.63</v>
      </c>
      <c r="CJ214" s="9">
        <f>(CH214/N214)^0.5*(CI214/CH214)^0.15</f>
        <v>1.1754818988273255</v>
      </c>
      <c r="CK214" s="70">
        <v>0</v>
      </c>
      <c r="CL214" s="9">
        <f>MIN(PI()*AM214^2/4*AN214*2/X214/N214/MAX(0.01,AO214),0.05)</f>
        <v>0</v>
      </c>
      <c r="CM214" s="9">
        <f>MAX(0,CK214*(CL214-0.5/50))</f>
        <v>0</v>
      </c>
      <c r="CN214" s="9">
        <f>MIN(1,(25/N214)^0.3)</f>
        <v>0.77971450958075206</v>
      </c>
      <c r="CO214" s="9">
        <f>IF(J214&gt;=800,0.68,IF(J214&gt;=700,0.75-(J214-700)*0.07/100,IF(J214&gt;=600,0.85-(J214-600)*0.1/100,IF(J214&gt;=500,1-(J214-500)*0.15/100,1.2-(J214-400)*0.2/100))))</f>
        <v>0.87549999999999994</v>
      </c>
      <c r="CP214" s="9">
        <f>1.75*CN214*CO214*(M214/25)^0.5</f>
        <v>2.0951879162491376</v>
      </c>
      <c r="CQ214" s="9">
        <f>MIN((CJ214+CM214)*CP214,2.5*CP214,M214^0.5)</f>
        <v>2.4628554701926038</v>
      </c>
      <c r="CR214" s="9">
        <v>1</v>
      </c>
      <c r="CS214" s="9">
        <f>4*CQ214*P214+60*CQ214</f>
        <v>216.73128137694914</v>
      </c>
      <c r="CU214" s="4">
        <f>AJ214/BF214</f>
        <v>1.2272571830982304</v>
      </c>
      <c r="CV214" s="4">
        <f>AJ214/BK214</f>
        <v>0.74018668744226179</v>
      </c>
      <c r="CW214" s="4">
        <f>AJ214/BN214</f>
        <v>0.88656349656218902</v>
      </c>
      <c r="CX214" s="4">
        <f>AJ214/CS214</f>
        <v>1.8294544169209646</v>
      </c>
      <c r="CY214" s="4">
        <f>AJ214/DZ214</f>
        <v>1.97217424829744</v>
      </c>
      <c r="CZ214" s="4">
        <f>AJ214/EL214</f>
        <v>1.3095784928162608</v>
      </c>
      <c r="DA214" s="4">
        <f>AJ214/GI214</f>
        <v>1.9447556217215154</v>
      </c>
      <c r="DC214" s="4">
        <f>CU214</f>
        <v>1.2272571830982304</v>
      </c>
      <c r="DD214" s="4">
        <f>CV214</f>
        <v>0.74018668744226179</v>
      </c>
      <c r="DE214" s="4">
        <f>CX214</f>
        <v>1.8294544169209646</v>
      </c>
      <c r="DF214" s="4">
        <f>DA214</f>
        <v>1.9447556217215154</v>
      </c>
      <c r="DG214" s="4">
        <f>CY214</f>
        <v>1.97217424829744</v>
      </c>
      <c r="DH214" s="4">
        <f>CZ214</f>
        <v>1.3095784928162608</v>
      </c>
      <c r="DP214" s="4">
        <f>AN214</f>
        <v>0</v>
      </c>
      <c r="DQ214" s="4">
        <f>L214</f>
        <v>401.09999999999997</v>
      </c>
      <c r="DT214" s="4">
        <f>K214/4/(1-0.3*(M214/30)^0.5)/200000/N214</f>
        <v>1.6837038197690092E-5</v>
      </c>
      <c r="DU214" s="4">
        <f>EP214</f>
        <v>7.2046859751136969</v>
      </c>
      <c r="DV214" s="4">
        <f>EC214*AG214/257/M214/AD214</f>
        <v>9.9845709001254349E-2</v>
      </c>
      <c r="DW214" s="4">
        <f>DU214*DV214^0.4</f>
        <v>2.8664661555419282</v>
      </c>
      <c r="DX214" s="4">
        <f>MIN(DU214, DU214/1.4*(1-DV214^1.4)/(1-DV214))</f>
        <v>5.4899172751891472</v>
      </c>
      <c r="DY214" s="4">
        <f>MAX(DU214/2, (4-DT214*(8*AG214*(DW214-DX214)+6*K214*DX214))/(4+DT214*K214*DU214)*DU214)</f>
        <v>6.8028136373548955</v>
      </c>
      <c r="DZ214" s="38">
        <f>MIN(1/N214*(4*AG214*(DW214-DX214)+(3*DX214+DY214)*K214)+EC214 -FJ214,MAX(J214,AJ214))</f>
        <v>201.04714395408763</v>
      </c>
      <c r="EA214" s="4">
        <f>DZ214/FF214</f>
        <v>1.0001115589616421</v>
      </c>
      <c r="EB214" s="4">
        <f>AG214/N214</f>
        <v>2.2360679774997898</v>
      </c>
      <c r="EC214" s="4">
        <f>MIN(EB$10*BB214)</f>
        <v>61.604045870347747</v>
      </c>
      <c r="EG214" s="4">
        <f>IF(U214&gt;1*N214,0.85,1)</f>
        <v>1</v>
      </c>
      <c r="EH214" s="4">
        <f>MIN(1,MAX(0.7,(1-0.1*(BZ214-1*N214)/N214)))</f>
        <v>1</v>
      </c>
      <c r="EI214" s="4">
        <f>MIN(1,MAX(0.7,1-0.3*(PI()*AM214^2/4*AQ214*2-0.25*PI()/4*N214^2)/(PI()/4*N214^2)))</f>
        <v>1</v>
      </c>
      <c r="EJ214" s="4">
        <f>IF(EH214*EI214&lt;0.7,0.7,EH214*EI214)</f>
        <v>1</v>
      </c>
      <c r="EL214" s="4">
        <f>MIN(DU214/N214*3*K214+EM214-FJ214,MAX(J214,AJ214))</f>
        <v>302.76917510100753</v>
      </c>
      <c r="EM214" s="25">
        <f>13.3*Q214*K214^0.5*M214^0.5/X214/N214^2*(0.7+S214/5/K214)</f>
        <v>151.4707696236199</v>
      </c>
      <c r="EP214" s="4">
        <f>IF(N214&lt;22.2,1.1*5*(M214/30)^0.5,IF(N214&gt;=31.8,0.9*5*(M214/30)^0.5,1*5*(M214/30)^0.5))/EG214/EJ214</f>
        <v>7.2046859751136969</v>
      </c>
      <c r="ES214" s="4">
        <f>ET214*N214</f>
        <v>128.12669511073796</v>
      </c>
      <c r="ET214" s="4">
        <f>AF214^0.5</f>
        <v>2.2360679774997898</v>
      </c>
      <c r="EU214" s="4">
        <f>MIN(EC214)/(4700*M214^0.5)/AE214*ES214</f>
        <v>4.787710043920379E-2</v>
      </c>
      <c r="EX214" s="4">
        <f>EU214</f>
        <v>4.787710043920379E-2</v>
      </c>
      <c r="EY214" s="4">
        <f>MIN(0.999, EX214/(0.3*(M214/30)^0.5))</f>
        <v>9.9679085121641781E-2</v>
      </c>
      <c r="EZ214" s="4">
        <f>EP214/1*EY214^0.4</f>
        <v>2.8645517576256423</v>
      </c>
      <c r="FA214" s="4">
        <f>EP214/1.4*(1-EY214^1.4)/(1-EY214)</f>
        <v>5.4894315716340385</v>
      </c>
      <c r="FB214" s="4">
        <f>MAX(0,DQ214*FB$9-ES214)</f>
        <v>172.69830488926203</v>
      </c>
      <c r="FC214" s="4">
        <f>MAX(0,DQ214-ES214-FB214)</f>
        <v>100.27499999999998</v>
      </c>
      <c r="FD214" s="4">
        <f>FC214/(1-0.3*(M214/30)^0.5)/200000/N214</f>
        <v>1.6837038197690092E-5</v>
      </c>
      <c r="FE214" s="4">
        <f>MAX(0.5*EP214, (1-2*FD214*(ES214*EZ214+FB214*FA214))/(1/EP214+FD214*FC214))</f>
        <v>6.8028925368852873</v>
      </c>
      <c r="FF214" s="4">
        <f>MIN(4/N214*(1*EZ214*ES214+FA214*FB214+FC214*FE214)+EC214,MAX(J214,AJ214))</f>
        <v>201.02471784530042</v>
      </c>
      <c r="FO214" s="23">
        <f>IF(CU214&lt;0.6,0.6,IF(CU214&lt;0.8,0.8,IF(CU214&lt;1,1,IF(CU214&lt;1.2,1.2,IF(CU214&lt;1.4,1.4,IF(CU214&lt;1.6,1.6,IF(CU214&lt;1.8,1.8,IF(CU214&lt;2,2,2.2))))))))</f>
        <v>1.4</v>
      </c>
      <c r="FP214" s="23">
        <f>IF(CV214&lt;0.6,0.6,IF(CV214&lt;0.8,0.8,IF(CV214&lt;1,1,IF(CV214&lt;1.2,1.2,IF(CV214&lt;1.4,1.4,IF(CV214&lt;1.6,1.6,IF(CV214&lt;1.8,1.8,IF(CV214&lt;2,2,2.2))))))))</f>
        <v>0.8</v>
      </c>
      <c r="FQ214" s="23">
        <f>IF(DA214&lt;0.6,0.6,IF(DA214&lt;0.8,0.8,IF(DA214&lt;1,1,IF(DA214&lt;1.2,1.2,IF(DA214&lt;1.4,1.4,IF(DA214&lt;1.6,1.6,IF(DA214&lt;1.8,1.8,IF(DA214&lt;2,2,2.2))))))))</f>
        <v>2</v>
      </c>
      <c r="FR214" s="23">
        <f>IF(CX214&lt;0.6,0.6,IF(CX214&lt;0.8,0.8,IF(CX214&lt;1,1,IF(CX214&lt;1.2,1.2,IF(CX214&lt;1.4,1.4,IF(CX214&lt;1.6,1.6,IF(CX214&lt;1.8,1.8,IF(CX214&lt;2,2,2.2))))))))</f>
        <v>2</v>
      </c>
      <c r="FS214" s="23">
        <f>IF(CY214&lt;0.6,0.6,IF(CY214&lt;0.8,0.8,IF(CY214&lt;1,1,IF(CY214&lt;1.2,1.2,IF(CY214&lt;1.4,1.4,IF(CY214&lt;1.6,1.6,IF(CY214&lt;1.8,1.8,IF(CY214&lt;2,2,2.2))))))))</f>
        <v>2</v>
      </c>
      <c r="FT214" s="23">
        <f>IF(CZ214&lt;0.6,0.6,IF(CZ214&lt;0.8,0.8,IF(CZ214&lt;1,1,IF(CZ214&lt;1.2,1.2,IF(CZ214&lt;1.4,1.4,IF(CZ214&lt;1.6,1.6,IF(CZ214&lt;1.8,1.8,IF(CZ214&lt;2,2,2.2))))))))</f>
        <v>1.4</v>
      </c>
      <c r="FU214" s="23">
        <f>IF(FS214&lt;1,1,0)</f>
        <v>0</v>
      </c>
      <c r="FV214" s="23"/>
      <c r="GF214" s="4">
        <f>IF(S214&gt;=2.5*25.4,1,1.25)</f>
        <v>1.25</v>
      </c>
      <c r="GG214" s="4">
        <f>IF(AO214&gt;1, 0.05*(18-MIN(8,(W214+N214)/N214))*(1-48000/MAX(60000,(J214*145))*(N214/25.4)^0.75*GH214), 1/12*(14-MIN(8,(W214+N214)/N214)))</f>
        <v>0.54</v>
      </c>
      <c r="GH214" s="4">
        <f>MIN(0.3, AM214^2*PI()/4*2*AP214/(N214^2*PI()/4*X214))</f>
        <v>0</v>
      </c>
      <c r="GI214" s="4">
        <f>(K214/25.4)/(N214/25.4)^1.5/0.0024*(M214*145)^0.25/GF214/GG214/145</f>
        <v>203.88165771132446</v>
      </c>
    </row>
    <row r="215" spans="1:196" ht="12" customHeight="1" x14ac:dyDescent="0.3">
      <c r="A215" s="25">
        <v>163</v>
      </c>
      <c r="B215" s="24" t="s">
        <v>128</v>
      </c>
      <c r="C215" s="24">
        <v>2017</v>
      </c>
      <c r="D215" s="24" t="s">
        <v>309</v>
      </c>
      <c r="E215" s="24"/>
      <c r="F215" s="115"/>
      <c r="G215" s="109" t="s">
        <v>788</v>
      </c>
      <c r="H215" s="4" t="s">
        <v>170</v>
      </c>
      <c r="I215" s="5">
        <f>K215/N215</f>
        <v>7</v>
      </c>
      <c r="J215" s="100">
        <v>583</v>
      </c>
      <c r="K215" s="7">
        <f>7*N215</f>
        <v>401.09999999999997</v>
      </c>
      <c r="L215" s="7">
        <f>K215</f>
        <v>401.09999999999997</v>
      </c>
      <c r="M215" s="84">
        <v>76.900000000000006</v>
      </c>
      <c r="N215" s="37">
        <v>57.3</v>
      </c>
      <c r="O215" s="7">
        <f>K215/N215</f>
        <v>7</v>
      </c>
      <c r="P215" s="7">
        <f>L215/N215</f>
        <v>7</v>
      </c>
      <c r="Q215" s="7">
        <f>W215+2*S215+2*N215</f>
        <v>584.46</v>
      </c>
      <c r="R215" s="32">
        <f>S215/N215</f>
        <v>1</v>
      </c>
      <c r="S215" s="7">
        <f>1*N215</f>
        <v>57.3</v>
      </c>
      <c r="T215" s="32">
        <f>U215/N215</f>
        <v>0.97731239092495636</v>
      </c>
      <c r="U215" s="7">
        <f>40+16</f>
        <v>56</v>
      </c>
      <c r="V215" s="32">
        <f>W215/N215</f>
        <v>6.2</v>
      </c>
      <c r="W215" s="7">
        <f>(7.2-1)*N215</f>
        <v>355.26</v>
      </c>
      <c r="X215" s="7">
        <v>2</v>
      </c>
      <c r="Y215" s="7">
        <f>AN215</f>
        <v>0</v>
      </c>
      <c r="Z215" s="32">
        <f>AA215/N215</f>
        <v>3.0436300174520068</v>
      </c>
      <c r="AA215" s="7">
        <f>2/3*K215-0.5*186</f>
        <v>174.39999999999998</v>
      </c>
      <c r="AB215" s="7">
        <f>MIN(S215/N215+0.5, W215/2/N215+0.5)</f>
        <v>1.5</v>
      </c>
      <c r="AC215" s="7">
        <f>S215/N215+0.5</f>
        <v>1.5</v>
      </c>
      <c r="AD215" s="7">
        <f>2040/510</f>
        <v>4</v>
      </c>
      <c r="AE215" s="7">
        <f>2040/510</f>
        <v>4</v>
      </c>
      <c r="AF215" s="7">
        <f>AE215+1</f>
        <v>5</v>
      </c>
      <c r="AG215" s="7">
        <f>N215*AF215^0.5</f>
        <v>128.12669511073796</v>
      </c>
      <c r="AH215" s="7">
        <f>J215</f>
        <v>583</v>
      </c>
      <c r="AI215" s="7">
        <v>25</v>
      </c>
      <c r="AJ215" s="7">
        <f>(405+388)/2</f>
        <v>396.5</v>
      </c>
      <c r="AK215" s="7"/>
      <c r="AL215" s="4">
        <f>CY215</f>
        <v>1.97217424829744</v>
      </c>
      <c r="AM215" s="7">
        <v>0</v>
      </c>
      <c r="AN215" s="7">
        <v>0</v>
      </c>
      <c r="AO215" s="7">
        <f>L215</f>
        <v>401.09999999999997</v>
      </c>
      <c r="AP215" s="7"/>
      <c r="AQ215" s="7"/>
      <c r="AR215" s="7">
        <f>3*AS215/(W215+N215)</f>
        <v>2.9166666666666665</v>
      </c>
      <c r="AS215" s="4">
        <f>K215</f>
        <v>401.09999999999997</v>
      </c>
      <c r="AT215" s="4">
        <f>IF(K215*3&gt;W215+N215, Q215, (S215+N215/2)*2+1.5*K215*(2*X215-2))*(3*K215)/(9*K215^2)</f>
        <v>0.48571428571428582</v>
      </c>
      <c r="AU215" s="4">
        <f>MIN(10*M215^0.5*K215^1.5,100*3.9*M215^0.5*K215^(5/3))/(PI()/4*N215^2)/X215</f>
        <v>136.58815600212856</v>
      </c>
      <c r="AV215" s="4">
        <f>MIN(0.7+0.3*(MIN(S215,AA215)+0.5*N215)/1.5/K215,1)</f>
        <v>0.74285714285714277</v>
      </c>
      <c r="AW215" s="4">
        <v>1.25</v>
      </c>
      <c r="AX215" s="4">
        <f>AX213</f>
        <v>1</v>
      </c>
      <c r="AY215" s="38">
        <f>AT215*AV215*AW215*AX215*AU215</f>
        <v>61.60404587034779</v>
      </c>
      <c r="AZ215" s="38">
        <f>AY215</f>
        <v>61.60404587034779</v>
      </c>
      <c r="BA215" s="38">
        <f>IF(M215&lt;50, 0.3*M215^(2/3), 2.12*LN(1+0.1*(M215+8)))</f>
        <v>4.7705058587582929</v>
      </c>
      <c r="BB215" s="38">
        <f>AX215* (M215^0.5/AS215^0.5)/(PI()/4*N215^2)/X215/0.72 *(0.7+(MIN(S215,AA215)+0.5*N215)/5/K215) *(3*Q215*K215)</f>
        <v>61.604045870347747</v>
      </c>
      <c r="BC215" s="38">
        <f>AY215/BB215</f>
        <v>1.0000000000000007</v>
      </c>
      <c r="BD215" s="38">
        <f>BH215/BB215</f>
        <v>7.4897678144559743</v>
      </c>
      <c r="BE215" s="4">
        <f>IF(BD215&lt;1,1,0)</f>
        <v>0</v>
      </c>
      <c r="BF215" s="4">
        <f>L215/N215*M215^0.5/0.19</f>
        <v>323.0781660605395</v>
      </c>
      <c r="BG215" s="4">
        <f>MIN(0.6+0.4*(AC215/AB215),2)</f>
        <v>1</v>
      </c>
      <c r="BH215" s="38">
        <f>2*M215*AB215*AD215^0.5*BG215*0.7/0.7</f>
        <v>461.40000000000003</v>
      </c>
      <c r="BI215" s="4">
        <f>MAX(1-0.7*AE215/5,0.3)</f>
        <v>0.44000000000000006</v>
      </c>
      <c r="BJ215" s="4">
        <f>BI215*J215*L215/(J215*N215/2.75/M215^0.5)</f>
        <v>74.275670377318036</v>
      </c>
      <c r="BK215" s="4">
        <f>BH215+BJ215</f>
        <v>535.67567037731806</v>
      </c>
      <c r="BM215" s="4">
        <f>MIN(1.5, 0.75+0.25*MIN(3,MAX(1,S215/N215))+0.4*MIN(1,(40*2*PI()*AM215^2/4/AO215/X215)/N215))</f>
        <v>1</v>
      </c>
      <c r="BN215" s="4">
        <f>(3*P215+30)*BM215*M215^0.5</f>
        <v>447.2324898752326</v>
      </c>
      <c r="BP215" s="4">
        <f>3.4/PI()^0.5*M215*AB215*AE215^0.5*BG215</f>
        <v>442.53902554318915</v>
      </c>
      <c r="BQ215" s="4">
        <f>8/3*AH215*AI215^2/(AG215-N215-22)/N215*(AG215^2-N215^2)/(AG215^2-(N215+22)^2)</f>
        <v>450.3525339151019</v>
      </c>
      <c r="BR215" s="4">
        <f>BQ215/BP215</f>
        <v>1.0176560888891599</v>
      </c>
      <c r="BZ215" s="4">
        <f>IF(W215=0,S215,MIN(W215/2,S215))</f>
        <v>57.3</v>
      </c>
      <c r="CD215" s="9"/>
      <c r="CF215" s="9"/>
      <c r="CG215" s="9"/>
      <c r="CH215" s="9">
        <f>IF(W215=0,MIN(S215,U215),MIN(W215/2,S215,U215))</f>
        <v>56</v>
      </c>
      <c r="CI215" s="9">
        <f>MAX(W215/2,S215)</f>
        <v>177.63</v>
      </c>
      <c r="CJ215" s="9">
        <f>(CH215/N215)^0.5*(CI215/CH215)^0.15</f>
        <v>1.1754818988273255</v>
      </c>
      <c r="CK215" s="70">
        <v>0</v>
      </c>
      <c r="CL215" s="9">
        <f>MIN(PI()*AM215^2/4*AN215*2/X215/N215/MAX(0.01,AO215),0.05)</f>
        <v>0</v>
      </c>
      <c r="CM215" s="9">
        <f>MAX(0,CK215*(CL215-0.5/50))</f>
        <v>0</v>
      </c>
      <c r="CN215" s="9">
        <f>MIN(1,(25/N215)^0.3)</f>
        <v>0.77971450958075206</v>
      </c>
      <c r="CO215" s="9">
        <f>IF(J215&gt;=800,0.68,IF(J215&gt;=700,0.75-(J215-700)*0.07/100,IF(J215&gt;=600,0.85-(J215-600)*0.1/100,IF(J215&gt;=500,1-(J215-500)*0.15/100,1.2-(J215-400)*0.2/100))))</f>
        <v>0.87549999999999994</v>
      </c>
      <c r="CP215" s="9">
        <f>1.75*CN215*CO215*(M215/25)^0.5</f>
        <v>2.0951879162491376</v>
      </c>
      <c r="CQ215" s="9">
        <f>MIN((CJ215+CM215)*CP215,2.5*CP215,M215^0.5)</f>
        <v>2.4628554701926038</v>
      </c>
      <c r="CR215" s="9">
        <v>1</v>
      </c>
      <c r="CS215" s="9">
        <f>4*CQ215*P215+60*CQ215</f>
        <v>216.73128137694914</v>
      </c>
      <c r="CU215" s="4">
        <f>AJ215/BF215</f>
        <v>1.2272571830982304</v>
      </c>
      <c r="CV215" s="4">
        <f>AJ215/BK215</f>
        <v>0.74018668744226179</v>
      </c>
      <c r="CW215" s="4">
        <f>AJ215/BN215</f>
        <v>0.88656349656218902</v>
      </c>
      <c r="CX215" s="4">
        <f>AJ215/CS215</f>
        <v>1.8294544169209646</v>
      </c>
      <c r="CY215" s="4">
        <f>AJ215/DZ215</f>
        <v>1.97217424829744</v>
      </c>
      <c r="CZ215" s="4">
        <f>AJ215/EL215</f>
        <v>1.3095784928162608</v>
      </c>
      <c r="DA215" s="4">
        <f>AJ215/GI215</f>
        <v>1.9447556217215154</v>
      </c>
      <c r="DC215" s="4">
        <f>CU215</f>
        <v>1.2272571830982304</v>
      </c>
      <c r="DD215" s="4">
        <f>CV215</f>
        <v>0.74018668744226179</v>
      </c>
      <c r="DE215" s="4">
        <f>CX215</f>
        <v>1.8294544169209646</v>
      </c>
      <c r="DF215" s="4">
        <f>DA215</f>
        <v>1.9447556217215154</v>
      </c>
      <c r="DG215" s="4">
        <f>CY215</f>
        <v>1.97217424829744</v>
      </c>
      <c r="DH215" s="4">
        <f>CZ215</f>
        <v>1.3095784928162608</v>
      </c>
      <c r="DP215" s="4">
        <f>AN215</f>
        <v>0</v>
      </c>
      <c r="DQ215" s="4">
        <f>L215</f>
        <v>401.09999999999997</v>
      </c>
      <c r="DT215" s="4">
        <f>K215/4/(1-0.3*(M215/30)^0.5)/200000/N215</f>
        <v>1.6837038197690092E-5</v>
      </c>
      <c r="DU215" s="4">
        <f>EP215</f>
        <v>7.2046859751136969</v>
      </c>
      <c r="DV215" s="4">
        <f>EC215*AG215/257/M215/AD215</f>
        <v>9.9845709001254349E-2</v>
      </c>
      <c r="DW215" s="4">
        <f>DU215*DV215^0.4</f>
        <v>2.8664661555419282</v>
      </c>
      <c r="DX215" s="4">
        <f>MIN(DU215, DU215/1.4*(1-DV215^1.4)/(1-DV215))</f>
        <v>5.4899172751891472</v>
      </c>
      <c r="DY215" s="4">
        <f>MAX(DU215/2, (4-DT215*(8*AG215*(DW215-DX215)+6*K215*DX215))/(4+DT215*K215*DU215)*DU215)</f>
        <v>6.8028136373548955</v>
      </c>
      <c r="DZ215" s="38">
        <f>MIN(1/N215*(4*AG215*(DW215-DX215)+(3*DX215+DY215)*K215)+EC215 -FJ215,MAX(J215,AJ215))</f>
        <v>201.04714395408763</v>
      </c>
      <c r="EA215" s="4">
        <f>DZ215/FF215</f>
        <v>1.0001115589616421</v>
      </c>
      <c r="EB215" s="4">
        <f>AG215/N215</f>
        <v>2.2360679774997898</v>
      </c>
      <c r="EC215" s="4">
        <f>MIN(EB$10*BB215)</f>
        <v>61.604045870347747</v>
      </c>
      <c r="EG215" s="4">
        <f>IF(U215&gt;1*N215,0.85,1)</f>
        <v>1</v>
      </c>
      <c r="EH215" s="4">
        <f>MIN(1,MAX(0.7,(1-0.1*(BZ215-1*N215)/N215)))</f>
        <v>1</v>
      </c>
      <c r="EI215" s="4">
        <f>MIN(1,MAX(0.7,1-0.3*(PI()*AM215^2/4*AQ215*2-0.25*PI()/4*N215^2)/(PI()/4*N215^2)))</f>
        <v>1</v>
      </c>
      <c r="EJ215" s="4">
        <f>IF(EH215*EI215&lt;0.7,0.7,EH215*EI215)</f>
        <v>1</v>
      </c>
      <c r="EL215" s="4">
        <f>MIN(DU215/N215*3*K215+EM215-FJ215,MAX(J215,AJ215))</f>
        <v>302.76917510100753</v>
      </c>
      <c r="EM215" s="25">
        <f>13.3*Q215*K215^0.5*M215^0.5/X215/N215^2*(0.7+S215/5/K215)</f>
        <v>151.4707696236199</v>
      </c>
      <c r="EP215" s="4">
        <f>IF(N215&lt;22.2,1.1*5*(M215/30)^0.5,IF(N215&gt;=31.8,0.9*5*(M215/30)^0.5,1*5*(M215/30)^0.5))/EG215/EJ215</f>
        <v>7.2046859751136969</v>
      </c>
      <c r="ES215" s="4">
        <f>ET215*N215</f>
        <v>128.12669511073796</v>
      </c>
      <c r="ET215" s="4">
        <f>AF215^0.5</f>
        <v>2.2360679774997898</v>
      </c>
      <c r="EU215" s="4">
        <f>MIN(EC215)/(4700*M215^0.5)/AE215*ES215</f>
        <v>4.787710043920379E-2</v>
      </c>
      <c r="EX215" s="4">
        <f>EU215</f>
        <v>4.787710043920379E-2</v>
      </c>
      <c r="EY215" s="4">
        <f>MIN(0.999, EX215/(0.3*(M215/30)^0.5))</f>
        <v>9.9679085121641781E-2</v>
      </c>
      <c r="EZ215" s="4">
        <f>EP215/1*EY215^0.4</f>
        <v>2.8645517576256423</v>
      </c>
      <c r="FA215" s="4">
        <f>EP215/1.4*(1-EY215^1.4)/(1-EY215)</f>
        <v>5.4894315716340385</v>
      </c>
      <c r="FB215" s="4">
        <f>MAX(0,DQ215*FB$9-ES215)</f>
        <v>172.69830488926203</v>
      </c>
      <c r="FC215" s="4">
        <f>MAX(0,DQ215-ES215-FB215)</f>
        <v>100.27499999999998</v>
      </c>
      <c r="FD215" s="4">
        <f>FC215/(1-0.3*(M215/30)^0.5)/200000/N215</f>
        <v>1.6837038197690092E-5</v>
      </c>
      <c r="FE215" s="4">
        <f>MAX(0.5*EP215, (1-2*FD215*(ES215*EZ215+FB215*FA215))/(1/EP215+FD215*FC215))</f>
        <v>6.8028925368852873</v>
      </c>
      <c r="FF215" s="4">
        <f>MIN(4/N215*(1*EZ215*ES215+FA215*FB215+FC215*FE215)+EC215,MAX(J215,AJ215))</f>
        <v>201.02471784530042</v>
      </c>
      <c r="FO215" s="23">
        <f>IF(CU215&lt;0.6,0.6,IF(CU215&lt;0.8,0.8,IF(CU215&lt;1,1,IF(CU215&lt;1.2,1.2,IF(CU215&lt;1.4,1.4,IF(CU215&lt;1.6,1.6,IF(CU215&lt;1.8,1.8,IF(CU215&lt;2,2,2.2))))))))</f>
        <v>1.4</v>
      </c>
      <c r="FP215" s="23">
        <f>IF(CV215&lt;0.6,0.6,IF(CV215&lt;0.8,0.8,IF(CV215&lt;1,1,IF(CV215&lt;1.2,1.2,IF(CV215&lt;1.4,1.4,IF(CV215&lt;1.6,1.6,IF(CV215&lt;1.8,1.8,IF(CV215&lt;2,2,2.2))))))))</f>
        <v>0.8</v>
      </c>
      <c r="FQ215" s="23">
        <f>IF(DA215&lt;0.6,0.6,IF(DA215&lt;0.8,0.8,IF(DA215&lt;1,1,IF(DA215&lt;1.2,1.2,IF(DA215&lt;1.4,1.4,IF(DA215&lt;1.6,1.6,IF(DA215&lt;1.8,1.8,IF(DA215&lt;2,2,2.2))))))))</f>
        <v>2</v>
      </c>
      <c r="FR215" s="23">
        <f>IF(CX215&lt;0.6,0.6,IF(CX215&lt;0.8,0.8,IF(CX215&lt;1,1,IF(CX215&lt;1.2,1.2,IF(CX215&lt;1.4,1.4,IF(CX215&lt;1.6,1.6,IF(CX215&lt;1.8,1.8,IF(CX215&lt;2,2,2.2))))))))</f>
        <v>2</v>
      </c>
      <c r="FS215" s="23">
        <f>IF(CY215&lt;0.6,0.6,IF(CY215&lt;0.8,0.8,IF(CY215&lt;1,1,IF(CY215&lt;1.2,1.2,IF(CY215&lt;1.4,1.4,IF(CY215&lt;1.6,1.6,IF(CY215&lt;1.8,1.8,IF(CY215&lt;2,2,2.2))))))))</f>
        <v>2</v>
      </c>
      <c r="FT215" s="23">
        <f>IF(CZ215&lt;0.6,0.6,IF(CZ215&lt;0.8,0.8,IF(CZ215&lt;1,1,IF(CZ215&lt;1.2,1.2,IF(CZ215&lt;1.4,1.4,IF(CZ215&lt;1.6,1.6,IF(CZ215&lt;1.8,1.8,IF(CZ215&lt;2,2,2.2))))))))</f>
        <v>1.4</v>
      </c>
      <c r="FU215" s="23">
        <f>IF(FS215&lt;1,1,0)</f>
        <v>0</v>
      </c>
      <c r="FV215" s="23"/>
      <c r="GF215" s="4">
        <f>IF(S215&gt;=2.5*25.4,1,1.25)</f>
        <v>1.25</v>
      </c>
      <c r="GG215" s="4">
        <f>IF(AO215&gt;1, 0.05*(18-MIN(8,(W215+N215)/N215))*(1-48000/MAX(60000,(J215*145))*(N215/25.4)^0.75*GH215), 1/12*(14-MIN(8,(W215+N215)/N215)))</f>
        <v>0.54</v>
      </c>
      <c r="GH215" s="4">
        <f>MIN(0.3, AM215^2*PI()/4*2*AP215/(N215^2*PI()/4*X215))</f>
        <v>0</v>
      </c>
      <c r="GI215" s="4">
        <f>(K215/25.4)/(N215/25.4)^1.5/0.0024*(M215*145)^0.25/GF215/GG215/145</f>
        <v>203.88165771132446</v>
      </c>
    </row>
    <row r="216" spans="1:196" ht="11.25" customHeight="1" x14ac:dyDescent="0.3">
      <c r="A216" s="52">
        <v>161</v>
      </c>
      <c r="B216" s="53" t="s">
        <v>128</v>
      </c>
      <c r="C216" s="53">
        <v>2017</v>
      </c>
      <c r="D216" s="53" t="s">
        <v>309</v>
      </c>
      <c r="E216" s="53"/>
      <c r="F216" s="115"/>
      <c r="G216" s="109" t="s">
        <v>789</v>
      </c>
      <c r="H216" s="60" t="s">
        <v>168</v>
      </c>
      <c r="I216" s="5">
        <f>K216/N216</f>
        <v>7</v>
      </c>
      <c r="J216" s="101">
        <v>583</v>
      </c>
      <c r="K216" s="32">
        <f>7*N216</f>
        <v>401.09999999999997</v>
      </c>
      <c r="L216" s="32">
        <f>K216</f>
        <v>401.09999999999997</v>
      </c>
      <c r="M216" s="79">
        <v>51.4</v>
      </c>
      <c r="N216" s="55">
        <v>57.3</v>
      </c>
      <c r="O216" s="32">
        <f>K216/N216</f>
        <v>7</v>
      </c>
      <c r="P216" s="32">
        <f>L216/N216</f>
        <v>7</v>
      </c>
      <c r="Q216" s="32">
        <f>W216+2*S216+2*N216</f>
        <v>584.46</v>
      </c>
      <c r="R216" s="32">
        <f>S216/N216</f>
        <v>1</v>
      </c>
      <c r="S216" s="32">
        <f>1*N216</f>
        <v>57.3</v>
      </c>
      <c r="T216" s="32">
        <f>U216/N216</f>
        <v>0.97731239092495636</v>
      </c>
      <c r="U216" s="32">
        <f>40+16</f>
        <v>56</v>
      </c>
      <c r="V216" s="32">
        <f>W216/N216</f>
        <v>6.2</v>
      </c>
      <c r="W216" s="32">
        <f>(7.2-1)*N216</f>
        <v>355.26</v>
      </c>
      <c r="X216" s="32">
        <v>2</v>
      </c>
      <c r="Y216" s="7">
        <f>AN216</f>
        <v>0</v>
      </c>
      <c r="Z216" s="32">
        <f>AA216/N216</f>
        <v>3.0436300174520068</v>
      </c>
      <c r="AA216" s="32">
        <f>2/3*K216-0.5*186</f>
        <v>174.39999999999998</v>
      </c>
      <c r="AB216" s="32">
        <f>MIN(S216/N216+0.5, W216/2/N216+0.5)</f>
        <v>1.5</v>
      </c>
      <c r="AC216" s="32">
        <f>S216/N216+0.5</f>
        <v>1.5</v>
      </c>
      <c r="AD216" s="32">
        <f>2040/510</f>
        <v>4</v>
      </c>
      <c r="AE216" s="32">
        <f>2040/510</f>
        <v>4</v>
      </c>
      <c r="AF216" s="32">
        <f>AE216+1</f>
        <v>5</v>
      </c>
      <c r="AG216" s="32">
        <f>N216*AF216^0.5</f>
        <v>128.12669511073796</v>
      </c>
      <c r="AH216" s="32">
        <f>J216</f>
        <v>583</v>
      </c>
      <c r="AI216" s="32">
        <v>25</v>
      </c>
      <c r="AJ216" s="32">
        <f>(338+330)/2</f>
        <v>334</v>
      </c>
      <c r="AK216" s="32"/>
      <c r="AL216" s="54">
        <f>CY216</f>
        <v>1.9952585337426647</v>
      </c>
      <c r="AM216" s="32">
        <v>0</v>
      </c>
      <c r="AN216" s="32">
        <v>0</v>
      </c>
      <c r="AO216" s="32">
        <f>L216</f>
        <v>401.09999999999997</v>
      </c>
      <c r="AP216" s="32"/>
      <c r="AQ216" s="32"/>
      <c r="AR216" s="32">
        <f>3*AS216/(W216+N216)</f>
        <v>2.9166666666666665</v>
      </c>
      <c r="AS216" s="54">
        <f>K216</f>
        <v>401.09999999999997</v>
      </c>
      <c r="AT216" s="54">
        <f>IF(K216*3&gt;W216+N216, Q216, (S216+N216/2)*2+1.5*K216*(2*X216-2))*(3*K216)/(9*K216^2)</f>
        <v>0.48571428571428582</v>
      </c>
      <c r="AU216" s="54">
        <f>MIN(10*M216^0.5*K216^1.5,100*3.9*M216^0.5*K216^(5/3))/(PI()/4*N216^2)/X216</f>
        <v>111.66869259763561</v>
      </c>
      <c r="AV216" s="54">
        <f>MIN(0.7+0.3*(MIN(S216,AA216)+0.5*N216)/1.5/K216,1)</f>
        <v>0.74285714285714277</v>
      </c>
      <c r="AW216" s="54">
        <v>1.25</v>
      </c>
      <c r="AX216" s="54">
        <f>AX214</f>
        <v>1</v>
      </c>
      <c r="AY216" s="56">
        <f>AT216*AV216*AW216*AX216*AU216</f>
        <v>50.364859314443827</v>
      </c>
      <c r="AZ216" s="56">
        <f>AY216</f>
        <v>50.364859314443827</v>
      </c>
      <c r="BA216" s="56">
        <f>IF(M216&lt;50, 0.3*M216^(2/3), 2.12*LN(1+0.1*(M216+8)))</f>
        <v>4.107079761979672</v>
      </c>
      <c r="BB216" s="56">
        <f>AX216* (M216^0.5/AS216^0.5)/(PI()/4*N216^2)/X216/0.72 *(0.7+(MIN(S216,AA216)+0.5*N216)/5/K216) *(3*Q216*K216)</f>
        <v>50.364859314443798</v>
      </c>
      <c r="BC216" s="56">
        <f>AY216/BB216</f>
        <v>1.0000000000000007</v>
      </c>
      <c r="BD216" s="56">
        <f>BH216/BB216</f>
        <v>6.1233170150354423</v>
      </c>
      <c r="BE216" s="54">
        <f>IF(BD216&lt;1,1,0)</f>
        <v>0</v>
      </c>
      <c r="BF216" s="54">
        <f>L216/N216*M216^0.5/0.19</f>
        <v>264.13502800535673</v>
      </c>
      <c r="BG216" s="54">
        <f>MIN(0.6+0.4*(AC216/AB216),2)</f>
        <v>1</v>
      </c>
      <c r="BH216" s="56">
        <f>2*M216*AB216*AD216^0.5*BG216*0.7/0.7</f>
        <v>308.39999999999998</v>
      </c>
      <c r="BI216" s="54">
        <f>MAX(1-0.7*AE216/5,0.3)</f>
        <v>0.44000000000000006</v>
      </c>
      <c r="BJ216" s="54">
        <f>BI216*J216*L216/(J216*N216/2.75/M216^0.5)</f>
        <v>60.724642938431515</v>
      </c>
      <c r="BK216" s="54">
        <f>BH216+BJ216</f>
        <v>369.12464293843152</v>
      </c>
      <c r="BL216" s="54"/>
      <c r="BM216" s="54">
        <f>MIN(1.5, 0.75+0.25*MIN(3,MAX(1,S216/N216))+0.4*MIN(1,(40*2*PI()*AM216^2/4/AO216/X216)/N216))</f>
        <v>1</v>
      </c>
      <c r="BN216" s="54">
        <f>(3*P216+30)*BM216*M216^0.5</f>
        <v>365.63834591027239</v>
      </c>
      <c r="BO216" s="54"/>
      <c r="BP216" s="54">
        <f>3.4/PI()^0.5*M216*AB216*AE216^0.5*BG216</f>
        <v>295.79331486241767</v>
      </c>
      <c r="BQ216" s="54">
        <f>8/3*AH216*AI216^2/(AG216-N216-22)/N216*(AG216^2-N216^2)/(AG216^2-(N216+22)^2)</f>
        <v>450.3525339151019</v>
      </c>
      <c r="BR216" s="54">
        <f>BQ216/BP216</f>
        <v>1.5225243820151051</v>
      </c>
      <c r="BS216" s="54"/>
      <c r="BT216" s="54"/>
      <c r="BU216" s="54"/>
      <c r="BV216" s="54"/>
      <c r="BW216" s="54"/>
      <c r="BX216" s="54"/>
      <c r="BY216" s="54"/>
      <c r="BZ216" s="54">
        <f>IF(W216=0,S216,MIN(W216/2,S216))</f>
        <v>57.3</v>
      </c>
      <c r="CA216" s="54"/>
      <c r="CB216" s="54"/>
      <c r="CC216" s="54"/>
      <c r="CD216" s="57"/>
      <c r="CE216" s="54"/>
      <c r="CF216" s="57"/>
      <c r="CG216" s="57"/>
      <c r="CH216" s="57">
        <f>IF(W216=0,MIN(S216,U216),MIN(W216/2,S216,U216))</f>
        <v>56</v>
      </c>
      <c r="CI216" s="57">
        <f>MAX(W216/2,S216)</f>
        <v>177.63</v>
      </c>
      <c r="CJ216" s="57">
        <f>(CH216/N216)^0.5*(CI216/CH216)^0.15</f>
        <v>1.1754818988273255</v>
      </c>
      <c r="CK216" s="71">
        <v>0</v>
      </c>
      <c r="CL216" s="57">
        <f>MIN(PI()*AM216^2/4*AN216*2/X216/N216/MAX(0.01,AO216),0.05)</f>
        <v>0</v>
      </c>
      <c r="CM216" s="57">
        <f>MAX(0,CK216*(CL216-0.5/50))</f>
        <v>0</v>
      </c>
      <c r="CN216" s="57">
        <f>MIN(1,(25/N216)^0.3)</f>
        <v>0.77971450958075206</v>
      </c>
      <c r="CO216" s="57">
        <f>IF(J216&gt;=800,0.68,IF(J216&gt;=700,0.75-(J216-700)*0.07/100,IF(J216&gt;=600,0.85-(J216-600)*0.1/100,IF(J216&gt;=500,1-(J216-500)*0.15/100,1.2-(J216-400)*0.2/100))))</f>
        <v>0.87549999999999994</v>
      </c>
      <c r="CP216" s="57">
        <f>1.75*CN216*CO216*(M216/25)^0.5</f>
        <v>1.7129369207551171</v>
      </c>
      <c r="CQ216" s="57">
        <f>MIN((CJ216+CM216)*CP216,2.5*CP216,M216^0.5)</f>
        <v>2.013526344180657</v>
      </c>
      <c r="CR216" s="57">
        <v>1</v>
      </c>
      <c r="CS216" s="57">
        <f>4*CQ216*P216+60*CQ216</f>
        <v>177.19031828789781</v>
      </c>
      <c r="CT216" s="54"/>
      <c r="CU216" s="54">
        <f>AJ216/BF216</f>
        <v>1.2645047592598222</v>
      </c>
      <c r="CV216" s="54">
        <f>AJ216/BK216</f>
        <v>0.90484340828935073</v>
      </c>
      <c r="CW216" s="54">
        <f>AJ216/BN216</f>
        <v>0.913470930321853</v>
      </c>
      <c r="CX216" s="54">
        <f>AJ216/CS216</f>
        <v>1.8849788364696016</v>
      </c>
      <c r="CY216" s="54">
        <f>AJ216/DZ216</f>
        <v>1.9952585337426647</v>
      </c>
      <c r="CZ216" s="54">
        <f>AJ216/EL216</f>
        <v>1.3493245422364921</v>
      </c>
      <c r="DA216" s="54">
        <f>AJ216/GI216</f>
        <v>1.8117952467104248</v>
      </c>
      <c r="DB216" s="54"/>
      <c r="DC216" s="54">
        <f>CU216</f>
        <v>1.2645047592598222</v>
      </c>
      <c r="DD216" s="54">
        <f>CV216</f>
        <v>0.90484340828935073</v>
      </c>
      <c r="DE216" s="54">
        <f>CX216</f>
        <v>1.8849788364696016</v>
      </c>
      <c r="DF216" s="54">
        <f>DA216</f>
        <v>1.8117952467104248</v>
      </c>
      <c r="DG216" s="54">
        <f>CY216</f>
        <v>1.9952585337426647</v>
      </c>
      <c r="DH216" s="54">
        <f>CZ216</f>
        <v>1.3493245422364921</v>
      </c>
      <c r="DI216" s="54"/>
      <c r="DJ216" s="54"/>
      <c r="DK216" s="54"/>
      <c r="DL216" s="54"/>
      <c r="DM216" s="54"/>
      <c r="DN216" s="54"/>
      <c r="DO216" s="54"/>
      <c r="DP216" s="54">
        <f>AN216</f>
        <v>0</v>
      </c>
      <c r="DQ216" s="54">
        <f>L216</f>
        <v>401.09999999999997</v>
      </c>
      <c r="DR216" s="54"/>
      <c r="DS216" s="54"/>
      <c r="DT216" s="54">
        <f>K216/4/(1-0.3*(M216/30)^0.5)/200000/N216</f>
        <v>1.4407634115999734E-5</v>
      </c>
      <c r="DU216" s="54">
        <f>EP216</f>
        <v>5.8902461748215584</v>
      </c>
      <c r="DV216" s="54">
        <f>EC216*AG216/257/M216/AD216</f>
        <v>0.12212681065718163</v>
      </c>
      <c r="DW216" s="54">
        <f>DU216*DV216^0.4</f>
        <v>2.5401411622844274</v>
      </c>
      <c r="DX216" s="54">
        <f>MIN(DU216, DU216/1.4*(1-DV216^1.4)/(1-DV216))</f>
        <v>4.5402154920656921</v>
      </c>
      <c r="DY216" s="54">
        <f>MAX(DU216/2, (4-DT216*(8*AG216*(DW216-DX216)+6*K216*DX216))/(4+DT216*K216*DU216)*DU216)</f>
        <v>5.6538110376601818</v>
      </c>
      <c r="DZ216" s="56">
        <f>MIN(1/N216*(4*AG216*(DW216-DX216)+(3*DX216+DY216)*K216)+EC216 -FJ216,MAX(J216,AJ216))</f>
        <v>167.39685326567164</v>
      </c>
      <c r="EA216" s="54">
        <f>DZ216/FF216</f>
        <v>1.0001220125325208</v>
      </c>
      <c r="EB216" s="54">
        <f>AG216/N216</f>
        <v>2.2360679774997898</v>
      </c>
      <c r="EC216" s="54">
        <f>MIN(EB$10*BB216)</f>
        <v>50.364859314443798</v>
      </c>
      <c r="ED216" s="54"/>
      <c r="EE216" s="54"/>
      <c r="EF216" s="54"/>
      <c r="EG216" s="54">
        <f>IF(U216&gt;1*N216,0.85,1)</f>
        <v>1</v>
      </c>
      <c r="EH216" s="54">
        <f>MIN(1,MAX(0.7,(1-0.1*(BZ216-1*N216)/N216)))</f>
        <v>1</v>
      </c>
      <c r="EI216" s="54">
        <f>MIN(1,MAX(0.7,1-0.3*(PI()*AM216^2/4*AQ216*2-0.25*PI()/4*N216^2)/(PI()/4*N216^2)))</f>
        <v>1</v>
      </c>
      <c r="EJ216" s="54">
        <f>IF(EH216*EI216&lt;0.7,0.7,EH216*EI216)</f>
        <v>1</v>
      </c>
      <c r="EK216" s="54"/>
      <c r="EL216" s="54">
        <f>MIN(DU216/N216*3*K216+EM216-FJ216,MAX(J216,AJ216))</f>
        <v>247.53125696980081</v>
      </c>
      <c r="EM216" s="52">
        <f>13.3*Q216*K216^0.5*M216^0.5/X216/N216^2*(0.7+S216/5/K216)</f>
        <v>123.83608729854809</v>
      </c>
      <c r="EN216" s="54"/>
      <c r="EO216" s="54"/>
      <c r="EP216" s="54">
        <f>IF(N216&lt;22.2,1.1*5*(M216/30)^0.5,IF(N216&gt;=31.8,0.9*5*(M216/30)^0.5,1*5*(M216/30)^0.5))/EG216/EJ216</f>
        <v>5.8902461748215584</v>
      </c>
      <c r="EQ216" s="54"/>
      <c r="ER216" s="54"/>
      <c r="ES216" s="54">
        <f>ET216*N216</f>
        <v>128.12669511073796</v>
      </c>
      <c r="ET216" s="54">
        <f>AF216^0.5</f>
        <v>2.2360679774997898</v>
      </c>
      <c r="EU216" s="54">
        <f>MIN(EC216)/(4700*M216^0.5)/AE216*ES216</f>
        <v>4.7877100439203797E-2</v>
      </c>
      <c r="EV216" s="54"/>
      <c r="EW216" s="54"/>
      <c r="EX216" s="54">
        <f>EU216</f>
        <v>4.7877100439203797E-2</v>
      </c>
      <c r="EY216" s="54">
        <f>MIN(0.999, EX216/(0.3*(M216/30)^0.5))</f>
        <v>0.12192300377153815</v>
      </c>
      <c r="EZ216" s="54">
        <f>EP216/1*EY216^0.4</f>
        <v>2.5384447037587452</v>
      </c>
      <c r="FA216" s="54">
        <f>EP216/1.4*(1-EY216^1.4)/(1-EY216)</f>
        <v>4.539751066089325</v>
      </c>
      <c r="FB216" s="54">
        <f>MAX(0,DQ216*FB$9-ES216)</f>
        <v>172.69830488926203</v>
      </c>
      <c r="FC216" s="54">
        <f>MAX(0,DQ216-ES216-FB216)</f>
        <v>100.27499999999998</v>
      </c>
      <c r="FD216" s="54">
        <f>FC216/(1-0.3*(M216/30)^0.5)/200000/N216</f>
        <v>1.4407634115999731E-5</v>
      </c>
      <c r="FE216" s="54">
        <f>MAX(0.5*EP216, (1-2*FD216*(ES216*EZ216+FB216*FA216))/(1/EP216+FD216*FC216))</f>
        <v>5.6538611172839657</v>
      </c>
      <c r="FF216" s="54">
        <f>MIN(4/N216*(1*EZ216*ES216+FA216*FB216+FC216*FE216)+EC216,MAX(J216,AJ216))</f>
        <v>167.37643124341136</v>
      </c>
      <c r="FG216" s="54"/>
      <c r="FH216" s="54"/>
      <c r="FI216" s="54"/>
      <c r="FJ216" s="54"/>
      <c r="FK216" s="54"/>
      <c r="FL216" s="54"/>
      <c r="FM216" s="54"/>
      <c r="FN216" s="54"/>
      <c r="FO216" s="58">
        <f>IF(CU216&lt;0.6,0.6,IF(CU216&lt;0.8,0.8,IF(CU216&lt;1,1,IF(CU216&lt;1.2,1.2,IF(CU216&lt;1.4,1.4,IF(CU216&lt;1.6,1.6,IF(CU216&lt;1.8,1.8,IF(CU216&lt;2,2,2.2))))))))</f>
        <v>1.4</v>
      </c>
      <c r="FP216" s="58">
        <f>IF(CV216&lt;0.6,0.6,IF(CV216&lt;0.8,0.8,IF(CV216&lt;1,1,IF(CV216&lt;1.2,1.2,IF(CV216&lt;1.4,1.4,IF(CV216&lt;1.6,1.6,IF(CV216&lt;1.8,1.8,IF(CV216&lt;2,2,2.2))))))))</f>
        <v>1</v>
      </c>
      <c r="FQ216" s="58">
        <f>IF(DA216&lt;0.6,0.6,IF(DA216&lt;0.8,0.8,IF(DA216&lt;1,1,IF(DA216&lt;1.2,1.2,IF(DA216&lt;1.4,1.4,IF(DA216&lt;1.6,1.6,IF(DA216&lt;1.8,1.8,IF(DA216&lt;2,2,2.2))))))))</f>
        <v>2</v>
      </c>
      <c r="FR216" s="58">
        <f>IF(CX216&lt;0.6,0.6,IF(CX216&lt;0.8,0.8,IF(CX216&lt;1,1,IF(CX216&lt;1.2,1.2,IF(CX216&lt;1.4,1.4,IF(CX216&lt;1.6,1.6,IF(CX216&lt;1.8,1.8,IF(CX216&lt;2,2,2.2))))))))</f>
        <v>2</v>
      </c>
      <c r="FS216" s="58">
        <f>IF(CY216&lt;0.6,0.6,IF(CY216&lt;0.8,0.8,IF(CY216&lt;1,1,IF(CY216&lt;1.2,1.2,IF(CY216&lt;1.4,1.4,IF(CY216&lt;1.6,1.6,IF(CY216&lt;1.8,1.8,IF(CY216&lt;2,2,2.2))))))))</f>
        <v>2</v>
      </c>
      <c r="FT216" s="58">
        <f>IF(CZ216&lt;0.6,0.6,IF(CZ216&lt;0.8,0.8,IF(CZ216&lt;1,1,IF(CZ216&lt;1.2,1.2,IF(CZ216&lt;1.4,1.4,IF(CZ216&lt;1.6,1.6,IF(CZ216&lt;1.8,1.8,IF(CZ216&lt;2,2,2.2))))))))</f>
        <v>1.4</v>
      </c>
      <c r="FU216" s="58">
        <f>IF(FS216&lt;1,1,0)</f>
        <v>0</v>
      </c>
      <c r="FV216" s="58"/>
      <c r="FW216" s="54"/>
      <c r="FX216" s="54"/>
      <c r="FY216" s="54"/>
      <c r="FZ216" s="54"/>
      <c r="GA216" s="54"/>
      <c r="GB216" s="54"/>
      <c r="GC216" s="54"/>
      <c r="GD216" s="54"/>
      <c r="GE216" s="54"/>
      <c r="GF216" s="54">
        <f>IF(S216&gt;=2.5*25.4,1,1.25)</f>
        <v>1.25</v>
      </c>
      <c r="GG216" s="54">
        <f>IF(AO216&gt;1, 0.05*(18-MIN(8,(W216+N216)/N216))*(1-48000/MAX(60000,(J216*145))*(N216/25.4)^0.75*GH216), 1/12*(14-MIN(8,(W216+N216)/N216)))</f>
        <v>0.54</v>
      </c>
      <c r="GH216" s="54">
        <f>MIN(0.3, AM216^2*PI()/4*2*AP216/(N216^2*PI()/4*X216))</f>
        <v>0</v>
      </c>
      <c r="GI216" s="54">
        <f>(K216/25.4)/(N216/25.4)^1.5/0.0024*(M216*145)^0.25/GF216/GG216/145</f>
        <v>184.3475418132513</v>
      </c>
      <c r="GJ216" s="54"/>
      <c r="GK216" s="54"/>
      <c r="GL216" s="54"/>
      <c r="GM216" s="54"/>
      <c r="GN216" s="54"/>
    </row>
    <row r="217" spans="1:196" ht="11.25" customHeight="1" x14ac:dyDescent="0.3">
      <c r="A217" s="52">
        <v>161</v>
      </c>
      <c r="B217" s="53" t="s">
        <v>128</v>
      </c>
      <c r="C217" s="53">
        <v>2017</v>
      </c>
      <c r="D217" s="53" t="s">
        <v>309</v>
      </c>
      <c r="E217" s="53"/>
      <c r="F217" s="115"/>
      <c r="G217" s="109" t="s">
        <v>788</v>
      </c>
      <c r="H217" s="60" t="s">
        <v>168</v>
      </c>
      <c r="I217" s="5">
        <f>K217/N217</f>
        <v>7</v>
      </c>
      <c r="J217" s="101">
        <v>583</v>
      </c>
      <c r="K217" s="32">
        <f>7*N217</f>
        <v>401.09999999999997</v>
      </c>
      <c r="L217" s="32">
        <f>K217</f>
        <v>401.09999999999997</v>
      </c>
      <c r="M217" s="79">
        <v>51.4</v>
      </c>
      <c r="N217" s="55">
        <v>57.3</v>
      </c>
      <c r="O217" s="32">
        <f>K217/N217</f>
        <v>7</v>
      </c>
      <c r="P217" s="32">
        <f>L217/N217</f>
        <v>7</v>
      </c>
      <c r="Q217" s="32">
        <f>W217+2*S217+2*N217</f>
        <v>584.46</v>
      </c>
      <c r="R217" s="32">
        <f>S217/N217</f>
        <v>1</v>
      </c>
      <c r="S217" s="32">
        <f>1*N217</f>
        <v>57.3</v>
      </c>
      <c r="T217" s="32">
        <f>U217/N217</f>
        <v>0.97731239092495636</v>
      </c>
      <c r="U217" s="32">
        <f>40+16</f>
        <v>56</v>
      </c>
      <c r="V217" s="32">
        <f>W217/N217</f>
        <v>6.2</v>
      </c>
      <c r="W217" s="32">
        <f>(7.2-1)*N217</f>
        <v>355.26</v>
      </c>
      <c r="X217" s="32">
        <v>2</v>
      </c>
      <c r="Y217" s="7">
        <f>AN217</f>
        <v>0</v>
      </c>
      <c r="Z217" s="32">
        <f>AA217/N217</f>
        <v>3.0436300174520068</v>
      </c>
      <c r="AA217" s="32">
        <f>2/3*K217-0.5*186</f>
        <v>174.39999999999998</v>
      </c>
      <c r="AB217" s="32">
        <f>MIN(S217/N217+0.5, W217/2/N217+0.5)</f>
        <v>1.5</v>
      </c>
      <c r="AC217" s="32">
        <f>S217/N217+0.5</f>
        <v>1.5</v>
      </c>
      <c r="AD217" s="32">
        <f>2040/510</f>
        <v>4</v>
      </c>
      <c r="AE217" s="32">
        <f>2040/510</f>
        <v>4</v>
      </c>
      <c r="AF217" s="32">
        <f>AE217+1</f>
        <v>5</v>
      </c>
      <c r="AG217" s="32">
        <f>N217*AF217^0.5</f>
        <v>128.12669511073796</v>
      </c>
      <c r="AH217" s="32">
        <f>J217</f>
        <v>583</v>
      </c>
      <c r="AI217" s="32">
        <v>25</v>
      </c>
      <c r="AJ217" s="32">
        <f>(338+330)/2</f>
        <v>334</v>
      </c>
      <c r="AK217" s="32"/>
      <c r="AL217" s="54">
        <f>CY217</f>
        <v>1.9952585337426647</v>
      </c>
      <c r="AM217" s="32">
        <v>0</v>
      </c>
      <c r="AN217" s="32">
        <v>0</v>
      </c>
      <c r="AO217" s="32">
        <f>L217</f>
        <v>401.09999999999997</v>
      </c>
      <c r="AP217" s="32"/>
      <c r="AQ217" s="32"/>
      <c r="AR217" s="32">
        <f>3*AS217/(W217+N217)</f>
        <v>2.9166666666666665</v>
      </c>
      <c r="AS217" s="54">
        <f>K217</f>
        <v>401.09999999999997</v>
      </c>
      <c r="AT217" s="54">
        <f>IF(K217*3&gt;W217+N217, Q217, (S217+N217/2)*2+1.5*K217*(2*X217-2))*(3*K217)/(9*K217^2)</f>
        <v>0.48571428571428582</v>
      </c>
      <c r="AU217" s="54">
        <f>MIN(10*M217^0.5*K217^1.5,100*3.9*M217^0.5*K217^(5/3))/(PI()/4*N217^2)/X217</f>
        <v>111.66869259763561</v>
      </c>
      <c r="AV217" s="54">
        <f>MIN(0.7+0.3*(MIN(S217,AA217)+0.5*N217)/1.5/K217,1)</f>
        <v>0.74285714285714277</v>
      </c>
      <c r="AW217" s="54">
        <v>1.25</v>
      </c>
      <c r="AX217" s="54">
        <f>AX215</f>
        <v>1</v>
      </c>
      <c r="AY217" s="56">
        <f>AT217*AV217*AW217*AX217*AU217</f>
        <v>50.364859314443827</v>
      </c>
      <c r="AZ217" s="56">
        <f>AY217</f>
        <v>50.364859314443827</v>
      </c>
      <c r="BA217" s="56">
        <f>IF(M217&lt;50, 0.3*M217^(2/3), 2.12*LN(1+0.1*(M217+8)))</f>
        <v>4.107079761979672</v>
      </c>
      <c r="BB217" s="56">
        <f>AX217* (M217^0.5/AS217^0.5)/(PI()/4*N217^2)/X217/0.72 *(0.7+(MIN(S217,AA217)+0.5*N217)/5/K217) *(3*Q217*K217)</f>
        <v>50.364859314443798</v>
      </c>
      <c r="BC217" s="56">
        <f>AY217/BB217</f>
        <v>1.0000000000000007</v>
      </c>
      <c r="BD217" s="56">
        <f>BH217/BB217</f>
        <v>6.1233170150354423</v>
      </c>
      <c r="BE217" s="54">
        <f>IF(BD217&lt;1,1,0)</f>
        <v>0</v>
      </c>
      <c r="BF217" s="54">
        <f>L217/N217*M217^0.5/0.19</f>
        <v>264.13502800535673</v>
      </c>
      <c r="BG217" s="54">
        <f>MIN(0.6+0.4*(AC217/AB217),2)</f>
        <v>1</v>
      </c>
      <c r="BH217" s="56">
        <f>2*M217*AB217*AD217^0.5*BG217*0.7/0.7</f>
        <v>308.39999999999998</v>
      </c>
      <c r="BI217" s="54">
        <f>MAX(1-0.7*AE217/5,0.3)</f>
        <v>0.44000000000000006</v>
      </c>
      <c r="BJ217" s="54">
        <f>BI217*J217*L217/(J217*N217/2.75/M217^0.5)</f>
        <v>60.724642938431515</v>
      </c>
      <c r="BK217" s="54">
        <f>BH217+BJ217</f>
        <v>369.12464293843152</v>
      </c>
      <c r="BL217" s="54"/>
      <c r="BM217" s="54">
        <f>MIN(1.5, 0.75+0.25*MIN(3,MAX(1,S217/N217))+0.4*MIN(1,(40*2*PI()*AM217^2/4/AO217/X217)/N217))</f>
        <v>1</v>
      </c>
      <c r="BN217" s="54">
        <f>(3*P217+30)*BM217*M217^0.5</f>
        <v>365.63834591027239</v>
      </c>
      <c r="BO217" s="54"/>
      <c r="BP217" s="54">
        <f>3.4/PI()^0.5*M217*AB217*AE217^0.5*BG217</f>
        <v>295.79331486241767</v>
      </c>
      <c r="BQ217" s="54">
        <f>8/3*AH217*AI217^2/(AG217-N217-22)/N217*(AG217^2-N217^2)/(AG217^2-(N217+22)^2)</f>
        <v>450.3525339151019</v>
      </c>
      <c r="BR217" s="54">
        <f>BQ217/BP217</f>
        <v>1.5225243820151051</v>
      </c>
      <c r="BS217" s="54"/>
      <c r="BT217" s="54"/>
      <c r="BU217" s="54"/>
      <c r="BV217" s="54"/>
      <c r="BW217" s="54"/>
      <c r="BX217" s="54"/>
      <c r="BY217" s="54"/>
      <c r="BZ217" s="54">
        <f>IF(W217=0,S217,MIN(W217/2,S217))</f>
        <v>57.3</v>
      </c>
      <c r="CA217" s="54"/>
      <c r="CB217" s="54"/>
      <c r="CC217" s="54"/>
      <c r="CD217" s="57"/>
      <c r="CE217" s="54"/>
      <c r="CF217" s="57"/>
      <c r="CG217" s="57"/>
      <c r="CH217" s="57">
        <f>IF(W217=0,MIN(S217,U217),MIN(W217/2,S217,U217))</f>
        <v>56</v>
      </c>
      <c r="CI217" s="57">
        <f>MAX(W217/2,S217)</f>
        <v>177.63</v>
      </c>
      <c r="CJ217" s="57">
        <f>(CH217/N217)^0.5*(CI217/CH217)^0.15</f>
        <v>1.1754818988273255</v>
      </c>
      <c r="CK217" s="71">
        <v>0</v>
      </c>
      <c r="CL217" s="57">
        <f>MIN(PI()*AM217^2/4*AN217*2/X217/N217/MAX(0.01,AO217),0.05)</f>
        <v>0</v>
      </c>
      <c r="CM217" s="57">
        <f>MAX(0,CK217*(CL217-0.5/50))</f>
        <v>0</v>
      </c>
      <c r="CN217" s="57">
        <f>MIN(1,(25/N217)^0.3)</f>
        <v>0.77971450958075206</v>
      </c>
      <c r="CO217" s="57">
        <f>IF(J217&gt;=800,0.68,IF(J217&gt;=700,0.75-(J217-700)*0.07/100,IF(J217&gt;=600,0.85-(J217-600)*0.1/100,IF(J217&gt;=500,1-(J217-500)*0.15/100,1.2-(J217-400)*0.2/100))))</f>
        <v>0.87549999999999994</v>
      </c>
      <c r="CP217" s="57">
        <f>1.75*CN217*CO217*(M217/25)^0.5</f>
        <v>1.7129369207551171</v>
      </c>
      <c r="CQ217" s="57">
        <f>MIN((CJ217+CM217)*CP217,2.5*CP217,M217^0.5)</f>
        <v>2.013526344180657</v>
      </c>
      <c r="CR217" s="57">
        <v>1</v>
      </c>
      <c r="CS217" s="57">
        <f>4*CQ217*P217+60*CQ217</f>
        <v>177.19031828789781</v>
      </c>
      <c r="CT217" s="54"/>
      <c r="CU217" s="54">
        <f>AJ217/BF217</f>
        <v>1.2645047592598222</v>
      </c>
      <c r="CV217" s="54">
        <f>AJ217/BK217</f>
        <v>0.90484340828935073</v>
      </c>
      <c r="CW217" s="54">
        <f>AJ217/BN217</f>
        <v>0.913470930321853</v>
      </c>
      <c r="CX217" s="54">
        <f>AJ217/CS217</f>
        <v>1.8849788364696016</v>
      </c>
      <c r="CY217" s="54">
        <f>AJ217/DZ217</f>
        <v>1.9952585337426647</v>
      </c>
      <c r="CZ217" s="54">
        <f>AJ217/EL217</f>
        <v>1.3493245422364921</v>
      </c>
      <c r="DA217" s="54">
        <f>AJ217/GI217</f>
        <v>1.8117952467104248</v>
      </c>
      <c r="DB217" s="54"/>
      <c r="DC217" s="54">
        <f>CU217</f>
        <v>1.2645047592598222</v>
      </c>
      <c r="DD217" s="54">
        <f>CV217</f>
        <v>0.90484340828935073</v>
      </c>
      <c r="DE217" s="54">
        <f>CX217</f>
        <v>1.8849788364696016</v>
      </c>
      <c r="DF217" s="54">
        <f>DA217</f>
        <v>1.8117952467104248</v>
      </c>
      <c r="DG217" s="54">
        <f>CY217</f>
        <v>1.9952585337426647</v>
      </c>
      <c r="DH217" s="54">
        <f>CZ217</f>
        <v>1.3493245422364921</v>
      </c>
      <c r="DI217" s="54"/>
      <c r="DJ217" s="54"/>
      <c r="DK217" s="54"/>
      <c r="DL217" s="54"/>
      <c r="DM217" s="54"/>
      <c r="DN217" s="54"/>
      <c r="DO217" s="54"/>
      <c r="DP217" s="54">
        <f>AN217</f>
        <v>0</v>
      </c>
      <c r="DQ217" s="54">
        <f>L217</f>
        <v>401.09999999999997</v>
      </c>
      <c r="DR217" s="54"/>
      <c r="DS217" s="54"/>
      <c r="DT217" s="54">
        <f>K217/4/(1-0.3*(M217/30)^0.5)/200000/N217</f>
        <v>1.4407634115999734E-5</v>
      </c>
      <c r="DU217" s="54">
        <f>EP217</f>
        <v>5.8902461748215584</v>
      </c>
      <c r="DV217" s="54">
        <f>EC217*AG217/257/M217/AD217</f>
        <v>0.12212681065718163</v>
      </c>
      <c r="DW217" s="54">
        <f>DU217*DV217^0.4</f>
        <v>2.5401411622844274</v>
      </c>
      <c r="DX217" s="54">
        <f>MIN(DU217, DU217/1.4*(1-DV217^1.4)/(1-DV217))</f>
        <v>4.5402154920656921</v>
      </c>
      <c r="DY217" s="54">
        <f>MAX(DU217/2, (4-DT217*(8*AG217*(DW217-DX217)+6*K217*DX217))/(4+DT217*K217*DU217)*DU217)</f>
        <v>5.6538110376601818</v>
      </c>
      <c r="DZ217" s="56">
        <f>MIN(1/N217*(4*AG217*(DW217-DX217)+(3*DX217+DY217)*K217)+EC217 -FJ217,MAX(J217,AJ217))</f>
        <v>167.39685326567164</v>
      </c>
      <c r="EA217" s="54">
        <f>DZ217/FF217</f>
        <v>1.0001220125325208</v>
      </c>
      <c r="EB217" s="54">
        <f>AG217/N217</f>
        <v>2.2360679774997898</v>
      </c>
      <c r="EC217" s="54">
        <f>MIN(EB$10*BB217)</f>
        <v>50.364859314443798</v>
      </c>
      <c r="ED217" s="54"/>
      <c r="EE217" s="54"/>
      <c r="EF217" s="54"/>
      <c r="EG217" s="54">
        <f>IF(U217&gt;1*N217,0.85,1)</f>
        <v>1</v>
      </c>
      <c r="EH217" s="54">
        <f>MIN(1,MAX(0.7,(1-0.1*(BZ217-1*N217)/N217)))</f>
        <v>1</v>
      </c>
      <c r="EI217" s="54">
        <f>MIN(1,MAX(0.7,1-0.3*(PI()*AM217^2/4*AQ217*2-0.25*PI()/4*N217^2)/(PI()/4*N217^2)))</f>
        <v>1</v>
      </c>
      <c r="EJ217" s="54">
        <f>IF(EH217*EI217&lt;0.7,0.7,EH217*EI217)</f>
        <v>1</v>
      </c>
      <c r="EK217" s="54"/>
      <c r="EL217" s="54">
        <f>MIN(DU217/N217*3*K217+EM217-FJ217,MAX(J217,AJ217))</f>
        <v>247.53125696980081</v>
      </c>
      <c r="EM217" s="52">
        <f>13.3*Q217*K217^0.5*M217^0.5/X217/N217^2*(0.7+S217/5/K217)</f>
        <v>123.83608729854809</v>
      </c>
      <c r="EN217" s="54"/>
      <c r="EO217" s="54"/>
      <c r="EP217" s="54">
        <f>IF(N217&lt;22.2,1.1*5*(M217/30)^0.5,IF(N217&gt;=31.8,0.9*5*(M217/30)^0.5,1*5*(M217/30)^0.5))/EG217/EJ217</f>
        <v>5.8902461748215584</v>
      </c>
      <c r="EQ217" s="54"/>
      <c r="ER217" s="54"/>
      <c r="ES217" s="54">
        <f>ET217*N217</f>
        <v>128.12669511073796</v>
      </c>
      <c r="ET217" s="54">
        <f>AF217^0.5</f>
        <v>2.2360679774997898</v>
      </c>
      <c r="EU217" s="54">
        <f>MIN(EC217)/(4700*M217^0.5)/AE217*ES217</f>
        <v>4.7877100439203797E-2</v>
      </c>
      <c r="EV217" s="54"/>
      <c r="EW217" s="54"/>
      <c r="EX217" s="54">
        <f>EU217</f>
        <v>4.7877100439203797E-2</v>
      </c>
      <c r="EY217" s="54">
        <f>MIN(0.999, EX217/(0.3*(M217/30)^0.5))</f>
        <v>0.12192300377153815</v>
      </c>
      <c r="EZ217" s="54">
        <f>EP217/1*EY217^0.4</f>
        <v>2.5384447037587452</v>
      </c>
      <c r="FA217" s="54">
        <f>EP217/1.4*(1-EY217^1.4)/(1-EY217)</f>
        <v>4.539751066089325</v>
      </c>
      <c r="FB217" s="54">
        <f>MAX(0,DQ217*FB$9-ES217)</f>
        <v>172.69830488926203</v>
      </c>
      <c r="FC217" s="54">
        <f>MAX(0,DQ217-ES217-FB217)</f>
        <v>100.27499999999998</v>
      </c>
      <c r="FD217" s="54">
        <f>FC217/(1-0.3*(M217/30)^0.5)/200000/N217</f>
        <v>1.4407634115999731E-5</v>
      </c>
      <c r="FE217" s="54">
        <f>MAX(0.5*EP217, (1-2*FD217*(ES217*EZ217+FB217*FA217))/(1/EP217+FD217*FC217))</f>
        <v>5.6538611172839657</v>
      </c>
      <c r="FF217" s="54">
        <f>MIN(4/N217*(1*EZ217*ES217+FA217*FB217+FC217*FE217)+EC217,MAX(J217,AJ217))</f>
        <v>167.37643124341136</v>
      </c>
      <c r="FG217" s="54"/>
      <c r="FH217" s="54"/>
      <c r="FI217" s="54"/>
      <c r="FJ217" s="54"/>
      <c r="FK217" s="54"/>
      <c r="FL217" s="54"/>
      <c r="FM217" s="54"/>
      <c r="FN217" s="54"/>
      <c r="FO217" s="58">
        <f>IF(CU217&lt;0.6,0.6,IF(CU217&lt;0.8,0.8,IF(CU217&lt;1,1,IF(CU217&lt;1.2,1.2,IF(CU217&lt;1.4,1.4,IF(CU217&lt;1.6,1.6,IF(CU217&lt;1.8,1.8,IF(CU217&lt;2,2,2.2))))))))</f>
        <v>1.4</v>
      </c>
      <c r="FP217" s="58">
        <f>IF(CV217&lt;0.6,0.6,IF(CV217&lt;0.8,0.8,IF(CV217&lt;1,1,IF(CV217&lt;1.2,1.2,IF(CV217&lt;1.4,1.4,IF(CV217&lt;1.6,1.6,IF(CV217&lt;1.8,1.8,IF(CV217&lt;2,2,2.2))))))))</f>
        <v>1</v>
      </c>
      <c r="FQ217" s="58">
        <f>IF(DA217&lt;0.6,0.6,IF(DA217&lt;0.8,0.8,IF(DA217&lt;1,1,IF(DA217&lt;1.2,1.2,IF(DA217&lt;1.4,1.4,IF(DA217&lt;1.6,1.6,IF(DA217&lt;1.8,1.8,IF(DA217&lt;2,2,2.2))))))))</f>
        <v>2</v>
      </c>
      <c r="FR217" s="58">
        <f>IF(CX217&lt;0.6,0.6,IF(CX217&lt;0.8,0.8,IF(CX217&lt;1,1,IF(CX217&lt;1.2,1.2,IF(CX217&lt;1.4,1.4,IF(CX217&lt;1.6,1.6,IF(CX217&lt;1.8,1.8,IF(CX217&lt;2,2,2.2))))))))</f>
        <v>2</v>
      </c>
      <c r="FS217" s="58">
        <f>IF(CY217&lt;0.6,0.6,IF(CY217&lt;0.8,0.8,IF(CY217&lt;1,1,IF(CY217&lt;1.2,1.2,IF(CY217&lt;1.4,1.4,IF(CY217&lt;1.6,1.6,IF(CY217&lt;1.8,1.8,IF(CY217&lt;2,2,2.2))))))))</f>
        <v>2</v>
      </c>
      <c r="FT217" s="58">
        <f>IF(CZ217&lt;0.6,0.6,IF(CZ217&lt;0.8,0.8,IF(CZ217&lt;1,1,IF(CZ217&lt;1.2,1.2,IF(CZ217&lt;1.4,1.4,IF(CZ217&lt;1.6,1.6,IF(CZ217&lt;1.8,1.8,IF(CZ217&lt;2,2,2.2))))))))</f>
        <v>1.4</v>
      </c>
      <c r="FU217" s="58">
        <f>IF(FS217&lt;1,1,0)</f>
        <v>0</v>
      </c>
      <c r="FV217" s="58"/>
      <c r="FW217" s="54"/>
      <c r="FX217" s="54"/>
      <c r="FY217" s="54"/>
      <c r="FZ217" s="54"/>
      <c r="GA217" s="54"/>
      <c r="GB217" s="54"/>
      <c r="GC217" s="54"/>
      <c r="GD217" s="54"/>
      <c r="GE217" s="54"/>
      <c r="GF217" s="54">
        <f>IF(S217&gt;=2.5*25.4,1,1.25)</f>
        <v>1.25</v>
      </c>
      <c r="GG217" s="54">
        <f>IF(AO217&gt;1, 0.05*(18-MIN(8,(W217+N217)/N217))*(1-48000/MAX(60000,(J217*145))*(N217/25.4)^0.75*GH217), 1/12*(14-MIN(8,(W217+N217)/N217)))</f>
        <v>0.54</v>
      </c>
      <c r="GH217" s="54">
        <f>MIN(0.3, AM217^2*PI()/4*2*AP217/(N217^2*PI()/4*X217))</f>
        <v>0</v>
      </c>
      <c r="GI217" s="54">
        <f>(K217/25.4)/(N217/25.4)^1.5/0.0024*(M217*145)^0.25/GF217/GG217/145</f>
        <v>184.3475418132513</v>
      </c>
      <c r="GJ217" s="54"/>
      <c r="GK217" s="54"/>
      <c r="GL217" s="54"/>
      <c r="GM217" s="54"/>
      <c r="GN217" s="54"/>
    </row>
    <row r="218" spans="1:196" ht="12" hidden="1" customHeight="1" x14ac:dyDescent="0.3">
      <c r="A218" s="25">
        <v>194</v>
      </c>
      <c r="B218" s="24" t="s">
        <v>182</v>
      </c>
      <c r="C218" s="4">
        <v>1996</v>
      </c>
      <c r="D218" s="24" t="s">
        <v>309</v>
      </c>
      <c r="E218" s="24"/>
      <c r="F218" s="24"/>
      <c r="G218" s="24"/>
      <c r="H218" s="4" t="s">
        <v>328</v>
      </c>
      <c r="J218" s="7">
        <v>556</v>
      </c>
      <c r="K218" s="7">
        <f>381-U218-25</f>
        <v>280</v>
      </c>
      <c r="L218" s="7">
        <f>K218</f>
        <v>280</v>
      </c>
      <c r="M218" s="7">
        <v>26.7</v>
      </c>
      <c r="N218" s="7">
        <v>35.799999999999997</v>
      </c>
      <c r="O218" s="7">
        <f>K218/N218</f>
        <v>7.8212290502793298</v>
      </c>
      <c r="P218" s="7">
        <f>L218/N218</f>
        <v>7.8212290502793298</v>
      </c>
      <c r="Q218" s="7">
        <v>305</v>
      </c>
      <c r="R218" s="7"/>
      <c r="S218" s="7">
        <v>76</v>
      </c>
      <c r="T218" s="7"/>
      <c r="U218" s="7">
        <v>76</v>
      </c>
      <c r="V218" s="7"/>
      <c r="W218" s="7">
        <f>Q218-2*N218-2*S218</f>
        <v>81.400000000000006</v>
      </c>
      <c r="X218" s="7">
        <v>2</v>
      </c>
      <c r="Y218" s="7"/>
      <c r="Z218" s="7"/>
      <c r="AA218" s="7">
        <f>775-(343+152)</f>
        <v>280</v>
      </c>
      <c r="AB218" s="7">
        <f>MIN(S218/N218+0.5, W218/2/N218+0.5)</f>
        <v>1.6368715083798884</v>
      </c>
      <c r="AC218" s="7">
        <f>S218/N218+0.5</f>
        <v>2.6229050279329611</v>
      </c>
      <c r="AD218" s="7">
        <f>5500/(N218^2*PI()/4)-1</f>
        <v>4.4639504822285474</v>
      </c>
      <c r="AE218" s="7">
        <f>5500/(N218^2*PI()/4)-1</f>
        <v>4.4639504822285474</v>
      </c>
      <c r="AF218" s="7">
        <f>AE218+1</f>
        <v>5.4639504822285474</v>
      </c>
      <c r="AG218" s="7">
        <f>N218*AF218^0.5</f>
        <v>83.682838718840046</v>
      </c>
      <c r="AH218" s="7">
        <f>J218</f>
        <v>556</v>
      </c>
      <c r="AI218" s="7">
        <v>25</v>
      </c>
      <c r="AJ218" s="7"/>
      <c r="AK218" s="32" t="s">
        <v>183</v>
      </c>
      <c r="AL218" s="4">
        <f>CY218</f>
        <v>0</v>
      </c>
      <c r="AM218" s="7">
        <v>0</v>
      </c>
      <c r="AN218" s="7">
        <v>0</v>
      </c>
      <c r="AO218" s="7">
        <f>L218</f>
        <v>280</v>
      </c>
      <c r="AP218" s="7"/>
      <c r="AQ218" s="7"/>
      <c r="AR218" s="7">
        <f>3*AS218/(W218+N218)</f>
        <v>7.1672354948805461</v>
      </c>
      <c r="AS218" s="4">
        <f>K218</f>
        <v>280</v>
      </c>
      <c r="AT218" s="4">
        <f>IF(K218*3&gt;W218+N218, Q218, (S218+N218/2)*2+1.5*K218*(2*X218-2))*(3*K218)/(9*K218^2)</f>
        <v>0.36309523809523808</v>
      </c>
      <c r="AU218" s="4">
        <f>MIN(10*M218^0.5*K218^1.5,100*3.9*M218^0.5*K218^(5/3))/(PI()/4*N218^2)/X218</f>
        <v>120.25599814291758</v>
      </c>
      <c r="AV218" s="4">
        <f>MIN(0.7+0.3*(MIN(S218,AA218)+0.5*N218)/1.5/K218,1)</f>
        <v>0.76707142857142852</v>
      </c>
      <c r="AW218" s="4">
        <v>1.25</v>
      </c>
      <c r="AX218" s="4">
        <f>AX166</f>
        <v>1</v>
      </c>
      <c r="AY218" s="38">
        <f>AT218*AV218*AW218*AX218*AU218</f>
        <v>41.867123196994207</v>
      </c>
      <c r="AZ218" s="38">
        <f>AY218</f>
        <v>41.867123196994207</v>
      </c>
      <c r="BA218" s="38">
        <f>IF(M218&lt;50, 0.3*M218^(2/3), 2.12*LN(1+0.1*(M218+8)))</f>
        <v>2.6799627788697054</v>
      </c>
      <c r="BB218" s="38">
        <f>AX218* (M218^0.5/AS218^0.5)/(PI()/4*N218^2)/X218/0.72 *(0.7+(MIN(S218,AA218)+0.5*N218)/5/K218) *(3*Q218*K218)</f>
        <v>41.867123196994221</v>
      </c>
      <c r="BC218" s="38">
        <f>AY218/BB218</f>
        <v>0.99999999999999967</v>
      </c>
      <c r="BD218" s="38">
        <f>BH218/BB218</f>
        <v>5.4739227529912071</v>
      </c>
      <c r="BE218" s="4">
        <f>IF(BD218&lt;1,1,0)</f>
        <v>0</v>
      </c>
      <c r="BF218" s="4">
        <f>L218/N218*M218^0.5/0.19</f>
        <v>212.70467457652856</v>
      </c>
      <c r="BG218" s="4">
        <f>MIN(0.6+0.4*(AC218/AB218),2)</f>
        <v>1.2409556313993173</v>
      </c>
      <c r="BH218" s="38">
        <f>2*M218*AB218*AD218^0.5*BG218*0.7/0.7</f>
        <v>229.17739827031264</v>
      </c>
      <c r="BI218" s="4">
        <f>MAX(1-0.7*AE218/5,0.3)</f>
        <v>0.37504693248800336</v>
      </c>
      <c r="BJ218" s="4">
        <f>BI218*J218*L218/(J218*N218/2.75/M218^0.5)</f>
        <v>41.682038166723196</v>
      </c>
      <c r="BK218" s="4">
        <f>BH218+BJ218</f>
        <v>270.85943643703581</v>
      </c>
      <c r="BM218" s="4">
        <f>MIN(1.5, 0.75+0.25*MIN(3,MAX(1,S218/N218))+0.4*MIN(1,(40*2*PI()*AM218^2/4/AO218/X218)/N218))</f>
        <v>1.2807262569832403</v>
      </c>
      <c r="BN218" s="4">
        <f>(3*P218+30)*BM218*M218^0.5</f>
        <v>353.81060880941163</v>
      </c>
      <c r="BP218" s="4">
        <f>3.4/PI()^0.5*M218*AB218*AE218^0.5*BG218</f>
        <v>219.80915151076618</v>
      </c>
      <c r="BQ218" s="4">
        <f>8/3*AH218*AI218^2/(AG218-N218-22)/N218*(AG218^2-N218^2)/(AG218^2-(N218+22)^2)</f>
        <v>1562.4220485187734</v>
      </c>
      <c r="BR218" s="4">
        <f>BQ218/BP218</f>
        <v>7.1080846169512029</v>
      </c>
      <c r="BZ218" s="4">
        <f>IF(W218=0,S218,MIN(W218/2,S218))</f>
        <v>40.700000000000003</v>
      </c>
      <c r="CD218" s="9"/>
      <c r="CF218" s="9"/>
      <c r="CG218" s="9"/>
      <c r="CH218" s="9">
        <f>IF(W218=0,MIN(S218,U218),MIN(W218/2,S218,U218))</f>
        <v>40.700000000000003</v>
      </c>
      <c r="CI218" s="9">
        <f>MAX(W218/2,S218)</f>
        <v>76</v>
      </c>
      <c r="CJ218" s="9">
        <f>(CH218/N218)^0.5*(CI218/CH218)^0.15</f>
        <v>1.1709505872794554</v>
      </c>
      <c r="CK218" s="70">
        <v>0</v>
      </c>
      <c r="CL218" s="9">
        <f>MIN(PI()*AM218^2/4*AN218*2/X218/N218/MAX(0.01,AO218),0.05)</f>
        <v>0</v>
      </c>
      <c r="CM218" s="9">
        <f>MAX(0,CK218*(CL218-0.5/50))</f>
        <v>0</v>
      </c>
      <c r="CN218" s="9">
        <f>MIN(1,(25/N218)^0.3)</f>
        <v>0.89787751228078194</v>
      </c>
      <c r="CO218" s="9">
        <f>IF(J218&gt;=800,0.68,IF(J218&gt;=700,0.75-(J218-700)*0.07/100,IF(J218&gt;=600,0.85-(J218-600)*0.1/100,IF(J218&gt;=500,1-(J218-500)*0.15/100,1.2-(J218-400)*0.2/100))))</f>
        <v>0.91600000000000004</v>
      </c>
      <c r="CP218" s="9">
        <f>1.75*CN218*CO218*(M218/25)^0.5</f>
        <v>1.4874289957293467</v>
      </c>
      <c r="CQ218" s="9">
        <f>MIN((CJ218+CM218)*CP218,2.5*CP218,M218^0.5)</f>
        <v>1.7417058560857692</v>
      </c>
      <c r="CR218" s="9">
        <v>1</v>
      </c>
      <c r="CS218" s="9">
        <f>4*CQ218*P218+60*CQ218</f>
        <v>158.99147311978476</v>
      </c>
      <c r="DP218" s="4">
        <f>AN218</f>
        <v>0</v>
      </c>
      <c r="DQ218" s="4">
        <f>L218</f>
        <v>280</v>
      </c>
      <c r="DT218" s="4">
        <f>K218/4/(1-0.3*(M218/30)^0.5)/200000/N218</f>
        <v>1.3635706148731076E-5</v>
      </c>
      <c r="DU218" s="4">
        <f>EP218</f>
        <v>5.0637691717870918</v>
      </c>
      <c r="DV218" s="4">
        <f>EC218*AG218/257/M218/AD218</f>
        <v>0.1143788620168127</v>
      </c>
      <c r="DW218" s="4">
        <f>DU218*DV218^0.4</f>
        <v>2.1272190274424672</v>
      </c>
      <c r="DX218" s="4">
        <f>MIN(DU218, DU218/1.4*(1-DV218^1.4)/(1-DV218))</f>
        <v>3.8878768434170707</v>
      </c>
      <c r="DY218" s="4">
        <f>MAX(DU218/2, (4-DT218*(8*AG218*(DW218-DX218)+6*K218*DX218))/(4+DT218*K218*DU218)*DU218)</f>
        <v>4.9474538094628722</v>
      </c>
      <c r="DZ218" s="38">
        <f>MIN(1/N218*(4*AG218*(DW218-DX218)+(3*DX218+DY218)*K218)+EC218 -FJ218,MAX(J218,AJ218))</f>
        <v>155.32400137875041</v>
      </c>
      <c r="EA218" s="4">
        <f>DZ218/FF218</f>
        <v>1.0001188681402942</v>
      </c>
      <c r="EB218" s="4">
        <f>AG218/N218</f>
        <v>2.3375094614201131</v>
      </c>
      <c r="EC218" s="4">
        <f>MIN(EB$10*BB218)</f>
        <v>41.867123196994221</v>
      </c>
      <c r="EG218" s="4">
        <f>IF(U218&gt;1*N218,0.85,1)</f>
        <v>0.85</v>
      </c>
      <c r="EH218" s="4">
        <f>MIN(1,MAX(0.7,(1-0.1*(BZ218-1*N218)/N218)))</f>
        <v>0.98631284916201112</v>
      </c>
      <c r="EI218" s="4">
        <f>MIN(1,MAX(0.7,1-0.3*(PI()*AM218^2/4*AQ218*2-0.25*PI()/4*N218^2)/(PI()/4*N218^2)))</f>
        <v>1</v>
      </c>
      <c r="EJ218" s="4">
        <f>IF(EH218*EI218&lt;0.7,0.7,EH218*EI218)</f>
        <v>0.98631284916201112</v>
      </c>
      <c r="EL218" s="4">
        <f>MIN(DU218/N218*3*K218+EM218-FJ218,MAX(J218,AJ218))</f>
        <v>222.0256895508856</v>
      </c>
      <c r="EM218" s="25">
        <f>13.3*Q218*K218^0.5*M218^0.5/X218/N218^2*(0.7+S218/5/K218)</f>
        <v>103.2109939000153</v>
      </c>
      <c r="EO218" s="4">
        <f>EG218*EJ218</f>
        <v>0.83836592178770941</v>
      </c>
      <c r="EP218" s="4">
        <f>IF(N218&lt;22.2,1.1*5*(M218/30)^0.5,IF(N218&gt;=31.8,0.9*5*(M218/30)^0.5,1*5*(M218/30)^0.5))/EG218/EJ218</f>
        <v>5.0637691717870918</v>
      </c>
      <c r="ES218" s="4">
        <f>ET218*N218</f>
        <v>83.682838718840046</v>
      </c>
      <c r="ET218" s="4">
        <f>AF218^0.5</f>
        <v>2.3375094614201131</v>
      </c>
      <c r="EU218" s="4">
        <f>MIN(EC218)/(4700*M218^0.5)/AE218*ES218</f>
        <v>3.2317418883727446E-2</v>
      </c>
      <c r="EX218" s="4">
        <f>EU218</f>
        <v>3.2317418883727446E-2</v>
      </c>
      <c r="EY218" s="4">
        <f>MIN(0.999, EX218/(0.3*(M218/30)^0.5))</f>
        <v>0.11418798501342867</v>
      </c>
      <c r="EZ218" s="4">
        <f>EP218/1*EY218^0.4</f>
        <v>2.1257983430692198</v>
      </c>
      <c r="FA218" s="4">
        <f>EP218/1.4*(1-EY218^1.4)/(1-EY218)</f>
        <v>3.8874972993969492</v>
      </c>
      <c r="FB218" s="4">
        <f>MAX(0,DQ218*FB$9-ES218)</f>
        <v>126.31716128115995</v>
      </c>
      <c r="FC218" s="4">
        <f>MAX(0,DQ218-ES218-FB218)</f>
        <v>69.999999999999986</v>
      </c>
      <c r="FD218" s="4">
        <f>FC218/(1-0.3*(M218/30)^0.5)/200000/N218</f>
        <v>1.3635706148731075E-5</v>
      </c>
      <c r="FE218" s="4">
        <f>MAX(0.5*EP218, (1-2*FD218*(ES218*EZ218+FB218*FA218))/(1/EP218+FD218*FC218))</f>
        <v>4.9474767371990334</v>
      </c>
      <c r="FF218" s="4">
        <f>MIN(4/N218*(1*EZ218*ES218+FA218*FB218+FC218*FE218)+EC218,MAX(J218,AJ218))</f>
        <v>155.30554049797405</v>
      </c>
      <c r="FO218" s="23"/>
      <c r="FP218" s="23"/>
      <c r="FQ218" s="23"/>
      <c r="FR218" s="23"/>
      <c r="FS218" s="23"/>
      <c r="FT218" s="23"/>
      <c r="FU218" s="23"/>
      <c r="FV218" s="23"/>
      <c r="GF218" s="4">
        <f>IF(S218&gt;=2.5*25.4,1,1.25)</f>
        <v>1</v>
      </c>
      <c r="GG218" s="4">
        <f>IF(AO218&gt;1, 0.05*(18-MIN(8,(W218+N218)/N218))*(1-48000/MAX(60000,(J218*145))*(N218/25.4)^0.75*GH218), 1/12*(14-MIN(8,(W218+N218)/N218)))</f>
        <v>0.73631284916201123</v>
      </c>
      <c r="GH218" s="4">
        <f>MIN(0.3, AM218^2*PI()/4*2*AP218/(N218^2*PI()/4*X218))</f>
        <v>0</v>
      </c>
      <c r="GI218" s="4">
        <f>(K218/25.4)/(N218/25.4)^1.5/0.0024*(M218*145)^0.25/GF218/GG218/145</f>
        <v>202.80494600576549</v>
      </c>
    </row>
    <row r="219" spans="1:196" ht="12" hidden="1" customHeight="1" x14ac:dyDescent="0.3">
      <c r="A219" s="25">
        <v>195</v>
      </c>
      <c r="B219" s="24" t="s">
        <v>182</v>
      </c>
      <c r="C219" s="4">
        <v>1996</v>
      </c>
      <c r="D219" s="24" t="s">
        <v>309</v>
      </c>
      <c r="G219" s="4"/>
      <c r="H219" s="4" t="s">
        <v>329</v>
      </c>
      <c r="J219" s="7">
        <v>556</v>
      </c>
      <c r="K219" s="7">
        <f>381-U219-25</f>
        <v>280</v>
      </c>
      <c r="L219" s="7">
        <f>K219</f>
        <v>280</v>
      </c>
      <c r="M219" s="7">
        <v>29.4</v>
      </c>
      <c r="N219" s="7">
        <v>35.799999999999997</v>
      </c>
      <c r="O219" s="7">
        <f>K219/N219</f>
        <v>7.8212290502793298</v>
      </c>
      <c r="P219" s="7">
        <f>L219/N219</f>
        <v>7.8212290502793298</v>
      </c>
      <c r="Q219" s="7">
        <v>305</v>
      </c>
      <c r="R219" s="7"/>
      <c r="S219" s="7">
        <v>76</v>
      </c>
      <c r="T219" s="7"/>
      <c r="U219" s="7">
        <v>76</v>
      </c>
      <c r="V219" s="7"/>
      <c r="W219" s="7">
        <f>Q219-2*N219-2*S219</f>
        <v>81.400000000000006</v>
      </c>
      <c r="X219" s="7">
        <v>2</v>
      </c>
      <c r="Y219" s="7"/>
      <c r="Z219" s="7"/>
      <c r="AA219" s="7">
        <f>775-(343+152)</f>
        <v>280</v>
      </c>
      <c r="AB219" s="7">
        <f>MIN(S219/N219+0.5, W219/2/N219+0.5)</f>
        <v>1.6368715083798884</v>
      </c>
      <c r="AC219" s="7">
        <f>S219/N219+0.5</f>
        <v>2.6229050279329611</v>
      </c>
      <c r="AD219" s="7">
        <f>5500/(N219^2*PI()/4)-1</f>
        <v>4.4639504822285474</v>
      </c>
      <c r="AE219" s="7">
        <f>5500/(N219^2*PI()/4)-1</f>
        <v>4.4639504822285474</v>
      </c>
      <c r="AF219" s="7">
        <f>AE219+1</f>
        <v>5.4639504822285474</v>
      </c>
      <c r="AG219" s="7">
        <f>N219*AF219^0.5</f>
        <v>83.682838718840046</v>
      </c>
      <c r="AH219" s="7">
        <f>J219</f>
        <v>556</v>
      </c>
      <c r="AI219" s="7">
        <v>25</v>
      </c>
      <c r="AJ219" s="7"/>
      <c r="AK219" s="32" t="s">
        <v>183</v>
      </c>
      <c r="AL219" s="4">
        <f>CY219</f>
        <v>0</v>
      </c>
      <c r="AM219" s="7">
        <v>0</v>
      </c>
      <c r="AN219" s="7">
        <v>0</v>
      </c>
      <c r="AO219" s="7">
        <f>L219</f>
        <v>280</v>
      </c>
      <c r="AP219" s="7"/>
      <c r="AQ219" s="7"/>
      <c r="AR219" s="7">
        <f>3*AS219/(W219+N219)</f>
        <v>7.1672354948805461</v>
      </c>
      <c r="AS219" s="4">
        <f>K219</f>
        <v>280</v>
      </c>
      <c r="AT219" s="4">
        <f>IF(K219*3&gt;W219+N219, Q219, (S219+N219/2)*2+1.5*K219*(2*X219-2))*(3*K219)/(9*K219^2)</f>
        <v>0.36309523809523808</v>
      </c>
      <c r="AU219" s="4">
        <f>MIN(10*M219^0.5*K219^1.5,100*3.9*M219^0.5*K219^(5/3))/(PI()/4*N219^2)/X219</f>
        <v>126.18995395992187</v>
      </c>
      <c r="AV219" s="4">
        <f>MIN(0.7+0.3*(MIN(S219,AA219)+0.5*N219)/1.5/K219,1)</f>
        <v>0.76707142857142852</v>
      </c>
      <c r="AW219" s="4">
        <v>1.25</v>
      </c>
      <c r="AX219" s="4">
        <f>AX218</f>
        <v>1</v>
      </c>
      <c r="AY219" s="38">
        <f>AT219*AV219*AW219*AX219*AU219</f>
        <v>43.933029788537226</v>
      </c>
      <c r="AZ219" s="38">
        <f>AY219</f>
        <v>43.933029788537226</v>
      </c>
      <c r="BA219" s="38">
        <f>IF(M219&lt;50, 0.3*M219^(2/3), 2.12*LN(1+0.1*(M219+8)))</f>
        <v>2.8577186887004142</v>
      </c>
      <c r="BB219" s="38">
        <f>AX219* (M219^0.5/AS219^0.5)/(PI()/4*N219^2)/X219/0.72 *(0.7+(MIN(S219,AA219)+0.5*N219)/5/K219) *(3*Q219*K219)</f>
        <v>43.933029788537254</v>
      </c>
      <c r="BC219" s="38">
        <f>AY219/BB219</f>
        <v>0.99999999999999933</v>
      </c>
      <c r="BD219" s="38">
        <f>BH219/BB219</f>
        <v>5.7440299930753254</v>
      </c>
      <c r="BE219" s="4">
        <f>IF(BD219&lt;1,1,0)</f>
        <v>0</v>
      </c>
      <c r="BF219" s="4">
        <f>L219/N219*M219^0.5/0.19</f>
        <v>223.20045158972471</v>
      </c>
      <c r="BG219" s="4">
        <f>MIN(0.6+0.4*(AC219/AB219),2)</f>
        <v>1.2409556313993173</v>
      </c>
      <c r="BH219" s="38">
        <f>2*M219*AB219*AD219^0.5*BG219*0.7/0.7</f>
        <v>252.35264079202972</v>
      </c>
      <c r="BI219" s="4">
        <f>MAX(1-0.7*AE219/5,0.3)</f>
        <v>0.37504693248800336</v>
      </c>
      <c r="BJ219" s="4">
        <f>BI219*J219*L219/(J219*N219/2.75/M219^0.5)</f>
        <v>43.738811855051594</v>
      </c>
      <c r="BK219" s="4">
        <f>BH219+BJ219</f>
        <v>296.09145264708133</v>
      </c>
      <c r="BM219" s="4">
        <f>MIN(1.5, 0.75+0.25*MIN(3,MAX(1,S219/N219))+0.4*MIN(1,(40*2*PI()*AM219^2/4/AO219/X219)/N219))</f>
        <v>1.2807262569832403</v>
      </c>
      <c r="BN219" s="4">
        <f>(3*P219+30)*BM219*M219^0.5</f>
        <v>371.26916848780127</v>
      </c>
      <c r="BP219" s="4">
        <f>3.4/PI()^0.5*M219*AB219*AE219^0.5*BG219</f>
        <v>242.03704323657402</v>
      </c>
      <c r="BQ219" s="4">
        <f>8/3*AH219*AI219^2/(AG219-N219-22)/N219*(AG219^2-N219^2)/(AG219^2-(N219+22)^2)</f>
        <v>1562.4220485187734</v>
      </c>
      <c r="BR219" s="4">
        <f>BQ219/BP219</f>
        <v>6.4553013358026226</v>
      </c>
      <c r="BZ219" s="4">
        <f>IF(W219=0,S219,MIN(W219/2,S219))</f>
        <v>40.700000000000003</v>
      </c>
      <c r="CD219" s="9"/>
      <c r="CF219" s="9"/>
      <c r="CG219" s="9"/>
      <c r="CH219" s="9">
        <f>IF(W219=0,MIN(S219,U219),MIN(W219/2,S219,U219))</f>
        <v>40.700000000000003</v>
      </c>
      <c r="CI219" s="9">
        <f>MAX(W219/2,S219)</f>
        <v>76</v>
      </c>
      <c r="CJ219" s="9">
        <f>(CH219/N219)^0.5*(CI219/CH219)^0.15</f>
        <v>1.1709505872794554</v>
      </c>
      <c r="CK219" s="70">
        <v>0</v>
      </c>
      <c r="CL219" s="9">
        <f>MIN(PI()*AM219^2/4*AN219*2/X219/N219/MAX(0.01,AO219),0.05)</f>
        <v>0</v>
      </c>
      <c r="CM219" s="9">
        <f>MAX(0,CK219*(CL219-0.5/50))</f>
        <v>0</v>
      </c>
      <c r="CN219" s="9">
        <f>MIN(1,(25/N219)^0.3)</f>
        <v>0.89787751228078194</v>
      </c>
      <c r="CO219" s="9">
        <f>IF(J219&gt;=800,0.68,IF(J219&gt;=700,0.75-(J219-700)*0.07/100,IF(J219&gt;=600,0.85-(J219-600)*0.1/100,IF(J219&gt;=500,1-(J219-500)*0.15/100,1.2-(J219-400)*0.2/100))))</f>
        <v>0.91600000000000004</v>
      </c>
      <c r="CP219" s="9">
        <f>1.75*CN219*CO219*(M219/25)^0.5</f>
        <v>1.560825234402609</v>
      </c>
      <c r="CQ219" s="9">
        <f>MIN((CJ219+CM219)*CP219,2.5*CP219,M219^0.5)</f>
        <v>1.8276492248643288</v>
      </c>
      <c r="CR219" s="9">
        <v>1</v>
      </c>
      <c r="CS219" s="9">
        <f>4*CQ219*P219+60*CQ219</f>
        <v>166.83680633677727</v>
      </c>
      <c r="DP219" s="4">
        <f>AN219</f>
        <v>0</v>
      </c>
      <c r="DQ219" s="4">
        <f>L219</f>
        <v>280</v>
      </c>
      <c r="DT219" s="4">
        <f>K219/4/(1-0.3*(M219/30)^0.5)/200000/N219</f>
        <v>1.3906579803299705E-5</v>
      </c>
      <c r="DU219" s="4">
        <f>EP219</f>
        <v>5.3136376440206563</v>
      </c>
      <c r="DV219" s="4">
        <f>EC219*AG219/257/M219/AD219</f>
        <v>0.10900031093324107</v>
      </c>
      <c r="DW219" s="4">
        <f>DU219*DV219^0.4</f>
        <v>2.1895911533198622</v>
      </c>
      <c r="DX219" s="4">
        <f>MIN(DU219, DU219/1.4*(1-DV219^1.4)/(1-DV219))</f>
        <v>4.068440996080712</v>
      </c>
      <c r="DY219" s="4">
        <f>MAX(DU219/2, (4-DT219*(8*AG219*(DW219-DX219)+6*K219*DX219))/(4+DT219*K219*DU219)*DU219)</f>
        <v>5.1837934504181655</v>
      </c>
      <c r="DZ219" s="38">
        <f>MIN(1/N219*(4*AG219*(DW219-DX219)+(3*DX219+DY219)*K219)+EC219 -FJ219,MAX(J219,AJ219))</f>
        <v>162.36997530111233</v>
      </c>
      <c r="EA219" s="4">
        <f>DZ219/FF219</f>
        <v>1.0001163597318217</v>
      </c>
      <c r="EB219" s="4">
        <f>AG219/N219</f>
        <v>2.3375094614201131</v>
      </c>
      <c r="EC219" s="4">
        <f>MIN(EB$10*BB219)</f>
        <v>43.933029788537254</v>
      </c>
      <c r="EG219" s="4">
        <f>IF(U219&gt;1*N219,0.85,1)</f>
        <v>0.85</v>
      </c>
      <c r="EH219" s="4">
        <f>MIN(1,MAX(0.7,(1-0.1*(BZ219-1*N219)/N219)))</f>
        <v>0.98631284916201112</v>
      </c>
      <c r="EI219" s="4">
        <f>MIN(1,MAX(0.7,1-0.3*(PI()*AM219^2/4*AQ219*2-0.25*PI()/4*N219^2)/(PI()/4*N219^2)))</f>
        <v>1</v>
      </c>
      <c r="EJ219" s="4">
        <f>IF(EH219*EI219&lt;0.7,0.7,EH219*EI219)</f>
        <v>0.98631284916201112</v>
      </c>
      <c r="EL219" s="4">
        <f>MIN(DU219/N219*3*K219+EM219-FJ219,MAX(J219,AJ219))</f>
        <v>232.98140612536457</v>
      </c>
      <c r="EM219" s="25">
        <f>13.3*Q219*K219^0.5*M219^0.5/X219/N219^2*(0.7+S219/5/K219)</f>
        <v>108.30387481314804</v>
      </c>
      <c r="EO219" s="4">
        <f>EG219*EJ219</f>
        <v>0.83836592178770941</v>
      </c>
      <c r="EP219" s="4">
        <f>IF(N219&lt;22.2,1.1*5*(M219/30)^0.5,IF(N219&gt;=31.8,0.9*5*(M219/30)^0.5,1*5*(M219/30)^0.5))/EG219/EJ219</f>
        <v>5.3136376440206563</v>
      </c>
      <c r="ES219" s="4">
        <f>ET219*N219</f>
        <v>83.682838718840046</v>
      </c>
      <c r="ET219" s="4">
        <f>AF219^0.5</f>
        <v>2.3375094614201131</v>
      </c>
      <c r="EU219" s="4">
        <f>MIN(EC219)/(4700*M219^0.5)/AE219*ES219</f>
        <v>3.231741888372746E-2</v>
      </c>
      <c r="EX219" s="4">
        <f>EU219</f>
        <v>3.231741888372746E-2</v>
      </c>
      <c r="EY219" s="4">
        <f>MIN(0.999, EX219/(0.3*(M219/30)^0.5))</f>
        <v>0.10881840972918987</v>
      </c>
      <c r="EZ219" s="4">
        <f>EP219/1*EY219^0.4</f>
        <v>2.1881288131023333</v>
      </c>
      <c r="FA219" s="4">
        <f>EP219/1.4*(1-EY219^1.4)/(1-EY219)</f>
        <v>4.0680573503334578</v>
      </c>
      <c r="FB219" s="4">
        <f>MAX(0,DQ219*FB$9-ES219)</f>
        <v>126.31716128115995</v>
      </c>
      <c r="FC219" s="4">
        <f>MAX(0,DQ219-ES219-FB219)</f>
        <v>69.999999999999986</v>
      </c>
      <c r="FD219" s="4">
        <f>FC219/(1-0.3*(M219/30)^0.5)/200000/N219</f>
        <v>1.3906579803299705E-5</v>
      </c>
      <c r="FE219" s="4">
        <f>MAX(0.5*EP219, (1-2*FD219*(ES219*EZ219+FB219*FA219))/(1/EP219+FD219*FC219))</f>
        <v>5.183818567863872</v>
      </c>
      <c r="FF219" s="4">
        <f>MIN(4/N219*(1*EZ219*ES219+FA219*FB219+FC219*FE219)+EC219,MAX(J219,AJ219))</f>
        <v>162.35108417249705</v>
      </c>
      <c r="FO219" s="23"/>
      <c r="FP219" s="23"/>
      <c r="FQ219" s="23"/>
      <c r="FR219" s="23"/>
      <c r="FS219" s="23"/>
      <c r="FT219" s="23"/>
      <c r="FU219" s="23"/>
      <c r="FV219" s="23"/>
      <c r="GF219" s="4">
        <f>IF(S219&gt;=2.5*25.4,1,1.25)</f>
        <v>1</v>
      </c>
      <c r="GG219" s="4">
        <f>IF(AO219&gt;1, 0.05*(18-MIN(8,(W219+N219)/N219))*(1-48000/MAX(60000,(J219*145))*(N219/25.4)^0.75*GH219), 1/12*(14-MIN(8,(W219+N219)/N219)))</f>
        <v>0.73631284916201123</v>
      </c>
      <c r="GH219" s="4">
        <f>MIN(0.3, AM219^2*PI()/4*2*AP219/(N219^2*PI()/4*X219))</f>
        <v>0</v>
      </c>
      <c r="GI219" s="4">
        <f>(K219/25.4)/(N219/25.4)^1.5/0.0024*(M219*145)^0.25/GF219/GG219/145</f>
        <v>207.74833873527734</v>
      </c>
    </row>
    <row r="220" spans="1:196" ht="12" hidden="1" customHeight="1" x14ac:dyDescent="0.3">
      <c r="A220" s="25">
        <v>196</v>
      </c>
      <c r="B220" s="24" t="s">
        <v>182</v>
      </c>
      <c r="C220" s="4">
        <v>1996</v>
      </c>
      <c r="D220" s="24" t="s">
        <v>309</v>
      </c>
      <c r="E220" s="24"/>
      <c r="F220" s="24"/>
      <c r="G220" s="24"/>
      <c r="H220" s="4" t="s">
        <v>330</v>
      </c>
      <c r="J220" s="7">
        <v>556</v>
      </c>
      <c r="K220" s="7">
        <f>381-U220-20</f>
        <v>285</v>
      </c>
      <c r="L220" s="7">
        <f>K220</f>
        <v>285</v>
      </c>
      <c r="M220" s="7">
        <v>29.4</v>
      </c>
      <c r="N220" s="7">
        <v>35.799999999999997</v>
      </c>
      <c r="O220" s="7">
        <f>K220/N220</f>
        <v>7.9608938547486039</v>
      </c>
      <c r="P220" s="7">
        <f>L220/N220</f>
        <v>7.9608938547486039</v>
      </c>
      <c r="Q220" s="7">
        <v>305</v>
      </c>
      <c r="R220" s="7"/>
      <c r="S220" s="7">
        <v>76</v>
      </c>
      <c r="T220" s="7"/>
      <c r="U220" s="7">
        <v>76</v>
      </c>
      <c r="V220" s="7"/>
      <c r="W220" s="7">
        <f>Q220-2*N220-2*S220</f>
        <v>81.400000000000006</v>
      </c>
      <c r="X220" s="7">
        <v>2</v>
      </c>
      <c r="Y220" s="7"/>
      <c r="Z220" s="7"/>
      <c r="AA220" s="7">
        <f>775-(343+152)</f>
        <v>280</v>
      </c>
      <c r="AB220" s="7">
        <f>MIN(S220/N220+0.5, W220/2/N220+0.5)</f>
        <v>1.6368715083798884</v>
      </c>
      <c r="AC220" s="7">
        <f>S220/N220+0.5</f>
        <v>2.6229050279329611</v>
      </c>
      <c r="AD220" s="7">
        <f>8100/(N220^2*PI()/4)-1</f>
        <v>7.0469088920093164</v>
      </c>
      <c r="AE220" s="7">
        <f>8100/(N220^2*PI()/4)-1</f>
        <v>7.0469088920093164</v>
      </c>
      <c r="AF220" s="7">
        <f>AE220+1</f>
        <v>8.0469088920093164</v>
      </c>
      <c r="AG220" s="7">
        <f>N220*AF220^0.5</f>
        <v>101.55412503859614</v>
      </c>
      <c r="AH220" s="7">
        <f>J220</f>
        <v>556</v>
      </c>
      <c r="AI220" s="7">
        <v>20</v>
      </c>
      <c r="AJ220" s="7"/>
      <c r="AK220" s="32" t="s">
        <v>183</v>
      </c>
      <c r="AL220" s="4">
        <f>CY220</f>
        <v>0</v>
      </c>
      <c r="AM220" s="7">
        <v>0</v>
      </c>
      <c r="AN220" s="7">
        <v>0</v>
      </c>
      <c r="AO220" s="7">
        <f>L220</f>
        <v>285</v>
      </c>
      <c r="AP220" s="7"/>
      <c r="AQ220" s="7"/>
      <c r="AR220" s="7">
        <f>3*AS220/(W220+N220)</f>
        <v>7.2952218430034126</v>
      </c>
      <c r="AS220" s="4">
        <f>K220</f>
        <v>285</v>
      </c>
      <c r="AT220" s="4">
        <f>IF(K220*3&gt;W220+N220, Q220, (S220+N220/2)*2+1.5*K220*(2*X220-2))*(3*K220)/(9*K220^2)</f>
        <v>0.35672514619883039</v>
      </c>
      <c r="AU220" s="4">
        <f>MIN(10*M220^0.5*K220^1.5,100*3.9*M220^0.5*K220^(5/3))/(PI()/4*N220^2)/X220</f>
        <v>129.58508707954471</v>
      </c>
      <c r="AV220" s="4">
        <f>MIN(0.7+0.3*(MIN(S220,AA220)+0.5*N220)/1.5/K220,1)</f>
        <v>0.76589473684210518</v>
      </c>
      <c r="AW220" s="4">
        <v>1.25</v>
      </c>
      <c r="AX220" s="4">
        <f>AX219</f>
        <v>1</v>
      </c>
      <c r="AY220" s="38">
        <f>AT220*AV220*AW220*AX220*AU220</f>
        <v>44.25556071794152</v>
      </c>
      <c r="AZ220" s="38">
        <f>AY220</f>
        <v>44.25556071794152</v>
      </c>
      <c r="BA220" s="38">
        <f>IF(M220&lt;50, 0.3*M220^(2/3), 2.12*LN(1+0.1*(M220+8)))</f>
        <v>2.8577186887004142</v>
      </c>
      <c r="BB220" s="38">
        <f>AX220* (M220^0.5/AS220^0.5)/(PI()/4*N220^2)/X220/0.72 *(0.7+(MIN(S220,AA220)+0.5*N220)/5/K220) *(3*Q220*K220)</f>
        <v>44.255560717941542</v>
      </c>
      <c r="BC220" s="38">
        <f>AY220/BB220</f>
        <v>0.99999999999999956</v>
      </c>
      <c r="BD220" s="38">
        <f>BH220/BB220</f>
        <v>7.1643971150229957</v>
      </c>
      <c r="BE220" s="4">
        <f>IF(BD220&lt;1,1,0)</f>
        <v>0</v>
      </c>
      <c r="BF220" s="4">
        <f>L220/N220*M220^0.5/0.19</f>
        <v>227.18617393954122</v>
      </c>
      <c r="BG220" s="4">
        <f>MIN(0.6+0.4*(AC220/AB220),2)</f>
        <v>1.2409556313993173</v>
      </c>
      <c r="BH220" s="38">
        <f>2*M220*AB220*AD220^0.5*BG220*0.7/0.7</f>
        <v>317.0644115313454</v>
      </c>
      <c r="BI220" s="4">
        <f>MAX(1-0.7*AE220/5,0.3)</f>
        <v>0.3</v>
      </c>
      <c r="BJ220" s="4">
        <f>BI220*J220*L220/(J220*N220/2.75/M220^0.5)</f>
        <v>35.611432765023082</v>
      </c>
      <c r="BK220" s="4">
        <f>BH220+BJ220</f>
        <v>352.6758442963685</v>
      </c>
      <c r="BM220" s="4">
        <f>MIN(1.5, 0.75+0.25*MIN(3,MAX(1,S220/N220))+0.4*MIN(1,(40*2*PI()*AM220^2/4/AO220/X220)/N220))</f>
        <v>1.2807262569832403</v>
      </c>
      <c r="BN220" s="4">
        <f>(3*P220+30)*BM220*M220^0.5</f>
        <v>374.17880146968059</v>
      </c>
      <c r="BP220" s="4">
        <f>3.4/PI()^0.5*M220*AB220*AE220^0.5*BG220</f>
        <v>304.10354510946308</v>
      </c>
      <c r="BQ220" s="4">
        <f>8/3*AH220*AI220^2/(AG220-N220-22)/N220*(AG220^2-N220^2)/(AG220^2-(N220+22)^2)</f>
        <v>490.43773856597932</v>
      </c>
      <c r="BR220" s="4">
        <f>BQ220/BP220</f>
        <v>1.6127327236170319</v>
      </c>
      <c r="BZ220" s="4">
        <f>IF(W220=0,S220,MIN(W220/2,S220))</f>
        <v>40.700000000000003</v>
      </c>
      <c r="CD220" s="9"/>
      <c r="CF220" s="9"/>
      <c r="CG220" s="9"/>
      <c r="CH220" s="9">
        <f>IF(W220=0,MIN(S220,U220),MIN(W220/2,S220,U220))</f>
        <v>40.700000000000003</v>
      </c>
      <c r="CI220" s="9">
        <f>MAX(W220/2,S220)</f>
        <v>76</v>
      </c>
      <c r="CJ220" s="9">
        <f>(CH220/N220)^0.5*(CI220/CH220)^0.15</f>
        <v>1.1709505872794554</v>
      </c>
      <c r="CK220" s="70">
        <v>0</v>
      </c>
      <c r="CL220" s="9">
        <f>MIN(PI()*AM220^2/4*AN220*2/X220/N220/MAX(0.01,AO220),0.05)</f>
        <v>0</v>
      </c>
      <c r="CM220" s="9">
        <f>MAX(0,CK220*(CL220-0.5/50))</f>
        <v>0</v>
      </c>
      <c r="CN220" s="9">
        <f>MIN(1,(25/N220)^0.3)</f>
        <v>0.89787751228078194</v>
      </c>
      <c r="CO220" s="9">
        <f>IF(J220&gt;=800,0.68,IF(J220&gt;=700,0.75-(J220-700)*0.07/100,IF(J220&gt;=600,0.85-(J220-600)*0.1/100,IF(J220&gt;=500,1-(J220-500)*0.15/100,1.2-(J220-400)*0.2/100))))</f>
        <v>0.91600000000000004</v>
      </c>
      <c r="CP220" s="9">
        <f>1.75*CN220*CO220*(M220/25)^0.5</f>
        <v>1.560825234402609</v>
      </c>
      <c r="CQ220" s="9">
        <f>MIN((CJ220+CM220)*CP220,2.5*CP220,M220^0.5)</f>
        <v>1.8276492248643288</v>
      </c>
      <c r="CR220" s="9">
        <v>1</v>
      </c>
      <c r="CS220" s="9">
        <f>4*CQ220*P220+60*CQ220</f>
        <v>167.85783942329368</v>
      </c>
      <c r="DP220" s="4">
        <f>AN220</f>
        <v>0</v>
      </c>
      <c r="DQ220" s="4">
        <f>L220</f>
        <v>285</v>
      </c>
      <c r="DT220" s="4">
        <f>K220/4/(1-0.3*(M220/30)^0.5)/200000/N220</f>
        <v>1.4154911585501488E-5</v>
      </c>
      <c r="DU220" s="4">
        <f>EP220</f>
        <v>5.3136376440206563</v>
      </c>
      <c r="DV220" s="4">
        <f>EC220*AG220/257/M220/AD220</f>
        <v>8.440852398355625E-2</v>
      </c>
      <c r="DW220" s="4">
        <f>DU220*DV220^0.4</f>
        <v>1.9767259216457349</v>
      </c>
      <c r="DX220" s="4">
        <f>MIN(DU220, DU220/1.4*(1-DV220^1.4)/(1-DV220))</f>
        <v>4.0151914765111671</v>
      </c>
      <c r="DY220" s="4">
        <f>MAX(DU220/2, (4-DT220*(8*AG220*(DW220-DX220)+6*K220*DX220))/(4+DT220*K220*DU220)*DU220)</f>
        <v>5.1878721151367637</v>
      </c>
      <c r="DZ220" s="38">
        <f>MIN(1/N220*(4*AG220*(DW220-DX220)+(3*DX220+DY220)*K220)+EC220 -FJ220,MAX(J220,AJ220))</f>
        <v>158.31907808800645</v>
      </c>
      <c r="EA220" s="4">
        <f>DZ220/FF220</f>
        <v>1.0001181948296503</v>
      </c>
      <c r="EB220" s="4">
        <f>AG220/N220</f>
        <v>2.8367074033127415</v>
      </c>
      <c r="EC220" s="4">
        <f>MIN(EB$10*BB220)</f>
        <v>44.255560717941542</v>
      </c>
      <c r="EG220" s="4">
        <f>IF(U220&gt;1*N220,0.85,1)</f>
        <v>0.85</v>
      </c>
      <c r="EH220" s="4">
        <f>MIN(1,MAX(0.7,(1-0.1*(BZ220-1*N220)/N220)))</f>
        <v>0.98631284916201112</v>
      </c>
      <c r="EI220" s="4">
        <f>MIN(1,MAX(0.7,1-0.3*(PI()*AM220^2/4*AQ220*2-0.25*PI()/4*N220^2)/(PI()/4*N220^2)))</f>
        <v>1</v>
      </c>
      <c r="EJ220" s="4">
        <f>IF(EH220*EI220&lt;0.7,0.7,EH220*EI220)</f>
        <v>0.98631284916201112</v>
      </c>
      <c r="EL220" s="4">
        <f>MIN(DU220/N220*3*K220+EM220-FJ220,MAX(J220,AJ220))</f>
        <v>236.03254778315886</v>
      </c>
      <c r="EM220" s="25">
        <f>13.3*Q220*K220^0.5*M220^0.5/X220/N220^2*(0.7+S220/5/K220)</f>
        <v>109.12863198322417</v>
      </c>
      <c r="EO220" s="4">
        <f>EG220*EJ220</f>
        <v>0.83836592178770941</v>
      </c>
      <c r="EP220" s="4">
        <f>IF(N220&lt;22.2,1.1*5*(M220/30)^0.5,IF(N220&gt;=31.8,0.9*5*(M220/30)^0.5,1*5*(M220/30)^0.5))/EG220/EJ220</f>
        <v>5.3136376440206563</v>
      </c>
      <c r="ES220" s="4">
        <f>ET220*N220</f>
        <v>101.55412503859614</v>
      </c>
      <c r="ET220" s="4">
        <f>AF220^0.5</f>
        <v>2.8367074033127415</v>
      </c>
      <c r="EU220" s="4">
        <f>MIN(EC220)/(4700*M220^0.5)/AE220*ES220</f>
        <v>2.502621876560028E-2</v>
      </c>
      <c r="EX220" s="4">
        <f>EU220</f>
        <v>2.502621876560028E-2</v>
      </c>
      <c r="EY220" s="4">
        <f>MIN(0.999, EX220/(0.3*(M220/30)^0.5))</f>
        <v>8.4267661888638032E-2</v>
      </c>
      <c r="EZ220" s="4">
        <f>EP220/1*EY220^0.4</f>
        <v>1.9754057455891816</v>
      </c>
      <c r="FA220" s="4">
        <f>EP220/1.4*(1-EY220^1.4)/(1-EY220)</f>
        <v>4.0148778089880537</v>
      </c>
      <c r="FB220" s="4">
        <f>MAX(0,DQ220*FB$9-ES220)</f>
        <v>112.19587496140386</v>
      </c>
      <c r="FC220" s="4">
        <f>MAX(0,DQ220-ES220-FB220)</f>
        <v>71.25</v>
      </c>
      <c r="FD220" s="4">
        <f>FC220/(1-0.3*(M220/30)^0.5)/200000/N220</f>
        <v>1.4154911585501488E-5</v>
      </c>
      <c r="FE220" s="4">
        <f>MAX(0.5*EP220, (1-2*FD220*(ES220*EZ220+FB220*FA220))/(1/EP220+FD220*FC220))</f>
        <v>5.1878974411117618</v>
      </c>
      <c r="FF220" s="4">
        <f>MIN(4/N220*(1*EZ220*ES220+FA220*FB220+FC220*FE220)+EC220,MAX(J220,AJ220))</f>
        <v>158.3003678030004</v>
      </c>
      <c r="FO220" s="23"/>
      <c r="FP220" s="23"/>
      <c r="FQ220" s="23"/>
      <c r="FR220" s="23"/>
      <c r="FS220" s="23"/>
      <c r="FT220" s="23"/>
      <c r="FU220" s="23"/>
      <c r="FV220" s="23"/>
      <c r="GF220" s="4">
        <f>IF(S220&gt;=2.5*25.4,1,1.25)</f>
        <v>1</v>
      </c>
      <c r="GG220" s="4">
        <f>IF(AO220&gt;1, 0.05*(18-MIN(8,(W220+N220)/N220))*(1-48000/MAX(60000,(J220*145))*(N220/25.4)^0.75*GH220), 1/12*(14-MIN(8,(W220+N220)/N220)))</f>
        <v>0.73631284916201123</v>
      </c>
      <c r="GH220" s="4">
        <f>MIN(0.3, AM220^2*PI()/4*2*AP220/(N220^2*PI()/4*X220))</f>
        <v>0</v>
      </c>
      <c r="GI220" s="4">
        <f>(K220/25.4)/(N220/25.4)^1.5/0.0024*(M220*145)^0.25/GF220/GG220/145</f>
        <v>211.45813049840731</v>
      </c>
    </row>
    <row r="221" spans="1:196" ht="12" hidden="1" customHeight="1" x14ac:dyDescent="0.3">
      <c r="A221" s="25">
        <v>197</v>
      </c>
      <c r="B221" s="24" t="s">
        <v>182</v>
      </c>
      <c r="C221" s="4">
        <v>1996</v>
      </c>
      <c r="D221" s="24" t="s">
        <v>309</v>
      </c>
      <c r="E221" s="24"/>
      <c r="F221" s="24"/>
      <c r="G221" s="24"/>
      <c r="H221" s="4" t="s">
        <v>331</v>
      </c>
      <c r="J221" s="7">
        <v>578</v>
      </c>
      <c r="K221" s="7">
        <f>305-U221-18</f>
        <v>211</v>
      </c>
      <c r="L221" s="7">
        <f>K221</f>
        <v>211</v>
      </c>
      <c r="M221" s="7">
        <v>26.7</v>
      </c>
      <c r="N221" s="7">
        <v>25.4</v>
      </c>
      <c r="O221" s="7">
        <f>K221/N221</f>
        <v>8.3070866141732296</v>
      </c>
      <c r="P221" s="7">
        <f>L221/N221</f>
        <v>8.3070866141732296</v>
      </c>
      <c r="Q221" s="7">
        <v>305</v>
      </c>
      <c r="R221" s="7"/>
      <c r="S221" s="7">
        <v>76</v>
      </c>
      <c r="T221" s="7"/>
      <c r="U221" s="7">
        <v>76</v>
      </c>
      <c r="V221" s="7"/>
      <c r="W221" s="7">
        <f>Q221-2*N221-2*S221</f>
        <v>102.19999999999999</v>
      </c>
      <c r="X221" s="7">
        <v>2</v>
      </c>
      <c r="Y221" s="7"/>
      <c r="Z221" s="7"/>
      <c r="AA221" s="7">
        <f>775-(343+152)</f>
        <v>280</v>
      </c>
      <c r="AB221" s="7">
        <f>MIN(S221/N221+0.5, W221/2/N221+0.5)</f>
        <v>2.5118110236220472</v>
      </c>
      <c r="AC221" s="7">
        <f>S221/N221+0.5</f>
        <v>3.4921259842519685</v>
      </c>
      <c r="AD221" s="7">
        <f>3200/(N221^2*PI()/4)-1</f>
        <v>5.3152807724479523</v>
      </c>
      <c r="AE221" s="7">
        <f>3200/(N221^2*PI()/4)-1</f>
        <v>5.3152807724479523</v>
      </c>
      <c r="AF221" s="7">
        <f>AE221+1</f>
        <v>6.3152807724479523</v>
      </c>
      <c r="AG221" s="7">
        <f>N221*AF221^0.5</f>
        <v>63.830764864229231</v>
      </c>
      <c r="AH221" s="7">
        <f>J221</f>
        <v>578</v>
      </c>
      <c r="AI221" s="7">
        <v>18</v>
      </c>
      <c r="AJ221" s="7"/>
      <c r="AK221" s="32" t="s">
        <v>183</v>
      </c>
      <c r="AL221" s="4">
        <f>CY221</f>
        <v>0</v>
      </c>
      <c r="AM221" s="7">
        <v>0</v>
      </c>
      <c r="AN221" s="7">
        <v>0</v>
      </c>
      <c r="AO221" s="7">
        <f>L221</f>
        <v>211</v>
      </c>
      <c r="AP221" s="7"/>
      <c r="AQ221" s="7"/>
      <c r="AR221" s="7">
        <f>3*AS221/(W221+N221)</f>
        <v>4.9608150470219439</v>
      </c>
      <c r="AS221" s="4">
        <f>K221</f>
        <v>211</v>
      </c>
      <c r="AT221" s="4">
        <f>IF(K221*3&gt;W221+N221, Q221, (S221+N221/2)*2+1.5*K221*(2*X221-2))*(3*K221)/(9*K221^2)</f>
        <v>0.48183254344391785</v>
      </c>
      <c r="AU221" s="4">
        <f>MIN(10*M221^0.5*K221^1.5,100*3.9*M221^0.5*K221^(5/3))/(PI()/4*N221^2)/X221</f>
        <v>156.27589807670793</v>
      </c>
      <c r="AV221" s="4">
        <f>MIN(0.7+0.3*(MIN(S221,AA221)+0.5*N221)/1.5/K221,1)</f>
        <v>0.7840758293838862</v>
      </c>
      <c r="AW221" s="4">
        <v>1.25</v>
      </c>
      <c r="AX221" s="4">
        <f>AX220</f>
        <v>1</v>
      </c>
      <c r="AY221" s="38">
        <f>AT221*AV221*AW221*AX221*AU221</f>
        <v>73.799974508586033</v>
      </c>
      <c r="AZ221" s="38">
        <f>AY221</f>
        <v>73.799974508586033</v>
      </c>
      <c r="BA221" s="38">
        <f>IF(M221&lt;50, 0.3*M221^(2/3), 2.12*LN(1+0.1*(M221+8)))</f>
        <v>2.6799627788697054</v>
      </c>
      <c r="BB221" s="38">
        <f>AX221* (M221^0.5/AS221^0.5)/(PI()/4*N221^2)/X221/0.72 *(0.7+(MIN(S221,AA221)+0.5*N221)/5/K221) *(3*Q221*K221)</f>
        <v>73.799974508586047</v>
      </c>
      <c r="BC221" s="38">
        <f>AY221/BB221</f>
        <v>0.99999999999999978</v>
      </c>
      <c r="BD221" s="38">
        <f>BH221/BB221</f>
        <v>4.8443480912857391</v>
      </c>
      <c r="BE221" s="4">
        <f>IF(BD221&lt;1,1,0)</f>
        <v>0</v>
      </c>
      <c r="BF221" s="4">
        <f>L221/N221*M221^0.5/0.19</f>
        <v>225.91796552533489</v>
      </c>
      <c r="BG221" s="4">
        <f>MIN(0.6+0.4*(AC221/AB221),2)</f>
        <v>1.1561128526645768</v>
      </c>
      <c r="BH221" s="38">
        <f>2*M221*AB221*AD221^0.5*BG221*0.7/0.7</f>
        <v>357.51276564760502</v>
      </c>
      <c r="BI221" s="4">
        <f>MAX(1-0.7*AE221/5,0.3)</f>
        <v>0.3</v>
      </c>
      <c r="BJ221" s="4">
        <f>BI221*J221*L221/(J221*N221/2.75/M221^0.5)</f>
        <v>35.412641096096245</v>
      </c>
      <c r="BK221" s="4">
        <f>BH221+BJ221</f>
        <v>392.92540674370127</v>
      </c>
      <c r="BM221" s="4">
        <f>MIN(1.5, 0.75+0.25*MIN(3,MAX(1,S221/N221))+0.4*MIN(1,(40*2*PI()*AM221^2/4/AO221/X221)/N221))</f>
        <v>1.4980314960629921</v>
      </c>
      <c r="BN221" s="4">
        <f>(3*P221+30)*BM221*M221^0.5</f>
        <v>425.12541232465287</v>
      </c>
      <c r="BP221" s="4">
        <f>3.4/PI()^0.5*M221*AB221*AE221^0.5*BG221</f>
        <v>342.89846321833909</v>
      </c>
      <c r="BQ221" s="4">
        <f>8/3*AH221*AI221^2/(AG221-N221-22)/N221*(AG221^2-N221^2)/(AG221^2-(N221+22)^2)</f>
        <v>2245.2309649218914</v>
      </c>
      <c r="BR221" s="4">
        <f>BQ221/BP221</f>
        <v>6.5478011882842724</v>
      </c>
      <c r="BZ221" s="4">
        <f>IF(W221=0,S221,MIN(W221/2,S221))</f>
        <v>51.099999999999994</v>
      </c>
      <c r="CD221" s="9"/>
      <c r="CF221" s="9"/>
      <c r="CG221" s="9"/>
      <c r="CH221" s="9">
        <f>IF(W221=0,MIN(S221,U221),MIN(W221/2,S221,U221))</f>
        <v>51.099999999999994</v>
      </c>
      <c r="CI221" s="9">
        <f>MAX(W221/2,S221)</f>
        <v>76</v>
      </c>
      <c r="CJ221" s="9">
        <f>(CH221/N221)^0.5*(CI221/CH221)^0.15</f>
        <v>1.5054020239149992</v>
      </c>
      <c r="CK221" s="70">
        <v>0</v>
      </c>
      <c r="CL221" s="9">
        <f>MIN(PI()*AM221^2/4*AN221*2/X221/N221/MAX(0.01,AO221),0.05)</f>
        <v>0</v>
      </c>
      <c r="CM221" s="9">
        <f>MAX(0,CK221*(CL221-0.5/50))</f>
        <v>0</v>
      </c>
      <c r="CN221" s="9">
        <f>MIN(1,(25/N221)^0.3)</f>
        <v>0.99524931562137331</v>
      </c>
      <c r="CO221" s="9">
        <f>IF(J221&gt;=800,0.68,IF(J221&gt;=700,0.75-(J221-700)*0.07/100,IF(J221&gt;=600,0.85-(J221-600)*0.1/100,IF(J221&gt;=500,1-(J221-500)*0.15/100,1.2-(J221-400)*0.2/100))))</f>
        <v>0.88300000000000001</v>
      </c>
      <c r="CP221" s="9">
        <f>1.75*CN221*CO221*(M221/25)^0.5</f>
        <v>1.5893379964194141</v>
      </c>
      <c r="CQ221" s="9">
        <f>MIN((CJ221+CM221)*CP221,2.5*CP221,M221^0.5)</f>
        <v>2.3925926364947956</v>
      </c>
      <c r="CR221" s="9">
        <v>1</v>
      </c>
      <c r="CS221" s="9">
        <f>4*CQ221*P221+60*CQ221</f>
        <v>223.05745524486912</v>
      </c>
      <c r="DP221" s="4">
        <f>AN221</f>
        <v>0</v>
      </c>
      <c r="DQ221" s="4">
        <f>L221</f>
        <v>211</v>
      </c>
      <c r="DT221" s="4">
        <f>K221/4/(1-0.3*(M221/30)^0.5)/200000/N221</f>
        <v>1.4482761122930935E-5</v>
      </c>
      <c r="DU221" s="4">
        <f>EP221</f>
        <v>6.1741032375934068</v>
      </c>
      <c r="DV221" s="4">
        <f>EC221*AG221/257/M221/AD221</f>
        <v>0.12915632082525716</v>
      </c>
      <c r="DW221" s="4">
        <f>DU221*DV221^0.4</f>
        <v>2.7228276559860838</v>
      </c>
      <c r="DX221" s="4">
        <f>MIN(DU221, DU221/1.4*(1-DV221^1.4)/(1-DV221))</f>
        <v>4.7756913164801196</v>
      </c>
      <c r="DY221" s="4">
        <f>MAX(DU221/2, (4-DT221*(8*AG221*(DW221-DX221)+6*K221*DX221))/(4+DT221*K221*DU221)*DU221)</f>
        <v>6.0339204052628661</v>
      </c>
      <c r="DZ221" s="38">
        <f>MIN(1/N221*(4*AG221*(DW221-DX221)+(3*DX221+DY221)*K221)+EC221 -FJ221,MAX(J221,AJ221))</f>
        <v>222.30495003603161</v>
      </c>
      <c r="EA221" s="4">
        <f>DZ221/FF221</f>
        <v>1.0001151398737218</v>
      </c>
      <c r="EB221" s="4">
        <f>AG221/N221</f>
        <v>2.5130222387491825</v>
      </c>
      <c r="EC221" s="4">
        <f>MIN(EB$10*BB221)</f>
        <v>73.799974508586047</v>
      </c>
      <c r="EG221" s="4">
        <f>IF(U221&gt;1*N221,0.85,1)</f>
        <v>0.85</v>
      </c>
      <c r="EH221" s="4">
        <f>MIN(1,MAX(0.7,(1-0.1*(BZ221-1*N221)/N221)))</f>
        <v>0.89881889763779532</v>
      </c>
      <c r="EI221" s="4">
        <f>MIN(1,MAX(0.7,1-0.3*(PI()*AM221^2/4*AQ221*2-0.25*PI()/4*N221^2)/(PI()/4*N221^2)))</f>
        <v>1</v>
      </c>
      <c r="EJ221" s="4">
        <f>IF(EH221*EI221&lt;0.7,0.7,EH221*EI221)</f>
        <v>0.89881889763779532</v>
      </c>
      <c r="EL221" s="4">
        <f>MIN(DU221/N221*3*K221+EM221-FJ221,MAX(J221,AJ221))</f>
        <v>336.04175011156474</v>
      </c>
      <c r="EM221" s="25">
        <f>13.3*Q221*K221^0.5*M221^0.5/X221/N221^2*(0.7+S221/5/K221)</f>
        <v>182.17531903295736</v>
      </c>
      <c r="EO221" s="4">
        <f>EG221*EJ221</f>
        <v>0.76399606299212597</v>
      </c>
      <c r="EP221" s="4">
        <f>IF(N221&lt;22.2,1.1*5*(M221/30)^0.5,IF(N221&gt;=31.8,0.9*5*(M221/30)^0.5,1*5*(M221/30)^0.5))/EG221/EJ221</f>
        <v>6.1741032375934068</v>
      </c>
      <c r="ES221" s="4">
        <f>ET221*N221</f>
        <v>63.830764864229231</v>
      </c>
      <c r="ET221" s="4">
        <f>AF221^0.5</f>
        <v>2.5130222387491825</v>
      </c>
      <c r="EU221" s="4">
        <f>MIN(EC221)/(4700*M221^0.5)/AE221*ES221</f>
        <v>3.6492747418464304E-2</v>
      </c>
      <c r="EX221" s="4">
        <f>EU221</f>
        <v>3.6492747418464304E-2</v>
      </c>
      <c r="EY221" s="4">
        <f>MIN(0.999, EX221/(0.3*(M221/30)^0.5))</f>
        <v>0.12894078299726577</v>
      </c>
      <c r="EZ221" s="4">
        <f>EP221/1*EY221^0.4</f>
        <v>2.7210091884695751</v>
      </c>
      <c r="FA221" s="4">
        <f>EP221/1.4*(1-EY221^1.4)/(1-EY221)</f>
        <v>4.7751831240318419</v>
      </c>
      <c r="FB221" s="4">
        <f>MAX(0,DQ221*FB$9-ES221)</f>
        <v>94.419235135770776</v>
      </c>
      <c r="FC221" s="4">
        <f>MAX(0,DQ221-ES221-FB221)</f>
        <v>52.75</v>
      </c>
      <c r="FD221" s="4">
        <f>FC221/(1-0.3*(M221/30)^0.5)/200000/N221</f>
        <v>1.4482761122930935E-5</v>
      </c>
      <c r="FE221" s="4">
        <f>MAX(0.5*EP221, (1-2*FD221*(ES221*EZ221+FB221*FA221))/(1/EP221+FD221*FC221))</f>
        <v>6.0339496068988989</v>
      </c>
      <c r="FF221" s="4">
        <f>MIN(4/N221*(1*EZ221*ES221+FA221*FB221+FC221*FE221)+EC221,MAX(J221,AJ221))</f>
        <v>222.27935681895653</v>
      </c>
      <c r="FO221" s="23"/>
      <c r="FP221" s="23"/>
      <c r="FQ221" s="23"/>
      <c r="FR221" s="23"/>
      <c r="FS221" s="23"/>
      <c r="FT221" s="23"/>
      <c r="FU221" s="23"/>
      <c r="FV221" s="23"/>
      <c r="GF221" s="4">
        <f>IF(S221&gt;=2.5*25.4,1,1.25)</f>
        <v>1</v>
      </c>
      <c r="GG221" s="4">
        <f>IF(AO221&gt;1, 0.05*(18-MIN(8,(W221+N221)/N221))*(1-48000/MAX(60000,(J221*145))*(N221/25.4)^0.75*GH221), 1/12*(14-MIN(8,(W221+N221)/N221)))</f>
        <v>0.64881889763779532</v>
      </c>
      <c r="GH221" s="4">
        <f>MIN(0.3, AM221^2*PI()/4*2*AP221/(N221^2*PI()/4*X221))</f>
        <v>0</v>
      </c>
      <c r="GI221" s="4">
        <f>(K221/25.4)/(N221/25.4)^1.5/0.0024*(M221*145)^0.25/GF221/GG221/145</f>
        <v>290.21230320534846</v>
      </c>
    </row>
    <row r="222" spans="1:196" ht="12" hidden="1" customHeight="1" x14ac:dyDescent="0.3">
      <c r="A222" s="25">
        <v>198</v>
      </c>
      <c r="B222" s="24" t="s">
        <v>182</v>
      </c>
      <c r="C222" s="4">
        <v>1996</v>
      </c>
      <c r="D222" s="24" t="s">
        <v>309</v>
      </c>
      <c r="E222" s="24"/>
      <c r="F222" s="24"/>
      <c r="G222" s="24"/>
      <c r="H222" s="4" t="s">
        <v>332</v>
      </c>
      <c r="J222" s="7">
        <v>556</v>
      </c>
      <c r="K222" s="7">
        <f>381-U222-25</f>
        <v>280</v>
      </c>
      <c r="L222" s="7">
        <f>K222</f>
        <v>280</v>
      </c>
      <c r="M222" s="7">
        <v>22.5</v>
      </c>
      <c r="N222" s="7">
        <v>35.799999999999997</v>
      </c>
      <c r="O222" s="7">
        <f>K222/N222</f>
        <v>7.8212290502793298</v>
      </c>
      <c r="P222" s="7">
        <f>L222/N222</f>
        <v>7.8212290502793298</v>
      </c>
      <c r="Q222" s="7">
        <v>305</v>
      </c>
      <c r="R222" s="7"/>
      <c r="S222" s="7">
        <v>76</v>
      </c>
      <c r="T222" s="7"/>
      <c r="U222" s="7">
        <v>76</v>
      </c>
      <c r="V222" s="7"/>
      <c r="W222" s="7">
        <f>Q222-2*N222-2*S222</f>
        <v>81.400000000000006</v>
      </c>
      <c r="X222" s="7">
        <v>2</v>
      </c>
      <c r="Y222" s="7"/>
      <c r="Z222" s="7"/>
      <c r="AA222" s="7">
        <f>775-(343+152)</f>
        <v>280</v>
      </c>
      <c r="AB222" s="7">
        <f>MIN(S222/N222+0.5, W222/2/N222+0.5)</f>
        <v>1.6368715083798884</v>
      </c>
      <c r="AC222" s="7">
        <f>S222/N222+0.5</f>
        <v>2.6229050279329611</v>
      </c>
      <c r="AD222" s="7">
        <f>5500/(N222^2*PI()/4)-1</f>
        <v>4.4639504822285474</v>
      </c>
      <c r="AE222" s="7">
        <f>5500/(N222^2*PI()/4)-1</f>
        <v>4.4639504822285474</v>
      </c>
      <c r="AF222" s="7">
        <f>AE222+1</f>
        <v>5.4639504822285474</v>
      </c>
      <c r="AG222" s="7">
        <f>N222*AF222^0.5</f>
        <v>83.682838718840046</v>
      </c>
      <c r="AH222" s="7">
        <f>J222</f>
        <v>556</v>
      </c>
      <c r="AI222" s="7">
        <v>25</v>
      </c>
      <c r="AJ222" s="7"/>
      <c r="AK222" s="32" t="s">
        <v>183</v>
      </c>
      <c r="AL222" s="4">
        <f>CY222</f>
        <v>0</v>
      </c>
      <c r="AM222" s="7">
        <v>0</v>
      </c>
      <c r="AN222" s="7">
        <v>0</v>
      </c>
      <c r="AO222" s="7">
        <f>L222</f>
        <v>280</v>
      </c>
      <c r="AP222" s="7"/>
      <c r="AQ222" s="7"/>
      <c r="AR222" s="7">
        <f>3*AS222/(W222+N222)</f>
        <v>7.1672354948805461</v>
      </c>
      <c r="AS222" s="4">
        <f>K222</f>
        <v>280</v>
      </c>
      <c r="AT222" s="4">
        <f>IF(K222*3&gt;W222+N222, Q222, (S222+N222/2)*2+1.5*K222*(2*X222-2))*(3*K222)/(9*K222^2)</f>
        <v>0.36309523809523808</v>
      </c>
      <c r="AU222" s="4">
        <f>MIN(10*M222^0.5*K222^1.5,100*3.9*M222^0.5*K222^(5/3))/(PI()/4*N222^2)/X222</f>
        <v>110.3932135239679</v>
      </c>
      <c r="AV222" s="4">
        <f>MIN(0.7+0.3*(MIN(S222,AA222)+0.5*N222)/1.5/K222,1)</f>
        <v>0.76707142857142852</v>
      </c>
      <c r="AW222" s="4">
        <v>1.25</v>
      </c>
      <c r="AX222" s="4">
        <f>AX221</f>
        <v>1</v>
      </c>
      <c r="AY222" s="38">
        <f>AT222*AV222*AW222*AX222*AU222</f>
        <v>38.433394941574917</v>
      </c>
      <c r="AZ222" s="38">
        <f>AY222</f>
        <v>38.433394941574917</v>
      </c>
      <c r="BA222" s="38">
        <f>IF(M222&lt;50, 0.3*M222^(2/3), 2.12*LN(1+0.1*(M222+8)))</f>
        <v>2.3909817806608746</v>
      </c>
      <c r="BB222" s="38">
        <f>AX222* (M222^0.5/AS222^0.5)/(PI()/4*N222^2)/X222/0.72 *(0.7+(MIN(S222,AA222)+0.5*N222)/5/K222) *(3*Q222*K222)</f>
        <v>38.433394941574932</v>
      </c>
      <c r="BC222" s="38">
        <f>AY222/BB222</f>
        <v>0.99999999999999967</v>
      </c>
      <c r="BD222" s="38">
        <f>BH222/BB222</f>
        <v>5.0249794822417639</v>
      </c>
      <c r="BE222" s="4">
        <f>IF(BD222&lt;1,1,0)</f>
        <v>0</v>
      </c>
      <c r="BF222" s="4">
        <f>L222/N222*M222^0.5/0.19</f>
        <v>195.25972026914428</v>
      </c>
      <c r="BG222" s="4">
        <f>MIN(0.6+0.4*(AC222/AB222),2)</f>
        <v>1.2409556313993173</v>
      </c>
      <c r="BH222" s="38">
        <f>2*M222*AB222*AD222^0.5*BG222*0.7/0.7</f>
        <v>193.12702101430844</v>
      </c>
      <c r="BI222" s="4">
        <f>MAX(1-0.7*AE222/5,0.3)</f>
        <v>0.37504693248800336</v>
      </c>
      <c r="BJ222" s="4">
        <f>BI222*J222*L222/(J222*N222/2.75/M222^0.5)</f>
        <v>38.263489643025764</v>
      </c>
      <c r="BK222" s="4">
        <f>BH222+BJ222</f>
        <v>231.3905106573342</v>
      </c>
      <c r="BM222" s="4">
        <f>MIN(1.5, 0.75+0.25*MIN(3,MAX(1,S222/N222))+0.4*MIN(1,(40*2*PI()*AM222^2/4/AO222/X222)/N222))</f>
        <v>1.2807262569832403</v>
      </c>
      <c r="BN222" s="4">
        <f>(3*P222+30)*BM222*M222^0.5</f>
        <v>324.7928642937531</v>
      </c>
      <c r="BP222" s="4">
        <f>3.4/PI()^0.5*M222*AB222*AE222^0.5*BG222</f>
        <v>185.23243104839844</v>
      </c>
      <c r="BQ222" s="4">
        <f>8/3*AH222*AI222^2/(AG222-N222-22)/N222*(AG222^2-N222^2)/(AG222^2-(N222+22)^2)</f>
        <v>1562.4220485187734</v>
      </c>
      <c r="BR222" s="4">
        <f>BQ222/BP222</f>
        <v>8.4349270787820956</v>
      </c>
      <c r="BZ222" s="4">
        <f>IF(W222=0,S222,MIN(W222/2,S222))</f>
        <v>40.700000000000003</v>
      </c>
      <c r="CD222" s="9"/>
      <c r="CF222" s="9"/>
      <c r="CG222" s="9"/>
      <c r="CH222" s="9">
        <f>IF(W222=0,MIN(S222,U222),MIN(W222/2,S222,U222))</f>
        <v>40.700000000000003</v>
      </c>
      <c r="CI222" s="9">
        <f>MAX(W222/2,S222)</f>
        <v>76</v>
      </c>
      <c r="CJ222" s="9">
        <f>(CH222/N222)^0.5*(CI222/CH222)^0.15</f>
        <v>1.1709505872794554</v>
      </c>
      <c r="CK222" s="70">
        <v>0</v>
      </c>
      <c r="CL222" s="9">
        <f>MIN(PI()*AM222^2/4*AN222*2/X222/N222/MAX(0.01,AO222),0.05)</f>
        <v>0</v>
      </c>
      <c r="CM222" s="9">
        <f>MAX(0,CK222*(CL222-0.5/50))</f>
        <v>0</v>
      </c>
      <c r="CN222" s="9">
        <f>MIN(1,(25/N222)^0.3)</f>
        <v>0.89787751228078194</v>
      </c>
      <c r="CO222" s="9">
        <f>IF(J222&gt;=800,0.68,IF(J222&gt;=700,0.75-(J222-700)*0.07/100,IF(J222&gt;=600,0.85-(J222-600)*0.1/100,IF(J222&gt;=500,1-(J222-500)*0.15/100,1.2-(J222-400)*0.2/100))))</f>
        <v>0.91600000000000004</v>
      </c>
      <c r="CP222" s="9">
        <f>1.75*CN222*CO222*(M222/25)^0.5</f>
        <v>1.3654376435522646</v>
      </c>
      <c r="CQ222" s="9">
        <f>MIN((CJ222+CM222)*CP222,2.5*CP222,M222^0.5)</f>
        <v>1.598860010611</v>
      </c>
      <c r="CR222" s="9">
        <v>1</v>
      </c>
      <c r="CS222" s="9">
        <f>4*CQ222*P222+60*CQ222</f>
        <v>145.95180208594269</v>
      </c>
      <c r="DP222" s="4">
        <f>AN222</f>
        <v>0</v>
      </c>
      <c r="DQ222" s="4">
        <f>L222</f>
        <v>280</v>
      </c>
      <c r="DT222" s="4">
        <f>K222/4/(1-0.3*(M222/30)^0.5)/200000/N222</f>
        <v>1.3208101828668835E-5</v>
      </c>
      <c r="DU222" s="4">
        <f>EP222</f>
        <v>4.6484646092482738</v>
      </c>
      <c r="DV222" s="4">
        <f>EC222*AG222/257/M222/AD222</f>
        <v>0.12459773367587051</v>
      </c>
      <c r="DW222" s="4">
        <f>DU222*DV222^0.4</f>
        <v>2.0207546462069903</v>
      </c>
      <c r="DX222" s="4">
        <f>MIN(DU222, DU222/1.4*(1-DV222^1.4)/(1-DV222))</f>
        <v>3.587479827562063</v>
      </c>
      <c r="DY222" s="4">
        <f>MAX(DU222/2, (4-DT222*(8*AG222*(DW222-DX222)+6*K222*DX222))/(4+DT222*K222*DU222)*DU222)</f>
        <v>4.5524882226297256</v>
      </c>
      <c r="DZ222" s="38">
        <f>MIN(1/N222*(4*AG222*(DW222-DX222)+(3*DX222+DY222)*K222)+EC222 -FJ222,MAX(J222,AJ222))</f>
        <v>143.56601267386901</v>
      </c>
      <c r="EA222" s="4">
        <f>DZ222/FF222</f>
        <v>1.0001234351145565</v>
      </c>
      <c r="EB222" s="4">
        <f>AG222/N222</f>
        <v>2.3375094614201131</v>
      </c>
      <c r="EC222" s="4">
        <f>MIN(EB$10*BB222)</f>
        <v>38.433394941574932</v>
      </c>
      <c r="EG222" s="4">
        <f>IF(U222&gt;1*N222,0.85,1)</f>
        <v>0.85</v>
      </c>
      <c r="EH222" s="4">
        <f>MIN(1,MAX(0.7,(1-0.1*(BZ222-1*N222)/N222)))</f>
        <v>0.98631284916201112</v>
      </c>
      <c r="EI222" s="4">
        <f>MIN(1,MAX(0.7,1-0.3*(PI()*AM222^2/4*AQ222*2-0.25*PI()/4*N222^2)/(PI()/4*N222^2)))</f>
        <v>1</v>
      </c>
      <c r="EJ222" s="4">
        <f>IF(EH222*EI222&lt;0.7,0.7,EH222*EI222)</f>
        <v>0.98631284916201112</v>
      </c>
      <c r="EL222" s="4">
        <f>MIN(DU222/N222*3*K222+EM222-FJ222,MAX(J222,AJ222))</f>
        <v>203.81627305831509</v>
      </c>
      <c r="EM222" s="25">
        <f>13.3*Q222*K222^0.5*M222^0.5/X222/N222^2*(0.7+S222/5/K222)</f>
        <v>94.746153735171248</v>
      </c>
      <c r="EO222" s="4">
        <f>EG222*EJ222</f>
        <v>0.83836592178770941</v>
      </c>
      <c r="EP222" s="4">
        <f>IF(N222&lt;22.2,1.1*5*(M222/30)^0.5,IF(N222&gt;=31.8,0.9*5*(M222/30)^0.5,1*5*(M222/30)^0.5))/EG222/EJ222</f>
        <v>4.6484646092482738</v>
      </c>
      <c r="ES222" s="4">
        <f>ET222*N222</f>
        <v>83.682838718840046</v>
      </c>
      <c r="ET222" s="4">
        <f>AF222^0.5</f>
        <v>2.3375094614201131</v>
      </c>
      <c r="EU222" s="4">
        <f>MIN(EC222)/(4700*M222^0.5)/AE222*ES222</f>
        <v>3.2317418883727453E-2</v>
      </c>
      <c r="EX222" s="4">
        <f>EU222</f>
        <v>3.2317418883727453E-2</v>
      </c>
      <c r="EY222" s="4">
        <f>MIN(0.999, EX222/(0.3*(M222/30)^0.5))</f>
        <v>0.12438980328022628</v>
      </c>
      <c r="EZ222" s="4">
        <f>EP222/1*EY222^0.4</f>
        <v>2.0194050651290678</v>
      </c>
      <c r="FA222" s="4">
        <f>EP222/1.4*(1-EY222^1.4)/(1-EY222)</f>
        <v>3.5871076184739601</v>
      </c>
      <c r="FB222" s="4">
        <f>MAX(0,DQ222*FB$9-ES222)</f>
        <v>126.31716128115995</v>
      </c>
      <c r="FC222" s="4">
        <f>MAX(0,DQ222-ES222-FB222)</f>
        <v>69.999999999999986</v>
      </c>
      <c r="FD222" s="4">
        <f>FC222/(1-0.3*(M222/30)^0.5)/200000/N222</f>
        <v>1.3208101828668833E-5</v>
      </c>
      <c r="FE222" s="4">
        <f>MAX(0.5*EP222, (1-2*FD222*(ES222*EZ222+FB222*FA222))/(1/EP222+FD222*FC222))</f>
        <v>4.5525077799914584</v>
      </c>
      <c r="FF222" s="4">
        <f>MIN(4/N222*(1*EZ222*ES222+FA222*FB222+FC222*FE222)+EC222,MAX(J222,AJ222))</f>
        <v>143.54829377378266</v>
      </c>
      <c r="FO222" s="23"/>
      <c r="FP222" s="23"/>
      <c r="FQ222" s="23"/>
      <c r="FR222" s="23"/>
      <c r="FS222" s="23"/>
      <c r="FT222" s="23"/>
      <c r="FU222" s="23"/>
      <c r="FV222" s="23"/>
      <c r="GF222" s="4">
        <f>IF(S222&gt;=2.5*25.4,1,1.25)</f>
        <v>1</v>
      </c>
      <c r="GG222" s="4">
        <f>IF(AO222&gt;1, 0.05*(18-MIN(8,(W222+N222)/N222))*(1-48000/MAX(60000,(J222*145))*(N222/25.4)^0.75*GH222), 1/12*(14-MIN(8,(W222+N222)/N222)))</f>
        <v>0.73631284916201123</v>
      </c>
      <c r="GH222" s="4">
        <f>MIN(0.3, AM222^2*PI()/4*2*AP222/(N222^2*PI()/4*X222))</f>
        <v>0</v>
      </c>
      <c r="GI222" s="4">
        <f>(K222/25.4)/(N222/25.4)^1.5/0.0024*(M222*145)^0.25/GF222/GG222/145</f>
        <v>194.3105390354047</v>
      </c>
    </row>
    <row r="223" spans="1:196" ht="12" hidden="1" customHeight="1" x14ac:dyDescent="0.3">
      <c r="A223" s="25">
        <v>199</v>
      </c>
      <c r="B223" s="24" t="s">
        <v>182</v>
      </c>
      <c r="C223" s="4">
        <v>1996</v>
      </c>
      <c r="D223" s="24" t="s">
        <v>309</v>
      </c>
      <c r="E223" s="24"/>
      <c r="F223" s="24"/>
      <c r="G223" s="24"/>
      <c r="H223" s="4" t="s">
        <v>333</v>
      </c>
      <c r="J223" s="7">
        <v>556</v>
      </c>
      <c r="K223" s="7">
        <f>381-U223-25</f>
        <v>280</v>
      </c>
      <c r="L223" s="7">
        <f>K223</f>
        <v>280</v>
      </c>
      <c r="M223" s="7">
        <v>22.5</v>
      </c>
      <c r="N223" s="7">
        <v>35.799999999999997</v>
      </c>
      <c r="O223" s="7">
        <f>K223/N223</f>
        <v>7.8212290502793298</v>
      </c>
      <c r="P223" s="7">
        <f>L223/N223</f>
        <v>7.8212290502793298</v>
      </c>
      <c r="Q223" s="7">
        <v>305</v>
      </c>
      <c r="R223" s="7"/>
      <c r="S223" s="7">
        <v>76</v>
      </c>
      <c r="T223" s="7"/>
      <c r="U223" s="7">
        <v>76</v>
      </c>
      <c r="V223" s="7"/>
      <c r="W223" s="7">
        <f>Q223-2*N223-2*S223</f>
        <v>81.400000000000006</v>
      </c>
      <c r="X223" s="7">
        <v>2</v>
      </c>
      <c r="Y223" s="7"/>
      <c r="Z223" s="7"/>
      <c r="AA223" s="7">
        <f>775-(343+152)</f>
        <v>280</v>
      </c>
      <c r="AB223" s="7">
        <f>MIN(S223/N223+0.5, W223/2/N223+0.5)</f>
        <v>1.6368715083798884</v>
      </c>
      <c r="AC223" s="7">
        <f>S223/N223+0.5</f>
        <v>2.6229050279329611</v>
      </c>
      <c r="AD223" s="7">
        <f>5500/(N223^2*PI()/4)-1</f>
        <v>4.4639504822285474</v>
      </c>
      <c r="AE223" s="7">
        <f>5500/(N223^2*PI()/4)-1</f>
        <v>4.4639504822285474</v>
      </c>
      <c r="AF223" s="7">
        <f>AE223+1</f>
        <v>5.4639504822285474</v>
      </c>
      <c r="AG223" s="7">
        <f>N223*AF223^0.5</f>
        <v>83.682838718840046</v>
      </c>
      <c r="AH223" s="7">
        <f>J223</f>
        <v>556</v>
      </c>
      <c r="AI223" s="7">
        <v>25</v>
      </c>
      <c r="AJ223" s="7"/>
      <c r="AK223" s="32" t="s">
        <v>183</v>
      </c>
      <c r="AL223" s="4">
        <f>CY223</f>
        <v>0</v>
      </c>
      <c r="AM223" s="7">
        <v>9.5</v>
      </c>
      <c r="AN223" s="7">
        <v>2</v>
      </c>
      <c r="AO223" s="7">
        <v>102</v>
      </c>
      <c r="AP223" s="7">
        <v>4</v>
      </c>
      <c r="AQ223" s="7">
        <f>AN223</f>
        <v>2</v>
      </c>
      <c r="AR223" s="7">
        <f>3*AS223/(W223+N223)</f>
        <v>7.1672354948805461</v>
      </c>
      <c r="AS223" s="4">
        <f>K223</f>
        <v>280</v>
      </c>
      <c r="AT223" s="4">
        <f>IF(K223*3&gt;W223+N223, Q223, (S223+N223/2)*2+1.5*K223*(2*X223-2))*(3*K223)/(9*K223^2)</f>
        <v>0.36309523809523808</v>
      </c>
      <c r="AU223" s="4">
        <f>MIN(10*M223^0.5*K223^1.5,100*3.9*M223^0.5*K223^(5/3))/(PI()/4*N223^2)/X223</f>
        <v>110.3932135239679</v>
      </c>
      <c r="AV223" s="4">
        <f>MIN(0.7+0.3*(MIN(S223,AA223)+0.5*N223)/1.5/K223,1)</f>
        <v>0.76707142857142852</v>
      </c>
      <c r="AW223" s="4">
        <v>1.25</v>
      </c>
      <c r="AX223" s="4">
        <f>AX222</f>
        <v>1</v>
      </c>
      <c r="AY223" s="38">
        <f>AT223*AV223*AW223*AX223*AU223</f>
        <v>38.433394941574917</v>
      </c>
      <c r="AZ223" s="38">
        <f>AY223</f>
        <v>38.433394941574917</v>
      </c>
      <c r="BA223" s="38">
        <f>IF(M223&lt;50, 0.3*M223^(2/3), 2.12*LN(1+0.1*(M223+8)))</f>
        <v>2.3909817806608746</v>
      </c>
      <c r="BB223" s="38">
        <f>AX223* (M223^0.5/AS223^0.5)/(PI()/4*N223^2)/X223/0.72 *(0.7+(MIN(S223,AA223)+0.5*N223)/5/K223) *(3*Q223*K223)</f>
        <v>38.433394941574932</v>
      </c>
      <c r="BC223" s="38">
        <f>AY223/BB223</f>
        <v>0.99999999999999967</v>
      </c>
      <c r="BD223" s="38">
        <f>BH223/BB223</f>
        <v>5.0249794822417639</v>
      </c>
      <c r="BE223" s="4">
        <f>IF(BD223&lt;1,1,0)</f>
        <v>0</v>
      </c>
      <c r="BF223" s="4">
        <f>L223/N223*M223^0.5/0.19</f>
        <v>195.25972026914428</v>
      </c>
      <c r="BG223" s="4">
        <f>MIN(0.6+0.4*(AC223/AB223),2)</f>
        <v>1.2409556313993173</v>
      </c>
      <c r="BH223" s="38">
        <f>2*M223*AB223*AD223^0.5*BG223*0.7/0.7</f>
        <v>193.12702101430844</v>
      </c>
      <c r="BI223" s="4">
        <f>MAX(1-0.7*AE223/5,0.3)</f>
        <v>0.37504693248800336</v>
      </c>
      <c r="BJ223" s="4">
        <f>BI223*J223*L223/(J223*N223/2.75/M223^0.5)</f>
        <v>38.263489643025764</v>
      </c>
      <c r="BK223" s="4">
        <f>BH223+BJ223</f>
        <v>231.3905106573342</v>
      </c>
      <c r="BM223" s="4">
        <f>MIN(1.5, 0.75+0.25*MIN(3,MAX(1,S223/N223))+0.4*MIN(1,(40*2*PI()*AM223^2/4/AO223/X223)/N223))</f>
        <v>1.5</v>
      </c>
      <c r="BN223" s="4">
        <f>(3*P223+30)*BM223*M223^0.5</f>
        <v>380.40080289148398</v>
      </c>
      <c r="BP223" s="4">
        <f>3.4/PI()^0.5*M223*AB223*AE223^0.5*BG223</f>
        <v>185.23243104839844</v>
      </c>
      <c r="BQ223" s="4">
        <f>8/3*AH223*AI223^2/(AG223-N223-22)/N223*(AG223^2-N223^2)/(AG223^2-(N223+22)^2)</f>
        <v>1562.4220485187734</v>
      </c>
      <c r="BR223" s="4">
        <f>BQ223/BP223</f>
        <v>8.4349270787820956</v>
      </c>
      <c r="BZ223" s="4">
        <f>IF(W223=0,S223,MIN(W223/2,S223))</f>
        <v>40.700000000000003</v>
      </c>
      <c r="CD223" s="9"/>
      <c r="CF223" s="9"/>
      <c r="CG223" s="9"/>
      <c r="CH223" s="9">
        <f>IF(W223=0,MIN(S223,U223),MIN(W223/2,S223,U223))</f>
        <v>40.700000000000003</v>
      </c>
      <c r="CI223" s="9">
        <f>MAX(W223/2,S223)</f>
        <v>76</v>
      </c>
      <c r="CJ223" s="9">
        <f>(CH223/N223)^0.5*(CI223/CH223)^0.15</f>
        <v>1.1709505872794554</v>
      </c>
      <c r="CK223" s="70">
        <v>20</v>
      </c>
      <c r="CL223" s="9">
        <f>MIN(PI()*AM223^2/4*AN223*2/X223/N223/MAX(0.01,AO223),0.05)</f>
        <v>3.8822534914349713E-2</v>
      </c>
      <c r="CM223" s="9">
        <f>MAX(0,CK223*(CL223-0.5/50))</f>
        <v>0.57645069828699425</v>
      </c>
      <c r="CN223" s="9">
        <f>MIN(1,(25/N223)^0.3)</f>
        <v>0.89787751228078194</v>
      </c>
      <c r="CO223" s="9">
        <f>IF(J223&gt;=800,0.68,IF(J223&gt;=700,0.75-(J223-700)*0.07/100,IF(J223&gt;=600,0.85-(J223-600)*0.1/100,IF(J223&gt;=500,1-(J223-500)*0.15/100,1.2-(J223-400)*0.2/100))))</f>
        <v>0.91600000000000004</v>
      </c>
      <c r="CP223" s="9">
        <f>1.75*CN223*CO223*(M223/25)^0.5</f>
        <v>1.3654376435522646</v>
      </c>
      <c r="CQ223" s="9">
        <f>MIN((CJ223+CM223)*CP223,2.5*CP223,M223^0.5)</f>
        <v>2.3859674937040509</v>
      </c>
      <c r="CR223" s="9">
        <v>1</v>
      </c>
      <c r="CS223" s="9">
        <f>4*CQ223*P223+60*CQ223</f>
        <v>217.80284272136419</v>
      </c>
      <c r="DP223" s="4">
        <f>AN223</f>
        <v>2</v>
      </c>
      <c r="DQ223" s="4">
        <f>L223</f>
        <v>280</v>
      </c>
      <c r="DT223" s="4">
        <f>K223/4/(1-0.3*(M223/30)^0.5)/200000/N223</f>
        <v>1.3208101828668835E-5</v>
      </c>
      <c r="DU223" s="4">
        <f>EP223</f>
        <v>4.6930538202349794</v>
      </c>
      <c r="DV223" s="4">
        <f>EC223*AG223/257/M223/AD223</f>
        <v>0.12459773367587051</v>
      </c>
      <c r="DW223" s="4">
        <f>DU223*DV223^0.4</f>
        <v>2.0401382196761362</v>
      </c>
      <c r="DX223" s="4">
        <f>MIN(DU223, DU223/1.4*(1-DV223^1.4)/(1-DV223))</f>
        <v>3.6218918126772044</v>
      </c>
      <c r="DY223" s="4">
        <f>MAX(DU223/2, (4-DT223*(8*AG223*(DW223-DX223)+6*K223*DX223))/(4+DT223*K223*DU223)*DU223)</f>
        <v>4.5952313602486692</v>
      </c>
      <c r="DZ223" s="38">
        <f>MIN(1/N223*(4*AG223*(DW223-DX223)+(3*DX223+DY223)*K223)+EC223 -FJ223,MAX(J223,AJ223))</f>
        <v>144.56723237884484</v>
      </c>
      <c r="EA223" s="4">
        <f>DZ223/FF223</f>
        <v>1.0001237459027401</v>
      </c>
      <c r="EB223" s="4">
        <f>AG223/N223</f>
        <v>2.3375094614201131</v>
      </c>
      <c r="EC223" s="4">
        <f>MIN(EB$10*BB223)</f>
        <v>38.433394941574932</v>
      </c>
      <c r="EG223" s="4">
        <f>IF(U223&gt;1*N223,0.85,1)</f>
        <v>0.85</v>
      </c>
      <c r="EH223" s="4">
        <f>MIN(1,MAX(0.7,(1-0.1*(BZ223-1*N223)/N223)))</f>
        <v>0.98631284916201112</v>
      </c>
      <c r="EI223" s="4">
        <f>MIN(1,MAX(0.7,1-0.3*(PI()*AM223^2/4*AQ223*2-0.25*PI()/4*N223^2)/(PI()/4*N223^2)))</f>
        <v>0.99049889204456787</v>
      </c>
      <c r="EJ223" s="4">
        <f>IF(EH223*EI223&lt;0.7,0.7,EH223*EI223)</f>
        <v>0.97694178430429301</v>
      </c>
      <c r="EL223" s="4">
        <f>MIN(DU223/N223*3*K223+EM223-FJ223,MAX(J223,AJ223))</f>
        <v>204.86250035520987</v>
      </c>
      <c r="EM223" s="25">
        <f>13.3*Q223*K223^0.5*M223^0.5/X223/N223^2*(0.7+S223/5/K223)</f>
        <v>94.746153735171248</v>
      </c>
      <c r="EO223" s="4">
        <f>EG223*EJ223</f>
        <v>0.830400516658649</v>
      </c>
      <c r="EP223" s="4">
        <f>IF(N223&lt;22.2,1.1*5*(M223/30)^0.5,IF(N223&gt;=31.8,0.9*5*(M223/30)^0.5,1*5*(M223/30)^0.5))/EG223/EJ223</f>
        <v>4.6930538202349794</v>
      </c>
      <c r="ES223" s="4">
        <f>ET223*N223</f>
        <v>83.682838718840046</v>
      </c>
      <c r="ET223" s="4">
        <f>AF223^0.5</f>
        <v>2.3375094614201131</v>
      </c>
      <c r="EU223" s="4">
        <f>MIN(EC223)/(4700*M223^0.5)/AE223*ES223</f>
        <v>3.2317418883727453E-2</v>
      </c>
      <c r="EX223" s="4">
        <f>EU223</f>
        <v>3.2317418883727453E-2</v>
      </c>
      <c r="EY223" s="4">
        <f>MIN(0.999, EX223/(0.3*(M223/30)^0.5))</f>
        <v>0.12438980328022628</v>
      </c>
      <c r="EZ223" s="4">
        <f>EP223/1*EY223^0.4</f>
        <v>2.0387756930859888</v>
      </c>
      <c r="FA223" s="4">
        <f>EP223/1.4*(1-EY223^1.4)/(1-EY223)</f>
        <v>3.6215160332683713</v>
      </c>
      <c r="FB223" s="4">
        <f>MAX(0,DQ223*FB$9-ES223)</f>
        <v>126.31716128115995</v>
      </c>
      <c r="FC223" s="4">
        <f>MAX(0,DQ223-ES223-FB223)</f>
        <v>69.999999999999986</v>
      </c>
      <c r="FD223" s="4">
        <f>FC223/(1-0.3*(M223/30)^0.5)/200000/N223</f>
        <v>1.3208101828668833E-5</v>
      </c>
      <c r="FE223" s="4">
        <f>MAX(0.5*EP223, (1-2*FD223*(ES223*EZ223+FB223*FA223))/(1/EP223+FD223*FC223))</f>
        <v>4.5952512937896453</v>
      </c>
      <c r="FF223" s="4">
        <f>MIN(4/N223*(1*EZ223*ES223+FA223*FB223+FC223*FE223)+EC223,MAX(J223,AJ223))</f>
        <v>144.54934498965861</v>
      </c>
      <c r="FO223" s="23"/>
      <c r="FP223" s="23"/>
      <c r="FQ223" s="23"/>
      <c r="FR223" s="23"/>
      <c r="FS223" s="23"/>
      <c r="FT223" s="23"/>
      <c r="FU223" s="23"/>
      <c r="FV223" s="23"/>
      <c r="GF223" s="4">
        <f>IF(S223&gt;=2.5*25.4,1,1.25)</f>
        <v>1</v>
      </c>
      <c r="GG223" s="4">
        <f>IF(AO223&gt;1, 0.05*(18-MIN(8,(W223+N223)/N223))*(1-48000/MAX(60000,(J223*145))*(N223/25.4)^0.75*GH223), 1/12*(14-MIN(8,(W223+N223)/N223)))</f>
        <v>0.57658194354098002</v>
      </c>
      <c r="GH223" s="4">
        <f>MIN(0.3, AM223^2*PI()/4*2*AP223/(N223^2*PI()/4*X223))</f>
        <v>0.28167035985144034</v>
      </c>
      <c r="GI223" s="4">
        <f>(K223/25.4)/(N223/25.4)^1.5/0.0024*(M223*145)^0.25/GF223/GG223/145</f>
        <v>248.14052576933713</v>
      </c>
    </row>
    <row r="224" spans="1:196" ht="12" hidden="1" customHeight="1" x14ac:dyDescent="0.3">
      <c r="A224" s="25">
        <v>200</v>
      </c>
      <c r="B224" s="24" t="s">
        <v>182</v>
      </c>
      <c r="C224" s="4">
        <v>1996</v>
      </c>
      <c r="D224" s="24" t="s">
        <v>309</v>
      </c>
      <c r="E224" s="24"/>
      <c r="F224" s="24"/>
      <c r="G224" s="24"/>
      <c r="H224" s="4" t="s">
        <v>334</v>
      </c>
      <c r="J224" s="7">
        <v>556</v>
      </c>
      <c r="K224" s="7">
        <f>381-U224-25</f>
        <v>280</v>
      </c>
      <c r="L224" s="7">
        <f>K224</f>
        <v>280</v>
      </c>
      <c r="M224" s="7">
        <v>23.2</v>
      </c>
      <c r="N224" s="7">
        <v>35.799999999999997</v>
      </c>
      <c r="O224" s="7">
        <f>K224/N224</f>
        <v>7.8212290502793298</v>
      </c>
      <c r="P224" s="7">
        <f>L224/N224</f>
        <v>7.8212290502793298</v>
      </c>
      <c r="Q224" s="7">
        <v>305</v>
      </c>
      <c r="R224" s="7"/>
      <c r="S224" s="7">
        <v>76</v>
      </c>
      <c r="T224" s="7"/>
      <c r="U224" s="7">
        <v>76</v>
      </c>
      <c r="V224" s="7"/>
      <c r="W224" s="7">
        <f>Q224-2*N224-2*S224</f>
        <v>81.400000000000006</v>
      </c>
      <c r="X224" s="7">
        <v>2</v>
      </c>
      <c r="Y224" s="7"/>
      <c r="Z224" s="7"/>
      <c r="AA224" s="7">
        <f>775-(343+152)</f>
        <v>280</v>
      </c>
      <c r="AB224" s="7">
        <f>MIN(S224/N224+0.5, W224/2/N224+0.5)</f>
        <v>1.6368715083798884</v>
      </c>
      <c r="AC224" s="7">
        <f>S224/N224+0.5</f>
        <v>2.6229050279329611</v>
      </c>
      <c r="AD224" s="7">
        <f>5500/(N224^2*PI()/4)-1</f>
        <v>4.4639504822285474</v>
      </c>
      <c r="AE224" s="7">
        <f>5500/(N224^2*PI()/4)-1</f>
        <v>4.4639504822285474</v>
      </c>
      <c r="AF224" s="7">
        <f>AE224+1</f>
        <v>5.4639504822285474</v>
      </c>
      <c r="AG224" s="7">
        <f>N224*AF224^0.5</f>
        <v>83.682838718840046</v>
      </c>
      <c r="AH224" s="7">
        <f>J224</f>
        <v>556</v>
      </c>
      <c r="AI224" s="7">
        <v>25</v>
      </c>
      <c r="AJ224" s="7"/>
      <c r="AK224" s="32" t="s">
        <v>183</v>
      </c>
      <c r="AL224" s="4">
        <f>CY224</f>
        <v>0</v>
      </c>
      <c r="AM224" s="7">
        <v>9.5</v>
      </c>
      <c r="AN224" s="7">
        <v>2</v>
      </c>
      <c r="AO224" s="7">
        <v>64</v>
      </c>
      <c r="AP224" s="7">
        <v>6</v>
      </c>
      <c r="AQ224" s="7">
        <f>AN224</f>
        <v>2</v>
      </c>
      <c r="AR224" s="7">
        <f>3*AS224/(W224+N224)</f>
        <v>7.1672354948805461</v>
      </c>
      <c r="AS224" s="4">
        <f>K224</f>
        <v>280</v>
      </c>
      <c r="AT224" s="4">
        <f>IF(K224*3&gt;W224+N224, Q224, (S224+N224/2)*2+1.5*K224*(2*X224-2))*(3*K224)/(9*K224^2)</f>
        <v>0.36309523809523808</v>
      </c>
      <c r="AU224" s="4">
        <f>MIN(10*M224^0.5*K224^1.5,100*3.9*M224^0.5*K224^(5/3))/(PI()/4*N224^2)/X224</f>
        <v>112.09728888343021</v>
      </c>
      <c r="AV224" s="4">
        <f>MIN(0.7+0.3*(MIN(S224,AA224)+0.5*N224)/1.5/K224,1)</f>
        <v>0.76707142857142852</v>
      </c>
      <c r="AW224" s="4">
        <v>1.25</v>
      </c>
      <c r="AX224" s="4">
        <f>AX223</f>
        <v>1</v>
      </c>
      <c r="AY224" s="38">
        <f>AT224*AV224*AW224*AX224*AU224</f>
        <v>39.026668741745624</v>
      </c>
      <c r="AZ224" s="38">
        <f>AY224</f>
        <v>39.026668741745624</v>
      </c>
      <c r="BA224" s="38">
        <f>IF(M224&lt;50, 0.3*M224^(2/3), 2.12*LN(1+0.1*(M224+8)))</f>
        <v>2.4403188690141904</v>
      </c>
      <c r="BB224" s="38">
        <f>AX224* (M224^0.5/AS224^0.5)/(PI()/4*N224^2)/X224/0.72 *(0.7+(MIN(S224,AA224)+0.5*N224)/5/K224) *(3*Q224*K224)</f>
        <v>39.026668741745645</v>
      </c>
      <c r="BC224" s="38">
        <f>AY224/BB224</f>
        <v>0.99999999999999944</v>
      </c>
      <c r="BD224" s="38">
        <f>BH224/BB224</f>
        <v>5.1025471464499699</v>
      </c>
      <c r="BE224" s="4">
        <f>IF(BD224&lt;1,1,0)</f>
        <v>0</v>
      </c>
      <c r="BF224" s="4">
        <f>L224/N224*M224^0.5/0.19</f>
        <v>198.27383017123452</v>
      </c>
      <c r="BG224" s="4">
        <f>MIN(0.6+0.4*(AC224/AB224),2)</f>
        <v>1.2409556313993173</v>
      </c>
      <c r="BH224" s="38">
        <f>2*M224*AB224*AD224^0.5*BG224*0.7/0.7</f>
        <v>199.13541722364249</v>
      </c>
      <c r="BI224" s="4">
        <f>MAX(1-0.7*AE224/5,0.3)</f>
        <v>0.37504693248800336</v>
      </c>
      <c r="BJ224" s="4">
        <f>BI224*J224*L224/(J224*N224/2.75/M224^0.5)</f>
        <v>38.854140714647713</v>
      </c>
      <c r="BK224" s="4">
        <f>BH224+BJ224</f>
        <v>237.9895579382902</v>
      </c>
      <c r="BM224" s="4">
        <f>MIN(1.5, 0.75+0.25*MIN(3,MAX(1,S224/N224))+0.4*MIN(1,(40*2*PI()*AM224^2/4/AO224/X224)/N224))</f>
        <v>1.5</v>
      </c>
      <c r="BN224" s="4">
        <f>(3*P224+30)*BM224*M224^0.5</f>
        <v>386.2728272146669</v>
      </c>
      <c r="BP224" s="4">
        <f>3.4/PI()^0.5*M224*AB224*AE224^0.5*BG224</f>
        <v>190.99521779212648</v>
      </c>
      <c r="BQ224" s="4">
        <f>8/3*AH224*AI224^2/(AG224-N224-22)/N224*(AG224^2-N224^2)/(AG224^2-(N224+22)^2)</f>
        <v>1562.4220485187734</v>
      </c>
      <c r="BR224" s="4">
        <f>BQ224/BP224</f>
        <v>8.1804249686464257</v>
      </c>
      <c r="BZ224" s="4">
        <f>IF(W224=0,S224,MIN(W224/2,S224))</f>
        <v>40.700000000000003</v>
      </c>
      <c r="CD224" s="9"/>
      <c r="CF224" s="9"/>
      <c r="CG224" s="9"/>
      <c r="CH224" s="9">
        <f>IF(W224=0,MIN(S224,U224),MIN(W224/2,S224,U224))</f>
        <v>40.700000000000003</v>
      </c>
      <c r="CI224" s="9">
        <f>MAX(W224/2,S224)</f>
        <v>76</v>
      </c>
      <c r="CJ224" s="9">
        <f>(CH224/N224)^0.5*(CI224/CH224)^0.15</f>
        <v>1.1709505872794554</v>
      </c>
      <c r="CK224" s="70">
        <v>20</v>
      </c>
      <c r="CL224" s="9">
        <f>MIN(PI()*AM224^2/4*AN224*2/X224/N224/MAX(0.01,AO224),0.05)</f>
        <v>0.05</v>
      </c>
      <c r="CM224" s="9">
        <f>MAX(0,CK224*(CL224-0.5/50))</f>
        <v>0.8</v>
      </c>
      <c r="CN224" s="9">
        <f>MIN(1,(25/N224)^0.3)</f>
        <v>0.89787751228078194</v>
      </c>
      <c r="CO224" s="9">
        <f>IF(J224&gt;=800,0.68,IF(J224&gt;=700,0.75-(J224-700)*0.07/100,IF(J224&gt;=600,0.85-(J224-600)*0.1/100,IF(J224&gt;=500,1-(J224-500)*0.15/100,1.2-(J224-400)*0.2/100))))</f>
        <v>0.91600000000000004</v>
      </c>
      <c r="CP224" s="9">
        <f>1.75*CN224*CO224*(M224/25)^0.5</f>
        <v>1.3865151044666033</v>
      </c>
      <c r="CQ224" s="9">
        <f>MIN((CJ224+CM224)*CP224,2.5*CP224,M224^0.5)</f>
        <v>2.7327527594202872</v>
      </c>
      <c r="CR224" s="9">
        <v>1</v>
      </c>
      <c r="CS224" s="9">
        <f>4*CQ224*P224+60*CQ224</f>
        <v>249.45910664205303</v>
      </c>
      <c r="DP224" s="4">
        <f>AN224</f>
        <v>2</v>
      </c>
      <c r="DQ224" s="4">
        <f>L224</f>
        <v>280</v>
      </c>
      <c r="DT224" s="4">
        <f>K224/4/(1-0.3*(M224/30)^0.5)/200000/N224</f>
        <v>1.3280055604963279E-5</v>
      </c>
      <c r="DU224" s="4">
        <f>EP224</f>
        <v>4.765497742468991</v>
      </c>
      <c r="DV224" s="4">
        <f>EC224*AG224/257/M224/AD224</f>
        <v>0.1227036296353821</v>
      </c>
      <c r="DW224" s="4">
        <f>DU224*DV224^0.4</f>
        <v>2.0589757514994984</v>
      </c>
      <c r="DX224" s="4">
        <f>MIN(DU224, DU224/1.4*(1-DV224^1.4)/(1-DV224))</f>
        <v>3.6743194341767085</v>
      </c>
      <c r="DY224" s="4">
        <f>MAX(DU224/2, (4-DT224*(8*AG224*(DW224-DX224)+6*K224*DX224))/(4+DT224*K224*DU224)*DU224)</f>
        <v>4.6642804808515681</v>
      </c>
      <c r="DZ224" s="38">
        <f>MIN(1/N224*(4*AG224*(DW224-DX224)+(3*DX224+DY224)*K224)+EC224 -FJ224,MAX(J224,AJ224))</f>
        <v>146.61663186618637</v>
      </c>
      <c r="EA224" s="4">
        <f>DZ224/FF224</f>
        <v>1.0001229161201619</v>
      </c>
      <c r="EB224" s="4">
        <f>AG224/N224</f>
        <v>2.3375094614201131</v>
      </c>
      <c r="EC224" s="4">
        <f>MIN(EB$10*BB224)</f>
        <v>39.026668741745645</v>
      </c>
      <c r="EG224" s="4">
        <f>IF(U224&gt;1*N224,0.85,1)</f>
        <v>0.85</v>
      </c>
      <c r="EH224" s="4">
        <f>MIN(1,MAX(0.7,(1-0.1*(BZ224-1*N224)/N224)))</f>
        <v>0.98631284916201112</v>
      </c>
      <c r="EI224" s="4">
        <f>MIN(1,MAX(0.7,1-0.3*(PI()*AM224^2/4*AQ224*2-0.25*PI()/4*N224^2)/(PI()/4*N224^2)))</f>
        <v>0.99049889204456787</v>
      </c>
      <c r="EJ224" s="4">
        <f>IF(EH224*EI224&lt;0.7,0.7,EH224*EI224)</f>
        <v>0.97694178430429301</v>
      </c>
      <c r="EL224" s="4">
        <f>MIN(DU224/N224*3*K224+EM224-FJ224,MAX(J224,AJ224))</f>
        <v>208.02484274736571</v>
      </c>
      <c r="EM224" s="25">
        <f>13.3*Q224*K224^0.5*M224^0.5/X224/N224^2*(0.7+S224/5/K224)</f>
        <v>96.208694600048602</v>
      </c>
      <c r="EO224" s="4">
        <f>EG224*EJ224</f>
        <v>0.830400516658649</v>
      </c>
      <c r="EP224" s="4">
        <f>IF(N224&lt;22.2,1.1*5*(M224/30)^0.5,IF(N224&gt;=31.8,0.9*5*(M224/30)^0.5,1*5*(M224/30)^0.5))/EG224/EJ224</f>
        <v>4.765497742468991</v>
      </c>
      <c r="ES224" s="4">
        <f>ET224*N224</f>
        <v>83.682838718840046</v>
      </c>
      <c r="ET224" s="4">
        <f>AF224^0.5</f>
        <v>2.3375094614201131</v>
      </c>
      <c r="EU224" s="4">
        <f>MIN(EC224)/(4700*M224^0.5)/AE224*ES224</f>
        <v>3.2317418883727453E-2</v>
      </c>
      <c r="EX224" s="4">
        <f>EU224</f>
        <v>3.2317418883727453E-2</v>
      </c>
      <c r="EY224" s="4">
        <f>MIN(0.999, EX224/(0.3*(M224/30)^0.5))</f>
        <v>0.12249886014636845</v>
      </c>
      <c r="EZ224" s="4">
        <f>EP224/1*EY224^0.4</f>
        <v>2.0576006440764671</v>
      </c>
      <c r="FA224" s="4">
        <f>EP224/1.4*(1-EY224^1.4)/(1-EY224)</f>
        <v>3.6739423248466334</v>
      </c>
      <c r="FB224" s="4">
        <f>MAX(0,DQ224*FB$9-ES224)</f>
        <v>126.31716128115995</v>
      </c>
      <c r="FC224" s="4">
        <f>MAX(0,DQ224-ES224-FB224)</f>
        <v>69.999999999999986</v>
      </c>
      <c r="FD224" s="4">
        <f>FC224/(1-0.3*(M224/30)^0.5)/200000/N224</f>
        <v>1.3280055604963274E-5</v>
      </c>
      <c r="FE224" s="4">
        <f>MAX(0.5*EP224, (1-2*FD224*(ES224*EZ224+FB224*FA224))/(1/EP224+FD224*FC224))</f>
        <v>4.6643009843564327</v>
      </c>
      <c r="FF224" s="4">
        <f>MIN(4/N224*(1*EZ224*ES224+FA224*FB224+FC224*FE224)+EC224,MAX(J224,AJ224))</f>
        <v>146.59861253351264</v>
      </c>
      <c r="FO224" s="23"/>
      <c r="FP224" s="23"/>
      <c r="FQ224" s="23"/>
      <c r="FR224" s="23"/>
      <c r="FS224" s="23"/>
      <c r="FT224" s="23"/>
      <c r="FU224" s="23"/>
      <c r="FV224" s="23"/>
      <c r="GF224" s="4">
        <f>IF(S224&gt;=2.5*25.4,1,1.25)</f>
        <v>1</v>
      </c>
      <c r="GG224" s="4">
        <f>IF(AO224&gt;1, 0.05*(18-MIN(8,(W224+N224)/N224))*(1-48000/MAX(60000,(J224*145))*(N224/25.4)^0.75*GH224), 1/12*(14-MIN(8,(W224+N224)/N224)))</f>
        <v>0.56618748804278263</v>
      </c>
      <c r="GH224" s="4">
        <f>MIN(0.3, AM224^2*PI()/4*2*AP224/(N224^2*PI()/4*X224))</f>
        <v>0.3</v>
      </c>
      <c r="GI224" s="4">
        <f>(K224/25.4)/(N224/25.4)^1.5/0.0024*(M224*145)^0.25/GF224/GG224/145</f>
        <v>254.63894993046731</v>
      </c>
    </row>
    <row r="225" spans="1:191" ht="12" hidden="1" customHeight="1" x14ac:dyDescent="0.3">
      <c r="A225" s="25">
        <v>201</v>
      </c>
      <c r="B225" s="24" t="s">
        <v>182</v>
      </c>
      <c r="C225" s="4">
        <v>1996</v>
      </c>
      <c r="D225" s="24" t="s">
        <v>309</v>
      </c>
      <c r="E225" s="24"/>
      <c r="F225" s="24"/>
      <c r="G225" s="24"/>
      <c r="H225" s="4" t="s">
        <v>335</v>
      </c>
      <c r="J225" s="7">
        <v>578</v>
      </c>
      <c r="K225" s="7">
        <f>305-U225-18</f>
        <v>211</v>
      </c>
      <c r="L225" s="7">
        <f>K225</f>
        <v>211</v>
      </c>
      <c r="M225" s="7">
        <v>29.6</v>
      </c>
      <c r="N225" s="7">
        <v>25.4</v>
      </c>
      <c r="O225" s="7">
        <f>K225/N225</f>
        <v>8.3070866141732296</v>
      </c>
      <c r="P225" s="7">
        <f>L225/N225</f>
        <v>8.3070866141732296</v>
      </c>
      <c r="Q225" s="7">
        <v>305</v>
      </c>
      <c r="R225" s="7"/>
      <c r="S225" s="7">
        <v>76</v>
      </c>
      <c r="T225" s="7"/>
      <c r="U225" s="7">
        <v>76</v>
      </c>
      <c r="V225" s="7"/>
      <c r="W225" s="7">
        <f>Q225-2*N225-2*S225</f>
        <v>102.19999999999999</v>
      </c>
      <c r="X225" s="7">
        <v>2</v>
      </c>
      <c r="Y225" s="7"/>
      <c r="Z225" s="7"/>
      <c r="AA225" s="7">
        <f>775-(343+152)</f>
        <v>280</v>
      </c>
      <c r="AB225" s="7">
        <f>MIN(S225/N225+0.5, W225/2/N225+0.5)</f>
        <v>2.5118110236220472</v>
      </c>
      <c r="AC225" s="7">
        <f>S225/N225+0.5</f>
        <v>3.4921259842519685</v>
      </c>
      <c r="AD225" s="7">
        <f>3200/(N225^2*PI()/4)-1</f>
        <v>5.3152807724479523</v>
      </c>
      <c r="AE225" s="7">
        <f>3200/(N225^2*PI()/4)-1</f>
        <v>5.3152807724479523</v>
      </c>
      <c r="AF225" s="7">
        <f>AE225+1</f>
        <v>6.3152807724479523</v>
      </c>
      <c r="AG225" s="7">
        <f>N225*AF225^0.5</f>
        <v>63.830764864229231</v>
      </c>
      <c r="AH225" s="7">
        <f>J225</f>
        <v>578</v>
      </c>
      <c r="AI225" s="7">
        <v>18</v>
      </c>
      <c r="AJ225" s="7"/>
      <c r="AK225" s="32" t="s">
        <v>183</v>
      </c>
      <c r="AL225" s="4">
        <f>CY225</f>
        <v>0</v>
      </c>
      <c r="AM225" s="7">
        <v>9.5</v>
      </c>
      <c r="AN225" s="7">
        <v>2</v>
      </c>
      <c r="AO225" s="7">
        <v>102</v>
      </c>
      <c r="AP225" s="7">
        <v>4</v>
      </c>
      <c r="AQ225" s="7">
        <f>AN225</f>
        <v>2</v>
      </c>
      <c r="AR225" s="7">
        <f>3*AS225/(W225+N225)</f>
        <v>4.9608150470219439</v>
      </c>
      <c r="AS225" s="4">
        <f>K225</f>
        <v>211</v>
      </c>
      <c r="AT225" s="4">
        <f>IF(K225*3&gt;W225+N225, Q225, (S225+N225/2)*2+1.5*K225*(2*X225-2))*(3*K225)/(9*K225^2)</f>
        <v>0.48183254344391785</v>
      </c>
      <c r="AU225" s="4">
        <f>MIN(10*M225^0.5*K225^1.5,100*3.9*M225^0.5*K225^(5/3))/(PI()/4*N225^2)/X225</f>
        <v>164.54406728062244</v>
      </c>
      <c r="AV225" s="4">
        <f>MIN(0.7+0.3*(MIN(S225,AA225)+0.5*N225)/1.5/K225,1)</f>
        <v>0.7840758293838862</v>
      </c>
      <c r="AW225" s="4">
        <v>1.25</v>
      </c>
      <c r="AX225" s="4">
        <f>AX224</f>
        <v>1</v>
      </c>
      <c r="AY225" s="38">
        <f>AT225*AV225*AW225*AX225*AU225</f>
        <v>77.704547664083464</v>
      </c>
      <c r="AZ225" s="38">
        <f>AY225</f>
        <v>77.704547664083464</v>
      </c>
      <c r="BA225" s="38">
        <f>IF(M225&lt;50, 0.3*M225^(2/3), 2.12*LN(1+0.1*(M225+8)))</f>
        <v>2.8706642143339227</v>
      </c>
      <c r="BB225" s="38">
        <f>AX225* (M225^0.5/AS225^0.5)/(PI()/4*N225^2)/X225/0.72 *(0.7+(MIN(S225,AA225)+0.5*N225)/5/K225) *(3*Q225*K225)</f>
        <v>77.704547664083478</v>
      </c>
      <c r="BC225" s="38">
        <f>AY225/BB225</f>
        <v>0.99999999999999978</v>
      </c>
      <c r="BD225" s="38">
        <f>BH225/BB225</f>
        <v>5.1006505038417096</v>
      </c>
      <c r="BE225" s="4">
        <f>IF(BD225&lt;1,1,0)</f>
        <v>0</v>
      </c>
      <c r="BF225" s="4">
        <f>L225/N225*M225^0.5/0.19</f>
        <v>237.87072336039611</v>
      </c>
      <c r="BG225" s="4">
        <f>MIN(0.6+0.4*(AC225/AB225),2)</f>
        <v>1.1561128526645768</v>
      </c>
      <c r="BH225" s="38">
        <f>2*M225*AB225*AD225^0.5*BG225*0.7/0.7</f>
        <v>396.34374019359956</v>
      </c>
      <c r="BI225" s="4">
        <f>MAX(1-0.7*AE225/5,0.3)</f>
        <v>0.3</v>
      </c>
      <c r="BJ225" s="4">
        <f>BI225*J225*L225/(J225*N225/2.75/M225^0.5)</f>
        <v>37.286235886742084</v>
      </c>
      <c r="BK225" s="4">
        <f>BH225+BJ225</f>
        <v>433.62997608034163</v>
      </c>
      <c r="BM225" s="4">
        <f>MIN(1.5, 0.75+0.25*MIN(3,MAX(1,S225/N225))+0.4*MIN(1,(40*2*PI()*AM225^2/4/AO225/X225)/N225))</f>
        <v>1.5</v>
      </c>
      <c r="BN225" s="4">
        <f>(3*P225+30)*BM225*M225^0.5</f>
        <v>448.20593763037658</v>
      </c>
      <c r="BP225" s="4">
        <f>3.4/PI()^0.5*M225*AB225*AE225^0.5*BG225</f>
        <v>380.14211652669815</v>
      </c>
      <c r="BQ225" s="4">
        <f>8/3*AH225*AI225^2/(AG225-N225-22)/N225*(AG225^2-N225^2)/(AG225^2-(N225+22)^2)</f>
        <v>2245.2309649218914</v>
      </c>
      <c r="BR225" s="4">
        <f>BQ225/BP225</f>
        <v>5.9062936394320946</v>
      </c>
      <c r="BZ225" s="4">
        <f>IF(W225=0,S225,MIN(W225/2,S225))</f>
        <v>51.099999999999994</v>
      </c>
      <c r="CD225" s="9"/>
      <c r="CF225" s="9"/>
      <c r="CG225" s="9"/>
      <c r="CH225" s="9">
        <f>IF(W225=0,MIN(S225,U225),MIN(W225/2,S225,U225))</f>
        <v>51.099999999999994</v>
      </c>
      <c r="CI225" s="9">
        <f>MAX(W225/2,S225)</f>
        <v>76</v>
      </c>
      <c r="CJ225" s="9">
        <f>(CH225/N225)^0.5*(CI225/CH225)^0.15</f>
        <v>1.5054020239149992</v>
      </c>
      <c r="CK225" s="70">
        <v>20</v>
      </c>
      <c r="CL225" s="9">
        <f>MIN(PI()*AM225^2/4*AN225*2/X225/N225/MAX(0.01,AO225),0.05)</f>
        <v>0.05</v>
      </c>
      <c r="CM225" s="9">
        <f>MAX(0,CK225*(CL225-0.5/50))</f>
        <v>0.8</v>
      </c>
      <c r="CN225" s="9">
        <f>MIN(1,(25/N225)^0.3)</f>
        <v>0.99524931562137331</v>
      </c>
      <c r="CO225" s="9">
        <f>IF(J225&gt;=800,0.68,IF(J225&gt;=700,0.75-(J225-700)*0.07/100,IF(J225&gt;=600,0.85-(J225-600)*0.1/100,IF(J225&gt;=500,1-(J225-500)*0.15/100,1.2-(J225-400)*0.2/100))))</f>
        <v>0.88300000000000001</v>
      </c>
      <c r="CP225" s="9">
        <f>1.75*CN225*CO225*(M225/25)^0.5</f>
        <v>1.673425918090842</v>
      </c>
      <c r="CQ225" s="9">
        <f>MIN((CJ225+CM225)*CP225,2.5*CP225,M225^0.5)</f>
        <v>3.8579194984384428</v>
      </c>
      <c r="CR225" s="9">
        <v>1</v>
      </c>
      <c r="CS225" s="9">
        <f>4*CQ225*P225+60*CQ225</f>
        <v>359.6674556024501</v>
      </c>
      <c r="DP225" s="4">
        <f>AN225</f>
        <v>2</v>
      </c>
      <c r="DQ225" s="4">
        <f>L225</f>
        <v>211</v>
      </c>
      <c r="DT225" s="4">
        <f>K225/4/(1-0.3*(M225/30)^0.5)/200000/N225</f>
        <v>1.4791679478037025E-5</v>
      </c>
      <c r="DU225" s="4">
        <f>EP225</f>
        <v>7.1662565049066815</v>
      </c>
      <c r="DV225" s="4">
        <f>EC225*AG225/257/M225/AD225</f>
        <v>0.12266634928154253</v>
      </c>
      <c r="DW225" s="4">
        <f>DU225*DV225^0.4</f>
        <v>3.0958686409971135</v>
      </c>
      <c r="DX225" s="4">
        <f>MIN(DU225, DU225/1.4*(1-DV225^1.4)/(1-DV225))</f>
        <v>5.5252620053490036</v>
      </c>
      <c r="DY225" s="4">
        <f>MAX(DU225/2, (4-DT225*(8*AG225*(DW225-DX225)+6*K225*DX225))/(4+DT225*K225*DU225)*DU225)</f>
        <v>6.9747631982022096</v>
      </c>
      <c r="DZ225" s="38">
        <f>MIN(1/N225*(4*AG225*(DW225-DX225)+(3*DX225+DY225)*K225)+EC225 -FJ225,MAX(J225,AJ225))</f>
        <v>248.92052159305706</v>
      </c>
      <c r="EA225" s="4">
        <f>DZ225/FF225</f>
        <v>1.0001160708098646</v>
      </c>
      <c r="EB225" s="4">
        <f>AG225/N225</f>
        <v>2.5130222387491825</v>
      </c>
      <c r="EC225" s="4">
        <f>MIN(EB$10*BB225)</f>
        <v>77.704547664083478</v>
      </c>
      <c r="EG225" s="4">
        <f>IF(U225&gt;1*N225,0.85,1)</f>
        <v>0.85</v>
      </c>
      <c r="EH225" s="4">
        <f>MIN(1,MAX(0.7,(1-0.1*(BZ225-1*N225)/N225)))</f>
        <v>0.89881889763779532</v>
      </c>
      <c r="EI225" s="4">
        <f>MIN(1,MAX(0.7,1-0.3*(PI()*AM225^2/4*AQ225*2-0.25*PI()/4*N225^2)/(PI()/4*N225^2)))</f>
        <v>0.90713466426932854</v>
      </c>
      <c r="EJ225" s="4">
        <f>IF(EH225*EI225&lt;0.7,0.7,EH225*EI225)</f>
        <v>0.81534977894758942</v>
      </c>
      <c r="EL225" s="4">
        <f>MIN(DU225/N225*3*K225+EM225-FJ225,MAX(J225,AJ225))</f>
        <v>370.40590266045024</v>
      </c>
      <c r="EM225" s="25">
        <f>13.3*Q225*K225^0.5*M225^0.5/X225/N225^2*(0.7+S225/5/K225)</f>
        <v>191.81376220352391</v>
      </c>
      <c r="EO225" s="4">
        <f>EG225*EJ225</f>
        <v>0.69304731210545101</v>
      </c>
      <c r="EP225" s="4">
        <f>IF(N225&lt;22.2,1.1*5*(M225/30)^0.5,IF(N225&gt;=31.8,0.9*5*(M225/30)^0.5,1*5*(M225/30)^0.5))/EG225/EJ225</f>
        <v>7.1662565049066815</v>
      </c>
      <c r="ES225" s="4">
        <f>ET225*N225</f>
        <v>63.830764864229231</v>
      </c>
      <c r="ET225" s="4">
        <f>AF225^0.5</f>
        <v>2.5130222387491825</v>
      </c>
      <c r="EU225" s="4">
        <f>MIN(EC225)/(4700*M225^0.5)/AE225*ES225</f>
        <v>3.649274741846429E-2</v>
      </c>
      <c r="EX225" s="4">
        <f>EU225</f>
        <v>3.649274741846429E-2</v>
      </c>
      <c r="EY225" s="4">
        <f>MIN(0.999, EX225/(0.3*(M225/30)^0.5))</f>
        <v>0.1224616420064913</v>
      </c>
      <c r="EZ225" s="4">
        <f>EP225/1*EY225^0.4</f>
        <v>3.0938010343505242</v>
      </c>
      <c r="FA225" s="4">
        <f>EP225/1.4*(1-EY225^1.4)/(1-EY225)</f>
        <v>5.5246950488361311</v>
      </c>
      <c r="FB225" s="4">
        <f>MAX(0,DQ225*FB$9-ES225)</f>
        <v>94.419235135770776</v>
      </c>
      <c r="FC225" s="4">
        <f>MAX(0,DQ225-ES225-FB225)</f>
        <v>52.75</v>
      </c>
      <c r="FD225" s="4">
        <f>FC225/(1-0.3*(M225/30)^0.5)/200000/N225</f>
        <v>1.4791679478037025E-5</v>
      </c>
      <c r="FE225" s="4">
        <f>MAX(0.5*EP225, (1-2*FD225*(ES225*EZ225+FB225*FA225))/(1/EP225+FD225*FC225))</f>
        <v>6.9748023076841266</v>
      </c>
      <c r="FF225" s="4">
        <f>MIN(4/N225*(1*EZ225*ES225+FA225*FB225+FC225*FE225)+EC225,MAX(J225,AJ225))</f>
        <v>248.89163253969963</v>
      </c>
      <c r="FO225" s="23"/>
      <c r="FP225" s="23"/>
      <c r="FQ225" s="23"/>
      <c r="FR225" s="23"/>
      <c r="FS225" s="23"/>
      <c r="FT225" s="23"/>
      <c r="FU225" s="23"/>
      <c r="FV225" s="23"/>
      <c r="GF225" s="4">
        <f>IF(S225&gt;=2.5*25.4,1,1.25)</f>
        <v>1</v>
      </c>
      <c r="GG225" s="4">
        <f>IF(AO225&gt;1, 0.05*(18-MIN(8,(W225+N225)/N225))*(1-48000/MAX(60000,(J225*145))*(N225/25.4)^0.75*GH225), 1/12*(14-MIN(8,(W225+N225)/N225)))</f>
        <v>0.53734064771553958</v>
      </c>
      <c r="GH225" s="4">
        <f>MIN(0.3, AM225^2*PI()/4*2*AP225/(N225^2*PI()/4*X225))</f>
        <v>0.3</v>
      </c>
      <c r="GI225" s="4">
        <f>(K225/25.4)/(N225/25.4)^1.5/0.0024*(M225*145)^0.25/GF225/GG225/145</f>
        <v>359.57105850766999</v>
      </c>
    </row>
    <row r="226" spans="1:191" ht="12" customHeight="1" x14ac:dyDescent="0.3">
      <c r="A226" s="25">
        <v>162</v>
      </c>
      <c r="B226" s="24" t="s">
        <v>128</v>
      </c>
      <c r="C226" s="24">
        <v>2017</v>
      </c>
      <c r="D226" s="24" t="s">
        <v>309</v>
      </c>
      <c r="E226" s="24"/>
      <c r="F226" s="115"/>
      <c r="G226" s="109" t="s">
        <v>789</v>
      </c>
      <c r="H226" s="44" t="s">
        <v>169</v>
      </c>
      <c r="I226" s="5">
        <f>K226/N226</f>
        <v>7</v>
      </c>
      <c r="J226" s="100">
        <v>583</v>
      </c>
      <c r="K226" s="7">
        <f>7*N226</f>
        <v>401.09999999999997</v>
      </c>
      <c r="L226" s="7">
        <f>K226</f>
        <v>401.09999999999997</v>
      </c>
      <c r="M226" s="80">
        <v>51.4</v>
      </c>
      <c r="N226" s="37">
        <v>57.3</v>
      </c>
      <c r="O226" s="7">
        <f>K226/N226</f>
        <v>7</v>
      </c>
      <c r="P226" s="7">
        <f>L226/N226</f>
        <v>7</v>
      </c>
      <c r="Q226" s="7">
        <f>W226+2*S226+2*N226</f>
        <v>584.46</v>
      </c>
      <c r="R226" s="32">
        <f>S226/N226</f>
        <v>1</v>
      </c>
      <c r="S226" s="7">
        <f>1*N226</f>
        <v>57.3</v>
      </c>
      <c r="T226" s="32">
        <f>U226/N226</f>
        <v>0.97731239092495636</v>
      </c>
      <c r="U226" s="7">
        <f>40+16</f>
        <v>56</v>
      </c>
      <c r="V226" s="32">
        <f>W226/N226</f>
        <v>6.2</v>
      </c>
      <c r="W226" s="7">
        <f>(7.2-1)*N226</f>
        <v>355.26</v>
      </c>
      <c r="X226" s="7">
        <v>2</v>
      </c>
      <c r="Y226" s="7">
        <f>AN226</f>
        <v>2</v>
      </c>
      <c r="Z226" s="32">
        <f>AA226/N226</f>
        <v>3.0436300174520068</v>
      </c>
      <c r="AA226" s="7">
        <f>2/3*K226-0.5*186</f>
        <v>174.39999999999998</v>
      </c>
      <c r="AB226" s="7">
        <f>MIN(S226/N226+0.5, W226/2/N226+0.5)</f>
        <v>1.5</v>
      </c>
      <c r="AC226" s="7">
        <f>S226/N226+0.5</f>
        <v>1.5</v>
      </c>
      <c r="AD226" s="7">
        <f>2040/510</f>
        <v>4</v>
      </c>
      <c r="AE226" s="7">
        <f>2040/510</f>
        <v>4</v>
      </c>
      <c r="AF226" s="7">
        <f>AE226+1</f>
        <v>5</v>
      </c>
      <c r="AG226" s="7">
        <f>N226*AF226^0.5</f>
        <v>128.12669511073796</v>
      </c>
      <c r="AH226" s="7">
        <f>J226</f>
        <v>583</v>
      </c>
      <c r="AI226" s="7">
        <v>25</v>
      </c>
      <c r="AJ226" s="7">
        <f>(424+424)/2</f>
        <v>424</v>
      </c>
      <c r="AK226" s="7"/>
      <c r="AL226" s="4">
        <f>CY226</f>
        <v>2.502367304628951</v>
      </c>
      <c r="AM226" s="7">
        <v>15.9</v>
      </c>
      <c r="AN226" s="7">
        <v>2</v>
      </c>
      <c r="AO226" s="7">
        <v>275</v>
      </c>
      <c r="AP226" s="7">
        <v>4</v>
      </c>
      <c r="AQ226" s="7">
        <f>AN226</f>
        <v>2</v>
      </c>
      <c r="AR226" s="7">
        <f>3*AS226/(W226+N226)</f>
        <v>2.9166666666666665</v>
      </c>
      <c r="AS226" s="4">
        <f>K226</f>
        <v>401.09999999999997</v>
      </c>
      <c r="AT226" s="4">
        <f>IF(K226*3&gt;W226+N226, Q226, (S226+N226/2)*2+1.5*K226*(2*X226-2))*(3*K226)/(9*K226^2)</f>
        <v>0.48571428571428582</v>
      </c>
      <c r="AU226" s="4">
        <f>MIN(10*M226^0.5*K226^1.5,100*3.9*M226^0.5*K226^(5/3))/(PI()/4*N226^2)/X226</f>
        <v>111.66869259763561</v>
      </c>
      <c r="AV226" s="4">
        <f>MIN(0.7+0.3*(MIN(S226,AA226)+0.5*N226)/1.5/K226,1)</f>
        <v>0.74285714285714277</v>
      </c>
      <c r="AW226" s="4">
        <v>1.25</v>
      </c>
      <c r="AX226" s="4">
        <f>AX224</f>
        <v>1</v>
      </c>
      <c r="AY226" s="38">
        <f>AT226*AV226*AW226*AX226*AU226</f>
        <v>50.364859314443827</v>
      </c>
      <c r="AZ226" s="38">
        <f>AY226</f>
        <v>50.364859314443827</v>
      </c>
      <c r="BA226" s="38">
        <f>IF(M226&lt;50, 0.3*M226^(2/3), 2.12*LN(1+0.1*(M226+8)))</f>
        <v>4.107079761979672</v>
      </c>
      <c r="BB226" s="38">
        <f>AX226* (M226^0.5/AS226^0.5)/(PI()/4*N226^2)/X226/0.72 *(0.7+(MIN(S226,AA226)+0.5*N226)/5/K226) *(3*Q226*K226)</f>
        <v>50.364859314443798</v>
      </c>
      <c r="BC226" s="38">
        <f>AY226/BB226</f>
        <v>1.0000000000000007</v>
      </c>
      <c r="BD226" s="38">
        <f>BH226/BB226</f>
        <v>6.1233170150354423</v>
      </c>
      <c r="BE226" s="4">
        <f>IF(BD226&lt;1,1,0)</f>
        <v>0</v>
      </c>
      <c r="BF226" s="4">
        <f>L226/N226*M226^0.5/0.19</f>
        <v>264.13502800535673</v>
      </c>
      <c r="BG226" s="4">
        <f>MIN(0.6+0.4*(AC226/AB226),2)</f>
        <v>1</v>
      </c>
      <c r="BH226" s="38">
        <f>2*M226*AB226*AD226^0.5*BG226*0.7/0.7</f>
        <v>308.39999999999998</v>
      </c>
      <c r="BI226" s="4">
        <f>MAX(1-0.7*AE226/5,0.3)</f>
        <v>0.44000000000000006</v>
      </c>
      <c r="BJ226" s="4">
        <f>BI226*J226*L226/(J226*N226/2.75/M226^0.5)</f>
        <v>60.724642938431515</v>
      </c>
      <c r="BK226" s="4">
        <f>BH226+BJ226</f>
        <v>369.12464293843152</v>
      </c>
      <c r="BM226" s="4">
        <f>MIN(1.5, 0.75+0.25*MIN(3,MAX(1,S226/N226))+0.4*MIN(1,(40*2*PI()*AM226^2/4/AO226/X226)/N226))</f>
        <v>1.201612194511575</v>
      </c>
      <c r="BN226" s="4">
        <f>(3*P226+30)*BM226*M226^0.5</f>
        <v>439.35549522682476</v>
      </c>
      <c r="BP226" s="4">
        <f>3.4/PI()^0.5*M226*AB226*AE226^0.5*BG226</f>
        <v>295.79331486241767</v>
      </c>
      <c r="BQ226" s="4">
        <f>8/3*AH226*AI226^2/(AG226-N226-22)/N226*(AG226^2-N226^2)/(AG226^2-(N226+22)^2)</f>
        <v>450.3525339151019</v>
      </c>
      <c r="BR226" s="4">
        <f>BQ226/BP226</f>
        <v>1.5225243820151051</v>
      </c>
      <c r="BZ226" s="4">
        <f>IF(W226=0,S226,MIN(W226/2,S226))</f>
        <v>57.3</v>
      </c>
      <c r="CD226" s="9"/>
      <c r="CF226" s="9"/>
      <c r="CG226" s="9"/>
      <c r="CH226" s="9">
        <f>IF(W226=0,MIN(S226,U226),MIN(W226/2,S226,U226))</f>
        <v>56</v>
      </c>
      <c r="CI226" s="9">
        <f>MAX(W226/2,S226)</f>
        <v>177.63</v>
      </c>
      <c r="CJ226" s="9">
        <f>(CH226/N226)^0.5*(CI226/CH226)^0.15</f>
        <v>1.1754818988273255</v>
      </c>
      <c r="CK226" s="70">
        <v>20</v>
      </c>
      <c r="CL226" s="9">
        <f>MIN(PI()*AM226^2/4*AN226*2/X226/N226/MAX(0.01,AO226),0.05)</f>
        <v>2.5201524313946871E-2</v>
      </c>
      <c r="CM226" s="9">
        <f>MAX(0,CK226*(CL226-0.5/50))</f>
        <v>0.30403048627893742</v>
      </c>
      <c r="CN226" s="9">
        <f>MIN(1,(25/N226)^0.3)</f>
        <v>0.77971450958075206</v>
      </c>
      <c r="CO226" s="9">
        <f>IF(J226&gt;=800,0.68,IF(J226&gt;=700,0.75-(J226-700)*0.07/100,IF(J226&gt;=600,0.85-(J226-600)*0.1/100,IF(J226&gt;=500,1-(J226-500)*0.15/100,1.2-(J226-400)*0.2/100))))</f>
        <v>0.87549999999999994</v>
      </c>
      <c r="CP226" s="9">
        <f>1.75*CN226*CO226*(M226/25)^0.5</f>
        <v>1.7129369207551171</v>
      </c>
      <c r="CQ226" s="9">
        <f>MIN((CJ226+CM226)*CP226,2.5*CP226,M226^0.5)</f>
        <v>2.5343113891629807</v>
      </c>
      <c r="CR226" s="9">
        <v>1</v>
      </c>
      <c r="CS226" s="9">
        <f>4*CQ226*P226+60*CQ226</f>
        <v>223.01940224634231</v>
      </c>
      <c r="CU226" s="4">
        <f>AJ226/BF226</f>
        <v>1.6052395746292354</v>
      </c>
      <c r="CV226" s="4">
        <f>AJ226/BK226</f>
        <v>1.1486634883673195</v>
      </c>
      <c r="CW226" s="4">
        <f>AJ226/BN226</f>
        <v>0.96504995295689378</v>
      </c>
      <c r="CX226" s="4">
        <f>AJ226/CS226</f>
        <v>1.9011798782047624</v>
      </c>
      <c r="CY226" s="4">
        <f>AJ226/DZ226</f>
        <v>2.502367304628951</v>
      </c>
      <c r="CZ226" s="4">
        <f>AJ226/EL226</f>
        <v>1.6978913823018422</v>
      </c>
      <c r="DA226" s="4">
        <f>AJ226/GI226</f>
        <v>1.5788211461636792</v>
      </c>
      <c r="DI226" s="4">
        <f>CU226</f>
        <v>1.6052395746292354</v>
      </c>
      <c r="DJ226" s="4">
        <f>CV226</f>
        <v>1.1486634883673195</v>
      </c>
      <c r="DK226" s="4">
        <f>CX226</f>
        <v>1.9011798782047624</v>
      </c>
      <c r="DL226" s="4">
        <f>DA226</f>
        <v>1.5788211461636792</v>
      </c>
      <c r="DM226" s="4">
        <f>CY226</f>
        <v>2.502367304628951</v>
      </c>
      <c r="DN226" s="4">
        <f>CZ226</f>
        <v>1.6978913823018422</v>
      </c>
      <c r="DP226" s="4">
        <f>AN226</f>
        <v>2</v>
      </c>
      <c r="DQ226" s="4">
        <f>L226</f>
        <v>401.09999999999997</v>
      </c>
      <c r="DT226" s="4">
        <f>K226/4/(1-0.3*(M226/30)^0.5)/200000/N226</f>
        <v>1.4407634115999734E-5</v>
      </c>
      <c r="DU226" s="4">
        <f>EP226</f>
        <v>5.99454394365008</v>
      </c>
      <c r="DV226" s="4">
        <f>EC226*AG226/257/M226/AD226</f>
        <v>0.12212681065718163</v>
      </c>
      <c r="DW226" s="4">
        <f>DU226*DV226^0.4</f>
        <v>2.5851190881423021</v>
      </c>
      <c r="DX226" s="4">
        <f>MIN(DU226, DU226/1.4*(1-DV226^1.4)/(1-DV226))</f>
        <v>4.6206084555800704</v>
      </c>
      <c r="DY226" s="4">
        <f>MAX(DU226/2, (4-DT226*(8*AG226*(DW226-DX226)+6*K226*DX226))/(4+DT226*K226*DU226)*DU226)</f>
        <v>5.7496982106372858</v>
      </c>
      <c r="DZ226" s="38">
        <f>MIN(1/N226*(4*AG226*(DW226-DX226)+(3*DX226+DY226)*K226)+EC226 -FJ226,MAX(J226,AJ226))</f>
        <v>169.4395539838107</v>
      </c>
      <c r="EA226" s="4">
        <f>DZ226/FF226</f>
        <v>1.0001226391173295</v>
      </c>
      <c r="EB226" s="4">
        <f>AG226/N226</f>
        <v>2.2360679774997898</v>
      </c>
      <c r="EC226" s="4">
        <f>MIN(EB$10*BB226)</f>
        <v>50.364859314443798</v>
      </c>
      <c r="EG226" s="4">
        <f>IF(U226&gt;1*N226,0.85,1)</f>
        <v>1</v>
      </c>
      <c r="EH226" s="4">
        <f>MIN(1,MAX(0.7,(1-0.1*(BZ226-1*N226)/N226)))</f>
        <v>1</v>
      </c>
      <c r="EI226" s="4">
        <f>MIN(1,MAX(0.7,1-0.3*(PI()*AM226^2/4*AQ226*2-0.25*PI()/4*N226^2)/(PI()/4*N226^2)))</f>
        <v>0.9826012170719004</v>
      </c>
      <c r="EJ226" s="4">
        <f>IF(EH226*EI226&lt;0.7,0.7,EH226*EI226)</f>
        <v>0.9826012170719004</v>
      </c>
      <c r="EL226" s="4">
        <f>MIN(DU226/N226*3*K226+EM226-FJ226,MAX(J226,AJ226))</f>
        <v>249.72151011519978</v>
      </c>
      <c r="EM226" s="25">
        <f>13.3*Q226*K226^0.5*M226^0.5/X226/N226^2*(0.7+S226/5/K226)</f>
        <v>123.83608729854809</v>
      </c>
      <c r="EP226" s="4">
        <f>IF(N226&lt;22.2,1.1*5*(M226/30)^0.5,IF(N226&gt;=31.8,0.9*5*(M226/30)^0.5,1*5*(M226/30)^0.5))/EG226/EJ226</f>
        <v>5.99454394365008</v>
      </c>
      <c r="ES226" s="4">
        <f>ET226*N226</f>
        <v>128.12669511073796</v>
      </c>
      <c r="ET226" s="4">
        <f>AF226^0.5</f>
        <v>2.2360679774997898</v>
      </c>
      <c r="EU226" s="4">
        <f>MIN(EC226)/(4700*M226^0.5)/AE226*ES226</f>
        <v>4.7877100439203797E-2</v>
      </c>
      <c r="EX226" s="4">
        <f>EU226</f>
        <v>4.7877100439203797E-2</v>
      </c>
      <c r="EY226" s="4">
        <f>MIN(0.999, EX226/(0.3*(M226/30)^0.5))</f>
        <v>0.12192300377153815</v>
      </c>
      <c r="EZ226" s="4">
        <f>EP226/1*EY226^0.4</f>
        <v>2.5833925906617292</v>
      </c>
      <c r="FA226" s="4">
        <f>EP226/1.4*(1-EY226^1.4)/(1-EY226)</f>
        <v>4.6201358060776094</v>
      </c>
      <c r="FB226" s="4">
        <f>MAX(0,DQ226*FB$9-ES226)</f>
        <v>172.69830488926203</v>
      </c>
      <c r="FC226" s="4">
        <f>MAX(0,DQ226-ES226-FB226)</f>
        <v>100.27499999999998</v>
      </c>
      <c r="FD226" s="4">
        <f>FC226/(1-0.3*(M226/30)^0.5)/200000/N226</f>
        <v>1.4407634115999731E-5</v>
      </c>
      <c r="FE226" s="4">
        <f>MAX(0.5*EP226, (1-2*FD226*(ES226*EZ226+FB226*FA226))/(1/EP226+FD226*FC226))</f>
        <v>5.749750071719955</v>
      </c>
      <c r="FF226" s="4">
        <f>MIN(4/N226*(1*EZ226*ES226+FA226*FB226+FC226*FE226)+EC226,MAX(J226,AJ226))</f>
        <v>169.41877661458764</v>
      </c>
      <c r="FO226" s="23">
        <f>IF(CU226&lt;0.6,0.6,IF(CU226&lt;0.8,0.8,IF(CU226&lt;1,1,IF(CU226&lt;1.2,1.2,IF(CU226&lt;1.4,1.4,IF(CU226&lt;1.6,1.6,IF(CU226&lt;1.8,1.8,IF(CU226&lt;2,2,2.2))))))))</f>
        <v>1.8</v>
      </c>
      <c r="FP226" s="23">
        <f>IF(CV226&lt;0.6,0.6,IF(CV226&lt;0.8,0.8,IF(CV226&lt;1,1,IF(CV226&lt;1.2,1.2,IF(CV226&lt;1.4,1.4,IF(CV226&lt;1.6,1.6,IF(CV226&lt;1.8,1.8,IF(CV226&lt;2,2,2.2))))))))</f>
        <v>1.2</v>
      </c>
      <c r="FQ226" s="23">
        <f>IF(DA226&lt;0.6,0.6,IF(DA226&lt;0.8,0.8,IF(DA226&lt;1,1,IF(DA226&lt;1.2,1.2,IF(DA226&lt;1.4,1.4,IF(DA226&lt;1.6,1.6,IF(DA226&lt;1.8,1.8,IF(DA226&lt;2,2,2.2))))))))</f>
        <v>1.6</v>
      </c>
      <c r="FR226" s="23">
        <f>IF(CX226&lt;0.6,0.6,IF(CX226&lt;0.8,0.8,IF(CX226&lt;1,1,IF(CX226&lt;1.2,1.2,IF(CX226&lt;1.4,1.4,IF(CX226&lt;1.6,1.6,IF(CX226&lt;1.8,1.8,IF(CX226&lt;2,2,2.2))))))))</f>
        <v>2</v>
      </c>
      <c r="FS226" s="23">
        <f>IF(CY226&lt;0.6,0.6,IF(CY226&lt;0.8,0.8,IF(CY226&lt;1,1,IF(CY226&lt;1.2,1.2,IF(CY226&lt;1.4,1.4,IF(CY226&lt;1.6,1.6,IF(CY226&lt;1.8,1.8,IF(CY226&lt;2,2,2.2))))))))</f>
        <v>2.2000000000000002</v>
      </c>
      <c r="FT226" s="23">
        <f>IF(CZ226&lt;0.6,0.6,IF(CZ226&lt;0.8,0.8,IF(CZ226&lt;1,1,IF(CZ226&lt;1.2,1.2,IF(CZ226&lt;1.4,1.4,IF(CZ226&lt;1.6,1.6,IF(CZ226&lt;1.8,1.8,IF(CZ226&lt;2,2,2.2))))))))</f>
        <v>1.8</v>
      </c>
      <c r="FU226" s="23">
        <f>IF(FS226&lt;1,1,0)</f>
        <v>0</v>
      </c>
      <c r="FV226" s="23"/>
      <c r="GF226" s="4">
        <f>IF(S226&gt;=2.5*25.4,1,1.25)</f>
        <v>1.25</v>
      </c>
      <c r="GG226" s="4">
        <f>IF(AO226&gt;1, 0.05*(18-MIN(8,(W226+N226)/N226))*(1-48000/MAX(60000,(J226*145))*(N226/25.4)^0.75*GH226), 1/12*(14-MIN(8,(W226+N226)/N226)))</f>
        <v>0.37067917575318227</v>
      </c>
      <c r="GH226" s="4">
        <f>MIN(0.3, AM226^2*PI()/4*2*AP226/(N226^2*PI()/4*X226))</f>
        <v>0.3</v>
      </c>
      <c r="GI226" s="4">
        <f>(K226/25.4)/(N226/25.4)^1.5/0.0024*(M226*145)^0.25/GF226/GG226/145</f>
        <v>268.55480180909814</v>
      </c>
    </row>
    <row r="227" spans="1:191" ht="12" customHeight="1" x14ac:dyDescent="0.3">
      <c r="A227" s="25">
        <v>162</v>
      </c>
      <c r="B227" s="24" t="s">
        <v>128</v>
      </c>
      <c r="C227" s="24">
        <v>2017</v>
      </c>
      <c r="D227" s="24" t="s">
        <v>309</v>
      </c>
      <c r="E227" s="24"/>
      <c r="F227" s="115"/>
      <c r="G227" s="109" t="s">
        <v>788</v>
      </c>
      <c r="H227" s="44" t="s">
        <v>169</v>
      </c>
      <c r="I227" s="5">
        <f>K227/N227</f>
        <v>7</v>
      </c>
      <c r="J227" s="100">
        <v>583</v>
      </c>
      <c r="K227" s="7">
        <f>7*N227</f>
        <v>401.09999999999997</v>
      </c>
      <c r="L227" s="7">
        <f>K227</f>
        <v>401.09999999999997</v>
      </c>
      <c r="M227" s="80">
        <v>51.4</v>
      </c>
      <c r="N227" s="37">
        <v>57.3</v>
      </c>
      <c r="O227" s="7">
        <f>K227/N227</f>
        <v>7</v>
      </c>
      <c r="P227" s="7">
        <f>L227/N227</f>
        <v>7</v>
      </c>
      <c r="Q227" s="7">
        <f>W227+2*S227+2*N227</f>
        <v>584.46</v>
      </c>
      <c r="R227" s="32">
        <f>S227/N227</f>
        <v>1</v>
      </c>
      <c r="S227" s="7">
        <f>1*N227</f>
        <v>57.3</v>
      </c>
      <c r="T227" s="32">
        <f>U227/N227</f>
        <v>0.97731239092495636</v>
      </c>
      <c r="U227" s="7">
        <f>40+16</f>
        <v>56</v>
      </c>
      <c r="V227" s="32">
        <f>W227/N227</f>
        <v>6.2</v>
      </c>
      <c r="W227" s="7">
        <f>(7.2-1)*N227</f>
        <v>355.26</v>
      </c>
      <c r="X227" s="7">
        <v>2</v>
      </c>
      <c r="Y227" s="7">
        <f>AN227</f>
        <v>2</v>
      </c>
      <c r="Z227" s="32">
        <f>AA227/N227</f>
        <v>3.0436300174520068</v>
      </c>
      <c r="AA227" s="7">
        <f>2/3*K227-0.5*186</f>
        <v>174.39999999999998</v>
      </c>
      <c r="AB227" s="7">
        <f>MIN(S227/N227+0.5, W227/2/N227+0.5)</f>
        <v>1.5</v>
      </c>
      <c r="AC227" s="7">
        <f>S227/N227+0.5</f>
        <v>1.5</v>
      </c>
      <c r="AD227" s="7">
        <f>2040/510</f>
        <v>4</v>
      </c>
      <c r="AE227" s="7">
        <f>2040/510</f>
        <v>4</v>
      </c>
      <c r="AF227" s="7">
        <f>AE227+1</f>
        <v>5</v>
      </c>
      <c r="AG227" s="7">
        <f>N227*AF227^0.5</f>
        <v>128.12669511073796</v>
      </c>
      <c r="AH227" s="7">
        <f>J227</f>
        <v>583</v>
      </c>
      <c r="AI227" s="7">
        <v>25</v>
      </c>
      <c r="AJ227" s="7">
        <f>(424+424)/2</f>
        <v>424</v>
      </c>
      <c r="AK227" s="7"/>
      <c r="AL227" s="4">
        <f>CY227</f>
        <v>2.502367304628951</v>
      </c>
      <c r="AM227" s="7">
        <v>15.9</v>
      </c>
      <c r="AN227" s="7">
        <v>2</v>
      </c>
      <c r="AO227" s="7">
        <v>275</v>
      </c>
      <c r="AP227" s="7">
        <v>4</v>
      </c>
      <c r="AQ227" s="7">
        <f>AN227</f>
        <v>2</v>
      </c>
      <c r="AR227" s="7">
        <f>3*AS227/(W227+N227)</f>
        <v>2.9166666666666665</v>
      </c>
      <c r="AS227" s="4">
        <f>K227</f>
        <v>401.09999999999997</v>
      </c>
      <c r="AT227" s="4">
        <f>IF(K227*3&gt;W227+N227, Q227, (S227+N227/2)*2+1.5*K227*(2*X227-2))*(3*K227)/(9*K227^2)</f>
        <v>0.48571428571428582</v>
      </c>
      <c r="AU227" s="4">
        <f>MIN(10*M227^0.5*K227^1.5,100*3.9*M227^0.5*K227^(5/3))/(PI()/4*N227^2)/X227</f>
        <v>111.66869259763561</v>
      </c>
      <c r="AV227" s="4">
        <f>MIN(0.7+0.3*(MIN(S227,AA227)+0.5*N227)/1.5/K227,1)</f>
        <v>0.74285714285714277</v>
      </c>
      <c r="AW227" s="4">
        <v>1.25</v>
      </c>
      <c r="AX227" s="4">
        <f>AX225</f>
        <v>1</v>
      </c>
      <c r="AY227" s="38">
        <f>AT227*AV227*AW227*AX227*AU227</f>
        <v>50.364859314443827</v>
      </c>
      <c r="AZ227" s="38">
        <f>AY227</f>
        <v>50.364859314443827</v>
      </c>
      <c r="BA227" s="38">
        <f>IF(M227&lt;50, 0.3*M227^(2/3), 2.12*LN(1+0.1*(M227+8)))</f>
        <v>4.107079761979672</v>
      </c>
      <c r="BB227" s="38">
        <f>AX227* (M227^0.5/AS227^0.5)/(PI()/4*N227^2)/X227/0.72 *(0.7+(MIN(S227,AA227)+0.5*N227)/5/K227) *(3*Q227*K227)</f>
        <v>50.364859314443798</v>
      </c>
      <c r="BC227" s="38">
        <f>AY227/BB227</f>
        <v>1.0000000000000007</v>
      </c>
      <c r="BD227" s="38">
        <f>BH227/BB227</f>
        <v>6.1233170150354423</v>
      </c>
      <c r="BE227" s="4">
        <f>IF(BD227&lt;1,1,0)</f>
        <v>0</v>
      </c>
      <c r="BF227" s="4">
        <f>L227/N227*M227^0.5/0.19</f>
        <v>264.13502800535673</v>
      </c>
      <c r="BG227" s="4">
        <f>MIN(0.6+0.4*(AC227/AB227),2)</f>
        <v>1</v>
      </c>
      <c r="BH227" s="38">
        <f>2*M227*AB227*AD227^0.5*BG227*0.7/0.7</f>
        <v>308.39999999999998</v>
      </c>
      <c r="BI227" s="4">
        <f>MAX(1-0.7*AE227/5,0.3)</f>
        <v>0.44000000000000006</v>
      </c>
      <c r="BJ227" s="4">
        <f>BI227*J227*L227/(J227*N227/2.75/M227^0.5)</f>
        <v>60.724642938431515</v>
      </c>
      <c r="BK227" s="4">
        <f>BH227+BJ227</f>
        <v>369.12464293843152</v>
      </c>
      <c r="BM227" s="4">
        <f>MIN(1.5, 0.75+0.25*MIN(3,MAX(1,S227/N227))+0.4*MIN(1,(40*2*PI()*AM227^2/4/AO227/X227)/N227))</f>
        <v>1.201612194511575</v>
      </c>
      <c r="BN227" s="4">
        <f>(3*P227+30)*BM227*M227^0.5</f>
        <v>439.35549522682476</v>
      </c>
      <c r="BP227" s="4">
        <f>3.4/PI()^0.5*M227*AB227*AE227^0.5*BG227</f>
        <v>295.79331486241767</v>
      </c>
      <c r="BQ227" s="4">
        <f>8/3*AH227*AI227^2/(AG227-N227-22)/N227*(AG227^2-N227^2)/(AG227^2-(N227+22)^2)</f>
        <v>450.3525339151019</v>
      </c>
      <c r="BR227" s="4">
        <f>BQ227/BP227</f>
        <v>1.5225243820151051</v>
      </c>
      <c r="BZ227" s="4">
        <f>IF(W227=0,S227,MIN(W227/2,S227))</f>
        <v>57.3</v>
      </c>
      <c r="CD227" s="9"/>
      <c r="CF227" s="9"/>
      <c r="CG227" s="9"/>
      <c r="CH227" s="9">
        <f>IF(W227=0,MIN(S227,U227),MIN(W227/2,S227,U227))</f>
        <v>56</v>
      </c>
      <c r="CI227" s="9">
        <f>MAX(W227/2,S227)</f>
        <v>177.63</v>
      </c>
      <c r="CJ227" s="9">
        <f>(CH227/N227)^0.5*(CI227/CH227)^0.15</f>
        <v>1.1754818988273255</v>
      </c>
      <c r="CK227" s="70">
        <v>20</v>
      </c>
      <c r="CL227" s="9">
        <f>MIN(PI()*AM227^2/4*AN227*2/X227/N227/MAX(0.01,AO227),0.05)</f>
        <v>2.5201524313946871E-2</v>
      </c>
      <c r="CM227" s="9">
        <f>MAX(0,CK227*(CL227-0.5/50))</f>
        <v>0.30403048627893742</v>
      </c>
      <c r="CN227" s="9">
        <f>MIN(1,(25/N227)^0.3)</f>
        <v>0.77971450958075206</v>
      </c>
      <c r="CO227" s="9">
        <f>IF(J227&gt;=800,0.68,IF(J227&gt;=700,0.75-(J227-700)*0.07/100,IF(J227&gt;=600,0.85-(J227-600)*0.1/100,IF(J227&gt;=500,1-(J227-500)*0.15/100,1.2-(J227-400)*0.2/100))))</f>
        <v>0.87549999999999994</v>
      </c>
      <c r="CP227" s="9">
        <f>1.75*CN227*CO227*(M227/25)^0.5</f>
        <v>1.7129369207551171</v>
      </c>
      <c r="CQ227" s="9">
        <f>MIN((CJ227+CM227)*CP227,2.5*CP227,M227^0.5)</f>
        <v>2.5343113891629807</v>
      </c>
      <c r="CR227" s="9">
        <v>1</v>
      </c>
      <c r="CS227" s="9">
        <f>4*CQ227*P227+60*CQ227</f>
        <v>223.01940224634231</v>
      </c>
      <c r="CU227" s="4">
        <f>AJ227/BF227</f>
        <v>1.6052395746292354</v>
      </c>
      <c r="CV227" s="4">
        <f>AJ227/BK227</f>
        <v>1.1486634883673195</v>
      </c>
      <c r="CW227" s="4">
        <f>AJ227/BN227</f>
        <v>0.96504995295689378</v>
      </c>
      <c r="CX227" s="4">
        <f>AJ227/CS227</f>
        <v>1.9011798782047624</v>
      </c>
      <c r="CY227" s="4">
        <f>AJ227/DZ227</f>
        <v>2.502367304628951</v>
      </c>
      <c r="CZ227" s="4">
        <f>AJ227/EL227</f>
        <v>1.6978913823018422</v>
      </c>
      <c r="DA227" s="4">
        <f>AJ227/GI227</f>
        <v>1.5788211461636792</v>
      </c>
      <c r="DI227" s="4">
        <f>CU227</f>
        <v>1.6052395746292354</v>
      </c>
      <c r="DJ227" s="4">
        <f>CV227</f>
        <v>1.1486634883673195</v>
      </c>
      <c r="DK227" s="4">
        <f>CX227</f>
        <v>1.9011798782047624</v>
      </c>
      <c r="DL227" s="4">
        <f>DA227</f>
        <v>1.5788211461636792</v>
      </c>
      <c r="DM227" s="4">
        <f>CY227</f>
        <v>2.502367304628951</v>
      </c>
      <c r="DN227" s="4">
        <f>CZ227</f>
        <v>1.6978913823018422</v>
      </c>
      <c r="DP227" s="4">
        <f>AN227</f>
        <v>2</v>
      </c>
      <c r="DQ227" s="4">
        <f>L227</f>
        <v>401.09999999999997</v>
      </c>
      <c r="DT227" s="4">
        <f>K227/4/(1-0.3*(M227/30)^0.5)/200000/N227</f>
        <v>1.4407634115999734E-5</v>
      </c>
      <c r="DU227" s="4">
        <f>EP227</f>
        <v>5.99454394365008</v>
      </c>
      <c r="DV227" s="4">
        <f>EC227*AG227/257/M227/AD227</f>
        <v>0.12212681065718163</v>
      </c>
      <c r="DW227" s="4">
        <f>DU227*DV227^0.4</f>
        <v>2.5851190881423021</v>
      </c>
      <c r="DX227" s="4">
        <f>MIN(DU227, DU227/1.4*(1-DV227^1.4)/(1-DV227))</f>
        <v>4.6206084555800704</v>
      </c>
      <c r="DY227" s="4">
        <f>MAX(DU227/2, (4-DT227*(8*AG227*(DW227-DX227)+6*K227*DX227))/(4+DT227*K227*DU227)*DU227)</f>
        <v>5.7496982106372858</v>
      </c>
      <c r="DZ227" s="38">
        <f>MIN(1/N227*(4*AG227*(DW227-DX227)+(3*DX227+DY227)*K227)+EC227 -FJ227,MAX(J227,AJ227))</f>
        <v>169.4395539838107</v>
      </c>
      <c r="EA227" s="4">
        <f>DZ227/FF227</f>
        <v>1.0001226391173295</v>
      </c>
      <c r="EB227" s="4">
        <f>AG227/N227</f>
        <v>2.2360679774997898</v>
      </c>
      <c r="EC227" s="4">
        <f>MIN(EB$10*BB227)</f>
        <v>50.364859314443798</v>
      </c>
      <c r="EG227" s="4">
        <f>IF(U227&gt;1*N227,0.85,1)</f>
        <v>1</v>
      </c>
      <c r="EH227" s="4">
        <f>MIN(1,MAX(0.7,(1-0.1*(BZ227-1*N227)/N227)))</f>
        <v>1</v>
      </c>
      <c r="EI227" s="4">
        <f>MIN(1,MAX(0.7,1-0.3*(PI()*AM227^2/4*AQ227*2-0.25*PI()/4*N227^2)/(PI()/4*N227^2)))</f>
        <v>0.9826012170719004</v>
      </c>
      <c r="EJ227" s="4">
        <f>IF(EH227*EI227&lt;0.7,0.7,EH227*EI227)</f>
        <v>0.9826012170719004</v>
      </c>
      <c r="EL227" s="4">
        <f>MIN(DU227/N227*3*K227+EM227-FJ227,MAX(J227,AJ227))</f>
        <v>249.72151011519978</v>
      </c>
      <c r="EM227" s="25">
        <f>13.3*Q227*K227^0.5*M227^0.5/X227/N227^2*(0.7+S227/5/K227)</f>
        <v>123.83608729854809</v>
      </c>
      <c r="EP227" s="4">
        <f>IF(N227&lt;22.2,1.1*5*(M227/30)^0.5,IF(N227&gt;=31.8,0.9*5*(M227/30)^0.5,1*5*(M227/30)^0.5))/EG227/EJ227</f>
        <v>5.99454394365008</v>
      </c>
      <c r="ES227" s="4">
        <f>ET227*N227</f>
        <v>128.12669511073796</v>
      </c>
      <c r="ET227" s="4">
        <f>AF227^0.5</f>
        <v>2.2360679774997898</v>
      </c>
      <c r="EU227" s="4">
        <f>MIN(EC227)/(4700*M227^0.5)/AE227*ES227</f>
        <v>4.7877100439203797E-2</v>
      </c>
      <c r="EX227" s="4">
        <f>EU227</f>
        <v>4.7877100439203797E-2</v>
      </c>
      <c r="EY227" s="4">
        <f>MIN(0.999, EX227/(0.3*(M227/30)^0.5))</f>
        <v>0.12192300377153815</v>
      </c>
      <c r="EZ227" s="4">
        <f>EP227/1*EY227^0.4</f>
        <v>2.5833925906617292</v>
      </c>
      <c r="FA227" s="4">
        <f>EP227/1.4*(1-EY227^1.4)/(1-EY227)</f>
        <v>4.6201358060776094</v>
      </c>
      <c r="FB227" s="4">
        <f>MAX(0,DQ227*FB$9-ES227)</f>
        <v>172.69830488926203</v>
      </c>
      <c r="FC227" s="4">
        <f>MAX(0,DQ227-ES227-FB227)</f>
        <v>100.27499999999998</v>
      </c>
      <c r="FD227" s="4">
        <f>FC227/(1-0.3*(M227/30)^0.5)/200000/N227</f>
        <v>1.4407634115999731E-5</v>
      </c>
      <c r="FE227" s="4">
        <f>MAX(0.5*EP227, (1-2*FD227*(ES227*EZ227+FB227*FA227))/(1/EP227+FD227*FC227))</f>
        <v>5.749750071719955</v>
      </c>
      <c r="FF227" s="4">
        <f>MIN(4/N227*(1*EZ227*ES227+FA227*FB227+FC227*FE227)+EC227,MAX(J227,AJ227))</f>
        <v>169.41877661458764</v>
      </c>
      <c r="FO227" s="23">
        <f>IF(CU227&lt;0.6,0.6,IF(CU227&lt;0.8,0.8,IF(CU227&lt;1,1,IF(CU227&lt;1.2,1.2,IF(CU227&lt;1.4,1.4,IF(CU227&lt;1.6,1.6,IF(CU227&lt;1.8,1.8,IF(CU227&lt;2,2,2.2))))))))</f>
        <v>1.8</v>
      </c>
      <c r="FP227" s="23">
        <f>IF(CV227&lt;0.6,0.6,IF(CV227&lt;0.8,0.8,IF(CV227&lt;1,1,IF(CV227&lt;1.2,1.2,IF(CV227&lt;1.4,1.4,IF(CV227&lt;1.6,1.6,IF(CV227&lt;1.8,1.8,IF(CV227&lt;2,2,2.2))))))))</f>
        <v>1.2</v>
      </c>
      <c r="FQ227" s="23">
        <f>IF(DA227&lt;0.6,0.6,IF(DA227&lt;0.8,0.8,IF(DA227&lt;1,1,IF(DA227&lt;1.2,1.2,IF(DA227&lt;1.4,1.4,IF(DA227&lt;1.6,1.6,IF(DA227&lt;1.8,1.8,IF(DA227&lt;2,2,2.2))))))))</f>
        <v>1.6</v>
      </c>
      <c r="FR227" s="23">
        <f>IF(CX227&lt;0.6,0.6,IF(CX227&lt;0.8,0.8,IF(CX227&lt;1,1,IF(CX227&lt;1.2,1.2,IF(CX227&lt;1.4,1.4,IF(CX227&lt;1.6,1.6,IF(CX227&lt;1.8,1.8,IF(CX227&lt;2,2,2.2))))))))</f>
        <v>2</v>
      </c>
      <c r="FS227" s="23">
        <f>IF(CY227&lt;0.6,0.6,IF(CY227&lt;0.8,0.8,IF(CY227&lt;1,1,IF(CY227&lt;1.2,1.2,IF(CY227&lt;1.4,1.4,IF(CY227&lt;1.6,1.6,IF(CY227&lt;1.8,1.8,IF(CY227&lt;2,2,2.2))))))))</f>
        <v>2.2000000000000002</v>
      </c>
      <c r="FT227" s="23">
        <f>IF(CZ227&lt;0.6,0.6,IF(CZ227&lt;0.8,0.8,IF(CZ227&lt;1,1,IF(CZ227&lt;1.2,1.2,IF(CZ227&lt;1.4,1.4,IF(CZ227&lt;1.6,1.6,IF(CZ227&lt;1.8,1.8,IF(CZ227&lt;2,2,2.2))))))))</f>
        <v>1.8</v>
      </c>
      <c r="FU227" s="23">
        <f>IF(FS227&lt;1,1,0)</f>
        <v>0</v>
      </c>
      <c r="FV227" s="23"/>
      <c r="GF227" s="4">
        <f>IF(S227&gt;=2.5*25.4,1,1.25)</f>
        <v>1.25</v>
      </c>
      <c r="GG227" s="4">
        <f>IF(AO227&gt;1, 0.05*(18-MIN(8,(W227+N227)/N227))*(1-48000/MAX(60000,(J227*145))*(N227/25.4)^0.75*GH227), 1/12*(14-MIN(8,(W227+N227)/N227)))</f>
        <v>0.37067917575318227</v>
      </c>
      <c r="GH227" s="4">
        <f>MIN(0.3, AM227^2*PI()/4*2*AP227/(N227^2*PI()/4*X227))</f>
        <v>0.3</v>
      </c>
      <c r="GI227" s="4">
        <f>(K227/25.4)/(N227/25.4)^1.5/0.0024*(M227*145)^0.25/GF227/GG227/145</f>
        <v>268.55480180909814</v>
      </c>
    </row>
    <row r="228" spans="1:191" ht="12" customHeight="1" x14ac:dyDescent="0.3">
      <c r="A228" s="25">
        <v>230</v>
      </c>
      <c r="B228" s="4" t="s">
        <v>605</v>
      </c>
      <c r="C228" s="4">
        <v>2016</v>
      </c>
      <c r="D228" s="4" t="s">
        <v>309</v>
      </c>
      <c r="E228" s="24" t="s">
        <v>661</v>
      </c>
      <c r="F228" s="24"/>
      <c r="G228" s="24">
        <v>38</v>
      </c>
      <c r="H228" s="4" t="s">
        <v>753</v>
      </c>
      <c r="I228" s="5">
        <f>K228/N228</f>
        <v>15.749999999999998</v>
      </c>
      <c r="J228" s="91">
        <f>120/0.145</f>
        <v>827.58620689655174</v>
      </c>
      <c r="K228" s="38">
        <f>15.75*25.4</f>
        <v>400.04999999999995</v>
      </c>
      <c r="L228" s="4">
        <f>K228</f>
        <v>400.04999999999995</v>
      </c>
      <c r="M228" s="89">
        <f>4850/145</f>
        <v>33.448275862068968</v>
      </c>
      <c r="N228" s="96">
        <f>1*25.4</f>
        <v>25.4</v>
      </c>
      <c r="O228" s="7">
        <f>K228/N228</f>
        <v>15.749999999999998</v>
      </c>
      <c r="P228" s="7">
        <f>L228/N228</f>
        <v>15.749999999999998</v>
      </c>
      <c r="Q228" s="38">
        <f>17.9*25.4</f>
        <v>454.65999999999991</v>
      </c>
      <c r="R228" s="32">
        <f>S228/N228</f>
        <v>2.9500000000000006</v>
      </c>
      <c r="S228" s="38">
        <f>2.95*25.4</f>
        <v>74.930000000000007</v>
      </c>
      <c r="T228" s="32">
        <f>U228/N228</f>
        <v>3.0499999999999994</v>
      </c>
      <c r="U228" s="39">
        <f>3.05*25.4</f>
        <v>77.469999999999985</v>
      </c>
      <c r="V228" s="32">
        <f>W228/N228</f>
        <v>9.9999999999999964</v>
      </c>
      <c r="W228" s="7">
        <f>(Q228-X228*N228-2*S228)/(X228-1)</f>
        <v>253.99999999999989</v>
      </c>
      <c r="X228" s="38">
        <v>2</v>
      </c>
      <c r="Y228" s="7">
        <f>AN228</f>
        <v>0</v>
      </c>
      <c r="Z228" s="32">
        <f>AA228/N228</f>
        <v>10.25</v>
      </c>
      <c r="AA228" s="4">
        <f>10.25*25.4</f>
        <v>260.34999999999997</v>
      </c>
      <c r="AB228" s="7">
        <f>MIN(S228/N228+0.5, W228/2/N228+0.5)</f>
        <v>3.4500000000000006</v>
      </c>
      <c r="AC228" s="7">
        <f>S228/N228+0.5</f>
        <v>3.4500000000000006</v>
      </c>
      <c r="AD228" s="38">
        <v>4</v>
      </c>
      <c r="AE228" s="4">
        <f>AD228</f>
        <v>4</v>
      </c>
      <c r="AF228" s="4">
        <f>AE228+1</f>
        <v>5</v>
      </c>
      <c r="AG228" s="7">
        <f>N228*AF228^0.5</f>
        <v>56.796126628494655</v>
      </c>
      <c r="AJ228" s="38">
        <f>101.8/0.145</f>
        <v>702.06896551724139</v>
      </c>
      <c r="AL228" s="4">
        <f>CY228</f>
        <v>1.2751919840719188</v>
      </c>
      <c r="AM228" s="38">
        <v>0</v>
      </c>
      <c r="AN228" s="38">
        <v>0</v>
      </c>
      <c r="AO228" s="39">
        <f>L228</f>
        <v>400.04999999999995</v>
      </c>
      <c r="AP228" s="39"/>
      <c r="AQ228" s="39"/>
      <c r="AS228" s="4">
        <f>K228</f>
        <v>400.04999999999995</v>
      </c>
      <c r="AT228" s="4">
        <f>IF(K228*3&gt;W228+N228, Q228, (S228+N228/2)*2+1.5*K228*(2*X228-2))*(3*K228)/(9*K228^2)</f>
        <v>0.37883597883597875</v>
      </c>
      <c r="AU228" s="4">
        <f>MIN(10*M228^0.5*K228^1.5,100*3.9*M228^0.5*K228^(5/3))/(PI()/4*N228^2)/X228</f>
        <v>456.63686520766981</v>
      </c>
      <c r="AV228" s="4">
        <f>MIN(0.7+0.3*(MIN(S228,AA228)+0.5*N228)/1.5/K228,1)</f>
        <v>0.74380952380952381</v>
      </c>
      <c r="AW228" s="4">
        <v>1.25</v>
      </c>
      <c r="AX228" s="4">
        <f>AX227</f>
        <v>1</v>
      </c>
      <c r="AY228" s="38">
        <f>AT228*AV228*AW228*AX228*AU228</f>
        <v>160.83995242924419</v>
      </c>
      <c r="AZ228" s="38">
        <f>AY228</f>
        <v>160.83995242924419</v>
      </c>
      <c r="BA228" s="38">
        <f>IF(M228&lt;50, 0.3*M228^(2/3), 2.12*LN(1+0.1*(M228+8)))</f>
        <v>3.1143714702560636</v>
      </c>
      <c r="BB228" s="38">
        <f>AX228* (M228^0.5/AS228^0.5)/(PI()/4*N228^2)/X228/0.72 *(0.7+(MIN(S228,AA228)+0.5*N228)/5/K228) *(3*Q228*K228)</f>
        <v>160.83995242924431</v>
      </c>
      <c r="BC228" s="38">
        <f>AY228/BB228</f>
        <v>0.99999999999999933</v>
      </c>
      <c r="BD228" s="38">
        <f>BH228/BB228</f>
        <v>2.869847944649262</v>
      </c>
      <c r="BE228" s="4">
        <f>IF(BD228&lt;1,1,0)</f>
        <v>0</v>
      </c>
      <c r="BF228" s="4">
        <f>L228/N228*M228^0.5/0.19</f>
        <v>479.41743650185254</v>
      </c>
      <c r="BG228" s="4">
        <f>MIN(0.6+0.4*(AC228/AB228),2)</f>
        <v>1</v>
      </c>
      <c r="BH228" s="38">
        <f>2*M228*AB228*AD228^0.5*BG228*0.7/0.7</f>
        <v>461.58620689655186</v>
      </c>
      <c r="BI228" s="4">
        <f>MAX(1-0.7*AE228/5,0.3)</f>
        <v>0.44000000000000006</v>
      </c>
      <c r="BJ228" s="4">
        <f>BI228*J228*L228/(J228*N228/2.75/M228^0.5)</f>
        <v>110.21806865177589</v>
      </c>
      <c r="BK228" s="4">
        <f>BH228+BJ228</f>
        <v>571.80427554832772</v>
      </c>
      <c r="BM228" s="4">
        <f>MIN(1.5, 0.75+0.25*MIN(3,MAX(1,S228/N228))+0.4*MIN(1,(40*2*PI()*AM228^2/4/AO228/X228)/N228))</f>
        <v>1.4875000000000003</v>
      </c>
      <c r="BN228" s="4">
        <f>(3*P228+30)*BM228*M228^0.5</f>
        <v>664.57244562417236</v>
      </c>
      <c r="BP228" s="4">
        <f>3.4/PI()^0.5*M228*AB228*AE228^0.5*BG228</f>
        <v>442.7176207286019</v>
      </c>
      <c r="BQ228" s="4">
        <f>8/3*AH228*AI228^2/(AG228-N228-22)/N228*(AG228^2-N228^2)/(AG228^2-(N228+22)^2)</f>
        <v>0</v>
      </c>
      <c r="BR228" s="4">
        <f>BQ228/BP228</f>
        <v>0</v>
      </c>
      <c r="BZ228" s="4">
        <f>IF(W228=0,S228,MIN(W228/2,S228))</f>
        <v>74.930000000000007</v>
      </c>
      <c r="CH228" s="9">
        <f>IF(W228=0,MIN(S228,U228),MIN(W228/2,S228,U228))</f>
        <v>74.930000000000007</v>
      </c>
      <c r="CI228" s="9">
        <f>MAX(W228/2,S228)</f>
        <v>126.99999999999994</v>
      </c>
      <c r="CJ228" s="9">
        <f>(CH228/N228)^0.5*(CI228/CH228)^0.15</f>
        <v>1.8590163364970096</v>
      </c>
      <c r="CK228" s="70">
        <f>IF(AO228&gt;1,20,0)</f>
        <v>20</v>
      </c>
      <c r="CL228" s="9">
        <f>MIN(PI()*AM228^2/4*AN228*2/X228/N228/MAX(0.01,AO228),0.05)</f>
        <v>0</v>
      </c>
      <c r="CM228" s="9">
        <f>MAX(0,CK228*(CL228-0.5/50))</f>
        <v>0</v>
      </c>
      <c r="CN228" s="9">
        <f>MIN(1,(25/N228)^0.3)</f>
        <v>0.99524931562137331</v>
      </c>
      <c r="CO228" s="9">
        <f>IF(J228&gt;=800,0.68,IF(J228&gt;=700,0.75-(J228-700)*0.07/100,IF(J228&gt;=600,0.85-(J228-600)*0.1/100,IF(J228&gt;=500,1-(J228-500)*0.15/100,1.2-(J228-400)*0.2/100))))</f>
        <v>0.68</v>
      </c>
      <c r="CP228" s="9">
        <f>1.75*CN228*CO228*(M228/25)^0.5</f>
        <v>1.3699215983187671</v>
      </c>
      <c r="CQ228" s="9">
        <f>MIN((CJ228+CM228)*CP228,2.5*CP228,M228^0.5)</f>
        <v>2.5467066309946826</v>
      </c>
      <c r="CR228" s="40">
        <v>1</v>
      </c>
      <c r="CS228" s="9">
        <f>4*CQ228*P228+60*CQ228</f>
        <v>313.24491561234595</v>
      </c>
      <c r="CU228" s="4">
        <f>AJ228/BF228</f>
        <v>1.4644210077964666</v>
      </c>
      <c r="CV228" s="4">
        <f>AJ228/BK228</f>
        <v>1.2278134241721037</v>
      </c>
      <c r="CW228" s="4">
        <f>AJ228/BN228</f>
        <v>1.0564220201122723</v>
      </c>
      <c r="CX228" s="4">
        <f>AJ228/CS228</f>
        <v>2.2412780879293885</v>
      </c>
      <c r="CY228" s="4">
        <f>AJ228/DZ228</f>
        <v>1.2751919840719188</v>
      </c>
      <c r="CZ228" s="4">
        <f>AJ228/EL228</f>
        <v>0.91851247644247092</v>
      </c>
      <c r="DA228" s="4">
        <f>AJ228/GI228</f>
        <v>0.92942217759542134</v>
      </c>
      <c r="DB228" s="4">
        <f>AN228</f>
        <v>0</v>
      </c>
      <c r="DC228" s="4">
        <f>CU228</f>
        <v>1.4644210077964666</v>
      </c>
      <c r="DD228" s="4">
        <f>CV228</f>
        <v>1.2278134241721037</v>
      </c>
      <c r="DE228" s="4">
        <f>CX228</f>
        <v>2.2412780879293885</v>
      </c>
      <c r="DF228" s="4">
        <f>DA228</f>
        <v>0.92942217759542134</v>
      </c>
      <c r="DG228" s="4">
        <f>CY228</f>
        <v>1.2751919840719188</v>
      </c>
      <c r="DH228" s="4">
        <f>CZ228</f>
        <v>0.91851247644247092</v>
      </c>
      <c r="DQ228" s="4">
        <f>L228</f>
        <v>400.04999999999995</v>
      </c>
      <c r="DT228" s="4">
        <f>K228/4/(1-0.3*(M228/30)^0.5)/200000/N228</f>
        <v>2.8815439209600622E-5</v>
      </c>
      <c r="DU228" s="4">
        <f>EP228</f>
        <v>7.7158084787289836</v>
      </c>
      <c r="DV228" s="4">
        <f>EC228*AG228/257/M228/AD228</f>
        <v>0.26567201135994228</v>
      </c>
      <c r="DW228" s="4">
        <f>DU228*DV228^0.4</f>
        <v>4.5406681235890662</v>
      </c>
      <c r="DX228" s="4">
        <f>MIN(DU228, DU228/1.4*(1-DV228^1.4)/(1-DV228))</f>
        <v>6.3318144967894519</v>
      </c>
      <c r="DY228" s="4">
        <f>MAX(DU228/2, (4-DT228*(8*AG228*(DW228-DX228)+6*K228*DX228))/(4+DT228*K228*DU228)*DU228)</f>
        <v>6.7658246216846303</v>
      </c>
      <c r="DZ228" s="38">
        <f>MIN(1/N228*(4*AG228*(DW228-DX228)+(3*DX228+DY228)*K228)+EC228 -FJ228,MAX(J228,AJ228))</f>
        <v>550.55942500156573</v>
      </c>
      <c r="EA228" s="4">
        <f>DZ228/FF228</f>
        <v>1.0001191217422147</v>
      </c>
      <c r="EB228" s="4">
        <f>AG228/N228</f>
        <v>2.2360679774997898</v>
      </c>
      <c r="EC228" s="4">
        <f>MIN(EB$10*BB228)</f>
        <v>160.83995242924431</v>
      </c>
      <c r="EG228" s="4">
        <f>IF(U228&gt;1*N228,0.85,1)</f>
        <v>0.85</v>
      </c>
      <c r="EH228" s="4">
        <f>MIN(1,MAX(0.7,(1-0.1*(BZ228-1*N228)/N228)))</f>
        <v>0.80499999999999994</v>
      </c>
      <c r="EI228" s="4">
        <f>MIN(1,MAX(0.7,1-0.3*(PI()*AM228^2/4*AQ228*2-0.25*PI()/4*N228^2)/(PI()/4*N228^2)))</f>
        <v>1</v>
      </c>
      <c r="EJ228" s="4">
        <f>IF(EH228*EI228&lt;0.7,0.7,EH228*EI228)</f>
        <v>0.80499999999999994</v>
      </c>
      <c r="EL228" s="4">
        <f>MIN(DU228/N228*3*K228+EM228-FJ228,MAX(J228,AJ228))</f>
        <v>764.35430494798948</v>
      </c>
      <c r="EM228" s="25">
        <f>13.3*Q228*K228^0.5*M228^0.5/X228/N228^2*(0.7+S228/5/K228)</f>
        <v>399.78235432804496</v>
      </c>
      <c r="EO228" s="4">
        <f>EG228*EJ228</f>
        <v>0.68424999999999991</v>
      </c>
      <c r="EP228" s="4">
        <f>IF(N228&lt;22.2,1.1*5*(M228/30)^0.5,IF(N228&gt;=31.8,0.9*5*(M228/30)^0.5,1*5*(M228/30)^0.5))/EG228/EJ228</f>
        <v>7.7158084787289836</v>
      </c>
      <c r="ES228" s="4">
        <f>ET228*N228</f>
        <v>56.796126628494655</v>
      </c>
      <c r="ET228" s="4">
        <f>AF228^0.5</f>
        <v>2.2360679774997898</v>
      </c>
      <c r="EU228" s="4">
        <f>MIN(EC228)/(4700*M228^0.5)/AE228*ES228</f>
        <v>8.4017148424168242E-2</v>
      </c>
      <c r="EX228" s="4">
        <f>EU228</f>
        <v>8.4017148424168242E-2</v>
      </c>
      <c r="EY228" s="4">
        <f>MIN(0.999, EX228/(0.3*(M228/30)^0.5))</f>
        <v>0.26522865428751458</v>
      </c>
      <c r="EZ228" s="4">
        <f>EP228/1*EY228^0.4</f>
        <v>4.5376355932458985</v>
      </c>
      <c r="FA228" s="4">
        <f>EP228/1.4*(1-EY228^1.4)/(1-EY228)</f>
        <v>6.3307328139617862</v>
      </c>
      <c r="FB228" s="4">
        <f>MAX(0,DQ228*FB$9-ES228)</f>
        <v>243.24137337150532</v>
      </c>
      <c r="FC228" s="4">
        <f>MAX(0,DQ228-ES228-FB228)</f>
        <v>100.01249999999996</v>
      </c>
      <c r="FD228" s="4">
        <f>FC228/(1-0.3*(M228/30)^0.5)/200000/N228</f>
        <v>2.8815439209600615E-5</v>
      </c>
      <c r="FE228" s="4">
        <f>MAX(0.5*EP228, (1-2*FD228*(ES228*EZ228+FB228*FA228))/(1/EP228+FD228*FC228))</f>
        <v>6.7660139955159799</v>
      </c>
      <c r="FF228" s="4">
        <f>MIN(4/N228*(1*EZ228*ES228+FA228*FB228+FC228*FE228)+EC228,MAX(J228,AJ228))</f>
        <v>550.49384921516867</v>
      </c>
      <c r="FO228" s="23">
        <f>IF(CU228&lt;0.6,0.6,IF(CU228&lt;0.8,0.8,IF(CU228&lt;1,1,IF(CU228&lt;1.2,1.2,IF(CU228&lt;1.4,1.4,IF(CU228&lt;1.6,1.6,IF(CU228&lt;1.8,1.8,IF(CU228&lt;2,2,2.2))))))))</f>
        <v>1.6</v>
      </c>
      <c r="FP228" s="23">
        <f>IF(CV228&lt;0.6,0.6,IF(CV228&lt;0.8,0.8,IF(CV228&lt;1,1,IF(CV228&lt;1.2,1.2,IF(CV228&lt;1.4,1.4,IF(CV228&lt;1.6,1.6,IF(CV228&lt;1.8,1.8,IF(CV228&lt;2,2,2.2))))))))</f>
        <v>1.4</v>
      </c>
      <c r="FQ228" s="23">
        <f>IF(DA228&lt;0.6,0.6,IF(DA228&lt;0.8,0.8,IF(DA228&lt;1,1,IF(DA228&lt;1.2,1.2,IF(DA228&lt;1.4,1.4,IF(DA228&lt;1.6,1.6,IF(DA228&lt;1.8,1.8,IF(DA228&lt;2,2,2.2))))))))</f>
        <v>1</v>
      </c>
      <c r="FR228" s="23">
        <f>IF(CX228&lt;0.6,0.6,IF(CX228&lt;0.8,0.8,IF(CX228&lt;1,1,IF(CX228&lt;1.2,1.2,IF(CX228&lt;1.4,1.4,IF(CX228&lt;1.6,1.6,IF(CX228&lt;1.8,1.8,IF(CX228&lt;2,2,2.2))))))))</f>
        <v>2.2000000000000002</v>
      </c>
      <c r="FS228" s="23">
        <f>IF(CY228&lt;0.6,0.6,IF(CY228&lt;0.8,0.8,IF(CY228&lt;1,1,IF(CY228&lt;1.2,1.2,IF(CY228&lt;1.4,1.4,IF(CY228&lt;1.6,1.6,IF(CY228&lt;1.8,1.8,IF(CY228&lt;2,2,2.2))))))))</f>
        <v>1.4</v>
      </c>
      <c r="FT228" s="23">
        <f>IF(CZ228&lt;0.6,0.6,IF(CZ228&lt;0.8,0.8,IF(CZ228&lt;1,1,IF(CZ228&lt;1.2,1.2,IF(CZ228&lt;1.4,1.4,IF(CZ228&lt;1.6,1.6,IF(CZ228&lt;1.8,1.8,IF(CZ228&lt;2,2,2.2))))))))</f>
        <v>1</v>
      </c>
      <c r="FU228" s="23">
        <f>IF(FS228&lt;1,1,0)</f>
        <v>0</v>
      </c>
      <c r="GF228" s="4">
        <f>IF(S228&gt;=2.5*25.4,1,1.25)</f>
        <v>1</v>
      </c>
      <c r="GG228" s="4">
        <f>IF(AO228&gt;1, 0.05*(18-MIN(8,(W228+N228)/N228))*(1-48000/MAX(60000,(J228*145))*(N228/25.4)^0.75*GH228), 1/12*(14-MIN(8,(W228+N228)/N228)))</f>
        <v>0.5</v>
      </c>
      <c r="GH228" s="4">
        <f>MIN(0.3, AM228^2*PI()/4*2*AP228/(N228^2*PI()/4*X228))</f>
        <v>0</v>
      </c>
      <c r="GI228" s="4">
        <f>(K228/25.4)/(N228/25.4)^1.5/0.0024*(M228*145)^0.25/GF228/GG228/145</f>
        <v>755.38219599366278</v>
      </c>
    </row>
    <row r="229" spans="1:191" ht="12" hidden="1" customHeight="1" x14ac:dyDescent="0.3">
      <c r="A229" s="25">
        <v>204</v>
      </c>
      <c r="B229" s="24" t="s">
        <v>182</v>
      </c>
      <c r="C229" s="4">
        <v>1996</v>
      </c>
      <c r="D229" s="24" t="s">
        <v>309</v>
      </c>
      <c r="E229" s="24"/>
      <c r="F229" s="24"/>
      <c r="G229" s="24"/>
      <c r="H229" s="4" t="s">
        <v>338</v>
      </c>
      <c r="J229" s="7">
        <v>556</v>
      </c>
      <c r="K229" s="7">
        <f>381-U229-25</f>
        <v>280</v>
      </c>
      <c r="L229" s="7">
        <f>K229</f>
        <v>280</v>
      </c>
      <c r="M229" s="7">
        <v>35</v>
      </c>
      <c r="N229" s="7">
        <v>35.799999999999997</v>
      </c>
      <c r="O229" s="7">
        <f>K229/N229</f>
        <v>7.8212290502793298</v>
      </c>
      <c r="P229" s="7">
        <f>L229/N229</f>
        <v>7.8212290502793298</v>
      </c>
      <c r="Q229" s="7">
        <v>305</v>
      </c>
      <c r="R229" s="7"/>
      <c r="S229" s="7">
        <v>76</v>
      </c>
      <c r="T229" s="7"/>
      <c r="U229" s="7">
        <v>76</v>
      </c>
      <c r="V229" s="7"/>
      <c r="W229" s="7">
        <f>Q229-2*N229-2*S229</f>
        <v>81.400000000000006</v>
      </c>
      <c r="X229" s="7">
        <v>2</v>
      </c>
      <c r="Y229" s="7"/>
      <c r="Z229" s="7"/>
      <c r="AA229" s="7">
        <f>775-(343+152)</f>
        <v>280</v>
      </c>
      <c r="AB229" s="7">
        <f>MIN(S229/N229+0.5, W229/2/N229+0.5)</f>
        <v>1.6368715083798884</v>
      </c>
      <c r="AC229" s="7">
        <f>S229/N229+0.5</f>
        <v>2.6229050279329611</v>
      </c>
      <c r="AD229" s="7">
        <f>5500/(N229^2*PI()/4)-1</f>
        <v>4.4639504822285474</v>
      </c>
      <c r="AE229" s="7">
        <f>5500/(N229^2*PI()/4)-1</f>
        <v>4.4639504822285474</v>
      </c>
      <c r="AF229" s="7">
        <f>AE229+1</f>
        <v>5.4639504822285474</v>
      </c>
      <c r="AG229" s="7">
        <f>N229*AF229^0.5</f>
        <v>83.682838718840046</v>
      </c>
      <c r="AH229" s="7">
        <f>J229</f>
        <v>556</v>
      </c>
      <c r="AI229" s="7">
        <v>25</v>
      </c>
      <c r="AJ229" s="7"/>
      <c r="AK229" s="32" t="s">
        <v>183</v>
      </c>
      <c r="AL229" s="4">
        <f>CY229</f>
        <v>0</v>
      </c>
      <c r="AM229" s="7">
        <v>9.5</v>
      </c>
      <c r="AN229" s="7">
        <v>2</v>
      </c>
      <c r="AO229" s="7">
        <v>102</v>
      </c>
      <c r="AP229" s="7">
        <v>4</v>
      </c>
      <c r="AQ229" s="7">
        <f>AN229</f>
        <v>2</v>
      </c>
      <c r="AR229" s="7">
        <f>3*AS229/(W229+N229)</f>
        <v>7.1672354948805461</v>
      </c>
      <c r="AS229" s="4">
        <f>K229</f>
        <v>280</v>
      </c>
      <c r="AT229" s="4">
        <f>IF(K229*3&gt;W229+N229, Q229, (S229+N229/2)*2+1.5*K229*(2*X229-2))*(3*K229)/(9*K229^2)</f>
        <v>0.36309523809523808</v>
      </c>
      <c r="AU229" s="4">
        <f>MIN(10*M229^0.5*K229^1.5,100*3.9*M229^0.5*K229^(5/3))/(PI()/4*N229^2)/X229</f>
        <v>137.68452761055582</v>
      </c>
      <c r="AV229" s="4">
        <f>MIN(0.7+0.3*(MIN(S229,AA229)+0.5*N229)/1.5/K229,1)</f>
        <v>0.76707142857142852</v>
      </c>
      <c r="AW229" s="4">
        <v>1.25</v>
      </c>
      <c r="AX229" s="4">
        <f>AX228</f>
        <v>1</v>
      </c>
      <c r="AY229" s="38">
        <f>AT229*AV229*AW229*AX229*AU229</f>
        <v>47.934865360648004</v>
      </c>
      <c r="AZ229" s="38">
        <f>AY229</f>
        <v>47.934865360648004</v>
      </c>
      <c r="BA229" s="38">
        <f>IF(M229&lt;50, 0.3*M229^(2/3), 2.12*LN(1+0.1*(M229+8)))</f>
        <v>3.2099624416952368</v>
      </c>
      <c r="BB229" s="38">
        <f>AX229* (M229^0.5/AS229^0.5)/(PI()/4*N229^2)/X229/0.72 *(0.7+(MIN(S229,AA229)+0.5*N229)/5/K229) *(3*Q229*K229)</f>
        <v>47.934865360648033</v>
      </c>
      <c r="BC229" s="38">
        <f>AY229/BB229</f>
        <v>0.99999999999999944</v>
      </c>
      <c r="BD229" s="38">
        <f>BH229/BB229</f>
        <v>6.2672505327057966</v>
      </c>
      <c r="BE229" s="4">
        <f>IF(BD229&lt;1,1,0)</f>
        <v>0</v>
      </c>
      <c r="BF229" s="4">
        <f>L229/N229*M229^0.5/0.19</f>
        <v>243.53165822815239</v>
      </c>
      <c r="BG229" s="4">
        <f>MIN(0.6+0.4*(AC229/AB229),2)</f>
        <v>1.2409556313993173</v>
      </c>
      <c r="BH229" s="38">
        <f>2*M229*AB229*AD229^0.5*BG229*0.7/0.7</f>
        <v>300.41981046670202</v>
      </c>
      <c r="BI229" s="4">
        <f>MAX(1-0.7*AE229/5,0.3)</f>
        <v>0.37504693248800336</v>
      </c>
      <c r="BJ229" s="4">
        <f>BI229*J229*L229/(J229*N229/2.75/M229^0.5)</f>
        <v>47.722956222191854</v>
      </c>
      <c r="BK229" s="4">
        <f>BH229+BJ229</f>
        <v>348.14276668889386</v>
      </c>
      <c r="BM229" s="4">
        <f>MIN(1.5, 0.75+0.25*MIN(3,MAX(1,S229/N229))+0.4*MIN(1,(40*2*PI()*AM229^2/4/AO229/X229)/N229))</f>
        <v>1.5</v>
      </c>
      <c r="BN229" s="4">
        <f>(3*P229+30)*BM229*M229^0.5</f>
        <v>474.44315802455304</v>
      </c>
      <c r="BP229" s="4">
        <f>3.4/PI()^0.5*M229*AB229*AE229^0.5*BG229</f>
        <v>288.13933718639765</v>
      </c>
      <c r="BQ229" s="4">
        <f>8/3*AH229*AI229^2/(AG229-N229-22)/N229*(AG229^2-N229^2)/(AG229^2-(N229+22)^2)</f>
        <v>1562.4220485187734</v>
      </c>
      <c r="BR229" s="4">
        <f>BQ229/BP229</f>
        <v>5.4224531220742032</v>
      </c>
      <c r="BZ229" s="4">
        <f>IF(W229=0,S229,MIN(W229/2,S229))</f>
        <v>40.700000000000003</v>
      </c>
      <c r="CD229" s="9"/>
      <c r="CF229" s="9"/>
      <c r="CG229" s="9"/>
      <c r="CH229" s="9">
        <f>IF(W229=0,MIN(S229,U229),MIN(W229/2,S229,U229))</f>
        <v>40.700000000000003</v>
      </c>
      <c r="CI229" s="9">
        <f>MAX(W229/2,S229)</f>
        <v>76</v>
      </c>
      <c r="CJ229" s="9">
        <f>(CH229/N229)^0.5*(CI229/CH229)^0.15</f>
        <v>1.1709505872794554</v>
      </c>
      <c r="CK229" s="70">
        <v>20</v>
      </c>
      <c r="CL229" s="9">
        <f>MIN(PI()*AM229^2/4*AN229*2/X229/N229/MAX(0.01,AO229),0.05)</f>
        <v>3.8822534914349713E-2</v>
      </c>
      <c r="CM229" s="9">
        <f>MAX(0,CK229*(CL229-0.5/50))</f>
        <v>0.57645069828699425</v>
      </c>
      <c r="CN229" s="9">
        <f>MIN(1,(25/N229)^0.3)</f>
        <v>0.89787751228078194</v>
      </c>
      <c r="CO229" s="9">
        <f>IF(J229&gt;=800,0.68,IF(J229&gt;=700,0.75-(J229-700)*0.07/100,IF(J229&gt;=600,0.85-(J229-600)*0.1/100,IF(J229&gt;=500,1-(J229-500)*0.15/100,1.2-(J229-400)*0.2/100))))</f>
        <v>0.91600000000000004</v>
      </c>
      <c r="CP229" s="9">
        <f>1.75*CN229*CO229*(M229/25)^0.5</f>
        <v>1.7029999483921783</v>
      </c>
      <c r="CQ229" s="9">
        <f>MIN((CJ229+CM229)*CP229,2.5*CP229,M229^0.5)</f>
        <v>2.9758242991400894</v>
      </c>
      <c r="CR229" s="9">
        <v>1</v>
      </c>
      <c r="CS229" s="9">
        <f>4*CQ229*P229+60*CQ229</f>
        <v>271.64787177625175</v>
      </c>
      <c r="DP229" s="4">
        <f>AN229</f>
        <v>2</v>
      </c>
      <c r="DQ229" s="4">
        <f>L229</f>
        <v>280</v>
      </c>
      <c r="DT229" s="4">
        <f>K229/4/(1-0.3*(M229/30)^0.5)/200000/N229</f>
        <v>1.4463124191571349E-5</v>
      </c>
      <c r="DU229" s="4">
        <f>EP229</f>
        <v>5.8532664976699591</v>
      </c>
      <c r="DV229" s="4">
        <f>EC229*AG229/257/M229/AD229</f>
        <v>9.9900435125059958E-2</v>
      </c>
      <c r="DW229" s="4">
        <f>DU229*DV229^0.4</f>
        <v>2.3292990513522853</v>
      </c>
      <c r="DX229" s="4">
        <f>MIN(DU229, DU229/1.4*(1-DV229^1.4)/(1-DV229))</f>
        <v>4.4602752281429154</v>
      </c>
      <c r="DY229" s="4">
        <f>MAX(DU229/2, (4-DT229*(8*AG229*(DW229-DX229)+6*K229*DX229))/(4+DT229*K229*DU229)*DU229)</f>
        <v>5.6911455775168731</v>
      </c>
      <c r="DZ229" s="38">
        <f>MIN(1/N229*(4*AG229*(DW229-DX229)+(3*DX229+DY229)*K229)+EC229 -FJ229,MAX(J229,AJ229))</f>
        <v>177.17641313943381</v>
      </c>
      <c r="EA229" s="4">
        <f>DZ229/FF229</f>
        <v>1.000112216767657</v>
      </c>
      <c r="EB229" s="4">
        <f>AG229/N229</f>
        <v>2.3375094614201131</v>
      </c>
      <c r="EC229" s="4">
        <f>MIN(EB$10*BB229)</f>
        <v>47.934865360648033</v>
      </c>
      <c r="EG229" s="4">
        <f>IF(U229&gt;1*N229,0.85,1)</f>
        <v>0.85</v>
      </c>
      <c r="EH229" s="4">
        <f>MIN(1,MAX(0.7,(1-0.1*(BZ229-1*N229)/N229)))</f>
        <v>0.98631284916201112</v>
      </c>
      <c r="EI229" s="4">
        <f>MIN(1,MAX(0.7,1-0.3*(PI()*AM229^2/4*AQ229*2-0.25*PI()/4*N229^2)/(PI()/4*N229^2)))</f>
        <v>0.99049889204456787</v>
      </c>
      <c r="EJ229" s="4">
        <f>IF(EH229*EI229&lt;0.7,0.7,EH229*EI229)</f>
        <v>0.97694178430429301</v>
      </c>
      <c r="EL229" s="4">
        <f>MIN(DU229/N229*3*K229+EM229-FJ229,MAX(J229,AJ229))</f>
        <v>255.5084292423501</v>
      </c>
      <c r="EM229" s="25">
        <f>13.3*Q229*K229^0.5*M229^0.5/X229/N229^2*(0.7+S229/5/K229)</f>
        <v>118.16921533054099</v>
      </c>
      <c r="EO229" s="4">
        <f>EG229*EJ229</f>
        <v>0.830400516658649</v>
      </c>
      <c r="EP229" s="4">
        <f>IF(N229&lt;22.2,1.1*5*(M229/30)^0.5,IF(N229&gt;=31.8,0.9*5*(M229/30)^0.5,1*5*(M229/30)^0.5))/EG229/EJ229</f>
        <v>5.8532664976699591</v>
      </c>
      <c r="ES229" s="4">
        <f>ET229*N229</f>
        <v>83.682838718840046</v>
      </c>
      <c r="ET229" s="4">
        <f>AF229^0.5</f>
        <v>2.3375094614201131</v>
      </c>
      <c r="EU229" s="4">
        <f>MIN(EC229)/(4700*M229^0.5)/AE229*ES229</f>
        <v>3.231741888372746E-2</v>
      </c>
      <c r="EX229" s="4">
        <f>EU229</f>
        <v>3.231741888372746E-2</v>
      </c>
      <c r="EY229" s="4">
        <f>MIN(0.999, EX229/(0.3*(M229/30)^0.5))</f>
        <v>9.9733719917746308E-2</v>
      </c>
      <c r="EZ229" s="4">
        <f>EP229/1*EY229^0.4</f>
        <v>2.32774340582628</v>
      </c>
      <c r="FA229" s="4">
        <f>EP229/1.4*(1-EY229^1.4)/(1-EY229)</f>
        <v>4.4598804607322258</v>
      </c>
      <c r="FB229" s="4">
        <f>MAX(0,DQ229*FB$9-ES229)</f>
        <v>126.31716128115995</v>
      </c>
      <c r="FC229" s="4">
        <f>MAX(0,DQ229-ES229-FB229)</f>
        <v>69.999999999999986</v>
      </c>
      <c r="FD229" s="4">
        <f>FC229/(1-0.3*(M229/30)^0.5)/200000/N229</f>
        <v>1.4463124191571347E-5</v>
      </c>
      <c r="FE229" s="4">
        <f>MAX(0.5*EP229, (1-2*FD229*(ES229*EZ229+FB229*FA229))/(1/EP229+FD229*FC229))</f>
        <v>5.6911758821923835</v>
      </c>
      <c r="FF229" s="4">
        <f>MIN(4/N229*(1*EZ229*ES229+FA229*FB229+FC229*FE229)+EC229,MAX(J229,AJ229))</f>
        <v>177.15653320590809</v>
      </c>
      <c r="FO229" s="23"/>
      <c r="FP229" s="23"/>
      <c r="FQ229" s="23"/>
      <c r="FR229" s="23"/>
      <c r="FS229" s="23"/>
      <c r="FT229" s="23"/>
      <c r="FU229" s="23"/>
      <c r="FV229" s="23"/>
      <c r="GF229" s="4">
        <f>IF(S229&gt;=2.5*25.4,1,1.25)</f>
        <v>1</v>
      </c>
      <c r="GG229" s="4">
        <f>IF(AO229&gt;1, 0.05*(18-MIN(8,(W229+N229)/N229))*(1-48000/MAX(60000,(J229*145))*(N229/25.4)^0.75*GH229), 1/12*(14-MIN(8,(W229+N229)/N229)))</f>
        <v>0.57658194354098002</v>
      </c>
      <c r="GH229" s="4">
        <f>MIN(0.3, AM229^2*PI()/4*2*AP229/(N229^2*PI()/4*X229))</f>
        <v>0.28167035985144034</v>
      </c>
      <c r="GI229" s="4">
        <f>(K229/25.4)/(N229/25.4)^1.5/0.0024*(M229*145)^0.25/GF229/GG229/145</f>
        <v>277.12077165548715</v>
      </c>
    </row>
    <row r="230" spans="1:191" ht="12" customHeight="1" x14ac:dyDescent="0.3">
      <c r="A230" s="25">
        <v>231</v>
      </c>
      <c r="B230" s="4" t="s">
        <v>605</v>
      </c>
      <c r="C230" s="4">
        <v>2016</v>
      </c>
      <c r="D230" s="4" t="s">
        <v>309</v>
      </c>
      <c r="E230" s="24" t="s">
        <v>661</v>
      </c>
      <c r="F230" s="24"/>
      <c r="G230" s="24">
        <v>38</v>
      </c>
      <c r="H230" s="4" t="s">
        <v>384</v>
      </c>
      <c r="I230" s="5">
        <f>K230/N230</f>
        <v>15.28</v>
      </c>
      <c r="J230" s="91">
        <f>120/0.145</f>
        <v>827.58620689655174</v>
      </c>
      <c r="K230" s="38">
        <f>15.28*25.4</f>
        <v>388.11199999999997</v>
      </c>
      <c r="L230" s="4">
        <f>K230</f>
        <v>388.11199999999997</v>
      </c>
      <c r="M230" s="89">
        <f>5070/145</f>
        <v>34.96551724137931</v>
      </c>
      <c r="N230" s="96">
        <f>1*25.4</f>
        <v>25.4</v>
      </c>
      <c r="O230" s="7">
        <f>K230/N230</f>
        <v>15.28</v>
      </c>
      <c r="P230" s="7">
        <f>L230/N230</f>
        <v>15.28</v>
      </c>
      <c r="Q230" s="38">
        <f>19.6*25.4</f>
        <v>497.84000000000003</v>
      </c>
      <c r="R230" s="32">
        <f>S230/N230</f>
        <v>3.85</v>
      </c>
      <c r="S230" s="38">
        <f>3.85*25.4</f>
        <v>97.789999999999992</v>
      </c>
      <c r="T230" s="32">
        <f>U230/N230</f>
        <v>3.5</v>
      </c>
      <c r="U230" s="39">
        <f>3.5*25.4</f>
        <v>88.899999999999991</v>
      </c>
      <c r="V230" s="32">
        <f>W230/N230</f>
        <v>9.9000000000000021</v>
      </c>
      <c r="W230" s="7">
        <f>(Q230-X230*N230-2*S230)/(X230-1)</f>
        <v>251.46000000000004</v>
      </c>
      <c r="X230" s="38">
        <v>2</v>
      </c>
      <c r="Y230" s="7">
        <f>AN230</f>
        <v>0</v>
      </c>
      <c r="Z230" s="32">
        <f>AA230/N230</f>
        <v>10.25</v>
      </c>
      <c r="AA230" s="4">
        <f>10.25*25.4</f>
        <v>260.34999999999997</v>
      </c>
      <c r="AB230" s="7">
        <f>MIN(S230/N230+0.5, W230/2/N230+0.5)</f>
        <v>4.3499999999999996</v>
      </c>
      <c r="AC230" s="7">
        <f>S230/N230+0.5</f>
        <v>4.3499999999999996</v>
      </c>
      <c r="AD230" s="38">
        <v>4</v>
      </c>
      <c r="AE230" s="4">
        <f>AD230</f>
        <v>4</v>
      </c>
      <c r="AF230" s="4">
        <f>AE230+1</f>
        <v>5</v>
      </c>
      <c r="AG230" s="7">
        <f>N230*AF230^0.5</f>
        <v>56.796126628494655</v>
      </c>
      <c r="AJ230" s="38">
        <f>120.8/0.145</f>
        <v>833.10344827586209</v>
      </c>
      <c r="AL230" s="4">
        <f>CY230</f>
        <v>1.3506140519746308</v>
      </c>
      <c r="AM230" s="38">
        <v>0</v>
      </c>
      <c r="AN230" s="38">
        <v>0</v>
      </c>
      <c r="AO230" s="39">
        <f>L230</f>
        <v>388.11199999999997</v>
      </c>
      <c r="AP230" s="39"/>
      <c r="AQ230" s="39"/>
      <c r="AS230" s="4">
        <f>K230</f>
        <v>388.11199999999997</v>
      </c>
      <c r="AT230" s="4">
        <f>IF(K230*3&gt;W230+N230, Q230, (S230+N230/2)*2+1.5*K230*(2*X230-2))*(3*K230)/(9*K230^2)</f>
        <v>0.42757417102966838</v>
      </c>
      <c r="AU230" s="4">
        <f>MIN(10*M230^0.5*K230^1.5,100*3.9*M230^0.5*K230^(5/3))/(PI()/4*N230^2)/X230</f>
        <v>446.1370328547896</v>
      </c>
      <c r="AV230" s="4">
        <f>MIN(0.7+0.3*(MIN(S230,AA230)+0.5*N230)/1.5/K230,1)</f>
        <v>0.75693717277486905</v>
      </c>
      <c r="AW230" s="4">
        <v>1.25</v>
      </c>
      <c r="AX230" s="4">
        <f>AX229</f>
        <v>1</v>
      </c>
      <c r="AY230" s="38">
        <f>AT230*AV230*AW230*AX230*AU230</f>
        <v>180.48851997866919</v>
      </c>
      <c r="AZ230" s="38">
        <f>AY230</f>
        <v>180.48851997866919</v>
      </c>
      <c r="BA230" s="38">
        <f>IF(M230&lt;50, 0.3*M230^(2/3), 2.12*LN(1+0.1*(M230+8)))</f>
        <v>3.2078537456295186</v>
      </c>
      <c r="BB230" s="38">
        <f>AX230* (M230^0.5/AS230^0.5)/(PI()/4*N230^2)/X230/0.72 *(0.7+(MIN(S230,AA230)+0.5*N230)/5/K230) *(3*Q230*K230)</f>
        <v>180.48851997866939</v>
      </c>
      <c r="BC230" s="38">
        <f>AY230/BB230</f>
        <v>0.99999999999999889</v>
      </c>
      <c r="BD230" s="38">
        <f>BH230/BB230</f>
        <v>3.3708515094029377</v>
      </c>
      <c r="BE230" s="4">
        <f>IF(BD230&lt;1,1,0)</f>
        <v>0</v>
      </c>
      <c r="BF230" s="4">
        <f>L230/N230*M230^0.5/0.19</f>
        <v>475.54293276793692</v>
      </c>
      <c r="BG230" s="4">
        <f>MIN(0.6+0.4*(AC230/AB230),2)</f>
        <v>1</v>
      </c>
      <c r="BH230" s="38">
        <f>2*M230*AB230*AD230^0.5*BG230*0.7/0.7</f>
        <v>608.4</v>
      </c>
      <c r="BI230" s="4">
        <f>MAX(1-0.7*AE230/5,0.3)</f>
        <v>0.44000000000000006</v>
      </c>
      <c r="BJ230" s="4">
        <f>BI230*J230*L230/(J230*N230/2.75/M230^0.5)</f>
        <v>109.32732024334872</v>
      </c>
      <c r="BK230" s="4">
        <f>BH230+BJ230</f>
        <v>717.72732024334869</v>
      </c>
      <c r="BM230" s="4">
        <f>MIN(1.5, 0.75+0.25*MIN(3,MAX(1,S230/N230))+0.4*MIN(1,(40*2*PI()*AM230^2/4/AO230/X230)/N230))</f>
        <v>1.5</v>
      </c>
      <c r="BN230" s="4">
        <f>(3*P230+30)*BM230*M230^0.5</f>
        <v>672.68162081278126</v>
      </c>
      <c r="BP230" s="4">
        <f>3.4/PI()^0.5*M230*AB230*AE230^0.5*BG230</f>
        <v>583.53000247177329</v>
      </c>
      <c r="BQ230" s="4">
        <f>8/3*AH230*AI230^2/(AG230-N230-22)/N230*(AG230^2-N230^2)/(AG230^2-(N230+22)^2)</f>
        <v>0</v>
      </c>
      <c r="BR230" s="4">
        <f>BQ230/BP230</f>
        <v>0</v>
      </c>
      <c r="BZ230" s="4">
        <f>IF(W230=0,S230,MIN(W230/2,S230))</f>
        <v>97.789999999999992</v>
      </c>
      <c r="CH230" s="9">
        <f>IF(W230=0,MIN(S230,U230),MIN(W230/2,S230,U230))</f>
        <v>88.899999999999991</v>
      </c>
      <c r="CI230" s="9">
        <f>MAX(W230/2,S230)</f>
        <v>125.73000000000002</v>
      </c>
      <c r="CJ230" s="9">
        <f>(CH230/N230)^0.5*(CI230/CH230)^0.15</f>
        <v>1.9706731314151338</v>
      </c>
      <c r="CK230" s="70">
        <f>IF(AO230&gt;1,20,0)</f>
        <v>20</v>
      </c>
      <c r="CL230" s="9">
        <f>MIN(PI()*AM230^2/4*AN230*2/X230/N230/MAX(0.01,AO230),0.05)</f>
        <v>0</v>
      </c>
      <c r="CM230" s="9">
        <f>MAX(0,CK230*(CL230-0.5/50))</f>
        <v>0</v>
      </c>
      <c r="CN230" s="9">
        <f>MIN(1,(25/N230)^0.3)</f>
        <v>0.99524931562137331</v>
      </c>
      <c r="CO230" s="9">
        <f>IF(J230&gt;=800,0.68,IF(J230&gt;=700,0.75-(J230-700)*0.07/100,IF(J230&gt;=600,0.85-(J230-600)*0.1/100,IF(J230&gt;=500,1-(J230-500)*0.15/100,1.2-(J230-400)*0.2/100))))</f>
        <v>0.68</v>
      </c>
      <c r="CP230" s="9">
        <f>1.75*CN230*CO230*(M230/25)^0.5</f>
        <v>1.4006474122126336</v>
      </c>
      <c r="CQ230" s="9">
        <f>MIN((CJ230+CM230)*CP230,2.5*CP230,M230^0.5)</f>
        <v>2.7602182218335742</v>
      </c>
      <c r="CR230" s="40">
        <v>1</v>
      </c>
      <c r="CS230" s="9">
        <f>4*CQ230*P230+60*CQ230</f>
        <v>334.31763102848254</v>
      </c>
      <c r="CU230" s="4">
        <f>AJ230/BF230</f>
        <v>1.7518995465387628</v>
      </c>
      <c r="CV230" s="4">
        <f>AJ230/BK230</f>
        <v>1.1607520360147285</v>
      </c>
      <c r="CW230" s="4">
        <f>AJ230/BN230</f>
        <v>1.2384810622137228</v>
      </c>
      <c r="CX230" s="4">
        <f>AJ230/CS230</f>
        <v>2.4919518773596629</v>
      </c>
      <c r="CY230" s="4">
        <f>AJ230/DZ230</f>
        <v>1.3506140519746308</v>
      </c>
      <c r="CZ230" s="4">
        <f>AJ230/EL230</f>
        <v>1</v>
      </c>
      <c r="DA230" s="4">
        <f>AJ230/GI230</f>
        <v>1.1242757318376362</v>
      </c>
      <c r="DB230" s="4">
        <f>AN230</f>
        <v>0</v>
      </c>
      <c r="DC230" s="4">
        <f>CU230</f>
        <v>1.7518995465387628</v>
      </c>
      <c r="DD230" s="4">
        <f>CV230</f>
        <v>1.1607520360147285</v>
      </c>
      <c r="DE230" s="4">
        <f>CX230</f>
        <v>2.4919518773596629</v>
      </c>
      <c r="DF230" s="4">
        <f>DA230</f>
        <v>1.1242757318376362</v>
      </c>
      <c r="DG230" s="4">
        <f>CY230</f>
        <v>1.3506140519746308</v>
      </c>
      <c r="DH230" s="4">
        <f>CZ230</f>
        <v>1</v>
      </c>
      <c r="DQ230" s="4">
        <f>L230</f>
        <v>388.11199999999997</v>
      </c>
      <c r="DT230" s="4">
        <f>K230/4/(1-0.3*(M230/30)^0.5)/200000/N230</f>
        <v>2.824931335368085E-5</v>
      </c>
      <c r="DU230" s="4">
        <f>EP230</f>
        <v>8.8818695030737906</v>
      </c>
      <c r="DV230" s="4">
        <f>EC230*AG230/257/M230/AD230</f>
        <v>0.28519061565634113</v>
      </c>
      <c r="DW230" s="4">
        <f>DU230*DV230^0.4</f>
        <v>5.3772283578554818</v>
      </c>
      <c r="DX230" s="4">
        <f>MIN(DU230, DU230/1.4*(1-DV230^1.4)/(1-DV230))</f>
        <v>7.3429510401369065</v>
      </c>
      <c r="DY230" s="4">
        <f>MAX(DU230/2, (4-DT230*(8*AG230*(DW230-DX230)+6*K230*DX230))/(4+DT230*K230*DU230)*DU230)</f>
        <v>7.6783808457039902</v>
      </c>
      <c r="DZ230" s="38">
        <f>MIN(1/N230*(4*AG230*(DW230-DX230)+(3*DX230+DY230)*K230)+EC230 -FJ230,MAX(J230,AJ230))</f>
        <v>616.83309681092419</v>
      </c>
      <c r="EA230" s="4">
        <f>DZ230/FF230</f>
        <v>1.0001241974178037</v>
      </c>
      <c r="EB230" s="4">
        <f>AG230/N230</f>
        <v>2.2360679774997898</v>
      </c>
      <c r="EC230" s="4">
        <f>MIN(EB$10*BB230)</f>
        <v>180.48851997866939</v>
      </c>
      <c r="EG230" s="4">
        <f>IF(U230&gt;1*N230,0.85,1)</f>
        <v>0.85</v>
      </c>
      <c r="EH230" s="4">
        <f>MIN(1,MAX(0.7,(1-0.1*(BZ230-1*N230)/N230)))</f>
        <v>0.71500000000000008</v>
      </c>
      <c r="EI230" s="4">
        <f>MIN(1,MAX(0.7,1-0.3*(PI()*AM230^2/4*AQ230*2-0.25*PI()/4*N230^2)/(PI()/4*N230^2)))</f>
        <v>1</v>
      </c>
      <c r="EJ230" s="4">
        <f>IF(EH230*EI230&lt;0.7,0.7,EH230*EI230)</f>
        <v>0.71500000000000008</v>
      </c>
      <c r="EL230" s="4">
        <f>MIN(DU230/N230*3*K230+EM230-FJ230,MAX(J230,AJ230))</f>
        <v>833.10344827586209</v>
      </c>
      <c r="EM230" s="25">
        <f>13.3*Q230*K230^0.5*M230^0.5/X230/N230^2*(0.7+S230/5/K230)</f>
        <v>448.57090093705455</v>
      </c>
      <c r="EO230" s="4">
        <f>EG230*EJ230</f>
        <v>0.60775000000000001</v>
      </c>
      <c r="EP230" s="4">
        <f>IF(N230&lt;22.2,1.1*5*(M230/30)^0.5,IF(N230&gt;=31.8,0.9*5*(M230/30)^0.5,1*5*(M230/30)^0.5))/EG230/EJ230</f>
        <v>8.8818695030737906</v>
      </c>
      <c r="ES230" s="4">
        <f>ET230*N230</f>
        <v>56.796126628494655</v>
      </c>
      <c r="ET230" s="4">
        <f>AF230^0.5</f>
        <v>2.2360679774997898</v>
      </c>
      <c r="EU230" s="4">
        <f>MIN(EC230)/(4700*M230^0.5)/AE230*ES230</f>
        <v>9.2212644002561822E-2</v>
      </c>
      <c r="EX230" s="4">
        <f>EU230</f>
        <v>9.2212644002561822E-2</v>
      </c>
      <c r="EY230" s="4">
        <f>MIN(0.999, EX230/(0.3*(M230/30)^0.5))</f>
        <v>0.28471468567111602</v>
      </c>
      <c r="EZ230" s="4">
        <f>EP230/1*EY230^0.4</f>
        <v>5.3736371224439736</v>
      </c>
      <c r="FA230" s="4">
        <f>EP230/1.4*(1-EY230^1.4)/(1-EY230)</f>
        <v>7.3416419110468079</v>
      </c>
      <c r="FB230" s="4">
        <f>MAX(0,DQ230*FB$9-ES230)</f>
        <v>234.2878733715053</v>
      </c>
      <c r="FC230" s="4">
        <f>MAX(0,DQ230-ES230-FB230)</f>
        <v>97.027999999999992</v>
      </c>
      <c r="FD230" s="4">
        <f>FC230/(1-0.3*(M230/30)^0.5)/200000/N230</f>
        <v>2.824931335368085E-5</v>
      </c>
      <c r="FE230" s="4">
        <f>MAX(0.5*EP230, (1-2*FD230*(ES230*EZ230+FB230*FA230))/(1/EP230+FD230*FC230))</f>
        <v>7.6786310219202658</v>
      </c>
      <c r="FF230" s="4">
        <f>MIN(4/N230*(1*EZ230*ES230+FA230*FB230+FC230*FE230)+EC230,MAX(J230,AJ230))</f>
        <v>616.7564972465525</v>
      </c>
      <c r="FO230" s="23">
        <f>IF(CU230&lt;0.6,0.6,IF(CU230&lt;0.8,0.8,IF(CU230&lt;1,1,IF(CU230&lt;1.2,1.2,IF(CU230&lt;1.4,1.4,IF(CU230&lt;1.6,1.6,IF(CU230&lt;1.8,1.8,IF(CU230&lt;2,2,2.2))))))))</f>
        <v>1.8</v>
      </c>
      <c r="FP230" s="23">
        <f>IF(CV230&lt;0.6,0.6,IF(CV230&lt;0.8,0.8,IF(CV230&lt;1,1,IF(CV230&lt;1.2,1.2,IF(CV230&lt;1.4,1.4,IF(CV230&lt;1.6,1.6,IF(CV230&lt;1.8,1.8,IF(CV230&lt;2,2,2.2))))))))</f>
        <v>1.2</v>
      </c>
      <c r="FQ230" s="23">
        <f>IF(DA230&lt;0.6,0.6,IF(DA230&lt;0.8,0.8,IF(DA230&lt;1,1,IF(DA230&lt;1.2,1.2,IF(DA230&lt;1.4,1.4,IF(DA230&lt;1.6,1.6,IF(DA230&lt;1.8,1.8,IF(DA230&lt;2,2,2.2))))))))</f>
        <v>1.2</v>
      </c>
      <c r="FR230" s="23">
        <f>IF(CX230&lt;0.6,0.6,IF(CX230&lt;0.8,0.8,IF(CX230&lt;1,1,IF(CX230&lt;1.2,1.2,IF(CX230&lt;1.4,1.4,IF(CX230&lt;1.6,1.6,IF(CX230&lt;1.8,1.8,IF(CX230&lt;2,2,2.2))))))))</f>
        <v>2.2000000000000002</v>
      </c>
      <c r="FS230" s="23">
        <f>IF(CY230&lt;0.6,0.6,IF(CY230&lt;0.8,0.8,IF(CY230&lt;1,1,IF(CY230&lt;1.2,1.2,IF(CY230&lt;1.4,1.4,IF(CY230&lt;1.6,1.6,IF(CY230&lt;1.8,1.8,IF(CY230&lt;2,2,2.2))))))))</f>
        <v>1.4</v>
      </c>
      <c r="FT230" s="23">
        <f>IF(CZ230&lt;0.6,0.6,IF(CZ230&lt;0.8,0.8,IF(CZ230&lt;1,1,IF(CZ230&lt;1.2,1.2,IF(CZ230&lt;1.4,1.4,IF(CZ230&lt;1.6,1.6,IF(CZ230&lt;1.8,1.8,IF(CZ230&lt;2,2,2.2))))))))</f>
        <v>1.2</v>
      </c>
      <c r="FU230" s="23">
        <f>IF(FS230&lt;1,1,0)</f>
        <v>0</v>
      </c>
      <c r="GF230" s="4">
        <f>IF(S230&gt;=2.5*25.4,1,1.25)</f>
        <v>1</v>
      </c>
      <c r="GG230" s="4">
        <f>IF(AO230&gt;1, 0.05*(18-MIN(8,(W230+N230)/N230))*(1-48000/MAX(60000,(J230*145))*(N230/25.4)^0.75*GH230), 1/12*(14-MIN(8,(W230+N230)/N230)))</f>
        <v>0.5</v>
      </c>
      <c r="GH230" s="4">
        <f>MIN(0.3, AM230^2*PI()/4*2*AP230/(N230^2*PI()/4*X230))</f>
        <v>0</v>
      </c>
      <c r="GI230" s="4">
        <f>(K230/25.4)/(N230/25.4)^1.5/0.0024*(M230*145)^0.25/GF230/GG230/145</f>
        <v>741.0134584281642</v>
      </c>
    </row>
    <row r="231" spans="1:191" ht="12" customHeight="1" x14ac:dyDescent="0.3">
      <c r="A231" s="25">
        <v>403</v>
      </c>
      <c r="B231" s="4" t="s">
        <v>605</v>
      </c>
      <c r="C231" s="4">
        <v>2016</v>
      </c>
      <c r="D231" s="4" t="s">
        <v>309</v>
      </c>
      <c r="E231" s="14" t="s">
        <v>677</v>
      </c>
      <c r="F231" s="14"/>
      <c r="G231" s="14">
        <v>12</v>
      </c>
      <c r="H231" s="7" t="s">
        <v>572</v>
      </c>
      <c r="I231" s="5">
        <f>K231/N231</f>
        <v>10.581560283687944</v>
      </c>
      <c r="J231" s="90">
        <f>135/0.145</f>
        <v>931.0344827586207</v>
      </c>
      <c r="K231" s="93">
        <f>14.92*25.4</f>
        <v>378.96799999999996</v>
      </c>
      <c r="L231" s="4">
        <f>K231</f>
        <v>378.96799999999996</v>
      </c>
      <c r="M231" s="78">
        <f>8720/145</f>
        <v>60.137931034482762</v>
      </c>
      <c r="N231" s="38">
        <f>1.41*25.4</f>
        <v>35.813999999999993</v>
      </c>
      <c r="O231" s="7">
        <f>K231/N231</f>
        <v>10.581560283687944</v>
      </c>
      <c r="P231" s="7">
        <f>L231/N231</f>
        <v>10.581560283687944</v>
      </c>
      <c r="Q231" s="38">
        <f>22.2*25.4</f>
        <v>563.88</v>
      </c>
      <c r="R231" s="32">
        <f>S231/N231</f>
        <v>1.9858156028368796</v>
      </c>
      <c r="S231" s="38">
        <f>2.8*25.4</f>
        <v>71.11999999999999</v>
      </c>
      <c r="T231" s="32">
        <f>U231/N231</f>
        <v>2.3404255319148941</v>
      </c>
      <c r="U231" s="39">
        <f>3.3*25.4</f>
        <v>83.82</v>
      </c>
      <c r="V231" s="32">
        <f>W231/N231</f>
        <v>4.3865248226950362</v>
      </c>
      <c r="W231" s="7">
        <f>(Q231-X231*N231-2*S231)/(X231-1)</f>
        <v>157.09899999999999</v>
      </c>
      <c r="X231" s="38">
        <v>3</v>
      </c>
      <c r="Y231" s="7">
        <f>AN231</f>
        <v>12</v>
      </c>
      <c r="Z231" s="32">
        <f>AA231/N231</f>
        <v>14.18439716312057</v>
      </c>
      <c r="AA231" s="4">
        <f>20*25.4</f>
        <v>508</v>
      </c>
      <c r="AB231" s="7">
        <f>MIN(S231/N231+0.5, W231/2/N231+0.5)</f>
        <v>2.4858156028368796</v>
      </c>
      <c r="AC231" s="7">
        <f>S231/N231+0.5</f>
        <v>2.4858156028368796</v>
      </c>
      <c r="AD231" s="38">
        <v>3.8</v>
      </c>
      <c r="AE231" s="4">
        <f>AD231</f>
        <v>3.8</v>
      </c>
      <c r="AF231" s="4">
        <f>AE231+1</f>
        <v>4.8</v>
      </c>
      <c r="AG231" s="7">
        <f>N231*AF231^0.5</f>
        <v>78.464542697960056</v>
      </c>
      <c r="AJ231" s="38">
        <f>AK231/0.145</f>
        <v>370.34482758620692</v>
      </c>
      <c r="AK231" s="4">
        <v>53.7</v>
      </c>
      <c r="AL231" s="4">
        <f>CY231</f>
        <v>1.0116192816151657</v>
      </c>
      <c r="AM231" s="38">
        <f>0.5*25.4</f>
        <v>12.7</v>
      </c>
      <c r="AN231" s="38">
        <v>12</v>
      </c>
      <c r="AO231" s="39">
        <f>4*25.4</f>
        <v>101.6</v>
      </c>
      <c r="AP231" s="39">
        <v>3</v>
      </c>
      <c r="AQ231" s="39">
        <f>AP231-1</f>
        <v>2</v>
      </c>
      <c r="AR231" s="7"/>
      <c r="AS231" s="4">
        <f>K231</f>
        <v>378.96799999999996</v>
      </c>
      <c r="AT231" s="4">
        <f>IF(K231*3&gt;W231+N231, Q231, (S231+N231/2)*2+1.5*K231*(2*X231-2))*(3*K231)/(9*K231^2)</f>
        <v>0.49597855227882043</v>
      </c>
      <c r="AU231" s="4">
        <f>MIN(10*M231^0.5*K231^1.5,100*3.9*M231^0.5*K231^(5/3))/(PI()/4*N231^2)/X231</f>
        <v>189.30463885208755</v>
      </c>
      <c r="AV231" s="4">
        <f>MIN(0.7+0.3*(MIN(S231,AA231)+0.5*N231)/1.5/K231,1)</f>
        <v>0.74698391420911525</v>
      </c>
      <c r="AW231" s="4">
        <v>1.25</v>
      </c>
      <c r="AX231" s="4">
        <f>AX230</f>
        <v>1</v>
      </c>
      <c r="AY231" s="38">
        <f>AT231*AV231*AW231*AX231*AU231</f>
        <v>87.668871380428726</v>
      </c>
      <c r="AZ231" s="38">
        <f>AY231</f>
        <v>87.668871380428726</v>
      </c>
      <c r="BA231" s="38">
        <f>IF(M231&lt;50, 0.3*M231^(2/3), 2.12*LN(1+0.1*(M231+8)))</f>
        <v>4.3584878994477556</v>
      </c>
      <c r="BB231" s="38">
        <f>AX231* (M231^0.5/AS231^0.5)/(PI()/4*N231^2)/X231/0.72 *(0.7+(MIN(S231,AA231)+0.5*N231)/5/K231) *(3*Q231*K231)</f>
        <v>87.668871380428726</v>
      </c>
      <c r="BC231" s="38">
        <f>AY231/BB231</f>
        <v>1</v>
      </c>
      <c r="BD231" s="38">
        <f>BH231/BB231</f>
        <v>6.6480422477240655</v>
      </c>
      <c r="BE231" s="4">
        <f>IF(BD231&lt;1,1,0)</f>
        <v>0</v>
      </c>
      <c r="BF231" s="4">
        <f>L231/N231*M231^0.5/0.19</f>
        <v>431.88721788481928</v>
      </c>
      <c r="BG231" s="4">
        <f>MIN(0.6+0.4*(AC231/AB231),2)</f>
        <v>1</v>
      </c>
      <c r="BH231" s="38">
        <f>2*M231*AB231*AD231^0.5*BG231*0.7/0.7</f>
        <v>582.82636074737741</v>
      </c>
      <c r="BI231" s="4">
        <f>MAX(1-0.7*AE231/5,0.3)</f>
        <v>0.46800000000000008</v>
      </c>
      <c r="BJ231" s="4">
        <f>BI231*J231*L231/(J231*N231/2.75/M231^0.5)</f>
        <v>105.60938138937489</v>
      </c>
      <c r="BK231" s="4">
        <f>BH231+BJ231</f>
        <v>688.43574213675231</v>
      </c>
      <c r="BM231" s="4">
        <f>MIN(1.5, 0.75+0.25*MIN(3,MAX(1,S231/N231))+0.4*MIN(1,(40*2*PI()*AM231^2/4/AO231/X231)/N231))</f>
        <v>1.5</v>
      </c>
      <c r="BN231" s="4">
        <f>(3*P231+30)*BM231*M231^0.5</f>
        <v>718.23249590348019</v>
      </c>
      <c r="BP231" s="4">
        <f>3.4/PI()^0.5*M231*AB231*AE231^0.5*BG231</f>
        <v>559.00175497621922</v>
      </c>
      <c r="BQ231" s="4">
        <f>8/3*AH231*AI231^2/(AG231-N231-22)/N231*(AG231^2-N231^2)/(AG231^2-(N231+22)^2)</f>
        <v>0</v>
      </c>
      <c r="BR231" s="4">
        <f>BQ231/BP231</f>
        <v>0</v>
      </c>
      <c r="BZ231" s="4">
        <f>IF(W231=0,S231,MIN(W231/2,S231))</f>
        <v>71.11999999999999</v>
      </c>
      <c r="CD231" s="9"/>
      <c r="CF231" s="9"/>
      <c r="CG231" s="9"/>
      <c r="CH231" s="9">
        <f>IF(W231=0,MIN(S231,U231),MIN(W231/2,S231,U231))</f>
        <v>71.11999999999999</v>
      </c>
      <c r="CI231" s="9">
        <f>MAX(W231/2,S231)</f>
        <v>78.549499999999995</v>
      </c>
      <c r="CJ231" s="9">
        <f>(CH231/N231)^0.5*(CI231/CH231)^0.15</f>
        <v>1.4303496396121349</v>
      </c>
      <c r="CK231" s="70">
        <f>IF(AO231&gt;1,20,0)</f>
        <v>20</v>
      </c>
      <c r="CL231" s="9">
        <f>MIN(PI()*AM231^2/4*AN231*2/X231/N231/MAX(0.01,AO231),0.05)</f>
        <v>0.05</v>
      </c>
      <c r="CM231" s="9">
        <f>MAX(0,CK231*(CL231-0.5/50))</f>
        <v>0.8</v>
      </c>
      <c r="CN231" s="9">
        <f>MIN(1,(25/N231)^0.3)</f>
        <v>0.89777220146327208</v>
      </c>
      <c r="CO231" s="9">
        <f>IF(J231&gt;=800,0.68,IF(J231&gt;=700,0.75-(J231-700)*0.07/100,IF(J231&gt;=600,0.85-(J231-600)*0.1/100,IF(J231&gt;=500,1-(J231-500)*0.15/100,1.2-(J231-400)*0.2/100))))</f>
        <v>0.68</v>
      </c>
      <c r="CP231" s="9">
        <f>1.75*CN231*CO231*(M231/25)^0.5</f>
        <v>1.656980327255414</v>
      </c>
      <c r="CQ231" s="9">
        <f>MIN((CJ231+CM231)*CP231,2.5*CP231,M231^0.5)</f>
        <v>3.6956454757385102</v>
      </c>
      <c r="CR231" s="40">
        <v>1</v>
      </c>
      <c r="CS231" s="9">
        <f>4*CQ231*P231+60*CQ231</f>
        <v>378.16151009897328</v>
      </c>
      <c r="CU231" s="4">
        <f>AJ231/BF231</f>
        <v>0.85750356169367992</v>
      </c>
      <c r="CV231" s="4">
        <f>AJ231/BK231</f>
        <v>0.5379511912567736</v>
      </c>
      <c r="CW231" s="4">
        <f>AJ231/BN231</f>
        <v>0.51563362796658507</v>
      </c>
      <c r="CX231" s="4">
        <f>AJ231/CS231</f>
        <v>0.97932977761083995</v>
      </c>
      <c r="CY231" s="4">
        <f>AJ231/DZ231</f>
        <v>1.0116192816151657</v>
      </c>
      <c r="CZ231" s="4">
        <f>AJ231/EL231</f>
        <v>0.73678053201601534</v>
      </c>
      <c r="DA231" s="4">
        <f>AJ231/GI231</f>
        <v>0.8346761269586771</v>
      </c>
      <c r="DB231" s="4">
        <f>AN231</f>
        <v>12</v>
      </c>
      <c r="DI231" s="4">
        <f>CU231</f>
        <v>0.85750356169367992</v>
      </c>
      <c r="DJ231" s="4">
        <f>CV231</f>
        <v>0.5379511912567736</v>
      </c>
      <c r="DK231" s="4">
        <f>CX231</f>
        <v>0.97932977761083995</v>
      </c>
      <c r="DL231" s="4">
        <f>DA231</f>
        <v>0.8346761269586771</v>
      </c>
      <c r="DM231" s="4">
        <f>CY231</f>
        <v>1.0116192816151657</v>
      </c>
      <c r="DN231" s="4">
        <f>CZ231</f>
        <v>0.73678053201601534</v>
      </c>
      <c r="DQ231" s="4">
        <f>L231</f>
        <v>378.96799999999996</v>
      </c>
      <c r="DT231" s="4">
        <f>K231/4/(1-0.3*(M231/30)^0.5)/200000/N231</f>
        <v>2.2993452695956715E-5</v>
      </c>
      <c r="DU231" s="4">
        <f>EP231</f>
        <v>8.9983064543138589</v>
      </c>
      <c r="DV231" s="4">
        <f>EC231*AG231/257/M231/AD231</f>
        <v>0.11712609415226678</v>
      </c>
      <c r="DW231" s="4">
        <f>DU231*DV231^0.4</f>
        <v>3.816121944568319</v>
      </c>
      <c r="DX231" s="4">
        <f>MIN(DU231, DU231/1.4*(1-DV231^1.4)/(1-DV231))</f>
        <v>6.9184276967508795</v>
      </c>
      <c r="DY231" s="4">
        <f>MAX(DU231/2, (4-DT231*(8*AG231*(DW231-DX231)+6*K231*DX231))/(4+DT231*K231*DU231)*DU231)</f>
        <v>8.1260423229142837</v>
      </c>
      <c r="DZ231" s="38">
        <f>MIN(1/N231*(4*AG231*(DW231-DX231)+(3*DX231+DY231)*K231)+EC231 -FJ231,MAX(J231,AJ231))</f>
        <v>366.09111186068844</v>
      </c>
      <c r="EA231" s="4">
        <f>DZ231/FF231</f>
        <v>1.0001001390046653</v>
      </c>
      <c r="EB231" s="4">
        <f>AG231/N231</f>
        <v>2.1908902300206643</v>
      </c>
      <c r="EC231" s="4">
        <f>MIN(EB$10*BB231)</f>
        <v>87.668871380428726</v>
      </c>
      <c r="EG231" s="4">
        <f>IF(U231&gt;1*N231,0.85,1)</f>
        <v>0.85</v>
      </c>
      <c r="EH231" s="4">
        <f>MIN(1,MAX(0.7,(1-0.1*(BZ231-1*N231)/N231)))</f>
        <v>0.90141843971631208</v>
      </c>
      <c r="EI231" s="4">
        <f>MIN(1,MAX(0.7,1-0.3*(PI()*AM231^2/4*AQ231*2-0.25*PI()/4*N231^2)/(PI()/4*N231^2)))</f>
        <v>0.92410215783914285</v>
      </c>
      <c r="EJ231" s="4">
        <f>IF(EH231*EI231&lt;0.7,0.7,EH231*EI231)</f>
        <v>0.83300272525783725</v>
      </c>
      <c r="EL231" s="4">
        <f>MIN(DU231/N231*3*K231+EM231-FJ231,MAX(J231,AJ231))</f>
        <v>502.65284096588584</v>
      </c>
      <c r="EM231" s="25">
        <f>13.3*Q231*K231^0.5*M231^0.5/X231/N231^2*(0.7+S231/5/K231)</f>
        <v>217.00447437362462</v>
      </c>
      <c r="EO231" s="4">
        <f>EG231*EJ231</f>
        <v>0.70805231646916167</v>
      </c>
      <c r="EP231" s="4">
        <f>IF(N231&lt;22.2,1.1*5*(M231/30)^0.5,IF(N231&gt;=31.8,0.9*5*(M231/30)^0.5,1*5*(M231/30)^0.5))/EG231/EJ231</f>
        <v>8.9983064543138589</v>
      </c>
      <c r="ES231" s="4">
        <f>ET231*N231</f>
        <v>78.464542697960056</v>
      </c>
      <c r="ET231" s="4">
        <f>AF231^0.5</f>
        <v>2.1908902300206643</v>
      </c>
      <c r="EU231" s="4">
        <f>MIN(EC231)/(4700*M231^0.5)/AE231*ES231</f>
        <v>4.9666455555182641E-2</v>
      </c>
      <c r="EX231" s="4">
        <f>EU231</f>
        <v>4.9666455555182641E-2</v>
      </c>
      <c r="EY231" s="4">
        <f>MIN(0.999, EX231/(0.3*(M231/30)^0.5))</f>
        <v>0.11693063253046312</v>
      </c>
      <c r="EZ231" s="4">
        <f>EP231/1*EY231^0.4</f>
        <v>3.8135733095932114</v>
      </c>
      <c r="FA231" s="4">
        <f>EP231/1.4*(1-EY231^1.4)/(1-EY231)</f>
        <v>6.9177407396730306</v>
      </c>
      <c r="FB231" s="4">
        <f>MAX(0,DQ231*FB$9-ES231)</f>
        <v>205.76145730203996</v>
      </c>
      <c r="FC231" s="4">
        <f>MAX(0,DQ231-ES231-FB231)</f>
        <v>94.741999999999962</v>
      </c>
      <c r="FD231" s="4">
        <f>FC231/(1-0.3*(M231/30)^0.5)/200000/N231</f>
        <v>2.2993452695956704E-5</v>
      </c>
      <c r="FE231" s="4">
        <f>MAX(0.5*EP231, (1-2*FD231*(ES231*EZ231+FB231*FA231))/(1/EP231+FD231*FC231))</f>
        <v>8.1261808499359489</v>
      </c>
      <c r="FF231" s="4">
        <f>MIN(4/N231*(1*EZ231*ES231+FA231*FB231+FC231*FE231)+EC231,MAX(J231,AJ231))</f>
        <v>366.05445553185814</v>
      </c>
      <c r="FO231" s="23">
        <f>IF(CU231&lt;0.6,0.6,IF(CU231&lt;0.8,0.8,IF(CU231&lt;1,1,IF(CU231&lt;1.2,1.2,IF(CU231&lt;1.4,1.4,IF(CU231&lt;1.6,1.6,IF(CU231&lt;1.8,1.8,IF(CU231&lt;2,2,2.2))))))))</f>
        <v>1</v>
      </c>
      <c r="FP231" s="23">
        <f>IF(CV231&lt;0.6,0.6,IF(CV231&lt;0.8,0.8,IF(CV231&lt;1,1,IF(CV231&lt;1.2,1.2,IF(CV231&lt;1.4,1.4,IF(CV231&lt;1.6,1.6,IF(CV231&lt;1.8,1.8,IF(CV231&lt;2,2,2.2))))))))</f>
        <v>0.6</v>
      </c>
      <c r="FQ231" s="23">
        <f>IF(DA231&lt;0.6,0.6,IF(DA231&lt;0.8,0.8,IF(DA231&lt;1,1,IF(DA231&lt;1.2,1.2,IF(DA231&lt;1.4,1.4,IF(DA231&lt;1.6,1.6,IF(DA231&lt;1.8,1.8,IF(DA231&lt;2,2,2.2))))))))</f>
        <v>1</v>
      </c>
      <c r="FR231" s="23">
        <f>IF(CX231&lt;0.6,0.6,IF(CX231&lt;0.8,0.8,IF(CX231&lt;1,1,IF(CX231&lt;1.2,1.2,IF(CX231&lt;1.4,1.4,IF(CX231&lt;1.6,1.6,IF(CX231&lt;1.8,1.8,IF(CX231&lt;2,2,2.2))))))))</f>
        <v>1</v>
      </c>
      <c r="FS231" s="23">
        <f>IF(CY231&lt;0.6,0.6,IF(CY231&lt;0.8,0.8,IF(CY231&lt;1,1,IF(CY231&lt;1.2,1.2,IF(CY231&lt;1.4,1.4,IF(CY231&lt;1.6,1.6,IF(CY231&lt;1.8,1.8,IF(CY231&lt;2,2,2.2))))))))</f>
        <v>1.2</v>
      </c>
      <c r="FT231" s="23">
        <f>IF(CZ231&lt;0.6,0.6,IF(CZ231&lt;0.8,0.8,IF(CZ231&lt;1,1,IF(CZ231&lt;1.2,1.2,IF(CZ231&lt;1.4,1.4,IF(CZ231&lt;1.6,1.6,IF(CZ231&lt;1.8,1.8,IF(CZ231&lt;2,2,2.2))))))))</f>
        <v>0.8</v>
      </c>
      <c r="FU231" s="23">
        <f>IF(FS231&lt;1,1,0)</f>
        <v>0</v>
      </c>
      <c r="FV231" s="23"/>
      <c r="GF231" s="4">
        <f>IF(S231&gt;=2.5*25.4,1,1.25)</f>
        <v>1</v>
      </c>
      <c r="GG231" s="4">
        <f>IF(AO231&gt;1, 0.05*(18-MIN(8,(W231+N231)/N231))*(1-48000/MAX(60000,(J231*145))*(N231/25.4)^0.75*GH231), 1/12*(14-MIN(8,(W231+N231)/N231)))</f>
        <v>0.55770140699820026</v>
      </c>
      <c r="GH231" s="4">
        <f>MIN(0.3, AM231^2*PI()/4*2*AP231/(N231^2*PI()/4*X231))</f>
        <v>0.25149640360142861</v>
      </c>
      <c r="GI231" s="4">
        <f>(K231/25.4)/(N231/25.4)^1.5/0.0024*(M231*145)^0.25/GF231/GG231/145</f>
        <v>443.6988379380615</v>
      </c>
    </row>
    <row r="232" spans="1:191" ht="12" customHeight="1" x14ac:dyDescent="0.3">
      <c r="A232" s="25">
        <v>414</v>
      </c>
      <c r="B232" s="4" t="s">
        <v>605</v>
      </c>
      <c r="C232" s="4">
        <v>2016</v>
      </c>
      <c r="D232" s="4" t="s">
        <v>309</v>
      </c>
      <c r="E232" s="14" t="s">
        <v>678</v>
      </c>
      <c r="F232" s="14"/>
      <c r="G232" s="14">
        <v>10</v>
      </c>
      <c r="H232" s="7" t="s">
        <v>584</v>
      </c>
      <c r="I232" s="5">
        <f>K232/N232</f>
        <v>10.43262411347518</v>
      </c>
      <c r="J232" s="90">
        <f>135/0.145</f>
        <v>931.0344827586207</v>
      </c>
      <c r="K232" s="93">
        <f>14.71*25.4</f>
        <v>373.63400000000001</v>
      </c>
      <c r="L232" s="4">
        <f>K232</f>
        <v>373.63400000000001</v>
      </c>
      <c r="M232" s="92">
        <f>6240/145</f>
        <v>43.03448275862069</v>
      </c>
      <c r="N232" s="38">
        <f>1.41*25.4</f>
        <v>35.813999999999993</v>
      </c>
      <c r="O232" s="7">
        <f>K232/N232</f>
        <v>10.43262411347518</v>
      </c>
      <c r="P232" s="7">
        <f>L232/N232</f>
        <v>10.43262411347518</v>
      </c>
      <c r="Q232" s="38">
        <f>21.3*25.4</f>
        <v>541.02</v>
      </c>
      <c r="R232" s="32">
        <f>S232/N232</f>
        <v>1.8085106382978726</v>
      </c>
      <c r="S232" s="38">
        <f>2.55*25.4</f>
        <v>64.77</v>
      </c>
      <c r="T232" s="32">
        <f>U232/N232</f>
        <v>2.1985815602836882</v>
      </c>
      <c r="U232" s="39">
        <f>3.1*25.4</f>
        <v>78.739999999999995</v>
      </c>
      <c r="V232" s="32">
        <f>W232/N232</f>
        <v>4.2446808510638308</v>
      </c>
      <c r="W232" s="7">
        <f>(Q232-X232*N232-2*S232)/(X232-1)</f>
        <v>152.01900000000001</v>
      </c>
      <c r="X232" s="38">
        <v>3</v>
      </c>
      <c r="Y232" s="7">
        <f>AN232</f>
        <v>0</v>
      </c>
      <c r="Z232" s="32">
        <f>AA232/N232</f>
        <v>14.18439716312057</v>
      </c>
      <c r="AA232" s="4">
        <f>20*25.4</f>
        <v>508</v>
      </c>
      <c r="AB232" s="7">
        <f>MIN(S232/N232+0.5, W232/2/N232+0.5)</f>
        <v>2.3085106382978724</v>
      </c>
      <c r="AC232" s="7">
        <f>S232/N232+0.5</f>
        <v>2.3085106382978724</v>
      </c>
      <c r="AD232" s="38">
        <v>8.6</v>
      </c>
      <c r="AE232" s="4">
        <f>AD232</f>
        <v>8.6</v>
      </c>
      <c r="AF232" s="4">
        <f>AE232+1</f>
        <v>9.6</v>
      </c>
      <c r="AG232" s="7">
        <f>N232*AF232^0.5</f>
        <v>110.96562044885792</v>
      </c>
      <c r="AJ232" s="38">
        <f>AK232/0.145</f>
        <v>287.58620689655174</v>
      </c>
      <c r="AK232" s="4">
        <v>41.7</v>
      </c>
      <c r="AL232" s="4">
        <f>CY232</f>
        <v>1.0732932449490427</v>
      </c>
      <c r="AM232" s="38">
        <v>0</v>
      </c>
      <c r="AN232" s="38">
        <v>0</v>
      </c>
      <c r="AO232" s="39">
        <f>L232</f>
        <v>373.63400000000001</v>
      </c>
      <c r="AP232" s="39"/>
      <c r="AQ232" s="39"/>
      <c r="AR232" s="7"/>
      <c r="AS232" s="4">
        <f>K232</f>
        <v>373.63400000000001</v>
      </c>
      <c r="AT232" s="4">
        <f>IF(K232*3&gt;W232+N232, Q232, (S232+N232/2)*2+1.5*K232*(2*X232-2))*(3*K232)/(9*K232^2)</f>
        <v>0.48266485384092445</v>
      </c>
      <c r="AU232" s="4">
        <f>MIN(10*M232^0.5*K232^1.5,100*3.9*M232^0.5*K232^(5/3))/(PI()/4*N232^2)/X232</f>
        <v>156.76932308663888</v>
      </c>
      <c r="AV232" s="4">
        <f>MIN(0.7+0.3*(MIN(S232,AA232)+0.5*N232)/1.5/K232,1)</f>
        <v>0.74425560842963967</v>
      </c>
      <c r="AW232" s="4">
        <v>1.25</v>
      </c>
      <c r="AX232" s="4">
        <f>AX231</f>
        <v>1</v>
      </c>
      <c r="AY232" s="38">
        <f>AT232*AV232*AW232*AX232*AU232</f>
        <v>70.394525862707255</v>
      </c>
      <c r="AZ232" s="38">
        <f>AY232</f>
        <v>70.394525862707255</v>
      </c>
      <c r="BA232" s="38">
        <f>IF(M232&lt;50, 0.3*M232^(2/3), 2.12*LN(1+0.1*(M232+8)))</f>
        <v>3.684107660000056</v>
      </c>
      <c r="BB232" s="38">
        <f>AX232* (M232^0.5/AS232^0.5)/(PI()/4*N232^2)/X232/0.72 *(0.7+(MIN(S232,AA232)+0.5*N232)/5/K232) *(3*Q232*K232)</f>
        <v>70.394525862707255</v>
      </c>
      <c r="BC232" s="38">
        <f>AY232/BB232</f>
        <v>1</v>
      </c>
      <c r="BD232" s="38">
        <f>BH232/BB232</f>
        <v>8.2773020000573236</v>
      </c>
      <c r="BE232" s="4">
        <f>IF(BD232&lt;1,1,0)</f>
        <v>0</v>
      </c>
      <c r="BF232" s="4">
        <f>L232/N232*M232^0.5/0.19</f>
        <v>360.2037690712994</v>
      </c>
      <c r="BG232" s="4">
        <f>MIN(0.6+0.4*(AC232/AB232),2)</f>
        <v>1</v>
      </c>
      <c r="BH232" s="38">
        <f>2*M232*AB232*AD232^0.5*BG232*0.7/0.7</f>
        <v>582.67674971647375</v>
      </c>
      <c r="BI232" s="4">
        <f>MAX(1-0.7*AE232/5,0.3)</f>
        <v>0.3</v>
      </c>
      <c r="BJ232" s="4">
        <f>BI232*J232*L232/(J232*N232/2.75/M232^0.5)</f>
        <v>56.461940801926183</v>
      </c>
      <c r="BK232" s="4">
        <f>BH232+BJ232</f>
        <v>639.13869051839993</v>
      </c>
      <c r="BM232" s="4">
        <f>MIN(1.5, 0.75+0.25*MIN(3,MAX(1,S232/N232))+0.4*MIN(1,(40*2*PI()*AM232^2/4/AO232/X232)/N232))</f>
        <v>1.2021276595744681</v>
      </c>
      <c r="BN232" s="4">
        <f>(3*P232+30)*BM232*M232^0.5</f>
        <v>483.39737080367365</v>
      </c>
      <c r="BP232" s="4">
        <f>3.4/PI()^0.5*M232*AB232*AE232^0.5*BG232</f>
        <v>558.8582597013459</v>
      </c>
      <c r="BQ232" s="4">
        <f>8/3*AH232*AI232^2/(AG232-N232-22)/N232*(AG232^2-N232^2)/(AG232^2-(N232+22)^2)</f>
        <v>0</v>
      </c>
      <c r="BR232" s="4">
        <f>BQ232/BP232</f>
        <v>0</v>
      </c>
      <c r="BZ232" s="4">
        <f>IF(W232=0,S232,MIN(W232/2,S232))</f>
        <v>64.77</v>
      </c>
      <c r="CD232" s="9"/>
      <c r="CF232" s="9"/>
      <c r="CG232" s="9"/>
      <c r="CH232" s="9">
        <f>IF(W232=0,MIN(S232,U232),MIN(W232/2,S232,U232))</f>
        <v>64.77</v>
      </c>
      <c r="CI232" s="9">
        <f>MAX(W232/2,S232)</f>
        <v>76.009500000000003</v>
      </c>
      <c r="CJ232" s="9">
        <f>(CH232/N232)^0.5*(CI232/CH232)^0.15</f>
        <v>1.3774778709669167</v>
      </c>
      <c r="CK232" s="70">
        <f>IF(AO232&gt;1,20,0)</f>
        <v>20</v>
      </c>
      <c r="CL232" s="9">
        <f>MIN(PI()*AM232^2/4*AN232*2/X232/N232/MAX(0.01,AO232),0.05)</f>
        <v>0</v>
      </c>
      <c r="CM232" s="9">
        <f>MAX(0,CK232*(CL232-0.5/50))</f>
        <v>0</v>
      </c>
      <c r="CN232" s="9">
        <f>MIN(1,(25/N232)^0.3)</f>
        <v>0.89777220146327208</v>
      </c>
      <c r="CO232" s="9">
        <f>IF(J232&gt;=800,0.68,IF(J232&gt;=700,0.75-(J232-700)*0.07/100,IF(J232&gt;=600,0.85-(J232-600)*0.1/100,IF(J232&gt;=500,1-(J232-500)*0.15/100,1.2-(J232-400)*0.2/100))))</f>
        <v>0.68</v>
      </c>
      <c r="CP232" s="9">
        <f>1.75*CN232*CO232*(M232/25)^0.5</f>
        <v>1.4016881590631138</v>
      </c>
      <c r="CQ232" s="9">
        <f>MIN((CJ232+CM232)*CP232,2.5*CP232,M232^0.5)</f>
        <v>1.9307944211057948</v>
      </c>
      <c r="CR232" s="40">
        <v>1</v>
      </c>
      <c r="CS232" s="9">
        <f>4*CQ232*P232+60*CQ232</f>
        <v>196.42067500951435</v>
      </c>
      <c r="CU232" s="4">
        <f>AJ232/BF232</f>
        <v>0.79839866095245215</v>
      </c>
      <c r="CV232" s="4">
        <f>AJ232/BK232</f>
        <v>0.44995900132926242</v>
      </c>
      <c r="CW232" s="4">
        <f>AJ232/BN232</f>
        <v>0.59492712262465242</v>
      </c>
      <c r="CX232" s="4">
        <f>AJ232/CS232</f>
        <v>1.4641340932293478</v>
      </c>
      <c r="CY232" s="4">
        <f>AJ232/DZ232</f>
        <v>1.0732932449490427</v>
      </c>
      <c r="CZ232" s="4">
        <f>AJ232/EL232</f>
        <v>0.73718451657272832</v>
      </c>
      <c r="DA232" s="4">
        <f>AJ232/GI232</f>
        <v>0.81738841739739598</v>
      </c>
      <c r="DB232" s="4">
        <f>AN232</f>
        <v>0</v>
      </c>
      <c r="DC232" s="4">
        <f>CU232</f>
        <v>0.79839866095245215</v>
      </c>
      <c r="DD232" s="4">
        <f>CV232</f>
        <v>0.44995900132926242</v>
      </c>
      <c r="DE232" s="4">
        <f>CX232</f>
        <v>1.4641340932293478</v>
      </c>
      <c r="DF232" s="4">
        <f>DA232</f>
        <v>0.81738841739739598</v>
      </c>
      <c r="DG232" s="4">
        <f>CY232</f>
        <v>1.0732932449490427</v>
      </c>
      <c r="DH232" s="4">
        <f>CZ232</f>
        <v>0.73718451657272832</v>
      </c>
      <c r="DQ232" s="4">
        <f>L232</f>
        <v>373.63400000000001</v>
      </c>
      <c r="DT232" s="4">
        <f>K232/4/(1-0.3*(M232/30)^0.5)/200000/N232</f>
        <v>2.0354264447591749E-5</v>
      </c>
      <c r="DU232" s="4">
        <f>EP232</f>
        <v>6.8985110700902181</v>
      </c>
      <c r="DV232" s="4">
        <f>EC232*AG232/257/M232/AD232</f>
        <v>8.2125716563457865E-2</v>
      </c>
      <c r="DW232" s="4">
        <f>DU232*DV232^0.4</f>
        <v>2.5383238727806767</v>
      </c>
      <c r="DX232" s="4">
        <f>MIN(DU232, DU232/1.4*(1-DV232^1.4)/(1-DV232))</f>
        <v>5.2061669040964311</v>
      </c>
      <c r="DY232" s="4">
        <f>MAX(DU232/2, (4-DT232*(8*AG232*(DW232-DX232)+6*K232*DX232))/(4+DT232*K232*DU232)*DU232)</f>
        <v>6.4868657202071542</v>
      </c>
      <c r="DZ232" s="38">
        <f>MIN(1/N232*(4*AG232*(DW232-DX232)+(3*DX232+DY232)*K232)+EC232 -FJ232,MAX(J232,AJ232))</f>
        <v>267.94746752571393</v>
      </c>
      <c r="EA232" s="4">
        <f>DZ232/FF232</f>
        <v>1.0001037731892506</v>
      </c>
      <c r="EB232" s="4">
        <f>AG232/N232</f>
        <v>3.0983866769659336</v>
      </c>
      <c r="EC232" s="4">
        <f>MIN(EB$10*BB232)</f>
        <v>70.394525862707255</v>
      </c>
      <c r="EG232" s="4">
        <f>IF(U232&gt;1*N232,0.85,1)</f>
        <v>0.85</v>
      </c>
      <c r="EH232" s="4">
        <f>MIN(1,MAX(0.7,(1-0.1*(BZ232-1*N232)/N232)))</f>
        <v>0.91914893617021276</v>
      </c>
      <c r="EI232" s="4">
        <f>MIN(1,MAX(0.7,1-0.3*(PI()*AM232^2/4*AQ232*2-0.25*PI()/4*N232^2)/(PI()/4*N232^2)))</f>
        <v>1</v>
      </c>
      <c r="EJ232" s="4">
        <f>IF(EH232*EI232&lt;0.7,0.7,EH232*EI232)</f>
        <v>0.91914893617021276</v>
      </c>
      <c r="EL232" s="4">
        <f>MIN(DU232/N232*3*K232+EM232-FJ232,MAX(J232,AJ232))</f>
        <v>390.11427998186855</v>
      </c>
      <c r="EM232" s="25">
        <f>13.3*Q232*K232^0.5*M232^0.5/X232/N232^2*(0.7+S232/5/K232)</f>
        <v>174.20556117117252</v>
      </c>
      <c r="EO232" s="4">
        <f>EG232*EJ232</f>
        <v>0.78127659574468078</v>
      </c>
      <c r="EP232" s="4">
        <f>IF(N232&lt;22.2,1.1*5*(M232/30)^0.5,IF(N232&gt;=31.8,0.9*5*(M232/30)^0.5,1*5*(M232/30)^0.5))/EG232/EJ232</f>
        <v>6.8985110700902181</v>
      </c>
      <c r="ES232" s="4">
        <f>ET232*N232</f>
        <v>110.96562044885792</v>
      </c>
      <c r="ET232" s="4">
        <f>AF232^0.5</f>
        <v>3.0983866769659336</v>
      </c>
      <c r="EU232" s="4">
        <f>MIN(EC232)/(4700*M232^0.5)/AE232*ES232</f>
        <v>2.9459320886444176E-2</v>
      </c>
      <c r="EX232" s="4">
        <f>EU232</f>
        <v>2.9459320886444176E-2</v>
      </c>
      <c r="EY232" s="4">
        <f>MIN(0.999, EX232/(0.3*(M232/30)^0.5))</f>
        <v>8.198866404866631E-2</v>
      </c>
      <c r="EZ232" s="4">
        <f>EP232/1*EY232^0.4</f>
        <v>2.5366286279498538</v>
      </c>
      <c r="FA232" s="4">
        <f>EP232/1.4*(1-EY232^1.4)/(1-EY232)</f>
        <v>5.205768487724467</v>
      </c>
      <c r="FB232" s="4">
        <f>MAX(0,DQ232*FB$9-ES232)</f>
        <v>169.25987955114209</v>
      </c>
      <c r="FC232" s="4">
        <f>MAX(0,DQ232-ES232-FB232)</f>
        <v>93.408500000000004</v>
      </c>
      <c r="FD232" s="4">
        <f>FC232/(1-0.3*(M232/30)^0.5)/200000/N232</f>
        <v>2.0354264447591749E-5</v>
      </c>
      <c r="FE232" s="4">
        <f>MAX(0.5*EP232, (1-2*FD232*(ES232*EZ232+FB232*FA232))/(1/EP232+FD232*FC232))</f>
        <v>6.4869365567247481</v>
      </c>
      <c r="FF232" s="4">
        <f>MIN(4/N232*(1*EZ232*ES232+FA232*FB232+FC232*FE232)+EC232,MAX(J232,AJ232))</f>
        <v>267.91966464765051</v>
      </c>
      <c r="FO232" s="23">
        <f>IF(CU232&lt;0.6,0.6,IF(CU232&lt;0.8,0.8,IF(CU232&lt;1,1,IF(CU232&lt;1.2,1.2,IF(CU232&lt;1.4,1.4,IF(CU232&lt;1.6,1.6,IF(CU232&lt;1.8,1.8,IF(CU232&lt;2,2,2.2))))))))</f>
        <v>0.8</v>
      </c>
      <c r="FP232" s="23">
        <f>IF(CV232&lt;0.6,0.6,IF(CV232&lt;0.8,0.8,IF(CV232&lt;1,1,IF(CV232&lt;1.2,1.2,IF(CV232&lt;1.4,1.4,IF(CV232&lt;1.6,1.6,IF(CV232&lt;1.8,1.8,IF(CV232&lt;2,2,2.2))))))))</f>
        <v>0.6</v>
      </c>
      <c r="FQ232" s="23">
        <f>IF(DA232&lt;0.6,0.6,IF(DA232&lt;0.8,0.8,IF(DA232&lt;1,1,IF(DA232&lt;1.2,1.2,IF(DA232&lt;1.4,1.4,IF(DA232&lt;1.6,1.6,IF(DA232&lt;1.8,1.8,IF(DA232&lt;2,2,2.2))))))))</f>
        <v>1</v>
      </c>
      <c r="FR232" s="23">
        <f>IF(CX232&lt;0.6,0.6,IF(CX232&lt;0.8,0.8,IF(CX232&lt;1,1,IF(CX232&lt;1.2,1.2,IF(CX232&lt;1.4,1.4,IF(CX232&lt;1.6,1.6,IF(CX232&lt;1.8,1.8,IF(CX232&lt;2,2,2.2))))))))</f>
        <v>1.6</v>
      </c>
      <c r="FS232" s="23">
        <f>IF(CY232&lt;0.6,0.6,IF(CY232&lt;0.8,0.8,IF(CY232&lt;1,1,IF(CY232&lt;1.2,1.2,IF(CY232&lt;1.4,1.4,IF(CY232&lt;1.6,1.6,IF(CY232&lt;1.8,1.8,IF(CY232&lt;2,2,2.2))))))))</f>
        <v>1.2</v>
      </c>
      <c r="FT232" s="23">
        <f>IF(CZ232&lt;0.6,0.6,IF(CZ232&lt;0.8,0.8,IF(CZ232&lt;1,1,IF(CZ232&lt;1.2,1.2,IF(CZ232&lt;1.4,1.4,IF(CZ232&lt;1.6,1.6,IF(CZ232&lt;1.8,1.8,IF(CZ232&lt;2,2,2.2))))))))</f>
        <v>0.8</v>
      </c>
      <c r="FU232" s="23">
        <f>IF(FS232&lt;1,1,0)</f>
        <v>0</v>
      </c>
      <c r="FV232" s="23"/>
      <c r="GF232" s="4">
        <f>IF(S232&gt;=2.5*25.4,1,1.25)</f>
        <v>1</v>
      </c>
      <c r="GG232" s="4">
        <f>IF(AO232&gt;1, 0.05*(18-MIN(8,(W232+N232)/N232))*(1-48000/MAX(60000,(J232*145))*(N232/25.4)^0.75*GH232), 1/12*(14-MIN(8,(W232+N232)/N232)))</f>
        <v>0.63776595744680853</v>
      </c>
      <c r="GH232" s="4">
        <f>MIN(0.3, AM232^2*PI()/4*2*AP232/(N232^2*PI()/4*X232))</f>
        <v>0</v>
      </c>
      <c r="GI232" s="4">
        <f>(K232/25.4)/(N232/25.4)^1.5/0.0024*(M232*145)^0.25/GF232/GG232/145</f>
        <v>351.83543193851466</v>
      </c>
    </row>
    <row r="233" spans="1:191" ht="12" hidden="1" customHeight="1" x14ac:dyDescent="0.3">
      <c r="A233" s="25">
        <v>208</v>
      </c>
      <c r="B233" s="24" t="s">
        <v>182</v>
      </c>
      <c r="C233" s="4">
        <v>1996</v>
      </c>
      <c r="D233" s="24" t="s">
        <v>309</v>
      </c>
      <c r="E233" s="24"/>
      <c r="F233" s="24"/>
      <c r="G233" s="24"/>
      <c r="H233" s="4" t="s">
        <v>342</v>
      </c>
      <c r="J233" s="7">
        <v>556</v>
      </c>
      <c r="K233" s="7">
        <f>381-U233-20</f>
        <v>343</v>
      </c>
      <c r="L233" s="7">
        <f>K233</f>
        <v>343</v>
      </c>
      <c r="M233" s="7">
        <v>40</v>
      </c>
      <c r="N233" s="7">
        <v>35.799999999999997</v>
      </c>
      <c r="O233" s="7">
        <f>K233/N233</f>
        <v>9.5810055865921804</v>
      </c>
      <c r="P233" s="7">
        <f>L233/N233</f>
        <v>9.5810055865921804</v>
      </c>
      <c r="Q233" s="7">
        <v>305</v>
      </c>
      <c r="R233" s="7"/>
      <c r="S233" s="7">
        <v>76</v>
      </c>
      <c r="T233" s="7"/>
      <c r="U233" s="7">
        <v>18</v>
      </c>
      <c r="V233" s="7"/>
      <c r="W233" s="7">
        <f>Q233-2*N233-2*S233</f>
        <v>81.400000000000006</v>
      </c>
      <c r="X233" s="7">
        <v>2</v>
      </c>
      <c r="Y233" s="7"/>
      <c r="Z233" s="7"/>
      <c r="AA233" s="7">
        <f>775-(343+152)</f>
        <v>280</v>
      </c>
      <c r="AB233" s="7">
        <f>MIN(S233/N233+0.5, W233/2/N233+0.5)</f>
        <v>1.6368715083798884</v>
      </c>
      <c r="AC233" s="7">
        <f>S233/N233+0.5</f>
        <v>2.6229050279329611</v>
      </c>
      <c r="AD233" s="7">
        <f>3025/(N233^2*PI()/4)-1</f>
        <v>2.0051727652257014</v>
      </c>
      <c r="AE233" s="7">
        <f>3025/(N233^2*PI()/4)-1</f>
        <v>2.0051727652257014</v>
      </c>
      <c r="AF233" s="7">
        <f>AE233+1</f>
        <v>3.0051727652257014</v>
      </c>
      <c r="AG233" s="7">
        <f>N233*AF233^0.5</f>
        <v>62.060854190253195</v>
      </c>
      <c r="AH233" s="7">
        <f>J233</f>
        <v>556</v>
      </c>
      <c r="AI233" s="7">
        <v>20</v>
      </c>
      <c r="AJ233" s="7"/>
      <c r="AK233" s="32" t="s">
        <v>183</v>
      </c>
      <c r="AL233" s="4">
        <f>CY233</f>
        <v>0</v>
      </c>
      <c r="AM233" s="7">
        <v>0</v>
      </c>
      <c r="AN233" s="7">
        <v>0</v>
      </c>
      <c r="AO233" s="7">
        <f>L233</f>
        <v>343</v>
      </c>
      <c r="AP233" s="7"/>
      <c r="AQ233" s="7"/>
      <c r="AR233" s="7">
        <f>3*AS233/(W233+N233)</f>
        <v>8.7798634812286682</v>
      </c>
      <c r="AS233" s="4">
        <f>K233</f>
        <v>343</v>
      </c>
      <c r="AT233" s="4">
        <f>IF(K233*3&gt;W233+N233, Q233, (S233+N233/2)*2+1.5*K233*(2*X233-2))*(3*K233)/(9*K233^2)</f>
        <v>0.29640427599611274</v>
      </c>
      <c r="AU233" s="4">
        <f>MIN(10*M233^0.5*K233^1.5,100*3.9*M233^0.5*K233^(5/3))/(PI()/4*N233^2)/X233</f>
        <v>199.56539930939542</v>
      </c>
      <c r="AV233" s="4">
        <f>MIN(0.7+0.3*(MIN(S233,AA233)+0.5*N233)/1.5/K233,1)</f>
        <v>0.75475218658892129</v>
      </c>
      <c r="AW233" s="4">
        <v>1.25</v>
      </c>
      <c r="AX233" s="4">
        <f>AX232</f>
        <v>1</v>
      </c>
      <c r="AY233" s="38">
        <f>AT233*AV233*AW233*AX233*AU233</f>
        <v>55.80641224047438</v>
      </c>
      <c r="AZ233" s="38">
        <f>AY233</f>
        <v>55.80641224047438</v>
      </c>
      <c r="BA233" s="38">
        <f>IF(M233&lt;50, 0.3*M233^(2/3), 2.12*LN(1+0.1*(M233+8)))</f>
        <v>3.5088212858554391</v>
      </c>
      <c r="BB233" s="38">
        <f>AX233* (M233^0.5/AS233^0.5)/(PI()/4*N233^2)/X233/0.72 *(0.7+(MIN(S233,AA233)+0.5*N233)/5/K233) *(3*Q233*K233)</f>
        <v>55.806412240474387</v>
      </c>
      <c r="BC233" s="38">
        <f>AY233/BB233</f>
        <v>0.99999999999999989</v>
      </c>
      <c r="BD233" s="38">
        <f>BH233/BB233</f>
        <v>4.1233730331091234</v>
      </c>
      <c r="BE233" s="4">
        <f>IF(BD233&lt;1,1,0)</f>
        <v>0</v>
      </c>
      <c r="BF233" s="4">
        <f>L233/N233*M233^0.5/0.19</f>
        <v>318.92420977293574</v>
      </c>
      <c r="BG233" s="4">
        <f>MIN(0.6+0.4*(AC233/AB233),2)</f>
        <v>1.2409556313993173</v>
      </c>
      <c r="BH233" s="38">
        <f>2*M233*AB233*AD233^0.5*BG233*0.7/0.7</f>
        <v>230.11065530694296</v>
      </c>
      <c r="BI233" s="4">
        <f>MAX(1-0.7*AE233/5,0.3)</f>
        <v>0.71927581286840181</v>
      </c>
      <c r="BJ233" s="4">
        <f>BI233*J233*L233/(J233*N233/2.75/M233^0.5)</f>
        <v>119.85861069404693</v>
      </c>
      <c r="BK233" s="4">
        <f>BH233+BJ233</f>
        <v>349.96926600098988</v>
      </c>
      <c r="BM233" s="4">
        <f>MIN(1.5, 0.75+0.25*MIN(3,MAX(1,S233/N233))+0.4*MIN(1,(40*2*PI()*AM233^2/4/AO233/X233)/N233))</f>
        <v>1.2807262569832403</v>
      </c>
      <c r="BN233" s="4">
        <f>(3*P233+30)*BM233*M233^0.5</f>
        <v>475.8198492579329</v>
      </c>
      <c r="BP233" s="4">
        <f>3.4/PI()^0.5*M233*AB233*AE233^0.5*BG233</f>
        <v>220.70425913879328</v>
      </c>
      <c r="BQ233" s="4">
        <f>8/3*AH233*AI233^2/(AG233-N233-22)/N233*(AG233^2-N233^2)/(AG233^2-(N233+22)^2)</f>
        <v>19564.449197295351</v>
      </c>
      <c r="BR233" s="4">
        <f>BQ233/BP233</f>
        <v>88.645544375253522</v>
      </c>
      <c r="BZ233" s="4">
        <f>IF(W233=0,S233,MIN(W233/2,S233))</f>
        <v>40.700000000000003</v>
      </c>
      <c r="CD233" s="9"/>
      <c r="CF233" s="9"/>
      <c r="CG233" s="9"/>
      <c r="CH233" s="9">
        <f>IF(W233=0,MIN(S233,U233),MIN(W233/2,S233,U233))</f>
        <v>18</v>
      </c>
      <c r="CI233" s="9">
        <f>MAX(W233/2,S233)</f>
        <v>76</v>
      </c>
      <c r="CJ233" s="9">
        <f>(CH233/N233)^0.5*(CI233/CH233)^0.15</f>
        <v>0.88008760053944035</v>
      </c>
      <c r="CK233" s="70">
        <v>0</v>
      </c>
      <c r="CL233" s="9">
        <f>MIN(PI()*AM233^2/4*AN233*2/X233/N233/MAX(0.01,AO233),0.05)</f>
        <v>0</v>
      </c>
      <c r="CM233" s="9">
        <f>MAX(0,CK233*(CL233-0.5/50))</f>
        <v>0</v>
      </c>
      <c r="CN233" s="9">
        <f>MIN(1,(25/N233)^0.3)</f>
        <v>0.89787751228078194</v>
      </c>
      <c r="CO233" s="9">
        <f>IF(J233&gt;=800,0.68,IF(J233&gt;=700,0.75-(J233-700)*0.07/100,IF(J233&gt;=600,0.85-(J233-600)*0.1/100,IF(J233&gt;=500,1-(J233-500)*0.15/100,1.2-(J233-400)*0.2/100))))</f>
        <v>0.91600000000000004</v>
      </c>
      <c r="CP233" s="9">
        <f>1.75*CN233*CO233*(M233/25)^0.5</f>
        <v>1.8205835247363529</v>
      </c>
      <c r="CQ233" s="9">
        <f>MIN((CJ233+CM233)*CP233,2.5*CP233,M233^0.5)</f>
        <v>1.6022729858668536</v>
      </c>
      <c r="CR233" s="9">
        <v>1</v>
      </c>
      <c r="CS233" s="9">
        <f>4*CQ233*P233+60*CQ233</f>
        <v>157.54192486735545</v>
      </c>
      <c r="DP233" s="4">
        <f>AN233</f>
        <v>0</v>
      </c>
      <c r="DQ233" s="4">
        <f>L233</f>
        <v>343</v>
      </c>
      <c r="DT233" s="4">
        <f>K233/4/(1-0.3*(M233/30)^0.5)/200000/N233</f>
        <v>1.8323811476289715E-5</v>
      </c>
      <c r="DU233" s="4">
        <f>EP233</f>
        <v>5.2682598904813771</v>
      </c>
      <c r="DV233" s="4">
        <f>EC233*AG233/257/M233/AD233</f>
        <v>0.16801843677468031</v>
      </c>
      <c r="DW233" s="4">
        <f>DU233*DV233^0.4</f>
        <v>2.5811305259532773</v>
      </c>
      <c r="DX233" s="4">
        <f>MIN(DU233, DU233/1.4*(1-DV233^1.4)/(1-DV233))</f>
        <v>4.1506606362570349</v>
      </c>
      <c r="DY233" s="4">
        <f>MAX(DU233/2, (4-DT233*(8*AG233*(DW233-DX233)+6*K233*DX233))/(4+DT233*K233*DU233)*DU233)</f>
        <v>5.0392012716502661</v>
      </c>
      <c r="DZ233" s="38">
        <f>MIN(1/N233*(4*AG233*(DW233-DX233)+(3*DX233+DY233)*K233)+EC233 -FJ233,MAX(J233,AJ233))</f>
        <v>212.50614167045865</v>
      </c>
      <c r="EA233" s="4">
        <f>DZ233/FF233</f>
        <v>1.0001087429307993</v>
      </c>
      <c r="EB233" s="4">
        <f>AG233/N233</f>
        <v>1.7335434131355643</v>
      </c>
      <c r="EC233" s="4">
        <f>MIN(EB$10*BB233)</f>
        <v>55.806412240474387</v>
      </c>
      <c r="EG233" s="4">
        <f>IF(U233&gt;1*N233,0.85,1)</f>
        <v>1</v>
      </c>
      <c r="EH233" s="4">
        <f>MIN(1,MAX(0.7,(1-0.1*(BZ233-1*N233)/N233)))</f>
        <v>0.98631284916201112</v>
      </c>
      <c r="EI233" s="4">
        <f>MIN(1,MAX(0.7,1-0.3*(PI()*AM233^2/4*AQ233*2-0.25*PI()/4*N233^2)/(PI()/4*N233^2)))</f>
        <v>1</v>
      </c>
      <c r="EJ233" s="4">
        <f>IF(EH233*EI233&lt;0.7,0.7,EH233*EI233)</f>
        <v>0.98631284916201112</v>
      </c>
      <c r="EL233" s="4">
        <f>MIN(DU233/N233*3*K233+EM233-FJ233,MAX(J233,AJ233))</f>
        <v>289.39711749331366</v>
      </c>
      <c r="EM233" s="25">
        <f>13.3*Q233*K233^0.5*M233^0.5/X233/N233^2*(0.7+S233/5/K233)</f>
        <v>137.97143516634895</v>
      </c>
      <c r="EO233" s="4">
        <f>EG233*EJ233</f>
        <v>0.98631284916201112</v>
      </c>
      <c r="EP233" s="4">
        <f>IF(N233&lt;22.2,1.1*5*(M233/30)^0.5,IF(N233&gt;=31.8,0.9*5*(M233/30)^0.5,1*5*(M233/30)^0.5))/EG233/EJ233</f>
        <v>5.2682598904813771</v>
      </c>
      <c r="ES233" s="4">
        <f>ET233*N233</f>
        <v>62.060854190253195</v>
      </c>
      <c r="ET233" s="4">
        <f>AF233^0.5</f>
        <v>1.7335434131355643</v>
      </c>
      <c r="EU233" s="4">
        <f>MIN(EC233)/(4700*M233^0.5)/AE233*ES233</f>
        <v>5.8106163370642172E-2</v>
      </c>
      <c r="EX233" s="4">
        <f>EU233</f>
        <v>5.8106163370642172E-2</v>
      </c>
      <c r="EY233" s="4">
        <f>MIN(0.999, EX233/(0.3*(M233/30)^0.5))</f>
        <v>0.16773804531808317</v>
      </c>
      <c r="EZ233" s="4">
        <f>EP233/1*EY233^0.4</f>
        <v>2.579406692273611</v>
      </c>
      <c r="FA233" s="4">
        <f>EP233/1.4*(1-EY233^1.4)/(1-EY233)</f>
        <v>4.1501315666953689</v>
      </c>
      <c r="FB233" s="4">
        <f>MAX(0,DQ233*FB$9-ES233)</f>
        <v>195.1891458097468</v>
      </c>
      <c r="FC233" s="4">
        <f>MAX(0,DQ233-ES233-FB233)</f>
        <v>85.750000000000028</v>
      </c>
      <c r="FD233" s="4">
        <f>FC233/(1-0.3*(M233/30)^0.5)/200000/N233</f>
        <v>1.8323811476289719E-5</v>
      </c>
      <c r="FE233" s="4">
        <f>MAX(0.5*EP233, (1-2*FD233*(ES233*EZ233+FB233*FA233))/(1/EP233+FD233*FC233))</f>
        <v>5.0392415314227588</v>
      </c>
      <c r="FF233" s="4">
        <f>MIN(4/N233*(1*EZ233*ES233+FA233*FB233+FC233*FE233)+EC233,MAX(J233,AJ233))</f>
        <v>212.48303564241775</v>
      </c>
      <c r="FO233" s="23"/>
      <c r="FP233" s="23"/>
      <c r="FQ233" s="23"/>
      <c r="FR233" s="23"/>
      <c r="FS233" s="23"/>
      <c r="FT233" s="23"/>
      <c r="FU233" s="23"/>
      <c r="FV233" s="23"/>
      <c r="GF233" s="4">
        <f>IF(S233&gt;=2.5*25.4,1,1.25)</f>
        <v>1</v>
      </c>
      <c r="GG233" s="4">
        <f>IF(AO233&gt;1, 0.05*(18-MIN(8,(W233+N233)/N233))*(1-48000/MAX(60000,(J233*145))*(N233/25.4)^0.75*GH233), 1/12*(14-MIN(8,(W233+N233)/N233)))</f>
        <v>0.73631284916201123</v>
      </c>
      <c r="GH233" s="4">
        <f>MIN(0.3, AM233^2*PI()/4*2*AP233/(N233^2*PI()/4*X233))</f>
        <v>0</v>
      </c>
      <c r="GI233" s="4">
        <f>(K233/25.4)/(N233/25.4)^1.5/0.0024*(M233*145)^0.25/GF233/GG233/145</f>
        <v>274.85384294525693</v>
      </c>
    </row>
    <row r="234" spans="1:191" ht="12" customHeight="1" x14ac:dyDescent="0.3">
      <c r="A234" s="25">
        <v>399</v>
      </c>
      <c r="B234" s="4" t="s">
        <v>605</v>
      </c>
      <c r="C234" s="4">
        <v>2016</v>
      </c>
      <c r="D234" s="4" t="s">
        <v>309</v>
      </c>
      <c r="E234" s="14" t="s">
        <v>566</v>
      </c>
      <c r="F234" s="14"/>
      <c r="G234" s="14">
        <v>12</v>
      </c>
      <c r="H234" s="33" t="s">
        <v>568</v>
      </c>
      <c r="I234" s="5">
        <f>K234/N234</f>
        <v>10.418439716312058</v>
      </c>
      <c r="J234" s="90">
        <f>135/0.145</f>
        <v>931.0344827586207</v>
      </c>
      <c r="K234" s="93">
        <f>14.69*25.4</f>
        <v>373.12599999999998</v>
      </c>
      <c r="L234" s="4">
        <f>K234</f>
        <v>373.12599999999998</v>
      </c>
      <c r="M234" s="78">
        <f>8660/145</f>
        <v>59.724137931034484</v>
      </c>
      <c r="N234" s="38">
        <f>1.41*25.4</f>
        <v>35.813999999999993</v>
      </c>
      <c r="O234" s="7">
        <f>K234/N234</f>
        <v>10.418439716312058</v>
      </c>
      <c r="P234" s="7">
        <f>L234/N234</f>
        <v>10.418439716312058</v>
      </c>
      <c r="Q234" s="38">
        <f>21.8*25.4</f>
        <v>553.72</v>
      </c>
      <c r="R234" s="32">
        <f>S234/N234</f>
        <v>1.8085106382978726</v>
      </c>
      <c r="S234" s="38">
        <f>2.55*25.4</f>
        <v>64.77</v>
      </c>
      <c r="T234" s="32">
        <f>U234/N234</f>
        <v>2.2695035460992914</v>
      </c>
      <c r="U234" s="39">
        <f>3.2*25.4</f>
        <v>81.28</v>
      </c>
      <c r="V234" s="32">
        <f>W234/N234</f>
        <v>9.843971631205676</v>
      </c>
      <c r="W234" s="7">
        <f>(Q234-X234*N234-2*S234)/(X234-1)</f>
        <v>352.55200000000002</v>
      </c>
      <c r="X234" s="38">
        <v>2</v>
      </c>
      <c r="Y234" s="7">
        <f>AN234</f>
        <v>4</v>
      </c>
      <c r="Z234" s="32">
        <f>AA234/N234</f>
        <v>14.18439716312057</v>
      </c>
      <c r="AA234" s="4">
        <f>20*25.4</f>
        <v>508</v>
      </c>
      <c r="AB234" s="7">
        <f>MIN(S234/N234+0.5, W234/2/N234+0.5)</f>
        <v>2.3085106382978724</v>
      </c>
      <c r="AC234" s="7">
        <f>S234/N234+0.5</f>
        <v>2.3085106382978724</v>
      </c>
      <c r="AD234" s="38">
        <v>3.8</v>
      </c>
      <c r="AE234" s="4">
        <f>AD234</f>
        <v>3.8</v>
      </c>
      <c r="AF234" s="4">
        <f>AE234+1</f>
        <v>4.8</v>
      </c>
      <c r="AG234" s="7">
        <f>N234*AF234^0.5</f>
        <v>78.464542697960056</v>
      </c>
      <c r="AJ234" s="38">
        <f>AK234/0.145</f>
        <v>391.03448275862075</v>
      </c>
      <c r="AK234" s="4">
        <v>56.7</v>
      </c>
      <c r="AL234" s="4">
        <f>CY234</f>
        <v>1.0185169608474394</v>
      </c>
      <c r="AM234" s="38">
        <f>0.5*25.4</f>
        <v>12.7</v>
      </c>
      <c r="AN234" s="38">
        <v>4</v>
      </c>
      <c r="AO234" s="39">
        <f>8*25.4</f>
        <v>203.2</v>
      </c>
      <c r="AP234" s="39">
        <v>2</v>
      </c>
      <c r="AQ234" s="39">
        <f>AP234-1</f>
        <v>1</v>
      </c>
      <c r="AR234" s="7"/>
      <c r="AS234" s="4">
        <f>K234</f>
        <v>373.12599999999998</v>
      </c>
      <c r="AT234" s="4">
        <f>IF(K234*3&gt;W234+N234, Q234, (S234+N234/2)*2+1.5*K234*(2*X234-2))*(3*K234)/(9*K234^2)</f>
        <v>0.49466757431359204</v>
      </c>
      <c r="AU234" s="4">
        <f>MIN(10*M234^0.5*K234^1.5,100*3.9*M234^0.5*K234^(5/3))/(PI()/4*N234^2)/X234</f>
        <v>276.46023823193622</v>
      </c>
      <c r="AV234" s="4">
        <f>MIN(0.7+0.3*(MIN(S234,AA234)+0.5*N234)/1.5/K234,1)</f>
        <v>0.74431586113002035</v>
      </c>
      <c r="AW234" s="4">
        <v>1.25</v>
      </c>
      <c r="AX234" s="4">
        <f>AX233</f>
        <v>1</v>
      </c>
      <c r="AY234" s="38">
        <f>AT234*AV234*AW234*AX234*AU234</f>
        <v>127.23699620701014</v>
      </c>
      <c r="AZ234" s="38">
        <f>AY234</f>
        <v>127.23699620701014</v>
      </c>
      <c r="BA234" s="38">
        <f>IF(M234&lt;50, 0.3*M234^(2/3), 2.12*LN(1+0.1*(M234+8)))</f>
        <v>4.3472312358327088</v>
      </c>
      <c r="BB234" s="38">
        <f>AX234* (M234^0.5/AS234^0.5)/(PI()/4*N234^2)/X234/0.72 *(0.7+(MIN(S234,AA234)+0.5*N234)/5/K234) *(3*Q234*K234)</f>
        <v>127.23699620701012</v>
      </c>
      <c r="BC234" s="38">
        <f>AY234/BB234</f>
        <v>1.0000000000000002</v>
      </c>
      <c r="BD234" s="38">
        <f>BH234/BB234</f>
        <v>4.2246443723063587</v>
      </c>
      <c r="BE234" s="4">
        <f>IF(BD234&lt;1,1,0)</f>
        <v>0</v>
      </c>
      <c r="BF234" s="4">
        <f>L234/N234*M234^0.5/0.19</f>
        <v>423.76396850938846</v>
      </c>
      <c r="BG234" s="4">
        <f>MIN(0.6+0.4*(AC234/AB234),2)</f>
        <v>1</v>
      </c>
      <c r="BH234" s="38">
        <f>2*M234*AB234*AD234^0.5*BG234*0.7/0.7</f>
        <v>537.53105997511079</v>
      </c>
      <c r="BI234" s="4">
        <f>MAX(1-0.7*AE234/5,0.3)</f>
        <v>0.46800000000000008</v>
      </c>
      <c r="BJ234" s="4">
        <f>BI234*J234*L234/(J234*N234/2.75/M234^0.5)</f>
        <v>103.6230032196008</v>
      </c>
      <c r="BK234" s="4">
        <f>BH234+BJ234</f>
        <v>641.15406319471163</v>
      </c>
      <c r="BM234" s="4">
        <f>MIN(1.5, 0.75+0.25*MIN(3,MAX(1,S234/N234))+0.4*MIN(1,(40*2*PI()*AM234^2/4/AO234/X234)/N234))</f>
        <v>1.4806376465948399</v>
      </c>
      <c r="BN234" s="4">
        <f>(3*P234+30)*BM234*M234^0.5</f>
        <v>700.91852660728603</v>
      </c>
      <c r="BP234" s="4">
        <f>3.4/PI()^0.5*M234*AB234*AE234^0.5*BG234</f>
        <v>515.55802228128107</v>
      </c>
      <c r="BQ234" s="4">
        <f>8/3*AH234*AI234^2/(AG234-N234-22)/N234*(AG234^2-N234^2)/(AG234^2-(N234+22)^2)</f>
        <v>0</v>
      </c>
      <c r="BR234" s="4">
        <f>BQ234/BP234</f>
        <v>0</v>
      </c>
      <c r="BZ234" s="4">
        <f>IF(W234=0,S234,MIN(W234/2,S234))</f>
        <v>64.77</v>
      </c>
      <c r="CD234" s="9"/>
      <c r="CF234" s="9"/>
      <c r="CG234" s="9"/>
      <c r="CH234" s="9">
        <f>IF(W234=0,MIN(S234,U234),MIN(W234/2,S234,U234))</f>
        <v>64.77</v>
      </c>
      <c r="CI234" s="9">
        <f>MAX(W234/2,S234)</f>
        <v>176.27600000000001</v>
      </c>
      <c r="CJ234" s="9">
        <f>(CH234/N234)^0.5*(CI234/CH234)^0.15</f>
        <v>1.5627281214384319</v>
      </c>
      <c r="CK234" s="70">
        <f>IF(AO234&gt;1,20,0)</f>
        <v>20</v>
      </c>
      <c r="CL234" s="9">
        <f>MIN(PI()*AM234^2/4*AN234*2/X234/N234/MAX(0.01,AO234),0.05)</f>
        <v>0.05</v>
      </c>
      <c r="CM234" s="9">
        <f>MAX(0,CK234*(CL234-0.5/50))</f>
        <v>0.8</v>
      </c>
      <c r="CN234" s="9">
        <f>MIN(1,(25/N234)^0.3)</f>
        <v>0.89777220146327208</v>
      </c>
      <c r="CO234" s="9">
        <f>IF(J234&gt;=800,0.68,IF(J234&gt;=700,0.75-(J234-700)*0.07/100,IF(J234&gt;=600,0.85-(J234-600)*0.1/100,IF(J234&gt;=500,1-(J234-500)*0.15/100,1.2-(J234-400)*0.2/100))))</f>
        <v>0.68</v>
      </c>
      <c r="CP234" s="9">
        <f>1.75*CN234*CO234*(M234/25)^0.5</f>
        <v>1.6512698668680077</v>
      </c>
      <c r="CQ234" s="9">
        <f>MIN((CJ234+CM234)*CP234,2.5*CP234,M234^0.5)</f>
        <v>3.9015017505329372</v>
      </c>
      <c r="CR234" s="40">
        <v>1</v>
      </c>
      <c r="CS234" s="9">
        <f>4*CQ234*P234+60*CQ234</f>
        <v>396.68034819602974</v>
      </c>
      <c r="CU234" s="4">
        <f>AJ234/BF234</f>
        <v>0.9227648214974592</v>
      </c>
      <c r="CV234" s="4">
        <f>AJ234/BK234</f>
        <v>0.60989160828240396</v>
      </c>
      <c r="CW234" s="4">
        <f>AJ234/BN234</f>
        <v>0.55788863885703999</v>
      </c>
      <c r="CX234" s="4">
        <f>AJ234/CS234</f>
        <v>0.98576721669453882</v>
      </c>
      <c r="CY234" s="4">
        <f>AJ234/DZ234</f>
        <v>1.0185169608474394</v>
      </c>
      <c r="CZ234" s="4">
        <f>AJ234/EL234</f>
        <v>0.68724341538301104</v>
      </c>
      <c r="DA234" s="4">
        <f>AJ234/GI234</f>
        <v>0.71086754061834379</v>
      </c>
      <c r="DB234" s="4">
        <f>AN234</f>
        <v>4</v>
      </c>
      <c r="DI234" s="4">
        <f>CU234</f>
        <v>0.9227648214974592</v>
      </c>
      <c r="DJ234" s="4">
        <f>CV234</f>
        <v>0.60989160828240396</v>
      </c>
      <c r="DK234" s="4">
        <f>CX234</f>
        <v>0.98576721669453882</v>
      </c>
      <c r="DL234" s="4">
        <f>DA234</f>
        <v>0.71086754061834379</v>
      </c>
      <c r="DM234" s="4">
        <f>CY234</f>
        <v>1.0185169608474394</v>
      </c>
      <c r="DN234" s="4">
        <f>CZ234</f>
        <v>0.68724341538301104</v>
      </c>
      <c r="DQ234" s="4">
        <f>L234</f>
        <v>373.12599999999998</v>
      </c>
      <c r="DT234" s="4">
        <f>K234/4/(1-0.3*(M234/30)^0.5)/200000/N234</f>
        <v>2.2581533218862147E-5</v>
      </c>
      <c r="DU234" s="4">
        <f>EP234</f>
        <v>8.1304956994783915</v>
      </c>
      <c r="DV234" s="4">
        <f>EC234*AG234/257/M234/AD234</f>
        <v>0.17116708160783861</v>
      </c>
      <c r="DW234" s="4">
        <f>DU234*DV234^0.4</f>
        <v>4.0131475062463906</v>
      </c>
      <c r="DX234" s="4">
        <f>MIN(DU234, DU234/1.4*(1-DV234^1.4)/(1-DV234))</f>
        <v>6.4148522127545036</v>
      </c>
      <c r="DY234" s="4">
        <f>MAX(DU234/2, (4-DT234*(8*AG234*(DW234-DX234)+6*K234*DX234))/(4+DT234*K234*DU234)*DU234)</f>
        <v>7.4135465815604613</v>
      </c>
      <c r="DZ234" s="38">
        <f>MIN(1/N234*(4*AG234*(DW234-DX234)+(3*DX234+DY234)*K234)+EC234 -FJ234,MAX(J234,AJ234))</f>
        <v>383.92535204643747</v>
      </c>
      <c r="EA234" s="4">
        <f>DZ234/FF234</f>
        <v>1.0001059978264071</v>
      </c>
      <c r="EB234" s="4">
        <f>AG234/N234</f>
        <v>2.1908902300206643</v>
      </c>
      <c r="EC234" s="4">
        <f>MIN(EB$10*BB234)</f>
        <v>127.23699620701012</v>
      </c>
      <c r="EG234" s="4">
        <f>IF(U234&gt;1*N234,0.85,1)</f>
        <v>0.85</v>
      </c>
      <c r="EH234" s="4">
        <f>MIN(1,MAX(0.7,(1-0.1*(BZ234-1*N234)/N234)))</f>
        <v>0.91914893617021276</v>
      </c>
      <c r="EI234" s="4">
        <f>MIN(1,MAX(0.7,1-0.3*(PI()*AM234^2/4*AQ234*2-0.25*PI()/4*N234^2)/(PI()/4*N234^2)))</f>
        <v>0.9995510789195714</v>
      </c>
      <c r="EJ234" s="4">
        <f>IF(EH234*EI234&lt;0.7,0.7,EH234*EI234)</f>
        <v>0.91873631083671248</v>
      </c>
      <c r="EL234" s="4">
        <f>MIN(DU234/N234*3*K234+EM234-FJ234,MAX(J234,AJ234))</f>
        <v>568.98978441385486</v>
      </c>
      <c r="EM234" s="25">
        <f>13.3*Q234*K234^0.5*M234^0.5/X234/N234^2*(0.7+S234/5/K234)</f>
        <v>314.86854648760465</v>
      </c>
      <c r="EO234" s="4">
        <f>EG234*EJ234</f>
        <v>0.78092586421120558</v>
      </c>
      <c r="EP234" s="4">
        <f>IF(N234&lt;22.2,1.1*5*(M234/30)^0.5,IF(N234&gt;=31.8,0.9*5*(M234/30)^0.5,1*5*(M234/30)^0.5))/EG234/EJ234</f>
        <v>8.1304956994783915</v>
      </c>
      <c r="ES234" s="4">
        <f>ET234*N234</f>
        <v>78.464542697960056</v>
      </c>
      <c r="ET234" s="4">
        <f>AF234^0.5</f>
        <v>2.1908902300206643</v>
      </c>
      <c r="EU234" s="4">
        <f>MIN(EC234)/(4700*M234^0.5)/AE234*ES234</f>
        <v>7.2331997116387506E-2</v>
      </c>
      <c r="EX234" s="4">
        <f>EU234</f>
        <v>7.2331997116387506E-2</v>
      </c>
      <c r="EY234" s="4">
        <f>MIN(0.999, EX234/(0.3*(M234/30)^0.5))</f>
        <v>0.17088143564984254</v>
      </c>
      <c r="EZ234" s="4">
        <f>EP234/1*EY234^0.4</f>
        <v>4.0104672857913704</v>
      </c>
      <c r="FA234" s="4">
        <f>EP234/1.4*(1-EY234^1.4)/(1-EY234)</f>
        <v>6.4140243215404329</v>
      </c>
      <c r="FB234" s="4">
        <f>MAX(0,DQ234*FB$9-ES234)</f>
        <v>201.37995730203994</v>
      </c>
      <c r="FC234" s="4">
        <f>MAX(0,DQ234-ES234-FB234)</f>
        <v>93.281499999999994</v>
      </c>
      <c r="FD234" s="4">
        <f>FC234/(1-0.3*(M234/30)^0.5)/200000/N234</f>
        <v>2.2581533218862147E-5</v>
      </c>
      <c r="FE234" s="4">
        <f>MAX(0.5*EP234, (1-2*FD234*(ES234*EZ234+FB234*FA234))/(1/EP234+FD234*FC234))</f>
        <v>7.413682692593758</v>
      </c>
      <c r="FF234" s="4">
        <f>MIN(4/N234*(1*EZ234*ES234+FA234*FB234+FC234*FE234)+EC234,MAX(J234,AJ234))</f>
        <v>383.88466110676916</v>
      </c>
      <c r="FO234" s="23">
        <f>IF(CU234&lt;0.6,0.6,IF(CU234&lt;0.8,0.8,IF(CU234&lt;1,1,IF(CU234&lt;1.2,1.2,IF(CU234&lt;1.4,1.4,IF(CU234&lt;1.6,1.6,IF(CU234&lt;1.8,1.8,IF(CU234&lt;2,2,2.2))))))))</f>
        <v>1</v>
      </c>
      <c r="FP234" s="23">
        <f>IF(CV234&lt;0.6,0.6,IF(CV234&lt;0.8,0.8,IF(CV234&lt;1,1,IF(CV234&lt;1.2,1.2,IF(CV234&lt;1.4,1.4,IF(CV234&lt;1.6,1.6,IF(CV234&lt;1.8,1.8,IF(CV234&lt;2,2,2.2))))))))</f>
        <v>0.8</v>
      </c>
      <c r="FQ234" s="23">
        <f>IF(DA234&lt;0.6,0.6,IF(DA234&lt;0.8,0.8,IF(DA234&lt;1,1,IF(DA234&lt;1.2,1.2,IF(DA234&lt;1.4,1.4,IF(DA234&lt;1.6,1.6,IF(DA234&lt;1.8,1.8,IF(DA234&lt;2,2,2.2))))))))</f>
        <v>0.8</v>
      </c>
      <c r="FR234" s="23">
        <f>IF(CX234&lt;0.6,0.6,IF(CX234&lt;0.8,0.8,IF(CX234&lt;1,1,IF(CX234&lt;1.2,1.2,IF(CX234&lt;1.4,1.4,IF(CX234&lt;1.6,1.6,IF(CX234&lt;1.8,1.8,IF(CX234&lt;2,2,2.2))))))))</f>
        <v>1</v>
      </c>
      <c r="FS234" s="23">
        <f>IF(CY234&lt;0.6,0.6,IF(CY234&lt;0.8,0.8,IF(CY234&lt;1,1,IF(CY234&lt;1.2,1.2,IF(CY234&lt;1.4,1.4,IF(CY234&lt;1.6,1.6,IF(CY234&lt;1.8,1.8,IF(CY234&lt;2,2,2.2))))))))</f>
        <v>1.2</v>
      </c>
      <c r="FT234" s="23">
        <f>IF(CZ234&lt;0.6,0.6,IF(CZ234&lt;0.8,0.8,IF(CZ234&lt;1,1,IF(CZ234&lt;1.2,1.2,IF(CZ234&lt;1.4,1.4,IF(CZ234&lt;1.6,1.6,IF(CZ234&lt;1.8,1.8,IF(CZ234&lt;2,2,2.2))))))))</f>
        <v>0.8</v>
      </c>
      <c r="FU234" s="23">
        <f>IF(FS234&lt;1,1,0)</f>
        <v>0</v>
      </c>
      <c r="FV234" s="23"/>
      <c r="GF234" s="4">
        <f>IF(S234&gt;=2.5*25.4,1,1.25)</f>
        <v>1</v>
      </c>
      <c r="GG234" s="4">
        <f>IF(AO234&gt;1, 0.05*(18-MIN(8,(W234+N234)/N234))*(1-48000/MAX(60000,(J234*145))*(N234/25.4)^0.75*GH234), 1/12*(14-MIN(8,(W234+N234)/N234)))</f>
        <v>0.44214730608235164</v>
      </c>
      <c r="GH234" s="4">
        <f>MIN(0.3, AM234^2*PI()/4*2*AP234/(N234^2*PI()/4*X234))</f>
        <v>0.25149640360142855</v>
      </c>
      <c r="GI234" s="4">
        <f>(K234/25.4)/(N234/25.4)^1.5/0.0024*(M234*145)^0.25/GF234/GG234/145</f>
        <v>550.08065555853318</v>
      </c>
    </row>
    <row r="235" spans="1:191" ht="12" hidden="1" customHeight="1" x14ac:dyDescent="0.3">
      <c r="A235" s="25">
        <v>210</v>
      </c>
      <c r="B235" s="24" t="s">
        <v>182</v>
      </c>
      <c r="C235" s="4">
        <v>1996</v>
      </c>
      <c r="D235" s="24" t="s">
        <v>309</v>
      </c>
      <c r="E235" s="24"/>
      <c r="F235" s="24"/>
      <c r="G235" s="24"/>
      <c r="H235" s="4" t="s">
        <v>344</v>
      </c>
      <c r="J235" s="7">
        <v>556</v>
      </c>
      <c r="K235" s="7">
        <f>305-U235-25</f>
        <v>204</v>
      </c>
      <c r="L235" s="7">
        <f>K235</f>
        <v>204</v>
      </c>
      <c r="M235" s="7">
        <v>36.1</v>
      </c>
      <c r="N235" s="7">
        <v>35.799999999999997</v>
      </c>
      <c r="O235" s="7">
        <f>K235/N235</f>
        <v>5.6983240223463696</v>
      </c>
      <c r="P235" s="7">
        <f>L235/N235</f>
        <v>5.6983240223463696</v>
      </c>
      <c r="Q235" s="7">
        <v>305</v>
      </c>
      <c r="R235" s="7"/>
      <c r="S235" s="7">
        <v>76</v>
      </c>
      <c r="T235" s="7"/>
      <c r="U235" s="7">
        <v>76</v>
      </c>
      <c r="V235" s="7"/>
      <c r="W235" s="7">
        <f>Q235-2*N235-2*S235</f>
        <v>81.400000000000006</v>
      </c>
      <c r="X235" s="7">
        <v>2</v>
      </c>
      <c r="Y235" s="7"/>
      <c r="Z235" s="7"/>
      <c r="AA235" s="7">
        <f>775-(343+152)</f>
        <v>280</v>
      </c>
      <c r="AB235" s="7">
        <f>MIN(S235/N235+0.5, W235/2/N235+0.5)</f>
        <v>1.6368715083798884</v>
      </c>
      <c r="AC235" s="7">
        <f>S235/N235+0.5</f>
        <v>2.6229050279329611</v>
      </c>
      <c r="AD235" s="7">
        <f>3025/(N235^2*PI()/4)-1</f>
        <v>2.0051727652257014</v>
      </c>
      <c r="AE235" s="7">
        <f>3025/(N235^2*PI()/4)-1</f>
        <v>2.0051727652257014</v>
      </c>
      <c r="AF235" s="7">
        <f>AE235+1</f>
        <v>3.0051727652257014</v>
      </c>
      <c r="AG235" s="7">
        <f>N235*AF235^0.5</f>
        <v>62.060854190253195</v>
      </c>
      <c r="AH235" s="7">
        <f>J235</f>
        <v>556</v>
      </c>
      <c r="AI235" s="7">
        <v>25</v>
      </c>
      <c r="AJ235" s="7"/>
      <c r="AK235" s="32" t="s">
        <v>183</v>
      </c>
      <c r="AL235" s="4">
        <f>CY235</f>
        <v>0</v>
      </c>
      <c r="AM235" s="7">
        <v>0</v>
      </c>
      <c r="AN235" s="7">
        <v>0</v>
      </c>
      <c r="AO235" s="7">
        <f>L235</f>
        <v>204</v>
      </c>
      <c r="AP235" s="7"/>
      <c r="AQ235" s="7"/>
      <c r="AR235" s="7">
        <f>3*AS235/(W235+N235)</f>
        <v>5.2218430034129693</v>
      </c>
      <c r="AS235" s="4">
        <f>K235</f>
        <v>204</v>
      </c>
      <c r="AT235" s="4">
        <f>IF(K235*3&gt;W235+N235, Q235, (S235+N235/2)*2+1.5*K235*(2*X235-2))*(3*K235)/(9*K235^2)</f>
        <v>0.49836601307189543</v>
      </c>
      <c r="AU235" s="4">
        <f>MIN(10*M235^0.5*K235^1.5,100*3.9*M235^0.5*K235^(5/3))/(PI()/4*N235^2)/X235</f>
        <v>86.958676610533459</v>
      </c>
      <c r="AV235" s="4">
        <f>MIN(0.7+0.3*(MIN(S235,AA235)+0.5*N235)/1.5/K235,1)</f>
        <v>0.7920588235294117</v>
      </c>
      <c r="AW235" s="4">
        <v>1.25</v>
      </c>
      <c r="AX235" s="4">
        <f>AX234</f>
        <v>1</v>
      </c>
      <c r="AY235" s="38">
        <f>AT235*AV235*AW235*AX235*AU235</f>
        <v>42.907063037179697</v>
      </c>
      <c r="AZ235" s="38">
        <f>AY235</f>
        <v>42.907063037179697</v>
      </c>
      <c r="BA235" s="38">
        <f>IF(M235&lt;50, 0.3*M235^(2/3), 2.12*LN(1+0.1*(M235+8)))</f>
        <v>3.2768713349985528</v>
      </c>
      <c r="BB235" s="38">
        <f>AX235* (M235^0.5/AS235^0.5)/(PI()/4*N235^2)/X235/0.72 *(0.7+(MIN(S235,AA235)+0.5*N235)/5/K235) *(3*Q235*K235)</f>
        <v>42.907063037179732</v>
      </c>
      <c r="BC235" s="38">
        <f>AY235/BB235</f>
        <v>0.99999999999999922</v>
      </c>
      <c r="BD235" s="38">
        <f>BH235/BB235</f>
        <v>4.8401091035888912</v>
      </c>
      <c r="BE235" s="4">
        <f>IF(BD235&lt;1,1,0)</f>
        <v>0</v>
      </c>
      <c r="BF235" s="4">
        <f>L235/N235*M235^0.5/0.19</f>
        <v>180.19682756266744</v>
      </c>
      <c r="BG235" s="4">
        <f>MIN(0.6+0.4*(AC235/AB235),2)</f>
        <v>1.2409556313993173</v>
      </c>
      <c r="BH235" s="38">
        <f>2*M235*AB235*AD235^0.5*BG235*0.7/0.7</f>
        <v>207.67486641451603</v>
      </c>
      <c r="BI235" s="4">
        <f>MAX(1-0.7*AE235/5,0.3)</f>
        <v>0.71927581286840181</v>
      </c>
      <c r="BJ235" s="4">
        <f>BI235*J235*L235/(J235*N235/2.75/M235^0.5)</f>
        <v>67.721862252204929</v>
      </c>
      <c r="BK235" s="4">
        <f>BH235+BJ235</f>
        <v>275.39672866672095</v>
      </c>
      <c r="BM235" s="4">
        <f>MIN(1.5, 0.75+0.25*MIN(3,MAX(1,S235/N235))+0.4*MIN(1,(40*2*PI()*AM235^2/4/AO235/X235)/N235))</f>
        <v>1.2807262569832403</v>
      </c>
      <c r="BN235" s="4">
        <f>(3*P235+30)*BM235*M235^0.5</f>
        <v>362.3968866174186</v>
      </c>
      <c r="BP235" s="4">
        <f>3.4/PI()^0.5*M235*AB235*AE235^0.5*BG235</f>
        <v>199.18559387276096</v>
      </c>
      <c r="BQ235" s="4">
        <f>8/3*AH235*AI235^2/(AG235-N235-22)/N235*(AG235^2-N235^2)/(AG235^2-(N235+22)^2)</f>
        <v>30569.451870773988</v>
      </c>
      <c r="BR235" s="4">
        <f>BQ235/BP235</f>
        <v>153.47220286574361</v>
      </c>
      <c r="BZ235" s="4">
        <f>IF(W235=0,S235,MIN(W235/2,S235))</f>
        <v>40.700000000000003</v>
      </c>
      <c r="CD235" s="9"/>
      <c r="CF235" s="9"/>
      <c r="CG235" s="9"/>
      <c r="CH235" s="9">
        <f>IF(W235=0,MIN(S235,U235),MIN(W235/2,S235,U235))</f>
        <v>40.700000000000003</v>
      </c>
      <c r="CI235" s="9">
        <f>MAX(W235/2,S235)</f>
        <v>76</v>
      </c>
      <c r="CJ235" s="9">
        <f>(CH235/N235)^0.5*(CI235/CH235)^0.15</f>
        <v>1.1709505872794554</v>
      </c>
      <c r="CK235" s="70">
        <v>0</v>
      </c>
      <c r="CL235" s="9">
        <f>MIN(PI()*AM235^2/4*AN235*2/X235/N235/MAX(0.01,AO235),0.05)</f>
        <v>0</v>
      </c>
      <c r="CM235" s="9">
        <f>MAX(0,CK235*(CL235-0.5/50))</f>
        <v>0</v>
      </c>
      <c r="CN235" s="9">
        <f>MIN(1,(25/N235)^0.3)</f>
        <v>0.89787751228078194</v>
      </c>
      <c r="CO235" s="9">
        <f>IF(J235&gt;=800,0.68,IF(J235&gt;=700,0.75-(J235-700)*0.07/100,IF(J235&gt;=600,0.85-(J235-600)*0.1/100,IF(J235&gt;=500,1-(J235-500)*0.15/100,1.2-(J235-400)*0.2/100))))</f>
        <v>0.91600000000000004</v>
      </c>
      <c r="CP235" s="9">
        <f>1.75*CN235*CO235*(M235/25)^0.5</f>
        <v>1.7295543484995353</v>
      </c>
      <c r="CQ235" s="9">
        <f>MIN((CJ235+CM235)*CP235,2.5*CP235,M235^0.5)</f>
        <v>2.0252226801072668</v>
      </c>
      <c r="CR235" s="9">
        <v>1</v>
      </c>
      <c r="CS235" s="9">
        <f>4*CQ235*P235+60*CQ235</f>
        <v>167.67486100105975</v>
      </c>
      <c r="DP235" s="4">
        <f>AN235</f>
        <v>0</v>
      </c>
      <c r="DQ235" s="4">
        <f>L235</f>
        <v>204</v>
      </c>
      <c r="DT235" s="4">
        <f>K235/4/(1-0.3*(M235/30)^0.5)/200000/N235</f>
        <v>1.0616776242063277E-5</v>
      </c>
      <c r="DU235" s="4">
        <f>EP235</f>
        <v>5.8880551717144805</v>
      </c>
      <c r="DV235" s="4">
        <f>EC235*AG235/257/M235/AD235</f>
        <v>0.14313782529161603</v>
      </c>
      <c r="DW235" s="4">
        <f>DU235*DV235^0.4</f>
        <v>2.7056625881539316</v>
      </c>
      <c r="DX235" s="4">
        <f>MIN(DU235, DU235/1.4*(1-DV235^1.4)/(1-DV235))</f>
        <v>4.5854786679293973</v>
      </c>
      <c r="DY235" s="4">
        <f>MAX(DU235/2, (4-DT235*(8*AG235*(DW235-DX235)+6*K235*DX235))/(4+DT235*K235*DU235)*DU235)</f>
        <v>5.796446765973176</v>
      </c>
      <c r="DZ235" s="38">
        <f>MIN(1/N235*(4*AG235*(DW235-DX235)+(3*DX235+DY235)*K235)+EC235 -FJ235,MAX(J235,AJ235))</f>
        <v>141.29075349822904</v>
      </c>
      <c r="EA235" s="4">
        <f>DZ235/FF235</f>
        <v>1.0001255891098828</v>
      </c>
      <c r="EB235" s="4">
        <f>AG235/N235</f>
        <v>1.7335434131355643</v>
      </c>
      <c r="EC235" s="4">
        <f>MIN(EB$10*BB235)</f>
        <v>42.907063037179732</v>
      </c>
      <c r="EG235" s="4">
        <f>IF(U235&gt;1*N235,0.85,1)</f>
        <v>0.85</v>
      </c>
      <c r="EH235" s="4">
        <f>MIN(1,MAX(0.7,(1-0.1*(BZ235-1*N235)/N235)))</f>
        <v>0.98631284916201112</v>
      </c>
      <c r="EI235" s="4">
        <f>MIN(1,MAX(0.7,1-0.3*(PI()*AM235^2/4*AQ235*2-0.25*PI()/4*N235^2)/(PI()/4*N235^2)))</f>
        <v>1</v>
      </c>
      <c r="EJ235" s="4">
        <f>IF(EH235*EI235&lt;0.7,0.7,EH235*EI235)</f>
        <v>0.98631284916201112</v>
      </c>
      <c r="EL235" s="4">
        <f>MIN(DU235/N235*3*K235+EM235-FJ235,MAX(J235,AJ235))</f>
        <v>205.84046641765849</v>
      </c>
      <c r="EM235" s="25">
        <f>13.3*Q235*K235^0.5*M235^0.5/X235/N235^2*(0.7+S235/5/K235)</f>
        <v>105.18432772801428</v>
      </c>
      <c r="EO235" s="4">
        <f>EG235*EJ235</f>
        <v>0.83836592178770941</v>
      </c>
      <c r="EP235" s="4">
        <f>IF(N235&lt;22.2,1.1*5*(M235/30)^0.5,IF(N235&gt;=31.8,0.9*5*(M235/30)^0.5,1*5*(M235/30)^0.5))/EG235/EJ235</f>
        <v>5.8880551717144805</v>
      </c>
      <c r="ES235" s="4">
        <f>ET235*N235</f>
        <v>62.060854190253195</v>
      </c>
      <c r="ET235" s="4">
        <f>AF235^0.5</f>
        <v>1.7335434131355643</v>
      </c>
      <c r="EU235" s="4">
        <f>MIN(EC235)/(4700*M235^0.5)/AE235*ES235</f>
        <v>4.7026567557365367E-2</v>
      </c>
      <c r="EX235" s="4">
        <f>EU235</f>
        <v>4.7026567557365367E-2</v>
      </c>
      <c r="EY235" s="4">
        <f>MIN(0.999, EX235/(0.3*(M235/30)^0.5))</f>
        <v>0.14289895493846852</v>
      </c>
      <c r="EZ235" s="4">
        <f>EP235/1*EY235^0.4</f>
        <v>2.7038555844986045</v>
      </c>
      <c r="FA235" s="4">
        <f>EP235/1.4*(1-EY235^1.4)/(1-EY235)</f>
        <v>4.5849545195606947</v>
      </c>
      <c r="FB235" s="4">
        <f>MAX(0,DQ235*FB$9-ES235)</f>
        <v>90.939145809746805</v>
      </c>
      <c r="FC235" s="4">
        <f>MAX(0,DQ235-ES235-FB235)</f>
        <v>51</v>
      </c>
      <c r="FD235" s="4">
        <f>FC235/(1-0.3*(M235/30)^0.5)/200000/N235</f>
        <v>1.0616776242063277E-5</v>
      </c>
      <c r="FE235" s="4">
        <f>MAX(0.5*EP235, (1-2*FD235*(ES235*EZ235+FB235*FA235))/(1/EP235+FD235*FC235))</f>
        <v>5.7964666825889548</v>
      </c>
      <c r="FF235" s="4">
        <f>MIN(4/N235*(1*EZ235*ES235+FA235*FB235+FC235*FE235)+EC235,MAX(J235,AJ235))</f>
        <v>141.27301114650868</v>
      </c>
      <c r="FO235" s="23"/>
      <c r="FP235" s="23"/>
      <c r="FQ235" s="23"/>
      <c r="FR235" s="23"/>
      <c r="FS235" s="23"/>
      <c r="FT235" s="23"/>
      <c r="FU235" s="23"/>
      <c r="FV235" s="23"/>
      <c r="GF235" s="4">
        <f>IF(S235&gt;=2.5*25.4,1,1.25)</f>
        <v>1</v>
      </c>
      <c r="GG235" s="4">
        <f>IF(AO235&gt;1, 0.05*(18-MIN(8,(W235+N235)/N235))*(1-48000/MAX(60000,(J235*145))*(N235/25.4)^0.75*GH235), 1/12*(14-MIN(8,(W235+N235)/N235)))</f>
        <v>0.73631284916201123</v>
      </c>
      <c r="GH235" s="4">
        <f>MIN(0.3, AM235^2*PI()/4*2*AP235/(N235^2*PI()/4*X235))</f>
        <v>0</v>
      </c>
      <c r="GI235" s="4">
        <f>(K235/25.4)/(N235/25.4)^1.5/0.0024*(M235*145)^0.25/GF235/GG235/145</f>
        <v>159.3307731608862</v>
      </c>
    </row>
    <row r="236" spans="1:191" ht="12" hidden="1" customHeight="1" x14ac:dyDescent="0.3">
      <c r="A236" s="25">
        <v>211</v>
      </c>
      <c r="B236" s="24" t="s">
        <v>182</v>
      </c>
      <c r="C236" s="4">
        <v>1996</v>
      </c>
      <c r="D236" s="24" t="s">
        <v>309</v>
      </c>
      <c r="E236" s="24"/>
      <c r="F236" s="24"/>
      <c r="G236" s="24"/>
      <c r="H236" s="4" t="s">
        <v>345</v>
      </c>
      <c r="J236" s="7">
        <v>556</v>
      </c>
      <c r="K236" s="7">
        <f>381-U236-20</f>
        <v>343</v>
      </c>
      <c r="L236" s="7">
        <f>K236</f>
        <v>343</v>
      </c>
      <c r="M236" s="7">
        <v>36.200000000000003</v>
      </c>
      <c r="N236" s="7">
        <v>35.799999999999997</v>
      </c>
      <c r="O236" s="7">
        <f>K236/N236</f>
        <v>9.5810055865921804</v>
      </c>
      <c r="P236" s="7">
        <f>L236/N236</f>
        <v>9.5810055865921804</v>
      </c>
      <c r="Q236" s="7">
        <v>305</v>
      </c>
      <c r="R236" s="7"/>
      <c r="S236" s="7">
        <v>76</v>
      </c>
      <c r="T236" s="7"/>
      <c r="U236" s="7">
        <v>18</v>
      </c>
      <c r="V236" s="7"/>
      <c r="W236" s="7">
        <f>Q236-2*N236-2*S236</f>
        <v>81.400000000000006</v>
      </c>
      <c r="X236" s="7">
        <v>2</v>
      </c>
      <c r="Y236" s="7"/>
      <c r="Z236" s="7"/>
      <c r="AA236" s="7">
        <f>775-(343+152)</f>
        <v>280</v>
      </c>
      <c r="AB236" s="7">
        <f>MIN(S236/N236+0.5, W236/2/N236+0.5)</f>
        <v>1.6368715083798884</v>
      </c>
      <c r="AC236" s="7">
        <f>S236/N236+0.5</f>
        <v>2.6229050279329611</v>
      </c>
      <c r="AD236" s="7">
        <f>3150/(N236^2*PI()/4)-1</f>
        <v>2.1293534580036226</v>
      </c>
      <c r="AE236" s="7">
        <f>3150/(N236^2*PI()/4)-1</f>
        <v>2.1293534580036226</v>
      </c>
      <c r="AF236" s="7">
        <f>AE236+1</f>
        <v>3.1293534580036226</v>
      </c>
      <c r="AG236" s="7">
        <f>N236*AF236^0.5</f>
        <v>63.330123684671278</v>
      </c>
      <c r="AH236" s="7">
        <f>J236</f>
        <v>556</v>
      </c>
      <c r="AI236" s="7">
        <v>20</v>
      </c>
      <c r="AJ236" s="7"/>
      <c r="AK236" s="32" t="s">
        <v>183</v>
      </c>
      <c r="AL236" s="4">
        <f>CY236</f>
        <v>0</v>
      </c>
      <c r="AM236" s="7">
        <v>0</v>
      </c>
      <c r="AN236" s="7">
        <v>0</v>
      </c>
      <c r="AO236" s="7">
        <f>L236</f>
        <v>343</v>
      </c>
      <c r="AP236" s="7"/>
      <c r="AQ236" s="7"/>
      <c r="AR236" s="7">
        <f>3*AS236/(W236+N236)</f>
        <v>8.7798634812286682</v>
      </c>
      <c r="AS236" s="4">
        <f>K236</f>
        <v>343</v>
      </c>
      <c r="AT236" s="4">
        <f>IF(K236*3&gt;W236+N236, Q236, (S236+N236/2)*2+1.5*K236*(2*X236-2))*(3*K236)/(9*K236^2)</f>
        <v>0.29640427599611274</v>
      </c>
      <c r="AU236" s="4">
        <f>MIN(10*M236^0.5*K236^1.5,100*3.9*M236^0.5*K236^(5/3))/(PI()/4*N236^2)/X236</f>
        <v>189.84953380078178</v>
      </c>
      <c r="AV236" s="4">
        <f>MIN(0.7+0.3*(MIN(S236,AA236)+0.5*N236)/1.5/K236,1)</f>
        <v>0.75475218658892129</v>
      </c>
      <c r="AW236" s="4">
        <v>1.25</v>
      </c>
      <c r="AX236" s="4">
        <f>AX235</f>
        <v>1</v>
      </c>
      <c r="AY236" s="38">
        <f>AT236*AV236*AW236*AX236*AU236</f>
        <v>53.089470337103201</v>
      </c>
      <c r="AZ236" s="38">
        <f>AY236</f>
        <v>53.089470337103201</v>
      </c>
      <c r="BA236" s="38">
        <f>IF(M236&lt;50, 0.3*M236^(2/3), 2.12*LN(1+0.1*(M236+8)))</f>
        <v>3.282920015195979</v>
      </c>
      <c r="BB236" s="38">
        <f>AX236* (M236^0.5/AS236^0.5)/(PI()/4*N236^2)/X236/0.72 *(0.7+(MIN(S236,AA236)+0.5*N236)/5/K236) *(3*Q236*K236)</f>
        <v>53.089470337103215</v>
      </c>
      <c r="BC236" s="38">
        <f>AY236/BB236</f>
        <v>0.99999999999999978</v>
      </c>
      <c r="BD236" s="38">
        <f>BH236/BB236</f>
        <v>4.0422660670407025</v>
      </c>
      <c r="BE236" s="4">
        <f>IF(BD236&lt;1,1,0)</f>
        <v>0</v>
      </c>
      <c r="BF236" s="4">
        <f>L236/N236*M236^0.5/0.19</f>
        <v>303.39734619679649</v>
      </c>
      <c r="BG236" s="4">
        <f>MIN(0.6+0.4*(AC236/AB236),2)</f>
        <v>1.2409556313993173</v>
      </c>
      <c r="BH236" s="38">
        <f>2*M236*AB236*AD236^0.5*BG236*0.7/0.7</f>
        <v>214.60176446083625</v>
      </c>
      <c r="BI236" s="4">
        <f>MAX(1-0.7*AE236/5,0.3)</f>
        <v>0.7018905158794928</v>
      </c>
      <c r="BJ236" s="4">
        <f>BI236*J236*L236/(J236*N236/2.75/M236^0.5)</f>
        <v>111.2672736156364</v>
      </c>
      <c r="BK236" s="4">
        <f>BH236+BJ236</f>
        <v>325.86903807647263</v>
      </c>
      <c r="BM236" s="4">
        <f>MIN(1.5, 0.75+0.25*MIN(3,MAX(1,S236/N236))+0.4*MIN(1,(40*2*PI()*AM236^2/4/AO236/X236)/N236))</f>
        <v>1.2807262569832403</v>
      </c>
      <c r="BN236" s="4">
        <f>(3*P236+30)*BM236*M236^0.5</f>
        <v>452.65450257099729</v>
      </c>
      <c r="BP236" s="4">
        <f>3.4/PI()^0.5*M236*AB236*AE236^0.5*BG236</f>
        <v>205.82933620361388</v>
      </c>
      <c r="BQ236" s="4">
        <f>8/3*AH236*AI236^2/(AG236-N236-22)/N236*(AG236^2-N236^2)/(AG236^2-(N236+22)^2)</f>
        <v>12204.288039811765</v>
      </c>
      <c r="BR236" s="4">
        <f>BQ236/BP236</f>
        <v>59.29323907326232</v>
      </c>
      <c r="BZ236" s="4">
        <f>IF(W236=0,S236,MIN(W236/2,S236))</f>
        <v>40.700000000000003</v>
      </c>
      <c r="CD236" s="9"/>
      <c r="CF236" s="9"/>
      <c r="CG236" s="9"/>
      <c r="CH236" s="9">
        <f>IF(W236=0,MIN(S236,U236),MIN(W236/2,S236,U236))</f>
        <v>18</v>
      </c>
      <c r="CI236" s="9">
        <f>MAX(W236/2,S236)</f>
        <v>76</v>
      </c>
      <c r="CJ236" s="9">
        <f>(CH236/N236)^0.5*(CI236/CH236)^0.15</f>
        <v>0.88008760053944035</v>
      </c>
      <c r="CK236" s="70">
        <v>0</v>
      </c>
      <c r="CL236" s="9">
        <f>MIN(PI()*AM236^2/4*AN236*2/X236/N236/MAX(0.01,AO236),0.05)</f>
        <v>0</v>
      </c>
      <c r="CM236" s="9">
        <f>MAX(0,CK236*(CL236-0.5/50))</f>
        <v>0</v>
      </c>
      <c r="CN236" s="9">
        <f>MIN(1,(25/N236)^0.3)</f>
        <v>0.89787751228078194</v>
      </c>
      <c r="CO236" s="9">
        <f>IF(J236&gt;=800,0.68,IF(J236&gt;=700,0.75-(J236-700)*0.07/100,IF(J236&gt;=600,0.85-(J236-600)*0.1/100,IF(J236&gt;=500,1-(J236-500)*0.15/100,1.2-(J236-400)*0.2/100))))</f>
        <v>0.91600000000000004</v>
      </c>
      <c r="CP236" s="9">
        <f>1.75*CN236*CO236*(M236/25)^0.5</f>
        <v>1.7319481964943424</v>
      </c>
      <c r="CQ236" s="9">
        <f>MIN((CJ236+CM236)*CP236,2.5*CP236,M236^0.5)</f>
        <v>1.5242661325113169</v>
      </c>
      <c r="CR236" s="9">
        <v>1</v>
      </c>
      <c r="CS236" s="9">
        <f>4*CQ236*P236+60*CQ236</f>
        <v>149.87197727485574</v>
      </c>
      <c r="DP236" s="4">
        <f>AN236</f>
        <v>0</v>
      </c>
      <c r="DQ236" s="4">
        <f>L236</f>
        <v>343</v>
      </c>
      <c r="DT236" s="4">
        <f>K236/4/(1-0.3*(M236/30)^0.5)/200000/N236</f>
        <v>1.7862883419588262E-5</v>
      </c>
      <c r="DU236" s="4">
        <f>EP236</f>
        <v>5.0117740230039942</v>
      </c>
      <c r="DV236" s="4">
        <f>EC236*AG236/257/M236/AD236</f>
        <v>0.16971853625852223</v>
      </c>
      <c r="DW236" s="4">
        <f>DU236*DV236^0.4</f>
        <v>2.4653761583128868</v>
      </c>
      <c r="DX236" s="4">
        <f>MIN(DU236, DU236/1.4*(1-DV236^1.4)/(1-DV236))</f>
        <v>3.95163240305587</v>
      </c>
      <c r="DY236" s="4">
        <f>MAX(DU236/2, (4-DT236*(8*AG236*(DW236-DX236)+6*K236*DX236))/(4+DT236*K236*DU236)*DU236)</f>
        <v>4.8096901768324312</v>
      </c>
      <c r="DZ236" s="38">
        <f>MIN(1/N236*(4*AG236*(DW236-DX236)+(3*DX236+DY236)*K236)+EC236 -FJ236,MAX(J236,AJ236))</f>
        <v>202.23623866590947</v>
      </c>
      <c r="EA236" s="4">
        <f>DZ236/FF236</f>
        <v>1.0001102462532807</v>
      </c>
      <c r="EB236" s="4">
        <f>AG236/N236</f>
        <v>1.7689978682869074</v>
      </c>
      <c r="EC236" s="4">
        <f>MIN(EB$10*BB236)</f>
        <v>53.089470337103215</v>
      </c>
      <c r="EG236" s="4">
        <f>IF(U236&gt;1*N236,0.85,1)</f>
        <v>1</v>
      </c>
      <c r="EH236" s="4">
        <f>MIN(1,MAX(0.7,(1-0.1*(BZ236-1*N236)/N236)))</f>
        <v>0.98631284916201112</v>
      </c>
      <c r="EI236" s="4">
        <f>MIN(1,MAX(0.7,1-0.3*(PI()*AM236^2/4*AQ236*2-0.25*PI()/4*N236^2)/(PI()/4*N236^2)))</f>
        <v>1</v>
      </c>
      <c r="EJ236" s="4">
        <f>IF(EH236*EI236&lt;0.7,0.7,EH236*EI236)</f>
        <v>0.98631284916201112</v>
      </c>
      <c r="EL236" s="4">
        <f>MIN(DU236/N236*3*K236+EM236-FJ236,MAX(J236,AJ236))</f>
        <v>275.30778396217227</v>
      </c>
      <c r="EM236" s="25">
        <f>13.3*Q236*K236^0.5*M236^0.5/X236/N236^2*(0.7+S236/5/K236)</f>
        <v>131.2542792227558</v>
      </c>
      <c r="EO236" s="4">
        <f>EG236*EJ236</f>
        <v>0.98631284916201112</v>
      </c>
      <c r="EP236" s="4">
        <f>IF(N236&lt;22.2,1.1*5*(M236/30)^0.5,IF(N236&gt;=31.8,0.9*5*(M236/30)^0.5,1*5*(M236/30)^0.5))/EG236/EJ236</f>
        <v>5.0117740230039942</v>
      </c>
      <c r="ES236" s="4">
        <f>ET236*N236</f>
        <v>63.330123684671278</v>
      </c>
      <c r="ET236" s="4">
        <f>AF236^0.5</f>
        <v>1.7689978682869074</v>
      </c>
      <c r="EU236" s="4">
        <f>MIN(EC236)/(4700*M236^0.5)/AE236*ES236</f>
        <v>5.5836582361930037E-2</v>
      </c>
      <c r="EX236" s="4">
        <f>EU236</f>
        <v>5.5836582361930037E-2</v>
      </c>
      <c r="EY236" s="4">
        <f>MIN(0.999, EX236/(0.3*(M236/30)^0.5))</f>
        <v>0.16943530765274203</v>
      </c>
      <c r="EZ236" s="4">
        <f>EP236/1*EY236^0.4</f>
        <v>2.4637296323383131</v>
      </c>
      <c r="FA236" s="4">
        <f>EP236/1.4*(1-EY236^1.4)/(1-EY236)</f>
        <v>3.9511252981661542</v>
      </c>
      <c r="FB236" s="4">
        <f>MAX(0,DQ236*FB$9-ES236)</f>
        <v>193.91987631532874</v>
      </c>
      <c r="FC236" s="4">
        <f>MAX(0,DQ236-ES236-FB236)</f>
        <v>85.75</v>
      </c>
      <c r="FD236" s="4">
        <f>FC236/(1-0.3*(M236/30)^0.5)/200000/N236</f>
        <v>1.7862883419588262E-5</v>
      </c>
      <c r="FE236" s="4">
        <f>MAX(0.5*EP236, (1-2*FD236*(ES236*EZ236+FB236*FA236))/(1/EP236+FD236*FC236))</f>
        <v>4.8097261781046727</v>
      </c>
      <c r="FF236" s="4">
        <f>MIN(4/N236*(1*EZ236*ES236+FA236*FB236+FC236*FE236)+EC236,MAX(J236,AJ236))</f>
        <v>202.21394533607506</v>
      </c>
      <c r="FO236" s="23"/>
      <c r="FP236" s="23"/>
      <c r="FQ236" s="23"/>
      <c r="FR236" s="23"/>
      <c r="FS236" s="23"/>
      <c r="FT236" s="23"/>
      <c r="FU236" s="23"/>
      <c r="FV236" s="23"/>
      <c r="GF236" s="4">
        <f>IF(S236&gt;=2.5*25.4,1,1.25)</f>
        <v>1</v>
      </c>
      <c r="GG236" s="4">
        <f>IF(AO236&gt;1, 0.05*(18-MIN(8,(W236+N236)/N236))*(1-48000/MAX(60000,(J236*145))*(N236/25.4)^0.75*GH236), 1/12*(14-MIN(8,(W236+N236)/N236)))</f>
        <v>0.73631284916201123</v>
      </c>
      <c r="GH236" s="4">
        <f>MIN(0.3, AM236^2*PI()/4*2*AP236/(N236^2*PI()/4*X236))</f>
        <v>0</v>
      </c>
      <c r="GI236" s="4">
        <f>(K236/25.4)/(N236/25.4)^1.5/0.0024*(M236*145)^0.25/GF236/GG236/145</f>
        <v>268.07971822990146</v>
      </c>
    </row>
    <row r="237" spans="1:191" ht="12" hidden="1" customHeight="1" x14ac:dyDescent="0.3">
      <c r="A237" s="25">
        <v>212</v>
      </c>
      <c r="B237" s="24" t="s">
        <v>182</v>
      </c>
      <c r="C237" s="4">
        <v>1996</v>
      </c>
      <c r="D237" s="24" t="s">
        <v>309</v>
      </c>
      <c r="E237" s="24"/>
      <c r="F237" s="24"/>
      <c r="G237" s="24"/>
      <c r="H237" s="4" t="s">
        <v>346</v>
      </c>
      <c r="J237" s="7">
        <v>556</v>
      </c>
      <c r="K237" s="7">
        <f>381-U237-25</f>
        <v>338</v>
      </c>
      <c r="L237" s="7">
        <f>K237</f>
        <v>338</v>
      </c>
      <c r="M237" s="7">
        <v>36.200000000000003</v>
      </c>
      <c r="N237" s="7">
        <v>35.799999999999997</v>
      </c>
      <c r="O237" s="7">
        <f>K237/N237</f>
        <v>9.4413407821229054</v>
      </c>
      <c r="P237" s="7">
        <f>L237/N237</f>
        <v>9.4413407821229054</v>
      </c>
      <c r="Q237" s="7">
        <v>305</v>
      </c>
      <c r="R237" s="7"/>
      <c r="S237" s="7">
        <v>76</v>
      </c>
      <c r="T237" s="7"/>
      <c r="U237" s="7">
        <v>18</v>
      </c>
      <c r="V237" s="7"/>
      <c r="W237" s="7">
        <f>Q237-2*N237-2*S237</f>
        <v>81.400000000000006</v>
      </c>
      <c r="X237" s="7">
        <v>2</v>
      </c>
      <c r="Y237" s="7"/>
      <c r="Z237" s="7"/>
      <c r="AA237" s="7">
        <f>775-(343+152)</f>
        <v>280</v>
      </c>
      <c r="AB237" s="7">
        <f>MIN(S237/N237+0.5, W237/2/N237+0.5)</f>
        <v>1.6368715083798884</v>
      </c>
      <c r="AC237" s="7">
        <f>S237/N237+0.5</f>
        <v>2.6229050279329611</v>
      </c>
      <c r="AD237" s="7">
        <f>2970/(N237^2*PI()/4)-1</f>
        <v>1.9505332604034158</v>
      </c>
      <c r="AE237" s="7">
        <f>2970/(N237^2*PI()/4)-1</f>
        <v>1.9505332604034158</v>
      </c>
      <c r="AF237" s="7">
        <f>AE237+1</f>
        <v>2.9505332604034158</v>
      </c>
      <c r="AG237" s="7">
        <f>N237*AF237^0.5</f>
        <v>61.494076526633307</v>
      </c>
      <c r="AH237" s="7">
        <f>J237</f>
        <v>556</v>
      </c>
      <c r="AI237" s="7">
        <v>25</v>
      </c>
      <c r="AJ237" s="7"/>
      <c r="AK237" s="32" t="s">
        <v>183</v>
      </c>
      <c r="AL237" s="4">
        <f>CY237</f>
        <v>0</v>
      </c>
      <c r="AM237" s="7">
        <v>0</v>
      </c>
      <c r="AN237" s="7">
        <v>0</v>
      </c>
      <c r="AO237" s="7">
        <f>L237</f>
        <v>338</v>
      </c>
      <c r="AP237" s="7"/>
      <c r="AQ237" s="7"/>
      <c r="AR237" s="7">
        <f>3*AS237/(W237+N237)</f>
        <v>8.6518771331058026</v>
      </c>
      <c r="AS237" s="4">
        <f>K237</f>
        <v>338</v>
      </c>
      <c r="AT237" s="4">
        <f>IF(K237*3&gt;W237+N237, Q237, (S237+N237/2)*2+1.5*K237*(2*X237-2))*(3*K237)/(9*K237^2)</f>
        <v>0.30078895463510846</v>
      </c>
      <c r="AU237" s="4">
        <f>MIN(10*M237^0.5*K237^1.5,100*3.9*M237^0.5*K237^(5/3))/(PI()/4*N237^2)/X237</f>
        <v>185.71347027015665</v>
      </c>
      <c r="AV237" s="4">
        <f>MIN(0.7+0.3*(MIN(S237,AA237)+0.5*N237)/1.5/K237,1)</f>
        <v>0.75556213017751472</v>
      </c>
      <c r="AW237" s="4">
        <v>1.25</v>
      </c>
      <c r="AX237" s="4">
        <f>AX236</f>
        <v>1</v>
      </c>
      <c r="AY237" s="38">
        <f>AT237*AV237*AW237*AX237*AU237</f>
        <v>52.757655184903001</v>
      </c>
      <c r="AZ237" s="38">
        <f>AY237</f>
        <v>52.757655184903001</v>
      </c>
      <c r="BA237" s="38">
        <f>IF(M237&lt;50, 0.3*M237^(2/3), 2.12*LN(1+0.1*(M237+8)))</f>
        <v>3.282920015195979</v>
      </c>
      <c r="BB237" s="38">
        <f>AX237* (M237^0.5/AS237^0.5)/(PI()/4*N237^2)/X237/0.72 *(0.7+(MIN(S237,AA237)+0.5*N237)/5/K237) *(3*Q237*K237)</f>
        <v>52.757655184903015</v>
      </c>
      <c r="BC237" s="38">
        <f>AY237/BB237</f>
        <v>0.99999999999999978</v>
      </c>
      <c r="BD237" s="38">
        <f>BH237/BB237</f>
        <v>3.89314522890237</v>
      </c>
      <c r="BE237" s="4">
        <f>IF(BD237&lt;1,1,0)</f>
        <v>0</v>
      </c>
      <c r="BF237" s="4">
        <f>L237/N237*M237^0.5/0.19</f>
        <v>298.97464435719303</v>
      </c>
      <c r="BG237" s="4">
        <f>MIN(0.6+0.4*(AC237/AB237),2)</f>
        <v>1.2409556313993173</v>
      </c>
      <c r="BH237" s="38">
        <f>2*M237*AB237*AD237^0.5*BG237*0.7/0.7</f>
        <v>205.39321357118155</v>
      </c>
      <c r="BI237" s="4">
        <f>MAX(1-0.7*AE237/5,0.3)</f>
        <v>0.72692534354352178</v>
      </c>
      <c r="BJ237" s="4">
        <f>BI237*J237*L237/(J237*N237/2.75/M237^0.5)</f>
        <v>113.55609856643088</v>
      </c>
      <c r="BK237" s="4">
        <f>BH237+BJ237</f>
        <v>318.94931213761242</v>
      </c>
      <c r="BM237" s="4">
        <f>MIN(1.5, 0.75+0.25*MIN(3,MAX(1,S237/N237))+0.4*MIN(1,(40*2*PI()*AM237^2/4/AO237/X237)/N237))</f>
        <v>1.2807262569832403</v>
      </c>
      <c r="BN237" s="4">
        <f>(3*P237+30)*BM237*M237^0.5</f>
        <v>449.42586845850803</v>
      </c>
      <c r="BP237" s="4">
        <f>3.4/PI()^0.5*M237*AB237*AE237^0.5*BG237</f>
        <v>196.99720976804247</v>
      </c>
      <c r="BQ237" s="4">
        <f>8/3*AH237*AI237^2/(AG237-N237-22)/N237*(AG237^2-N237^2)/(AG237^2-(N237+22)^2)</f>
        <v>39749.280546165857</v>
      </c>
      <c r="BR237" s="4">
        <f>BQ237/BP237</f>
        <v>201.77585557160575</v>
      </c>
      <c r="BZ237" s="4">
        <f>IF(W237=0,S237,MIN(W237/2,S237))</f>
        <v>40.700000000000003</v>
      </c>
      <c r="CD237" s="9"/>
      <c r="CF237" s="9"/>
      <c r="CG237" s="9"/>
      <c r="CH237" s="9">
        <f>IF(W237=0,MIN(S237,U237),MIN(W237/2,S237,U237))</f>
        <v>18</v>
      </c>
      <c r="CI237" s="9">
        <f>MAX(W237/2,S237)</f>
        <v>76</v>
      </c>
      <c r="CJ237" s="9">
        <f>(CH237/N237)^0.5*(CI237/CH237)^0.15</f>
        <v>0.88008760053944035</v>
      </c>
      <c r="CK237" s="70">
        <v>0</v>
      </c>
      <c r="CL237" s="9">
        <f>MIN(PI()*AM237^2/4*AN237*2/X237/N237/MAX(0.01,AO237),0.05)</f>
        <v>0</v>
      </c>
      <c r="CM237" s="9">
        <f>MAX(0,CK237*(CL237-0.5/50))</f>
        <v>0</v>
      </c>
      <c r="CN237" s="9">
        <f>MIN(1,(25/N237)^0.3)</f>
        <v>0.89787751228078194</v>
      </c>
      <c r="CO237" s="9">
        <f>IF(J237&gt;=800,0.68,IF(J237&gt;=700,0.75-(J237-700)*0.07/100,IF(J237&gt;=600,0.85-(J237-600)*0.1/100,IF(J237&gt;=500,1-(J237-500)*0.15/100,1.2-(J237-400)*0.2/100))))</f>
        <v>0.91600000000000004</v>
      </c>
      <c r="CP237" s="9">
        <f>1.75*CN237*CO237*(M237/25)^0.5</f>
        <v>1.7319481964943424</v>
      </c>
      <c r="CQ237" s="9">
        <f>MIN((CJ237+CM237)*CP237,2.5*CP237,M237^0.5)</f>
        <v>1.5242661325113169</v>
      </c>
      <c r="CR237" s="9">
        <v>1</v>
      </c>
      <c r="CS237" s="9">
        <f>4*CQ237*P237+60*CQ237</f>
        <v>149.02043194943042</v>
      </c>
      <c r="DP237" s="4">
        <f>AN237</f>
        <v>0</v>
      </c>
      <c r="DQ237" s="4">
        <f>L237</f>
        <v>338</v>
      </c>
      <c r="DT237" s="4">
        <f>K237/4/(1-0.3*(M237/30)^0.5)/200000/N237</f>
        <v>1.7602491533005343E-5</v>
      </c>
      <c r="DU237" s="4">
        <f>EP237</f>
        <v>5.0117740230039942</v>
      </c>
      <c r="DV237" s="4">
        <f>EC237*AG237/257/M237/AD237</f>
        <v>0.17878196853611292</v>
      </c>
      <c r="DW237" s="4">
        <f>DU237*DV237^0.4</f>
        <v>2.517218800483572</v>
      </c>
      <c r="DX237" s="4">
        <f>MIN(DU237, DU237/1.4*(1-DV237^1.4)/(1-DV237))</f>
        <v>3.9677480069154631</v>
      </c>
      <c r="DY237" s="4">
        <f>MAX(DU237/2, (4-DT237*(8*AG237*(DW237-DX237)+6*K237*DX237))/(4+DT237*K237*DU237)*DU237)</f>
        <v>4.814157756542242</v>
      </c>
      <c r="DZ237" s="38">
        <f>MIN(1/N237*(4*AG237*(DW237-DX237)+(3*DX237+DY237)*K237)+EC237 -FJ237,MAX(J237,AJ237))</f>
        <v>200.6259787778024</v>
      </c>
      <c r="EA237" s="4">
        <f>DZ237/FF237</f>
        <v>1.0001122643367286</v>
      </c>
      <c r="EB237" s="4">
        <f>AG237/N237</f>
        <v>1.7177116348221595</v>
      </c>
      <c r="EC237" s="4">
        <f>MIN(EB$10*BB237)</f>
        <v>52.757655184903015</v>
      </c>
      <c r="EG237" s="4">
        <f>IF(U237&gt;1*N237,0.85,1)</f>
        <v>1</v>
      </c>
      <c r="EH237" s="4">
        <f>MIN(1,MAX(0.7,(1-0.1*(BZ237-1*N237)/N237)))</f>
        <v>0.98631284916201112</v>
      </c>
      <c r="EI237" s="4">
        <f>MIN(1,MAX(0.7,1-0.3*(PI()*AM237^2/4*AQ237*2-0.25*PI()/4*N237^2)/(PI()/4*N237^2)))</f>
        <v>1</v>
      </c>
      <c r="EJ237" s="4">
        <f>IF(EH237*EI237&lt;0.7,0.7,EH237*EI237)</f>
        <v>0.98631284916201112</v>
      </c>
      <c r="EL237" s="4">
        <f>MIN(DU237/N237*3*K237+EM237-FJ237,MAX(J237,AJ237))</f>
        <v>272.36245756768136</v>
      </c>
      <c r="EM237" s="25">
        <f>13.3*Q237*K237^0.5*M237^0.5/X237/N237^2*(0.7+S237/5/K237)</f>
        <v>130.40885814516599</v>
      </c>
      <c r="EO237" s="4">
        <f>EG237*EJ237</f>
        <v>0.98631284916201112</v>
      </c>
      <c r="EP237" s="4">
        <f>IF(N237&lt;22.2,1.1*5*(M237/30)^0.5,IF(N237&gt;=31.8,0.9*5*(M237/30)^0.5,1*5*(M237/30)^0.5))/EG237/EJ237</f>
        <v>5.0117740230039942</v>
      </c>
      <c r="ES237" s="4">
        <f>ET237*N237</f>
        <v>61.494076526633307</v>
      </c>
      <c r="ET237" s="4">
        <f>AF237^0.5</f>
        <v>1.7177116348221595</v>
      </c>
      <c r="EU237" s="4">
        <f>MIN(EC237)/(4700*M237^0.5)/AE237*ES237</f>
        <v>5.8818408001049365E-2</v>
      </c>
      <c r="EX237" s="4">
        <f>EU237</f>
        <v>5.8818408001049365E-2</v>
      </c>
      <c r="EY237" s="4">
        <f>MIN(0.999, EX237/(0.3*(M237/30)^0.5))</f>
        <v>0.17848361475105554</v>
      </c>
      <c r="EZ237" s="4">
        <f>EP237/1*EY237^0.4</f>
        <v>2.5155376508850793</v>
      </c>
      <c r="FA237" s="4">
        <f>EP237/1.4*(1-EY237^1.4)/(1-EY237)</f>
        <v>3.9672209065025723</v>
      </c>
      <c r="FB237" s="4">
        <f>MAX(0,DQ237*FB$9-ES237)</f>
        <v>192.00592347336669</v>
      </c>
      <c r="FC237" s="4">
        <f>MAX(0,DQ237-ES237-FB237)</f>
        <v>84.5</v>
      </c>
      <c r="FD237" s="4">
        <f>FC237/(1-0.3*(M237/30)^0.5)/200000/N237</f>
        <v>1.7602491533005343E-5</v>
      </c>
      <c r="FE237" s="4">
        <f>MAX(0.5*EP237, (1-2*FD237*(ES237*EZ237+FB237*FA237))/(1/EP237+FD237*FC237))</f>
        <v>4.8141935866810037</v>
      </c>
      <c r="FF237" s="4">
        <f>MIN(4/N237*(1*EZ237*ES237+FA237*FB237+FC237*FE237)+EC237,MAX(J237,AJ237))</f>
        <v>200.60345816362621</v>
      </c>
      <c r="FO237" s="23"/>
      <c r="FP237" s="23"/>
      <c r="FQ237" s="23"/>
      <c r="FR237" s="23"/>
      <c r="FS237" s="23"/>
      <c r="FT237" s="23"/>
      <c r="FU237" s="23"/>
      <c r="FV237" s="23"/>
      <c r="GF237" s="4">
        <f>IF(S237&gt;=2.5*25.4,1,1.25)</f>
        <v>1</v>
      </c>
      <c r="GG237" s="4">
        <f>IF(AO237&gt;1, 0.05*(18-MIN(8,(W237+N237)/N237))*(1-48000/MAX(60000,(J237*145))*(N237/25.4)^0.75*GH237), 1/12*(14-MIN(8,(W237+N237)/N237)))</f>
        <v>0.73631284916201123</v>
      </c>
      <c r="GH237" s="4">
        <f>MIN(0.3, AM237^2*PI()/4*2*AP237/(N237^2*PI()/4*X237))</f>
        <v>0</v>
      </c>
      <c r="GI237" s="4">
        <f>(K237/25.4)/(N237/25.4)^1.5/0.0024*(M237*145)^0.25/GF237/GG237/145</f>
        <v>264.17185061722068</v>
      </c>
    </row>
    <row r="238" spans="1:191" ht="12" customHeight="1" x14ac:dyDescent="0.3">
      <c r="A238" s="25">
        <v>400</v>
      </c>
      <c r="B238" s="4" t="s">
        <v>605</v>
      </c>
      <c r="C238" s="4">
        <v>2016</v>
      </c>
      <c r="D238" s="4" t="s">
        <v>309</v>
      </c>
      <c r="E238" s="14" t="s">
        <v>677</v>
      </c>
      <c r="F238" s="14"/>
      <c r="G238" s="14">
        <v>12</v>
      </c>
      <c r="H238" s="7" t="s">
        <v>569</v>
      </c>
      <c r="I238" s="5">
        <f>K238/N238</f>
        <v>10.418439716312058</v>
      </c>
      <c r="J238" s="90">
        <f>135/0.145</f>
        <v>931.0344827586207</v>
      </c>
      <c r="K238" s="93">
        <f>14.69*25.4</f>
        <v>373.12599999999998</v>
      </c>
      <c r="L238" s="4">
        <f>K238</f>
        <v>373.12599999999998</v>
      </c>
      <c r="M238" s="78">
        <f>8660/145</f>
        <v>59.724137931034484</v>
      </c>
      <c r="N238" s="38">
        <f>1.41*25.4</f>
        <v>35.813999999999993</v>
      </c>
      <c r="O238" s="7">
        <f>K238/N238</f>
        <v>10.418439716312058</v>
      </c>
      <c r="P238" s="7">
        <f>L238/N238</f>
        <v>10.418439716312058</v>
      </c>
      <c r="Q238" s="38">
        <f>21.7*25.4</f>
        <v>551.17999999999995</v>
      </c>
      <c r="R238" s="32">
        <f>S238/N238</f>
        <v>1.7375886524822699</v>
      </c>
      <c r="S238" s="38">
        <f>2.45*25.4</f>
        <v>62.230000000000004</v>
      </c>
      <c r="T238" s="32">
        <f>U238/N238</f>
        <v>2.4113475177304968</v>
      </c>
      <c r="U238" s="39">
        <f>3.4*25.4</f>
        <v>86.36</v>
      </c>
      <c r="V238" s="32">
        <f>W238/N238</f>
        <v>9.9148936170212778</v>
      </c>
      <c r="W238" s="7">
        <f>(Q238-X238*N238-2*S238)/(X238-1)</f>
        <v>355.09199999999998</v>
      </c>
      <c r="X238" s="38">
        <v>2</v>
      </c>
      <c r="Y238" s="7">
        <f>AN238</f>
        <v>12</v>
      </c>
      <c r="Z238" s="32">
        <f>AA238/N238</f>
        <v>14.18439716312057</v>
      </c>
      <c r="AA238" s="4">
        <f>20*25.4</f>
        <v>508</v>
      </c>
      <c r="AB238" s="7">
        <f>MIN(S238/N238+0.5, W238/2/N238+0.5)</f>
        <v>2.2375886524822697</v>
      </c>
      <c r="AC238" s="7">
        <f>S238/N238+0.5</f>
        <v>2.2375886524822697</v>
      </c>
      <c r="AD238" s="38">
        <v>3.8</v>
      </c>
      <c r="AE238" s="4">
        <f>AD238</f>
        <v>3.8</v>
      </c>
      <c r="AF238" s="4">
        <f>AE238+1</f>
        <v>4.8</v>
      </c>
      <c r="AG238" s="7">
        <f>N238*AF238^0.5</f>
        <v>78.464542697960056</v>
      </c>
      <c r="AJ238" s="38">
        <f>AK238/0.145</f>
        <v>497.93103448275866</v>
      </c>
      <c r="AK238" s="4">
        <v>72.2</v>
      </c>
      <c r="AL238" s="4">
        <f>CY238</f>
        <v>1.2411149415901028</v>
      </c>
      <c r="AM238" s="38">
        <f>0.5*25.4</f>
        <v>12.7</v>
      </c>
      <c r="AN238" s="38">
        <v>12</v>
      </c>
      <c r="AO238" s="39">
        <f>4*25.4</f>
        <v>101.6</v>
      </c>
      <c r="AP238" s="39">
        <v>3</v>
      </c>
      <c r="AQ238" s="39">
        <f>AP238-1</f>
        <v>2</v>
      </c>
      <c r="AR238" s="7"/>
      <c r="AS238" s="4">
        <f>K238</f>
        <v>373.12599999999998</v>
      </c>
      <c r="AT238" s="4">
        <f>IF(K238*3&gt;W238+N238, Q238, (S238+N238/2)*2+1.5*K238*(2*X238-2))*(3*K238)/(9*K238^2)</f>
        <v>0.49239845700022689</v>
      </c>
      <c r="AU238" s="4">
        <f>MIN(10*M238^0.5*K238^1.5,100*3.9*M238^0.5*K238^(5/3))/(PI()/4*N238^2)/X238</f>
        <v>276.46023823193622</v>
      </c>
      <c r="AV238" s="4">
        <f>MIN(0.7+0.3*(MIN(S238,AA238)+0.5*N238)/1.5/K238,1)</f>
        <v>0.74295439074200131</v>
      </c>
      <c r="AW238" s="4">
        <v>1.25</v>
      </c>
      <c r="AX238" s="4">
        <f>AX237</f>
        <v>1</v>
      </c>
      <c r="AY238" s="38">
        <f>AT238*AV238*AW238*AX238*AU238</f>
        <v>126.42167144775155</v>
      </c>
      <c r="AZ238" s="38">
        <f>AY238</f>
        <v>126.42167144775155</v>
      </c>
      <c r="BA238" s="38">
        <f>IF(M238&lt;50, 0.3*M238^(2/3), 2.12*LN(1+0.1*(M238+8)))</f>
        <v>4.3472312358327088</v>
      </c>
      <c r="BB238" s="38">
        <f>AX238* (M238^0.5/AS238^0.5)/(PI()/4*N238^2)/X238/0.72 *(0.7+(MIN(S238,AA238)+0.5*N238)/5/K238) *(3*Q238*K238)</f>
        <v>126.42167144775154</v>
      </c>
      <c r="BC238" s="38">
        <f>AY238/BB238</f>
        <v>1.0000000000000002</v>
      </c>
      <c r="BD238" s="38">
        <f>BH238/BB238</f>
        <v>4.1212637275666566</v>
      </c>
      <c r="BE238" s="4">
        <f>IF(BD238&lt;1,1,0)</f>
        <v>0</v>
      </c>
      <c r="BF238" s="4">
        <f>L238/N238*M238^0.5/0.19</f>
        <v>423.76396850938846</v>
      </c>
      <c r="BG238" s="4">
        <f>MIN(0.6+0.4*(AC238/AB238),2)</f>
        <v>1</v>
      </c>
      <c r="BH238" s="38">
        <f>2*M238*AB238*AD238^0.5*BG238*0.7/0.7</f>
        <v>521.01704891596762</v>
      </c>
      <c r="BI238" s="4">
        <f>MAX(1-0.7*AE238/5,0.3)</f>
        <v>0.46800000000000008</v>
      </c>
      <c r="BJ238" s="4">
        <f>BI238*J238*L238/(J238*N238/2.75/M238^0.5)</f>
        <v>103.6230032196008</v>
      </c>
      <c r="BK238" s="4">
        <f>BH238+BJ238</f>
        <v>624.64005213556845</v>
      </c>
      <c r="BM238" s="4">
        <f>MIN(1.5, 0.75+0.25*MIN(3,MAX(1,S238/N238))+0.4*MIN(1,(40*2*PI()*AM238^2/4/AO238/X238)/N238))</f>
        <v>1.5</v>
      </c>
      <c r="BN238" s="4">
        <f>(3*P238+30)*BM238*M238^0.5</f>
        <v>710.08446416912363</v>
      </c>
      <c r="BP238" s="4">
        <f>3.4/PI()^0.5*M238*AB238*AE238^0.5*BG238</f>
        <v>499.71906614360728</v>
      </c>
      <c r="BQ238" s="4">
        <f>8/3*AH238*AI238^2/(AG238-N238-22)/N238*(AG238^2-N238^2)/(AG238^2-(N238+22)^2)</f>
        <v>0</v>
      </c>
      <c r="BR238" s="4">
        <f>BQ238/BP238</f>
        <v>0</v>
      </c>
      <c r="BZ238" s="4">
        <f>IF(W238=0,S238,MIN(W238/2,S238))</f>
        <v>62.230000000000004</v>
      </c>
      <c r="CD238" s="9"/>
      <c r="CF238" s="9"/>
      <c r="CG238" s="9"/>
      <c r="CH238" s="9">
        <f>IF(W238=0,MIN(S238,U238),MIN(W238/2,S238,U238))</f>
        <v>62.230000000000004</v>
      </c>
      <c r="CI238" s="9">
        <f>MAX(W238/2,S238)</f>
        <v>177.54599999999999</v>
      </c>
      <c r="CJ238" s="9">
        <f>(CH238/N238)^0.5*(CI238/CH238)^0.15</f>
        <v>1.5426597542601972</v>
      </c>
      <c r="CK238" s="70">
        <f>IF(AO238&gt;1,20,0)</f>
        <v>20</v>
      </c>
      <c r="CL238" s="9">
        <f>MIN(PI()*AM238^2/4*AN238*2/X238/N238/MAX(0.01,AO238),0.05)</f>
        <v>0.05</v>
      </c>
      <c r="CM238" s="9">
        <f>MAX(0,CK238*(CL238-0.5/50))</f>
        <v>0.8</v>
      </c>
      <c r="CN238" s="9">
        <f>MIN(1,(25/N238)^0.3)</f>
        <v>0.89777220146327208</v>
      </c>
      <c r="CO238" s="9">
        <f>IF(J238&gt;=800,0.68,IF(J238&gt;=700,0.75-(J238-700)*0.07/100,IF(J238&gt;=600,0.85-(J238-600)*0.1/100,IF(J238&gt;=500,1-(J238-500)*0.15/100,1.2-(J238-400)*0.2/100))))</f>
        <v>0.68</v>
      </c>
      <c r="CP238" s="9">
        <f>1.75*CN238*CO238*(M238/25)^0.5</f>
        <v>1.6512698668680077</v>
      </c>
      <c r="CQ238" s="9">
        <f>MIN((CJ238+CM238)*CP238,2.5*CP238,M238^0.5)</f>
        <v>3.8683634605342756</v>
      </c>
      <c r="CR238" s="40">
        <v>1</v>
      </c>
      <c r="CS238" s="9">
        <f>4*CQ238*P238+60*CQ238</f>
        <v>393.31105368949909</v>
      </c>
      <c r="CU238" s="4">
        <f>AJ238/BF238</f>
        <v>1.175019755063784</v>
      </c>
      <c r="CV238" s="4">
        <f>AJ238/BK238</f>
        <v>0.79714874635462929</v>
      </c>
      <c r="CW238" s="4">
        <f>AJ238/BN238</f>
        <v>0.70122789556506115</v>
      </c>
      <c r="CX238" s="4">
        <f>AJ238/CS238</f>
        <v>1.2659980689885524</v>
      </c>
      <c r="CY238" s="4">
        <f>AJ238/DZ238</f>
        <v>1.2411149415901028</v>
      </c>
      <c r="CZ238" s="4">
        <f>AJ238/EL238</f>
        <v>0.85028063832166845</v>
      </c>
      <c r="DA238" s="4">
        <f>AJ238/GI238</f>
        <v>1.102942521630832</v>
      </c>
      <c r="DB238" s="4">
        <f>AN238</f>
        <v>12</v>
      </c>
      <c r="DI238" s="4">
        <f>CU238</f>
        <v>1.175019755063784</v>
      </c>
      <c r="DJ238" s="4">
        <f>CV238</f>
        <v>0.79714874635462929</v>
      </c>
      <c r="DK238" s="4">
        <f>CX238</f>
        <v>1.2659980689885524</v>
      </c>
      <c r="DL238" s="4">
        <f>DA238</f>
        <v>1.102942521630832</v>
      </c>
      <c r="DM238" s="4">
        <f>CY238</f>
        <v>1.2411149415901028</v>
      </c>
      <c r="DN238" s="4">
        <f>CZ238</f>
        <v>0.85028063832166845</v>
      </c>
      <c r="DQ238" s="4">
        <f>L238</f>
        <v>373.12599999999998</v>
      </c>
      <c r="DT238" s="4">
        <f>K238/4/(1-0.3*(M238/30)^0.5)/200000/N238</f>
        <v>2.2581533218862147E-5</v>
      </c>
      <c r="DU238" s="4">
        <f>EP238</f>
        <v>8.7269775139135497</v>
      </c>
      <c r="DV238" s="4">
        <f>EC238*AG238/257/M238/AD238</f>
        <v>0.17007025628371786</v>
      </c>
      <c r="DW238" s="4">
        <f>DU238*DV238^0.4</f>
        <v>4.2965038315181001</v>
      </c>
      <c r="DX238" s="4">
        <f>MIN(DU238, DU238/1.4*(1-DV238^1.4)/(1-DV238))</f>
        <v>6.8820541452076709</v>
      </c>
      <c r="DY238" s="4">
        <f>MAX(DU238/2, (4-DT238*(8*AG238*(DW238-DX238)+6*K238*DX238))/(4+DT238*K238*DU238)*DU238)</f>
        <v>7.902594936683152</v>
      </c>
      <c r="DZ238" s="38">
        <f>MIN(1/N238*(4*AG238*(DW238-DX238)+(3*DX238+DY238)*K238)+EC238 -FJ238,MAX(J238,AJ238))</f>
        <v>401.19655142078534</v>
      </c>
      <c r="EA238" s="4">
        <f>DZ238/FF238</f>
        <v>1.0001082181982099</v>
      </c>
      <c r="EB238" s="4">
        <f>AG238/N238</f>
        <v>2.1908902300206643</v>
      </c>
      <c r="EC238" s="4">
        <f>MIN(EB$10*BB238)</f>
        <v>126.42167144775154</v>
      </c>
      <c r="EG238" s="4">
        <f>IF(U238&gt;1*N238,0.85,1)</f>
        <v>0.85</v>
      </c>
      <c r="EH238" s="4">
        <f>MIN(1,MAX(0.7,(1-0.1*(BZ238-1*N238)/N238)))</f>
        <v>0.92624113475177294</v>
      </c>
      <c r="EI238" s="4">
        <f>MIN(1,MAX(0.7,1-0.3*(PI()*AM238^2/4*AQ238*2-0.25*PI()/4*N238^2)/(PI()/4*N238^2)))</f>
        <v>0.92410215783914285</v>
      </c>
      <c r="EJ238" s="4">
        <f>IF(EH238*EI238&lt;0.7,0.7,EH238*EI238)</f>
        <v>0.85594143130348965</v>
      </c>
      <c r="EL238" s="4">
        <f>MIN(DU238/N238*3*K238+EM238-FJ238,MAX(J238,AJ238))</f>
        <v>585.60787114428808</v>
      </c>
      <c r="EM238" s="25">
        <f>13.3*Q238*K238^0.5*M238^0.5/X238/N238^2*(0.7+S238/5/K238)</f>
        <v>312.84340374133052</v>
      </c>
      <c r="EO238" s="4">
        <f>EG238*EJ238</f>
        <v>0.72755021660796615</v>
      </c>
      <c r="EP238" s="4">
        <f>IF(N238&lt;22.2,1.1*5*(M238/30)^0.5,IF(N238&gt;=31.8,0.9*5*(M238/30)^0.5,1*5*(M238/30)^0.5))/EG238/EJ238</f>
        <v>8.7269775139135497</v>
      </c>
      <c r="ES238" s="4">
        <f>ET238*N238</f>
        <v>78.464542697960056</v>
      </c>
      <c r="ET238" s="4">
        <f>AF238^0.5</f>
        <v>2.1908902300206643</v>
      </c>
      <c r="EU238" s="4">
        <f>MIN(EC238)/(4700*M238^0.5)/AE238*ES238</f>
        <v>7.1868499313911385E-2</v>
      </c>
      <c r="EX238" s="4">
        <f>EU238</f>
        <v>7.1868499313911385E-2</v>
      </c>
      <c r="EY238" s="4">
        <f>MIN(0.999, EX238/(0.3*(M238/30)^0.5))</f>
        <v>0.16978644072276727</v>
      </c>
      <c r="EZ238" s="4">
        <f>EP238/1*EY238^0.4</f>
        <v>4.2936343687245238</v>
      </c>
      <c r="FA238" s="4">
        <f>EP238/1.4*(1-EY238^1.4)/(1-EY238)</f>
        <v>6.8811697624659933</v>
      </c>
      <c r="FB238" s="4">
        <f>MAX(0,DQ238*FB$9-ES238)</f>
        <v>201.37995730203994</v>
      </c>
      <c r="FC238" s="4">
        <f>MAX(0,DQ238-ES238-FB238)</f>
        <v>93.281499999999994</v>
      </c>
      <c r="FD238" s="4">
        <f>FC238/(1-0.3*(M238/30)^0.5)/200000/N238</f>
        <v>2.2581533218862147E-5</v>
      </c>
      <c r="FE238" s="4">
        <f>MAX(0.5*EP238, (1-2*FD238*(ES238*EZ238+FB238*FA238))/(1/EP238+FD238*FC238))</f>
        <v>7.9027510027452923</v>
      </c>
      <c r="FF238" s="4">
        <f>MIN(4/N238*(1*EZ238*ES238+FA238*FB238+FC238*FE238)+EC238,MAX(J238,AJ238))</f>
        <v>401.15313935083856</v>
      </c>
      <c r="FO238" s="23">
        <f>IF(CU238&lt;0.6,0.6,IF(CU238&lt;0.8,0.8,IF(CU238&lt;1,1,IF(CU238&lt;1.2,1.2,IF(CU238&lt;1.4,1.4,IF(CU238&lt;1.6,1.6,IF(CU238&lt;1.8,1.8,IF(CU238&lt;2,2,2.2))))))))</f>
        <v>1.2</v>
      </c>
      <c r="FP238" s="23">
        <f>IF(CV238&lt;0.6,0.6,IF(CV238&lt;0.8,0.8,IF(CV238&lt;1,1,IF(CV238&lt;1.2,1.2,IF(CV238&lt;1.4,1.4,IF(CV238&lt;1.6,1.6,IF(CV238&lt;1.8,1.8,IF(CV238&lt;2,2,2.2))))))))</f>
        <v>0.8</v>
      </c>
      <c r="FQ238" s="23">
        <f>IF(DA238&lt;0.6,0.6,IF(DA238&lt;0.8,0.8,IF(DA238&lt;1,1,IF(DA238&lt;1.2,1.2,IF(DA238&lt;1.4,1.4,IF(DA238&lt;1.6,1.6,IF(DA238&lt;1.8,1.8,IF(DA238&lt;2,2,2.2))))))))</f>
        <v>1.2</v>
      </c>
      <c r="FR238" s="23">
        <f>IF(CX238&lt;0.6,0.6,IF(CX238&lt;0.8,0.8,IF(CX238&lt;1,1,IF(CX238&lt;1.2,1.2,IF(CX238&lt;1.4,1.4,IF(CX238&lt;1.6,1.6,IF(CX238&lt;1.8,1.8,IF(CX238&lt;2,2,2.2))))))))</f>
        <v>1.4</v>
      </c>
      <c r="FS238" s="23">
        <f>IF(CY238&lt;0.6,0.6,IF(CY238&lt;0.8,0.8,IF(CY238&lt;1,1,IF(CY238&lt;1.2,1.2,IF(CY238&lt;1.4,1.4,IF(CY238&lt;1.6,1.6,IF(CY238&lt;1.8,1.8,IF(CY238&lt;2,2,2.2))))))))</f>
        <v>1.4</v>
      </c>
      <c r="FT238" s="23">
        <f>IF(CZ238&lt;0.6,0.6,IF(CZ238&lt;0.8,0.8,IF(CZ238&lt;1,1,IF(CZ238&lt;1.2,1.2,IF(CZ238&lt;1.4,1.4,IF(CZ238&lt;1.6,1.6,IF(CZ238&lt;1.8,1.8,IF(CZ238&lt;2,2,2.2))))))))</f>
        <v>1</v>
      </c>
      <c r="FU238" s="23">
        <f>IF(FS238&lt;1,1,0)</f>
        <v>0</v>
      </c>
      <c r="FV238" s="23"/>
      <c r="GF238" s="4">
        <f>IF(S238&gt;=2.5*25.4,1,1.25)</f>
        <v>1.25</v>
      </c>
      <c r="GG238" s="4">
        <f>IF(AO238&gt;1, 0.05*(18-MIN(8,(W238+N238)/N238))*(1-48000/MAX(60000,(J238*145))*(N238/25.4)^0.75*GH238), 1/12*(14-MIN(8,(W238+N238)/N238)))</f>
        <v>0.43098983553339404</v>
      </c>
      <c r="GH238" s="4">
        <f>MIN(0.3, AM238^2*PI()/4*2*AP238/(N238^2*PI()/4*X238))</f>
        <v>0.3</v>
      </c>
      <c r="GI238" s="4">
        <f>(K238/25.4)/(N238/25.4)^1.5/0.0024*(M238*145)^0.25/GF238/GG238/145</f>
        <v>451.45692066211052</v>
      </c>
    </row>
    <row r="239" spans="1:191" ht="12" customHeight="1" x14ac:dyDescent="0.3">
      <c r="A239" s="25">
        <v>401</v>
      </c>
      <c r="B239" s="4" t="s">
        <v>605</v>
      </c>
      <c r="C239" s="4">
        <v>2016</v>
      </c>
      <c r="D239" s="4" t="s">
        <v>309</v>
      </c>
      <c r="E239" s="14" t="s">
        <v>677</v>
      </c>
      <c r="F239" s="14"/>
      <c r="G239" s="14">
        <v>12</v>
      </c>
      <c r="H239" s="7" t="s">
        <v>570</v>
      </c>
      <c r="I239" s="5">
        <f>K239/N239</f>
        <v>10.375886524822697</v>
      </c>
      <c r="J239" s="90">
        <f>135/0.145</f>
        <v>931.0344827586207</v>
      </c>
      <c r="K239" s="93">
        <f>14.63*25.4</f>
        <v>371.60199999999998</v>
      </c>
      <c r="L239" s="4">
        <f>K239</f>
        <v>371.60199999999998</v>
      </c>
      <c r="M239" s="78">
        <f>8720/145</f>
        <v>60.137931034482762</v>
      </c>
      <c r="N239" s="38">
        <f>1.41*25.4</f>
        <v>35.813999999999993</v>
      </c>
      <c r="O239" s="7">
        <f>K239/N239</f>
        <v>10.375886524822697</v>
      </c>
      <c r="P239" s="7">
        <f>L239/N239</f>
        <v>10.375886524822697</v>
      </c>
      <c r="Q239" s="38">
        <f>22*25.4</f>
        <v>558.79999999999995</v>
      </c>
      <c r="R239" s="32">
        <f>S239/N239</f>
        <v>1.9858156028368796</v>
      </c>
      <c r="S239" s="38">
        <f>2.8*25.4</f>
        <v>71.11999999999999</v>
      </c>
      <c r="T239" s="32">
        <f>U239/N239</f>
        <v>2.3404255319148941</v>
      </c>
      <c r="U239" s="39">
        <f>3.3*25.4</f>
        <v>83.82</v>
      </c>
      <c r="V239" s="32">
        <f>W239/N239</f>
        <v>4.3156028368794326</v>
      </c>
      <c r="W239" s="7">
        <f>(Q239-X239*N239-2*S239)/(X239-1)</f>
        <v>154.55899999999997</v>
      </c>
      <c r="X239" s="38">
        <v>3</v>
      </c>
      <c r="Y239" s="7">
        <f>AN239</f>
        <v>0</v>
      </c>
      <c r="Z239" s="32">
        <f>AA239/N239</f>
        <v>14.18439716312057</v>
      </c>
      <c r="AA239" s="4">
        <f>20*25.4</f>
        <v>508</v>
      </c>
      <c r="AB239" s="7">
        <f>MIN(S239/N239+0.5, W239/2/N239+0.5)</f>
        <v>2.4858156028368796</v>
      </c>
      <c r="AC239" s="7">
        <f>S239/N239+0.5</f>
        <v>2.4858156028368796</v>
      </c>
      <c r="AD239" s="38">
        <v>3.8</v>
      </c>
      <c r="AE239" s="4">
        <f>AD239</f>
        <v>3.8</v>
      </c>
      <c r="AF239" s="4">
        <f>AE239+1</f>
        <v>4.8</v>
      </c>
      <c r="AG239" s="7">
        <f>N239*AF239^0.5</f>
        <v>78.464542697960056</v>
      </c>
      <c r="AJ239" s="38">
        <f>AK239/0.145</f>
        <v>233.79310344827587</v>
      </c>
      <c r="AK239" s="4">
        <v>33.9</v>
      </c>
      <c r="AL239" s="4">
        <f>CY239</f>
        <v>0.69063533625701745</v>
      </c>
      <c r="AM239" s="38">
        <v>0</v>
      </c>
      <c r="AN239" s="38">
        <v>0</v>
      </c>
      <c r="AO239" s="39">
        <f>L239</f>
        <v>371.60199999999998</v>
      </c>
      <c r="AP239" s="39"/>
      <c r="AQ239" s="39"/>
      <c r="AR239" s="7"/>
      <c r="AS239" s="4">
        <f>K239</f>
        <v>371.60199999999998</v>
      </c>
      <c r="AT239" s="4">
        <f>IF(K239*3&gt;W239+N239, Q239, (S239+N239/2)*2+1.5*K239*(2*X239-2))*(3*K239)/(9*K239^2)</f>
        <v>0.50125313283208028</v>
      </c>
      <c r="AU239" s="4">
        <f>MIN(10*M239^0.5*K239^1.5,100*3.9*M239^0.5*K239^(5/3))/(PI()/4*N239^2)/X239</f>
        <v>183.81227524875013</v>
      </c>
      <c r="AV239" s="4">
        <f>MIN(0.7+0.3*(MIN(S239,AA239)+0.5*N239)/1.5/K239,1)</f>
        <v>0.74791524265208476</v>
      </c>
      <c r="AW239" s="4">
        <v>1.25</v>
      </c>
      <c r="AX239" s="4">
        <f>AX238</f>
        <v>1</v>
      </c>
      <c r="AY239" s="38">
        <f>AT239*AV239*AW239*AX239*AU239</f>
        <v>86.137846143546838</v>
      </c>
      <c r="AZ239" s="38">
        <f>AY239</f>
        <v>86.137846143546838</v>
      </c>
      <c r="BA239" s="38">
        <f>IF(M239&lt;50, 0.3*M239^(2/3), 2.12*LN(1+0.1*(M239+8)))</f>
        <v>4.3584878994477556</v>
      </c>
      <c r="BB239" s="38">
        <f>AX239* (M239^0.5/AS239^0.5)/(PI()/4*N239^2)/X239/0.72 *(0.7+(MIN(S239,AA239)+0.5*N239)/5/K239) *(3*Q239*K239)</f>
        <v>86.137846143546724</v>
      </c>
      <c r="BC239" s="38">
        <f>AY239/BB239</f>
        <v>1.0000000000000013</v>
      </c>
      <c r="BD239" s="38">
        <f>BH239/BB239</f>
        <v>6.7662054119174373</v>
      </c>
      <c r="BE239" s="4">
        <f>IF(BD239&lt;1,1,0)</f>
        <v>0</v>
      </c>
      <c r="BF239" s="4">
        <f>L239/N239*M239^0.5/0.19</f>
        <v>423.49262718866663</v>
      </c>
      <c r="BG239" s="4">
        <f>MIN(0.6+0.4*(AC239/AB239),2)</f>
        <v>1</v>
      </c>
      <c r="BH239" s="38">
        <f>2*M239*AB239*AD239^0.5*BG239*0.7/0.7</f>
        <v>582.82636074737741</v>
      </c>
      <c r="BI239" s="4">
        <f>MAX(1-0.7*AE239/5,0.3)</f>
        <v>0.46800000000000008</v>
      </c>
      <c r="BJ239" s="4">
        <f>BI239*J239*L239/(J239*N239/2.75/M239^0.5)</f>
        <v>103.55665212644467</v>
      </c>
      <c r="BK239" s="4">
        <f>BH239+BJ239</f>
        <v>686.38301287382205</v>
      </c>
      <c r="BM239" s="4">
        <f>MIN(1.5, 0.75+0.25*MIN(3,MAX(1,S239/N239))+0.4*MIN(1,(40*2*PI()*AM239^2/4/AO239/X239)/N239))</f>
        <v>1.2464539007092199</v>
      </c>
      <c r="BN239" s="4">
        <f>(3*P239+30)*BM239*M239^0.5</f>
        <v>590.86495267537066</v>
      </c>
      <c r="BP239" s="4">
        <f>3.4/PI()^0.5*M239*AB239*AE239^0.5*BG239</f>
        <v>559.00175497621922</v>
      </c>
      <c r="BQ239" s="4">
        <f>8/3*AH239*AI239^2/(AG239-N239-22)/N239*(AG239^2-N239^2)/(AG239^2-(N239+22)^2)</f>
        <v>0</v>
      </c>
      <c r="BR239" s="4">
        <f>BQ239/BP239</f>
        <v>0</v>
      </c>
      <c r="BZ239" s="4">
        <f>IF(W239=0,S239,MIN(W239/2,S239))</f>
        <v>71.11999999999999</v>
      </c>
      <c r="CD239" s="9"/>
      <c r="CF239" s="9"/>
      <c r="CG239" s="9"/>
      <c r="CH239" s="9">
        <f>IF(W239=0,MIN(S239,U239),MIN(W239/2,S239,U239))</f>
        <v>71.11999999999999</v>
      </c>
      <c r="CI239" s="9">
        <f>MAX(W239/2,S239)</f>
        <v>77.279499999999985</v>
      </c>
      <c r="CJ239" s="9">
        <f>(CH239/N239)^0.5*(CI239/CH239)^0.15</f>
        <v>1.4268566467933428</v>
      </c>
      <c r="CK239" s="70">
        <f>IF(AO239&gt;1,20,0)</f>
        <v>20</v>
      </c>
      <c r="CL239" s="9">
        <f>MIN(PI()*AM239^2/4*AN239*2/X239/N239/MAX(0.01,AO239),0.05)</f>
        <v>0</v>
      </c>
      <c r="CM239" s="9">
        <f>MAX(0,CK239*(CL239-0.5/50))</f>
        <v>0</v>
      </c>
      <c r="CN239" s="9">
        <f>MIN(1,(25/N239)^0.3)</f>
        <v>0.89777220146327208</v>
      </c>
      <c r="CO239" s="9">
        <f>IF(J239&gt;=800,0.68,IF(J239&gt;=700,0.75-(J239-700)*0.07/100,IF(J239&gt;=600,0.85-(J239-600)*0.1/100,IF(J239&gt;=500,1-(J239-500)*0.15/100,1.2-(J239-400)*0.2/100))))</f>
        <v>0.68</v>
      </c>
      <c r="CP239" s="9">
        <f>1.75*CN239*CO239*(M239/25)^0.5</f>
        <v>1.656980327255414</v>
      </c>
      <c r="CQ239" s="9">
        <f>MIN((CJ239+CM239)*CP239,2.5*CP239,M239^0.5)</f>
        <v>2.3642733935501958</v>
      </c>
      <c r="CR239" s="40">
        <v>1</v>
      </c>
      <c r="CS239" s="9">
        <f>4*CQ239*P239+60*CQ239</f>
        <v>239.98213339354899</v>
      </c>
      <c r="CU239" s="4">
        <f>AJ239/BF239</f>
        <v>0.55205944197966095</v>
      </c>
      <c r="CV239" s="4">
        <f>AJ239/BK239</f>
        <v>0.3406160978101801</v>
      </c>
      <c r="CW239" s="4">
        <f>AJ239/BN239</f>
        <v>0.39567942283543261</v>
      </c>
      <c r="CX239" s="4">
        <f>AJ239/CS239</f>
        <v>0.97421045534617501</v>
      </c>
      <c r="CY239" s="4">
        <f>AJ239/DZ239</f>
        <v>0.69063533625701745</v>
      </c>
      <c r="CZ239" s="4">
        <f>AJ239/EL239</f>
        <v>0.49532268932934714</v>
      </c>
      <c r="DA239" s="4">
        <f>AJ239/GI239</f>
        <v>0.61109115495116417</v>
      </c>
      <c r="DB239" s="4">
        <f>AN239</f>
        <v>0</v>
      </c>
      <c r="DC239" s="4">
        <f>CU239</f>
        <v>0.55205944197966095</v>
      </c>
      <c r="DD239" s="4">
        <f>CV239</f>
        <v>0.3406160978101801</v>
      </c>
      <c r="DE239" s="4">
        <f>CX239</f>
        <v>0.97421045534617501</v>
      </c>
      <c r="DF239" s="4">
        <f>DA239</f>
        <v>0.61109115495116417</v>
      </c>
      <c r="DG239" s="4">
        <f>CY239</f>
        <v>0.69063533625701745</v>
      </c>
      <c r="DH239" s="4">
        <f>CZ239</f>
        <v>0.49532268932934714</v>
      </c>
      <c r="DQ239" s="4">
        <f>L239</f>
        <v>371.60199999999998</v>
      </c>
      <c r="DT239" s="4">
        <f>K239/4/(1-0.3*(M239/30)^0.5)/200000/N239</f>
        <v>2.2546529017550049E-5</v>
      </c>
      <c r="DU239" s="4">
        <f>EP239</f>
        <v>8.3153544113293236</v>
      </c>
      <c r="DV239" s="4">
        <f>EC239*AG239/257/M239/AD239</f>
        <v>0.11508063601848534</v>
      </c>
      <c r="DW239" s="4">
        <f>DU239*DV239^0.4</f>
        <v>3.5017220067884787</v>
      </c>
      <c r="DX239" s="4">
        <f>MIN(DU239, DU239/1.4*(1-DV239^1.4)/(1-DV239))</f>
        <v>6.3866787816915247</v>
      </c>
      <c r="DY239" s="4">
        <f>MAX(DU239/2, (4-DT239*(8*AG239*(DW239-DX239)+6*K239*DX239))/(4+DT239*K239*DU239)*DU239)</f>
        <v>7.6004271472264149</v>
      </c>
      <c r="DZ239" s="38">
        <f>MIN(1/N239*(4*AG239*(DW239-DX239)+(3*DX239+DY239)*K239)+EC239 -FJ239,MAX(J239,AJ239))</f>
        <v>338.51888424265422</v>
      </c>
      <c r="EA239" s="4">
        <f>DZ239/FF239</f>
        <v>1.0000984344516921</v>
      </c>
      <c r="EB239" s="4">
        <f>AG239/N239</f>
        <v>2.1908902300206643</v>
      </c>
      <c r="EC239" s="4">
        <f>MIN(EB$10*BB239)</f>
        <v>86.137846143546724</v>
      </c>
      <c r="EG239" s="4">
        <f>IF(U239&gt;1*N239,0.85,1)</f>
        <v>0.85</v>
      </c>
      <c r="EH239" s="4">
        <f>MIN(1,MAX(0.7,(1-0.1*(BZ239-1*N239)/N239)))</f>
        <v>0.90141843971631208</v>
      </c>
      <c r="EI239" s="4">
        <f>MIN(1,MAX(0.7,1-0.3*(PI()*AM239^2/4*AQ239*2-0.25*PI()/4*N239^2)/(PI()/4*N239^2)))</f>
        <v>1</v>
      </c>
      <c r="EJ239" s="4">
        <f>IF(EH239*EI239&lt;0.7,0.7,EH239*EI239)</f>
        <v>0.90141843971631208</v>
      </c>
      <c r="EL239" s="4">
        <f>MIN(DU239/N239*3*K239+EM239-FJ239,MAX(J239,AJ239))</f>
        <v>472.00160316666512</v>
      </c>
      <c r="EM239" s="25">
        <f>13.3*Q239*K239^0.5*M239^0.5/X239/N239^2*(0.7+S239/5/K239)</f>
        <v>213.16408180975441</v>
      </c>
      <c r="EO239" s="4">
        <f>EG239*EJ239</f>
        <v>0.76620567375886528</v>
      </c>
      <c r="EP239" s="4">
        <f>IF(N239&lt;22.2,1.1*5*(M239/30)^0.5,IF(N239&gt;=31.8,0.9*5*(M239/30)^0.5,1*5*(M239/30)^0.5))/EG239/EJ239</f>
        <v>8.3153544113293236</v>
      </c>
      <c r="ES239" s="4">
        <f>ET239*N239</f>
        <v>78.464542697960056</v>
      </c>
      <c r="ET239" s="4">
        <f>AF239^0.5</f>
        <v>2.1908902300206643</v>
      </c>
      <c r="EU239" s="4">
        <f>MIN(EC239)/(4700*M239^0.5)/AE239*ES239</f>
        <v>4.879909413391495E-2</v>
      </c>
      <c r="EX239" s="4">
        <f>EU239</f>
        <v>4.879909413391495E-2</v>
      </c>
      <c r="EY239" s="4">
        <f>MIN(0.999, EX239/(0.3*(M239/30)^0.5))</f>
        <v>0.11488858788508538</v>
      </c>
      <c r="EZ239" s="4">
        <f>EP239/1*EY239^0.4</f>
        <v>3.4993833469371318</v>
      </c>
      <c r="FA239" s="4">
        <f>EP239/1.4*(1-EY239^1.4)/(1-EY239)</f>
        <v>6.3860525609851875</v>
      </c>
      <c r="FB239" s="4">
        <f>MAX(0,DQ239*FB$9-ES239)</f>
        <v>200.23695730203997</v>
      </c>
      <c r="FC239" s="4">
        <f>MAX(0,DQ239-ES239-FB239)</f>
        <v>92.900499999999965</v>
      </c>
      <c r="FD239" s="4">
        <f>FC239/(1-0.3*(M239/30)^0.5)/200000/N239</f>
        <v>2.2546529017550043E-5</v>
      </c>
      <c r="FE239" s="4">
        <f>MAX(0.5*EP239, (1-2*FD239*(ES239*EZ239+FB239*FA239))/(1/EP239+FD239*FC239))</f>
        <v>7.6005409889377775</v>
      </c>
      <c r="FF239" s="4">
        <f>MIN(4/N239*(1*EZ239*ES239+FA239*FB239+FC239*FE239)+EC239,MAX(J239,AJ239))</f>
        <v>338.48556560159852</v>
      </c>
      <c r="FO239" s="23">
        <f>IF(CU239&lt;0.6,0.6,IF(CU239&lt;0.8,0.8,IF(CU239&lt;1,1,IF(CU239&lt;1.2,1.2,IF(CU239&lt;1.4,1.4,IF(CU239&lt;1.6,1.6,IF(CU239&lt;1.8,1.8,IF(CU239&lt;2,2,2.2))))))))</f>
        <v>0.6</v>
      </c>
      <c r="FP239" s="23">
        <f>IF(CV239&lt;0.6,0.6,IF(CV239&lt;0.8,0.8,IF(CV239&lt;1,1,IF(CV239&lt;1.2,1.2,IF(CV239&lt;1.4,1.4,IF(CV239&lt;1.6,1.6,IF(CV239&lt;1.8,1.8,IF(CV239&lt;2,2,2.2))))))))</f>
        <v>0.6</v>
      </c>
      <c r="FQ239" s="23">
        <f>IF(DA239&lt;0.6,0.6,IF(DA239&lt;0.8,0.8,IF(DA239&lt;1,1,IF(DA239&lt;1.2,1.2,IF(DA239&lt;1.4,1.4,IF(DA239&lt;1.6,1.6,IF(DA239&lt;1.8,1.8,IF(DA239&lt;2,2,2.2))))))))</f>
        <v>0.8</v>
      </c>
      <c r="FR239" s="23">
        <f>IF(CX239&lt;0.6,0.6,IF(CX239&lt;0.8,0.8,IF(CX239&lt;1,1,IF(CX239&lt;1.2,1.2,IF(CX239&lt;1.4,1.4,IF(CX239&lt;1.6,1.6,IF(CX239&lt;1.8,1.8,IF(CX239&lt;2,2,2.2))))))))</f>
        <v>1</v>
      </c>
      <c r="FS239" s="23">
        <f>IF(CY239&lt;0.6,0.6,IF(CY239&lt;0.8,0.8,IF(CY239&lt;1,1,IF(CY239&lt;1.2,1.2,IF(CY239&lt;1.4,1.4,IF(CY239&lt;1.6,1.6,IF(CY239&lt;1.8,1.8,IF(CY239&lt;2,2,2.2))))))))</f>
        <v>0.8</v>
      </c>
      <c r="FT239" s="23">
        <f>IF(CZ239&lt;0.6,0.6,IF(CZ239&lt;0.8,0.8,IF(CZ239&lt;1,1,IF(CZ239&lt;1.2,1.2,IF(CZ239&lt;1.4,1.4,IF(CZ239&lt;1.6,1.6,IF(CZ239&lt;1.8,1.8,IF(CZ239&lt;2,2,2.2))))))))</f>
        <v>0.6</v>
      </c>
      <c r="FU239" s="23">
        <f>IF(FS239&lt;1,1,0)</f>
        <v>1</v>
      </c>
      <c r="FV239" s="23"/>
      <c r="GF239" s="4">
        <f>IF(S239&gt;=2.5*25.4,1,1.25)</f>
        <v>1</v>
      </c>
      <c r="GG239" s="4">
        <f>IF(AO239&gt;1, 0.05*(18-MIN(8,(W239+N239)/N239))*(1-48000/MAX(60000,(J239*145))*(N239/25.4)^0.75*GH239), 1/12*(14-MIN(8,(W239+N239)/N239)))</f>
        <v>0.63421985815602844</v>
      </c>
      <c r="GH239" s="4">
        <f>MIN(0.3, AM239^2*PI()/4*2*AP239/(N239^2*PI()/4*X239))</f>
        <v>0</v>
      </c>
      <c r="GI239" s="4">
        <f>(K239/25.4)/(N239/25.4)^1.5/0.0024*(M239*145)^0.25/GF239/GG239/145</f>
        <v>382.58302636856138</v>
      </c>
    </row>
    <row r="240" spans="1:191" ht="12" customHeight="1" x14ac:dyDescent="0.3">
      <c r="A240" s="25">
        <v>413</v>
      </c>
      <c r="B240" s="4" t="s">
        <v>605</v>
      </c>
      <c r="C240" s="4">
        <v>2016</v>
      </c>
      <c r="D240" s="4" t="s">
        <v>309</v>
      </c>
      <c r="E240" s="14" t="s">
        <v>678</v>
      </c>
      <c r="F240" s="14"/>
      <c r="G240" s="14">
        <v>13</v>
      </c>
      <c r="H240" s="7" t="s">
        <v>583</v>
      </c>
      <c r="I240" s="5">
        <f>K240/N240</f>
        <v>10.375886524822697</v>
      </c>
      <c r="J240" s="90">
        <f>135/0.145</f>
        <v>931.0344827586207</v>
      </c>
      <c r="K240" s="93">
        <f>14.63*25.4</f>
        <v>371.60199999999998</v>
      </c>
      <c r="L240" s="4">
        <f>K240</f>
        <v>371.60199999999998</v>
      </c>
      <c r="M240" s="95">
        <f>5970/145</f>
        <v>41.172413793103445</v>
      </c>
      <c r="N240" s="38">
        <f>1.41*25.4</f>
        <v>35.813999999999993</v>
      </c>
      <c r="O240" s="7">
        <f>K240/N240</f>
        <v>10.375886524822697</v>
      </c>
      <c r="P240" s="7">
        <f>L240/N240</f>
        <v>10.375886524822697</v>
      </c>
      <c r="Q240" s="38">
        <f>21.5*25.4</f>
        <v>546.1</v>
      </c>
      <c r="R240" s="32">
        <f>S240/N240</f>
        <v>1.843971631205674</v>
      </c>
      <c r="S240" s="38">
        <f>2.6*25.4</f>
        <v>66.039999999999992</v>
      </c>
      <c r="T240" s="32">
        <f>U240/N240</f>
        <v>2.4822695035460995</v>
      </c>
      <c r="U240" s="39">
        <f>3.5*25.4</f>
        <v>88.899999999999991</v>
      </c>
      <c r="V240" s="32">
        <f>W240/N240</f>
        <v>9.5602836879432651</v>
      </c>
      <c r="W240" s="7">
        <f>(Q240-X240*N240-2*S240)/(X240-1)</f>
        <v>342.39200000000005</v>
      </c>
      <c r="X240" s="38">
        <v>2</v>
      </c>
      <c r="Y240" s="7">
        <f>AN240</f>
        <v>12</v>
      </c>
      <c r="Z240" s="32">
        <f>AA240/N240</f>
        <v>14.18439716312057</v>
      </c>
      <c r="AA240" s="4">
        <f>20*25.4</f>
        <v>508</v>
      </c>
      <c r="AB240" s="7">
        <f>MIN(S240/N240+0.5, W240/2/N240+0.5)</f>
        <v>2.3439716312056742</v>
      </c>
      <c r="AC240" s="7">
        <f>S240/N240+0.5</f>
        <v>2.3439716312056742</v>
      </c>
      <c r="AD240" s="38">
        <v>8.6</v>
      </c>
      <c r="AE240" s="4">
        <f>AD240</f>
        <v>8.6</v>
      </c>
      <c r="AF240" s="4">
        <f>AE240+1</f>
        <v>9.6</v>
      </c>
      <c r="AG240" s="7">
        <f>N240*AF240^0.5</f>
        <v>110.96562044885792</v>
      </c>
      <c r="AJ240" s="38">
        <f>AK240/0.145</f>
        <v>496.55172413793105</v>
      </c>
      <c r="AK240" s="4">
        <v>72</v>
      </c>
      <c r="AL240" s="4">
        <f>CY240</f>
        <v>1.627708019089664</v>
      </c>
      <c r="AM240" s="38">
        <f>0.5*25.4</f>
        <v>12.7</v>
      </c>
      <c r="AN240" s="38">
        <v>12</v>
      </c>
      <c r="AO240" s="39">
        <f>4*25.4</f>
        <v>101.6</v>
      </c>
      <c r="AP240" s="39">
        <v>2</v>
      </c>
      <c r="AQ240" s="39">
        <f>AP240-1</f>
        <v>1</v>
      </c>
      <c r="AR240" s="7"/>
      <c r="AS240" s="4">
        <f>K240</f>
        <v>371.60199999999998</v>
      </c>
      <c r="AT240" s="4">
        <f>IF(K240*3&gt;W240+N240, Q240, (S240+N240/2)*2+1.5*K240*(2*X240-2))*(3*K240)/(9*K240^2)</f>
        <v>0.48986101617680572</v>
      </c>
      <c r="AU240" s="4">
        <f>MIN(10*M240^0.5*K240^1.5,100*3.9*M240^0.5*K240^(5/3))/(PI()/4*N240^2)/X240</f>
        <v>228.13645720575076</v>
      </c>
      <c r="AV240" s="4">
        <f>MIN(0.7+0.3*(MIN(S240,AA240)+0.5*N240)/1.5/K240,1)</f>
        <v>0.74518113465481883</v>
      </c>
      <c r="AW240" s="4">
        <v>1.25</v>
      </c>
      <c r="AX240" s="4">
        <f>AX239</f>
        <v>1</v>
      </c>
      <c r="AY240" s="38">
        <f>AT240*AV240*AW240*AX240*AU240</f>
        <v>104.0972931416412</v>
      </c>
      <c r="AZ240" s="38">
        <f>AY240</f>
        <v>104.0972931416412</v>
      </c>
      <c r="BA240" s="38">
        <f>IF(M240&lt;50, 0.3*M240^(2/3), 2.12*LN(1+0.1*(M240+8)))</f>
        <v>3.5770538153249696</v>
      </c>
      <c r="BB240" s="38">
        <f>AX240* (M240^0.5/AS240^0.5)/(PI()/4*N240^2)/X240/0.72 *(0.7+(MIN(S240,AA240)+0.5*N240)/5/K240) *(3*Q240*K240)</f>
        <v>104.09729314164106</v>
      </c>
      <c r="BC240" s="38">
        <f>AY240/BB240</f>
        <v>1.0000000000000013</v>
      </c>
      <c r="BD240" s="38">
        <f>BH240/BB240</f>
        <v>5.4374899180877607</v>
      </c>
      <c r="BE240" s="4">
        <f>IF(BD240&lt;1,1,0)</f>
        <v>0</v>
      </c>
      <c r="BF240" s="4">
        <f>L240/N240*M240^0.5/0.19</f>
        <v>350.40861657663839</v>
      </c>
      <c r="BG240" s="4">
        <f>MIN(0.6+0.4*(AC240/AB240),2)</f>
        <v>1</v>
      </c>
      <c r="BH240" s="38">
        <f>2*M240*AB240*AD240^0.5*BG240*0.7/0.7</f>
        <v>566.02798195789944</v>
      </c>
      <c r="BI240" s="4">
        <f>MAX(1-0.7*AE240/5,0.3)</f>
        <v>0.3</v>
      </c>
      <c r="BJ240" s="4">
        <f>BI240*J240*L240/(J240*N240/2.75/M240^0.5)</f>
        <v>54.926550648388073</v>
      </c>
      <c r="BK240" s="4">
        <f>BH240+BJ240</f>
        <v>620.95453260628756</v>
      </c>
      <c r="BM240" s="4">
        <f>MIN(1.5, 0.75+0.25*MIN(3,MAX(1,S240/N240))+0.4*MIN(1,(40*2*PI()*AM240^2/4/AO240/X240)/N240))</f>
        <v>1.5</v>
      </c>
      <c r="BN240" s="4">
        <f>(3*P240+30)*BM240*M240^0.5</f>
        <v>588.34516875468432</v>
      </c>
      <c r="BP240" s="4">
        <f>3.4/PI()^0.5*M240*AB240*AE240^0.5*BG240</f>
        <v>542.89005540924711</v>
      </c>
      <c r="BQ240" s="4">
        <f>8/3*AH240*AI240^2/(AG240-N240-22)/N240*(AG240^2-N240^2)/(AG240^2-(N240+22)^2)</f>
        <v>0</v>
      </c>
      <c r="BR240" s="4">
        <f>BQ240/BP240</f>
        <v>0</v>
      </c>
      <c r="BZ240" s="4">
        <f>IF(W240=0,S240,MIN(W240/2,S240))</f>
        <v>66.039999999999992</v>
      </c>
      <c r="CD240" s="9"/>
      <c r="CF240" s="9"/>
      <c r="CG240" s="9"/>
      <c r="CH240" s="9">
        <f>IF(W240=0,MIN(S240,U240),MIN(W240/2,S240,U240))</f>
        <v>66.039999999999992</v>
      </c>
      <c r="CI240" s="9">
        <f>MAX(W240/2,S240)</f>
        <v>171.19600000000003</v>
      </c>
      <c r="CJ240" s="9">
        <f>(CH240/N240)^0.5*(CI240/CH240)^0.15</f>
        <v>1.5664989205143935</v>
      </c>
      <c r="CK240" s="70">
        <f>IF(AO240&gt;1,20,0)</f>
        <v>20</v>
      </c>
      <c r="CL240" s="9">
        <f>MIN(PI()*AM240^2/4*AN240*2/X240/N240/MAX(0.01,AO240),0.05)</f>
        <v>0.05</v>
      </c>
      <c r="CM240" s="9">
        <f>MAX(0,CK240*(CL240-0.5/50))</f>
        <v>0.8</v>
      </c>
      <c r="CN240" s="9">
        <f>MIN(1,(25/N240)^0.3)</f>
        <v>0.89777220146327208</v>
      </c>
      <c r="CO240" s="9">
        <f>IF(J240&gt;=800,0.68,IF(J240&gt;=700,0.75-(J240-700)*0.07/100,IF(J240&gt;=600,0.85-(J240-600)*0.1/100,IF(J240&gt;=500,1-(J240-500)*0.15/100,1.2-(J240-400)*0.2/100))))</f>
        <v>0.68</v>
      </c>
      <c r="CP240" s="9">
        <f>1.75*CN240*CO240*(M240/25)^0.5</f>
        <v>1.3710278453315501</v>
      </c>
      <c r="CQ240" s="9">
        <f>MIN((CJ240+CM240)*CP240,2.5*CP240,M240^0.5)</f>
        <v>3.2445359159722882</v>
      </c>
      <c r="CR240" s="40">
        <v>1</v>
      </c>
      <c r="CS240" s="9">
        <f>4*CQ240*P240+60*CQ240</f>
        <v>329.33190091769779</v>
      </c>
      <c r="CU240" s="4">
        <f>AJ240/BF240</f>
        <v>1.417064822746245</v>
      </c>
      <c r="CV240" s="4">
        <f>AJ240/BK240</f>
        <v>0.79965874804680204</v>
      </c>
      <c r="CW240" s="4">
        <f>AJ240/BN240</f>
        <v>0.8439802865874686</v>
      </c>
      <c r="CX240" s="4">
        <f>AJ240/CS240</f>
        <v>1.5077547081053122</v>
      </c>
      <c r="CY240" s="4">
        <f>AJ240/DZ240</f>
        <v>1.627708019089664</v>
      </c>
      <c r="CZ240" s="4">
        <f>AJ240/EL240</f>
        <v>1.059782127050285</v>
      </c>
      <c r="DA240" s="4">
        <f>AJ240/GI240</f>
        <v>0.99472144636362514</v>
      </c>
      <c r="DB240" s="4">
        <f>AN240</f>
        <v>12</v>
      </c>
      <c r="DI240" s="4">
        <f>CU240</f>
        <v>1.417064822746245</v>
      </c>
      <c r="DJ240" s="4">
        <f>CV240</f>
        <v>0.79965874804680204</v>
      </c>
      <c r="DK240" s="4">
        <f>CX240</f>
        <v>1.5077547081053122</v>
      </c>
      <c r="DL240" s="4">
        <f>DA240</f>
        <v>0.99472144636362514</v>
      </c>
      <c r="DM240" s="4">
        <f>CY240</f>
        <v>1.627708019089664</v>
      </c>
      <c r="DN240" s="4">
        <f>CZ240</f>
        <v>1.059782127050285</v>
      </c>
      <c r="DQ240" s="4">
        <f>L240</f>
        <v>371.60199999999998</v>
      </c>
      <c r="DT240" s="4">
        <f>K240/4/(1-0.3*(M240/30)^0.5)/200000/N240</f>
        <v>1.9998245481905705E-5</v>
      </c>
      <c r="DU240" s="4">
        <f>EP240</f>
        <v>6.7767896158633691</v>
      </c>
      <c r="DV240" s="4">
        <f>EC240*AG240/257/M240/AD240</f>
        <v>0.12693751116710619</v>
      </c>
      <c r="DW240" s="4">
        <f>DU240*DV240^0.4</f>
        <v>2.9679733351768269</v>
      </c>
      <c r="DX240" s="4">
        <f>MIN(DU240, DU240/1.4*(1-DV240^1.4)/(1-DV240))</f>
        <v>5.2361187931210127</v>
      </c>
      <c r="DY240" s="4">
        <f>MAX(DU240/2, (4-DT240*(8*AG240*(DW240-DX240)+6*K240*DX240))/(4+DT240*K240*DU240)*DU240)</f>
        <v>6.3692740216758974</v>
      </c>
      <c r="DZ240" s="38">
        <f>MIN(1/N240*(4*AG240*(DW240-DX240)+(3*DX240+DY240)*K240)+EC240 -FJ240,MAX(J240,AJ240))</f>
        <v>305.06191424653662</v>
      </c>
      <c r="EA240" s="4">
        <f>DZ240/FF240</f>
        <v>1.0001115012386681</v>
      </c>
      <c r="EB240" s="4">
        <f>AG240/N240</f>
        <v>3.0983866769659336</v>
      </c>
      <c r="EC240" s="4">
        <f>MIN(EB$10*BB240)</f>
        <v>104.09729314164106</v>
      </c>
      <c r="EG240" s="4">
        <f>IF(U240&gt;1*N240,0.85,1)</f>
        <v>0.85</v>
      </c>
      <c r="EH240" s="4">
        <f>MIN(1,MAX(0.7,(1-0.1*(BZ240-1*N240)/N240)))</f>
        <v>0.91560283687943256</v>
      </c>
      <c r="EI240" s="4">
        <f>MIN(1,MAX(0.7,1-0.3*(PI()*AM240^2/4*AQ240*2-0.25*PI()/4*N240^2)/(PI()/4*N240^2)))</f>
        <v>0.9995510789195714</v>
      </c>
      <c r="EJ240" s="4">
        <f>IF(EH240*EI240&lt;0.7,0.7,EH240*EI240)</f>
        <v>0.91519180346465712</v>
      </c>
      <c r="EL240" s="4">
        <f>MIN(DU240/N240*3*K240+EM240-FJ240,MAX(J240,AJ240))</f>
        <v>468.54132699896951</v>
      </c>
      <c r="EM240" s="25">
        <f>13.3*Q240*K240^0.5*M240^0.5/X240/N240^2*(0.7+S240/5/K240)</f>
        <v>257.59572682858419</v>
      </c>
      <c r="EO240" s="4">
        <f>EG240*EJ240</f>
        <v>0.7779130329449585</v>
      </c>
      <c r="EP240" s="4">
        <f>IF(N240&lt;22.2,1.1*5*(M240/30)^0.5,IF(N240&gt;=31.8,0.9*5*(M240/30)^0.5,1*5*(M240/30)^0.5))/EG240/EJ240</f>
        <v>6.7767896158633691</v>
      </c>
      <c r="ES240" s="4">
        <f>ET240*N240</f>
        <v>110.96562044885792</v>
      </c>
      <c r="ET240" s="4">
        <f>AF240^0.5</f>
        <v>3.0983866769659336</v>
      </c>
      <c r="EU240" s="4">
        <f>MIN(EC240)/(4700*M240^0.5)/AE240*ES240</f>
        <v>4.4537763910500169E-2</v>
      </c>
      <c r="EX240" s="4">
        <f>EU240</f>
        <v>4.4537763910500169E-2</v>
      </c>
      <c r="EY240" s="4">
        <f>MIN(0.999, EX240/(0.3*(M240/30)^0.5))</f>
        <v>0.12672567611890431</v>
      </c>
      <c r="EZ240" s="4">
        <f>EP240/1*EY240^0.4</f>
        <v>2.9659911446815821</v>
      </c>
      <c r="FA240" s="4">
        <f>EP240/1.4*(1-EY240^1.4)/(1-EY240)</f>
        <v>5.2355683559869863</v>
      </c>
      <c r="FB240" s="4">
        <f>MAX(0,DQ240*FB$9-ES240)</f>
        <v>167.73587955114209</v>
      </c>
      <c r="FC240" s="4">
        <f>MAX(0,DQ240-ES240-FB240)</f>
        <v>92.900499999999965</v>
      </c>
      <c r="FD240" s="4">
        <f>FC240/(1-0.3*(M240/30)^0.5)/200000/N240</f>
        <v>1.9998245481905698E-5</v>
      </c>
      <c r="FE240" s="4">
        <f>MAX(0.5*EP240, (1-2*FD240*(ES240*EZ240+FB240*FA240))/(1/EP240+FD240*FC240))</f>
        <v>6.3693576128792033</v>
      </c>
      <c r="FF240" s="4">
        <f>MIN(4/N240*(1*EZ240*ES240+FA240*FB240+FC240*FE240)+EC240,MAX(J240,AJ240))</f>
        <v>305.02790325749504</v>
      </c>
      <c r="FO240" s="23">
        <f>IF(CU240&lt;0.6,0.6,IF(CU240&lt;0.8,0.8,IF(CU240&lt;1,1,IF(CU240&lt;1.2,1.2,IF(CU240&lt;1.4,1.4,IF(CU240&lt;1.6,1.6,IF(CU240&lt;1.8,1.8,IF(CU240&lt;2,2,2.2))))))))</f>
        <v>1.6</v>
      </c>
      <c r="FP240" s="23">
        <f>IF(CV240&lt;0.6,0.6,IF(CV240&lt;0.8,0.8,IF(CV240&lt;1,1,IF(CV240&lt;1.2,1.2,IF(CV240&lt;1.4,1.4,IF(CV240&lt;1.6,1.6,IF(CV240&lt;1.8,1.8,IF(CV240&lt;2,2,2.2))))))))</f>
        <v>0.8</v>
      </c>
      <c r="FQ240" s="23">
        <f>IF(DA240&lt;0.6,0.6,IF(DA240&lt;0.8,0.8,IF(DA240&lt;1,1,IF(DA240&lt;1.2,1.2,IF(DA240&lt;1.4,1.4,IF(DA240&lt;1.6,1.6,IF(DA240&lt;1.8,1.8,IF(DA240&lt;2,2,2.2))))))))</f>
        <v>1</v>
      </c>
      <c r="FR240" s="23">
        <f>IF(CX240&lt;0.6,0.6,IF(CX240&lt;0.8,0.8,IF(CX240&lt;1,1,IF(CX240&lt;1.2,1.2,IF(CX240&lt;1.4,1.4,IF(CX240&lt;1.6,1.6,IF(CX240&lt;1.8,1.8,IF(CX240&lt;2,2,2.2))))))))</f>
        <v>1.6</v>
      </c>
      <c r="FS240" s="23">
        <f>IF(CY240&lt;0.6,0.6,IF(CY240&lt;0.8,0.8,IF(CY240&lt;1,1,IF(CY240&lt;1.2,1.2,IF(CY240&lt;1.4,1.4,IF(CY240&lt;1.6,1.6,IF(CY240&lt;1.8,1.8,IF(CY240&lt;2,2,2.2))))))))</f>
        <v>1.8</v>
      </c>
      <c r="FT240" s="23">
        <f>IF(CZ240&lt;0.6,0.6,IF(CZ240&lt;0.8,0.8,IF(CZ240&lt;1,1,IF(CZ240&lt;1.2,1.2,IF(CZ240&lt;1.4,1.4,IF(CZ240&lt;1.6,1.6,IF(CZ240&lt;1.8,1.8,IF(CZ240&lt;2,2,2.2))))))))</f>
        <v>1.2</v>
      </c>
      <c r="FU240" s="23">
        <f>IF(FS240&lt;1,1,0)</f>
        <v>0</v>
      </c>
      <c r="FV240" s="23"/>
      <c r="GF240" s="4">
        <f>IF(S240&gt;=2.5*25.4,1,1.25)</f>
        <v>1</v>
      </c>
      <c r="GG240" s="4">
        <f>IF(AO240&gt;1, 0.05*(18-MIN(8,(W240+N240)/N240))*(1-48000/MAX(60000,(J240*145))*(N240/25.4)^0.75*GH240), 1/12*(14-MIN(8,(W240+N240)/N240)))</f>
        <v>0.44214730608235164</v>
      </c>
      <c r="GH240" s="4">
        <f>MIN(0.3, AM240^2*PI()/4*2*AP240/(N240^2*PI()/4*X240))</f>
        <v>0.25149640360142855</v>
      </c>
      <c r="GI240" s="4">
        <f>(K240/25.4)/(N240/25.4)^1.5/0.0024*(M240*145)^0.25/GF240/GG240/145</f>
        <v>499.18670795041271</v>
      </c>
    </row>
    <row r="241" spans="1:191" ht="12" customHeight="1" x14ac:dyDescent="0.3">
      <c r="A241" s="25">
        <v>311</v>
      </c>
      <c r="B241" s="4" t="s">
        <v>605</v>
      </c>
      <c r="C241" s="4">
        <v>2016</v>
      </c>
      <c r="D241" s="4" t="s">
        <v>309</v>
      </c>
      <c r="E241" s="24" t="s">
        <v>669</v>
      </c>
      <c r="F241" s="24"/>
      <c r="G241" s="24">
        <v>30</v>
      </c>
      <c r="H241" s="7" t="s">
        <v>472</v>
      </c>
      <c r="I241" s="5">
        <f>K241/N241</f>
        <v>14.58</v>
      </c>
      <c r="J241" s="91">
        <f>120/0.145</f>
        <v>827.58620689655174</v>
      </c>
      <c r="K241" s="38">
        <f>14.58*25.4</f>
        <v>370.33199999999999</v>
      </c>
      <c r="L241" s="4">
        <f>K241</f>
        <v>370.33199999999999</v>
      </c>
      <c r="M241" s="47">
        <f>9040/145</f>
        <v>62.344827586206897</v>
      </c>
      <c r="N241" s="96">
        <f>1*25.4</f>
        <v>25.4</v>
      </c>
      <c r="O241" s="7">
        <f>K241/N241</f>
        <v>14.58</v>
      </c>
      <c r="P241" s="7">
        <f>L241/N241</f>
        <v>14.58</v>
      </c>
      <c r="Q241" s="38">
        <f>14*25.4</f>
        <v>355.59999999999997</v>
      </c>
      <c r="R241" s="32">
        <f>S241/N241</f>
        <v>2.5</v>
      </c>
      <c r="S241" s="38">
        <f>2.5*25.4</f>
        <v>63.5</v>
      </c>
      <c r="T241" s="32">
        <f>U241/N241</f>
        <v>2.9999999999999996</v>
      </c>
      <c r="U241" s="39">
        <f>3*25.4</f>
        <v>76.199999999999989</v>
      </c>
      <c r="V241" s="32">
        <f>W241/N241</f>
        <v>2.9999999999999996</v>
      </c>
      <c r="W241" s="7">
        <f>(Q241-X241*N241-2*S241)/(X241-1)</f>
        <v>76.199999999999989</v>
      </c>
      <c r="X241" s="38">
        <v>3</v>
      </c>
      <c r="Y241" s="7">
        <f>AN241</f>
        <v>0</v>
      </c>
      <c r="Z241" s="32">
        <f>AA241/N241</f>
        <v>10.25</v>
      </c>
      <c r="AA241" s="4">
        <f>10.25*25.4</f>
        <v>260.34999999999997</v>
      </c>
      <c r="AB241" s="7">
        <f>MIN(S241/N241+0.5, W241/2/N241+0.5)</f>
        <v>1.9999999999999998</v>
      </c>
      <c r="AC241" s="7">
        <f>S241/N241+0.5</f>
        <v>3</v>
      </c>
      <c r="AD241" s="38">
        <v>9.5</v>
      </c>
      <c r="AE241" s="4">
        <f>AD241</f>
        <v>9.5</v>
      </c>
      <c r="AF241" s="4">
        <f>AE241+1</f>
        <v>10.5</v>
      </c>
      <c r="AG241" s="7">
        <f>N241*AF241^0.5</f>
        <v>82.305406869779816</v>
      </c>
      <c r="AJ241" s="38">
        <f>AK241/0.145</f>
        <v>668.9655172413793</v>
      </c>
      <c r="AK241" s="4">
        <v>97</v>
      </c>
      <c r="AL241" s="4">
        <f>CY241</f>
        <v>1.4354232666084592</v>
      </c>
      <c r="AM241" s="38">
        <v>0</v>
      </c>
      <c r="AN241" s="38">
        <v>0</v>
      </c>
      <c r="AO241" s="39">
        <f>L241</f>
        <v>370.33199999999999</v>
      </c>
      <c r="AP241" s="39"/>
      <c r="AQ241" s="39"/>
      <c r="AR241" s="7"/>
      <c r="AS241" s="4">
        <f>K241</f>
        <v>370.33199999999999</v>
      </c>
      <c r="AT241" s="4">
        <f>IF(K241*3&gt;W241+N241, Q241, (S241+N241/2)*2+1.5*K241*(2*X241-2))*(3*K241)/(9*K241^2)</f>
        <v>0.32007315957933247</v>
      </c>
      <c r="AU241" s="4">
        <f>MIN(10*M241^0.5*K241^1.5,100*3.9*M241^0.5*K241^(5/3))/(PI()/4*N241^2)/X241</f>
        <v>370.17621089733694</v>
      </c>
      <c r="AV241" s="4">
        <f>MIN(0.7+0.3*(MIN(S241,AA241)+0.5*N241)/1.5/K241,1)</f>
        <v>0.74115226337448559</v>
      </c>
      <c r="AW241" s="4">
        <v>1.25</v>
      </c>
      <c r="AX241" s="4">
        <f>AX240</f>
        <v>1</v>
      </c>
      <c r="AY241" s="38">
        <f>AT241*AV241*AW241*AX241*AU241</f>
        <v>109.76786441916241</v>
      </c>
      <c r="AZ241" s="38">
        <f>AY241</f>
        <v>109.76786441916241</v>
      </c>
      <c r="BA241" s="38">
        <f>IF(M241&lt;50, 0.3*M241^(2/3), 2.12*LN(1+0.1*(M241+8)))</f>
        <v>4.4175343619879603</v>
      </c>
      <c r="BB241" s="38">
        <f>AX241* (M241^0.5/AS241^0.5)/(PI()/4*N241^2)/X241/0.72 *(0.7+(MIN(S241,AA241)+0.5*N241)/5/K241) *(3*Q241*K241)</f>
        <v>109.76786441916244</v>
      </c>
      <c r="BC241" s="38">
        <f>AY241/BB241</f>
        <v>0.99999999999999978</v>
      </c>
      <c r="BD241" s="38">
        <f>BH241/BB241</f>
        <v>8.4028817771480764</v>
      </c>
      <c r="BE241" s="4">
        <f>IF(BD241&lt;1,1,0)</f>
        <v>0</v>
      </c>
      <c r="BF241" s="4">
        <f>L241/N241*M241^0.5/0.19</f>
        <v>605.90444304102721</v>
      </c>
      <c r="BG241" s="4">
        <f>MIN(0.6+0.4*(AC241/AB241),2)</f>
        <v>1.2000000000000002</v>
      </c>
      <c r="BH241" s="38">
        <f>2*M241*AB241*AD241^0.5*BG241*0.7/0.7</f>
        <v>922.36638764424072</v>
      </c>
      <c r="BI241" s="4">
        <f>MAX(1-0.7*AE241/5,0.3)</f>
        <v>0.3</v>
      </c>
      <c r="BJ241" s="4">
        <f>BI241*J241*L241/(J241*N241/2.75/M241^0.5)</f>
        <v>94.975521446681014</v>
      </c>
      <c r="BK241" s="4">
        <f>BH241+BJ241</f>
        <v>1017.3419090909217</v>
      </c>
      <c r="BM241" s="4">
        <f>MIN(1.5, 0.75+0.25*MIN(3,MAX(1,S241/N241))+0.4*MIN(1,(40*2*PI()*AM241^2/4/AO241/X241)/N241))</f>
        <v>1.375</v>
      </c>
      <c r="BN241" s="4">
        <f>(3*P241+30)*BM241*M241^0.5</f>
        <v>800.58241329198199</v>
      </c>
      <c r="BP241" s="4">
        <f>3.4/PI()^0.5*M241*AB241*AE241^0.5*BG241</f>
        <v>884.6621638098693</v>
      </c>
      <c r="BQ241" s="4">
        <f>8/3*AH241*AI241^2/(AG241-N241-22)/N241*(AG241^2-N241^2)/(AG241^2-(N241+22)^2)</f>
        <v>0</v>
      </c>
      <c r="BR241" s="4">
        <f>BQ241/BP241</f>
        <v>0</v>
      </c>
      <c r="BZ241" s="4">
        <f>IF(W241=0,S241,MIN(W241/2,S241))</f>
        <v>38.099999999999994</v>
      </c>
      <c r="CD241" s="9"/>
      <c r="CF241" s="9"/>
      <c r="CG241" s="9"/>
      <c r="CH241" s="9">
        <f>IF(W241=0,MIN(S241,U241),MIN(W241/2,S241,U241))</f>
        <v>38.099999999999994</v>
      </c>
      <c r="CI241" s="9">
        <f>MAX(W241/2,S241)</f>
        <v>63.5</v>
      </c>
      <c r="CJ241" s="9">
        <f>(CH241/N241)^0.5*(CI241/CH241)^0.15</f>
        <v>1.3222785168171165</v>
      </c>
      <c r="CK241" s="70">
        <f>IF(AO241&gt;1,20,0)</f>
        <v>20</v>
      </c>
      <c r="CL241" s="9">
        <f>MIN(PI()*AM241^2/4*AN241*2/X241/N241/MAX(0.01,AO241),0.05)</f>
        <v>0</v>
      </c>
      <c r="CM241" s="9">
        <f>MAX(0,CK241*(CL241-0.5/50))</f>
        <v>0</v>
      </c>
      <c r="CN241" s="9">
        <f>MIN(1,(25/N241)^0.3)</f>
        <v>0.99524931562137331</v>
      </c>
      <c r="CO241" s="9">
        <f>IF(J241&gt;=800,0.68,IF(J241&gt;=700,0.75-(J241-700)*0.07/100,IF(J241&gt;=600,0.85-(J241-600)*0.1/100,IF(J241&gt;=500,1-(J241-500)*0.15/100,1.2-(J241-400)*0.2/100))))</f>
        <v>0.68</v>
      </c>
      <c r="CP241" s="9">
        <f>1.75*CN241*CO241*(M241/25)^0.5</f>
        <v>1.8702904607807274</v>
      </c>
      <c r="CQ241" s="9">
        <f>MIN((CJ241+CM241)*CP241,2.5*CP241,M241^0.5)</f>
        <v>2.4730448964983416</v>
      </c>
      <c r="CR241" s="40">
        <v>1</v>
      </c>
      <c r="CS241" s="9">
        <f>4*CQ241*P241+60*CQ241</f>
        <v>292.61067215368377</v>
      </c>
      <c r="CU241" s="4">
        <f>AJ241/BF241</f>
        <v>1.1040775899972763</v>
      </c>
      <c r="CV241" s="4">
        <f>AJ241/BK241</f>
        <v>0.6575621344835334</v>
      </c>
      <c r="CW241" s="4">
        <f>AJ241/BN241</f>
        <v>0.83559856691156109</v>
      </c>
      <c r="CX241" s="4">
        <f>AJ241/CS241</f>
        <v>2.2861965775808342</v>
      </c>
      <c r="CY241" s="4">
        <f>AJ241/DZ241</f>
        <v>1.4354232666084592</v>
      </c>
      <c r="CZ241" s="4">
        <f>AJ241/EL241</f>
        <v>1.0088869571220103</v>
      </c>
      <c r="DA241" s="4">
        <f>AJ241/GI241</f>
        <v>1.1462553729482183</v>
      </c>
      <c r="DB241" s="4">
        <f>AN241</f>
        <v>0</v>
      </c>
      <c r="DC241" s="4">
        <f>CU241</f>
        <v>1.1040775899972763</v>
      </c>
      <c r="DD241" s="4">
        <f>CV241</f>
        <v>0.6575621344835334</v>
      </c>
      <c r="DE241" s="4">
        <f>CX241</f>
        <v>2.2861965775808342</v>
      </c>
      <c r="DF241" s="4">
        <f>DA241</f>
        <v>1.1462553729482183</v>
      </c>
      <c r="DG241" s="4">
        <f>CY241</f>
        <v>1.4354232666084592</v>
      </c>
      <c r="DH241" s="4">
        <f>CZ241</f>
        <v>1.0088869571220103</v>
      </c>
      <c r="DQ241" s="4">
        <f>L241</f>
        <v>370.33199999999999</v>
      </c>
      <c r="DT241" s="4">
        <f>K241/4/(1-0.3*(M241/30)^0.5)/200000/N241</f>
        <v>3.2113113423690527E-5</v>
      </c>
      <c r="DU241" s="4">
        <f>EP241</f>
        <v>8.9262091811553486</v>
      </c>
      <c r="DV241" s="4">
        <f>EC241*AG241/257/M241/AD241</f>
        <v>5.9353512349403871E-2</v>
      </c>
      <c r="DW241" s="4">
        <f>DU241*DV241^0.4</f>
        <v>2.8843345339495037</v>
      </c>
      <c r="DX241" s="4">
        <f>MIN(DU241, DU241/1.4*(1-DV241^1.4)/(1-DV241))</f>
        <v>6.6481737451818974</v>
      </c>
      <c r="DY241" s="4">
        <f>MAX(DU241/2, (4-DT241*(8*AG241*(DW241-DX241)+6*K241*DX241))/(4+DT241*K241*DU241)*DU241)</f>
        <v>7.8372116369176705</v>
      </c>
      <c r="DZ241" s="38">
        <f>MIN(1/N241*(4*AG241*(DW241-DX241)+(3*DX241+DY241)*K241)+EC241 -FJ241,MAX(J241,AJ241))</f>
        <v>466.04059778268402</v>
      </c>
      <c r="EA241" s="4">
        <f>DZ241/FF241</f>
        <v>1.0000756357057887</v>
      </c>
      <c r="EB241" s="4">
        <f>AG241/N241</f>
        <v>3.2403703492039297</v>
      </c>
      <c r="EC241" s="4">
        <f>MIN(EB$10*BB241)</f>
        <v>109.76786441916244</v>
      </c>
      <c r="EG241" s="4">
        <f>IF(U241&gt;1*N241,0.85,1)</f>
        <v>0.85</v>
      </c>
      <c r="EH241" s="4">
        <f>MIN(1,MAX(0.7,(1-0.1*(BZ241-1*N241)/N241)))</f>
        <v>0.95</v>
      </c>
      <c r="EI241" s="4">
        <f>MIN(1,MAX(0.7,1-0.3*(PI()*AM241^2/4*AQ241*2-0.25*PI()/4*N241^2)/(PI()/4*N241^2)))</f>
        <v>1</v>
      </c>
      <c r="EJ241" s="4">
        <f>IF(EH241*EI241&lt;0.7,0.7,EH241*EI241)</f>
        <v>0.95</v>
      </c>
      <c r="EL241" s="4">
        <f>MIN(DU241/N241*3*K241+EM241-FJ241,MAX(J241,AJ241))</f>
        <v>663.07281754310316</v>
      </c>
      <c r="EM241" s="25">
        <f>13.3*Q241*K241^0.5*M241^0.5/X241/N241^2*(0.7+S241/5/K241)</f>
        <v>272.6404279593682</v>
      </c>
      <c r="EO241" s="4">
        <f>EG241*EJ241</f>
        <v>0.8075</v>
      </c>
      <c r="EP241" s="4">
        <f>IF(N241&lt;22.2,1.1*5*(M241/30)^0.5,IF(N241&gt;=31.8,0.9*5*(M241/30)^0.5,1*5*(M241/30)^0.5))/EG241/EJ241</f>
        <v>8.9262091811553486</v>
      </c>
      <c r="ES241" s="4">
        <f>ET241*N241</f>
        <v>82.305406869779816</v>
      </c>
      <c r="ET241" s="4">
        <f>AF241^0.5</f>
        <v>3.2403703492039302</v>
      </c>
      <c r="EU241" s="4">
        <f>MIN(EC241)/(4700*M241^0.5)/AE241*ES241</f>
        <v>2.5626063838891495E-2</v>
      </c>
      <c r="EX241" s="4">
        <f>EU241</f>
        <v>2.5626063838891495E-2</v>
      </c>
      <c r="EY241" s="4">
        <f>MIN(0.999, EX241/(0.3*(M241/30)^0.5))</f>
        <v>5.9254462399283662E-2</v>
      </c>
      <c r="EZ241" s="4">
        <f>EP241/1*EY241^0.4</f>
        <v>2.8824082024590756</v>
      </c>
      <c r="FA241" s="4">
        <f>EP241/1.4*(1-EY241^1.4)/(1-EY241)</f>
        <v>6.6477773537489186</v>
      </c>
      <c r="FB241" s="4">
        <f>MAX(0,DQ241*FB$9-ES241)</f>
        <v>195.44359313022022</v>
      </c>
      <c r="FC241" s="4">
        <f>MAX(0,DQ241-ES241-FB241)</f>
        <v>92.58299999999997</v>
      </c>
      <c r="FD241" s="4">
        <f>FC241/(1-0.3*(M241/30)^0.5)/200000/N241</f>
        <v>3.2113113423690513E-5</v>
      </c>
      <c r="FE241" s="4">
        <f>MAX(0.5*EP241, (1-2*FD241*(ES241*EZ241+FB241*FA241))/(1/EP241+FD241*FC241))</f>
        <v>7.8373434481135975</v>
      </c>
      <c r="FF241" s="4">
        <f>MIN(4/N241*(1*EZ241*ES241+FA241*FB241+FC241*FE241)+EC241,MAX(J241,AJ241))</f>
        <v>466.00535113904931</v>
      </c>
      <c r="FO241" s="23">
        <f>IF(CU241&lt;0.6,0.6,IF(CU241&lt;0.8,0.8,IF(CU241&lt;1,1,IF(CU241&lt;1.2,1.2,IF(CU241&lt;1.4,1.4,IF(CU241&lt;1.6,1.6,IF(CU241&lt;1.8,1.8,IF(CU241&lt;2,2,2.2))))))))</f>
        <v>1.2</v>
      </c>
      <c r="FP241" s="23">
        <f>IF(CV241&lt;0.6,0.6,IF(CV241&lt;0.8,0.8,IF(CV241&lt;1,1,IF(CV241&lt;1.2,1.2,IF(CV241&lt;1.4,1.4,IF(CV241&lt;1.6,1.6,IF(CV241&lt;1.8,1.8,IF(CV241&lt;2,2,2.2))))))))</f>
        <v>0.8</v>
      </c>
      <c r="FQ241" s="23">
        <f>IF(DA241&lt;0.6,0.6,IF(DA241&lt;0.8,0.8,IF(DA241&lt;1,1,IF(DA241&lt;1.2,1.2,IF(DA241&lt;1.4,1.4,IF(DA241&lt;1.6,1.6,IF(DA241&lt;1.8,1.8,IF(DA241&lt;2,2,2.2))))))))</f>
        <v>1.2</v>
      </c>
      <c r="FR241" s="23">
        <f>IF(CX241&lt;0.6,0.6,IF(CX241&lt;0.8,0.8,IF(CX241&lt;1,1,IF(CX241&lt;1.2,1.2,IF(CX241&lt;1.4,1.4,IF(CX241&lt;1.6,1.6,IF(CX241&lt;1.8,1.8,IF(CX241&lt;2,2,2.2))))))))</f>
        <v>2.2000000000000002</v>
      </c>
      <c r="FS241" s="23">
        <f>IF(CY241&lt;0.6,0.6,IF(CY241&lt;0.8,0.8,IF(CY241&lt;1,1,IF(CY241&lt;1.2,1.2,IF(CY241&lt;1.4,1.4,IF(CY241&lt;1.6,1.6,IF(CY241&lt;1.8,1.8,IF(CY241&lt;2,2,2.2))))))))</f>
        <v>1.6</v>
      </c>
      <c r="FT241" s="23">
        <f>IF(CZ241&lt;0.6,0.6,IF(CZ241&lt;0.8,0.8,IF(CZ241&lt;1,1,IF(CZ241&lt;1.2,1.2,IF(CZ241&lt;1.4,1.4,IF(CZ241&lt;1.6,1.6,IF(CZ241&lt;1.8,1.8,IF(CZ241&lt;2,2,2.2))))))))</f>
        <v>1.2</v>
      </c>
      <c r="FU241" s="23">
        <f>IF(FS241&lt;1,1,0)</f>
        <v>0</v>
      </c>
      <c r="FV241" s="23"/>
      <c r="GF241" s="4">
        <f>IF(S241&gt;=2.5*25.4,1,1.25)</f>
        <v>1</v>
      </c>
      <c r="GG241" s="4">
        <f>IF(AO241&gt;1, 0.05*(18-MIN(8,(W241+N241)/N241))*(1-48000/MAX(60000,(J241*145))*(N241/25.4)^0.75*GH241), 1/12*(14-MIN(8,(W241+N241)/N241)))</f>
        <v>0.70000000000000007</v>
      </c>
      <c r="GH241" s="4">
        <f>MIN(0.3, AM241^2*PI()/4*2*AP241/(N241^2*PI()/4*X241))</f>
        <v>0</v>
      </c>
      <c r="GI241" s="4">
        <f>(K241/25.4)/(N241/25.4)^1.5/0.0024*(M241*145)^0.25/GF241/GG241/145</f>
        <v>583.60949316274184</v>
      </c>
    </row>
    <row r="242" spans="1:191" ht="12" customHeight="1" x14ac:dyDescent="0.3">
      <c r="A242" s="25">
        <v>313</v>
      </c>
      <c r="B242" s="4" t="s">
        <v>605</v>
      </c>
      <c r="C242" s="4">
        <v>2016</v>
      </c>
      <c r="D242" s="4" t="s">
        <v>309</v>
      </c>
      <c r="E242" s="24" t="s">
        <v>669</v>
      </c>
      <c r="F242" s="24"/>
      <c r="G242" s="24">
        <v>55</v>
      </c>
      <c r="H242" s="7" t="s">
        <v>474</v>
      </c>
      <c r="I242" s="5">
        <f>K242/N242</f>
        <v>14.58</v>
      </c>
      <c r="J242" s="91">
        <f>120/0.145</f>
        <v>827.58620689655174</v>
      </c>
      <c r="K242" s="38">
        <f>14.58*25.4</f>
        <v>370.33199999999999</v>
      </c>
      <c r="L242" s="4">
        <f>K242</f>
        <v>370.33199999999999</v>
      </c>
      <c r="M242" s="99">
        <f>9940/145</f>
        <v>68.551724137931032</v>
      </c>
      <c r="N242" s="96">
        <f>1*25.4</f>
        <v>25.4</v>
      </c>
      <c r="O242" s="7">
        <f>K242/N242</f>
        <v>14.58</v>
      </c>
      <c r="P242" s="7">
        <f>L242/N242</f>
        <v>14.58</v>
      </c>
      <c r="Q242" s="38">
        <f>15.8*25.4</f>
        <v>401.32</v>
      </c>
      <c r="R242" s="32">
        <f>S242/N242</f>
        <v>2.5</v>
      </c>
      <c r="S242" s="38">
        <f>2.5*25.4</f>
        <v>63.5</v>
      </c>
      <c r="T242" s="32">
        <f>U242/N242</f>
        <v>2.9999999999999996</v>
      </c>
      <c r="U242" s="39">
        <f>3*25.4</f>
        <v>76.199999999999989</v>
      </c>
      <c r="V242" s="32">
        <f>W242/N242</f>
        <v>3.9000000000000004</v>
      </c>
      <c r="W242" s="7">
        <f>(Q242-X242*N242-2*S242)/(X242-1)</f>
        <v>99.06</v>
      </c>
      <c r="X242" s="38">
        <v>3</v>
      </c>
      <c r="Y242" s="7">
        <f>AN242</f>
        <v>0</v>
      </c>
      <c r="Z242" s="32">
        <f>AA242/N242</f>
        <v>10.25</v>
      </c>
      <c r="AA242" s="4">
        <f>10.25*25.4</f>
        <v>260.34999999999997</v>
      </c>
      <c r="AB242" s="7">
        <f>MIN(S242/N242+0.5, W242/2/N242+0.5)</f>
        <v>2.4500000000000002</v>
      </c>
      <c r="AC242" s="7">
        <f>S242/N242+0.5</f>
        <v>3</v>
      </c>
      <c r="AD242" s="38">
        <v>9.5</v>
      </c>
      <c r="AE242" s="4">
        <f>AD242</f>
        <v>9.5</v>
      </c>
      <c r="AF242" s="4">
        <f>AE242+1</f>
        <v>10.5</v>
      </c>
      <c r="AG242" s="7">
        <f>N242*AF242^0.5</f>
        <v>82.305406869779816</v>
      </c>
      <c r="AJ242" s="38">
        <f>AK242/0.145</f>
        <v>813.79310344827593</v>
      </c>
      <c r="AK242" s="4">
        <v>118</v>
      </c>
      <c r="AL242" s="4">
        <f>CY242</f>
        <v>1.560884934514343</v>
      </c>
      <c r="AM242" s="38">
        <v>0</v>
      </c>
      <c r="AN242" s="38">
        <v>0</v>
      </c>
      <c r="AO242" s="39">
        <f>L242</f>
        <v>370.33199999999999</v>
      </c>
      <c r="AP242" s="39"/>
      <c r="AQ242" s="39"/>
      <c r="AR242" s="7"/>
      <c r="AS242" s="4">
        <f>K242</f>
        <v>370.33199999999999</v>
      </c>
      <c r="AT242" s="4">
        <f>IF(K242*3&gt;W242+N242, Q242, (S242+N242/2)*2+1.5*K242*(2*X242-2))*(3*K242)/(9*K242^2)</f>
        <v>0.3612254229538181</v>
      </c>
      <c r="AU242" s="4">
        <f>MIN(10*M242^0.5*K242^1.5,100*3.9*M242^0.5*K242^(5/3))/(PI()/4*N242^2)/X242</f>
        <v>388.16599141783303</v>
      </c>
      <c r="AV242" s="4">
        <f>MIN(0.7+0.3*(MIN(S242,AA242)+0.5*N242)/1.5/K242,1)</f>
        <v>0.74115226337448559</v>
      </c>
      <c r="AW242" s="4">
        <v>1.25</v>
      </c>
      <c r="AX242" s="4">
        <f>AX241</f>
        <v>1</v>
      </c>
      <c r="AY242" s="38">
        <f>AT242*AV242*AW242*AX242*AU242</f>
        <v>129.90122396686056</v>
      </c>
      <c r="AZ242" s="38">
        <f>AY242</f>
        <v>129.90122396686056</v>
      </c>
      <c r="BA242" s="38">
        <f>IF(M242&lt;50, 0.3*M242^(2/3), 2.12*LN(1+0.1*(M242+8)))</f>
        <v>4.5752930713880566</v>
      </c>
      <c r="BB242" s="38">
        <f>AX242* (M242^0.5/AS242^0.5)/(PI()/4*N242^2)/X242/0.72 *(0.7+(MIN(S242,AA242)+0.5*N242)/5/K242) *(3*Q242*K242)</f>
        <v>129.90122396686056</v>
      </c>
      <c r="BC242" s="38">
        <f>AY242/BB242</f>
        <v>1</v>
      </c>
      <c r="BD242" s="38">
        <f>BH242/BB242</f>
        <v>8.6857674735325237</v>
      </c>
      <c r="BE242" s="4">
        <f>IF(BD242&lt;1,1,0)</f>
        <v>0</v>
      </c>
      <c r="BF242" s="4">
        <f>L242/N242*M242^0.5/0.19</f>
        <v>635.35011681968183</v>
      </c>
      <c r="BG242" s="4">
        <f>MIN(0.6+0.4*(AC242/AB242),2)</f>
        <v>1.0897959183673469</v>
      </c>
      <c r="BH242" s="38">
        <f>2*M242*AB242*AD242^0.5*BG242*0.7/0.7</f>
        <v>1128.2918259034209</v>
      </c>
      <c r="BI242" s="4">
        <f>MAX(1-0.7*AE242/5,0.3)</f>
        <v>0.3</v>
      </c>
      <c r="BJ242" s="4">
        <f>BI242*J242*L242/(J242*N242/2.75/M242^0.5)</f>
        <v>99.591130811485129</v>
      </c>
      <c r="BK242" s="4">
        <f>BH242+BJ242</f>
        <v>1227.882956714906</v>
      </c>
      <c r="BM242" s="4">
        <f>MIN(1.5, 0.75+0.25*MIN(3,MAX(1,S242/N242))+0.4*MIN(1,(40*2*PI()*AM242^2/4/AO242/X242)/N242))</f>
        <v>1.375</v>
      </c>
      <c r="BN242" s="4">
        <f>(3*P242+30)*BM242*M242^0.5</f>
        <v>839.48902446718273</v>
      </c>
      <c r="BP242" s="4">
        <f>3.4/PI()^0.5*M242*AB242*AE242^0.5*BG242</f>
        <v>1082.1698421405406</v>
      </c>
      <c r="BQ242" s="4">
        <f>8/3*AH242*AI242^2/(AG242-N242-22)/N242*(AG242^2-N242^2)/(AG242^2-(N242+22)^2)</f>
        <v>0</v>
      </c>
      <c r="BR242" s="4">
        <f>BQ242/BP242</f>
        <v>0</v>
      </c>
      <c r="BZ242" s="4">
        <f>IF(W242=0,S242,MIN(W242/2,S242))</f>
        <v>49.53</v>
      </c>
      <c r="CD242" s="9"/>
      <c r="CF242" s="9"/>
      <c r="CG242" s="9"/>
      <c r="CH242" s="9">
        <f>IF(W242=0,MIN(S242,U242),MIN(W242/2,S242,U242))</f>
        <v>49.53</v>
      </c>
      <c r="CI242" s="9">
        <f>MAX(W242/2,S242)</f>
        <v>63.5</v>
      </c>
      <c r="CJ242" s="9">
        <f>(CH242/N242)^0.5*(CI242/CH242)^0.15</f>
        <v>1.4494495884306333</v>
      </c>
      <c r="CK242" s="70">
        <f>IF(AO242&gt;1,20,0)</f>
        <v>20</v>
      </c>
      <c r="CL242" s="9">
        <f>MIN(PI()*AM242^2/4*AN242*2/X242/N242/MAX(0.01,AO242),0.05)</f>
        <v>0</v>
      </c>
      <c r="CM242" s="9">
        <f>MAX(0,CK242*(CL242-0.5/50))</f>
        <v>0</v>
      </c>
      <c r="CN242" s="9">
        <f>MIN(1,(25/N242)^0.3)</f>
        <v>0.99524931562137331</v>
      </c>
      <c r="CO242" s="9">
        <f>IF(J242&gt;=800,0.68,IF(J242&gt;=700,0.75-(J242-700)*0.07/100,IF(J242&gt;=600,0.85-(J242-600)*0.1/100,IF(J242&gt;=500,1-(J242-500)*0.15/100,1.2-(J242-400)*0.2/100))))</f>
        <v>0.68</v>
      </c>
      <c r="CP242" s="9">
        <f>1.75*CN242*CO242*(M242/25)^0.5</f>
        <v>1.9611826194568933</v>
      </c>
      <c r="CQ242" s="9">
        <f>MIN((CJ242+CM242)*CP242,2.5*CP242,M242^0.5)</f>
        <v>2.8426353406091054</v>
      </c>
      <c r="CR242" s="40">
        <v>1</v>
      </c>
      <c r="CS242" s="9">
        <f>4*CQ242*P242+60*CQ242</f>
        <v>336.34061350086938</v>
      </c>
      <c r="CU242" s="4">
        <f>AJ242/BF242</f>
        <v>1.2808577222300848</v>
      </c>
      <c r="CV242" s="4">
        <f>AJ242/BK242</f>
        <v>0.66276113614729903</v>
      </c>
      <c r="CW242" s="4">
        <f>AJ242/BN242</f>
        <v>0.96939099825013697</v>
      </c>
      <c r="CX242" s="4">
        <f>AJ242/CS242</f>
        <v>2.4195505115416949</v>
      </c>
      <c r="CY242" s="4">
        <f>AJ242/DZ242</f>
        <v>1.560884934514343</v>
      </c>
      <c r="CZ242" s="4">
        <f>AJ242/EL242</f>
        <v>1.0815801265431821</v>
      </c>
      <c r="DA242" s="4">
        <f>AJ242/GI242</f>
        <v>1.2741789583907734</v>
      </c>
      <c r="DB242" s="4">
        <f>AN242</f>
        <v>0</v>
      </c>
      <c r="DC242" s="4">
        <f>CU242</f>
        <v>1.2808577222300848</v>
      </c>
      <c r="DD242" s="4">
        <f>CV242</f>
        <v>0.66276113614729903</v>
      </c>
      <c r="DE242" s="4">
        <f>CX242</f>
        <v>2.4195505115416949</v>
      </c>
      <c r="DF242" s="4">
        <f>DA242</f>
        <v>1.2741789583907734</v>
      </c>
      <c r="DG242" s="4">
        <f>CY242</f>
        <v>1.560884934514343</v>
      </c>
      <c r="DH242" s="4">
        <f>CZ242</f>
        <v>1.0815801265431821</v>
      </c>
      <c r="DQ242" s="4">
        <f>L242</f>
        <v>370.33199999999999</v>
      </c>
      <c r="DT242" s="4">
        <f>K242/4/(1-0.3*(M242/30)^0.5)/200000/N242</f>
        <v>3.3348105714073671E-5</v>
      </c>
      <c r="DU242" s="4">
        <f>EP242</f>
        <v>9.8254186250777558</v>
      </c>
      <c r="DV242" s="4">
        <f>EC242*AG242/257/M242/AD242</f>
        <v>6.3880234026063132E-2</v>
      </c>
      <c r="DW242" s="4">
        <f>DU242*DV242^0.4</f>
        <v>3.2696228705521442</v>
      </c>
      <c r="DX242" s="4">
        <f>MIN(DU242, DU242/1.4*(1-DV242^1.4)/(1-DV242))</f>
        <v>7.337701481364312</v>
      </c>
      <c r="DY242" s="4">
        <f>MAX(DU242/2, (4-DT242*(8*AG242*(DW242-DX242)+6*K242*DX242))/(4+DT242*K242*DU242)*DU242)</f>
        <v>8.4528484867966771</v>
      </c>
      <c r="DZ242" s="38">
        <f>MIN(1/N242*(4*AG242*(DW242-DX242)+(3*DX242+DY242)*K242)+EC242 -FJ242,MAX(J242,AJ242))</f>
        <v>521.36649246440527</v>
      </c>
      <c r="EA242" s="4">
        <f>DZ242/FF242</f>
        <v>1.0000768383214929</v>
      </c>
      <c r="EB242" s="4">
        <f>AG242/N242</f>
        <v>3.2403703492039297</v>
      </c>
      <c r="EC242" s="4">
        <f>MIN(EB$10*BB242)</f>
        <v>129.90122396686056</v>
      </c>
      <c r="EG242" s="4">
        <f>IF(U242&gt;1*N242,0.85,1)</f>
        <v>0.85</v>
      </c>
      <c r="EH242" s="4">
        <f>MIN(1,MAX(0.7,(1-0.1*(BZ242-1*N242)/N242)))</f>
        <v>0.90500000000000003</v>
      </c>
      <c r="EI242" s="4">
        <f>MIN(1,MAX(0.7,1-0.3*(PI()*AM242^2/4*AQ242*2-0.25*PI()/4*N242^2)/(PI()/4*N242^2)))</f>
        <v>1</v>
      </c>
      <c r="EJ242" s="4">
        <f>IF(EH242*EI242&lt;0.7,0.7,EH242*EI242)</f>
        <v>0.90500000000000003</v>
      </c>
      <c r="EL242" s="4">
        <f>MIN(DU242/N242*3*K242+EM242-FJ242,MAX(J242,AJ242))</f>
        <v>752.41129480552195</v>
      </c>
      <c r="EM242" s="25">
        <f>13.3*Q242*K242^0.5*M242^0.5/X242/N242^2*(0.7+S242/5/K242)</f>
        <v>322.64748414462093</v>
      </c>
      <c r="EO242" s="4">
        <f>EG242*EJ242</f>
        <v>0.76924999999999999</v>
      </c>
      <c r="EP242" s="4">
        <f>IF(N242&lt;22.2,1.1*5*(M242/30)^0.5,IF(N242&gt;=31.8,0.9*5*(M242/30)^0.5,1*5*(M242/30)^0.5))/EG242/EJ242</f>
        <v>9.8254186250777558</v>
      </c>
      <c r="ES242" s="4">
        <f>ET242*N242</f>
        <v>82.305406869779816</v>
      </c>
      <c r="ET242" s="4">
        <f>AF242^0.5</f>
        <v>3.2403703492039302</v>
      </c>
      <c r="EU242" s="4">
        <f>MIN(EC242)/(4700*M242^0.5)/AE242*ES242</f>
        <v>2.8920843475320403E-2</v>
      </c>
      <c r="EX242" s="4">
        <f>EU242</f>
        <v>2.8920843475320403E-2</v>
      </c>
      <c r="EY242" s="4">
        <f>MIN(0.999, EX242/(0.3*(M242/30)^0.5))</f>
        <v>6.3773629821130814E-2</v>
      </c>
      <c r="EZ242" s="4">
        <f>EP242/1*EY242^0.4</f>
        <v>3.2674392204161316</v>
      </c>
      <c r="FA242" s="4">
        <f>EP242/1.4*(1-EY242^1.4)/(1-EY242)</f>
        <v>7.3372381418628532</v>
      </c>
      <c r="FB242" s="4">
        <f>MAX(0,DQ242*FB$9-ES242)</f>
        <v>195.44359313022022</v>
      </c>
      <c r="FC242" s="4">
        <f>MAX(0,DQ242-ES242-FB242)</f>
        <v>92.58299999999997</v>
      </c>
      <c r="FD242" s="4">
        <f>FC242/(1-0.3*(M242/30)^0.5)/200000/N242</f>
        <v>3.3348105714073664E-5</v>
      </c>
      <c r="FE242" s="4">
        <f>MAX(0.5*EP242, (1-2*FD242*(ES242*EZ242+FB242*FA242))/(1/EP242+FD242*FC242))</f>
        <v>8.4530203932366383</v>
      </c>
      <c r="FF242" s="4">
        <f>MIN(4/N242*(1*EZ242*ES242+FA242*FB242+FC242*FE242)+EC242,MAX(J242,AJ242))</f>
        <v>521.32643461621956</v>
      </c>
      <c r="FO242" s="23">
        <f>IF(CU242&lt;0.6,0.6,IF(CU242&lt;0.8,0.8,IF(CU242&lt;1,1,IF(CU242&lt;1.2,1.2,IF(CU242&lt;1.4,1.4,IF(CU242&lt;1.6,1.6,IF(CU242&lt;1.8,1.8,IF(CU242&lt;2,2,2.2))))))))</f>
        <v>1.4</v>
      </c>
      <c r="FP242" s="23">
        <f>IF(CV242&lt;0.6,0.6,IF(CV242&lt;0.8,0.8,IF(CV242&lt;1,1,IF(CV242&lt;1.2,1.2,IF(CV242&lt;1.4,1.4,IF(CV242&lt;1.6,1.6,IF(CV242&lt;1.8,1.8,IF(CV242&lt;2,2,2.2))))))))</f>
        <v>0.8</v>
      </c>
      <c r="FQ242" s="23">
        <f>IF(DA242&lt;0.6,0.6,IF(DA242&lt;0.8,0.8,IF(DA242&lt;1,1,IF(DA242&lt;1.2,1.2,IF(DA242&lt;1.4,1.4,IF(DA242&lt;1.6,1.6,IF(DA242&lt;1.8,1.8,IF(DA242&lt;2,2,2.2))))))))</f>
        <v>1.4</v>
      </c>
      <c r="FR242" s="23">
        <f>IF(CX242&lt;0.6,0.6,IF(CX242&lt;0.8,0.8,IF(CX242&lt;1,1,IF(CX242&lt;1.2,1.2,IF(CX242&lt;1.4,1.4,IF(CX242&lt;1.6,1.6,IF(CX242&lt;1.8,1.8,IF(CX242&lt;2,2,2.2))))))))</f>
        <v>2.2000000000000002</v>
      </c>
      <c r="FS242" s="23">
        <f>IF(CY242&lt;0.6,0.6,IF(CY242&lt;0.8,0.8,IF(CY242&lt;1,1,IF(CY242&lt;1.2,1.2,IF(CY242&lt;1.4,1.4,IF(CY242&lt;1.6,1.6,IF(CY242&lt;1.8,1.8,IF(CY242&lt;2,2,2.2))))))))</f>
        <v>1.6</v>
      </c>
      <c r="FT242" s="23">
        <f>IF(CZ242&lt;0.6,0.6,IF(CZ242&lt;0.8,0.8,IF(CZ242&lt;1,1,IF(CZ242&lt;1.2,1.2,IF(CZ242&lt;1.4,1.4,IF(CZ242&lt;1.6,1.6,IF(CZ242&lt;1.8,1.8,IF(CZ242&lt;2,2,2.2))))))))</f>
        <v>1.2</v>
      </c>
      <c r="FU242" s="23">
        <f>IF(FS242&lt;1,1,0)</f>
        <v>0</v>
      </c>
      <c r="FV242" s="23"/>
      <c r="GF242" s="4">
        <f>IF(S242&gt;=2.5*25.4,1,1.25)</f>
        <v>1</v>
      </c>
      <c r="GG242" s="4">
        <f>IF(AO242&gt;1, 0.05*(18-MIN(8,(W242+N242)/N242))*(1-48000/MAX(60000,(J242*145))*(N242/25.4)^0.75*GH242), 1/12*(14-MIN(8,(W242+N242)/N242)))</f>
        <v>0.65500000000000003</v>
      </c>
      <c r="GH242" s="4">
        <f>MIN(0.3, AM242^2*PI()/4*2*AP242/(N242^2*PI()/4*X242))</f>
        <v>0</v>
      </c>
      <c r="GI242" s="4">
        <f>(K242/25.4)/(N242/25.4)^1.5/0.0024*(M242*145)^0.25/GF242/GG242/145</f>
        <v>638.68038166009069</v>
      </c>
    </row>
    <row r="243" spans="1:191" ht="12" customHeight="1" x14ac:dyDescent="0.3">
      <c r="A243" s="25">
        <v>415</v>
      </c>
      <c r="B243" s="4" t="s">
        <v>605</v>
      </c>
      <c r="C243" s="4">
        <v>2016</v>
      </c>
      <c r="D243" s="4" t="s">
        <v>309</v>
      </c>
      <c r="E243" s="14" t="s">
        <v>678</v>
      </c>
      <c r="F243" s="14"/>
      <c r="G243" s="14">
        <v>10</v>
      </c>
      <c r="H243" s="7" t="s">
        <v>585</v>
      </c>
      <c r="I243" s="5">
        <f>K243/N243</f>
        <v>10.312056737588653</v>
      </c>
      <c r="J243" s="90">
        <f>135/0.145</f>
        <v>931.0344827586207</v>
      </c>
      <c r="K243" s="93">
        <f>14.54*25.4</f>
        <v>369.31599999999997</v>
      </c>
      <c r="L243" s="4">
        <f>K243</f>
        <v>369.31599999999997</v>
      </c>
      <c r="M243" s="92">
        <f>6240/145</f>
        <v>43.03448275862069</v>
      </c>
      <c r="N243" s="38">
        <f>1.41*25.4</f>
        <v>35.813999999999993</v>
      </c>
      <c r="O243" s="7">
        <f>K243/N243</f>
        <v>10.312056737588653</v>
      </c>
      <c r="P243" s="7">
        <f>L243/N243</f>
        <v>10.312056737588653</v>
      </c>
      <c r="Q243" s="38">
        <f>21.4*25.4</f>
        <v>543.55999999999995</v>
      </c>
      <c r="R243" s="32">
        <f>S243/N243</f>
        <v>1.8794326241134751</v>
      </c>
      <c r="S243" s="38">
        <f>2.65*25.4</f>
        <v>67.309999999999988</v>
      </c>
      <c r="T243" s="32">
        <f>U243/N243</f>
        <v>2.2695035460992914</v>
      </c>
      <c r="U243" s="39">
        <f>3.2*25.4</f>
        <v>81.28</v>
      </c>
      <c r="V243" s="32">
        <f>W243/N243</f>
        <v>4.2092198581560281</v>
      </c>
      <c r="W243" s="7">
        <f>(Q243-X243*N243-2*S243)/(X243-1)</f>
        <v>150.74899999999997</v>
      </c>
      <c r="X243" s="38">
        <v>3</v>
      </c>
      <c r="Y243" s="7">
        <f>AN243</f>
        <v>12</v>
      </c>
      <c r="Z243" s="32">
        <f>AA243/N243</f>
        <v>14.18439716312057</v>
      </c>
      <c r="AA243" s="4">
        <f>20*25.4</f>
        <v>508</v>
      </c>
      <c r="AB243" s="7">
        <f>MIN(S243/N243+0.5, W243/2/N243+0.5)</f>
        <v>2.3794326241134751</v>
      </c>
      <c r="AC243" s="7">
        <f>S243/N243+0.5</f>
        <v>2.3794326241134751</v>
      </c>
      <c r="AD243" s="38">
        <v>8.6</v>
      </c>
      <c r="AE243" s="4">
        <f>AD243</f>
        <v>8.6</v>
      </c>
      <c r="AF243" s="4">
        <f>AE243+1</f>
        <v>9.6</v>
      </c>
      <c r="AG243" s="7">
        <f>N243*AF243^0.5</f>
        <v>110.96562044885792</v>
      </c>
      <c r="AJ243" s="38">
        <f>AK243/0.145</f>
        <v>334.48275862068965</v>
      </c>
      <c r="AK243" s="4">
        <v>48.5</v>
      </c>
      <c r="AL243" s="4">
        <f>CY243</f>
        <v>1.2523599085817319</v>
      </c>
      <c r="AM243" s="38">
        <f>0.5*25.4</f>
        <v>12.7</v>
      </c>
      <c r="AN243" s="38">
        <v>12</v>
      </c>
      <c r="AO243" s="39">
        <f>4*25.4</f>
        <v>101.6</v>
      </c>
      <c r="AP243" s="39">
        <v>2</v>
      </c>
      <c r="AQ243" s="39">
        <f>AP243-1</f>
        <v>1</v>
      </c>
      <c r="AR243" s="7"/>
      <c r="AS243" s="4">
        <f>K243</f>
        <v>369.31599999999997</v>
      </c>
      <c r="AT243" s="4">
        <f>IF(K243*3&gt;W243+N243, Q243, (S243+N243/2)*2+1.5*K243*(2*X243-2))*(3*K243)/(9*K243^2)</f>
        <v>0.4906006419073819</v>
      </c>
      <c r="AU243" s="4">
        <f>MIN(10*M243^0.5*K243^1.5,100*3.9*M243^0.5*K243^(5/3))/(PI()/4*N243^2)/X243</f>
        <v>154.05957086781055</v>
      </c>
      <c r="AV243" s="4">
        <f>MIN(0.7+0.3*(MIN(S243,AA243)+0.5*N243)/1.5/K243,1)</f>
        <v>0.74614855570839056</v>
      </c>
      <c r="AW243" s="4">
        <v>1.25</v>
      </c>
      <c r="AX243" s="4">
        <f>AX242</f>
        <v>1</v>
      </c>
      <c r="AY243" s="38">
        <f>AT243*AV243*AW243*AX243*AU243</f>
        <v>70.493993086196852</v>
      </c>
      <c r="AZ243" s="38">
        <f>AY243</f>
        <v>70.493993086196852</v>
      </c>
      <c r="BA243" s="38">
        <f>IF(M243&lt;50, 0.3*M243^(2/3), 2.12*LN(1+0.1*(M243+8)))</f>
        <v>3.684107660000056</v>
      </c>
      <c r="BB243" s="38">
        <f>AX243* (M243^0.5/AS243^0.5)/(PI()/4*N243^2)/X243/0.72 *(0.7+(MIN(S243,AA243)+0.5*N243)/5/K243) *(3*Q243*K243)</f>
        <v>70.493993086196895</v>
      </c>
      <c r="BC243" s="38">
        <f>AY243/BB243</f>
        <v>0.99999999999999944</v>
      </c>
      <c r="BD243" s="38">
        <f>BH243/BB243</f>
        <v>8.5195588849085446</v>
      </c>
      <c r="BE243" s="4">
        <f>IF(BD243&lt;1,1,0)</f>
        <v>0</v>
      </c>
      <c r="BF243" s="4">
        <f>L243/N243*M243^0.5/0.19</f>
        <v>356.04097908203204</v>
      </c>
      <c r="BG243" s="4">
        <f>MIN(0.6+0.4*(AC243/AB243),2)</f>
        <v>1</v>
      </c>
      <c r="BH243" s="38">
        <f>2*M243*AB243*AD243^0.5*BG243*0.7/0.7</f>
        <v>600.57772513019029</v>
      </c>
      <c r="BI243" s="4">
        <f>MAX(1-0.7*AE243/5,0.3)</f>
        <v>0.3</v>
      </c>
      <c r="BJ243" s="4">
        <f>BI243*J243*L243/(J243*N243/2.75/M243^0.5)</f>
        <v>55.809423471108531</v>
      </c>
      <c r="BK243" s="4">
        <f>BH243+BJ243</f>
        <v>656.3871486012988</v>
      </c>
      <c r="BM243" s="4">
        <f>MIN(1.5, 0.75+0.25*MIN(3,MAX(1,S243/N243))+0.4*MIN(1,(40*2*PI()*AM243^2/4/AO243/X243)/N243))</f>
        <v>1.5</v>
      </c>
      <c r="BN243" s="4">
        <f>(3*P243+30)*BM243*M243^0.5</f>
        <v>599.61806485402587</v>
      </c>
      <c r="BP243" s="4">
        <f>3.4/PI()^0.5*M243*AB243*AE243^0.5*BG243</f>
        <v>576.02748426974358</v>
      </c>
      <c r="BQ243" s="4">
        <f>8/3*AH243*AI243^2/(AG243-N243-22)/N243*(AG243^2-N243^2)/(AG243^2-(N243+22)^2)</f>
        <v>0</v>
      </c>
      <c r="BR243" s="4">
        <f>BQ243/BP243</f>
        <v>0</v>
      </c>
      <c r="BZ243" s="4">
        <f>IF(W243=0,S243,MIN(W243/2,S243))</f>
        <v>67.309999999999988</v>
      </c>
      <c r="CD243" s="9"/>
      <c r="CF243" s="9"/>
      <c r="CG243" s="9"/>
      <c r="CH243" s="9">
        <f>IF(W243=0,MIN(S243,U243),MIN(W243/2,S243,U243))</f>
        <v>67.309999999999988</v>
      </c>
      <c r="CI243" s="9">
        <f>MAX(W243/2,S243)</f>
        <v>75.374499999999983</v>
      </c>
      <c r="CJ243" s="9">
        <f>(CH243/N243)^0.5*(CI243/CH243)^0.15</f>
        <v>1.3943927264184584</v>
      </c>
      <c r="CK243" s="70">
        <f>IF(AO243&gt;1,20,0)</f>
        <v>20</v>
      </c>
      <c r="CL243" s="9">
        <f>MIN(PI()*AM243^2/4*AN243*2/X243/N243/MAX(0.01,AO243),0.05)</f>
        <v>0.05</v>
      </c>
      <c r="CM243" s="9">
        <f>MAX(0,CK243*(CL243-0.5/50))</f>
        <v>0.8</v>
      </c>
      <c r="CN243" s="9">
        <f>MIN(1,(25/N243)^0.3)</f>
        <v>0.89777220146327208</v>
      </c>
      <c r="CO243" s="9">
        <f>IF(J243&gt;=800,0.68,IF(J243&gt;=700,0.75-(J243-700)*0.07/100,IF(J243&gt;=600,0.85-(J243-600)*0.1/100,IF(J243&gt;=500,1-(J243-500)*0.15/100,1.2-(J243-400)*0.2/100))))</f>
        <v>0.68</v>
      </c>
      <c r="CP243" s="9">
        <f>1.75*CN243*CO243*(M243/25)^0.5</f>
        <v>1.4016881590631138</v>
      </c>
      <c r="CQ243" s="9">
        <f>MIN((CJ243+CM243)*CP243,2.5*CP243,M243^0.5)</f>
        <v>3.0758543009549761</v>
      </c>
      <c r="CR243" s="40">
        <v>1</v>
      </c>
      <c r="CS243" s="9">
        <f>4*CQ243*P243+60*CQ243</f>
        <v>311.42479432931378</v>
      </c>
      <c r="CU243" s="4">
        <f>AJ243/BF243</f>
        <v>0.93945017082886029</v>
      </c>
      <c r="CV243" s="4">
        <f>AJ243/BK243</f>
        <v>0.50958151653858841</v>
      </c>
      <c r="CW243" s="4">
        <f>AJ243/BN243</f>
        <v>0.55782635351741428</v>
      </c>
      <c r="CX243" s="4">
        <f>AJ243/CS243</f>
        <v>1.0740402328627483</v>
      </c>
      <c r="CY243" s="4">
        <f>AJ243/DZ243</f>
        <v>1.2523599085817319</v>
      </c>
      <c r="CZ243" s="4">
        <f>AJ243/EL243</f>
        <v>0.85852739822939572</v>
      </c>
      <c r="DA243" s="4">
        <f>AJ243/GI243</f>
        <v>0.8900725411588033</v>
      </c>
      <c r="DB243" s="4">
        <f>AN243</f>
        <v>12</v>
      </c>
      <c r="DI243" s="4">
        <f>CU243</f>
        <v>0.93945017082886029</v>
      </c>
      <c r="DJ243" s="4">
        <f>CV243</f>
        <v>0.50958151653858841</v>
      </c>
      <c r="DK243" s="4">
        <f>CX243</f>
        <v>1.0740402328627483</v>
      </c>
      <c r="DL243" s="4">
        <f>DA243</f>
        <v>0.8900725411588033</v>
      </c>
      <c r="DM243" s="4">
        <f>CY243</f>
        <v>1.2523599085817319</v>
      </c>
      <c r="DN243" s="4">
        <f>CZ243</f>
        <v>0.85852739822939572</v>
      </c>
      <c r="DQ243" s="4">
        <f>L243</f>
        <v>369.31599999999997</v>
      </c>
      <c r="DT243" s="4">
        <f>K243/4/(1-0.3*(M243/30)^0.5)/200000/N243</f>
        <v>2.0119035014818761E-5</v>
      </c>
      <c r="DU243" s="4">
        <f>EP243</f>
        <v>6.9552766057760431</v>
      </c>
      <c r="DV243" s="4">
        <f>EC243*AG243/257/M243/AD243</f>
        <v>8.2241759919152821E-2</v>
      </c>
      <c r="DW243" s="4">
        <f>DU243*DV243^0.4</f>
        <v>2.5606567390465091</v>
      </c>
      <c r="DX243" s="4">
        <f>MIN(DU243, DU243/1.4*(1-DV243^1.4)/(1-DV243))</f>
        <v>5.24934671903344</v>
      </c>
      <c r="DY243" s="4">
        <f>MAX(DU243/2, (4-DT243*(8*AG243*(DW243-DX243)+6*K243*DX243))/(4+DT243*K243*DU243)*DU243)</f>
        <v>6.5472587608284476</v>
      </c>
      <c r="DZ243" s="38">
        <f>MIN(1/N243*(4*AG243*(DW243-DX243)+(3*DX243+DY243)*K243)+EC243 -FJ243,MAX(J243,AJ243))</f>
        <v>267.08197565944403</v>
      </c>
      <c r="EA243" s="4">
        <f>DZ243/FF243</f>
        <v>1.0001045515320819</v>
      </c>
      <c r="EB243" s="4">
        <f>AG243/N243</f>
        <v>3.0983866769659336</v>
      </c>
      <c r="EC243" s="4">
        <f>MIN(EB$10*BB243)</f>
        <v>70.493993086196895</v>
      </c>
      <c r="EG243" s="4">
        <f>IF(U243&gt;1*N243,0.85,1)</f>
        <v>0.85</v>
      </c>
      <c r="EH243" s="4">
        <f>MIN(1,MAX(0.7,(1-0.1*(BZ243-1*N243)/N243)))</f>
        <v>0.91205673758865247</v>
      </c>
      <c r="EI243" s="4">
        <f>MIN(1,MAX(0.7,1-0.3*(PI()*AM243^2/4*AQ243*2-0.25*PI()/4*N243^2)/(PI()/4*N243^2)))</f>
        <v>0.9995510789195714</v>
      </c>
      <c r="EJ243" s="4">
        <f>IF(EH243*EI243&lt;0.7,0.7,EH243*EI243)</f>
        <v>0.91164729609260198</v>
      </c>
      <c r="EL243" s="4">
        <f>MIN(DU243/N243*3*K243+EM243-FJ243,MAX(J243,AJ243))</f>
        <v>389.600564071127</v>
      </c>
      <c r="EM243" s="25">
        <f>13.3*Q243*K243^0.5*M243^0.5/X243/N243^2*(0.7+S243/5/K243)</f>
        <v>174.4309431179702</v>
      </c>
      <c r="EO243" s="4">
        <f>EG243*EJ243</f>
        <v>0.77490020167871165</v>
      </c>
      <c r="EP243" s="4">
        <f>IF(N243&lt;22.2,1.1*5*(M243/30)^0.5,IF(N243&gt;=31.8,0.9*5*(M243/30)^0.5,1*5*(M243/30)^0.5))/EG243/EJ243</f>
        <v>6.9552766057760431</v>
      </c>
      <c r="ES243" s="4">
        <f>ET243*N243</f>
        <v>110.96562044885792</v>
      </c>
      <c r="ET243" s="4">
        <f>AF243^0.5</f>
        <v>3.0983866769659336</v>
      </c>
      <c r="EU243" s="4">
        <f>MIN(EC243)/(4700*M243^0.5)/AE243*ES243</f>
        <v>2.9500946805768924E-2</v>
      </c>
      <c r="EX243" s="4">
        <f>EU243</f>
        <v>2.9500946805768924E-2</v>
      </c>
      <c r="EY243" s="4">
        <f>MIN(0.999, EX243/(0.3*(M243/30)^0.5))</f>
        <v>8.2104513749628155E-2</v>
      </c>
      <c r="EZ243" s="4">
        <f>EP243/1*EY243^0.4</f>
        <v>2.5589465789889494</v>
      </c>
      <c r="FA243" s="4">
        <f>EP243/1.4*(1-EY243^1.4)/(1-EY243)</f>
        <v>5.2489445711384128</v>
      </c>
      <c r="FB243" s="4">
        <f>MAX(0,DQ243*FB$9-ES243)</f>
        <v>166.02137955114205</v>
      </c>
      <c r="FC243" s="4">
        <f>MAX(0,DQ243-ES243-FB243)</f>
        <v>92.329000000000008</v>
      </c>
      <c r="FD243" s="4">
        <f>FC243/(1-0.3*(M243/30)^0.5)/200000/N243</f>
        <v>2.0119035014818764E-5</v>
      </c>
      <c r="FE243" s="4">
        <f>MAX(0.5*EP243, (1-2*FD243*(ES243*EZ243+FB243*FA243))/(1/EP243+FD243*FC243))</f>
        <v>6.5473296404801005</v>
      </c>
      <c r="FF243" s="4">
        <f>MIN(4/N243*(1*EZ243*ES243+FA243*FB243+FC243*FE243)+EC243,MAX(J243,AJ243))</f>
        <v>267.05405474887135</v>
      </c>
      <c r="FO243" s="23">
        <f>IF(CU243&lt;0.6,0.6,IF(CU243&lt;0.8,0.8,IF(CU243&lt;1,1,IF(CU243&lt;1.2,1.2,IF(CU243&lt;1.4,1.4,IF(CU243&lt;1.6,1.6,IF(CU243&lt;1.8,1.8,IF(CU243&lt;2,2,2.2))))))))</f>
        <v>1</v>
      </c>
      <c r="FP243" s="23">
        <f>IF(CV243&lt;0.6,0.6,IF(CV243&lt;0.8,0.8,IF(CV243&lt;1,1,IF(CV243&lt;1.2,1.2,IF(CV243&lt;1.4,1.4,IF(CV243&lt;1.6,1.6,IF(CV243&lt;1.8,1.8,IF(CV243&lt;2,2,2.2))))))))</f>
        <v>0.6</v>
      </c>
      <c r="FQ243" s="23">
        <f>IF(DA243&lt;0.6,0.6,IF(DA243&lt;0.8,0.8,IF(DA243&lt;1,1,IF(DA243&lt;1.2,1.2,IF(DA243&lt;1.4,1.4,IF(DA243&lt;1.6,1.6,IF(DA243&lt;1.8,1.8,IF(DA243&lt;2,2,2.2))))))))</f>
        <v>1</v>
      </c>
      <c r="FR243" s="23">
        <f>IF(CX243&lt;0.6,0.6,IF(CX243&lt;0.8,0.8,IF(CX243&lt;1,1,IF(CX243&lt;1.2,1.2,IF(CX243&lt;1.4,1.4,IF(CX243&lt;1.6,1.6,IF(CX243&lt;1.8,1.8,IF(CX243&lt;2,2,2.2))))))))</f>
        <v>1.2</v>
      </c>
      <c r="FS243" s="23">
        <f>IF(CY243&lt;0.6,0.6,IF(CY243&lt;0.8,0.8,IF(CY243&lt;1,1,IF(CY243&lt;1.2,1.2,IF(CY243&lt;1.4,1.4,IF(CY243&lt;1.6,1.6,IF(CY243&lt;1.8,1.8,IF(CY243&lt;2,2,2.2))))))))</f>
        <v>1.4</v>
      </c>
      <c r="FT243" s="23">
        <f>IF(CZ243&lt;0.6,0.6,IF(CZ243&lt;0.8,0.8,IF(CZ243&lt;1,1,IF(CZ243&lt;1.2,1.2,IF(CZ243&lt;1.4,1.4,IF(CZ243&lt;1.6,1.6,IF(CZ243&lt;1.8,1.8,IF(CZ243&lt;2,2,2.2))))))))</f>
        <v>1</v>
      </c>
      <c r="FU243" s="23">
        <f>IF(FS243&lt;1,1,0)</f>
        <v>0</v>
      </c>
      <c r="FV243" s="23"/>
      <c r="GF243" s="4">
        <f>IF(S243&gt;=2.5*25.4,1,1.25)</f>
        <v>1</v>
      </c>
      <c r="GG243" s="4">
        <f>IF(AO243&gt;1, 0.05*(18-MIN(8,(W243+N243)/N243))*(1-48000/MAX(60000,(J243*145))*(N243/25.4)^0.75*GH243), 1/12*(14-MIN(8,(W243+N243)/N243)))</f>
        <v>0.59020693452459627</v>
      </c>
      <c r="GH243" s="4">
        <f>MIN(0.3, AM243^2*PI()/4*2*AP243/(N243^2*PI()/4*X243))</f>
        <v>0.16766426906761905</v>
      </c>
      <c r="GI243" s="4">
        <f>(K243/25.4)/(N243/25.4)^1.5/0.0024*(M243*145)^0.25/GF243/GG243/145</f>
        <v>375.79269458781397</v>
      </c>
    </row>
    <row r="244" spans="1:191" ht="12" customHeight="1" x14ac:dyDescent="0.3">
      <c r="A244" s="25">
        <v>402</v>
      </c>
      <c r="B244" s="4" t="s">
        <v>605</v>
      </c>
      <c r="C244" s="4">
        <v>2016</v>
      </c>
      <c r="D244" s="4" t="s">
        <v>309</v>
      </c>
      <c r="E244" s="14" t="s">
        <v>677</v>
      </c>
      <c r="F244" s="14"/>
      <c r="G244" s="14">
        <v>12</v>
      </c>
      <c r="H244" s="7" t="s">
        <v>571</v>
      </c>
      <c r="I244" s="5">
        <f>K244/N244</f>
        <v>10.312056737588653</v>
      </c>
      <c r="J244" s="90">
        <f>135/0.145</f>
        <v>931.0344827586207</v>
      </c>
      <c r="K244" s="93">
        <f>14.54*25.4</f>
        <v>369.31599999999997</v>
      </c>
      <c r="L244" s="4">
        <f>K244</f>
        <v>369.31599999999997</v>
      </c>
      <c r="M244" s="78">
        <f>8720/145</f>
        <v>60.137931034482762</v>
      </c>
      <c r="N244" s="38">
        <f>1.41*25.4</f>
        <v>35.813999999999993</v>
      </c>
      <c r="O244" s="7">
        <f>K244/N244</f>
        <v>10.312056737588653</v>
      </c>
      <c r="P244" s="7">
        <f>L244/N244</f>
        <v>10.312056737588653</v>
      </c>
      <c r="Q244" s="38">
        <f>21.8*25.4</f>
        <v>553.72</v>
      </c>
      <c r="R244" s="32">
        <f>S244/N244</f>
        <v>1.8085106382978726</v>
      </c>
      <c r="S244" s="38">
        <f>2.55*25.4</f>
        <v>64.77</v>
      </c>
      <c r="T244" s="32">
        <f>U244/N244</f>
        <v>2.3120567375886525</v>
      </c>
      <c r="U244" s="39">
        <f>3.26*25.4</f>
        <v>82.803999999999988</v>
      </c>
      <c r="V244" s="32">
        <f>W244/N244</f>
        <v>4.4219858156028389</v>
      </c>
      <c r="W244" s="7">
        <f>(Q244-X244*N244-2*S244)/(X244-1)</f>
        <v>158.36900000000003</v>
      </c>
      <c r="X244" s="38">
        <v>3</v>
      </c>
      <c r="Y244" s="7">
        <f>AN244</f>
        <v>4</v>
      </c>
      <c r="Z244" s="32">
        <f>AA244/N244</f>
        <v>14.18439716312057</v>
      </c>
      <c r="AA244" s="4">
        <f>20*25.4</f>
        <v>508</v>
      </c>
      <c r="AB244" s="7">
        <f>MIN(S244/N244+0.5, W244/2/N244+0.5)</f>
        <v>2.3085106382978724</v>
      </c>
      <c r="AC244" s="7">
        <f>S244/N244+0.5</f>
        <v>2.3085106382978724</v>
      </c>
      <c r="AD244" s="38">
        <v>3.8</v>
      </c>
      <c r="AE244" s="4">
        <f>AD244</f>
        <v>3.8</v>
      </c>
      <c r="AF244" s="4">
        <f>AE244+1</f>
        <v>4.8</v>
      </c>
      <c r="AG244" s="7">
        <f>N244*AF244^0.5</f>
        <v>78.464542697960056</v>
      </c>
      <c r="AJ244" s="38">
        <f>AK244/0.145</f>
        <v>320.68965517241384</v>
      </c>
      <c r="AK244" s="4">
        <v>46.5</v>
      </c>
      <c r="AL244" s="4">
        <f>CY244</f>
        <v>0.97005999442265467</v>
      </c>
      <c r="AM244" s="38">
        <f>0.5*25.4</f>
        <v>12.7</v>
      </c>
      <c r="AN244" s="38">
        <v>4</v>
      </c>
      <c r="AO244" s="39">
        <f>8*25.4</f>
        <v>203.2</v>
      </c>
      <c r="AP244" s="39">
        <v>2</v>
      </c>
      <c r="AQ244" s="39">
        <f>AP244-1</f>
        <v>1</v>
      </c>
      <c r="AR244" s="7"/>
      <c r="AS244" s="4">
        <f>K244</f>
        <v>369.31599999999997</v>
      </c>
      <c r="AT244" s="4">
        <f>IF(K244*3&gt;W244+N244, Q244, (S244+N244/2)*2+1.5*K244*(2*X244-2))*(3*K244)/(9*K244^2)</f>
        <v>0.49977074736359473</v>
      </c>
      <c r="AU244" s="4">
        <f>MIN(10*M244^0.5*K244^1.5,100*3.9*M244^0.5*K244^(5/3))/(PI()/4*N244^2)/X244</f>
        <v>182.1187376827082</v>
      </c>
      <c r="AV244" s="4">
        <f>MIN(0.7+0.3*(MIN(S244,AA244)+0.5*N244)/1.5/K244,1)</f>
        <v>0.74477303988995869</v>
      </c>
      <c r="AW244" s="4">
        <v>1.25</v>
      </c>
      <c r="AX244" s="4">
        <f>AX243</f>
        <v>1</v>
      </c>
      <c r="AY244" s="38">
        <f>AT244*AV244*AW244*AX244*AU244</f>
        <v>84.734334717165922</v>
      </c>
      <c r="AZ244" s="38">
        <f>AY244</f>
        <v>84.734334717165922</v>
      </c>
      <c r="BA244" s="38">
        <f>IF(M244&lt;50, 0.3*M244^(2/3), 2.12*LN(1+0.1*(M244+8)))</f>
        <v>4.3584878994477556</v>
      </c>
      <c r="BB244" s="38">
        <f>AX244* (M244^0.5/AS244^0.5)/(PI()/4*N244^2)/X244/0.72 *(0.7+(MIN(S244,AA244)+0.5*N244)/5/K244) *(3*Q244*K244)</f>
        <v>84.73433471716595</v>
      </c>
      <c r="BC244" s="38">
        <f>AY244/BB244</f>
        <v>0.99999999999999967</v>
      </c>
      <c r="BD244" s="38">
        <f>BH244/BB244</f>
        <v>6.3876738450079937</v>
      </c>
      <c r="BE244" s="4">
        <f>IF(BD244&lt;1,1,0)</f>
        <v>0</v>
      </c>
      <c r="BF244" s="4">
        <f>L244/N244*M244^0.5/0.19</f>
        <v>420.88740938641234</v>
      </c>
      <c r="BG244" s="4">
        <f>MIN(0.6+0.4*(AC244/AB244),2)</f>
        <v>1</v>
      </c>
      <c r="BH244" s="38">
        <f>2*M244*AB244*AD244^0.5*BG244*0.7/0.7</f>
        <v>541.25529364699378</v>
      </c>
      <c r="BI244" s="4">
        <f>MAX(1-0.7*AE244/5,0.3)</f>
        <v>0.46800000000000008</v>
      </c>
      <c r="BJ244" s="4">
        <f>BI244*J244*L244/(J244*N244/2.75/M244^0.5)</f>
        <v>102.91959821725945</v>
      </c>
      <c r="BK244" s="4">
        <f>BH244+BJ244</f>
        <v>644.17489186425325</v>
      </c>
      <c r="BM244" s="4">
        <f>MIN(1.5, 0.75+0.25*MIN(3,MAX(1,S244/N244))+0.4*MIN(1,(40*2*PI()*AM244^2/4/AO244/X244)/N244))</f>
        <v>1.3878009842547159</v>
      </c>
      <c r="BN244" s="4">
        <f>(3*P244+30)*BM244*M244^0.5</f>
        <v>655.80781580778012</v>
      </c>
      <c r="BP244" s="4">
        <f>3.4/PI()^0.5*M244*AB244*AE244^0.5*BG244</f>
        <v>519.1300178167171</v>
      </c>
      <c r="BQ244" s="4">
        <f>8/3*AH244*AI244^2/(AG244-N244-22)/N244*(AG244^2-N244^2)/(AG244^2-(N244+22)^2)</f>
        <v>0</v>
      </c>
      <c r="BR244" s="4">
        <f>BQ244/BP244</f>
        <v>0</v>
      </c>
      <c r="BZ244" s="4">
        <f>IF(W244=0,S244,MIN(W244/2,S244))</f>
        <v>64.77</v>
      </c>
      <c r="CD244" s="9"/>
      <c r="CF244" s="9"/>
      <c r="CG244" s="9"/>
      <c r="CH244" s="9">
        <f>IF(W244=0,MIN(S244,U244),MIN(W244/2,S244,U244))</f>
        <v>64.77</v>
      </c>
      <c r="CI244" s="9">
        <f>MAX(W244/2,S244)</f>
        <v>79.184500000000014</v>
      </c>
      <c r="CJ244" s="9">
        <f>(CH244/N244)^0.5*(CI244/CH244)^0.15</f>
        <v>1.3859592972879591</v>
      </c>
      <c r="CK244" s="70">
        <f>IF(AO244&gt;1,20,0)</f>
        <v>20</v>
      </c>
      <c r="CL244" s="9">
        <f>MIN(PI()*AM244^2/4*AN244*2/X244/N244/MAX(0.01,AO244),0.05)</f>
        <v>4.6418331170061958E-2</v>
      </c>
      <c r="CM244" s="9">
        <f>MAX(0,CK244*(CL244-0.5/50))</f>
        <v>0.72836662340123914</v>
      </c>
      <c r="CN244" s="9">
        <f>MIN(1,(25/N244)^0.3)</f>
        <v>0.89777220146327208</v>
      </c>
      <c r="CO244" s="9">
        <f>IF(J244&gt;=800,0.68,IF(J244&gt;=700,0.75-(J244-700)*0.07/100,IF(J244&gt;=600,0.85-(J244-600)*0.1/100,IF(J244&gt;=500,1-(J244-500)*0.15/100,1.2-(J244-400)*0.2/100))))</f>
        <v>0.68</v>
      </c>
      <c r="CP244" s="9">
        <f>1.75*CN244*CO244*(M244/25)^0.5</f>
        <v>1.656980327255414</v>
      </c>
      <c r="CQ244" s="9">
        <f>MIN((CJ244+CM244)*CP244,2.5*CP244,M244^0.5)</f>
        <v>3.503396455988192</v>
      </c>
      <c r="CR244" s="40">
        <v>1</v>
      </c>
      <c r="CS244" s="9">
        <f>4*CQ244*P244+60*CQ244</f>
        <v>354.71267947296053</v>
      </c>
      <c r="CU244" s="4">
        <f>AJ244/BF244</f>
        <v>0.7619369171435395</v>
      </c>
      <c r="CV244" s="4">
        <f>AJ244/BK244</f>
        <v>0.49783010673441874</v>
      </c>
      <c r="CW244" s="4">
        <f>AJ244/BN244</f>
        <v>0.48899944075446833</v>
      </c>
      <c r="CX244" s="4">
        <f>AJ244/CS244</f>
        <v>0.90408286404901339</v>
      </c>
      <c r="CY244" s="4">
        <f>AJ244/DZ244</f>
        <v>0.97005999442265467</v>
      </c>
      <c r="CZ244" s="4">
        <f>AJ244/EL244</f>
        <v>0.69404556824261776</v>
      </c>
      <c r="DA244" s="4">
        <f>AJ244/GI244</f>
        <v>0.7718247303008392</v>
      </c>
      <c r="DB244" s="4">
        <f>AN244</f>
        <v>4</v>
      </c>
      <c r="DI244" s="4">
        <f>CU244</f>
        <v>0.7619369171435395</v>
      </c>
      <c r="DJ244" s="4">
        <f>CV244</f>
        <v>0.49783010673441874</v>
      </c>
      <c r="DK244" s="4">
        <f>CX244</f>
        <v>0.90408286404901339</v>
      </c>
      <c r="DL244" s="4">
        <f>DA244</f>
        <v>0.7718247303008392</v>
      </c>
      <c r="DM244" s="4">
        <f>CY244</f>
        <v>0.97005999442265467</v>
      </c>
      <c r="DN244" s="4">
        <f>CZ244</f>
        <v>0.69404556824261776</v>
      </c>
      <c r="DQ244" s="4">
        <f>L244</f>
        <v>369.31599999999997</v>
      </c>
      <c r="DT244" s="4">
        <f>K244/4/(1-0.3*(M244/30)^0.5)/200000/N244</f>
        <v>2.2407828565630739E-5</v>
      </c>
      <c r="DU244" s="4">
        <f>EP244</f>
        <v>8.1586127714079559</v>
      </c>
      <c r="DV244" s="4">
        <f>EC244*AG244/257/M244/AD244</f>
        <v>0.11320553703658198</v>
      </c>
      <c r="DW244" s="4">
        <f>DU244*DV244^0.4</f>
        <v>3.4132129806841465</v>
      </c>
      <c r="DX244" s="4">
        <f>MIN(DU244, DU244/1.4*(1-DV244^1.4)/(1-DV244))</f>
        <v>6.2602831139994821</v>
      </c>
      <c r="DY244" s="4">
        <f>MAX(DU244/2, (4-DT244*(8*AG244*(DW244-DX244)+6*K244*DX244))/(4+DT244*K244*DU244)*DU244)</f>
        <v>7.4800208077926209</v>
      </c>
      <c r="DZ244" s="38">
        <f>MIN(1/N244*(4*AG244*(DW244-DX244)+(3*DX244+DY244)*K244)+EC244 -FJ244,MAX(J244,AJ244))</f>
        <v>330.58744512320288</v>
      </c>
      <c r="EA244" s="4">
        <f>DZ244/FF244</f>
        <v>1.0000977689804336</v>
      </c>
      <c r="EB244" s="4">
        <f>AG244/N244</f>
        <v>2.1908902300206643</v>
      </c>
      <c r="EC244" s="4">
        <f>MIN(EB$10*BB244)</f>
        <v>84.73433471716595</v>
      </c>
      <c r="EG244" s="4">
        <f>IF(U244&gt;1*N244,0.85,1)</f>
        <v>0.85</v>
      </c>
      <c r="EH244" s="4">
        <f>MIN(1,MAX(0.7,(1-0.1*(BZ244-1*N244)/N244)))</f>
        <v>0.91914893617021276</v>
      </c>
      <c r="EI244" s="4">
        <f>MIN(1,MAX(0.7,1-0.3*(PI()*AM244^2/4*AQ244*2-0.25*PI()/4*N244^2)/(PI()/4*N244^2)))</f>
        <v>0.9995510789195714</v>
      </c>
      <c r="EJ244" s="4">
        <f>IF(EH244*EI244&lt;0.7,0.7,EH244*EI244)</f>
        <v>0.91873631083671248</v>
      </c>
      <c r="EL244" s="4">
        <f>MIN(DU244/N244*3*K244+EM244-FJ244,MAX(J244,AJ244))</f>
        <v>462.0585014099683</v>
      </c>
      <c r="EM244" s="25">
        <f>13.3*Q244*K244^0.5*M244^0.5/X244/N244^2*(0.7+S244/5/K244)</f>
        <v>209.66226801364556</v>
      </c>
      <c r="EO244" s="4">
        <f>EG244*EJ244</f>
        <v>0.78092586421120558</v>
      </c>
      <c r="EP244" s="4">
        <f>IF(N244&lt;22.2,1.1*5*(M244/30)^0.5,IF(N244&gt;=31.8,0.9*5*(M244/30)^0.5,1*5*(M244/30)^0.5))/EG244/EJ244</f>
        <v>8.1586127714079559</v>
      </c>
      <c r="ES244" s="4">
        <f>ET244*N244</f>
        <v>78.464542697960056</v>
      </c>
      <c r="ET244" s="4">
        <f>AF244^0.5</f>
        <v>2.1908902300206643</v>
      </c>
      <c r="EU244" s="4">
        <f>MIN(EC244)/(4700*M244^0.5)/AE244*ES244</f>
        <v>4.8003972253344095E-2</v>
      </c>
      <c r="EX244" s="4">
        <f>EU244</f>
        <v>4.8003972253344095E-2</v>
      </c>
      <c r="EY244" s="4">
        <f>MIN(0.999, EX244/(0.3*(M244/30)^0.5))</f>
        <v>0.11301661809391192</v>
      </c>
      <c r="EZ244" s="4">
        <f>EP244/1*EY244^0.4</f>
        <v>3.4109334324657143</v>
      </c>
      <c r="FA244" s="4">
        <f>EP244/1.4*(1-EY244^1.4)/(1-EY244)</f>
        <v>6.2596764726810248</v>
      </c>
      <c r="FB244" s="4">
        <f>MAX(0,DQ244*FB$9-ES244)</f>
        <v>198.52245730203992</v>
      </c>
      <c r="FC244" s="4">
        <f>MAX(0,DQ244-ES244-FB244)</f>
        <v>92.329000000000008</v>
      </c>
      <c r="FD244" s="4">
        <f>FC244/(1-0.3*(M244/30)^0.5)/200000/N244</f>
        <v>2.2407828565630742E-5</v>
      </c>
      <c r="FE244" s="4">
        <f>MAX(0.5*EP244, (1-2*FD244*(ES244*EZ244+FB244*FA244))/(1/EP244+FD244*FC244))</f>
        <v>7.480128423847634</v>
      </c>
      <c r="FF244" s="4">
        <f>MIN(4/N244*(1*EZ244*ES244+FA244*FB244+FC244*FE244)+EC244,MAX(J244,AJ244))</f>
        <v>330.55512708545064</v>
      </c>
      <c r="FO244" s="23">
        <f>IF(CU244&lt;0.6,0.6,IF(CU244&lt;0.8,0.8,IF(CU244&lt;1,1,IF(CU244&lt;1.2,1.2,IF(CU244&lt;1.4,1.4,IF(CU244&lt;1.6,1.6,IF(CU244&lt;1.8,1.8,IF(CU244&lt;2,2,2.2))))))))</f>
        <v>0.8</v>
      </c>
      <c r="FP244" s="23">
        <f>IF(CV244&lt;0.6,0.6,IF(CV244&lt;0.8,0.8,IF(CV244&lt;1,1,IF(CV244&lt;1.2,1.2,IF(CV244&lt;1.4,1.4,IF(CV244&lt;1.6,1.6,IF(CV244&lt;1.8,1.8,IF(CV244&lt;2,2,2.2))))))))</f>
        <v>0.6</v>
      </c>
      <c r="FQ244" s="23">
        <f>IF(DA244&lt;0.6,0.6,IF(DA244&lt;0.8,0.8,IF(DA244&lt;1,1,IF(DA244&lt;1.2,1.2,IF(DA244&lt;1.4,1.4,IF(DA244&lt;1.6,1.6,IF(DA244&lt;1.8,1.8,IF(DA244&lt;2,2,2.2))))))))</f>
        <v>0.8</v>
      </c>
      <c r="FR244" s="23">
        <f>IF(CX244&lt;0.6,0.6,IF(CX244&lt;0.8,0.8,IF(CX244&lt;1,1,IF(CX244&lt;1.2,1.2,IF(CX244&lt;1.4,1.4,IF(CX244&lt;1.6,1.6,IF(CX244&lt;1.8,1.8,IF(CX244&lt;2,2,2.2))))))))</f>
        <v>1</v>
      </c>
      <c r="FS244" s="23">
        <f>IF(CY244&lt;0.6,0.6,IF(CY244&lt;0.8,0.8,IF(CY244&lt;1,1,IF(CY244&lt;1.2,1.2,IF(CY244&lt;1.4,1.4,IF(CY244&lt;1.6,1.6,IF(CY244&lt;1.8,1.8,IF(CY244&lt;2,2,2.2))))))))</f>
        <v>1</v>
      </c>
      <c r="FT244" s="23">
        <f>IF(CZ244&lt;0.6,0.6,IF(CZ244&lt;0.8,0.8,IF(CZ244&lt;1,1,IF(CZ244&lt;1.2,1.2,IF(CZ244&lt;1.4,1.4,IF(CZ244&lt;1.6,1.6,IF(CZ244&lt;1.8,1.8,IF(CZ244&lt;2,2,2.2))))))))</f>
        <v>0.8</v>
      </c>
      <c r="FU244" s="23">
        <f>IF(FS244&lt;1,1,0)</f>
        <v>0</v>
      </c>
      <c r="FV244" s="23"/>
      <c r="GF244" s="4">
        <f>IF(S244&gt;=2.5*25.4,1,1.25)</f>
        <v>1</v>
      </c>
      <c r="GG244" s="4">
        <f>IF(AO244&gt;1, 0.05*(18-MIN(8,(W244+N244)/N244))*(1-48000/MAX(60000,(J244*145))*(N244/25.4)^0.75*GH244), 1/12*(14-MIN(8,(W244+N244)/N244)))</f>
        <v>0.58038924223974031</v>
      </c>
      <c r="GH244" s="4">
        <f>MIN(0.3, AM244^2*PI()/4*2*AP244/(N244^2*PI()/4*X244))</f>
        <v>0.16766426906761905</v>
      </c>
      <c r="GI244" s="4">
        <f>(K244/25.4)/(N244/25.4)^1.5/0.0024*(M244*145)^0.25/GF244/GG244/145</f>
        <v>415.49543903240379</v>
      </c>
    </row>
    <row r="245" spans="1:191" ht="12" customHeight="1" x14ac:dyDescent="0.3">
      <c r="A245" s="25">
        <v>315</v>
      </c>
      <c r="B245" s="4" t="s">
        <v>605</v>
      </c>
      <c r="C245" s="4">
        <v>2016</v>
      </c>
      <c r="D245" s="4" t="s">
        <v>309</v>
      </c>
      <c r="E245" s="24" t="s">
        <v>669</v>
      </c>
      <c r="F245" s="24"/>
      <c r="G245" s="4">
        <v>32</v>
      </c>
      <c r="H245" s="7" t="s">
        <v>476</v>
      </c>
      <c r="I245" s="5">
        <f>K245/N245</f>
        <v>14.54</v>
      </c>
      <c r="J245" s="91">
        <f>120/0.145</f>
        <v>827.58620689655174</v>
      </c>
      <c r="K245" s="38">
        <f>14.54*25.4</f>
        <v>369.31599999999997</v>
      </c>
      <c r="L245" s="4">
        <f>K245</f>
        <v>369.31599999999997</v>
      </c>
      <c r="M245" s="99">
        <f>10180/145</f>
        <v>70.206896551724142</v>
      </c>
      <c r="N245" s="96">
        <f>1*25.4</f>
        <v>25.4</v>
      </c>
      <c r="O245" s="7">
        <f>K245/N245</f>
        <v>14.54</v>
      </c>
      <c r="P245" s="7">
        <f>L245/N245</f>
        <v>14.54</v>
      </c>
      <c r="Q245" s="38">
        <f>20*25.4</f>
        <v>508</v>
      </c>
      <c r="R245" s="32">
        <f>S245/N245</f>
        <v>2.5</v>
      </c>
      <c r="S245" s="38">
        <f>2.5*25.4</f>
        <v>63.5</v>
      </c>
      <c r="T245" s="32">
        <f>U245/N245</f>
        <v>2.9999999999999996</v>
      </c>
      <c r="U245" s="39">
        <f>3*25.4</f>
        <v>76.199999999999989</v>
      </c>
      <c r="V245" s="32">
        <f>W245/N245</f>
        <v>6.0000000000000009</v>
      </c>
      <c r="W245" s="7">
        <f>(Q245-X245*N245-2*S245)/(X245-1)</f>
        <v>152.4</v>
      </c>
      <c r="X245" s="38">
        <v>3</v>
      </c>
      <c r="Y245" s="7">
        <f>AN245</f>
        <v>0</v>
      </c>
      <c r="Z245" s="32">
        <f>AA245/N245</f>
        <v>10.25</v>
      </c>
      <c r="AA245" s="4">
        <f>10.25*25.4</f>
        <v>260.34999999999997</v>
      </c>
      <c r="AB245" s="7">
        <f>MIN(S245/N245+0.5, W245/2/N245+0.5)</f>
        <v>3</v>
      </c>
      <c r="AC245" s="7">
        <f>S245/N245+0.5</f>
        <v>3</v>
      </c>
      <c r="AD245" s="38">
        <v>9.5</v>
      </c>
      <c r="AE245" s="4">
        <f>AD245</f>
        <v>9.5</v>
      </c>
      <c r="AF245" s="4">
        <f>AE245+1</f>
        <v>10.5</v>
      </c>
      <c r="AG245" s="7">
        <f>N245*AF245^0.5</f>
        <v>82.305406869779816</v>
      </c>
      <c r="AJ245" s="38">
        <f>AK245/0.145</f>
        <v>907.58620689655174</v>
      </c>
      <c r="AK245" s="4">
        <v>131.6</v>
      </c>
      <c r="AL245" s="4">
        <f>CY245</f>
        <v>1.5355299544104395</v>
      </c>
      <c r="AM245" s="38">
        <v>0</v>
      </c>
      <c r="AN245" s="38">
        <v>0</v>
      </c>
      <c r="AO245" s="39">
        <f>L245</f>
        <v>369.31599999999997</v>
      </c>
      <c r="AP245" s="39"/>
      <c r="AQ245" s="39"/>
      <c r="AR245" s="7"/>
      <c r="AS245" s="4">
        <f>K245</f>
        <v>369.31599999999997</v>
      </c>
      <c r="AT245" s="4">
        <f>IF(K245*3&gt;W245+N245, Q245, (S245+N245/2)*2+1.5*K245*(2*X245-2))*(3*K245)/(9*K245^2)</f>
        <v>0.45850527281063735</v>
      </c>
      <c r="AU245" s="4">
        <f>MIN(10*M245^0.5*K245^1.5,100*3.9*M245^0.5*K245^(5/3))/(PI()/4*N245^2)/X245</f>
        <v>391.20869898560869</v>
      </c>
      <c r="AV245" s="4">
        <f>MIN(0.7+0.3*(MIN(S245,AA245)+0.5*N245)/1.5/K245,1)</f>
        <v>0.74126547455295733</v>
      </c>
      <c r="AW245" s="4">
        <v>1.25</v>
      </c>
      <c r="AX245" s="4">
        <f>AX244</f>
        <v>1</v>
      </c>
      <c r="AY245" s="38">
        <f>AT245*AV245*AW245*AX245*AU245</f>
        <v>166.20214460271222</v>
      </c>
      <c r="AZ245" s="38">
        <f>AY245</f>
        <v>166.20214460271222</v>
      </c>
      <c r="BA245" s="38">
        <f>IF(M245&lt;50, 0.3*M245^(2/3), 2.12*LN(1+0.1*(M245+8)))</f>
        <v>4.615452125415529</v>
      </c>
      <c r="BB245" s="38">
        <f>AX245* (M245^0.5/AS245^0.5)/(PI()/4*N245^2)/X245/0.72 *(0.7+(MIN(S245,AA245)+0.5*N245)/5/K245) *(3*Q245*K245)</f>
        <v>166.20214460271228</v>
      </c>
      <c r="BC245" s="38">
        <f>AY245/BB245</f>
        <v>0.99999999999999967</v>
      </c>
      <c r="BD245" s="38">
        <f>BH245/BB245</f>
        <v>7.8118915476626167</v>
      </c>
      <c r="BE245" s="4">
        <f>IF(BD245&lt;1,1,0)</f>
        <v>0</v>
      </c>
      <c r="BF245" s="4">
        <f>L245/N245*M245^0.5/0.19</f>
        <v>641.21060042756483</v>
      </c>
      <c r="BG245" s="4">
        <f>MIN(0.6+0.4*(AC245/AB245),2)</f>
        <v>1</v>
      </c>
      <c r="BH245" s="38">
        <f>2*M245*AB245*AD245^0.5*BG245*0.7/0.7</f>
        <v>1298.3531286253281</v>
      </c>
      <c r="BI245" s="4">
        <f>MAX(1-0.7*AE245/5,0.3)</f>
        <v>0.3</v>
      </c>
      <c r="BJ245" s="4">
        <f>BI245*J245*L245/(J245*N245/2.75/M245^0.5)</f>
        <v>100.50976161702079</v>
      </c>
      <c r="BK245" s="4">
        <f>BH245+BJ245</f>
        <v>1398.8628902423488</v>
      </c>
      <c r="BM245" s="4">
        <f>MIN(1.5, 0.75+0.25*MIN(3,MAX(1,S245/N245))+0.4*MIN(1,(40*2*PI()*AM245^2/4/AO245/X245)/N245))</f>
        <v>1.375</v>
      </c>
      <c r="BN245" s="4">
        <f>(3*P245+30)*BM245*M245^0.5</f>
        <v>848.18072561268582</v>
      </c>
      <c r="BP245" s="4">
        <f>3.4/PI()^0.5*M245*AB245*AE245^0.5*BG245</f>
        <v>1245.2794285929851</v>
      </c>
      <c r="BQ245" s="4">
        <f>8/3*AH245*AI245^2/(AG245-N245-22)/N245*(AG245^2-N245^2)/(AG245^2-(N245+22)^2)</f>
        <v>0</v>
      </c>
      <c r="BR245" s="4">
        <f>BQ245/BP245</f>
        <v>0</v>
      </c>
      <c r="BZ245" s="4">
        <f>IF(W245=0,S245,MIN(W245/2,S245))</f>
        <v>63.5</v>
      </c>
      <c r="CD245" s="9"/>
      <c r="CF245" s="9"/>
      <c r="CG245" s="9"/>
      <c r="CH245" s="9">
        <f>IF(W245=0,MIN(S245,U245),MIN(W245/2,S245,U245))</f>
        <v>63.5</v>
      </c>
      <c r="CI245" s="9">
        <f>MAX(W245/2,S245)</f>
        <v>76.2</v>
      </c>
      <c r="CJ245" s="9">
        <f>(CH245/N245)^0.5*(CI245/CH245)^0.15</f>
        <v>1.6249768986352224</v>
      </c>
      <c r="CK245" s="70">
        <f>IF(AO245&gt;1,20,0)</f>
        <v>20</v>
      </c>
      <c r="CL245" s="9">
        <f>MIN(PI()*AM245^2/4*AN245*2/X245/N245/MAX(0.01,AO245),0.05)</f>
        <v>0</v>
      </c>
      <c r="CM245" s="9">
        <f>MAX(0,CK245*(CL245-0.5/50))</f>
        <v>0</v>
      </c>
      <c r="CN245" s="9">
        <f>MIN(1,(25/N245)^0.3)</f>
        <v>0.99524931562137331</v>
      </c>
      <c r="CO245" s="9">
        <f>IF(J245&gt;=800,0.68,IF(J245&gt;=700,0.75-(J245-700)*0.07/100,IF(J245&gt;=600,0.85-(J245-600)*0.1/100,IF(J245&gt;=500,1-(J245-500)*0.15/100,1.2-(J245-400)*0.2/100))))</f>
        <v>0.68</v>
      </c>
      <c r="CP245" s="9">
        <f>1.75*CN245*CO245*(M245/25)^0.5</f>
        <v>1.9847176531283015</v>
      </c>
      <c r="CQ245" s="9">
        <f>MIN((CJ245+CM245)*CP245,2.5*CP245,M245^0.5)</f>
        <v>3.2251203366470045</v>
      </c>
      <c r="CR245" s="40">
        <v>1</v>
      </c>
      <c r="CS245" s="9">
        <f>4*CQ245*P245+60*CQ245</f>
        <v>381.08021897821004</v>
      </c>
      <c r="CU245" s="4">
        <f>AJ245/BF245</f>
        <v>1.4154260804349856</v>
      </c>
      <c r="CV245" s="4">
        <f>AJ245/BK245</f>
        <v>0.64880283352095725</v>
      </c>
      <c r="CW245" s="4">
        <f>AJ245/BN245</f>
        <v>1.070038706952406</v>
      </c>
      <c r="CX245" s="4">
        <f>AJ245/CS245</f>
        <v>2.3816145832236102</v>
      </c>
      <c r="CY245" s="4">
        <f>AJ245/DZ245</f>
        <v>1.5355299544104395</v>
      </c>
      <c r="CZ245" s="4">
        <f>AJ245/EL245</f>
        <v>1.0377227912290949</v>
      </c>
      <c r="DA245" s="4">
        <f>AJ245/GI245</f>
        <v>1.1894014660168526</v>
      </c>
      <c r="DB245" s="4">
        <f>AN245</f>
        <v>0</v>
      </c>
      <c r="DC245" s="4">
        <f>CU245</f>
        <v>1.4154260804349856</v>
      </c>
      <c r="DD245" s="4">
        <f>CV245</f>
        <v>0.64880283352095725</v>
      </c>
      <c r="DE245" s="4">
        <f>CX245</f>
        <v>2.3816145832236102</v>
      </c>
      <c r="DF245" s="4">
        <f>DA245</f>
        <v>1.1894014660168526</v>
      </c>
      <c r="DG245" s="4">
        <f>CY245</f>
        <v>1.5355299544104395</v>
      </c>
      <c r="DH245" s="4">
        <f>CZ245</f>
        <v>1.0377227912290949</v>
      </c>
      <c r="DQ245" s="4">
        <f>L245</f>
        <v>369.31599999999997</v>
      </c>
      <c r="DT245" s="4">
        <f>K245/4/(1-0.3*(M245/30)^0.5)/200000/N245</f>
        <v>3.3591114581024516E-5</v>
      </c>
      <c r="DU245" s="4">
        <f>EP245</f>
        <v>10.58671967137796</v>
      </c>
      <c r="DV245" s="4">
        <f>EC245*AG245/257/M245/AD245</f>
        <v>7.9804702914713171E-2</v>
      </c>
      <c r="DW245" s="4">
        <f>DU245*DV245^0.4</f>
        <v>3.8509936944160583</v>
      </c>
      <c r="DX245" s="4">
        <f>MIN(DU245, DU245/1.4*(1-DV245^1.4)/(1-DV245))</f>
        <v>7.9792007943690768</v>
      </c>
      <c r="DY245" s="4">
        <f>MAX(DU245/2, (4-DT245*(8*AG245*(DW245-DX245)+6*K245*DX245))/(4+DT245*K245*DU245)*DU245)</f>
        <v>8.9621807414231842</v>
      </c>
      <c r="DZ245" s="38">
        <f>MIN(1/N245*(4*AG245*(DW245-DX245)+(3*DX245+DY245)*K245)+EC245 -FJ245,MAX(J245,AJ245))</f>
        <v>591.05731170514082</v>
      </c>
      <c r="EA245" s="4">
        <f>DZ245/FF245</f>
        <v>1.0000818469353279</v>
      </c>
      <c r="EB245" s="4">
        <f>AG245/N245</f>
        <v>3.2403703492039297</v>
      </c>
      <c r="EC245" s="4">
        <f>MIN(EB$10*BB245)</f>
        <v>166.20214460271228</v>
      </c>
      <c r="EG245" s="4">
        <f>IF(U245&gt;1*N245,0.85,1)</f>
        <v>0.85</v>
      </c>
      <c r="EH245" s="4">
        <f>MIN(1,MAX(0.7,(1-0.1*(BZ245-1*N245)/N245)))</f>
        <v>0.85</v>
      </c>
      <c r="EI245" s="4">
        <f>MIN(1,MAX(0.7,1-0.3*(PI()*AM245^2/4*AQ245*2-0.25*PI()/4*N245^2)/(PI()/4*N245^2)))</f>
        <v>1</v>
      </c>
      <c r="EJ245" s="4">
        <f>IF(EH245*EI245&lt;0.7,0.7,EH245*EI245)</f>
        <v>0.85</v>
      </c>
      <c r="EL245" s="4">
        <f>MIN(DU245/N245*3*K245+EM245-FJ245,MAX(J245,AJ245))</f>
        <v>874.59407711532731</v>
      </c>
      <c r="EM245" s="25">
        <f>13.3*Q245*K245^0.5*M245^0.5/X245/N245^2*(0.7+S245/5/K245)</f>
        <v>412.80136504982062</v>
      </c>
      <c r="EO245" s="4">
        <f>EG245*EJ245</f>
        <v>0.72249999999999992</v>
      </c>
      <c r="EP245" s="4">
        <f>IF(N245&lt;22.2,1.1*5*(M245/30)^0.5,IF(N245&gt;=31.8,0.9*5*(M245/30)^0.5,1*5*(M245/30)^0.5))/EG245/EJ245</f>
        <v>10.58671967137796</v>
      </c>
      <c r="ES245" s="4">
        <f>ET245*N245</f>
        <v>82.305406869779816</v>
      </c>
      <c r="ET245" s="4">
        <f>AF245^0.5</f>
        <v>3.2403703492039302</v>
      </c>
      <c r="EU245" s="4">
        <f>MIN(EC245)/(4700*M245^0.5)/AE245*ES245</f>
        <v>3.6563994798224357E-2</v>
      </c>
      <c r="EX245" s="4">
        <f>EU245</f>
        <v>3.6563994798224357E-2</v>
      </c>
      <c r="EY245" s="4">
        <f>MIN(0.999, EX245/(0.3*(M245/30)^0.5))</f>
        <v>7.9671523739123257E-2</v>
      </c>
      <c r="EZ245" s="4">
        <f>EP245/1*EY245^0.4</f>
        <v>3.8484217699961705</v>
      </c>
      <c r="FA245" s="4">
        <f>EP245/1.4*(1-EY245^1.4)/(1-EY245)</f>
        <v>7.9786032224507846</v>
      </c>
      <c r="FB245" s="4">
        <f>MAX(0,DQ245*FB$9-ES245)</f>
        <v>194.68159313022016</v>
      </c>
      <c r="FC245" s="4">
        <f>MAX(0,DQ245-ES245-FB245)</f>
        <v>92.329000000000008</v>
      </c>
      <c r="FD245" s="4">
        <f>FC245/(1-0.3*(M245/30)^0.5)/200000/N245</f>
        <v>3.3591114581024516E-5</v>
      </c>
      <c r="FE245" s="4">
        <f>MAX(0.5*EP245, (1-2*FD245*(ES245*EZ245+FB245*FA245))/(1/EP245+FD245*FC245))</f>
        <v>8.9624066251819094</v>
      </c>
      <c r="FF245" s="4">
        <f>MIN(4/N245*(1*EZ245*ES245+FA245*FB245+FC245*FE245)+EC245,MAX(J245,AJ245))</f>
        <v>591.00893943469669</v>
      </c>
      <c r="FO245" s="23">
        <f>IF(CU245&lt;0.6,0.6,IF(CU245&lt;0.8,0.8,IF(CU245&lt;1,1,IF(CU245&lt;1.2,1.2,IF(CU245&lt;1.4,1.4,IF(CU245&lt;1.6,1.6,IF(CU245&lt;1.8,1.8,IF(CU245&lt;2,2,2.2))))))))</f>
        <v>1.6</v>
      </c>
      <c r="FP245" s="23">
        <f>IF(CV245&lt;0.6,0.6,IF(CV245&lt;0.8,0.8,IF(CV245&lt;1,1,IF(CV245&lt;1.2,1.2,IF(CV245&lt;1.4,1.4,IF(CV245&lt;1.6,1.6,IF(CV245&lt;1.8,1.8,IF(CV245&lt;2,2,2.2))))))))</f>
        <v>0.8</v>
      </c>
      <c r="FQ245" s="23">
        <f>IF(DA245&lt;0.6,0.6,IF(DA245&lt;0.8,0.8,IF(DA245&lt;1,1,IF(DA245&lt;1.2,1.2,IF(DA245&lt;1.4,1.4,IF(DA245&lt;1.6,1.6,IF(DA245&lt;1.8,1.8,IF(DA245&lt;2,2,2.2))))))))</f>
        <v>1.2</v>
      </c>
      <c r="FR245" s="23">
        <f>IF(CX245&lt;0.6,0.6,IF(CX245&lt;0.8,0.8,IF(CX245&lt;1,1,IF(CX245&lt;1.2,1.2,IF(CX245&lt;1.4,1.4,IF(CX245&lt;1.6,1.6,IF(CX245&lt;1.8,1.8,IF(CX245&lt;2,2,2.2))))))))</f>
        <v>2.2000000000000002</v>
      </c>
      <c r="FS245" s="23">
        <f>IF(CY245&lt;0.6,0.6,IF(CY245&lt;0.8,0.8,IF(CY245&lt;1,1,IF(CY245&lt;1.2,1.2,IF(CY245&lt;1.4,1.4,IF(CY245&lt;1.6,1.6,IF(CY245&lt;1.8,1.8,IF(CY245&lt;2,2,2.2))))))))</f>
        <v>1.6</v>
      </c>
      <c r="FT245" s="23">
        <f>IF(CZ245&lt;0.6,0.6,IF(CZ245&lt;0.8,0.8,IF(CZ245&lt;1,1,IF(CZ245&lt;1.2,1.2,IF(CZ245&lt;1.4,1.4,IF(CZ245&lt;1.6,1.6,IF(CZ245&lt;1.8,1.8,IF(CZ245&lt;2,2,2.2))))))))</f>
        <v>1.2</v>
      </c>
      <c r="FU245" s="23">
        <f>IF(FS245&lt;1,1,0)</f>
        <v>0</v>
      </c>
      <c r="FV245" s="23"/>
      <c r="GF245" s="4">
        <f>IF(S245&gt;=2.5*25.4,1,1.25)</f>
        <v>1</v>
      </c>
      <c r="GG245" s="4">
        <f>IF(AO245&gt;1, 0.05*(18-MIN(8,(W245+N245)/N245))*(1-48000/MAX(60000,(J245*145))*(N245/25.4)^0.75*GH245), 1/12*(14-MIN(8,(W245+N245)/N245)))</f>
        <v>0.55000000000000004</v>
      </c>
      <c r="GH245" s="4">
        <f>MIN(0.3, AM245^2*PI()/4*2*AP245/(N245^2*PI()/4*X245))</f>
        <v>0</v>
      </c>
      <c r="GI245" s="4">
        <f>(K245/25.4)/(N245/25.4)^1.5/0.0024*(M245*145)^0.25/GF245/GG245/145</f>
        <v>763.06128151660789</v>
      </c>
    </row>
    <row r="246" spans="1:191" ht="12" customHeight="1" x14ac:dyDescent="0.3">
      <c r="A246" s="25">
        <v>316</v>
      </c>
      <c r="B246" s="4" t="s">
        <v>605</v>
      </c>
      <c r="C246" s="4">
        <v>2016</v>
      </c>
      <c r="D246" s="4" t="s">
        <v>309</v>
      </c>
      <c r="E246" s="24" t="s">
        <v>669</v>
      </c>
      <c r="F246" s="24"/>
      <c r="G246" s="24">
        <v>32</v>
      </c>
      <c r="H246" s="7" t="s">
        <v>477</v>
      </c>
      <c r="I246" s="5">
        <f>K246/N246</f>
        <v>14.54</v>
      </c>
      <c r="J246" s="91">
        <f>120/0.145</f>
        <v>827.58620689655174</v>
      </c>
      <c r="K246" s="38">
        <f>14.54*25.4</f>
        <v>369.31599999999997</v>
      </c>
      <c r="L246" s="4">
        <f>K246</f>
        <v>369.31599999999997</v>
      </c>
      <c r="M246" s="99">
        <f>10180/145</f>
        <v>70.206896551724142</v>
      </c>
      <c r="N246" s="96">
        <f>1*25.4</f>
        <v>25.4</v>
      </c>
      <c r="O246" s="7">
        <f>K246/N246</f>
        <v>14.54</v>
      </c>
      <c r="P246" s="7">
        <f>L246/N246</f>
        <v>14.54</v>
      </c>
      <c r="Q246" s="38">
        <f>20*25.4</f>
        <v>508</v>
      </c>
      <c r="R246" s="32">
        <f>S246/N246</f>
        <v>2.5</v>
      </c>
      <c r="S246" s="38">
        <f>2.5*25.4</f>
        <v>63.5</v>
      </c>
      <c r="T246" s="32">
        <f>U246/N246</f>
        <v>2.9999999999999996</v>
      </c>
      <c r="U246" s="39">
        <f>3*25.4</f>
        <v>76.199999999999989</v>
      </c>
      <c r="V246" s="32">
        <f>W246/N246</f>
        <v>6.0000000000000009</v>
      </c>
      <c r="W246" s="7">
        <f>(Q246-X246*N246-2*S246)/(X246-1)</f>
        <v>152.4</v>
      </c>
      <c r="X246" s="38">
        <v>3</v>
      </c>
      <c r="Y246" s="7">
        <f>AN246</f>
        <v>4</v>
      </c>
      <c r="Z246" s="32">
        <f>AA246/N246</f>
        <v>10.25</v>
      </c>
      <c r="AA246" s="4">
        <f>10.25*25.4</f>
        <v>260.34999999999997</v>
      </c>
      <c r="AB246" s="7">
        <f>MIN(S246/N246+0.5, W246/2/N246+0.5)</f>
        <v>3</v>
      </c>
      <c r="AC246" s="7">
        <f>S246/N246+0.5</f>
        <v>3</v>
      </c>
      <c r="AD246" s="38">
        <v>9.5</v>
      </c>
      <c r="AE246" s="4">
        <f>AD246</f>
        <v>9.5</v>
      </c>
      <c r="AF246" s="4">
        <f>AE246+1</f>
        <v>10.5</v>
      </c>
      <c r="AG246" s="7">
        <f>N246*AF246^0.5</f>
        <v>82.305406869779816</v>
      </c>
      <c r="AJ246" s="38">
        <f>AK246/0.145</f>
        <v>989.65517241379314</v>
      </c>
      <c r="AK246" s="4">
        <v>143.5</v>
      </c>
      <c r="AL246" s="4">
        <f>CY246</f>
        <v>1.5872436499070057</v>
      </c>
      <c r="AM246" s="38">
        <f>0.5*25.4</f>
        <v>12.7</v>
      </c>
      <c r="AN246" s="38">
        <v>4</v>
      </c>
      <c r="AO246" s="39">
        <f>6*25.4</f>
        <v>152.39999999999998</v>
      </c>
      <c r="AP246" s="39">
        <v>1</v>
      </c>
      <c r="AQ246" s="39">
        <v>1</v>
      </c>
      <c r="AR246" s="7"/>
      <c r="AS246" s="4">
        <f>K246</f>
        <v>369.31599999999997</v>
      </c>
      <c r="AT246" s="4">
        <f>IF(K246*3&gt;W246+N246, Q246, (S246+N246/2)*2+1.5*K246*(2*X246-2))*(3*K246)/(9*K246^2)</f>
        <v>0.45850527281063735</v>
      </c>
      <c r="AU246" s="4">
        <f>MIN(10*M246^0.5*K246^1.5,100*3.9*M246^0.5*K246^(5/3))/(PI()/4*N246^2)/X246</f>
        <v>391.20869898560869</v>
      </c>
      <c r="AV246" s="4">
        <f>MIN(0.7+0.3*(MIN(S246,AA246)+0.5*N246)/1.5/K246,1)</f>
        <v>0.74126547455295733</v>
      </c>
      <c r="AW246" s="4">
        <v>1.25</v>
      </c>
      <c r="AX246" s="4">
        <f>AX245</f>
        <v>1</v>
      </c>
      <c r="AY246" s="38">
        <f>AT246*AV246*AW246*AX246*AU246</f>
        <v>166.20214460271222</v>
      </c>
      <c r="AZ246" s="38">
        <f>AY246</f>
        <v>166.20214460271222</v>
      </c>
      <c r="BA246" s="38">
        <f>IF(M246&lt;50, 0.3*M246^(2/3), 2.12*LN(1+0.1*(M246+8)))</f>
        <v>4.615452125415529</v>
      </c>
      <c r="BB246" s="38">
        <f>AX246* (M246^0.5/AS246^0.5)/(PI()/4*N246^2)/X246/0.72 *(0.7+(MIN(S246,AA246)+0.5*N246)/5/K246) *(3*Q246*K246)</f>
        <v>166.20214460271228</v>
      </c>
      <c r="BC246" s="38">
        <f>AY246/BB246</f>
        <v>0.99999999999999967</v>
      </c>
      <c r="BD246" s="38">
        <f>BH246/BB246</f>
        <v>7.8118915476626167</v>
      </c>
      <c r="BE246" s="4">
        <f>IF(BD246&lt;1,1,0)</f>
        <v>0</v>
      </c>
      <c r="BF246" s="4">
        <f>L246/N246*M246^0.5/0.19</f>
        <v>641.21060042756483</v>
      </c>
      <c r="BG246" s="4">
        <f>MIN(0.6+0.4*(AC246/AB246),2)</f>
        <v>1</v>
      </c>
      <c r="BH246" s="38">
        <f>2*M246*AB246*AD246^0.5*BG246*0.7/0.7</f>
        <v>1298.3531286253281</v>
      </c>
      <c r="BI246" s="4">
        <f>MAX(1-0.7*AE246/5,0.3)</f>
        <v>0.3</v>
      </c>
      <c r="BJ246" s="4">
        <f>BI246*J246*L246/(J246*N246/2.75/M246^0.5)</f>
        <v>100.50976161702079</v>
      </c>
      <c r="BK246" s="4">
        <f>BH246+BJ246</f>
        <v>1398.8628902423488</v>
      </c>
      <c r="BM246" s="4">
        <f>MIN(1.5, 0.75+0.25*MIN(3,MAX(1,S246/N246))+0.4*MIN(1,(40*2*PI()*AM246^2/4/AO246/X246)/N246))</f>
        <v>1.5</v>
      </c>
      <c r="BN246" s="4">
        <f>(3*P246+30)*BM246*M246^0.5</f>
        <v>925.2880643047481</v>
      </c>
      <c r="BP246" s="4">
        <f>3.4/PI()^0.5*M246*AB246*AE246^0.5*BG246</f>
        <v>1245.2794285929851</v>
      </c>
      <c r="BQ246" s="4">
        <f>8/3*AH246*AI246^2/(AG246-N246-22)/N246*(AG246^2-N246^2)/(AG246^2-(N246+22)^2)</f>
        <v>0</v>
      </c>
      <c r="BR246" s="4">
        <f>BQ246/BP246</f>
        <v>0</v>
      </c>
      <c r="BZ246" s="4">
        <f>IF(W246=0,S246,MIN(W246/2,S246))</f>
        <v>63.5</v>
      </c>
      <c r="CD246" s="9"/>
      <c r="CF246" s="9"/>
      <c r="CG246" s="9"/>
      <c r="CH246" s="9">
        <f>IF(W246=0,MIN(S246,U246),MIN(W246/2,S246,U246))</f>
        <v>63.5</v>
      </c>
      <c r="CI246" s="9">
        <f>MAX(W246/2,S246)</f>
        <v>76.2</v>
      </c>
      <c r="CJ246" s="9">
        <f>(CH246/N246)^0.5*(CI246/CH246)^0.15</f>
        <v>1.6249768986352224</v>
      </c>
      <c r="CK246" s="70">
        <f>IF(AO246&gt;1,20,0)</f>
        <v>20</v>
      </c>
      <c r="CL246" s="9">
        <f>MIN(PI()*AM246^2/4*AN246*2/X246/N246/MAX(0.01,AO246),0.05)</f>
        <v>0.05</v>
      </c>
      <c r="CM246" s="9">
        <f>MAX(0,CK246*(CL246-0.5/50))</f>
        <v>0.8</v>
      </c>
      <c r="CN246" s="9">
        <f>MIN(1,(25/N246)^0.3)</f>
        <v>0.99524931562137331</v>
      </c>
      <c r="CO246" s="9">
        <f>IF(J246&gt;=800,0.68,IF(J246&gt;=700,0.75-(J246-700)*0.07/100,IF(J246&gt;=600,0.85-(J246-600)*0.1/100,IF(J246&gt;=500,1-(J246-500)*0.15/100,1.2-(J246-400)*0.2/100))))</f>
        <v>0.68</v>
      </c>
      <c r="CP246" s="9">
        <f>1.75*CN246*CO246*(M246/25)^0.5</f>
        <v>1.9847176531283015</v>
      </c>
      <c r="CQ246" s="9">
        <f>MIN((CJ246+CM246)*CP246,2.5*CP246,M246^0.5)</f>
        <v>4.8128944591496454</v>
      </c>
      <c r="CR246" s="40">
        <v>1</v>
      </c>
      <c r="CS246" s="9">
        <f>4*CQ246*P246+60*CQ246</f>
        <v>568.69160929312216</v>
      </c>
      <c r="CU246" s="4">
        <f>AJ246/BF246</f>
        <v>1.5434167366445322</v>
      </c>
      <c r="CV246" s="4">
        <f>AJ246/BK246</f>
        <v>0.70747117484998001</v>
      </c>
      <c r="CW246" s="4">
        <f>AJ246/BN246</f>
        <v>1.0695643990149271</v>
      </c>
      <c r="CX246" s="4">
        <f>AJ246/CS246</f>
        <v>1.7402317112501877</v>
      </c>
      <c r="CY246" s="4">
        <f>AJ246/DZ246</f>
        <v>1.5872436499070057</v>
      </c>
      <c r="CZ246" s="4">
        <f>AJ246/EL246</f>
        <v>1.0851045143939175</v>
      </c>
      <c r="DA246" s="4">
        <f>AJ246/GI246</f>
        <v>1.2104901444923288</v>
      </c>
      <c r="DB246" s="4">
        <f>AN246</f>
        <v>4</v>
      </c>
      <c r="DI246" s="4">
        <f>CU246</f>
        <v>1.5434167366445322</v>
      </c>
      <c r="DJ246" s="4">
        <f>CV246</f>
        <v>0.70747117484998001</v>
      </c>
      <c r="DK246" s="4">
        <f>CX246</f>
        <v>1.7402317112501877</v>
      </c>
      <c r="DL246" s="4">
        <f>DA246</f>
        <v>1.2104901444923288</v>
      </c>
      <c r="DM246" s="4">
        <f>CY246</f>
        <v>1.5872436499070057</v>
      </c>
      <c r="DN246" s="4">
        <f>CZ246</f>
        <v>1.0851045143939175</v>
      </c>
      <c r="DQ246" s="4">
        <f>L246</f>
        <v>369.31599999999997</v>
      </c>
      <c r="DT246" s="4">
        <f>K246/4/(1-0.3*(M246/30)^0.5)/200000/N246</f>
        <v>3.3591114581024516E-5</v>
      </c>
      <c r="DU246" s="4">
        <f>EP246</f>
        <v>11.445102347435631</v>
      </c>
      <c r="DV246" s="4">
        <f>EC246*AG246/257/M246/AD246</f>
        <v>7.9804702914713171E-2</v>
      </c>
      <c r="DW246" s="4">
        <f>DU246*DV246^0.4</f>
        <v>4.1632364263957378</v>
      </c>
      <c r="DX246" s="4">
        <f>MIN(DU246, DU246/1.4*(1-DV246^1.4)/(1-DV246))</f>
        <v>8.6261630209395417</v>
      </c>
      <c r="DY246" s="4">
        <f>MAX(DU246/2, (4-DT246*(8*AG246*(DW246-DX246)+6*K246*DX246))/(4+DT246*K246*DU246)*DU246)</f>
        <v>9.5513260918003926</v>
      </c>
      <c r="DZ246" s="38">
        <f>MIN(1/N246*(4*AG246*(DW246-DX246)+(3*DX246+DY246)*K246)+EC246 -FJ246,MAX(J246,AJ246))</f>
        <v>623.50551692033901</v>
      </c>
      <c r="EA246" s="4">
        <f>DZ246/FF246</f>
        <v>1.0000834325650274</v>
      </c>
      <c r="EB246" s="4">
        <f>AG246/N246</f>
        <v>3.2403703492039297</v>
      </c>
      <c r="EC246" s="4">
        <f>MIN(EB$10*BB246)</f>
        <v>166.20214460271228</v>
      </c>
      <c r="EG246" s="4">
        <f>IF(U246&gt;1*N246,0.85,1)</f>
        <v>0.85</v>
      </c>
      <c r="EH246" s="4">
        <f>MIN(1,MAX(0.7,(1-0.1*(BZ246-1*N246)/N246)))</f>
        <v>0.85</v>
      </c>
      <c r="EI246" s="4">
        <f>MIN(1,MAX(0.7,1-0.3*(PI()*AM246^2/4*AQ246*2-0.25*PI()/4*N246^2)/(PI()/4*N246^2)))</f>
        <v>0.92500000000000004</v>
      </c>
      <c r="EJ246" s="4">
        <f>IF(EH246*EI246&lt;0.7,0.7,EH246*EI246)</f>
        <v>0.78625</v>
      </c>
      <c r="EL246" s="4">
        <f>MIN(DU246/N246*3*K246+EM246-FJ246,MAX(J246,AJ246))</f>
        <v>912.03672944496282</v>
      </c>
      <c r="EM246" s="25">
        <f>13.3*Q246*K246^0.5*M246^0.5/X246/N246^2*(0.7+S246/5/K246)</f>
        <v>412.80136504982062</v>
      </c>
      <c r="EO246" s="4">
        <f>EG246*EJ246</f>
        <v>0.66831249999999998</v>
      </c>
      <c r="EP246" s="4">
        <f>IF(N246&lt;22.2,1.1*5*(M246/30)^0.5,IF(N246&gt;=31.8,0.9*5*(M246/30)^0.5,1*5*(M246/30)^0.5))/EG246/EJ246</f>
        <v>11.445102347435631</v>
      </c>
      <c r="ES246" s="4">
        <f>ET246*N246</f>
        <v>82.305406869779816</v>
      </c>
      <c r="ET246" s="4">
        <f>AF246^0.5</f>
        <v>3.2403703492039302</v>
      </c>
      <c r="EU246" s="4">
        <f>MIN(EC246)/(4700*M246^0.5)/AE246*ES246</f>
        <v>3.6563994798224357E-2</v>
      </c>
      <c r="EX246" s="4">
        <f>EU246</f>
        <v>3.6563994798224357E-2</v>
      </c>
      <c r="EY246" s="4">
        <f>MIN(0.999, EX246/(0.3*(M246/30)^0.5))</f>
        <v>7.9671523739123257E-2</v>
      </c>
      <c r="EZ246" s="4">
        <f>EP246/1*EY246^0.4</f>
        <v>4.1604559675634274</v>
      </c>
      <c r="FA246" s="4">
        <f>EP246/1.4*(1-EY246^1.4)/(1-EY246)</f>
        <v>8.6255169972440893</v>
      </c>
      <c r="FB246" s="4">
        <f>MAX(0,DQ246*FB$9-ES246)</f>
        <v>194.68159313022016</v>
      </c>
      <c r="FC246" s="4">
        <f>MAX(0,DQ246-ES246-FB246)</f>
        <v>92.329000000000008</v>
      </c>
      <c r="FD246" s="4">
        <f>FC246/(1-0.3*(M246/30)^0.5)/200000/N246</f>
        <v>3.3591114581024516E-5</v>
      </c>
      <c r="FE246" s="4">
        <f>MAX(0.5*EP246, (1-2*FD246*(ES246*EZ246+FB246*FA246))/(1/EP246+FD246*FC246))</f>
        <v>9.5515894116205118</v>
      </c>
      <c r="FF246" s="4">
        <f>MIN(4/N246*(1*EZ246*ES246+FA246*FB246+FC246*FE246)+EC246,MAX(J246,AJ246))</f>
        <v>623.45350059560894</v>
      </c>
      <c r="FO246" s="23">
        <f>IF(CU246&lt;0.6,0.6,IF(CU246&lt;0.8,0.8,IF(CU246&lt;1,1,IF(CU246&lt;1.2,1.2,IF(CU246&lt;1.4,1.4,IF(CU246&lt;1.6,1.6,IF(CU246&lt;1.8,1.8,IF(CU246&lt;2,2,2.2))))))))</f>
        <v>1.6</v>
      </c>
      <c r="FP246" s="23">
        <f>IF(CV246&lt;0.6,0.6,IF(CV246&lt;0.8,0.8,IF(CV246&lt;1,1,IF(CV246&lt;1.2,1.2,IF(CV246&lt;1.4,1.4,IF(CV246&lt;1.6,1.6,IF(CV246&lt;1.8,1.8,IF(CV246&lt;2,2,2.2))))))))</f>
        <v>0.8</v>
      </c>
      <c r="FQ246" s="23">
        <f>IF(DA246&lt;0.6,0.6,IF(DA246&lt;0.8,0.8,IF(DA246&lt;1,1,IF(DA246&lt;1.2,1.2,IF(DA246&lt;1.4,1.4,IF(DA246&lt;1.6,1.6,IF(DA246&lt;1.8,1.8,IF(DA246&lt;2,2,2.2))))))))</f>
        <v>1.4</v>
      </c>
      <c r="FR246" s="23">
        <f>IF(CX246&lt;0.6,0.6,IF(CX246&lt;0.8,0.8,IF(CX246&lt;1,1,IF(CX246&lt;1.2,1.2,IF(CX246&lt;1.4,1.4,IF(CX246&lt;1.6,1.6,IF(CX246&lt;1.8,1.8,IF(CX246&lt;2,2,2.2))))))))</f>
        <v>1.8</v>
      </c>
      <c r="FS246" s="23">
        <f>IF(CY246&lt;0.6,0.6,IF(CY246&lt;0.8,0.8,IF(CY246&lt;1,1,IF(CY246&lt;1.2,1.2,IF(CY246&lt;1.4,1.4,IF(CY246&lt;1.6,1.6,IF(CY246&lt;1.8,1.8,IF(CY246&lt;2,2,2.2))))))))</f>
        <v>1.6</v>
      </c>
      <c r="FT246" s="23">
        <f>IF(CZ246&lt;0.6,0.6,IF(CZ246&lt;0.8,0.8,IF(CZ246&lt;1,1,IF(CZ246&lt;1.2,1.2,IF(CZ246&lt;1.4,1.4,IF(CZ246&lt;1.6,1.6,IF(CZ246&lt;1.8,1.8,IF(CZ246&lt;2,2,2.2))))))))</f>
        <v>1.2</v>
      </c>
      <c r="FU246" s="23">
        <f>IF(FS246&lt;1,1,0)</f>
        <v>0</v>
      </c>
      <c r="FV246" s="23"/>
      <c r="GF246" s="4">
        <f>IF(S246&gt;=2.5*25.4,1,1.25)</f>
        <v>1</v>
      </c>
      <c r="GG246" s="4">
        <f>IF(AO246&gt;1, 0.05*(18-MIN(8,(W246+N246)/N246))*(1-48000/MAX(60000,(J246*145))*(N246/25.4)^0.75*GH246), 1/12*(14-MIN(8,(W246+N246)/N246)))</f>
        <v>0.51333333333333342</v>
      </c>
      <c r="GH246" s="4">
        <f>MIN(0.3, AM246^2*PI()/4*2*AP246/(N246^2*PI()/4*X246))</f>
        <v>0.16666666666666669</v>
      </c>
      <c r="GI246" s="4">
        <f>(K246/25.4)/(N246/25.4)^1.5/0.0024*(M246*145)^0.25/GF246/GG246/145</f>
        <v>817.56565876779416</v>
      </c>
    </row>
    <row r="247" spans="1:191" ht="12" customHeight="1" x14ac:dyDescent="0.3">
      <c r="A247" s="25">
        <v>398</v>
      </c>
      <c r="B247" s="4" t="s">
        <v>605</v>
      </c>
      <c r="C247" s="4">
        <v>2016</v>
      </c>
      <c r="D247" s="4" t="s">
        <v>309</v>
      </c>
      <c r="E247" s="14" t="s">
        <v>566</v>
      </c>
      <c r="F247" s="14"/>
      <c r="G247" s="14">
        <v>12</v>
      </c>
      <c r="H247" s="33" t="s">
        <v>567</v>
      </c>
      <c r="I247" s="5">
        <f>K247/N247</f>
        <v>10.283687943262413</v>
      </c>
      <c r="J247" s="90">
        <f>135/0.145</f>
        <v>931.0344827586207</v>
      </c>
      <c r="K247" s="93">
        <f>14.5*25.4</f>
        <v>368.29999999999995</v>
      </c>
      <c r="L247" s="4">
        <f>K247</f>
        <v>368.29999999999995</v>
      </c>
      <c r="M247" s="78">
        <f>8660/145</f>
        <v>59.724137931034484</v>
      </c>
      <c r="N247" s="38">
        <f>1.41*25.4</f>
        <v>35.813999999999993</v>
      </c>
      <c r="O247" s="7">
        <f>K247/N247</f>
        <v>10.283687943262413</v>
      </c>
      <c r="P247" s="7">
        <f>L247/N247</f>
        <v>10.283687943262413</v>
      </c>
      <c r="Q247" s="38">
        <f>21.8*25.4</f>
        <v>553.72</v>
      </c>
      <c r="R247" s="32">
        <f>S247/N247</f>
        <v>1.8794326241134751</v>
      </c>
      <c r="S247" s="38">
        <f>2.65*25.4</f>
        <v>67.309999999999988</v>
      </c>
      <c r="T247" s="32">
        <f>U247/N247</f>
        <v>2.4113475177304968</v>
      </c>
      <c r="U247" s="39">
        <f>3.4*25.4</f>
        <v>86.36</v>
      </c>
      <c r="V247" s="32">
        <f>W247/N247</f>
        <v>9.7021276595744723</v>
      </c>
      <c r="W247" s="7">
        <f>(Q247-X247*N247-2*S247)/(X247-1)</f>
        <v>347.47200000000009</v>
      </c>
      <c r="X247" s="38">
        <v>2</v>
      </c>
      <c r="Y247" s="7">
        <f>AN247</f>
        <v>0</v>
      </c>
      <c r="Z247" s="32">
        <f>AA247/N247</f>
        <v>14.18439716312057</v>
      </c>
      <c r="AA247" s="4">
        <f>20*25.4</f>
        <v>508</v>
      </c>
      <c r="AB247" s="7">
        <f>MIN(S247/N247+0.5, W247/2/N247+0.5)</f>
        <v>2.3794326241134751</v>
      </c>
      <c r="AC247" s="7">
        <f>S247/N247+0.5</f>
        <v>2.3794326241134751</v>
      </c>
      <c r="AD247" s="38">
        <v>3.8</v>
      </c>
      <c r="AE247" s="4">
        <f>AD247</f>
        <v>3.8</v>
      </c>
      <c r="AF247" s="4">
        <f>AE247+1</f>
        <v>4.8</v>
      </c>
      <c r="AG247" s="7">
        <f>N247*AF247^0.5</f>
        <v>78.464542697960056</v>
      </c>
      <c r="AJ247" s="38">
        <f>AK247/0.145</f>
        <v>349.65517241379314</v>
      </c>
      <c r="AK247" s="4">
        <v>50.7</v>
      </c>
      <c r="AL247" s="4">
        <f>CY247</f>
        <v>0.91594080710970804</v>
      </c>
      <c r="AM247" s="38">
        <v>0</v>
      </c>
      <c r="AN247" s="38">
        <v>0</v>
      </c>
      <c r="AO247" s="39">
        <f>L247</f>
        <v>368.29999999999995</v>
      </c>
      <c r="AP247" s="39"/>
      <c r="AQ247" s="39"/>
      <c r="AR247" s="7"/>
      <c r="AS247" s="4">
        <f>K247</f>
        <v>368.29999999999995</v>
      </c>
      <c r="AT247" s="4">
        <f>IF(K247*3&gt;W247+N247, Q247, (S247+N247/2)*2+1.5*K247*(2*X247-2))*(3*K247)/(9*K247^2)</f>
        <v>0.50114942528735651</v>
      </c>
      <c r="AU247" s="4">
        <f>MIN(10*M247^0.5*K247^1.5,100*3.9*M247^0.5*K247^(5/3))/(PI()/4*N247^2)/X247</f>
        <v>271.11402683702772</v>
      </c>
      <c r="AV247" s="4">
        <f>MIN(0.7+0.3*(MIN(S247,AA247)+0.5*N247)/1.5/K247,1)</f>
        <v>0.74627586206896546</v>
      </c>
      <c r="AW247" s="4">
        <v>1.25</v>
      </c>
      <c r="AX247" s="4">
        <f>AX246</f>
        <v>1</v>
      </c>
      <c r="AY247" s="38">
        <f>AT247*AV247*AW247*AX247*AU247</f>
        <v>126.74435687672575</v>
      </c>
      <c r="AZ247" s="38">
        <f>AY247</f>
        <v>126.74435687672575</v>
      </c>
      <c r="BA247" s="38">
        <f>IF(M247&lt;50, 0.3*M247^(2/3), 2.12*LN(1+0.1*(M247+8)))</f>
        <v>4.3472312358327088</v>
      </c>
      <c r="BB247" s="38">
        <f>AX247* (M247^0.5/AS247^0.5)/(PI()/4*N247^2)/X247/0.72 *(0.7+(MIN(S247,AA247)+0.5*N247)/5/K247) *(3*Q247*K247)</f>
        <v>126.74435687672577</v>
      </c>
      <c r="BC247" s="38">
        <f>AY247/BB247</f>
        <v>0.99999999999999978</v>
      </c>
      <c r="BD247" s="38">
        <f>BH247/BB247</f>
        <v>4.3713588887679622</v>
      </c>
      <c r="BE247" s="4">
        <f>IF(BD247&lt;1,1,0)</f>
        <v>0</v>
      </c>
      <c r="BF247" s="4">
        <f>L247/N247*M247^0.5/0.19</f>
        <v>418.28301861035618</v>
      </c>
      <c r="BG247" s="4">
        <f>MIN(0.6+0.4*(AC247/AB247),2)</f>
        <v>1</v>
      </c>
      <c r="BH247" s="38">
        <f>2*M247*AB247*AD247^0.5*BG247*0.7/0.7</f>
        <v>554.04507103425397</v>
      </c>
      <c r="BI247" s="4">
        <f>MAX(1-0.7*AE247/5,0.3)</f>
        <v>0.46800000000000008</v>
      </c>
      <c r="BJ247" s="4">
        <f>BI247*J247*L247/(J247*N247/2.75/M247^0.5)</f>
        <v>102.28274654079043</v>
      </c>
      <c r="BK247" s="4">
        <f>BH247+BJ247</f>
        <v>656.32781757504438</v>
      </c>
      <c r="BM247" s="4">
        <f>MIN(1.5, 0.75+0.25*MIN(3,MAX(1,S247/N247))+0.4*MIN(1,(40*2*PI()*AM247^2/4/AO247/X247)/N247))</f>
        <v>1.2198581560283688</v>
      </c>
      <c r="BN247" s="4">
        <f>(3*P247+30)*BM247*M247^0.5</f>
        <v>573.65720730466944</v>
      </c>
      <c r="BP247" s="4">
        <f>3.4/PI()^0.5*M247*AB247*AE247^0.5*BG247</f>
        <v>531.39697841895475</v>
      </c>
      <c r="BQ247" s="4">
        <f>8/3*AH247*AI247^2/(AG247-N247-22)/N247*(AG247^2-N247^2)/(AG247^2-(N247+22)^2)</f>
        <v>0</v>
      </c>
      <c r="BR247" s="4">
        <f>BQ247/BP247</f>
        <v>0</v>
      </c>
      <c r="BZ247" s="4">
        <f>IF(W247=0,S247,MIN(W247/2,S247))</f>
        <v>67.309999999999988</v>
      </c>
      <c r="CD247" s="9"/>
      <c r="CF247" s="9"/>
      <c r="CG247" s="9"/>
      <c r="CH247" s="9">
        <f>IF(W247=0,MIN(S247,U247),MIN(W247/2,S247,U247))</f>
        <v>67.309999999999988</v>
      </c>
      <c r="CI247" s="9">
        <f>MAX(W247/2,S247)</f>
        <v>173.73600000000005</v>
      </c>
      <c r="CJ247" s="9">
        <f>(CH247/N247)^0.5*(CI247/CH247)^0.15</f>
        <v>1.5804651169733801</v>
      </c>
      <c r="CK247" s="70">
        <f>IF(AO247&gt;1,20,0)</f>
        <v>20</v>
      </c>
      <c r="CL247" s="9">
        <f>MIN(PI()*AM247^2/4*AN247*2/X247/N247/MAX(0.01,AO247),0.05)</f>
        <v>0</v>
      </c>
      <c r="CM247" s="9">
        <f>MAX(0,CK247*(CL247-0.5/50))</f>
        <v>0</v>
      </c>
      <c r="CN247" s="9">
        <f>MIN(1,(25/N247)^0.3)</f>
        <v>0.89777220146327208</v>
      </c>
      <c r="CO247" s="9">
        <f>IF(J247&gt;=800,0.68,IF(J247&gt;=700,0.75-(J247-700)*0.07/100,IF(J247&gt;=600,0.85-(J247-600)*0.1/100,IF(J247&gt;=500,1-(J247-500)*0.15/100,1.2-(J247-400)*0.2/100))))</f>
        <v>0.68</v>
      </c>
      <c r="CP247" s="9">
        <f>1.75*CN247*CO247*(M247/25)^0.5</f>
        <v>1.6512698668680077</v>
      </c>
      <c r="CQ247" s="9">
        <f>MIN((CJ247+CM247)*CP247,2.5*CP247,M247^0.5)</f>
        <v>2.6097744232941635</v>
      </c>
      <c r="CR247" s="40">
        <v>1</v>
      </c>
      <c r="CS247" s="9">
        <f>4*CQ247*P247+60*CQ247</f>
        <v>263.93888848350906</v>
      </c>
      <c r="CU247" s="4">
        <f>AJ247/BF247</f>
        <v>0.83592963820390698</v>
      </c>
      <c r="CV247" s="4">
        <f>AJ247/BK247</f>
        <v>0.53274470935221885</v>
      </c>
      <c r="CW247" s="4">
        <f>AJ247/BN247</f>
        <v>0.60951935748641473</v>
      </c>
      <c r="CX247" s="4">
        <f>AJ247/CS247</f>
        <v>1.3247580696530805</v>
      </c>
      <c r="CY247" s="4">
        <f>AJ247/DZ247</f>
        <v>0.91594080710970804</v>
      </c>
      <c r="CZ247" s="4">
        <f>AJ247/EL247</f>
        <v>0.61746193238869718</v>
      </c>
      <c r="DA247" s="4">
        <f>AJ247/GI247</f>
        <v>0.72823307370272738</v>
      </c>
      <c r="DB247" s="4">
        <f>AN247</f>
        <v>0</v>
      </c>
      <c r="DC247" s="4">
        <f>CU247</f>
        <v>0.83592963820390698</v>
      </c>
      <c r="DD247" s="4">
        <f>CV247</f>
        <v>0.53274470935221885</v>
      </c>
      <c r="DE247" s="4">
        <f>CX247</f>
        <v>1.3247580696530805</v>
      </c>
      <c r="DF247" s="4">
        <f>DA247</f>
        <v>0.72823307370272738</v>
      </c>
      <c r="DG247" s="4">
        <f>CY247</f>
        <v>0.91594080710970804</v>
      </c>
      <c r="DH247" s="4">
        <f>CZ247</f>
        <v>0.61746193238869718</v>
      </c>
      <c r="DQ247" s="4">
        <f>L247</f>
        <v>368.29999999999995</v>
      </c>
      <c r="DT247" s="4">
        <f>K247/4/(1-0.3*(M247/30)^0.5)/200000/N247</f>
        <v>2.2289464375323425E-5</v>
      </c>
      <c r="DU247" s="4">
        <f>EP247</f>
        <v>8.1900405055518455</v>
      </c>
      <c r="DV247" s="4">
        <f>EC247*AG247/257/M247/AD247</f>
        <v>0.17050435269279238</v>
      </c>
      <c r="DW247" s="4">
        <f>DU247*DV247^0.4</f>
        <v>4.0362702582214709</v>
      </c>
      <c r="DX247" s="4">
        <f>MIN(DU247, DU247/1.4*(1-DV247^1.4)/(1-DV247))</f>
        <v>6.459896859558877</v>
      </c>
      <c r="DY247" s="4">
        <f>MAX(DU247/2, (4-DT247*(8*AG247*(DW247-DX247)+6*K247*DX247))/(4+DT247*K247*DU247)*DU247)</f>
        <v>7.4822225088388175</v>
      </c>
      <c r="DZ247" s="38">
        <f>MIN(1/N247*(4*AG247*(DW247-DX247)+(3*DX247+DY247)*K247)+EC247 -FJ247,MAX(J247,AJ247))</f>
        <v>381.74428925941794</v>
      </c>
      <c r="EA247" s="4">
        <f>DZ247/FF247</f>
        <v>1.0001063709315621</v>
      </c>
      <c r="EB247" s="4">
        <f>AG247/N247</f>
        <v>2.1908902300206643</v>
      </c>
      <c r="EC247" s="4">
        <f>MIN(EB$10*BB247)</f>
        <v>126.74435687672577</v>
      </c>
      <c r="EG247" s="4">
        <f>IF(U247&gt;1*N247,0.85,1)</f>
        <v>0.85</v>
      </c>
      <c r="EH247" s="4">
        <f>MIN(1,MAX(0.7,(1-0.1*(BZ247-1*N247)/N247)))</f>
        <v>0.91205673758865247</v>
      </c>
      <c r="EI247" s="4">
        <f>MIN(1,MAX(0.7,1-0.3*(PI()*AM247^2/4*AQ247*2-0.25*PI()/4*N247^2)/(PI()/4*N247^2)))</f>
        <v>1</v>
      </c>
      <c r="EJ247" s="4">
        <f>IF(EH247*EI247&lt;0.7,0.7,EH247*EI247)</f>
        <v>0.91205673758865247</v>
      </c>
      <c r="EL247" s="4">
        <f>MIN(DU247/N247*3*K247+EM247-FJ247,MAX(J247,AJ247))</f>
        <v>566.27810407862103</v>
      </c>
      <c r="EM247" s="25">
        <f>13.3*Q247*K247^0.5*M247^0.5/X247/N247^2*(0.7+S247/5/K247)</f>
        <v>313.6066416732981</v>
      </c>
      <c r="EO247" s="4">
        <f>EG247*EJ247</f>
        <v>0.77524822695035456</v>
      </c>
      <c r="EP247" s="4">
        <f>IF(N247&lt;22.2,1.1*5*(M247/30)^0.5,IF(N247&gt;=31.8,0.9*5*(M247/30)^0.5,1*5*(M247/30)^0.5))/EG247/EJ247</f>
        <v>8.1900405055518455</v>
      </c>
      <c r="ES247" s="4">
        <f>ET247*N247</f>
        <v>78.464542697960056</v>
      </c>
      <c r="ET247" s="4">
        <f>AF247^0.5</f>
        <v>2.1908902300206643</v>
      </c>
      <c r="EU247" s="4">
        <f>MIN(EC247)/(4700*M247^0.5)/AE247*ES247</f>
        <v>7.2051940311528867E-2</v>
      </c>
      <c r="EX247" s="4">
        <f>EU247</f>
        <v>7.2051940311528867E-2</v>
      </c>
      <c r="EY247" s="4">
        <f>MIN(0.999, EX247/(0.3*(M247/30)^0.5))</f>
        <v>0.17021981270583966</v>
      </c>
      <c r="EZ247" s="4">
        <f>EP247/1*EY247^0.4</f>
        <v>4.0335745950066908</v>
      </c>
      <c r="FA247" s="4">
        <f>EP247/1.4*(1-EY247^1.4)/(1-EY247)</f>
        <v>6.4590653114693684</v>
      </c>
      <c r="FB247" s="4">
        <f>MAX(0,DQ247*FB$9-ES247)</f>
        <v>197.76045730203992</v>
      </c>
      <c r="FC247" s="4">
        <f>MAX(0,DQ247-ES247-FB247)</f>
        <v>92.074999999999989</v>
      </c>
      <c r="FD247" s="4">
        <f>FC247/(1-0.3*(M247/30)^0.5)/200000/N247</f>
        <v>2.2289464375323425E-5</v>
      </c>
      <c r="FE247" s="4">
        <f>MAX(0.5*EP247, (1-2*FD247*(ES247*EZ247+FB247*FA247))/(1/EP247+FD247*FC247))</f>
        <v>7.4823575044630894</v>
      </c>
      <c r="FF247" s="4">
        <f>MIN(4/N247*(1*EZ247*ES247+FA247*FB247+FC247*FE247)+EC247,MAX(J247,AJ247))</f>
        <v>381.70368708264232</v>
      </c>
      <c r="FO247" s="23">
        <f>IF(CU247&lt;0.6,0.6,IF(CU247&lt;0.8,0.8,IF(CU247&lt;1,1,IF(CU247&lt;1.2,1.2,IF(CU247&lt;1.4,1.4,IF(CU247&lt;1.6,1.6,IF(CU247&lt;1.8,1.8,IF(CU247&lt;2,2,2.2))))))))</f>
        <v>1</v>
      </c>
      <c r="FP247" s="23">
        <f>IF(CV247&lt;0.6,0.6,IF(CV247&lt;0.8,0.8,IF(CV247&lt;1,1,IF(CV247&lt;1.2,1.2,IF(CV247&lt;1.4,1.4,IF(CV247&lt;1.6,1.6,IF(CV247&lt;1.8,1.8,IF(CV247&lt;2,2,2.2))))))))</f>
        <v>0.6</v>
      </c>
      <c r="FQ247" s="23">
        <f>IF(DA247&lt;0.6,0.6,IF(DA247&lt;0.8,0.8,IF(DA247&lt;1,1,IF(DA247&lt;1.2,1.2,IF(DA247&lt;1.4,1.4,IF(DA247&lt;1.6,1.6,IF(DA247&lt;1.8,1.8,IF(DA247&lt;2,2,2.2))))))))</f>
        <v>0.8</v>
      </c>
      <c r="FR247" s="23">
        <f>IF(CX247&lt;0.6,0.6,IF(CX247&lt;0.8,0.8,IF(CX247&lt;1,1,IF(CX247&lt;1.2,1.2,IF(CX247&lt;1.4,1.4,IF(CX247&lt;1.6,1.6,IF(CX247&lt;1.8,1.8,IF(CX247&lt;2,2,2.2))))))))</f>
        <v>1.4</v>
      </c>
      <c r="FS247" s="23">
        <f>IF(CY247&lt;0.6,0.6,IF(CY247&lt;0.8,0.8,IF(CY247&lt;1,1,IF(CY247&lt;1.2,1.2,IF(CY247&lt;1.4,1.4,IF(CY247&lt;1.6,1.6,IF(CY247&lt;1.8,1.8,IF(CY247&lt;2,2,2.2))))))))</f>
        <v>1</v>
      </c>
      <c r="FT247" s="23">
        <f>IF(CZ247&lt;0.6,0.6,IF(CZ247&lt;0.8,0.8,IF(CZ247&lt;1,1,IF(CZ247&lt;1.2,1.2,IF(CZ247&lt;1.4,1.4,IF(CZ247&lt;1.6,1.6,IF(CZ247&lt;1.8,1.8,IF(CZ247&lt;2,2,2.2))))))))</f>
        <v>0.8</v>
      </c>
      <c r="FU247" s="23">
        <f>IF(FS247&lt;1,1,0)</f>
        <v>0</v>
      </c>
      <c r="FV247" s="23"/>
      <c r="GF247" s="4">
        <f>IF(S247&gt;=2.5*25.4,1,1.25)</f>
        <v>1</v>
      </c>
      <c r="GG247" s="4">
        <f>IF(AO247&gt;1, 0.05*(18-MIN(8,(W247+N247)/N247))*(1-48000/MAX(60000,(J247*145))*(N247/25.4)^0.75*GH247), 1/12*(14-MIN(8,(W247+N247)/N247)))</f>
        <v>0.5</v>
      </c>
      <c r="GH247" s="4">
        <f>MIN(0.3, AM247^2*PI()/4*2*AP247/(N247^2*PI()/4*X247))</f>
        <v>0</v>
      </c>
      <c r="GI247" s="4">
        <f>(K247/25.4)/(N247/25.4)^1.5/0.0024*(M247*145)^0.25/GF247/GG247/145</f>
        <v>480.14184612071898</v>
      </c>
    </row>
    <row r="248" spans="1:191" ht="12" customHeight="1" x14ac:dyDescent="0.3">
      <c r="A248" s="25">
        <v>412</v>
      </c>
      <c r="B248" s="4" t="s">
        <v>605</v>
      </c>
      <c r="C248" s="4">
        <v>2016</v>
      </c>
      <c r="D248" s="4" t="s">
        <v>309</v>
      </c>
      <c r="E248" s="14" t="s">
        <v>678</v>
      </c>
      <c r="F248" s="14"/>
      <c r="G248" s="14">
        <v>13</v>
      </c>
      <c r="H248" s="7" t="s">
        <v>582</v>
      </c>
      <c r="I248" s="5">
        <f>K248/N248</f>
        <v>10.283687943262413</v>
      </c>
      <c r="J248" s="90">
        <f>135/0.145</f>
        <v>931.0344827586207</v>
      </c>
      <c r="K248" s="93">
        <f>14.5*25.4</f>
        <v>368.29999999999995</v>
      </c>
      <c r="L248" s="4">
        <f>K248</f>
        <v>368.29999999999995</v>
      </c>
      <c r="M248" s="95">
        <f>5970/145</f>
        <v>41.172413793103445</v>
      </c>
      <c r="N248" s="38">
        <f>1.41*25.4</f>
        <v>35.813999999999993</v>
      </c>
      <c r="O248" s="7">
        <f>K248/N248</f>
        <v>10.283687943262413</v>
      </c>
      <c r="P248" s="7">
        <f>L248/N248</f>
        <v>10.283687943262413</v>
      </c>
      <c r="Q248" s="38">
        <f>21.7*25.4</f>
        <v>551.17999999999995</v>
      </c>
      <c r="R248" s="32">
        <f>S248/N248</f>
        <v>1.8085106382978726</v>
      </c>
      <c r="S248" s="38">
        <f>2.55*25.4</f>
        <v>64.77</v>
      </c>
      <c r="T248" s="32">
        <f>U248/N248</f>
        <v>2.3404255319148941</v>
      </c>
      <c r="U248" s="39">
        <f>3.3*25.4</f>
        <v>83.82</v>
      </c>
      <c r="V248" s="32">
        <f>W248/N248</f>
        <v>9.7730496453900706</v>
      </c>
      <c r="W248" s="7">
        <f>(Q248-X248*N248-2*S248)/(X248-1)</f>
        <v>350.01199999999994</v>
      </c>
      <c r="X248" s="38">
        <v>2</v>
      </c>
      <c r="Y248" s="7">
        <f>AN248</f>
        <v>0</v>
      </c>
      <c r="Z248" s="32">
        <f>AA248/N248</f>
        <v>14.18439716312057</v>
      </c>
      <c r="AA248" s="4">
        <f>20*25.4</f>
        <v>508</v>
      </c>
      <c r="AB248" s="7">
        <f>MIN(S248/N248+0.5, W248/2/N248+0.5)</f>
        <v>2.3085106382978724</v>
      </c>
      <c r="AC248" s="7">
        <f>S248/N248+0.5</f>
        <v>2.3085106382978724</v>
      </c>
      <c r="AD248" s="38">
        <v>8.6</v>
      </c>
      <c r="AE248" s="4">
        <f>AD248</f>
        <v>8.6</v>
      </c>
      <c r="AF248" s="4">
        <f>AE248+1</f>
        <v>9.6</v>
      </c>
      <c r="AG248" s="7">
        <f>N248*AF248^0.5</f>
        <v>110.96562044885792</v>
      </c>
      <c r="AJ248" s="38">
        <f>AK248/0.145</f>
        <v>366.20689655172418</v>
      </c>
      <c r="AK248" s="4">
        <v>53.1</v>
      </c>
      <c r="AL248" s="4">
        <f>CY248</f>
        <v>1.2093370725585242</v>
      </c>
      <c r="AM248" s="38">
        <v>0</v>
      </c>
      <c r="AN248" s="38">
        <v>0</v>
      </c>
      <c r="AO248" s="39">
        <f>L248</f>
        <v>368.29999999999995</v>
      </c>
      <c r="AP248" s="39"/>
      <c r="AQ248" s="39"/>
      <c r="AR248" s="7"/>
      <c r="AS248" s="4">
        <f>K248</f>
        <v>368.29999999999995</v>
      </c>
      <c r="AT248" s="4">
        <f>IF(K248*3&gt;W248+N248, Q248, (S248+N248/2)*2+1.5*K248*(2*X248-2))*(3*K248)/(9*K248^2)</f>
        <v>0.49885057471264377</v>
      </c>
      <c r="AU248" s="4">
        <f>MIN(10*M248^0.5*K248^1.5,100*3.9*M248^0.5*K248^(5/3))/(PI()/4*N248^2)/X248</f>
        <v>225.10244237578763</v>
      </c>
      <c r="AV248" s="4">
        <f>MIN(0.7+0.3*(MIN(S248,AA248)+0.5*N248)/1.5/K248,1)</f>
        <v>0.74489655172413793</v>
      </c>
      <c r="AW248" s="4">
        <v>1.25</v>
      </c>
      <c r="AX248" s="4">
        <f>AX247</f>
        <v>1</v>
      </c>
      <c r="AY248" s="38">
        <f>AT248*AV248*AW248*AX248*AU248</f>
        <v>104.55785397976447</v>
      </c>
      <c r="AZ248" s="38">
        <f>AY248</f>
        <v>104.55785397976447</v>
      </c>
      <c r="BA248" s="38">
        <f>IF(M248&lt;50, 0.3*M248^(2/3), 2.12*LN(1+0.1*(M248+8)))</f>
        <v>3.5770538153249696</v>
      </c>
      <c r="BB248" s="38">
        <f>AX248* (M248^0.5/AS248^0.5)/(PI()/4*N248^2)/X248/0.72 *(0.7+(MIN(S248,AA248)+0.5*N248)/5/K248) *(3*Q248*K248)</f>
        <v>104.55785397976446</v>
      </c>
      <c r="BC248" s="38">
        <f>AY248/BB248</f>
        <v>1.0000000000000002</v>
      </c>
      <c r="BD248" s="38">
        <f>BH248/BB248</f>
        <v>5.3316394106272966</v>
      </c>
      <c r="BE248" s="4">
        <f>IF(BD248&lt;1,1,0)</f>
        <v>0</v>
      </c>
      <c r="BF248" s="4">
        <f>L248/N248*M248^0.5/0.19</f>
        <v>347.29493782373595</v>
      </c>
      <c r="BG248" s="4">
        <f>MIN(0.6+0.4*(AC248/AB248),2)</f>
        <v>1</v>
      </c>
      <c r="BH248" s="38">
        <f>2*M248*AB248*AD248^0.5*BG248*0.7/0.7</f>
        <v>557.46477496912632</v>
      </c>
      <c r="BI248" s="4">
        <f>MAX(1-0.7*AE248/5,0.3)</f>
        <v>0.3</v>
      </c>
      <c r="BJ248" s="4">
        <f>BI248*J248*L248/(J248*N248/2.75/M248^0.5)</f>
        <v>54.438481503870605</v>
      </c>
      <c r="BK248" s="4">
        <f>BH248+BJ248</f>
        <v>611.90325647299687</v>
      </c>
      <c r="BM248" s="4">
        <f>MIN(1.5, 0.75+0.25*MIN(3,MAX(1,S248/N248))+0.4*MIN(1,(40*2*PI()*AM248^2/4/AO248/X248)/N248))</f>
        <v>1.2021276595744681</v>
      </c>
      <c r="BN248" s="4">
        <f>(3*P248+30)*BM248*M248^0.5</f>
        <v>469.37713472743013</v>
      </c>
      <c r="BP248" s="4">
        <f>3.4/PI()^0.5*M248*AB248*AE248^0.5*BG248</f>
        <v>534.67689269503751</v>
      </c>
      <c r="BQ248" s="4">
        <f>8/3*AH248*AI248^2/(AG248-N248-22)/N248*(AG248^2-N248^2)/(AG248^2-(N248+22)^2)</f>
        <v>0</v>
      </c>
      <c r="BR248" s="4">
        <f>BQ248/BP248</f>
        <v>0</v>
      </c>
      <c r="BZ248" s="4">
        <f>IF(W248=0,S248,MIN(W248/2,S248))</f>
        <v>64.77</v>
      </c>
      <c r="CD248" s="9"/>
      <c r="CF248" s="9"/>
      <c r="CG248" s="9"/>
      <c r="CH248" s="9">
        <f>IF(W248=0,MIN(S248,U248),MIN(W248/2,S248,U248))</f>
        <v>64.77</v>
      </c>
      <c r="CI248" s="9">
        <f>MAX(W248/2,S248)</f>
        <v>175.00599999999997</v>
      </c>
      <c r="CJ248" s="9">
        <f>(CH248/N248)^0.5*(CI248/CH248)^0.15</f>
        <v>1.561034100003972</v>
      </c>
      <c r="CK248" s="70">
        <f>IF(AO248&gt;1,20,0)</f>
        <v>20</v>
      </c>
      <c r="CL248" s="9">
        <f>MIN(PI()*AM248^2/4*AN248*2/X248/N248/MAX(0.01,AO248),0.05)</f>
        <v>0</v>
      </c>
      <c r="CM248" s="9">
        <f>MAX(0,CK248*(CL248-0.5/50))</f>
        <v>0</v>
      </c>
      <c r="CN248" s="9">
        <f>MIN(1,(25/N248)^0.3)</f>
        <v>0.89777220146327208</v>
      </c>
      <c r="CO248" s="9">
        <f>IF(J248&gt;=800,0.68,IF(J248&gt;=700,0.75-(J248-700)*0.07/100,IF(J248&gt;=600,0.85-(J248-600)*0.1/100,IF(J248&gt;=500,1-(J248-500)*0.15/100,1.2-(J248-400)*0.2/100))))</f>
        <v>0.68</v>
      </c>
      <c r="CP248" s="9">
        <f>1.75*CN248*CO248*(M248/25)^0.5</f>
        <v>1.3710278453315501</v>
      </c>
      <c r="CQ248" s="9">
        <f>MIN((CJ248+CM248)*CP248,2.5*CP248,M248^0.5)</f>
        <v>2.1402212186175213</v>
      </c>
      <c r="CR248" s="40">
        <v>1</v>
      </c>
      <c r="CS248" s="9">
        <f>4*CQ248*P248+60*CQ248</f>
        <v>216.45074168429687</v>
      </c>
      <c r="CU248" s="4">
        <f>AJ248/BF248</f>
        <v>1.0544550371119625</v>
      </c>
      <c r="CV248" s="4">
        <f>AJ248/BK248</f>
        <v>0.59847188698183496</v>
      </c>
      <c r="CW248" s="4">
        <f>AJ248/BN248</f>
        <v>0.78019756280710717</v>
      </c>
      <c r="CX248" s="4">
        <f>AJ248/CS248</f>
        <v>1.6918717566043429</v>
      </c>
      <c r="CY248" s="4">
        <f>AJ248/DZ248</f>
        <v>1.2093370725585242</v>
      </c>
      <c r="CZ248" s="4">
        <f>AJ248/EL248</f>
        <v>0.78437925291382093</v>
      </c>
      <c r="DA248" s="4">
        <f>AJ248/GI248</f>
        <v>0.83703352176496904</v>
      </c>
      <c r="DB248" s="4">
        <f>AN248</f>
        <v>0</v>
      </c>
      <c r="DC248" s="4">
        <f>CU248</f>
        <v>1.0544550371119625</v>
      </c>
      <c r="DD248" s="4">
        <f>CV248</f>
        <v>0.59847188698183496</v>
      </c>
      <c r="DE248" s="4">
        <f>CX248</f>
        <v>1.6918717566043429</v>
      </c>
      <c r="DF248" s="4">
        <f>DA248</f>
        <v>0.83703352176496904</v>
      </c>
      <c r="DG248" s="4">
        <f>CY248</f>
        <v>1.2093370725585242</v>
      </c>
      <c r="DH248" s="4">
        <f>CZ248</f>
        <v>0.78437925291382093</v>
      </c>
      <c r="DQ248" s="4">
        <f>L248</f>
        <v>368.29999999999995</v>
      </c>
      <c r="DT248" s="4">
        <f>K248/4/(1-0.3*(M248/30)^0.5)/200000/N248</f>
        <v>1.9820544052469766E-5</v>
      </c>
      <c r="DU248" s="4">
        <f>EP248</f>
        <v>6.747614087532412</v>
      </c>
      <c r="DV248" s="4">
        <f>EC248*AG248/257/M248/AD248</f>
        <v>0.12749912468046498</v>
      </c>
      <c r="DW248" s="4">
        <f>DU248*DV248^0.4</f>
        <v>2.9604185549022737</v>
      </c>
      <c r="DX248" s="4">
        <f>MIN(DU248, DU248/1.4*(1-DV248^1.4)/(1-DV248))</f>
        <v>5.2150281803946834</v>
      </c>
      <c r="DY248" s="4">
        <f>MAX(DU248/2, (4-DT248*(8*AG248*(DW248-DX248)+6*K248*DX248))/(4+DT248*K248*DU248)*DU248)</f>
        <v>6.3510115883926943</v>
      </c>
      <c r="DZ248" s="38">
        <f>MIN(1/N248*(4*AG248*(DW248-DX248)+(3*DX248+DY248)*K248)+EC248 -FJ248,MAX(J248,AJ248))</f>
        <v>302.81623284479451</v>
      </c>
      <c r="EA248" s="4">
        <f>DZ248/FF248</f>
        <v>1.0001116677368296</v>
      </c>
      <c r="EB248" s="4">
        <f>AG248/N248</f>
        <v>3.0983866769659336</v>
      </c>
      <c r="EC248" s="4">
        <f>MIN(EB$10*BB248)</f>
        <v>104.55785397976446</v>
      </c>
      <c r="EG248" s="4">
        <f>IF(U248&gt;1*N248,0.85,1)</f>
        <v>0.85</v>
      </c>
      <c r="EH248" s="4">
        <f>MIN(1,MAX(0.7,(1-0.1*(BZ248-1*N248)/N248)))</f>
        <v>0.91914893617021276</v>
      </c>
      <c r="EI248" s="4">
        <f>MIN(1,MAX(0.7,1-0.3*(PI()*AM248^2/4*AQ248*2-0.25*PI()/4*N248^2)/(PI()/4*N248^2)))</f>
        <v>1</v>
      </c>
      <c r="EJ248" s="4">
        <f>IF(EH248*EI248&lt;0.7,0.7,EH248*EI248)</f>
        <v>0.91914893617021276</v>
      </c>
      <c r="EL248" s="4">
        <f>MIN(DU248/N248*3*K248+EM248-FJ248,MAX(J248,AJ248))</f>
        <v>466.87478689847376</v>
      </c>
      <c r="EM248" s="25">
        <f>13.3*Q248*K248^0.5*M248^0.5/X248/N248^2*(0.7+S248/5/K248)</f>
        <v>258.70371398523974</v>
      </c>
      <c r="EO248" s="4">
        <f>EG248*EJ248</f>
        <v>0.78127659574468078</v>
      </c>
      <c r="EP248" s="4">
        <f>IF(N248&lt;22.2,1.1*5*(M248/30)^0.5,IF(N248&gt;=31.8,0.9*5*(M248/30)^0.5,1*5*(M248/30)^0.5))/EG248/EJ248</f>
        <v>6.747614087532412</v>
      </c>
      <c r="ES248" s="4">
        <f>ET248*N248</f>
        <v>110.96562044885792</v>
      </c>
      <c r="ET248" s="4">
        <f>AF248^0.5</f>
        <v>3.0983866769659336</v>
      </c>
      <c r="EU248" s="4">
        <f>MIN(EC248)/(4700*M248^0.5)/AE248*ES248</f>
        <v>4.4734813701668631E-2</v>
      </c>
      <c r="EX248" s="4">
        <f>EU248</f>
        <v>4.4734813701668631E-2</v>
      </c>
      <c r="EY248" s="4">
        <f>MIN(0.999, EX248/(0.3*(M248/30)^0.5))</f>
        <v>0.1272863524039799</v>
      </c>
      <c r="EZ248" s="4">
        <f>EP248/1*EY248^0.4</f>
        <v>2.9584414099421346</v>
      </c>
      <c r="FA248" s="4">
        <f>EP248/1.4*(1-EY248^1.4)/(1-EY248)</f>
        <v>5.214478253474657</v>
      </c>
      <c r="FB248" s="4">
        <f>MAX(0,DQ248*FB$9-ES248)</f>
        <v>165.25937955114205</v>
      </c>
      <c r="FC248" s="4">
        <f>MAX(0,DQ248-ES248-FB248)</f>
        <v>92.074999999999989</v>
      </c>
      <c r="FD248" s="4">
        <f>FC248/(1-0.3*(M248/30)^0.5)/200000/N248</f>
        <v>1.9820544052469766E-5</v>
      </c>
      <c r="FE248" s="4">
        <f>MAX(0.5*EP248, (1-2*FD248*(ES248*EZ248+FB248*FA248))/(1/EP248+FD248*FC248))</f>
        <v>6.3510935722259694</v>
      </c>
      <c r="FF248" s="4">
        <f>MIN(4/N248*(1*EZ248*ES248+FA248*FB248+FC248*FE248)+EC248,MAX(J248,AJ248))</f>
        <v>302.78242181699841</v>
      </c>
      <c r="FO248" s="23">
        <f>IF(CU248&lt;0.6,0.6,IF(CU248&lt;0.8,0.8,IF(CU248&lt;1,1,IF(CU248&lt;1.2,1.2,IF(CU248&lt;1.4,1.4,IF(CU248&lt;1.6,1.6,IF(CU248&lt;1.8,1.8,IF(CU248&lt;2,2,2.2))))))))</f>
        <v>1.2</v>
      </c>
      <c r="FP248" s="23">
        <f>IF(CV248&lt;0.6,0.6,IF(CV248&lt;0.8,0.8,IF(CV248&lt;1,1,IF(CV248&lt;1.2,1.2,IF(CV248&lt;1.4,1.4,IF(CV248&lt;1.6,1.6,IF(CV248&lt;1.8,1.8,IF(CV248&lt;2,2,2.2))))))))</f>
        <v>0.6</v>
      </c>
      <c r="FQ248" s="23">
        <f>IF(DA248&lt;0.6,0.6,IF(DA248&lt;0.8,0.8,IF(DA248&lt;1,1,IF(DA248&lt;1.2,1.2,IF(DA248&lt;1.4,1.4,IF(DA248&lt;1.6,1.6,IF(DA248&lt;1.8,1.8,IF(DA248&lt;2,2,2.2))))))))</f>
        <v>1</v>
      </c>
      <c r="FR248" s="23">
        <f>IF(CX248&lt;0.6,0.6,IF(CX248&lt;0.8,0.8,IF(CX248&lt;1,1,IF(CX248&lt;1.2,1.2,IF(CX248&lt;1.4,1.4,IF(CX248&lt;1.6,1.6,IF(CX248&lt;1.8,1.8,IF(CX248&lt;2,2,2.2))))))))</f>
        <v>1.8</v>
      </c>
      <c r="FS248" s="23">
        <f>IF(CY248&lt;0.6,0.6,IF(CY248&lt;0.8,0.8,IF(CY248&lt;1,1,IF(CY248&lt;1.2,1.2,IF(CY248&lt;1.4,1.4,IF(CY248&lt;1.6,1.6,IF(CY248&lt;1.8,1.8,IF(CY248&lt;2,2,2.2))))))))</f>
        <v>1.4</v>
      </c>
      <c r="FT248" s="23">
        <f>IF(CZ248&lt;0.6,0.6,IF(CZ248&lt;0.8,0.8,IF(CZ248&lt;1,1,IF(CZ248&lt;1.2,1.2,IF(CZ248&lt;1.4,1.4,IF(CZ248&lt;1.6,1.6,IF(CZ248&lt;1.8,1.8,IF(CZ248&lt;2,2,2.2))))))))</f>
        <v>0.8</v>
      </c>
      <c r="FU248" s="23">
        <f>IF(FS248&lt;1,1,0)</f>
        <v>0</v>
      </c>
      <c r="FV248" s="23"/>
      <c r="GF248" s="4">
        <f>IF(S248&gt;=2.5*25.4,1,1.25)</f>
        <v>1</v>
      </c>
      <c r="GG248" s="4">
        <f>IF(AO248&gt;1, 0.05*(18-MIN(8,(W248+N248)/N248))*(1-48000/MAX(60000,(J248*145))*(N248/25.4)^0.75*GH248), 1/12*(14-MIN(8,(W248+N248)/N248)))</f>
        <v>0.5</v>
      </c>
      <c r="GH248" s="4">
        <f>MIN(0.3, AM248^2*PI()/4*2*AP248/(N248^2*PI()/4*X248))</f>
        <v>0</v>
      </c>
      <c r="GI248" s="4">
        <f>(K248/25.4)/(N248/25.4)^1.5/0.0024*(M248*145)^0.25/GF248/GG248/145</f>
        <v>437.50565184001266</v>
      </c>
    </row>
    <row r="249" spans="1:191" ht="12" hidden="1" customHeight="1" x14ac:dyDescent="0.3">
      <c r="A249" s="25">
        <v>224</v>
      </c>
      <c r="B249" s="24" t="s">
        <v>182</v>
      </c>
      <c r="C249" s="4">
        <v>1996</v>
      </c>
      <c r="D249" s="24" t="s">
        <v>309</v>
      </c>
      <c r="E249" s="24"/>
      <c r="F249" s="24"/>
      <c r="G249" s="24"/>
      <c r="H249" s="4" t="s">
        <v>358</v>
      </c>
      <c r="J249" s="7">
        <v>556</v>
      </c>
      <c r="K249" s="7">
        <f>305-U249-20</f>
        <v>209</v>
      </c>
      <c r="L249" s="7">
        <f>K249</f>
        <v>209</v>
      </c>
      <c r="M249" s="7">
        <v>33.299999999999997</v>
      </c>
      <c r="N249" s="7">
        <v>35.799999999999997</v>
      </c>
      <c r="O249" s="7">
        <f>K249/N249</f>
        <v>5.8379888268156428</v>
      </c>
      <c r="P249" s="7">
        <f>L249/N249</f>
        <v>5.8379888268156428</v>
      </c>
      <c r="Q249" s="7">
        <v>305</v>
      </c>
      <c r="R249" s="7"/>
      <c r="S249" s="7">
        <v>76</v>
      </c>
      <c r="T249" s="7"/>
      <c r="U249" s="7">
        <v>76</v>
      </c>
      <c r="V249" s="7"/>
      <c r="W249" s="7">
        <f>Q249-2*N249-2*S249</f>
        <v>81.400000000000006</v>
      </c>
      <c r="X249" s="7">
        <v>2</v>
      </c>
      <c r="Y249" s="7"/>
      <c r="Z249" s="7"/>
      <c r="AA249" s="7">
        <f>775-(343+152)</f>
        <v>280</v>
      </c>
      <c r="AB249" s="7">
        <f>MIN(S249/N249+0.5, W249/2/N249+0.5)</f>
        <v>1.6368715083798884</v>
      </c>
      <c r="AC249" s="7">
        <f>S249/N249+0.5</f>
        <v>2.6229050279329611</v>
      </c>
      <c r="AD249" s="7">
        <f>3844/(N249^2*PI()/4)-1</f>
        <v>2.8188046643066431</v>
      </c>
      <c r="AE249" s="7">
        <f>3844/(N249^2*PI()/4)-1</f>
        <v>2.8188046643066431</v>
      </c>
      <c r="AF249" s="7">
        <f>AE249+1</f>
        <v>3.8188046643066431</v>
      </c>
      <c r="AG249" s="7">
        <f>N249*AF249^0.5</f>
        <v>69.95950835992177</v>
      </c>
      <c r="AH249" s="7">
        <f>J249</f>
        <v>556</v>
      </c>
      <c r="AI249" s="7">
        <v>20</v>
      </c>
      <c r="AJ249" s="7"/>
      <c r="AK249" s="32" t="s">
        <v>183</v>
      </c>
      <c r="AL249" s="4">
        <f>CY249</f>
        <v>0</v>
      </c>
      <c r="AM249" s="7">
        <v>0</v>
      </c>
      <c r="AN249" s="7">
        <v>0</v>
      </c>
      <c r="AO249" s="7">
        <f>L249</f>
        <v>209</v>
      </c>
      <c r="AP249" s="7"/>
      <c r="AQ249" s="7"/>
      <c r="AR249" s="7">
        <f>3*AS249/(W249+N249)</f>
        <v>5.3498293515358357</v>
      </c>
      <c r="AS249" s="4">
        <f>K249</f>
        <v>209</v>
      </c>
      <c r="AT249" s="4">
        <f>IF(K249*3&gt;W249+N249, Q249, (S249+N249/2)*2+1.5*K249*(2*X249-2))*(3*K249)/(9*K249^2)</f>
        <v>0.48644338118022329</v>
      </c>
      <c r="AU249" s="4">
        <f>MIN(10*M249^0.5*K249^1.5,100*3.9*M249^0.5*K249^(5/3))/(PI()/4*N249^2)/X249</f>
        <v>86.607522555408934</v>
      </c>
      <c r="AV249" s="4">
        <f>MIN(0.7+0.3*(MIN(S249,AA249)+0.5*N249)/1.5/K249,1)</f>
        <v>0.78985645933014348</v>
      </c>
      <c r="AW249" s="4">
        <v>1.25</v>
      </c>
      <c r="AX249" s="4">
        <f>AX248</f>
        <v>1</v>
      </c>
      <c r="AY249" s="38">
        <f>AT249*AV249*AW249*AX249*AU249</f>
        <v>41.595476257328762</v>
      </c>
      <c r="AZ249" s="38">
        <f>AY249</f>
        <v>41.595476257328762</v>
      </c>
      <c r="BA249" s="38">
        <f>IF(M249&lt;50, 0.3*M249^(2/3), 2.12*LN(1+0.1*(M249+8)))</f>
        <v>3.1051606722149665</v>
      </c>
      <c r="BB249" s="38">
        <f>AX249* (M249^0.5/AS249^0.5)/(PI()/4*N249^2)/X249/0.72 *(0.7+(MIN(S249,AA249)+0.5*N249)/5/K249) *(3*Q249*K249)</f>
        <v>41.595476257328762</v>
      </c>
      <c r="BC249" s="38">
        <f>AY249/BB249</f>
        <v>1</v>
      </c>
      <c r="BD249" s="38">
        <f>BH249/BB249</f>
        <v>5.4604880655702859</v>
      </c>
      <c r="BE249" s="4">
        <f>IF(BD249&lt;1,1,0)</f>
        <v>0</v>
      </c>
      <c r="BF249" s="4">
        <f>L249/N249*M249^0.5/0.19</f>
        <v>177.30940615507106</v>
      </c>
      <c r="BG249" s="4">
        <f>MIN(0.6+0.4*(AC249/AB249),2)</f>
        <v>1.2409556313993173</v>
      </c>
      <c r="BH249" s="38">
        <f>2*M249*AB249*AD249^0.5*BG249*0.7/0.7</f>
        <v>227.13160168485589</v>
      </c>
      <c r="BI249" s="4">
        <f>MAX(1-0.7*AE249/5,0.3)</f>
        <v>0.60536734699706995</v>
      </c>
      <c r="BJ249" s="4">
        <f>BI249*J249*L249/(J249*N249/2.75/M249^0.5)</f>
        <v>56.083752208899391</v>
      </c>
      <c r="BK249" s="4">
        <f>BH249+BJ249</f>
        <v>283.21535389375526</v>
      </c>
      <c r="BM249" s="4">
        <f>MIN(1.5, 0.75+0.25*MIN(3,MAX(1,S249/N249))+0.4*MIN(1,(40*2*PI()*AM249^2/4/AO249/X249)/N249))</f>
        <v>1.2807262569832403</v>
      </c>
      <c r="BN249" s="4">
        <f>(3*P249+30)*BM249*M249^0.5</f>
        <v>351.1556957600107</v>
      </c>
      <c r="BP249" s="4">
        <f>3.4/PI()^0.5*M249*AB249*AE249^0.5*BG249</f>
        <v>217.84698240069329</v>
      </c>
      <c r="BQ249" s="4">
        <f>8/3*AH249*AI249^2/(AG249-N249-22)/N249*(AG249^2-N249^2)/(AG249^2-(N249+22)^2)</f>
        <v>3168.2997281821408</v>
      </c>
      <c r="BR249" s="4">
        <f>BQ249/BP249</f>
        <v>14.543693436866526</v>
      </c>
      <c r="BZ249" s="4">
        <f>IF(W249=0,S249,MIN(W249/2,S249))</f>
        <v>40.700000000000003</v>
      </c>
      <c r="CD249" s="9"/>
      <c r="CF249" s="9"/>
      <c r="CG249" s="9"/>
      <c r="CH249" s="9">
        <f>IF(W249=0,MIN(S249,U249),MIN(W249/2,S249,U249))</f>
        <v>40.700000000000003</v>
      </c>
      <c r="CI249" s="9">
        <f>MAX(W249/2,S249)</f>
        <v>76</v>
      </c>
      <c r="CJ249" s="9">
        <f>(CH249/N249)^0.5*(CI249/CH249)^0.15</f>
        <v>1.1709505872794554</v>
      </c>
      <c r="CK249" s="70">
        <v>0</v>
      </c>
      <c r="CL249" s="9">
        <f>MIN(PI()*AM249^2/4*AN249*2/X249/N249/MAX(0.01,AO249),0.05)</f>
        <v>0</v>
      </c>
      <c r="CM249" s="9">
        <f>MAX(0,CK249*(CL249-0.5/50))</f>
        <v>0</v>
      </c>
      <c r="CN249" s="9">
        <f>MIN(1,(25/N249)^0.3)</f>
        <v>0.89787751228078194</v>
      </c>
      <c r="CO249" s="9">
        <f>IF(J249&gt;=800,0.68,IF(J249&gt;=700,0.75-(J249-700)*0.07/100,IF(J249&gt;=600,0.85-(J249-600)*0.1/100,IF(J249&gt;=500,1-(J249-500)*0.15/100,1.2-(J249-400)*0.2/100))))</f>
        <v>0.91600000000000004</v>
      </c>
      <c r="CP249" s="9">
        <f>1.75*CN249*CO249*(M249/25)^0.5</f>
        <v>1.661126587131682</v>
      </c>
      <c r="CQ249" s="9">
        <f>MIN((CJ249+CM249)*CP249,2.5*CP249,M249^0.5)</f>
        <v>1.9450971527473606</v>
      </c>
      <c r="CR249" s="9">
        <v>1</v>
      </c>
      <c r="CS249" s="9">
        <f>4*CQ249*P249+60*CQ249</f>
        <v>162.12765094408167</v>
      </c>
      <c r="DP249" s="4">
        <f>AN249</f>
        <v>0</v>
      </c>
      <c r="DQ249" s="4">
        <f>L249</f>
        <v>209</v>
      </c>
      <c r="DT249" s="4">
        <f>K249/4/(1-0.3*(M249/30)^0.5)/200000/N249</f>
        <v>1.0669925138298828E-5</v>
      </c>
      <c r="DU249" s="4">
        <f>EP249</f>
        <v>5.6551012697105509</v>
      </c>
      <c r="DV249" s="4">
        <f>EC249*AG249/257/M249/AD249</f>
        <v>0.12062866228834108</v>
      </c>
      <c r="DW249" s="4">
        <f>DU249*DV249^0.4</f>
        <v>2.4267251508251455</v>
      </c>
      <c r="DX249" s="4">
        <f>MIN(DU249, DU249/1.4*(1-DV249^1.4)/(1-DV249))</f>
        <v>4.3556836174247975</v>
      </c>
      <c r="DY249" s="4">
        <f>MAX(DU249/2, (4-DT249*(8*AG249*(DW249-DX249)+6*K249*DX249))/(4+DT249*K249*DU249)*DU249)</f>
        <v>5.5714275138883869</v>
      </c>
      <c r="DZ249" s="38">
        <f>MIN(1/N249*(4*AG249*(DW249-DX249)+(3*DX249+DY249)*K249)+EC249 -FJ249,MAX(J249,AJ249))</f>
        <v>135.32860571676844</v>
      </c>
      <c r="EA249" s="4">
        <f>DZ249/FF249</f>
        <v>1.0001244903603892</v>
      </c>
      <c r="EB249" s="4">
        <f>AG249/N249</f>
        <v>1.9541762111709993</v>
      </c>
      <c r="EC249" s="4">
        <f>MIN(EB$10*BB249)</f>
        <v>41.595476257328762</v>
      </c>
      <c r="EG249" s="4">
        <f>IF(U249&gt;1*N249,0.85,1)</f>
        <v>0.85</v>
      </c>
      <c r="EH249" s="4">
        <f>MIN(1,MAX(0.7,(1-0.1*(BZ249-1*N249)/N249)))</f>
        <v>0.98631284916201112</v>
      </c>
      <c r="EI249" s="4">
        <f>MIN(1,MAX(0.7,1-0.3*(PI()*AM249^2/4*AQ249*2-0.25*PI()/4*N249^2)/(PI()/4*N249^2)))</f>
        <v>1</v>
      </c>
      <c r="EJ249" s="4">
        <f>IF(EH249*EI249&lt;0.7,0.7,EH249*EI249)</f>
        <v>0.98631284916201112</v>
      </c>
      <c r="EL249" s="4">
        <f>MIN(DU249/N249*3*K249+EM249-FJ249,MAX(J249,AJ249))</f>
        <v>201.06128380235231</v>
      </c>
      <c r="EM249" s="25">
        <f>13.3*Q249*K249^0.5*M249^0.5/X249/N249^2*(0.7+S249/5/K249)</f>
        <v>102.01802972110887</v>
      </c>
      <c r="EO249" s="4">
        <f>EG249*EJ249</f>
        <v>0.83836592178770941</v>
      </c>
      <c r="EP249" s="4">
        <f>IF(N249&lt;22.2,1.1*5*(M249/30)^0.5,IF(N249&gt;=31.8,0.9*5*(M249/30)^0.5,1*5*(M249/30)^0.5))/EG249/EJ249</f>
        <v>5.6551012697105509</v>
      </c>
      <c r="ES249" s="4">
        <f>ET249*N249</f>
        <v>69.95950835992177</v>
      </c>
      <c r="ET249" s="4">
        <f>AF249^0.5</f>
        <v>1.9541762111709995</v>
      </c>
      <c r="EU249" s="4">
        <f>MIN(EC249)/(4700*M249^0.5)/AE249*ES249</f>
        <v>3.80634276080557E-2</v>
      </c>
      <c r="EX249" s="4">
        <f>EU249</f>
        <v>3.80634276080557E-2</v>
      </c>
      <c r="EY249" s="4">
        <f>MIN(0.999, EX249/(0.3*(M249/30)^0.5))</f>
        <v>0.12042735553310829</v>
      </c>
      <c r="EZ249" s="4">
        <f>EP249/1*EY249^0.4</f>
        <v>2.4251044383101354</v>
      </c>
      <c r="FA249" s="4">
        <f>EP249/1.4*(1-EY249^1.4)/(1-EY249)</f>
        <v>4.3552419535380489</v>
      </c>
      <c r="FB249" s="4">
        <f>MAX(0,DQ249*FB$9-ES249)</f>
        <v>86.79049164007823</v>
      </c>
      <c r="FC249" s="4">
        <f>MAX(0,DQ249-ES249-FB249)</f>
        <v>52.250000000000014</v>
      </c>
      <c r="FD249" s="4">
        <f>FC249/(1-0.3*(M249/30)^0.5)/200000/N249</f>
        <v>1.0669925138298833E-5</v>
      </c>
      <c r="FE249" s="4">
        <f>MAX(0.5*EP249, (1-2*FD249*(ES249*EZ249+FB249*FA249))/(1/EP249+FD249*FC249))</f>
        <v>5.5714457653411804</v>
      </c>
      <c r="FF249" s="4">
        <f>MIN(4/N249*(1*EZ249*ES249+FA249*FB249+FC249*FE249)+EC249,MAX(J249,AJ249))</f>
        <v>135.31176070691313</v>
      </c>
      <c r="FO249" s="23"/>
      <c r="FP249" s="23"/>
      <c r="FQ249" s="23"/>
      <c r="FR249" s="23"/>
      <c r="FS249" s="23"/>
      <c r="FT249" s="23"/>
      <c r="FU249" s="23"/>
      <c r="FV249" s="23"/>
      <c r="GF249" s="4">
        <f>IF(S249&gt;=2.5*25.4,1,1.25)</f>
        <v>1</v>
      </c>
      <c r="GG249" s="4">
        <f>IF(AO249&gt;1, 0.05*(18-MIN(8,(W249+N249)/N249))*(1-48000/MAX(60000,(J249*145))*(N249/25.4)^0.75*GH249), 1/12*(14-MIN(8,(W249+N249)/N249)))</f>
        <v>0.73631284916201123</v>
      </c>
      <c r="GH249" s="4">
        <f>MIN(0.3, AM249^2*PI()/4*2*AP249/(N249^2*PI()/4*X249))</f>
        <v>0</v>
      </c>
      <c r="GI249" s="4">
        <f>(K249/25.4)/(N249/25.4)^1.5/0.0024*(M249*145)^0.25/GF249/GG249/145</f>
        <v>159.97423430921936</v>
      </c>
    </row>
    <row r="250" spans="1:191" ht="12" customHeight="1" x14ac:dyDescent="0.3">
      <c r="A250" s="25">
        <v>291</v>
      </c>
      <c r="B250" s="4" t="s">
        <v>605</v>
      </c>
      <c r="C250" s="4">
        <v>2016</v>
      </c>
      <c r="D250" s="4" t="s">
        <v>309</v>
      </c>
      <c r="E250" s="24" t="s">
        <v>667</v>
      </c>
      <c r="F250" s="24"/>
      <c r="G250" s="24">
        <v>21</v>
      </c>
      <c r="H250" s="7" t="s">
        <v>450</v>
      </c>
      <c r="I250" s="5">
        <f>K250/N250</f>
        <v>14.499999999999998</v>
      </c>
      <c r="J250" s="91">
        <f>120/0.145</f>
        <v>827.58620689655174</v>
      </c>
      <c r="K250" s="98">
        <f>14.5*25.4</f>
        <v>368.29999999999995</v>
      </c>
      <c r="L250" s="4">
        <f>K250</f>
        <v>368.29999999999995</v>
      </c>
      <c r="M250" s="98">
        <f>5570/145</f>
        <v>38.413793103448278</v>
      </c>
      <c r="N250" s="96">
        <f>1*25.4</f>
        <v>25.4</v>
      </c>
      <c r="O250" s="7">
        <f>K250/N250</f>
        <v>14.499999999999998</v>
      </c>
      <c r="P250" s="7">
        <f>L250/N250</f>
        <v>14.499999999999998</v>
      </c>
      <c r="Q250" s="38">
        <f>17.1*25.4</f>
        <v>434.34000000000003</v>
      </c>
      <c r="R250" s="32">
        <f>S250/N250</f>
        <v>2.4500000000000002</v>
      </c>
      <c r="S250" s="38">
        <f>2.45*25.4</f>
        <v>62.230000000000004</v>
      </c>
      <c r="T250" s="32">
        <f>U250/N250</f>
        <v>3.1</v>
      </c>
      <c r="U250" s="39">
        <f>3.1*25.4</f>
        <v>78.739999999999995</v>
      </c>
      <c r="V250" s="32">
        <f>W250/N250</f>
        <v>2.7333333333333334</v>
      </c>
      <c r="W250" s="7">
        <f>(Q250-X250*N250-2*S250)/(X250-1)</f>
        <v>69.426666666666662</v>
      </c>
      <c r="X250" s="38">
        <v>4</v>
      </c>
      <c r="Y250" s="7">
        <f>AN250</f>
        <v>10</v>
      </c>
      <c r="Z250" s="32">
        <f>AA250/N250</f>
        <v>10.25</v>
      </c>
      <c r="AA250" s="4">
        <f>10.25*25.4</f>
        <v>260.34999999999997</v>
      </c>
      <c r="AB250" s="7">
        <f>MIN(S250/N250+0.5, W250/2/N250+0.5)</f>
        <v>1.8666666666666667</v>
      </c>
      <c r="AC250" s="7">
        <f>S250/N250+0.5</f>
        <v>2.95</v>
      </c>
      <c r="AD250" s="38">
        <v>9.5</v>
      </c>
      <c r="AE250" s="4">
        <f>AD250</f>
        <v>9.5</v>
      </c>
      <c r="AF250" s="4">
        <f>AE250+1</f>
        <v>10.5</v>
      </c>
      <c r="AG250" s="7">
        <f>N250*AF250^0.5</f>
        <v>82.305406869779816</v>
      </c>
      <c r="AJ250" s="38">
        <f>AK250/0.145</f>
        <v>671.0344827586207</v>
      </c>
      <c r="AK250" s="4">
        <v>97.3</v>
      </c>
      <c r="AL250" s="4">
        <f>CY250</f>
        <v>1.7312915853777464</v>
      </c>
      <c r="AM250" s="38">
        <f>0.375*25.4</f>
        <v>9.5249999999999986</v>
      </c>
      <c r="AN250" s="38">
        <v>10</v>
      </c>
      <c r="AO250" s="39">
        <f>3*25.4</f>
        <v>76.199999999999989</v>
      </c>
      <c r="AP250" s="39">
        <v>3</v>
      </c>
      <c r="AQ250" s="39">
        <f>AP250-1</f>
        <v>2</v>
      </c>
      <c r="AR250" s="7"/>
      <c r="AS250" s="4">
        <f>K250</f>
        <v>368.29999999999995</v>
      </c>
      <c r="AT250" s="4">
        <f>IF(K250*3&gt;W250+N250, Q250, (S250+N250/2)*2+1.5*K250*(2*X250-2))*(3*K250)/(9*K250^2)</f>
        <v>0.39310344827586224</v>
      </c>
      <c r="AU250" s="4">
        <f>MIN(10*M250^0.5*K250^1.5,100*3.9*M250^0.5*K250^(5/3))/(PI()/4*N250^2)/X250</f>
        <v>216.13687542656675</v>
      </c>
      <c r="AV250" s="4">
        <f>MIN(0.7+0.3*(MIN(S250,AA250)+0.5*N250)/1.5/K250,1)</f>
        <v>0.74068965517241381</v>
      </c>
      <c r="AW250" s="4">
        <v>1.25</v>
      </c>
      <c r="AX250" s="4">
        <f>AX249</f>
        <v>1</v>
      </c>
      <c r="AY250" s="38">
        <f>AT250*AV250*AW250*AX250*AU250</f>
        <v>78.66508466030659</v>
      </c>
      <c r="AZ250" s="38">
        <f>AY250</f>
        <v>78.66508466030659</v>
      </c>
      <c r="BA250" s="38">
        <f>IF(M250&lt;50, 0.3*M250^(2/3), 2.12*LN(1+0.1*(M250+8)))</f>
        <v>3.4154351999890475</v>
      </c>
      <c r="BB250" s="38">
        <f>AX250* (M250^0.5/AS250^0.5)/(PI()/4*N250^2)/X250/0.72 *(0.7+(MIN(S250,AA250)+0.5*N250)/5/K250) *(3*Q250*K250)</f>
        <v>78.665084660306562</v>
      </c>
      <c r="BC250" s="38">
        <f>AY250/BB250</f>
        <v>1.0000000000000004</v>
      </c>
      <c r="BD250" s="38">
        <f>BH250/BB250</f>
        <v>6.9234859126406203</v>
      </c>
      <c r="BE250" s="4">
        <f>IF(BD250&lt;1,1,0)</f>
        <v>0</v>
      </c>
      <c r="BF250" s="4">
        <f>L250/N250*M250^0.5/0.19</f>
        <v>472.99657691451972</v>
      </c>
      <c r="BG250" s="4">
        <f>MIN(0.6+0.4*(AC250/AB250),2)</f>
        <v>1.2321428571428572</v>
      </c>
      <c r="BH250" s="38">
        <f>2*M250*AB250*AD250^0.5*BG250*0.7/0.7</f>
        <v>544.63660546231426</v>
      </c>
      <c r="BI250" s="4">
        <f>MAX(1-0.7*AE250/5,0.3)</f>
        <v>0.3</v>
      </c>
      <c r="BJ250" s="4">
        <f>BI250*J250*L250/(J250*N250/2.75/M250^0.5)</f>
        <v>74.142213431350967</v>
      </c>
      <c r="BK250" s="4">
        <f>BH250+BJ250</f>
        <v>618.77881889366517</v>
      </c>
      <c r="BM250" s="4">
        <f>MIN(1.5, 0.75+0.25*MIN(3,MAX(1,S250/N250))+0.4*MIN(1,(40*2*PI()*AM250^2/4/AO250/X250)/N250))</f>
        <v>1.5</v>
      </c>
      <c r="BN250" s="4">
        <f>(3*P250+30)*BM250*M250^0.5</f>
        <v>683.3169513735794</v>
      </c>
      <c r="BP250" s="4">
        <f>3.4/PI()^0.5*M250*AB250*AE250^0.5*BG250</f>
        <v>522.37310935509947</v>
      </c>
      <c r="BQ250" s="4">
        <f>8/3*AH250*AI250^2/(AG250-N250-22)/N250*(AG250^2-N250^2)/(AG250^2-(N250+22)^2)</f>
        <v>0</v>
      </c>
      <c r="BR250" s="4">
        <f>BQ250/BP250</f>
        <v>0</v>
      </c>
      <c r="BZ250" s="4">
        <f>IF(W250=0,S250,MIN(W250/2,S250))</f>
        <v>34.713333333333331</v>
      </c>
      <c r="CD250" s="9"/>
      <c r="CF250" s="9"/>
      <c r="CG250" s="9"/>
      <c r="CH250" s="9">
        <f>IF(W250=0,MIN(S250,U250),MIN(W250/2,S250,U250))</f>
        <v>34.713333333333331</v>
      </c>
      <c r="CI250" s="9">
        <f>MAX(W250/2,S250)</f>
        <v>62.230000000000004</v>
      </c>
      <c r="CJ250" s="9">
        <f>(CH250/N250)^0.5*(CI250/CH250)^0.15</f>
        <v>1.2760180664066267</v>
      </c>
      <c r="CK250" s="70">
        <f>IF(AO250&gt;1,20,0)</f>
        <v>20</v>
      </c>
      <c r="CL250" s="9">
        <f>MIN(PI()*AM250^2/4*AN250*2/X250/N250/MAX(0.01,AO250),0.05)</f>
        <v>0.05</v>
      </c>
      <c r="CM250" s="9">
        <f>MAX(0,CK250*(CL250-0.5/50))</f>
        <v>0.8</v>
      </c>
      <c r="CN250" s="9">
        <f>MIN(1,(25/N250)^0.3)</f>
        <v>0.99524931562137331</v>
      </c>
      <c r="CO250" s="9">
        <f>IF(J250&gt;=800,0.68,IF(J250&gt;=700,0.75-(J250-700)*0.07/100,IF(J250&gt;=600,0.85-(J250-600)*0.1/100,IF(J250&gt;=500,1-(J250-500)*0.15/100,1.2-(J250-400)*0.2/100))))</f>
        <v>0.68</v>
      </c>
      <c r="CP250" s="9">
        <f>1.75*CN250*CO250*(M250/25)^0.5</f>
        <v>1.4680891910501142</v>
      </c>
      <c r="CQ250" s="9">
        <f>MIN((CJ250+CM250)*CP250,2.5*CP250,M250^0.5)</f>
        <v>3.0477796837163269</v>
      </c>
      <c r="CR250" s="40">
        <v>1</v>
      </c>
      <c r="CS250" s="9">
        <f>4*CQ250*P250+60*CQ250</f>
        <v>359.63800267852656</v>
      </c>
      <c r="CU250" s="4">
        <f>AJ250/BF250</f>
        <v>1.4186878203980968</v>
      </c>
      <c r="CV250" s="4">
        <f>AJ250/BK250</f>
        <v>1.0844496648388597</v>
      </c>
      <c r="CW250" s="4">
        <f>AJ250/BN250</f>
        <v>0.98202522476536125</v>
      </c>
      <c r="CX250" s="4">
        <f>AJ250/CS250</f>
        <v>1.8658608872278868</v>
      </c>
      <c r="CY250" s="4">
        <f>AJ250/DZ250</f>
        <v>1.7312915853777464</v>
      </c>
      <c r="CZ250" s="4">
        <f>AJ250/EL250</f>
        <v>1.2732119156908908</v>
      </c>
      <c r="DA250" s="4">
        <f>AJ250/GI250</f>
        <v>1.5219922977142373</v>
      </c>
      <c r="DB250" s="4">
        <f>AN250</f>
        <v>10</v>
      </c>
      <c r="DI250" s="4">
        <f>CU250</f>
        <v>1.4186878203980968</v>
      </c>
      <c r="DJ250" s="4">
        <f>CV250</f>
        <v>1.0844496648388597</v>
      </c>
      <c r="DK250" s="4">
        <f>CX250</f>
        <v>1.8658608872278868</v>
      </c>
      <c r="DL250" s="4">
        <f>DA250</f>
        <v>1.5219922977142373</v>
      </c>
      <c r="DM250" s="4">
        <f>CY250</f>
        <v>1.7312915853777464</v>
      </c>
      <c r="DN250" s="4">
        <f>CZ250</f>
        <v>1.2732119156908908</v>
      </c>
      <c r="DQ250" s="4">
        <f>L250</f>
        <v>368.29999999999995</v>
      </c>
      <c r="DT250" s="4">
        <f>K250/4/(1-0.3*(M250/30)^0.5)/200000/N250</f>
        <v>2.7440177675293479E-5</v>
      </c>
      <c r="DU250" s="4">
        <f>EP250</f>
        <v>7.6244661407020242</v>
      </c>
      <c r="DV250" s="4">
        <f>EC250*AG250/257/M250/AD250</f>
        <v>6.9034543757665087E-2</v>
      </c>
      <c r="DW250" s="4">
        <f>DU250*DV250^0.4</f>
        <v>2.6171946491354436</v>
      </c>
      <c r="DX250" s="4">
        <f>MIN(DU250, DU250/1.4*(1-DV250^1.4)/(1-DV250))</f>
        <v>5.711267075533299</v>
      </c>
      <c r="DY250" s="4">
        <f>MAX(DU250/2, (4-DT250*(8*AG250*(DW250-DX250)+6*K250*DX250))/(4+DT250*K250*DU250)*DU250)</f>
        <v>6.9372686138264754</v>
      </c>
      <c r="DZ250" s="38">
        <f>MIN(1/N250*(4*AG250*(DW250-DX250)+(3*DX250+DY250)*K250)+EC250 -FJ250,MAX(J250,AJ250))</f>
        <v>387.59183515133259</v>
      </c>
      <c r="EA250" s="4">
        <f>DZ250/FF250</f>
        <v>1.0000852822562767</v>
      </c>
      <c r="EB250" s="4">
        <f>AG250/N250</f>
        <v>3.2403703492039297</v>
      </c>
      <c r="EC250" s="4">
        <f>MIN(EB$10*BB250)</f>
        <v>78.665084660306562</v>
      </c>
      <c r="EG250" s="4">
        <f>IF(U250&gt;1*N250,0.85,1)</f>
        <v>0.85</v>
      </c>
      <c r="EH250" s="4">
        <f>MIN(1,MAX(0.7,(1-0.1*(BZ250-1*N250)/N250)))</f>
        <v>0.96333333333333337</v>
      </c>
      <c r="EI250" s="4">
        <f>MIN(1,MAX(0.7,1-0.3*(PI()*AM250^2/4*AQ250*2-0.25*PI()/4*N250^2)/(PI()/4*N250^2)))</f>
        <v>0.90625</v>
      </c>
      <c r="EJ250" s="4">
        <f>IF(EH250*EI250&lt;0.7,0.7,EH250*EI250)</f>
        <v>0.87302083333333336</v>
      </c>
      <c r="EL250" s="4">
        <f>MIN(DU250/N250*3*K250+EM250-FJ250,MAX(J250,AJ250))</f>
        <v>527.04068701280823</v>
      </c>
      <c r="EM250" s="25">
        <f>13.3*Q250*K250^0.5*M250^0.5/X250/N250^2*(0.7+S250/5/K250)</f>
        <v>195.37640989227023</v>
      </c>
      <c r="EO250" s="4">
        <f>EG250*EJ250</f>
        <v>0.74206770833333335</v>
      </c>
      <c r="EP250" s="4">
        <f>IF(N250&lt;22.2,1.1*5*(M250/30)^0.5,IF(N250&gt;=31.8,0.9*5*(M250/30)^0.5,1*5*(M250/30)^0.5))/EG250/EJ250</f>
        <v>7.6244661407020242</v>
      </c>
      <c r="ES250" s="4">
        <f>ET250*N250</f>
        <v>82.305406869779816</v>
      </c>
      <c r="ET250" s="4">
        <f>AF250^0.5</f>
        <v>3.2403703492039302</v>
      </c>
      <c r="EU250" s="4">
        <f>MIN(EC250)/(4700*M250^0.5)/AE250*ES250</f>
        <v>2.3396199764265154E-2</v>
      </c>
      <c r="EX250" s="4">
        <f>EU250</f>
        <v>2.3396199764265154E-2</v>
      </c>
      <c r="EY250" s="4">
        <f>MIN(0.999, EX250/(0.3*(M250/30)^0.5))</f>
        <v>6.8919337970423489E-2</v>
      </c>
      <c r="EZ250" s="4">
        <f>EP250/1*EY250^0.4</f>
        <v>2.6154467296726125</v>
      </c>
      <c r="FA250" s="4">
        <f>EP250/1.4*(1-EY250^1.4)/(1-EY250)</f>
        <v>5.7108841272747766</v>
      </c>
      <c r="FB250" s="4">
        <f>MAX(0,DQ250*FB$9-ES250)</f>
        <v>193.91959313022016</v>
      </c>
      <c r="FC250" s="4">
        <f>MAX(0,DQ250-ES250-FB250)</f>
        <v>92.074999999999989</v>
      </c>
      <c r="FD250" s="4">
        <f>FC250/(1-0.3*(M250/30)^0.5)/200000/N250</f>
        <v>2.7440177675293479E-5</v>
      </c>
      <c r="FE250" s="4">
        <f>MAX(0.5*EP250, (1-2*FD250*(ES250*EZ250+FB250*FA250))/(1/EP250+FD250*FC250))</f>
        <v>6.9373581593879168</v>
      </c>
      <c r="FF250" s="4">
        <f>MIN(4/N250*(1*EZ250*ES250+FA250*FB250+FC250*FE250)+EC250,MAX(J250,AJ250))</f>
        <v>387.55878326385601</v>
      </c>
      <c r="FO250" s="23">
        <f>IF(CU250&lt;0.6,0.6,IF(CU250&lt;0.8,0.8,IF(CU250&lt;1,1,IF(CU250&lt;1.2,1.2,IF(CU250&lt;1.4,1.4,IF(CU250&lt;1.6,1.6,IF(CU250&lt;1.8,1.8,IF(CU250&lt;2,2,2.2))))))))</f>
        <v>1.6</v>
      </c>
      <c r="FP250" s="23">
        <f>IF(CV250&lt;0.6,0.6,IF(CV250&lt;0.8,0.8,IF(CV250&lt;1,1,IF(CV250&lt;1.2,1.2,IF(CV250&lt;1.4,1.4,IF(CV250&lt;1.6,1.6,IF(CV250&lt;1.8,1.8,IF(CV250&lt;2,2,2.2))))))))</f>
        <v>1.2</v>
      </c>
      <c r="FQ250" s="23">
        <f>IF(DA250&lt;0.6,0.6,IF(DA250&lt;0.8,0.8,IF(DA250&lt;1,1,IF(DA250&lt;1.2,1.2,IF(DA250&lt;1.4,1.4,IF(DA250&lt;1.6,1.6,IF(DA250&lt;1.8,1.8,IF(DA250&lt;2,2,2.2))))))))</f>
        <v>1.6</v>
      </c>
      <c r="FR250" s="23">
        <f>IF(CX250&lt;0.6,0.6,IF(CX250&lt;0.8,0.8,IF(CX250&lt;1,1,IF(CX250&lt;1.2,1.2,IF(CX250&lt;1.4,1.4,IF(CX250&lt;1.6,1.6,IF(CX250&lt;1.8,1.8,IF(CX250&lt;2,2,2.2))))))))</f>
        <v>2</v>
      </c>
      <c r="FS250" s="23">
        <f>IF(CY250&lt;0.6,0.6,IF(CY250&lt;0.8,0.8,IF(CY250&lt;1,1,IF(CY250&lt;1.2,1.2,IF(CY250&lt;1.4,1.4,IF(CY250&lt;1.6,1.6,IF(CY250&lt;1.8,1.8,IF(CY250&lt;2,2,2.2))))))))</f>
        <v>1.8</v>
      </c>
      <c r="FT250" s="23">
        <f>IF(CZ250&lt;0.6,0.6,IF(CZ250&lt;0.8,0.8,IF(CZ250&lt;1,1,IF(CZ250&lt;1.2,1.2,IF(CZ250&lt;1.4,1.4,IF(CZ250&lt;1.6,1.6,IF(CZ250&lt;1.8,1.8,IF(CZ250&lt;2,2,2.2))))))))</f>
        <v>1.4</v>
      </c>
      <c r="FU250" s="23">
        <f>IF(FS250&lt;1,1,0)</f>
        <v>0</v>
      </c>
      <c r="FV250" s="23"/>
      <c r="GF250" s="4">
        <f>IF(S250&gt;=2.5*25.4,1,1.25)</f>
        <v>1.25</v>
      </c>
      <c r="GG250" s="4">
        <f>IF(AO250&gt;1, 0.05*(18-MIN(8,(W250+N250)/N250))*(1-48000/MAX(60000,(J250*145))*(N250/25.4)^0.75*GH250), 1/12*(14-MIN(8,(W250+N250)/N250)))</f>
        <v>0.65314583333333343</v>
      </c>
      <c r="GH250" s="4">
        <f>MIN(0.3, AM250^2*PI()/4*2*AP250/(N250^2*PI()/4*X250))</f>
        <v>0.21093749999999997</v>
      </c>
      <c r="GI250" s="4">
        <f>(K250/25.4)/(N250/25.4)^1.5/0.0024*(M250*145)^0.25/GF250/GG250/145</f>
        <v>440.892167303603</v>
      </c>
    </row>
    <row r="251" spans="1:191" ht="12" customHeight="1" x14ac:dyDescent="0.3">
      <c r="A251" s="25">
        <v>292</v>
      </c>
      <c r="B251" s="4" t="s">
        <v>605</v>
      </c>
      <c r="C251" s="4">
        <v>2016</v>
      </c>
      <c r="D251" s="4" t="s">
        <v>309</v>
      </c>
      <c r="E251" s="24" t="s">
        <v>667</v>
      </c>
      <c r="F251" s="24"/>
      <c r="G251" s="24">
        <v>25</v>
      </c>
      <c r="H251" s="48" t="s">
        <v>451</v>
      </c>
      <c r="I251" s="5">
        <f>K251/N251</f>
        <v>14.499999999999998</v>
      </c>
      <c r="J251" s="78">
        <f>115.9/0.145</f>
        <v>799.31034482758628</v>
      </c>
      <c r="K251" s="98">
        <f>14.5*25.4</f>
        <v>368.29999999999995</v>
      </c>
      <c r="L251" s="4">
        <f>K251</f>
        <v>368.29999999999995</v>
      </c>
      <c r="M251" s="98">
        <f>5570/145</f>
        <v>38.413793103448278</v>
      </c>
      <c r="N251" s="96">
        <f>1*25.4</f>
        <v>25.4</v>
      </c>
      <c r="O251" s="7">
        <f>K251/N251</f>
        <v>14.499999999999998</v>
      </c>
      <c r="P251" s="7">
        <f>L251/N251</f>
        <v>14.499999999999998</v>
      </c>
      <c r="Q251" s="38">
        <f>16.9*25.4</f>
        <v>429.25999999999993</v>
      </c>
      <c r="R251" s="32">
        <f>S251/N251</f>
        <v>2.5</v>
      </c>
      <c r="S251" s="38">
        <f>2.5*25.4</f>
        <v>63.5</v>
      </c>
      <c r="T251" s="32">
        <f>U251/N251</f>
        <v>2.9999999999999996</v>
      </c>
      <c r="U251" s="39">
        <f>3*25.4</f>
        <v>76.199999999999989</v>
      </c>
      <c r="V251" s="32">
        <f>W251/N251</f>
        <v>2.6333333333333329</v>
      </c>
      <c r="W251" s="7">
        <f>(Q251-X251*N251-2*S251)/(X251-1)</f>
        <v>66.886666666666656</v>
      </c>
      <c r="X251" s="38">
        <v>4</v>
      </c>
      <c r="Y251" s="7">
        <f>AN251</f>
        <v>10</v>
      </c>
      <c r="Z251" s="32">
        <f>AA251/N251</f>
        <v>10.25</v>
      </c>
      <c r="AA251" s="4">
        <f>10.25*25.4</f>
        <v>260.34999999999997</v>
      </c>
      <c r="AB251" s="7">
        <f>MIN(S251/N251+0.5, W251/2/N251+0.5)</f>
        <v>1.8166666666666664</v>
      </c>
      <c r="AC251" s="7">
        <f>S251/N251+0.5</f>
        <v>3</v>
      </c>
      <c r="AD251" s="38">
        <v>9.1</v>
      </c>
      <c r="AE251" s="4">
        <f>AD251</f>
        <v>9.1</v>
      </c>
      <c r="AF251" s="4">
        <f>AE251+1</f>
        <v>10.1</v>
      </c>
      <c r="AG251" s="7">
        <f>N251*AF251^0.5</f>
        <v>80.72246279691916</v>
      </c>
      <c r="AJ251" s="38">
        <f>AK251/0.145</f>
        <v>777.93103448275861</v>
      </c>
      <c r="AK251" s="4">
        <v>112.8</v>
      </c>
      <c r="AL251" s="4">
        <f>CY251</f>
        <v>2.0143868559808893</v>
      </c>
      <c r="AM251" s="38">
        <f>0.375*25.4</f>
        <v>9.5249999999999986</v>
      </c>
      <c r="AN251" s="38">
        <v>10</v>
      </c>
      <c r="AO251" s="39">
        <f>3*25.4</f>
        <v>76.199999999999989</v>
      </c>
      <c r="AP251" s="39">
        <v>3</v>
      </c>
      <c r="AQ251" s="39">
        <f>AP251-1</f>
        <v>2</v>
      </c>
      <c r="AR251" s="7"/>
      <c r="AS251" s="4">
        <f>K251</f>
        <v>368.29999999999995</v>
      </c>
      <c r="AT251" s="4">
        <f>IF(K251*3&gt;W251+N251, Q251, (S251+N251/2)*2+1.5*K251*(2*X251-2))*(3*K251)/(9*K251^2)</f>
        <v>0.38850574712643682</v>
      </c>
      <c r="AU251" s="4">
        <f>MIN(10*M251^0.5*K251^1.5,100*3.9*M251^0.5*K251^(5/3))/(PI()/4*N251^2)/X251</f>
        <v>216.13687542656675</v>
      </c>
      <c r="AV251" s="4">
        <f>MIN(0.7+0.3*(MIN(S251,AA251)+0.5*N251)/1.5/K251,1)</f>
        <v>0.74137931034482751</v>
      </c>
      <c r="AW251" s="4">
        <v>1.25</v>
      </c>
      <c r="AX251" s="4">
        <f>AX250</f>
        <v>1</v>
      </c>
      <c r="AY251" s="38">
        <f>AT251*AV251*AW251*AX251*AU251</f>
        <v>77.817413482206717</v>
      </c>
      <c r="AZ251" s="38">
        <f>AY251</f>
        <v>77.817413482206717</v>
      </c>
      <c r="BA251" s="38">
        <f>IF(M251&lt;50, 0.3*M251^(2/3), 2.12*LN(1+0.1*(M251+8)))</f>
        <v>3.4154351999890475</v>
      </c>
      <c r="BB251" s="38">
        <f>AX251* (M251^0.5/AS251^0.5)/(PI()/4*N251^2)/X251/0.72 *(0.7+(MIN(S251,AA251)+0.5*N251)/5/K251) *(3*Q251*K251)</f>
        <v>77.817413482206703</v>
      </c>
      <c r="BC251" s="38">
        <f>AY251/BB251</f>
        <v>1.0000000000000002</v>
      </c>
      <c r="BD251" s="38">
        <f>BH251/BB251</f>
        <v>6.8201916018247433</v>
      </c>
      <c r="BE251" s="4">
        <f>IF(BD251&lt;1,1,0)</f>
        <v>0</v>
      </c>
      <c r="BF251" s="4">
        <f>L251/N251*M251^0.5/0.19</f>
        <v>472.99657691451972</v>
      </c>
      <c r="BG251" s="4">
        <f>MIN(0.6+0.4*(AC251/AB251),2)</f>
        <v>1.2605504587155965</v>
      </c>
      <c r="BH251" s="38">
        <f>2*M251*AB251*AD251^0.5*BG251*0.7/0.7</f>
        <v>530.72966990706971</v>
      </c>
      <c r="BI251" s="4">
        <f>MAX(1-0.7*AE251/5,0.3)</f>
        <v>0.3</v>
      </c>
      <c r="BJ251" s="4">
        <f>BI251*J251*L251/(J251*N251/2.75/M251^0.5)</f>
        <v>74.142213431350953</v>
      </c>
      <c r="BK251" s="4">
        <f>BH251+BJ251</f>
        <v>604.87188333842062</v>
      </c>
      <c r="BM251" s="4">
        <f>MIN(1.5, 0.75+0.25*MIN(3,MAX(1,S251/N251))+0.4*MIN(1,(40*2*PI()*AM251^2/4/AO251/X251)/N251))</f>
        <v>1.5</v>
      </c>
      <c r="BN251" s="4">
        <f>(3*P251+30)*BM251*M251^0.5</f>
        <v>683.3169513735794</v>
      </c>
      <c r="BP251" s="4">
        <f>3.4/PI()^0.5*M251*AB251*AE251^0.5*BG251</f>
        <v>509.03465745022322</v>
      </c>
      <c r="BQ251" s="4">
        <f>8/3*AH251*AI251^2/(AG251-N251-22)/N251*(AG251^2-N251^2)/(AG251^2-(N251+22)^2)</f>
        <v>0</v>
      </c>
      <c r="BR251" s="4">
        <f>BQ251/BP251</f>
        <v>0</v>
      </c>
      <c r="BZ251" s="4">
        <f>IF(W251=0,S251,MIN(W251/2,S251))</f>
        <v>33.443333333333328</v>
      </c>
      <c r="CD251" s="9"/>
      <c r="CF251" s="9"/>
      <c r="CG251" s="9"/>
      <c r="CH251" s="9">
        <f>IF(W251=0,MIN(S251,U251),MIN(W251/2,S251,U251))</f>
        <v>33.443333333333328</v>
      </c>
      <c r="CI251" s="9">
        <f>MAX(W251/2,S251)</f>
        <v>63.5</v>
      </c>
      <c r="CJ251" s="9">
        <f>(CH251/N251)^0.5*(CI251/CH251)^0.15</f>
        <v>1.2633030527845497</v>
      </c>
      <c r="CK251" s="70">
        <f>IF(AO251&gt;1,20,0)</f>
        <v>20</v>
      </c>
      <c r="CL251" s="9">
        <f>MIN(PI()*AM251^2/4*AN251*2/X251/N251/MAX(0.01,AO251),0.05)</f>
        <v>0.05</v>
      </c>
      <c r="CM251" s="9">
        <f>MAX(0,CK251*(CL251-0.5/50))</f>
        <v>0.8</v>
      </c>
      <c r="CN251" s="9">
        <f>MIN(1,(25/N251)^0.3)</f>
        <v>0.99524931562137331</v>
      </c>
      <c r="CO251" s="9">
        <f>IF(J251&gt;=800,0.68,IF(J251&gt;=700,0.75-(J251-700)*0.07/100,IF(J251&gt;=600,0.85-(J251-600)*0.1/100,IF(J251&gt;=500,1-(J251-500)*0.15/100,1.2-(J251-400)*0.2/100))))</f>
        <v>0.68048275862068963</v>
      </c>
      <c r="CP251" s="9">
        <f>1.75*CN251*CO251*(M251/25)^0.5</f>
        <v>1.4691314450397035</v>
      </c>
      <c r="CQ251" s="9">
        <f>MIN((CJ251+CM251)*CP251,2.5*CP251,M251^0.5)</f>
        <v>3.0312633954921968</v>
      </c>
      <c r="CR251" s="40">
        <v>1</v>
      </c>
      <c r="CS251" s="9">
        <f>4*CQ251*P251+60*CQ251</f>
        <v>357.68908066807921</v>
      </c>
      <c r="CU251" s="47">
        <f>AJ251/BF251</f>
        <v>1.6446863940483587</v>
      </c>
      <c r="CV251" s="47">
        <f>AJ251/BK251</f>
        <v>1.286108770983347</v>
      </c>
      <c r="CW251" s="47">
        <f>AJ251/BN251</f>
        <v>1.1384629532737178</v>
      </c>
      <c r="CX251" s="47">
        <f>AJ251/CS251</f>
        <v>2.1748805779303244</v>
      </c>
      <c r="CY251" s="47">
        <f>AJ251/DZ251</f>
        <v>2.0143868559808893</v>
      </c>
      <c r="CZ251" s="47">
        <f>AJ251/EL251</f>
        <v>1.486801599498017</v>
      </c>
      <c r="DA251" s="47">
        <f>AJ251/GI251</f>
        <v>1.4168183015224551</v>
      </c>
      <c r="DB251" s="4">
        <f>AN251</f>
        <v>10</v>
      </c>
      <c r="DI251" s="4">
        <f>CU251</f>
        <v>1.6446863940483587</v>
      </c>
      <c r="DJ251" s="4">
        <f>CV251</f>
        <v>1.286108770983347</v>
      </c>
      <c r="DK251" s="4">
        <f>CX251</f>
        <v>2.1748805779303244</v>
      </c>
      <c r="DL251" s="4">
        <f>DA251</f>
        <v>1.4168183015224551</v>
      </c>
      <c r="DM251" s="4">
        <f>CY251</f>
        <v>2.0143868559808893</v>
      </c>
      <c r="DN251" s="4">
        <f>CZ251</f>
        <v>1.486801599498017</v>
      </c>
      <c r="DQ251" s="4">
        <f>L251</f>
        <v>368.29999999999995</v>
      </c>
      <c r="DT251" s="4">
        <f>K251/4/(1-0.3*(M251/30)^0.5)/200000/N251</f>
        <v>2.7440177675293479E-5</v>
      </c>
      <c r="DU251" s="4">
        <f>EP251</f>
        <v>7.5850971244849745</v>
      </c>
      <c r="DV251" s="4">
        <f>EC251*AG251/257/M251/AD251</f>
        <v>6.9921298739877222E-2</v>
      </c>
      <c r="DW251" s="4">
        <f>DU251*DV251^0.4</f>
        <v>2.617007339961765</v>
      </c>
      <c r="DX251" s="4">
        <f>MIN(DU251, DU251/1.4*(1-DV251^1.4)/(1-DV251))</f>
        <v>5.6847052393325566</v>
      </c>
      <c r="DY251" s="4">
        <f>MAX(DU251/2, (4-DT251*(8*AG251*(DW251-DX251)+6*K251*DX251))/(4+DT251*K251*DU251)*DU251)</f>
        <v>6.9022482479359466</v>
      </c>
      <c r="DZ251" s="38">
        <f>MIN(1/N251*(4*AG251*(DW251-DX251)+(3*DX251+DY251)*K251)+EC251 -FJ251,MAX(J251,AJ251))</f>
        <v>386.18750523168575</v>
      </c>
      <c r="EA251" s="4">
        <f>DZ251/FF251</f>
        <v>1.0000849092969337</v>
      </c>
      <c r="EB251" s="4">
        <f>AG251/N251</f>
        <v>3.1780497164141401</v>
      </c>
      <c r="EC251" s="4">
        <f>MIN(EB$10*BB251)</f>
        <v>77.817413482206703</v>
      </c>
      <c r="EG251" s="4">
        <f>IF(U251&gt;1*N251,0.85,1)</f>
        <v>0.85</v>
      </c>
      <c r="EH251" s="4">
        <f>MIN(1,MAX(0.7,(1-0.1*(BZ251-1*N251)/N251)))</f>
        <v>0.96833333333333338</v>
      </c>
      <c r="EI251" s="4">
        <f>MIN(1,MAX(0.7,1-0.3*(PI()*AM251^2/4*AQ251*2-0.25*PI()/4*N251^2)/(PI()/4*N251^2)))</f>
        <v>0.90625</v>
      </c>
      <c r="EJ251" s="4">
        <f>IF(EH251*EI251&lt;0.7,0.7,EH251*EI251)</f>
        <v>0.87755208333333334</v>
      </c>
      <c r="EL251" s="4">
        <f>MIN(DU251/N251*3*K251+EM251-FJ251,MAX(J251,AJ251))</f>
        <v>523.22450738915563</v>
      </c>
      <c r="EM251" s="25">
        <f>13.3*Q251*K251^0.5*M251^0.5/X251/N251^2*(0.7+S251/5/K251)</f>
        <v>193.27278247405926</v>
      </c>
      <c r="EO251" s="4">
        <f>EG251*EJ251</f>
        <v>0.74591927083333331</v>
      </c>
      <c r="EP251" s="4">
        <f>IF(N251&lt;22.2,1.1*5*(M251/30)^0.5,IF(N251&gt;=31.8,0.9*5*(M251/30)^0.5,1*5*(M251/30)^0.5))/EG251/EJ251</f>
        <v>7.5850971244849745</v>
      </c>
      <c r="ES251" s="4">
        <f>ET251*N251</f>
        <v>80.72246279691916</v>
      </c>
      <c r="ET251" s="4">
        <f>AF251^0.5</f>
        <v>3.1780497164141406</v>
      </c>
      <c r="EU251" s="4">
        <f>MIN(EC251)/(4700*M251^0.5)/AE251*ES251</f>
        <v>2.3696726074377675E-2</v>
      </c>
      <c r="EX251" s="4">
        <f>EU251</f>
        <v>2.3696726074377675E-2</v>
      </c>
      <c r="EY251" s="4">
        <f>MIN(0.999, EX251/(0.3*(M251/30)^0.5))</f>
        <v>6.9804613123838968E-2</v>
      </c>
      <c r="EZ251" s="4">
        <f>EP251/1*EY251^0.4</f>
        <v>2.6152595455952268</v>
      </c>
      <c r="FA251" s="4">
        <f>EP251/1.4*(1-EY251^1.4)/(1-EY251)</f>
        <v>5.6843203114147691</v>
      </c>
      <c r="FB251" s="4">
        <f>MAX(0,DQ251*FB$9-ES251)</f>
        <v>195.50253720308081</v>
      </c>
      <c r="FC251" s="4">
        <f>MAX(0,DQ251-ES251-FB251)</f>
        <v>92.074999999999989</v>
      </c>
      <c r="FD251" s="4">
        <f>FC251/(1-0.3*(M251/30)^0.5)/200000/N251</f>
        <v>2.7440177675293479E-5</v>
      </c>
      <c r="FE251" s="4">
        <f>MAX(0.5*EP251, (1-2*FD251*(ES251*EZ251+FB251*FA251))/(1/EP251+FD251*FC251))</f>
        <v>6.9023366112608144</v>
      </c>
      <c r="FF251" s="4">
        <f>MIN(4/N251*(1*EZ251*ES251+FA251*FB251+FC251*FE251)+EC251,MAX(J251,AJ251))</f>
        <v>386.15471710614867</v>
      </c>
      <c r="FI251" s="4">
        <f>5.25*25.4</f>
        <v>133.35</v>
      </c>
      <c r="FO251" s="23">
        <f>IF(CU251&lt;0.6,0.6,IF(CU251&lt;0.8,0.8,IF(CU251&lt;1,1,IF(CU251&lt;1.2,1.2,IF(CU251&lt;1.4,1.4,IF(CU251&lt;1.6,1.6,IF(CU251&lt;1.8,1.8,IF(CU251&lt;2,2,2.2))))))))</f>
        <v>1.8</v>
      </c>
      <c r="FP251" s="23">
        <f>IF(CV251&lt;0.6,0.6,IF(CV251&lt;0.8,0.8,IF(CV251&lt;1,1,IF(CV251&lt;1.2,1.2,IF(CV251&lt;1.4,1.4,IF(CV251&lt;1.6,1.6,IF(CV251&lt;1.8,1.8,IF(CV251&lt;2,2,2.2))))))))</f>
        <v>1.4</v>
      </c>
      <c r="FQ251" s="23">
        <f>IF(DA251&lt;0.6,0.6,IF(DA251&lt;0.8,0.8,IF(DA251&lt;1,1,IF(DA251&lt;1.2,1.2,IF(DA251&lt;1.4,1.4,IF(DA251&lt;1.6,1.6,IF(DA251&lt;1.8,1.8,IF(DA251&lt;2,2,2.2))))))))</f>
        <v>1.6</v>
      </c>
      <c r="FR251" s="23">
        <f>IF(CX251&lt;0.6,0.6,IF(CX251&lt;0.8,0.8,IF(CX251&lt;1,1,IF(CX251&lt;1.2,1.2,IF(CX251&lt;1.4,1.4,IF(CX251&lt;1.6,1.6,IF(CX251&lt;1.8,1.8,IF(CX251&lt;2,2,2.2))))))))</f>
        <v>2.2000000000000002</v>
      </c>
      <c r="FS251" s="23">
        <f>IF(CY251&lt;0.6,0.6,IF(CY251&lt;0.8,0.8,IF(CY251&lt;1,1,IF(CY251&lt;1.2,1.2,IF(CY251&lt;1.4,1.4,IF(CY251&lt;1.6,1.6,IF(CY251&lt;1.8,1.8,IF(CY251&lt;2,2,2.2))))))))</f>
        <v>2.2000000000000002</v>
      </c>
      <c r="FT251" s="23">
        <f>IF(CZ251&lt;0.6,0.6,IF(CZ251&lt;0.8,0.8,IF(CZ251&lt;1,1,IF(CZ251&lt;1.2,1.2,IF(CZ251&lt;1.4,1.4,IF(CZ251&lt;1.6,1.6,IF(CZ251&lt;1.8,1.8,IF(CZ251&lt;2,2,2.2))))))))</f>
        <v>1.6</v>
      </c>
      <c r="FU251" s="23">
        <f>IF(FS251&lt;1,1,0)</f>
        <v>0</v>
      </c>
      <c r="FV251" s="23"/>
      <c r="GF251" s="4">
        <f>IF(S251&gt;=2.5*25.4,1,1.25)</f>
        <v>1</v>
      </c>
      <c r="GG251" s="4">
        <f>IF(AO251&gt;1, 0.05*(18-MIN(8,(W251+N251)/N251))*(1-48000/MAX(60000,(J251*145))*(N251/25.4)^0.75*GH251), 1/12*(14-MIN(8,(W251+N251)/N251)))</f>
        <v>0.65557988208225493</v>
      </c>
      <c r="GH251" s="4">
        <f>MIN(0.3, AM251^2*PI()/4*2*AP251/(N251^2*PI()/4*X251))</f>
        <v>0.21093749999999997</v>
      </c>
      <c r="GI251" s="4">
        <f>(K251/25.4)/(N251/25.4)^1.5/0.0024*(M251*145)^0.25/GF251/GG251/145</f>
        <v>549.0690186926762</v>
      </c>
    </row>
    <row r="252" spans="1:191" ht="12" customHeight="1" x14ac:dyDescent="0.3">
      <c r="A252" s="25">
        <v>312</v>
      </c>
      <c r="B252" s="4" t="s">
        <v>605</v>
      </c>
      <c r="C252" s="4">
        <v>2016</v>
      </c>
      <c r="D252" s="4" t="s">
        <v>309</v>
      </c>
      <c r="E252" s="24" t="s">
        <v>669</v>
      </c>
      <c r="F252" s="24"/>
      <c r="G252" s="24">
        <v>30</v>
      </c>
      <c r="H252" s="7" t="s">
        <v>473</v>
      </c>
      <c r="I252" s="5">
        <f>K252/N252</f>
        <v>14.42</v>
      </c>
      <c r="J252" s="91">
        <f>120/0.145</f>
        <v>827.58620689655174</v>
      </c>
      <c r="K252" s="38">
        <f>14.42*25.4</f>
        <v>366.26799999999997</v>
      </c>
      <c r="L252" s="4">
        <f>K252</f>
        <v>366.26799999999997</v>
      </c>
      <c r="M252" s="47">
        <f>9040/145</f>
        <v>62.344827586206897</v>
      </c>
      <c r="N252" s="96">
        <f>1*25.4</f>
        <v>25.4</v>
      </c>
      <c r="O252" s="7">
        <f>K252/N252</f>
        <v>14.42</v>
      </c>
      <c r="P252" s="7">
        <f>L252/N252</f>
        <v>14.42</v>
      </c>
      <c r="Q252" s="38">
        <f>14*25.4</f>
        <v>355.59999999999997</v>
      </c>
      <c r="R252" s="32">
        <f>S252/N252</f>
        <v>2.5</v>
      </c>
      <c r="S252" s="38">
        <f>2.5*25.4</f>
        <v>63.5</v>
      </c>
      <c r="T252" s="32">
        <f>U252/N252</f>
        <v>3.1</v>
      </c>
      <c r="U252" s="39">
        <f>3.1*25.4</f>
        <v>78.739999999999995</v>
      </c>
      <c r="V252" s="32">
        <f>W252/N252</f>
        <v>2.9999999999999996</v>
      </c>
      <c r="W252" s="7">
        <f>(Q252-X252*N252-2*S252)/(X252-1)</f>
        <v>76.199999999999989</v>
      </c>
      <c r="X252" s="38">
        <v>3</v>
      </c>
      <c r="Y252" s="7">
        <f>AN252</f>
        <v>4</v>
      </c>
      <c r="Z252" s="32">
        <f>AA252/N252</f>
        <v>10.25</v>
      </c>
      <c r="AA252" s="4">
        <f>10.25*25.4</f>
        <v>260.34999999999997</v>
      </c>
      <c r="AB252" s="7">
        <f>MIN(S252/N252+0.5, W252/2/N252+0.5)</f>
        <v>1.9999999999999998</v>
      </c>
      <c r="AC252" s="7">
        <f>S252/N252+0.5</f>
        <v>3</v>
      </c>
      <c r="AD252" s="38">
        <v>9.5</v>
      </c>
      <c r="AE252" s="4">
        <f>AD252</f>
        <v>9.5</v>
      </c>
      <c r="AF252" s="4">
        <f>AE252+1</f>
        <v>10.5</v>
      </c>
      <c r="AG252" s="7">
        <f>N252*AF252^0.5</f>
        <v>82.305406869779816</v>
      </c>
      <c r="AJ252" s="38">
        <f>AK252/0.145</f>
        <v>745.51724137931035</v>
      </c>
      <c r="AK252" s="4">
        <v>108.1</v>
      </c>
      <c r="AL252" s="4">
        <f>CY252</f>
        <v>1.6049667825079759</v>
      </c>
      <c r="AM252" s="38">
        <f>0.375*25.4</f>
        <v>9.5249999999999986</v>
      </c>
      <c r="AN252" s="38">
        <v>4</v>
      </c>
      <c r="AO252" s="39">
        <f>6*25.4</f>
        <v>152.39999999999998</v>
      </c>
      <c r="AP252" s="39">
        <v>1</v>
      </c>
      <c r="AQ252" s="39">
        <v>1</v>
      </c>
      <c r="AR252" s="7"/>
      <c r="AS252" s="4">
        <f>K252</f>
        <v>366.26799999999997</v>
      </c>
      <c r="AT252" s="4">
        <f>IF(K252*3&gt;W252+N252, Q252, (S252+N252/2)*2+1.5*K252*(2*X252-2))*(3*K252)/(9*K252^2)</f>
        <v>0.32362459546925559</v>
      </c>
      <c r="AU252" s="4">
        <f>MIN(10*M252^0.5*K252^1.5,100*3.9*M252^0.5*K252^(5/3))/(PI()/4*N252^2)/X252</f>
        <v>364.09952327355796</v>
      </c>
      <c r="AV252" s="4">
        <f>MIN(0.7+0.3*(MIN(S252,AA252)+0.5*N252)/1.5/K252,1)</f>
        <v>0.74160887656033281</v>
      </c>
      <c r="AW252" s="4">
        <v>1.25</v>
      </c>
      <c r="AX252" s="4">
        <f>AX251</f>
        <v>1</v>
      </c>
      <c r="AY252" s="38">
        <f>AT252*AV252*AW252*AX252*AU252</f>
        <v>109.231164405767</v>
      </c>
      <c r="AZ252" s="38">
        <f>AY252</f>
        <v>109.231164405767</v>
      </c>
      <c r="BA252" s="38">
        <f>IF(M252&lt;50, 0.3*M252^(2/3), 2.12*LN(1+0.1*(M252+8)))</f>
        <v>4.4175343619879603</v>
      </c>
      <c r="BB252" s="38">
        <f>AX252* (M252^0.5/AS252^0.5)/(PI()/4*N252^2)/X252/0.72 *(0.7+(MIN(S252,AA252)+0.5*N252)/5/K252) *(3*Q252*K252)</f>
        <v>109.23116440576712</v>
      </c>
      <c r="BC252" s="38">
        <f>AY252/BB252</f>
        <v>0.999999999999999</v>
      </c>
      <c r="BD252" s="38">
        <f>BH252/BB252</f>
        <v>8.4441687741959317</v>
      </c>
      <c r="BE252" s="4">
        <f>IF(BD252&lt;1,1,0)</f>
        <v>0</v>
      </c>
      <c r="BF252" s="4">
        <f>L252/N252*M252^0.5/0.19</f>
        <v>599.25528591574846</v>
      </c>
      <c r="BG252" s="4">
        <f>MIN(0.6+0.4*(AC252/AB252),2)</f>
        <v>1.2000000000000002</v>
      </c>
      <c r="BH252" s="38">
        <f>2*M252*AB252*AD252^0.5*BG252*0.7/0.7</f>
        <v>922.36638764424072</v>
      </c>
      <c r="BI252" s="4">
        <f>MAX(1-0.7*AE252/5,0.3)</f>
        <v>0.3</v>
      </c>
      <c r="BJ252" s="4">
        <f>BI252*J252*L252/(J252*N252/2.75/M252^0.5)</f>
        <v>93.933266067293573</v>
      </c>
      <c r="BK252" s="4">
        <f>BH252+BJ252</f>
        <v>1016.2996537115343</v>
      </c>
      <c r="BM252" s="4">
        <f>MIN(1.5, 0.75+0.25*MIN(3,MAX(1,S252/N252))+0.4*MIN(1,(40*2*PI()*AM252^2/4/AO252/X252)/N252))</f>
        <v>1.5</v>
      </c>
      <c r="BN252" s="4">
        <f>(3*P252+30)*BM252*M252^0.5</f>
        <v>867.67760334004868</v>
      </c>
      <c r="BP252" s="4">
        <f>3.4/PI()^0.5*M252*AB252*AE252^0.5*BG252</f>
        <v>884.6621638098693</v>
      </c>
      <c r="BQ252" s="4">
        <f>8/3*AH252*AI252^2/(AG252-N252-22)/N252*(AG252^2-N252^2)/(AG252^2-(N252+22)^2)</f>
        <v>0</v>
      </c>
      <c r="BR252" s="4">
        <f>BQ252/BP252</f>
        <v>0</v>
      </c>
      <c r="BZ252" s="4">
        <f>IF(W252=0,S252,MIN(W252/2,S252))</f>
        <v>38.099999999999994</v>
      </c>
      <c r="CD252" s="9"/>
      <c r="CF252" s="9"/>
      <c r="CG252" s="9"/>
      <c r="CH252" s="9">
        <f>IF(W252=0,MIN(S252,U252),MIN(W252/2,S252,U252))</f>
        <v>38.099999999999994</v>
      </c>
      <c r="CI252" s="9">
        <f>MAX(W252/2,S252)</f>
        <v>63.5</v>
      </c>
      <c r="CJ252" s="9">
        <f>(CH252/N252)^0.5*(CI252/CH252)^0.15</f>
        <v>1.3222785168171165</v>
      </c>
      <c r="CK252" s="70">
        <f>IF(AO252&gt;1,20,0)</f>
        <v>20</v>
      </c>
      <c r="CL252" s="9">
        <f>MIN(PI()*AM252^2/4*AN252*2/X252/N252/MAX(0.01,AO252),0.05)</f>
        <v>4.9087385212340517E-2</v>
      </c>
      <c r="CM252" s="9">
        <f>MAX(0,CK252*(CL252-0.5/50))</f>
        <v>0.78174770424681028</v>
      </c>
      <c r="CN252" s="9">
        <f>MIN(1,(25/N252)^0.3)</f>
        <v>0.99524931562137331</v>
      </c>
      <c r="CO252" s="9">
        <f>IF(J252&gt;=800,0.68,IF(J252&gt;=700,0.75-(J252-700)*0.07/100,IF(J252&gt;=600,0.85-(J252-600)*0.1/100,IF(J252&gt;=500,1-(J252-500)*0.15/100,1.2-(J252-400)*0.2/100))))</f>
        <v>0.68</v>
      </c>
      <c r="CP252" s="9">
        <f>1.75*CN252*CO252*(M252/25)^0.5</f>
        <v>1.8702904607807274</v>
      </c>
      <c r="CQ252" s="9">
        <f>MIN((CJ252+CM252)*CP252,2.5*CP252,M252^0.5)</f>
        <v>3.9351401704883844</v>
      </c>
      <c r="CR252" s="40">
        <v>1</v>
      </c>
      <c r="CS252" s="9">
        <f>4*CQ252*P252+60*CQ252</f>
        <v>463.08729526307309</v>
      </c>
      <c r="CU252" s="4">
        <f>AJ252/BF252</f>
        <v>1.2440728666081811</v>
      </c>
      <c r="CV252" s="4">
        <f>AJ252/BK252</f>
        <v>0.73356045990636276</v>
      </c>
      <c r="CW252" s="4">
        <f>AJ252/BN252</f>
        <v>0.85920996290500906</v>
      </c>
      <c r="CX252" s="4">
        <f>AJ252/CS252</f>
        <v>1.6098848942849813</v>
      </c>
      <c r="CY252" s="4">
        <f>AJ252/DZ252</f>
        <v>1.6049667825079759</v>
      </c>
      <c r="CZ252" s="4">
        <f>AJ252/EL252</f>
        <v>1.127721019295898</v>
      </c>
      <c r="DA252" s="4">
        <f>AJ252/GI252</f>
        <v>1.2431637729407938</v>
      </c>
      <c r="DB252" s="4">
        <f>AN252</f>
        <v>4</v>
      </c>
      <c r="DI252" s="4">
        <f>CU252</f>
        <v>1.2440728666081811</v>
      </c>
      <c r="DJ252" s="4">
        <f>CV252</f>
        <v>0.73356045990636276</v>
      </c>
      <c r="DK252" s="4">
        <f>CX252</f>
        <v>1.6098848942849813</v>
      </c>
      <c r="DL252" s="4">
        <f>DA252</f>
        <v>1.2431637729407938</v>
      </c>
      <c r="DM252" s="4">
        <f>CY252</f>
        <v>1.6049667825079759</v>
      </c>
      <c r="DN252" s="4">
        <f>CZ252</f>
        <v>1.127721019295898</v>
      </c>
      <c r="DQ252" s="4">
        <f>L252</f>
        <v>366.26799999999997</v>
      </c>
      <c r="DT252" s="4">
        <f>K252/4/(1-0.3*(M252/30)^0.5)/200000/N252</f>
        <v>3.1760706143320806E-5</v>
      </c>
      <c r="DU252" s="4">
        <f>EP252</f>
        <v>9.0106843469076061</v>
      </c>
      <c r="DV252" s="4">
        <f>EC252*AG252/257/M252/AD252</f>
        <v>5.9063308736155631E-2</v>
      </c>
      <c r="DW252" s="4">
        <f>DU252*DV252^0.4</f>
        <v>2.9059282382788507</v>
      </c>
      <c r="DX252" s="4">
        <f>MIN(DU252, DU252/1.4*(1-DV252^1.4)/(1-DV252))</f>
        <v>6.70991750809248</v>
      </c>
      <c r="DY252" s="4">
        <f>MAX(DU252/2, (4-DT252*(8*AG252*(DW252-DX252)+6*K252*DX252))/(4+DT252*K252*DU252)*DU252)</f>
        <v>7.9271482310501318</v>
      </c>
      <c r="DZ252" s="38">
        <f>MIN(1/N252*(4*AG252*(DW252-DX252)+(3*DX252+DY252)*K252)+EC252 -FJ252,MAX(J252,AJ252))</f>
        <v>464.50633714321469</v>
      </c>
      <c r="EA252" s="4">
        <f>DZ252/FF252</f>
        <v>1.0000760622904472</v>
      </c>
      <c r="EB252" s="4">
        <f>AG252/N252</f>
        <v>3.2403703492039297</v>
      </c>
      <c r="EC252" s="4">
        <f>MIN(EB$10*BB252)</f>
        <v>109.23116440576712</v>
      </c>
      <c r="EG252" s="4">
        <f>IF(U252&gt;1*N252,0.85,1)</f>
        <v>0.85</v>
      </c>
      <c r="EH252" s="4">
        <f>MIN(1,MAX(0.7,(1-0.1*(BZ252-1*N252)/N252)))</f>
        <v>0.95</v>
      </c>
      <c r="EI252" s="4">
        <f>MIN(1,MAX(0.7,1-0.3*(PI()*AM252^2/4*AQ252*2-0.25*PI()/4*N252^2)/(PI()/4*N252^2)))</f>
        <v>0.99062499999999998</v>
      </c>
      <c r="EJ252" s="4">
        <f>IF(EH252*EI252&lt;0.7,0.7,EH252*EI252)</f>
        <v>0.94109374999999995</v>
      </c>
      <c r="EL252" s="4">
        <f>MIN(DU252/N252*3*K252+EM252-FJ252,MAX(J252,AJ252))</f>
        <v>661.08304148199727</v>
      </c>
      <c r="EM252" s="25">
        <f>13.3*Q252*K252^0.5*M252^0.5/X252/N252^2*(0.7+S252/5/K252)</f>
        <v>271.28083663477435</v>
      </c>
      <c r="EO252" s="4">
        <f>EG252*EJ252</f>
        <v>0.79992968749999993</v>
      </c>
      <c r="EP252" s="4">
        <f>IF(N252&lt;22.2,1.1*5*(M252/30)^0.5,IF(N252&gt;=31.8,0.9*5*(M252/30)^0.5,1*5*(M252/30)^0.5))/EG252/EJ252</f>
        <v>9.0106843469076061</v>
      </c>
      <c r="ES252" s="4">
        <f>ET252*N252</f>
        <v>82.305406869779816</v>
      </c>
      <c r="ET252" s="4">
        <f>AF252^0.5</f>
        <v>3.2403703492039302</v>
      </c>
      <c r="EU252" s="4">
        <f>MIN(EC252)/(4700*M252^0.5)/AE252*ES252</f>
        <v>2.5500767524907628E-2</v>
      </c>
      <c r="EX252" s="4">
        <f>EU252</f>
        <v>2.5500767524907628E-2</v>
      </c>
      <c r="EY252" s="4">
        <f>MIN(0.999, EX252/(0.3*(M252/30)^0.5))</f>
        <v>5.896474308177934E-2</v>
      </c>
      <c r="EZ252" s="4">
        <f>EP252/1*EY252^0.4</f>
        <v>2.9039874852183325</v>
      </c>
      <c r="FA252" s="4">
        <f>EP252/1.4*(1-EY252^1.4)/(1-EY252)</f>
        <v>6.7095189700794942</v>
      </c>
      <c r="FB252" s="4">
        <f>MAX(0,DQ252*FB$9-ES252)</f>
        <v>192.39559313022016</v>
      </c>
      <c r="FC252" s="4">
        <f>MAX(0,DQ252-ES252-FB252)</f>
        <v>91.567000000000007</v>
      </c>
      <c r="FD252" s="4">
        <f>FC252/(1-0.3*(M252/30)^0.5)/200000/N252</f>
        <v>3.1760706143320806E-5</v>
      </c>
      <c r="FE252" s="4">
        <f>MAX(0.5*EP252, (1-2*FD252*(ES252*EZ252+FB252*FA252))/(1/EP252+FD252*FC252))</f>
        <v>7.9272800907827206</v>
      </c>
      <c r="FF252" s="4">
        <f>MIN(4/N252*(1*EZ252*ES252+FA252*FB252+FC252*FE252)+EC252,MAX(J252,AJ252))</f>
        <v>464.47100841446837</v>
      </c>
      <c r="FO252" s="23">
        <f>IF(CU252&lt;0.6,0.6,IF(CU252&lt;0.8,0.8,IF(CU252&lt;1,1,IF(CU252&lt;1.2,1.2,IF(CU252&lt;1.4,1.4,IF(CU252&lt;1.6,1.6,IF(CU252&lt;1.8,1.8,IF(CU252&lt;2,2,2.2))))))))</f>
        <v>1.4</v>
      </c>
      <c r="FP252" s="23">
        <f>IF(CV252&lt;0.6,0.6,IF(CV252&lt;0.8,0.8,IF(CV252&lt;1,1,IF(CV252&lt;1.2,1.2,IF(CV252&lt;1.4,1.4,IF(CV252&lt;1.6,1.6,IF(CV252&lt;1.8,1.8,IF(CV252&lt;2,2,2.2))))))))</f>
        <v>0.8</v>
      </c>
      <c r="FQ252" s="23">
        <f>IF(DA252&lt;0.6,0.6,IF(DA252&lt;0.8,0.8,IF(DA252&lt;1,1,IF(DA252&lt;1.2,1.2,IF(DA252&lt;1.4,1.4,IF(DA252&lt;1.6,1.6,IF(DA252&lt;1.8,1.8,IF(DA252&lt;2,2,2.2))))))))</f>
        <v>1.4</v>
      </c>
      <c r="FR252" s="23">
        <f>IF(CX252&lt;0.6,0.6,IF(CX252&lt;0.8,0.8,IF(CX252&lt;1,1,IF(CX252&lt;1.2,1.2,IF(CX252&lt;1.4,1.4,IF(CX252&lt;1.6,1.6,IF(CX252&lt;1.8,1.8,IF(CX252&lt;2,2,2.2))))))))</f>
        <v>1.8</v>
      </c>
      <c r="FS252" s="23">
        <f>IF(CY252&lt;0.6,0.6,IF(CY252&lt;0.8,0.8,IF(CY252&lt;1,1,IF(CY252&lt;1.2,1.2,IF(CY252&lt;1.4,1.4,IF(CY252&lt;1.6,1.6,IF(CY252&lt;1.8,1.8,IF(CY252&lt;2,2,2.2))))))))</f>
        <v>1.8</v>
      </c>
      <c r="FT252" s="23">
        <f>IF(CZ252&lt;0.6,0.6,IF(CZ252&lt;0.8,0.8,IF(CZ252&lt;1,1,IF(CZ252&lt;1.2,1.2,IF(CZ252&lt;1.4,1.4,IF(CZ252&lt;1.6,1.6,IF(CZ252&lt;1.8,1.8,IF(CZ252&lt;2,2,2.2))))))))</f>
        <v>1.2</v>
      </c>
      <c r="FU252" s="23">
        <f>IF(FS252&lt;1,1,0)</f>
        <v>0</v>
      </c>
      <c r="FV252" s="23"/>
      <c r="GF252" s="4">
        <f>IF(S252&gt;=2.5*25.4,1,1.25)</f>
        <v>1</v>
      </c>
      <c r="GG252" s="4">
        <f>IF(AO252&gt;1, 0.05*(18-MIN(8,(W252+N252)/N252))*(1-48000/MAX(60000,(J252*145))*(N252/25.4)^0.75*GH252), 1/12*(14-MIN(8,(W252+N252)/N252)))</f>
        <v>0.67375000000000007</v>
      </c>
      <c r="GH252" s="4">
        <f>MIN(0.3, AM252^2*PI()/4*2*AP252/(N252^2*PI()/4*X252))</f>
        <v>9.3749999999999986E-2</v>
      </c>
      <c r="GI252" s="4">
        <f>(K252/25.4)/(N252/25.4)^1.5/0.0024*(M252*145)^0.25/GF252/GG252/145</f>
        <v>599.69350588115628</v>
      </c>
    </row>
    <row r="253" spans="1:191" ht="12" customHeight="1" x14ac:dyDescent="0.3">
      <c r="A253" s="25">
        <v>287</v>
      </c>
      <c r="B253" s="4" t="s">
        <v>605</v>
      </c>
      <c r="C253" s="4">
        <v>2016</v>
      </c>
      <c r="D253" s="4" t="s">
        <v>309</v>
      </c>
      <c r="E253" s="24" t="s">
        <v>667</v>
      </c>
      <c r="F253" s="24"/>
      <c r="G253" s="24">
        <v>42</v>
      </c>
      <c r="H253" s="7" t="s">
        <v>446</v>
      </c>
      <c r="I253" s="5">
        <f>K253/N253</f>
        <v>14.42</v>
      </c>
      <c r="J253" s="91">
        <f>120/0.145</f>
        <v>827.58620689655174</v>
      </c>
      <c r="K253" s="38">
        <f>14.42*25.4</f>
        <v>366.26799999999997</v>
      </c>
      <c r="L253" s="4">
        <f>K253</f>
        <v>366.26799999999997</v>
      </c>
      <c r="M253" s="38">
        <f>5370/145</f>
        <v>37.03448275862069</v>
      </c>
      <c r="N253" s="96">
        <f>1*25.4</f>
        <v>25.4</v>
      </c>
      <c r="O253" s="7">
        <f>K253/N253</f>
        <v>14.42</v>
      </c>
      <c r="P253" s="7">
        <f>L253/N253</f>
        <v>14.42</v>
      </c>
      <c r="Q253" s="38">
        <f>17.4*25.4</f>
        <v>441.95999999999992</v>
      </c>
      <c r="R253" s="32">
        <f>S253/N253</f>
        <v>2.6499999999999995</v>
      </c>
      <c r="S253" s="38">
        <f>2.65*25.4</f>
        <v>67.309999999999988</v>
      </c>
      <c r="T253" s="32">
        <f>U253/N253</f>
        <v>3.2</v>
      </c>
      <c r="U253" s="39">
        <f>3.2*25.4</f>
        <v>81.28</v>
      </c>
      <c r="V253" s="32">
        <f>W253/N253</f>
        <v>4.55</v>
      </c>
      <c r="W253" s="7">
        <f>(Q253-X253*N253-2*S253)/(X253-1)</f>
        <v>115.56999999999998</v>
      </c>
      <c r="X253" s="38">
        <v>3</v>
      </c>
      <c r="Y253" s="7">
        <f>AN253</f>
        <v>10</v>
      </c>
      <c r="Z253" s="32">
        <f>AA253/N253</f>
        <v>10.25</v>
      </c>
      <c r="AA253" s="4">
        <f>10.25*25.4</f>
        <v>260.34999999999997</v>
      </c>
      <c r="AB253" s="7">
        <f>MIN(S253/N253+0.5, W253/2/N253+0.5)</f>
        <v>2.7749999999999999</v>
      </c>
      <c r="AC253" s="7">
        <f>S253/N253+0.5</f>
        <v>3.1499999999999995</v>
      </c>
      <c r="AD253" s="38">
        <v>9.5</v>
      </c>
      <c r="AE253" s="4">
        <f>AD253</f>
        <v>9.5</v>
      </c>
      <c r="AF253" s="4">
        <f>AE253+1</f>
        <v>10.5</v>
      </c>
      <c r="AG253" s="7">
        <f>N253*AF253^0.5</f>
        <v>82.305406869779816</v>
      </c>
      <c r="AJ253" s="38">
        <f>AK253/0.145</f>
        <v>825.51724137931046</v>
      </c>
      <c r="AK253" s="4">
        <v>119.7</v>
      </c>
      <c r="AL253" s="4">
        <f>CY253</f>
        <v>1.8564322726263891</v>
      </c>
      <c r="AM253" s="38">
        <f>0.375*25.4</f>
        <v>9.5249999999999986</v>
      </c>
      <c r="AN253" s="38">
        <v>10</v>
      </c>
      <c r="AO253" s="39">
        <f>3*25.4</f>
        <v>76.199999999999989</v>
      </c>
      <c r="AP253" s="39">
        <v>3</v>
      </c>
      <c r="AQ253" s="39">
        <v>2</v>
      </c>
      <c r="AR253" s="7"/>
      <c r="AS253" s="4">
        <f>K253</f>
        <v>366.26799999999997</v>
      </c>
      <c r="AT253" s="4">
        <f>IF(K253*3&gt;W253+N253, Q253, (S253+N253/2)*2+1.5*K253*(2*X253-2))*(3*K253)/(9*K253^2)</f>
        <v>0.40221914008321769</v>
      </c>
      <c r="AU253" s="4">
        <f>MIN(10*M253^0.5*K253^1.5,100*3.9*M253^0.5*K253^(5/3))/(PI()/4*N253^2)/X253</f>
        <v>280.62285446564027</v>
      </c>
      <c r="AV253" s="4">
        <f>MIN(0.7+0.3*(MIN(S253,AA253)+0.5*N253)/1.5/K253,1)</f>
        <v>0.74368932038834945</v>
      </c>
      <c r="AW253" s="4">
        <v>1.25</v>
      </c>
      <c r="AX253" s="4">
        <f>AX252</f>
        <v>1</v>
      </c>
      <c r="AY253" s="38">
        <f>AT253*AV253*AW253*AX253*AU253</f>
        <v>104.92701764505426</v>
      </c>
      <c r="AZ253" s="38">
        <f>AY253</f>
        <v>104.92701764505426</v>
      </c>
      <c r="BA253" s="38">
        <f>IF(M253&lt;50, 0.3*M253^(2/3), 2.12*LN(1+0.1*(M253+8)))</f>
        <v>3.3331800748667266</v>
      </c>
      <c r="BB253" s="38">
        <f>AX253* (M253^0.5/AS253^0.5)/(PI()/4*N253^2)/X253/0.72 *(0.7+(MIN(S253,AA253)+0.5*N253)/5/K253) *(3*Q253*K253)</f>
        <v>104.92701764505433</v>
      </c>
      <c r="BC253" s="38">
        <f>AY253/BB253</f>
        <v>0.99999999999999933</v>
      </c>
      <c r="BD253" s="38">
        <f>BH253/BB253</f>
        <v>6.3640945488465572</v>
      </c>
      <c r="BE253" s="4">
        <f>IF(BD253&lt;1,1,0)</f>
        <v>0</v>
      </c>
      <c r="BF253" s="4">
        <f>L253/N253*M253^0.5/0.19</f>
        <v>461.86473240986345</v>
      </c>
      <c r="BG253" s="4">
        <f>MIN(0.6+0.4*(AC253/AB253),2)</f>
        <v>1.0540540540540539</v>
      </c>
      <c r="BH253" s="38">
        <f>2*M253*AB253*AD253^0.5*BG253*0.7/0.7</f>
        <v>667.76546102161683</v>
      </c>
      <c r="BI253" s="4">
        <f>MAX(1-0.7*AE253/5,0.3)</f>
        <v>0.3</v>
      </c>
      <c r="BJ253" s="4">
        <f>BI253*J253*L253/(J253*N253/2.75/M253^0.5)</f>
        <v>72.397296805246114</v>
      </c>
      <c r="BK253" s="4">
        <f>BH253+BJ253</f>
        <v>740.16275782686296</v>
      </c>
      <c r="BM253" s="4">
        <f>MIN(1.5, 0.75+0.25*MIN(3,MAX(1,S253/N253))+0.4*MIN(1,(40*2*PI()*AM253^2/4/AO253/X253)/N253))</f>
        <v>1.5</v>
      </c>
      <c r="BN253" s="4">
        <f>(3*P253+30)*BM253*M253^0.5</f>
        <v>668.74618130782108</v>
      </c>
      <c r="BP253" s="4">
        <f>3.4/PI()^0.5*M253*AB253*AE253^0.5*BG253</f>
        <v>640.46873951431451</v>
      </c>
      <c r="BQ253" s="4">
        <f>8/3*AH253*AI253^2/(AG253-N253-22)/N253*(AG253^2-N253^2)/(AG253^2-(N253+22)^2)</f>
        <v>0</v>
      </c>
      <c r="BR253" s="4">
        <f>BQ253/BP253</f>
        <v>0</v>
      </c>
      <c r="BZ253" s="4">
        <f>IF(W253=0,S253,MIN(W253/2,S253))</f>
        <v>57.784999999999989</v>
      </c>
      <c r="CD253" s="9"/>
      <c r="CF253" s="9"/>
      <c r="CG253" s="9"/>
      <c r="CH253" s="9">
        <f>IF(W253=0,MIN(S253,U253),MIN(W253/2,S253,U253))</f>
        <v>57.784999999999989</v>
      </c>
      <c r="CI253" s="9">
        <f>MAX(W253/2,S253)</f>
        <v>67.309999999999988</v>
      </c>
      <c r="CJ253" s="9">
        <f>(CH253/N253)^0.5*(CI253/CH253)^0.15</f>
        <v>1.5432289842400166</v>
      </c>
      <c r="CK253" s="70">
        <f>IF(AO253&gt;1,20,0)</f>
        <v>20</v>
      </c>
      <c r="CL253" s="9">
        <f>MIN(PI()*AM253^2/4*AN253*2/X253/N253/MAX(0.01,AO253),0.05)</f>
        <v>0.05</v>
      </c>
      <c r="CM253" s="9">
        <f>MAX(0,CK253*(CL253-0.5/50))</f>
        <v>0.8</v>
      </c>
      <c r="CN253" s="9">
        <f>MIN(1,(25/N253)^0.3)</f>
        <v>0.99524931562137331</v>
      </c>
      <c r="CO253" s="9">
        <f>IF(J253&gt;=800,0.68,IF(J253&gt;=700,0.75-(J253-700)*0.07/100,IF(J253&gt;=600,0.85-(J253-600)*0.1/100,IF(J253&gt;=500,1-(J253-500)*0.15/100,1.2-(J253-400)*0.2/100))))</f>
        <v>0.68</v>
      </c>
      <c r="CP253" s="9">
        <f>1.75*CN253*CO253*(M253/25)^0.5</f>
        <v>1.441491169956336</v>
      </c>
      <c r="CQ253" s="9">
        <f>MIN((CJ253+CM253)*CP253,2.5*CP253,M253^0.5)</f>
        <v>3.3777438899677379</v>
      </c>
      <c r="CR253" s="40">
        <v>1</v>
      </c>
      <c r="CS253" s="9">
        <f>4*CQ253*P253+60*CQ253</f>
        <v>397.4929009714034</v>
      </c>
      <c r="CU253" s="4">
        <f>AJ253/BF253</f>
        <v>1.7873571707283726</v>
      </c>
      <c r="CV253" s="4">
        <f>AJ253/BK253</f>
        <v>1.1153185331872824</v>
      </c>
      <c r="CW253" s="4">
        <f>AJ253/BN253</f>
        <v>1.2344253536743985</v>
      </c>
      <c r="CX253" s="4">
        <f>AJ253/CS253</f>
        <v>2.07681002443538</v>
      </c>
      <c r="CY253" s="4">
        <f>AJ253/DZ253</f>
        <v>1.8564322726263891</v>
      </c>
      <c r="CZ253" s="4">
        <f>AJ253/EL253</f>
        <v>1.3354151143487145</v>
      </c>
      <c r="DA253" s="4">
        <f>AJ253/GI253</f>
        <v>1.2857433234217517</v>
      </c>
      <c r="DB253" s="4">
        <f>AN253</f>
        <v>10</v>
      </c>
      <c r="DI253" s="4">
        <f>CU253</f>
        <v>1.7873571707283726</v>
      </c>
      <c r="DJ253" s="4">
        <f>CV253</f>
        <v>1.1153185331872824</v>
      </c>
      <c r="DK253" s="4">
        <f>CX253</f>
        <v>2.07681002443538</v>
      </c>
      <c r="DL253" s="4">
        <f>DA253</f>
        <v>1.2857433234217517</v>
      </c>
      <c r="DM253" s="4">
        <f>CY253</f>
        <v>1.8564322726263891</v>
      </c>
      <c r="DN253" s="4">
        <f>CZ253</f>
        <v>1.3354151143487145</v>
      </c>
      <c r="DQ253" s="4">
        <f>L253</f>
        <v>366.26799999999997</v>
      </c>
      <c r="DT253" s="4">
        <f>K253/4/(1-0.3*(M253/30)^0.5)/200000/N253</f>
        <v>2.7037033836206757E-5</v>
      </c>
      <c r="DU253" s="4">
        <f>EP253</f>
        <v>8.2657094987768289</v>
      </c>
      <c r="DV253" s="4">
        <f>EC253*AG253/257/M253/AD253</f>
        <v>9.5510844063317821E-2</v>
      </c>
      <c r="DW253" s="4">
        <f>DU253*DV253^0.4</f>
        <v>3.2307340657262866</v>
      </c>
      <c r="DX253" s="4">
        <f>MIN(DU253, DU253/1.4*(1-DV253^1.4)/(1-DV253))</f>
        <v>6.2838464507743064</v>
      </c>
      <c r="DY253" s="4">
        <f>MAX(DU253/2, (4-DT253*(8*AG253*(DW253-DX253)+6*K253*DX253))/(4+DT253*K253*DU253)*DU253)</f>
        <v>7.4539578654297847</v>
      </c>
      <c r="DZ253" s="38">
        <f>MIN(1/N253*(4*AG253*(DW253-DX253)+(3*DX253+DY253)*K253)+EC253 -FJ253,MAX(J253,AJ253))</f>
        <v>444.67942814386072</v>
      </c>
      <c r="EA253" s="4">
        <f>DZ253/FF253</f>
        <v>1.0000955730803998</v>
      </c>
      <c r="EB253" s="4">
        <f>AG253/N253</f>
        <v>3.2403703492039297</v>
      </c>
      <c r="EC253" s="4">
        <f>MIN(EB$10*BB253)</f>
        <v>104.92701764505433</v>
      </c>
      <c r="EG253" s="4">
        <f>IF(U253&gt;1*N253,0.85,1)</f>
        <v>0.85</v>
      </c>
      <c r="EH253" s="4">
        <f>MIN(1,MAX(0.7,(1-0.1*(BZ253-1*N253)/N253)))</f>
        <v>0.87250000000000005</v>
      </c>
      <c r="EI253" s="4">
        <f>MIN(1,MAX(0.7,1-0.3*(PI()*AM253^2/4*AQ253*2-0.25*PI()/4*N253^2)/(PI()/4*N253^2)))</f>
        <v>0.90625</v>
      </c>
      <c r="EJ253" s="4">
        <f>IF(EH253*EI253&lt;0.7,0.7,EH253*EI253)</f>
        <v>0.79070312500000006</v>
      </c>
      <c r="EL253" s="4">
        <f>MIN(DU253/N253*3*K253+EM253-FJ253,MAX(J253,AJ253))</f>
        <v>618.17275580403884</v>
      </c>
      <c r="EM253" s="25">
        <f>13.3*Q253*K253^0.5*M253^0.5/X253/N253^2*(0.7+S253/5/K253)</f>
        <v>260.59816288695316</v>
      </c>
      <c r="EO253" s="4">
        <f>EG253*EJ253</f>
        <v>0.67209765625000006</v>
      </c>
      <c r="EP253" s="4">
        <f>IF(N253&lt;22.2,1.1*5*(M253/30)^0.5,IF(N253&gt;=31.8,0.9*5*(M253/30)^0.5,1*5*(M253/30)^0.5))/EG253/EJ253</f>
        <v>8.2657094987768289</v>
      </c>
      <c r="ES253" s="4">
        <f>ET253*N253</f>
        <v>82.305406869779816</v>
      </c>
      <c r="ET253" s="4">
        <f>AF253^0.5</f>
        <v>3.2403703492039302</v>
      </c>
      <c r="EU253" s="4">
        <f>MIN(EC253)/(4700*M253^0.5)/AE253*ES253</f>
        <v>3.1782722075834928E-2</v>
      </c>
      <c r="EX253" s="4">
        <f>EU253</f>
        <v>3.1782722075834928E-2</v>
      </c>
      <c r="EY253" s="4">
        <f>MIN(0.999, EX253/(0.3*(M253/30)^0.5))</f>
        <v>9.5351454265377625E-2</v>
      </c>
      <c r="EZ253" s="4">
        <f>EP253/1*EY253^0.4</f>
        <v>3.2285763878651532</v>
      </c>
      <c r="FA253" s="4">
        <f>EP253/1.4*(1-EY253^1.4)/(1-EY253)</f>
        <v>6.2833083336285531</v>
      </c>
      <c r="FB253" s="4">
        <f>MAX(0,DQ253*FB$9-ES253)</f>
        <v>192.39559313022016</v>
      </c>
      <c r="FC253" s="4">
        <f>MAX(0,DQ253-ES253-FB253)</f>
        <v>91.567000000000007</v>
      </c>
      <c r="FD253" s="4">
        <f>FC253/(1-0.3*(M253/30)^0.5)/200000/N253</f>
        <v>2.7037033836206764E-5</v>
      </c>
      <c r="FE253" s="4">
        <f>MAX(0.5*EP253, (1-2*FD253*(ES253*EZ253+FB253*FA253))/(1/EP253+FD253*FC253))</f>
        <v>7.4540809952827187</v>
      </c>
      <c r="FF253" s="4">
        <f>MIN(4/N253*(1*EZ253*ES253+FA253*FB253+FC253*FE253)+EC253,MAX(J253,AJ253))</f>
        <v>444.63693282253132</v>
      </c>
      <c r="FO253" s="23">
        <f>IF(CU253&lt;0.6,0.6,IF(CU253&lt;0.8,0.8,IF(CU253&lt;1,1,IF(CU253&lt;1.2,1.2,IF(CU253&lt;1.4,1.4,IF(CU253&lt;1.6,1.6,IF(CU253&lt;1.8,1.8,IF(CU253&lt;2,2,2.2))))))))</f>
        <v>1.8</v>
      </c>
      <c r="FP253" s="23">
        <f>IF(CV253&lt;0.6,0.6,IF(CV253&lt;0.8,0.8,IF(CV253&lt;1,1,IF(CV253&lt;1.2,1.2,IF(CV253&lt;1.4,1.4,IF(CV253&lt;1.6,1.6,IF(CV253&lt;1.8,1.8,IF(CV253&lt;2,2,2.2))))))))</f>
        <v>1.2</v>
      </c>
      <c r="FQ253" s="23">
        <f>IF(DA253&lt;0.6,0.6,IF(DA253&lt;0.8,0.8,IF(DA253&lt;1,1,IF(DA253&lt;1.2,1.2,IF(DA253&lt;1.4,1.4,IF(DA253&lt;1.6,1.6,IF(DA253&lt;1.8,1.8,IF(DA253&lt;2,2,2.2))))))))</f>
        <v>1.4</v>
      </c>
      <c r="FR253" s="23">
        <f>IF(CX253&lt;0.6,0.6,IF(CX253&lt;0.8,0.8,IF(CX253&lt;1,1,IF(CX253&lt;1.2,1.2,IF(CX253&lt;1.4,1.4,IF(CX253&lt;1.6,1.6,IF(CX253&lt;1.8,1.8,IF(CX253&lt;2,2,2.2))))))))</f>
        <v>2.2000000000000002</v>
      </c>
      <c r="FS253" s="23">
        <f>IF(CY253&lt;0.6,0.6,IF(CY253&lt;0.8,0.8,IF(CY253&lt;1,1,IF(CY253&lt;1.2,1.2,IF(CY253&lt;1.4,1.4,IF(CY253&lt;1.6,1.6,IF(CY253&lt;1.8,1.8,IF(CY253&lt;2,2,2.2))))))))</f>
        <v>2</v>
      </c>
      <c r="FT253" s="23">
        <f>IF(CZ253&lt;0.6,0.6,IF(CZ253&lt;0.8,0.8,IF(CZ253&lt;1,1,IF(CZ253&lt;1.2,1.2,IF(CZ253&lt;1.4,1.4,IF(CZ253&lt;1.6,1.6,IF(CZ253&lt;1.8,1.8,IF(CZ253&lt;2,2,2.2))))))))</f>
        <v>1.4</v>
      </c>
      <c r="FU253" s="23">
        <f>IF(FS253&lt;1,1,0)</f>
        <v>0</v>
      </c>
      <c r="FV253" s="23"/>
      <c r="GF253" s="4">
        <f>IF(S253&gt;=2.5*25.4,1,1.25)</f>
        <v>1</v>
      </c>
      <c r="GG253" s="4">
        <f>IF(AO253&gt;1, 0.05*(18-MIN(8,(W253+N253)/N253))*(1-48000/MAX(60000,(J253*145))*(N253/25.4)^0.75*GH253), 1/12*(14-MIN(8,(W253+N253)/N253)))</f>
        <v>0.55246875000000006</v>
      </c>
      <c r="GH253" s="4">
        <f>MIN(0.3, AM253^2*PI()/4*2*AP253/(N253^2*PI()/4*X253))</f>
        <v>0.28124999999999994</v>
      </c>
      <c r="GI253" s="4">
        <f>(K253/25.4)/(N253/25.4)^1.5/0.0024*(M253*145)^0.25/GF253/GG253/145</f>
        <v>642.05446479189914</v>
      </c>
    </row>
    <row r="254" spans="1:191" ht="12" customHeight="1" x14ac:dyDescent="0.3">
      <c r="A254" s="25">
        <v>310</v>
      </c>
      <c r="B254" s="4" t="s">
        <v>605</v>
      </c>
      <c r="C254" s="4">
        <v>2016</v>
      </c>
      <c r="D254" s="4" t="s">
        <v>309</v>
      </c>
      <c r="E254" s="24" t="s">
        <v>669</v>
      </c>
      <c r="F254" s="24"/>
      <c r="G254" s="24">
        <v>32</v>
      </c>
      <c r="H254" s="7" t="s">
        <v>471</v>
      </c>
      <c r="I254" s="5">
        <f>K254/N254</f>
        <v>14.38</v>
      </c>
      <c r="J254" s="91">
        <f>120/0.145</f>
        <v>827.58620689655174</v>
      </c>
      <c r="K254" s="38">
        <f>14.38*25.4</f>
        <v>365.25200000000001</v>
      </c>
      <c r="L254" s="4">
        <f>K254</f>
        <v>365.25200000000001</v>
      </c>
      <c r="M254" s="99">
        <f>10180/145</f>
        <v>70.206896551724142</v>
      </c>
      <c r="N254" s="96">
        <f>1*25.4</f>
        <v>25.4</v>
      </c>
      <c r="O254" s="7">
        <f>K254/N254</f>
        <v>14.38</v>
      </c>
      <c r="P254" s="7">
        <f>L254/N254</f>
        <v>14.38</v>
      </c>
      <c r="Q254" s="38">
        <f>17.1*25.4</f>
        <v>434.34000000000003</v>
      </c>
      <c r="R254" s="32">
        <f>S254/N254</f>
        <v>2.5</v>
      </c>
      <c r="S254" s="38">
        <f>2.5*25.4</f>
        <v>63.5</v>
      </c>
      <c r="T254" s="32">
        <f>U254/N254</f>
        <v>3.45</v>
      </c>
      <c r="U254" s="39">
        <f>3.45*25.4</f>
        <v>87.63</v>
      </c>
      <c r="V254" s="32">
        <f>W254/N254</f>
        <v>10.100000000000001</v>
      </c>
      <c r="W254" s="7">
        <f>(Q254-X254*N254-2*S254)/(X254-1)</f>
        <v>256.54000000000002</v>
      </c>
      <c r="X254" s="38">
        <v>2</v>
      </c>
      <c r="Y254" s="7">
        <f>AN254</f>
        <v>0</v>
      </c>
      <c r="Z254" s="32">
        <f>AA254/N254</f>
        <v>10.25</v>
      </c>
      <c r="AA254" s="4">
        <f>10.25*25.4</f>
        <v>260.34999999999997</v>
      </c>
      <c r="AB254" s="7">
        <f>MIN(S254/N254+0.5, W254/2/N254+0.5)</f>
        <v>3</v>
      </c>
      <c r="AC254" s="7">
        <f>S254/N254+0.5</f>
        <v>3</v>
      </c>
      <c r="AD254" s="38">
        <v>9.5</v>
      </c>
      <c r="AE254" s="4">
        <f>AD254</f>
        <v>9.5</v>
      </c>
      <c r="AF254" s="4">
        <f>AE254+1</f>
        <v>10.5</v>
      </c>
      <c r="AG254" s="7">
        <f>N254*AF254^0.5</f>
        <v>82.305406869779816</v>
      </c>
      <c r="AJ254" s="38">
        <f>AK254/0.145</f>
        <v>1037.2413793103449</v>
      </c>
      <c r="AK254" s="4">
        <v>150.4</v>
      </c>
      <c r="AL254" s="4">
        <f>CY254</f>
        <v>1.6213066041161099</v>
      </c>
      <c r="AM254" s="38">
        <v>0</v>
      </c>
      <c r="AN254" s="38">
        <v>0</v>
      </c>
      <c r="AO254" s="39">
        <f>L254</f>
        <v>365.25200000000001</v>
      </c>
      <c r="AP254" s="39"/>
      <c r="AQ254" s="39"/>
      <c r="AR254" s="7"/>
      <c r="AS254" s="4">
        <f>K254</f>
        <v>365.25200000000001</v>
      </c>
      <c r="AT254" s="4">
        <f>IF(K254*3&gt;W254+N254, Q254, (S254+N254/2)*2+1.5*K254*(2*X254-2))*(3*K254)/(9*K254^2)</f>
        <v>0.39638386648122398</v>
      </c>
      <c r="AU254" s="4">
        <f>MIN(10*M254^0.5*K254^1.5,100*3.9*M254^0.5*K254^(5/3))/(PI()/4*N254^2)/X254</f>
        <v>577.15369660722865</v>
      </c>
      <c r="AV254" s="4">
        <f>MIN(0.7+0.3*(MIN(S254,AA254)+0.5*N254)/1.5/K254,1)</f>
        <v>0.74172461752433927</v>
      </c>
      <c r="AW254" s="4">
        <v>1.25</v>
      </c>
      <c r="AX254" s="4">
        <f>AX253</f>
        <v>1</v>
      </c>
      <c r="AY254" s="38">
        <f>AT254*AV254*AW254*AX254*AU254</f>
        <v>212.1095182329542</v>
      </c>
      <c r="AZ254" s="38">
        <f>AY254</f>
        <v>212.1095182329542</v>
      </c>
      <c r="BA254" s="38">
        <f>IF(M254&lt;50, 0.3*M254^(2/3), 2.12*LN(1+0.1*(M254+8)))</f>
        <v>4.615452125415529</v>
      </c>
      <c r="BB254" s="38">
        <f>AX254* (M254^0.5/AS254^0.5)/(PI()/4*N254^2)/X254/0.72 *(0.7+(MIN(S254,AA254)+0.5*N254)/5/K254) *(3*Q254*K254)</f>
        <v>212.10951823295429</v>
      </c>
      <c r="BC254" s="38">
        <f>AY254/BB254</f>
        <v>0.99999999999999956</v>
      </c>
      <c r="BD254" s="38">
        <f>BH254/BB254</f>
        <v>6.1211450548833035</v>
      </c>
      <c r="BE254" s="4">
        <f>IF(BD254&lt;1,1,0)</f>
        <v>0</v>
      </c>
      <c r="BF254" s="4">
        <f>L254/N254*M254^0.5/0.19</f>
        <v>634.15463783689006</v>
      </c>
      <c r="BG254" s="4">
        <f>MIN(0.6+0.4*(AC254/AB254),2)</f>
        <v>1</v>
      </c>
      <c r="BH254" s="38">
        <f>2*M254*AB254*AD254^0.5*BG254*0.7/0.7</f>
        <v>1298.3531286253281</v>
      </c>
      <c r="BI254" s="4">
        <f>MAX(1-0.7*AE254/5,0.3)</f>
        <v>0.3</v>
      </c>
      <c r="BJ254" s="4">
        <f>BI254*J254*L254/(J254*N254/2.75/M254^0.5)</f>
        <v>99.403739480932543</v>
      </c>
      <c r="BK254" s="4">
        <f>BH254+BJ254</f>
        <v>1397.7568681062605</v>
      </c>
      <c r="BM254" s="4">
        <f>MIN(1.5, 0.75+0.25*MIN(3,MAX(1,S254/N254))+0.4*MIN(1,(40*2*PI()*AM254^2/4/AO254/X254)/N254))</f>
        <v>1.375</v>
      </c>
      <c r="BN254" s="4">
        <f>(3*P254+30)*BM254*M254^0.5</f>
        <v>842.65061493224437</v>
      </c>
      <c r="BP254" s="4">
        <f>3.4/PI()^0.5*M254*AB254*AE254^0.5*BG254</f>
        <v>1245.2794285929851</v>
      </c>
      <c r="BQ254" s="4">
        <f>8/3*AH254*AI254^2/(AG254-N254-22)/N254*(AG254^2-N254^2)/(AG254^2-(N254+22)^2)</f>
        <v>0</v>
      </c>
      <c r="BR254" s="4">
        <f>BQ254/BP254</f>
        <v>0</v>
      </c>
      <c r="BZ254" s="4">
        <f>IF(W254=0,S254,MIN(W254/2,S254))</f>
        <v>63.5</v>
      </c>
      <c r="CD254" s="9"/>
      <c r="CF254" s="9"/>
      <c r="CG254" s="9"/>
      <c r="CH254" s="9">
        <f>IF(W254=0,MIN(S254,U254),MIN(W254/2,S254,U254))</f>
        <v>63.5</v>
      </c>
      <c r="CI254" s="9">
        <f>MAX(W254/2,S254)</f>
        <v>128.27000000000001</v>
      </c>
      <c r="CJ254" s="9">
        <f>(CH254/N254)^0.5*(CI254/CH254)^0.15</f>
        <v>1.7570038363154448</v>
      </c>
      <c r="CK254" s="70">
        <f>IF(AO254&gt;1,20,0)</f>
        <v>20</v>
      </c>
      <c r="CL254" s="9">
        <f>MIN(PI()*AM254^2/4*AN254*2/X254/N254/MAX(0.01,AO254),0.05)</f>
        <v>0</v>
      </c>
      <c r="CM254" s="9">
        <f>MAX(0,CK254*(CL254-0.5/50))</f>
        <v>0</v>
      </c>
      <c r="CN254" s="9">
        <f>MIN(1,(25/N254)^0.3)</f>
        <v>0.99524931562137331</v>
      </c>
      <c r="CO254" s="9">
        <f>IF(J254&gt;=800,0.68,IF(J254&gt;=700,0.75-(J254-700)*0.07/100,IF(J254&gt;=600,0.85-(J254-600)*0.1/100,IF(J254&gt;=500,1-(J254-500)*0.15/100,1.2-(J254-400)*0.2/100))))</f>
        <v>0.68</v>
      </c>
      <c r="CP254" s="9">
        <f>1.75*CN254*CO254*(M254/25)^0.5</f>
        <v>1.9847176531283015</v>
      </c>
      <c r="CQ254" s="9">
        <f>MIN((CJ254+CM254)*CP254,2.5*CP254,M254^0.5)</f>
        <v>3.4871565305494121</v>
      </c>
      <c r="CR254" s="40">
        <v>1</v>
      </c>
      <c r="CS254" s="9">
        <f>4*CQ254*P254+60*CQ254</f>
        <v>409.81063547016691</v>
      </c>
      <c r="CU254" s="47">
        <f>AJ254/BF254</f>
        <v>1.6356284688674503</v>
      </c>
      <c r="CV254" s="47">
        <f>AJ254/BK254</f>
        <v>0.74207568066944496</v>
      </c>
      <c r="CW254" s="47">
        <f>AJ254/BN254</f>
        <v>1.23092698317647</v>
      </c>
      <c r="CX254" s="47">
        <f>AJ254/CS254</f>
        <v>2.5310260142964327</v>
      </c>
      <c r="CY254" s="47">
        <f>AJ254/DZ254</f>
        <v>1.6213066041161099</v>
      </c>
      <c r="CZ254" s="47">
        <f>AJ254/EL254</f>
        <v>1.0546620803021731</v>
      </c>
      <c r="DA254" s="47">
        <f>AJ254/GI254</f>
        <v>1.2494913437411292</v>
      </c>
      <c r="DB254" s="4">
        <f>AN254</f>
        <v>0</v>
      </c>
      <c r="DC254" s="4">
        <f>CU254</f>
        <v>1.6356284688674503</v>
      </c>
      <c r="DD254" s="4">
        <f>CV254</f>
        <v>0.74207568066944496</v>
      </c>
      <c r="DE254" s="4">
        <f>CX254</f>
        <v>2.5310260142964327</v>
      </c>
      <c r="DF254" s="4">
        <f>DA254</f>
        <v>1.2494913437411292</v>
      </c>
      <c r="DG254" s="4">
        <f>CY254</f>
        <v>1.6213066041161099</v>
      </c>
      <c r="DH254" s="4">
        <f>CZ254</f>
        <v>1.0546620803021731</v>
      </c>
      <c r="DQ254" s="4">
        <f>L254</f>
        <v>365.25200000000001</v>
      </c>
      <c r="DT254" s="4">
        <f>K254/4/(1-0.3*(M254/30)^0.5)/200000/N254</f>
        <v>3.3221473705304853E-5</v>
      </c>
      <c r="DU254" s="4">
        <f>EP254</f>
        <v>10.58671967137796</v>
      </c>
      <c r="DV254" s="4">
        <f>EC254*AG254/257/M254/AD254</f>
        <v>0.10184788606926083</v>
      </c>
      <c r="DW254" s="4">
        <f>DU254*DV254^0.4</f>
        <v>4.2456307601865877</v>
      </c>
      <c r="DX254" s="4">
        <f>MIN(DU254, DU254/1.4*(1-DV254^1.4)/(1-DV254))</f>
        <v>8.0755578958209551</v>
      </c>
      <c r="DY254" s="4">
        <f>MAX(DU254/2, (4-DT254*(8*AG254*(DW254-DX254)+6*K254*DX254))/(4+DT254*K254*DU254)*DU254)</f>
        <v>8.9644580645556076</v>
      </c>
      <c r="DZ254" s="38">
        <f>MIN(1/N254*(4*AG254*(DW254-DX254)+(3*DX254+DY254)*K254)+EC254 -FJ254,MAX(J254,AJ254))</f>
        <v>639.75646350729528</v>
      </c>
      <c r="EA254" s="4">
        <f>DZ254/FF254</f>
        <v>1.0000859463091962</v>
      </c>
      <c r="EB254" s="4">
        <f>AG254/N254</f>
        <v>3.2403703492039297</v>
      </c>
      <c r="EC254" s="4">
        <f>MIN(EB$10*BB254)</f>
        <v>212.10951823295429</v>
      </c>
      <c r="EG254" s="4">
        <f>IF(U254&gt;1*N254,0.85,1)</f>
        <v>0.85</v>
      </c>
      <c r="EH254" s="4">
        <f>MIN(1,MAX(0.7,(1-0.1*(BZ254-1*N254)/N254)))</f>
        <v>0.85</v>
      </c>
      <c r="EI254" s="4">
        <f>MIN(1,MAX(0.7,1-0.3*(PI()*AM254^2/4*AQ254*2-0.25*PI()/4*N254^2)/(PI()/4*N254^2)))</f>
        <v>1</v>
      </c>
      <c r="EJ254" s="4">
        <f>IF(EH254*EI254&lt;0.7,0.7,EH254*EI254)</f>
        <v>0.85</v>
      </c>
      <c r="EL254" s="4">
        <f>MIN(DU254/N254*3*K254+EM254-FJ254,MAX(J254,AJ254))</f>
        <v>983.4821965090116</v>
      </c>
      <c r="EM254" s="25">
        <f>13.3*Q254*K254^0.5*M254^0.5/X254/N254^2*(0.7+S254/5/K254)</f>
        <v>526.77110988576635</v>
      </c>
      <c r="EO254" s="4">
        <f>EG254*EJ254</f>
        <v>0.72249999999999992</v>
      </c>
      <c r="EP254" s="4">
        <f>IF(N254&lt;22.2,1.1*5*(M254/30)^0.5,IF(N254&gt;=31.8,0.9*5*(M254/30)^0.5,1*5*(M254/30)^0.5))/EG254/EJ254</f>
        <v>10.58671967137796</v>
      </c>
      <c r="ES254" s="4">
        <f>ET254*N254</f>
        <v>82.305406869779816</v>
      </c>
      <c r="ET254" s="4">
        <f>AF254^0.5</f>
        <v>3.2403703492039302</v>
      </c>
      <c r="EU254" s="4">
        <f>MIN(EC254)/(4700*M254^0.5)/AE254*ES254</f>
        <v>4.6663485238788244E-2</v>
      </c>
      <c r="EX254" s="4">
        <f>EU254</f>
        <v>4.6663485238788244E-2</v>
      </c>
      <c r="EY254" s="4">
        <f>MIN(0.999, EX254/(0.3*(M254/30)^0.5))</f>
        <v>0.10167792092927683</v>
      </c>
      <c r="EZ254" s="4">
        <f>EP254/1*EY254^0.4</f>
        <v>4.2427952734794072</v>
      </c>
      <c r="FA254" s="4">
        <f>EP254/1.4*(1-EY254^1.4)/(1-EY254)</f>
        <v>8.074832994314459</v>
      </c>
      <c r="FB254" s="4">
        <f>MAX(0,DQ254*FB$9-ES254)</f>
        <v>191.63359313022022</v>
      </c>
      <c r="FC254" s="4">
        <f>MAX(0,DQ254-ES254-FB254)</f>
        <v>91.312999999999988</v>
      </c>
      <c r="FD254" s="4">
        <f>FC254/(1-0.3*(M254/30)^0.5)/200000/N254</f>
        <v>3.3221473705304853E-5</v>
      </c>
      <c r="FE254" s="4">
        <f>MAX(0.5*EP254, (1-2*FD254*(ES254*EZ254+FB254*FA254))/(1/EP254+FD254*FC254))</f>
        <v>8.9647117905854294</v>
      </c>
      <c r="FF254" s="4">
        <f>MIN(4/N254*(1*EZ254*ES254+FA254*FB254+FC254*FE254)+EC254,MAX(J254,AJ254))</f>
        <v>639.70148352579895</v>
      </c>
      <c r="FO254" s="23">
        <f>IF(CU254&lt;0.6,0.6,IF(CU254&lt;0.8,0.8,IF(CU254&lt;1,1,IF(CU254&lt;1.2,1.2,IF(CU254&lt;1.4,1.4,IF(CU254&lt;1.6,1.6,IF(CU254&lt;1.8,1.8,IF(CU254&lt;2,2,2.2))))))))</f>
        <v>1.8</v>
      </c>
      <c r="FP254" s="23">
        <f>IF(CV254&lt;0.6,0.6,IF(CV254&lt;0.8,0.8,IF(CV254&lt;1,1,IF(CV254&lt;1.2,1.2,IF(CV254&lt;1.4,1.4,IF(CV254&lt;1.6,1.6,IF(CV254&lt;1.8,1.8,IF(CV254&lt;2,2,2.2))))))))</f>
        <v>0.8</v>
      </c>
      <c r="FQ254" s="23">
        <f>IF(DA254&lt;0.6,0.6,IF(DA254&lt;0.8,0.8,IF(DA254&lt;1,1,IF(DA254&lt;1.2,1.2,IF(DA254&lt;1.4,1.4,IF(DA254&lt;1.6,1.6,IF(DA254&lt;1.8,1.8,IF(DA254&lt;2,2,2.2))))))))</f>
        <v>1.4</v>
      </c>
      <c r="FR254" s="23">
        <f>IF(CX254&lt;0.6,0.6,IF(CX254&lt;0.8,0.8,IF(CX254&lt;1,1,IF(CX254&lt;1.2,1.2,IF(CX254&lt;1.4,1.4,IF(CX254&lt;1.6,1.6,IF(CX254&lt;1.8,1.8,IF(CX254&lt;2,2,2.2))))))))</f>
        <v>2.2000000000000002</v>
      </c>
      <c r="FS254" s="23">
        <f>IF(CY254&lt;0.6,0.6,IF(CY254&lt;0.8,0.8,IF(CY254&lt;1,1,IF(CY254&lt;1.2,1.2,IF(CY254&lt;1.4,1.4,IF(CY254&lt;1.6,1.6,IF(CY254&lt;1.8,1.8,IF(CY254&lt;2,2,2.2))))))))</f>
        <v>1.8</v>
      </c>
      <c r="FT254" s="23">
        <f>IF(CZ254&lt;0.6,0.6,IF(CZ254&lt;0.8,0.8,IF(CZ254&lt;1,1,IF(CZ254&lt;1.2,1.2,IF(CZ254&lt;1.4,1.4,IF(CZ254&lt;1.6,1.6,IF(CZ254&lt;1.8,1.8,IF(CZ254&lt;2,2,2.2))))))))</f>
        <v>1.2</v>
      </c>
      <c r="FU254" s="23">
        <f>IF(FS254&lt;1,1,0)</f>
        <v>0</v>
      </c>
      <c r="FV254" s="23"/>
      <c r="GF254" s="4">
        <f>IF(S254&gt;=2.5*25.4,1,1.25)</f>
        <v>1</v>
      </c>
      <c r="GG254" s="4">
        <f>IF(AO254&gt;1, 0.05*(18-MIN(8,(W254+N254)/N254))*(1-48000/MAX(60000,(J254*145))*(N254/25.4)^0.75*GH254), 1/12*(14-MIN(8,(W254+N254)/N254)))</f>
        <v>0.5</v>
      </c>
      <c r="GH254" s="4">
        <f>MIN(0.3, AM254^2*PI()/4*2*AP254/(N254^2*PI()/4*X254))</f>
        <v>0</v>
      </c>
      <c r="GI254" s="4">
        <f>(K254/25.4)/(N254/25.4)^1.5/0.0024*(M254*145)^0.25/GF254/GG254/145</f>
        <v>830.13090447246941</v>
      </c>
    </row>
    <row r="255" spans="1:191" ht="12" customHeight="1" x14ac:dyDescent="0.3">
      <c r="A255" s="25">
        <v>282</v>
      </c>
      <c r="B255" s="4" t="s">
        <v>605</v>
      </c>
      <c r="C255" s="4">
        <v>2016</v>
      </c>
      <c r="D255" s="4" t="s">
        <v>309</v>
      </c>
      <c r="E255" s="24" t="s">
        <v>439</v>
      </c>
      <c r="F255" s="24"/>
      <c r="G255" s="24">
        <v>37</v>
      </c>
      <c r="H255" s="48" t="s">
        <v>441</v>
      </c>
      <c r="I255" s="5">
        <f>K255/N255</f>
        <v>14.38</v>
      </c>
      <c r="J255" s="78">
        <f>115.9/0.145</f>
        <v>799.31034482758628</v>
      </c>
      <c r="K255" s="38">
        <f>14.38*25.4</f>
        <v>365.25200000000001</v>
      </c>
      <c r="L255" s="4">
        <f>K255</f>
        <v>365.25200000000001</v>
      </c>
      <c r="M255" s="38">
        <f>4970/145</f>
        <v>34.275862068965516</v>
      </c>
      <c r="N255" s="38">
        <f>1*25.4</f>
        <v>25.4</v>
      </c>
      <c r="O255" s="7">
        <f>K255/N255</f>
        <v>14.38</v>
      </c>
      <c r="P255" s="7">
        <f>L255/N255</f>
        <v>14.38</v>
      </c>
      <c r="Q255" s="38">
        <f>17.3*25.4</f>
        <v>439.42</v>
      </c>
      <c r="R255" s="32">
        <f>S255/N255</f>
        <v>2.6499999999999995</v>
      </c>
      <c r="S255" s="38">
        <f>2.65*25.4</f>
        <v>67.309999999999988</v>
      </c>
      <c r="T255" s="32">
        <f>U255/N255</f>
        <v>3.2</v>
      </c>
      <c r="U255" s="39">
        <f>3.2*25.4</f>
        <v>81.28</v>
      </c>
      <c r="V255" s="32">
        <f>W255/N255</f>
        <v>10.000000000000002</v>
      </c>
      <c r="W255" s="7">
        <f>(Q255-X255*N255-2*S255)/(X255-1)</f>
        <v>254.00000000000003</v>
      </c>
      <c r="X255" s="38">
        <v>2</v>
      </c>
      <c r="Y255" s="7">
        <f>AN255</f>
        <v>0</v>
      </c>
      <c r="Z255" s="32">
        <f>AA255/N255</f>
        <v>10.25</v>
      </c>
      <c r="AA255" s="4">
        <f>10.25*25.4</f>
        <v>260.34999999999997</v>
      </c>
      <c r="AB255" s="7">
        <f>MIN(S255/N255+0.5, W255/2/N255+0.5)</f>
        <v>3.1499999999999995</v>
      </c>
      <c r="AC255" s="7">
        <f>S255/N255+0.5</f>
        <v>3.1499999999999995</v>
      </c>
      <c r="AD255" s="38">
        <v>9.1</v>
      </c>
      <c r="AE255" s="4">
        <f>AD255</f>
        <v>9.1</v>
      </c>
      <c r="AF255" s="4">
        <f>AE255+1</f>
        <v>10.1</v>
      </c>
      <c r="AG255" s="7">
        <f>N255*AF255^0.5</f>
        <v>80.72246279691916</v>
      </c>
      <c r="AJ255" s="38">
        <f>AK255/0.145</f>
        <v>827.58620689655174</v>
      </c>
      <c r="AK255" s="4">
        <v>120</v>
      </c>
      <c r="AL255" s="4">
        <f>CY255</f>
        <v>1.7503100546994845</v>
      </c>
      <c r="AM255" s="38">
        <v>0</v>
      </c>
      <c r="AN255" s="38">
        <v>0</v>
      </c>
      <c r="AO255" s="39">
        <f>L255</f>
        <v>365.25200000000001</v>
      </c>
      <c r="AP255" s="39"/>
      <c r="AQ255" s="39"/>
      <c r="AR255" s="7"/>
      <c r="AS255" s="4">
        <f>K255</f>
        <v>365.25200000000001</v>
      </c>
      <c r="AT255" s="4">
        <f>IF(K255*3&gt;W255+N255, Q255, (S255+N255/2)*2+1.5*K255*(2*X255-2))*(3*K255)/(9*K255^2)</f>
        <v>0.40101993509503947</v>
      </c>
      <c r="AU255" s="4">
        <f>MIN(10*M255^0.5*K255^1.5,100*3.9*M255^0.5*K255^(5/3))/(PI()/4*N255^2)/X255</f>
        <v>403.26988090113554</v>
      </c>
      <c r="AV255" s="4">
        <f>MIN(0.7+0.3*(MIN(S255,AA255)+0.5*N255)/1.5/K255,1)</f>
        <v>0.74381084840055633</v>
      </c>
      <c r="AW255" s="4">
        <v>1.25</v>
      </c>
      <c r="AX255" s="4">
        <f>AX254</f>
        <v>1</v>
      </c>
      <c r="AY255" s="38">
        <f>AT255*AV255*AW255*AX255*AU255</f>
        <v>150.36067634101602</v>
      </c>
      <c r="AZ255" s="38">
        <f>AY255</f>
        <v>150.36067634101602</v>
      </c>
      <c r="BA255" s="38">
        <f>IF(M255&lt;50, 0.3*M255^(2/3), 2.12*LN(1+0.1*(M255+8)))</f>
        <v>3.1655330029957871</v>
      </c>
      <c r="BB255" s="38">
        <f>AX255* (M255^0.5/AS255^0.5)/(PI()/4*N255^2)/X255/0.72 *(0.7+(MIN(S255,AA255)+0.5*N255)/5/K255) *(3*Q255*K255)</f>
        <v>150.36067634101607</v>
      </c>
      <c r="BC255" s="38">
        <f>AY255/BB255</f>
        <v>0.99999999999999967</v>
      </c>
      <c r="BD255" s="38">
        <f>BH255/BB255</f>
        <v>4.3322684660832085</v>
      </c>
      <c r="BE255" s="4">
        <f>IF(BD255&lt;1,1,0)</f>
        <v>0</v>
      </c>
      <c r="BF255" s="4">
        <f>L255/N255*M255^0.5/0.19</f>
        <v>443.0976822581481</v>
      </c>
      <c r="BG255" s="4">
        <f>MIN(0.6+0.4*(AC255/AB255),2)</f>
        <v>1</v>
      </c>
      <c r="BH255" s="38">
        <f>2*M255*AB255*AD255^0.5*BG255*0.7/0.7</f>
        <v>651.40281665112752</v>
      </c>
      <c r="BI255" s="4">
        <f>MAX(1-0.7*AE255/5,0.3)</f>
        <v>0.3</v>
      </c>
      <c r="BJ255" s="4">
        <f>BI255*J255*L255/(J255*N255/2.75/M255^0.5)</f>
        <v>69.455561693964711</v>
      </c>
      <c r="BK255" s="4">
        <f>BH255+BJ255</f>
        <v>720.85837834509221</v>
      </c>
      <c r="BM255" s="4">
        <f>MIN(1.5, 0.75+0.25*MIN(3,MAX(1,S255/N255))+0.4*MIN(1,(40*2*PI()*AM255^2/4/AO255/X255)/N255))</f>
        <v>1.4124999999999999</v>
      </c>
      <c r="BN255" s="4">
        <f>(3*P255+30)*BM255*M255^0.5</f>
        <v>604.83596261591583</v>
      </c>
      <c r="BP255" s="4">
        <f>3.4/PI()^0.5*M255*AB255*AE255^0.5*BG255</f>
        <v>624.77496254199968</v>
      </c>
      <c r="BQ255" s="4">
        <f>8/3*AH255*AI255^2/(AG255-N255-22)/N255*(AG255^2-N255^2)/(AG255^2-(N255+22)^2)</f>
        <v>0</v>
      </c>
      <c r="BR255" s="4">
        <f>BQ255/BP255</f>
        <v>0</v>
      </c>
      <c r="BZ255" s="4">
        <f>IF(W255=0,S255,MIN(W255/2,S255))</f>
        <v>67.309999999999988</v>
      </c>
      <c r="CD255" s="9"/>
      <c r="CF255" s="9"/>
      <c r="CG255" s="9"/>
      <c r="CH255" s="9">
        <f>IF(W255=0,MIN(S255,U255),MIN(W255/2,S255,U255))</f>
        <v>67.309999999999988</v>
      </c>
      <c r="CI255" s="9">
        <f>MAX(W255/2,S255)</f>
        <v>127.00000000000001</v>
      </c>
      <c r="CJ255" s="9">
        <f>(CH255/N255)^0.5*(CI255/CH255)^0.15</f>
        <v>1.7905298128039189</v>
      </c>
      <c r="CK255" s="70">
        <f>IF(AO255&gt;1,20,0)</f>
        <v>20</v>
      </c>
      <c r="CL255" s="9">
        <f>MIN(PI()*AM255^2/4*AN255*2/X255/N255/MAX(0.01,AO255),0.05)</f>
        <v>0</v>
      </c>
      <c r="CM255" s="9">
        <f>MAX(0,CK255*(CL255-0.5/50))</f>
        <v>0</v>
      </c>
      <c r="CN255" s="9">
        <f>MIN(1,(25/N255)^0.3)</f>
        <v>0.99524931562137331</v>
      </c>
      <c r="CO255" s="9">
        <f>IF(J255&gt;=800,0.68,IF(J255&gt;=700,0.75-(J255-700)*0.07/100,IF(J255&gt;=600,0.85-(J255-600)*0.1/100,IF(J255&gt;=500,1-(J255-500)*0.15/100,1.2-(J255-400)*0.2/100))))</f>
        <v>0.68048275862068963</v>
      </c>
      <c r="CP255" s="9">
        <f>1.75*CN255*CO255*(M255/25)^0.5</f>
        <v>1.3877500485016585</v>
      </c>
      <c r="CQ255" s="9">
        <f>MIN((CJ255+CM255)*CP255,2.5*CP255,M255^0.5)</f>
        <v>2.4848078345623041</v>
      </c>
      <c r="CR255" s="40">
        <v>1</v>
      </c>
      <c r="CS255" s="9">
        <f>4*CQ255*P255+60*CQ255</f>
        <v>292.01461671776201</v>
      </c>
      <c r="CU255" s="4">
        <f>AJ255/BF255</f>
        <v>1.8677285845390659</v>
      </c>
      <c r="CV255" s="4">
        <f>AJ255/BK255</f>
        <v>1.1480565833145751</v>
      </c>
      <c r="CW255" s="4">
        <f>AJ255/BN255</f>
        <v>1.3682820765439294</v>
      </c>
      <c r="CX255" s="4">
        <f>AJ255/CS255</f>
        <v>2.8340574735559572</v>
      </c>
      <c r="CY255" s="4">
        <f>AJ255/DZ255</f>
        <v>1.7503100546994845</v>
      </c>
      <c r="CZ255" s="4">
        <f>AJ255/EL255</f>
        <v>1.1851863092498804</v>
      </c>
      <c r="DA255" s="4">
        <f>AJ255/GI255</f>
        <v>1.1926541092551828</v>
      </c>
      <c r="DB255" s="4">
        <f>AN255</f>
        <v>0</v>
      </c>
      <c r="DC255" s="4">
        <f>CU255</f>
        <v>1.8677285845390659</v>
      </c>
      <c r="DD255" s="4">
        <f>CV255</f>
        <v>1.1480565833145751</v>
      </c>
      <c r="DE255" s="4">
        <f>CX255</f>
        <v>2.8340574735559572</v>
      </c>
      <c r="DF255" s="4">
        <f>DA255</f>
        <v>1.1926541092551828</v>
      </c>
      <c r="DG255" s="4">
        <f>CY255</f>
        <v>1.7503100546994845</v>
      </c>
      <c r="DH255" s="4">
        <f>CZ255</f>
        <v>1.1851863092498804</v>
      </c>
      <c r="DQ255" s="4">
        <f>L255</f>
        <v>365.25200000000001</v>
      </c>
      <c r="DT255" s="4">
        <f>K255/4/(1-0.3*(M255/30)^0.5)/200000/N255</f>
        <v>2.6459793328600653E-5</v>
      </c>
      <c r="DU255" s="4">
        <f>EP255</f>
        <v>7.5300553589211061</v>
      </c>
      <c r="DV255" s="4">
        <f>EC255*AG255/257/M255/AD255</f>
        <v>0.15141390910118896</v>
      </c>
      <c r="DW255" s="4">
        <f>DU255*DV255^0.4</f>
        <v>3.5388689294750071</v>
      </c>
      <c r="DX255" s="4">
        <f>MIN(DU255, DU255/1.4*(1-DV255^1.4)/(1-DV255))</f>
        <v>5.8872900089138449</v>
      </c>
      <c r="DY255" s="4">
        <f>MAX(DU255/2, (4-DT255*(8*AG255*(DW255-DX255)+6*K255*DX255))/(4+DT255*K255*DU255)*DU255)</f>
        <v>6.8385160268812522</v>
      </c>
      <c r="DZ255" s="38">
        <f>MIN(1/N255*(4*AG255*(DW255-DX255)+(3*DX255+DY255)*K255)+EC255 -FJ255,MAX(J255,AJ255))</f>
        <v>472.8226320099854</v>
      </c>
      <c r="EA255" s="4">
        <f>DZ255/FF255</f>
        <v>1.0001046858676277</v>
      </c>
      <c r="EB255" s="4">
        <f>AG255/N255</f>
        <v>3.1780497164141401</v>
      </c>
      <c r="EC255" s="4">
        <f>MIN(EB$10*BB255)</f>
        <v>150.36067634101607</v>
      </c>
      <c r="EG255" s="4">
        <f>IF(U255&gt;1*N255,0.85,1)</f>
        <v>0.85</v>
      </c>
      <c r="EH255" s="4">
        <f>MIN(1,MAX(0.7,(1-0.1*(BZ255-1*N255)/N255)))</f>
        <v>0.83499999999999996</v>
      </c>
      <c r="EI255" s="4">
        <f>MIN(1,MAX(0.7,1-0.3*(PI()*AM255^2/4*AQ255*2-0.25*PI()/4*N255^2)/(PI()/4*N255^2)))</f>
        <v>1</v>
      </c>
      <c r="EJ255" s="4">
        <f>IF(EH255*EI255&lt;0.7,0.7,EH255*EI255)</f>
        <v>0.83499999999999996</v>
      </c>
      <c r="EL255" s="4">
        <f>MIN(DU255/N255*3*K255+EM255-FJ255,MAX(J255,AJ255))</f>
        <v>698.27519980410648</v>
      </c>
      <c r="EM255" s="25">
        <f>13.3*Q255*K255^0.5*M255^0.5/X255/N255^2*(0.7+S255/5/K255)</f>
        <v>373.42861162024997</v>
      </c>
      <c r="EO255" s="4">
        <f>EG255*EJ255</f>
        <v>0.70974999999999999</v>
      </c>
      <c r="EP255" s="4">
        <f>IF(N255&lt;22.2,1.1*5*(M255/30)^0.5,IF(N255&gt;=31.8,0.9*5*(M255/30)^0.5,1*5*(M255/30)^0.5))/EG255/EJ255</f>
        <v>7.5300553589211061</v>
      </c>
      <c r="ES255" s="4">
        <f>ET255*N255</f>
        <v>80.72246279691916</v>
      </c>
      <c r="ET255" s="4">
        <f>AF255^0.5</f>
        <v>3.1780497164141406</v>
      </c>
      <c r="EU255" s="4">
        <f>MIN(EC255)/(4700*M255^0.5)/AE255*ES255</f>
        <v>4.8472478932965544E-2</v>
      </c>
      <c r="EX255" s="4">
        <f>EU255</f>
        <v>4.8472478932965544E-2</v>
      </c>
      <c r="EY255" s="4">
        <f>MIN(0.999, EX255/(0.3*(M255/30)^0.5))</f>
        <v>0.15116122750661559</v>
      </c>
      <c r="EZ255" s="4">
        <f>EP255/1*EY255^0.4</f>
        <v>3.5365054606820832</v>
      </c>
      <c r="FA255" s="4">
        <f>EP255/1.4*(1-EY255^1.4)/(1-EY255)</f>
        <v>5.8865905812310162</v>
      </c>
      <c r="FB255" s="4">
        <f>MAX(0,DQ255*FB$9-ES255)</f>
        <v>193.21653720308086</v>
      </c>
      <c r="FC255" s="4">
        <f>MAX(0,DQ255-ES255-FB255)</f>
        <v>91.312999999999988</v>
      </c>
      <c r="FD255" s="4">
        <f>FC255/(1-0.3*(M255/30)^0.5)/200000/N255</f>
        <v>2.6459793328600646E-5</v>
      </c>
      <c r="FE255" s="4">
        <f>MAX(0.5*EP255, (1-2*FD255*(ES255*EZ255+FB255*FA255))/(1/EP255+FD255*FC255))</f>
        <v>6.8386435835896027</v>
      </c>
      <c r="FF255" s="4">
        <f>MIN(4/N255*(1*EZ255*ES255+FA255*FB255+FC255*FE255)+EC255,MAX(J255,AJ255))</f>
        <v>472.7731393437021</v>
      </c>
      <c r="FI255" s="4">
        <f>5.25*25.4</f>
        <v>133.35</v>
      </c>
      <c r="FO255" s="23">
        <f>IF(CU255&lt;0.6,0.6,IF(CU255&lt;0.8,0.8,IF(CU255&lt;1,1,IF(CU255&lt;1.2,1.2,IF(CU255&lt;1.4,1.4,IF(CU255&lt;1.6,1.6,IF(CU255&lt;1.8,1.8,IF(CU255&lt;2,2,2.2))))))))</f>
        <v>2</v>
      </c>
      <c r="FP255" s="23">
        <f>IF(CV255&lt;0.6,0.6,IF(CV255&lt;0.8,0.8,IF(CV255&lt;1,1,IF(CV255&lt;1.2,1.2,IF(CV255&lt;1.4,1.4,IF(CV255&lt;1.6,1.6,IF(CV255&lt;1.8,1.8,IF(CV255&lt;2,2,2.2))))))))</f>
        <v>1.2</v>
      </c>
      <c r="FQ255" s="23">
        <f>IF(DA255&lt;0.6,0.6,IF(DA255&lt;0.8,0.8,IF(DA255&lt;1,1,IF(DA255&lt;1.2,1.2,IF(DA255&lt;1.4,1.4,IF(DA255&lt;1.6,1.6,IF(DA255&lt;1.8,1.8,IF(DA255&lt;2,2,2.2))))))))</f>
        <v>1.2</v>
      </c>
      <c r="FR255" s="23">
        <f>IF(CX255&lt;0.6,0.6,IF(CX255&lt;0.8,0.8,IF(CX255&lt;1,1,IF(CX255&lt;1.2,1.2,IF(CX255&lt;1.4,1.4,IF(CX255&lt;1.6,1.6,IF(CX255&lt;1.8,1.8,IF(CX255&lt;2,2,2.2))))))))</f>
        <v>2.2000000000000002</v>
      </c>
      <c r="FS255" s="23">
        <f>IF(CY255&lt;0.6,0.6,IF(CY255&lt;0.8,0.8,IF(CY255&lt;1,1,IF(CY255&lt;1.2,1.2,IF(CY255&lt;1.4,1.4,IF(CY255&lt;1.6,1.6,IF(CY255&lt;1.8,1.8,IF(CY255&lt;2,2,2.2))))))))</f>
        <v>1.8</v>
      </c>
      <c r="FT255" s="23">
        <f>IF(CZ255&lt;0.6,0.6,IF(CZ255&lt;0.8,0.8,IF(CZ255&lt;1,1,IF(CZ255&lt;1.2,1.2,IF(CZ255&lt;1.4,1.4,IF(CZ255&lt;1.6,1.6,IF(CZ255&lt;1.8,1.8,IF(CZ255&lt;2,2,2.2))))))))</f>
        <v>1.2</v>
      </c>
      <c r="FU255" s="23">
        <f>IF(FS255&lt;1,1,0)</f>
        <v>0</v>
      </c>
      <c r="FV255" s="23"/>
      <c r="GF255" s="4">
        <f>IF(S255&gt;=2.5*25.4,1,1.25)</f>
        <v>1</v>
      </c>
      <c r="GG255" s="4">
        <f>IF(AO255&gt;1, 0.05*(18-MIN(8,(W255+N255)/N255))*(1-48000/MAX(60000,(J255*145))*(N255/25.4)^0.75*GH255), 1/12*(14-MIN(8,(W255+N255)/N255)))</f>
        <v>0.5</v>
      </c>
      <c r="GH255" s="4">
        <f>MIN(0.3, AM255^2*PI()/4*2*AP255/(N255^2*PI()/4*X255))</f>
        <v>0</v>
      </c>
      <c r="GI255" s="4">
        <f>(K255/25.4)/(N255/25.4)^1.5/0.0024*(M255*145)^0.25/GF255/GG255/145</f>
        <v>693.90295180669159</v>
      </c>
    </row>
    <row r="256" spans="1:191" ht="12" customHeight="1" x14ac:dyDescent="0.3">
      <c r="A256" s="25">
        <v>281</v>
      </c>
      <c r="B256" s="4" t="s">
        <v>605</v>
      </c>
      <c r="C256" s="4">
        <v>2016</v>
      </c>
      <c r="D256" s="4" t="s">
        <v>309</v>
      </c>
      <c r="E256" s="24" t="s">
        <v>439</v>
      </c>
      <c r="F256" s="24"/>
      <c r="G256" s="24">
        <v>38</v>
      </c>
      <c r="H256" s="7" t="s">
        <v>440</v>
      </c>
      <c r="I256" s="5">
        <f>K256/N256</f>
        <v>14.38</v>
      </c>
      <c r="J256" s="91">
        <f>120/0.145</f>
        <v>827.58620689655174</v>
      </c>
      <c r="K256" s="38">
        <f>14.38*25.4</f>
        <v>365.25200000000001</v>
      </c>
      <c r="L256" s="4">
        <f>K256</f>
        <v>365.25200000000001</v>
      </c>
      <c r="M256" s="38">
        <f>4970/145</f>
        <v>34.275862068965516</v>
      </c>
      <c r="N256" s="96">
        <f>1*25.4</f>
        <v>25.4</v>
      </c>
      <c r="O256" s="7">
        <f>K256/N256</f>
        <v>14.38</v>
      </c>
      <c r="P256" s="7">
        <f>L256/N256</f>
        <v>14.38</v>
      </c>
      <c r="Q256" s="38">
        <f>17*25.4</f>
        <v>431.79999999999995</v>
      </c>
      <c r="R256" s="32">
        <f>S256/N256</f>
        <v>2.5499999999999998</v>
      </c>
      <c r="S256" s="38">
        <f>2.55*25.4</f>
        <v>64.77</v>
      </c>
      <c r="T256" s="32">
        <f>U256/N256</f>
        <v>3.25</v>
      </c>
      <c r="U256" s="39">
        <f>3.25*25.4</f>
        <v>82.55</v>
      </c>
      <c r="V256" s="32">
        <f>W256/N256</f>
        <v>9.8999999999999986</v>
      </c>
      <c r="W256" s="7">
        <f>(Q256-X256*N256-2*S256)/(X256-1)</f>
        <v>251.45999999999995</v>
      </c>
      <c r="X256" s="38">
        <v>2</v>
      </c>
      <c r="Y256" s="7">
        <f>AN256</f>
        <v>0</v>
      </c>
      <c r="Z256" s="32">
        <f>AA256/N256</f>
        <v>10.25</v>
      </c>
      <c r="AA256" s="4">
        <f>10.25*25.4</f>
        <v>260.34999999999997</v>
      </c>
      <c r="AB256" s="7">
        <f>MIN(S256/N256+0.5, W256/2/N256+0.5)</f>
        <v>3.05</v>
      </c>
      <c r="AC256" s="7">
        <f>S256/N256+0.5</f>
        <v>3.05</v>
      </c>
      <c r="AD256" s="38">
        <v>9.5</v>
      </c>
      <c r="AE256" s="4">
        <f>AD256</f>
        <v>9.5</v>
      </c>
      <c r="AF256" s="4">
        <f>AE256+1</f>
        <v>10.5</v>
      </c>
      <c r="AG256" s="7">
        <f>N256*AF256^0.5</f>
        <v>82.305406869779816</v>
      </c>
      <c r="AJ256" s="38">
        <f>AK256/0.145</f>
        <v>800</v>
      </c>
      <c r="AK256" s="4">
        <v>116</v>
      </c>
      <c r="AL256" s="4">
        <f>CY256</f>
        <v>1.7225622808684895</v>
      </c>
      <c r="AM256" s="38">
        <v>0</v>
      </c>
      <c r="AN256" s="38">
        <v>0</v>
      </c>
      <c r="AO256" s="39">
        <f>L256</f>
        <v>365.25200000000001</v>
      </c>
      <c r="AP256" s="39"/>
      <c r="AQ256" s="39"/>
      <c r="AR256" s="7"/>
      <c r="AS256" s="4">
        <f>K256</f>
        <v>365.25200000000001</v>
      </c>
      <c r="AT256" s="4">
        <f>IF(K256*3&gt;W256+N256, Q256, (S256+N256/2)*2+1.5*K256*(2*X256-2))*(3*K256)/(9*K256^2)</f>
        <v>0.39406583217431618</v>
      </c>
      <c r="AU256" s="4">
        <f>MIN(10*M256^0.5*K256^1.5,100*3.9*M256^0.5*K256^(5/3))/(PI()/4*N256^2)/X256</f>
        <v>403.26988090113554</v>
      </c>
      <c r="AV256" s="4">
        <f>MIN(0.7+0.3*(MIN(S256,AA256)+0.5*N256)/1.5/K256,1)</f>
        <v>0.74242002781641159</v>
      </c>
      <c r="AW256" s="4">
        <v>1.25</v>
      </c>
      <c r="AX256" s="4">
        <f>AX255</f>
        <v>1</v>
      </c>
      <c r="AY256" s="38">
        <f>AT256*AV256*AW256*AX256*AU256</f>
        <v>147.47698815873943</v>
      </c>
      <c r="AZ256" s="38">
        <f>AY256</f>
        <v>147.47698815873943</v>
      </c>
      <c r="BA256" s="38">
        <f>IF(M256&lt;50, 0.3*M256^(2/3), 2.12*LN(1+0.1*(M256+8)))</f>
        <v>3.1655330029957871</v>
      </c>
      <c r="BB256" s="38">
        <f>AX256* (M256^0.5/AS256^0.5)/(PI()/4*N256^2)/X256/0.72 *(0.7+(MIN(S256,AA256)+0.5*N256)/5/K256) *(3*Q256*K256)</f>
        <v>147.47698815873949</v>
      </c>
      <c r="BC256" s="38">
        <f>AY256/BB256</f>
        <v>0.99999999999999967</v>
      </c>
      <c r="BD256" s="38">
        <f>BH256/BB256</f>
        <v>4.3697416834735616</v>
      </c>
      <c r="BE256" s="4">
        <f>IF(BD256&lt;1,1,0)</f>
        <v>0</v>
      </c>
      <c r="BF256" s="4">
        <f>L256/N256*M256^0.5/0.19</f>
        <v>443.0976822581481</v>
      </c>
      <c r="BG256" s="4">
        <f>MIN(0.6+0.4*(AC256/AB256),2)</f>
        <v>1</v>
      </c>
      <c r="BH256" s="38">
        <f>2*M256*AB256*AD256^0.5*BG256*0.7/0.7</f>
        <v>644.43634251038077</v>
      </c>
      <c r="BI256" s="4">
        <f>MAX(1-0.7*AE256/5,0.3)</f>
        <v>0.3</v>
      </c>
      <c r="BJ256" s="4">
        <f>BI256*J256*L256/(J256*N256/2.75/M256^0.5)</f>
        <v>69.455561693964725</v>
      </c>
      <c r="BK256" s="4">
        <f>BH256+BJ256</f>
        <v>713.89190420434545</v>
      </c>
      <c r="BM256" s="4">
        <f>MIN(1.5, 0.75+0.25*MIN(3,MAX(1,S256/N256))+0.4*MIN(1,(40*2*PI()*AM256^2/4/AO256/X256)/N256))</f>
        <v>1.3875</v>
      </c>
      <c r="BN256" s="4">
        <f>(3*P256+30)*BM256*M256^0.5</f>
        <v>594.1309013306784</v>
      </c>
      <c r="BP256" s="4">
        <f>3.4/PI()^0.5*M256*AB256*AE256^0.5*BG256</f>
        <v>618.09326189675073</v>
      </c>
      <c r="BQ256" s="4">
        <f>8/3*AH256*AI256^2/(AG256-N256-22)/N256*(AG256^2-N256^2)/(AG256^2-(N256+22)^2)</f>
        <v>0</v>
      </c>
      <c r="BR256" s="4">
        <f>BQ256/BP256</f>
        <v>0</v>
      </c>
      <c r="BZ256" s="4">
        <f>IF(W256=0,S256,MIN(W256/2,S256))</f>
        <v>64.77</v>
      </c>
      <c r="CD256" s="9"/>
      <c r="CF256" s="9"/>
      <c r="CG256" s="9"/>
      <c r="CH256" s="9">
        <f>IF(W256=0,MIN(S256,U256),MIN(W256/2,S256,U256))</f>
        <v>64.77</v>
      </c>
      <c r="CI256" s="9">
        <f>MAX(W256/2,S256)</f>
        <v>125.72999999999998</v>
      </c>
      <c r="CJ256" s="9">
        <f>(CH256/N256)^0.5*(CI256/CH256)^0.15</f>
        <v>1.7639238931775985</v>
      </c>
      <c r="CK256" s="70">
        <f>IF(AO256&gt;1,20,0)</f>
        <v>20</v>
      </c>
      <c r="CL256" s="9">
        <f>MIN(PI()*AM256^2/4*AN256*2/X256/N256/MAX(0.01,AO256),0.05)</f>
        <v>0</v>
      </c>
      <c r="CM256" s="9">
        <f>MAX(0,CK256*(CL256-0.5/50))</f>
        <v>0</v>
      </c>
      <c r="CN256" s="9">
        <f>MIN(1,(25/N256)^0.3)</f>
        <v>0.99524931562137331</v>
      </c>
      <c r="CO256" s="9">
        <f>IF(J256&gt;=800,0.68,IF(J256&gt;=700,0.75-(J256-700)*0.07/100,IF(J256&gt;=600,0.85-(J256-600)*0.1/100,IF(J256&gt;=500,1-(J256-500)*0.15/100,1.2-(J256-400)*0.2/100))))</f>
        <v>0.68</v>
      </c>
      <c r="CP256" s="9">
        <f>1.75*CN256*CO256*(M256/25)^0.5</f>
        <v>1.3867655293631655</v>
      </c>
      <c r="CQ256" s="9">
        <f>MIN((CJ256+CM256)*CP256,2.5*CP256,M256^0.5)</f>
        <v>2.4461488514787684</v>
      </c>
      <c r="CR256" s="40">
        <v>1</v>
      </c>
      <c r="CS256" s="9">
        <f>4*CQ256*P256+60*CQ256</f>
        <v>287.47141302578484</v>
      </c>
      <c r="CU256" s="4">
        <f>AJ256/BF256</f>
        <v>1.8054709650544303</v>
      </c>
      <c r="CV256" s="4">
        <f>AJ256/BK256</f>
        <v>1.120617834841011</v>
      </c>
      <c r="CW256" s="4">
        <f>AJ256/BN256</f>
        <v>1.3465046140644013</v>
      </c>
      <c r="CX256" s="4">
        <f>AJ256/CS256</f>
        <v>2.7828854061681736</v>
      </c>
      <c r="CY256" s="4">
        <f>AJ256/DZ256</f>
        <v>1.7225622808684895</v>
      </c>
      <c r="CZ256" s="4">
        <f>AJ256/EL256</f>
        <v>1.164038324517964</v>
      </c>
      <c r="DA256" s="4">
        <f>AJ256/GI256</f>
        <v>1.15289897228001</v>
      </c>
      <c r="DB256" s="4">
        <f>AN256</f>
        <v>0</v>
      </c>
      <c r="DC256" s="4">
        <f>CU256</f>
        <v>1.8054709650544303</v>
      </c>
      <c r="DD256" s="4">
        <f>CV256</f>
        <v>1.120617834841011</v>
      </c>
      <c r="DE256" s="4">
        <f>CX256</f>
        <v>2.7828854061681736</v>
      </c>
      <c r="DF256" s="4">
        <f>DA256</f>
        <v>1.15289897228001</v>
      </c>
      <c r="DG256" s="4">
        <f>CY256</f>
        <v>1.7225622808684895</v>
      </c>
      <c r="DH256" s="4">
        <f>CZ256</f>
        <v>1.164038324517964</v>
      </c>
      <c r="DQ256" s="4">
        <f>L256</f>
        <v>365.25200000000001</v>
      </c>
      <c r="DT256" s="4">
        <f>K256/4/(1-0.3*(M256/30)^0.5)/200000/N256</f>
        <v>2.6459793328600653E-5</v>
      </c>
      <c r="DU256" s="4">
        <f>EP256</f>
        <v>7.4409422777504419</v>
      </c>
      <c r="DV256" s="4">
        <f>EC256*AG256/257/M256/AD256</f>
        <v>0.14504658584960836</v>
      </c>
      <c r="DW256" s="4">
        <f>DU256*DV256^0.4</f>
        <v>3.4374068638908479</v>
      </c>
      <c r="DX256" s="4">
        <f>MIN(DU256, DU256/1.4*(1-DV256^1.4)/(1-DV256))</f>
        <v>5.8001139786964062</v>
      </c>
      <c r="DY256" s="4">
        <f>MAX(DU256/2, (4-DT256*(8*AG256*(DW256-DX256)+6*K256*DX256))/(4+DT256*K256*DU256)*DU256)</f>
        <v>6.7701464507385412</v>
      </c>
      <c r="DZ256" s="38">
        <f>MIN(1/N256*(4*AG256*(DW256-DX256)+(3*DX256+DY256)*K256)+EC256 -FJ256,MAX(J256,AJ256))</f>
        <v>464.42442684664627</v>
      </c>
      <c r="EA256" s="4">
        <f>DZ256/FF256</f>
        <v>1.0001037586440469</v>
      </c>
      <c r="EB256" s="4">
        <f>AG256/N256</f>
        <v>3.2403703492039297</v>
      </c>
      <c r="EC256" s="4">
        <f>MIN(EB$10*BB256)</f>
        <v>147.47698815873949</v>
      </c>
      <c r="EG256" s="4">
        <f>IF(U256&gt;1*N256,0.85,1)</f>
        <v>0.85</v>
      </c>
      <c r="EH256" s="4">
        <f>MIN(1,MAX(0.7,(1-0.1*(BZ256-1*N256)/N256)))</f>
        <v>0.84499999999999997</v>
      </c>
      <c r="EI256" s="4">
        <f>MIN(1,MAX(0.7,1-0.3*(PI()*AM256^2/4*AQ256*2-0.25*PI()/4*N256^2)/(PI()/4*N256^2)))</f>
        <v>1</v>
      </c>
      <c r="EJ256" s="4">
        <f>IF(EH256*EI256&lt;0.7,0.7,EH256*EI256)</f>
        <v>0.84499999999999997</v>
      </c>
      <c r="EL256" s="4">
        <f>MIN(DU256/N256*3*K256+EM256-FJ256,MAX(J256,AJ256))</f>
        <v>687.26259535422537</v>
      </c>
      <c r="EM256" s="25">
        <f>13.3*Q256*K256^0.5*M256^0.5/X256/N256^2*(0.7+S256/5/K256)</f>
        <v>366.26034549207128</v>
      </c>
      <c r="EO256" s="4">
        <f>EG256*EJ256</f>
        <v>0.71824999999999994</v>
      </c>
      <c r="EP256" s="4">
        <f>IF(N256&lt;22.2,1.1*5*(M256/30)^0.5,IF(N256&gt;=31.8,0.9*5*(M256/30)^0.5,1*5*(M256/30)^0.5))/EG256/EJ256</f>
        <v>7.4409422777504419</v>
      </c>
      <c r="ES256" s="4">
        <f>ET256*N256</f>
        <v>82.305406869779816</v>
      </c>
      <c r="ET256" s="4">
        <f>AF256^0.5</f>
        <v>3.2403703492039302</v>
      </c>
      <c r="EU256" s="4">
        <f>MIN(EC256)/(4700*M256^0.5)/AE256*ES256</f>
        <v>4.6434093265468102E-2</v>
      </c>
      <c r="EX256" s="4">
        <f>EU256</f>
        <v>4.6434093265468102E-2</v>
      </c>
      <c r="EY256" s="4">
        <f>MIN(0.999, EX256/(0.3*(M256/30)^0.5))</f>
        <v>0.14480453013083411</v>
      </c>
      <c r="EZ256" s="4">
        <f>EP256/1*EY256^0.4</f>
        <v>3.4351111575470146</v>
      </c>
      <c r="FA256" s="4">
        <f>EP256/1.4*(1-EY256^1.4)/(1-EY256)</f>
        <v>5.7994449099429968</v>
      </c>
      <c r="FB256" s="4">
        <f>MAX(0,DQ256*FB$9-ES256)</f>
        <v>191.63359313022022</v>
      </c>
      <c r="FC256" s="4">
        <f>MAX(0,DQ256-ES256-FB256)</f>
        <v>91.312999999999988</v>
      </c>
      <c r="FD256" s="4">
        <f>FC256/(1-0.3*(M256/30)^0.5)/200000/N256</f>
        <v>2.6459793328600646E-5</v>
      </c>
      <c r="FE256" s="4">
        <f>MAX(0.5*EP256, (1-2*FD256*(ES256*EZ256+FB256*FA256))/(1/EP256+FD256*FC256))</f>
        <v>6.7702691356833036</v>
      </c>
      <c r="FF256" s="4">
        <f>MIN(4/N256*(1*EZ256*ES256+FA256*FB256+FC256*FE256)+EC256,MAX(J256,AJ256))</f>
        <v>464.3762437972623</v>
      </c>
      <c r="FO256" s="23">
        <f>IF(CU256&lt;0.6,0.6,IF(CU256&lt;0.8,0.8,IF(CU256&lt;1,1,IF(CU256&lt;1.2,1.2,IF(CU256&lt;1.4,1.4,IF(CU256&lt;1.6,1.6,IF(CU256&lt;1.8,1.8,IF(CU256&lt;2,2,2.2))))))))</f>
        <v>2</v>
      </c>
      <c r="FP256" s="23">
        <f>IF(CV256&lt;0.6,0.6,IF(CV256&lt;0.8,0.8,IF(CV256&lt;1,1,IF(CV256&lt;1.2,1.2,IF(CV256&lt;1.4,1.4,IF(CV256&lt;1.6,1.6,IF(CV256&lt;1.8,1.8,IF(CV256&lt;2,2,2.2))))))))</f>
        <v>1.2</v>
      </c>
      <c r="FQ256" s="23">
        <f>IF(DA256&lt;0.6,0.6,IF(DA256&lt;0.8,0.8,IF(DA256&lt;1,1,IF(DA256&lt;1.2,1.2,IF(DA256&lt;1.4,1.4,IF(DA256&lt;1.6,1.6,IF(DA256&lt;1.8,1.8,IF(DA256&lt;2,2,2.2))))))))</f>
        <v>1.2</v>
      </c>
      <c r="FR256" s="23">
        <f>IF(CX256&lt;0.6,0.6,IF(CX256&lt;0.8,0.8,IF(CX256&lt;1,1,IF(CX256&lt;1.2,1.2,IF(CX256&lt;1.4,1.4,IF(CX256&lt;1.6,1.6,IF(CX256&lt;1.8,1.8,IF(CX256&lt;2,2,2.2))))))))</f>
        <v>2.2000000000000002</v>
      </c>
      <c r="FS256" s="23">
        <f>IF(CY256&lt;0.6,0.6,IF(CY256&lt;0.8,0.8,IF(CY256&lt;1,1,IF(CY256&lt;1.2,1.2,IF(CY256&lt;1.4,1.4,IF(CY256&lt;1.6,1.6,IF(CY256&lt;1.8,1.8,IF(CY256&lt;2,2,2.2))))))))</f>
        <v>1.8</v>
      </c>
      <c r="FT256" s="23">
        <f>IF(CZ256&lt;0.6,0.6,IF(CZ256&lt;0.8,0.8,IF(CZ256&lt;1,1,IF(CZ256&lt;1.2,1.2,IF(CZ256&lt;1.4,1.4,IF(CZ256&lt;1.6,1.6,IF(CZ256&lt;1.8,1.8,IF(CZ256&lt;2,2,2.2))))))))</f>
        <v>1.2</v>
      </c>
      <c r="FU256" s="23">
        <f>IF(FS256&lt;1,1,0)</f>
        <v>0</v>
      </c>
      <c r="FV256" s="23"/>
      <c r="GF256" s="4">
        <f>IF(S256&gt;=2.5*25.4,1,1.25)</f>
        <v>1</v>
      </c>
      <c r="GG256" s="4">
        <f>IF(AO256&gt;1, 0.05*(18-MIN(8,(W256+N256)/N256))*(1-48000/MAX(60000,(J256*145))*(N256/25.4)^0.75*GH256), 1/12*(14-MIN(8,(W256+N256)/N256)))</f>
        <v>0.5</v>
      </c>
      <c r="GH256" s="4">
        <f>MIN(0.3, AM256^2*PI()/4*2*AP256/(N256^2*PI()/4*X256))</f>
        <v>0</v>
      </c>
      <c r="GI256" s="4">
        <f>(K256/25.4)/(N256/25.4)^1.5/0.0024*(M256*145)^0.25/GF256/GG256/145</f>
        <v>693.90295180669159</v>
      </c>
    </row>
    <row r="257" spans="1:191" ht="12" customHeight="1" x14ac:dyDescent="0.3">
      <c r="A257" s="25">
        <v>283</v>
      </c>
      <c r="B257" s="4" t="s">
        <v>605</v>
      </c>
      <c r="C257" s="4">
        <v>2016</v>
      </c>
      <c r="D257" s="4" t="s">
        <v>309</v>
      </c>
      <c r="E257" s="24" t="s">
        <v>667</v>
      </c>
      <c r="F257" s="24"/>
      <c r="G257" s="24">
        <v>42</v>
      </c>
      <c r="H257" s="7" t="s">
        <v>442</v>
      </c>
      <c r="I257" s="5">
        <f>K257/N257</f>
        <v>14.38</v>
      </c>
      <c r="J257" s="91">
        <f>120/0.145</f>
        <v>827.58620689655174</v>
      </c>
      <c r="K257" s="38">
        <f>14.38*25.4</f>
        <v>365.25200000000001</v>
      </c>
      <c r="L257" s="4">
        <f>K257</f>
        <v>365.25200000000001</v>
      </c>
      <c r="M257" s="38">
        <f>5420/145</f>
        <v>37.379310344827587</v>
      </c>
      <c r="N257" s="96">
        <f>1*25.4</f>
        <v>25.4</v>
      </c>
      <c r="O257" s="7">
        <f>K257/N257</f>
        <v>14.38</v>
      </c>
      <c r="P257" s="7">
        <f>L257/N257</f>
        <v>14.38</v>
      </c>
      <c r="Q257" s="38">
        <f>17.1*25.4</f>
        <v>434.34000000000003</v>
      </c>
      <c r="R257" s="32">
        <f>S257/N257</f>
        <v>2.5499999999999998</v>
      </c>
      <c r="S257" s="38">
        <f>2.55*25.4</f>
        <v>64.77</v>
      </c>
      <c r="T257" s="32">
        <f>U257/N257</f>
        <v>3.3500000000000005</v>
      </c>
      <c r="U257" s="39">
        <f>3.35*25.4</f>
        <v>85.09</v>
      </c>
      <c r="V257" s="32">
        <f>W257/N257</f>
        <v>10.000000000000002</v>
      </c>
      <c r="W257" s="7">
        <f>(Q257-X257*N257-2*S257)/(X257-1)</f>
        <v>254.00000000000003</v>
      </c>
      <c r="X257" s="38">
        <v>2</v>
      </c>
      <c r="Y257" s="7">
        <f>AN257</f>
        <v>10</v>
      </c>
      <c r="Z257" s="32">
        <f>AA257/N257</f>
        <v>10.25</v>
      </c>
      <c r="AA257" s="4">
        <f>10.25*25.4</f>
        <v>260.34999999999997</v>
      </c>
      <c r="AB257" s="7">
        <f>MIN(S257/N257+0.5, W257/2/N257+0.5)</f>
        <v>3.05</v>
      </c>
      <c r="AC257" s="7">
        <f>S257/N257+0.5</f>
        <v>3.05</v>
      </c>
      <c r="AD257" s="38">
        <v>9.5</v>
      </c>
      <c r="AE257" s="4">
        <f>AD257</f>
        <v>9.5</v>
      </c>
      <c r="AF257" s="4">
        <f>AE257+1</f>
        <v>10.5</v>
      </c>
      <c r="AG257" s="7">
        <f>N257*AF257^0.5</f>
        <v>82.305406869779816</v>
      </c>
      <c r="AJ257" s="38">
        <f>AK257/0.145</f>
        <v>1056.5517241379309</v>
      </c>
      <c r="AK257" s="4">
        <v>153.19999999999999</v>
      </c>
      <c r="AL257" s="4">
        <f>CY257</f>
        <v>2.0436666783234134</v>
      </c>
      <c r="AM257" s="38">
        <f>0.375*25.4</f>
        <v>9.5249999999999986</v>
      </c>
      <c r="AN257" s="38">
        <v>10</v>
      </c>
      <c r="AO257" s="39">
        <f>3*25.4</f>
        <v>76.199999999999989</v>
      </c>
      <c r="AP257" s="39">
        <v>3</v>
      </c>
      <c r="AQ257" s="39">
        <v>2</v>
      </c>
      <c r="AR257" s="7"/>
      <c r="AS257" s="4">
        <f>K257</f>
        <v>365.25200000000001</v>
      </c>
      <c r="AT257" s="4">
        <f>IF(K257*3&gt;W257+N257, Q257, (S257+N257/2)*2+1.5*K257*(2*X257-2))*(3*K257)/(9*K257^2)</f>
        <v>0.39638386648122398</v>
      </c>
      <c r="AU257" s="4">
        <f>MIN(10*M257^0.5*K257^1.5,100*3.9*M257^0.5*K257^(5/3))/(PI()/4*N257^2)/X257</f>
        <v>421.13102356726256</v>
      </c>
      <c r="AV257" s="4">
        <f>MIN(0.7+0.3*(MIN(S257,AA257)+0.5*N257)/1.5/K257,1)</f>
        <v>0.74242002781641159</v>
      </c>
      <c r="AW257" s="4">
        <v>1.25</v>
      </c>
      <c r="AX257" s="4">
        <f>AX256</f>
        <v>1</v>
      </c>
      <c r="AY257" s="38">
        <f>AT257*AV257*AW257*AX257*AU257</f>
        <v>154.91479533358986</v>
      </c>
      <c r="AZ257" s="38">
        <f>AY257</f>
        <v>154.91479533358986</v>
      </c>
      <c r="BA257" s="38">
        <f>IF(M257&lt;50, 0.3*M257^(2/3), 2.12*LN(1+0.1*(M257+8)))</f>
        <v>3.3538382302464851</v>
      </c>
      <c r="BB257" s="38">
        <f>AX257* (M257^0.5/AS257^0.5)/(PI()/4*N257^2)/X257/0.72 *(0.7+(MIN(S257,AA257)+0.5*N257)/5/K257) *(3*Q257*K257)</f>
        <v>154.91479533358989</v>
      </c>
      <c r="BC257" s="38">
        <f>AY257/BB257</f>
        <v>0.99999999999999978</v>
      </c>
      <c r="BD257" s="38">
        <f>BH257/BB257</f>
        <v>4.5365951523553409</v>
      </c>
      <c r="BE257" s="4">
        <f>IF(BD257&lt;1,1,0)</f>
        <v>0</v>
      </c>
      <c r="BF257" s="4">
        <f>L257/N257*M257^0.5/0.19</f>
        <v>462.72282981481186</v>
      </c>
      <c r="BG257" s="4">
        <f>MIN(0.6+0.4*(AC257/AB257),2)</f>
        <v>1</v>
      </c>
      <c r="BH257" s="38">
        <f>2*M257*AB257*AD257^0.5*BG257*0.7/0.7</f>
        <v>702.78570953848373</v>
      </c>
      <c r="BI257" s="4">
        <f>MAX(1-0.7*AE257/5,0.3)</f>
        <v>0.3</v>
      </c>
      <c r="BJ257" s="4">
        <f>BI257*J257*L257/(J257*N257/2.75/M257^0.5)</f>
        <v>72.531803573471763</v>
      </c>
      <c r="BK257" s="4">
        <f>BH257+BJ257</f>
        <v>775.31751311195546</v>
      </c>
      <c r="BM257" s="4">
        <f>MIN(1.5, 0.75+0.25*MIN(3,MAX(1,S257/N257))+0.4*MIN(1,(40*2*PI()*AM257^2/4/AO257/X257)/N257))</f>
        <v>1.5</v>
      </c>
      <c r="BN257" s="4">
        <f>(3*P257+30)*BM257*M257^0.5</f>
        <v>670.75181607835691</v>
      </c>
      <c r="BP257" s="4">
        <f>3.4/PI()^0.5*M257*AB257*AE257^0.5*BG257</f>
        <v>674.05744053931357</v>
      </c>
      <c r="BQ257" s="4">
        <f>8/3*AH257*AI257^2/(AG257-N257-22)/N257*(AG257^2-N257^2)/(AG257^2-(N257+22)^2)</f>
        <v>0</v>
      </c>
      <c r="BR257" s="4">
        <f>BQ257/BP257</f>
        <v>0</v>
      </c>
      <c r="BZ257" s="4">
        <f>IF(W257=0,S257,MIN(W257/2,S257))</f>
        <v>64.77</v>
      </c>
      <c r="CD257" s="9"/>
      <c r="CF257" s="9"/>
      <c r="CG257" s="9"/>
      <c r="CH257" s="9">
        <f>IF(W257=0,MIN(S257,U257),MIN(W257/2,S257,U257))</f>
        <v>64.77</v>
      </c>
      <c r="CI257" s="9">
        <f>MAX(W257/2,S257)</f>
        <v>127.00000000000001</v>
      </c>
      <c r="CJ257" s="9">
        <f>(CH257/N257)^0.5*(CI257/CH257)^0.15</f>
        <v>1.7665851027593089</v>
      </c>
      <c r="CK257" s="70">
        <f>IF(AO257&gt;1,20,0)</f>
        <v>20</v>
      </c>
      <c r="CL257" s="9">
        <f>MIN(PI()*AM257^2/4*AN257*2/X257/N257/MAX(0.01,AO257),0.05)</f>
        <v>0.05</v>
      </c>
      <c r="CM257" s="9">
        <f>MAX(0,CK257*(CL257-0.5/50))</f>
        <v>0.8</v>
      </c>
      <c r="CN257" s="9">
        <f>MIN(1,(25/N257)^0.3)</f>
        <v>0.99524931562137331</v>
      </c>
      <c r="CO257" s="9">
        <f>IF(J257&gt;=800,0.68,IF(J257&gt;=700,0.75-(J257-700)*0.07/100,IF(J257&gt;=600,0.85-(J257-600)*0.1/100,IF(J257&gt;=500,1-(J257-500)*0.15/100,1.2-(J257-400)*0.2/100))))</f>
        <v>0.68</v>
      </c>
      <c r="CP257" s="9">
        <f>1.75*CN257*CO257*(M257/25)^0.5</f>
        <v>1.4481864738410275</v>
      </c>
      <c r="CQ257" s="9">
        <f>MIN((CJ257+CM257)*CP257,2.5*CP257,M257^0.5)</f>
        <v>3.6204661846025687</v>
      </c>
      <c r="CR257" s="40">
        <v>1</v>
      </c>
      <c r="CS257" s="9">
        <f>4*CQ257*P257+60*CQ257</f>
        <v>425.4771860144939</v>
      </c>
      <c r="CU257" s="4">
        <f>AJ257/BF257</f>
        <v>2.2833360622400622</v>
      </c>
      <c r="CV257" s="4">
        <f>AJ257/BK257</f>
        <v>1.3627342427712779</v>
      </c>
      <c r="CW257" s="4">
        <f>AJ257/BN257</f>
        <v>1.5751753462483433</v>
      </c>
      <c r="CX257" s="4">
        <f>AJ257/CS257</f>
        <v>2.4832159252410291</v>
      </c>
      <c r="CY257" s="4">
        <f>AJ257/DZ257</f>
        <v>2.0436666783234134</v>
      </c>
      <c r="CZ257" s="4">
        <f>AJ257/EL257</f>
        <v>1.4000927741086981</v>
      </c>
      <c r="DA257" s="4">
        <f>AJ257/GI257</f>
        <v>1.3111850107642649</v>
      </c>
      <c r="DB257" s="4">
        <f>AN257</f>
        <v>10</v>
      </c>
      <c r="DI257" s="4">
        <f>CU257</f>
        <v>2.2833360622400622</v>
      </c>
      <c r="DJ257" s="4">
        <f>CV257</f>
        <v>1.3627342427712779</v>
      </c>
      <c r="DK257" s="4">
        <f>CX257</f>
        <v>2.4832159252410291</v>
      </c>
      <c r="DL257" s="4">
        <f>DA257</f>
        <v>1.3111850107642649</v>
      </c>
      <c r="DM257" s="4">
        <f>CY257</f>
        <v>2.0436666783234134</v>
      </c>
      <c r="DN257" s="4">
        <f>CZ257</f>
        <v>1.4000927741086981</v>
      </c>
      <c r="DQ257" s="4">
        <f>L257</f>
        <v>365.25200000000001</v>
      </c>
      <c r="DT257" s="4">
        <f>K257/4/(1-0.3*(M257/30)^0.5)/200000/N257</f>
        <v>2.702479300338717E-5</v>
      </c>
      <c r="DU257" s="4">
        <f>EP257</f>
        <v>8.5743531134837028</v>
      </c>
      <c r="DV257" s="4">
        <f>EC257*AG257/257/M257/AD257</f>
        <v>0.13971185237975026</v>
      </c>
      <c r="DW257" s="4">
        <f>DU257*DV257^0.4</f>
        <v>3.9020664886212861</v>
      </c>
      <c r="DX257" s="4">
        <f>MIN(DU257, DU257/1.4*(1-DV257^1.4)/(1-DV257))</f>
        <v>6.6665272879458337</v>
      </c>
      <c r="DY257" s="4">
        <f>MAX(DU257/2, (4-DT257*(8*AG257*(DW257-DX257)+6*K257*DX257))/(4+DT257*K257*DU257)*DU257)</f>
        <v>7.6711409083320685</v>
      </c>
      <c r="DZ257" s="38">
        <f>MIN(1/N257*(4*AG257*(DW257-DX257)+(3*DX257+DY257)*K257)+EC257 -FJ257,MAX(J257,AJ257))</f>
        <v>516.98828157471678</v>
      </c>
      <c r="EA257" s="4">
        <f>DZ257/FF257</f>
        <v>1.0001045700792313</v>
      </c>
      <c r="EB257" s="4">
        <f>AG257/N257</f>
        <v>3.2403703492039297</v>
      </c>
      <c r="EC257" s="4">
        <f>MIN(EB$10*BB257)</f>
        <v>154.91479533358989</v>
      </c>
      <c r="EG257" s="4">
        <f>IF(U257&gt;1*N257,0.85,1)</f>
        <v>0.85</v>
      </c>
      <c r="EH257" s="4">
        <f>MIN(1,MAX(0.7,(1-0.1*(BZ257-1*N257)/N257)))</f>
        <v>0.84499999999999997</v>
      </c>
      <c r="EI257" s="4">
        <f>MIN(1,MAX(0.7,1-0.3*(PI()*AM257^2/4*AQ257*2-0.25*PI()/4*N257^2)/(PI()/4*N257^2)))</f>
        <v>0.90625</v>
      </c>
      <c r="EJ257" s="4">
        <f>IF(EH257*EI257&lt;0.7,0.7,EH257*EI257)</f>
        <v>0.76578124999999997</v>
      </c>
      <c r="EL257" s="4">
        <f>MIN(DU257/N257*3*K257+EM257-FJ257,MAX(J257,AJ257))</f>
        <v>754.62979573659595</v>
      </c>
      <c r="EM257" s="25">
        <f>13.3*Q257*K257^0.5*M257^0.5/X257/N257^2*(0.7+S257/5/K257)</f>
        <v>384.732202420909</v>
      </c>
      <c r="EO257" s="4">
        <f>EG257*EJ257</f>
        <v>0.65091406249999995</v>
      </c>
      <c r="EP257" s="4">
        <f>IF(N257&lt;22.2,1.1*5*(M257/30)^0.5,IF(N257&gt;=31.8,0.9*5*(M257/30)^0.5,1*5*(M257/30)^0.5))/EG257/EJ257</f>
        <v>8.5743531134837028</v>
      </c>
      <c r="ES257" s="4">
        <f>ET257*N257</f>
        <v>82.305406869779816</v>
      </c>
      <c r="ET257" s="4">
        <f>AF257^0.5</f>
        <v>3.2403703492039302</v>
      </c>
      <c r="EU257" s="4">
        <f>MIN(EC257)/(4700*M257^0.5)/AE257*ES257</f>
        <v>4.6707234990559086E-2</v>
      </c>
      <c r="EX257" s="4">
        <f>EU257</f>
        <v>4.6707234990559086E-2</v>
      </c>
      <c r="EY257" s="4">
        <f>MIN(0.999, EX257/(0.3*(M257/30)^0.5))</f>
        <v>0.13947869933687806</v>
      </c>
      <c r="EZ257" s="4">
        <f>EP257/1*EY257^0.4</f>
        <v>3.8994604547280951</v>
      </c>
      <c r="FA257" s="4">
        <f>EP257/1.4*(1-EY257^1.4)/(1-EY257)</f>
        <v>6.6657779210232588</v>
      </c>
      <c r="FB257" s="4">
        <f>MAX(0,DQ257*FB$9-ES257)</f>
        <v>191.63359313022022</v>
      </c>
      <c r="FC257" s="4">
        <f>MAX(0,DQ257-ES257-FB257)</f>
        <v>91.312999999999988</v>
      </c>
      <c r="FD257" s="4">
        <f>FC257/(1-0.3*(M257/30)^0.5)/200000/N257</f>
        <v>2.7024793003387166E-5</v>
      </c>
      <c r="FE257" s="4">
        <f>MAX(0.5*EP257, (1-2*FD257*(ES257*EZ257+FB257*FA257))/(1/EP257+FD257*FC257))</f>
        <v>7.6713034250565757</v>
      </c>
      <c r="FF257" s="4">
        <f>MIN(4/N257*(1*EZ257*ES257+FA257*FB257+FC257*FE257)+EC257,MAX(J257,AJ257))</f>
        <v>516.93422572177565</v>
      </c>
      <c r="FO257" s="23">
        <f>IF(CU257&lt;0.6,0.6,IF(CU257&lt;0.8,0.8,IF(CU257&lt;1,1,IF(CU257&lt;1.2,1.2,IF(CU257&lt;1.4,1.4,IF(CU257&lt;1.6,1.6,IF(CU257&lt;1.8,1.8,IF(CU257&lt;2,2,2.2))))))))</f>
        <v>2.2000000000000002</v>
      </c>
      <c r="FP257" s="23">
        <f>IF(CV257&lt;0.6,0.6,IF(CV257&lt;0.8,0.8,IF(CV257&lt;1,1,IF(CV257&lt;1.2,1.2,IF(CV257&lt;1.4,1.4,IF(CV257&lt;1.6,1.6,IF(CV257&lt;1.8,1.8,IF(CV257&lt;2,2,2.2))))))))</f>
        <v>1.4</v>
      </c>
      <c r="FQ257" s="23">
        <f>IF(DA257&lt;0.6,0.6,IF(DA257&lt;0.8,0.8,IF(DA257&lt;1,1,IF(DA257&lt;1.2,1.2,IF(DA257&lt;1.4,1.4,IF(DA257&lt;1.6,1.6,IF(DA257&lt;1.8,1.8,IF(DA257&lt;2,2,2.2))))))))</f>
        <v>1.4</v>
      </c>
      <c r="FR257" s="23">
        <f>IF(CX257&lt;0.6,0.6,IF(CX257&lt;0.8,0.8,IF(CX257&lt;1,1,IF(CX257&lt;1.2,1.2,IF(CX257&lt;1.4,1.4,IF(CX257&lt;1.6,1.6,IF(CX257&lt;1.8,1.8,IF(CX257&lt;2,2,2.2))))))))</f>
        <v>2.2000000000000002</v>
      </c>
      <c r="FS257" s="23">
        <f>IF(CY257&lt;0.6,0.6,IF(CY257&lt;0.8,0.8,IF(CY257&lt;1,1,IF(CY257&lt;1.2,1.2,IF(CY257&lt;1.4,1.4,IF(CY257&lt;1.6,1.6,IF(CY257&lt;1.8,1.8,IF(CY257&lt;2,2,2.2))))))))</f>
        <v>2.2000000000000002</v>
      </c>
      <c r="FT257" s="23">
        <f>IF(CZ257&lt;0.6,0.6,IF(CZ257&lt;0.8,0.8,IF(CZ257&lt;1,1,IF(CZ257&lt;1.2,1.2,IF(CZ257&lt;1.4,1.4,IF(CZ257&lt;1.6,1.6,IF(CZ257&lt;1.8,1.8,IF(CZ257&lt;2,2,2.2))))))))</f>
        <v>1.6</v>
      </c>
      <c r="FU257" s="23">
        <f>IF(FS257&lt;1,1,0)</f>
        <v>0</v>
      </c>
      <c r="FV257" s="23"/>
      <c r="GF257" s="4">
        <f>IF(S257&gt;=2.5*25.4,1,1.25)</f>
        <v>1</v>
      </c>
      <c r="GG257" s="4">
        <f>IF(AO257&gt;1, 0.05*(18-MIN(8,(W257+N257)/N257))*(1-48000/MAX(60000,(J257*145))*(N257/25.4)^0.75*GH257), 1/12*(14-MIN(8,(W257+N257)/N257)))</f>
        <v>0.44</v>
      </c>
      <c r="GH257" s="4">
        <f>MIN(0.3, AM257^2*PI()/4*2*AP257/(N257^2*PI()/4*X257))</f>
        <v>0.3</v>
      </c>
      <c r="GI257" s="4">
        <f>(K257/25.4)/(N257/25.4)^1.5/0.0024*(M257*145)^0.25/GF257/GG257/145</f>
        <v>805.7991171833844</v>
      </c>
    </row>
    <row r="258" spans="1:191" ht="12" customHeight="1" x14ac:dyDescent="0.3">
      <c r="A258" s="25">
        <v>286</v>
      </c>
      <c r="B258" s="4" t="s">
        <v>605</v>
      </c>
      <c r="C258" s="4">
        <v>2016</v>
      </c>
      <c r="D258" s="4" t="s">
        <v>309</v>
      </c>
      <c r="E258" s="24" t="s">
        <v>667</v>
      </c>
      <c r="F258" s="24"/>
      <c r="G258" s="24">
        <v>37</v>
      </c>
      <c r="H258" s="48" t="s">
        <v>445</v>
      </c>
      <c r="I258" s="5">
        <f>K258/N258</f>
        <v>14.35</v>
      </c>
      <c r="J258" s="78">
        <f>115.9/0.145</f>
        <v>799.31034482758628</v>
      </c>
      <c r="K258" s="38">
        <f>14.35*25.4</f>
        <v>364.48999999999995</v>
      </c>
      <c r="L258" s="4">
        <f>K258</f>
        <v>364.48999999999995</v>
      </c>
      <c r="M258" s="38">
        <f>4960/145</f>
        <v>34.206896551724135</v>
      </c>
      <c r="N258" s="38">
        <f>1*25.4</f>
        <v>25.4</v>
      </c>
      <c r="O258" s="7">
        <f>K258/N258</f>
        <v>14.35</v>
      </c>
      <c r="P258" s="7">
        <f>L258/N258</f>
        <v>14.35</v>
      </c>
      <c r="Q258" s="38">
        <f>16.9*25.4</f>
        <v>429.25999999999993</v>
      </c>
      <c r="R258" s="32">
        <f>S258/N258</f>
        <v>2.4500000000000002</v>
      </c>
      <c r="S258" s="38">
        <f>2.45*25.4</f>
        <v>62.230000000000004</v>
      </c>
      <c r="T258" s="32">
        <f>U258/N258</f>
        <v>3.2</v>
      </c>
      <c r="U258" s="39">
        <f>3.2*25.4</f>
        <v>81.28</v>
      </c>
      <c r="V258" s="32">
        <f>W258/N258</f>
        <v>4.4999999999999991</v>
      </c>
      <c r="W258" s="7">
        <f>(Q258-X258*N258-2*S258)/(X258-1)</f>
        <v>114.29999999999997</v>
      </c>
      <c r="X258" s="38">
        <v>3</v>
      </c>
      <c r="Y258" s="7">
        <f>AN258</f>
        <v>0</v>
      </c>
      <c r="Z258" s="32">
        <f>AA258/N258</f>
        <v>10.25</v>
      </c>
      <c r="AA258" s="4">
        <f>10.25*25.4</f>
        <v>260.34999999999997</v>
      </c>
      <c r="AB258" s="7">
        <f>MIN(S258/N258+0.5, W258/2/N258+0.5)</f>
        <v>2.7499999999999996</v>
      </c>
      <c r="AC258" s="7">
        <f>S258/N258+0.5</f>
        <v>2.95</v>
      </c>
      <c r="AD258" s="38">
        <v>9.1</v>
      </c>
      <c r="AE258" s="4">
        <f>AD258</f>
        <v>9.1</v>
      </c>
      <c r="AF258" s="4">
        <f>AE258+1</f>
        <v>10.1</v>
      </c>
      <c r="AG258" s="7">
        <f>N258*AF258^0.5</f>
        <v>80.72246279691916</v>
      </c>
      <c r="AJ258" s="38">
        <f>AK258/0.145</f>
        <v>660.68965517241384</v>
      </c>
      <c r="AK258" s="4">
        <v>95.8</v>
      </c>
      <c r="AL258" s="4">
        <f>CY258</f>
        <v>1.678318926344234</v>
      </c>
      <c r="AM258" s="38">
        <v>0</v>
      </c>
      <c r="AN258" s="38">
        <v>0</v>
      </c>
      <c r="AO258" s="39">
        <f>L258</f>
        <v>364.48999999999995</v>
      </c>
      <c r="AP258" s="39"/>
      <c r="AQ258" s="39"/>
      <c r="AR258" s="7"/>
      <c r="AS258" s="4">
        <f>K258</f>
        <v>364.48999999999995</v>
      </c>
      <c r="AT258" s="4">
        <f>IF(K258*3&gt;W258+N258, Q258, (S258+N258/2)*2+1.5*K258*(2*X258-2))*(3*K258)/(9*K258^2)</f>
        <v>0.39256678281068519</v>
      </c>
      <c r="AU258" s="4">
        <f>MIN(10*M258^0.5*K258^1.5,100*3.9*M258^0.5*K258^(5/3))/(PI()/4*N258^2)/X258</f>
        <v>267.73595292203152</v>
      </c>
      <c r="AV258" s="4">
        <f>MIN(0.7+0.3*(MIN(S258,AA258)+0.5*N258)/1.5/K258,1)</f>
        <v>0.74111498257839714</v>
      </c>
      <c r="AW258" s="4">
        <v>1.25</v>
      </c>
      <c r="AX258" s="4">
        <f>AX257</f>
        <v>1</v>
      </c>
      <c r="AY258" s="38">
        <f>AT258*AV258*AW258*AX258*AU258</f>
        <v>97.367910303241288</v>
      </c>
      <c r="AZ258" s="38">
        <f>AY258</f>
        <v>97.367910303241288</v>
      </c>
      <c r="BA258" s="38">
        <f>IF(M258&lt;50, 0.3*M258^(2/3), 2.12*LN(1+0.1*(M258+8)))</f>
        <v>3.1612853899839108</v>
      </c>
      <c r="BB258" s="38">
        <f>AX258* (M258^0.5/AS258^0.5)/(PI()/4*N258^2)/X258/0.72 *(0.7+(MIN(S258,AA258)+0.5*N258)/5/K258) *(3*Q258*K258)</f>
        <v>97.367910303241302</v>
      </c>
      <c r="BC258" s="38">
        <f>AY258/BB258</f>
        <v>0.99999999999999989</v>
      </c>
      <c r="BD258" s="38">
        <f>BH258/BB258</f>
        <v>5.9983934972429864</v>
      </c>
      <c r="BE258" s="4">
        <f>IF(BD258&lt;1,1,0)</f>
        <v>0</v>
      </c>
      <c r="BF258" s="4">
        <f>L258/N258*M258^0.5/0.19</f>
        <v>441.72821187090909</v>
      </c>
      <c r="BG258" s="4">
        <f>MIN(0.6+0.4*(AC258/AB258),2)</f>
        <v>1.0290909090909093</v>
      </c>
      <c r="BH258" s="38">
        <f>2*M258*AB258*AD258^0.5*BG258*0.7/0.7</f>
        <v>584.05104000310098</v>
      </c>
      <c r="BI258" s="4">
        <f>MAX(1-0.7*AE258/5,0.3)</f>
        <v>0.3</v>
      </c>
      <c r="BJ258" s="4">
        <f>BI258*J258*L258/(J258*N258/2.75/M258^0.5)</f>
        <v>69.240897210764984</v>
      </c>
      <c r="BK258" s="4">
        <f>BH258+BJ258</f>
        <v>653.29193721386594</v>
      </c>
      <c r="BM258" s="4">
        <f>MIN(1.5, 0.75+0.25*MIN(3,MAX(1,S258/N258))+0.4*MIN(1,(40*2*PI()*AM258^2/4/AO258/X258)/N258))</f>
        <v>1.3625</v>
      </c>
      <c r="BN258" s="4">
        <f>(3*P258+30)*BM258*M258^0.5</f>
        <v>582.12140428239445</v>
      </c>
      <c r="BP258" s="4">
        <f>3.4/PI()^0.5*M258*AB258*AE258^0.5*BG258</f>
        <v>560.17637215097193</v>
      </c>
      <c r="BQ258" s="4">
        <f>8/3*AH258*AI258^2/(AG258-N258-22)/N258*(AG258^2-N258^2)/(AG258^2-(N258+22)^2)</f>
        <v>0</v>
      </c>
      <c r="BR258" s="4">
        <f>BQ258/BP258</f>
        <v>0</v>
      </c>
      <c r="BZ258" s="4">
        <f>IF(W258=0,S258,MIN(W258/2,S258))</f>
        <v>57.149999999999984</v>
      </c>
      <c r="CD258" s="9"/>
      <c r="CF258" s="9"/>
      <c r="CG258" s="9"/>
      <c r="CH258" s="9">
        <f>IF(W258=0,MIN(S258,U258),MIN(W258/2,S258,U258))</f>
        <v>57.149999999999984</v>
      </c>
      <c r="CI258" s="9">
        <f>MAX(W258/2,S258)</f>
        <v>62.230000000000004</v>
      </c>
      <c r="CJ258" s="9">
        <f>(CH258/N258)^0.5*(CI258/CH258)^0.15</f>
        <v>1.5192834046120851</v>
      </c>
      <c r="CK258" s="70">
        <f>IF(AO258&gt;1,20,0)</f>
        <v>20</v>
      </c>
      <c r="CL258" s="9">
        <f>MIN(PI()*AM258^2/4*AN258*2/X258/N258/MAX(0.01,AO258),0.05)</f>
        <v>0</v>
      </c>
      <c r="CM258" s="9">
        <f>MAX(0,CK258*(CL258-0.5/50))</f>
        <v>0</v>
      </c>
      <c r="CN258" s="9">
        <f>MIN(1,(25/N258)^0.3)</f>
        <v>0.99524931562137331</v>
      </c>
      <c r="CO258" s="9">
        <f>IF(J258&gt;=800,0.68,IF(J258&gt;=700,0.75-(J258-700)*0.07/100,IF(J258&gt;=600,0.85-(J258-600)*0.1/100,IF(J258&gt;=500,1-(J258-500)*0.15/100,1.2-(J258-400)*0.2/100))))</f>
        <v>0.68048275862068963</v>
      </c>
      <c r="CP258" s="9">
        <f>1.75*CN258*CO258*(M258/25)^0.5</f>
        <v>1.3863532187078278</v>
      </c>
      <c r="CQ258" s="9">
        <f>MIN((CJ258+CM258)*CP258,2.5*CP258,M258^0.5)</f>
        <v>2.1062634381133511</v>
      </c>
      <c r="CR258" s="40">
        <v>1</v>
      </c>
      <c r="CS258" s="9">
        <f>4*CQ258*P258+60*CQ258</f>
        <v>247.27532763450742</v>
      </c>
      <c r="CU258" s="4">
        <f>AJ258/BF258</f>
        <v>1.4956926848165499</v>
      </c>
      <c r="CV258" s="4">
        <f>AJ258/BK258</f>
        <v>1.0113237551807197</v>
      </c>
      <c r="CW258" s="4">
        <f>AJ258/BN258</f>
        <v>1.1349688403690872</v>
      </c>
      <c r="CX258" s="4">
        <f>AJ258/CS258</f>
        <v>2.6718785957852038</v>
      </c>
      <c r="CY258" s="4">
        <f>AJ258/DZ258</f>
        <v>1.678318926344234</v>
      </c>
      <c r="CZ258" s="4">
        <f>AJ258/EL258</f>
        <v>1.1994142932326093</v>
      </c>
      <c r="DA258" s="4">
        <f>AJ258/GI258</f>
        <v>1.4915728202248597</v>
      </c>
      <c r="DB258" s="4">
        <f>AN258</f>
        <v>0</v>
      </c>
      <c r="DC258" s="4">
        <f>CU258</f>
        <v>1.4956926848165499</v>
      </c>
      <c r="DD258" s="4">
        <f>CV258</f>
        <v>1.0113237551807197</v>
      </c>
      <c r="DE258" s="4">
        <f>CX258</f>
        <v>2.6718785957852038</v>
      </c>
      <c r="DF258" s="4">
        <f>DA258</f>
        <v>1.4915728202248597</v>
      </c>
      <c r="DG258" s="4">
        <f>CY258</f>
        <v>1.678318926344234</v>
      </c>
      <c r="DH258" s="4">
        <f>CZ258</f>
        <v>1.1994142932326093</v>
      </c>
      <c r="DQ258" s="4">
        <f>L258</f>
        <v>364.48999999999995</v>
      </c>
      <c r="DT258" s="4">
        <f>K258/4/(1-0.3*(M258/30)^0.5)/200000/N258</f>
        <v>2.6392052661312303E-5</v>
      </c>
      <c r="DU258" s="4">
        <f>EP258</f>
        <v>7.1785914172642658</v>
      </c>
      <c r="DV258" s="4">
        <f>EC258*AG258/257/M258/AD258</f>
        <v>9.824762550523812E-2</v>
      </c>
      <c r="DW258" s="4">
        <f>DU258*DV258^0.4</f>
        <v>2.8377103261402143</v>
      </c>
      <c r="DX258" s="4">
        <f>MIN(DU258, DU258/1.4*(1-DV258^1.4)/(1-DV258))</f>
        <v>5.4653847259780033</v>
      </c>
      <c r="DY258" s="4">
        <f>MAX(DU258/2, (4-DT258*(8*AG258*(DW258-DX258)+6*K258*DX258))/(4+DT258*K258*DU258)*DU258)</f>
        <v>6.5792586622486473</v>
      </c>
      <c r="DZ258" s="38">
        <f>MIN(1/N258*(4*AG258*(DW258-DX258)+(3*DX258+DY258)*K258)+EC258 -FJ258,MAX(J258,AJ258))</f>
        <v>393.66156503492959</v>
      </c>
      <c r="EA258" s="4">
        <f>DZ258/FF258</f>
        <v>1.0000947076125088</v>
      </c>
      <c r="EB258" s="4">
        <f>AG258/N258</f>
        <v>3.1780497164141401</v>
      </c>
      <c r="EC258" s="4">
        <f>MIN(EB$10*BB258)</f>
        <v>97.367910303241302</v>
      </c>
      <c r="EG258" s="4">
        <f>IF(U258&gt;1*N258,0.85,1)</f>
        <v>0.85</v>
      </c>
      <c r="EH258" s="4">
        <f>MIN(1,MAX(0.7,(1-0.1*(BZ258-1*N258)/N258)))</f>
        <v>0.875</v>
      </c>
      <c r="EI258" s="4">
        <f>MIN(1,MAX(0.7,1-0.3*(PI()*AM258^2/4*AQ258*2-0.25*PI()/4*N258^2)/(PI()/4*N258^2)))</f>
        <v>1</v>
      </c>
      <c r="EJ258" s="4">
        <f>IF(EH258*EI258&lt;0.7,0.7,EH258*EI258)</f>
        <v>0.875</v>
      </c>
      <c r="EL258" s="4">
        <f>MIN(DU258/N258*3*K258+EM258-FJ258,MAX(J258,AJ258))</f>
        <v>550.84357331756632</v>
      </c>
      <c r="EM258" s="25">
        <f>13.3*Q258*K258^0.5*M258^0.5/X258/N258^2*(0.7+S258/5/K258)</f>
        <v>241.80521280433967</v>
      </c>
      <c r="EO258" s="4">
        <f>EG258*EJ258</f>
        <v>0.74375000000000002</v>
      </c>
      <c r="EP258" s="4">
        <f>IF(N258&lt;22.2,1.1*5*(M258/30)^0.5,IF(N258&gt;=31.8,0.9*5*(M258/30)^0.5,1*5*(M258/30)^0.5))/EG258/EJ258</f>
        <v>7.1785914172642658</v>
      </c>
      <c r="ES258" s="4">
        <f>ET258*N258</f>
        <v>80.72246279691916</v>
      </c>
      <c r="ET258" s="4">
        <f>AF258^0.5</f>
        <v>3.1780497164141406</v>
      </c>
      <c r="EU258" s="4">
        <f>MIN(EC258)/(4700*M258^0.5)/AE258*ES258</f>
        <v>3.1420577680563978E-2</v>
      </c>
      <c r="EX258" s="4">
        <f>EU258</f>
        <v>3.1420577680563978E-2</v>
      </c>
      <c r="EY258" s="4">
        <f>MIN(0.999, EX258/(0.3*(M258/30)^0.5))</f>
        <v>9.8083668529138121E-2</v>
      </c>
      <c r="EZ258" s="4">
        <f>EP258/1*EY258^0.4</f>
        <v>2.8358151330904438</v>
      </c>
      <c r="FA258" s="4">
        <f>EP258/1.4*(1-EY258^1.4)/(1-EY258)</f>
        <v>5.464906875790744</v>
      </c>
      <c r="FB258" s="4">
        <f>MAX(0,DQ258*FB$9-ES258)</f>
        <v>192.64503720308079</v>
      </c>
      <c r="FC258" s="4">
        <f>MAX(0,DQ258-ES258-FB258)</f>
        <v>91.122500000000002</v>
      </c>
      <c r="FD258" s="4">
        <f>FC258/(1-0.3*(M258/30)^0.5)/200000/N258</f>
        <v>2.6392052661312303E-5</v>
      </c>
      <c r="FE258" s="4">
        <f>MAX(0.5*EP258, (1-2*FD258*(ES258*EZ258+FB258*FA258))/(1/EP258+FD258*FC258))</f>
        <v>6.5793499360155572</v>
      </c>
      <c r="FF258" s="4">
        <f>MIN(4/N258*(1*EZ258*ES258+FA258*FB258+FC258*FE258)+EC258,MAX(J258,AJ258))</f>
        <v>393.62428581859422</v>
      </c>
      <c r="FI258" s="4">
        <f>5.25*25.4</f>
        <v>133.35</v>
      </c>
      <c r="FO258" s="23">
        <f>IF(CU258&lt;0.6,0.6,IF(CU258&lt;0.8,0.8,IF(CU258&lt;1,1,IF(CU258&lt;1.2,1.2,IF(CU258&lt;1.4,1.4,IF(CU258&lt;1.6,1.6,IF(CU258&lt;1.8,1.8,IF(CU258&lt;2,2,2.2))))))))</f>
        <v>1.6</v>
      </c>
      <c r="FP258" s="23">
        <f>IF(CV258&lt;0.6,0.6,IF(CV258&lt;0.8,0.8,IF(CV258&lt;1,1,IF(CV258&lt;1.2,1.2,IF(CV258&lt;1.4,1.4,IF(CV258&lt;1.6,1.6,IF(CV258&lt;1.8,1.8,IF(CV258&lt;2,2,2.2))))))))</f>
        <v>1.2</v>
      </c>
      <c r="FQ258" s="23">
        <f>IF(DA258&lt;0.6,0.6,IF(DA258&lt;0.8,0.8,IF(DA258&lt;1,1,IF(DA258&lt;1.2,1.2,IF(DA258&lt;1.4,1.4,IF(DA258&lt;1.6,1.6,IF(DA258&lt;1.8,1.8,IF(DA258&lt;2,2,2.2))))))))</f>
        <v>1.6</v>
      </c>
      <c r="FR258" s="23">
        <f>IF(CX258&lt;0.6,0.6,IF(CX258&lt;0.8,0.8,IF(CX258&lt;1,1,IF(CX258&lt;1.2,1.2,IF(CX258&lt;1.4,1.4,IF(CX258&lt;1.6,1.6,IF(CX258&lt;1.8,1.8,IF(CX258&lt;2,2,2.2))))))))</f>
        <v>2.2000000000000002</v>
      </c>
      <c r="FS258" s="23">
        <f>IF(CY258&lt;0.6,0.6,IF(CY258&lt;0.8,0.8,IF(CY258&lt;1,1,IF(CY258&lt;1.2,1.2,IF(CY258&lt;1.4,1.4,IF(CY258&lt;1.6,1.6,IF(CY258&lt;1.8,1.8,IF(CY258&lt;2,2,2.2))))))))</f>
        <v>1.8</v>
      </c>
      <c r="FT258" s="23">
        <f>IF(CZ258&lt;0.6,0.6,IF(CZ258&lt;0.8,0.8,IF(CZ258&lt;1,1,IF(CZ258&lt;1.2,1.2,IF(CZ258&lt;1.4,1.4,IF(CZ258&lt;1.6,1.6,IF(CZ258&lt;1.8,1.8,IF(CZ258&lt;2,2,2.2))))))))</f>
        <v>1.2</v>
      </c>
      <c r="FU258" s="23">
        <f>IF(FS258&lt;1,1,0)</f>
        <v>0</v>
      </c>
      <c r="FV258" s="23"/>
      <c r="GF258" s="4">
        <f>IF(S258&gt;=2.5*25.4,1,1.25)</f>
        <v>1.25</v>
      </c>
      <c r="GG258" s="4">
        <f>IF(AO258&gt;1, 0.05*(18-MIN(8,(W258+N258)/N258))*(1-48000/MAX(60000,(J258*145))*(N258/25.4)^0.75*GH258), 1/12*(14-MIN(8,(W258+N258)/N258)))</f>
        <v>0.625</v>
      </c>
      <c r="GH258" s="4">
        <f>MIN(0.3, AM258^2*PI()/4*2*AP258/(N258^2*PI()/4*X258))</f>
        <v>0</v>
      </c>
      <c r="GI258" s="4">
        <f>(K258/25.4)/(N258/25.4)^1.5/0.0024*(M258*145)^0.25/GF258/GG258/145</f>
        <v>442.9483067898841</v>
      </c>
    </row>
    <row r="259" spans="1:191" ht="12" customHeight="1" x14ac:dyDescent="0.3">
      <c r="A259" s="25">
        <v>289</v>
      </c>
      <c r="B259" s="4" t="s">
        <v>605</v>
      </c>
      <c r="C259" s="4">
        <v>2016</v>
      </c>
      <c r="D259" s="4" t="s">
        <v>309</v>
      </c>
      <c r="E259" s="24" t="s">
        <v>667</v>
      </c>
      <c r="F259" s="24"/>
      <c r="G259" s="24">
        <v>21</v>
      </c>
      <c r="H259" s="7" t="s">
        <v>448</v>
      </c>
      <c r="I259" s="5">
        <f>K259/N259</f>
        <v>14.299999999999999</v>
      </c>
      <c r="J259" s="91">
        <f>120/0.145</f>
        <v>827.58620689655174</v>
      </c>
      <c r="K259" s="98">
        <f>14.3*25.4</f>
        <v>363.21999999999997</v>
      </c>
      <c r="L259" s="4">
        <f>K259</f>
        <v>363.21999999999997</v>
      </c>
      <c r="M259" s="98">
        <f>5570/145</f>
        <v>38.413793103448278</v>
      </c>
      <c r="N259" s="96">
        <f>1*25.4</f>
        <v>25.4</v>
      </c>
      <c r="O259" s="7">
        <f>K259/N259</f>
        <v>14.299999999999999</v>
      </c>
      <c r="P259" s="7">
        <f>L259/N259</f>
        <v>14.299999999999999</v>
      </c>
      <c r="Q259" s="38">
        <f>17.3*25.4</f>
        <v>439.42</v>
      </c>
      <c r="R259" s="32">
        <f>S259/N259</f>
        <v>2.5</v>
      </c>
      <c r="S259" s="38">
        <f>2.5*25.4</f>
        <v>63.5</v>
      </c>
      <c r="T259" s="32">
        <f>U259/N259</f>
        <v>3.4000000000000004</v>
      </c>
      <c r="U259" s="39">
        <f>3.4*25.4</f>
        <v>86.36</v>
      </c>
      <c r="V259" s="32">
        <f>W259/N259</f>
        <v>2.7666666666666675</v>
      </c>
      <c r="W259" s="7">
        <f>(Q259-X259*N259-2*S259)/(X259-1)</f>
        <v>70.273333333333355</v>
      </c>
      <c r="X259" s="38">
        <v>4</v>
      </c>
      <c r="Y259" s="7">
        <f>AN259</f>
        <v>0</v>
      </c>
      <c r="Z259" s="32">
        <f>AA259/N259</f>
        <v>10.25</v>
      </c>
      <c r="AA259" s="4">
        <f>10.25*25.4</f>
        <v>260.34999999999997</v>
      </c>
      <c r="AB259" s="7">
        <f>MIN(S259/N259+0.5, W259/2/N259+0.5)</f>
        <v>1.8833333333333337</v>
      </c>
      <c r="AC259" s="7">
        <f>S259/N259+0.5</f>
        <v>3</v>
      </c>
      <c r="AD259" s="38">
        <v>9.5</v>
      </c>
      <c r="AE259" s="4">
        <f>AD259</f>
        <v>9.5</v>
      </c>
      <c r="AF259" s="4">
        <f>AE259+1</f>
        <v>10.5</v>
      </c>
      <c r="AG259" s="7">
        <f>N259*AF259^0.5</f>
        <v>82.305406869779816</v>
      </c>
      <c r="AJ259" s="38">
        <f>AK259/0.145</f>
        <v>531.0344827586207</v>
      </c>
      <c r="AK259" s="4">
        <v>77</v>
      </c>
      <c r="AL259" s="4">
        <f>CY259</f>
        <v>1.4899632682400843</v>
      </c>
      <c r="AM259" s="38">
        <v>0</v>
      </c>
      <c r="AN259" s="38">
        <v>0</v>
      </c>
      <c r="AO259" s="39">
        <f>L259</f>
        <v>363.21999999999997</v>
      </c>
      <c r="AP259" s="39"/>
      <c r="AQ259" s="39"/>
      <c r="AR259" s="7"/>
      <c r="AS259" s="4">
        <f>K259</f>
        <v>363.21999999999997</v>
      </c>
      <c r="AT259" s="4">
        <f>IF(K259*3&gt;W259+N259, Q259, (S259+N259/2)*2+1.5*K259*(2*X259-2))*(3*K259)/(9*K259^2)</f>
        <v>0.40326340326340332</v>
      </c>
      <c r="AU259" s="4">
        <f>MIN(10*M259^0.5*K259^1.5,100*3.9*M259^0.5*K259^(5/3))/(PI()/4*N259^2)/X259</f>
        <v>211.68053362794402</v>
      </c>
      <c r="AV259" s="4">
        <f>MIN(0.7+0.3*(MIN(S259,AA259)+0.5*N259)/1.5/K259,1)</f>
        <v>0.74195804195804194</v>
      </c>
      <c r="AW259" s="4">
        <v>1.25</v>
      </c>
      <c r="AX259" s="4">
        <f>AX258</f>
        <v>1</v>
      </c>
      <c r="AY259" s="38">
        <f>AT259*AV259*AW259*AX259*AU259</f>
        <v>79.169716915680496</v>
      </c>
      <c r="AZ259" s="38">
        <f>AY259</f>
        <v>79.169716915680496</v>
      </c>
      <c r="BA259" s="38">
        <f>IF(M259&lt;50, 0.3*M259^(2/3), 2.12*LN(1+0.1*(M259+8)))</f>
        <v>3.4154351999890475</v>
      </c>
      <c r="BB259" s="38">
        <f>AX259* (M259^0.5/AS259^0.5)/(PI()/4*N259^2)/X259/0.72 *(0.7+(MIN(S259,AA259)+0.5*N259)/5/K259) *(3*Q259*K259)</f>
        <v>79.169716915680439</v>
      </c>
      <c r="BC259" s="38">
        <f>AY259/BB259</f>
        <v>1.0000000000000007</v>
      </c>
      <c r="BD259" s="38">
        <f>BH259/BB259</f>
        <v>6.9690859419563917</v>
      </c>
      <c r="BE259" s="4">
        <f>IF(BD259&lt;1,1,0)</f>
        <v>0</v>
      </c>
      <c r="BF259" s="4">
        <f>L259/N259*M259^0.5/0.19</f>
        <v>466.47248619845737</v>
      </c>
      <c r="BG259" s="4">
        <f>MIN(0.6+0.4*(AC259/AB259),2)</f>
        <v>1.2371681415929201</v>
      </c>
      <c r="BH259" s="38">
        <f>2*M259*AB259*AD259^0.5*BG259*0.7/0.7</f>
        <v>551.74056118573571</v>
      </c>
      <c r="BI259" s="4">
        <f>MAX(1-0.7*AE259/5,0.3)</f>
        <v>0.3</v>
      </c>
      <c r="BJ259" s="4">
        <f>BI259*J259*L259/(J259*N259/2.75/M259^0.5)</f>
        <v>73.119562211608198</v>
      </c>
      <c r="BK259" s="4">
        <f>BH259+BJ259</f>
        <v>624.86012339734395</v>
      </c>
      <c r="BM259" s="4">
        <f>MIN(1.5, 0.75+0.25*MIN(3,MAX(1,S259/N259))+0.4*MIN(1,(40*2*PI()*AM259^2/4/AO259/X259)/N259))</f>
        <v>1.375</v>
      </c>
      <c r="BN259" s="4">
        <f>(3*P259+30)*BM259*M259^0.5</f>
        <v>621.26061599373406</v>
      </c>
      <c r="BP259" s="4">
        <f>3.4/PI()^0.5*M259*AB259*AE259^0.5*BG259</f>
        <v>529.18667165103545</v>
      </c>
      <c r="BQ259" s="4">
        <f>8/3*AH259*AI259^2/(AG259-N259-22)/N259*(AG259^2-N259^2)/(AG259^2-(N259+22)^2)</f>
        <v>0</v>
      </c>
      <c r="BR259" s="4">
        <f>BQ259/BP259</f>
        <v>0</v>
      </c>
      <c r="BZ259" s="4">
        <f>IF(W259=0,S259,MIN(W259/2,S259))</f>
        <v>35.136666666666677</v>
      </c>
      <c r="CD259" s="9"/>
      <c r="CF259" s="9"/>
      <c r="CG259" s="9"/>
      <c r="CH259" s="9">
        <f>IF(W259=0,MIN(S259,U259),MIN(W259/2,S259,U259))</f>
        <v>35.136666666666677</v>
      </c>
      <c r="CI259" s="9">
        <f>MAX(W259/2,S259)</f>
        <v>63.5</v>
      </c>
      <c r="CJ259" s="9">
        <f>(CH259/N259)^0.5*(CI259/CH259)^0.15</f>
        <v>1.2853322249291921</v>
      </c>
      <c r="CK259" s="70">
        <f>IF(AO259&gt;1,20,0)</f>
        <v>20</v>
      </c>
      <c r="CL259" s="9">
        <f>MIN(PI()*AM259^2/4*AN259*2/X259/N259/MAX(0.01,AO259),0.05)</f>
        <v>0</v>
      </c>
      <c r="CM259" s="9">
        <f>MAX(0,CK259*(CL259-0.5/50))</f>
        <v>0</v>
      </c>
      <c r="CN259" s="9">
        <f>MIN(1,(25/N259)^0.3)</f>
        <v>0.99524931562137331</v>
      </c>
      <c r="CO259" s="9">
        <f>IF(J259&gt;=800,0.68,IF(J259&gt;=700,0.75-(J259-700)*0.07/100,IF(J259&gt;=600,0.85-(J259-600)*0.1/100,IF(J259&gt;=500,1-(J259-500)*0.15/100,1.2-(J259-400)*0.2/100))))</f>
        <v>0.68</v>
      </c>
      <c r="CP259" s="9">
        <f>1.75*CN259*CO259*(M259/25)^0.5</f>
        <v>1.4680891910501142</v>
      </c>
      <c r="CQ259" s="9">
        <f>MIN((CJ259+CM259)*CP259,2.5*CP259,M259^0.5)</f>
        <v>1.8869823463269411</v>
      </c>
      <c r="CR259" s="40">
        <v>1</v>
      </c>
      <c r="CS259" s="9">
        <f>4*CQ259*P259+60*CQ259</f>
        <v>221.15433098951746</v>
      </c>
      <c r="CU259" s="4">
        <f>AJ259/BF259</f>
        <v>1.138404725831345</v>
      </c>
      <c r="CV259" s="4">
        <f>AJ259/BK259</f>
        <v>0.84984536998681193</v>
      </c>
      <c r="CW259" s="4">
        <f>AJ259/BN259</f>
        <v>0.85476926926907693</v>
      </c>
      <c r="CX259" s="4">
        <f>AJ259/CS259</f>
        <v>2.4011941361609206</v>
      </c>
      <c r="CY259" s="4">
        <f>AJ259/DZ259</f>
        <v>1.4899632682400843</v>
      </c>
      <c r="CZ259" s="4">
        <f>AJ259/EL259</f>
        <v>1.0759579072343315</v>
      </c>
      <c r="DA259" s="4">
        <f>AJ259/GI259</f>
        <v>1.0645811088058519</v>
      </c>
      <c r="DB259" s="4">
        <f>AN259</f>
        <v>0</v>
      </c>
      <c r="DC259" s="4">
        <f>CU259</f>
        <v>1.138404725831345</v>
      </c>
      <c r="DD259" s="4">
        <f>CV259</f>
        <v>0.84984536998681193</v>
      </c>
      <c r="DE259" s="4">
        <f>CX259</f>
        <v>2.4011941361609206</v>
      </c>
      <c r="DF259" s="4">
        <f>DA259</f>
        <v>1.0645811088058519</v>
      </c>
      <c r="DG259" s="4">
        <f>CY259</f>
        <v>1.4899632682400843</v>
      </c>
      <c r="DH259" s="4">
        <f>CZ259</f>
        <v>1.0759579072343315</v>
      </c>
      <c r="DQ259" s="4">
        <f>L259</f>
        <v>363.21999999999997</v>
      </c>
      <c r="DT259" s="4">
        <f>K259/4/(1-0.3*(M259/30)^0.5)/200000/N259</f>
        <v>2.7061692465979089E-5</v>
      </c>
      <c r="DU259" s="4">
        <f>EP259</f>
        <v>6.9216476088847125</v>
      </c>
      <c r="DV259" s="4">
        <f>EC259*AG259/257/M259/AD259</f>
        <v>6.9477396615010512E-2</v>
      </c>
      <c r="DW259" s="4">
        <f>DU259*DV259^0.4</f>
        <v>2.3820282053762187</v>
      </c>
      <c r="DX259" s="4">
        <f>MIN(DU259, DU259/1.4*(1-DV259^1.4)/(1-DV259))</f>
        <v>5.1861413805337531</v>
      </c>
      <c r="DY259" s="4">
        <f>MAX(DU259/2, (4-DT259*(8*AG259*(DW259-DX259)+6*K259*DX259))/(4+DT259*K259*DU259)*DU259)</f>
        <v>6.3704927665900826</v>
      </c>
      <c r="DZ259" s="38">
        <f>MIN(1/N259*(4*AG259*(DW259-DX259)+(3*DX259+DY259)*K259)+EC259 -FJ259,MAX(J259,AJ259))</f>
        <v>356.40776794844635</v>
      </c>
      <c r="EA259" s="4">
        <f>DZ259/FF259</f>
        <v>1.0000842992510337</v>
      </c>
      <c r="EB259" s="4">
        <f>AG259/N259</f>
        <v>3.2403703492039297</v>
      </c>
      <c r="EC259" s="4">
        <f>MIN(EB$10*BB259)</f>
        <v>79.169716915680439</v>
      </c>
      <c r="EG259" s="4">
        <f>IF(U259&gt;1*N259,0.85,1)</f>
        <v>0.85</v>
      </c>
      <c r="EH259" s="4">
        <f>MIN(1,MAX(0.7,(1-0.1*(BZ259-1*N259)/N259)))</f>
        <v>0.96166666666666667</v>
      </c>
      <c r="EI259" s="4">
        <f>MIN(1,MAX(0.7,1-0.3*(PI()*AM259^2/4*AQ259*2-0.25*PI()/4*N259^2)/(PI()/4*N259^2)))</f>
        <v>1</v>
      </c>
      <c r="EJ259" s="4">
        <f>IF(EH259*EI259&lt;0.7,0.7,EH259*EI259)</f>
        <v>0.96166666666666667</v>
      </c>
      <c r="EL259" s="4">
        <f>MIN(DU259/N259*3*K259+EM259-FJ259,MAX(J259,AJ259))</f>
        <v>493.54577831358176</v>
      </c>
      <c r="EM259" s="25">
        <f>13.3*Q259*K259^0.5*M259^0.5/X259/N259^2*(0.7+S259/5/K259)</f>
        <v>196.60709589242757</v>
      </c>
      <c r="EO259" s="4">
        <f>EG259*EJ259</f>
        <v>0.81741666666666668</v>
      </c>
      <c r="EP259" s="4">
        <f>IF(N259&lt;22.2,1.1*5*(M259/30)^0.5,IF(N259&gt;=31.8,0.9*5*(M259/30)^0.5,1*5*(M259/30)^0.5))/EG259/EJ259</f>
        <v>6.9216476088847125</v>
      </c>
      <c r="ES259" s="4">
        <f>ET259*N259</f>
        <v>82.305406869779816</v>
      </c>
      <c r="ET259" s="4">
        <f>AF259^0.5</f>
        <v>3.2403703492039302</v>
      </c>
      <c r="EU259" s="4">
        <f>MIN(EC259)/(4700*M259^0.5)/AE259*ES259</f>
        <v>2.3546285117954174E-2</v>
      </c>
      <c r="EX259" s="4">
        <f>EU259</f>
        <v>2.3546285117954174E-2</v>
      </c>
      <c r="EY259" s="4">
        <f>MIN(0.999, EX259/(0.3*(M259/30)^0.5))</f>
        <v>6.9361451788886558E-2</v>
      </c>
      <c r="EZ259" s="4">
        <f>EP259/1*EY259^0.4</f>
        <v>2.3804373441605402</v>
      </c>
      <c r="FA259" s="4">
        <f>EP259/1.4*(1-EY259^1.4)/(1-EY259)</f>
        <v>5.1857919273268012</v>
      </c>
      <c r="FB259" s="4">
        <f>MAX(0,DQ259*FB$9-ES259)</f>
        <v>190.10959313022016</v>
      </c>
      <c r="FC259" s="4">
        <f>MAX(0,DQ259-ES259-FB259)</f>
        <v>90.805000000000007</v>
      </c>
      <c r="FD259" s="4">
        <f>FC259/(1-0.3*(M259/30)^0.5)/200000/N259</f>
        <v>2.7061692465979093E-5</v>
      </c>
      <c r="FE259" s="4">
        <f>MAX(0.5*EP259, (1-2*FD259*(ES259*EZ259+FB259*FA259))/(1/EP259+FD259*FC259))</f>
        <v>6.3705654696696836</v>
      </c>
      <c r="FF259" s="4">
        <f>MIN(4/N259*(1*EZ259*ES259+FA259*FB259+FC259*FE259)+EC259,MAX(J259,AJ259))</f>
        <v>356.37772557309546</v>
      </c>
      <c r="FO259" s="23">
        <f>IF(CU259&lt;0.6,0.6,IF(CU259&lt;0.8,0.8,IF(CU259&lt;1,1,IF(CU259&lt;1.2,1.2,IF(CU259&lt;1.4,1.4,IF(CU259&lt;1.6,1.6,IF(CU259&lt;1.8,1.8,IF(CU259&lt;2,2,2.2))))))))</f>
        <v>1.2</v>
      </c>
      <c r="FP259" s="23">
        <f>IF(CV259&lt;0.6,0.6,IF(CV259&lt;0.8,0.8,IF(CV259&lt;1,1,IF(CV259&lt;1.2,1.2,IF(CV259&lt;1.4,1.4,IF(CV259&lt;1.6,1.6,IF(CV259&lt;1.8,1.8,IF(CV259&lt;2,2,2.2))))))))</f>
        <v>1</v>
      </c>
      <c r="FQ259" s="23">
        <f>IF(DA259&lt;0.6,0.6,IF(DA259&lt;0.8,0.8,IF(DA259&lt;1,1,IF(DA259&lt;1.2,1.2,IF(DA259&lt;1.4,1.4,IF(DA259&lt;1.6,1.6,IF(DA259&lt;1.8,1.8,IF(DA259&lt;2,2,2.2))))))))</f>
        <v>1.2</v>
      </c>
      <c r="FR259" s="23">
        <f>IF(CX259&lt;0.6,0.6,IF(CX259&lt;0.8,0.8,IF(CX259&lt;1,1,IF(CX259&lt;1.2,1.2,IF(CX259&lt;1.4,1.4,IF(CX259&lt;1.6,1.6,IF(CX259&lt;1.8,1.8,IF(CX259&lt;2,2,2.2))))))))</f>
        <v>2.2000000000000002</v>
      </c>
      <c r="FS259" s="23">
        <f>IF(CY259&lt;0.6,0.6,IF(CY259&lt;0.8,0.8,IF(CY259&lt;1,1,IF(CY259&lt;1.2,1.2,IF(CY259&lt;1.4,1.4,IF(CY259&lt;1.6,1.6,IF(CY259&lt;1.8,1.8,IF(CY259&lt;2,2,2.2))))))))</f>
        <v>1.6</v>
      </c>
      <c r="FT259" s="23">
        <f>IF(CZ259&lt;0.6,0.6,IF(CZ259&lt;0.8,0.8,IF(CZ259&lt;1,1,IF(CZ259&lt;1.2,1.2,IF(CZ259&lt;1.4,1.4,IF(CZ259&lt;1.6,1.6,IF(CZ259&lt;1.8,1.8,IF(CZ259&lt;2,2,2.2))))))))</f>
        <v>1.2</v>
      </c>
      <c r="FU259" s="23">
        <f>IF(FS259&lt;1,1,0)</f>
        <v>0</v>
      </c>
      <c r="FV259" s="23"/>
      <c r="GF259" s="4">
        <f>IF(S259&gt;=2.5*25.4,1,1.25)</f>
        <v>1</v>
      </c>
      <c r="GG259" s="4">
        <f>IF(AO259&gt;1, 0.05*(18-MIN(8,(W259+N259)/N259))*(1-48000/MAX(60000,(J259*145))*(N259/25.4)^0.75*GH259), 1/12*(14-MIN(8,(W259+N259)/N259)))</f>
        <v>0.71166666666666667</v>
      </c>
      <c r="GH259" s="4">
        <f>MIN(0.3, AM259^2*PI()/4*2*AP259/(N259^2*PI()/4*X259))</f>
        <v>0</v>
      </c>
      <c r="GI259" s="4">
        <f>(K259/25.4)/(N259/25.4)^1.5/0.0024*(M259*145)^0.25/GF259/GG259/145</f>
        <v>498.82012593130247</v>
      </c>
    </row>
    <row r="260" spans="1:191" ht="12" customHeight="1" x14ac:dyDescent="0.3">
      <c r="A260" s="25">
        <v>288</v>
      </c>
      <c r="B260" s="4" t="s">
        <v>605</v>
      </c>
      <c r="C260" s="4">
        <v>2016</v>
      </c>
      <c r="D260" s="4" t="s">
        <v>309</v>
      </c>
      <c r="E260" s="24" t="s">
        <v>667</v>
      </c>
      <c r="F260" s="24"/>
      <c r="G260" s="24">
        <v>25</v>
      </c>
      <c r="H260" s="48" t="s">
        <v>447</v>
      </c>
      <c r="I260" s="5">
        <f>K260/N260</f>
        <v>14.27</v>
      </c>
      <c r="J260" s="78">
        <f>115.9/0.145</f>
        <v>799.31034482758628</v>
      </c>
      <c r="K260" s="38">
        <f>14.27*25.4</f>
        <v>362.45799999999997</v>
      </c>
      <c r="L260" s="4">
        <f>K260</f>
        <v>362.45799999999997</v>
      </c>
      <c r="M260" s="38">
        <f>5420/145</f>
        <v>37.379310344827587</v>
      </c>
      <c r="N260" s="38">
        <f>1*25.4</f>
        <v>25.4</v>
      </c>
      <c r="O260" s="7">
        <f>K260/N260</f>
        <v>14.27</v>
      </c>
      <c r="P260" s="7">
        <f>L260/N260</f>
        <v>14.27</v>
      </c>
      <c r="Q260" s="38">
        <f>17.3*25.4</f>
        <v>439.42</v>
      </c>
      <c r="R260" s="32">
        <f>S260/N260</f>
        <v>2.5</v>
      </c>
      <c r="S260" s="38">
        <f>2.5*25.4</f>
        <v>63.5</v>
      </c>
      <c r="T260" s="32">
        <f>U260/N260</f>
        <v>3.3</v>
      </c>
      <c r="U260" s="39">
        <f>3.3*25.4</f>
        <v>83.82</v>
      </c>
      <c r="V260" s="32">
        <f>W260/N260</f>
        <v>4.6500000000000004</v>
      </c>
      <c r="W260" s="7">
        <f>(Q260-X260*N260-2*S260)/(X260-1)</f>
        <v>118.11000000000001</v>
      </c>
      <c r="X260" s="38">
        <v>3</v>
      </c>
      <c r="Y260" s="7">
        <f>AN260</f>
        <v>10</v>
      </c>
      <c r="Z260" s="32">
        <f>AA260/N260</f>
        <v>10.25</v>
      </c>
      <c r="AA260" s="4">
        <f>10.25*25.4</f>
        <v>260.34999999999997</v>
      </c>
      <c r="AB260" s="7">
        <f>MIN(S260/N260+0.5, W260/2/N260+0.5)</f>
        <v>2.8250000000000002</v>
      </c>
      <c r="AC260" s="7">
        <f>S260/N260+0.5</f>
        <v>3</v>
      </c>
      <c r="AD260" s="38">
        <v>9.1</v>
      </c>
      <c r="AE260" s="4">
        <f>AD260</f>
        <v>9.1</v>
      </c>
      <c r="AF260" s="4">
        <f>AE260+1</f>
        <v>10.1</v>
      </c>
      <c r="AG260" s="7">
        <f>N260*AF260^0.5</f>
        <v>80.72246279691916</v>
      </c>
      <c r="AJ260" s="38">
        <f>AK260/0.145</f>
        <v>892.41379310344837</v>
      </c>
      <c r="AK260" s="4">
        <v>129.4</v>
      </c>
      <c r="AL260" s="4">
        <f>CY260</f>
        <v>2.0084145966035742</v>
      </c>
      <c r="AM260" s="38">
        <f>0.375*25.4</f>
        <v>9.5249999999999986</v>
      </c>
      <c r="AN260" s="38">
        <v>10</v>
      </c>
      <c r="AO260" s="39">
        <f>3*25.4</f>
        <v>76.199999999999989</v>
      </c>
      <c r="AP260" s="39">
        <v>3</v>
      </c>
      <c r="AQ260" s="39">
        <v>2</v>
      </c>
      <c r="AR260" s="7"/>
      <c r="AS260" s="4">
        <f>K260</f>
        <v>362.45799999999997</v>
      </c>
      <c r="AT260" s="4">
        <f>IF(K260*3&gt;W260+N260, Q260, (S260+N260/2)*2+1.5*K260*(2*X260-2))*(3*K260)/(9*K260^2)</f>
        <v>0.40411118897453868</v>
      </c>
      <c r="AU260" s="4">
        <f>MIN(10*M260^0.5*K260^1.5,100*3.9*M260^0.5*K260^(5/3))/(PI()/4*N260^2)/X260</f>
        <v>277.53873688530547</v>
      </c>
      <c r="AV260" s="4">
        <f>MIN(0.7+0.3*(MIN(S260,AA260)+0.5*N260)/1.5/K260,1)</f>
        <v>0.74204625087596354</v>
      </c>
      <c r="AW260" s="4">
        <v>1.25</v>
      </c>
      <c r="AX260" s="4">
        <f>AX259</f>
        <v>1</v>
      </c>
      <c r="AY260" s="38">
        <f>AT260*AV260*AW260*AX260*AU260</f>
        <v>104.03164622137444</v>
      </c>
      <c r="AZ260" s="38">
        <f>AY260</f>
        <v>104.03164622137444</v>
      </c>
      <c r="BA260" s="38">
        <f>IF(M260&lt;50, 0.3*M260^(2/3), 2.12*LN(1+0.1*(M260+8)))</f>
        <v>3.3538382302464851</v>
      </c>
      <c r="BB260" s="38">
        <f>AX260* (M260^0.5/AS260^0.5)/(PI()/4*N260^2)/X260/0.72 *(0.7+(MIN(S260,AA260)+0.5*N260)/5/K260) *(3*Q260*K260)</f>
        <v>104.0316462213743</v>
      </c>
      <c r="BC260" s="38">
        <f>AY260/BB260</f>
        <v>1.0000000000000013</v>
      </c>
      <c r="BD260" s="38">
        <f>BH260/BB260</f>
        <v>6.2757418862567738</v>
      </c>
      <c r="BE260" s="4">
        <f>IF(BD260&lt;1,1,0)</f>
        <v>0</v>
      </c>
      <c r="BF260" s="4">
        <f>L260/N260*M260^0.5/0.19</f>
        <v>459.18322541428131</v>
      </c>
      <c r="BG260" s="4">
        <f>MIN(0.6+0.4*(AC260/AB260),2)</f>
        <v>1.0247787610619468</v>
      </c>
      <c r="BH260" s="38">
        <f>2*M260*AB260*AD260^0.5*BG260*0.7/0.7</f>
        <v>652.87575968772489</v>
      </c>
      <c r="BI260" s="4">
        <f>MAX(1-0.7*AE260/5,0.3)</f>
        <v>0.3</v>
      </c>
      <c r="BJ260" s="4">
        <f>BI260*J260*L260/(J260*N260/2.75/M260^0.5)</f>
        <v>71.976970583688583</v>
      </c>
      <c r="BK260" s="4">
        <f>BH260+BJ260</f>
        <v>724.85273027141352</v>
      </c>
      <c r="BM260" s="4">
        <f>MIN(1.5, 0.75+0.25*MIN(3,MAX(1,S260/N260))+0.4*MIN(1,(40*2*PI()*AM260^2/4/AO260/X260)/N260))</f>
        <v>1.5</v>
      </c>
      <c r="BN260" s="4">
        <f>(3*P260+30)*BM260*M260^0.5</f>
        <v>667.72545431590322</v>
      </c>
      <c r="BP260" s="4">
        <f>3.4/PI()^0.5*M260*AB260*AE260^0.5*BG260</f>
        <v>626.18769504329236</v>
      </c>
      <c r="BQ260" s="4">
        <f>8/3*AH260*AI260^2/(AG260-N260-22)/N260*(AG260^2-N260^2)/(AG260^2-(N260+22)^2)</f>
        <v>0</v>
      </c>
      <c r="BR260" s="4">
        <f>BQ260/BP260</f>
        <v>0</v>
      </c>
      <c r="BZ260" s="4">
        <f>IF(W260=0,S260,MIN(W260/2,S260))</f>
        <v>59.055000000000007</v>
      </c>
      <c r="CD260" s="9"/>
      <c r="CF260" s="9"/>
      <c r="CG260" s="9"/>
      <c r="CH260" s="9">
        <f>IF(W260=0,MIN(S260,U260),MIN(W260/2,S260,U260))</f>
        <v>59.055000000000007</v>
      </c>
      <c r="CI260" s="9">
        <f>MAX(W260/2,S260)</f>
        <v>63.5</v>
      </c>
      <c r="CJ260" s="9">
        <f>(CH260/N260)^0.5*(CI260/CH260)^0.15</f>
        <v>1.5414840534203929</v>
      </c>
      <c r="CK260" s="70">
        <f>IF(AO260&gt;1,20,0)</f>
        <v>20</v>
      </c>
      <c r="CL260" s="9">
        <f>MIN(PI()*AM260^2/4*AN260*2/X260/N260/MAX(0.01,AO260),0.05)</f>
        <v>0.05</v>
      </c>
      <c r="CM260" s="9">
        <f>MAX(0,CK260*(CL260-0.5/50))</f>
        <v>0.8</v>
      </c>
      <c r="CN260" s="9">
        <f>MIN(1,(25/N260)^0.3)</f>
        <v>0.99524931562137331</v>
      </c>
      <c r="CO260" s="9">
        <f>IF(J260&gt;=800,0.68,IF(J260&gt;=700,0.75-(J260-700)*0.07/100,IF(J260&gt;=600,0.85-(J260-600)*0.1/100,IF(J260&gt;=500,1-(J260-500)*0.15/100,1.2-(J260-400)*0.2/100))))</f>
        <v>0.68048275862068963</v>
      </c>
      <c r="CP260" s="9">
        <f>1.75*CN260*CO260*(M260/25)^0.5</f>
        <v>1.4492145981125171</v>
      </c>
      <c r="CQ260" s="9">
        <f>MIN((CJ260+CM260)*CP260,2.5*CP260,M260^0.5)</f>
        <v>3.3933128714645022</v>
      </c>
      <c r="CR260" s="40">
        <v>1</v>
      </c>
      <c r="CS260" s="9">
        <f>4*CQ260*P260+60*CQ260</f>
        <v>397.28907099106391</v>
      </c>
      <c r="CU260" s="47">
        <f>AJ260/BF260</f>
        <v>1.94348082358257</v>
      </c>
      <c r="CV260" s="47">
        <f>AJ260/BK260</f>
        <v>1.2311656641884943</v>
      </c>
      <c r="CW260" s="47">
        <f>AJ260/BN260</f>
        <v>1.3364980881517277</v>
      </c>
      <c r="CX260" s="47">
        <f>AJ260/CS260</f>
        <v>2.2462580983596228</v>
      </c>
      <c r="CY260" s="47">
        <f>AJ260/DZ260</f>
        <v>2.0084145966035742</v>
      </c>
      <c r="CZ260" s="47">
        <f>AJ260/EL260</f>
        <v>1.4489801776685771</v>
      </c>
      <c r="DA260" s="47">
        <f>AJ260/GI260</f>
        <v>1.3838059891279431</v>
      </c>
      <c r="DB260" s="4">
        <f>AN260</f>
        <v>10</v>
      </c>
      <c r="DI260" s="4">
        <f>CU260</f>
        <v>1.94348082358257</v>
      </c>
      <c r="DJ260" s="4">
        <f>CV260</f>
        <v>1.2311656641884943</v>
      </c>
      <c r="DK260" s="4">
        <f>CX260</f>
        <v>2.2462580983596228</v>
      </c>
      <c r="DL260" s="4">
        <f>DA260</f>
        <v>1.3838059891279431</v>
      </c>
      <c r="DM260" s="4">
        <f>CY260</f>
        <v>2.0084145966035742</v>
      </c>
      <c r="DN260" s="4">
        <f>CZ260</f>
        <v>1.4489801776685771</v>
      </c>
      <c r="DQ260" s="4">
        <f>L260</f>
        <v>362.45799999999997</v>
      </c>
      <c r="DT260" s="4">
        <f>K260/4/(1-0.3*(M260/30)^0.5)/200000/N260</f>
        <v>2.6818066492234688E-5</v>
      </c>
      <c r="DU260" s="4">
        <f>EP260</f>
        <v>8.3519635514625126</v>
      </c>
      <c r="DV260" s="4">
        <f>EC260*AG260/257/M260/AD260</f>
        <v>9.606254194519992E-2</v>
      </c>
      <c r="DW260" s="4">
        <f>DU260*DV260^0.4</f>
        <v>3.2719768340792936</v>
      </c>
      <c r="DX260" s="4">
        <f>MIN(DU260, DU260/1.4*(1-DV260^1.4)/(1-DV260))</f>
        <v>6.3512999773326726</v>
      </c>
      <c r="DY260" s="4">
        <f>MAX(DU260/2, (4-DT260*(8*AG260*(DW260-DX260)+6*K260*DX260))/(4+DT260*K260*DU260)*DU260)</f>
        <v>7.5369030362834684</v>
      </c>
      <c r="DZ260" s="38">
        <f>MIN(1/N260*(4*AG260*(DW260-DX260)+(3*DX260+DY260)*K260)+EC260 -FJ260,MAX(J260,AJ260))</f>
        <v>444.33743641009551</v>
      </c>
      <c r="EA260" s="4">
        <f>DZ260/FF260</f>
        <v>1.0000955656256325</v>
      </c>
      <c r="EB260" s="4">
        <f>AG260/N260</f>
        <v>3.1780497164141401</v>
      </c>
      <c r="EC260" s="4">
        <f>MIN(EB$10*BB260)</f>
        <v>104.0316462213743</v>
      </c>
      <c r="EG260" s="4">
        <f>IF(U260&gt;1*N260,0.85,1)</f>
        <v>0.85</v>
      </c>
      <c r="EH260" s="4">
        <f>MIN(1,MAX(0.7,(1-0.1*(BZ260-1*N260)/N260)))</f>
        <v>0.86749999999999994</v>
      </c>
      <c r="EI260" s="4">
        <f>MIN(1,MAX(0.7,1-0.3*(PI()*AM260^2/4*AQ260*2-0.25*PI()/4*N260^2)/(PI()/4*N260^2)))</f>
        <v>0.90625</v>
      </c>
      <c r="EJ260" s="4">
        <f>IF(EH260*EI260&lt;0.7,0.7,EH260*EI260)</f>
        <v>0.78617187499999996</v>
      </c>
      <c r="EL260" s="4">
        <f>MIN(DU260/N260*3*K260+EM260-FJ260,MAX(J260,AJ260))</f>
        <v>615.89096031620716</v>
      </c>
      <c r="EM260" s="25">
        <f>13.3*Q260*K260^0.5*M260^0.5/X260/N260^2*(0.7+S260/5/K260)</f>
        <v>258.34340067809694</v>
      </c>
      <c r="EO260" s="4">
        <f>EG260*EJ260</f>
        <v>0.66824609374999999</v>
      </c>
      <c r="EP260" s="4">
        <f>IF(N260&lt;22.2,1.1*5*(M260/30)^0.5,IF(N260&gt;=31.8,0.9*5*(M260/30)^0.5,1*5*(M260/30)^0.5))/EG260/EJ260</f>
        <v>8.3519635514625126</v>
      </c>
      <c r="ES260" s="4">
        <f>ET260*N260</f>
        <v>80.72246279691916</v>
      </c>
      <c r="ET260" s="4">
        <f>AF260^0.5</f>
        <v>3.1780497164141406</v>
      </c>
      <c r="EU260" s="4">
        <f>MIN(EC260)/(4700*M260^0.5)/AE260*ES260</f>
        <v>3.2114782275087836E-2</v>
      </c>
      <c r="EX260" s="4">
        <f>EU260</f>
        <v>3.2114782275087836E-2</v>
      </c>
      <c r="EY260" s="4">
        <f>MIN(0.999, EX260/(0.3*(M260/30)^0.5))</f>
        <v>9.5902231466317406E-2</v>
      </c>
      <c r="EZ260" s="4">
        <f>EP260/1*EY260^0.4</f>
        <v>3.2697916118253394</v>
      </c>
      <c r="FA260" s="4">
        <f>EP260/1.4*(1-EY260^1.4)/(1-EY260)</f>
        <v>6.3507537721404086</v>
      </c>
      <c r="FB260" s="4">
        <f>MAX(0,DQ260*FB$9-ES260)</f>
        <v>191.12103720308079</v>
      </c>
      <c r="FC260" s="4">
        <f>MAX(0,DQ260-ES260-FB260)</f>
        <v>90.614500000000021</v>
      </c>
      <c r="FD260" s="4">
        <f>FC260/(1-0.3*(M260/30)^0.5)/200000/N260</f>
        <v>2.6818066492234702E-5</v>
      </c>
      <c r="FE260" s="4">
        <f>MAX(0.5*EP260, (1-2*FD260*(ES260*EZ260+FB260*FA260))/(1/EP260+FD260*FC260))</f>
        <v>7.5370263178295831</v>
      </c>
      <c r="FF260" s="4">
        <f>MIN(4/N260*(1*EZ260*ES260+FA260*FB260+FC260*FE260)+EC260,MAX(J260,AJ260))</f>
        <v>444.29497708264523</v>
      </c>
      <c r="FI260" s="4">
        <f>5.25*25.4</f>
        <v>133.35</v>
      </c>
      <c r="FO260" s="23">
        <f>IF(CU260&lt;0.6,0.6,IF(CU260&lt;0.8,0.8,IF(CU260&lt;1,1,IF(CU260&lt;1.2,1.2,IF(CU260&lt;1.4,1.4,IF(CU260&lt;1.6,1.6,IF(CU260&lt;1.8,1.8,IF(CU260&lt;2,2,2.2))))))))</f>
        <v>2</v>
      </c>
      <c r="FP260" s="23">
        <f>IF(CV260&lt;0.6,0.6,IF(CV260&lt;0.8,0.8,IF(CV260&lt;1,1,IF(CV260&lt;1.2,1.2,IF(CV260&lt;1.4,1.4,IF(CV260&lt;1.6,1.6,IF(CV260&lt;1.8,1.8,IF(CV260&lt;2,2,2.2))))))))</f>
        <v>1.4</v>
      </c>
      <c r="FQ260" s="23">
        <f>IF(DA260&lt;0.6,0.6,IF(DA260&lt;0.8,0.8,IF(DA260&lt;1,1,IF(DA260&lt;1.2,1.2,IF(DA260&lt;1.4,1.4,IF(DA260&lt;1.6,1.6,IF(DA260&lt;1.8,1.8,IF(DA260&lt;2,2,2.2))))))))</f>
        <v>1.4</v>
      </c>
      <c r="FR260" s="23">
        <f>IF(CX260&lt;0.6,0.6,IF(CX260&lt;0.8,0.8,IF(CX260&lt;1,1,IF(CX260&lt;1.2,1.2,IF(CX260&lt;1.4,1.4,IF(CX260&lt;1.6,1.6,IF(CX260&lt;1.8,1.8,IF(CX260&lt;2,2,2.2))))))))</f>
        <v>2.2000000000000002</v>
      </c>
      <c r="FS260" s="23">
        <f>IF(CY260&lt;0.6,0.6,IF(CY260&lt;0.8,0.8,IF(CY260&lt;1,1,IF(CY260&lt;1.2,1.2,IF(CY260&lt;1.4,1.4,IF(CY260&lt;1.6,1.6,IF(CY260&lt;1.8,1.8,IF(CY260&lt;2,2,2.2))))))))</f>
        <v>2.2000000000000002</v>
      </c>
      <c r="FT260" s="23">
        <f>IF(CZ260&lt;0.6,0.6,IF(CZ260&lt;0.8,0.8,IF(CZ260&lt;1,1,IF(CZ260&lt;1.2,1.2,IF(CZ260&lt;1.4,1.4,IF(CZ260&lt;1.6,1.6,IF(CZ260&lt;1.8,1.8,IF(CZ260&lt;2,2,2.2))))))))</f>
        <v>1.6</v>
      </c>
      <c r="FU260" s="23">
        <f>IF(FS260&lt;1,1,0)</f>
        <v>0</v>
      </c>
      <c r="FV260" s="23"/>
      <c r="GF260" s="4">
        <f>IF(S260&gt;=2.5*25.4,1,1.25)</f>
        <v>1</v>
      </c>
      <c r="GG260" s="4">
        <f>IF(AO260&gt;1, 0.05*(18-MIN(8,(W260+N260)/N260))*(1-48000/MAX(60000,(J260*145))*(N260/25.4)^0.75*GH260), 1/12*(14-MIN(8,(W260+N260)/N260)))</f>
        <v>0.54557377049180322</v>
      </c>
      <c r="GH260" s="4">
        <f>MIN(0.3, AM260^2*PI()/4*2*AP260/(N260^2*PI()/4*X260))</f>
        <v>0.28124999999999994</v>
      </c>
      <c r="GI260" s="4">
        <f>(K260/25.4)/(N260/25.4)^1.5/0.0024*(M260*145)^0.25/GF260/GG260/145</f>
        <v>644.89805660245497</v>
      </c>
    </row>
    <row r="261" spans="1:191" ht="12" customHeight="1" x14ac:dyDescent="0.3">
      <c r="A261" s="25">
        <v>285</v>
      </c>
      <c r="B261" s="4" t="s">
        <v>605</v>
      </c>
      <c r="C261" s="4">
        <v>2016</v>
      </c>
      <c r="D261" s="4" t="s">
        <v>309</v>
      </c>
      <c r="E261" s="24" t="s">
        <v>667</v>
      </c>
      <c r="F261" s="24"/>
      <c r="G261" s="24">
        <v>38</v>
      </c>
      <c r="H261" s="7" t="s">
        <v>444</v>
      </c>
      <c r="I261" s="5">
        <f>K261/N261</f>
        <v>14.25</v>
      </c>
      <c r="J261" s="91">
        <f>120/0.145</f>
        <v>827.58620689655174</v>
      </c>
      <c r="K261" s="38">
        <f>14.25*25.4</f>
        <v>361.95</v>
      </c>
      <c r="L261" s="4">
        <f>K261</f>
        <v>361.95</v>
      </c>
      <c r="M261" s="38">
        <f>4960/145</f>
        <v>34.206896551724135</v>
      </c>
      <c r="N261" s="96">
        <f>1*25.4</f>
        <v>25.4</v>
      </c>
      <c r="O261" s="7">
        <f>K261/N261</f>
        <v>14.25</v>
      </c>
      <c r="P261" s="7">
        <f>L261/N261</f>
        <v>14.25</v>
      </c>
      <c r="Q261" s="38">
        <f>16.9*25.4</f>
        <v>429.25999999999993</v>
      </c>
      <c r="R261" s="32">
        <f>S261/N261</f>
        <v>2.4500000000000002</v>
      </c>
      <c r="S261" s="38">
        <f>2.45*25.4</f>
        <v>62.230000000000004</v>
      </c>
      <c r="T261" s="32">
        <f>U261/N261</f>
        <v>3.4000000000000004</v>
      </c>
      <c r="U261" s="39">
        <f>3.4*25.4</f>
        <v>86.36</v>
      </c>
      <c r="V261" s="32">
        <f>W261/N261</f>
        <v>4.4999999999999991</v>
      </c>
      <c r="W261" s="7">
        <f>(Q261-X261*N261-2*S261)/(X261-1)</f>
        <v>114.29999999999997</v>
      </c>
      <c r="X261" s="38">
        <v>3</v>
      </c>
      <c r="Y261" s="7">
        <f>AN261</f>
        <v>0</v>
      </c>
      <c r="Z261" s="32">
        <f>AA261/N261</f>
        <v>10.25</v>
      </c>
      <c r="AA261" s="4">
        <f>10.25*25.4</f>
        <v>260.34999999999997</v>
      </c>
      <c r="AB261" s="7">
        <f>MIN(S261/N261+0.5, W261/2/N261+0.5)</f>
        <v>2.7499999999999996</v>
      </c>
      <c r="AC261" s="7">
        <f>S261/N261+0.5</f>
        <v>2.95</v>
      </c>
      <c r="AD261" s="38">
        <v>9.5</v>
      </c>
      <c r="AE261" s="4">
        <f>AD261</f>
        <v>9.5</v>
      </c>
      <c r="AF261" s="4">
        <f>AE261+1</f>
        <v>10.5</v>
      </c>
      <c r="AG261" s="7">
        <f>N261*AF261^0.5</f>
        <v>82.305406869779816</v>
      </c>
      <c r="AJ261" s="38">
        <f>AK261/0.145</f>
        <v>640.68965517241384</v>
      </c>
      <c r="AK261" s="4">
        <v>92.9</v>
      </c>
      <c r="AL261" s="4">
        <f>CY261</f>
        <v>1.6429720783454635</v>
      </c>
      <c r="AM261" s="38">
        <v>0</v>
      </c>
      <c r="AN261" s="38">
        <v>0</v>
      </c>
      <c r="AO261" s="39">
        <f>L261</f>
        <v>361.95</v>
      </c>
      <c r="AP261" s="39"/>
      <c r="AQ261" s="39"/>
      <c r="AR261" s="7"/>
      <c r="AS261" s="4">
        <f>K261</f>
        <v>361.95</v>
      </c>
      <c r="AT261" s="4">
        <f>IF(K261*3&gt;W261+N261, Q261, (S261+N261/2)*2+1.5*K261*(2*X261-2))*(3*K261)/(9*K261^2)</f>
        <v>0.39532163742690052</v>
      </c>
      <c r="AU261" s="4">
        <f>MIN(10*M261^0.5*K261^1.5,100*3.9*M261^0.5*K261^(5/3))/(PI()/4*N261^2)/X261</f>
        <v>264.94220061382879</v>
      </c>
      <c r="AV261" s="4">
        <f>MIN(0.7+0.3*(MIN(S261,AA261)+0.5*N261)/1.5/K261,1)</f>
        <v>0.74140350877192973</v>
      </c>
      <c r="AW261" s="4">
        <v>1.25</v>
      </c>
      <c r="AX261" s="4">
        <f>AX260</f>
        <v>1</v>
      </c>
      <c r="AY261" s="38">
        <f>AT261*AV261*AW261*AX261*AU261</f>
        <v>97.065830524875736</v>
      </c>
      <c r="AZ261" s="38">
        <f>AY261</f>
        <v>97.065830524875736</v>
      </c>
      <c r="BA261" s="38">
        <f>IF(M261&lt;50, 0.3*M261^(2/3), 2.12*LN(1+0.1*(M261+8)))</f>
        <v>3.1612853899839108</v>
      </c>
      <c r="BB261" s="38">
        <f>AX261* (M261^0.5/AS261^0.5)/(PI()/4*N261^2)/X261/0.72 *(0.7+(MIN(S261,AA261)+0.5*N261)/5/K261) *(3*Q261*K261)</f>
        <v>97.065830524875665</v>
      </c>
      <c r="BC261" s="38">
        <f>AY261/BB261</f>
        <v>1.0000000000000007</v>
      </c>
      <c r="BD261" s="38">
        <f>BH261/BB261</f>
        <v>6.1478821416407756</v>
      </c>
      <c r="BE261" s="4">
        <f>IF(BD261&lt;1,1,0)</f>
        <v>0</v>
      </c>
      <c r="BF261" s="4">
        <f>L261/N261*M261^0.5/0.19</f>
        <v>438.64996649201771</v>
      </c>
      <c r="BG261" s="4">
        <f>MIN(0.6+0.4*(AC261/AB261),2)</f>
        <v>1.0290909090909093</v>
      </c>
      <c r="BH261" s="38">
        <f>2*M261*AB261*AD261^0.5*BG261*0.7/0.7</f>
        <v>596.74928604741319</v>
      </c>
      <c r="BI261" s="4">
        <f>MAX(1-0.7*AE261/5,0.3)</f>
        <v>0.3</v>
      </c>
      <c r="BJ261" s="4">
        <f>BI261*J261*L261/(J261*N261/2.75/M261^0.5)</f>
        <v>68.758382247623786</v>
      </c>
      <c r="BK261" s="4">
        <f>BH261+BJ261</f>
        <v>665.50766829503698</v>
      </c>
      <c r="BM261" s="4">
        <f>MIN(1.5, 0.75+0.25*MIN(3,MAX(1,S261/N261))+0.4*MIN(1,(40*2*PI()*AM261^2/4/AO261/X261)/N261))</f>
        <v>1.3625</v>
      </c>
      <c r="BN261" s="4">
        <f>(3*P261+30)*BM261*M261^0.5</f>
        <v>579.7307619650129</v>
      </c>
      <c r="BP261" s="4">
        <f>3.4/PI()^0.5*M261*AB261*AE261^0.5*BG261</f>
        <v>572.35554300176852</v>
      </c>
      <c r="BQ261" s="4">
        <f>8/3*AH261*AI261^2/(AG261-N261-22)/N261*(AG261^2-N261^2)/(AG261^2-(N261+22)^2)</f>
        <v>0</v>
      </c>
      <c r="BR261" s="4">
        <f>BQ261/BP261</f>
        <v>0</v>
      </c>
      <c r="BZ261" s="4">
        <f>IF(W261=0,S261,MIN(W261/2,S261))</f>
        <v>57.149999999999984</v>
      </c>
      <c r="CD261" s="9"/>
      <c r="CF261" s="9"/>
      <c r="CG261" s="9"/>
      <c r="CH261" s="9">
        <f>IF(W261=0,MIN(S261,U261),MIN(W261/2,S261,U261))</f>
        <v>57.149999999999984</v>
      </c>
      <c r="CI261" s="9">
        <f>MAX(W261/2,S261)</f>
        <v>62.230000000000004</v>
      </c>
      <c r="CJ261" s="9">
        <f>(CH261/N261)^0.5*(CI261/CH261)^0.15</f>
        <v>1.5192834046120851</v>
      </c>
      <c r="CK261" s="70">
        <f>IF(AO261&gt;1,20,0)</f>
        <v>20</v>
      </c>
      <c r="CL261" s="9">
        <f>MIN(PI()*AM261^2/4*AN261*2/X261/N261/MAX(0.01,AO261),0.05)</f>
        <v>0</v>
      </c>
      <c r="CM261" s="9">
        <f>MAX(0,CK261*(CL261-0.5/50))</f>
        <v>0</v>
      </c>
      <c r="CN261" s="9">
        <f>MIN(1,(25/N261)^0.3)</f>
        <v>0.99524931562137331</v>
      </c>
      <c r="CO261" s="9">
        <f>IF(J261&gt;=800,0.68,IF(J261&gt;=700,0.75-(J261-700)*0.07/100,IF(J261&gt;=600,0.85-(J261-600)*0.1/100,IF(J261&gt;=500,1-(J261-500)*0.15/100,1.2-(J261-400)*0.2/100))))</f>
        <v>0.68</v>
      </c>
      <c r="CP261" s="9">
        <f>1.75*CN261*CO261*(M261/25)^0.5</f>
        <v>1.3853696905299668</v>
      </c>
      <c r="CQ261" s="9">
        <f>MIN((CJ261+CM261)*CP261,2.5*CP261,M261^0.5)</f>
        <v>2.1047691800747588</v>
      </c>
      <c r="CR261" s="40">
        <v>1</v>
      </c>
      <c r="CS261" s="9">
        <f>4*CQ261*P261+60*CQ261</f>
        <v>246.25799406874677</v>
      </c>
      <c r="CU261" s="4">
        <f>AJ261/BF261</f>
        <v>1.4605943328712707</v>
      </c>
      <c r="CV261" s="4">
        <f>AJ261/BK261</f>
        <v>0.96270814852336062</v>
      </c>
      <c r="CW261" s="4">
        <f>AJ261/BN261</f>
        <v>1.1051503511747058</v>
      </c>
      <c r="CX261" s="4">
        <f>AJ261/CS261</f>
        <v>2.6017009421166457</v>
      </c>
      <c r="CY261" s="4">
        <f>AJ261/DZ261</f>
        <v>1.6429720783454635</v>
      </c>
      <c r="CZ261" s="4">
        <f>AJ261/EL261</f>
        <v>1.1693024959062237</v>
      </c>
      <c r="DA261" s="4">
        <f>AJ261/GI261</f>
        <v>1.4565711461993656</v>
      </c>
      <c r="DB261" s="4">
        <f>AN261</f>
        <v>0</v>
      </c>
      <c r="DC261" s="4">
        <f>CU261</f>
        <v>1.4605943328712707</v>
      </c>
      <c r="DD261" s="4">
        <f>CV261</f>
        <v>0.96270814852336062</v>
      </c>
      <c r="DE261" s="4">
        <f>CX261</f>
        <v>2.6017009421166457</v>
      </c>
      <c r="DF261" s="4">
        <f>DA261</f>
        <v>1.4565711461993656</v>
      </c>
      <c r="DG261" s="4">
        <f>CY261</f>
        <v>1.6429720783454635</v>
      </c>
      <c r="DH261" s="4">
        <f>CZ261</f>
        <v>1.1693024959062237</v>
      </c>
      <c r="DQ261" s="4">
        <f>L261</f>
        <v>361.95</v>
      </c>
      <c r="DT261" s="4">
        <f>K261/4/(1-0.3*(M261/30)^0.5)/200000/N261</f>
        <v>2.6208135918027901E-5</v>
      </c>
      <c r="DU261" s="4">
        <f>EP261</f>
        <v>7.1785914172642658</v>
      </c>
      <c r="DV261" s="4">
        <f>EC261*AG261/257/M261/AD261</f>
        <v>9.5658669957896458E-2</v>
      </c>
      <c r="DW261" s="4">
        <f>DU261*DV261^0.4</f>
        <v>2.8075595108549916</v>
      </c>
      <c r="DX261" s="4">
        <f>MIN(DU261, DU261/1.4*(1-DV261^1.4)/(1-DV261))</f>
        <v>5.4578191560753506</v>
      </c>
      <c r="DY261" s="4">
        <f>MAX(DU261/2, (4-DT261*(8*AG261*(DW261-DX261)+6*K261*DX261))/(4+DT261*K261*DU261)*DU261)</f>
        <v>6.5909766603128457</v>
      </c>
      <c r="DZ261" s="38">
        <f>MIN(1/N261*(4*AG261*(DW261-DX261)+(3*DX261+DY261)*K261)+EC261 -FJ261,MAX(J261,AJ261))</f>
        <v>389.95772576829978</v>
      </c>
      <c r="EA261" s="4">
        <f>DZ261/FF261</f>
        <v>1.0000947927796386</v>
      </c>
      <c r="EB261" s="4">
        <f>AG261/N261</f>
        <v>3.2403703492039297</v>
      </c>
      <c r="EC261" s="4">
        <f>MIN(EB$10*BB261)</f>
        <v>97.065830524875665</v>
      </c>
      <c r="EG261" s="4">
        <f>IF(U261&gt;1*N261,0.85,1)</f>
        <v>0.85</v>
      </c>
      <c r="EH261" s="4">
        <f>MIN(1,MAX(0.7,(1-0.1*(BZ261-1*N261)/N261)))</f>
        <v>0.875</v>
      </c>
      <c r="EI261" s="4">
        <f>MIN(1,MAX(0.7,1-0.3*(PI()*AM261^2/4*AQ261*2-0.25*PI()/4*N261^2)/(PI()/4*N261^2)))</f>
        <v>1</v>
      </c>
      <c r="EJ261" s="4">
        <f>IF(EH261*EI261&lt;0.7,0.7,EH261*EI261)</f>
        <v>0.875</v>
      </c>
      <c r="EL261" s="4">
        <f>MIN(DU261/N261*3*K261+EM261-FJ261,MAX(J261,AJ261))</f>
        <v>547.92464517564508</v>
      </c>
      <c r="EM261" s="25">
        <f>13.3*Q261*K261^0.5*M261^0.5/X261/N261^2*(0.7+S261/5/K261)</f>
        <v>241.03986208759761</v>
      </c>
      <c r="EO261" s="4">
        <f>EG261*EJ261</f>
        <v>0.74375000000000002</v>
      </c>
      <c r="EP261" s="4">
        <f>IF(N261&lt;22.2,1.1*5*(M261/30)^0.5,IF(N261&gt;=31.8,0.9*5*(M261/30)^0.5,1*5*(M261/30)^0.5))/EG261/EJ261</f>
        <v>7.1785914172642658</v>
      </c>
      <c r="ES261" s="4">
        <f>ET261*N261</f>
        <v>82.305406869779816</v>
      </c>
      <c r="ET261" s="4">
        <f>AF261^0.5</f>
        <v>3.2403703492039302</v>
      </c>
      <c r="EU261" s="4">
        <f>MIN(EC261)/(4700*M261^0.5)/AE261*ES261</f>
        <v>3.0592603686602788E-2</v>
      </c>
      <c r="EX261" s="4">
        <f>EU261</f>
        <v>3.0592603686602788E-2</v>
      </c>
      <c r="EY261" s="4">
        <f>MIN(0.999, EX261/(0.3*(M261/30)^0.5))</f>
        <v>9.5499033466089261E-2</v>
      </c>
      <c r="EZ261" s="4">
        <f>EP261/1*EY261^0.4</f>
        <v>2.8056844543269257</v>
      </c>
      <c r="FA261" s="4">
        <f>EP261/1.4*(1-EY261^1.4)/(1-EY261)</f>
        <v>5.4573512430420568</v>
      </c>
      <c r="FB261" s="4">
        <f>MAX(0,DQ261*FB$9-ES261)</f>
        <v>189.15709313022018</v>
      </c>
      <c r="FC261" s="4">
        <f>MAX(0,DQ261-ES261-FB261)</f>
        <v>90.487500000000011</v>
      </c>
      <c r="FD261" s="4">
        <f>FC261/(1-0.3*(M261/30)^0.5)/200000/N261</f>
        <v>2.6208135918027901E-5</v>
      </c>
      <c r="FE261" s="4">
        <f>MAX(0.5*EP261, (1-2*FD261*(ES261*EZ261+FB261*FA261))/(1/EP261+FD261*FC261))</f>
        <v>6.5910665040557221</v>
      </c>
      <c r="FF261" s="4">
        <f>MIN(4/N261*(1*EZ261*ES261+FA261*FB261+FC261*FE261)+EC261,MAX(J261,AJ261))</f>
        <v>389.92076409523236</v>
      </c>
      <c r="FO261" s="23">
        <f>IF(CU261&lt;0.6,0.6,IF(CU261&lt;0.8,0.8,IF(CU261&lt;1,1,IF(CU261&lt;1.2,1.2,IF(CU261&lt;1.4,1.4,IF(CU261&lt;1.6,1.6,IF(CU261&lt;1.8,1.8,IF(CU261&lt;2,2,2.2))))))))</f>
        <v>1.6</v>
      </c>
      <c r="FP261" s="23">
        <f>IF(CV261&lt;0.6,0.6,IF(CV261&lt;0.8,0.8,IF(CV261&lt;1,1,IF(CV261&lt;1.2,1.2,IF(CV261&lt;1.4,1.4,IF(CV261&lt;1.6,1.6,IF(CV261&lt;1.8,1.8,IF(CV261&lt;2,2,2.2))))))))</f>
        <v>1</v>
      </c>
      <c r="FQ261" s="23">
        <f>IF(DA261&lt;0.6,0.6,IF(DA261&lt;0.8,0.8,IF(DA261&lt;1,1,IF(DA261&lt;1.2,1.2,IF(DA261&lt;1.4,1.4,IF(DA261&lt;1.6,1.6,IF(DA261&lt;1.8,1.8,IF(DA261&lt;2,2,2.2))))))))</f>
        <v>1.6</v>
      </c>
      <c r="FR261" s="23">
        <f>IF(CX261&lt;0.6,0.6,IF(CX261&lt;0.8,0.8,IF(CX261&lt;1,1,IF(CX261&lt;1.2,1.2,IF(CX261&lt;1.4,1.4,IF(CX261&lt;1.6,1.6,IF(CX261&lt;1.8,1.8,IF(CX261&lt;2,2,2.2))))))))</f>
        <v>2.2000000000000002</v>
      </c>
      <c r="FS261" s="23">
        <f>IF(CY261&lt;0.6,0.6,IF(CY261&lt;0.8,0.8,IF(CY261&lt;1,1,IF(CY261&lt;1.2,1.2,IF(CY261&lt;1.4,1.4,IF(CY261&lt;1.6,1.6,IF(CY261&lt;1.8,1.8,IF(CY261&lt;2,2,2.2))))))))</f>
        <v>1.8</v>
      </c>
      <c r="FT261" s="23">
        <f>IF(CZ261&lt;0.6,0.6,IF(CZ261&lt;0.8,0.8,IF(CZ261&lt;1,1,IF(CZ261&lt;1.2,1.2,IF(CZ261&lt;1.4,1.4,IF(CZ261&lt;1.6,1.6,IF(CZ261&lt;1.8,1.8,IF(CZ261&lt;2,2,2.2))))))))</f>
        <v>1.2</v>
      </c>
      <c r="FU261" s="23">
        <f>IF(FS261&lt;1,1,0)</f>
        <v>0</v>
      </c>
      <c r="FV261" s="23"/>
      <c r="GF261" s="4">
        <f>IF(S261&gt;=2.5*25.4,1,1.25)</f>
        <v>1.25</v>
      </c>
      <c r="GG261" s="4">
        <f>IF(AO261&gt;1, 0.05*(18-MIN(8,(W261+N261)/N261))*(1-48000/MAX(60000,(J261*145))*(N261/25.4)^0.75*GH261), 1/12*(14-MIN(8,(W261+N261)/N261)))</f>
        <v>0.625</v>
      </c>
      <c r="GH261" s="4">
        <f>MIN(0.3, AM261^2*PI()/4*2*AP261/(N261^2*PI()/4*X261))</f>
        <v>0</v>
      </c>
      <c r="GI261" s="4">
        <f>(K261/25.4)/(N261/25.4)^1.5/0.0024*(M261*145)^0.25/GF261/GG261/145</f>
        <v>439.86155900737623</v>
      </c>
    </row>
    <row r="262" spans="1:191" ht="12" customHeight="1" x14ac:dyDescent="0.3">
      <c r="A262" s="25">
        <v>270</v>
      </c>
      <c r="B262" s="4" t="s">
        <v>605</v>
      </c>
      <c r="C262" s="4">
        <v>2016</v>
      </c>
      <c r="D262" s="4" t="s">
        <v>309</v>
      </c>
      <c r="E262" s="24" t="s">
        <v>426</v>
      </c>
      <c r="F262" s="24"/>
      <c r="G262" s="24">
        <v>44</v>
      </c>
      <c r="H262" s="7" t="s">
        <v>428</v>
      </c>
      <c r="I262" s="5">
        <f>K262/N262</f>
        <v>14.25</v>
      </c>
      <c r="J262" s="78">
        <f>115.9/0.145</f>
        <v>799.31034482758628</v>
      </c>
      <c r="K262" s="38">
        <f>14.25*25.4</f>
        <v>361.95</v>
      </c>
      <c r="L262" s="4">
        <f>K262</f>
        <v>361.95</v>
      </c>
      <c r="M262" s="38">
        <f>5500/145</f>
        <v>37.931034482758619</v>
      </c>
      <c r="N262" s="38">
        <f>1*25.4</f>
        <v>25.4</v>
      </c>
      <c r="O262" s="7">
        <f>K262/N262</f>
        <v>14.25</v>
      </c>
      <c r="P262" s="7">
        <f>L262/N262</f>
        <v>14.25</v>
      </c>
      <c r="Q262" s="38">
        <f>16.3*25.4</f>
        <v>414.02</v>
      </c>
      <c r="R262" s="32">
        <f>S262/N262</f>
        <v>2.35</v>
      </c>
      <c r="S262" s="38">
        <f>2.35*25.4</f>
        <v>59.69</v>
      </c>
      <c r="T262" s="32">
        <f>U262/N262</f>
        <v>3.15</v>
      </c>
      <c r="U262" s="39">
        <f>3.15*25.4</f>
        <v>80.009999999999991</v>
      </c>
      <c r="V262" s="32">
        <f>W262/N262</f>
        <v>9.6</v>
      </c>
      <c r="W262" s="7">
        <f>(Q262-X262*N262-2*S262)/(X262-1)</f>
        <v>243.83999999999997</v>
      </c>
      <c r="X262" s="38">
        <v>2</v>
      </c>
      <c r="Y262" s="7">
        <f>AN262</f>
        <v>0</v>
      </c>
      <c r="Z262" s="32">
        <f>AA262/N262</f>
        <v>10.25</v>
      </c>
      <c r="AA262" s="4">
        <f>10.25*25.4</f>
        <v>260.34999999999997</v>
      </c>
      <c r="AB262" s="7">
        <f>MIN(S262/N262+0.5, W262/2/N262+0.5)</f>
        <v>2.85</v>
      </c>
      <c r="AC262" s="7">
        <f>S262/N262+0.5</f>
        <v>2.85</v>
      </c>
      <c r="AD262" s="38">
        <v>6.5</v>
      </c>
      <c r="AE262" s="4">
        <f>AD262</f>
        <v>6.5</v>
      </c>
      <c r="AF262" s="4">
        <f>AE262+1</f>
        <v>7.5</v>
      </c>
      <c r="AG262" s="7">
        <f>N262*AF262^0.5</f>
        <v>69.56076480315609</v>
      </c>
      <c r="AJ262" s="38">
        <f>AK262/0.145</f>
        <v>765.51724137931035</v>
      </c>
      <c r="AK262" s="4">
        <v>111</v>
      </c>
      <c r="AL262" s="4">
        <f>CY262</f>
        <v>1.6028554172537091</v>
      </c>
      <c r="AM262" s="38">
        <v>0</v>
      </c>
      <c r="AN262" s="38">
        <v>0</v>
      </c>
      <c r="AO262" s="39">
        <f>L262</f>
        <v>361.95</v>
      </c>
      <c r="AP262" s="39"/>
      <c r="AQ262" s="39"/>
      <c r="AR262" s="7"/>
      <c r="AS262" s="4">
        <f>K262</f>
        <v>361.95</v>
      </c>
      <c r="AT262" s="4">
        <f>IF(K262*3&gt;W262+N262, Q262, (S262+N262/2)*2+1.5*K262*(2*X262-2))*(3*K262)/(9*K262^2)</f>
        <v>0.38128654970760234</v>
      </c>
      <c r="AU262" s="4">
        <f>MIN(10*M262^0.5*K262^1.5,100*3.9*M262^0.5*K262^(5/3))/(PI()/4*N262^2)/X262</f>
        <v>418.48789934570812</v>
      </c>
      <c r="AV262" s="4">
        <f>MIN(0.7+0.3*(MIN(S262,AA262)+0.5*N262)/1.5/K262,1)</f>
        <v>0.74</v>
      </c>
      <c r="AW262" s="4">
        <v>1.25</v>
      </c>
      <c r="AX262" s="4">
        <f>AX261</f>
        <v>1</v>
      </c>
      <c r="AY262" s="38">
        <f>AT262*AV262*AW262*AX262*AU262</f>
        <v>147.59652169321436</v>
      </c>
      <c r="AZ262" s="38">
        <f>AY262</f>
        <v>147.59652169321436</v>
      </c>
      <c r="BA262" s="38">
        <f>IF(M262&lt;50, 0.3*M262^(2/3), 2.12*LN(1+0.1*(M262+8)))</f>
        <v>3.3867596705239982</v>
      </c>
      <c r="BB262" s="38">
        <f>AX262* (M262^0.5/AS262^0.5)/(PI()/4*N262^2)/X262/0.72 *(0.7+(MIN(S262,AA262)+0.5*N262)/5/K262) *(3*Q262*K262)</f>
        <v>147.59652169321427</v>
      </c>
      <c r="BC262" s="38">
        <f>AY262/BB262</f>
        <v>1.0000000000000007</v>
      </c>
      <c r="BD262" s="38">
        <f>BH262/BB262</f>
        <v>3.734651643017894</v>
      </c>
      <c r="BE262" s="4">
        <f>IF(BD262&lt;1,1,0)</f>
        <v>0</v>
      </c>
      <c r="BF262" s="4">
        <f>L262/N262*M262^0.5/0.19</f>
        <v>461.91132153857978</v>
      </c>
      <c r="BG262" s="4">
        <f>MIN(0.6+0.4*(AC262/AB262),2)</f>
        <v>1</v>
      </c>
      <c r="BH262" s="38">
        <f>2*M262*AB262*AD262^0.5*BG262*0.7/0.7</f>
        <v>551.22159224528889</v>
      </c>
      <c r="BI262" s="4">
        <f>MAX(1-0.7*AE262/5,0.3)</f>
        <v>0.3</v>
      </c>
      <c r="BJ262" s="4">
        <f>BI262*J262*L262/(J262*N262/2.75/M262^0.5)</f>
        <v>72.404599651172376</v>
      </c>
      <c r="BK262" s="4">
        <f>BH262+BJ262</f>
        <v>623.62619189646125</v>
      </c>
      <c r="BM262" s="4">
        <f>MIN(1.5, 0.75+0.25*MIN(3,MAX(1,S262/N262))+0.4*MIN(1,(40*2*PI()*AM262^2/4/AO262/X262)/N262))</f>
        <v>1.3374999999999999</v>
      </c>
      <c r="BN262" s="4">
        <f>(3*P262+30)*BM262*M262^0.5</f>
        <v>599.27220078111498</v>
      </c>
      <c r="BP262" s="4">
        <f>3.4/PI()^0.5*M262*AB262*AE262^0.5*BG262</f>
        <v>528.68891697138122</v>
      </c>
      <c r="BQ262" s="4">
        <f>8/3*AH262*AI262^2/(AG262-N262-22)/N262*(AG262^2-N262^2)/(AG262^2-(N262+22)^2)</f>
        <v>0</v>
      </c>
      <c r="BR262" s="4">
        <f>BQ262/BP262</f>
        <v>0</v>
      </c>
      <c r="BZ262" s="4">
        <f>IF(W262=0,S262,MIN(W262/2,S262))</f>
        <v>59.69</v>
      </c>
      <c r="CD262" s="9"/>
      <c r="CF262" s="9"/>
      <c r="CG262" s="9"/>
      <c r="CH262" s="9">
        <f>IF(W262=0,MIN(S262,U262),MIN(W262/2,S262,U262))</f>
        <v>59.69</v>
      </c>
      <c r="CI262" s="9">
        <f>MAX(W262/2,S262)</f>
        <v>121.91999999999999</v>
      </c>
      <c r="CJ262" s="9">
        <f>(CH262/N262)^0.5*(CI262/CH262)^0.15</f>
        <v>1.7063178633321976</v>
      </c>
      <c r="CK262" s="70">
        <f>IF(AO262&gt;1,20,0)</f>
        <v>20</v>
      </c>
      <c r="CL262" s="9">
        <f>MIN(PI()*AM262^2/4*AN262*2/X262/N262/MAX(0.01,AO262),0.05)</f>
        <v>0</v>
      </c>
      <c r="CM262" s="9">
        <f>MAX(0,CK262*(CL262-0.5/50))</f>
        <v>0</v>
      </c>
      <c r="CN262" s="9">
        <f>MIN(1,(25/N262)^0.3)</f>
        <v>0.99524931562137331</v>
      </c>
      <c r="CO262" s="9">
        <f>IF(J262&gt;=800,0.68,IF(J262&gt;=700,0.75-(J262-700)*0.07/100,IF(J262&gt;=600,0.85-(J262-600)*0.1/100,IF(J262&gt;=500,1-(J262-500)*0.15/100,1.2-(J262-400)*0.2/100))))</f>
        <v>0.68048275862068963</v>
      </c>
      <c r="CP262" s="9">
        <f>1.75*CN262*CO262*(M262/25)^0.5</f>
        <v>1.4598707313117956</v>
      </c>
      <c r="CQ262" s="9">
        <f>MIN((CJ262+CM262)*CP262,2.5*CP262,M262^0.5)</f>
        <v>2.4910035069931555</v>
      </c>
      <c r="CR262" s="40">
        <v>1</v>
      </c>
      <c r="CS262" s="9">
        <f>4*CQ262*P262+60*CQ262</f>
        <v>291.44741031819922</v>
      </c>
      <c r="CU262" s="4">
        <f>AJ262/BF262</f>
        <v>1.6572818324293288</v>
      </c>
      <c r="CV262" s="4">
        <f>AJ262/BK262</f>
        <v>1.2275258020375239</v>
      </c>
      <c r="CW262" s="4">
        <f>AJ262/BN262</f>
        <v>1.277411567533927</v>
      </c>
      <c r="CX262" s="4">
        <f>AJ262/CS262</f>
        <v>2.6266050555862779</v>
      </c>
      <c r="CY262" s="4">
        <f>AJ262/DZ262</f>
        <v>1.6028554172537091</v>
      </c>
      <c r="CZ262" s="4">
        <f>AJ262/EL262</f>
        <v>1.1039912468916053</v>
      </c>
      <c r="DA262" s="4">
        <f>AJ262/GI262</f>
        <v>1.3567777131762069</v>
      </c>
      <c r="DB262" s="4">
        <f>AN262</f>
        <v>0</v>
      </c>
      <c r="DC262" s="4">
        <f>CU262</f>
        <v>1.6572818324293288</v>
      </c>
      <c r="DD262" s="4">
        <f>CV262</f>
        <v>1.2275258020375239</v>
      </c>
      <c r="DE262" s="4">
        <f>CX262</f>
        <v>2.6266050555862779</v>
      </c>
      <c r="DF262" s="4">
        <f>DA262</f>
        <v>1.3567777131762069</v>
      </c>
      <c r="DG262" s="4">
        <f>CY262</f>
        <v>1.6028554172537091</v>
      </c>
      <c r="DH262" s="4">
        <f>CZ262</f>
        <v>1.1039912468916053</v>
      </c>
      <c r="DQ262" s="4">
        <f>L262</f>
        <v>361.95</v>
      </c>
      <c r="DT262" s="4">
        <f>K262/4/(1-0.3*(M262/30)^0.5)/200000/N262</f>
        <v>2.6879989637933361E-5</v>
      </c>
      <c r="DU262" s="4">
        <f>EP262</f>
        <v>7.6466583663516436</v>
      </c>
      <c r="DV262" s="4">
        <f>EC262*AG262/257/M262/AD262</f>
        <v>0.16203144459018939</v>
      </c>
      <c r="DW262" s="4">
        <f>DU262*DV262^0.4</f>
        <v>3.692422672685193</v>
      </c>
      <c r="DX262" s="4">
        <f>MIN(DU262, DU262/1.4*(1-DV262^1.4)/(1-DV262))</f>
        <v>6.0080414892791971</v>
      </c>
      <c r="DY262" s="4">
        <f>MAX(DU262/2, (4-DT262*(8*AG262*(DW262-DX262)+6*K262*DX262))/(4+DT262*K262*DU262)*DU262)</f>
        <v>6.9138230810044439</v>
      </c>
      <c r="DZ262" s="38">
        <f>MIN(1/N262*(4*AG262*(DW262-DX262)+(3*DX262+DY262)*K262)+EC262 -FJ262,MAX(J262,AJ262))</f>
        <v>477.59594105557426</v>
      </c>
      <c r="EA262" s="4">
        <f>DZ262/FF262</f>
        <v>1.0001024459007657</v>
      </c>
      <c r="EB262" s="4">
        <f>AG262/N262</f>
        <v>2.7386127875258306</v>
      </c>
      <c r="EC262" s="4">
        <f>MIN(EB$10*BB262)</f>
        <v>147.59652169321427</v>
      </c>
      <c r="EG262" s="4">
        <f>IF(U262&gt;1*N262,0.85,1)</f>
        <v>0.85</v>
      </c>
      <c r="EH262" s="4">
        <f>MIN(1,MAX(0.7,(1-0.1*(BZ262-1*N262)/N262)))</f>
        <v>0.86499999999999999</v>
      </c>
      <c r="EI262" s="4">
        <f>MIN(1,MAX(0.7,1-0.3*(PI()*AM262^2/4*AQ262*2-0.25*PI()/4*N262^2)/(PI()/4*N262^2)))</f>
        <v>1</v>
      </c>
      <c r="EJ262" s="4">
        <f>IF(EH262*EI262&lt;0.7,0.7,EH262*EI262)</f>
        <v>0.86499999999999999</v>
      </c>
      <c r="EL262" s="4">
        <f>MIN(DU262/N262*3*K262+EM262-FJ262,MAX(J262,AJ262))</f>
        <v>693.40879607034799</v>
      </c>
      <c r="EM262" s="25">
        <f>13.3*Q262*K262^0.5*M262^0.5/X262/N262^2*(0.7+S262/5/K262)</f>
        <v>366.51415090881522</v>
      </c>
      <c r="EO262" s="4">
        <f>EG262*EJ262</f>
        <v>0.73524999999999996</v>
      </c>
      <c r="EP262" s="4">
        <f>IF(N262&lt;22.2,1.1*5*(M262/30)^0.5,IF(N262&gt;=31.8,0.9*5*(M262/30)^0.5,1*5*(M262/30)^0.5))/EG262/EJ262</f>
        <v>7.6466583663516436</v>
      </c>
      <c r="ES262" s="4">
        <f>ET262*N262</f>
        <v>69.56076480315609</v>
      </c>
      <c r="ET262" s="4">
        <f>AF262^0.5</f>
        <v>2.7386127875258306</v>
      </c>
      <c r="EU262" s="4">
        <f>MIN(EC262)/(4700*M262^0.5)/AE262*ES262</f>
        <v>5.4567230599361992E-2</v>
      </c>
      <c r="EX262" s="4">
        <f>EU262</f>
        <v>5.4567230599361992E-2</v>
      </c>
      <c r="EY262" s="4">
        <f>MIN(0.999, EX262/(0.3*(M262/30)^0.5))</f>
        <v>0.16176104430772448</v>
      </c>
      <c r="EZ262" s="4">
        <f>EP262/1*EY262^0.4</f>
        <v>3.6899566514984543</v>
      </c>
      <c r="FA262" s="4">
        <f>EP262/1.4*(1-EY262^1.4)/(1-EY262)</f>
        <v>6.0072941160766495</v>
      </c>
      <c r="FB262" s="4">
        <f>MAX(0,DQ262*FB$9-ES262)</f>
        <v>201.9017351968439</v>
      </c>
      <c r="FC262" s="4">
        <f>MAX(0,DQ262-ES262-FB262)</f>
        <v>90.487500000000011</v>
      </c>
      <c r="FD262" s="4">
        <f>FC262/(1-0.3*(M262/30)^0.5)/200000/N262</f>
        <v>2.6879989637933364E-5</v>
      </c>
      <c r="FE262" s="4">
        <f>MAX(0.5*EP262, (1-2*FD262*(ES262*EZ262+FB262*FA262))/(1/EP262+FD262*FC262))</f>
        <v>6.9139532083971558</v>
      </c>
      <c r="FF262" s="4">
        <f>MIN(4/N262*(1*EZ262*ES262+FA262*FB262+FC262*FE262)+EC262,MAX(J262,AJ262))</f>
        <v>477.54701832112437</v>
      </c>
      <c r="FO262" s="23">
        <f>IF(CU262&lt;0.6,0.6,IF(CU262&lt;0.8,0.8,IF(CU262&lt;1,1,IF(CU262&lt;1.2,1.2,IF(CU262&lt;1.4,1.4,IF(CU262&lt;1.6,1.6,IF(CU262&lt;1.8,1.8,IF(CU262&lt;2,2,2.2))))))))</f>
        <v>1.8</v>
      </c>
      <c r="FP262" s="23">
        <f>IF(CV262&lt;0.6,0.6,IF(CV262&lt;0.8,0.8,IF(CV262&lt;1,1,IF(CV262&lt;1.2,1.2,IF(CV262&lt;1.4,1.4,IF(CV262&lt;1.6,1.6,IF(CV262&lt;1.8,1.8,IF(CV262&lt;2,2,2.2))))))))</f>
        <v>1.4</v>
      </c>
      <c r="FQ262" s="23">
        <f>IF(DA262&lt;0.6,0.6,IF(DA262&lt;0.8,0.8,IF(DA262&lt;1,1,IF(DA262&lt;1.2,1.2,IF(DA262&lt;1.4,1.4,IF(DA262&lt;1.6,1.6,IF(DA262&lt;1.8,1.8,IF(DA262&lt;2,2,2.2))))))))</f>
        <v>1.4</v>
      </c>
      <c r="FR262" s="23">
        <f>IF(CX262&lt;0.6,0.6,IF(CX262&lt;0.8,0.8,IF(CX262&lt;1,1,IF(CX262&lt;1.2,1.2,IF(CX262&lt;1.4,1.4,IF(CX262&lt;1.6,1.6,IF(CX262&lt;1.8,1.8,IF(CX262&lt;2,2,2.2))))))))</f>
        <v>2.2000000000000002</v>
      </c>
      <c r="FS262" s="23">
        <f>IF(CY262&lt;0.6,0.6,IF(CY262&lt;0.8,0.8,IF(CY262&lt;1,1,IF(CY262&lt;1.2,1.2,IF(CY262&lt;1.4,1.4,IF(CY262&lt;1.6,1.6,IF(CY262&lt;1.8,1.8,IF(CY262&lt;2,2,2.2))))))))</f>
        <v>1.8</v>
      </c>
      <c r="FT262" s="23">
        <f>IF(CZ262&lt;0.6,0.6,IF(CZ262&lt;0.8,0.8,IF(CZ262&lt;1,1,IF(CZ262&lt;1.2,1.2,IF(CZ262&lt;1.4,1.4,IF(CZ262&lt;1.6,1.6,IF(CZ262&lt;1.8,1.8,IF(CZ262&lt;2,2,2.2))))))))</f>
        <v>1.2</v>
      </c>
      <c r="FU262" s="23">
        <f>IF(FS262&lt;1,1,0)</f>
        <v>0</v>
      </c>
      <c r="FV262" s="23"/>
      <c r="GF262" s="4">
        <f>IF(S262&gt;=2.5*25.4,1,1.25)</f>
        <v>1.25</v>
      </c>
      <c r="GG262" s="4">
        <f>IF(AO262&gt;1, 0.05*(18-MIN(8,(W262+N262)/N262))*(1-48000/MAX(60000,(J262*145))*(N262/25.4)^0.75*GH262), 1/12*(14-MIN(8,(W262+N262)/N262)))</f>
        <v>0.5</v>
      </c>
      <c r="GH262" s="4">
        <f>MIN(0.3, AM262^2*PI()/4*2*AP262/(N262^2*PI()/4*X262))</f>
        <v>0</v>
      </c>
      <c r="GI262" s="4">
        <f>(K262/25.4)/(N262/25.4)^1.5/0.0024*(M262*145)^0.25/GF262/GG262/145</f>
        <v>564.21714032082673</v>
      </c>
    </row>
    <row r="263" spans="1:191" ht="12" customHeight="1" x14ac:dyDescent="0.3">
      <c r="A263" s="25">
        <v>272</v>
      </c>
      <c r="B263" s="4" t="s">
        <v>605</v>
      </c>
      <c r="C263" s="4">
        <v>2016</v>
      </c>
      <c r="D263" s="4" t="s">
        <v>309</v>
      </c>
      <c r="E263" s="24" t="s">
        <v>666</v>
      </c>
      <c r="F263" s="24"/>
      <c r="G263" s="24">
        <v>44</v>
      </c>
      <c r="H263" s="48" t="s">
        <v>430</v>
      </c>
      <c r="I263" s="5">
        <f>K263/N263</f>
        <v>14.13</v>
      </c>
      <c r="J263" s="78">
        <f>115.9/0.145</f>
        <v>799.31034482758628</v>
      </c>
      <c r="K263" s="38">
        <f>14.13*25.4</f>
        <v>358.90199999999999</v>
      </c>
      <c r="L263" s="4">
        <f>K263</f>
        <v>358.90199999999999</v>
      </c>
      <c r="M263" s="38">
        <f>5500/145</f>
        <v>37.931034482758619</v>
      </c>
      <c r="N263" s="38">
        <f>1*25.4</f>
        <v>25.4</v>
      </c>
      <c r="O263" s="7">
        <f>K263/N263</f>
        <v>14.13</v>
      </c>
      <c r="P263" s="7">
        <f>L263/N263</f>
        <v>14.13</v>
      </c>
      <c r="Q263" s="38">
        <f>17*25.4</f>
        <v>431.79999999999995</v>
      </c>
      <c r="R263" s="32">
        <f>S263/N263</f>
        <v>2.5</v>
      </c>
      <c r="S263" s="38">
        <f>2.5*25.4</f>
        <v>63.5</v>
      </c>
      <c r="T263" s="32">
        <f>U263/N263</f>
        <v>3.3500000000000005</v>
      </c>
      <c r="U263" s="39">
        <f>3.35*25.4</f>
        <v>85.09</v>
      </c>
      <c r="V263" s="32">
        <f>W263/N263</f>
        <v>9.9999999999999982</v>
      </c>
      <c r="W263" s="7">
        <f>(Q263-X263*N263-2*S263)/(X263-1)</f>
        <v>253.99999999999994</v>
      </c>
      <c r="X263" s="38">
        <v>2</v>
      </c>
      <c r="Y263" s="7">
        <f>AN263</f>
        <v>0</v>
      </c>
      <c r="Z263" s="32">
        <f>AA263/N263</f>
        <v>10.25</v>
      </c>
      <c r="AA263" s="4">
        <f>10.25*25.4</f>
        <v>260.34999999999997</v>
      </c>
      <c r="AB263" s="7">
        <f>MIN(S263/N263+0.5, W263/2/N263+0.5)</f>
        <v>3</v>
      </c>
      <c r="AC263" s="7">
        <f>S263/N263+0.5</f>
        <v>3</v>
      </c>
      <c r="AD263" s="38">
        <v>4.5</v>
      </c>
      <c r="AE263" s="4">
        <f>AD263</f>
        <v>4.5</v>
      </c>
      <c r="AF263" s="4">
        <f>AE263+1</f>
        <v>5.5</v>
      </c>
      <c r="AG263" s="7">
        <f>N263*AF263^0.5</f>
        <v>59.568280149757555</v>
      </c>
      <c r="AJ263" s="38">
        <f>AK263/0.145</f>
        <v>742.06896551724139</v>
      </c>
      <c r="AK263" s="4">
        <v>107.6</v>
      </c>
      <c r="AL263" s="4">
        <f>CY263</f>
        <v>1.4906266830836274</v>
      </c>
      <c r="AM263" s="38">
        <v>0</v>
      </c>
      <c r="AN263" s="38">
        <v>0</v>
      </c>
      <c r="AO263" s="39">
        <f>L263</f>
        <v>358.90199999999999</v>
      </c>
      <c r="AP263" s="39"/>
      <c r="AQ263" s="39"/>
      <c r="AR263" s="7"/>
      <c r="AS263" s="4">
        <f>K263</f>
        <v>358.90199999999999</v>
      </c>
      <c r="AT263" s="4">
        <f>IF(K263*3&gt;W263+N263, Q263, (S263+N263/2)*2+1.5*K263*(2*X263-2))*(3*K263)/(9*K263^2)</f>
        <v>0.40103798065581497</v>
      </c>
      <c r="AU263" s="4">
        <f>MIN(10*M263^0.5*K263^1.5,100*3.9*M263^0.5*K263^(5/3))/(PI()/4*N263^2)/X263</f>
        <v>413.21288083953738</v>
      </c>
      <c r="AV263" s="4">
        <f>MIN(0.7+0.3*(MIN(S263,AA263)+0.5*N263)/1.5/K263,1)</f>
        <v>0.74246284501061566</v>
      </c>
      <c r="AW263" s="4">
        <v>1.25</v>
      </c>
      <c r="AX263" s="4">
        <f>AX262</f>
        <v>1</v>
      </c>
      <c r="AY263" s="38">
        <f>AT263*AV263*AW263*AX263*AU263</f>
        <v>153.79566491960489</v>
      </c>
      <c r="AZ263" s="38">
        <f>AY263</f>
        <v>153.79566491960489</v>
      </c>
      <c r="BA263" s="38">
        <f>IF(M263&lt;50, 0.3*M263^(2/3), 2.12*LN(1+0.1*(M263+8)))</f>
        <v>3.3867596705239982</v>
      </c>
      <c r="BB263" s="38">
        <f>AX263* (M263^0.5/AS263^0.5)/(PI()/4*N263^2)/X263/0.72 *(0.7+(MIN(S263,AA263)+0.5*N263)/5/K263) *(3*Q263*K263)</f>
        <v>153.79566491960492</v>
      </c>
      <c r="BC263" s="38">
        <f>AY263/BB263</f>
        <v>0.99999999999999978</v>
      </c>
      <c r="BD263" s="38">
        <f>BH263/BB263</f>
        <v>3.1391213195482393</v>
      </c>
      <c r="BE263" s="4">
        <f>IF(BD263&lt;1,1,0)</f>
        <v>0</v>
      </c>
      <c r="BF263" s="4">
        <f>L263/N263*M263^0.5/0.19</f>
        <v>458.02154198878122</v>
      </c>
      <c r="BG263" s="4">
        <f>MIN(0.6+0.4*(AC263/AB263),2)</f>
        <v>1</v>
      </c>
      <c r="BH263" s="38">
        <f>2*M263*AB263*AD263^0.5*BG263*0.7/0.7</f>
        <v>482.78325060322902</v>
      </c>
      <c r="BI263" s="4">
        <f>MAX(1-0.7*AE263/5,0.3)</f>
        <v>0.37</v>
      </c>
      <c r="BJ263" s="4">
        <f>BI263*J263*L263/(J263*N263/2.75/M263^0.5)</f>
        <v>88.547014604981115</v>
      </c>
      <c r="BK263" s="4">
        <f>BH263+BJ263</f>
        <v>571.33026520821011</v>
      </c>
      <c r="BM263" s="4">
        <f>MIN(1.5, 0.75+0.25*MIN(3,MAX(1,S263/N263))+0.4*MIN(1,(40*2*PI()*AM263^2/4/AO263/X263)/N263))</f>
        <v>1.375</v>
      </c>
      <c r="BN263" s="4">
        <f>(3*P263+30)*BM263*M263^0.5</f>
        <v>613.02561037992609</v>
      </c>
      <c r="BP263" s="4">
        <f>3.4/PI()^0.5*M263*AB263*AE263^0.5*BG263</f>
        <v>463.04817787283525</v>
      </c>
      <c r="BQ263" s="4">
        <f>8/3*AH263*AI263^2/(AG263-N263-22)/N263*(AG263^2-N263^2)/(AG263^2-(N263+22)^2)</f>
        <v>0</v>
      </c>
      <c r="BR263" s="4">
        <f>BQ263/BP263</f>
        <v>0</v>
      </c>
      <c r="BZ263" s="4">
        <f>IF(W263=0,S263,MIN(W263/2,S263))</f>
        <v>63.5</v>
      </c>
      <c r="CD263" s="9"/>
      <c r="CF263" s="9"/>
      <c r="CG263" s="9"/>
      <c r="CH263" s="9">
        <f>IF(W263=0,MIN(S263,U263),MIN(W263/2,S263,U263))</f>
        <v>63.5</v>
      </c>
      <c r="CI263" s="9">
        <f>MAX(W263/2,S263)</f>
        <v>126.99999999999997</v>
      </c>
      <c r="CJ263" s="9">
        <f>(CH263/N263)^0.5*(CI263/CH263)^0.15</f>
        <v>1.7543833769624846</v>
      </c>
      <c r="CK263" s="70">
        <f>IF(AO263&gt;1,20,0)</f>
        <v>20</v>
      </c>
      <c r="CL263" s="9">
        <f>MIN(PI()*AM263^2/4*AN263*2/X263/N263/MAX(0.01,AO263),0.05)</f>
        <v>0</v>
      </c>
      <c r="CM263" s="9">
        <f>MAX(0,CK263*(CL263-0.5/50))</f>
        <v>0</v>
      </c>
      <c r="CN263" s="9">
        <f>MIN(1,(25/N263)^0.3)</f>
        <v>0.99524931562137331</v>
      </c>
      <c r="CO263" s="9">
        <f>IF(J263&gt;=800,0.68,IF(J263&gt;=700,0.75-(J263-700)*0.07/100,IF(J263&gt;=600,0.85-(J263-600)*0.1/100,IF(J263&gt;=500,1-(J263-500)*0.15/100,1.2-(J263-400)*0.2/100))))</f>
        <v>0.68048275862068963</v>
      </c>
      <c r="CP263" s="9">
        <f>1.75*CN263*CO263*(M263/25)^0.5</f>
        <v>1.4598707313117956</v>
      </c>
      <c r="CQ263" s="9">
        <f>MIN((CJ263+CM263)*CP263,2.5*CP263,M263^0.5)</f>
        <v>2.5611729435274797</v>
      </c>
      <c r="CR263" s="40">
        <v>1</v>
      </c>
      <c r="CS263" s="9">
        <f>4*CQ263*P263+60*CQ263</f>
        <v>298.42787137982191</v>
      </c>
      <c r="CU263" s="4">
        <f>AJ263/BF263</f>
        <v>1.6201617118162046</v>
      </c>
      <c r="CV263" s="4">
        <f>AJ263/BK263</f>
        <v>1.2988441374566582</v>
      </c>
      <c r="CW263" s="4">
        <f>AJ263/BN263</f>
        <v>1.2105023884032184</v>
      </c>
      <c r="CX263" s="4">
        <f>AJ263/CS263</f>
        <v>2.4865940372331328</v>
      </c>
      <c r="CY263" s="4">
        <f>AJ263/DZ263</f>
        <v>1.4906266830836274</v>
      </c>
      <c r="CZ263" s="4">
        <f>AJ263/EL263</f>
        <v>1.0425960964081298</v>
      </c>
      <c r="DA263" s="4">
        <f>AJ263/GI263</f>
        <v>1.0611106737887328</v>
      </c>
      <c r="DB263" s="4">
        <f>AN263</f>
        <v>0</v>
      </c>
      <c r="DC263" s="4">
        <f>CU263</f>
        <v>1.6201617118162046</v>
      </c>
      <c r="DD263" s="4">
        <f>CV263</f>
        <v>1.2988441374566582</v>
      </c>
      <c r="DE263" s="4">
        <f>CX263</f>
        <v>2.4865940372331328</v>
      </c>
      <c r="DF263" s="4">
        <f>DA263</f>
        <v>1.0611106737887328</v>
      </c>
      <c r="DG263" s="4">
        <f>CY263</f>
        <v>1.4906266830836274</v>
      </c>
      <c r="DH263" s="4">
        <f>CZ263</f>
        <v>1.0425960964081298</v>
      </c>
      <c r="DQ263" s="4">
        <f>L263</f>
        <v>358.90199999999999</v>
      </c>
      <c r="DT263" s="4">
        <f>K263/4/(1-0.3*(M263/30)^0.5)/200000/N263</f>
        <v>2.6653631830456028E-5</v>
      </c>
      <c r="DU263" s="4">
        <f>EP263</f>
        <v>7.7815993963460848</v>
      </c>
      <c r="DV263" s="4">
        <f>EC263*AG263/257/M263/AD263</f>
        <v>0.20884247483294324</v>
      </c>
      <c r="DW263" s="4">
        <f>DU263*DV263^0.4</f>
        <v>4.1590716443204716</v>
      </c>
      <c r="DX263" s="4">
        <f>MIN(DU263, DU263/1.4*(1-DV263^1.4)/(1-DV263))</f>
        <v>6.2413149280217741</v>
      </c>
      <c r="DY263" s="4">
        <f>MAX(DU263/2, (4-DT263*(8*AG263*(DW263-DX263)+6*K263*DX263))/(4+DT263*K263*DU263)*DU263)</f>
        <v>7.0057785253303493</v>
      </c>
      <c r="DZ263" s="38">
        <f>MIN(1/N263*(4*AG263*(DW263-DX263)+(3*DX263+DY263)*K263)+EC263 -FJ263,MAX(J263,AJ263))</f>
        <v>497.8234818540476</v>
      </c>
      <c r="EA263" s="4">
        <f>DZ263/FF263</f>
        <v>1.0001090530379262</v>
      </c>
      <c r="EB263" s="4">
        <f>AG263/N263</f>
        <v>2.3452078799117149</v>
      </c>
      <c r="EC263" s="4">
        <f>MIN(EB$10*BB263)</f>
        <v>153.79566491960492</v>
      </c>
      <c r="EG263" s="4">
        <f>IF(U263&gt;1*N263,0.85,1)</f>
        <v>0.85</v>
      </c>
      <c r="EH263" s="4">
        <f>MIN(1,MAX(0.7,(1-0.1*(BZ263-1*N263)/N263)))</f>
        <v>0.85</v>
      </c>
      <c r="EI263" s="4">
        <f>MIN(1,MAX(0.7,1-0.3*(PI()*AM263^2/4*AQ263*2-0.25*PI()/4*N263^2)/(PI()/4*N263^2)))</f>
        <v>1</v>
      </c>
      <c r="EJ263" s="4">
        <f>IF(EH263*EI263&lt;0.7,0.7,EH263*EI263)</f>
        <v>0.85</v>
      </c>
      <c r="EL263" s="4">
        <f>MIN(DU263/N263*3*K263+EM263-FJ263,MAX(J263,AJ263))</f>
        <v>711.75114512106757</v>
      </c>
      <c r="EM263" s="25">
        <f>13.3*Q263*K263^0.5*M263^0.5/X263/N263^2*(0.7+S263/5/K263)</f>
        <v>381.889146709957</v>
      </c>
      <c r="EO263" s="4">
        <f>EG263*EJ263</f>
        <v>0.72249999999999992</v>
      </c>
      <c r="EP263" s="4">
        <f>IF(N263&lt;22.2,1.1*5*(M263/30)^0.5,IF(N263&gt;=31.8,0.9*5*(M263/30)^0.5,1*5*(M263/30)^0.5))/EG263/EJ263</f>
        <v>7.7815993963460848</v>
      </c>
      <c r="ES263" s="4">
        <f>ET263*N263</f>
        <v>59.568280149757555</v>
      </c>
      <c r="ET263" s="4">
        <f>AF263^0.5</f>
        <v>2.3452078799117149</v>
      </c>
      <c r="EU263" s="4">
        <f>MIN(EC263)/(4700*M263^0.5)/AE263*ES263</f>
        <v>7.033175265438979E-2</v>
      </c>
      <c r="EX263" s="4">
        <f>EU263</f>
        <v>7.033175265438979E-2</v>
      </c>
      <c r="EY263" s="4">
        <f>MIN(0.999, EX263/(0.3*(M263/30)^0.5))</f>
        <v>0.20849395566539319</v>
      </c>
      <c r="EZ263" s="4">
        <f>EP263/1*EY263^0.4</f>
        <v>4.1562939669792689</v>
      </c>
      <c r="FA263" s="4">
        <f>EP263/1.4*(1-EY263^1.4)/(1-EY263)</f>
        <v>6.2403974547350911</v>
      </c>
      <c r="FB263" s="4">
        <f>MAX(0,DQ263*FB$9-ES263)</f>
        <v>209.60821985024242</v>
      </c>
      <c r="FC263" s="4">
        <f>MAX(0,DQ263-ES263-FB263)</f>
        <v>89.725500000000039</v>
      </c>
      <c r="FD263" s="4">
        <f>FC263/(1-0.3*(M263/30)^0.5)/200000/N263</f>
        <v>2.6653631830456038E-5</v>
      </c>
      <c r="FE263" s="4">
        <f>MAX(0.5*EP263, (1-2*FD263*(ES263*EZ263+FB263*FA263))/(1/EP263+FD263*FC263))</f>
        <v>7.0059242231474395</v>
      </c>
      <c r="FF263" s="4">
        <f>MIN(4/N263*(1*EZ263*ES263+FA263*FB263+FC263*FE263)+EC263,MAX(J263,AJ263))</f>
        <v>497.76919861075299</v>
      </c>
      <c r="FI263" s="4">
        <f>5.25*25.4</f>
        <v>133.35</v>
      </c>
      <c r="FO263" s="23">
        <f>IF(CU263&lt;0.6,0.6,IF(CU263&lt;0.8,0.8,IF(CU263&lt;1,1,IF(CU263&lt;1.2,1.2,IF(CU263&lt;1.4,1.4,IF(CU263&lt;1.6,1.6,IF(CU263&lt;1.8,1.8,IF(CU263&lt;2,2,2.2))))))))</f>
        <v>1.8</v>
      </c>
      <c r="FP263" s="23">
        <f>IF(CV263&lt;0.6,0.6,IF(CV263&lt;0.8,0.8,IF(CV263&lt;1,1,IF(CV263&lt;1.2,1.2,IF(CV263&lt;1.4,1.4,IF(CV263&lt;1.6,1.6,IF(CV263&lt;1.8,1.8,IF(CV263&lt;2,2,2.2))))))))</f>
        <v>1.4</v>
      </c>
      <c r="FQ263" s="23">
        <f>IF(DA263&lt;0.6,0.6,IF(DA263&lt;0.8,0.8,IF(DA263&lt;1,1,IF(DA263&lt;1.2,1.2,IF(DA263&lt;1.4,1.4,IF(DA263&lt;1.6,1.6,IF(DA263&lt;1.8,1.8,IF(DA263&lt;2,2,2.2))))))))</f>
        <v>1.2</v>
      </c>
      <c r="FR263" s="23">
        <f>IF(CX263&lt;0.6,0.6,IF(CX263&lt;0.8,0.8,IF(CX263&lt;1,1,IF(CX263&lt;1.2,1.2,IF(CX263&lt;1.4,1.4,IF(CX263&lt;1.6,1.6,IF(CX263&lt;1.8,1.8,IF(CX263&lt;2,2,2.2))))))))</f>
        <v>2.2000000000000002</v>
      </c>
      <c r="FS263" s="23">
        <f>IF(CY263&lt;0.6,0.6,IF(CY263&lt;0.8,0.8,IF(CY263&lt;1,1,IF(CY263&lt;1.2,1.2,IF(CY263&lt;1.4,1.4,IF(CY263&lt;1.6,1.6,IF(CY263&lt;1.8,1.8,IF(CY263&lt;2,2,2.2))))))))</f>
        <v>1.6</v>
      </c>
      <c r="FT263" s="23">
        <f>IF(CZ263&lt;0.6,0.6,IF(CZ263&lt;0.8,0.8,IF(CZ263&lt;1,1,IF(CZ263&lt;1.2,1.2,IF(CZ263&lt;1.4,1.4,IF(CZ263&lt;1.6,1.6,IF(CZ263&lt;1.8,1.8,IF(CZ263&lt;2,2,2.2))))))))</f>
        <v>1.2</v>
      </c>
      <c r="FU263" s="23">
        <f>IF(FS263&lt;1,1,0)</f>
        <v>0</v>
      </c>
      <c r="FV263" s="23"/>
      <c r="GF263" s="4">
        <f>IF(S263&gt;=2.5*25.4,1,1.25)</f>
        <v>1</v>
      </c>
      <c r="GG263" s="4">
        <f>IF(AO263&gt;1, 0.05*(18-MIN(8,(W263+N263)/N263))*(1-48000/MAX(60000,(J263*145))*(N263/25.4)^0.75*GH263), 1/12*(14-MIN(8,(W263+N263)/N263)))</f>
        <v>0.5</v>
      </c>
      <c r="GH263" s="4">
        <f>MIN(0.3, AM263^2*PI()/4*2*AP263/(N263^2*PI()/4*X263))</f>
        <v>0</v>
      </c>
      <c r="GI263" s="4">
        <f>(K263/25.4)/(N263/25.4)^1.5/0.0024*(M263*145)^0.25/GF263/GG263/145</f>
        <v>699.33229760818267</v>
      </c>
    </row>
    <row r="264" spans="1:191" ht="12" customHeight="1" x14ac:dyDescent="0.3">
      <c r="A264" s="25">
        <v>284</v>
      </c>
      <c r="B264" s="4" t="s">
        <v>605</v>
      </c>
      <c r="C264" s="4">
        <v>2016</v>
      </c>
      <c r="D264" s="4" t="s">
        <v>309</v>
      </c>
      <c r="E264" s="24" t="s">
        <v>667</v>
      </c>
      <c r="F264" s="24"/>
      <c r="G264" s="24">
        <v>37</v>
      </c>
      <c r="H264" s="48" t="s">
        <v>443</v>
      </c>
      <c r="I264" s="5">
        <f>K264/N264</f>
        <v>14.09</v>
      </c>
      <c r="J264" s="78">
        <f>115.9/0.145</f>
        <v>799.31034482758628</v>
      </c>
      <c r="K264" s="38">
        <f>14.09*25.4</f>
        <v>357.88599999999997</v>
      </c>
      <c r="L264" s="4">
        <f>K264</f>
        <v>357.88599999999997</v>
      </c>
      <c r="M264" s="38">
        <f>4970/145</f>
        <v>34.275862068965516</v>
      </c>
      <c r="N264" s="38">
        <f>1*25.4</f>
        <v>25.4</v>
      </c>
      <c r="O264" s="7">
        <f>K264/N264</f>
        <v>14.09</v>
      </c>
      <c r="P264" s="7">
        <f>L264/N264</f>
        <v>14.09</v>
      </c>
      <c r="Q264" s="38">
        <f>17*25.4</f>
        <v>431.79999999999995</v>
      </c>
      <c r="R264" s="32">
        <f>S264/N264</f>
        <v>2.5</v>
      </c>
      <c r="S264" s="38">
        <f>2.5*25.4</f>
        <v>63.5</v>
      </c>
      <c r="T264" s="32">
        <f>U264/N264</f>
        <v>3.45</v>
      </c>
      <c r="U264" s="39">
        <f>3.45*25.4</f>
        <v>87.63</v>
      </c>
      <c r="V264" s="32">
        <f>W264/N264</f>
        <v>9.9999999999999982</v>
      </c>
      <c r="W264" s="7">
        <f>(Q264-X264*N264-2*S264)/(X264-1)</f>
        <v>253.99999999999994</v>
      </c>
      <c r="X264" s="38">
        <v>2</v>
      </c>
      <c r="Y264" s="7">
        <f>AN264</f>
        <v>10</v>
      </c>
      <c r="Z264" s="32">
        <f>AA264/N264</f>
        <v>10.25</v>
      </c>
      <c r="AA264" s="4">
        <f>10.25*25.4</f>
        <v>260.34999999999997</v>
      </c>
      <c r="AB264" s="7">
        <f>MIN(S264/N264+0.5, W264/2/N264+0.5)</f>
        <v>3</v>
      </c>
      <c r="AC264" s="7">
        <f>S264/N264+0.5</f>
        <v>3</v>
      </c>
      <c r="AD264" s="38">
        <v>9.1</v>
      </c>
      <c r="AE264" s="4">
        <f>AD264</f>
        <v>9.1</v>
      </c>
      <c r="AF264" s="4">
        <f>AE264+1</f>
        <v>10.1</v>
      </c>
      <c r="AG264" s="7">
        <f>N264*AF264^0.5</f>
        <v>80.72246279691916</v>
      </c>
      <c r="AJ264" s="38">
        <f>AK264/0.145</f>
        <v>1040.6896551724139</v>
      </c>
      <c r="AK264" s="4">
        <v>150.9</v>
      </c>
      <c r="AL264" s="4">
        <f>CY264</f>
        <v>2.1389892476287438</v>
      </c>
      <c r="AM264" s="38">
        <f>0.375*25.4</f>
        <v>9.5249999999999986</v>
      </c>
      <c r="AN264" s="38">
        <v>10</v>
      </c>
      <c r="AO264" s="39">
        <f>3*25.4</f>
        <v>76.199999999999989</v>
      </c>
      <c r="AP264" s="39">
        <v>3</v>
      </c>
      <c r="AQ264" s="39">
        <v>2</v>
      </c>
      <c r="AR264" s="7"/>
      <c r="AS264" s="4">
        <f>K264</f>
        <v>357.88599999999997</v>
      </c>
      <c r="AT264" s="4">
        <f>IF(K264*3&gt;W264+N264, Q264, (S264+N264/2)*2+1.5*K264*(2*X264-2))*(3*K264)/(9*K264^2)</f>
        <v>0.4021764845043766</v>
      </c>
      <c r="AU264" s="4">
        <f>MIN(10*M264^0.5*K264^1.5,100*3.9*M264^0.5*K264^(5/3))/(PI()/4*N264^2)/X264</f>
        <v>391.13253936070686</v>
      </c>
      <c r="AV264" s="4">
        <f>MIN(0.7+0.3*(MIN(S264,AA264)+0.5*N264)/1.5/K264,1)</f>
        <v>0.74258339247693395</v>
      </c>
      <c r="AW264" s="4">
        <v>1.25</v>
      </c>
      <c r="AX264" s="4">
        <f>AX263</f>
        <v>1</v>
      </c>
      <c r="AY264" s="38">
        <f>AT264*AV264*AW264*AX264*AU264</f>
        <v>146.01445989389805</v>
      </c>
      <c r="AZ264" s="38">
        <f>AY264</f>
        <v>146.01445989389805</v>
      </c>
      <c r="BA264" s="38">
        <f>IF(M264&lt;50, 0.3*M264^(2/3), 2.12*LN(1+0.1*(M264+8)))</f>
        <v>3.1655330029957871</v>
      </c>
      <c r="BB264" s="38">
        <f>AX264* (M264^0.5/AS264^0.5)/(PI()/4*N264^2)/X264/0.72 *(0.7+(MIN(S264,AA264)+0.5*N264)/5/K264) *(3*Q264*K264)</f>
        <v>146.01445989389802</v>
      </c>
      <c r="BC264" s="38">
        <f>AY264/BB264</f>
        <v>1.0000000000000002</v>
      </c>
      <c r="BD264" s="38">
        <f>BH264/BB264</f>
        <v>4.2487821778517008</v>
      </c>
      <c r="BE264" s="4">
        <f>IF(BD264&lt;1,1,0)</f>
        <v>0</v>
      </c>
      <c r="BF264" s="4">
        <f>L264/N264*M264^0.5/0.19</f>
        <v>434.16177628771254</v>
      </c>
      <c r="BG264" s="4">
        <f>MIN(0.6+0.4*(AC264/AB264),2)</f>
        <v>1</v>
      </c>
      <c r="BH264" s="38">
        <f>2*M264*AB264*AD264^0.5*BG264*0.7/0.7</f>
        <v>620.38363490583583</v>
      </c>
      <c r="BI264" s="4">
        <f>MAX(1-0.7*AE264/5,0.3)</f>
        <v>0.3</v>
      </c>
      <c r="BJ264" s="4">
        <f>BI264*J264*L264/(J264*N264/2.75/M264^0.5)</f>
        <v>68.054858433098943</v>
      </c>
      <c r="BK264" s="4">
        <f>BH264+BJ264</f>
        <v>688.43849333893479</v>
      </c>
      <c r="BM264" s="4">
        <f>MIN(1.5, 0.75+0.25*MIN(3,MAX(1,S264/N264))+0.4*MIN(1,(40*2*PI()*AM264^2/4/AO264/X264)/N264))</f>
        <v>1.5</v>
      </c>
      <c r="BN264" s="4">
        <f>(3*P264+30)*BM264*M264^0.5</f>
        <v>634.66347750952457</v>
      </c>
      <c r="BP264" s="4">
        <f>3.4/PI()^0.5*M264*AB264*AE264^0.5*BG264</f>
        <v>595.02377384952354</v>
      </c>
      <c r="BQ264" s="4">
        <f>8/3*AH264*AI264^2/(AG264-N264-22)/N264*(AG264^2-N264^2)/(AG264^2-(N264+22)^2)</f>
        <v>0</v>
      </c>
      <c r="BR264" s="4">
        <f>BQ264/BP264</f>
        <v>0</v>
      </c>
      <c r="BZ264" s="4">
        <f>IF(W264=0,S264,MIN(W264/2,S264))</f>
        <v>63.5</v>
      </c>
      <c r="CD264" s="9"/>
      <c r="CF264" s="9"/>
      <c r="CG264" s="9"/>
      <c r="CH264" s="9">
        <f>IF(W264=0,MIN(S264,U264),MIN(W264/2,S264,U264))</f>
        <v>63.5</v>
      </c>
      <c r="CI264" s="9">
        <f>MAX(W264/2,S264)</f>
        <v>126.99999999999997</v>
      </c>
      <c r="CJ264" s="9">
        <f>(CH264/N264)^0.5*(CI264/CH264)^0.15</f>
        <v>1.7543833769624846</v>
      </c>
      <c r="CK264" s="70">
        <f>IF(AO264&gt;1,20,0)</f>
        <v>20</v>
      </c>
      <c r="CL264" s="9">
        <f>MIN(PI()*AM264^2/4*AN264*2/X264/N264/MAX(0.01,AO264),0.05)</f>
        <v>0.05</v>
      </c>
      <c r="CM264" s="9">
        <f>MAX(0,CK264*(CL264-0.5/50))</f>
        <v>0.8</v>
      </c>
      <c r="CN264" s="9">
        <f>MIN(1,(25/N264)^0.3)</f>
        <v>0.99524931562137331</v>
      </c>
      <c r="CO264" s="9">
        <f>IF(J264&gt;=800,0.68,IF(J264&gt;=700,0.75-(J264-700)*0.07/100,IF(J264&gt;=600,0.85-(J264-600)*0.1/100,IF(J264&gt;=500,1-(J264-500)*0.15/100,1.2-(J264-400)*0.2/100))))</f>
        <v>0.68048275862068963</v>
      </c>
      <c r="CP264" s="9">
        <f>1.75*CN264*CO264*(M264/25)^0.5</f>
        <v>1.3877500485016585</v>
      </c>
      <c r="CQ264" s="9">
        <f>MIN((CJ264+CM264)*CP264,2.5*CP264,M264^0.5)</f>
        <v>3.4693751212541462</v>
      </c>
      <c r="CR264" s="40">
        <v>1</v>
      </c>
      <c r="CS264" s="9">
        <f>4*CQ264*P264+60*CQ264</f>
        <v>403.69648910913247</v>
      </c>
      <c r="CU264" s="47">
        <f>AJ264/BF264</f>
        <v>2.3970089307971794</v>
      </c>
      <c r="CV264" s="47">
        <f>AJ264/BK264</f>
        <v>1.5116668594823293</v>
      </c>
      <c r="CW264" s="47">
        <f>AJ264/BN264</f>
        <v>1.6397503433727931</v>
      </c>
      <c r="CX264" s="47">
        <f>AJ264/CS264</f>
        <v>2.5779011788509294</v>
      </c>
      <c r="CY264" s="47">
        <f>AJ264/DZ264</f>
        <v>2.1389892476287438</v>
      </c>
      <c r="CZ264" s="47">
        <f>AJ264/EL264</f>
        <v>1.4707672066107018</v>
      </c>
      <c r="DA264" s="47">
        <f>AJ264/GI264</f>
        <v>1.3404573544493805</v>
      </c>
      <c r="DB264" s="4">
        <f>AN264</f>
        <v>10</v>
      </c>
      <c r="DI264" s="4">
        <f>CU264</f>
        <v>2.3970089307971794</v>
      </c>
      <c r="DJ264" s="4">
        <f>CV264</f>
        <v>1.5116668594823293</v>
      </c>
      <c r="DK264" s="4">
        <f>CX264</f>
        <v>2.5779011788509294</v>
      </c>
      <c r="DL264" s="4">
        <f>DA264</f>
        <v>1.3404573544493805</v>
      </c>
      <c r="DM264" s="4">
        <f>CY264</f>
        <v>2.1389892476287438</v>
      </c>
      <c r="DN264" s="4">
        <f>CZ264</f>
        <v>1.4707672066107018</v>
      </c>
      <c r="DQ264" s="4">
        <f>L264</f>
        <v>357.88599999999997</v>
      </c>
      <c r="DT264" s="4">
        <f>K264/4/(1-0.3*(M264/30)^0.5)/200000/N264</f>
        <v>2.5926181363003004E-5</v>
      </c>
      <c r="DU264" s="4">
        <f>EP264</f>
        <v>8.1623967217189435</v>
      </c>
      <c r="DV264" s="4">
        <f>EC264*AG264/257/M264/AD264</f>
        <v>0.14703724867326223</v>
      </c>
      <c r="DW264" s="4">
        <f>DU264*DV264^0.4</f>
        <v>3.7913043249812466</v>
      </c>
      <c r="DX264" s="4">
        <f>MIN(DU264, DU264/1.4*(1-DV264^1.4)/(1-DV264))</f>
        <v>6.3685026548945309</v>
      </c>
      <c r="DY264" s="4">
        <f>MAX(DU264/2, (4-DT264*(8*AG264*(DW264-DX264)+6*K264*DX264))/(4+DT264*K264*DU264)*DU264)</f>
        <v>7.3870947033775778</v>
      </c>
      <c r="DZ264" s="38">
        <f>MIN(1/N264*(4*AG264*(DW264-DX264)+(3*DX264+DY264)*K264)+EC264 -FJ264,MAX(J264,AJ264))</f>
        <v>486.53337380078426</v>
      </c>
      <c r="EA264" s="4">
        <f>DZ264/FF264</f>
        <v>1.0001070870669828</v>
      </c>
      <c r="EB264" s="4">
        <f>AG264/N264</f>
        <v>3.1780497164141401</v>
      </c>
      <c r="EC264" s="4">
        <f>MIN(EB$10*BB264)</f>
        <v>146.01445989389802</v>
      </c>
      <c r="EG264" s="4">
        <f>IF(U264&gt;1*N264,0.85,1)</f>
        <v>0.85</v>
      </c>
      <c r="EH264" s="4">
        <f>MIN(1,MAX(0.7,(1-0.1*(BZ264-1*N264)/N264)))</f>
        <v>0.85</v>
      </c>
      <c r="EI264" s="4">
        <f>MIN(1,MAX(0.7,1-0.3*(PI()*AM264^2/4*AQ264*2-0.25*PI()/4*N264^2)/(PI()/4*N264^2)))</f>
        <v>0.90625</v>
      </c>
      <c r="EJ264" s="4">
        <f>IF(EH264*EI264&lt;0.7,0.7,EH264*EI264)</f>
        <v>0.77031249999999996</v>
      </c>
      <c r="EL264" s="4">
        <f>MIN(DU264/N264*3*K264+EM264-FJ264,MAX(J264,AJ264))</f>
        <v>707.5828523336628</v>
      </c>
      <c r="EM264" s="25">
        <f>13.3*Q264*K264^0.5*M264^0.5/X264/N264^2*(0.7+S264/5/K264)</f>
        <v>362.55834290660306</v>
      </c>
      <c r="EO264" s="4">
        <f>EG264*EJ264</f>
        <v>0.65476562499999991</v>
      </c>
      <c r="EP264" s="4">
        <f>IF(N264&lt;22.2,1.1*5*(M264/30)^0.5,IF(N264&gt;=31.8,0.9*5*(M264/30)^0.5,1*5*(M264/30)^0.5))/EG264/EJ264</f>
        <v>8.1623967217189435</v>
      </c>
      <c r="ES264" s="4">
        <f>ET264*N264</f>
        <v>80.72246279691916</v>
      </c>
      <c r="ET264" s="4">
        <f>AF264^0.5</f>
        <v>3.1780497164141406</v>
      </c>
      <c r="EU264" s="4">
        <f>MIN(EC264)/(4700*M264^0.5)/AE264*ES264</f>
        <v>4.7071368680619792E-2</v>
      </c>
      <c r="EX264" s="4">
        <f>EU264</f>
        <v>4.7071368680619792E-2</v>
      </c>
      <c r="EY264" s="4">
        <f>MIN(0.999, EX264/(0.3*(M264/30)^0.5))</f>
        <v>0.14679187090924442</v>
      </c>
      <c r="EZ264" s="4">
        <f>EP264/1*EY264^0.4</f>
        <v>3.7887722647000817</v>
      </c>
      <c r="FA264" s="4">
        <f>EP264/1.4*(1-EY264^1.4)/(1-EY264)</f>
        <v>6.367761103395182</v>
      </c>
      <c r="FB264" s="4">
        <f>MAX(0,DQ264*FB$9-ES264)</f>
        <v>187.69203720308082</v>
      </c>
      <c r="FC264" s="4">
        <f>MAX(0,DQ264-ES264-FB264)</f>
        <v>89.471499999999992</v>
      </c>
      <c r="FD264" s="4">
        <f>FC264/(1-0.3*(M264/30)^0.5)/200000/N264</f>
        <v>2.5926181363003004E-5</v>
      </c>
      <c r="FE264" s="4">
        <f>MAX(0.5*EP264, (1-2*FD264*(ES264*EZ264+FB264*FA264))/(1/EP264+FD264*FC264))</f>
        <v>7.3872374168186861</v>
      </c>
      <c r="FF264" s="4">
        <f>MIN(4/N264*(1*EZ264*ES264+FA264*FB264+FC264*FE264)+EC264,MAX(J264,AJ264))</f>
        <v>486.48127794758682</v>
      </c>
      <c r="FI264" s="4">
        <f>5.25*25.4</f>
        <v>133.35</v>
      </c>
      <c r="FO264" s="23">
        <f>IF(CU264&lt;0.6,0.6,IF(CU264&lt;0.8,0.8,IF(CU264&lt;1,1,IF(CU264&lt;1.2,1.2,IF(CU264&lt;1.4,1.4,IF(CU264&lt;1.6,1.6,IF(CU264&lt;1.8,1.8,IF(CU264&lt;2,2,2.2))))))))</f>
        <v>2.2000000000000002</v>
      </c>
      <c r="FP264" s="23">
        <f>IF(CV264&lt;0.6,0.6,IF(CV264&lt;0.8,0.8,IF(CV264&lt;1,1,IF(CV264&lt;1.2,1.2,IF(CV264&lt;1.4,1.4,IF(CV264&lt;1.6,1.6,IF(CV264&lt;1.8,1.8,IF(CV264&lt;2,2,2.2))))))))</f>
        <v>1.6</v>
      </c>
      <c r="FQ264" s="23">
        <f>IF(DA264&lt;0.6,0.6,IF(DA264&lt;0.8,0.8,IF(DA264&lt;1,1,IF(DA264&lt;1.2,1.2,IF(DA264&lt;1.4,1.4,IF(DA264&lt;1.6,1.6,IF(DA264&lt;1.8,1.8,IF(DA264&lt;2,2,2.2))))))))</f>
        <v>1.4</v>
      </c>
      <c r="FR264" s="23">
        <f>IF(CX264&lt;0.6,0.6,IF(CX264&lt;0.8,0.8,IF(CX264&lt;1,1,IF(CX264&lt;1.2,1.2,IF(CX264&lt;1.4,1.4,IF(CX264&lt;1.6,1.6,IF(CX264&lt;1.8,1.8,IF(CX264&lt;2,2,2.2))))))))</f>
        <v>2.2000000000000002</v>
      </c>
      <c r="FS264" s="23">
        <f>IF(CY264&lt;0.6,0.6,IF(CY264&lt;0.8,0.8,IF(CY264&lt;1,1,IF(CY264&lt;1.2,1.2,IF(CY264&lt;1.4,1.4,IF(CY264&lt;1.6,1.6,IF(CY264&lt;1.8,1.8,IF(CY264&lt;2,2,2.2))))))))</f>
        <v>2.2000000000000002</v>
      </c>
      <c r="FT264" s="23">
        <f>IF(CZ264&lt;0.6,0.6,IF(CZ264&lt;0.8,0.8,IF(CZ264&lt;1,1,IF(CZ264&lt;1.2,1.2,IF(CZ264&lt;1.4,1.4,IF(CZ264&lt;1.6,1.6,IF(CZ264&lt;1.8,1.8,IF(CZ264&lt;2,2,2.2))))))))</f>
        <v>1.6</v>
      </c>
      <c r="FU264" s="23">
        <f>IF(FS264&lt;1,1,0)</f>
        <v>0</v>
      </c>
      <c r="FV264" s="23"/>
      <c r="GF264" s="4">
        <f>IF(S264&gt;=2.5*25.4,1,1.25)</f>
        <v>1</v>
      </c>
      <c r="GG264" s="4">
        <f>IF(AO264&gt;1, 0.05*(18-MIN(8,(W264+N264)/N264))*(1-48000/MAX(60000,(J264*145))*(N264/25.4)^0.75*GH264), 1/12*(14-MIN(8,(W264+N264)/N264)))</f>
        <v>0.43787748058671272</v>
      </c>
      <c r="GH264" s="4">
        <f>MIN(0.3, AM264^2*PI()/4*2*AP264/(N264^2*PI()/4*X264))</f>
        <v>0.3</v>
      </c>
      <c r="GI264" s="4">
        <f>(K264/25.4)/(N264/25.4)^1.5/0.0024*(M264*145)^0.25/GF264/GG264/145</f>
        <v>776.36908904117877</v>
      </c>
    </row>
    <row r="265" spans="1:191" ht="12" customHeight="1" x14ac:dyDescent="0.3">
      <c r="A265" s="25">
        <v>314</v>
      </c>
      <c r="B265" s="4" t="s">
        <v>605</v>
      </c>
      <c r="C265" s="4">
        <v>2016</v>
      </c>
      <c r="D265" s="4" t="s">
        <v>309</v>
      </c>
      <c r="E265" s="24" t="s">
        <v>669</v>
      </c>
      <c r="F265" s="24"/>
      <c r="G265" s="24">
        <v>55</v>
      </c>
      <c r="H265" s="7" t="s">
        <v>475</v>
      </c>
      <c r="I265" s="5">
        <f>K265/N265</f>
        <v>14.080000000000002</v>
      </c>
      <c r="J265" s="91">
        <f>120/0.145</f>
        <v>827.58620689655174</v>
      </c>
      <c r="K265" s="38">
        <f>14.08*25.4</f>
        <v>357.63200000000001</v>
      </c>
      <c r="L265" s="4">
        <f>K265</f>
        <v>357.63200000000001</v>
      </c>
      <c r="M265" s="99">
        <f>9940/145</f>
        <v>68.551724137931032</v>
      </c>
      <c r="N265" s="96">
        <f>1*25.4</f>
        <v>25.4</v>
      </c>
      <c r="O265" s="7">
        <f>K265/N265</f>
        <v>14.080000000000002</v>
      </c>
      <c r="P265" s="7">
        <f>L265/N265</f>
        <v>14.080000000000002</v>
      </c>
      <c r="Q265" s="38">
        <f>15.5*25.4</f>
        <v>393.7</v>
      </c>
      <c r="R265" s="32">
        <f>S265/N265</f>
        <v>2.2999999999999998</v>
      </c>
      <c r="S265" s="38">
        <f>2.3*25.4</f>
        <v>58.419999999999995</v>
      </c>
      <c r="T265" s="32">
        <f>U265/N265</f>
        <v>3.7</v>
      </c>
      <c r="U265" s="39">
        <f>3.7*25.4</f>
        <v>93.98</v>
      </c>
      <c r="V265" s="32">
        <f>W265/N265</f>
        <v>3.9500000000000006</v>
      </c>
      <c r="W265" s="7">
        <f>(Q265-X265*N265-2*S265)/(X265-1)</f>
        <v>100.33000000000001</v>
      </c>
      <c r="X265" s="38">
        <v>3</v>
      </c>
      <c r="Y265" s="7">
        <f>AN265</f>
        <v>4</v>
      </c>
      <c r="Z265" s="32">
        <f>AA265/N265</f>
        <v>10.25</v>
      </c>
      <c r="AA265" s="4">
        <f>10.25*25.4</f>
        <v>260.34999999999997</v>
      </c>
      <c r="AB265" s="7">
        <f>MIN(S265/N265+0.5, W265/2/N265+0.5)</f>
        <v>2.4750000000000005</v>
      </c>
      <c r="AC265" s="7">
        <f>S265/N265+0.5</f>
        <v>2.8</v>
      </c>
      <c r="AD265" s="38">
        <v>9.5</v>
      </c>
      <c r="AE265" s="4">
        <f>AD265</f>
        <v>9.5</v>
      </c>
      <c r="AF265" s="4">
        <f>AE265+1</f>
        <v>10.5</v>
      </c>
      <c r="AG265" s="7">
        <f>N265*AF265^0.5</f>
        <v>82.305406869779816</v>
      </c>
      <c r="AJ265" s="38">
        <f>AK265/0.145</f>
        <v>918.62068965517244</v>
      </c>
      <c r="AK265" s="4">
        <v>133.19999999999999</v>
      </c>
      <c r="AL265" s="4">
        <f>CY265</f>
        <v>1.8151122257280927</v>
      </c>
      <c r="AM265" s="38">
        <f>0.375*25.4</f>
        <v>9.5249999999999986</v>
      </c>
      <c r="AN265" s="38">
        <v>4</v>
      </c>
      <c r="AO265" s="39">
        <f>6*25.4</f>
        <v>152.39999999999998</v>
      </c>
      <c r="AP265" s="39">
        <v>1</v>
      </c>
      <c r="AQ265" s="39">
        <v>1</v>
      </c>
      <c r="AR265" s="7"/>
      <c r="AS265" s="4">
        <f>K265</f>
        <v>357.63200000000001</v>
      </c>
      <c r="AT265" s="4">
        <f>IF(K265*3&gt;W265+N265, Q265, (S265+N265/2)*2+1.5*K265*(2*X265-2))*(3*K265)/(9*K265^2)</f>
        <v>0.36695075757575757</v>
      </c>
      <c r="AU265" s="4">
        <f>MIN(10*M265^0.5*K265^1.5,100*3.9*M265^0.5*K265^(5/3))/(PI()/4*N265^2)/X265</f>
        <v>368.37078442762726</v>
      </c>
      <c r="AV265" s="4">
        <f>MIN(0.7+0.3*(MIN(S265,AA265)+0.5*N265)/1.5/K265,1)</f>
        <v>0.73977272727272725</v>
      </c>
      <c r="AW265" s="4">
        <v>1.25</v>
      </c>
      <c r="AX265" s="4">
        <f>AX264</f>
        <v>1</v>
      </c>
      <c r="AY265" s="38">
        <f>AT265*AV265*AW265*AX265*AU265</f>
        <v>124.99749134635728</v>
      </c>
      <c r="AZ265" s="38">
        <f>AY265</f>
        <v>124.99749134635728</v>
      </c>
      <c r="BA265" s="38">
        <f>IF(M265&lt;50, 0.3*M265^(2/3), 2.12*LN(1+0.1*(M265+8)))</f>
        <v>4.5752930713880566</v>
      </c>
      <c r="BB265" s="38">
        <f>AX265* (M265^0.5/AS265^0.5)/(PI()/4*N265^2)/X265/0.72 *(0.7+(MIN(S265,AA265)+0.5*N265)/5/K265) *(3*Q265*K265)</f>
        <v>124.99749134635732</v>
      </c>
      <c r="BC265" s="38">
        <f>AY265/BB265</f>
        <v>0.99999999999999967</v>
      </c>
      <c r="BD265" s="38">
        <f>BH265/BB265</f>
        <v>8.8067691240290795</v>
      </c>
      <c r="BE265" s="4">
        <f>IF(BD265&lt;1,1,0)</f>
        <v>0</v>
      </c>
      <c r="BF265" s="4">
        <f>L265/N265*M265^0.5/0.19</f>
        <v>613.56170403437056</v>
      </c>
      <c r="BG265" s="4">
        <f>MIN(0.6+0.4*(AC265/AB265),2)</f>
        <v>1.0525252525252524</v>
      </c>
      <c r="BH265" s="38">
        <f>2*M265*AB265*AD265^0.5*BG265*0.7/0.7</f>
        <v>1100.8240473701917</v>
      </c>
      <c r="BI265" s="4">
        <f>MAX(1-0.7*AE265/5,0.3)</f>
        <v>0.3</v>
      </c>
      <c r="BJ265" s="4">
        <f>BI265*J265*L265/(J265*N265/2.75/M265^0.5)</f>
        <v>96.175797107387567</v>
      </c>
      <c r="BK265" s="4">
        <f>BH265+BJ265</f>
        <v>1196.9998444775792</v>
      </c>
      <c r="BM265" s="4">
        <f>MIN(1.5, 0.75+0.25*MIN(3,MAX(1,S265/N265))+0.4*MIN(1,(40*2*PI()*AM265^2/4/AO265/X265)/N265))</f>
        <v>1.5</v>
      </c>
      <c r="BN265" s="4">
        <f>(3*P265+30)*BM265*M265^0.5</f>
        <v>897.17711557821269</v>
      </c>
      <c r="BP265" s="4">
        <f>3.4/PI()^0.5*M265*AB265*AE265^0.5*BG265</f>
        <v>1055.8248834367448</v>
      </c>
      <c r="BQ265" s="4">
        <f>8/3*AH265*AI265^2/(AG265-N265-22)/N265*(AG265^2-N265^2)/(AG265^2-(N265+22)^2)</f>
        <v>0</v>
      </c>
      <c r="BR265" s="4">
        <f>BQ265/BP265</f>
        <v>0</v>
      </c>
      <c r="BZ265" s="4">
        <f>IF(W265=0,S265,MIN(W265/2,S265))</f>
        <v>50.165000000000006</v>
      </c>
      <c r="CD265" s="9"/>
      <c r="CF265" s="9"/>
      <c r="CG265" s="9"/>
      <c r="CH265" s="9">
        <f>IF(W265=0,MIN(S265,U265),MIN(W265/2,S265,U265))</f>
        <v>50.165000000000006</v>
      </c>
      <c r="CI265" s="9">
        <f>MAX(W265/2,S265)</f>
        <v>58.419999999999995</v>
      </c>
      <c r="CJ265" s="9">
        <f>(CH265/N265)^0.5*(CI265/CH265)^0.15</f>
        <v>1.43783039583918</v>
      </c>
      <c r="CK265" s="70">
        <f>IF(AO265&gt;1,20,0)</f>
        <v>20</v>
      </c>
      <c r="CL265" s="9">
        <f>MIN(PI()*AM265^2/4*AN265*2/X265/N265/MAX(0.01,AO265),0.05)</f>
        <v>4.9087385212340517E-2</v>
      </c>
      <c r="CM265" s="9">
        <f>MAX(0,CK265*(CL265-0.5/50))</f>
        <v>0.78174770424681028</v>
      </c>
      <c r="CN265" s="9">
        <f>MIN(1,(25/N265)^0.3)</f>
        <v>0.99524931562137331</v>
      </c>
      <c r="CO265" s="9">
        <f>IF(J265&gt;=800,0.68,IF(J265&gt;=700,0.75-(J265-700)*0.07/100,IF(J265&gt;=600,0.85-(J265-600)*0.1/100,IF(J265&gt;=500,1-(J265-500)*0.15/100,1.2-(J265-400)*0.2/100))))</f>
        <v>0.68</v>
      </c>
      <c r="CP265" s="9">
        <f>1.75*CN265*CO265*(M265/25)^0.5</f>
        <v>1.9611826194568933</v>
      </c>
      <c r="CQ265" s="9">
        <f>MIN((CJ265+CM265)*CP265,2.5*CP265,M265^0.5)</f>
        <v>4.3529979924157969</v>
      </c>
      <c r="CR265" s="40">
        <v>1</v>
      </c>
      <c r="CS265" s="9">
        <f>4*CQ265*P265+60*CQ265</f>
        <v>506.34072647780556</v>
      </c>
      <c r="CU265" s="4">
        <f>AJ265/BF265</f>
        <v>1.4971936540610968</v>
      </c>
      <c r="CV265" s="4">
        <f>AJ265/BK265</f>
        <v>0.76743593066722315</v>
      </c>
      <c r="CW265" s="4">
        <f>AJ265/BN265</f>
        <v>1.0239011603223291</v>
      </c>
      <c r="CX265" s="4">
        <f>AJ265/CS265</f>
        <v>1.8142342529807116</v>
      </c>
      <c r="CY265" s="4">
        <f>AJ265/DZ265</f>
        <v>1.8151122257280927</v>
      </c>
      <c r="CZ265" s="4">
        <f>AJ265/EL265</f>
        <v>1.2575697339160365</v>
      </c>
      <c r="DA265" s="4">
        <f>AJ265/GI265</f>
        <v>1.7850791723869082</v>
      </c>
      <c r="DB265" s="4">
        <f>AN265</f>
        <v>4</v>
      </c>
      <c r="DI265" s="4">
        <f>CU265</f>
        <v>1.4971936540610968</v>
      </c>
      <c r="DJ265" s="4">
        <f>CV265</f>
        <v>0.76743593066722315</v>
      </c>
      <c r="DK265" s="4">
        <f>CX265</f>
        <v>1.8142342529807116</v>
      </c>
      <c r="DL265" s="4">
        <f>DA265</f>
        <v>1.7850791723869082</v>
      </c>
      <c r="DM265" s="4">
        <f>CY265</f>
        <v>1.8151122257280927</v>
      </c>
      <c r="DN265" s="4">
        <f>CZ265</f>
        <v>1.2575697339160365</v>
      </c>
      <c r="DQ265" s="4">
        <f>L265</f>
        <v>357.63200000000001</v>
      </c>
      <c r="DT265" s="4">
        <f>K265/4/(1-0.3*(M265/30)^0.5)/200000/N265</f>
        <v>3.2204480689585553E-5</v>
      </c>
      <c r="DU265" s="4">
        <f>EP265</f>
        <v>9.9458784617650533</v>
      </c>
      <c r="DV265" s="4">
        <f>EC265*AG265/257/M265/AD265</f>
        <v>6.1468774165770367E-2</v>
      </c>
      <c r="DW265" s="4">
        <f>DU265*DV265^0.4</f>
        <v>3.2591546512053884</v>
      </c>
      <c r="DX265" s="4">
        <f>MIN(DU265, DU265/1.4*(1-DV265^1.4)/(1-DV265))</f>
        <v>7.4170164982114892</v>
      </c>
      <c r="DY265" s="4">
        <f>MAX(DU265/2, (4-DT265*(8*AG265*(DW265-DX265)+6*K265*DX265))/(4+DT265*K265*DU265)*DU265)</f>
        <v>8.6431526556336085</v>
      </c>
      <c r="DZ265" s="38">
        <f>MIN(1/N265*(4*AG265*(DW265-DX265)+(3*DX265+DY265)*K265)+EC265 -FJ265,MAX(J265,AJ265))</f>
        <v>506.09580864163246</v>
      </c>
      <c r="EA265" s="4">
        <f>DZ265/FF265</f>
        <v>1.0000774783440594</v>
      </c>
      <c r="EB265" s="4">
        <f>AG265/N265</f>
        <v>3.2403703492039297</v>
      </c>
      <c r="EC265" s="4">
        <f>MIN(EB$10*BB265)</f>
        <v>124.99749134635732</v>
      </c>
      <c r="EG265" s="4">
        <f>IF(U265&gt;1*N265,0.85,1)</f>
        <v>0.85</v>
      </c>
      <c r="EH265" s="4">
        <f>MIN(1,MAX(0.7,(1-0.1*(BZ265-1*N265)/N265)))</f>
        <v>0.90249999999999997</v>
      </c>
      <c r="EI265" s="4">
        <f>MIN(1,MAX(0.7,1-0.3*(PI()*AM265^2/4*AQ265*2-0.25*PI()/4*N265^2)/(PI()/4*N265^2)))</f>
        <v>0.99062499999999998</v>
      </c>
      <c r="EJ265" s="4">
        <f>IF(EH265*EI265&lt;0.7,0.7,EH265*EI265)</f>
        <v>0.89403906249999998</v>
      </c>
      <c r="EL265" s="4">
        <f>MIN(DU265/N265*3*K265+EM265-FJ265,MAX(J265,AJ265))</f>
        <v>730.47296295420028</v>
      </c>
      <c r="EM265" s="25">
        <f>13.3*Q265*K265^0.5*M265^0.5/X265/N265^2*(0.7+S265/5/K265)</f>
        <v>310.35905672924446</v>
      </c>
      <c r="EO265" s="4">
        <f>EG265*EJ265</f>
        <v>0.75993320312500001</v>
      </c>
      <c r="EP265" s="4">
        <f>IF(N265&lt;22.2,1.1*5*(M265/30)^0.5,IF(N265&gt;=31.8,0.9*5*(M265/30)^0.5,1*5*(M265/30)^0.5))/EG265/EJ265</f>
        <v>9.9458784617650533</v>
      </c>
      <c r="ES265" s="4">
        <f>ET265*N265</f>
        <v>82.305406869779816</v>
      </c>
      <c r="ET265" s="4">
        <f>AF265^0.5</f>
        <v>3.2403703492039302</v>
      </c>
      <c r="EU265" s="4">
        <f>MIN(EC265)/(4700*M265^0.5)/AE265*ES265</f>
        <v>2.7829090224415109E-2</v>
      </c>
      <c r="EX265" s="4">
        <f>EU265</f>
        <v>2.7829090224415109E-2</v>
      </c>
      <c r="EY265" s="4">
        <f>MIN(0.999, EX265/(0.3*(M265/30)^0.5))</f>
        <v>6.1366194237909844E-2</v>
      </c>
      <c r="EZ265" s="4">
        <f>EP265/1*EY265^0.4</f>
        <v>3.2569779923737263</v>
      </c>
      <c r="FA265" s="4">
        <f>EP265/1.4*(1-EY265^1.4)/(1-EY265)</f>
        <v>7.4165619814576642</v>
      </c>
      <c r="FB265" s="4">
        <f>MAX(0,DQ265*FB$9-ES265)</f>
        <v>185.91859313022019</v>
      </c>
      <c r="FC265" s="4">
        <f>MAX(0,DQ265-ES265-FB265)</f>
        <v>89.408000000000015</v>
      </c>
      <c r="FD265" s="4">
        <f>FC265/(1-0.3*(M265/30)^0.5)/200000/N265</f>
        <v>3.2204480689585553E-5</v>
      </c>
      <c r="FE265" s="4">
        <f>MAX(0.5*EP265, (1-2*FD265*(ES265*EZ265+FB265*FA265))/(1/EP265+FD265*FC265))</f>
        <v>8.6433168511450624</v>
      </c>
      <c r="FF265" s="4">
        <f>MIN(4/N265*(1*EZ265*ES265+FA265*FB265+FC265*FE265)+EC265,MAX(J265,AJ265))</f>
        <v>506.05660021424757</v>
      </c>
      <c r="FO265" s="23">
        <f>IF(CU265&lt;0.6,0.6,IF(CU265&lt;0.8,0.8,IF(CU265&lt;1,1,IF(CU265&lt;1.2,1.2,IF(CU265&lt;1.4,1.4,IF(CU265&lt;1.6,1.6,IF(CU265&lt;1.8,1.8,IF(CU265&lt;2,2,2.2))))))))</f>
        <v>1.6</v>
      </c>
      <c r="FP265" s="23">
        <f>IF(CV265&lt;0.6,0.6,IF(CV265&lt;0.8,0.8,IF(CV265&lt;1,1,IF(CV265&lt;1.2,1.2,IF(CV265&lt;1.4,1.4,IF(CV265&lt;1.6,1.6,IF(CV265&lt;1.8,1.8,IF(CV265&lt;2,2,2.2))))))))</f>
        <v>0.8</v>
      </c>
      <c r="FQ265" s="23">
        <f>IF(DA265&lt;0.6,0.6,IF(DA265&lt;0.8,0.8,IF(DA265&lt;1,1,IF(DA265&lt;1.2,1.2,IF(DA265&lt;1.4,1.4,IF(DA265&lt;1.6,1.6,IF(DA265&lt;1.8,1.8,IF(DA265&lt;2,2,2.2))))))))</f>
        <v>1.8</v>
      </c>
      <c r="FR265" s="23">
        <f>IF(CX265&lt;0.6,0.6,IF(CX265&lt;0.8,0.8,IF(CX265&lt;1,1,IF(CX265&lt;1.2,1.2,IF(CX265&lt;1.4,1.4,IF(CX265&lt;1.6,1.6,IF(CX265&lt;1.8,1.8,IF(CX265&lt;2,2,2.2))))))))</f>
        <v>2</v>
      </c>
      <c r="FS265" s="23">
        <f>IF(CY265&lt;0.6,0.6,IF(CY265&lt;0.8,0.8,IF(CY265&lt;1,1,IF(CY265&lt;1.2,1.2,IF(CY265&lt;1.4,1.4,IF(CY265&lt;1.6,1.6,IF(CY265&lt;1.8,1.8,IF(CY265&lt;2,2,2.2))))))))</f>
        <v>2</v>
      </c>
      <c r="FT265" s="23">
        <f>IF(CZ265&lt;0.6,0.6,IF(CZ265&lt;0.8,0.8,IF(CZ265&lt;1,1,IF(CZ265&lt;1.2,1.2,IF(CZ265&lt;1.4,1.4,IF(CZ265&lt;1.6,1.6,IF(CZ265&lt;1.8,1.8,IF(CZ265&lt;2,2,2.2))))))))</f>
        <v>1.4</v>
      </c>
      <c r="FU265" s="23">
        <f>IF(FS265&lt;1,1,0)</f>
        <v>0</v>
      </c>
      <c r="FV265" s="23"/>
      <c r="GF265" s="4">
        <f>IF(S265&gt;=2.5*25.4,1,1.25)</f>
        <v>1.25</v>
      </c>
      <c r="GG265" s="4">
        <f>IF(AO265&gt;1, 0.05*(18-MIN(8,(W265+N265)/N265))*(1-48000/MAX(60000,(J265*145))*(N265/25.4)^0.75*GH265), 1/12*(14-MIN(8,(W265+N265)/N265)))</f>
        <v>0.62803124999999993</v>
      </c>
      <c r="GH265" s="4">
        <f>MIN(0.3, AM265^2*PI()/4*2*AP265/(N265^2*PI()/4*X265))</f>
        <v>9.3749999999999986E-2</v>
      </c>
      <c r="GI265" s="4">
        <f>(K265/25.4)/(N265/25.4)^1.5/0.0024*(M265*145)^0.25/GF265/GG265/145</f>
        <v>514.61061440028129</v>
      </c>
    </row>
    <row r="266" spans="1:191" ht="12" customHeight="1" x14ac:dyDescent="0.3">
      <c r="A266" s="25">
        <v>290</v>
      </c>
      <c r="B266" s="4" t="s">
        <v>605</v>
      </c>
      <c r="C266" s="4">
        <v>2016</v>
      </c>
      <c r="D266" s="4" t="s">
        <v>309</v>
      </c>
      <c r="E266" s="24" t="s">
        <v>667</v>
      </c>
      <c r="F266" s="24"/>
      <c r="G266" s="24">
        <v>25</v>
      </c>
      <c r="H266" s="48" t="s">
        <v>449</v>
      </c>
      <c r="I266" s="5">
        <f>K266/N266</f>
        <v>14.059999999999999</v>
      </c>
      <c r="J266" s="78">
        <f>115.9/0.145</f>
        <v>799.31034482758628</v>
      </c>
      <c r="K266" s="98">
        <f>14.06*25.4</f>
        <v>357.12399999999997</v>
      </c>
      <c r="L266" s="4">
        <f>K266</f>
        <v>357.12399999999997</v>
      </c>
      <c r="M266" s="98">
        <f>5570/145</f>
        <v>38.413793103448278</v>
      </c>
      <c r="N266" s="96">
        <f>1*25.4</f>
        <v>25.4</v>
      </c>
      <c r="O266" s="7">
        <f>K266/N266</f>
        <v>14.059999999999999</v>
      </c>
      <c r="P266" s="7">
        <f>L266/N266</f>
        <v>14.059999999999999</v>
      </c>
      <c r="Q266" s="38">
        <f>16.8*25.4</f>
        <v>426.71999999999997</v>
      </c>
      <c r="R266" s="32">
        <f>S266/N266</f>
        <v>2.4500000000000002</v>
      </c>
      <c r="S266" s="38">
        <f>2.45*25.4</f>
        <v>62.230000000000004</v>
      </c>
      <c r="T266" s="32">
        <f>U266/N266</f>
        <v>3.4000000000000004</v>
      </c>
      <c r="U266" s="39">
        <f>3.4*25.4</f>
        <v>86.36</v>
      </c>
      <c r="V266" s="32">
        <f>W266/N266</f>
        <v>2.6333333333333337</v>
      </c>
      <c r="W266" s="7">
        <f>(Q266-X266*N266-2*S266)/(X266-1)</f>
        <v>66.88666666666667</v>
      </c>
      <c r="X266" s="38">
        <v>4</v>
      </c>
      <c r="Y266" s="7">
        <f>AN266</f>
        <v>0</v>
      </c>
      <c r="Z266" s="32">
        <f>AA266/N266</f>
        <v>10.25</v>
      </c>
      <c r="AA266" s="4">
        <f>10.25*25.4</f>
        <v>260.34999999999997</v>
      </c>
      <c r="AB266" s="7">
        <f>MIN(S266/N266+0.5, W266/2/N266+0.5)</f>
        <v>1.8166666666666669</v>
      </c>
      <c r="AC266" s="7">
        <f>S266/N266+0.5</f>
        <v>2.95</v>
      </c>
      <c r="AD266" s="38">
        <v>9.1</v>
      </c>
      <c r="AE266" s="4">
        <f>AD266</f>
        <v>9.1</v>
      </c>
      <c r="AF266" s="4">
        <f>AE266+1</f>
        <v>10.1</v>
      </c>
      <c r="AG266" s="7">
        <f>N266*AF266^0.5</f>
        <v>80.72246279691916</v>
      </c>
      <c r="AJ266" s="38">
        <f>AK266/0.145</f>
        <v>534.48275862068965</v>
      </c>
      <c r="AK266" s="4">
        <v>77.5</v>
      </c>
      <c r="AL266" s="4">
        <f>CY266</f>
        <v>1.5399308845379911</v>
      </c>
      <c r="AM266" s="38">
        <v>0</v>
      </c>
      <c r="AN266" s="38">
        <v>0</v>
      </c>
      <c r="AO266" s="39">
        <f>L266</f>
        <v>357.12399999999997</v>
      </c>
      <c r="AP266" s="39"/>
      <c r="AQ266" s="39"/>
      <c r="AR266" s="7"/>
      <c r="AS266" s="4">
        <f>K266</f>
        <v>357.12399999999997</v>
      </c>
      <c r="AT266" s="4">
        <f>IF(K266*3&gt;W266+N266, Q266, (S266+N266/2)*2+1.5*K266*(2*X266-2))*(3*K266)/(9*K266^2)</f>
        <v>0.39829302987197723</v>
      </c>
      <c r="AU266" s="4">
        <f>MIN(10*M266^0.5*K266^1.5,100*3.9*M266^0.5*K266^(5/3))/(PI()/4*N266^2)/X266</f>
        <v>206.37393566831358</v>
      </c>
      <c r="AV266" s="4">
        <f>MIN(0.7+0.3*(MIN(S266,AA266)+0.5*N266)/1.5/K266,1)</f>
        <v>0.74196301564722611</v>
      </c>
      <c r="AW266" s="4">
        <v>1.25</v>
      </c>
      <c r="AX266" s="4">
        <f>AX265</f>
        <v>1</v>
      </c>
      <c r="AY266" s="38">
        <f>AT266*AV266*AW266*AX266*AU266</f>
        <v>76.234195847520624</v>
      </c>
      <c r="AZ266" s="38">
        <f>AY266</f>
        <v>76.234195847520624</v>
      </c>
      <c r="BA266" s="38">
        <f>IF(M266&lt;50, 0.3*M266^(2/3), 2.12*LN(1+0.1*(M266+8)))</f>
        <v>3.4154351999890475</v>
      </c>
      <c r="BB266" s="38">
        <f>AX266* (M266^0.5/AS266^0.5)/(PI()/4*N266^2)/X266/0.72 *(0.7+(MIN(S266,AA266)+0.5*N266)/5/K266) *(3*Q266*K266)</f>
        <v>76.234195847520581</v>
      </c>
      <c r="BC266" s="38">
        <f>AY266/BB266</f>
        <v>1.0000000000000007</v>
      </c>
      <c r="BD266" s="38">
        <f>BH266/BB266</f>
        <v>6.9010300487158309</v>
      </c>
      <c r="BE266" s="4">
        <f>IF(BD266&lt;1,1,0)</f>
        <v>0</v>
      </c>
      <c r="BF266" s="4">
        <f>L266/N266*M266^0.5/0.19</f>
        <v>458.64357733918251</v>
      </c>
      <c r="BG266" s="4">
        <f>MIN(0.6+0.4*(AC266/AB266),2)</f>
        <v>1.2495412844036697</v>
      </c>
      <c r="BH266" s="38">
        <f>2*M266*AB266*AD266^0.5*BG266*0.7/0.7</f>
        <v>526.09447628342718</v>
      </c>
      <c r="BI266" s="4">
        <f>MAX(1-0.7*AE266/5,0.3)</f>
        <v>0.3</v>
      </c>
      <c r="BJ266" s="4">
        <f>BI266*J266*L266/(J266*N266/2.75/M266^0.5)</f>
        <v>71.89238074791686</v>
      </c>
      <c r="BK266" s="4">
        <f>BH266+BJ266</f>
        <v>597.98685703134402</v>
      </c>
      <c r="BM266" s="4">
        <f>MIN(1.5, 0.75+0.25*MIN(3,MAX(1,S266/N266))+0.4*MIN(1,(40*2*PI()*AM266^2/4/AO266/X266)/N266))</f>
        <v>1.3625</v>
      </c>
      <c r="BN266" s="4">
        <f>(3*P266+30)*BM266*M266^0.5</f>
        <v>609.53266586913844</v>
      </c>
      <c r="BP266" s="4">
        <f>3.4/PI()^0.5*M266*AB266*AE266^0.5*BG266</f>
        <v>504.58893991790706</v>
      </c>
      <c r="BQ266" s="4">
        <f>8/3*AH266*AI266^2/(AG266-N266-22)/N266*(AG266^2-N266^2)/(AG266^2-(N266+22)^2)</f>
        <v>0</v>
      </c>
      <c r="BR266" s="4">
        <f>BQ266/BP266</f>
        <v>0</v>
      </c>
      <c r="BZ266" s="4">
        <f>IF(W266=0,S266,MIN(W266/2,S266))</f>
        <v>33.443333333333335</v>
      </c>
      <c r="CD266" s="9"/>
      <c r="CF266" s="9"/>
      <c r="CG266" s="9"/>
      <c r="CH266" s="9">
        <f>IF(W266=0,MIN(S266,U266),MIN(W266/2,S266,U266))</f>
        <v>33.443333333333335</v>
      </c>
      <c r="CI266" s="9">
        <f>MAX(W266/2,S266)</f>
        <v>62.230000000000004</v>
      </c>
      <c r="CJ266" s="9">
        <f>(CH266/N266)^0.5*(CI266/CH266)^0.15</f>
        <v>1.2594805263392668</v>
      </c>
      <c r="CK266" s="70">
        <f>IF(AO266&gt;1,20,0)</f>
        <v>20</v>
      </c>
      <c r="CL266" s="9">
        <f>MIN(PI()*AM266^2/4*AN266*2/X266/N266/MAX(0.01,AO266),0.05)</f>
        <v>0</v>
      </c>
      <c r="CM266" s="9">
        <f>MAX(0,CK266*(CL266-0.5/50))</f>
        <v>0</v>
      </c>
      <c r="CN266" s="9">
        <f>MIN(1,(25/N266)^0.3)</f>
        <v>0.99524931562137331</v>
      </c>
      <c r="CO266" s="9">
        <f>IF(J266&gt;=800,0.68,IF(J266&gt;=700,0.75-(J266-700)*0.07/100,IF(J266&gt;=600,0.85-(J266-600)*0.1/100,IF(J266&gt;=500,1-(J266-500)*0.15/100,1.2-(J266-400)*0.2/100))))</f>
        <v>0.68048275862068963</v>
      </c>
      <c r="CP266" s="9">
        <f>1.75*CN266*CO266*(M266/25)^0.5</f>
        <v>1.4691314450397035</v>
      </c>
      <c r="CQ266" s="9">
        <f>MIN((CJ266+CM266)*CP266,2.5*CP266,M266^0.5)</f>
        <v>1.8503424456601734</v>
      </c>
      <c r="CR266" s="40">
        <v>1</v>
      </c>
      <c r="CS266" s="9">
        <f>4*CQ266*P266+60*CQ266</f>
        <v>215.08380588353853</v>
      </c>
      <c r="CU266" s="4">
        <f>AJ266/BF266</f>
        <v>1.1653553762193458</v>
      </c>
      <c r="CV266" s="4">
        <f>AJ266/BK266</f>
        <v>0.89380352149223619</v>
      </c>
      <c r="CW266" s="4">
        <f>AJ266/BN266</f>
        <v>0.87687303494811975</v>
      </c>
      <c r="CX266" s="4">
        <f>AJ266/CS266</f>
        <v>2.4849976799745499</v>
      </c>
      <c r="CY266" s="4">
        <f>AJ266/DZ266</f>
        <v>1.5399308845379911</v>
      </c>
      <c r="CZ266" s="4">
        <f>AJ266/EL266</f>
        <v>1.1152914305964363</v>
      </c>
      <c r="DA266" s="4">
        <f>AJ266/GI266</f>
        <v>1.3749910064068995</v>
      </c>
      <c r="DB266" s="4">
        <f>AN266</f>
        <v>0</v>
      </c>
      <c r="DC266" s="4">
        <f>CU266</f>
        <v>1.1653553762193458</v>
      </c>
      <c r="DD266" s="4">
        <f>CV266</f>
        <v>0.89380352149223619</v>
      </c>
      <c r="DE266" s="4">
        <f>CX266</f>
        <v>2.4849976799745499</v>
      </c>
      <c r="DF266" s="4">
        <f>DA266</f>
        <v>1.3749910064068995</v>
      </c>
      <c r="DG266" s="4">
        <f>CY266</f>
        <v>1.5399308845379911</v>
      </c>
      <c r="DH266" s="4">
        <f>CZ266</f>
        <v>1.1152914305964363</v>
      </c>
      <c r="DQ266" s="4">
        <f>L266</f>
        <v>357.12399999999997</v>
      </c>
      <c r="DT266" s="4">
        <f>K266/4/(1-0.3*(M266/30)^0.5)/200000/N266</f>
        <v>2.6607510214801819E-5</v>
      </c>
      <c r="DU266" s="4">
        <f>EP266</f>
        <v>6.8739942690645091</v>
      </c>
      <c r="DV266" s="4">
        <f>EC266*AG266/257/M266/AD266</f>
        <v>6.8498729828222998E-2</v>
      </c>
      <c r="DW266" s="4">
        <f>DU266*DV266^0.4</f>
        <v>2.3522429366621935</v>
      </c>
      <c r="DX266" s="4">
        <f>MIN(DU266, DU266/1.4*(1-DV266^1.4)/(1-DV266))</f>
        <v>5.1475036133397767</v>
      </c>
      <c r="DY266" s="4">
        <f>MAX(DU266/2, (4-DT266*(8*AG266*(DW266-DX266)+6*K266*DX266))/(4+DT266*K266*DU266)*DU266)</f>
        <v>6.3485287933844727</v>
      </c>
      <c r="DZ266" s="38">
        <f>MIN(1/N266*(4*AG266*(DW266-DX266)+(3*DX266+DY266)*K266)+EC266 -FJ266,MAX(J266,AJ266))</f>
        <v>347.08230348990293</v>
      </c>
      <c r="EA266" s="4">
        <f>DZ266/FF266</f>
        <v>1.0000838883849188</v>
      </c>
      <c r="EB266" s="4">
        <f>AG266/N266</f>
        <v>3.1780497164141401</v>
      </c>
      <c r="EC266" s="4">
        <f>MIN(EB$10*BB266)</f>
        <v>76.234195847520581</v>
      </c>
      <c r="EG266" s="4">
        <f>IF(U266&gt;1*N266,0.85,1)</f>
        <v>0.85</v>
      </c>
      <c r="EH266" s="4">
        <f>MIN(1,MAX(0.7,(1-0.1*(BZ266-1*N266)/N266)))</f>
        <v>0.96833333333333327</v>
      </c>
      <c r="EI266" s="4">
        <f>MIN(1,MAX(0.7,1-0.3*(PI()*AM266^2/4*AQ266*2-0.25*PI()/4*N266^2)/(PI()/4*N266^2)))</f>
        <v>1</v>
      </c>
      <c r="EJ266" s="4">
        <f>IF(EH266*EI266&lt;0.7,0.7,EH266*EI266)</f>
        <v>0.96833333333333327</v>
      </c>
      <c r="EL266" s="4">
        <f>MIN(DU266/N266*3*K266+EM266-FJ266,MAX(J266,AJ266))</f>
        <v>479.23147614866775</v>
      </c>
      <c r="EM266" s="25">
        <f>13.3*Q266*K266^0.5*M266^0.5/X266/N266^2*(0.7+S266/5/K266)</f>
        <v>189.28639787952685</v>
      </c>
      <c r="EO266" s="4">
        <f>EG266*EJ266</f>
        <v>0.82308333333333328</v>
      </c>
      <c r="EP266" s="4">
        <f>IF(N266&lt;22.2,1.1*5*(M266/30)^0.5,IF(N266&gt;=31.8,0.9*5*(M266/30)^0.5,1*5*(M266/30)^0.5))/EG266/EJ266</f>
        <v>6.8739942690645091</v>
      </c>
      <c r="ES266" s="4">
        <f>ET266*N266</f>
        <v>80.72246279691916</v>
      </c>
      <c r="ET266" s="4">
        <f>AF266^0.5</f>
        <v>3.1780497164141406</v>
      </c>
      <c r="EU266" s="4">
        <f>MIN(EC266)/(4700*M266^0.5)/AE266*ES266</f>
        <v>2.3214609374188719E-2</v>
      </c>
      <c r="EX266" s="4">
        <f>EU266</f>
        <v>2.3214609374188719E-2</v>
      </c>
      <c r="EY266" s="4">
        <f>MIN(0.999, EX266/(0.3*(M266/30)^0.5))</f>
        <v>6.8384418214567491E-2</v>
      </c>
      <c r="EZ266" s="4">
        <f>EP266/1*EY266^0.4</f>
        <v>2.3506719678343084</v>
      </c>
      <c r="FA266" s="4">
        <f>EP266/1.4*(1-EY266^1.4)/(1-EY266)</f>
        <v>5.1471605313435305</v>
      </c>
      <c r="FB266" s="4">
        <f>MAX(0,DQ266*FB$9-ES266)</f>
        <v>187.1205372030808</v>
      </c>
      <c r="FC266" s="4">
        <f>MAX(0,DQ266-ES266-FB266)</f>
        <v>89.281000000000006</v>
      </c>
      <c r="FD266" s="4">
        <f>FC266/(1-0.3*(M266/30)^0.5)/200000/N266</f>
        <v>2.6607510214801826E-5</v>
      </c>
      <c r="FE266" s="4">
        <f>MAX(0.5*EP266, (1-2*FD266*(ES266*EZ266+FB266*FA266))/(1/EP266+FD266*FC266))</f>
        <v>6.348597542219486</v>
      </c>
      <c r="FF266" s="4">
        <f>MIN(4/N266*(1*EZ266*ES266+FA266*FB266+FC266*FE266)+EC266,MAX(J266,AJ266))</f>
        <v>347.05318975833319</v>
      </c>
      <c r="FI266" s="4">
        <f>5.25*25.4</f>
        <v>133.35</v>
      </c>
      <c r="FO266" s="23">
        <f>IF(CU266&lt;0.6,0.6,IF(CU266&lt;0.8,0.8,IF(CU266&lt;1,1,IF(CU266&lt;1.2,1.2,IF(CU266&lt;1.4,1.4,IF(CU266&lt;1.6,1.6,IF(CU266&lt;1.8,1.8,IF(CU266&lt;2,2,2.2))))))))</f>
        <v>1.2</v>
      </c>
      <c r="FP266" s="23">
        <f>IF(CV266&lt;0.6,0.6,IF(CV266&lt;0.8,0.8,IF(CV266&lt;1,1,IF(CV266&lt;1.2,1.2,IF(CV266&lt;1.4,1.4,IF(CV266&lt;1.6,1.6,IF(CV266&lt;1.8,1.8,IF(CV266&lt;2,2,2.2))))))))</f>
        <v>1</v>
      </c>
      <c r="FQ266" s="23">
        <f>IF(DA266&lt;0.6,0.6,IF(DA266&lt;0.8,0.8,IF(DA266&lt;1,1,IF(DA266&lt;1.2,1.2,IF(DA266&lt;1.4,1.4,IF(DA266&lt;1.6,1.6,IF(DA266&lt;1.8,1.8,IF(DA266&lt;2,2,2.2))))))))</f>
        <v>1.4</v>
      </c>
      <c r="FR266" s="23">
        <f>IF(CX266&lt;0.6,0.6,IF(CX266&lt;0.8,0.8,IF(CX266&lt;1,1,IF(CX266&lt;1.2,1.2,IF(CX266&lt;1.4,1.4,IF(CX266&lt;1.6,1.6,IF(CX266&lt;1.8,1.8,IF(CX266&lt;2,2,2.2))))))))</f>
        <v>2.2000000000000002</v>
      </c>
      <c r="FS266" s="23">
        <f>IF(CY266&lt;0.6,0.6,IF(CY266&lt;0.8,0.8,IF(CY266&lt;1,1,IF(CY266&lt;1.2,1.2,IF(CY266&lt;1.4,1.4,IF(CY266&lt;1.6,1.6,IF(CY266&lt;1.8,1.8,IF(CY266&lt;2,2,2.2))))))))</f>
        <v>1.6</v>
      </c>
      <c r="FT266" s="23">
        <f>IF(CZ266&lt;0.6,0.6,IF(CZ266&lt;0.8,0.8,IF(CZ266&lt;1,1,IF(CZ266&lt;1.2,1.2,IF(CZ266&lt;1.4,1.4,IF(CZ266&lt;1.6,1.6,IF(CZ266&lt;1.8,1.8,IF(CZ266&lt;2,2,2.2))))))))</f>
        <v>1.2</v>
      </c>
      <c r="FU266" s="23">
        <f>IF(FS266&lt;1,1,0)</f>
        <v>0</v>
      </c>
      <c r="FV266" s="23"/>
      <c r="GF266" s="4">
        <f>IF(S266&gt;=2.5*25.4,1,1.25)</f>
        <v>1.25</v>
      </c>
      <c r="GG266" s="4">
        <f>IF(AO266&gt;1, 0.05*(18-MIN(8,(W266+N266)/N266))*(1-48000/MAX(60000,(J266*145))*(N266/25.4)^0.75*GH266), 1/12*(14-MIN(8,(W266+N266)/N266)))</f>
        <v>0.71833333333333338</v>
      </c>
      <c r="GH266" s="4">
        <f>MIN(0.3, AM266^2*PI()/4*2*AP266/(N266^2*PI()/4*X266))</f>
        <v>0</v>
      </c>
      <c r="GI266" s="4">
        <f>(K266/25.4)/(N266/25.4)^1.5/0.0024*(M266*145)^0.25/GF266/GG266/145</f>
        <v>388.71727606232849</v>
      </c>
    </row>
    <row r="267" spans="1:191" ht="12" customHeight="1" x14ac:dyDescent="0.3">
      <c r="A267" s="25">
        <v>209</v>
      </c>
      <c r="B267" s="24" t="s">
        <v>182</v>
      </c>
      <c r="C267" s="4">
        <v>1996</v>
      </c>
      <c r="D267" s="24" t="s">
        <v>309</v>
      </c>
      <c r="E267" s="24"/>
      <c r="F267" s="24"/>
      <c r="G267" s="24"/>
      <c r="H267" s="4" t="s">
        <v>343</v>
      </c>
      <c r="I267" s="5">
        <f>K267/N267</f>
        <v>9.9441340782122918</v>
      </c>
      <c r="J267" s="110">
        <v>556</v>
      </c>
      <c r="K267" s="7">
        <f>457-U267-25</f>
        <v>356</v>
      </c>
      <c r="L267" s="7">
        <f>K267</f>
        <v>356</v>
      </c>
      <c r="M267" s="7">
        <v>39.6</v>
      </c>
      <c r="N267" s="105">
        <v>35.799999999999997</v>
      </c>
      <c r="O267" s="7">
        <f>K267/N267</f>
        <v>9.9441340782122918</v>
      </c>
      <c r="P267" s="7">
        <f>L267/N267</f>
        <v>9.9441340782122918</v>
      </c>
      <c r="Q267" s="7">
        <v>305</v>
      </c>
      <c r="R267" s="32">
        <f>S267/N267</f>
        <v>2.1229050279329611</v>
      </c>
      <c r="S267" s="7">
        <v>76</v>
      </c>
      <c r="T267" s="32">
        <f>U267/N267</f>
        <v>2.1229050279329611</v>
      </c>
      <c r="U267" s="7">
        <v>76</v>
      </c>
      <c r="V267" s="32">
        <f>W267/N267</f>
        <v>2.2737430167597767</v>
      </c>
      <c r="W267" s="7">
        <f>Q267-2*N267-2*S267</f>
        <v>81.400000000000006</v>
      </c>
      <c r="X267" s="7">
        <v>2</v>
      </c>
      <c r="Y267" s="7">
        <f>AN267</f>
        <v>0</v>
      </c>
      <c r="Z267" s="32">
        <f>AA267/N267</f>
        <v>7.8212290502793298</v>
      </c>
      <c r="AA267" s="7">
        <f>775-(343+152)</f>
        <v>280</v>
      </c>
      <c r="AB267" s="7">
        <f>MIN(S267/N267+0.5, W267/2/N267+0.5)</f>
        <v>1.6368715083798884</v>
      </c>
      <c r="AC267" s="7">
        <f>S267/N267+0.5</f>
        <v>2.6229050279329611</v>
      </c>
      <c r="AD267" s="7">
        <f>3025/(N267^2*PI()/4)-1</f>
        <v>2.0051727652257014</v>
      </c>
      <c r="AE267" s="7">
        <f>3025/(N267^2*PI()/4)-1</f>
        <v>2.0051727652257014</v>
      </c>
      <c r="AF267" s="7">
        <f>AE267+1</f>
        <v>3.0051727652257014</v>
      </c>
      <c r="AG267" s="7">
        <f>N267*AF267^0.5</f>
        <v>62.060854190253195</v>
      </c>
      <c r="AH267" s="7">
        <f>J267</f>
        <v>556</v>
      </c>
      <c r="AI267" s="7">
        <v>25</v>
      </c>
      <c r="AJ267" s="7">
        <f>426*1000/(N267^2*PI()/4)</f>
        <v>423.20780098715659</v>
      </c>
      <c r="AK267" s="7"/>
      <c r="AL267" s="4">
        <f>CY267</f>
        <v>1.7137964299552733</v>
      </c>
      <c r="AM267" s="7">
        <v>0</v>
      </c>
      <c r="AN267" s="7">
        <v>0</v>
      </c>
      <c r="AO267" s="7">
        <f>L267</f>
        <v>356</v>
      </c>
      <c r="AP267" s="7"/>
      <c r="AQ267" s="7"/>
      <c r="AR267" s="7">
        <f>3*AS267/(W267+N267)</f>
        <v>9.112627986348123</v>
      </c>
      <c r="AS267" s="4">
        <f>K267</f>
        <v>356</v>
      </c>
      <c r="AT267" s="4">
        <f>IF(K267*3&gt;W267+N267, Q267, (S267+N267/2)*2+1.5*K267*(2*X267-2))*(3*K267)/(9*K267^2)</f>
        <v>0.28558052434456926</v>
      </c>
      <c r="AU267" s="4">
        <f>MIN(10*M267^0.5*K267^1.5,100*3.9*M267^0.5*K267^(5/3))/(PI()/4*N267^2)/X267</f>
        <v>209.96004617345227</v>
      </c>
      <c r="AV267" s="4">
        <f>MIN(0.7+0.3*(MIN(S267,AA267)+0.5*N267)/1.5/K267,1)</f>
        <v>0.75275280898876396</v>
      </c>
      <c r="AW267" s="4">
        <v>1.25</v>
      </c>
      <c r="AX267" s="4">
        <f>AX266</f>
        <v>1</v>
      </c>
      <c r="AY267" s="38">
        <f>AT267*AV267*AW267*AX267*AU267</f>
        <v>56.419293577253526</v>
      </c>
      <c r="AZ267" s="38">
        <f>AY267</f>
        <v>56.419293577253526</v>
      </c>
      <c r="BA267" s="38">
        <f>IF(M267&lt;50, 0.3*M267^(2/3), 2.12*LN(1+0.1*(M267+8)))</f>
        <v>3.4853899827538752</v>
      </c>
      <c r="BB267" s="38">
        <f>AX267* (M267^0.5/AS267^0.5)/(PI()/4*N267^2)/X267/0.72 *(0.7+(MIN(S267,AA267)+0.5*N267)/5/K267) *(3*Q267*K267)</f>
        <v>56.419293577253491</v>
      </c>
      <c r="BC267" s="38">
        <f>AY267/BB267</f>
        <v>1.0000000000000007</v>
      </c>
      <c r="BD267" s="38">
        <f>BH267/BB267</f>
        <v>4.0377951283976961</v>
      </c>
      <c r="BE267" s="4">
        <f>IF(BD267&lt;1,1,0)</f>
        <v>0</v>
      </c>
      <c r="BF267" s="4">
        <f>L267/N267*M267^0.5/0.19</f>
        <v>329.35249921955955</v>
      </c>
      <c r="BG267" s="4">
        <f>MIN(0.6+0.4*(AC267/AB267),2)</f>
        <v>1.2409556313993173</v>
      </c>
      <c r="BH267" s="38">
        <f>2*M267*AB267*AD267^0.5*BG267*0.7/0.7</f>
        <v>227.80954875387357</v>
      </c>
      <c r="BI267" s="4">
        <f>MAX(1-0.7*AE267/5,0.3)</f>
        <v>0.71927581286840181</v>
      </c>
      <c r="BJ267" s="4">
        <f>BI267*J267*L267/(J267*N267/2.75/M267^0.5)</f>
        <v>123.77778724661293</v>
      </c>
      <c r="BK267" s="4">
        <f>BH267+BJ267</f>
        <v>351.58733600048652</v>
      </c>
      <c r="BM267" s="4">
        <f>MIN(1.5, 0.75+0.25*MIN(3,MAX(1,S267/N267))+0.4*MIN(1,(40*2*PI()*AM267^2/4/AO267/X267)/N267))</f>
        <v>1.2807262569832403</v>
      </c>
      <c r="BN267" s="4">
        <f>(3*P267+30)*BM267*M267^0.5</f>
        <v>482.21458979893413</v>
      </c>
      <c r="BP267" s="4">
        <f>3.4/PI()^0.5*M267*AB267*AE267^0.5*BG267</f>
        <v>218.49721654740532</v>
      </c>
      <c r="BQ267" s="4">
        <f>8/3*AH267*AI267^2/(AG267-N267-22)/N267*(AG267^2-N267^2)/(AG267^2-(N267+22)^2)</f>
        <v>30569.451870773988</v>
      </c>
      <c r="BR267" s="4">
        <f>BQ267/BP267</f>
        <v>139.9077404912461</v>
      </c>
      <c r="BZ267" s="4">
        <f>IF(W267=0,S267,MIN(W267/2,S267))</f>
        <v>40.700000000000003</v>
      </c>
      <c r="CD267" s="9"/>
      <c r="CF267" s="9"/>
      <c r="CG267" s="9"/>
      <c r="CH267" s="9">
        <f>IF(W267=0,MIN(S267,U267),MIN(W267/2,S267,U267))</f>
        <v>40.700000000000003</v>
      </c>
      <c r="CI267" s="9">
        <f>MAX(W267/2,S267)</f>
        <v>76</v>
      </c>
      <c r="CJ267" s="9">
        <f>(CH267/N267)^0.5*(CI267/CH267)^0.15</f>
        <v>1.1709505872794554</v>
      </c>
      <c r="CK267" s="70">
        <v>0</v>
      </c>
      <c r="CL267" s="9">
        <f>MIN(PI()*AM267^2/4*AN267*2/X267/N267/MAX(0.01,AO267),0.05)</f>
        <v>0</v>
      </c>
      <c r="CM267" s="9">
        <f>MAX(0,CK267*(CL267-0.5/50))</f>
        <v>0</v>
      </c>
      <c r="CN267" s="9">
        <f>MIN(1,(25/N267)^0.3)</f>
        <v>0.89787751228078194</v>
      </c>
      <c r="CO267" s="9">
        <f>IF(J267&gt;=800,0.68,IF(J267&gt;=700,0.75-(J267-700)*0.07/100,IF(J267&gt;=600,0.85-(J267-600)*0.1/100,IF(J267&gt;=500,1-(J267-500)*0.15/100,1.2-(J267-400)*0.2/100))))</f>
        <v>0.91600000000000004</v>
      </c>
      <c r="CP267" s="9">
        <f>1.75*CN267*CO267*(M267/25)^0.5</f>
        <v>1.8114577353159602</v>
      </c>
      <c r="CQ267" s="9">
        <f>MIN((CJ267+CM267)*CP267,2.5*CP267,M267^0.5)</f>
        <v>2.1211274990001359</v>
      </c>
      <c r="CR267" s="9">
        <v>1</v>
      </c>
      <c r="CS267" s="9">
        <f>4*CQ267*P267+60*CQ267</f>
        <v>211.63875492816999</v>
      </c>
      <c r="CU267" s="4">
        <f>AJ267/BF267</f>
        <v>1.2849691500444007</v>
      </c>
      <c r="CV267" s="4">
        <f>AJ267/BK267</f>
        <v>1.2037060430031272</v>
      </c>
      <c r="CW267" s="4">
        <f>AJ267/BN267</f>
        <v>0.87763375463944127</v>
      </c>
      <c r="CX267" s="4">
        <f>AJ267/CS267</f>
        <v>1.9996706233260206</v>
      </c>
      <c r="CY267" s="4">
        <f>AJ267/DZ267</f>
        <v>1.7137964299552733</v>
      </c>
      <c r="CZ267" s="4">
        <f>AJ267/EL267</f>
        <v>1.3081102480693489</v>
      </c>
      <c r="DA267" s="4">
        <f>AJ267/GI267</f>
        <v>1.487260947268513</v>
      </c>
      <c r="DC267" s="4">
        <f>CU267</f>
        <v>1.2849691500444007</v>
      </c>
      <c r="DD267" s="4">
        <f>CV267</f>
        <v>1.2037060430031272</v>
      </c>
      <c r="DE267" s="4">
        <f>CX267</f>
        <v>1.9996706233260206</v>
      </c>
      <c r="DF267" s="4">
        <f>DA267</f>
        <v>1.487260947268513</v>
      </c>
      <c r="DG267" s="4">
        <f>CY267</f>
        <v>1.7137964299552733</v>
      </c>
      <c r="DH267" s="4">
        <f>CZ267</f>
        <v>1.3081102480693489</v>
      </c>
      <c r="DP267" s="4">
        <f>AN267</f>
        <v>0</v>
      </c>
      <c r="DQ267" s="4">
        <f>L267</f>
        <v>356</v>
      </c>
      <c r="DT267" s="4">
        <f>K267/4/(1-0.3*(M267/30)^0.5)/200000/N267</f>
        <v>1.8967907610196526E-5</v>
      </c>
      <c r="DU267" s="4">
        <f>EP267</f>
        <v>6.1668851840490211</v>
      </c>
      <c r="DV267" s="4">
        <f>EC267*AG267/257/M267/AD267</f>
        <v>0.17157945592370594</v>
      </c>
      <c r="DW267" s="4">
        <f>DU267*DV267^0.4</f>
        <v>3.046856337666231</v>
      </c>
      <c r="DX267" s="4">
        <f>MIN(DU267, DU267/1.4*(1-DV267^1.4)/(1-DV267))</f>
        <v>4.8664958807225913</v>
      </c>
      <c r="DY267" s="4">
        <f>MAX(DU267/2, (4-DT267*(8*AG267*(DW267-DX267)+6*K267*DX267))/(4+DT267*K267*DU267)*DU267)</f>
        <v>5.8286461421479183</v>
      </c>
      <c r="DZ267" s="38">
        <f>MIN(1/N267*(4*AG267*(DW267-DX267)+(3*DX267+DY267)*K267)+EC267 -FJ267,MAX(J267,AJ267))</f>
        <v>246.94169831956148</v>
      </c>
      <c r="EA267" s="4">
        <f>DZ267/FF267</f>
        <v>1.0001131050804615</v>
      </c>
      <c r="EB267" s="4">
        <f>AG267/N267</f>
        <v>1.7335434131355643</v>
      </c>
      <c r="EC267" s="4">
        <f>MIN(EB$10*BB267)</f>
        <v>56.419293577253491</v>
      </c>
      <c r="EG267" s="4">
        <f>IF(U267&gt;1*N267,0.85,1)</f>
        <v>0.85</v>
      </c>
      <c r="EH267" s="4">
        <f>MIN(1,MAX(0.7,(1-0.1*(BZ267-1*N267)/N267)))</f>
        <v>0.98631284916201112</v>
      </c>
      <c r="EI267" s="4">
        <f>MIN(1,MAX(0.7,1-0.3*(PI()*AM267^2/4*AQ267*2-0.25*PI()/4*N267^2)/(PI()/4*N267^2)))</f>
        <v>1</v>
      </c>
      <c r="EJ267" s="4">
        <f>IF(EH267*EI267&lt;0.7,0.7,EH267*EI267)</f>
        <v>0.98631284916201112</v>
      </c>
      <c r="EL267" s="4">
        <f>MIN(DU267/N267*3*K267+EM267-FJ267,MAX(J267,AJ267))</f>
        <v>323.52609545852317</v>
      </c>
      <c r="EM267" s="25">
        <f>13.3*Q267*K267^0.5*M267^0.5/X267/N267^2*(0.7+S267/5/K267)</f>
        <v>139.55309611315016</v>
      </c>
      <c r="EO267" s="4">
        <f>EG267*EJ267</f>
        <v>0.83836592178770941</v>
      </c>
      <c r="EP267" s="4">
        <f>IF(N267&lt;22.2,1.1*5*(M267/30)^0.5,IF(N267&gt;=31.8,0.9*5*(M267/30)^0.5,1*5*(M267/30)^0.5))/EG267/EJ267</f>
        <v>6.1668851840490211</v>
      </c>
      <c r="ES267" s="4">
        <f>ET267*N267</f>
        <v>62.060854190253195</v>
      </c>
      <c r="ET267" s="4">
        <f>AF267^0.5</f>
        <v>1.7335434131355643</v>
      </c>
      <c r="EU267" s="4">
        <f>MIN(EC267)/(4700*M267^0.5)/AE267*ES267</f>
        <v>5.9040244142565763E-2</v>
      </c>
      <c r="EX267" s="4">
        <f>EU267</f>
        <v>5.9040244142565763E-2</v>
      </c>
      <c r="EY267" s="4">
        <f>MIN(0.999, EX267/(0.3*(M267/30)^0.5))</f>
        <v>0.1712931217898328</v>
      </c>
      <c r="EZ267" s="4">
        <f>EP267/1*EY267^0.4</f>
        <v>3.0448214643736318</v>
      </c>
      <c r="FA267" s="4">
        <f>EP267/1.4*(1-EY267^1.4)/(1-EY267)</f>
        <v>4.8658668088463797</v>
      </c>
      <c r="FB267" s="4">
        <f>MAX(0,DQ267*FB$9-ES267)</f>
        <v>204.9391458097468</v>
      </c>
      <c r="FC267" s="4">
        <f>MAX(0,DQ267-ES267-FB267)</f>
        <v>89.000000000000028</v>
      </c>
      <c r="FD267" s="4">
        <f>FC267/(1-0.3*(M267/30)^0.5)/200000/N267</f>
        <v>1.8967907610196532E-5</v>
      </c>
      <c r="FE267" s="4">
        <f>MAX(0.5*EP267, (1-2*FD267*(ES267*EZ267+FB267*FA267))/(1/EP267+FD267*FC267))</f>
        <v>5.8287052317010026</v>
      </c>
      <c r="FF267" s="4">
        <f>MIN(4/N267*(1*EZ267*ES267+FA267*FB267+FC267*FE267)+EC267,MAX(J267,AJ267))</f>
        <v>246.91377111761216</v>
      </c>
      <c r="FO267" s="23">
        <f>IF(CU267&lt;0.6,0.6,IF(CU267&lt;0.8,0.8,IF(CU267&lt;1,1,IF(CU267&lt;1.2,1.2,IF(CU267&lt;1.4,1.4,IF(CU267&lt;1.6,1.6,IF(CU267&lt;1.8,1.8,IF(CU267&lt;2,2,2.2))))))))</f>
        <v>1.4</v>
      </c>
      <c r="FP267" s="23">
        <f>IF(CV267&lt;0.6,0.6,IF(CV267&lt;0.8,0.8,IF(CV267&lt;1,1,IF(CV267&lt;1.2,1.2,IF(CV267&lt;1.4,1.4,IF(CV267&lt;1.6,1.6,IF(CV267&lt;1.8,1.8,IF(CV267&lt;2,2,2.2))))))))</f>
        <v>1.4</v>
      </c>
      <c r="FQ267" s="23">
        <f>IF(DA267&lt;0.6,0.6,IF(DA267&lt;0.8,0.8,IF(DA267&lt;1,1,IF(DA267&lt;1.2,1.2,IF(DA267&lt;1.4,1.4,IF(DA267&lt;1.6,1.6,IF(DA267&lt;1.8,1.8,IF(DA267&lt;2,2,2.2))))))))</f>
        <v>1.6</v>
      </c>
      <c r="FR267" s="23">
        <f>IF(CX267&lt;0.6,0.6,IF(CX267&lt;0.8,0.8,IF(CX267&lt;1,1,IF(CX267&lt;1.2,1.2,IF(CX267&lt;1.4,1.4,IF(CX267&lt;1.6,1.6,IF(CX267&lt;1.8,1.8,IF(CX267&lt;2,2,2.2))))))))</f>
        <v>2</v>
      </c>
      <c r="FS267" s="23">
        <f>IF(CY267&lt;0.6,0.6,IF(CY267&lt;0.8,0.8,IF(CY267&lt;1,1,IF(CY267&lt;1.2,1.2,IF(CY267&lt;1.4,1.4,IF(CY267&lt;1.6,1.6,IF(CY267&lt;1.8,1.8,IF(CY267&lt;2,2,2.2))))))))</f>
        <v>1.8</v>
      </c>
      <c r="FT267" s="23">
        <f>IF(CZ267&lt;0.6,0.6,IF(CZ267&lt;0.8,0.8,IF(CZ267&lt;1,1,IF(CZ267&lt;1.2,1.2,IF(CZ267&lt;1.4,1.4,IF(CZ267&lt;1.6,1.6,IF(CZ267&lt;1.8,1.8,IF(CZ267&lt;2,2,2.2))))))))</f>
        <v>1.4</v>
      </c>
      <c r="FU267" s="23">
        <f>IF(FS267&lt;1,1,0)</f>
        <v>0</v>
      </c>
      <c r="FV267" s="23"/>
      <c r="GF267" s="4">
        <f>IF(S267&gt;=2.5*25.4,1,1.25)</f>
        <v>1</v>
      </c>
      <c r="GG267" s="4">
        <f>IF(AO267&gt;1, 0.05*(18-MIN(8,(W267+N267)/N267))*(1-48000/MAX(60000,(J267*145))*(N267/25.4)^0.75*GH267), 1/12*(14-MIN(8,(W267+N267)/N267)))</f>
        <v>0.73631284916201123</v>
      </c>
      <c r="GH267" s="4">
        <f>MIN(0.3, AM267^2*PI()/4*2*AP267/(N267^2*PI()/4*X267))</f>
        <v>0</v>
      </c>
      <c r="GI267" s="4">
        <f>(K267/25.4)/(N267/25.4)^1.5/0.0024*(M267*145)^0.25/GF267/GG267/145</f>
        <v>284.55517625499101</v>
      </c>
    </row>
    <row r="268" spans="1:191" ht="12" customHeight="1" x14ac:dyDescent="0.3">
      <c r="A268" s="25">
        <v>243</v>
      </c>
      <c r="B268" s="4" t="s">
        <v>605</v>
      </c>
      <c r="C268" s="4">
        <v>2016</v>
      </c>
      <c r="D268" s="4" t="s">
        <v>309</v>
      </c>
      <c r="E268" s="24" t="s">
        <v>405</v>
      </c>
      <c r="F268" s="24"/>
      <c r="G268" s="24">
        <v>51</v>
      </c>
      <c r="H268" s="32" t="s">
        <v>700</v>
      </c>
      <c r="I268" s="5">
        <f>K268/N268</f>
        <v>12.66</v>
      </c>
      <c r="J268" s="91">
        <f>120/0.145</f>
        <v>827.58620689655174</v>
      </c>
      <c r="K268" s="38">
        <f>12.66*25.4</f>
        <v>321.56399999999996</v>
      </c>
      <c r="L268" s="4">
        <f>K268</f>
        <v>321.56399999999996</v>
      </c>
      <c r="M268" s="89">
        <f>6440/145</f>
        <v>44.413793103448278</v>
      </c>
      <c r="N268" s="96">
        <f>1*25.4</f>
        <v>25.4</v>
      </c>
      <c r="O268" s="7">
        <f>K268/N268</f>
        <v>12.66</v>
      </c>
      <c r="P268" s="7">
        <f>L268/N268</f>
        <v>12.66</v>
      </c>
      <c r="Q268" s="38">
        <f>18.5*25.4</f>
        <v>469.9</v>
      </c>
      <c r="R268" s="32">
        <f>S268/N268</f>
        <v>3.55</v>
      </c>
      <c r="S268" s="38">
        <f>3.55*25.4</f>
        <v>90.169999999999987</v>
      </c>
      <c r="T268" s="32">
        <f>U268/N268</f>
        <v>3.0499999999999994</v>
      </c>
      <c r="U268" s="39">
        <f>3.05*25.4</f>
        <v>77.469999999999985</v>
      </c>
      <c r="V268" s="32">
        <f>W268/N268</f>
        <v>9.4</v>
      </c>
      <c r="W268" s="7">
        <f>(Q268-X268*N268-2*S268)/(X268-1)</f>
        <v>238.76</v>
      </c>
      <c r="X268" s="38">
        <v>2</v>
      </c>
      <c r="Y268" s="7">
        <f>AN268</f>
        <v>0</v>
      </c>
      <c r="Z268" s="32">
        <f>AA268/N268</f>
        <v>10.25</v>
      </c>
      <c r="AA268" s="4">
        <f>10.25*25.4</f>
        <v>260.34999999999997</v>
      </c>
      <c r="AB268" s="7">
        <f>MIN(S268/N268+0.5, W268/2/N268+0.5)</f>
        <v>4.05</v>
      </c>
      <c r="AC268" s="7">
        <f>S268/N268+0.5</f>
        <v>4.05</v>
      </c>
      <c r="AD268" s="38">
        <v>4</v>
      </c>
      <c r="AE268" s="4">
        <f>AD268</f>
        <v>4</v>
      </c>
      <c r="AF268" s="4">
        <f>AE268+1</f>
        <v>5</v>
      </c>
      <c r="AG268" s="7">
        <f>N268*AF268^0.5</f>
        <v>56.796126628494655</v>
      </c>
      <c r="AJ268" s="38">
        <f>AK268/0.145</f>
        <v>802.06896551724139</v>
      </c>
      <c r="AK268" s="4">
        <v>116.3</v>
      </c>
      <c r="AL268" s="4">
        <f>CY268</f>
        <v>1.4398870419702952</v>
      </c>
      <c r="AM268" s="38">
        <v>0</v>
      </c>
      <c r="AN268" s="38">
        <v>0</v>
      </c>
      <c r="AO268" s="39">
        <f>L268</f>
        <v>321.56399999999996</v>
      </c>
      <c r="AP268" s="39"/>
      <c r="AQ268" s="39"/>
      <c r="AR268" s="7"/>
      <c r="AS268" s="4">
        <f>K268</f>
        <v>321.56399999999996</v>
      </c>
      <c r="AT268" s="4">
        <f>IF(K268*3&gt;W268+N268, Q268, (S268+N268/2)*2+1.5*K268*(2*X268-2))*(3*K268)/(9*K268^2)</f>
        <v>0.48709847288046343</v>
      </c>
      <c r="AU268" s="4">
        <f>MIN(10*M268^0.5*K268^1.5,100*3.9*M268^0.5*K268^(5/3))/(PI()/4*N268^2)/X268</f>
        <v>379.20386548000778</v>
      </c>
      <c r="AV268" s="4">
        <f>MIN(0.7+0.3*(MIN(S268,AA268)+0.5*N268)/1.5/K268,1)</f>
        <v>0.76398104265402833</v>
      </c>
      <c r="AW268" s="4">
        <v>1.25</v>
      </c>
      <c r="AX268" s="4">
        <f>AX267</f>
        <v>1</v>
      </c>
      <c r="AY268" s="38">
        <f>AT268*AV268*AW268*AX268*AU268</f>
        <v>176.39331371002186</v>
      </c>
      <c r="AZ268" s="38">
        <f>AY268</f>
        <v>176.39331371002186</v>
      </c>
      <c r="BA268" s="38">
        <f>IF(M268&lt;50, 0.3*M268^(2/3), 2.12*LN(1+0.1*(M268+8)))</f>
        <v>3.7624132755662103</v>
      </c>
      <c r="BB268" s="38">
        <f>AX268* (M268^0.5/AS268^0.5)/(PI()/4*N268^2)/X268/0.72 *(0.7+(MIN(S268,AA268)+0.5*N268)/5/K268) *(3*Q268*K268)</f>
        <v>176.39331371002194</v>
      </c>
      <c r="BC268" s="38">
        <f>AY268/BB268</f>
        <v>0.99999999999999956</v>
      </c>
      <c r="BD268" s="38">
        <f>BH268/BB268</f>
        <v>4.0789723439215759</v>
      </c>
      <c r="BE268" s="4">
        <f>IF(BD268&lt;1,1,0)</f>
        <v>0</v>
      </c>
      <c r="BF268" s="4">
        <f>L268/N268*M268^0.5/0.19</f>
        <v>444.05732385345885</v>
      </c>
      <c r="BG268" s="4">
        <f>MIN(0.6+0.4*(AC268/AB268),2)</f>
        <v>1</v>
      </c>
      <c r="BH268" s="38">
        <f>2*M268*AB268*AD268^0.5*BG268*0.7/0.7</f>
        <v>719.50344827586207</v>
      </c>
      <c r="BI268" s="4">
        <f>MAX(1-0.7*AE268/5,0.3)</f>
        <v>0.44000000000000006</v>
      </c>
      <c r="BJ268" s="4">
        <f>BI268*J268*L268/(J268*N268/2.75/M268^0.5)</f>
        <v>102.08877875391019</v>
      </c>
      <c r="BK268" s="4">
        <f>BH268+BJ268</f>
        <v>821.59222702977229</v>
      </c>
      <c r="BM268" s="4">
        <f>MIN(1.5, 0.75+0.25*MIN(3,MAX(1,S268/N268))+0.4*MIN(1,(40*2*PI()*AM268^2/4/AO268/X268)/N268))</f>
        <v>1.5</v>
      </c>
      <c r="BN268" s="4">
        <f>(3*P268+30)*BM268*M268^0.5</f>
        <v>679.56554577678264</v>
      </c>
      <c r="BP268" s="4">
        <f>3.4/PI()^0.5*M268*AB268*AE268^0.5*BG268</f>
        <v>690.09179643468656</v>
      </c>
      <c r="BQ268" s="4">
        <f>8/3*AK268*AI268^2/(AG268-N268-22)/N268*(AG268^2-N268^2)/(AG268^2-(N268+22)^2)</f>
        <v>0</v>
      </c>
      <c r="BR268" s="4">
        <f>BQ268/BP268</f>
        <v>0</v>
      </c>
      <c r="BZ268" s="4">
        <f>IF(W268=0,S268,MIN(W268/2,S268))</f>
        <v>90.169999999999987</v>
      </c>
      <c r="CD268" s="9"/>
      <c r="CF268" s="9"/>
      <c r="CG268" s="9"/>
      <c r="CH268" s="9">
        <f>IF(W268=0,MIN(S268,U268),MIN(W268/2,S268,U268))</f>
        <v>77.469999999999985</v>
      </c>
      <c r="CI268" s="9">
        <f>MAX(W268/2,S268)</f>
        <v>119.38</v>
      </c>
      <c r="CJ268" s="9">
        <f>(CH268/N268)^0.5*(CI268/CH268)^0.15</f>
        <v>1.8634580588395866</v>
      </c>
      <c r="CK268" s="70">
        <f>IF(AO268&gt;1,20,0)</f>
        <v>20</v>
      </c>
      <c r="CL268" s="9">
        <f>MIN(PI()*AM268^2/4*AN268*2/X268/N268/MAX(0.01,AO268),0.05)</f>
        <v>0</v>
      </c>
      <c r="CM268" s="9">
        <f>MAX(0,CK268*(CL268-0.5/50))</f>
        <v>0</v>
      </c>
      <c r="CN268" s="9">
        <f>MIN(1,(25/N268)^0.3)</f>
        <v>0.99524931562137331</v>
      </c>
      <c r="CO268" s="9">
        <f>IF(J268&gt;=800,0.68,IF(J268&gt;=700,0.75-(J268-700)*0.07/100,IF(J268&gt;=600,0.85-(J268-600)*0.1/100,IF(J268&gt;=500,1-(J268-500)*0.15/100,1.2-(J268-400)*0.2/100))))</f>
        <v>0.68</v>
      </c>
      <c r="CP268" s="9">
        <f>1.75*CN268*CO268*(M268/25)^0.5</f>
        <v>1.5785842929910907</v>
      </c>
      <c r="CQ268" s="9">
        <f>MIN((CJ268+CM268)*CP268,2.5*CP268,M268^0.5)</f>
        <v>2.9416256223318391</v>
      </c>
      <c r="CR268" s="40">
        <v>1</v>
      </c>
      <c r="CS268" s="9">
        <f>4*CQ268*P268+60*CQ268</f>
        <v>325.46145885479467</v>
      </c>
      <c r="CU268" s="4">
        <f>AJ268/BF268</f>
        <v>1.8062284359078113</v>
      </c>
      <c r="CV268" s="4">
        <f>AJ268/BK268</f>
        <v>0.97623728551679267</v>
      </c>
      <c r="CW268" s="4">
        <f>AJ268/BN268</f>
        <v>1.1802672611961667</v>
      </c>
      <c r="CX268" s="4">
        <f>AJ268/CS268</f>
        <v>2.464405365659859</v>
      </c>
      <c r="CY268" s="4">
        <f>AJ268/DZ268</f>
        <v>1.4398870419702952</v>
      </c>
      <c r="CZ268" s="4">
        <f>AJ268/EL268</f>
        <v>0.99943469121787187</v>
      </c>
      <c r="DA268" s="4">
        <f>AJ268/GI268</f>
        <v>1.2305684841268119</v>
      </c>
      <c r="DB268" s="4">
        <f>AN268</f>
        <v>0</v>
      </c>
      <c r="DC268" s="4">
        <f>CU268</f>
        <v>1.8062284359078113</v>
      </c>
      <c r="DD268" s="4">
        <f>CV268</f>
        <v>0.97623728551679267</v>
      </c>
      <c r="DE268" s="4">
        <f>CX268</f>
        <v>2.464405365659859</v>
      </c>
      <c r="DF268" s="4">
        <f>DA268</f>
        <v>1.2305684841268119</v>
      </c>
      <c r="DG268" s="4">
        <f>CY268</f>
        <v>1.4398870419702952</v>
      </c>
      <c r="DH268" s="4">
        <f>CZ268</f>
        <v>0.99943469121787187</v>
      </c>
      <c r="DQ268" s="4">
        <f>L268</f>
        <v>321.56399999999996</v>
      </c>
      <c r="DT268" s="4">
        <f>K268/4/(1-0.3*(M268/30)^0.5)/200000/N268</f>
        <v>2.4922140426979919E-5</v>
      </c>
      <c r="DU268" s="4">
        <f>EP268</f>
        <v>9.607117692376189</v>
      </c>
      <c r="DV268" s="4">
        <f>EC268*AG268/257/M268/AD268</f>
        <v>0.21942689513115035</v>
      </c>
      <c r="DW268" s="4">
        <f>DU268*DV268^0.4</f>
        <v>5.2373193266496605</v>
      </c>
      <c r="DX268" s="4">
        <f>MIN(DU268, DU268/1.4*(1-DV268^1.4)/(1-DV268))</f>
        <v>7.7396511806175399</v>
      </c>
      <c r="DY268" s="4">
        <f>MAX(DU268/2, (4-DT268*(8*AG268*(DW268-DX268)+6*K268*DX268))/(4+DT268*K268*DU268)*DU268)</f>
        <v>8.6155058251005414</v>
      </c>
      <c r="DZ268" s="38">
        <f>MIN(1/N268*(4*AG268*(DW268-DX268)+(3*DX268+DY268)*K268)+EC268 -FJ268,MAX(J268,AJ268))</f>
        <v>557.03603278470791</v>
      </c>
      <c r="EA268" s="4">
        <f>DZ268/FF268</f>
        <v>1.000112947417962</v>
      </c>
      <c r="EB268" s="4">
        <f>AG268/N268</f>
        <v>2.2360679774997898</v>
      </c>
      <c r="EC268" s="4">
        <f>MIN(EB$10*BB268)</f>
        <v>176.39331371002194</v>
      </c>
      <c r="EG268" s="4">
        <f>IF(U268&gt;1*N268,0.85,1)</f>
        <v>0.85</v>
      </c>
      <c r="EH268" s="4">
        <f>MIN(1,MAX(0.7,(1-0.1*(BZ268-1*N268)/N268)))</f>
        <v>0.74500000000000011</v>
      </c>
      <c r="EI268" s="4">
        <f>MIN(1,MAX(0.7,1-0.3*(PI()*AM268^2/4*AQ268*2-0.25*PI()/4*N268^2)/(PI()/4*N268^2)))</f>
        <v>1</v>
      </c>
      <c r="EJ268" s="4">
        <f>IF(EH268*EI268&lt;0.7,0.7,EH268*EI268)</f>
        <v>0.74500000000000011</v>
      </c>
      <c r="EL268" s="4">
        <f>MIN(DU268/N268*3*K268+EM268-FJ268,MAX(J268,AJ268))</f>
        <v>802.5226386127058</v>
      </c>
      <c r="EM268" s="25">
        <f>13.3*Q268*K268^0.5*M268^0.5/X268/N268^2*(0.7+S268/5/K268)</f>
        <v>437.64430865625809</v>
      </c>
      <c r="EO268" s="4">
        <f>EG268*EJ268</f>
        <v>0.63325000000000009</v>
      </c>
      <c r="EP268" s="4">
        <f>IF(N268&lt;22.2,1.1*5*(M268/30)^0.5,IF(N268&gt;=31.8,0.9*5*(M268/30)^0.5,1*5*(M268/30)^0.5))/EG268/EJ268</f>
        <v>9.607117692376189</v>
      </c>
      <c r="ES268" s="4">
        <f>ET268*N268</f>
        <v>56.796126628494655</v>
      </c>
      <c r="ET268" s="4">
        <f>AF268^0.5</f>
        <v>2.2360679774997898</v>
      </c>
      <c r="EU268" s="4">
        <f>MIN(EC268)/(4700*M268^0.5)/AE268*ES268</f>
        <v>7.9962075080930367E-2</v>
      </c>
      <c r="EX268" s="4">
        <f>EU268</f>
        <v>7.9962075080930367E-2</v>
      </c>
      <c r="EY268" s="4">
        <f>MIN(0.999, EX268/(0.3*(M268/30)^0.5))</f>
        <v>0.21906071253879048</v>
      </c>
      <c r="EZ268" s="4">
        <f>EP268/1*EY268^0.4</f>
        <v>5.2338215308754199</v>
      </c>
      <c r="FA268" s="4">
        <f>EP268/1.4*(1-EY268^1.4)/(1-EY268)</f>
        <v>7.7384770167754171</v>
      </c>
      <c r="FB268" s="4">
        <f>MAX(0,DQ268*FB$9-ES268)</f>
        <v>184.37687337150533</v>
      </c>
      <c r="FC268" s="4">
        <f>MAX(0,DQ268-ES268-FB268)</f>
        <v>80.390999999999963</v>
      </c>
      <c r="FD268" s="4">
        <f>FC268/(1-0.3*(M268/30)^0.5)/200000/N268</f>
        <v>2.4922140426979916E-5</v>
      </c>
      <c r="FE268" s="4">
        <f>MAX(0.5*EP268, (1-2*FD268*(ES268*EZ268+FB268*FA268))/(1/EP268+FD268*FC268))</f>
        <v>8.6157008695161235</v>
      </c>
      <c r="FF268" s="4">
        <f>MIN(4/N268*(1*EZ268*ES268+FA268*FB268+FC268*FE268)+EC268,MAX(J268,AJ268))</f>
        <v>556.97312410846564</v>
      </c>
      <c r="FO268" s="23">
        <f>IF(CU268&lt;0.6,0.6,IF(CU268&lt;0.8,0.8,IF(CU268&lt;1,1,IF(CU268&lt;1.2,1.2,IF(CU268&lt;1.4,1.4,IF(CU268&lt;1.6,1.6,IF(CU268&lt;1.8,1.8,IF(CU268&lt;2,2,2.2))))))))</f>
        <v>2</v>
      </c>
      <c r="FP268" s="23">
        <f>IF(CV268&lt;0.6,0.6,IF(CV268&lt;0.8,0.8,IF(CV268&lt;1,1,IF(CV268&lt;1.2,1.2,IF(CV268&lt;1.4,1.4,IF(CV268&lt;1.6,1.6,IF(CV268&lt;1.8,1.8,IF(CV268&lt;2,2,2.2))))))))</f>
        <v>1</v>
      </c>
      <c r="FQ268" s="23">
        <f>IF(DA268&lt;0.6,0.6,IF(DA268&lt;0.8,0.8,IF(DA268&lt;1,1,IF(DA268&lt;1.2,1.2,IF(DA268&lt;1.4,1.4,IF(DA268&lt;1.6,1.6,IF(DA268&lt;1.8,1.8,IF(DA268&lt;2,2,2.2))))))))</f>
        <v>1.4</v>
      </c>
      <c r="FR268" s="23">
        <f>IF(CX268&lt;0.6,0.6,IF(CX268&lt;0.8,0.8,IF(CX268&lt;1,1,IF(CX268&lt;1.2,1.2,IF(CX268&lt;1.4,1.4,IF(CX268&lt;1.6,1.6,IF(CX268&lt;1.8,1.8,IF(CX268&lt;2,2,2.2))))))))</f>
        <v>2.2000000000000002</v>
      </c>
      <c r="FS268" s="23">
        <f>IF(CY268&lt;0.6,0.6,IF(CY268&lt;0.8,0.8,IF(CY268&lt;1,1,IF(CY268&lt;1.2,1.2,IF(CY268&lt;1.4,1.4,IF(CY268&lt;1.6,1.6,IF(CY268&lt;1.8,1.8,IF(CY268&lt;2,2,2.2))))))))</f>
        <v>1.6</v>
      </c>
      <c r="FT268" s="23">
        <f>IF(CZ268&lt;0.6,0.6,IF(CZ268&lt;0.8,0.8,IF(CZ268&lt;1,1,IF(CZ268&lt;1.2,1.2,IF(CZ268&lt;1.4,1.4,IF(CZ268&lt;1.6,1.6,IF(CZ268&lt;1.8,1.8,IF(CZ268&lt;2,2,2.2))))))))</f>
        <v>1</v>
      </c>
      <c r="FU268" s="23">
        <f>IF(FS268&lt;1,1,0)</f>
        <v>0</v>
      </c>
      <c r="FV268" s="23"/>
      <c r="GF268" s="4">
        <f>IF(S268&gt;=2.5*25.4,1,1.25)</f>
        <v>1</v>
      </c>
      <c r="GG268" s="4">
        <f>IF(AO268&gt;1, 0.05*(18-MIN(8,(W268+N268)/N268))*(1-48000/MAX(60000,(J268*145))*(N268/25.4)^0.75*GH268), 1/12*(14-MIN(8,(W268+N268)/N268)))</f>
        <v>0.5</v>
      </c>
      <c r="GH268" s="4">
        <f>MIN(0.3, AM268^2*PI()/4*2*AP268/(N268^2*PI()/4*X268))</f>
        <v>0</v>
      </c>
      <c r="GI268" s="4">
        <f>(K268/25.4)/(N268/25.4)^1.5/0.0024*(M268*145)^0.25/GF268/GG268/145</f>
        <v>651.78734533119007</v>
      </c>
    </row>
    <row r="269" spans="1:191" ht="12" customHeight="1" x14ac:dyDescent="0.3">
      <c r="A269" s="25">
        <v>242</v>
      </c>
      <c r="B269" s="4" t="s">
        <v>605</v>
      </c>
      <c r="C269" s="4">
        <v>2016</v>
      </c>
      <c r="D269" s="4" t="s">
        <v>309</v>
      </c>
      <c r="E269" s="24" t="s">
        <v>405</v>
      </c>
      <c r="F269" s="24"/>
      <c r="G269" s="24">
        <v>50</v>
      </c>
      <c r="H269" s="7" t="s">
        <v>395</v>
      </c>
      <c r="I269" s="5">
        <f>K269/N269</f>
        <v>12.590000000000002</v>
      </c>
      <c r="J269" s="91">
        <f>120/0.145</f>
        <v>827.58620689655174</v>
      </c>
      <c r="K269" s="38">
        <f>12.59*25.4</f>
        <v>319.786</v>
      </c>
      <c r="L269" s="4">
        <f>K269</f>
        <v>319.786</v>
      </c>
      <c r="M269" s="89">
        <f>6210/145</f>
        <v>42.827586206896555</v>
      </c>
      <c r="N269" s="96">
        <f>1*25.4</f>
        <v>25.4</v>
      </c>
      <c r="O269" s="7">
        <f>K269/N269</f>
        <v>12.590000000000002</v>
      </c>
      <c r="P269" s="7">
        <f>L269/N269</f>
        <v>12.590000000000002</v>
      </c>
      <c r="Q269" s="38">
        <f>16.6*25.4</f>
        <v>421.64</v>
      </c>
      <c r="R269" s="32">
        <f>S269/N269</f>
        <v>2.4500000000000002</v>
      </c>
      <c r="S269" s="38">
        <f>2.45*25.4</f>
        <v>62.230000000000004</v>
      </c>
      <c r="T269" s="32">
        <f>U269/N269</f>
        <v>3.1</v>
      </c>
      <c r="U269" s="39">
        <f>3.1*25.4</f>
        <v>78.739999999999995</v>
      </c>
      <c r="V269" s="32">
        <f>W269/N269</f>
        <v>9.6999999999999993</v>
      </c>
      <c r="W269" s="7">
        <f>(Q269-X269*N269-2*S269)/(X269-1)</f>
        <v>246.37999999999997</v>
      </c>
      <c r="X269" s="38">
        <v>2</v>
      </c>
      <c r="Y269" s="7">
        <f>AN269</f>
        <v>0</v>
      </c>
      <c r="Z269" s="32">
        <f>AA269/N269</f>
        <v>10.25</v>
      </c>
      <c r="AA269" s="4">
        <f>10.25*25.4</f>
        <v>260.34999999999997</v>
      </c>
      <c r="AB269" s="7">
        <f>MIN(S269/N269+0.5, W269/2/N269+0.5)</f>
        <v>2.95</v>
      </c>
      <c r="AC269" s="7">
        <f>S269/N269+0.5</f>
        <v>2.95</v>
      </c>
      <c r="AD269" s="38">
        <v>4</v>
      </c>
      <c r="AE269" s="4">
        <f>AD269</f>
        <v>4</v>
      </c>
      <c r="AF269" s="4">
        <f>AE269+1</f>
        <v>5</v>
      </c>
      <c r="AG269" s="7">
        <f>N269*AF269^0.5</f>
        <v>56.796126628494655</v>
      </c>
      <c r="AJ269" s="38">
        <f>AK269/0.145</f>
        <v>726.89655172413802</v>
      </c>
      <c r="AK269" s="4">
        <v>105.4</v>
      </c>
      <c r="AL269" s="4">
        <f>CY269</f>
        <v>1.5354665759203094</v>
      </c>
      <c r="AM269" s="38">
        <v>0</v>
      </c>
      <c r="AN269" s="38">
        <v>0</v>
      </c>
      <c r="AO269" s="39">
        <f>L269</f>
        <v>319.786</v>
      </c>
      <c r="AP269" s="39"/>
      <c r="AQ269" s="39"/>
      <c r="AR269" s="7"/>
      <c r="AS269" s="4">
        <f>K269</f>
        <v>319.786</v>
      </c>
      <c r="AT269" s="4">
        <f>IF(K269*3&gt;W269+N269, Q269, (S269+N269/2)*2+1.5*K269*(2*X269-2))*(3*K269)/(9*K269^2)</f>
        <v>0.43950225046333069</v>
      </c>
      <c r="AU269" s="4">
        <f>MIN(10*M269^0.5*K269^1.5,100*3.9*M269^0.5*K269^(5/3))/(PI()/4*N269^2)/X269</f>
        <v>369.2866933162444</v>
      </c>
      <c r="AV269" s="4">
        <f>MIN(0.7+0.3*(MIN(S269,AA269)+0.5*N269)/1.5/K269,1)</f>
        <v>0.74686258935663219</v>
      </c>
      <c r="AW269" s="4">
        <v>1.25</v>
      </c>
      <c r="AX269" s="4">
        <f>AX268</f>
        <v>1</v>
      </c>
      <c r="AY269" s="38">
        <f>AT269*AV269*AW269*AX269*AU269</f>
        <v>151.52192564710657</v>
      </c>
      <c r="AZ269" s="38">
        <f>AY269</f>
        <v>151.52192564710657</v>
      </c>
      <c r="BA269" s="38">
        <f>IF(M269&lt;50, 0.3*M269^(2/3), 2.12*LN(1+0.1*(M269+8)))</f>
        <v>3.6722901407859458</v>
      </c>
      <c r="BB269" s="38">
        <f>AX269* (M269^0.5/AS269^0.5)/(PI()/4*N269^2)/X269/0.72 *(0.7+(MIN(S269,AA269)+0.5*N269)/5/K269) *(3*Q269*K269)</f>
        <v>151.52192564710643</v>
      </c>
      <c r="BC269" s="38">
        <f>AY269/BB269</f>
        <v>1.0000000000000009</v>
      </c>
      <c r="BD269" s="38">
        <f>BH269/BB269</f>
        <v>3.3352632966028453</v>
      </c>
      <c r="BE269" s="4">
        <f>IF(BD269&lt;1,1,0)</f>
        <v>0</v>
      </c>
      <c r="BF269" s="4">
        <f>L269/N269*M269^0.5/0.19</f>
        <v>433.64458548030063</v>
      </c>
      <c r="BG269" s="4">
        <f>MIN(0.6+0.4*(AC269/AB269),2)</f>
        <v>1</v>
      </c>
      <c r="BH269" s="38">
        <f>2*M269*AB269*AD269^0.5*BG269*0.7/0.7</f>
        <v>505.36551724137939</v>
      </c>
      <c r="BI269" s="4">
        <f>MAX(1-0.7*AE269/5,0.3)</f>
        <v>0.44000000000000006</v>
      </c>
      <c r="BJ269" s="4">
        <f>BI269*J269*L269/(J269*N269/2.75/M269^0.5)</f>
        <v>99.694890201921126</v>
      </c>
      <c r="BK269" s="4">
        <f>BH269+BJ269</f>
        <v>605.06040744330051</v>
      </c>
      <c r="BM269" s="4">
        <f>MIN(1.5, 0.75+0.25*MIN(3,MAX(1,S269/N269))+0.4*MIN(1,(40*2*PI()*AM269^2/4/AO269/X269)/N269))</f>
        <v>1.3625</v>
      </c>
      <c r="BN269" s="4">
        <f>(3*P269+30)*BM269*M269^0.5</f>
        <v>604.27662587984457</v>
      </c>
      <c r="BP269" s="4">
        <f>3.4/PI()^0.5*M269*AB269*AE269^0.5*BG269</f>
        <v>484.70733321007748</v>
      </c>
      <c r="BQ269" s="4">
        <f>8/3*AK269*AI269^2/(AG269-N269-22)/N269*(AG269^2-N269^2)/(AG269^2-(N269+22)^2)</f>
        <v>0</v>
      </c>
      <c r="BR269" s="4">
        <f>BQ269/BP269</f>
        <v>0</v>
      </c>
      <c r="BZ269" s="4">
        <f>IF(W269=0,S269,MIN(W269/2,S269))</f>
        <v>62.230000000000004</v>
      </c>
      <c r="CD269" s="9"/>
      <c r="CF269" s="9"/>
      <c r="CG269" s="9"/>
      <c r="CH269" s="9">
        <f>IF(W269=0,MIN(S269,U269),MIN(W269/2,S269,U269))</f>
        <v>62.230000000000004</v>
      </c>
      <c r="CI269" s="9">
        <f>MAX(W269/2,S269)</f>
        <v>123.18999999999998</v>
      </c>
      <c r="CJ269" s="9">
        <f>(CH269/N269)^0.5*(CI269/CH269)^0.15</f>
        <v>1.7340810420811554</v>
      </c>
      <c r="CK269" s="70">
        <f>IF(AO269&gt;1,20,0)</f>
        <v>20</v>
      </c>
      <c r="CL269" s="9">
        <f>MIN(PI()*AM269^2/4*AN269*2/X269/N269/MAX(0.01,AO269),0.05)</f>
        <v>0</v>
      </c>
      <c r="CM269" s="9">
        <f>MAX(0,CK269*(CL269-0.5/50))</f>
        <v>0</v>
      </c>
      <c r="CN269" s="9">
        <f>MIN(1,(25/N269)^0.3)</f>
        <v>0.99524931562137331</v>
      </c>
      <c r="CO269" s="9">
        <f>IF(J269&gt;=800,0.68,IF(J269&gt;=700,0.75-(J269-700)*0.07/100,IF(J269&gt;=600,0.85-(J269-600)*0.1/100,IF(J269&gt;=500,1-(J269-500)*0.15/100,1.2-(J269-400)*0.2/100))))</f>
        <v>0.68</v>
      </c>
      <c r="CP269" s="9">
        <f>1.75*CN269*CO269*(M269/25)^0.5</f>
        <v>1.5501390028928617</v>
      </c>
      <c r="CQ269" s="9">
        <f>MIN((CJ269+CM269)*CP269,2.5*CP269,M269^0.5)</f>
        <v>2.6880666575070968</v>
      </c>
      <c r="CR269" s="40">
        <v>1</v>
      </c>
      <c r="CS269" s="9">
        <f>4*CQ269*P269+60*CQ269</f>
        <v>296.65503632248323</v>
      </c>
      <c r="CU269" s="4">
        <f>AJ269/BF269</f>
        <v>1.6762495741046421</v>
      </c>
      <c r="CV269" s="4">
        <f>AJ269/BK269</f>
        <v>1.20136195127303</v>
      </c>
      <c r="CW269" s="4">
        <f>AJ269/BN269</f>
        <v>1.2029201868693087</v>
      </c>
      <c r="CX269" s="4">
        <f>AJ269/CS269</f>
        <v>2.4503091561673487</v>
      </c>
      <c r="CY269" s="4">
        <f>AJ269/DZ269</f>
        <v>1.5354665759203094</v>
      </c>
      <c r="CZ269" s="4">
        <f>AJ269/EL269</f>
        <v>1.0591467407093387</v>
      </c>
      <c r="DA269" s="4">
        <f>AJ269/GI269</f>
        <v>1.4145986516145845</v>
      </c>
      <c r="DB269" s="4">
        <f>AN269</f>
        <v>0</v>
      </c>
      <c r="DC269" s="4">
        <f>CU269</f>
        <v>1.6762495741046421</v>
      </c>
      <c r="DD269" s="4">
        <f>CV269</f>
        <v>1.20136195127303</v>
      </c>
      <c r="DE269" s="4">
        <f>CX269</f>
        <v>2.4503091561673487</v>
      </c>
      <c r="DF269" s="4">
        <f>DA269</f>
        <v>1.4145986516145845</v>
      </c>
      <c r="DG269" s="4">
        <f>CY269</f>
        <v>1.5354665759203094</v>
      </c>
      <c r="DH269" s="4">
        <f>CZ269</f>
        <v>1.0591467407093387</v>
      </c>
      <c r="DQ269" s="4">
        <f>L269</f>
        <v>319.786</v>
      </c>
      <c r="DT269" s="4">
        <f>K269/4/(1-0.3*(M269/30)^0.5)/200000/N269</f>
        <v>2.4530239757040505E-5</v>
      </c>
      <c r="DU269" s="4">
        <f>EP269</f>
        <v>8.2202710041526839</v>
      </c>
      <c r="DV269" s="4">
        <f>EC269*AG269/257/M269/AD269</f>
        <v>0.19546881818372669</v>
      </c>
      <c r="DW269" s="4">
        <f>DU269*DV269^0.4</f>
        <v>4.2787521501309298</v>
      </c>
      <c r="DX269" s="4">
        <f>MIN(DU269, DU269/1.4*(1-DV269^1.4)/(1-DV269))</f>
        <v>6.5556443171536891</v>
      </c>
      <c r="DY269" s="4">
        <f>MAX(DU269/2, (4-DT269*(8*AG269*(DW269-DX269)+6*K269*DX269))/(4+DT269*K269*DU269)*DU269)</f>
        <v>7.5171467952564166</v>
      </c>
      <c r="DZ269" s="38">
        <f>MIN(1/N269*(4*AG269*(DW269-DX269)+(3*DX269+DY269)*K269)+EC269 -FJ269,MAX(J269,AJ269))</f>
        <v>473.40434700668072</v>
      </c>
      <c r="EA269" s="4">
        <f>DZ269/FF269</f>
        <v>1.0001067294661561</v>
      </c>
      <c r="EB269" s="4">
        <f>AG269/N269</f>
        <v>2.2360679774997898</v>
      </c>
      <c r="EC269" s="4">
        <f>MIN(EB$10*BB269)</f>
        <v>151.52192564710643</v>
      </c>
      <c r="EG269" s="4">
        <f>IF(U269&gt;1*N269,0.85,1)</f>
        <v>0.85</v>
      </c>
      <c r="EH269" s="4">
        <f>MIN(1,MAX(0.7,(1-0.1*(BZ269-1*N269)/N269)))</f>
        <v>0.85499999999999998</v>
      </c>
      <c r="EI269" s="4">
        <f>MIN(1,MAX(0.7,1-0.3*(PI()*AM269^2/4*AQ269*2-0.25*PI()/4*N269^2)/(PI()/4*N269^2)))</f>
        <v>1</v>
      </c>
      <c r="EJ269" s="4">
        <f>IF(EH269*EI269&lt;0.7,0.7,EH269*EI269)</f>
        <v>0.85499999999999998</v>
      </c>
      <c r="EL269" s="4">
        <f>MIN(DU269/N269*3*K269+EM269-FJ269,MAX(J269,AJ269))</f>
        <v>686.30391218247632</v>
      </c>
      <c r="EM269" s="25">
        <f>13.3*Q269*K269^0.5*M269^0.5/X269/N269^2*(0.7+S269/5/K269)</f>
        <v>375.82427635562937</v>
      </c>
      <c r="EO269" s="4">
        <f>EG269*EJ269</f>
        <v>0.72675000000000001</v>
      </c>
      <c r="EP269" s="4">
        <f>IF(N269&lt;22.2,1.1*5*(M269/30)^0.5,IF(N269&gt;=31.8,0.9*5*(M269/30)^0.5,1*5*(M269/30)^0.5))/EG269/EJ269</f>
        <v>8.2202710041526839</v>
      </c>
      <c r="ES269" s="4">
        <f>ET269*N269</f>
        <v>56.796126628494655</v>
      </c>
      <c r="ET269" s="4">
        <f>AF269^0.5</f>
        <v>2.2360679774997898</v>
      </c>
      <c r="EU269" s="4">
        <f>MIN(EC269)/(4700*M269^0.5)/AE269*ES269</f>
        <v>6.9947879236419652E-2</v>
      </c>
      <c r="EX269" s="4">
        <f>EU269</f>
        <v>6.9947879236419652E-2</v>
      </c>
      <c r="EY269" s="4">
        <f>MIN(0.999, EX269/(0.3*(M269/30)^0.5))</f>
        <v>0.19514261715661343</v>
      </c>
      <c r="EZ269" s="4">
        <f>EP269/1*EY269^0.4</f>
        <v>4.2758945429742292</v>
      </c>
      <c r="FA269" s="4">
        <f>EP269/1.4*(1-EY269^1.4)/(1-EY269)</f>
        <v>6.554720935473032</v>
      </c>
      <c r="FB269" s="4">
        <f>MAX(0,DQ269*FB$9-ES269)</f>
        <v>183.04337337150534</v>
      </c>
      <c r="FC269" s="4">
        <f>MAX(0,DQ269-ES269-FB269)</f>
        <v>79.946499999999986</v>
      </c>
      <c r="FD269" s="4">
        <f>FC269/(1-0.3*(M269/30)^0.5)/200000/N269</f>
        <v>2.4530239757040502E-5</v>
      </c>
      <c r="FE269" s="4">
        <f>MAX(0.5*EP269, (1-2*FD269*(ES269*EZ269+FB269*FA269))/(1/EP269+FD269*FC269))</f>
        <v>7.5172782935485154</v>
      </c>
      <c r="FF269" s="4">
        <f>MIN(4/N269*(1*EZ269*ES269+FA269*FB269+FC269*FE269)+EC269,MAX(J269,AJ269))</f>
        <v>473.35382620550683</v>
      </c>
      <c r="FO269" s="23">
        <f>IF(CU269&lt;0.6,0.6,IF(CU269&lt;0.8,0.8,IF(CU269&lt;1,1,IF(CU269&lt;1.2,1.2,IF(CU269&lt;1.4,1.4,IF(CU269&lt;1.6,1.6,IF(CU269&lt;1.8,1.8,IF(CU269&lt;2,2,2.2))))))))</f>
        <v>1.8</v>
      </c>
      <c r="FP269" s="23">
        <f>IF(CV269&lt;0.6,0.6,IF(CV269&lt;0.8,0.8,IF(CV269&lt;1,1,IF(CV269&lt;1.2,1.2,IF(CV269&lt;1.4,1.4,IF(CV269&lt;1.6,1.6,IF(CV269&lt;1.8,1.8,IF(CV269&lt;2,2,2.2))))))))</f>
        <v>1.4</v>
      </c>
      <c r="FQ269" s="23">
        <f>IF(DA269&lt;0.6,0.6,IF(DA269&lt;0.8,0.8,IF(DA269&lt;1,1,IF(DA269&lt;1.2,1.2,IF(DA269&lt;1.4,1.4,IF(DA269&lt;1.6,1.6,IF(DA269&lt;1.8,1.8,IF(DA269&lt;2,2,2.2))))))))</f>
        <v>1.6</v>
      </c>
      <c r="FR269" s="23">
        <f>IF(CX269&lt;0.6,0.6,IF(CX269&lt;0.8,0.8,IF(CX269&lt;1,1,IF(CX269&lt;1.2,1.2,IF(CX269&lt;1.4,1.4,IF(CX269&lt;1.6,1.6,IF(CX269&lt;1.8,1.8,IF(CX269&lt;2,2,2.2))))))))</f>
        <v>2.2000000000000002</v>
      </c>
      <c r="FS269" s="23">
        <f>IF(CY269&lt;0.6,0.6,IF(CY269&lt;0.8,0.8,IF(CY269&lt;1,1,IF(CY269&lt;1.2,1.2,IF(CY269&lt;1.4,1.4,IF(CY269&lt;1.6,1.6,IF(CY269&lt;1.8,1.8,IF(CY269&lt;2,2,2.2))))))))</f>
        <v>1.6</v>
      </c>
      <c r="FT269" s="23">
        <f>IF(CZ269&lt;0.6,0.6,IF(CZ269&lt;0.8,0.8,IF(CZ269&lt;1,1,IF(CZ269&lt;1.2,1.2,IF(CZ269&lt;1.4,1.4,IF(CZ269&lt;1.6,1.6,IF(CZ269&lt;1.8,1.8,IF(CZ269&lt;2,2,2.2))))))))</f>
        <v>1.2</v>
      </c>
      <c r="FU269" s="23">
        <f>IF(FS269&lt;1,1,0)</f>
        <v>0</v>
      </c>
      <c r="FV269" s="23"/>
      <c r="GF269" s="4">
        <f>IF(S269&gt;=2.5*25.4,1,1.25)</f>
        <v>1.25</v>
      </c>
      <c r="GG269" s="4">
        <f>IF(AO269&gt;1, 0.05*(18-MIN(8,(W269+N269)/N269))*(1-48000/MAX(60000,(J269*145))*(N269/25.4)^0.75*GH269), 1/12*(14-MIN(8,(W269+N269)/N269)))</f>
        <v>0.5</v>
      </c>
      <c r="GH269" s="4">
        <f>MIN(0.3, AM269^2*PI()/4*2*AP269/(N269^2*PI()/4*X269))</f>
        <v>0</v>
      </c>
      <c r="GI269" s="4">
        <f>(K269/25.4)/(N269/25.4)^1.5/0.0024*(M269*145)^0.25/GF269/GG269/145</f>
        <v>513.85355902501249</v>
      </c>
    </row>
    <row r="270" spans="1:191" ht="12" customHeight="1" x14ac:dyDescent="0.3">
      <c r="A270" s="25">
        <v>388</v>
      </c>
      <c r="B270" s="4" t="s">
        <v>605</v>
      </c>
      <c r="C270" s="4">
        <v>2016</v>
      </c>
      <c r="D270" s="4" t="s">
        <v>309</v>
      </c>
      <c r="E270" s="14" t="s">
        <v>675</v>
      </c>
      <c r="F270" s="14"/>
      <c r="G270" s="14">
        <v>15</v>
      </c>
      <c r="H270" s="7" t="s">
        <v>555</v>
      </c>
      <c r="I270" s="5">
        <f>K270/N270</f>
        <v>8.9078014184397176</v>
      </c>
      <c r="J270" s="90">
        <f>135/0.145</f>
        <v>931.0344827586207</v>
      </c>
      <c r="K270" s="38">
        <f>12.56*25.4</f>
        <v>319.024</v>
      </c>
      <c r="L270" s="4">
        <f>K270</f>
        <v>319.024</v>
      </c>
      <c r="M270" s="44">
        <f>4050/145</f>
        <v>27.931034482758619</v>
      </c>
      <c r="N270" s="38">
        <f>1.41*25.4</f>
        <v>35.813999999999993</v>
      </c>
      <c r="O270" s="7">
        <f>K270/N270</f>
        <v>8.9078014184397176</v>
      </c>
      <c r="P270" s="7">
        <f>L270/N270</f>
        <v>8.9078014184397176</v>
      </c>
      <c r="Q270" s="38">
        <f>22*25.4</f>
        <v>558.79999999999995</v>
      </c>
      <c r="R270" s="32">
        <f>S270/N270</f>
        <v>1.9503546099290783</v>
      </c>
      <c r="S270" s="38">
        <f>2.75*25.4</f>
        <v>69.849999999999994</v>
      </c>
      <c r="T270" s="32">
        <f>U270/N270</f>
        <v>2.4113475177304968</v>
      </c>
      <c r="U270" s="39">
        <f>3.4*25.4</f>
        <v>86.36</v>
      </c>
      <c r="V270" s="32">
        <f>W270/N270</f>
        <v>9.7021276595744688</v>
      </c>
      <c r="W270" s="7">
        <f>(Q270-X270*N270-2*S270)/(X270-1)</f>
        <v>347.47199999999998</v>
      </c>
      <c r="X270" s="38">
        <v>2</v>
      </c>
      <c r="Y270" s="7">
        <f>AN270</f>
        <v>12</v>
      </c>
      <c r="Z270" s="32">
        <f>AA270/N270</f>
        <v>14.18439716312057</v>
      </c>
      <c r="AA270" s="4">
        <f>20*25.4</f>
        <v>508</v>
      </c>
      <c r="AB270" s="7">
        <f>MIN(S270/N270+0.5, W270/2/N270+0.5)</f>
        <v>2.4503546099290783</v>
      </c>
      <c r="AC270" s="7">
        <f>S270/N270+0.5</f>
        <v>2.4503546099290783</v>
      </c>
      <c r="AD270" s="38">
        <v>8.6</v>
      </c>
      <c r="AE270" s="4">
        <f>AD270</f>
        <v>8.6</v>
      </c>
      <c r="AF270" s="4">
        <f>AE270+1</f>
        <v>9.6</v>
      </c>
      <c r="AG270" s="7">
        <f>N270*AF270^0.5</f>
        <v>110.96562044885792</v>
      </c>
      <c r="AJ270" s="38">
        <f>AK270/0.145</f>
        <v>350.34482758620692</v>
      </c>
      <c r="AK270" s="4">
        <v>50.8</v>
      </c>
      <c r="AL270" s="4">
        <f>CY270</f>
        <v>1.4696900496732774</v>
      </c>
      <c r="AM270" s="38">
        <f>0.5*25.4</f>
        <v>12.7</v>
      </c>
      <c r="AN270" s="38">
        <v>12</v>
      </c>
      <c r="AO270" s="39">
        <f>4*25.4</f>
        <v>101.6</v>
      </c>
      <c r="AP270" s="39">
        <v>4</v>
      </c>
      <c r="AQ270" s="39">
        <v>2</v>
      </c>
      <c r="AR270" s="7"/>
      <c r="AS270" s="4">
        <f>K270</f>
        <v>319.024</v>
      </c>
      <c r="AT270" s="4">
        <f>IF(K270*3&gt;W270+N270, Q270, (S270+N270/2)*2+1.5*K270*(2*X270-2))*(3*K270)/(9*K270^2)</f>
        <v>0.58386411889596601</v>
      </c>
      <c r="AU270" s="4">
        <f>MIN(10*M270^0.5*K270^1.5,100*3.9*M270^0.5*K270^(5/3))/(PI()/4*N270^2)/X270</f>
        <v>149.46964702918689</v>
      </c>
      <c r="AV270" s="4">
        <f>MIN(0.7+0.3*(MIN(S270,AA270)+0.5*N270)/1.5/K270,1)</f>
        <v>0.75501592356687897</v>
      </c>
      <c r="AW270" s="4">
        <v>1.25</v>
      </c>
      <c r="AX270" s="4">
        <f>AX269</f>
        <v>1</v>
      </c>
      <c r="AY270" s="38">
        <f>AT270*AV270*AW270*AX270*AU270</f>
        <v>82.362765364021115</v>
      </c>
      <c r="AZ270" s="38">
        <f>AY270</f>
        <v>82.362765364021115</v>
      </c>
      <c r="BA270" s="38">
        <f>IF(M270&lt;50, 0.3*M270^(2/3), 2.12*LN(1+0.1*(M270+8)))</f>
        <v>2.761717606769436</v>
      </c>
      <c r="BB270" s="38">
        <f>AX270* (M270^0.5/AS270^0.5)/(PI()/4*N270^2)/X270/0.72 *(0.7+(MIN(S270,AA270)+0.5*N270)/5/K270) *(3*Q270*K270)</f>
        <v>82.362765364021186</v>
      </c>
      <c r="BC270" s="38">
        <f>AY270/BB270</f>
        <v>0.99999999999999911</v>
      </c>
      <c r="BD270" s="38">
        <f>BH270/BB270</f>
        <v>4.8737613716728889</v>
      </c>
      <c r="BE270" s="4">
        <f>IF(BD270&lt;1,1,0)</f>
        <v>0</v>
      </c>
      <c r="BF270" s="4">
        <f>L270/N270*M270^0.5/0.19</f>
        <v>247.77668388929484</v>
      </c>
      <c r="BG270" s="4">
        <f>MIN(0.6+0.4*(AC270/AB270),2)</f>
        <v>1</v>
      </c>
      <c r="BH270" s="38">
        <f>2*M270*AB270*AD270^0.5*BG270*0.7/0.7</f>
        <v>401.4164642953242</v>
      </c>
      <c r="BI270" s="4">
        <f>MAX(1-0.7*AE270/5,0.3)</f>
        <v>0.3</v>
      </c>
      <c r="BJ270" s="4">
        <f>BI270*J270*L270/(J270*N270/2.75/M270^0.5)</f>
        <v>38.838995199646973</v>
      </c>
      <c r="BK270" s="4">
        <f>BH270+BJ270</f>
        <v>440.25545949497121</v>
      </c>
      <c r="BM270" s="4">
        <f>MIN(1.5, 0.75+0.25*MIN(3,MAX(1,S270/N270))+0.4*MIN(1,(40*2*PI()*AM270^2/4/AO270/X270)/N270))</f>
        <v>1.5</v>
      </c>
      <c r="BN270" s="4">
        <f>(3*P270+30)*BM270*M270^0.5</f>
        <v>449.673253628802</v>
      </c>
      <c r="BP270" s="4">
        <f>3.4/PI()^0.5*M270*AB270*AE270^0.5*BG270</f>
        <v>385.00747929398597</v>
      </c>
      <c r="BQ270" s="4">
        <f>8/3*AH270*AI270^2/(AG270-N270-22)/N270*(AG270^2-N270^2)/(AG270^2-(N270+22)^2)</f>
        <v>0</v>
      </c>
      <c r="BR270" s="4">
        <f>BQ270/BP270</f>
        <v>0</v>
      </c>
      <c r="BZ270" s="4">
        <f>IF(W270=0,S270,MIN(W270/2,S270))</f>
        <v>69.849999999999994</v>
      </c>
      <c r="CD270" s="9"/>
      <c r="CF270" s="9"/>
      <c r="CG270" s="9"/>
      <c r="CH270" s="9">
        <f>IF(W270=0,MIN(S270,U270),MIN(W270/2,S270,U270))</f>
        <v>69.849999999999994</v>
      </c>
      <c r="CI270" s="9">
        <f>MAX(W270/2,S270)</f>
        <v>173.73599999999999</v>
      </c>
      <c r="CJ270" s="9">
        <f>(CH270/N270)^0.5*(CI270/CH270)^0.15</f>
        <v>1.6010883658280048</v>
      </c>
      <c r="CK270" s="70">
        <f>IF(AO270&gt;1,20,0)</f>
        <v>20</v>
      </c>
      <c r="CL270" s="9">
        <f>MIN(PI()*AM270^2/4*AN270*2/X270/N270/MAX(0.01,AO270),0.05)</f>
        <v>0.05</v>
      </c>
      <c r="CM270" s="9">
        <f>MAX(0,CK270*(CL270-0.5/50))</f>
        <v>0.8</v>
      </c>
      <c r="CN270" s="9">
        <f>MIN(1,(25/N270)^0.3)</f>
        <v>0.89777220146327208</v>
      </c>
      <c r="CO270" s="9">
        <f>IF(J270&gt;=800,0.68,IF(J270&gt;=700,0.75-(J270-700)*0.07/100,IF(J270&gt;=600,0.85-(J270-600)*0.1/100,IF(J270&gt;=500,1-(J270-500)*0.15/100,1.2-(J270-400)*0.2/100))))</f>
        <v>0.68</v>
      </c>
      <c r="CP270" s="9">
        <f>1.75*CN270*CO270*(M270/25)^0.5</f>
        <v>1.129240956903802</v>
      </c>
      <c r="CQ270" s="9">
        <f>MIN((CJ270+CM270)*CP270,2.5*CP270,M270^0.5)</f>
        <v>2.7114073238382024</v>
      </c>
      <c r="CR270" s="40">
        <v>1</v>
      </c>
      <c r="CS270" s="9">
        <f>4*CQ270*P270+60*CQ270</f>
        <v>259.29515145130728</v>
      </c>
      <c r="CU270" s="4">
        <f>AJ270/BF270</f>
        <v>1.4139539769720177</v>
      </c>
      <c r="CV270" s="4">
        <f>AJ270/BK270</f>
        <v>0.79577622498559542</v>
      </c>
      <c r="CW270" s="4">
        <f>AJ270/BN270</f>
        <v>0.77910977528454672</v>
      </c>
      <c r="CX270" s="4">
        <f>AJ270/CS270</f>
        <v>1.3511429952518712</v>
      </c>
      <c r="CY270" s="4">
        <f>AJ270/DZ270</f>
        <v>1.4696900496732774</v>
      </c>
      <c r="CZ270" s="4">
        <f>AJ270/EL270</f>
        <v>0.95553229503146886</v>
      </c>
      <c r="DA270" s="4">
        <f>AJ270/GI270</f>
        <v>0.87804597345881741</v>
      </c>
      <c r="DB270" s="4">
        <f>AN270</f>
        <v>12</v>
      </c>
      <c r="DI270" s="4">
        <f>CU270</f>
        <v>1.4139539769720177</v>
      </c>
      <c r="DJ270" s="4">
        <f>CV270</f>
        <v>0.79577622498559542</v>
      </c>
      <c r="DK270" s="4">
        <f>CX270</f>
        <v>1.3511429952518712</v>
      </c>
      <c r="DL270" s="4">
        <f>DA270</f>
        <v>0.87804597345881741</v>
      </c>
      <c r="DM270" s="4">
        <f>CY270</f>
        <v>1.4696900496732774</v>
      </c>
      <c r="DN270" s="4">
        <f>CZ270</f>
        <v>0.95553229503146886</v>
      </c>
      <c r="DQ270" s="4">
        <f>L270</f>
        <v>319.024</v>
      </c>
      <c r="DT270" s="4">
        <f>K270/4/(1-0.3*(M270/30)^0.5)/200000/N270</f>
        <v>1.5671059345984113E-5</v>
      </c>
      <c r="DU270" s="4">
        <f>EP270</f>
        <v>6.1083642273193455</v>
      </c>
      <c r="DV270" s="4">
        <f>EC270*AG270/257/M270/AD270</f>
        <v>0.14804739499278161</v>
      </c>
      <c r="DW270" s="4">
        <f>DU270*DV270^0.4</f>
        <v>2.845019406306144</v>
      </c>
      <c r="DX270" s="4">
        <f>MIN(DU270, DU270/1.4*(1-DV270^1.4)/(1-DV270))</f>
        <v>4.7681781508957677</v>
      </c>
      <c r="DY270" s="4">
        <f>MAX(DU270/2, (4-DT270*(8*AG270*(DW270-DX270)+6*K270*DX270))/(4+DT270*K270*DU270)*DU270)</f>
        <v>5.8858650828512884</v>
      </c>
      <c r="DZ270" s="38">
        <f>MIN(1/N270*(4*AG270*(DW270-DX270)+(3*DX270+DY270)*K270)+EC270 -FJ270,MAX(J270,AJ270))</f>
        <v>238.3800772578484</v>
      </c>
      <c r="EA270" s="4">
        <f>DZ270/FF270</f>
        <v>1.0001303308036504</v>
      </c>
      <c r="EB270" s="4">
        <f>AG270/N270</f>
        <v>3.0983866769659336</v>
      </c>
      <c r="EC270" s="4">
        <f>MIN(EB$10*BB270)</f>
        <v>82.362765364021186</v>
      </c>
      <c r="EG270" s="4">
        <f>IF(U270&gt;1*N270,0.85,1)</f>
        <v>0.85</v>
      </c>
      <c r="EH270" s="4">
        <f>MIN(1,MAX(0.7,(1-0.1*(BZ270-1*N270)/N270)))</f>
        <v>0.90496453900709217</v>
      </c>
      <c r="EI270" s="4">
        <f>MIN(1,MAX(0.7,1-0.3*(PI()*AM270^2/4*AQ270*2-0.25*PI()/4*N270^2)/(PI()/4*N270^2)))</f>
        <v>0.92410215783914285</v>
      </c>
      <c r="EJ270" s="4">
        <f>IF(EH270*EI270&lt;0.7,0.7,EH270*EI270)</f>
        <v>0.83627968326435909</v>
      </c>
      <c r="EL270" s="4">
        <f>MIN(DU270/N270*3*K270+EM270-FJ270,MAX(J270,AJ270))</f>
        <v>366.64886096253701</v>
      </c>
      <c r="EM270" s="25">
        <f>13.3*Q270*K270^0.5*M270^0.5/X270/N270^2*(0.7+S270/5/K270)</f>
        <v>203.41257437715191</v>
      </c>
      <c r="EO270" s="4">
        <f>EG270*EJ270</f>
        <v>0.71083773077470525</v>
      </c>
      <c r="EP270" s="4">
        <f>IF(N270&lt;22.2,1.1*5*(M270/30)^0.5,IF(N270&gt;=31.8,0.9*5*(M270/30)^0.5,1*5*(M270/30)^0.5))/EG270/EJ270</f>
        <v>6.1083642273193455</v>
      </c>
      <c r="ES270" s="4">
        <f>ET270*N270</f>
        <v>110.96562044885792</v>
      </c>
      <c r="ET270" s="4">
        <f>AF270^0.5</f>
        <v>3.0983866769659336</v>
      </c>
      <c r="EU270" s="4">
        <f>MIN(EC270)/(4700*M270^0.5)/AE270*ES270</f>
        <v>4.2783818769697009E-2</v>
      </c>
      <c r="EX270" s="4">
        <f>EU270</f>
        <v>4.2783818769697009E-2</v>
      </c>
      <c r="EY270" s="4">
        <f>MIN(0.999, EX270/(0.3*(M270/30)^0.5))</f>
        <v>0.14780033148282221</v>
      </c>
      <c r="EZ270" s="4">
        <f>EP270/1*EY270^0.4</f>
        <v>2.843119331814528</v>
      </c>
      <c r="FA270" s="4">
        <f>EP270/1.4*(1-EY270^1.4)/(1-EY270)</f>
        <v>4.7676203273626889</v>
      </c>
      <c r="FB270" s="4">
        <f>MAX(0,DQ270*FB$9-ES270)</f>
        <v>128.30237955114208</v>
      </c>
      <c r="FC270" s="4">
        <f>MAX(0,DQ270-ES270-FB270)</f>
        <v>79.756</v>
      </c>
      <c r="FD270" s="4">
        <f>FC270/(1-0.3*(M270/30)^0.5)/200000/N270</f>
        <v>1.5671059345984113E-5</v>
      </c>
      <c r="FE270" s="4">
        <f>MAX(0.5*EP270, (1-2*FD270*(ES270*EZ270+FB270*FA270))/(1/EP270+FD270*FC270))</f>
        <v>5.88591874090727</v>
      </c>
      <c r="FF270" s="4">
        <f>MIN(4/N270*(1*EZ270*ES270+FA270*FB270+FC270*FE270)+EC270,MAX(J270,AJ270))</f>
        <v>238.34901303942968</v>
      </c>
      <c r="FO270" s="23">
        <f>IF(CU270&lt;0.6,0.6,IF(CU270&lt;0.8,0.8,IF(CU270&lt;1,1,IF(CU270&lt;1.2,1.2,IF(CU270&lt;1.4,1.4,IF(CU270&lt;1.6,1.6,IF(CU270&lt;1.8,1.8,IF(CU270&lt;2,2,2.2))))))))</f>
        <v>1.6</v>
      </c>
      <c r="FP270" s="23">
        <f>IF(CV270&lt;0.6,0.6,IF(CV270&lt;0.8,0.8,IF(CV270&lt;1,1,IF(CV270&lt;1.2,1.2,IF(CV270&lt;1.4,1.4,IF(CV270&lt;1.6,1.6,IF(CV270&lt;1.8,1.8,IF(CV270&lt;2,2,2.2))))))))</f>
        <v>0.8</v>
      </c>
      <c r="FQ270" s="23">
        <f>IF(DA270&lt;0.6,0.6,IF(DA270&lt;0.8,0.8,IF(DA270&lt;1,1,IF(DA270&lt;1.2,1.2,IF(DA270&lt;1.4,1.4,IF(DA270&lt;1.6,1.6,IF(DA270&lt;1.8,1.8,IF(DA270&lt;2,2,2.2))))))))</f>
        <v>1</v>
      </c>
      <c r="FR270" s="23">
        <f>IF(CX270&lt;0.6,0.6,IF(CX270&lt;0.8,0.8,IF(CX270&lt;1,1,IF(CX270&lt;1.2,1.2,IF(CX270&lt;1.4,1.4,IF(CX270&lt;1.6,1.6,IF(CX270&lt;1.8,1.8,IF(CX270&lt;2,2,2.2))))))))</f>
        <v>1.4</v>
      </c>
      <c r="FS270" s="23">
        <f>IF(CY270&lt;0.6,0.6,IF(CY270&lt;0.8,0.8,IF(CY270&lt;1,1,IF(CY270&lt;1.2,1.2,IF(CY270&lt;1.4,1.4,IF(CY270&lt;1.6,1.6,IF(CY270&lt;1.8,1.8,IF(CY270&lt;2,2,2.2))))))))</f>
        <v>1.6</v>
      </c>
      <c r="FT270" s="23">
        <f>IF(CZ270&lt;0.6,0.6,IF(CZ270&lt;0.8,0.8,IF(CZ270&lt;1,1,IF(CZ270&lt;1.2,1.2,IF(CZ270&lt;1.4,1.4,IF(CZ270&lt;1.6,1.6,IF(CZ270&lt;1.8,1.8,IF(CZ270&lt;2,2,2.2))))))))</f>
        <v>1</v>
      </c>
      <c r="FU270" s="23">
        <f>IF(FS270&lt;1,1,0)</f>
        <v>0</v>
      </c>
      <c r="FV270" s="23"/>
      <c r="GF270" s="4">
        <f>IF(S270&gt;=2.5*25.4,1,1.25)</f>
        <v>1</v>
      </c>
      <c r="GG270" s="4">
        <f>IF(AO270&gt;1, 0.05*(18-MIN(8,(W270+N270)/N270))*(1-48000/MAX(60000,(J270*145))*(N270/25.4)^0.75*GH270), 1/12*(14-MIN(8,(W270+N270)/N270)))</f>
        <v>0.43098983553339404</v>
      </c>
      <c r="GH270" s="4">
        <f>MIN(0.3, AM270^2*PI()/4*2*AP270/(N270^2*PI()/4*X270))</f>
        <v>0.3</v>
      </c>
      <c r="GI270" s="4">
        <f>(K270/25.4)/(N270/25.4)^1.5/0.0024*(M270*145)^0.25/GF270/GG270/145</f>
        <v>399.00510699470681</v>
      </c>
    </row>
    <row r="271" spans="1:191" ht="12" customHeight="1" x14ac:dyDescent="0.3">
      <c r="A271" s="25">
        <v>236</v>
      </c>
      <c r="B271" s="4" t="s">
        <v>605</v>
      </c>
      <c r="C271" s="4">
        <v>2016</v>
      </c>
      <c r="D271" s="4" t="s">
        <v>309</v>
      </c>
      <c r="E271" s="24" t="s">
        <v>404</v>
      </c>
      <c r="F271" s="24"/>
      <c r="G271" s="24">
        <v>50</v>
      </c>
      <c r="H271" s="7" t="s">
        <v>389</v>
      </c>
      <c r="I271" s="5">
        <f>K271/N271</f>
        <v>12.56</v>
      </c>
      <c r="J271" s="91">
        <f>120/0.145</f>
        <v>827.58620689655174</v>
      </c>
      <c r="K271" s="38">
        <f>12.56*25.4</f>
        <v>319.024</v>
      </c>
      <c r="L271" s="4">
        <f>K271</f>
        <v>319.024</v>
      </c>
      <c r="M271" s="89">
        <f>5910/145</f>
        <v>40.758620689655174</v>
      </c>
      <c r="N271" s="96">
        <f>1*25.4</f>
        <v>25.4</v>
      </c>
      <c r="O271" s="7">
        <f>K271/N271</f>
        <v>12.56</v>
      </c>
      <c r="P271" s="7">
        <f>L271/N271</f>
        <v>12.56</v>
      </c>
      <c r="Q271" s="38">
        <f>16.8*25.4</f>
        <v>426.71999999999997</v>
      </c>
      <c r="R271" s="32">
        <f>S271/N271</f>
        <v>2.5</v>
      </c>
      <c r="S271" s="38">
        <f>2.5*25.4</f>
        <v>63.5</v>
      </c>
      <c r="T271" s="32">
        <f>U271/N271</f>
        <v>3.15</v>
      </c>
      <c r="U271" s="39">
        <f>3.15*25.4</f>
        <v>80.009999999999991</v>
      </c>
      <c r="V271" s="32">
        <f>W271/N271</f>
        <v>9.7999999999999989</v>
      </c>
      <c r="W271" s="7">
        <f>(Q271-X271*N271-2*S271)/(X271-1)</f>
        <v>248.91999999999996</v>
      </c>
      <c r="X271" s="38">
        <v>2</v>
      </c>
      <c r="Y271" s="7">
        <f>AN271</f>
        <v>0</v>
      </c>
      <c r="Z271" s="32">
        <f>AA271/N271</f>
        <v>10.25</v>
      </c>
      <c r="AA271" s="4">
        <f>10.25*25.4</f>
        <v>260.34999999999997</v>
      </c>
      <c r="AB271" s="7">
        <f>MIN(S271/N271+0.5, W271/2/N271+0.5)</f>
        <v>3</v>
      </c>
      <c r="AC271" s="7">
        <f>S271/N271+0.5</f>
        <v>3</v>
      </c>
      <c r="AD271" s="38">
        <v>4</v>
      </c>
      <c r="AE271" s="4">
        <f>AD271</f>
        <v>4</v>
      </c>
      <c r="AF271" s="4">
        <f>AE271+1</f>
        <v>5</v>
      </c>
      <c r="AG271" s="7">
        <f>N271*AF271^0.5</f>
        <v>56.796126628494655</v>
      </c>
      <c r="AJ271" s="38">
        <f>123.7/0.145</f>
        <v>853.10344827586209</v>
      </c>
      <c r="AL271" s="4">
        <f>CY271</f>
        <v>1.8303996348577347</v>
      </c>
      <c r="AM271" s="38">
        <v>0</v>
      </c>
      <c r="AN271" s="38">
        <v>0</v>
      </c>
      <c r="AO271" s="39">
        <f>L271</f>
        <v>319.024</v>
      </c>
      <c r="AP271" s="39"/>
      <c r="AQ271" s="39"/>
      <c r="AR271" s="7"/>
      <c r="AS271" s="4">
        <f>K271</f>
        <v>319.024</v>
      </c>
      <c r="AT271" s="4">
        <f>IF(K271*3&gt;W271+N271, Q271, (S271+N271/2)*2+1.5*K271*(2*X271-2))*(3*K271)/(9*K271^2)</f>
        <v>0.44585987261146492</v>
      </c>
      <c r="AU271" s="4">
        <f>MIN(10*M271^0.5*K271^1.5,100*3.9*M271^0.5*K271^(5/3))/(PI()/4*N271^2)/X271</f>
        <v>358.96942805546695</v>
      </c>
      <c r="AV271" s="4">
        <f>MIN(0.7+0.3*(MIN(S271,AA271)+0.5*N271)/1.5/K271,1)</f>
        <v>0.74777070063694262</v>
      </c>
      <c r="AW271" s="4">
        <v>1.25</v>
      </c>
      <c r="AX271" s="4">
        <f>AX270</f>
        <v>1</v>
      </c>
      <c r="AY271" s="38">
        <f>AT271*AV271*AW271*AX271*AU271</f>
        <v>149.60093511703451</v>
      </c>
      <c r="AZ271" s="38">
        <f>AY271</f>
        <v>149.60093511703451</v>
      </c>
      <c r="BA271" s="38">
        <f>IF(M271&lt;50, 0.3*M271^(2/3), 2.12*LN(1+0.1*(M271+8)))</f>
        <v>3.5530466297176955</v>
      </c>
      <c r="BB271" s="38">
        <f>AX271* (M271^0.5/AS271^0.5)/(PI()/4*N271^2)/X271/0.72 *(0.7+(MIN(S271,AA271)+0.5*N271)/5/K271) *(3*Q271*K271)</f>
        <v>149.60093511703462</v>
      </c>
      <c r="BC271" s="38">
        <f>AY271/BB271</f>
        <v>0.99999999999999922</v>
      </c>
      <c r="BD271" s="38">
        <f>BH271/BB271</f>
        <v>3.2693876404798572</v>
      </c>
      <c r="BE271" s="4">
        <f>IF(BD271&lt;1,1,0)</f>
        <v>0</v>
      </c>
      <c r="BF271" s="4">
        <f>L271/N271*M271^0.5/0.19</f>
        <v>422.03238460067695</v>
      </c>
      <c r="BG271" s="4">
        <f>MIN(0.6+0.4*(AC271/AB271),2)</f>
        <v>1</v>
      </c>
      <c r="BH271" s="38">
        <f>2*M271*AB271*AD271^0.5*BG271*0.7/0.7</f>
        <v>489.10344827586204</v>
      </c>
      <c r="BI271" s="4">
        <f>MAX(1-0.7*AE271/5,0.3)</f>
        <v>0.44000000000000006</v>
      </c>
      <c r="BJ271" s="4">
        <f>BI271*J271*L271/(J271*N271/2.75/M271^0.5)</f>
        <v>97.025245219695648</v>
      </c>
      <c r="BK271" s="4">
        <f>BH271+BJ271</f>
        <v>586.12869349555763</v>
      </c>
      <c r="BM271" s="4">
        <f>MIN(1.5, 0.75+0.25*MIN(3,MAX(1,S271/N271))+0.4*MIN(1,(40*2*PI()*AM271^2/4/AO271/X271)/N271))</f>
        <v>1.375</v>
      </c>
      <c r="BN271" s="4">
        <f>(3*P271+30)*BM271*M271^0.5</f>
        <v>594.11810549987342</v>
      </c>
      <c r="BP271" s="4">
        <f>3.4/PI()^0.5*M271*AB271*AE271^0.5*BG271</f>
        <v>469.11002035070135</v>
      </c>
      <c r="BQ271" s="4">
        <f>8/3*AH271*AI271^2/(AG271-N271-22)/N271*(AG271^2-N271^2)/(AG271^2-(N271+22)^2)</f>
        <v>0</v>
      </c>
      <c r="BR271" s="4">
        <f>BQ271/BP271</f>
        <v>0</v>
      </c>
      <c r="BZ271" s="4">
        <f>IF(W271=0,S271,MIN(W271/2,S271))</f>
        <v>63.5</v>
      </c>
      <c r="CD271" s="9"/>
      <c r="CF271" s="9"/>
      <c r="CG271" s="9"/>
      <c r="CH271" s="9">
        <f>IF(W271=0,MIN(S271,U271),MIN(W271/2,S271,U271))</f>
        <v>63.5</v>
      </c>
      <c r="CI271" s="9">
        <f>MAX(W271/2,S271)</f>
        <v>124.45999999999998</v>
      </c>
      <c r="CJ271" s="9">
        <f>(CH271/N271)^0.5*(CI271/CH271)^0.15</f>
        <v>1.7490749303163509</v>
      </c>
      <c r="CK271" s="70">
        <f>IF(AO271&gt;1,20,0)</f>
        <v>20</v>
      </c>
      <c r="CL271" s="9">
        <f>MIN(PI()*AM271^2/4*AN271*2/X271/N271/MAX(0.01,AO271),0.05)</f>
        <v>0</v>
      </c>
      <c r="CM271" s="9">
        <f>MAX(0,CK271*(CL271-0.5/50))</f>
        <v>0</v>
      </c>
      <c r="CN271" s="9">
        <f>MIN(1,(25/N271)^0.3)</f>
        <v>0.99524931562137331</v>
      </c>
      <c r="CO271" s="9">
        <f>IF(J271&gt;=800,0.68,IF(J271&gt;=700,0.75-(J271-700)*0.07/100,IF(J271&gt;=600,0.85-(J271-600)*0.1/100,IF(J271&gt;=500,1-(J271-500)*0.15/100,1.2-(J271-400)*0.2/100))))</f>
        <v>0.68</v>
      </c>
      <c r="CP271" s="9">
        <f>1.75*CN271*CO271*(M271/25)^0.5</f>
        <v>1.5122325576992237</v>
      </c>
      <c r="CQ271" s="9">
        <f>MIN((CJ271+CM271)*CP271,2.5*CP271,M271^0.5)</f>
        <v>2.6450080554798867</v>
      </c>
      <c r="CR271" s="40">
        <v>1</v>
      </c>
      <c r="CS271" s="9">
        <f>4*CQ271*P271+60*CQ271</f>
        <v>291.58568803610274</v>
      </c>
      <c r="CU271" s="4">
        <f>AJ271/BF271</f>
        <v>2.0214170272337286</v>
      </c>
      <c r="CV271" s="4">
        <f>AJ271/BK271</f>
        <v>1.4554882873727251</v>
      </c>
      <c r="CW271" s="4">
        <f>AJ271/BN271</f>
        <v>1.4359155871172888</v>
      </c>
      <c r="CX271" s="4">
        <f>AJ271/CS271</f>
        <v>2.925738413369023</v>
      </c>
      <c r="CY271" s="4">
        <f>AJ271/DZ271</f>
        <v>1.8303996348577347</v>
      </c>
      <c r="CZ271" s="4">
        <f>AJ271/EL271</f>
        <v>1.2638608456589822</v>
      </c>
      <c r="DA271" s="4">
        <f>AJ271/GI271</f>
        <v>1.3479209893794599</v>
      </c>
      <c r="DB271" s="4">
        <f>AN271</f>
        <v>0</v>
      </c>
      <c r="DC271" s="4">
        <f>CU271</f>
        <v>2.0214170272337286</v>
      </c>
      <c r="DD271" s="4">
        <f>CV271</f>
        <v>1.4554882873727251</v>
      </c>
      <c r="DE271" s="4">
        <f>CX271</f>
        <v>2.925738413369023</v>
      </c>
      <c r="DF271" s="4">
        <f>DA271</f>
        <v>1.3479209893794599</v>
      </c>
      <c r="DG271" s="4">
        <f>CY271</f>
        <v>1.8303996348577347</v>
      </c>
      <c r="DH271" s="4">
        <f>CZ271</f>
        <v>1.2638608456589822</v>
      </c>
      <c r="DQ271" s="4">
        <f>L271</f>
        <v>319.024</v>
      </c>
      <c r="DT271" s="4">
        <f>K271/4/(1-0.3*(M271/30)^0.5)/200000/N271</f>
        <v>2.4141948123623064E-5</v>
      </c>
      <c r="DU271" s="4">
        <f>EP271</f>
        <v>8.0664280589525461</v>
      </c>
      <c r="DV271" s="4">
        <f>EC271*AG271/257/M271/AD271</f>
        <v>0.20278715096157096</v>
      </c>
      <c r="DW271" s="4">
        <f>DU271*DV271^0.4</f>
        <v>4.2608617033533562</v>
      </c>
      <c r="DX271" s="4">
        <f>MIN(DU271, DU271/1.4*(1-DV271^1.4)/(1-DV271))</f>
        <v>6.4531789562451571</v>
      </c>
      <c r="DY271" s="4">
        <f>MAX(DU271/2, (4-DT271*(8*AG271*(DW271-DX271)+6*K271*DX271))/(4+DT271*K271*DU271)*DU271)</f>
        <v>7.3986409086920322</v>
      </c>
      <c r="DZ271" s="38">
        <f>MIN(1/N271*(4*AG271*(DW271-DX271)+(3*DX271+DY271)*K271)+EC271 -FJ271,MAX(J271,AJ271))</f>
        <v>466.0749663786774</v>
      </c>
      <c r="EA271" s="4">
        <f>DZ271/FF271</f>
        <v>1.0001085865386414</v>
      </c>
      <c r="EB271" s="4">
        <f>AG271/N271</f>
        <v>2.2360679774997898</v>
      </c>
      <c r="EC271" s="4">
        <f>MIN(EB$10*BB271)</f>
        <v>149.60093511703462</v>
      </c>
      <c r="EG271" s="4">
        <f>IF(U271&gt;1*N271,0.85,1)</f>
        <v>0.85</v>
      </c>
      <c r="EH271" s="4">
        <f>MIN(1,MAX(0.7,(1-0.1*(BZ271-1*N271)/N271)))</f>
        <v>0.85</v>
      </c>
      <c r="EI271" s="4">
        <f>MIN(1,MAX(0.7,1-0.3*(PI()*AM271^2/4*AQ271*2-0.25*PI()/4*N271^2)/(PI()/4*N271^2)))</f>
        <v>1</v>
      </c>
      <c r="EJ271" s="4">
        <f>IF(EH271*EI271&lt;0.7,0.7,EH271*EI271)</f>
        <v>0.85</v>
      </c>
      <c r="EL271" s="4">
        <f>MIN(DU271/N271*3*K271+EM271-FJ271,MAX(J271,AJ271))</f>
        <v>674.99792497413</v>
      </c>
      <c r="EM271" s="25">
        <f>13.3*Q271*K271^0.5*M271^0.5/X271/N271^2*(0.7+S271/5/K271)</f>
        <v>371.05491571279799</v>
      </c>
      <c r="EO271" s="4">
        <f>EG271*EJ271</f>
        <v>0.72249999999999992</v>
      </c>
      <c r="EP271" s="4">
        <f>IF(N271&lt;22.2,1.1*5*(M271/30)^0.5,IF(N271&gt;=31.8,0.9*5*(M271/30)^0.5,1*5*(M271/30)^0.5))/EG271/EJ271</f>
        <v>8.0664280589525461</v>
      </c>
      <c r="ES271" s="4">
        <f>ET271*N271</f>
        <v>56.796126628494655</v>
      </c>
      <c r="ET271" s="4">
        <f>AF271^0.5</f>
        <v>2.2360679774997898</v>
      </c>
      <c r="EU271" s="4">
        <f>MIN(EC271)/(4700*M271^0.5)/AE271*ES271</f>
        <v>7.079220478413463E-2</v>
      </c>
      <c r="EX271" s="4">
        <f>EU271</f>
        <v>7.079220478413463E-2</v>
      </c>
      <c r="EY271" s="4">
        <f>MIN(0.999, EX271/(0.3*(M271/30)^0.5))</f>
        <v>0.2024487370010033</v>
      </c>
      <c r="EZ271" s="4">
        <f>EP271/1*EY271^0.4</f>
        <v>4.2580160445093771</v>
      </c>
      <c r="FA271" s="4">
        <f>EP271/1.4*(1-EY271^1.4)/(1-EY271)</f>
        <v>6.4522481167822505</v>
      </c>
      <c r="FB271" s="4">
        <f>MAX(0,DQ271*FB$9-ES271)</f>
        <v>182.47187337150535</v>
      </c>
      <c r="FC271" s="4">
        <f>MAX(0,DQ271-ES271-FB271)</f>
        <v>79.755999999999972</v>
      </c>
      <c r="FD271" s="4">
        <f>FC271/(1-0.3*(M271/30)^0.5)/200000/N271</f>
        <v>2.4141948123623051E-5</v>
      </c>
      <c r="FE271" s="4">
        <f>MAX(0.5*EP271, (1-2*FD271*(ES271*EZ271+FB271*FA271))/(1/EP271+FD271*FC271))</f>
        <v>7.3987680363774508</v>
      </c>
      <c r="FF271" s="4">
        <f>MIN(4/N271*(1*EZ271*ES271+FA271*FB271+FC271*FE271)+EC271,MAX(J271,AJ271))</f>
        <v>466.0243624062411</v>
      </c>
      <c r="FO271" s="23">
        <f>IF(CU271&lt;0.6,0.6,IF(CU271&lt;0.8,0.8,IF(CU271&lt;1,1,IF(CU271&lt;1.2,1.2,IF(CU271&lt;1.4,1.4,IF(CU271&lt;1.6,1.6,IF(CU271&lt;1.8,1.8,IF(CU271&lt;2,2,2.2))))))))</f>
        <v>2.2000000000000002</v>
      </c>
      <c r="FP271" s="23">
        <f>IF(CV271&lt;0.6,0.6,IF(CV271&lt;0.8,0.8,IF(CV271&lt;1,1,IF(CV271&lt;1.2,1.2,IF(CV271&lt;1.4,1.4,IF(CV271&lt;1.6,1.6,IF(CV271&lt;1.8,1.8,IF(CV271&lt;2,2,2.2))))))))</f>
        <v>1.6</v>
      </c>
      <c r="FQ271" s="23">
        <f>IF(DA271&lt;0.6,0.6,IF(DA271&lt;0.8,0.8,IF(DA271&lt;1,1,IF(DA271&lt;1.2,1.2,IF(DA271&lt;1.4,1.4,IF(DA271&lt;1.6,1.6,IF(DA271&lt;1.8,1.8,IF(DA271&lt;2,2,2.2))))))))</f>
        <v>1.4</v>
      </c>
      <c r="FR271" s="23">
        <f>IF(CX271&lt;0.6,0.6,IF(CX271&lt;0.8,0.8,IF(CX271&lt;1,1,IF(CX271&lt;1.2,1.2,IF(CX271&lt;1.4,1.4,IF(CX271&lt;1.6,1.6,IF(CX271&lt;1.8,1.8,IF(CX271&lt;2,2,2.2))))))))</f>
        <v>2.2000000000000002</v>
      </c>
      <c r="FS271" s="23">
        <f>IF(CY271&lt;0.6,0.6,IF(CY271&lt;0.8,0.8,IF(CY271&lt;1,1,IF(CY271&lt;1.2,1.2,IF(CY271&lt;1.4,1.4,IF(CY271&lt;1.6,1.6,IF(CY271&lt;1.8,1.8,IF(CY271&lt;2,2,2.2))))))))</f>
        <v>2</v>
      </c>
      <c r="FT271" s="23">
        <f>IF(CZ271&lt;0.6,0.6,IF(CZ271&lt;0.8,0.8,IF(CZ271&lt;1,1,IF(CZ271&lt;1.2,1.2,IF(CZ271&lt;1.4,1.4,IF(CZ271&lt;1.6,1.6,IF(CZ271&lt;1.8,1.8,IF(CZ271&lt;2,2,2.2))))))))</f>
        <v>1.4</v>
      </c>
      <c r="FU271" s="23">
        <f>IF(FS271&lt;1,1,0)</f>
        <v>0</v>
      </c>
      <c r="FV271" s="23"/>
      <c r="GF271" s="4">
        <f>IF(S271&gt;=2.5*25.4,1,1.25)</f>
        <v>1</v>
      </c>
      <c r="GG271" s="4">
        <f>IF(AO271&gt;1, 0.05*(18-MIN(8,(W271+N271)/N271))*(1-48000/MAX(60000,(J271*145))*(N271/25.4)^0.75*GH271), 1/12*(14-MIN(8,(W271+N271)/N271)))</f>
        <v>0.5</v>
      </c>
      <c r="GH271" s="4">
        <f>MIN(0.3, AM271^2*PI()/4*2*AP271/(N271^2*PI()/4*X271))</f>
        <v>0</v>
      </c>
      <c r="GI271" s="4">
        <f>(K271/25.4)/(N271/25.4)^1.5/0.0024*(M271*145)^0.25/GF271/GG271/145</f>
        <v>632.90315604374098</v>
      </c>
    </row>
    <row r="272" spans="1:191" ht="12" customHeight="1" x14ac:dyDescent="0.3">
      <c r="A272" s="25">
        <v>409</v>
      </c>
      <c r="B272" s="4" t="s">
        <v>605</v>
      </c>
      <c r="C272" s="4">
        <v>2016</v>
      </c>
      <c r="D272" s="4" t="s">
        <v>309</v>
      </c>
      <c r="E272" s="14" t="s">
        <v>577</v>
      </c>
      <c r="F272" s="14"/>
      <c r="G272" s="14">
        <v>36</v>
      </c>
      <c r="H272" s="7" t="s">
        <v>579</v>
      </c>
      <c r="I272" s="5">
        <f>K272/N272</f>
        <v>8.8652482269503565</v>
      </c>
      <c r="J272" s="90">
        <f>135/0.145</f>
        <v>931.0344827586207</v>
      </c>
      <c r="K272" s="38">
        <f>12.5*25.4</f>
        <v>317.5</v>
      </c>
      <c r="L272" s="4">
        <f>K272</f>
        <v>317.5</v>
      </c>
      <c r="M272" s="38">
        <f>5760/145</f>
        <v>39.724137931034484</v>
      </c>
      <c r="N272" s="38">
        <f>1.41*25.4</f>
        <v>35.813999999999993</v>
      </c>
      <c r="O272" s="7">
        <f>K272/N272</f>
        <v>8.8652482269503565</v>
      </c>
      <c r="P272" s="7">
        <f>L272/N272</f>
        <v>8.8652482269503565</v>
      </c>
      <c r="Q272" s="38">
        <f>21.8*25.4</f>
        <v>553.72</v>
      </c>
      <c r="R272" s="32">
        <f>S272/N272</f>
        <v>1.9148936170212769</v>
      </c>
      <c r="S272" s="38">
        <f>2.7*25.4</f>
        <v>68.58</v>
      </c>
      <c r="T272" s="32">
        <f>U272/N272</f>
        <v>2.1985815602836882</v>
      </c>
      <c r="U272" s="39">
        <f>3.1*25.4</f>
        <v>78.739999999999995</v>
      </c>
      <c r="V272" s="32">
        <f>W272/N272</f>
        <v>9.6312056737588669</v>
      </c>
      <c r="W272" s="7">
        <f>(Q272-X272*N272-2*S272)/(X272-1)</f>
        <v>344.93200000000002</v>
      </c>
      <c r="X272" s="38">
        <v>2</v>
      </c>
      <c r="Y272" s="7">
        <f>AN272</f>
        <v>12</v>
      </c>
      <c r="Z272" s="32">
        <f>AA272/N272</f>
        <v>14.18439716312057</v>
      </c>
      <c r="AA272" s="4">
        <f>20*25.4</f>
        <v>508</v>
      </c>
      <c r="AB272" s="7">
        <f>MIN(S272/N272+0.5, W272/2/N272+0.5)</f>
        <v>2.4148936170212769</v>
      </c>
      <c r="AC272" s="7">
        <f>S272/N272+0.5</f>
        <v>2.4148936170212769</v>
      </c>
      <c r="AD272" s="38">
        <v>3.9</v>
      </c>
      <c r="AE272" s="4">
        <f>AD272</f>
        <v>3.9</v>
      </c>
      <c r="AF272" s="4">
        <f>AE272+1</f>
        <v>4.9000000000000004</v>
      </c>
      <c r="AG272" s="7">
        <f>N272*AF272^0.5</f>
        <v>79.277668484889219</v>
      </c>
      <c r="AJ272" s="38">
        <f>AK272/0.145</f>
        <v>390.34482758620692</v>
      </c>
      <c r="AK272" s="4">
        <v>56.6</v>
      </c>
      <c r="AL272" s="4">
        <f>CY272</f>
        <v>1.3974642339462553</v>
      </c>
      <c r="AM272" s="38">
        <f>0.5*25.4</f>
        <v>12.7</v>
      </c>
      <c r="AN272" s="38">
        <v>12</v>
      </c>
      <c r="AO272" s="39">
        <f>4*25.4</f>
        <v>101.6</v>
      </c>
      <c r="AP272" s="39">
        <v>2</v>
      </c>
      <c r="AQ272" s="39">
        <f>AP272-1</f>
        <v>1</v>
      </c>
      <c r="AR272" s="7"/>
      <c r="AS272" s="4">
        <f>K272</f>
        <v>317.5</v>
      </c>
      <c r="AT272" s="4">
        <f>IF(K272*3&gt;W272+N272, Q272, (S272+N272/2)*2+1.5*K272*(2*X272-2))*(3*K272)/(9*K272^2)</f>
        <v>0.58133333333333337</v>
      </c>
      <c r="AU272" s="4">
        <f>MIN(10*M272^0.5*K272^1.5,100*3.9*M272^0.5*K272^(5/3))/(PI()/4*N272^2)/X272</f>
        <v>176.97719173373653</v>
      </c>
      <c r="AV272" s="4">
        <f>MIN(0.7+0.3*(MIN(S272,AA272)+0.5*N272)/1.5/K272,1)</f>
        <v>0.75447999999999993</v>
      </c>
      <c r="AW272" s="4">
        <v>1.25</v>
      </c>
      <c r="AX272" s="4">
        <f>AX271</f>
        <v>1</v>
      </c>
      <c r="AY272" s="38">
        <f>AT272*AV272*AW272*AX272*AU272</f>
        <v>97.028712843335853</v>
      </c>
      <c r="AZ272" s="38">
        <f>AY272</f>
        <v>97.028712843335853</v>
      </c>
      <c r="BA272" s="38">
        <f>IF(M272&lt;50, 0.3*M272^(2/3), 2.12*LN(1+0.1*(M272+8)))</f>
        <v>3.4926701740126327</v>
      </c>
      <c r="BB272" s="38">
        <f>AX272* (M272^0.5/AS272^0.5)/(PI()/4*N272^2)/X272/0.72 *(0.7+(MIN(S272,AA272)+0.5*N272)/5/K272) *(3*Q272*K272)</f>
        <v>97.028712843335825</v>
      </c>
      <c r="BC272" s="38">
        <f>AY272/BB272</f>
        <v>1.0000000000000002</v>
      </c>
      <c r="BD272" s="38">
        <f>BH272/BB272</f>
        <v>3.9049413353180316</v>
      </c>
      <c r="BE272" s="4">
        <f>IF(BD272&lt;1,1,0)</f>
        <v>0</v>
      </c>
      <c r="BF272" s="4">
        <f>L272/N272*M272^0.5/0.19</f>
        <v>294.07935690867322</v>
      </c>
      <c r="BG272" s="4">
        <f>MIN(0.6+0.4*(AC272/AB272),2)</f>
        <v>1</v>
      </c>
      <c r="BH272" s="38">
        <f>2*M272*AB272*AD272^0.5*BG272*0.7/0.7</f>
        <v>378.89143149464564</v>
      </c>
      <c r="BI272" s="4">
        <f>MAX(1-0.7*AE272/5,0.3)</f>
        <v>0.45399999999999996</v>
      </c>
      <c r="BJ272" s="4">
        <f>BI272*J272*L272/(J272*N272/2.75/M272^0.5)</f>
        <v>69.760034649090912</v>
      </c>
      <c r="BK272" s="4">
        <f>BH272+BJ272</f>
        <v>448.65146614373657</v>
      </c>
      <c r="BM272" s="4">
        <f>MIN(1.5, 0.75+0.25*MIN(3,MAX(1,S272/N272))+0.4*MIN(1,(40*2*PI()*AM272^2/4/AO272/X272)/N272))</f>
        <v>1.5</v>
      </c>
      <c r="BN272" s="4">
        <f>(3*P272+30)*BM272*M272^0.5</f>
        <v>535.05974513391641</v>
      </c>
      <c r="BP272" s="4">
        <f>3.4/PI()^0.5*M272*AB272*AE272^0.5*BG272</f>
        <v>363.40321820612149</v>
      </c>
      <c r="BQ272" s="4">
        <f>8/3*AH272*AI272^2/(AG272-N272-22)/N272*(AG272^2-N272^2)/(AG272^2-(N272+22)^2)</f>
        <v>0</v>
      </c>
      <c r="BR272" s="4">
        <f>BQ272/BP272</f>
        <v>0</v>
      </c>
      <c r="BZ272" s="4">
        <f>IF(W272=0,S272,MIN(W272/2,S272))</f>
        <v>68.58</v>
      </c>
      <c r="CD272" s="9"/>
      <c r="CF272" s="9"/>
      <c r="CG272" s="9"/>
      <c r="CH272" s="9">
        <f>IF(W272=0,MIN(S272,U272),MIN(W272/2,S272,U272))</f>
        <v>68.58</v>
      </c>
      <c r="CI272" s="9">
        <f>MAX(W272/2,S272)</f>
        <v>172.46600000000001</v>
      </c>
      <c r="CJ272" s="9">
        <f>(CH272/N272)^0.5*(CI272/CH272)^0.15</f>
        <v>1.5890890215144411</v>
      </c>
      <c r="CK272" s="70">
        <f>IF(AO272&gt;1,20,0)</f>
        <v>20</v>
      </c>
      <c r="CL272" s="9">
        <f>MIN(PI()*AM272^2/4*AN272*2/X272/N272/MAX(0.01,AO272),0.05)</f>
        <v>0.05</v>
      </c>
      <c r="CM272" s="9">
        <f>MAX(0,CK272*(CL272-0.5/50))</f>
        <v>0.8</v>
      </c>
      <c r="CN272" s="9">
        <f>MIN(1,(25/N272)^0.3)</f>
        <v>0.89777220146327208</v>
      </c>
      <c r="CO272" s="9">
        <f>IF(J272&gt;=800,0.68,IF(J272&gt;=700,0.75-(J272-700)*0.07/100,IF(J272&gt;=600,0.85-(J272-600)*0.1/100,IF(J272&gt;=500,1-(J272-500)*0.15/100,1.2-(J272-400)*0.2/100))))</f>
        <v>0.68</v>
      </c>
      <c r="CP272" s="9">
        <f>1.75*CN272*CO272*(M272/25)^0.5</f>
        <v>1.3466984227273664</v>
      </c>
      <c r="CQ272" s="9">
        <f>MIN((CJ272+CM272)*CP272,2.5*CP272,M272^0.5)</f>
        <v>3.217382417028765</v>
      </c>
      <c r="CR272" s="40">
        <v>1</v>
      </c>
      <c r="CS272" s="9">
        <f>4*CQ272*P272+60*CQ272</f>
        <v>307.13452009366796</v>
      </c>
      <c r="CU272" s="4">
        <f>AJ272/BF272</f>
        <v>1.3273452162350488</v>
      </c>
      <c r="CV272" s="4">
        <f>AJ272/BK272</f>
        <v>0.87004023622459381</v>
      </c>
      <c r="CW272" s="4">
        <f>AJ272/BN272</f>
        <v>0.72953503068804071</v>
      </c>
      <c r="CX272" s="4">
        <f>AJ272/CS272</f>
        <v>1.2709246341543179</v>
      </c>
      <c r="CY272" s="4">
        <f>AJ272/DZ272</f>
        <v>1.3974642339462553</v>
      </c>
      <c r="CZ272" s="4">
        <f>AJ272/EL272</f>
        <v>0.93377048827409681</v>
      </c>
      <c r="DA272" s="4">
        <f>AJ272/GI272</f>
        <v>0.92343789210776062</v>
      </c>
      <c r="DB272" s="4">
        <f>AN272</f>
        <v>12</v>
      </c>
      <c r="DI272" s="4">
        <f>CU272</f>
        <v>1.3273452162350488</v>
      </c>
      <c r="DJ272" s="4">
        <f>CV272</f>
        <v>0.87004023622459381</v>
      </c>
      <c r="DK272" s="4">
        <f>CX272</f>
        <v>1.2709246341543179</v>
      </c>
      <c r="DL272" s="4">
        <f>DA272</f>
        <v>0.92343789210776062</v>
      </c>
      <c r="DM272" s="4">
        <f>CY272</f>
        <v>1.3974642339462553</v>
      </c>
      <c r="DN272" s="4">
        <f>CZ272</f>
        <v>0.93377048827409681</v>
      </c>
      <c r="DQ272" s="4">
        <f>L272</f>
        <v>317.5</v>
      </c>
      <c r="DT272" s="4">
        <f>K272/4/(1-0.3*(M272/30)^0.5)/200000/N272</f>
        <v>1.6923931064562959E-5</v>
      </c>
      <c r="DU272" s="4">
        <f>EP272</f>
        <v>6.7084964135054195</v>
      </c>
      <c r="DV272" s="4">
        <f>EC272*AG272/257/M272/AD272</f>
        <v>0.19319635478934497</v>
      </c>
      <c r="DW272" s="4">
        <f>DU272*DV272^0.4</f>
        <v>3.4755597822341699</v>
      </c>
      <c r="DX272" s="4">
        <f>MIN(DU272, DU272/1.4*(1-DV272^1.4)/(1-DV272))</f>
        <v>5.3447514491841011</v>
      </c>
      <c r="DY272" s="4">
        <f>MAX(DU272/2, (4-DT272*(8*AG272*(DW272-DX272)+6*K272*DX272))/(4+DT272*K272*DU272)*DU272)</f>
        <v>6.3955155568192472</v>
      </c>
      <c r="DZ272" s="38">
        <f>MIN(1/N272*(4*AG272*(DW272-DX272)+(3*DX272+DY272)*K272)+EC272 -FJ272,MAX(J272,AJ272))</f>
        <v>279.32366217625793</v>
      </c>
      <c r="EA272" s="4">
        <f>DZ272/FF272</f>
        <v>1.0001188857617211</v>
      </c>
      <c r="EB272" s="4">
        <f>AG272/N272</f>
        <v>2.2135943621178655</v>
      </c>
      <c r="EC272" s="4">
        <f>MIN(EB$10*BB272)</f>
        <v>97.028712843335825</v>
      </c>
      <c r="EG272" s="4">
        <f>IF(U272&gt;1*N272,0.85,1)</f>
        <v>0.85</v>
      </c>
      <c r="EH272" s="4">
        <f>MIN(1,MAX(0.7,(1-0.1*(BZ272-1*N272)/N272)))</f>
        <v>0.90851063829787226</v>
      </c>
      <c r="EI272" s="4">
        <f>MIN(1,MAX(0.7,1-0.3*(PI()*AM272^2/4*AQ272*2-0.25*PI()/4*N272^2)/(PI()/4*N272^2)))</f>
        <v>0.9995510789195714</v>
      </c>
      <c r="EJ272" s="4">
        <f>IF(EH272*EI272&lt;0.7,0.7,EH272*EI272)</f>
        <v>0.90810278872054673</v>
      </c>
      <c r="EL272" s="4">
        <f>MIN(DU272/N272*3*K272+EM272-FJ272,MAX(J272,AJ272))</f>
        <v>418.03080359466878</v>
      </c>
      <c r="EM272" s="25">
        <f>13.3*Q272*K272^0.5*M272^0.5/X272/N272^2*(0.7+S272/5/K272)</f>
        <v>239.61334578867351</v>
      </c>
      <c r="EO272" s="4">
        <f>EG272*EJ272</f>
        <v>0.77188737041246469</v>
      </c>
      <c r="EP272" s="4">
        <f>IF(N272&lt;22.2,1.1*5*(M272/30)^0.5,IF(N272&gt;=31.8,0.9*5*(M272/30)^0.5,1*5*(M272/30)^0.5))/EG272/EJ272</f>
        <v>6.7084964135054195</v>
      </c>
      <c r="ES272" s="4">
        <f>ET272*N272</f>
        <v>79.277668484889219</v>
      </c>
      <c r="ET272" s="4">
        <f>AF272^0.5</f>
        <v>2.2135943621178655</v>
      </c>
      <c r="EU272" s="4">
        <f>MIN(EC272)/(4700*M272^0.5)/AE272*ES272</f>
        <v>6.6582704849819208E-2</v>
      </c>
      <c r="EX272" s="4">
        <f>EU272</f>
        <v>6.6582704849819208E-2</v>
      </c>
      <c r="EY272" s="4">
        <f>MIN(0.999, EX272/(0.3*(M272/30)^0.5))</f>
        <v>0.19287394608010736</v>
      </c>
      <c r="EZ272" s="4">
        <f>EP272/1*EY272^0.4</f>
        <v>3.4732385950845592</v>
      </c>
      <c r="FA272" s="4">
        <f>EP272/1.4*(1-EY272^1.4)/(1-EY272)</f>
        <v>5.3440043319367883</v>
      </c>
      <c r="FB272" s="4">
        <f>MAX(0,DQ272*FB$9-ES272)</f>
        <v>158.8473315151108</v>
      </c>
      <c r="FC272" s="4">
        <f>MAX(0,DQ272-ES272-FB272)</f>
        <v>79.375</v>
      </c>
      <c r="FD272" s="4">
        <f>FC272/(1-0.3*(M272/30)^0.5)/200000/N272</f>
        <v>1.6923931064562959E-5</v>
      </c>
      <c r="FE272" s="4">
        <f>MAX(0.5*EP272, (1-2*FD272*(ES272*EZ272+FB272*FA272))/(1/EP272+FD272*FC272))</f>
        <v>6.3955836755773037</v>
      </c>
      <c r="FF272" s="4">
        <f>MIN(4/N272*(1*EZ272*ES272+FA272*FB272+FC272*FE272)+EC272,MAX(J272,AJ272))</f>
        <v>279.29045851735566</v>
      </c>
      <c r="FO272" s="23">
        <f>IF(CU272&lt;0.6,0.6,IF(CU272&lt;0.8,0.8,IF(CU272&lt;1,1,IF(CU272&lt;1.2,1.2,IF(CU272&lt;1.4,1.4,IF(CU272&lt;1.6,1.6,IF(CU272&lt;1.8,1.8,IF(CU272&lt;2,2,2.2))))))))</f>
        <v>1.4</v>
      </c>
      <c r="FP272" s="23">
        <f>IF(CV272&lt;0.6,0.6,IF(CV272&lt;0.8,0.8,IF(CV272&lt;1,1,IF(CV272&lt;1.2,1.2,IF(CV272&lt;1.4,1.4,IF(CV272&lt;1.6,1.6,IF(CV272&lt;1.8,1.8,IF(CV272&lt;2,2,2.2))))))))</f>
        <v>1</v>
      </c>
      <c r="FQ272" s="23">
        <f>IF(DA272&lt;0.6,0.6,IF(DA272&lt;0.8,0.8,IF(DA272&lt;1,1,IF(DA272&lt;1.2,1.2,IF(DA272&lt;1.4,1.4,IF(DA272&lt;1.6,1.6,IF(DA272&lt;1.8,1.8,IF(DA272&lt;2,2,2.2))))))))</f>
        <v>1</v>
      </c>
      <c r="FR272" s="23">
        <f>IF(CX272&lt;0.6,0.6,IF(CX272&lt;0.8,0.8,IF(CX272&lt;1,1,IF(CX272&lt;1.2,1.2,IF(CX272&lt;1.4,1.4,IF(CX272&lt;1.6,1.6,IF(CX272&lt;1.8,1.8,IF(CX272&lt;2,2,2.2))))))))</f>
        <v>1.4</v>
      </c>
      <c r="FS272" s="23">
        <f>IF(CY272&lt;0.6,0.6,IF(CY272&lt;0.8,0.8,IF(CY272&lt;1,1,IF(CY272&lt;1.2,1.2,IF(CY272&lt;1.4,1.4,IF(CY272&lt;1.6,1.6,IF(CY272&lt;1.8,1.8,IF(CY272&lt;2,2,2.2))))))))</f>
        <v>1.4</v>
      </c>
      <c r="FT272" s="23">
        <f>IF(CZ272&lt;0.6,0.6,IF(CZ272&lt;0.8,0.8,IF(CZ272&lt;1,1,IF(CZ272&lt;1.2,1.2,IF(CZ272&lt;1.4,1.4,IF(CZ272&lt;1.6,1.6,IF(CZ272&lt;1.8,1.8,IF(CZ272&lt;2,2,2.2))))))))</f>
        <v>1</v>
      </c>
      <c r="FU272" s="23">
        <f>IF(FS272&lt;1,1,0)</f>
        <v>0</v>
      </c>
      <c r="FV272" s="23"/>
      <c r="GF272" s="4">
        <f>IF(S272&gt;=2.5*25.4,1,1.25)</f>
        <v>1</v>
      </c>
      <c r="GG272" s="4">
        <f>IF(AO272&gt;1, 0.05*(18-MIN(8,(W272+N272)/N272))*(1-48000/MAX(60000,(J272*145))*(N272/25.4)^0.75*GH272), 1/12*(14-MIN(8,(W272+N272)/N272)))</f>
        <v>0.44214730608235164</v>
      </c>
      <c r="GH272" s="4">
        <f>MIN(0.3, AM272^2*PI()/4*2*AP272/(N272^2*PI()/4*X272))</f>
        <v>0.25149640360142855</v>
      </c>
      <c r="GI272" s="4">
        <f>(K272/25.4)/(N272/25.4)^1.5/0.0024*(M272*145)^0.25/GF272/GG272/145</f>
        <v>422.7082632436049</v>
      </c>
    </row>
    <row r="273" spans="1:191" ht="12" customHeight="1" x14ac:dyDescent="0.3">
      <c r="A273" s="25">
        <v>237</v>
      </c>
      <c r="B273" s="4" t="s">
        <v>605</v>
      </c>
      <c r="C273" s="4">
        <v>2016</v>
      </c>
      <c r="D273" s="4" t="s">
        <v>309</v>
      </c>
      <c r="E273" s="24" t="s">
        <v>404</v>
      </c>
      <c r="F273" s="24"/>
      <c r="G273" s="24">
        <v>50</v>
      </c>
      <c r="H273" s="7" t="s">
        <v>390</v>
      </c>
      <c r="I273" s="5">
        <f>K273/N273</f>
        <v>12.5</v>
      </c>
      <c r="J273" s="91">
        <f>120/0.145</f>
        <v>827.58620689655174</v>
      </c>
      <c r="K273" s="38">
        <f>12.5*25.4</f>
        <v>317.5</v>
      </c>
      <c r="L273" s="4">
        <f>K273</f>
        <v>317.5</v>
      </c>
      <c r="M273" s="89">
        <f>6320/145</f>
        <v>43.586206896551722</v>
      </c>
      <c r="N273" s="96">
        <f>1*25.4</f>
        <v>25.4</v>
      </c>
      <c r="O273" s="7">
        <f>K273/N273</f>
        <v>12.5</v>
      </c>
      <c r="P273" s="7">
        <f>L273/N273</f>
        <v>12.5</v>
      </c>
      <c r="Q273" s="38">
        <f>18.7*25.4</f>
        <v>474.97999999999996</v>
      </c>
      <c r="R273" s="32">
        <f>S273/N273</f>
        <v>3.3500000000000005</v>
      </c>
      <c r="S273" s="38">
        <f>3.35*25.4</f>
        <v>85.09</v>
      </c>
      <c r="T273" s="32">
        <f>U273/N273</f>
        <v>3.15</v>
      </c>
      <c r="U273" s="39">
        <f>3.15*25.4</f>
        <v>80.009999999999991</v>
      </c>
      <c r="V273" s="32">
        <f>W273/N273</f>
        <v>9.9999999999999982</v>
      </c>
      <c r="W273" s="7">
        <f>(Q273-X273*N273-2*S273)/(X273-1)</f>
        <v>253.99999999999994</v>
      </c>
      <c r="X273" s="38">
        <v>2</v>
      </c>
      <c r="Y273" s="7">
        <f>AN273</f>
        <v>0</v>
      </c>
      <c r="Z273" s="32">
        <f>AA273/N273</f>
        <v>10.25</v>
      </c>
      <c r="AA273" s="4">
        <f>10.25*25.4</f>
        <v>260.34999999999997</v>
      </c>
      <c r="AB273" s="7">
        <f>MIN(S273/N273+0.5, W273/2/N273+0.5)</f>
        <v>3.8500000000000005</v>
      </c>
      <c r="AC273" s="7">
        <f>S273/N273+0.5</f>
        <v>3.8500000000000005</v>
      </c>
      <c r="AD273" s="38">
        <v>4</v>
      </c>
      <c r="AE273" s="4">
        <f>AD273</f>
        <v>4</v>
      </c>
      <c r="AF273" s="4">
        <f>AE273+1</f>
        <v>5</v>
      </c>
      <c r="AG273" s="7">
        <f>N273*AF273^0.5</f>
        <v>56.796126628494655</v>
      </c>
      <c r="AJ273" s="38">
        <f>118.2/0.145</f>
        <v>815.17241379310349</v>
      </c>
      <c r="AL273" s="4">
        <f>CY273</f>
        <v>1.5139899705847897</v>
      </c>
      <c r="AM273" s="38">
        <v>0</v>
      </c>
      <c r="AN273" s="38">
        <v>0</v>
      </c>
      <c r="AO273" s="39">
        <f>L273</f>
        <v>317.5</v>
      </c>
      <c r="AP273" s="39"/>
      <c r="AQ273" s="39"/>
      <c r="AR273" s="7"/>
      <c r="AS273" s="4">
        <f>K273</f>
        <v>317.5</v>
      </c>
      <c r="AT273" s="4">
        <f>IF(K273*3&gt;W273+N273, Q273, (S273+N273/2)*2+1.5*K273*(2*X273-2))*(3*K273)/(9*K273^2)</f>
        <v>0.49866666666666659</v>
      </c>
      <c r="AU273" s="4">
        <f>MIN(10*M273^0.5*K273^1.5,100*3.9*M273^0.5*K273^(5/3))/(PI()/4*N273^2)/X273</f>
        <v>368.55543684532665</v>
      </c>
      <c r="AV273" s="4">
        <f>MIN(0.7+0.3*(MIN(S273,AA273)+0.5*N273)/1.5/K273,1)</f>
        <v>0.76159999999999994</v>
      </c>
      <c r="AW273" s="4">
        <v>1.25</v>
      </c>
      <c r="AX273" s="4">
        <f>AX272</f>
        <v>1</v>
      </c>
      <c r="AY273" s="38">
        <f>AT273*AV273*AW273*AX273*AU273</f>
        <v>174.96456823720644</v>
      </c>
      <c r="AZ273" s="38">
        <f>AY273</f>
        <v>174.96456823720644</v>
      </c>
      <c r="BA273" s="38">
        <f>IF(M273&lt;50, 0.3*M273^(2/3), 2.12*LN(1+0.1*(M273+8)))</f>
        <v>3.7155288579258352</v>
      </c>
      <c r="BB273" s="38">
        <f>AX273* (M273^0.5/AS273^0.5)/(PI()/4*N273^2)/X273/0.72 *(0.7+(MIN(S273,AA273)+0.5*N273)/5/K273) *(3*Q273*K273)</f>
        <v>174.96456823720638</v>
      </c>
      <c r="BC273" s="38">
        <f>AY273/BB273</f>
        <v>1.0000000000000002</v>
      </c>
      <c r="BD273" s="38">
        <f>BH273/BB273</f>
        <v>3.8363629446213752</v>
      </c>
      <c r="BE273" s="4">
        <f>IF(BD273&lt;1,1,0)</f>
        <v>0</v>
      </c>
      <c r="BF273" s="4">
        <f>L273/N273*M273^0.5/0.19</f>
        <v>434.34112318600074</v>
      </c>
      <c r="BG273" s="4">
        <f>MIN(0.6+0.4*(AC273/AB273),2)</f>
        <v>1</v>
      </c>
      <c r="BH273" s="38">
        <f>2*M273*AB273*AD273^0.5*BG273*0.7/0.7</f>
        <v>671.2275862068966</v>
      </c>
      <c r="BI273" s="4">
        <f>MAX(1-0.7*AE273/5,0.3)</f>
        <v>0.44000000000000006</v>
      </c>
      <c r="BJ273" s="4">
        <f>BI273*J273*L273/(J273*N273/2.75/M273^0.5)</f>
        <v>99.855024220461587</v>
      </c>
      <c r="BK273" s="4">
        <f>BH273+BJ273</f>
        <v>771.08261042735819</v>
      </c>
      <c r="BM273" s="4">
        <f>MIN(1.5, 0.75+0.25*MIN(3,MAX(1,S273/N273))+0.4*MIN(1,(40*2*PI()*AM273^2/4/AO273/X273)/N273))</f>
        <v>1.5</v>
      </c>
      <c r="BN273" s="4">
        <f>(3*P273+30)*BM273*M273^0.5</f>
        <v>668.45098858325514</v>
      </c>
      <c r="BP273" s="4">
        <f>3.4/PI()^0.5*M273*AB273*AE273^0.5*BG273</f>
        <v>643.78934095731893</v>
      </c>
      <c r="BQ273" s="4">
        <f>8/3*AH273*AI273^2/(AG273-N273-22)/N273*(AG273^2-N273^2)/(AG273^2-(N273+22)^2)</f>
        <v>0</v>
      </c>
      <c r="BR273" s="4">
        <f>BQ273/BP273</f>
        <v>0</v>
      </c>
      <c r="BZ273" s="4">
        <f>IF(W273=0,S273,MIN(W273/2,S273))</f>
        <v>85.09</v>
      </c>
      <c r="CD273" s="9"/>
      <c r="CF273" s="9"/>
      <c r="CG273" s="9"/>
      <c r="CH273" s="9">
        <f>IF(W273=0,MIN(S273,U273),MIN(W273/2,S273,U273))</f>
        <v>80.009999999999991</v>
      </c>
      <c r="CI273" s="9">
        <f>MAX(W273/2,S273)</f>
        <v>126.99999999999997</v>
      </c>
      <c r="CJ273" s="9">
        <f>(CH273/N273)^0.5*(CI273/CH273)^0.15</f>
        <v>1.9021913151302714</v>
      </c>
      <c r="CK273" s="70">
        <f>IF(AO273&gt;1,20,0)</f>
        <v>20</v>
      </c>
      <c r="CL273" s="9">
        <f>MIN(PI()*AM273^2/4*AN273*2/X273/N273/MAX(0.01,AO273),0.05)</f>
        <v>0</v>
      </c>
      <c r="CM273" s="9">
        <f>MAX(0,CK273*(CL273-0.5/50))</f>
        <v>0</v>
      </c>
      <c r="CN273" s="9">
        <f>MIN(1,(25/N273)^0.3)</f>
        <v>0.99524931562137331</v>
      </c>
      <c r="CO273" s="9">
        <f>IF(J273&gt;=800,0.68,IF(J273&gt;=700,0.75-(J273-700)*0.07/100,IF(J273&gt;=600,0.85-(J273-600)*0.1/100,IF(J273&gt;=500,1-(J273-500)*0.15/100,1.2-(J273-400)*0.2/100))))</f>
        <v>0.68</v>
      </c>
      <c r="CP273" s="9">
        <f>1.75*CN273*CO273*(M273/25)^0.5</f>
        <v>1.5638078277680176</v>
      </c>
      <c r="CQ273" s="9">
        <f>MIN((CJ273+CM273)*CP273,2.5*CP273,M273^0.5)</f>
        <v>2.9746616685130585</v>
      </c>
      <c r="CR273" s="40">
        <v>1</v>
      </c>
      <c r="CS273" s="9">
        <f>4*CQ273*P273+60*CQ273</f>
        <v>327.2127835364364</v>
      </c>
      <c r="CU273" s="4">
        <f>AJ273/BF273</f>
        <v>1.8768022880578519</v>
      </c>
      <c r="CV273" s="4">
        <f>AJ273/BK273</f>
        <v>1.0571790917983603</v>
      </c>
      <c r="CW273" s="4">
        <f>AJ273/BN273</f>
        <v>1.2194946641051669</v>
      </c>
      <c r="CX273" s="4">
        <f>AJ273/CS273</f>
        <v>2.4912609005764317</v>
      </c>
      <c r="CY273" s="4">
        <f>AJ273/DZ273</f>
        <v>1.5139899705847897</v>
      </c>
      <c r="CZ273" s="4">
        <f>AJ273/EL273</f>
        <v>1.0429653107588621</v>
      </c>
      <c r="DA273" s="4">
        <f>AJ273/GI273</f>
        <v>1.2726513426267121</v>
      </c>
      <c r="DB273" s="4">
        <f>AN273</f>
        <v>0</v>
      </c>
      <c r="DC273" s="4">
        <f>CU273</f>
        <v>1.8768022880578519</v>
      </c>
      <c r="DD273" s="4">
        <f>CV273</f>
        <v>1.0571790917983603</v>
      </c>
      <c r="DE273" s="4">
        <f>CX273</f>
        <v>2.4912609005764317</v>
      </c>
      <c r="DF273" s="4">
        <f>DA273</f>
        <v>1.2726513426267121</v>
      </c>
      <c r="DG273" s="4">
        <f>CY273</f>
        <v>1.5139899705847897</v>
      </c>
      <c r="DH273" s="4">
        <f>CZ273</f>
        <v>1.0429653107588621</v>
      </c>
      <c r="DQ273" s="4">
        <f>L273</f>
        <v>317.5</v>
      </c>
      <c r="DT273" s="4">
        <f>K273/4/(1-0.3*(M273/30)^0.5)/200000/N273</f>
        <v>2.4475465892892514E-5</v>
      </c>
      <c r="DU273" s="4">
        <f>EP273</f>
        <v>9.2683740829956722</v>
      </c>
      <c r="DV273" s="4">
        <f>EC273*AG273/257/M273/AD273</f>
        <v>0.22178217460158886</v>
      </c>
      <c r="DW273" s="4">
        <f>DU273*DV273^0.4</f>
        <v>5.0742774423627193</v>
      </c>
      <c r="DX273" s="4">
        <f>MIN(DU273, DU273/1.4*(1-DV273^1.4)/(1-DV273))</f>
        <v>7.4740273146604004</v>
      </c>
      <c r="DY273" s="4">
        <f>MAX(DU273/2, (4-DT273*(8*AG273*(DW273-DX273)+6*K273*DX273))/(4+DT273*K273*DU273)*DU273)</f>
        <v>8.3719987356211725</v>
      </c>
      <c r="DZ273" s="38">
        <f>MIN(1/N273*(4*AG273*(DW273-DX273)+(3*DX273+DY273)*K273)+EC273 -FJ273,MAX(J273,AJ273))</f>
        <v>538.4265613584198</v>
      </c>
      <c r="EA273" s="4">
        <f>DZ273/FF273</f>
        <v>1.0001127188658177</v>
      </c>
      <c r="EB273" s="4">
        <f>AG273/N273</f>
        <v>2.2360679774997898</v>
      </c>
      <c r="EC273" s="4">
        <f>MIN(EB$10*BB273)</f>
        <v>174.96456823720638</v>
      </c>
      <c r="EG273" s="4">
        <f>IF(U273&gt;1*N273,0.85,1)</f>
        <v>0.85</v>
      </c>
      <c r="EH273" s="4">
        <f>MIN(1,MAX(0.7,(1-0.1*(BZ273-1*N273)/N273)))</f>
        <v>0.7649999999999999</v>
      </c>
      <c r="EI273" s="4">
        <f>MIN(1,MAX(0.7,1-0.3*(PI()*AM273^2/4*AQ273*2-0.25*PI()/4*N273^2)/(PI()/4*N273^2)))</f>
        <v>1</v>
      </c>
      <c r="EJ273" s="4">
        <f>IF(EH273*EI273&lt;0.7,0.7,EH273*EI273)</f>
        <v>0.7649999999999999</v>
      </c>
      <c r="EL273" s="4">
        <f>MIN(DU273/N273*3*K273+EM273-FJ273,MAX(J273,AJ273))</f>
        <v>781.59110891232194</v>
      </c>
      <c r="EM273" s="25">
        <f>13.3*Q273*K273^0.5*M273^0.5/X273/N273^2*(0.7+S273/5/K273)</f>
        <v>434.02708079998422</v>
      </c>
      <c r="EO273" s="4">
        <f>EG273*EJ273</f>
        <v>0.65024999999999988</v>
      </c>
      <c r="EP273" s="4">
        <f>IF(N273&lt;22.2,1.1*5*(M273/30)^0.5,IF(N273&gt;=31.8,0.9*5*(M273/30)^0.5,1*5*(M273/30)^0.5))/EG273/EJ273</f>
        <v>9.2683740829956722</v>
      </c>
      <c r="ES273" s="4">
        <f>ET273*N273</f>
        <v>56.796126628494655</v>
      </c>
      <c r="ET273" s="4">
        <f>AF273^0.5</f>
        <v>2.2360679774997898</v>
      </c>
      <c r="EU273" s="4">
        <f>MIN(EC273)/(4700*M273^0.5)/AE273*ES273</f>
        <v>8.0063844628698866E-2</v>
      </c>
      <c r="EX273" s="4">
        <f>EU273</f>
        <v>8.0063844628698866E-2</v>
      </c>
      <c r="EY273" s="4">
        <f>MIN(0.999, EX273/(0.3*(M273/30)^0.5))</f>
        <v>0.22141206148675721</v>
      </c>
      <c r="EZ273" s="4">
        <f>EP273/1*EY273^0.4</f>
        <v>5.0708885357316271</v>
      </c>
      <c r="FA273" s="4">
        <f>EP273/1.4*(1-EY273^1.4)/(1-EY273)</f>
        <v>7.4728857532634949</v>
      </c>
      <c r="FB273" s="4">
        <f>MAX(0,DQ273*FB$9-ES273)</f>
        <v>181.32887337150535</v>
      </c>
      <c r="FC273" s="4">
        <f>MAX(0,DQ273-ES273-FB273)</f>
        <v>79.374999999999972</v>
      </c>
      <c r="FD273" s="4">
        <f>FC273/(1-0.3*(M273/30)^0.5)/200000/N273</f>
        <v>2.4475465892892504E-5</v>
      </c>
      <c r="FE273" s="4">
        <f>MAX(0.5*EP273, (1-2*FD273*(ES273*EZ273+FB273*FA273))/(1/EP273+FD273*FC273))</f>
        <v>8.3721767698725635</v>
      </c>
      <c r="FF273" s="4">
        <f>MIN(4/N273*(1*EZ273*ES273+FA273*FB273+FC273*FE273)+EC273,MAX(J273,AJ273))</f>
        <v>538.36587736732804</v>
      </c>
      <c r="FO273" s="23">
        <f>IF(CU273&lt;0.6,0.6,IF(CU273&lt;0.8,0.8,IF(CU273&lt;1,1,IF(CU273&lt;1.2,1.2,IF(CU273&lt;1.4,1.4,IF(CU273&lt;1.6,1.6,IF(CU273&lt;1.8,1.8,IF(CU273&lt;2,2,2.2))))))))</f>
        <v>2</v>
      </c>
      <c r="FP273" s="23">
        <f>IF(CV273&lt;0.6,0.6,IF(CV273&lt;0.8,0.8,IF(CV273&lt;1,1,IF(CV273&lt;1.2,1.2,IF(CV273&lt;1.4,1.4,IF(CV273&lt;1.6,1.6,IF(CV273&lt;1.8,1.8,IF(CV273&lt;2,2,2.2))))))))</f>
        <v>1.2</v>
      </c>
      <c r="FQ273" s="23">
        <f>IF(DA273&lt;0.6,0.6,IF(DA273&lt;0.8,0.8,IF(DA273&lt;1,1,IF(DA273&lt;1.2,1.2,IF(DA273&lt;1.4,1.4,IF(DA273&lt;1.6,1.6,IF(DA273&lt;1.8,1.8,IF(DA273&lt;2,2,2.2))))))))</f>
        <v>1.4</v>
      </c>
      <c r="FR273" s="23">
        <f>IF(CX273&lt;0.6,0.6,IF(CX273&lt;0.8,0.8,IF(CX273&lt;1,1,IF(CX273&lt;1.2,1.2,IF(CX273&lt;1.4,1.4,IF(CX273&lt;1.6,1.6,IF(CX273&lt;1.8,1.8,IF(CX273&lt;2,2,2.2))))))))</f>
        <v>2.2000000000000002</v>
      </c>
      <c r="FS273" s="23">
        <f>IF(CY273&lt;0.6,0.6,IF(CY273&lt;0.8,0.8,IF(CY273&lt;1,1,IF(CY273&lt;1.2,1.2,IF(CY273&lt;1.4,1.4,IF(CY273&lt;1.6,1.6,IF(CY273&lt;1.8,1.8,IF(CY273&lt;2,2,2.2))))))))</f>
        <v>1.6</v>
      </c>
      <c r="FT273" s="23">
        <f>IF(CZ273&lt;0.6,0.6,IF(CZ273&lt;0.8,0.8,IF(CZ273&lt;1,1,IF(CZ273&lt;1.2,1.2,IF(CZ273&lt;1.4,1.4,IF(CZ273&lt;1.6,1.6,IF(CZ273&lt;1.8,1.8,IF(CZ273&lt;2,2,2.2))))))))</f>
        <v>1.2</v>
      </c>
      <c r="FU273" s="23">
        <f>IF(FS273&lt;1,1,0)</f>
        <v>0</v>
      </c>
      <c r="FV273" s="23"/>
      <c r="GF273" s="4">
        <f>IF(S273&gt;=2.5*25.4,1,1.25)</f>
        <v>1</v>
      </c>
      <c r="GG273" s="4">
        <f>IF(AO273&gt;1, 0.05*(18-MIN(8,(W273+N273)/N273))*(1-48000/MAX(60000,(J273*145))*(N273/25.4)^0.75*GH273), 1/12*(14-MIN(8,(W273+N273)/N273)))</f>
        <v>0.5</v>
      </c>
      <c r="GH273" s="4">
        <f>MIN(0.3, AM273^2*PI()/4*2*AP273/(N273^2*PI()/4*X273))</f>
        <v>0</v>
      </c>
      <c r="GI273" s="4">
        <f>(K273/25.4)/(N273/25.4)^1.5/0.0024*(M273*145)^0.25/GF273/GG273/145</f>
        <v>640.53082449951569</v>
      </c>
    </row>
    <row r="274" spans="1:191" ht="12" customHeight="1" x14ac:dyDescent="0.3">
      <c r="A274" s="25">
        <v>234</v>
      </c>
      <c r="B274" s="4" t="s">
        <v>605</v>
      </c>
      <c r="C274" s="4">
        <v>2016</v>
      </c>
      <c r="D274" s="4" t="s">
        <v>309</v>
      </c>
      <c r="E274" s="24" t="s">
        <v>661</v>
      </c>
      <c r="F274" s="24"/>
      <c r="G274" s="24">
        <v>39</v>
      </c>
      <c r="H274" s="7" t="s">
        <v>387</v>
      </c>
      <c r="I274" s="5">
        <f>K274/N274</f>
        <v>12.439999999999998</v>
      </c>
      <c r="J274" s="91">
        <f>120/0.145</f>
        <v>827.58620689655174</v>
      </c>
      <c r="K274" s="38">
        <f>12.44*25.4</f>
        <v>315.97599999999994</v>
      </c>
      <c r="L274" s="4">
        <f>K274</f>
        <v>315.97599999999994</v>
      </c>
      <c r="M274" s="89">
        <f>5070/145</f>
        <v>34.96551724137931</v>
      </c>
      <c r="N274" s="96">
        <f>1*25.4</f>
        <v>25.4</v>
      </c>
      <c r="O274" s="7">
        <f>K274/N274</f>
        <v>12.439999999999998</v>
      </c>
      <c r="P274" s="7">
        <f>L274/N274</f>
        <v>12.439999999999998</v>
      </c>
      <c r="Q274" s="38">
        <f>17.5*25.4</f>
        <v>444.5</v>
      </c>
      <c r="R274" s="32">
        <f>S274/N274</f>
        <v>2.9500000000000006</v>
      </c>
      <c r="S274" s="38">
        <f>2.95*25.4</f>
        <v>74.930000000000007</v>
      </c>
      <c r="T274" s="32">
        <f>U274/N274</f>
        <v>3.3</v>
      </c>
      <c r="U274" s="39">
        <f>3.3*25.4</f>
        <v>83.82</v>
      </c>
      <c r="V274" s="32">
        <f>W274/N274</f>
        <v>9.6</v>
      </c>
      <c r="W274" s="7">
        <f>(Q274-X274*N274-2*S274)/(X274-1)</f>
        <v>243.83999999999997</v>
      </c>
      <c r="X274" s="38">
        <v>2</v>
      </c>
      <c r="Y274" s="7">
        <f>AN274</f>
        <v>8</v>
      </c>
      <c r="Z274" s="32">
        <f>AA274/N274</f>
        <v>10.25</v>
      </c>
      <c r="AA274" s="4">
        <f>10.25*25.4</f>
        <v>260.34999999999997</v>
      </c>
      <c r="AB274" s="7">
        <f>MIN(S274/N274+0.5, W274/2/N274+0.5)</f>
        <v>3.4500000000000006</v>
      </c>
      <c r="AC274" s="7">
        <f>S274/N274+0.5</f>
        <v>3.4500000000000006</v>
      </c>
      <c r="AD274" s="38">
        <v>4</v>
      </c>
      <c r="AE274" s="4">
        <f>AD274</f>
        <v>4</v>
      </c>
      <c r="AF274" s="4">
        <f>AE274+1</f>
        <v>5</v>
      </c>
      <c r="AG274" s="7">
        <f>N274*AF274^0.5</f>
        <v>56.796126628494655</v>
      </c>
      <c r="AJ274" s="38">
        <f>138/0.145</f>
        <v>951.72413793103453</v>
      </c>
      <c r="AL274" s="4">
        <f>CY274</f>
        <v>2.0746404680628681</v>
      </c>
      <c r="AM274" s="38">
        <f>0.375*25.4</f>
        <v>9.5249999999999986</v>
      </c>
      <c r="AN274" s="38">
        <v>8</v>
      </c>
      <c r="AO274" s="39">
        <f>4*25.4</f>
        <v>101.6</v>
      </c>
      <c r="AP274" s="39">
        <v>2</v>
      </c>
      <c r="AQ274" s="39">
        <v>1</v>
      </c>
      <c r="AR274" s="7"/>
      <c r="AS274" s="4">
        <f>K274</f>
        <v>315.97599999999994</v>
      </c>
      <c r="AT274" s="4">
        <f>IF(K274*3&gt;W274+N274, Q274, (S274+N274/2)*2+1.5*K274*(2*X274-2))*(3*K274)/(9*K274^2)</f>
        <v>0.46891747052518773</v>
      </c>
      <c r="AU274" s="4">
        <f>MIN(10*M274^0.5*K274^1.5,100*3.9*M274^0.5*K274^(5/3))/(PI()/4*N274^2)/X274</f>
        <v>327.72820079341074</v>
      </c>
      <c r="AV274" s="4">
        <f>MIN(0.7+0.3*(MIN(S274,AA274)+0.5*N274)/1.5/K274,1)</f>
        <v>0.7554662379421222</v>
      </c>
      <c r="AW274" s="4">
        <v>1.25</v>
      </c>
      <c r="AX274" s="4">
        <f>AX273</f>
        <v>1</v>
      </c>
      <c r="AY274" s="38">
        <f>AT274*AV274*AW274*AX274*AU274</f>
        <v>145.12268358508922</v>
      </c>
      <c r="AZ274" s="38">
        <f>AY274</f>
        <v>145.12268358508922</v>
      </c>
      <c r="BA274" s="38">
        <f>IF(M274&lt;50, 0.3*M274^(2/3), 2.12*LN(1+0.1*(M274+8)))</f>
        <v>3.2078537456295186</v>
      </c>
      <c r="BB274" s="38">
        <f>AX274* (M274^0.5/AS274^0.5)/(PI()/4*N274^2)/X274/0.72 *(0.7+(MIN(S274,AA274)+0.5*N274)/5/K274) *(3*Q274*K274)</f>
        <v>145.12268358508905</v>
      </c>
      <c r="BC274" s="38">
        <f>AY274/BB274</f>
        <v>1.0000000000000011</v>
      </c>
      <c r="BD274" s="38">
        <f>BH274/BB274</f>
        <v>3.3249394650845101</v>
      </c>
      <c r="BE274" s="4">
        <f>IF(BD274&lt;1,1,0)</f>
        <v>0</v>
      </c>
      <c r="BF274" s="4">
        <f>L274/N274*M274^0.5/0.19</f>
        <v>387.15668086604285</v>
      </c>
      <c r="BG274" s="4">
        <f>MIN(0.6+0.4*(AC274/AB274),2)</f>
        <v>1</v>
      </c>
      <c r="BH274" s="38">
        <f>2*M274*AB274*AD274^0.5*BG274*0.7/0.7</f>
        <v>482.5241379310346</v>
      </c>
      <c r="BI274" s="4">
        <f>MAX(1-0.7*AE274/5,0.3)</f>
        <v>0.44000000000000006</v>
      </c>
      <c r="BJ274" s="4">
        <f>BI274*J274*L274/(J274*N274/2.75/M274^0.5)</f>
        <v>89.007320931103266</v>
      </c>
      <c r="BK274" s="4">
        <f>BH274+BJ274</f>
        <v>571.53145886213792</v>
      </c>
      <c r="BM274" s="4">
        <f>MIN(1.5, 0.75+0.25*MIN(3,MAX(1,S274/N274))+0.4*MIN(1,(40*2*PI()*AM274^2/4/AO274/X274)/N274))</f>
        <v>1.5</v>
      </c>
      <c r="BN274" s="4">
        <f>(3*P274+30)*BM274*M274^0.5</f>
        <v>597.11137543666166</v>
      </c>
      <c r="BP274" s="4">
        <f>3.4/PI()^0.5*M274*AB274*AE274^0.5*BG274</f>
        <v>462.79965713278585</v>
      </c>
      <c r="BQ274" s="4">
        <f>8/3*AH274*AI274^2/(AG274-N274-22)/N274*(AG274^2-N274^2)/(AG274^2-(N274+22)^2)</f>
        <v>0</v>
      </c>
      <c r="BR274" s="4">
        <f>BQ274/BP274</f>
        <v>0</v>
      </c>
      <c r="BZ274" s="4">
        <f>IF(W274=0,S274,MIN(W274/2,S274))</f>
        <v>74.930000000000007</v>
      </c>
      <c r="CD274" s="9"/>
      <c r="CF274" s="9"/>
      <c r="CG274" s="9"/>
      <c r="CH274" s="9">
        <f>IF(W274=0,MIN(S274,U274),MIN(W274/2,S274,U274))</f>
        <v>74.930000000000007</v>
      </c>
      <c r="CI274" s="9">
        <f>MAX(W274/2,S274)</f>
        <v>121.91999999999999</v>
      </c>
      <c r="CJ274" s="9">
        <f>(CH274/N274)^0.5*(CI274/CH274)^0.15</f>
        <v>1.8476678039809094</v>
      </c>
      <c r="CK274" s="70">
        <f>IF(AO274&gt;1,20,0)</f>
        <v>20</v>
      </c>
      <c r="CL274" s="9">
        <f>MIN(PI()*AM274^2/4*AN274*2/X274/N274/MAX(0.01,AO274),0.05)</f>
        <v>0.05</v>
      </c>
      <c r="CM274" s="9">
        <f>MAX(0,CK274*(CL274-0.5/50))</f>
        <v>0.8</v>
      </c>
      <c r="CN274" s="9">
        <f>MIN(1,(25/N274)^0.3)</f>
        <v>0.99524931562137331</v>
      </c>
      <c r="CO274" s="9">
        <f>IF(J274&gt;=800,0.68,IF(J274&gt;=700,0.75-(J274-700)*0.07/100,IF(J274&gt;=600,0.85-(J274-600)*0.1/100,IF(J274&gt;=500,1-(J274-500)*0.15/100,1.2-(J274-400)*0.2/100))))</f>
        <v>0.68</v>
      </c>
      <c r="CP274" s="9">
        <f>1.75*CN274*CO274*(M274/25)^0.5</f>
        <v>1.4006474122126336</v>
      </c>
      <c r="CQ274" s="9">
        <f>MIN((CJ274+CM274)*CP274,2.5*CP274,M274^0.5)</f>
        <v>3.5016185305315837</v>
      </c>
      <c r="CR274" s="40">
        <v>1</v>
      </c>
      <c r="CS274" s="9">
        <f>4*CQ274*P274+60*CQ274</f>
        <v>384.33764991114657</v>
      </c>
      <c r="CU274" s="4">
        <f>AJ274/BF274</f>
        <v>2.4582402550876643</v>
      </c>
      <c r="CV274" s="4">
        <f>AJ274/BK274</f>
        <v>1.6652174139737159</v>
      </c>
      <c r="CW274" s="4">
        <f>AJ274/BN274</f>
        <v>1.5938804335037966</v>
      </c>
      <c r="CX274" s="4">
        <f>AJ274/CS274</f>
        <v>2.4762708991717561</v>
      </c>
      <c r="CY274" s="4">
        <f>AJ274/DZ274</f>
        <v>2.0746404680628681</v>
      </c>
      <c r="CZ274" s="4">
        <f>AJ274/EL274</f>
        <v>1.4482630142707176</v>
      </c>
      <c r="DA274" s="4">
        <f>AJ274/GI274</f>
        <v>1.400091193706031</v>
      </c>
      <c r="DB274" s="4">
        <f>AN274</f>
        <v>8</v>
      </c>
      <c r="DI274" s="4">
        <f>CU274</f>
        <v>2.4582402550876643</v>
      </c>
      <c r="DJ274" s="4">
        <f>CV274</f>
        <v>1.6652174139737159</v>
      </c>
      <c r="DK274" s="4">
        <f>CX274</f>
        <v>2.4762708991717561</v>
      </c>
      <c r="DL274" s="4">
        <f>DA274</f>
        <v>1.400091193706031</v>
      </c>
      <c r="DM274" s="4">
        <f>CY274</f>
        <v>2.0746404680628681</v>
      </c>
      <c r="DN274" s="4">
        <f>CZ274</f>
        <v>1.4482630142707176</v>
      </c>
      <c r="DQ274" s="4">
        <f>L274</f>
        <v>315.97599999999994</v>
      </c>
      <c r="DT274" s="4">
        <f>K274/4/(1-0.3*(M274/30)^0.5)/200000/N274</f>
        <v>2.2998786526164252E-5</v>
      </c>
      <c r="DU274" s="4">
        <f>EP274</f>
        <v>7.9635234919892781</v>
      </c>
      <c r="DV274" s="4">
        <f>EC274*AG274/257/M274/AD274</f>
        <v>0.22930891938292383</v>
      </c>
      <c r="DW274" s="4">
        <f>DU274*DV274^0.4</f>
        <v>4.4184876417472507</v>
      </c>
      <c r="DX274" s="4">
        <f>MIN(DU274, DU274/1.4*(1-DV274^1.4)/(1-DV274))</f>
        <v>6.4416442410811285</v>
      </c>
      <c r="DY274" s="4">
        <f>MAX(DU274/2, (4-DT274*(8*AG274*(DW274-DX274)+6*K274*DX274))/(4+DT274*K274*DU274)*DU274)</f>
        <v>7.3402360668583837</v>
      </c>
      <c r="DZ274" s="38">
        <f>MIN(1/N274*(4*AG274*(DW274-DX274)+(3*DX274+DY274)*K274)+EC274 -FJ274,MAX(J274,AJ274))</f>
        <v>458.74172059300361</v>
      </c>
      <c r="EA274" s="4">
        <f>DZ274/FF274</f>
        <v>1.0001162875155452</v>
      </c>
      <c r="EB274" s="4">
        <f>AG274/N274</f>
        <v>2.2360679774997898</v>
      </c>
      <c r="EC274" s="4">
        <f>MIN(EB$10*BB274)</f>
        <v>145.12268358508905</v>
      </c>
      <c r="EG274" s="4">
        <f>IF(U274&gt;1*N274,0.85,1)</f>
        <v>0.85</v>
      </c>
      <c r="EH274" s="4">
        <f>MIN(1,MAX(0.7,(1-0.1*(BZ274-1*N274)/N274)))</f>
        <v>0.80499999999999994</v>
      </c>
      <c r="EI274" s="4">
        <f>MIN(1,MAX(0.7,1-0.3*(PI()*AM274^2/4*AQ274*2-0.25*PI()/4*N274^2)/(PI()/4*N274^2)))</f>
        <v>0.99062499999999998</v>
      </c>
      <c r="EJ274" s="4">
        <f>IF(EH274*EI274&lt;0.7,0.7,EH274*EI274)</f>
        <v>0.79745312499999987</v>
      </c>
      <c r="EL274" s="4">
        <f>MIN(DU274/N274*3*K274+EM274-FJ274,MAX(J274,AJ274))</f>
        <v>657.1486867737774</v>
      </c>
      <c r="EM274" s="25">
        <f>13.3*Q274*K274^0.5*M274^0.5/X274/N274^2*(0.7+S274/5/K274)</f>
        <v>359.94999005273769</v>
      </c>
      <c r="EO274" s="4">
        <f>EG274*EJ274</f>
        <v>0.6778351562499999</v>
      </c>
      <c r="EP274" s="4">
        <f>IF(N274&lt;22.2,1.1*5*(M274/30)^0.5,IF(N274&gt;=31.8,0.9*5*(M274/30)^0.5,1*5*(M274/30)^0.5))/EG274/EJ274</f>
        <v>7.9635234919892781</v>
      </c>
      <c r="ES274" s="4">
        <f>ET274*N274</f>
        <v>56.796126628494655</v>
      </c>
      <c r="ET274" s="4">
        <f>AF274^0.5</f>
        <v>2.2360679774997898</v>
      </c>
      <c r="EU274" s="4">
        <f>MIN(EC274)/(4700*M274^0.5)/AE274*ES274</f>
        <v>7.4144030654746229E-2</v>
      </c>
      <c r="EX274" s="4">
        <f>EU274</f>
        <v>7.4144030654746229E-2</v>
      </c>
      <c r="EY274" s="4">
        <f>MIN(0.999, EX274/(0.3*(M274/30)^0.5))</f>
        <v>0.22892624553384669</v>
      </c>
      <c r="EZ274" s="4">
        <f>EP274/1*EY274^0.4</f>
        <v>4.4155367108534236</v>
      </c>
      <c r="FA274" s="4">
        <f>EP274/1.4*(1-EY274^1.4)/(1-EY274)</f>
        <v>6.4406394427120963</v>
      </c>
      <c r="FB274" s="4">
        <f>MAX(0,DQ274*FB$9-ES274)</f>
        <v>180.18587337150532</v>
      </c>
      <c r="FC274" s="4">
        <f>MAX(0,DQ274-ES274-FB274)</f>
        <v>78.993999999999943</v>
      </c>
      <c r="FD274" s="4">
        <f>FC274/(1-0.3*(M274/30)^0.5)/200000/N274</f>
        <v>2.2998786526164242E-5</v>
      </c>
      <c r="FE274" s="4">
        <f>MAX(0.5*EP274, (1-2*FD274*(ES274*EZ274+FB274*FA274))/(1/EP274+FD274*FC274))</f>
        <v>7.3403619576451433</v>
      </c>
      <c r="FF274" s="4">
        <f>MIN(4/N274*(1*EZ274*ES274+FA274*FB274+FC274*FE274)+EC274,MAX(J274,AJ274))</f>
        <v>458.68838086078392</v>
      </c>
      <c r="FO274" s="23">
        <f>IF(CU274&lt;0.6,0.6,IF(CU274&lt;0.8,0.8,IF(CU274&lt;1,1,IF(CU274&lt;1.2,1.2,IF(CU274&lt;1.4,1.4,IF(CU274&lt;1.6,1.6,IF(CU274&lt;1.8,1.8,IF(CU274&lt;2,2,2.2))))))))</f>
        <v>2.2000000000000002</v>
      </c>
      <c r="FP274" s="23">
        <f>IF(CV274&lt;0.6,0.6,IF(CV274&lt;0.8,0.8,IF(CV274&lt;1,1,IF(CV274&lt;1.2,1.2,IF(CV274&lt;1.4,1.4,IF(CV274&lt;1.6,1.6,IF(CV274&lt;1.8,1.8,IF(CV274&lt;2,2,2.2))))))))</f>
        <v>1.8</v>
      </c>
      <c r="FQ274" s="23">
        <f>IF(DA274&lt;0.6,0.6,IF(DA274&lt;0.8,0.8,IF(DA274&lt;1,1,IF(DA274&lt;1.2,1.2,IF(DA274&lt;1.4,1.4,IF(DA274&lt;1.6,1.6,IF(DA274&lt;1.8,1.8,IF(DA274&lt;2,2,2.2))))))))</f>
        <v>1.6</v>
      </c>
      <c r="FR274" s="23">
        <f>IF(CX274&lt;0.6,0.6,IF(CX274&lt;0.8,0.8,IF(CX274&lt;1,1,IF(CX274&lt;1.2,1.2,IF(CX274&lt;1.4,1.4,IF(CX274&lt;1.6,1.6,IF(CX274&lt;1.8,1.8,IF(CX274&lt;2,2,2.2))))))))</f>
        <v>2.2000000000000002</v>
      </c>
      <c r="FS274" s="23">
        <f>IF(CY274&lt;0.6,0.6,IF(CY274&lt;0.8,0.8,IF(CY274&lt;1,1,IF(CY274&lt;1.2,1.2,IF(CY274&lt;1.4,1.4,IF(CY274&lt;1.6,1.6,IF(CY274&lt;1.8,1.8,IF(CY274&lt;2,2,2.2))))))))</f>
        <v>2.2000000000000002</v>
      </c>
      <c r="FT274" s="23">
        <f>IF(CZ274&lt;0.6,0.6,IF(CZ274&lt;0.8,0.8,IF(CZ274&lt;1,1,IF(CZ274&lt;1.2,1.2,IF(CZ274&lt;1.4,1.4,IF(CZ274&lt;1.6,1.6,IF(CZ274&lt;1.8,1.8,IF(CZ274&lt;2,2,2.2))))))))</f>
        <v>1.6</v>
      </c>
      <c r="FU274" s="23">
        <f>IF(FS274&lt;1,1,0)</f>
        <v>0</v>
      </c>
      <c r="FV274" s="23"/>
      <c r="GF274" s="4">
        <f>IF(S274&gt;=2.5*25.4,1,1.25)</f>
        <v>1</v>
      </c>
      <c r="GG274" s="4">
        <f>IF(AO274&gt;1, 0.05*(18-MIN(8,(W274+N274)/N274))*(1-48000/MAX(60000,(J274*145))*(N274/25.4)^0.75*GH274), 1/12*(14-MIN(8,(W274+N274)/N274)))</f>
        <v>0.44374999999999998</v>
      </c>
      <c r="GH274" s="4">
        <f>MIN(0.3, AM274^2*PI()/4*2*AP274/(N274^2*PI()/4*X274))</f>
        <v>0.28124999999999994</v>
      </c>
      <c r="GI274" s="4">
        <f>(K274/25.4)/(N274/25.4)^1.5/0.0024*(M274*145)^0.25/GF274/GG274/145</f>
        <v>679.75867729860352</v>
      </c>
    </row>
    <row r="275" spans="1:191" ht="12" customHeight="1" x14ac:dyDescent="0.3">
      <c r="A275" s="25">
        <v>232</v>
      </c>
      <c r="B275" s="4" t="s">
        <v>605</v>
      </c>
      <c r="C275" s="4">
        <v>2016</v>
      </c>
      <c r="D275" s="4" t="s">
        <v>309</v>
      </c>
      <c r="E275" s="24" t="s">
        <v>661</v>
      </c>
      <c r="F275" s="24"/>
      <c r="G275" s="24">
        <v>39</v>
      </c>
      <c r="H275" s="4" t="s">
        <v>385</v>
      </c>
      <c r="I275" s="5">
        <f>K275/N275</f>
        <v>12.38</v>
      </c>
      <c r="J275" s="91">
        <f>120/0.145</f>
        <v>827.58620689655174</v>
      </c>
      <c r="K275" s="38">
        <f>12.38*25.4</f>
        <v>314.452</v>
      </c>
      <c r="L275" s="4">
        <f>K275</f>
        <v>314.452</v>
      </c>
      <c r="M275" s="89">
        <f>5070/145</f>
        <v>34.96551724137931</v>
      </c>
      <c r="N275" s="96">
        <f>1*25.4</f>
        <v>25.4</v>
      </c>
      <c r="O275" s="7">
        <f>K275/N275</f>
        <v>12.38</v>
      </c>
      <c r="P275" s="7">
        <f>L275/N275</f>
        <v>12.38</v>
      </c>
      <c r="Q275" s="38">
        <f>17.6*25.4</f>
        <v>447.04</v>
      </c>
      <c r="R275" s="32">
        <f>S275/N275</f>
        <v>2.9</v>
      </c>
      <c r="S275" s="38">
        <f>2.9*25.4</f>
        <v>73.66</v>
      </c>
      <c r="T275" s="32">
        <f>U275/N275</f>
        <v>3.5</v>
      </c>
      <c r="U275" s="39">
        <f>3.5*25.4</f>
        <v>88.899999999999991</v>
      </c>
      <c r="V275" s="32">
        <f>W275/N275</f>
        <v>9.8000000000000007</v>
      </c>
      <c r="W275" s="7">
        <f>(Q275-X275*N275-2*S275)/(X275-1)</f>
        <v>248.92000000000002</v>
      </c>
      <c r="X275" s="38">
        <v>2</v>
      </c>
      <c r="Y275" s="7">
        <f>AN275</f>
        <v>8</v>
      </c>
      <c r="Z275" s="32">
        <f>AA275/N275</f>
        <v>10.25</v>
      </c>
      <c r="AA275" s="4">
        <f>10.25*25.4</f>
        <v>260.34999999999997</v>
      </c>
      <c r="AB275" s="7">
        <f>MIN(S275/N275+0.5, W275/2/N275+0.5)</f>
        <v>3.4</v>
      </c>
      <c r="AC275" s="7">
        <f>S275/N275+0.5</f>
        <v>3.4</v>
      </c>
      <c r="AD275" s="38">
        <v>4</v>
      </c>
      <c r="AE275" s="4">
        <f>AD275</f>
        <v>4</v>
      </c>
      <c r="AF275" s="4">
        <f>AE275+1</f>
        <v>5</v>
      </c>
      <c r="AG275" s="7">
        <f>N275*AF275^0.5</f>
        <v>56.796126628494655</v>
      </c>
      <c r="AJ275" s="38">
        <f>110.8/0.145</f>
        <v>764.13793103448279</v>
      </c>
      <c r="AL275" s="4">
        <f>CY275</f>
        <v>1.6765075296519178</v>
      </c>
      <c r="AM275" s="38">
        <f>0.375*25.4</f>
        <v>9.5249999999999986</v>
      </c>
      <c r="AN275" s="38">
        <v>8</v>
      </c>
      <c r="AO275" s="39">
        <f>3*25.4</f>
        <v>76.199999999999989</v>
      </c>
      <c r="AP275" s="39">
        <v>3</v>
      </c>
      <c r="AQ275" s="39">
        <v>1</v>
      </c>
      <c r="AS275" s="4">
        <f>K275</f>
        <v>314.452</v>
      </c>
      <c r="AT275" s="4">
        <f>IF(K275*3&gt;W275+N275, Q275, (S275+N275/2)*2+1.5*K275*(2*X275-2))*(3*K275)/(9*K275^2)</f>
        <v>0.47388260635433493</v>
      </c>
      <c r="AU275" s="4">
        <f>MIN(10*M275^0.5*K275^1.5,100*3.9*M275^0.5*K275^(5/3))/(PI()/4*N275^2)/X275</f>
        <v>325.36003808676742</v>
      </c>
      <c r="AV275" s="4">
        <f>MIN(0.7+0.3*(MIN(S275,AA275)+0.5*N275)/1.5/K275,1)</f>
        <v>0.75492730210016146</v>
      </c>
      <c r="AW275" s="4">
        <v>1.25</v>
      </c>
      <c r="AX275" s="4">
        <f>AX274</f>
        <v>1</v>
      </c>
      <c r="AY275" s="38">
        <f>AT275*AV275*AW275*AX275*AU275</f>
        <v>145.49568839012062</v>
      </c>
      <c r="AZ275" s="38">
        <f>AY275</f>
        <v>145.49568839012062</v>
      </c>
      <c r="BA275" s="38">
        <f>IF(M275&lt;50, 0.3*M275^(2/3), 2.12*LN(1+0.1*(M275+8)))</f>
        <v>3.2078537456295186</v>
      </c>
      <c r="BB275" s="38">
        <f>AX275* (M275^0.5/AS275^0.5)/(PI()/4*N275^2)/X275/0.72 *(0.7+(MIN(S275,AA275)+0.5*N275)/5/K275) *(3*Q275*K275)</f>
        <v>145.49568839012048</v>
      </c>
      <c r="BC275" s="38">
        <f>AY275/BB275</f>
        <v>1.0000000000000009</v>
      </c>
      <c r="BD275" s="38">
        <f>BH275/BB275</f>
        <v>3.2683513837723339</v>
      </c>
      <c r="BE275" s="4">
        <f>IF(BD275&lt;1,1,0)</f>
        <v>0</v>
      </c>
      <c r="BF275" s="4">
        <f>L275/N275*M275^0.5/0.19</f>
        <v>385.289365685017</v>
      </c>
      <c r="BG275" s="4">
        <f>MIN(0.6+0.4*(AC275/AB275),2)</f>
        <v>1</v>
      </c>
      <c r="BH275" s="38">
        <f>2*M275*AB275*AD275^0.5*BG275*0.7/0.7</f>
        <v>475.53103448275857</v>
      </c>
      <c r="BI275" s="4">
        <f>MAX(1-0.7*AE275/5,0.3)</f>
        <v>0.44000000000000006</v>
      </c>
      <c r="BJ275" s="4">
        <f>BI275*J275*L275/(J275*N275/2.75/M275^0.5)</f>
        <v>88.578025170985427</v>
      </c>
      <c r="BK275" s="4">
        <f>BH275+BJ275</f>
        <v>564.109059653744</v>
      </c>
      <c r="BM275" s="4">
        <f>MIN(1.5, 0.75+0.25*MIN(3,MAX(1,S275/N275))+0.4*MIN(1,(40*2*PI()*AM275^2/4/AO275/X275)/N275))</f>
        <v>1.5</v>
      </c>
      <c r="BN275" s="4">
        <f>(3*P275+30)*BM275*M275^0.5</f>
        <v>595.51482095688459</v>
      </c>
      <c r="BP275" s="4">
        <f>3.4/PI()^0.5*M275*AB275*AE275^0.5*BG275</f>
        <v>456.0924157250642</v>
      </c>
      <c r="BQ275" s="4">
        <f>8/3*AH275*AI275^2/(AG275-N275-22)/N275*(AG275^2-N275^2)/(AG275^2-(N275+22)^2)</f>
        <v>0</v>
      </c>
      <c r="BR275" s="4">
        <f>BQ275/BP275</f>
        <v>0</v>
      </c>
      <c r="BZ275" s="4">
        <f>IF(W275=0,S275,MIN(W275/2,S275))</f>
        <v>73.66</v>
      </c>
      <c r="CH275" s="9">
        <f>IF(W275=0,MIN(S275,U275),MIN(W275/2,S275,U275))</f>
        <v>73.66</v>
      </c>
      <c r="CI275" s="9">
        <f>MAX(W275/2,S275)</f>
        <v>124.46000000000001</v>
      </c>
      <c r="CJ275" s="9">
        <f>(CH275/N275)^0.5*(CI275/CH275)^0.15</f>
        <v>1.842335460367019</v>
      </c>
      <c r="CK275" s="70">
        <f>IF(AO275&gt;1,20,0)</f>
        <v>20</v>
      </c>
      <c r="CL275" s="9">
        <f>MIN(PI()*AM275^2/4*AN275*2/X275/N275/MAX(0.01,AO275),0.05)</f>
        <v>0.05</v>
      </c>
      <c r="CM275" s="9">
        <f>MAX(0,CK275*(CL275-0.5/50))</f>
        <v>0.8</v>
      </c>
      <c r="CN275" s="9">
        <f>MIN(1,(25/N275)^0.3)</f>
        <v>0.99524931562137331</v>
      </c>
      <c r="CO275" s="9">
        <f>IF(J275&gt;=800,0.68,IF(J275&gt;=700,0.75-(J275-700)*0.07/100,IF(J275&gt;=600,0.85-(J275-600)*0.1/100,IF(J275&gt;=500,1-(J275-500)*0.15/100,1.2-(J275-400)*0.2/100))))</f>
        <v>0.68</v>
      </c>
      <c r="CP275" s="9">
        <f>1.75*CN275*CO275*(M275/25)^0.5</f>
        <v>1.4006474122126336</v>
      </c>
      <c r="CQ275" s="9">
        <f>MIN((CJ275+CM275)*CP275,2.5*CP275,M275^0.5)</f>
        <v>3.5016185305315837</v>
      </c>
      <c r="CR275" s="40">
        <v>1</v>
      </c>
      <c r="CS275" s="9">
        <f>4*CQ275*P275+60*CQ275</f>
        <v>383.49726146381903</v>
      </c>
      <c r="CU275" s="4">
        <f>AJ275/BF275</f>
        <v>1.9832832128026687</v>
      </c>
      <c r="CV275" s="4">
        <f>AJ275/BK275</f>
        <v>1.3545925525527256</v>
      </c>
      <c r="CW275" s="4">
        <f>AJ275/BN275</f>
        <v>1.2831551863086319</v>
      </c>
      <c r="CX275" s="4">
        <f>AJ275/CS275</f>
        <v>1.9925512065399069</v>
      </c>
      <c r="CY275" s="4">
        <f>AJ275/DZ275</f>
        <v>1.6765075296519178</v>
      </c>
      <c r="CZ275" s="4">
        <f>AJ275/EL275</f>
        <v>1.1669913938500407</v>
      </c>
      <c r="DA275" s="4">
        <f>AJ275/GI275</f>
        <v>1.1200335813374223</v>
      </c>
      <c r="DB275" s="4">
        <f>AN275</f>
        <v>8</v>
      </c>
      <c r="DI275" s="4">
        <f>CU275</f>
        <v>1.9832832128026687</v>
      </c>
      <c r="DJ275" s="4">
        <f>CV275</f>
        <v>1.3545925525527256</v>
      </c>
      <c r="DK275" s="4">
        <f>CX275</f>
        <v>1.9925512065399069</v>
      </c>
      <c r="DL275" s="4">
        <f>DA275</f>
        <v>1.1200335813374223</v>
      </c>
      <c r="DM275" s="4">
        <f>CY275</f>
        <v>1.6765075296519178</v>
      </c>
      <c r="DN275" s="4">
        <f>CZ275</f>
        <v>1.1669913938500407</v>
      </c>
      <c r="DQ275" s="4">
        <f>L275</f>
        <v>314.452</v>
      </c>
      <c r="DT275" s="4">
        <f>K275/4/(1-0.3*(M275/30)^0.5)/200000/N275</f>
        <v>2.288785990304771E-5</v>
      </c>
      <c r="DU275" s="4">
        <f>EP275</f>
        <v>7.9143659395695911</v>
      </c>
      <c r="DV275" s="4">
        <f>EC275*AG275/257/M275/AD275</f>
        <v>0.22989830573282719</v>
      </c>
      <c r="DW275" s="4">
        <f>DU275*DV275^0.4</f>
        <v>4.3957241954558199</v>
      </c>
      <c r="DX275" s="4">
        <f>MIN(DU275, DU275/1.4*(1-DV275^1.4)/(1-DV275))</f>
        <v>6.4034181143672964</v>
      </c>
      <c r="DY275" s="4">
        <f>MAX(DU275/2, (4-DT275*(8*AG275*(DW275-DX275)+6*K275*DX275))/(4+DT275*K275*DU275)*DU275)</f>
        <v>7.3045438280461639</v>
      </c>
      <c r="DZ275" s="38">
        <f>MIN(1/N275*(4*AG275*(DW275-DX275)+(3*DX275+DY275)*K275)+EC275 -FJ275,MAX(J275,AJ275))</f>
        <v>455.79152942613723</v>
      </c>
      <c r="EA275" s="4">
        <f>DZ275/FF275</f>
        <v>1.000116156151142</v>
      </c>
      <c r="EB275" s="4">
        <f>AG275/N275</f>
        <v>2.2360679774997898</v>
      </c>
      <c r="EC275" s="4">
        <f>MIN(EB$10*BB275)</f>
        <v>145.49568839012048</v>
      </c>
      <c r="EG275" s="4">
        <f>IF(U275&gt;1*N275,0.85,1)</f>
        <v>0.85</v>
      </c>
      <c r="EH275" s="4">
        <f>MIN(1,MAX(0.7,(1-0.1*(BZ275-1*N275)/N275)))</f>
        <v>0.80999999999999994</v>
      </c>
      <c r="EI275" s="4">
        <f>MIN(1,MAX(0.7,1-0.3*(PI()*AM275^2/4*AQ275*2-0.25*PI()/4*N275^2)/(PI()/4*N275^2)))</f>
        <v>0.99062499999999998</v>
      </c>
      <c r="EJ275" s="4">
        <f>IF(EH275*EI275&lt;0.7,0.7,EH275*EI275)</f>
        <v>0.80240624999999988</v>
      </c>
      <c r="EL275" s="4">
        <f>MIN(DU275/N275*3*K275+EM275-FJ275,MAX(J275,AJ275))</f>
        <v>654.79311592307693</v>
      </c>
      <c r="EM275" s="25">
        <f>13.3*Q275*K275^0.5*M275^0.5/X275/N275^2*(0.7+S275/5/K275)</f>
        <v>360.85356492746229</v>
      </c>
      <c r="EO275" s="4">
        <f>EG275*EJ275</f>
        <v>0.68204531249999989</v>
      </c>
      <c r="EP275" s="4">
        <f>IF(N275&lt;22.2,1.1*5*(M275/30)^0.5,IF(N275&gt;=31.8,0.9*5*(M275/30)^0.5,1*5*(M275/30)^0.5))/EG275/EJ275</f>
        <v>7.9143659395695911</v>
      </c>
      <c r="ES275" s="4">
        <f>ET275*N275</f>
        <v>56.796126628494655</v>
      </c>
      <c r="ET275" s="4">
        <f>AF275^0.5</f>
        <v>2.2360679774997898</v>
      </c>
      <c r="EU275" s="4">
        <f>MIN(EC275)/(4700*M275^0.5)/AE275*ES275</f>
        <v>7.433460099850922E-2</v>
      </c>
      <c r="EX275" s="4">
        <f>EU275</f>
        <v>7.433460099850922E-2</v>
      </c>
      <c r="EY275" s="4">
        <f>MIN(0.999, EX275/(0.3*(M275/30)^0.5))</f>
        <v>0.22951464830777873</v>
      </c>
      <c r="EZ275" s="4">
        <f>EP275/1*EY275^0.4</f>
        <v>4.3927884673558806</v>
      </c>
      <c r="FA275" s="4">
        <f>EP275/1.4*(1-EY275^1.4)/(1-EY275)</f>
        <v>6.4024176673887725</v>
      </c>
      <c r="FB275" s="4">
        <f>MAX(0,DQ275*FB$9-ES275)</f>
        <v>179.04287337150535</v>
      </c>
      <c r="FC275" s="4">
        <f>MAX(0,DQ275-ES275-FB275)</f>
        <v>78.612999999999971</v>
      </c>
      <c r="FD275" s="4">
        <f>FC275/(1-0.3*(M275/30)^0.5)/200000/N275</f>
        <v>2.28878599030477E-5</v>
      </c>
      <c r="FE275" s="4">
        <f>MAX(0.5*EP275, (1-2*FD275*(ES275*EZ275+FB275*FA275))/(1/EP275+FD275*FC275))</f>
        <v>7.3046673692830772</v>
      </c>
      <c r="FF275" s="4">
        <f>MIN(4/N275*(1*EZ275*ES275+FA275*FB275+FC275*FE275)+EC275,MAX(J275,AJ275))</f>
        <v>455.73859258529569</v>
      </c>
      <c r="FO275" s="23">
        <f>IF(CU275&lt;0.6,0.6,IF(CU275&lt;0.8,0.8,IF(CU275&lt;1,1,IF(CU275&lt;1.2,1.2,IF(CU275&lt;1.4,1.4,IF(CU275&lt;1.6,1.6,IF(CU275&lt;1.8,1.8,IF(CU275&lt;2,2,2.2))))))))</f>
        <v>2</v>
      </c>
      <c r="FP275" s="23">
        <f>IF(CV275&lt;0.6,0.6,IF(CV275&lt;0.8,0.8,IF(CV275&lt;1,1,IF(CV275&lt;1.2,1.2,IF(CV275&lt;1.4,1.4,IF(CV275&lt;1.6,1.6,IF(CV275&lt;1.8,1.8,IF(CV275&lt;2,2,2.2))))))))</f>
        <v>1.4</v>
      </c>
      <c r="FQ275" s="23">
        <f>IF(DA275&lt;0.6,0.6,IF(DA275&lt;0.8,0.8,IF(DA275&lt;1,1,IF(DA275&lt;1.2,1.2,IF(DA275&lt;1.4,1.4,IF(DA275&lt;1.6,1.6,IF(DA275&lt;1.8,1.8,IF(DA275&lt;2,2,2.2))))))))</f>
        <v>1.2</v>
      </c>
      <c r="FR275" s="23">
        <f>IF(CX275&lt;0.6,0.6,IF(CX275&lt;0.8,0.8,IF(CX275&lt;1,1,IF(CX275&lt;1.2,1.2,IF(CX275&lt;1.4,1.4,IF(CX275&lt;1.6,1.6,IF(CX275&lt;1.8,1.8,IF(CX275&lt;2,2,2.2))))))))</f>
        <v>2</v>
      </c>
      <c r="FS275" s="23">
        <f>IF(CY275&lt;0.6,0.6,IF(CY275&lt;0.8,0.8,IF(CY275&lt;1,1,IF(CY275&lt;1.2,1.2,IF(CY275&lt;1.4,1.4,IF(CY275&lt;1.6,1.6,IF(CY275&lt;1.8,1.8,IF(CY275&lt;2,2,2.2))))))))</f>
        <v>1.8</v>
      </c>
      <c r="FT275" s="23">
        <f>IF(CZ275&lt;0.6,0.6,IF(CZ275&lt;0.8,0.8,IF(CZ275&lt;1,1,IF(CZ275&lt;1.2,1.2,IF(CZ275&lt;1.4,1.4,IF(CZ275&lt;1.6,1.6,IF(CZ275&lt;1.8,1.8,IF(CZ275&lt;2,2,2.2))))))))</f>
        <v>1.2</v>
      </c>
      <c r="FU275" s="23">
        <f>IF(FS275&lt;1,1,0)</f>
        <v>0</v>
      </c>
      <c r="GF275" s="4">
        <f>IF(S275&gt;=2.5*25.4,1,1.25)</f>
        <v>1</v>
      </c>
      <c r="GG275" s="4">
        <f>IF(AO275&gt;1, 0.05*(18-MIN(8,(W275+N275)/N275))*(1-48000/MAX(60000,(J275*145))*(N275/25.4)^0.75*GH275), 1/12*(14-MIN(8,(W275+N275)/N275)))</f>
        <v>0.44</v>
      </c>
      <c r="GH275" s="4">
        <f>MIN(0.3, AM275^2*PI()/4*2*AP275/(N275^2*PI()/4*X275))</f>
        <v>0.3</v>
      </c>
      <c r="GI275" s="4">
        <f>(K275/25.4)/(N275/25.4)^1.5/0.0024*(M275*145)^0.25/GF275/GG275/145</f>
        <v>682.24555385386964</v>
      </c>
    </row>
    <row r="276" spans="1:191" ht="12" customHeight="1" x14ac:dyDescent="0.3">
      <c r="A276" s="25">
        <v>274</v>
      </c>
      <c r="B276" s="4" t="s">
        <v>605</v>
      </c>
      <c r="C276" s="4">
        <v>2016</v>
      </c>
      <c r="D276" s="4" t="s">
        <v>309</v>
      </c>
      <c r="E276" s="24" t="s">
        <v>666</v>
      </c>
      <c r="F276" s="24"/>
      <c r="G276" s="24">
        <v>46</v>
      </c>
      <c r="H276" s="7" t="s">
        <v>432</v>
      </c>
      <c r="I276" s="5">
        <f>K276/N276</f>
        <v>12.31</v>
      </c>
      <c r="J276" s="78">
        <f>115.9/0.145</f>
        <v>799.31034482758628</v>
      </c>
      <c r="K276" s="38">
        <f>12.31*25.4</f>
        <v>312.67399999999998</v>
      </c>
      <c r="L276" s="4">
        <f>K276</f>
        <v>312.67399999999998</v>
      </c>
      <c r="M276" s="38">
        <f>5750/145</f>
        <v>39.655172413793103</v>
      </c>
      <c r="N276" s="38">
        <f>1*25.4</f>
        <v>25.4</v>
      </c>
      <c r="O276" s="7">
        <f>K276/N276</f>
        <v>12.31</v>
      </c>
      <c r="P276" s="7">
        <f>L276/N276</f>
        <v>12.31</v>
      </c>
      <c r="Q276" s="38">
        <f>16.9*25.4</f>
        <v>429.25999999999993</v>
      </c>
      <c r="R276" s="32">
        <f>S276/N276</f>
        <v>2.4500000000000002</v>
      </c>
      <c r="S276" s="38">
        <f>2.45*25.4</f>
        <v>62.230000000000004</v>
      </c>
      <c r="T276" s="32">
        <f>U276/N276</f>
        <v>2.9999999999999996</v>
      </c>
      <c r="U276" s="39">
        <f>3*25.4</f>
        <v>76.199999999999989</v>
      </c>
      <c r="V276" s="32">
        <f>W276/N276</f>
        <v>9.9999999999999964</v>
      </c>
      <c r="W276" s="7">
        <f>(Q276-X276*N276-2*S276)/(X276-1)</f>
        <v>253.99999999999991</v>
      </c>
      <c r="X276" s="38">
        <v>2</v>
      </c>
      <c r="Y276" s="7">
        <f>AN276</f>
        <v>4</v>
      </c>
      <c r="Z276" s="32">
        <f>AA276/N276</f>
        <v>10.25</v>
      </c>
      <c r="AA276" s="4">
        <f>10.25*25.4</f>
        <v>260.34999999999997</v>
      </c>
      <c r="AB276" s="7">
        <f>MIN(S276/N276+0.5, W276/2/N276+0.5)</f>
        <v>2.95</v>
      </c>
      <c r="AC276" s="7">
        <f>S276/N276+0.5</f>
        <v>2.95</v>
      </c>
      <c r="AD276" s="38">
        <v>6.5</v>
      </c>
      <c r="AE276" s="4">
        <f>AD276</f>
        <v>6.5</v>
      </c>
      <c r="AF276" s="4">
        <f>AE276+1</f>
        <v>7.5</v>
      </c>
      <c r="AG276" s="7">
        <f>N276*AF276^0.5</f>
        <v>69.56076480315609</v>
      </c>
      <c r="AJ276" s="38">
        <f>AK276/0.145</f>
        <v>750.34482758620697</v>
      </c>
      <c r="AK276" s="4">
        <v>108.8</v>
      </c>
      <c r="AL276" s="4">
        <f>CY276</f>
        <v>1.623611685263433</v>
      </c>
      <c r="AM276" s="38">
        <f>0.5*25.4</f>
        <v>12.7</v>
      </c>
      <c r="AN276" s="38">
        <v>4</v>
      </c>
      <c r="AO276" s="39">
        <f>5.5*25.4</f>
        <v>139.69999999999999</v>
      </c>
      <c r="AP276" s="39">
        <v>1</v>
      </c>
      <c r="AQ276" s="39">
        <v>1</v>
      </c>
      <c r="AR276" s="7"/>
      <c r="AS276" s="4">
        <f>K276</f>
        <v>312.67399999999998</v>
      </c>
      <c r="AT276" s="4">
        <f>IF(K276*3&gt;W276+N276, Q276, (S276+N276/2)*2+1.5*K276*(2*X276-2))*(3*K276)/(9*K276^2)</f>
        <v>0.45762252910912532</v>
      </c>
      <c r="AU276" s="4">
        <f>MIN(10*M276^0.5*K276^1.5,100*3.9*M276^0.5*K276^(5/3))/(PI()/4*N276^2)/X276</f>
        <v>343.55815775866921</v>
      </c>
      <c r="AV276" s="4">
        <f>MIN(0.7+0.3*(MIN(S276,AA276)+0.5*N276)/1.5/K276,1)</f>
        <v>0.74792851340373678</v>
      </c>
      <c r="AW276" s="4">
        <v>1.25</v>
      </c>
      <c r="AX276" s="4">
        <f>AX275</f>
        <v>1</v>
      </c>
      <c r="AY276" s="38">
        <f>AT276*AV276*AW276*AX276*AU276</f>
        <v>146.98660720223523</v>
      </c>
      <c r="AZ276" s="38">
        <f>AY276</f>
        <v>146.98660720223523</v>
      </c>
      <c r="BA276" s="38">
        <f>IF(M276&lt;50, 0.3*M276^(2/3), 2.12*LN(1+0.1*(M276+8)))</f>
        <v>3.4886265610899732</v>
      </c>
      <c r="BB276" s="38">
        <f>AX276* (M276^0.5/AS276^0.5)/(PI()/4*N276^2)/X276/0.72 *(0.7+(MIN(S276,AA276)+0.5*N276)/5/K276) *(3*Q276*K276)</f>
        <v>146.98660720223526</v>
      </c>
      <c r="BC276" s="38">
        <f>AY276/BB276</f>
        <v>0.99999999999999978</v>
      </c>
      <c r="BD276" s="38">
        <f>BH276/BB276</f>
        <v>4.0581749610704678</v>
      </c>
      <c r="BE276" s="4">
        <f>IF(BD276&lt;1,1,0)</f>
        <v>0</v>
      </c>
      <c r="BF276" s="4">
        <f>L276/N276*M276^0.5/0.19</f>
        <v>407.99456070235658</v>
      </c>
      <c r="BG276" s="4">
        <f>MIN(0.6+0.4*(AC276/AB276),2)</f>
        <v>1</v>
      </c>
      <c r="BH276" s="38">
        <f>2*M276*AB276*AD276^0.5*BG276*0.7/0.7</f>
        <v>596.49736896081117</v>
      </c>
      <c r="BI276" s="4">
        <f>MAX(1-0.7*AE276/5,0.3)</f>
        <v>0.3</v>
      </c>
      <c r="BJ276" s="4">
        <f>BI276*J276*L276/(J276*N276/2.75/M276^0.5)</f>
        <v>63.953147390094387</v>
      </c>
      <c r="BK276" s="4">
        <f>BH276+BJ276</f>
        <v>660.45051635090556</v>
      </c>
      <c r="BM276" s="4">
        <f>MIN(1.5, 0.75+0.25*MIN(3,MAX(1,S276/N276))+0.4*MIN(1,(40*2*PI()*AM276^2/4/AO276/X276)/N276))</f>
        <v>1.5</v>
      </c>
      <c r="BN276" s="4">
        <f>(3*P276+30)*BM276*M276^0.5</f>
        <v>632.21093786559618</v>
      </c>
      <c r="BP276" s="4">
        <f>3.4/PI()^0.5*M276*AB276*AE276^0.5*BG276</f>
        <v>572.11392370826502</v>
      </c>
      <c r="BQ276" s="4">
        <f>8/3*AH276*AI276^2/(AG276-N276-22)/N276*(AG276^2-N276^2)/(AG276^2-(N276+22)^2)</f>
        <v>0</v>
      </c>
      <c r="BR276" s="4">
        <f>BQ276/BP276</f>
        <v>0</v>
      </c>
      <c r="BZ276" s="4">
        <f>IF(W276=0,S276,MIN(W276/2,S276))</f>
        <v>62.230000000000004</v>
      </c>
      <c r="CD276" s="9"/>
      <c r="CF276" s="9"/>
      <c r="CG276" s="9"/>
      <c r="CH276" s="9">
        <f>IF(W276=0,MIN(S276,U276),MIN(W276/2,S276,U276))</f>
        <v>62.230000000000004</v>
      </c>
      <c r="CI276" s="9">
        <f>MAX(W276/2,S276)</f>
        <v>126.99999999999996</v>
      </c>
      <c r="CJ276" s="9">
        <f>(CH276/N276)^0.5*(CI276/CH276)^0.15</f>
        <v>1.7420219790042637</v>
      </c>
      <c r="CK276" s="70">
        <f>IF(AO276&gt;1,20,0)</f>
        <v>20</v>
      </c>
      <c r="CL276" s="9">
        <f>MIN(PI()*AM276^2/4*AN276*2/X276/N276/MAX(0.01,AO276),0.05)</f>
        <v>0.05</v>
      </c>
      <c r="CM276" s="9">
        <f>MAX(0,CK276*(CL276-0.5/50))</f>
        <v>0.8</v>
      </c>
      <c r="CN276" s="9">
        <f>MIN(1,(25/N276)^0.3)</f>
        <v>0.99524931562137331</v>
      </c>
      <c r="CO276" s="9">
        <f>IF(J276&gt;=800,0.68,IF(J276&gt;=700,0.75-(J276-700)*0.07/100,IF(J276&gt;=600,0.85-(J276-600)*0.1/100,IF(J276&gt;=500,1-(J276-500)*0.15/100,1.2-(J276-400)*0.2/100))))</f>
        <v>0.68048275862068963</v>
      </c>
      <c r="CP276" s="9">
        <f>1.75*CN276*CO276*(M276/25)^0.5</f>
        <v>1.4926809118196944</v>
      </c>
      <c r="CQ276" s="9">
        <f>MIN((CJ276+CM276)*CP276,2.5*CP276,M276^0.5)</f>
        <v>3.7317022795492361</v>
      </c>
      <c r="CR276" s="40">
        <v>1</v>
      </c>
      <c r="CS276" s="9">
        <f>4*CQ276*P276+60*CQ276</f>
        <v>407.65115701795855</v>
      </c>
      <c r="CU276" s="4">
        <f>AJ276/BF276</f>
        <v>1.8391049780038722</v>
      </c>
      <c r="CV276" s="4">
        <f>AJ276/BK276</f>
        <v>1.1361105927087192</v>
      </c>
      <c r="CW276" s="4">
        <f>AJ276/BN276</f>
        <v>1.1868583452849486</v>
      </c>
      <c r="CX276" s="4">
        <f>AJ276/CS276</f>
        <v>1.8406542325921853</v>
      </c>
      <c r="CY276" s="4">
        <f>AJ276/DZ276</f>
        <v>1.623611685263433</v>
      </c>
      <c r="CZ276" s="4">
        <f>AJ276/EL276</f>
        <v>1.1029753689711439</v>
      </c>
      <c r="DA276" s="4">
        <f>AJ276/GI276</f>
        <v>1.3648258889866054</v>
      </c>
      <c r="DB276" s="4">
        <f>AN276</f>
        <v>4</v>
      </c>
      <c r="DI276" s="4">
        <f>CU276</f>
        <v>1.8391049780038722</v>
      </c>
      <c r="DJ276" s="4">
        <f>CV276</f>
        <v>1.1361105927087192</v>
      </c>
      <c r="DK276" s="4">
        <f>CX276</f>
        <v>1.8406542325921853</v>
      </c>
      <c r="DL276" s="4">
        <f>DA276</f>
        <v>1.3648258889866054</v>
      </c>
      <c r="DM276" s="4">
        <f>CY276</f>
        <v>1.623611685263433</v>
      </c>
      <c r="DN276" s="4">
        <f>CZ276</f>
        <v>1.1029753689711439</v>
      </c>
      <c r="DQ276" s="4">
        <f>L276</f>
        <v>312.67399999999998</v>
      </c>
      <c r="DT276" s="4">
        <f>K276/4/(1-0.3*(M276/30)^0.5)/200000/N276</f>
        <v>2.3489274518301684E-5</v>
      </c>
      <c r="DU276" s="4">
        <f>EP276</f>
        <v>8.5513075262328435</v>
      </c>
      <c r="DV276" s="4">
        <f>EC276*AG276/257/M276/AD276</f>
        <v>0.15434614659575951</v>
      </c>
      <c r="DW276" s="4">
        <f>DU276*DV276^0.4</f>
        <v>4.049774501055734</v>
      </c>
      <c r="DX276" s="4">
        <f>MIN(DU276, DU276/1.4*(1-DV276^1.4)/(1-DV276))</f>
        <v>6.6949382299232338</v>
      </c>
      <c r="DY276" s="4">
        <f>MAX(DU276/2, (4-DT276*(8*AG276*(DW276-DX276)+6*K276*DX276))/(4+DT276*K276*DU276)*DU276)</f>
        <v>7.8709290667481646</v>
      </c>
      <c r="DZ276" s="38">
        <f>MIN(1/N276*(4*AG276*(DW276-DX276)+(3*DX276+DY276)*K276)+EC276 -FJ276,MAX(J276,AJ276))</f>
        <v>462.14549599306599</v>
      </c>
      <c r="EA276" s="4">
        <f>DZ276/FF276</f>
        <v>1.0001060329862124</v>
      </c>
      <c r="EB276" s="4">
        <f>AG276/N276</f>
        <v>2.7386127875258306</v>
      </c>
      <c r="EC276" s="4">
        <f>MIN(EB$10*BB276)</f>
        <v>146.98660720223526</v>
      </c>
      <c r="EG276" s="4">
        <f>IF(U276&gt;1*N276,0.85,1)</f>
        <v>0.85</v>
      </c>
      <c r="EH276" s="4">
        <f>MIN(1,MAX(0.7,(1-0.1*(BZ276-1*N276)/N276)))</f>
        <v>0.85499999999999998</v>
      </c>
      <c r="EI276" s="4">
        <f>MIN(1,MAX(0.7,1-0.3*(PI()*AM276^2/4*AQ276*2-0.25*PI()/4*N276^2)/(PI()/4*N276^2)))</f>
        <v>0.92500000000000004</v>
      </c>
      <c r="EJ276" s="4">
        <f>IF(EH276*EI276&lt;0.7,0.7,EH276*EI276)</f>
        <v>0.79087499999999999</v>
      </c>
      <c r="EL276" s="4">
        <f>MIN(DU276/N276*3*K276+EM276-FJ276,MAX(J276,AJ276))</f>
        <v>680.29155382329986</v>
      </c>
      <c r="EM276" s="25">
        <f>13.3*Q276*K276^0.5*M276^0.5/X276/N276^2*(0.7+S276/5/K276)</f>
        <v>364.49176687952098</v>
      </c>
      <c r="EO276" s="4">
        <f>EG276*EJ276</f>
        <v>0.67224375000000003</v>
      </c>
      <c r="EP276" s="4">
        <f>IF(N276&lt;22.2,1.1*5*(M276/30)^0.5,IF(N276&gt;=31.8,0.9*5*(M276/30)^0.5,1*5*(M276/30)^0.5))/EG276/EJ276</f>
        <v>8.5513075262328435</v>
      </c>
      <c r="ES276" s="4">
        <f>ET276*N276</f>
        <v>69.56076480315609</v>
      </c>
      <c r="ET276" s="4">
        <f>AF276^0.5</f>
        <v>2.7386127875258306</v>
      </c>
      <c r="EU276" s="4">
        <f>MIN(EC276)/(4700*M276^0.5)/AE276*ES276</f>
        <v>5.3147272059361678E-2</v>
      </c>
      <c r="EX276" s="4">
        <f>EU276</f>
        <v>5.3147272059361678E-2</v>
      </c>
      <c r="EY276" s="4">
        <f>MIN(0.999, EX276/(0.3*(M276/30)^0.5))</f>
        <v>0.15408857164330245</v>
      </c>
      <c r="EZ276" s="4">
        <f>EP276/1*EY276^0.4</f>
        <v>4.0470698188981373</v>
      </c>
      <c r="FA276" s="4">
        <f>EP276/1.4*(1-EY276^1.4)/(1-EY276)</f>
        <v>6.694132381734093</v>
      </c>
      <c r="FB276" s="4">
        <f>MAX(0,DQ276*FB$9-ES276)</f>
        <v>164.94473519684391</v>
      </c>
      <c r="FC276" s="4">
        <f>MAX(0,DQ276-ES276-FB276)</f>
        <v>78.168499999999995</v>
      </c>
      <c r="FD276" s="4">
        <f>FC276/(1-0.3*(M276/30)^0.5)/200000/N276</f>
        <v>2.3489274518301684E-5</v>
      </c>
      <c r="FE276" s="4">
        <f>MAX(0.5*EP276, (1-2*FD276*(ES276*EZ276+FB276*FA276))/(1/EP276+FD276*FC276))</f>
        <v>7.8710560517943122</v>
      </c>
      <c r="FF276" s="4">
        <f>MIN(4/N276*(1*EZ276*ES276+FA276*FB276+FC276*FE276)+EC276,MAX(J276,AJ276))</f>
        <v>462.09649852140944</v>
      </c>
      <c r="FO276" s="23">
        <f>IF(CU276&lt;0.6,0.6,IF(CU276&lt;0.8,0.8,IF(CU276&lt;1,1,IF(CU276&lt;1.2,1.2,IF(CU276&lt;1.4,1.4,IF(CU276&lt;1.6,1.6,IF(CU276&lt;1.8,1.8,IF(CU276&lt;2,2,2.2))))))))</f>
        <v>2</v>
      </c>
      <c r="FP276" s="23">
        <f>IF(CV276&lt;0.6,0.6,IF(CV276&lt;0.8,0.8,IF(CV276&lt;1,1,IF(CV276&lt;1.2,1.2,IF(CV276&lt;1.4,1.4,IF(CV276&lt;1.6,1.6,IF(CV276&lt;1.8,1.8,IF(CV276&lt;2,2,2.2))))))))</f>
        <v>1.2</v>
      </c>
      <c r="FQ276" s="23">
        <f>IF(DA276&lt;0.6,0.6,IF(DA276&lt;0.8,0.8,IF(DA276&lt;1,1,IF(DA276&lt;1.2,1.2,IF(DA276&lt;1.4,1.4,IF(DA276&lt;1.6,1.6,IF(DA276&lt;1.8,1.8,IF(DA276&lt;2,2,2.2))))))))</f>
        <v>1.4</v>
      </c>
      <c r="FR276" s="23">
        <f>IF(CX276&lt;0.6,0.6,IF(CX276&lt;0.8,0.8,IF(CX276&lt;1,1,IF(CX276&lt;1.2,1.2,IF(CX276&lt;1.4,1.4,IF(CX276&lt;1.6,1.6,IF(CX276&lt;1.8,1.8,IF(CX276&lt;2,2,2.2))))))))</f>
        <v>2</v>
      </c>
      <c r="FS276" s="23">
        <f>IF(CY276&lt;0.6,0.6,IF(CY276&lt;0.8,0.8,IF(CY276&lt;1,1,IF(CY276&lt;1.2,1.2,IF(CY276&lt;1.4,1.4,IF(CY276&lt;1.6,1.6,IF(CY276&lt;1.8,1.8,IF(CY276&lt;2,2,2.2))))))))</f>
        <v>1.8</v>
      </c>
      <c r="FT276" s="23">
        <f>IF(CZ276&lt;0.6,0.6,IF(CZ276&lt;0.8,0.8,IF(CZ276&lt;1,1,IF(CZ276&lt;1.2,1.2,IF(CZ276&lt;1.4,1.4,IF(CZ276&lt;1.6,1.6,IF(CZ276&lt;1.8,1.8,IF(CZ276&lt;2,2,2.2))))))))</f>
        <v>1.2</v>
      </c>
      <c r="FU276" s="23">
        <f>IF(FS276&lt;1,1,0)</f>
        <v>0</v>
      </c>
      <c r="FV276" s="23"/>
      <c r="GF276" s="4">
        <f>IF(S276&gt;=2.5*25.4,1,1.25)</f>
        <v>1.25</v>
      </c>
      <c r="GG276" s="4">
        <f>IF(AO276&gt;1, 0.05*(18-MIN(8,(W276+N276)/N276))*(1-48000/MAX(60000,(J276*145))*(N276/25.4)^0.75*GH276), 1/12*(14-MIN(8,(W276+N276)/N276)))</f>
        <v>0.4482312338222606</v>
      </c>
      <c r="GH276" s="4">
        <f>MIN(0.3, AM276^2*PI()/4*2*AP276/(N276^2*PI()/4*X276))</f>
        <v>0.25</v>
      </c>
      <c r="GI276" s="4">
        <f>(K276/25.4)/(N276/25.4)^1.5/0.0024*(M276*145)^0.25/GF276/GG276/145</f>
        <v>549.77329609665026</v>
      </c>
    </row>
    <row r="277" spans="1:191" ht="12" customHeight="1" x14ac:dyDescent="0.3">
      <c r="A277" s="25">
        <v>321</v>
      </c>
      <c r="B277" s="4" t="s">
        <v>605</v>
      </c>
      <c r="C277" s="4">
        <v>2016</v>
      </c>
      <c r="D277" s="4" t="s">
        <v>309</v>
      </c>
      <c r="E277" s="24" t="s">
        <v>670</v>
      </c>
      <c r="F277" s="24"/>
      <c r="G277" s="24">
        <v>16</v>
      </c>
      <c r="H277" s="7" t="s">
        <v>483</v>
      </c>
      <c r="I277" s="5">
        <f>K277/N277</f>
        <v>12.21</v>
      </c>
      <c r="J277" s="38">
        <f>129/0.145</f>
        <v>889.65517241379314</v>
      </c>
      <c r="K277" s="89">
        <f>12.21*25.4</f>
        <v>310.13400000000001</v>
      </c>
      <c r="L277" s="4">
        <f>K277</f>
        <v>310.13400000000001</v>
      </c>
      <c r="M277" s="89">
        <f>12040/145</f>
        <v>83.034482758620683</v>
      </c>
      <c r="N277" s="96">
        <f>1*25.4</f>
        <v>25.4</v>
      </c>
      <c r="O277" s="7">
        <f>K277/N277</f>
        <v>12.21</v>
      </c>
      <c r="P277" s="7">
        <f>L277/N277</f>
        <v>12.21</v>
      </c>
      <c r="Q277" s="38">
        <f>14.8*25.4</f>
        <v>375.92</v>
      </c>
      <c r="R277" s="32">
        <f>S277/N277</f>
        <v>2.5</v>
      </c>
      <c r="S277" s="38">
        <f>2.5*25.4</f>
        <v>63.5</v>
      </c>
      <c r="T277" s="32">
        <f>U277/N277</f>
        <v>2.8299999999999996</v>
      </c>
      <c r="U277" s="39">
        <f>2.83*25.4</f>
        <v>71.881999999999991</v>
      </c>
      <c r="V277" s="32">
        <f>W277/N277</f>
        <v>3.4000000000000008</v>
      </c>
      <c r="W277" s="7">
        <f>(Q277-X277*N277-2*S277)/(X277-1)</f>
        <v>86.360000000000014</v>
      </c>
      <c r="X277" s="38">
        <v>3</v>
      </c>
      <c r="Y277" s="7">
        <f>AN277</f>
        <v>0</v>
      </c>
      <c r="Z277" s="32">
        <f>AA277/N277</f>
        <v>10.25</v>
      </c>
      <c r="AA277" s="4">
        <f>10.25*25.4</f>
        <v>260.34999999999997</v>
      </c>
      <c r="AB277" s="7">
        <f>MIN(S277/N277+0.5, W277/2/N277+0.5)</f>
        <v>2.2000000000000002</v>
      </c>
      <c r="AC277" s="7">
        <f>S277/N277+0.5</f>
        <v>3</v>
      </c>
      <c r="AD277" s="38">
        <v>4.0999999999999996</v>
      </c>
      <c r="AE277" s="4">
        <f>AD277</f>
        <v>4.0999999999999996</v>
      </c>
      <c r="AF277" s="4">
        <f>AE277+1</f>
        <v>5.0999999999999996</v>
      </c>
      <c r="AG277" s="7">
        <f>N277*AF277^0.5</f>
        <v>57.361276136431961</v>
      </c>
      <c r="AJ277" s="38">
        <f>AK277/0.145</f>
        <v>656.55172413793105</v>
      </c>
      <c r="AK277" s="4">
        <v>95.2</v>
      </c>
      <c r="AL277" s="4">
        <f>CY277</f>
        <v>1.3377450555781216</v>
      </c>
      <c r="AM277" s="38">
        <v>0</v>
      </c>
      <c r="AN277" s="38">
        <v>0</v>
      </c>
      <c r="AO277" s="39">
        <f>L277</f>
        <v>310.13400000000001</v>
      </c>
      <c r="AP277" s="39"/>
      <c r="AQ277" s="39"/>
      <c r="AR277" s="7"/>
      <c r="AS277" s="4">
        <f>K277</f>
        <v>310.13400000000001</v>
      </c>
      <c r="AT277" s="4">
        <f>IF(K277*3&gt;W277+N277, Q277, (S277+N277/2)*2+1.5*K277*(2*X277-2))*(3*K277)/(9*K277^2)</f>
        <v>0.40404040404040403</v>
      </c>
      <c r="AU277" s="4">
        <f>MIN(10*M277^0.5*K277^1.5,100*3.9*M277^0.5*K277^(5/3))/(PI()/4*N277^2)/X277</f>
        <v>327.39703640569854</v>
      </c>
      <c r="AV277" s="4">
        <f>MIN(0.7+0.3*(MIN(S277,AA277)+0.5*N277)/1.5/K277,1)</f>
        <v>0.74914004914004906</v>
      </c>
      <c r="AW277" s="4">
        <v>1.25</v>
      </c>
      <c r="AX277" s="4">
        <f>AX276</f>
        <v>1</v>
      </c>
      <c r="AY277" s="38">
        <f>AT277*AV277*AW277*AX277*AU277</f>
        <v>123.87183431377345</v>
      </c>
      <c r="AZ277" s="38">
        <f>AY277</f>
        <v>123.87183431377345</v>
      </c>
      <c r="BA277" s="38">
        <f>IF(M277&lt;50, 0.3*M277^(2/3), 2.12*LN(1+0.1*(M277+8)))</f>
        <v>4.9032987715448586</v>
      </c>
      <c r="BB277" s="38">
        <f>AX277* (M277^0.5/AS277^0.5)/(PI()/4*N277^2)/X277/0.72 *(0.7+(MIN(S277,AA277)+0.5*N277)/5/K277) *(3*Q277*K277)</f>
        <v>123.87183431377348</v>
      </c>
      <c r="BC277" s="38">
        <f>AY277/BB277</f>
        <v>0.99999999999999978</v>
      </c>
      <c r="BD277" s="38">
        <f>BH277/BB277</f>
        <v>6.8408234276365345</v>
      </c>
      <c r="BE277" s="4">
        <f>IF(BD277&lt;1,1,0)</f>
        <v>0</v>
      </c>
      <c r="BF277" s="4">
        <f>L277/N277*M277^0.5/0.19</f>
        <v>585.58683616346411</v>
      </c>
      <c r="BG277" s="4">
        <f>MIN(0.6+0.4*(AC277/AB277),2)</f>
        <v>1.1454545454545455</v>
      </c>
      <c r="BH277" s="38">
        <f>2*M277*AB277*AD277^0.5*BG277*0.7/0.7</f>
        <v>847.38534619797281</v>
      </c>
      <c r="BI277" s="4">
        <f>MAX(1-0.7*AE277/5,0.3)</f>
        <v>0.42600000000000005</v>
      </c>
      <c r="BJ277" s="4">
        <f>BI277*J277*L277/(J277*N277/2.75/M277^0.5)</f>
        <v>130.34284592744467</v>
      </c>
      <c r="BK277" s="4">
        <f>BH277+BJ277</f>
        <v>977.72819212541754</v>
      </c>
      <c r="BM277" s="4">
        <f>MIN(1.5, 0.75+0.25*MIN(3,MAX(1,S277/N277))+0.4*MIN(1,(40*2*PI()*AM277^2/4/AO277/X277)/N277))</f>
        <v>1.375</v>
      </c>
      <c r="BN277" s="4">
        <f>(3*P277+30)*BM277*M277^0.5</f>
        <v>834.83712497506826</v>
      </c>
      <c r="BP277" s="4">
        <f>3.4/PI()^0.5*M277*AB277*AE277^0.5*BG277</f>
        <v>812.74617547903938</v>
      </c>
      <c r="BQ277" s="4">
        <f>8/3*AH277*AI277^2/(AG277-N277-22)/N277*(AG277^2-N277^2)/(AG277^2-(N277+22)^2)</f>
        <v>0</v>
      </c>
      <c r="BR277" s="4">
        <f>BQ277/BP277</f>
        <v>0</v>
      </c>
      <c r="BZ277" s="4">
        <f>IF(W277=0,S277,MIN(W277/2,S277))</f>
        <v>43.180000000000007</v>
      </c>
      <c r="CD277" s="9"/>
      <c r="CF277" s="9"/>
      <c r="CG277" s="9"/>
      <c r="CH277" s="9">
        <f>IF(W277=0,MIN(S277,U277),MIN(W277/2,S277,U277))</f>
        <v>43.180000000000007</v>
      </c>
      <c r="CI277" s="9">
        <f>MAX(W277/2,S277)</f>
        <v>63.5</v>
      </c>
      <c r="CJ277" s="9">
        <f>(CH277/N277)^0.5*(CI277/CH277)^0.15</f>
        <v>1.3814912030111532</v>
      </c>
      <c r="CK277" s="70">
        <f>IF(AO277&gt;1,20,0)</f>
        <v>20</v>
      </c>
      <c r="CL277" s="9">
        <f>MIN(PI()*AM277^2/4*AN277*2/X277/N277/MAX(0.01,AO277),0.05)</f>
        <v>0</v>
      </c>
      <c r="CM277" s="9">
        <f>MAX(0,CK277*(CL277-0.5/50))</f>
        <v>0</v>
      </c>
      <c r="CN277" s="9">
        <f>MIN(1,(25/N277)^0.3)</f>
        <v>0.99524931562137331</v>
      </c>
      <c r="CO277" s="9">
        <f>IF(J277&gt;=800,0.68,IF(J277&gt;=700,0.75-(J277-700)*0.07/100,IF(J277&gt;=600,0.85-(J277-600)*0.1/100,IF(J277&gt;=500,1-(J277-500)*0.15/100,1.2-(J277-400)*0.2/100))))</f>
        <v>0.68</v>
      </c>
      <c r="CP277" s="9">
        <f>1.75*CN277*CO277*(M277/25)^0.5</f>
        <v>2.1584305883972208</v>
      </c>
      <c r="CQ277" s="9">
        <f>MIN((CJ277+CM277)*CP277,2.5*CP277,M277^0.5)</f>
        <v>2.9818528701809477</v>
      </c>
      <c r="CR277" s="40">
        <v>1</v>
      </c>
      <c r="CS277" s="9">
        <f>4*CQ277*P277+60*CQ277</f>
        <v>324.54486639049435</v>
      </c>
      <c r="CU277" s="4">
        <f>AJ277/BF277</f>
        <v>1.1211859345052924</v>
      </c>
      <c r="CV277" s="4">
        <f>AJ277/BK277</f>
        <v>0.67150740811789156</v>
      </c>
      <c r="CW277" s="4">
        <f>AJ277/BN277</f>
        <v>0.78644289346564267</v>
      </c>
      <c r="CX277" s="4">
        <f>AJ277/CS277</f>
        <v>2.0229921718988586</v>
      </c>
      <c r="CY277" s="4">
        <f>AJ277/DZ277</f>
        <v>1.3377450555781216</v>
      </c>
      <c r="CZ277" s="4">
        <f>AJ277/EL277</f>
        <v>0.94794472349162318</v>
      </c>
      <c r="DA277" s="4">
        <f>AJ277/GI277</f>
        <v>1.2147441524469329</v>
      </c>
      <c r="DB277" s="4">
        <f>AN277</f>
        <v>0</v>
      </c>
      <c r="DC277" s="4">
        <f>CU277</f>
        <v>1.1211859345052924</v>
      </c>
      <c r="DD277" s="4">
        <f>CV277</f>
        <v>0.67150740811789156</v>
      </c>
      <c r="DE277" s="4">
        <f>CX277</f>
        <v>2.0229921718988586</v>
      </c>
      <c r="DF277" s="4">
        <f>DA277</f>
        <v>1.2147441524469329</v>
      </c>
      <c r="DG277" s="4">
        <f>CY277</f>
        <v>1.3377450555781216</v>
      </c>
      <c r="DH277" s="4">
        <f>CZ277</f>
        <v>0.94794472349162318</v>
      </c>
      <c r="DQ277" s="4">
        <f>L277</f>
        <v>310.13400000000001</v>
      </c>
      <c r="DT277" s="4">
        <f>K277/4/(1-0.3*(M277/30)^0.5)/200000/N277</f>
        <v>3.0470314501583804E-5</v>
      </c>
      <c r="DU277" s="4">
        <f>EP277</f>
        <v>10.522931541773643</v>
      </c>
      <c r="DV277" s="4">
        <f>EC277*AG277/257/M277/AD277</f>
        <v>8.1211196424103127E-2</v>
      </c>
      <c r="DW277" s="4">
        <f>DU277*DV277^0.4</f>
        <v>3.8546336513617185</v>
      </c>
      <c r="DX277" s="4">
        <f>MIN(DU277, DU277/1.4*(1-DV277^1.4)/(1-DV277))</f>
        <v>7.9373845929658167</v>
      </c>
      <c r="DY277" s="4">
        <f>MAX(DU277/2, (4-DT277*(8*AG277*(DW277-DX277)+6*K277*DX277))/(4+DT277*K277*DU277)*DU277)</f>
        <v>9.2589876153601036</v>
      </c>
      <c r="DZ277" s="38">
        <f>MIN(1/N277*(4*AG277*(DW277-DX277)+(3*DX277+DY277)*K277)+EC277 -FJ277,MAX(J277,AJ277))</f>
        <v>490.78987165771645</v>
      </c>
      <c r="EA277" s="4">
        <f>DZ277/FF277</f>
        <v>1.0000773151407587</v>
      </c>
      <c r="EB277" s="4">
        <f>AG277/N277</f>
        <v>2.2583179581272428</v>
      </c>
      <c r="EC277" s="4">
        <f>MIN(EB$10*BB277)</f>
        <v>123.87183431377348</v>
      </c>
      <c r="EG277" s="4">
        <f>IF(U277&gt;1*N277,0.85,1)</f>
        <v>0.85</v>
      </c>
      <c r="EH277" s="4">
        <f>MIN(1,MAX(0.7,(1-0.1*(BZ277-1*N277)/N277)))</f>
        <v>0.92999999999999994</v>
      </c>
      <c r="EI277" s="4">
        <f>MIN(1,MAX(0.7,1-0.3*(PI()*AM277^2/4*AQ277*2-0.25*PI()/4*N277^2)/(PI()/4*N277^2)))</f>
        <v>1</v>
      </c>
      <c r="EJ277" s="4">
        <f>IF(EH277*EI277&lt;0.7,0.7,EH277*EI277)</f>
        <v>0.92999999999999994</v>
      </c>
      <c r="EL277" s="4">
        <f>MIN(DU277/N277*3*K277+EM277-FJ277,MAX(J277,AJ277))</f>
        <v>692.60549467442956</v>
      </c>
      <c r="EM277" s="25">
        <f>13.3*Q277*K277^0.5*M277^0.5/X277/N277^2*(0.7+S277/5/K277)</f>
        <v>307.15051229926104</v>
      </c>
      <c r="EO277" s="4">
        <f>EG277*EJ277</f>
        <v>0.79049999999999998</v>
      </c>
      <c r="EP277" s="4">
        <f>IF(N277&lt;22.2,1.1*5*(M277/30)^0.5,IF(N277&gt;=31.8,0.9*5*(M277/30)^0.5,1*5*(M277/30)^0.5))/EG277/EJ277</f>
        <v>10.522931541773643</v>
      </c>
      <c r="ES277" s="4">
        <f>ET277*N277</f>
        <v>57.361276136431961</v>
      </c>
      <c r="ET277" s="4">
        <f>AF277^0.5</f>
        <v>2.2583179581272428</v>
      </c>
      <c r="EU277" s="4">
        <f>MIN(EC277)/(4700*M277^0.5)/AE277*ES277</f>
        <v>4.0465081218554952E-2</v>
      </c>
      <c r="EX277" s="4">
        <f>EU277</f>
        <v>4.0465081218554952E-2</v>
      </c>
      <c r="EY277" s="4">
        <f>MIN(0.999, EX277/(0.3*(M277/30)^0.5))</f>
        <v>8.1075670072980818E-2</v>
      </c>
      <c r="EZ277" s="4">
        <f>EP277/1*EY277^0.4</f>
        <v>3.8520592959604016</v>
      </c>
      <c r="FA277" s="4">
        <f>EP277/1.4*(1-EY277^1.4)/(1-EY277)</f>
        <v>7.9367822639850827</v>
      </c>
      <c r="FB277" s="4">
        <f>MAX(0,DQ277*FB$9-ES277)</f>
        <v>175.23922386356804</v>
      </c>
      <c r="FC277" s="4">
        <f>MAX(0,DQ277-ES277-FB277)</f>
        <v>77.533500000000004</v>
      </c>
      <c r="FD277" s="4">
        <f>FC277/(1-0.3*(M277/30)^0.5)/200000/N277</f>
        <v>3.0470314501583804E-5</v>
      </c>
      <c r="FE277" s="4">
        <f>MAX(0.5*EP277, (1-2*FD277*(ES277*EZ277+FB277*FA277))/(1/EP277+FD277*FC277))</f>
        <v>9.2591460598159667</v>
      </c>
      <c r="FF277" s="4">
        <f>MIN(4/N277*(1*EZ277*ES277+FA277*FB277+FC277*FE277)+EC277,MAX(J277,AJ277))</f>
        <v>490.75192910324023</v>
      </c>
      <c r="FO277" s="23">
        <f>IF(CU277&lt;0.6,0.6,IF(CU277&lt;0.8,0.8,IF(CU277&lt;1,1,IF(CU277&lt;1.2,1.2,IF(CU277&lt;1.4,1.4,IF(CU277&lt;1.6,1.6,IF(CU277&lt;1.8,1.8,IF(CU277&lt;2,2,2.2))))))))</f>
        <v>1.2</v>
      </c>
      <c r="FP277" s="23">
        <f>IF(CV277&lt;0.6,0.6,IF(CV277&lt;0.8,0.8,IF(CV277&lt;1,1,IF(CV277&lt;1.2,1.2,IF(CV277&lt;1.4,1.4,IF(CV277&lt;1.6,1.6,IF(CV277&lt;1.8,1.8,IF(CV277&lt;2,2,2.2))))))))</f>
        <v>0.8</v>
      </c>
      <c r="FQ277" s="23">
        <f>IF(DA277&lt;0.6,0.6,IF(DA277&lt;0.8,0.8,IF(DA277&lt;1,1,IF(DA277&lt;1.2,1.2,IF(DA277&lt;1.4,1.4,IF(DA277&lt;1.6,1.6,IF(DA277&lt;1.8,1.8,IF(DA277&lt;2,2,2.2))))))))</f>
        <v>1.4</v>
      </c>
      <c r="FR277" s="23">
        <f>IF(CX277&lt;0.6,0.6,IF(CX277&lt;0.8,0.8,IF(CX277&lt;1,1,IF(CX277&lt;1.2,1.2,IF(CX277&lt;1.4,1.4,IF(CX277&lt;1.6,1.6,IF(CX277&lt;1.8,1.8,IF(CX277&lt;2,2,2.2))))))))</f>
        <v>2.2000000000000002</v>
      </c>
      <c r="FS277" s="23">
        <f>IF(CY277&lt;0.6,0.6,IF(CY277&lt;0.8,0.8,IF(CY277&lt;1,1,IF(CY277&lt;1.2,1.2,IF(CY277&lt;1.4,1.4,IF(CY277&lt;1.6,1.6,IF(CY277&lt;1.8,1.8,IF(CY277&lt;2,2,2.2))))))))</f>
        <v>1.4</v>
      </c>
      <c r="FT277" s="23">
        <f>IF(CZ277&lt;0.6,0.6,IF(CZ277&lt;0.8,0.8,IF(CZ277&lt;1,1,IF(CZ277&lt;1.2,1.2,IF(CZ277&lt;1.4,1.4,IF(CZ277&lt;1.6,1.6,IF(CZ277&lt;1.8,1.8,IF(CZ277&lt;2,2,2.2))))))))</f>
        <v>1</v>
      </c>
      <c r="FU277" s="23">
        <f>IF(FS277&lt;1,1,0)</f>
        <v>0</v>
      </c>
      <c r="FV277" s="23"/>
      <c r="GF277" s="4">
        <f>IF(S277&gt;=2.5*25.4,1,1.25)</f>
        <v>1</v>
      </c>
      <c r="GG277" s="4">
        <f>IF(AO277&gt;1, 0.05*(18-MIN(8,(W277+N277)/N277))*(1-48000/MAX(60000,(J277*145))*(N277/25.4)^0.75*GH277), 1/12*(14-MIN(8,(W277+N277)/N277)))</f>
        <v>0.67999999999999994</v>
      </c>
      <c r="GH277" s="4">
        <f>MIN(0.3, AM277^2*PI()/4*2*AP277/(N277^2*PI()/4*X277))</f>
        <v>0</v>
      </c>
      <c r="GI277" s="4">
        <f>(K277/25.4)/(N277/25.4)^1.5/0.0024*(M277*145)^0.25/GF277/GG277/145</f>
        <v>540.48560169266841</v>
      </c>
    </row>
    <row r="278" spans="1:191" ht="12" customHeight="1" x14ac:dyDescent="0.3">
      <c r="A278" s="25">
        <v>235</v>
      </c>
      <c r="B278" s="4" t="s">
        <v>605</v>
      </c>
      <c r="C278" s="4">
        <v>2016</v>
      </c>
      <c r="D278" s="4" t="s">
        <v>309</v>
      </c>
      <c r="E278" s="24" t="s">
        <v>661</v>
      </c>
      <c r="F278" s="24"/>
      <c r="G278" s="24">
        <v>39</v>
      </c>
      <c r="H278" s="7" t="s">
        <v>388</v>
      </c>
      <c r="I278" s="5">
        <f>K278/N278</f>
        <v>12.19</v>
      </c>
      <c r="J278" s="91">
        <f>120/0.145</f>
        <v>827.58620689655174</v>
      </c>
      <c r="K278" s="38">
        <f>12.19*25.4</f>
        <v>309.62599999999998</v>
      </c>
      <c r="L278" s="4">
        <f>K278</f>
        <v>309.62599999999998</v>
      </c>
      <c r="M278" s="89">
        <f>4850/145</f>
        <v>33.448275862068968</v>
      </c>
      <c r="N278" s="96">
        <f>1*25.4</f>
        <v>25.4</v>
      </c>
      <c r="O278" s="7">
        <f>K278/N278</f>
        <v>12.19</v>
      </c>
      <c r="P278" s="7">
        <f>L278/N278</f>
        <v>12.19</v>
      </c>
      <c r="Q278" s="38">
        <f>20.1*25.4</f>
        <v>510.54</v>
      </c>
      <c r="R278" s="32">
        <f>S278/N278</f>
        <v>4</v>
      </c>
      <c r="S278" s="38">
        <f>4*25.4</f>
        <v>101.6</v>
      </c>
      <c r="T278" s="32">
        <f>U278/N278</f>
        <v>3.55</v>
      </c>
      <c r="U278" s="39">
        <f>3.55*25.4</f>
        <v>90.169999999999987</v>
      </c>
      <c r="V278" s="32">
        <f>W278/N278</f>
        <v>10.100000000000001</v>
      </c>
      <c r="W278" s="7">
        <f>(Q278-X278*N278-2*S278)/(X278-1)</f>
        <v>256.54000000000002</v>
      </c>
      <c r="X278" s="38">
        <v>2</v>
      </c>
      <c r="Y278" s="7">
        <f>AN278</f>
        <v>8</v>
      </c>
      <c r="Z278" s="32">
        <f>AA278/N278</f>
        <v>10.25</v>
      </c>
      <c r="AA278" s="4">
        <f>10.25*25.4</f>
        <v>260.34999999999997</v>
      </c>
      <c r="AB278" s="7">
        <f>MIN(S278/N278+0.5, W278/2/N278+0.5)</f>
        <v>4.5</v>
      </c>
      <c r="AC278" s="7">
        <f>S278/N278+0.5</f>
        <v>4.5</v>
      </c>
      <c r="AD278" s="38">
        <v>4</v>
      </c>
      <c r="AE278" s="4">
        <f>AD278</f>
        <v>4</v>
      </c>
      <c r="AF278" s="4">
        <f>AE278+1</f>
        <v>5</v>
      </c>
      <c r="AG278" s="7">
        <f>N278*AF278^0.5</f>
        <v>56.796126628494655</v>
      </c>
      <c r="AJ278" s="38">
        <f>128.5/0.145</f>
        <v>886.20689655172418</v>
      </c>
      <c r="AL278" s="4">
        <f>CY278</f>
        <v>1.7265845077744686</v>
      </c>
      <c r="AM278" s="38">
        <f>0.375*25.4</f>
        <v>9.5249999999999986</v>
      </c>
      <c r="AN278" s="38">
        <v>8</v>
      </c>
      <c r="AO278" s="39">
        <f>4*25.4</f>
        <v>101.6</v>
      </c>
      <c r="AP278" s="39">
        <v>2</v>
      </c>
      <c r="AQ278" s="39">
        <v>1</v>
      </c>
      <c r="AR278" s="7"/>
      <c r="AS278" s="4">
        <f>K278</f>
        <v>309.62599999999998</v>
      </c>
      <c r="AT278" s="4">
        <f>IF(K278*3&gt;W278+N278, Q278, (S278+N278/2)*2+1.5*K278*(2*X278-2))*(3*K278)/(9*K278^2)</f>
        <v>0.54963084495488113</v>
      </c>
      <c r="AU278" s="4">
        <f>MIN(10*M278^0.5*K278^1.5,100*3.9*M278^0.5*K278^(5/3))/(PI()/4*N278^2)/X278</f>
        <v>310.92503455862817</v>
      </c>
      <c r="AV278" s="4">
        <f>MIN(0.7+0.3*(MIN(S278,AA278)+0.5*N278)/1.5/K278,1)</f>
        <v>0.77383100902378998</v>
      </c>
      <c r="AW278" s="4">
        <v>1.25</v>
      </c>
      <c r="AX278" s="4">
        <f>AX277</f>
        <v>1</v>
      </c>
      <c r="AY278" s="38">
        <f>AT278*AV278*AW278*AX278*AU278</f>
        <v>165.30383537693214</v>
      </c>
      <c r="AZ278" s="38">
        <f>AY278</f>
        <v>165.30383537693214</v>
      </c>
      <c r="BA278" s="38">
        <f>IF(M278&lt;50, 0.3*M278^(2/3), 2.12*LN(1+0.1*(M278+8)))</f>
        <v>3.1143714702560636</v>
      </c>
      <c r="BB278" s="38">
        <f>AX278* (M278^0.5/AS278^0.5)/(PI()/4*N278^2)/X278/0.72 *(0.7+(MIN(S278,AA278)+0.5*N278)/5/K278) *(3*Q278*K278)</f>
        <v>165.30383537693203</v>
      </c>
      <c r="BC278" s="38">
        <f>AY278/BB278</f>
        <v>1.0000000000000007</v>
      </c>
      <c r="BD278" s="38">
        <f>BH278/BB278</f>
        <v>3.6421959850137844</v>
      </c>
      <c r="BE278" s="4">
        <f>IF(BD278&lt;1,1,0)</f>
        <v>0</v>
      </c>
      <c r="BF278" s="4">
        <f>L278/N278*M278^0.5/0.19</f>
        <v>371.05387625127508</v>
      </c>
      <c r="BG278" s="4">
        <f>MIN(0.6+0.4*(AC278/AB278),2)</f>
        <v>1</v>
      </c>
      <c r="BH278" s="38">
        <f>2*M278*AB278*AD278^0.5*BG278*0.7/0.7</f>
        <v>602.06896551724139</v>
      </c>
      <c r="BI278" s="4">
        <f>MAX(1-0.7*AE278/5,0.3)</f>
        <v>0.44000000000000006</v>
      </c>
      <c r="BJ278" s="4">
        <f>BI278*J278*L278/(J278*N278/2.75/M278^0.5)</f>
        <v>85.305286150168143</v>
      </c>
      <c r="BK278" s="4">
        <f>BH278+BJ278</f>
        <v>687.37425166740957</v>
      </c>
      <c r="BM278" s="4">
        <f>MIN(1.5, 0.75+0.25*MIN(3,MAX(1,S278/N278))+0.4*MIN(1,(40*2*PI()*AM278^2/4/AO278/X278)/N278))</f>
        <v>1.5</v>
      </c>
      <c r="BN278" s="4">
        <f>(3*P278+30)*BM278*M278^0.5</f>
        <v>577.50624401013158</v>
      </c>
      <c r="BP278" s="4">
        <f>3.4/PI()^0.5*M278*AB278*AE278^0.5*BG278</f>
        <v>577.45776616774151</v>
      </c>
      <c r="BQ278" s="4">
        <f>8/3*AH278*AI278^2/(AG278-N278-22)/N278*(AG278^2-N278^2)/(AG278^2-(N278+22)^2)</f>
        <v>0</v>
      </c>
      <c r="BR278" s="4">
        <f>BQ278/BP278</f>
        <v>0</v>
      </c>
      <c r="BZ278" s="4">
        <f>IF(W278=0,S278,MIN(W278/2,S278))</f>
        <v>101.6</v>
      </c>
      <c r="CD278" s="9"/>
      <c r="CF278" s="9"/>
      <c r="CG278" s="9"/>
      <c r="CH278" s="9">
        <f>IF(W278=0,MIN(S278,U278),MIN(W278/2,S278,U278))</f>
        <v>90.169999999999987</v>
      </c>
      <c r="CI278" s="9">
        <f>MAX(W278/2,S278)</f>
        <v>128.27000000000001</v>
      </c>
      <c r="CJ278" s="9">
        <f>(CH278/N278)^0.5*(CI278/CH278)^0.15</f>
        <v>1.9864316684380796</v>
      </c>
      <c r="CK278" s="70">
        <f>IF(AO278&gt;1,20,0)</f>
        <v>20</v>
      </c>
      <c r="CL278" s="9">
        <f>MIN(PI()*AM278^2/4*AN278*2/X278/N278/MAX(0.01,AO278),0.05)</f>
        <v>0.05</v>
      </c>
      <c r="CM278" s="9">
        <f>MAX(0,CK278*(CL278-0.5/50))</f>
        <v>0.8</v>
      </c>
      <c r="CN278" s="9">
        <f>MIN(1,(25/N278)^0.3)</f>
        <v>0.99524931562137331</v>
      </c>
      <c r="CO278" s="9">
        <f>IF(J278&gt;=800,0.68,IF(J278&gt;=700,0.75-(J278-700)*0.07/100,IF(J278&gt;=600,0.85-(J278-600)*0.1/100,IF(J278&gt;=500,1-(J278-500)*0.15/100,1.2-(J278-400)*0.2/100))))</f>
        <v>0.68</v>
      </c>
      <c r="CP278" s="9">
        <f>1.75*CN278*CO278*(M278/25)^0.5</f>
        <v>1.3699215983187671</v>
      </c>
      <c r="CQ278" s="9">
        <f>MIN((CJ278+CM278)*CP278,2.5*CP278,M278^0.5)</f>
        <v>3.4248039957969176</v>
      </c>
      <c r="CR278" s="40">
        <v>1</v>
      </c>
      <c r="CS278" s="9">
        <f>4*CQ278*P278+60*CQ278</f>
        <v>372.48168258287274</v>
      </c>
      <c r="CU278" s="4">
        <f>AJ278/BF278</f>
        <v>2.3883510004126491</v>
      </c>
      <c r="CV278" s="4">
        <f>AJ278/BK278</f>
        <v>1.2892640281505934</v>
      </c>
      <c r="CW278" s="4">
        <f>AJ278/BN278</f>
        <v>1.5345408049582523</v>
      </c>
      <c r="CX278" s="4">
        <f>AJ278/CS278</f>
        <v>2.3791959121494619</v>
      </c>
      <c r="CY278" s="4">
        <f>AJ278/DZ278</f>
        <v>1.7265845077744686</v>
      </c>
      <c r="CZ278" s="4">
        <f>AJ278/EL278</f>
        <v>1.2065212017848979</v>
      </c>
      <c r="DA278" s="4">
        <f>AJ278/GI278</f>
        <v>1.3452828172806048</v>
      </c>
      <c r="DB278" s="4">
        <f>AN278</f>
        <v>8</v>
      </c>
      <c r="DI278" s="4">
        <f>CU278</f>
        <v>2.3883510004126491</v>
      </c>
      <c r="DJ278" s="4">
        <f>CV278</f>
        <v>1.2892640281505934</v>
      </c>
      <c r="DK278" s="4">
        <f>CX278</f>
        <v>2.3791959121494619</v>
      </c>
      <c r="DL278" s="4">
        <f>DA278</f>
        <v>1.3452828172806048</v>
      </c>
      <c r="DM278" s="4">
        <f>CY278</f>
        <v>1.7265845077744686</v>
      </c>
      <c r="DN278" s="4">
        <f>CZ278</f>
        <v>1.2065212017848979</v>
      </c>
      <c r="DQ278" s="4">
        <f>L278</f>
        <v>309.62599999999998</v>
      </c>
      <c r="DT278" s="4">
        <f>K278/4/(1-0.3*(M278/30)^0.5)/200000/N278</f>
        <v>2.2302235172382959E-5</v>
      </c>
      <c r="DU278" s="4">
        <f>EP278</f>
        <v>8.8731797505383305</v>
      </c>
      <c r="DV278" s="4">
        <f>EC278*AG278/257/M278/AD278</f>
        <v>0.27304535823847514</v>
      </c>
      <c r="DW278" s="4">
        <f>DU278*DV278^0.4</f>
        <v>5.2792617914240161</v>
      </c>
      <c r="DX278" s="4">
        <f>MIN(DU278, DU278/1.4*(1-DV278^1.4)/(1-DV278))</f>
        <v>7.3021866019984891</v>
      </c>
      <c r="DY278" s="4">
        <f>MAX(DU278/2, (4-DT278*(8*AG278*(DW278-DX278)+6*K278*DX278))/(4+DT278*K278*DU278)*DU278)</f>
        <v>8.1230886148033221</v>
      </c>
      <c r="DZ278" s="38">
        <f>MIN(1/N278*(4*AG278*(DW278-DX278)+(3*DX278+DY278)*K278)+EC278 -FJ278,MAX(J278,AJ278))</f>
        <v>513.27166006720768</v>
      </c>
      <c r="EA278" s="4">
        <f>DZ278/FF278</f>
        <v>1.0001258062076874</v>
      </c>
      <c r="EB278" s="4">
        <f>AG278/N278</f>
        <v>2.2360679774997898</v>
      </c>
      <c r="EC278" s="4">
        <f>MIN(EB$10*BB278)</f>
        <v>165.30383537693203</v>
      </c>
      <c r="EG278" s="4">
        <f>IF(U278&gt;1*N278,0.85,1)</f>
        <v>0.85</v>
      </c>
      <c r="EH278" s="4">
        <f>MIN(1,MAX(0.7,(1-0.1*(BZ278-1*N278)/N278)))</f>
        <v>0.7</v>
      </c>
      <c r="EI278" s="4">
        <f>MIN(1,MAX(0.7,1-0.3*(PI()*AM278^2/4*AQ278*2-0.25*PI()/4*N278^2)/(PI()/4*N278^2)))</f>
        <v>0.99062499999999998</v>
      </c>
      <c r="EJ278" s="4">
        <f>IF(EH278*EI278&lt;0.7,0.7,EH278*EI278)</f>
        <v>0.7</v>
      </c>
      <c r="EL278" s="4">
        <f>MIN(DU278/N278*3*K278+EM278-FJ278,MAX(J278,AJ278))</f>
        <v>734.51415129770737</v>
      </c>
      <c r="EM278" s="25">
        <f>13.3*Q278*K278^0.5*M278^0.5/X278/N278^2*(0.7+S278/5/K278)</f>
        <v>410.02196782052062</v>
      </c>
      <c r="EO278" s="4">
        <f>EG278*EJ278</f>
        <v>0.59499999999999997</v>
      </c>
      <c r="EP278" s="4">
        <f>IF(N278&lt;22.2,1.1*5*(M278/30)^0.5,IF(N278&gt;=31.8,0.9*5*(M278/30)^0.5,1*5*(M278/30)^0.5))/EG278/EJ278</f>
        <v>8.8731797505383305</v>
      </c>
      <c r="ES278" s="4">
        <f>ET278*N278</f>
        <v>56.796126628494655</v>
      </c>
      <c r="ET278" s="4">
        <f>AF278^0.5</f>
        <v>2.2360679774997898</v>
      </c>
      <c r="EU278" s="4">
        <f>MIN(EC278)/(4700*M278^0.5)/AE278*ES278</f>
        <v>8.6348924270278238E-2</v>
      </c>
      <c r="EX278" s="4">
        <f>EU278</f>
        <v>8.6348924270278238E-2</v>
      </c>
      <c r="EY278" s="4">
        <f>MIN(0.999, EX278/(0.3*(M278/30)^0.5))</f>
        <v>0.27258969642431219</v>
      </c>
      <c r="EZ278" s="4">
        <f>EP278/1*EY278^0.4</f>
        <v>5.275735983957742</v>
      </c>
      <c r="FA278" s="4">
        <f>EP278/1.4*(1-EY278^1.4)/(1-EY278)</f>
        <v>7.300918304397654</v>
      </c>
      <c r="FB278" s="4">
        <f>MAX(0,DQ278*FB$9-ES278)</f>
        <v>175.42337337150533</v>
      </c>
      <c r="FC278" s="4">
        <f>MAX(0,DQ278-ES278-FB278)</f>
        <v>77.406499999999994</v>
      </c>
      <c r="FD278" s="4">
        <f>FC278/(1-0.3*(M278/30)^0.5)/200000/N278</f>
        <v>2.2302235172382959E-5</v>
      </c>
      <c r="FE278" s="4">
        <f>MAX(0.5*EP278, (1-2*FD278*(ES278*EZ278+FB278*FA278))/(1/EP278+FD278*FC278))</f>
        <v>8.1232534045411775</v>
      </c>
      <c r="FF278" s="4">
        <f>MIN(4/N278*(1*EZ278*ES278+FA278*FB278+FC278*FE278)+EC278,MAX(J278,AJ278))</f>
        <v>513.20709542877353</v>
      </c>
      <c r="FO278" s="23">
        <f>IF(CU278&lt;0.6,0.6,IF(CU278&lt;0.8,0.8,IF(CU278&lt;1,1,IF(CU278&lt;1.2,1.2,IF(CU278&lt;1.4,1.4,IF(CU278&lt;1.6,1.6,IF(CU278&lt;1.8,1.8,IF(CU278&lt;2,2,2.2))))))))</f>
        <v>2.2000000000000002</v>
      </c>
      <c r="FP278" s="23">
        <f>IF(CV278&lt;0.6,0.6,IF(CV278&lt;0.8,0.8,IF(CV278&lt;1,1,IF(CV278&lt;1.2,1.2,IF(CV278&lt;1.4,1.4,IF(CV278&lt;1.6,1.6,IF(CV278&lt;1.8,1.8,IF(CV278&lt;2,2,2.2))))))))</f>
        <v>1.4</v>
      </c>
      <c r="FQ278" s="23">
        <f>IF(DA278&lt;0.6,0.6,IF(DA278&lt;0.8,0.8,IF(DA278&lt;1,1,IF(DA278&lt;1.2,1.2,IF(DA278&lt;1.4,1.4,IF(DA278&lt;1.6,1.6,IF(DA278&lt;1.8,1.8,IF(DA278&lt;2,2,2.2))))))))</f>
        <v>1.4</v>
      </c>
      <c r="FR278" s="23">
        <f>IF(CX278&lt;0.6,0.6,IF(CX278&lt;0.8,0.8,IF(CX278&lt;1,1,IF(CX278&lt;1.2,1.2,IF(CX278&lt;1.4,1.4,IF(CX278&lt;1.6,1.6,IF(CX278&lt;1.8,1.8,IF(CX278&lt;2,2,2.2))))))))</f>
        <v>2.2000000000000002</v>
      </c>
      <c r="FS278" s="23">
        <f>IF(CY278&lt;0.6,0.6,IF(CY278&lt;0.8,0.8,IF(CY278&lt;1,1,IF(CY278&lt;1.2,1.2,IF(CY278&lt;1.4,1.4,IF(CY278&lt;1.6,1.6,IF(CY278&lt;1.8,1.8,IF(CY278&lt;2,2,2.2))))))))</f>
        <v>1.8</v>
      </c>
      <c r="FT278" s="23">
        <f>IF(CZ278&lt;0.6,0.6,IF(CZ278&lt;0.8,0.8,IF(CZ278&lt;1,1,IF(CZ278&lt;1.2,1.2,IF(CZ278&lt;1.4,1.4,IF(CZ278&lt;1.6,1.6,IF(CZ278&lt;1.8,1.8,IF(CZ278&lt;2,2,2.2))))))))</f>
        <v>1.4</v>
      </c>
      <c r="FU278" s="23">
        <f>IF(FS278&lt;1,1,0)</f>
        <v>0</v>
      </c>
      <c r="FV278" s="23"/>
      <c r="GF278" s="4">
        <f>IF(S278&gt;=2.5*25.4,1,1.25)</f>
        <v>1</v>
      </c>
      <c r="GG278" s="4">
        <f>IF(AO278&gt;1, 0.05*(18-MIN(8,(W278+N278)/N278))*(1-48000/MAX(60000,(J278*145))*(N278/25.4)^0.75*GH278), 1/12*(14-MIN(8,(W278+N278)/N278)))</f>
        <v>0.44374999999999998</v>
      </c>
      <c r="GH278" s="4">
        <f>MIN(0.3, AM278^2*PI()/4*2*AP278/(N278^2*PI()/4*X278))</f>
        <v>0.28124999999999994</v>
      </c>
      <c r="GI278" s="4">
        <f>(K278/25.4)/(N278/25.4)^1.5/0.0024*(M278*145)^0.25/GF278/GG278/145</f>
        <v>658.75136823878381</v>
      </c>
    </row>
    <row r="279" spans="1:191" ht="12" customHeight="1" x14ac:dyDescent="0.3">
      <c r="A279" s="25">
        <v>323</v>
      </c>
      <c r="B279" s="4" t="s">
        <v>605</v>
      </c>
      <c r="C279" s="4">
        <v>2016</v>
      </c>
      <c r="D279" s="4" t="s">
        <v>309</v>
      </c>
      <c r="E279" s="24" t="s">
        <v>670</v>
      </c>
      <c r="F279" s="24"/>
      <c r="G279" s="24">
        <v>16</v>
      </c>
      <c r="H279" s="7" t="s">
        <v>485</v>
      </c>
      <c r="I279" s="5">
        <f>K279/N279</f>
        <v>12.17</v>
      </c>
      <c r="J279" s="38">
        <f>129/0.145</f>
        <v>889.65517241379314</v>
      </c>
      <c r="K279" s="89">
        <f>12.17*25.4</f>
        <v>309.11799999999999</v>
      </c>
      <c r="L279" s="4">
        <f>K279</f>
        <v>309.11799999999999</v>
      </c>
      <c r="M279" s="89">
        <f>12040/145</f>
        <v>83.034482758620683</v>
      </c>
      <c r="N279" s="96">
        <f>1*25.4</f>
        <v>25.4</v>
      </c>
      <c r="O279" s="7">
        <f>K279/N279</f>
        <v>12.17</v>
      </c>
      <c r="P279" s="7">
        <f>L279/N279</f>
        <v>12.17</v>
      </c>
      <c r="Q279" s="38">
        <f>15.2*25.4</f>
        <v>386.08</v>
      </c>
      <c r="R279" s="32">
        <f>S279/N279</f>
        <v>2.5999999999999996</v>
      </c>
      <c r="S279" s="38">
        <f>2.6*25.4</f>
        <v>66.039999999999992</v>
      </c>
      <c r="T279" s="32">
        <f>U279/N279</f>
        <v>2.9</v>
      </c>
      <c r="U279" s="39">
        <f>2.9*25.4</f>
        <v>73.66</v>
      </c>
      <c r="V279" s="32">
        <f>W279/N279</f>
        <v>3.5000000000000004</v>
      </c>
      <c r="W279" s="7">
        <f>(Q279-X279*N279-2*S279)/(X279-1)</f>
        <v>88.9</v>
      </c>
      <c r="X279" s="38">
        <v>3</v>
      </c>
      <c r="Y279" s="7">
        <f>AN279</f>
        <v>10</v>
      </c>
      <c r="Z279" s="32">
        <f>AA279/N279</f>
        <v>10.25</v>
      </c>
      <c r="AA279" s="4">
        <f>10.25*25.4</f>
        <v>260.34999999999997</v>
      </c>
      <c r="AB279" s="7">
        <f>MIN(S279/N279+0.5, W279/2/N279+0.5)</f>
        <v>2.25</v>
      </c>
      <c r="AC279" s="7">
        <f>S279/N279+0.5</f>
        <v>3.0999999999999996</v>
      </c>
      <c r="AD279" s="38">
        <v>4.0999999999999996</v>
      </c>
      <c r="AE279" s="4">
        <f>AD279</f>
        <v>4.0999999999999996</v>
      </c>
      <c r="AF279" s="4">
        <f>AE279+1</f>
        <v>5.0999999999999996</v>
      </c>
      <c r="AG279" s="7">
        <f>N279*AF279^0.5</f>
        <v>57.361276136431961</v>
      </c>
      <c r="AJ279" s="38">
        <f>AK279/0.145</f>
        <v>765.51724137931035</v>
      </c>
      <c r="AK279" s="4">
        <v>111</v>
      </c>
      <c r="AL279" s="4">
        <f>CY279</f>
        <v>1.2826380649004223</v>
      </c>
      <c r="AM279" s="38">
        <f>0.5*25.4</f>
        <v>12.7</v>
      </c>
      <c r="AN279" s="38">
        <v>10</v>
      </c>
      <c r="AO279" s="39">
        <f>3*25.4</f>
        <v>76.199999999999989</v>
      </c>
      <c r="AP279" s="39">
        <v>3</v>
      </c>
      <c r="AQ279" s="39">
        <f>AP279-1</f>
        <v>2</v>
      </c>
      <c r="AR279" s="7"/>
      <c r="AS279" s="4">
        <f>K279</f>
        <v>309.11799999999999</v>
      </c>
      <c r="AT279" s="4">
        <f>IF(K279*3&gt;W279+N279, Q279, (S279+N279/2)*2+1.5*K279*(2*X279-2))*(3*K279)/(9*K279^2)</f>
        <v>0.41632429471377708</v>
      </c>
      <c r="AU279" s="4">
        <f>MIN(10*M279^0.5*K279^1.5,100*3.9*M279^0.5*K279^(5/3))/(PI()/4*N279^2)/X279</f>
        <v>325.78952411390105</v>
      </c>
      <c r="AV279" s="4">
        <f>MIN(0.7+0.3*(MIN(S279,AA279)+0.5*N279)/1.5/K279,1)</f>
        <v>0.75094494658997535</v>
      </c>
      <c r="AW279" s="4">
        <v>1.25</v>
      </c>
      <c r="AX279" s="4">
        <f>AX278</f>
        <v>1</v>
      </c>
      <c r="AY279" s="38">
        <f>AT279*AV279*AW279*AX279*AU279</f>
        <v>127.31717170420301</v>
      </c>
      <c r="AZ279" s="38">
        <f>AY279</f>
        <v>127.31717170420301</v>
      </c>
      <c r="BA279" s="38">
        <f>IF(M279&lt;50, 0.3*M279^(2/3), 2.12*LN(1+0.1*(M279+8)))</f>
        <v>4.9032987715448586</v>
      </c>
      <c r="BB279" s="38">
        <f>AX279* (M279^0.5/AS279^0.5)/(PI()/4*N279^2)/X279/0.72 *(0.7+(MIN(S279,AA279)+0.5*N279)/5/K279) *(3*Q279*K279)</f>
        <v>127.31717170420291</v>
      </c>
      <c r="BC279" s="38">
        <f>AY279/BB279</f>
        <v>1.0000000000000009</v>
      </c>
      <c r="BD279" s="38">
        <f>BH279/BB279</f>
        <v>6.8405841598510362</v>
      </c>
      <c r="BE279" s="4">
        <f>IF(BD279&lt;1,1,0)</f>
        <v>0</v>
      </c>
      <c r="BF279" s="4">
        <f>L279/N279*M279^0.5/0.19</f>
        <v>583.66845176980826</v>
      </c>
      <c r="BG279" s="4">
        <f>MIN(0.6+0.4*(AC279/AB279),2)</f>
        <v>1.151111111111111</v>
      </c>
      <c r="BH279" s="38">
        <f>2*M279*AB279*AD279^0.5*BG279*0.7/0.7</f>
        <v>870.92382803680493</v>
      </c>
      <c r="BI279" s="4">
        <f>MAX(1-0.7*AE279/5,0.3)</f>
        <v>0.42600000000000005</v>
      </c>
      <c r="BJ279" s="4">
        <f>BI279*J279*L279/(J279*N279/2.75/M279^0.5)</f>
        <v>129.91584233718277</v>
      </c>
      <c r="BK279" s="4">
        <f>BH279+BJ279</f>
        <v>1000.8396703739877</v>
      </c>
      <c r="BM279" s="4">
        <f>MIN(1.5, 0.75+0.25*MIN(3,MAX(1,S279/N279))+0.4*MIN(1,(40*2*PI()*AM279^2/4/AO279/X279)/N279))</f>
        <v>1.5</v>
      </c>
      <c r="BN279" s="4">
        <f>(3*P279+30)*BM279*M279^0.5</f>
        <v>909.09119040713495</v>
      </c>
      <c r="BP279" s="4">
        <f>3.4/PI()^0.5*M279*AB279*AE279^0.5*BG279</f>
        <v>835.32245813123473</v>
      </c>
      <c r="BQ279" s="4">
        <f>8/3*AH279*AI279^2/(AG279-N279-22)/N279*(AG279^2-N279^2)/(AG279^2-(N279+22)^2)</f>
        <v>0</v>
      </c>
      <c r="BR279" s="4">
        <f>BQ279/BP279</f>
        <v>0</v>
      </c>
      <c r="BZ279" s="4">
        <f>IF(W279=0,S279,MIN(W279/2,S279))</f>
        <v>44.45</v>
      </c>
      <c r="CD279" s="9"/>
      <c r="CF279" s="9"/>
      <c r="CG279" s="9"/>
      <c r="CH279" s="9">
        <f>IF(W279=0,MIN(S279,U279),MIN(W279/2,S279,U279))</f>
        <v>44.45</v>
      </c>
      <c r="CI279" s="9">
        <f>MAX(W279/2,S279)</f>
        <v>66.039999999999992</v>
      </c>
      <c r="CJ279" s="9">
        <f>(CH279/N279)^0.5*(CI279/CH279)^0.15</f>
        <v>1.4038131918756702</v>
      </c>
      <c r="CK279" s="70">
        <f>IF(AO279&gt;1,20,0)</f>
        <v>20</v>
      </c>
      <c r="CL279" s="9">
        <f>MIN(PI()*AM279^2/4*AN279*2/X279/N279/MAX(0.01,AO279),0.05)</f>
        <v>0.05</v>
      </c>
      <c r="CM279" s="9">
        <f>MAX(0,CK279*(CL279-0.5/50))</f>
        <v>0.8</v>
      </c>
      <c r="CN279" s="9">
        <f>MIN(1,(25/N279)^0.3)</f>
        <v>0.99524931562137331</v>
      </c>
      <c r="CO279" s="9">
        <f>IF(J279&gt;=800,0.68,IF(J279&gt;=700,0.75-(J279-700)*0.07/100,IF(J279&gt;=600,0.85-(J279-600)*0.1/100,IF(J279&gt;=500,1-(J279-500)*0.15/100,1.2-(J279-400)*0.2/100))))</f>
        <v>0.68</v>
      </c>
      <c r="CP279" s="9">
        <f>1.75*CN279*CO279*(M279/25)^0.5</f>
        <v>2.1584305883972208</v>
      </c>
      <c r="CQ279" s="9">
        <f>MIN((CJ279+CM279)*CP279,2.5*CP279,M279^0.5)</f>
        <v>4.7567778044577604</v>
      </c>
      <c r="CR279" s="40">
        <v>1</v>
      </c>
      <c r="CS279" s="9">
        <f>4*CQ279*P279+60*CQ279</f>
        <v>516.96661178846944</v>
      </c>
      <c r="CU279" s="4">
        <f>AJ279/BF279</f>
        <v>1.3115617934430026</v>
      </c>
      <c r="CV279" s="4">
        <f>AJ279/BK279</f>
        <v>0.76487499850326324</v>
      </c>
      <c r="CW279" s="4">
        <f>AJ279/BN279</f>
        <v>0.84206870494089237</v>
      </c>
      <c r="CX279" s="4">
        <f>AJ279/CS279</f>
        <v>1.480786619334987</v>
      </c>
      <c r="CY279" s="4">
        <f>AJ279/DZ279</f>
        <v>1.2826380649004223</v>
      </c>
      <c r="CZ279" s="4">
        <f>AJ279/EL279</f>
        <v>0.94032104183423759</v>
      </c>
      <c r="DA279" s="4">
        <f>AJ279/GI279</f>
        <v>1.2530999155051654</v>
      </c>
      <c r="DB279" s="4">
        <f>AN279</f>
        <v>10</v>
      </c>
      <c r="DI279" s="4">
        <f>CU279</f>
        <v>1.3115617934430026</v>
      </c>
      <c r="DJ279" s="4">
        <f>CV279</f>
        <v>0.76487499850326324</v>
      </c>
      <c r="DK279" s="4">
        <f>CX279</f>
        <v>1.480786619334987</v>
      </c>
      <c r="DL279" s="4">
        <f>DA279</f>
        <v>1.2530999155051654</v>
      </c>
      <c r="DM279" s="4">
        <f>CY279</f>
        <v>1.2826380649004223</v>
      </c>
      <c r="DN279" s="4">
        <f>CZ279</f>
        <v>0.94032104183423759</v>
      </c>
      <c r="DQ279" s="4">
        <f>L279</f>
        <v>309.11799999999999</v>
      </c>
      <c r="DT279" s="4">
        <f>K279/4/(1-0.3*(M279/30)^0.5)/200000/N279</f>
        <v>3.0370493651455761E-5</v>
      </c>
      <c r="DU279" s="4">
        <f>EP279</f>
        <v>13.651370648787429</v>
      </c>
      <c r="DV279" s="4">
        <f>EC279*AG279/257/M279/AD279</f>
        <v>8.3469982475924437E-2</v>
      </c>
      <c r="DW279" s="4">
        <f>DU279*DV279^0.4</f>
        <v>5.0557825579985671</v>
      </c>
      <c r="DX279" s="4">
        <f>MIN(DU279, DU279/1.4*(1-DV279^1.4)/(1-DV279))</f>
        <v>10.310132716662258</v>
      </c>
      <c r="DY279" s="4">
        <f>MAX(DU279/2, (4-DT279*(8*AG279*(DW279-DX279)+6*K279*DX279))/(4+DT279*K279*DU279)*DU279)</f>
        <v>11.549230957133011</v>
      </c>
      <c r="DZ279" s="38">
        <f>MIN(1/N279*(4*AG279*(DW279-DX279)+(3*DX279+DY279)*K279)+EC279 -FJ279,MAX(J279,AJ279))</f>
        <v>596.83028465145492</v>
      </c>
      <c r="EA279" s="4">
        <f>DZ279/FF279</f>
        <v>1.0000824264494426</v>
      </c>
      <c r="EB279" s="4">
        <f>AG279/N279</f>
        <v>2.2583179581272428</v>
      </c>
      <c r="EC279" s="4">
        <f>MIN(EB$10*BB279)</f>
        <v>127.31717170420291</v>
      </c>
      <c r="EG279" s="4">
        <f>IF(U279&gt;1*N279,0.85,1)</f>
        <v>0.85</v>
      </c>
      <c r="EH279" s="4">
        <f>MIN(1,MAX(0.7,(1-0.1*(BZ279-1*N279)/N279)))</f>
        <v>0.92499999999999993</v>
      </c>
      <c r="EI279" s="4">
        <f>MIN(1,MAX(0.7,1-0.3*(PI()*AM279^2/4*AQ279*2-0.25*PI()/4*N279^2)/(PI()/4*N279^2)))</f>
        <v>0.77500000000000002</v>
      </c>
      <c r="EJ279" s="4">
        <f>IF(EH279*EI279&lt;0.7,0.7,EH279*EI279)</f>
        <v>0.71687499999999993</v>
      </c>
      <c r="EL279" s="4">
        <f>MIN(DU279/N279*3*K279+EM279-FJ279,MAX(J279,AJ279))</f>
        <v>814.10200061678279</v>
      </c>
      <c r="EM279" s="25">
        <f>13.3*Q279*K279^0.5*M279^0.5/X279/N279^2*(0.7+S279/5/K279)</f>
        <v>315.69045822955366</v>
      </c>
      <c r="EO279" s="4">
        <f>EG279*EJ279</f>
        <v>0.60934374999999996</v>
      </c>
      <c r="EP279" s="4">
        <f>IF(N279&lt;22.2,1.1*5*(M279/30)^0.5,IF(N279&gt;=31.8,0.9*5*(M279/30)^0.5,1*5*(M279/30)^0.5))/EG279/EJ279</f>
        <v>13.651370648787429</v>
      </c>
      <c r="ES279" s="4">
        <f>ET279*N279</f>
        <v>57.361276136431961</v>
      </c>
      <c r="ET279" s="4">
        <f>AF279^0.5</f>
        <v>2.2583179581272428</v>
      </c>
      <c r="EU279" s="4">
        <f>MIN(EC279)/(4700*M279^0.5)/AE279*ES279</f>
        <v>4.1590565943160733E-2</v>
      </c>
      <c r="EX279" s="4">
        <f>EU279</f>
        <v>4.1590565943160733E-2</v>
      </c>
      <c r="EY279" s="4">
        <f>MIN(0.999, EX279/(0.3*(M279/30)^0.5))</f>
        <v>8.3330686631862119E-2</v>
      </c>
      <c r="EZ279" s="4">
        <f>EP279/1*EY279^0.4</f>
        <v>5.0524060033598497</v>
      </c>
      <c r="FA279" s="4">
        <f>EP279/1.4*(1-EY279^1.4)/(1-EY279)</f>
        <v>10.30933401612717</v>
      </c>
      <c r="FB279" s="4">
        <f>MAX(0,DQ279*FB$9-ES279)</f>
        <v>174.47722386356804</v>
      </c>
      <c r="FC279" s="4">
        <f>MAX(0,DQ279-ES279-FB279)</f>
        <v>77.279499999999985</v>
      </c>
      <c r="FD279" s="4">
        <f>FC279/(1-0.3*(M279/30)^0.5)/200000/N279</f>
        <v>3.0370493651455758E-5</v>
      </c>
      <c r="FE279" s="4">
        <f>MAX(0.5*EP279, (1-2*FD279*(ES279*EZ279+FB279*FA279))/(1/EP279+FD279*FC279))</f>
        <v>11.549498538621686</v>
      </c>
      <c r="FF279" s="4">
        <f>MIN(4/N279*(1*EZ279*ES279+FA279*FB279+FC279*FE279)+EC279,MAX(J279,AJ279))</f>
        <v>596.78109410477339</v>
      </c>
      <c r="FO279" s="23">
        <f>IF(CU279&lt;0.6,0.6,IF(CU279&lt;0.8,0.8,IF(CU279&lt;1,1,IF(CU279&lt;1.2,1.2,IF(CU279&lt;1.4,1.4,IF(CU279&lt;1.6,1.6,IF(CU279&lt;1.8,1.8,IF(CU279&lt;2,2,2.2))))))))</f>
        <v>1.4</v>
      </c>
      <c r="FP279" s="23">
        <f>IF(CV279&lt;0.6,0.6,IF(CV279&lt;0.8,0.8,IF(CV279&lt;1,1,IF(CV279&lt;1.2,1.2,IF(CV279&lt;1.4,1.4,IF(CV279&lt;1.6,1.6,IF(CV279&lt;1.8,1.8,IF(CV279&lt;2,2,2.2))))))))</f>
        <v>0.8</v>
      </c>
      <c r="FQ279" s="23">
        <f>IF(DA279&lt;0.6,0.6,IF(DA279&lt;0.8,0.8,IF(DA279&lt;1,1,IF(DA279&lt;1.2,1.2,IF(DA279&lt;1.4,1.4,IF(DA279&lt;1.6,1.6,IF(DA279&lt;1.8,1.8,IF(DA279&lt;2,2,2.2))))))))</f>
        <v>1.4</v>
      </c>
      <c r="FR279" s="23">
        <f>IF(CX279&lt;0.6,0.6,IF(CX279&lt;0.8,0.8,IF(CX279&lt;1,1,IF(CX279&lt;1.2,1.2,IF(CX279&lt;1.4,1.4,IF(CX279&lt;1.6,1.6,IF(CX279&lt;1.8,1.8,IF(CX279&lt;2,2,2.2))))))))</f>
        <v>1.6</v>
      </c>
      <c r="FS279" s="23">
        <f>IF(CY279&lt;0.6,0.6,IF(CY279&lt;0.8,0.8,IF(CY279&lt;1,1,IF(CY279&lt;1.2,1.2,IF(CY279&lt;1.4,1.4,IF(CY279&lt;1.6,1.6,IF(CY279&lt;1.8,1.8,IF(CY279&lt;2,2,2.2))))))))</f>
        <v>1.4</v>
      </c>
      <c r="FT279" s="23">
        <f>IF(CZ279&lt;0.6,0.6,IF(CZ279&lt;0.8,0.8,IF(CZ279&lt;1,1,IF(CZ279&lt;1.2,1.2,IF(CZ279&lt;1.4,1.4,IF(CZ279&lt;1.6,1.6,IF(CZ279&lt;1.8,1.8,IF(CZ279&lt;2,2,2.2))))))))</f>
        <v>1</v>
      </c>
      <c r="FU279" s="23">
        <f>IF(FS279&lt;1,1,0)</f>
        <v>0</v>
      </c>
      <c r="FV279" s="23"/>
      <c r="GF279" s="4">
        <f>IF(S279&gt;=2.5*25.4,1,1.25)</f>
        <v>1</v>
      </c>
      <c r="GG279" s="4">
        <f>IF(AO279&gt;1, 0.05*(18-MIN(8,(W279+N279)/N279))*(1-48000/MAX(60000,(J279*145))*(N279/25.4)^0.75*GH279), 1/12*(14-MIN(8,(W279+N279)/N279)))</f>
        <v>0.59965116279069774</v>
      </c>
      <c r="GH279" s="4">
        <f>MIN(0.3, AM279^2*PI()/4*2*AP279/(N279^2*PI()/4*X279))</f>
        <v>0.3</v>
      </c>
      <c r="GI279" s="4">
        <f>(K279/25.4)/(N279/25.4)^1.5/0.0024*(M279*145)^0.25/GF279/GG279/145</f>
        <v>610.89880536038936</v>
      </c>
    </row>
    <row r="280" spans="1:191" ht="12" customHeight="1" x14ac:dyDescent="0.3">
      <c r="A280" s="25">
        <v>326</v>
      </c>
      <c r="B280" s="4" t="s">
        <v>605</v>
      </c>
      <c r="C280" s="4">
        <v>2016</v>
      </c>
      <c r="D280" s="4" t="s">
        <v>309</v>
      </c>
      <c r="E280" s="24" t="s">
        <v>670</v>
      </c>
      <c r="F280" s="24"/>
      <c r="G280" s="24">
        <v>16</v>
      </c>
      <c r="H280" s="7" t="s">
        <v>488</v>
      </c>
      <c r="I280" s="5">
        <f>K280/N280</f>
        <v>12.17</v>
      </c>
      <c r="J280" s="38">
        <f>129/0.145</f>
        <v>889.65517241379314</v>
      </c>
      <c r="K280" s="89">
        <f>12.17*25.4</f>
        <v>309.11799999999999</v>
      </c>
      <c r="L280" s="4">
        <f>K280</f>
        <v>309.11799999999999</v>
      </c>
      <c r="M280" s="89">
        <f>12360/145</f>
        <v>85.241379310344826</v>
      </c>
      <c r="N280" s="96">
        <f>1*25.4</f>
        <v>25.4</v>
      </c>
      <c r="O280" s="7">
        <f>K280/N280</f>
        <v>12.17</v>
      </c>
      <c r="P280" s="7">
        <f>L280/N280</f>
        <v>12.17</v>
      </c>
      <c r="Q280" s="38">
        <f>15*25.4</f>
        <v>381</v>
      </c>
      <c r="R280" s="32">
        <f>S280/N280</f>
        <v>2.5</v>
      </c>
      <c r="S280" s="38">
        <f>2.5*25.4</f>
        <v>63.5</v>
      </c>
      <c r="T280" s="32">
        <f>U280/N280</f>
        <v>2.9999999999999996</v>
      </c>
      <c r="U280" s="39">
        <f>3*25.4</f>
        <v>76.199999999999989</v>
      </c>
      <c r="V280" s="32">
        <f>W280/N280</f>
        <v>1.9999999999999998</v>
      </c>
      <c r="W280" s="7">
        <f>(Q280-X280*N280-2*S280)/(X280-1)</f>
        <v>50.79999999999999</v>
      </c>
      <c r="X280" s="38">
        <v>4</v>
      </c>
      <c r="Y280" s="7">
        <f>AN280</f>
        <v>0</v>
      </c>
      <c r="Z280" s="32">
        <f>AA280/N280</f>
        <v>10.25</v>
      </c>
      <c r="AA280" s="4">
        <f>10.25*25.4</f>
        <v>260.34999999999997</v>
      </c>
      <c r="AB280" s="7">
        <f>MIN(S280/N280+0.5, W280/2/N280+0.5)</f>
        <v>1.5</v>
      </c>
      <c r="AC280" s="7">
        <f>S280/N280+0.5</f>
        <v>3</v>
      </c>
      <c r="AD280" s="38">
        <v>9.1</v>
      </c>
      <c r="AE280" s="4">
        <f>AD280</f>
        <v>9.1</v>
      </c>
      <c r="AF280" s="4">
        <f>AE280+1</f>
        <v>10.1</v>
      </c>
      <c r="AG280" s="7">
        <f>N280*AF280^0.5</f>
        <v>80.72246279691916</v>
      </c>
      <c r="AJ280" s="38">
        <f>AK280/0.145</f>
        <v>439.31034482758628</v>
      </c>
      <c r="AK280" s="4">
        <v>63.7</v>
      </c>
      <c r="AL280" s="4">
        <f>CY280</f>
        <v>1.0680010435748619</v>
      </c>
      <c r="AM280" s="38">
        <v>0</v>
      </c>
      <c r="AN280" s="38">
        <v>0</v>
      </c>
      <c r="AO280" s="39">
        <f>L280</f>
        <v>309.11799999999999</v>
      </c>
      <c r="AP280" s="39"/>
      <c r="AQ280" s="39"/>
      <c r="AR280" s="7"/>
      <c r="AS280" s="4">
        <f>K280</f>
        <v>309.11799999999999</v>
      </c>
      <c r="AT280" s="4">
        <f>IF(K280*3&gt;W280+N280, Q280, (S280+N280/2)*2+1.5*K280*(2*X280-2))*(3*K280)/(9*K280^2)</f>
        <v>0.41084634346754317</v>
      </c>
      <c r="AU280" s="4">
        <f>MIN(10*M280^0.5*K280^1.5,100*3.9*M280^0.5*K280^(5/3))/(PI()/4*N280^2)/X280</f>
        <v>247.56792156546703</v>
      </c>
      <c r="AV280" s="4">
        <f>MIN(0.7+0.3*(MIN(S280,AA280)+0.5*N280)/1.5/K280,1)</f>
        <v>0.74930156121610514</v>
      </c>
      <c r="AW280" s="4">
        <v>1.25</v>
      </c>
      <c r="AX280" s="4">
        <f>AX279</f>
        <v>1</v>
      </c>
      <c r="AY280" s="38">
        <f>AT280*AV280*AW280*AX280*AU280</f>
        <v>95.266552041922097</v>
      </c>
      <c r="AZ280" s="38">
        <f>AY280</f>
        <v>95.266552041922097</v>
      </c>
      <c r="BA280" s="38">
        <f>IF(M280&lt;50, 0.3*M280^(2/3), 2.12*LN(1+0.1*(M280+8)))</f>
        <v>4.9491074410379952</v>
      </c>
      <c r="BB280" s="38">
        <f>AX280* (M280^0.5/AS280^0.5)/(PI()/4*N280^2)/X280/0.72 *(0.7+(MIN(S280,AA280)+0.5*N280)/5/K280) *(3*Q280*K280)</f>
        <v>95.266552041922012</v>
      </c>
      <c r="BC280" s="38">
        <f>AY280/BB280</f>
        <v>1.0000000000000009</v>
      </c>
      <c r="BD280" s="38">
        <f>BH280/BB280</f>
        <v>11.336526508499942</v>
      </c>
      <c r="BE280" s="4">
        <f>IF(BD280&lt;1,1,0)</f>
        <v>0</v>
      </c>
      <c r="BF280" s="4">
        <f>L280/N280*M280^0.5/0.19</f>
        <v>591.37397938540164</v>
      </c>
      <c r="BG280" s="4">
        <f>MIN(0.6+0.4*(AC280/AB280),2)</f>
        <v>1.4</v>
      </c>
      <c r="BH280" s="38">
        <f>2*M280*AB280*AD280^0.5*BG280*0.7/0.7</f>
        <v>1079.9917925966381</v>
      </c>
      <c r="BI280" s="4">
        <f>MAX(1-0.7*AE280/5,0.3)</f>
        <v>0.3</v>
      </c>
      <c r="BJ280" s="4">
        <f>BI280*J280*L280/(J280*N280/2.75/M280^0.5)</f>
        <v>92.6978712686617</v>
      </c>
      <c r="BK280" s="4">
        <f>BH280+BJ280</f>
        <v>1172.6896638652997</v>
      </c>
      <c r="BM280" s="4">
        <f>MIN(1.5, 0.75+0.25*MIN(3,MAX(1,S280/N280))+0.4*MIN(1,(40*2*PI()*AM280^2/4/AO280/X280)/N280))</f>
        <v>1.375</v>
      </c>
      <c r="BN280" s="4">
        <f>(3*P280+30)*BM280*M280^0.5</f>
        <v>844.33517092285524</v>
      </c>
      <c r="BP280" s="4">
        <f>3.4/PI()^0.5*M280*AB280*AE280^0.5*BG280</f>
        <v>1035.8442034901566</v>
      </c>
      <c r="BQ280" s="4">
        <f>8/3*AH280*AI280^2/(AG280-N280-22)/N280*(AG280^2-N280^2)/(AG280^2-(N280+22)^2)</f>
        <v>0</v>
      </c>
      <c r="BR280" s="4">
        <f>BQ280/BP280</f>
        <v>0</v>
      </c>
      <c r="BZ280" s="4">
        <f>IF(W280=0,S280,MIN(W280/2,S280))</f>
        <v>25.399999999999995</v>
      </c>
      <c r="CD280" s="9"/>
      <c r="CF280" s="9"/>
      <c r="CG280" s="9"/>
      <c r="CH280" s="9">
        <f>IF(W280=0,MIN(S280,U280),MIN(W280/2,S280,U280))</f>
        <v>25.399999999999995</v>
      </c>
      <c r="CI280" s="9">
        <f>MAX(W280/2,S280)</f>
        <v>63.5</v>
      </c>
      <c r="CJ280" s="9">
        <f>(CH280/N280)^0.5*(CI280/CH280)^0.15</f>
        <v>1.1473370055629852</v>
      </c>
      <c r="CK280" s="70">
        <f>IF(AO280&gt;1,20,0)</f>
        <v>20</v>
      </c>
      <c r="CL280" s="9">
        <f>MIN(PI()*AM280^2/4*AN280*2/X280/N280/MAX(0.01,AO280),0.05)</f>
        <v>0</v>
      </c>
      <c r="CM280" s="9">
        <f>MAX(0,CK280*(CL280-0.5/50))</f>
        <v>0</v>
      </c>
      <c r="CN280" s="9">
        <f>MIN(1,(25/N280)^0.3)</f>
        <v>0.99524931562137331</v>
      </c>
      <c r="CO280" s="9">
        <f>IF(J280&gt;=800,0.68,IF(J280&gt;=700,0.75-(J280-700)*0.07/100,IF(J280&gt;=600,0.85-(J280-600)*0.1/100,IF(J280&gt;=500,1-(J280-500)*0.15/100,1.2-(J280-400)*0.2/100))))</f>
        <v>0.68</v>
      </c>
      <c r="CP280" s="9">
        <f>1.75*CN280*CO280*(M280/25)^0.5</f>
        <v>2.1869259549958526</v>
      </c>
      <c r="CQ280" s="9">
        <f>MIN((CJ280+CM280)*CP280,2.5*CP280,M280^0.5)</f>
        <v>2.5091410765929134</v>
      </c>
      <c r="CR280" s="40">
        <v>1</v>
      </c>
      <c r="CS280" s="9">
        <f>4*CQ280*P280+60*CQ280</f>
        <v>272.69345220411782</v>
      </c>
      <c r="CU280" s="4">
        <f>AJ280/BF280</f>
        <v>0.74286383936633327</v>
      </c>
      <c r="CV280" s="4">
        <f>AJ280/BK280</f>
        <v>0.37461773422610073</v>
      </c>
      <c r="CW280" s="4">
        <f>AJ280/BN280</f>
        <v>0.52030326339174249</v>
      </c>
      <c r="CX280" s="4">
        <f>AJ280/CS280</f>
        <v>1.6110043760740964</v>
      </c>
      <c r="CY280" s="4">
        <f>AJ280/DZ280</f>
        <v>1.0680010435748619</v>
      </c>
      <c r="CZ280" s="4">
        <f>AJ280/EL280</f>
        <v>0.73435132953628823</v>
      </c>
      <c r="DA280" s="4">
        <f>AJ280/GI280</f>
        <v>0.89354564303152395</v>
      </c>
      <c r="DB280" s="4">
        <f>AN280</f>
        <v>0</v>
      </c>
      <c r="DC280" s="4">
        <f>CU280</f>
        <v>0.74286383936633327</v>
      </c>
      <c r="DD280" s="4">
        <f>CV280</f>
        <v>0.37461773422610073</v>
      </c>
      <c r="DE280" s="4">
        <f>CX280</f>
        <v>1.6110043760740964</v>
      </c>
      <c r="DF280" s="4">
        <f>DA280</f>
        <v>0.89354564303152395</v>
      </c>
      <c r="DG280" s="4">
        <f>CY280</f>
        <v>1.0680010435748619</v>
      </c>
      <c r="DH280" s="4">
        <f>CZ280</f>
        <v>0.73435132953628823</v>
      </c>
      <c r="DQ280" s="4">
        <f>L280</f>
        <v>309.11799999999999</v>
      </c>
      <c r="DT280" s="4">
        <f>K280/4/(1-0.3*(M280/30)^0.5)/200000/N280</f>
        <v>3.0775330482386827E-5</v>
      </c>
      <c r="DU280" s="4">
        <f>EP280</f>
        <v>9.9155243530194994</v>
      </c>
      <c r="DV280" s="4">
        <f>EC280*AG280/257/M280/AD280</f>
        <v>3.8575349232626531E-2</v>
      </c>
      <c r="DW280" s="4">
        <f>DU280*DV280^0.4</f>
        <v>2.6967434473093426</v>
      </c>
      <c r="DX280" s="4">
        <f>MIN(DU280, DU280/1.4*(1-DV280^1.4)/(1-DV280))</f>
        <v>7.2894030785590438</v>
      </c>
      <c r="DY280" s="4">
        <f>MAX(DU280/2, (4-DT280*(8*AG280*(DW280-DX280)+6*K280*DX280))/(4+DT280*K280*DU280)*DU280)</f>
        <v>8.9004943604091142</v>
      </c>
      <c r="DZ280" s="38">
        <f>MIN(1/N280*(4*AG280*(DW280-DX280)+(3*DX280+DY280)*K280)+EC280 -FJ280,MAX(J280,AJ280))</f>
        <v>411.33887225157252</v>
      </c>
      <c r="EA280" s="4">
        <f>DZ280/FF280</f>
        <v>1.0000700741237398</v>
      </c>
      <c r="EB280" s="4">
        <f>AG280/N280</f>
        <v>3.1780497164141401</v>
      </c>
      <c r="EC280" s="4">
        <f>MIN(EB$10*BB280)</f>
        <v>95.266552041922012</v>
      </c>
      <c r="EG280" s="4">
        <f>IF(U280&gt;1*N280,0.85,1)</f>
        <v>0.85</v>
      </c>
      <c r="EH280" s="4">
        <f>MIN(1,MAX(0.7,(1-0.1*(BZ280-1*N280)/N280)))</f>
        <v>1</v>
      </c>
      <c r="EI280" s="4">
        <f>MIN(1,MAX(0.7,1-0.3*(PI()*AM280^2/4*AQ280*2-0.25*PI()/4*N280^2)/(PI()/4*N280^2)))</f>
        <v>1</v>
      </c>
      <c r="EJ280" s="4">
        <f>IF(EH280*EI280&lt;0.7,0.7,EH280*EI280)</f>
        <v>1</v>
      </c>
      <c r="EL280" s="4">
        <f>MIN(DU280/N280*3*K280+EM280-FJ280,MAX(J280,AJ280))</f>
        <v>598.22911344763565</v>
      </c>
      <c r="EM280" s="25">
        <f>13.3*Q280*K280^0.5*M280^0.5/X280/N280^2*(0.7+S280/5/K280)</f>
        <v>236.21331931889364</v>
      </c>
      <c r="EO280" s="4">
        <f>EG280*EJ280</f>
        <v>0.85</v>
      </c>
      <c r="EP280" s="4">
        <f>IF(N280&lt;22.2,1.1*5*(M280/30)^0.5,IF(N280&gt;=31.8,0.9*5*(M280/30)^0.5,1*5*(M280/30)^0.5))/EG280/EJ280</f>
        <v>9.9155243530194994</v>
      </c>
      <c r="ES280" s="4">
        <f>ET280*N280</f>
        <v>80.72246279691916</v>
      </c>
      <c r="ET280" s="4">
        <f>AF280^0.5</f>
        <v>3.1780497164141406</v>
      </c>
      <c r="EU280" s="4">
        <f>MIN(EC280)/(4700*M280^0.5)/AE280*ES280</f>
        <v>1.9474681611377793E-2</v>
      </c>
      <c r="EX280" s="4">
        <f>EU280</f>
        <v>1.9474681611377793E-2</v>
      </c>
      <c r="EY280" s="4">
        <f>MIN(0.999, EX280/(0.3*(M280/30)^0.5))</f>
        <v>3.8510974164225054E-2</v>
      </c>
      <c r="EZ280" s="4">
        <f>EP280/1*EY280^0.4</f>
        <v>2.6949424003908904</v>
      </c>
      <c r="FA280" s="4">
        <f>EP280/1.4*(1-EY280^1.4)/(1-EY280)</f>
        <v>7.2890955235776174</v>
      </c>
      <c r="FB280" s="4">
        <f>MAX(0,DQ280*FB$9-ES280)</f>
        <v>151.11603720308085</v>
      </c>
      <c r="FC280" s="4">
        <f>MAX(0,DQ280-ES280-FB280)</f>
        <v>77.279499999999985</v>
      </c>
      <c r="FD280" s="4">
        <f>FC280/(1-0.3*(M280/30)^0.5)/200000/N280</f>
        <v>3.0775330482386821E-5</v>
      </c>
      <c r="FE280" s="4">
        <f>MAX(0.5*EP280, (1-2*FD280*(ES280*EZ280+FB280*FA280))/(1/EP280+FD280*FC280))</f>
        <v>8.9006087570842425</v>
      </c>
      <c r="FF280" s="4">
        <f>MIN(4/N280*(1*EZ280*ES280+FA280*FB280+FC280*FE280)+EC280,MAX(J280,AJ280))</f>
        <v>411.31005006022917</v>
      </c>
      <c r="FO280" s="23">
        <f>IF(CU280&lt;0.6,0.6,IF(CU280&lt;0.8,0.8,IF(CU280&lt;1,1,IF(CU280&lt;1.2,1.2,IF(CU280&lt;1.4,1.4,IF(CU280&lt;1.6,1.6,IF(CU280&lt;1.8,1.8,IF(CU280&lt;2,2,2.2))))))))</f>
        <v>0.8</v>
      </c>
      <c r="FP280" s="23">
        <f>IF(CV280&lt;0.6,0.6,IF(CV280&lt;0.8,0.8,IF(CV280&lt;1,1,IF(CV280&lt;1.2,1.2,IF(CV280&lt;1.4,1.4,IF(CV280&lt;1.6,1.6,IF(CV280&lt;1.8,1.8,IF(CV280&lt;2,2,2.2))))))))</f>
        <v>0.6</v>
      </c>
      <c r="FQ280" s="23">
        <f>IF(DA280&lt;0.6,0.6,IF(DA280&lt;0.8,0.8,IF(DA280&lt;1,1,IF(DA280&lt;1.2,1.2,IF(DA280&lt;1.4,1.4,IF(DA280&lt;1.6,1.6,IF(DA280&lt;1.8,1.8,IF(DA280&lt;2,2,2.2))))))))</f>
        <v>1</v>
      </c>
      <c r="FR280" s="23">
        <f>IF(CX280&lt;0.6,0.6,IF(CX280&lt;0.8,0.8,IF(CX280&lt;1,1,IF(CX280&lt;1.2,1.2,IF(CX280&lt;1.4,1.4,IF(CX280&lt;1.6,1.6,IF(CX280&lt;1.8,1.8,IF(CX280&lt;2,2,2.2))))))))</f>
        <v>1.8</v>
      </c>
      <c r="FS280" s="23">
        <f>IF(CY280&lt;0.6,0.6,IF(CY280&lt;0.8,0.8,IF(CY280&lt;1,1,IF(CY280&lt;1.2,1.2,IF(CY280&lt;1.4,1.4,IF(CY280&lt;1.6,1.6,IF(CY280&lt;1.8,1.8,IF(CY280&lt;2,2,2.2))))))))</f>
        <v>1.2</v>
      </c>
      <c r="FT280" s="23">
        <f>IF(CZ280&lt;0.6,0.6,IF(CZ280&lt;0.8,0.8,IF(CZ280&lt;1,1,IF(CZ280&lt;1.2,1.2,IF(CZ280&lt;1.4,1.4,IF(CZ280&lt;1.6,1.6,IF(CZ280&lt;1.8,1.8,IF(CZ280&lt;2,2,2.2))))))))</f>
        <v>0.8</v>
      </c>
      <c r="FU280" s="23">
        <f>IF(FS280&lt;1,1,0)</f>
        <v>0</v>
      </c>
      <c r="FV280" s="23"/>
      <c r="GF280" s="4">
        <f>IF(S280&gt;=2.5*25.4,1,1.25)</f>
        <v>1</v>
      </c>
      <c r="GG280" s="4">
        <f>IF(AO280&gt;1, 0.05*(18-MIN(8,(W280+N280)/N280))*(1-48000/MAX(60000,(J280*145))*(N280/25.4)^0.75*GH280), 1/12*(14-MIN(8,(W280+N280)/N280)))</f>
        <v>0.75</v>
      </c>
      <c r="GH280" s="4">
        <f>MIN(0.3, AM280^2*PI()/4*2*AP280/(N280^2*PI()/4*X280))</f>
        <v>0</v>
      </c>
      <c r="GI280" s="4">
        <f>(K280/25.4)/(N280/25.4)^1.5/0.0024*(M280*145)^0.25/GF280/GG280/145</f>
        <v>491.64846614566011</v>
      </c>
    </row>
    <row r="281" spans="1:191" ht="12" customHeight="1" x14ac:dyDescent="0.3">
      <c r="A281" s="25">
        <v>387</v>
      </c>
      <c r="B281" s="4" t="s">
        <v>605</v>
      </c>
      <c r="C281" s="4">
        <v>2016</v>
      </c>
      <c r="D281" s="4" t="s">
        <v>309</v>
      </c>
      <c r="E281" s="14" t="s">
        <v>675</v>
      </c>
      <c r="F281" s="14"/>
      <c r="G281" s="14">
        <v>15</v>
      </c>
      <c r="H281" s="7" t="s">
        <v>554</v>
      </c>
      <c r="I281" s="5">
        <f>K281/N281</f>
        <v>8.6028368794326244</v>
      </c>
      <c r="J281" s="90">
        <f>135/0.145</f>
        <v>931.0344827586207</v>
      </c>
      <c r="K281" s="89">
        <f>12.13*25.4</f>
        <v>308.10199999999998</v>
      </c>
      <c r="L281" s="4">
        <f>K281</f>
        <v>308.10199999999998</v>
      </c>
      <c r="M281" s="44">
        <f>3960/145</f>
        <v>27.310344827586206</v>
      </c>
      <c r="N281" s="38">
        <f>1.41*25.4</f>
        <v>35.813999999999993</v>
      </c>
      <c r="O281" s="7">
        <f>K281/N281</f>
        <v>8.6028368794326244</v>
      </c>
      <c r="P281" s="7">
        <f>L281/N281</f>
        <v>8.6028368794326244</v>
      </c>
      <c r="Q281" s="38">
        <f>21.7*25.4</f>
        <v>551.17999999999995</v>
      </c>
      <c r="R281" s="32">
        <f>S281/N281</f>
        <v>1.8794326241134751</v>
      </c>
      <c r="S281" s="38">
        <f>2.65*25.4</f>
        <v>67.309999999999988</v>
      </c>
      <c r="T281" s="32">
        <f>U281/N281</f>
        <v>2.3404255319148941</v>
      </c>
      <c r="U281" s="39">
        <f>3.3*25.4</f>
        <v>83.82</v>
      </c>
      <c r="V281" s="32">
        <f>W281/N281</f>
        <v>9.6312056737588669</v>
      </c>
      <c r="W281" s="7">
        <f>(Q281-X281*N281-2*S281)/(X281-1)</f>
        <v>344.93200000000002</v>
      </c>
      <c r="X281" s="38">
        <v>2</v>
      </c>
      <c r="Y281" s="7">
        <f>AN281</f>
        <v>0</v>
      </c>
      <c r="Z281" s="32">
        <f>AA281/N281</f>
        <v>14.18439716312057</v>
      </c>
      <c r="AA281" s="4">
        <f>20*25.4</f>
        <v>508</v>
      </c>
      <c r="AB281" s="7">
        <f>MIN(S281/N281+0.5, W281/2/N281+0.5)</f>
        <v>2.3794326241134751</v>
      </c>
      <c r="AC281" s="7">
        <f>S281/N281+0.5</f>
        <v>2.3794326241134751</v>
      </c>
      <c r="AD281" s="38">
        <v>8.6</v>
      </c>
      <c r="AE281" s="4">
        <f>AD281</f>
        <v>8.6</v>
      </c>
      <c r="AF281" s="4">
        <f>AE281+1</f>
        <v>9.6</v>
      </c>
      <c r="AG281" s="7">
        <f>N281*AF281^0.5</f>
        <v>110.96562044885792</v>
      </c>
      <c r="AJ281" s="38">
        <f>AK281/0.145</f>
        <v>282.06896551724139</v>
      </c>
      <c r="AK281" s="4">
        <v>40.9</v>
      </c>
      <c r="AL281" s="4">
        <f>CY281</f>
        <v>1.3131143007808823</v>
      </c>
      <c r="AM281" s="38">
        <v>0</v>
      </c>
      <c r="AN281" s="38">
        <v>0</v>
      </c>
      <c r="AO281" s="39">
        <f>L281</f>
        <v>308.10199999999998</v>
      </c>
      <c r="AP281" s="39"/>
      <c r="AQ281" s="39"/>
      <c r="AR281" s="7"/>
      <c r="AS281" s="4">
        <f>K281</f>
        <v>308.10199999999998</v>
      </c>
      <c r="AT281" s="4">
        <f>IF(K281*3&gt;W281+N281, Q281, (S281+N281/2)*2+1.5*K281*(2*X281-2))*(3*K281)/(9*K281^2)</f>
        <v>0.59631766968947519</v>
      </c>
      <c r="AU281" s="4">
        <f>MIN(10*M281^0.5*K281^1.5,100*3.9*M281^0.5*K281^(5/3))/(PI()/4*N281^2)/X281</f>
        <v>140.27485630559957</v>
      </c>
      <c r="AV281" s="4">
        <f>MIN(0.7+0.3*(MIN(S281,AA281)+0.5*N281)/1.5/K281,1)</f>
        <v>0.75531739488870564</v>
      </c>
      <c r="AW281" s="4">
        <v>1.25</v>
      </c>
      <c r="AX281" s="4">
        <f>AX280</f>
        <v>1</v>
      </c>
      <c r="AY281" s="38">
        <f>AT281*AV281*AW281*AX281*AU281</f>
        <v>78.976341268857723</v>
      </c>
      <c r="AZ281" s="38">
        <f>AY281</f>
        <v>78.976341268857723</v>
      </c>
      <c r="BA281" s="38">
        <f>IF(M281&lt;50, 0.3*M281^(2/3), 2.12*LN(1+0.1*(M281+8)))</f>
        <v>2.7206502209498358</v>
      </c>
      <c r="BB281" s="38">
        <f>AX281* (M281^0.5/AS281^0.5)/(PI()/4*N281^2)/X281/0.72 *(0.7+(MIN(S281,AA281)+0.5*N281)/5/K281) *(3*Q281*K281)</f>
        <v>78.976341268857837</v>
      </c>
      <c r="BC281" s="38">
        <f>AY281/BB281</f>
        <v>0.99999999999999856</v>
      </c>
      <c r="BD281" s="38">
        <f>BH281/BB281</f>
        <v>4.8259498718411633</v>
      </c>
      <c r="BE281" s="4">
        <f>IF(BD281&lt;1,1,0)</f>
        <v>0</v>
      </c>
      <c r="BF281" s="4">
        <f>L281/N281*M281^0.5/0.19</f>
        <v>236.62012481140215</v>
      </c>
      <c r="BG281" s="4">
        <f>MIN(0.6+0.4*(AC281/AB281),2)</f>
        <v>1</v>
      </c>
      <c r="BH281" s="38">
        <f>2*M281*AB281*AD281^0.5*BG281*0.7/0.7</f>
        <v>381.13586402492842</v>
      </c>
      <c r="BI281" s="4">
        <f>MAX(1-0.7*AE281/5,0.3)</f>
        <v>0.3</v>
      </c>
      <c r="BJ281" s="4">
        <f>BI281*J281*L281/(J281*N281/2.75/M281^0.5)</f>
        <v>37.090204564187296</v>
      </c>
      <c r="BK281" s="4">
        <f>BH281+BJ281</f>
        <v>418.2260685891157</v>
      </c>
      <c r="BM281" s="4">
        <f>MIN(1.5, 0.75+0.25*MIN(3,MAX(1,S281/N281))+0.4*MIN(1,(40*2*PI()*AM281^2/4/AO281/X281)/N281))</f>
        <v>1.2198581560283688</v>
      </c>
      <c r="BN281" s="4">
        <f>(3*P281+30)*BM281*M281^0.5</f>
        <v>355.77330542506638</v>
      </c>
      <c r="BP281" s="4">
        <f>3.4/PI()^0.5*M281*AB281*AE281^0.5*BG281</f>
        <v>365.55590347887568</v>
      </c>
      <c r="BQ281" s="4">
        <f>8/3*AH281*AI281^2/(AG281-N281-22)/N281*(AG281^2-N281^2)/(AG281^2-(N281+22)^2)</f>
        <v>0</v>
      </c>
      <c r="BR281" s="4">
        <f>BQ281/BP281</f>
        <v>0</v>
      </c>
      <c r="BZ281" s="4">
        <f>IF(W281=0,S281,MIN(W281/2,S281))</f>
        <v>67.309999999999988</v>
      </c>
      <c r="CD281" s="9"/>
      <c r="CF281" s="9"/>
      <c r="CG281" s="9"/>
      <c r="CH281" s="9">
        <f>IF(W281=0,MIN(S281,U281),MIN(W281/2,S281,U281))</f>
        <v>67.309999999999988</v>
      </c>
      <c r="CI281" s="9">
        <f>MAX(W281/2,S281)</f>
        <v>172.46600000000001</v>
      </c>
      <c r="CJ281" s="9">
        <f>(CH281/N281)^0.5*(CI281/CH281)^0.15</f>
        <v>1.5787267425904519</v>
      </c>
      <c r="CK281" s="70">
        <f>IF(AO281&gt;1,20,0)</f>
        <v>20</v>
      </c>
      <c r="CL281" s="9">
        <f>MIN(PI()*AM281^2/4*AN281*2/X281/N281/MAX(0.01,AO281),0.05)</f>
        <v>0</v>
      </c>
      <c r="CM281" s="9">
        <f>MAX(0,CK281*(CL281-0.5/50))</f>
        <v>0</v>
      </c>
      <c r="CN281" s="9">
        <f>MIN(1,(25/N281)^0.3)</f>
        <v>0.89777220146327208</v>
      </c>
      <c r="CO281" s="9">
        <f>IF(J281&gt;=800,0.68,IF(J281&gt;=700,0.75-(J281-700)*0.07/100,IF(J281&gt;=600,0.85-(J281-600)*0.1/100,IF(J281&gt;=500,1-(J281-500)*0.15/100,1.2-(J281-400)*0.2/100))))</f>
        <v>0.68</v>
      </c>
      <c r="CP281" s="9">
        <f>1.75*CN281*CO281*(M281/25)^0.5</f>
        <v>1.1166233434875248</v>
      </c>
      <c r="CQ281" s="9">
        <f>MIN((CJ281+CM281)*CP281,2.5*CP281,M281^0.5)</f>
        <v>1.7628431337645192</v>
      </c>
      <c r="CR281" s="40">
        <v>1</v>
      </c>
      <c r="CS281" s="9">
        <f>4*CQ281*P281+60*CQ281</f>
        <v>166.43239572108709</v>
      </c>
      <c r="CU281" s="4">
        <f>AJ281/BF281</f>
        <v>1.1920751277688835</v>
      </c>
      <c r="CV281" s="4">
        <f>AJ281/BK281</f>
        <v>0.67444137681039384</v>
      </c>
      <c r="CW281" s="4">
        <f>AJ281/BN281</f>
        <v>0.79283341728023848</v>
      </c>
      <c r="CX281" s="4">
        <f>AJ281/CS281</f>
        <v>1.6947960419312951</v>
      </c>
      <c r="CY281" s="4">
        <f>AJ281/DZ281</f>
        <v>1.3131143007808823</v>
      </c>
      <c r="CZ281" s="4">
        <f>AJ281/EL281</f>
        <v>0.8348184273807373</v>
      </c>
      <c r="DA281" s="4">
        <f>AJ281/GI281</f>
        <v>0.85398182075671547</v>
      </c>
      <c r="DB281" s="4">
        <f>AN281</f>
        <v>0</v>
      </c>
      <c r="DC281" s="4">
        <f>CU281</f>
        <v>1.1920751277688835</v>
      </c>
      <c r="DD281" s="4">
        <f>CV281</f>
        <v>0.67444137681039384</v>
      </c>
      <c r="DE281" s="4">
        <f>CX281</f>
        <v>1.6947960419312951</v>
      </c>
      <c r="DF281" s="4">
        <f>DA281</f>
        <v>0.85398182075671547</v>
      </c>
      <c r="DG281" s="4">
        <f>CY281</f>
        <v>1.3131143007808823</v>
      </c>
      <c r="DH281" s="4">
        <f>CZ281</f>
        <v>0.8348184273807373</v>
      </c>
      <c r="DQ281" s="4">
        <f>L281</f>
        <v>308.10199999999998</v>
      </c>
      <c r="DT281" s="4">
        <f>K281/4/(1-0.3*(M281/30)^0.5)/200000/N281</f>
        <v>1.5065968235372974E-5</v>
      </c>
      <c r="DU281" s="4">
        <f>EP281</f>
        <v>5.5382772956145558</v>
      </c>
      <c r="DV281" s="4">
        <f>EC281*AG281/257/M281/AD281</f>
        <v>0.14518665444869644</v>
      </c>
      <c r="DW281" s="4">
        <f>DU281*DV281^0.4</f>
        <v>2.5594424914600014</v>
      </c>
      <c r="DX281" s="4">
        <f>MIN(DU281, DU281/1.4*(1-DV281^1.4)/(1-DV281))</f>
        <v>4.3173004040794769</v>
      </c>
      <c r="DY281" s="4">
        <f>MAX(DU281/2, (4-DT281*(8*AG281*(DW281-DX281)+6*K281*DX281))/(4+DT281*K281*DU281)*DU281)</f>
        <v>5.3698342927315803</v>
      </c>
      <c r="DZ281" s="38">
        <f>MIN(1/N281*(4*AG281*(DW281-DX281)+(3*DX281+DY281)*K281)+EC281 -FJ281,MAX(J281,AJ281))</f>
        <v>214.80914902038666</v>
      </c>
      <c r="EA281" s="4">
        <f>DZ281/FF281</f>
        <v>1.0001281035910563</v>
      </c>
      <c r="EB281" s="4">
        <f>AG281/N281</f>
        <v>3.0983866769659336</v>
      </c>
      <c r="EC281" s="4">
        <f>MIN(EB$10*BB281)</f>
        <v>78.976341268857837</v>
      </c>
      <c r="EG281" s="4">
        <f>IF(U281&gt;1*N281,0.85,1)</f>
        <v>0.85</v>
      </c>
      <c r="EH281" s="4">
        <f>MIN(1,MAX(0.7,(1-0.1*(BZ281-1*N281)/N281)))</f>
        <v>0.91205673758865247</v>
      </c>
      <c r="EI281" s="4">
        <f>MIN(1,MAX(0.7,1-0.3*(PI()*AM281^2/4*AQ281*2-0.25*PI()/4*N281^2)/(PI()/4*N281^2)))</f>
        <v>1</v>
      </c>
      <c r="EJ281" s="4">
        <f>IF(EH281*EI281&lt;0.7,0.7,EH281*EI281)</f>
        <v>0.91205673758865247</v>
      </c>
      <c r="EL281" s="4">
        <f>MIN(DU281/N281*3*K281+EM281-FJ281,MAX(J281,AJ281))</f>
        <v>337.88061722863438</v>
      </c>
      <c r="EM281" s="25">
        <f>13.3*Q281*K281^0.5*M281^0.5/X281/N281^2*(0.7+S281/5/K281)</f>
        <v>194.94592872692252</v>
      </c>
      <c r="EO281" s="4">
        <f>EG281*EJ281</f>
        <v>0.77524822695035456</v>
      </c>
      <c r="EP281" s="4">
        <f>IF(N281&lt;22.2,1.1*5*(M281/30)^0.5,IF(N281&gt;=31.8,0.9*5*(M281/30)^0.5,1*5*(M281/30)^0.5))/EG281/EJ281</f>
        <v>5.5382772956145558</v>
      </c>
      <c r="ES281" s="4">
        <f>ET281*N281</f>
        <v>110.96562044885792</v>
      </c>
      <c r="ET281" s="4">
        <f>AF281^0.5</f>
        <v>3.0983866769659336</v>
      </c>
      <c r="EU281" s="4">
        <f>MIN(EC281)/(4700*M281^0.5)/AE281*ES281</f>
        <v>4.1488291909389963E-2</v>
      </c>
      <c r="EX281" s="4">
        <f>EU281</f>
        <v>4.1488291909389963E-2</v>
      </c>
      <c r="EY281" s="4">
        <f>MIN(0.999, EX281/(0.3*(M281/30)^0.5))</f>
        <v>0.14494436498153562</v>
      </c>
      <c r="EZ281" s="4">
        <f>EP281/1*EY281^0.4</f>
        <v>2.5577331423497625</v>
      </c>
      <c r="FA281" s="4">
        <f>EP281/1.4*(1-EY281^1.4)/(1-EY281)</f>
        <v>4.3168020534650866</v>
      </c>
      <c r="FB281" s="4">
        <f>MAX(0,DQ281*FB$9-ES281)</f>
        <v>120.11087955114206</v>
      </c>
      <c r="FC281" s="4">
        <f>MAX(0,DQ281-ES281-FB281)</f>
        <v>77.025499999999994</v>
      </c>
      <c r="FD281" s="4">
        <f>FC281/(1-0.3*(M281/30)^0.5)/200000/N281</f>
        <v>1.5065968235372974E-5</v>
      </c>
      <c r="FE281" s="4">
        <f>MAX(0.5*EP281, (1-2*FD281*(ES281*EZ281+FB281*FA281))/(1/EP281+FD281*FC281))</f>
        <v>5.3698756691820169</v>
      </c>
      <c r="FF281" s="4">
        <f>MIN(4/N281*(1*EZ281*ES281+FA281*FB281+FC281*FE281)+EC281,MAX(J281,AJ281))</f>
        <v>214.78163472168586</v>
      </c>
      <c r="FO281" s="23">
        <f>IF(CU281&lt;0.6,0.6,IF(CU281&lt;0.8,0.8,IF(CU281&lt;1,1,IF(CU281&lt;1.2,1.2,IF(CU281&lt;1.4,1.4,IF(CU281&lt;1.6,1.6,IF(CU281&lt;1.8,1.8,IF(CU281&lt;2,2,2.2))))))))</f>
        <v>1.2</v>
      </c>
      <c r="FP281" s="23">
        <f>IF(CV281&lt;0.6,0.6,IF(CV281&lt;0.8,0.8,IF(CV281&lt;1,1,IF(CV281&lt;1.2,1.2,IF(CV281&lt;1.4,1.4,IF(CV281&lt;1.6,1.6,IF(CV281&lt;1.8,1.8,IF(CV281&lt;2,2,2.2))))))))</f>
        <v>0.8</v>
      </c>
      <c r="FQ281" s="23">
        <f>IF(DA281&lt;0.6,0.6,IF(DA281&lt;0.8,0.8,IF(DA281&lt;1,1,IF(DA281&lt;1.2,1.2,IF(DA281&lt;1.4,1.4,IF(DA281&lt;1.6,1.6,IF(DA281&lt;1.8,1.8,IF(DA281&lt;2,2,2.2))))))))</f>
        <v>1</v>
      </c>
      <c r="FR281" s="23">
        <f>IF(CX281&lt;0.6,0.6,IF(CX281&lt;0.8,0.8,IF(CX281&lt;1,1,IF(CX281&lt;1.2,1.2,IF(CX281&lt;1.4,1.4,IF(CX281&lt;1.6,1.6,IF(CX281&lt;1.8,1.8,IF(CX281&lt;2,2,2.2))))))))</f>
        <v>1.8</v>
      </c>
      <c r="FS281" s="23">
        <f>IF(CY281&lt;0.6,0.6,IF(CY281&lt;0.8,0.8,IF(CY281&lt;1,1,IF(CY281&lt;1.2,1.2,IF(CY281&lt;1.4,1.4,IF(CY281&lt;1.6,1.6,IF(CY281&lt;1.8,1.8,IF(CY281&lt;2,2,2.2))))))))</f>
        <v>1.4</v>
      </c>
      <c r="FT281" s="23">
        <f>IF(CZ281&lt;0.6,0.6,IF(CZ281&lt;0.8,0.8,IF(CZ281&lt;1,1,IF(CZ281&lt;1.2,1.2,IF(CZ281&lt;1.4,1.4,IF(CZ281&lt;1.6,1.6,IF(CZ281&lt;1.8,1.8,IF(CZ281&lt;2,2,2.2))))))))</f>
        <v>1</v>
      </c>
      <c r="FU281" s="23">
        <f>IF(FS281&lt;1,1,0)</f>
        <v>0</v>
      </c>
      <c r="FV281" s="23"/>
      <c r="GF281" s="4">
        <f>IF(S281&gt;=2.5*25.4,1,1.25)</f>
        <v>1</v>
      </c>
      <c r="GG281" s="4">
        <f>IF(AO281&gt;1, 0.05*(18-MIN(8,(W281+N281)/N281))*(1-48000/MAX(60000,(J281*145))*(N281/25.4)^0.75*GH281), 1/12*(14-MIN(8,(W281+N281)/N281)))</f>
        <v>0.5</v>
      </c>
      <c r="GH281" s="4">
        <f>MIN(0.3, AM281^2*PI()/4*2*AP281/(N281^2*PI()/4*X281))</f>
        <v>0</v>
      </c>
      <c r="GI281" s="4">
        <f>(K281/25.4)/(N281/25.4)^1.5/0.0024*(M281*145)^0.25/GF281/GG281/145</f>
        <v>330.29855983034787</v>
      </c>
    </row>
    <row r="282" spans="1:191" ht="12" customHeight="1" x14ac:dyDescent="0.3">
      <c r="A282" s="25">
        <v>320</v>
      </c>
      <c r="B282" s="4" t="s">
        <v>605</v>
      </c>
      <c r="C282" s="4">
        <v>2016</v>
      </c>
      <c r="D282" s="4" t="s">
        <v>309</v>
      </c>
      <c r="E282" s="24" t="s">
        <v>670</v>
      </c>
      <c r="F282" s="24"/>
      <c r="G282" s="24">
        <v>16</v>
      </c>
      <c r="H282" s="7" t="s">
        <v>482</v>
      </c>
      <c r="I282" s="5">
        <f>K282/N282</f>
        <v>12.129999999999999</v>
      </c>
      <c r="J282" s="38">
        <f>129/0.145</f>
        <v>889.65517241379314</v>
      </c>
      <c r="K282" s="89">
        <f>12.13*25.4</f>
        <v>308.10199999999998</v>
      </c>
      <c r="L282" s="4">
        <f>K282</f>
        <v>308.10199999999998</v>
      </c>
      <c r="M282" s="89">
        <f>12080/145</f>
        <v>83.310344827586206</v>
      </c>
      <c r="N282" s="96">
        <f>1*25.4</f>
        <v>25.4</v>
      </c>
      <c r="O282" s="7">
        <f>K282/N282</f>
        <v>12.129999999999999</v>
      </c>
      <c r="P282" s="7">
        <f>L282/N282</f>
        <v>12.129999999999999</v>
      </c>
      <c r="Q282" s="38">
        <f>14.9*25.4</f>
        <v>378.46</v>
      </c>
      <c r="R282" s="32">
        <f>S282/N282</f>
        <v>2.4</v>
      </c>
      <c r="S282" s="38">
        <f>2.4*25.4</f>
        <v>60.959999999999994</v>
      </c>
      <c r="T282" s="32">
        <f>U282/N282</f>
        <v>4.5</v>
      </c>
      <c r="U282" s="39">
        <f>4.5*25.4</f>
        <v>114.3</v>
      </c>
      <c r="V282" s="32">
        <f>W282/N282</f>
        <v>8.1</v>
      </c>
      <c r="W282" s="7">
        <f>(Q282-X282*N282-2*S282)/(X282-1)</f>
        <v>205.73999999999998</v>
      </c>
      <c r="X282" s="38">
        <v>2</v>
      </c>
      <c r="Y282" s="7">
        <f>AN282</f>
        <v>10</v>
      </c>
      <c r="Z282" s="32">
        <f>AA282/N282</f>
        <v>10.25</v>
      </c>
      <c r="AA282" s="4">
        <f>10.25*25.4</f>
        <v>260.34999999999997</v>
      </c>
      <c r="AB282" s="7">
        <f>MIN(S282/N282+0.5, W282/2/N282+0.5)</f>
        <v>2.9</v>
      </c>
      <c r="AC282" s="7">
        <f>S282/N282+0.5</f>
        <v>2.9</v>
      </c>
      <c r="AD282" s="38">
        <v>9.1</v>
      </c>
      <c r="AE282" s="4">
        <f>AD282</f>
        <v>9.1</v>
      </c>
      <c r="AF282" s="4">
        <f>AE282+1</f>
        <v>10.1</v>
      </c>
      <c r="AG282" s="7">
        <f>N282*AF282^0.5</f>
        <v>80.72246279691916</v>
      </c>
      <c r="AJ282" s="38">
        <f>AK282/0.145</f>
        <v>1057.9310344827588</v>
      </c>
      <c r="AK282" s="4">
        <v>153.4</v>
      </c>
      <c r="AL282" s="4">
        <f>CY282</f>
        <v>1.6414242600002831</v>
      </c>
      <c r="AM282" s="38">
        <f>0.5*25.4</f>
        <v>12.7</v>
      </c>
      <c r="AN282" s="38">
        <v>10</v>
      </c>
      <c r="AO282" s="39">
        <f>3*25.4</f>
        <v>76.199999999999989</v>
      </c>
      <c r="AP282" s="39">
        <v>3</v>
      </c>
      <c r="AQ282" s="39">
        <f>AP282-1</f>
        <v>2</v>
      </c>
      <c r="AR282" s="7"/>
      <c r="AS282" s="4">
        <f>K282</f>
        <v>308.10199999999998</v>
      </c>
      <c r="AT282" s="4">
        <f>IF(K282*3&gt;W282+N282, Q282, (S282+N282/2)*2+1.5*K282*(2*X282-2))*(3*K282)/(9*K282^2)</f>
        <v>0.40945314646881015</v>
      </c>
      <c r="AU282" s="4">
        <f>MIN(10*M282^0.5*K282^1.5,100*3.9*M282^0.5*K282^(5/3))/(PI()/4*N282^2)/X282</f>
        <v>487.08407640009438</v>
      </c>
      <c r="AV282" s="4">
        <f>MIN(0.7+0.3*(MIN(S282,AA282)+0.5*N282)/1.5/K282,1)</f>
        <v>0.74781533388293486</v>
      </c>
      <c r="AW282" s="4">
        <v>1.25</v>
      </c>
      <c r="AX282" s="4">
        <f>AX281</f>
        <v>1</v>
      </c>
      <c r="AY282" s="38">
        <f>AT282*AV282*AW282*AX282*AU282</f>
        <v>186.42859385170181</v>
      </c>
      <c r="AZ282" s="38">
        <f>AY282</f>
        <v>186.42859385170181</v>
      </c>
      <c r="BA282" s="38">
        <f>IF(M282&lt;50, 0.3*M282^(2/3), 2.12*LN(1+0.1*(M282+8)))</f>
        <v>4.9090792795570026</v>
      </c>
      <c r="BB282" s="38">
        <f>AX282* (M282^0.5/AS282^0.5)/(PI()/4*N282^2)/X282/0.72 *(0.7+(MIN(S282,AA282)+0.5*N282)/5/K282) *(3*Q282*K282)</f>
        <v>186.42859385170206</v>
      </c>
      <c r="BC282" s="38">
        <f>AY282/BB282</f>
        <v>0.99999999999999867</v>
      </c>
      <c r="BD282" s="38">
        <f>BH282/BB282</f>
        <v>7.8187098677893783</v>
      </c>
      <c r="BE282" s="4">
        <f>IF(BD282&lt;1,1,0)</f>
        <v>0</v>
      </c>
      <c r="BF282" s="4">
        <f>L282/N282*M282^0.5/0.19</f>
        <v>582.71562831837957</v>
      </c>
      <c r="BG282" s="4">
        <f>MIN(0.6+0.4*(AC282/AB282),2)</f>
        <v>1</v>
      </c>
      <c r="BH282" s="38">
        <f>2*M282*AB282*AD282^0.5*BG282*0.7/0.7</f>
        <v>1457.6310863864012</v>
      </c>
      <c r="BI282" s="4">
        <f>MAX(1-0.7*AE282/5,0.3)</f>
        <v>0.3</v>
      </c>
      <c r="BJ282" s="4">
        <f>BI282*J282*L282/(J282*N282/2.75/M282^0.5)</f>
        <v>91.340674738905989</v>
      </c>
      <c r="BK282" s="4">
        <f>BH282+BJ282</f>
        <v>1548.9717611253072</v>
      </c>
      <c r="BM282" s="4">
        <f>MIN(1.5, 0.75+0.25*MIN(3,MAX(1,S282/N282))+0.4*MIN(1,(40*2*PI()*AM282^2/4/AO282/X282)/N282))</f>
        <v>1.5</v>
      </c>
      <c r="BN282" s="4">
        <f>(3*P282+30)*BM282*M282^0.5</f>
        <v>908.95711547867347</v>
      </c>
      <c r="BP282" s="4">
        <f>3.4/PI()^0.5*M282*AB282*AE282^0.5*BG282</f>
        <v>1398.0464685108325</v>
      </c>
      <c r="BQ282" s="4">
        <f>8/3*AH282*AI282^2/(AG282-N282-22)/N282*(AG282^2-N282^2)/(AG282^2-(N282+22)^2)</f>
        <v>0</v>
      </c>
      <c r="BR282" s="4">
        <f>BQ282/BP282</f>
        <v>0</v>
      </c>
      <c r="BZ282" s="4">
        <f>IF(W282=0,S282,MIN(W282/2,S282))</f>
        <v>60.959999999999994</v>
      </c>
      <c r="CD282" s="9"/>
      <c r="CF282" s="9"/>
      <c r="CG282" s="9"/>
      <c r="CH282" s="9">
        <f>IF(W282=0,MIN(S282,U282),MIN(W282/2,S282,U282))</f>
        <v>60.959999999999994</v>
      </c>
      <c r="CI282" s="9">
        <f>MAX(W282/2,S282)</f>
        <v>102.86999999999999</v>
      </c>
      <c r="CJ282" s="9">
        <f>(CH282/N282)^0.5*(CI282/CH282)^0.15</f>
        <v>1.6756842515389025</v>
      </c>
      <c r="CK282" s="70">
        <f>IF(AO282&gt;1,20,0)</f>
        <v>20</v>
      </c>
      <c r="CL282" s="9">
        <f>MIN(PI()*AM282^2/4*AN282*2/X282/N282/MAX(0.01,AO282),0.05)</f>
        <v>0.05</v>
      </c>
      <c r="CM282" s="9">
        <f>MAX(0,CK282*(CL282-0.5/50))</f>
        <v>0.8</v>
      </c>
      <c r="CN282" s="9">
        <f>MIN(1,(25/N282)^0.3)</f>
        <v>0.99524931562137331</v>
      </c>
      <c r="CO282" s="9">
        <f>IF(J282&gt;=800,0.68,IF(J282&gt;=700,0.75-(J282-700)*0.07/100,IF(J282&gt;=600,0.85-(J282-600)*0.1/100,IF(J282&gt;=500,1-(J282-500)*0.15/100,1.2-(J282-400)*0.2/100))))</f>
        <v>0.68</v>
      </c>
      <c r="CP282" s="9">
        <f>1.75*CN282*CO282*(M282/25)^0.5</f>
        <v>2.1620130482705213</v>
      </c>
      <c r="CQ282" s="9">
        <f>MIN((CJ282+CM282)*CP282,2.5*CP282,M282^0.5)</f>
        <v>5.3524616552249471</v>
      </c>
      <c r="CR282" s="40">
        <v>1</v>
      </c>
      <c r="CS282" s="9">
        <f>4*CQ282*P282+60*CQ282</f>
        <v>580.84913882501132</v>
      </c>
      <c r="CU282" s="47">
        <f>AJ282/BF282</f>
        <v>1.8155185532534488</v>
      </c>
      <c r="CV282" s="47">
        <f>AJ282/BK282</f>
        <v>0.68298923262112032</v>
      </c>
      <c r="CW282" s="47">
        <f>AJ282/BN282</f>
        <v>1.1638954318825405</v>
      </c>
      <c r="CX282" s="47">
        <f>AJ282/CS282</f>
        <v>1.8213525057863174</v>
      </c>
      <c r="CY282" s="47">
        <f>AJ282/DZ282</f>
        <v>1.6414242600002831</v>
      </c>
      <c r="CZ282" s="47">
        <f>AJ282/EL282</f>
        <v>1.0886125437537382</v>
      </c>
      <c r="DA282" s="47">
        <f>AJ282/GI282</f>
        <v>1.6074371142265871</v>
      </c>
      <c r="DB282" s="4">
        <f>AN282</f>
        <v>10</v>
      </c>
      <c r="DI282" s="4">
        <f>CU282</f>
        <v>1.8155185532534488</v>
      </c>
      <c r="DJ282" s="4">
        <f>CV282</f>
        <v>0.68298923262112032</v>
      </c>
      <c r="DK282" s="4">
        <f>CX282</f>
        <v>1.8213525057863174</v>
      </c>
      <c r="DL282" s="4">
        <f>DA282</f>
        <v>1.6074371142265871</v>
      </c>
      <c r="DM282" s="4">
        <f>CY282</f>
        <v>1.6414242600002831</v>
      </c>
      <c r="DN282" s="4">
        <f>CZ282</f>
        <v>1.0886125437537382</v>
      </c>
      <c r="DQ282" s="4">
        <f>L282</f>
        <v>308.10199999999998</v>
      </c>
      <c r="DT282" s="4">
        <f>K282/4/(1-0.3*(M282/30)^0.5)/200000/N282</f>
        <v>3.0320817529805633E-5</v>
      </c>
      <c r="DU282" s="4">
        <f>EP282</f>
        <v>14.003670300444258</v>
      </c>
      <c r="DV282" s="4">
        <f>EC282*AG282/257/M282/AD282</f>
        <v>7.7238437517220884E-2</v>
      </c>
      <c r="DW282" s="4">
        <f>DU282*DV282^0.4</f>
        <v>5.0277684590023588</v>
      </c>
      <c r="DX282" s="4">
        <f>MIN(DU282, DU282/1.4*(1-DV282^1.4)/(1-DV282))</f>
        <v>10.539275237998783</v>
      </c>
      <c r="DY282" s="4">
        <f>MAX(DU282/2, (4-DT282*(8*AG282*(DW282-DX282)+6*K282*DX282))/(4+DT282*K282*DU282)*DU282)</f>
        <v>11.923389547667112</v>
      </c>
      <c r="DZ282" s="38">
        <f>MIN(1/N282*(4*AG282*(DW282-DX282)+(3*DX282+DY282)*K282)+EC282 -FJ282,MAX(J282,AJ282))</f>
        <v>644.52016475166295</v>
      </c>
      <c r="EA282" s="4">
        <f>DZ282/FF282</f>
        <v>1.0000885375279294</v>
      </c>
      <c r="EB282" s="4">
        <f>AG282/N282</f>
        <v>3.1780497164141401</v>
      </c>
      <c r="EC282" s="4">
        <f>MIN(EB$10*BB282)</f>
        <v>186.42859385170206</v>
      </c>
      <c r="EG282" s="4">
        <f>IF(U282&gt;1*N282,0.85,1)</f>
        <v>0.85</v>
      </c>
      <c r="EH282" s="4">
        <f>MIN(1,MAX(0.7,(1-0.1*(BZ282-1*N282)/N282)))</f>
        <v>0.86</v>
      </c>
      <c r="EI282" s="4">
        <f>MIN(1,MAX(0.7,1-0.3*(PI()*AM282^2/4*AQ282*2-0.25*PI()/4*N282^2)/(PI()/4*N282^2)))</f>
        <v>0.77500000000000002</v>
      </c>
      <c r="EJ282" s="4">
        <f>IF(EH282*EI282&lt;0.7,0.7,EH282*EI282)</f>
        <v>0.7</v>
      </c>
      <c r="EL282" s="4">
        <f>MIN(DU282/N282*3*K282+EM282-FJ282,MAX(J282,AJ282))</f>
        <v>971.81595100384948</v>
      </c>
      <c r="EM282" s="25">
        <f>13.3*Q282*K282^0.5*M282^0.5/X282/N282^2*(0.7+S282/5/K282)</f>
        <v>462.22238877068293</v>
      </c>
      <c r="EO282" s="4">
        <f>EG282*EJ282</f>
        <v>0.59499999999999997</v>
      </c>
      <c r="EP282" s="4">
        <f>IF(N282&lt;22.2,1.1*5*(M282/30)^0.5,IF(N282&gt;=31.8,0.9*5*(M282/30)^0.5,1*5*(M282/30)^0.5))/EG282/EJ282</f>
        <v>14.003670300444258</v>
      </c>
      <c r="ES282" s="4">
        <f>ET282*N282</f>
        <v>80.72246279691916</v>
      </c>
      <c r="ET282" s="4">
        <f>AF282^0.5</f>
        <v>3.1780497164141406</v>
      </c>
      <c r="EU282" s="4">
        <f>MIN(EC282)/(4700*M282^0.5)/AE282*ES282</f>
        <v>3.8549452213967411E-2</v>
      </c>
      <c r="EX282" s="4">
        <f>EU282</f>
        <v>3.8549452213967411E-2</v>
      </c>
      <c r="EY282" s="4">
        <f>MIN(0.999, EX282/(0.3*(M282/30)^0.5))</f>
        <v>7.7109540960292516E-2</v>
      </c>
      <c r="EZ282" s="4">
        <f>EP282/1*EY282^0.4</f>
        <v>5.0244106138581293</v>
      </c>
      <c r="FA282" s="4">
        <f>EP282/1.4*(1-EY282^1.4)/(1-EY282)</f>
        <v>10.538505232618911</v>
      </c>
      <c r="FB282" s="4">
        <f>MAX(0,DQ282*FB$9-ES282)</f>
        <v>150.35403720308082</v>
      </c>
      <c r="FC282" s="4">
        <f>MAX(0,DQ282-ES282-FB282)</f>
        <v>77.025499999999994</v>
      </c>
      <c r="FD282" s="4">
        <f>FC282/(1-0.3*(M282/30)^0.5)/200000/N282</f>
        <v>3.0320817529805633E-5</v>
      </c>
      <c r="FE282" s="4">
        <f>MAX(0.5*EP282, (1-2*FD282*(ES282*EZ282+FB282*FA282))/(1/EP282+FD282*FC282))</f>
        <v>11.923707639940863</v>
      </c>
      <c r="FF282" s="4">
        <f>MIN(4/N282*(1*EZ282*ES282+FA282*FB282+FC282*FE282)+EC282,MAX(J282,AJ282))</f>
        <v>644.46310558145308</v>
      </c>
      <c r="FO282" s="23">
        <f>IF(CU282&lt;0.6,0.6,IF(CU282&lt;0.8,0.8,IF(CU282&lt;1,1,IF(CU282&lt;1.2,1.2,IF(CU282&lt;1.4,1.4,IF(CU282&lt;1.6,1.6,IF(CU282&lt;1.8,1.8,IF(CU282&lt;2,2,2.2))))))))</f>
        <v>2</v>
      </c>
      <c r="FP282" s="23">
        <f>IF(CV282&lt;0.6,0.6,IF(CV282&lt;0.8,0.8,IF(CV282&lt;1,1,IF(CV282&lt;1.2,1.2,IF(CV282&lt;1.4,1.4,IF(CV282&lt;1.6,1.6,IF(CV282&lt;1.8,1.8,IF(CV282&lt;2,2,2.2))))))))</f>
        <v>0.8</v>
      </c>
      <c r="FQ282" s="23">
        <f>IF(DA282&lt;0.6,0.6,IF(DA282&lt;0.8,0.8,IF(DA282&lt;1,1,IF(DA282&lt;1.2,1.2,IF(DA282&lt;1.4,1.4,IF(DA282&lt;1.6,1.6,IF(DA282&lt;1.8,1.8,IF(DA282&lt;2,2,2.2))))))))</f>
        <v>1.8</v>
      </c>
      <c r="FR282" s="23">
        <f>IF(CX282&lt;0.6,0.6,IF(CX282&lt;0.8,0.8,IF(CX282&lt;1,1,IF(CX282&lt;1.2,1.2,IF(CX282&lt;1.4,1.4,IF(CX282&lt;1.6,1.6,IF(CX282&lt;1.8,1.8,IF(CX282&lt;2,2,2.2))))))))</f>
        <v>2</v>
      </c>
      <c r="FS282" s="23">
        <f>IF(CY282&lt;0.6,0.6,IF(CY282&lt;0.8,0.8,IF(CY282&lt;1,1,IF(CY282&lt;1.2,1.2,IF(CY282&lt;1.4,1.4,IF(CY282&lt;1.6,1.6,IF(CY282&lt;1.8,1.8,IF(CY282&lt;2,2,2.2))))))))</f>
        <v>1.8</v>
      </c>
      <c r="FT282" s="23">
        <f>IF(CZ282&lt;0.6,0.6,IF(CZ282&lt;0.8,0.8,IF(CZ282&lt;1,1,IF(CZ282&lt;1.2,1.2,IF(CZ282&lt;1.4,1.4,IF(CZ282&lt;1.6,1.6,IF(CZ282&lt;1.8,1.8,IF(CZ282&lt;2,2,2.2))))))))</f>
        <v>1.2</v>
      </c>
      <c r="FU282" s="23">
        <f>IF(FS282&lt;1,1,0)</f>
        <v>0</v>
      </c>
      <c r="FV282" s="23"/>
      <c r="GF282" s="4">
        <f>IF(S282&gt;=2.5*25.4,1,1.25)</f>
        <v>1.25</v>
      </c>
      <c r="GG282" s="4">
        <f>IF(AO282&gt;1, 0.05*(18-MIN(8,(W282+N282)/N282))*(1-48000/MAX(60000,(J282*145))*(N282/25.4)^0.75*GH282), 1/12*(14-MIN(8,(W282+N282)/N282)))</f>
        <v>0.44418604651162791</v>
      </c>
      <c r="GH282" s="4">
        <f>MIN(0.3, AM282^2*PI()/4*2*AP282/(N282^2*PI()/4*X282))</f>
        <v>0.3</v>
      </c>
      <c r="GI282" s="4">
        <f>(K282/25.4)/(N282/25.4)^1.5/0.0024*(M282*145)^0.25/GF282/GG282/145</f>
        <v>658.14769680229688</v>
      </c>
    </row>
    <row r="283" spans="1:191" ht="12" customHeight="1" x14ac:dyDescent="0.3">
      <c r="A283" s="25">
        <v>408</v>
      </c>
      <c r="B283" s="4" t="s">
        <v>605</v>
      </c>
      <c r="C283" s="4">
        <v>2016</v>
      </c>
      <c r="D283" s="4" t="s">
        <v>309</v>
      </c>
      <c r="E283" s="14" t="s">
        <v>577</v>
      </c>
      <c r="F283" s="14"/>
      <c r="G283" s="14">
        <v>36</v>
      </c>
      <c r="H283" s="7" t="s">
        <v>578</v>
      </c>
      <c r="I283" s="5">
        <f>K283/N283</f>
        <v>8.6028368794326244</v>
      </c>
      <c r="J283" s="90">
        <f>135/0.145</f>
        <v>931.0344827586207</v>
      </c>
      <c r="K283" s="38">
        <f>12.13*25.4</f>
        <v>308.10199999999998</v>
      </c>
      <c r="L283" s="4">
        <f>K283</f>
        <v>308.10199999999998</v>
      </c>
      <c r="M283" s="38">
        <f>5760/145</f>
        <v>39.724137931034484</v>
      </c>
      <c r="N283" s="38">
        <f>1.41*25.4</f>
        <v>35.813999999999993</v>
      </c>
      <c r="O283" s="7">
        <f>K283/N283</f>
        <v>8.6028368794326244</v>
      </c>
      <c r="P283" s="7">
        <f>L283/N283</f>
        <v>8.6028368794326244</v>
      </c>
      <c r="Q283" s="38">
        <f>21.7*25.4</f>
        <v>551.17999999999995</v>
      </c>
      <c r="R283" s="32">
        <f>S283/N283</f>
        <v>1.8794326241134751</v>
      </c>
      <c r="S283" s="38">
        <f>2.65*25.4</f>
        <v>67.309999999999988</v>
      </c>
      <c r="T283" s="32">
        <f>U283/N283</f>
        <v>2.4822695035460995</v>
      </c>
      <c r="U283" s="39">
        <f>3.5*25.4</f>
        <v>88.899999999999991</v>
      </c>
      <c r="V283" s="32">
        <f>W283/N283</f>
        <v>9.6312056737588669</v>
      </c>
      <c r="W283" s="7">
        <f>(Q283-X283*N283-2*S283)/(X283-1)</f>
        <v>344.93200000000002</v>
      </c>
      <c r="X283" s="38">
        <v>2</v>
      </c>
      <c r="Y283" s="7">
        <f>AN283</f>
        <v>0</v>
      </c>
      <c r="Z283" s="32">
        <f>AA283/N283</f>
        <v>14.18439716312057</v>
      </c>
      <c r="AA283" s="4">
        <f>20*25.4</f>
        <v>508</v>
      </c>
      <c r="AB283" s="7">
        <f>MIN(S283/N283+0.5, W283/2/N283+0.5)</f>
        <v>2.3794326241134751</v>
      </c>
      <c r="AC283" s="7">
        <f>S283/N283+0.5</f>
        <v>2.3794326241134751</v>
      </c>
      <c r="AD283" s="38">
        <v>3.9</v>
      </c>
      <c r="AE283" s="4">
        <f>AD283</f>
        <v>3.9</v>
      </c>
      <c r="AF283" s="4">
        <f>AE283+1</f>
        <v>4.9000000000000004</v>
      </c>
      <c r="AG283" s="7">
        <f>N283*AF283^0.5</f>
        <v>79.277668484889219</v>
      </c>
      <c r="AJ283" s="38">
        <f>AK283/0.145</f>
        <v>293.79310344827587</v>
      </c>
      <c r="AK283" s="4">
        <v>42.6</v>
      </c>
      <c r="AL283" s="4">
        <f>CY283</f>
        <v>1.085274259902747</v>
      </c>
      <c r="AM283" s="38">
        <v>0</v>
      </c>
      <c r="AN283" s="38">
        <v>0</v>
      </c>
      <c r="AO283" s="39">
        <f>L283</f>
        <v>308.10199999999998</v>
      </c>
      <c r="AP283" s="39"/>
      <c r="AQ283" s="39"/>
      <c r="AR283" s="7"/>
      <c r="AS283" s="4">
        <f>K283</f>
        <v>308.10199999999998</v>
      </c>
      <c r="AT283" s="4">
        <f>IF(K283*3&gt;W283+N283, Q283, (S283+N283/2)*2+1.5*K283*(2*X283-2))*(3*K283)/(9*K283^2)</f>
        <v>0.59631766968947519</v>
      </c>
      <c r="AU283" s="4">
        <f>MIN(10*M283^0.5*K283^1.5,100*3.9*M283^0.5*K283^(5/3))/(PI()/4*N283^2)/X283</f>
        <v>169.17784214061564</v>
      </c>
      <c r="AV283" s="4">
        <f>MIN(0.7+0.3*(MIN(S283,AA283)+0.5*N283)/1.5/K283,1)</f>
        <v>0.75531739488870564</v>
      </c>
      <c r="AW283" s="4">
        <v>1.25</v>
      </c>
      <c r="AX283" s="4">
        <f>AX282</f>
        <v>1</v>
      </c>
      <c r="AY283" s="38">
        <f>AT283*AV283*AW283*AX283*AU283</f>
        <v>95.249051383222465</v>
      </c>
      <c r="AZ283" s="38">
        <f>AY283</f>
        <v>95.249051383222465</v>
      </c>
      <c r="BA283" s="38">
        <f>IF(M283&lt;50, 0.3*M283^(2/3), 2.12*LN(1+0.1*(M283+8)))</f>
        <v>3.4926701740126327</v>
      </c>
      <c r="BB283" s="38">
        <f>AX283* (M283^0.5/AS283^0.5)/(PI()/4*N283^2)/X283/0.72 *(0.7+(MIN(S283,AA283)+0.5*N283)/5/K283) *(3*Q283*K283)</f>
        <v>95.249051383222593</v>
      </c>
      <c r="BC283" s="38">
        <f>AY283/BB283</f>
        <v>0.99999999999999867</v>
      </c>
      <c r="BD283" s="38">
        <f>BH283/BB283</f>
        <v>3.9194897507485398</v>
      </c>
      <c r="BE283" s="4">
        <f>IF(BD283&lt;1,1,0)</f>
        <v>0</v>
      </c>
      <c r="BF283" s="4">
        <f>L283/N283*M283^0.5/0.19</f>
        <v>285.37460794417643</v>
      </c>
      <c r="BG283" s="4">
        <f>MIN(0.6+0.4*(AC283/AB283),2)</f>
        <v>1</v>
      </c>
      <c r="BH283" s="38">
        <f>2*M283*AB283*AD283^0.5*BG283*0.7/0.7</f>
        <v>373.32768066506196</v>
      </c>
      <c r="BI283" s="4">
        <f>MAX(1-0.7*AE283/5,0.3)</f>
        <v>0.45399999999999996</v>
      </c>
      <c r="BJ283" s="4">
        <f>BI283*J283*L283/(J283*N283/2.75/M283^0.5)</f>
        <v>67.695137623477819</v>
      </c>
      <c r="BK283" s="4">
        <f>BH283+BJ283</f>
        <v>441.02281828853978</v>
      </c>
      <c r="BM283" s="4">
        <f>MIN(1.5, 0.75+0.25*MIN(3,MAX(1,S283/N283))+0.4*MIN(1,(40*2*PI()*AM283^2/4/AO283/X283)/N283))</f>
        <v>1.2198581560283688</v>
      </c>
      <c r="BN283" s="4">
        <f>(3*P283+30)*BM283*M283^0.5</f>
        <v>429.07875073434849</v>
      </c>
      <c r="BP283" s="4">
        <f>3.4/PI()^0.5*M283*AB283*AE283^0.5*BG283</f>
        <v>358.06690075816078</v>
      </c>
      <c r="BQ283" s="4">
        <f>8/3*AH283*AI283^2/(AG283-N283-22)/N283*(AG283^2-N283^2)/(AG283^2-(N283+22)^2)</f>
        <v>0</v>
      </c>
      <c r="BR283" s="4">
        <f>BQ283/BP283</f>
        <v>0</v>
      </c>
      <c r="BZ283" s="4">
        <f>IF(W283=0,S283,MIN(W283/2,S283))</f>
        <v>67.309999999999988</v>
      </c>
      <c r="CD283" s="9"/>
      <c r="CF283" s="9"/>
      <c r="CG283" s="9"/>
      <c r="CH283" s="9">
        <f>IF(W283=0,MIN(S283,U283),MIN(W283/2,S283,U283))</f>
        <v>67.309999999999988</v>
      </c>
      <c r="CI283" s="9">
        <f>MAX(W283/2,S283)</f>
        <v>172.46600000000001</v>
      </c>
      <c r="CJ283" s="9">
        <f>(CH283/N283)^0.5*(CI283/CH283)^0.15</f>
        <v>1.5787267425904519</v>
      </c>
      <c r="CK283" s="70">
        <f>IF(AO283&gt;1,20,0)</f>
        <v>20</v>
      </c>
      <c r="CL283" s="9">
        <f>MIN(PI()*AM283^2/4*AN283*2/X283/N283/MAX(0.01,AO283),0.05)</f>
        <v>0</v>
      </c>
      <c r="CM283" s="9">
        <f>MAX(0,CK283*(CL283-0.5/50))</f>
        <v>0</v>
      </c>
      <c r="CN283" s="9">
        <f>MIN(1,(25/N283)^0.3)</f>
        <v>0.89777220146327208</v>
      </c>
      <c r="CO283" s="9">
        <f>IF(J283&gt;=800,0.68,IF(J283&gt;=700,0.75-(J283-700)*0.07/100,IF(J283&gt;=600,0.85-(J283-600)*0.1/100,IF(J283&gt;=500,1-(J283-500)*0.15/100,1.2-(J283-400)*0.2/100))))</f>
        <v>0.68</v>
      </c>
      <c r="CP283" s="9">
        <f>1.75*CN283*CO283*(M283/25)^0.5</f>
        <v>1.3466984227273664</v>
      </c>
      <c r="CQ283" s="9">
        <f>MIN((CJ283+CM283)*CP283,2.5*CP283,M283^0.5)</f>
        <v>2.1260688141640744</v>
      </c>
      <c r="CR283" s="40">
        <v>1</v>
      </c>
      <c r="CS283" s="9">
        <f>4*CQ283*P283+60*CQ283</f>
        <v>200.72502166065362</v>
      </c>
      <c r="CU283" s="4">
        <f>AJ283/BF283</f>
        <v>1.029499805763189</v>
      </c>
      <c r="CV283" s="4">
        <f>AJ283/BK283</f>
        <v>0.66616304477937771</v>
      </c>
      <c r="CW283" s="4">
        <f>AJ283/BN283</f>
        <v>0.68470671862790344</v>
      </c>
      <c r="CX283" s="4">
        <f>AJ283/CS283</f>
        <v>1.4636595926987293</v>
      </c>
      <c r="CY283" s="4">
        <f>AJ283/DZ283</f>
        <v>1.085274259902747</v>
      </c>
      <c r="CZ283" s="4">
        <f>AJ283/EL283</f>
        <v>0.72096580896252627</v>
      </c>
      <c r="DA283" s="4">
        <f>AJ283/GI283</f>
        <v>0.80994045632785505</v>
      </c>
      <c r="DB283" s="4">
        <f>AN283</f>
        <v>0</v>
      </c>
      <c r="DC283" s="4">
        <f>CU283</f>
        <v>1.029499805763189</v>
      </c>
      <c r="DD283" s="4">
        <f>CV283</f>
        <v>0.66616304477937771</v>
      </c>
      <c r="DE283" s="4">
        <f>CX283</f>
        <v>1.4636595926987293</v>
      </c>
      <c r="DF283" s="4">
        <f>DA283</f>
        <v>0.80994045632785505</v>
      </c>
      <c r="DG283" s="4">
        <f>CY283</f>
        <v>1.085274259902747</v>
      </c>
      <c r="DH283" s="4">
        <f>CZ283</f>
        <v>0.72096580896252627</v>
      </c>
      <c r="DQ283" s="4">
        <f>L283</f>
        <v>308.10199999999998</v>
      </c>
      <c r="DT283" s="4">
        <f>K283/4/(1-0.3*(M283/30)^0.5)/200000/N283</f>
        <v>1.6422982705051898E-5</v>
      </c>
      <c r="DU283" s="4">
        <f>EP283</f>
        <v>6.6794137361809804</v>
      </c>
      <c r="DV283" s="4">
        <f>EC283*AG283/257/M283/AD283</f>
        <v>0.18965282528372218</v>
      </c>
      <c r="DW283" s="4">
        <f>DU283*DV283^0.4</f>
        <v>3.4349630689246462</v>
      </c>
      <c r="DX283" s="4">
        <f>MIN(DU283, DU283/1.4*(1-DV283^1.4)/(1-DV283))</f>
        <v>5.3133868980510135</v>
      </c>
      <c r="DY283" s="4">
        <f>MAX(DU283/2, (4-DT283*(8*AG283*(DW283-DX283)+6*K283*DX283))/(4+DT283*K283*DU283)*DU283)</f>
        <v>6.3887350688711013</v>
      </c>
      <c r="DZ283" s="38">
        <f>MIN(1/N283*(4*AG283*(DW283-DX283)+(3*DX283+DY283)*K283)+EC283 -FJ283,MAX(J283,AJ283))</f>
        <v>270.70862573908562</v>
      </c>
      <c r="EA283" s="4">
        <f>DZ283/FF283</f>
        <v>1.0001189793092196</v>
      </c>
      <c r="EB283" s="4">
        <f>AG283/N283</f>
        <v>2.2135943621178655</v>
      </c>
      <c r="EC283" s="4">
        <f>MIN(EB$10*BB283)</f>
        <v>95.249051383222593</v>
      </c>
      <c r="EG283" s="4">
        <f>IF(U283&gt;1*N283,0.85,1)</f>
        <v>0.85</v>
      </c>
      <c r="EH283" s="4">
        <f>MIN(1,MAX(0.7,(1-0.1*(BZ283-1*N283)/N283)))</f>
        <v>0.91205673758865247</v>
      </c>
      <c r="EI283" s="4">
        <f>MIN(1,MAX(0.7,1-0.3*(PI()*AM283^2/4*AQ283*2-0.25*PI()/4*N283^2)/(PI()/4*N283^2)))</f>
        <v>1</v>
      </c>
      <c r="EJ283" s="4">
        <f>IF(EH283*EI283&lt;0.7,0.7,EH283*EI283)</f>
        <v>0.91205673758865247</v>
      </c>
      <c r="EL283" s="4">
        <f>MIN(DU283/N283*3*K283+EM283-FJ283,MAX(J283,AJ283))</f>
        <v>407.49935682948092</v>
      </c>
      <c r="EM283" s="25">
        <f>13.3*Q283*K283^0.5*M283^0.5/X283/N283^2*(0.7+S283/5/K283)</f>
        <v>235.11363636166115</v>
      </c>
      <c r="EO283" s="4">
        <f>EG283*EJ283</f>
        <v>0.77524822695035456</v>
      </c>
      <c r="EP283" s="4">
        <f>IF(N283&lt;22.2,1.1*5*(M283/30)^0.5,IF(N283&gt;=31.8,0.9*5*(M283/30)^0.5,1*5*(M283/30)^0.5))/EG283/EJ283</f>
        <v>6.6794137361809804</v>
      </c>
      <c r="ES283" s="4">
        <f>ET283*N283</f>
        <v>79.277668484889219</v>
      </c>
      <c r="ET283" s="4">
        <f>AF283^0.5</f>
        <v>2.2135943621178655</v>
      </c>
      <c r="EU283" s="4">
        <f>MIN(EC283)/(4700*M283^0.5)/AE283*ES283</f>
        <v>6.5361471770878518E-2</v>
      </c>
      <c r="EX283" s="4">
        <f>EU283</f>
        <v>6.5361471770878518E-2</v>
      </c>
      <c r="EY283" s="4">
        <f>MIN(0.999, EX283/(0.3*(M283/30)^0.5))</f>
        <v>0.1893363300648053</v>
      </c>
      <c r="EZ283" s="4">
        <f>EP283/1*EY283^0.4</f>
        <v>3.4326689946935742</v>
      </c>
      <c r="FA283" s="4">
        <f>EP283/1.4*(1-EY283^1.4)/(1-EY283)</f>
        <v>5.312653085553662</v>
      </c>
      <c r="FB283" s="4">
        <f>MAX(0,DQ283*FB$9-ES283)</f>
        <v>151.79883151511075</v>
      </c>
      <c r="FC283" s="4">
        <f>MAX(0,DQ283-ES283-FB283)</f>
        <v>77.025500000000022</v>
      </c>
      <c r="FD283" s="4">
        <f>FC283/(1-0.3*(M283/30)^0.5)/200000/N283</f>
        <v>1.6422982705051901E-5</v>
      </c>
      <c r="FE283" s="4">
        <f>MAX(0.5*EP283, (1-2*FD283*(ES283*EZ283+FB283*FA283))/(1/EP283+FD283*FC283))</f>
        <v>6.3887988687997348</v>
      </c>
      <c r="FF283" s="4">
        <f>MIN(4/N283*(1*EZ283*ES283+FA283*FB283+FC283*FE283)+EC283,MAX(J283,AJ283))</f>
        <v>270.67642084551142</v>
      </c>
      <c r="FO283" s="23">
        <f>IF(CU283&lt;0.6,0.6,IF(CU283&lt;0.8,0.8,IF(CU283&lt;1,1,IF(CU283&lt;1.2,1.2,IF(CU283&lt;1.4,1.4,IF(CU283&lt;1.6,1.6,IF(CU283&lt;1.8,1.8,IF(CU283&lt;2,2,2.2))))))))</f>
        <v>1.2</v>
      </c>
      <c r="FP283" s="23">
        <f>IF(CV283&lt;0.6,0.6,IF(CV283&lt;0.8,0.8,IF(CV283&lt;1,1,IF(CV283&lt;1.2,1.2,IF(CV283&lt;1.4,1.4,IF(CV283&lt;1.6,1.6,IF(CV283&lt;1.8,1.8,IF(CV283&lt;2,2,2.2))))))))</f>
        <v>0.8</v>
      </c>
      <c r="FQ283" s="23">
        <f>IF(DA283&lt;0.6,0.6,IF(DA283&lt;0.8,0.8,IF(DA283&lt;1,1,IF(DA283&lt;1.2,1.2,IF(DA283&lt;1.4,1.4,IF(DA283&lt;1.6,1.6,IF(DA283&lt;1.8,1.8,IF(DA283&lt;2,2,2.2))))))))</f>
        <v>1</v>
      </c>
      <c r="FR283" s="23">
        <f>IF(CX283&lt;0.6,0.6,IF(CX283&lt;0.8,0.8,IF(CX283&lt;1,1,IF(CX283&lt;1.2,1.2,IF(CX283&lt;1.4,1.4,IF(CX283&lt;1.6,1.6,IF(CX283&lt;1.8,1.8,IF(CX283&lt;2,2,2.2))))))))</f>
        <v>1.6</v>
      </c>
      <c r="FS283" s="23">
        <f>IF(CY283&lt;0.6,0.6,IF(CY283&lt;0.8,0.8,IF(CY283&lt;1,1,IF(CY283&lt;1.2,1.2,IF(CY283&lt;1.4,1.4,IF(CY283&lt;1.6,1.6,IF(CY283&lt;1.8,1.8,IF(CY283&lt;2,2,2.2))))))))</f>
        <v>1.2</v>
      </c>
      <c r="FT283" s="23">
        <f>IF(CZ283&lt;0.6,0.6,IF(CZ283&lt;0.8,0.8,IF(CZ283&lt;1,1,IF(CZ283&lt;1.2,1.2,IF(CZ283&lt;1.4,1.4,IF(CZ283&lt;1.6,1.6,IF(CZ283&lt;1.8,1.8,IF(CZ283&lt;2,2,2.2))))))))</f>
        <v>0.8</v>
      </c>
      <c r="FU283" s="23">
        <f>IF(FS283&lt;1,1,0)</f>
        <v>0</v>
      </c>
      <c r="FV283" s="23"/>
      <c r="GF283" s="4">
        <f>IF(S283&gt;=2.5*25.4,1,1.25)</f>
        <v>1</v>
      </c>
      <c r="GG283" s="4">
        <f>IF(AO283&gt;1, 0.05*(18-MIN(8,(W283+N283)/N283))*(1-48000/MAX(60000,(J283*145))*(N283/25.4)^0.75*GH283), 1/12*(14-MIN(8,(W283+N283)/N283)))</f>
        <v>0.5</v>
      </c>
      <c r="GH283" s="4">
        <f>MIN(0.3, AM283^2*PI()/4*2*AP283/(N283^2*PI()/4*X283))</f>
        <v>0</v>
      </c>
      <c r="GI283" s="4">
        <f>(K283/25.4)/(N283/25.4)^1.5/0.0024*(M283*145)^0.25/GF283/GG283/145</f>
        <v>362.73419996858587</v>
      </c>
    </row>
    <row r="284" spans="1:191" ht="12" customHeight="1" x14ac:dyDescent="0.3">
      <c r="A284" s="25">
        <v>386</v>
      </c>
      <c r="B284" s="4" t="s">
        <v>605</v>
      </c>
      <c r="C284" s="4">
        <v>2016</v>
      </c>
      <c r="D284" s="4" t="s">
        <v>309</v>
      </c>
      <c r="E284" s="14" t="s">
        <v>675</v>
      </c>
      <c r="F284" s="14"/>
      <c r="G284" s="14">
        <v>15</v>
      </c>
      <c r="H284" s="7" t="s">
        <v>553</v>
      </c>
      <c r="I284" s="5">
        <f>K284/N284</f>
        <v>8.5744680851063837</v>
      </c>
      <c r="J284" s="90">
        <f>135/0.145</f>
        <v>931.0344827586207</v>
      </c>
      <c r="K284" s="89">
        <f>12.09*25.4</f>
        <v>307.08599999999996</v>
      </c>
      <c r="L284" s="4">
        <f>K284</f>
        <v>307.08599999999996</v>
      </c>
      <c r="M284" s="44">
        <f>3960/145</f>
        <v>27.310344827586206</v>
      </c>
      <c r="N284" s="38">
        <f>1.41*25.4</f>
        <v>35.813999999999993</v>
      </c>
      <c r="O284" s="7">
        <f>K284/N284</f>
        <v>8.5744680851063837</v>
      </c>
      <c r="P284" s="7">
        <f>L284/N284</f>
        <v>8.5744680851063837</v>
      </c>
      <c r="Q284" s="38">
        <f>21.6*25.4</f>
        <v>548.64</v>
      </c>
      <c r="R284" s="32">
        <f>S284/N284</f>
        <v>1.8794326241134751</v>
      </c>
      <c r="S284" s="38">
        <f>2.65*25.4</f>
        <v>67.309999999999988</v>
      </c>
      <c r="T284" s="32">
        <f>U284/N284</f>
        <v>2.5177304964539009</v>
      </c>
      <c r="U284" s="39">
        <f>3.55*25.4</f>
        <v>90.169999999999987</v>
      </c>
      <c r="V284" s="32">
        <f>W284/N284</f>
        <v>9.5602836879432651</v>
      </c>
      <c r="W284" s="7">
        <f>(Q284-X284*N284-2*S284)/(X284-1)</f>
        <v>342.39200000000005</v>
      </c>
      <c r="X284" s="38">
        <v>2</v>
      </c>
      <c r="Y284" s="7">
        <f>AN284</f>
        <v>12</v>
      </c>
      <c r="Z284" s="32">
        <f>AA284/N284</f>
        <v>14.18439716312057</v>
      </c>
      <c r="AA284" s="4">
        <f>20*25.4</f>
        <v>508</v>
      </c>
      <c r="AB284" s="7">
        <f>MIN(S284/N284+0.5, W284/2/N284+0.5)</f>
        <v>2.3794326241134751</v>
      </c>
      <c r="AC284" s="7">
        <f>S284/N284+0.5</f>
        <v>2.3794326241134751</v>
      </c>
      <c r="AD284" s="38">
        <v>3.8</v>
      </c>
      <c r="AE284" s="4">
        <f>AD284</f>
        <v>3.8</v>
      </c>
      <c r="AF284" s="4">
        <f>AE284+1</f>
        <v>4.8</v>
      </c>
      <c r="AG284" s="7">
        <f>N284*AF284^0.5</f>
        <v>78.464542697960056</v>
      </c>
      <c r="AJ284" s="38">
        <f>AK284/0.145</f>
        <v>344.82758620689657</v>
      </c>
      <c r="AK284" s="4">
        <v>50</v>
      </c>
      <c r="AL284" s="4">
        <f>CY284</f>
        <v>1.4397576090914905</v>
      </c>
      <c r="AM284" s="38">
        <f>0.5*25.4</f>
        <v>12.7</v>
      </c>
      <c r="AN284" s="38">
        <v>12</v>
      </c>
      <c r="AO284" s="39">
        <f>4*25.4</f>
        <v>101.6</v>
      </c>
      <c r="AP284" s="39">
        <v>4</v>
      </c>
      <c r="AQ284" s="39">
        <v>2</v>
      </c>
      <c r="AR284" s="7"/>
      <c r="AS284" s="4">
        <f>K284</f>
        <v>307.08599999999996</v>
      </c>
      <c r="AT284" s="4">
        <f>IF(K284*3&gt;W284+N284, Q284, (S284+N284/2)*2+1.5*K284*(2*X284-2))*(3*K284)/(9*K284^2)</f>
        <v>0.59553349875930517</v>
      </c>
      <c r="AU284" s="4">
        <f>MIN(10*M284^0.5*K284^1.5,100*3.9*M284^0.5*K284^(5/3))/(PI()/4*N284^2)/X284</f>
        <v>139.58157114605814</v>
      </c>
      <c r="AV284" s="4">
        <f>MIN(0.7+0.3*(MIN(S284,AA284)+0.5*N284)/1.5/K284,1)</f>
        <v>0.7555004135649297</v>
      </c>
      <c r="AW284" s="4">
        <v>1.25</v>
      </c>
      <c r="AX284" s="4">
        <f>AX283</f>
        <v>1</v>
      </c>
      <c r="AY284" s="38">
        <f>AT284*AV284*AW284*AX284*AU284</f>
        <v>78.501688382299932</v>
      </c>
      <c r="AZ284" s="38">
        <f>AY284</f>
        <v>78.501688382299932</v>
      </c>
      <c r="BA284" s="38">
        <f>IF(M284&lt;50, 0.3*M284^(2/3), 2.12*LN(1+0.1*(M284+8)))</f>
        <v>2.7206502209498358</v>
      </c>
      <c r="BB284" s="38">
        <f>AX284* (M284^0.5/AS284^0.5)/(PI()/4*N284^2)/X284/0.72 *(0.7+(MIN(S284,AA284)+0.5*N284)/5/K284) *(3*Q284*K284)</f>
        <v>78.501688382299932</v>
      </c>
      <c r="BC284" s="38">
        <f>AY284/BB284</f>
        <v>1</v>
      </c>
      <c r="BD284" s="38">
        <f>BH284/BB284</f>
        <v>3.2273301264189893</v>
      </c>
      <c r="BE284" s="4">
        <f>IF(BD284&lt;1,1,0)</f>
        <v>0</v>
      </c>
      <c r="BF284" s="4">
        <f>L284/N284*M284^0.5/0.19</f>
        <v>235.8398441030381</v>
      </c>
      <c r="BG284" s="4">
        <f>MIN(0.6+0.4*(AC284/AB284),2)</f>
        <v>1</v>
      </c>
      <c r="BH284" s="38">
        <f>2*M284*AB284*AD284^0.5*BG284*0.7/0.7</f>
        <v>253.35086389095216</v>
      </c>
      <c r="BI284" s="4">
        <f>MAX(1-0.7*AE284/5,0.3)</f>
        <v>0.46800000000000008</v>
      </c>
      <c r="BJ284" s="4">
        <f>BI284*J284*L284/(J284*N284/2.75/M284^0.5)</f>
        <v>57.669917078515923</v>
      </c>
      <c r="BK284" s="4">
        <f>BH284+BJ284</f>
        <v>311.02078096946809</v>
      </c>
      <c r="BM284" s="4">
        <f>MIN(1.5, 0.75+0.25*MIN(3,MAX(1,S284/N284))+0.4*MIN(1,(40*2*PI()*AM284^2/4/AO284/X284)/N284))</f>
        <v>1.5</v>
      </c>
      <c r="BN284" s="4">
        <f>(3*P284+30)*BM284*M284^0.5</f>
        <v>436.80991870017158</v>
      </c>
      <c r="BP284" s="4">
        <f>3.4/PI()^0.5*M284*AB284*AE284^0.5*BG284</f>
        <v>242.99446126317099</v>
      </c>
      <c r="BQ284" s="4">
        <f>8/3*AH284*AI284^2/(AG284-N284-22)/N284*(AG284^2-N284^2)/(AG284^2-(N284+22)^2)</f>
        <v>0</v>
      </c>
      <c r="BR284" s="4">
        <f>BQ284/BP284</f>
        <v>0</v>
      </c>
      <c r="BZ284" s="4">
        <f>IF(W284=0,S284,MIN(W284/2,S284))</f>
        <v>67.309999999999988</v>
      </c>
      <c r="CD284" s="9"/>
      <c r="CF284" s="9"/>
      <c r="CG284" s="9"/>
      <c r="CH284" s="9">
        <f>IF(W284=0,MIN(S284,U284),MIN(W284/2,S284,U284))</f>
        <v>67.309999999999988</v>
      </c>
      <c r="CI284" s="9">
        <f>MAX(W284/2,S284)</f>
        <v>171.19600000000003</v>
      </c>
      <c r="CJ284" s="9">
        <f>(CH284/N284)^0.5*(CI284/CH284)^0.15</f>
        <v>1.5769774531015164</v>
      </c>
      <c r="CK284" s="70">
        <f>IF(AO284&gt;1,20,0)</f>
        <v>20</v>
      </c>
      <c r="CL284" s="9">
        <f>MIN(PI()*AM284^2/4*AN284*2/X284/N284/MAX(0.01,AO284),0.05)</f>
        <v>0.05</v>
      </c>
      <c r="CM284" s="9">
        <f>MAX(0,CK284*(CL284-0.5/50))</f>
        <v>0.8</v>
      </c>
      <c r="CN284" s="9">
        <f>MIN(1,(25/N284)^0.3)</f>
        <v>0.89777220146327208</v>
      </c>
      <c r="CO284" s="9">
        <f>IF(J284&gt;=800,0.68,IF(J284&gt;=700,0.75-(J284-700)*0.07/100,IF(J284&gt;=600,0.85-(J284-600)*0.1/100,IF(J284&gt;=500,1-(J284-500)*0.15/100,1.2-(J284-400)*0.2/100))))</f>
        <v>0.68</v>
      </c>
      <c r="CP284" s="9">
        <f>1.75*CN284*CO284*(M284/25)^0.5</f>
        <v>1.1166233434875248</v>
      </c>
      <c r="CQ284" s="9">
        <f>MIN((CJ284+CM284)*CP284,2.5*CP284,M284^0.5)</f>
        <v>2.6541885110766765</v>
      </c>
      <c r="CR284" s="40">
        <v>1</v>
      </c>
      <c r="CS284" s="9">
        <f>4*CQ284*P284+60*CQ284</f>
        <v>250.28432938493256</v>
      </c>
      <c r="CU284" s="4">
        <f>AJ284/BF284</f>
        <v>1.4621260776285192</v>
      </c>
      <c r="CV284" s="4">
        <f>AJ284/BK284</f>
        <v>1.1086962907496114</v>
      </c>
      <c r="CW284" s="4">
        <f>AJ284/BN284</f>
        <v>0.78942251868503899</v>
      </c>
      <c r="CX284" s="4">
        <f>AJ284/CS284</f>
        <v>1.3777434130786441</v>
      </c>
      <c r="CY284" s="4">
        <f>AJ284/DZ284</f>
        <v>1.4397576090914905</v>
      </c>
      <c r="CZ284" s="4">
        <f>AJ284/EL284</f>
        <v>0.99108586662496612</v>
      </c>
      <c r="DA284" s="4">
        <f>AJ284/GI284</f>
        <v>0.90287337363807318</v>
      </c>
      <c r="DB284" s="4">
        <f>AN284</f>
        <v>12</v>
      </c>
      <c r="DI284" s="4">
        <f>CU284</f>
        <v>1.4621260776285192</v>
      </c>
      <c r="DJ284" s="4">
        <f>CV284</f>
        <v>1.1086962907496114</v>
      </c>
      <c r="DK284" s="4">
        <f>CX284</f>
        <v>1.3777434130786441</v>
      </c>
      <c r="DL284" s="4">
        <f>DA284</f>
        <v>0.90287337363807318</v>
      </c>
      <c r="DM284" s="4">
        <f>CY284</f>
        <v>1.4397576090914905</v>
      </c>
      <c r="DN284" s="4">
        <f>CZ284</f>
        <v>0.99108586662496612</v>
      </c>
      <c r="DQ284" s="4">
        <f>L284</f>
        <v>307.08599999999996</v>
      </c>
      <c r="DT284" s="4">
        <f>K284/4/(1-0.3*(M284/30)^0.5)/200000/N284</f>
        <v>1.5016286559411316E-5</v>
      </c>
      <c r="DU284" s="4">
        <f>EP284</f>
        <v>5.9931439923967753</v>
      </c>
      <c r="DV284" s="4">
        <f>EC284*AG284/257/M284/AD284</f>
        <v>0.23094498812375355</v>
      </c>
      <c r="DW284" s="4">
        <f>DU284*DV284^0.4</f>
        <v>3.3347104385065554</v>
      </c>
      <c r="DX284" s="4">
        <f>MIN(DU284, DU284/1.4*(1-DV284^1.4)/(1-DV284))</f>
        <v>4.8510456238246222</v>
      </c>
      <c r="DY284" s="4">
        <f>MAX(DU284/2, (4-DT284*(8*AG284*(DW284-DX284)+6*K284*DX284))/(4+DT284*K284*DU284)*DU284)</f>
        <v>5.7735728640608315</v>
      </c>
      <c r="DZ284" s="38">
        <f>MIN(1/N284*(4*AG284*(DW284-DX284)+(3*DX284+DY284)*K284)+EC284 -FJ284,MAX(J284,AJ284))</f>
        <v>239.5039165130637</v>
      </c>
      <c r="EA284" s="4">
        <f>DZ284/FF284</f>
        <v>1.0001334748043282</v>
      </c>
      <c r="EB284" s="4">
        <f>AG284/N284</f>
        <v>2.1908902300206643</v>
      </c>
      <c r="EC284" s="4">
        <f>MIN(EB$10*BB284)</f>
        <v>78.501688382299932</v>
      </c>
      <c r="EG284" s="4">
        <f>IF(U284&gt;1*N284,0.85,1)</f>
        <v>0.85</v>
      </c>
      <c r="EH284" s="4">
        <f>MIN(1,MAX(0.7,(1-0.1*(BZ284-1*N284)/N284)))</f>
        <v>0.91205673758865247</v>
      </c>
      <c r="EI284" s="4">
        <f>MIN(1,MAX(0.7,1-0.3*(PI()*AM284^2/4*AQ284*2-0.25*PI()/4*N284^2)/(PI()/4*N284^2)))</f>
        <v>0.92410215783914285</v>
      </c>
      <c r="EJ284" s="4">
        <f>IF(EH284*EI284&lt;0.7,0.7,EH284*EI284)</f>
        <v>0.84283359927740265</v>
      </c>
      <c r="EL284" s="4">
        <f>MIN(DU284/N284*3*K284+EM284-FJ284,MAX(J284,AJ284))</f>
        <v>347.92907236299209</v>
      </c>
      <c r="EM284" s="25">
        <f>13.3*Q284*K284^0.5*M284^0.5/X284/N284^2*(0.7+S284/5/K284)</f>
        <v>193.76500668623251</v>
      </c>
      <c r="EO284" s="4">
        <f>EG284*EJ284</f>
        <v>0.71640855938579218</v>
      </c>
      <c r="EP284" s="4">
        <f>IF(N284&lt;22.2,1.1*5*(M284/30)^0.5,IF(N284&gt;=31.8,0.9*5*(M284/30)^0.5,1*5*(M284/30)^0.5))/EG284/EJ284</f>
        <v>5.9931439923967753</v>
      </c>
      <c r="ES284" s="4">
        <f>ET284*N284</f>
        <v>78.464542697960056</v>
      </c>
      <c r="ET284" s="4">
        <f>AF284^0.5</f>
        <v>2.1908902300206643</v>
      </c>
      <c r="EU284" s="4">
        <f>MIN(EC284)/(4700*M284^0.5)/AE284*ES284</f>
        <v>6.5994447758796149E-2</v>
      </c>
      <c r="EX284" s="4">
        <f>EU284</f>
        <v>6.5994447758796149E-2</v>
      </c>
      <c r="EY284" s="4">
        <f>MIN(0.999, EX284/(0.3*(M284/30)^0.5))</f>
        <v>0.23055958398086973</v>
      </c>
      <c r="EZ284" s="4">
        <f>EP284/1*EY284^0.4</f>
        <v>3.3324833189912764</v>
      </c>
      <c r="FA284" s="4">
        <f>EP284/1.4*(1-EY284^1.4)/(1-EY284)</f>
        <v>4.8502855507259008</v>
      </c>
      <c r="FB284" s="4">
        <f>MAX(0,DQ284*FB$9-ES284)</f>
        <v>151.84995730203991</v>
      </c>
      <c r="FC284" s="4">
        <f>MAX(0,DQ284-ES284-FB284)</f>
        <v>76.771500000000003</v>
      </c>
      <c r="FD284" s="4">
        <f>FC284/(1-0.3*(M284/30)^0.5)/200000/N284</f>
        <v>1.5016286559411316E-5</v>
      </c>
      <c r="FE284" s="4">
        <f>MAX(0.5*EP284, (1-2*FD284*(ES284*EZ284+FB284*FA284))/(1/EP284+FD284*FC284))</f>
        <v>5.7736247327187362</v>
      </c>
      <c r="FF284" s="4">
        <f>MIN(4/N284*(1*EZ284*ES284+FA284*FB284+FC284*FE284)+EC284,MAX(J284,AJ284))</f>
        <v>239.47195304098943</v>
      </c>
      <c r="FO284" s="23">
        <f>IF(CU284&lt;0.6,0.6,IF(CU284&lt;0.8,0.8,IF(CU284&lt;1,1,IF(CU284&lt;1.2,1.2,IF(CU284&lt;1.4,1.4,IF(CU284&lt;1.6,1.6,IF(CU284&lt;1.8,1.8,IF(CU284&lt;2,2,2.2))))))))</f>
        <v>1.6</v>
      </c>
      <c r="FP284" s="23">
        <f>IF(CV284&lt;0.6,0.6,IF(CV284&lt;0.8,0.8,IF(CV284&lt;1,1,IF(CV284&lt;1.2,1.2,IF(CV284&lt;1.4,1.4,IF(CV284&lt;1.6,1.6,IF(CV284&lt;1.8,1.8,IF(CV284&lt;2,2,2.2))))))))</f>
        <v>1.2</v>
      </c>
      <c r="FQ284" s="23">
        <f>IF(DA284&lt;0.6,0.6,IF(DA284&lt;0.8,0.8,IF(DA284&lt;1,1,IF(DA284&lt;1.2,1.2,IF(DA284&lt;1.4,1.4,IF(DA284&lt;1.6,1.6,IF(DA284&lt;1.8,1.8,IF(DA284&lt;2,2,2.2))))))))</f>
        <v>1</v>
      </c>
      <c r="FR284" s="23">
        <f>IF(CX284&lt;0.6,0.6,IF(CX284&lt;0.8,0.8,IF(CX284&lt;1,1,IF(CX284&lt;1.2,1.2,IF(CX284&lt;1.4,1.4,IF(CX284&lt;1.6,1.6,IF(CX284&lt;1.8,1.8,IF(CX284&lt;2,2,2.2))))))))</f>
        <v>1.4</v>
      </c>
      <c r="FS284" s="23">
        <f>IF(CY284&lt;0.6,0.6,IF(CY284&lt;0.8,0.8,IF(CY284&lt;1,1,IF(CY284&lt;1.2,1.2,IF(CY284&lt;1.4,1.4,IF(CY284&lt;1.6,1.6,IF(CY284&lt;1.8,1.8,IF(CY284&lt;2,2,2.2))))))))</f>
        <v>1.6</v>
      </c>
      <c r="FT284" s="23">
        <f>IF(CZ284&lt;0.6,0.6,IF(CZ284&lt;0.8,0.8,IF(CZ284&lt;1,1,IF(CZ284&lt;1.2,1.2,IF(CZ284&lt;1.4,1.4,IF(CZ284&lt;1.6,1.6,IF(CZ284&lt;1.8,1.8,IF(CZ284&lt;2,2,2.2))))))))</f>
        <v>1</v>
      </c>
      <c r="FU284" s="23">
        <f>IF(FS284&lt;1,1,0)</f>
        <v>0</v>
      </c>
      <c r="FV284" s="23"/>
      <c r="GF284" s="4">
        <f>IF(S284&gt;=2.5*25.4,1,1.25)</f>
        <v>1</v>
      </c>
      <c r="GG284" s="4">
        <f>IF(AO284&gt;1, 0.05*(18-MIN(8,(W284+N284)/N284))*(1-48000/MAX(60000,(J284*145))*(N284/25.4)^0.75*GH284), 1/12*(14-MIN(8,(W284+N284)/N284)))</f>
        <v>0.43098983553339404</v>
      </c>
      <c r="GH284" s="4">
        <f>MIN(0.3, AM284^2*PI()/4*2*AP284/(N284^2*PI()/4*X284))</f>
        <v>0.3</v>
      </c>
      <c r="GI284" s="4">
        <f>(K284/25.4)/(N284/25.4)^1.5/0.0024*(M284*145)^0.25/GF284/GG284/145</f>
        <v>381.92242265095808</v>
      </c>
    </row>
    <row r="285" spans="1:191" ht="12" customHeight="1" x14ac:dyDescent="0.3">
      <c r="A285" s="25">
        <v>317</v>
      </c>
      <c r="B285" s="4" t="s">
        <v>605</v>
      </c>
      <c r="C285" s="4">
        <v>2016</v>
      </c>
      <c r="D285" s="4" t="s">
        <v>309</v>
      </c>
      <c r="E285" s="24" t="s">
        <v>478</v>
      </c>
      <c r="F285" s="24"/>
      <c r="G285" s="24">
        <v>16</v>
      </c>
      <c r="H285" s="7" t="s">
        <v>479</v>
      </c>
      <c r="I285" s="5">
        <f>K285/N285</f>
        <v>12.06</v>
      </c>
      <c r="J285" s="38">
        <f>129/0.145</f>
        <v>889.65517241379314</v>
      </c>
      <c r="K285" s="89">
        <f>12.06*25.4</f>
        <v>306.32400000000001</v>
      </c>
      <c r="L285" s="4">
        <f>K285</f>
        <v>306.32400000000001</v>
      </c>
      <c r="M285" s="89">
        <f>12080/145</f>
        <v>83.310344827586206</v>
      </c>
      <c r="N285" s="96">
        <f>1*25.4</f>
        <v>25.4</v>
      </c>
      <c r="O285" s="7">
        <f>K285/N285</f>
        <v>12.06</v>
      </c>
      <c r="P285" s="7">
        <f>L285/N285</f>
        <v>12.06</v>
      </c>
      <c r="Q285" s="38">
        <f>15*25.4</f>
        <v>381</v>
      </c>
      <c r="R285" s="32">
        <f>S285/N285</f>
        <v>2.5</v>
      </c>
      <c r="S285" s="38">
        <f>2.5*25.4</f>
        <v>63.5</v>
      </c>
      <c r="T285" s="32">
        <f>U285/N285</f>
        <v>2.9999999999999996</v>
      </c>
      <c r="U285" s="39">
        <f>3*25.4</f>
        <v>76.199999999999989</v>
      </c>
      <c r="V285" s="32">
        <f>W285/N285</f>
        <v>8</v>
      </c>
      <c r="W285" s="7">
        <f>(Q285-X285*N285-2*S285)/(X285-1)</f>
        <v>203.2</v>
      </c>
      <c r="X285" s="38">
        <v>2</v>
      </c>
      <c r="Y285" s="7">
        <f>AN285</f>
        <v>0</v>
      </c>
      <c r="Z285" s="32">
        <f>AA285/N285</f>
        <v>10.25</v>
      </c>
      <c r="AA285" s="4">
        <f>10.25*25.4</f>
        <v>260.34999999999997</v>
      </c>
      <c r="AB285" s="7">
        <f>MIN(S285/N285+0.5, W285/2/N285+0.5)</f>
        <v>3</v>
      </c>
      <c r="AC285" s="7">
        <f>S285/N285+0.5</f>
        <v>3</v>
      </c>
      <c r="AD285" s="38">
        <v>4.0999999999999996</v>
      </c>
      <c r="AE285" s="4">
        <f>AD285</f>
        <v>4.0999999999999996</v>
      </c>
      <c r="AF285" s="4">
        <f>AE285+1</f>
        <v>5.0999999999999996</v>
      </c>
      <c r="AG285" s="7">
        <f>N285*AF285^0.5</f>
        <v>57.361276136431961</v>
      </c>
      <c r="AJ285" s="38">
        <f>AK285/0.145</f>
        <v>690.34482758620686</v>
      </c>
      <c r="AK285" s="4">
        <v>100.1</v>
      </c>
      <c r="AL285" s="4">
        <f>CY285</f>
        <v>1.1610070301058955</v>
      </c>
      <c r="AM285" s="38">
        <v>0</v>
      </c>
      <c r="AN285" s="38">
        <v>0</v>
      </c>
      <c r="AO285" s="39">
        <f>L285</f>
        <v>306.32400000000001</v>
      </c>
      <c r="AP285" s="39"/>
      <c r="AQ285" s="39"/>
      <c r="AR285" s="7"/>
      <c r="AS285" s="4">
        <f>K285</f>
        <v>306.32400000000001</v>
      </c>
      <c r="AT285" s="4">
        <f>IF(K285*3&gt;W285+N285, Q285, (S285+N285/2)*2+1.5*K285*(2*X285-2))*(3*K285)/(9*K285^2)</f>
        <v>0.41459369817578773</v>
      </c>
      <c r="AU285" s="4">
        <f>MIN(10*M285^0.5*K285^1.5,100*3.9*M285^0.5*K285^(5/3))/(PI()/4*N285^2)/X285</f>
        <v>482.87385616153779</v>
      </c>
      <c r="AV285" s="4">
        <f>MIN(0.7+0.3*(MIN(S285,AA285)+0.5*N285)/1.5/K285,1)</f>
        <v>0.74975124378109448</v>
      </c>
      <c r="AW285" s="4">
        <v>1.25</v>
      </c>
      <c r="AX285" s="4">
        <f>AX284</f>
        <v>1</v>
      </c>
      <c r="AY285" s="38">
        <f>AT285*AV285*AW285*AX285*AU285</f>
        <v>187.62192902492032</v>
      </c>
      <c r="AZ285" s="38">
        <f>AY285</f>
        <v>187.62192902492032</v>
      </c>
      <c r="BA285" s="38">
        <f>IF(M285&lt;50, 0.3*M285^(2/3), 2.12*LN(1+0.1*(M285+8)))</f>
        <v>4.9090792795570026</v>
      </c>
      <c r="BB285" s="38">
        <f>AX285* (M285^0.5/AS285^0.5)/(PI()/4*N285^2)/X285/0.72 *(0.7+(MIN(S285,AA285)+0.5*N285)/5/K285) *(3*Q285*K285)</f>
        <v>187.62192902492038</v>
      </c>
      <c r="BC285" s="38">
        <f>AY285/BB285</f>
        <v>0.99999999999999967</v>
      </c>
      <c r="BD285" s="38">
        <f>BH285/BB285</f>
        <v>5.3945908816076118</v>
      </c>
      <c r="BE285" s="4">
        <f>IF(BD285&lt;1,1,0)</f>
        <v>0</v>
      </c>
      <c r="BF285" s="4">
        <f>L285/N285*M285^0.5/0.19</f>
        <v>579.35288355479452</v>
      </c>
      <c r="BG285" s="4">
        <f>MIN(0.6+0.4*(AC285/AB285),2)</f>
        <v>1</v>
      </c>
      <c r="BH285" s="38">
        <f>2*M285*AB285*AD285^0.5*BG285*0.7/0.7</f>
        <v>1012.143547507466</v>
      </c>
      <c r="BI285" s="4">
        <f>MAX(1-0.7*AE285/5,0.3)</f>
        <v>0.42600000000000005</v>
      </c>
      <c r="BJ285" s="4">
        <f>BI285*J285*L285/(J285*N285/2.75/M285^0.5)</f>
        <v>128.95526158604397</v>
      </c>
      <c r="BK285" s="4">
        <f>BH285+BJ285</f>
        <v>1141.09880909351</v>
      </c>
      <c r="BM285" s="4">
        <f>MIN(1.5, 0.75+0.25*MIN(3,MAX(1,S285/N285))+0.4*MIN(1,(40*2*PI()*AM285^2/4/AO285/X285)/N285))</f>
        <v>1.375</v>
      </c>
      <c r="BN285" s="4">
        <f>(3*P285+30)*BM285*M285^0.5</f>
        <v>830.57513798032426</v>
      </c>
      <c r="BP285" s="4">
        <f>3.4/PI()^0.5*M285*AB285*AE285^0.5*BG285</f>
        <v>970.76943914993626</v>
      </c>
      <c r="BQ285" s="4">
        <f>8/3*AH285*AI285^2/(AG285-N285-22)/N285*(AG285^2-N285^2)/(AG285^2-(N285+22)^2)</f>
        <v>0</v>
      </c>
      <c r="BR285" s="4">
        <f>BQ285/BP285</f>
        <v>0</v>
      </c>
      <c r="BZ285" s="4">
        <f>IF(W285=0,S285,MIN(W285/2,S285))</f>
        <v>63.5</v>
      </c>
      <c r="CD285" s="9"/>
      <c r="CF285" s="9"/>
      <c r="CG285" s="9"/>
      <c r="CH285" s="9">
        <f>IF(W285=0,MIN(S285,U285),MIN(W285/2,S285,U285))</f>
        <v>63.5</v>
      </c>
      <c r="CI285" s="9">
        <f>MAX(W285/2,S285)</f>
        <v>101.6</v>
      </c>
      <c r="CJ285" s="9">
        <f>(CH285/N285)^0.5*(CI285/CH285)^0.15</f>
        <v>1.6966333587625264</v>
      </c>
      <c r="CK285" s="70">
        <f>IF(AO285&gt;1,20,0)</f>
        <v>20</v>
      </c>
      <c r="CL285" s="9">
        <f>MIN(PI()*AM285^2/4*AN285*2/X285/N285/MAX(0.01,AO285),0.05)</f>
        <v>0</v>
      </c>
      <c r="CM285" s="9">
        <f>MAX(0,CK285*(CL285-0.5/50))</f>
        <v>0</v>
      </c>
      <c r="CN285" s="9">
        <f>MIN(1,(25/N285)^0.3)</f>
        <v>0.99524931562137331</v>
      </c>
      <c r="CO285" s="9">
        <f>IF(J285&gt;=800,0.68,IF(J285&gt;=700,0.75-(J285-700)*0.07/100,IF(J285&gt;=600,0.85-(J285-600)*0.1/100,IF(J285&gt;=500,1-(J285-500)*0.15/100,1.2-(J285-400)*0.2/100))))</f>
        <v>0.68</v>
      </c>
      <c r="CP285" s="9">
        <f>1.75*CN285*CO285*(M285/25)^0.5</f>
        <v>2.1620130482705213</v>
      </c>
      <c r="CQ285" s="9">
        <f>MIN((CJ285+CM285)*CP285,2.5*CP285,M285^0.5)</f>
        <v>3.6681434597756226</v>
      </c>
      <c r="CR285" s="40">
        <v>1</v>
      </c>
      <c r="CS285" s="9">
        <f>4*CQ285*P285+60*CQ285</f>
        <v>397.03984808611341</v>
      </c>
      <c r="CU285" s="4">
        <f>AJ285/BF285</f>
        <v>1.1915791690728934</v>
      </c>
      <c r="CV285" s="4">
        <f>AJ285/BK285</f>
        <v>0.60498251517291257</v>
      </c>
      <c r="CW285" s="4">
        <f>AJ285/BN285</f>
        <v>0.83116481100661199</v>
      </c>
      <c r="CX285" s="4">
        <f>AJ285/CS285</f>
        <v>1.7387293263231325</v>
      </c>
      <c r="CY285" s="4">
        <f>AJ285/DZ285</f>
        <v>1.1610070301058955</v>
      </c>
      <c r="CZ285" s="4">
        <f>AJ285/EL285</f>
        <v>0.78234204586737066</v>
      </c>
      <c r="DA285" s="4">
        <f>AJ285/GI285</f>
        <v>0.9500605438440255</v>
      </c>
      <c r="DB285" s="4">
        <f>AN285</f>
        <v>0</v>
      </c>
      <c r="DC285" s="4">
        <f>CU285</f>
        <v>1.1915791690728934</v>
      </c>
      <c r="DD285" s="4">
        <f>CV285</f>
        <v>0.60498251517291257</v>
      </c>
      <c r="DE285" s="4">
        <f>CX285</f>
        <v>1.7387293263231325</v>
      </c>
      <c r="DF285" s="4">
        <f>DA285</f>
        <v>0.9500605438440255</v>
      </c>
      <c r="DG285" s="4">
        <f>CY285</f>
        <v>1.1610070301058955</v>
      </c>
      <c r="DH285" s="4">
        <f>CZ285</f>
        <v>0.78234204586737066</v>
      </c>
      <c r="DQ285" s="4">
        <f>L285</f>
        <v>306.32400000000001</v>
      </c>
      <c r="DT285" s="4">
        <f>K285/4/(1-0.3*(M285/30)^0.5)/200000/N285</f>
        <v>3.0145841666072216E-5</v>
      </c>
      <c r="DU285" s="4">
        <f>EP285</f>
        <v>11.53243436507174</v>
      </c>
      <c r="DV285" s="4">
        <f>EC285*AG285/257/M285/AD285</f>
        <v>0.12259887624050667</v>
      </c>
      <c r="DW285" s="4">
        <f>DU285*DV285^0.4</f>
        <v>4.9809890538011707</v>
      </c>
      <c r="DX285" s="4">
        <f>MIN(DU285, DU285/1.4*(1-DV285^1.4)/(1-DV285))</f>
        <v>8.891332114447744</v>
      </c>
      <c r="DY285" s="4">
        <f>MAX(DU285/2, (4-DT285*(8*AG285*(DW285-DX285)+6*K285*DX285))/(4+DT285*K285*DU285)*DU285)</f>
        <v>10.001784495179475</v>
      </c>
      <c r="DZ285" s="38">
        <f>MIN(1/N285*(4*AG285*(DW285-DX285)+(3*DX285+DY285)*K285)+EC285 -FJ285,MAX(J285,AJ285))</f>
        <v>594.60865411231873</v>
      </c>
      <c r="EA285" s="4">
        <f>DZ285/FF285</f>
        <v>1.0000874015888108</v>
      </c>
      <c r="EB285" s="4">
        <f>AG285/N285</f>
        <v>2.2583179581272428</v>
      </c>
      <c r="EC285" s="4">
        <f>MIN(EB$10*BB285)</f>
        <v>187.62192902492038</v>
      </c>
      <c r="EG285" s="4">
        <f>IF(U285&gt;1*N285,0.85,1)</f>
        <v>0.85</v>
      </c>
      <c r="EH285" s="4">
        <f>MIN(1,MAX(0.7,(1-0.1*(BZ285-1*N285)/N285)))</f>
        <v>0.85</v>
      </c>
      <c r="EI285" s="4">
        <f>MIN(1,MAX(0.7,1-0.3*(PI()*AM285^2/4*AQ285*2-0.25*PI()/4*N285^2)/(PI()/4*N285^2)))</f>
        <v>1</v>
      </c>
      <c r="EJ285" s="4">
        <f>IF(EH285*EI285&lt;0.7,0.7,EH285*EI285)</f>
        <v>0.85</v>
      </c>
      <c r="EL285" s="4">
        <f>MIN(DU285/N285*3*K285+EM285-FJ285,MAX(J285,AJ285))</f>
        <v>882.40793299154984</v>
      </c>
      <c r="EM285" s="25">
        <f>13.3*Q285*K285^0.5*M285^0.5/X285/N285^2*(0.7+S285/5/K285)</f>
        <v>465.16445766325421</v>
      </c>
      <c r="EO285" s="4">
        <f>EG285*EJ285</f>
        <v>0.72249999999999992</v>
      </c>
      <c r="EP285" s="4">
        <f>IF(N285&lt;22.2,1.1*5*(M285/30)^0.5,IF(N285&gt;=31.8,0.9*5*(M285/30)^0.5,1*5*(M285/30)^0.5))/EG285/EJ285</f>
        <v>11.53243436507174</v>
      </c>
      <c r="ES285" s="4">
        <f>ET285*N285</f>
        <v>57.361276136431961</v>
      </c>
      <c r="ET285" s="4">
        <f>AF285^0.5</f>
        <v>2.2583179581272428</v>
      </c>
      <c r="EU285" s="4">
        <f>MIN(EC285)/(4700*M285^0.5)/AE285*ES285</f>
        <v>6.1188699215540078E-2</v>
      </c>
      <c r="EX285" s="4">
        <f>EU285</f>
        <v>6.1188699215540078E-2</v>
      </c>
      <c r="EY285" s="4">
        <f>MIN(0.999, EX285/(0.3*(M285/30)^0.5))</f>
        <v>0.12239428156538565</v>
      </c>
      <c r="EZ285" s="4">
        <f>EP285/1*EY285^0.4</f>
        <v>4.9776624507477178</v>
      </c>
      <c r="FA285" s="4">
        <f>EP285/1.4*(1-EY285^1.4)/(1-EY285)</f>
        <v>8.8904201153608078</v>
      </c>
      <c r="FB285" s="4">
        <f>MAX(0,DQ285*FB$9-ES285)</f>
        <v>172.38172386356803</v>
      </c>
      <c r="FC285" s="4">
        <f>MAX(0,DQ285-ES285-FB285)</f>
        <v>76.581000000000017</v>
      </c>
      <c r="FD285" s="4">
        <f>FC285/(1-0.3*(M285/30)^0.5)/200000/N285</f>
        <v>3.0145841666072219E-5</v>
      </c>
      <c r="FE285" s="4">
        <f>MAX(0.5*EP285, (1-2*FD285*(ES285*EZ285+FB285*FA285))/(1/EP285+FD285*FC285))</f>
        <v>10.00202020842274</v>
      </c>
      <c r="FF285" s="4">
        <f>MIN(4/N285*(1*EZ285*ES285+FA285*FB285+FC285*FE285)+EC285,MAX(J285,AJ285))</f>
        <v>594.55668891306959</v>
      </c>
      <c r="FO285" s="23">
        <f>IF(CU285&lt;0.6,0.6,IF(CU285&lt;0.8,0.8,IF(CU285&lt;1,1,IF(CU285&lt;1.2,1.2,IF(CU285&lt;1.4,1.4,IF(CU285&lt;1.6,1.6,IF(CU285&lt;1.8,1.8,IF(CU285&lt;2,2,2.2))))))))</f>
        <v>1.2</v>
      </c>
      <c r="FP285" s="23">
        <f>IF(CV285&lt;0.6,0.6,IF(CV285&lt;0.8,0.8,IF(CV285&lt;1,1,IF(CV285&lt;1.2,1.2,IF(CV285&lt;1.4,1.4,IF(CV285&lt;1.6,1.6,IF(CV285&lt;1.8,1.8,IF(CV285&lt;2,2,2.2))))))))</f>
        <v>0.8</v>
      </c>
      <c r="FQ285" s="23">
        <f>IF(DA285&lt;0.6,0.6,IF(DA285&lt;0.8,0.8,IF(DA285&lt;1,1,IF(DA285&lt;1.2,1.2,IF(DA285&lt;1.4,1.4,IF(DA285&lt;1.6,1.6,IF(DA285&lt;1.8,1.8,IF(DA285&lt;2,2,2.2))))))))</f>
        <v>1</v>
      </c>
      <c r="FR285" s="23">
        <f>IF(CX285&lt;0.6,0.6,IF(CX285&lt;0.8,0.8,IF(CX285&lt;1,1,IF(CX285&lt;1.2,1.2,IF(CX285&lt;1.4,1.4,IF(CX285&lt;1.6,1.6,IF(CX285&lt;1.8,1.8,IF(CX285&lt;2,2,2.2))))))))</f>
        <v>1.8</v>
      </c>
      <c r="FS285" s="23">
        <f>IF(CY285&lt;0.6,0.6,IF(CY285&lt;0.8,0.8,IF(CY285&lt;1,1,IF(CY285&lt;1.2,1.2,IF(CY285&lt;1.4,1.4,IF(CY285&lt;1.6,1.6,IF(CY285&lt;1.8,1.8,IF(CY285&lt;2,2,2.2))))))))</f>
        <v>1.2</v>
      </c>
      <c r="FT285" s="23">
        <f>IF(CZ285&lt;0.6,0.6,IF(CZ285&lt;0.8,0.8,IF(CZ285&lt;1,1,IF(CZ285&lt;1.2,1.2,IF(CZ285&lt;1.4,1.4,IF(CZ285&lt;1.6,1.6,IF(CZ285&lt;1.8,1.8,IF(CZ285&lt;2,2,2.2))))))))</f>
        <v>0.8</v>
      </c>
      <c r="FU285" s="23">
        <f>IF(FS285&lt;1,1,0)</f>
        <v>0</v>
      </c>
      <c r="FV285" s="23"/>
      <c r="GF285" s="4">
        <f>IF(S285&gt;=2.5*25.4,1,1.25)</f>
        <v>1</v>
      </c>
      <c r="GG285" s="4">
        <f>IF(AO285&gt;1, 0.05*(18-MIN(8,(W285+N285)/N285))*(1-48000/MAX(60000,(J285*145))*(N285/25.4)^0.75*GH285), 1/12*(14-MIN(8,(W285+N285)/N285)))</f>
        <v>0.5</v>
      </c>
      <c r="GH285" s="4">
        <f>MIN(0.3, AM285^2*PI()/4*2*AP285/(N285^2*PI()/4*X285))</f>
        <v>0</v>
      </c>
      <c r="GI285" s="4">
        <f>(K285/25.4)/(N285/25.4)^1.5/0.0024*(M285*145)^0.25/GF285/GG285/145</f>
        <v>726.63245733057511</v>
      </c>
    </row>
    <row r="286" spans="1:191" ht="12" customHeight="1" x14ac:dyDescent="0.3">
      <c r="A286" s="25">
        <v>233</v>
      </c>
      <c r="B286" s="4" t="s">
        <v>605</v>
      </c>
      <c r="C286" s="4">
        <v>2016</v>
      </c>
      <c r="D286" s="4" t="s">
        <v>309</v>
      </c>
      <c r="E286" s="24" t="s">
        <v>661</v>
      </c>
      <c r="F286" s="24"/>
      <c r="G286" s="24">
        <v>39</v>
      </c>
      <c r="H286" s="7" t="s">
        <v>386</v>
      </c>
      <c r="I286" s="5">
        <f>K286/N286</f>
        <v>12.06</v>
      </c>
      <c r="J286" s="91">
        <f>120/0.145</f>
        <v>827.58620689655174</v>
      </c>
      <c r="K286" s="38">
        <f>12.06*25.4</f>
        <v>306.32400000000001</v>
      </c>
      <c r="L286" s="4">
        <f>K286</f>
        <v>306.32400000000001</v>
      </c>
      <c r="M286" s="89">
        <f>5380/145</f>
        <v>37.103448275862071</v>
      </c>
      <c r="N286" s="96">
        <f>1*25.4</f>
        <v>25.4</v>
      </c>
      <c r="O286" s="7">
        <f>K286/N286</f>
        <v>12.06</v>
      </c>
      <c r="P286" s="7">
        <f>L286/N286</f>
        <v>12.06</v>
      </c>
      <c r="Q286" s="38">
        <f>20*25.4</f>
        <v>508</v>
      </c>
      <c r="R286" s="32">
        <f>S286/N286</f>
        <v>4</v>
      </c>
      <c r="S286" s="38">
        <f>4*25.4</f>
        <v>101.6</v>
      </c>
      <c r="T286" s="32">
        <f>U286/N286</f>
        <v>3.75</v>
      </c>
      <c r="U286" s="39">
        <f>3.75*25.4</f>
        <v>95.25</v>
      </c>
      <c r="V286" s="32">
        <f>W286/N286</f>
        <v>10</v>
      </c>
      <c r="W286" s="7">
        <f>(Q286-X286*N286-2*S286)/(X286-1)</f>
        <v>254</v>
      </c>
      <c r="X286" s="38">
        <v>2</v>
      </c>
      <c r="Y286" s="7">
        <f>AN286</f>
        <v>8</v>
      </c>
      <c r="Z286" s="32">
        <f>AA286/N286</f>
        <v>10.25</v>
      </c>
      <c r="AA286" s="4">
        <f>10.25*25.4</f>
        <v>260.34999999999997</v>
      </c>
      <c r="AB286" s="7">
        <f>MIN(S286/N286+0.5, W286/2/N286+0.5)</f>
        <v>4.5</v>
      </c>
      <c r="AC286" s="7">
        <f>S286/N286+0.5</f>
        <v>4.5</v>
      </c>
      <c r="AD286" s="38">
        <v>4</v>
      </c>
      <c r="AE286" s="4">
        <f>AD286</f>
        <v>4</v>
      </c>
      <c r="AF286" s="4">
        <f>AE286+1</f>
        <v>5</v>
      </c>
      <c r="AG286" s="7">
        <f>N286*AF286^0.5</f>
        <v>56.796126628494655</v>
      </c>
      <c r="AJ286" s="38">
        <f>121.7/0.145</f>
        <v>839.31034482758628</v>
      </c>
      <c r="AL286" s="4">
        <f>CY286</f>
        <v>1.5779241384977041</v>
      </c>
      <c r="AM286" s="38">
        <f>0.375*25.4</f>
        <v>9.5249999999999986</v>
      </c>
      <c r="AN286" s="38">
        <v>8</v>
      </c>
      <c r="AO286" s="39">
        <f>3*25.4</f>
        <v>76.199999999999989</v>
      </c>
      <c r="AP286" s="39">
        <v>3</v>
      </c>
      <c r="AQ286" s="39">
        <v>1</v>
      </c>
      <c r="AR286" s="7"/>
      <c r="AS286" s="4">
        <f>K286</f>
        <v>306.32400000000001</v>
      </c>
      <c r="AT286" s="4">
        <f>IF(K286*3&gt;W286+N286, Q286, (S286+N286/2)*2+1.5*K286*(2*X286-2))*(3*K286)/(9*K286^2)</f>
        <v>0.55279159756771701</v>
      </c>
      <c r="AU286" s="4">
        <f>MIN(10*M286^0.5*K286^1.5,100*3.9*M286^0.5*K286^(5/3))/(PI()/4*N286^2)/X286</f>
        <v>322.24884028531784</v>
      </c>
      <c r="AV286" s="4">
        <f>MIN(0.7+0.3*(MIN(S286,AA286)+0.5*N286)/1.5/K286,1)</f>
        <v>0.77462686567164174</v>
      </c>
      <c r="AW286" s="4">
        <v>1.25</v>
      </c>
      <c r="AX286" s="4">
        <f>AX285</f>
        <v>1</v>
      </c>
      <c r="AY286" s="38">
        <f>AT286*AV286*AW286*AX286*AU286</f>
        <v>172.48660110319048</v>
      </c>
      <c r="AZ286" s="38">
        <f>AY286</f>
        <v>172.48660110319048</v>
      </c>
      <c r="BA286" s="38">
        <f>IF(M286&lt;50, 0.3*M286^(2/3), 2.12*LN(1+0.1*(M286+8)))</f>
        <v>3.3373168177886376</v>
      </c>
      <c r="BB286" s="38">
        <f>AX286* (M286^0.5/AS286^0.5)/(PI()/4*N286^2)/X286/0.72 *(0.7+(MIN(S286,AA286)+0.5*N286)/5/K286) *(3*Q286*K286)</f>
        <v>172.48660110319054</v>
      </c>
      <c r="BC286" s="38">
        <f>AY286/BB286</f>
        <v>0.99999999999999967</v>
      </c>
      <c r="BD286" s="38">
        <f>BH286/BB286</f>
        <v>3.8719649218780026</v>
      </c>
      <c r="BE286" s="4">
        <f>IF(BD286&lt;1,1,0)</f>
        <v>0</v>
      </c>
      <c r="BF286" s="4">
        <f>L286/N286*M286^0.5/0.19</f>
        <v>386.63471310203067</v>
      </c>
      <c r="BG286" s="4">
        <f>MIN(0.6+0.4*(AC286/AB286),2)</f>
        <v>1</v>
      </c>
      <c r="BH286" s="38">
        <f>2*M286*AB286*AD286^0.5*BG286*0.7/0.7</f>
        <v>667.86206896551732</v>
      </c>
      <c r="BI286" s="4">
        <f>MAX(1-0.7*AE286/5,0.3)</f>
        <v>0.44000000000000006</v>
      </c>
      <c r="BJ286" s="4">
        <f>BI286*J286*L286/(J286*N286/2.75/M286^0.5)</f>
        <v>88.887320542156857</v>
      </c>
      <c r="BK286" s="4">
        <f>BH286+BJ286</f>
        <v>756.74938950767421</v>
      </c>
      <c r="BM286" s="4">
        <f>MIN(1.5, 0.75+0.25*MIN(3,MAX(1,S286/N286))+0.4*MIN(1,(40*2*PI()*AM286^2/4/AO286/X286)/N286))</f>
        <v>1.5</v>
      </c>
      <c r="BN286" s="4">
        <f>(3*P286+30)*BM286*M286^0.5</f>
        <v>604.67937928949675</v>
      </c>
      <c r="BP286" s="4">
        <f>3.4/PI()^0.5*M286*AB286*AE286^0.5*BG286</f>
        <v>640.56139834689668</v>
      </c>
      <c r="BQ286" s="4">
        <f>8/3*AH286*AI286^2/(AG286-N286-22)/N286*(AG286^2-N286^2)/(AG286^2-(N286+22)^2)</f>
        <v>0</v>
      </c>
      <c r="BR286" s="4">
        <f>BQ286/BP286</f>
        <v>0</v>
      </c>
      <c r="BZ286" s="4">
        <f>IF(W286=0,S286,MIN(W286/2,S286))</f>
        <v>101.6</v>
      </c>
      <c r="CD286" s="9"/>
      <c r="CF286" s="9"/>
      <c r="CG286" s="9"/>
      <c r="CH286" s="9">
        <f>IF(W286=0,MIN(S286,U286),MIN(W286/2,S286,U286))</f>
        <v>95.25</v>
      </c>
      <c r="CI286" s="9">
        <f>MAX(W286/2,S286)</f>
        <v>127</v>
      </c>
      <c r="CJ286" s="9">
        <f>(CH286/N286)^0.5*(CI286/CH286)^0.15</f>
        <v>2.0218849722190098</v>
      </c>
      <c r="CK286" s="70">
        <f>IF(AO286&gt;1,20,0)</f>
        <v>20</v>
      </c>
      <c r="CL286" s="9">
        <f>MIN(PI()*AM286^2/4*AN286*2/X286/N286/MAX(0.01,AO286),0.05)</f>
        <v>0.05</v>
      </c>
      <c r="CM286" s="9">
        <f>MAX(0,CK286*(CL286-0.5/50))</f>
        <v>0.8</v>
      </c>
      <c r="CN286" s="9">
        <f>MIN(1,(25/N286)^0.3)</f>
        <v>0.99524931562137331</v>
      </c>
      <c r="CO286" s="9">
        <f>IF(J286&gt;=800,0.68,IF(J286&gt;=700,0.75-(J286-700)*0.07/100,IF(J286&gt;=600,0.85-(J286-600)*0.1/100,IF(J286&gt;=500,1-(J286-500)*0.15/100,1.2-(J286-400)*0.2/100))))</f>
        <v>0.68</v>
      </c>
      <c r="CP286" s="9">
        <f>1.75*CN286*CO286*(M286/25)^0.5</f>
        <v>1.4428327162401366</v>
      </c>
      <c r="CQ286" s="9">
        <f>MIN((CJ286+CM286)*CP286,2.5*CP286,M286^0.5)</f>
        <v>3.6070817906003416</v>
      </c>
      <c r="CR286" s="40">
        <v>1</v>
      </c>
      <c r="CS286" s="9">
        <f>4*CQ286*P286+60*CQ286</f>
        <v>390.43053301458099</v>
      </c>
      <c r="CU286" s="4">
        <f>AJ286/BF286</f>
        <v>2.1708095946524519</v>
      </c>
      <c r="CV286" s="4">
        <f>AJ286/BK286</f>
        <v>1.1090994673594974</v>
      </c>
      <c r="CW286" s="4">
        <f>AJ286/BN286</f>
        <v>1.3880254124322593</v>
      </c>
      <c r="CX286" s="4">
        <f>AJ286/CS286</f>
        <v>2.1497046820266013</v>
      </c>
      <c r="CY286" s="4">
        <f>AJ286/DZ286</f>
        <v>1.5779241384977041</v>
      </c>
      <c r="CZ286" s="4">
        <f>AJ286/EL286</f>
        <v>1.0958321519136152</v>
      </c>
      <c r="DA286" s="4">
        <f>AJ286/GI286</f>
        <v>1.2442613749021638</v>
      </c>
      <c r="DB286" s="4">
        <f>AN286</f>
        <v>8</v>
      </c>
      <c r="DI286" s="4">
        <f>CU286</f>
        <v>2.1708095946524519</v>
      </c>
      <c r="DJ286" s="4">
        <f>CV286</f>
        <v>1.1090994673594974</v>
      </c>
      <c r="DK286" s="4">
        <f>CX286</f>
        <v>2.1497046820266013</v>
      </c>
      <c r="DL286" s="4">
        <f>DA286</f>
        <v>1.2442613749021638</v>
      </c>
      <c r="DM286" s="4">
        <f>CY286</f>
        <v>1.5779241384977041</v>
      </c>
      <c r="DN286" s="4">
        <f>CZ286</f>
        <v>1.0958321519136152</v>
      </c>
      <c r="DQ286" s="4">
        <f>L286</f>
        <v>306.32400000000001</v>
      </c>
      <c r="DT286" s="4">
        <f>K286/4/(1-0.3*(M286/30)^0.5)/200000/N286</f>
        <v>2.2622636639966186E-5</v>
      </c>
      <c r="DU286" s="4">
        <f>EP286</f>
        <v>9.3454355759249683</v>
      </c>
      <c r="DV286" s="4">
        <f>EC286*AG286/257/M286/AD286</f>
        <v>0.25684238560210776</v>
      </c>
      <c r="DW286" s="4">
        <f>DU286*DV286^0.4</f>
        <v>5.4258305434738689</v>
      </c>
      <c r="DX286" s="4">
        <f>MIN(DU286, DU286/1.4*(1-DV286^1.4)/(1-DV286))</f>
        <v>7.6429204261149968</v>
      </c>
      <c r="DY286" s="4">
        <f>MAX(DU286/2, (4-DT286*(8*AG286*(DW286-DX286)+6*K286*DX286))/(4+DT286*K286*DU286)*DU286)</f>
        <v>8.5183011298646019</v>
      </c>
      <c r="DZ286" s="38">
        <f>MIN(1/N286*(4*AG286*(DW286-DX286)+(3*DX286+DY286)*K286)+EC286 -FJ286,MAX(J286,AJ286))</f>
        <v>531.90791898694783</v>
      </c>
      <c r="EA286" s="4">
        <f>DZ286/FF286</f>
        <v>1.0001224117786722</v>
      </c>
      <c r="EB286" s="4">
        <f>AG286/N286</f>
        <v>2.2360679774997898</v>
      </c>
      <c r="EC286" s="4">
        <f>MIN(EB$10*BB286)</f>
        <v>172.48660110319054</v>
      </c>
      <c r="EG286" s="4">
        <f>IF(U286&gt;1*N286,0.85,1)</f>
        <v>0.85</v>
      </c>
      <c r="EH286" s="4">
        <f>MIN(1,MAX(0.7,(1-0.1*(BZ286-1*N286)/N286)))</f>
        <v>0.7</v>
      </c>
      <c r="EI286" s="4">
        <f>MIN(1,MAX(0.7,1-0.3*(PI()*AM286^2/4*AQ286*2-0.25*PI()/4*N286^2)/(PI()/4*N286^2)))</f>
        <v>0.99062499999999998</v>
      </c>
      <c r="EJ286" s="4">
        <f>IF(EH286*EI286&lt;0.7,0.7,EH286*EI286)</f>
        <v>0.7</v>
      </c>
      <c r="EL286" s="4">
        <f>MIN(DU286/N286*3*K286+EM286-FJ286,MAX(J286,AJ286))</f>
        <v>765.91140656160405</v>
      </c>
      <c r="EM286" s="25">
        <f>13.3*Q286*K286^0.5*M286^0.5/X286/N286^2*(0.7+S286/5/K286)</f>
        <v>427.79354742463875</v>
      </c>
      <c r="EO286" s="4">
        <f>EG286*EJ286</f>
        <v>0.59499999999999997</v>
      </c>
      <c r="EP286" s="4">
        <f>IF(N286&lt;22.2,1.1*5*(M286/30)^0.5,IF(N286&gt;=31.8,0.9*5*(M286/30)^0.5,1*5*(M286/30)^0.5))/EG286/EJ286</f>
        <v>9.3454355759249683</v>
      </c>
      <c r="ES286" s="4">
        <f>ET286*N286</f>
        <v>56.796126628494655</v>
      </c>
      <c r="ET286" s="4">
        <f>AF286^0.5</f>
        <v>2.2360679774997898</v>
      </c>
      <c r="EU286" s="4">
        <f>MIN(EC286)/(4700*M286^0.5)/AE286*ES286</f>
        <v>8.5547849590064548E-2</v>
      </c>
      <c r="EX286" s="4">
        <f>EU286</f>
        <v>8.5547849590064548E-2</v>
      </c>
      <c r="EY286" s="4">
        <f>MIN(0.999, EX286/(0.3*(M286/30)^0.5))</f>
        <v>0.25641376352945117</v>
      </c>
      <c r="EZ286" s="4">
        <f>EP286/1*EY286^0.4</f>
        <v>5.4222068486095605</v>
      </c>
      <c r="FA286" s="4">
        <f>EP286/1.4*(1-EY286^1.4)/(1-EY286)</f>
        <v>7.6416413947367783</v>
      </c>
      <c r="FB286" s="4">
        <f>MAX(0,DQ286*FB$9-ES286)</f>
        <v>172.94687337150535</v>
      </c>
      <c r="FC286" s="4">
        <f>MAX(0,DQ286-ES286-FB286)</f>
        <v>76.581000000000017</v>
      </c>
      <c r="FD286" s="4">
        <f>FC286/(1-0.3*(M286/30)^0.5)/200000/N286</f>
        <v>2.262263663996619E-5</v>
      </c>
      <c r="FE286" s="4">
        <f>MAX(0.5*EP286, (1-2*FD286*(ES286*EZ286+FB286*FA286))/(1/EP286+FD286*FC286))</f>
        <v>8.5184788112943668</v>
      </c>
      <c r="FF286" s="4">
        <f>MIN(4/N286*(1*EZ286*ES286+FA286*FB286+FC286*FE286)+EC286,MAX(J286,AJ286))</f>
        <v>531.84281516196984</v>
      </c>
      <c r="FO286" s="23">
        <f>IF(CU286&lt;0.6,0.6,IF(CU286&lt;0.8,0.8,IF(CU286&lt;1,1,IF(CU286&lt;1.2,1.2,IF(CU286&lt;1.4,1.4,IF(CU286&lt;1.6,1.6,IF(CU286&lt;1.8,1.8,IF(CU286&lt;2,2,2.2))))))))</f>
        <v>2.2000000000000002</v>
      </c>
      <c r="FP286" s="23">
        <f>IF(CV286&lt;0.6,0.6,IF(CV286&lt;0.8,0.8,IF(CV286&lt;1,1,IF(CV286&lt;1.2,1.2,IF(CV286&lt;1.4,1.4,IF(CV286&lt;1.6,1.6,IF(CV286&lt;1.8,1.8,IF(CV286&lt;2,2,2.2))))))))</f>
        <v>1.2</v>
      </c>
      <c r="FQ286" s="23">
        <f>IF(DA286&lt;0.6,0.6,IF(DA286&lt;0.8,0.8,IF(DA286&lt;1,1,IF(DA286&lt;1.2,1.2,IF(DA286&lt;1.4,1.4,IF(DA286&lt;1.6,1.6,IF(DA286&lt;1.8,1.8,IF(DA286&lt;2,2,2.2))))))))</f>
        <v>1.4</v>
      </c>
      <c r="FR286" s="23">
        <f>IF(CX286&lt;0.6,0.6,IF(CX286&lt;0.8,0.8,IF(CX286&lt;1,1,IF(CX286&lt;1.2,1.2,IF(CX286&lt;1.4,1.4,IF(CX286&lt;1.6,1.6,IF(CX286&lt;1.8,1.8,IF(CX286&lt;2,2,2.2))))))))</f>
        <v>2.2000000000000002</v>
      </c>
      <c r="FS286" s="23">
        <f>IF(CY286&lt;0.6,0.6,IF(CY286&lt;0.8,0.8,IF(CY286&lt;1,1,IF(CY286&lt;1.2,1.2,IF(CY286&lt;1.4,1.4,IF(CY286&lt;1.6,1.6,IF(CY286&lt;1.8,1.8,IF(CY286&lt;2,2,2.2))))))))</f>
        <v>1.6</v>
      </c>
      <c r="FT286" s="23">
        <f>IF(CZ286&lt;0.6,0.6,IF(CZ286&lt;0.8,0.8,IF(CZ286&lt;1,1,IF(CZ286&lt;1.2,1.2,IF(CZ286&lt;1.4,1.4,IF(CZ286&lt;1.6,1.6,IF(CZ286&lt;1.8,1.8,IF(CZ286&lt;2,2,2.2))))))))</f>
        <v>1.2</v>
      </c>
      <c r="FU286" s="23">
        <f>IF(FS286&lt;1,1,0)</f>
        <v>0</v>
      </c>
      <c r="FV286" s="23"/>
      <c r="GF286" s="4">
        <f>IF(S286&gt;=2.5*25.4,1,1.25)</f>
        <v>1</v>
      </c>
      <c r="GG286" s="4">
        <f>IF(AO286&gt;1, 0.05*(18-MIN(8,(W286+N286)/N286))*(1-48000/MAX(60000,(J286*145))*(N286/25.4)^0.75*GH286), 1/12*(14-MIN(8,(W286+N286)/N286)))</f>
        <v>0.44</v>
      </c>
      <c r="GH286" s="4">
        <f>MIN(0.3, AM286^2*PI()/4*2*AP286/(N286^2*PI()/4*X286))</f>
        <v>0.3</v>
      </c>
      <c r="GI286" s="4">
        <f>(K286/25.4)/(N286/25.4)^1.5/0.0024*(M286*145)^0.25/GF286/GG286/145</f>
        <v>674.54504476085754</v>
      </c>
    </row>
    <row r="287" spans="1:191" ht="12" customHeight="1" x14ac:dyDescent="0.3">
      <c r="A287" s="25">
        <v>322</v>
      </c>
      <c r="B287" s="4" t="s">
        <v>605</v>
      </c>
      <c r="C287" s="4">
        <v>2016</v>
      </c>
      <c r="D287" s="4" t="s">
        <v>309</v>
      </c>
      <c r="E287" s="24" t="s">
        <v>670</v>
      </c>
      <c r="F287" s="24"/>
      <c r="G287" s="24">
        <v>16</v>
      </c>
      <c r="H287" s="7" t="s">
        <v>484</v>
      </c>
      <c r="I287" s="5">
        <f>K287/N287</f>
        <v>12.04</v>
      </c>
      <c r="J287" s="38">
        <f>129/0.145</f>
        <v>889.65517241379314</v>
      </c>
      <c r="K287" s="89">
        <f>12.04*25.4</f>
        <v>305.81599999999997</v>
      </c>
      <c r="L287" s="4">
        <f>K287</f>
        <v>305.81599999999997</v>
      </c>
      <c r="M287" s="89">
        <f>12040/145</f>
        <v>83.034482758620683</v>
      </c>
      <c r="N287" s="96">
        <f>1*25.4</f>
        <v>25.4</v>
      </c>
      <c r="O287" s="7">
        <f>K287/N287</f>
        <v>12.04</v>
      </c>
      <c r="P287" s="7">
        <f>L287/N287</f>
        <v>12.04</v>
      </c>
      <c r="Q287" s="38">
        <f>14.8*25.4</f>
        <v>375.92</v>
      </c>
      <c r="R287" s="32">
        <f>S287/N287</f>
        <v>2.4</v>
      </c>
      <c r="S287" s="38">
        <f>2.4*25.4</f>
        <v>60.959999999999994</v>
      </c>
      <c r="T287" s="32">
        <f>U287/N287</f>
        <v>2.9999999999999996</v>
      </c>
      <c r="U287" s="39">
        <f>3*25.4</f>
        <v>76.199999999999989</v>
      </c>
      <c r="V287" s="32">
        <f>W287/N287</f>
        <v>3.5000000000000009</v>
      </c>
      <c r="W287" s="7">
        <f>(Q287-X287*N287-2*S287)/(X287-1)</f>
        <v>88.90000000000002</v>
      </c>
      <c r="X287" s="38">
        <v>3</v>
      </c>
      <c r="Y287" s="7">
        <f>AN287</f>
        <v>0</v>
      </c>
      <c r="Z287" s="32">
        <f>AA287/N287</f>
        <v>10.25</v>
      </c>
      <c r="AA287" s="4">
        <f>10.25*25.4</f>
        <v>260.34999999999997</v>
      </c>
      <c r="AB287" s="7">
        <f>MIN(S287/N287+0.5, W287/2/N287+0.5)</f>
        <v>2.2500000000000004</v>
      </c>
      <c r="AC287" s="7">
        <f>S287/N287+0.5</f>
        <v>2.9</v>
      </c>
      <c r="AD287" s="38">
        <v>9.1</v>
      </c>
      <c r="AE287" s="4">
        <f>AD287</f>
        <v>9.1</v>
      </c>
      <c r="AF287" s="4">
        <f>AE287+1</f>
        <v>10.1</v>
      </c>
      <c r="AG287" s="7">
        <f>N287*AF287^0.5</f>
        <v>80.72246279691916</v>
      </c>
      <c r="AJ287" s="38">
        <f>AK287/0.145</f>
        <v>657.93103448275872</v>
      </c>
      <c r="AK287" s="4">
        <v>95.4</v>
      </c>
      <c r="AL287" s="4">
        <f>CY287</f>
        <v>1.4272035302680499</v>
      </c>
      <c r="AM287" s="38">
        <v>0</v>
      </c>
      <c r="AN287" s="38">
        <v>0</v>
      </c>
      <c r="AO287" s="39">
        <f>L287</f>
        <v>305.81599999999997</v>
      </c>
      <c r="AP287" s="39"/>
      <c r="AQ287" s="39"/>
      <c r="AR287" s="7"/>
      <c r="AS287" s="4">
        <f>K287</f>
        <v>305.81599999999997</v>
      </c>
      <c r="AT287" s="4">
        <f>IF(K287*3&gt;W287+N287, Q287, (S287+N287/2)*2+1.5*K287*(2*X287-2))*(3*K287)/(9*K287^2)</f>
        <v>0.40974529346622368</v>
      </c>
      <c r="AU287" s="4">
        <f>MIN(10*M287^0.5*K287^1.5,100*3.9*M287^0.5*K287^(5/3))/(PI()/4*N287^2)/X287</f>
        <v>320.58336143631669</v>
      </c>
      <c r="AV287" s="4">
        <f>MIN(0.7+0.3*(MIN(S287,AA287)+0.5*N287)/1.5/K287,1)</f>
        <v>0.74817275747508305</v>
      </c>
      <c r="AW287" s="4">
        <v>1.25</v>
      </c>
      <c r="AX287" s="4">
        <f>AX286</f>
        <v>1</v>
      </c>
      <c r="AY287" s="38">
        <f>AT287*AV287*AW287*AX287*AU287</f>
        <v>122.84765072644365</v>
      </c>
      <c r="AZ287" s="38">
        <f>AY287</f>
        <v>122.84765072644365</v>
      </c>
      <c r="BA287" s="38">
        <f>IF(M287&lt;50, 0.3*M287^(2/3), 2.12*LN(1+0.1*(M287+8)))</f>
        <v>4.9032987715448586</v>
      </c>
      <c r="BB287" s="38">
        <f>AX287* (M287^0.5/AS287^0.5)/(PI()/4*N287^2)/X287/0.72 *(0.7+(MIN(S287,AA287)+0.5*N287)/5/K287) *(3*Q287*K287)</f>
        <v>122.84765072644352</v>
      </c>
      <c r="BC287" s="38">
        <f>AY287/BB287</f>
        <v>1.0000000000000011</v>
      </c>
      <c r="BD287" s="38">
        <f>BH287/BB287</f>
        <v>10.235664499422862</v>
      </c>
      <c r="BE287" s="4">
        <f>IF(BD287&lt;1,1,0)</f>
        <v>0</v>
      </c>
      <c r="BF287" s="4">
        <f>L287/N287*M287^0.5/0.19</f>
        <v>577.43370249042641</v>
      </c>
      <c r="BG287" s="4">
        <f>MIN(0.6+0.4*(AC287/AB287),2)</f>
        <v>1.1155555555555554</v>
      </c>
      <c r="BH287" s="38">
        <f>2*M287*AB287*AD287^0.5*BG287*0.7/0.7</f>
        <v>1257.4273373781571</v>
      </c>
      <c r="BI287" s="4">
        <f>MAX(1-0.7*AE287/5,0.3)</f>
        <v>0.3</v>
      </c>
      <c r="BJ287" s="4">
        <f>BI287*J287*L287/(J287*N287/2.75/M287^0.5)</f>
        <v>90.512732865374318</v>
      </c>
      <c r="BK287" s="4">
        <f>BH287+BJ287</f>
        <v>1347.9400702435314</v>
      </c>
      <c r="BM287" s="4">
        <f>MIN(1.5, 0.75+0.25*MIN(3,MAX(1,S287/N287))+0.4*MIN(1,(40*2*PI()*AM287^2/4/AO287/X287)/N287))</f>
        <v>1.35</v>
      </c>
      <c r="BN287" s="4">
        <f>(3*P287+30)*BM287*M287^0.5</f>
        <v>813.38443179593753</v>
      </c>
      <c r="BP287" s="4">
        <f>3.4/PI()^0.5*M287*AB287*AE287^0.5*BG287</f>
        <v>1206.0265898888088</v>
      </c>
      <c r="BQ287" s="4">
        <f>8/3*AH287*AI287^2/(AG287-N287-22)/N287*(AG287^2-N287^2)/(AG287^2-(N287+22)^2)</f>
        <v>0</v>
      </c>
      <c r="BR287" s="4">
        <f>BQ287/BP287</f>
        <v>0</v>
      </c>
      <c r="BZ287" s="4">
        <f>IF(W287=0,S287,MIN(W287/2,S287))</f>
        <v>44.45000000000001</v>
      </c>
      <c r="CD287" s="9"/>
      <c r="CF287" s="9"/>
      <c r="CG287" s="9"/>
      <c r="CH287" s="9">
        <f>IF(W287=0,MIN(S287,U287),MIN(W287/2,S287,U287))</f>
        <v>44.45000000000001</v>
      </c>
      <c r="CI287" s="9">
        <f>MAX(W287/2,S287)</f>
        <v>60.959999999999994</v>
      </c>
      <c r="CJ287" s="9">
        <f>(CH287/N287)^0.5*(CI287/CH287)^0.15</f>
        <v>1.3870592192954589</v>
      </c>
      <c r="CK287" s="70">
        <f>IF(AO287&gt;1,20,0)</f>
        <v>20</v>
      </c>
      <c r="CL287" s="9">
        <f>MIN(PI()*AM287^2/4*AN287*2/X287/N287/MAX(0.01,AO287),0.05)</f>
        <v>0</v>
      </c>
      <c r="CM287" s="9">
        <f>MAX(0,CK287*(CL287-0.5/50))</f>
        <v>0</v>
      </c>
      <c r="CN287" s="9">
        <f>MIN(1,(25/N287)^0.3)</f>
        <v>0.99524931562137331</v>
      </c>
      <c r="CO287" s="9">
        <f>IF(J287&gt;=800,0.68,IF(J287&gt;=700,0.75-(J287-700)*0.07/100,IF(J287&gt;=600,0.85-(J287-600)*0.1/100,IF(J287&gt;=500,1-(J287-500)*0.15/100,1.2-(J287-400)*0.2/100))))</f>
        <v>0.68</v>
      </c>
      <c r="CP287" s="9">
        <f>1.75*CN287*CO287*(M287/25)^0.5</f>
        <v>2.1584305883972208</v>
      </c>
      <c r="CQ287" s="9">
        <f>MIN((CJ287+CM287)*CP287,2.5*CP287,M287^0.5)</f>
        <v>2.9938710468456873</v>
      </c>
      <c r="CR287" s="40">
        <v>1</v>
      </c>
      <c r="CS287" s="9">
        <f>4*CQ287*P287+60*CQ287</f>
        <v>323.8170924268295</v>
      </c>
      <c r="CU287" s="4">
        <f>AJ287/BF287</f>
        <v>1.1394053233213677</v>
      </c>
      <c r="CV287" s="4">
        <f>AJ287/BK287</f>
        <v>0.48810110256896716</v>
      </c>
      <c r="CW287" s="4">
        <f>AJ287/BN287</f>
        <v>0.80888078104723415</v>
      </c>
      <c r="CX287" s="4">
        <f>AJ287/CS287</f>
        <v>2.031798351198606</v>
      </c>
      <c r="CY287" s="4">
        <f>AJ287/DZ287</f>
        <v>1.4272035302680499</v>
      </c>
      <c r="CZ287" s="4">
        <f>AJ287/EL287</f>
        <v>0.95810293219723919</v>
      </c>
      <c r="DA287" s="4">
        <f>AJ287/GI287</f>
        <v>1.5317584810057567</v>
      </c>
      <c r="DB287" s="4">
        <f>AN287</f>
        <v>0</v>
      </c>
      <c r="DC287" s="4">
        <f>CU287</f>
        <v>1.1394053233213677</v>
      </c>
      <c r="DD287" s="4">
        <f>CV287</f>
        <v>0.48810110256896716</v>
      </c>
      <c r="DE287" s="4">
        <f>CX287</f>
        <v>2.031798351198606</v>
      </c>
      <c r="DF287" s="4">
        <f>DA287</f>
        <v>1.5317584810057567</v>
      </c>
      <c r="DG287" s="4">
        <f>CY287</f>
        <v>1.4272035302680499</v>
      </c>
      <c r="DH287" s="4">
        <f>CZ287</f>
        <v>0.95810293219723919</v>
      </c>
      <c r="DQ287" s="4">
        <f>L287</f>
        <v>305.81599999999997</v>
      </c>
      <c r="DT287" s="4">
        <f>K287/4/(1-0.3*(M287/30)^0.5)/200000/N287</f>
        <v>3.0046075888539634E-5</v>
      </c>
      <c r="DU287" s="4">
        <f>EP287</f>
        <v>10.579812252810257</v>
      </c>
      <c r="DV287" s="4">
        <f>EC287*AG287/257/M287/AD287</f>
        <v>5.1065578810674243E-2</v>
      </c>
      <c r="DW287" s="4">
        <f>DU287*DV287^0.4</f>
        <v>3.2190614293473097</v>
      </c>
      <c r="DX287" s="4">
        <f>MIN(DU287, DU287/1.4*(1-DV287^1.4)/(1-DV287))</f>
        <v>7.8399434032239279</v>
      </c>
      <c r="DY287" s="4">
        <f>MAX(DU287/2, (4-DT287*(8*AG287*(DW287-DX287)+6*K287*DX287))/(4+DT287*K287*DU287)*DU287)</f>
        <v>9.4442111699301829</v>
      </c>
      <c r="DZ287" s="38">
        <f>MIN(1/N287*(4*AG287*(DW287-DX287)+(3*DX287+DY287)*K287)+EC287 -FJ287,MAX(J287,AJ287))</f>
        <v>460.99313835020399</v>
      </c>
      <c r="EA287" s="4">
        <f>DZ287/FF287</f>
        <v>1.0000765513136305</v>
      </c>
      <c r="EB287" s="4">
        <f>AG287/N287</f>
        <v>3.1780497164141401</v>
      </c>
      <c r="EC287" s="4">
        <f>MIN(EB$10*BB287)</f>
        <v>122.84765072644352</v>
      </c>
      <c r="EG287" s="4">
        <f>IF(U287&gt;1*N287,0.85,1)</f>
        <v>0.85</v>
      </c>
      <c r="EH287" s="4">
        <f>MIN(1,MAX(0.7,(1-0.1*(BZ287-1*N287)/N287)))</f>
        <v>0.92499999999999993</v>
      </c>
      <c r="EI287" s="4">
        <f>MIN(1,MAX(0.7,1-0.3*(PI()*AM287^2/4*AQ287*2-0.25*PI()/4*N287^2)/(PI()/4*N287^2)))</f>
        <v>1</v>
      </c>
      <c r="EJ287" s="4">
        <f>IF(EH287*EI287&lt;0.7,0.7,EH287*EI287)</f>
        <v>0.92499999999999993</v>
      </c>
      <c r="EL287" s="4">
        <f>MIN(DU287/N287*3*K287+EM287-FJ287,MAX(J287,AJ287))</f>
        <v>686.70182751023481</v>
      </c>
      <c r="EM287" s="25">
        <f>13.3*Q287*K287^0.5*M287^0.5/X287/N287^2*(0.7+S287/5/K287)</f>
        <v>304.55900893872837</v>
      </c>
      <c r="EO287" s="4">
        <f>EG287*EJ287</f>
        <v>0.78624999999999989</v>
      </c>
      <c r="EP287" s="4">
        <f>IF(N287&lt;22.2,1.1*5*(M287/30)^0.5,IF(N287&gt;=31.8,0.9*5*(M287/30)^0.5,1*5*(M287/30)^0.5))/EG287/EJ287</f>
        <v>10.579812252810257</v>
      </c>
      <c r="ES287" s="4">
        <f>ET287*N287</f>
        <v>80.72246279691916</v>
      </c>
      <c r="ET287" s="4">
        <f>AF287^0.5</f>
        <v>3.1780497164141406</v>
      </c>
      <c r="EU287" s="4">
        <f>MIN(EC287)/(4700*M287^0.5)/AE287*ES287</f>
        <v>2.5444432357028562E-2</v>
      </c>
      <c r="EX287" s="4">
        <f>EU287</f>
        <v>2.5444432357028562E-2</v>
      </c>
      <c r="EY287" s="4">
        <f>MIN(0.999, EX287/(0.3*(M287/30)^0.5))</f>
        <v>5.0980359876969361E-2</v>
      </c>
      <c r="EZ287" s="4">
        <f>EP287/1*EY287^0.4</f>
        <v>3.216911547172415</v>
      </c>
      <c r="FA287" s="4">
        <f>EP287/1.4*(1-EY287^1.4)/(1-EY287)</f>
        <v>7.8395283662658191</v>
      </c>
      <c r="FB287" s="4">
        <f>MAX(0,DQ287*FB$9-ES287)</f>
        <v>148.63953720308081</v>
      </c>
      <c r="FC287" s="4">
        <f>MAX(0,DQ287-ES287-FB287)</f>
        <v>76.454000000000008</v>
      </c>
      <c r="FD287" s="4">
        <f>FC287/(1-0.3*(M287/30)^0.5)/200000/N287</f>
        <v>3.0046075888539644E-5</v>
      </c>
      <c r="FE287" s="4">
        <f>MAX(0.5*EP287, (1-2*FD287*(ES287*EZ287+FB287*FA287))/(1/EP287+FD287*FC287))</f>
        <v>9.4443571751850985</v>
      </c>
      <c r="FF287" s="4">
        <f>MIN(4/N287*(1*EZ287*ES287+FA287*FB287+FC287*FE287)+EC287,MAX(J287,AJ287))</f>
        <v>460.95785142114937</v>
      </c>
      <c r="FO287" s="23">
        <f>IF(CU287&lt;0.6,0.6,IF(CU287&lt;0.8,0.8,IF(CU287&lt;1,1,IF(CU287&lt;1.2,1.2,IF(CU287&lt;1.4,1.4,IF(CU287&lt;1.6,1.6,IF(CU287&lt;1.8,1.8,IF(CU287&lt;2,2,2.2))))))))</f>
        <v>1.2</v>
      </c>
      <c r="FP287" s="23">
        <f>IF(CV287&lt;0.6,0.6,IF(CV287&lt;0.8,0.8,IF(CV287&lt;1,1,IF(CV287&lt;1.2,1.2,IF(CV287&lt;1.4,1.4,IF(CV287&lt;1.6,1.6,IF(CV287&lt;1.8,1.8,IF(CV287&lt;2,2,2.2))))))))</f>
        <v>0.6</v>
      </c>
      <c r="FQ287" s="23">
        <f>IF(DA287&lt;0.6,0.6,IF(DA287&lt;0.8,0.8,IF(DA287&lt;1,1,IF(DA287&lt;1.2,1.2,IF(DA287&lt;1.4,1.4,IF(DA287&lt;1.6,1.6,IF(DA287&lt;1.8,1.8,IF(DA287&lt;2,2,2.2))))))))</f>
        <v>1.6</v>
      </c>
      <c r="FR287" s="23">
        <f>IF(CX287&lt;0.6,0.6,IF(CX287&lt;0.8,0.8,IF(CX287&lt;1,1,IF(CX287&lt;1.2,1.2,IF(CX287&lt;1.4,1.4,IF(CX287&lt;1.6,1.6,IF(CX287&lt;1.8,1.8,IF(CX287&lt;2,2,2.2))))))))</f>
        <v>2.2000000000000002</v>
      </c>
      <c r="FS287" s="23">
        <f>IF(CY287&lt;0.6,0.6,IF(CY287&lt;0.8,0.8,IF(CY287&lt;1,1,IF(CY287&lt;1.2,1.2,IF(CY287&lt;1.4,1.4,IF(CY287&lt;1.6,1.6,IF(CY287&lt;1.8,1.8,IF(CY287&lt;2,2,2.2))))))))</f>
        <v>1.6</v>
      </c>
      <c r="FT287" s="23">
        <f>IF(CZ287&lt;0.6,0.6,IF(CZ287&lt;0.8,0.8,IF(CZ287&lt;1,1,IF(CZ287&lt;1.2,1.2,IF(CZ287&lt;1.4,1.4,IF(CZ287&lt;1.6,1.6,IF(CZ287&lt;1.8,1.8,IF(CZ287&lt;2,2,2.2))))))))</f>
        <v>1</v>
      </c>
      <c r="FU287" s="23">
        <f>IF(FS287&lt;1,1,0)</f>
        <v>0</v>
      </c>
      <c r="FV287" s="23"/>
      <c r="GF287" s="4">
        <f>IF(S287&gt;=2.5*25.4,1,1.25)</f>
        <v>1.25</v>
      </c>
      <c r="GG287" s="4">
        <f>IF(AO287&gt;1, 0.05*(18-MIN(8,(W287+N287)/N287))*(1-48000/MAX(60000,(J287*145))*(N287/25.4)^0.75*GH287), 1/12*(14-MIN(8,(W287+N287)/N287)))</f>
        <v>0.67500000000000004</v>
      </c>
      <c r="GH287" s="4">
        <f>MIN(0.3, AM287^2*PI()/4*2*AP287/(N287^2*PI()/4*X287))</f>
        <v>0</v>
      </c>
      <c r="GI287" s="4">
        <f>(K287/25.4)/(N287/25.4)^1.5/0.0024*(M287*145)^0.25/GF287/GG287/145</f>
        <v>429.52661443777964</v>
      </c>
    </row>
    <row r="288" spans="1:191" ht="12" customHeight="1" x14ac:dyDescent="0.3">
      <c r="A288" s="25">
        <v>327</v>
      </c>
      <c r="B288" s="4" t="s">
        <v>605</v>
      </c>
      <c r="C288" s="4">
        <v>2016</v>
      </c>
      <c r="D288" s="4" t="s">
        <v>309</v>
      </c>
      <c r="E288" s="24" t="s">
        <v>670</v>
      </c>
      <c r="F288" s="24"/>
      <c r="G288" s="24">
        <v>16</v>
      </c>
      <c r="H288" s="7" t="s">
        <v>489</v>
      </c>
      <c r="I288" s="5">
        <f>K288/N288</f>
        <v>12.03</v>
      </c>
      <c r="J288" s="38">
        <f>129/0.145</f>
        <v>889.65517241379314</v>
      </c>
      <c r="K288" s="89">
        <f>12.03*25.4</f>
        <v>305.56199999999995</v>
      </c>
      <c r="L288" s="4">
        <f>K288</f>
        <v>305.56199999999995</v>
      </c>
      <c r="M288" s="89">
        <f>12360/145</f>
        <v>85.241379310344826</v>
      </c>
      <c r="N288" s="96">
        <f>1*25.4</f>
        <v>25.4</v>
      </c>
      <c r="O288" s="7">
        <f>K288/N288</f>
        <v>12.03</v>
      </c>
      <c r="P288" s="7">
        <f>L288/N288</f>
        <v>12.03</v>
      </c>
      <c r="Q288" s="38">
        <f>15.1*25.4</f>
        <v>383.53999999999996</v>
      </c>
      <c r="R288" s="32">
        <f>S288/N288</f>
        <v>2.4500000000000002</v>
      </c>
      <c r="S288" s="38">
        <f>2.45*25.4</f>
        <v>62.230000000000004</v>
      </c>
      <c r="T288" s="32">
        <f>U288/N288</f>
        <v>3.1</v>
      </c>
      <c r="U288" s="39">
        <f>3.1*25.4</f>
        <v>78.739999999999995</v>
      </c>
      <c r="V288" s="32">
        <f>W288/N288</f>
        <v>2.066666666666666</v>
      </c>
      <c r="W288" s="7">
        <f>(Q288-X288*N288-2*S288)/(X288-1)</f>
        <v>52.493333333333311</v>
      </c>
      <c r="X288" s="38">
        <v>4</v>
      </c>
      <c r="Y288" s="7">
        <f>AN288</f>
        <v>10</v>
      </c>
      <c r="Z288" s="32">
        <f>AA288/N288</f>
        <v>10.25</v>
      </c>
      <c r="AA288" s="4">
        <f>10.25*25.4</f>
        <v>260.34999999999997</v>
      </c>
      <c r="AB288" s="7">
        <f>MIN(S288/N288+0.5, W288/2/N288+0.5)</f>
        <v>1.533333333333333</v>
      </c>
      <c r="AC288" s="7">
        <f>S288/N288+0.5</f>
        <v>2.95</v>
      </c>
      <c r="AD288" s="38">
        <v>4.0999999999999996</v>
      </c>
      <c r="AE288" s="4">
        <f>AD288</f>
        <v>4.0999999999999996</v>
      </c>
      <c r="AF288" s="4">
        <f>AE288+1</f>
        <v>5.0999999999999996</v>
      </c>
      <c r="AG288" s="7">
        <f>N288*AF288^0.5</f>
        <v>57.361276136431961</v>
      </c>
      <c r="AJ288" s="38">
        <f>AK288/0.145</f>
        <v>560.00000000000011</v>
      </c>
      <c r="AK288" s="4">
        <v>81.2</v>
      </c>
      <c r="AL288" s="4">
        <f>CY288</f>
        <v>1.0669685458984943</v>
      </c>
      <c r="AM288" s="38">
        <f>0.5*25.4</f>
        <v>12.7</v>
      </c>
      <c r="AN288" s="38">
        <v>10</v>
      </c>
      <c r="AO288" s="39">
        <f>3*25.4</f>
        <v>76.199999999999989</v>
      </c>
      <c r="AP288" s="39">
        <v>3</v>
      </c>
      <c r="AQ288" s="39">
        <f>AP288-1</f>
        <v>2</v>
      </c>
      <c r="AR288" s="7"/>
      <c r="AS288" s="4">
        <f>K288</f>
        <v>305.56199999999995</v>
      </c>
      <c r="AT288" s="4">
        <f>IF(K288*3&gt;W288+N288, Q288, (S288+N288/2)*2+1.5*K288*(2*X288-2))*(3*K288)/(9*K288^2)</f>
        <v>0.41839844832363543</v>
      </c>
      <c r="AU288" s="4">
        <f>MIN(10*M288^0.5*K288^1.5,100*3.9*M288^0.5*K288^(5/3))/(PI()/4*N288^2)/X288</f>
        <v>243.30831117709874</v>
      </c>
      <c r="AV288" s="4">
        <f>MIN(0.7+0.3*(MIN(S288,AA288)+0.5*N288)/1.5/K288,1)</f>
        <v>0.74904405652535322</v>
      </c>
      <c r="AW288" s="4">
        <v>1.25</v>
      </c>
      <c r="AX288" s="4">
        <f>AX287</f>
        <v>1</v>
      </c>
      <c r="AY288" s="38">
        <f>AT288*AV288*AW288*AX288*AU288</f>
        <v>95.315687527550836</v>
      </c>
      <c r="AZ288" s="38">
        <f>AY288</f>
        <v>95.315687527550836</v>
      </c>
      <c r="BA288" s="38">
        <f>IF(M288&lt;50, 0.3*M288^(2/3), 2.12*LN(1+0.1*(M288+8)))</f>
        <v>4.9491074410379952</v>
      </c>
      <c r="BB288" s="38">
        <f>AX288* (M288^0.5/AS288^0.5)/(PI()/4*N288^2)/X288/0.72 *(0.7+(MIN(S288,AA288)+0.5*N288)/5/K288) *(3*Q288*K288)</f>
        <v>95.315687527550935</v>
      </c>
      <c r="BC288" s="38">
        <f>AY288/BB288</f>
        <v>0.999999999999999</v>
      </c>
      <c r="BD288" s="38">
        <f>BH288/BB288</f>
        <v>7.6054917998407312</v>
      </c>
      <c r="BE288" s="4">
        <f>IF(BD288&lt;1,1,0)</f>
        <v>0</v>
      </c>
      <c r="BF288" s="4">
        <f>L288/N288*M288^0.5/0.19</f>
        <v>584.57099194793602</v>
      </c>
      <c r="BG288" s="4">
        <f>MIN(0.6+0.4*(AC288/AB288),2)</f>
        <v>1.3695652173913047</v>
      </c>
      <c r="BH288" s="38">
        <f>2*M288*AB288*AD288^0.5*BG288*0.7/0.7</f>
        <v>724.92267988697006</v>
      </c>
      <c r="BI288" s="4">
        <f>MAX(1-0.7*AE288/5,0.3)</f>
        <v>0.42600000000000005</v>
      </c>
      <c r="BJ288" s="4">
        <f>BI288*J288*L288/(J288*N288/2.75/M288^0.5)</f>
        <v>130.11673424273135</v>
      </c>
      <c r="BK288" s="4">
        <f>BH288+BJ288</f>
        <v>855.03941412970141</v>
      </c>
      <c r="BM288" s="4">
        <f>MIN(1.5, 0.75+0.25*MIN(3,MAX(1,S288/N288))+0.4*MIN(1,(40*2*PI()*AM288^2/4/AO288/X288)/N288))</f>
        <v>1.5</v>
      </c>
      <c r="BN288" s="4">
        <f>(3*P288+30)*BM288*M288^0.5</f>
        <v>915.27635947499107</v>
      </c>
      <c r="BP288" s="4">
        <f>3.4/PI()^0.5*M288*AB288*AE288^0.5*BG288</f>
        <v>695.28950227858024</v>
      </c>
      <c r="BQ288" s="4">
        <f>8/3*AH288*AI288^2/(AG288-N288-22)/N288*(AG288^2-N288^2)/(AG288^2-(N288+22)^2)</f>
        <v>0</v>
      </c>
      <c r="BR288" s="4">
        <f>BQ288/BP288</f>
        <v>0</v>
      </c>
      <c r="BZ288" s="4">
        <f>IF(W288=0,S288,MIN(W288/2,S288))</f>
        <v>26.246666666666655</v>
      </c>
      <c r="CD288" s="9"/>
      <c r="CF288" s="9"/>
      <c r="CG288" s="9"/>
      <c r="CH288" s="9">
        <f>IF(W288=0,MIN(S288,U288),MIN(W288/2,S288,U288))</f>
        <v>26.246666666666655</v>
      </c>
      <c r="CI288" s="9">
        <f>MAX(W288/2,S288)</f>
        <v>62.230000000000004</v>
      </c>
      <c r="CJ288" s="9">
        <f>(CH288/N288)^0.5*(CI288/CH288)^0.15</f>
        <v>1.1570684888602492</v>
      </c>
      <c r="CK288" s="70">
        <f>IF(AO288&gt;1,20,0)</f>
        <v>20</v>
      </c>
      <c r="CL288" s="9">
        <f>MIN(PI()*AM288^2/4*AN288*2/X288/N288/MAX(0.01,AO288),0.05)</f>
        <v>0.05</v>
      </c>
      <c r="CM288" s="9">
        <f>MAX(0,CK288*(CL288-0.5/50))</f>
        <v>0.8</v>
      </c>
      <c r="CN288" s="9">
        <f>MIN(1,(25/N288)^0.3)</f>
        <v>0.99524931562137331</v>
      </c>
      <c r="CO288" s="9">
        <f>IF(J288&gt;=800,0.68,IF(J288&gt;=700,0.75-(J288-700)*0.07/100,IF(J288&gt;=600,0.85-(J288-600)*0.1/100,IF(J288&gt;=500,1-(J288-500)*0.15/100,1.2-(J288-400)*0.2/100))))</f>
        <v>0.68</v>
      </c>
      <c r="CP288" s="9">
        <f>1.75*CN288*CO288*(M288/25)^0.5</f>
        <v>2.1869259549958526</v>
      </c>
      <c r="CQ288" s="9">
        <f>MIN((CJ288+CM288)*CP288,2.5*CP288,M288^0.5)</f>
        <v>4.2799638739929904</v>
      </c>
      <c r="CR288" s="40">
        <v>1</v>
      </c>
      <c r="CS288" s="9">
        <f>4*CQ288*P288+60*CQ288</f>
        <v>462.74969405612217</v>
      </c>
      <c r="CU288" s="4">
        <f>AJ288/BF288</f>
        <v>0.95796747993591125</v>
      </c>
      <c r="CV288" s="4">
        <f>AJ288/BK288</f>
        <v>0.65494056852337501</v>
      </c>
      <c r="CW288" s="4">
        <f>AJ288/BN288</f>
        <v>0.61183706342117261</v>
      </c>
      <c r="CX288" s="4">
        <f>AJ288/CS288</f>
        <v>1.210157472156175</v>
      </c>
      <c r="CY288" s="4">
        <f>AJ288/DZ288</f>
        <v>1.0669685458984943</v>
      </c>
      <c r="CZ288" s="4">
        <f>AJ288/EL288</f>
        <v>0.80046699672781108</v>
      </c>
      <c r="DA288" s="4">
        <f>AJ288/GI288</f>
        <v>1.2738805592629094</v>
      </c>
      <c r="DB288" s="4">
        <f>AN288</f>
        <v>10</v>
      </c>
      <c r="DI288" s="4">
        <f>CU288</f>
        <v>0.95796747993591125</v>
      </c>
      <c r="DJ288" s="4">
        <f>CV288</f>
        <v>0.65494056852337501</v>
      </c>
      <c r="DK288" s="4">
        <f>CX288</f>
        <v>1.210157472156175</v>
      </c>
      <c r="DL288" s="4">
        <f>DA288</f>
        <v>1.2738805592629094</v>
      </c>
      <c r="DM288" s="4">
        <f>CY288</f>
        <v>1.0669685458984943</v>
      </c>
      <c r="DN288" s="4">
        <f>CZ288</f>
        <v>0.80046699672781108</v>
      </c>
      <c r="DQ288" s="4">
        <f>L288</f>
        <v>305.56199999999995</v>
      </c>
      <c r="DT288" s="4">
        <f>K288/4/(1-0.3*(M288/30)^0.5)/200000/N288</f>
        <v>3.0421300386451396E-5</v>
      </c>
      <c r="DU288" s="4">
        <f>EP288</f>
        <v>12.83701502171043</v>
      </c>
      <c r="DV288" s="4">
        <f>EC288*AG288/257/M288/AD288</f>
        <v>6.0871743483223426E-2</v>
      </c>
      <c r="DW288" s="4">
        <f>DU288*DV288^0.4</f>
        <v>4.1901574828341914</v>
      </c>
      <c r="DX288" s="4">
        <f>MIN(DU288, DU288/1.4*(1-DV288^1.4)/(1-DV288))</f>
        <v>9.5696291769617581</v>
      </c>
      <c r="DY288" s="4">
        <f>MAX(DU288/2, (4-DT288*(8*AG288*(DW288-DX288)+6*K288*DX288))/(4+DT288*K288*DU288)*DU288)</f>
        <v>11.035917411317895</v>
      </c>
      <c r="DZ288" s="38">
        <f>MIN(1/N288*(4*AG288*(DW288-DX288)+(3*DX288+DY288)*K288)+EC288 -FJ288,MAX(J288,AJ288))</f>
        <v>524.85146085391307</v>
      </c>
      <c r="EA288" s="4">
        <f>DZ288/FF288</f>
        <v>1.0000736425690635</v>
      </c>
      <c r="EB288" s="4">
        <f>AG288/N288</f>
        <v>2.2583179581272428</v>
      </c>
      <c r="EC288" s="4">
        <f>MIN(EB$10*BB288)</f>
        <v>95.315687527550935</v>
      </c>
      <c r="EG288" s="4">
        <f>IF(U288&gt;1*N288,0.85,1)</f>
        <v>0.85</v>
      </c>
      <c r="EH288" s="4">
        <f>MIN(1,MAX(0.7,(1-0.1*(BZ288-1*N288)/N288)))</f>
        <v>0.9966666666666667</v>
      </c>
      <c r="EI288" s="4">
        <f>MIN(1,MAX(0.7,1-0.3*(PI()*AM288^2/4*AQ288*2-0.25*PI()/4*N288^2)/(PI()/4*N288^2)))</f>
        <v>0.77500000000000002</v>
      </c>
      <c r="EJ288" s="4">
        <f>IF(EH288*EI288&lt;0.7,0.7,EH288*EI288)</f>
        <v>0.77241666666666675</v>
      </c>
      <c r="EL288" s="4">
        <f>MIN(DU288/N288*3*K288+EM288-FJ288,MAX(J288,AJ288))</f>
        <v>699.59161625550587</v>
      </c>
      <c r="EM288" s="25">
        <f>13.3*Q288*K288^0.5*M288^0.5/X288/N288^2*(0.7+S288/5/K288)</f>
        <v>236.30374412197665</v>
      </c>
      <c r="EO288" s="4">
        <f>EG288*EJ288</f>
        <v>0.65655416666666677</v>
      </c>
      <c r="EP288" s="4">
        <f>IF(N288&lt;22.2,1.1*5*(M288/30)^0.5,IF(N288&gt;=31.8,0.9*5*(M288/30)^0.5,1*5*(M288/30)^0.5))/EG288/EJ288</f>
        <v>12.83701502171043</v>
      </c>
      <c r="ES288" s="4">
        <f>ET288*N288</f>
        <v>57.361276136431961</v>
      </c>
      <c r="ET288" s="4">
        <f>AF288^0.5</f>
        <v>2.2583179581272428</v>
      </c>
      <c r="EU288" s="4">
        <f>MIN(EC288)/(4700*M288^0.5)/AE288*ES288</f>
        <v>3.0730968015776051E-2</v>
      </c>
      <c r="EX288" s="4">
        <f>EU288</f>
        <v>3.0730968015776051E-2</v>
      </c>
      <c r="EY288" s="4">
        <f>MIN(0.999, EX288/(0.3*(M288/30)^0.5))</f>
        <v>6.0770159888300701E-2</v>
      </c>
      <c r="EZ288" s="4">
        <f>EP288/1*EY288^0.4</f>
        <v>4.1873590445067279</v>
      </c>
      <c r="FA288" s="4">
        <f>EP288/1.4*(1-EY288^1.4)/(1-EY288)</f>
        <v>9.5690472020668995</v>
      </c>
      <c r="FB288" s="4">
        <f>MAX(0,DQ288*FB$9-ES288)</f>
        <v>171.81022386356801</v>
      </c>
      <c r="FC288" s="4">
        <f>MAX(0,DQ288-ES288-FB288)</f>
        <v>76.390499999999975</v>
      </c>
      <c r="FD288" s="4">
        <f>FC288/(1-0.3*(M288/30)^0.5)/200000/N288</f>
        <v>3.0421300386451385E-5</v>
      </c>
      <c r="FE288" s="4">
        <f>MAX(0.5*EP288, (1-2*FD288*(ES288*EZ288+FB288*FA288))/(1/EP288+FD288*FC288))</f>
        <v>11.036114986286675</v>
      </c>
      <c r="FF288" s="4">
        <f>MIN(4/N288*(1*EZ288*ES288+FA288*FB288+FC288*FE288)+EC288,MAX(J288,AJ288))</f>
        <v>524.8128122901386</v>
      </c>
      <c r="FO288" s="23">
        <f>IF(CU288&lt;0.6,0.6,IF(CU288&lt;0.8,0.8,IF(CU288&lt;1,1,IF(CU288&lt;1.2,1.2,IF(CU288&lt;1.4,1.4,IF(CU288&lt;1.6,1.6,IF(CU288&lt;1.8,1.8,IF(CU288&lt;2,2,2.2))))))))</f>
        <v>1</v>
      </c>
      <c r="FP288" s="23">
        <f>IF(CV288&lt;0.6,0.6,IF(CV288&lt;0.8,0.8,IF(CV288&lt;1,1,IF(CV288&lt;1.2,1.2,IF(CV288&lt;1.4,1.4,IF(CV288&lt;1.6,1.6,IF(CV288&lt;1.8,1.8,IF(CV288&lt;2,2,2.2))))))))</f>
        <v>0.8</v>
      </c>
      <c r="FQ288" s="23">
        <f>IF(DA288&lt;0.6,0.6,IF(DA288&lt;0.8,0.8,IF(DA288&lt;1,1,IF(DA288&lt;1.2,1.2,IF(DA288&lt;1.4,1.4,IF(DA288&lt;1.6,1.6,IF(DA288&lt;1.8,1.8,IF(DA288&lt;2,2,2.2))))))))</f>
        <v>1.4</v>
      </c>
      <c r="FR288" s="23">
        <f>IF(CX288&lt;0.6,0.6,IF(CX288&lt;0.8,0.8,IF(CX288&lt;1,1,IF(CX288&lt;1.2,1.2,IF(CX288&lt;1.4,1.4,IF(CX288&lt;1.6,1.6,IF(CX288&lt;1.8,1.8,IF(CX288&lt;2,2,2.2))))))))</f>
        <v>1.4</v>
      </c>
      <c r="FS288" s="23">
        <f>IF(CY288&lt;0.6,0.6,IF(CY288&lt;0.8,0.8,IF(CY288&lt;1,1,IF(CY288&lt;1.2,1.2,IF(CY288&lt;1.4,1.4,IF(CY288&lt;1.6,1.6,IF(CY288&lt;1.8,1.8,IF(CY288&lt;2,2,2.2))))))))</f>
        <v>1.2</v>
      </c>
      <c r="FT288" s="23">
        <f>IF(CZ288&lt;0.6,0.6,IF(CZ288&lt;0.8,0.8,IF(CZ288&lt;1,1,IF(CZ288&lt;1.2,1.2,IF(CZ288&lt;1.4,1.4,IF(CZ288&lt;1.6,1.6,IF(CZ288&lt;1.8,1.8,IF(CZ288&lt;2,2,2.2))))))))</f>
        <v>1</v>
      </c>
      <c r="FU288" s="23">
        <f>IF(FS288&lt;1,1,0)</f>
        <v>0</v>
      </c>
      <c r="FV288" s="23"/>
      <c r="GF288" s="4">
        <f>IF(S288&gt;=2.5*25.4,1,1.25)</f>
        <v>1.25</v>
      </c>
      <c r="GG288" s="4">
        <f>IF(AO288&gt;1, 0.05*(18-MIN(8,(W288+N288)/N288))*(1-48000/MAX(60000,(J288*145))*(N288/25.4)^0.75*GH288), 1/12*(14-MIN(8,(W288+N288)/N288)))</f>
        <v>0.66331782945736439</v>
      </c>
      <c r="GH288" s="4">
        <f>MIN(0.3, AM288^2*PI()/4*2*AP288/(N288^2*PI()/4*X288))</f>
        <v>0.3</v>
      </c>
      <c r="GI288" s="4">
        <f>(K288/25.4)/(N288/25.4)^1.5/0.0024*(M288*145)^0.25/GF288/GG288/145</f>
        <v>439.60165333241787</v>
      </c>
    </row>
    <row r="289" spans="1:191" ht="12" customHeight="1" x14ac:dyDescent="0.3">
      <c r="A289" s="25">
        <v>384</v>
      </c>
      <c r="B289" s="4" t="s">
        <v>605</v>
      </c>
      <c r="C289" s="4">
        <v>2016</v>
      </c>
      <c r="D289" s="4" t="s">
        <v>309</v>
      </c>
      <c r="E289" s="14" t="s">
        <v>675</v>
      </c>
      <c r="F289" s="14"/>
      <c r="G289" s="14">
        <v>15</v>
      </c>
      <c r="H289" s="7" t="s">
        <v>551</v>
      </c>
      <c r="I289" s="5">
        <f>K289/N289</f>
        <v>8.5106382978723403</v>
      </c>
      <c r="J289" s="90">
        <f>135/0.145</f>
        <v>931.0344827586207</v>
      </c>
      <c r="K289" s="89">
        <f>12*25.4</f>
        <v>304.79999999999995</v>
      </c>
      <c r="L289" s="4">
        <f>K289</f>
        <v>304.79999999999995</v>
      </c>
      <c r="M289" s="44">
        <f>3960/145</f>
        <v>27.310344827586206</v>
      </c>
      <c r="N289" s="38">
        <f>1.41*25.4</f>
        <v>35.813999999999993</v>
      </c>
      <c r="O289" s="7">
        <f>K289/N289</f>
        <v>8.5106382978723403</v>
      </c>
      <c r="P289" s="7">
        <f>L289/N289</f>
        <v>8.5106382978723403</v>
      </c>
      <c r="Q289" s="38">
        <f>21.7*25.4</f>
        <v>551.17999999999995</v>
      </c>
      <c r="R289" s="32">
        <f>S289/N289</f>
        <v>1.9148936170212769</v>
      </c>
      <c r="S289" s="38">
        <f>2.7*25.4</f>
        <v>68.58</v>
      </c>
      <c r="T289" s="32">
        <f>U289/N289</f>
        <v>2.1985815602836882</v>
      </c>
      <c r="U289" s="39">
        <f>3.1*25.4</f>
        <v>78.739999999999995</v>
      </c>
      <c r="V289" s="32">
        <f>W289/N289</f>
        <v>9.5602836879432633</v>
      </c>
      <c r="W289" s="7">
        <f>(Q289-X289*N289-2*S289)/(X289-1)</f>
        <v>342.39199999999994</v>
      </c>
      <c r="X289" s="38">
        <v>2</v>
      </c>
      <c r="Y289" s="7">
        <f>AN289</f>
        <v>0</v>
      </c>
      <c r="Z289" s="32">
        <f>AA289/N289</f>
        <v>14.18439716312057</v>
      </c>
      <c r="AA289" s="4">
        <f>20*25.4</f>
        <v>508</v>
      </c>
      <c r="AB289" s="7">
        <f>MIN(S289/N289+0.5, W289/2/N289+0.5)</f>
        <v>2.4148936170212769</v>
      </c>
      <c r="AC289" s="7">
        <f>S289/N289+0.5</f>
        <v>2.4148936170212769</v>
      </c>
      <c r="AD289" s="38">
        <v>3.8</v>
      </c>
      <c r="AE289" s="4">
        <f>AD289</f>
        <v>3.8</v>
      </c>
      <c r="AF289" s="4">
        <f>AE289+1</f>
        <v>4.8</v>
      </c>
      <c r="AG289" s="7">
        <f>N289*AF289^0.5</f>
        <v>78.464542697960056</v>
      </c>
      <c r="AJ289" s="38">
        <f>AK289/0.145</f>
        <v>251.0344827586207</v>
      </c>
      <c r="AK289" s="4">
        <v>36.4</v>
      </c>
      <c r="AL289" s="4">
        <f>CY289</f>
        <v>1.1056114992723238</v>
      </c>
      <c r="AM289" s="38">
        <v>0</v>
      </c>
      <c r="AN289" s="38">
        <v>0</v>
      </c>
      <c r="AO289" s="39">
        <f>L289</f>
        <v>304.79999999999995</v>
      </c>
      <c r="AP289" s="39"/>
      <c r="AQ289" s="39"/>
      <c r="AR289" s="7"/>
      <c r="AS289" s="4">
        <f>K289</f>
        <v>304.79999999999995</v>
      </c>
      <c r="AT289" s="4">
        <f>IF(K289*3&gt;W289+N289, Q289, (S289+N289/2)*2+1.5*K289*(2*X289-2))*(3*K289)/(9*K289^2)</f>
        <v>0.60277777777777775</v>
      </c>
      <c r="AU289" s="4">
        <f>MIN(10*M289^0.5*K289^1.5,100*3.9*M289^0.5*K289^(5/3))/(PI()/4*N289^2)/X289</f>
        <v>138.02587222939175</v>
      </c>
      <c r="AV289" s="4">
        <f>MIN(0.7+0.3*(MIN(S289,AA289)+0.5*N289)/1.5/K289,1)</f>
        <v>0.75674999999999992</v>
      </c>
      <c r="AW289" s="4">
        <v>1.25</v>
      </c>
      <c r="AX289" s="4">
        <f>AX288</f>
        <v>1</v>
      </c>
      <c r="AY289" s="38">
        <f>AT289*AV289*AW289*AX289*AU289</f>
        <v>78.700986464171891</v>
      </c>
      <c r="AZ289" s="38">
        <f>AY289</f>
        <v>78.700986464171891</v>
      </c>
      <c r="BA289" s="38">
        <f>IF(M289&lt;50, 0.3*M289^(2/3), 2.12*LN(1+0.1*(M289+8)))</f>
        <v>2.7206502209498358</v>
      </c>
      <c r="BB289" s="38">
        <f>AX289* (M289^0.5/AS289^0.5)/(PI()/4*N289^2)/X289/0.72 *(0.7+(MIN(S289,AA289)+0.5*N289)/5/K289) *(3*Q289*K289)</f>
        <v>78.700986464171848</v>
      </c>
      <c r="BC289" s="38">
        <f>AY289/BB289</f>
        <v>1.0000000000000004</v>
      </c>
      <c r="BD289" s="38">
        <f>BH289/BB289</f>
        <v>3.2671329320801479</v>
      </c>
      <c r="BE289" s="4">
        <f>IF(BD289&lt;1,1,0)</f>
        <v>0</v>
      </c>
      <c r="BF289" s="4">
        <f>L289/N289*M289^0.5/0.19</f>
        <v>234.0842125092189</v>
      </c>
      <c r="BG289" s="4">
        <f>MIN(0.6+0.4*(AC289/AB289),2)</f>
        <v>1</v>
      </c>
      <c r="BH289" s="38">
        <f>2*M289*AB289*AD289^0.5*BG289*0.7/0.7</f>
        <v>257.12658466428979</v>
      </c>
      <c r="BI289" s="4">
        <f>MAX(1-0.7*AE289/5,0.3)</f>
        <v>0.46800000000000008</v>
      </c>
      <c r="BJ289" s="4">
        <f>BI289*J289*L289/(J289*N289/2.75/M289^0.5)</f>
        <v>57.240612484879328</v>
      </c>
      <c r="BK289" s="4">
        <f>BH289+BJ289</f>
        <v>314.3671971491691</v>
      </c>
      <c r="BM289" s="4">
        <f>MIN(1.5, 0.75+0.25*MIN(3,MAX(1,S289/N289))+0.4*MIN(1,(40*2*PI()*AM289^2/4/AO289/X289)/N289))</f>
        <v>1.2287234042553192</v>
      </c>
      <c r="BN289" s="4">
        <f>(3*P289+30)*BM289*M289^0.5</f>
        <v>356.58278440355463</v>
      </c>
      <c r="BP289" s="4">
        <f>3.4/PI()^0.5*M289*AB289*AE289^0.5*BG289</f>
        <v>246.61583922536434</v>
      </c>
      <c r="BQ289" s="4">
        <f>8/3*AH289*AI289^2/(AG289-N289-22)/N289*(AG289^2-N289^2)/(AG289^2-(N289+22)^2)</f>
        <v>0</v>
      </c>
      <c r="BR289" s="4">
        <f>BQ289/BP289</f>
        <v>0</v>
      </c>
      <c r="BZ289" s="4">
        <f>IF(W289=0,S289,MIN(W289/2,S289))</f>
        <v>68.58</v>
      </c>
      <c r="CD289" s="9"/>
      <c r="CF289" s="9"/>
      <c r="CG289" s="9"/>
      <c r="CH289" s="9">
        <f>IF(W289=0,MIN(S289,U289),MIN(W289/2,S289,U289))</f>
        <v>68.58</v>
      </c>
      <c r="CI289" s="9">
        <f>MAX(W289/2,S289)</f>
        <v>171.19599999999997</v>
      </c>
      <c r="CJ289" s="9">
        <f>(CH289/N289)^0.5*(CI289/CH289)^0.15</f>
        <v>1.5873282502249415</v>
      </c>
      <c r="CK289" s="70">
        <f>IF(AO289&gt;1,20,0)</f>
        <v>20</v>
      </c>
      <c r="CL289" s="9">
        <f>MIN(PI()*AM289^2/4*AN289*2/X289/N289/MAX(0.01,AO289),0.05)</f>
        <v>0</v>
      </c>
      <c r="CM289" s="9">
        <f>MAX(0,CK289*(CL289-0.5/50))</f>
        <v>0</v>
      </c>
      <c r="CN289" s="9">
        <f>MIN(1,(25/N289)^0.3)</f>
        <v>0.89777220146327208</v>
      </c>
      <c r="CO289" s="9">
        <f>IF(J289&gt;=800,0.68,IF(J289&gt;=700,0.75-(J289-700)*0.07/100,IF(J289&gt;=600,0.85-(J289-600)*0.1/100,IF(J289&gt;=500,1-(J289-500)*0.15/100,1.2-(J289-400)*0.2/100))))</f>
        <v>0.68</v>
      </c>
      <c r="CP289" s="9">
        <f>1.75*CN289*CO289*(M289/25)^0.5</f>
        <v>1.1166233434875248</v>
      </c>
      <c r="CQ289" s="9">
        <f>MIN((CJ289+CM289)*CP289,2.5*CP289,M289^0.5)</f>
        <v>1.7724477779783765</v>
      </c>
      <c r="CR289" s="40">
        <v>1</v>
      </c>
      <c r="CS289" s="9">
        <f>4*CQ289*P289+60*CQ289</f>
        <v>166.68551443966859</v>
      </c>
      <c r="CU289" s="4">
        <f>AJ289/BF289</f>
        <v>1.0724109928974139</v>
      </c>
      <c r="CV289" s="4">
        <f>AJ289/BK289</f>
        <v>0.79853904935095166</v>
      </c>
      <c r="CW289" s="4">
        <f>AJ289/BN289</f>
        <v>0.70400056799858857</v>
      </c>
      <c r="CX289" s="4">
        <f>AJ289/CS289</f>
        <v>1.5060365839377243</v>
      </c>
      <c r="CY289" s="4">
        <f>AJ289/DZ289</f>
        <v>1.1056114992723238</v>
      </c>
      <c r="CZ289" s="4">
        <f>AJ289/EL289</f>
        <v>0.74669552116938287</v>
      </c>
      <c r="DA289" s="4">
        <f>AJ289/GI289</f>
        <v>0.76825652258018351</v>
      </c>
      <c r="DB289" s="4">
        <f>AN289</f>
        <v>0</v>
      </c>
      <c r="DC289" s="4">
        <f>CU289</f>
        <v>1.0724109928974139</v>
      </c>
      <c r="DD289" s="4">
        <f>CV289</f>
        <v>0.79853904935095166</v>
      </c>
      <c r="DE289" s="4">
        <f>CX289</f>
        <v>1.5060365839377243</v>
      </c>
      <c r="DF289" s="4">
        <f>DA289</f>
        <v>0.76825652258018351</v>
      </c>
      <c r="DG289" s="4">
        <f>CY289</f>
        <v>1.1056114992723238</v>
      </c>
      <c r="DH289" s="4">
        <f>CZ289</f>
        <v>0.74669552116938287</v>
      </c>
      <c r="DQ289" s="4">
        <f>L289</f>
        <v>304.79999999999995</v>
      </c>
      <c r="DT289" s="4">
        <f>K289/4/(1-0.3*(M289/30)^0.5)/200000/N289</f>
        <v>1.4904502788497585E-5</v>
      </c>
      <c r="DU289" s="4">
        <f>EP289</f>
        <v>5.5598943030135199</v>
      </c>
      <c r="DV289" s="4">
        <f>EC289*AG289/257/M289/AD289</f>
        <v>0.23153130536226754</v>
      </c>
      <c r="DW289" s="4">
        <f>DU289*DV289^0.4</f>
        <v>3.0967804996680797</v>
      </c>
      <c r="DX289" s="4">
        <f>MIN(DU289, DU289/1.4*(1-DV289^1.4)/(1-DV289))</f>
        <v>4.5014313207718759</v>
      </c>
      <c r="DY289" s="4">
        <f>MAX(DU289/2, (4-DT289*(8*AG289*(DW289-DX289)+6*K289*DX289))/(4+DT289*K289*DU289)*DU289)</f>
        <v>5.3736829598859917</v>
      </c>
      <c r="DZ289" s="38">
        <f>MIN(1/N289*(4*AG289*(DW289-DX289)+(3*DX289+DY289)*K289)+EC289 -FJ289,MAX(J289,AJ289))</f>
        <v>227.05487680242391</v>
      </c>
      <c r="EA289" s="4">
        <f>DZ289/FF289</f>
        <v>1.0001303566681146</v>
      </c>
      <c r="EB289" s="4">
        <f>AG289/N289</f>
        <v>2.1908902300206643</v>
      </c>
      <c r="EC289" s="4">
        <f>MIN(EB$10*BB289)</f>
        <v>78.700986464171848</v>
      </c>
      <c r="EG289" s="4">
        <f>IF(U289&gt;1*N289,0.85,1)</f>
        <v>0.85</v>
      </c>
      <c r="EH289" s="4">
        <f>MIN(1,MAX(0.7,(1-0.1*(BZ289-1*N289)/N289)))</f>
        <v>0.90851063829787226</v>
      </c>
      <c r="EI289" s="4">
        <f>MIN(1,MAX(0.7,1-0.3*(PI()*AM289^2/4*AQ289*2-0.25*PI()/4*N289^2)/(PI()/4*N289^2)))</f>
        <v>1</v>
      </c>
      <c r="EJ289" s="4">
        <f>IF(EH289*EI289&lt;0.7,0.7,EH289*EI289)</f>
        <v>0.90851063829787226</v>
      </c>
      <c r="EL289" s="4">
        <f>MIN(DU289/N289*3*K289+EM289-FJ289,MAX(J289,AJ289))</f>
        <v>336.19390453217306</v>
      </c>
      <c r="EM289" s="25">
        <f>13.3*Q289*K289^0.5*M289^0.5/X289/N289^2*(0.7+S289/5/K289)</f>
        <v>194.23915637012578</v>
      </c>
      <c r="EO289" s="4">
        <f>EG289*EJ289</f>
        <v>0.77223404255319139</v>
      </c>
      <c r="EP289" s="4">
        <f>IF(N289&lt;22.2,1.1*5*(M289/30)^0.5,IF(N289&gt;=31.8,0.9*5*(M289/30)^0.5,1*5*(M289/30)^0.5))/EG289/EJ289</f>
        <v>5.5598943030135199</v>
      </c>
      <c r="ES289" s="4">
        <f>ET289*N289</f>
        <v>78.464542697960056</v>
      </c>
      <c r="ET289" s="4">
        <f>AF289^0.5</f>
        <v>2.1908902300206643</v>
      </c>
      <c r="EU289" s="4">
        <f>MIN(EC289)/(4700*M289^0.5)/AE289*ES289</f>
        <v>6.6161992777553857E-2</v>
      </c>
      <c r="EX289" s="4">
        <f>EU289</f>
        <v>6.6161992777553857E-2</v>
      </c>
      <c r="EY289" s="4">
        <f>MIN(0.999, EX289/(0.3*(M289/30)^0.5))</f>
        <v>0.23114492276518733</v>
      </c>
      <c r="EZ289" s="4">
        <f>EP289/1*EY289^0.4</f>
        <v>3.0947122840276133</v>
      </c>
      <c r="FA289" s="4">
        <f>EP289/1.4*(1-EY289^1.4)/(1-EY289)</f>
        <v>4.5007249039933948</v>
      </c>
      <c r="FB289" s="4">
        <f>MAX(0,DQ289*FB$9-ES289)</f>
        <v>150.13545730203992</v>
      </c>
      <c r="FC289" s="4">
        <f>MAX(0,DQ289-ES289-FB289)</f>
        <v>76.199999999999989</v>
      </c>
      <c r="FD289" s="4">
        <f>FC289/(1-0.3*(M289/30)^0.5)/200000/N289</f>
        <v>1.4904502788497585E-5</v>
      </c>
      <c r="FE289" s="4">
        <f>MAX(0.5*EP289, (1-2*FD289*(ES289*EZ289+FB289*FA289))/(1/EP289+FD289*FC289))</f>
        <v>5.3737271540970735</v>
      </c>
      <c r="FF289" s="4">
        <f>MIN(4/N289*(1*EZ289*ES289+FA289*FB289+FC289*FE289)+EC289,MAX(J289,AJ289))</f>
        <v>227.02528254301382</v>
      </c>
      <c r="FO289" s="23">
        <f>IF(CU289&lt;0.6,0.6,IF(CU289&lt;0.8,0.8,IF(CU289&lt;1,1,IF(CU289&lt;1.2,1.2,IF(CU289&lt;1.4,1.4,IF(CU289&lt;1.6,1.6,IF(CU289&lt;1.8,1.8,IF(CU289&lt;2,2,2.2))))))))</f>
        <v>1.2</v>
      </c>
      <c r="FP289" s="23">
        <f>IF(CV289&lt;0.6,0.6,IF(CV289&lt;0.8,0.8,IF(CV289&lt;1,1,IF(CV289&lt;1.2,1.2,IF(CV289&lt;1.4,1.4,IF(CV289&lt;1.6,1.6,IF(CV289&lt;1.8,1.8,IF(CV289&lt;2,2,2.2))))))))</f>
        <v>0.8</v>
      </c>
      <c r="FQ289" s="23">
        <f>IF(DA289&lt;0.6,0.6,IF(DA289&lt;0.8,0.8,IF(DA289&lt;1,1,IF(DA289&lt;1.2,1.2,IF(DA289&lt;1.4,1.4,IF(DA289&lt;1.6,1.6,IF(DA289&lt;1.8,1.8,IF(DA289&lt;2,2,2.2))))))))</f>
        <v>0.8</v>
      </c>
      <c r="FR289" s="23">
        <f>IF(CX289&lt;0.6,0.6,IF(CX289&lt;0.8,0.8,IF(CX289&lt;1,1,IF(CX289&lt;1.2,1.2,IF(CX289&lt;1.4,1.4,IF(CX289&lt;1.6,1.6,IF(CX289&lt;1.8,1.8,IF(CX289&lt;2,2,2.2))))))))</f>
        <v>1.6</v>
      </c>
      <c r="FS289" s="23">
        <f>IF(CY289&lt;0.6,0.6,IF(CY289&lt;0.8,0.8,IF(CY289&lt;1,1,IF(CY289&lt;1.2,1.2,IF(CY289&lt;1.4,1.4,IF(CY289&lt;1.6,1.6,IF(CY289&lt;1.8,1.8,IF(CY289&lt;2,2,2.2))))))))</f>
        <v>1.2</v>
      </c>
      <c r="FT289" s="23">
        <f>IF(CZ289&lt;0.6,0.6,IF(CZ289&lt;0.8,0.8,IF(CZ289&lt;1,1,IF(CZ289&lt;1.2,1.2,IF(CZ289&lt;1.4,1.4,IF(CZ289&lt;1.6,1.6,IF(CZ289&lt;1.8,1.8,IF(CZ289&lt;2,2,2.2))))))))</f>
        <v>0.8</v>
      </c>
      <c r="FU289" s="23">
        <f>IF(FS289&lt;1,1,0)</f>
        <v>0</v>
      </c>
      <c r="FV289" s="23"/>
      <c r="GF289" s="4">
        <f>IF(S289&gt;=2.5*25.4,1,1.25)</f>
        <v>1</v>
      </c>
      <c r="GG289" s="4">
        <f>IF(AO289&gt;1, 0.05*(18-MIN(8,(W289+N289)/N289))*(1-48000/MAX(60000,(J289*145))*(N289/25.4)^0.75*GH289), 1/12*(14-MIN(8,(W289+N289)/N289)))</f>
        <v>0.5</v>
      </c>
      <c r="GH289" s="4">
        <f>MIN(0.3, AM289^2*PI()/4*2*AP289/(N289^2*PI()/4*X289))</f>
        <v>0</v>
      </c>
      <c r="GI289" s="4">
        <f>(K289/25.4)/(N289/25.4)^1.5/0.0024*(M289*145)^0.25/GF289/GG289/145</f>
        <v>326.75867419325431</v>
      </c>
    </row>
    <row r="290" spans="1:191" ht="12" customHeight="1" x14ac:dyDescent="0.3">
      <c r="A290" s="25">
        <v>385</v>
      </c>
      <c r="B290" s="4" t="s">
        <v>605</v>
      </c>
      <c r="C290" s="4">
        <v>2016</v>
      </c>
      <c r="D290" s="4" t="s">
        <v>309</v>
      </c>
      <c r="E290" s="14" t="s">
        <v>675</v>
      </c>
      <c r="F290" s="14"/>
      <c r="G290" s="14">
        <v>15</v>
      </c>
      <c r="H290" s="7" t="s">
        <v>552</v>
      </c>
      <c r="I290" s="5">
        <f>K290/N290</f>
        <v>8.5106382978723403</v>
      </c>
      <c r="J290" s="90">
        <f>135/0.145</f>
        <v>931.0344827586207</v>
      </c>
      <c r="K290" s="89">
        <f>12*25.4</f>
        <v>304.79999999999995</v>
      </c>
      <c r="L290" s="4">
        <f>K290</f>
        <v>304.79999999999995</v>
      </c>
      <c r="M290" s="44">
        <f>3960/145</f>
        <v>27.310344827586206</v>
      </c>
      <c r="N290" s="38">
        <f>1.41*25.4</f>
        <v>35.813999999999993</v>
      </c>
      <c r="O290" s="7">
        <f>K290/N290</f>
        <v>8.5106382978723403</v>
      </c>
      <c r="P290" s="7">
        <f>L290/N290</f>
        <v>8.5106382978723403</v>
      </c>
      <c r="Q290" s="38">
        <f>21.4*25.4</f>
        <v>543.55999999999995</v>
      </c>
      <c r="R290" s="32">
        <f>S290/N290</f>
        <v>1.7021276595744683</v>
      </c>
      <c r="S290" s="38">
        <f>2.4*25.4</f>
        <v>60.959999999999994</v>
      </c>
      <c r="T290" s="32">
        <f>U290/N290</f>
        <v>2.6241134751773054</v>
      </c>
      <c r="U290" s="39">
        <f>3.7*25.4</f>
        <v>93.98</v>
      </c>
      <c r="V290" s="32">
        <f>W290/N290</f>
        <v>9.7730496453900706</v>
      </c>
      <c r="W290" s="7">
        <f>(Q290-X290*N290-2*S290)/(X290-1)</f>
        <v>350.01199999999994</v>
      </c>
      <c r="X290" s="38">
        <v>2</v>
      </c>
      <c r="Y290" s="7">
        <f>AN290</f>
        <v>4</v>
      </c>
      <c r="Z290" s="32">
        <f>AA290/N290</f>
        <v>14.18439716312057</v>
      </c>
      <c r="AA290" s="4">
        <f>20*25.4</f>
        <v>508</v>
      </c>
      <c r="AB290" s="7">
        <f>MIN(S290/N290+0.5, W290/2/N290+0.5)</f>
        <v>2.2021276595744683</v>
      </c>
      <c r="AC290" s="7">
        <f>S290/N290+0.5</f>
        <v>2.2021276595744683</v>
      </c>
      <c r="AD290" s="38">
        <v>3.8</v>
      </c>
      <c r="AE290" s="4">
        <f>AD290</f>
        <v>3.8</v>
      </c>
      <c r="AF290" s="4">
        <f>AE290+1</f>
        <v>4.8</v>
      </c>
      <c r="AG290" s="7">
        <f>N290*AF290^0.5</f>
        <v>78.464542697960056</v>
      </c>
      <c r="AJ290" s="38">
        <f>AK290/0.145</f>
        <v>297.24137931034488</v>
      </c>
      <c r="AK290" s="4">
        <v>43.1</v>
      </c>
      <c r="AL290" s="4">
        <f>CY290</f>
        <v>1.3401047785481524</v>
      </c>
      <c r="AM290" s="38">
        <f>0.5*25.4</f>
        <v>12.7</v>
      </c>
      <c r="AN290" s="38">
        <v>4</v>
      </c>
      <c r="AO290" s="39">
        <f>8*25.4</f>
        <v>203.2</v>
      </c>
      <c r="AP290" s="39">
        <v>2</v>
      </c>
      <c r="AQ290" s="39">
        <f>AP290-1</f>
        <v>1</v>
      </c>
      <c r="AR290" s="7"/>
      <c r="AS290" s="4">
        <f>K290</f>
        <v>304.79999999999995</v>
      </c>
      <c r="AT290" s="4">
        <f>IF(K290*3&gt;W290+N290, Q290, (S290+N290/2)*2+1.5*K290*(2*X290-2))*(3*K290)/(9*K290^2)</f>
        <v>0.59444444444444433</v>
      </c>
      <c r="AU290" s="4">
        <f>MIN(10*M290^0.5*K290^1.5,100*3.9*M290^0.5*K290^(5/3))/(PI()/4*N290^2)/X290</f>
        <v>138.02587222939175</v>
      </c>
      <c r="AV290" s="4">
        <f>MIN(0.7+0.3*(MIN(S290,AA290)+0.5*N290)/1.5/K290,1)</f>
        <v>0.75174999999999992</v>
      </c>
      <c r="AW290" s="4">
        <v>1.25</v>
      </c>
      <c r="AX290" s="4">
        <f>AX289</f>
        <v>1</v>
      </c>
      <c r="AY290" s="38">
        <f>AT290*AV290*AW290*AX290*AU290</f>
        <v>77.100149937386377</v>
      </c>
      <c r="AZ290" s="38">
        <f>AY290</f>
        <v>77.100149937386377</v>
      </c>
      <c r="BA290" s="38">
        <f>IF(M290&lt;50, 0.3*M290^(2/3), 2.12*LN(1+0.1*(M290+8)))</f>
        <v>2.7206502209498358</v>
      </c>
      <c r="BB290" s="38">
        <f>AX290* (M290^0.5/AS290^0.5)/(PI()/4*N290^2)/X290/0.72 *(0.7+(MIN(S290,AA290)+0.5*N290)/5/K290) *(3*Q290*K290)</f>
        <v>77.100149937386348</v>
      </c>
      <c r="BC290" s="38">
        <f>AY290/BB290</f>
        <v>1.0000000000000004</v>
      </c>
      <c r="BD290" s="38">
        <f>BH290/BB290</f>
        <v>3.0411388332536453</v>
      </c>
      <c r="BE290" s="4">
        <f>IF(BD290&lt;1,1,0)</f>
        <v>0</v>
      </c>
      <c r="BF290" s="4">
        <f>L290/N290*M290^0.5/0.19</f>
        <v>234.0842125092189</v>
      </c>
      <c r="BG290" s="4">
        <f>MIN(0.6+0.4*(AC290/AB290),2)</f>
        <v>1</v>
      </c>
      <c r="BH290" s="38">
        <f>2*M290*AB290*AD290^0.5*BG290*0.7/0.7</f>
        <v>234.47226002426424</v>
      </c>
      <c r="BI290" s="4">
        <f>MAX(1-0.7*AE290/5,0.3)</f>
        <v>0.46800000000000008</v>
      </c>
      <c r="BJ290" s="4">
        <f>BI290*J290*L290/(J290*N290/2.75/M290^0.5)</f>
        <v>57.240612484879328</v>
      </c>
      <c r="BK290" s="4">
        <f>BH290+BJ290</f>
        <v>291.71287250914355</v>
      </c>
      <c r="BM290" s="4">
        <f>MIN(1.5, 0.75+0.25*MIN(3,MAX(1,S290/N290))+0.4*MIN(1,(40*2*PI()*AM290^2/4/AO290/X290)/N290))</f>
        <v>1.454041901913989</v>
      </c>
      <c r="BN290" s="4">
        <f>(3*P290+30)*BM290*M290^0.5</f>
        <v>421.97154235713816</v>
      </c>
      <c r="BP290" s="4">
        <f>3.4/PI()^0.5*M290*AB290*AE290^0.5*BG290</f>
        <v>224.8875714522045</v>
      </c>
      <c r="BQ290" s="4">
        <f>8/3*AH290*AI290^2/(AG290-N290-22)/N290*(AG290^2-N290^2)/(AG290^2-(N290+22)^2)</f>
        <v>0</v>
      </c>
      <c r="BR290" s="4">
        <f>BQ290/BP290</f>
        <v>0</v>
      </c>
      <c r="BZ290" s="4">
        <f>IF(W290=0,S290,MIN(W290/2,S290))</f>
        <v>60.959999999999994</v>
      </c>
      <c r="CD290" s="9"/>
      <c r="CF290" s="9"/>
      <c r="CG290" s="9"/>
      <c r="CH290" s="9">
        <f>IF(W290=0,MIN(S290,U290),MIN(W290/2,S290,U290))</f>
        <v>60.959999999999994</v>
      </c>
      <c r="CI290" s="9">
        <f>MAX(W290/2,S290)</f>
        <v>175.00599999999997</v>
      </c>
      <c r="CJ290" s="9">
        <f>(CH290/N290)^0.5*(CI290/CH290)^0.15</f>
        <v>1.5282600539404603</v>
      </c>
      <c r="CK290" s="70">
        <f>IF(AO290&gt;1,20,0)</f>
        <v>20</v>
      </c>
      <c r="CL290" s="9">
        <f>MIN(PI()*AM290^2/4*AN290*2/X290/N290/MAX(0.01,AO290),0.05)</f>
        <v>0.05</v>
      </c>
      <c r="CM290" s="9">
        <f>MAX(0,CK290*(CL290-0.5/50))</f>
        <v>0.8</v>
      </c>
      <c r="CN290" s="9">
        <f>MIN(1,(25/N290)^0.3)</f>
        <v>0.89777220146327208</v>
      </c>
      <c r="CO290" s="9">
        <f>IF(J290&gt;=800,0.68,IF(J290&gt;=700,0.75-(J290-700)*0.07/100,IF(J290&gt;=600,0.85-(J290-600)*0.1/100,IF(J290&gt;=500,1-(J290-500)*0.15/100,1.2-(J290-400)*0.2/100))))</f>
        <v>0.68</v>
      </c>
      <c r="CP290" s="9">
        <f>1.75*CN290*CO290*(M290/25)^0.5</f>
        <v>1.1166233434875248</v>
      </c>
      <c r="CQ290" s="9">
        <f>MIN((CJ290+CM290)*CP290,2.5*CP290,M290^0.5)</f>
        <v>2.5997895259394417</v>
      </c>
      <c r="CR290" s="40">
        <v>1</v>
      </c>
      <c r="CS290" s="9">
        <f>4*CQ290*P290+60*CQ290</f>
        <v>244.49084477983683</v>
      </c>
      <c r="CU290" s="4">
        <f>AJ290/BF290</f>
        <v>1.2698053240076526</v>
      </c>
      <c r="CV290" s="4">
        <f>AJ290/BK290</f>
        <v>1.0189518781041382</v>
      </c>
      <c r="CW290" s="4">
        <f>AJ290/BN290</f>
        <v>0.7044109601561066</v>
      </c>
      <c r="CX290" s="4">
        <f>AJ290/CS290</f>
        <v>1.2157566864232063</v>
      </c>
      <c r="CY290" s="4">
        <f>AJ290/DZ290</f>
        <v>1.3401047785481524</v>
      </c>
      <c r="CZ290" s="4">
        <f>AJ290/EL290</f>
        <v>0.90336797784402101</v>
      </c>
      <c r="DA290" s="4">
        <f>AJ290/GI290</f>
        <v>1.0055163450729336</v>
      </c>
      <c r="DB290" s="4">
        <f>AN290</f>
        <v>4</v>
      </c>
      <c r="DI290" s="4">
        <f>CU290</f>
        <v>1.2698053240076526</v>
      </c>
      <c r="DJ290" s="4">
        <f>CV290</f>
        <v>1.0189518781041382</v>
      </c>
      <c r="DK290" s="4">
        <f>CX290</f>
        <v>1.2157566864232063</v>
      </c>
      <c r="DL290" s="4">
        <f>DA290</f>
        <v>1.0055163450729336</v>
      </c>
      <c r="DM290" s="4">
        <f>CY290</f>
        <v>1.3401047785481524</v>
      </c>
      <c r="DN290" s="4">
        <f>CZ290</f>
        <v>0.90336797784402101</v>
      </c>
      <c r="DQ290" s="4">
        <f>L290</f>
        <v>304.79999999999995</v>
      </c>
      <c r="DT290" s="4">
        <f>K290/4/(1-0.3*(M290/30)^0.5)/200000/N290</f>
        <v>1.4904502788497585E-5</v>
      </c>
      <c r="DU290" s="4">
        <f>EP290</f>
        <v>5.4351055338759089</v>
      </c>
      <c r="DV290" s="4">
        <f>EC290*AG290/257/M290/AD290</f>
        <v>0.22682178662088584</v>
      </c>
      <c r="DW290" s="4">
        <f>DU290*DV290^0.4</f>
        <v>3.0024922011597335</v>
      </c>
      <c r="DX290" s="4">
        <f>MIN(DU290, DU290/1.4*(1-DV290^1.4)/(1-DV290))</f>
        <v>4.3919599889584076</v>
      </c>
      <c r="DY290" s="4">
        <f>MAX(DU290/2, (4-DT290*(8*AG290*(DW290-DX290)+6*K290*DX290))/(4+DT290*K290*DU290)*DU290)</f>
        <v>5.2576512773597823</v>
      </c>
      <c r="DZ290" s="38">
        <f>MIN(1/N290*(4*AG290*(DW290-DX290)+(3*DX290+DY290)*K290)+EC290 -FJ290,MAX(J290,AJ290))</f>
        <v>221.80458130473301</v>
      </c>
      <c r="EA290" s="4">
        <f>DZ290/FF290</f>
        <v>1.0001290789389341</v>
      </c>
      <c r="EB290" s="4">
        <f>AG290/N290</f>
        <v>2.1908902300206643</v>
      </c>
      <c r="EC290" s="4">
        <f>MIN(EB$10*BB290)</f>
        <v>77.100149937386348</v>
      </c>
      <c r="EG290" s="4">
        <f>IF(U290&gt;1*N290,0.85,1)</f>
        <v>0.85</v>
      </c>
      <c r="EH290" s="4">
        <f>MIN(1,MAX(0.7,(1-0.1*(BZ290-1*N290)/N290)))</f>
        <v>0.92978723404255315</v>
      </c>
      <c r="EI290" s="4">
        <f>MIN(1,MAX(0.7,1-0.3*(PI()*AM290^2/4*AQ290*2-0.25*PI()/4*N290^2)/(PI()/4*N290^2)))</f>
        <v>0.9995510789195714</v>
      </c>
      <c r="EJ290" s="4">
        <f>IF(EH290*EI290&lt;0.7,0.7,EH290*EI290)</f>
        <v>0.92936983295287801</v>
      </c>
      <c r="EL290" s="4">
        <f>MIN(DU290/N290*3*K290+EM290-FJ290,MAX(J290,AJ290))</f>
        <v>329.03687821627403</v>
      </c>
      <c r="EM290" s="25">
        <f>13.3*Q290*K290^0.5*M290^0.5/X290/N290^2*(0.7+S290/5/K290)</f>
        <v>190.2682262875274</v>
      </c>
      <c r="EO290" s="4">
        <f>EG290*EJ290</f>
        <v>0.78996435800994624</v>
      </c>
      <c r="EP290" s="4">
        <f>IF(N290&lt;22.2,1.1*5*(M290/30)^0.5,IF(N290&gt;=31.8,0.9*5*(M290/30)^0.5,1*5*(M290/30)^0.5))/EG290/EJ290</f>
        <v>5.4351055338759089</v>
      </c>
      <c r="ES290" s="4">
        <f>ET290*N290</f>
        <v>78.464542697960056</v>
      </c>
      <c r="ET290" s="4">
        <f>AF290^0.5</f>
        <v>2.1908902300206643</v>
      </c>
      <c r="EU290" s="4">
        <f>MIN(EC290)/(4700*M290^0.5)/AE290*ES290</f>
        <v>6.481620869679848E-2</v>
      </c>
      <c r="EX290" s="4">
        <f>EU290</f>
        <v>6.481620869679848E-2</v>
      </c>
      <c r="EY290" s="4">
        <f>MIN(0.999, EX290/(0.3*(M290/30)^0.5))</f>
        <v>0.22644326333285</v>
      </c>
      <c r="EZ290" s="4">
        <f>EP290/1*EY290^0.4</f>
        <v>3.0004869568967054</v>
      </c>
      <c r="FA290" s="4">
        <f>EP290/1.4*(1-EY290^1.4)/(1-EY290)</f>
        <v>4.3912795923654393</v>
      </c>
      <c r="FB290" s="4">
        <f>MAX(0,DQ290*FB$9-ES290)</f>
        <v>150.13545730203992</v>
      </c>
      <c r="FC290" s="4">
        <f>MAX(0,DQ290-ES290-FB290)</f>
        <v>76.199999999999989</v>
      </c>
      <c r="FD290" s="4">
        <f>FC290/(1-0.3*(M290/30)^0.5)/200000/N290</f>
        <v>1.4904502788497585E-5</v>
      </c>
      <c r="FE290" s="4">
        <f>MAX(0.5*EP290, (1-2*FD290*(ES290*EZ290+FB290*FA290))/(1/EP290+FD290*FC290))</f>
        <v>5.2576930610951198</v>
      </c>
      <c r="FF290" s="4">
        <f>MIN(4/N290*(1*EZ290*ES290+FA290*FB290+FC290*FE290)+EC290,MAX(J290,AJ290))</f>
        <v>221.77595469981924</v>
      </c>
      <c r="FO290" s="23">
        <f>IF(CU290&lt;0.6,0.6,IF(CU290&lt;0.8,0.8,IF(CU290&lt;1,1,IF(CU290&lt;1.2,1.2,IF(CU290&lt;1.4,1.4,IF(CU290&lt;1.6,1.6,IF(CU290&lt;1.8,1.8,IF(CU290&lt;2,2,2.2))))))))</f>
        <v>1.4</v>
      </c>
      <c r="FP290" s="23">
        <f>IF(CV290&lt;0.6,0.6,IF(CV290&lt;0.8,0.8,IF(CV290&lt;1,1,IF(CV290&lt;1.2,1.2,IF(CV290&lt;1.4,1.4,IF(CV290&lt;1.6,1.6,IF(CV290&lt;1.8,1.8,IF(CV290&lt;2,2,2.2))))))))</f>
        <v>1.2</v>
      </c>
      <c r="FQ290" s="23">
        <f>IF(DA290&lt;0.6,0.6,IF(DA290&lt;0.8,0.8,IF(DA290&lt;1,1,IF(DA290&lt;1.2,1.2,IF(DA290&lt;1.4,1.4,IF(DA290&lt;1.6,1.6,IF(DA290&lt;1.8,1.8,IF(DA290&lt;2,2,2.2))))))))</f>
        <v>1.2</v>
      </c>
      <c r="FR290" s="23">
        <f>IF(CX290&lt;0.6,0.6,IF(CX290&lt;0.8,0.8,IF(CX290&lt;1,1,IF(CX290&lt;1.2,1.2,IF(CX290&lt;1.4,1.4,IF(CX290&lt;1.6,1.6,IF(CX290&lt;1.8,1.8,IF(CX290&lt;2,2,2.2))))))))</f>
        <v>1.4</v>
      </c>
      <c r="FS290" s="23">
        <f>IF(CY290&lt;0.6,0.6,IF(CY290&lt;0.8,0.8,IF(CY290&lt;1,1,IF(CY290&lt;1.2,1.2,IF(CY290&lt;1.4,1.4,IF(CY290&lt;1.6,1.6,IF(CY290&lt;1.8,1.8,IF(CY290&lt;2,2,2.2))))))))</f>
        <v>1.4</v>
      </c>
      <c r="FT290" s="23">
        <f>IF(CZ290&lt;0.6,0.6,IF(CZ290&lt;0.8,0.8,IF(CZ290&lt;1,1,IF(CZ290&lt;1.2,1.2,IF(CZ290&lt;1.4,1.4,IF(CZ290&lt;1.6,1.6,IF(CZ290&lt;1.8,1.8,IF(CZ290&lt;2,2,2.2))))))))</f>
        <v>1</v>
      </c>
      <c r="FU290" s="23">
        <f>IF(FS290&lt;1,1,0)</f>
        <v>0</v>
      </c>
      <c r="FV290" s="23"/>
      <c r="GF290" s="4">
        <f>IF(S290&gt;=2.5*25.4,1,1.25)</f>
        <v>1.25</v>
      </c>
      <c r="GG290" s="4">
        <f>IF(AO290&gt;1, 0.05*(18-MIN(8,(W290+N290)/N290))*(1-48000/MAX(60000,(J290*145))*(N290/25.4)^0.75*GH290), 1/12*(14-MIN(8,(W290+N290)/N290)))</f>
        <v>0.44214730608235164</v>
      </c>
      <c r="GH290" s="4">
        <f>MIN(0.3, AM290^2*PI()/4*2*AP290/(N290^2*PI()/4*X290))</f>
        <v>0.25149640360142855</v>
      </c>
      <c r="GI290" s="4">
        <f>(K290/25.4)/(N290/25.4)^1.5/0.0024*(M290*145)^0.25/GF290/GG290/145</f>
        <v>295.61068874398546</v>
      </c>
    </row>
    <row r="291" spans="1:191" ht="12" customHeight="1" x14ac:dyDescent="0.3">
      <c r="A291" s="25">
        <v>325</v>
      </c>
      <c r="B291" s="4" t="s">
        <v>605</v>
      </c>
      <c r="C291" s="4">
        <v>2016</v>
      </c>
      <c r="D291" s="4" t="s">
        <v>309</v>
      </c>
      <c r="E291" s="24" t="s">
        <v>670</v>
      </c>
      <c r="F291" s="24"/>
      <c r="G291" s="24">
        <v>16</v>
      </c>
      <c r="H291" s="7" t="s">
        <v>487</v>
      </c>
      <c r="I291" s="5">
        <f>K291/N291</f>
        <v>11.999999999999998</v>
      </c>
      <c r="J291" s="38">
        <f>129/0.145</f>
        <v>889.65517241379314</v>
      </c>
      <c r="K291" s="89">
        <f>12*25.4</f>
        <v>304.79999999999995</v>
      </c>
      <c r="L291" s="4">
        <f>K291</f>
        <v>304.79999999999995</v>
      </c>
      <c r="M291" s="89">
        <f>12040/145</f>
        <v>83.034482758620683</v>
      </c>
      <c r="N291" s="96">
        <f>1*25.4</f>
        <v>25.4</v>
      </c>
      <c r="O291" s="7">
        <f>K291/N291</f>
        <v>11.999999999999998</v>
      </c>
      <c r="P291" s="7">
        <f>L291/N291</f>
        <v>11.999999999999998</v>
      </c>
      <c r="Q291" s="38">
        <f>14.9*25.4</f>
        <v>378.46</v>
      </c>
      <c r="R291" s="32">
        <f>S291/N291</f>
        <v>2.4500000000000002</v>
      </c>
      <c r="S291" s="38">
        <f>2.45*25.4</f>
        <v>62.230000000000004</v>
      </c>
      <c r="T291" s="32">
        <f>U291/N291</f>
        <v>2.9999999999999996</v>
      </c>
      <c r="U291" s="39">
        <f>3*25.4</f>
        <v>76.199999999999989</v>
      </c>
      <c r="V291" s="32">
        <f>W291/N291</f>
        <v>2.0000000000000004</v>
      </c>
      <c r="W291" s="7">
        <f>(Q291-X291*N291-2*S291)/(X291-1)</f>
        <v>50.800000000000004</v>
      </c>
      <c r="X291" s="38">
        <v>4</v>
      </c>
      <c r="Y291" s="7">
        <f>AN291</f>
        <v>0</v>
      </c>
      <c r="Z291" s="32">
        <f>AA291/N291</f>
        <v>10.25</v>
      </c>
      <c r="AA291" s="4">
        <f>10.25*25.4</f>
        <v>260.34999999999997</v>
      </c>
      <c r="AB291" s="7">
        <f>MIN(S291/N291+0.5, W291/2/N291+0.5)</f>
        <v>1.5000000000000002</v>
      </c>
      <c r="AC291" s="7">
        <f>S291/N291+0.5</f>
        <v>2.95</v>
      </c>
      <c r="AD291" s="38">
        <v>4.0999999999999996</v>
      </c>
      <c r="AE291" s="4">
        <f>AD291</f>
        <v>4.0999999999999996</v>
      </c>
      <c r="AF291" s="4">
        <f>AE291+1</f>
        <v>5.0999999999999996</v>
      </c>
      <c r="AG291" s="7">
        <f>N291*AF291^0.5</f>
        <v>57.361276136431961</v>
      </c>
      <c r="AJ291" s="38">
        <f>AK291/0.145</f>
        <v>430.34482758620692</v>
      </c>
      <c r="AK291" s="4">
        <v>62.4</v>
      </c>
      <c r="AL291" s="4">
        <f>CY291</f>
        <v>1.0166221143746004</v>
      </c>
      <c r="AM291" s="38">
        <v>0</v>
      </c>
      <c r="AN291" s="38">
        <v>0</v>
      </c>
      <c r="AO291" s="39">
        <f>L291</f>
        <v>304.79999999999995</v>
      </c>
      <c r="AP291" s="39"/>
      <c r="AQ291" s="39"/>
      <c r="AR291" s="7"/>
      <c r="AS291" s="4">
        <f>K291</f>
        <v>304.79999999999995</v>
      </c>
      <c r="AT291" s="4">
        <f>IF(K291*3&gt;W291+N291, Q291, (S291+N291/2)*2+1.5*K291*(2*X291-2))*(3*K291)/(9*K291^2)</f>
        <v>0.41388888888888886</v>
      </c>
      <c r="AU291" s="4">
        <f>MIN(10*M291^0.5*K291^1.5,100*3.9*M291^0.5*K291^(5/3))/(PI()/4*N291^2)/X291</f>
        <v>239.24032317976457</v>
      </c>
      <c r="AV291" s="4">
        <f>MIN(0.7+0.3*(MIN(S291,AA291)+0.5*N291)/1.5/K291,1)</f>
        <v>0.74916666666666665</v>
      </c>
      <c r="AW291" s="4">
        <v>1.25</v>
      </c>
      <c r="AX291" s="4">
        <f>AX290</f>
        <v>1</v>
      </c>
      <c r="AY291" s="38">
        <f>AT291*AV291*AW291*AX291*AU291</f>
        <v>92.727084867629173</v>
      </c>
      <c r="AZ291" s="38">
        <f>AY291</f>
        <v>92.727084867629173</v>
      </c>
      <c r="BA291" s="38">
        <f>IF(M291&lt;50, 0.3*M291^(2/3), 2.12*LN(1+0.1*(M291+8)))</f>
        <v>4.9032987715448586</v>
      </c>
      <c r="BB291" s="38">
        <f>AX291* (M291^0.5/AS291^0.5)/(PI()/4*N291^2)/X291/0.72 *(0.7+(MIN(S291,AA291)+0.5*N291)/5/K291) *(3*Q291*K291)</f>
        <v>92.727084867629117</v>
      </c>
      <c r="BC291" s="38">
        <f>AY291/BB291</f>
        <v>1.0000000000000007</v>
      </c>
      <c r="BD291" s="38">
        <f>BH291/BB291</f>
        <v>7.542878929474103</v>
      </c>
      <c r="BE291" s="4">
        <f>IF(BD291&lt;1,1,0)</f>
        <v>0</v>
      </c>
      <c r="BF291" s="4">
        <f>L291/N291*M291^0.5/0.19</f>
        <v>575.51531809677044</v>
      </c>
      <c r="BG291" s="4">
        <f>MIN(0.6+0.4*(AC291/AB291),2)</f>
        <v>1.3866666666666667</v>
      </c>
      <c r="BH291" s="38">
        <f>2*M291*AB291*AD291^0.5*BG291*0.7/0.7</f>
        <v>699.42917463959657</v>
      </c>
      <c r="BI291" s="4">
        <f>MAX(1-0.7*AE291/5,0.3)</f>
        <v>0.42600000000000005</v>
      </c>
      <c r="BJ291" s="4">
        <f>BI291*J291*L291/(J291*N291/2.75/M291^0.5)</f>
        <v>128.10107707856966</v>
      </c>
      <c r="BK291" s="4">
        <f>BH291+BJ291</f>
        <v>827.53025171816626</v>
      </c>
      <c r="BM291" s="4">
        <f>MIN(1.5, 0.75+0.25*MIN(3,MAX(1,S291/N291))+0.4*MIN(1,(40*2*PI()*AM291^2/4/AO291/X291)/N291))</f>
        <v>1.3625</v>
      </c>
      <c r="BN291" s="4">
        <f>(3*P291+30)*BM291*M291^0.5</f>
        <v>819.42590384765822</v>
      </c>
      <c r="BP291" s="4">
        <f>3.4/PI()^0.5*M291*AB291*AE291^0.5*BG291</f>
        <v>670.83811309381031</v>
      </c>
      <c r="BQ291" s="4">
        <f>8/3*AH291*AI291^2/(AG291-N291-22)/N291*(AG291^2-N291^2)/(AG291^2-(N291+22)^2)</f>
        <v>0</v>
      </c>
      <c r="BR291" s="4">
        <f>BQ291/BP291</f>
        <v>0</v>
      </c>
      <c r="BZ291" s="4">
        <f>IF(W291=0,S291,MIN(W291/2,S291))</f>
        <v>25.400000000000002</v>
      </c>
      <c r="CD291" s="9"/>
      <c r="CF291" s="9"/>
      <c r="CG291" s="9"/>
      <c r="CH291" s="9">
        <f>IF(W291=0,MIN(S291,U291),MIN(W291/2,S291,U291))</f>
        <v>25.400000000000002</v>
      </c>
      <c r="CI291" s="9">
        <f>MAX(W291/2,S291)</f>
        <v>62.230000000000004</v>
      </c>
      <c r="CJ291" s="9">
        <f>(CH291/N291)^0.5*(CI291/CH291)^0.15</f>
        <v>1.143865371392744</v>
      </c>
      <c r="CK291" s="70">
        <f>IF(AO291&gt;1,20,0)</f>
        <v>20</v>
      </c>
      <c r="CL291" s="9">
        <f>MIN(PI()*AM291^2/4*AN291*2/X291/N291/MAX(0.01,AO291),0.05)</f>
        <v>0</v>
      </c>
      <c r="CM291" s="9">
        <f>MAX(0,CK291*(CL291-0.5/50))</f>
        <v>0</v>
      </c>
      <c r="CN291" s="9">
        <f>MIN(1,(25/N291)^0.3)</f>
        <v>0.99524931562137331</v>
      </c>
      <c r="CO291" s="9">
        <f>IF(J291&gt;=800,0.68,IF(J291&gt;=700,0.75-(J291-700)*0.07/100,IF(J291&gt;=600,0.85-(J291-600)*0.1/100,IF(J291&gt;=500,1-(J291-500)*0.15/100,1.2-(J291-400)*0.2/100))))</f>
        <v>0.68</v>
      </c>
      <c r="CP291" s="9">
        <f>1.75*CN291*CO291*(M291/25)^0.5</f>
        <v>2.1584305883972208</v>
      </c>
      <c r="CQ291" s="9">
        <f>MIN((CJ291+CM291)*CP291,2.5*CP291,M291^0.5)</f>
        <v>2.4689540066224458</v>
      </c>
      <c r="CR291" s="40">
        <v>1</v>
      </c>
      <c r="CS291" s="9">
        <f>4*CQ291*P291+60*CQ291</f>
        <v>266.6470327152241</v>
      </c>
      <c r="CU291" s="4">
        <f>AJ291/BF291</f>
        <v>0.74775564447069376</v>
      </c>
      <c r="CV291" s="4">
        <f>AJ291/BK291</f>
        <v>0.5200351608810676</v>
      </c>
      <c r="CW291" s="4">
        <f>AJ291/BN291</f>
        <v>0.52517845184720147</v>
      </c>
      <c r="CX291" s="4">
        <f>AJ291/CS291</f>
        <v>1.6139119314551313</v>
      </c>
      <c r="CY291" s="4">
        <f>AJ291/DZ291</f>
        <v>1.0166221143746004</v>
      </c>
      <c r="CZ291" s="4">
        <f>AJ291/EL291</f>
        <v>0.73918547860307671</v>
      </c>
      <c r="DA291" s="4">
        <f>AJ291/GI291</f>
        <v>1.1169384460611274</v>
      </c>
      <c r="DB291" s="4">
        <f>AN291</f>
        <v>0</v>
      </c>
      <c r="DC291" s="4">
        <f>CU291</f>
        <v>0.74775564447069376</v>
      </c>
      <c r="DD291" s="4">
        <f>CV291</f>
        <v>0.5200351608810676</v>
      </c>
      <c r="DE291" s="4">
        <f>CX291</f>
        <v>1.6139119314551313</v>
      </c>
      <c r="DF291" s="4">
        <f>DA291</f>
        <v>1.1169384460611274</v>
      </c>
      <c r="DG291" s="4">
        <f>CY291</f>
        <v>1.0166221143746004</v>
      </c>
      <c r="DH291" s="4">
        <f>CZ291</f>
        <v>0.73918547860307671</v>
      </c>
      <c r="DQ291" s="4">
        <f>L291</f>
        <v>304.79999999999995</v>
      </c>
      <c r="DT291" s="4">
        <f>K291/4/(1-0.3*(M291/30)^0.5)/200000/N291</f>
        <v>2.9946255038411594E-5</v>
      </c>
      <c r="DU291" s="4">
        <f>EP291</f>
        <v>9.7863263338494875</v>
      </c>
      <c r="DV291" s="4">
        <f>EC291*AG291/257/M291/AD291</f>
        <v>6.0792492052264592E-2</v>
      </c>
      <c r="DW291" s="4">
        <f>DU291*DV291^0.4</f>
        <v>3.1927114684674218</v>
      </c>
      <c r="DX291" s="4">
        <f>MIN(DU291, DU291/1.4*(1-DV291^1.4)/(1-DV291))</f>
        <v>7.2950815038258927</v>
      </c>
      <c r="DY291" s="4">
        <f>MAX(DU291/2, (4-DT291*(8*AG291*(DW291-DX291)+6*K291*DX291))/(4+DT291*K291*DU291)*DU291)</f>
        <v>8.7513624353864827</v>
      </c>
      <c r="DZ291" s="38">
        <f>MIN(1/N291*(4*AG291*(DW291-DX291)+(3*DX291+DY291)*K291)+EC291 -FJ291,MAX(J291,AJ291))</f>
        <v>423.30854454306643</v>
      </c>
      <c r="EA291" s="4">
        <f>DZ291/FF291</f>
        <v>1.000070519645696</v>
      </c>
      <c r="EB291" s="4">
        <f>AG291/N291</f>
        <v>2.2583179581272428</v>
      </c>
      <c r="EC291" s="4">
        <f>MIN(EB$10*BB291)</f>
        <v>92.727084867629117</v>
      </c>
      <c r="EG291" s="4">
        <f>IF(U291&gt;1*N291,0.85,1)</f>
        <v>0.85</v>
      </c>
      <c r="EH291" s="4">
        <f>MIN(1,MAX(0.7,(1-0.1*(BZ291-1*N291)/N291)))</f>
        <v>1</v>
      </c>
      <c r="EI291" s="4">
        <f>MIN(1,MAX(0.7,1-0.3*(PI()*AM291^2/4*AQ291*2-0.25*PI()/4*N291^2)/(PI()/4*N291^2)))</f>
        <v>1</v>
      </c>
      <c r="EJ291" s="4">
        <f>IF(EH291*EI291&lt;0.7,0.7,EH291*EI291)</f>
        <v>1</v>
      </c>
      <c r="EL291" s="4">
        <f>MIN(DU291/N291*3*K291+EM291-FJ291,MAX(J291,AJ291))</f>
        <v>582.18788117899544</v>
      </c>
      <c r="EM291" s="25">
        <f>13.3*Q291*K291^0.5*M291^0.5/X291/N291^2*(0.7+S291/5/K291)</f>
        <v>229.88013316041389</v>
      </c>
      <c r="EO291" s="4">
        <f>EG291*EJ291</f>
        <v>0.85</v>
      </c>
      <c r="EP291" s="4">
        <f>IF(N291&lt;22.2,1.1*5*(M291/30)^0.5,IF(N291&gt;=31.8,0.9*5*(M291/30)^0.5,1*5*(M291/30)^0.5))/EG291/EJ291</f>
        <v>9.7863263338494875</v>
      </c>
      <c r="ES291" s="4">
        <f>ET291*N291</f>
        <v>57.361276136431961</v>
      </c>
      <c r="ET291" s="4">
        <f>AF291^0.5</f>
        <v>2.2583179581272428</v>
      </c>
      <c r="EU291" s="4">
        <f>MIN(EC291)/(4700*M291^0.5)/AE291*ES291</f>
        <v>3.0291058827981183E-2</v>
      </c>
      <c r="EX291" s="4">
        <f>EU291</f>
        <v>3.0291058827981183E-2</v>
      </c>
      <c r="EY291" s="4">
        <f>MIN(0.999, EX291/(0.3*(M291/30)^0.5))</f>
        <v>6.0691040713209687E-2</v>
      </c>
      <c r="EZ291" s="4">
        <f>EP291/1*EY291^0.4</f>
        <v>3.1905791843758347</v>
      </c>
      <c r="FA291" s="4">
        <f>EP291/1.4*(1-EY291^1.4)/(1-EY291)</f>
        <v>7.2946383066512652</v>
      </c>
      <c r="FB291" s="4">
        <f>MAX(0,DQ291*FB$9-ES291)</f>
        <v>171.238723863568</v>
      </c>
      <c r="FC291" s="4">
        <f>MAX(0,DQ291-ES291-FB291)</f>
        <v>76.199999999999989</v>
      </c>
      <c r="FD291" s="4">
        <f>FC291/(1-0.3*(M291/30)^0.5)/200000/N291</f>
        <v>2.9946255038411594E-5</v>
      </c>
      <c r="FE291" s="4">
        <f>MAX(0.5*EP291, (1-2*FD291*(ES291*EZ291+FB291*FA291))/(1/EP291+FD291*FC291))</f>
        <v>8.7514760700488505</v>
      </c>
      <c r="FF291" s="4">
        <f>MIN(4/N291*(1*EZ291*ES291+FA291*FB291+FC291*FE291)+EC291,MAX(J291,AJ291))</f>
        <v>423.27869507945871</v>
      </c>
      <c r="FO291" s="23">
        <f>IF(CU291&lt;0.6,0.6,IF(CU291&lt;0.8,0.8,IF(CU291&lt;1,1,IF(CU291&lt;1.2,1.2,IF(CU291&lt;1.4,1.4,IF(CU291&lt;1.6,1.6,IF(CU291&lt;1.8,1.8,IF(CU291&lt;2,2,2.2))))))))</f>
        <v>0.8</v>
      </c>
      <c r="FP291" s="23">
        <f>IF(CV291&lt;0.6,0.6,IF(CV291&lt;0.8,0.8,IF(CV291&lt;1,1,IF(CV291&lt;1.2,1.2,IF(CV291&lt;1.4,1.4,IF(CV291&lt;1.6,1.6,IF(CV291&lt;1.8,1.8,IF(CV291&lt;2,2,2.2))))))))</f>
        <v>0.6</v>
      </c>
      <c r="FQ291" s="23">
        <f>IF(DA291&lt;0.6,0.6,IF(DA291&lt;0.8,0.8,IF(DA291&lt;1,1,IF(DA291&lt;1.2,1.2,IF(DA291&lt;1.4,1.4,IF(DA291&lt;1.6,1.6,IF(DA291&lt;1.8,1.8,IF(DA291&lt;2,2,2.2))))))))</f>
        <v>1.2</v>
      </c>
      <c r="FR291" s="23">
        <f>IF(CX291&lt;0.6,0.6,IF(CX291&lt;0.8,0.8,IF(CX291&lt;1,1,IF(CX291&lt;1.2,1.2,IF(CX291&lt;1.4,1.4,IF(CX291&lt;1.6,1.6,IF(CX291&lt;1.8,1.8,IF(CX291&lt;2,2,2.2))))))))</f>
        <v>1.8</v>
      </c>
      <c r="FS291" s="23">
        <f>IF(CY291&lt;0.6,0.6,IF(CY291&lt;0.8,0.8,IF(CY291&lt;1,1,IF(CY291&lt;1.2,1.2,IF(CY291&lt;1.4,1.4,IF(CY291&lt;1.6,1.6,IF(CY291&lt;1.8,1.8,IF(CY291&lt;2,2,2.2))))))))</f>
        <v>1.2</v>
      </c>
      <c r="FT291" s="23">
        <f>IF(CZ291&lt;0.6,0.6,IF(CZ291&lt;0.8,0.8,IF(CZ291&lt;1,1,IF(CZ291&lt;1.2,1.2,IF(CZ291&lt;1.4,1.4,IF(CZ291&lt;1.6,1.6,IF(CZ291&lt;1.8,1.8,IF(CZ291&lt;2,2,2.2))))))))</f>
        <v>0.8</v>
      </c>
      <c r="FU291" s="23">
        <f>IF(FS291&lt;1,1,0)</f>
        <v>0</v>
      </c>
      <c r="FV291" s="23"/>
      <c r="GF291" s="4">
        <f>IF(S291&gt;=2.5*25.4,1,1.25)</f>
        <v>1.25</v>
      </c>
      <c r="GG291" s="4">
        <f>IF(AO291&gt;1, 0.05*(18-MIN(8,(W291+N291)/N291))*(1-48000/MAX(60000,(J291*145))*(N291/25.4)^0.75*GH291), 1/12*(14-MIN(8,(W291+N291)/N291)))</f>
        <v>0.75</v>
      </c>
      <c r="GH291" s="4">
        <f>MIN(0.3, AM291^2*PI()/4*2*AP291/(N291^2*PI()/4*X291))</f>
        <v>0</v>
      </c>
      <c r="GI291" s="4">
        <f>(K291/25.4)/(N291/25.4)^1.5/0.0024*(M291*145)^0.25/GF291/GG291/145</f>
        <v>385.28965414684558</v>
      </c>
    </row>
    <row r="292" spans="1:191" ht="12" customHeight="1" x14ac:dyDescent="0.3">
      <c r="A292" s="25">
        <v>276</v>
      </c>
      <c r="B292" s="4" t="s">
        <v>605</v>
      </c>
      <c r="C292" s="4">
        <v>2016</v>
      </c>
      <c r="D292" s="4" t="s">
        <v>309</v>
      </c>
      <c r="E292" s="24" t="s">
        <v>666</v>
      </c>
      <c r="F292" s="24"/>
      <c r="G292" s="24">
        <v>46</v>
      </c>
      <c r="H292" s="48" t="s">
        <v>434</v>
      </c>
      <c r="I292" s="5">
        <f>K292/N292</f>
        <v>11.999999999999998</v>
      </c>
      <c r="J292" s="78">
        <f>115.9/0.145</f>
        <v>799.31034482758628</v>
      </c>
      <c r="K292" s="38">
        <f>12*25.4</f>
        <v>304.79999999999995</v>
      </c>
      <c r="L292" s="4">
        <f>K292</f>
        <v>304.79999999999995</v>
      </c>
      <c r="M292" s="38">
        <f>5750/145</f>
        <v>39.655172413793103</v>
      </c>
      <c r="N292" s="38">
        <f>1*25.4</f>
        <v>25.4</v>
      </c>
      <c r="O292" s="7">
        <f>K292/N292</f>
        <v>11.999999999999998</v>
      </c>
      <c r="P292" s="7">
        <f>L292/N292</f>
        <v>11.999999999999998</v>
      </c>
      <c r="Q292" s="38">
        <f>16.6*25.4</f>
        <v>421.64</v>
      </c>
      <c r="R292" s="32">
        <f>S292/N292</f>
        <v>2.4500000000000002</v>
      </c>
      <c r="S292" s="38">
        <f>2.45*25.4</f>
        <v>62.230000000000004</v>
      </c>
      <c r="T292" s="32">
        <f>U292/N292</f>
        <v>3.3</v>
      </c>
      <c r="U292" s="39">
        <f>3.3*25.4</f>
        <v>83.82</v>
      </c>
      <c r="V292" s="32">
        <f>W292/N292</f>
        <v>9.6999999999999993</v>
      </c>
      <c r="W292" s="7">
        <f>(Q292-X292*N292-2*S292)/(X292-1)</f>
        <v>246.37999999999997</v>
      </c>
      <c r="X292" s="38">
        <v>2</v>
      </c>
      <c r="Y292" s="7">
        <f>AN292</f>
        <v>4</v>
      </c>
      <c r="Z292" s="32">
        <f>AA292/N292</f>
        <v>10.25</v>
      </c>
      <c r="AA292" s="4">
        <f>10.25*25.4</f>
        <v>260.34999999999997</v>
      </c>
      <c r="AB292" s="7">
        <f>MIN(S292/N292+0.5, W292/2/N292+0.5)</f>
        <v>2.95</v>
      </c>
      <c r="AC292" s="7">
        <f>S292/N292+0.5</f>
        <v>2.95</v>
      </c>
      <c r="AD292" s="38">
        <v>4.5</v>
      </c>
      <c r="AE292" s="4">
        <f>AD292</f>
        <v>4.5</v>
      </c>
      <c r="AF292" s="4">
        <f>AE292+1</f>
        <v>5.5</v>
      </c>
      <c r="AG292" s="7">
        <f>N292*AF292^0.5</f>
        <v>59.568280149757555</v>
      </c>
      <c r="AJ292" s="38">
        <f>AK292/0.145</f>
        <v>685.51724137931046</v>
      </c>
      <c r="AK292" s="4">
        <v>99.4</v>
      </c>
      <c r="AL292" s="4">
        <f>CY292</f>
        <v>1.4934888450846682</v>
      </c>
      <c r="AM292" s="38">
        <f>0.5*25.4</f>
        <v>12.7</v>
      </c>
      <c r="AN292" s="38">
        <v>4</v>
      </c>
      <c r="AO292" s="39">
        <f>5.5*25.4</f>
        <v>139.69999999999999</v>
      </c>
      <c r="AP292" s="39">
        <v>1</v>
      </c>
      <c r="AQ292" s="39">
        <v>1</v>
      </c>
      <c r="AR292" s="7"/>
      <c r="AS292" s="4">
        <f>K292</f>
        <v>304.79999999999995</v>
      </c>
      <c r="AT292" s="4">
        <f>IF(K292*3&gt;W292+N292, Q292, (S292+N292/2)*2+1.5*K292*(2*X292-2))*(3*K292)/(9*K292^2)</f>
        <v>0.46111111111111108</v>
      </c>
      <c r="AU292" s="4">
        <f>MIN(10*M292^0.5*K292^1.5,100*3.9*M292^0.5*K292^(5/3))/(PI()/4*N292^2)/X292</f>
        <v>330.66258376635705</v>
      </c>
      <c r="AV292" s="4">
        <f>MIN(0.7+0.3*(MIN(S292,AA292)+0.5*N292)/1.5/K292,1)</f>
        <v>0.74916666666666665</v>
      </c>
      <c r="AW292" s="4">
        <v>1.25</v>
      </c>
      <c r="AX292" s="4">
        <f>AX291</f>
        <v>1</v>
      </c>
      <c r="AY292" s="38">
        <f>AT292*AV292*AW292*AX292*AU292</f>
        <v>142.78385424128624</v>
      </c>
      <c r="AZ292" s="38">
        <f>AY292</f>
        <v>142.78385424128624</v>
      </c>
      <c r="BA292" s="38">
        <f>IF(M292&lt;50, 0.3*M292^(2/3), 2.12*LN(1+0.1*(M292+8)))</f>
        <v>3.4886265610899732</v>
      </c>
      <c r="BB292" s="38">
        <f>AX292* (M292^0.5/AS292^0.5)/(PI()/4*N292^2)/X292/0.72 *(0.7+(MIN(S292,AA292)+0.5*N292)/5/K292) *(3*Q292*K292)</f>
        <v>142.78385424128618</v>
      </c>
      <c r="BC292" s="38">
        <f>AY292/BB292</f>
        <v>1.0000000000000004</v>
      </c>
      <c r="BD292" s="38">
        <f>BH292/BB292</f>
        <v>3.4759939353989067</v>
      </c>
      <c r="BE292" s="4">
        <f>IF(BD292&lt;1,1,0)</f>
        <v>0</v>
      </c>
      <c r="BF292" s="4">
        <f>L292/N292*M292^0.5/0.19</f>
        <v>397.72012416151739</v>
      </c>
      <c r="BG292" s="4">
        <f>MIN(0.6+0.4*(AC292/AB292),2)</f>
        <v>1</v>
      </c>
      <c r="BH292" s="38">
        <f>2*M292*AB292*AD292^0.5*BG292*0.7/0.7</f>
        <v>496.31581141559224</v>
      </c>
      <c r="BI292" s="4">
        <f>MAX(1-0.7*AE292/5,0.3)</f>
        <v>0.37</v>
      </c>
      <c r="BJ292" s="4">
        <f>BI292*J292*L292/(J292*N292/2.75/M292^0.5)</f>
        <v>76.889243003525337</v>
      </c>
      <c r="BK292" s="4">
        <f>BH292+BJ292</f>
        <v>573.20505441911757</v>
      </c>
      <c r="BM292" s="4">
        <f>MIN(1.5, 0.75+0.25*MIN(3,MAX(1,S292/N292))+0.4*MIN(1,(40*2*PI()*AM292^2/4/AO292/X292)/N292))</f>
        <v>1.5</v>
      </c>
      <c r="BN292" s="4">
        <f>(3*P292+30)*BM292*M292^0.5</f>
        <v>623.42629462317859</v>
      </c>
      <c r="BP292" s="4">
        <f>3.4/PI()^0.5*M292*AB292*AE292^0.5*BG292</f>
        <v>476.02755861624058</v>
      </c>
      <c r="BQ292" s="4">
        <f>8/3*AH292*AI292^2/(AG292-N292-22)/N292*(AG292^2-N292^2)/(AG292^2-(N292+22)^2)</f>
        <v>0</v>
      </c>
      <c r="BR292" s="4">
        <f>BQ292/BP292</f>
        <v>0</v>
      </c>
      <c r="BZ292" s="4">
        <f>IF(W292=0,S292,MIN(W292/2,S292))</f>
        <v>62.230000000000004</v>
      </c>
      <c r="CD292" s="9"/>
      <c r="CF292" s="9"/>
      <c r="CG292" s="9"/>
      <c r="CH292" s="9">
        <f>IF(W292=0,MIN(S292,U292),MIN(W292/2,S292,U292))</f>
        <v>62.230000000000004</v>
      </c>
      <c r="CI292" s="9">
        <f>MAX(W292/2,S292)</f>
        <v>123.18999999999998</v>
      </c>
      <c r="CJ292" s="9">
        <f>(CH292/N292)^0.5*(CI292/CH292)^0.15</f>
        <v>1.7340810420811554</v>
      </c>
      <c r="CK292" s="70">
        <f>IF(AO292&gt;1,20,0)</f>
        <v>20</v>
      </c>
      <c r="CL292" s="9">
        <f>MIN(PI()*AM292^2/4*AN292*2/X292/N292/MAX(0.01,AO292),0.05)</f>
        <v>0.05</v>
      </c>
      <c r="CM292" s="9">
        <f>MAX(0,CK292*(CL292-0.5/50))</f>
        <v>0.8</v>
      </c>
      <c r="CN292" s="9">
        <f>MIN(1,(25/N292)^0.3)</f>
        <v>0.99524931562137331</v>
      </c>
      <c r="CO292" s="9">
        <f>IF(J292&gt;=800,0.68,IF(J292&gt;=700,0.75-(J292-700)*0.07/100,IF(J292&gt;=600,0.85-(J292-600)*0.1/100,IF(J292&gt;=500,1-(J292-500)*0.15/100,1.2-(J292-400)*0.2/100))))</f>
        <v>0.68048275862068963</v>
      </c>
      <c r="CP292" s="9">
        <f>1.75*CN292*CO292*(M292/25)^0.5</f>
        <v>1.4926809118196944</v>
      </c>
      <c r="CQ292" s="9">
        <f>MIN((CJ292+CM292)*CP292,2.5*CP292,M292^0.5)</f>
        <v>3.7317022795492361</v>
      </c>
      <c r="CR292" s="40">
        <v>1</v>
      </c>
      <c r="CS292" s="9">
        <f>4*CQ292*P292+60*CQ292</f>
        <v>403.02384619131749</v>
      </c>
      <c r="CU292" s="4">
        <f>AJ292/BF292</f>
        <v>1.7236171863934053</v>
      </c>
      <c r="CV292" s="4">
        <f>AJ292/BK292</f>
        <v>1.1959371887849268</v>
      </c>
      <c r="CW292" s="4">
        <f>AJ292/BN292</f>
        <v>1.0995962911600672</v>
      </c>
      <c r="CX292" s="4">
        <f>AJ292/CS292</f>
        <v>1.7009346912288954</v>
      </c>
      <c r="CY292" s="4">
        <f>AJ292/DZ292</f>
        <v>1.4934888450846682</v>
      </c>
      <c r="CZ292" s="4">
        <f>AJ292/EL292</f>
        <v>1.035801217585661</v>
      </c>
      <c r="DA292" s="4">
        <f>AJ292/GI292</f>
        <v>1.279120760819896</v>
      </c>
      <c r="DB292" s="4">
        <f>AN292</f>
        <v>4</v>
      </c>
      <c r="DI292" s="4">
        <f>CU292</f>
        <v>1.7236171863934053</v>
      </c>
      <c r="DJ292" s="4">
        <f>CV292</f>
        <v>1.1959371887849268</v>
      </c>
      <c r="DK292" s="4">
        <f>CX292</f>
        <v>1.7009346912288954</v>
      </c>
      <c r="DL292" s="4">
        <f>DA292</f>
        <v>1.279120760819896</v>
      </c>
      <c r="DM292" s="4">
        <f>CY292</f>
        <v>1.4934888450846682</v>
      </c>
      <c r="DN292" s="4">
        <f>CZ292</f>
        <v>1.035801217585661</v>
      </c>
      <c r="DQ292" s="4">
        <f>L292</f>
        <v>304.79999999999995</v>
      </c>
      <c r="DT292" s="4">
        <f>K292/4/(1-0.3*(M292/30)^0.5)/200000/N292</f>
        <v>2.2897749327345264E-5</v>
      </c>
      <c r="DU292" s="4">
        <f>EP292</f>
        <v>8.5513075262328435</v>
      </c>
      <c r="DV292" s="4">
        <f>EC292*AG292/257/M292/AD292</f>
        <v>0.18545932839256785</v>
      </c>
      <c r="DW292" s="4">
        <f>DU292*DV292^0.4</f>
        <v>4.3584492972660458</v>
      </c>
      <c r="DX292" s="4">
        <f>MIN(DU292, DU292/1.4*(1-DV292^1.4)/(1-DV292))</f>
        <v>6.789972659813496</v>
      </c>
      <c r="DY292" s="4">
        <f>MAX(DU292/2, (4-DT292*(8*AG292*(DW292-DX292)+6*K292*DX292))/(4+DT292*K292*DU292)*DU292)</f>
        <v>7.8825638082271796</v>
      </c>
      <c r="DZ292" s="38">
        <f>MIN(1/N292*(4*AG292*(DW292-DX292)+(3*DX292+DY292)*K292)+EC292 -FJ292,MAX(J292,AJ292))</f>
        <v>459.00392469315528</v>
      </c>
      <c r="EA292" s="4">
        <f>DZ292/FF292</f>
        <v>1.0001097684020477</v>
      </c>
      <c r="EB292" s="4">
        <f>AG292/N292</f>
        <v>2.3452078799117149</v>
      </c>
      <c r="EC292" s="4">
        <f>MIN(EB$10*BB292)</f>
        <v>142.78385424128618</v>
      </c>
      <c r="EG292" s="4">
        <f>IF(U292&gt;1*N292,0.85,1)</f>
        <v>0.85</v>
      </c>
      <c r="EH292" s="4">
        <f>MIN(1,MAX(0.7,(1-0.1*(BZ292-1*N292)/N292)))</f>
        <v>0.85499999999999998</v>
      </c>
      <c r="EI292" s="4">
        <f>MIN(1,MAX(0.7,1-0.3*(PI()*AM292^2/4*AQ292*2-0.25*PI()/4*N292^2)/(PI()/4*N292^2)))</f>
        <v>0.92500000000000004</v>
      </c>
      <c r="EJ292" s="4">
        <f>IF(EH292*EI292&lt;0.7,0.7,EH292*EI292)</f>
        <v>0.79087499999999999</v>
      </c>
      <c r="EL292" s="4">
        <f>MIN(DU292/N292*3*K292+EM292-FJ292,MAX(J292,AJ292))</f>
        <v>661.8231662028511</v>
      </c>
      <c r="EM292" s="25">
        <f>13.3*Q292*K292^0.5*M292^0.5/X292/N292^2*(0.7+S292/5/K292)</f>
        <v>353.97609525846872</v>
      </c>
      <c r="EO292" s="4">
        <f>EG292*EJ292</f>
        <v>0.67224375000000003</v>
      </c>
      <c r="EP292" s="4">
        <f>IF(N292&lt;22.2,1.1*5*(M292/30)^0.5,IF(N292&gt;=31.8,0.9*5*(M292/30)^0.5,1*5*(M292/30)^0.5))/EG292/EJ292</f>
        <v>8.5513075262328435</v>
      </c>
      <c r="ES292" s="4">
        <f>ET292*N292</f>
        <v>59.568280149757555</v>
      </c>
      <c r="ET292" s="4">
        <f>AF292^0.5</f>
        <v>2.3452078799117149</v>
      </c>
      <c r="EU292" s="4">
        <f>MIN(EC292)/(4700*M292^0.5)/AE292*ES292</f>
        <v>6.3860728624741098E-2</v>
      </c>
      <c r="EX292" s="4">
        <f>EU292</f>
        <v>6.3860728624741098E-2</v>
      </c>
      <c r="EY292" s="4">
        <f>MIN(0.999, EX292/(0.3*(M292/30)^0.5))</f>
        <v>0.18514983133840077</v>
      </c>
      <c r="EZ292" s="4">
        <f>EP292/1*EY292^0.4</f>
        <v>4.355538463577397</v>
      </c>
      <c r="FA292" s="4">
        <f>EP292/1.4*(1-EY292^1.4)/(1-EY292)</f>
        <v>6.7890485639259355</v>
      </c>
      <c r="FB292" s="4">
        <f>MAX(0,DQ292*FB$9-ES292)</f>
        <v>169.03171985024241</v>
      </c>
      <c r="FC292" s="4">
        <f>MAX(0,DQ292-ES292-FB292)</f>
        <v>76.199999999999989</v>
      </c>
      <c r="FD292" s="4">
        <f>FC292/(1-0.3*(M292/30)^0.5)/200000/N292</f>
        <v>2.2897749327345264E-5</v>
      </c>
      <c r="FE292" s="4">
        <f>MAX(0.5*EP292, (1-2*FD292*(ES292*EZ292+FB292*FA292))/(1/EP292+FD292*FC292))</f>
        <v>7.8826909838245873</v>
      </c>
      <c r="FF292" s="4">
        <f>MIN(4/N292*(1*EZ292*ES292+FA292*FB292+FC292*FE292)+EC292,MAX(J292,AJ292))</f>
        <v>458.95354609578624</v>
      </c>
      <c r="FI292" s="4">
        <f>5.25*25.4</f>
        <v>133.35</v>
      </c>
      <c r="FO292" s="23">
        <f>IF(CU292&lt;0.6,0.6,IF(CU292&lt;0.8,0.8,IF(CU292&lt;1,1,IF(CU292&lt;1.2,1.2,IF(CU292&lt;1.4,1.4,IF(CU292&lt;1.6,1.6,IF(CU292&lt;1.8,1.8,IF(CU292&lt;2,2,2.2))))))))</f>
        <v>1.8</v>
      </c>
      <c r="FP292" s="23">
        <f>IF(CV292&lt;0.6,0.6,IF(CV292&lt;0.8,0.8,IF(CV292&lt;1,1,IF(CV292&lt;1.2,1.2,IF(CV292&lt;1.4,1.4,IF(CV292&lt;1.6,1.6,IF(CV292&lt;1.8,1.8,IF(CV292&lt;2,2,2.2))))))))</f>
        <v>1.2</v>
      </c>
      <c r="FQ292" s="23">
        <f>IF(DA292&lt;0.6,0.6,IF(DA292&lt;0.8,0.8,IF(DA292&lt;1,1,IF(DA292&lt;1.2,1.2,IF(DA292&lt;1.4,1.4,IF(DA292&lt;1.6,1.6,IF(DA292&lt;1.8,1.8,IF(DA292&lt;2,2,2.2))))))))</f>
        <v>1.4</v>
      </c>
      <c r="FR292" s="23">
        <f>IF(CX292&lt;0.6,0.6,IF(CX292&lt;0.8,0.8,IF(CX292&lt;1,1,IF(CX292&lt;1.2,1.2,IF(CX292&lt;1.4,1.4,IF(CX292&lt;1.6,1.6,IF(CX292&lt;1.8,1.8,IF(CX292&lt;2,2,2.2))))))))</f>
        <v>1.8</v>
      </c>
      <c r="FS292" s="23">
        <f>IF(CY292&lt;0.6,0.6,IF(CY292&lt;0.8,0.8,IF(CY292&lt;1,1,IF(CY292&lt;1.2,1.2,IF(CY292&lt;1.4,1.4,IF(CY292&lt;1.6,1.6,IF(CY292&lt;1.8,1.8,IF(CY292&lt;2,2,2.2))))))))</f>
        <v>1.6</v>
      </c>
      <c r="FT292" s="23">
        <f>IF(CZ292&lt;0.6,0.6,IF(CZ292&lt;0.8,0.8,IF(CZ292&lt;1,1,IF(CZ292&lt;1.2,1.2,IF(CZ292&lt;1.4,1.4,IF(CZ292&lt;1.6,1.6,IF(CZ292&lt;1.8,1.8,IF(CZ292&lt;2,2,2.2))))))))</f>
        <v>1.2</v>
      </c>
      <c r="FU292" s="23">
        <f>IF(FS292&lt;1,1,0)</f>
        <v>0</v>
      </c>
      <c r="FV292" s="23"/>
      <c r="GF292" s="4">
        <f>IF(S292&gt;=2.5*25.4,1,1.25)</f>
        <v>1.25</v>
      </c>
      <c r="GG292" s="4">
        <f>IF(AO292&gt;1, 0.05*(18-MIN(8,(W292+N292)/N292))*(1-48000/MAX(60000,(J292*145))*(N292/25.4)^0.75*GH292), 1/12*(14-MIN(8,(W292+N292)/N292)))</f>
        <v>0.4482312338222606</v>
      </c>
      <c r="GH292" s="4">
        <f>MIN(0.3, AM292^2*PI()/4*2*AP292/(N292^2*PI()/4*X292))</f>
        <v>0.25</v>
      </c>
      <c r="GI292" s="4">
        <f>(K292/25.4)/(N292/25.4)^1.5/0.0024*(M292*145)^0.25/GF292/GG292/145</f>
        <v>535.9284771047769</v>
      </c>
    </row>
    <row r="293" spans="1:191" ht="12" customHeight="1" x14ac:dyDescent="0.3">
      <c r="A293" s="25">
        <v>319</v>
      </c>
      <c r="B293" s="4" t="s">
        <v>605</v>
      </c>
      <c r="C293" s="4">
        <v>2016</v>
      </c>
      <c r="D293" s="4" t="s">
        <v>309</v>
      </c>
      <c r="E293" s="24" t="s">
        <v>670</v>
      </c>
      <c r="F293" s="24"/>
      <c r="G293" s="24">
        <v>16</v>
      </c>
      <c r="H293" s="7" t="s">
        <v>481</v>
      </c>
      <c r="I293" s="5">
        <f>K293/N293</f>
        <v>11.97</v>
      </c>
      <c r="J293" s="38">
        <f>129/0.145</f>
        <v>889.65517241379314</v>
      </c>
      <c r="K293" s="89">
        <f>11.97*25.4</f>
        <v>304.03800000000001</v>
      </c>
      <c r="L293" s="4">
        <f>K293</f>
        <v>304.03800000000001</v>
      </c>
      <c r="M293" s="89">
        <f>12080/145</f>
        <v>83.310344827586206</v>
      </c>
      <c r="N293" s="96">
        <f>1*25.4</f>
        <v>25.4</v>
      </c>
      <c r="O293" s="7">
        <f>K293/N293</f>
        <v>11.97</v>
      </c>
      <c r="P293" s="7">
        <f>L293/N293</f>
        <v>11.97</v>
      </c>
      <c r="Q293" s="38">
        <f>14.9*25.4</f>
        <v>378.46</v>
      </c>
      <c r="R293" s="32">
        <f>S293/N293</f>
        <v>2.5</v>
      </c>
      <c r="S293" s="38">
        <f>2.5*25.4</f>
        <v>63.5</v>
      </c>
      <c r="T293" s="32">
        <f>U293/N293</f>
        <v>3.15</v>
      </c>
      <c r="U293" s="39">
        <f>3.15*25.4</f>
        <v>80.009999999999991</v>
      </c>
      <c r="V293" s="32">
        <f>W293/N293</f>
        <v>7.8999999999999995</v>
      </c>
      <c r="W293" s="7">
        <f>(Q293-X293*N293-2*S293)/(X293-1)</f>
        <v>200.65999999999997</v>
      </c>
      <c r="X293" s="38">
        <v>2</v>
      </c>
      <c r="Y293" s="7">
        <f>AN293</f>
        <v>10</v>
      </c>
      <c r="Z293" s="32">
        <f>AA293/N293</f>
        <v>10.25</v>
      </c>
      <c r="AA293" s="4">
        <f>10.25*25.4</f>
        <v>260.34999999999997</v>
      </c>
      <c r="AB293" s="7">
        <f>MIN(S293/N293+0.5, W293/2/N293+0.5)</f>
        <v>3</v>
      </c>
      <c r="AC293" s="7">
        <f>S293/N293+0.5</f>
        <v>3</v>
      </c>
      <c r="AD293" s="38">
        <v>4.0999999999999996</v>
      </c>
      <c r="AE293" s="4">
        <f>AD293</f>
        <v>4.0999999999999996</v>
      </c>
      <c r="AF293" s="4">
        <f>AE293+1</f>
        <v>5.0999999999999996</v>
      </c>
      <c r="AG293" s="7">
        <f>N293*AF293^0.5</f>
        <v>57.361276136431961</v>
      </c>
      <c r="AJ293" s="38">
        <f>AK293/0.145</f>
        <v>976.55172413793105</v>
      </c>
      <c r="AK293" s="4">
        <v>141.6</v>
      </c>
      <c r="AL293" s="4">
        <f>CY293</f>
        <v>1.4545506164396904</v>
      </c>
      <c r="AM293" s="38">
        <f>0.5*25.4</f>
        <v>12.7</v>
      </c>
      <c r="AN293" s="38">
        <v>10</v>
      </c>
      <c r="AO293" s="39">
        <f>3*25.4</f>
        <v>76.199999999999989</v>
      </c>
      <c r="AP293" s="39">
        <v>3</v>
      </c>
      <c r="AQ293" s="39">
        <f>AP293-1</f>
        <v>2</v>
      </c>
      <c r="AR293" s="7"/>
      <c r="AS293" s="4">
        <f>K293</f>
        <v>304.03800000000001</v>
      </c>
      <c r="AT293" s="4">
        <f>IF(K293*3&gt;W293+N293, Q293, (S293+N293/2)*2+1.5*K293*(2*X293-2))*(3*K293)/(9*K293^2)</f>
        <v>0.41492620439988864</v>
      </c>
      <c r="AU293" s="4">
        <f>MIN(10*M293^0.5*K293^1.5,100*3.9*M293^0.5*K293^(5/3))/(PI()/4*N293^2)/X293</f>
        <v>477.47864890275287</v>
      </c>
      <c r="AV293" s="4">
        <f>MIN(0.7+0.3*(MIN(S293,AA293)+0.5*N293)/1.5/K293,1)</f>
        <v>0.75012531328320797</v>
      </c>
      <c r="AW293" s="4">
        <v>1.25</v>
      </c>
      <c r="AX293" s="4">
        <f>AX292</f>
        <v>1</v>
      </c>
      <c r="AY293" s="38">
        <f>AT293*AV293*AW293*AX293*AU293</f>
        <v>185.76703683875954</v>
      </c>
      <c r="AZ293" s="38">
        <f>AY293</f>
        <v>185.76703683875954</v>
      </c>
      <c r="BA293" s="38">
        <f>IF(M293&lt;50, 0.3*M293^(2/3), 2.12*LN(1+0.1*(M293+8)))</f>
        <v>4.9090792795570026</v>
      </c>
      <c r="BB293" s="38">
        <f>AX293* (M293^0.5/AS293^0.5)/(PI()/4*N293^2)/X293/0.72 *(0.7+(MIN(S293,AA293)+0.5*N293)/5/K293) *(3*Q293*K293)</f>
        <v>185.7670368387594</v>
      </c>
      <c r="BC293" s="38">
        <f>AY293/BB293</f>
        <v>1.0000000000000007</v>
      </c>
      <c r="BD293" s="38">
        <f>BH293/BB293</f>
        <v>5.4484561132660927</v>
      </c>
      <c r="BE293" s="4">
        <f>IF(BD293&lt;1,1,0)</f>
        <v>0</v>
      </c>
      <c r="BF293" s="4">
        <f>L293/N293*M293^0.5/0.19</f>
        <v>575.02935457304238</v>
      </c>
      <c r="BG293" s="4">
        <f>MIN(0.6+0.4*(AC293/AB293),2)</f>
        <v>1</v>
      </c>
      <c r="BH293" s="38">
        <f>2*M293*AB293*AD293^0.5*BG293*0.7/0.7</f>
        <v>1012.143547507466</v>
      </c>
      <c r="BI293" s="4">
        <f>MAX(1-0.7*AE293/5,0.3)</f>
        <v>0.42600000000000005</v>
      </c>
      <c r="BJ293" s="4">
        <f>BI293*J293*L293/(J293*N293/2.75/M293^0.5)</f>
        <v>127.99290888764065</v>
      </c>
      <c r="BK293" s="4">
        <f>BH293+BJ293</f>
        <v>1140.1364563951067</v>
      </c>
      <c r="BM293" s="4">
        <f>MIN(1.5, 0.75+0.25*MIN(3,MAX(1,S293/N293))+0.4*MIN(1,(40*2*PI()*AM293^2/4/AO293/X293)/N293))</f>
        <v>1.5</v>
      </c>
      <c r="BN293" s="4">
        <f>(3*P293+30)*BM293*M293^0.5</f>
        <v>902.38535142641001</v>
      </c>
      <c r="BP293" s="4">
        <f>3.4/PI()^0.5*M293*AB293*AE293^0.5*BG293</f>
        <v>970.76943914993626</v>
      </c>
      <c r="BQ293" s="4">
        <f>8/3*AH293*AI293^2/(AG293-N293-22)/N293*(AG293^2-N293^2)/(AG293^2-(N293+22)^2)</f>
        <v>0</v>
      </c>
      <c r="BR293" s="4">
        <f>BQ293/BP293</f>
        <v>0</v>
      </c>
      <c r="BZ293" s="4">
        <f>IF(W293=0,S293,MIN(W293/2,S293))</f>
        <v>63.5</v>
      </c>
      <c r="CD293" s="9"/>
      <c r="CF293" s="9"/>
      <c r="CG293" s="9"/>
      <c r="CH293" s="9">
        <f>IF(W293=0,MIN(S293,U293),MIN(W293/2,S293,U293))</f>
        <v>63.5</v>
      </c>
      <c r="CI293" s="9">
        <f>MAX(W293/2,S293)</f>
        <v>100.32999999999998</v>
      </c>
      <c r="CJ293" s="9">
        <f>(CH293/N293)^0.5*(CI293/CH293)^0.15</f>
        <v>1.6934351397132028</v>
      </c>
      <c r="CK293" s="70">
        <f>IF(AO293&gt;1,20,0)</f>
        <v>20</v>
      </c>
      <c r="CL293" s="9">
        <f>MIN(PI()*AM293^2/4*AN293*2/X293/N293/MAX(0.01,AO293),0.05)</f>
        <v>0.05</v>
      </c>
      <c r="CM293" s="9">
        <f>MAX(0,CK293*(CL293-0.5/50))</f>
        <v>0.8</v>
      </c>
      <c r="CN293" s="9">
        <f>MIN(1,(25/N293)^0.3)</f>
        <v>0.99524931562137331</v>
      </c>
      <c r="CO293" s="9">
        <f>IF(J293&gt;=800,0.68,IF(J293&gt;=700,0.75-(J293-700)*0.07/100,IF(J293&gt;=600,0.85-(J293-600)*0.1/100,IF(J293&gt;=500,1-(J293-500)*0.15/100,1.2-(J293-400)*0.2/100))))</f>
        <v>0.68</v>
      </c>
      <c r="CP293" s="9">
        <f>1.75*CN293*CO293*(M293/25)^0.5</f>
        <v>2.1620130482705213</v>
      </c>
      <c r="CQ293" s="9">
        <f>MIN((CJ293+CM293)*CP293,2.5*CP293,M293^0.5)</f>
        <v>5.3908393070761749</v>
      </c>
      <c r="CR293" s="40">
        <v>1</v>
      </c>
      <c r="CS293" s="9">
        <f>4*CQ293*P293+60*CQ293</f>
        <v>581.56374444737776</v>
      </c>
      <c r="CU293" s="4">
        <f>AJ293/BF293</f>
        <v>1.6982641257732274</v>
      </c>
      <c r="CV293" s="4">
        <f>AJ293/BK293</f>
        <v>0.85652179496619263</v>
      </c>
      <c r="CW293" s="4">
        <f>AJ293/BN293</f>
        <v>1.0821892471927714</v>
      </c>
      <c r="CX293" s="4">
        <f>AJ293/CS293</f>
        <v>1.6791826063123738</v>
      </c>
      <c r="CY293" s="4">
        <f>AJ293/DZ293</f>
        <v>1.4545506164396904</v>
      </c>
      <c r="CZ293" s="4">
        <f>AJ293/EL293</f>
        <v>1.0136499429452763</v>
      </c>
      <c r="DA293" s="4">
        <f>AJ293/GI293</f>
        <v>1.2028972243265701</v>
      </c>
      <c r="DB293" s="4">
        <f>AN293</f>
        <v>10</v>
      </c>
      <c r="DI293" s="4">
        <f>CU293</f>
        <v>1.6982641257732274</v>
      </c>
      <c r="DJ293" s="4">
        <f>CV293</f>
        <v>0.85652179496619263</v>
      </c>
      <c r="DK293" s="4">
        <f>CX293</f>
        <v>1.6791826063123738</v>
      </c>
      <c r="DL293" s="4">
        <f>DA293</f>
        <v>1.2028972243265701</v>
      </c>
      <c r="DM293" s="4">
        <f>CY293</f>
        <v>1.4545506164396904</v>
      </c>
      <c r="DN293" s="4">
        <f>CZ293</f>
        <v>1.0136499429452763</v>
      </c>
      <c r="DQ293" s="4">
        <f>L293</f>
        <v>304.03800000000001</v>
      </c>
      <c r="DT293" s="4">
        <f>K293/4/(1-0.3*(M293/30)^0.5)/200000/N293</f>
        <v>2.9920872698414962E-5</v>
      </c>
      <c r="DU293" s="4">
        <f>EP293</f>
        <v>14.003670300444258</v>
      </c>
      <c r="DV293" s="4">
        <f>EC293*AG293/257/M293/AD293</f>
        <v>0.12138682337039451</v>
      </c>
      <c r="DW293" s="4">
        <f>DU293*DV293^0.4</f>
        <v>6.024354167355682</v>
      </c>
      <c r="DX293" s="4">
        <f>MIN(DU293, DU293/1.4*(1-DV293^1.4)/(1-DV293))</f>
        <v>10.790050761038284</v>
      </c>
      <c r="DY293" s="4">
        <f>MAX(DU293/2, (4-DT293*(8*AG293*(DW293-DX293)+6*K293*DX293))/(4+DT293*K293*DU293)*DU293)</f>
        <v>11.795238170025362</v>
      </c>
      <c r="DZ293" s="38">
        <f>MIN(1/N293*(4*AG293*(DW293-DX293)+(3*DX293+DY293)*K293)+EC293 -FJ293,MAX(J293,AJ293))</f>
        <v>671.37692776085078</v>
      </c>
      <c r="EA293" s="4">
        <f>DZ293/FF293</f>
        <v>1.0000920802637061</v>
      </c>
      <c r="EB293" s="4">
        <f>AG293/N293</f>
        <v>2.2583179581272428</v>
      </c>
      <c r="EC293" s="4">
        <f>MIN(EB$10*BB293)</f>
        <v>185.7670368387594</v>
      </c>
      <c r="EG293" s="4">
        <f>IF(U293&gt;1*N293,0.85,1)</f>
        <v>0.85</v>
      </c>
      <c r="EH293" s="4">
        <f>MIN(1,MAX(0.7,(1-0.1*(BZ293-1*N293)/N293)))</f>
        <v>0.85</v>
      </c>
      <c r="EI293" s="4">
        <f>MIN(1,MAX(0.7,1-0.3*(PI()*AM293^2/4*AQ293*2-0.25*PI()/4*N293^2)/(PI()/4*N293^2)))</f>
        <v>0.77500000000000002</v>
      </c>
      <c r="EJ293" s="4">
        <f>IF(EH293*EI293&lt;0.7,0.7,EH293*EI293)</f>
        <v>0.7</v>
      </c>
      <c r="EL293" s="4">
        <f>MIN(DU293/N293*3*K293+EM293-FJ293,MAX(J293,AJ293))</f>
        <v>963.40135066791186</v>
      </c>
      <c r="EM293" s="25">
        <f>13.3*Q293*K293^0.5*M293^0.5/X293/N293^2*(0.7+S293/5/K293)</f>
        <v>460.52955017895857</v>
      </c>
      <c r="EO293" s="4">
        <f>EG293*EJ293</f>
        <v>0.59499999999999997</v>
      </c>
      <c r="EP293" s="4">
        <f>IF(N293&lt;22.2,1.1*5*(M293/30)^0.5,IF(N293&gt;=31.8,0.9*5*(M293/30)^0.5,1*5*(M293/30)^0.5))/EG293/EJ293</f>
        <v>14.003670300444258</v>
      </c>
      <c r="ES293" s="4">
        <f>ET293*N293</f>
        <v>57.361276136431961</v>
      </c>
      <c r="ET293" s="4">
        <f>AF293^0.5</f>
        <v>2.2583179581272428</v>
      </c>
      <c r="EU293" s="4">
        <f>MIN(EC293)/(4700*M293^0.5)/AE293*ES293</f>
        <v>6.0583767581769365E-2</v>
      </c>
      <c r="EX293" s="4">
        <f>EU293</f>
        <v>6.0583767581769365E-2</v>
      </c>
      <c r="EY293" s="4">
        <f>MIN(0.999, EX293/(0.3*(M293/30)^0.5))</f>
        <v>0.12118425138561779</v>
      </c>
      <c r="EZ293" s="4">
        <f>EP293/1*EY293^0.4</f>
        <v>6.0203307425394996</v>
      </c>
      <c r="FA293" s="4">
        <f>EP293/1.4*(1-EY293^1.4)/(1-EY293)</f>
        <v>10.788951777471068</v>
      </c>
      <c r="FB293" s="4">
        <f>MAX(0,DQ293*FB$9-ES293)</f>
        <v>170.66722386356804</v>
      </c>
      <c r="FC293" s="4">
        <f>MAX(0,DQ293-ES293-FB293)</f>
        <v>76.009500000000003</v>
      </c>
      <c r="FD293" s="4">
        <f>FC293/(1-0.3*(M293/30)^0.5)/200000/N293</f>
        <v>2.9920872698414962E-5</v>
      </c>
      <c r="FE293" s="4">
        <f>MAX(0.5*EP293, (1-2*FD293*(ES293*EZ293+FB293*FA293))/(1/EP293+FD293*FC293))</f>
        <v>11.795577927755877</v>
      </c>
      <c r="FF293" s="4">
        <f>MIN(4/N293*(1*EZ293*ES293+FA293*FB293+FC293*FE293)+EC293,MAX(J293,AJ293))</f>
        <v>671.31511288822617</v>
      </c>
      <c r="FO293" s="23">
        <f>IF(CU293&lt;0.6,0.6,IF(CU293&lt;0.8,0.8,IF(CU293&lt;1,1,IF(CU293&lt;1.2,1.2,IF(CU293&lt;1.4,1.4,IF(CU293&lt;1.6,1.6,IF(CU293&lt;1.8,1.8,IF(CU293&lt;2,2,2.2))))))))</f>
        <v>1.8</v>
      </c>
      <c r="FP293" s="23">
        <f>IF(CV293&lt;0.6,0.6,IF(CV293&lt;0.8,0.8,IF(CV293&lt;1,1,IF(CV293&lt;1.2,1.2,IF(CV293&lt;1.4,1.4,IF(CV293&lt;1.6,1.6,IF(CV293&lt;1.8,1.8,IF(CV293&lt;2,2,2.2))))))))</f>
        <v>1</v>
      </c>
      <c r="FQ293" s="23">
        <f>IF(DA293&lt;0.6,0.6,IF(DA293&lt;0.8,0.8,IF(DA293&lt;1,1,IF(DA293&lt;1.2,1.2,IF(DA293&lt;1.4,1.4,IF(DA293&lt;1.6,1.6,IF(DA293&lt;1.8,1.8,IF(DA293&lt;2,2,2.2))))))))</f>
        <v>1.4</v>
      </c>
      <c r="FR293" s="23">
        <f>IF(CX293&lt;0.6,0.6,IF(CX293&lt;0.8,0.8,IF(CX293&lt;1,1,IF(CX293&lt;1.2,1.2,IF(CX293&lt;1.4,1.4,IF(CX293&lt;1.6,1.6,IF(CX293&lt;1.8,1.8,IF(CX293&lt;2,2,2.2))))))))</f>
        <v>1.8</v>
      </c>
      <c r="FS293" s="23">
        <f>IF(CY293&lt;0.6,0.6,IF(CY293&lt;0.8,0.8,IF(CY293&lt;1,1,IF(CY293&lt;1.2,1.2,IF(CY293&lt;1.4,1.4,IF(CY293&lt;1.6,1.6,IF(CY293&lt;1.8,1.8,IF(CY293&lt;2,2,2.2))))))))</f>
        <v>1.6</v>
      </c>
      <c r="FT293" s="23">
        <f>IF(CZ293&lt;0.6,0.6,IF(CZ293&lt;0.8,0.8,IF(CZ293&lt;1,1,IF(CZ293&lt;1.2,1.2,IF(CZ293&lt;1.4,1.4,IF(CZ293&lt;1.6,1.6,IF(CZ293&lt;1.8,1.8,IF(CZ293&lt;2,2,2.2))))))))</f>
        <v>1.2</v>
      </c>
      <c r="FU293" s="23">
        <f>IF(FS293&lt;1,1,0)</f>
        <v>0</v>
      </c>
      <c r="FV293" s="23"/>
      <c r="GF293" s="4">
        <f>IF(S293&gt;=2.5*25.4,1,1.25)</f>
        <v>1</v>
      </c>
      <c r="GG293" s="4">
        <f>IF(AO293&gt;1, 0.05*(18-MIN(8,(W293+N293)/N293))*(1-48000/MAX(60000,(J293*145))*(N293/25.4)^0.75*GH293), 1/12*(14-MIN(8,(W293+N293)/N293)))</f>
        <v>0.44418604651162791</v>
      </c>
      <c r="GH293" s="4">
        <f>MIN(0.3, AM293^2*PI()/4*2*AP293/(N293^2*PI()/4*X293))</f>
        <v>0.3</v>
      </c>
      <c r="GI293" s="4">
        <f>(K293/25.4)/(N293/25.4)^1.5/0.0024*(M293*145)^0.25/GF293/GG293/145</f>
        <v>811.83305139359993</v>
      </c>
    </row>
    <row r="294" spans="1:191" ht="12" customHeight="1" x14ac:dyDescent="0.3">
      <c r="A294" s="25">
        <v>328</v>
      </c>
      <c r="B294" s="4" t="s">
        <v>605</v>
      </c>
      <c r="C294" s="4">
        <v>2016</v>
      </c>
      <c r="D294" s="4" t="s">
        <v>309</v>
      </c>
      <c r="E294" s="24" t="s">
        <v>670</v>
      </c>
      <c r="F294" s="24"/>
      <c r="G294" s="24">
        <v>16</v>
      </c>
      <c r="H294" s="7" t="s">
        <v>490</v>
      </c>
      <c r="I294" s="5">
        <f>K294/N294</f>
        <v>11.95</v>
      </c>
      <c r="J294" s="38">
        <f>129/0.145</f>
        <v>889.65517241379314</v>
      </c>
      <c r="K294" s="89">
        <f>11.95*25.4</f>
        <v>303.52999999999997</v>
      </c>
      <c r="L294" s="4">
        <f>K294</f>
        <v>303.52999999999997</v>
      </c>
      <c r="M294" s="89">
        <f>12360/145</f>
        <v>85.241379310344826</v>
      </c>
      <c r="N294" s="96">
        <f>1*25.4</f>
        <v>25.4</v>
      </c>
      <c r="O294" s="7">
        <f>K294/N294</f>
        <v>11.95</v>
      </c>
      <c r="P294" s="7">
        <f>L294/N294</f>
        <v>11.95</v>
      </c>
      <c r="Q294" s="38">
        <f>14.9*25.4</f>
        <v>378.46</v>
      </c>
      <c r="R294" s="32">
        <f>S294/N294</f>
        <v>2.4500000000000002</v>
      </c>
      <c r="S294" s="38">
        <f>2.45*25.4</f>
        <v>62.230000000000004</v>
      </c>
      <c r="T294" s="32">
        <f>U294/N294</f>
        <v>3.1</v>
      </c>
      <c r="U294" s="39">
        <f>3.1*25.4</f>
        <v>78.739999999999995</v>
      </c>
      <c r="V294" s="32">
        <f>W294/N294</f>
        <v>2.0000000000000004</v>
      </c>
      <c r="W294" s="7">
        <f>(Q294-X294*N294-2*S294)/(X294-1)</f>
        <v>50.800000000000004</v>
      </c>
      <c r="X294" s="38">
        <v>4</v>
      </c>
      <c r="Y294" s="7">
        <f>AN294</f>
        <v>10</v>
      </c>
      <c r="Z294" s="32">
        <f>AA294/N294</f>
        <v>10.25</v>
      </c>
      <c r="AA294" s="4">
        <f>10.25*25.4</f>
        <v>260.34999999999997</v>
      </c>
      <c r="AB294" s="7">
        <f>MIN(S294/N294+0.5, W294/2/N294+0.5)</f>
        <v>1.5000000000000002</v>
      </c>
      <c r="AC294" s="7">
        <f>S294/N294+0.5</f>
        <v>2.95</v>
      </c>
      <c r="AD294" s="38">
        <v>9.1</v>
      </c>
      <c r="AE294" s="4">
        <f>AD294</f>
        <v>9.1</v>
      </c>
      <c r="AF294" s="4">
        <f>AE294+1</f>
        <v>10.1</v>
      </c>
      <c r="AG294" s="7">
        <f>N294*AF294^0.5</f>
        <v>80.72246279691916</v>
      </c>
      <c r="AJ294" s="38">
        <f>AK294/0.145</f>
        <v>766.20689655172418</v>
      </c>
      <c r="AK294" s="4">
        <v>111.1</v>
      </c>
      <c r="AL294" s="4">
        <f>CY294</f>
        <v>1.5671872526272181</v>
      </c>
      <c r="AM294" s="38">
        <f>0.5*25.4</f>
        <v>12.7</v>
      </c>
      <c r="AN294" s="38">
        <v>10</v>
      </c>
      <c r="AO294" s="39">
        <f>3*25.4</f>
        <v>76.199999999999989</v>
      </c>
      <c r="AP294" s="39">
        <v>3</v>
      </c>
      <c r="AQ294" s="39">
        <f>AP294-1</f>
        <v>2</v>
      </c>
      <c r="AR294" s="7"/>
      <c r="AS294" s="4">
        <f>K294</f>
        <v>303.52999999999997</v>
      </c>
      <c r="AT294" s="4">
        <f>IF(K294*3&gt;W294+N294, Q294, (S294+N294/2)*2+1.5*K294*(2*X294-2))*(3*K294)/(9*K294^2)</f>
        <v>0.41562064156206424</v>
      </c>
      <c r="AU294" s="4">
        <f>MIN(10*M294^0.5*K294^1.5,100*3.9*M294^0.5*K294^(5/3))/(PI()/4*N294^2)/X294</f>
        <v>240.88533502614254</v>
      </c>
      <c r="AV294" s="4">
        <f>MIN(0.7+0.3*(MIN(S294,AA294)+0.5*N294)/1.5/K294,1)</f>
        <v>0.74937238493723846</v>
      </c>
      <c r="AW294" s="4">
        <v>1.25</v>
      </c>
      <c r="AX294" s="4">
        <f>AX293</f>
        <v>1</v>
      </c>
      <c r="AY294" s="38">
        <f>AT294*AV294*AW294*AX294*AU294</f>
        <v>93.781066536739814</v>
      </c>
      <c r="AZ294" s="38">
        <f>AY294</f>
        <v>93.781066536739814</v>
      </c>
      <c r="BA294" s="38">
        <f>IF(M294&lt;50, 0.3*M294^(2/3), 2.12*LN(1+0.1*(M294+8)))</f>
        <v>4.9491074410379952</v>
      </c>
      <c r="BB294" s="38">
        <f>AX294* (M294^0.5/AS294^0.5)/(PI()/4*N294^2)/X294/0.72 *(0.7+(MIN(S294,AA294)+0.5*N294)/5/K294) *(3*Q294*K294)</f>
        <v>93.781066536739885</v>
      </c>
      <c r="BC294" s="38">
        <f>AY294/BB294</f>
        <v>0.99999999999999922</v>
      </c>
      <c r="BD294" s="38">
        <f>BH294/BB294</f>
        <v>11.406419184384086</v>
      </c>
      <c r="BE294" s="4">
        <f>IF(BD294&lt;1,1,0)</f>
        <v>0</v>
      </c>
      <c r="BF294" s="4">
        <f>L294/N294*M294^0.5/0.19</f>
        <v>580.68357055509853</v>
      </c>
      <c r="BG294" s="4">
        <f>MIN(0.6+0.4*(AC294/AB294),2)</f>
        <v>1.3866666666666667</v>
      </c>
      <c r="BH294" s="38">
        <f>2*M294*AB294*AD294^0.5*BG294*0.7/0.7</f>
        <v>1069.7061564766702</v>
      </c>
      <c r="BI294" s="4">
        <f>MAX(1-0.7*AE294/5,0.3)</f>
        <v>0.3</v>
      </c>
      <c r="BJ294" s="4">
        <f>BI294*J294*L294/(J294*N294/2.75/M294^0.5)</f>
        <v>91.022149684511675</v>
      </c>
      <c r="BK294" s="4">
        <f>BH294+BJ294</f>
        <v>1160.728306161182</v>
      </c>
      <c r="BM294" s="4">
        <f>MIN(1.5, 0.75+0.25*MIN(3,MAX(1,S294/N294))+0.4*MIN(1,(40*2*PI()*AM294^2/4/AO294/X294)/N294))</f>
        <v>1.5</v>
      </c>
      <c r="BN294" s="4">
        <f>(3*P294+30)*BM294*M294^0.5</f>
        <v>911.95261418411485</v>
      </c>
      <c r="BP294" s="4">
        <f>3.4/PI()^0.5*M294*AB294*AE294^0.5*BG294</f>
        <v>1025.9790205997742</v>
      </c>
      <c r="BQ294" s="4">
        <f>8/3*AH294*AI294^2/(AG294-N294-22)/N294*(AG294^2-N294^2)/(AG294^2-(N294+22)^2)</f>
        <v>0</v>
      </c>
      <c r="BR294" s="4">
        <f>BQ294/BP294</f>
        <v>0</v>
      </c>
      <c r="BZ294" s="4">
        <f>IF(W294=0,S294,MIN(W294/2,S294))</f>
        <v>25.400000000000002</v>
      </c>
      <c r="CD294" s="9"/>
      <c r="CF294" s="9"/>
      <c r="CG294" s="9"/>
      <c r="CH294" s="9">
        <f>IF(W294=0,MIN(S294,U294),MIN(W294/2,S294,U294))</f>
        <v>25.400000000000002</v>
      </c>
      <c r="CI294" s="9">
        <f>MAX(W294/2,S294)</f>
        <v>62.230000000000004</v>
      </c>
      <c r="CJ294" s="9">
        <f>(CH294/N294)^0.5*(CI294/CH294)^0.15</f>
        <v>1.143865371392744</v>
      </c>
      <c r="CK294" s="70">
        <f>IF(AO294&gt;1,20,0)</f>
        <v>20</v>
      </c>
      <c r="CL294" s="9">
        <f>MIN(PI()*AM294^2/4*AN294*2/X294/N294/MAX(0.01,AO294),0.05)</f>
        <v>0.05</v>
      </c>
      <c r="CM294" s="9">
        <f>MAX(0,CK294*(CL294-0.5/50))</f>
        <v>0.8</v>
      </c>
      <c r="CN294" s="9">
        <f>MIN(1,(25/N294)^0.3)</f>
        <v>0.99524931562137331</v>
      </c>
      <c r="CO294" s="9">
        <f>IF(J294&gt;=800,0.68,IF(J294&gt;=700,0.75-(J294-700)*0.07/100,IF(J294&gt;=600,0.85-(J294-600)*0.1/100,IF(J294&gt;=500,1-(J294-500)*0.15/100,1.2-(J294-400)*0.2/100))))</f>
        <v>0.68</v>
      </c>
      <c r="CP294" s="9">
        <f>1.75*CN294*CO294*(M294/25)^0.5</f>
        <v>2.1869259549958526</v>
      </c>
      <c r="CQ294" s="9">
        <f>MIN((CJ294+CM294)*CP294,2.5*CP294,M294^0.5)</f>
        <v>4.251089633716445</v>
      </c>
      <c r="CR294" s="40">
        <v>1</v>
      </c>
      <c r="CS294" s="9">
        <f>4*CQ294*P294+60*CQ294</f>
        <v>458.26746251463271</v>
      </c>
      <c r="CU294" s="4">
        <f>AJ294/BF294</f>
        <v>1.3194912606521252</v>
      </c>
      <c r="CV294" s="4">
        <f>AJ294/BK294</f>
        <v>0.66010873732007236</v>
      </c>
      <c r="CW294" s="4">
        <f>AJ294/BN294</f>
        <v>0.84018279528395989</v>
      </c>
      <c r="CX294" s="4">
        <f>AJ294/CS294</f>
        <v>1.6719644295655374</v>
      </c>
      <c r="CY294" s="4">
        <f>AJ294/DZ294</f>
        <v>1.5671872526272181</v>
      </c>
      <c r="CZ294" s="4">
        <f>AJ294/EL294</f>
        <v>1.1085878003695551</v>
      </c>
      <c r="DA294" s="4">
        <f>AJ294/GI294</f>
        <v>1.7624587508377958</v>
      </c>
      <c r="DB294" s="4">
        <f>AN294</f>
        <v>10</v>
      </c>
      <c r="DI294" s="4">
        <f>CU294</f>
        <v>1.3194912606521252</v>
      </c>
      <c r="DJ294" s="4">
        <f>CV294</f>
        <v>0.66010873732007236</v>
      </c>
      <c r="DK294" s="4">
        <f>CX294</f>
        <v>1.6719644295655374</v>
      </c>
      <c r="DL294" s="4">
        <f>DA294</f>
        <v>1.7624587508377958</v>
      </c>
      <c r="DM294" s="4">
        <f>CY294</f>
        <v>1.5671872526272181</v>
      </c>
      <c r="DN294" s="4">
        <f>CZ294</f>
        <v>1.1085878003695551</v>
      </c>
      <c r="DQ294" s="4">
        <f>L294</f>
        <v>303.52999999999997</v>
      </c>
      <c r="DT294" s="4">
        <f>K294/4/(1-0.3*(M294/30)^0.5)/200000/N294</f>
        <v>3.0218997474488296E-5</v>
      </c>
      <c r="DU294" s="4">
        <f>EP294</f>
        <v>12.794224971638064</v>
      </c>
      <c r="DV294" s="4">
        <f>EC294*AG294/257/M294/AD294</f>
        <v>3.7973846177103032E-2</v>
      </c>
      <c r="DW294" s="4">
        <f>DU294*DV294^0.4</f>
        <v>3.4578632798817486</v>
      </c>
      <c r="DX294" s="4">
        <f>MIN(DU294, DU294/1.4*(1-DV294^1.4)/(1-DV294))</f>
        <v>9.4019693695633357</v>
      </c>
      <c r="DY294" s="4">
        <f>MAX(DU294/2, (4-DT294*(8*AG294*(DW294-DX294)+6*K294*DX294))/(4+DT294*K294*DU294)*DU294)</f>
        <v>11.182155994088328</v>
      </c>
      <c r="DZ294" s="38">
        <f>MIN(1/N294*(4*AG294*(DW294-DX294)+(3*DX294+DY294)*K294)+EC294 -FJ294,MAX(J294,AJ294))</f>
        <v>488.90577387434848</v>
      </c>
      <c r="EA294" s="4">
        <f>DZ294/FF294</f>
        <v>1.0000741057174787</v>
      </c>
      <c r="EB294" s="4">
        <f>AG294/N294</f>
        <v>3.1780497164141401</v>
      </c>
      <c r="EC294" s="4">
        <f>MIN(EB$10*BB294)</f>
        <v>93.781066536739885</v>
      </c>
      <c r="EG294" s="4">
        <f>IF(U294&gt;1*N294,0.85,1)</f>
        <v>0.85</v>
      </c>
      <c r="EH294" s="4">
        <f>MIN(1,MAX(0.7,(1-0.1*(BZ294-1*N294)/N294)))</f>
        <v>1</v>
      </c>
      <c r="EI294" s="4">
        <f>MIN(1,MAX(0.7,1-0.3*(PI()*AM294^2/4*AQ294*2-0.25*PI()/4*N294^2)/(PI()/4*N294^2)))</f>
        <v>0.77500000000000002</v>
      </c>
      <c r="EJ294" s="4">
        <f>IF(EH294*EI294&lt;0.7,0.7,EH294*EI294)</f>
        <v>0.77500000000000002</v>
      </c>
      <c r="EL294" s="4">
        <f>MIN(DU294/N294*3*K294+EM294-FJ294,MAX(J294,AJ294))</f>
        <v>691.15580768280518</v>
      </c>
      <c r="EM294" s="25">
        <f>13.3*Q294*K294^0.5*M294^0.5/X294/N294^2*(0.7+S294/5/K294)</f>
        <v>232.4828424495806</v>
      </c>
      <c r="EO294" s="4">
        <f>EG294*EJ294</f>
        <v>0.65874999999999995</v>
      </c>
      <c r="EP294" s="4">
        <f>IF(N294&lt;22.2,1.1*5*(M294/30)^0.5,IF(N294&gt;=31.8,0.9*5*(M294/30)^0.5,1*5*(M294/30)^0.5))/EG294/EJ294</f>
        <v>12.794224971638064</v>
      </c>
      <c r="ES294" s="4">
        <f>ET294*N294</f>
        <v>80.72246279691916</v>
      </c>
      <c r="ET294" s="4">
        <f>AF294^0.5</f>
        <v>3.1780497164141406</v>
      </c>
      <c r="EU294" s="4">
        <f>MIN(EC294)/(4700*M294^0.5)/AE294*ES294</f>
        <v>1.9171014095007426E-2</v>
      </c>
      <c r="EX294" s="4">
        <f>EU294</f>
        <v>1.9171014095007426E-2</v>
      </c>
      <c r="EY294" s="4">
        <f>MIN(0.999, EX294/(0.3*(M294/30)^0.5))</f>
        <v>3.7910474905196286E-2</v>
      </c>
      <c r="EZ294" s="4">
        <f>EP294/1*EY294^0.4</f>
        <v>3.4555539115171481</v>
      </c>
      <c r="FA294" s="4">
        <f>EP294/1.4*(1-EY294^1.4)/(1-EY294)</f>
        <v>9.4015777649205141</v>
      </c>
      <c r="FB294" s="4">
        <f>MAX(0,DQ294*FB$9-ES294)</f>
        <v>146.92503720308082</v>
      </c>
      <c r="FC294" s="4">
        <f>MAX(0,DQ294-ES294-FB294)</f>
        <v>75.882499999999993</v>
      </c>
      <c r="FD294" s="4">
        <f>FC294/(1-0.3*(M294/30)^0.5)/200000/N294</f>
        <v>3.0218997474488296E-5</v>
      </c>
      <c r="FE294" s="4">
        <f>MAX(0.5*EP294, (1-2*FD294*(ES294*EZ294+FB294*FA294))/(1/EP294+FD294*FC294))</f>
        <v>11.182339257000915</v>
      </c>
      <c r="FF294" s="4">
        <f>MIN(4/N294*(1*EZ294*ES294+FA294*FB294+FC294*FE294)+EC294,MAX(J294,AJ294))</f>
        <v>488.86954584590006</v>
      </c>
      <c r="FO294" s="23">
        <f>IF(CU294&lt;0.6,0.6,IF(CU294&lt;0.8,0.8,IF(CU294&lt;1,1,IF(CU294&lt;1.2,1.2,IF(CU294&lt;1.4,1.4,IF(CU294&lt;1.6,1.6,IF(CU294&lt;1.8,1.8,IF(CU294&lt;2,2,2.2))))))))</f>
        <v>1.4</v>
      </c>
      <c r="FP294" s="23">
        <f>IF(CV294&lt;0.6,0.6,IF(CV294&lt;0.8,0.8,IF(CV294&lt;1,1,IF(CV294&lt;1.2,1.2,IF(CV294&lt;1.4,1.4,IF(CV294&lt;1.6,1.6,IF(CV294&lt;1.8,1.8,IF(CV294&lt;2,2,2.2))))))))</f>
        <v>0.8</v>
      </c>
      <c r="FQ294" s="23">
        <f>IF(DA294&lt;0.6,0.6,IF(DA294&lt;0.8,0.8,IF(DA294&lt;1,1,IF(DA294&lt;1.2,1.2,IF(DA294&lt;1.4,1.4,IF(DA294&lt;1.6,1.6,IF(DA294&lt;1.8,1.8,IF(DA294&lt;2,2,2.2))))))))</f>
        <v>1.8</v>
      </c>
      <c r="FR294" s="23">
        <f>IF(CX294&lt;0.6,0.6,IF(CX294&lt;0.8,0.8,IF(CX294&lt;1,1,IF(CX294&lt;1.2,1.2,IF(CX294&lt;1.4,1.4,IF(CX294&lt;1.6,1.6,IF(CX294&lt;1.8,1.8,IF(CX294&lt;2,2,2.2))))))))</f>
        <v>1.8</v>
      </c>
      <c r="FS294" s="23">
        <f>IF(CY294&lt;0.6,0.6,IF(CY294&lt;0.8,0.8,IF(CY294&lt;1,1,IF(CY294&lt;1.2,1.2,IF(CY294&lt;1.4,1.4,IF(CY294&lt;1.6,1.6,IF(CY294&lt;1.8,1.8,IF(CY294&lt;2,2,2.2))))))))</f>
        <v>1.6</v>
      </c>
      <c r="FT294" s="23">
        <f>IF(CZ294&lt;0.6,0.6,IF(CZ294&lt;0.8,0.8,IF(CZ294&lt;1,1,IF(CZ294&lt;1.2,1.2,IF(CZ294&lt;1.4,1.4,IF(CZ294&lt;1.6,1.6,IF(CZ294&lt;1.8,1.8,IF(CZ294&lt;2,2,2.2))))))))</f>
        <v>1.2</v>
      </c>
      <c r="FU294" s="23">
        <f>IF(FS294&lt;1,1,0)</f>
        <v>0</v>
      </c>
      <c r="FV294" s="23"/>
      <c r="GF294" s="4">
        <f>IF(S294&gt;=2.5*25.4,1,1.25)</f>
        <v>1.25</v>
      </c>
      <c r="GG294" s="4">
        <f>IF(AO294&gt;1, 0.05*(18-MIN(8,(W294+N294)/N294))*(1-48000/MAX(60000,(J294*145))*(N294/25.4)^0.75*GH294), 1/12*(14-MIN(8,(W294+N294)/N294)))</f>
        <v>0.66627906976744189</v>
      </c>
      <c r="GH294" s="4">
        <f>MIN(0.3, AM294^2*PI()/4*2*AP294/(N294^2*PI()/4*X294))</f>
        <v>0.3</v>
      </c>
      <c r="GI294" s="4">
        <f>(K294/25.4)/(N294/25.4)^1.5/0.0024*(M294*145)^0.25/GF294/GG294/145</f>
        <v>434.73749169306967</v>
      </c>
    </row>
    <row r="295" spans="1:191" ht="12" customHeight="1" x14ac:dyDescent="0.3">
      <c r="A295" s="25">
        <v>324</v>
      </c>
      <c r="B295" s="4" t="s">
        <v>605</v>
      </c>
      <c r="C295" s="4">
        <v>2016</v>
      </c>
      <c r="D295" s="4" t="s">
        <v>309</v>
      </c>
      <c r="E295" s="24" t="s">
        <v>670</v>
      </c>
      <c r="F295" s="24"/>
      <c r="G295" s="24">
        <v>16</v>
      </c>
      <c r="H295" s="7" t="s">
        <v>486</v>
      </c>
      <c r="I295" s="5">
        <f>K295/N295</f>
        <v>11.9</v>
      </c>
      <c r="J295" s="38">
        <f>129/0.145</f>
        <v>889.65517241379314</v>
      </c>
      <c r="K295" s="89">
        <f>11.9*25.4</f>
        <v>302.26</v>
      </c>
      <c r="L295" s="4">
        <f>K295</f>
        <v>302.26</v>
      </c>
      <c r="M295" s="89">
        <f>12040/145</f>
        <v>83.034482758620683</v>
      </c>
      <c r="N295" s="96">
        <f>1*25.4</f>
        <v>25.4</v>
      </c>
      <c r="O295" s="7">
        <f>K295/N295</f>
        <v>11.9</v>
      </c>
      <c r="P295" s="7">
        <f>L295/N295</f>
        <v>11.9</v>
      </c>
      <c r="Q295" s="38">
        <f>15*25.4</f>
        <v>381</v>
      </c>
      <c r="R295" s="32">
        <f>S295/N295</f>
        <v>2.5</v>
      </c>
      <c r="S295" s="38">
        <f>2.5*25.4</f>
        <v>63.5</v>
      </c>
      <c r="T295" s="32">
        <f>U295/N295</f>
        <v>3.1</v>
      </c>
      <c r="U295" s="39">
        <f>3.1*25.4</f>
        <v>78.739999999999995</v>
      </c>
      <c r="V295" s="32">
        <f>W295/N295</f>
        <v>3.5000000000000004</v>
      </c>
      <c r="W295" s="7">
        <f>(Q295-X295*N295-2*S295)/(X295-1)</f>
        <v>88.9</v>
      </c>
      <c r="X295" s="38">
        <v>3</v>
      </c>
      <c r="Y295" s="7">
        <f>AN295</f>
        <v>10</v>
      </c>
      <c r="Z295" s="32">
        <f>AA295/N295</f>
        <v>10.25</v>
      </c>
      <c r="AA295" s="4">
        <f>10.25*25.4</f>
        <v>260.34999999999997</v>
      </c>
      <c r="AB295" s="7">
        <f>MIN(S295/N295+0.5, W295/2/N295+0.5)</f>
        <v>2.25</v>
      </c>
      <c r="AC295" s="7">
        <f>S295/N295+0.5</f>
        <v>3</v>
      </c>
      <c r="AD295" s="38">
        <v>9.1</v>
      </c>
      <c r="AE295" s="4">
        <f>AD295</f>
        <v>9.1</v>
      </c>
      <c r="AF295" s="4">
        <f>AE295+1</f>
        <v>10.1</v>
      </c>
      <c r="AG295" s="7">
        <f>N295*AF295^0.5</f>
        <v>80.72246279691916</v>
      </c>
      <c r="AJ295" s="38">
        <f>AK295/0.145</f>
        <v>947.58620689655186</v>
      </c>
      <c r="AK295" s="4">
        <v>137.4</v>
      </c>
      <c r="AL295" s="4">
        <f>CY295</f>
        <v>1.7214912231681421</v>
      </c>
      <c r="AM295" s="38">
        <f>0.5*25.4</f>
        <v>12.7</v>
      </c>
      <c r="AN295" s="38">
        <v>10</v>
      </c>
      <c r="AO295" s="39">
        <f>3*25.4</f>
        <v>76.199999999999989</v>
      </c>
      <c r="AP295" s="39">
        <v>3</v>
      </c>
      <c r="AQ295" s="39">
        <f>AP295-1</f>
        <v>2</v>
      </c>
      <c r="AR295" s="7"/>
      <c r="AS295" s="4">
        <f>K295</f>
        <v>302.26</v>
      </c>
      <c r="AT295" s="4">
        <f>IF(K295*3&gt;W295+N295, Q295, (S295+N295/2)*2+1.5*K295*(2*X295-2))*(3*K295)/(9*K295^2)</f>
        <v>0.42016806722689082</v>
      </c>
      <c r="AU295" s="4">
        <f>MIN(10*M295^0.5*K295^1.5,100*3.9*M295^0.5*K295^(5/3))/(PI()/4*N295^2)/X295</f>
        <v>315.00807738266639</v>
      </c>
      <c r="AV295" s="4">
        <f>MIN(0.7+0.3*(MIN(S295,AA295)+0.5*N295)/1.5/K295,1)</f>
        <v>0.75042016806722689</v>
      </c>
      <c r="AW295" s="4">
        <v>1.25</v>
      </c>
      <c r="AX295" s="4">
        <f>AX294</f>
        <v>1</v>
      </c>
      <c r="AY295" s="38">
        <f>AT295*AV295*AW295*AX295*AU295</f>
        <v>124.1535789769089</v>
      </c>
      <c r="AZ295" s="38">
        <f>AY295</f>
        <v>124.1535789769089</v>
      </c>
      <c r="BA295" s="38">
        <f>IF(M295&lt;50, 0.3*M295^(2/3), 2.12*LN(1+0.1*(M295+8)))</f>
        <v>4.9032987715448586</v>
      </c>
      <c r="BB295" s="38">
        <f>AX295* (M295^0.5/AS295^0.5)/(PI()/4*N295^2)/X295/0.72 *(0.7+(MIN(S295,AA295)+0.5*N295)/5/K295) *(3*Q295*K295)</f>
        <v>124.15357897690888</v>
      </c>
      <c r="BC295" s="38">
        <f>AY295/BB295</f>
        <v>1.0000000000000002</v>
      </c>
      <c r="BD295" s="38">
        <f>BH295/BB295</f>
        <v>10.28940148622805</v>
      </c>
      <c r="BE295" s="4">
        <f>IF(BD295&lt;1,1,0)</f>
        <v>0</v>
      </c>
      <c r="BF295" s="4">
        <f>L295/N295*M295^0.5/0.19</f>
        <v>570.71935711263086</v>
      </c>
      <c r="BG295" s="4">
        <f>MIN(0.6+0.4*(AC295/AB295),2)</f>
        <v>1.1333333333333333</v>
      </c>
      <c r="BH295" s="38">
        <f>2*M295*AB295*AD295^0.5*BG295*0.7/0.7</f>
        <v>1277.4660200455378</v>
      </c>
      <c r="BI295" s="4">
        <f>MAX(1-0.7*AE295/5,0.3)</f>
        <v>0.3</v>
      </c>
      <c r="BJ295" s="4">
        <f>BI295*J295*L295/(J295*N295/2.75/M295^0.5)</f>
        <v>89.460259227404862</v>
      </c>
      <c r="BK295" s="4">
        <f>BH295+BJ295</f>
        <v>1366.9262792729426</v>
      </c>
      <c r="BM295" s="4">
        <f>MIN(1.5, 0.75+0.25*MIN(3,MAX(1,S295/N295))+0.4*MIN(1,(40*2*PI()*AM295^2/4/AO295/X295)/N295))</f>
        <v>1.5</v>
      </c>
      <c r="BN295" s="4">
        <f>(3*P295+30)*BM295*M295^0.5</f>
        <v>898.01971447524852</v>
      </c>
      <c r="BP295" s="4">
        <f>3.4/PI()^0.5*M295*AB295*AE295^0.5*BG295</f>
        <v>1225.246137138033</v>
      </c>
      <c r="BQ295" s="4">
        <f>8/3*AH295*AI295^2/(AG295-N295-22)/N295*(AG295^2-N295^2)/(AG295^2-(N295+22)^2)</f>
        <v>0</v>
      </c>
      <c r="BR295" s="4">
        <f>BQ295/BP295</f>
        <v>0</v>
      </c>
      <c r="BZ295" s="4">
        <f>IF(W295=0,S295,MIN(W295/2,S295))</f>
        <v>44.45</v>
      </c>
      <c r="CD295" s="9"/>
      <c r="CF295" s="9"/>
      <c r="CG295" s="9"/>
      <c r="CH295" s="9">
        <f>IF(W295=0,MIN(S295,U295),MIN(W295/2,S295,U295))</f>
        <v>44.45</v>
      </c>
      <c r="CI295" s="9">
        <f>MAX(W295/2,S295)</f>
        <v>63.5</v>
      </c>
      <c r="CJ295" s="9">
        <f>(CH295/N295)^0.5*(CI295/CH295)^0.15</f>
        <v>1.3955786547794871</v>
      </c>
      <c r="CK295" s="70">
        <f>IF(AO295&gt;1,20,0)</f>
        <v>20</v>
      </c>
      <c r="CL295" s="9">
        <f>MIN(PI()*AM295^2/4*AN295*2/X295/N295/MAX(0.01,AO295),0.05)</f>
        <v>0.05</v>
      </c>
      <c r="CM295" s="9">
        <f>MAX(0,CK295*(CL295-0.5/50))</f>
        <v>0.8</v>
      </c>
      <c r="CN295" s="9">
        <f>MIN(1,(25/N295)^0.3)</f>
        <v>0.99524931562137331</v>
      </c>
      <c r="CO295" s="9">
        <f>IF(J295&gt;=800,0.68,IF(J295&gt;=700,0.75-(J295-700)*0.07/100,IF(J295&gt;=600,0.85-(J295-600)*0.1/100,IF(J295&gt;=500,1-(J295-500)*0.15/100,1.2-(J295-400)*0.2/100))))</f>
        <v>0.68</v>
      </c>
      <c r="CP295" s="9">
        <f>1.75*CN295*CO295*(M295/25)^0.5</f>
        <v>2.1584305883972208</v>
      </c>
      <c r="CQ295" s="9">
        <f>MIN((CJ295+CM295)*CP295,2.5*CP295,M295^0.5)</f>
        <v>4.7390041277080668</v>
      </c>
      <c r="CR295" s="40">
        <v>1</v>
      </c>
      <c r="CS295" s="9">
        <f>4*CQ295*P295+60*CQ295</f>
        <v>509.91684414138797</v>
      </c>
      <c r="CU295" s="4">
        <f>AJ295/BF295</f>
        <v>1.6603365473541258</v>
      </c>
      <c r="CV295" s="4">
        <f>AJ295/BK295</f>
        <v>0.69322407599081759</v>
      </c>
      <c r="CW295" s="4">
        <f>AJ295/BN295</f>
        <v>1.0551953276997568</v>
      </c>
      <c r="CX295" s="4">
        <f>AJ295/CS295</f>
        <v>1.8583151699805556</v>
      </c>
      <c r="CY295" s="4">
        <f>AJ295/DZ295</f>
        <v>1.7214912231681421</v>
      </c>
      <c r="CZ295" s="4">
        <f>AJ295/EL295</f>
        <v>1.1917519000638892</v>
      </c>
      <c r="DA295" s="4">
        <f>AJ295/GI295</f>
        <v>1.5863282977600779</v>
      </c>
      <c r="DB295" s="4">
        <f>AN295</f>
        <v>10</v>
      </c>
      <c r="DI295" s="4">
        <f>CU295</f>
        <v>1.6603365473541258</v>
      </c>
      <c r="DJ295" s="4">
        <f>CV295</f>
        <v>0.69322407599081759</v>
      </c>
      <c r="DK295" s="4">
        <f>CX295</f>
        <v>1.8583151699805556</v>
      </c>
      <c r="DL295" s="4">
        <f>DA295</f>
        <v>1.5863282977600779</v>
      </c>
      <c r="DM295" s="4">
        <f>CY295</f>
        <v>1.7214912231681421</v>
      </c>
      <c r="DN295" s="4">
        <f>CZ295</f>
        <v>1.1917519000638892</v>
      </c>
      <c r="DQ295" s="4">
        <f>L295</f>
        <v>302.26</v>
      </c>
      <c r="DT295" s="4">
        <f>K295/4/(1-0.3*(M295/30)^0.5)/200000/N295</f>
        <v>2.96967029130915E-5</v>
      </c>
      <c r="DU295" s="4">
        <f>EP295</f>
        <v>13.651370648787429</v>
      </c>
      <c r="DV295" s="4">
        <f>EC295*AG295/257/M295/AD295</f>
        <v>5.160842990795509E-2</v>
      </c>
      <c r="DW295" s="4">
        <f>DU295*DV295^0.4</f>
        <v>4.171233646752448</v>
      </c>
      <c r="DX295" s="4">
        <f>MIN(DU295, DU295/1.4*(1-DV295^1.4)/(1-DV295))</f>
        <v>10.119463802273811</v>
      </c>
      <c r="DY295" s="4">
        <f>MAX(DU295/2, (4-DT295*(8*AG295*(DW295-DX295)+6*K295*DX295))/(4+DT295*K295*DU295)*DU295)</f>
        <v>11.818624438320118</v>
      </c>
      <c r="DZ295" s="38">
        <f>MIN(1/N295*(4*AG295*(DW295-DX295)+(3*DX295+DY295)*K295)+EC295 -FJ295,MAX(J295,AJ295))</f>
        <v>550.44498289841056</v>
      </c>
      <c r="EA295" s="4">
        <f>DZ295/FF295</f>
        <v>1.0000817390507384</v>
      </c>
      <c r="EB295" s="4">
        <f>AG295/N295</f>
        <v>3.1780497164141401</v>
      </c>
      <c r="EC295" s="4">
        <f>MIN(EB$10*BB295)</f>
        <v>124.15357897690888</v>
      </c>
      <c r="EG295" s="4">
        <f>IF(U295&gt;1*N295,0.85,1)</f>
        <v>0.85</v>
      </c>
      <c r="EH295" s="4">
        <f>MIN(1,MAX(0.7,(1-0.1*(BZ295-1*N295)/N295)))</f>
        <v>0.92499999999999993</v>
      </c>
      <c r="EI295" s="4">
        <f>MIN(1,MAX(0.7,1-0.3*(PI()*AM295^2/4*AQ295*2-0.25*PI()/4*N295^2)/(PI()/4*N295^2)))</f>
        <v>0.77500000000000002</v>
      </c>
      <c r="EJ295" s="4">
        <f>IF(EH295*EI295&lt;0.7,0.7,EH295*EI295)</f>
        <v>0.71687499999999993</v>
      </c>
      <c r="EL295" s="4">
        <f>MIN(DU295/N295*3*K295+EM295-FJ295,MAX(J295,AJ295))</f>
        <v>795.12036594676476</v>
      </c>
      <c r="EM295" s="25">
        <f>13.3*Q295*K295^0.5*M295^0.5/X295/N295^2*(0.7+S295/5/K295)</f>
        <v>307.76643378505355</v>
      </c>
      <c r="EO295" s="4">
        <f>EG295*EJ295</f>
        <v>0.60934374999999996</v>
      </c>
      <c r="EP295" s="4">
        <f>IF(N295&lt;22.2,1.1*5*(M295/30)^0.5,IF(N295&gt;=31.8,0.9*5*(M295/30)^0.5,1*5*(M295/30)^0.5))/EG295/EJ295</f>
        <v>13.651370648787429</v>
      </c>
      <c r="ES295" s="4">
        <f>ET295*N295</f>
        <v>80.72246279691916</v>
      </c>
      <c r="ET295" s="4">
        <f>AF295^0.5</f>
        <v>3.1780497164141406</v>
      </c>
      <c r="EU295" s="4">
        <f>MIN(EC295)/(4700*M295^0.5)/AE295*ES295</f>
        <v>2.5714918628728548E-2</v>
      </c>
      <c r="EX295" s="4">
        <f>EU295</f>
        <v>2.5714918628728548E-2</v>
      </c>
      <c r="EY295" s="4">
        <f>MIN(0.999, EX295/(0.3*(M295/30)^0.5))</f>
        <v>5.1522305056942531E-2</v>
      </c>
      <c r="EZ295" s="4">
        <f>EP295/1*EY295^0.4</f>
        <v>4.168447846897025</v>
      </c>
      <c r="FA295" s="4">
        <f>EP295/1.4*(1-EY295^1.4)/(1-EY295)</f>
        <v>10.118923557224372</v>
      </c>
      <c r="FB295" s="4">
        <f>MAX(0,DQ295*FB$9-ES295)</f>
        <v>145.97253720308083</v>
      </c>
      <c r="FC295" s="4">
        <f>MAX(0,DQ295-ES295-FB295)</f>
        <v>75.564999999999998</v>
      </c>
      <c r="FD295" s="4">
        <f>FC295/(1-0.3*(M295/30)^0.5)/200000/N295</f>
        <v>2.96967029130915E-5</v>
      </c>
      <c r="FE295" s="4">
        <f>MAX(0.5*EP295, (1-2*FD295*(ES295*EZ295+FB295*FA295))/(1/EP295+FD295*FC295))</f>
        <v>11.818863389119192</v>
      </c>
      <c r="FF295" s="4">
        <f>MIN(4/N295*(1*EZ295*ES295+FA295*FB295+FC295*FE295)+EC295,MAX(J295,AJ295))</f>
        <v>550.39999372539705</v>
      </c>
      <c r="FO295" s="23">
        <f>IF(CU295&lt;0.6,0.6,IF(CU295&lt;0.8,0.8,IF(CU295&lt;1,1,IF(CU295&lt;1.2,1.2,IF(CU295&lt;1.4,1.4,IF(CU295&lt;1.6,1.6,IF(CU295&lt;1.8,1.8,IF(CU295&lt;2,2,2.2))))))))</f>
        <v>1.8</v>
      </c>
      <c r="FP295" s="23">
        <f>IF(CV295&lt;0.6,0.6,IF(CV295&lt;0.8,0.8,IF(CV295&lt;1,1,IF(CV295&lt;1.2,1.2,IF(CV295&lt;1.4,1.4,IF(CV295&lt;1.6,1.6,IF(CV295&lt;1.8,1.8,IF(CV295&lt;2,2,2.2))))))))</f>
        <v>0.8</v>
      </c>
      <c r="FQ295" s="23">
        <f>IF(DA295&lt;0.6,0.6,IF(DA295&lt;0.8,0.8,IF(DA295&lt;1,1,IF(DA295&lt;1.2,1.2,IF(DA295&lt;1.4,1.4,IF(DA295&lt;1.6,1.6,IF(DA295&lt;1.8,1.8,IF(DA295&lt;2,2,2.2))))))))</f>
        <v>1.6</v>
      </c>
      <c r="FR295" s="23">
        <f>IF(CX295&lt;0.6,0.6,IF(CX295&lt;0.8,0.8,IF(CX295&lt;1,1,IF(CX295&lt;1.2,1.2,IF(CX295&lt;1.4,1.4,IF(CX295&lt;1.6,1.6,IF(CX295&lt;1.8,1.8,IF(CX295&lt;2,2,2.2))))))))</f>
        <v>2</v>
      </c>
      <c r="FS295" s="23">
        <f>IF(CY295&lt;0.6,0.6,IF(CY295&lt;0.8,0.8,IF(CY295&lt;1,1,IF(CY295&lt;1.2,1.2,IF(CY295&lt;1.4,1.4,IF(CY295&lt;1.6,1.6,IF(CY295&lt;1.8,1.8,IF(CY295&lt;2,2,2.2))))))))</f>
        <v>1.8</v>
      </c>
      <c r="FT295" s="23">
        <f>IF(CZ295&lt;0.6,0.6,IF(CZ295&lt;0.8,0.8,IF(CZ295&lt;1,1,IF(CZ295&lt;1.2,1.2,IF(CZ295&lt;1.4,1.4,IF(CZ295&lt;1.6,1.6,IF(CZ295&lt;1.8,1.8,IF(CZ295&lt;2,2,2.2))))))))</f>
        <v>1.2</v>
      </c>
      <c r="FU295" s="23">
        <f>IF(FS295&lt;1,1,0)</f>
        <v>0</v>
      </c>
      <c r="FV295" s="23"/>
      <c r="GF295" s="4">
        <f>IF(S295&gt;=2.5*25.4,1,1.25)</f>
        <v>1</v>
      </c>
      <c r="GG295" s="4">
        <f>IF(AO295&gt;1, 0.05*(18-MIN(8,(W295+N295)/N295))*(1-48000/MAX(60000,(J295*145))*(N295/25.4)^0.75*GH295), 1/12*(14-MIN(8,(W295+N295)/N295)))</f>
        <v>0.59965116279069774</v>
      </c>
      <c r="GH295" s="4">
        <f>MIN(0.3, AM295^2*PI()/4*2*AP295/(N295^2*PI()/4*X295))</f>
        <v>0.3</v>
      </c>
      <c r="GI295" s="4">
        <f>(K295/25.4)/(N295/25.4)^1.5/0.0024*(M295*145)^0.25/GF295/GG295/145</f>
        <v>597.34558617819494</v>
      </c>
    </row>
    <row r="296" spans="1:191" ht="12" customHeight="1" x14ac:dyDescent="0.3">
      <c r="A296" s="25">
        <v>318</v>
      </c>
      <c r="B296" s="4" t="s">
        <v>605</v>
      </c>
      <c r="C296" s="4">
        <v>2016</v>
      </c>
      <c r="D296" s="4" t="s">
        <v>309</v>
      </c>
      <c r="E296" s="24" t="s">
        <v>478</v>
      </c>
      <c r="F296" s="24"/>
      <c r="G296" s="24">
        <v>16</v>
      </c>
      <c r="H296" s="7" t="s">
        <v>480</v>
      </c>
      <c r="I296" s="5">
        <f>K296/N296</f>
        <v>11.88</v>
      </c>
      <c r="J296" s="38">
        <f>129/0.145</f>
        <v>889.65517241379314</v>
      </c>
      <c r="K296" s="89">
        <f>11.88*25.4</f>
        <v>301.75200000000001</v>
      </c>
      <c r="L296" s="4">
        <f>K296</f>
        <v>301.75200000000001</v>
      </c>
      <c r="M296" s="89">
        <f>12080/145</f>
        <v>83.310344827586206</v>
      </c>
      <c r="N296" s="96">
        <f>1*25.4</f>
        <v>25.4</v>
      </c>
      <c r="O296" s="7">
        <f>K296/N296</f>
        <v>11.88</v>
      </c>
      <c r="P296" s="7">
        <f>L296/N296</f>
        <v>11.88</v>
      </c>
      <c r="Q296" s="38">
        <f>14.9*25.4</f>
        <v>378.46</v>
      </c>
      <c r="R296" s="32">
        <f>S296/N296</f>
        <v>2.5</v>
      </c>
      <c r="S296" s="38">
        <f>2.5*25.4</f>
        <v>63.5</v>
      </c>
      <c r="T296" s="32">
        <f>U296/N296</f>
        <v>3.15</v>
      </c>
      <c r="U296" s="39">
        <f>3.15*25.4</f>
        <v>80.009999999999991</v>
      </c>
      <c r="V296" s="32">
        <f>W296/N296</f>
        <v>7.8999999999999995</v>
      </c>
      <c r="W296" s="7">
        <f>(Q296-X296*N296-2*S296)/(X296-1)</f>
        <v>200.65999999999997</v>
      </c>
      <c r="X296" s="38">
        <v>2</v>
      </c>
      <c r="Y296" s="7">
        <f>AN296</f>
        <v>0</v>
      </c>
      <c r="Z296" s="32">
        <f>AA296/N296</f>
        <v>10.25</v>
      </c>
      <c r="AA296" s="4">
        <f>10.25*25.4</f>
        <v>260.34999999999997</v>
      </c>
      <c r="AB296" s="7">
        <f>MIN(S296/N296+0.5, W296/2/N296+0.5)</f>
        <v>3</v>
      </c>
      <c r="AC296" s="7">
        <f>S296/N296+0.5</f>
        <v>3</v>
      </c>
      <c r="AD296" s="38">
        <v>9.1</v>
      </c>
      <c r="AE296" s="4">
        <f>AD296</f>
        <v>9.1</v>
      </c>
      <c r="AF296" s="4">
        <f>AE296+1</f>
        <v>10.1</v>
      </c>
      <c r="AG296" s="7">
        <f>N296*AF296^0.5</f>
        <v>80.72246279691916</v>
      </c>
      <c r="AJ296" s="38">
        <f>AK296/0.145</f>
        <v>667.58620689655174</v>
      </c>
      <c r="AK296" s="4">
        <v>96.8</v>
      </c>
      <c r="AL296" s="4">
        <f>CY296</f>
        <v>1.1974991561843304</v>
      </c>
      <c r="AM296" s="38">
        <v>0</v>
      </c>
      <c r="AN296" s="38">
        <v>0</v>
      </c>
      <c r="AO296" s="39">
        <f>L296</f>
        <v>301.75200000000001</v>
      </c>
      <c r="AP296" s="39"/>
      <c r="AQ296" s="39"/>
      <c r="AR296" s="7"/>
      <c r="AS296" s="4">
        <f>K296</f>
        <v>301.75200000000001</v>
      </c>
      <c r="AT296" s="4">
        <f>IF(K296*3&gt;W296+N296, Q296, (S296+N296/2)*2+1.5*K296*(2*X296-2))*(3*K296)/(9*K296^2)</f>
        <v>0.41806958473625139</v>
      </c>
      <c r="AU296" s="4">
        <f>MIN(10*M296^0.5*K296^1.5,100*3.9*M296^0.5*K296^(5/3))/(PI()/4*N296^2)/X296</f>
        <v>472.10368644310773</v>
      </c>
      <c r="AV296" s="4">
        <f>MIN(0.7+0.3*(MIN(S296,AA296)+0.5*N296)/1.5/K296,1)</f>
        <v>0.75050505050505045</v>
      </c>
      <c r="AW296" s="4">
        <v>1.25</v>
      </c>
      <c r="AX296" s="4">
        <f>AX295</f>
        <v>1</v>
      </c>
      <c r="AY296" s="38">
        <f>AT296*AV296*AW296*AX296*AU296</f>
        <v>185.16103379139716</v>
      </c>
      <c r="AZ296" s="38">
        <f>AY296</f>
        <v>185.16103379139716</v>
      </c>
      <c r="BA296" s="38">
        <f>IF(M296&lt;50, 0.3*M296^(2/3), 2.12*LN(1+0.1*(M296+8)))</f>
        <v>4.9090792795570026</v>
      </c>
      <c r="BB296" s="38">
        <f>AX296* (M296^0.5/AS296^0.5)/(PI()/4*N296^2)/X296/0.72 *(0.7+(MIN(S296,AA296)+0.5*N296)/5/K296) *(3*Q296*K296)</f>
        <v>185.1610337913971</v>
      </c>
      <c r="BC296" s="38">
        <f>AY296/BB296</f>
        <v>1.0000000000000002</v>
      </c>
      <c r="BD296" s="38">
        <f>BH296/BB296</f>
        <v>8.1436909074242614</v>
      </c>
      <c r="BE296" s="4">
        <f>IF(BD296&lt;1,1,0)</f>
        <v>0</v>
      </c>
      <c r="BF296" s="4">
        <f>L296/N296*M296^0.5/0.19</f>
        <v>570.70582559129025</v>
      </c>
      <c r="BG296" s="4">
        <f>MIN(0.6+0.4*(AC296/AB296),2)</f>
        <v>1</v>
      </c>
      <c r="BH296" s="38">
        <f>2*M296*AB296*AD296^0.5*BG296*0.7/0.7</f>
        <v>1507.894227296277</v>
      </c>
      <c r="BI296" s="4">
        <f>MAX(1-0.7*AE296/5,0.3)</f>
        <v>0.3</v>
      </c>
      <c r="BJ296" s="4">
        <f>BI296*J296*L296/(J296*N296/2.75/M296^0.5)</f>
        <v>89.458138161434732</v>
      </c>
      <c r="BK296" s="4">
        <f>BH296+BJ296</f>
        <v>1597.3523654577118</v>
      </c>
      <c r="BM296" s="4">
        <f>MIN(1.5, 0.75+0.25*MIN(3,MAX(1,S296/N296))+0.4*MIN(1,(40*2*PI()*AM296^2/4/AO296/X296)/N296))</f>
        <v>1.375</v>
      </c>
      <c r="BN296" s="4">
        <f>(3*P296+30)*BM296*M296^0.5</f>
        <v>823.79800630142756</v>
      </c>
      <c r="BP296" s="4">
        <f>3.4/PI()^0.5*M296*AB296*AE296^0.5*BG296</f>
        <v>1446.254967424999</v>
      </c>
      <c r="BQ296" s="4">
        <f>8/3*AH296*AI296^2/(AG296-N296-22)/N296*(AG296^2-N296^2)/(AG296^2-(N296+22)^2)</f>
        <v>0</v>
      </c>
      <c r="BR296" s="4">
        <f>BQ296/BP296</f>
        <v>0</v>
      </c>
      <c r="BZ296" s="4">
        <f>IF(W296=0,S296,MIN(W296/2,S296))</f>
        <v>63.5</v>
      </c>
      <c r="CD296" s="9"/>
      <c r="CF296" s="9"/>
      <c r="CG296" s="9"/>
      <c r="CH296" s="9">
        <f>IF(W296=0,MIN(S296,U296),MIN(W296/2,S296,U296))</f>
        <v>63.5</v>
      </c>
      <c r="CI296" s="9">
        <f>MAX(W296/2,S296)</f>
        <v>100.32999999999998</v>
      </c>
      <c r="CJ296" s="9">
        <f>(CH296/N296)^0.5*(CI296/CH296)^0.15</f>
        <v>1.6934351397132028</v>
      </c>
      <c r="CK296" s="70">
        <f>IF(AO296&gt;1,20,0)</f>
        <v>20</v>
      </c>
      <c r="CL296" s="9">
        <f>MIN(PI()*AM296^2/4*AN296*2/X296/N296/MAX(0.01,AO296),0.05)</f>
        <v>0</v>
      </c>
      <c r="CM296" s="9">
        <f>MAX(0,CK296*(CL296-0.5/50))</f>
        <v>0</v>
      </c>
      <c r="CN296" s="9">
        <f>MIN(1,(25/N296)^0.3)</f>
        <v>0.99524931562137331</v>
      </c>
      <c r="CO296" s="9">
        <f>IF(J296&gt;=800,0.68,IF(J296&gt;=700,0.75-(J296-700)*0.07/100,IF(J296&gt;=600,0.85-(J296-600)*0.1/100,IF(J296&gt;=500,1-(J296-500)*0.15/100,1.2-(J296-400)*0.2/100))))</f>
        <v>0.68</v>
      </c>
      <c r="CP296" s="9">
        <f>1.75*CN296*CO296*(M296/25)^0.5</f>
        <v>2.1620130482705213</v>
      </c>
      <c r="CQ296" s="9">
        <f>MIN((CJ296+CM296)*CP296,2.5*CP296,M296^0.5)</f>
        <v>3.6612288684597578</v>
      </c>
      <c r="CR296" s="40">
        <v>1</v>
      </c>
      <c r="CS296" s="9">
        <f>4*CQ296*P296+60*CQ296</f>
        <v>393.65532793679313</v>
      </c>
      <c r="CU296" s="4">
        <f>AJ296/BF296</f>
        <v>1.1697553747675289</v>
      </c>
      <c r="CV296" s="4">
        <f>AJ296/BK296</f>
        <v>0.41793296290343485</v>
      </c>
      <c r="CW296" s="4">
        <f>AJ296/BN296</f>
        <v>0.81037608951469353</v>
      </c>
      <c r="CX296" s="4">
        <f>AJ296/CS296</f>
        <v>1.6958647820047847</v>
      </c>
      <c r="CY296" s="4">
        <f>AJ296/DZ296</f>
        <v>1.1974991561843304</v>
      </c>
      <c r="CZ296" s="4">
        <f>AJ296/EL296</f>
        <v>0.76733459610941368</v>
      </c>
      <c r="DA296" s="4">
        <f>AJ296/GI296</f>
        <v>0.93266016758314585</v>
      </c>
      <c r="DB296" s="4">
        <f>AN296</f>
        <v>0</v>
      </c>
      <c r="DC296" s="4">
        <f>CU296</f>
        <v>1.1697553747675289</v>
      </c>
      <c r="DD296" s="4">
        <f>CV296</f>
        <v>0.41793296290343485</v>
      </c>
      <c r="DE296" s="4">
        <f>CX296</f>
        <v>1.6958647820047847</v>
      </c>
      <c r="DF296" s="4">
        <f>DA296</f>
        <v>0.93266016758314585</v>
      </c>
      <c r="DG296" s="4">
        <f>CY296</f>
        <v>1.1974991561843304</v>
      </c>
      <c r="DH296" s="4">
        <f>CZ296</f>
        <v>0.76733459610941368</v>
      </c>
      <c r="DQ296" s="4">
        <f>L296</f>
        <v>301.75200000000001</v>
      </c>
      <c r="DT296" s="4">
        <f>K296/4/(1-0.3*(M296/30)^0.5)/200000/N296</f>
        <v>2.9695903730757705E-5</v>
      </c>
      <c r="DU296" s="4">
        <f>EP296</f>
        <v>11.53243436507174</v>
      </c>
      <c r="DV296" s="4">
        <f>EC296*AG296/257/M296/AD296</f>
        <v>7.6713280101749159E-2</v>
      </c>
      <c r="DW296" s="4">
        <f>DU296*DV296^0.4</f>
        <v>4.1292313186979417</v>
      </c>
      <c r="DX296" s="4">
        <f>MIN(DU296, DU296/1.4*(1-DV296^1.4)/(1-DV296))</f>
        <v>8.6768182504962521</v>
      </c>
      <c r="DY296" s="4">
        <f>MAX(DU296/2, (4-DT296*(8*AG296*(DW296-DX296)+6*K296*DX296))/(4+DT296*K296*DU296)*DU296)</f>
        <v>10.175980519401442</v>
      </c>
      <c r="DZ296" s="38">
        <f>MIN(1/N296*(4*AG296*(DW296-DX296)+(3*DX296+DY296)*K296)+EC296 -FJ296,MAX(J296,AJ296))</f>
        <v>557.48365537369159</v>
      </c>
      <c r="EA296" s="4">
        <f>DZ296/FF296</f>
        <v>1.0000843550032401</v>
      </c>
      <c r="EB296" s="4">
        <f>AG296/N296</f>
        <v>3.1780497164141401</v>
      </c>
      <c r="EC296" s="4">
        <f>MIN(EB$10*BB296)</f>
        <v>185.1610337913971</v>
      </c>
      <c r="EG296" s="4">
        <f>IF(U296&gt;1*N296,0.85,1)</f>
        <v>0.85</v>
      </c>
      <c r="EH296" s="4">
        <f>MIN(1,MAX(0.7,(1-0.1*(BZ296-1*N296)/N296)))</f>
        <v>0.85</v>
      </c>
      <c r="EI296" s="4">
        <f>MIN(1,MAX(0.7,1-0.3*(PI()*AM296^2/4*AQ296*2-0.25*PI()/4*N296^2)/(PI()/4*N296^2)))</f>
        <v>1</v>
      </c>
      <c r="EJ296" s="4">
        <f>IF(EH296*EI296&lt;0.7,0.7,EH296*EI296)</f>
        <v>0.85</v>
      </c>
      <c r="EL296" s="4">
        <f>MIN(DU296/N296*3*K296+EM296-FJ296,MAX(J296,AJ296))</f>
        <v>870.00665717587572</v>
      </c>
      <c r="EM296" s="25">
        <f>13.3*Q296*K296^0.5*M296^0.5/X296/N296^2*(0.7+S296/5/K296)</f>
        <v>458.99069640471879</v>
      </c>
      <c r="EO296" s="4">
        <f>EG296*EJ296</f>
        <v>0.72249999999999992</v>
      </c>
      <c r="EP296" s="4">
        <f>IF(N296&lt;22.2,1.1*5*(M296/30)^0.5,IF(N296&gt;=31.8,0.9*5*(M296/30)^0.5,1*5*(M296/30)^0.5))/EG296/EJ296</f>
        <v>11.53243436507174</v>
      </c>
      <c r="ES296" s="4">
        <f>ET296*N296</f>
        <v>80.72246279691916</v>
      </c>
      <c r="ET296" s="4">
        <f>AF296^0.5</f>
        <v>3.1780497164141406</v>
      </c>
      <c r="EU296" s="4">
        <f>MIN(EC296)/(4700*M296^0.5)/AE296*ES296</f>
        <v>3.82873478609628E-2</v>
      </c>
      <c r="EX296" s="4">
        <f>EU296</f>
        <v>3.82873478609628E-2</v>
      </c>
      <c r="EY296" s="4">
        <f>MIN(0.999, EX296/(0.3*(M296/30)^0.5))</f>
        <v>7.6585259934671177E-2</v>
      </c>
      <c r="EZ296" s="4">
        <f>EP296/1*EY296^0.4</f>
        <v>4.1264735705148361</v>
      </c>
      <c r="FA296" s="4">
        <f>EP296/1.4*(1-EY296^1.4)/(1-EY296)</f>
        <v>8.6761875920198914</v>
      </c>
      <c r="FB296" s="4">
        <f>MAX(0,DQ296*FB$9-ES296)</f>
        <v>145.59153720308086</v>
      </c>
      <c r="FC296" s="4">
        <f>MAX(0,DQ296-ES296-FB296)</f>
        <v>75.437999999999988</v>
      </c>
      <c r="FD296" s="4">
        <f>FC296/(1-0.3*(M296/30)^0.5)/200000/N296</f>
        <v>2.9695903730757698E-5</v>
      </c>
      <c r="FE296" s="4">
        <f>MAX(0.5*EP296, (1-2*FD296*(ES296*EZ296+FB296*FA296))/(1/EP296+FD296*FC296))</f>
        <v>10.176190459341537</v>
      </c>
      <c r="FF296" s="4">
        <f>MIN(4/N296*(1*EZ296*ES296+FA296*FB296+FC296*FE296)+EC296,MAX(J296,AJ296))</f>
        <v>557.43663280472515</v>
      </c>
      <c r="FO296" s="23">
        <f>IF(CU296&lt;0.6,0.6,IF(CU296&lt;0.8,0.8,IF(CU296&lt;1,1,IF(CU296&lt;1.2,1.2,IF(CU296&lt;1.4,1.4,IF(CU296&lt;1.6,1.6,IF(CU296&lt;1.8,1.8,IF(CU296&lt;2,2,2.2))))))))</f>
        <v>1.2</v>
      </c>
      <c r="FP296" s="23">
        <f>IF(CV296&lt;0.6,0.6,IF(CV296&lt;0.8,0.8,IF(CV296&lt;1,1,IF(CV296&lt;1.2,1.2,IF(CV296&lt;1.4,1.4,IF(CV296&lt;1.6,1.6,IF(CV296&lt;1.8,1.8,IF(CV296&lt;2,2,2.2))))))))</f>
        <v>0.6</v>
      </c>
      <c r="FQ296" s="23">
        <f>IF(DA296&lt;0.6,0.6,IF(DA296&lt;0.8,0.8,IF(DA296&lt;1,1,IF(DA296&lt;1.2,1.2,IF(DA296&lt;1.4,1.4,IF(DA296&lt;1.6,1.6,IF(DA296&lt;1.8,1.8,IF(DA296&lt;2,2,2.2))))))))</f>
        <v>1</v>
      </c>
      <c r="FR296" s="23">
        <f>IF(CX296&lt;0.6,0.6,IF(CX296&lt;0.8,0.8,IF(CX296&lt;1,1,IF(CX296&lt;1.2,1.2,IF(CX296&lt;1.4,1.4,IF(CX296&lt;1.6,1.6,IF(CX296&lt;1.8,1.8,IF(CX296&lt;2,2,2.2))))))))</f>
        <v>1.8</v>
      </c>
      <c r="FS296" s="23">
        <f>IF(CY296&lt;0.6,0.6,IF(CY296&lt;0.8,0.8,IF(CY296&lt;1,1,IF(CY296&lt;1.2,1.2,IF(CY296&lt;1.4,1.4,IF(CY296&lt;1.6,1.6,IF(CY296&lt;1.8,1.8,IF(CY296&lt;2,2,2.2))))))))</f>
        <v>1.2</v>
      </c>
      <c r="FT296" s="23">
        <f>IF(CZ296&lt;0.6,0.6,IF(CZ296&lt;0.8,0.8,IF(CZ296&lt;1,1,IF(CZ296&lt;1.2,1.2,IF(CZ296&lt;1.4,1.4,IF(CZ296&lt;1.6,1.6,IF(CZ296&lt;1.8,1.8,IF(CZ296&lt;2,2,2.2))))))))</f>
        <v>0.8</v>
      </c>
      <c r="FU296" s="23">
        <f>IF(FS296&lt;1,1,0)</f>
        <v>0</v>
      </c>
      <c r="FV296" s="23"/>
      <c r="GF296" s="4">
        <f>IF(S296&gt;=2.5*25.4,1,1.25)</f>
        <v>1</v>
      </c>
      <c r="GG296" s="4">
        <f>IF(AO296&gt;1, 0.05*(18-MIN(8,(W296+N296)/N296))*(1-48000/MAX(60000,(J296*145))*(N296/25.4)^0.75*GH296), 1/12*(14-MIN(8,(W296+N296)/N296)))</f>
        <v>0.5</v>
      </c>
      <c r="GH296" s="4">
        <f>MIN(0.3, AM296^2*PI()/4*2*AP296/(N296^2*PI()/4*X296))</f>
        <v>0</v>
      </c>
      <c r="GI296" s="4">
        <f>(K296/25.4)/(N296/25.4)^1.5/0.0024*(M296*145)^0.25/GF296/GG296/145</f>
        <v>715.78719677340246</v>
      </c>
    </row>
    <row r="297" spans="1:191" ht="12" customHeight="1" x14ac:dyDescent="0.3">
      <c r="A297" s="25">
        <v>147</v>
      </c>
      <c r="B297" s="24" t="s">
        <v>128</v>
      </c>
      <c r="C297" s="24">
        <v>2017</v>
      </c>
      <c r="D297" s="24" t="s">
        <v>309</v>
      </c>
      <c r="E297" s="24"/>
      <c r="F297" s="115"/>
      <c r="G297" s="109" t="s">
        <v>787</v>
      </c>
      <c r="H297" s="4" t="s">
        <v>759</v>
      </c>
      <c r="I297" s="5">
        <f>K297/N297</f>
        <v>7</v>
      </c>
      <c r="J297" s="72">
        <v>606</v>
      </c>
      <c r="K297" s="103">
        <f>7*N297</f>
        <v>301</v>
      </c>
      <c r="L297" s="7">
        <f>K297</f>
        <v>301</v>
      </c>
      <c r="M297" s="103">
        <v>47.9</v>
      </c>
      <c r="N297" s="88">
        <v>43</v>
      </c>
      <c r="O297" s="7">
        <f>K297/N297</f>
        <v>7</v>
      </c>
      <c r="P297" s="7">
        <f>L297/N297</f>
        <v>7</v>
      </c>
      <c r="Q297" s="7">
        <f>W297+2*S297+2*N297</f>
        <v>541.79999999999995</v>
      </c>
      <c r="R297" s="32">
        <f>S297/N297</f>
        <v>1</v>
      </c>
      <c r="S297" s="7">
        <f>1*N297</f>
        <v>43</v>
      </c>
      <c r="T297" s="32">
        <f>U297/N297</f>
        <v>1.3023255813953489</v>
      </c>
      <c r="U297" s="7">
        <f>40+16</f>
        <v>56</v>
      </c>
      <c r="V297" s="32">
        <f>W297/N297</f>
        <v>8.6</v>
      </c>
      <c r="W297" s="7">
        <f>(9.6-1)*N297</f>
        <v>369.8</v>
      </c>
      <c r="X297" s="7">
        <v>2</v>
      </c>
      <c r="Y297" s="7">
        <f>AN297</f>
        <v>0</v>
      </c>
      <c r="Z297" s="32">
        <f>AA297/N297</f>
        <v>3.2131782945736433</v>
      </c>
      <c r="AA297" s="7">
        <f>2/3*K297-0.5*125</f>
        <v>138.16666666666666</v>
      </c>
      <c r="AB297" s="7">
        <f>MIN(S297/N297+0.5, W297/2/N297+0.5)</f>
        <v>1.5</v>
      </c>
      <c r="AC297" s="7">
        <f>S297/N297+0.5</f>
        <v>1.5</v>
      </c>
      <c r="AD297" s="7">
        <f>2040/510</f>
        <v>4</v>
      </c>
      <c r="AE297" s="7">
        <f>2040/510</f>
        <v>4</v>
      </c>
      <c r="AF297" s="7">
        <f>AE297+1</f>
        <v>5</v>
      </c>
      <c r="AG297" s="7">
        <f>N297*AF297^0.5</f>
        <v>96.150923032490965</v>
      </c>
      <c r="AH297" s="7">
        <f>J297</f>
        <v>606</v>
      </c>
      <c r="AI297" s="7">
        <v>19</v>
      </c>
      <c r="AJ297" s="7">
        <f>(297+328)/2</f>
        <v>312.5</v>
      </c>
      <c r="AK297" s="7"/>
      <c r="AL297" s="4">
        <f>CY297</f>
        <v>0.96129394656467926</v>
      </c>
      <c r="AM297" s="7">
        <v>0</v>
      </c>
      <c r="AN297" s="7">
        <v>0</v>
      </c>
      <c r="AO297" s="7">
        <f>L297</f>
        <v>301</v>
      </c>
      <c r="AP297" s="7"/>
      <c r="AQ297" s="7"/>
      <c r="AR297" s="7">
        <f>3*AS297/(W297+N297)</f>
        <v>2.1875</v>
      </c>
      <c r="AS297" s="4">
        <f>K297</f>
        <v>301</v>
      </c>
      <c r="AT297" s="4">
        <f>IF(K297*3&gt;W297+N297, Q297, (S297+N297/2)*2+1.5*K297*(2*X297-2))*(3*K297)/(9*K297^2)</f>
        <v>0.6</v>
      </c>
      <c r="AU297" s="4">
        <f>MIN(10*M297^0.5*K297^1.5,100*3.9*M297^0.5*K297^(5/3))/(PI()/4*N297^2)/X297</f>
        <v>124.44020328781106</v>
      </c>
      <c r="AV297" s="4">
        <f>MIN(0.7+0.3*(MIN(S297,AA297)+0.5*N297)/1.5/K297,1)</f>
        <v>0.74285714285714277</v>
      </c>
      <c r="AW297" s="4">
        <v>1.25</v>
      </c>
      <c r="AX297" s="4">
        <v>2.5</v>
      </c>
      <c r="AY297" s="38">
        <f>AT297*AV297*AW297*AX297*AU297</f>
        <v>173.32742600802251</v>
      </c>
      <c r="AZ297" s="38">
        <f>AY297</f>
        <v>173.32742600802251</v>
      </c>
      <c r="BA297" s="38">
        <f>IF(M297&lt;50, 0.3*M297^(2/3), 2.12*LN(1+0.1*(M297+8)))</f>
        <v>3.9568075739830846</v>
      </c>
      <c r="BB297" s="38">
        <f>AX297* (M297^0.5/AS297^0.5)/(PI()/4*N297^2)/X297/0.72 *(0.7+(MIN(S297,AA297)+0.5*N297)/5/K297) *(3*Q297*K297)</f>
        <v>173.32742600802277</v>
      </c>
      <c r="BC297" s="38">
        <f>AY297/BB297</f>
        <v>0.99999999999999856</v>
      </c>
      <c r="BD297" s="38">
        <f>BH297/BB297</f>
        <v>1.6581334334630755</v>
      </c>
      <c r="BE297" s="4">
        <f>IF(BD297&lt;1,1,0)</f>
        <v>0</v>
      </c>
      <c r="BF297" s="4">
        <f>L297/N297*M297^0.5/0.19</f>
        <v>254.98356907576408</v>
      </c>
      <c r="BG297" s="4">
        <f>MIN(0.6+0.4*(AC297/AB297),2)</f>
        <v>1</v>
      </c>
      <c r="BH297" s="38">
        <f>2*M297*AB297*AD297^0.5*BG297*0.7/0.7</f>
        <v>287.39999999999998</v>
      </c>
      <c r="BI297" s="4">
        <f>MAX(1-0.7*AE297/5,0.3)</f>
        <v>0.44000000000000006</v>
      </c>
      <c r="BJ297" s="4">
        <f>BI297*J297*L297/(J297*N297/2.75/M297^0.5)</f>
        <v>58.620722530518172</v>
      </c>
      <c r="BK297" s="4">
        <f>BH297+BJ297</f>
        <v>346.02072253051813</v>
      </c>
      <c r="BM297" s="4">
        <f>MIN(1.5, 0.75+0.25*MIN(3,MAX(1,S297/N297))+0.4*MIN(1,(40*2*PI()*AM297^2/4/AO297/X297)/N297))</f>
        <v>1</v>
      </c>
      <c r="BN297" s="4">
        <f>(3*P297+30)*BM297*M297^0.5</f>
        <v>352.97011204916487</v>
      </c>
      <c r="BP297" s="4">
        <f>3.4/PI()^0.5*M297*AB297*AE297^0.5*BG297</f>
        <v>275.65174672976275</v>
      </c>
      <c r="BQ297" s="4">
        <f>8/3*AH297*AI297^2/(AG297-N297-22)/N297*(AG297^2-N297^2)/(AG297^2-(N297+22)^2)</f>
        <v>641.65616063635548</v>
      </c>
      <c r="BR297" s="4">
        <f>BQ297/BP297</f>
        <v>2.3277783226434909</v>
      </c>
      <c r="BZ297" s="4">
        <f>IF(W297=0,S297,MIN(W297/2,S297))</f>
        <v>43</v>
      </c>
      <c r="CD297" s="9"/>
      <c r="CF297" s="9"/>
      <c r="CG297" s="9"/>
      <c r="CH297" s="9">
        <f>IF(W297=0,MIN(S297,U297),MIN(W297/2,S297,U297))</f>
        <v>43</v>
      </c>
      <c r="CI297" s="9">
        <f>MAX(W297/2,S297)</f>
        <v>184.9</v>
      </c>
      <c r="CJ297" s="9">
        <f>(CH297/N297)^0.5*(CI297/CH297)^0.15</f>
        <v>1.2445726940891169</v>
      </c>
      <c r="CK297" s="70">
        <v>0</v>
      </c>
      <c r="CL297" s="9">
        <f>MIN(PI()*AM297^2/4*AN297*2/X297/N297/MAX(0.01,AO297),0.05)</f>
        <v>0</v>
      </c>
      <c r="CM297" s="9">
        <f>MAX(0,CK297*(CL297-0.5/50))</f>
        <v>0</v>
      </c>
      <c r="CN297" s="9">
        <f>MIN(1,(25/N297)^0.3)</f>
        <v>0.84984840943171969</v>
      </c>
      <c r="CO297" s="9">
        <f>IF(J297&gt;=800,0.68,IF(J297&gt;=700,0.75-(J297-700)*0.07/100,IF(J297&gt;=600,0.85-(J297-600)*0.1/100,IF(J297&gt;=500,1-(J297-500)*0.15/100,1.2-(J297-400)*0.2/100))))</f>
        <v>0.84399999999999997</v>
      </c>
      <c r="CP297" s="9">
        <f>1.75*CN297*CO297*(M297/25)^0.5</f>
        <v>1.7374795977330737</v>
      </c>
      <c r="CQ297" s="9">
        <f>MIN((CJ297+CM297)*CP297,2.5*CP297,M297^0.5)</f>
        <v>2.1624196638755264</v>
      </c>
      <c r="CR297" s="9">
        <v>1</v>
      </c>
      <c r="CS297" s="9">
        <f>4*CQ297*P297+60*CQ297</f>
        <v>190.29293042104632</v>
      </c>
      <c r="CU297" s="4">
        <f>AJ297/BF297</f>
        <v>1.225569165623946</v>
      </c>
      <c r="CV297" s="4">
        <f>AJ297/BK297</f>
        <v>0.90312510104777988</v>
      </c>
      <c r="CW297" s="4">
        <f>AJ297/BN297</f>
        <v>0.88534408249407859</v>
      </c>
      <c r="CX297" s="4">
        <f>AJ297/CS297</f>
        <v>1.6422049905298932</v>
      </c>
      <c r="CY297" s="4">
        <f>AJ297/DZ297</f>
        <v>0.96129394656467926</v>
      </c>
      <c r="CZ297" s="4">
        <f>AJ297/EL297</f>
        <v>1.0049803374710342</v>
      </c>
      <c r="DA297" s="4">
        <f>AJ297/GI297</f>
        <v>1.3838937040210169</v>
      </c>
      <c r="DC297" s="4">
        <f>CU297</f>
        <v>1.225569165623946</v>
      </c>
      <c r="DD297" s="4">
        <f>CV297</f>
        <v>0.90312510104777988</v>
      </c>
      <c r="DE297" s="4">
        <f>CX297</f>
        <v>1.6422049905298932</v>
      </c>
      <c r="DF297" s="4">
        <f>DA297</f>
        <v>1.3838937040210169</v>
      </c>
      <c r="DG297" s="4">
        <f>CY297</f>
        <v>0.96129394656467926</v>
      </c>
      <c r="DH297" s="4">
        <f>CZ297</f>
        <v>1.0049803374710342</v>
      </c>
      <c r="DP297" s="4">
        <f>AN297</f>
        <v>0</v>
      </c>
      <c r="DQ297" s="4">
        <f>L297</f>
        <v>301</v>
      </c>
      <c r="DT297" s="4">
        <f>K297/4/(1-0.3*(M297/30)^0.5)/200000/N297</f>
        <v>1.4091943242647847E-5</v>
      </c>
      <c r="DU297" s="4">
        <f>EP297</f>
        <v>6.6896087368323061</v>
      </c>
      <c r="DV297" s="4">
        <f>EC297*AG297/257/M297/AD297</f>
        <v>0.33844812875228814</v>
      </c>
      <c r="DW297" s="4">
        <f>DU297*DV297^0.4</f>
        <v>4.3370813109730566</v>
      </c>
      <c r="DX297" s="4">
        <f>MIN(DU297, DU297/1.4*(1-DV297^1.4)/(1-DV297))</f>
        <v>5.6379680974746442</v>
      </c>
      <c r="DY297" s="4">
        <f>MAX(DU297/2, (4-DT297*(8*AG297*(DW297-DX297)+6*K297*DX297))/(4+DT297*K297*DU297)*DU297)</f>
        <v>6.4276280243738011</v>
      </c>
      <c r="DZ297" s="38">
        <f>MIN(1/N297*(4*AG297*(DW297-DX297)+(3*DX297+DY297)*K297)+EC297 -FJ297,MAX(J297,AJ297))</f>
        <v>325.08266708301164</v>
      </c>
      <c r="EA297" s="4">
        <f>DZ297/FF297</f>
        <v>1.0001192057484978</v>
      </c>
      <c r="EB297" s="4">
        <f>AG297/N297</f>
        <v>2.2360679774997898</v>
      </c>
      <c r="EC297" s="4">
        <f>MIN(EB$10*BB297)</f>
        <v>173.32742600802277</v>
      </c>
      <c r="EG297" s="4">
        <f>IF(U297&gt;1*N297,0.85,1)</f>
        <v>0.85</v>
      </c>
      <c r="EH297" s="4">
        <f>MIN(1,MAX(0.7,(1-0.1*(BZ297-1*N297)/N297)))</f>
        <v>1</v>
      </c>
      <c r="EI297" s="4">
        <f>MIN(1,MAX(0.7,1-0.3*(PI()*AM297^2/4*AQ297*2-0.25*PI()/4*N297^2)/(PI()/4*N297^2)))</f>
        <v>1</v>
      </c>
      <c r="EJ297" s="4">
        <f>IF(EH297*EI297&lt;0.7,0.7,EH297*EI297)</f>
        <v>1</v>
      </c>
      <c r="EL297" s="4">
        <f>MIN(DU297/N297*3*K297+EM297-FJ297,MAX(J297,AJ297))</f>
        <v>310.95135730355219</v>
      </c>
      <c r="EM297" s="25">
        <f>13.3*Q297*K297^0.5*M297^0.5/X297/N297^2*(0.7+S297/5/K297)</f>
        <v>170.46957383007376</v>
      </c>
      <c r="EP297" s="4">
        <f>IF(N297&lt;22.2,1.1*5*(M297/30)^0.5,IF(N297&gt;=31.8,0.9*5*(M297/30)^0.5,1*5*(M297/30)^0.5))/EG297/EJ297</f>
        <v>6.6896087368323061</v>
      </c>
      <c r="ES297" s="4">
        <f>ET297*N297</f>
        <v>96.150923032490965</v>
      </c>
      <c r="ET297" s="4">
        <f>AF297^0.5</f>
        <v>2.2360679774997898</v>
      </c>
      <c r="EU297" s="4">
        <f>MIN(EC297)/(4700*M297^0.5)/AE297*ES297</f>
        <v>0.12808407592670423</v>
      </c>
      <c r="EX297" s="4">
        <f>EU297</f>
        <v>0.12808407592670423</v>
      </c>
      <c r="EY297" s="4">
        <f>MIN(0.999, EX297/(0.3*(M297/30)^0.5))</f>
        <v>0.33788332190355697</v>
      </c>
      <c r="EZ297" s="4">
        <f>EP297/1*EY297^0.4</f>
        <v>4.3341847481064635</v>
      </c>
      <c r="FA297" s="4">
        <f>EP297/1.4*(1-EY297^1.4)/(1-EY297)</f>
        <v>5.6368571639286049</v>
      </c>
      <c r="FB297" s="4">
        <f>MAX(0,DQ297*FB$9-ES297)</f>
        <v>129.59907696750903</v>
      </c>
      <c r="FC297" s="4">
        <f>MAX(0,DQ297-ES297-FB297)</f>
        <v>75.25</v>
      </c>
      <c r="FD297" s="4">
        <f>FC297/(1-0.3*(M297/30)^0.5)/200000/N297</f>
        <v>1.4091943242647847E-5</v>
      </c>
      <c r="FE297" s="4">
        <f>MAX(0.5*EP297, (1-2*FD297*(ES297*EZ297+FB297*FA297))/(1/EP297+FD297*FC297))</f>
        <v>6.4277071179258733</v>
      </c>
      <c r="FF297" s="4">
        <f>MIN(4/N297*(1*EZ297*ES297+FA297*FB297+FC297*FE297)+EC297,MAX(J297,AJ297))</f>
        <v>325.04391997923585</v>
      </c>
      <c r="FO297" s="23">
        <f>IF(CU297&lt;0.6,0.6,IF(CU297&lt;0.8,0.8,IF(CU297&lt;1,1,IF(CU297&lt;1.2,1.2,IF(CU297&lt;1.4,1.4,IF(CU297&lt;1.6,1.6,IF(CU297&lt;1.8,1.8,IF(CU297&lt;2,2,2.2))))))))</f>
        <v>1.4</v>
      </c>
      <c r="FP297" s="23">
        <f>IF(CV297&lt;0.6,0.6,IF(CV297&lt;0.8,0.8,IF(CV297&lt;1,1,IF(CV297&lt;1.2,1.2,IF(CV297&lt;1.4,1.4,IF(CV297&lt;1.6,1.6,IF(CV297&lt;1.8,1.8,IF(CV297&lt;2,2,2.2))))))))</f>
        <v>1</v>
      </c>
      <c r="FQ297" s="23">
        <f>IF(DA297&lt;0.6,0.6,IF(DA297&lt;0.8,0.8,IF(DA297&lt;1,1,IF(DA297&lt;1.2,1.2,IF(DA297&lt;1.4,1.4,IF(DA297&lt;1.6,1.6,IF(DA297&lt;1.8,1.8,IF(DA297&lt;2,2,2.2))))))))</f>
        <v>1.4</v>
      </c>
      <c r="FR297" s="23">
        <f>IF(CX297&lt;0.6,0.6,IF(CX297&lt;0.8,0.8,IF(CX297&lt;1,1,IF(CX297&lt;1.2,1.2,IF(CX297&lt;1.4,1.4,IF(CX297&lt;1.6,1.6,IF(CX297&lt;1.8,1.8,IF(CX297&lt;2,2,2.2))))))))</f>
        <v>1.8</v>
      </c>
      <c r="FS297" s="23">
        <f>IF(CY297&lt;0.6,0.6,IF(CY297&lt;0.8,0.8,IF(CY297&lt;1,1,IF(CY297&lt;1.2,1.2,IF(CY297&lt;1.4,1.4,IF(CY297&lt;1.6,1.6,IF(CY297&lt;1.8,1.8,IF(CY297&lt;2,2,2.2))))))))</f>
        <v>1</v>
      </c>
      <c r="FT297" s="23">
        <f>IF(CZ297&lt;0.6,0.6,IF(CZ297&lt;0.8,0.8,IF(CZ297&lt;1,1,IF(CZ297&lt;1.2,1.2,IF(CZ297&lt;1.4,1.4,IF(CZ297&lt;1.6,1.6,IF(CZ297&lt;1.8,1.8,IF(CZ297&lt;2,2,2.2))))))))</f>
        <v>1.2</v>
      </c>
      <c r="FU297" s="23">
        <f>IF(FS297&lt;1,1,0)</f>
        <v>0</v>
      </c>
      <c r="FV297" s="23"/>
      <c r="GF297" s="4">
        <f>IF(S297&gt;=2.5*25.4,1,1.25)</f>
        <v>1.25</v>
      </c>
      <c r="GG297" s="4">
        <f>IF(AO297&gt;1, 0.05*(18-MIN(8,(W297+N297)/N297))*(1-48000/MAX(60000,(J297*145))*(N297/25.4)^0.75*GH297), 1/12*(14-MIN(8,(W297+N297)/N297)))</f>
        <v>0.5</v>
      </c>
      <c r="GH297" s="4">
        <f>MIN(0.3, AM297^2*PI()/4*2*AP297/(N297^2*PI()/4*X297))</f>
        <v>0</v>
      </c>
      <c r="GI297" s="4">
        <f>(K297/25.4)/(N297/25.4)^1.5/0.0024*(M297*145)^0.25/GF297/GG297/145</f>
        <v>225.81214084001218</v>
      </c>
    </row>
    <row r="298" spans="1:191" ht="12" customHeight="1" x14ac:dyDescent="0.3">
      <c r="A298" s="25">
        <v>148</v>
      </c>
      <c r="B298" s="24" t="s">
        <v>128</v>
      </c>
      <c r="C298" s="24">
        <v>2017</v>
      </c>
      <c r="D298" s="24" t="s">
        <v>309</v>
      </c>
      <c r="E298" s="24"/>
      <c r="F298" s="115" t="s">
        <v>780</v>
      </c>
      <c r="G298" s="109" t="s">
        <v>787</v>
      </c>
      <c r="H298" s="4" t="s">
        <v>156</v>
      </c>
      <c r="I298" s="5">
        <f>K298/N298</f>
        <v>7</v>
      </c>
      <c r="J298" s="72">
        <v>606</v>
      </c>
      <c r="K298" s="103">
        <f>7*N298</f>
        <v>301</v>
      </c>
      <c r="L298" s="7">
        <f>K298</f>
        <v>301</v>
      </c>
      <c r="M298" s="103">
        <v>47.9</v>
      </c>
      <c r="N298" s="88">
        <v>43</v>
      </c>
      <c r="O298" s="7">
        <f>K298/N298</f>
        <v>7</v>
      </c>
      <c r="P298" s="7">
        <f>L298/N298</f>
        <v>7</v>
      </c>
      <c r="Q298" s="7">
        <f>W298+2*S298+2*N298</f>
        <v>541.79999999999995</v>
      </c>
      <c r="R298" s="32">
        <f>S298/N298</f>
        <v>1</v>
      </c>
      <c r="S298" s="7">
        <f>1*N298</f>
        <v>43</v>
      </c>
      <c r="T298" s="32">
        <f>U298/N298</f>
        <v>1.3023255813953489</v>
      </c>
      <c r="U298" s="7">
        <f>40+16</f>
        <v>56</v>
      </c>
      <c r="V298" s="32">
        <f>W298/N298</f>
        <v>8.6</v>
      </c>
      <c r="W298" s="7">
        <f>(9.6-1)*N298</f>
        <v>369.8</v>
      </c>
      <c r="X298" s="7">
        <v>2</v>
      </c>
      <c r="Y298" s="7">
        <f>AN298</f>
        <v>1</v>
      </c>
      <c r="Z298" s="32">
        <f>AA298/N298</f>
        <v>3.2131782945736433</v>
      </c>
      <c r="AA298" s="7">
        <f>2/3*K298-0.5*125</f>
        <v>138.16666666666666</v>
      </c>
      <c r="AB298" s="7">
        <f>MIN(S298/N298+0.5, W298/2/N298+0.5)</f>
        <v>1.5</v>
      </c>
      <c r="AC298" s="7">
        <f>S298/N298+0.5</f>
        <v>1.5</v>
      </c>
      <c r="AD298" s="7">
        <f>2040/510</f>
        <v>4</v>
      </c>
      <c r="AE298" s="7">
        <f>2040/510</f>
        <v>4</v>
      </c>
      <c r="AF298" s="7">
        <f>AE298+1</f>
        <v>5</v>
      </c>
      <c r="AG298" s="7">
        <f>N298*AF298^0.5</f>
        <v>96.150923032490965</v>
      </c>
      <c r="AH298" s="7">
        <f>J298</f>
        <v>606</v>
      </c>
      <c r="AI298" s="7">
        <v>19</v>
      </c>
      <c r="AJ298" s="7">
        <f>(449+385)/2</f>
        <v>417</v>
      </c>
      <c r="AK298" s="7"/>
      <c r="AL298" s="4">
        <f>CY298</f>
        <v>1.2785719938235214</v>
      </c>
      <c r="AM298" s="7">
        <v>15.9</v>
      </c>
      <c r="AN298" s="7">
        <v>1</v>
      </c>
      <c r="AO298" s="7">
        <v>370</v>
      </c>
      <c r="AP298" s="7">
        <v>2</v>
      </c>
      <c r="AQ298" s="7">
        <f>AN298</f>
        <v>1</v>
      </c>
      <c r="AR298" s="7">
        <f>3*AS298/(W298+N298)</f>
        <v>2.1875</v>
      </c>
      <c r="AS298" s="4">
        <f>K298</f>
        <v>301</v>
      </c>
      <c r="AT298" s="4">
        <f>IF(K298*3&gt;W298+N298, Q298, (S298+N298/2)*2+1.5*K298*(2*X298-2))*(3*K298)/(9*K298^2)</f>
        <v>0.6</v>
      </c>
      <c r="AU298" s="4">
        <f>MIN(10*M298^0.5*K298^1.5,100*3.9*M298^0.5*K298^(5/3))/(PI()/4*N298^2)/X298</f>
        <v>124.44020328781106</v>
      </c>
      <c r="AV298" s="4">
        <f>MIN(0.7+0.3*(MIN(S298,AA298)+0.5*N298)/1.5/K298,1)</f>
        <v>0.74285714285714277</v>
      </c>
      <c r="AW298" s="4">
        <v>1.25</v>
      </c>
      <c r="AX298" s="4">
        <f>AX297</f>
        <v>2.5</v>
      </c>
      <c r="AY298" s="38">
        <f>AT298*AV298*AW298*AX298*AU298</f>
        <v>173.32742600802251</v>
      </c>
      <c r="AZ298" s="38">
        <f>AY298</f>
        <v>173.32742600802251</v>
      </c>
      <c r="BA298" s="38">
        <f>IF(M298&lt;50, 0.3*M298^(2/3), 2.12*LN(1+0.1*(M298+8)))</f>
        <v>3.9568075739830846</v>
      </c>
      <c r="BB298" s="38">
        <f>AX298* (M298^0.5/AS298^0.5)/(PI()/4*N298^2)/X298/0.72 *(0.7+(MIN(S298,AA298)+0.5*N298)/5/K298) *(3*Q298*K298)</f>
        <v>173.32742600802277</v>
      </c>
      <c r="BC298" s="38">
        <f>AY298/BB298</f>
        <v>0.99999999999999856</v>
      </c>
      <c r="BD298" s="38">
        <f>BH298/BB298</f>
        <v>1.6581334334630755</v>
      </c>
      <c r="BE298" s="4">
        <f>IF(BD298&lt;1,1,0)</f>
        <v>0</v>
      </c>
      <c r="BF298" s="4">
        <f>L298/N298*M298^0.5/0.19</f>
        <v>254.98356907576408</v>
      </c>
      <c r="BG298" s="4">
        <f>MIN(0.6+0.4*(AC298/AB298),2)</f>
        <v>1</v>
      </c>
      <c r="BH298" s="38">
        <f>2*M298*AB298*AD298^0.5*BG298*0.7/0.7</f>
        <v>287.39999999999998</v>
      </c>
      <c r="BI298" s="4">
        <f>MAX(1-0.7*AE298/5,0.3)</f>
        <v>0.44000000000000006</v>
      </c>
      <c r="BJ298" s="4">
        <f>BI298*J298*L298/(J298*N298/2.75/M298^0.5)</f>
        <v>58.620722530518172</v>
      </c>
      <c r="BK298" s="4">
        <f>BH298+BJ298</f>
        <v>346.02072253051813</v>
      </c>
      <c r="BM298" s="4">
        <f>MIN(1.5, 0.75+0.25*MIN(3,MAX(1,S298/N298))+0.4*MIN(1,(40*2*PI()*AM298^2/4/AO298/X298)/N298))</f>
        <v>1.1996797080462691</v>
      </c>
      <c r="BN298" s="4">
        <f>(3*P298+30)*BM298*M298^0.5</f>
        <v>423.451080972201</v>
      </c>
      <c r="BP298" s="4">
        <f>3.4/PI()^0.5*M298*AB298*AE298^0.5*BG298</f>
        <v>275.65174672976275</v>
      </c>
      <c r="BQ298" s="4">
        <f>8/3*AH298*AI298^2/(AG298-N298-22)/N298*(AG298^2-N298^2)/(AG298^2-(N298+22)^2)</f>
        <v>641.65616063635548</v>
      </c>
      <c r="BR298" s="4">
        <f>BQ298/BP298</f>
        <v>2.3277783226434909</v>
      </c>
      <c r="BZ298" s="4">
        <f>IF(W298=0,S298,MIN(W298/2,S298))</f>
        <v>43</v>
      </c>
      <c r="CD298" s="9"/>
      <c r="CF298" s="9"/>
      <c r="CG298" s="9"/>
      <c r="CH298" s="9">
        <f>IF(W298=0,MIN(S298,U298),MIN(W298/2,S298,U298))</f>
        <v>43</v>
      </c>
      <c r="CI298" s="9">
        <f>MAX(W298/2,S298)</f>
        <v>184.9</v>
      </c>
      <c r="CJ298" s="9">
        <f>(CH298/N298)^0.5*(CI298/CH298)^0.15</f>
        <v>1.2445726940891169</v>
      </c>
      <c r="CK298" s="70">
        <v>20</v>
      </c>
      <c r="CL298" s="9">
        <f>MIN(PI()*AM298^2/4*AN298*2/X298/N298/MAX(0.01,AO298),0.05)</f>
        <v>1.2479981752891823E-2</v>
      </c>
      <c r="CM298" s="9">
        <f>MAX(0,CK298*(CL298-0.5/50))</f>
        <v>4.9599635057836454E-2</v>
      </c>
      <c r="CN298" s="9">
        <f>MIN(1,(25/N298)^0.3)</f>
        <v>0.84984840943171969</v>
      </c>
      <c r="CO298" s="9">
        <f>IF(J298&gt;=800,0.68,IF(J298&gt;=700,0.75-(J298-700)*0.07/100,IF(J298&gt;=600,0.85-(J298-600)*0.1/100,IF(J298&gt;=500,1-(J298-500)*0.15/100,1.2-(J298-400)*0.2/100))))</f>
        <v>0.84399999999999997</v>
      </c>
      <c r="CP298" s="9">
        <f>1.75*CN298*CO298*(M298/25)^0.5</f>
        <v>1.7374795977330737</v>
      </c>
      <c r="CQ298" s="9">
        <f>MIN((CJ298+CM298)*CP298,2.5*CP298,M298^0.5)</f>
        <v>2.2485980178435234</v>
      </c>
      <c r="CR298" s="9">
        <v>1</v>
      </c>
      <c r="CS298" s="9">
        <f>4*CQ298*P298+60*CQ298</f>
        <v>197.87662557023009</v>
      </c>
      <c r="CU298" s="4">
        <f>AJ298/BF298</f>
        <v>1.6353994946085937</v>
      </c>
      <c r="CV298" s="4">
        <f>AJ298/BK298</f>
        <v>1.2051301348381576</v>
      </c>
      <c r="CW298" s="4">
        <f>AJ298/BN298</f>
        <v>0.98476546344529348</v>
      </c>
      <c r="CX298" s="4">
        <f>AJ298/CS298</f>
        <v>2.1073737173267033</v>
      </c>
      <c r="CY298" s="4">
        <f>AJ298/DZ298</f>
        <v>1.2785719938235214</v>
      </c>
      <c r="CZ298" s="4">
        <f>AJ298/EL298</f>
        <v>1.336765961716297</v>
      </c>
      <c r="DA298" s="4">
        <f>AJ298/GI298</f>
        <v>1.4372631142025567</v>
      </c>
      <c r="DI298" s="4">
        <f>CU298</f>
        <v>1.6353994946085937</v>
      </c>
      <c r="DJ298" s="4">
        <f>CV298</f>
        <v>1.2051301348381576</v>
      </c>
      <c r="DK298" s="4">
        <f>CX298</f>
        <v>2.1073737173267033</v>
      </c>
      <c r="DL298" s="4">
        <f>DA298</f>
        <v>1.4372631142025567</v>
      </c>
      <c r="DM298" s="4">
        <f>CY298</f>
        <v>1.2785719938235214</v>
      </c>
      <c r="DN298" s="4">
        <f>CZ298</f>
        <v>1.336765961716297</v>
      </c>
      <c r="DP298" s="4">
        <f>AN298</f>
        <v>1</v>
      </c>
      <c r="DQ298" s="4">
        <f>L298</f>
        <v>301</v>
      </c>
      <c r="DT298" s="4">
        <f>K298/4/(1-0.3*(M298/30)^0.5)/200000/N298</f>
        <v>1.4091943242647847E-5</v>
      </c>
      <c r="DU298" s="4">
        <f>EP298</f>
        <v>6.7370156108794408</v>
      </c>
      <c r="DV298" s="4">
        <f>EC298*AG298/257/M298/AD298</f>
        <v>0.33844812875228814</v>
      </c>
      <c r="DW298" s="4">
        <f>DU298*DV298^0.4</f>
        <v>4.3678166612050413</v>
      </c>
      <c r="DX298" s="4">
        <f>MIN(DU298, DU298/1.4*(1-DV298^1.4)/(1-DV298))</f>
        <v>5.6779223689415446</v>
      </c>
      <c r="DY298" s="4">
        <f>MAX(DU298/2, (4-DT298*(8*AG298*(DW298-DX298)+6*K298*DX298))/(4+DT298*K298*DU298)*DU298)</f>
        <v>6.4713218762920217</v>
      </c>
      <c r="DZ298" s="38">
        <f>MIN(1/N298*(4*AG298*(DW298-DX298)+(3*DX298+DY298)*K298)+EC298 -FJ298,MAX(J298,AJ298))</f>
        <v>326.14510720900216</v>
      </c>
      <c r="EA298" s="4">
        <f>DZ298/FF298</f>
        <v>1.0001196474663594</v>
      </c>
      <c r="EB298" s="4">
        <f>AG298/N298</f>
        <v>2.2360679774997898</v>
      </c>
      <c r="EC298" s="4">
        <f>MIN(EB$10*BB298)</f>
        <v>173.32742600802277</v>
      </c>
      <c r="EG298" s="4">
        <f>IF(U298&gt;1*N298,0.85,1)</f>
        <v>0.85</v>
      </c>
      <c r="EH298" s="4">
        <f>MIN(1,MAX(0.7,(1-0.1*(BZ298-1*N298)/N298)))</f>
        <v>1</v>
      </c>
      <c r="EI298" s="4">
        <f>MIN(1,MAX(0.7,1-0.3*(PI()*AM298^2/4*AQ298*2-0.25*PI()/4*N298^2)/(PI()/4*N298^2)))</f>
        <v>0.99296322336398057</v>
      </c>
      <c r="EJ298" s="4">
        <f>IF(EH298*EI298&lt;0.7,0.7,EH298*EI298)</f>
        <v>0.99296322336398057</v>
      </c>
      <c r="EL298" s="4">
        <f>MIN(DU298/N298*3*K298+EM298-FJ298,MAX(J298,AJ298))</f>
        <v>311.946901658542</v>
      </c>
      <c r="EM298" s="25">
        <f>13.3*Q298*K298^0.5*M298^0.5/X298/N298^2*(0.7+S298/5/K298)</f>
        <v>170.46957383007376</v>
      </c>
      <c r="EP298" s="4">
        <f>IF(N298&lt;22.2,1.1*5*(M298/30)^0.5,IF(N298&gt;=31.8,0.9*5*(M298/30)^0.5,1*5*(M298/30)^0.5))/EG298/EJ298</f>
        <v>6.7370156108794408</v>
      </c>
      <c r="ES298" s="4">
        <f>ET298*N298</f>
        <v>96.150923032490965</v>
      </c>
      <c r="ET298" s="4">
        <f>AF298^0.5</f>
        <v>2.2360679774997898</v>
      </c>
      <c r="EU298" s="4">
        <f>MIN(EC298)/(4700*M298^0.5)/AE298*ES298</f>
        <v>0.12808407592670423</v>
      </c>
      <c r="EX298" s="4">
        <f>EU298</f>
        <v>0.12808407592670423</v>
      </c>
      <c r="EY298" s="4">
        <f>MIN(0.999, EX298/(0.3*(M298/30)^0.5))</f>
        <v>0.33788332190355697</v>
      </c>
      <c r="EZ298" s="4">
        <f>EP298/1*EY298^0.4</f>
        <v>4.3648995714292678</v>
      </c>
      <c r="FA298" s="4">
        <f>EP298/1.4*(1-EY298^1.4)/(1-EY298)</f>
        <v>5.6768035626052171</v>
      </c>
      <c r="FB298" s="4">
        <f>MAX(0,DQ298*FB$9-ES298)</f>
        <v>129.59907696750903</v>
      </c>
      <c r="FC298" s="4">
        <f>MAX(0,DQ298-ES298-FB298)</f>
        <v>75.25</v>
      </c>
      <c r="FD298" s="4">
        <f>FC298/(1-0.3*(M298/30)^0.5)/200000/N298</f>
        <v>1.4091943242647847E-5</v>
      </c>
      <c r="FE298" s="4">
        <f>MAX(0.5*EP298, (1-2*FD298*(ES298*EZ298+FB298*FA298))/(1/EP298+FD298*FC298))</f>
        <v>6.471402090827798</v>
      </c>
      <c r="FF298" s="4">
        <f>MIN(4/N298*(1*EZ298*ES298+FA298*FB298+FC298*FE298)+EC298,MAX(J298,AJ298))</f>
        <v>326.10608944163607</v>
      </c>
      <c r="FO298" s="23">
        <f>IF(CU298&lt;0.6,0.6,IF(CU298&lt;0.8,0.8,IF(CU298&lt;1,1,IF(CU298&lt;1.2,1.2,IF(CU298&lt;1.4,1.4,IF(CU298&lt;1.6,1.6,IF(CU298&lt;1.8,1.8,IF(CU298&lt;2,2,2.2))))))))</f>
        <v>1.8</v>
      </c>
      <c r="FP298" s="23">
        <f>IF(CV298&lt;0.6,0.6,IF(CV298&lt;0.8,0.8,IF(CV298&lt;1,1,IF(CV298&lt;1.2,1.2,IF(CV298&lt;1.4,1.4,IF(CV298&lt;1.6,1.6,IF(CV298&lt;1.8,1.8,IF(CV298&lt;2,2,2.2))))))))</f>
        <v>1.4</v>
      </c>
      <c r="FQ298" s="23">
        <f>IF(DA298&lt;0.6,0.6,IF(DA298&lt;0.8,0.8,IF(DA298&lt;1,1,IF(DA298&lt;1.2,1.2,IF(DA298&lt;1.4,1.4,IF(DA298&lt;1.6,1.6,IF(DA298&lt;1.8,1.8,IF(DA298&lt;2,2,2.2))))))))</f>
        <v>1.6</v>
      </c>
      <c r="FR298" s="23">
        <f>IF(CX298&lt;0.6,0.6,IF(CX298&lt;0.8,0.8,IF(CX298&lt;1,1,IF(CX298&lt;1.2,1.2,IF(CX298&lt;1.4,1.4,IF(CX298&lt;1.6,1.6,IF(CX298&lt;1.8,1.8,IF(CX298&lt;2,2,2.2))))))))</f>
        <v>2.2000000000000002</v>
      </c>
      <c r="FS298" s="23">
        <f>IF(CY298&lt;0.6,0.6,IF(CY298&lt;0.8,0.8,IF(CY298&lt;1,1,IF(CY298&lt;1.2,1.2,IF(CY298&lt;1.4,1.4,IF(CY298&lt;1.6,1.6,IF(CY298&lt;1.8,1.8,IF(CY298&lt;2,2,2.2))))))))</f>
        <v>1.4</v>
      </c>
      <c r="FT298" s="23">
        <f>IF(CZ298&lt;0.6,0.6,IF(CZ298&lt;0.8,0.8,IF(CZ298&lt;1,1,IF(CZ298&lt;1.2,1.2,IF(CZ298&lt;1.4,1.4,IF(CZ298&lt;1.6,1.6,IF(CZ298&lt;1.8,1.8,IF(CZ298&lt;2,2,2.2))))))))</f>
        <v>1.4</v>
      </c>
      <c r="FU298" s="23">
        <f>IF(FS298&lt;1,1,0)</f>
        <v>0</v>
      </c>
      <c r="FV298" s="23"/>
      <c r="GF298" s="4">
        <f>IF(S298&gt;=2.5*25.4,1,1.25)</f>
        <v>1.25</v>
      </c>
      <c r="GG298" s="4">
        <f>IF(AO298&gt;1, 0.05*(18-MIN(8,(W298+N298)/N298))*(1-48000/MAX(60000,(J298*145))*(N298/25.4)^0.75*GH298), 1/12*(14-MIN(8,(W298+N298)/N298)))</f>
        <v>0.38915043257609383</v>
      </c>
      <c r="GH298" s="4">
        <f>MIN(0.3, AM298^2*PI()/4*2*AP298/(N298^2*PI()/4*X298))</f>
        <v>0.27345592212006492</v>
      </c>
      <c r="GI298" s="4">
        <f>(K298/25.4)/(N298/25.4)^1.5/0.0024*(M298*145)^0.25/GF298/GG298/145</f>
        <v>290.13476786494033</v>
      </c>
    </row>
    <row r="299" spans="1:191" ht="12" customHeight="1" x14ac:dyDescent="0.3">
      <c r="A299" s="25">
        <v>149</v>
      </c>
      <c r="B299" s="24" t="s">
        <v>128</v>
      </c>
      <c r="C299" s="24">
        <v>2017</v>
      </c>
      <c r="D299" s="24" t="s">
        <v>309</v>
      </c>
      <c r="E299" s="24"/>
      <c r="F299" s="115"/>
      <c r="G299" s="109" t="s">
        <v>787</v>
      </c>
      <c r="H299" s="4" t="s">
        <v>157</v>
      </c>
      <c r="I299" s="5">
        <f>K299/N299</f>
        <v>7</v>
      </c>
      <c r="J299" s="72">
        <v>606</v>
      </c>
      <c r="K299" s="103">
        <f>7*N299</f>
        <v>301</v>
      </c>
      <c r="L299" s="7">
        <f>K299</f>
        <v>301</v>
      </c>
      <c r="M299" s="84">
        <v>68.2</v>
      </c>
      <c r="N299" s="88">
        <v>43</v>
      </c>
      <c r="O299" s="7">
        <f>K299/N299</f>
        <v>7</v>
      </c>
      <c r="P299" s="7">
        <f>L299/N299</f>
        <v>7</v>
      </c>
      <c r="Q299" s="7">
        <f>W299+2*S299+2*N299</f>
        <v>541.79999999999995</v>
      </c>
      <c r="R299" s="32">
        <f>S299/N299</f>
        <v>1</v>
      </c>
      <c r="S299" s="7">
        <f>1*N299</f>
        <v>43</v>
      </c>
      <c r="T299" s="32">
        <f>U299/N299</f>
        <v>1.3023255813953489</v>
      </c>
      <c r="U299" s="7">
        <f>40+16</f>
        <v>56</v>
      </c>
      <c r="V299" s="32">
        <f>W299/N299</f>
        <v>8.6</v>
      </c>
      <c r="W299" s="7">
        <f>(9.6-1)*N299</f>
        <v>369.8</v>
      </c>
      <c r="X299" s="7">
        <v>2</v>
      </c>
      <c r="Y299" s="7">
        <f>AN299</f>
        <v>0</v>
      </c>
      <c r="Z299" s="32">
        <f>AA299/N299</f>
        <v>3.2131782945736433</v>
      </c>
      <c r="AA299" s="7">
        <f>2/3*K299-0.5*125</f>
        <v>138.16666666666666</v>
      </c>
      <c r="AB299" s="7">
        <f>MIN(S299/N299+0.5, W299/2/N299+0.5)</f>
        <v>1.5</v>
      </c>
      <c r="AC299" s="7">
        <f>S299/N299+0.5</f>
        <v>1.5</v>
      </c>
      <c r="AD299" s="7">
        <f>2040/510</f>
        <v>4</v>
      </c>
      <c r="AE299" s="7">
        <f>2040/510</f>
        <v>4</v>
      </c>
      <c r="AF299" s="7">
        <f>AE299+1</f>
        <v>5</v>
      </c>
      <c r="AG299" s="7">
        <f>N299*AF299^0.5</f>
        <v>96.150923032490965</v>
      </c>
      <c r="AH299" s="7">
        <f>J299</f>
        <v>606</v>
      </c>
      <c r="AI299" s="7">
        <v>19</v>
      </c>
      <c r="AJ299" s="7">
        <f>(501+501)/2</f>
        <v>501</v>
      </c>
      <c r="AK299" s="7"/>
      <c r="AL299" s="4">
        <f>CY299</f>
        <v>1.3098915185197448</v>
      </c>
      <c r="AM299" s="7">
        <v>0</v>
      </c>
      <c r="AN299" s="7">
        <v>0</v>
      </c>
      <c r="AO299" s="7">
        <f>L299</f>
        <v>301</v>
      </c>
      <c r="AP299" s="7"/>
      <c r="AQ299" s="7"/>
      <c r="AR299" s="7">
        <f>3*AS299/(W299+N299)</f>
        <v>2.1875</v>
      </c>
      <c r="AS299" s="4">
        <f>K299</f>
        <v>301</v>
      </c>
      <c r="AT299" s="4">
        <f>IF(K299*3&gt;W299+N299, Q299, (S299+N299/2)*2+1.5*K299*(2*X299-2))*(3*K299)/(9*K299^2)</f>
        <v>0.6</v>
      </c>
      <c r="AU299" s="4">
        <f>MIN(10*M299^0.5*K299^1.5,100*3.9*M299^0.5*K299^(5/3))/(PI()/4*N299^2)/X299</f>
        <v>148.48587499878823</v>
      </c>
      <c r="AV299" s="4">
        <f>MIN(0.7+0.3*(MIN(S299,AA299)+0.5*N299)/1.5/K299,1)</f>
        <v>0.74285714285714277</v>
      </c>
      <c r="AW299" s="4">
        <v>1.25</v>
      </c>
      <c r="AX299" s="4">
        <f>AX298</f>
        <v>2.5</v>
      </c>
      <c r="AY299" s="38">
        <f>AT299*AV299*AW299*AX299*AU299</f>
        <v>206.81961160545501</v>
      </c>
      <c r="AZ299" s="38">
        <f>AY299</f>
        <v>206.81961160545501</v>
      </c>
      <c r="BA299" s="38">
        <f>IF(M299&lt;50, 0.3*M299^(2/3), 2.12*LN(1+0.1*(M299+8)))</f>
        <v>4.5666603795122764</v>
      </c>
      <c r="BB299" s="38">
        <f>AX299* (M299^0.5/AS299^0.5)/(PI()/4*N299^2)/X299/0.72 *(0.7+(MIN(S299,AA299)+0.5*N299)/5/K299) *(3*Q299*K299)</f>
        <v>206.81961160545529</v>
      </c>
      <c r="BC299" s="38">
        <f>AY299/BB299</f>
        <v>0.99999999999999867</v>
      </c>
      <c r="BD299" s="38">
        <f>BH299/BB299</f>
        <v>1.9785357724228825</v>
      </c>
      <c r="BE299" s="4">
        <f>IF(BD299&lt;1,1,0)</f>
        <v>0</v>
      </c>
      <c r="BF299" s="4">
        <f>L299/N299*M299^0.5/0.19</f>
        <v>304.25423106197485</v>
      </c>
      <c r="BG299" s="4">
        <f>MIN(0.6+0.4*(AC299/AB299),2)</f>
        <v>1</v>
      </c>
      <c r="BH299" s="38">
        <f>2*M299*AB299*AD299^0.5*BG299*0.7/0.7</f>
        <v>409.20000000000005</v>
      </c>
      <c r="BI299" s="4">
        <f>MAX(1-0.7*AE299/5,0.3)</f>
        <v>0.44000000000000006</v>
      </c>
      <c r="BJ299" s="4">
        <f>BI299*J299*L299/(J299*N299/2.75/M299^0.5)</f>
        <v>69.948047721148029</v>
      </c>
      <c r="BK299" s="4">
        <f>BH299+BJ299</f>
        <v>479.14804772114809</v>
      </c>
      <c r="BM299" s="4">
        <f>MIN(1.5, 0.75+0.25*MIN(3,MAX(1,S299/N299))+0.4*MIN(1,(40*2*PI()*AM299^2/4/AO299/X299)/N299))</f>
        <v>1</v>
      </c>
      <c r="BN299" s="4">
        <f>(3*P299+30)*BM299*M299^0.5</f>
        <v>421.17478557007666</v>
      </c>
      <c r="BP299" s="4">
        <f>3.4/PI()^0.5*M299*AB299*AE299^0.5*BG299</f>
        <v>392.47284189916127</v>
      </c>
      <c r="BQ299" s="4">
        <f>8/3*AH299*AI299^2/(AG299-N299-22)/N299*(AG299^2-N299^2)/(AG299^2-(N299+22)^2)</f>
        <v>641.65616063635548</v>
      </c>
      <c r="BR299" s="4">
        <f>BQ299/BP299</f>
        <v>1.6349058893639763</v>
      </c>
      <c r="BZ299" s="4">
        <f>IF(W299=0,S299,MIN(W299/2,S299))</f>
        <v>43</v>
      </c>
      <c r="CD299" s="9"/>
      <c r="CF299" s="9"/>
      <c r="CG299" s="9"/>
      <c r="CH299" s="9">
        <f>IF(W299=0,MIN(S299,U299),MIN(W299/2,S299,U299))</f>
        <v>43</v>
      </c>
      <c r="CI299" s="9">
        <f>MAX(W299/2,S299)</f>
        <v>184.9</v>
      </c>
      <c r="CJ299" s="9">
        <f>(CH299/N299)^0.5*(CI299/CH299)^0.15</f>
        <v>1.2445726940891169</v>
      </c>
      <c r="CK299" s="70">
        <v>0</v>
      </c>
      <c r="CL299" s="9">
        <f>MIN(PI()*AM299^2/4*AN299*2/X299/N299/MAX(0.01,AO299),0.05)</f>
        <v>0</v>
      </c>
      <c r="CM299" s="9">
        <f>MAX(0,CK299*(CL299-0.5/50))</f>
        <v>0</v>
      </c>
      <c r="CN299" s="9">
        <f>MIN(1,(25/N299)^0.3)</f>
        <v>0.84984840943171969</v>
      </c>
      <c r="CO299" s="9">
        <f>IF(J299&gt;=800,0.68,IF(J299&gt;=700,0.75-(J299-700)*0.07/100,IF(J299&gt;=600,0.85-(J299-600)*0.1/100,IF(J299&gt;=500,1-(J299-500)*0.15/100,1.2-(J299-400)*0.2/100))))</f>
        <v>0.84399999999999997</v>
      </c>
      <c r="CP299" s="9">
        <f>1.75*CN299*CO299*(M299/25)^0.5</f>
        <v>2.0732140541850779</v>
      </c>
      <c r="CQ299" s="9">
        <f>MIN((CJ299+CM299)*CP299,2.5*CP299,M299^0.5)</f>
        <v>2.5802656008405425</v>
      </c>
      <c r="CR299" s="9">
        <v>1</v>
      </c>
      <c r="CS299" s="9">
        <f>4*CQ299*P299+60*CQ299</f>
        <v>227.06337287396775</v>
      </c>
      <c r="CU299" s="4">
        <f>AJ299/BF299</f>
        <v>1.6466492454395782</v>
      </c>
      <c r="CV299" s="4">
        <f>AJ299/BK299</f>
        <v>1.0456058464242541</v>
      </c>
      <c r="CW299" s="4">
        <f>AJ299/BN299</f>
        <v>1.1895298986663618</v>
      </c>
      <c r="CX299" s="4">
        <f>AJ299/CS299</f>
        <v>2.2064324759153546</v>
      </c>
      <c r="CY299" s="4">
        <f>AJ299/DZ299</f>
        <v>1.3098915185197448</v>
      </c>
      <c r="CZ299" s="4">
        <f>AJ299/EL299</f>
        <v>1.3502706830387621</v>
      </c>
      <c r="DA299" s="4">
        <f>AJ299/GI299</f>
        <v>2.0310855779776316</v>
      </c>
      <c r="DC299" s="4">
        <f>CU299</f>
        <v>1.6466492454395782</v>
      </c>
      <c r="DD299" s="4">
        <f>CV299</f>
        <v>1.0456058464242541</v>
      </c>
      <c r="DE299" s="4">
        <f>CX299</f>
        <v>2.2064324759153546</v>
      </c>
      <c r="DF299" s="4">
        <f>DA299</f>
        <v>2.0310855779776316</v>
      </c>
      <c r="DG299" s="4">
        <f>CY299</f>
        <v>1.3098915185197448</v>
      </c>
      <c r="DH299" s="4">
        <f>CZ299</f>
        <v>1.3502706830387621</v>
      </c>
      <c r="DP299" s="4">
        <f>AN299</f>
        <v>0</v>
      </c>
      <c r="DQ299" s="4">
        <f>L299</f>
        <v>301</v>
      </c>
      <c r="DT299" s="4">
        <f>K299/4/(1-0.3*(M299/30)^0.5)/200000/N299</f>
        <v>1.5976696011144739E-5</v>
      </c>
      <c r="DU299" s="4">
        <f>EP299</f>
        <v>7.9822467373402182</v>
      </c>
      <c r="DV299" s="4">
        <f>EC299*AG299/257/M299/AD299</f>
        <v>0.2836401371151141</v>
      </c>
      <c r="DW299" s="4">
        <f>DU299*DV299^0.4</f>
        <v>4.8220557004738289</v>
      </c>
      <c r="DX299" s="4">
        <f>MIN(DU299, DU299/1.4*(1-DV299^1.4)/(1-DV299))</f>
        <v>6.5953665189642372</v>
      </c>
      <c r="DY299" s="4">
        <f>MAX(DU299/2, (4-DT299*(8*AG299*(DW299-DX299)+6*K299*DX299))/(4+DT299*K299*DU299)*DU299)</f>
        <v>7.5732980781767054</v>
      </c>
      <c r="DZ299" s="38">
        <f>MIN(1/N299*(4*AG299*(DW299-DX299)+(3*DX299+DY299)*K299)+EC299 -FJ299,MAX(J299,AJ299))</f>
        <v>382.47442090941985</v>
      </c>
      <c r="EA299" s="4">
        <f>DZ299/FF299</f>
        <v>1.0001101319994157</v>
      </c>
      <c r="EB299" s="4">
        <f>AG299/N299</f>
        <v>2.2360679774997898</v>
      </c>
      <c r="EC299" s="4">
        <f>MIN(EB$10*BB299)</f>
        <v>206.81961160545529</v>
      </c>
      <c r="EG299" s="4">
        <f>IF(U299&gt;1*N299,0.85,1)</f>
        <v>0.85</v>
      </c>
      <c r="EH299" s="4">
        <f>MIN(1,MAX(0.7,(1-0.1*(BZ299-1*N299)/N299)))</f>
        <v>1</v>
      </c>
      <c r="EI299" s="4">
        <f>MIN(1,MAX(0.7,1-0.3*(PI()*AM299^2/4*AQ299*2-0.25*PI()/4*N299^2)/(PI()/4*N299^2)))</f>
        <v>1</v>
      </c>
      <c r="EJ299" s="4">
        <f>IF(EH299*EI299&lt;0.7,0.7,EH299*EI299)</f>
        <v>1</v>
      </c>
      <c r="EL299" s="4">
        <f>MIN(DU299/N299*3*K299+EM299-FJ299,MAX(J299,AJ299))</f>
        <v>371.03671604015551</v>
      </c>
      <c r="EM299" s="25">
        <f>13.3*Q299*K299^0.5*M299^0.5/X299/N299^2*(0.7+S299/5/K299)</f>
        <v>203.40953455601098</v>
      </c>
      <c r="EP299" s="4">
        <f>IF(N299&lt;22.2,1.1*5*(M299/30)^0.5,IF(N299&gt;=31.8,0.9*5*(M299/30)^0.5,1*5*(M299/30)^0.5))/EG299/EJ299</f>
        <v>7.9822467373402182</v>
      </c>
      <c r="ES299" s="4">
        <f>ET299*N299</f>
        <v>96.150923032490965</v>
      </c>
      <c r="ET299" s="4">
        <f>AF299^0.5</f>
        <v>2.2360679774997898</v>
      </c>
      <c r="EU299" s="4">
        <f>MIN(EC299)/(4700*M299^0.5)/AE299*ES299</f>
        <v>0.12808407592670423</v>
      </c>
      <c r="EX299" s="4">
        <f>EU299</f>
        <v>0.12808407592670423</v>
      </c>
      <c r="EY299" s="4">
        <f>MIN(0.999, EX299/(0.3*(M299/30)^0.5))</f>
        <v>0.28316679458960436</v>
      </c>
      <c r="EZ299" s="4">
        <f>EP299/1*EY299^0.4</f>
        <v>4.8188352426402856</v>
      </c>
      <c r="FA299" s="4">
        <f>EP299/1.4*(1-EY299^1.4)/(1-EY299)</f>
        <v>6.5941944952946905</v>
      </c>
      <c r="FB299" s="4">
        <f>MAX(0,DQ299*FB$9-ES299)</f>
        <v>129.59907696750903</v>
      </c>
      <c r="FC299" s="4">
        <f>MAX(0,DQ299-ES299-FB299)</f>
        <v>75.25</v>
      </c>
      <c r="FD299" s="4">
        <f>FC299/(1-0.3*(M299/30)^0.5)/200000/N299</f>
        <v>1.5976696011144739E-5</v>
      </c>
      <c r="FE299" s="4">
        <f>MAX(0.5*EP299, (1-2*FD299*(ES299*EZ299+FB299*FA299))/(1/EP299+FD299*FC299))</f>
        <v>7.5734146803275983</v>
      </c>
      <c r="FF299" s="4">
        <f>MIN(4/N299*(1*EZ299*ES299+FA299*FB299+FC299*FE299)+EC299,MAX(J299,AJ299))</f>
        <v>382.43230287526308</v>
      </c>
      <c r="FO299" s="23">
        <f>IF(CU299&lt;0.6,0.6,IF(CU299&lt;0.8,0.8,IF(CU299&lt;1,1,IF(CU299&lt;1.2,1.2,IF(CU299&lt;1.4,1.4,IF(CU299&lt;1.6,1.6,IF(CU299&lt;1.8,1.8,IF(CU299&lt;2,2,2.2))))))))</f>
        <v>1.8</v>
      </c>
      <c r="FP299" s="23">
        <f>IF(CV299&lt;0.6,0.6,IF(CV299&lt;0.8,0.8,IF(CV299&lt;1,1,IF(CV299&lt;1.2,1.2,IF(CV299&lt;1.4,1.4,IF(CV299&lt;1.6,1.6,IF(CV299&lt;1.8,1.8,IF(CV299&lt;2,2,2.2))))))))</f>
        <v>1.2</v>
      </c>
      <c r="FQ299" s="23">
        <f>IF(DA299&lt;0.6,0.6,IF(DA299&lt;0.8,0.8,IF(DA299&lt;1,1,IF(DA299&lt;1.2,1.2,IF(DA299&lt;1.4,1.4,IF(DA299&lt;1.6,1.6,IF(DA299&lt;1.8,1.8,IF(DA299&lt;2,2,2.2))))))))</f>
        <v>2.2000000000000002</v>
      </c>
      <c r="FR299" s="23">
        <f>IF(CX299&lt;0.6,0.6,IF(CX299&lt;0.8,0.8,IF(CX299&lt;1,1,IF(CX299&lt;1.2,1.2,IF(CX299&lt;1.4,1.4,IF(CX299&lt;1.6,1.6,IF(CX299&lt;1.8,1.8,IF(CX299&lt;2,2,2.2))))))))</f>
        <v>2.2000000000000002</v>
      </c>
      <c r="FS299" s="23">
        <f>IF(CY299&lt;0.6,0.6,IF(CY299&lt;0.8,0.8,IF(CY299&lt;1,1,IF(CY299&lt;1.2,1.2,IF(CY299&lt;1.4,1.4,IF(CY299&lt;1.6,1.6,IF(CY299&lt;1.8,1.8,IF(CY299&lt;2,2,2.2))))))))</f>
        <v>1.4</v>
      </c>
      <c r="FT299" s="23">
        <f>IF(CZ299&lt;0.6,0.6,IF(CZ299&lt;0.8,0.8,IF(CZ299&lt;1,1,IF(CZ299&lt;1.2,1.2,IF(CZ299&lt;1.4,1.4,IF(CZ299&lt;1.6,1.6,IF(CZ299&lt;1.8,1.8,IF(CZ299&lt;2,2,2.2))))))))</f>
        <v>1.4</v>
      </c>
      <c r="FU299" s="23">
        <f>IF(FS299&lt;1,1,0)</f>
        <v>0</v>
      </c>
      <c r="FV299" s="23"/>
      <c r="GF299" s="4">
        <f>IF(S299&gt;=2.5*25.4,1,1.25)</f>
        <v>1.25</v>
      </c>
      <c r="GG299" s="4">
        <f>IF(AO299&gt;1, 0.05*(18-MIN(8,(W299+N299)/N299))*(1-48000/MAX(60000,(J299*145))*(N299/25.4)^0.75*GH299), 1/12*(14-MIN(8,(W299+N299)/N299)))</f>
        <v>0.5</v>
      </c>
      <c r="GH299" s="4">
        <f>MIN(0.3, AM299^2*PI()/4*2*AP299/(N299^2*PI()/4*X299))</f>
        <v>0</v>
      </c>
      <c r="GI299" s="4">
        <f>(K299/25.4)/(N299/25.4)^1.5/0.0024*(M299*145)^0.25/GF299/GG299/145</f>
        <v>246.6661205377913</v>
      </c>
    </row>
    <row r="300" spans="1:191" ht="12" customHeight="1" x14ac:dyDescent="0.3">
      <c r="A300" s="25">
        <v>206</v>
      </c>
      <c r="B300" s="24" t="s">
        <v>182</v>
      </c>
      <c r="C300" s="4">
        <v>1996</v>
      </c>
      <c r="D300" s="24" t="s">
        <v>309</v>
      </c>
      <c r="E300" s="24"/>
      <c r="F300" s="24" t="s">
        <v>765</v>
      </c>
      <c r="G300" s="24">
        <v>2</v>
      </c>
      <c r="H300" s="4" t="s">
        <v>340</v>
      </c>
      <c r="I300" s="5">
        <f>K300/N300</f>
        <v>11.299212598425198</v>
      </c>
      <c r="J300" s="103">
        <v>578</v>
      </c>
      <c r="K300" s="111">
        <f>381-U300-18</f>
        <v>287</v>
      </c>
      <c r="L300" s="7">
        <f>K300</f>
        <v>287</v>
      </c>
      <c r="M300" s="7">
        <v>38.299999999999997</v>
      </c>
      <c r="N300" s="112">
        <v>25.4</v>
      </c>
      <c r="O300" s="7">
        <f>K300/N300</f>
        <v>11.299212598425198</v>
      </c>
      <c r="P300" s="7">
        <f>L300/N300</f>
        <v>11.299212598425198</v>
      </c>
      <c r="Q300" s="7">
        <v>305</v>
      </c>
      <c r="R300" s="32">
        <f>S300/N300</f>
        <v>2.9921259842519685</v>
      </c>
      <c r="S300" s="7">
        <v>76</v>
      </c>
      <c r="T300" s="32">
        <f>U300/N300</f>
        <v>2.9921259842519685</v>
      </c>
      <c r="U300" s="7">
        <v>76</v>
      </c>
      <c r="V300" s="32">
        <f>W300/N300</f>
        <v>4.0236220472440944</v>
      </c>
      <c r="W300" s="7">
        <f>Q300-2*N300-2*S300</f>
        <v>102.19999999999999</v>
      </c>
      <c r="X300" s="7">
        <v>2</v>
      </c>
      <c r="Y300" s="7">
        <f>AN300</f>
        <v>0</v>
      </c>
      <c r="Z300" s="32">
        <f>AA300/N300</f>
        <v>11.023622047244094</v>
      </c>
      <c r="AA300" s="7">
        <f>775-(343+152)</f>
        <v>280</v>
      </c>
      <c r="AB300" s="7">
        <f>MIN(S300/N300+0.5, W300/2/N300+0.5)</f>
        <v>2.5118110236220472</v>
      </c>
      <c r="AC300" s="7">
        <f>S300/N300+0.5</f>
        <v>3.4921259842519685</v>
      </c>
      <c r="AD300" s="7">
        <f>3200/(N300^2*PI()/4)-1</f>
        <v>5.3152807724479523</v>
      </c>
      <c r="AE300" s="7">
        <f>3200/(N300^2*PI()/4)-1</f>
        <v>5.3152807724479523</v>
      </c>
      <c r="AF300" s="7">
        <f>AE300+1</f>
        <v>6.3152807724479523</v>
      </c>
      <c r="AG300" s="7">
        <f>N300*AF300^0.5</f>
        <v>63.830764864229231</v>
      </c>
      <c r="AH300" s="7">
        <f>J300</f>
        <v>578</v>
      </c>
      <c r="AI300" s="7">
        <v>18</v>
      </c>
      <c r="AJ300" s="7">
        <f>273*1000/(N300^2*PI()/4)</f>
        <v>538.7723908994659</v>
      </c>
      <c r="AK300" s="7"/>
      <c r="AL300" s="4">
        <f>CY300</f>
        <v>1.0324950798962937</v>
      </c>
      <c r="AM300" s="7">
        <v>0</v>
      </c>
      <c r="AN300" s="7">
        <v>0</v>
      </c>
      <c r="AO300" s="7">
        <f>L300</f>
        <v>287</v>
      </c>
      <c r="AP300" s="7"/>
      <c r="AQ300" s="7"/>
      <c r="AR300" s="7">
        <f>3*AS300/(W300+N300)</f>
        <v>6.7476489028213171</v>
      </c>
      <c r="AS300" s="4">
        <f>K300</f>
        <v>287</v>
      </c>
      <c r="AT300" s="4">
        <f>IF(K300*3&gt;W300+N300, Q300, (S300+N300/2)*2+1.5*K300*(2*X300-2))*(3*K300)/(9*K300^2)</f>
        <v>0.35423925667828104</v>
      </c>
      <c r="AU300" s="4">
        <f>MIN(10*M300^0.5*K300^1.5,100*3.9*M300^0.5*K300^(5/3))/(PI()/4*N300^2)/X300</f>
        <v>296.91690288490338</v>
      </c>
      <c r="AV300" s="4">
        <f>MIN(0.7+0.3*(MIN(S300,AA300)+0.5*N300)/1.5/K300,1)</f>
        <v>0.76181184668989543</v>
      </c>
      <c r="AW300" s="4">
        <v>1.25</v>
      </c>
      <c r="AX300" s="4">
        <f>AX299</f>
        <v>2.5</v>
      </c>
      <c r="AY300" s="38">
        <f>AT300*AV300*AW300*AX300*AU300</f>
        <v>250.39713378541933</v>
      </c>
      <c r="AZ300" s="38">
        <f>AY300</f>
        <v>250.39713378541933</v>
      </c>
      <c r="BA300" s="38">
        <f>IF(M300&lt;50, 0.3*M300^(2/3), 2.12*LN(1+0.1*(M300+8)))</f>
        <v>3.408686840836292</v>
      </c>
      <c r="BB300" s="38">
        <f>AX300* (M300^0.5/AS300^0.5)/(PI()/4*N300^2)/X300/0.72 *(0.7+(MIN(S300,AA300)+0.5*N300)/5/K300) *(3*Q300*K300)</f>
        <v>250.39713378541916</v>
      </c>
      <c r="BC300" s="38">
        <f>AY300/BB300</f>
        <v>1.0000000000000007</v>
      </c>
      <c r="BD300" s="38">
        <f>BH300/BB300</f>
        <v>2.0480931873248389</v>
      </c>
      <c r="BE300" s="4">
        <f>IF(BD300&lt;1,1,0)</f>
        <v>0</v>
      </c>
      <c r="BF300" s="4">
        <f>L300/N300*M300^0.5/0.19</f>
        <v>368.03910519865605</v>
      </c>
      <c r="BG300" s="4">
        <f>MIN(0.6+0.4*(AC300/AB300),2)</f>
        <v>1.1561128526645768</v>
      </c>
      <c r="BH300" s="38">
        <f>2*M300*AB300*AD300^0.5*BG300*0.7/0.7</f>
        <v>512.83666383158322</v>
      </c>
      <c r="BI300" s="4">
        <f>MAX(1-0.7*AE300/5,0.3)</f>
        <v>0.3</v>
      </c>
      <c r="BJ300" s="4">
        <f>BI300*J300*L300/(J300*N300/2.75/M300^0.5)</f>
        <v>57.690129739889343</v>
      </c>
      <c r="BK300" s="4">
        <f>BH300+BJ300</f>
        <v>570.52679357147258</v>
      </c>
      <c r="BM300" s="4">
        <f>MIN(1.5, 0.75+0.25*MIN(3,MAX(1,S300/N300))+0.4*MIN(1,(40*2*PI()*AM300^2/4/AO300/X300)/N300))</f>
        <v>1.4980314960629921</v>
      </c>
      <c r="BN300" s="4">
        <f>(3*P300+30)*BM300*M300^0.5</f>
        <v>592.38647535016992</v>
      </c>
      <c r="BP300" s="4">
        <f>3.4/PI()^0.5*M300*AB300*AE300^0.5*BG300</f>
        <v>491.87307645177486</v>
      </c>
      <c r="BQ300" s="4">
        <f>8/3*AH300*AI300^2/(AG300-N300-22)/N300*(AG300^2-N300^2)/(AG300^2-(N300+22)^2)</f>
        <v>2245.2309649218914</v>
      </c>
      <c r="BR300" s="4">
        <f>BQ300/BP300</f>
        <v>4.564655136480158</v>
      </c>
      <c r="BZ300" s="4">
        <f>IF(W300=0,S300,MIN(W300/2,S300))</f>
        <v>51.099999999999994</v>
      </c>
      <c r="CD300" s="9"/>
      <c r="CF300" s="9"/>
      <c r="CG300" s="9"/>
      <c r="CH300" s="9">
        <f>IF(W300=0,MIN(S300,U300),MIN(W300/2,S300,U300))</f>
        <v>51.099999999999994</v>
      </c>
      <c r="CI300" s="9">
        <f>MAX(W300/2,S300)</f>
        <v>76</v>
      </c>
      <c r="CJ300" s="9">
        <f>(CH300/N300)^0.5*(CI300/CH300)^0.15</f>
        <v>1.5054020239149992</v>
      </c>
      <c r="CK300" s="70">
        <v>0</v>
      </c>
      <c r="CL300" s="9">
        <f>MIN(PI()*AM300^2/4*AN300*2/X300/N300/MAX(0.01,AO300),0.05)</f>
        <v>0</v>
      </c>
      <c r="CM300" s="9">
        <f>MAX(0,CK300*(CL300-0.5/50))</f>
        <v>0</v>
      </c>
      <c r="CN300" s="9">
        <f>MIN(1,(25/N300)^0.3)</f>
        <v>0.99524931562137331</v>
      </c>
      <c r="CO300" s="9">
        <f>IF(J300&gt;=800,0.68,IF(J300&gt;=700,0.75-(J300-700)*0.07/100,IF(J300&gt;=600,0.85-(J300-600)*0.1/100,IF(J300&gt;=500,1-(J300-500)*0.15/100,1.2-(J300-400)*0.2/100))))</f>
        <v>0.88300000000000001</v>
      </c>
      <c r="CP300" s="9">
        <f>1.75*CN300*CO300*(M300/25)^0.5</f>
        <v>1.9035313007054222</v>
      </c>
      <c r="CQ300" s="9">
        <f>MIN((CJ300+CM300)*CP300,2.5*CP300,M300^0.5)</f>
        <v>2.8655798726674937</v>
      </c>
      <c r="CR300" s="9">
        <v>1</v>
      </c>
      <c r="CS300" s="9">
        <f>4*CQ300*P300+60*CQ300</f>
        <v>301.44997715620252</v>
      </c>
      <c r="CU300" s="4">
        <f>AJ300/BF300</f>
        <v>1.4638998500136373</v>
      </c>
      <c r="CV300" s="4">
        <f>AJ300/BK300</f>
        <v>0.94434196074609311</v>
      </c>
      <c r="CW300" s="4">
        <f>AJ300/BN300</f>
        <v>0.90949475269668878</v>
      </c>
      <c r="CX300" s="4">
        <f>AJ300/CS300</f>
        <v>1.7872696358516886</v>
      </c>
      <c r="CY300" s="4">
        <f>AJ300/DZ300</f>
        <v>1.0324950798962937</v>
      </c>
      <c r="CZ300" s="4">
        <f>AJ300/EL300</f>
        <v>1.0800473563193289</v>
      </c>
      <c r="DA300" s="4">
        <f>AJ300/GI300</f>
        <v>1.2471485696372469</v>
      </c>
      <c r="DC300" s="4">
        <f>CU300</f>
        <v>1.4638998500136373</v>
      </c>
      <c r="DD300" s="4">
        <f>CV300</f>
        <v>0.94434196074609311</v>
      </c>
      <c r="DE300" s="4">
        <f>CX300</f>
        <v>1.7872696358516886</v>
      </c>
      <c r="DF300" s="4">
        <f>DA300</f>
        <v>1.2471485696372469</v>
      </c>
      <c r="DG300" s="4">
        <f>CY300</f>
        <v>1.0324950798962937</v>
      </c>
      <c r="DH300" s="4">
        <f>CZ300</f>
        <v>1.0800473563193289</v>
      </c>
      <c r="DP300" s="4">
        <f>AN300</f>
        <v>0</v>
      </c>
      <c r="DQ300" s="4">
        <f>L300</f>
        <v>287</v>
      </c>
      <c r="DT300" s="4">
        <f>K300/4/(1-0.3*(M300/30)^0.5)/200000/N300</f>
        <v>2.13666473812144E-5</v>
      </c>
      <c r="DU300" s="4">
        <f>EP300</f>
        <v>7.3946503468884011</v>
      </c>
      <c r="DV300" s="4">
        <f>EC300*AG300/257/M300/AD300</f>
        <v>0.30549302157709252</v>
      </c>
      <c r="DW300" s="4">
        <f>DU300*DV300^0.4</f>
        <v>4.6016985041395433</v>
      </c>
      <c r="DX300" s="4">
        <f>MIN(DU300, DU300/1.4*(1-DV300^1.4)/(1-DV300))</f>
        <v>6.1594193049739197</v>
      </c>
      <c r="DY300" s="4">
        <f>MAX(DU300/2, (4-DT300*(8*AG300*(DW300-DX300)+6*K300*DX300))/(4+DT300*K300*DU300)*DU300)</f>
        <v>6.9285703929324711</v>
      </c>
      <c r="DZ300" s="38">
        <f>MIN(1/N300*(4*AG300*(DW300-DX300)+(3*DX300+DY300)*K300)+EC300 -FJ300,MAX(J300,AJ300))</f>
        <v>521.81594023051571</v>
      </c>
      <c r="EA300" s="4">
        <f>DZ300/FF300</f>
        <v>1.0001089820011146</v>
      </c>
      <c r="EB300" s="4">
        <f>AG300/N300</f>
        <v>2.5130222387491825</v>
      </c>
      <c r="EC300" s="4">
        <f>MIN(EB$10*BB300)</f>
        <v>250.39713378541916</v>
      </c>
      <c r="EG300" s="4">
        <f>IF(U300&gt;1*N300,0.85,1)</f>
        <v>0.85</v>
      </c>
      <c r="EH300" s="4">
        <f>MIN(1,MAX(0.7,(1-0.1*(BZ300-1*N300)/N300)))</f>
        <v>0.89881889763779532</v>
      </c>
      <c r="EI300" s="4">
        <f>MIN(1,MAX(0.7,1-0.3*(PI()*AM300^2/4*AQ300*2-0.25*PI()/4*N300^2)/(PI()/4*N300^2)))</f>
        <v>1</v>
      </c>
      <c r="EJ300" s="4">
        <f>IF(EH300*EI300&lt;0.7,0.7,EH300*EI300)</f>
        <v>0.89881889763779532</v>
      </c>
      <c r="EL300" s="4">
        <f>MIN(DU300/N300*3*K300+EM300-FJ300,MAX(J300,AJ300))</f>
        <v>498.84145148555075</v>
      </c>
      <c r="EM300" s="25">
        <f>13.3*Q300*K300^0.5*M300^0.5/X300/N300^2*(0.7+S300/5/K300)</f>
        <v>248.18027240401869</v>
      </c>
      <c r="EO300" s="4">
        <f>EG300*EJ300</f>
        <v>0.76399606299212597</v>
      </c>
      <c r="EP300" s="4">
        <f>IF(N300&lt;22.2,1.1*5*(M300/30)^0.5,IF(N300&gt;=31.8,0.9*5*(M300/30)^0.5,1*5*(M300/30)^0.5))/EG300/EJ300</f>
        <v>7.3946503468884011</v>
      </c>
      <c r="ES300" s="4">
        <f>ET300*N300</f>
        <v>63.830764864229231</v>
      </c>
      <c r="ET300" s="4">
        <f>AF300^0.5</f>
        <v>2.5130222387491825</v>
      </c>
      <c r="EU300" s="4">
        <f>MIN(EC300)/(4700*M300^0.5)/AE300*ES300</f>
        <v>0.10337986159960641</v>
      </c>
      <c r="EX300" s="4">
        <f>EU300</f>
        <v>0.10337986159960641</v>
      </c>
      <c r="EY300" s="4">
        <f>MIN(0.999, EX300/(0.3*(M300/30)^0.5))</f>
        <v>0.3049832106602397</v>
      </c>
      <c r="EZ300" s="4">
        <f>EP300/1*EY300^0.4</f>
        <v>4.5986252140500472</v>
      </c>
      <c r="FA300" s="4">
        <f>EP300/1.4*(1-EY300^1.4)/(1-EY300)</f>
        <v>6.1582755537013707</v>
      </c>
      <c r="FB300" s="4">
        <f>MAX(0,DQ300*FB$9-ES300)</f>
        <v>151.41923513577078</v>
      </c>
      <c r="FC300" s="4">
        <f>MAX(0,DQ300-ES300-FB300)</f>
        <v>71.75</v>
      </c>
      <c r="FD300" s="4">
        <f>FC300/(1-0.3*(M300/30)^0.5)/200000/N300</f>
        <v>2.13666473812144E-5</v>
      </c>
      <c r="FE300" s="4">
        <f>MAX(0.5*EP300, (1-2*FD300*(ES300*EZ300+FB300*FA300))/(1/EP300+FD300*FC300))</f>
        <v>6.9286858004244598</v>
      </c>
      <c r="FF300" s="4">
        <f>MIN(4/N300*(1*EZ300*ES300+FA300*FB300+FC300*FE300)+EC300,MAX(J300,AJ300))</f>
        <v>521.75907788210839</v>
      </c>
      <c r="FO300" s="23">
        <f>IF(CU300&lt;0.6,0.6,IF(CU300&lt;0.8,0.8,IF(CU300&lt;1,1,IF(CU300&lt;1.2,1.2,IF(CU300&lt;1.4,1.4,IF(CU300&lt;1.6,1.6,IF(CU300&lt;1.8,1.8,IF(CU300&lt;2,2,2.2))))))))</f>
        <v>1.6</v>
      </c>
      <c r="FP300" s="23">
        <f>IF(CV300&lt;0.6,0.6,IF(CV300&lt;0.8,0.8,IF(CV300&lt;1,1,IF(CV300&lt;1.2,1.2,IF(CV300&lt;1.4,1.4,IF(CV300&lt;1.6,1.6,IF(CV300&lt;1.8,1.8,IF(CV300&lt;2,2,2.2))))))))</f>
        <v>1</v>
      </c>
      <c r="FQ300" s="23">
        <f>IF(DA300&lt;0.6,0.6,IF(DA300&lt;0.8,0.8,IF(DA300&lt;1,1,IF(DA300&lt;1.2,1.2,IF(DA300&lt;1.4,1.4,IF(DA300&lt;1.6,1.6,IF(DA300&lt;1.8,1.8,IF(DA300&lt;2,2,2.2))))))))</f>
        <v>1.4</v>
      </c>
      <c r="FR300" s="23">
        <f>IF(CX300&lt;0.6,0.6,IF(CX300&lt;0.8,0.8,IF(CX300&lt;1,1,IF(CX300&lt;1.2,1.2,IF(CX300&lt;1.4,1.4,IF(CX300&lt;1.6,1.6,IF(CX300&lt;1.8,1.8,IF(CX300&lt;2,2,2.2))))))))</f>
        <v>1.8</v>
      </c>
      <c r="FS300" s="23">
        <f>IF(CY300&lt;0.6,0.6,IF(CY300&lt;0.8,0.8,IF(CY300&lt;1,1,IF(CY300&lt;1.2,1.2,IF(CY300&lt;1.4,1.4,IF(CY300&lt;1.6,1.6,IF(CY300&lt;1.8,1.8,IF(CY300&lt;2,2,2.2))))))))</f>
        <v>1.2</v>
      </c>
      <c r="FT300" s="23">
        <f>IF(CZ300&lt;0.6,0.6,IF(CZ300&lt;0.8,0.8,IF(CZ300&lt;1,1,IF(CZ300&lt;1.2,1.2,IF(CZ300&lt;1.4,1.4,IF(CZ300&lt;1.6,1.6,IF(CZ300&lt;1.8,1.8,IF(CZ300&lt;2,2,2.2))))))))</f>
        <v>1.2</v>
      </c>
      <c r="FU300" s="23">
        <f>IF(FS300&lt;1,1,0)</f>
        <v>0</v>
      </c>
      <c r="FV300" s="23"/>
      <c r="GF300" s="4">
        <f>IF(S300&gt;=2.5*25.4,1,1.25)</f>
        <v>1</v>
      </c>
      <c r="GG300" s="4">
        <f>IF(AO300&gt;1, 0.05*(18-MIN(8,(W300+N300)/N300))*(1-48000/MAX(60000,(J300*145))*(N300/25.4)^0.75*GH300), 1/12*(14-MIN(8,(W300+N300)/N300)))</f>
        <v>0.64881889763779532</v>
      </c>
      <c r="GH300" s="4">
        <f>MIN(0.3, AM300^2*PI()/4*2*AP300/(N300^2*PI()/4*X300))</f>
        <v>0</v>
      </c>
      <c r="GI300" s="4">
        <f>(K300/25.4)/(N300/25.4)^1.5/0.0024*(M300*145)^0.25/GF300/GG300/145</f>
        <v>432.00337475123473</v>
      </c>
    </row>
    <row r="301" spans="1:191" ht="12" customHeight="1" x14ac:dyDescent="0.3">
      <c r="A301" s="25">
        <v>223</v>
      </c>
      <c r="B301" s="24" t="s">
        <v>182</v>
      </c>
      <c r="C301" s="4">
        <v>1996</v>
      </c>
      <c r="D301" s="24" t="s">
        <v>309</v>
      </c>
      <c r="E301" s="24"/>
      <c r="F301" s="24" t="s">
        <v>766</v>
      </c>
      <c r="G301" s="24"/>
      <c r="H301" s="4" t="s">
        <v>357</v>
      </c>
      <c r="I301" s="5">
        <f>K301/N301</f>
        <v>11.299212598425198</v>
      </c>
      <c r="J301" s="103">
        <v>578</v>
      </c>
      <c r="K301" s="111">
        <f>381-U301-18</f>
        <v>287</v>
      </c>
      <c r="L301" s="7">
        <f>K301</f>
        <v>287</v>
      </c>
      <c r="M301" s="7">
        <v>22.1</v>
      </c>
      <c r="N301" s="112">
        <v>25.4</v>
      </c>
      <c r="O301" s="7">
        <f>K301/N301</f>
        <v>11.299212598425198</v>
      </c>
      <c r="P301" s="7">
        <f>L301/N301</f>
        <v>11.299212598425198</v>
      </c>
      <c r="Q301" s="7">
        <v>305</v>
      </c>
      <c r="R301" s="32">
        <f>S301/N301</f>
        <v>2.9921259842519685</v>
      </c>
      <c r="S301" s="7">
        <v>76</v>
      </c>
      <c r="T301" s="32">
        <f>U301/N301</f>
        <v>2.9921259842519685</v>
      </c>
      <c r="U301" s="7">
        <v>76</v>
      </c>
      <c r="V301" s="32">
        <f>W301/N301</f>
        <v>4.0236220472440944</v>
      </c>
      <c r="W301" s="7">
        <f>Q301-2*N301-2*S301</f>
        <v>102.19999999999999</v>
      </c>
      <c r="X301" s="7">
        <v>2</v>
      </c>
      <c r="Y301" s="7">
        <f>AN301</f>
        <v>0</v>
      </c>
      <c r="Z301" s="32">
        <f>AA301/N301</f>
        <v>11.023622047244094</v>
      </c>
      <c r="AA301" s="7">
        <f>775-(343+152)</f>
        <v>280</v>
      </c>
      <c r="AB301" s="7">
        <f>MIN(S301/N301+0.5, W301/2/N301+0.5)</f>
        <v>2.5118110236220472</v>
      </c>
      <c r="AC301" s="7">
        <f>S301/N301+0.5</f>
        <v>3.4921259842519685</v>
      </c>
      <c r="AD301" s="7">
        <f>3200/(N301^2*PI()/4)-1</f>
        <v>5.3152807724479523</v>
      </c>
      <c r="AE301" s="7">
        <f>3200/(N301^2*PI()/4)-1</f>
        <v>5.3152807724479523</v>
      </c>
      <c r="AF301" s="7">
        <f>AE301+1</f>
        <v>6.3152807724479523</v>
      </c>
      <c r="AG301" s="7">
        <f>N301*AF301^0.5</f>
        <v>63.830764864229231</v>
      </c>
      <c r="AH301" s="7">
        <f>J301</f>
        <v>578</v>
      </c>
      <c r="AI301" s="7">
        <v>18</v>
      </c>
      <c r="AJ301" s="7">
        <f>279*1000/(N301^2*PI()/4)</f>
        <v>550.61354234780583</v>
      </c>
      <c r="AK301" s="7"/>
      <c r="AL301" s="4">
        <f>CY301</f>
        <v>1.3582301682762954</v>
      </c>
      <c r="AM301" s="7">
        <v>0</v>
      </c>
      <c r="AN301" s="7">
        <v>0</v>
      </c>
      <c r="AO301" s="7">
        <f>L301</f>
        <v>287</v>
      </c>
      <c r="AP301" s="7"/>
      <c r="AQ301" s="7"/>
      <c r="AR301" s="7">
        <f>3*AS301/(W301+N301)</f>
        <v>6.7476489028213171</v>
      </c>
      <c r="AS301" s="4">
        <f>K301</f>
        <v>287</v>
      </c>
      <c r="AT301" s="4">
        <f>IF(K301*3&gt;W301+N301, Q301, (S301+N301/2)*2+1.5*K301*(2*X301-2))*(3*K301)/(9*K301^2)</f>
        <v>0.35423925667828104</v>
      </c>
      <c r="AU301" s="4">
        <f>MIN(10*M301^0.5*K301^1.5,100*3.9*M301^0.5*K301^(5/3))/(PI()/4*N301^2)/X301</f>
        <v>225.54420427456137</v>
      </c>
      <c r="AV301" s="4">
        <f>MIN(0.7+0.3*(MIN(S301,AA301)+0.5*N301)/1.5/K301,1)</f>
        <v>0.76181184668989543</v>
      </c>
      <c r="AW301" s="4">
        <v>1.25</v>
      </c>
      <c r="AX301" s="4">
        <f>AX300</f>
        <v>2.5</v>
      </c>
      <c r="AY301" s="38">
        <f>AT301*AV301*AW301*AX301*AU301</f>
        <v>190.20682805032305</v>
      </c>
      <c r="AZ301" s="38">
        <f>AY301</f>
        <v>190.20682805032305</v>
      </c>
      <c r="BA301" s="38">
        <f>IF(M301&lt;50, 0.3*M301^(2/3), 2.12*LN(1+0.1*(M301+8)))</f>
        <v>2.3625595852948513</v>
      </c>
      <c r="BB301" s="38">
        <f>AX301* (M301^0.5/AS301^0.5)/(PI()/4*N301^2)/X301/0.72 *(0.7+(MIN(S301,AA301)+0.5*N301)/5/K301) *(3*Q301*K301)</f>
        <v>190.20682805032291</v>
      </c>
      <c r="BC301" s="38">
        <f>AY301/BB301</f>
        <v>1.0000000000000007</v>
      </c>
      <c r="BD301" s="38">
        <f>BH301/BB301</f>
        <v>1.5557738334432083</v>
      </c>
      <c r="BE301" s="4">
        <f>IF(BD301&lt;1,1,0)</f>
        <v>0</v>
      </c>
      <c r="BF301" s="4">
        <f>L301/N301*M301^0.5/0.19</f>
        <v>279.57009627077383</v>
      </c>
      <c r="BG301" s="4">
        <f>MIN(0.6+0.4*(AC301/AB301),2)</f>
        <v>1.1561128526645768</v>
      </c>
      <c r="BH301" s="38">
        <f>2*M301*AB301*AD301^0.5*BG301*0.7/0.7</f>
        <v>295.91880602292406</v>
      </c>
      <c r="BI301" s="4">
        <f>MAX(1-0.7*AE301/5,0.3)</f>
        <v>0.3</v>
      </c>
      <c r="BJ301" s="4">
        <f>BI301*J301*L301/(J301*N301/2.75/M301^0.5)</f>
        <v>43.822612590443811</v>
      </c>
      <c r="BK301" s="4">
        <f>BH301+BJ301</f>
        <v>339.74141861336784</v>
      </c>
      <c r="BM301" s="4">
        <f>MIN(1.5, 0.75+0.25*MIN(3,MAX(1,S301/N301))+0.4*MIN(1,(40*2*PI()*AM301^2/4/AO301/X301)/N301))</f>
        <v>1.4980314960629921</v>
      </c>
      <c r="BN301" s="4">
        <f>(3*P301+30)*BM301*M301^0.5</f>
        <v>449.98898650663324</v>
      </c>
      <c r="BP301" s="4">
        <f>3.4/PI()^0.5*M301*AB301*AE301^0.5*BG301</f>
        <v>283.82232348783879</v>
      </c>
      <c r="BQ301" s="4">
        <f>8/3*AH301*AI301^2/(AG301-N301-22)/N301*(AG301^2-N301^2)/(AG301^2-(N301+22)^2)</f>
        <v>2245.2309649218914</v>
      </c>
      <c r="BR301" s="4">
        <f>BQ301/BP301</f>
        <v>7.9106919333570147</v>
      </c>
      <c r="BZ301" s="4">
        <f>IF(W301=0,S301,MIN(W301/2,S301))</f>
        <v>51.099999999999994</v>
      </c>
      <c r="CD301" s="9"/>
      <c r="CF301" s="9"/>
      <c r="CG301" s="9"/>
      <c r="CH301" s="9">
        <f>IF(W301=0,MIN(S301,U301),MIN(W301/2,S301,U301))</f>
        <v>51.099999999999994</v>
      </c>
      <c r="CI301" s="9">
        <f>MAX(W301/2,S301)</f>
        <v>76</v>
      </c>
      <c r="CJ301" s="9">
        <f>(CH301/N301)^0.5*(CI301/CH301)^0.15</f>
        <v>1.5054020239149992</v>
      </c>
      <c r="CK301" s="70">
        <v>0</v>
      </c>
      <c r="CL301" s="9">
        <f>MIN(PI()*AM301^2/4*AN301*2/X301/N301/MAX(0.01,AO301),0.05)</f>
        <v>0</v>
      </c>
      <c r="CM301" s="9">
        <f>MAX(0,CK301*(CL301-0.5/50))</f>
        <v>0</v>
      </c>
      <c r="CN301" s="9">
        <f>MIN(1,(25/N301)^0.3)</f>
        <v>0.99524931562137331</v>
      </c>
      <c r="CO301" s="9">
        <f>IF(J301&gt;=800,0.68,IF(J301&gt;=700,0.75-(J301-700)*0.07/100,IF(J301&gt;=600,0.85-(J301-600)*0.1/100,IF(J301&gt;=500,1-(J301-500)*0.15/100,1.2-(J301-400)*0.2/100))))</f>
        <v>0.88300000000000001</v>
      </c>
      <c r="CP301" s="9">
        <f>1.75*CN301*CO301*(M301/25)^0.5</f>
        <v>1.4459616423243864</v>
      </c>
      <c r="CQ301" s="9">
        <f>MIN((CJ301+CM301)*CP301,2.5*CP301,M301^0.5)</f>
        <v>2.1767535828585873</v>
      </c>
      <c r="CR301" s="9">
        <v>1</v>
      </c>
      <c r="CS301" s="9">
        <f>4*CQ301*P301+60*CQ301</f>
        <v>228.987620999927</v>
      </c>
      <c r="CU301" s="4">
        <f>AJ301/BF301</f>
        <v>1.9695008503860747</v>
      </c>
      <c r="CV301" s="4">
        <f>AJ301/BK301</f>
        <v>1.6206841797361613</v>
      </c>
      <c r="CW301" s="4">
        <f>AJ301/BN301</f>
        <v>1.223615596955703</v>
      </c>
      <c r="CX301" s="4">
        <f>AJ301/CS301</f>
        <v>2.4045559316413061</v>
      </c>
      <c r="CY301" s="4">
        <f>AJ301/DZ301</f>
        <v>1.3582301682762954</v>
      </c>
      <c r="CZ301" s="4">
        <f>AJ301/EL301</f>
        <v>1.4530735737887628</v>
      </c>
      <c r="DA301" s="4">
        <f>AJ301/GI301</f>
        <v>1.4623838231453203</v>
      </c>
      <c r="DC301" s="4">
        <f>CU301</f>
        <v>1.9695008503860747</v>
      </c>
      <c r="DD301" s="4">
        <f>CV301</f>
        <v>1.6206841797361613</v>
      </c>
      <c r="DE301" s="4">
        <f>CX301</f>
        <v>2.4045559316413061</v>
      </c>
      <c r="DF301" s="4">
        <f>DA301</f>
        <v>1.4623838231453203</v>
      </c>
      <c r="DG301" s="4">
        <f>CY301</f>
        <v>1.3582301682762954</v>
      </c>
      <c r="DH301" s="4">
        <f>CZ301</f>
        <v>1.4530735737887628</v>
      </c>
      <c r="DP301" s="4">
        <f>AN301</f>
        <v>0</v>
      </c>
      <c r="DQ301" s="4">
        <f>L301</f>
        <v>287</v>
      </c>
      <c r="DT301" s="4">
        <f>K301/4/(1-0.3*(M301/30)^0.5)/200000/N301</f>
        <v>1.9021932517031272E-5</v>
      </c>
      <c r="DU301" s="4">
        <f>EP301</f>
        <v>5.6171289413727514</v>
      </c>
      <c r="DV301" s="4">
        <f>EC301*AG301/257/M301/AD301</f>
        <v>0.40216525231214639</v>
      </c>
      <c r="DW301" s="4">
        <f>DU301*DV301^0.4</f>
        <v>3.9019006831634799</v>
      </c>
      <c r="DX301" s="4">
        <f>MIN(DU301, DU301/1.4*(1-DV301^1.4)/(1-DV301))</f>
        <v>4.8364058609445459</v>
      </c>
      <c r="DY301" s="4">
        <f>MAX(DU301/2, (4-DT301*(8*AG301*(DW301-DX301)+6*K301*DX301))/(4+DT301*K301*DU301)*DU301)</f>
        <v>5.3662694517765832</v>
      </c>
      <c r="DZ301" s="38">
        <f>MIN(1/N301*(4*AG301*(DW301-DX301)+(3*DX301+DY301)*K301)+EC301 -FJ301,MAX(J301,AJ301))</f>
        <v>405.39045237566711</v>
      </c>
      <c r="EA301" s="4">
        <f>DZ301/FF301</f>
        <v>1.0001244351707343</v>
      </c>
      <c r="EB301" s="4">
        <f>AG301/N301</f>
        <v>2.5130222387491825</v>
      </c>
      <c r="EC301" s="4">
        <f>MIN(EB$10*BB301)</f>
        <v>190.20682805032291</v>
      </c>
      <c r="EG301" s="4">
        <f>IF(U301&gt;1*N301,0.85,1)</f>
        <v>0.85</v>
      </c>
      <c r="EH301" s="4">
        <f>MIN(1,MAX(0.7,(1-0.1*(BZ301-1*N301)/N301)))</f>
        <v>0.89881889763779532</v>
      </c>
      <c r="EI301" s="4">
        <f>MIN(1,MAX(0.7,1-0.3*(PI()*AM301^2/4*AQ301*2-0.25*PI()/4*N301^2)/(PI()/4*N301^2)))</f>
        <v>1</v>
      </c>
      <c r="EJ301" s="4">
        <f>IF(EH301*EI301&lt;0.7,0.7,EH301*EI301)</f>
        <v>0.89881889763779532</v>
      </c>
      <c r="EL301" s="4">
        <f>MIN(DU301/N301*3*K301+EM301-FJ301,MAX(J301,AJ301))</f>
        <v>378.93025671929945</v>
      </c>
      <c r="EM301" s="25">
        <f>13.3*Q301*K301^0.5*M301^0.5/X301/N301^2*(0.7+S301/5/K301)</f>
        <v>188.52285441528608</v>
      </c>
      <c r="EO301" s="4">
        <f>EG301*EJ301</f>
        <v>0.76399606299212597</v>
      </c>
      <c r="EP301" s="4">
        <f>IF(N301&lt;22.2,1.1*5*(M301/30)^0.5,IF(N301&gt;=31.8,0.9*5*(M301/30)^0.5,1*5*(M301/30)^0.5))/EG301/EJ301</f>
        <v>5.6171289413727514</v>
      </c>
      <c r="ES301" s="4">
        <f>ET301*N301</f>
        <v>63.830764864229231</v>
      </c>
      <c r="ET301" s="4">
        <f>AF301^0.5</f>
        <v>2.5130222387491825</v>
      </c>
      <c r="EU301" s="4">
        <f>MIN(EC301)/(4700*M301^0.5)/AE301*ES301</f>
        <v>0.10337986159960641</v>
      </c>
      <c r="EX301" s="4">
        <f>EU301</f>
        <v>0.10337986159960641</v>
      </c>
      <c r="EY301" s="4">
        <f>MIN(0.999, EX301/(0.3*(M301/30)^0.5))</f>
        <v>0.40149411345945146</v>
      </c>
      <c r="EZ301" s="4">
        <f>EP301/1*EY301^0.4</f>
        <v>3.8992947600051124</v>
      </c>
      <c r="FA301" s="4">
        <f>EP301/1.4*(1-EY301^1.4)/(1-EY301)</f>
        <v>4.8353564860443772</v>
      </c>
      <c r="FB301" s="4">
        <f>MAX(0,DQ301*FB$9-ES301)</f>
        <v>151.41923513577078</v>
      </c>
      <c r="FC301" s="4">
        <f>MAX(0,DQ301-ES301-FB301)</f>
        <v>71.75</v>
      </c>
      <c r="FD301" s="4">
        <f>FC301/(1-0.3*(M301/30)^0.5)/200000/N301</f>
        <v>1.9021932517031272E-5</v>
      </c>
      <c r="FE301" s="4">
        <f>MAX(0.5*EP301, (1-2*FD301*(ES301*EZ301+FB301*FA301))/(1/EP301+FD301*FC301))</f>
        <v>5.3663384245478616</v>
      </c>
      <c r="FF301" s="4">
        <f>MIN(4/N301*(1*EZ301*ES301+FA301*FB301+FC301*FE301)+EC301,MAX(J301,AJ301))</f>
        <v>405.34001382184169</v>
      </c>
      <c r="FO301" s="23">
        <f>IF(CU301&lt;0.6,0.6,IF(CU301&lt;0.8,0.8,IF(CU301&lt;1,1,IF(CU301&lt;1.2,1.2,IF(CU301&lt;1.4,1.4,IF(CU301&lt;1.6,1.6,IF(CU301&lt;1.8,1.8,IF(CU301&lt;2,2,2.2))))))))</f>
        <v>2</v>
      </c>
      <c r="FP301" s="23">
        <f>IF(CV301&lt;0.6,0.6,IF(CV301&lt;0.8,0.8,IF(CV301&lt;1,1,IF(CV301&lt;1.2,1.2,IF(CV301&lt;1.4,1.4,IF(CV301&lt;1.6,1.6,IF(CV301&lt;1.8,1.8,IF(CV301&lt;2,2,2.2))))))))</f>
        <v>1.8</v>
      </c>
      <c r="FQ301" s="23">
        <f>IF(DA301&lt;0.6,0.6,IF(DA301&lt;0.8,0.8,IF(DA301&lt;1,1,IF(DA301&lt;1.2,1.2,IF(DA301&lt;1.4,1.4,IF(DA301&lt;1.6,1.6,IF(DA301&lt;1.8,1.8,IF(DA301&lt;2,2,2.2))))))))</f>
        <v>1.6</v>
      </c>
      <c r="FR301" s="23">
        <f>IF(CX301&lt;0.6,0.6,IF(CX301&lt;0.8,0.8,IF(CX301&lt;1,1,IF(CX301&lt;1.2,1.2,IF(CX301&lt;1.4,1.4,IF(CX301&lt;1.6,1.6,IF(CX301&lt;1.8,1.8,IF(CX301&lt;2,2,2.2))))))))</f>
        <v>2.2000000000000002</v>
      </c>
      <c r="FS301" s="23">
        <f>IF(CY301&lt;0.6,0.6,IF(CY301&lt;0.8,0.8,IF(CY301&lt;1,1,IF(CY301&lt;1.2,1.2,IF(CY301&lt;1.4,1.4,IF(CY301&lt;1.6,1.6,IF(CY301&lt;1.8,1.8,IF(CY301&lt;2,2,2.2))))))))</f>
        <v>1.4</v>
      </c>
      <c r="FT301" s="23">
        <f>IF(CZ301&lt;0.6,0.6,IF(CZ301&lt;0.8,0.8,IF(CZ301&lt;1,1,IF(CZ301&lt;1.2,1.2,IF(CZ301&lt;1.4,1.4,IF(CZ301&lt;1.6,1.6,IF(CZ301&lt;1.8,1.8,IF(CZ301&lt;2,2,2.2))))))))</f>
        <v>1.6</v>
      </c>
      <c r="FU301" s="23">
        <f>IF(FS301&lt;1,1,0)</f>
        <v>0</v>
      </c>
      <c r="FV301" s="23"/>
      <c r="GF301" s="4">
        <f>IF(S301&gt;=2.5*25.4,1,1.25)</f>
        <v>1</v>
      </c>
      <c r="GG301" s="4">
        <f>IF(AO301&gt;1, 0.05*(18-MIN(8,(W301+N301)/N301))*(1-48000/MAX(60000,(J301*145))*(N301/25.4)^0.75*GH301), 1/12*(14-MIN(8,(W301+N301)/N301)))</f>
        <v>0.64881889763779532</v>
      </c>
      <c r="GH301" s="4">
        <f>MIN(0.3, AM301^2*PI()/4*2*AP301/(N301^2*PI()/4*X301))</f>
        <v>0</v>
      </c>
      <c r="GI301" s="4">
        <f>(K301/25.4)/(N301/25.4)^1.5/0.0024*(M301*145)^0.25/GF301/GG301/145</f>
        <v>376.51780171059107</v>
      </c>
    </row>
    <row r="302" spans="1:191" ht="12" customHeight="1" x14ac:dyDescent="0.3">
      <c r="A302" s="25">
        <v>271</v>
      </c>
      <c r="B302" s="4" t="s">
        <v>605</v>
      </c>
      <c r="C302" s="4">
        <v>2016</v>
      </c>
      <c r="D302" s="4" t="s">
        <v>309</v>
      </c>
      <c r="E302" s="24" t="s">
        <v>666</v>
      </c>
      <c r="F302" s="24"/>
      <c r="G302" s="24">
        <v>43</v>
      </c>
      <c r="H302" s="48" t="s">
        <v>429</v>
      </c>
      <c r="I302" s="5">
        <f>K302/N302</f>
        <v>11.25</v>
      </c>
      <c r="J302" s="78">
        <f>115.9/0.145</f>
        <v>799.31034482758628</v>
      </c>
      <c r="K302" s="38">
        <f>11.25*25.4</f>
        <v>285.75</v>
      </c>
      <c r="L302" s="4">
        <f>K302</f>
        <v>285.75</v>
      </c>
      <c r="M302" s="38">
        <f>5500/145</f>
        <v>37.931034482758619</v>
      </c>
      <c r="N302" s="38">
        <f>1*25.4</f>
        <v>25.4</v>
      </c>
      <c r="O302" s="7">
        <f>K302/N302</f>
        <v>11.25</v>
      </c>
      <c r="P302" s="7">
        <f>L302/N302</f>
        <v>11.25</v>
      </c>
      <c r="Q302" s="38">
        <f>16.9*25.4</f>
        <v>429.25999999999993</v>
      </c>
      <c r="R302" s="32">
        <f>S302/N302</f>
        <v>2.5</v>
      </c>
      <c r="S302" s="38">
        <f>2.5*25.4</f>
        <v>63.5</v>
      </c>
      <c r="T302" s="32">
        <f>U302/N302</f>
        <v>3.25</v>
      </c>
      <c r="U302" s="39">
        <f>3.25*25.4</f>
        <v>82.55</v>
      </c>
      <c r="V302" s="32">
        <f>W302/N302</f>
        <v>9.8999999999999968</v>
      </c>
      <c r="W302" s="7">
        <f>(Q302-X302*N302-2*S302)/(X302-1)</f>
        <v>251.45999999999992</v>
      </c>
      <c r="X302" s="38">
        <v>2</v>
      </c>
      <c r="Y302" s="7">
        <f>AN302</f>
        <v>0</v>
      </c>
      <c r="Z302" s="32">
        <f>AA302/N302</f>
        <v>10.25</v>
      </c>
      <c r="AA302" s="4">
        <f>10.25*25.4</f>
        <v>260.34999999999997</v>
      </c>
      <c r="AB302" s="7">
        <f>MIN(S302/N302+0.5, W302/2/N302+0.5)</f>
        <v>3</v>
      </c>
      <c r="AC302" s="7">
        <f>S302/N302+0.5</f>
        <v>3</v>
      </c>
      <c r="AD302" s="38">
        <v>4.5</v>
      </c>
      <c r="AE302" s="4">
        <f>AD302</f>
        <v>4.5</v>
      </c>
      <c r="AF302" s="4">
        <f>AE302+1</f>
        <v>5.5</v>
      </c>
      <c r="AG302" s="7">
        <f>N302*AF302^0.5</f>
        <v>59.568280149757555</v>
      </c>
      <c r="AJ302" s="38">
        <f>AK302/0.145</f>
        <v>588.27586206896558</v>
      </c>
      <c r="AK302" s="4">
        <v>85.3</v>
      </c>
      <c r="AL302" s="4">
        <f>CY302</f>
        <v>0.90762534595970545</v>
      </c>
      <c r="AM302" s="38">
        <v>0</v>
      </c>
      <c r="AN302" s="38">
        <v>0</v>
      </c>
      <c r="AO302" s="39">
        <f>L302</f>
        <v>285.75</v>
      </c>
      <c r="AP302" s="39"/>
      <c r="AQ302" s="39"/>
      <c r="AR302" s="7"/>
      <c r="AS302" s="4">
        <f>K302</f>
        <v>285.75</v>
      </c>
      <c r="AT302" s="4">
        <f>IF(K302*3&gt;W302+N302, Q302, (S302+N302/2)*2+1.5*K302*(2*X302-2))*(3*K302)/(9*K302^2)</f>
        <v>0.50074074074074071</v>
      </c>
      <c r="AU302" s="4">
        <f>MIN(10*M302^0.5*K302^1.5,100*3.9*M302^0.5*K302^(5/3))/(PI()/4*N302^2)/X302</f>
        <v>293.55493918404102</v>
      </c>
      <c r="AV302" s="4">
        <f>MIN(0.7+0.3*(MIN(S302,AA302)+0.5*N302)/1.5/K302,1)</f>
        <v>0.7533333333333333</v>
      </c>
      <c r="AW302" s="4">
        <v>1.25</v>
      </c>
      <c r="AX302" s="4">
        <f>AX301</f>
        <v>2.5</v>
      </c>
      <c r="AY302" s="38">
        <f>AT302*AV302*AW302*AX302*AU302</f>
        <v>346.05053540726112</v>
      </c>
      <c r="AZ302" s="38">
        <f>AY302</f>
        <v>346.05053540726112</v>
      </c>
      <c r="BA302" s="38">
        <f>IF(M302&lt;50, 0.3*M302^(2/3), 2.12*LN(1+0.1*(M302+8)))</f>
        <v>3.3867596705239982</v>
      </c>
      <c r="BB302" s="38">
        <f>AX302* (M302^0.5/AS302^0.5)/(PI()/4*N302^2)/X302/0.72 *(0.7+(MIN(S302,AA302)+0.5*N302)/5/K302) *(3*Q302*K302)</f>
        <v>346.05053540726101</v>
      </c>
      <c r="BC302" s="38">
        <f>AY302/BB302</f>
        <v>1.0000000000000002</v>
      </c>
      <c r="BD302" s="38">
        <f>BH302/BB302</f>
        <v>1.3951235475912487</v>
      </c>
      <c r="BE302" s="4">
        <f>IF(BD302&lt;1,1,0)</f>
        <v>0</v>
      </c>
      <c r="BF302" s="4">
        <f>L302/N302*M302^0.5/0.19</f>
        <v>364.66683279361564</v>
      </c>
      <c r="BG302" s="4">
        <f>MIN(0.6+0.4*(AC302/AB302),2)</f>
        <v>1</v>
      </c>
      <c r="BH302" s="38">
        <f>2*M302*AB302*AD302^0.5*BG302*0.7/0.7</f>
        <v>482.78325060322902</v>
      </c>
      <c r="BI302" s="4">
        <f>MAX(1-0.7*AE302/5,0.3)</f>
        <v>0.37</v>
      </c>
      <c r="BJ302" s="4">
        <f>BI302*J302*L302/(J302*N302/2.75/M302^0.5)</f>
        <v>70.499215449825741</v>
      </c>
      <c r="BK302" s="4">
        <f>BH302+BJ302</f>
        <v>553.2824660530548</v>
      </c>
      <c r="BM302" s="4">
        <f>MIN(1.5, 0.75+0.25*MIN(3,MAX(1,S302/N302))+0.4*MIN(1,(40*2*PI()*AM302^2/4/AO302/X302)/N302))</f>
        <v>1.375</v>
      </c>
      <c r="BN302" s="4">
        <f>(3*P302+30)*BM302*M302^0.5</f>
        <v>539.8588570482151</v>
      </c>
      <c r="BP302" s="4">
        <f>3.4/PI()^0.5*M302*AB302*AE302^0.5*BG302</f>
        <v>463.04817787283525</v>
      </c>
      <c r="BQ302" s="4">
        <f>8/3*AH302*AI302^2/(AG302-N302-22)/N302*(AG302^2-N302^2)/(AG302^2-(N302+22)^2)</f>
        <v>0</v>
      </c>
      <c r="BR302" s="4">
        <f>BQ302/BP302</f>
        <v>0</v>
      </c>
      <c r="BZ302" s="4">
        <f>IF(W302=0,S302,MIN(W302/2,S302))</f>
        <v>63.5</v>
      </c>
      <c r="CD302" s="9"/>
      <c r="CF302" s="9"/>
      <c r="CG302" s="9"/>
      <c r="CH302" s="9">
        <f>IF(W302=0,MIN(S302,U302),MIN(W302/2,S302,U302))</f>
        <v>63.5</v>
      </c>
      <c r="CI302" s="9">
        <f>MAX(W302/2,S302)</f>
        <v>125.72999999999996</v>
      </c>
      <c r="CJ302" s="9">
        <f>(CH302/N302)^0.5*(CI302/CH302)^0.15</f>
        <v>1.7517405482385959</v>
      </c>
      <c r="CK302" s="70">
        <f>IF(AO302&gt;1,20,0)</f>
        <v>20</v>
      </c>
      <c r="CL302" s="9">
        <f>MIN(PI()*AM302^2/4*AN302*2/X302/N302/MAX(0.01,AO302),0.05)</f>
        <v>0</v>
      </c>
      <c r="CM302" s="9">
        <f>MAX(0,CK302*(CL302-0.5/50))</f>
        <v>0</v>
      </c>
      <c r="CN302" s="9">
        <f>MIN(1,(25/N302)^0.3)</f>
        <v>0.99524931562137331</v>
      </c>
      <c r="CO302" s="9">
        <f>IF(J302&gt;=800,0.68,IF(J302&gt;=700,0.75-(J302-700)*0.07/100,IF(J302&gt;=600,0.85-(J302-600)*0.1/100,IF(J302&gt;=500,1-(J302-500)*0.15/100,1.2-(J302-400)*0.2/100))))</f>
        <v>0.68048275862068963</v>
      </c>
      <c r="CP302" s="9">
        <f>1.75*CN302*CO302*(M302/25)^0.5</f>
        <v>1.4598707313117956</v>
      </c>
      <c r="CQ302" s="9">
        <f>MIN((CJ302+CM302)*CP302,2.5*CP302,M302^0.5)</f>
        <v>2.5573147552256046</v>
      </c>
      <c r="CR302" s="40">
        <v>1</v>
      </c>
      <c r="CS302" s="9">
        <f>4*CQ302*P302+60*CQ302</f>
        <v>268.51804929868848</v>
      </c>
      <c r="CU302" s="4">
        <f>AJ302/BF302</f>
        <v>1.6131871866776055</v>
      </c>
      <c r="CV302" s="4">
        <f>AJ302/BK302</f>
        <v>1.0632468913492648</v>
      </c>
      <c r="CW302" s="4">
        <f>AJ302/BN302</f>
        <v>1.0896845617861677</v>
      </c>
      <c r="CX302" s="4">
        <f>AJ302/CS302</f>
        <v>2.1908242801756375</v>
      </c>
      <c r="CY302" s="4">
        <f>AJ302/DZ302</f>
        <v>0.90762534595970545</v>
      </c>
      <c r="CZ302" s="4">
        <f>AJ302/EL302</f>
        <v>0.97146948096887209</v>
      </c>
      <c r="DA302" s="4">
        <f>AJ302/GI302</f>
        <v>1.0565427698472931</v>
      </c>
      <c r="DB302" s="4">
        <f>AN302</f>
        <v>0</v>
      </c>
      <c r="DC302" s="4">
        <f>CU302</f>
        <v>1.6131871866776055</v>
      </c>
      <c r="DD302" s="4">
        <f>CV302</f>
        <v>1.0632468913492648</v>
      </c>
      <c r="DE302" s="4">
        <f>CX302</f>
        <v>2.1908242801756375</v>
      </c>
      <c r="DF302" s="4">
        <f>DA302</f>
        <v>1.0565427698472931</v>
      </c>
      <c r="DG302" s="4">
        <f>CY302</f>
        <v>0.90762534595970545</v>
      </c>
      <c r="DH302" s="4">
        <f>CZ302</f>
        <v>0.97146948096887209</v>
      </c>
      <c r="DQ302" s="4">
        <f>L302</f>
        <v>285.75</v>
      </c>
      <c r="DT302" s="4">
        <f>K302/4/(1-0.3*(M302/30)^0.5)/200000/N302</f>
        <v>2.1221044451000022E-5</v>
      </c>
      <c r="DU302" s="4">
        <f>EP302</f>
        <v>7.7815993963460848</v>
      </c>
      <c r="DV302" s="4">
        <f>EC302*AG302/257/M302/AD302</f>
        <v>0.4699095404899471</v>
      </c>
      <c r="DW302" s="4">
        <f>DU302*DV302^0.4</f>
        <v>5.7527377219882574</v>
      </c>
      <c r="DX302" s="4">
        <f>MIN(DU302, DU302/1.4*(1-DV302^1.4)/(1-DV302))</f>
        <v>6.8429466892191968</v>
      </c>
      <c r="DY302" s="4">
        <f>MAX(DU302/2, (4-DT302*(8*AG302*(DW302-DX302)+6*K302*DX302))/(4+DT302*K302*DU302)*DU302)</f>
        <v>7.2333707816262507</v>
      </c>
      <c r="DZ302" s="38">
        <f>MIN(1/N302*(4*AG302*(DW302-DX302)+(3*DX302+DY302)*K302)+EC302 -FJ302,MAX(J302,AJ302))</f>
        <v>648.14834081890262</v>
      </c>
      <c r="EA302" s="4">
        <f>DZ302/FF302</f>
        <v>1.0001135640764247</v>
      </c>
      <c r="EB302" s="4">
        <f>AG302/N302</f>
        <v>2.3452078799117149</v>
      </c>
      <c r="EC302" s="4">
        <f>MIN(EB$10*BB302)</f>
        <v>346.05053540726101</v>
      </c>
      <c r="EG302" s="4">
        <f>IF(U302&gt;1*N302,0.85,1)</f>
        <v>0.85</v>
      </c>
      <c r="EH302" s="4">
        <f>MIN(1,MAX(0.7,(1-0.1*(BZ302-1*N302)/N302)))</f>
        <v>0.85</v>
      </c>
      <c r="EI302" s="4">
        <f>MIN(1,MAX(0.7,1-0.3*(PI()*AM302^2/4*AQ302*2-0.25*PI()/4*N302^2)/(PI()/4*N302^2)))</f>
        <v>1</v>
      </c>
      <c r="EJ302" s="4">
        <f>IF(EH302*EI302&lt;0.7,0.7,EH302*EI302)</f>
        <v>0.85</v>
      </c>
      <c r="EL302" s="4">
        <f>MIN(DU302/N302*3*K302+EM302-FJ302,MAX(J302,AJ302))</f>
        <v>605.55259181406564</v>
      </c>
      <c r="EM302" s="25">
        <f>13.3*Q302*K302^0.5*M302^0.5/X302/N302^2*(0.7+S302/5/K302)</f>
        <v>342.92361218738517</v>
      </c>
      <c r="EO302" s="4">
        <f>EG302*EJ302</f>
        <v>0.72249999999999992</v>
      </c>
      <c r="EP302" s="4">
        <f>IF(N302&lt;22.2,1.1*5*(M302/30)^0.5,IF(N302&gt;=31.8,0.9*5*(M302/30)^0.5,1*5*(M302/30)^0.5))/EG302/EJ302</f>
        <v>7.7815993963460848</v>
      </c>
      <c r="ES302" s="4">
        <f>ET302*N302</f>
        <v>59.568280149757555</v>
      </c>
      <c r="ET302" s="4">
        <f>AF302^0.5</f>
        <v>2.3452078799117149</v>
      </c>
      <c r="EU302" s="4">
        <f>MIN(EC302)/(4700*M302^0.5)/AE302*ES302</f>
        <v>0.15825114885328698</v>
      </c>
      <c r="EX302" s="4">
        <f>EU302</f>
        <v>0.15825114885328698</v>
      </c>
      <c r="EY302" s="4">
        <f>MIN(0.999, EX302/(0.3*(M302/30)^0.5))</f>
        <v>0.46912534904610242</v>
      </c>
      <c r="EZ302" s="4">
        <f>EP302/1*EY302^0.4</f>
        <v>5.7488956989151347</v>
      </c>
      <c r="FA302" s="4">
        <f>EP302/1.4*(1-EY302^1.4)/(1-EY302)</f>
        <v>6.8413334294190342</v>
      </c>
      <c r="FB302" s="4">
        <f>MAX(0,DQ302*FB$9-ES302)</f>
        <v>154.74421985024244</v>
      </c>
      <c r="FC302" s="4">
        <f>MAX(0,DQ302-ES302-FB302)</f>
        <v>71.4375</v>
      </c>
      <c r="FD302" s="4">
        <f>FC302/(1-0.3*(M302/30)^0.5)/200000/N302</f>
        <v>2.1221044451000022E-5</v>
      </c>
      <c r="FE302" s="4">
        <f>MAX(0.5*EP302, (1-2*FD302*(ES302*EZ302+FB302*FA302))/(1/EP302+FD302*FC302))</f>
        <v>7.233526973750263</v>
      </c>
      <c r="FF302" s="4">
        <f>MIN(4/N302*(1*EZ302*ES302+FA302*FB302+FC302*FE302)+EC302,MAX(J302,AJ302))</f>
        <v>648.07474280928136</v>
      </c>
      <c r="FI302" s="4">
        <f>5.25*25.4</f>
        <v>133.35</v>
      </c>
      <c r="FO302" s="23">
        <f>IF(CU302&lt;0.6,0.6,IF(CU302&lt;0.8,0.8,IF(CU302&lt;1,1,IF(CU302&lt;1.2,1.2,IF(CU302&lt;1.4,1.4,IF(CU302&lt;1.6,1.6,IF(CU302&lt;1.8,1.8,IF(CU302&lt;2,2,2.2))))))))</f>
        <v>1.8</v>
      </c>
      <c r="FP302" s="23">
        <f>IF(CV302&lt;0.6,0.6,IF(CV302&lt;0.8,0.8,IF(CV302&lt;1,1,IF(CV302&lt;1.2,1.2,IF(CV302&lt;1.4,1.4,IF(CV302&lt;1.6,1.6,IF(CV302&lt;1.8,1.8,IF(CV302&lt;2,2,2.2))))))))</f>
        <v>1.2</v>
      </c>
      <c r="FQ302" s="23">
        <f>IF(DA302&lt;0.6,0.6,IF(DA302&lt;0.8,0.8,IF(DA302&lt;1,1,IF(DA302&lt;1.2,1.2,IF(DA302&lt;1.4,1.4,IF(DA302&lt;1.6,1.6,IF(DA302&lt;1.8,1.8,IF(DA302&lt;2,2,2.2))))))))</f>
        <v>1.2</v>
      </c>
      <c r="FR302" s="23">
        <f>IF(CX302&lt;0.6,0.6,IF(CX302&lt;0.8,0.8,IF(CX302&lt;1,1,IF(CX302&lt;1.2,1.2,IF(CX302&lt;1.4,1.4,IF(CX302&lt;1.6,1.6,IF(CX302&lt;1.8,1.8,IF(CX302&lt;2,2,2.2))))))))</f>
        <v>2.2000000000000002</v>
      </c>
      <c r="FS302" s="23">
        <f>IF(CY302&lt;0.6,0.6,IF(CY302&lt;0.8,0.8,IF(CY302&lt;1,1,IF(CY302&lt;1.2,1.2,IF(CY302&lt;1.4,1.4,IF(CY302&lt;1.6,1.6,IF(CY302&lt;1.8,1.8,IF(CY302&lt;2,2,2.2))))))))</f>
        <v>1</v>
      </c>
      <c r="FT302" s="23">
        <f>IF(CZ302&lt;0.6,0.6,IF(CZ302&lt;0.8,0.8,IF(CZ302&lt;1,1,IF(CZ302&lt;1.2,1.2,IF(CZ302&lt;1.4,1.4,IF(CZ302&lt;1.6,1.6,IF(CZ302&lt;1.8,1.8,IF(CZ302&lt;2,2,2.2))))))))</f>
        <v>1</v>
      </c>
      <c r="FU302" s="23">
        <f>IF(FS302&lt;1,1,0)</f>
        <v>0</v>
      </c>
      <c r="FV302" s="23"/>
      <c r="GF302" s="4">
        <f>IF(S302&gt;=2.5*25.4,1,1.25)</f>
        <v>1</v>
      </c>
      <c r="GG302" s="4">
        <f>IF(AO302&gt;1, 0.05*(18-MIN(8,(W302+N302)/N302))*(1-48000/MAX(60000,(J302*145))*(N302/25.4)^0.75*GH302), 1/12*(14-MIN(8,(W302+N302)/N302)))</f>
        <v>0.5</v>
      </c>
      <c r="GH302" s="4">
        <f>MIN(0.3, AM302^2*PI()/4*2*AP302/(N302^2*PI()/4*X302))</f>
        <v>0</v>
      </c>
      <c r="GI302" s="4">
        <f>(K302/25.4)/(N302/25.4)^1.5/0.0024*(M302*145)^0.25/GF302/GG302/145</f>
        <v>556.79323057976319</v>
      </c>
    </row>
    <row r="303" spans="1:191" ht="12" customHeight="1" x14ac:dyDescent="0.3">
      <c r="A303" s="25">
        <v>216</v>
      </c>
      <c r="B303" s="24" t="s">
        <v>182</v>
      </c>
      <c r="C303" s="4">
        <v>1996</v>
      </c>
      <c r="D303" s="24" t="s">
        <v>309</v>
      </c>
      <c r="E303" s="24"/>
      <c r="F303" s="24"/>
      <c r="G303" s="24">
        <v>5</v>
      </c>
      <c r="H303" s="4" t="s">
        <v>350</v>
      </c>
      <c r="I303" s="5">
        <f>K303/N303</f>
        <v>7.9608938547486039</v>
      </c>
      <c r="J303" s="110">
        <v>556</v>
      </c>
      <c r="K303" s="111">
        <f>381-U303-20</f>
        <v>285</v>
      </c>
      <c r="L303" s="7">
        <f>K303</f>
        <v>285</v>
      </c>
      <c r="M303" s="84">
        <v>33.200000000000003</v>
      </c>
      <c r="N303" s="105">
        <v>35.799999999999997</v>
      </c>
      <c r="O303" s="7">
        <f>K303/N303</f>
        <v>7.9608938547486039</v>
      </c>
      <c r="P303" s="7">
        <f>L303/N303</f>
        <v>7.9608938547486039</v>
      </c>
      <c r="Q303" s="7">
        <v>305</v>
      </c>
      <c r="R303" s="32">
        <f>S303/N303</f>
        <v>2.1229050279329611</v>
      </c>
      <c r="S303" s="7">
        <v>76</v>
      </c>
      <c r="T303" s="32">
        <f>U303/N303</f>
        <v>2.1229050279329611</v>
      </c>
      <c r="U303" s="7">
        <v>76</v>
      </c>
      <c r="V303" s="32">
        <f>W303/N303</f>
        <v>2.2737430167597767</v>
      </c>
      <c r="W303" s="7">
        <f>Q303-2*N303-2*S303</f>
        <v>81.400000000000006</v>
      </c>
      <c r="X303" s="7">
        <v>2</v>
      </c>
      <c r="Y303" s="7">
        <f>AN303</f>
        <v>0</v>
      </c>
      <c r="Z303" s="32">
        <f>AA303/N303</f>
        <v>7.8212290502793298</v>
      </c>
      <c r="AA303" s="7">
        <f>775-(343+152)</f>
        <v>280</v>
      </c>
      <c r="AB303" s="7">
        <f>MIN(S303/N303+0.5, W303/2/N303+0.5)</f>
        <v>1.6368715083798884</v>
      </c>
      <c r="AC303" s="7">
        <f>S303/N303+0.5</f>
        <v>2.6229050279329611</v>
      </c>
      <c r="AD303" s="7">
        <f>2970/(N303^2*PI()/4)-1</f>
        <v>1.9505332604034158</v>
      </c>
      <c r="AE303" s="7">
        <f>2970/(N303^2*PI()/4)-1</f>
        <v>1.9505332604034158</v>
      </c>
      <c r="AF303" s="7">
        <f>AE303+1</f>
        <v>2.9505332604034158</v>
      </c>
      <c r="AG303" s="7">
        <f>N303*AF303^0.5</f>
        <v>61.494076526633307</v>
      </c>
      <c r="AH303" s="7">
        <f>J303</f>
        <v>556</v>
      </c>
      <c r="AI303" s="7">
        <v>20</v>
      </c>
      <c r="AJ303" s="7">
        <f>306*1000/(N303^2*PI()/4)</f>
        <v>303.99433592035194</v>
      </c>
      <c r="AK303" s="7"/>
      <c r="AL303" s="4">
        <f>CY303</f>
        <v>1.1163081599228812</v>
      </c>
      <c r="AM303" s="7">
        <v>0</v>
      </c>
      <c r="AN303" s="7">
        <v>0</v>
      </c>
      <c r="AO303" s="7">
        <f>L303</f>
        <v>285</v>
      </c>
      <c r="AP303" s="7"/>
      <c r="AQ303" s="7"/>
      <c r="AR303" s="7">
        <f>3*AS303/(W303+N303)</f>
        <v>7.2952218430034126</v>
      </c>
      <c r="AS303" s="4">
        <f>K303</f>
        <v>285</v>
      </c>
      <c r="AT303" s="4">
        <f>IF(K303*3&gt;W303+N303, Q303, (S303+N303/2)*2+1.5*K303*(2*X303-2))*(3*K303)/(9*K303^2)</f>
        <v>0.35672514619883039</v>
      </c>
      <c r="AU303" s="4">
        <f>MIN(10*M303^0.5*K303^1.5,100*3.9*M303^0.5*K303^(5/3))/(PI()/4*N303^2)/X303</f>
        <v>137.70521941374017</v>
      </c>
      <c r="AV303" s="4">
        <f>MIN(0.7+0.3*(MIN(S303,AA303)+0.5*N303)/1.5/K303,1)</f>
        <v>0.76589473684210518</v>
      </c>
      <c r="AW303" s="4">
        <v>1.25</v>
      </c>
      <c r="AX303" s="4">
        <f>AX302</f>
        <v>2.5</v>
      </c>
      <c r="AY303" s="38">
        <f>AT303*AV303*AW303*AX303*AU303</f>
        <v>117.57181779723911</v>
      </c>
      <c r="AZ303" s="38">
        <f>AY303</f>
        <v>117.57181779723911</v>
      </c>
      <c r="BA303" s="38">
        <f>IF(M303&lt;50, 0.3*M303^(2/3), 2.12*LN(1+0.1*(M303+8)))</f>
        <v>3.098941018792384</v>
      </c>
      <c r="BB303" s="38">
        <f>AX303* (M303^0.5/AS303^0.5)/(PI()/4*N303^2)/X303/0.72 *(0.7+(MIN(S303,AA303)+0.5*N303)/5/K303) *(3*Q303*K303)</f>
        <v>117.57181779723915</v>
      </c>
      <c r="BC303" s="38">
        <f>AY303/BB303</f>
        <v>0.99999999999999967</v>
      </c>
      <c r="BD303" s="38">
        <f>BH303/BB303</f>
        <v>1.6021839252307555</v>
      </c>
      <c r="BE303" s="4">
        <f>IF(BD303&lt;1,1,0)</f>
        <v>0</v>
      </c>
      <c r="BF303" s="4">
        <f>L303/N303*M303^0.5/0.19</f>
        <v>241.42223951208828</v>
      </c>
      <c r="BG303" s="4">
        <f>MIN(0.6+0.4*(AC303/AB303),2)</f>
        <v>1.2409556313993173</v>
      </c>
      <c r="BH303" s="38">
        <f>2*M303*AB303*AD303^0.5*BG303*0.7/0.7</f>
        <v>188.37167653489581</v>
      </c>
      <c r="BI303" s="4">
        <f>MAX(1-0.7*AE303/5,0.3)</f>
        <v>0.72692534354352178</v>
      </c>
      <c r="BJ303" s="4">
        <f>BI303*J303*L303/(J303*N303/2.75/M303^0.5)</f>
        <v>91.696630947103927</v>
      </c>
      <c r="BK303" s="4">
        <f>BH303+BJ303</f>
        <v>280.06830748199974</v>
      </c>
      <c r="BM303" s="4">
        <f>MIN(1.5, 0.75+0.25*MIN(3,MAX(1,S303/N303))+0.4*MIN(1,(40*2*PI()*AM303^2/4/AO303/X303)/N303))</f>
        <v>1.2807262569832403</v>
      </c>
      <c r="BN303" s="4">
        <f>(3*P303+30)*BM303*M303^0.5</f>
        <v>397.62580029539703</v>
      </c>
      <c r="BP303" s="4">
        <f>3.4/PI()^0.5*M303*AB303*AE303^0.5*BG303</f>
        <v>180.67147415190635</v>
      </c>
      <c r="BQ303" s="4">
        <f>8/3*AH303*AI303^2/(AG303-N303-22)/N303*(AG303^2-N303^2)/(AG303^2-(N303+22)^2)</f>
        <v>25439.539549546142</v>
      </c>
      <c r="BR303" s="4">
        <f>BQ303/BP303</f>
        <v>140.80551270731809</v>
      </c>
      <c r="BZ303" s="4">
        <f>IF(W303=0,S303,MIN(W303/2,S303))</f>
        <v>40.700000000000003</v>
      </c>
      <c r="CD303" s="9"/>
      <c r="CF303" s="9"/>
      <c r="CG303" s="9"/>
      <c r="CH303" s="9">
        <f>IF(W303=0,MIN(S303,U303),MIN(W303/2,S303,U303))</f>
        <v>40.700000000000003</v>
      </c>
      <c r="CI303" s="9">
        <f>MAX(W303/2,S303)</f>
        <v>76</v>
      </c>
      <c r="CJ303" s="9">
        <f>(CH303/N303)^0.5*(CI303/CH303)^0.15</f>
        <v>1.1709505872794554</v>
      </c>
      <c r="CK303" s="70">
        <v>0</v>
      </c>
      <c r="CL303" s="9">
        <f>MIN(PI()*AM303^2/4*AN303*2/X303/N303/MAX(0.01,AO303),0.05)</f>
        <v>0</v>
      </c>
      <c r="CM303" s="9">
        <f>MAX(0,CK303*(CL303-0.5/50))</f>
        <v>0</v>
      </c>
      <c r="CN303" s="9">
        <f>MIN(1,(25/N303)^0.3)</f>
        <v>0.89787751228078194</v>
      </c>
      <c r="CO303" s="9">
        <f>IF(J303&gt;=800,0.68,IF(J303&gt;=700,0.75-(J303-700)*0.07/100,IF(J303&gt;=600,0.85-(J303-600)*0.1/100,IF(J303&gt;=500,1-(J303-500)*0.15/100,1.2-(J303-400)*0.2/100))))</f>
        <v>0.91600000000000004</v>
      </c>
      <c r="CP303" s="9">
        <f>1.75*CN303*CO303*(M303/25)^0.5</f>
        <v>1.6586305277394953</v>
      </c>
      <c r="CQ303" s="9">
        <f>MIN((CJ303+CM303)*CP303,2.5*CP303,M303^0.5)</f>
        <v>1.942174390536195</v>
      </c>
      <c r="CR303" s="9">
        <v>1</v>
      </c>
      <c r="CS303" s="9">
        <f>4*CQ303*P303+60*CQ303</f>
        <v>178.37624011405055</v>
      </c>
      <c r="CU303" s="4">
        <f>AJ303/BF303</f>
        <v>1.2591811613326145</v>
      </c>
      <c r="CV303" s="4">
        <f>AJ303/BK303</f>
        <v>1.0854292606452445</v>
      </c>
      <c r="CW303" s="4">
        <f>AJ303/BN303</f>
        <v>0.76452366947646233</v>
      </c>
      <c r="CX303" s="4">
        <f>AJ303/CS303</f>
        <v>1.7042311000948527</v>
      </c>
      <c r="CY303" s="4">
        <f>AJ303/DZ303</f>
        <v>1.1163081599228812</v>
      </c>
      <c r="CZ303" s="4">
        <f>AJ303/EL303</f>
        <v>1.2119877238401617</v>
      </c>
      <c r="DA303" s="4">
        <f>AJ303/GI303</f>
        <v>1.3945799441927671</v>
      </c>
      <c r="DC303" s="4">
        <f>CU303</f>
        <v>1.2591811613326145</v>
      </c>
      <c r="DD303" s="4">
        <f>CV303</f>
        <v>1.0854292606452445</v>
      </c>
      <c r="DE303" s="4">
        <f>CX303</f>
        <v>1.7042311000948527</v>
      </c>
      <c r="DF303" s="4">
        <f>DA303</f>
        <v>1.3945799441927671</v>
      </c>
      <c r="DG303" s="4">
        <f>CY303</f>
        <v>1.1163081599228812</v>
      </c>
      <c r="DH303" s="4">
        <f>CZ303</f>
        <v>1.2119877238401617</v>
      </c>
      <c r="DP303" s="4">
        <f>AN303</f>
        <v>0</v>
      </c>
      <c r="DQ303" s="4">
        <f>L303</f>
        <v>285</v>
      </c>
      <c r="DT303" s="4">
        <f>K303/4/(1-0.3*(M303/30)^0.5)/200000/N303</f>
        <v>1.4539801168325371E-5</v>
      </c>
      <c r="DU303" s="4">
        <f>EP303</f>
        <v>5.6466037423412478</v>
      </c>
      <c r="DV303" s="4">
        <f>EC303*AG303/257/M303/AD303</f>
        <v>0.43442213896878051</v>
      </c>
      <c r="DW303" s="4">
        <f>DU303*DV303^0.4</f>
        <v>4.0453126399641084</v>
      </c>
      <c r="DX303" s="4">
        <f>MIN(DU303, DU303/1.4*(1-DV303^1.4)/(1-DV303))</f>
        <v>4.9118289205503318</v>
      </c>
      <c r="DY303" s="4">
        <f>MAX(DU303/2, (4-DT303*(8*AG303*(DW303-DX303)+6*K303*DX303))/(4+DT303*K303*DU303)*DU303)</f>
        <v>5.4510711945142196</v>
      </c>
      <c r="DZ303" s="38">
        <f>MIN(1/N303*(4*AG303*(DW303-DX303)+(3*DX303+DY303)*K303)+EC303 -FJ303,MAX(J303,AJ303))</f>
        <v>272.32116259129828</v>
      </c>
      <c r="EA303" s="4">
        <f>DZ303/FF303</f>
        <v>1.0001359896403019</v>
      </c>
      <c r="EB303" s="4">
        <f>AG303/N303</f>
        <v>1.7177116348221595</v>
      </c>
      <c r="EC303" s="4">
        <f>MIN(EB$10*BB303)</f>
        <v>117.57181779723915</v>
      </c>
      <c r="EG303" s="4">
        <f>IF(U303&gt;1*N303,0.85,1)</f>
        <v>0.85</v>
      </c>
      <c r="EH303" s="4">
        <f>MIN(1,MAX(0.7,(1-0.1*(BZ303-1*N303)/N303)))</f>
        <v>0.98631284916201112</v>
      </c>
      <c r="EI303" s="4">
        <f>MIN(1,MAX(0.7,1-0.3*(PI()*AM303^2/4*AQ303*2-0.25*PI()/4*N303^2)/(PI()/4*N303^2)))</f>
        <v>1</v>
      </c>
      <c r="EJ303" s="4">
        <f>IF(EH303*EI303&lt;0.7,0.7,EH303*EI303)</f>
        <v>0.98631284916201112</v>
      </c>
      <c r="EL303" s="4">
        <f>MIN(DU303/N303*3*K303+EM303-FJ303,MAX(J303,AJ303))</f>
        <v>250.82294972192562</v>
      </c>
      <c r="EM303" s="25">
        <f>13.3*Q303*K303^0.5*M303^0.5/X303/N303^2*(0.7+S303/5/K303)</f>
        <v>115.96691062411087</v>
      </c>
      <c r="EO303" s="4">
        <f>EG303*EJ303</f>
        <v>0.83836592178770941</v>
      </c>
      <c r="EP303" s="4">
        <f>IF(N303&lt;22.2,1.1*5*(M303/30)^0.5,IF(N303&gt;=31.8,0.9*5*(M303/30)^0.5,1*5*(M303/30)^0.5))/EG303/EJ303</f>
        <v>5.6466037423412478</v>
      </c>
      <c r="ES303" s="4">
        <f>ET303*N303</f>
        <v>61.494076526633307</v>
      </c>
      <c r="ET303" s="4">
        <f>AF303^0.5</f>
        <v>1.7177116348221595</v>
      </c>
      <c r="EU303" s="4">
        <f>MIN(EC303)/(4700*M303^0.5)/AE303*ES303</f>
        <v>0.13687251798402508</v>
      </c>
      <c r="EX303" s="4">
        <f>EU303</f>
        <v>0.13687251798402508</v>
      </c>
      <c r="EY303" s="4">
        <f>MIN(0.999, EX303/(0.3*(M303/30)^0.5))</f>
        <v>0.43369716938412217</v>
      </c>
      <c r="EZ303" s="4">
        <f>EP303/1*EY303^0.4</f>
        <v>4.0426109377047954</v>
      </c>
      <c r="FA303" s="4">
        <f>EP303/1.4*(1-EY303^1.4)/(1-EY303)</f>
        <v>4.9107178946531684</v>
      </c>
      <c r="FB303" s="4">
        <f>MAX(0,DQ303*FB$9-ES303)</f>
        <v>152.25592347336669</v>
      </c>
      <c r="FC303" s="4">
        <f>MAX(0,DQ303-ES303-FB303)</f>
        <v>71.25</v>
      </c>
      <c r="FD303" s="4">
        <f>FC303/(1-0.3*(M303/30)^0.5)/200000/N303</f>
        <v>1.4539801168325371E-5</v>
      </c>
      <c r="FE303" s="4">
        <f>MAX(0.5*EP303, (1-2*FD303*(ES303*EZ303+FB303*FA303))/(1/EP303+FD303*FC303))</f>
        <v>5.451125930747402</v>
      </c>
      <c r="FF303" s="4">
        <f>MIN(4/N303*(1*EZ303*ES303+FA303*FB303+FC303*FE303)+EC303,MAX(J303,AJ303))</f>
        <v>272.28413476975101</v>
      </c>
      <c r="FO303" s="23">
        <f>IF(CU303&lt;0.6,0.6,IF(CU303&lt;0.8,0.8,IF(CU303&lt;1,1,IF(CU303&lt;1.2,1.2,IF(CU303&lt;1.4,1.4,IF(CU303&lt;1.6,1.6,IF(CU303&lt;1.8,1.8,IF(CU303&lt;2,2,2.2))))))))</f>
        <v>1.4</v>
      </c>
      <c r="FP303" s="23">
        <f>IF(CV303&lt;0.6,0.6,IF(CV303&lt;0.8,0.8,IF(CV303&lt;1,1,IF(CV303&lt;1.2,1.2,IF(CV303&lt;1.4,1.4,IF(CV303&lt;1.6,1.6,IF(CV303&lt;1.8,1.8,IF(CV303&lt;2,2,2.2))))))))</f>
        <v>1.2</v>
      </c>
      <c r="FQ303" s="23">
        <f>IF(DA303&lt;0.6,0.6,IF(DA303&lt;0.8,0.8,IF(DA303&lt;1,1,IF(DA303&lt;1.2,1.2,IF(DA303&lt;1.4,1.4,IF(DA303&lt;1.6,1.6,IF(DA303&lt;1.8,1.8,IF(DA303&lt;2,2,2.2))))))))</f>
        <v>1.4</v>
      </c>
      <c r="FR303" s="23">
        <f>IF(CX303&lt;0.6,0.6,IF(CX303&lt;0.8,0.8,IF(CX303&lt;1,1,IF(CX303&lt;1.2,1.2,IF(CX303&lt;1.4,1.4,IF(CX303&lt;1.6,1.6,IF(CX303&lt;1.8,1.8,IF(CX303&lt;2,2,2.2))))))))</f>
        <v>1.8</v>
      </c>
      <c r="FS303" s="23">
        <f>IF(CY303&lt;0.6,0.6,IF(CY303&lt;0.8,0.8,IF(CY303&lt;1,1,IF(CY303&lt;1.2,1.2,IF(CY303&lt;1.4,1.4,IF(CY303&lt;1.6,1.6,IF(CY303&lt;1.8,1.8,IF(CY303&lt;2,2,2.2))))))))</f>
        <v>1.2</v>
      </c>
      <c r="FT303" s="23">
        <f>IF(CZ303&lt;0.6,0.6,IF(CZ303&lt;0.8,0.8,IF(CZ303&lt;1,1,IF(CZ303&lt;1.2,1.2,IF(CZ303&lt;1.4,1.4,IF(CZ303&lt;1.6,1.6,IF(CZ303&lt;1.8,1.8,IF(CZ303&lt;2,2,2.2))))))))</f>
        <v>1.4</v>
      </c>
      <c r="FU303" s="23">
        <f>IF(FS303&lt;1,1,0)</f>
        <v>0</v>
      </c>
      <c r="FV303" s="23"/>
      <c r="GF303" s="4">
        <f>IF(S303&gt;=2.5*25.4,1,1.25)</f>
        <v>1</v>
      </c>
      <c r="GG303" s="4">
        <f>IF(AO303&gt;1, 0.05*(18-MIN(8,(W303+N303)/N303))*(1-48000/MAX(60000,(J303*145))*(N303/25.4)^0.75*GH303), 1/12*(14-MIN(8,(W303+N303)/N303)))</f>
        <v>0.73631284916201123</v>
      </c>
      <c r="GH303" s="4">
        <f>MIN(0.3, AM303^2*PI()/4*2*AP303/(N303^2*PI()/4*X303))</f>
        <v>0</v>
      </c>
      <c r="GI303" s="4">
        <f>(K303/25.4)/(N303/25.4)^1.5/0.0024*(M303*145)^0.25/GF303/GG303/145</f>
        <v>217.98272460910428</v>
      </c>
    </row>
    <row r="304" spans="1:191" ht="12" customHeight="1" x14ac:dyDescent="0.3">
      <c r="A304" s="25">
        <v>217</v>
      </c>
      <c r="B304" s="24" t="s">
        <v>182</v>
      </c>
      <c r="C304" s="4">
        <v>1996</v>
      </c>
      <c r="D304" s="24" t="s">
        <v>309</v>
      </c>
      <c r="E304" s="24"/>
      <c r="F304" s="24"/>
      <c r="G304" s="24">
        <v>5</v>
      </c>
      <c r="H304" s="4" t="s">
        <v>351</v>
      </c>
      <c r="I304" s="5">
        <f>K304/N304</f>
        <v>7.9608938547486039</v>
      </c>
      <c r="J304" s="110">
        <v>556</v>
      </c>
      <c r="K304" s="111">
        <f>381-U304-20</f>
        <v>285</v>
      </c>
      <c r="L304" s="7">
        <f>K304</f>
        <v>285</v>
      </c>
      <c r="M304" s="112">
        <v>32.299999999999997</v>
      </c>
      <c r="N304" s="105">
        <v>35.799999999999997</v>
      </c>
      <c r="O304" s="7">
        <f>K304/N304</f>
        <v>7.9608938547486039</v>
      </c>
      <c r="P304" s="7">
        <f>L304/N304</f>
        <v>7.9608938547486039</v>
      </c>
      <c r="Q304" s="7">
        <v>305</v>
      </c>
      <c r="R304" s="32">
        <f>S304/N304</f>
        <v>2.1229050279329611</v>
      </c>
      <c r="S304" s="7">
        <v>76</v>
      </c>
      <c r="T304" s="32">
        <f>U304/N304</f>
        <v>2.1229050279329611</v>
      </c>
      <c r="U304" s="7">
        <v>76</v>
      </c>
      <c r="V304" s="32">
        <f>W304/N304</f>
        <v>2.2737430167597767</v>
      </c>
      <c r="W304" s="7">
        <f>Q304-2*N304-2*S304</f>
        <v>81.400000000000006</v>
      </c>
      <c r="X304" s="7">
        <v>2</v>
      </c>
      <c r="Y304" s="7">
        <f>AN304</f>
        <v>0</v>
      </c>
      <c r="Z304" s="32">
        <f>AA304/N304</f>
        <v>7.8212290502793298</v>
      </c>
      <c r="AA304" s="7">
        <f>775-(343+152)</f>
        <v>280</v>
      </c>
      <c r="AB304" s="7">
        <f>MIN(S304/N304+0.5, W304/2/N304+0.5)</f>
        <v>1.6368715083798884</v>
      </c>
      <c r="AC304" s="7">
        <f>S304/N304+0.5</f>
        <v>2.6229050279329611</v>
      </c>
      <c r="AD304" s="7">
        <f>2970/(N304^2*PI()/4)-1</f>
        <v>1.9505332604034158</v>
      </c>
      <c r="AE304" s="7">
        <f>2970/(N304^2*PI()/4)-1</f>
        <v>1.9505332604034158</v>
      </c>
      <c r="AF304" s="7">
        <f>AE304+1</f>
        <v>2.9505332604034158</v>
      </c>
      <c r="AG304" s="7">
        <f>N304*AF304^0.5</f>
        <v>61.494076526633307</v>
      </c>
      <c r="AH304" s="7">
        <f>J304</f>
        <v>556</v>
      </c>
      <c r="AI304" s="7">
        <v>20</v>
      </c>
      <c r="AJ304" s="7">
        <f>357*1000/(N304^2*PI()/4)</f>
        <v>354.66005857374392</v>
      </c>
      <c r="AK304" s="7"/>
      <c r="AL304" s="4">
        <f>CY304</f>
        <v>1.3187489627900544</v>
      </c>
      <c r="AM304" s="7">
        <v>0</v>
      </c>
      <c r="AN304" s="7">
        <v>0</v>
      </c>
      <c r="AO304" s="7">
        <f>L304</f>
        <v>285</v>
      </c>
      <c r="AP304" s="7"/>
      <c r="AQ304" s="7"/>
      <c r="AR304" s="7">
        <f>3*AS304/(W304+N304)</f>
        <v>7.2952218430034126</v>
      </c>
      <c r="AS304" s="4">
        <f>K304</f>
        <v>285</v>
      </c>
      <c r="AT304" s="4">
        <f>IF(K304*3&gt;W304+N304, Q304, (S304+N304/2)*2+1.5*K304*(2*X304-2))*(3*K304)/(9*K304^2)</f>
        <v>0.35672514619883039</v>
      </c>
      <c r="AU304" s="4">
        <f>MIN(10*M304^0.5*K304^1.5,100*3.9*M304^0.5*K304^(5/3))/(PI()/4*N304^2)/X304</f>
        <v>135.82590921165087</v>
      </c>
      <c r="AV304" s="4">
        <f>MIN(0.7+0.3*(MIN(S304,AA304)+0.5*N304)/1.5/K304,1)</f>
        <v>0.76589473684210518</v>
      </c>
      <c r="AW304" s="4">
        <v>1.25</v>
      </c>
      <c r="AX304" s="4">
        <f>AX303</f>
        <v>2.5</v>
      </c>
      <c r="AY304" s="38">
        <f>AT304*AV304*AW304*AX304*AU304</f>
        <v>115.9672750093534</v>
      </c>
      <c r="AZ304" s="38">
        <f>AY304</f>
        <v>115.9672750093534</v>
      </c>
      <c r="BA304" s="38">
        <f>IF(M304&lt;50, 0.3*M304^(2/3), 2.12*LN(1+0.1*(M304+8)))</f>
        <v>3.042679928466983</v>
      </c>
      <c r="BB304" s="38">
        <f>AX304* (M304^0.5/AS304^0.5)/(PI()/4*N304^2)/X304/0.72 *(0.7+(MIN(S304,AA304)+0.5*N304)/5/K304) *(3*Q304*K304)</f>
        <v>115.96727500935347</v>
      </c>
      <c r="BC304" s="38">
        <f>AY304/BB304</f>
        <v>0.99999999999999933</v>
      </c>
      <c r="BD304" s="38">
        <f>BH304/BB304</f>
        <v>1.5803183735172579</v>
      </c>
      <c r="BE304" s="4">
        <f>IF(BD304&lt;1,1,0)</f>
        <v>0</v>
      </c>
      <c r="BF304" s="4">
        <f>L304/N304*M304^0.5/0.19</f>
        <v>238.12746768239367</v>
      </c>
      <c r="BG304" s="4">
        <f>MIN(0.6+0.4*(AC304/AB304),2)</f>
        <v>1.2409556313993173</v>
      </c>
      <c r="BH304" s="38">
        <f>2*M304*AB304*AD304^0.5*BG304*0.7/0.7</f>
        <v>183.26521542401002</v>
      </c>
      <c r="BI304" s="4">
        <f>MAX(1-0.7*AE304/5,0.3)</f>
        <v>0.72692534354352178</v>
      </c>
      <c r="BJ304" s="4">
        <f>BI304*J304*L304/(J304*N304/2.75/M304^0.5)</f>
        <v>90.445215679260329</v>
      </c>
      <c r="BK304" s="4">
        <f>BH304+BJ304</f>
        <v>273.71043110327037</v>
      </c>
      <c r="BM304" s="4">
        <f>MIN(1.5, 0.75+0.25*MIN(3,MAX(1,S304/N304))+0.4*MIN(1,(40*2*PI()*AM304^2/4/AO304/X304)/N304))</f>
        <v>1.2807262569832403</v>
      </c>
      <c r="BN304" s="4">
        <f>(3*P304+30)*BM304*M304^0.5</f>
        <v>392.19926507552367</v>
      </c>
      <c r="BP304" s="4">
        <f>3.4/PI()^0.5*M304*AB304*AE304^0.5*BG304</f>
        <v>175.77375346706549</v>
      </c>
      <c r="BQ304" s="4">
        <f>8/3*AH304*AI304^2/(AG304-N304-22)/N304*(AG304^2-N304^2)/(AG304^2-(N304+22)^2)</f>
        <v>25439.539549546142</v>
      </c>
      <c r="BR304" s="4">
        <f>BQ304/BP304</f>
        <v>144.72888612640747</v>
      </c>
      <c r="BZ304" s="4">
        <f>IF(W304=0,S304,MIN(W304/2,S304))</f>
        <v>40.700000000000003</v>
      </c>
      <c r="CD304" s="9"/>
      <c r="CF304" s="9"/>
      <c r="CG304" s="9"/>
      <c r="CH304" s="9">
        <f>IF(W304=0,MIN(S304,U304),MIN(W304/2,S304,U304))</f>
        <v>40.700000000000003</v>
      </c>
      <c r="CI304" s="9">
        <f>MAX(W304/2,S304)</f>
        <v>76</v>
      </c>
      <c r="CJ304" s="9">
        <f>(CH304/N304)^0.5*(CI304/CH304)^0.15</f>
        <v>1.1709505872794554</v>
      </c>
      <c r="CK304" s="70">
        <v>0</v>
      </c>
      <c r="CL304" s="9">
        <f>MIN(PI()*AM304^2/4*AN304*2/X304/N304/MAX(0.01,AO304),0.05)</f>
        <v>0</v>
      </c>
      <c r="CM304" s="9">
        <f>MAX(0,CK304*(CL304-0.5/50))</f>
        <v>0</v>
      </c>
      <c r="CN304" s="9">
        <f>MIN(1,(25/N304)^0.3)</f>
        <v>0.89787751228078194</v>
      </c>
      <c r="CO304" s="9">
        <f>IF(J304&gt;=800,0.68,IF(J304&gt;=700,0.75-(J304-700)*0.07/100,IF(J304&gt;=600,0.85-(J304-600)*0.1/100,IF(J304&gt;=500,1-(J304-500)*0.15/100,1.2-(J304-400)*0.2/100))))</f>
        <v>0.91600000000000004</v>
      </c>
      <c r="CP304" s="9">
        <f>1.75*CN304*CO304*(M304/25)^0.5</f>
        <v>1.6359946299460197</v>
      </c>
      <c r="CQ304" s="9">
        <f>MIN((CJ304+CM304)*CP304,2.5*CP304,M304^0.5)</f>
        <v>1.9156688727213271</v>
      </c>
      <c r="CR304" s="9">
        <v>1</v>
      </c>
      <c r="CS304" s="9">
        <f>4*CQ304*P304+60*CQ304</f>
        <v>175.94187858960123</v>
      </c>
      <c r="CU304" s="4">
        <f>AJ304/BF304</f>
        <v>1.4893706384463696</v>
      </c>
      <c r="CV304" s="4">
        <f>AJ304/BK304</f>
        <v>1.2957491504586884</v>
      </c>
      <c r="CW304" s="4">
        <f>AJ304/BN304</f>
        <v>0.90428537265476261</v>
      </c>
      <c r="CX304" s="4">
        <f>AJ304/CS304</f>
        <v>2.0157796507391934</v>
      </c>
      <c r="CY304" s="4">
        <f>AJ304/DZ304</f>
        <v>1.3187489627900544</v>
      </c>
      <c r="CZ304" s="4">
        <f>AJ304/EL304</f>
        <v>1.4335498222786425</v>
      </c>
      <c r="DA304" s="4">
        <f>AJ304/GI304</f>
        <v>1.6382270596938808</v>
      </c>
      <c r="DC304" s="4">
        <f>CU304</f>
        <v>1.4893706384463696</v>
      </c>
      <c r="DD304" s="4">
        <f>CV304</f>
        <v>1.2957491504586884</v>
      </c>
      <c r="DE304" s="4">
        <f>CX304</f>
        <v>2.0157796507391934</v>
      </c>
      <c r="DF304" s="4">
        <f>DA304</f>
        <v>1.6382270596938808</v>
      </c>
      <c r="DG304" s="4">
        <f>CY304</f>
        <v>1.3187489627900544</v>
      </c>
      <c r="DH304" s="4">
        <f>CZ304</f>
        <v>1.4335498222786425</v>
      </c>
      <c r="DP304" s="4">
        <f>AN304</f>
        <v>0</v>
      </c>
      <c r="DQ304" s="4">
        <f>L304</f>
        <v>285</v>
      </c>
      <c r="DT304" s="4">
        <f>K304/4/(1-0.3*(M304/30)^0.5)/200000/N304</f>
        <v>1.4448873022591579E-5</v>
      </c>
      <c r="DU304" s="4">
        <f>EP304</f>
        <v>5.5695426108509878</v>
      </c>
      <c r="DV304" s="4">
        <f>EC304*AG304/257/M304/AD304</f>
        <v>0.44043287699745309</v>
      </c>
      <c r="DW304" s="4">
        <f>DU304*DV304^0.4</f>
        <v>4.0120969880188291</v>
      </c>
      <c r="DX304" s="4">
        <f>MIN(DU304, DU304/1.4*(1-DV304^1.4)/(1-DV304))</f>
        <v>4.8538581180670093</v>
      </c>
      <c r="DY304" s="4">
        <f>MAX(DU304/2, (4-DT304*(8*AG304*(DW304-DX304)+6*K304*DX304))/(4+DT304*K304*DU304)*DU304)</f>
        <v>5.3800412813062595</v>
      </c>
      <c r="DZ304" s="38">
        <f>MIN(1/N304*(4*AG304*(DW304-DX304)+(3*DX304+DY304)*K304)+EC304 -FJ304,MAX(J304,AJ304))</f>
        <v>268.93674882852287</v>
      </c>
      <c r="EA304" s="4">
        <f>DZ304/FF304</f>
        <v>1.0001368566870967</v>
      </c>
      <c r="EB304" s="4">
        <f>AG304/N304</f>
        <v>1.7177116348221595</v>
      </c>
      <c r="EC304" s="4">
        <f>MIN(EB$10*BB304)</f>
        <v>115.96727500935347</v>
      </c>
      <c r="EG304" s="4">
        <f>IF(U304&gt;1*N304,0.85,1)</f>
        <v>0.85</v>
      </c>
      <c r="EH304" s="4">
        <f>MIN(1,MAX(0.7,(1-0.1*(BZ304-1*N304)/N304)))</f>
        <v>0.98631284916201112</v>
      </c>
      <c r="EI304" s="4">
        <f>MIN(1,MAX(0.7,1-0.3*(PI()*AM304^2/4*AQ304*2-0.25*PI()/4*N304^2)/(PI()/4*N304^2)))</f>
        <v>1</v>
      </c>
      <c r="EJ304" s="4">
        <f>IF(EH304*EI304&lt;0.7,0.7,EH304*EI304)</f>
        <v>0.98631284916201112</v>
      </c>
      <c r="EL304" s="4">
        <f>MIN(DU304/N304*3*K304+EM304-FJ304,MAX(J304,AJ304))</f>
        <v>247.39988318648602</v>
      </c>
      <c r="EM304" s="25">
        <f>13.3*Q304*K304^0.5*M304^0.5/X304/N304^2*(0.7+S304/5/K304)</f>
        <v>114.38427055303366</v>
      </c>
      <c r="EO304" s="4">
        <f>EG304*EJ304</f>
        <v>0.83836592178770941</v>
      </c>
      <c r="EP304" s="4">
        <f>IF(N304&lt;22.2,1.1*5*(M304/30)^0.5,IF(N304&gt;=31.8,0.9*5*(M304/30)^0.5,1*5*(M304/30)^0.5))/EG304/EJ304</f>
        <v>5.5695426108509878</v>
      </c>
      <c r="ES304" s="4">
        <f>ET304*N304</f>
        <v>61.494076526633307</v>
      </c>
      <c r="ET304" s="4">
        <f>AF304^0.5</f>
        <v>1.7177116348221595</v>
      </c>
      <c r="EU304" s="4">
        <f>MIN(EC304)/(4700*M304^0.5)/AE304*ES304</f>
        <v>0.13687251798402508</v>
      </c>
      <c r="EX304" s="4">
        <f>EU304</f>
        <v>0.13687251798402508</v>
      </c>
      <c r="EY304" s="4">
        <f>MIN(0.999, EX304/(0.3*(M304/30)^0.5))</f>
        <v>0.43969787661127396</v>
      </c>
      <c r="EZ304" s="4">
        <f>EP304/1*EY304^0.4</f>
        <v>4.009417469162849</v>
      </c>
      <c r="FA304" s="4">
        <f>EP304/1.4*(1-EY304^1.4)/(1-EY304)</f>
        <v>4.8527521445412711</v>
      </c>
      <c r="FB304" s="4">
        <f>MAX(0,DQ304*FB$9-ES304)</f>
        <v>152.25592347336669</v>
      </c>
      <c r="FC304" s="4">
        <f>MAX(0,DQ304-ES304-FB304)</f>
        <v>71.25</v>
      </c>
      <c r="FD304" s="4">
        <f>FC304/(1-0.3*(M304/30)^0.5)/200000/N304</f>
        <v>1.4448873022591579E-5</v>
      </c>
      <c r="FE304" s="4">
        <f>MAX(0.5*EP304, (1-2*FD304*(ES304*EZ304+FB304*FA304))/(1/EP304+FD304*FC304))</f>
        <v>5.38009459767681</v>
      </c>
      <c r="FF304" s="4">
        <f>MIN(4/N304*(1*EZ304*ES304+FA304*FB304+FC304*FE304)+EC304,MAX(J304,AJ304))</f>
        <v>268.89994807246916</v>
      </c>
      <c r="FO304" s="23">
        <f>IF(CU304&lt;0.6,0.6,IF(CU304&lt;0.8,0.8,IF(CU304&lt;1,1,IF(CU304&lt;1.2,1.2,IF(CU304&lt;1.4,1.4,IF(CU304&lt;1.6,1.6,IF(CU304&lt;1.8,1.8,IF(CU304&lt;2,2,2.2))))))))</f>
        <v>1.6</v>
      </c>
      <c r="FP304" s="23">
        <f>IF(CV304&lt;0.6,0.6,IF(CV304&lt;0.8,0.8,IF(CV304&lt;1,1,IF(CV304&lt;1.2,1.2,IF(CV304&lt;1.4,1.4,IF(CV304&lt;1.6,1.6,IF(CV304&lt;1.8,1.8,IF(CV304&lt;2,2,2.2))))))))</f>
        <v>1.4</v>
      </c>
      <c r="FQ304" s="23">
        <f>IF(DA304&lt;0.6,0.6,IF(DA304&lt;0.8,0.8,IF(DA304&lt;1,1,IF(DA304&lt;1.2,1.2,IF(DA304&lt;1.4,1.4,IF(DA304&lt;1.6,1.6,IF(DA304&lt;1.8,1.8,IF(DA304&lt;2,2,2.2))))))))</f>
        <v>1.8</v>
      </c>
      <c r="FR304" s="23">
        <f>IF(CX304&lt;0.6,0.6,IF(CX304&lt;0.8,0.8,IF(CX304&lt;1,1,IF(CX304&lt;1.2,1.2,IF(CX304&lt;1.4,1.4,IF(CX304&lt;1.6,1.6,IF(CX304&lt;1.8,1.8,IF(CX304&lt;2,2,2.2))))))))</f>
        <v>2.2000000000000002</v>
      </c>
      <c r="FS304" s="23">
        <f>IF(CY304&lt;0.6,0.6,IF(CY304&lt;0.8,0.8,IF(CY304&lt;1,1,IF(CY304&lt;1.2,1.2,IF(CY304&lt;1.4,1.4,IF(CY304&lt;1.6,1.6,IF(CY304&lt;1.8,1.8,IF(CY304&lt;2,2,2.2))))))))</f>
        <v>1.4</v>
      </c>
      <c r="FT304" s="23">
        <f>IF(CZ304&lt;0.6,0.6,IF(CZ304&lt;0.8,0.8,IF(CZ304&lt;1,1,IF(CZ304&lt;1.2,1.2,IF(CZ304&lt;1.4,1.4,IF(CZ304&lt;1.6,1.6,IF(CZ304&lt;1.8,1.8,IF(CZ304&lt;2,2,2.2))))))))</f>
        <v>1.6</v>
      </c>
      <c r="FU304" s="23">
        <f>IF(FS304&lt;1,1,0)</f>
        <v>0</v>
      </c>
      <c r="FV304" s="23"/>
      <c r="GF304" s="4">
        <f>IF(S304&gt;=2.5*25.4,1,1.25)</f>
        <v>1</v>
      </c>
      <c r="GG304" s="4">
        <f>IF(AO304&gt;1, 0.05*(18-MIN(8,(W304+N304)/N304))*(1-48000/MAX(60000,(J304*145))*(N304/25.4)^0.75*GH304), 1/12*(14-MIN(8,(W304+N304)/N304)))</f>
        <v>0.73631284916201123</v>
      </c>
      <c r="GH304" s="4">
        <f>MIN(0.3, AM304^2*PI()/4*2*AP304/(N304^2*PI()/4*X304))</f>
        <v>0</v>
      </c>
      <c r="GI304" s="4">
        <f>(K304/25.4)/(N304/25.4)^1.5/0.0024*(M304*145)^0.25/GF304/GG304/145</f>
        <v>216.49017239406101</v>
      </c>
    </row>
    <row r="305" spans="1:191" ht="12" customHeight="1" x14ac:dyDescent="0.3">
      <c r="A305" s="25">
        <v>221</v>
      </c>
      <c r="B305" s="24" t="s">
        <v>182</v>
      </c>
      <c r="C305" s="4">
        <v>1996</v>
      </c>
      <c r="D305" s="24" t="s">
        <v>309</v>
      </c>
      <c r="E305" s="24"/>
      <c r="F305" s="24"/>
      <c r="G305" s="24">
        <v>5</v>
      </c>
      <c r="H305" s="4" t="s">
        <v>355</v>
      </c>
      <c r="I305" s="5">
        <f>K305/N305</f>
        <v>7.9608938547486039</v>
      </c>
      <c r="J305" s="110">
        <v>556</v>
      </c>
      <c r="K305" s="111">
        <f>381-U305-20</f>
        <v>285</v>
      </c>
      <c r="L305" s="7">
        <f>K305</f>
        <v>285</v>
      </c>
      <c r="M305" s="84">
        <v>33.299999999999997</v>
      </c>
      <c r="N305" s="105">
        <v>35.799999999999997</v>
      </c>
      <c r="O305" s="7">
        <f>K305/N305</f>
        <v>7.9608938547486039</v>
      </c>
      <c r="P305" s="7">
        <f>L305/N305</f>
        <v>7.9608938547486039</v>
      </c>
      <c r="Q305" s="7">
        <v>305</v>
      </c>
      <c r="R305" s="32">
        <f>S305/N305</f>
        <v>2.1229050279329611</v>
      </c>
      <c r="S305" s="7">
        <v>76</v>
      </c>
      <c r="T305" s="32">
        <f>U305/N305</f>
        <v>2.1229050279329611</v>
      </c>
      <c r="U305" s="7">
        <v>76</v>
      </c>
      <c r="V305" s="32">
        <f>W305/N305</f>
        <v>2.2737430167597767</v>
      </c>
      <c r="W305" s="7">
        <f>Q305-2*N305-2*S305</f>
        <v>81.400000000000006</v>
      </c>
      <c r="X305" s="7">
        <v>2</v>
      </c>
      <c r="Y305" s="7">
        <f>AN305</f>
        <v>0</v>
      </c>
      <c r="Z305" s="32">
        <f>AA305/N305</f>
        <v>7.8212290502793298</v>
      </c>
      <c r="AA305" s="7">
        <f>775-(343+152)</f>
        <v>280</v>
      </c>
      <c r="AB305" s="7">
        <f>MIN(S305/N305+0.5, W305/2/N305+0.5)</f>
        <v>1.6368715083798884</v>
      </c>
      <c r="AC305" s="7">
        <f>S305/N305+0.5</f>
        <v>2.6229050279329611</v>
      </c>
      <c r="AD305" s="7">
        <f>8100/(N305^2*PI()/4)-1</f>
        <v>7.0469088920093164</v>
      </c>
      <c r="AE305" s="7">
        <f>8100/(N305^2*PI()/4)-1</f>
        <v>7.0469088920093164</v>
      </c>
      <c r="AF305" s="7">
        <f>AE305+1</f>
        <v>8.0469088920093164</v>
      </c>
      <c r="AG305" s="7">
        <f>N305*AF305^0.5</f>
        <v>101.55412503859614</v>
      </c>
      <c r="AH305" s="7">
        <f>J305</f>
        <v>556</v>
      </c>
      <c r="AI305" s="7">
        <v>20</v>
      </c>
      <c r="AJ305" s="7">
        <f>432*1000/(N305^2*PI()/4)</f>
        <v>429.16847424049683</v>
      </c>
      <c r="AK305" s="7"/>
      <c r="AL305" s="4">
        <f>CY305</f>
        <v>1.7054171816068107</v>
      </c>
      <c r="AM305" s="7">
        <v>0</v>
      </c>
      <c r="AN305" s="7">
        <v>0</v>
      </c>
      <c r="AO305" s="7">
        <f>L305</f>
        <v>285</v>
      </c>
      <c r="AP305" s="7"/>
      <c r="AQ305" s="7"/>
      <c r="AR305" s="7">
        <f>3*AS305/(W305+N305)</f>
        <v>7.2952218430034126</v>
      </c>
      <c r="AS305" s="4">
        <f>K305</f>
        <v>285</v>
      </c>
      <c r="AT305" s="4">
        <f>IF(K305*3&gt;W305+N305, Q305, (S305+N305/2)*2+1.5*K305*(2*X305-2))*(3*K305)/(9*K305^2)</f>
        <v>0.35672514619883039</v>
      </c>
      <c r="AU305" s="4">
        <f>MIN(10*M305^0.5*K305^1.5,100*3.9*M305^0.5*K305^(5/3))/(PI()/4*N305^2)/X305</f>
        <v>137.91245086192728</v>
      </c>
      <c r="AV305" s="4">
        <f>MIN(0.7+0.3*(MIN(S305,AA305)+0.5*N305)/1.5/K305,1)</f>
        <v>0.76589473684210518</v>
      </c>
      <c r="AW305" s="4">
        <v>1.25</v>
      </c>
      <c r="AX305" s="4">
        <f>AX304</f>
        <v>2.5</v>
      </c>
      <c r="AY305" s="38">
        <f>AT305*AV305*AW305*AX305*AU305</f>
        <v>117.74875065549853</v>
      </c>
      <c r="AZ305" s="38">
        <f>AY305</f>
        <v>117.74875065549853</v>
      </c>
      <c r="BA305" s="38">
        <f>IF(M305&lt;50, 0.3*M305^(2/3), 2.12*LN(1+0.1*(M305+8)))</f>
        <v>3.1051606722149665</v>
      </c>
      <c r="BB305" s="38">
        <f>AX305* (M305^0.5/AS305^0.5)/(PI()/4*N305^2)/X305/0.72 *(0.7+(MIN(S305,AA305)+0.5*N305)/5/K305) *(3*Q305*K305)</f>
        <v>117.74875065549857</v>
      </c>
      <c r="BC305" s="38">
        <f>AY305/BB305</f>
        <v>0.99999999999999967</v>
      </c>
      <c r="BD305" s="38">
        <f>BH305/BB305</f>
        <v>3.0499175093332469</v>
      </c>
      <c r="BE305" s="4">
        <f>IF(BD305&lt;1,1,0)</f>
        <v>0</v>
      </c>
      <c r="BF305" s="4">
        <f>L305/N305*M305^0.5/0.19</f>
        <v>241.78555384782416</v>
      </c>
      <c r="BG305" s="4">
        <f>MIN(0.6+0.4*(AC305/AB305),2)</f>
        <v>1.2409556313993173</v>
      </c>
      <c r="BH305" s="38">
        <f>2*M305*AB305*AD305^0.5*BG305*0.7/0.7</f>
        <v>359.12397632631973</v>
      </c>
      <c r="BI305" s="4">
        <f>MAX(1-0.7*AE305/5,0.3)</f>
        <v>0.3</v>
      </c>
      <c r="BJ305" s="4">
        <f>BI305*J305*L305/(J305*N305/2.75/M305^0.5)</f>
        <v>37.899885565646429</v>
      </c>
      <c r="BK305" s="4">
        <f>BH305+BJ305</f>
        <v>397.02386189196613</v>
      </c>
      <c r="BM305" s="4">
        <f>MIN(1.5, 0.75+0.25*MIN(3,MAX(1,S305/N305))+0.4*MIN(1,(40*2*PI()*AM305^2/4/AO305/X305)/N305))</f>
        <v>1.2807262569832403</v>
      </c>
      <c r="BN305" s="4">
        <f>(3*P305+30)*BM305*M305^0.5</f>
        <v>398.22418408057655</v>
      </c>
      <c r="BP305" s="4">
        <f>3.4/PI()^0.5*M305*AB305*AE305^0.5*BG305</f>
        <v>344.44381129745312</v>
      </c>
      <c r="BQ305" s="4">
        <f>8/3*AH305*AI305^2/(AG305-N305-22)/N305*(AG305^2-N305^2)/(AG305^2-(N305+22)^2)</f>
        <v>490.43773856597932</v>
      </c>
      <c r="BR305" s="4">
        <f>BQ305/BP305</f>
        <v>1.4238541163465686</v>
      </c>
      <c r="BZ305" s="4">
        <f>IF(W305=0,S305,MIN(W305/2,S305))</f>
        <v>40.700000000000003</v>
      </c>
      <c r="CD305" s="9"/>
      <c r="CF305" s="9"/>
      <c r="CG305" s="9"/>
      <c r="CH305" s="9">
        <f>IF(W305=0,MIN(S305,U305),MIN(W305/2,S305,U305))</f>
        <v>40.700000000000003</v>
      </c>
      <c r="CI305" s="9">
        <f>MAX(W305/2,S305)</f>
        <v>76</v>
      </c>
      <c r="CJ305" s="9">
        <f>(CH305/N305)^0.5*(CI305/CH305)^0.15</f>
        <v>1.1709505872794554</v>
      </c>
      <c r="CK305" s="70">
        <v>0</v>
      </c>
      <c r="CL305" s="9">
        <f>MIN(PI()*AM305^2/4*AN305*2/X305/N305/MAX(0.01,AO305),0.05)</f>
        <v>0</v>
      </c>
      <c r="CM305" s="9">
        <f>MAX(0,CK305*(CL305-0.5/50))</f>
        <v>0</v>
      </c>
      <c r="CN305" s="9">
        <f>MIN(1,(25/N305)^0.3)</f>
        <v>0.89787751228078194</v>
      </c>
      <c r="CO305" s="9">
        <f>IF(J305&gt;=800,0.68,IF(J305&gt;=700,0.75-(J305-700)*0.07/100,IF(J305&gt;=600,0.85-(J305-600)*0.1/100,IF(J305&gt;=500,1-(J305-500)*0.15/100,1.2-(J305-400)*0.2/100))))</f>
        <v>0.91600000000000004</v>
      </c>
      <c r="CP305" s="9">
        <f>1.75*CN305*CO305*(M305/25)^0.5</f>
        <v>1.661126587131682</v>
      </c>
      <c r="CQ305" s="9">
        <f>MIN((CJ305+CM305)*CP305,2.5*CP305,M305^0.5)</f>
        <v>1.9450971527473606</v>
      </c>
      <c r="CR305" s="9">
        <v>1</v>
      </c>
      <c r="CS305" s="9">
        <f>4*CQ305*P305+60*CQ305</f>
        <v>178.6446770456235</v>
      </c>
      <c r="CU305" s="4">
        <f>AJ305/BF305</f>
        <v>1.7749963445318506</v>
      </c>
      <c r="CV305" s="4">
        <f>AJ305/BK305</f>
        <v>1.0809639304684351</v>
      </c>
      <c r="CW305" s="4">
        <f>AJ305/BN305</f>
        <v>1.0777057029606696</v>
      </c>
      <c r="CX305" s="4">
        <f>AJ305/CS305</f>
        <v>2.4023580290102506</v>
      </c>
      <c r="CY305" s="4">
        <f>AJ305/DZ305</f>
        <v>1.7054171816068107</v>
      </c>
      <c r="CZ305" s="4">
        <f>AJ305/EL305</f>
        <v>1.7084704294313242</v>
      </c>
      <c r="DA305" s="4">
        <f>AJ305/GI305</f>
        <v>1.9673389851519778</v>
      </c>
      <c r="DC305" s="4">
        <f>CU305</f>
        <v>1.7749963445318506</v>
      </c>
      <c r="DD305" s="4">
        <f>CV305</f>
        <v>1.0809639304684351</v>
      </c>
      <c r="DE305" s="4">
        <f>CX305</f>
        <v>2.4023580290102506</v>
      </c>
      <c r="DF305" s="4">
        <f>DA305</f>
        <v>1.9673389851519778</v>
      </c>
      <c r="DG305" s="4">
        <f>CY305</f>
        <v>1.7054171816068107</v>
      </c>
      <c r="DH305" s="4">
        <f>CZ305</f>
        <v>1.7084704294313242</v>
      </c>
      <c r="DP305" s="4">
        <f>AN305</f>
        <v>0</v>
      </c>
      <c r="DQ305" s="4">
        <f>L305</f>
        <v>285</v>
      </c>
      <c r="DT305" s="4">
        <f>K305/4/(1-0.3*(M305/30)^0.5)/200000/N305</f>
        <v>1.4549897915862038E-5</v>
      </c>
      <c r="DU305" s="4">
        <f>EP305</f>
        <v>5.6551012697105509</v>
      </c>
      <c r="DV305" s="4">
        <f>EC305*AG305/257/M305/AD305</f>
        <v>0.19827952194134693</v>
      </c>
      <c r="DW305" s="4">
        <f>DU305*DV305^0.4</f>
        <v>2.960407745355111</v>
      </c>
      <c r="DX305" s="4">
        <f>MIN(DU305, DU305/1.4*(1-DV305^1.4)/(1-DV305))</f>
        <v>4.5153901390049072</v>
      </c>
      <c r="DY305" s="4">
        <f>MAX(DU305/2, (4-DT305*(8*AG305*(DW305-DX305)+6*K305*DX305))/(4+DT305*K305*DU305)*DU305)</f>
        <v>5.4900726728617038</v>
      </c>
      <c r="DZ305" s="38">
        <f>MIN(1/N305*(4*AG305*(DW305-DX305)+(3*DX305+DY305)*K305)+EC305 -FJ305,MAX(J305,AJ305))</f>
        <v>251.65014101484701</v>
      </c>
      <c r="EA305" s="4">
        <f>DZ305/FF305</f>
        <v>1.0001197282404417</v>
      </c>
      <c r="EB305" s="4">
        <f>AG305/N305</f>
        <v>2.8367074033127415</v>
      </c>
      <c r="EC305" s="4">
        <f>MIN(EB$10*BB305)</f>
        <v>117.74875065549857</v>
      </c>
      <c r="EG305" s="4">
        <f>IF(U305&gt;1*N305,0.85,1)</f>
        <v>0.85</v>
      </c>
      <c r="EH305" s="4">
        <f>MIN(1,MAX(0.7,(1-0.1*(BZ305-1*N305)/N305)))</f>
        <v>0.98631284916201112</v>
      </c>
      <c r="EI305" s="4">
        <f>MIN(1,MAX(0.7,1-0.3*(PI()*AM305^2/4*AQ305*2-0.25*PI()/4*N305^2)/(PI()/4*N305^2)))</f>
        <v>1</v>
      </c>
      <c r="EJ305" s="4">
        <f>IF(EH305*EI305&lt;0.7,0.7,EH305*EI305)</f>
        <v>0.98631284916201112</v>
      </c>
      <c r="EL305" s="4">
        <f>MIN(DU305/N305*3*K305+EM305-FJ305,MAX(J305,AJ305))</f>
        <v>251.2004111088703</v>
      </c>
      <c r="EM305" s="25">
        <f>13.3*Q305*K305^0.5*M305^0.5/X305/N305^2*(0.7+S305/5/K305)</f>
        <v>116.14142827081106</v>
      </c>
      <c r="EO305" s="4">
        <f>EG305*EJ305</f>
        <v>0.83836592178770941</v>
      </c>
      <c r="EP305" s="4">
        <f>IF(N305&lt;22.2,1.1*5*(M305/30)^0.5,IF(N305&gt;=31.8,0.9*5*(M305/30)^0.5,1*5*(M305/30)^0.5))/EG305/EJ305</f>
        <v>5.6551012697105509</v>
      </c>
      <c r="ES305" s="4">
        <f>ET305*N305</f>
        <v>101.55412503859614</v>
      </c>
      <c r="ET305" s="4">
        <f>AF305^0.5</f>
        <v>2.8367074033127415</v>
      </c>
      <c r="EU305" s="4">
        <f>MIN(EC305)/(4700*M305^0.5)/AE305*ES305</f>
        <v>6.2565546914000694E-2</v>
      </c>
      <c r="EX305" s="4">
        <f>EU305</f>
        <v>6.2565546914000694E-2</v>
      </c>
      <c r="EY305" s="4">
        <f>MIN(0.999, EX305/(0.3*(M305/30)^0.5))</f>
        <v>0.19794863037350618</v>
      </c>
      <c r="EZ305" s="4">
        <f>EP305/1*EY305^0.4</f>
        <v>2.9584306076142348</v>
      </c>
      <c r="FA305" s="4">
        <f>EP305/1.4*(1-EY305^1.4)/(1-EY305)</f>
        <v>4.51474821301841</v>
      </c>
      <c r="FB305" s="4">
        <f>MAX(0,DQ305*FB$9-ES305)</f>
        <v>112.19587496140386</v>
      </c>
      <c r="FC305" s="4">
        <f>MAX(0,DQ305-ES305-FB305)</f>
        <v>71.25</v>
      </c>
      <c r="FD305" s="4">
        <f>FC305/(1-0.3*(M305/30)^0.5)/200000/N305</f>
        <v>1.4549897915862038E-5</v>
      </c>
      <c r="FE305" s="4">
        <f>MAX(0.5*EP305, (1-2*FD305*(ES305*EZ305+FB305*FA305))/(1/EP305+FD305*FC305))</f>
        <v>5.4901173051039267</v>
      </c>
      <c r="FF305" s="4">
        <f>MIN(4/N305*(1*EZ305*ES305+FA305*FB305+FC305*FE305)+EC305,MAX(J305,AJ305))</f>
        <v>251.62001499319194</v>
      </c>
      <c r="FO305" s="23">
        <f>IF(CU305&lt;0.6,0.6,IF(CU305&lt;0.8,0.8,IF(CU305&lt;1,1,IF(CU305&lt;1.2,1.2,IF(CU305&lt;1.4,1.4,IF(CU305&lt;1.6,1.6,IF(CU305&lt;1.8,1.8,IF(CU305&lt;2,2,2.2))))))))</f>
        <v>1.8</v>
      </c>
      <c r="FP305" s="23">
        <f>IF(CV305&lt;0.6,0.6,IF(CV305&lt;0.8,0.8,IF(CV305&lt;1,1,IF(CV305&lt;1.2,1.2,IF(CV305&lt;1.4,1.4,IF(CV305&lt;1.6,1.6,IF(CV305&lt;1.8,1.8,IF(CV305&lt;2,2,2.2))))))))</f>
        <v>1.2</v>
      </c>
      <c r="FQ305" s="23">
        <f>IF(DA305&lt;0.6,0.6,IF(DA305&lt;0.8,0.8,IF(DA305&lt;1,1,IF(DA305&lt;1.2,1.2,IF(DA305&lt;1.4,1.4,IF(DA305&lt;1.6,1.6,IF(DA305&lt;1.8,1.8,IF(DA305&lt;2,2,2.2))))))))</f>
        <v>2</v>
      </c>
      <c r="FR305" s="23">
        <f>IF(CX305&lt;0.6,0.6,IF(CX305&lt;0.8,0.8,IF(CX305&lt;1,1,IF(CX305&lt;1.2,1.2,IF(CX305&lt;1.4,1.4,IF(CX305&lt;1.6,1.6,IF(CX305&lt;1.8,1.8,IF(CX305&lt;2,2,2.2))))))))</f>
        <v>2.2000000000000002</v>
      </c>
      <c r="FS305" s="23">
        <f>IF(CY305&lt;0.6,0.6,IF(CY305&lt;0.8,0.8,IF(CY305&lt;1,1,IF(CY305&lt;1.2,1.2,IF(CY305&lt;1.4,1.4,IF(CY305&lt;1.6,1.6,IF(CY305&lt;1.8,1.8,IF(CY305&lt;2,2,2.2))))))))</f>
        <v>1.8</v>
      </c>
      <c r="FT305" s="23">
        <f>IF(CZ305&lt;0.6,0.6,IF(CZ305&lt;0.8,0.8,IF(CZ305&lt;1,1,IF(CZ305&lt;1.2,1.2,IF(CZ305&lt;1.4,1.4,IF(CZ305&lt;1.6,1.6,IF(CZ305&lt;1.8,1.8,IF(CZ305&lt;2,2,2.2))))))))</f>
        <v>1.8</v>
      </c>
      <c r="FU305" s="23">
        <f>IF(FS305&lt;1,1,0)</f>
        <v>0</v>
      </c>
      <c r="FV305" s="23"/>
      <c r="GF305" s="4">
        <f>IF(S305&gt;=2.5*25.4,1,1.25)</f>
        <v>1</v>
      </c>
      <c r="GG305" s="4">
        <f>IF(AO305&gt;1, 0.05*(18-MIN(8,(W305+N305)/N305))*(1-48000/MAX(60000,(J305*145))*(N305/25.4)^0.75*GH305), 1/12*(14-MIN(8,(W305+N305)/N305)))</f>
        <v>0.73631284916201123</v>
      </c>
      <c r="GH305" s="4">
        <f>MIN(0.3, AM305^2*PI()/4*2*AP305/(N305^2*PI()/4*X305))</f>
        <v>0</v>
      </c>
      <c r="GI305" s="4">
        <f>(K305/25.4)/(N305/25.4)^1.5/0.0024*(M305*145)^0.25/GF305/GG305/145</f>
        <v>218.14668314893549</v>
      </c>
    </row>
    <row r="306" spans="1:191" ht="12" customHeight="1" x14ac:dyDescent="0.3">
      <c r="A306" s="25">
        <v>280</v>
      </c>
      <c r="B306" s="4" t="s">
        <v>605</v>
      </c>
      <c r="C306" s="4">
        <v>2016</v>
      </c>
      <c r="D306" s="4" t="s">
        <v>309</v>
      </c>
      <c r="E306" s="24" t="s">
        <v>666</v>
      </c>
      <c r="F306" s="24"/>
      <c r="G306" s="24">
        <v>48</v>
      </c>
      <c r="H306" s="48" t="s">
        <v>438</v>
      </c>
      <c r="I306" s="5">
        <f>K306/N306</f>
        <v>11.13</v>
      </c>
      <c r="J306" s="78">
        <f>115.9/0.145</f>
        <v>799.31034482758628</v>
      </c>
      <c r="K306" s="38">
        <f>11.13*25.4</f>
        <v>282.702</v>
      </c>
      <c r="L306" s="4">
        <f>K306</f>
        <v>282.702</v>
      </c>
      <c r="M306" s="38">
        <f>5900/145</f>
        <v>40.689655172413794</v>
      </c>
      <c r="N306" s="38">
        <f>1*25.4</f>
        <v>25.4</v>
      </c>
      <c r="O306" s="7">
        <f>K306/N306</f>
        <v>11.13</v>
      </c>
      <c r="P306" s="7">
        <f>L306/N306</f>
        <v>11.13</v>
      </c>
      <c r="Q306" s="38">
        <f>16.6*25.4</f>
        <v>421.64</v>
      </c>
      <c r="R306" s="32">
        <f>S306/N306</f>
        <v>2.4500000000000002</v>
      </c>
      <c r="S306" s="38">
        <f>2.45*25.4</f>
        <v>62.230000000000004</v>
      </c>
      <c r="T306" s="32">
        <f>U306/N306</f>
        <v>3.15</v>
      </c>
      <c r="U306" s="39">
        <f>3.15*25.4</f>
        <v>80.009999999999991</v>
      </c>
      <c r="V306" s="32">
        <f>W306/N306</f>
        <v>9.6999999999999993</v>
      </c>
      <c r="W306" s="7">
        <f>(Q306-X306*N306-2*S306)/(X306-1)</f>
        <v>246.37999999999997</v>
      </c>
      <c r="X306" s="38">
        <v>2</v>
      </c>
      <c r="Y306" s="7">
        <f>AN306</f>
        <v>10</v>
      </c>
      <c r="Z306" s="32">
        <f>AA306/N306</f>
        <v>10.25</v>
      </c>
      <c r="AA306" s="4">
        <f>10.25*25.4</f>
        <v>260.34999999999997</v>
      </c>
      <c r="AB306" s="7">
        <f>MIN(S306/N306+0.5, W306/2/N306+0.5)</f>
        <v>2.95</v>
      </c>
      <c r="AC306" s="7">
        <f>S306/N306+0.5</f>
        <v>2.95</v>
      </c>
      <c r="AD306" s="38">
        <v>4.5</v>
      </c>
      <c r="AE306" s="4">
        <f>AD306</f>
        <v>4.5</v>
      </c>
      <c r="AF306" s="4">
        <f>AE306+1</f>
        <v>5.5</v>
      </c>
      <c r="AG306" s="7">
        <f>N306*AF306^0.5</f>
        <v>59.568280149757555</v>
      </c>
      <c r="AJ306" s="38">
        <f>AK306/0.145</f>
        <v>717.93103448275861</v>
      </c>
      <c r="AK306" s="4">
        <v>104.1</v>
      </c>
      <c r="AL306" s="4">
        <f>CY306</f>
        <v>0.99617785069192466</v>
      </c>
      <c r="AM306" s="38">
        <f>0.5*25.4</f>
        <v>12.7</v>
      </c>
      <c r="AN306" s="38">
        <v>10</v>
      </c>
      <c r="AO306" s="39">
        <f>3*25.4</f>
        <v>76.199999999999989</v>
      </c>
      <c r="AP306" s="39">
        <v>3</v>
      </c>
      <c r="AQ306" s="39">
        <v>2</v>
      </c>
      <c r="AR306" s="7"/>
      <c r="AS306" s="4">
        <f>K306</f>
        <v>282.702</v>
      </c>
      <c r="AT306" s="4">
        <f>IF(K306*3&gt;W306+N306, Q306, (S306+N306/2)*2+1.5*K306*(2*X306-2))*(3*K306)/(9*K306^2)</f>
        <v>0.49715483677747829</v>
      </c>
      <c r="AU306" s="4">
        <f>MIN(10*M306^0.5*K306^1.5,100*3.9*M306^0.5*K306^(5/3))/(PI()/4*N306^2)/X306</f>
        <v>299.19064902706572</v>
      </c>
      <c r="AV306" s="4">
        <f>MIN(0.7+0.3*(MIN(S306,AA306)+0.5*N306)/1.5/K306,1)</f>
        <v>0.75300988319856244</v>
      </c>
      <c r="AW306" s="4">
        <v>1.25</v>
      </c>
      <c r="AX306" s="4">
        <f>AX305</f>
        <v>2.5</v>
      </c>
      <c r="AY306" s="38">
        <f>AT306*AV306*AW306*AX306*AU306</f>
        <v>350.01800316845885</v>
      </c>
      <c r="AZ306" s="38">
        <f>AY306</f>
        <v>350.01800316845885</v>
      </c>
      <c r="BA306" s="38">
        <f>IF(M306&lt;50, 0.3*M306^(2/3), 2.12*LN(1+0.1*(M306+8)))</f>
        <v>3.5490375497727622</v>
      </c>
      <c r="BB306" s="38">
        <f>AX306* (M306^0.5/AS306^0.5)/(PI()/4*N306^2)/X306/0.72 *(0.7+(MIN(S306,AA306)+0.5*N306)/5/K306) *(3*Q306*K306)</f>
        <v>350.01800316845902</v>
      </c>
      <c r="BC306" s="38">
        <f>AY306/BB306</f>
        <v>0.99999999999999956</v>
      </c>
      <c r="BD306" s="38">
        <f>BH306/BB306</f>
        <v>1.4549628184809134</v>
      </c>
      <c r="BE306" s="4">
        <f>IF(BD306&lt;1,1,0)</f>
        <v>0</v>
      </c>
      <c r="BF306" s="4">
        <f>L306/N306*M306^0.5/0.19</f>
        <v>373.66598713265614</v>
      </c>
      <c r="BG306" s="4">
        <f>MIN(0.6+0.4*(AC306/AB306),2)</f>
        <v>1</v>
      </c>
      <c r="BH306" s="38">
        <f>2*M306*AB306*AD306^0.5*BG306*0.7/0.7</f>
        <v>509.26318040904238</v>
      </c>
      <c r="BI306" s="4">
        <f>MAX(1-0.7*AE306/5,0.3)</f>
        <v>0.37</v>
      </c>
      <c r="BJ306" s="4">
        <f>BI306*J306*L306/(J306*N306/2.75/M306^0.5)</f>
        <v>72.238976962420736</v>
      </c>
      <c r="BK306" s="4">
        <f>BH306+BJ306</f>
        <v>581.50215737146311</v>
      </c>
      <c r="BM306" s="4">
        <f>MIN(1.5, 0.75+0.25*MIN(3,MAX(1,S306/N306))+0.4*MIN(1,(40*2*PI()*AM306^2/4/AO306/X306)/N306))</f>
        <v>1.5</v>
      </c>
      <c r="BN306" s="4">
        <f>(3*P306+30)*BM306*M306^0.5</f>
        <v>606.53241450463929</v>
      </c>
      <c r="BP306" s="4">
        <f>3.4/PI()^0.5*M306*AB306*AE306^0.5*BG306</f>
        <v>488.44566884101204</v>
      </c>
      <c r="BQ306" s="4">
        <f>8/3*AH306*AI306^2/(AG306-N306-22)/N306*(AG306^2-N306^2)/(AG306^2-(N306+22)^2)</f>
        <v>0</v>
      </c>
      <c r="BR306" s="4">
        <f>BQ306/BP306</f>
        <v>0</v>
      </c>
      <c r="BZ306" s="4">
        <f>IF(W306=0,S306,MIN(W306/2,S306))</f>
        <v>62.230000000000004</v>
      </c>
      <c r="CD306" s="9"/>
      <c r="CF306" s="9"/>
      <c r="CG306" s="9"/>
      <c r="CH306" s="9">
        <f>IF(W306=0,MIN(S306,U306),MIN(W306/2,S306,U306))</f>
        <v>62.230000000000004</v>
      </c>
      <c r="CI306" s="9">
        <f>MAX(W306/2,S306)</f>
        <v>123.18999999999998</v>
      </c>
      <c r="CJ306" s="9">
        <f>(CH306/N306)^0.5*(CI306/CH306)^0.15</f>
        <v>1.7340810420811554</v>
      </c>
      <c r="CK306" s="70">
        <f>IF(AO306&gt;1,20,0)</f>
        <v>20</v>
      </c>
      <c r="CL306" s="9">
        <f>MIN(PI()*AM306^2/4*AN306*2/X306/N306/MAX(0.01,AO306),0.05)</f>
        <v>0.05</v>
      </c>
      <c r="CM306" s="9">
        <f>MAX(0,CK306*(CL306-0.5/50))</f>
        <v>0.8</v>
      </c>
      <c r="CN306" s="9">
        <f>MIN(1,(25/N306)^0.3)</f>
        <v>0.99524931562137331</v>
      </c>
      <c r="CO306" s="9">
        <f>IF(J306&gt;=800,0.68,IF(J306&gt;=700,0.75-(J306-700)*0.07/100,IF(J306&gt;=600,0.85-(J306-600)*0.1/100,IF(J306&gt;=500,1-(J306-500)*0.15/100,1.2-(J306-400)*0.2/100))))</f>
        <v>0.68048275862068963</v>
      </c>
      <c r="CP306" s="9">
        <f>1.75*CN306*CO306*(M306/25)^0.5</f>
        <v>1.51202531590344</v>
      </c>
      <c r="CQ306" s="9">
        <f>MIN((CJ306+CM306)*CP306,2.5*CP306,M306^0.5)</f>
        <v>3.7800632897586</v>
      </c>
      <c r="CR306" s="40">
        <v>1</v>
      </c>
      <c r="CS306" s="9">
        <f>4*CQ306*P306+60*CQ306</f>
        <v>395.09221504556888</v>
      </c>
      <c r="CU306" s="4">
        <f>AJ306/BF306</f>
        <v>1.9213175916594305</v>
      </c>
      <c r="CV306" s="4">
        <f>AJ306/BK306</f>
        <v>1.234614567429962</v>
      </c>
      <c r="CW306" s="4">
        <f>AJ306/BN306</f>
        <v>1.1836647429125442</v>
      </c>
      <c r="CX306" s="4">
        <f>AJ306/CS306</f>
        <v>1.8171227048853755</v>
      </c>
      <c r="CY306" s="4">
        <f>AJ306/DZ306</f>
        <v>0.99617785069192466</v>
      </c>
      <c r="CZ306" s="4">
        <f>AJ306/EL306</f>
        <v>1.0658353776281775</v>
      </c>
      <c r="DA306" s="4">
        <f>AJ306/GI306</f>
        <v>1.4018980369375771</v>
      </c>
      <c r="DB306" s="4">
        <f>AN306</f>
        <v>10</v>
      </c>
      <c r="DI306" s="4">
        <f>CU306</f>
        <v>1.9213175916594305</v>
      </c>
      <c r="DJ306" s="4">
        <f>CV306</f>
        <v>1.234614567429962</v>
      </c>
      <c r="DK306" s="4">
        <f>CX306</f>
        <v>1.8171227048853755</v>
      </c>
      <c r="DL306" s="4">
        <f>DA306</f>
        <v>1.4018980369375771</v>
      </c>
      <c r="DM306" s="4">
        <f>CY306</f>
        <v>0.99617785069192466</v>
      </c>
      <c r="DN306" s="4">
        <f>CZ306</f>
        <v>1.0658353776281775</v>
      </c>
      <c r="DQ306" s="4">
        <f>L306</f>
        <v>282.702</v>
      </c>
      <c r="DT306" s="4">
        <f>K306/4/(1-0.3*(M306/30)^0.5)/200000/N306</f>
        <v>2.138357103588325E-5</v>
      </c>
      <c r="DU306" s="4">
        <f>EP306</f>
        <v>9.7866580905942957</v>
      </c>
      <c r="DV306" s="4">
        <f>EC306*AG306/257/M306/AD306</f>
        <v>0.44307352226965302</v>
      </c>
      <c r="DW306" s="4">
        <f>DU306*DV306^0.4</f>
        <v>7.0668314807790713</v>
      </c>
      <c r="DX306" s="4">
        <f>MIN(DU306, DU306/1.4*(1-DV306^1.4)/(1-DV306))</f>
        <v>8.5360487312986368</v>
      </c>
      <c r="DY306" s="4">
        <f>MAX(DU306/2, (4-DT306*(8*AG306*(DW306-DX306)+6*K306*DX306))/(4+DT306*K306*DU306)*DU306)</f>
        <v>8.9336398603685065</v>
      </c>
      <c r="DZ306" s="38">
        <f>MIN(1/N306*(4*AG306*(DW306-DX306)+(3*DX306+DY306)*K306)+EC306 -FJ306,MAX(J306,AJ306))</f>
        <v>720.68560245953915</v>
      </c>
      <c r="EA306" s="4">
        <f>DZ306/FF306</f>
        <v>1.0001227646015325</v>
      </c>
      <c r="EB306" s="4">
        <f>AG306/N306</f>
        <v>2.3452078799117149</v>
      </c>
      <c r="EC306" s="4">
        <f>MIN(EB$10*BB306)</f>
        <v>350.01800316845902</v>
      </c>
      <c r="EG306" s="4">
        <f>IF(U306&gt;1*N306,0.85,1)</f>
        <v>0.85</v>
      </c>
      <c r="EH306" s="4">
        <f>MIN(1,MAX(0.7,(1-0.1*(BZ306-1*N306)/N306)))</f>
        <v>0.85499999999999998</v>
      </c>
      <c r="EI306" s="4">
        <f>MIN(1,MAX(0.7,1-0.3*(PI()*AM306^2/4*AQ306*2-0.25*PI()/4*N306^2)/(PI()/4*N306^2)))</f>
        <v>0.77500000000000002</v>
      </c>
      <c r="EJ306" s="4">
        <f>IF(EH306*EI306&lt;0.7,0.7,EH306*EI306)</f>
        <v>0.7</v>
      </c>
      <c r="EL306" s="4">
        <f>MIN(DU306/N306*3*K306+EM306-FJ306,MAX(J306,AJ306))</f>
        <v>673.58529239326185</v>
      </c>
      <c r="EM306" s="25">
        <f>13.3*Q306*K306^0.5*M306^0.5/X306/N306^2*(0.7+S306/5/K306)</f>
        <v>346.80877874831833</v>
      </c>
      <c r="EO306" s="4">
        <f>EG306*EJ306</f>
        <v>0.59499999999999997</v>
      </c>
      <c r="EP306" s="4">
        <f>IF(N306&lt;22.2,1.1*5*(M306/30)^0.5,IF(N306&gt;=31.8,0.9*5*(M306/30)^0.5,1*5*(M306/30)^0.5))/EG306/EJ306</f>
        <v>9.7866580905942957</v>
      </c>
      <c r="ES306" s="4">
        <f>ET306*N306</f>
        <v>59.568280149757555</v>
      </c>
      <c r="ET306" s="4">
        <f>AF306^0.5</f>
        <v>2.3452078799117149</v>
      </c>
      <c r="EU306" s="4">
        <f>MIN(EC306)/(4700*M306^0.5)/AE306*ES306</f>
        <v>0.15454432705603594</v>
      </c>
      <c r="EX306" s="4">
        <f>EU306</f>
        <v>0.15454432705603594</v>
      </c>
      <c r="EY306" s="4">
        <f>MIN(0.999, EX306/(0.3*(M306/30)^0.5))</f>
        <v>0.44233411513866389</v>
      </c>
      <c r="EZ306" s="4">
        <f>EP306/1*EY306^0.4</f>
        <v>7.0621118271262979</v>
      </c>
      <c r="FA306" s="4">
        <f>EP306/1.4*(1-EY306^1.4)/(1-EY306)</f>
        <v>8.5340975732255</v>
      </c>
      <c r="FB306" s="4">
        <f>MAX(0,DQ306*FB$9-ES306)</f>
        <v>152.45821985024244</v>
      </c>
      <c r="FC306" s="4">
        <f>MAX(0,DQ306-ES306-FB306)</f>
        <v>70.6755</v>
      </c>
      <c r="FD306" s="4">
        <f>FC306/(1-0.3*(M306/30)^0.5)/200000/N306</f>
        <v>2.138357103588325E-5</v>
      </c>
      <c r="FE306" s="4">
        <f>MAX(0.5*EP306, (1-2*FD306*(ES306*EZ306+FB306*FA306))/(1/EP306+FD306*FC306))</f>
        <v>8.9338785070951161</v>
      </c>
      <c r="FF306" s="4">
        <f>MIN(4/N306*(1*EZ306*ES306+FA306*FB306+FC306*FE306)+EC306,MAX(J306,AJ306))</f>
        <v>720.59713863894876</v>
      </c>
      <c r="FI306" s="4">
        <f>5.25*25.4</f>
        <v>133.35</v>
      </c>
      <c r="FO306" s="23">
        <f>IF(CU306&lt;0.6,0.6,IF(CU306&lt;0.8,0.8,IF(CU306&lt;1,1,IF(CU306&lt;1.2,1.2,IF(CU306&lt;1.4,1.4,IF(CU306&lt;1.6,1.6,IF(CU306&lt;1.8,1.8,IF(CU306&lt;2,2,2.2))))))))</f>
        <v>2</v>
      </c>
      <c r="FP306" s="23">
        <f>IF(CV306&lt;0.6,0.6,IF(CV306&lt;0.8,0.8,IF(CV306&lt;1,1,IF(CV306&lt;1.2,1.2,IF(CV306&lt;1.4,1.4,IF(CV306&lt;1.6,1.6,IF(CV306&lt;1.8,1.8,IF(CV306&lt;2,2,2.2))))))))</f>
        <v>1.4</v>
      </c>
      <c r="FQ306" s="23">
        <f>IF(DA306&lt;0.6,0.6,IF(DA306&lt;0.8,0.8,IF(DA306&lt;1,1,IF(DA306&lt;1.2,1.2,IF(DA306&lt;1.4,1.4,IF(DA306&lt;1.6,1.6,IF(DA306&lt;1.8,1.8,IF(DA306&lt;2,2,2.2))))))))</f>
        <v>1.6</v>
      </c>
      <c r="FR306" s="23">
        <f>IF(CX306&lt;0.6,0.6,IF(CX306&lt;0.8,0.8,IF(CX306&lt;1,1,IF(CX306&lt;1.2,1.2,IF(CX306&lt;1.4,1.4,IF(CX306&lt;1.6,1.6,IF(CX306&lt;1.8,1.8,IF(CX306&lt;2,2,2.2))))))))</f>
        <v>2</v>
      </c>
      <c r="FS306" s="23">
        <f>IF(CY306&lt;0.6,0.6,IF(CY306&lt;0.8,0.8,IF(CY306&lt;1,1,IF(CY306&lt;1.2,1.2,IF(CY306&lt;1.4,1.4,IF(CY306&lt;1.6,1.6,IF(CY306&lt;1.8,1.8,IF(CY306&lt;2,2,2.2))))))))</f>
        <v>1</v>
      </c>
      <c r="FT306" s="23">
        <f>IF(CZ306&lt;0.6,0.6,IF(CZ306&lt;0.8,0.8,IF(CZ306&lt;1,1,IF(CZ306&lt;1.2,1.2,IF(CZ306&lt;1.4,1.4,IF(CZ306&lt;1.6,1.6,IF(CZ306&lt;1.8,1.8,IF(CZ306&lt;2,2,2.2))))))))</f>
        <v>1.2</v>
      </c>
      <c r="FU306" s="23">
        <f>IF(FS306&lt;1,1,0)</f>
        <v>0</v>
      </c>
      <c r="FV306" s="23"/>
      <c r="GF306" s="4">
        <f>IF(S306&gt;=2.5*25.4,1,1.25)</f>
        <v>1.25</v>
      </c>
      <c r="GG306" s="4">
        <f>IF(AO306&gt;1, 0.05*(18-MIN(8,(W306+N306)/N306))*(1-48000/MAX(60000,(J306*145))*(N306/25.4)^0.75*GH306), 1/12*(14-MIN(8,(W306+N306)/N306)))</f>
        <v>0.43787748058671272</v>
      </c>
      <c r="GH306" s="4">
        <f>MIN(0.3, AM306^2*PI()/4*2*AP306/(N306^2*PI()/4*X306))</f>
        <v>0.3</v>
      </c>
      <c r="GI306" s="4">
        <f>(K306/25.4)/(N306/25.4)^1.5/0.0024*(M306*145)^0.25/GF306/GG306/145</f>
        <v>512.11358855389153</v>
      </c>
    </row>
    <row r="307" spans="1:191" ht="12" customHeight="1" x14ac:dyDescent="0.3">
      <c r="A307" s="25">
        <v>269</v>
      </c>
      <c r="B307" s="4" t="s">
        <v>605</v>
      </c>
      <c r="C307" s="4">
        <v>2016</v>
      </c>
      <c r="D307" s="4" t="s">
        <v>309</v>
      </c>
      <c r="E307" s="24" t="s">
        <v>426</v>
      </c>
      <c r="F307" s="24"/>
      <c r="G307" s="24">
        <v>43</v>
      </c>
      <c r="H307" s="7" t="s">
        <v>427</v>
      </c>
      <c r="I307" s="5">
        <f>K307/N307</f>
        <v>11.06</v>
      </c>
      <c r="J307" s="78">
        <f>115.9/0.145</f>
        <v>799.31034482758628</v>
      </c>
      <c r="K307" s="38">
        <f>11.06*25.4</f>
        <v>280.92399999999998</v>
      </c>
      <c r="L307" s="4">
        <f>K307</f>
        <v>280.92399999999998</v>
      </c>
      <c r="M307" s="38">
        <f>5500/145</f>
        <v>37.931034482758619</v>
      </c>
      <c r="N307" s="38">
        <f>1*25.4</f>
        <v>25.4</v>
      </c>
      <c r="O307" s="7">
        <f>K307/N307</f>
        <v>11.06</v>
      </c>
      <c r="P307" s="7">
        <f>L307/N307</f>
        <v>11.06</v>
      </c>
      <c r="Q307" s="38">
        <f>16.8*25.4</f>
        <v>426.71999999999997</v>
      </c>
      <c r="R307" s="32">
        <f>S307/N307</f>
        <v>2.5</v>
      </c>
      <c r="S307" s="38">
        <f>2.5*25.4</f>
        <v>63.5</v>
      </c>
      <c r="T307" s="32">
        <f>U307/N307</f>
        <v>3.3500000000000005</v>
      </c>
      <c r="U307" s="39">
        <f>3.35*25.4</f>
        <v>85.09</v>
      </c>
      <c r="V307" s="32">
        <f>W307/N307</f>
        <v>9.7999999999999989</v>
      </c>
      <c r="W307" s="7">
        <f>(Q307-X307*N307-2*S307)/(X307-1)</f>
        <v>248.91999999999996</v>
      </c>
      <c r="X307" s="38">
        <v>2</v>
      </c>
      <c r="Y307" s="7">
        <f>AN307</f>
        <v>0</v>
      </c>
      <c r="Z307" s="32">
        <f>AA307/N307</f>
        <v>10.25</v>
      </c>
      <c r="AA307" s="4">
        <f>10.25*25.4</f>
        <v>260.34999999999997</v>
      </c>
      <c r="AB307" s="7">
        <f>MIN(S307/N307+0.5, W307/2/N307+0.5)</f>
        <v>3</v>
      </c>
      <c r="AC307" s="7">
        <f>S307/N307+0.5</f>
        <v>3</v>
      </c>
      <c r="AD307" s="38">
        <v>6.5</v>
      </c>
      <c r="AE307" s="4">
        <f>AD307</f>
        <v>6.5</v>
      </c>
      <c r="AF307" s="4">
        <f>AE307+1</f>
        <v>7.5</v>
      </c>
      <c r="AG307" s="7">
        <f>N307*AF307^0.5</f>
        <v>69.56076480315609</v>
      </c>
      <c r="AJ307" s="38">
        <f>AK307/0.145</f>
        <v>659.31034482758616</v>
      </c>
      <c r="AK307" s="4">
        <v>95.6</v>
      </c>
      <c r="AL307" s="4">
        <f>CY307</f>
        <v>1.051317145691999</v>
      </c>
      <c r="AM307" s="38">
        <v>0</v>
      </c>
      <c r="AN307" s="38">
        <v>0</v>
      </c>
      <c r="AO307" s="39">
        <f>L307</f>
        <v>280.92399999999998</v>
      </c>
      <c r="AP307" s="39"/>
      <c r="AQ307" s="39"/>
      <c r="AR307" s="7"/>
      <c r="AS307" s="4">
        <f>K307</f>
        <v>280.92399999999998</v>
      </c>
      <c r="AT307" s="4">
        <f>IF(K307*3&gt;W307+N307, Q307, (S307+N307/2)*2+1.5*K307*(2*X307-2))*(3*K307)/(9*K307^2)</f>
        <v>0.50632911392405056</v>
      </c>
      <c r="AU307" s="4">
        <f>MIN(10*M307^0.5*K307^1.5,100*3.9*M307^0.5*K307^(5/3))/(PI()/4*N307^2)/X307</f>
        <v>286.14970251246518</v>
      </c>
      <c r="AV307" s="4">
        <f>MIN(0.7+0.3*(MIN(S307,AA307)+0.5*N307)/1.5/K307,1)</f>
        <v>0.75424954792043397</v>
      </c>
      <c r="AW307" s="4">
        <v>1.25</v>
      </c>
      <c r="AX307" s="4">
        <f>AX306</f>
        <v>2.5</v>
      </c>
      <c r="AY307" s="38">
        <f>AT307*AV307*AW307*AX307*AU307</f>
        <v>341.500448983534</v>
      </c>
      <c r="AZ307" s="38">
        <f>AY307</f>
        <v>341.500448983534</v>
      </c>
      <c r="BA307" s="38">
        <f>IF(M307&lt;50, 0.3*M307^(2/3), 2.12*LN(1+0.1*(M307+8)))</f>
        <v>3.3867596705239982</v>
      </c>
      <c r="BB307" s="38">
        <f>AX307* (M307^0.5/AS307^0.5)/(PI()/4*N307^2)/X307/0.72 *(0.7+(MIN(S307,AA307)+0.5*N307)/5/K307) *(3*Q307*K307)</f>
        <v>341.50044898353462</v>
      </c>
      <c r="BC307" s="38">
        <f>AY307/BB307</f>
        <v>0.99999999999999822</v>
      </c>
      <c r="BD307" s="38">
        <f>BH307/BB307</f>
        <v>1.6990702551697576</v>
      </c>
      <c r="BE307" s="4">
        <f>IF(BD307&lt;1,1,0)</f>
        <v>0</v>
      </c>
      <c r="BF307" s="4">
        <f>L307/N307*M307^0.5/0.19</f>
        <v>358.50801517310128</v>
      </c>
      <c r="BG307" s="4">
        <f>MIN(0.6+0.4*(AC307/AB307),2)</f>
        <v>1</v>
      </c>
      <c r="BH307" s="38">
        <f>2*M307*AB307*AD307^0.5*BG307*0.7/0.7</f>
        <v>580.23325499504097</v>
      </c>
      <c r="BI307" s="4">
        <f>MAX(1-0.7*AE307/5,0.3)</f>
        <v>0.3</v>
      </c>
      <c r="BJ307" s="4">
        <f>BI307*J307*L307/(J307*N307/2.75/M307^0.5)</f>
        <v>56.196131378383619</v>
      </c>
      <c r="BK307" s="4">
        <f>BH307+BJ307</f>
        <v>636.42938637342456</v>
      </c>
      <c r="BM307" s="4">
        <f>MIN(1.5, 0.75+0.25*MIN(3,MAX(1,S307/N307))+0.4*MIN(1,(40*2*PI()*AM307^2/4/AO307/X307)/N307))</f>
        <v>1.375</v>
      </c>
      <c r="BN307" s="4">
        <f>(3*P307+30)*BM307*M307^0.5</f>
        <v>535.03188373813703</v>
      </c>
      <c r="BP307" s="4">
        <f>3.4/PI()^0.5*M307*AB307*AE307^0.5*BG307</f>
        <v>556.51464944355905</v>
      </c>
      <c r="BQ307" s="4">
        <f>8/3*AH307*AI307^2/(AG307-N307-22)/N307*(AG307^2-N307^2)/(AG307^2-(N307+22)^2)</f>
        <v>0</v>
      </c>
      <c r="BR307" s="4">
        <f>BQ307/BP307</f>
        <v>0</v>
      </c>
      <c r="BZ307" s="4">
        <f>IF(W307=0,S307,MIN(W307/2,S307))</f>
        <v>63.5</v>
      </c>
      <c r="CD307" s="9"/>
      <c r="CF307" s="9"/>
      <c r="CG307" s="9"/>
      <c r="CH307" s="9">
        <f>IF(W307=0,MIN(S307,U307),MIN(W307/2,S307,U307))</f>
        <v>63.5</v>
      </c>
      <c r="CI307" s="9">
        <f>MAX(W307/2,S307)</f>
        <v>124.45999999999998</v>
      </c>
      <c r="CJ307" s="9">
        <f>(CH307/N307)^0.5*(CI307/CH307)^0.15</f>
        <v>1.7490749303163509</v>
      </c>
      <c r="CK307" s="70">
        <f>IF(AO307&gt;1,20,0)</f>
        <v>20</v>
      </c>
      <c r="CL307" s="9">
        <f>MIN(PI()*AM307^2/4*AN307*2/X307/N307/MAX(0.01,AO307),0.05)</f>
        <v>0</v>
      </c>
      <c r="CM307" s="9">
        <f>MAX(0,CK307*(CL307-0.5/50))</f>
        <v>0</v>
      </c>
      <c r="CN307" s="9">
        <f>MIN(1,(25/N307)^0.3)</f>
        <v>0.99524931562137331</v>
      </c>
      <c r="CO307" s="9">
        <f>IF(J307&gt;=800,0.68,IF(J307&gt;=700,0.75-(J307-700)*0.07/100,IF(J307&gt;=600,0.85-(J307-600)*0.1/100,IF(J307&gt;=500,1-(J307-500)*0.15/100,1.2-(J307-400)*0.2/100))))</f>
        <v>0.68048275862068963</v>
      </c>
      <c r="CP307" s="9">
        <f>1.75*CN307*CO307*(M307/25)^0.5</f>
        <v>1.4598707313117956</v>
      </c>
      <c r="CQ307" s="9">
        <f>MIN((CJ307+CM307)*CP307,2.5*CP307,M307^0.5)</f>
        <v>2.5534232976400588</v>
      </c>
      <c r="CR307" s="40">
        <v>1</v>
      </c>
      <c r="CS307" s="9">
        <f>4*CQ307*P307+60*CQ307</f>
        <v>266.16884454599972</v>
      </c>
      <c r="CU307" s="4">
        <f>AJ307/BF307</f>
        <v>1.8390393434000243</v>
      </c>
      <c r="CV307" s="4">
        <f>AJ307/BK307</f>
        <v>1.0359520772360065</v>
      </c>
      <c r="CW307" s="4">
        <f>AJ307/BN307</f>
        <v>1.2322823459064642</v>
      </c>
      <c r="CX307" s="4">
        <f>AJ307/CS307</f>
        <v>2.4770380092837767</v>
      </c>
      <c r="CY307" s="4">
        <f>AJ307/DZ307</f>
        <v>1.051317145691999</v>
      </c>
      <c r="CZ307" s="4">
        <f>AJ307/EL307</f>
        <v>1.10521720654621</v>
      </c>
      <c r="DA307" s="4">
        <f>AJ307/GI307</f>
        <v>1.2044626549109341</v>
      </c>
      <c r="DB307" s="4">
        <f>AN307</f>
        <v>0</v>
      </c>
      <c r="DC307" s="4">
        <f>CU307</f>
        <v>1.8390393434000243</v>
      </c>
      <c r="DD307" s="4">
        <f>CV307</f>
        <v>1.0359520772360065</v>
      </c>
      <c r="DE307" s="4">
        <f>CX307</f>
        <v>2.4770380092837767</v>
      </c>
      <c r="DF307" s="4">
        <f>DA307</f>
        <v>1.2044626549109341</v>
      </c>
      <c r="DG307" s="4">
        <f>CY307</f>
        <v>1.051317145691999</v>
      </c>
      <c r="DH307" s="4">
        <f>CZ307</f>
        <v>1.10521720654621</v>
      </c>
      <c r="DQ307" s="4">
        <f>L307</f>
        <v>280.92399999999998</v>
      </c>
      <c r="DT307" s="4">
        <f>K307/4/(1-0.3*(M307/30)^0.5)/200000/N307</f>
        <v>2.0862644589160908E-5</v>
      </c>
      <c r="DU307" s="4">
        <f>EP307</f>
        <v>7.7815993963460848</v>
      </c>
      <c r="DV307" s="4">
        <f>EC307*AG307/257/M307/AD307</f>
        <v>0.37489915373489696</v>
      </c>
      <c r="DW307" s="4">
        <f>DU307*DV307^0.4</f>
        <v>5.2557494461216852</v>
      </c>
      <c r="DX307" s="4">
        <f>MIN(DU307, DU307/1.4*(1-DV307^1.4)/(1-DV307))</f>
        <v>6.6403267014248541</v>
      </c>
      <c r="DY307" s="4">
        <f>MAX(DU307/2, (4-DT307*(8*AG307*(DW307-DX307)+6*K307*DX307))/(4+DT307*K307*DU307)*DU307)</f>
        <v>7.2756532072125752</v>
      </c>
      <c r="DZ307" s="38">
        <f>MIN(1/N307*(4*AG307*(DW307-DX307)+(3*DX307+DY307)*K307)+EC307 -FJ307,MAX(J307,AJ307))</f>
        <v>627.12792950181961</v>
      </c>
      <c r="EA307" s="4">
        <f>DZ307/FF307</f>
        <v>1.000107959834613</v>
      </c>
      <c r="EB307" s="4">
        <f>AG307/N307</f>
        <v>2.7386127875258306</v>
      </c>
      <c r="EC307" s="4">
        <f>MIN(EB$10*BB307)</f>
        <v>341.50044898353462</v>
      </c>
      <c r="EG307" s="4">
        <f>IF(U307&gt;1*N307,0.85,1)</f>
        <v>0.85</v>
      </c>
      <c r="EH307" s="4">
        <f>MIN(1,MAX(0.7,(1-0.1*(BZ307-1*N307)/N307)))</f>
        <v>0.85</v>
      </c>
      <c r="EI307" s="4">
        <f>MIN(1,MAX(0.7,1-0.3*(PI()*AM307^2/4*AQ307*2-0.25*PI()/4*N307^2)/(PI()/4*N307^2)))</f>
        <v>1</v>
      </c>
      <c r="EJ307" s="4">
        <f>IF(EH307*EI307&lt;0.7,0.7,EH307*EI307)</f>
        <v>0.85</v>
      </c>
      <c r="EL307" s="4">
        <f>MIN(DU307/N307*3*K307+EM307-FJ307,MAX(J307,AJ307))</f>
        <v>596.54368473679733</v>
      </c>
      <c r="EM307" s="25">
        <f>13.3*Q307*K307^0.5*M307^0.5/X307/N307^2*(0.7+S307/5/K307)</f>
        <v>338.35021676603429</v>
      </c>
      <c r="EO307" s="4">
        <f>EG307*EJ307</f>
        <v>0.72249999999999992</v>
      </c>
      <c r="EP307" s="4">
        <f>IF(N307&lt;22.2,1.1*5*(M307/30)^0.5,IF(N307&gt;=31.8,0.9*5*(M307/30)^0.5,1*5*(M307/30)^0.5))/EG307/EJ307</f>
        <v>7.7815993963460848</v>
      </c>
      <c r="ES307" s="4">
        <f>ET307*N307</f>
        <v>69.56076480315609</v>
      </c>
      <c r="ET307" s="4">
        <f>AF307^0.5</f>
        <v>2.7386127875258306</v>
      </c>
      <c r="EU307" s="4">
        <f>MIN(EC307)/(4700*M307^0.5)/AE307*ES307</f>
        <v>0.12625455895365398</v>
      </c>
      <c r="EX307" s="4">
        <f>EU307</f>
        <v>0.12625455895365398</v>
      </c>
      <c r="EY307" s="4">
        <f>MIN(0.999, EX307/(0.3*(M307/30)^0.5))</f>
        <v>0.37427351691901739</v>
      </c>
      <c r="EZ307" s="4">
        <f>EP307/1*EY307^0.4</f>
        <v>5.2522393416089468</v>
      </c>
      <c r="FA307" s="4">
        <f>EP307/1.4*(1-EY307^1.4)/(1-EY307)</f>
        <v>6.6389405680731253</v>
      </c>
      <c r="FB307" s="4">
        <f>MAX(0,DQ307*FB$9-ES307)</f>
        <v>141.13223519684391</v>
      </c>
      <c r="FC307" s="4">
        <f>MAX(0,DQ307-ES307-FB307)</f>
        <v>70.230999999999995</v>
      </c>
      <c r="FD307" s="4">
        <f>FC307/(1-0.3*(M307/30)^0.5)/200000/N307</f>
        <v>2.0862644589160908E-5</v>
      </c>
      <c r="FE307" s="4">
        <f>MAX(0.5*EP307, (1-2*FD307*(ES307*EZ307+FB307*FA307))/(1/EP307+FD307*FC307))</f>
        <v>7.2757943938291234</v>
      </c>
      <c r="FF307" s="4">
        <f>MIN(4/N307*(1*EZ307*ES307+FA307*FB307+FC307*FE307)+EC307,MAX(J307,AJ307))</f>
        <v>627.06023218286077</v>
      </c>
      <c r="FO307" s="23">
        <f>IF(CU307&lt;0.6,0.6,IF(CU307&lt;0.8,0.8,IF(CU307&lt;1,1,IF(CU307&lt;1.2,1.2,IF(CU307&lt;1.4,1.4,IF(CU307&lt;1.6,1.6,IF(CU307&lt;1.8,1.8,IF(CU307&lt;2,2,2.2))))))))</f>
        <v>2</v>
      </c>
      <c r="FP307" s="23">
        <f>IF(CV307&lt;0.6,0.6,IF(CV307&lt;0.8,0.8,IF(CV307&lt;1,1,IF(CV307&lt;1.2,1.2,IF(CV307&lt;1.4,1.4,IF(CV307&lt;1.6,1.6,IF(CV307&lt;1.8,1.8,IF(CV307&lt;2,2,2.2))))))))</f>
        <v>1.2</v>
      </c>
      <c r="FQ307" s="23">
        <f>IF(DA307&lt;0.6,0.6,IF(DA307&lt;0.8,0.8,IF(DA307&lt;1,1,IF(DA307&lt;1.2,1.2,IF(DA307&lt;1.4,1.4,IF(DA307&lt;1.6,1.6,IF(DA307&lt;1.8,1.8,IF(DA307&lt;2,2,2.2))))))))</f>
        <v>1.4</v>
      </c>
      <c r="FR307" s="23">
        <f>IF(CX307&lt;0.6,0.6,IF(CX307&lt;0.8,0.8,IF(CX307&lt;1,1,IF(CX307&lt;1.2,1.2,IF(CX307&lt;1.4,1.4,IF(CX307&lt;1.6,1.6,IF(CX307&lt;1.8,1.8,IF(CX307&lt;2,2,2.2))))))))</f>
        <v>2.2000000000000002</v>
      </c>
      <c r="FS307" s="23">
        <f>IF(CY307&lt;0.6,0.6,IF(CY307&lt;0.8,0.8,IF(CY307&lt;1,1,IF(CY307&lt;1.2,1.2,IF(CY307&lt;1.4,1.4,IF(CY307&lt;1.6,1.6,IF(CY307&lt;1.8,1.8,IF(CY307&lt;2,2,2.2))))))))</f>
        <v>1.2</v>
      </c>
      <c r="FT307" s="23">
        <f>IF(CZ307&lt;0.6,0.6,IF(CZ307&lt;0.8,0.8,IF(CZ307&lt;1,1,IF(CZ307&lt;1.2,1.2,IF(CZ307&lt;1.4,1.4,IF(CZ307&lt;1.6,1.6,IF(CZ307&lt;1.8,1.8,IF(CZ307&lt;2,2,2.2))))))))</f>
        <v>1.2</v>
      </c>
      <c r="FU307" s="23">
        <f>IF(FS307&lt;1,1,0)</f>
        <v>0</v>
      </c>
      <c r="FV307" s="23"/>
      <c r="GF307" s="4">
        <f>IF(S307&gt;=2.5*25.4,1,1.25)</f>
        <v>1</v>
      </c>
      <c r="GG307" s="4">
        <f>IF(AO307&gt;1, 0.05*(18-MIN(8,(W307+N307)/N307))*(1-48000/MAX(60000,(J307*145))*(N307/25.4)^0.75*GH307), 1/12*(14-MIN(8,(W307+N307)/N307)))</f>
        <v>0.5</v>
      </c>
      <c r="GH307" s="4">
        <f>MIN(0.3, AM307^2*PI()/4*2*AP307/(N307^2*PI()/4*X307))</f>
        <v>0</v>
      </c>
      <c r="GI307" s="4">
        <f>(K307/25.4)/(N307/25.4)^1.5/0.0024*(M307*145)^0.25/GF307/GG307/145</f>
        <v>547.38961157441611</v>
      </c>
    </row>
    <row r="308" spans="1:191" ht="12" customHeight="1" x14ac:dyDescent="0.3">
      <c r="A308" s="25">
        <v>202</v>
      </c>
      <c r="B308" s="24" t="s">
        <v>182</v>
      </c>
      <c r="C308" s="4">
        <v>1996</v>
      </c>
      <c r="D308" s="24" t="s">
        <v>309</v>
      </c>
      <c r="E308" s="24"/>
      <c r="F308" s="24"/>
      <c r="G308" s="24">
        <v>3</v>
      </c>
      <c r="H308" s="4" t="s">
        <v>336</v>
      </c>
      <c r="I308" s="5">
        <f>K308/N308</f>
        <v>7.8212290502793298</v>
      </c>
      <c r="J308" s="110">
        <v>556</v>
      </c>
      <c r="K308" s="82">
        <f>381-U308-25</f>
        <v>280</v>
      </c>
      <c r="L308" s="7">
        <f>K308</f>
        <v>280</v>
      </c>
      <c r="M308" s="106">
        <v>34.5</v>
      </c>
      <c r="N308" s="105">
        <v>35.799999999999997</v>
      </c>
      <c r="O308" s="7">
        <f>K308/N308</f>
        <v>7.8212290502793298</v>
      </c>
      <c r="P308" s="7">
        <f>L308/N308</f>
        <v>7.8212290502793298</v>
      </c>
      <c r="Q308" s="7">
        <v>305</v>
      </c>
      <c r="R308" s="32">
        <f>S308/N308</f>
        <v>2.1229050279329611</v>
      </c>
      <c r="S308" s="7">
        <v>76</v>
      </c>
      <c r="T308" s="32">
        <f>U308/N308</f>
        <v>2.1229050279329611</v>
      </c>
      <c r="U308" s="7">
        <v>76</v>
      </c>
      <c r="V308" s="32">
        <f>W308/N308</f>
        <v>2.2737430167597767</v>
      </c>
      <c r="W308" s="7">
        <f>Q308-2*N308-2*S308</f>
        <v>81.400000000000006</v>
      </c>
      <c r="X308" s="7">
        <v>2</v>
      </c>
      <c r="Y308" s="7">
        <f>AN308</f>
        <v>0</v>
      </c>
      <c r="Z308" s="32">
        <f>AA308/N308</f>
        <v>7.8212290502793298</v>
      </c>
      <c r="AA308" s="7">
        <f>775-(343+152)</f>
        <v>280</v>
      </c>
      <c r="AB308" s="7">
        <f>MIN(S308/N308+0.5, W308/2/N308+0.5)</f>
        <v>1.6368715083798884</v>
      </c>
      <c r="AC308" s="7">
        <f>S308/N308+0.5</f>
        <v>2.6229050279329611</v>
      </c>
      <c r="AD308" s="7">
        <f>3025/(N308^2*PI()/4)-1</f>
        <v>2.0051727652257014</v>
      </c>
      <c r="AE308" s="7">
        <f>3025/(N308^2*PI()/4)-1</f>
        <v>2.0051727652257014</v>
      </c>
      <c r="AF308" s="7">
        <f>AE308+1</f>
        <v>3.0051727652257014</v>
      </c>
      <c r="AG308" s="7">
        <f>N308*AF308^0.5</f>
        <v>62.060854190253195</v>
      </c>
      <c r="AH308" s="7">
        <f>J308</f>
        <v>556</v>
      </c>
      <c r="AI308" s="7">
        <v>25</v>
      </c>
      <c r="AJ308" s="7">
        <f>340*1000/(N308^2*PI()/4)</f>
        <v>337.7714843559466</v>
      </c>
      <c r="AK308" s="7"/>
      <c r="AL308" s="4">
        <f>CY308</f>
        <v>1.2380919937878554</v>
      </c>
      <c r="AM308" s="7">
        <v>0</v>
      </c>
      <c r="AN308" s="7">
        <v>0</v>
      </c>
      <c r="AO308" s="7">
        <f>L308</f>
        <v>280</v>
      </c>
      <c r="AP308" s="7"/>
      <c r="AQ308" s="7"/>
      <c r="AR308" s="7">
        <f>3*AS308/(W308+N308)</f>
        <v>7.1672354948805461</v>
      </c>
      <c r="AS308" s="4">
        <f>K308</f>
        <v>280</v>
      </c>
      <c r="AT308" s="4">
        <f>IF(K308*3&gt;W308+N308, Q308, (S308+N308/2)*2+1.5*K308*(2*X308-2))*(3*K308)/(9*K308^2)</f>
        <v>0.36309523809523808</v>
      </c>
      <c r="AU308" s="4">
        <f>MIN(10*M308^0.5*K308^1.5,100*3.9*M308^0.5*K308^(5/3))/(PI()/4*N308^2)/X308</f>
        <v>136.69752902409817</v>
      </c>
      <c r="AV308" s="4">
        <f>MIN(0.7+0.3*(MIN(S308,AA308)+0.5*N308)/1.5/K308,1)</f>
        <v>0.76707142857142852</v>
      </c>
      <c r="AW308" s="4">
        <v>1.25</v>
      </c>
      <c r="AX308" s="4">
        <f>AX307</f>
        <v>2.5</v>
      </c>
      <c r="AY308" s="38">
        <f>AT308*AV308*AW308*AX308*AU308</f>
        <v>118.97810455938722</v>
      </c>
      <c r="AZ308" s="38">
        <f>AY308</f>
        <v>118.97810455938722</v>
      </c>
      <c r="BA308" s="38">
        <f>IF(M308&lt;50, 0.3*M308^(2/3), 2.12*LN(1+0.1*(M308+8)))</f>
        <v>3.1793181165219675</v>
      </c>
      <c r="BB308" s="38">
        <f>AX308* (M308^0.5/AS308^0.5)/(PI()/4*N308^2)/X308/0.72 *(0.7+(MIN(S308,AA308)+0.5*N308)/5/K308) *(3*Q308*K308)</f>
        <v>118.97810455938726</v>
      </c>
      <c r="BC308" s="38">
        <f>AY308/BB308</f>
        <v>0.99999999999999967</v>
      </c>
      <c r="BD308" s="38">
        <f>BH308/BB308</f>
        <v>1.6681257525259441</v>
      </c>
      <c r="BE308" s="4">
        <f>IF(BD308&lt;1,1,0)</f>
        <v>0</v>
      </c>
      <c r="BF308" s="4">
        <f>L308/N308*M308^0.5/0.19</f>
        <v>241.78588906584861</v>
      </c>
      <c r="BG308" s="4">
        <f>MIN(0.6+0.4*(AC308/AB308),2)</f>
        <v>1.2409556313993173</v>
      </c>
      <c r="BH308" s="38">
        <f>2*M308*AB308*AD308^0.5*BG308*0.7/0.7</f>
        <v>198.47044020223834</v>
      </c>
      <c r="BI308" s="4">
        <f>MAX(1-0.7*AE308/5,0.3)</f>
        <v>0.71927581286840181</v>
      </c>
      <c r="BJ308" s="4">
        <f>BI308*J308*L308/(J308*N308/2.75/M308^0.5)</f>
        <v>90.868362641677564</v>
      </c>
      <c r="BK308" s="4">
        <f>BH308+BJ308</f>
        <v>289.33880284391591</v>
      </c>
      <c r="BM308" s="4">
        <f>MIN(1.5, 0.75+0.25*MIN(3,MAX(1,S308/N308))+0.4*MIN(1,(40*2*PI()*AM308^2/4/AO308/X308)/N308))</f>
        <v>1.2807262569832403</v>
      </c>
      <c r="BN308" s="4">
        <f>(3*P308+30)*BM308*M308^0.5</f>
        <v>402.18398012279795</v>
      </c>
      <c r="BP308" s="4">
        <f>3.4/PI()^0.5*M308*AB308*AE308^0.5*BG308</f>
        <v>190.35742350720918</v>
      </c>
      <c r="BQ308" s="4">
        <f>8/3*AH308*AI308^2/(AG308-N308-22)/N308*(AG308^2-N308^2)/(AG308^2-(N308+22)^2)</f>
        <v>30569.451870773988</v>
      </c>
      <c r="BR308" s="4">
        <f>BQ308/BP308</f>
        <v>160.58975430299554</v>
      </c>
      <c r="BZ308" s="4">
        <f>IF(W308=0,S308,MIN(W308/2,S308))</f>
        <v>40.700000000000003</v>
      </c>
      <c r="CD308" s="9"/>
      <c r="CF308" s="9"/>
      <c r="CG308" s="9"/>
      <c r="CH308" s="9">
        <f>IF(W308=0,MIN(S308,U308),MIN(W308/2,S308,U308))</f>
        <v>40.700000000000003</v>
      </c>
      <c r="CI308" s="9">
        <f>MAX(W308/2,S308)</f>
        <v>76</v>
      </c>
      <c r="CJ308" s="9">
        <f>(CH308/N308)^0.5*(CI308/CH308)^0.15</f>
        <v>1.1709505872794554</v>
      </c>
      <c r="CK308" s="70">
        <v>0</v>
      </c>
      <c r="CL308" s="9">
        <f>MIN(PI()*AM308^2/4*AN308*2/X308/N308/MAX(0.01,AO308),0.05)</f>
        <v>0</v>
      </c>
      <c r="CM308" s="9">
        <f>MAX(0,CK308*(CL308-0.5/50))</f>
        <v>0</v>
      </c>
      <c r="CN308" s="9">
        <f>MIN(1,(25/N308)^0.3)</f>
        <v>0.89787751228078194</v>
      </c>
      <c r="CO308" s="9">
        <f>IF(J308&gt;=800,0.68,IF(J308&gt;=700,0.75-(J308-700)*0.07/100,IF(J308&gt;=600,0.85-(J308-600)*0.1/100,IF(J308&gt;=500,1-(J308-500)*0.15/100,1.2-(J308-400)*0.2/100))))</f>
        <v>0.91600000000000004</v>
      </c>
      <c r="CP308" s="9">
        <f>1.75*CN308*CO308*(M308/25)^0.5</f>
        <v>1.6907919060582215</v>
      </c>
      <c r="CQ308" s="9">
        <f>MIN((CJ308+CM308)*CP308,2.5*CP308,M308^0.5)</f>
        <v>1.9798337753662243</v>
      </c>
      <c r="CR308" s="9">
        <v>1</v>
      </c>
      <c r="CS308" s="9">
        <f>4*CQ308*P308+60*CQ308</f>
        <v>180.72896027644751</v>
      </c>
      <c r="CU308" s="4">
        <f>AJ308/BF308</f>
        <v>1.3969859269328866</v>
      </c>
      <c r="CV308" s="4">
        <f>AJ308/BK308</f>
        <v>1.1673908961949973</v>
      </c>
      <c r="CW308" s="4">
        <f>AJ308/BN308</f>
        <v>0.83984320870467188</v>
      </c>
      <c r="CX308" s="4">
        <f>AJ308/CS308</f>
        <v>1.8689394540824167</v>
      </c>
      <c r="CY308" s="4">
        <f>AJ308/DZ308</f>
        <v>1.2380919937878554</v>
      </c>
      <c r="CZ308" s="4">
        <f>AJ308/EL308</f>
        <v>1.3383380886118024</v>
      </c>
      <c r="DA308" s="4">
        <f>AJ308/GI308</f>
        <v>1.5621311103571764</v>
      </c>
      <c r="DC308" s="4">
        <f>CU308</f>
        <v>1.3969859269328866</v>
      </c>
      <c r="DD308" s="4">
        <f>CV308</f>
        <v>1.1673908961949973</v>
      </c>
      <c r="DE308" s="4">
        <f>CX308</f>
        <v>1.8689394540824167</v>
      </c>
      <c r="DF308" s="4">
        <f>DA308</f>
        <v>1.5621311103571764</v>
      </c>
      <c r="DG308" s="4">
        <f>CY308</f>
        <v>1.2380919937878554</v>
      </c>
      <c r="DH308" s="4">
        <f>CZ308</f>
        <v>1.3383380886118024</v>
      </c>
      <c r="DP308" s="4">
        <f>AN308</f>
        <v>0</v>
      </c>
      <c r="DQ308" s="4">
        <f>L308</f>
        <v>280</v>
      </c>
      <c r="DT308" s="4">
        <f>K308/4/(1-0.3*(M308/30)^0.5)/200000/N308</f>
        <v>1.4413593384422284E-5</v>
      </c>
      <c r="DU308" s="4">
        <f>EP308</f>
        <v>5.7560932013474524</v>
      </c>
      <c r="DV308" s="4">
        <f>EC308*AG308/257/M308/AD308</f>
        <v>0.41531802396359924</v>
      </c>
      <c r="DW308" s="4">
        <f>DU308*DV308^0.4</f>
        <v>4.0502341293306188</v>
      </c>
      <c r="DX308" s="4">
        <f>MIN(DU308, DU308/1.4*(1-DV308^1.4)/(1-DV308))</f>
        <v>4.9770133082573631</v>
      </c>
      <c r="DY308" s="4">
        <f>MAX(DU308/2, (4-DT308*(8*AG308*(DW308-DX308)+6*K308*DX308))/(4+DT308*K308*DU308)*DU308)</f>
        <v>5.5599195823198233</v>
      </c>
      <c r="DZ308" s="38">
        <f>MIN(1/N308*(4*AG308*(DW308-DX308)+(3*DX308+DY308)*K308)+EC308 -FJ308,MAX(J308,AJ308))</f>
        <v>272.8161445601134</v>
      </c>
      <c r="EA308" s="4">
        <f>DZ308/FF308</f>
        <v>1.0001337893468336</v>
      </c>
      <c r="EB308" s="4">
        <f>AG308/N308</f>
        <v>1.7335434131355643</v>
      </c>
      <c r="EC308" s="4">
        <f>MIN(EB$10*BB308)</f>
        <v>118.97810455938726</v>
      </c>
      <c r="EG308" s="4">
        <f>IF(U308&gt;1*N308,0.85,1)</f>
        <v>0.85</v>
      </c>
      <c r="EH308" s="4">
        <f>MIN(1,MAX(0.7,(1-0.1*(BZ308-1*N308)/N308)))</f>
        <v>0.98631284916201112</v>
      </c>
      <c r="EI308" s="4">
        <f>MIN(1,MAX(0.7,1-0.3*(PI()*AM308^2/4*AQ308*2-0.25*PI()/4*N308^2)/(PI()/4*N308^2)))</f>
        <v>1</v>
      </c>
      <c r="EJ308" s="4">
        <f>IF(EH308*EI308&lt;0.7,0.7,EH308*EI308)</f>
        <v>0.98631284916201112</v>
      </c>
      <c r="EL308" s="4">
        <f>MIN(DU308/N308*3*K308+EM308-FJ308,MAX(J308,AJ308))</f>
        <v>252.38128334694687</v>
      </c>
      <c r="EM308" s="25">
        <f>13.3*Q308*K308^0.5*M308^0.5/X308/N308^2*(0.7+S308/5/K308)</f>
        <v>117.32211325946476</v>
      </c>
      <c r="EO308" s="4">
        <f>EG308*EJ308</f>
        <v>0.83836592178770941</v>
      </c>
      <c r="EP308" s="4">
        <f>IF(N308&lt;22.2,1.1*5*(M308/30)^0.5,IF(N308&gt;=31.8,0.9*5*(M308/30)^0.5,1*5*(M308/30)^0.5))/EG308/EJ308</f>
        <v>5.7560932013474524</v>
      </c>
      <c r="ES308" s="4">
        <f>ET308*N308</f>
        <v>62.060854190253195</v>
      </c>
      <c r="ET308" s="4">
        <f>AF308^0.5</f>
        <v>1.7335434131355643</v>
      </c>
      <c r="EU308" s="4">
        <f>MIN(EC308)/(4700*M308^0.5)/AE308*ES308</f>
        <v>0.13339071238746128</v>
      </c>
      <c r="EX308" s="4">
        <f>EU308</f>
        <v>0.13339071238746128</v>
      </c>
      <c r="EY308" s="4">
        <f>MIN(0.999, EX308/(0.3*(M308/30)^0.5))</f>
        <v>0.41462493558636138</v>
      </c>
      <c r="EZ308" s="4">
        <f>EP308/1*EY308^0.4</f>
        <v>4.0475291402057101</v>
      </c>
      <c r="FA308" s="4">
        <f>EP308/1.4*(1-EY308^1.4)/(1-EY308)</f>
        <v>4.9759143938040786</v>
      </c>
      <c r="FB308" s="4">
        <f>MAX(0,DQ308*FB$9-ES308)</f>
        <v>147.9391458097468</v>
      </c>
      <c r="FC308" s="4">
        <f>MAX(0,DQ308-ES308-FB308)</f>
        <v>70</v>
      </c>
      <c r="FD308" s="4">
        <f>FC308/(1-0.3*(M308/30)^0.5)/200000/N308</f>
        <v>1.4413593384422284E-5</v>
      </c>
      <c r="FE308" s="4">
        <f>MAX(0.5*EP308, (1-2*FD308*(ES308*EZ308+FB308*FA308))/(1/EP308+FD308*FC308))</f>
        <v>5.5599740973409251</v>
      </c>
      <c r="FF308" s="4">
        <f>MIN(4/N308*(1*EZ308*ES308+FA308*FB308+FC308*FE308)+EC308,MAX(J308,AJ308))</f>
        <v>272.77964954897072</v>
      </c>
      <c r="FO308" s="23">
        <f>IF(CU308&lt;0.6,0.6,IF(CU308&lt;0.8,0.8,IF(CU308&lt;1,1,IF(CU308&lt;1.2,1.2,IF(CU308&lt;1.4,1.4,IF(CU308&lt;1.6,1.6,IF(CU308&lt;1.8,1.8,IF(CU308&lt;2,2,2.2))))))))</f>
        <v>1.4</v>
      </c>
      <c r="FP308" s="23">
        <f>IF(CV308&lt;0.6,0.6,IF(CV308&lt;0.8,0.8,IF(CV308&lt;1,1,IF(CV308&lt;1.2,1.2,IF(CV308&lt;1.4,1.4,IF(CV308&lt;1.6,1.6,IF(CV308&lt;1.8,1.8,IF(CV308&lt;2,2,2.2))))))))</f>
        <v>1.2</v>
      </c>
      <c r="FQ308" s="23">
        <f>IF(DA308&lt;0.6,0.6,IF(DA308&lt;0.8,0.8,IF(DA308&lt;1,1,IF(DA308&lt;1.2,1.2,IF(DA308&lt;1.4,1.4,IF(DA308&lt;1.6,1.6,IF(DA308&lt;1.8,1.8,IF(DA308&lt;2,2,2.2))))))))</f>
        <v>1.6</v>
      </c>
      <c r="FR308" s="23">
        <f>IF(CX308&lt;0.6,0.6,IF(CX308&lt;0.8,0.8,IF(CX308&lt;1,1,IF(CX308&lt;1.2,1.2,IF(CX308&lt;1.4,1.4,IF(CX308&lt;1.6,1.6,IF(CX308&lt;1.8,1.8,IF(CX308&lt;2,2,2.2))))))))</f>
        <v>2</v>
      </c>
      <c r="FS308" s="23">
        <f>IF(CY308&lt;0.6,0.6,IF(CY308&lt;0.8,0.8,IF(CY308&lt;1,1,IF(CY308&lt;1.2,1.2,IF(CY308&lt;1.4,1.4,IF(CY308&lt;1.6,1.6,IF(CY308&lt;1.8,1.8,IF(CY308&lt;2,2,2.2))))))))</f>
        <v>1.4</v>
      </c>
      <c r="FT308" s="23">
        <f>IF(CZ308&lt;0.6,0.6,IF(CZ308&lt;0.8,0.8,IF(CZ308&lt;1,1,IF(CZ308&lt;1.2,1.2,IF(CZ308&lt;1.4,1.4,IF(CZ308&lt;1.6,1.6,IF(CZ308&lt;1.8,1.8,IF(CZ308&lt;2,2,2.2))))))))</f>
        <v>1.4</v>
      </c>
      <c r="FU308" s="23">
        <f>IF(FS308&lt;1,1,0)</f>
        <v>0</v>
      </c>
      <c r="FV308" s="23"/>
      <c r="GF308" s="4">
        <f>IF(S308&gt;=2.5*25.4,1,1.25)</f>
        <v>1</v>
      </c>
      <c r="GG308" s="4">
        <f>IF(AO308&gt;1, 0.05*(18-MIN(8,(W308+N308)/N308))*(1-48000/MAX(60000,(J308*145))*(N308/25.4)^0.75*GH308), 1/12*(14-MIN(8,(W308+N308)/N308)))</f>
        <v>0.73631284916201123</v>
      </c>
      <c r="GH308" s="4">
        <f>MIN(0.3, AM308^2*PI()/4*2*AP308/(N308^2*PI()/4*X308))</f>
        <v>0</v>
      </c>
      <c r="GI308" s="4">
        <f>(K308/25.4)/(N308/25.4)^1.5/0.0024*(M308*145)^0.25/GF308/GG308/145</f>
        <v>216.22479836453434</v>
      </c>
    </row>
    <row r="309" spans="1:191" ht="12" customHeight="1" x14ac:dyDescent="0.3">
      <c r="A309" s="25">
        <v>203</v>
      </c>
      <c r="B309" s="24" t="s">
        <v>182</v>
      </c>
      <c r="C309" s="4">
        <v>1996</v>
      </c>
      <c r="D309" s="24" t="s">
        <v>309</v>
      </c>
      <c r="E309" s="24"/>
      <c r="F309" s="24"/>
      <c r="G309" s="24">
        <v>3</v>
      </c>
      <c r="H309" s="4" t="s">
        <v>337</v>
      </c>
      <c r="I309" s="5">
        <f>K309/N309</f>
        <v>7.8212290502793298</v>
      </c>
      <c r="J309" s="110">
        <v>556</v>
      </c>
      <c r="K309" s="82">
        <f>381-U309-25</f>
        <v>280</v>
      </c>
      <c r="L309" s="7">
        <f>K309</f>
        <v>280</v>
      </c>
      <c r="M309" s="106">
        <v>34.5</v>
      </c>
      <c r="N309" s="105">
        <v>35.799999999999997</v>
      </c>
      <c r="O309" s="7">
        <f>K309/N309</f>
        <v>7.8212290502793298</v>
      </c>
      <c r="P309" s="7">
        <f>L309/N309</f>
        <v>7.8212290502793298</v>
      </c>
      <c r="Q309" s="7">
        <v>305</v>
      </c>
      <c r="R309" s="32">
        <f>S309/N309</f>
        <v>2.1229050279329611</v>
      </c>
      <c r="S309" s="7">
        <v>76</v>
      </c>
      <c r="T309" s="32">
        <f>U309/N309</f>
        <v>2.1229050279329611</v>
      </c>
      <c r="U309" s="7">
        <v>76</v>
      </c>
      <c r="V309" s="32">
        <f>W309/N309</f>
        <v>2.2737430167597767</v>
      </c>
      <c r="W309" s="7">
        <f>Q309-2*N309-2*S309</f>
        <v>81.400000000000006</v>
      </c>
      <c r="X309" s="7">
        <v>2</v>
      </c>
      <c r="Y309" s="7">
        <f>AN309</f>
        <v>0</v>
      </c>
      <c r="Z309" s="32">
        <f>AA309/N309</f>
        <v>7.8212290502793298</v>
      </c>
      <c r="AA309" s="7">
        <f>775-(343+152)</f>
        <v>280</v>
      </c>
      <c r="AB309" s="7">
        <f>MIN(S309/N309+0.5, W309/2/N309+0.5)</f>
        <v>1.6368715083798884</v>
      </c>
      <c r="AC309" s="7">
        <f>S309/N309+0.5</f>
        <v>2.6229050279329611</v>
      </c>
      <c r="AD309" s="7">
        <f>2970/(N309^2*PI()/4)-1</f>
        <v>1.9505332604034158</v>
      </c>
      <c r="AE309" s="7">
        <f>2970/(N309^2*PI()/4)-1</f>
        <v>1.9505332604034158</v>
      </c>
      <c r="AF309" s="7">
        <f>AE309+1</f>
        <v>2.9505332604034158</v>
      </c>
      <c r="AG309" s="7">
        <f>N309*AF309^0.5</f>
        <v>61.494076526633307</v>
      </c>
      <c r="AH309" s="7">
        <f>J309</f>
        <v>556</v>
      </c>
      <c r="AI309" s="7">
        <v>25</v>
      </c>
      <c r="AJ309" s="7">
        <f>271*1000/(N309^2*PI()/4)</f>
        <v>269.22374194253388</v>
      </c>
      <c r="AK309" s="7"/>
      <c r="AL309" s="4">
        <f>CY309</f>
        <v>0.98516281921633742</v>
      </c>
      <c r="AM309" s="7">
        <v>0</v>
      </c>
      <c r="AN309" s="7">
        <v>0</v>
      </c>
      <c r="AO309" s="7">
        <f>L309</f>
        <v>280</v>
      </c>
      <c r="AP309" s="7"/>
      <c r="AQ309" s="7"/>
      <c r="AR309" s="7">
        <f>3*AS309/(W309+N309)</f>
        <v>7.1672354948805461</v>
      </c>
      <c r="AS309" s="4">
        <f>K309</f>
        <v>280</v>
      </c>
      <c r="AT309" s="4">
        <f>IF(K309*3&gt;W309+N309, Q309, (S309+N309/2)*2+1.5*K309*(2*X309-2))*(3*K309)/(9*K309^2)</f>
        <v>0.36309523809523808</v>
      </c>
      <c r="AU309" s="4">
        <f>MIN(10*M309^0.5*K309^1.5,100*3.9*M309^0.5*K309^(5/3))/(PI()/4*N309^2)/X309</f>
        <v>136.69752902409817</v>
      </c>
      <c r="AV309" s="4">
        <f>MIN(0.7+0.3*(MIN(S309,AA309)+0.5*N309)/1.5/K309,1)</f>
        <v>0.76707142857142852</v>
      </c>
      <c r="AW309" s="4">
        <v>1.25</v>
      </c>
      <c r="AX309" s="4">
        <f>AX308</f>
        <v>2.5</v>
      </c>
      <c r="AY309" s="38">
        <f>AT309*AV309*AW309*AX309*AU309</f>
        <v>118.97810455938722</v>
      </c>
      <c r="AZ309" s="38">
        <f>AY309</f>
        <v>118.97810455938722</v>
      </c>
      <c r="BA309" s="38">
        <f>IF(M309&lt;50, 0.3*M309^(2/3), 2.12*LN(1+0.1*(M309+8)))</f>
        <v>3.1793181165219675</v>
      </c>
      <c r="BB309" s="38">
        <f>AX309* (M309^0.5/AS309^0.5)/(PI()/4*N309^2)/X309/0.72 *(0.7+(MIN(S309,AA309)+0.5*N309)/5/K309) *(3*Q309*K309)</f>
        <v>118.97810455938726</v>
      </c>
      <c r="BC309" s="38">
        <f>AY309/BB309</f>
        <v>0.99999999999999967</v>
      </c>
      <c r="BD309" s="38">
        <f>BH309/BB309</f>
        <v>1.6452411697278291</v>
      </c>
      <c r="BE309" s="4">
        <f>IF(BD309&lt;1,1,0)</f>
        <v>0</v>
      </c>
      <c r="BF309" s="4">
        <f>L309/N309*M309^0.5/0.19</f>
        <v>241.78588906584861</v>
      </c>
      <c r="BG309" s="4">
        <f>MIN(0.6+0.4*(AC309/AB309),2)</f>
        <v>1.2409556313993173</v>
      </c>
      <c r="BH309" s="38">
        <f>2*M309*AB309*AD309^0.5*BG309*0.7/0.7</f>
        <v>195.74767591728624</v>
      </c>
      <c r="BI309" s="4">
        <f>MAX(1-0.7*AE309/5,0.3)</f>
        <v>0.72692534354352178</v>
      </c>
      <c r="BJ309" s="4">
        <f>BI309*J309*L309/(J309*N309/2.75/M309^0.5)</f>
        <v>91.834751772230206</v>
      </c>
      <c r="BK309" s="4">
        <f>BH309+BJ309</f>
        <v>287.58242768951646</v>
      </c>
      <c r="BM309" s="4">
        <f>MIN(1.5, 0.75+0.25*MIN(3,MAX(1,S309/N309))+0.4*MIN(1,(40*2*PI()*AM309^2/4/AO309/X309)/N309))</f>
        <v>1.2807262569832403</v>
      </c>
      <c r="BN309" s="4">
        <f>(3*P309+30)*BM309*M309^0.5</f>
        <v>402.18398012279795</v>
      </c>
      <c r="BP309" s="4">
        <f>3.4/PI()^0.5*M309*AB309*AE309^0.5*BG309</f>
        <v>187.74595958556532</v>
      </c>
      <c r="BQ309" s="4">
        <f>8/3*AH309*AI309^2/(AG309-N309-22)/N309*(AG309^2-N309^2)/(AG309^2-(N309+22)^2)</f>
        <v>39749.280546165857</v>
      </c>
      <c r="BR309" s="4">
        <f>BQ309/BP309</f>
        <v>211.7184339620907</v>
      </c>
      <c r="BZ309" s="4">
        <f>IF(W309=0,S309,MIN(W309/2,S309))</f>
        <v>40.700000000000003</v>
      </c>
      <c r="CD309" s="9"/>
      <c r="CF309" s="9"/>
      <c r="CG309" s="9"/>
      <c r="CH309" s="9">
        <f>IF(W309=0,MIN(S309,U309),MIN(W309/2,S309,U309))</f>
        <v>40.700000000000003</v>
      </c>
      <c r="CI309" s="9">
        <f>MAX(W309/2,S309)</f>
        <v>76</v>
      </c>
      <c r="CJ309" s="9">
        <f>(CH309/N309)^0.5*(CI309/CH309)^0.15</f>
        <v>1.1709505872794554</v>
      </c>
      <c r="CK309" s="70">
        <v>0</v>
      </c>
      <c r="CL309" s="9">
        <f>MIN(PI()*AM309^2/4*AN309*2/X309/N309/MAX(0.01,AO309),0.05)</f>
        <v>0</v>
      </c>
      <c r="CM309" s="9">
        <f>MAX(0,CK309*(CL309-0.5/50))</f>
        <v>0</v>
      </c>
      <c r="CN309" s="9">
        <f>MIN(1,(25/N309)^0.3)</f>
        <v>0.89787751228078194</v>
      </c>
      <c r="CO309" s="9">
        <f>IF(J309&gt;=800,0.68,IF(J309&gt;=700,0.75-(J309-700)*0.07/100,IF(J309&gt;=600,0.85-(J309-600)*0.1/100,IF(J309&gt;=500,1-(J309-500)*0.15/100,1.2-(J309-400)*0.2/100))))</f>
        <v>0.91600000000000004</v>
      </c>
      <c r="CP309" s="9">
        <f>1.75*CN309*CO309*(M309/25)^0.5</f>
        <v>1.6907919060582215</v>
      </c>
      <c r="CQ309" s="9">
        <f>MIN((CJ309+CM309)*CP309,2.5*CP309,M309^0.5)</f>
        <v>1.9798337753662243</v>
      </c>
      <c r="CR309" s="9">
        <v>1</v>
      </c>
      <c r="CS309" s="9">
        <f>4*CQ309*P309+60*CQ309</f>
        <v>180.72896027644751</v>
      </c>
      <c r="CU309" s="4">
        <f>AJ309/BF309</f>
        <v>1.1134799594082712</v>
      </c>
      <c r="CV309" s="4">
        <f>AJ309/BK309</f>
        <v>0.93616200442259556</v>
      </c>
      <c r="CW309" s="4">
        <f>AJ309/BN309</f>
        <v>0.66940443987931186</v>
      </c>
      <c r="CX309" s="4">
        <f>AJ309/CS309</f>
        <v>1.4896546825186321</v>
      </c>
      <c r="CY309" s="4">
        <f>AJ309/DZ309</f>
        <v>0.98516281921633742</v>
      </c>
      <c r="CZ309" s="4">
        <f>AJ309/EL309</f>
        <v>1.0667341823935248</v>
      </c>
      <c r="DA309" s="4">
        <f>AJ309/GI309</f>
        <v>1.2451103850199845</v>
      </c>
      <c r="DC309" s="4">
        <f>CU309</f>
        <v>1.1134799594082712</v>
      </c>
      <c r="DD309" s="4">
        <f>CV309</f>
        <v>0.93616200442259556</v>
      </c>
      <c r="DE309" s="4">
        <f>CX309</f>
        <v>1.4896546825186321</v>
      </c>
      <c r="DF309" s="4">
        <f>DA309</f>
        <v>1.2451103850199845</v>
      </c>
      <c r="DG309" s="4">
        <f>CY309</f>
        <v>0.98516281921633742</v>
      </c>
      <c r="DH309" s="4">
        <f>CZ309</f>
        <v>1.0667341823935248</v>
      </c>
      <c r="DP309" s="4">
        <f>AN309</f>
        <v>0</v>
      </c>
      <c r="DQ309" s="4">
        <f>L309</f>
        <v>280</v>
      </c>
      <c r="DT309" s="4">
        <f>K309/4/(1-0.3*(M309/30)^0.5)/200000/N309</f>
        <v>1.4413593384422284E-5</v>
      </c>
      <c r="DU309" s="4">
        <f>EP309</f>
        <v>5.7560932013474524</v>
      </c>
      <c r="DV309" s="4">
        <f>EC309*AG309/257/M309/AD309</f>
        <v>0.4230529727962522</v>
      </c>
      <c r="DW309" s="4">
        <f>DU309*DV309^0.4</f>
        <v>4.0802400819337299</v>
      </c>
      <c r="DX309" s="4">
        <f>MIN(DU309, DU309/1.4*(1-DV309^1.4)/(1-DV309))</f>
        <v>4.9892368362464685</v>
      </c>
      <c r="DY309" s="4">
        <f>MAX(DU309/2, (4-DT309*(8*AG309*(DW309-DX309)+6*K309*DX309))/(4+DT309*K309*DU309)*DU309)</f>
        <v>5.5592290458545044</v>
      </c>
      <c r="DZ309" s="38">
        <f>MIN(1/N309*(4*AG309*(DW309-DX309)+(3*DX309+DY309)*K309)+EC309 -FJ309,MAX(J309,AJ309))</f>
        <v>273.2784233135107</v>
      </c>
      <c r="EA309" s="4">
        <f>DZ309/FF309</f>
        <v>1.0001345161737132</v>
      </c>
      <c r="EB309" s="4">
        <f>AG309/N309</f>
        <v>1.7177116348221595</v>
      </c>
      <c r="EC309" s="4">
        <f>MIN(EB$10*BB309)</f>
        <v>118.97810455938726</v>
      </c>
      <c r="EG309" s="4">
        <f>IF(U309&gt;1*N309,0.85,1)</f>
        <v>0.85</v>
      </c>
      <c r="EH309" s="4">
        <f>MIN(1,MAX(0.7,(1-0.1*(BZ309-1*N309)/N309)))</f>
        <v>0.98631284916201112</v>
      </c>
      <c r="EI309" s="4">
        <f>MIN(1,MAX(0.7,1-0.3*(PI()*AM309^2/4*AQ309*2-0.25*PI()/4*N309^2)/(PI()/4*N309^2)))</f>
        <v>1</v>
      </c>
      <c r="EJ309" s="4">
        <f>IF(EH309*EI309&lt;0.7,0.7,EH309*EI309)</f>
        <v>0.98631284916201112</v>
      </c>
      <c r="EL309" s="4">
        <f>MIN(DU309/N309*3*K309+EM309-FJ309,MAX(J309,AJ309))</f>
        <v>252.38128334694687</v>
      </c>
      <c r="EM309" s="25">
        <f>13.3*Q309*K309^0.5*M309^0.5/X309/N309^2*(0.7+S309/5/K309)</f>
        <v>117.32211325946476</v>
      </c>
      <c r="EO309" s="4">
        <f>EG309*EJ309</f>
        <v>0.83836592178770941</v>
      </c>
      <c r="EP309" s="4">
        <f>IF(N309&lt;22.2,1.1*5*(M309/30)^0.5,IF(N309&gt;=31.8,0.9*5*(M309/30)^0.5,1*5*(M309/30)^0.5))/EG309/EJ309</f>
        <v>5.7560932013474524</v>
      </c>
      <c r="ES309" s="4">
        <f>ET309*N309</f>
        <v>61.494076526633307</v>
      </c>
      <c r="ET309" s="4">
        <f>AF309^0.5</f>
        <v>1.7177116348221595</v>
      </c>
      <c r="EU309" s="4">
        <f>MIN(EC309)/(4700*M309^0.5)/AE309*ES309</f>
        <v>0.1358750021980055</v>
      </c>
      <c r="EX309" s="4">
        <f>EU309</f>
        <v>0.1358750021980055</v>
      </c>
      <c r="EY309" s="4">
        <f>MIN(0.999, EX309/(0.3*(M309/30)^0.5))</f>
        <v>0.42234697623101108</v>
      </c>
      <c r="EZ309" s="4">
        <f>EP309/1*EY309^0.4</f>
        <v>4.0775150530350981</v>
      </c>
      <c r="FA309" s="4">
        <f>EP309/1.4*(1-EY309^1.4)/(1-EY309)</f>
        <v>4.9881242126995069</v>
      </c>
      <c r="FB309" s="4">
        <f>MAX(0,DQ309*FB$9-ES309)</f>
        <v>148.50592347336669</v>
      </c>
      <c r="FC309" s="4">
        <f>MAX(0,DQ309-ES309-FB309)</f>
        <v>70</v>
      </c>
      <c r="FD309" s="4">
        <f>FC309/(1-0.3*(M309/30)^0.5)/200000/N309</f>
        <v>1.4413593384422284E-5</v>
      </c>
      <c r="FE309" s="4">
        <f>MAX(0.5*EP309, (1-2*FD309*(ES309*EZ309+FB309*FA309))/(1/EP309+FD309*FC309))</f>
        <v>5.5592839498710775</v>
      </c>
      <c r="FF309" s="4">
        <f>MIN(4/N309*(1*EZ309*ES309+FA309*FB309+FC309*FE309)+EC309,MAX(J309,AJ309))</f>
        <v>273.24166788984712</v>
      </c>
      <c r="FO309" s="23">
        <f>IF(CU309&lt;0.6,0.6,IF(CU309&lt;0.8,0.8,IF(CU309&lt;1,1,IF(CU309&lt;1.2,1.2,IF(CU309&lt;1.4,1.4,IF(CU309&lt;1.6,1.6,IF(CU309&lt;1.8,1.8,IF(CU309&lt;2,2,2.2))))))))</f>
        <v>1.2</v>
      </c>
      <c r="FP309" s="23">
        <f>IF(CV309&lt;0.6,0.6,IF(CV309&lt;0.8,0.8,IF(CV309&lt;1,1,IF(CV309&lt;1.2,1.2,IF(CV309&lt;1.4,1.4,IF(CV309&lt;1.6,1.6,IF(CV309&lt;1.8,1.8,IF(CV309&lt;2,2,2.2))))))))</f>
        <v>1</v>
      </c>
      <c r="FQ309" s="23">
        <f>IF(DA309&lt;0.6,0.6,IF(DA309&lt;0.8,0.8,IF(DA309&lt;1,1,IF(DA309&lt;1.2,1.2,IF(DA309&lt;1.4,1.4,IF(DA309&lt;1.6,1.6,IF(DA309&lt;1.8,1.8,IF(DA309&lt;2,2,2.2))))))))</f>
        <v>1.4</v>
      </c>
      <c r="FR309" s="23">
        <f>IF(CX309&lt;0.6,0.6,IF(CX309&lt;0.8,0.8,IF(CX309&lt;1,1,IF(CX309&lt;1.2,1.2,IF(CX309&lt;1.4,1.4,IF(CX309&lt;1.6,1.6,IF(CX309&lt;1.8,1.8,IF(CX309&lt;2,2,2.2))))))))</f>
        <v>1.6</v>
      </c>
      <c r="FS309" s="23">
        <f>IF(CY309&lt;0.6,0.6,IF(CY309&lt;0.8,0.8,IF(CY309&lt;1,1,IF(CY309&lt;1.2,1.2,IF(CY309&lt;1.4,1.4,IF(CY309&lt;1.6,1.6,IF(CY309&lt;1.8,1.8,IF(CY309&lt;2,2,2.2))))))))</f>
        <v>1</v>
      </c>
      <c r="FT309" s="23">
        <f>IF(CZ309&lt;0.6,0.6,IF(CZ309&lt;0.8,0.8,IF(CZ309&lt;1,1,IF(CZ309&lt;1.2,1.2,IF(CZ309&lt;1.4,1.4,IF(CZ309&lt;1.6,1.6,IF(CZ309&lt;1.8,1.8,IF(CZ309&lt;2,2,2.2))))))))</f>
        <v>1.2</v>
      </c>
      <c r="FU309" s="23">
        <f>IF(FS309&lt;1,1,0)</f>
        <v>0</v>
      </c>
      <c r="FV309" s="23"/>
      <c r="GF309" s="4">
        <f>IF(S309&gt;=2.5*25.4,1,1.25)</f>
        <v>1</v>
      </c>
      <c r="GG309" s="4">
        <f>IF(AO309&gt;1, 0.05*(18-MIN(8,(W309+N309)/N309))*(1-48000/MAX(60000,(J309*145))*(N309/25.4)^0.75*GH309), 1/12*(14-MIN(8,(W309+N309)/N309)))</f>
        <v>0.73631284916201123</v>
      </c>
      <c r="GH309" s="4">
        <f>MIN(0.3, AM309^2*PI()/4*2*AP309/(N309^2*PI()/4*X309))</f>
        <v>0</v>
      </c>
      <c r="GI309" s="4">
        <f>(K309/25.4)/(N309/25.4)^1.5/0.0024*(M309*145)^0.25/GF309/GG309/145</f>
        <v>216.22479836453434</v>
      </c>
    </row>
    <row r="310" spans="1:191" ht="12" customHeight="1" x14ac:dyDescent="0.3">
      <c r="A310" s="25">
        <v>207</v>
      </c>
      <c r="B310" s="24" t="s">
        <v>182</v>
      </c>
      <c r="C310" s="4">
        <v>1996</v>
      </c>
      <c r="D310" s="24" t="s">
        <v>309</v>
      </c>
      <c r="E310" s="24"/>
      <c r="F310" s="24"/>
      <c r="G310" s="24">
        <v>3</v>
      </c>
      <c r="H310" s="4" t="s">
        <v>341</v>
      </c>
      <c r="I310" s="5">
        <f>K310/N310</f>
        <v>7.8212290502793298</v>
      </c>
      <c r="J310" s="110">
        <v>556</v>
      </c>
      <c r="K310" s="82">
        <f>381-U310-25</f>
        <v>280</v>
      </c>
      <c r="L310" s="7">
        <f>K310</f>
        <v>280</v>
      </c>
      <c r="M310" s="7">
        <v>37.200000000000003</v>
      </c>
      <c r="N310" s="105">
        <v>35.799999999999997</v>
      </c>
      <c r="O310" s="7">
        <f>K310/N310</f>
        <v>7.8212290502793298</v>
      </c>
      <c r="P310" s="7">
        <f>L310/N310</f>
        <v>7.8212290502793298</v>
      </c>
      <c r="Q310" s="7">
        <v>305</v>
      </c>
      <c r="R310" s="32">
        <f>S310/N310</f>
        <v>2.1229050279329611</v>
      </c>
      <c r="S310" s="7">
        <v>76</v>
      </c>
      <c r="T310" s="32">
        <f>U310/N310</f>
        <v>2.1229050279329611</v>
      </c>
      <c r="U310" s="7">
        <v>76</v>
      </c>
      <c r="V310" s="32">
        <f>W310/N310</f>
        <v>2.2737430167597767</v>
      </c>
      <c r="W310" s="7">
        <f>Q310-2*N310-2*S310</f>
        <v>81.400000000000006</v>
      </c>
      <c r="X310" s="7">
        <v>2</v>
      </c>
      <c r="Y310" s="7">
        <f>AN310</f>
        <v>2</v>
      </c>
      <c r="Z310" s="32">
        <f>AA310/N310</f>
        <v>7.8212290502793298</v>
      </c>
      <c r="AA310" s="7">
        <f>775-(343+152)</f>
        <v>280</v>
      </c>
      <c r="AB310" s="7">
        <f>MIN(S310/N310+0.5, W310/2/N310+0.5)</f>
        <v>1.6368715083798884</v>
      </c>
      <c r="AC310" s="7">
        <f>S310/N310+0.5</f>
        <v>2.6229050279329611</v>
      </c>
      <c r="AD310" s="7">
        <f>3025/(N310^2*PI()/4)-1</f>
        <v>2.0051727652257014</v>
      </c>
      <c r="AE310" s="7">
        <f>3025/(N310^2*PI()/4)-1</f>
        <v>2.0051727652257014</v>
      </c>
      <c r="AF310" s="7">
        <f>AE310+1</f>
        <v>3.0051727652257014</v>
      </c>
      <c r="AG310" s="7">
        <f>N310*AF310^0.5</f>
        <v>62.060854190253195</v>
      </c>
      <c r="AH310" s="7">
        <f>J310</f>
        <v>556</v>
      </c>
      <c r="AI310" s="7">
        <v>25</v>
      </c>
      <c r="AJ310" s="7">
        <f>416*1000/(N310^2*PI()/4)</f>
        <v>413.27334556492286</v>
      </c>
      <c r="AK310" s="7"/>
      <c r="AL310" s="4">
        <f>CY310</f>
        <v>1.4559039363893846</v>
      </c>
      <c r="AM310" s="7">
        <v>9.5</v>
      </c>
      <c r="AN310" s="7">
        <v>2</v>
      </c>
      <c r="AO310" s="7">
        <v>102</v>
      </c>
      <c r="AP310" s="7">
        <v>4</v>
      </c>
      <c r="AQ310" s="7">
        <f>AN310</f>
        <v>2</v>
      </c>
      <c r="AR310" s="7">
        <f>3*AS310/(W310+N310)</f>
        <v>7.1672354948805461</v>
      </c>
      <c r="AS310" s="4">
        <f>K310</f>
        <v>280</v>
      </c>
      <c r="AT310" s="4">
        <f>IF(K310*3&gt;W310+N310, Q310, (S310+N310/2)*2+1.5*K310*(2*X310-2))*(3*K310)/(9*K310^2)</f>
        <v>0.36309523809523808</v>
      </c>
      <c r="AU310" s="4">
        <f>MIN(10*M310^0.5*K310^1.5,100*3.9*M310^0.5*K310^(5/3))/(PI()/4*N310^2)/X310</f>
        <v>141.94581301451609</v>
      </c>
      <c r="AV310" s="4">
        <f>MIN(0.7+0.3*(MIN(S310,AA310)+0.5*N310)/1.5/K310,1)</f>
        <v>0.76707142857142852</v>
      </c>
      <c r="AW310" s="4">
        <v>1.25</v>
      </c>
      <c r="AX310" s="4">
        <f>AX309</f>
        <v>2.5</v>
      </c>
      <c r="AY310" s="38">
        <f>AT310*AV310*AW310*AX310*AU310</f>
        <v>123.54607945862055</v>
      </c>
      <c r="AZ310" s="38">
        <f>AY310</f>
        <v>123.54607945862055</v>
      </c>
      <c r="BA310" s="38">
        <f>IF(M310&lt;50, 0.3*M310^(2/3), 2.12*LN(1+0.1*(M310+8)))</f>
        <v>3.3431039547269137</v>
      </c>
      <c r="BB310" s="38">
        <f>AX310* (M310^0.5/AS310^0.5)/(PI()/4*N310^2)/X310/0.72 *(0.7+(MIN(S310,AA310)+0.5*N310)/5/K310) *(3*Q310*K310)</f>
        <v>123.54607945862062</v>
      </c>
      <c r="BC310" s="38">
        <f>AY310/BB310</f>
        <v>0.99999999999999944</v>
      </c>
      <c r="BD310" s="38">
        <f>BH310/BB310</f>
        <v>1.7321707849671844</v>
      </c>
      <c r="BE310" s="4">
        <f>IF(BD310&lt;1,1,0)</f>
        <v>0</v>
      </c>
      <c r="BF310" s="4">
        <f>L310/N310*M310^0.5/0.19</f>
        <v>251.06887332864065</v>
      </c>
      <c r="BG310" s="4">
        <f>MIN(0.6+0.4*(AC310/AB310),2)</f>
        <v>1.2409556313993173</v>
      </c>
      <c r="BH310" s="38">
        <f>2*M310*AB310*AD310^0.5*BG310*0.7/0.7</f>
        <v>214.00290943545701</v>
      </c>
      <c r="BI310" s="4">
        <f>MAX(1-0.7*AE310/5,0.3)</f>
        <v>0.71927581286840181</v>
      </c>
      <c r="BJ310" s="4">
        <f>BI310*J310*L310/(J310*N310/2.75/M310^0.5)</f>
        <v>94.357108753567658</v>
      </c>
      <c r="BK310" s="4">
        <f>BH310+BJ310</f>
        <v>308.36001818902469</v>
      </c>
      <c r="BM310" s="4">
        <f>MIN(1.5, 0.75+0.25*MIN(3,MAX(1,S310/N310))+0.4*MIN(1,(40*2*PI()*AM310^2/4/AO310/X310)/N310))</f>
        <v>1.5</v>
      </c>
      <c r="BN310" s="4">
        <f>(3*P310+30)*BM310*M310^0.5</f>
        <v>489.12699897157211</v>
      </c>
      <c r="BP310" s="4">
        <f>3.4/PI()^0.5*M310*AB310*AE310^0.5*BG310</f>
        <v>205.25496099907775</v>
      </c>
      <c r="BQ310" s="4">
        <f>8/3*AH310*AI310^2/(AG310-N310-22)/N310*(AG310^2-N310^2)/(AG310^2-(N310+22)^2)</f>
        <v>30569.451870773988</v>
      </c>
      <c r="BR310" s="4">
        <f>BQ310/BP310</f>
        <v>148.93404632939101</v>
      </c>
      <c r="BZ310" s="4">
        <f>IF(W310=0,S310,MIN(W310/2,S310))</f>
        <v>40.700000000000003</v>
      </c>
      <c r="CD310" s="9"/>
      <c r="CF310" s="9"/>
      <c r="CG310" s="9"/>
      <c r="CH310" s="9">
        <f>IF(W310=0,MIN(S310,U310),MIN(W310/2,S310,U310))</f>
        <v>40.700000000000003</v>
      </c>
      <c r="CI310" s="9">
        <f>MAX(W310/2,S310)</f>
        <v>76</v>
      </c>
      <c r="CJ310" s="9">
        <f>(CH310/N310)^0.5*(CI310/CH310)^0.15</f>
        <v>1.1709505872794554</v>
      </c>
      <c r="CK310" s="70">
        <v>20</v>
      </c>
      <c r="CL310" s="9">
        <f>MIN(PI()*AM310^2/4*AN310*2/X310/N310/MAX(0.01,AO310),0.05)</f>
        <v>3.8822534914349713E-2</v>
      </c>
      <c r="CM310" s="9">
        <f>MAX(0,CK310*(CL310-0.5/50))</f>
        <v>0.57645069828699425</v>
      </c>
      <c r="CN310" s="9">
        <f>MIN(1,(25/N310)^0.3)</f>
        <v>0.89787751228078194</v>
      </c>
      <c r="CO310" s="9">
        <f>IF(J310&gt;=800,0.68,IF(J310&gt;=700,0.75-(J310-700)*0.07/100,IF(J310&gt;=600,0.85-(J310-600)*0.1/100,IF(J310&gt;=500,1-(J310-500)*0.15/100,1.2-(J310-400)*0.2/100))))</f>
        <v>0.91600000000000004</v>
      </c>
      <c r="CP310" s="9">
        <f>1.75*CN310*CO310*(M310/25)^0.5</f>
        <v>1.7557071693774966</v>
      </c>
      <c r="CQ310" s="9">
        <f>MIN((CJ310+CM310)*CP310,2.5*CP310,M310^0.5)</f>
        <v>3.0679249648484697</v>
      </c>
      <c r="CR310" s="9">
        <v>1</v>
      </c>
      <c r="CS310" s="9">
        <f>4*CQ310*P310+60*CQ310</f>
        <v>280.0552733275083</v>
      </c>
      <c r="CU310" s="4">
        <f>AJ310/BF310</f>
        <v>1.6460556821950687</v>
      </c>
      <c r="CV310" s="4">
        <f>AJ310/BK310</f>
        <v>1.3402299947705487</v>
      </c>
      <c r="CW310" s="4">
        <f>AJ310/BN310</f>
        <v>0.84492033037199443</v>
      </c>
      <c r="CX310" s="4">
        <f>AJ310/CS310</f>
        <v>1.4756849269594856</v>
      </c>
      <c r="CY310" s="4">
        <f>AJ310/DZ310</f>
        <v>1.4559039363893846</v>
      </c>
      <c r="CZ310" s="4">
        <f>AJ310/EL310</f>
        <v>1.5688980242628909</v>
      </c>
      <c r="DA310" s="4">
        <f>AJ310/GI310</f>
        <v>1.468755792642539</v>
      </c>
      <c r="DI310" s="4">
        <f>CU310</f>
        <v>1.6460556821950687</v>
      </c>
      <c r="DJ310" s="4">
        <f>CV310</f>
        <v>1.3402299947705487</v>
      </c>
      <c r="DK310" s="4">
        <f>CX310</f>
        <v>1.4756849269594856</v>
      </c>
      <c r="DL310" s="4">
        <f>DA310</f>
        <v>1.468755792642539</v>
      </c>
      <c r="DM310" s="4">
        <f>CY310</f>
        <v>1.4559039363893846</v>
      </c>
      <c r="DN310" s="4">
        <f>CZ310</f>
        <v>1.5688980242628909</v>
      </c>
      <c r="DP310" s="4">
        <f>AN310</f>
        <v>2</v>
      </c>
      <c r="DQ310" s="4">
        <f>L310</f>
        <v>280</v>
      </c>
      <c r="DT310" s="4">
        <f>K310/4/(1-0.3*(M310/30)^0.5)/200000/N310</f>
        <v>1.4680935773666002E-5</v>
      </c>
      <c r="DU310" s="4">
        <f>EP310</f>
        <v>6.0344229393186612</v>
      </c>
      <c r="DV310" s="4">
        <f>EC310*AG310/257/M310/AD310</f>
        <v>0.39996211532628534</v>
      </c>
      <c r="DW310" s="4">
        <f>DU310*DV310^0.4</f>
        <v>4.1825706759744072</v>
      </c>
      <c r="DX310" s="4">
        <f>MIN(DU310, DU310/1.4*(1-DV310^1.4)/(1-DV310))</f>
        <v>5.1919973193811018</v>
      </c>
      <c r="DY310" s="4">
        <f>MAX(DU310/2, (4-DT310*(8*AG310*(DW310-DX310)+6*K310*DX310))/(4+DT310*K310*DU310)*DU310)</f>
        <v>5.8162689076432361</v>
      </c>
      <c r="DZ310" s="38">
        <f>MIN(1/N310*(4*AG310*(DW310-DX310)+(3*DX310+DY310)*K310)+EC310 -FJ310,MAX(J310,AJ310))</f>
        <v>283.8603119583791</v>
      </c>
      <c r="EA310" s="4">
        <f>DZ310/FF310</f>
        <v>1.0001320096652284</v>
      </c>
      <c r="EB310" s="4">
        <f>AG310/N310</f>
        <v>1.7335434131355643</v>
      </c>
      <c r="EC310" s="4">
        <f>MIN(EB$10*BB310)</f>
        <v>123.54607945862062</v>
      </c>
      <c r="EG310" s="4">
        <f>IF(U310&gt;1*N310,0.85,1)</f>
        <v>0.85</v>
      </c>
      <c r="EH310" s="4">
        <f>MIN(1,MAX(0.7,(1-0.1*(BZ310-1*N310)/N310)))</f>
        <v>0.98631284916201112</v>
      </c>
      <c r="EI310" s="4">
        <f>MIN(1,MAX(0.7,1-0.3*(PI()*AM310^2/4*AQ310*2-0.25*PI()/4*N310^2)/(PI()/4*N310^2)))</f>
        <v>0.99049889204456787</v>
      </c>
      <c r="EJ310" s="4">
        <f>IF(EH310*EI310&lt;0.7,0.7,EH310*EI310)</f>
        <v>0.97694178430429301</v>
      </c>
      <c r="EL310" s="4">
        <f>MIN(DU310/N310*3*K310+EM310-FJ310,MAX(J310,AJ310))</f>
        <v>263.41632099325858</v>
      </c>
      <c r="EM310" s="25">
        <f>13.3*Q310*K310^0.5*M310^0.5/X310/N310^2*(0.7+S310/5/K310)</f>
        <v>121.8265090092453</v>
      </c>
      <c r="EO310" s="4">
        <f>EG310*EJ310</f>
        <v>0.830400516658649</v>
      </c>
      <c r="EP310" s="4">
        <f>IF(N310&lt;22.2,1.1*5*(M310/30)^0.5,IF(N310&gt;=31.8,0.9*5*(M310/30)^0.5,1*5*(M310/30)^0.5))/EG310/EJ310</f>
        <v>6.0344229393186612</v>
      </c>
      <c r="ES310" s="4">
        <f>ET310*N310</f>
        <v>62.060854190253195</v>
      </c>
      <c r="ET310" s="4">
        <f>AF310^0.5</f>
        <v>1.7335434131355643</v>
      </c>
      <c r="EU310" s="4">
        <f>MIN(EC310)/(4700*M310^0.5)/AE310*ES310</f>
        <v>0.13339071238746128</v>
      </c>
      <c r="EX310" s="4">
        <f>EU310</f>
        <v>0.13339071238746128</v>
      </c>
      <c r="EY310" s="4">
        <f>MIN(0.999, EX310/(0.3*(M310/30)^0.5))</f>
        <v>0.39929465309861079</v>
      </c>
      <c r="EZ310" s="4">
        <f>EP310/1*EY310^0.4</f>
        <v>4.1797773045713216</v>
      </c>
      <c r="FA310" s="4">
        <f>EP310/1.4*(1-EY310^1.4)/(1-EY310)</f>
        <v>5.1908741626807178</v>
      </c>
      <c r="FB310" s="4">
        <f>MAX(0,DQ310*FB$9-ES310)</f>
        <v>147.9391458097468</v>
      </c>
      <c r="FC310" s="4">
        <f>MAX(0,DQ310-ES310-FB310)</f>
        <v>70</v>
      </c>
      <c r="FD310" s="4">
        <f>FC310/(1-0.3*(M310/30)^0.5)/200000/N310</f>
        <v>1.4680935773666002E-5</v>
      </c>
      <c r="FE310" s="4">
        <f>MAX(0.5*EP310, (1-2*FD310*(ES310*EZ310+FB310*FA310))/(1/EP310+FD310*FC310))</f>
        <v>5.8163286933267813</v>
      </c>
      <c r="FF310" s="4">
        <f>MIN(4/N310*(1*EZ310*ES310+FA310*FB310+FC310*FE310)+EC310,MAX(J310,AJ310))</f>
        <v>283.82284459967934</v>
      </c>
      <c r="FO310" s="23">
        <f>IF(CU310&lt;0.6,0.6,IF(CU310&lt;0.8,0.8,IF(CU310&lt;1,1,IF(CU310&lt;1.2,1.2,IF(CU310&lt;1.4,1.4,IF(CU310&lt;1.6,1.6,IF(CU310&lt;1.8,1.8,IF(CU310&lt;2,2,2.2))))))))</f>
        <v>1.8</v>
      </c>
      <c r="FP310" s="23">
        <f>IF(CV310&lt;0.6,0.6,IF(CV310&lt;0.8,0.8,IF(CV310&lt;1,1,IF(CV310&lt;1.2,1.2,IF(CV310&lt;1.4,1.4,IF(CV310&lt;1.6,1.6,IF(CV310&lt;1.8,1.8,IF(CV310&lt;2,2,2.2))))))))</f>
        <v>1.4</v>
      </c>
      <c r="FQ310" s="23">
        <f>IF(DA310&lt;0.6,0.6,IF(DA310&lt;0.8,0.8,IF(DA310&lt;1,1,IF(DA310&lt;1.2,1.2,IF(DA310&lt;1.4,1.4,IF(DA310&lt;1.6,1.6,IF(DA310&lt;1.8,1.8,IF(DA310&lt;2,2,2.2))))))))</f>
        <v>1.6</v>
      </c>
      <c r="FR310" s="23">
        <f>IF(CX310&lt;0.6,0.6,IF(CX310&lt;0.8,0.8,IF(CX310&lt;1,1,IF(CX310&lt;1.2,1.2,IF(CX310&lt;1.4,1.4,IF(CX310&lt;1.6,1.6,IF(CX310&lt;1.8,1.8,IF(CX310&lt;2,2,2.2))))))))</f>
        <v>1.6</v>
      </c>
      <c r="FS310" s="23">
        <f>IF(CY310&lt;0.6,0.6,IF(CY310&lt;0.8,0.8,IF(CY310&lt;1,1,IF(CY310&lt;1.2,1.2,IF(CY310&lt;1.4,1.4,IF(CY310&lt;1.6,1.6,IF(CY310&lt;1.8,1.8,IF(CY310&lt;2,2,2.2))))))))</f>
        <v>1.6</v>
      </c>
      <c r="FT310" s="23">
        <f>IF(CZ310&lt;0.6,0.6,IF(CZ310&lt;0.8,0.8,IF(CZ310&lt;1,1,IF(CZ310&lt;1.2,1.2,IF(CZ310&lt;1.4,1.4,IF(CZ310&lt;1.6,1.6,IF(CZ310&lt;1.8,1.8,IF(CZ310&lt;2,2,2.2))))))))</f>
        <v>1.6</v>
      </c>
      <c r="FU310" s="23">
        <f>IF(FS310&lt;1,1,0)</f>
        <v>0</v>
      </c>
      <c r="FV310" s="23"/>
      <c r="GF310" s="4">
        <f>IF(S310&gt;=2.5*25.4,1,1.25)</f>
        <v>1</v>
      </c>
      <c r="GG310" s="4">
        <f>IF(AO310&gt;1, 0.05*(18-MIN(8,(W310+N310)/N310))*(1-48000/MAX(60000,(J310*145))*(N310/25.4)^0.75*GH310), 1/12*(14-MIN(8,(W310+N310)/N310)))</f>
        <v>0.57658194354098002</v>
      </c>
      <c r="GH310" s="4">
        <f>MIN(0.3, AM310^2*PI()/4*2*AP310/(N310^2*PI()/4*X310))</f>
        <v>0.28167035985144034</v>
      </c>
      <c r="GI310" s="4">
        <f>(K310/25.4)/(N310/25.4)^1.5/0.0024*(M310*145)^0.25/GF310/GG310/145</f>
        <v>281.37648725209419</v>
      </c>
    </row>
    <row r="311" spans="1:191" ht="12" customHeight="1" x14ac:dyDescent="0.3">
      <c r="A311" s="25">
        <v>218</v>
      </c>
      <c r="B311" s="24" t="s">
        <v>182</v>
      </c>
      <c r="C311" s="4">
        <v>1996</v>
      </c>
      <c r="D311" s="24" t="s">
        <v>309</v>
      </c>
      <c r="E311" s="24"/>
      <c r="F311" s="24"/>
      <c r="G311" s="24">
        <v>3</v>
      </c>
      <c r="H311" s="4" t="s">
        <v>352</v>
      </c>
      <c r="I311" s="5">
        <f>K311/N311</f>
        <v>7.8212290502793298</v>
      </c>
      <c r="J311" s="110">
        <v>556</v>
      </c>
      <c r="K311" s="82">
        <f>381-U311-25</f>
        <v>280</v>
      </c>
      <c r="L311" s="7">
        <f>K311</f>
        <v>280</v>
      </c>
      <c r="M311" s="112">
        <v>32.299999999999997</v>
      </c>
      <c r="N311" s="105">
        <v>35.799999999999997</v>
      </c>
      <c r="O311" s="7">
        <f>K311/N311</f>
        <v>7.8212290502793298</v>
      </c>
      <c r="P311" s="7">
        <f>L311/N311</f>
        <v>7.8212290502793298</v>
      </c>
      <c r="Q311" s="7">
        <v>305</v>
      </c>
      <c r="R311" s="32">
        <f>S311/N311</f>
        <v>2.1229050279329611</v>
      </c>
      <c r="S311" s="7">
        <v>76</v>
      </c>
      <c r="T311" s="32">
        <f>U311/N311</f>
        <v>2.1229050279329611</v>
      </c>
      <c r="U311" s="7">
        <v>76</v>
      </c>
      <c r="V311" s="32">
        <f>W311/N311</f>
        <v>2.2737430167597767</v>
      </c>
      <c r="W311" s="7">
        <f>Q311-2*N311-2*S311</f>
        <v>81.400000000000006</v>
      </c>
      <c r="X311" s="7">
        <v>2</v>
      </c>
      <c r="Y311" s="7">
        <f>AN311</f>
        <v>2</v>
      </c>
      <c r="Z311" s="32">
        <f>AA311/N311</f>
        <v>7.8212290502793298</v>
      </c>
      <c r="AA311" s="7">
        <f>775-(343+152)</f>
        <v>280</v>
      </c>
      <c r="AB311" s="7">
        <f>MIN(S311/N311+0.5, W311/2/N311+0.5)</f>
        <v>1.6368715083798884</v>
      </c>
      <c r="AC311" s="7">
        <f>S311/N311+0.5</f>
        <v>2.6229050279329611</v>
      </c>
      <c r="AD311" s="7">
        <f>3025/(N311^2*PI()/4)-1</f>
        <v>2.0051727652257014</v>
      </c>
      <c r="AE311" s="7">
        <f>3025/(N311^2*PI()/4)-1</f>
        <v>2.0051727652257014</v>
      </c>
      <c r="AF311" s="7">
        <f>AE311+1</f>
        <v>3.0051727652257014</v>
      </c>
      <c r="AG311" s="7">
        <f>N311*AF311^0.5</f>
        <v>62.060854190253195</v>
      </c>
      <c r="AH311" s="7">
        <f>J311</f>
        <v>556</v>
      </c>
      <c r="AI311" s="7">
        <v>25</v>
      </c>
      <c r="AJ311" s="7">
        <f>426*1000/(N311^2*PI()/4)</f>
        <v>423.20780098715659</v>
      </c>
      <c r="AK311" s="7"/>
      <c r="AL311" s="4">
        <f>CY311</f>
        <v>1.5899976895949632</v>
      </c>
      <c r="AM311" s="7">
        <v>9.5</v>
      </c>
      <c r="AN311" s="7">
        <v>2</v>
      </c>
      <c r="AO311" s="7">
        <v>102</v>
      </c>
      <c r="AP311" s="7">
        <v>4</v>
      </c>
      <c r="AQ311" s="7">
        <f>AN311</f>
        <v>2</v>
      </c>
      <c r="AR311" s="7">
        <f>3*AS311/(W311+N311)</f>
        <v>7.1672354948805461</v>
      </c>
      <c r="AS311" s="4">
        <f>K311</f>
        <v>280</v>
      </c>
      <c r="AT311" s="4">
        <f>IF(K311*3&gt;W311+N311, Q311, (S311+N311/2)*2+1.5*K311*(2*X311-2))*(3*K311)/(9*K311^2)</f>
        <v>0.36309523809523808</v>
      </c>
      <c r="AU311" s="4">
        <f>MIN(10*M311^0.5*K311^1.5,100*3.9*M311^0.5*K311^(5/3))/(PI()/4*N311^2)/X311</f>
        <v>132.26726636732195</v>
      </c>
      <c r="AV311" s="4">
        <f>MIN(0.7+0.3*(MIN(S311,AA311)+0.5*N311)/1.5/K311,1)</f>
        <v>0.76707142857142852</v>
      </c>
      <c r="AW311" s="4">
        <v>1.25</v>
      </c>
      <c r="AX311" s="4">
        <f>AX310</f>
        <v>2.5</v>
      </c>
      <c r="AY311" s="38">
        <f>AT311*AV311*AW311*AX311*AU311</f>
        <v>115.1221149349475</v>
      </c>
      <c r="AZ311" s="38">
        <f>AY311</f>
        <v>115.1221149349475</v>
      </c>
      <c r="BA311" s="38">
        <f>IF(M311&lt;50, 0.3*M311^(2/3), 2.12*LN(1+0.1*(M311+8)))</f>
        <v>3.042679928466983</v>
      </c>
      <c r="BB311" s="38">
        <f>AX311* (M311^0.5/AS311^0.5)/(PI()/4*N311^2)/X311/0.72 *(0.7+(MIN(S311,AA311)+0.5*N311)/5/K311) *(3*Q311*K311)</f>
        <v>115.12211493494758</v>
      </c>
      <c r="BC311" s="38">
        <f>AY311/BB311</f>
        <v>0.99999999999999933</v>
      </c>
      <c r="BD311" s="38">
        <f>BH311/BB311</f>
        <v>1.6140630691622992</v>
      </c>
      <c r="BE311" s="4">
        <f>IF(BD311&lt;1,1,0)</f>
        <v>0</v>
      </c>
      <c r="BF311" s="4">
        <f>L311/N311*M311^0.5/0.19</f>
        <v>233.94979281077272</v>
      </c>
      <c r="BG311" s="4">
        <f>MIN(0.6+0.4*(AC311/AB311),2)</f>
        <v>1.2409556313993173</v>
      </c>
      <c r="BH311" s="38">
        <f>2*M311*AB311*AD311^0.5*BG311*0.7/0.7</f>
        <v>185.81435416035646</v>
      </c>
      <c r="BI311" s="4">
        <f>MAX(1-0.7*AE311/5,0.3)</f>
        <v>0.71927581286840181</v>
      </c>
      <c r="BJ311" s="4">
        <f>BI311*J311*L311/(J311*N311/2.75/M311^0.5)</f>
        <v>87.923388313554526</v>
      </c>
      <c r="BK311" s="4">
        <f>BH311+BJ311</f>
        <v>273.737742473911</v>
      </c>
      <c r="BM311" s="4">
        <f>MIN(1.5, 0.75+0.25*MIN(3,MAX(1,S311/N311))+0.4*MIN(1,(40*2*PI()*AM311^2/4/AO311/X311)/N311))</f>
        <v>1.5</v>
      </c>
      <c r="BN311" s="4">
        <f>(3*P311+30)*BM311*M311^0.5</f>
        <v>455.7759731441015</v>
      </c>
      <c r="BP311" s="4">
        <f>3.4/PI()^0.5*M311*AB311*AE311^0.5*BG311</f>
        <v>178.21868925457557</v>
      </c>
      <c r="BQ311" s="4">
        <f>8/3*AH311*AI311^2/(AG311-N311-22)/N311*(AG311^2-N311^2)/(AG311^2-(N311+22)^2)</f>
        <v>30569.451870773988</v>
      </c>
      <c r="BR311" s="4">
        <f>BQ311/BP311</f>
        <v>171.52775614406642</v>
      </c>
      <c r="BZ311" s="4">
        <f>IF(W311=0,S311,MIN(W311/2,S311))</f>
        <v>40.700000000000003</v>
      </c>
      <c r="CD311" s="9"/>
      <c r="CF311" s="9"/>
      <c r="CG311" s="9"/>
      <c r="CH311" s="9">
        <f>IF(W311=0,MIN(S311,U311),MIN(W311/2,S311,U311))</f>
        <v>40.700000000000003</v>
      </c>
      <c r="CI311" s="9">
        <f>MAX(W311/2,S311)</f>
        <v>76</v>
      </c>
      <c r="CJ311" s="9">
        <f>(CH311/N311)^0.5*(CI311/CH311)^0.15</f>
        <v>1.1709505872794554</v>
      </c>
      <c r="CK311" s="70">
        <v>20</v>
      </c>
      <c r="CL311" s="9">
        <f>MIN(PI()*AM311^2/4*AN311*2/X311/N311/MAX(0.01,AO311),0.05)</f>
        <v>3.8822534914349713E-2</v>
      </c>
      <c r="CM311" s="9">
        <f>MAX(0,CK311*(CL311-0.5/50))</f>
        <v>0.57645069828699425</v>
      </c>
      <c r="CN311" s="9">
        <f>MIN(1,(25/N311)^0.3)</f>
        <v>0.89787751228078194</v>
      </c>
      <c r="CO311" s="9">
        <f>IF(J311&gt;=800,0.68,IF(J311&gt;=700,0.75-(J311-700)*0.07/100,IF(J311&gt;=600,0.85-(J311-600)*0.1/100,IF(J311&gt;=500,1-(J311-500)*0.15/100,1.2-(J311-400)*0.2/100))))</f>
        <v>0.91600000000000004</v>
      </c>
      <c r="CP311" s="9">
        <f>1.75*CN311*CO311*(M311/25)^0.5</f>
        <v>1.6359946299460197</v>
      </c>
      <c r="CQ311" s="9">
        <f>MIN((CJ311+CM311)*CP311,2.5*CP311,M311^0.5)</f>
        <v>2.8587391195474829</v>
      </c>
      <c r="CR311" s="9">
        <v>1</v>
      </c>
      <c r="CS311" s="9">
        <f>4*CQ311*P311+60*CQ311</f>
        <v>260.9597609687479</v>
      </c>
      <c r="CU311" s="4">
        <f>AJ311/BF311</f>
        <v>1.8089684795295491</v>
      </c>
      <c r="CV311" s="4">
        <f>AJ311/BK311</f>
        <v>1.5460337955680008</v>
      </c>
      <c r="CW311" s="4">
        <f>AJ311/BN311</f>
        <v>0.92854346416666433</v>
      </c>
      <c r="CX311" s="4">
        <f>AJ311/CS311</f>
        <v>1.621735854662433</v>
      </c>
      <c r="CY311" s="4">
        <f>AJ311/DZ311</f>
        <v>1.5899976895949632</v>
      </c>
      <c r="CZ311" s="4">
        <f>AJ311/EL311</f>
        <v>1.7241744032031006</v>
      </c>
      <c r="DA311" s="4">
        <f>AJ311/GI311</f>
        <v>1.5581202263866585</v>
      </c>
      <c r="DI311" s="4">
        <f>CU311</f>
        <v>1.8089684795295491</v>
      </c>
      <c r="DJ311" s="4">
        <f>CV311</f>
        <v>1.5460337955680008</v>
      </c>
      <c r="DK311" s="4">
        <f>CX311</f>
        <v>1.621735854662433</v>
      </c>
      <c r="DL311" s="4">
        <f>DA311</f>
        <v>1.5581202263866585</v>
      </c>
      <c r="DM311" s="4">
        <f>CY311</f>
        <v>1.5899976895949632</v>
      </c>
      <c r="DN311" s="4">
        <f>CZ311</f>
        <v>1.7241744032031006</v>
      </c>
      <c r="DP311" s="4">
        <f>AN311</f>
        <v>2</v>
      </c>
      <c r="DQ311" s="4">
        <f>L311</f>
        <v>280</v>
      </c>
      <c r="DT311" s="4">
        <f>K311/4/(1-0.3*(M311/30)^0.5)/200000/N311</f>
        <v>1.4195384022195234E-5</v>
      </c>
      <c r="DU311" s="4">
        <f>EP311</f>
        <v>5.6229670276101471</v>
      </c>
      <c r="DV311" s="4">
        <f>EC311*AG311/257/M311/AD311</f>
        <v>0.42922900876570613</v>
      </c>
      <c r="DW311" s="4">
        <f>DU311*DV311^0.4</f>
        <v>4.0090471412339257</v>
      </c>
      <c r="DX311" s="4">
        <f>MIN(DU311, DU311/1.4*(1-DV311^1.4)/(1-DV311))</f>
        <v>4.8833291873266678</v>
      </c>
      <c r="DY311" s="4">
        <f>MAX(DU311/2, (4-DT311*(8*AG311*(DW311-DX311)+6*K311*DX311))/(4+DT311*K311*DU311)*DU311)</f>
        <v>5.4375361051668163</v>
      </c>
      <c r="DZ311" s="38">
        <f>MIN(1/N311*(4*AG311*(DW311-DX311)+(3*DX311+DY311)*K311)+EC311 -FJ311,MAX(J311,AJ311))</f>
        <v>266.16881505970287</v>
      </c>
      <c r="EA311" s="4">
        <f>DZ311/FF311</f>
        <v>1.0001363960359797</v>
      </c>
      <c r="EB311" s="4">
        <f>AG311/N311</f>
        <v>1.7335434131355643</v>
      </c>
      <c r="EC311" s="4">
        <f>MIN(EB$10*BB311)</f>
        <v>115.12211493494758</v>
      </c>
      <c r="EG311" s="4">
        <f>IF(U311&gt;1*N311,0.85,1)</f>
        <v>0.85</v>
      </c>
      <c r="EH311" s="4">
        <f>MIN(1,MAX(0.7,(1-0.1*(BZ311-1*N311)/N311)))</f>
        <v>0.98631284916201112</v>
      </c>
      <c r="EI311" s="4">
        <f>MIN(1,MAX(0.7,1-0.3*(PI()*AM311^2/4*AQ311*2-0.25*PI()/4*N311^2)/(PI()/4*N311^2)))</f>
        <v>0.99049889204456787</v>
      </c>
      <c r="EJ311" s="4">
        <f>IF(EH311*EI311&lt;0.7,0.7,EH311*EI311)</f>
        <v>0.97694178430429301</v>
      </c>
      <c r="EL311" s="4">
        <f>MIN(DU311/N311*3*K311+EM311-FJ311,MAX(J311,AJ311))</f>
        <v>245.45533224535666</v>
      </c>
      <c r="EM311" s="25">
        <f>13.3*Q311*K311^0.5*M311^0.5/X311/N311^2*(0.7+S311/5/K311)</f>
        <v>113.51979305003475</v>
      </c>
      <c r="EO311" s="4">
        <f>EG311*EJ311</f>
        <v>0.830400516658649</v>
      </c>
      <c r="EP311" s="4">
        <f>IF(N311&lt;22.2,1.1*5*(M311/30)^0.5,IF(N311&gt;=31.8,0.9*5*(M311/30)^0.5,1*5*(M311/30)^0.5))/EG311/EJ311</f>
        <v>5.6229670276101471</v>
      </c>
      <c r="ES311" s="4">
        <f>ET311*N311</f>
        <v>62.060854190253195</v>
      </c>
      <c r="ET311" s="4">
        <f>AF311^0.5</f>
        <v>1.7335434131355643</v>
      </c>
      <c r="EU311" s="4">
        <f>MIN(EC311)/(4700*M311^0.5)/AE311*ES311</f>
        <v>0.13339071238746131</v>
      </c>
      <c r="EX311" s="4">
        <f>EU311</f>
        <v>0.13339071238746131</v>
      </c>
      <c r="EY311" s="4">
        <f>MIN(0.999, EX311/(0.3*(M311/30)^0.5))</f>
        <v>0.42851270554748871</v>
      </c>
      <c r="EZ311" s="4">
        <f>EP311/1*EY311^0.4</f>
        <v>4.0063696592484384</v>
      </c>
      <c r="FA311" s="4">
        <f>EP311/1.4*(1-EY311^1.4)/(1-EY311)</f>
        <v>4.8822316829137922</v>
      </c>
      <c r="FB311" s="4">
        <f>MAX(0,DQ311*FB$9-ES311)</f>
        <v>147.9391458097468</v>
      </c>
      <c r="FC311" s="4">
        <f>MAX(0,DQ311-ES311-FB311)</f>
        <v>70</v>
      </c>
      <c r="FD311" s="4">
        <f>FC311/(1-0.3*(M311/30)^0.5)/200000/N311</f>
        <v>1.4195384022195234E-5</v>
      </c>
      <c r="FE311" s="4">
        <f>MAX(0.5*EP311, (1-2*FD311*(ES311*EZ311+FB311*FA311))/(1/EP311+FD311*FC311))</f>
        <v>5.437588260507729</v>
      </c>
      <c r="FF311" s="4">
        <f>MIN(4/N311*(1*EZ311*ES311+FA311*FB311+FC311*FE311)+EC311,MAX(J311,AJ311))</f>
        <v>266.13251563952434</v>
      </c>
      <c r="FO311" s="23">
        <f>IF(CU311&lt;0.6,0.6,IF(CU311&lt;0.8,0.8,IF(CU311&lt;1,1,IF(CU311&lt;1.2,1.2,IF(CU311&lt;1.4,1.4,IF(CU311&lt;1.6,1.6,IF(CU311&lt;1.8,1.8,IF(CU311&lt;2,2,2.2))))))))</f>
        <v>2</v>
      </c>
      <c r="FP311" s="23">
        <f>IF(CV311&lt;0.6,0.6,IF(CV311&lt;0.8,0.8,IF(CV311&lt;1,1,IF(CV311&lt;1.2,1.2,IF(CV311&lt;1.4,1.4,IF(CV311&lt;1.6,1.6,IF(CV311&lt;1.8,1.8,IF(CV311&lt;2,2,2.2))))))))</f>
        <v>1.6</v>
      </c>
      <c r="FQ311" s="23">
        <f>IF(DA311&lt;0.6,0.6,IF(DA311&lt;0.8,0.8,IF(DA311&lt;1,1,IF(DA311&lt;1.2,1.2,IF(DA311&lt;1.4,1.4,IF(DA311&lt;1.6,1.6,IF(DA311&lt;1.8,1.8,IF(DA311&lt;2,2,2.2))))))))</f>
        <v>1.6</v>
      </c>
      <c r="FR311" s="23">
        <f>IF(CX311&lt;0.6,0.6,IF(CX311&lt;0.8,0.8,IF(CX311&lt;1,1,IF(CX311&lt;1.2,1.2,IF(CX311&lt;1.4,1.4,IF(CX311&lt;1.6,1.6,IF(CX311&lt;1.8,1.8,IF(CX311&lt;2,2,2.2))))))))</f>
        <v>1.8</v>
      </c>
      <c r="FS311" s="23">
        <f>IF(CY311&lt;0.6,0.6,IF(CY311&lt;0.8,0.8,IF(CY311&lt;1,1,IF(CY311&lt;1.2,1.2,IF(CY311&lt;1.4,1.4,IF(CY311&lt;1.6,1.6,IF(CY311&lt;1.8,1.8,IF(CY311&lt;2,2,2.2))))))))</f>
        <v>1.6</v>
      </c>
      <c r="FT311" s="23">
        <f>IF(CZ311&lt;0.6,0.6,IF(CZ311&lt;0.8,0.8,IF(CZ311&lt;1,1,IF(CZ311&lt;1.2,1.2,IF(CZ311&lt;1.4,1.4,IF(CZ311&lt;1.6,1.6,IF(CZ311&lt;1.8,1.8,IF(CZ311&lt;2,2,2.2))))))))</f>
        <v>1.8</v>
      </c>
      <c r="FU311" s="23">
        <f>IF(FS311&lt;1,1,0)</f>
        <v>0</v>
      </c>
      <c r="FV311" s="23"/>
      <c r="GF311" s="4">
        <f>IF(S311&gt;=2.5*25.4,1,1.25)</f>
        <v>1</v>
      </c>
      <c r="GG311" s="4">
        <f>IF(AO311&gt;1, 0.05*(18-MIN(8,(W311+N311)/N311))*(1-48000/MAX(60000,(J311*145))*(N311/25.4)^0.75*GH311), 1/12*(14-MIN(8,(W311+N311)/N311)))</f>
        <v>0.57658194354098002</v>
      </c>
      <c r="GH311" s="4">
        <f>MIN(0.3, AM311^2*PI()/4*2*AP311/(N311^2*PI()/4*X311))</f>
        <v>0.28167035985144034</v>
      </c>
      <c r="GI311" s="4">
        <f>(K311/25.4)/(N311/25.4)^1.5/0.0024*(M311*145)^0.25/GF311/GG311/145</f>
        <v>271.61434260345362</v>
      </c>
    </row>
    <row r="312" spans="1:191" ht="12" customHeight="1" x14ac:dyDescent="0.3">
      <c r="A312" s="25">
        <v>222</v>
      </c>
      <c r="B312" s="24" t="s">
        <v>182</v>
      </c>
      <c r="C312" s="4">
        <v>1996</v>
      </c>
      <c r="D312" s="24" t="s">
        <v>309</v>
      </c>
      <c r="E312" s="24"/>
      <c r="F312" s="24"/>
      <c r="G312" s="24">
        <v>3</v>
      </c>
      <c r="H312" s="4" t="s">
        <v>356</v>
      </c>
      <c r="I312" s="5">
        <f>K312/N312</f>
        <v>7.8212290502793298</v>
      </c>
      <c r="J312" s="110">
        <v>556</v>
      </c>
      <c r="K312" s="82">
        <f>381-U312-25</f>
        <v>280</v>
      </c>
      <c r="L312" s="7">
        <f>K312</f>
        <v>280</v>
      </c>
      <c r="M312" s="84">
        <v>33.299999999999997</v>
      </c>
      <c r="N312" s="105">
        <v>35.799999999999997</v>
      </c>
      <c r="O312" s="7">
        <f>K312/N312</f>
        <v>7.8212290502793298</v>
      </c>
      <c r="P312" s="7">
        <f>L312/N312</f>
        <v>7.8212290502793298</v>
      </c>
      <c r="Q312" s="7">
        <v>305</v>
      </c>
      <c r="R312" s="32">
        <f>S312/N312</f>
        <v>2.1229050279329611</v>
      </c>
      <c r="S312" s="7">
        <v>76</v>
      </c>
      <c r="T312" s="32">
        <f>U312/N312</f>
        <v>2.1229050279329611</v>
      </c>
      <c r="U312" s="7">
        <v>76</v>
      </c>
      <c r="V312" s="32">
        <f>W312/N312</f>
        <v>2.2737430167597767</v>
      </c>
      <c r="W312" s="7">
        <f>Q312-2*N312-2*S312</f>
        <v>81.400000000000006</v>
      </c>
      <c r="X312" s="7">
        <v>2</v>
      </c>
      <c r="Y312" s="7">
        <f>AN312</f>
        <v>0</v>
      </c>
      <c r="Z312" s="32">
        <f>AA312/N312</f>
        <v>7.8212290502793298</v>
      </c>
      <c r="AA312" s="7">
        <f>775-(343+152)</f>
        <v>280</v>
      </c>
      <c r="AB312" s="7">
        <f>MIN(S312/N312+0.5, W312/2/N312+0.5)</f>
        <v>1.6368715083798884</v>
      </c>
      <c r="AC312" s="7">
        <f>S312/N312+0.5</f>
        <v>2.6229050279329611</v>
      </c>
      <c r="AD312" s="7">
        <f>5500/(N312^2*PI()/4)-1</f>
        <v>4.4639504822285474</v>
      </c>
      <c r="AE312" s="7">
        <f>5500/(N312^2*PI()/4)-1</f>
        <v>4.4639504822285474</v>
      </c>
      <c r="AF312" s="7">
        <f>AE312+1</f>
        <v>5.4639504822285474</v>
      </c>
      <c r="AG312" s="7">
        <f>N312*AF312^0.5</f>
        <v>83.682838718840046</v>
      </c>
      <c r="AH312" s="7">
        <f>J312</f>
        <v>556</v>
      </c>
      <c r="AI312" s="7">
        <v>25</v>
      </c>
      <c r="AJ312" s="7">
        <f>385*1000/(N312^2*PI()/4)</f>
        <v>382.47653375599833</v>
      </c>
      <c r="AK312" s="7"/>
      <c r="AL312" s="4">
        <f>CY312</f>
        <v>1.4957640290850434</v>
      </c>
      <c r="AM312" s="7">
        <v>0</v>
      </c>
      <c r="AN312" s="7">
        <v>0</v>
      </c>
      <c r="AO312" s="7">
        <f>L312</f>
        <v>280</v>
      </c>
      <c r="AP312" s="7"/>
      <c r="AQ312" s="7"/>
      <c r="AR312" s="7">
        <f>3*AS312/(W312+N312)</f>
        <v>7.1672354948805461</v>
      </c>
      <c r="AS312" s="4">
        <f>K312</f>
        <v>280</v>
      </c>
      <c r="AT312" s="4">
        <f>IF(K312*3&gt;W312+N312, Q312, (S312+N312/2)*2+1.5*K312*(2*X312-2))*(3*K312)/(9*K312^2)</f>
        <v>0.36309523809523808</v>
      </c>
      <c r="AU312" s="4">
        <f>MIN(10*M312^0.5*K312^1.5,100*3.9*M312^0.5*K312^(5/3))/(PI()/4*N312^2)/X312</f>
        <v>134.2991405645605</v>
      </c>
      <c r="AV312" s="4">
        <f>MIN(0.7+0.3*(MIN(S312,AA312)+0.5*N312)/1.5/K312,1)</f>
        <v>0.76707142857142852</v>
      </c>
      <c r="AW312" s="4">
        <v>1.25</v>
      </c>
      <c r="AX312" s="4">
        <f>AX311</f>
        <v>2.5</v>
      </c>
      <c r="AY312" s="38">
        <f>AT312*AV312*AW312*AX312*AU312</f>
        <v>116.8906073313825</v>
      </c>
      <c r="AZ312" s="38">
        <f>AY312</f>
        <v>116.8906073313825</v>
      </c>
      <c r="BA312" s="38">
        <f>IF(M312&lt;50, 0.3*M312^(2/3), 2.12*LN(1+0.1*(M312+8)))</f>
        <v>3.1051606722149665</v>
      </c>
      <c r="BB312" s="38">
        <f>AX312* (M312^0.5/AS312^0.5)/(PI()/4*N312^2)/X312/0.72 *(0.7+(MIN(S312,AA312)+0.5*N312)/5/K312) *(3*Q312*K312)</f>
        <v>116.89060733138254</v>
      </c>
      <c r="BC312" s="38">
        <f>AY312/BB312</f>
        <v>0.99999999999999967</v>
      </c>
      <c r="BD312" s="38">
        <f>BH312/BB312</f>
        <v>2.4452605528078042</v>
      </c>
      <c r="BE312" s="4">
        <f>IF(BD312&lt;1,1,0)</f>
        <v>0</v>
      </c>
      <c r="BF312" s="4">
        <f>L312/N312*M312^0.5/0.19</f>
        <v>237.5437020259325</v>
      </c>
      <c r="BG312" s="4">
        <f>MIN(0.6+0.4*(AC312/AB312),2)</f>
        <v>1.2409556313993173</v>
      </c>
      <c r="BH312" s="38">
        <f>2*M312*AB312*AD312^0.5*BG312*0.7/0.7</f>
        <v>285.82799110117645</v>
      </c>
      <c r="BI312" s="4">
        <f>MAX(1-0.7*AE312/5,0.3)</f>
        <v>0.37504693248800336</v>
      </c>
      <c r="BJ312" s="4">
        <f>BI312*J312*L312/(J312*N312/2.75/M312^0.5)</f>
        <v>46.549544215810222</v>
      </c>
      <c r="BK312" s="4">
        <f>BH312+BJ312</f>
        <v>332.37753531698667</v>
      </c>
      <c r="BM312" s="4">
        <f>MIN(1.5, 0.75+0.25*MIN(3,MAX(1,S312/N312))+0.4*MIN(1,(40*2*PI()*AM312^2/4/AO312/X312)/N312))</f>
        <v>1.2807262569832403</v>
      </c>
      <c r="BN312" s="4">
        <f>(3*P312+30)*BM312*M312^0.5</f>
        <v>395.12757300685513</v>
      </c>
      <c r="BP312" s="4">
        <f>3.4/PI()^0.5*M312*AB312*AE312^0.5*BG312</f>
        <v>274.14399795162973</v>
      </c>
      <c r="BQ312" s="4">
        <f>8/3*AH312*AI312^2/(AG312-N312-22)/N312*(AG312^2-N312^2)/(AG312^2-(N312+22)^2)</f>
        <v>1562.4220485187734</v>
      </c>
      <c r="BR312" s="4">
        <f>BQ312/BP312</f>
        <v>5.6992750532311449</v>
      </c>
      <c r="BZ312" s="4">
        <f>IF(W312=0,S312,MIN(W312/2,S312))</f>
        <v>40.700000000000003</v>
      </c>
      <c r="CD312" s="9"/>
      <c r="CF312" s="9"/>
      <c r="CG312" s="9"/>
      <c r="CH312" s="9">
        <f>IF(W312=0,MIN(S312,U312),MIN(W312/2,S312,U312))</f>
        <v>40.700000000000003</v>
      </c>
      <c r="CI312" s="9">
        <f>MAX(W312/2,S312)</f>
        <v>76</v>
      </c>
      <c r="CJ312" s="9">
        <f>(CH312/N312)^0.5*(CI312/CH312)^0.15</f>
        <v>1.1709505872794554</v>
      </c>
      <c r="CK312" s="70">
        <v>0</v>
      </c>
      <c r="CL312" s="9">
        <f>MIN(PI()*AM312^2/4*AN312*2/X312/N312/MAX(0.01,AO312),0.05)</f>
        <v>0</v>
      </c>
      <c r="CM312" s="9">
        <f>MAX(0,CK312*(CL312-0.5/50))</f>
        <v>0</v>
      </c>
      <c r="CN312" s="9">
        <f>MIN(1,(25/N312)^0.3)</f>
        <v>0.89787751228078194</v>
      </c>
      <c r="CO312" s="9">
        <f>IF(J312&gt;=800,0.68,IF(J312&gt;=700,0.75-(J312-700)*0.07/100,IF(J312&gt;=600,0.85-(J312-600)*0.1/100,IF(J312&gt;=500,1-(J312-500)*0.15/100,1.2-(J312-400)*0.2/100))))</f>
        <v>0.91600000000000004</v>
      </c>
      <c r="CP312" s="9">
        <f>1.75*CN312*CO312*(M312/25)^0.5</f>
        <v>1.661126587131682</v>
      </c>
      <c r="CQ312" s="9">
        <f>MIN((CJ312+CM312)*CP312,2.5*CP312,M312^0.5)</f>
        <v>1.9450971527473606</v>
      </c>
      <c r="CR312" s="9">
        <v>1</v>
      </c>
      <c r="CS312" s="9">
        <f>4*CQ312*P312+60*CQ312</f>
        <v>177.55803059157469</v>
      </c>
      <c r="CU312" s="4">
        <f>AJ312/BF312</f>
        <v>1.6101312326699513</v>
      </c>
      <c r="CV312" s="4">
        <f>AJ312/BK312</f>
        <v>1.150729195314697</v>
      </c>
      <c r="CW312" s="4">
        <f>AJ312/BN312</f>
        <v>0.96798239324432744</v>
      </c>
      <c r="CX312" s="4">
        <f>AJ312/CS312</f>
        <v>2.1540931293374417</v>
      </c>
      <c r="CY312" s="4">
        <f>AJ312/DZ312</f>
        <v>1.4957640290850434</v>
      </c>
      <c r="CZ312" s="4">
        <f>AJ312/EL312</f>
        <v>1.5425351929470028</v>
      </c>
      <c r="DA312" s="4">
        <f>AJ312/GI312</f>
        <v>1.7846087148297018</v>
      </c>
      <c r="DC312" s="4">
        <f>CU312</f>
        <v>1.6101312326699513</v>
      </c>
      <c r="DD312" s="4">
        <f>CV312</f>
        <v>1.150729195314697</v>
      </c>
      <c r="DE312" s="4">
        <f>CX312</f>
        <v>2.1540931293374417</v>
      </c>
      <c r="DF312" s="4">
        <f>DA312</f>
        <v>1.7846087148297018</v>
      </c>
      <c r="DG312" s="4">
        <f>CY312</f>
        <v>1.4957640290850434</v>
      </c>
      <c r="DH312" s="4">
        <f>CZ312</f>
        <v>1.5425351929470028</v>
      </c>
      <c r="DP312" s="4">
        <f>AN312</f>
        <v>0</v>
      </c>
      <c r="DQ312" s="4">
        <f>L312</f>
        <v>280</v>
      </c>
      <c r="DT312" s="4">
        <f>K312/4/(1-0.3*(M312/30)^0.5)/200000/N312</f>
        <v>1.4294636548917093E-5</v>
      </c>
      <c r="DU312" s="4">
        <f>EP312</f>
        <v>5.6551012697105509</v>
      </c>
      <c r="DV312" s="4">
        <f>EC312*AG312/257/M312/AD312</f>
        <v>0.25604676546069649</v>
      </c>
      <c r="DW312" s="4">
        <f>DU312*DV312^0.4</f>
        <v>3.2792015010621469</v>
      </c>
      <c r="DX312" s="4">
        <f>MIN(DU312, DU312/1.4*(1-DV312^1.4)/(1-DV312))</f>
        <v>4.6234399349920459</v>
      </c>
      <c r="DY312" s="4">
        <f>MAX(DU312/2, (4-DT312*(8*AG312*(DW312-DX312)+6*K312*DX312))/(4+DT312*K312*DU312)*DU312)</f>
        <v>5.485274803656603</v>
      </c>
      <c r="DZ312" s="38">
        <f>MIN(1/N312*(4*AG312*(DW312-DX312)+(3*DX312+DY312)*K312)+EC312 -FJ312,MAX(J312,AJ312))</f>
        <v>255.70646593898817</v>
      </c>
      <c r="EA312" s="4">
        <f>DZ312/FF312</f>
        <v>1.0001213385863128</v>
      </c>
      <c r="EB312" s="4">
        <f>AG312/N312</f>
        <v>2.3375094614201131</v>
      </c>
      <c r="EC312" s="4">
        <f>MIN(EB$10*BB312)</f>
        <v>116.89060733138254</v>
      </c>
      <c r="EG312" s="4">
        <f>IF(U312&gt;1*N312,0.85,1)</f>
        <v>0.85</v>
      </c>
      <c r="EH312" s="4">
        <f>MIN(1,MAX(0.7,(1-0.1*(BZ312-1*N312)/N312)))</f>
        <v>0.98631284916201112</v>
      </c>
      <c r="EI312" s="4">
        <f>MIN(1,MAX(0.7,1-0.3*(PI()*AM312^2/4*AQ312*2-0.25*PI()/4*N312^2)/(PI()/4*N312^2)))</f>
        <v>1</v>
      </c>
      <c r="EJ312" s="4">
        <f>IF(EH312*EI312&lt;0.7,0.7,EH312*EI312)</f>
        <v>0.98631284916201112</v>
      </c>
      <c r="EL312" s="4">
        <f>MIN(DU312/N312*3*K312+EM312-FJ312,MAX(J312,AJ312))</f>
        <v>247.95319776482995</v>
      </c>
      <c r="EM312" s="25">
        <f>13.3*Q312*K312^0.5*M312^0.5/X312/N312^2*(0.7+S312/5/K312)</f>
        <v>115.26367076603489</v>
      </c>
      <c r="EO312" s="4">
        <f>EG312*EJ312</f>
        <v>0.83836592178770941</v>
      </c>
      <c r="EP312" s="4">
        <f>IF(N312&lt;22.2,1.1*5*(M312/30)^0.5,IF(N312&gt;=31.8,0.9*5*(M312/30)^0.5,1*5*(M312/30)^0.5))/EG312/EJ312</f>
        <v>5.6551012697105509</v>
      </c>
      <c r="ES312" s="4">
        <f>ET312*N312</f>
        <v>83.682838718840046</v>
      </c>
      <c r="ET312" s="4">
        <f>AF312^0.5</f>
        <v>2.3375094614201131</v>
      </c>
      <c r="EU312" s="4">
        <f>MIN(EC312)/(4700*M312^0.5)/AE312*ES312</f>
        <v>8.0793547209318639E-2</v>
      </c>
      <c r="EX312" s="4">
        <f>EU312</f>
        <v>8.0793547209318639E-2</v>
      </c>
      <c r="EY312" s="4">
        <f>MIN(0.999, EX312/(0.3*(M312/30)^0.5))</f>
        <v>0.25561947112977262</v>
      </c>
      <c r="EZ312" s="4">
        <f>EP312/1*EY312^0.4</f>
        <v>3.2770114537425306</v>
      </c>
      <c r="FA312" s="4">
        <f>EP312/1.4*(1-EY312^1.4)/(1-EY312)</f>
        <v>4.6226676777134283</v>
      </c>
      <c r="FB312" s="4">
        <f>MAX(0,DQ312*FB$9-ES312)</f>
        <v>126.31716128115995</v>
      </c>
      <c r="FC312" s="4">
        <f>MAX(0,DQ312-ES312-FB312)</f>
        <v>69.999999999999986</v>
      </c>
      <c r="FD312" s="4">
        <f>FC312/(1-0.3*(M312/30)^0.5)/200000/N312</f>
        <v>1.4294636548917086E-5</v>
      </c>
      <c r="FE312" s="4">
        <f>MAX(0.5*EP312, (1-2*FD312*(ES312*EZ312+FB312*FA312))/(1/EP312+FD312*FC312))</f>
        <v>5.4853199496251825</v>
      </c>
      <c r="FF312" s="4">
        <f>MIN(4/N312*(1*EZ312*ES312+FA312*FB312+FC312*FE312)+EC312,MAX(J312,AJ312))</f>
        <v>255.67544264222309</v>
      </c>
      <c r="FO312" s="23">
        <f>IF(CU312&lt;0.6,0.6,IF(CU312&lt;0.8,0.8,IF(CU312&lt;1,1,IF(CU312&lt;1.2,1.2,IF(CU312&lt;1.4,1.4,IF(CU312&lt;1.6,1.6,IF(CU312&lt;1.8,1.8,IF(CU312&lt;2,2,2.2))))))))</f>
        <v>1.8</v>
      </c>
      <c r="FP312" s="23">
        <f>IF(CV312&lt;0.6,0.6,IF(CV312&lt;0.8,0.8,IF(CV312&lt;1,1,IF(CV312&lt;1.2,1.2,IF(CV312&lt;1.4,1.4,IF(CV312&lt;1.6,1.6,IF(CV312&lt;1.8,1.8,IF(CV312&lt;2,2,2.2))))))))</f>
        <v>1.2</v>
      </c>
      <c r="FQ312" s="23">
        <f>IF(DA312&lt;0.6,0.6,IF(DA312&lt;0.8,0.8,IF(DA312&lt;1,1,IF(DA312&lt;1.2,1.2,IF(DA312&lt;1.4,1.4,IF(DA312&lt;1.6,1.6,IF(DA312&lt;1.8,1.8,IF(DA312&lt;2,2,2.2))))))))</f>
        <v>1.8</v>
      </c>
      <c r="FR312" s="23">
        <f>IF(CX312&lt;0.6,0.6,IF(CX312&lt;0.8,0.8,IF(CX312&lt;1,1,IF(CX312&lt;1.2,1.2,IF(CX312&lt;1.4,1.4,IF(CX312&lt;1.6,1.6,IF(CX312&lt;1.8,1.8,IF(CX312&lt;2,2,2.2))))))))</f>
        <v>2.2000000000000002</v>
      </c>
      <c r="FS312" s="23">
        <f>IF(CY312&lt;0.6,0.6,IF(CY312&lt;0.8,0.8,IF(CY312&lt;1,1,IF(CY312&lt;1.2,1.2,IF(CY312&lt;1.4,1.4,IF(CY312&lt;1.6,1.6,IF(CY312&lt;1.8,1.8,IF(CY312&lt;2,2,2.2))))))))</f>
        <v>1.6</v>
      </c>
      <c r="FT312" s="23">
        <f>IF(CZ312&lt;0.6,0.6,IF(CZ312&lt;0.8,0.8,IF(CZ312&lt;1,1,IF(CZ312&lt;1.2,1.2,IF(CZ312&lt;1.4,1.4,IF(CZ312&lt;1.6,1.6,IF(CZ312&lt;1.8,1.8,IF(CZ312&lt;2,2,2.2))))))))</f>
        <v>1.6</v>
      </c>
      <c r="FU312" s="23">
        <f>IF(FS312&lt;1,1,0)</f>
        <v>0</v>
      </c>
      <c r="FV312" s="23"/>
      <c r="GF312" s="4">
        <f>IF(S312&gt;=2.5*25.4,1,1.25)</f>
        <v>1</v>
      </c>
      <c r="GG312" s="4">
        <f>IF(AO312&gt;1, 0.05*(18-MIN(8,(W312+N312)/N312))*(1-48000/MAX(60000,(J312*145))*(N312/25.4)^0.75*GH312), 1/12*(14-MIN(8,(W312+N312)/N312)))</f>
        <v>0.73631284916201123</v>
      </c>
      <c r="GH312" s="4">
        <f>MIN(0.3, AM312^2*PI()/4*2*AP312/(N312^2*PI()/4*X312))</f>
        <v>0</v>
      </c>
      <c r="GI312" s="4">
        <f>(K312/25.4)/(N312/25.4)^1.5/0.0024*(M312*145)^0.25/GF312/GG312/145</f>
        <v>214.31954835684894</v>
      </c>
    </row>
    <row r="313" spans="1:191" ht="12" customHeight="1" x14ac:dyDescent="0.3">
      <c r="A313" s="25">
        <v>278</v>
      </c>
      <c r="B313" s="4" t="s">
        <v>605</v>
      </c>
      <c r="C313" s="4">
        <v>2016</v>
      </c>
      <c r="D313" s="4" t="s">
        <v>309</v>
      </c>
      <c r="E313" s="24" t="s">
        <v>666</v>
      </c>
      <c r="F313" s="24"/>
      <c r="G313" s="24">
        <v>48</v>
      </c>
      <c r="H313" s="7" t="s">
        <v>436</v>
      </c>
      <c r="I313" s="5">
        <f>K313/N313</f>
        <v>10.94</v>
      </c>
      <c r="J313" s="78">
        <f>115.9/0.145</f>
        <v>799.31034482758628</v>
      </c>
      <c r="K313" s="38">
        <f>10.94*25.4</f>
        <v>277.87599999999998</v>
      </c>
      <c r="L313" s="4">
        <f>K313</f>
        <v>277.87599999999998</v>
      </c>
      <c r="M313" s="38">
        <f>5900/145</f>
        <v>40.689655172413794</v>
      </c>
      <c r="N313" s="38">
        <f>1*25.4</f>
        <v>25.4</v>
      </c>
      <c r="O313" s="7">
        <f>K313/N313</f>
        <v>10.94</v>
      </c>
      <c r="P313" s="7">
        <f>L313/N313</f>
        <v>10.94</v>
      </c>
      <c r="Q313" s="38">
        <f>17.6*25.4</f>
        <v>447.04</v>
      </c>
      <c r="R313" s="32">
        <f>S313/N313</f>
        <v>2.4500000000000002</v>
      </c>
      <c r="S313" s="38">
        <f>2.45*25.4</f>
        <v>62.230000000000004</v>
      </c>
      <c r="T313" s="32">
        <f>U313/N313</f>
        <v>3.3500000000000005</v>
      </c>
      <c r="U313" s="39">
        <f>3.35*25.4</f>
        <v>85.09</v>
      </c>
      <c r="V313" s="32">
        <f>W313/N313</f>
        <v>10.7</v>
      </c>
      <c r="W313" s="7">
        <f>(Q313-X313*N313-2*S313)/(X313-1)</f>
        <v>271.77999999999997</v>
      </c>
      <c r="X313" s="38">
        <v>2</v>
      </c>
      <c r="Y313" s="7">
        <f>AN313</f>
        <v>10</v>
      </c>
      <c r="Z313" s="32">
        <f>AA313/N313</f>
        <v>10.25</v>
      </c>
      <c r="AA313" s="4">
        <f>10.25*25.4</f>
        <v>260.34999999999997</v>
      </c>
      <c r="AB313" s="7">
        <f>MIN(S313/N313+0.5, W313/2/N313+0.5)</f>
        <v>2.95</v>
      </c>
      <c r="AC313" s="7">
        <f>S313/N313+0.5</f>
        <v>2.95</v>
      </c>
      <c r="AD313" s="38">
        <v>6.5</v>
      </c>
      <c r="AE313" s="4">
        <f>AD313</f>
        <v>6.5</v>
      </c>
      <c r="AF313" s="4">
        <f>AE313+1</f>
        <v>7.5</v>
      </c>
      <c r="AG313" s="7">
        <f>N313*AF313^0.5</f>
        <v>69.56076480315609</v>
      </c>
      <c r="AJ313" s="38">
        <f>AK313/0.145</f>
        <v>737.24137931034488</v>
      </c>
      <c r="AK313" s="4">
        <v>106.9</v>
      </c>
      <c r="AL313" s="4">
        <f>CY313</f>
        <v>1.0210557999824699</v>
      </c>
      <c r="AM313" s="38">
        <f>0.5*25.4</f>
        <v>12.7</v>
      </c>
      <c r="AN313" s="38">
        <v>10</v>
      </c>
      <c r="AO313" s="39">
        <f>3*25.4</f>
        <v>76.199999999999989</v>
      </c>
      <c r="AP313" s="39">
        <v>3</v>
      </c>
      <c r="AQ313" s="39">
        <v>2</v>
      </c>
      <c r="AR313" s="7"/>
      <c r="AS313" s="4">
        <f>K313</f>
        <v>277.87599999999998</v>
      </c>
      <c r="AT313" s="4">
        <f>IF(K313*3&gt;W313+N313, Q313, (S313+N313/2)*2+1.5*K313*(2*X313-2))*(3*K313)/(9*K313^2)</f>
        <v>0.53625837903717255</v>
      </c>
      <c r="AU313" s="4">
        <f>MIN(10*M313^0.5*K313^1.5,100*3.9*M313^0.5*K313^(5/3))/(PI()/4*N313^2)/X313</f>
        <v>291.56222268863934</v>
      </c>
      <c r="AV313" s="4">
        <f>MIN(0.7+0.3*(MIN(S313,AA313)+0.5*N313)/1.5/K313,1)</f>
        <v>0.75393053016453382</v>
      </c>
      <c r="AW313" s="4">
        <v>1.25</v>
      </c>
      <c r="AX313" s="4">
        <f>AX312</f>
        <v>2.5</v>
      </c>
      <c r="AY313" s="38">
        <f>AT313*AV313*AW313*AX313*AU313</f>
        <v>368.37207075008428</v>
      </c>
      <c r="AZ313" s="38">
        <f>AY313</f>
        <v>368.37207075008428</v>
      </c>
      <c r="BA313" s="38">
        <f>IF(M313&lt;50, 0.3*M313^(2/3), 2.12*LN(1+0.1*(M313+8)))</f>
        <v>3.5490375497727622</v>
      </c>
      <c r="BB313" s="38">
        <f>AX313* (M313^0.5/AS313^0.5)/(PI()/4*N313^2)/X313/0.72 *(0.7+(MIN(S313,AA313)+0.5*N313)/5/K313) *(3*Q313*K313)</f>
        <v>368.37207075008428</v>
      </c>
      <c r="BC313" s="38">
        <f>AY313/BB313</f>
        <v>1</v>
      </c>
      <c r="BD313" s="38">
        <f>BH313/BB313</f>
        <v>1.6615216475123706</v>
      </c>
      <c r="BE313" s="4">
        <f>IF(BD313&lt;1,1,0)</f>
        <v>0</v>
      </c>
      <c r="BF313" s="4">
        <f>L313/N313*M313^0.5/0.19</f>
        <v>367.28714278807342</v>
      </c>
      <c r="BG313" s="4">
        <f>MIN(0.6+0.4*(AC313/AB313),2)</f>
        <v>1</v>
      </c>
      <c r="BH313" s="38">
        <f>2*M313*AB313*AD313^0.5*BG313*0.7/0.7</f>
        <v>612.05816989022355</v>
      </c>
      <c r="BI313" s="4">
        <f>MAX(1-0.7*AE313/5,0.3)</f>
        <v>0.3</v>
      </c>
      <c r="BJ313" s="4">
        <f>BI313*J313*L313/(J313*N313/2.75/M313^0.5)</f>
        <v>57.572259632030509</v>
      </c>
      <c r="BK313" s="4">
        <f>BH313+BJ313</f>
        <v>669.63042952225408</v>
      </c>
      <c r="BM313" s="4">
        <f>MIN(1.5, 0.75+0.25*MIN(3,MAX(1,S313/N313))+0.4*MIN(1,(40*2*PI()*AM313^2/4/AO313/X313)/N313))</f>
        <v>1.5</v>
      </c>
      <c r="BN313" s="4">
        <f>(3*P313+30)*BM313*M313^0.5</f>
        <v>601.07850259002112</v>
      </c>
      <c r="BP313" s="4">
        <f>3.4/PI()^0.5*M313*AB313*AE313^0.5*BG313</f>
        <v>587.03863476152412</v>
      </c>
      <c r="BQ313" s="4">
        <f>8/3*AH313*AI313^2/(AG313-N313-22)/N313*(AG313^2-N313^2)/(AG313^2-(N313+22)^2)</f>
        <v>0</v>
      </c>
      <c r="BR313" s="4">
        <f>BQ313/BP313</f>
        <v>0</v>
      </c>
      <c r="BZ313" s="4">
        <f>IF(W313=0,S313,MIN(W313/2,S313))</f>
        <v>62.230000000000004</v>
      </c>
      <c r="CD313" s="9"/>
      <c r="CF313" s="9"/>
      <c r="CG313" s="9"/>
      <c r="CH313" s="9">
        <f>IF(W313=0,MIN(S313,U313),MIN(W313/2,S313,U313))</f>
        <v>62.230000000000004</v>
      </c>
      <c r="CI313" s="9">
        <f>MAX(W313/2,S313)</f>
        <v>135.88999999999999</v>
      </c>
      <c r="CJ313" s="9">
        <f>(CH313/N313)^0.5*(CI313/CH313)^0.15</f>
        <v>1.7597914236385663</v>
      </c>
      <c r="CK313" s="70">
        <f>IF(AO313&gt;1,20,0)</f>
        <v>20</v>
      </c>
      <c r="CL313" s="9">
        <f>MIN(PI()*AM313^2/4*AN313*2/X313/N313/MAX(0.01,AO313),0.05)</f>
        <v>0.05</v>
      </c>
      <c r="CM313" s="9">
        <f>MAX(0,CK313*(CL313-0.5/50))</f>
        <v>0.8</v>
      </c>
      <c r="CN313" s="9">
        <f>MIN(1,(25/N313)^0.3)</f>
        <v>0.99524931562137331</v>
      </c>
      <c r="CO313" s="9">
        <f>IF(J313&gt;=800,0.68,IF(J313&gt;=700,0.75-(J313-700)*0.07/100,IF(J313&gt;=600,0.85-(J313-600)*0.1/100,IF(J313&gt;=500,1-(J313-500)*0.15/100,1.2-(J313-400)*0.2/100))))</f>
        <v>0.68048275862068963</v>
      </c>
      <c r="CP313" s="9">
        <f>1.75*CN313*CO313*(M313/25)^0.5</f>
        <v>1.51202531590344</v>
      </c>
      <c r="CQ313" s="9">
        <f>MIN((CJ313+CM313)*CP313,2.5*CP313,M313^0.5)</f>
        <v>3.7800632897586</v>
      </c>
      <c r="CR313" s="40">
        <v>1</v>
      </c>
      <c r="CS313" s="9">
        <f>4*CQ313*P313+60*CQ313</f>
        <v>392.21936694535231</v>
      </c>
      <c r="CU313" s="4">
        <f>AJ313/BF313</f>
        <v>2.0072616038610884</v>
      </c>
      <c r="CV313" s="4">
        <f>AJ313/BK313</f>
        <v>1.1009675588314105</v>
      </c>
      <c r="CW313" s="4">
        <f>AJ313/BN313</f>
        <v>1.2265309375291311</v>
      </c>
      <c r="CX313" s="4">
        <f>AJ313/CS313</f>
        <v>1.8796659253520858</v>
      </c>
      <c r="CY313" s="4">
        <f>AJ313/DZ313</f>
        <v>1.0210557999824699</v>
      </c>
      <c r="CZ313" s="4">
        <f>AJ313/EL313</f>
        <v>1.0745054096439952</v>
      </c>
      <c r="DA313" s="4">
        <f>AJ313/GI313</f>
        <v>1.4646074726472567</v>
      </c>
      <c r="DB313" s="4">
        <f>AN313</f>
        <v>10</v>
      </c>
      <c r="DI313" s="4">
        <f>CU313</f>
        <v>2.0072616038610884</v>
      </c>
      <c r="DJ313" s="4">
        <f>CV313</f>
        <v>1.1009675588314105</v>
      </c>
      <c r="DK313" s="4">
        <f>CX313</f>
        <v>1.8796659253520858</v>
      </c>
      <c r="DL313" s="4">
        <f>DA313</f>
        <v>1.4646074726472567</v>
      </c>
      <c r="DM313" s="4">
        <f>CY313</f>
        <v>1.0210557999824699</v>
      </c>
      <c r="DN313" s="4">
        <f>CZ313</f>
        <v>1.0745054096439952</v>
      </c>
      <c r="DQ313" s="4">
        <f>L313</f>
        <v>277.87599999999998</v>
      </c>
      <c r="DT313" s="4">
        <f>K313/4/(1-0.3*(M313/30)^0.5)/200000/N313</f>
        <v>2.1018532536618391E-5</v>
      </c>
      <c r="DU313" s="4">
        <f>EP313</f>
        <v>9.7866580905942957</v>
      </c>
      <c r="DV313" s="4">
        <f>EC313*AG313/257/M313/AD313</f>
        <v>0.37698194807778418</v>
      </c>
      <c r="DW313" s="4">
        <f>DU313*DV313^0.4</f>
        <v>6.6246454169545199</v>
      </c>
      <c r="DX313" s="4">
        <f>MIN(DU313, DU313/1.4*(1-DV313^1.4)/(1-DV313))</f>
        <v>8.3571143650726452</v>
      </c>
      <c r="DY313" s="4">
        <f>MAX(DU313/2, (4-DT313*(8*AG313*(DW313-DX313)+6*K313*DX313))/(4+DT313*K313*DU313)*DU313)</f>
        <v>8.9912219231036268</v>
      </c>
      <c r="DZ313" s="38">
        <f>MIN(1/N313*(4*AG313*(DW313-DX313)+(3*DX313+DY313)*K313)+EC313 -FJ313,MAX(J313,AJ313))</f>
        <v>722.03828558929126</v>
      </c>
      <c r="EA313" s="4">
        <f>DZ313/FF313</f>
        <v>1.000116745064352</v>
      </c>
      <c r="EB313" s="4">
        <f>AG313/N313</f>
        <v>2.7386127875258306</v>
      </c>
      <c r="EC313" s="4">
        <f>MIN(EB$10*BB313)</f>
        <v>368.37207075008428</v>
      </c>
      <c r="EG313" s="4">
        <f>IF(U313&gt;1*N313,0.85,1)</f>
        <v>0.85</v>
      </c>
      <c r="EH313" s="4">
        <f>MIN(1,MAX(0.7,(1-0.1*(BZ313-1*N313)/N313)))</f>
        <v>0.85499999999999998</v>
      </c>
      <c r="EI313" s="4">
        <f>MIN(1,MAX(0.7,1-0.3*(PI()*AM313^2/4*AQ313*2-0.25*PI()/4*N313^2)/(PI()/4*N313^2)))</f>
        <v>0.77500000000000002</v>
      </c>
      <c r="EJ313" s="4">
        <f>IF(EH313*EI313&lt;0.7,0.7,EH313*EI313)</f>
        <v>0.7</v>
      </c>
      <c r="EL313" s="4">
        <f>MIN(DU313/N313*3*K313+EM313-FJ313,MAX(J313,AJ313))</f>
        <v>686.12160785175342</v>
      </c>
      <c r="EM313" s="25">
        <f>13.3*Q313*K313^0.5*M313^0.5/X313/N313^2*(0.7+S313/5/K313)</f>
        <v>364.92348931844867</v>
      </c>
      <c r="EO313" s="4">
        <f>EG313*EJ313</f>
        <v>0.59499999999999997</v>
      </c>
      <c r="EP313" s="4">
        <f>IF(N313&lt;22.2,1.1*5*(M313/30)^0.5,IF(N313&gt;=31.8,0.9*5*(M313/30)^0.5,1*5*(M313/30)^0.5))/EG313/EJ313</f>
        <v>9.7866580905942957</v>
      </c>
      <c r="ES313" s="4">
        <f>ET313*N313</f>
        <v>69.56076480315609</v>
      </c>
      <c r="ET313" s="4">
        <f>AF313^0.5</f>
        <v>2.7386127875258306</v>
      </c>
      <c r="EU313" s="4">
        <f>MIN(EC313)/(4700*M313^0.5)/AE313*ES313</f>
        <v>0.13149154384020617</v>
      </c>
      <c r="EX313" s="4">
        <f>EU313</f>
        <v>0.13149154384020617</v>
      </c>
      <c r="EY313" s="4">
        <f>MIN(0.999, EX313/(0.3*(M313/30)^0.5))</f>
        <v>0.37635283546632642</v>
      </c>
      <c r="EZ313" s="4">
        <f>EP313/1*EY313^0.4</f>
        <v>6.6202210816600546</v>
      </c>
      <c r="FA313" s="4">
        <f>EP313/1.4*(1-EY313^1.4)/(1-EY313)</f>
        <v>8.3553644821317707</v>
      </c>
      <c r="FB313" s="4">
        <f>MAX(0,DQ313*FB$9-ES313)</f>
        <v>138.84623519684391</v>
      </c>
      <c r="FC313" s="4">
        <f>MAX(0,DQ313-ES313-FB313)</f>
        <v>69.468999999999994</v>
      </c>
      <c r="FD313" s="4">
        <f>FC313/(1-0.3*(M313/30)^0.5)/200000/N313</f>
        <v>2.1018532536618391E-5</v>
      </c>
      <c r="FE313" s="4">
        <f>MAX(0.5*EP313, (1-2*FD313*(ES313*EZ313+FB313*FA313))/(1/EP313+FD313*FC313))</f>
        <v>8.9914453005690351</v>
      </c>
      <c r="FF313" s="4">
        <f>MIN(4/N313*(1*EZ313*ES313+FA313*FB313+FC313*FE313)+EC313,MAX(J313,AJ313))</f>
        <v>721.95400102298265</v>
      </c>
      <c r="FO313" s="23">
        <f>IF(CU313&lt;0.6,0.6,IF(CU313&lt;0.8,0.8,IF(CU313&lt;1,1,IF(CU313&lt;1.2,1.2,IF(CU313&lt;1.4,1.4,IF(CU313&lt;1.6,1.6,IF(CU313&lt;1.8,1.8,IF(CU313&lt;2,2,2.2))))))))</f>
        <v>2.2000000000000002</v>
      </c>
      <c r="FP313" s="23">
        <f>IF(CV313&lt;0.6,0.6,IF(CV313&lt;0.8,0.8,IF(CV313&lt;1,1,IF(CV313&lt;1.2,1.2,IF(CV313&lt;1.4,1.4,IF(CV313&lt;1.6,1.6,IF(CV313&lt;1.8,1.8,IF(CV313&lt;2,2,2.2))))))))</f>
        <v>1.2</v>
      </c>
      <c r="FQ313" s="23">
        <f>IF(DA313&lt;0.6,0.6,IF(DA313&lt;0.8,0.8,IF(DA313&lt;1,1,IF(DA313&lt;1.2,1.2,IF(DA313&lt;1.4,1.4,IF(DA313&lt;1.6,1.6,IF(DA313&lt;1.8,1.8,IF(DA313&lt;2,2,2.2))))))))</f>
        <v>1.6</v>
      </c>
      <c r="FR313" s="23">
        <f>IF(CX313&lt;0.6,0.6,IF(CX313&lt;0.8,0.8,IF(CX313&lt;1,1,IF(CX313&lt;1.2,1.2,IF(CX313&lt;1.4,1.4,IF(CX313&lt;1.6,1.6,IF(CX313&lt;1.8,1.8,IF(CX313&lt;2,2,2.2))))))))</f>
        <v>2</v>
      </c>
      <c r="FS313" s="23">
        <f>IF(CY313&lt;0.6,0.6,IF(CY313&lt;0.8,0.8,IF(CY313&lt;1,1,IF(CY313&lt;1.2,1.2,IF(CY313&lt;1.4,1.4,IF(CY313&lt;1.6,1.6,IF(CY313&lt;1.8,1.8,IF(CY313&lt;2,2,2.2))))))))</f>
        <v>1.2</v>
      </c>
      <c r="FT313" s="23">
        <f>IF(CZ313&lt;0.6,0.6,IF(CZ313&lt;0.8,0.8,IF(CZ313&lt;1,1,IF(CZ313&lt;1.2,1.2,IF(CZ313&lt;1.4,1.4,IF(CZ313&lt;1.6,1.6,IF(CZ313&lt;1.8,1.8,IF(CZ313&lt;2,2,2.2))))))))</f>
        <v>1.2</v>
      </c>
      <c r="FU313" s="23">
        <f>IF(FS313&lt;1,1,0)</f>
        <v>0</v>
      </c>
      <c r="FV313" s="23"/>
      <c r="GF313" s="4">
        <f>IF(S313&gt;=2.5*25.4,1,1.25)</f>
        <v>1.25</v>
      </c>
      <c r="GG313" s="4">
        <f>IF(AO313&gt;1, 0.05*(18-MIN(8,(W313+N313)/N313))*(1-48000/MAX(60000,(J313*145))*(N313/25.4)^0.75*GH313), 1/12*(14-MIN(8,(W313+N313)/N313)))</f>
        <v>0.43787748058671272</v>
      </c>
      <c r="GH313" s="4">
        <f>MIN(0.3, AM313^2*PI()/4*2*AP313/(N313^2*PI()/4*X313))</f>
        <v>0.3</v>
      </c>
      <c r="GI313" s="4">
        <f>(K313/25.4)/(N313/25.4)^1.5/0.0024*(M313*145)^0.25/GF313/GG313/145</f>
        <v>503.37130806644853</v>
      </c>
    </row>
    <row r="314" spans="1:191" ht="12" customHeight="1" x14ac:dyDescent="0.3">
      <c r="A314" s="25">
        <v>254</v>
      </c>
      <c r="B314" s="4" t="s">
        <v>605</v>
      </c>
      <c r="C314" s="4">
        <v>2016</v>
      </c>
      <c r="D314" s="4" t="s">
        <v>309</v>
      </c>
      <c r="E314" s="24" t="s">
        <v>664</v>
      </c>
      <c r="F314" s="24"/>
      <c r="G314" s="14">
        <v>18</v>
      </c>
      <c r="H314" s="7" t="s">
        <v>410</v>
      </c>
      <c r="I314" s="5">
        <f>K314/N314</f>
        <v>10.83</v>
      </c>
      <c r="J314" s="38">
        <f>129/0.145</f>
        <v>889.65517241379314</v>
      </c>
      <c r="K314" s="96">
        <f>10.83*25.4</f>
        <v>275.08199999999999</v>
      </c>
      <c r="L314" s="4">
        <f>K314</f>
        <v>275.08199999999999</v>
      </c>
      <c r="M314" s="94">
        <f>8450/145</f>
        <v>58.275862068965516</v>
      </c>
      <c r="N314" s="96">
        <f>1*25.4</f>
        <v>25.4</v>
      </c>
      <c r="O314" s="7">
        <f>K314/N314</f>
        <v>10.83</v>
      </c>
      <c r="P314" s="7">
        <f>L314/N314</f>
        <v>10.83</v>
      </c>
      <c r="Q314" s="38">
        <f>13.9*25.4</f>
        <v>353.06</v>
      </c>
      <c r="R314" s="32">
        <f>S314/N314</f>
        <v>2.5</v>
      </c>
      <c r="S314" s="38">
        <f>2.5*25.4</f>
        <v>63.5</v>
      </c>
      <c r="T314" s="32">
        <f>U314/N314</f>
        <v>2.8666666666666667</v>
      </c>
      <c r="U314" s="39">
        <f>(2.8+3+2.8)/3*25.4</f>
        <v>72.813333333333333</v>
      </c>
      <c r="V314" s="32">
        <f>W314/N314</f>
        <v>2.9500000000000006</v>
      </c>
      <c r="W314" s="7">
        <f>(Q314-X314*N314-2*S314)/(X314-1)</f>
        <v>74.930000000000007</v>
      </c>
      <c r="X314" s="38">
        <v>3</v>
      </c>
      <c r="Y314" s="7">
        <f>AN314</f>
        <v>0</v>
      </c>
      <c r="Z314" s="32">
        <f>AA314/N314</f>
        <v>10.25</v>
      </c>
      <c r="AA314" s="4">
        <f>10.25*25.4</f>
        <v>260.34999999999997</v>
      </c>
      <c r="AB314" s="7">
        <f>MIN(S314/N314+0.5, W314/2/N314+0.5)</f>
        <v>1.9750000000000003</v>
      </c>
      <c r="AC314" s="7">
        <f>S314/N314+0.5</f>
        <v>3</v>
      </c>
      <c r="AD314" s="38">
        <v>4.0999999999999996</v>
      </c>
      <c r="AE314" s="4">
        <f>AD314</f>
        <v>4.0999999999999996</v>
      </c>
      <c r="AF314" s="4">
        <f>AE314+1</f>
        <v>5.0999999999999996</v>
      </c>
      <c r="AG314" s="7">
        <f>N314*AF314^0.5</f>
        <v>57.361276136431961</v>
      </c>
      <c r="AJ314" s="38">
        <f>AK314/0.145</f>
        <v>512.41379310344826</v>
      </c>
      <c r="AK314" s="4">
        <v>74.3</v>
      </c>
      <c r="AL314" s="4">
        <f>CY314</f>
        <v>0.98097068748379734</v>
      </c>
      <c r="AM314" s="38">
        <v>0</v>
      </c>
      <c r="AN314" s="38">
        <v>0</v>
      </c>
      <c r="AO314" s="39">
        <f>L314</f>
        <v>275.08199999999999</v>
      </c>
      <c r="AP314" s="39"/>
      <c r="AQ314" s="39"/>
      <c r="AR314" s="7"/>
      <c r="AS314" s="4">
        <f>K314</f>
        <v>275.08199999999999</v>
      </c>
      <c r="AT314" s="4">
        <f>IF(K314*3&gt;W314+N314, Q314, (S314+N314/2)*2+1.5*K314*(2*X314-2))*(3*K314)/(9*K314^2)</f>
        <v>0.42782394582948602</v>
      </c>
      <c r="AU314" s="4">
        <f>MIN(10*M314^0.5*K314^1.5,100*3.9*M314^0.5*K314^(5/3))/(PI()/4*N314^2)/X314</f>
        <v>229.11791256513948</v>
      </c>
      <c r="AV314" s="4">
        <f>MIN(0.7+0.3*(MIN(S314,AA314)+0.5*N314)/1.5/K314,1)</f>
        <v>0.75540166204986148</v>
      </c>
      <c r="AW314" s="4">
        <v>1.25</v>
      </c>
      <c r="AX314" s="4">
        <f>AX313</f>
        <v>2.5</v>
      </c>
      <c r="AY314" s="38">
        <f>AT314*AV314*AW314*AX314*AU314</f>
        <v>231.39399836523808</v>
      </c>
      <c r="AZ314" s="38">
        <f>AY314</f>
        <v>231.39399836523808</v>
      </c>
      <c r="BA314" s="38">
        <f>IF(M314&lt;50, 0.3*M314^(2/3), 2.12*LN(1+0.1*(M314+8)))</f>
        <v>4.3073554520828159</v>
      </c>
      <c r="BB314" s="38">
        <f>AX314* (M314^0.5/AS314^0.5)/(PI()/4*N314^2)/X314/0.72 *(0.7+(MIN(S314,AA314)+0.5*N314)/5/K314) *(3*Q314*K314)</f>
        <v>231.39399836523816</v>
      </c>
      <c r="BC314" s="38">
        <f>AY314/BB314</f>
        <v>0.99999999999999967</v>
      </c>
      <c r="BD314" s="38">
        <f>BH314/BB314</f>
        <v>2.4324668121122044</v>
      </c>
      <c r="BE314" s="4">
        <f>IF(BD314&lt;1,1,0)</f>
        <v>0</v>
      </c>
      <c r="BF314" s="4">
        <f>L314/N314*M314^0.5/0.19</f>
        <v>435.13018266039529</v>
      </c>
      <c r="BG314" s="4">
        <f>MIN(0.6+0.4*(AC314/AB314),2)</f>
        <v>1.2075949367088605</v>
      </c>
      <c r="BH314" s="38">
        <f>2*M314*AB314*AD314^0.5*BG314*0.7/0.7</f>
        <v>562.85822154538755</v>
      </c>
      <c r="BI314" s="4">
        <f>MAX(1-0.7*AE314/5,0.3)</f>
        <v>0.42600000000000005</v>
      </c>
      <c r="BJ314" s="4">
        <f>BI314*J314*L314/(J314*N314/2.75/M314^0.5)</f>
        <v>96.853451707464089</v>
      </c>
      <c r="BK314" s="4">
        <f>BH314+BJ314</f>
        <v>659.7116732528516</v>
      </c>
      <c r="BM314" s="4">
        <f>MIN(1.5, 0.75+0.25*MIN(3,MAX(1,S314/N314))+0.4*MIN(1,(40*2*PI()*AM314^2/4/AO314/X314)/N314))</f>
        <v>1.375</v>
      </c>
      <c r="BN314" s="4">
        <f>(3*P314+30)*BM314*M314^0.5</f>
        <v>655.93012337484447</v>
      </c>
      <c r="BP314" s="4">
        <f>3.4/PI()^0.5*M314*AB314*AE314^0.5*BG314</f>
        <v>539.84986753720898</v>
      </c>
      <c r="BQ314" s="4">
        <f>8/3*AH314*AI314^2/(AG314-N314-22)/N314*(AG314^2-N314^2)/(AG314^2-(N314+22)^2)</f>
        <v>0</v>
      </c>
      <c r="BR314" s="4">
        <f>BQ314/BP314</f>
        <v>0</v>
      </c>
      <c r="BZ314" s="4">
        <f>IF(W314=0,S314,MIN(W314/2,S314))</f>
        <v>37.465000000000003</v>
      </c>
      <c r="CD314" s="9"/>
      <c r="CF314" s="9"/>
      <c r="CG314" s="9"/>
      <c r="CH314" s="9">
        <f>IF(W314=0,MIN(S314,U314),MIN(W314/2,S314,U314))</f>
        <v>37.465000000000003</v>
      </c>
      <c r="CI314" s="9">
        <f>MAX(W314/2,S314)</f>
        <v>63.5</v>
      </c>
      <c r="CJ314" s="9">
        <f>(CH314/N314)^0.5*(CI314/CH314)^0.15</f>
        <v>1.3145230578736085</v>
      </c>
      <c r="CK314" s="70">
        <f>IF(AO314&gt;1,20,0)</f>
        <v>20</v>
      </c>
      <c r="CL314" s="9">
        <f>MIN(PI()*AM314^2/4*AN314*2/X314/N314/MAX(0.01,AO314),0.05)</f>
        <v>0</v>
      </c>
      <c r="CM314" s="9">
        <f>MAX(0,CK314*(CL314-0.5/50))</f>
        <v>0</v>
      </c>
      <c r="CN314" s="9">
        <f>MIN(1,(25/N314)^0.3)</f>
        <v>0.99524931562137331</v>
      </c>
      <c r="CO314" s="9">
        <f>IF(J314&gt;=800,0.68,IF(J314&gt;=700,0.75-(J314-700)*0.07/100,IF(J314&gt;=600,0.85-(J314-600)*0.1/100,IF(J314&gt;=500,1-(J314-500)*0.15/100,1.2-(J314-400)*0.2/100))))</f>
        <v>0.68</v>
      </c>
      <c r="CP314" s="9">
        <f>1.75*CN314*CO314*(M314/25)^0.5</f>
        <v>1.8082280338026815</v>
      </c>
      <c r="CQ314" s="9">
        <f>MIN((CJ314+CM314)*CP314,2.5*CP314,M314^0.5)</f>
        <v>2.3769574443270836</v>
      </c>
      <c r="CR314" s="40">
        <v>1</v>
      </c>
      <c r="CS314" s="9">
        <f>4*CQ314*P314+60*CQ314</f>
        <v>245.58724314787429</v>
      </c>
      <c r="CU314" s="4">
        <f>AJ314/BF314</f>
        <v>1.1776103187568816</v>
      </c>
      <c r="CV314" s="4">
        <f>AJ314/BK314</f>
        <v>0.77672385358421936</v>
      </c>
      <c r="CW314" s="4">
        <f>AJ314/BN314</f>
        <v>0.78120180007439466</v>
      </c>
      <c r="CX314" s="4">
        <f>AJ314/CS314</f>
        <v>2.086483754349207</v>
      </c>
      <c r="CY314" s="4">
        <f>AJ314/DZ314</f>
        <v>0.98097068748379734</v>
      </c>
      <c r="CZ314" s="4">
        <f>AJ314/EL314</f>
        <v>1.0069882788145434</v>
      </c>
      <c r="DA314" s="4">
        <f>AJ314/GI314</f>
        <v>1.2064345058631663</v>
      </c>
      <c r="DB314" s="4">
        <f>AN314</f>
        <v>0</v>
      </c>
      <c r="DC314" s="4">
        <f>CU314</f>
        <v>1.1776103187568816</v>
      </c>
      <c r="DD314" s="4">
        <f>CV314</f>
        <v>0.77672385358421936</v>
      </c>
      <c r="DE314" s="4">
        <f>CX314</f>
        <v>2.086483754349207</v>
      </c>
      <c r="DF314" s="4">
        <f>DA314</f>
        <v>1.2064345058631663</v>
      </c>
      <c r="DG314" s="4">
        <f>CY314</f>
        <v>0.98097068748379734</v>
      </c>
      <c r="DH314" s="4">
        <f>CZ314</f>
        <v>1.0069882788145434</v>
      </c>
      <c r="DQ314" s="4">
        <f>L314</f>
        <v>275.08199999999999</v>
      </c>
      <c r="DT314" s="4">
        <f>K314/4/(1-0.3*(M314/30)^0.5)/200000/N314</f>
        <v>2.3265261684519301E-5</v>
      </c>
      <c r="DU314" s="4">
        <f>EP314</f>
        <v>8.6073570806801509</v>
      </c>
      <c r="DV314" s="4">
        <f>EC314*AG314/257/M314/AD314</f>
        <v>0.21615496144591859</v>
      </c>
      <c r="DW314" s="4">
        <f>DU314*DV314^0.4</f>
        <v>4.6641864575427334</v>
      </c>
      <c r="DX314" s="4">
        <f>MIN(DU314, DU314/1.4*(1-DV314^1.4)/(1-DV314))</f>
        <v>6.9248108117237273</v>
      </c>
      <c r="DY314" s="4">
        <f>MAX(DU314/2, (4-DT314*(8*AG314*(DW314-DX314)+6*K314*DX314))/(4+DT314*K314*DU314)*DU314)</f>
        <v>7.9772446899415055</v>
      </c>
      <c r="DZ314" s="38">
        <f>MIN(1/N314*(4*AG314*(DW314-DX314)+(3*DX314+DY314)*K314)+EC314 -FJ314,MAX(J314,AJ314))</f>
        <v>522.35382732770165</v>
      </c>
      <c r="EA314" s="4">
        <f>DZ314/FF314</f>
        <v>1.0000978733813339</v>
      </c>
      <c r="EB314" s="4">
        <f>AG314/N314</f>
        <v>2.2583179581272428</v>
      </c>
      <c r="EC314" s="4">
        <f>MIN(EB$10*BB314)</f>
        <v>231.39399836523816</v>
      </c>
      <c r="EG314" s="4">
        <f>IF(U314&gt;1*N314,0.85,1)</f>
        <v>0.85</v>
      </c>
      <c r="EH314" s="4">
        <f>MIN(1,MAX(0.7,(1-0.1*(BZ314-1*N314)/N314)))</f>
        <v>0.95250000000000001</v>
      </c>
      <c r="EI314" s="4">
        <f>MIN(1,MAX(0.7,1-0.3*(PI()*AM314^2/4*AQ314*2-0.25*PI()/4*N314^2)/(PI()/4*N314^2)))</f>
        <v>1</v>
      </c>
      <c r="EJ314" s="4">
        <f>IF(EH314*EI314&lt;0.7,0.7,EH314*EI314)</f>
        <v>0.95250000000000001</v>
      </c>
      <c r="EL314" s="4">
        <f>MIN(DU314/N314*3*K314+EM314-FJ314,MAX(J314,AJ314))</f>
        <v>508.85775324681737</v>
      </c>
      <c r="EM314" s="25">
        <f>13.3*Q314*K314^0.5*M314^0.5/X314/N314^2*(0.7+S314/5/K314)</f>
        <v>229.20472169551925</v>
      </c>
      <c r="EO314" s="4">
        <f>EG314*EJ314</f>
        <v>0.80962500000000004</v>
      </c>
      <c r="EP314" s="4">
        <f>IF(N314&lt;22.2,1.1*5*(M314/30)^0.5,IF(N314&gt;=31.8,0.9*5*(M314/30)^0.5,1*5*(M314/30)^0.5))/EG314/EJ314</f>
        <v>8.6073570806801509</v>
      </c>
      <c r="ES314" s="4">
        <f>ET314*N314</f>
        <v>57.361276136431961</v>
      </c>
      <c r="ET314" s="4">
        <f>AF314^0.5</f>
        <v>2.2583179581272428</v>
      </c>
      <c r="EU314" s="4">
        <f>MIN(EC314)/(4700*M314^0.5)/AE314*ES314</f>
        <v>9.0228726387557703E-2</v>
      </c>
      <c r="EX314" s="4">
        <f>EU314</f>
        <v>9.0228726387557703E-2</v>
      </c>
      <c r="EY314" s="4">
        <f>MIN(0.999, EX314/(0.3*(M314/30)^0.5))</f>
        <v>0.21579423910107379</v>
      </c>
      <c r="EZ314" s="4">
        <f>EP314/1*EY314^0.4</f>
        <v>4.6610714342523911</v>
      </c>
      <c r="FA314" s="4">
        <f>EP314/1.4*(1-EY314^1.4)/(1-EY314)</f>
        <v>6.9237702436815676</v>
      </c>
      <c r="FB314" s="4">
        <f>MAX(0,DQ314*FB$9-ES314)</f>
        <v>148.95022386356803</v>
      </c>
      <c r="FC314" s="4">
        <f>MAX(0,DQ314-ES314-FB314)</f>
        <v>68.770499999999998</v>
      </c>
      <c r="FD314" s="4">
        <f>FC314/(1-0.3*(M314/30)^0.5)/200000/N314</f>
        <v>2.3265261684519301E-5</v>
      </c>
      <c r="FE314" s="4">
        <f>MAX(0.5*EP314, (1-2*FD314*(ES314*EZ314+FB314*FA314))/(1/EP314+FD314*FC314))</f>
        <v>7.9773765128186334</v>
      </c>
      <c r="FF314" s="4">
        <f>MIN(4/N314*(1*EZ314*ES314+FA314*FB314+FC314*FE314)+EC314,MAX(J314,AJ314))</f>
        <v>522.30270779560988</v>
      </c>
      <c r="FO314" s="23">
        <f>IF(CU314&lt;0.6,0.6,IF(CU314&lt;0.8,0.8,IF(CU314&lt;1,1,IF(CU314&lt;1.2,1.2,IF(CU314&lt;1.4,1.4,IF(CU314&lt;1.6,1.6,IF(CU314&lt;1.8,1.8,IF(CU314&lt;2,2,2.2))))))))</f>
        <v>1.2</v>
      </c>
      <c r="FP314" s="23">
        <f>IF(CV314&lt;0.6,0.6,IF(CV314&lt;0.8,0.8,IF(CV314&lt;1,1,IF(CV314&lt;1.2,1.2,IF(CV314&lt;1.4,1.4,IF(CV314&lt;1.6,1.6,IF(CV314&lt;1.8,1.8,IF(CV314&lt;2,2,2.2))))))))</f>
        <v>0.8</v>
      </c>
      <c r="FQ314" s="23">
        <f>IF(DA314&lt;0.6,0.6,IF(DA314&lt;0.8,0.8,IF(DA314&lt;1,1,IF(DA314&lt;1.2,1.2,IF(DA314&lt;1.4,1.4,IF(DA314&lt;1.6,1.6,IF(DA314&lt;1.8,1.8,IF(DA314&lt;2,2,2.2))))))))</f>
        <v>1.4</v>
      </c>
      <c r="FR314" s="23">
        <f>IF(CX314&lt;0.6,0.6,IF(CX314&lt;0.8,0.8,IF(CX314&lt;1,1,IF(CX314&lt;1.2,1.2,IF(CX314&lt;1.4,1.4,IF(CX314&lt;1.6,1.6,IF(CX314&lt;1.8,1.8,IF(CX314&lt;2,2,2.2))))))))</f>
        <v>2.2000000000000002</v>
      </c>
      <c r="FS314" s="23">
        <f>IF(CY314&lt;0.6,0.6,IF(CY314&lt;0.8,0.8,IF(CY314&lt;1,1,IF(CY314&lt;1.2,1.2,IF(CY314&lt;1.4,1.4,IF(CY314&lt;1.6,1.6,IF(CY314&lt;1.8,1.8,IF(CY314&lt;2,2,2.2))))))))</f>
        <v>1</v>
      </c>
      <c r="FT314" s="23">
        <f>IF(CZ314&lt;0.6,0.6,IF(CZ314&lt;0.8,0.8,IF(CZ314&lt;1,1,IF(CZ314&lt;1.2,1.2,IF(CZ314&lt;1.4,1.4,IF(CZ314&lt;1.6,1.6,IF(CZ314&lt;1.8,1.8,IF(CZ314&lt;2,2,2.2))))))))</f>
        <v>1.2</v>
      </c>
      <c r="FU314" s="23">
        <f>IF(FS314&lt;1,1,0)</f>
        <v>0</v>
      </c>
      <c r="FV314" s="23"/>
      <c r="GF314" s="4">
        <f>IF(S314&gt;=2.5*25.4,1,1.25)</f>
        <v>1</v>
      </c>
      <c r="GG314" s="4">
        <f>IF(AO314&gt;1, 0.05*(18-MIN(8,(W314+N314)/N314))*(1-48000/MAX(60000,(J314*145))*(N314/25.4)^0.75*GH314), 1/12*(14-MIN(8,(W314+N314)/N314)))</f>
        <v>0.70250000000000001</v>
      </c>
      <c r="GH314" s="4">
        <f>MIN(0.3, AM314^2*PI()/4*2*AP314/(N314^2*PI()/4*X314))</f>
        <v>0</v>
      </c>
      <c r="GI314" s="4">
        <f>(K314/25.4)/(N314/25.4)^1.5/0.0024*(M314*145)^0.25/GF314/GG314/145</f>
        <v>424.73403289872925</v>
      </c>
    </row>
    <row r="315" spans="1:191" ht="12" customHeight="1" x14ac:dyDescent="0.3">
      <c r="A315" s="25">
        <v>250</v>
      </c>
      <c r="B315" s="4" t="s">
        <v>605</v>
      </c>
      <c r="C315" s="4">
        <v>2016</v>
      </c>
      <c r="D315" s="4" t="s">
        <v>309</v>
      </c>
      <c r="E315" s="24" t="s">
        <v>664</v>
      </c>
      <c r="F315" s="24"/>
      <c r="G315" s="14">
        <v>18</v>
      </c>
      <c r="H315" s="7" t="s">
        <v>403</v>
      </c>
      <c r="I315" s="5">
        <f>K315/N315</f>
        <v>10.58</v>
      </c>
      <c r="J315" s="38">
        <f>129/0.145</f>
        <v>889.65517241379314</v>
      </c>
      <c r="K315" s="96">
        <f>10.58*25.4</f>
        <v>268.73199999999997</v>
      </c>
      <c r="L315" s="4">
        <f>K315</f>
        <v>268.73199999999997</v>
      </c>
      <c r="M315" s="94">
        <f>8450/145</f>
        <v>58.275862068965516</v>
      </c>
      <c r="N315" s="96">
        <f>1*25.4</f>
        <v>25.4</v>
      </c>
      <c r="O315" s="7">
        <f>K315/N315</f>
        <v>10.58</v>
      </c>
      <c r="P315" s="7">
        <f>L315/N315</f>
        <v>10.58</v>
      </c>
      <c r="Q315" s="38">
        <f>11.9*25.4</f>
        <v>302.26</v>
      </c>
      <c r="R315" s="32">
        <f>S315/N315</f>
        <v>2.4500000000000002</v>
      </c>
      <c r="S315" s="38">
        <f>2.45*25.4</f>
        <v>62.230000000000004</v>
      </c>
      <c r="T315" s="32">
        <f>U315/N315</f>
        <v>2.9999999999999996</v>
      </c>
      <c r="U315" s="39">
        <f>3*25.4</f>
        <v>76.199999999999989</v>
      </c>
      <c r="V315" s="32">
        <f>W315/N315</f>
        <v>2</v>
      </c>
      <c r="W315" s="7">
        <f>(Q315-X315*N315-2*S315)/(X315-1)</f>
        <v>50.8</v>
      </c>
      <c r="X315" s="38">
        <v>3</v>
      </c>
      <c r="Y315" s="7">
        <f>AN315</f>
        <v>0</v>
      </c>
      <c r="Z315" s="32">
        <f>AA315/N315</f>
        <v>10.25</v>
      </c>
      <c r="AA315" s="4">
        <f>10.25*25.4</f>
        <v>260.34999999999997</v>
      </c>
      <c r="AB315" s="7">
        <f>MIN(S315/N315+0.5, W315/2/N315+0.5)</f>
        <v>1.5</v>
      </c>
      <c r="AC315" s="7">
        <f>S315/N315+0.5</f>
        <v>2.95</v>
      </c>
      <c r="AD315" s="38">
        <v>4.0999999999999996</v>
      </c>
      <c r="AE315" s="4">
        <f>AD315</f>
        <v>4.0999999999999996</v>
      </c>
      <c r="AF315" s="4">
        <f>AE315+1</f>
        <v>5.0999999999999996</v>
      </c>
      <c r="AG315" s="7">
        <f>N315*AF315^0.5</f>
        <v>57.361276136431961</v>
      </c>
      <c r="AJ315" s="38">
        <f>AK315/0.145</f>
        <v>478.6206896551725</v>
      </c>
      <c r="AK315" s="4">
        <v>69.400000000000006</v>
      </c>
      <c r="AL315" s="4">
        <f>CY315</f>
        <v>1.0355623876435345</v>
      </c>
      <c r="AM315" s="38">
        <v>0</v>
      </c>
      <c r="AN315" s="38">
        <v>0</v>
      </c>
      <c r="AO315" s="39">
        <f>L315</f>
        <v>268.73199999999997</v>
      </c>
      <c r="AP315" s="39"/>
      <c r="AQ315" s="39"/>
      <c r="AR315" s="7"/>
      <c r="AS315" s="4">
        <f>K315</f>
        <v>268.73199999999997</v>
      </c>
      <c r="AT315" s="4">
        <f>IF(K315*3&gt;W315+N315, Q315, (S315+N315/2)*2+1.5*K315*(2*X315-2))*(3*K315)/(9*K315^2)</f>
        <v>0.37492123503465657</v>
      </c>
      <c r="AU315" s="4">
        <f>MIN(10*M315^0.5*K315^1.5,100*3.9*M315^0.5*K315^(5/3))/(PI()/4*N315^2)/X315</f>
        <v>221.23042849479285</v>
      </c>
      <c r="AV315" s="4">
        <f>MIN(0.7+0.3*(MIN(S315,AA315)+0.5*N315)/1.5/K315,1)</f>
        <v>0.75576559546313793</v>
      </c>
      <c r="AW315" s="4">
        <v>1.25</v>
      </c>
      <c r="AX315" s="4">
        <f>AX314</f>
        <v>2.5</v>
      </c>
      <c r="AY315" s="38">
        <f>AT315*AV315*AW315*AX315*AU315</f>
        <v>195.8944080476719</v>
      </c>
      <c r="AZ315" s="38">
        <f>AY315</f>
        <v>195.8944080476719</v>
      </c>
      <c r="BA315" s="38">
        <f>IF(M315&lt;50, 0.3*M315^(2/3), 2.12*LN(1+0.1*(M315+8)))</f>
        <v>4.3073554520828159</v>
      </c>
      <c r="BB315" s="38">
        <f>AX315* (M315^0.5/AS315^0.5)/(PI()/4*N315^2)/X315/0.72 *(0.7+(MIN(S315,AA315)+0.5*N315)/5/K315) *(3*Q315*K315)</f>
        <v>195.89440804767207</v>
      </c>
      <c r="BC315" s="38">
        <f>AY315/BB315</f>
        <v>0.99999999999999911</v>
      </c>
      <c r="BD315" s="38">
        <f>BH315/BB315</f>
        <v>2.5058318604956216</v>
      </c>
      <c r="BE315" s="4">
        <f>IF(BD315&lt;1,1,0)</f>
        <v>0</v>
      </c>
      <c r="BF315" s="4">
        <f>L315/N315*M315^0.5/0.19</f>
        <v>425.08562627395958</v>
      </c>
      <c r="BG315" s="4">
        <f>MIN(0.6+0.4*(AC315/AB315),2)</f>
        <v>1.3866666666666667</v>
      </c>
      <c r="BH315" s="38">
        <f>2*M315*AB315*AD315^0.5*BG315*0.7/0.7</f>
        <v>490.87844897878659</v>
      </c>
      <c r="BI315" s="4">
        <f>MAX(1-0.7*AE315/5,0.3)</f>
        <v>0.42600000000000005</v>
      </c>
      <c r="BJ315" s="4">
        <f>BI315*J315*L315/(J315*N315/2.75/M315^0.5)</f>
        <v>94.617684124189267</v>
      </c>
      <c r="BK315" s="4">
        <f>BH315+BJ315</f>
        <v>585.49613310297582</v>
      </c>
      <c r="BM315" s="4">
        <f>MIN(1.5, 0.75+0.25*MIN(3,MAX(1,S315/N315))+0.4*MIN(1,(40*2*PI()*AM315^2/4/AO315/X315)/N315))</f>
        <v>1.3625</v>
      </c>
      <c r="BN315" s="4">
        <f>(3*P315+30)*BM315*M315^0.5</f>
        <v>642.16626864963939</v>
      </c>
      <c r="BP315" s="4">
        <f>3.4/PI()^0.5*M315*AB315*AE315^0.5*BG315</f>
        <v>470.81246309324723</v>
      </c>
      <c r="BQ315" s="4">
        <f>8/3*AK315*AI315^2/(AG315-N315-22)/N315*(AG315^2-N315^2)/(AG315^2-(N315+22)^2)</f>
        <v>0</v>
      </c>
      <c r="BR315" s="4">
        <f>BQ315/BP315</f>
        <v>0</v>
      </c>
      <c r="BZ315" s="4">
        <f>IF(W315=0,S315,MIN(W315/2,S315))</f>
        <v>25.4</v>
      </c>
      <c r="CD315" s="9"/>
      <c r="CF315" s="9"/>
      <c r="CG315" s="9"/>
      <c r="CH315" s="9">
        <f>IF(W315=0,MIN(S315,U315),MIN(W315/2,S315,U315))</f>
        <v>25.4</v>
      </c>
      <c r="CI315" s="9">
        <f>MAX(W315/2,S315)</f>
        <v>62.230000000000004</v>
      </c>
      <c r="CJ315" s="9">
        <f>(CH315/N315)^0.5*(CI315/CH315)^0.15</f>
        <v>1.1438653713927442</v>
      </c>
      <c r="CK315" s="70">
        <f>IF(AO315&gt;1,20,0)</f>
        <v>20</v>
      </c>
      <c r="CL315" s="9">
        <f>MIN(PI()*AM315^2/4*AN315*2/X315/N315/MAX(0.01,AO315),0.05)</f>
        <v>0</v>
      </c>
      <c r="CM315" s="9">
        <f>MAX(0,CK315*(CL315-0.5/50))</f>
        <v>0</v>
      </c>
      <c r="CN315" s="9">
        <f>MIN(1,(25/N315)^0.3)</f>
        <v>0.99524931562137331</v>
      </c>
      <c r="CO315" s="9">
        <f>IF(J315&gt;=800,0.68,IF(J315&gt;=700,0.75-(J315-700)*0.07/100,IF(J315&gt;=600,0.85-(J315-600)*0.1/100,IF(J315&gt;=500,1-(J315-500)*0.15/100,1.2-(J315-400)*0.2/100))))</f>
        <v>0.68</v>
      </c>
      <c r="CP315" s="9">
        <f>1.75*CN315*CO315*(M315/25)^0.5</f>
        <v>1.8082280338026815</v>
      </c>
      <c r="CQ315" s="9">
        <f>MIN((CJ315+CM315)*CP315,2.5*CP315,M315^0.5)</f>
        <v>2.0683694314484757</v>
      </c>
      <c r="CR315" s="40">
        <v>1</v>
      </c>
      <c r="CS315" s="9">
        <f>4*CQ315*P315+60*CQ315</f>
        <v>211.63556022580804</v>
      </c>
      <c r="CU315" s="4">
        <f>AJ315/BF315</f>
        <v>1.1259394815356814</v>
      </c>
      <c r="CV315" s="4">
        <f>AJ315/BK315</f>
        <v>0.81746174328873611</v>
      </c>
      <c r="CW315" s="4">
        <f>AJ315/BN315</f>
        <v>0.74532206536108792</v>
      </c>
      <c r="CX315" s="4">
        <f>AJ315/CS315</f>
        <v>2.2615324624297557</v>
      </c>
      <c r="CY315" s="4">
        <f>AJ315/DZ315</f>
        <v>1.0355623876435345</v>
      </c>
      <c r="CZ315" s="4">
        <f>AJ315/EL315</f>
        <v>1.0537522781326267</v>
      </c>
      <c r="DA315" s="4">
        <f>AJ315/GI315</f>
        <v>1.5393668987809279</v>
      </c>
      <c r="DB315" s="4">
        <f>AN315</f>
        <v>0</v>
      </c>
      <c r="DC315" s="4">
        <f>CU315</f>
        <v>1.1259394815356814</v>
      </c>
      <c r="DD315" s="4">
        <f>CV315</f>
        <v>0.81746174328873611</v>
      </c>
      <c r="DE315" s="4">
        <f>CX315</f>
        <v>2.2615324624297557</v>
      </c>
      <c r="DF315" s="4">
        <f>DA315</f>
        <v>1.5393668987809279</v>
      </c>
      <c r="DG315" s="4">
        <f>CY315</f>
        <v>1.0355623876435345</v>
      </c>
      <c r="DH315" s="4">
        <f>CZ315</f>
        <v>1.0537522781326267</v>
      </c>
      <c r="DQ315" s="4">
        <f>L315</f>
        <v>268.73199999999997</v>
      </c>
      <c r="DT315" s="4">
        <f>K315/4/(1-0.3*(M315/30)^0.5)/200000/N315</f>
        <v>2.2728205782291242E-5</v>
      </c>
      <c r="DU315" s="4">
        <f>EP315</f>
        <v>8.1985076193478434</v>
      </c>
      <c r="DV315" s="4">
        <f>EC315*AG315/257/M315/AD315</f>
        <v>0.18299328642128165</v>
      </c>
      <c r="DW315" s="4">
        <f>DU315*DV315^0.4</f>
        <v>4.1563189503887896</v>
      </c>
      <c r="DX315" s="4">
        <f>MIN(DU315, DU315/1.4*(1-DV315^1.4)/(1-DV315))</f>
        <v>6.5027697461111531</v>
      </c>
      <c r="DY315" s="4">
        <f>MAX(DU315/2, (4-DT315*(8*AG315*(DW315-DX315)+6*K315*DX315))/(4+DT315*K315*DU315)*DU315)</f>
        <v>7.664283561396096</v>
      </c>
      <c r="DZ315" s="38">
        <f>MIN(1/N315*(4*AG315*(DW315-DX315)+(3*DX315+DY315)*K315)+EC315 -FJ315,MAX(J315,AJ315))</f>
        <v>462.18431198944364</v>
      </c>
      <c r="EA315" s="4">
        <f>DZ315/FF315</f>
        <v>1.0000949533164578</v>
      </c>
      <c r="EB315" s="4">
        <f>AG315/N315</f>
        <v>2.2583179581272428</v>
      </c>
      <c r="EC315" s="4">
        <f>MIN(EB$10*BB315)</f>
        <v>195.89440804767207</v>
      </c>
      <c r="EG315" s="4">
        <f>IF(U315&gt;1*N315,0.85,1)</f>
        <v>0.85</v>
      </c>
      <c r="EH315" s="4">
        <f>MIN(1,MAX(0.7,(1-0.1*(BZ315-1*N315)/N315)))</f>
        <v>1</v>
      </c>
      <c r="EI315" s="4">
        <f>MIN(1,MAX(0.7,1-0.3*(PI()*AM315^2/4*AQ315*2-0.25*PI()/4*N315^2)/(PI()/4*N315^2)))</f>
        <v>1</v>
      </c>
      <c r="EJ315" s="4">
        <f>IF(EH315*EI315&lt;0.7,0.7,EH315*EI315)</f>
        <v>1</v>
      </c>
      <c r="EL315" s="4">
        <f>MIN(DU315/N315*3*K315+EM315-FJ315,MAX(J315,AJ315))</f>
        <v>454.20607820971429</v>
      </c>
      <c r="EM315" s="25">
        <f>13.3*Q315*K315^0.5*M315^0.5/X315/N315^2*(0.7+S315/5/K315)</f>
        <v>193.98544637161379</v>
      </c>
      <c r="EO315" s="4">
        <f>EG315*EJ315</f>
        <v>0.85</v>
      </c>
      <c r="EP315" s="4">
        <f>IF(N315&lt;22.2,1.1*5*(M315/30)^0.5,IF(N315&gt;=31.8,0.9*5*(M315/30)^0.5,1*5*(M315/30)^0.5))/EG315/EJ315</f>
        <v>8.1985076193478434</v>
      </c>
      <c r="ES315" s="4">
        <f>ET315*N315</f>
        <v>57.361276136431961</v>
      </c>
      <c r="ET315" s="4">
        <f>AF315^0.5</f>
        <v>2.2583179581272428</v>
      </c>
      <c r="EU315" s="4">
        <f>MIN(EC315)/(4700*M315^0.5)/AE315*ES315</f>
        <v>7.6386177124122462E-2</v>
      </c>
      <c r="EX315" s="4">
        <f>EU315</f>
        <v>7.6386177124122462E-2</v>
      </c>
      <c r="EY315" s="4">
        <f>MIN(0.999, EX315/(0.3*(M315/30)^0.5))</f>
        <v>0.18268790473155688</v>
      </c>
      <c r="EZ315" s="4">
        <f>EP315/1*EY315^0.4</f>
        <v>4.1535431114615937</v>
      </c>
      <c r="FA315" s="4">
        <f>EP315/1.4*(1-EY315^1.4)/(1-EY315)</f>
        <v>6.5018924962975211</v>
      </c>
      <c r="FB315" s="4">
        <f>MAX(0,DQ315*FB$9-ES315)</f>
        <v>144.18772386356801</v>
      </c>
      <c r="FC315" s="4">
        <f>MAX(0,DQ315-ES315-FB315)</f>
        <v>67.182999999999993</v>
      </c>
      <c r="FD315" s="4">
        <f>FC315/(1-0.3*(M315/30)^0.5)/200000/N315</f>
        <v>2.2728205782291242E-5</v>
      </c>
      <c r="FE315" s="4">
        <f>MAX(0.5*EP315, (1-2*FD315*(ES315*EZ315+FB315*FA315))/(1/EP315+FD315*FC315))</f>
        <v>7.6643887234118671</v>
      </c>
      <c r="FF315" s="4">
        <f>MIN(4/N315*(1*EZ315*ES315+FA315*FB315+FC315*FE315)+EC315,MAX(J315,AJ315))</f>
        <v>462.14043022292475</v>
      </c>
      <c r="FO315" s="23">
        <f>IF(CU315&lt;0.6,0.6,IF(CU315&lt;0.8,0.8,IF(CU315&lt;1,1,IF(CU315&lt;1.2,1.2,IF(CU315&lt;1.4,1.4,IF(CU315&lt;1.6,1.6,IF(CU315&lt;1.8,1.8,IF(CU315&lt;2,2,2.2))))))))</f>
        <v>1.2</v>
      </c>
      <c r="FP315" s="23">
        <f>IF(CV315&lt;0.6,0.6,IF(CV315&lt;0.8,0.8,IF(CV315&lt;1,1,IF(CV315&lt;1.2,1.2,IF(CV315&lt;1.4,1.4,IF(CV315&lt;1.6,1.6,IF(CV315&lt;1.8,1.8,IF(CV315&lt;2,2,2.2))))))))</f>
        <v>1</v>
      </c>
      <c r="FQ315" s="23">
        <f>IF(DA315&lt;0.6,0.6,IF(DA315&lt;0.8,0.8,IF(DA315&lt;1,1,IF(DA315&lt;1.2,1.2,IF(DA315&lt;1.4,1.4,IF(DA315&lt;1.6,1.6,IF(DA315&lt;1.8,1.8,IF(DA315&lt;2,2,2.2))))))))</f>
        <v>1.6</v>
      </c>
      <c r="FR315" s="23">
        <f>IF(CX315&lt;0.6,0.6,IF(CX315&lt;0.8,0.8,IF(CX315&lt;1,1,IF(CX315&lt;1.2,1.2,IF(CX315&lt;1.4,1.4,IF(CX315&lt;1.6,1.6,IF(CX315&lt;1.8,1.8,IF(CX315&lt;2,2,2.2))))))))</f>
        <v>2.2000000000000002</v>
      </c>
      <c r="FS315" s="23">
        <f>IF(CY315&lt;0.6,0.6,IF(CY315&lt;0.8,0.8,IF(CY315&lt;1,1,IF(CY315&lt;1.2,1.2,IF(CY315&lt;1.4,1.4,IF(CY315&lt;1.6,1.6,IF(CY315&lt;1.8,1.8,IF(CY315&lt;2,2,2.2))))))))</f>
        <v>1.2</v>
      </c>
      <c r="FT315" s="23">
        <f>IF(CZ315&lt;0.6,0.6,IF(CZ315&lt;0.8,0.8,IF(CZ315&lt;1,1,IF(CZ315&lt;1.2,1.2,IF(CZ315&lt;1.4,1.4,IF(CZ315&lt;1.6,1.6,IF(CZ315&lt;1.8,1.8,IF(CZ315&lt;2,2,2.2))))))))</f>
        <v>1.2</v>
      </c>
      <c r="FU315" s="23">
        <f>IF(FS315&lt;1,1,0)</f>
        <v>0</v>
      </c>
      <c r="FV315" s="23"/>
      <c r="GF315" s="4">
        <f>IF(S315&gt;=2.5*25.4,1,1.25)</f>
        <v>1.25</v>
      </c>
      <c r="GG315" s="4">
        <f>IF(AO315&gt;1, 0.05*(18-MIN(8,(W315+N315)/N315))*(1-48000/MAX(60000,(J315*145))*(N315/25.4)^0.75*GH315), 1/12*(14-MIN(8,(W315+N315)/N315)))</f>
        <v>0.75</v>
      </c>
      <c r="GH315" s="4">
        <f>MIN(0.3, AM315^2*PI()/4*2*AP315/(N315^2*PI()/4*X315))</f>
        <v>0</v>
      </c>
      <c r="GI315" s="4">
        <f>(K315/25.4)/(N315/25.4)^1.5/0.0024*(M315*145)^0.25/GF315/GG315/145</f>
        <v>310.92047648562988</v>
      </c>
    </row>
    <row r="316" spans="1:191" ht="12" customHeight="1" x14ac:dyDescent="0.3">
      <c r="A316" s="25">
        <v>248</v>
      </c>
      <c r="B316" s="4" t="s">
        <v>605</v>
      </c>
      <c r="C316" s="4">
        <v>2016</v>
      </c>
      <c r="D316" s="4" t="s">
        <v>309</v>
      </c>
      <c r="E316" s="24" t="s">
        <v>406</v>
      </c>
      <c r="F316" s="24"/>
      <c r="G316" s="14">
        <v>18</v>
      </c>
      <c r="H316" s="7" t="s">
        <v>401</v>
      </c>
      <c r="I316" s="5">
        <f>K316/N316</f>
        <v>10.5</v>
      </c>
      <c r="J316" s="38">
        <f>129/0.145</f>
        <v>889.65517241379314</v>
      </c>
      <c r="K316" s="96">
        <f>10.5*25.4</f>
        <v>266.7</v>
      </c>
      <c r="L316" s="4">
        <f>K316</f>
        <v>266.7</v>
      </c>
      <c r="M316" s="94">
        <f>8450/145</f>
        <v>58.275862068965516</v>
      </c>
      <c r="N316" s="96">
        <f>1*25.4</f>
        <v>25.4</v>
      </c>
      <c r="O316" s="7">
        <f>K316/N316</f>
        <v>10.5</v>
      </c>
      <c r="P316" s="7">
        <f>L316/N316</f>
        <v>10.5</v>
      </c>
      <c r="Q316" s="38">
        <f>16.8*25.4</f>
        <v>426.71999999999997</v>
      </c>
      <c r="R316" s="32">
        <f>S316/N316</f>
        <v>2.4500000000000002</v>
      </c>
      <c r="S316" s="38">
        <f>2.45*25.4</f>
        <v>62.230000000000004</v>
      </c>
      <c r="T316" s="32">
        <f>U316/N316</f>
        <v>3.25</v>
      </c>
      <c r="U316" s="39">
        <f>3.25*25.4</f>
        <v>82.55</v>
      </c>
      <c r="V316" s="32">
        <f>W316/N316</f>
        <v>9.8999999999999986</v>
      </c>
      <c r="W316" s="7">
        <f>(Q316-X316*N316-2*S316)/(X316-1)</f>
        <v>251.45999999999995</v>
      </c>
      <c r="X316" s="38">
        <v>2</v>
      </c>
      <c r="Y316" s="7">
        <f>AN316</f>
        <v>0</v>
      </c>
      <c r="Z316" s="32">
        <f>AA316/N316</f>
        <v>10.25</v>
      </c>
      <c r="AA316" s="4">
        <f>10.25*25.4</f>
        <v>260.34999999999997</v>
      </c>
      <c r="AB316" s="7">
        <f>MIN(S316/N316+0.5, W316/2/N316+0.5)</f>
        <v>2.95</v>
      </c>
      <c r="AC316" s="7">
        <f>S316/N316+0.5</f>
        <v>2.95</v>
      </c>
      <c r="AD316" s="38">
        <v>4.0999999999999996</v>
      </c>
      <c r="AE316" s="4">
        <f>AD316</f>
        <v>4.0999999999999996</v>
      </c>
      <c r="AF316" s="4">
        <f>AE316+1</f>
        <v>5.0999999999999996</v>
      </c>
      <c r="AG316" s="7">
        <f>N316*AF316^0.5</f>
        <v>57.361276136431961</v>
      </c>
      <c r="AJ316" s="38">
        <f>AK316/0.145</f>
        <v>673.10344827586209</v>
      </c>
      <c r="AK316" s="4">
        <v>97.6</v>
      </c>
      <c r="AL316" s="4">
        <f>CY316</f>
        <v>0.89800579941581282</v>
      </c>
      <c r="AM316" s="38">
        <v>0</v>
      </c>
      <c r="AN316" s="38">
        <v>0</v>
      </c>
      <c r="AO316" s="39">
        <f>L316</f>
        <v>266.7</v>
      </c>
      <c r="AP316" s="39"/>
      <c r="AQ316" s="39"/>
      <c r="AR316" s="7"/>
      <c r="AS316" s="4">
        <f>K316</f>
        <v>266.7</v>
      </c>
      <c r="AT316" s="4">
        <f>IF(K316*3&gt;W316+N316, Q316, (S316+N316/2)*2+1.5*K316*(2*X316-2))*(3*K316)/(9*K316^2)</f>
        <v>0.53333333333333321</v>
      </c>
      <c r="AU316" s="4">
        <f>MIN(10*M316^0.5*K316^1.5,100*3.9*M316^0.5*K316^(5/3))/(PI()/4*N316^2)/X316</f>
        <v>328.0889220335178</v>
      </c>
      <c r="AV316" s="4">
        <f>MIN(0.7+0.3*(MIN(S316,AA316)+0.5*N316)/1.5/K316,1)</f>
        <v>0.75619047619047619</v>
      </c>
      <c r="AW316" s="4">
        <v>1.25</v>
      </c>
      <c r="AX316" s="4">
        <f>AX315</f>
        <v>2.5</v>
      </c>
      <c r="AY316" s="38">
        <f>AT316*AV316*AW316*AX316*AU316</f>
        <v>413.49619697557625</v>
      </c>
      <c r="AZ316" s="38">
        <f>AY316</f>
        <v>413.49619697557625</v>
      </c>
      <c r="BA316" s="38">
        <f>IF(M316&lt;50, 0.3*M316^(2/3), 2.12*LN(1+0.1*(M316+8)))</f>
        <v>4.3073554520828159</v>
      </c>
      <c r="BB316" s="38">
        <f>AX316* (M316^0.5/AS316^0.5)/(PI()/4*N316^2)/X316/0.72 *(0.7+(MIN(S316,AA316)+0.5*N316)/5/K316) *(3*Q316*K316)</f>
        <v>413.49619697557631</v>
      </c>
      <c r="BC316" s="38">
        <f>AY316/BB316</f>
        <v>0.99999999999999989</v>
      </c>
      <c r="BD316" s="38">
        <f>BH316/BB316</f>
        <v>1.6836861023789744</v>
      </c>
      <c r="BE316" s="4">
        <f>IF(BD316&lt;1,1,0)</f>
        <v>0</v>
      </c>
      <c r="BF316" s="4">
        <f>L316/N316*M316^0.5/0.19</f>
        <v>421.87136823030016</v>
      </c>
      <c r="BG316" s="4">
        <f>MIN(0.6+0.4*(AC316/AB316),2)</f>
        <v>1</v>
      </c>
      <c r="BH316" s="38">
        <f>2*M316*AB316*AD316^0.5*BG316*0.7/0.7</f>
        <v>696.1978002343368</v>
      </c>
      <c r="BI316" s="4">
        <f>MAX(1-0.7*AE316/5,0.3)</f>
        <v>0.42600000000000005</v>
      </c>
      <c r="BJ316" s="4">
        <f>BI316*J316*L316/(J316*N316/2.75/M316^0.5)</f>
        <v>93.902238497541347</v>
      </c>
      <c r="BK316" s="4">
        <f>BH316+BJ316</f>
        <v>790.10003873187816</v>
      </c>
      <c r="BM316" s="4">
        <f>MIN(1.5, 0.75+0.25*MIN(3,MAX(1,S316/N316))+0.4*MIN(1,(40*2*PI()*AM316^2/4/AO316/X316)/N316))</f>
        <v>1.3625</v>
      </c>
      <c r="BN316" s="4">
        <f>(3*P316+30)*BM316*M316^0.5</f>
        <v>639.66999549648244</v>
      </c>
      <c r="BP316" s="4">
        <f>3.4/PI()^0.5*M316*AB316*AE316^0.5*BG316</f>
        <v>667.73882986782667</v>
      </c>
      <c r="BQ316" s="4">
        <f>8/3*AK316*AI316^2/(AG316-N316-22)/N316*(AG316^2-N316^2)/(AG316^2-(N316+22)^2)</f>
        <v>0</v>
      </c>
      <c r="BR316" s="4">
        <f>BQ316/BP316</f>
        <v>0</v>
      </c>
      <c r="BZ316" s="4">
        <f>IF(W316=0,S316,MIN(W316/2,S316))</f>
        <v>62.230000000000004</v>
      </c>
      <c r="CD316" s="9"/>
      <c r="CF316" s="9"/>
      <c r="CG316" s="9"/>
      <c r="CH316" s="9">
        <f>IF(W316=0,MIN(S316,U316),MIN(W316/2,S316,U316))</f>
        <v>62.230000000000004</v>
      </c>
      <c r="CI316" s="9">
        <f>MAX(W316/2,S316)</f>
        <v>125.72999999999998</v>
      </c>
      <c r="CJ316" s="9">
        <f>(CH316/N316)^0.5*(CI316/CH316)^0.15</f>
        <v>1.7393977716706714</v>
      </c>
      <c r="CK316" s="70">
        <f>IF(AO316&gt;1,20,0)</f>
        <v>20</v>
      </c>
      <c r="CL316" s="9">
        <f>MIN(PI()*AM316^2/4*AN316*2/X316/N316/MAX(0.01,AO316),0.05)</f>
        <v>0</v>
      </c>
      <c r="CM316" s="9">
        <f>MAX(0,CK316*(CL316-0.5/50))</f>
        <v>0</v>
      </c>
      <c r="CN316" s="9">
        <f>MIN(1,(25/N316)^0.3)</f>
        <v>0.99524931562137331</v>
      </c>
      <c r="CO316" s="9">
        <f>IF(J316&gt;=800,0.68,IF(J316&gt;=700,0.75-(J316-700)*0.07/100,IF(J316&gt;=600,0.85-(J316-600)*0.1/100,IF(J316&gt;=500,1-(J316-500)*0.15/100,1.2-(J316-400)*0.2/100))))</f>
        <v>0.68</v>
      </c>
      <c r="CP316" s="9">
        <f>1.75*CN316*CO316*(M316/25)^0.5</f>
        <v>1.8082280338026815</v>
      </c>
      <c r="CQ316" s="9">
        <f>MIN((CJ316+CM316)*CP316,2.5*CP316,M316^0.5)</f>
        <v>3.1452278126688236</v>
      </c>
      <c r="CR316" s="40">
        <v>1</v>
      </c>
      <c r="CS316" s="9">
        <f>4*CQ316*P316+60*CQ316</f>
        <v>320.81323689222</v>
      </c>
      <c r="CU316" s="4">
        <f>AJ316/BF316</f>
        <v>1.5955182052279357</v>
      </c>
      <c r="CV316" s="4">
        <f>AJ316/BK316</f>
        <v>0.85192180139138174</v>
      </c>
      <c r="CW316" s="4">
        <f>AJ316/BN316</f>
        <v>1.0522667203632556</v>
      </c>
      <c r="CX316" s="4">
        <f>AJ316/CS316</f>
        <v>2.0981161961904866</v>
      </c>
      <c r="CY316" s="4">
        <f>AJ316/DZ316</f>
        <v>0.89800579941581282</v>
      </c>
      <c r="CZ316" s="4">
        <f>AJ316/EL316</f>
        <v>0.94606036381909953</v>
      </c>
      <c r="DA316" s="4">
        <f>AJ316/GI316</f>
        <v>1.4542450707802723</v>
      </c>
      <c r="DB316" s="4">
        <f>AN316</f>
        <v>0</v>
      </c>
      <c r="DC316" s="4">
        <f>CU316</f>
        <v>1.5955182052279357</v>
      </c>
      <c r="DD316" s="4">
        <f>CV316</f>
        <v>0.85192180139138174</v>
      </c>
      <c r="DE316" s="4">
        <f>CX316</f>
        <v>2.0981161961904866</v>
      </c>
      <c r="DF316" s="4">
        <f>DA316</f>
        <v>1.4542450707802723</v>
      </c>
      <c r="DG316" s="4">
        <f>CY316</f>
        <v>0.89800579941581282</v>
      </c>
      <c r="DH316" s="4">
        <f>CZ316</f>
        <v>0.94606036381909953</v>
      </c>
      <c r="DQ316" s="4">
        <f>L316</f>
        <v>266.7</v>
      </c>
      <c r="DT316" s="4">
        <f>K316/4/(1-0.3*(M316/30)^0.5)/200000/N316</f>
        <v>2.255634789357827E-5</v>
      </c>
      <c r="DU316" s="4">
        <f>EP316</f>
        <v>9.5888978004068353</v>
      </c>
      <c r="DV316" s="4">
        <f>EC316*AG316/257/M316/AD316</f>
        <v>0.38626435926056812</v>
      </c>
      <c r="DW316" s="4">
        <f>DU316*DV316^0.4</f>
        <v>6.5542430902842153</v>
      </c>
      <c r="DX316" s="4">
        <f>MIN(DU316, DU316/1.4*(1-DV316^1.4)/(1-DV316))</f>
        <v>8.2134331184835929</v>
      </c>
      <c r="DY316" s="4">
        <f>MAX(DU316/2, (4-DT316*(8*AG316*(DW316-DX316)+6*K316*DX316))/(4+DT316*K316*DU316)*DU316)</f>
        <v>8.7925846918253416</v>
      </c>
      <c r="DZ316" s="38">
        <f>MIN(1/N316*(4*AG316*(DW316-DX316)+(3*DX316+DY316)*K316)+EC316 -FJ316,MAX(J316,AJ316))</f>
        <v>749.5535649254623</v>
      </c>
      <c r="EA316" s="4">
        <f>DZ316/FF316</f>
        <v>1.0001020253405035</v>
      </c>
      <c r="EB316" s="4">
        <f>AG316/N316</f>
        <v>2.2583179581272428</v>
      </c>
      <c r="EC316" s="4">
        <f>MIN(EB$10*BB316)</f>
        <v>413.49619697557631</v>
      </c>
      <c r="EG316" s="4">
        <f>IF(U316&gt;1*N316,0.85,1)</f>
        <v>0.85</v>
      </c>
      <c r="EH316" s="4">
        <f>MIN(1,MAX(0.7,(1-0.1*(BZ316-1*N316)/N316)))</f>
        <v>0.85499999999999998</v>
      </c>
      <c r="EI316" s="4">
        <f>MIN(1,MAX(0.7,1-0.3*(PI()*AM316^2/4*AQ316*2-0.25*PI()/4*N316^2)/(PI()/4*N316^2)))</f>
        <v>1</v>
      </c>
      <c r="EJ316" s="4">
        <f>IF(EH316*EI316&lt;0.7,0.7,EH316*EI316)</f>
        <v>0.85499999999999998</v>
      </c>
      <c r="EL316" s="4">
        <f>MIN(DU316/N316*3*K316+EM316-FJ316,MAX(J316,AJ316))</f>
        <v>711.48044460783399</v>
      </c>
      <c r="EM316" s="25">
        <f>13.3*Q316*K316^0.5*M316^0.5/X316/N316^2*(0.7+S316/5/K316)</f>
        <v>409.43016389501861</v>
      </c>
      <c r="EO316" s="4">
        <f>EG316*EJ316</f>
        <v>0.72675000000000001</v>
      </c>
      <c r="EP316" s="4">
        <f>IF(N316&lt;22.2,1.1*5*(M316/30)^0.5,IF(N316&gt;=31.8,0.9*5*(M316/30)^0.5,1*5*(M316/30)^0.5))/EG316/EJ316</f>
        <v>9.5888978004068353</v>
      </c>
      <c r="ES316" s="4">
        <f>ET316*N316</f>
        <v>57.361276136431961</v>
      </c>
      <c r="ET316" s="4">
        <f>AF316^0.5</f>
        <v>2.2583179581272428</v>
      </c>
      <c r="EU316" s="4">
        <f>MIN(EC316)/(4700*M316^0.5)/AE316*ES316</f>
        <v>0.16123683190916255</v>
      </c>
      <c r="EX316" s="4">
        <f>EU316</f>
        <v>0.16123683190916255</v>
      </c>
      <c r="EY316" s="4">
        <f>MIN(0.999, EX316/(0.3*(M316/30)^0.5))</f>
        <v>0.38561975603485255</v>
      </c>
      <c r="EZ316" s="4">
        <f>EP316/1*EY316^0.4</f>
        <v>6.5498657738834565</v>
      </c>
      <c r="FA316" s="4">
        <f>EP316/1.4*(1-EY316^1.4)/(1-EY316)</f>
        <v>8.21169001258904</v>
      </c>
      <c r="FB316" s="4">
        <f>MAX(0,DQ316*FB$9-ES316)</f>
        <v>142.66372386356801</v>
      </c>
      <c r="FC316" s="4">
        <f>MAX(0,DQ316-ES316-FB316)</f>
        <v>66.675000000000011</v>
      </c>
      <c r="FD316" s="4">
        <f>FC316/(1-0.3*(M316/30)^0.5)/200000/N316</f>
        <v>2.2556347893578273E-5</v>
      </c>
      <c r="FE316" s="4">
        <f>MAX(0.5*EP316, (1-2*FD316*(ES316*EZ316+FB316*FA316))/(1/EP316+FD316*FC316))</f>
        <v>8.7927978079198628</v>
      </c>
      <c r="FF316" s="4">
        <f>MIN(4/N316*(1*EZ316*ES316+FA316*FB316+FC316*FE316)+EC316,MAX(J316,AJ316))</f>
        <v>749.47709926920982</v>
      </c>
      <c r="FO316" s="23">
        <f>IF(CU316&lt;0.6,0.6,IF(CU316&lt;0.8,0.8,IF(CU316&lt;1,1,IF(CU316&lt;1.2,1.2,IF(CU316&lt;1.4,1.4,IF(CU316&lt;1.6,1.6,IF(CU316&lt;1.8,1.8,IF(CU316&lt;2,2,2.2))))))))</f>
        <v>1.6</v>
      </c>
      <c r="FP316" s="23">
        <f>IF(CV316&lt;0.6,0.6,IF(CV316&lt;0.8,0.8,IF(CV316&lt;1,1,IF(CV316&lt;1.2,1.2,IF(CV316&lt;1.4,1.4,IF(CV316&lt;1.6,1.6,IF(CV316&lt;1.8,1.8,IF(CV316&lt;2,2,2.2))))))))</f>
        <v>1</v>
      </c>
      <c r="FQ316" s="23">
        <f>IF(DA316&lt;0.6,0.6,IF(DA316&lt;0.8,0.8,IF(DA316&lt;1,1,IF(DA316&lt;1.2,1.2,IF(DA316&lt;1.4,1.4,IF(DA316&lt;1.6,1.6,IF(DA316&lt;1.8,1.8,IF(DA316&lt;2,2,2.2))))))))</f>
        <v>1.6</v>
      </c>
      <c r="FR316" s="23">
        <f>IF(CX316&lt;0.6,0.6,IF(CX316&lt;0.8,0.8,IF(CX316&lt;1,1,IF(CX316&lt;1.2,1.2,IF(CX316&lt;1.4,1.4,IF(CX316&lt;1.6,1.6,IF(CX316&lt;1.8,1.8,IF(CX316&lt;2,2,2.2))))))))</f>
        <v>2.2000000000000002</v>
      </c>
      <c r="FS316" s="23">
        <f>IF(CY316&lt;0.6,0.6,IF(CY316&lt;0.8,0.8,IF(CY316&lt;1,1,IF(CY316&lt;1.2,1.2,IF(CY316&lt;1.4,1.4,IF(CY316&lt;1.6,1.6,IF(CY316&lt;1.8,1.8,IF(CY316&lt;2,2,2.2))))))))</f>
        <v>1</v>
      </c>
      <c r="FT316" s="23">
        <f>IF(CZ316&lt;0.6,0.6,IF(CZ316&lt;0.8,0.8,IF(CZ316&lt;1,1,IF(CZ316&lt;1.2,1.2,IF(CZ316&lt;1.4,1.4,IF(CZ316&lt;1.6,1.6,IF(CZ316&lt;1.8,1.8,IF(CZ316&lt;2,2,2.2))))))))</f>
        <v>1</v>
      </c>
      <c r="FU316" s="23">
        <f>IF(FS316&lt;1,1,0)</f>
        <v>0</v>
      </c>
      <c r="FV316" s="23"/>
      <c r="GF316" s="4">
        <f>IF(S316&gt;=2.5*25.4,1,1.25)</f>
        <v>1.25</v>
      </c>
      <c r="GG316" s="4">
        <f>IF(AO316&gt;1, 0.05*(18-MIN(8,(W316+N316)/N316))*(1-48000/MAX(60000,(J316*145))*(N316/25.4)^0.75*GH316), 1/12*(14-MIN(8,(W316+N316)/N316)))</f>
        <v>0.5</v>
      </c>
      <c r="GH316" s="4">
        <f>MIN(0.3, AM316^2*PI()/4*2*AP316/(N316^2*PI()/4*X316))</f>
        <v>0</v>
      </c>
      <c r="GI316" s="4">
        <f>(K316/25.4)/(N316/25.4)^1.5/0.0024*(M316*145)^0.25/GF316/GG316/145</f>
        <v>462.8542064885321</v>
      </c>
    </row>
    <row r="317" spans="1:191" ht="12" customHeight="1" x14ac:dyDescent="0.3">
      <c r="A317" s="25">
        <v>257</v>
      </c>
      <c r="B317" s="4" t="s">
        <v>605</v>
      </c>
      <c r="C317" s="4">
        <v>2016</v>
      </c>
      <c r="D317" s="4" t="s">
        <v>309</v>
      </c>
      <c r="E317" s="24" t="s">
        <v>664</v>
      </c>
      <c r="F317" s="24"/>
      <c r="G317" s="14">
        <v>18</v>
      </c>
      <c r="H317" s="7" t="s">
        <v>413</v>
      </c>
      <c r="I317" s="5">
        <f>K317/N317</f>
        <v>10.35</v>
      </c>
      <c r="J317" s="38">
        <f>129/0.145</f>
        <v>889.65517241379314</v>
      </c>
      <c r="K317" s="96">
        <f>10.35*25.4</f>
        <v>262.89</v>
      </c>
      <c r="L317" s="4">
        <f>K317</f>
        <v>262.89</v>
      </c>
      <c r="M317" s="94">
        <f>8050/145</f>
        <v>55.517241379310342</v>
      </c>
      <c r="N317" s="96">
        <f>1*25.4</f>
        <v>25.4</v>
      </c>
      <c r="O317" s="7">
        <f>K317/N317</f>
        <v>10.35</v>
      </c>
      <c r="P317" s="7">
        <f>L317/N317</f>
        <v>10.35</v>
      </c>
      <c r="Q317" s="38">
        <f>15.9*25.4</f>
        <v>403.86</v>
      </c>
      <c r="R317" s="32">
        <f>S317/N317</f>
        <v>2.4500000000000002</v>
      </c>
      <c r="S317" s="38">
        <f>2.45*25.4</f>
        <v>62.230000000000004</v>
      </c>
      <c r="T317" s="32">
        <f>U317/N317</f>
        <v>3.3333333333333339</v>
      </c>
      <c r="U317" s="39">
        <f>(3.2+3.3+3.5)/3*25.4</f>
        <v>84.666666666666671</v>
      </c>
      <c r="V317" s="32">
        <f>W317/N317</f>
        <v>4.0000000000000009</v>
      </c>
      <c r="W317" s="7">
        <f>(Q317-X317*N317-2*S317)/(X317-1)</f>
        <v>101.60000000000001</v>
      </c>
      <c r="X317" s="38">
        <v>3</v>
      </c>
      <c r="Y317" s="7">
        <f>AN317</f>
        <v>0</v>
      </c>
      <c r="Z317" s="32">
        <f>AA317/N317</f>
        <v>10.25</v>
      </c>
      <c r="AA317" s="4">
        <f>10.25*25.4</f>
        <v>260.34999999999997</v>
      </c>
      <c r="AB317" s="7">
        <f>MIN(S317/N317+0.5, W317/2/N317+0.5)</f>
        <v>2.5000000000000004</v>
      </c>
      <c r="AC317" s="7">
        <f>S317/N317+0.5</f>
        <v>2.95</v>
      </c>
      <c r="AD317" s="38">
        <v>4.0999999999999996</v>
      </c>
      <c r="AE317" s="4">
        <f>AD317</f>
        <v>4.0999999999999996</v>
      </c>
      <c r="AF317" s="4">
        <f>AE317+1</f>
        <v>5.0999999999999996</v>
      </c>
      <c r="AG317" s="7">
        <f>N317*AF317^0.5</f>
        <v>57.361276136431961</v>
      </c>
      <c r="AJ317" s="38">
        <f>AK317/0.145</f>
        <v>558.62068965517244</v>
      </c>
      <c r="AK317" s="4">
        <v>81</v>
      </c>
      <c r="AL317" s="4">
        <f>CY317</f>
        <v>1.026278911927931</v>
      </c>
      <c r="AM317" s="38">
        <v>0</v>
      </c>
      <c r="AN317" s="38">
        <v>0</v>
      </c>
      <c r="AO317" s="39">
        <f>L317</f>
        <v>262.89</v>
      </c>
      <c r="AP317" s="39"/>
      <c r="AQ317" s="39"/>
      <c r="AR317" s="7"/>
      <c r="AS317" s="4">
        <f>K317</f>
        <v>262.89</v>
      </c>
      <c r="AT317" s="4">
        <f>IF(K317*3&gt;W317+N317, Q317, (S317+N317/2)*2+1.5*K317*(2*X317-2))*(3*K317)/(9*K317^2)</f>
        <v>0.5120772946859905</v>
      </c>
      <c r="AU317" s="4">
        <f>MIN(10*M317^0.5*K317^1.5,100*3.9*M317^0.5*K317^(5/3))/(PI()/4*N317^2)/X317</f>
        <v>208.92791457835131</v>
      </c>
      <c r="AV317" s="4">
        <f>MIN(0.7+0.3*(MIN(S317,AA317)+0.5*N317)/1.5/K317,1)</f>
        <v>0.75700483091787441</v>
      </c>
      <c r="AW317" s="4">
        <v>1.25</v>
      </c>
      <c r="AX317" s="4">
        <f>AX316</f>
        <v>2.5</v>
      </c>
      <c r="AY317" s="38">
        <f>AT317*AV317*AW317*AX317*AU317</f>
        <v>253.09330780249627</v>
      </c>
      <c r="AZ317" s="38">
        <f>AY317</f>
        <v>253.09330780249627</v>
      </c>
      <c r="BA317" s="38">
        <f>IF(M317&lt;50, 0.3*M317^(2/3), 2.12*LN(1+0.1*(M317+8)))</f>
        <v>4.2292619080870573</v>
      </c>
      <c r="BB317" s="38">
        <f>AX317* (M317^0.5/AS317^0.5)/(PI()/4*N317^2)/X317/0.72 *(0.7+(MIN(S317,AA317)+0.5*N317)/5/K317) *(3*Q317*K317)</f>
        <v>253.0933078024959</v>
      </c>
      <c r="BC317" s="38">
        <f>AY317/BB317</f>
        <v>1.0000000000000016</v>
      </c>
      <c r="BD317" s="38">
        <f>BH317/BB317</f>
        <v>2.3806959565383146</v>
      </c>
      <c r="BE317" s="4">
        <f>IF(BD317&lt;1,1,0)</f>
        <v>0</v>
      </c>
      <c r="BF317" s="4">
        <f>L317/N317*M317^0.5/0.19</f>
        <v>405.88283756495929</v>
      </c>
      <c r="BG317" s="4">
        <f>MIN(0.6+0.4*(AC317/AB317),2)</f>
        <v>1.0720000000000001</v>
      </c>
      <c r="BH317" s="38">
        <f>2*M317*AB317*AD317^0.5*BG317*0.7/0.7</f>
        <v>602.53821451230908</v>
      </c>
      <c r="BI317" s="4">
        <f>MAX(1-0.7*AE317/5,0.3)</f>
        <v>0.42600000000000005</v>
      </c>
      <c r="BJ317" s="4">
        <f>BI317*J317*L317/(J317*N317/2.75/M317^0.5)</f>
        <v>90.343431399396465</v>
      </c>
      <c r="BK317" s="4">
        <f>BH317+BJ317</f>
        <v>692.8816459117055</v>
      </c>
      <c r="BM317" s="4">
        <f>MIN(1.5, 0.75+0.25*MIN(3,MAX(1,S317/N317))+0.4*MIN(1,(40*2*PI()*AM317^2/4/AO317/X317)/N317))</f>
        <v>1.3625</v>
      </c>
      <c r="BN317" s="4">
        <f>(3*P317+30)*BM317*M317^0.5</f>
        <v>619.77794589672374</v>
      </c>
      <c r="BP317" s="4">
        <f>3.4/PI()^0.5*M317*AB317*AE317^0.5*BG317</f>
        <v>577.90783333942409</v>
      </c>
      <c r="BQ317" s="4">
        <f>8/3*AH317*AI317^2/(AG317-N317-22)/N317*(AG317^2-N317^2)/(AG317^2-(N317+22)^2)</f>
        <v>0</v>
      </c>
      <c r="BR317" s="4">
        <f>BQ317/BP317</f>
        <v>0</v>
      </c>
      <c r="BZ317" s="4">
        <f>IF(W317=0,S317,MIN(W317/2,S317))</f>
        <v>50.800000000000004</v>
      </c>
      <c r="CD317" s="9"/>
      <c r="CF317" s="9"/>
      <c r="CG317" s="9"/>
      <c r="CH317" s="9">
        <f>IF(W317=0,MIN(S317,U317),MIN(W317/2,S317,U317))</f>
        <v>50.800000000000004</v>
      </c>
      <c r="CI317" s="9">
        <f>MAX(W317/2,S317)</f>
        <v>62.230000000000004</v>
      </c>
      <c r="CJ317" s="9">
        <f>(CH317/N317)^0.5*(CI317/CH317)^0.15</f>
        <v>1.4579257653311168</v>
      </c>
      <c r="CK317" s="70">
        <f>IF(AO317&gt;1,20,0)</f>
        <v>20</v>
      </c>
      <c r="CL317" s="9">
        <f>MIN(PI()*AM317^2/4*AN317*2/X317/N317/MAX(0.01,AO317),0.05)</f>
        <v>0</v>
      </c>
      <c r="CM317" s="9">
        <f>MAX(0,CK317*(CL317-0.5/50))</f>
        <v>0</v>
      </c>
      <c r="CN317" s="9">
        <f>MIN(1,(25/N317)^0.3)</f>
        <v>0.99524931562137331</v>
      </c>
      <c r="CO317" s="9">
        <f>IF(J317&gt;=800,0.68,IF(J317&gt;=700,0.75-(J317-700)*0.07/100,IF(J317&gt;=600,0.85-(J317-600)*0.1/100,IF(J317&gt;=500,1-(J317-500)*0.15/100,1.2-(J317-400)*0.2/100))))</f>
        <v>0.68</v>
      </c>
      <c r="CP317" s="9">
        <f>1.75*CN317*CO317*(M317/25)^0.5</f>
        <v>1.7649108936707618</v>
      </c>
      <c r="CQ317" s="9">
        <f>MIN((CJ317+CM317)*CP317,2.5*CP317,M317^0.5)</f>
        <v>2.5731090653961708</v>
      </c>
      <c r="CR317" s="40">
        <v>1</v>
      </c>
      <c r="CS317" s="9">
        <f>4*CQ317*P317+60*CQ317</f>
        <v>260.91325923117171</v>
      </c>
      <c r="CU317" s="4">
        <f>AJ317/BF317</f>
        <v>1.3763102007627221</v>
      </c>
      <c r="CV317" s="4">
        <f>AJ317/BK317</f>
        <v>0.80622815303489503</v>
      </c>
      <c r="CW317" s="4">
        <f>AJ317/BN317</f>
        <v>0.90132392311400156</v>
      </c>
      <c r="CX317" s="4">
        <f>AJ317/CS317</f>
        <v>2.1410207028238033</v>
      </c>
      <c r="CY317" s="4">
        <f>AJ317/DZ317</f>
        <v>1.026278911927931</v>
      </c>
      <c r="CZ317" s="4">
        <f>AJ317/EL317</f>
        <v>1.0607370982090985</v>
      </c>
      <c r="DA317" s="4">
        <f>AJ317/GI317</f>
        <v>1.6111289830132571</v>
      </c>
      <c r="DB317" s="4">
        <f>AN317</f>
        <v>0</v>
      </c>
      <c r="DC317" s="4">
        <f>CU317</f>
        <v>1.3763102007627221</v>
      </c>
      <c r="DD317" s="4">
        <f>CV317</f>
        <v>0.80622815303489503</v>
      </c>
      <c r="DE317" s="4">
        <f>CX317</f>
        <v>2.1410207028238033</v>
      </c>
      <c r="DF317" s="4">
        <f>DA317</f>
        <v>1.6111289830132571</v>
      </c>
      <c r="DG317" s="4">
        <f>CY317</f>
        <v>1.026278911927931</v>
      </c>
      <c r="DH317" s="4">
        <f>CZ317</f>
        <v>1.0607370982090985</v>
      </c>
      <c r="DQ317" s="4">
        <f>L317</f>
        <v>262.89</v>
      </c>
      <c r="DT317" s="4">
        <f>K317/4/(1-0.3*(M317/30)^0.5)/200000/N317</f>
        <v>2.1857853919995441E-5</v>
      </c>
      <c r="DU317" s="4">
        <f>EP317</f>
        <v>8.8912307388086589</v>
      </c>
      <c r="DV317" s="4">
        <f>EC317*AG317/257/M317/AD317</f>
        <v>0.24817304440791377</v>
      </c>
      <c r="DW317" s="4">
        <f>DU317*DV317^0.4</f>
        <v>5.0917107494561256</v>
      </c>
      <c r="DX317" s="4">
        <f>MIN(DU317, DU317/1.4*(1-DV317^1.4)/(1-DV317))</f>
        <v>7.2467334633868781</v>
      </c>
      <c r="DY317" s="4">
        <f>MAX(DU317/2, (4-DT317*(8*AG317*(DW317-DX317)+6*K317*DX317))/(4+DT317*K317*DU317)*DU317)</f>
        <v>8.2781801676860916</v>
      </c>
      <c r="DZ317" s="38">
        <f>MIN(1/N317*(4*AG317*(DW317-DX317)+(3*DX317+DY317)*K317)+EC317 -FJ317,MAX(J317,AJ317))</f>
        <v>544.31664059604179</v>
      </c>
      <c r="EA317" s="4">
        <f>DZ317/FF317</f>
        <v>1.0001018384037037</v>
      </c>
      <c r="EB317" s="4">
        <f>AG317/N317</f>
        <v>2.2583179581272428</v>
      </c>
      <c r="EC317" s="4">
        <f>MIN(EB$10*BB317)</f>
        <v>253.0933078024959</v>
      </c>
      <c r="EG317" s="4">
        <f>IF(U317&gt;1*N317,0.85,1)</f>
        <v>0.85</v>
      </c>
      <c r="EH317" s="4">
        <f>MIN(1,MAX(0.7,(1-0.1*(BZ317-1*N317)/N317)))</f>
        <v>0.89999999999999991</v>
      </c>
      <c r="EI317" s="4">
        <f>MIN(1,MAX(0.7,1-0.3*(PI()*AM317^2/4*AQ317*2-0.25*PI()/4*N317^2)/(PI()/4*N317^2)))</f>
        <v>1</v>
      </c>
      <c r="EJ317" s="4">
        <f>IF(EH317*EI317&lt;0.7,0.7,EH317*EI317)</f>
        <v>0.89999999999999991</v>
      </c>
      <c r="EL317" s="4">
        <f>MIN(DU317/N317*3*K317+EM317-FJ317,MAX(J317,AJ317))</f>
        <v>526.63444184079435</v>
      </c>
      <c r="EM317" s="25">
        <f>13.3*Q317*K317^0.5*M317^0.5/X317/N317^2*(0.7+S317/5/K317)</f>
        <v>250.56172740078549</v>
      </c>
      <c r="EO317" s="4">
        <f>EG317*EJ317</f>
        <v>0.7649999999999999</v>
      </c>
      <c r="EP317" s="4">
        <f>IF(N317&lt;22.2,1.1*5*(M317/30)^0.5,IF(N317&gt;=31.8,0.9*5*(M317/30)^0.5,1*5*(M317/30)^0.5))/EG317/EJ317</f>
        <v>8.8912307388086589</v>
      </c>
      <c r="ES317" s="4">
        <f>ET317*N317</f>
        <v>57.361276136431961</v>
      </c>
      <c r="ET317" s="4">
        <f>AF317^0.5</f>
        <v>2.2583179581272428</v>
      </c>
      <c r="EU317" s="4">
        <f>MIN(EC317)/(4700*M317^0.5)/AE317*ES317</f>
        <v>0.10111225888764264</v>
      </c>
      <c r="EX317" s="4">
        <f>EU317</f>
        <v>0.10111225888764264</v>
      </c>
      <c r="EY317" s="4">
        <f>MIN(0.999, EX317/(0.3*(M317/30)^0.5))</f>
        <v>0.24775888984996491</v>
      </c>
      <c r="EZ317" s="4">
        <f>EP317/1*EY317^0.4</f>
        <v>5.0883101998175952</v>
      </c>
      <c r="FA317" s="4">
        <f>EP317/1.4*(1-EY317^1.4)/(1-EY317)</f>
        <v>7.2455460561495464</v>
      </c>
      <c r="FB317" s="4">
        <f>MAX(0,DQ317*FB$9-ES317)</f>
        <v>139.80622386356802</v>
      </c>
      <c r="FC317" s="4">
        <f>MAX(0,DQ317-ES317-FB317)</f>
        <v>65.722499999999997</v>
      </c>
      <c r="FD317" s="4">
        <f>FC317/(1-0.3*(M317/30)^0.5)/200000/N317</f>
        <v>2.1857853919995441E-5</v>
      </c>
      <c r="FE317" s="4">
        <f>MAX(0.5*EP317, (1-2*FD317*(ES317*EZ317+FB317*FA317))/(1/EP317+FD317*FC317))</f>
        <v>8.2783187395132902</v>
      </c>
      <c r="FF317" s="4">
        <f>MIN(4/N317*(1*EZ317*ES317+FA317*FB317+FC317*FE317)+EC317,MAX(J317,AJ317))</f>
        <v>544.26121390282003</v>
      </c>
      <c r="FO317" s="23">
        <f>IF(CU317&lt;0.6,0.6,IF(CU317&lt;0.8,0.8,IF(CU317&lt;1,1,IF(CU317&lt;1.2,1.2,IF(CU317&lt;1.4,1.4,IF(CU317&lt;1.6,1.6,IF(CU317&lt;1.8,1.8,IF(CU317&lt;2,2,2.2))))))))</f>
        <v>1.4</v>
      </c>
      <c r="FP317" s="23">
        <f>IF(CV317&lt;0.6,0.6,IF(CV317&lt;0.8,0.8,IF(CV317&lt;1,1,IF(CV317&lt;1.2,1.2,IF(CV317&lt;1.4,1.4,IF(CV317&lt;1.6,1.6,IF(CV317&lt;1.8,1.8,IF(CV317&lt;2,2,2.2))))))))</f>
        <v>1</v>
      </c>
      <c r="FQ317" s="23">
        <f>IF(DA317&lt;0.6,0.6,IF(DA317&lt;0.8,0.8,IF(DA317&lt;1,1,IF(DA317&lt;1.2,1.2,IF(DA317&lt;1.4,1.4,IF(DA317&lt;1.6,1.6,IF(DA317&lt;1.8,1.8,IF(DA317&lt;2,2,2.2))))))))</f>
        <v>1.8</v>
      </c>
      <c r="FR317" s="23">
        <f>IF(CX317&lt;0.6,0.6,IF(CX317&lt;0.8,0.8,IF(CX317&lt;1,1,IF(CX317&lt;1.2,1.2,IF(CX317&lt;1.4,1.4,IF(CX317&lt;1.6,1.6,IF(CX317&lt;1.8,1.8,IF(CX317&lt;2,2,2.2))))))))</f>
        <v>2.2000000000000002</v>
      </c>
      <c r="FS317" s="23">
        <f>IF(CY317&lt;0.6,0.6,IF(CY317&lt;0.8,0.8,IF(CY317&lt;1,1,IF(CY317&lt;1.2,1.2,IF(CY317&lt;1.4,1.4,IF(CY317&lt;1.6,1.6,IF(CY317&lt;1.8,1.8,IF(CY317&lt;2,2,2.2))))))))</f>
        <v>1.2</v>
      </c>
      <c r="FT317" s="23">
        <f>IF(CZ317&lt;0.6,0.6,IF(CZ317&lt;0.8,0.8,IF(CZ317&lt;1,1,IF(CZ317&lt;1.2,1.2,IF(CZ317&lt;1.4,1.4,IF(CZ317&lt;1.6,1.6,IF(CZ317&lt;1.8,1.8,IF(CZ317&lt;2,2,2.2))))))))</f>
        <v>1.2</v>
      </c>
      <c r="FU317" s="23">
        <f>IF(FS317&lt;1,1,0)</f>
        <v>0</v>
      </c>
      <c r="FV317" s="23"/>
      <c r="GF317" s="4">
        <f>IF(S317&gt;=2.5*25.4,1,1.25)</f>
        <v>1.25</v>
      </c>
      <c r="GG317" s="4">
        <f>IF(AO317&gt;1, 0.05*(18-MIN(8,(W317+N317)/N317))*(1-48000/MAX(60000,(J317*145))*(N317/25.4)^0.75*GH317), 1/12*(14-MIN(8,(W317+N317)/N317)))</f>
        <v>0.65</v>
      </c>
      <c r="GH317" s="4">
        <f>MIN(0.3, AM317^2*PI()/4*2*AP317/(N317^2*PI()/4*X317))</f>
        <v>0</v>
      </c>
      <c r="GI317" s="4">
        <f>(K317/25.4)/(N317/25.4)^1.5/0.0024*(M317*145)^0.25/GF317/GG317/145</f>
        <v>346.72623703311274</v>
      </c>
    </row>
    <row r="318" spans="1:191" ht="12" customHeight="1" x14ac:dyDescent="0.3">
      <c r="A318" s="25">
        <v>251</v>
      </c>
      <c r="B318" s="4" t="s">
        <v>605</v>
      </c>
      <c r="C318" s="4">
        <v>2016</v>
      </c>
      <c r="D318" s="4" t="s">
        <v>309</v>
      </c>
      <c r="E318" s="24" t="s">
        <v>664</v>
      </c>
      <c r="F318" s="24"/>
      <c r="G318" s="14">
        <v>18</v>
      </c>
      <c r="H318" s="7" t="s">
        <v>407</v>
      </c>
      <c r="I318" s="5">
        <f>K318/N318</f>
        <v>10.33</v>
      </c>
      <c r="J318" s="38">
        <f>129/0.145</f>
        <v>889.65517241379314</v>
      </c>
      <c r="K318" s="96">
        <f>10.33*25.4</f>
        <v>262.38200000000001</v>
      </c>
      <c r="L318" s="4">
        <f>K318</f>
        <v>262.38200000000001</v>
      </c>
      <c r="M318" s="94">
        <f>8450/145</f>
        <v>58.275862068965516</v>
      </c>
      <c r="N318" s="96">
        <f>1*25.4</f>
        <v>25.4</v>
      </c>
      <c r="O318" s="7">
        <f>K318/N318</f>
        <v>10.33</v>
      </c>
      <c r="P318" s="7">
        <f>L318/N318</f>
        <v>10.33</v>
      </c>
      <c r="Q318" s="38">
        <f>11.8*25.4</f>
        <v>299.72000000000003</v>
      </c>
      <c r="R318" s="32">
        <f>S318/N318</f>
        <v>2.5</v>
      </c>
      <c r="S318" s="38">
        <f>2.5*25.4</f>
        <v>63.5</v>
      </c>
      <c r="T318" s="32">
        <f>U318/N318</f>
        <v>3.2</v>
      </c>
      <c r="U318" s="39">
        <f>3.2*25.4</f>
        <v>81.28</v>
      </c>
      <c r="V318" s="32">
        <f>W318/N318</f>
        <v>1.9000000000000008</v>
      </c>
      <c r="W318" s="7">
        <f>(Q318-X318*N318-2*S318)/(X318-1)</f>
        <v>48.260000000000019</v>
      </c>
      <c r="X318" s="38">
        <v>3</v>
      </c>
      <c r="Y318" s="7">
        <f>AN318</f>
        <v>2</v>
      </c>
      <c r="Z318" s="32">
        <f>AA318/N318</f>
        <v>10.25</v>
      </c>
      <c r="AA318" s="4">
        <f>10.25*25.4</f>
        <v>260.34999999999997</v>
      </c>
      <c r="AB318" s="7">
        <f>MIN(S318/N318+0.5, W318/2/N318+0.5)</f>
        <v>1.4500000000000004</v>
      </c>
      <c r="AC318" s="7">
        <f>S318/N318+0.5</f>
        <v>3</v>
      </c>
      <c r="AD318" s="38">
        <v>4.0999999999999996</v>
      </c>
      <c r="AE318" s="4">
        <f>AD318</f>
        <v>4.0999999999999996</v>
      </c>
      <c r="AF318" s="4">
        <f>AE318+1</f>
        <v>5.0999999999999996</v>
      </c>
      <c r="AG318" s="7">
        <f>N318*AF318^0.5</f>
        <v>57.361276136431961</v>
      </c>
      <c r="AJ318" s="38">
        <f>AK318/0.145</f>
        <v>440.68965517241384</v>
      </c>
      <c r="AK318" s="4">
        <v>63.9</v>
      </c>
      <c r="AL318" s="4">
        <f>CY318</f>
        <v>0.97531366488201143</v>
      </c>
      <c r="AM318" s="38">
        <f>0.375*25.4</f>
        <v>9.5249999999999986</v>
      </c>
      <c r="AN318" s="38">
        <v>2</v>
      </c>
      <c r="AO318" s="39">
        <f>3*25.4</f>
        <v>76.199999999999989</v>
      </c>
      <c r="AP318" s="39">
        <v>2</v>
      </c>
      <c r="AQ318" s="39"/>
      <c r="AR318" s="7"/>
      <c r="AS318" s="4">
        <f>K318</f>
        <v>262.38200000000001</v>
      </c>
      <c r="AT318" s="4">
        <f>IF(K318*3&gt;W318+N318, Q318, (S318+N318/2)*2+1.5*K318*(2*X318-2))*(3*K318)/(9*K318^2)</f>
        <v>0.38076798967408843</v>
      </c>
      <c r="AU318" s="4">
        <f>MIN(10*M318^0.5*K318^1.5,100*3.9*M318^0.5*K318^(5/3))/(PI()/4*N318^2)/X318</f>
        <v>213.43559112635208</v>
      </c>
      <c r="AV318" s="4">
        <f>MIN(0.7+0.3*(MIN(S318,AA318)+0.5*N318)/1.5/K318,1)</f>
        <v>0.75808325266214904</v>
      </c>
      <c r="AW318" s="4">
        <v>1.25</v>
      </c>
      <c r="AX318" s="4">
        <f>AX317</f>
        <v>2.5</v>
      </c>
      <c r="AY318" s="38">
        <f>AT318*AV318*AW318*AX318*AU318</f>
        <v>192.52813169855349</v>
      </c>
      <c r="AZ318" s="38">
        <f>AY318</f>
        <v>192.52813169855349</v>
      </c>
      <c r="BA318" s="38">
        <f>IF(M318&lt;50, 0.3*M318^(2/3), 2.12*LN(1+0.1*(M318+8)))</f>
        <v>4.3073554520828159</v>
      </c>
      <c r="BB318" s="38">
        <f>AX318* (M318^0.5/AS318^0.5)/(PI()/4*N318^2)/X318/0.72 *(0.7+(MIN(S318,AA318)+0.5*N318)/5/K318) *(3*Q318*K318)</f>
        <v>192.52813169855358</v>
      </c>
      <c r="BC318" s="38">
        <f>AY318/BB318</f>
        <v>0.99999999999999956</v>
      </c>
      <c r="BD318" s="38">
        <f>BH318/BB318</f>
        <v>2.5373874047690124</v>
      </c>
      <c r="BE318" s="4">
        <f>IF(BD318&lt;1,1,0)</f>
        <v>0</v>
      </c>
      <c r="BF318" s="4">
        <f>L318/N318*M318^0.5/0.19</f>
        <v>415.04106988752386</v>
      </c>
      <c r="BG318" s="4">
        <f>MIN(0.6+0.4*(AC318/AB318),2)</f>
        <v>1.4275862068965515</v>
      </c>
      <c r="BH318" s="38">
        <f>2*M318*AB318*AD318^0.5*BG318*0.7/0.7</f>
        <v>488.5184564356195</v>
      </c>
      <c r="BI318" s="4">
        <f>MAX(1-0.7*AE318/5,0.3)</f>
        <v>0.42600000000000005</v>
      </c>
      <c r="BJ318" s="4">
        <f>BI318*J318*L318/(J318*N318/2.75/M318^0.5)</f>
        <v>92.381916540914503</v>
      </c>
      <c r="BK318" s="4">
        <f>BH318+BJ318</f>
        <v>580.90037297653396</v>
      </c>
      <c r="BM318" s="4">
        <f>MIN(1.5, 0.75+0.25*MIN(3,MAX(1,S318/N318))+0.4*MIN(1,(40*2*PI()*AM318^2/4/AO318/X318)/N318))</f>
        <v>1.5</v>
      </c>
      <c r="BN318" s="4">
        <f>(3*P318+30)*BM318*M318^0.5</f>
        <v>698.38394316993435</v>
      </c>
      <c r="BP318" s="4">
        <f>3.4/PI()^0.5*M318*AB318*AE318^0.5*BG318</f>
        <v>468.54894163606815</v>
      </c>
      <c r="BQ318" s="4">
        <f>8/3*AH318*AI318^2/(AG318-N318-22)/N318*(AG318^2-N318^2)/(AG318^2-(N318+22)^2)</f>
        <v>0</v>
      </c>
      <c r="BR318" s="4">
        <f>BQ318/BP318</f>
        <v>0</v>
      </c>
      <c r="BZ318" s="4">
        <f>IF(W318=0,S318,MIN(W318/2,S318))</f>
        <v>24.13000000000001</v>
      </c>
      <c r="CD318" s="9"/>
      <c r="CF318" s="9"/>
      <c r="CG318" s="9"/>
      <c r="CH318" s="9">
        <f>IF(W318=0,MIN(S318,U318),MIN(W318/2,S318,U318))</f>
        <v>24.13000000000001</v>
      </c>
      <c r="CI318" s="9">
        <f>MAX(W318/2,S318)</f>
        <v>63.5</v>
      </c>
      <c r="CJ318" s="9">
        <f>(CH318/N318)^0.5*(CI318/CH318)^0.15</f>
        <v>1.1269230529691339</v>
      </c>
      <c r="CK318" s="70">
        <f>IF(AO318&gt;1,20,0)</f>
        <v>20</v>
      </c>
      <c r="CL318" s="9">
        <f>MIN(PI()*AM318^2/4*AN318*2/X318/N318/MAX(0.01,AO318),0.05)</f>
        <v>4.9087385212340517E-2</v>
      </c>
      <c r="CM318" s="9">
        <f>MAX(0,CK318*(CL318-0.5/50))</f>
        <v>0.78174770424681028</v>
      </c>
      <c r="CN318" s="9">
        <f>MIN(1,(25/N318)^0.3)</f>
        <v>0.99524931562137331</v>
      </c>
      <c r="CO318" s="9">
        <f>IF(J318&gt;=800,0.68,IF(J318&gt;=700,0.75-(J318-700)*0.07/100,IF(J318&gt;=600,0.85-(J318-600)*0.1/100,IF(J318&gt;=500,1-(J318-500)*0.15/100,1.2-(J318-400)*0.2/100))))</f>
        <v>0.68</v>
      </c>
      <c r="CP318" s="9">
        <f>1.75*CN318*CO318*(M318/25)^0.5</f>
        <v>1.8082280338026815</v>
      </c>
      <c r="CQ318" s="9">
        <f>MIN((CJ318+CM318)*CP318,2.5*CP318,M318^0.5)</f>
        <v>3.4513119704972617</v>
      </c>
      <c r="CR318" s="40">
        <v>1</v>
      </c>
      <c r="CS318" s="9">
        <f>4*CQ318*P318+60*CQ318</f>
        <v>349.68692885078258</v>
      </c>
      <c r="CU318" s="4">
        <f>AJ318/BF318</f>
        <v>1.0617977042412712</v>
      </c>
      <c r="CV318" s="4">
        <f>AJ318/BK318</f>
        <v>0.7586320747468619</v>
      </c>
      <c r="CW318" s="4">
        <f>AJ318/BN318</f>
        <v>0.63101344107675594</v>
      </c>
      <c r="CX318" s="4">
        <f>AJ318/CS318</f>
        <v>1.2602405718186387</v>
      </c>
      <c r="CY318" s="4">
        <f>AJ318/DZ318</f>
        <v>0.97531366488201143</v>
      </c>
      <c r="CZ318" s="4">
        <f>AJ318/EL318</f>
        <v>0.99104241411838778</v>
      </c>
      <c r="DA318" s="4">
        <f>AJ318/GI318</f>
        <v>1.0875170850034528</v>
      </c>
      <c r="DB318" s="4">
        <f>AN318</f>
        <v>2</v>
      </c>
      <c r="DI318" s="4">
        <f>CU318</f>
        <v>1.0617977042412712</v>
      </c>
      <c r="DJ318" s="4">
        <f>CV318</f>
        <v>0.7586320747468619</v>
      </c>
      <c r="DK318" s="4">
        <f>CX318</f>
        <v>1.2602405718186387</v>
      </c>
      <c r="DL318" s="4">
        <f>DA318</f>
        <v>1.0875170850034528</v>
      </c>
      <c r="DM318" s="4">
        <f>CY318</f>
        <v>0.97531366488201143</v>
      </c>
      <c r="DN318" s="4">
        <f>CZ318</f>
        <v>0.99104241411838778</v>
      </c>
      <c r="DQ318" s="4">
        <f>L318</f>
        <v>262.38200000000001</v>
      </c>
      <c r="DT318" s="4">
        <f>K318/4/(1-0.3*(M318/30)^0.5)/200000/N318</f>
        <v>2.2191149880063189E-5</v>
      </c>
      <c r="DU318" s="4">
        <f>EP318</f>
        <v>8.1985076193478434</v>
      </c>
      <c r="DV318" s="4">
        <f>EC318*AG318/257/M318/AD318</f>
        <v>0.17984870471388795</v>
      </c>
      <c r="DW318" s="4">
        <f>DU318*DV318^0.4</f>
        <v>4.1276012029721132</v>
      </c>
      <c r="DX318" s="4">
        <f>MIN(DU318, DU318/1.4*(1-DV318^1.4)/(1-DV318))</f>
        <v>6.4937181471209255</v>
      </c>
      <c r="DY318" s="4">
        <f>MAX(DU318/2, (4-DT318*(8*AG318*(DW318-DX318)+6*K318*DX318))/(4+DT318*K318*DU318)*DU318)</f>
        <v>7.6911276613412358</v>
      </c>
      <c r="DZ318" s="38">
        <f>MIN(1/N318*(4*AG318*(DW318-DX318)+(3*DX318+DY318)*K318)+EC318 -FJ318,MAX(J318,AJ318))</f>
        <v>451.84402827548433</v>
      </c>
      <c r="EA318" s="4">
        <f>DZ318/FF318</f>
        <v>1.0000949129412946</v>
      </c>
      <c r="EB318" s="4">
        <f>AG318/N318</f>
        <v>2.2583179581272428</v>
      </c>
      <c r="EC318" s="4">
        <f>MIN(EB$10*BB318)</f>
        <v>192.52813169855358</v>
      </c>
      <c r="EG318" s="4">
        <f>IF(U318&gt;1*N318,0.85,1)</f>
        <v>0.85</v>
      </c>
      <c r="EH318" s="4">
        <f>MIN(1,MAX(0.7,(1-0.1*(BZ318-1*N318)/N318)))</f>
        <v>1</v>
      </c>
      <c r="EI318" s="4">
        <f>MIN(1,MAX(0.7,1-0.3*(PI()*AM318^2/4*AQ318*2-0.25*PI()/4*N318^2)/(PI()/4*N318^2)))</f>
        <v>1</v>
      </c>
      <c r="EJ318" s="4">
        <f>IF(EH318*EI318&lt;0.7,0.7,EH318*EI318)</f>
        <v>1</v>
      </c>
      <c r="EL318" s="4">
        <f>MIN(DU318/N318*3*K318+EM318-FJ318,MAX(J318,AJ318))</f>
        <v>444.67285041926573</v>
      </c>
      <c r="EM318" s="25">
        <f>13.3*Q318*K318^0.5*M318^0.5/X318/N318^2*(0.7+S318/5/K318)</f>
        <v>190.60109929567602</v>
      </c>
      <c r="EO318" s="4">
        <f>EG318*EJ318</f>
        <v>0.85</v>
      </c>
      <c r="EP318" s="4">
        <f>IF(N318&lt;22.2,1.1*5*(M318/30)^0.5,IF(N318&gt;=31.8,0.9*5*(M318/30)^0.5,1*5*(M318/30)^0.5))/EG318/EJ318</f>
        <v>8.1985076193478434</v>
      </c>
      <c r="ES318" s="4">
        <f>ET318*N318</f>
        <v>57.361276136431961</v>
      </c>
      <c r="ET318" s="4">
        <f>AF318^0.5</f>
        <v>2.2583179581272428</v>
      </c>
      <c r="EU318" s="4">
        <f>MIN(EC318)/(4700*M318^0.5)/AE318*ES318</f>
        <v>7.5073546590075091E-2</v>
      </c>
      <c r="EX318" s="4">
        <f>EU318</f>
        <v>7.5073546590075091E-2</v>
      </c>
      <c r="EY318" s="4">
        <f>MIN(0.999, EX318/(0.3*(M318/30)^0.5))</f>
        <v>0.17954857074496247</v>
      </c>
      <c r="EZ318" s="4">
        <f>EP318/1*EY318^0.4</f>
        <v>4.1248445434779999</v>
      </c>
      <c r="FA318" s="4">
        <f>EP318/1.4*(1-EY318^1.4)/(1-EY318)</f>
        <v>6.4928520803940772</v>
      </c>
      <c r="FB318" s="4">
        <f>MAX(0,DQ318*FB$9-ES318)</f>
        <v>139.42522386356802</v>
      </c>
      <c r="FC318" s="4">
        <f>MAX(0,DQ318-ES318-FB318)</f>
        <v>65.595500000000015</v>
      </c>
      <c r="FD318" s="4">
        <f>FC318/(1-0.3*(M318/30)^0.5)/200000/N318</f>
        <v>2.2191149880063196E-5</v>
      </c>
      <c r="FE318" s="4">
        <f>MAX(0.5*EP318, (1-2*FD318*(ES318*EZ318+FB318*FA318))/(1/EP318+FD318*FC318))</f>
        <v>7.6912279392271685</v>
      </c>
      <c r="FF318" s="4">
        <f>MIN(4/N318*(1*EZ318*ES318+FA318*FB318+FC318*FE318)+EC318,MAX(J318,AJ318))</f>
        <v>451.80114649978975</v>
      </c>
      <c r="FO318" s="23">
        <f>IF(CU318&lt;0.6,0.6,IF(CU318&lt;0.8,0.8,IF(CU318&lt;1,1,IF(CU318&lt;1.2,1.2,IF(CU318&lt;1.4,1.4,IF(CU318&lt;1.6,1.6,IF(CU318&lt;1.8,1.8,IF(CU318&lt;2,2,2.2))))))))</f>
        <v>1.2</v>
      </c>
      <c r="FP318" s="23">
        <f>IF(CV318&lt;0.6,0.6,IF(CV318&lt;0.8,0.8,IF(CV318&lt;1,1,IF(CV318&lt;1.2,1.2,IF(CV318&lt;1.4,1.4,IF(CV318&lt;1.6,1.6,IF(CV318&lt;1.8,1.8,IF(CV318&lt;2,2,2.2))))))))</f>
        <v>0.8</v>
      </c>
      <c r="FQ318" s="23">
        <f>IF(DA318&lt;0.6,0.6,IF(DA318&lt;0.8,0.8,IF(DA318&lt;1,1,IF(DA318&lt;1.2,1.2,IF(DA318&lt;1.4,1.4,IF(DA318&lt;1.6,1.6,IF(DA318&lt;1.8,1.8,IF(DA318&lt;2,2,2.2))))))))</f>
        <v>1.2</v>
      </c>
      <c r="FR318" s="23">
        <f>IF(CX318&lt;0.6,0.6,IF(CX318&lt;0.8,0.8,IF(CX318&lt;1,1,IF(CX318&lt;1.2,1.2,IF(CX318&lt;1.4,1.4,IF(CX318&lt;1.6,1.6,IF(CX318&lt;1.8,1.8,IF(CX318&lt;2,2,2.2))))))))</f>
        <v>1.4</v>
      </c>
      <c r="FS318" s="23">
        <f>IF(CY318&lt;0.6,0.6,IF(CY318&lt;0.8,0.8,IF(CY318&lt;1,1,IF(CY318&lt;1.2,1.2,IF(CY318&lt;1.4,1.4,IF(CY318&lt;1.6,1.6,IF(CY318&lt;1.8,1.8,IF(CY318&lt;2,2,2.2))))))))</f>
        <v>1</v>
      </c>
      <c r="FT318" s="23">
        <f>IF(CZ318&lt;0.6,0.6,IF(CZ318&lt;0.8,0.8,IF(CZ318&lt;1,1,IF(CZ318&lt;1.2,1.2,IF(CZ318&lt;1.4,1.4,IF(CZ318&lt;1.6,1.6,IF(CZ318&lt;1.8,1.8,IF(CZ318&lt;2,2,2.2))))))))</f>
        <v>1</v>
      </c>
      <c r="FU318" s="23">
        <f>IF(FS318&lt;1,1,0)</f>
        <v>0</v>
      </c>
      <c r="FV318" s="23"/>
      <c r="GF318" s="4">
        <f>IF(S318&gt;=2.5*25.4,1,1.25)</f>
        <v>1</v>
      </c>
      <c r="GG318" s="4">
        <f>IF(AO318&gt;1, 0.05*(18-MIN(8,(W318+N318)/N318))*(1-48000/MAX(60000,(J318*145))*(N318/25.4)^0.75*GH318), 1/12*(14-MIN(8,(W318+N318)/N318)))</f>
        <v>0.70232558139534873</v>
      </c>
      <c r="GH318" s="4">
        <f>MIN(0.3, AM318^2*PI()/4*2*AP318/(N318^2*PI()/4*X318))</f>
        <v>0.18749999999999997</v>
      </c>
      <c r="GI318" s="4">
        <f>(K318/25.4)/(N318/25.4)^1.5/0.0024*(M318*145)^0.25/GF318/GG318/145</f>
        <v>405.2255005915743</v>
      </c>
    </row>
    <row r="319" spans="1:191" ht="12" customHeight="1" x14ac:dyDescent="0.3">
      <c r="A319" s="25">
        <v>256</v>
      </c>
      <c r="B319" s="4" t="s">
        <v>605</v>
      </c>
      <c r="C319" s="4">
        <v>2016</v>
      </c>
      <c r="D319" s="4" t="s">
        <v>309</v>
      </c>
      <c r="E319" s="24" t="s">
        <v>664</v>
      </c>
      <c r="F319" s="24"/>
      <c r="G319" s="14">
        <v>18</v>
      </c>
      <c r="H319" s="7" t="s">
        <v>412</v>
      </c>
      <c r="I319" s="5">
        <f>K319/N319</f>
        <v>10.33</v>
      </c>
      <c r="J319" s="38">
        <f>129/0.145</f>
        <v>889.65517241379314</v>
      </c>
      <c r="K319" s="96">
        <f>10.33*25.4</f>
        <v>262.38200000000001</v>
      </c>
      <c r="L319" s="4">
        <f>K319</f>
        <v>262.38200000000001</v>
      </c>
      <c r="M319" s="94">
        <f>8050/145</f>
        <v>55.517241379310342</v>
      </c>
      <c r="N319" s="96">
        <f>1*25.4</f>
        <v>25.4</v>
      </c>
      <c r="O319" s="7">
        <f>K319/N319</f>
        <v>10.33</v>
      </c>
      <c r="P319" s="7">
        <f>L319/N319</f>
        <v>10.33</v>
      </c>
      <c r="Q319" s="38">
        <f>14.3*25.4</f>
        <v>363.21999999999997</v>
      </c>
      <c r="R319" s="32">
        <f>S319/N319</f>
        <v>2.5</v>
      </c>
      <c r="S319" s="38">
        <f>2.5*25.4</f>
        <v>63.5</v>
      </c>
      <c r="T319" s="32">
        <f>U319/N319</f>
        <v>3.4333333333333336</v>
      </c>
      <c r="U319" s="39">
        <f>(3.8+3+3.5)/3*25.4</f>
        <v>87.206666666666663</v>
      </c>
      <c r="V319" s="32">
        <f>W319/N319</f>
        <v>3.15</v>
      </c>
      <c r="W319" s="7">
        <f>(Q319-X319*N319-2*S319)/(X319-1)</f>
        <v>80.009999999999991</v>
      </c>
      <c r="X319" s="38">
        <v>3</v>
      </c>
      <c r="Y319" s="7">
        <f>AN319</f>
        <v>4</v>
      </c>
      <c r="Z319" s="32">
        <f>AA319/N319</f>
        <v>10.25</v>
      </c>
      <c r="AA319" s="4">
        <f>10.25*25.4</f>
        <v>260.34999999999997</v>
      </c>
      <c r="AB319" s="7">
        <f>MIN(S319/N319+0.5, W319/2/N319+0.5)</f>
        <v>2.0750000000000002</v>
      </c>
      <c r="AC319" s="7">
        <f>S319/N319+0.5</f>
        <v>3</v>
      </c>
      <c r="AD319" s="38">
        <v>4.0999999999999996</v>
      </c>
      <c r="AE319" s="4">
        <f>AD319</f>
        <v>4.0999999999999996</v>
      </c>
      <c r="AF319" s="4">
        <f>AE319+1</f>
        <v>5.0999999999999996</v>
      </c>
      <c r="AG319" s="7">
        <f>N319*AF319^0.5</f>
        <v>57.361276136431961</v>
      </c>
      <c r="AJ319" s="38">
        <f>AK319/0.145</f>
        <v>609.65517241379314</v>
      </c>
      <c r="AK319" s="4">
        <v>88.4</v>
      </c>
      <c r="AL319" s="4">
        <f>CY319</f>
        <v>1.2076437156812905</v>
      </c>
      <c r="AM319" s="38">
        <f>0.375*25.4</f>
        <v>9.5249999999999986</v>
      </c>
      <c r="AN319" s="38">
        <v>4</v>
      </c>
      <c r="AO319" s="39">
        <f>5*25.4</f>
        <v>127</v>
      </c>
      <c r="AP319" s="39">
        <f>2+2</f>
        <v>4</v>
      </c>
      <c r="AQ319" s="39">
        <v>1</v>
      </c>
      <c r="AR319" s="7"/>
      <c r="AS319" s="4">
        <f>K319</f>
        <v>262.38200000000001</v>
      </c>
      <c r="AT319" s="4">
        <f>IF(K319*3&gt;W319+N319, Q319, (S319+N319/2)*2+1.5*K319*(2*X319-2))*(3*K319)/(9*K319^2)</f>
        <v>0.46143917392707318</v>
      </c>
      <c r="AU319" s="4">
        <f>MIN(10*M319^0.5*K319^1.5,100*3.9*M319^0.5*K319^(5/3))/(PI()/4*N319^2)/X319</f>
        <v>208.32261906910756</v>
      </c>
      <c r="AV319" s="4">
        <f>MIN(0.7+0.3*(MIN(S319,AA319)+0.5*N319)/1.5/K319,1)</f>
        <v>0.75808325266214904</v>
      </c>
      <c r="AW319" s="4">
        <v>1.25</v>
      </c>
      <c r="AX319" s="4">
        <f>AX318</f>
        <v>2.5</v>
      </c>
      <c r="AY319" s="38">
        <f>AT319*AV319*AW319*AX319*AU319</f>
        <v>227.72872377563311</v>
      </c>
      <c r="AZ319" s="38">
        <f>AY319</f>
        <v>227.72872377563311</v>
      </c>
      <c r="BA319" s="38">
        <f>IF(M319&lt;50, 0.3*M319^(2/3), 2.12*LN(1+0.1*(M319+8)))</f>
        <v>4.2292619080870573</v>
      </c>
      <c r="BB319" s="38">
        <f>AX319* (M319^0.5/AS319^0.5)/(PI()/4*N319^2)/X319/0.72 *(0.7+(MIN(S319,AA319)+0.5*N319)/5/K319) *(3*Q319*K319)</f>
        <v>227.72872377563314</v>
      </c>
      <c r="BC319" s="38">
        <f>AY319/BB319</f>
        <v>0.99999999999999989</v>
      </c>
      <c r="BD319" s="38">
        <f>BH319/BB319</f>
        <v>2.4138531924417204</v>
      </c>
      <c r="BE319" s="4">
        <f>IF(BD319&lt;1,1,0)</f>
        <v>0</v>
      </c>
      <c r="BF319" s="4">
        <f>L319/N319*M319^0.5/0.19</f>
        <v>405.09852290299807</v>
      </c>
      <c r="BG319" s="4">
        <f>MIN(0.6+0.4*(AC319/AB319),2)</f>
        <v>1.1783132530120481</v>
      </c>
      <c r="BH319" s="38">
        <f>2*M319*AB319*AD319^0.5*BG319*0.7/0.7</f>
        <v>549.70370689649076</v>
      </c>
      <c r="BI319" s="4">
        <f>MAX(1-0.7*AE319/5,0.3)</f>
        <v>0.42600000000000005</v>
      </c>
      <c r="BJ319" s="4">
        <f>BI319*J319*L319/(J319*N319/2.75/M319^0.5)</f>
        <v>90.168854720363839</v>
      </c>
      <c r="BK319" s="4">
        <f>BH319+BJ319</f>
        <v>639.87256161685457</v>
      </c>
      <c r="BM319" s="4">
        <f>MIN(1.5, 0.75+0.25*MIN(3,MAX(1,S319/N319))+0.4*MIN(1,(40*2*PI()*AM319^2/4/AO319/X319)/N319))</f>
        <v>1.5</v>
      </c>
      <c r="BN319" s="4">
        <f>(3*P319+30)*BM319*M319^0.5</f>
        <v>681.65375507050805</v>
      </c>
      <c r="BP319" s="4">
        <f>3.4/PI()^0.5*M319*AB319*AE319^0.5*BG319</f>
        <v>527.23307929660132</v>
      </c>
      <c r="BQ319" s="4">
        <f>8/3*AH319*AI319^2/(AG319-N319-22)/N319*(AG319^2-N319^2)/(AG319^2-(N319+22)^2)</f>
        <v>0</v>
      </c>
      <c r="BR319" s="4">
        <f>BQ319/BP319</f>
        <v>0</v>
      </c>
      <c r="BZ319" s="4">
        <f>IF(W319=0,S319,MIN(W319/2,S319))</f>
        <v>40.004999999999995</v>
      </c>
      <c r="CD319" s="9"/>
      <c r="CF319" s="9"/>
      <c r="CG319" s="9"/>
      <c r="CH319" s="9">
        <f>IF(W319=0,MIN(S319,U319),MIN(W319/2,S319,U319))</f>
        <v>40.004999999999995</v>
      </c>
      <c r="CI319" s="9">
        <f>MAX(W319/2,S319)</f>
        <v>63.5</v>
      </c>
      <c r="CJ319" s="9">
        <f>(CH319/N319)^0.5*(CI319/CH319)^0.15</f>
        <v>1.3450523780427719</v>
      </c>
      <c r="CK319" s="70">
        <f>IF(AO319&gt;1,20,0)</f>
        <v>20</v>
      </c>
      <c r="CL319" s="9">
        <f>MIN(PI()*AM319^2/4*AN319*2/X319/N319/MAX(0.01,AO319),0.05)</f>
        <v>0.05</v>
      </c>
      <c r="CM319" s="9">
        <f>MAX(0,CK319*(CL319-0.5/50))</f>
        <v>0.8</v>
      </c>
      <c r="CN319" s="9">
        <f>MIN(1,(25/N319)^0.3)</f>
        <v>0.99524931562137331</v>
      </c>
      <c r="CO319" s="9">
        <f>IF(J319&gt;=800,0.68,IF(J319&gt;=700,0.75-(J319-700)*0.07/100,IF(J319&gt;=600,0.85-(J319-600)*0.1/100,IF(J319&gt;=500,1-(J319-500)*0.15/100,1.2-(J319-400)*0.2/100))))</f>
        <v>0.68</v>
      </c>
      <c r="CP319" s="9">
        <f>1.75*CN319*CO319*(M319/25)^0.5</f>
        <v>1.7649108936707618</v>
      </c>
      <c r="CQ319" s="9">
        <f>MIN((CJ319+CM319)*CP319,2.5*CP319,M319^0.5)</f>
        <v>3.7858263095020614</v>
      </c>
      <c r="CR319" s="40">
        <v>1</v>
      </c>
      <c r="CS319" s="9">
        <f>4*CQ319*P319+60*CQ319</f>
        <v>383.57992167874886</v>
      </c>
      <c r="CU319" s="4">
        <f>AJ319/BF319</f>
        <v>1.5049553082665195</v>
      </c>
      <c r="CV319" s="4">
        <f>AJ319/BK319</f>
        <v>0.95277592599578431</v>
      </c>
      <c r="CW319" s="4">
        <f>AJ319/BN319</f>
        <v>0.89437660671396491</v>
      </c>
      <c r="CX319" s="4">
        <f>AJ319/CS319</f>
        <v>1.5893823893222023</v>
      </c>
      <c r="CY319" s="4">
        <f>AJ319/DZ319</f>
        <v>1.2076437156812905</v>
      </c>
      <c r="CZ319" s="4">
        <f>AJ319/EL319</f>
        <v>1.2415241895472264</v>
      </c>
      <c r="DA319" s="4">
        <f>AJ319/GI319</f>
        <v>1.3339172849165912</v>
      </c>
      <c r="DB319" s="4">
        <f>AN319</f>
        <v>4</v>
      </c>
      <c r="DI319" s="4">
        <f>CU319</f>
        <v>1.5049553082665195</v>
      </c>
      <c r="DJ319" s="4">
        <f>CV319</f>
        <v>0.95277592599578431</v>
      </c>
      <c r="DK319" s="4">
        <f>CX319</f>
        <v>1.5893823893222023</v>
      </c>
      <c r="DL319" s="4">
        <f>DA319</f>
        <v>1.3339172849165912</v>
      </c>
      <c r="DM319" s="4">
        <f>CY319</f>
        <v>1.2076437156812905</v>
      </c>
      <c r="DN319" s="4">
        <f>CZ319</f>
        <v>1.2415241895472264</v>
      </c>
      <c r="DQ319" s="4">
        <f>L319</f>
        <v>262.38200000000001</v>
      </c>
      <c r="DT319" s="4">
        <f>K319/4/(1-0.3*(M319/30)^0.5)/200000/N319</f>
        <v>2.1815616521116227E-5</v>
      </c>
      <c r="DU319" s="4">
        <f>EP319</f>
        <v>8.5706497511547859</v>
      </c>
      <c r="DV319" s="4">
        <f>EC319*AG319/257/M319/AD319</f>
        <v>0.22330156087189282</v>
      </c>
      <c r="DW319" s="4">
        <f>DU319*DV319^0.4</f>
        <v>4.7051172574974487</v>
      </c>
      <c r="DX319" s="4">
        <f>MIN(DU319, DU319/1.4*(1-DV319^1.4)/(1-DV319))</f>
        <v>6.9157100883065903</v>
      </c>
      <c r="DY319" s="4">
        <f>MAX(DU319/2, (4-DT319*(8*AG319*(DW319-DX319)+6*K319*DX319))/(4+DT319*K319*DU319)*DU319)</f>
        <v>8.0109035794534709</v>
      </c>
      <c r="DZ319" s="38">
        <f>MIN(1/N319*(4*AG319*(DW319-DX319)+(3*DX319+DY319)*K319)+EC319 -FJ319,MAX(J319,AJ319))</f>
        <v>504.83032743631429</v>
      </c>
      <c r="EA319" s="4">
        <f>DZ319/FF319</f>
        <v>1.0000998978203688</v>
      </c>
      <c r="EB319" s="4">
        <f>AG319/N319</f>
        <v>2.2583179581272428</v>
      </c>
      <c r="EC319" s="4">
        <f>MIN(EB$10*BB319)</f>
        <v>227.72872377563314</v>
      </c>
      <c r="EG319" s="4">
        <f>IF(U319&gt;1*N319,0.85,1)</f>
        <v>0.85</v>
      </c>
      <c r="EH319" s="4">
        <f>MIN(1,MAX(0.7,(1-0.1*(BZ319-1*N319)/N319)))</f>
        <v>0.9425</v>
      </c>
      <c r="EI319" s="4">
        <f>MIN(1,MAX(0.7,1-0.3*(PI()*AM319^2/4*AQ319*2-0.25*PI()/4*N319^2)/(PI()/4*N319^2)))</f>
        <v>0.99062499999999998</v>
      </c>
      <c r="EJ319" s="4">
        <f>IF(EH319*EI319&lt;0.7,0.7,EH319*EI319)</f>
        <v>0.9336640625</v>
      </c>
      <c r="EL319" s="4">
        <f>MIN(DU319/N319*3*K319+EM319-FJ319,MAX(J319,AJ319))</f>
        <v>491.05380108311005</v>
      </c>
      <c r="EM319" s="25">
        <f>13.3*Q319*K319^0.5*M319^0.5/X319/N319^2*(0.7+S319/5/K319)</f>
        <v>225.44936529482322</v>
      </c>
      <c r="EO319" s="4">
        <f>EG319*EJ319</f>
        <v>0.79361445312500001</v>
      </c>
      <c r="EP319" s="4">
        <f>IF(N319&lt;22.2,1.1*5*(M319/30)^0.5,IF(N319&gt;=31.8,0.9*5*(M319/30)^0.5,1*5*(M319/30)^0.5))/EG319/EJ319</f>
        <v>8.5706497511547859</v>
      </c>
      <c r="ES319" s="4">
        <f>ET319*N319</f>
        <v>57.361276136431961</v>
      </c>
      <c r="ET319" s="4">
        <f>AF319^0.5</f>
        <v>2.2583179581272428</v>
      </c>
      <c r="EU319" s="4">
        <f>MIN(EC319)/(4700*M319^0.5)/AE319*ES319</f>
        <v>9.097895900322657E-2</v>
      </c>
      <c r="EX319" s="4">
        <f>EU319</f>
        <v>9.097895900322657E-2</v>
      </c>
      <c r="EY319" s="4">
        <f>MIN(0.999, EX319/(0.3*(M319/30)^0.5))</f>
        <v>0.22292891218455113</v>
      </c>
      <c r="EZ319" s="4">
        <f>EP319/1*EY319^0.4</f>
        <v>4.7019748981654814</v>
      </c>
      <c r="FA319" s="4">
        <f>EP319/1.4*(1-EY319^1.4)/(1-EY319)</f>
        <v>6.9146492330903513</v>
      </c>
      <c r="FB319" s="4">
        <f>MAX(0,DQ319*FB$9-ES319)</f>
        <v>139.42522386356802</v>
      </c>
      <c r="FC319" s="4">
        <f>MAX(0,DQ319-ES319-FB319)</f>
        <v>65.595500000000015</v>
      </c>
      <c r="FD319" s="4">
        <f>FC319/(1-0.3*(M319/30)^0.5)/200000/N319</f>
        <v>2.1815616521116233E-5</v>
      </c>
      <c r="FE319" s="4">
        <f>MAX(0.5*EP319, (1-2*FD319*(ES319*EZ319+FB319*FA319))/(1/EP319+FD319*FC319))</f>
        <v>8.0110248073112391</v>
      </c>
      <c r="FF319" s="4">
        <f>MIN(4/N319*(1*EZ319*ES319+FA319*FB319+FC319*FE319)+EC319,MAX(J319,AJ319))</f>
        <v>504.77990102443596</v>
      </c>
      <c r="FO319" s="23">
        <f>IF(CU319&lt;0.6,0.6,IF(CU319&lt;0.8,0.8,IF(CU319&lt;1,1,IF(CU319&lt;1.2,1.2,IF(CU319&lt;1.4,1.4,IF(CU319&lt;1.6,1.6,IF(CU319&lt;1.8,1.8,IF(CU319&lt;2,2,2.2))))))))</f>
        <v>1.6</v>
      </c>
      <c r="FP319" s="23">
        <f>IF(CV319&lt;0.6,0.6,IF(CV319&lt;0.8,0.8,IF(CV319&lt;1,1,IF(CV319&lt;1.2,1.2,IF(CV319&lt;1.4,1.4,IF(CV319&lt;1.6,1.6,IF(CV319&lt;1.8,1.8,IF(CV319&lt;2,2,2.2))))))))</f>
        <v>1</v>
      </c>
      <c r="FQ319" s="23">
        <f>IF(DA319&lt;0.6,0.6,IF(DA319&lt;0.8,0.8,IF(DA319&lt;1,1,IF(DA319&lt;1.2,1.2,IF(DA319&lt;1.4,1.4,IF(DA319&lt;1.6,1.6,IF(DA319&lt;1.8,1.8,IF(DA319&lt;2,2,2.2))))))))</f>
        <v>1.4</v>
      </c>
      <c r="FR319" s="23">
        <f>IF(CX319&lt;0.6,0.6,IF(CX319&lt;0.8,0.8,IF(CX319&lt;1,1,IF(CX319&lt;1.2,1.2,IF(CX319&lt;1.4,1.4,IF(CX319&lt;1.6,1.6,IF(CX319&lt;1.8,1.8,IF(CX319&lt;2,2,2.2))))))))</f>
        <v>1.6</v>
      </c>
      <c r="FS319" s="23">
        <f>IF(CY319&lt;0.6,0.6,IF(CY319&lt;0.8,0.8,IF(CY319&lt;1,1,IF(CY319&lt;1.2,1.2,IF(CY319&lt;1.4,1.4,IF(CY319&lt;1.6,1.6,IF(CY319&lt;1.8,1.8,IF(CY319&lt;2,2,2.2))))))))</f>
        <v>1.4</v>
      </c>
      <c r="FT319" s="23">
        <f>IF(CZ319&lt;0.6,0.6,IF(CZ319&lt;0.8,0.8,IF(CZ319&lt;1,1,IF(CZ319&lt;1.2,1.2,IF(CZ319&lt;1.4,1.4,IF(CZ319&lt;1.6,1.6,IF(CZ319&lt;1.8,1.8,IF(CZ319&lt;2,2,2.2))))))))</f>
        <v>1.4</v>
      </c>
      <c r="FU319" s="23">
        <f>IF(FS319&lt;1,1,0)</f>
        <v>0</v>
      </c>
      <c r="FV319" s="23"/>
      <c r="GF319" s="4">
        <f>IF(S319&gt;=2.5*25.4,1,1.25)</f>
        <v>1</v>
      </c>
      <c r="GG319" s="4">
        <f>IF(AO319&gt;1, 0.05*(18-MIN(8,(W319+N319)/N319))*(1-48000/MAX(60000,(J319*145))*(N319/25.4)^0.75*GH319), 1/12*(14-MIN(8,(W319+N319)/N319)))</f>
        <v>0.61519767441860462</v>
      </c>
      <c r="GH319" s="4">
        <f>MIN(0.3, AM319^2*PI()/4*2*AP319/(N319^2*PI()/4*X319))</f>
        <v>0.3</v>
      </c>
      <c r="GI319" s="4">
        <f>(K319/25.4)/(N319/25.4)^1.5/0.0024*(M319*145)^0.25/GF319/GG319/145</f>
        <v>457.04121185588684</v>
      </c>
    </row>
    <row r="320" spans="1:191" ht="12" customHeight="1" x14ac:dyDescent="0.3">
      <c r="A320" s="25">
        <v>253</v>
      </c>
      <c r="B320" s="4" t="s">
        <v>605</v>
      </c>
      <c r="C320" s="4">
        <v>2016</v>
      </c>
      <c r="D320" s="4" t="s">
        <v>309</v>
      </c>
      <c r="E320" s="24" t="s">
        <v>664</v>
      </c>
      <c r="F320" s="24"/>
      <c r="G320" s="14">
        <v>18</v>
      </c>
      <c r="H320" s="7" t="s">
        <v>409</v>
      </c>
      <c r="I320" s="5">
        <f>K320/N320</f>
        <v>10.29</v>
      </c>
      <c r="J320" s="38">
        <f>129/0.145</f>
        <v>889.65517241379314</v>
      </c>
      <c r="K320" s="96">
        <f>10.29*25.4</f>
        <v>261.36599999999999</v>
      </c>
      <c r="L320" s="4">
        <f>K320</f>
        <v>261.36599999999999</v>
      </c>
      <c r="M320" s="94">
        <f>8260/145</f>
        <v>56.96551724137931</v>
      </c>
      <c r="N320" s="96">
        <f>1*25.4</f>
        <v>25.4</v>
      </c>
      <c r="O320" s="7">
        <f>K320/N320</f>
        <v>10.29</v>
      </c>
      <c r="P320" s="7">
        <f>L320/N320</f>
        <v>10.29</v>
      </c>
      <c r="Q320" s="38">
        <f>12.1*25.4</f>
        <v>307.33999999999997</v>
      </c>
      <c r="R320" s="32">
        <f>S320/N320</f>
        <v>2.5499999999999998</v>
      </c>
      <c r="S320" s="38">
        <f>2.55*25.4</f>
        <v>64.77</v>
      </c>
      <c r="T320" s="32">
        <f>U320/N320</f>
        <v>2.7333333333333329</v>
      </c>
      <c r="U320" s="39">
        <f>(2.8+2.9+2.5)/3*25.4</f>
        <v>69.426666666666648</v>
      </c>
      <c r="V320" s="32">
        <f>W320/N320</f>
        <v>2</v>
      </c>
      <c r="W320" s="7">
        <f>(Q320-X320*N320-2*S320)/(X320-1)</f>
        <v>50.8</v>
      </c>
      <c r="X320" s="38">
        <v>3</v>
      </c>
      <c r="Y320" s="7">
        <f>AN320</f>
        <v>4</v>
      </c>
      <c r="Z320" s="32">
        <f>AA320/N320</f>
        <v>10.25</v>
      </c>
      <c r="AA320" s="4">
        <f>10.25*25.4</f>
        <v>260.34999999999997</v>
      </c>
      <c r="AB320" s="7">
        <f>MIN(S320/N320+0.5, W320/2/N320+0.5)</f>
        <v>1.5</v>
      </c>
      <c r="AC320" s="7">
        <f>S320/N320+0.5</f>
        <v>3.05</v>
      </c>
      <c r="AD320" s="38">
        <v>4.0999999999999996</v>
      </c>
      <c r="AE320" s="4">
        <f>AD320</f>
        <v>4.0999999999999996</v>
      </c>
      <c r="AF320" s="4">
        <f>AE320+1</f>
        <v>5.0999999999999996</v>
      </c>
      <c r="AG320" s="7">
        <f>N320*AF320^0.5</f>
        <v>57.361276136431961</v>
      </c>
      <c r="AJ320" s="38">
        <f>AK320/0.145</f>
        <v>495.17241379310349</v>
      </c>
      <c r="AK320" s="4">
        <v>71.8</v>
      </c>
      <c r="AL320" s="4">
        <f>CY320</f>
        <v>1.0909962422431996</v>
      </c>
      <c r="AM320" s="38">
        <f>0.375*25.4</f>
        <v>9.5249999999999986</v>
      </c>
      <c r="AN320" s="38">
        <v>4</v>
      </c>
      <c r="AO320" s="39">
        <f>5*25.4</f>
        <v>127</v>
      </c>
      <c r="AP320" s="39">
        <f>2+2</f>
        <v>4</v>
      </c>
      <c r="AQ320" s="39">
        <v>1</v>
      </c>
      <c r="AR320" s="7"/>
      <c r="AS320" s="4">
        <f>K320</f>
        <v>261.36599999999999</v>
      </c>
      <c r="AT320" s="4">
        <f>IF(K320*3&gt;W320+N320, Q320, (S320+N320/2)*2+1.5*K320*(2*X320-2))*(3*K320)/(9*K320^2)</f>
        <v>0.39196631033365731</v>
      </c>
      <c r="AU320" s="4">
        <f>MIN(10*M320^0.5*K320^1.5,100*3.9*M320^0.5*K320^(5/3))/(PI()/4*N320^2)/X320</f>
        <v>209.79787755605903</v>
      </c>
      <c r="AV320" s="4">
        <f>MIN(0.7+0.3*(MIN(S320,AA320)+0.5*N320)/1.5/K320,1)</f>
        <v>0.7592808551992225</v>
      </c>
      <c r="AW320" s="4">
        <v>1.25</v>
      </c>
      <c r="AX320" s="4">
        <f>AX319</f>
        <v>2.5</v>
      </c>
      <c r="AY320" s="38">
        <f>AT320*AV320*AW320*AX320*AU320</f>
        <v>195.12023140042214</v>
      </c>
      <c r="AZ320" s="38">
        <f>AY320</f>
        <v>195.12023140042214</v>
      </c>
      <c r="BA320" s="38">
        <f>IF(M320&lt;50, 0.3*M320^(2/3), 2.12*LN(1+0.1*(M320+8)))</f>
        <v>4.2706194667653463</v>
      </c>
      <c r="BB320" s="38">
        <f>AX320* (M320^0.5/AS320^0.5)/(PI()/4*N320^2)/X320/0.72 *(0.7+(MIN(S320,AA320)+0.5*N320)/5/K320) *(3*Q320*K320)</f>
        <v>195.12023140042217</v>
      </c>
      <c r="BC320" s="38">
        <f>AY320/BB320</f>
        <v>0.99999999999999989</v>
      </c>
      <c r="BD320" s="38">
        <f>BH320/BB320</f>
        <v>2.5064989538523901</v>
      </c>
      <c r="BE320" s="4">
        <f>IF(BD320&lt;1,1,0)</f>
        <v>0</v>
      </c>
      <c r="BF320" s="4">
        <f>L320/N320*M320^0.5/0.19</f>
        <v>408.75944080477711</v>
      </c>
      <c r="BG320" s="4">
        <f>MIN(0.6+0.4*(AC320/AB320),2)</f>
        <v>1.4133333333333333</v>
      </c>
      <c r="BH320" s="38">
        <f>2*M320*AB320*AD320^0.5*BG320*0.7/0.7</f>
        <v>489.06865588059446</v>
      </c>
      <c r="BI320" s="4">
        <f>MAX(1-0.7*AE320/5,0.3)</f>
        <v>0.42600000000000005</v>
      </c>
      <c r="BJ320" s="4">
        <f>BI320*J320*L320/(J320*N320/2.75/M320^0.5)</f>
        <v>90.983720131531314</v>
      </c>
      <c r="BK320" s="4">
        <f>BH320+BJ320</f>
        <v>580.05237601212582</v>
      </c>
      <c r="BM320" s="4">
        <f>MIN(1.5, 0.75+0.25*MIN(3,MAX(1,S320/N320))+0.4*MIN(1,(40*2*PI()*AM320^2/4/AO320/X320)/N320))</f>
        <v>1.5</v>
      </c>
      <c r="BN320" s="4">
        <f>(3*P320+30)*BM320*M320^0.5</f>
        <v>689.12909048680592</v>
      </c>
      <c r="BP320" s="4">
        <f>3.4/PI()^0.5*M320*AB320*AE320^0.5*BG320</f>
        <v>469.07665018880698</v>
      </c>
      <c r="BQ320" s="4">
        <f>8/3*AH320*AI320^2/(AG320-N320-22)/N320*(AG320^2-N320^2)/(AG320^2-(N320+22)^2)</f>
        <v>0</v>
      </c>
      <c r="BR320" s="4">
        <f>BQ320/BP320</f>
        <v>0</v>
      </c>
      <c r="BZ320" s="4">
        <f>IF(W320=0,S320,MIN(W320/2,S320))</f>
        <v>25.4</v>
      </c>
      <c r="CD320" s="9"/>
      <c r="CF320" s="9"/>
      <c r="CG320" s="9"/>
      <c r="CH320" s="9">
        <f>IF(W320=0,MIN(S320,U320),MIN(W320/2,S320,U320))</f>
        <v>25.4</v>
      </c>
      <c r="CI320" s="9">
        <f>MAX(W320/2,S320)</f>
        <v>64.77</v>
      </c>
      <c r="CJ320" s="9">
        <f>(CH320/N320)^0.5*(CI320/CH320)^0.15</f>
        <v>1.150750115259513</v>
      </c>
      <c r="CK320" s="70">
        <f>IF(AO320&gt;1,20,0)</f>
        <v>20</v>
      </c>
      <c r="CL320" s="9">
        <f>MIN(PI()*AM320^2/4*AN320*2/X320/N320/MAX(0.01,AO320),0.05)</f>
        <v>0.05</v>
      </c>
      <c r="CM320" s="9">
        <f>MAX(0,CK320*(CL320-0.5/50))</f>
        <v>0.8</v>
      </c>
      <c r="CN320" s="9">
        <f>MIN(1,(25/N320)^0.3)</f>
        <v>0.99524931562137331</v>
      </c>
      <c r="CO320" s="9">
        <f>IF(J320&gt;=800,0.68,IF(J320&gt;=700,0.75-(J320-700)*0.07/100,IF(J320&gt;=600,0.85-(J320-600)*0.1/100,IF(J320&gt;=500,1-(J320-500)*0.15/100,1.2-(J320-400)*0.2/100))))</f>
        <v>0.68</v>
      </c>
      <c r="CP320" s="9">
        <f>1.75*CN320*CO320*(M320/25)^0.5</f>
        <v>1.7877832632633699</v>
      </c>
      <c r="CQ320" s="9">
        <f>MIN((CJ320+CM320)*CP320,2.5*CP320,M320^0.5)</f>
        <v>3.4875184068700471</v>
      </c>
      <c r="CR320" s="40">
        <v>1</v>
      </c>
      <c r="CS320" s="9">
        <f>4*CQ320*P320+60*CQ320</f>
        <v>352.79736203897397</v>
      </c>
      <c r="CU320" s="4">
        <f>AJ320/BF320</f>
        <v>1.2114030022601903</v>
      </c>
      <c r="CV320" s="4">
        <f>AJ320/BK320</f>
        <v>0.85366845179986306</v>
      </c>
      <c r="CW320" s="4">
        <f>AJ320/BN320</f>
        <v>0.71854812201195861</v>
      </c>
      <c r="CX320" s="4">
        <f>AJ320/CS320</f>
        <v>1.403560420438748</v>
      </c>
      <c r="CY320" s="4">
        <f>AJ320/DZ320</f>
        <v>1.0909962422431996</v>
      </c>
      <c r="CZ320" s="4">
        <f>AJ320/EL320</f>
        <v>1.1108598911062268</v>
      </c>
      <c r="DA320" s="4">
        <f>AJ320/GI320</f>
        <v>1.1703923382083732</v>
      </c>
      <c r="DB320" s="4">
        <f>AN320</f>
        <v>4</v>
      </c>
      <c r="DI320" s="4">
        <f>CU320</f>
        <v>1.2114030022601903</v>
      </c>
      <c r="DJ320" s="4">
        <f>CV320</f>
        <v>0.85366845179986306</v>
      </c>
      <c r="DK320" s="4">
        <f>CX320</f>
        <v>1.403560420438748</v>
      </c>
      <c r="DL320" s="4">
        <f>DA320</f>
        <v>1.1703923382083732</v>
      </c>
      <c r="DM320" s="4">
        <f>CY320</f>
        <v>1.0909962422431996</v>
      </c>
      <c r="DN320" s="4">
        <f>CZ320</f>
        <v>1.1108598911062268</v>
      </c>
      <c r="DQ320" s="4">
        <f>L320</f>
        <v>261.36599999999999</v>
      </c>
      <c r="DT320" s="4">
        <f>K320/4/(1-0.3*(M320/30)^0.5)/200000/N320</f>
        <v>2.1927071631353337E-5</v>
      </c>
      <c r="DU320" s="4">
        <f>EP320</f>
        <v>8.182522155550533</v>
      </c>
      <c r="DV320" s="4">
        <f>EC320*AG320/257/M320/AD320</f>
        <v>0.18646274865495269</v>
      </c>
      <c r="DW320" s="4">
        <f>DU320*DV320^0.4</f>
        <v>4.1794970464391463</v>
      </c>
      <c r="DX320" s="4">
        <f>MIN(DU320, DU320/1.4*(1-DV320^1.4)/(1-DV320))</f>
        <v>6.5000111163899925</v>
      </c>
      <c r="DY320" s="4">
        <f>MAX(DU320/2, (4-DT320*(8*AG320*(DW320-DX320)+6*K320*DX320))/(4+DT320*K320*DU320)*DU320)</f>
        <v>7.6829977221807759</v>
      </c>
      <c r="DZ320" s="38">
        <f>MIN(1/N320*(4*AG320*(DW320-DX320)+(3*DX320+DY320)*K320)+EC320 -FJ320,MAX(J320,AJ320))</f>
        <v>453.87178673959363</v>
      </c>
      <c r="EA320" s="4">
        <f>DZ320/FF320</f>
        <v>1.0000959992100831</v>
      </c>
      <c r="EB320" s="4">
        <f>AG320/N320</f>
        <v>2.2583179581272428</v>
      </c>
      <c r="EC320" s="4">
        <f>MIN(EB$10*BB320)</f>
        <v>195.12023140042217</v>
      </c>
      <c r="EG320" s="4">
        <f>IF(U320&gt;1*N320,0.85,1)</f>
        <v>0.85</v>
      </c>
      <c r="EH320" s="4">
        <f>MIN(1,MAX(0.7,(1-0.1*(BZ320-1*N320)/N320)))</f>
        <v>1</v>
      </c>
      <c r="EI320" s="4">
        <f>MIN(1,MAX(0.7,1-0.3*(PI()*AM320^2/4*AQ320*2-0.25*PI()/4*N320^2)/(PI()/4*N320^2)))</f>
        <v>0.99062499999999998</v>
      </c>
      <c r="EJ320" s="4">
        <f>IF(EH320*EI320&lt;0.7,0.7,EH320*EI320)</f>
        <v>0.99062499999999998</v>
      </c>
      <c r="EL320" s="4">
        <f>MIN(DU320/N320*3*K320+EM320-FJ320,MAX(J320,AJ320))</f>
        <v>445.75595694610621</v>
      </c>
      <c r="EM320" s="25">
        <f>13.3*Q320*K320^0.5*M320^0.5/X320/N320^2*(0.7+S320/5/K320)</f>
        <v>193.16149800426129</v>
      </c>
      <c r="EO320" s="4">
        <f>EG320*EJ320</f>
        <v>0.84203125000000001</v>
      </c>
      <c r="EP320" s="4">
        <f>IF(N320&lt;22.2,1.1*5*(M320/30)^0.5,IF(N320&gt;=31.8,0.9*5*(M320/30)^0.5,1*5*(M320/30)^0.5))/EG320/EJ320</f>
        <v>8.182522155550533</v>
      </c>
      <c r="ES320" s="4">
        <f>ET320*N320</f>
        <v>57.361276136431961</v>
      </c>
      <c r="ET320" s="4">
        <f>AF320^0.5</f>
        <v>2.2583179581272428</v>
      </c>
      <c r="EU320" s="4">
        <f>MIN(EC320)/(4700*M320^0.5)/AE320*ES320</f>
        <v>7.6954384657213118E-2</v>
      </c>
      <c r="EX320" s="4">
        <f>EU320</f>
        <v>7.6954384657213118E-2</v>
      </c>
      <c r="EY320" s="4">
        <f>MIN(0.999, EX320/(0.3*(M320/30)^0.5))</f>
        <v>0.18615157707937979</v>
      </c>
      <c r="EZ320" s="4">
        <f>EP320/1*EY320^0.4</f>
        <v>4.1767057277900994</v>
      </c>
      <c r="FA320" s="4">
        <f>EP320/1.4*(1-EY320^1.4)/(1-EY320)</f>
        <v>6.4991233439056897</v>
      </c>
      <c r="FB320" s="4">
        <f>MAX(0,DQ320*FB$9-ES320)</f>
        <v>138.66322386356802</v>
      </c>
      <c r="FC320" s="4">
        <f>MAX(0,DQ320-ES320-FB320)</f>
        <v>65.341499999999996</v>
      </c>
      <c r="FD320" s="4">
        <f>FC320/(1-0.3*(M320/30)^0.5)/200000/N320</f>
        <v>2.1927071631353337E-5</v>
      </c>
      <c r="FE320" s="4">
        <f>MAX(0.5*EP320, (1-2*FD320*(ES320*EZ320+FB320*FA320))/(1/EP320+FD320*FC320))</f>
        <v>7.683098172710257</v>
      </c>
      <c r="FF320" s="4">
        <f>MIN(4/N320*(1*EZ320*ES320+FA320*FB320+FC320*FE320)+EC320,MAX(J320,AJ320))</f>
        <v>453.82821958899967</v>
      </c>
      <c r="FO320" s="23">
        <f>IF(CU320&lt;0.6,0.6,IF(CU320&lt;0.8,0.8,IF(CU320&lt;1,1,IF(CU320&lt;1.2,1.2,IF(CU320&lt;1.4,1.4,IF(CU320&lt;1.6,1.6,IF(CU320&lt;1.8,1.8,IF(CU320&lt;2,2,2.2))))))))</f>
        <v>1.4</v>
      </c>
      <c r="FP320" s="23">
        <f>IF(CV320&lt;0.6,0.6,IF(CV320&lt;0.8,0.8,IF(CV320&lt;1,1,IF(CV320&lt;1.2,1.2,IF(CV320&lt;1.4,1.4,IF(CV320&lt;1.6,1.6,IF(CV320&lt;1.8,1.8,IF(CV320&lt;2,2,2.2))))))))</f>
        <v>1</v>
      </c>
      <c r="FQ320" s="23">
        <f>IF(DA320&lt;0.6,0.6,IF(DA320&lt;0.8,0.8,IF(DA320&lt;1,1,IF(DA320&lt;1.2,1.2,IF(DA320&lt;1.4,1.4,IF(DA320&lt;1.6,1.6,IF(DA320&lt;1.8,1.8,IF(DA320&lt;2,2,2.2))))))))</f>
        <v>1.2</v>
      </c>
      <c r="FR320" s="23">
        <f>IF(CX320&lt;0.6,0.6,IF(CX320&lt;0.8,0.8,IF(CX320&lt;1,1,IF(CX320&lt;1.2,1.2,IF(CX320&lt;1.4,1.4,IF(CX320&lt;1.6,1.6,IF(CX320&lt;1.8,1.8,IF(CX320&lt;2,2,2.2))))))))</f>
        <v>1.6</v>
      </c>
      <c r="FS320" s="23">
        <f>IF(CY320&lt;0.6,0.6,IF(CY320&lt;0.8,0.8,IF(CY320&lt;1,1,IF(CY320&lt;1.2,1.2,IF(CY320&lt;1.4,1.4,IF(CY320&lt;1.6,1.6,IF(CY320&lt;1.8,1.8,IF(CY320&lt;2,2,2.2))))))))</f>
        <v>1.2</v>
      </c>
      <c r="FT320" s="23">
        <f>IF(CZ320&lt;0.6,0.6,IF(CZ320&lt;0.8,0.8,IF(CZ320&lt;1,1,IF(CZ320&lt;1.2,1.2,IF(CZ320&lt;1.4,1.4,IF(CZ320&lt;1.6,1.6,IF(CZ320&lt;1.8,1.8,IF(CZ320&lt;2,2,2.2))))))))</f>
        <v>1.2</v>
      </c>
      <c r="FU320" s="23">
        <f>IF(FS320&lt;1,1,0)</f>
        <v>0</v>
      </c>
      <c r="FV320" s="23"/>
      <c r="GF320" s="4">
        <f>IF(S320&gt;=2.5*25.4,1,1.25)</f>
        <v>1</v>
      </c>
      <c r="GG320" s="4">
        <f>IF(AO320&gt;1, 0.05*(18-MIN(8,(W320+N320)/N320))*(1-48000/MAX(60000,(J320*145))*(N320/25.4)^0.75*GH320), 1/12*(14-MIN(8,(W320+N320)/N320)))</f>
        <v>0.66627906976744189</v>
      </c>
      <c r="GH320" s="4">
        <f>MIN(0.3, AM320^2*PI()/4*2*AP320/(N320^2*PI()/4*X320))</f>
        <v>0.3</v>
      </c>
      <c r="GI320" s="4">
        <f>(K320/25.4)/(N320/25.4)^1.5/0.0024*(M320*145)^0.25/GF320/GG320/145</f>
        <v>423.08241230552591</v>
      </c>
    </row>
    <row r="321" spans="1:191" ht="12" customHeight="1" x14ac:dyDescent="0.3">
      <c r="A321" s="25">
        <v>258</v>
      </c>
      <c r="B321" s="4" t="s">
        <v>605</v>
      </c>
      <c r="C321" s="4">
        <v>2016</v>
      </c>
      <c r="D321" s="4" t="s">
        <v>309</v>
      </c>
      <c r="E321" s="24" t="s">
        <v>664</v>
      </c>
      <c r="F321" s="24"/>
      <c r="G321" s="14">
        <v>18</v>
      </c>
      <c r="H321" s="7" t="s">
        <v>414</v>
      </c>
      <c r="I321" s="5">
        <f>K321/N321</f>
        <v>10.25</v>
      </c>
      <c r="J321" s="38">
        <f>129/0.145</f>
        <v>889.65517241379314</v>
      </c>
      <c r="K321" s="96">
        <f>10.25*25.4</f>
        <v>260.34999999999997</v>
      </c>
      <c r="L321" s="4">
        <f>K321</f>
        <v>260.34999999999997</v>
      </c>
      <c r="M321" s="94">
        <f>8260/145</f>
        <v>56.96551724137931</v>
      </c>
      <c r="N321" s="96">
        <f>1*25.4</f>
        <v>25.4</v>
      </c>
      <c r="O321" s="7">
        <f>K321/N321</f>
        <v>10.25</v>
      </c>
      <c r="P321" s="7">
        <f>L321/N321</f>
        <v>10.25</v>
      </c>
      <c r="Q321" s="38">
        <f>16*25.4</f>
        <v>406.4</v>
      </c>
      <c r="R321" s="32">
        <f>S321/N321</f>
        <v>2.4500000000000002</v>
      </c>
      <c r="S321" s="38">
        <f>2.45*25.4</f>
        <v>62.230000000000004</v>
      </c>
      <c r="T321" s="32">
        <f>U321/N321</f>
        <v>3.5333333333333332</v>
      </c>
      <c r="U321" s="39">
        <f>(4+3.3+3.3)/3*25.4</f>
        <v>89.746666666666655</v>
      </c>
      <c r="V321" s="32">
        <f>W321/N321</f>
        <v>4.05</v>
      </c>
      <c r="W321" s="7">
        <f>(Q321-X321*N321-2*S321)/(X321-1)</f>
        <v>102.86999999999999</v>
      </c>
      <c r="X321" s="38">
        <v>3</v>
      </c>
      <c r="Y321" s="7">
        <f>AN321</f>
        <v>2</v>
      </c>
      <c r="Z321" s="32">
        <f>AA321/N321</f>
        <v>10.25</v>
      </c>
      <c r="AA321" s="4">
        <f>10.25*25.4</f>
        <v>260.34999999999997</v>
      </c>
      <c r="AB321" s="7">
        <f>MIN(S321/N321+0.5, W321/2/N321+0.5)</f>
        <v>2.5249999999999999</v>
      </c>
      <c r="AC321" s="7">
        <f>S321/N321+0.5</f>
        <v>2.95</v>
      </c>
      <c r="AD321" s="38">
        <v>4.0999999999999996</v>
      </c>
      <c r="AE321" s="4">
        <f>AD321</f>
        <v>4.0999999999999996</v>
      </c>
      <c r="AF321" s="4">
        <f>AE321+1</f>
        <v>5.0999999999999996</v>
      </c>
      <c r="AG321" s="7">
        <f>N321*AF321^0.5</f>
        <v>57.361276136431961</v>
      </c>
      <c r="AJ321" s="38">
        <f>AK321/0.145</f>
        <v>522.75862068965523</v>
      </c>
      <c r="AK321" s="4">
        <v>75.8</v>
      </c>
      <c r="AL321" s="4">
        <f>CY321</f>
        <v>0.95166687424883689</v>
      </c>
      <c r="AM321" s="38">
        <f>0.375*25.4</f>
        <v>9.5249999999999986</v>
      </c>
      <c r="AN321" s="38">
        <v>2</v>
      </c>
      <c r="AO321" s="39">
        <f>3*25.4</f>
        <v>76.199999999999989</v>
      </c>
      <c r="AP321" s="39">
        <v>2</v>
      </c>
      <c r="AQ321" s="39"/>
      <c r="AR321" s="7"/>
      <c r="AS321" s="4">
        <f>K321</f>
        <v>260.34999999999997</v>
      </c>
      <c r="AT321" s="4">
        <f>IF(K321*3&gt;W321+N321, Q321, (S321+N321/2)*2+1.5*K321*(2*X321-2))*(3*K321)/(9*K321^2)</f>
        <v>0.52032520325203269</v>
      </c>
      <c r="AU321" s="4">
        <f>MIN(10*M321^0.5*K321^1.5,100*3.9*M321^0.5*K321^(5/3))/(PI()/4*N321^2)/X321</f>
        <v>208.575755923034</v>
      </c>
      <c r="AV321" s="4">
        <f>MIN(0.7+0.3*(MIN(S321,AA321)+0.5*N321)/1.5/K321,1)</f>
        <v>0.7575609756097561</v>
      </c>
      <c r="AW321" s="4">
        <v>1.25</v>
      </c>
      <c r="AX321" s="4">
        <f>AX320</f>
        <v>2.5</v>
      </c>
      <c r="AY321" s="38">
        <f>AT321*AV321*AW321*AX321*AU321</f>
        <v>256.92496446438383</v>
      </c>
      <c r="AZ321" s="38">
        <f>AY321</f>
        <v>256.92496446438383</v>
      </c>
      <c r="BA321" s="38">
        <f>IF(M321&lt;50, 0.3*M321^(2/3), 2.12*LN(1+0.1*(M321+8)))</f>
        <v>4.2706194667653463</v>
      </c>
      <c r="BB321" s="38">
        <f>AX321* (M321^0.5/AS321^0.5)/(PI()/4*N321^2)/X321/0.72 *(0.7+(MIN(S321,AA321)+0.5*N321)/5/K321) *(3*Q321*K321)</f>
        <v>256.92496446438389</v>
      </c>
      <c r="BC321" s="38">
        <f>AY321/BB321</f>
        <v>0.99999999999999978</v>
      </c>
      <c r="BD321" s="38">
        <f>BH321/BB321</f>
        <v>2.4198387861849078</v>
      </c>
      <c r="BE321" s="4">
        <f>IF(BD321&lt;1,1,0)</f>
        <v>0</v>
      </c>
      <c r="BF321" s="4">
        <f>L321/N321*M321^0.5/0.19</f>
        <v>407.17048282302869</v>
      </c>
      <c r="BG321" s="4">
        <f>MIN(0.6+0.4*(AC321/AB321),2)</f>
        <v>1.0673267326732674</v>
      </c>
      <c r="BH321" s="38">
        <f>2*M321*AB321*AD321^0.5*BG321*0.7/0.7</f>
        <v>621.71699415009527</v>
      </c>
      <c r="BI321" s="4">
        <f>MAX(1-0.7*AE321/5,0.3)</f>
        <v>0.42600000000000005</v>
      </c>
      <c r="BJ321" s="4">
        <f>BI321*J321*L321/(J321*N321/2.75/M321^0.5)</f>
        <v>90.630041919163844</v>
      </c>
      <c r="BK321" s="4">
        <f>BH321+BJ321</f>
        <v>712.34703606925916</v>
      </c>
      <c r="BM321" s="4">
        <f>MIN(1.5, 0.75+0.25*MIN(3,MAX(1,S321/N321))+0.4*MIN(1,(40*2*PI()*AM321^2/4/AO321/X321)/N321))</f>
        <v>1.5</v>
      </c>
      <c r="BN321" s="4">
        <f>(3*P321+30)*BM321*M321^0.5</f>
        <v>687.77053141241106</v>
      </c>
      <c r="BP321" s="4">
        <f>3.4/PI()^0.5*M321*AB321*AE321^0.5*BG321</f>
        <v>596.30262842397872</v>
      </c>
      <c r="BQ321" s="4">
        <f>8/3*AH321*AI321^2/(AG321-N321-22)/N321*(AG321^2-N321^2)/(AG321^2-(N321+22)^2)</f>
        <v>0</v>
      </c>
      <c r="BR321" s="4">
        <f>BQ321/BP321</f>
        <v>0</v>
      </c>
      <c r="BZ321" s="4">
        <f>IF(W321=0,S321,MIN(W321/2,S321))</f>
        <v>51.434999999999995</v>
      </c>
      <c r="CD321" s="9"/>
      <c r="CF321" s="9"/>
      <c r="CG321" s="9"/>
      <c r="CH321" s="9">
        <f>IF(W321=0,MIN(S321,U321),MIN(W321/2,S321,U321))</f>
        <v>51.434999999999995</v>
      </c>
      <c r="CI321" s="9">
        <f>MAX(W321/2,S321)</f>
        <v>62.230000000000004</v>
      </c>
      <c r="CJ321" s="9">
        <f>(CH321/N321)^0.5*(CI321/CH321)^0.15</f>
        <v>1.4642784548874435</v>
      </c>
      <c r="CK321" s="70">
        <f>IF(AO321&gt;1,20,0)</f>
        <v>20</v>
      </c>
      <c r="CL321" s="9">
        <f>MIN(PI()*AM321^2/4*AN321*2/X321/N321/MAX(0.01,AO321),0.05)</f>
        <v>4.9087385212340517E-2</v>
      </c>
      <c r="CM321" s="9">
        <f>MAX(0,CK321*(CL321-0.5/50))</f>
        <v>0.78174770424681028</v>
      </c>
      <c r="CN321" s="9">
        <f>MIN(1,(25/N321)^0.3)</f>
        <v>0.99524931562137331</v>
      </c>
      <c r="CO321" s="9">
        <f>IF(J321&gt;=800,0.68,IF(J321&gt;=700,0.75-(J321-700)*0.07/100,IF(J321&gt;=600,0.85-(J321-600)*0.1/100,IF(J321&gt;=500,1-(J321-500)*0.15/100,1.2-(J321-400)*0.2/100))))</f>
        <v>0.68</v>
      </c>
      <c r="CP321" s="9">
        <f>1.75*CN321*CO321*(M321/25)^0.5</f>
        <v>1.7877832632633699</v>
      </c>
      <c r="CQ321" s="9">
        <f>MIN((CJ321+CM321)*CP321,2.5*CP321,M321^0.5)</f>
        <v>4.0154079761519297</v>
      </c>
      <c r="CR321" s="40">
        <v>1</v>
      </c>
      <c r="CS321" s="9">
        <f>4*CQ321*P321+60*CQ321</f>
        <v>405.55620559134491</v>
      </c>
      <c r="CU321" s="4">
        <f>AJ321/BF321</f>
        <v>1.2838814274188568</v>
      </c>
      <c r="CV321" s="4">
        <f>AJ321/BK321</f>
        <v>0.73385385804964465</v>
      </c>
      <c r="CW321" s="4">
        <f>AJ321/BN321</f>
        <v>0.76007708503607152</v>
      </c>
      <c r="CX321" s="4">
        <f>AJ321/CS321</f>
        <v>1.2889917932026622</v>
      </c>
      <c r="CY321" s="4">
        <f>AJ321/DZ321</f>
        <v>0.95166687424883689</v>
      </c>
      <c r="CZ321" s="4">
        <f>AJ321/EL321</f>
        <v>0.98254513569119484</v>
      </c>
      <c r="DA321" s="4">
        <f>AJ321/GI321</f>
        <v>1.4016929584772584</v>
      </c>
      <c r="DB321" s="4">
        <f>AN321</f>
        <v>2</v>
      </c>
      <c r="DI321" s="4">
        <f>CU321</f>
        <v>1.2838814274188568</v>
      </c>
      <c r="DJ321" s="4">
        <f>CV321</f>
        <v>0.73385385804964465</v>
      </c>
      <c r="DK321" s="4">
        <f>CX321</f>
        <v>1.2889917932026622</v>
      </c>
      <c r="DL321" s="4">
        <f>DA321</f>
        <v>1.4016929584772584</v>
      </c>
      <c r="DM321" s="4">
        <f>CY321</f>
        <v>0.95166687424883689</v>
      </c>
      <c r="DN321" s="4">
        <f>CZ321</f>
        <v>0.98254513569119484</v>
      </c>
      <c r="DQ321" s="4">
        <f>L321</f>
        <v>260.34999999999997</v>
      </c>
      <c r="DT321" s="4">
        <f>K321/4/(1-0.3*(M321/30)^0.5)/200000/N321</f>
        <v>2.1841835201299478E-5</v>
      </c>
      <c r="DU321" s="4">
        <f>EP321</f>
        <v>9.0315443012169894</v>
      </c>
      <c r="DV321" s="4">
        <f>EC321*AG321/257/M321/AD321</f>
        <v>0.24552520632159011</v>
      </c>
      <c r="DW321" s="4">
        <f>DU321*DV321^0.4</f>
        <v>5.1499196176140778</v>
      </c>
      <c r="DX321" s="4">
        <f>MIN(DU321, DU321/1.4*(1-DV321^1.4)/(1-DV321))</f>
        <v>7.3533737732352842</v>
      </c>
      <c r="DY321" s="4">
        <f>MAX(DU321/2, (4-DT321*(8*AG321*(DW321-DX321)+6*K321*DX321))/(4+DT321*K321*DU321)*DU321)</f>
        <v>8.4069859193153622</v>
      </c>
      <c r="DZ321" s="38">
        <f>MIN(1/N321*(4*AG321*(DW321-DX321)+(3*DX321+DY321)*K321)+EC321 -FJ321,MAX(J321,AJ321))</f>
        <v>549.3084133061534</v>
      </c>
      <c r="EA321" s="4">
        <f>DZ321/FF321</f>
        <v>1.0001012571546577</v>
      </c>
      <c r="EB321" s="4">
        <f>AG321/N321</f>
        <v>2.2583179581272428</v>
      </c>
      <c r="EC321" s="4">
        <f>MIN(EB$10*BB321)</f>
        <v>256.92496446438389</v>
      </c>
      <c r="EG321" s="4">
        <f>IF(U321&gt;1*N321,0.85,1)</f>
        <v>0.85</v>
      </c>
      <c r="EH321" s="4">
        <f>MIN(1,MAX(0.7,(1-0.1*(BZ321-1*N321)/N321)))</f>
        <v>0.89749999999999996</v>
      </c>
      <c r="EI321" s="4">
        <f>MIN(1,MAX(0.7,1-0.3*(PI()*AM321^2/4*AQ321*2-0.25*PI()/4*N321^2)/(PI()/4*N321^2)))</f>
        <v>1</v>
      </c>
      <c r="EJ321" s="4">
        <f>IF(EH321*EI321&lt;0.7,0.7,EH321*EI321)</f>
        <v>0.89749999999999996</v>
      </c>
      <c r="EL321" s="4">
        <f>MIN(DU321/N321*3*K321+EM321-FJ321,MAX(J321,AJ321))</f>
        <v>532.04540096970527</v>
      </c>
      <c r="EM321" s="25">
        <f>13.3*Q321*K321^0.5*M321^0.5/X321/N321^2*(0.7+S321/5/K321)</f>
        <v>254.32541370728282</v>
      </c>
      <c r="EO321" s="4">
        <f>EG321*EJ321</f>
        <v>0.76287499999999997</v>
      </c>
      <c r="EP321" s="4">
        <f>IF(N321&lt;22.2,1.1*5*(M321/30)^0.5,IF(N321&gt;=31.8,0.9*5*(M321/30)^0.5,1*5*(M321/30)^0.5))/EG321/EJ321</f>
        <v>9.0315443012169894</v>
      </c>
      <c r="ES321" s="4">
        <f>ET321*N321</f>
        <v>57.361276136431961</v>
      </c>
      <c r="ET321" s="4">
        <f>AF321^0.5</f>
        <v>2.2583179581272428</v>
      </c>
      <c r="EU321" s="4">
        <f>MIN(EC321)/(4700*M321^0.5)/AE321*ES321</f>
        <v>0.10132984366371672</v>
      </c>
      <c r="EX321" s="4">
        <f>EU321</f>
        <v>0.10132984366371672</v>
      </c>
      <c r="EY321" s="4">
        <f>MIN(0.999, EX321/(0.3*(M321/30)^0.5))</f>
        <v>0.24511547051191737</v>
      </c>
      <c r="EZ321" s="4">
        <f>EP321/1*EY321^0.4</f>
        <v>5.1464801926043178</v>
      </c>
      <c r="FA321" s="4">
        <f>EP321/1.4*(1-EY321^1.4)/(1-EY321)</f>
        <v>7.3521768503320528</v>
      </c>
      <c r="FB321" s="4">
        <f>MAX(0,DQ321*FB$9-ES321)</f>
        <v>137.90122386356802</v>
      </c>
      <c r="FC321" s="4">
        <f>MAX(0,DQ321-ES321-FB321)</f>
        <v>65.087499999999977</v>
      </c>
      <c r="FD321" s="4">
        <f>FC321/(1-0.3*(M321/30)^0.5)/200000/N321</f>
        <v>2.1841835201299478E-5</v>
      </c>
      <c r="FE321" s="4">
        <f>MAX(0.5*EP321, (1-2*FD321*(ES321*EZ321+FB321*FA321))/(1/EP321+FD321*FC321))</f>
        <v>8.40712706418579</v>
      </c>
      <c r="FF321" s="4">
        <f>MIN(4/N321*(1*EZ321*ES321+FA321*FB321+FC321*FE321)+EC321,MAX(J321,AJ321))</f>
        <v>549.25279753068764</v>
      </c>
      <c r="FO321" s="23">
        <f>IF(CU321&lt;0.6,0.6,IF(CU321&lt;0.8,0.8,IF(CU321&lt;1,1,IF(CU321&lt;1.2,1.2,IF(CU321&lt;1.4,1.4,IF(CU321&lt;1.6,1.6,IF(CU321&lt;1.8,1.8,IF(CU321&lt;2,2,2.2))))))))</f>
        <v>1.4</v>
      </c>
      <c r="FP321" s="23">
        <f>IF(CV321&lt;0.6,0.6,IF(CV321&lt;0.8,0.8,IF(CV321&lt;1,1,IF(CV321&lt;1.2,1.2,IF(CV321&lt;1.4,1.4,IF(CV321&lt;1.6,1.6,IF(CV321&lt;1.8,1.8,IF(CV321&lt;2,2,2.2))))))))</f>
        <v>0.8</v>
      </c>
      <c r="FQ321" s="23">
        <f>IF(DA321&lt;0.6,0.6,IF(DA321&lt;0.8,0.8,IF(DA321&lt;1,1,IF(DA321&lt;1.2,1.2,IF(DA321&lt;1.4,1.4,IF(DA321&lt;1.6,1.6,IF(DA321&lt;1.8,1.8,IF(DA321&lt;2,2,2.2))))))))</f>
        <v>1.6</v>
      </c>
      <c r="FR321" s="23">
        <f>IF(CX321&lt;0.6,0.6,IF(CX321&lt;0.8,0.8,IF(CX321&lt;1,1,IF(CX321&lt;1.2,1.2,IF(CX321&lt;1.4,1.4,IF(CX321&lt;1.6,1.6,IF(CX321&lt;1.8,1.8,IF(CX321&lt;2,2,2.2))))))))</f>
        <v>1.4</v>
      </c>
      <c r="FS321" s="23">
        <f>IF(CY321&lt;0.6,0.6,IF(CY321&lt;0.8,0.8,IF(CY321&lt;1,1,IF(CY321&lt;1.2,1.2,IF(CY321&lt;1.4,1.4,IF(CY321&lt;1.6,1.6,IF(CY321&lt;1.8,1.8,IF(CY321&lt;2,2,2.2))))))))</f>
        <v>1</v>
      </c>
      <c r="FT321" s="23">
        <f>IF(CZ321&lt;0.6,0.6,IF(CZ321&lt;0.8,0.8,IF(CZ321&lt;1,1,IF(CZ321&lt;1.2,1.2,IF(CZ321&lt;1.4,1.4,IF(CZ321&lt;1.6,1.6,IF(CZ321&lt;1.8,1.8,IF(CZ321&lt;2,2,2.2))))))))</f>
        <v>1</v>
      </c>
      <c r="FU321" s="23">
        <f>IF(FS321&lt;1,1,0)</f>
        <v>0</v>
      </c>
      <c r="FV321" s="23"/>
      <c r="GF321" s="4">
        <f>IF(S321&gt;=2.5*25.4,1,1.25)</f>
        <v>1.25</v>
      </c>
      <c r="GG321" s="4">
        <f>IF(AO321&gt;1, 0.05*(18-MIN(8,(W321+N321)/N321))*(1-48000/MAX(60000,(J321*145))*(N321/25.4)^0.75*GH321), 1/12*(14-MIN(8,(W321+N321)/N321)))</f>
        <v>0.60232558139534875</v>
      </c>
      <c r="GH321" s="4">
        <f>MIN(0.3, AM321^2*PI()/4*2*AP321/(N321^2*PI()/4*X321))</f>
        <v>0.18749999999999997</v>
      </c>
      <c r="GI321" s="4">
        <f>(K321/25.4)/(N321/25.4)^1.5/0.0024*(M321*145)^0.25/GF321/GG321/145</f>
        <v>372.94802512067884</v>
      </c>
    </row>
    <row r="322" spans="1:191" ht="12" customHeight="1" x14ac:dyDescent="0.3">
      <c r="A322" s="25">
        <v>394</v>
      </c>
      <c r="B322" s="4" t="s">
        <v>605</v>
      </c>
      <c r="C322" s="4">
        <v>2016</v>
      </c>
      <c r="D322" s="4" t="s">
        <v>309</v>
      </c>
      <c r="E322" s="14" t="s">
        <v>676</v>
      </c>
      <c r="F322" s="14"/>
      <c r="G322" s="14">
        <v>23</v>
      </c>
      <c r="H322" s="33" t="s">
        <v>562</v>
      </c>
      <c r="I322" s="5">
        <f>K322/N322</f>
        <v>10.130000000000001</v>
      </c>
      <c r="J322" s="38">
        <f>129/0.145</f>
        <v>889.65517241379314</v>
      </c>
      <c r="K322" s="96">
        <f>10.13*25.4</f>
        <v>257.30200000000002</v>
      </c>
      <c r="L322" s="4">
        <f>K322</f>
        <v>257.30200000000002</v>
      </c>
      <c r="M322" s="38">
        <f>4880/145</f>
        <v>33.655172413793103</v>
      </c>
      <c r="N322" s="96">
        <f>1*25.4</f>
        <v>25.4</v>
      </c>
      <c r="O322" s="7">
        <f>K322/N322</f>
        <v>10.130000000000001</v>
      </c>
      <c r="P322" s="7">
        <f>L322/N322</f>
        <v>10.130000000000001</v>
      </c>
      <c r="Q322" s="38">
        <f>17.3*25.4</f>
        <v>439.42</v>
      </c>
      <c r="R322" s="32">
        <f>S322/N322</f>
        <v>2.5</v>
      </c>
      <c r="S322" s="38">
        <f>2.5*25.4</f>
        <v>63.5</v>
      </c>
      <c r="T322" s="32">
        <f>U322/N322</f>
        <v>2.9999999999999996</v>
      </c>
      <c r="U322" s="39">
        <f>3*25.4</f>
        <v>76.199999999999989</v>
      </c>
      <c r="V322" s="32">
        <f>W322/N322</f>
        <v>10.3</v>
      </c>
      <c r="W322" s="7">
        <f>(Q322-X322*N322-2*S322)/(X322-1)</f>
        <v>261.62</v>
      </c>
      <c r="X322" s="38">
        <v>2</v>
      </c>
      <c r="Y322" s="7">
        <f>AN322</f>
        <v>6</v>
      </c>
      <c r="Z322" s="32">
        <f>AA322/N322</f>
        <v>20</v>
      </c>
      <c r="AA322" s="4">
        <f>20*25.4</f>
        <v>508</v>
      </c>
      <c r="AB322" s="7">
        <f>MIN(S322/N322+0.5, W322/2/N322+0.5)</f>
        <v>3</v>
      </c>
      <c r="AC322" s="7">
        <f>S322/N322+0.5</f>
        <v>3</v>
      </c>
      <c r="AD322" s="38">
        <v>4.0999999999999996</v>
      </c>
      <c r="AE322" s="4">
        <f>AD322</f>
        <v>4.0999999999999996</v>
      </c>
      <c r="AF322" s="4">
        <f>AE322+1</f>
        <v>5.0999999999999996</v>
      </c>
      <c r="AG322" s="7">
        <f>N322*AF322^0.5</f>
        <v>57.361276136431961</v>
      </c>
      <c r="AJ322" s="38">
        <f>AK322/0.145</f>
        <v>564.13793103448279</v>
      </c>
      <c r="AK322" s="4">
        <v>81.8</v>
      </c>
      <c r="AL322" s="4">
        <f>CY322</f>
        <v>0.9393306132040562</v>
      </c>
      <c r="AM322" s="38">
        <f>0.5*25.4</f>
        <v>12.7</v>
      </c>
      <c r="AN322" s="38">
        <v>6</v>
      </c>
      <c r="AO322" s="39">
        <f>7.5*25.4</f>
        <v>190.5</v>
      </c>
      <c r="AP322" s="39">
        <v>1</v>
      </c>
      <c r="AQ322" s="39">
        <v>1</v>
      </c>
      <c r="AR322" s="7"/>
      <c r="AS322" s="4">
        <f>K322</f>
        <v>257.30200000000002</v>
      </c>
      <c r="AT322" s="4">
        <f>IF(K322*3&gt;W322+N322, Q322, (S322+N322/2)*2+1.5*K322*(2*X322-2))*(3*K322)/(9*K322^2)</f>
        <v>0.56926620598881206</v>
      </c>
      <c r="AU322" s="4">
        <f>MIN(10*M322^0.5*K322^1.5,100*3.9*M322^0.5*K322^(5/3))/(PI()/4*N322^2)/X322</f>
        <v>236.26714999168641</v>
      </c>
      <c r="AV322" s="4">
        <f>MIN(0.7+0.3*(MIN(S322,AA322)+0.5*N322)/1.5/K322,1)</f>
        <v>0.75923000987166822</v>
      </c>
      <c r="AW322" s="4">
        <v>1.25</v>
      </c>
      <c r="AX322" s="4">
        <f>AX321</f>
        <v>2.5</v>
      </c>
      <c r="AY322" s="38">
        <f>AT322*AV322*AW322*AX322*AU322</f>
        <v>319.11126334066762</v>
      </c>
      <c r="AZ322" s="38">
        <f>AY322</f>
        <v>319.11126334066762</v>
      </c>
      <c r="BA322" s="38">
        <f>IF(M322&lt;50, 0.3*M322^(2/3), 2.12*LN(1+0.1*(M322+8)))</f>
        <v>3.1272010355053257</v>
      </c>
      <c r="BB322" s="38">
        <f>AX322* (M322^0.5/AS322^0.5)/(PI()/4*N322^2)/X322/0.72 *(0.7+(MIN(S322,AA322)+0.5*N322)/5/K322) *(3*Q322*K322)</f>
        <v>319.11126334066768</v>
      </c>
      <c r="BC322" s="38">
        <f>AY322/BB322</f>
        <v>0.99999999999999978</v>
      </c>
      <c r="BD322" s="38">
        <f>BH322/BB322</f>
        <v>1.2813060158485035</v>
      </c>
      <c r="BE322" s="4">
        <f>IF(BD322&lt;1,1,0)</f>
        <v>0</v>
      </c>
      <c r="BF322" s="4">
        <f>L322/N322*M322^0.5/0.19</f>
        <v>309.30130636363941</v>
      </c>
      <c r="BG322" s="4">
        <f>MIN(0.6+0.4*(AC322/AB322),2)</f>
        <v>1</v>
      </c>
      <c r="BH322" s="38">
        <f>2*M322*AB322*AD322^0.5*BG322*0.7/0.7</f>
        <v>408.87918144341347</v>
      </c>
      <c r="BI322" s="4">
        <f>MAX(1-0.7*AE322/5,0.3)</f>
        <v>0.42600000000000005</v>
      </c>
      <c r="BJ322" s="4">
        <f>BI322*J322*L322/(J322*N322/2.75/M322^0.5)</f>
        <v>68.84583127695069</v>
      </c>
      <c r="BK322" s="4">
        <f>BH322+BJ322</f>
        <v>477.72501272036413</v>
      </c>
      <c r="BM322" s="4">
        <f>MIN(1.5, 0.75+0.25*MIN(3,MAX(1,S322/N322))+0.4*MIN(1,(40*2*PI()*AM322^2/4/AO322/X322)/N322))</f>
        <v>1.5</v>
      </c>
      <c r="BN322" s="4">
        <f>(3*P322+30)*BM322*M322^0.5</f>
        <v>525.51146880755698</v>
      </c>
      <c r="BP322" s="4">
        <f>3.4/PI()^0.5*M322*AB322*AE322^0.5*BG322</f>
        <v>392.16513766984178</v>
      </c>
      <c r="BQ322" s="4">
        <f>8/3*AH322*AI322^2/(AG322-N322-22)/N322*(AG322^2-N322^2)/(AG322^2-(N322+22)^2)</f>
        <v>0</v>
      </c>
      <c r="BR322" s="4">
        <f>BQ322/BP322</f>
        <v>0</v>
      </c>
      <c r="BZ322" s="4">
        <f>IF(W322=0,S322,MIN(W322/2,S322))</f>
        <v>63.5</v>
      </c>
      <c r="CD322" s="9"/>
      <c r="CF322" s="9"/>
      <c r="CG322" s="9"/>
      <c r="CH322" s="9">
        <f>IF(W322=0,MIN(S322,U322),MIN(W322/2,S322,U322))</f>
        <v>63.5</v>
      </c>
      <c r="CI322" s="9">
        <f>MAX(W322/2,S322)</f>
        <v>130.81</v>
      </c>
      <c r="CJ322" s="9">
        <f>(CH322/N322)^0.5*(CI322/CH322)^0.15</f>
        <v>1.7621792676747374</v>
      </c>
      <c r="CK322" s="70">
        <f>IF(AO322&gt;1,20,0)</f>
        <v>20</v>
      </c>
      <c r="CL322" s="9">
        <f>MIN(PI()*AM322^2/4*AN322*2/X322/N322/MAX(0.01,AO322),0.05)</f>
        <v>0.05</v>
      </c>
      <c r="CM322" s="9">
        <f>MAX(0,CK322*(CL322-0.5/50))</f>
        <v>0.8</v>
      </c>
      <c r="CN322" s="9">
        <f>MIN(1,(25/N322)^0.3)</f>
        <v>0.99524931562137331</v>
      </c>
      <c r="CO322" s="9">
        <f>IF(J322&gt;=800,0.68,IF(J322&gt;=700,0.75-(J322-700)*0.07/100,IF(J322&gt;=600,0.85-(J322-600)*0.1/100,IF(J322&gt;=500,1-(J322-500)*0.15/100,1.2-(J322-400)*0.2/100))))</f>
        <v>0.68</v>
      </c>
      <c r="CP322" s="9">
        <f>1.75*CN322*CO322*(M322/25)^0.5</f>
        <v>1.3741519375646418</v>
      </c>
      <c r="CQ322" s="9">
        <f>MIN((CJ322+CM322)*CP322,2.5*CP322,M322^0.5)</f>
        <v>3.4353798439116048</v>
      </c>
      <c r="CR322" s="40">
        <v>1</v>
      </c>
      <c r="CS322" s="9">
        <f>4*CQ322*P322+60*CQ322</f>
        <v>345.32438190999449</v>
      </c>
      <c r="CU322" s="4">
        <f>AJ322/BF322</f>
        <v>1.8239105992369686</v>
      </c>
      <c r="CV322" s="4">
        <f>AJ322/BK322</f>
        <v>1.180884224215198</v>
      </c>
      <c r="CW322" s="4">
        <f>AJ322/BN322</f>
        <v>1.0735026055940766</v>
      </c>
      <c r="CX322" s="4">
        <f>AJ322/CS322</f>
        <v>1.6336463933251026</v>
      </c>
      <c r="CY322" s="4">
        <f>AJ322/DZ322</f>
        <v>0.9393306132040562</v>
      </c>
      <c r="CZ322" s="4">
        <f>AJ322/EL322</f>
        <v>1.0134345640672162</v>
      </c>
      <c r="DA322" s="4">
        <f>AJ322/GI322</f>
        <v>1.0515170046860745</v>
      </c>
      <c r="DB322" s="4">
        <f>AN322</f>
        <v>6</v>
      </c>
      <c r="DI322" s="4">
        <f>CU322</f>
        <v>1.8239105992369686</v>
      </c>
      <c r="DJ322" s="4">
        <f>CV322</f>
        <v>1.180884224215198</v>
      </c>
      <c r="DK322" s="4">
        <f>CX322</f>
        <v>1.6336463933251026</v>
      </c>
      <c r="DL322" s="4">
        <f>DA322</f>
        <v>1.0515170046860745</v>
      </c>
      <c r="DM322" s="4">
        <f>CY322</f>
        <v>0.9393306132040562</v>
      </c>
      <c r="DN322" s="4">
        <f>CZ322</f>
        <v>1.0134345640672162</v>
      </c>
      <c r="DQ322" s="4">
        <f>L322</f>
        <v>257.30200000000002</v>
      </c>
      <c r="DT322" s="4">
        <f>K322/4/(1-0.3*(M322/30)^0.5)/200000/N322</f>
        <v>1.855993152190142E-5</v>
      </c>
      <c r="DU322" s="4">
        <f>EP322</f>
        <v>7.9242050079843862</v>
      </c>
      <c r="DV322" s="4">
        <f>EC322*AG322/257/M322/AD322</f>
        <v>0.51616926142690911</v>
      </c>
      <c r="DW322" s="4">
        <f>DU322*DV322^0.4</f>
        <v>6.0823661140843202</v>
      </c>
      <c r="DX322" s="4">
        <f>MIN(DU322, DU322/1.4*(1-DV322^1.4)/(1-DV322))</f>
        <v>7.063678327525893</v>
      </c>
      <c r="DY322" s="4">
        <f>MAX(DU322/2, (4-DT322*(8*AG322*(DW322-DX322)+6*K322*DX322))/(4+DT322*K322*DU322)*DU322)</f>
        <v>7.4691435952565444</v>
      </c>
      <c r="DZ322" s="38">
        <f>MIN(1/N322*(4*AG322*(DW322-DX322)+(3*DX322+DY322)*K322)+EC322 -FJ322,MAX(J322,AJ322))</f>
        <v>600.57441235754959</v>
      </c>
      <c r="EA322" s="4">
        <f>DZ322/FF322</f>
        <v>1.0001209489672991</v>
      </c>
      <c r="EB322" s="4">
        <f>AG322/N322</f>
        <v>2.2583179581272428</v>
      </c>
      <c r="EC322" s="4">
        <f>MIN(EB$10*BB322)</f>
        <v>319.11126334066768</v>
      </c>
      <c r="EG322" s="4">
        <f>IF(U322&gt;1*N322,0.85,1)</f>
        <v>0.85</v>
      </c>
      <c r="EH322" s="4">
        <f>MIN(1,MAX(0.7,(1-0.1*(BZ322-1*N322)/N322)))</f>
        <v>0.85</v>
      </c>
      <c r="EI322" s="4">
        <f>MIN(1,MAX(0.7,1-0.3*(PI()*AM322^2/4*AQ322*2-0.25*PI()/4*N322^2)/(PI()/4*N322^2)))</f>
        <v>0.92500000000000004</v>
      </c>
      <c r="EJ322" s="4">
        <f>IF(EH322*EI322&lt;0.7,0.7,EH322*EI322)</f>
        <v>0.78625</v>
      </c>
      <c r="EL322" s="4">
        <f>MIN(DU322/N322*3*K322+EM322-FJ322,MAX(J322,AJ322))</f>
        <v>556.65945393694528</v>
      </c>
      <c r="EM322" s="25">
        <f>13.3*Q322*K322^0.5*M322^0.5/X322/N322^2*(0.7+S322/5/K322)</f>
        <v>315.84286374429968</v>
      </c>
      <c r="EO322" s="4">
        <f>EG322*EJ322</f>
        <v>0.66831249999999998</v>
      </c>
      <c r="EP322" s="4">
        <f>IF(N322&lt;22.2,1.1*5*(M322/30)^0.5,IF(N322&gt;=31.8,0.9*5*(M322/30)^0.5,1*5*(M322/30)^0.5))/EG322/EJ322</f>
        <v>7.9242050079843862</v>
      </c>
      <c r="ES322" s="4">
        <f>ET322*N322</f>
        <v>57.361276136431961</v>
      </c>
      <c r="ET322" s="4">
        <f>AF322^0.5</f>
        <v>2.2583179581272428</v>
      </c>
      <c r="EU322" s="4">
        <f>MIN(EC322)/(4700*M322^0.5)/AE322*ES322</f>
        <v>0.16373944478742095</v>
      </c>
      <c r="EX322" s="4">
        <f>EU322</f>
        <v>0.16373944478742095</v>
      </c>
      <c r="EY322" s="4">
        <f>MIN(0.999, EX322/(0.3*(M322/30)^0.5))</f>
        <v>0.5153078711304605</v>
      </c>
      <c r="EZ322" s="4">
        <f>EP322/1*EY322^0.4</f>
        <v>6.0783039454128431</v>
      </c>
      <c r="FA322" s="4">
        <f>EP322/1.4*(1-EY322^1.4)/(1-EY322)</f>
        <v>7.0619307396611051</v>
      </c>
      <c r="FB322" s="4">
        <f>MAX(0,DQ322*FB$9-ES322)</f>
        <v>135.61522386356805</v>
      </c>
      <c r="FC322" s="4">
        <f>MAX(0,DQ322-ES322-FB322)</f>
        <v>64.325500000000005</v>
      </c>
      <c r="FD322" s="4">
        <f>FC322/(1-0.3*(M322/30)^0.5)/200000/N322</f>
        <v>1.855993152190142E-5</v>
      </c>
      <c r="FE322" s="4">
        <f>MAX(0.5*EP322, (1-2*FD322*(ES322*EZ322+FB322*FA322))/(1/EP322+FD322*FC322))</f>
        <v>7.4692805510696889</v>
      </c>
      <c r="FF322" s="4">
        <f>MIN(4/N322*(1*EZ322*ES322+FA322*FB322+FC322*FE322)+EC322,MAX(J322,AJ322))</f>
        <v>600.5017822871207</v>
      </c>
      <c r="FO322" s="23">
        <f>IF(CU322&lt;0.6,0.6,IF(CU322&lt;0.8,0.8,IF(CU322&lt;1,1,IF(CU322&lt;1.2,1.2,IF(CU322&lt;1.4,1.4,IF(CU322&lt;1.6,1.6,IF(CU322&lt;1.8,1.8,IF(CU322&lt;2,2,2.2))))))))</f>
        <v>2</v>
      </c>
      <c r="FP322" s="23">
        <f>IF(CV322&lt;0.6,0.6,IF(CV322&lt;0.8,0.8,IF(CV322&lt;1,1,IF(CV322&lt;1.2,1.2,IF(CV322&lt;1.4,1.4,IF(CV322&lt;1.6,1.6,IF(CV322&lt;1.8,1.8,IF(CV322&lt;2,2,2.2))))))))</f>
        <v>1.2</v>
      </c>
      <c r="FQ322" s="23">
        <f>IF(DA322&lt;0.6,0.6,IF(DA322&lt;0.8,0.8,IF(DA322&lt;1,1,IF(DA322&lt;1.2,1.2,IF(DA322&lt;1.4,1.4,IF(DA322&lt;1.6,1.6,IF(DA322&lt;1.8,1.8,IF(DA322&lt;2,2,2.2))))))))</f>
        <v>1.2</v>
      </c>
      <c r="FR322" s="23">
        <f>IF(CX322&lt;0.6,0.6,IF(CX322&lt;0.8,0.8,IF(CX322&lt;1,1,IF(CX322&lt;1.2,1.2,IF(CX322&lt;1.4,1.4,IF(CX322&lt;1.6,1.6,IF(CX322&lt;1.8,1.8,IF(CX322&lt;2,2,2.2))))))))</f>
        <v>1.8</v>
      </c>
      <c r="FS322" s="23">
        <f>IF(CY322&lt;0.6,0.6,IF(CY322&lt;0.8,0.8,IF(CY322&lt;1,1,IF(CY322&lt;1.2,1.2,IF(CY322&lt;1.4,1.4,IF(CY322&lt;1.6,1.6,IF(CY322&lt;1.8,1.8,IF(CY322&lt;2,2,2.2))))))))</f>
        <v>1</v>
      </c>
      <c r="FT322" s="23">
        <f>IF(CZ322&lt;0.6,0.6,IF(CZ322&lt;0.8,0.8,IF(CZ322&lt;1,1,IF(CZ322&lt;1.2,1.2,IF(CZ322&lt;1.4,1.4,IF(CZ322&lt;1.6,1.6,IF(CZ322&lt;1.8,1.8,IF(CZ322&lt;2,2,2.2))))))))</f>
        <v>1.2</v>
      </c>
      <c r="FU322" s="23">
        <f>IF(FS322&lt;1,1,0)</f>
        <v>0</v>
      </c>
      <c r="FV322" s="23"/>
      <c r="GF322" s="4">
        <f>IF(S322&gt;=2.5*25.4,1,1.25)</f>
        <v>1</v>
      </c>
      <c r="GG322" s="4">
        <f>IF(AO322&gt;1, 0.05*(18-MIN(8,(W322+N322)/N322))*(1-48000/MAX(60000,(J322*145))*(N322/25.4)^0.75*GH322), 1/12*(14-MIN(8,(W322+N322)/N322)))</f>
        <v>0.45348837209302328</v>
      </c>
      <c r="GH322" s="4">
        <f>MIN(0.3, AM322^2*PI()/4*2*AP322/(N322^2*PI()/4*X322))</f>
        <v>0.25</v>
      </c>
      <c r="GI322" s="4">
        <f>(K322/25.4)/(N322/25.4)^1.5/0.0024*(M322*145)^0.25/GF322/GG322/145</f>
        <v>536.4991041708389</v>
      </c>
    </row>
    <row r="323" spans="1:191" ht="12" customHeight="1" x14ac:dyDescent="0.3">
      <c r="A323" s="25">
        <v>396</v>
      </c>
      <c r="B323" s="4" t="s">
        <v>605</v>
      </c>
      <c r="C323" s="4">
        <v>2016</v>
      </c>
      <c r="D323" s="4" t="s">
        <v>309</v>
      </c>
      <c r="E323" s="14" t="s">
        <v>676</v>
      </c>
      <c r="F323" s="14"/>
      <c r="G323" s="14">
        <v>23</v>
      </c>
      <c r="H323" s="33" t="s">
        <v>564</v>
      </c>
      <c r="I323" s="5">
        <f>K323/N323</f>
        <v>10.1</v>
      </c>
      <c r="J323" s="38">
        <f>129/0.145</f>
        <v>889.65517241379314</v>
      </c>
      <c r="K323" s="96">
        <f>10.1*25.4</f>
        <v>256.53999999999996</v>
      </c>
      <c r="L323" s="4">
        <f>K323</f>
        <v>256.53999999999996</v>
      </c>
      <c r="M323" s="38">
        <f>4880/145</f>
        <v>33.655172413793103</v>
      </c>
      <c r="N323" s="96">
        <f>1*25.4</f>
        <v>25.4</v>
      </c>
      <c r="O323" s="7">
        <f>K323/N323</f>
        <v>10.1</v>
      </c>
      <c r="P323" s="7">
        <f>L323/N323</f>
        <v>10.1</v>
      </c>
      <c r="Q323" s="38">
        <f>17.5*25.4</f>
        <v>444.5</v>
      </c>
      <c r="R323" s="32">
        <f>S323/N323</f>
        <v>2.7</v>
      </c>
      <c r="S323" s="38">
        <f>2.7*25.4</f>
        <v>68.58</v>
      </c>
      <c r="T323" s="32">
        <f>U323/N323</f>
        <v>3.15</v>
      </c>
      <c r="U323" s="39">
        <f>3.15*25.4</f>
        <v>80.009999999999991</v>
      </c>
      <c r="V323" s="32">
        <f>W323/N323</f>
        <v>10.1</v>
      </c>
      <c r="W323" s="7">
        <f>(Q323-X323*N323-2*S323)/(X323-1)</f>
        <v>256.53999999999996</v>
      </c>
      <c r="X323" s="38">
        <v>2</v>
      </c>
      <c r="Y323" s="7">
        <f>AN323</f>
        <v>10</v>
      </c>
      <c r="Z323" s="32">
        <f>AA323/N323</f>
        <v>20</v>
      </c>
      <c r="AA323" s="4">
        <f>20*25.4</f>
        <v>508</v>
      </c>
      <c r="AB323" s="7">
        <f>MIN(S323/N323+0.5, W323/2/N323+0.5)</f>
        <v>3.2</v>
      </c>
      <c r="AC323" s="7">
        <f>S323/N323+0.5</f>
        <v>3.2</v>
      </c>
      <c r="AD323" s="38">
        <v>4.0999999999999996</v>
      </c>
      <c r="AE323" s="4">
        <f>AD323</f>
        <v>4.0999999999999996</v>
      </c>
      <c r="AF323" s="4">
        <f>AE323+1</f>
        <v>5.0999999999999996</v>
      </c>
      <c r="AG323" s="7">
        <f>N323*AF323^0.5</f>
        <v>57.361276136431961</v>
      </c>
      <c r="AJ323" s="38">
        <f>AK323/0.145</f>
        <v>613.10344827586221</v>
      </c>
      <c r="AK323" s="4">
        <v>88.9</v>
      </c>
      <c r="AL323" s="4">
        <f>CY323</f>
        <v>0.95884996399514588</v>
      </c>
      <c r="AM323" s="38">
        <f>0.5*25.4</f>
        <v>12.7</v>
      </c>
      <c r="AN323" s="38">
        <v>10</v>
      </c>
      <c r="AO323" s="39">
        <f>5*25.4</f>
        <v>127</v>
      </c>
      <c r="AP323" s="39">
        <v>3</v>
      </c>
      <c r="AQ323" s="39">
        <f>AP323-1</f>
        <v>2</v>
      </c>
      <c r="AR323" s="7"/>
      <c r="AS323" s="4">
        <f>K323</f>
        <v>256.53999999999996</v>
      </c>
      <c r="AT323" s="4">
        <f>IF(K323*3&gt;W323+N323, Q323, (S323+N323/2)*2+1.5*K323*(2*X323-2))*(3*K323)/(9*K323^2)</f>
        <v>0.57755775577557766</v>
      </c>
      <c r="AU323" s="4">
        <f>MIN(10*M323^0.5*K323^1.5,100*3.9*M323^0.5*K323^(5/3))/(PI()/4*N323^2)/X323</f>
        <v>235.21836952025916</v>
      </c>
      <c r="AV323" s="4">
        <f>MIN(0.7+0.3*(MIN(S323,AA323)+0.5*N323)/1.5/K323,1)</f>
        <v>0.76336633663366338</v>
      </c>
      <c r="AW323" s="4">
        <v>1.25</v>
      </c>
      <c r="AX323" s="4">
        <f>AX322</f>
        <v>2.5</v>
      </c>
      <c r="AY323" s="38">
        <f>AT323*AV323*AW323*AX323*AU323</f>
        <v>324.07809801654423</v>
      </c>
      <c r="AZ323" s="38">
        <f>AY323</f>
        <v>324.07809801654423</v>
      </c>
      <c r="BA323" s="38">
        <f>IF(M323&lt;50, 0.3*M323^(2/3), 2.12*LN(1+0.1*(M323+8)))</f>
        <v>3.1272010355053257</v>
      </c>
      <c r="BB323" s="38">
        <f>AX323* (M323^0.5/AS323^0.5)/(PI()/4*N323^2)/X323/0.72 *(0.7+(MIN(S323,AA323)+0.5*N323)/5/K323) *(3*Q323*K323)</f>
        <v>324.07809801654435</v>
      </c>
      <c r="BC323" s="38">
        <f>AY323/BB323</f>
        <v>0.99999999999999967</v>
      </c>
      <c r="BD323" s="38">
        <f>BH323/BB323</f>
        <v>1.3457799098702932</v>
      </c>
      <c r="BE323" s="4">
        <f>IF(BD323&lt;1,1,0)</f>
        <v>0</v>
      </c>
      <c r="BF323" s="4">
        <f>L323/N323*M323^0.5/0.19</f>
        <v>308.38531039217742</v>
      </c>
      <c r="BG323" s="4">
        <f>MIN(0.6+0.4*(AC323/AB323),2)</f>
        <v>1</v>
      </c>
      <c r="BH323" s="38">
        <f>2*M323*AB323*AD323^0.5*BG323*0.7/0.7</f>
        <v>436.13779353964105</v>
      </c>
      <c r="BI323" s="4">
        <f>MAX(1-0.7*AE323/5,0.3)</f>
        <v>0.42600000000000005</v>
      </c>
      <c r="BJ323" s="4">
        <f>BI323*J323*L323/(J323*N323/2.75/M323^0.5)</f>
        <v>68.641944313642824</v>
      </c>
      <c r="BK323" s="4">
        <f>BH323+BJ323</f>
        <v>504.7797378532839</v>
      </c>
      <c r="BM323" s="4">
        <f>MIN(1.5, 0.75+0.25*MIN(3,MAX(1,S323/N323))+0.4*MIN(1,(40*2*PI()*AM323^2/4/AO323/X323)/N323))</f>
        <v>1.5</v>
      </c>
      <c r="BN323" s="4">
        <f>(3*P323+30)*BM323*M323^0.5</f>
        <v>524.72829225195699</v>
      </c>
      <c r="BP323" s="4">
        <f>3.4/PI()^0.5*M323*AB323*AE323^0.5*BG323</f>
        <v>418.30948018116464</v>
      </c>
      <c r="BQ323" s="4">
        <f>8/3*AH323*AI323^2/(AG323-N323-22)/N323*(AG323^2-N323^2)/(AG323^2-(N323+22)^2)</f>
        <v>0</v>
      </c>
      <c r="BR323" s="4">
        <f>BQ323/BP323</f>
        <v>0</v>
      </c>
      <c r="BZ323" s="4">
        <f>IF(W323=0,S323,MIN(W323/2,S323))</f>
        <v>68.58</v>
      </c>
      <c r="CD323" s="9"/>
      <c r="CF323" s="9"/>
      <c r="CG323" s="9"/>
      <c r="CH323" s="9">
        <f>IF(W323=0,MIN(S323,U323),MIN(W323/2,S323,U323))</f>
        <v>68.58</v>
      </c>
      <c r="CI323" s="9">
        <f>MAX(W323/2,S323)</f>
        <v>128.26999999999998</v>
      </c>
      <c r="CJ323" s="9">
        <f>(CH323/N323)^0.5*(CI323/CH323)^0.15</f>
        <v>1.8049743064805013</v>
      </c>
      <c r="CK323" s="70">
        <f>IF(AO323&gt;1,20,0)</f>
        <v>20</v>
      </c>
      <c r="CL323" s="9">
        <f>MIN(PI()*AM323^2/4*AN323*2/X323/N323/MAX(0.01,AO323),0.05)</f>
        <v>0.05</v>
      </c>
      <c r="CM323" s="9">
        <f>MAX(0,CK323*(CL323-0.5/50))</f>
        <v>0.8</v>
      </c>
      <c r="CN323" s="9">
        <f>MIN(1,(25/N323)^0.3)</f>
        <v>0.99524931562137331</v>
      </c>
      <c r="CO323" s="9">
        <f>IF(J323&gt;=800,0.68,IF(J323&gt;=700,0.75-(J323-700)*0.07/100,IF(J323&gt;=600,0.85-(J323-600)*0.1/100,IF(J323&gt;=500,1-(J323-500)*0.15/100,1.2-(J323-400)*0.2/100))))</f>
        <v>0.68</v>
      </c>
      <c r="CP323" s="9">
        <f>1.75*CN323*CO323*(M323/25)^0.5</f>
        <v>1.3741519375646418</v>
      </c>
      <c r="CQ323" s="9">
        <f>MIN((CJ323+CM323)*CP323,2.5*CP323,M323^0.5)</f>
        <v>3.4353798439116048</v>
      </c>
      <c r="CR323" s="40">
        <v>1</v>
      </c>
      <c r="CS323" s="9">
        <f>4*CQ323*P323+60*CQ323</f>
        <v>344.91213632872513</v>
      </c>
      <c r="CU323" s="4">
        <f>AJ323/BF323</f>
        <v>1.9881084721453528</v>
      </c>
      <c r="CV323" s="4">
        <f>AJ323/BK323</f>
        <v>1.2145959956381271</v>
      </c>
      <c r="CW323" s="4">
        <f>AJ323/BN323</f>
        <v>1.1684207947786249</v>
      </c>
      <c r="CX323" s="4">
        <f>AJ323/CS323</f>
        <v>1.7775641495303378</v>
      </c>
      <c r="CY323" s="4">
        <f>AJ323/DZ323</f>
        <v>0.95884996399514588</v>
      </c>
      <c r="CZ323" s="4">
        <f>AJ323/EL323</f>
        <v>1.0383544149159285</v>
      </c>
      <c r="DA323" s="4">
        <f>AJ323/GI323</f>
        <v>1.1226686234334839</v>
      </c>
      <c r="DB323" s="4">
        <f>AN323</f>
        <v>10</v>
      </c>
      <c r="DI323" s="4">
        <f>CU323</f>
        <v>1.9881084721453528</v>
      </c>
      <c r="DJ323" s="4">
        <f>CV323</f>
        <v>1.2145959956381271</v>
      </c>
      <c r="DK323" s="4">
        <f>CX323</f>
        <v>1.7775641495303378</v>
      </c>
      <c r="DL323" s="4">
        <f>DA323</f>
        <v>1.1226686234334839</v>
      </c>
      <c r="DM323" s="4">
        <f>CY323</f>
        <v>0.95884996399514588</v>
      </c>
      <c r="DN323" s="4">
        <f>CZ323</f>
        <v>1.0383544149159285</v>
      </c>
      <c r="DQ323" s="4">
        <f>L323</f>
        <v>256.53999999999996</v>
      </c>
      <c r="DT323" s="4">
        <f>K323/4/(1-0.3*(M323/30)^0.5)/200000/N323</f>
        <v>1.8504966275538429E-5</v>
      </c>
      <c r="DU323" s="4">
        <f>EP323</f>
        <v>8.9005802678967481</v>
      </c>
      <c r="DV323" s="4">
        <f>EC323*AG323/257/M323/AD323</f>
        <v>0.5242032222449573</v>
      </c>
      <c r="DW323" s="4">
        <f>DU323*DV323^0.4</f>
        <v>6.8741371952114356</v>
      </c>
      <c r="DX323" s="4">
        <f>MIN(DU323, DU323/1.4*(1-DV323^1.4)/(1-DV323))</f>
        <v>7.9522777785905845</v>
      </c>
      <c r="DY323" s="4">
        <f>MAX(DU323/2, (4-DT323*(8*AG323*(DW323-DX323)+6*K323*DX323))/(4+DT323*K323*DU323)*DU323)</f>
        <v>8.3289542482658874</v>
      </c>
      <c r="DZ323" s="38">
        <f>MIN(1/N323*(4*AG323*(DW323-DX323)+(3*DX323+DY323)*K323)+EC323 -FJ323,MAX(J323,AJ323))</f>
        <v>639.41541565200077</v>
      </c>
      <c r="EA323" s="4">
        <f>DZ323/FF323</f>
        <v>1.0001280885524086</v>
      </c>
      <c r="EB323" s="4">
        <f>AG323/N323</f>
        <v>2.2583179581272428</v>
      </c>
      <c r="EC323" s="4">
        <f>MIN(EB$10*BB323)</f>
        <v>324.07809801654435</v>
      </c>
      <c r="EG323" s="4">
        <f>IF(U323&gt;1*N323,0.85,1)</f>
        <v>0.85</v>
      </c>
      <c r="EH323" s="4">
        <f>MIN(1,MAX(0.7,(1-0.1*(BZ323-1*N323)/N323)))</f>
        <v>0.83</v>
      </c>
      <c r="EI323" s="4">
        <f>MIN(1,MAX(0.7,1-0.3*(PI()*AM323^2/4*AQ323*2-0.25*PI()/4*N323^2)/(PI()/4*N323^2)))</f>
        <v>0.77500000000000002</v>
      </c>
      <c r="EJ323" s="4">
        <f>IF(EH323*EI323&lt;0.7,0.7,EH323*EI323)</f>
        <v>0.7</v>
      </c>
      <c r="EL323" s="4">
        <f>MIN(DU323/N323*3*K323+EM323-FJ323,MAX(J323,AJ323))</f>
        <v>590.45682232256195</v>
      </c>
      <c r="EM323" s="25">
        <f>13.3*Q323*K323^0.5*M323^0.5/X323/N323^2*(0.7+S323/5/K323)</f>
        <v>320.76924020529049</v>
      </c>
      <c r="EO323" s="4">
        <f>EG323*EJ323</f>
        <v>0.59499999999999997</v>
      </c>
      <c r="EP323" s="4">
        <f>IF(N323&lt;22.2,1.1*5*(M323/30)^0.5,IF(N323&gt;=31.8,0.9*5*(M323/30)^0.5,1*5*(M323/30)^0.5))/EG323/EJ323</f>
        <v>8.9005802678967481</v>
      </c>
      <c r="ES323" s="4">
        <f>ET323*N323</f>
        <v>57.361276136431961</v>
      </c>
      <c r="ET323" s="4">
        <f>AF323^0.5</f>
        <v>2.2583179581272428</v>
      </c>
      <c r="EU323" s="4">
        <f>MIN(EC323)/(4700*M323^0.5)/AE323*ES323</f>
        <v>0.16628798144408777</v>
      </c>
      <c r="EX323" s="4">
        <f>EU323</f>
        <v>0.16628798144408777</v>
      </c>
      <c r="EY323" s="4">
        <f>MIN(0.999, EX323/(0.3*(M323/30)^0.5))</f>
        <v>0.52332842476523023</v>
      </c>
      <c r="EZ323" s="4">
        <f>EP323/1*EY323^0.4</f>
        <v>6.8695462343527716</v>
      </c>
      <c r="FA323" s="4">
        <f>EP323/1.4*(1-EY323^1.4)/(1-EY323)</f>
        <v>7.9502949408059536</v>
      </c>
      <c r="FB323" s="4">
        <f>MAX(0,DQ323*FB$9-ES323)</f>
        <v>135.043723863568</v>
      </c>
      <c r="FC323" s="4">
        <f>MAX(0,DQ323-ES323-FB323)</f>
        <v>64.134999999999991</v>
      </c>
      <c r="FD323" s="4">
        <f>FC323/(1-0.3*(M323/30)^0.5)/200000/N323</f>
        <v>1.8504966275538429E-5</v>
      </c>
      <c r="FE323" s="4">
        <f>MAX(0.5*EP323, (1-2*FD323*(ES323*EZ323+FB323*FA323))/(1/EP323+FD323*FC323))</f>
        <v>8.3291273734079496</v>
      </c>
      <c r="FF323" s="4">
        <f>MIN(4/N323*(1*EZ323*ES323+FA323*FB323+FC323*FE323)+EC323,MAX(J323,AJ323))</f>
        <v>639.33352434636095</v>
      </c>
      <c r="FO323" s="23">
        <f>IF(CU323&lt;0.6,0.6,IF(CU323&lt;0.8,0.8,IF(CU323&lt;1,1,IF(CU323&lt;1.2,1.2,IF(CU323&lt;1.4,1.4,IF(CU323&lt;1.6,1.6,IF(CU323&lt;1.8,1.8,IF(CU323&lt;2,2,2.2))))))))</f>
        <v>2</v>
      </c>
      <c r="FP323" s="23">
        <f>IF(CV323&lt;0.6,0.6,IF(CV323&lt;0.8,0.8,IF(CV323&lt;1,1,IF(CV323&lt;1.2,1.2,IF(CV323&lt;1.4,1.4,IF(CV323&lt;1.6,1.6,IF(CV323&lt;1.8,1.8,IF(CV323&lt;2,2,2.2))))))))</f>
        <v>1.4</v>
      </c>
      <c r="FQ323" s="23">
        <f>IF(DA323&lt;0.6,0.6,IF(DA323&lt;0.8,0.8,IF(DA323&lt;1,1,IF(DA323&lt;1.2,1.2,IF(DA323&lt;1.4,1.4,IF(DA323&lt;1.6,1.6,IF(DA323&lt;1.8,1.8,IF(DA323&lt;2,2,2.2))))))))</f>
        <v>1.2</v>
      </c>
      <c r="FR323" s="23">
        <f>IF(CX323&lt;0.6,0.6,IF(CX323&lt;0.8,0.8,IF(CX323&lt;1,1,IF(CX323&lt;1.2,1.2,IF(CX323&lt;1.4,1.4,IF(CX323&lt;1.6,1.6,IF(CX323&lt;1.8,1.8,IF(CX323&lt;2,2,2.2))))))))</f>
        <v>1.8</v>
      </c>
      <c r="FS323" s="23">
        <f>IF(CY323&lt;0.6,0.6,IF(CY323&lt;0.8,0.8,IF(CY323&lt;1,1,IF(CY323&lt;1.2,1.2,IF(CY323&lt;1.4,1.4,IF(CY323&lt;1.6,1.6,IF(CY323&lt;1.8,1.8,IF(CY323&lt;2,2,2.2))))))))</f>
        <v>1</v>
      </c>
      <c r="FT323" s="23">
        <f>IF(CZ323&lt;0.6,0.6,IF(CZ323&lt;0.8,0.8,IF(CZ323&lt;1,1,IF(CZ323&lt;1.2,1.2,IF(CZ323&lt;1.4,1.4,IF(CZ323&lt;1.6,1.6,IF(CZ323&lt;1.8,1.8,IF(CZ323&lt;2,2,2.2))))))))</f>
        <v>1.2</v>
      </c>
      <c r="FU323" s="23">
        <f>IF(FS323&lt;1,1,0)</f>
        <v>0</v>
      </c>
      <c r="FV323" s="23"/>
      <c r="GF323" s="4">
        <f>IF(S323&gt;=2.5*25.4,1,1.25)</f>
        <v>1</v>
      </c>
      <c r="GG323" s="4">
        <f>IF(AO323&gt;1, 0.05*(18-MIN(8,(W323+N323)/N323))*(1-48000/MAX(60000,(J323*145))*(N323/25.4)^0.75*GH323), 1/12*(14-MIN(8,(W323+N323)/N323)))</f>
        <v>0.44418604651162791</v>
      </c>
      <c r="GH323" s="4">
        <f>MIN(0.3, AM323^2*PI()/4*2*AP323/(N323^2*PI()/4*X323))</f>
        <v>0.3</v>
      </c>
      <c r="GI323" s="4">
        <f>(K323/25.4)/(N323/25.4)^1.5/0.0024*(M323*145)^0.25/GF323/GG323/145</f>
        <v>546.11257095686301</v>
      </c>
    </row>
    <row r="324" spans="1:191" ht="12" customHeight="1" x14ac:dyDescent="0.3">
      <c r="A324" s="25">
        <v>252</v>
      </c>
      <c r="B324" s="4" t="s">
        <v>605</v>
      </c>
      <c r="C324" s="4">
        <v>2016</v>
      </c>
      <c r="D324" s="4" t="s">
        <v>309</v>
      </c>
      <c r="E324" s="24" t="s">
        <v>664</v>
      </c>
      <c r="F324" s="24"/>
      <c r="G324" s="14">
        <v>18</v>
      </c>
      <c r="H324" s="7" t="s">
        <v>408</v>
      </c>
      <c r="I324" s="5">
        <f>K324/N324</f>
        <v>10.08</v>
      </c>
      <c r="J324" s="38">
        <f>129/0.145</f>
        <v>889.65517241379314</v>
      </c>
      <c r="K324" s="96">
        <f>10.08*25.4</f>
        <v>256.03199999999998</v>
      </c>
      <c r="L324" s="4">
        <f>K324</f>
        <v>256.03199999999998</v>
      </c>
      <c r="M324" s="94">
        <f>8260/145</f>
        <v>56.96551724137931</v>
      </c>
      <c r="N324" s="96">
        <f>1*25.4</f>
        <v>25.4</v>
      </c>
      <c r="O324" s="7">
        <f>K324/N324</f>
        <v>10.08</v>
      </c>
      <c r="P324" s="7">
        <f>L324/N324</f>
        <v>10.08</v>
      </c>
      <c r="Q324" s="38">
        <f>11.8*25.4</f>
        <v>299.72000000000003</v>
      </c>
      <c r="R324" s="32">
        <f>S324/N324</f>
        <v>2.4500000000000002</v>
      </c>
      <c r="S324" s="38">
        <f>2.45*25.4</f>
        <v>62.230000000000004</v>
      </c>
      <c r="T324" s="32">
        <f>U324/N324</f>
        <v>3.13</v>
      </c>
      <c r="U324" s="39">
        <f>3.13*25.4</f>
        <v>79.501999999999995</v>
      </c>
      <c r="V324" s="32">
        <f>W324/N324</f>
        <v>1.9500000000000006</v>
      </c>
      <c r="W324" s="7">
        <f>(Q324-X324*N324-2*S324)/(X324-1)</f>
        <v>49.530000000000015</v>
      </c>
      <c r="X324" s="38">
        <v>3</v>
      </c>
      <c r="Y324" s="7">
        <f>AN324</f>
        <v>4</v>
      </c>
      <c r="Z324" s="32">
        <f>AA324/N324</f>
        <v>10.25</v>
      </c>
      <c r="AA324" s="4">
        <f>10.25*25.4</f>
        <v>260.34999999999997</v>
      </c>
      <c r="AB324" s="7">
        <f>MIN(S324/N324+0.5, W324/2/N324+0.5)</f>
        <v>1.4750000000000003</v>
      </c>
      <c r="AC324" s="7">
        <f>S324/N324+0.5</f>
        <v>2.95</v>
      </c>
      <c r="AD324" s="38">
        <v>4.0999999999999996</v>
      </c>
      <c r="AE324" s="4">
        <f>AD324</f>
        <v>4.0999999999999996</v>
      </c>
      <c r="AF324" s="4">
        <f>AE324+1</f>
        <v>5.0999999999999996</v>
      </c>
      <c r="AG324" s="7">
        <f>N324*AF324^0.5</f>
        <v>57.361276136431961</v>
      </c>
      <c r="AJ324" s="38">
        <f>AK324/0.145</f>
        <v>540.68965517241384</v>
      </c>
      <c r="AK324" s="4">
        <v>78.400000000000006</v>
      </c>
      <c r="AL324" s="4">
        <f>CY324</f>
        <v>1.2275313013278444</v>
      </c>
      <c r="AM324" s="38">
        <f>0.375*25.4</f>
        <v>9.5249999999999986</v>
      </c>
      <c r="AN324" s="38">
        <v>4</v>
      </c>
      <c r="AO324" s="39">
        <f>5*25.4</f>
        <v>127</v>
      </c>
      <c r="AP324" s="39">
        <v>2</v>
      </c>
      <c r="AQ324" s="39">
        <v>1</v>
      </c>
      <c r="AR324" s="7"/>
      <c r="AS324" s="4">
        <f>K324</f>
        <v>256.03199999999998</v>
      </c>
      <c r="AT324" s="4">
        <f>IF(K324*3&gt;W324+N324, Q324, (S324+N324/2)*2+1.5*K324*(2*X324-2))*(3*K324)/(9*K324^2)</f>
        <v>0.39021164021164034</v>
      </c>
      <c r="AU324" s="4">
        <f>MIN(10*M324^0.5*K324^1.5,100*3.9*M324^0.5*K324^(5/3))/(PI()/4*N324^2)/X324</f>
        <v>203.40837312963279</v>
      </c>
      <c r="AV324" s="4">
        <f>MIN(0.7+0.3*(MIN(S324,AA324)+0.5*N324)/1.5/K324,1)</f>
        <v>0.758531746031746</v>
      </c>
      <c r="AW324" s="4">
        <v>1.25</v>
      </c>
      <c r="AX324" s="4">
        <f>AX323</f>
        <v>2.5</v>
      </c>
      <c r="AY324" s="38">
        <f>AT324*AV324*AW324*AX324*AU324</f>
        <v>188.14506442671836</v>
      </c>
      <c r="AZ324" s="38">
        <f>AY324</f>
        <v>188.14506442671836</v>
      </c>
      <c r="BA324" s="38">
        <f>IF(M324&lt;50, 0.3*M324^(2/3), 2.12*LN(1+0.1*(M324+8)))</f>
        <v>4.2706194667653463</v>
      </c>
      <c r="BB324" s="38">
        <f>AX324* (M324^0.5/AS324^0.5)/(PI()/4*N324^2)/X324/0.72 *(0.7+(MIN(S324,AA324)+0.5*N324)/5/K324) *(3*Q324*K324)</f>
        <v>188.14506442671828</v>
      </c>
      <c r="BC324" s="38">
        <f>AY324/BB324</f>
        <v>1.0000000000000004</v>
      </c>
      <c r="BD324" s="38">
        <f>BH324/BB324</f>
        <v>2.5319853880339886</v>
      </c>
      <c r="BE324" s="4">
        <f>IF(BD324&lt;1,1,0)</f>
        <v>0</v>
      </c>
      <c r="BF324" s="4">
        <f>L324/N324*M324^0.5/0.19</f>
        <v>400.41741140059798</v>
      </c>
      <c r="BG324" s="4">
        <f>MIN(0.6+0.4*(AC324/AB324),2)</f>
        <v>1.4</v>
      </c>
      <c r="BH324" s="38">
        <f>2*M324*AB324*AD324^0.5*BG324*0.7/0.7</f>
        <v>476.38055395916405</v>
      </c>
      <c r="BI324" s="4">
        <f>MAX(1-0.7*AE324/5,0.3)</f>
        <v>0.42600000000000005</v>
      </c>
      <c r="BJ324" s="4">
        <f>BI324*J324*L324/(J324*N324/2.75/M324^0.5)</f>
        <v>89.126909516602112</v>
      </c>
      <c r="BK324" s="4">
        <f>BH324+BJ324</f>
        <v>565.50746347576614</v>
      </c>
      <c r="BM324" s="4">
        <f>MIN(1.5, 0.75+0.25*MIN(3,MAX(1,S324/N324))+0.4*MIN(1,(40*2*PI()*AM324^2/4/AO324/X324)/N324))</f>
        <v>1.5</v>
      </c>
      <c r="BN324" s="4">
        <f>(3*P324+30)*BM324*M324^0.5</f>
        <v>681.99665534623284</v>
      </c>
      <c r="BP324" s="4">
        <f>3.4/PI()^0.5*M324*AB324*AE324^0.5*BG324</f>
        <v>456.90720879239922</v>
      </c>
      <c r="BQ324" s="4">
        <f>8/3*AH324*AI324^2/(AG324-N324-22)/N324*(AG324^2-N324^2)/(AG324^2-(N324+22)^2)</f>
        <v>0</v>
      </c>
      <c r="BR324" s="4">
        <f>BQ324/BP324</f>
        <v>0</v>
      </c>
      <c r="BZ324" s="4">
        <f>IF(W324=0,S324,MIN(W324/2,S324))</f>
        <v>24.765000000000008</v>
      </c>
      <c r="CD324" s="9"/>
      <c r="CF324" s="9"/>
      <c r="CG324" s="9"/>
      <c r="CH324" s="9">
        <f>IF(W324=0,MIN(S324,U324),MIN(W324/2,S324,U324))</f>
        <v>24.765000000000008</v>
      </c>
      <c r="CI324" s="9">
        <f>MAX(W324/2,S324)</f>
        <v>62.230000000000004</v>
      </c>
      <c r="CJ324" s="9">
        <f>(CH324/N324)^0.5*(CI324/CH324)^0.15</f>
        <v>1.1337740906768172</v>
      </c>
      <c r="CK324" s="70">
        <f>IF(AO324&gt;1,20,0)</f>
        <v>20</v>
      </c>
      <c r="CL324" s="9">
        <f>MIN(PI()*AM324^2/4*AN324*2/X324/N324/MAX(0.01,AO324),0.05)</f>
        <v>0.05</v>
      </c>
      <c r="CM324" s="9">
        <f>MAX(0,CK324*(CL324-0.5/50))</f>
        <v>0.8</v>
      </c>
      <c r="CN324" s="9">
        <f>MIN(1,(25/N324)^0.3)</f>
        <v>0.99524931562137331</v>
      </c>
      <c r="CO324" s="9">
        <f>IF(J324&gt;=800,0.68,IF(J324&gt;=700,0.75-(J324-700)*0.07/100,IF(J324&gt;=600,0.85-(J324-600)*0.1/100,IF(J324&gt;=500,1-(J324-500)*0.15/100,1.2-(J324-400)*0.2/100))))</f>
        <v>0.68</v>
      </c>
      <c r="CP324" s="9">
        <f>1.75*CN324*CO324*(M324/25)^0.5</f>
        <v>1.7877832632633699</v>
      </c>
      <c r="CQ324" s="9">
        <f>MIN((CJ324+CM324)*CP324,2.5*CP324,M324^0.5)</f>
        <v>3.4571689542443562</v>
      </c>
      <c r="CR324" s="40">
        <v>1</v>
      </c>
      <c r="CS324" s="9">
        <f>4*CQ324*P324+60*CQ324</f>
        <v>346.82318948979378</v>
      </c>
      <c r="CU324" s="4">
        <f>AJ324/BF324</f>
        <v>1.3503150456948545</v>
      </c>
      <c r="CV324" s="4">
        <f>AJ324/BK324</f>
        <v>0.95611409237498801</v>
      </c>
      <c r="CW324" s="4">
        <f>AJ324/BN324</f>
        <v>0.79280396895483174</v>
      </c>
      <c r="CX324" s="4">
        <f>AJ324/CS324</f>
        <v>1.558977806437378</v>
      </c>
      <c r="CY324" s="4">
        <f>AJ324/DZ324</f>
        <v>1.2275313013278444</v>
      </c>
      <c r="CZ324" s="4">
        <f>AJ324/EL324</f>
        <v>1.246854111705707</v>
      </c>
      <c r="DA324" s="4">
        <f>AJ324/GI324</f>
        <v>1.7132857924449365</v>
      </c>
      <c r="DB324" s="4">
        <f>AN324</f>
        <v>4</v>
      </c>
      <c r="DI324" s="4">
        <f>CU324</f>
        <v>1.3503150456948545</v>
      </c>
      <c r="DJ324" s="4">
        <f>CV324</f>
        <v>0.95611409237498801</v>
      </c>
      <c r="DK324" s="4">
        <f>CX324</f>
        <v>1.558977806437378</v>
      </c>
      <c r="DL324" s="4">
        <f>DA324</f>
        <v>1.7132857924449365</v>
      </c>
      <c r="DM324" s="4">
        <f>CY324</f>
        <v>1.2275313013278444</v>
      </c>
      <c r="DN324" s="4">
        <f>CZ324</f>
        <v>1.246854111705707</v>
      </c>
      <c r="DQ324" s="4">
        <f>L324</f>
        <v>256.03199999999998</v>
      </c>
      <c r="DT324" s="4">
        <f>K324/4/(1-0.3*(M324/30)^0.5)/200000/N324</f>
        <v>2.1479580373570616E-5</v>
      </c>
      <c r="DU324" s="4">
        <f>EP324</f>
        <v>8.182522155550533</v>
      </c>
      <c r="DV324" s="4">
        <f>EC324*AG324/257/M324/AD324</f>
        <v>0.17979706977117263</v>
      </c>
      <c r="DW324" s="4">
        <f>DU324*DV324^0.4</f>
        <v>4.1190800655574753</v>
      </c>
      <c r="DX324" s="4">
        <f>MIN(DU324, DU324/1.4*(1-DV324^1.4)/(1-DV324))</f>
        <v>6.4809080040143563</v>
      </c>
      <c r="DY324" s="4">
        <f>MAX(DU324/2, (4-DT324*(8*AG324*(DW324-DX324)+6*K324*DX324))/(4+DT324*K324*DU324)*DU324)</f>
        <v>7.7059970380125735</v>
      </c>
      <c r="DZ324" s="38">
        <f>MIN(1/N324*(4*AG324*(DW324-DX324)+(3*DX324+DY324)*K324)+EC324 -FJ324,MAX(J324,AJ324))</f>
        <v>440.4691388215839</v>
      </c>
      <c r="EA324" s="4">
        <f>DZ324/FF324</f>
        <v>1.0000958531675284</v>
      </c>
      <c r="EB324" s="4">
        <f>AG324/N324</f>
        <v>2.2583179581272428</v>
      </c>
      <c r="EC324" s="4">
        <f>MIN(EB$10*BB324)</f>
        <v>188.14506442671828</v>
      </c>
      <c r="EG324" s="4">
        <f>IF(U324&gt;1*N324,0.85,1)</f>
        <v>0.85</v>
      </c>
      <c r="EH324" s="4">
        <f>MIN(1,MAX(0.7,(1-0.1*(BZ324-1*N324)/N324)))</f>
        <v>1</v>
      </c>
      <c r="EI324" s="4">
        <f>MIN(1,MAX(0.7,1-0.3*(PI()*AM324^2/4*AQ324*2-0.25*PI()/4*N324^2)/(PI()/4*N324^2)))</f>
        <v>0.99062499999999998</v>
      </c>
      <c r="EJ324" s="4">
        <f>IF(EH324*EI324&lt;0.7,0.7,EH324*EI324)</f>
        <v>0.99062499999999998</v>
      </c>
      <c r="EL324" s="4">
        <f>MIN(DU324/N324*3*K324+EM324-FJ324,MAX(J324,AJ324))</f>
        <v>433.64307828503354</v>
      </c>
      <c r="EM324" s="25">
        <f>13.3*Q324*K324^0.5*M324^0.5/X324/N324^2*(0.7+S324/5/K324)</f>
        <v>186.20360830118545</v>
      </c>
      <c r="EO324" s="4">
        <f>EG324*EJ324</f>
        <v>0.84203125000000001</v>
      </c>
      <c r="EP324" s="4">
        <f>IF(N324&lt;22.2,1.1*5*(M324/30)^0.5,IF(N324&gt;=31.8,0.9*5*(M324/30)^0.5,1*5*(M324/30)^0.5))/EG324/EJ324</f>
        <v>8.182522155550533</v>
      </c>
      <c r="ES324" s="4">
        <f>ET324*N324</f>
        <v>57.361276136431961</v>
      </c>
      <c r="ET324" s="4">
        <f>AF324^0.5</f>
        <v>2.2583179581272428</v>
      </c>
      <c r="EU324" s="4">
        <f>MIN(EC324)/(4700*M324^0.5)/AE324*ES324</f>
        <v>7.4203415787966812E-2</v>
      </c>
      <c r="EX324" s="4">
        <f>EU324</f>
        <v>7.4203415787966812E-2</v>
      </c>
      <c r="EY324" s="4">
        <f>MIN(0.999, EX324/(0.3*(M324/30)^0.5))</f>
        <v>0.1794970219713431</v>
      </c>
      <c r="EZ324" s="4">
        <f>EP324/1*EY324^0.4</f>
        <v>4.1163290969896895</v>
      </c>
      <c r="FA324" s="4">
        <f>EP324/1.4*(1-EY324^1.4)/(1-EY324)</f>
        <v>6.4800438098095814</v>
      </c>
      <c r="FB324" s="4">
        <f>MAX(0,DQ324*FB$9-ES324)</f>
        <v>134.66272386356803</v>
      </c>
      <c r="FC324" s="4">
        <f>MAX(0,DQ324-ES324-FB324)</f>
        <v>64.007999999999981</v>
      </c>
      <c r="FD324" s="4">
        <f>FC324/(1-0.3*(M324/30)^0.5)/200000/N324</f>
        <v>2.1479580373570609E-5</v>
      </c>
      <c r="FE324" s="4">
        <f>MAX(0.5*EP324, (1-2*FD324*(ES324*EZ324+FB324*FA324))/(1/EP324+FD324*FC324))</f>
        <v>7.7060923418690388</v>
      </c>
      <c r="FF324" s="4">
        <f>MIN(4/N324*(1*EZ324*ES324+FA324*FB324+FC324*FE324)+EC324,MAX(J324,AJ324))</f>
        <v>440.42692250599691</v>
      </c>
      <c r="FO324" s="23">
        <f>IF(CU324&lt;0.6,0.6,IF(CU324&lt;0.8,0.8,IF(CU324&lt;1,1,IF(CU324&lt;1.2,1.2,IF(CU324&lt;1.4,1.4,IF(CU324&lt;1.6,1.6,IF(CU324&lt;1.8,1.8,IF(CU324&lt;2,2,2.2))))))))</f>
        <v>1.4</v>
      </c>
      <c r="FP324" s="23">
        <f>IF(CV324&lt;0.6,0.6,IF(CV324&lt;0.8,0.8,IF(CV324&lt;1,1,IF(CV324&lt;1.2,1.2,IF(CV324&lt;1.4,1.4,IF(CV324&lt;1.6,1.6,IF(CV324&lt;1.8,1.8,IF(CV324&lt;2,2,2.2))))))))</f>
        <v>1</v>
      </c>
      <c r="FQ324" s="23">
        <f>IF(DA324&lt;0.6,0.6,IF(DA324&lt;0.8,0.8,IF(DA324&lt;1,1,IF(DA324&lt;1.2,1.2,IF(DA324&lt;1.4,1.4,IF(DA324&lt;1.6,1.6,IF(DA324&lt;1.8,1.8,IF(DA324&lt;2,2,2.2))))))))</f>
        <v>1.8</v>
      </c>
      <c r="FR324" s="23">
        <f>IF(CX324&lt;0.6,0.6,IF(CX324&lt;0.8,0.8,IF(CX324&lt;1,1,IF(CX324&lt;1.2,1.2,IF(CX324&lt;1.4,1.4,IF(CX324&lt;1.6,1.6,IF(CX324&lt;1.8,1.8,IF(CX324&lt;2,2,2.2))))))))</f>
        <v>1.6</v>
      </c>
      <c r="FS324" s="23">
        <f>IF(CY324&lt;0.6,0.6,IF(CY324&lt;0.8,0.8,IF(CY324&lt;1,1,IF(CY324&lt;1.2,1.2,IF(CY324&lt;1.4,1.4,IF(CY324&lt;1.6,1.6,IF(CY324&lt;1.8,1.8,IF(CY324&lt;2,2,2.2))))))))</f>
        <v>1.4</v>
      </c>
      <c r="FT324" s="23">
        <f>IF(CZ324&lt;0.6,0.6,IF(CZ324&lt;0.8,0.8,IF(CZ324&lt;1,1,IF(CZ324&lt;1.2,1.2,IF(CZ324&lt;1.4,1.4,IF(CZ324&lt;1.6,1.6,IF(CZ324&lt;1.8,1.8,IF(CZ324&lt;2,2,2.2))))))))</f>
        <v>1.4</v>
      </c>
      <c r="FU324" s="23">
        <f>IF(FS324&lt;1,1,0)</f>
        <v>0</v>
      </c>
      <c r="FV324" s="23"/>
      <c r="GF324" s="4">
        <f>IF(S324&gt;=2.5*25.4,1,1.25)</f>
        <v>1.25</v>
      </c>
      <c r="GG324" s="4">
        <f>IF(AO324&gt;1, 0.05*(18-MIN(8,(W324+N324)/N324))*(1-48000/MAX(60000,(J324*145))*(N324/25.4)^0.75*GH324), 1/12*(14-MIN(8,(W324+N324)/N324)))</f>
        <v>0.7</v>
      </c>
      <c r="GH324" s="4">
        <f>MIN(0.3, AM324^2*PI()/4*2*AP324/(N324^2*PI()/4*X324))</f>
        <v>0.18749999999999997</v>
      </c>
      <c r="GI324" s="4">
        <f>(K324/25.4)/(N324/25.4)^1.5/0.0024*(M324*145)^0.25/GF324/GG324/145</f>
        <v>315.58637651505018</v>
      </c>
    </row>
    <row r="325" spans="1:191" ht="12" customHeight="1" x14ac:dyDescent="0.3">
      <c r="A325" s="25">
        <v>262</v>
      </c>
      <c r="B325" s="4" t="s">
        <v>605</v>
      </c>
      <c r="C325" s="4">
        <v>2016</v>
      </c>
      <c r="D325" s="4" t="s">
        <v>309</v>
      </c>
      <c r="E325" s="24" t="s">
        <v>417</v>
      </c>
      <c r="F325" s="24"/>
      <c r="G325" s="24">
        <v>17</v>
      </c>
      <c r="H325" s="7" t="s">
        <v>419</v>
      </c>
      <c r="I325" s="5">
        <f>K325/N325</f>
        <v>10</v>
      </c>
      <c r="J325" s="38">
        <f>129/0.145</f>
        <v>889.65517241379314</v>
      </c>
      <c r="K325" s="96">
        <f>10*25.4</f>
        <v>254</v>
      </c>
      <c r="L325" s="4">
        <f>K325</f>
        <v>254</v>
      </c>
      <c r="M325" s="96">
        <f>11760/145</f>
        <v>81.103448275862064</v>
      </c>
      <c r="N325" s="96">
        <f>1*25.4</f>
        <v>25.4</v>
      </c>
      <c r="O325" s="7">
        <f>K325/N325</f>
        <v>10</v>
      </c>
      <c r="P325" s="7">
        <f>L325/N325</f>
        <v>10</v>
      </c>
      <c r="Q325" s="38">
        <f>17*25.4</f>
        <v>431.79999999999995</v>
      </c>
      <c r="R325" s="32">
        <f>S325/N325</f>
        <v>2.5</v>
      </c>
      <c r="S325" s="38">
        <f>2.5*25.4</f>
        <v>63.5</v>
      </c>
      <c r="T325" s="32">
        <f>U325/N325</f>
        <v>3.2</v>
      </c>
      <c r="U325" s="39">
        <f>3.2*25.4</f>
        <v>81.28</v>
      </c>
      <c r="V325" s="32">
        <f>W325/N325</f>
        <v>9.9999999999999982</v>
      </c>
      <c r="W325" s="7">
        <f>(Q325-X325*N325-2*S325)/(X325-1)</f>
        <v>253.99999999999994</v>
      </c>
      <c r="X325" s="38">
        <v>2</v>
      </c>
      <c r="Y325" s="7">
        <f>AN325</f>
        <v>10</v>
      </c>
      <c r="Z325" s="32">
        <f>AA325/N325</f>
        <v>10.25</v>
      </c>
      <c r="AA325" s="4">
        <f>10.25*25.4</f>
        <v>260.34999999999997</v>
      </c>
      <c r="AB325" s="7">
        <f>MIN(S325/N325+0.5, W325/2/N325+0.5)</f>
        <v>3</v>
      </c>
      <c r="AC325" s="7">
        <f>S325/N325+0.5</f>
        <v>3</v>
      </c>
      <c r="AD325" s="38">
        <v>4.0999999999999996</v>
      </c>
      <c r="AE325" s="4">
        <f>AD325</f>
        <v>4.0999999999999996</v>
      </c>
      <c r="AF325" s="4">
        <f>AE325+1</f>
        <v>5.0999999999999996</v>
      </c>
      <c r="AG325" s="7">
        <f>N325*AF325^0.5</f>
        <v>57.361276136431961</v>
      </c>
      <c r="AJ325" s="38">
        <f>AK325/0.145</f>
        <v>761.37931034482767</v>
      </c>
      <c r="AK325" s="4">
        <v>110.4</v>
      </c>
      <c r="AL325" s="4">
        <f>CY325</f>
        <v>0.85631332847185648</v>
      </c>
      <c r="AM325" s="38">
        <f>0.375*25.4</f>
        <v>9.5249999999999986</v>
      </c>
      <c r="AN325" s="38">
        <v>10</v>
      </c>
      <c r="AO325" s="39">
        <f>3*25.4</f>
        <v>76.199999999999989</v>
      </c>
      <c r="AP325" s="39">
        <v>3</v>
      </c>
      <c r="AQ325" s="39">
        <v>2</v>
      </c>
      <c r="AR325" s="7"/>
      <c r="AS325" s="4">
        <f>K325</f>
        <v>254</v>
      </c>
      <c r="AT325" s="4">
        <f>IF(K325*3&gt;W325+N325, Q325, (S325+N325/2)*2+1.5*K325*(2*X325-2))*(3*K325)/(9*K325^2)</f>
        <v>0.56666666666666665</v>
      </c>
      <c r="AU325" s="4">
        <f>MIN(10*M325^0.5*K325^1.5,100*3.9*M325^0.5*K325^(5/3))/(PI()/4*N325^2)/X325</f>
        <v>359.73519081184224</v>
      </c>
      <c r="AV325" s="4">
        <f>MIN(0.7+0.3*(MIN(S325,AA325)+0.5*N325)/1.5/K325,1)</f>
        <v>0.76</v>
      </c>
      <c r="AW325" s="4">
        <v>1.25</v>
      </c>
      <c r="AX325" s="4">
        <f>AX324</f>
        <v>2.5</v>
      </c>
      <c r="AY325" s="38">
        <f>AT325*AV325*AW325*AX325*AU325</f>
        <v>484.14361096760433</v>
      </c>
      <c r="AZ325" s="38">
        <f>AY325</f>
        <v>484.14361096760433</v>
      </c>
      <c r="BA325" s="38">
        <f>IF(M325&lt;50, 0.3*M325^(2/3), 2.12*LN(1+0.1*(M325+8)))</f>
        <v>4.8623877845559145</v>
      </c>
      <c r="BB325" s="38">
        <f>AX325* (M325^0.5/AS325^0.5)/(PI()/4*N325^2)/X325/0.72 *(0.7+(MIN(S325,AA325)+0.5*N325)/5/K325) *(3*Q325*K325)</f>
        <v>484.14361096760422</v>
      </c>
      <c r="BC325" s="38">
        <f>AY325/BB325</f>
        <v>1.0000000000000002</v>
      </c>
      <c r="BD325" s="38">
        <f>BH325/BB325</f>
        <v>2.0352056199509603</v>
      </c>
      <c r="BE325" s="4">
        <f>IF(BD325&lt;1,1,0)</f>
        <v>0</v>
      </c>
      <c r="BF325" s="4">
        <f>L325/N325*M325^0.5/0.19</f>
        <v>473.98659434934086</v>
      </c>
      <c r="BG325" s="4">
        <f>MIN(0.6+0.4*(AC325/AB325),2)</f>
        <v>1</v>
      </c>
      <c r="BH325" s="38">
        <f>2*M325*AB325*AD325^0.5*BG325*0.7/0.7</f>
        <v>985.33179790461941</v>
      </c>
      <c r="BI325" s="4">
        <f>MAX(1-0.7*AE325/5,0.3)</f>
        <v>0.42600000000000005</v>
      </c>
      <c r="BJ325" s="4">
        <f>BI325*J325*L325/(J325*N325/2.75/M325^0.5)</f>
        <v>105.50230610324805</v>
      </c>
      <c r="BK325" s="4">
        <f>BH325+BJ325</f>
        <v>1090.8341040078674</v>
      </c>
      <c r="BM325" s="4">
        <f>MIN(1.5, 0.75+0.25*MIN(3,MAX(1,S325/N325))+0.4*MIN(1,(40*2*PI()*AM325^2/4/AO325/X325)/N325))</f>
        <v>1.5</v>
      </c>
      <c r="BN325" s="4">
        <f>(3*P325+30)*BM325*M325^0.5</f>
        <v>810.51707633737283</v>
      </c>
      <c r="BP325" s="4">
        <f>3.4/PI()^0.5*M325*AB325*AE325^0.5*BG325</f>
        <v>945.05369241748747</v>
      </c>
      <c r="BQ325" s="4">
        <f>8/3*AH325*AI325^2/(AG325-N325-22)/N325*(AG325^2-N325^2)/(AG325^2-(N325+22)^2)</f>
        <v>0</v>
      </c>
      <c r="BR325" s="4">
        <f>BQ325/BP325</f>
        <v>0</v>
      </c>
      <c r="BZ325" s="4">
        <f>IF(W325=0,S325,MIN(W325/2,S325))</f>
        <v>63.5</v>
      </c>
      <c r="CD325" s="9"/>
      <c r="CF325" s="9"/>
      <c r="CG325" s="9"/>
      <c r="CH325" s="9">
        <f>IF(W325=0,MIN(S325,U325),MIN(W325/2,S325,U325))</f>
        <v>63.5</v>
      </c>
      <c r="CI325" s="9">
        <f>MAX(W325/2,S325)</f>
        <v>126.99999999999997</v>
      </c>
      <c r="CJ325" s="9">
        <f>(CH325/N325)^0.5*(CI325/CH325)^0.15</f>
        <v>1.7543833769624846</v>
      </c>
      <c r="CK325" s="70">
        <f>IF(AO325&gt;1,20,0)</f>
        <v>20</v>
      </c>
      <c r="CL325" s="9">
        <f>MIN(PI()*AM325^2/4*AN325*2/X325/N325/MAX(0.01,AO325),0.05)</f>
        <v>0.05</v>
      </c>
      <c r="CM325" s="9">
        <f>MAX(0,CK325*(CL325-0.5/50))</f>
        <v>0.8</v>
      </c>
      <c r="CN325" s="9">
        <f>MIN(1,(25/N325)^0.3)</f>
        <v>0.99524931562137331</v>
      </c>
      <c r="CO325" s="9">
        <f>IF(J325&gt;=800,0.68,IF(J325&gt;=700,0.75-(J325-700)*0.07/100,IF(J325&gt;=600,0.85-(J325-600)*0.1/100,IF(J325&gt;=500,1-(J325-500)*0.15/100,1.2-(J325-400)*0.2/100))))</f>
        <v>0.68</v>
      </c>
      <c r="CP325" s="9">
        <f>1.75*CN325*CO325*(M325/25)^0.5</f>
        <v>2.1331849177195688</v>
      </c>
      <c r="CQ325" s="9">
        <f>MIN((CJ325+CM325)*CP325,2.5*CP325,M325^0.5)</f>
        <v>5.3329622942989214</v>
      </c>
      <c r="CR325" s="40">
        <v>1</v>
      </c>
      <c r="CS325" s="9">
        <f>4*CQ325*P325+60*CQ325</f>
        <v>533.29622942989215</v>
      </c>
      <c r="CU325" s="4">
        <f>AJ325/BF325</f>
        <v>1.6063308950541133</v>
      </c>
      <c r="CV325" s="4">
        <f>AJ325/BK325</f>
        <v>0.69797901215906277</v>
      </c>
      <c r="CW325" s="4">
        <f>AJ325/BN325</f>
        <v>0.9393747924293061</v>
      </c>
      <c r="CX325" s="4">
        <f>AJ325/CS325</f>
        <v>1.4276855307204448</v>
      </c>
      <c r="CY325" s="4">
        <f>AJ325/DZ325</f>
        <v>0.85631332847185648</v>
      </c>
      <c r="CZ325" s="4">
        <f>AJ325/EL325</f>
        <v>0.88968810745173232</v>
      </c>
      <c r="DA325" s="4">
        <f>AJ325/GI325</f>
        <v>1.130169014844719</v>
      </c>
      <c r="DB325" s="4">
        <f>AN325</f>
        <v>10</v>
      </c>
      <c r="DI325" s="4">
        <f>CU325</f>
        <v>1.6063308950541133</v>
      </c>
      <c r="DJ325" s="4">
        <f>CV325</f>
        <v>0.69797901215906277</v>
      </c>
      <c r="DK325" s="4">
        <f>CX325</f>
        <v>1.4276855307204448</v>
      </c>
      <c r="DL325" s="4">
        <f>DA325</f>
        <v>1.130169014844719</v>
      </c>
      <c r="DM325" s="4">
        <f>CY325</f>
        <v>0.85631332847185648</v>
      </c>
      <c r="DN325" s="4">
        <f>CZ325</f>
        <v>0.88968810745173232</v>
      </c>
      <c r="DQ325" s="4">
        <f>L325</f>
        <v>254</v>
      </c>
      <c r="DT325" s="4">
        <f>K325/4/(1-0.3*(M325/30)^0.5)/200000/N325</f>
        <v>2.4667724974581991E-5</v>
      </c>
      <c r="DU325" s="4">
        <f>EP325</f>
        <v>12.555764626779007</v>
      </c>
      <c r="DV325" s="4">
        <f>EC325*AG325/257/M325/AD325</f>
        <v>0.32496509118243971</v>
      </c>
      <c r="DW325" s="4">
        <f>DU325*DV325^0.4</f>
        <v>8.0089918141589269</v>
      </c>
      <c r="DX325" s="4">
        <f>MIN(DU325, DU325/1.4*(1-DV325^1.4)/(1-DV325))</f>
        <v>10.531859423226024</v>
      </c>
      <c r="DY325" s="4">
        <f>MAX(DU325/2, (4-DT325*(8*AG325*(DW325-DX325)+6*K325*DX325))/(4+DT325*K325*DU325)*DU325)</f>
        <v>11.18267087619982</v>
      </c>
      <c r="DZ325" s="38">
        <f>MIN(1/N325*(4*AG325*(DW325-DX325)+(3*DX325+DY325)*K325)+EC325 -FJ325,MAX(J325,AJ325))</f>
        <v>889.13635351624816</v>
      </c>
      <c r="EA325" s="4">
        <f>DZ325/FF325</f>
        <v>1.0000982181242293</v>
      </c>
      <c r="EB325" s="4">
        <f>AG325/N325</f>
        <v>2.2583179581272428</v>
      </c>
      <c r="EC325" s="4">
        <f>MIN(EB$10*BB325)</f>
        <v>484.14361096760422</v>
      </c>
      <c r="EG325" s="4">
        <f>IF(U325&gt;1*N325,0.85,1)</f>
        <v>0.85</v>
      </c>
      <c r="EH325" s="4">
        <f>MIN(1,MAX(0.7,(1-0.1*(BZ325-1*N325)/N325)))</f>
        <v>0.85</v>
      </c>
      <c r="EI325" s="4">
        <f>MIN(1,MAX(0.7,1-0.3*(PI()*AM325^2/4*AQ325*2-0.25*PI()/4*N325^2)/(PI()/4*N325^2)))</f>
        <v>0.90625</v>
      </c>
      <c r="EJ325" s="4">
        <f>IF(EH325*EI325&lt;0.7,0.7,EH325*EI325)</f>
        <v>0.77031249999999996</v>
      </c>
      <c r="EL325" s="4">
        <f>MIN(DU325/N325*3*K325+EM325-FJ325,MAX(J325,AJ325))</f>
        <v>855.78227242532216</v>
      </c>
      <c r="EM325" s="25">
        <f>13.3*Q325*K325^0.5*M325^0.5/X325/N325^2*(0.7+S325/5/K325)</f>
        <v>479.10933362195192</v>
      </c>
      <c r="EO325" s="4">
        <f>EG325*EJ325</f>
        <v>0.65476562499999991</v>
      </c>
      <c r="EP325" s="4">
        <f>IF(N325&lt;22.2,1.1*5*(M325/30)^0.5,IF(N325&gt;=31.8,0.9*5*(M325/30)^0.5,1*5*(M325/30)^0.5))/EG325/EJ325</f>
        <v>12.555764626779007</v>
      </c>
      <c r="ES325" s="4">
        <f>ET325*N325</f>
        <v>57.361276136431961</v>
      </c>
      <c r="ET325" s="4">
        <f>AF325^0.5</f>
        <v>2.2583179581272428</v>
      </c>
      <c r="EU325" s="4">
        <f>MIN(EC325)/(4700*M325^0.5)/AE325*ES325</f>
        <v>0.16002639998473522</v>
      </c>
      <c r="EX325" s="4">
        <f>EU325</f>
        <v>0.16002639998473522</v>
      </c>
      <c r="EY325" s="4">
        <f>MIN(0.999, EX325/(0.3*(M325/30)^0.5))</f>
        <v>0.32442278501051608</v>
      </c>
      <c r="EZ325" s="4">
        <f>EP325/1*EY325^0.4</f>
        <v>8.0036429293618987</v>
      </c>
      <c r="FA325" s="4">
        <f>EP325/1.4*(1-EY325^1.4)/(1-EY325)</f>
        <v>10.529832094936477</v>
      </c>
      <c r="FB325" s="4">
        <f>MAX(0,DQ325*FB$9-ES325)</f>
        <v>133.13872386356803</v>
      </c>
      <c r="FC325" s="4">
        <f>MAX(0,DQ325-ES325-FB325)</f>
        <v>63.5</v>
      </c>
      <c r="FD325" s="4">
        <f>FC325/(1-0.3*(M325/30)^0.5)/200000/N325</f>
        <v>2.4667724974581991E-5</v>
      </c>
      <c r="FE325" s="4">
        <f>MAX(0.5*EP325, (1-2*FD325*(ES325*EZ325+FB325*FA325))/(1/EP325+FD325*FC325))</f>
        <v>11.183021240517544</v>
      </c>
      <c r="FF325" s="4">
        <f>MIN(4/N325*(1*EZ325*ES325+FA325*FB325+FC325*FE325)+EC325,MAX(J325,AJ325))</f>
        <v>889.04903278789982</v>
      </c>
      <c r="FO325" s="23">
        <f>IF(CU325&lt;0.6,0.6,IF(CU325&lt;0.8,0.8,IF(CU325&lt;1,1,IF(CU325&lt;1.2,1.2,IF(CU325&lt;1.4,1.4,IF(CU325&lt;1.6,1.6,IF(CU325&lt;1.8,1.8,IF(CU325&lt;2,2,2.2))))))))</f>
        <v>1.8</v>
      </c>
      <c r="FP325" s="23">
        <f>IF(CV325&lt;0.6,0.6,IF(CV325&lt;0.8,0.8,IF(CV325&lt;1,1,IF(CV325&lt;1.2,1.2,IF(CV325&lt;1.4,1.4,IF(CV325&lt;1.6,1.6,IF(CV325&lt;1.8,1.8,IF(CV325&lt;2,2,2.2))))))))</f>
        <v>0.8</v>
      </c>
      <c r="FQ325" s="23">
        <f>IF(DA325&lt;0.6,0.6,IF(DA325&lt;0.8,0.8,IF(DA325&lt;1,1,IF(DA325&lt;1.2,1.2,IF(DA325&lt;1.4,1.4,IF(DA325&lt;1.6,1.6,IF(DA325&lt;1.8,1.8,IF(DA325&lt;2,2,2.2))))))))</f>
        <v>1.2</v>
      </c>
      <c r="FR325" s="23">
        <f>IF(CX325&lt;0.6,0.6,IF(CX325&lt;0.8,0.8,IF(CX325&lt;1,1,IF(CX325&lt;1.2,1.2,IF(CX325&lt;1.4,1.4,IF(CX325&lt;1.6,1.6,IF(CX325&lt;1.8,1.8,IF(CX325&lt;2,2,2.2))))))))</f>
        <v>1.6</v>
      </c>
      <c r="FS325" s="23">
        <f>IF(CY325&lt;0.6,0.6,IF(CY325&lt;0.8,0.8,IF(CY325&lt;1,1,IF(CY325&lt;1.2,1.2,IF(CY325&lt;1.4,1.4,IF(CY325&lt;1.6,1.6,IF(CY325&lt;1.8,1.8,IF(CY325&lt;2,2,2.2))))))))</f>
        <v>1</v>
      </c>
      <c r="FT325" s="23">
        <f>IF(CZ325&lt;0.6,0.6,IF(CZ325&lt;0.8,0.8,IF(CZ325&lt;1,1,IF(CZ325&lt;1.2,1.2,IF(CZ325&lt;1.4,1.4,IF(CZ325&lt;1.6,1.6,IF(CZ325&lt;1.8,1.8,IF(CZ325&lt;2,2,2.2))))))))</f>
        <v>1</v>
      </c>
      <c r="FU325" s="23">
        <f>IF(FS325&lt;1,1,0)</f>
        <v>0</v>
      </c>
      <c r="FV325" s="23"/>
      <c r="GF325" s="4">
        <f>IF(S325&gt;=2.5*25.4,1,1.25)</f>
        <v>1</v>
      </c>
      <c r="GG325" s="4">
        <f>IF(AO325&gt;1, 0.05*(18-MIN(8,(W325+N325)/N325))*(1-48000/MAX(60000,(J325*145))*(N325/25.4)^0.75*GH325), 1/12*(14-MIN(8,(W325+N325)/N325)))</f>
        <v>0.44418604651162791</v>
      </c>
      <c r="GH325" s="4">
        <f>MIN(0.3, AM325^2*PI()/4*2*AP325/(N325^2*PI()/4*X325))</f>
        <v>0.3</v>
      </c>
      <c r="GI325" s="4">
        <f>(K325/25.4)/(N325/25.4)^1.5/0.0024*(M325*145)^0.25/GF325/GG325/145</f>
        <v>673.6862366107589</v>
      </c>
    </row>
    <row r="326" spans="1:191" ht="12" customHeight="1" x14ac:dyDescent="0.3">
      <c r="A326" s="25">
        <v>264</v>
      </c>
      <c r="B326" s="4" t="s">
        <v>605</v>
      </c>
      <c r="C326" s="4">
        <v>2016</v>
      </c>
      <c r="D326" s="4" t="s">
        <v>309</v>
      </c>
      <c r="E326" s="24" t="s">
        <v>665</v>
      </c>
      <c r="F326" s="24"/>
      <c r="G326" s="24">
        <v>17</v>
      </c>
      <c r="H326" s="7" t="s">
        <v>421</v>
      </c>
      <c r="I326" s="5">
        <f>K326/N326</f>
        <v>10</v>
      </c>
      <c r="J326" s="38">
        <f>129/0.145</f>
        <v>889.65517241379314</v>
      </c>
      <c r="K326" s="96">
        <f>10*25.4</f>
        <v>254</v>
      </c>
      <c r="L326" s="4">
        <f>K326</f>
        <v>254</v>
      </c>
      <c r="M326" s="96">
        <f>11040/145</f>
        <v>76.137931034482762</v>
      </c>
      <c r="N326" s="96">
        <f>1*25.4</f>
        <v>25.4</v>
      </c>
      <c r="O326" s="7">
        <f>K326/N326</f>
        <v>10</v>
      </c>
      <c r="P326" s="7">
        <f>L326/N326</f>
        <v>10</v>
      </c>
      <c r="Q326" s="38">
        <f>12*25.4</f>
        <v>304.79999999999995</v>
      </c>
      <c r="R326" s="32">
        <f>S326/N326</f>
        <v>2.4</v>
      </c>
      <c r="S326" s="38">
        <f>2.4*25.4</f>
        <v>60.959999999999994</v>
      </c>
      <c r="T326" s="32">
        <f>U326/N326</f>
        <v>2.9333333333333331</v>
      </c>
      <c r="U326" s="39">
        <f>(2.9+2.8+3.1)/3*25.4</f>
        <v>74.506666666666661</v>
      </c>
      <c r="V326" s="32">
        <f>W326/N326</f>
        <v>2.0999999999999996</v>
      </c>
      <c r="W326" s="7">
        <f>(Q326-X326*N326-2*S326)/(X326-1)</f>
        <v>53.339999999999989</v>
      </c>
      <c r="X326" s="38">
        <v>3</v>
      </c>
      <c r="Y326" s="7">
        <f>AN326</f>
        <v>10</v>
      </c>
      <c r="Z326" s="32">
        <f>AA326/N326</f>
        <v>10.25</v>
      </c>
      <c r="AA326" s="4">
        <f>10.25*25.4</f>
        <v>260.34999999999997</v>
      </c>
      <c r="AB326" s="7">
        <f>MIN(S326/N326+0.5, W326/2/N326+0.5)</f>
        <v>1.5499999999999998</v>
      </c>
      <c r="AC326" s="7">
        <f>S326/N326+0.5</f>
        <v>2.9</v>
      </c>
      <c r="AD326" s="38">
        <v>4.0999999999999996</v>
      </c>
      <c r="AE326" s="4">
        <f>AD326</f>
        <v>4.0999999999999996</v>
      </c>
      <c r="AF326" s="4">
        <f>AE326+1</f>
        <v>5.0999999999999996</v>
      </c>
      <c r="AG326" s="7">
        <f>N326*AF326^0.5</f>
        <v>57.361276136431961</v>
      </c>
      <c r="AJ326" s="38">
        <f>AK326/0.145</f>
        <v>537.93103448275861</v>
      </c>
      <c r="AK326" s="4">
        <v>78</v>
      </c>
      <c r="AL326" s="4">
        <f>CY326</f>
        <v>1.0122595831277816</v>
      </c>
      <c r="AM326" s="38">
        <f>0.375*25.4</f>
        <v>9.5249999999999986</v>
      </c>
      <c r="AN326" s="38">
        <v>10</v>
      </c>
      <c r="AO326" s="39">
        <f>3*25.4</f>
        <v>76.199999999999989</v>
      </c>
      <c r="AP326" s="39">
        <v>3</v>
      </c>
      <c r="AQ326" s="39">
        <v>2</v>
      </c>
      <c r="AR326" s="7"/>
      <c r="AS326" s="4">
        <f>K326</f>
        <v>254</v>
      </c>
      <c r="AT326" s="4">
        <f>IF(K326*3&gt;W326+N326, Q326, (S326+N326/2)*2+1.5*K326*(2*X326-2))*(3*K326)/(9*K326^2)</f>
        <v>0.39999999999999997</v>
      </c>
      <c r="AU326" s="4">
        <f>MIN(10*M326^0.5*K326^1.5,100*3.9*M326^0.5*K326^(5/3))/(PI()/4*N326^2)/X326</f>
        <v>232.36597815509018</v>
      </c>
      <c r="AV326" s="4">
        <f>MIN(0.7+0.3*(MIN(S326,AA326)+0.5*N326)/1.5/K326,1)</f>
        <v>0.75800000000000001</v>
      </c>
      <c r="AW326" s="4">
        <v>1.25</v>
      </c>
      <c r="AX326" s="4">
        <f>AX325</f>
        <v>2.5</v>
      </c>
      <c r="AY326" s="38">
        <f>AT326*AV326*AW326*AX326*AU326</f>
        <v>220.16676430194792</v>
      </c>
      <c r="AZ326" s="38">
        <f>AY326</f>
        <v>220.16676430194792</v>
      </c>
      <c r="BA326" s="38">
        <f>IF(M326&lt;50, 0.3*M326^(2/3), 2.12*LN(1+0.1*(M326+8)))</f>
        <v>4.75341304622079</v>
      </c>
      <c r="BB326" s="38">
        <f>AX326* (M326^0.5/AS326^0.5)/(PI()/4*N326^2)/X326/0.72 *(0.7+(MIN(S326,AA326)+0.5*N326)/5/K326) *(3*Q326*K326)</f>
        <v>220.16676430194792</v>
      </c>
      <c r="BC326" s="38">
        <f>AY326/BB326</f>
        <v>1</v>
      </c>
      <c r="BD326" s="38">
        <f>BH326/BB326</f>
        <v>2.9269649474460713</v>
      </c>
      <c r="BE326" s="4">
        <f>IF(BD326&lt;1,1,0)</f>
        <v>0</v>
      </c>
      <c r="BF326" s="4">
        <f>L326/N326*M326^0.5/0.19</f>
        <v>459.24764149356696</v>
      </c>
      <c r="BG326" s="4">
        <f>MIN(0.6+0.4*(AC326/AB326),2)</f>
        <v>1.3483870967741938</v>
      </c>
      <c r="BH326" s="38">
        <f>2*M326*AB326*AD326^0.5*BG326*0.7/0.7</f>
        <v>644.4204017044226</v>
      </c>
      <c r="BI326" s="4">
        <f>MAX(1-0.7*AE326/5,0.3)</f>
        <v>0.42600000000000005</v>
      </c>
      <c r="BJ326" s="4">
        <f>BI326*J326*L326/(J326*N326/2.75/M326^0.5)</f>
        <v>102.22163628184562</v>
      </c>
      <c r="BK326" s="4">
        <f>BH326+BJ326</f>
        <v>746.64203798626818</v>
      </c>
      <c r="BM326" s="4">
        <f>MIN(1.5, 0.75+0.25*MIN(3,MAX(1,S326/N326))+0.4*MIN(1,(40*2*PI()*AM326^2/4/AO326/X326)/N326))</f>
        <v>1.5</v>
      </c>
      <c r="BN326" s="4">
        <f>(3*P326+30)*BM326*M326^0.5</f>
        <v>785.31346695399941</v>
      </c>
      <c r="BP326" s="4">
        <f>3.4/PI()^0.5*M326*AB326*AE326^0.5*BG326</f>
        <v>618.07797271440324</v>
      </c>
      <c r="BQ326" s="4">
        <f>8/3*AH326*AI326^2/(AG326-N326-22)/N326*(AG326^2-N326^2)/(AG326^2-(N326+22)^2)</f>
        <v>0</v>
      </c>
      <c r="BR326" s="4">
        <f>BQ326/BP326</f>
        <v>0</v>
      </c>
      <c r="BZ326" s="4">
        <f>IF(W326=0,S326,MIN(W326/2,S326))</f>
        <v>26.669999999999995</v>
      </c>
      <c r="CD326" s="9"/>
      <c r="CF326" s="9"/>
      <c r="CG326" s="9"/>
      <c r="CH326" s="9">
        <f>IF(W326=0,MIN(S326,U326),MIN(W326/2,S326,U326))</f>
        <v>26.669999999999995</v>
      </c>
      <c r="CI326" s="9">
        <f>MAX(W326/2,S326)</f>
        <v>60.959999999999994</v>
      </c>
      <c r="CJ326" s="9">
        <f>(CH326/N326)^0.5*(CI326/CH326)^0.15</f>
        <v>1.1599731613256561</v>
      </c>
      <c r="CK326" s="70">
        <f>IF(AO326&gt;1,20,0)</f>
        <v>20</v>
      </c>
      <c r="CL326" s="9">
        <f>MIN(PI()*AM326^2/4*AN326*2/X326/N326/MAX(0.01,AO326),0.05)</f>
        <v>0.05</v>
      </c>
      <c r="CM326" s="9">
        <f>MAX(0,CK326*(CL326-0.5/50))</f>
        <v>0.8</v>
      </c>
      <c r="CN326" s="9">
        <f>MIN(1,(25/N326)^0.3)</f>
        <v>0.99524931562137331</v>
      </c>
      <c r="CO326" s="9">
        <f>IF(J326&gt;=800,0.68,IF(J326&gt;=700,0.75-(J326-700)*0.07/100,IF(J326&gt;=600,0.85-(J326-600)*0.1/100,IF(J326&gt;=500,1-(J326-500)*0.15/100,1.2-(J326-400)*0.2/100))))</f>
        <v>0.68</v>
      </c>
      <c r="CP326" s="9">
        <f>1.75*CN326*CO326*(M326/25)^0.5</f>
        <v>2.0668520038571487</v>
      </c>
      <c r="CQ326" s="9">
        <f>MIN((CJ326+CM326)*CP326,2.5*CP326,M326^0.5)</f>
        <v>4.0509744559921632</v>
      </c>
      <c r="CR326" s="40">
        <v>1</v>
      </c>
      <c r="CS326" s="9">
        <f>4*CQ326*P326+60*CQ326</f>
        <v>405.09744559921631</v>
      </c>
      <c r="CU326" s="4">
        <f>AJ326/BF326</f>
        <v>1.1713310769181029</v>
      </c>
      <c r="CV326" s="4">
        <f>AJ326/BK326</f>
        <v>0.72046711424605314</v>
      </c>
      <c r="CW326" s="4">
        <f>AJ326/BN326</f>
        <v>0.68498893387023563</v>
      </c>
      <c r="CX326" s="4">
        <f>AJ326/CS326</f>
        <v>1.327905273969467</v>
      </c>
      <c r="CY326" s="4">
        <f>AJ326/DZ326</f>
        <v>1.0122595831277816</v>
      </c>
      <c r="CZ326" s="4">
        <f>AJ326/EL326</f>
        <v>1.015645214075779</v>
      </c>
      <c r="DA326" s="4">
        <f>AJ326/GI326</f>
        <v>1.5227273061218662</v>
      </c>
      <c r="DB326" s="4">
        <f>AN326</f>
        <v>10</v>
      </c>
      <c r="DI326" s="4">
        <f>CU326</f>
        <v>1.1713310769181029</v>
      </c>
      <c r="DJ326" s="4">
        <f>CV326</f>
        <v>0.72046711424605314</v>
      </c>
      <c r="DK326" s="4">
        <f>CX326</f>
        <v>1.327905273969467</v>
      </c>
      <c r="DL326" s="4">
        <f>DA326</f>
        <v>1.5227273061218662</v>
      </c>
      <c r="DM326" s="4">
        <f>CY326</f>
        <v>1.0122595831277816</v>
      </c>
      <c r="DN326" s="4">
        <f>CZ326</f>
        <v>1.015645214075779</v>
      </c>
      <c r="DQ326" s="4">
        <f>L326</f>
        <v>254</v>
      </c>
      <c r="DT326" s="4">
        <f>K326/4/(1-0.3*(M326/30)^0.5)/200000/N326</f>
        <v>2.3942991446897161E-5</v>
      </c>
      <c r="DU326" s="4">
        <f>EP326</f>
        <v>10.392496490434585</v>
      </c>
      <c r="DV326" s="4">
        <f>EC326*AG326/257/M326/AD326</f>
        <v>0.15741731961617406</v>
      </c>
      <c r="DW326" s="4">
        <f>DU326*DV326^0.4</f>
        <v>4.9606763339604125</v>
      </c>
      <c r="DX326" s="4">
        <f>MIN(DU326, DU326/1.4*(1-DV326^1.4)/(1-DV326))</f>
        <v>8.1480771156069896</v>
      </c>
      <c r="DY326" s="4">
        <f>MAX(DU326/2, (4-DT326*(8*AG326*(DW326-DX326)+6*K326*DX326))/(4+DT326*K326*DU326)*DU326)</f>
        <v>9.5599674624018807</v>
      </c>
      <c r="DZ326" s="38">
        <f>MIN(1/N326*(4*AG326*(DW326-DX326)+(3*DX326+DY326)*K326)+EC326 -FJ326,MAX(J326,AJ326))</f>
        <v>531.41609469441141</v>
      </c>
      <c r="EA326" s="4">
        <f>DZ326/FF326</f>
        <v>1.0000925698694281</v>
      </c>
      <c r="EB326" s="4">
        <f>AG326/N326</f>
        <v>2.2583179581272428</v>
      </c>
      <c r="EC326" s="4">
        <f>MIN(EB$10*BB326)</f>
        <v>220.16676430194792</v>
      </c>
      <c r="EG326" s="4">
        <f>IF(U326&gt;1*N326,0.85,1)</f>
        <v>0.85</v>
      </c>
      <c r="EH326" s="4">
        <f>MIN(1,MAX(0.7,(1-0.1*(BZ326-1*N326)/N326)))</f>
        <v>0.995</v>
      </c>
      <c r="EI326" s="4">
        <f>MIN(1,MAX(0.7,1-0.3*(PI()*AM326^2/4*AQ326*2-0.25*PI()/4*N326^2)/(PI()/4*N326^2)))</f>
        <v>0.90625</v>
      </c>
      <c r="EJ326" s="4">
        <f>IF(EH326*EI326&lt;0.7,0.7,EH326*EI326)</f>
        <v>0.90171875000000001</v>
      </c>
      <c r="EL326" s="4">
        <f>MIN(DU326/N326*3*K326+EM326-FJ326,MAX(J326,AJ326))</f>
        <v>529.64463084903844</v>
      </c>
      <c r="EM326" s="25">
        <f>13.3*Q326*K326^0.5*M326^0.5/X326/N326^2*(0.7+S326/5/K326)</f>
        <v>217.86973613600091</v>
      </c>
      <c r="EO326" s="4">
        <f>EG326*EJ326</f>
        <v>0.76646093749999999</v>
      </c>
      <c r="EP326" s="4">
        <f>IF(N326&lt;22.2,1.1*5*(M326/30)^0.5,IF(N326&gt;=31.8,0.9*5*(M326/30)^0.5,1*5*(M326/30)^0.5))/EG326/EJ326</f>
        <v>10.392496490434585</v>
      </c>
      <c r="ES326" s="4">
        <f>ET326*N326</f>
        <v>57.361276136431961</v>
      </c>
      <c r="ET326" s="4">
        <f>AF326^0.5</f>
        <v>2.2583179581272428</v>
      </c>
      <c r="EU326" s="4">
        <f>MIN(EC326)/(4700*M326^0.5)/AE326*ES326</f>
        <v>7.5108366060946924E-2</v>
      </c>
      <c r="EX326" s="4">
        <f>EU326</f>
        <v>7.5108366060946924E-2</v>
      </c>
      <c r="EY326" s="4">
        <f>MIN(0.999, EX326/(0.3*(M326/30)^0.5))</f>
        <v>0.15715461944833478</v>
      </c>
      <c r="EZ326" s="4">
        <f>EP326/1*EY326^0.4</f>
        <v>4.9573632969588264</v>
      </c>
      <c r="FA326" s="4">
        <f>EP326/1.4*(1-EY326^1.4)/(1-EY326)</f>
        <v>8.1470831422939138</v>
      </c>
      <c r="FB326" s="4">
        <f>MAX(0,DQ326*FB$9-ES326)</f>
        <v>133.13872386356803</v>
      </c>
      <c r="FC326" s="4">
        <f>MAX(0,DQ326-ES326-FB326)</f>
        <v>63.5</v>
      </c>
      <c r="FD326" s="4">
        <f>FC326/(1-0.3*(M326/30)^0.5)/200000/N326</f>
        <v>2.3942991446897161E-5</v>
      </c>
      <c r="FE326" s="4">
        <f>MAX(0.5*EP326, (1-2*FD326*(ES326*EZ326+FB326*FA326))/(1/EP326+FD326*FC326))</f>
        <v>9.5601253990987622</v>
      </c>
      <c r="FF326" s="4">
        <f>MIN(4/N326*(1*EZ326*ES326+FA326*FB326+FC326*FE326)+EC326,MAX(J326,AJ326))</f>
        <v>531.3669061292926</v>
      </c>
      <c r="FO326" s="23">
        <f>IF(CU326&lt;0.6,0.6,IF(CU326&lt;0.8,0.8,IF(CU326&lt;1,1,IF(CU326&lt;1.2,1.2,IF(CU326&lt;1.4,1.4,IF(CU326&lt;1.6,1.6,IF(CU326&lt;1.8,1.8,IF(CU326&lt;2,2,2.2))))))))</f>
        <v>1.2</v>
      </c>
      <c r="FP326" s="23">
        <f>IF(CV326&lt;0.6,0.6,IF(CV326&lt;0.8,0.8,IF(CV326&lt;1,1,IF(CV326&lt;1.2,1.2,IF(CV326&lt;1.4,1.4,IF(CV326&lt;1.6,1.6,IF(CV326&lt;1.8,1.8,IF(CV326&lt;2,2,2.2))))))))</f>
        <v>0.8</v>
      </c>
      <c r="FQ326" s="23">
        <f>IF(DA326&lt;0.6,0.6,IF(DA326&lt;0.8,0.8,IF(DA326&lt;1,1,IF(DA326&lt;1.2,1.2,IF(DA326&lt;1.4,1.4,IF(DA326&lt;1.6,1.6,IF(DA326&lt;1.8,1.8,IF(DA326&lt;2,2,2.2))))))))</f>
        <v>1.6</v>
      </c>
      <c r="FR326" s="23">
        <f>IF(CX326&lt;0.6,0.6,IF(CX326&lt;0.8,0.8,IF(CX326&lt;1,1,IF(CX326&lt;1.2,1.2,IF(CX326&lt;1.4,1.4,IF(CX326&lt;1.6,1.6,IF(CX326&lt;1.8,1.8,IF(CX326&lt;2,2,2.2))))))))</f>
        <v>1.4</v>
      </c>
      <c r="FS326" s="23">
        <f>IF(CY326&lt;0.6,0.6,IF(CY326&lt;0.8,0.8,IF(CY326&lt;1,1,IF(CY326&lt;1.2,1.2,IF(CY326&lt;1.4,1.4,IF(CY326&lt;1.6,1.6,IF(CY326&lt;1.8,1.8,IF(CY326&lt;2,2,2.2))))))))</f>
        <v>1.2</v>
      </c>
      <c r="FT326" s="23">
        <f>IF(CZ326&lt;0.6,0.6,IF(CZ326&lt;0.8,0.8,IF(CZ326&lt;1,1,IF(CZ326&lt;1.2,1.2,IF(CZ326&lt;1.4,1.4,IF(CZ326&lt;1.6,1.6,IF(CZ326&lt;1.8,1.8,IF(CZ326&lt;2,2,2.2))))))))</f>
        <v>1.2</v>
      </c>
      <c r="FU326" s="23">
        <f>IF(FS326&lt;1,1,0)</f>
        <v>0</v>
      </c>
      <c r="FV326" s="23"/>
      <c r="GF326" s="4">
        <f>IF(S326&gt;=2.5*25.4,1,1.25)</f>
        <v>1.25</v>
      </c>
      <c r="GG326" s="4">
        <f>IF(AO326&gt;1, 0.05*(18-MIN(8,(W326+N326)/N326))*(1-48000/MAX(60000,(J326*145))*(N326/25.4)^0.75*GH326), 1/12*(14-MIN(8,(W326+N326)/N326)))</f>
        <v>0.66703488372093034</v>
      </c>
      <c r="GH326" s="4">
        <f>MIN(0.3, AM326^2*PI()/4*2*AP326/(N326^2*PI()/4*X326))</f>
        <v>0.28124999999999994</v>
      </c>
      <c r="GI326" s="4">
        <f>(K326/25.4)/(N326/25.4)^1.5/0.0024*(M326*145)^0.25/GF326/GG326/145</f>
        <v>353.26813430093381</v>
      </c>
    </row>
    <row r="327" spans="1:191" ht="12" customHeight="1" x14ac:dyDescent="0.3">
      <c r="A327" s="25">
        <v>260</v>
      </c>
      <c r="B327" s="4" t="s">
        <v>605</v>
      </c>
      <c r="C327" s="4">
        <v>2016</v>
      </c>
      <c r="D327" s="4" t="s">
        <v>309</v>
      </c>
      <c r="E327" s="24" t="s">
        <v>664</v>
      </c>
      <c r="F327" s="24"/>
      <c r="G327" s="14">
        <v>18</v>
      </c>
      <c r="H327" s="7" t="s">
        <v>416</v>
      </c>
      <c r="I327" s="5">
        <f>K327/N327</f>
        <v>10</v>
      </c>
      <c r="J327" s="38">
        <f>129/0.145</f>
        <v>889.65517241379314</v>
      </c>
      <c r="K327" s="96">
        <f>10*25.4</f>
        <v>254</v>
      </c>
      <c r="L327" s="4">
        <f>K327</f>
        <v>254</v>
      </c>
      <c r="M327" s="94">
        <f>8260/145</f>
        <v>56.96551724137931</v>
      </c>
      <c r="N327" s="96">
        <f>1*25.4</f>
        <v>25.4</v>
      </c>
      <c r="O327" s="7">
        <f>K327/N327</f>
        <v>10</v>
      </c>
      <c r="P327" s="7">
        <f>L327/N327</f>
        <v>10</v>
      </c>
      <c r="Q327" s="38">
        <f>16*25.4</f>
        <v>406.4</v>
      </c>
      <c r="R327" s="32">
        <f>S327/N327</f>
        <v>2.4500000000000002</v>
      </c>
      <c r="S327" s="38">
        <f>2.45*25.4</f>
        <v>62.230000000000004</v>
      </c>
      <c r="T327" s="32">
        <f>U327/N327</f>
        <v>3.0666666666666669</v>
      </c>
      <c r="U327" s="39">
        <f>(3.2+3.1+2.9)/3*25.4</f>
        <v>77.893333333333331</v>
      </c>
      <c r="V327" s="32">
        <f>W327/N327</f>
        <v>4.05</v>
      </c>
      <c r="W327" s="7">
        <f>(Q327-X327*N327-2*S327)/(X327-1)</f>
        <v>102.86999999999999</v>
      </c>
      <c r="X327" s="38">
        <v>3</v>
      </c>
      <c r="Y327" s="7">
        <f>AN327</f>
        <v>4</v>
      </c>
      <c r="Z327" s="32">
        <f>AA327/N327</f>
        <v>10.25</v>
      </c>
      <c r="AA327" s="4">
        <f>10.25*25.4</f>
        <v>260.34999999999997</v>
      </c>
      <c r="AB327" s="7">
        <f>MIN(S327/N327+0.5, W327/2/N327+0.5)</f>
        <v>2.5249999999999999</v>
      </c>
      <c r="AC327" s="7">
        <f>S327/N327+0.5</f>
        <v>2.95</v>
      </c>
      <c r="AD327" s="38">
        <v>4.0999999999999996</v>
      </c>
      <c r="AE327" s="4">
        <f>AD327</f>
        <v>4.0999999999999996</v>
      </c>
      <c r="AF327" s="4">
        <f>AE327+1</f>
        <v>5.0999999999999996</v>
      </c>
      <c r="AG327" s="7">
        <f>N327*AF327^0.5</f>
        <v>57.361276136431961</v>
      </c>
      <c r="AJ327" s="38">
        <f>AK327/0.145</f>
        <v>571.72413793103453</v>
      </c>
      <c r="AK327" s="4">
        <v>82.9</v>
      </c>
      <c r="AL327" s="4">
        <f>CY327</f>
        <v>1.0555684263285166</v>
      </c>
      <c r="AM327" s="38">
        <f>0.375*25.4</f>
        <v>9.5249999999999986</v>
      </c>
      <c r="AN327" s="38">
        <v>4</v>
      </c>
      <c r="AO327" s="39">
        <f>5*25.4</f>
        <v>127</v>
      </c>
      <c r="AP327" s="39">
        <f>2+2</f>
        <v>4</v>
      </c>
      <c r="AQ327" s="39">
        <v>1</v>
      </c>
      <c r="AR327" s="7"/>
      <c r="AS327" s="4">
        <f>K327</f>
        <v>254</v>
      </c>
      <c r="AT327" s="4">
        <f>IF(K327*3&gt;W327+N327, Q327, (S327+N327/2)*2+1.5*K327*(2*X327-2))*(3*K327)/(9*K327^2)</f>
        <v>0.53333333333333333</v>
      </c>
      <c r="AU327" s="4">
        <f>MIN(10*M327^0.5*K327^1.5,100*3.9*M327^0.5*K327^(5/3))/(PI()/4*N327^2)/X327</f>
        <v>200.9916558719431</v>
      </c>
      <c r="AV327" s="4">
        <f>MIN(0.7+0.3*(MIN(S327,AA327)+0.5*N327)/1.5/K327,1)</f>
        <v>0.75900000000000001</v>
      </c>
      <c r="AW327" s="4">
        <v>1.25</v>
      </c>
      <c r="AX327" s="4">
        <f>AX326</f>
        <v>2.5</v>
      </c>
      <c r="AY327" s="38">
        <f>AT327*AV327*AW327*AX327*AU327</f>
        <v>254.25444467800804</v>
      </c>
      <c r="AZ327" s="38">
        <f>AY327</f>
        <v>254.25444467800804</v>
      </c>
      <c r="BA327" s="38">
        <f>IF(M327&lt;50, 0.3*M327^(2/3), 2.12*LN(1+0.1*(M327+8)))</f>
        <v>4.2706194667653463</v>
      </c>
      <c r="BB327" s="38">
        <f>AX327* (M327^0.5/AS327^0.5)/(PI()/4*N327^2)/X327/0.72 *(0.7+(MIN(S327,AA327)+0.5*N327)/5/K327) *(3*Q327*K327)</f>
        <v>254.25444467800801</v>
      </c>
      <c r="BC327" s="38">
        <f>AY327/BB327</f>
        <v>1.0000000000000002</v>
      </c>
      <c r="BD327" s="38">
        <f>BH327/BB327</f>
        <v>2.4452551653028047</v>
      </c>
      <c r="BE327" s="4">
        <f>IF(BD327&lt;1,1,0)</f>
        <v>0</v>
      </c>
      <c r="BF327" s="4">
        <f>L327/N327*M327^0.5/0.19</f>
        <v>397.2394954371012</v>
      </c>
      <c r="BG327" s="4">
        <f>MIN(0.6+0.4*(AC327/AB327),2)</f>
        <v>1.0673267326732674</v>
      </c>
      <c r="BH327" s="38">
        <f>2*M327*AB327*AD327^0.5*BG327*0.7/0.7</f>
        <v>621.71699415009527</v>
      </c>
      <c r="BI327" s="4">
        <f>MAX(1-0.7*AE327/5,0.3)</f>
        <v>0.42600000000000005</v>
      </c>
      <c r="BJ327" s="4">
        <f>BI327*J327*L327/(J327*N327/2.75/M327^0.5)</f>
        <v>88.419553091867186</v>
      </c>
      <c r="BK327" s="4">
        <f>BH327+BJ327</f>
        <v>710.13654724196249</v>
      </c>
      <c r="BM327" s="4">
        <f>MIN(1.5, 0.75+0.25*MIN(3,MAX(1,S327/N327))+0.4*MIN(1,(40*2*PI()*AM327^2/4/AO327/X327)/N327))</f>
        <v>1.5</v>
      </c>
      <c r="BN327" s="4">
        <f>(3*P327+30)*BM327*M327^0.5</f>
        <v>679.27953719744312</v>
      </c>
      <c r="BP327" s="4">
        <f>3.4/PI()^0.5*M327*AB327*AE327^0.5*BG327</f>
        <v>596.30262842397872</v>
      </c>
      <c r="BQ327" s="4">
        <f>8/3*AH327*AI327^2/(AG327-N327-22)/N327*(AG327^2-N327^2)/(AG327^2-(N327+22)^2)</f>
        <v>0</v>
      </c>
      <c r="BR327" s="4">
        <f>BQ327/BP327</f>
        <v>0</v>
      </c>
      <c r="BZ327" s="4">
        <f>IF(W327=0,S327,MIN(W327/2,S327))</f>
        <v>51.434999999999995</v>
      </c>
      <c r="CD327" s="9"/>
      <c r="CF327" s="9"/>
      <c r="CG327" s="9"/>
      <c r="CH327" s="9">
        <f>IF(W327=0,MIN(S327,U327),MIN(W327/2,S327,U327))</f>
        <v>51.434999999999995</v>
      </c>
      <c r="CI327" s="9">
        <f>MAX(W327/2,S327)</f>
        <v>62.230000000000004</v>
      </c>
      <c r="CJ327" s="9">
        <f>(CH327/N327)^0.5*(CI327/CH327)^0.15</f>
        <v>1.4642784548874435</v>
      </c>
      <c r="CK327" s="70">
        <f>IF(AO327&gt;1,20,0)</f>
        <v>20</v>
      </c>
      <c r="CL327" s="9">
        <f>MIN(PI()*AM327^2/4*AN327*2/X327/N327/MAX(0.01,AO327),0.05)</f>
        <v>0.05</v>
      </c>
      <c r="CM327" s="9">
        <f>MAX(0,CK327*(CL327-0.5/50))</f>
        <v>0.8</v>
      </c>
      <c r="CN327" s="9">
        <f>MIN(1,(25/N327)^0.3)</f>
        <v>0.99524931562137331</v>
      </c>
      <c r="CO327" s="9">
        <f>IF(J327&gt;=800,0.68,IF(J327&gt;=700,0.75-(J327-700)*0.07/100,IF(J327&gt;=600,0.85-(J327-600)*0.1/100,IF(J327&gt;=500,1-(J327-500)*0.15/100,1.2-(J327-400)*0.2/100))))</f>
        <v>0.68</v>
      </c>
      <c r="CP327" s="9">
        <f>1.75*CN327*CO327*(M327/25)^0.5</f>
        <v>1.7877832632633699</v>
      </c>
      <c r="CQ327" s="9">
        <f>MIN((CJ327+CM327)*CP327,2.5*CP327,M327^0.5)</f>
        <v>4.048039125015614</v>
      </c>
      <c r="CR327" s="40">
        <v>1</v>
      </c>
      <c r="CS327" s="9">
        <f>4*CQ327*P327+60*CQ327</f>
        <v>404.8039125015614</v>
      </c>
      <c r="CU327" s="4">
        <f>AJ327/BF327</f>
        <v>1.43924293656133</v>
      </c>
      <c r="CV327" s="4">
        <f>AJ327/BK327</f>
        <v>0.80509042965258459</v>
      </c>
      <c r="CW327" s="4">
        <f>AJ327/BN327</f>
        <v>0.84166253600077767</v>
      </c>
      <c r="CX327" s="4">
        <f>AJ327/CS327</f>
        <v>1.4123483500887095</v>
      </c>
      <c r="CY327" s="4">
        <f>AJ327/DZ327</f>
        <v>1.0555684263285166</v>
      </c>
      <c r="CZ327" s="4">
        <f>AJ327/EL327</f>
        <v>1.0887563493315389</v>
      </c>
      <c r="DA327" s="4">
        <f>AJ327/GI327</f>
        <v>1.500601767058964</v>
      </c>
      <c r="DB327" s="4">
        <f>AN327</f>
        <v>4</v>
      </c>
      <c r="DI327" s="4">
        <f>CU327</f>
        <v>1.43924293656133</v>
      </c>
      <c r="DJ327" s="4">
        <f>CV327</f>
        <v>0.80509042965258459</v>
      </c>
      <c r="DK327" s="4">
        <f>CX327</f>
        <v>1.4123483500887095</v>
      </c>
      <c r="DL327" s="4">
        <f>DA327</f>
        <v>1.500601767058964</v>
      </c>
      <c r="DM327" s="4">
        <f>CY327</f>
        <v>1.0555684263285166</v>
      </c>
      <c r="DN327" s="4">
        <f>CZ327</f>
        <v>1.0887563493315389</v>
      </c>
      <c r="DQ327" s="4">
        <f>L327</f>
        <v>254</v>
      </c>
      <c r="DT327" s="4">
        <f>K327/4/(1-0.3*(M327/30)^0.5)/200000/N327</f>
        <v>2.1309107513462914E-5</v>
      </c>
      <c r="DU327" s="4">
        <f>EP327</f>
        <v>9.1170163293042155</v>
      </c>
      <c r="DV327" s="4">
        <f>EC327*AG327/257/M327/AD327</f>
        <v>0.24297317747183342</v>
      </c>
      <c r="DW327" s="4">
        <f>DU327*DV327^0.4</f>
        <v>5.1769749783827637</v>
      </c>
      <c r="DX327" s="4">
        <f>MIN(DU327, DU327/1.4*(1-DV327^1.4)/(1-DV327))</f>
        <v>7.4154291454372627</v>
      </c>
      <c r="DY327" s="4">
        <f>MAX(DU327/2, (4-DT327*(8*AG327*(DW327-DX327)+6*K327*DX327))/(4+DT327*K327*DU327)*DU327)</f>
        <v>8.5130035511370519</v>
      </c>
      <c r="DZ327" s="38">
        <f>MIN(1/N327*(4*AG327*(DW327-DX327)+(3*DX327+DY327)*K327)+EC327 -FJ327,MAX(J327,AJ327))</f>
        <v>541.6267895768807</v>
      </c>
      <c r="EA327" s="4">
        <f>DZ327/FF327</f>
        <v>1.0001015610075588</v>
      </c>
      <c r="EB327" s="4">
        <f>AG327/N327</f>
        <v>2.2583179581272428</v>
      </c>
      <c r="EC327" s="4">
        <f>MIN(EB$10*BB327)</f>
        <v>254.25444467800801</v>
      </c>
      <c r="EG327" s="4">
        <f>IF(U327&gt;1*N327,0.85,1)</f>
        <v>0.85</v>
      </c>
      <c r="EH327" s="4">
        <f>MIN(1,MAX(0.7,(1-0.1*(BZ327-1*N327)/N327)))</f>
        <v>0.89749999999999996</v>
      </c>
      <c r="EI327" s="4">
        <f>MIN(1,MAX(0.7,1-0.3*(PI()*AM327^2/4*AQ327*2-0.25*PI()/4*N327^2)/(PI()/4*N327^2)))</f>
        <v>0.99062499999999998</v>
      </c>
      <c r="EJ327" s="4">
        <f>IF(EH327*EI327&lt;0.7,0.7,EH327*EI327)</f>
        <v>0.88908593749999998</v>
      </c>
      <c r="EL327" s="4">
        <f>MIN(DU327/N327*3*K327+EM327-FJ327,MAX(J327,AJ327))</f>
        <v>525.11669693779936</v>
      </c>
      <c r="EM327" s="25">
        <f>13.3*Q327*K327^0.5*M327^0.5/X327/N327^2*(0.7+S327/5/K327)</f>
        <v>251.60620705867285</v>
      </c>
      <c r="EO327" s="4">
        <f>EG327*EJ327</f>
        <v>0.75572304687499992</v>
      </c>
      <c r="EP327" s="4">
        <f>IF(N327&lt;22.2,1.1*5*(M327/30)^0.5,IF(N327&gt;=31.8,0.9*5*(M327/30)^0.5,1*5*(M327/30)^0.5))/EG327/EJ327</f>
        <v>9.1170163293042155</v>
      </c>
      <c r="ES327" s="4">
        <f>ET327*N327</f>
        <v>57.361276136431961</v>
      </c>
      <c r="ET327" s="4">
        <f>AF327^0.5</f>
        <v>2.2583179581272428</v>
      </c>
      <c r="EU327" s="4">
        <f>MIN(EC327)/(4700*M327^0.5)/AE327*ES327</f>
        <v>0.10027660482015607</v>
      </c>
      <c r="EX327" s="4">
        <f>EU327</f>
        <v>0.10027660482015607</v>
      </c>
      <c r="EY327" s="4">
        <f>MIN(0.999, EX327/(0.3*(M327/30)^0.5))</f>
        <v>0.2425677005226774</v>
      </c>
      <c r="EZ327" s="4">
        <f>EP327/1*EY327^0.4</f>
        <v>5.1735174841813691</v>
      </c>
      <c r="FA327" s="4">
        <f>EP327/1.4*(1-EY327^1.4)/(1-EY327)</f>
        <v>7.4142299063539356</v>
      </c>
      <c r="FB327" s="4">
        <f>MAX(0,DQ327*FB$9-ES327)</f>
        <v>133.13872386356803</v>
      </c>
      <c r="FC327" s="4">
        <f>MAX(0,DQ327-ES327-FB327)</f>
        <v>63.5</v>
      </c>
      <c r="FD327" s="4">
        <f>FC327/(1-0.3*(M327/30)^0.5)/200000/N327</f>
        <v>2.1309107513462914E-5</v>
      </c>
      <c r="FE327" s="4">
        <f>MAX(0.5*EP327, (1-2*FD327*(ES327*EZ327+FB327*FA327))/(1/EP327+FD327*FC327))</f>
        <v>8.513140953986575</v>
      </c>
      <c r="FF327" s="4">
        <f>MIN(4/N327*(1*EZ327*ES327+FA327*FB327+FC327*FE327)+EC327,MAX(J327,AJ327))</f>
        <v>541.57178700052748</v>
      </c>
      <c r="FO327" s="23">
        <f>IF(CU327&lt;0.6,0.6,IF(CU327&lt;0.8,0.8,IF(CU327&lt;1,1,IF(CU327&lt;1.2,1.2,IF(CU327&lt;1.4,1.4,IF(CU327&lt;1.6,1.6,IF(CU327&lt;1.8,1.8,IF(CU327&lt;2,2,2.2))))))))</f>
        <v>1.6</v>
      </c>
      <c r="FP327" s="23">
        <f>IF(CV327&lt;0.6,0.6,IF(CV327&lt;0.8,0.8,IF(CV327&lt;1,1,IF(CV327&lt;1.2,1.2,IF(CV327&lt;1.4,1.4,IF(CV327&lt;1.6,1.6,IF(CV327&lt;1.8,1.8,IF(CV327&lt;2,2,2.2))))))))</f>
        <v>1</v>
      </c>
      <c r="FQ327" s="23">
        <f>IF(DA327&lt;0.6,0.6,IF(DA327&lt;0.8,0.8,IF(DA327&lt;1,1,IF(DA327&lt;1.2,1.2,IF(DA327&lt;1.4,1.4,IF(DA327&lt;1.6,1.6,IF(DA327&lt;1.8,1.8,IF(DA327&lt;2,2,2.2))))))))</f>
        <v>1.6</v>
      </c>
      <c r="FR327" s="23">
        <f>IF(CX327&lt;0.6,0.6,IF(CX327&lt;0.8,0.8,IF(CX327&lt;1,1,IF(CX327&lt;1.2,1.2,IF(CX327&lt;1.4,1.4,IF(CX327&lt;1.6,1.6,IF(CX327&lt;1.8,1.8,IF(CX327&lt;2,2,2.2))))))))</f>
        <v>1.6</v>
      </c>
      <c r="FS327" s="23">
        <f>IF(CY327&lt;0.6,0.6,IF(CY327&lt;0.8,0.8,IF(CY327&lt;1,1,IF(CY327&lt;1.2,1.2,IF(CY327&lt;1.4,1.4,IF(CY327&lt;1.6,1.6,IF(CY327&lt;1.8,1.8,IF(CY327&lt;2,2,2.2))))))))</f>
        <v>1.2</v>
      </c>
      <c r="FT327" s="23">
        <f>IF(CZ327&lt;0.6,0.6,IF(CZ327&lt;0.8,0.8,IF(CZ327&lt;1,1,IF(CZ327&lt;1.2,1.2,IF(CZ327&lt;1.4,1.4,IF(CZ327&lt;1.6,1.6,IF(CZ327&lt;1.8,1.8,IF(CZ327&lt;2,2,2.2))))))))</f>
        <v>1.2</v>
      </c>
      <c r="FU327" s="23">
        <f>IF(FS327&lt;1,1,0)</f>
        <v>0</v>
      </c>
      <c r="FV327" s="23"/>
      <c r="GF327" s="4">
        <f>IF(S327&gt;=2.5*25.4,1,1.25)</f>
        <v>1.25</v>
      </c>
      <c r="GG327" s="4">
        <f>IF(AO327&gt;1, 0.05*(18-MIN(8,(W327+N327)/N327))*(1-48000/MAX(60000,(J327*145))*(N327/25.4)^0.75*GH327), 1/12*(14-MIN(8,(W327+N327)/N327)))</f>
        <v>0.57522093023255816</v>
      </c>
      <c r="GH327" s="4">
        <f>MIN(0.3, AM327^2*PI()/4*2*AP327/(N327^2*PI()/4*X327))</f>
        <v>0.3</v>
      </c>
      <c r="GI327" s="4">
        <f>(K327/25.4)/(N327/25.4)^1.5/0.0024*(M327*145)^0.25/GF327/GG327/145</f>
        <v>380.99657782728002</v>
      </c>
    </row>
    <row r="328" spans="1:191" ht="12" customHeight="1" x14ac:dyDescent="0.3">
      <c r="A328" s="25">
        <v>397</v>
      </c>
      <c r="B328" s="4" t="s">
        <v>605</v>
      </c>
      <c r="C328" s="4">
        <v>2016</v>
      </c>
      <c r="D328" s="4" t="s">
        <v>309</v>
      </c>
      <c r="E328" s="14" t="s">
        <v>676</v>
      </c>
      <c r="F328" s="14"/>
      <c r="G328" s="14">
        <v>23</v>
      </c>
      <c r="H328" s="33" t="s">
        <v>565</v>
      </c>
      <c r="I328" s="5">
        <f>K328/N328</f>
        <v>9.94</v>
      </c>
      <c r="J328" s="38">
        <f>129/0.145</f>
        <v>889.65517241379314</v>
      </c>
      <c r="K328" s="96">
        <f>9.94*25.4</f>
        <v>252.47599999999997</v>
      </c>
      <c r="L328" s="4">
        <f>K328</f>
        <v>252.47599999999997</v>
      </c>
      <c r="M328" s="38">
        <f>4880/145</f>
        <v>33.655172413793103</v>
      </c>
      <c r="N328" s="96">
        <f>1*25.4</f>
        <v>25.4</v>
      </c>
      <c r="O328" s="7">
        <f>K328/N328</f>
        <v>9.94</v>
      </c>
      <c r="P328" s="7">
        <f>L328/N328</f>
        <v>9.94</v>
      </c>
      <c r="Q328" s="38">
        <f>17.3*25.4</f>
        <v>439.42</v>
      </c>
      <c r="R328" s="32">
        <f>S328/N328</f>
        <v>2.5999999999999996</v>
      </c>
      <c r="S328" s="38">
        <f>2.6*25.4</f>
        <v>66.039999999999992</v>
      </c>
      <c r="T328" s="32">
        <f>U328/N328</f>
        <v>3.25</v>
      </c>
      <c r="U328" s="39">
        <f>3.25*25.4</f>
        <v>82.55</v>
      </c>
      <c r="V328" s="32">
        <f>W328/N328</f>
        <v>10.100000000000001</v>
      </c>
      <c r="W328" s="7">
        <f>(Q328-X328*N328-2*S328)/(X328-1)</f>
        <v>256.54000000000002</v>
      </c>
      <c r="X328" s="38">
        <v>2</v>
      </c>
      <c r="Y328" s="7">
        <f>AN328</f>
        <v>10</v>
      </c>
      <c r="Z328" s="32">
        <f>AA328/N328</f>
        <v>20</v>
      </c>
      <c r="AA328" s="4">
        <f>20*25.4</f>
        <v>508</v>
      </c>
      <c r="AB328" s="7">
        <f>MIN(S328/N328+0.5, W328/2/N328+0.5)</f>
        <v>3.0999999999999996</v>
      </c>
      <c r="AC328" s="7">
        <f>S328/N328+0.5</f>
        <v>3.0999999999999996</v>
      </c>
      <c r="AD328" s="38">
        <v>9.1</v>
      </c>
      <c r="AE328" s="4">
        <f>AD328</f>
        <v>9.1</v>
      </c>
      <c r="AF328" s="4">
        <f>AE328+1</f>
        <v>10.1</v>
      </c>
      <c r="AG328" s="7">
        <f>N328*AF328^0.5</f>
        <v>80.72246279691916</v>
      </c>
      <c r="AJ328" s="38">
        <f>AK328/0.145</f>
        <v>615.17241379310349</v>
      </c>
      <c r="AK328" s="4">
        <v>89.2</v>
      </c>
      <c r="AL328" s="4">
        <f>CY328</f>
        <v>1.0237310466798923</v>
      </c>
      <c r="AM328" s="38">
        <f>0.5*25.4</f>
        <v>12.7</v>
      </c>
      <c r="AN328" s="38">
        <v>10</v>
      </c>
      <c r="AO328" s="39">
        <f>5*25.4</f>
        <v>127</v>
      </c>
      <c r="AP328" s="39">
        <v>3</v>
      </c>
      <c r="AQ328" s="39">
        <f>AP328-1</f>
        <v>2</v>
      </c>
      <c r="AR328" s="7"/>
      <c r="AS328" s="4">
        <f>K328</f>
        <v>252.47599999999997</v>
      </c>
      <c r="AT328" s="4">
        <f>IF(K328*3&gt;W328+N328, Q328, (S328+N328/2)*2+1.5*K328*(2*X328-2))*(3*K328)/(9*K328^2)</f>
        <v>0.58014755197853785</v>
      </c>
      <c r="AU328" s="4">
        <f>MIN(10*M328^0.5*K328^1.5,100*3.9*M328^0.5*K328^(5/3))/(PI()/4*N328^2)/X328</f>
        <v>229.651216949939</v>
      </c>
      <c r="AV328" s="4">
        <f>MIN(0.7+0.3*(MIN(S328,AA328)+0.5*N328)/1.5/K328,1)</f>
        <v>0.76237424547283694</v>
      </c>
      <c r="AW328" s="4">
        <v>1.25</v>
      </c>
      <c r="AX328" s="4">
        <f>AX327</f>
        <v>2.5</v>
      </c>
      <c r="AY328" s="38">
        <f>AT328*AV328*AW328*AX328*AU328</f>
        <v>317.41354346112331</v>
      </c>
      <c r="AZ328" s="38">
        <f>AY328</f>
        <v>317.41354346112331</v>
      </c>
      <c r="BA328" s="38">
        <f>IF(M328&lt;50, 0.3*M328^(2/3), 2.12*LN(1+0.1*(M328+8)))</f>
        <v>3.1272010355053257</v>
      </c>
      <c r="BB328" s="38">
        <f>AX328* (M328^0.5/AS328^0.5)/(PI()/4*N328^2)/X328/0.72 *(0.7+(MIN(S328,AA328)+0.5*N328)/5/K328) *(3*Q328*K328)</f>
        <v>317.41354346112354</v>
      </c>
      <c r="BC328" s="38">
        <f>AY328/BB328</f>
        <v>0.99999999999999933</v>
      </c>
      <c r="BD328" s="38">
        <f>BH328/BB328</f>
        <v>1.9830732305866701</v>
      </c>
      <c r="BE328" s="4">
        <f>IF(BD328&lt;1,1,0)</f>
        <v>0</v>
      </c>
      <c r="BF328" s="4">
        <f>L328/N328*M328^0.5/0.19</f>
        <v>303.49999854438056</v>
      </c>
      <c r="BG328" s="4">
        <f>MIN(0.6+0.4*(AC328/AB328),2)</f>
        <v>1</v>
      </c>
      <c r="BH328" s="38">
        <f>2*M328*AB328*AD328^0.5*BG328*0.7/0.7</f>
        <v>629.45430106341269</v>
      </c>
      <c r="BI328" s="4">
        <f>MAX(1-0.7*AE328/5,0.3)</f>
        <v>0.3</v>
      </c>
      <c r="BJ328" s="4">
        <f>BI328*J328*L328/(J328*N328/2.75/M328^0.5)</f>
        <v>47.573624771831646</v>
      </c>
      <c r="BK328" s="4">
        <f>BH328+BJ328</f>
        <v>677.02792583524433</v>
      </c>
      <c r="BM328" s="4">
        <f>MIN(1.5, 0.75+0.25*MIN(3,MAX(1,S328/N328))+0.4*MIN(1,(40*2*PI()*AM328^2/4/AO328/X328)/N328))</f>
        <v>1.5</v>
      </c>
      <c r="BN328" s="4">
        <f>(3*P328+30)*BM328*M328^0.5</f>
        <v>520.55135062209069</v>
      </c>
      <c r="BP328" s="4">
        <f>3.4/PI()^0.5*M328*AB328*AE328^0.5*BG328</f>
        <v>603.72365196482838</v>
      </c>
      <c r="BQ328" s="4">
        <f>8/3*AH328*AI328^2/(AG328-N328-22)/N328*(AG328^2-N328^2)/(AG328^2-(N328+22)^2)</f>
        <v>0</v>
      </c>
      <c r="BR328" s="4">
        <f>BQ328/BP328</f>
        <v>0</v>
      </c>
      <c r="BZ328" s="4">
        <f>IF(W328=0,S328,MIN(W328/2,S328))</f>
        <v>66.039999999999992</v>
      </c>
      <c r="CD328" s="9"/>
      <c r="CF328" s="9"/>
      <c r="CG328" s="9"/>
      <c r="CH328" s="9">
        <f>IF(W328=0,MIN(S328,U328),MIN(W328/2,S328,U328))</f>
        <v>66.039999999999992</v>
      </c>
      <c r="CI328" s="9">
        <f>MAX(W328/2,S328)</f>
        <v>128.27000000000001</v>
      </c>
      <c r="CJ328" s="9">
        <f>(CH328/N328)^0.5*(CI328/CH328)^0.15</f>
        <v>1.7812889692205971</v>
      </c>
      <c r="CK328" s="70">
        <f>IF(AO328&gt;1,20,0)</f>
        <v>20</v>
      </c>
      <c r="CL328" s="9">
        <f>MIN(PI()*AM328^2/4*AN328*2/X328/N328/MAX(0.01,AO328),0.05)</f>
        <v>0.05</v>
      </c>
      <c r="CM328" s="9">
        <f>MAX(0,CK328*(CL328-0.5/50))</f>
        <v>0.8</v>
      </c>
      <c r="CN328" s="9">
        <f>MIN(1,(25/N328)^0.3)</f>
        <v>0.99524931562137331</v>
      </c>
      <c r="CO328" s="9">
        <f>IF(J328&gt;=800,0.68,IF(J328&gt;=700,0.75-(J328-700)*0.07/100,IF(J328&gt;=600,0.85-(J328-600)*0.1/100,IF(J328&gt;=500,1-(J328-500)*0.15/100,1.2-(J328-400)*0.2/100))))</f>
        <v>0.68</v>
      </c>
      <c r="CP328" s="9">
        <f>1.75*CN328*CO328*(M328/25)^0.5</f>
        <v>1.3741519375646418</v>
      </c>
      <c r="CQ328" s="9">
        <f>MIN((CJ328+CM328)*CP328,2.5*CP328,M328^0.5)</f>
        <v>3.4353798439116048</v>
      </c>
      <c r="CR328" s="40">
        <v>1</v>
      </c>
      <c r="CS328" s="9">
        <f>4*CQ328*P328+60*CQ328</f>
        <v>342.7134932286217</v>
      </c>
      <c r="CU328" s="4">
        <f>AJ328/BF328</f>
        <v>2.0269272380347223</v>
      </c>
      <c r="CV328" s="4">
        <f>AJ328/BK328</f>
        <v>0.90863669033174643</v>
      </c>
      <c r="CW328" s="4">
        <f>AJ328/BN328</f>
        <v>1.1817708532653595</v>
      </c>
      <c r="CX328" s="4">
        <f>AJ328/CS328</f>
        <v>1.7950049412928319</v>
      </c>
      <c r="CY328" s="4">
        <f>AJ328/DZ328</f>
        <v>1.0237310466798923</v>
      </c>
      <c r="CZ328" s="4">
        <f>AJ328/EL328</f>
        <v>1.0615276951705674</v>
      </c>
      <c r="DA328" s="4">
        <f>AJ328/GI328</f>
        <v>1.1445892636173558</v>
      </c>
      <c r="DB328" s="4">
        <f>AN328</f>
        <v>10</v>
      </c>
      <c r="DI328" s="4">
        <f>CU328</f>
        <v>2.0269272380347223</v>
      </c>
      <c r="DJ328" s="4">
        <f>CV328</f>
        <v>0.90863669033174643</v>
      </c>
      <c r="DK328" s="4">
        <f>CX328</f>
        <v>1.7950049412928319</v>
      </c>
      <c r="DL328" s="4">
        <f>DA328</f>
        <v>1.1445892636173558</v>
      </c>
      <c r="DM328" s="4">
        <f>CY328</f>
        <v>1.0237310466798923</v>
      </c>
      <c r="DN328" s="4">
        <f>CZ328</f>
        <v>1.0615276951705674</v>
      </c>
      <c r="DQ328" s="4">
        <f>L328</f>
        <v>252.47599999999997</v>
      </c>
      <c r="DT328" s="4">
        <f>K328/4/(1-0.3*(M328/30)^0.5)/200000/N328</f>
        <v>1.8211818294935842E-5</v>
      </c>
      <c r="DU328" s="4">
        <f>EP328</f>
        <v>8.9005802678967481</v>
      </c>
      <c r="DV328" s="4">
        <f>EC328*AG328/257/M328/AD328</f>
        <v>0.32553187635289799</v>
      </c>
      <c r="DW328" s="4">
        <f>DU328*DV328^0.4</f>
        <v>5.681404745877507</v>
      </c>
      <c r="DX328" s="4">
        <f>MIN(DU328, DU328/1.4*(1-DV328^1.4)/(1-DV328))</f>
        <v>7.467367537933904</v>
      </c>
      <c r="DY328" s="4">
        <f>MAX(DU328/2, (4-DT328*(8*AG328*(DW328-DX328)+6*K328*DX328))/(4+DT328*K328*DU328)*DU328)</f>
        <v>8.4029386811928486</v>
      </c>
      <c r="DZ328" s="38">
        <f>MIN(1/N328*(4*AG328*(DW328-DX328)+(3*DX328+DY328)*K328)+EC328 -FJ328,MAX(J328,AJ328))</f>
        <v>600.91213975408527</v>
      </c>
      <c r="EA328" s="4">
        <f>DZ328/FF328</f>
        <v>1.0001187924454131</v>
      </c>
      <c r="EB328" s="4">
        <f>AG328/N328</f>
        <v>3.1780497164141401</v>
      </c>
      <c r="EC328" s="4">
        <f>MIN(EB$10*BB328)</f>
        <v>317.41354346112354</v>
      </c>
      <c r="EG328" s="4">
        <f>IF(U328&gt;1*N328,0.85,1)</f>
        <v>0.85</v>
      </c>
      <c r="EH328" s="4">
        <f>MIN(1,MAX(0.7,(1-0.1*(BZ328-1*N328)/N328)))</f>
        <v>0.84000000000000008</v>
      </c>
      <c r="EI328" s="4">
        <f>MIN(1,MAX(0.7,1-0.3*(PI()*AM328^2/4*AQ328*2-0.25*PI()/4*N328^2)/(PI()/4*N328^2)))</f>
        <v>0.77500000000000002</v>
      </c>
      <c r="EJ328" s="4">
        <f>IF(EH328*EI328&lt;0.7,0.7,EH328*EI328)</f>
        <v>0.7</v>
      </c>
      <c r="EL328" s="4">
        <f>MIN(DU328/N328*3*K328+EM328-FJ328,MAX(J328,AJ328))</f>
        <v>579.51612246372611</v>
      </c>
      <c r="EM328" s="25">
        <f>13.3*Q328*K328^0.5*M328^0.5/X328/N328^2*(0.7+S328/5/K328)</f>
        <v>314.10081887504515</v>
      </c>
      <c r="EO328" s="4">
        <f>EG328*EJ328</f>
        <v>0.59499999999999997</v>
      </c>
      <c r="EP328" s="4">
        <f>IF(N328&lt;22.2,1.1*5*(M328/30)^0.5,IF(N328&gt;=31.8,0.9*5*(M328/30)^0.5,1*5*(M328/30)^0.5))/EG328/EJ328</f>
        <v>8.9005802678967481</v>
      </c>
      <c r="ES328" s="4">
        <f>ET328*N328</f>
        <v>80.72246279691916</v>
      </c>
      <c r="ET328" s="4">
        <f>AF328^0.5</f>
        <v>3.1780497164141406</v>
      </c>
      <c r="EU328" s="4">
        <f>MIN(EC328)/(4700*M328^0.5)/AE328*ES328</f>
        <v>0.10326536792849809</v>
      </c>
      <c r="EX328" s="4">
        <f>EU328</f>
        <v>0.10326536792849809</v>
      </c>
      <c r="EY328" s="4">
        <f>MIN(0.999, EX328/(0.3*(M328/30)^0.5))</f>
        <v>0.32498862432215925</v>
      </c>
      <c r="EZ328" s="4">
        <f>EP328/1*EY328^0.4</f>
        <v>5.6776103632415724</v>
      </c>
      <c r="FA328" s="4">
        <f>EP328/1.4*(1-EY328^1.4)/(1-EY328)</f>
        <v>7.4659286608579007</v>
      </c>
      <c r="FB328" s="4">
        <f>MAX(0,DQ328*FB$9-ES328)</f>
        <v>108.63453720308081</v>
      </c>
      <c r="FC328" s="4">
        <f>MAX(0,DQ328-ES328-FB328)</f>
        <v>63.119</v>
      </c>
      <c r="FD328" s="4">
        <f>FC328/(1-0.3*(M328/30)^0.5)/200000/N328</f>
        <v>1.8211818294935842E-5</v>
      </c>
      <c r="FE328" s="4">
        <f>MAX(0.5*EP328, (1-2*FD328*(ES328*EZ328+FB328*FA328))/(1/EP328+FD328*FC328))</f>
        <v>8.4030871344931715</v>
      </c>
      <c r="FF328" s="4">
        <f>MIN(4/N328*(1*EZ328*ES328+FA328*FB328+FC328*FE328)+EC328,MAX(J328,AJ328))</f>
        <v>600.84076441037701</v>
      </c>
      <c r="FO328" s="23">
        <f>IF(CU328&lt;0.6,0.6,IF(CU328&lt;0.8,0.8,IF(CU328&lt;1,1,IF(CU328&lt;1.2,1.2,IF(CU328&lt;1.4,1.4,IF(CU328&lt;1.6,1.6,IF(CU328&lt;1.8,1.8,IF(CU328&lt;2,2,2.2))))))))</f>
        <v>2.2000000000000002</v>
      </c>
      <c r="FP328" s="23">
        <f>IF(CV328&lt;0.6,0.6,IF(CV328&lt;0.8,0.8,IF(CV328&lt;1,1,IF(CV328&lt;1.2,1.2,IF(CV328&lt;1.4,1.4,IF(CV328&lt;1.6,1.6,IF(CV328&lt;1.8,1.8,IF(CV328&lt;2,2,2.2))))))))</f>
        <v>1</v>
      </c>
      <c r="FQ328" s="23">
        <f>IF(DA328&lt;0.6,0.6,IF(DA328&lt;0.8,0.8,IF(DA328&lt;1,1,IF(DA328&lt;1.2,1.2,IF(DA328&lt;1.4,1.4,IF(DA328&lt;1.6,1.6,IF(DA328&lt;1.8,1.8,IF(DA328&lt;2,2,2.2))))))))</f>
        <v>1.2</v>
      </c>
      <c r="FR328" s="23">
        <f>IF(CX328&lt;0.6,0.6,IF(CX328&lt;0.8,0.8,IF(CX328&lt;1,1,IF(CX328&lt;1.2,1.2,IF(CX328&lt;1.4,1.4,IF(CX328&lt;1.6,1.6,IF(CX328&lt;1.8,1.8,IF(CX328&lt;2,2,2.2))))))))</f>
        <v>1.8</v>
      </c>
      <c r="FS328" s="23">
        <f>IF(CY328&lt;0.6,0.6,IF(CY328&lt;0.8,0.8,IF(CY328&lt;1,1,IF(CY328&lt;1.2,1.2,IF(CY328&lt;1.4,1.4,IF(CY328&lt;1.6,1.6,IF(CY328&lt;1.8,1.8,IF(CY328&lt;2,2,2.2))))))))</f>
        <v>1.2</v>
      </c>
      <c r="FT328" s="23">
        <f>IF(CZ328&lt;0.6,0.6,IF(CZ328&lt;0.8,0.8,IF(CZ328&lt;1,1,IF(CZ328&lt;1.2,1.2,IF(CZ328&lt;1.4,1.4,IF(CZ328&lt;1.6,1.6,IF(CZ328&lt;1.8,1.8,IF(CZ328&lt;2,2,2.2))))))))</f>
        <v>1.2</v>
      </c>
      <c r="FU328" s="23">
        <f>IF(FS328&lt;1,1,0)</f>
        <v>0</v>
      </c>
      <c r="FV328" s="23"/>
      <c r="GF328" s="4">
        <f>IF(S328&gt;=2.5*25.4,1,1.25)</f>
        <v>1</v>
      </c>
      <c r="GG328" s="4">
        <f>IF(AO328&gt;1, 0.05*(18-MIN(8,(W328+N328)/N328))*(1-48000/MAX(60000,(J328*145))*(N328/25.4)^0.75*GH328), 1/12*(14-MIN(8,(W328+N328)/N328)))</f>
        <v>0.44418604651162791</v>
      </c>
      <c r="GH328" s="4">
        <f>MIN(0.3, AM328^2*PI()/4*2*AP328/(N328^2*PI()/4*X328))</f>
        <v>0.3</v>
      </c>
      <c r="GI328" s="4">
        <f>(K328/25.4)/(N328/25.4)^1.5/0.0024*(M328*145)^0.25/GF328/GG328/145</f>
        <v>537.46128270408099</v>
      </c>
    </row>
    <row r="329" spans="1:191" ht="12" customHeight="1" x14ac:dyDescent="0.3">
      <c r="A329" s="25">
        <v>265</v>
      </c>
      <c r="B329" s="4" t="s">
        <v>605</v>
      </c>
      <c r="C329" s="4">
        <v>2016</v>
      </c>
      <c r="D329" s="4" t="s">
        <v>309</v>
      </c>
      <c r="E329" s="24" t="s">
        <v>665</v>
      </c>
      <c r="F329" s="24"/>
      <c r="G329" s="24">
        <v>17</v>
      </c>
      <c r="H329" s="7" t="s">
        <v>422</v>
      </c>
      <c r="I329" s="5">
        <f>K329/N329</f>
        <v>9.92</v>
      </c>
      <c r="J329" s="38">
        <f>129/0.145</f>
        <v>889.65517241379314</v>
      </c>
      <c r="K329" s="96">
        <f>9.92*25.4</f>
        <v>251.96799999999999</v>
      </c>
      <c r="L329" s="4">
        <f>K329</f>
        <v>251.96799999999999</v>
      </c>
      <c r="M329" s="96">
        <f>11440/145</f>
        <v>78.896551724137936</v>
      </c>
      <c r="N329" s="96">
        <f>1*25.4</f>
        <v>25.4</v>
      </c>
      <c r="O329" s="7">
        <f>K329/N329</f>
        <v>9.92</v>
      </c>
      <c r="P329" s="7">
        <f>L329/N329</f>
        <v>9.92</v>
      </c>
      <c r="Q329" s="38">
        <f>14*25.4</f>
        <v>355.59999999999997</v>
      </c>
      <c r="R329" s="32">
        <f>S329/N329</f>
        <v>2.5</v>
      </c>
      <c r="S329" s="38">
        <f>2.5*25.4</f>
        <v>63.5</v>
      </c>
      <c r="T329" s="32">
        <f>U329/N329</f>
        <v>3.1</v>
      </c>
      <c r="U329" s="39">
        <f>(3+3.3+3)/3*25.4</f>
        <v>78.739999999999995</v>
      </c>
      <c r="V329" s="32">
        <f>W329/N329</f>
        <v>2.9999999999999996</v>
      </c>
      <c r="W329" s="7">
        <f>(Q329-X329*N329-2*S329)/(X329-1)</f>
        <v>76.199999999999989</v>
      </c>
      <c r="X329" s="38">
        <v>3</v>
      </c>
      <c r="Y329" s="7">
        <f>AN329</f>
        <v>0</v>
      </c>
      <c r="Z329" s="32">
        <f>AA329/N329</f>
        <v>10.25</v>
      </c>
      <c r="AA329" s="4">
        <f>10.25*25.4</f>
        <v>260.34999999999997</v>
      </c>
      <c r="AB329" s="7">
        <f>MIN(S329/N329+0.5, W329/2/N329+0.5)</f>
        <v>1.9999999999999998</v>
      </c>
      <c r="AC329" s="7">
        <f>S329/N329+0.5</f>
        <v>3</v>
      </c>
      <c r="AD329" s="38">
        <v>4.0999999999999996</v>
      </c>
      <c r="AE329" s="4">
        <f>AD329</f>
        <v>4.0999999999999996</v>
      </c>
      <c r="AF329" s="4">
        <f>AE329+1</f>
        <v>5.0999999999999996</v>
      </c>
      <c r="AG329" s="7">
        <f>N329*AF329^0.5</f>
        <v>57.361276136431961</v>
      </c>
      <c r="AJ329" s="38">
        <f>AK329/0.145</f>
        <v>426.89655172413796</v>
      </c>
      <c r="AK329" s="4">
        <v>61.9</v>
      </c>
      <c r="AL329" s="4">
        <f>CY329</f>
        <v>0.75738494469674067</v>
      </c>
      <c r="AM329" s="38">
        <v>0</v>
      </c>
      <c r="AN329" s="38">
        <v>0</v>
      </c>
      <c r="AO329" s="39">
        <f>L329</f>
        <v>251.96799999999999</v>
      </c>
      <c r="AP329" s="39"/>
      <c r="AQ329" s="39"/>
      <c r="AR329" s="7"/>
      <c r="AS329" s="4">
        <f>K329</f>
        <v>251.96799999999999</v>
      </c>
      <c r="AT329" s="4">
        <f>IF(K329*3&gt;W329+N329, Q329, (S329+N329/2)*2+1.5*K329*(2*X329-2))*(3*K329)/(9*K329^2)</f>
        <v>0.47043010752688169</v>
      </c>
      <c r="AU329" s="4">
        <f>MIN(10*M329^0.5*K329^1.5,100*3.9*M329^0.5*K329^(5/3))/(PI()/4*N329^2)/X329</f>
        <v>233.70528033380882</v>
      </c>
      <c r="AV329" s="4">
        <f>MIN(0.7+0.3*(MIN(S329,AA329)+0.5*N329)/1.5/K329,1)</f>
        <v>0.76048387096774195</v>
      </c>
      <c r="AW329" s="4">
        <v>1.25</v>
      </c>
      <c r="AX329" s="4">
        <f>AX328</f>
        <v>2.5</v>
      </c>
      <c r="AY329" s="38">
        <f>AT329*AV329*AW329*AX329*AU329</f>
        <v>261.27849331674088</v>
      </c>
      <c r="AZ329" s="38">
        <f>AY329</f>
        <v>261.27849331674088</v>
      </c>
      <c r="BA329" s="38">
        <f>IF(M329&lt;50, 0.3*M329^(2/3), 2.12*LN(1+0.1*(M329+8)))</f>
        <v>4.8146447394162166</v>
      </c>
      <c r="BB329" s="38">
        <f>AX329* (M329^0.5/AS329^0.5)/(PI()/4*N329^2)/X329/0.72 *(0.7+(MIN(S329,AA329)+0.5*N329)/5/K329) *(3*Q329*K329)</f>
        <v>261.27849331674076</v>
      </c>
      <c r="BC329" s="38">
        <f>AY329/BB329</f>
        <v>1.0000000000000004</v>
      </c>
      <c r="BD329" s="38">
        <f>BH329/BB329</f>
        <v>2.9348609175873812</v>
      </c>
      <c r="BE329" s="4">
        <f>IF(BD329&lt;1,1,0)</f>
        <v>0</v>
      </c>
      <c r="BF329" s="4">
        <f>L329/N329*M329^0.5/0.19</f>
        <v>463.7533740037855</v>
      </c>
      <c r="BG329" s="4">
        <f>MIN(0.6+0.4*(AC329/AB329),2)</f>
        <v>1.2000000000000002</v>
      </c>
      <c r="BH329" s="38">
        <f>2*M329*AB329*AD329^0.5*BG329*0.7/0.7</f>
        <v>766.81603864141823</v>
      </c>
      <c r="BI329" s="4">
        <f>MAX(1-0.7*AE329/5,0.3)</f>
        <v>0.42600000000000005</v>
      </c>
      <c r="BJ329" s="4">
        <f>BI329*J329*L329/(J329*N329/2.75/M329^0.5)</f>
        <v>103.2245447526326</v>
      </c>
      <c r="BK329" s="4">
        <f>BH329+BJ329</f>
        <v>870.04058339405083</v>
      </c>
      <c r="BM329" s="4">
        <f>MIN(1.5, 0.75+0.25*MIN(3,MAX(1,S329/N329))+0.4*MIN(1,(40*2*PI()*AM329^2/4/AO329/X329)/N329))</f>
        <v>1.375</v>
      </c>
      <c r="BN329" s="4">
        <f>(3*P329+30)*BM329*M329^0.5</f>
        <v>729.86459687089723</v>
      </c>
      <c r="BP329" s="4">
        <f>3.4/PI()^0.5*M329*AB329*AE329^0.5*BG329</f>
        <v>735.4703565480313</v>
      </c>
      <c r="BQ329" s="4">
        <f>8/3*AH329*AI329^2/(AG329-N329-22)/N329*(AG329^2-N329^2)/(AG329^2-(N329+22)^2)</f>
        <v>0</v>
      </c>
      <c r="BR329" s="4">
        <f>BQ329/BP329</f>
        <v>0</v>
      </c>
      <c r="BZ329" s="4">
        <f>IF(W329=0,S329,MIN(W329/2,S329))</f>
        <v>38.099999999999994</v>
      </c>
      <c r="CD329" s="9"/>
      <c r="CF329" s="9"/>
      <c r="CG329" s="9"/>
      <c r="CH329" s="9">
        <f>IF(W329=0,MIN(S329,U329),MIN(W329/2,S329,U329))</f>
        <v>38.099999999999994</v>
      </c>
      <c r="CI329" s="9">
        <f>MAX(W329/2,S329)</f>
        <v>63.5</v>
      </c>
      <c r="CJ329" s="9">
        <f>(CH329/N329)^0.5*(CI329/CH329)^0.15</f>
        <v>1.3222785168171165</v>
      </c>
      <c r="CK329" s="70">
        <f>IF(AO329&gt;1,20,0)</f>
        <v>20</v>
      </c>
      <c r="CL329" s="9">
        <f>MIN(PI()*AM329^2/4*AN329*2/X329/N329/MAX(0.01,AO329),0.05)</f>
        <v>0</v>
      </c>
      <c r="CM329" s="9">
        <f>MAX(0,CK329*(CL329-0.5/50))</f>
        <v>0</v>
      </c>
      <c r="CN329" s="9">
        <f>MIN(1,(25/N329)^0.3)</f>
        <v>0.99524931562137331</v>
      </c>
      <c r="CO329" s="9">
        <f>IF(J329&gt;=800,0.68,IF(J329&gt;=700,0.75-(J329-700)*0.07/100,IF(J329&gt;=600,0.85-(J329-600)*0.1/100,IF(J329&gt;=500,1-(J329-500)*0.15/100,1.2-(J329-400)*0.2/100))))</f>
        <v>0.68</v>
      </c>
      <c r="CP329" s="9">
        <f>1.75*CN329*CO329*(M329/25)^0.5</f>
        <v>2.1039618260511515</v>
      </c>
      <c r="CQ329" s="9">
        <f>MIN((CJ329+CM329)*CP329,2.5*CP329,M329^0.5)</f>
        <v>2.7820235227907486</v>
      </c>
      <c r="CR329" s="40">
        <v>1</v>
      </c>
      <c r="CS329" s="9">
        <f>4*CQ329*P329+60*CQ329</f>
        <v>277.31210475178182</v>
      </c>
      <c r="CU329" s="4">
        <f>AJ329/BF329</f>
        <v>0.92052495066192941</v>
      </c>
      <c r="CV329" s="4">
        <f>AJ329/BK329</f>
        <v>0.49066280340487506</v>
      </c>
      <c r="CW329" s="4">
        <f>AJ329/BN329</f>
        <v>0.58489828600310911</v>
      </c>
      <c r="CX329" s="4">
        <f>AJ329/CS329</f>
        <v>1.5394082854992828</v>
      </c>
      <c r="CY329" s="4">
        <f>AJ329/DZ329</f>
        <v>0.75738494469674067</v>
      </c>
      <c r="CZ329" s="4">
        <f>AJ329/EL329</f>
        <v>0.76591341717817985</v>
      </c>
      <c r="DA329" s="4">
        <f>AJ329/GI329</f>
        <v>1.0136353606109705</v>
      </c>
      <c r="DB329" s="4">
        <f>AN329</f>
        <v>0</v>
      </c>
      <c r="DC329" s="4">
        <f>CU329</f>
        <v>0.92052495066192941</v>
      </c>
      <c r="DD329" s="4">
        <f>CV329</f>
        <v>0.49066280340487506</v>
      </c>
      <c r="DE329" s="4">
        <f>CX329</f>
        <v>1.5394082854992828</v>
      </c>
      <c r="DF329" s="4">
        <f>DA329</f>
        <v>1.0136353606109705</v>
      </c>
      <c r="DG329" s="4">
        <f>CY329</f>
        <v>0.75738494469674067</v>
      </c>
      <c r="DH329" s="4">
        <f>CZ329</f>
        <v>0.76591341717817985</v>
      </c>
      <c r="DQ329" s="4">
        <f>L329</f>
        <v>251.96799999999999</v>
      </c>
      <c r="DT329" s="4">
        <f>K329/4/(1-0.3*(M329/30)^0.5)/200000/N329</f>
        <v>2.4148361798518977E-5</v>
      </c>
      <c r="DU329" s="4">
        <f>EP329</f>
        <v>10.04143675130468</v>
      </c>
      <c r="DV329" s="4">
        <f>EC329*AG329/257/M329/AD329</f>
        <v>0.18027996513199299</v>
      </c>
      <c r="DW329" s="4">
        <f>DU329*DV329^0.4</f>
        <v>5.0602834368430525</v>
      </c>
      <c r="DX329" s="4">
        <f>MIN(DU329, DU329/1.4*(1-DV329^1.4)/(1-DV329))</f>
        <v>7.9549538182287627</v>
      </c>
      <c r="DY329" s="4">
        <f>MAX(DU329/2, (4-DT329*(8*AG329*(DW329-DX329)+6*K329*DX329))/(4+DT329*K329*DU329)*DU329)</f>
        <v>9.2515968559547055</v>
      </c>
      <c r="DZ329" s="38">
        <f>MIN(1/N329*(4*AG329*(DW329-DX329)+(3*DX329+DY329)*K329)+EC329 -FJ329,MAX(J329,AJ329))</f>
        <v>563.6454153377299</v>
      </c>
      <c r="EA329" s="4">
        <f>DZ329/FF329</f>
        <v>1.0000904410420515</v>
      </c>
      <c r="EB329" s="4">
        <f>AG329/N329</f>
        <v>2.2583179581272428</v>
      </c>
      <c r="EC329" s="4">
        <f>MIN(EB$10*BB329)</f>
        <v>261.27849331674076</v>
      </c>
      <c r="EG329" s="4">
        <f>IF(U329&gt;1*N329,0.85,1)</f>
        <v>0.85</v>
      </c>
      <c r="EH329" s="4">
        <f>MIN(1,MAX(0.7,(1-0.1*(BZ329-1*N329)/N329)))</f>
        <v>0.95</v>
      </c>
      <c r="EI329" s="4">
        <f>MIN(1,MAX(0.7,1-0.3*(PI()*AM329^2/4*AQ329*2-0.25*PI()/4*N329^2)/(PI()/4*N329^2)))</f>
        <v>1</v>
      </c>
      <c r="EJ329" s="4">
        <f>IF(EH329*EI329&lt;0.7,0.7,EH329*EI329)</f>
        <v>0.95</v>
      </c>
      <c r="EL329" s="4">
        <f>MIN(DU329/N329*3*K329+EM329-FJ329,MAX(J329,AJ329))</f>
        <v>557.36920407653076</v>
      </c>
      <c r="EM329" s="25">
        <f>13.3*Q329*K329^0.5*M329^0.5/X329/N329^2*(0.7+S329/5/K329)</f>
        <v>258.53604635770347</v>
      </c>
      <c r="EO329" s="4">
        <f>EG329*EJ329</f>
        <v>0.8075</v>
      </c>
      <c r="EP329" s="4">
        <f>IF(N329&lt;22.2,1.1*5*(M329/30)^0.5,IF(N329&gt;=31.8,0.9*5*(M329/30)^0.5,1*5*(M329/30)^0.5))/EG329/EJ329</f>
        <v>10.04143675130468</v>
      </c>
      <c r="ES329" s="4">
        <f>ET329*N329</f>
        <v>57.361276136431961</v>
      </c>
      <c r="ET329" s="4">
        <f>AF329^0.5</f>
        <v>2.2583179581272428</v>
      </c>
      <c r="EU329" s="4">
        <f>MIN(EC329)/(4700*M329^0.5)/AE329*ES329</f>
        <v>8.7561207479214337E-2</v>
      </c>
      <c r="EX329" s="4">
        <f>EU329</f>
        <v>8.7561207479214337E-2</v>
      </c>
      <c r="EY329" s="4">
        <f>MIN(0.999, EX329/(0.3*(M329/30)^0.5))</f>
        <v>0.17997911146980572</v>
      </c>
      <c r="EZ329" s="4">
        <f>EP329/1*EY329^0.4</f>
        <v>5.056903876247655</v>
      </c>
      <c r="FA329" s="4">
        <f>EP329/1.4*(1-EY329^1.4)/(1-EY329)</f>
        <v>7.9538911861800736</v>
      </c>
      <c r="FB329" s="4">
        <f>MAX(0,DQ329*FB$9-ES329)</f>
        <v>131.61472386356803</v>
      </c>
      <c r="FC329" s="4">
        <f>MAX(0,DQ329-ES329-FB329)</f>
        <v>62.99199999999999</v>
      </c>
      <c r="FD329" s="4">
        <f>FC329/(1-0.3*(M329/30)^0.5)/200000/N329</f>
        <v>2.414836179851897E-5</v>
      </c>
      <c r="FE329" s="4">
        <f>MAX(0.5*EP329, (1-2*FD329*(ES329*EZ329+FB329*FA329))/(1/EP329+FD329*FC329))</f>
        <v>9.2517562618422335</v>
      </c>
      <c r="FF329" s="4">
        <f>MIN(4/N329*(1*EZ329*ES329+FA329*FB329+FC329*FE329)+EC329,MAX(J329,AJ329))</f>
        <v>563.5944432689862</v>
      </c>
      <c r="FO329" s="23">
        <f>IF(CU329&lt;0.6,0.6,IF(CU329&lt;0.8,0.8,IF(CU329&lt;1,1,IF(CU329&lt;1.2,1.2,IF(CU329&lt;1.4,1.4,IF(CU329&lt;1.6,1.6,IF(CU329&lt;1.8,1.8,IF(CU329&lt;2,2,2.2))))))))</f>
        <v>1</v>
      </c>
      <c r="FP329" s="23">
        <f>IF(CV329&lt;0.6,0.6,IF(CV329&lt;0.8,0.8,IF(CV329&lt;1,1,IF(CV329&lt;1.2,1.2,IF(CV329&lt;1.4,1.4,IF(CV329&lt;1.6,1.6,IF(CV329&lt;1.8,1.8,IF(CV329&lt;2,2,2.2))))))))</f>
        <v>0.6</v>
      </c>
      <c r="FQ329" s="23">
        <f>IF(DA329&lt;0.6,0.6,IF(DA329&lt;0.8,0.8,IF(DA329&lt;1,1,IF(DA329&lt;1.2,1.2,IF(DA329&lt;1.4,1.4,IF(DA329&lt;1.6,1.6,IF(DA329&lt;1.8,1.8,IF(DA329&lt;2,2,2.2))))))))</f>
        <v>1.2</v>
      </c>
      <c r="FR329" s="23">
        <f>IF(CX329&lt;0.6,0.6,IF(CX329&lt;0.8,0.8,IF(CX329&lt;1,1,IF(CX329&lt;1.2,1.2,IF(CX329&lt;1.4,1.4,IF(CX329&lt;1.6,1.6,IF(CX329&lt;1.8,1.8,IF(CX329&lt;2,2,2.2))))))))</f>
        <v>1.6</v>
      </c>
      <c r="FS329" s="23">
        <f>IF(CY329&lt;0.6,0.6,IF(CY329&lt;0.8,0.8,IF(CY329&lt;1,1,IF(CY329&lt;1.2,1.2,IF(CY329&lt;1.4,1.4,IF(CY329&lt;1.6,1.6,IF(CY329&lt;1.8,1.8,IF(CY329&lt;2,2,2.2))))))))</f>
        <v>0.8</v>
      </c>
      <c r="FT329" s="23">
        <f>IF(CZ329&lt;0.6,0.6,IF(CZ329&lt;0.8,0.8,IF(CZ329&lt;1,1,IF(CZ329&lt;1.2,1.2,IF(CZ329&lt;1.4,1.4,IF(CZ329&lt;1.6,1.6,IF(CZ329&lt;1.8,1.8,IF(CZ329&lt;2,2,2.2))))))))</f>
        <v>0.8</v>
      </c>
      <c r="FU329" s="23">
        <f>IF(FS329&lt;1,1,0)</f>
        <v>1</v>
      </c>
      <c r="FV329" s="23"/>
      <c r="GF329" s="4">
        <f>IF(S329&gt;=2.5*25.4,1,1.25)</f>
        <v>1</v>
      </c>
      <c r="GG329" s="4">
        <f>IF(AO329&gt;1, 0.05*(18-MIN(8,(W329+N329)/N329))*(1-48000/MAX(60000,(J329*145))*(N329/25.4)^0.75*GH329), 1/12*(14-MIN(8,(W329+N329)/N329)))</f>
        <v>0.70000000000000007</v>
      </c>
      <c r="GH329" s="4">
        <f>MIN(0.3, AM329^2*PI()/4*2*AP329/(N329^2*PI()/4*X329))</f>
        <v>0</v>
      </c>
      <c r="GI329" s="4">
        <f>(K329/25.4)/(N329/25.4)^1.5/0.0024*(M329*145)^0.25/GF329/GG329/145</f>
        <v>421.15396553137742</v>
      </c>
    </row>
    <row r="330" spans="1:191" ht="12" customHeight="1" x14ac:dyDescent="0.3">
      <c r="A330" s="25">
        <v>267</v>
      </c>
      <c r="B330" s="4" t="s">
        <v>605</v>
      </c>
      <c r="C330" s="4">
        <v>2016</v>
      </c>
      <c r="D330" s="4" t="s">
        <v>309</v>
      </c>
      <c r="E330" s="24" t="s">
        <v>665</v>
      </c>
      <c r="F330" s="24"/>
      <c r="G330" s="24">
        <v>17</v>
      </c>
      <c r="H330" s="7" t="s">
        <v>424</v>
      </c>
      <c r="I330" s="5">
        <f>K330/N330</f>
        <v>9.92</v>
      </c>
      <c r="J330" s="38">
        <f>129/0.145</f>
        <v>889.65517241379314</v>
      </c>
      <c r="K330" s="96">
        <f>9.92*25.4</f>
        <v>251.96799999999999</v>
      </c>
      <c r="L330" s="4">
        <f>K330</f>
        <v>251.96799999999999</v>
      </c>
      <c r="M330" s="96">
        <f>11460/145</f>
        <v>79.034482758620683</v>
      </c>
      <c r="N330" s="96">
        <f>1*25.4</f>
        <v>25.4</v>
      </c>
      <c r="O330" s="7">
        <f>K330/N330</f>
        <v>9.92</v>
      </c>
      <c r="P330" s="7">
        <f>L330/N330</f>
        <v>9.92</v>
      </c>
      <c r="Q330" s="38">
        <f>16.1*25.4</f>
        <v>408.94</v>
      </c>
      <c r="R330" s="32">
        <f>S330/N330</f>
        <v>2.5</v>
      </c>
      <c r="S330" s="38">
        <f>2.5*25.4</f>
        <v>63.5</v>
      </c>
      <c r="T330" s="32">
        <f>U330/N330</f>
        <v>3.1666666666666665</v>
      </c>
      <c r="U330" s="39">
        <f>(3.2+3+3.3)/3*25.4</f>
        <v>80.433333333333323</v>
      </c>
      <c r="V330" s="32">
        <f>W330/N330</f>
        <v>4.0500000000000007</v>
      </c>
      <c r="W330" s="7">
        <f>(Q330-X330*N330-2*S330)/(X330-1)</f>
        <v>102.87</v>
      </c>
      <c r="X330" s="38">
        <v>3</v>
      </c>
      <c r="Y330" s="7">
        <f>AN330</f>
        <v>0</v>
      </c>
      <c r="Z330" s="32">
        <f>AA330/N330</f>
        <v>10.25</v>
      </c>
      <c r="AA330" s="4">
        <f>10.25*25.4</f>
        <v>260.34999999999997</v>
      </c>
      <c r="AB330" s="7">
        <f>MIN(S330/N330+0.5, W330/2/N330+0.5)</f>
        <v>2.5250000000000004</v>
      </c>
      <c r="AC330" s="7">
        <f>S330/N330+0.5</f>
        <v>3</v>
      </c>
      <c r="AD330" s="38">
        <v>4.0999999999999996</v>
      </c>
      <c r="AE330" s="4">
        <f>AD330</f>
        <v>4.0999999999999996</v>
      </c>
      <c r="AF330" s="4">
        <f>AE330+1</f>
        <v>5.0999999999999996</v>
      </c>
      <c r="AG330" s="7">
        <f>N330*AF330^0.5</f>
        <v>57.361276136431961</v>
      </c>
      <c r="AJ330" s="38">
        <f>AK330/0.145</f>
        <v>480.68965517241384</v>
      </c>
      <c r="AK330" s="4">
        <v>69.7</v>
      </c>
      <c r="AL330" s="4">
        <f>CY330</f>
        <v>0.7688185795271586</v>
      </c>
      <c r="AM330" s="38">
        <v>0</v>
      </c>
      <c r="AN330" s="38">
        <v>0</v>
      </c>
      <c r="AO330" s="39">
        <f>L330</f>
        <v>251.96799999999999</v>
      </c>
      <c r="AP330" s="39"/>
      <c r="AQ330" s="39"/>
      <c r="AR330" s="7"/>
      <c r="AS330" s="4">
        <f>K330</f>
        <v>251.96799999999999</v>
      </c>
      <c r="AT330" s="4">
        <f>IF(K330*3&gt;W330+N330, Q330, (S330+N330/2)*2+1.5*K330*(2*X330-2))*(3*K330)/(9*K330^2)</f>
        <v>0.540994623655914</v>
      </c>
      <c r="AU330" s="4">
        <f>MIN(10*M330^0.5*K330^1.5,100*3.9*M330^0.5*K330^(5/3))/(PI()/4*N330^2)/X330</f>
        <v>233.90947895759095</v>
      </c>
      <c r="AV330" s="4">
        <f>MIN(0.7+0.3*(MIN(S330,AA330)+0.5*N330)/1.5/K330,1)</f>
        <v>0.76048387096774195</v>
      </c>
      <c r="AW330" s="4">
        <v>1.25</v>
      </c>
      <c r="AX330" s="4">
        <f>AX329</f>
        <v>2.5</v>
      </c>
      <c r="AY330" s="38">
        <f>AT330*AV330*AW330*AX330*AU330</f>
        <v>300.73280145548068</v>
      </c>
      <c r="AZ330" s="38">
        <f>AY330</f>
        <v>300.73280145548068</v>
      </c>
      <c r="BA330" s="38">
        <f>IF(M330&lt;50, 0.3*M330^(2/3), 2.12*LN(1+0.1*(M330+8)))</f>
        <v>4.8176603871508874</v>
      </c>
      <c r="BB330" s="38">
        <f>AX330* (M330^0.5/AS330^0.5)/(PI()/4*N330^2)/X330/0.72 *(0.7+(MIN(S330,AA330)+0.5*N330)/5/K330) *(3*Q330*K330)</f>
        <v>300.73280145548046</v>
      </c>
      <c r="BC330" s="38">
        <f>AY330/BB330</f>
        <v>1.0000000000000007</v>
      </c>
      <c r="BD330" s="38">
        <f>BH330/BB330</f>
        <v>2.8895324324262508</v>
      </c>
      <c r="BE330" s="4">
        <f>IF(BD330&lt;1,1,0)</f>
        <v>0</v>
      </c>
      <c r="BF330" s="4">
        <f>L330/N330*M330^0.5/0.19</f>
        <v>464.15857580586129</v>
      </c>
      <c r="BG330" s="4">
        <f>MIN(0.6+0.4*(AC330/AB330),2)</f>
        <v>1.0752475247524751</v>
      </c>
      <c r="BH330" s="38">
        <f>2*M330*AB330*AD330^0.5*BG330*0.7/0.7</f>
        <v>868.97718330001521</v>
      </c>
      <c r="BI330" s="4">
        <f>MAX(1-0.7*AE330/5,0.3)</f>
        <v>0.42600000000000005</v>
      </c>
      <c r="BJ330" s="4">
        <f>BI330*J330*L330/(J330*N330/2.75/M330^0.5)</f>
        <v>103.31473659574765</v>
      </c>
      <c r="BK330" s="4">
        <f>BH330+BJ330</f>
        <v>972.29191989576282</v>
      </c>
      <c r="BM330" s="4">
        <f>MIN(1.5, 0.75+0.25*MIN(3,MAX(1,S330/N330))+0.4*MIN(1,(40*2*PI()*AM330^2/4/AO330/X330)/N330))</f>
        <v>1.375</v>
      </c>
      <c r="BN330" s="4">
        <f>(3*P330+30)*BM330*M330^0.5</f>
        <v>730.50231179978312</v>
      </c>
      <c r="BP330" s="4">
        <f>3.4/PI()^0.5*M330*AB330*AE330^0.5*BG330</f>
        <v>833.45538776951423</v>
      </c>
      <c r="BQ330" s="4">
        <f>8/3*AH330*AI330^2/(AG330-N330-22)/N330*(AG330^2-N330^2)/(AG330^2-(N330+22)^2)</f>
        <v>0</v>
      </c>
      <c r="BR330" s="4">
        <f>BQ330/BP330</f>
        <v>0</v>
      </c>
      <c r="BZ330" s="4">
        <f>IF(W330=0,S330,MIN(W330/2,S330))</f>
        <v>51.435000000000002</v>
      </c>
      <c r="CD330" s="9"/>
      <c r="CF330" s="9"/>
      <c r="CG330" s="9"/>
      <c r="CH330" s="9">
        <f>IF(W330=0,MIN(S330,U330),MIN(W330/2,S330,U330))</f>
        <v>51.435000000000002</v>
      </c>
      <c r="CI330" s="9">
        <f>MAX(W330/2,S330)</f>
        <v>63.5</v>
      </c>
      <c r="CJ330" s="9">
        <f>(CH330/N330)^0.5*(CI330/CH330)^0.15</f>
        <v>1.4687225435414653</v>
      </c>
      <c r="CK330" s="70">
        <f>IF(AO330&gt;1,20,0)</f>
        <v>20</v>
      </c>
      <c r="CL330" s="9">
        <f>MIN(PI()*AM330^2/4*AN330*2/X330/N330/MAX(0.01,AO330),0.05)</f>
        <v>0</v>
      </c>
      <c r="CM330" s="9">
        <f>MAX(0,CK330*(CL330-0.5/50))</f>
        <v>0</v>
      </c>
      <c r="CN330" s="9">
        <f>MIN(1,(25/N330)^0.3)</f>
        <v>0.99524931562137331</v>
      </c>
      <c r="CO330" s="9">
        <f>IF(J330&gt;=800,0.68,IF(J330&gt;=700,0.75-(J330-700)*0.07/100,IF(J330&gt;=600,0.85-(J330-600)*0.1/100,IF(J330&gt;=500,1-(J330-500)*0.15/100,1.2-(J330-400)*0.2/100))))</f>
        <v>0.68</v>
      </c>
      <c r="CP330" s="9">
        <f>1.75*CN330*CO330*(M330/25)^0.5</f>
        <v>2.1058001504088901</v>
      </c>
      <c r="CQ330" s="9">
        <f>MIN((CJ330+CM330)*CP330,2.5*CP330,M330^0.5)</f>
        <v>3.0928361530985451</v>
      </c>
      <c r="CR330" s="40">
        <v>1</v>
      </c>
      <c r="CS330" s="9">
        <f>4*CQ330*P330+60*CQ330</f>
        <v>308.29390774086301</v>
      </c>
      <c r="CU330" s="4">
        <f>AJ330/BF330</f>
        <v>1.0356151544498595</v>
      </c>
      <c r="CV330" s="4">
        <f>AJ330/BK330</f>
        <v>0.49438820310668369</v>
      </c>
      <c r="CW330" s="4">
        <f>AJ330/BN330</f>
        <v>0.65802619294675391</v>
      </c>
      <c r="CX330" s="4">
        <f>AJ330/CS330</f>
        <v>1.5591928452133359</v>
      </c>
      <c r="CY330" s="4">
        <f>AJ330/DZ330</f>
        <v>0.7688185795271586</v>
      </c>
      <c r="CZ330" s="4">
        <f>AJ330/EL330</f>
        <v>0.782670244439856</v>
      </c>
      <c r="DA330" s="4">
        <f>AJ330/GI330</f>
        <v>1.0553000677007287</v>
      </c>
      <c r="DB330" s="4">
        <f>AN330</f>
        <v>0</v>
      </c>
      <c r="DC330" s="4">
        <f>CU330</f>
        <v>1.0356151544498595</v>
      </c>
      <c r="DD330" s="4">
        <f>CV330</f>
        <v>0.49438820310668369</v>
      </c>
      <c r="DE330" s="4">
        <f>CX330</f>
        <v>1.5591928452133359</v>
      </c>
      <c r="DF330" s="4">
        <f>DA330</f>
        <v>1.0553000677007287</v>
      </c>
      <c r="DG330" s="4">
        <f>CY330</f>
        <v>0.7688185795271586</v>
      </c>
      <c r="DH330" s="4">
        <f>CZ330</f>
        <v>0.782670244439856</v>
      </c>
      <c r="DQ330" s="4">
        <f>L330</f>
        <v>251.96799999999999</v>
      </c>
      <c r="DT330" s="4">
        <f>K330/4/(1-0.3*(M330/30)^0.5)/200000/N330</f>
        <v>2.4168369041980222E-5</v>
      </c>
      <c r="DU330" s="4">
        <f>EP330</f>
        <v>10.638105713782785</v>
      </c>
      <c r="DV330" s="4">
        <f>EC330*AG330/257/M330/AD330</f>
        <v>0.20714097168754586</v>
      </c>
      <c r="DW330" s="4">
        <f>DU330*DV330^0.4</f>
        <v>5.6672282629254962</v>
      </c>
      <c r="DX330" s="4">
        <f>MIN(DU330, DU330/1.4*(1-DV330^1.4)/(1-DV330))</f>
        <v>8.5262775120215917</v>
      </c>
      <c r="DY330" s="4">
        <f>MAX(DU330/2, (4-DT330*(8*AG330*(DW330-DX330)+6*K330*DX330))/(4+DT330*K330*DU330)*DU330)</f>
        <v>9.7362226598816992</v>
      </c>
      <c r="DZ330" s="38">
        <f>MIN(1/N330*(4*AG330*(DW330-DX330)+(3*DX330+DY330)*K330)+EC330 -FJ330,MAX(J330,AJ330))</f>
        <v>625.23157994965368</v>
      </c>
      <c r="EA330" s="4">
        <f>DZ330/FF330</f>
        <v>1.0000929642221095</v>
      </c>
      <c r="EB330" s="4">
        <f>AG330/N330</f>
        <v>2.2583179581272428</v>
      </c>
      <c r="EC330" s="4">
        <f>MIN(EB$10*BB330)</f>
        <v>300.73280145548046</v>
      </c>
      <c r="EG330" s="4">
        <f>IF(U330&gt;1*N330,0.85,1)</f>
        <v>0.85</v>
      </c>
      <c r="EH330" s="4">
        <f>MIN(1,MAX(0.7,(1-0.1*(BZ330-1*N330)/N330)))</f>
        <v>0.89749999999999996</v>
      </c>
      <c r="EI330" s="4">
        <f>MIN(1,MAX(0.7,1-0.3*(PI()*AM330^2/4*AQ330*2-0.25*PI()/4*N330^2)/(PI()/4*N330^2)))</f>
        <v>1</v>
      </c>
      <c r="EJ330" s="4">
        <f>IF(EH330*EI330&lt;0.7,0.7,EH330*EI330)</f>
        <v>0.89749999999999996</v>
      </c>
      <c r="EL330" s="4">
        <f>MIN(DU330/N330*3*K330+EM330-FJ330,MAX(J330,AJ330))</f>
        <v>614.16625786819759</v>
      </c>
      <c r="EM330" s="25">
        <f>13.3*Q330*K330^0.5*M330^0.5/X330/N330^2*(0.7+S330/5/K330)</f>
        <v>297.5762318260218</v>
      </c>
      <c r="EO330" s="4">
        <f>EG330*EJ330</f>
        <v>0.76287499999999997</v>
      </c>
      <c r="EP330" s="4">
        <f>IF(N330&lt;22.2,1.1*5*(M330/30)^0.5,IF(N330&gt;=31.8,0.9*5*(M330/30)^0.5,1*5*(M330/30)^0.5))/EG330/EJ330</f>
        <v>10.638105713782785</v>
      </c>
      <c r="ES330" s="4">
        <f>ET330*N330</f>
        <v>57.361276136431961</v>
      </c>
      <c r="ET330" s="4">
        <f>AF330^0.5</f>
        <v>2.2583179581272428</v>
      </c>
      <c r="EU330" s="4">
        <f>MIN(EC330)/(4700*M330^0.5)/AE330*ES330</f>
        <v>0.10069538860109649</v>
      </c>
      <c r="EX330" s="4">
        <f>EU330</f>
        <v>0.10069538860109649</v>
      </c>
      <c r="EY330" s="4">
        <f>MIN(0.999, EX330/(0.3*(M330/30)^0.5))</f>
        <v>0.2067952920116285</v>
      </c>
      <c r="EZ330" s="4">
        <f>EP330/1*EY330^0.4</f>
        <v>5.6634433481946225</v>
      </c>
      <c r="FA330" s="4">
        <f>EP330/1.4*(1-EY330^1.4)/(1-EY330)</f>
        <v>8.5250307099253781</v>
      </c>
      <c r="FB330" s="4">
        <f>MAX(0,DQ330*FB$9-ES330)</f>
        <v>131.61472386356803</v>
      </c>
      <c r="FC330" s="4">
        <f>MAX(0,DQ330-ES330-FB330)</f>
        <v>62.99199999999999</v>
      </c>
      <c r="FD330" s="4">
        <f>FC330/(1-0.3*(M330/30)^0.5)/200000/N330</f>
        <v>2.4168369041980216E-5</v>
      </c>
      <c r="FE330" s="4">
        <f>MAX(0.5*EP330, (1-2*FD330*(ES330*EZ330+FB330*FA330))/(1/EP330+FD330*FC330))</f>
        <v>9.7364155557739451</v>
      </c>
      <c r="FF330" s="4">
        <f>MIN(4/N330*(1*EZ330*ES330+FA330*FB330+FC330*FE330)+EC330,MAX(J330,AJ330))</f>
        <v>625.17346118515115</v>
      </c>
      <c r="FO330" s="23">
        <f>IF(CU330&lt;0.6,0.6,IF(CU330&lt;0.8,0.8,IF(CU330&lt;1,1,IF(CU330&lt;1.2,1.2,IF(CU330&lt;1.4,1.4,IF(CU330&lt;1.6,1.6,IF(CU330&lt;1.8,1.8,IF(CU330&lt;2,2,2.2))))))))</f>
        <v>1.2</v>
      </c>
      <c r="FP330" s="23">
        <f>IF(CV330&lt;0.6,0.6,IF(CV330&lt;0.8,0.8,IF(CV330&lt;1,1,IF(CV330&lt;1.2,1.2,IF(CV330&lt;1.4,1.4,IF(CV330&lt;1.6,1.6,IF(CV330&lt;1.8,1.8,IF(CV330&lt;2,2,2.2))))))))</f>
        <v>0.6</v>
      </c>
      <c r="FQ330" s="23">
        <f>IF(DA330&lt;0.6,0.6,IF(DA330&lt;0.8,0.8,IF(DA330&lt;1,1,IF(DA330&lt;1.2,1.2,IF(DA330&lt;1.4,1.4,IF(DA330&lt;1.6,1.6,IF(DA330&lt;1.8,1.8,IF(DA330&lt;2,2,2.2))))))))</f>
        <v>1.2</v>
      </c>
      <c r="FR330" s="23">
        <f>IF(CX330&lt;0.6,0.6,IF(CX330&lt;0.8,0.8,IF(CX330&lt;1,1,IF(CX330&lt;1.2,1.2,IF(CX330&lt;1.4,1.4,IF(CX330&lt;1.6,1.6,IF(CX330&lt;1.8,1.8,IF(CX330&lt;2,2,2.2))))))))</f>
        <v>1.6</v>
      </c>
      <c r="FS330" s="23">
        <f>IF(CY330&lt;0.6,0.6,IF(CY330&lt;0.8,0.8,IF(CY330&lt;1,1,IF(CY330&lt;1.2,1.2,IF(CY330&lt;1.4,1.4,IF(CY330&lt;1.6,1.6,IF(CY330&lt;1.8,1.8,IF(CY330&lt;2,2,2.2))))))))</f>
        <v>0.8</v>
      </c>
      <c r="FT330" s="23">
        <f>IF(CZ330&lt;0.6,0.6,IF(CZ330&lt;0.8,0.8,IF(CZ330&lt;1,1,IF(CZ330&lt;1.2,1.2,IF(CZ330&lt;1.4,1.4,IF(CZ330&lt;1.6,1.6,IF(CZ330&lt;1.8,1.8,IF(CZ330&lt;2,2,2.2))))))))</f>
        <v>0.8</v>
      </c>
      <c r="FU330" s="23">
        <f>IF(FS330&lt;1,1,0)</f>
        <v>1</v>
      </c>
      <c r="FV330" s="23"/>
      <c r="GF330" s="4">
        <f>IF(S330&gt;=2.5*25.4,1,1.25)</f>
        <v>1</v>
      </c>
      <c r="GG330" s="4">
        <f>IF(AO330&gt;1, 0.05*(18-MIN(8,(W330+N330)/N330))*(1-48000/MAX(60000,(J330*145))*(N330/25.4)^0.75*GH330), 1/12*(14-MIN(8,(W330+N330)/N330)))</f>
        <v>0.64749999999999996</v>
      </c>
      <c r="GH330" s="4">
        <f>MIN(0.3, AM330^2*PI()/4*2*AP330/(N330^2*PI()/4*X330))</f>
        <v>0</v>
      </c>
      <c r="GI330" s="4">
        <f>(K330/25.4)/(N330/25.4)^1.5/0.0024*(M330*145)^0.25/GF330/GG330/145</f>
        <v>455.50044947853831</v>
      </c>
    </row>
    <row r="331" spans="1:191" ht="12" customHeight="1" x14ac:dyDescent="0.3">
      <c r="A331" s="25">
        <v>263</v>
      </c>
      <c r="B331" s="4" t="s">
        <v>605</v>
      </c>
      <c r="C331" s="4">
        <v>2016</v>
      </c>
      <c r="D331" s="4" t="s">
        <v>309</v>
      </c>
      <c r="E331" s="24" t="s">
        <v>417</v>
      </c>
      <c r="F331" s="24"/>
      <c r="G331" s="24">
        <v>17</v>
      </c>
      <c r="H331" s="7" t="s">
        <v>420</v>
      </c>
      <c r="I331" s="5">
        <f>K331/N331</f>
        <v>9.9</v>
      </c>
      <c r="J331" s="38">
        <f>129/0.145</f>
        <v>889.65517241379314</v>
      </c>
      <c r="K331" s="96">
        <f>9.9*25.4</f>
        <v>251.46</v>
      </c>
      <c r="L331" s="4">
        <f>K331</f>
        <v>251.46</v>
      </c>
      <c r="M331" s="96">
        <f>11040/145</f>
        <v>76.137931034482762</v>
      </c>
      <c r="N331" s="96">
        <f>1*25.4</f>
        <v>25.4</v>
      </c>
      <c r="O331" s="7">
        <f>K331/N331</f>
        <v>9.9</v>
      </c>
      <c r="P331" s="7">
        <f>L331/N331</f>
        <v>9.9</v>
      </c>
      <c r="Q331" s="38">
        <f>12*25.4</f>
        <v>304.79999999999995</v>
      </c>
      <c r="R331" s="32">
        <f>S331/N331</f>
        <v>2.4500000000000002</v>
      </c>
      <c r="S331" s="38">
        <f>2.45*25.4</f>
        <v>62.230000000000004</v>
      </c>
      <c r="T331" s="32">
        <f>U331/N331</f>
        <v>3.2666666666666671</v>
      </c>
      <c r="U331" s="39">
        <f>(3.3+3.2+3.3)/3*25.4</f>
        <v>82.973333333333343</v>
      </c>
      <c r="V331" s="32">
        <f>W331/N331</f>
        <v>2.0499999999999994</v>
      </c>
      <c r="W331" s="7">
        <f>(Q331-X331*N331-2*S331)/(X331-1)</f>
        <v>52.069999999999979</v>
      </c>
      <c r="X331" s="38">
        <v>3</v>
      </c>
      <c r="Y331" s="7">
        <f>AN331</f>
        <v>0</v>
      </c>
      <c r="Z331" s="32">
        <f>AA331/N331</f>
        <v>10.25</v>
      </c>
      <c r="AA331" s="4">
        <f>10.25*25.4</f>
        <v>260.34999999999997</v>
      </c>
      <c r="AB331" s="7">
        <f>MIN(S331/N331+0.5, W331/2/N331+0.5)</f>
        <v>1.5249999999999997</v>
      </c>
      <c r="AC331" s="7">
        <f>S331/N331+0.5</f>
        <v>2.95</v>
      </c>
      <c r="AD331" s="38">
        <v>4.0999999999999996</v>
      </c>
      <c r="AE331" s="4">
        <f>AD331</f>
        <v>4.0999999999999996</v>
      </c>
      <c r="AF331" s="4">
        <f>AE331+1</f>
        <v>5.0999999999999996</v>
      </c>
      <c r="AG331" s="7">
        <f>N331*AF331^0.5</f>
        <v>57.361276136431961</v>
      </c>
      <c r="AJ331" s="38">
        <f>AK331/0.145</f>
        <v>368.27586206896552</v>
      </c>
      <c r="AK331" s="4">
        <v>53.4</v>
      </c>
      <c r="AL331" s="4">
        <f>CY331</f>
        <v>0.73864862864762737</v>
      </c>
      <c r="AM331" s="38">
        <v>0</v>
      </c>
      <c r="AN331" s="38">
        <v>0</v>
      </c>
      <c r="AO331" s="39">
        <f>L331</f>
        <v>251.46</v>
      </c>
      <c r="AP331" s="39"/>
      <c r="AQ331" s="39"/>
      <c r="AR331" s="7"/>
      <c r="AS331" s="4">
        <f>K331</f>
        <v>251.46</v>
      </c>
      <c r="AT331" s="4">
        <f>IF(K331*3&gt;W331+N331, Q331, (S331+N331/2)*2+1.5*K331*(2*X331-2))*(3*K331)/(9*K331^2)</f>
        <v>0.40404040404040398</v>
      </c>
      <c r="AU331" s="4">
        <f>MIN(10*M331^0.5*K331^1.5,100*3.9*M331^0.5*K331^(5/3))/(PI()/4*N331^2)/X331</f>
        <v>228.88921678455287</v>
      </c>
      <c r="AV331" s="4">
        <f>MIN(0.7+0.3*(MIN(S331,AA331)+0.5*N331)/1.5/K331,1)</f>
        <v>0.7595959595959596</v>
      </c>
      <c r="AW331" s="4">
        <v>1.25</v>
      </c>
      <c r="AX331" s="4">
        <f>AX330</f>
        <v>2.5</v>
      </c>
      <c r="AY331" s="38">
        <f>AT331*AV331*AW331*AX331*AU331</f>
        <v>219.52439932402783</v>
      </c>
      <c r="AZ331" s="38">
        <f>AY331</f>
        <v>219.52439932402783</v>
      </c>
      <c r="BA331" s="38">
        <f>IF(M331&lt;50, 0.3*M331^(2/3), 2.12*LN(1+0.1*(M331+8)))</f>
        <v>4.75341304622079</v>
      </c>
      <c r="BB331" s="38">
        <f>AX331* (M331^0.5/AS331^0.5)/(PI()/4*N331^2)/X331/0.72 *(0.7+(MIN(S331,AA331)+0.5*N331)/5/K331) *(3*Q331*K331)</f>
        <v>219.52439932402797</v>
      </c>
      <c r="BC331" s="38">
        <f>AY331/BB331</f>
        <v>0.99999999999999933</v>
      </c>
      <c r="BD331" s="38">
        <f>BH331/BB331</f>
        <v>2.9425525330927655</v>
      </c>
      <c r="BE331" s="4">
        <f>IF(BD331&lt;1,1,0)</f>
        <v>0</v>
      </c>
      <c r="BF331" s="4">
        <f>L331/N331*M331^0.5/0.19</f>
        <v>454.65516507863128</v>
      </c>
      <c r="BG331" s="4">
        <f>MIN(0.6+0.4*(AC331/AB331),2)</f>
        <v>1.3737704918032789</v>
      </c>
      <c r="BH331" s="38">
        <f>2*M331*AB331*AD331^0.5*BG331*0.7/0.7</f>
        <v>645.96207730658625</v>
      </c>
      <c r="BI331" s="4">
        <f>MAX(1-0.7*AE331/5,0.3)</f>
        <v>0.42600000000000005</v>
      </c>
      <c r="BJ331" s="4">
        <f>BI331*J331*L331/(J331*N331/2.75/M331^0.5)</f>
        <v>101.19941991902715</v>
      </c>
      <c r="BK331" s="4">
        <f>BH331+BJ331</f>
        <v>747.1614972256134</v>
      </c>
      <c r="BM331" s="4">
        <f>MIN(1.5, 0.75+0.25*MIN(3,MAX(1,S331/N331))+0.4*MIN(1,(40*2*PI()*AM331^2/4/AO331/X331)/N331))</f>
        <v>1.3625</v>
      </c>
      <c r="BN331" s="4">
        <f>(3*P331+30)*BM331*M331^0.5</f>
        <v>709.75976715413344</v>
      </c>
      <c r="BP331" s="4">
        <f>3.4/PI()^0.5*M331*AB331*AE331^0.5*BG331</f>
        <v>619.55662815151902</v>
      </c>
      <c r="BQ331" s="4">
        <f>8/3*AH331*AI331^2/(AG331-N331-22)/N331*(AG331^2-N331^2)/(AG331^2-(N331+22)^2)</f>
        <v>0</v>
      </c>
      <c r="BR331" s="4">
        <f>BQ331/BP331</f>
        <v>0</v>
      </c>
      <c r="BZ331" s="4">
        <f>IF(W331=0,S331,MIN(W331/2,S331))</f>
        <v>26.034999999999989</v>
      </c>
      <c r="CD331" s="9"/>
      <c r="CF331" s="9"/>
      <c r="CG331" s="9"/>
      <c r="CH331" s="9">
        <f>IF(W331=0,MIN(S331,U331),MIN(W331/2,S331,U331))</f>
        <v>26.034999999999989</v>
      </c>
      <c r="CI331" s="9">
        <f>MAX(W331/2,S331)</f>
        <v>62.230000000000004</v>
      </c>
      <c r="CJ331" s="9">
        <f>(CH331/N331)^0.5*(CI331/CH331)^0.15</f>
        <v>1.1537939716985905</v>
      </c>
      <c r="CK331" s="70">
        <f>IF(AO331&gt;1,20,0)</f>
        <v>20</v>
      </c>
      <c r="CL331" s="9">
        <f>MIN(PI()*AM331^2/4*AN331*2/X331/N331/MAX(0.01,AO331),0.05)</f>
        <v>0</v>
      </c>
      <c r="CM331" s="9">
        <f>MAX(0,CK331*(CL331-0.5/50))</f>
        <v>0</v>
      </c>
      <c r="CN331" s="9">
        <f>MIN(1,(25/N331)^0.3)</f>
        <v>0.99524931562137331</v>
      </c>
      <c r="CO331" s="9">
        <f>IF(J331&gt;=800,0.68,IF(J331&gt;=700,0.75-(J331-700)*0.07/100,IF(J331&gt;=600,0.85-(J331-600)*0.1/100,IF(J331&gt;=500,1-(J331-500)*0.15/100,1.2-(J331-400)*0.2/100))))</f>
        <v>0.68</v>
      </c>
      <c r="CP331" s="9">
        <f>1.75*CN331*CO331*(M331/25)^0.5</f>
        <v>2.0668520038571487</v>
      </c>
      <c r="CQ331" s="9">
        <f>MIN((CJ331+CM331)*CP331,2.5*CP331,M331^0.5)</f>
        <v>2.38472138244353</v>
      </c>
      <c r="CR331" s="40">
        <v>1</v>
      </c>
      <c r="CS331" s="9">
        <f>4*CQ331*P331+60*CQ331</f>
        <v>237.51824969137562</v>
      </c>
      <c r="CU331" s="4">
        <f>AJ331/BF331</f>
        <v>0.81001138963256536</v>
      </c>
      <c r="CV331" s="4">
        <f>AJ331/BK331</f>
        <v>0.4928999465797696</v>
      </c>
      <c r="CW331" s="4">
        <f>AJ331/BN331</f>
        <v>0.51887396146108922</v>
      </c>
      <c r="CX331" s="4">
        <f>AJ331/CS331</f>
        <v>1.5505160658075436</v>
      </c>
      <c r="CY331" s="4">
        <f>AJ331/DZ331</f>
        <v>0.73864862864762737</v>
      </c>
      <c r="CZ331" s="4">
        <f>AJ331/EL331</f>
        <v>0.74214693971252432</v>
      </c>
      <c r="DA331" s="4">
        <f>AJ331/GI331</f>
        <v>1.1800386873366524</v>
      </c>
      <c r="DB331" s="4">
        <f>AN331</f>
        <v>0</v>
      </c>
      <c r="DC331" s="4">
        <f>CU331</f>
        <v>0.81001138963256536</v>
      </c>
      <c r="DD331" s="4">
        <f>CV331</f>
        <v>0.4928999465797696</v>
      </c>
      <c r="DE331" s="4">
        <f>CX331</f>
        <v>1.5505160658075436</v>
      </c>
      <c r="DF331" s="4">
        <f>DA331</f>
        <v>1.1800386873366524</v>
      </c>
      <c r="DG331" s="4">
        <f>CY331</f>
        <v>0.73864862864762737</v>
      </c>
      <c r="DH331" s="4">
        <f>CZ331</f>
        <v>0.74214693971252432</v>
      </c>
      <c r="DQ331" s="4">
        <f>L331</f>
        <v>251.46</v>
      </c>
      <c r="DT331" s="4">
        <f>K331/4/(1-0.3*(M331/30)^0.5)/200000/N331</f>
        <v>2.3703561532428188E-5</v>
      </c>
      <c r="DU331" s="4">
        <f>EP331</f>
        <v>9.3945954333173542</v>
      </c>
      <c r="DV331" s="4">
        <f>EC331*AG331/257/M331/AD331</f>
        <v>0.15695803424964713</v>
      </c>
      <c r="DW331" s="4">
        <f>DU331*DV331^0.4</f>
        <v>4.4791076762040252</v>
      </c>
      <c r="DX331" s="4">
        <f>MIN(DU331, DU331/1.4*(1-DV331^1.4)/(1-DV331))</f>
        <v>7.3641169634775325</v>
      </c>
      <c r="DY331" s="4">
        <f>MAX(DU331/2, (4-DT331*(8*AG331*(DW331-DX331)+6*K331*DX331))/(4+DT331*K331*DU331)*DU331)</f>
        <v>8.727573788747403</v>
      </c>
      <c r="DZ331" s="38">
        <f>MIN(1/N331*(4*AG331*(DW331-DX331)+(3*DX331+DY331)*K331)+EC331 -FJ331,MAX(J331,AJ331))</f>
        <v>498.58058051665546</v>
      </c>
      <c r="EA331" s="4">
        <f>DZ331/FF331</f>
        <v>1.0000888470978735</v>
      </c>
      <c r="EB331" s="4">
        <f>AG331/N331</f>
        <v>2.2583179581272428</v>
      </c>
      <c r="EC331" s="4">
        <f>MIN(EB$10*BB331)</f>
        <v>219.52439932402797</v>
      </c>
      <c r="EG331" s="4">
        <f>IF(U331&gt;1*N331,0.85,1)</f>
        <v>0.85</v>
      </c>
      <c r="EH331" s="4">
        <f>MIN(1,MAX(0.7,(1-0.1*(BZ331-1*N331)/N331)))</f>
        <v>0.99750000000000005</v>
      </c>
      <c r="EI331" s="4">
        <f>MIN(1,MAX(0.7,1-0.3*(PI()*AM331^2/4*AQ331*2-0.25*PI()/4*N331^2)/(PI()/4*N331^2)))</f>
        <v>1</v>
      </c>
      <c r="EJ331" s="4">
        <f>IF(EH331*EI331&lt;0.7,0.7,EH331*EI331)</f>
        <v>0.99750000000000005</v>
      </c>
      <c r="EL331" s="4">
        <f>MIN(DU331/N331*3*K331+EM331-FJ331,MAX(J331,AJ331))</f>
        <v>496.23038560479642</v>
      </c>
      <c r="EM331" s="25">
        <f>13.3*Q331*K331^0.5*M331^0.5/X331/N331^2*(0.7+S331/5/K331)</f>
        <v>217.210901235271</v>
      </c>
      <c r="EO331" s="4">
        <f>EG331*EJ331</f>
        <v>0.84787500000000005</v>
      </c>
      <c r="EP331" s="4">
        <f>IF(N331&lt;22.2,1.1*5*(M331/30)^0.5,IF(N331&gt;=31.8,0.9*5*(M331/30)^0.5,1*5*(M331/30)^0.5))/EG331/EJ331</f>
        <v>9.3945954333173542</v>
      </c>
      <c r="ES331" s="4">
        <f>ET331*N331</f>
        <v>57.361276136431961</v>
      </c>
      <c r="ET331" s="4">
        <f>AF331^0.5</f>
        <v>2.2583179581272428</v>
      </c>
      <c r="EU331" s="4">
        <f>MIN(EC331)/(4700*M331^0.5)/AE331*ES331</f>
        <v>7.4889227699808214E-2</v>
      </c>
      <c r="EX331" s="4">
        <f>EU331</f>
        <v>7.4889227699808214E-2</v>
      </c>
      <c r="EY331" s="4">
        <f>MIN(0.999, EX331/(0.3*(M331/30)^0.5))</f>
        <v>0.15669610054348546</v>
      </c>
      <c r="EZ331" s="4">
        <f>EP331/1*EY331^0.4</f>
        <v>4.476116259617589</v>
      </c>
      <c r="FA331" s="4">
        <f>EP331/1.4*(1-EY331^1.4)/(1-EY331)</f>
        <v>7.3632204030722086</v>
      </c>
      <c r="FB331" s="4">
        <f>MAX(0,DQ331*FB$9-ES331)</f>
        <v>131.23372386356803</v>
      </c>
      <c r="FC331" s="4">
        <f>MAX(0,DQ331-ES331-FB331)</f>
        <v>62.865000000000009</v>
      </c>
      <c r="FD331" s="4">
        <f>FC331/(1-0.3*(M331/30)^0.5)/200000/N331</f>
        <v>2.3703561532428195E-5</v>
      </c>
      <c r="FE331" s="4">
        <f>MAX(0.5*EP331, (1-2*FD331*(ES331*EZ331+FB331*FA331))/(1/EP331+FD331*FC331))</f>
        <v>8.7277008339076421</v>
      </c>
      <c r="FF331" s="4">
        <f>MIN(4/N331*(1*EZ331*ES331+FA331*FB331+FC331*FE331)+EC331,MAX(J331,AJ331))</f>
        <v>498.53628701436963</v>
      </c>
      <c r="FO331" s="23">
        <f>IF(CU331&lt;0.6,0.6,IF(CU331&lt;0.8,0.8,IF(CU331&lt;1,1,IF(CU331&lt;1.2,1.2,IF(CU331&lt;1.4,1.4,IF(CU331&lt;1.6,1.6,IF(CU331&lt;1.8,1.8,IF(CU331&lt;2,2,2.2))))))))</f>
        <v>1</v>
      </c>
      <c r="FP331" s="23">
        <f>IF(CV331&lt;0.6,0.6,IF(CV331&lt;0.8,0.8,IF(CV331&lt;1,1,IF(CV331&lt;1.2,1.2,IF(CV331&lt;1.4,1.4,IF(CV331&lt;1.6,1.6,IF(CV331&lt;1.8,1.8,IF(CV331&lt;2,2,2.2))))))))</f>
        <v>0.6</v>
      </c>
      <c r="FQ331" s="23">
        <f>IF(DA331&lt;0.6,0.6,IF(DA331&lt;0.8,0.8,IF(DA331&lt;1,1,IF(DA331&lt;1.2,1.2,IF(DA331&lt;1.4,1.4,IF(DA331&lt;1.6,1.6,IF(DA331&lt;1.8,1.8,IF(DA331&lt;2,2,2.2))))))))</f>
        <v>1.2</v>
      </c>
      <c r="FR331" s="23">
        <f>IF(CX331&lt;0.6,0.6,IF(CX331&lt;0.8,0.8,IF(CX331&lt;1,1,IF(CX331&lt;1.2,1.2,IF(CX331&lt;1.4,1.4,IF(CX331&lt;1.6,1.6,IF(CX331&lt;1.8,1.8,IF(CX331&lt;2,2,2.2))))))))</f>
        <v>1.6</v>
      </c>
      <c r="FS331" s="23">
        <f>IF(CY331&lt;0.6,0.6,IF(CY331&lt;0.8,0.8,IF(CY331&lt;1,1,IF(CY331&lt;1.2,1.2,IF(CY331&lt;1.4,1.4,IF(CY331&lt;1.6,1.6,IF(CY331&lt;1.8,1.8,IF(CY331&lt;2,2,2.2))))))))</f>
        <v>0.8</v>
      </c>
      <c r="FT331" s="23">
        <f>IF(CZ331&lt;0.6,0.6,IF(CZ331&lt;0.8,0.8,IF(CZ331&lt;1,1,IF(CZ331&lt;1.2,1.2,IF(CZ331&lt;1.4,1.4,IF(CZ331&lt;1.6,1.6,IF(CZ331&lt;1.8,1.8,IF(CZ331&lt;2,2,2.2))))))))</f>
        <v>0.8</v>
      </c>
      <c r="FU331" s="23">
        <f>IF(FS331&lt;1,1,0)</f>
        <v>1</v>
      </c>
      <c r="FV331" s="23"/>
      <c r="GF331" s="4">
        <f>IF(S331&gt;=2.5*25.4,1,1.25)</f>
        <v>1.25</v>
      </c>
      <c r="GG331" s="4">
        <f>IF(AO331&gt;1, 0.05*(18-MIN(8,(W331+N331)/N331))*(1-48000/MAX(60000,(J331*145))*(N331/25.4)^0.75*GH331), 1/12*(14-MIN(8,(W331+N331)/N331)))</f>
        <v>0.74750000000000005</v>
      </c>
      <c r="GH331" s="4">
        <f>MIN(0.3, AM331^2*PI()/4*2*AP331/(N331^2*PI()/4*X331))</f>
        <v>0</v>
      </c>
      <c r="GI331" s="4">
        <f>(K331/25.4)/(N331/25.4)^1.5/0.0024*(M331*145)^0.25/GF331/GG331/145</f>
        <v>312.08795611622213</v>
      </c>
    </row>
    <row r="332" spans="1:191" ht="12" customHeight="1" x14ac:dyDescent="0.3">
      <c r="A332" s="25">
        <v>249</v>
      </c>
      <c r="B332" s="4" t="s">
        <v>605</v>
      </c>
      <c r="C332" s="4">
        <v>2016</v>
      </c>
      <c r="D332" s="4" t="s">
        <v>309</v>
      </c>
      <c r="E332" s="24" t="s">
        <v>406</v>
      </c>
      <c r="F332" s="24"/>
      <c r="G332" s="14">
        <v>18</v>
      </c>
      <c r="H332" s="7" t="s">
        <v>402</v>
      </c>
      <c r="I332" s="5">
        <f>K332/N332</f>
        <v>9.8800000000000008</v>
      </c>
      <c r="J332" s="38">
        <f>129/0.145</f>
        <v>889.65517241379314</v>
      </c>
      <c r="K332" s="96">
        <f>9.88*25.4</f>
        <v>250.952</v>
      </c>
      <c r="L332" s="4">
        <f>K332</f>
        <v>250.952</v>
      </c>
      <c r="M332" s="94">
        <f>8450/145</f>
        <v>58.275862068965516</v>
      </c>
      <c r="N332" s="96">
        <f>1*25.4</f>
        <v>25.4</v>
      </c>
      <c r="O332" s="7">
        <f>K332/N332</f>
        <v>9.8800000000000008</v>
      </c>
      <c r="P332" s="7">
        <f>L332/N332</f>
        <v>9.8800000000000008</v>
      </c>
      <c r="Q332" s="38">
        <f>17*25.4</f>
        <v>431.79999999999995</v>
      </c>
      <c r="R332" s="32">
        <f>S332/N332</f>
        <v>2.4500000000000002</v>
      </c>
      <c r="S332" s="38">
        <f>2.45*25.4</f>
        <v>62.230000000000004</v>
      </c>
      <c r="T332" s="32">
        <f>U332/N332</f>
        <v>3.2</v>
      </c>
      <c r="U332" s="39">
        <f>3.2*25.4</f>
        <v>81.28</v>
      </c>
      <c r="V332" s="32">
        <f>W332/N332</f>
        <v>10.1</v>
      </c>
      <c r="W332" s="7">
        <f>(Q332-X332*N332-2*S332)/(X332-1)</f>
        <v>256.53999999999996</v>
      </c>
      <c r="X332" s="38">
        <v>2</v>
      </c>
      <c r="Y332" s="7">
        <f>AN332</f>
        <v>4</v>
      </c>
      <c r="Z332" s="32">
        <f>AA332/N332</f>
        <v>10.25</v>
      </c>
      <c r="AA332" s="4">
        <f>10.25*25.4</f>
        <v>260.34999999999997</v>
      </c>
      <c r="AB332" s="7">
        <f>MIN(S332/N332+0.5, W332/2/N332+0.5)</f>
        <v>2.95</v>
      </c>
      <c r="AC332" s="7">
        <f>S332/N332+0.5</f>
        <v>2.95</v>
      </c>
      <c r="AD332" s="38">
        <v>4.0999999999999996</v>
      </c>
      <c r="AE332" s="4">
        <f>AD332</f>
        <v>4.0999999999999996</v>
      </c>
      <c r="AF332" s="4">
        <f>AE332+1</f>
        <v>5.0999999999999996</v>
      </c>
      <c r="AG332" s="7">
        <f>N332*AF332^0.5</f>
        <v>57.361276136431961</v>
      </c>
      <c r="AJ332" s="38">
        <f>AK332/0.145</f>
        <v>640.68965517241384</v>
      </c>
      <c r="AK332" s="4">
        <v>92.9</v>
      </c>
      <c r="AL332" s="4">
        <f>CY332</f>
        <v>0.88210240843168164</v>
      </c>
      <c r="AM332" s="38">
        <f>0.375*25.4</f>
        <v>9.5249999999999986</v>
      </c>
      <c r="AN332" s="38">
        <v>4</v>
      </c>
      <c r="AO332" s="39">
        <f>5*25.4</f>
        <v>127</v>
      </c>
      <c r="AP332" s="39">
        <v>2</v>
      </c>
      <c r="AQ332" s="39">
        <v>1</v>
      </c>
      <c r="AR332" s="7"/>
      <c r="AS332" s="4">
        <f>K332</f>
        <v>250.952</v>
      </c>
      <c r="AT332" s="4">
        <f>IF(K332*3&gt;W332+N332, Q332, (S332+N332/2)*2+1.5*K332*(2*X332-2))*(3*K332)/(9*K332^2)</f>
        <v>0.57354925775978405</v>
      </c>
      <c r="AU332" s="4">
        <f>MIN(10*M332^0.5*K332^1.5,100*3.9*M332^0.5*K332^(5/3))/(PI()/4*N332^2)/X332</f>
        <v>299.46290614995218</v>
      </c>
      <c r="AV332" s="4">
        <f>MIN(0.7+0.3*(MIN(S332,AA332)+0.5*N332)/1.5/K332,1)</f>
        <v>0.75971659919028334</v>
      </c>
      <c r="AW332" s="4">
        <v>1.25</v>
      </c>
      <c r="AX332" s="4">
        <f>AX331</f>
        <v>2.5</v>
      </c>
      <c r="AY332" s="38">
        <f>AT332*AV332*AW332*AX332*AU332</f>
        <v>407.77011544217817</v>
      </c>
      <c r="AZ332" s="38">
        <f>AY332</f>
        <v>407.77011544217817</v>
      </c>
      <c r="BA332" s="38">
        <f>IF(M332&lt;50, 0.3*M332^(2/3), 2.12*LN(1+0.1*(M332+8)))</f>
        <v>4.3073554520828159</v>
      </c>
      <c r="BB332" s="38">
        <f>AX332* (M332^0.5/AS332^0.5)/(PI()/4*N332^2)/X332/0.72 *(0.7+(MIN(S332,AA332)+0.5*N332)/5/K332) *(3*Q332*K332)</f>
        <v>407.77011544217788</v>
      </c>
      <c r="BC332" s="38">
        <f>AY332/BB332</f>
        <v>1.0000000000000007</v>
      </c>
      <c r="BD332" s="38">
        <f>BH332/BB332</f>
        <v>1.7073291393102548</v>
      </c>
      <c r="BE332" s="4">
        <f>IF(BD332&lt;1,1,0)</f>
        <v>0</v>
      </c>
      <c r="BF332" s="4">
        <f>L332/N332*M332^0.5/0.19</f>
        <v>396.96086839193953</v>
      </c>
      <c r="BG332" s="4">
        <f>MIN(0.6+0.4*(AC332/AB332),2)</f>
        <v>1</v>
      </c>
      <c r="BH332" s="38">
        <f>2*M332*AB332*AD332^0.5*BG332*0.7/0.7</f>
        <v>696.1978002343368</v>
      </c>
      <c r="BI332" s="4">
        <f>MAX(1-0.7*AE332/5,0.3)</f>
        <v>0.42600000000000005</v>
      </c>
      <c r="BJ332" s="4">
        <f>BI332*J332*L332/(J332*N332/2.75/M332^0.5)</f>
        <v>88.357534891019867</v>
      </c>
      <c r="BK332" s="4">
        <f>BH332+BJ332</f>
        <v>784.55533512535669</v>
      </c>
      <c r="BM332" s="4">
        <f>MIN(1.5, 0.75+0.25*MIN(3,MAX(1,S332/N332))+0.4*MIN(1,(40*2*PI()*AM332^2/4/AO332/X332)/N332))</f>
        <v>1.5</v>
      </c>
      <c r="BN332" s="4">
        <f>(3*P332+30)*BM332*M332^0.5</f>
        <v>682.92537089120992</v>
      </c>
      <c r="BP332" s="4">
        <f>3.4/PI()^0.5*M332*AB332*AE332^0.5*BG332</f>
        <v>667.73882986782667</v>
      </c>
      <c r="BQ332" s="4">
        <f>8/3*AK332*AI332^2/(AG332-N332-22)/N332*(AG332^2-N332^2)/(AG332^2-(N332+22)^2)</f>
        <v>0</v>
      </c>
      <c r="BR332" s="4">
        <f>BQ332/BP332</f>
        <v>0</v>
      </c>
      <c r="BZ332" s="4">
        <f>IF(W332=0,S332,MIN(W332/2,S332))</f>
        <v>62.230000000000004</v>
      </c>
      <c r="CD332" s="9"/>
      <c r="CF332" s="9"/>
      <c r="CG332" s="9"/>
      <c r="CH332" s="9">
        <f>IF(W332=0,MIN(S332,U332),MIN(W332/2,S332,U332))</f>
        <v>62.230000000000004</v>
      </c>
      <c r="CI332" s="9">
        <f>MAX(W332/2,S332)</f>
        <v>128.26999999999998</v>
      </c>
      <c r="CJ332" s="9">
        <f>(CH332/N332)^0.5*(CI332/CH332)^0.15</f>
        <v>1.7446239745816772</v>
      </c>
      <c r="CK332" s="70">
        <f>IF(AO332&gt;1,20,0)</f>
        <v>20</v>
      </c>
      <c r="CL332" s="9">
        <f>MIN(PI()*AM332^2/4*AN332*2/X332/N332/MAX(0.01,AO332),0.05)</f>
        <v>0.05</v>
      </c>
      <c r="CM332" s="9">
        <f>MAX(0,CK332*(CL332-0.5/50))</f>
        <v>0.8</v>
      </c>
      <c r="CN332" s="9">
        <f>MIN(1,(25/N332)^0.3)</f>
        <v>0.99524931562137331</v>
      </c>
      <c r="CO332" s="9">
        <f>IF(J332&gt;=800,0.68,IF(J332&gt;=700,0.75-(J332-700)*0.07/100,IF(J332&gt;=600,0.85-(J332-600)*0.1/100,IF(J332&gt;=500,1-(J332-500)*0.15/100,1.2-(J332-400)*0.2/100))))</f>
        <v>0.68</v>
      </c>
      <c r="CP332" s="9">
        <f>1.75*CN332*CO332*(M332/25)^0.5</f>
        <v>1.8082280338026815</v>
      </c>
      <c r="CQ332" s="9">
        <f>MIN((CJ332+CM332)*CP332,2.5*CP332,M332^0.5)</f>
        <v>4.5205700845067041</v>
      </c>
      <c r="CR332" s="40">
        <v>1</v>
      </c>
      <c r="CS332" s="9">
        <f>4*CQ332*P332+60*CQ332</f>
        <v>449.88713481010723</v>
      </c>
      <c r="CU332" s="4">
        <f>AJ332/BF332</f>
        <v>1.6139869347016558</v>
      </c>
      <c r="CV332" s="4">
        <f>AJ332/BK332</f>
        <v>0.81662774630172397</v>
      </c>
      <c r="CW332" s="4">
        <f>AJ332/BN332</f>
        <v>0.93815471277091533</v>
      </c>
      <c r="CX332" s="4">
        <f>AJ332/CS332</f>
        <v>1.4241119729792726</v>
      </c>
      <c r="CY332" s="4">
        <f>AJ332/DZ332</f>
        <v>0.88210240843168164</v>
      </c>
      <c r="CZ332" s="4">
        <f>AJ332/EL332</f>
        <v>0.9280417512964777</v>
      </c>
      <c r="DA332" s="4">
        <f>AJ332/GI332</f>
        <v>1.3171284334108457</v>
      </c>
      <c r="DB332" s="4">
        <f>AN332</f>
        <v>4</v>
      </c>
      <c r="DI332" s="4">
        <f>CU332</f>
        <v>1.6139869347016558</v>
      </c>
      <c r="DJ332" s="4">
        <f>CV332</f>
        <v>0.81662774630172397</v>
      </c>
      <c r="DK332" s="4">
        <f>CX332</f>
        <v>1.4241119729792726</v>
      </c>
      <c r="DL332" s="4">
        <f>DA332</f>
        <v>1.3171284334108457</v>
      </c>
      <c r="DM332" s="4">
        <f>CY332</f>
        <v>0.88210240843168164</v>
      </c>
      <c r="DN332" s="4">
        <f>CZ332</f>
        <v>0.9280417512964777</v>
      </c>
      <c r="DQ332" s="4">
        <f>L332</f>
        <v>250.952</v>
      </c>
      <c r="DT332" s="4">
        <f>K332/4/(1-0.3*(M332/30)^0.5)/200000/N332</f>
        <v>2.1224449256052693E-5</v>
      </c>
      <c r="DU332" s="4">
        <f>EP332</f>
        <v>9.6796444672876554</v>
      </c>
      <c r="DV332" s="4">
        <f>EC332*AG332/257/M332/AD332</f>
        <v>0.38091538330686042</v>
      </c>
      <c r="DW332" s="4">
        <f>DU332*DV332^0.4</f>
        <v>6.5794684815608173</v>
      </c>
      <c r="DX332" s="4">
        <f>MIN(DU332, DU332/1.4*(1-DV332^1.4)/(1-DV332))</f>
        <v>8.276532705653139</v>
      </c>
      <c r="DY332" s="4">
        <f>MAX(DU332/2, (4-DT332*(8*AG332*(DW332-DX332)+6*K332*DX332))/(4+DT332*K332*DU332)*DU332)</f>
        <v>8.9640353926650587</v>
      </c>
      <c r="DZ332" s="38">
        <f>MIN(1/N332*(4*AG332*(DW332-DX332)+(3*DX332+DY332)*K332)+EC332 -FJ332,MAX(J332,AJ332))</f>
        <v>726.32117206381588</v>
      </c>
      <c r="EA332" s="4">
        <f>DZ332/FF332</f>
        <v>1.0001014628399951</v>
      </c>
      <c r="EB332" s="4">
        <f>AG332/N332</f>
        <v>2.2583179581272428</v>
      </c>
      <c r="EC332" s="4">
        <f>MIN(EB$10*BB332)</f>
        <v>407.77011544217788</v>
      </c>
      <c r="EG332" s="4">
        <f>IF(U332&gt;1*N332,0.85,1)</f>
        <v>0.85</v>
      </c>
      <c r="EH332" s="4">
        <f>MIN(1,MAX(0.7,(1-0.1*(BZ332-1*N332)/N332)))</f>
        <v>0.85499999999999998</v>
      </c>
      <c r="EI332" s="4">
        <f>MIN(1,MAX(0.7,1-0.3*(PI()*AM332^2/4*AQ332*2-0.25*PI()/4*N332^2)/(PI()/4*N332^2)))</f>
        <v>0.99062499999999998</v>
      </c>
      <c r="EJ332" s="4">
        <f>IF(EH332*EI332&lt;0.7,0.7,EH332*EI332)</f>
        <v>0.84698437500000001</v>
      </c>
      <c r="EL332" s="4">
        <f>MIN(DU332/N332*3*K332+EM332-FJ332,MAX(J332,AJ332))</f>
        <v>690.36727526252787</v>
      </c>
      <c r="EM332" s="25">
        <f>13.3*Q332*K332^0.5*M332^0.5/X332/N332^2*(0.7+S332/5/K332)</f>
        <v>403.46261325212174</v>
      </c>
      <c r="EO332" s="4">
        <f>EG332*EJ332</f>
        <v>0.71993671874999998</v>
      </c>
      <c r="EP332" s="4">
        <f>IF(N332&lt;22.2,1.1*5*(M332/30)^0.5,IF(N332&gt;=31.8,0.9*5*(M332/30)^0.5,1*5*(M332/30)^0.5))/EG332/EJ332</f>
        <v>9.6796444672876554</v>
      </c>
      <c r="ES332" s="4">
        <f>ET332*N332</f>
        <v>57.361276136431961</v>
      </c>
      <c r="ET332" s="4">
        <f>AF332^0.5</f>
        <v>2.2583179581272428</v>
      </c>
      <c r="EU332" s="4">
        <f>MIN(EC332)/(4700*M332^0.5)/AE332*ES332</f>
        <v>0.15900402964289828</v>
      </c>
      <c r="EX332" s="4">
        <f>EU332</f>
        <v>0.15900402964289828</v>
      </c>
      <c r="EY332" s="4">
        <f>MIN(0.999, EX332/(0.3*(M332/30)^0.5))</f>
        <v>0.38027970652509807</v>
      </c>
      <c r="EZ332" s="4">
        <f>EP332/1*EY332^0.4</f>
        <v>6.5750743181317404</v>
      </c>
      <c r="FA332" s="4">
        <f>EP332/1.4*(1-EY332^1.4)/(1-EY332)</f>
        <v>8.274789692335105</v>
      </c>
      <c r="FB332" s="4">
        <f>MAX(0,DQ332*FB$9-ES332)</f>
        <v>130.85272386356803</v>
      </c>
      <c r="FC332" s="4">
        <f>MAX(0,DQ332-ES332-FB332)</f>
        <v>62.738</v>
      </c>
      <c r="FD332" s="4">
        <f>FC332/(1-0.3*(M332/30)^0.5)/200000/N332</f>
        <v>2.1224449256052693E-5</v>
      </c>
      <c r="FE332" s="4">
        <f>MAX(0.5*EP332, (1-2*FD332*(ES332*EZ332+FB332*FA332))/(1/EP332+FD332*FC332))</f>
        <v>8.9642301641233377</v>
      </c>
      <c r="FF332" s="4">
        <f>MIN(4/N332*(1*EZ332*ES332+FA332*FB332+FC332*FE332)+EC332,MAX(J332,AJ332))</f>
        <v>726.24748493145535</v>
      </c>
      <c r="FO332" s="23">
        <f>IF(CU332&lt;0.6,0.6,IF(CU332&lt;0.8,0.8,IF(CU332&lt;1,1,IF(CU332&lt;1.2,1.2,IF(CU332&lt;1.4,1.4,IF(CU332&lt;1.6,1.6,IF(CU332&lt;1.8,1.8,IF(CU332&lt;2,2,2.2))))))))</f>
        <v>1.8</v>
      </c>
      <c r="FP332" s="23">
        <f>IF(CV332&lt;0.6,0.6,IF(CV332&lt;0.8,0.8,IF(CV332&lt;1,1,IF(CV332&lt;1.2,1.2,IF(CV332&lt;1.4,1.4,IF(CV332&lt;1.6,1.6,IF(CV332&lt;1.8,1.8,IF(CV332&lt;2,2,2.2))))))))</f>
        <v>1</v>
      </c>
      <c r="FQ332" s="23">
        <f>IF(DA332&lt;0.6,0.6,IF(DA332&lt;0.8,0.8,IF(DA332&lt;1,1,IF(DA332&lt;1.2,1.2,IF(DA332&lt;1.4,1.4,IF(DA332&lt;1.6,1.6,IF(DA332&lt;1.8,1.8,IF(DA332&lt;2,2,2.2))))))))</f>
        <v>1.4</v>
      </c>
      <c r="FR332" s="23">
        <f>IF(CX332&lt;0.6,0.6,IF(CX332&lt;0.8,0.8,IF(CX332&lt;1,1,IF(CX332&lt;1.2,1.2,IF(CX332&lt;1.4,1.4,IF(CX332&lt;1.6,1.6,IF(CX332&lt;1.8,1.8,IF(CX332&lt;2,2,2.2))))))))</f>
        <v>1.6</v>
      </c>
      <c r="FS332" s="23">
        <f>IF(CY332&lt;0.6,0.6,IF(CY332&lt;0.8,0.8,IF(CY332&lt;1,1,IF(CY332&lt;1.2,1.2,IF(CY332&lt;1.4,1.4,IF(CY332&lt;1.6,1.6,IF(CY332&lt;1.8,1.8,IF(CY332&lt;2,2,2.2))))))))</f>
        <v>1</v>
      </c>
      <c r="FT332" s="23">
        <f>IF(CZ332&lt;0.6,0.6,IF(CZ332&lt;0.8,0.8,IF(CZ332&lt;1,1,IF(CZ332&lt;1.2,1.2,IF(CZ332&lt;1.4,1.4,IF(CZ332&lt;1.6,1.6,IF(CZ332&lt;1.8,1.8,IF(CZ332&lt;2,2,2.2))))))))</f>
        <v>1</v>
      </c>
      <c r="FU332" s="23">
        <f>IF(FS332&lt;1,1,0)</f>
        <v>0</v>
      </c>
      <c r="FV332" s="23"/>
      <c r="GF332" s="4">
        <f>IF(S332&gt;=2.5*25.4,1,1.25)</f>
        <v>1.25</v>
      </c>
      <c r="GG332" s="4">
        <f>IF(AO332&gt;1, 0.05*(18-MIN(8,(W332+N332)/N332))*(1-48000/MAX(60000,(J332*145))*(N332/25.4)^0.75*GH332), 1/12*(14-MIN(8,(W332+N332)/N332)))</f>
        <v>0.44767441860465118</v>
      </c>
      <c r="GH332" s="4">
        <f>MIN(0.3, AM332^2*PI()/4*2*AP332/(N332^2*PI()/4*X332))</f>
        <v>0.28124999999999994</v>
      </c>
      <c r="GI332" s="4">
        <f>(K332/25.4)/(N332/25.4)^1.5/0.0024*(M332*145)^0.25/GF332/GG332/145</f>
        <v>486.42914306638954</v>
      </c>
    </row>
    <row r="333" spans="1:191" ht="12" customHeight="1" x14ac:dyDescent="0.3">
      <c r="A333" s="25">
        <v>255</v>
      </c>
      <c r="B333" s="4" t="s">
        <v>605</v>
      </c>
      <c r="C333" s="4">
        <v>2016</v>
      </c>
      <c r="D333" s="4" t="s">
        <v>309</v>
      </c>
      <c r="E333" s="24" t="s">
        <v>664</v>
      </c>
      <c r="F333" s="24"/>
      <c r="G333" s="14">
        <v>18</v>
      </c>
      <c r="H333" s="7" t="s">
        <v>411</v>
      </c>
      <c r="I333" s="5">
        <f>K333/N333</f>
        <v>9.8800000000000008</v>
      </c>
      <c r="J333" s="38">
        <f>129/0.145</f>
        <v>889.65517241379314</v>
      </c>
      <c r="K333" s="96">
        <f>9.88*25.4</f>
        <v>250.952</v>
      </c>
      <c r="L333" s="4">
        <f>K333</f>
        <v>250.952</v>
      </c>
      <c r="M333" s="94">
        <f>8050/145</f>
        <v>55.517241379310342</v>
      </c>
      <c r="N333" s="96">
        <f>1*25.4</f>
        <v>25.4</v>
      </c>
      <c r="O333" s="7">
        <f>K333/N333</f>
        <v>9.8800000000000008</v>
      </c>
      <c r="P333" s="7">
        <f>L333/N333</f>
        <v>9.8800000000000008</v>
      </c>
      <c r="Q333" s="38">
        <f>13.8*25.4</f>
        <v>350.52</v>
      </c>
      <c r="R333" s="32">
        <f>S333/N333</f>
        <v>2.4</v>
      </c>
      <c r="S333" s="38">
        <f>2.4*25.4</f>
        <v>60.959999999999994</v>
      </c>
      <c r="T333" s="32">
        <f>U333/N333</f>
        <v>3.2666666666666671</v>
      </c>
      <c r="U333" s="39">
        <f>(3.4+3.5+2.9)/3*25.4</f>
        <v>82.973333333333343</v>
      </c>
      <c r="V333" s="32">
        <f>W333/N333</f>
        <v>3.0000000000000004</v>
      </c>
      <c r="W333" s="7">
        <f>(Q333-X333*N333-2*S333)/(X333-1)</f>
        <v>76.2</v>
      </c>
      <c r="X333" s="38">
        <v>3</v>
      </c>
      <c r="Y333" s="7">
        <f>AN333</f>
        <v>4</v>
      </c>
      <c r="Z333" s="32">
        <f>AA333/N333</f>
        <v>10.25</v>
      </c>
      <c r="AA333" s="4">
        <f>10.25*25.4</f>
        <v>260.34999999999997</v>
      </c>
      <c r="AB333" s="7">
        <f>MIN(S333/N333+0.5, W333/2/N333+0.5)</f>
        <v>2</v>
      </c>
      <c r="AC333" s="7">
        <f>S333/N333+0.5</f>
        <v>2.9</v>
      </c>
      <c r="AD333" s="38">
        <v>4.0999999999999996</v>
      </c>
      <c r="AE333" s="4">
        <f>AD333</f>
        <v>4.0999999999999996</v>
      </c>
      <c r="AF333" s="4">
        <f>AE333+1</f>
        <v>5.0999999999999996</v>
      </c>
      <c r="AG333" s="7">
        <f>N333*AF333^0.5</f>
        <v>57.361276136431961</v>
      </c>
      <c r="AJ333" s="38">
        <f>AK333/0.145</f>
        <v>484.82758620689657</v>
      </c>
      <c r="AK333" s="4">
        <v>70.3</v>
      </c>
      <c r="AL333" s="4">
        <f>CY333</f>
        <v>1.0184221931806774</v>
      </c>
      <c r="AM333" s="38">
        <f>0.375*25.4</f>
        <v>9.5249999999999986</v>
      </c>
      <c r="AN333" s="38">
        <v>4</v>
      </c>
      <c r="AO333" s="39">
        <f>5*25.4</f>
        <v>127</v>
      </c>
      <c r="AP333" s="39">
        <v>2</v>
      </c>
      <c r="AQ333" s="39">
        <v>1</v>
      </c>
      <c r="AR333" s="7"/>
      <c r="AS333" s="4">
        <f>K333</f>
        <v>250.952</v>
      </c>
      <c r="AT333" s="4">
        <f>IF(K333*3&gt;W333+N333, Q333, (S333+N333/2)*2+1.5*K333*(2*X333-2))*(3*K333)/(9*K333^2)</f>
        <v>0.46558704453441296</v>
      </c>
      <c r="AU333" s="4">
        <f>MIN(10*M333^0.5*K333^1.5,100*3.9*M333^0.5*K333^(5/3))/(PI()/4*N333^2)/X333</f>
        <v>194.8594002652321</v>
      </c>
      <c r="AV333" s="4">
        <f>MIN(0.7+0.3*(MIN(S333,AA333)+0.5*N333)/1.5/K333,1)</f>
        <v>0.75870445344129545</v>
      </c>
      <c r="AW333" s="4">
        <v>1.25</v>
      </c>
      <c r="AX333" s="4">
        <f>AX332</f>
        <v>2.5</v>
      </c>
      <c r="AY333" s="38">
        <f>AT333*AV333*AW333*AX333*AU333</f>
        <v>215.10222544604159</v>
      </c>
      <c r="AZ333" s="38">
        <f>AY333</f>
        <v>215.10222544604159</v>
      </c>
      <c r="BA333" s="38">
        <f>IF(M333&lt;50, 0.3*M333^(2/3), 2.12*LN(1+0.1*(M333+8)))</f>
        <v>4.2292619080870573</v>
      </c>
      <c r="BB333" s="38">
        <f>AX333* (M333^0.5/AS333^0.5)/(PI()/4*N333^2)/X333/0.72 *(0.7+(MIN(S333,AA333)+0.5*N333)/5/K333) *(3*Q333*K333)</f>
        <v>215.10222544604153</v>
      </c>
      <c r="BC333" s="38">
        <f>AY333/BB333</f>
        <v>1.0000000000000002</v>
      </c>
      <c r="BD333" s="38">
        <f>BH333/BB333</f>
        <v>2.4667032243750677</v>
      </c>
      <c r="BE333" s="4">
        <f>IF(BD333&lt;1,1,0)</f>
        <v>0</v>
      </c>
      <c r="BF333" s="4">
        <f>L333/N333*M333^0.5/0.19</f>
        <v>387.45144300886943</v>
      </c>
      <c r="BG333" s="4">
        <f>MIN(0.6+0.4*(AC333/AB333),2)</f>
        <v>1.18</v>
      </c>
      <c r="BH333" s="38">
        <f>2*M333*AB333*AD333^0.5*BG333*0.7/0.7</f>
        <v>530.59335307800336</v>
      </c>
      <c r="BI333" s="4">
        <f>MAX(1-0.7*AE333/5,0.3)</f>
        <v>0.42600000000000005</v>
      </c>
      <c r="BJ333" s="4">
        <f>BI333*J333*L333/(J333*N333/2.75/M333^0.5)</f>
        <v>86.240879442129199</v>
      </c>
      <c r="BK333" s="4">
        <f>BH333+BJ333</f>
        <v>616.83423252013256</v>
      </c>
      <c r="BM333" s="4">
        <f>MIN(1.5, 0.75+0.25*MIN(3,MAX(1,S333/N333))+0.4*MIN(1,(40*2*PI()*AM333^2/4/AO333/X333)/N333))</f>
        <v>1.5</v>
      </c>
      <c r="BN333" s="4">
        <f>(3*P333+30)*BM333*M333^0.5</f>
        <v>666.56550176102803</v>
      </c>
      <c r="BP333" s="4">
        <f>3.4/PI()^0.5*M333*AB333*AE333^0.5*BG333</f>
        <v>508.90391294068667</v>
      </c>
      <c r="BQ333" s="4">
        <f>8/3*AH333*AI333^2/(AG333-N333-22)/N333*(AG333^2-N333^2)/(AG333^2-(N333+22)^2)</f>
        <v>0</v>
      </c>
      <c r="BR333" s="4">
        <f>BQ333/BP333</f>
        <v>0</v>
      </c>
      <c r="BZ333" s="4">
        <f>IF(W333=0,S333,MIN(W333/2,S333))</f>
        <v>38.1</v>
      </c>
      <c r="CD333" s="9"/>
      <c r="CF333" s="9"/>
      <c r="CG333" s="9"/>
      <c r="CH333" s="9">
        <f>IF(W333=0,MIN(S333,U333),MIN(W333/2,S333,U333))</f>
        <v>38.1</v>
      </c>
      <c r="CI333" s="9">
        <f>MAX(W333/2,S333)</f>
        <v>60.959999999999994</v>
      </c>
      <c r="CJ333" s="9">
        <f>(CH333/N333)^0.5*(CI333/CH333)^0.15</f>
        <v>1.3142065486214438</v>
      </c>
      <c r="CK333" s="70">
        <f>IF(AO333&gt;1,20,0)</f>
        <v>20</v>
      </c>
      <c r="CL333" s="9">
        <f>MIN(PI()*AM333^2/4*AN333*2/X333/N333/MAX(0.01,AO333),0.05)</f>
        <v>0.05</v>
      </c>
      <c r="CM333" s="9">
        <f>MAX(0,CK333*(CL333-0.5/50))</f>
        <v>0.8</v>
      </c>
      <c r="CN333" s="9">
        <f>MIN(1,(25/N333)^0.3)</f>
        <v>0.99524931562137331</v>
      </c>
      <c r="CO333" s="9">
        <f>IF(J333&gt;=800,0.68,IF(J333&gt;=700,0.75-(J333-700)*0.07/100,IF(J333&gt;=600,0.85-(J333-600)*0.1/100,IF(J333&gt;=500,1-(J333-500)*0.15/100,1.2-(J333-400)*0.2/100))))</f>
        <v>0.68</v>
      </c>
      <c r="CP333" s="9">
        <f>1.75*CN333*CO333*(M333/25)^0.5</f>
        <v>1.7649108936707618</v>
      </c>
      <c r="CQ333" s="9">
        <f>MIN((CJ333+CM333)*CP333,2.5*CP333,M333^0.5)</f>
        <v>3.7313861691320489</v>
      </c>
      <c r="CR333" s="40">
        <v>1</v>
      </c>
      <c r="CS333" s="9">
        <f>4*CQ333*P333+60*CQ333</f>
        <v>371.34755155202151</v>
      </c>
      <c r="CU333" s="4">
        <f>AJ333/BF333</f>
        <v>1.2513247658643978</v>
      </c>
      <c r="CV333" s="4">
        <f>AJ333/BK333</f>
        <v>0.7859933198358483</v>
      </c>
      <c r="CW333" s="4">
        <f>AJ333/BN333</f>
        <v>0.72735175301753507</v>
      </c>
      <c r="CX333" s="4">
        <f>AJ333/CS333</f>
        <v>1.3055898286674923</v>
      </c>
      <c r="CY333" s="4">
        <f>AJ333/DZ333</f>
        <v>1.0184221931806774</v>
      </c>
      <c r="CZ333" s="4">
        <f>AJ333/EL333</f>
        <v>1.0429659273597731</v>
      </c>
      <c r="DA333" s="4">
        <f>AJ333/GI333</f>
        <v>1.4674396207834461</v>
      </c>
      <c r="DB333" s="4">
        <f>AN333</f>
        <v>4</v>
      </c>
      <c r="DI333" s="4">
        <f>CU333</f>
        <v>1.2513247658643978</v>
      </c>
      <c r="DJ333" s="4">
        <f>CV333</f>
        <v>0.7859933198358483</v>
      </c>
      <c r="DK333" s="4">
        <f>CX333</f>
        <v>1.3055898286674923</v>
      </c>
      <c r="DL333" s="4">
        <f>DA333</f>
        <v>1.4674396207834461</v>
      </c>
      <c r="DM333" s="4">
        <f>CY333</f>
        <v>1.0184221931806774</v>
      </c>
      <c r="DN333" s="4">
        <f>CZ333</f>
        <v>1.0429659273597731</v>
      </c>
      <c r="DQ333" s="4">
        <f>L333</f>
        <v>250.952</v>
      </c>
      <c r="DT333" s="4">
        <f>K333/4/(1-0.3*(M333/30)^0.5)/200000/N333</f>
        <v>2.0865275046333813E-5</v>
      </c>
      <c r="DU333" s="4">
        <f>EP333</f>
        <v>8.5029867268035648</v>
      </c>
      <c r="DV333" s="4">
        <f>EC333*AG333/257/M333/AD333</f>
        <v>0.21092052812996231</v>
      </c>
      <c r="DW333" s="4">
        <f>DU333*DV333^0.4</f>
        <v>4.562669811822742</v>
      </c>
      <c r="DX333" s="4">
        <f>MIN(DU333, DU333/1.4*(1-DV333^1.4)/(1-DV333))</f>
        <v>6.8258795481024821</v>
      </c>
      <c r="DY333" s="4">
        <f>MAX(DU333/2, (4-DT333*(8*AG333*(DW333-DX333)+6*K333*DX333))/(4+DT333*K333*DU333)*DU333)</f>
        <v>8.0040946708095877</v>
      </c>
      <c r="DZ333" s="38">
        <f>MIN(1/N333*(4*AG333*(DW333-DX333)+(3*DX333+DY333)*K333)+EC333 -FJ333,MAX(J333,AJ333))</f>
        <v>476.05756183760201</v>
      </c>
      <c r="EA333" s="4">
        <f>DZ333/FF333</f>
        <v>1.0000993058875141</v>
      </c>
      <c r="EB333" s="4">
        <f>AG333/N333</f>
        <v>2.2583179581272428</v>
      </c>
      <c r="EC333" s="4">
        <f>MIN(EB$10*BB333)</f>
        <v>215.10222544604153</v>
      </c>
      <c r="EG333" s="4">
        <f>IF(U333&gt;1*N333,0.85,1)</f>
        <v>0.85</v>
      </c>
      <c r="EH333" s="4">
        <f>MIN(1,MAX(0.7,(1-0.1*(BZ333-1*N333)/N333)))</f>
        <v>0.95</v>
      </c>
      <c r="EI333" s="4">
        <f>MIN(1,MAX(0.7,1-0.3*(PI()*AM333^2/4*AQ333*2-0.25*PI()/4*N333^2)/(PI()/4*N333^2)))</f>
        <v>0.99062499999999998</v>
      </c>
      <c r="EJ333" s="4">
        <f>IF(EH333*EI333&lt;0.7,0.7,EH333*EI333)</f>
        <v>0.94109374999999995</v>
      </c>
      <c r="EL333" s="4">
        <f>MIN(DU333/N333*3*K333+EM333-FJ333,MAX(J333,AJ333))</f>
        <v>464.85467404886219</v>
      </c>
      <c r="EM333" s="25">
        <f>13.3*Q333*K333^0.5*M333^0.5/X333/N333^2*(0.7+S333/5/K333)</f>
        <v>212.82614746640451</v>
      </c>
      <c r="EO333" s="4">
        <f>EG333*EJ333</f>
        <v>0.79992968749999993</v>
      </c>
      <c r="EP333" s="4">
        <f>IF(N333&lt;22.2,1.1*5*(M333/30)^0.5,IF(N333&gt;=31.8,0.9*5*(M333/30)^0.5,1*5*(M333/30)^0.5))/EG333/EJ333</f>
        <v>8.5029867268035648</v>
      </c>
      <c r="ES333" s="4">
        <f>ET333*N333</f>
        <v>57.361276136431961</v>
      </c>
      <c r="ET333" s="4">
        <f>AF333^0.5</f>
        <v>2.2583179581272428</v>
      </c>
      <c r="EU333" s="4">
        <f>MIN(EC333)/(4700*M333^0.5)/AE333*ES333</f>
        <v>8.5934598964507822E-2</v>
      </c>
      <c r="EX333" s="4">
        <f>EU333</f>
        <v>8.5934598964507822E-2</v>
      </c>
      <c r="EY333" s="4">
        <f>MIN(0.999, EX333/(0.3*(M333/30)^0.5))</f>
        <v>0.21056854107875611</v>
      </c>
      <c r="EZ333" s="4">
        <f>EP333/1*EY333^0.4</f>
        <v>4.5596225874333776</v>
      </c>
      <c r="FA333" s="4">
        <f>EP333/1.4*(1-EY333^1.4)/(1-EY333)</f>
        <v>6.8248697622439156</v>
      </c>
      <c r="FB333" s="4">
        <f>MAX(0,DQ333*FB$9-ES333)</f>
        <v>130.85272386356803</v>
      </c>
      <c r="FC333" s="4">
        <f>MAX(0,DQ333-ES333-FB333)</f>
        <v>62.738</v>
      </c>
      <c r="FD333" s="4">
        <f>FC333/(1-0.3*(M333/30)^0.5)/200000/N333</f>
        <v>2.0865275046333813E-5</v>
      </c>
      <c r="FE333" s="4">
        <f>MAX(0.5*EP333, (1-2*FD333*(ES333*EZ333+FB333*FA333))/(1/EP333+FD333*FC333))</f>
        <v>8.0042023797674791</v>
      </c>
      <c r="FF333" s="4">
        <f>MIN(4/N333*(1*EZ333*ES333+FA333*FB333+FC333*FE333)+EC333,MAX(J333,AJ333))</f>
        <v>476.01029121316731</v>
      </c>
      <c r="FO333" s="23">
        <f>IF(CU333&lt;0.6,0.6,IF(CU333&lt;0.8,0.8,IF(CU333&lt;1,1,IF(CU333&lt;1.2,1.2,IF(CU333&lt;1.4,1.4,IF(CU333&lt;1.6,1.6,IF(CU333&lt;1.8,1.8,IF(CU333&lt;2,2,2.2))))))))</f>
        <v>1.4</v>
      </c>
      <c r="FP333" s="23">
        <f>IF(CV333&lt;0.6,0.6,IF(CV333&lt;0.8,0.8,IF(CV333&lt;1,1,IF(CV333&lt;1.2,1.2,IF(CV333&lt;1.4,1.4,IF(CV333&lt;1.6,1.6,IF(CV333&lt;1.8,1.8,IF(CV333&lt;2,2,2.2))))))))</f>
        <v>0.8</v>
      </c>
      <c r="FQ333" s="23">
        <f>IF(DA333&lt;0.6,0.6,IF(DA333&lt;0.8,0.8,IF(DA333&lt;1,1,IF(DA333&lt;1.2,1.2,IF(DA333&lt;1.4,1.4,IF(DA333&lt;1.6,1.6,IF(DA333&lt;1.8,1.8,IF(DA333&lt;2,2,2.2))))))))</f>
        <v>1.6</v>
      </c>
      <c r="FR333" s="23">
        <f>IF(CX333&lt;0.6,0.6,IF(CX333&lt;0.8,0.8,IF(CX333&lt;1,1,IF(CX333&lt;1.2,1.2,IF(CX333&lt;1.4,1.4,IF(CX333&lt;1.6,1.6,IF(CX333&lt;1.8,1.8,IF(CX333&lt;2,2,2.2))))))))</f>
        <v>1.4</v>
      </c>
      <c r="FS333" s="23">
        <f>IF(CY333&lt;0.6,0.6,IF(CY333&lt;0.8,0.8,IF(CY333&lt;1,1,IF(CY333&lt;1.2,1.2,IF(CY333&lt;1.4,1.4,IF(CY333&lt;1.6,1.6,IF(CY333&lt;1.8,1.8,IF(CY333&lt;2,2,2.2))))))))</f>
        <v>1.2</v>
      </c>
      <c r="FT333" s="23">
        <f>IF(CZ333&lt;0.6,0.6,IF(CZ333&lt;0.8,0.8,IF(CZ333&lt;1,1,IF(CZ333&lt;1.2,1.2,IF(CZ333&lt;1.4,1.4,IF(CZ333&lt;1.6,1.6,IF(CZ333&lt;1.8,1.8,IF(CZ333&lt;2,2,2.2))))))))</f>
        <v>1.2</v>
      </c>
      <c r="FU333" s="23">
        <f>IF(FS333&lt;1,1,0)</f>
        <v>0</v>
      </c>
      <c r="FV333" s="23"/>
      <c r="GF333" s="4">
        <f>IF(S333&gt;=2.5*25.4,1,1.25)</f>
        <v>1.25</v>
      </c>
      <c r="GG333" s="4">
        <f>IF(AO333&gt;1, 0.05*(18-MIN(8,(W333+N333)/N333))*(1-48000/MAX(60000,(J333*145))*(N333/25.4)^0.75*GH333), 1/12*(14-MIN(8,(W333+N333)/N333)))</f>
        <v>0.65116279069767447</v>
      </c>
      <c r="GH333" s="4">
        <f>MIN(0.3, AM333^2*PI()/4*2*AP333/(N333^2*PI()/4*X333))</f>
        <v>0.18749999999999997</v>
      </c>
      <c r="GI333" s="4">
        <f>(K333/25.4)/(N333/25.4)^1.5/0.0024*(M333*145)^0.25/GF333/GG333/145</f>
        <v>330.39014303570031</v>
      </c>
    </row>
    <row r="334" spans="1:191" ht="12" customHeight="1" x14ac:dyDescent="0.3">
      <c r="A334" s="25">
        <v>389</v>
      </c>
      <c r="B334" s="4" t="s">
        <v>605</v>
      </c>
      <c r="C334" s="4">
        <v>2016</v>
      </c>
      <c r="D334" s="4" t="s">
        <v>309</v>
      </c>
      <c r="E334" s="14" t="s">
        <v>556</v>
      </c>
      <c r="F334" s="14"/>
      <c r="G334" s="14">
        <v>18</v>
      </c>
      <c r="H334" s="7" t="s">
        <v>557</v>
      </c>
      <c r="I334" s="5">
        <f>K334/N334</f>
        <v>9.8800000000000008</v>
      </c>
      <c r="J334" s="38">
        <f>129/0.145</f>
        <v>889.65517241379314</v>
      </c>
      <c r="K334" s="96">
        <f>9.88*25.4</f>
        <v>250.952</v>
      </c>
      <c r="L334" s="4">
        <f>K334</f>
        <v>250.952</v>
      </c>
      <c r="M334" s="94">
        <f>7410/145</f>
        <v>51.103448275862071</v>
      </c>
      <c r="N334" s="96">
        <f>1*25.4</f>
        <v>25.4</v>
      </c>
      <c r="O334" s="7">
        <f>K334/N334</f>
        <v>9.8800000000000008</v>
      </c>
      <c r="P334" s="7">
        <f>L334/N334</f>
        <v>9.8800000000000008</v>
      </c>
      <c r="Q334" s="38">
        <f>17.1*25.4</f>
        <v>434.34000000000003</v>
      </c>
      <c r="R334" s="32">
        <f>S334/N334</f>
        <v>2.5499999999999998</v>
      </c>
      <c r="S334" s="38">
        <f>2.55*25.4</f>
        <v>64.77</v>
      </c>
      <c r="T334" s="32">
        <f>U334/N334</f>
        <v>3.4000000000000004</v>
      </c>
      <c r="U334" s="39">
        <f>3.4*25.4</f>
        <v>86.36</v>
      </c>
      <c r="V334" s="32">
        <f>W334/N334</f>
        <v>10.000000000000002</v>
      </c>
      <c r="W334" s="7">
        <f>(Q334-X334*N334-2*S334)/(X334-1)</f>
        <v>254.00000000000003</v>
      </c>
      <c r="X334" s="38">
        <v>2</v>
      </c>
      <c r="Y334" s="7">
        <f>AN334</f>
        <v>0</v>
      </c>
      <c r="Z334" s="32">
        <f>AA334/N334</f>
        <v>20</v>
      </c>
      <c r="AA334" s="4">
        <f>20*25.4</f>
        <v>508</v>
      </c>
      <c r="AB334" s="7">
        <f>MIN(S334/N334+0.5, W334/2/N334+0.5)</f>
        <v>3.05</v>
      </c>
      <c r="AC334" s="7">
        <f>S334/N334+0.5</f>
        <v>3.05</v>
      </c>
      <c r="AD334" s="38">
        <v>4.0999999999999996</v>
      </c>
      <c r="AE334" s="4">
        <f>AD334</f>
        <v>4.0999999999999996</v>
      </c>
      <c r="AF334" s="4">
        <f>AE334+1</f>
        <v>5.0999999999999996</v>
      </c>
      <c r="AG334" s="7">
        <f>N334*AF334^0.5</f>
        <v>57.361276136431961</v>
      </c>
      <c r="AJ334" s="38">
        <f>AK334/0.145</f>
        <v>437.93103448275866</v>
      </c>
      <c r="AK334" s="4">
        <v>63.5</v>
      </c>
      <c r="AL334" s="4">
        <f>CY334</f>
        <v>0.63658061415316614</v>
      </c>
      <c r="AM334" s="38">
        <v>0</v>
      </c>
      <c r="AN334" s="38">
        <v>0</v>
      </c>
      <c r="AO334" s="39">
        <f>L334</f>
        <v>250.952</v>
      </c>
      <c r="AP334" s="39"/>
      <c r="AQ334" s="39"/>
      <c r="AR334" s="7"/>
      <c r="AS334" s="4">
        <f>K334</f>
        <v>250.952</v>
      </c>
      <c r="AT334" s="4">
        <f>IF(K334*3&gt;W334+N334, Q334, (S334+N334/2)*2+1.5*K334*(2*X334-2))*(3*K334)/(9*K334^2)</f>
        <v>0.57692307692307698</v>
      </c>
      <c r="AU334" s="4">
        <f>MIN(10*M334^0.5*K334^1.5,100*3.9*M334^0.5*K334^(5/3))/(PI()/4*N334^2)/X334</f>
        <v>280.42955602781353</v>
      </c>
      <c r="AV334" s="4">
        <f>MIN(0.7+0.3*(MIN(S334,AA334)+0.5*N334)/1.5/K334,1)</f>
        <v>0.76174089068825901</v>
      </c>
      <c r="AW334" s="4">
        <v>1.25</v>
      </c>
      <c r="AX334" s="4">
        <f>AX333</f>
        <v>2.5</v>
      </c>
      <c r="AY334" s="38">
        <f>AT334*AV334*AW334*AX334*AU334</f>
        <v>385.12258374508366</v>
      </c>
      <c r="AZ334" s="38">
        <f>AY334</f>
        <v>385.12258374508366</v>
      </c>
      <c r="BA334" s="38">
        <f>IF(M334&lt;50, 0.3*M334^(2/3), 2.12*LN(1+0.1*(M334+8)))</f>
        <v>4.0980014231553801</v>
      </c>
      <c r="BB334" s="38">
        <f>AX334* (M334^0.5/AS334^0.5)/(PI()/4*N334^2)/X334/0.72 *(0.7+(MIN(S334,AA334)+0.5*N334)/5/K334) *(3*Q334*K334)</f>
        <v>385.12258374508349</v>
      </c>
      <c r="BC334" s="38">
        <f>AY334/BB334</f>
        <v>1.0000000000000004</v>
      </c>
      <c r="BD334" s="38">
        <f>BH334/BB334</f>
        <v>1.6389774658633678</v>
      </c>
      <c r="BE334" s="4">
        <f>IF(BD334&lt;1,1,0)</f>
        <v>0</v>
      </c>
      <c r="BF334" s="4">
        <f>L334/N334*M334^0.5/0.19</f>
        <v>371.73071454741404</v>
      </c>
      <c r="BG334" s="4">
        <f>MIN(0.6+0.4*(AC334/AB334),2)</f>
        <v>1</v>
      </c>
      <c r="BH334" s="38">
        <f>2*M334*AB334*AD334^0.5*BG334*0.7/0.7</f>
        <v>631.20723635326954</v>
      </c>
      <c r="BI334" s="4">
        <f>MAX(1-0.7*AE334/5,0.3)</f>
        <v>0.42600000000000005</v>
      </c>
      <c r="BJ334" s="4">
        <f>BI334*J334*L334/(J334*N334/2.75/M334^0.5)</f>
        <v>82.741681097536173</v>
      </c>
      <c r="BK334" s="4">
        <f>BH334+BJ334</f>
        <v>713.94891745080577</v>
      </c>
      <c r="BM334" s="4">
        <f>MIN(1.5, 0.75+0.25*MIN(3,MAX(1,S334/N334))+0.4*MIN(1,(40*2*PI()*AM334^2/4/AO334/X334)/N334))</f>
        <v>1.3875</v>
      </c>
      <c r="BN334" s="4">
        <f>(3*P334+30)*BM334*M334^0.5</f>
        <v>591.55581719530358</v>
      </c>
      <c r="BP334" s="4">
        <f>3.4/PI()^0.5*M334*AB334*AE334^0.5*BG334</f>
        <v>605.40493127781826</v>
      </c>
      <c r="BQ334" s="4">
        <f>8/3*AH334*AI334^2/(AG334-N334-22)/N334*(AG334^2-N334^2)/(AG334^2-(N334+22)^2)</f>
        <v>0</v>
      </c>
      <c r="BR334" s="4">
        <f>BQ334/BP334</f>
        <v>0</v>
      </c>
      <c r="BZ334" s="4">
        <f>IF(W334=0,S334,MIN(W334/2,S334))</f>
        <v>64.77</v>
      </c>
      <c r="CD334" s="9"/>
      <c r="CF334" s="9"/>
      <c r="CG334" s="9"/>
      <c r="CH334" s="9">
        <f>IF(W334=0,MIN(S334,U334),MIN(W334/2,S334,U334))</f>
        <v>64.77</v>
      </c>
      <c r="CI334" s="9">
        <f>MAX(W334/2,S334)</f>
        <v>127.00000000000001</v>
      </c>
      <c r="CJ334" s="9">
        <f>(CH334/N334)^0.5*(CI334/CH334)^0.15</f>
        <v>1.7665851027593089</v>
      </c>
      <c r="CK334" s="70">
        <f>IF(AO334&gt;1,20,0)</f>
        <v>20</v>
      </c>
      <c r="CL334" s="9">
        <f>MIN(PI()*AM334^2/4*AN334*2/X334/N334/MAX(0.01,AO334),0.05)</f>
        <v>0</v>
      </c>
      <c r="CM334" s="9">
        <f>MAX(0,CK334*(CL334-0.5/50))</f>
        <v>0</v>
      </c>
      <c r="CN334" s="9">
        <f>MIN(1,(25/N334)^0.3)</f>
        <v>0.99524931562137331</v>
      </c>
      <c r="CO334" s="9">
        <f>IF(J334&gt;=800,0.68,IF(J334&gt;=700,0.75-(J334-700)*0.07/100,IF(J334&gt;=600,0.85-(J334-600)*0.1/100,IF(J334&gt;=500,1-(J334-500)*0.15/100,1.2-(J334-400)*0.2/100))))</f>
        <v>0.68</v>
      </c>
      <c r="CP334" s="9">
        <f>1.75*CN334*CO334*(M334/25)^0.5</f>
        <v>1.693300152715469</v>
      </c>
      <c r="CQ334" s="9">
        <f>MIN((CJ334+CM334)*CP334,2.5*CP334,M334^0.5)</f>
        <v>2.99135882428721</v>
      </c>
      <c r="CR334" s="40">
        <v>1</v>
      </c>
      <c r="CS334" s="9">
        <f>4*CQ334*P334+60*CQ334</f>
        <v>297.70003019306313</v>
      </c>
      <c r="CU334" s="4">
        <f>AJ334/BF334</f>
        <v>1.1780867637368739</v>
      </c>
      <c r="CV334" s="4">
        <f>AJ334/BK334</f>
        <v>0.61339267247076401</v>
      </c>
      <c r="CW334" s="4">
        <f>AJ334/BN334</f>
        <v>0.74030382552754892</v>
      </c>
      <c r="CX334" s="4">
        <f>AJ334/CS334</f>
        <v>1.4710480015697462</v>
      </c>
      <c r="CY334" s="4">
        <f>AJ334/DZ334</f>
        <v>0.63658061415316614</v>
      </c>
      <c r="CZ334" s="4">
        <f>AJ334/EL334</f>
        <v>0.67335839175112699</v>
      </c>
      <c r="DA334" s="4">
        <f>AJ334/GI334</f>
        <v>0.8312726172672158</v>
      </c>
      <c r="DB334" s="4">
        <f>AN334</f>
        <v>0</v>
      </c>
      <c r="DC334" s="4">
        <f>CU334</f>
        <v>1.1780867637368739</v>
      </c>
      <c r="DD334" s="4">
        <f>CV334</f>
        <v>0.61339267247076401</v>
      </c>
      <c r="DE334" s="4">
        <f>CX334</f>
        <v>1.4710480015697462</v>
      </c>
      <c r="DF334" s="4">
        <f>DA334</f>
        <v>0.8312726172672158</v>
      </c>
      <c r="DG334" s="4">
        <f>CY334</f>
        <v>0.63658061415316614</v>
      </c>
      <c r="DH334" s="4">
        <f>CZ334</f>
        <v>0.67335839175112699</v>
      </c>
      <c r="DQ334" s="4">
        <f>L334</f>
        <v>250.952</v>
      </c>
      <c r="DT334" s="4">
        <f>K334/4/(1-0.3*(M334/30)^0.5)/200000/N334</f>
        <v>2.0297432140333448E-5</v>
      </c>
      <c r="DU334" s="4">
        <f>EP334</f>
        <v>9.0857094645609653</v>
      </c>
      <c r="DV334" s="4">
        <f>EC334*AG334/257/M334/AD334</f>
        <v>0.41025190412805262</v>
      </c>
      <c r="DW334" s="4">
        <f>DU334*DV334^0.4</f>
        <v>6.3617864584628112</v>
      </c>
      <c r="DX334" s="4">
        <f>MIN(DU334, DU334/1.4*(1-DV334^1.4)/(1-DV334))</f>
        <v>7.843269381391015</v>
      </c>
      <c r="DY334" s="4">
        <f>MAX(DU334/2, (4-DT334*(8*AG334*(DW334-DX334)+6*K334*DX334))/(4+DT334*K334*DU334)*DU334)</f>
        <v>8.4745268395009088</v>
      </c>
      <c r="DZ334" s="38">
        <f>MIN(1/N334*(4*AG334*(DW334-DX334)+(3*DX334+DY334)*K334)+EC334 -FJ334,MAX(J334,AJ334))</f>
        <v>687.94277542575173</v>
      </c>
      <c r="EA334" s="4">
        <f>DZ334/FF334</f>
        <v>1.0001048765455911</v>
      </c>
      <c r="EB334" s="4">
        <f>AG334/N334</f>
        <v>2.2583179581272428</v>
      </c>
      <c r="EC334" s="4">
        <f>MIN(EB$10*BB334)</f>
        <v>385.12258374508349</v>
      </c>
      <c r="EG334" s="4">
        <f>IF(U334&gt;1*N334,0.85,1)</f>
        <v>0.85</v>
      </c>
      <c r="EH334" s="4">
        <f>MIN(1,MAX(0.7,(1-0.1*(BZ334-1*N334)/N334)))</f>
        <v>0.84499999999999997</v>
      </c>
      <c r="EI334" s="4">
        <f>MIN(1,MAX(0.7,1-0.3*(PI()*AM334^2/4*AQ334*2-0.25*PI()/4*N334^2)/(PI()/4*N334^2)))</f>
        <v>1</v>
      </c>
      <c r="EJ334" s="4">
        <f>IF(EH334*EI334&lt;0.7,0.7,EH334*EI334)</f>
        <v>0.84499999999999997</v>
      </c>
      <c r="EL334" s="4">
        <f>MIN(DU334/N334*3*K334+EM334-FJ334,MAX(J334,AJ334))</f>
        <v>650.36842170167506</v>
      </c>
      <c r="EM334" s="25">
        <f>13.3*Q334*K334^0.5*M334^0.5/X334/N334^2*(0.7+S334/5/K334)</f>
        <v>381.06799317208811</v>
      </c>
      <c r="EO334" s="4">
        <f>EG334*EJ334</f>
        <v>0.71824999999999994</v>
      </c>
      <c r="EP334" s="4">
        <f>IF(N334&lt;22.2,1.1*5*(M334/30)^0.5,IF(N334&gt;=31.8,0.9*5*(M334/30)^0.5,1*5*(M334/30)^0.5))/EG334/EJ334</f>
        <v>9.0857094645609653</v>
      </c>
      <c r="ES334" s="4">
        <f>ET334*N334</f>
        <v>57.361276136431961</v>
      </c>
      <c r="ET334" s="4">
        <f>AF334^0.5</f>
        <v>2.2583179581272428</v>
      </c>
      <c r="EU334" s="4">
        <f>MIN(EC334)/(4700*M334^0.5)/AE334*ES334</f>
        <v>0.1603655114597024</v>
      </c>
      <c r="EX334" s="4">
        <f>EU334</f>
        <v>0.1603655114597024</v>
      </c>
      <c r="EY334" s="4">
        <f>MIN(0.999, EX334/(0.3*(M334/30)^0.5))</f>
        <v>0.40956727016062394</v>
      </c>
      <c r="EZ334" s="4">
        <f>EP334/1*EY334^0.4</f>
        <v>6.3575376761367446</v>
      </c>
      <c r="FA334" s="4">
        <f>EP334/1.4*(1-EY334^1.4)/(1-EY334)</f>
        <v>7.8415490707318991</v>
      </c>
      <c r="FB334" s="4">
        <f>MAX(0,DQ334*FB$9-ES334)</f>
        <v>130.85272386356803</v>
      </c>
      <c r="FC334" s="4">
        <f>MAX(0,DQ334-ES334-FB334)</f>
        <v>62.738</v>
      </c>
      <c r="FD334" s="4">
        <f>FC334/(1-0.3*(M334/30)^0.5)/200000/N334</f>
        <v>2.0297432140333448E-5</v>
      </c>
      <c r="FE334" s="4">
        <f>MAX(0.5*EP334, (1-2*FD334*(ES334*EZ334+FB334*FA334))/(1/EP334+FD334*FC334))</f>
        <v>8.4746977791693663</v>
      </c>
      <c r="FF334" s="4">
        <f>MIN(4/N334*(1*EZ334*ES334+FA334*FB334+FC334*FE334)+EC334,MAX(J334,AJ334))</f>
        <v>687.87063392985158</v>
      </c>
      <c r="FO334" s="23">
        <f>IF(CU334&lt;0.6,0.6,IF(CU334&lt;0.8,0.8,IF(CU334&lt;1,1,IF(CU334&lt;1.2,1.2,IF(CU334&lt;1.4,1.4,IF(CU334&lt;1.6,1.6,IF(CU334&lt;1.8,1.8,IF(CU334&lt;2,2,2.2))))))))</f>
        <v>1.2</v>
      </c>
      <c r="FP334" s="23">
        <f>IF(CV334&lt;0.6,0.6,IF(CV334&lt;0.8,0.8,IF(CV334&lt;1,1,IF(CV334&lt;1.2,1.2,IF(CV334&lt;1.4,1.4,IF(CV334&lt;1.6,1.6,IF(CV334&lt;1.8,1.8,IF(CV334&lt;2,2,2.2))))))))</f>
        <v>0.8</v>
      </c>
      <c r="FQ334" s="23">
        <f>IF(DA334&lt;0.6,0.6,IF(DA334&lt;0.8,0.8,IF(DA334&lt;1,1,IF(DA334&lt;1.2,1.2,IF(DA334&lt;1.4,1.4,IF(DA334&lt;1.6,1.6,IF(DA334&lt;1.8,1.8,IF(DA334&lt;2,2,2.2))))))))</f>
        <v>1</v>
      </c>
      <c r="FR334" s="23">
        <f>IF(CX334&lt;0.6,0.6,IF(CX334&lt;0.8,0.8,IF(CX334&lt;1,1,IF(CX334&lt;1.2,1.2,IF(CX334&lt;1.4,1.4,IF(CX334&lt;1.6,1.6,IF(CX334&lt;1.8,1.8,IF(CX334&lt;2,2,2.2))))))))</f>
        <v>1.6</v>
      </c>
      <c r="FS334" s="23">
        <f>IF(CY334&lt;0.6,0.6,IF(CY334&lt;0.8,0.8,IF(CY334&lt;1,1,IF(CY334&lt;1.2,1.2,IF(CY334&lt;1.4,1.4,IF(CY334&lt;1.6,1.6,IF(CY334&lt;1.8,1.8,IF(CY334&lt;2,2,2.2))))))))</f>
        <v>0.8</v>
      </c>
      <c r="FT334" s="23">
        <f>IF(CZ334&lt;0.6,0.6,IF(CZ334&lt;0.8,0.8,IF(CZ334&lt;1,1,IF(CZ334&lt;1.2,1.2,IF(CZ334&lt;1.4,1.4,IF(CZ334&lt;1.6,1.6,IF(CZ334&lt;1.8,1.8,IF(CZ334&lt;2,2,2.2))))))))</f>
        <v>0.8</v>
      </c>
      <c r="FU334" s="23">
        <f>IF(FS334&lt;1,1,0)</f>
        <v>1</v>
      </c>
      <c r="FV334" s="23"/>
      <c r="GF334" s="4">
        <f>IF(S334&gt;=2.5*25.4,1,1.25)</f>
        <v>1</v>
      </c>
      <c r="GG334" s="4">
        <f>IF(AO334&gt;1, 0.05*(18-MIN(8,(W334+N334)/N334))*(1-48000/MAX(60000,(J334*145))*(N334/25.4)^0.75*GH334), 1/12*(14-MIN(8,(W334+N334)/N334)))</f>
        <v>0.5</v>
      </c>
      <c r="GH334" s="4">
        <f>MIN(0.3, AM334^2*PI()/4*2*AP334/(N334^2*PI()/4*X334))</f>
        <v>0</v>
      </c>
      <c r="GI334" s="4">
        <f>(K334/25.4)/(N334/25.4)^1.5/0.0024*(M334*145)^0.25/GF334/GG334/145</f>
        <v>526.81999308775983</v>
      </c>
    </row>
    <row r="335" spans="1:191" ht="12" customHeight="1" x14ac:dyDescent="0.3">
      <c r="A335" s="25">
        <v>392</v>
      </c>
      <c r="B335" s="4" t="s">
        <v>605</v>
      </c>
      <c r="C335" s="4">
        <v>2016</v>
      </c>
      <c r="D335" s="4" t="s">
        <v>309</v>
      </c>
      <c r="E335" s="14" t="s">
        <v>676</v>
      </c>
      <c r="F335" s="14"/>
      <c r="G335" s="14">
        <v>23</v>
      </c>
      <c r="H335" s="7" t="s">
        <v>560</v>
      </c>
      <c r="I335" s="5">
        <f>K335/N335</f>
        <v>9.8800000000000008</v>
      </c>
      <c r="J335" s="38">
        <f>129/0.145</f>
        <v>889.65517241379314</v>
      </c>
      <c r="K335" s="96">
        <f>9.88*25.4</f>
        <v>250.952</v>
      </c>
      <c r="L335" s="4">
        <f>K335</f>
        <v>250.952</v>
      </c>
      <c r="M335" s="38">
        <f>4880/145</f>
        <v>33.655172413793103</v>
      </c>
      <c r="N335" s="96">
        <f>1*25.4</f>
        <v>25.4</v>
      </c>
      <c r="O335" s="7">
        <f>K335/N335</f>
        <v>9.8800000000000008</v>
      </c>
      <c r="P335" s="7">
        <f>L335/N335</f>
        <v>9.8800000000000008</v>
      </c>
      <c r="Q335" s="38">
        <f>17.4*25.4</f>
        <v>441.95999999999992</v>
      </c>
      <c r="R335" s="32">
        <f>S335/N335</f>
        <v>2.5499999999999998</v>
      </c>
      <c r="S335" s="38">
        <f>2.55*25.4</f>
        <v>64.77</v>
      </c>
      <c r="T335" s="32">
        <f>U335/N335</f>
        <v>3.3</v>
      </c>
      <c r="U335" s="39">
        <f>3.3*25.4</f>
        <v>83.82</v>
      </c>
      <c r="V335" s="32">
        <f>W335/N335</f>
        <v>10.299999999999997</v>
      </c>
      <c r="W335" s="7">
        <f>(Q335-X335*N335-2*S335)/(X335-1)</f>
        <v>261.61999999999989</v>
      </c>
      <c r="X335" s="38">
        <v>2</v>
      </c>
      <c r="Y335" s="7">
        <f>AN335</f>
        <v>0</v>
      </c>
      <c r="Z335" s="32">
        <f>AA335/N335</f>
        <v>20</v>
      </c>
      <c r="AA335" s="4">
        <f>20*25.4</f>
        <v>508</v>
      </c>
      <c r="AB335" s="7">
        <f>MIN(S335/N335+0.5, W335/2/N335+0.5)</f>
        <v>3.05</v>
      </c>
      <c r="AC335" s="7">
        <f>S335/N335+0.5</f>
        <v>3.05</v>
      </c>
      <c r="AD335" s="38">
        <v>4.0999999999999996</v>
      </c>
      <c r="AE335" s="4">
        <f>AD335</f>
        <v>4.0999999999999996</v>
      </c>
      <c r="AF335" s="4">
        <f>AE335+1</f>
        <v>5.0999999999999996</v>
      </c>
      <c r="AG335" s="7">
        <f>N335*AF335^0.5</f>
        <v>57.361276136431961</v>
      </c>
      <c r="AJ335" s="38">
        <f>AK335/0.145</f>
        <v>354.48275862068965</v>
      </c>
      <c r="AK335" s="4">
        <v>51.4</v>
      </c>
      <c r="AL335" s="4">
        <f>CY335</f>
        <v>0.61800778838527559</v>
      </c>
      <c r="AM335" s="38">
        <v>0</v>
      </c>
      <c r="AN335" s="38">
        <v>0</v>
      </c>
      <c r="AO335" s="39">
        <f>L335</f>
        <v>250.952</v>
      </c>
      <c r="AP335" s="39"/>
      <c r="AQ335" s="39"/>
      <c r="AR335" s="7"/>
      <c r="AS335" s="4">
        <f>K335</f>
        <v>250.952</v>
      </c>
      <c r="AT335" s="4">
        <f>IF(K335*3&gt;W335+N335, Q335, (S335+N335/2)*2+1.5*K335*(2*X335-2))*(3*K335)/(9*K335^2)</f>
        <v>0.58704453441295534</v>
      </c>
      <c r="AU335" s="4">
        <f>MIN(10*M335^0.5*K335^1.5,100*3.9*M335^0.5*K335^(5/3))/(PI()/4*N335^2)/X335</f>
        <v>227.57502097194012</v>
      </c>
      <c r="AV335" s="4">
        <f>MIN(0.7+0.3*(MIN(S335,AA335)+0.5*N335)/1.5/K335,1)</f>
        <v>0.76174089068825901</v>
      </c>
      <c r="AW335" s="4">
        <v>1.25</v>
      </c>
      <c r="AX335" s="4">
        <f>AX334</f>
        <v>2.5</v>
      </c>
      <c r="AY335" s="38">
        <f>AT335*AV335*AW335*AX335*AU335</f>
        <v>318.01890030575532</v>
      </c>
      <c r="AZ335" s="38">
        <f>AY335</f>
        <v>318.01890030575532</v>
      </c>
      <c r="BA335" s="38">
        <f>IF(M335&lt;50, 0.3*M335^(2/3), 2.12*LN(1+0.1*(M335+8)))</f>
        <v>3.1272010355053257</v>
      </c>
      <c r="BB335" s="38">
        <f>AX335* (M335^0.5/AS335^0.5)/(PI()/4*N335^2)/X335/0.72 *(0.7+(MIN(S335,AA335)+0.5*N335)/5/K335) *(3*Q335*K335)</f>
        <v>318.01890030575521</v>
      </c>
      <c r="BC335" s="38">
        <f>AY335/BB335</f>
        <v>1.0000000000000004</v>
      </c>
      <c r="BD335" s="38">
        <f>BH335/BB335</f>
        <v>1.3071356264291427</v>
      </c>
      <c r="BE335" s="4">
        <f>IF(BD335&lt;1,1,0)</f>
        <v>0</v>
      </c>
      <c r="BF335" s="4">
        <f>L335/N335*M335^0.5/0.19</f>
        <v>301.6680066014568</v>
      </c>
      <c r="BG335" s="4">
        <f>MIN(0.6+0.4*(AC335/AB335),2)</f>
        <v>1</v>
      </c>
      <c r="BH335" s="38">
        <f>2*M335*AB335*AD335^0.5*BG335*0.7/0.7</f>
        <v>415.69383446747042</v>
      </c>
      <c r="BI335" s="4">
        <f>MAX(1-0.7*AE335/5,0.3)</f>
        <v>0.42600000000000005</v>
      </c>
      <c r="BJ335" s="4">
        <f>BI335*J335*L335/(J335*N335/2.75/M335^0.5)</f>
        <v>67.146773249385262</v>
      </c>
      <c r="BK335" s="4">
        <f>BH335+BJ335</f>
        <v>482.84060771685569</v>
      </c>
      <c r="BM335" s="4">
        <f>MIN(1.5, 0.75+0.25*MIN(3,MAX(1,S335/N335))+0.4*MIN(1,(40*2*PI()*AM335^2/4/AO335/X335)/N335))</f>
        <v>1.3875</v>
      </c>
      <c r="BN335" s="4">
        <f>(3*P335+30)*BM335*M335^0.5</f>
        <v>480.06112269757404</v>
      </c>
      <c r="BP335" s="4">
        <f>3.4/PI()^0.5*M335*AB335*AE335^0.5*BG335</f>
        <v>398.70122329767247</v>
      </c>
      <c r="BQ335" s="4">
        <f>8/3*AH335*AI335^2/(AG335-N335-22)/N335*(AG335^2-N335^2)/(AG335^2-(N335+22)^2)</f>
        <v>0</v>
      </c>
      <c r="BR335" s="4">
        <f>BQ335/BP335</f>
        <v>0</v>
      </c>
      <c r="BZ335" s="4">
        <f>IF(W335=0,S335,MIN(W335/2,S335))</f>
        <v>64.77</v>
      </c>
      <c r="CD335" s="9"/>
      <c r="CF335" s="9"/>
      <c r="CG335" s="9"/>
      <c r="CH335" s="9">
        <f>IF(W335=0,MIN(S335,U335),MIN(W335/2,S335,U335))</f>
        <v>64.77</v>
      </c>
      <c r="CI335" s="9">
        <f>MAX(W335/2,S335)</f>
        <v>130.80999999999995</v>
      </c>
      <c r="CJ335" s="9">
        <f>(CH335/N335)^0.5*(CI335/CH335)^0.15</f>
        <v>1.7744352138444073</v>
      </c>
      <c r="CK335" s="70">
        <f>IF(AO335&gt;1,20,0)</f>
        <v>20</v>
      </c>
      <c r="CL335" s="9">
        <f>MIN(PI()*AM335^2/4*AN335*2/X335/N335/MAX(0.01,AO335),0.05)</f>
        <v>0</v>
      </c>
      <c r="CM335" s="9">
        <f>MAX(0,CK335*(CL335-0.5/50))</f>
        <v>0</v>
      </c>
      <c r="CN335" s="9">
        <f>MIN(1,(25/N335)^0.3)</f>
        <v>0.99524931562137331</v>
      </c>
      <c r="CO335" s="9">
        <f>IF(J335&gt;=800,0.68,IF(J335&gt;=700,0.75-(J335-700)*0.07/100,IF(J335&gt;=600,0.85-(J335-600)*0.1/100,IF(J335&gt;=500,1-(J335-500)*0.15/100,1.2-(J335-400)*0.2/100))))</f>
        <v>0.68</v>
      </c>
      <c r="CP335" s="9">
        <f>1.75*CN335*CO335*(M335/25)^0.5</f>
        <v>1.3741519375646418</v>
      </c>
      <c r="CQ335" s="9">
        <f>MIN((CJ335+CM335)*CP335,2.5*CP335,M335^0.5)</f>
        <v>2.4383435871872217</v>
      </c>
      <c r="CR335" s="40">
        <v>1</v>
      </c>
      <c r="CS335" s="9">
        <f>4*CQ335*P335+60*CQ335</f>
        <v>242.66395379687231</v>
      </c>
      <c r="CU335" s="4">
        <f>AJ335/BF335</f>
        <v>1.1750757483839116</v>
      </c>
      <c r="CV335" s="4">
        <f>AJ335/BK335</f>
        <v>0.73416103151904566</v>
      </c>
      <c r="CW335" s="4">
        <f>AJ335/BN335</f>
        <v>0.73841171855110732</v>
      </c>
      <c r="CX335" s="4">
        <f>AJ335/CS335</f>
        <v>1.4607969295572343</v>
      </c>
      <c r="CY335" s="4">
        <f>AJ335/DZ335</f>
        <v>0.61800778838527559</v>
      </c>
      <c r="CZ335" s="4">
        <f>AJ335/EL335</f>
        <v>0.6648035989042731</v>
      </c>
      <c r="DA335" s="4">
        <f>AJ335/GI335</f>
        <v>0.74693440629475993</v>
      </c>
      <c r="DB335" s="4">
        <f>AN335</f>
        <v>0</v>
      </c>
      <c r="DC335" s="4">
        <f>CU335</f>
        <v>1.1750757483839116</v>
      </c>
      <c r="DD335" s="4">
        <f>CV335</f>
        <v>0.73416103151904566</v>
      </c>
      <c r="DE335" s="4">
        <f>CX335</f>
        <v>1.4607969295572343</v>
      </c>
      <c r="DF335" s="4">
        <f>DA335</f>
        <v>0.74693440629475993</v>
      </c>
      <c r="DG335" s="4">
        <f>CY335</f>
        <v>0.61800778838527559</v>
      </c>
      <c r="DH335" s="4">
        <f>CZ335</f>
        <v>0.6648035989042731</v>
      </c>
      <c r="DQ335" s="4">
        <f>L335</f>
        <v>250.952</v>
      </c>
      <c r="DT335" s="4">
        <f>K335/4/(1-0.3*(M335/30)^0.5)/200000/N335</f>
        <v>1.8101887802209873E-5</v>
      </c>
      <c r="DU335" s="4">
        <f>EP335</f>
        <v>7.3732617603878383</v>
      </c>
      <c r="DV335" s="4">
        <f>EC335*AG335/257/M335/AD335</f>
        <v>0.51440234096462856</v>
      </c>
      <c r="DW335" s="4">
        <f>DU335*DV335^0.4</f>
        <v>5.651722459899756</v>
      </c>
      <c r="DX335" s="4">
        <f>MIN(DU335, DU335/1.4*(1-DV335^1.4)/(1-DV335))</f>
        <v>6.5692280921920974</v>
      </c>
      <c r="DY335" s="4">
        <f>MAX(DU335/2, (4-DT335*(8*AG335*(DW335-DX335)+6*K335*DX335))/(4+DT335*K335*DU335)*DU335)</f>
        <v>6.9986563688871684</v>
      </c>
      <c r="DZ335" s="38">
        <f>MIN(1/N335*(4*AG335*(DW335-DX335)+(3*DX335+DY335)*K335)+EC335 -FJ335,MAX(J335,AJ335))</f>
        <v>573.58946809857946</v>
      </c>
      <c r="EA335" s="4">
        <f>DZ335/FF335</f>
        <v>1.0001157899551703</v>
      </c>
      <c r="EB335" s="4">
        <f>AG335/N335</f>
        <v>2.2583179581272428</v>
      </c>
      <c r="EC335" s="4">
        <f>MIN(EB$10*BB335)</f>
        <v>318.01890030575521</v>
      </c>
      <c r="EG335" s="4">
        <f>IF(U335&gt;1*N335,0.85,1)</f>
        <v>0.85</v>
      </c>
      <c r="EH335" s="4">
        <f>MIN(1,MAX(0.7,(1-0.1*(BZ335-1*N335)/N335)))</f>
        <v>0.84499999999999997</v>
      </c>
      <c r="EI335" s="4">
        <f>MIN(1,MAX(0.7,1-0.3*(PI()*AM335^2/4*AQ335*2-0.25*PI()/4*N335^2)/(PI()/4*N335^2)))</f>
        <v>1</v>
      </c>
      <c r="EJ335" s="4">
        <f>IF(EH335*EI335&lt;0.7,0.7,EH335*EI335)</f>
        <v>0.84499999999999997</v>
      </c>
      <c r="EL335" s="4">
        <f>MIN(DU335/N335*3*K335+EM335-FJ335,MAX(J335,AJ335))</f>
        <v>533.21425937667436</v>
      </c>
      <c r="EM335" s="25">
        <f>13.3*Q335*K335^0.5*M335^0.5/X335/N335^2*(0.7+S335/5/K335)</f>
        <v>314.67078079877888</v>
      </c>
      <c r="EO335" s="4">
        <f>EG335*EJ335</f>
        <v>0.71824999999999994</v>
      </c>
      <c r="EP335" s="4">
        <f>IF(N335&lt;22.2,1.1*5*(M335/30)^0.5,IF(N335&gt;=31.8,0.9*5*(M335/30)^0.5,1*5*(M335/30)^0.5))/EG335/EJ335</f>
        <v>7.3732617603878383</v>
      </c>
      <c r="ES335" s="4">
        <f>ET335*N335</f>
        <v>57.361276136431961</v>
      </c>
      <c r="ET335" s="4">
        <f>AF335^0.5</f>
        <v>2.2583179581272428</v>
      </c>
      <c r="EU335" s="4">
        <f>MIN(EC335)/(4700*M335^0.5)/AE335*ES335</f>
        <v>0.16317894148531115</v>
      </c>
      <c r="EX335" s="4">
        <f>EU335</f>
        <v>0.16317894148531115</v>
      </c>
      <c r="EY335" s="4">
        <f>MIN(0.999, EX335/(0.3*(M335/30)^0.5))</f>
        <v>0.51354389932912226</v>
      </c>
      <c r="EZ335" s="4">
        <f>EP335/1*EY335^0.4</f>
        <v>5.6479479008735689</v>
      </c>
      <c r="FA335" s="4">
        <f>EP335/1.4*(1-EY335^1.4)/(1-EY335)</f>
        <v>6.5676056541484567</v>
      </c>
      <c r="FB335" s="4">
        <f>MAX(0,DQ335*FB$9-ES335)</f>
        <v>130.85272386356803</v>
      </c>
      <c r="FC335" s="4">
        <f>MAX(0,DQ335-ES335-FB335)</f>
        <v>62.738</v>
      </c>
      <c r="FD335" s="4">
        <f>FC335/(1-0.3*(M335/30)^0.5)/200000/N335</f>
        <v>1.8101887802209873E-5</v>
      </c>
      <c r="FE335" s="4">
        <f>MAX(0.5*EP335, (1-2*FD335*(ES335*EZ335+FB335*FA335))/(1/EP335+FD335*FC335))</f>
        <v>6.9987698858984766</v>
      </c>
      <c r="FF335" s="4">
        <f>MIN(4/N335*(1*EZ335*ES335+FA335*FB335+FC335*FE335)+EC335,MAX(J335,AJ335))</f>
        <v>573.52305988918579</v>
      </c>
      <c r="FO335" s="23">
        <f>IF(CU335&lt;0.6,0.6,IF(CU335&lt;0.8,0.8,IF(CU335&lt;1,1,IF(CU335&lt;1.2,1.2,IF(CU335&lt;1.4,1.4,IF(CU335&lt;1.6,1.6,IF(CU335&lt;1.8,1.8,IF(CU335&lt;2,2,2.2))))))))</f>
        <v>1.2</v>
      </c>
      <c r="FP335" s="23">
        <f>IF(CV335&lt;0.6,0.6,IF(CV335&lt;0.8,0.8,IF(CV335&lt;1,1,IF(CV335&lt;1.2,1.2,IF(CV335&lt;1.4,1.4,IF(CV335&lt;1.6,1.6,IF(CV335&lt;1.8,1.8,IF(CV335&lt;2,2,2.2))))))))</f>
        <v>0.8</v>
      </c>
      <c r="FQ335" s="23">
        <f>IF(DA335&lt;0.6,0.6,IF(DA335&lt;0.8,0.8,IF(DA335&lt;1,1,IF(DA335&lt;1.2,1.2,IF(DA335&lt;1.4,1.4,IF(DA335&lt;1.6,1.6,IF(DA335&lt;1.8,1.8,IF(DA335&lt;2,2,2.2))))))))</f>
        <v>0.8</v>
      </c>
      <c r="FR335" s="23">
        <f>IF(CX335&lt;0.6,0.6,IF(CX335&lt;0.8,0.8,IF(CX335&lt;1,1,IF(CX335&lt;1.2,1.2,IF(CX335&lt;1.4,1.4,IF(CX335&lt;1.6,1.6,IF(CX335&lt;1.8,1.8,IF(CX335&lt;2,2,2.2))))))))</f>
        <v>1.6</v>
      </c>
      <c r="FS335" s="23">
        <f>IF(CY335&lt;0.6,0.6,IF(CY335&lt;0.8,0.8,IF(CY335&lt;1,1,IF(CY335&lt;1.2,1.2,IF(CY335&lt;1.4,1.4,IF(CY335&lt;1.6,1.6,IF(CY335&lt;1.8,1.8,IF(CY335&lt;2,2,2.2))))))))</f>
        <v>0.8</v>
      </c>
      <c r="FT335" s="23">
        <f>IF(CZ335&lt;0.6,0.6,IF(CZ335&lt;0.8,0.8,IF(CZ335&lt;1,1,IF(CZ335&lt;1.2,1.2,IF(CZ335&lt;1.4,1.4,IF(CZ335&lt;1.6,1.6,IF(CZ335&lt;1.8,1.8,IF(CZ335&lt;2,2,2.2))))))))</f>
        <v>0.8</v>
      </c>
      <c r="FU335" s="23">
        <f>IF(FS335&lt;1,1,0)</f>
        <v>1</v>
      </c>
      <c r="FV335" s="23"/>
      <c r="GF335" s="4">
        <f>IF(S335&gt;=2.5*25.4,1,1.25)</f>
        <v>1</v>
      </c>
      <c r="GG335" s="4">
        <f>IF(AO335&gt;1, 0.05*(18-MIN(8,(W335+N335)/N335))*(1-48000/MAX(60000,(J335*145))*(N335/25.4)^0.75*GH335), 1/12*(14-MIN(8,(W335+N335)/N335)))</f>
        <v>0.5</v>
      </c>
      <c r="GH335" s="4">
        <f>MIN(0.3, AM335^2*PI()/4*2*AP335/(N335^2*PI()/4*X335))</f>
        <v>0</v>
      </c>
      <c r="GI335" s="4">
        <f>(K335/25.4)/(N335/25.4)^1.5/0.0024*(M335*145)^0.25/GF335/GG335/145</f>
        <v>474.58351849011149</v>
      </c>
    </row>
    <row r="336" spans="1:191" ht="12" customHeight="1" x14ac:dyDescent="0.3">
      <c r="A336" s="25">
        <v>390</v>
      </c>
      <c r="B336" s="4" t="s">
        <v>605</v>
      </c>
      <c r="C336" s="4">
        <v>2016</v>
      </c>
      <c r="D336" s="4" t="s">
        <v>309</v>
      </c>
      <c r="E336" s="14" t="s">
        <v>556</v>
      </c>
      <c r="F336" s="14"/>
      <c r="G336" s="14">
        <v>18</v>
      </c>
      <c r="H336" s="7" t="s">
        <v>558</v>
      </c>
      <c r="I336" s="5">
        <f>K336/N336</f>
        <v>9.81</v>
      </c>
      <c r="J336" s="38">
        <f>129/0.145</f>
        <v>889.65517241379314</v>
      </c>
      <c r="K336" s="96">
        <f>9.81*25.4</f>
        <v>249.17400000000001</v>
      </c>
      <c r="L336" s="4">
        <f>K336</f>
        <v>249.17400000000001</v>
      </c>
      <c r="M336" s="94">
        <f>7410/145</f>
        <v>51.103448275862071</v>
      </c>
      <c r="N336" s="96">
        <f>1*25.4</f>
        <v>25.4</v>
      </c>
      <c r="O336" s="7">
        <f>K336/N336</f>
        <v>9.81</v>
      </c>
      <c r="P336" s="7">
        <f>L336/N336</f>
        <v>9.81</v>
      </c>
      <c r="Q336" s="38">
        <f>17.3*25.4</f>
        <v>439.42</v>
      </c>
      <c r="R336" s="32">
        <f>S336/N336</f>
        <v>2.5999999999999996</v>
      </c>
      <c r="S336" s="38">
        <f>2.6*25.4</f>
        <v>66.039999999999992</v>
      </c>
      <c r="T336" s="32">
        <f>U336/N336</f>
        <v>3.3500000000000005</v>
      </c>
      <c r="U336" s="39">
        <f>3.35*25.4</f>
        <v>85.09</v>
      </c>
      <c r="V336" s="32">
        <f>W336/N336</f>
        <v>10.100000000000001</v>
      </c>
      <c r="W336" s="7">
        <f>(Q336-X336*N336-2*S336)/(X336-1)</f>
        <v>256.54000000000002</v>
      </c>
      <c r="X336" s="38">
        <v>2</v>
      </c>
      <c r="Y336" s="7">
        <f>AN336</f>
        <v>0</v>
      </c>
      <c r="Z336" s="32">
        <f>AA336/N336</f>
        <v>20</v>
      </c>
      <c r="AA336" s="4">
        <f>20*25.4</f>
        <v>508</v>
      </c>
      <c r="AB336" s="7">
        <f>MIN(S336/N336+0.5, W336/2/N336+0.5)</f>
        <v>3.0999999999999996</v>
      </c>
      <c r="AC336" s="7">
        <f>S336/N336+0.5</f>
        <v>3.0999999999999996</v>
      </c>
      <c r="AD336" s="38">
        <v>9.1</v>
      </c>
      <c r="AE336" s="4">
        <f>AD336</f>
        <v>9.1</v>
      </c>
      <c r="AF336" s="4">
        <f>AE336+1</f>
        <v>10.1</v>
      </c>
      <c r="AG336" s="7">
        <f>N336*AF336^0.5</f>
        <v>80.72246279691916</v>
      </c>
      <c r="AJ336" s="38">
        <f>AK336/0.145</f>
        <v>452.41379310344826</v>
      </c>
      <c r="AK336" s="4">
        <v>65.599999999999994</v>
      </c>
      <c r="AL336" s="4">
        <f>CY336</f>
        <v>0.67872485494033818</v>
      </c>
      <c r="AM336" s="38">
        <v>0</v>
      </c>
      <c r="AN336" s="38">
        <v>0</v>
      </c>
      <c r="AO336" s="39">
        <f>L336</f>
        <v>249.17400000000001</v>
      </c>
      <c r="AP336" s="39"/>
      <c r="AQ336" s="39"/>
      <c r="AR336" s="7"/>
      <c r="AS336" s="4">
        <f>K336</f>
        <v>249.17400000000001</v>
      </c>
      <c r="AT336" s="4">
        <f>IF(K336*3&gt;W336+N336, Q336, (S336+N336/2)*2+1.5*K336*(2*X336-2))*(3*K336)/(9*K336^2)</f>
        <v>0.58783554196398236</v>
      </c>
      <c r="AU336" s="4">
        <f>MIN(10*M336^0.5*K336^1.5,100*3.9*M336^0.5*K336^(5/3))/(PI()/4*N336^2)/X336</f>
        <v>277.45456748084541</v>
      </c>
      <c r="AV336" s="4">
        <f>MIN(0.7+0.3*(MIN(S336,AA336)+0.5*N336)/1.5/K336,1)</f>
        <v>0.76320081549439345</v>
      </c>
      <c r="AW336" s="4">
        <v>1.25</v>
      </c>
      <c r="AX336" s="4">
        <f>AX335</f>
        <v>2.5</v>
      </c>
      <c r="AY336" s="38">
        <f>AT336*AV336*AW336*AX336*AU336</f>
        <v>388.98832530980724</v>
      </c>
      <c r="AZ336" s="38">
        <f>AY336</f>
        <v>388.98832530980724</v>
      </c>
      <c r="BA336" s="38">
        <f>IF(M336&lt;50, 0.3*M336^(2/3), 2.12*LN(1+0.1*(M336+8)))</f>
        <v>4.0980014231553801</v>
      </c>
      <c r="BB336" s="38">
        <f>AX336* (M336^0.5/AS336^0.5)/(PI()/4*N336^2)/X336/0.72 *(0.7+(MIN(S336,AA336)+0.5*N336)/5/K336) *(3*Q336*K336)</f>
        <v>388.98832530980735</v>
      </c>
      <c r="BC336" s="38">
        <f>AY336/BB336</f>
        <v>0.99999999999999967</v>
      </c>
      <c r="BD336" s="38">
        <f>BH336/BB336</f>
        <v>2.4571180617648873</v>
      </c>
      <c r="BE336" s="4">
        <f>IF(BD336&lt;1,1,0)</f>
        <v>0</v>
      </c>
      <c r="BF336" s="4">
        <f>L336/N336*M336^0.5/0.19</f>
        <v>369.09699490993239</v>
      </c>
      <c r="BG336" s="4">
        <f>MIN(0.6+0.4*(AC336/AB336),2)</f>
        <v>1</v>
      </c>
      <c r="BH336" s="38">
        <f>2*M336*AB336*AD336^0.5*BG336*0.7/0.7</f>
        <v>955.7902399344033</v>
      </c>
      <c r="BI336" s="4">
        <f>MAX(1-0.7*AE336/5,0.3)</f>
        <v>0.3</v>
      </c>
      <c r="BJ336" s="4">
        <f>BI336*J336*L336/(J336*N336/2.75/M336^0.5)</f>
        <v>57.855953952131891</v>
      </c>
      <c r="BK336" s="4">
        <f>BH336+BJ336</f>
        <v>1013.6461938865352</v>
      </c>
      <c r="BM336" s="4">
        <f>MIN(1.5, 0.75+0.25*MIN(3,MAX(1,S336/N336))+0.4*MIN(1,(40*2*PI()*AM336^2/4/AO336/X336)/N336))</f>
        <v>1.4</v>
      </c>
      <c r="BN336" s="4">
        <f>(3*P336+30)*BM336*M336^0.5</f>
        <v>594.78344061103735</v>
      </c>
      <c r="BP336" s="4">
        <f>3.4/PI()^0.5*M336*AB336*AE336^0.5*BG336</f>
        <v>916.71972562692179</v>
      </c>
      <c r="BQ336" s="4">
        <f>8/3*AH336*AI336^2/(AG336-N336-22)/N336*(AG336^2-N336^2)/(AG336^2-(N336+22)^2)</f>
        <v>0</v>
      </c>
      <c r="BR336" s="4">
        <f>BQ336/BP336</f>
        <v>0</v>
      </c>
      <c r="BZ336" s="4">
        <f>IF(W336=0,S336,MIN(W336/2,S336))</f>
        <v>66.039999999999992</v>
      </c>
      <c r="CD336" s="9"/>
      <c r="CF336" s="9"/>
      <c r="CG336" s="9"/>
      <c r="CH336" s="9">
        <f>IF(W336=0,MIN(S336,U336),MIN(W336/2,S336,U336))</f>
        <v>66.039999999999992</v>
      </c>
      <c r="CI336" s="9">
        <f>MAX(W336/2,S336)</f>
        <v>128.27000000000001</v>
      </c>
      <c r="CJ336" s="9">
        <f>(CH336/N336)^0.5*(CI336/CH336)^0.15</f>
        <v>1.7812889692205971</v>
      </c>
      <c r="CK336" s="70">
        <f>IF(AO336&gt;1,20,0)</f>
        <v>20</v>
      </c>
      <c r="CL336" s="9">
        <f>MIN(PI()*AM336^2/4*AN336*2/X336/N336/MAX(0.01,AO336),0.05)</f>
        <v>0</v>
      </c>
      <c r="CM336" s="9">
        <f>MAX(0,CK336*(CL336-0.5/50))</f>
        <v>0</v>
      </c>
      <c r="CN336" s="9">
        <f>MIN(1,(25/N336)^0.3)</f>
        <v>0.99524931562137331</v>
      </c>
      <c r="CO336" s="9">
        <f>IF(J336&gt;=800,0.68,IF(J336&gt;=700,0.75-(J336-700)*0.07/100,IF(J336&gt;=600,0.85-(J336-600)*0.1/100,IF(J336&gt;=500,1-(J336-500)*0.15/100,1.2-(J336-400)*0.2/100))))</f>
        <v>0.68</v>
      </c>
      <c r="CP336" s="9">
        <f>1.75*CN336*CO336*(M336/25)^0.5</f>
        <v>1.693300152715469</v>
      </c>
      <c r="CQ336" s="9">
        <f>MIN((CJ336+CM336)*CP336,2.5*CP336,M336^0.5)</f>
        <v>3.0162568836116175</v>
      </c>
      <c r="CR336" s="40">
        <v>1</v>
      </c>
      <c r="CS336" s="9">
        <f>4*CQ336*P336+60*CQ336</f>
        <v>299.3333331296169</v>
      </c>
      <c r="CU336" s="4">
        <f>AJ336/BF336</f>
        <v>1.2257314455075607</v>
      </c>
      <c r="CV336" s="4">
        <f>AJ336/BK336</f>
        <v>0.44632318044701325</v>
      </c>
      <c r="CW336" s="4">
        <f>AJ336/BN336</f>
        <v>0.76063616135424206</v>
      </c>
      <c r="CX336" s="4">
        <f>AJ336/CS336</f>
        <v>1.5114046550490408</v>
      </c>
      <c r="CY336" s="4">
        <f>AJ336/DZ336</f>
        <v>0.67872485494033818</v>
      </c>
      <c r="CZ336" s="4">
        <f>AJ336/EL336</f>
        <v>0.69192281388318311</v>
      </c>
      <c r="DA336" s="4">
        <f>AJ336/GI336</f>
        <v>0.86489129505352247</v>
      </c>
      <c r="DB336" s="4">
        <f>AN336</f>
        <v>0</v>
      </c>
      <c r="DC336" s="4">
        <f>CU336</f>
        <v>1.2257314455075607</v>
      </c>
      <c r="DD336" s="4">
        <f>CV336</f>
        <v>0.44632318044701325</v>
      </c>
      <c r="DE336" s="4">
        <f>CX336</f>
        <v>1.5114046550490408</v>
      </c>
      <c r="DF336" s="4">
        <f>DA336</f>
        <v>0.86489129505352247</v>
      </c>
      <c r="DG336" s="4">
        <f>CY336</f>
        <v>0.67872485494033818</v>
      </c>
      <c r="DH336" s="4">
        <f>CZ336</f>
        <v>0.69192281388318311</v>
      </c>
      <c r="DQ336" s="4">
        <f>L336</f>
        <v>249.17400000000001</v>
      </c>
      <c r="DT336" s="4">
        <f>K336/4/(1-0.3*(M336/30)^0.5)/200000/N336</f>
        <v>2.0153624422739997E-5</v>
      </c>
      <c r="DU336" s="4">
        <f>EP336</f>
        <v>9.1397910685166845</v>
      </c>
      <c r="DV336" s="4">
        <f>EC336*AG336/257/M336/AD336</f>
        <v>0.26272793307880238</v>
      </c>
      <c r="DW336" s="4">
        <f>DU336*DV336^0.4</f>
        <v>5.3547446764165203</v>
      </c>
      <c r="DX336" s="4">
        <f>MIN(DU336, DU336/1.4*(1-DV336^1.4)/(1-DV336))</f>
        <v>7.4918554633137289</v>
      </c>
      <c r="DY336" s="4">
        <f>MAX(DU336/2, (4-DT336*(8*AG336*(DW336-DX336)+6*K336*DX336))/(4+DT336*K336*DU336)*DU336)</f>
        <v>8.5890007851221988</v>
      </c>
      <c r="DZ336" s="38">
        <f>MIN(1/N336*(4*AG336*(DW336-DX336)+(3*DX336+DY336)*K336)+EC336 -FJ336,MAX(J336,AJ336))</f>
        <v>666.56435197620203</v>
      </c>
      <c r="EA336" s="4">
        <f>DZ336/FF336</f>
        <v>1.0000978243766807</v>
      </c>
      <c r="EB336" s="4">
        <f>AG336/N336</f>
        <v>3.1780497164141401</v>
      </c>
      <c r="EC336" s="4">
        <f>MIN(EB$10*BB336)</f>
        <v>388.98832530980735</v>
      </c>
      <c r="EG336" s="4">
        <f>IF(U336&gt;1*N336,0.85,1)</f>
        <v>0.85</v>
      </c>
      <c r="EH336" s="4">
        <f>MIN(1,MAX(0.7,(1-0.1*(BZ336-1*N336)/N336)))</f>
        <v>0.84000000000000008</v>
      </c>
      <c r="EI336" s="4">
        <f>MIN(1,MAX(0.7,1-0.3*(PI()*AM336^2/4*AQ336*2-0.25*PI()/4*N336^2)/(PI()/4*N336^2)))</f>
        <v>1</v>
      </c>
      <c r="EJ336" s="4">
        <f>IF(EH336*EI336&lt;0.7,0.7,EH336*EI336)</f>
        <v>0.84000000000000008</v>
      </c>
      <c r="EL336" s="4">
        <f>MIN(DU336/N336*3*K336+EM336-FJ336,MAX(J336,AJ336))</f>
        <v>653.85008851555085</v>
      </c>
      <c r="EM336" s="25">
        <f>13.3*Q336*K336^0.5*M336^0.5/X336/N336^2*(0.7+S336/5/K336)</f>
        <v>384.86603736910473</v>
      </c>
      <c r="EO336" s="4">
        <f>EG336*EJ336</f>
        <v>0.71400000000000008</v>
      </c>
      <c r="EP336" s="4">
        <f>IF(N336&lt;22.2,1.1*5*(M336/30)^0.5,IF(N336&gt;=31.8,0.9*5*(M336/30)^0.5,1*5*(M336/30)^0.5))/EG336/EJ336</f>
        <v>9.1397910685166845</v>
      </c>
      <c r="ES336" s="4">
        <f>ET336*N336</f>
        <v>80.72246279691916</v>
      </c>
      <c r="ET336" s="4">
        <f>AF336^0.5</f>
        <v>3.1780497164141406</v>
      </c>
      <c r="EU336" s="4">
        <f>MIN(EC336)/(4700*M336^0.5)/AE336*ES336</f>
        <v>0.10269909521195474</v>
      </c>
      <c r="EX336" s="4">
        <f>EU336</f>
        <v>0.10269909521195474</v>
      </c>
      <c r="EY336" s="4">
        <f>MIN(0.999, EX336/(0.3*(M336/30)^0.5))</f>
        <v>0.26228948912432426</v>
      </c>
      <c r="EZ336" s="4">
        <f>EP336/1*EY336^0.4</f>
        <v>5.3511684569551603</v>
      </c>
      <c r="FA336" s="4">
        <f>EP336/1.4*(1-EY336^1.4)/(1-EY336)</f>
        <v>7.4905842503572924</v>
      </c>
      <c r="FB336" s="4">
        <f>MAX(0,DQ336*FB$9-ES336)</f>
        <v>106.15803720308085</v>
      </c>
      <c r="FC336" s="4">
        <f>MAX(0,DQ336-ES336-FB336)</f>
        <v>62.293499999999995</v>
      </c>
      <c r="FD336" s="4">
        <f>FC336/(1-0.3*(M336/30)^0.5)/200000/N336</f>
        <v>2.015362442273999E-5</v>
      </c>
      <c r="FE336" s="4">
        <f>MAX(0.5*EP336, (1-2*FD336*(ES336*EZ336+FB336*FA336))/(1/EP336+FD336*FC336))</f>
        <v>8.5891550801549688</v>
      </c>
      <c r="FF336" s="4">
        <f>MIN(4/N336*(1*EZ336*ES336+FA336*FB336+FC336*FE336)+EC336,MAX(J336,AJ336))</f>
        <v>666.49915211208838</v>
      </c>
      <c r="FO336" s="23">
        <f>IF(CU336&lt;0.6,0.6,IF(CU336&lt;0.8,0.8,IF(CU336&lt;1,1,IF(CU336&lt;1.2,1.2,IF(CU336&lt;1.4,1.4,IF(CU336&lt;1.6,1.6,IF(CU336&lt;1.8,1.8,IF(CU336&lt;2,2,2.2))))))))</f>
        <v>1.4</v>
      </c>
      <c r="FP336" s="23">
        <f>IF(CV336&lt;0.6,0.6,IF(CV336&lt;0.8,0.8,IF(CV336&lt;1,1,IF(CV336&lt;1.2,1.2,IF(CV336&lt;1.4,1.4,IF(CV336&lt;1.6,1.6,IF(CV336&lt;1.8,1.8,IF(CV336&lt;2,2,2.2))))))))</f>
        <v>0.6</v>
      </c>
      <c r="FQ336" s="23">
        <f>IF(DA336&lt;0.6,0.6,IF(DA336&lt;0.8,0.8,IF(DA336&lt;1,1,IF(DA336&lt;1.2,1.2,IF(DA336&lt;1.4,1.4,IF(DA336&lt;1.6,1.6,IF(DA336&lt;1.8,1.8,IF(DA336&lt;2,2,2.2))))))))</f>
        <v>1</v>
      </c>
      <c r="FR336" s="23">
        <f>IF(CX336&lt;0.6,0.6,IF(CX336&lt;0.8,0.8,IF(CX336&lt;1,1,IF(CX336&lt;1.2,1.2,IF(CX336&lt;1.4,1.4,IF(CX336&lt;1.6,1.6,IF(CX336&lt;1.8,1.8,IF(CX336&lt;2,2,2.2))))))))</f>
        <v>1.6</v>
      </c>
      <c r="FS336" s="23">
        <f>IF(CY336&lt;0.6,0.6,IF(CY336&lt;0.8,0.8,IF(CY336&lt;1,1,IF(CY336&lt;1.2,1.2,IF(CY336&lt;1.4,1.4,IF(CY336&lt;1.6,1.6,IF(CY336&lt;1.8,1.8,IF(CY336&lt;2,2,2.2))))))))</f>
        <v>0.8</v>
      </c>
      <c r="FT336" s="23">
        <f>IF(CZ336&lt;0.6,0.6,IF(CZ336&lt;0.8,0.8,IF(CZ336&lt;1,1,IF(CZ336&lt;1.2,1.2,IF(CZ336&lt;1.4,1.4,IF(CZ336&lt;1.6,1.6,IF(CZ336&lt;1.8,1.8,IF(CZ336&lt;2,2,2.2))))))))</f>
        <v>0.8</v>
      </c>
      <c r="FU336" s="23">
        <f>IF(FS336&lt;1,1,0)</f>
        <v>1</v>
      </c>
      <c r="FV336" s="23"/>
      <c r="GF336" s="4">
        <f>IF(S336&gt;=2.5*25.4,1,1.25)</f>
        <v>1</v>
      </c>
      <c r="GG336" s="4">
        <f>IF(AO336&gt;1, 0.05*(18-MIN(8,(W336+N336)/N336))*(1-48000/MAX(60000,(J336*145))*(N336/25.4)^0.75*GH336), 1/12*(14-MIN(8,(W336+N336)/N336)))</f>
        <v>0.5</v>
      </c>
      <c r="GH336" s="4">
        <f>MIN(0.3, AM336^2*PI()/4*2*AP336/(N336^2*PI()/4*X336))</f>
        <v>0</v>
      </c>
      <c r="GI336" s="4">
        <f>(K336/25.4)/(N336/25.4)^1.5/0.0024*(M336*145)^0.25/GF336/GG336/145</f>
        <v>523.08746277236071</v>
      </c>
    </row>
    <row r="337" spans="1:191" ht="12" customHeight="1" x14ac:dyDescent="0.3">
      <c r="A337" s="25">
        <v>259</v>
      </c>
      <c r="B337" s="4" t="s">
        <v>605</v>
      </c>
      <c r="C337" s="4">
        <v>2016</v>
      </c>
      <c r="D337" s="4" t="s">
        <v>309</v>
      </c>
      <c r="E337" s="24" t="s">
        <v>664</v>
      </c>
      <c r="F337" s="24"/>
      <c r="G337" s="14">
        <v>18</v>
      </c>
      <c r="H337" s="7" t="s">
        <v>415</v>
      </c>
      <c r="I337" s="5">
        <f>K337/N337</f>
        <v>9.7899999999999991</v>
      </c>
      <c r="J337" s="38">
        <f>129/0.145</f>
        <v>889.65517241379314</v>
      </c>
      <c r="K337" s="96">
        <f>9.79*25.4</f>
        <v>248.66599999999997</v>
      </c>
      <c r="L337" s="4">
        <f>K337</f>
        <v>248.66599999999997</v>
      </c>
      <c r="M337" s="94">
        <f>8260/145</f>
        <v>56.96551724137931</v>
      </c>
      <c r="N337" s="96">
        <f>1*25.4</f>
        <v>25.4</v>
      </c>
      <c r="O337" s="7">
        <f>K337/N337</f>
        <v>9.7899999999999991</v>
      </c>
      <c r="P337" s="7">
        <f>L337/N337</f>
        <v>9.7899999999999991</v>
      </c>
      <c r="Q337" s="38">
        <f>15.3*25.4</f>
        <v>388.62</v>
      </c>
      <c r="R337" s="32">
        <f>S337/N337</f>
        <v>2.4</v>
      </c>
      <c r="S337" s="38">
        <f>2.4*25.4</f>
        <v>60.959999999999994</v>
      </c>
      <c r="T337" s="32">
        <f>U337/N337</f>
        <v>3.4000000000000004</v>
      </c>
      <c r="U337" s="39">
        <f>(3.6+3.4+3.2)/3*25.4</f>
        <v>86.36</v>
      </c>
      <c r="V337" s="32">
        <f>W337/N337</f>
        <v>3.7500000000000009</v>
      </c>
      <c r="W337" s="7">
        <f>(Q337-X337*N337-2*S337)/(X337-1)</f>
        <v>95.250000000000014</v>
      </c>
      <c r="X337" s="38">
        <v>3</v>
      </c>
      <c r="Y337" s="7">
        <f>AN337</f>
        <v>4</v>
      </c>
      <c r="Z337" s="32">
        <f>AA337/N337</f>
        <v>10.25</v>
      </c>
      <c r="AA337" s="4">
        <f>10.25*25.4</f>
        <v>260.34999999999997</v>
      </c>
      <c r="AB337" s="7">
        <f>MIN(S337/N337+0.5, W337/2/N337+0.5)</f>
        <v>2.3750000000000004</v>
      </c>
      <c r="AC337" s="7">
        <f>S337/N337+0.5</f>
        <v>2.9</v>
      </c>
      <c r="AD337" s="38">
        <v>4.0999999999999996</v>
      </c>
      <c r="AE337" s="4">
        <f>AD337</f>
        <v>4.0999999999999996</v>
      </c>
      <c r="AF337" s="4">
        <f>AE337+1</f>
        <v>5.0999999999999996</v>
      </c>
      <c r="AG337" s="7">
        <f>N337*AF337^0.5</f>
        <v>57.361276136431961</v>
      </c>
      <c r="AJ337" s="38">
        <f>AK337/0.145</f>
        <v>489.65517241379314</v>
      </c>
      <c r="AK337" s="4">
        <v>71</v>
      </c>
      <c r="AL337" s="4">
        <f>CY337</f>
        <v>0.94979047422646845</v>
      </c>
      <c r="AM337" s="38">
        <f>0.375*25.4</f>
        <v>9.5249999999999986</v>
      </c>
      <c r="AN337" s="38">
        <v>4</v>
      </c>
      <c r="AO337" s="39">
        <f>5*25.4</f>
        <v>127</v>
      </c>
      <c r="AP337" s="39">
        <v>2</v>
      </c>
      <c r="AQ337" s="39">
        <v>1</v>
      </c>
      <c r="AR337" s="7"/>
      <c r="AS337" s="4">
        <f>K337</f>
        <v>248.66599999999997</v>
      </c>
      <c r="AT337" s="4">
        <f>IF(K337*3&gt;W337+N337, Q337, (S337+N337/2)*2+1.5*K337*(2*X337-2))*(3*K337)/(9*K337^2)</f>
        <v>0.52093973442288066</v>
      </c>
      <c r="AU337" s="4">
        <f>MIN(10*M337^0.5*K337^1.5,100*3.9*M337^0.5*K337^(5/3))/(PI()/4*N337^2)/X337</f>
        <v>194.69377496943841</v>
      </c>
      <c r="AV337" s="4">
        <f>MIN(0.7+0.3*(MIN(S337,AA337)+0.5*N337)/1.5/K337,1)</f>
        <v>0.75924412665985697</v>
      </c>
      <c r="AW337" s="4">
        <v>1.25</v>
      </c>
      <c r="AX337" s="4">
        <f>AX336</f>
        <v>2.5</v>
      </c>
      <c r="AY337" s="38">
        <f>AT337*AV337*AW337*AX337*AU337</f>
        <v>240.64176973575979</v>
      </c>
      <c r="AZ337" s="38">
        <f>AY337</f>
        <v>240.64176973575979</v>
      </c>
      <c r="BA337" s="38">
        <f>IF(M337&lt;50, 0.3*M337^(2/3), 2.12*LN(1+0.1*(M337+8)))</f>
        <v>4.2706194667653463</v>
      </c>
      <c r="BB337" s="38">
        <f>AX337* (M337^0.5/AS337^0.5)/(PI()/4*N337^2)/X337/0.72 *(0.7+(MIN(S337,AA337)+0.5*N337)/5/K337) *(3*Q337*K337)</f>
        <v>240.64176973575968</v>
      </c>
      <c r="BC337" s="38">
        <f>AY337/BB337</f>
        <v>1.0000000000000004</v>
      </c>
      <c r="BD337" s="38">
        <f>BH337/BB337</f>
        <v>2.478126681673158</v>
      </c>
      <c r="BE337" s="4">
        <f>IF(BD337&lt;1,1,0)</f>
        <v>0</v>
      </c>
      <c r="BF337" s="4">
        <f>L337/N337*M337^0.5/0.19</f>
        <v>388.89746603292207</v>
      </c>
      <c r="BG337" s="4">
        <f>MIN(0.6+0.4*(AC337/AB337),2)</f>
        <v>1.088421052631579</v>
      </c>
      <c r="BH337" s="38">
        <f>2*M337*AB337*AD337^0.5*BG337*0.7/0.7</f>
        <v>596.34079030723433</v>
      </c>
      <c r="BI337" s="4">
        <f>MAX(1-0.7*AE337/5,0.3)</f>
        <v>0.42600000000000005</v>
      </c>
      <c r="BJ337" s="4">
        <f>BI337*J337*L337/(J337*N337/2.75/M337^0.5)</f>
        <v>86.562742476937942</v>
      </c>
      <c r="BK337" s="4">
        <f>BH337+BJ337</f>
        <v>682.90353278417228</v>
      </c>
      <c r="BM337" s="4">
        <f>MIN(1.5, 0.75+0.25*MIN(3,MAX(1,S337/N337))+0.4*MIN(1,(40*2*PI()*AM337^2/4/AO337/X337)/N337))</f>
        <v>1.5</v>
      </c>
      <c r="BN337" s="4">
        <f>(3*P337+30)*BM337*M337^0.5</f>
        <v>672.14710205686981</v>
      </c>
      <c r="BP337" s="4">
        <f>3.4/PI()^0.5*M337*AB337*AE337^0.5*BG337</f>
        <v>571.96374563116331</v>
      </c>
      <c r="BQ337" s="4">
        <f>8/3*AH337*AI337^2/(AG337-N337-22)/N337*(AG337^2-N337^2)/(AG337^2-(N337+22)^2)</f>
        <v>0</v>
      </c>
      <c r="BR337" s="4">
        <f>BQ337/BP337</f>
        <v>0</v>
      </c>
      <c r="BZ337" s="4">
        <f>IF(W337=0,S337,MIN(W337/2,S337))</f>
        <v>47.625000000000007</v>
      </c>
      <c r="CD337" s="9"/>
      <c r="CF337" s="9"/>
      <c r="CG337" s="9"/>
      <c r="CH337" s="9">
        <f>IF(W337=0,MIN(S337,U337),MIN(W337/2,S337,U337))</f>
        <v>47.625000000000007</v>
      </c>
      <c r="CI337" s="9">
        <f>MAX(W337/2,S337)</f>
        <v>60.959999999999994</v>
      </c>
      <c r="CJ337" s="9">
        <f>(CH337/N337)^0.5*(CI337/CH337)^0.15</f>
        <v>1.4209609120759505</v>
      </c>
      <c r="CK337" s="70">
        <f>IF(AO337&gt;1,20,0)</f>
        <v>20</v>
      </c>
      <c r="CL337" s="9">
        <f>MIN(PI()*AM337^2/4*AN337*2/X337/N337/MAX(0.01,AO337),0.05)</f>
        <v>0.05</v>
      </c>
      <c r="CM337" s="9">
        <f>MAX(0,CK337*(CL337-0.5/50))</f>
        <v>0.8</v>
      </c>
      <c r="CN337" s="9">
        <f>MIN(1,(25/N337)^0.3)</f>
        <v>0.99524931562137331</v>
      </c>
      <c r="CO337" s="9">
        <f>IF(J337&gt;=800,0.68,IF(J337&gt;=700,0.75-(J337-700)*0.07/100,IF(J337&gt;=600,0.85-(J337-600)*0.1/100,IF(J337&gt;=500,1-(J337-500)*0.15/100,1.2-(J337-400)*0.2/100))))</f>
        <v>0.68</v>
      </c>
      <c r="CP337" s="9">
        <f>1.75*CN337*CO337*(M337/25)^0.5</f>
        <v>1.7877832632633699</v>
      </c>
      <c r="CQ337" s="9">
        <f>MIN((CJ337+CM337)*CP337,2.5*CP337,M337^0.5)</f>
        <v>3.9705967469715331</v>
      </c>
      <c r="CR337" s="40">
        <v>1</v>
      </c>
      <c r="CS337" s="9">
        <f>4*CQ337*P337+60*CQ337</f>
        <v>393.72437342969721</v>
      </c>
      <c r="CU337" s="4">
        <f>AJ337/BF337</f>
        <v>1.2590855307150328</v>
      </c>
      <c r="CV337" s="4">
        <f>AJ337/BK337</f>
        <v>0.71701953337023638</v>
      </c>
      <c r="CW337" s="4">
        <f>AJ337/BN337</f>
        <v>0.72849406166503683</v>
      </c>
      <c r="CX337" s="4">
        <f>AJ337/CS337</f>
        <v>1.2436496327327959</v>
      </c>
      <c r="CY337" s="4">
        <f>AJ337/DZ337</f>
        <v>0.94979047422646845</v>
      </c>
      <c r="CZ337" s="4">
        <f>AJ337/EL337</f>
        <v>0.97651110382324768</v>
      </c>
      <c r="DA337" s="4">
        <f>AJ337/GI337</f>
        <v>1.4064662597202062</v>
      </c>
      <c r="DB337" s="4">
        <f>AN337</f>
        <v>4</v>
      </c>
      <c r="DI337" s="4">
        <f>CU337</f>
        <v>1.2590855307150328</v>
      </c>
      <c r="DJ337" s="4">
        <f>CV337</f>
        <v>0.71701953337023638</v>
      </c>
      <c r="DK337" s="4">
        <f>CX337</f>
        <v>1.2436496327327959</v>
      </c>
      <c r="DL337" s="4">
        <f>DA337</f>
        <v>1.4064662597202062</v>
      </c>
      <c r="DM337" s="4">
        <f>CY337</f>
        <v>0.94979047422646845</v>
      </c>
      <c r="DN337" s="4">
        <f>CZ337</f>
        <v>0.97651110382324768</v>
      </c>
      <c r="DQ337" s="4">
        <f>L337</f>
        <v>248.66599999999997</v>
      </c>
      <c r="DT337" s="4">
        <f>K337/4/(1-0.3*(M337/30)^0.5)/200000/N337</f>
        <v>2.0861616255680189E-5</v>
      </c>
      <c r="DU337" s="4">
        <f>EP337</f>
        <v>8.9671475677266113</v>
      </c>
      <c r="DV337" s="4">
        <f>EC337*AG337/257/M337/AD337</f>
        <v>0.22996449678269945</v>
      </c>
      <c r="DW337" s="4">
        <f>DU337*DV337^0.4</f>
        <v>4.9810239934527845</v>
      </c>
      <c r="DX337" s="4">
        <f>MIN(DU337, DU337/1.4*(1-DV337^1.4)/(1-DV337))</f>
        <v>7.2554065540111337</v>
      </c>
      <c r="DY337" s="4">
        <f>MAX(DU337/2, (4-DT337*(8*AG337*(DW337-DX337)+6*K337*DX337))/(4+DT337*K337*DU337)*DU337)</f>
        <v>8.4118750908213116</v>
      </c>
      <c r="DZ337" s="38">
        <f>MIN(1/N337*(4*AG337*(DW337-DX337)+(3*DX337+DY337)*K337)+EC337 -FJ337,MAX(J337,AJ337))</f>
        <v>515.54020144556591</v>
      </c>
      <c r="EA337" s="4">
        <f>DZ337/FF337</f>
        <v>1.000100654738947</v>
      </c>
      <c r="EB337" s="4">
        <f>AG337/N337</f>
        <v>2.2583179581272428</v>
      </c>
      <c r="EC337" s="4">
        <f>MIN(EB$10*BB337)</f>
        <v>240.64176973575968</v>
      </c>
      <c r="EG337" s="4">
        <f>IF(U337&gt;1*N337,0.85,1)</f>
        <v>0.85</v>
      </c>
      <c r="EH337" s="4">
        <f>MIN(1,MAX(0.7,(1-0.1*(BZ337-1*N337)/N337)))</f>
        <v>0.91249999999999998</v>
      </c>
      <c r="EI337" s="4">
        <f>MIN(1,MAX(0.7,1-0.3*(PI()*AM337^2/4*AQ337*2-0.25*PI()/4*N337^2)/(PI()/4*N337^2)))</f>
        <v>0.99062499999999998</v>
      </c>
      <c r="EJ337" s="4">
        <f>IF(EH337*EI337&lt;0.7,0.7,EH337*EI337)</f>
        <v>0.90394531249999999</v>
      </c>
      <c r="EL337" s="4">
        <f>MIN(DU337/N337*3*K337+EM337-FJ337,MAX(J337,AJ337))</f>
        <v>501.43328682765559</v>
      </c>
      <c r="EM337" s="25">
        <f>13.3*Q337*K337^0.5*M337^0.5/X337/N337^2*(0.7+S337/5/K337)</f>
        <v>238.06816276352504</v>
      </c>
      <c r="EO337" s="4">
        <f>EG337*EJ337</f>
        <v>0.76835351562499998</v>
      </c>
      <c r="EP337" s="4">
        <f>IF(N337&lt;22.2,1.1*5*(M337/30)^0.5,IF(N337&gt;=31.8,0.9*5*(M337/30)^0.5,1*5*(M337/30)^0.5))/EG337/EJ337</f>
        <v>8.9671475677266113</v>
      </c>
      <c r="ES337" s="4">
        <f>ET337*N337</f>
        <v>57.361276136431961</v>
      </c>
      <c r="ET337" s="4">
        <f>AF337^0.5</f>
        <v>2.2583179581272428</v>
      </c>
      <c r="EU337" s="4">
        <f>MIN(EC337)/(4700*M337^0.5)/AE337*ES337</f>
        <v>9.4907838002892445E-2</v>
      </c>
      <c r="EX337" s="4">
        <f>EU337</f>
        <v>9.4907838002892445E-2</v>
      </c>
      <c r="EY337" s="4">
        <f>MIN(0.999, EX337/(0.3*(M337/30)^0.5))</f>
        <v>0.22958072889712505</v>
      </c>
      <c r="EZ337" s="4">
        <f>EP337/1*EY337^0.4</f>
        <v>4.9776973670645397</v>
      </c>
      <c r="FA337" s="4">
        <f>EP337/1.4*(1-EY337^1.4)/(1-EY337)</f>
        <v>7.2542727905675264</v>
      </c>
      <c r="FB337" s="4">
        <f>MAX(0,DQ337*FB$9-ES337)</f>
        <v>129.13822386356802</v>
      </c>
      <c r="FC337" s="4">
        <f>MAX(0,DQ337-ES337-FB337)</f>
        <v>62.166499999999985</v>
      </c>
      <c r="FD337" s="4">
        <f>FC337/(1-0.3*(M337/30)^0.5)/200000/N337</f>
        <v>2.0861616255680189E-5</v>
      </c>
      <c r="FE337" s="4">
        <f>MAX(0.5*EP337, (1-2*FD337*(ES337*EZ337+FB337*FA337))/(1/EP337+FD337*FC337))</f>
        <v>8.4119998117224384</v>
      </c>
      <c r="FF337" s="4">
        <f>MIN(4/N337*(1*EZ337*ES337+FA337*FB337+FC337*FE337)+EC337,MAX(J337,AJ337))</f>
        <v>515.48831510377886</v>
      </c>
      <c r="FO337" s="23">
        <f>IF(CU337&lt;0.6,0.6,IF(CU337&lt;0.8,0.8,IF(CU337&lt;1,1,IF(CU337&lt;1.2,1.2,IF(CU337&lt;1.4,1.4,IF(CU337&lt;1.6,1.6,IF(CU337&lt;1.8,1.8,IF(CU337&lt;2,2,2.2))))))))</f>
        <v>1.4</v>
      </c>
      <c r="FP337" s="23">
        <f>IF(CV337&lt;0.6,0.6,IF(CV337&lt;0.8,0.8,IF(CV337&lt;1,1,IF(CV337&lt;1.2,1.2,IF(CV337&lt;1.4,1.4,IF(CV337&lt;1.6,1.6,IF(CV337&lt;1.8,1.8,IF(CV337&lt;2,2,2.2))))))))</f>
        <v>0.8</v>
      </c>
      <c r="FQ337" s="23">
        <f>IF(DA337&lt;0.6,0.6,IF(DA337&lt;0.8,0.8,IF(DA337&lt;1,1,IF(DA337&lt;1.2,1.2,IF(DA337&lt;1.4,1.4,IF(DA337&lt;1.6,1.6,IF(DA337&lt;1.8,1.8,IF(DA337&lt;2,2,2.2))))))))</f>
        <v>1.6</v>
      </c>
      <c r="FR337" s="23">
        <f>IF(CX337&lt;0.6,0.6,IF(CX337&lt;0.8,0.8,IF(CX337&lt;1,1,IF(CX337&lt;1.2,1.2,IF(CX337&lt;1.4,1.4,IF(CX337&lt;1.6,1.6,IF(CX337&lt;1.8,1.8,IF(CX337&lt;2,2,2.2))))))))</f>
        <v>1.4</v>
      </c>
      <c r="FS337" s="23">
        <f>IF(CY337&lt;0.6,0.6,IF(CY337&lt;0.8,0.8,IF(CY337&lt;1,1,IF(CY337&lt;1.2,1.2,IF(CY337&lt;1.4,1.4,IF(CY337&lt;1.6,1.6,IF(CY337&lt;1.8,1.8,IF(CY337&lt;2,2,2.2))))))))</f>
        <v>1</v>
      </c>
      <c r="FT337" s="23">
        <f>IF(CZ337&lt;0.6,0.6,IF(CZ337&lt;0.8,0.8,IF(CZ337&lt;1,1,IF(CZ337&lt;1.2,1.2,IF(CZ337&lt;1.4,1.4,IF(CZ337&lt;1.6,1.6,IF(CZ337&lt;1.8,1.8,IF(CZ337&lt;2,2,2.2))))))))</f>
        <v>1</v>
      </c>
      <c r="FU337" s="23">
        <f>IF(FS337&lt;1,1,0)</f>
        <v>0</v>
      </c>
      <c r="FV337" s="23"/>
      <c r="GF337" s="4">
        <f>IF(S337&gt;=2.5*25.4,1,1.25)</f>
        <v>1.25</v>
      </c>
      <c r="GG337" s="4">
        <f>IF(AO337&gt;1, 0.05*(18-MIN(8,(W337+N337)/N337))*(1-48000/MAX(60000,(J337*145))*(N337/25.4)^0.75*GH337), 1/12*(14-MIN(8,(W337+N337)/N337)))</f>
        <v>0.61627906976744196</v>
      </c>
      <c r="GH337" s="4">
        <f>MIN(0.3, AM337^2*PI()/4*2*AP337/(N337^2*PI()/4*X337))</f>
        <v>0.18749999999999997</v>
      </c>
      <c r="GI337" s="4">
        <f>(K337/25.4)/(N337/25.4)^1.5/0.0024*(M337*145)^0.25/GF337/GG337/145</f>
        <v>348.14569423883808</v>
      </c>
    </row>
    <row r="338" spans="1:191" ht="12" customHeight="1" x14ac:dyDescent="0.3">
      <c r="A338" s="25">
        <v>266</v>
      </c>
      <c r="B338" s="4" t="s">
        <v>605</v>
      </c>
      <c r="C338" s="4">
        <v>2016</v>
      </c>
      <c r="D338" s="4" t="s">
        <v>309</v>
      </c>
      <c r="E338" s="24" t="s">
        <v>665</v>
      </c>
      <c r="F338" s="24"/>
      <c r="G338" s="24">
        <v>17</v>
      </c>
      <c r="H338" s="7" t="s">
        <v>423</v>
      </c>
      <c r="I338" s="5">
        <f>K338/N338</f>
        <v>9.77</v>
      </c>
      <c r="J338" s="38">
        <f>129/0.145</f>
        <v>889.65517241379314</v>
      </c>
      <c r="K338" s="96">
        <f>9.77*25.4</f>
        <v>248.15799999999999</v>
      </c>
      <c r="L338" s="4">
        <f>K338</f>
        <v>248.15799999999999</v>
      </c>
      <c r="M338" s="96">
        <f>11440/145</f>
        <v>78.896551724137936</v>
      </c>
      <c r="N338" s="96">
        <f>1*25.4</f>
        <v>25.4</v>
      </c>
      <c r="O338" s="7">
        <f>K338/N338</f>
        <v>9.77</v>
      </c>
      <c r="P338" s="7">
        <f>L338/N338</f>
        <v>9.77</v>
      </c>
      <c r="Q338" s="38">
        <f>13.8*25.4</f>
        <v>350.52</v>
      </c>
      <c r="R338" s="32">
        <f>S338/N338</f>
        <v>2.4500000000000002</v>
      </c>
      <c r="S338" s="38">
        <f>2.45*25.4</f>
        <v>62.230000000000004</v>
      </c>
      <c r="T338" s="32">
        <f>U338/N338</f>
        <v>3.2000000000000006</v>
      </c>
      <c r="U338" s="39">
        <f>(3.2+3.1+3.3)/3*25.4</f>
        <v>81.280000000000015</v>
      </c>
      <c r="V338" s="32">
        <f>W338/N338</f>
        <v>2.9499999999999997</v>
      </c>
      <c r="W338" s="7">
        <f>(Q338-X338*N338-2*S338)/(X338-1)</f>
        <v>74.929999999999993</v>
      </c>
      <c r="X338" s="38">
        <v>3</v>
      </c>
      <c r="Y338" s="7">
        <f>AN338</f>
        <v>10</v>
      </c>
      <c r="Z338" s="32">
        <f>AA338/N338</f>
        <v>10.25</v>
      </c>
      <c r="AA338" s="4">
        <f>10.25*25.4</f>
        <v>260.34999999999997</v>
      </c>
      <c r="AB338" s="7">
        <f>MIN(S338/N338+0.5, W338/2/N338+0.5)</f>
        <v>1.9749999999999999</v>
      </c>
      <c r="AC338" s="7">
        <f>S338/N338+0.5</f>
        <v>2.95</v>
      </c>
      <c r="AD338" s="38">
        <v>4.0999999999999996</v>
      </c>
      <c r="AE338" s="4">
        <f>AD338</f>
        <v>4.0999999999999996</v>
      </c>
      <c r="AF338" s="4">
        <f>AE338+1</f>
        <v>5.0999999999999996</v>
      </c>
      <c r="AG338" s="7">
        <f>N338*AF338^0.5</f>
        <v>57.361276136431961</v>
      </c>
      <c r="AJ338" s="38">
        <f>AK338/0.145</f>
        <v>573.79310344827593</v>
      </c>
      <c r="AK338" s="4">
        <v>83.2</v>
      </c>
      <c r="AL338" s="4">
        <f>CY338</f>
        <v>0.98660780016235983</v>
      </c>
      <c r="AM338" s="38">
        <f>0.375*25.4</f>
        <v>9.5249999999999986</v>
      </c>
      <c r="AN338" s="38">
        <v>10</v>
      </c>
      <c r="AO338" s="39">
        <f>3*25.4</f>
        <v>76.199999999999989</v>
      </c>
      <c r="AP338" s="39">
        <v>3</v>
      </c>
      <c r="AQ338" s="39">
        <v>2</v>
      </c>
      <c r="AR338" s="7"/>
      <c r="AS338" s="4">
        <f>K338</f>
        <v>248.15799999999999</v>
      </c>
      <c r="AT338" s="4">
        <f>IF(K338*3&gt;W338+N338, Q338, (S338+N338/2)*2+1.5*K338*(2*X338-2))*(3*K338)/(9*K338^2)</f>
        <v>0.47082906857727741</v>
      </c>
      <c r="AU338" s="4">
        <f>MIN(10*M338^0.5*K338^1.5,100*3.9*M338^0.5*K338^(5/3))/(PI()/4*N338^2)/X338</f>
        <v>228.42459432627268</v>
      </c>
      <c r="AV338" s="4">
        <f>MIN(0.7+0.3*(MIN(S338,AA338)+0.5*N338)/1.5/K338,1)</f>
        <v>0.76038894575230298</v>
      </c>
      <c r="AW338" s="4">
        <v>1.25</v>
      </c>
      <c r="AX338" s="4">
        <f>AX337</f>
        <v>2.5</v>
      </c>
      <c r="AY338" s="38">
        <f>AT338*AV338*AW338*AX338*AU338</f>
        <v>255.55945104042959</v>
      </c>
      <c r="AZ338" s="38">
        <f>AY338</f>
        <v>255.55945104042959</v>
      </c>
      <c r="BA338" s="38">
        <f>IF(M338&lt;50, 0.3*M338^(2/3), 2.12*LN(1+0.1*(M338+8)))</f>
        <v>4.8146447394162166</v>
      </c>
      <c r="BB338" s="38">
        <f>AX338* (M338^0.5/AS338^0.5)/(PI()/4*N338^2)/X338/0.72 *(0.7+(MIN(S338,AA338)+0.5*N338)/5/K338) *(3*Q338*K338)</f>
        <v>255.55945104042956</v>
      </c>
      <c r="BC338" s="38">
        <f>AY338/BB338</f>
        <v>1.0000000000000002</v>
      </c>
      <c r="BD338" s="38">
        <f>BH338/BB338</f>
        <v>2.9567809042797739</v>
      </c>
      <c r="BE338" s="4">
        <f>IF(BD338&lt;1,1,0)</f>
        <v>0</v>
      </c>
      <c r="BF338" s="4">
        <f>L338/N338*M338^0.5/0.19</f>
        <v>456.74097419526049</v>
      </c>
      <c r="BG338" s="4">
        <f>MIN(0.6+0.4*(AC338/AB338),2)</f>
        <v>1.1974683544303799</v>
      </c>
      <c r="BH338" s="38">
        <f>2*M338*AB338*AD338^0.5*BG338*0.7/0.7</f>
        <v>755.63330474456393</v>
      </c>
      <c r="BI338" s="4">
        <f>MAX(1-0.7*AE338/5,0.3)</f>
        <v>0.42600000000000005</v>
      </c>
      <c r="BJ338" s="4">
        <f>BI338*J338*L338/(J338*N338/2.75/M338^0.5)</f>
        <v>101.66368974125207</v>
      </c>
      <c r="BK338" s="4">
        <f>BH338+BJ338</f>
        <v>857.29699448581596</v>
      </c>
      <c r="BM338" s="4">
        <f>MIN(1.5, 0.75+0.25*MIN(3,MAX(1,S338/N338))+0.4*MIN(1,(40*2*PI()*AM338^2/4/AO338/X338)/N338))</f>
        <v>1.5</v>
      </c>
      <c r="BN338" s="4">
        <f>(3*P338+30)*BM338*M338^0.5</f>
        <v>790.22032202287176</v>
      </c>
      <c r="BP338" s="4">
        <f>3.4/PI()^0.5*M338*AB338*AE338^0.5*BG338</f>
        <v>724.74474718170586</v>
      </c>
      <c r="BQ338" s="4">
        <f>8/3*AH338*AI338^2/(AG338-N338-22)/N338*(AG338^2-N338^2)/(AG338^2-(N338+22)^2)</f>
        <v>0</v>
      </c>
      <c r="BR338" s="4">
        <f>BQ338/BP338</f>
        <v>0</v>
      </c>
      <c r="BZ338" s="4">
        <f>IF(W338=0,S338,MIN(W338/2,S338))</f>
        <v>37.464999999999996</v>
      </c>
      <c r="CD338" s="9"/>
      <c r="CF338" s="9"/>
      <c r="CG338" s="9"/>
      <c r="CH338" s="9">
        <f>IF(W338=0,MIN(S338,U338),MIN(W338/2,S338,U338))</f>
        <v>37.464999999999996</v>
      </c>
      <c r="CI338" s="9">
        <f>MAX(W338/2,S338)</f>
        <v>62.230000000000004</v>
      </c>
      <c r="CJ338" s="9">
        <f>(CH338/N338)^0.5*(CI338/CH338)^0.15</f>
        <v>1.3105455489610944</v>
      </c>
      <c r="CK338" s="70">
        <f>IF(AO338&gt;1,20,0)</f>
        <v>20</v>
      </c>
      <c r="CL338" s="9">
        <f>MIN(PI()*AM338^2/4*AN338*2/X338/N338/MAX(0.01,AO338),0.05)</f>
        <v>0.05</v>
      </c>
      <c r="CM338" s="9">
        <f>MAX(0,CK338*(CL338-0.5/50))</f>
        <v>0.8</v>
      </c>
      <c r="CN338" s="9">
        <f>MIN(1,(25/N338)^0.3)</f>
        <v>0.99524931562137331</v>
      </c>
      <c r="CO338" s="9">
        <f>IF(J338&gt;=800,0.68,IF(J338&gt;=700,0.75-(J338-700)*0.07/100,IF(J338&gt;=600,0.85-(J338-600)*0.1/100,IF(J338&gt;=500,1-(J338-500)*0.15/100,1.2-(J338-400)*0.2/100))))</f>
        <v>0.68</v>
      </c>
      <c r="CP338" s="9">
        <f>1.75*CN338*CO338*(M338/25)^0.5</f>
        <v>2.1039618260511515</v>
      </c>
      <c r="CQ338" s="9">
        <f>MIN((CJ338+CM338)*CP338,2.5*CP338,M338^0.5)</f>
        <v>4.4405072671563142</v>
      </c>
      <c r="CR338" s="40">
        <v>1</v>
      </c>
      <c r="CS338" s="9">
        <f>4*CQ338*P338+60*CQ338</f>
        <v>439.96546002984758</v>
      </c>
      <c r="CU338" s="4">
        <f>AJ338/BF338</f>
        <v>1.2562768305586147</v>
      </c>
      <c r="CV338" s="4">
        <f>AJ338/BK338</f>
        <v>0.669304928325827</v>
      </c>
      <c r="CW338" s="4">
        <f>AJ338/BN338</f>
        <v>0.72611787808674999</v>
      </c>
      <c r="CX338" s="4">
        <f>AJ338/CS338</f>
        <v>1.3041776129638663</v>
      </c>
      <c r="CY338" s="4">
        <f>AJ338/DZ338</f>
        <v>0.98660780016235983</v>
      </c>
      <c r="CZ338" s="4">
        <f>AJ338/EL338</f>
        <v>0.99490267950518141</v>
      </c>
      <c r="DA338" s="4">
        <f>AJ338/GI338</f>
        <v>1.5537534775920558</v>
      </c>
      <c r="DB338" s="4">
        <f>AN338</f>
        <v>10</v>
      </c>
      <c r="DI338" s="4">
        <f>CU338</f>
        <v>1.2562768305586147</v>
      </c>
      <c r="DJ338" s="4">
        <f>CV338</f>
        <v>0.669304928325827</v>
      </c>
      <c r="DK338" s="4">
        <f>CX338</f>
        <v>1.3041776129638663</v>
      </c>
      <c r="DL338" s="4">
        <f>DA338</f>
        <v>1.5537534775920558</v>
      </c>
      <c r="DM338" s="4">
        <f>CY338</f>
        <v>0.98660780016235983</v>
      </c>
      <c r="DN338" s="4">
        <f>CZ338</f>
        <v>0.99490267950518141</v>
      </c>
      <c r="DQ338" s="4">
        <f>L338</f>
        <v>248.15799999999999</v>
      </c>
      <c r="DT338" s="4">
        <f>K338/4/(1-0.3*(M338/30)^0.5)/200000/N338</f>
        <v>2.3783215198742983E-5</v>
      </c>
      <c r="DU338" s="4">
        <f>EP338</f>
        <v>11.051124164708563</v>
      </c>
      <c r="DV338" s="4">
        <f>EC338*AG338/257/M338/AD338</f>
        <v>0.17633387401261452</v>
      </c>
      <c r="DW338" s="4">
        <f>DU338*DV338^0.4</f>
        <v>5.5200213571306262</v>
      </c>
      <c r="DX338" s="4">
        <f>MIN(DU338, DU338/1.4*(1-DV338^1.4)/(1-DV338))</f>
        <v>8.739461203836381</v>
      </c>
      <c r="DY338" s="4">
        <f>MAX(DU338/2, (4-DT338*(8*AG338*(DW338-DX338)+6*K338*DX338))/(4+DT338*K338*DU338)*DU338)</f>
        <v>10.128022414968948</v>
      </c>
      <c r="DZ338" s="38">
        <f>MIN(1/N338*(4*AG338*(DW338-DX338)+(3*DX338+DY338)*K338)+EC338 -FJ338,MAX(J338,AJ338))</f>
        <v>581.58176263541645</v>
      </c>
      <c r="EA338" s="4">
        <f>DZ338/FF338</f>
        <v>1.0000942556269328</v>
      </c>
      <c r="EB338" s="4">
        <f>AG338/N338</f>
        <v>2.2583179581272428</v>
      </c>
      <c r="EC338" s="4">
        <f>MIN(EB$10*BB338)</f>
        <v>255.55945104042956</v>
      </c>
      <c r="EG338" s="4">
        <f>IF(U338&gt;1*N338,0.85,1)</f>
        <v>0.85</v>
      </c>
      <c r="EH338" s="4">
        <f>MIN(1,MAX(0.7,(1-0.1*(BZ338-1*N338)/N338)))</f>
        <v>0.95250000000000001</v>
      </c>
      <c r="EI338" s="4">
        <f>MIN(1,MAX(0.7,1-0.3*(PI()*AM338^2/4*AQ338*2-0.25*PI()/4*N338^2)/(PI()/4*N338^2)))</f>
        <v>0.90625</v>
      </c>
      <c r="EJ338" s="4">
        <f>IF(EH338*EI338&lt;0.7,0.7,EH338*EI338)</f>
        <v>0.86320312499999996</v>
      </c>
      <c r="EL338" s="4">
        <f>MIN(DU338/N338*3*K338+EM338-FJ338,MAX(J338,AJ338))</f>
        <v>576.73289585837085</v>
      </c>
      <c r="EM338" s="25">
        <f>13.3*Q338*K338^0.5*M338^0.5/X338/N338^2*(0.7+S338/5/K338)</f>
        <v>252.82444659076288</v>
      </c>
      <c r="EO338" s="4">
        <f>EG338*EJ338</f>
        <v>0.73372265624999999</v>
      </c>
      <c r="EP338" s="4">
        <f>IF(N338&lt;22.2,1.1*5*(M338/30)^0.5,IF(N338&gt;=31.8,0.9*5*(M338/30)^0.5,1*5*(M338/30)^0.5))/EG338/EJ338</f>
        <v>11.051124164708563</v>
      </c>
      <c r="ES338" s="4">
        <f>ET338*N338</f>
        <v>57.361276136431961</v>
      </c>
      <c r="ET338" s="4">
        <f>AF338^0.5</f>
        <v>2.2583179581272428</v>
      </c>
      <c r="EU338" s="4">
        <f>MIN(EC338)/(4700*M338^0.5)/AE338*ES338</f>
        <v>8.5644607911520801E-2</v>
      </c>
      <c r="EX338" s="4">
        <f>EU338</f>
        <v>8.5644607911520801E-2</v>
      </c>
      <c r="EY338" s="4">
        <f>MIN(0.999, EX338/(0.3*(M338/30)^0.5))</f>
        <v>0.17603960564105409</v>
      </c>
      <c r="EZ338" s="4">
        <f>EP338/1*EY338^0.4</f>
        <v>5.5163347559951079</v>
      </c>
      <c r="FA338" s="4">
        <f>EP338/1.4*(1-EY338^1.4)/(1-EY338)</f>
        <v>8.7383107581814947</v>
      </c>
      <c r="FB338" s="4">
        <f>MAX(0,DQ338*FB$9-ES338)</f>
        <v>128.75722386356802</v>
      </c>
      <c r="FC338" s="4">
        <f>MAX(0,DQ338-ES338-FB338)</f>
        <v>62.039500000000004</v>
      </c>
      <c r="FD338" s="4">
        <f>FC338/(1-0.3*(M338/30)^0.5)/200000/N338</f>
        <v>2.3783215198742983E-5</v>
      </c>
      <c r="FE338" s="4">
        <f>MAX(0.5*EP338, (1-2*FD338*(ES338*EZ338+FB338*FA338))/(1/EP338+FD338*FC338))</f>
        <v>10.12820840849178</v>
      </c>
      <c r="FF338" s="4">
        <f>MIN(4/N338*(1*EZ338*ES338+FA338*FB338+FC338*FE338)+EC338,MAX(J338,AJ338))</f>
        <v>581.52695044812367</v>
      </c>
      <c r="FO338" s="23">
        <f>IF(CU338&lt;0.6,0.6,IF(CU338&lt;0.8,0.8,IF(CU338&lt;1,1,IF(CU338&lt;1.2,1.2,IF(CU338&lt;1.4,1.4,IF(CU338&lt;1.6,1.6,IF(CU338&lt;1.8,1.8,IF(CU338&lt;2,2,2.2))))))))</f>
        <v>1.4</v>
      </c>
      <c r="FP338" s="23">
        <f>IF(CV338&lt;0.6,0.6,IF(CV338&lt;0.8,0.8,IF(CV338&lt;1,1,IF(CV338&lt;1.2,1.2,IF(CV338&lt;1.4,1.4,IF(CV338&lt;1.6,1.6,IF(CV338&lt;1.8,1.8,IF(CV338&lt;2,2,2.2))))))))</f>
        <v>0.8</v>
      </c>
      <c r="FQ338" s="23">
        <f>IF(DA338&lt;0.6,0.6,IF(DA338&lt;0.8,0.8,IF(DA338&lt;1,1,IF(DA338&lt;1.2,1.2,IF(DA338&lt;1.4,1.4,IF(DA338&lt;1.6,1.6,IF(DA338&lt;1.8,1.8,IF(DA338&lt;2,2,2.2))))))))</f>
        <v>1.6</v>
      </c>
      <c r="FR338" s="23">
        <f>IF(CX338&lt;0.6,0.6,IF(CX338&lt;0.8,0.8,IF(CX338&lt;1,1,IF(CX338&lt;1.2,1.2,IF(CX338&lt;1.4,1.4,IF(CX338&lt;1.6,1.6,IF(CX338&lt;1.8,1.8,IF(CX338&lt;2,2,2.2))))))))</f>
        <v>1.4</v>
      </c>
      <c r="FS338" s="23">
        <f>IF(CY338&lt;0.6,0.6,IF(CY338&lt;0.8,0.8,IF(CY338&lt;1,1,IF(CY338&lt;1.2,1.2,IF(CY338&lt;1.4,1.4,IF(CY338&lt;1.6,1.6,IF(CY338&lt;1.8,1.8,IF(CY338&lt;2,2,2.2))))))))</f>
        <v>1</v>
      </c>
      <c r="FT338" s="23">
        <f>IF(CZ338&lt;0.6,0.6,IF(CZ338&lt;0.8,0.8,IF(CZ338&lt;1,1,IF(CZ338&lt;1.2,1.2,IF(CZ338&lt;1.4,1.4,IF(CZ338&lt;1.6,1.6,IF(CZ338&lt;1.8,1.8,IF(CZ338&lt;2,2,2.2))))))))</f>
        <v>1</v>
      </c>
      <c r="FU338" s="23">
        <f>IF(FS338&lt;1,1,0)</f>
        <v>0</v>
      </c>
      <c r="FV338" s="23"/>
      <c r="GF338" s="4">
        <f>IF(S338&gt;=2.5*25.4,1,1.25)</f>
        <v>1.25</v>
      </c>
      <c r="GG338" s="4">
        <f>IF(AO338&gt;1, 0.05*(18-MIN(8,(W338+N338)/N338))*(1-48000/MAX(60000,(J338*145))*(N338/25.4)^0.75*GH338), 1/12*(14-MIN(8,(W338+N338)/N338)))</f>
        <v>0.62898255813953508</v>
      </c>
      <c r="GH338" s="4">
        <f>MIN(0.3, AM338^2*PI()/4*2*AP338/(N338^2*PI()/4*X338))</f>
        <v>0.28124999999999994</v>
      </c>
      <c r="GI338" s="4">
        <f>(K338/25.4)/(N338/25.4)^1.5/0.0024*(M338*145)^0.25/GF338/GG338/145</f>
        <v>369.29481524798723</v>
      </c>
    </row>
    <row r="339" spans="1:191" ht="12" customHeight="1" x14ac:dyDescent="0.3">
      <c r="A339" s="25">
        <v>393</v>
      </c>
      <c r="B339" s="4" t="s">
        <v>605</v>
      </c>
      <c r="C339" s="4">
        <v>2016</v>
      </c>
      <c r="D339" s="4" t="s">
        <v>309</v>
      </c>
      <c r="E339" s="14" t="s">
        <v>676</v>
      </c>
      <c r="F339" s="14"/>
      <c r="G339" s="14">
        <v>23</v>
      </c>
      <c r="H339" s="7" t="s">
        <v>561</v>
      </c>
      <c r="I339" s="5">
        <f>K339/N339</f>
        <v>9.75</v>
      </c>
      <c r="J339" s="38">
        <f>129/0.145</f>
        <v>889.65517241379314</v>
      </c>
      <c r="K339" s="96">
        <f>9.75*25.4</f>
        <v>247.64999999999998</v>
      </c>
      <c r="L339" s="4">
        <f>K339</f>
        <v>247.64999999999998</v>
      </c>
      <c r="M339" s="38">
        <f>4880/145</f>
        <v>33.655172413793103</v>
      </c>
      <c r="N339" s="96">
        <f>1*25.4</f>
        <v>25.4</v>
      </c>
      <c r="O339" s="7">
        <f>K339/N339</f>
        <v>9.75</v>
      </c>
      <c r="P339" s="7">
        <f>L339/N339</f>
        <v>9.75</v>
      </c>
      <c r="Q339" s="38">
        <f>17.5*25.4</f>
        <v>444.5</v>
      </c>
      <c r="R339" s="32">
        <f>S339/N339</f>
        <v>2.5999999999999996</v>
      </c>
      <c r="S339" s="38">
        <f>2.6*25.4</f>
        <v>66.039999999999992</v>
      </c>
      <c r="T339" s="32">
        <f>U339/N339</f>
        <v>3.5</v>
      </c>
      <c r="U339" s="39">
        <f>3.5*25.4</f>
        <v>88.899999999999991</v>
      </c>
      <c r="V339" s="32">
        <f>W339/N339</f>
        <v>10.3</v>
      </c>
      <c r="W339" s="7">
        <f>(Q339-X339*N339-2*S339)/(X339-1)</f>
        <v>261.62</v>
      </c>
      <c r="X339" s="38">
        <v>2</v>
      </c>
      <c r="Y339" s="7">
        <f>AN339</f>
        <v>0</v>
      </c>
      <c r="Z339" s="32">
        <f>AA339/N339</f>
        <v>20</v>
      </c>
      <c r="AA339" s="4">
        <f>20*25.4</f>
        <v>508</v>
      </c>
      <c r="AB339" s="7">
        <f>MIN(S339/N339+0.5, W339/2/N339+0.5)</f>
        <v>3.0999999999999996</v>
      </c>
      <c r="AC339" s="7">
        <f>S339/N339+0.5</f>
        <v>3.0999999999999996</v>
      </c>
      <c r="AD339" s="38">
        <v>9.1</v>
      </c>
      <c r="AE339" s="4">
        <f>AD339</f>
        <v>9.1</v>
      </c>
      <c r="AF339" s="4">
        <f>AE339+1</f>
        <v>10.1</v>
      </c>
      <c r="AG339" s="7">
        <f>N339*AF339^0.5</f>
        <v>80.72246279691916</v>
      </c>
      <c r="AJ339" s="38">
        <f>AK339/0.145</f>
        <v>387.58620689655174</v>
      </c>
      <c r="AK339" s="4">
        <v>56.2</v>
      </c>
      <c r="AL339" s="4">
        <f>CY339</f>
        <v>0.70367808719437008</v>
      </c>
      <c r="AM339" s="38">
        <v>0</v>
      </c>
      <c r="AN339" s="38">
        <v>0</v>
      </c>
      <c r="AO339" s="39">
        <f>L339</f>
        <v>247.64999999999998</v>
      </c>
      <c r="AP339" s="39"/>
      <c r="AQ339" s="39"/>
      <c r="AR339" s="7"/>
      <c r="AS339" s="4">
        <f>K339</f>
        <v>247.64999999999998</v>
      </c>
      <c r="AT339" s="4">
        <f>IF(K339*3&gt;W339+N339, Q339, (S339+N339/2)*2+1.5*K339*(2*X339-2))*(3*K339)/(9*K339^2)</f>
        <v>0.59829059829059839</v>
      </c>
      <c r="AU339" s="4">
        <f>MIN(10*M339^0.5*K339^1.5,100*3.9*M339^0.5*K339^(5/3))/(PI()/4*N339^2)/X339</f>
        <v>223.09821631857008</v>
      </c>
      <c r="AV339" s="4">
        <f>MIN(0.7+0.3*(MIN(S339,AA339)+0.5*N339)/1.5/K339,1)</f>
        <v>0.76358974358974352</v>
      </c>
      <c r="AW339" s="4">
        <v>1.25</v>
      </c>
      <c r="AX339" s="4">
        <f>AX338</f>
        <v>2.5</v>
      </c>
      <c r="AY339" s="38">
        <f>AT339*AV339*AW339*AX339*AU339</f>
        <v>318.50656211489917</v>
      </c>
      <c r="AZ339" s="38">
        <f>AY339</f>
        <v>318.50656211489917</v>
      </c>
      <c r="BA339" s="38">
        <f>IF(M339&lt;50, 0.3*M339^(2/3), 2.12*LN(1+0.1*(M339+8)))</f>
        <v>3.1272010355053257</v>
      </c>
      <c r="BB339" s="38">
        <f>AX339* (M339^0.5/AS339^0.5)/(PI()/4*N339^2)/X339/0.72 *(0.7+(MIN(S339,AA339)+0.5*N339)/5/K339) *(3*Q339*K339)</f>
        <v>318.5065621148994</v>
      </c>
      <c r="BC339" s="38">
        <f>AY339/BB339</f>
        <v>0.99999999999999933</v>
      </c>
      <c r="BD339" s="38">
        <f>BH339/BB339</f>
        <v>1.9762679201452078</v>
      </c>
      <c r="BE339" s="4">
        <f>IF(BD339&lt;1,1,0)</f>
        <v>0</v>
      </c>
      <c r="BF339" s="4">
        <f>L339/N339*M339^0.5/0.19</f>
        <v>297.69869072512182</v>
      </c>
      <c r="BG339" s="4">
        <f>MIN(0.6+0.4*(AC339/AB339),2)</f>
        <v>1</v>
      </c>
      <c r="BH339" s="38">
        <f>2*M339*AB339*AD339^0.5*BG339*0.7/0.7</f>
        <v>629.45430106341269</v>
      </c>
      <c r="BI339" s="4">
        <f>MAX(1-0.7*AE339/5,0.3)</f>
        <v>0.3</v>
      </c>
      <c r="BJ339" s="4">
        <f>BI339*J339*L339/(J339*N339/2.75/M339^0.5)</f>
        <v>46.664269771162843</v>
      </c>
      <c r="BK339" s="4">
        <f>BH339+BJ339</f>
        <v>676.11857083457551</v>
      </c>
      <c r="BM339" s="4">
        <f>MIN(1.5, 0.75+0.25*MIN(3,MAX(1,S339/N339))+0.4*MIN(1,(40*2*PI()*AM339^2/4/AO339/X339)/N339))</f>
        <v>1.4</v>
      </c>
      <c r="BN339" s="4">
        <f>(3*P339+30)*BM339*M339^0.5</f>
        <v>481.21848360751608</v>
      </c>
      <c r="BP339" s="4">
        <f>3.4/PI()^0.5*M339*AB339*AE339^0.5*BG339</f>
        <v>603.72365196482838</v>
      </c>
      <c r="BQ339" s="4">
        <f>8/3*AH339*AI339^2/(AG339-N339-22)/N339*(AG339^2-N339^2)/(AG339^2-(N339+22)^2)</f>
        <v>0</v>
      </c>
      <c r="BR339" s="4">
        <f>BQ339/BP339</f>
        <v>0</v>
      </c>
      <c r="BZ339" s="4">
        <f>IF(W339=0,S339,MIN(W339/2,S339))</f>
        <v>66.039999999999992</v>
      </c>
      <c r="CD339" s="9"/>
      <c r="CF339" s="9"/>
      <c r="CG339" s="9"/>
      <c r="CH339" s="9">
        <f>IF(W339=0,MIN(S339,U339),MIN(W339/2,S339,U339))</f>
        <v>66.039999999999992</v>
      </c>
      <c r="CI339" s="9">
        <f>MAX(W339/2,S339)</f>
        <v>130.81</v>
      </c>
      <c r="CJ339" s="9">
        <f>(CH339/N339)^0.5*(CI339/CH339)^0.15</f>
        <v>1.7865359348792491</v>
      </c>
      <c r="CK339" s="70">
        <f>IF(AO339&gt;1,20,0)</f>
        <v>20</v>
      </c>
      <c r="CL339" s="9">
        <f>MIN(PI()*AM339^2/4*AN339*2/X339/N339/MAX(0.01,AO339),0.05)</f>
        <v>0</v>
      </c>
      <c r="CM339" s="9">
        <f>MAX(0,CK339*(CL339-0.5/50))</f>
        <v>0</v>
      </c>
      <c r="CN339" s="9">
        <f>MIN(1,(25/N339)^0.3)</f>
        <v>0.99524931562137331</v>
      </c>
      <c r="CO339" s="9">
        <f>IF(J339&gt;=800,0.68,IF(J339&gt;=700,0.75-(J339-700)*0.07/100,IF(J339&gt;=600,0.85-(J339-600)*0.1/100,IF(J339&gt;=500,1-(J339-500)*0.15/100,1.2-(J339-400)*0.2/100))))</f>
        <v>0.68</v>
      </c>
      <c r="CP339" s="9">
        <f>1.75*CN339*CO339*(M339/25)^0.5</f>
        <v>1.3741519375646418</v>
      </c>
      <c r="CQ339" s="9">
        <f>MIN((CJ339+CM339)*CP339,2.5*CP339,M339^0.5)</f>
        <v>2.4549718164431789</v>
      </c>
      <c r="CR339" s="40">
        <v>1</v>
      </c>
      <c r="CS339" s="9">
        <f>4*CQ339*P339+60*CQ339</f>
        <v>243.04220982787473</v>
      </c>
      <c r="CU339" s="4">
        <f>AJ339/BF339</f>
        <v>1.3019412546037261</v>
      </c>
      <c r="CV339" s="4">
        <f>AJ339/BK339</f>
        <v>0.57325182832669397</v>
      </c>
      <c r="CW339" s="4">
        <f>AJ339/BN339</f>
        <v>0.80542668268051976</v>
      </c>
      <c r="CX339" s="4">
        <f>AJ339/CS339</f>
        <v>1.5947279576294371</v>
      </c>
      <c r="CY339" s="4">
        <f>AJ339/DZ339</f>
        <v>0.70367808719437008</v>
      </c>
      <c r="CZ339" s="4">
        <f>AJ339/EL339</f>
        <v>0.72846501506533778</v>
      </c>
      <c r="DA339" s="4">
        <f>AJ339/GI339</f>
        <v>0.8275761961520568</v>
      </c>
      <c r="DB339" s="4">
        <f>AN339</f>
        <v>0</v>
      </c>
      <c r="DC339" s="4">
        <f>CU339</f>
        <v>1.3019412546037261</v>
      </c>
      <c r="DD339" s="4">
        <f>CV339</f>
        <v>0.57325182832669397</v>
      </c>
      <c r="DE339" s="4">
        <f>CX339</f>
        <v>1.5947279576294371</v>
      </c>
      <c r="DF339" s="4">
        <f>DA339</f>
        <v>0.8275761961520568</v>
      </c>
      <c r="DG339" s="4">
        <f>CY339</f>
        <v>0.70367808719437008</v>
      </c>
      <c r="DH339" s="4">
        <f>CZ339</f>
        <v>0.72846501506533778</v>
      </c>
      <c r="DQ339" s="4">
        <f>L339</f>
        <v>247.64999999999998</v>
      </c>
      <c r="DT339" s="4">
        <f>K339/4/(1-0.3*(M339/30)^0.5)/200000/N339</f>
        <v>1.7863705067970267E-5</v>
      </c>
      <c r="DU339" s="4">
        <f>EP339</f>
        <v>7.4171502232472895</v>
      </c>
      <c r="DV339" s="4">
        <f>EC339*AG339/257/M339/AD339</f>
        <v>0.32665285061685839</v>
      </c>
      <c r="DW339" s="4">
        <f>DU339*DV339^0.4</f>
        <v>4.7410185666214346</v>
      </c>
      <c r="DX339" s="4">
        <f>MIN(DU339, DU339/1.4*(1-DV339^1.4)/(1-DV339))</f>
        <v>6.2252785516665377</v>
      </c>
      <c r="DY339" s="4">
        <f>MAX(DU339/2, (4-DT339*(8*AG339*(DW339-DX339)+6*K339*DX339))/(4+DT339*K339*DU339)*DU339)</f>
        <v>7.084379290649192</v>
      </c>
      <c r="DZ339" s="38">
        <f>MIN(1/N339*(4*AG339*(DW339-DX339)+(3*DX339+DY339)*K339)+EC339 -FJ339,MAX(J339,AJ339))</f>
        <v>550.80044973674535</v>
      </c>
      <c r="EA339" s="4">
        <f>DZ339/FF339</f>
        <v>1.0001074003237229</v>
      </c>
      <c r="EB339" s="4">
        <f>AG339/N339</f>
        <v>3.1780497164141401</v>
      </c>
      <c r="EC339" s="4">
        <f>MIN(EB$10*BB339)</f>
        <v>318.5065621148994</v>
      </c>
      <c r="EG339" s="4">
        <f>IF(U339&gt;1*N339,0.85,1)</f>
        <v>0.85</v>
      </c>
      <c r="EH339" s="4">
        <f>MIN(1,MAX(0.7,(1-0.1*(BZ339-1*N339)/N339)))</f>
        <v>0.84000000000000008</v>
      </c>
      <c r="EI339" s="4">
        <f>MIN(1,MAX(0.7,1-0.3*(PI()*AM339^2/4*AQ339*2-0.25*PI()/4*N339^2)/(PI()/4*N339^2)))</f>
        <v>1</v>
      </c>
      <c r="EJ339" s="4">
        <f>IF(EH339*EI339&lt;0.7,0.7,EH339*EI339)</f>
        <v>0.84000000000000008</v>
      </c>
      <c r="EL339" s="4">
        <f>MIN(DU339/N339*3*K339+EM339-FJ339,MAX(J339,AJ339))</f>
        <v>532.05877959944064</v>
      </c>
      <c r="EM339" s="25">
        <f>13.3*Q339*K339^0.5*M339^0.5/X339/N339^2*(0.7+S339/5/K339)</f>
        <v>315.1071355694574</v>
      </c>
      <c r="EO339" s="4">
        <f>EG339*EJ339</f>
        <v>0.71400000000000008</v>
      </c>
      <c r="EP339" s="4">
        <f>IF(N339&lt;22.2,1.1*5*(M339/30)^0.5,IF(N339&gt;=31.8,0.9*5*(M339/30)^0.5,1*5*(M339/30)^0.5))/EG339/EJ339</f>
        <v>7.4171502232472895</v>
      </c>
      <c r="ES339" s="4">
        <f>ET339*N339</f>
        <v>80.72246279691916</v>
      </c>
      <c r="ET339" s="4">
        <f>AF339^0.5</f>
        <v>3.1780497164141406</v>
      </c>
      <c r="EU339" s="4">
        <f>MIN(EC339)/(4700*M339^0.5)/AE339*ES339</f>
        <v>0.10362096388765003</v>
      </c>
      <c r="EX339" s="4">
        <f>EU339</f>
        <v>0.10362096388765003</v>
      </c>
      <c r="EY339" s="4">
        <f>MIN(0.999, EX339/(0.3*(M339/30)^0.5))</f>
        <v>0.32610772788899423</v>
      </c>
      <c r="EZ339" s="4">
        <f>EP339/1*EY339^0.4</f>
        <v>4.7378522302432895</v>
      </c>
      <c r="FA339" s="4">
        <f>EP339/1.4*(1-EY339^1.4)/(1-EY339)</f>
        <v>6.2240766285072322</v>
      </c>
      <c r="FB339" s="4">
        <f>MAX(0,DQ339*FB$9-ES339)</f>
        <v>105.01503720308082</v>
      </c>
      <c r="FC339" s="4">
        <f>MAX(0,DQ339-ES339-FB339)</f>
        <v>61.912499999999994</v>
      </c>
      <c r="FD339" s="4">
        <f>FC339/(1-0.3*(M339/30)^0.5)/200000/N339</f>
        <v>1.7863705067970267E-5</v>
      </c>
      <c r="FE339" s="4">
        <f>MAX(0.5*EP339, (1-2*FD339*(ES339*EZ339+FB339*FA339))/(1/EP339+FD339*FC339))</f>
        <v>7.0844796465466686</v>
      </c>
      <c r="FF339" s="4">
        <f>MIN(4/N339*(1*EZ339*ES339+FA339*FB339+FC339*FE339)+EC339,MAX(J339,AJ339))</f>
        <v>550.74129994284397</v>
      </c>
      <c r="FO339" s="23">
        <f>IF(CU339&lt;0.6,0.6,IF(CU339&lt;0.8,0.8,IF(CU339&lt;1,1,IF(CU339&lt;1.2,1.2,IF(CU339&lt;1.4,1.4,IF(CU339&lt;1.6,1.6,IF(CU339&lt;1.8,1.8,IF(CU339&lt;2,2,2.2))))))))</f>
        <v>1.4</v>
      </c>
      <c r="FP339" s="23">
        <f>IF(CV339&lt;0.6,0.6,IF(CV339&lt;0.8,0.8,IF(CV339&lt;1,1,IF(CV339&lt;1.2,1.2,IF(CV339&lt;1.4,1.4,IF(CV339&lt;1.6,1.6,IF(CV339&lt;1.8,1.8,IF(CV339&lt;2,2,2.2))))))))</f>
        <v>0.6</v>
      </c>
      <c r="FQ339" s="23">
        <f>IF(DA339&lt;0.6,0.6,IF(DA339&lt;0.8,0.8,IF(DA339&lt;1,1,IF(DA339&lt;1.2,1.2,IF(DA339&lt;1.4,1.4,IF(DA339&lt;1.6,1.6,IF(DA339&lt;1.8,1.8,IF(DA339&lt;2,2,2.2))))))))</f>
        <v>1</v>
      </c>
      <c r="FR339" s="23">
        <f>IF(CX339&lt;0.6,0.6,IF(CX339&lt;0.8,0.8,IF(CX339&lt;1,1,IF(CX339&lt;1.2,1.2,IF(CX339&lt;1.4,1.4,IF(CX339&lt;1.6,1.6,IF(CX339&lt;1.8,1.8,IF(CX339&lt;2,2,2.2))))))))</f>
        <v>1.6</v>
      </c>
      <c r="FS339" s="23">
        <f>IF(CY339&lt;0.6,0.6,IF(CY339&lt;0.8,0.8,IF(CY339&lt;1,1,IF(CY339&lt;1.2,1.2,IF(CY339&lt;1.4,1.4,IF(CY339&lt;1.6,1.6,IF(CY339&lt;1.8,1.8,IF(CY339&lt;2,2,2.2))))))))</f>
        <v>0.8</v>
      </c>
      <c r="FT339" s="23">
        <f>IF(CZ339&lt;0.6,0.6,IF(CZ339&lt;0.8,0.8,IF(CZ339&lt;1,1,IF(CZ339&lt;1.2,1.2,IF(CZ339&lt;1.4,1.4,IF(CZ339&lt;1.6,1.6,IF(CZ339&lt;1.8,1.8,IF(CZ339&lt;2,2,2.2))))))))</f>
        <v>0.8</v>
      </c>
      <c r="FU339" s="23">
        <f>IF(FS339&lt;1,1,0)</f>
        <v>1</v>
      </c>
      <c r="FV339" s="23"/>
      <c r="GF339" s="4">
        <f>IF(S339&gt;=2.5*25.4,1,1.25)</f>
        <v>1</v>
      </c>
      <c r="GG339" s="4">
        <f>IF(AO339&gt;1, 0.05*(18-MIN(8,(W339+N339)/N339))*(1-48000/MAX(60000,(J339*145))*(N339/25.4)^0.75*GH339), 1/12*(14-MIN(8,(W339+N339)/N339)))</f>
        <v>0.5</v>
      </c>
      <c r="GH339" s="4">
        <f>MIN(0.3, AM339^2*PI()/4*2*AP339/(N339^2*PI()/4*X339))</f>
        <v>0</v>
      </c>
      <c r="GI339" s="4">
        <f>(K339/25.4)/(N339/25.4)^1.5/0.0024*(M339*145)^0.25/GF339/GG339/145</f>
        <v>468.33899850997841</v>
      </c>
    </row>
    <row r="340" spans="1:191" ht="12" customHeight="1" x14ac:dyDescent="0.3">
      <c r="A340" s="25">
        <v>395</v>
      </c>
      <c r="B340" s="4" t="s">
        <v>605</v>
      </c>
      <c r="C340" s="4">
        <v>2016</v>
      </c>
      <c r="D340" s="4" t="s">
        <v>309</v>
      </c>
      <c r="E340" s="14" t="s">
        <v>676</v>
      </c>
      <c r="F340" s="14"/>
      <c r="G340" s="14">
        <v>23</v>
      </c>
      <c r="H340" s="33" t="s">
        <v>563</v>
      </c>
      <c r="I340" s="5">
        <f>K340/N340</f>
        <v>9.75</v>
      </c>
      <c r="J340" s="38">
        <f>129/0.145</f>
        <v>889.65517241379314</v>
      </c>
      <c r="K340" s="96">
        <f>9.75*25.4</f>
        <v>247.64999999999998</v>
      </c>
      <c r="L340" s="4">
        <f>K340</f>
        <v>247.64999999999998</v>
      </c>
      <c r="M340" s="38">
        <f>4880/145</f>
        <v>33.655172413793103</v>
      </c>
      <c r="N340" s="96">
        <f>1*25.4</f>
        <v>25.4</v>
      </c>
      <c r="O340" s="7">
        <f>K340/N340</f>
        <v>9.75</v>
      </c>
      <c r="P340" s="7">
        <f>L340/N340</f>
        <v>9.75</v>
      </c>
      <c r="Q340" s="38">
        <f>17.3*25.4</f>
        <v>439.42</v>
      </c>
      <c r="R340" s="32">
        <f>S340/N340</f>
        <v>2.5999999999999996</v>
      </c>
      <c r="S340" s="38">
        <f>2.6*25.4</f>
        <v>66.039999999999992</v>
      </c>
      <c r="T340" s="32">
        <f>U340/N340</f>
        <v>3.6</v>
      </c>
      <c r="U340" s="39">
        <f>3.6*25.4</f>
        <v>91.44</v>
      </c>
      <c r="V340" s="32">
        <f>W340/N340</f>
        <v>10.100000000000001</v>
      </c>
      <c r="W340" s="7">
        <f>(Q340-X340*N340-2*S340)/(X340-1)</f>
        <v>256.54000000000002</v>
      </c>
      <c r="X340" s="38">
        <v>2</v>
      </c>
      <c r="Y340" s="7">
        <f>AN340</f>
        <v>6</v>
      </c>
      <c r="Z340" s="32">
        <f>AA340/N340</f>
        <v>20</v>
      </c>
      <c r="AA340" s="4">
        <f>20*25.4</f>
        <v>508</v>
      </c>
      <c r="AB340" s="7">
        <f>MIN(S340/N340+0.5, W340/2/N340+0.5)</f>
        <v>3.0999999999999996</v>
      </c>
      <c r="AC340" s="7">
        <f>S340/N340+0.5</f>
        <v>3.0999999999999996</v>
      </c>
      <c r="AD340" s="38">
        <v>9.1</v>
      </c>
      <c r="AE340" s="4">
        <f>AD340</f>
        <v>9.1</v>
      </c>
      <c r="AF340" s="4">
        <f>AE340+1</f>
        <v>10.1</v>
      </c>
      <c r="AG340" s="7">
        <f>N340*AF340^0.5</f>
        <v>80.72246279691916</v>
      </c>
      <c r="AJ340" s="38">
        <f>AK340/0.145</f>
        <v>367.58620689655174</v>
      </c>
      <c r="AK340" s="4">
        <v>53.3</v>
      </c>
      <c r="AL340" s="4">
        <f>CY340</f>
        <v>0.65027889870200761</v>
      </c>
      <c r="AM340" s="38">
        <f>0.5*25.4</f>
        <v>12.7</v>
      </c>
      <c r="AN340" s="38">
        <v>6</v>
      </c>
      <c r="AO340" s="39">
        <f>7.5*25.4</f>
        <v>190.5</v>
      </c>
      <c r="AP340" s="39">
        <v>1</v>
      </c>
      <c r="AQ340" s="39">
        <v>1</v>
      </c>
      <c r="AR340" s="7"/>
      <c r="AS340" s="4">
        <f>K340</f>
        <v>247.64999999999998</v>
      </c>
      <c r="AT340" s="4">
        <f>IF(K340*3&gt;W340+N340, Q340, (S340+N340/2)*2+1.5*K340*(2*X340-2))*(3*K340)/(9*K340^2)</f>
        <v>0.59145299145299157</v>
      </c>
      <c r="AU340" s="4">
        <f>MIN(10*M340^0.5*K340^1.5,100*3.9*M340^0.5*K340^(5/3))/(PI()/4*N340^2)/X340</f>
        <v>223.09821631857008</v>
      </c>
      <c r="AV340" s="4">
        <f>MIN(0.7+0.3*(MIN(S340,AA340)+0.5*N340)/1.5/K340,1)</f>
        <v>0.76358974358974352</v>
      </c>
      <c r="AW340" s="4">
        <v>1.25</v>
      </c>
      <c r="AX340" s="4">
        <f>AX339</f>
        <v>2.5</v>
      </c>
      <c r="AY340" s="38">
        <f>AT340*AV340*AW340*AX340*AU340</f>
        <v>314.86648711930036</v>
      </c>
      <c r="AZ340" s="38">
        <f>AY340</f>
        <v>314.86648711930036</v>
      </c>
      <c r="BA340" s="38">
        <f>IF(M340&lt;50, 0.3*M340^(2/3), 2.12*LN(1+0.1*(M340+8)))</f>
        <v>3.1272010355053257</v>
      </c>
      <c r="BB340" s="38">
        <f>AX340* (M340^0.5/AS340^0.5)/(PI()/4*N340^2)/X340/0.72 *(0.7+(MIN(S340,AA340)+0.5*N340)/5/K340) *(3*Q340*K340)</f>
        <v>314.86648711930053</v>
      </c>
      <c r="BC340" s="38">
        <f>AY340/BB340</f>
        <v>0.99999999999999944</v>
      </c>
      <c r="BD340" s="38">
        <f>BH340/BB340</f>
        <v>1.9991149481237653</v>
      </c>
      <c r="BE340" s="4">
        <f>IF(BD340&lt;1,1,0)</f>
        <v>0</v>
      </c>
      <c r="BF340" s="4">
        <f>L340/N340*M340^0.5/0.19</f>
        <v>297.69869072512182</v>
      </c>
      <c r="BG340" s="4">
        <f>MIN(0.6+0.4*(AC340/AB340),2)</f>
        <v>1</v>
      </c>
      <c r="BH340" s="38">
        <f>2*M340*AB340*AD340^0.5*BG340*0.7/0.7</f>
        <v>629.45430106341269</v>
      </c>
      <c r="BI340" s="4">
        <f>MAX(1-0.7*AE340/5,0.3)</f>
        <v>0.3</v>
      </c>
      <c r="BJ340" s="4">
        <f>BI340*J340*L340/(J340*N340/2.75/M340^0.5)</f>
        <v>46.664269771162843</v>
      </c>
      <c r="BK340" s="4">
        <f>BH340+BJ340</f>
        <v>676.11857083457551</v>
      </c>
      <c r="BM340" s="4">
        <f>MIN(1.5, 0.75+0.25*MIN(3,MAX(1,S340/N340))+0.4*MIN(1,(40*2*PI()*AM340^2/4/AO340/X340)/N340))</f>
        <v>1.5</v>
      </c>
      <c r="BN340" s="4">
        <f>(3*P340+30)*BM340*M340^0.5</f>
        <v>515.59123243662441</v>
      </c>
      <c r="BP340" s="4">
        <f>3.4/PI()^0.5*M340*AB340*AE340^0.5*BG340</f>
        <v>603.72365196482838</v>
      </c>
      <c r="BQ340" s="4">
        <f>8/3*AH340*AI340^2/(AG340-N340-22)/N340*(AG340^2-N340^2)/(AG340^2-(N340+22)^2)</f>
        <v>0</v>
      </c>
      <c r="BR340" s="4">
        <f>BQ340/BP340</f>
        <v>0</v>
      </c>
      <c r="BZ340" s="4">
        <f>IF(W340=0,S340,MIN(W340/2,S340))</f>
        <v>66.039999999999992</v>
      </c>
      <c r="CD340" s="9"/>
      <c r="CF340" s="9"/>
      <c r="CG340" s="9"/>
      <c r="CH340" s="9">
        <f>IF(W340=0,MIN(S340,U340),MIN(W340/2,S340,U340))</f>
        <v>66.039999999999992</v>
      </c>
      <c r="CI340" s="9">
        <f>MAX(W340/2,S340)</f>
        <v>128.27000000000001</v>
      </c>
      <c r="CJ340" s="9">
        <f>(CH340/N340)^0.5*(CI340/CH340)^0.15</f>
        <v>1.7812889692205971</v>
      </c>
      <c r="CK340" s="70">
        <f>IF(AO340&gt;1,20,0)</f>
        <v>20</v>
      </c>
      <c r="CL340" s="9">
        <f>MIN(PI()*AM340^2/4*AN340*2/X340/N340/MAX(0.01,AO340),0.05)</f>
        <v>0.05</v>
      </c>
      <c r="CM340" s="9">
        <f>MAX(0,CK340*(CL340-0.5/50))</f>
        <v>0.8</v>
      </c>
      <c r="CN340" s="9">
        <f>MIN(1,(25/N340)^0.3)</f>
        <v>0.99524931562137331</v>
      </c>
      <c r="CO340" s="9">
        <f>IF(J340&gt;=800,0.68,IF(J340&gt;=700,0.75-(J340-700)*0.07/100,IF(J340&gt;=600,0.85-(J340-600)*0.1/100,IF(J340&gt;=500,1-(J340-500)*0.15/100,1.2-(J340-400)*0.2/100))))</f>
        <v>0.68</v>
      </c>
      <c r="CP340" s="9">
        <f>1.75*CN340*CO340*(M340/25)^0.5</f>
        <v>1.3741519375646418</v>
      </c>
      <c r="CQ340" s="9">
        <f>MIN((CJ340+CM340)*CP340,2.5*CP340,M340^0.5)</f>
        <v>3.4353798439116048</v>
      </c>
      <c r="CR340" s="40">
        <v>1</v>
      </c>
      <c r="CS340" s="9">
        <f>4*CQ340*P340+60*CQ340</f>
        <v>340.10260454724886</v>
      </c>
      <c r="CU340" s="4">
        <f>AJ340/BF340</f>
        <v>1.2347592325690142</v>
      </c>
      <c r="CV340" s="4">
        <f>AJ340/BK340</f>
        <v>0.54367121796819906</v>
      </c>
      <c r="CW340" s="4">
        <f>AJ340/BN340</f>
        <v>0.71294115138339709</v>
      </c>
      <c r="CX340" s="4">
        <f>AJ340/CS340</f>
        <v>1.0808097379491979</v>
      </c>
      <c r="CY340" s="4">
        <f>AJ340/DZ340</f>
        <v>0.65027889870200761</v>
      </c>
      <c r="CZ340" s="4">
        <f>AJ340/EL340</f>
        <v>0.67317534853537886</v>
      </c>
      <c r="DA340" s="4">
        <f>AJ340/GI340</f>
        <v>0.71186072951306811</v>
      </c>
      <c r="DB340" s="4">
        <f>AN340</f>
        <v>6</v>
      </c>
      <c r="DI340" s="4">
        <f>CU340</f>
        <v>1.2347592325690142</v>
      </c>
      <c r="DJ340" s="4">
        <f>CV340</f>
        <v>0.54367121796819906</v>
      </c>
      <c r="DK340" s="4">
        <f>CX340</f>
        <v>1.0808097379491979</v>
      </c>
      <c r="DL340" s="4">
        <f>DA340</f>
        <v>0.71186072951306811</v>
      </c>
      <c r="DM340" s="4">
        <f>CY340</f>
        <v>0.65027889870200761</v>
      </c>
      <c r="DN340" s="4">
        <f>CZ340</f>
        <v>0.67317534853537886</v>
      </c>
      <c r="DQ340" s="4">
        <f>L340</f>
        <v>247.64999999999998</v>
      </c>
      <c r="DT340" s="4">
        <f>K340/4/(1-0.3*(M340/30)^0.5)/200000/N340</f>
        <v>1.7863705067970267E-5</v>
      </c>
      <c r="DU340" s="4">
        <f>EP340</f>
        <v>8.0185407818889605</v>
      </c>
      <c r="DV340" s="4">
        <f>EC340*AG340/257/M340/AD340</f>
        <v>0.32291967518123715</v>
      </c>
      <c r="DW340" s="4">
        <f>DU340*DV340^0.4</f>
        <v>5.1019141344434411</v>
      </c>
      <c r="DX340" s="4">
        <f>MIN(DU340, DU340/1.4*(1-DV340^1.4)/(1-DV340))</f>
        <v>6.7211189122916251</v>
      </c>
      <c r="DY340" s="4">
        <f>MAX(DU340/2, (4-DT340*(8*AG340*(DW340-DX340)+6*K340*DX340))/(4+DT340*K340*DU340)*DU340)</f>
        <v>7.6306804120184868</v>
      </c>
      <c r="DZ340" s="38">
        <f>MIN(1/N340*(4*AG340*(DW340-DX340)+(3*DX340+DY340)*K340)+EC340 -FJ340,MAX(J340,AJ340))</f>
        <v>565.27469618078339</v>
      </c>
      <c r="EA340" s="4">
        <f>DZ340/FF340</f>
        <v>1.0001123422344698</v>
      </c>
      <c r="EB340" s="4">
        <f>AG340/N340</f>
        <v>3.1780497164141401</v>
      </c>
      <c r="EC340" s="4">
        <f>MIN(EB$10*BB340)</f>
        <v>314.86648711930053</v>
      </c>
      <c r="EG340" s="4">
        <f>IF(U340&gt;1*N340,0.85,1)</f>
        <v>0.85</v>
      </c>
      <c r="EH340" s="4">
        <f>MIN(1,MAX(0.7,(1-0.1*(BZ340-1*N340)/N340)))</f>
        <v>0.84000000000000008</v>
      </c>
      <c r="EI340" s="4">
        <f>MIN(1,MAX(0.7,1-0.3*(PI()*AM340^2/4*AQ340*2-0.25*PI()/4*N340^2)/(PI()/4*N340^2)))</f>
        <v>0.92500000000000004</v>
      </c>
      <c r="EJ340" s="4">
        <f>IF(EH340*EI340&lt;0.7,0.7,EH340*EI340)</f>
        <v>0.77700000000000014</v>
      </c>
      <c r="EL340" s="4">
        <f>MIN(DU340/N340*3*K340+EM340-FJ340,MAX(J340,AJ340))</f>
        <v>546.04822903320144</v>
      </c>
      <c r="EM340" s="25">
        <f>13.3*Q340*K340^0.5*M340^0.5/X340/N340^2*(0.7+S340/5/K340)</f>
        <v>311.50591116294936</v>
      </c>
      <c r="EO340" s="4">
        <f>EG340*EJ340</f>
        <v>0.66045000000000009</v>
      </c>
      <c r="EP340" s="4">
        <f>IF(N340&lt;22.2,1.1*5*(M340/30)^0.5,IF(N340&gt;=31.8,0.9*5*(M340/30)^0.5,1*5*(M340/30)^0.5))/EG340/EJ340</f>
        <v>8.0185407818889605</v>
      </c>
      <c r="ES340" s="4">
        <f>ET340*N340</f>
        <v>80.72246279691916</v>
      </c>
      <c r="ET340" s="4">
        <f>AF340^0.5</f>
        <v>3.1780497164141406</v>
      </c>
      <c r="EU340" s="4">
        <f>MIN(EC340)/(4700*M340^0.5)/AE340*ES340</f>
        <v>0.1024367243003626</v>
      </c>
      <c r="EX340" s="4">
        <f>EU340</f>
        <v>0.1024367243003626</v>
      </c>
      <c r="EY340" s="4">
        <f>MIN(0.999, EX340/(0.3*(M340/30)^0.5))</f>
        <v>0.32238078242740575</v>
      </c>
      <c r="EZ340" s="4">
        <f>EP340/1*EY340^0.4</f>
        <v>5.0985067703728175</v>
      </c>
      <c r="FA340" s="4">
        <f>EP340/1.4*(1-EY340^1.4)/(1-EY340)</f>
        <v>6.7198298466222051</v>
      </c>
      <c r="FB340" s="4">
        <f>MAX(0,DQ340*FB$9-ES340)</f>
        <v>105.01503720308082</v>
      </c>
      <c r="FC340" s="4">
        <f>MAX(0,DQ340-ES340-FB340)</f>
        <v>61.912499999999994</v>
      </c>
      <c r="FD340" s="4">
        <f>FC340/(1-0.3*(M340/30)^0.5)/200000/N340</f>
        <v>1.7863705067970267E-5</v>
      </c>
      <c r="FE340" s="4">
        <f>MAX(0.5*EP340, (1-2*FD340*(ES340*EZ340+FB340*FA340))/(1/EP340+FD340*FC340))</f>
        <v>7.6307969568708121</v>
      </c>
      <c r="FF340" s="4">
        <f>MIN(4/N340*(1*EZ340*ES340+FA340*FB340+FC340*FE340)+EC340,MAX(J340,AJ340))</f>
        <v>565.21119909173012</v>
      </c>
      <c r="FO340" s="23">
        <f>IF(CU340&lt;0.6,0.6,IF(CU340&lt;0.8,0.8,IF(CU340&lt;1,1,IF(CU340&lt;1.2,1.2,IF(CU340&lt;1.4,1.4,IF(CU340&lt;1.6,1.6,IF(CU340&lt;1.8,1.8,IF(CU340&lt;2,2,2.2))))))))</f>
        <v>1.4</v>
      </c>
      <c r="FP340" s="23">
        <f>IF(CV340&lt;0.6,0.6,IF(CV340&lt;0.8,0.8,IF(CV340&lt;1,1,IF(CV340&lt;1.2,1.2,IF(CV340&lt;1.4,1.4,IF(CV340&lt;1.6,1.6,IF(CV340&lt;1.8,1.8,IF(CV340&lt;2,2,2.2))))))))</f>
        <v>0.6</v>
      </c>
      <c r="FQ340" s="23">
        <f>IF(DA340&lt;0.6,0.6,IF(DA340&lt;0.8,0.8,IF(DA340&lt;1,1,IF(DA340&lt;1.2,1.2,IF(DA340&lt;1.4,1.4,IF(DA340&lt;1.6,1.6,IF(DA340&lt;1.8,1.8,IF(DA340&lt;2,2,2.2))))))))</f>
        <v>0.8</v>
      </c>
      <c r="FR340" s="23">
        <f>IF(CX340&lt;0.6,0.6,IF(CX340&lt;0.8,0.8,IF(CX340&lt;1,1,IF(CX340&lt;1.2,1.2,IF(CX340&lt;1.4,1.4,IF(CX340&lt;1.6,1.6,IF(CX340&lt;1.8,1.8,IF(CX340&lt;2,2,2.2))))))))</f>
        <v>1.2</v>
      </c>
      <c r="FS340" s="23">
        <f>IF(CY340&lt;0.6,0.6,IF(CY340&lt;0.8,0.8,IF(CY340&lt;1,1,IF(CY340&lt;1.2,1.2,IF(CY340&lt;1.4,1.4,IF(CY340&lt;1.6,1.6,IF(CY340&lt;1.8,1.8,IF(CY340&lt;2,2,2.2))))))))</f>
        <v>0.8</v>
      </c>
      <c r="FT340" s="23">
        <f>IF(CZ340&lt;0.6,0.6,IF(CZ340&lt;0.8,0.8,IF(CZ340&lt;1,1,IF(CZ340&lt;1.2,1.2,IF(CZ340&lt;1.4,1.4,IF(CZ340&lt;1.6,1.6,IF(CZ340&lt;1.8,1.8,IF(CZ340&lt;2,2,2.2))))))))</f>
        <v>0.8</v>
      </c>
      <c r="FU340" s="23">
        <f>IF(FS340&lt;1,1,0)</f>
        <v>1</v>
      </c>
      <c r="FV340" s="23"/>
      <c r="GF340" s="4">
        <f>IF(S340&gt;=2.5*25.4,1,1.25)</f>
        <v>1</v>
      </c>
      <c r="GG340" s="4">
        <f>IF(AO340&gt;1, 0.05*(18-MIN(8,(W340+N340)/N340))*(1-48000/MAX(60000,(J340*145))*(N340/25.4)^0.75*GH340), 1/12*(14-MIN(8,(W340+N340)/N340)))</f>
        <v>0.45348837209302328</v>
      </c>
      <c r="GH340" s="4">
        <f>MIN(0.3, AM340^2*PI()/4*2*AP340/(N340^2*PI()/4*X340))</f>
        <v>0.25</v>
      </c>
      <c r="GI340" s="4">
        <f>(K340/25.4)/(N340/25.4)^1.5/0.0024*(M340*145)^0.25/GF340/GG340/145</f>
        <v>516.37376758792493</v>
      </c>
    </row>
    <row r="341" spans="1:191" ht="12" customHeight="1" x14ac:dyDescent="0.3">
      <c r="A341" s="25">
        <v>261</v>
      </c>
      <c r="B341" s="4" t="s">
        <v>605</v>
      </c>
      <c r="C341" s="4">
        <v>2016</v>
      </c>
      <c r="D341" s="4" t="s">
        <v>309</v>
      </c>
      <c r="E341" s="24" t="s">
        <v>417</v>
      </c>
      <c r="F341" s="24"/>
      <c r="G341" s="24">
        <v>17</v>
      </c>
      <c r="H341" s="7" t="s">
        <v>418</v>
      </c>
      <c r="I341" s="5">
        <f>K341/N341</f>
        <v>9.69</v>
      </c>
      <c r="J341" s="38">
        <f>129/0.145</f>
        <v>889.65517241379314</v>
      </c>
      <c r="K341" s="96">
        <f>9.69*25.4</f>
        <v>246.12599999999998</v>
      </c>
      <c r="L341" s="4">
        <f>K341</f>
        <v>246.12599999999998</v>
      </c>
      <c r="M341" s="96">
        <f>11760/145</f>
        <v>81.103448275862064</v>
      </c>
      <c r="N341" s="96">
        <f>1*25.4</f>
        <v>25.4</v>
      </c>
      <c r="O341" s="7">
        <f>K341/N341</f>
        <v>9.69</v>
      </c>
      <c r="P341" s="7">
        <f>L341/N341</f>
        <v>9.69</v>
      </c>
      <c r="Q341" s="38">
        <f>16.9*25.4</f>
        <v>429.25999999999993</v>
      </c>
      <c r="R341" s="32">
        <f>S341/N341</f>
        <v>2.5</v>
      </c>
      <c r="S341" s="38">
        <f>2.5*25.4</f>
        <v>63.5</v>
      </c>
      <c r="T341" s="32">
        <f>U341/N341</f>
        <v>3.45</v>
      </c>
      <c r="U341" s="39">
        <f>3.45*25.4</f>
        <v>87.63</v>
      </c>
      <c r="V341" s="32">
        <f>W341/N341</f>
        <v>9.8999999999999968</v>
      </c>
      <c r="W341" s="7">
        <f>(Q341-X341*N341-2*S341)/(X341-1)</f>
        <v>251.45999999999992</v>
      </c>
      <c r="X341" s="38">
        <v>2</v>
      </c>
      <c r="Y341" s="7">
        <f>AN341</f>
        <v>0</v>
      </c>
      <c r="Z341" s="32">
        <f>AA341/N341</f>
        <v>10.25</v>
      </c>
      <c r="AA341" s="4">
        <f>10.25*25.4</f>
        <v>260.34999999999997</v>
      </c>
      <c r="AB341" s="7">
        <f>MIN(S341/N341+0.5, W341/2/N341+0.5)</f>
        <v>3</v>
      </c>
      <c r="AC341" s="7">
        <f>S341/N341+0.5</f>
        <v>3</v>
      </c>
      <c r="AD341" s="38">
        <v>4.0999999999999996</v>
      </c>
      <c r="AE341" s="4">
        <f>AD341</f>
        <v>4.0999999999999996</v>
      </c>
      <c r="AF341" s="4">
        <f>AE341+1</f>
        <v>5.0999999999999996</v>
      </c>
      <c r="AG341" s="7">
        <f>N341*AF341^0.5</f>
        <v>57.361276136431961</v>
      </c>
      <c r="AJ341" s="38">
        <f>AK341/0.145</f>
        <v>626.89655172413802</v>
      </c>
      <c r="AK341" s="4">
        <v>90.9</v>
      </c>
      <c r="AL341" s="4">
        <f>CY341</f>
        <v>0.75449639049580097</v>
      </c>
      <c r="AM341" s="38">
        <v>0</v>
      </c>
      <c r="AN341" s="38">
        <v>0</v>
      </c>
      <c r="AO341" s="39">
        <f>L341</f>
        <v>246.12599999999998</v>
      </c>
      <c r="AP341" s="39"/>
      <c r="AQ341" s="39"/>
      <c r="AR341" s="7"/>
      <c r="AS341" s="4">
        <f>K341</f>
        <v>246.12599999999998</v>
      </c>
      <c r="AT341" s="4">
        <f>IF(K341*3&gt;W341+N341, Q341, (S341+N341/2)*2+1.5*K341*(2*X341-2))*(3*K341)/(9*K341^2)</f>
        <v>0.58135534915720666</v>
      </c>
      <c r="AU341" s="4">
        <f>MIN(10*M341^0.5*K341^1.5,100*3.9*M341^0.5*K341^(5/3))/(PI()/4*N341^2)/X341</f>
        <v>343.13782172231606</v>
      </c>
      <c r="AV341" s="4">
        <f>MIN(0.7+0.3*(MIN(S341,AA341)+0.5*N341)/1.5/K341,1)</f>
        <v>0.76191950464396285</v>
      </c>
      <c r="AW341" s="4">
        <v>1.25</v>
      </c>
      <c r="AX341" s="4">
        <f>AX340</f>
        <v>2.5</v>
      </c>
      <c r="AY341" s="38">
        <f>AT341*AV341*AW341*AX341*AU341</f>
        <v>474.9734956201147</v>
      </c>
      <c r="AZ341" s="38">
        <f>AY341</f>
        <v>474.9734956201147</v>
      </c>
      <c r="BA341" s="38">
        <f>IF(M341&lt;50, 0.3*M341^(2/3), 2.12*LN(1+0.1*(M341+8)))</f>
        <v>4.8623877845559145</v>
      </c>
      <c r="BB341" s="38">
        <f>AX341* (M341^0.5/AS341^0.5)/(PI()/4*N341^2)/X341/0.72 *(0.7+(MIN(S341,AA341)+0.5*N341)/5/K341) *(3*Q341*K341)</f>
        <v>474.97349562011482</v>
      </c>
      <c r="BC341" s="38">
        <f>AY341/BB341</f>
        <v>0.99999999999999978</v>
      </c>
      <c r="BD341" s="38">
        <f>BH341/BB341</f>
        <v>2.0744984867380696</v>
      </c>
      <c r="BE341" s="4">
        <f>IF(BD341&lt;1,1,0)</f>
        <v>0</v>
      </c>
      <c r="BF341" s="4">
        <f>L341/N341*M341^0.5/0.19</f>
        <v>459.29300992451124</v>
      </c>
      <c r="BG341" s="4">
        <f>MIN(0.6+0.4*(AC341/AB341),2)</f>
        <v>1</v>
      </c>
      <c r="BH341" s="38">
        <f>2*M341*AB341*AD341^0.5*BG341*0.7/0.7</f>
        <v>985.33179790461941</v>
      </c>
      <c r="BI341" s="4">
        <f>MAX(1-0.7*AE341/5,0.3)</f>
        <v>0.42600000000000005</v>
      </c>
      <c r="BJ341" s="4">
        <f>BI341*J341*L341/(J341*N341/2.75/M341^0.5)</f>
        <v>102.23173461404734</v>
      </c>
      <c r="BK341" s="4">
        <f>BH341+BJ341</f>
        <v>1087.5635325186668</v>
      </c>
      <c r="BM341" s="4">
        <f>MIN(1.5, 0.75+0.25*MIN(3,MAX(1,S341/N341))+0.4*MIN(1,(40*2*PI()*AM341^2/4/AO341/X341)/N341))</f>
        <v>1.375</v>
      </c>
      <c r="BN341" s="4">
        <f>(3*P341+30)*BM341*M341^0.5</f>
        <v>731.45788984963156</v>
      </c>
      <c r="BP341" s="4">
        <f>3.4/PI()^0.5*M341*AB341*AE341^0.5*BG341</f>
        <v>945.05369241748747</v>
      </c>
      <c r="BQ341" s="4">
        <f>8/3*AH341*AI341^2/(AG341-N341-22)/N341*(AG341^2-N341^2)/(AG341^2-(N341+22)^2)</f>
        <v>0</v>
      </c>
      <c r="BR341" s="4">
        <f>BQ341/BP341</f>
        <v>0</v>
      </c>
      <c r="BZ341" s="4">
        <f>IF(W341=0,S341,MIN(W341/2,S341))</f>
        <v>63.5</v>
      </c>
      <c r="CD341" s="9"/>
      <c r="CF341" s="9"/>
      <c r="CG341" s="9"/>
      <c r="CH341" s="9">
        <f>IF(W341=0,MIN(S341,U341),MIN(W341/2,S341,U341))</f>
        <v>63.5</v>
      </c>
      <c r="CI341" s="9">
        <f>MAX(W341/2,S341)</f>
        <v>125.72999999999996</v>
      </c>
      <c r="CJ341" s="9">
        <f>(CH341/N341)^0.5*(CI341/CH341)^0.15</f>
        <v>1.7517405482385959</v>
      </c>
      <c r="CK341" s="70">
        <f>IF(AO341&gt;1,20,0)</f>
        <v>20</v>
      </c>
      <c r="CL341" s="9">
        <f>MIN(PI()*AM341^2/4*AN341*2/X341/N341/MAX(0.01,AO341),0.05)</f>
        <v>0</v>
      </c>
      <c r="CM341" s="9">
        <f>MAX(0,CK341*(CL341-0.5/50))</f>
        <v>0</v>
      </c>
      <c r="CN341" s="9">
        <f>MIN(1,(25/N341)^0.3)</f>
        <v>0.99524931562137331</v>
      </c>
      <c r="CO341" s="9">
        <f>IF(J341&gt;=800,0.68,IF(J341&gt;=700,0.75-(J341-700)*0.07/100,IF(J341&gt;=600,0.85-(J341-600)*0.1/100,IF(J341&gt;=500,1-(J341-500)*0.15/100,1.2-(J341-400)*0.2/100))))</f>
        <v>0.68</v>
      </c>
      <c r="CP341" s="9">
        <f>1.75*CN341*CO341*(M341/25)^0.5</f>
        <v>2.1331849177195688</v>
      </c>
      <c r="CQ341" s="9">
        <f>MIN((CJ341+CM341)*CP341,2.5*CP341,M341^0.5)</f>
        <v>3.7367865172603816</v>
      </c>
      <c r="CR341" s="40">
        <v>1</v>
      </c>
      <c r="CS341" s="9">
        <f>4*CQ341*P341+60*CQ341</f>
        <v>369.04503644463523</v>
      </c>
      <c r="CU341" s="4">
        <f>AJ341/BF341</f>
        <v>1.3649163783859324</v>
      </c>
      <c r="CV341" s="4">
        <f>AJ341/BK341</f>
        <v>0.57642292425190167</v>
      </c>
      <c r="CW341" s="4">
        <f>AJ341/BN341</f>
        <v>0.85705077547664621</v>
      </c>
      <c r="CX341" s="4">
        <f>AJ341/CS341</f>
        <v>1.69869931801179</v>
      </c>
      <c r="CY341" s="4">
        <f>AJ341/DZ341</f>
        <v>0.75449639049580097</v>
      </c>
      <c r="CZ341" s="4">
        <f>AJ341/EL341</f>
        <v>0.78300596637240216</v>
      </c>
      <c r="DA341" s="4">
        <f>AJ341/GI341</f>
        <v>1.0809846369960703</v>
      </c>
      <c r="DB341" s="4">
        <f>AN341</f>
        <v>0</v>
      </c>
      <c r="DC341" s="4">
        <f>CU341</f>
        <v>1.3649163783859324</v>
      </c>
      <c r="DD341" s="4">
        <f>CV341</f>
        <v>0.57642292425190167</v>
      </c>
      <c r="DE341" s="4">
        <f>CX341</f>
        <v>1.69869931801179</v>
      </c>
      <c r="DF341" s="4">
        <f>DA341</f>
        <v>1.0809846369960703</v>
      </c>
      <c r="DG341" s="4">
        <f>CY341</f>
        <v>0.75449639049580097</v>
      </c>
      <c r="DH341" s="4">
        <f>CZ341</f>
        <v>0.78300596637240216</v>
      </c>
      <c r="DQ341" s="4">
        <f>L341</f>
        <v>246.12599999999998</v>
      </c>
      <c r="DT341" s="4">
        <f>K341/4/(1-0.3*(M341/30)^0.5)/200000/N341</f>
        <v>2.3903025500369944E-5</v>
      </c>
      <c r="DU341" s="4">
        <f>EP341</f>
        <v>11.378661693018476</v>
      </c>
      <c r="DV341" s="4">
        <f>EC341*AG341/257/M341/AD341</f>
        <v>0.31880996013755275</v>
      </c>
      <c r="DW341" s="4">
        <f>DU341*DV341^0.4</f>
        <v>7.2028428194447898</v>
      </c>
      <c r="DX341" s="4">
        <f>MIN(DU341, DU341/1.4*(1-DV341^1.4)/(1-DV341))</f>
        <v>9.5235891070744145</v>
      </c>
      <c r="DY341" s="4">
        <f>MAX(DU341/2, (4-DT341*(8*AG341*(DW341-DX341)+6*K341*DX341))/(4+DT341*K341*DU341)*DU341)</f>
        <v>10.322031386165987</v>
      </c>
      <c r="DZ341" s="38">
        <f>MIN(1/N341*(4*AG341*(DW341-DX341)+(3*DX341+DY341)*K341)+EC341 -FJ341,MAX(J341,AJ341))</f>
        <v>830.88078302427198</v>
      </c>
      <c r="EA341" s="4">
        <f>DZ341/FF341</f>
        <v>1.0000928686500341</v>
      </c>
      <c r="EB341" s="4">
        <f>AG341/N341</f>
        <v>2.2583179581272428</v>
      </c>
      <c r="EC341" s="4">
        <f>MIN(EB$10*BB341)</f>
        <v>474.97349562011482</v>
      </c>
      <c r="EG341" s="4">
        <f>IF(U341&gt;1*N341,0.85,1)</f>
        <v>0.85</v>
      </c>
      <c r="EH341" s="4">
        <f>MIN(1,MAX(0.7,(1-0.1*(BZ341-1*N341)/N341)))</f>
        <v>0.85</v>
      </c>
      <c r="EI341" s="4">
        <f>MIN(1,MAX(0.7,1-0.3*(PI()*AM341^2/4*AQ341*2-0.25*PI()/4*N341^2)/(PI()/4*N341^2)))</f>
        <v>1</v>
      </c>
      <c r="EJ341" s="4">
        <f>IF(EH341*EI341&lt;0.7,0.7,EH341*EI341)</f>
        <v>0.85</v>
      </c>
      <c r="EL341" s="4">
        <f>MIN(DU341/N341*3*K341+EM341-FJ341,MAX(J341,AJ341))</f>
        <v>800.62806497949771</v>
      </c>
      <c r="EM341" s="25">
        <f>13.3*Q341*K341^0.5*M341^0.5/X341/N341^2*(0.7+S341/5/K341)</f>
        <v>469.85036956345061</v>
      </c>
      <c r="EO341" s="4">
        <f>EG341*EJ341</f>
        <v>0.72249999999999992</v>
      </c>
      <c r="EP341" s="4">
        <f>IF(N341&lt;22.2,1.1*5*(M341/30)^0.5,IF(N341&gt;=31.8,0.9*5*(M341/30)^0.5,1*5*(M341/30)^0.5))/EG341/EJ341</f>
        <v>11.378661693018476</v>
      </c>
      <c r="ES341" s="4">
        <f>ET341*N341</f>
        <v>57.361276136431961</v>
      </c>
      <c r="ET341" s="4">
        <f>AF341^0.5</f>
        <v>2.2583179581272428</v>
      </c>
      <c r="EU341" s="4">
        <f>MIN(EC341)/(4700*M341^0.5)/AE341*ES341</f>
        <v>0.15699535606871484</v>
      </c>
      <c r="EX341" s="4">
        <f>EU341</f>
        <v>0.15699535606871484</v>
      </c>
      <c r="EY341" s="4">
        <f>MIN(0.999, EX341/(0.3*(M341/30)^0.5))</f>
        <v>0.31827792573218255</v>
      </c>
      <c r="EZ341" s="4">
        <f>EP341/1*EY341^0.4</f>
        <v>7.1980323292674591</v>
      </c>
      <c r="FA341" s="4">
        <f>EP341/1.4*(1-EY341^1.4)/(1-EY341)</f>
        <v>9.5217760568927989</v>
      </c>
      <c r="FB341" s="4">
        <f>MAX(0,DQ341*FB$9-ES341)</f>
        <v>127.23322386356801</v>
      </c>
      <c r="FC341" s="4">
        <f>MAX(0,DQ341-ES341-FB341)</f>
        <v>61.531499999999994</v>
      </c>
      <c r="FD341" s="4">
        <f>FC341/(1-0.3*(M341/30)^0.5)/200000/N341</f>
        <v>2.3903025500369944E-5</v>
      </c>
      <c r="FE341" s="4">
        <f>MAX(0.5*EP341, (1-2*FD341*(ES341*EZ341+FB341*FA341))/(1/EP341+FD341*FC341))</f>
        <v>10.322302433404497</v>
      </c>
      <c r="FF341" s="4">
        <f>MIN(4/N341*(1*EZ341*ES341+FA341*FB341+FC341*FE341)+EC341,MAX(J341,AJ341))</f>
        <v>830.80362741295062</v>
      </c>
      <c r="FO341" s="23">
        <f>IF(CU341&lt;0.6,0.6,IF(CU341&lt;0.8,0.8,IF(CU341&lt;1,1,IF(CU341&lt;1.2,1.2,IF(CU341&lt;1.4,1.4,IF(CU341&lt;1.6,1.6,IF(CU341&lt;1.8,1.8,IF(CU341&lt;2,2,2.2))))))))</f>
        <v>1.4</v>
      </c>
      <c r="FP341" s="23">
        <f>IF(CV341&lt;0.6,0.6,IF(CV341&lt;0.8,0.8,IF(CV341&lt;1,1,IF(CV341&lt;1.2,1.2,IF(CV341&lt;1.4,1.4,IF(CV341&lt;1.6,1.6,IF(CV341&lt;1.8,1.8,IF(CV341&lt;2,2,2.2))))))))</f>
        <v>0.6</v>
      </c>
      <c r="FQ341" s="23">
        <f>IF(DA341&lt;0.6,0.6,IF(DA341&lt;0.8,0.8,IF(DA341&lt;1,1,IF(DA341&lt;1.2,1.2,IF(DA341&lt;1.4,1.4,IF(DA341&lt;1.6,1.6,IF(DA341&lt;1.8,1.8,IF(DA341&lt;2,2,2.2))))))))</f>
        <v>1.2</v>
      </c>
      <c r="FR341" s="23">
        <f>IF(CX341&lt;0.6,0.6,IF(CX341&lt;0.8,0.8,IF(CX341&lt;1,1,IF(CX341&lt;1.2,1.2,IF(CX341&lt;1.4,1.4,IF(CX341&lt;1.6,1.6,IF(CX341&lt;1.8,1.8,IF(CX341&lt;2,2,2.2))))))))</f>
        <v>1.8</v>
      </c>
      <c r="FS341" s="23">
        <f>IF(CY341&lt;0.6,0.6,IF(CY341&lt;0.8,0.8,IF(CY341&lt;1,1,IF(CY341&lt;1.2,1.2,IF(CY341&lt;1.4,1.4,IF(CY341&lt;1.6,1.6,IF(CY341&lt;1.8,1.8,IF(CY341&lt;2,2,2.2))))))))</f>
        <v>0.8</v>
      </c>
      <c r="FT341" s="23">
        <f>IF(CZ341&lt;0.6,0.6,IF(CZ341&lt;0.8,0.8,IF(CZ341&lt;1,1,IF(CZ341&lt;1.2,1.2,IF(CZ341&lt;1.4,1.4,IF(CZ341&lt;1.6,1.6,IF(CZ341&lt;1.8,1.8,IF(CZ341&lt;2,2,2.2))))))))</f>
        <v>0.8</v>
      </c>
      <c r="FU341" s="23">
        <f>IF(FS341&lt;1,1,0)</f>
        <v>1</v>
      </c>
      <c r="FV341" s="23"/>
      <c r="GF341" s="4">
        <f>IF(S341&gt;=2.5*25.4,1,1.25)</f>
        <v>1</v>
      </c>
      <c r="GG341" s="4">
        <f>IF(AO341&gt;1, 0.05*(18-MIN(8,(W341+N341)/N341))*(1-48000/MAX(60000,(J341*145))*(N341/25.4)^0.75*GH341), 1/12*(14-MIN(8,(W341+N341)/N341)))</f>
        <v>0.5</v>
      </c>
      <c r="GH341" s="4">
        <f>MIN(0.3, AM341^2*PI()/4*2*AP341/(N341^2*PI()/4*X341))</f>
        <v>0</v>
      </c>
      <c r="GI341" s="4">
        <f>(K341/25.4)/(N341/25.4)^1.5/0.0024*(M341*145)^0.25/GF341/GG341/145</f>
        <v>579.93104644503558</v>
      </c>
    </row>
    <row r="342" spans="1:191" ht="12" customHeight="1" x14ac:dyDescent="0.3">
      <c r="A342" s="25">
        <v>404</v>
      </c>
      <c r="B342" s="4" t="s">
        <v>605</v>
      </c>
      <c r="C342" s="4">
        <v>2016</v>
      </c>
      <c r="D342" s="4" t="s">
        <v>309</v>
      </c>
      <c r="E342" s="14" t="s">
        <v>677</v>
      </c>
      <c r="F342" s="14"/>
      <c r="G342" s="14">
        <v>28</v>
      </c>
      <c r="H342" s="48" t="s">
        <v>573</v>
      </c>
      <c r="I342" s="5">
        <f>K342/N342</f>
        <v>9.69</v>
      </c>
      <c r="J342" s="78">
        <f>115.9/0.145</f>
        <v>799.31034482758628</v>
      </c>
      <c r="K342" s="47">
        <f>9.69*25.4</f>
        <v>246.12599999999998</v>
      </c>
      <c r="L342" s="4">
        <f>K342</f>
        <v>246.12599999999998</v>
      </c>
      <c r="M342" s="47">
        <f>8800/145</f>
        <v>60.689655172413794</v>
      </c>
      <c r="N342" s="38">
        <f>1*25.4</f>
        <v>25.4</v>
      </c>
      <c r="O342" s="7">
        <f>K342/N342</f>
        <v>9.69</v>
      </c>
      <c r="P342" s="7">
        <f>L342/N342</f>
        <v>9.69</v>
      </c>
      <c r="Q342" s="38">
        <f>16.9*25.4</f>
        <v>429.25999999999993</v>
      </c>
      <c r="R342" s="32">
        <f>S342/N342</f>
        <v>2.5</v>
      </c>
      <c r="S342" s="38">
        <f>2.5*25.4</f>
        <v>63.5</v>
      </c>
      <c r="T342" s="32">
        <f>U342/N342</f>
        <v>2.9500000000000006</v>
      </c>
      <c r="U342" s="39">
        <f>2.95*25.4</f>
        <v>74.930000000000007</v>
      </c>
      <c r="V342" s="32">
        <f>W342/N342</f>
        <v>9.8999999999999968</v>
      </c>
      <c r="W342" s="7">
        <f>(Q342-X342*N342-2*S342)/(X342-1)</f>
        <v>251.45999999999992</v>
      </c>
      <c r="X342" s="38">
        <v>2</v>
      </c>
      <c r="Y342" s="7">
        <f>AN342</f>
        <v>0</v>
      </c>
      <c r="Z342" s="32">
        <f>AA342/N342</f>
        <v>20</v>
      </c>
      <c r="AA342" s="4">
        <f>20*25.4</f>
        <v>508</v>
      </c>
      <c r="AB342" s="7">
        <f>MIN(S342/N342+0.5, W342/2/N342+0.5)</f>
        <v>3</v>
      </c>
      <c r="AC342" s="7">
        <f>S342/N342+0.5</f>
        <v>3</v>
      </c>
      <c r="AD342" s="38">
        <v>12.9</v>
      </c>
      <c r="AE342" s="4">
        <f>AD342</f>
        <v>12.9</v>
      </c>
      <c r="AF342" s="4">
        <f>AE342+1</f>
        <v>13.9</v>
      </c>
      <c r="AG342" s="7">
        <f>N342*AF342^0.5</f>
        <v>94.698067562120812</v>
      </c>
      <c r="AJ342" s="38">
        <f>AK342/0.145</f>
        <v>743.44827586206895</v>
      </c>
      <c r="AK342" s="4">
        <v>107.8</v>
      </c>
      <c r="AL342" s="4">
        <f>CY342</f>
        <v>1.0814969925658282</v>
      </c>
      <c r="AM342" s="38">
        <v>0</v>
      </c>
      <c r="AN342" s="38">
        <v>0</v>
      </c>
      <c r="AO342" s="39">
        <f>L342</f>
        <v>246.12599999999998</v>
      </c>
      <c r="AP342" s="39"/>
      <c r="AQ342" s="39"/>
      <c r="AR342" s="7"/>
      <c r="AS342" s="4">
        <f>K342</f>
        <v>246.12599999999998</v>
      </c>
      <c r="AT342" s="4">
        <f>IF(K342*3&gt;W342+N342, Q342, (S342+N342/2)*2+1.5*K342*(2*X342-2))*(3*K342)/(9*K342^2)</f>
        <v>0.58135534915720666</v>
      </c>
      <c r="AU342" s="4">
        <f>MIN(10*M342^0.5*K342^1.5,100*3.9*M342^0.5*K342^(5/3))/(PI()/4*N342^2)/X342</f>
        <v>296.82895641194636</v>
      </c>
      <c r="AV342" s="4">
        <f>MIN(0.7+0.3*(MIN(S342,AA342)+0.5*N342)/1.5/K342,1)</f>
        <v>0.76191950464396285</v>
      </c>
      <c r="AW342" s="4">
        <v>1.25</v>
      </c>
      <c r="AX342" s="4">
        <f>AX341</f>
        <v>2.5</v>
      </c>
      <c r="AY342" s="38">
        <f>AT342*AV342*AW342*AX342*AU342</f>
        <v>410.87247777176111</v>
      </c>
      <c r="AZ342" s="38">
        <f>AY342</f>
        <v>410.87247777176111</v>
      </c>
      <c r="BA342" s="38">
        <f>IF(M342&lt;50, 0.3*M342^(2/3), 2.12*LN(1+0.1*(M342+8)))</f>
        <v>4.3734044077759826</v>
      </c>
      <c r="BB342" s="38">
        <f>AX342* (M342^0.5/AS342^0.5)/(PI()/4*N342^2)/X342/0.72 *(0.7+(MIN(S342,AA342)+0.5*N342)/5/K342) *(3*Q342*K342)</f>
        <v>410.87247777176123</v>
      </c>
      <c r="BC342" s="38">
        <f>AY342/BB342</f>
        <v>0.99999999999999978</v>
      </c>
      <c r="BD342" s="38">
        <f>BH342/BB342</f>
        <v>3.183125226035874</v>
      </c>
      <c r="BE342" s="4">
        <f>IF(BD342&lt;1,1,0)</f>
        <v>0</v>
      </c>
      <c r="BF342" s="4">
        <f>L342/N342*M342^0.5/0.19</f>
        <v>397.30818403784269</v>
      </c>
      <c r="BG342" s="4">
        <f>MIN(0.6+0.4*(AC342/AB342),2)</f>
        <v>1</v>
      </c>
      <c r="BH342" s="38">
        <f>2*M342*AB342*AD342^0.5*BG342*0.7/0.7</f>
        <v>1307.8585486791571</v>
      </c>
      <c r="BI342" s="4">
        <f>MAX(1-0.7*AE342/5,0.3)</f>
        <v>0.3</v>
      </c>
      <c r="BJ342" s="4">
        <f>BI342*J342*L342/(J342*N342/2.75/M342^0.5)</f>
        <v>62.278057847931834</v>
      </c>
      <c r="BK342" s="4">
        <f>BH342+BJ342</f>
        <v>1370.136606527089</v>
      </c>
      <c r="BM342" s="4">
        <f>MIN(1.5, 0.75+0.25*MIN(3,MAX(1,S342/N342))+0.4*MIN(1,(40*2*PI()*AM342^2/4/AO342/X342)/N342))</f>
        <v>1.375</v>
      </c>
      <c r="BN342" s="4">
        <f>(3*P342+30)*BM342*M342^0.5</f>
        <v>632.74249691732609</v>
      </c>
      <c r="BP342" s="4">
        <f>3.4/PI()^0.5*M342*AB342*AE342^0.5*BG342</f>
        <v>1254.3962888617332</v>
      </c>
      <c r="BQ342" s="4">
        <f>8/3*AH342*AI342^2/(AG342-N342-22)/N342*(AG342^2-N342^2)/(AG342^2-(N342+22)^2)</f>
        <v>0</v>
      </c>
      <c r="BR342" s="4">
        <f>BQ342/BP342</f>
        <v>0</v>
      </c>
      <c r="BZ342" s="4">
        <f>IF(W342=0,S342,MIN(W342/2,S342))</f>
        <v>63.5</v>
      </c>
      <c r="CD342" s="9"/>
      <c r="CF342" s="9"/>
      <c r="CG342" s="9"/>
      <c r="CH342" s="9">
        <f>IF(W342=0,MIN(S342,U342),MIN(W342/2,S342,U342))</f>
        <v>63.5</v>
      </c>
      <c r="CI342" s="9">
        <f>MAX(W342/2,S342)</f>
        <v>125.72999999999996</v>
      </c>
      <c r="CJ342" s="9">
        <f>(CH342/N342)^0.5*(CI342/CH342)^0.15</f>
        <v>1.7517405482385959</v>
      </c>
      <c r="CK342" s="70">
        <f>IF(AO342&gt;1,20,0)</f>
        <v>20</v>
      </c>
      <c r="CL342" s="9">
        <f>MIN(PI()*AM342^2/4*AN342*2/X342/N342/MAX(0.01,AO342),0.05)</f>
        <v>0</v>
      </c>
      <c r="CM342" s="9">
        <f>MAX(0,CK342*(CL342-0.5/50))</f>
        <v>0</v>
      </c>
      <c r="CN342" s="9">
        <f>MIN(1,(25/N342)^0.3)</f>
        <v>0.99524931562137331</v>
      </c>
      <c r="CO342" s="9">
        <f>IF(J342&gt;=800,0.68,IF(J342&gt;=700,0.75-(J342-700)*0.07/100,IF(J342&gt;=600,0.85-(J342-600)*0.1/100,IF(J342&gt;=500,1-(J342-500)*0.15/100,1.2-(J342-400)*0.2/100))))</f>
        <v>0.68048275862068963</v>
      </c>
      <c r="CP342" s="9">
        <f>1.75*CN342*CO342*(M342/25)^0.5</f>
        <v>1.8466066401443861</v>
      </c>
      <c r="CQ342" s="9">
        <f>MIN((CJ342+CM342)*CP342,2.5*CP342,M342^0.5)</f>
        <v>3.2347757281875587</v>
      </c>
      <c r="CR342" s="40">
        <v>1</v>
      </c>
      <c r="CS342" s="9">
        <f>4*CQ342*P342+60*CQ342</f>
        <v>319.46645091580331</v>
      </c>
      <c r="CU342" s="4">
        <f>AJ342/BF342</f>
        <v>1.8712130928348991</v>
      </c>
      <c r="CV342" s="4">
        <f>AJ342/BK342</f>
        <v>0.54260887003559544</v>
      </c>
      <c r="CW342" s="4">
        <f>AJ342/BN342</f>
        <v>1.1749618201465732</v>
      </c>
      <c r="CX342" s="4">
        <f>AJ342/CS342</f>
        <v>2.3271560244615728</v>
      </c>
      <c r="CY342" s="4">
        <f>AJ342/DZ342</f>
        <v>1.0814969925658282</v>
      </c>
      <c r="CZ342" s="4">
        <f>AJ342/EL342</f>
        <v>1.0734511207027237</v>
      </c>
      <c r="DA342" s="4">
        <f>AJ342/GI342</f>
        <v>1.378337467570502</v>
      </c>
      <c r="DB342" s="4">
        <f>AN342</f>
        <v>0</v>
      </c>
      <c r="DC342" s="4">
        <f>CU342</f>
        <v>1.8712130928348991</v>
      </c>
      <c r="DD342" s="4">
        <f>CV342</f>
        <v>0.54260887003559544</v>
      </c>
      <c r="DE342" s="4">
        <f>CX342</f>
        <v>2.3271560244615728</v>
      </c>
      <c r="DF342" s="4">
        <f>DA342</f>
        <v>1.378337467570502</v>
      </c>
      <c r="DG342" s="4">
        <f>CY342</f>
        <v>1.0814969925658282</v>
      </c>
      <c r="DH342" s="4">
        <f>CZ342</f>
        <v>1.0734511207027237</v>
      </c>
      <c r="DQ342" s="4">
        <f>L342</f>
        <v>246.12599999999998</v>
      </c>
      <c r="DT342" s="4">
        <f>K342/4/(1-0.3*(M342/30)^0.5)/200000/N342</f>
        <v>2.1127512369735255E-5</v>
      </c>
      <c r="DU342" s="4">
        <f>EP342</f>
        <v>9.8430311725779873</v>
      </c>
      <c r="DV342" s="4">
        <f>EC342*AG342/257/M342/AD342</f>
        <v>0.19337960299149198</v>
      </c>
      <c r="DW342" s="4">
        <f>DU342*DV342^0.4</f>
        <v>5.1014440303118125</v>
      </c>
      <c r="DX342" s="4">
        <f>MIN(DU342, DU342/1.4*(1-DV342^1.4)/(1-DV342))</f>
        <v>7.8427012828187666</v>
      </c>
      <c r="DY342" s="4">
        <f>MAX(DU342/2, (4-DT342*(8*AG342*(DW342-DX342)+6*K342*DX342))/(4+DT342*K342*DU342)*DU342)</f>
        <v>9.2307511883463249</v>
      </c>
      <c r="DZ342" s="38">
        <f>MIN(1/N342*(4*AG342*(DW342-DX342)+(3*DX342+DY342)*K342)+EC342 -FJ342,MAX(J342,AJ342))</f>
        <v>687.42519024325156</v>
      </c>
      <c r="EA342" s="4">
        <f>DZ342/FF342</f>
        <v>1.0000940744101987</v>
      </c>
      <c r="EB342" s="4">
        <f>AG342/N342</f>
        <v>3.7282703764614493</v>
      </c>
      <c r="EC342" s="4">
        <f>MIN(EB$10*BB342)</f>
        <v>410.87247777176123</v>
      </c>
      <c r="EG342" s="4">
        <f>IF(U342&gt;1*N342,0.85,1)</f>
        <v>0.85</v>
      </c>
      <c r="EH342" s="4">
        <f>MIN(1,MAX(0.7,(1-0.1*(BZ342-1*N342)/N342)))</f>
        <v>0.85</v>
      </c>
      <c r="EI342" s="4">
        <f>MIN(1,MAX(0.7,1-0.3*(PI()*AM342^2/4*AQ342*2-0.25*PI()/4*N342^2)/(PI()/4*N342^2)))</f>
        <v>1</v>
      </c>
      <c r="EJ342" s="4">
        <f>IF(EH342*EI342&lt;0.7,0.7,EH342*EI342)</f>
        <v>0.85</v>
      </c>
      <c r="EL342" s="4">
        <f>MIN(DU342/N342*3*K342+EM342-FJ342,MAX(J342,AJ342))</f>
        <v>692.57766983873307</v>
      </c>
      <c r="EM342" s="25">
        <f>13.3*Q342*K342^0.5*M342^0.5/X342/N342^2*(0.7+S342/5/K342)</f>
        <v>406.44075365189104</v>
      </c>
      <c r="EO342" s="4">
        <f>EG342*EJ342</f>
        <v>0.72249999999999992</v>
      </c>
      <c r="EP342" s="4">
        <f>IF(N342&lt;22.2,1.1*5*(M342/30)^0.5,IF(N342&gt;=31.8,0.9*5*(M342/30)^0.5,1*5*(M342/30)^0.5))/EG342/EJ342</f>
        <v>9.8430311725779873</v>
      </c>
      <c r="ES342" s="4">
        <f>ET342*N342</f>
        <v>94.698067562120812</v>
      </c>
      <c r="ET342" s="4">
        <f>AF342^0.5</f>
        <v>3.7282703764614498</v>
      </c>
      <c r="EU342" s="4">
        <f>MIN(EC342)/(4700*M342^0.5)/AE342*ES342</f>
        <v>8.237648650767096E-2</v>
      </c>
      <c r="EX342" s="4">
        <f>EU342</f>
        <v>8.237648650767096E-2</v>
      </c>
      <c r="EY342" s="4">
        <f>MIN(0.999, EX342/(0.3*(M342/30)^0.5))</f>
        <v>0.19305688847515784</v>
      </c>
      <c r="EZ342" s="4">
        <f>EP342/1*EY342^0.4</f>
        <v>5.0980369802049079</v>
      </c>
      <c r="FA342" s="4">
        <f>EP342/1.4*(1-EY342^1.4)/(1-EY342)</f>
        <v>7.8416043118474654</v>
      </c>
      <c r="FB342" s="4">
        <f>MAX(0,DQ342*FB$9-ES342)</f>
        <v>89.89643243787917</v>
      </c>
      <c r="FC342" s="4">
        <f>MAX(0,DQ342-ES342-FB342)</f>
        <v>61.531500000000008</v>
      </c>
      <c r="FD342" s="4">
        <f>FC342/(1-0.3*(M342/30)^0.5)/200000/N342</f>
        <v>2.1127512369735259E-5</v>
      </c>
      <c r="FE342" s="4">
        <f>MAX(0.5*EP342, (1-2*FD342*(ES342*EZ342+FB342*FA342))/(1/EP342+FD342*FC342))</f>
        <v>9.2309241819870902</v>
      </c>
      <c r="FF342" s="4">
        <f>MIN(4/N342*(1*EZ342*ES342+FA342*FB342+FC342*FE342)+EC342,MAX(J342,AJ342))</f>
        <v>687.36052720706061</v>
      </c>
      <c r="FI342" s="4">
        <f>5.25*25.4</f>
        <v>133.35</v>
      </c>
      <c r="FO342" s="23">
        <f>IF(CU342&lt;0.6,0.6,IF(CU342&lt;0.8,0.8,IF(CU342&lt;1,1,IF(CU342&lt;1.2,1.2,IF(CU342&lt;1.4,1.4,IF(CU342&lt;1.6,1.6,IF(CU342&lt;1.8,1.8,IF(CU342&lt;2,2,2.2))))))))</f>
        <v>2</v>
      </c>
      <c r="FP342" s="23">
        <f>IF(CV342&lt;0.6,0.6,IF(CV342&lt;0.8,0.8,IF(CV342&lt;1,1,IF(CV342&lt;1.2,1.2,IF(CV342&lt;1.4,1.4,IF(CV342&lt;1.6,1.6,IF(CV342&lt;1.8,1.8,IF(CV342&lt;2,2,2.2))))))))</f>
        <v>0.6</v>
      </c>
      <c r="FQ342" s="23">
        <f>IF(DA342&lt;0.6,0.6,IF(DA342&lt;0.8,0.8,IF(DA342&lt;1,1,IF(DA342&lt;1.2,1.2,IF(DA342&lt;1.4,1.4,IF(DA342&lt;1.6,1.6,IF(DA342&lt;1.8,1.8,IF(DA342&lt;2,2,2.2))))))))</f>
        <v>1.4</v>
      </c>
      <c r="FR342" s="23">
        <f>IF(CX342&lt;0.6,0.6,IF(CX342&lt;0.8,0.8,IF(CX342&lt;1,1,IF(CX342&lt;1.2,1.2,IF(CX342&lt;1.4,1.4,IF(CX342&lt;1.6,1.6,IF(CX342&lt;1.8,1.8,IF(CX342&lt;2,2,2.2))))))))</f>
        <v>2.2000000000000002</v>
      </c>
      <c r="FS342" s="23">
        <f>IF(CY342&lt;0.6,0.6,IF(CY342&lt;0.8,0.8,IF(CY342&lt;1,1,IF(CY342&lt;1.2,1.2,IF(CY342&lt;1.4,1.4,IF(CY342&lt;1.6,1.6,IF(CY342&lt;1.8,1.8,IF(CY342&lt;2,2,2.2))))))))</f>
        <v>1.2</v>
      </c>
      <c r="FT342" s="23">
        <f>IF(CZ342&lt;0.6,0.6,IF(CZ342&lt;0.8,0.8,IF(CZ342&lt;1,1,IF(CZ342&lt;1.2,1.2,IF(CZ342&lt;1.4,1.4,IF(CZ342&lt;1.6,1.6,IF(CZ342&lt;1.8,1.8,IF(CZ342&lt;2,2,2.2))))))))</f>
        <v>1.2</v>
      </c>
      <c r="FU342" s="23">
        <f>IF(FS342&lt;1,1,0)</f>
        <v>0</v>
      </c>
      <c r="FV342" s="23"/>
      <c r="GF342" s="4">
        <f>IF(S342&gt;=2.5*25.4,1,1.25)</f>
        <v>1</v>
      </c>
      <c r="GG342" s="4">
        <f>IF(AO342&gt;1, 0.05*(18-MIN(8,(W342+N342)/N342))*(1-48000/MAX(60000,(J342*145))*(N342/25.4)^0.75*GH342), 1/12*(14-MIN(8,(W342+N342)/N342)))</f>
        <v>0.5</v>
      </c>
      <c r="GH342" s="4">
        <f>MIN(0.3, AM342^2*PI()/4*2*AP342/(N342^2*PI()/4*X342))</f>
        <v>0</v>
      </c>
      <c r="GI342" s="4">
        <f>(K342/25.4)/(N342/25.4)^1.5/0.0024*(M342*145)^0.25/GF342/GG342/145</f>
        <v>539.3804444513089</v>
      </c>
    </row>
    <row r="343" spans="1:191" ht="12" customHeight="1" x14ac:dyDescent="0.3">
      <c r="A343" s="25">
        <v>295</v>
      </c>
      <c r="B343" s="4" t="s">
        <v>605</v>
      </c>
      <c r="C343" s="4">
        <v>2016</v>
      </c>
      <c r="D343" s="4" t="s">
        <v>309</v>
      </c>
      <c r="E343" s="24" t="s">
        <v>668</v>
      </c>
      <c r="F343" s="24"/>
      <c r="G343" s="24">
        <v>35</v>
      </c>
      <c r="H343" s="7" t="s">
        <v>455</v>
      </c>
      <c r="I343" s="5">
        <f>K343/N343</f>
        <v>9.69</v>
      </c>
      <c r="J343" s="78">
        <f>115.9/0.145</f>
        <v>799.31034482758628</v>
      </c>
      <c r="K343" s="38">
        <f>9.69*25.4</f>
        <v>246.12599999999998</v>
      </c>
      <c r="L343" s="4">
        <f>K343</f>
        <v>246.12599999999998</v>
      </c>
      <c r="M343" s="38">
        <f>16030/145</f>
        <v>110.55172413793103</v>
      </c>
      <c r="N343" s="38">
        <f>1*25.4</f>
        <v>25.4</v>
      </c>
      <c r="O343" s="7">
        <f>K343/N343</f>
        <v>9.69</v>
      </c>
      <c r="P343" s="7">
        <f>L343/N343</f>
        <v>9.69</v>
      </c>
      <c r="Q343" s="38">
        <f>16.8*25.4</f>
        <v>426.71999999999997</v>
      </c>
      <c r="R343" s="32">
        <f>S343/N343</f>
        <v>2.5</v>
      </c>
      <c r="S343" s="38">
        <f>2.5*25.4</f>
        <v>63.5</v>
      </c>
      <c r="T343" s="32">
        <f>U343/N343</f>
        <v>2.85</v>
      </c>
      <c r="U343" s="39">
        <f>2.85*25.4</f>
        <v>72.39</v>
      </c>
      <c r="V343" s="32">
        <f>W343/N343</f>
        <v>9.7999999999999989</v>
      </c>
      <c r="W343" s="7">
        <f>(Q343-X343*N343-2*S343)/(X343-1)</f>
        <v>248.91999999999996</v>
      </c>
      <c r="X343" s="38">
        <v>2</v>
      </c>
      <c r="Y343" s="7">
        <f>AN343</f>
        <v>0</v>
      </c>
      <c r="Z343" s="32">
        <f>AA343/N343</f>
        <v>10.25</v>
      </c>
      <c r="AA343" s="4">
        <f>10.25*25.4</f>
        <v>260.34999999999997</v>
      </c>
      <c r="AB343" s="7">
        <f>MIN(S343/N343+0.5, W343/2/N343+0.5)</f>
        <v>3</v>
      </c>
      <c r="AC343" s="7">
        <f>S343/N343+0.5</f>
        <v>3</v>
      </c>
      <c r="AD343" s="38">
        <v>14.9</v>
      </c>
      <c r="AE343" s="4">
        <f>AD343</f>
        <v>14.9</v>
      </c>
      <c r="AF343" s="4">
        <f>AE343+1</f>
        <v>15.9</v>
      </c>
      <c r="AG343" s="7">
        <f>N343*AF343^0.5</f>
        <v>101.28200234987457</v>
      </c>
      <c r="AJ343" s="38">
        <f>AK343/0.145</f>
        <v>760.68965517241384</v>
      </c>
      <c r="AK343" s="4">
        <v>110.3</v>
      </c>
      <c r="AL343" s="4">
        <f>CY343</f>
        <v>0.95168248490077645</v>
      </c>
      <c r="AM343" s="38">
        <v>0</v>
      </c>
      <c r="AN343" s="38">
        <v>0</v>
      </c>
      <c r="AO343" s="39">
        <f>L343</f>
        <v>246.12599999999998</v>
      </c>
      <c r="AP343" s="39"/>
      <c r="AQ343" s="39"/>
      <c r="AR343" s="7"/>
      <c r="AS343" s="4">
        <f>K343</f>
        <v>246.12599999999998</v>
      </c>
      <c r="AT343" s="4">
        <f>IF(K343*3&gt;W343+N343, Q343, (S343+N343/2)*2+1.5*K343*(2*X343-2))*(3*K343)/(9*K343^2)</f>
        <v>0.57791537667698656</v>
      </c>
      <c r="AU343" s="4">
        <f>MIN(10*M343^0.5*K343^1.5,100*3.9*M343^0.5*K343^(5/3))/(PI()/4*N343^2)/X343</f>
        <v>400.61913628025081</v>
      </c>
      <c r="AV343" s="4">
        <f>MIN(0.7+0.3*(MIN(S343,AA343)+0.5*N343)/1.5/K343,1)</f>
        <v>0.76191950464396285</v>
      </c>
      <c r="AW343" s="4">
        <v>1.25</v>
      </c>
      <c r="AX343" s="4">
        <f>AX342</f>
        <v>2.5</v>
      </c>
      <c r="AY343" s="38">
        <f>AT343*AV343*AW343*AX343*AU343</f>
        <v>551.25818809566204</v>
      </c>
      <c r="AZ343" s="38">
        <f>AY343</f>
        <v>551.25818809566204</v>
      </c>
      <c r="BA343" s="38">
        <f>IF(M343&lt;50, 0.3*M343^(2/3), 2.12*LN(1+0.1*(M343+8)))</f>
        <v>5.4139420559889198</v>
      </c>
      <c r="BB343" s="38">
        <f>AX343* (M343^0.5/AS343^0.5)/(PI()/4*N343^2)/X343/0.72 *(0.7+(MIN(S343,AA343)+0.5*N343)/5/K343) *(3*Q343*K343)</f>
        <v>551.25818809566215</v>
      </c>
      <c r="BC343" s="38">
        <f>AY343/BB343</f>
        <v>0.99999999999999978</v>
      </c>
      <c r="BD343" s="38">
        <f>BH343/BB343</f>
        <v>4.6446698743115062</v>
      </c>
      <c r="BE343" s="4">
        <f>IF(BD343&lt;1,1,0)</f>
        <v>0</v>
      </c>
      <c r="BF343" s="4">
        <f>L343/N343*M343^0.5/0.19</f>
        <v>536.23225796548138</v>
      </c>
      <c r="BG343" s="4">
        <f>MIN(0.6+0.4*(AC343/AB343),2)</f>
        <v>1</v>
      </c>
      <c r="BH343" s="38">
        <f>2*M343*AB343*AD343^0.5*BG343*0.7/0.7</f>
        <v>2560.412299215468</v>
      </c>
      <c r="BI343" s="4">
        <f>MAX(1-0.7*AE343/5,0.3)</f>
        <v>0.3</v>
      </c>
      <c r="BJ343" s="4">
        <f>BI343*J343*L343/(J343*N343/2.75/M343^0.5)</f>
        <v>84.054406436089209</v>
      </c>
      <c r="BK343" s="4">
        <f>BH343+BJ343</f>
        <v>2644.4667056515573</v>
      </c>
      <c r="BM343" s="4">
        <f>MIN(1.5, 0.75+0.25*MIN(3,MAX(1,S343/N343))+0.4*MIN(1,(40*2*PI()*AM343^2/4/AO343/X343)/N343))</f>
        <v>1.375</v>
      </c>
      <c r="BN343" s="4">
        <f>(3*P343+30)*BM343*M343^0.5</f>
        <v>853.9892996525266</v>
      </c>
      <c r="BP343" s="4">
        <f>3.4/PI()^0.5*M343*AB343*AE343^0.5*BG343</f>
        <v>2455.7485129683778</v>
      </c>
      <c r="BQ343" s="4">
        <f>8/3*AH343*AI343^2/(AG343-N343-22)/N343*(AG343^2-N343^2)/(AG343^2-(N343+22)^2)</f>
        <v>0</v>
      </c>
      <c r="BR343" s="4">
        <f>BQ343/BP343</f>
        <v>0</v>
      </c>
      <c r="BZ343" s="4">
        <f>IF(W343=0,S343,MIN(W343/2,S343))</f>
        <v>63.5</v>
      </c>
      <c r="CD343" s="9"/>
      <c r="CF343" s="9"/>
      <c r="CG343" s="9"/>
      <c r="CH343" s="9">
        <f>IF(W343=0,MIN(S343,U343),MIN(W343/2,S343,U343))</f>
        <v>63.5</v>
      </c>
      <c r="CI343" s="9">
        <f>MAX(W343/2,S343)</f>
        <v>124.45999999999998</v>
      </c>
      <c r="CJ343" s="9">
        <f>(CH343/N343)^0.5*(CI343/CH343)^0.15</f>
        <v>1.7490749303163509</v>
      </c>
      <c r="CK343" s="70">
        <f>IF(AO343&gt;1,20,0)</f>
        <v>20</v>
      </c>
      <c r="CL343" s="9">
        <f>MIN(PI()*AM343^2/4*AN343*2/X343/N343/MAX(0.01,AO343),0.05)</f>
        <v>0</v>
      </c>
      <c r="CM343" s="9">
        <f>MAX(0,CK343*(CL343-0.5/50))</f>
        <v>0</v>
      </c>
      <c r="CN343" s="9">
        <f>MIN(1,(25/N343)^0.3)</f>
        <v>0.99524931562137331</v>
      </c>
      <c r="CO343" s="9">
        <f>IF(J343&gt;=800,0.68,IF(J343&gt;=700,0.75-(J343-700)*0.07/100,IF(J343&gt;=600,0.85-(J343-600)*0.1/100,IF(J343&gt;=500,1-(J343-500)*0.15/100,1.2-(J343-400)*0.2/100))))</f>
        <v>0.68048275862068963</v>
      </c>
      <c r="CP343" s="9">
        <f>1.75*CN343*CO343*(M343/25)^0.5</f>
        <v>2.4922971335630986</v>
      </c>
      <c r="CQ343" s="9">
        <f>MIN((CJ343+CM343)*CP343,2.5*CP343,M343^0.5)</f>
        <v>4.3592144352145175</v>
      </c>
      <c r="CR343" s="40">
        <v>1</v>
      </c>
      <c r="CS343" s="9">
        <f>4*CQ343*P343+60*CQ343</f>
        <v>430.51601762178575</v>
      </c>
      <c r="CU343" s="4">
        <f>AJ343/BF343</f>
        <v>1.4185824218381531</v>
      </c>
      <c r="CV343" s="4">
        <f>AJ343/BK343</f>
        <v>0.28765333046043823</v>
      </c>
      <c r="CW343" s="4">
        <f>AJ343/BN343</f>
        <v>0.89074846193263224</v>
      </c>
      <c r="CX343" s="4">
        <f>AJ343/CS343</f>
        <v>1.766925326900822</v>
      </c>
      <c r="CY343" s="4">
        <f>AJ343/DZ343</f>
        <v>0.95168248490077645</v>
      </c>
      <c r="CZ343" s="4">
        <f>AJ343/EL343</f>
        <v>0.95168248490077645</v>
      </c>
      <c r="DA343" s="4">
        <f>AJ343/GI343</f>
        <v>1.213946649650911</v>
      </c>
      <c r="DB343" s="4">
        <f>AN343</f>
        <v>0</v>
      </c>
      <c r="DC343" s="4">
        <f>CU343</f>
        <v>1.4185824218381531</v>
      </c>
      <c r="DD343" s="4">
        <f>CV343</f>
        <v>0.28765333046043823</v>
      </c>
      <c r="DE343" s="4">
        <f>CX343</f>
        <v>1.766925326900822</v>
      </c>
      <c r="DF343" s="4">
        <f>DA343</f>
        <v>1.213946649650911</v>
      </c>
      <c r="DG343" s="4">
        <f>CY343</f>
        <v>0.95168248490077645</v>
      </c>
      <c r="DH343" s="4">
        <f>CZ343</f>
        <v>0.95168248490077645</v>
      </c>
      <c r="DQ343" s="4">
        <f>L343</f>
        <v>246.12599999999998</v>
      </c>
      <c r="DT343" s="4">
        <f>K343/4/(1-0.3*(M343/30)^0.5)/200000/N343</f>
        <v>2.8560151401173934E-5</v>
      </c>
      <c r="DU343" s="4">
        <f>EP343</f>
        <v>13.284777517679784</v>
      </c>
      <c r="DV343" s="4">
        <f>EC343*AG343/257/M343/AD343</f>
        <v>0.13188713077629979</v>
      </c>
      <c r="DW343" s="4">
        <f>DU343*DV343^0.4</f>
        <v>5.907928813162874</v>
      </c>
      <c r="DX343" s="4">
        <f>MIN(DU343, DU343/1.4*(1-DV343^1.4)/(1-DV343))</f>
        <v>10.289641047041734</v>
      </c>
      <c r="DY343" s="4">
        <f>MAX(DU343/2, (4-DT343*(8*AG343*(DW343-DX343)+6*K343*DX343))/(4+DT343*K343*DU343)*DU343)</f>
        <v>11.902334914317441</v>
      </c>
      <c r="DZ343" s="38">
        <f>MIN(1/N343*(4*AG343*(DW343-DX343)+(3*DX343+DY343)*K343)+EC343 -FJ343,MAX(J343,AJ343))</f>
        <v>799.31034482758628</v>
      </c>
      <c r="EA343" s="4">
        <f>DZ343/FF343</f>
        <v>1</v>
      </c>
      <c r="EB343" s="4">
        <f>AG343/N343</f>
        <v>3.9874804074753771</v>
      </c>
      <c r="EC343" s="4">
        <f>MIN(EB$10*BB343)</f>
        <v>551.25818809566215</v>
      </c>
      <c r="EG343" s="4">
        <f>IF(U343&gt;1*N343,0.85,1)</f>
        <v>0.85</v>
      </c>
      <c r="EH343" s="4">
        <f>MIN(1,MAX(0.7,(1-0.1*(BZ343-1*N343)/N343)))</f>
        <v>0.85</v>
      </c>
      <c r="EI343" s="4">
        <f>MIN(1,MAX(0.7,1-0.3*(PI()*AM343^2/4*AQ343*2-0.25*PI()/4*N343^2)/(PI()/4*N343^2)))</f>
        <v>1</v>
      </c>
      <c r="EJ343" s="4">
        <f>IF(EH343*EI343&lt;0.7,0.7,EH343*EI343)</f>
        <v>0.85</v>
      </c>
      <c r="EL343" s="4">
        <f>MIN(DU343/N343*3*K343+EM343-FJ343,MAX(J343,AJ343))</f>
        <v>799.31034482758628</v>
      </c>
      <c r="EM343" s="25">
        <f>13.3*Q343*K343^0.5*M343^0.5/X343/N343^2*(0.7+S343/5/K343)</f>
        <v>545.31224539901723</v>
      </c>
      <c r="EO343" s="4">
        <f>EG343*EJ343</f>
        <v>0.72249999999999992</v>
      </c>
      <c r="EP343" s="4">
        <f>IF(N343&lt;22.2,1.1*5*(M343/30)^0.5,IF(N343&gt;=31.8,0.9*5*(M343/30)^0.5,1*5*(M343/30)^0.5))/EG343/EJ343</f>
        <v>13.284777517679784</v>
      </c>
      <c r="ES343" s="4">
        <f>ET343*N343</f>
        <v>101.28200234987457</v>
      </c>
      <c r="ET343" s="4">
        <f>AF343^0.5</f>
        <v>3.9874804074753771</v>
      </c>
      <c r="EU343" s="4">
        <f>MIN(EC343)/(4700*M343^0.5)/AE343*ES343</f>
        <v>7.5826401421444881E-2</v>
      </c>
      <c r="EX343" s="4">
        <f>EU343</f>
        <v>7.5826401421444881E-2</v>
      </c>
      <c r="EY343" s="4">
        <f>MIN(0.999, EX343/(0.3*(M343/30)^0.5))</f>
        <v>0.13166703573545388</v>
      </c>
      <c r="EZ343" s="4">
        <f>EP343/1*EY343^0.4</f>
        <v>5.9039831441768227</v>
      </c>
      <c r="FA343" s="4">
        <f>EP343/1.4*(1-EY343^1.4)/(1-EY343)</f>
        <v>10.288529921112668</v>
      </c>
      <c r="FB343" s="4">
        <f>MAX(0,DQ343*FB$9-ES343)</f>
        <v>83.312497650125408</v>
      </c>
      <c r="FC343" s="4">
        <f>MAX(0,DQ343-ES343-FB343)</f>
        <v>61.531499999999994</v>
      </c>
      <c r="FD343" s="4">
        <f>FC343/(1-0.3*(M343/30)^0.5)/200000/N343</f>
        <v>2.8560151401173934E-5</v>
      </c>
      <c r="FE343" s="4">
        <f>MAX(0.5*EP343, (1-2*FD343*(ES343*EZ343+FB343*FA343))/(1/EP343+FD343*FC343))</f>
        <v>11.902699886961971</v>
      </c>
      <c r="FF343" s="4">
        <f>MIN(4/N343*(1*EZ343*ES343+FA343*FB343+FC343*FE343)+EC343,MAX(J343,AJ343))</f>
        <v>799.31034482758628</v>
      </c>
      <c r="FO343" s="23">
        <f>IF(CU343&lt;0.6,0.6,IF(CU343&lt;0.8,0.8,IF(CU343&lt;1,1,IF(CU343&lt;1.2,1.2,IF(CU343&lt;1.4,1.4,IF(CU343&lt;1.6,1.6,IF(CU343&lt;1.8,1.8,IF(CU343&lt;2,2,2.2))))))))</f>
        <v>1.6</v>
      </c>
      <c r="FP343" s="23">
        <f>IF(CV343&lt;0.6,0.6,IF(CV343&lt;0.8,0.8,IF(CV343&lt;1,1,IF(CV343&lt;1.2,1.2,IF(CV343&lt;1.4,1.4,IF(CV343&lt;1.6,1.6,IF(CV343&lt;1.8,1.8,IF(CV343&lt;2,2,2.2))))))))</f>
        <v>0.6</v>
      </c>
      <c r="FQ343" s="23">
        <f>IF(DA343&lt;0.6,0.6,IF(DA343&lt;0.8,0.8,IF(DA343&lt;1,1,IF(DA343&lt;1.2,1.2,IF(DA343&lt;1.4,1.4,IF(DA343&lt;1.6,1.6,IF(DA343&lt;1.8,1.8,IF(DA343&lt;2,2,2.2))))))))</f>
        <v>1.4</v>
      </c>
      <c r="FR343" s="23">
        <f>IF(CX343&lt;0.6,0.6,IF(CX343&lt;0.8,0.8,IF(CX343&lt;1,1,IF(CX343&lt;1.2,1.2,IF(CX343&lt;1.4,1.4,IF(CX343&lt;1.6,1.6,IF(CX343&lt;1.8,1.8,IF(CX343&lt;2,2,2.2))))))))</f>
        <v>1.8</v>
      </c>
      <c r="FS343" s="23">
        <f>IF(CY343&lt;0.6,0.6,IF(CY343&lt;0.8,0.8,IF(CY343&lt;1,1,IF(CY343&lt;1.2,1.2,IF(CY343&lt;1.4,1.4,IF(CY343&lt;1.6,1.6,IF(CY343&lt;1.8,1.8,IF(CY343&lt;2,2,2.2))))))))</f>
        <v>1</v>
      </c>
      <c r="FT343" s="23">
        <f>IF(CZ343&lt;0.6,0.6,IF(CZ343&lt;0.8,0.8,IF(CZ343&lt;1,1,IF(CZ343&lt;1.2,1.2,IF(CZ343&lt;1.4,1.4,IF(CZ343&lt;1.6,1.6,IF(CZ343&lt;1.8,1.8,IF(CZ343&lt;2,2,2.2))))))))</f>
        <v>1</v>
      </c>
      <c r="FU343" s="23">
        <f>IF(FS343&lt;1,1,0)</f>
        <v>0</v>
      </c>
      <c r="FV343" s="23"/>
      <c r="GF343" s="4">
        <f>IF(S343&gt;=2.5*25.4,1,1.25)</f>
        <v>1</v>
      </c>
      <c r="GG343" s="4">
        <f>IF(AO343&gt;1, 0.05*(18-MIN(8,(W343+N343)/N343))*(1-48000/MAX(60000,(J343*145))*(N343/25.4)^0.75*GH343), 1/12*(14-MIN(8,(W343+N343)/N343)))</f>
        <v>0.5</v>
      </c>
      <c r="GH343" s="4">
        <f>MIN(0.3, AM343^2*PI()/4*2*AP343/(N343^2*PI()/4*X343))</f>
        <v>0</v>
      </c>
      <c r="GI343" s="4">
        <f>(K343/25.4)/(N343/25.4)^1.5/0.0024*(M343*145)^0.25/GF343/GG343/145</f>
        <v>626.62527664717538</v>
      </c>
    </row>
    <row r="344" spans="1:191" ht="12" customHeight="1" x14ac:dyDescent="0.3">
      <c r="A344" s="25">
        <v>339</v>
      </c>
      <c r="B344" s="4" t="s">
        <v>605</v>
      </c>
      <c r="C344" s="4">
        <v>2016</v>
      </c>
      <c r="D344" s="4" t="s">
        <v>309</v>
      </c>
      <c r="E344" s="24" t="s">
        <v>671</v>
      </c>
      <c r="F344" s="24"/>
      <c r="G344" s="24">
        <v>20</v>
      </c>
      <c r="H344" s="7" t="s">
        <v>502</v>
      </c>
      <c r="I344" s="5">
        <f>K344/N344</f>
        <v>9.66</v>
      </c>
      <c r="J344" s="91">
        <f>120/0.145</f>
        <v>827.58620689655174</v>
      </c>
      <c r="K344" s="96">
        <f>9.66*25.4</f>
        <v>245.36399999999998</v>
      </c>
      <c r="L344" s="4">
        <f>K344</f>
        <v>245.36399999999998</v>
      </c>
      <c r="M344" s="98">
        <f>6650/145</f>
        <v>45.862068965517238</v>
      </c>
      <c r="N344" s="96">
        <f>1*25.4</f>
        <v>25.4</v>
      </c>
      <c r="O344" s="7">
        <f>K344/N344</f>
        <v>9.66</v>
      </c>
      <c r="P344" s="7">
        <f>L344/N344</f>
        <v>9.66</v>
      </c>
      <c r="Q344" s="38">
        <f>15.3*25.4</f>
        <v>388.62</v>
      </c>
      <c r="R344" s="32">
        <f>S344/N344</f>
        <v>2.5499999999999998</v>
      </c>
      <c r="S344" s="38">
        <f>2.55*25.4</f>
        <v>64.77</v>
      </c>
      <c r="T344" s="32">
        <f>U344/N344</f>
        <v>2.9999999999999996</v>
      </c>
      <c r="U344" s="39">
        <f>3*25.4</f>
        <v>76.199999999999989</v>
      </c>
      <c r="V344" s="32">
        <f>W344/N344</f>
        <v>2.0666666666666669</v>
      </c>
      <c r="W344" s="7">
        <f>(Q344-X344*N344-2*S344)/(X344-1)</f>
        <v>52.493333333333332</v>
      </c>
      <c r="X344" s="38">
        <v>4</v>
      </c>
      <c r="Y344" s="7">
        <f>AN344</f>
        <v>10</v>
      </c>
      <c r="Z344" s="32">
        <f>AA344/N344</f>
        <v>10.25</v>
      </c>
      <c r="AA344" s="4">
        <f>10.25*25.4</f>
        <v>260.34999999999997</v>
      </c>
      <c r="AB344" s="7">
        <f>MIN(S344/N344+0.5, W344/2/N344+0.5)</f>
        <v>1.5333333333333334</v>
      </c>
      <c r="AC344" s="7">
        <f>S344/N344+0.5</f>
        <v>3.05</v>
      </c>
      <c r="AD344" s="38">
        <v>4</v>
      </c>
      <c r="AE344" s="4">
        <f>AD344</f>
        <v>4</v>
      </c>
      <c r="AF344" s="4">
        <f>AE344+1</f>
        <v>5</v>
      </c>
      <c r="AG344" s="7">
        <f>N344*AF344^0.5</f>
        <v>56.796126628494655</v>
      </c>
      <c r="AJ344" s="38">
        <f>AK344/0.145</f>
        <v>424.13793103448279</v>
      </c>
      <c r="AK344" s="4">
        <v>61.5</v>
      </c>
      <c r="AL344" s="4">
        <f>CY344</f>
        <v>0.96051437093285852</v>
      </c>
      <c r="AM344" s="38">
        <f>0.5*25.4</f>
        <v>12.7</v>
      </c>
      <c r="AN344" s="38">
        <v>10</v>
      </c>
      <c r="AO344" s="39">
        <f>3*25.4</f>
        <v>76.199999999999989</v>
      </c>
      <c r="AP344" s="39">
        <v>3</v>
      </c>
      <c r="AQ344" s="39">
        <f>AP344-1</f>
        <v>2</v>
      </c>
      <c r="AR344" s="7"/>
      <c r="AS344" s="4">
        <f>K344</f>
        <v>245.36399999999998</v>
      </c>
      <c r="AT344" s="4">
        <f>IF(K344*3&gt;W344+N344, Q344, (S344+N344/2)*2+1.5*K344*(2*X344-2))*(3*K344)/(9*K344^2)</f>
        <v>0.5279503105590061</v>
      </c>
      <c r="AU344" s="4">
        <f>MIN(10*M344^0.5*K344^1.5,100*3.9*M344^0.5*K344^(5/3))/(PI()/4*N344^2)/X344</f>
        <v>128.41796400921942</v>
      </c>
      <c r="AV344" s="4">
        <f>MIN(0.7+0.3*(MIN(S344,AA344)+0.5*N344)/1.5/K344,1)</f>
        <v>0.76314699792960661</v>
      </c>
      <c r="AW344" s="4">
        <v>1.25</v>
      </c>
      <c r="AX344" s="4">
        <f>AX343</f>
        <v>2.5</v>
      </c>
      <c r="AY344" s="38">
        <f>AT344*AV344*AW344*AX344*AU344</f>
        <v>161.68772545960374</v>
      </c>
      <c r="AZ344" s="38">
        <f>AY344</f>
        <v>161.68772545960374</v>
      </c>
      <c r="BA344" s="38">
        <f>IF(M344&lt;50, 0.3*M344^(2/3), 2.12*LN(1+0.1*(M344+8)))</f>
        <v>3.8437666713572023</v>
      </c>
      <c r="BB344" s="38">
        <f>AX344* (M344^0.5/AS344^0.5)/(PI()/4*N344^2)/X344/0.72 *(0.7+(MIN(S344,AA344)+0.5*N344)/5/K344) *(3*Q344*K344)</f>
        <v>161.68772545960394</v>
      </c>
      <c r="BC344" s="38">
        <f>AY344/BB344</f>
        <v>0.99999999999999878</v>
      </c>
      <c r="BD344" s="38">
        <f>BH344/BB344</f>
        <v>2.4280093571042878</v>
      </c>
      <c r="BE344" s="4">
        <f>IF(BD344&lt;1,1,0)</f>
        <v>0</v>
      </c>
      <c r="BF344" s="4">
        <f>L344/N344*M344^0.5/0.19</f>
        <v>344.31056339493233</v>
      </c>
      <c r="BG344" s="4">
        <f>MIN(0.6+0.4*(AC344/AB344),2)</f>
        <v>1.3956521739130434</v>
      </c>
      <c r="BH344" s="38">
        <f>2*M344*AB344*AD344^0.5*BG344*0.7/0.7</f>
        <v>392.57931034482755</v>
      </c>
      <c r="BI344" s="4">
        <f>MAX(1-0.7*AE344/5,0.3)</f>
        <v>0.44000000000000006</v>
      </c>
      <c r="BJ344" s="4">
        <f>BI344*J344*L344/(J344*N344/2.75/M344^0.5)</f>
        <v>79.156998524494952</v>
      </c>
      <c r="BK344" s="4">
        <f>BH344+BJ344</f>
        <v>471.7363088693225</v>
      </c>
      <c r="BM344" s="4">
        <f>MIN(1.5, 0.75+0.25*MIN(3,MAX(1,S344/N344))+0.4*MIN(1,(40*2*PI()*AM344^2/4/AO344/X344)/N344))</f>
        <v>1.5</v>
      </c>
      <c r="BN344" s="4">
        <f>(3*P344+30)*BM344*M344^0.5</f>
        <v>599.13245893110104</v>
      </c>
      <c r="BP344" s="4">
        <f>3.4/PI()^0.5*M344*AB344*AE344^0.5*BG344</f>
        <v>376.5315679419532</v>
      </c>
      <c r="BQ344" s="4">
        <f>8/3*AH344*AI344^2/(AG344-N344-22)/N344*(AG344^2-N344^2)/(AG344^2-(N344+22)^2)</f>
        <v>0</v>
      </c>
      <c r="BR344" s="4">
        <f>BQ344/BP344</f>
        <v>0</v>
      </c>
      <c r="BZ344" s="4">
        <f>IF(W344=0,S344,MIN(W344/2,S344))</f>
        <v>26.246666666666666</v>
      </c>
      <c r="CD344" s="9"/>
      <c r="CF344" s="9"/>
      <c r="CG344" s="9"/>
      <c r="CH344" s="9">
        <f>IF(W344=0,MIN(S344,U344),MIN(W344/2,S344,U344))</f>
        <v>26.246666666666666</v>
      </c>
      <c r="CI344" s="9">
        <f>MAX(W344/2,S344)</f>
        <v>64.77</v>
      </c>
      <c r="CJ344" s="9">
        <f>(CH344/N344)^0.5*(CI344/CH344)^0.15</f>
        <v>1.1640327001925783</v>
      </c>
      <c r="CK344" s="70">
        <f>IF(AO344&gt;1,20,0)</f>
        <v>20</v>
      </c>
      <c r="CL344" s="9">
        <f>MIN(PI()*AM344^2/4*AN344*2/X344/N344/MAX(0.01,AO344),0.05)</f>
        <v>0.05</v>
      </c>
      <c r="CM344" s="9">
        <f>MAX(0,CK344*(CL344-0.5/50))</f>
        <v>0.8</v>
      </c>
      <c r="CN344" s="9">
        <f>MIN(1,(25/N344)^0.3)</f>
        <v>0.99524931562137331</v>
      </c>
      <c r="CO344" s="9">
        <f>IF(J344&gt;=800,0.68,IF(J344&gt;=700,0.75-(J344-700)*0.07/100,IF(J344&gt;=600,0.85-(J344-600)*0.1/100,IF(J344&gt;=500,1-(J344-500)*0.15/100,1.2-(J344-400)*0.2/100))))</f>
        <v>0.68</v>
      </c>
      <c r="CP344" s="9">
        <f>1.75*CN344*CO344*(M344/25)^0.5</f>
        <v>1.6041156142513788</v>
      </c>
      <c r="CQ344" s="9">
        <f>MIN((CJ344+CM344)*CP344,2.5*CP344,M344^0.5)</f>
        <v>3.1505355212792119</v>
      </c>
      <c r="CR344" s="40">
        <v>1</v>
      </c>
      <c r="CS344" s="9">
        <f>4*CQ344*P344+60*CQ344</f>
        <v>310.76882381898145</v>
      </c>
      <c r="CU344" s="4">
        <f>AJ344/BF344</f>
        <v>1.2318469896840969</v>
      </c>
      <c r="CV344" s="4">
        <f>AJ344/BK344</f>
        <v>0.89909960937938926</v>
      </c>
      <c r="CW344" s="4">
        <f>AJ344/BN344</f>
        <v>0.70792013470807091</v>
      </c>
      <c r="CX344" s="4">
        <f>AJ344/CS344</f>
        <v>1.3648020603300197</v>
      </c>
      <c r="CY344" s="4">
        <f>AJ344/DZ344</f>
        <v>0.96051437093285852</v>
      </c>
      <c r="CZ344" s="4">
        <f>AJ344/EL344</f>
        <v>0.97995058160380566</v>
      </c>
      <c r="DA344" s="4">
        <f>AJ344/GI344</f>
        <v>1.1117656600092876</v>
      </c>
      <c r="DB344" s="4">
        <f>AN344</f>
        <v>10</v>
      </c>
      <c r="DI344" s="4">
        <f>CU344</f>
        <v>1.2318469896840969</v>
      </c>
      <c r="DJ344" s="4">
        <f>CV344</f>
        <v>0.89909960937938926</v>
      </c>
      <c r="DK344" s="4">
        <f>CX344</f>
        <v>1.3648020603300197</v>
      </c>
      <c r="DL344" s="4">
        <f>DA344</f>
        <v>1.1117656600092876</v>
      </c>
      <c r="DM344" s="4">
        <f>CY344</f>
        <v>0.96051437093285852</v>
      </c>
      <c r="DN344" s="4">
        <f>CZ344</f>
        <v>0.97995058160380566</v>
      </c>
      <c r="DQ344" s="4">
        <f>L344</f>
        <v>245.36399999999998</v>
      </c>
      <c r="DT344" s="4">
        <f>K344/4/(1-0.3*(M344/30)^0.5)/200000/N344</f>
        <v>1.9194884594144994E-5</v>
      </c>
      <c r="DU344" s="4">
        <f>EP344</f>
        <v>9.4159823699857537</v>
      </c>
      <c r="DV344" s="4">
        <f>EC344*AG344/257/M344/AD344</f>
        <v>0.19478208606742883</v>
      </c>
      <c r="DW344" s="4">
        <f>DU344*DV344^0.4</f>
        <v>4.8942397704336393</v>
      </c>
      <c r="DX344" s="4">
        <f>MIN(DU344, DU344/1.4*(1-DV344^1.4)/(1-DV344))</f>
        <v>7.5069937070610697</v>
      </c>
      <c r="DY344" s="4">
        <f>MAX(DU344/2, (4-DT344*(8*AG344*(DW344-DX344)+6*K344*DX344))/(4+DT344*K344*DU344)*DU344)</f>
        <v>8.8718971860366747</v>
      </c>
      <c r="DZ344" s="38">
        <f>MIN(1/N344*(4*AG344*(DW344-DX344)+(3*DX344+DY344)*K344)+EC344 -FJ344,MAX(J344,AJ344))</f>
        <v>441.57374826423154</v>
      </c>
      <c r="EA344" s="4">
        <f>DZ344/FF344</f>
        <v>1.0001115864575323</v>
      </c>
      <c r="EB344" s="4">
        <f>AG344/N344</f>
        <v>2.2360679774997898</v>
      </c>
      <c r="EC344" s="4">
        <f>MIN(EB$10*BB344)</f>
        <v>161.68772545960394</v>
      </c>
      <c r="EG344" s="4">
        <f>IF(U344&gt;1*N344,0.85,1)</f>
        <v>0.85</v>
      </c>
      <c r="EH344" s="4">
        <f>MIN(1,MAX(0.7,(1-0.1*(BZ344-1*N344)/N344)))</f>
        <v>0.9966666666666667</v>
      </c>
      <c r="EI344" s="4">
        <f>MIN(1,MAX(0.7,1-0.3*(PI()*AM344^2/4*AQ344*2-0.25*PI()/4*N344^2)/(PI()/4*N344^2)))</f>
        <v>0.77500000000000002</v>
      </c>
      <c r="EJ344" s="4">
        <f>IF(EH344*EI344&lt;0.7,0.7,EH344*EI344)</f>
        <v>0.77241666666666675</v>
      </c>
      <c r="EL344" s="4">
        <f>MIN(DU344/N344*3*K344+EM344-FJ344,MAX(J344,AJ344))</f>
        <v>432.81563274377635</v>
      </c>
      <c r="EM344" s="25">
        <f>13.3*Q344*K344^0.5*M344^0.5/X344/N344^2*(0.7+S344/5/K344)</f>
        <v>159.94046366158921</v>
      </c>
      <c r="EO344" s="4">
        <f>EG344*EJ344</f>
        <v>0.65655416666666677</v>
      </c>
      <c r="EP344" s="4">
        <f>IF(N344&lt;22.2,1.1*5*(M344/30)^0.5,IF(N344&gt;=31.8,0.9*5*(M344/30)^0.5,1*5*(M344/30)^0.5))/EG344/EJ344</f>
        <v>9.4159823699857537</v>
      </c>
      <c r="ES344" s="4">
        <f>ET344*N344</f>
        <v>56.796126628494655</v>
      </c>
      <c r="ET344" s="4">
        <f>AF344^0.5</f>
        <v>2.2360679774997898</v>
      </c>
      <c r="EU344" s="4">
        <f>MIN(EC344)/(4700*M344^0.5)/AE344*ES344</f>
        <v>7.2129197387733698E-2</v>
      </c>
      <c r="EX344" s="4">
        <f>EU344</f>
        <v>7.2129197387733698E-2</v>
      </c>
      <c r="EY344" s="4">
        <f>MIN(0.999, EX344/(0.3*(M344/30)^0.5))</f>
        <v>0.19445703106822826</v>
      </c>
      <c r="EZ344" s="4">
        <f>EP344/1*EY344^0.4</f>
        <v>4.8909711037514221</v>
      </c>
      <c r="FA344" s="4">
        <f>EP344/1.4*(1-EY344^1.4)/(1-EY344)</f>
        <v>7.5059387417506507</v>
      </c>
      <c r="FB344" s="4">
        <f>MAX(0,DQ344*FB$9-ES344)</f>
        <v>127.22687337150532</v>
      </c>
      <c r="FC344" s="4">
        <f>MAX(0,DQ344-ES344-FB344)</f>
        <v>61.341000000000008</v>
      </c>
      <c r="FD344" s="4">
        <f>FC344/(1-0.3*(M344/30)^0.5)/200000/N344</f>
        <v>1.9194884594144997E-5</v>
      </c>
      <c r="FE344" s="4">
        <f>MAX(0.5*EP344, (1-2*FD344*(ES344*EZ344+FB344*FA344))/(1/EP344+FD344*FC344))</f>
        <v>8.8720115430804984</v>
      </c>
      <c r="FF344" s="4">
        <f>MIN(4/N344*(1*EZ344*ES344+FA344*FB344+FC344*FE344)+EC344,MAX(J344,AJ344))</f>
        <v>441.52448011158208</v>
      </c>
      <c r="FO344" s="23">
        <f>IF(CU344&lt;0.6,0.6,IF(CU344&lt;0.8,0.8,IF(CU344&lt;1,1,IF(CU344&lt;1.2,1.2,IF(CU344&lt;1.4,1.4,IF(CU344&lt;1.6,1.6,IF(CU344&lt;1.8,1.8,IF(CU344&lt;2,2,2.2))))))))</f>
        <v>1.4</v>
      </c>
      <c r="FP344" s="23">
        <f>IF(CV344&lt;0.6,0.6,IF(CV344&lt;0.8,0.8,IF(CV344&lt;1,1,IF(CV344&lt;1.2,1.2,IF(CV344&lt;1.4,1.4,IF(CV344&lt;1.6,1.6,IF(CV344&lt;1.8,1.8,IF(CV344&lt;2,2,2.2))))))))</f>
        <v>1</v>
      </c>
      <c r="FQ344" s="23">
        <f>IF(DA344&lt;0.6,0.6,IF(DA344&lt;0.8,0.8,IF(DA344&lt;1,1,IF(DA344&lt;1.2,1.2,IF(DA344&lt;1.4,1.4,IF(DA344&lt;1.6,1.6,IF(DA344&lt;1.8,1.8,IF(DA344&lt;2,2,2.2))))))))</f>
        <v>1.2</v>
      </c>
      <c r="FR344" s="23">
        <f>IF(CX344&lt;0.6,0.6,IF(CX344&lt;0.8,0.8,IF(CX344&lt;1,1,IF(CX344&lt;1.2,1.2,IF(CX344&lt;1.4,1.4,IF(CX344&lt;1.6,1.6,IF(CX344&lt;1.8,1.8,IF(CX344&lt;2,2,2.2))))))))</f>
        <v>1.4</v>
      </c>
      <c r="FS344" s="23">
        <f>IF(CY344&lt;0.6,0.6,IF(CY344&lt;0.8,0.8,IF(CY344&lt;1,1,IF(CY344&lt;1.2,1.2,IF(CY344&lt;1.4,1.4,IF(CY344&lt;1.6,1.6,IF(CY344&lt;1.8,1.8,IF(CY344&lt;2,2,2.2))))))))</f>
        <v>1</v>
      </c>
      <c r="FT344" s="23">
        <f>IF(CZ344&lt;0.6,0.6,IF(CZ344&lt;0.8,0.8,IF(CZ344&lt;1,1,IF(CZ344&lt;1.2,1.2,IF(CZ344&lt;1.4,1.4,IF(CZ344&lt;1.6,1.6,IF(CZ344&lt;1.8,1.8,IF(CZ344&lt;2,2,2.2))))))))</f>
        <v>1</v>
      </c>
      <c r="FU344" s="23">
        <f>IF(FS344&lt;1,1,0)</f>
        <v>0</v>
      </c>
      <c r="FV344" s="23"/>
      <c r="GF344" s="4">
        <f>IF(S344&gt;=2.5*25.4,1,1.25)</f>
        <v>1</v>
      </c>
      <c r="GG344" s="4">
        <f>IF(AO344&gt;1, 0.05*(18-MIN(8,(W344+N344)/N344))*(1-48000/MAX(60000,(J344*145))*(N344/25.4)^0.75*GH344), 1/12*(14-MIN(8,(W344+N344)/N344)))</f>
        <v>0.65706666666666669</v>
      </c>
      <c r="GH344" s="4">
        <f>MIN(0.3, AM344^2*PI()/4*2*AP344/(N344^2*PI()/4*X344))</f>
        <v>0.3</v>
      </c>
      <c r="GI344" s="4">
        <f>(K344/25.4)/(N344/25.4)^1.5/0.0024*(M344*145)^0.25/GF344/GG344/145</f>
        <v>381.49939892093772</v>
      </c>
    </row>
    <row r="345" spans="1:191" ht="12" customHeight="1" x14ac:dyDescent="0.3">
      <c r="A345" s="25">
        <v>391</v>
      </c>
      <c r="B345" s="4" t="s">
        <v>605</v>
      </c>
      <c r="C345" s="4">
        <v>2016</v>
      </c>
      <c r="D345" s="4" t="s">
        <v>309</v>
      </c>
      <c r="E345" s="14" t="s">
        <v>676</v>
      </c>
      <c r="F345" s="14"/>
      <c r="G345" s="14">
        <v>18</v>
      </c>
      <c r="H345" s="7" t="s">
        <v>559</v>
      </c>
      <c r="I345" s="5">
        <f>K345/N345</f>
        <v>9.6300000000000008</v>
      </c>
      <c r="J345" s="38">
        <f>129/0.145</f>
        <v>889.65517241379314</v>
      </c>
      <c r="K345" s="96">
        <f>9.63*25.4</f>
        <v>244.602</v>
      </c>
      <c r="L345" s="4">
        <f>K345</f>
        <v>244.602</v>
      </c>
      <c r="M345" s="94">
        <f>7410/145</f>
        <v>51.103448275862071</v>
      </c>
      <c r="N345" s="96">
        <f>1*25.4</f>
        <v>25.4</v>
      </c>
      <c r="O345" s="7">
        <f>K345/N345</f>
        <v>9.6300000000000008</v>
      </c>
      <c r="P345" s="7">
        <f>L345/N345</f>
        <v>9.6300000000000008</v>
      </c>
      <c r="Q345" s="38">
        <f>17.4*25.4</f>
        <v>441.95999999999992</v>
      </c>
      <c r="R345" s="32">
        <f>S345/N345</f>
        <v>2.6499999999999995</v>
      </c>
      <c r="S345" s="38">
        <f>2.65*25.4</f>
        <v>67.309999999999988</v>
      </c>
      <c r="T345" s="32">
        <f>U345/N345</f>
        <v>3.6</v>
      </c>
      <c r="U345" s="39">
        <f>3.6*25.4</f>
        <v>91.44</v>
      </c>
      <c r="V345" s="32">
        <f>W345/N345</f>
        <v>10.1</v>
      </c>
      <c r="W345" s="7">
        <f>(Q345-X345*N345-2*S345)/(X345-1)</f>
        <v>256.53999999999996</v>
      </c>
      <c r="X345" s="38">
        <v>2</v>
      </c>
      <c r="Y345" s="7">
        <f>AN345</f>
        <v>10</v>
      </c>
      <c r="Z345" s="32">
        <f>AA345/N345</f>
        <v>20</v>
      </c>
      <c r="AA345" s="4">
        <f>20*25.4</f>
        <v>508</v>
      </c>
      <c r="AB345" s="7">
        <f>MIN(S345/N345+0.5, W345/2/N345+0.5)</f>
        <v>3.1499999999999995</v>
      </c>
      <c r="AC345" s="7">
        <f>S345/N345+0.5</f>
        <v>3.1499999999999995</v>
      </c>
      <c r="AD345" s="38">
        <v>9.1</v>
      </c>
      <c r="AE345" s="4">
        <f>AD345</f>
        <v>9.1</v>
      </c>
      <c r="AF345" s="4">
        <f>AE345+1</f>
        <v>10.1</v>
      </c>
      <c r="AG345" s="7">
        <f>N345*AF345^0.5</f>
        <v>80.72246279691916</v>
      </c>
      <c r="AJ345" s="38">
        <f>AK345/0.145</f>
        <v>595.17241379310349</v>
      </c>
      <c r="AK345" s="4">
        <v>86.3</v>
      </c>
      <c r="AL345" s="4">
        <f>CY345</f>
        <v>0.83340478977310528</v>
      </c>
      <c r="AM345" s="38">
        <f>0.5*25.4</f>
        <v>12.7</v>
      </c>
      <c r="AN345" s="38">
        <v>10</v>
      </c>
      <c r="AO345" s="39">
        <f>5*25.4</f>
        <v>127</v>
      </c>
      <c r="AP345" s="39">
        <v>3</v>
      </c>
      <c r="AQ345" s="39">
        <v>2</v>
      </c>
      <c r="AR345" s="7"/>
      <c r="AS345" s="4">
        <f>K345</f>
        <v>244.602</v>
      </c>
      <c r="AT345" s="4">
        <f>IF(K345*3&gt;W345+N345, Q345, (S345+N345/2)*2+1.5*K345*(2*X345-2))*(3*K345)/(9*K345^2)</f>
        <v>0.60228452751817219</v>
      </c>
      <c r="AU345" s="4">
        <f>MIN(10*M345^0.5*K345^1.5,100*3.9*M345^0.5*K345^(5/3))/(PI()/4*N345^2)/X345</f>
        <v>269.85334029886326</v>
      </c>
      <c r="AV345" s="4">
        <f>MIN(0.7+0.3*(MIN(S345,AA345)+0.5*N345)/1.5/K345,1)</f>
        <v>0.76542056074766351</v>
      </c>
      <c r="AW345" s="4">
        <v>1.25</v>
      </c>
      <c r="AX345" s="4">
        <f>AX344</f>
        <v>2.5</v>
      </c>
      <c r="AY345" s="38">
        <f>AT345*AV345*AW345*AX345*AU345</f>
        <v>388.75827858803166</v>
      </c>
      <c r="AZ345" s="38">
        <f>AY345</f>
        <v>388.75827858803166</v>
      </c>
      <c r="BA345" s="38">
        <f>IF(M345&lt;50, 0.3*M345^(2/3), 2.12*LN(1+0.1*(M345+8)))</f>
        <v>4.0980014231553801</v>
      </c>
      <c r="BB345" s="38">
        <f>AX345* (M345^0.5/AS345^0.5)/(PI()/4*N345^2)/X345/0.72 *(0.7+(MIN(S345,AA345)+0.5*N345)/5/K345) *(3*Q345*K345)</f>
        <v>388.75827858803183</v>
      </c>
      <c r="BC345" s="38">
        <f>AY345/BB345</f>
        <v>0.99999999999999956</v>
      </c>
      <c r="BD345" s="38">
        <f>BH345/BB345</f>
        <v>2.4982264431092367</v>
      </c>
      <c r="BE345" s="4">
        <f>IF(BD345&lt;1,1,0)</f>
        <v>0</v>
      </c>
      <c r="BF345" s="4">
        <f>L345/N345*M345^0.5/0.19</f>
        <v>362.32457298497951</v>
      </c>
      <c r="BG345" s="4">
        <f>MIN(0.6+0.4*(AC345/AB345),2)</f>
        <v>1</v>
      </c>
      <c r="BH345" s="38">
        <f>2*M345*AB345*AD345^0.5*BG345*0.7/0.7</f>
        <v>971.20621154624848</v>
      </c>
      <c r="BI345" s="4">
        <f>MAX(1-0.7*AE345/5,0.3)</f>
        <v>0.3</v>
      </c>
      <c r="BJ345" s="4">
        <f>BI345*J345*L345/(J345*N345/2.75/M345^0.5)</f>
        <v>56.79437681539553</v>
      </c>
      <c r="BK345" s="4">
        <f>BH345+BJ345</f>
        <v>1028.0005883616441</v>
      </c>
      <c r="BM345" s="4">
        <f>MIN(1.5, 0.75+0.25*MIN(3,MAX(1,S345/N345))+0.4*MIN(1,(40*2*PI()*AM345^2/4/AO345/X345)/N345))</f>
        <v>1.5</v>
      </c>
      <c r="BN345" s="4">
        <f>(3*P345+30)*BM345*M345^0.5</f>
        <v>631.47755133741964</v>
      </c>
      <c r="BP345" s="4">
        <f>3.4/PI()^0.5*M345*AB345*AE345^0.5*BG345</f>
        <v>931.5055276531624</v>
      </c>
      <c r="BQ345" s="4">
        <f>8/3*AH345*AI345^2/(AG345-N345-22)/N345*(AG345^2-N345^2)/(AG345^2-(N345+22)^2)</f>
        <v>0</v>
      </c>
      <c r="BR345" s="4">
        <f>BQ345/BP345</f>
        <v>0</v>
      </c>
      <c r="BZ345" s="4">
        <f>IF(W345=0,S345,MIN(W345/2,S345))</f>
        <v>67.309999999999988</v>
      </c>
      <c r="CD345" s="9"/>
      <c r="CF345" s="9"/>
      <c r="CG345" s="9"/>
      <c r="CH345" s="9">
        <f>IF(W345=0,MIN(S345,U345),MIN(W345/2,S345,U345))</f>
        <v>67.309999999999988</v>
      </c>
      <c r="CI345" s="9">
        <f>MAX(W345/2,S345)</f>
        <v>128.26999999999998</v>
      </c>
      <c r="CJ345" s="9">
        <f>(CH345/N345)^0.5*(CI345/CH345)^0.15</f>
        <v>1.793204262788072</v>
      </c>
      <c r="CK345" s="70">
        <f>IF(AO345&gt;1,20,0)</f>
        <v>20</v>
      </c>
      <c r="CL345" s="9">
        <f>MIN(PI()*AM345^2/4*AN345*2/X345/N345/MAX(0.01,AO345),0.05)</f>
        <v>0.05</v>
      </c>
      <c r="CM345" s="9">
        <f>MAX(0,CK345*(CL345-0.5/50))</f>
        <v>0.8</v>
      </c>
      <c r="CN345" s="9">
        <f>MIN(1,(25/N345)^0.3)</f>
        <v>0.99524931562137331</v>
      </c>
      <c r="CO345" s="9">
        <f>IF(J345&gt;=800,0.68,IF(J345&gt;=700,0.75-(J345-700)*0.07/100,IF(J345&gt;=600,0.85-(J345-600)*0.1/100,IF(J345&gt;=500,1-(J345-500)*0.15/100,1.2-(J345-400)*0.2/100))))</f>
        <v>0.68</v>
      </c>
      <c r="CP345" s="9">
        <f>1.75*CN345*CO345*(M345/25)^0.5</f>
        <v>1.693300152715469</v>
      </c>
      <c r="CQ345" s="9">
        <f>MIN((CJ345+CM345)*CP345,2.5*CP345,M345^0.5)</f>
        <v>4.2332503817886726</v>
      </c>
      <c r="CR345" s="40">
        <v>1</v>
      </c>
      <c r="CS345" s="9">
        <f>4*CQ345*P345+60*CQ345</f>
        <v>417.05982761382006</v>
      </c>
      <c r="CU345" s="4">
        <f>AJ345/BF345</f>
        <v>1.6426498729849517</v>
      </c>
      <c r="CV345" s="4">
        <f>AJ345/BK345</f>
        <v>0.57896116065618985</v>
      </c>
      <c r="CW345" s="4">
        <f>AJ345/BN345</f>
        <v>0.94250763551701122</v>
      </c>
      <c r="CX345" s="4">
        <f>AJ345/CS345</f>
        <v>1.4270672320523956</v>
      </c>
      <c r="CY345" s="4">
        <f>AJ345/DZ345</f>
        <v>0.83340478977310528</v>
      </c>
      <c r="CZ345" s="4">
        <f>AJ345/EL345</f>
        <v>0.84853134899852589</v>
      </c>
      <c r="DA345" s="4">
        <f>AJ345/GI345</f>
        <v>1.0296890870286513</v>
      </c>
      <c r="DB345" s="4">
        <f>AN345</f>
        <v>10</v>
      </c>
      <c r="DI345" s="4">
        <f>CU345</f>
        <v>1.6426498729849517</v>
      </c>
      <c r="DJ345" s="4">
        <f>CV345</f>
        <v>0.57896116065618985</v>
      </c>
      <c r="DK345" s="4">
        <f>CX345</f>
        <v>1.4270672320523956</v>
      </c>
      <c r="DL345" s="4">
        <f>DA345</f>
        <v>1.0296890870286513</v>
      </c>
      <c r="DM345" s="4">
        <f>CY345</f>
        <v>0.83340478977310528</v>
      </c>
      <c r="DN345" s="4">
        <f>CZ345</f>
        <v>0.84853134899852589</v>
      </c>
      <c r="DQ345" s="4">
        <f>L345</f>
        <v>244.602</v>
      </c>
      <c r="DT345" s="4">
        <f>K345/4/(1-0.3*(M345/30)^0.5)/200000/N345</f>
        <v>1.9783833148928252E-5</v>
      </c>
      <c r="DU345" s="4">
        <f>EP345</f>
        <v>10.967749282220023</v>
      </c>
      <c r="DV345" s="4">
        <f>EC345*AG345/257/M345/AD345</f>
        <v>0.26257255643690569</v>
      </c>
      <c r="DW345" s="4">
        <f>DU345*DV345^0.4</f>
        <v>6.4241732862813743</v>
      </c>
      <c r="DX345" s="4">
        <f>MIN(DU345, DU345/1.4*(1-DV345^1.4)/(1-DV345))</f>
        <v>8.9896860463643975</v>
      </c>
      <c r="DY345" s="4">
        <f>MAX(DU345/2, (4-DT345*(8*AG345*(DW345-DX345)+6*K345*DX345))/(4+DT345*K345*DU345)*DU345)</f>
        <v>10.206506761698176</v>
      </c>
      <c r="DZ345" s="38">
        <f>MIN(1/N345*(4*AG345*(DW345-DX345)+(3*DX345+DY345)*K345)+EC345 -FJ345,MAX(J345,AJ345))</f>
        <v>714.14566018409778</v>
      </c>
      <c r="EA345" s="4">
        <f>DZ345/FF345</f>
        <v>1.000108021418886</v>
      </c>
      <c r="EB345" s="4">
        <f>AG345/N345</f>
        <v>3.1780497164141401</v>
      </c>
      <c r="EC345" s="4">
        <f>MIN(EB$10*BB345)</f>
        <v>388.75827858803183</v>
      </c>
      <c r="EG345" s="4">
        <f>IF(U345&gt;1*N345,0.85,1)</f>
        <v>0.85</v>
      </c>
      <c r="EH345" s="4">
        <f>MIN(1,MAX(0.7,(1-0.1*(BZ345-1*N345)/N345)))</f>
        <v>0.83499999999999996</v>
      </c>
      <c r="EI345" s="4">
        <f>MIN(1,MAX(0.7,1-0.3*(PI()*AM345^2/4*AQ345*2-0.25*PI()/4*N345^2)/(PI()/4*N345^2)))</f>
        <v>0.77500000000000002</v>
      </c>
      <c r="EJ345" s="4">
        <f>IF(EH345*EI345&lt;0.7,0.7,EH345*EI345)</f>
        <v>0.7</v>
      </c>
      <c r="EL345" s="4">
        <f>MIN(DU345/N345*3*K345+EM345-FJ345,MAX(J345,AJ345))</f>
        <v>701.41476151181951</v>
      </c>
      <c r="EM345" s="25">
        <f>13.3*Q345*K345^0.5*M345^0.5/X345/N345^2*(0.7+S345/5/K345)</f>
        <v>384.55648474848294</v>
      </c>
      <c r="EO345" s="4">
        <f>EG345*EJ345</f>
        <v>0.59499999999999997</v>
      </c>
      <c r="EP345" s="4">
        <f>IF(N345&lt;22.2,1.1*5*(M345/30)^0.5,IF(N345&gt;=31.8,0.9*5*(M345/30)^0.5,1*5*(M345/30)^0.5))/EG345/EJ345</f>
        <v>10.967749282220023</v>
      </c>
      <c r="ES345" s="4">
        <f>ET345*N345</f>
        <v>80.72246279691916</v>
      </c>
      <c r="ET345" s="4">
        <f>AF345^0.5</f>
        <v>3.1780497164141406</v>
      </c>
      <c r="EU345" s="4">
        <f>MIN(EC345)/(4700*M345^0.5)/AE345*ES345</f>
        <v>0.10263835922414841</v>
      </c>
      <c r="EX345" s="4">
        <f>EU345</f>
        <v>0.10263835922414841</v>
      </c>
      <c r="EY345" s="4">
        <f>MIN(0.999, EX345/(0.3*(M345/30)^0.5))</f>
        <v>0.26213437177708465</v>
      </c>
      <c r="EZ345" s="4">
        <f>EP345/1*EY345^0.4</f>
        <v>6.4198828382921871</v>
      </c>
      <c r="FA345" s="4">
        <f>EP345/1.4*(1-EY345^1.4)/(1-EY345)</f>
        <v>8.9881612318991966</v>
      </c>
      <c r="FB345" s="4">
        <f>MAX(0,DQ345*FB$9-ES345)</f>
        <v>102.72903720308085</v>
      </c>
      <c r="FC345" s="4">
        <f>MAX(0,DQ345-ES345-FB345)</f>
        <v>61.150499999999994</v>
      </c>
      <c r="FD345" s="4">
        <f>FC345/(1-0.3*(M345/30)^0.5)/200000/N345</f>
        <v>1.9783833148928249E-5</v>
      </c>
      <c r="FE345" s="4">
        <f>MAX(0.5*EP345, (1-2*FD345*(ES345*EZ345+FB345*FA345))/(1/EP345+FD345*FC345))</f>
        <v>10.206722179968247</v>
      </c>
      <c r="FF345" s="4">
        <f>MIN(4/N345*(1*EZ345*ES345+FA345*FB345+FC345*FE345)+EC345,MAX(J345,AJ345))</f>
        <v>714.0685254887926</v>
      </c>
      <c r="FO345" s="23">
        <f>IF(CU345&lt;0.6,0.6,IF(CU345&lt;0.8,0.8,IF(CU345&lt;1,1,IF(CU345&lt;1.2,1.2,IF(CU345&lt;1.4,1.4,IF(CU345&lt;1.6,1.6,IF(CU345&lt;1.8,1.8,IF(CU345&lt;2,2,2.2))))))))</f>
        <v>1.8</v>
      </c>
      <c r="FP345" s="23">
        <f>IF(CV345&lt;0.6,0.6,IF(CV345&lt;0.8,0.8,IF(CV345&lt;1,1,IF(CV345&lt;1.2,1.2,IF(CV345&lt;1.4,1.4,IF(CV345&lt;1.6,1.6,IF(CV345&lt;1.8,1.8,IF(CV345&lt;2,2,2.2))))))))</f>
        <v>0.6</v>
      </c>
      <c r="FQ345" s="23">
        <f>IF(DA345&lt;0.6,0.6,IF(DA345&lt;0.8,0.8,IF(DA345&lt;1,1,IF(DA345&lt;1.2,1.2,IF(DA345&lt;1.4,1.4,IF(DA345&lt;1.6,1.6,IF(DA345&lt;1.8,1.8,IF(DA345&lt;2,2,2.2))))))))</f>
        <v>1.2</v>
      </c>
      <c r="FR345" s="23">
        <f>IF(CX345&lt;0.6,0.6,IF(CX345&lt;0.8,0.8,IF(CX345&lt;1,1,IF(CX345&lt;1.2,1.2,IF(CX345&lt;1.4,1.4,IF(CX345&lt;1.6,1.6,IF(CX345&lt;1.8,1.8,IF(CX345&lt;2,2,2.2))))))))</f>
        <v>1.6</v>
      </c>
      <c r="FS345" s="23">
        <f>IF(CY345&lt;0.6,0.6,IF(CY345&lt;0.8,0.8,IF(CY345&lt;1,1,IF(CY345&lt;1.2,1.2,IF(CY345&lt;1.4,1.4,IF(CY345&lt;1.6,1.6,IF(CY345&lt;1.8,1.8,IF(CY345&lt;2,2,2.2))))))))</f>
        <v>1</v>
      </c>
      <c r="FT345" s="23">
        <f>IF(CZ345&lt;0.6,0.6,IF(CZ345&lt;0.8,0.8,IF(CZ345&lt;1,1,IF(CZ345&lt;1.2,1.2,IF(CZ345&lt;1.4,1.4,IF(CZ345&lt;1.6,1.6,IF(CZ345&lt;1.8,1.8,IF(CZ345&lt;2,2,2.2))))))))</f>
        <v>1</v>
      </c>
      <c r="FU345" s="23">
        <f>IF(FS345&lt;1,1,0)</f>
        <v>0</v>
      </c>
      <c r="FV345" s="23"/>
      <c r="GF345" s="4">
        <f>IF(S345&gt;=2.5*25.4,1,1.25)</f>
        <v>1</v>
      </c>
      <c r="GG345" s="4">
        <f>IF(AO345&gt;1, 0.05*(18-MIN(8,(W345+N345)/N345))*(1-48000/MAX(60000,(J345*145))*(N345/25.4)^0.75*GH345), 1/12*(14-MIN(8,(W345+N345)/N345)))</f>
        <v>0.44418604651162791</v>
      </c>
      <c r="GH345" s="4">
        <f>MIN(0.3, AM345^2*PI()/4*2*AP345/(N345^2*PI()/4*X345))</f>
        <v>0.3</v>
      </c>
      <c r="GI345" s="4">
        <f>(K345/25.4)/(N345/25.4)^1.5/0.0024*(M345*145)^0.25/GF345/GG345/145</f>
        <v>578.01177199088124</v>
      </c>
    </row>
    <row r="346" spans="1:191" ht="12" customHeight="1" x14ac:dyDescent="0.3">
      <c r="A346" s="25">
        <v>268</v>
      </c>
      <c r="B346" s="4" t="s">
        <v>605</v>
      </c>
      <c r="C346" s="4">
        <v>2016</v>
      </c>
      <c r="D346" s="4" t="s">
        <v>309</v>
      </c>
      <c r="E346" s="24" t="s">
        <v>665</v>
      </c>
      <c r="F346" s="24"/>
      <c r="G346" s="24">
        <v>17</v>
      </c>
      <c r="H346" s="7" t="s">
        <v>425</v>
      </c>
      <c r="I346" s="5">
        <f>K346/N346</f>
        <v>9.6</v>
      </c>
      <c r="J346" s="38">
        <f>129/0.145</f>
        <v>889.65517241379314</v>
      </c>
      <c r="K346" s="96">
        <f>9.6*25.4</f>
        <v>243.83999999999997</v>
      </c>
      <c r="L346" s="4">
        <f>K346</f>
        <v>243.83999999999997</v>
      </c>
      <c r="M346" s="96">
        <f>11460/145</f>
        <v>79.034482758620683</v>
      </c>
      <c r="N346" s="96">
        <f>1*25.4</f>
        <v>25.4</v>
      </c>
      <c r="O346" s="7">
        <f>K346/N346</f>
        <v>9.6</v>
      </c>
      <c r="P346" s="7">
        <f>L346/N346</f>
        <v>9.6</v>
      </c>
      <c r="Q346" s="38">
        <f>16.3*25.4</f>
        <v>414.02</v>
      </c>
      <c r="R346" s="32">
        <f>S346/N346</f>
        <v>2.5</v>
      </c>
      <c r="S346" s="38">
        <f>2.5*25.4</f>
        <v>63.5</v>
      </c>
      <c r="T346" s="32">
        <f>U346/N346</f>
        <v>3.6666666666666665</v>
      </c>
      <c r="U346" s="39">
        <f>(3.5+3.9+3.6)/3*25.4</f>
        <v>93.133333333333326</v>
      </c>
      <c r="V346" s="32">
        <f>W346/N346</f>
        <v>4.1500000000000004</v>
      </c>
      <c r="W346" s="7">
        <f>(Q346-X346*N346-2*S346)/(X346-1)</f>
        <v>105.41</v>
      </c>
      <c r="X346" s="38">
        <v>3</v>
      </c>
      <c r="Y346" s="7">
        <f>AN346</f>
        <v>10</v>
      </c>
      <c r="Z346" s="32">
        <f>AA346/N346</f>
        <v>10.25</v>
      </c>
      <c r="AA346" s="4">
        <f>10.25*25.4</f>
        <v>260.34999999999997</v>
      </c>
      <c r="AB346" s="7">
        <f>MIN(S346/N346+0.5, W346/2/N346+0.5)</f>
        <v>2.5750000000000002</v>
      </c>
      <c r="AC346" s="7">
        <f>S346/N346+0.5</f>
        <v>3</v>
      </c>
      <c r="AD346" s="38">
        <v>4.0999999999999996</v>
      </c>
      <c r="AE346" s="4">
        <f>AD346</f>
        <v>4.0999999999999996</v>
      </c>
      <c r="AF346" s="4">
        <f>AE346+1</f>
        <v>5.0999999999999996</v>
      </c>
      <c r="AG346" s="7">
        <f>N346*AF346^0.5</f>
        <v>57.361276136431961</v>
      </c>
      <c r="AJ346" s="38">
        <f>AK346/0.145</f>
        <v>608.27586206896558</v>
      </c>
      <c r="AK346" s="4">
        <v>88.2</v>
      </c>
      <c r="AL346" s="4">
        <f>CY346</f>
        <v>0.93949066396852476</v>
      </c>
      <c r="AM346" s="38">
        <f>0.375*25.4</f>
        <v>9.5249999999999986</v>
      </c>
      <c r="AN346" s="38">
        <v>10</v>
      </c>
      <c r="AO346" s="39">
        <f>3*25.4</f>
        <v>76.199999999999989</v>
      </c>
      <c r="AP346" s="39">
        <v>3</v>
      </c>
      <c r="AQ346" s="39">
        <v>2</v>
      </c>
      <c r="AR346" s="7"/>
      <c r="AS346" s="4">
        <f>K346</f>
        <v>243.83999999999997</v>
      </c>
      <c r="AT346" s="4">
        <f>IF(K346*3&gt;W346+N346, Q346, (S346+N346/2)*2+1.5*K346*(2*X346-2))*(3*K346)/(9*K346^2)</f>
        <v>0.56597222222222232</v>
      </c>
      <c r="AU346" s="4">
        <f>MIN(10*M346^0.5*K346^1.5,100*3.9*M346^0.5*K346^(5/3))/(PI()/4*N346^2)/X346</f>
        <v>222.68305093812236</v>
      </c>
      <c r="AV346" s="4">
        <f>MIN(0.7+0.3*(MIN(S346,AA346)+0.5*N346)/1.5/K346,1)</f>
        <v>0.76249999999999996</v>
      </c>
      <c r="AW346" s="4">
        <v>1.25</v>
      </c>
      <c r="AX346" s="4">
        <f>AX345</f>
        <v>2.5</v>
      </c>
      <c r="AY346" s="38">
        <f>AT346*AV346*AW346*AX346*AU346</f>
        <v>300.31162861840153</v>
      </c>
      <c r="AZ346" s="38">
        <f>AY346</f>
        <v>300.31162861840153</v>
      </c>
      <c r="BA346" s="38">
        <f>IF(M346&lt;50, 0.3*M346^(2/3), 2.12*LN(1+0.1*(M346+8)))</f>
        <v>4.8176603871508874</v>
      </c>
      <c r="BB346" s="38">
        <f>AX346* (M346^0.5/AS346^0.5)/(PI()/4*N346^2)/X346/0.72 *(0.7+(MIN(S346,AA346)+0.5*N346)/5/K346) *(3*Q346*K346)</f>
        <v>300.31162861840153</v>
      </c>
      <c r="BC346" s="38">
        <f>AY346/BB346</f>
        <v>1</v>
      </c>
      <c r="BD346" s="38">
        <f>BH346/BB346</f>
        <v>2.9255581782446503</v>
      </c>
      <c r="BE346" s="4">
        <f>IF(BD346&lt;1,1,0)</f>
        <v>0</v>
      </c>
      <c r="BF346" s="4">
        <f>L346/N346*M346^0.5/0.19</f>
        <v>449.18571852180122</v>
      </c>
      <c r="BG346" s="4">
        <f>MIN(0.6+0.4*(AC346/AB346),2)</f>
        <v>1.066019417475728</v>
      </c>
      <c r="BH346" s="38">
        <f>2*M346*AB346*AD346^0.5*BG346*0.7/0.7</f>
        <v>878.57914112653475</v>
      </c>
      <c r="BI346" s="4">
        <f>MAX(1-0.7*AE346/5,0.3)</f>
        <v>0.42600000000000005</v>
      </c>
      <c r="BJ346" s="4">
        <f>BI346*J346*L346/(J346*N346/2.75/M346^0.5)</f>
        <v>99.982003157175143</v>
      </c>
      <c r="BK346" s="4">
        <f>BH346+BJ346</f>
        <v>978.56114428370984</v>
      </c>
      <c r="BM346" s="4">
        <f>MIN(1.5, 0.75+0.25*MIN(3,MAX(1,S346/N346))+0.4*MIN(1,(40*2*PI()*AM346^2/4/AO346/X346)/N346))</f>
        <v>1.5</v>
      </c>
      <c r="BN346" s="4">
        <f>(3*P346+30)*BM346*M346^0.5</f>
        <v>784.10981989461925</v>
      </c>
      <c r="BP346" s="4">
        <f>3.4/PI()^0.5*M346*AB346*AE346^0.5*BG346</f>
        <v>842.66483956807247</v>
      </c>
      <c r="BQ346" s="4">
        <f>8/3*AH346*AI346^2/(AG346-N346-22)/N346*(AG346^2-N346^2)/(AG346^2-(N346+22)^2)</f>
        <v>0</v>
      </c>
      <c r="BR346" s="4">
        <f>BQ346/BP346</f>
        <v>0</v>
      </c>
      <c r="BZ346" s="4">
        <f>IF(W346=0,S346,MIN(W346/2,S346))</f>
        <v>52.704999999999998</v>
      </c>
      <c r="CD346" s="9"/>
      <c r="CF346" s="9"/>
      <c r="CG346" s="9"/>
      <c r="CH346" s="9">
        <f>IF(W346=0,MIN(S346,U346),MIN(W346/2,S346,U346))</f>
        <v>52.704999999999998</v>
      </c>
      <c r="CI346" s="9">
        <f>MAX(W346/2,S346)</f>
        <v>63.5</v>
      </c>
      <c r="CJ346" s="9">
        <f>(CH346/N346)^0.5*(CI346/CH346)^0.15</f>
        <v>1.4813147137729235</v>
      </c>
      <c r="CK346" s="70">
        <f>IF(AO346&gt;1,20,0)</f>
        <v>20</v>
      </c>
      <c r="CL346" s="9">
        <f>MIN(PI()*AM346^2/4*AN346*2/X346/N346/MAX(0.01,AO346),0.05)</f>
        <v>0.05</v>
      </c>
      <c r="CM346" s="9">
        <f>MAX(0,CK346*(CL346-0.5/50))</f>
        <v>0.8</v>
      </c>
      <c r="CN346" s="9">
        <f>MIN(1,(25/N346)^0.3)</f>
        <v>0.99524931562137331</v>
      </c>
      <c r="CO346" s="9">
        <f>IF(J346&gt;=800,0.68,IF(J346&gt;=700,0.75-(J346-700)*0.07/100,IF(J346&gt;=600,0.85-(J346-600)*0.1/100,IF(J346&gt;=500,1-(J346-500)*0.15/100,1.2-(J346-400)*0.2/100))))</f>
        <v>0.68</v>
      </c>
      <c r="CP346" s="9">
        <f>1.75*CN346*CO346*(M346/25)^0.5</f>
        <v>2.1058001504088901</v>
      </c>
      <c r="CQ346" s="9">
        <f>MIN((CJ346+CM346)*CP346,2.5*CP346,M346^0.5)</f>
        <v>4.8039928673930365</v>
      </c>
      <c r="CR346" s="40">
        <v>1</v>
      </c>
      <c r="CS346" s="9">
        <f>4*CQ346*P346+60*CQ346</f>
        <v>472.7128981514748</v>
      </c>
      <c r="CU346" s="4">
        <f>AJ346/BF346</f>
        <v>1.3541745362490702</v>
      </c>
      <c r="CV346" s="4">
        <f>AJ346/BK346</f>
        <v>0.62160230418122031</v>
      </c>
      <c r="CW346" s="4">
        <f>AJ346/BN346</f>
        <v>0.77575340422431527</v>
      </c>
      <c r="CX346" s="4">
        <f>AJ346/CS346</f>
        <v>1.2867765285178476</v>
      </c>
      <c r="CY346" s="4">
        <f>AJ346/DZ346</f>
        <v>0.93949066396852476</v>
      </c>
      <c r="CZ346" s="4">
        <f>AJ346/EL346</f>
        <v>0.95490274844904621</v>
      </c>
      <c r="DA346" s="4">
        <f>AJ346/GI346</f>
        <v>1.225964360942069</v>
      </c>
      <c r="DB346" s="4">
        <f>AN346</f>
        <v>10</v>
      </c>
      <c r="DI346" s="4">
        <f>CU346</f>
        <v>1.3541745362490702</v>
      </c>
      <c r="DJ346" s="4">
        <f>CV346</f>
        <v>0.62160230418122031</v>
      </c>
      <c r="DK346" s="4">
        <f>CX346</f>
        <v>1.2867765285178476</v>
      </c>
      <c r="DL346" s="4">
        <f>DA346</f>
        <v>1.225964360942069</v>
      </c>
      <c r="DM346" s="4">
        <f>CY346</f>
        <v>0.93949066396852476</v>
      </c>
      <c r="DN346" s="4">
        <f>CZ346</f>
        <v>0.95490274844904621</v>
      </c>
      <c r="DQ346" s="4">
        <f>L346</f>
        <v>243.83999999999997</v>
      </c>
      <c r="DT346" s="4">
        <f>K346/4/(1-0.3*(M346/30)^0.5)/200000/N346</f>
        <v>2.338874423417441E-5</v>
      </c>
      <c r="DU346" s="4">
        <f>EP346</f>
        <v>11.804361869983254</v>
      </c>
      <c r="DV346" s="4">
        <f>EC346*AG346/257/M346/AD346</f>
        <v>0.20685087313395045</v>
      </c>
      <c r="DW346" s="4">
        <f>DU346*DV346^0.4</f>
        <v>6.2850025462405528</v>
      </c>
      <c r="DX346" s="4">
        <f>MIN(DU346, DU346/1.4*(1-DV346^1.4)/(1-DV346))</f>
        <v>9.459852819454456</v>
      </c>
      <c r="DY346" s="4">
        <f>MAX(DU346/2, (4-DT346*(8*AG346*(DW346-DX346)+6*K346*DX346))/(4+DT346*K346*DU346)*DU346)</f>
        <v>10.76840592779776</v>
      </c>
      <c r="DZ346" s="38">
        <f>MIN(1/N346*(4*AG346*(DW346-DX346)+(3*DX346+DY346)*K346)+EC346 -FJ346,MAX(J346,AJ346))</f>
        <v>647.45280118009168</v>
      </c>
      <c r="EA346" s="4">
        <f>DZ346/FF346</f>
        <v>1.0000974323638177</v>
      </c>
      <c r="EB346" s="4">
        <f>AG346/N346</f>
        <v>2.2583179581272428</v>
      </c>
      <c r="EC346" s="4">
        <f>MIN(EB$10*BB346)</f>
        <v>300.31162861840153</v>
      </c>
      <c r="EG346" s="4">
        <f>IF(U346&gt;1*N346,0.85,1)</f>
        <v>0.85</v>
      </c>
      <c r="EH346" s="4">
        <f>MIN(1,MAX(0.7,(1-0.1*(BZ346-1*N346)/N346)))</f>
        <v>0.89249999999999996</v>
      </c>
      <c r="EI346" s="4">
        <f>MIN(1,MAX(0.7,1-0.3*(PI()*AM346^2/4*AQ346*2-0.25*PI()/4*N346^2)/(PI()/4*N346^2)))</f>
        <v>0.90625</v>
      </c>
      <c r="EJ346" s="4">
        <f>IF(EH346*EI346&lt;0.7,0.7,EH346*EI346)</f>
        <v>0.80882812500000001</v>
      </c>
      <c r="EL346" s="4">
        <f>MIN(DU346/N346*3*K346+EM346-FJ346,MAX(J346,AJ346))</f>
        <v>637.00294407669026</v>
      </c>
      <c r="EM346" s="25">
        <f>13.3*Q346*K346^0.5*M346^0.5/X346/N346^2*(0.7+S346/5/K346)</f>
        <v>297.03732222117264</v>
      </c>
      <c r="EO346" s="4">
        <f>EG346*EJ346</f>
        <v>0.68750390625000002</v>
      </c>
      <c r="EP346" s="4">
        <f>IF(N346&lt;22.2,1.1*5*(M346/30)^0.5,IF(N346&gt;=31.8,0.9*5*(M346/30)^0.5,1*5*(M346/30)^0.5))/EG346/EJ346</f>
        <v>11.804361869983254</v>
      </c>
      <c r="ES346" s="4">
        <f>ET346*N346</f>
        <v>57.361276136431961</v>
      </c>
      <c r="ET346" s="4">
        <f>AF346^0.5</f>
        <v>2.2583179581272428</v>
      </c>
      <c r="EU346" s="4">
        <f>MIN(EC346)/(4700*M346^0.5)/AE346*ES346</f>
        <v>0.1005543658649911</v>
      </c>
      <c r="EX346" s="4">
        <f>EU346</f>
        <v>0.1005543658649911</v>
      </c>
      <c r="EY346" s="4">
        <f>MIN(0.999, EX346/(0.3*(M346/30)^0.5))</f>
        <v>0.20650567757845198</v>
      </c>
      <c r="EZ346" s="4">
        <f>EP346/1*EY346^0.4</f>
        <v>6.2808050448135386</v>
      </c>
      <c r="FA346" s="4">
        <f>EP346/1.4*(1-EY346^1.4)/(1-EY346)</f>
        <v>9.4584707445849645</v>
      </c>
      <c r="FB346" s="4">
        <f>MAX(0,DQ346*FB$9-ES346)</f>
        <v>125.51872386356803</v>
      </c>
      <c r="FC346" s="4">
        <f>MAX(0,DQ346-ES346-FB346)</f>
        <v>60.95999999999998</v>
      </c>
      <c r="FD346" s="4">
        <f>FC346/(1-0.3*(M346/30)^0.5)/200000/N346</f>
        <v>2.33887442341744E-5</v>
      </c>
      <c r="FE346" s="4">
        <f>MAX(0.5*EP346, (1-2*FD346*(ES346*EZ346+FB346*FA346))/(1/EP346+FD346*FC346))</f>
        <v>10.768630881807505</v>
      </c>
      <c r="FF346" s="4">
        <f>MIN(4/N346*(1*EZ346*ES346+FA346*FB346+FC346*FE346)+EC346,MAX(J346,AJ346))</f>
        <v>647.38972446892535</v>
      </c>
      <c r="FO346" s="23">
        <f>IF(CU346&lt;0.6,0.6,IF(CU346&lt;0.8,0.8,IF(CU346&lt;1,1,IF(CU346&lt;1.2,1.2,IF(CU346&lt;1.4,1.4,IF(CU346&lt;1.6,1.6,IF(CU346&lt;1.8,1.8,IF(CU346&lt;2,2,2.2))))))))</f>
        <v>1.4</v>
      </c>
      <c r="FP346" s="23">
        <f>IF(CV346&lt;0.6,0.6,IF(CV346&lt;0.8,0.8,IF(CV346&lt;1,1,IF(CV346&lt;1.2,1.2,IF(CV346&lt;1.4,1.4,IF(CV346&lt;1.6,1.6,IF(CV346&lt;1.8,1.8,IF(CV346&lt;2,2,2.2))))))))</f>
        <v>0.8</v>
      </c>
      <c r="FQ346" s="23">
        <f>IF(DA346&lt;0.6,0.6,IF(DA346&lt;0.8,0.8,IF(DA346&lt;1,1,IF(DA346&lt;1.2,1.2,IF(DA346&lt;1.4,1.4,IF(DA346&lt;1.6,1.6,IF(DA346&lt;1.8,1.8,IF(DA346&lt;2,2,2.2))))))))</f>
        <v>1.4</v>
      </c>
      <c r="FR346" s="23">
        <f>IF(CX346&lt;0.6,0.6,IF(CX346&lt;0.8,0.8,IF(CX346&lt;1,1,IF(CX346&lt;1.2,1.2,IF(CX346&lt;1.4,1.4,IF(CX346&lt;1.6,1.6,IF(CX346&lt;1.8,1.8,IF(CX346&lt;2,2,2.2))))))))</f>
        <v>1.4</v>
      </c>
      <c r="FS346" s="23">
        <f>IF(CY346&lt;0.6,0.6,IF(CY346&lt;0.8,0.8,IF(CY346&lt;1,1,IF(CY346&lt;1.2,1.2,IF(CY346&lt;1.4,1.4,IF(CY346&lt;1.6,1.6,IF(CY346&lt;1.8,1.8,IF(CY346&lt;2,2,2.2))))))))</f>
        <v>1</v>
      </c>
      <c r="FT346" s="23">
        <f>IF(CZ346&lt;0.6,0.6,IF(CZ346&lt;0.8,0.8,IF(CZ346&lt;1,1,IF(CZ346&lt;1.2,1.2,IF(CZ346&lt;1.4,1.4,IF(CZ346&lt;1.6,1.6,IF(CZ346&lt;1.8,1.8,IF(CZ346&lt;2,2,2.2))))))))</f>
        <v>1</v>
      </c>
      <c r="FU346" s="23">
        <f>IF(FS346&lt;1,1,0)</f>
        <v>0</v>
      </c>
      <c r="FV346" s="23"/>
      <c r="GF346" s="4">
        <f>IF(S346&gt;=2.5*25.4,1,1.25)</f>
        <v>1</v>
      </c>
      <c r="GG346" s="4">
        <f>IF(AO346&gt;1, 0.05*(18-MIN(8,(W346+N346)/N346))*(1-48000/MAX(60000,(J346*145))*(N346/25.4)^0.75*GH346), 1/12*(14-MIN(8,(W346+N346)/N346)))</f>
        <v>0.57526162790697688</v>
      </c>
      <c r="GH346" s="4">
        <f>MIN(0.3, AM346^2*PI()/4*2*AP346/(N346^2*PI()/4*X346))</f>
        <v>0.28124999999999994</v>
      </c>
      <c r="GI346" s="4">
        <f>(K346/25.4)/(N346/25.4)^1.5/0.0024*(M346*145)^0.25/GF346/GG346/145</f>
        <v>496.16112951403221</v>
      </c>
    </row>
    <row r="347" spans="1:191" ht="12" customHeight="1" x14ac:dyDescent="0.3">
      <c r="A347" s="25">
        <v>305</v>
      </c>
      <c r="B347" s="4" t="s">
        <v>605</v>
      </c>
      <c r="C347" s="4">
        <v>2016</v>
      </c>
      <c r="D347" s="4" t="s">
        <v>309</v>
      </c>
      <c r="E347" s="24" t="s">
        <v>669</v>
      </c>
      <c r="F347" s="24"/>
      <c r="G347" s="24">
        <v>29</v>
      </c>
      <c r="H347" s="7" t="s">
        <v>466</v>
      </c>
      <c r="I347" s="5">
        <f>K347/N347</f>
        <v>9.58</v>
      </c>
      <c r="J347" s="91">
        <f>120/0.145</f>
        <v>827.58620689655174</v>
      </c>
      <c r="K347" s="47">
        <f>9.58*25.4</f>
        <v>243.33199999999999</v>
      </c>
      <c r="L347" s="4">
        <f>K347</f>
        <v>243.33199999999999</v>
      </c>
      <c r="M347" s="47">
        <f>9040/145</f>
        <v>62.344827586206897</v>
      </c>
      <c r="N347" s="96">
        <f>1*25.4</f>
        <v>25.4</v>
      </c>
      <c r="O347" s="7">
        <f>K347/N347</f>
        <v>9.58</v>
      </c>
      <c r="P347" s="7">
        <f>L347/N347</f>
        <v>9.58</v>
      </c>
      <c r="Q347" s="38">
        <f>14*25.4</f>
        <v>355.59999999999997</v>
      </c>
      <c r="R347" s="32">
        <f>S347/N347</f>
        <v>2.5</v>
      </c>
      <c r="S347" s="38">
        <f>2.5*25.4</f>
        <v>63.5</v>
      </c>
      <c r="T347" s="32">
        <f>U347/N347</f>
        <v>3.2</v>
      </c>
      <c r="U347" s="39">
        <f>3.2*25.4</f>
        <v>81.28</v>
      </c>
      <c r="V347" s="32">
        <f>W347/N347</f>
        <v>2.9999999999999996</v>
      </c>
      <c r="W347" s="7">
        <f>(Q347-X347*N347-2*S347)/(X347-1)</f>
        <v>76.199999999999989</v>
      </c>
      <c r="X347" s="38">
        <v>3</v>
      </c>
      <c r="Y347" s="7">
        <f>AN347</f>
        <v>4</v>
      </c>
      <c r="Z347" s="32">
        <f>AA347/N347</f>
        <v>10.25</v>
      </c>
      <c r="AA347" s="4">
        <f>10.25*25.4</f>
        <v>260.34999999999997</v>
      </c>
      <c r="AB347" s="7">
        <f>MIN(S347/N347+0.5, W347/2/N347+0.5)</f>
        <v>1.9999999999999998</v>
      </c>
      <c r="AC347" s="7">
        <f>S347/N347+0.5</f>
        <v>3</v>
      </c>
      <c r="AD347" s="38">
        <v>9.5</v>
      </c>
      <c r="AE347" s="4">
        <f>AD347</f>
        <v>9.5</v>
      </c>
      <c r="AF347" s="4">
        <f>AE347+1</f>
        <v>10.5</v>
      </c>
      <c r="AG347" s="7">
        <f>N347*AF347^0.5</f>
        <v>82.305406869779816</v>
      </c>
      <c r="AJ347" s="38">
        <f>AK347/0.145</f>
        <v>452.41379310344826</v>
      </c>
      <c r="AK347" s="4">
        <v>65.599999999999994</v>
      </c>
      <c r="AL347" s="4">
        <f>CY347</f>
        <v>0.96079814882500592</v>
      </c>
      <c r="AM347" s="38">
        <f>0.375*25.4</f>
        <v>9.5249999999999986</v>
      </c>
      <c r="AN347" s="38">
        <v>4</v>
      </c>
      <c r="AO347" s="39">
        <f>6*25.4</f>
        <v>152.39999999999998</v>
      </c>
      <c r="AP347" s="39">
        <v>1</v>
      </c>
      <c r="AQ347" s="39">
        <v>1</v>
      </c>
      <c r="AR347" s="7"/>
      <c r="AS347" s="4">
        <f>K347</f>
        <v>243.33199999999999</v>
      </c>
      <c r="AT347" s="4">
        <f>IF(K347*3&gt;W347+N347, Q347, (S347+N347/2)*2+1.5*K347*(2*X347-2))*(3*K347)/(9*K347^2)</f>
        <v>0.48712595685455812</v>
      </c>
      <c r="AU347" s="4">
        <f>MIN(10*M347^0.5*K347^1.5,100*3.9*M347^0.5*K347^(5/3))/(PI()/4*N347^2)/X347</f>
        <v>197.16075989632159</v>
      </c>
      <c r="AV347" s="4">
        <f>MIN(0.7+0.3*(MIN(S347,AA347)+0.5*N347)/1.5/K347,1)</f>
        <v>0.76263048016701451</v>
      </c>
      <c r="AW347" s="4">
        <v>1.25</v>
      </c>
      <c r="AX347" s="4">
        <f>AX346</f>
        <v>2.5</v>
      </c>
      <c r="AY347" s="38">
        <f>AT347*AV347*AW347*AX347*AU347</f>
        <v>228.88953438778191</v>
      </c>
      <c r="AZ347" s="38">
        <f>AY347</f>
        <v>228.88953438778191</v>
      </c>
      <c r="BA347" s="38">
        <f>IF(M347&lt;50, 0.3*M347^(2/3), 2.12*LN(1+0.1*(M347+8)))</f>
        <v>4.4175343619879603</v>
      </c>
      <c r="BB347" s="38">
        <f>AX347* (M347^0.5/AS347^0.5)/(PI()/4*N347^2)/X347/0.72 *(0.7+(MIN(S347,AA347)+0.5*N347)/5/K347) *(3*Q347*K347)</f>
        <v>228.88953438778174</v>
      </c>
      <c r="BC347" s="38">
        <f>AY347/BB347</f>
        <v>1.0000000000000007</v>
      </c>
      <c r="BD347" s="38">
        <f>BH347/BB347</f>
        <v>4.0297446980759695</v>
      </c>
      <c r="BE347" s="4">
        <f>IF(BD347&lt;1,1,0)</f>
        <v>0</v>
      </c>
      <c r="BF347" s="4">
        <f>L347/N347*M347^0.5/0.19</f>
        <v>398.1182828760659</v>
      </c>
      <c r="BG347" s="4">
        <f>MIN(0.6+0.4*(AC347/AB347),2)</f>
        <v>1.2000000000000002</v>
      </c>
      <c r="BH347" s="38">
        <f>2*M347*AB347*AD347^0.5*BG347*0.7/0.7</f>
        <v>922.36638764424072</v>
      </c>
      <c r="BI347" s="4">
        <f>MAX(1-0.7*AE347/5,0.3)</f>
        <v>0.3</v>
      </c>
      <c r="BJ347" s="4">
        <f>BI347*J347*L347/(J347*N347/2.75/M347^0.5)</f>
        <v>62.405040840823332</v>
      </c>
      <c r="BK347" s="4">
        <f>BH347+BJ347</f>
        <v>984.77142848506401</v>
      </c>
      <c r="BM347" s="4">
        <f>MIN(1.5, 0.75+0.25*MIN(3,MAX(1,S347/N347))+0.4*MIN(1,(40*2*PI()*AM347^2/4/AO347/X347)/N347))</f>
        <v>1.5</v>
      </c>
      <c r="BN347" s="4">
        <f>(3*P347+30)*BM347*M347^0.5</f>
        <v>695.70546574112018</v>
      </c>
      <c r="BP347" s="4">
        <f>3.4/PI()^0.5*M347*AB347*AE347^0.5*BG347</f>
        <v>884.6621638098693</v>
      </c>
      <c r="BQ347" s="4">
        <f>8/3*AH347*AI347^2/(AG347-N347-22)/N347*(AG347^2-N347^2)/(AG347^2-(N347+22)^2)</f>
        <v>0</v>
      </c>
      <c r="BR347" s="4">
        <f>BQ347/BP347</f>
        <v>0</v>
      </c>
      <c r="BZ347" s="4">
        <f>IF(W347=0,S347,MIN(W347/2,S347))</f>
        <v>38.099999999999994</v>
      </c>
      <c r="CD347" s="9"/>
      <c r="CF347" s="9"/>
      <c r="CG347" s="9"/>
      <c r="CH347" s="9">
        <f>IF(W347=0,MIN(S347,U347),MIN(W347/2,S347,U347))</f>
        <v>38.099999999999994</v>
      </c>
      <c r="CI347" s="9">
        <f>MAX(W347/2,S347)</f>
        <v>63.5</v>
      </c>
      <c r="CJ347" s="9">
        <f>(CH347/N347)^0.5*(CI347/CH347)^0.15</f>
        <v>1.3222785168171165</v>
      </c>
      <c r="CK347" s="70">
        <f>IF(AO347&gt;1,20,0)</f>
        <v>20</v>
      </c>
      <c r="CL347" s="9">
        <f>MIN(PI()*AM347^2/4*AN347*2/X347/N347/MAX(0.01,AO347),0.05)</f>
        <v>4.9087385212340517E-2</v>
      </c>
      <c r="CM347" s="9">
        <f>MAX(0,CK347*(CL347-0.5/50))</f>
        <v>0.78174770424681028</v>
      </c>
      <c r="CN347" s="9">
        <f>MIN(1,(25/N347)^0.3)</f>
        <v>0.99524931562137331</v>
      </c>
      <c r="CO347" s="9">
        <f>IF(J347&gt;=800,0.68,IF(J347&gt;=700,0.75-(J347-700)*0.07/100,IF(J347&gt;=600,0.85-(J347-600)*0.1/100,IF(J347&gt;=500,1-(J347-500)*0.15/100,1.2-(J347-400)*0.2/100))))</f>
        <v>0.68</v>
      </c>
      <c r="CP347" s="9">
        <f>1.75*CN347*CO347*(M347/25)^0.5</f>
        <v>1.8702904607807274</v>
      </c>
      <c r="CQ347" s="9">
        <f>MIN((CJ347+CM347)*CP347,2.5*CP347,M347^0.5)</f>
        <v>3.9351401704883844</v>
      </c>
      <c r="CR347" s="40">
        <v>1</v>
      </c>
      <c r="CS347" s="9">
        <f>4*CQ347*P347+60*CQ347</f>
        <v>386.90298156241795</v>
      </c>
      <c r="CU347" s="4">
        <f>AJ347/BF347</f>
        <v>1.1363803486620696</v>
      </c>
      <c r="CV347" s="4">
        <f>AJ347/BK347</f>
        <v>0.45940995038759902</v>
      </c>
      <c r="CW347" s="4">
        <f>AJ347/BN347</f>
        <v>0.65029501043448246</v>
      </c>
      <c r="CX347" s="4">
        <f>AJ347/CS347</f>
        <v>1.1693210304983437</v>
      </c>
      <c r="CY347" s="4">
        <f>AJ347/DZ347</f>
        <v>0.96079814882500592</v>
      </c>
      <c r="CZ347" s="4">
        <f>AJ347/EL347</f>
        <v>0.93212965513993562</v>
      </c>
      <c r="DA347" s="4">
        <f>AJ347/GI347</f>
        <v>1.1355499502132003</v>
      </c>
      <c r="DB347" s="4">
        <f>AN347</f>
        <v>4</v>
      </c>
      <c r="DI347" s="4">
        <f>CU347</f>
        <v>1.1363803486620696</v>
      </c>
      <c r="DJ347" s="4">
        <f>CV347</f>
        <v>0.45940995038759902</v>
      </c>
      <c r="DK347" s="4">
        <f>CX347</f>
        <v>1.1693210304983437</v>
      </c>
      <c r="DL347" s="4">
        <f>DA347</f>
        <v>1.1355499502132003</v>
      </c>
      <c r="DM347" s="4">
        <f>CY347</f>
        <v>0.96079814882500592</v>
      </c>
      <c r="DN347" s="4">
        <f>CZ347</f>
        <v>0.93212965513993562</v>
      </c>
      <c r="DQ347" s="4">
        <f>L347</f>
        <v>243.33199999999999</v>
      </c>
      <c r="DT347" s="4">
        <f>K347/4/(1-0.3*(M347/30)^0.5)/200000/N347</f>
        <v>2.1100385912136846E-5</v>
      </c>
      <c r="DU347" s="4">
        <f>EP347</f>
        <v>9.0106843469076061</v>
      </c>
      <c r="DV347" s="4">
        <f>EC347*AG347/257/M347/AD347</f>
        <v>0.12376480017919407</v>
      </c>
      <c r="DW347" s="4">
        <f>DU347*DV347^0.4</f>
        <v>3.906579207130604</v>
      </c>
      <c r="DX347" s="4">
        <f>MIN(DU347, DU347/1.4*(1-DV347^1.4)/(1-DV347))</f>
        <v>6.951156618432341</v>
      </c>
      <c r="DY347" s="4">
        <f>MAX(DU347/2, (4-DT347*(8*AG347*(DW347-DX347)+6*K347*DX347))/(4+DT347*K347*DU347)*DU347)</f>
        <v>8.5249832580180538</v>
      </c>
      <c r="DZ347" s="38">
        <f>MIN(1/N347*(4*AG347*(DW347-DX347)+(3*DX347+DY347)*K347)+EC347 -FJ347,MAX(J347,AJ347))</f>
        <v>470.87288173558733</v>
      </c>
      <c r="EA347" s="4">
        <f>DZ347/FF347</f>
        <v>1.0000936867373067</v>
      </c>
      <c r="EB347" s="4">
        <f>AG347/N347</f>
        <v>3.2403703492039297</v>
      </c>
      <c r="EC347" s="4">
        <f>MIN(EB$10*BB347)</f>
        <v>228.88953438778174</v>
      </c>
      <c r="EG347" s="4">
        <f>IF(U347&gt;1*N347,0.85,1)</f>
        <v>0.85</v>
      </c>
      <c r="EH347" s="4">
        <f>MIN(1,MAX(0.7,(1-0.1*(BZ347-1*N347)/N347)))</f>
        <v>0.95</v>
      </c>
      <c r="EI347" s="4">
        <f>MIN(1,MAX(0.7,1-0.3*(PI()*AM347^2/4*AQ347*2-0.25*PI()/4*N347^2)/(PI()/4*N347^2)))</f>
        <v>0.99062499999999998</v>
      </c>
      <c r="EJ347" s="4">
        <f>IF(EH347*EI347&lt;0.7,0.7,EH347*EI347)</f>
        <v>0.94109374999999995</v>
      </c>
      <c r="EL347" s="4">
        <f>MIN(DU347/N347*3*K347+EM347-FJ347,MAX(J347,AJ347))</f>
        <v>485.35500464850008</v>
      </c>
      <c r="EM347" s="25">
        <f>13.3*Q347*K347^0.5*M347^0.5/X347/N347^2*(0.7+S347/5/K347)</f>
        <v>226.38793651837554</v>
      </c>
      <c r="EO347" s="4">
        <f>EG347*EJ347</f>
        <v>0.79992968749999993</v>
      </c>
      <c r="EP347" s="4">
        <f>IF(N347&lt;22.2,1.1*5*(M347/30)^0.5,IF(N347&gt;=31.8,0.9*5*(M347/30)^0.5,1*5*(M347/30)^0.5))/EG347/EJ347</f>
        <v>9.0106843469076061</v>
      </c>
      <c r="ES347" s="4">
        <f>ET347*N347</f>
        <v>82.305406869779816</v>
      </c>
      <c r="ET347" s="4">
        <f>AF347^0.5</f>
        <v>3.2403703492039302</v>
      </c>
      <c r="EU347" s="4">
        <f>MIN(EC347)/(4700*M347^0.5)/AE347*ES347</f>
        <v>5.3435837996056383E-2</v>
      </c>
      <c r="EX347" s="4">
        <f>EU347</f>
        <v>5.3435837996056383E-2</v>
      </c>
      <c r="EY347" s="4">
        <f>MIN(0.999, EX347/(0.3*(M347/30)^0.5))</f>
        <v>0.1235582597943181</v>
      </c>
      <c r="EZ347" s="4">
        <f>EP347/1*EY347^0.4</f>
        <v>3.9039701593734981</v>
      </c>
      <c r="FA347" s="4">
        <f>EP347/1.4*(1-EY347^1.4)/(1-EY347)</f>
        <v>6.9504388324651538</v>
      </c>
      <c r="FB347" s="4">
        <f>MAX(0,DQ347*FB$9-ES347)</f>
        <v>100.19359313022018</v>
      </c>
      <c r="FC347" s="4">
        <f>MAX(0,DQ347-ES347-FB347)</f>
        <v>60.833000000000013</v>
      </c>
      <c r="FD347" s="4">
        <f>FC347/(1-0.3*(M347/30)^0.5)/200000/N347</f>
        <v>2.1100385912136853E-5</v>
      </c>
      <c r="FE347" s="4">
        <f>MAX(0.5*EP347, (1-2*FD347*(ES347*EZ347+FB347*FA347))/(1/EP347+FD347*FC347))</f>
        <v>8.5250910149896661</v>
      </c>
      <c r="FF347" s="4">
        <f>MIN(4/N347*(1*EZ347*ES347+FA347*FB347+FC347*FE347)+EC347,MAX(J347,AJ347))</f>
        <v>470.8287713241719</v>
      </c>
      <c r="FO347" s="23">
        <f>IF(CU347&lt;0.6,0.6,IF(CU347&lt;0.8,0.8,IF(CU347&lt;1,1,IF(CU347&lt;1.2,1.2,IF(CU347&lt;1.4,1.4,IF(CU347&lt;1.6,1.6,IF(CU347&lt;1.8,1.8,IF(CU347&lt;2,2,2.2))))))))</f>
        <v>1.2</v>
      </c>
      <c r="FP347" s="23">
        <f>IF(CV347&lt;0.6,0.6,IF(CV347&lt;0.8,0.8,IF(CV347&lt;1,1,IF(CV347&lt;1.2,1.2,IF(CV347&lt;1.4,1.4,IF(CV347&lt;1.6,1.6,IF(CV347&lt;1.8,1.8,IF(CV347&lt;2,2,2.2))))))))</f>
        <v>0.6</v>
      </c>
      <c r="FQ347" s="23">
        <f>IF(DA347&lt;0.6,0.6,IF(DA347&lt;0.8,0.8,IF(DA347&lt;1,1,IF(DA347&lt;1.2,1.2,IF(DA347&lt;1.4,1.4,IF(DA347&lt;1.6,1.6,IF(DA347&lt;1.8,1.8,IF(DA347&lt;2,2,2.2))))))))</f>
        <v>1.2</v>
      </c>
      <c r="FR347" s="23">
        <f>IF(CX347&lt;0.6,0.6,IF(CX347&lt;0.8,0.8,IF(CX347&lt;1,1,IF(CX347&lt;1.2,1.2,IF(CX347&lt;1.4,1.4,IF(CX347&lt;1.6,1.6,IF(CX347&lt;1.8,1.8,IF(CX347&lt;2,2,2.2))))))))</f>
        <v>1.2</v>
      </c>
      <c r="FS347" s="23">
        <f>IF(CY347&lt;0.6,0.6,IF(CY347&lt;0.8,0.8,IF(CY347&lt;1,1,IF(CY347&lt;1.2,1.2,IF(CY347&lt;1.4,1.4,IF(CY347&lt;1.6,1.6,IF(CY347&lt;1.8,1.8,IF(CY347&lt;2,2,2.2))))))))</f>
        <v>1</v>
      </c>
      <c r="FT347" s="23">
        <f>IF(CZ347&lt;0.6,0.6,IF(CZ347&lt;0.8,0.8,IF(CZ347&lt;1,1,IF(CZ347&lt;1.2,1.2,IF(CZ347&lt;1.4,1.4,IF(CZ347&lt;1.6,1.6,IF(CZ347&lt;1.8,1.8,IF(CZ347&lt;2,2,2.2))))))))</f>
        <v>1</v>
      </c>
      <c r="FU347" s="23">
        <f>IF(FS347&lt;1,1,0)</f>
        <v>0</v>
      </c>
      <c r="FV347" s="23"/>
      <c r="GF347" s="4">
        <f>IF(S347&gt;=2.5*25.4,1,1.25)</f>
        <v>1</v>
      </c>
      <c r="GG347" s="4">
        <f>IF(AO347&gt;1, 0.05*(18-MIN(8,(W347+N347)/N347))*(1-48000/MAX(60000,(J347*145))*(N347/25.4)^0.75*GH347), 1/12*(14-MIN(8,(W347+N347)/N347)))</f>
        <v>0.67375000000000007</v>
      </c>
      <c r="GH347" s="4">
        <f>MIN(0.3, AM347^2*PI()/4*2*AP347/(N347^2*PI()/4*X347))</f>
        <v>9.3749999999999986E-2</v>
      </c>
      <c r="GI347" s="4">
        <f>(K347/25.4)/(N347/25.4)^1.5/0.0024*(M347*145)^0.25/GF347/GG347/145</f>
        <v>398.40941652853513</v>
      </c>
    </row>
    <row r="348" spans="1:191" ht="12" customHeight="1" x14ac:dyDescent="0.3">
      <c r="A348" s="25">
        <v>309</v>
      </c>
      <c r="B348" s="4" t="s">
        <v>605</v>
      </c>
      <c r="C348" s="4">
        <v>2016</v>
      </c>
      <c r="D348" s="4" t="s">
        <v>309</v>
      </c>
      <c r="E348" s="24" t="s">
        <v>669</v>
      </c>
      <c r="F348" s="24"/>
      <c r="G348" s="24">
        <v>33</v>
      </c>
      <c r="H348" s="7" t="s">
        <v>470</v>
      </c>
      <c r="I348" s="5">
        <f>K348/N348</f>
        <v>9.58</v>
      </c>
      <c r="J348" s="91">
        <f>120/0.145</f>
        <v>827.58620689655174</v>
      </c>
      <c r="K348" s="47">
        <f>9.58*25.4</f>
        <v>243.33199999999999</v>
      </c>
      <c r="L348" s="4">
        <f>K348</f>
        <v>243.33199999999999</v>
      </c>
      <c r="M348" s="99">
        <f>10180/145</f>
        <v>70.206896551724142</v>
      </c>
      <c r="N348" s="96">
        <f>1*25.4</f>
        <v>25.4</v>
      </c>
      <c r="O348" s="7">
        <f>K348/N348</f>
        <v>9.58</v>
      </c>
      <c r="P348" s="7">
        <f>L348/N348</f>
        <v>9.58</v>
      </c>
      <c r="Q348" s="38">
        <f>20.1*25.4</f>
        <v>510.54</v>
      </c>
      <c r="R348" s="32">
        <f>S348/N348</f>
        <v>2.5</v>
      </c>
      <c r="S348" s="38">
        <f>2.5*25.4</f>
        <v>63.5</v>
      </c>
      <c r="T348" s="32">
        <f>U348/N348</f>
        <v>3.2</v>
      </c>
      <c r="U348" s="39">
        <f>3.2*25.4</f>
        <v>81.28</v>
      </c>
      <c r="V348" s="32">
        <f>W348/N348</f>
        <v>6.0500000000000007</v>
      </c>
      <c r="W348" s="7">
        <f>(Q348-X348*N348-2*S348)/(X348-1)</f>
        <v>153.67000000000002</v>
      </c>
      <c r="X348" s="38">
        <v>3</v>
      </c>
      <c r="Y348" s="7">
        <f>AN348</f>
        <v>4</v>
      </c>
      <c r="Z348" s="32">
        <f>AA348/N348</f>
        <v>10.25</v>
      </c>
      <c r="AA348" s="4">
        <f>10.25*25.4</f>
        <v>260.34999999999997</v>
      </c>
      <c r="AB348" s="7">
        <f>MIN(S348/N348+0.5, W348/2/N348+0.5)</f>
        <v>3</v>
      </c>
      <c r="AC348" s="7">
        <f>S348/N348+0.5</f>
        <v>3</v>
      </c>
      <c r="AD348" s="38">
        <v>9.5</v>
      </c>
      <c r="AE348" s="4">
        <f>AD348</f>
        <v>9.5</v>
      </c>
      <c r="AF348" s="4">
        <f>AE348+1</f>
        <v>10.5</v>
      </c>
      <c r="AG348" s="7">
        <f>N348*AF348^0.5</f>
        <v>82.305406869779816</v>
      </c>
      <c r="AJ348" s="38">
        <f>AK348/0.145</f>
        <v>590.34482758620686</v>
      </c>
      <c r="AK348" s="4">
        <v>85.6</v>
      </c>
      <c r="AL348" s="4">
        <f>CY348</f>
        <v>0.88772695202762453</v>
      </c>
      <c r="AM348" s="38">
        <f>0.5*25.4</f>
        <v>12.7</v>
      </c>
      <c r="AN348" s="38">
        <v>4</v>
      </c>
      <c r="AO348" s="39">
        <f>6*25.4</f>
        <v>152.39999999999998</v>
      </c>
      <c r="AP348" s="39">
        <v>1</v>
      </c>
      <c r="AQ348" s="39">
        <v>1</v>
      </c>
      <c r="AR348" s="7"/>
      <c r="AS348" s="4">
        <f>K348</f>
        <v>243.33199999999999</v>
      </c>
      <c r="AT348" s="4">
        <f>IF(K348*3&gt;W348+N348, Q348, (S348+N348/2)*2+1.5*K348*(2*X348-2))*(3*K348)/(9*K348^2)</f>
        <v>0.69937369519832993</v>
      </c>
      <c r="AU348" s="4">
        <f>MIN(10*M348^0.5*K348^1.5,100*3.9*M348^0.5*K348^(5/3))/(PI()/4*N348^2)/X348</f>
        <v>209.22335266954931</v>
      </c>
      <c r="AV348" s="4">
        <f>MIN(0.7+0.3*(MIN(S348,AA348)+0.5*N348)/1.5/K348,1)</f>
        <v>0.76263048016701451</v>
      </c>
      <c r="AW348" s="4">
        <v>1.25</v>
      </c>
      <c r="AX348" s="4">
        <f>AX347</f>
        <v>2.5</v>
      </c>
      <c r="AY348" s="38">
        <f>AT348*AV348*AW348*AX348*AU348</f>
        <v>348.72544023589438</v>
      </c>
      <c r="AZ348" s="38">
        <f>AY348</f>
        <v>348.72544023589438</v>
      </c>
      <c r="BA348" s="38">
        <f>IF(M348&lt;50, 0.3*M348^(2/3), 2.12*LN(1+0.1*(M348+8)))</f>
        <v>4.615452125415529</v>
      </c>
      <c r="BB348" s="38">
        <f>AX348* (M348^0.5/AS348^0.5)/(PI()/4*N348^2)/X348/0.72 *(0.7+(MIN(S348,AA348)+0.5*N348)/5/K348) *(3*Q348*K348)</f>
        <v>348.7254402358941</v>
      </c>
      <c r="BC348" s="38">
        <f>AY348/BB348</f>
        <v>1.0000000000000009</v>
      </c>
      <c r="BD348" s="38">
        <f>BH348/BB348</f>
        <v>3.7231385463218905</v>
      </c>
      <c r="BE348" s="4">
        <f>IF(BD348&lt;1,1,0)</f>
        <v>0</v>
      </c>
      <c r="BF348" s="4">
        <f>L348/N348*M348^0.5/0.19</f>
        <v>422.47576011664859</v>
      </c>
      <c r="BG348" s="4">
        <f>MIN(0.6+0.4*(AC348/AB348),2)</f>
        <v>1</v>
      </c>
      <c r="BH348" s="38">
        <f>2*M348*AB348*AD348^0.5*BG348*0.7/0.7</f>
        <v>1298.3531286253281</v>
      </c>
      <c r="BI348" s="4">
        <f>MAX(1-0.7*AE348/5,0.3)</f>
        <v>0.3</v>
      </c>
      <c r="BJ348" s="4">
        <f>BI348*J348*L348/(J348*N348/2.75/M348^0.5)</f>
        <v>66.223075398284678</v>
      </c>
      <c r="BK348" s="4">
        <f>BH348+BJ348</f>
        <v>1364.5762040236127</v>
      </c>
      <c r="BM348" s="4">
        <f>MIN(1.5, 0.75+0.25*MIN(3,MAX(1,S348/N348))+0.4*MIN(1,(40*2*PI()*AM348^2/4/AO348/X348)/N348))</f>
        <v>1.5</v>
      </c>
      <c r="BN348" s="4">
        <f>(3*P348+30)*BM348*M348^0.5</f>
        <v>738.26977583891471</v>
      </c>
      <c r="BP348" s="4">
        <f>3.4/PI()^0.5*M348*AB348*AE348^0.5*BG348</f>
        <v>1245.2794285929851</v>
      </c>
      <c r="BQ348" s="4">
        <f>8/3*AH348*AI348^2/(AG348-N348-22)/N348*(AG348^2-N348^2)/(AG348^2-(N348+22)^2)</f>
        <v>0</v>
      </c>
      <c r="BR348" s="4">
        <f>BQ348/BP348</f>
        <v>0</v>
      </c>
      <c r="BZ348" s="4">
        <f>IF(W348=0,S348,MIN(W348/2,S348))</f>
        <v>63.5</v>
      </c>
      <c r="CD348" s="9"/>
      <c r="CF348" s="9"/>
      <c r="CG348" s="9"/>
      <c r="CH348" s="9">
        <f>IF(W348=0,MIN(S348,U348),MIN(W348/2,S348,U348))</f>
        <v>63.5</v>
      </c>
      <c r="CI348" s="9">
        <f>MAX(W348/2,S348)</f>
        <v>76.835000000000008</v>
      </c>
      <c r="CJ348" s="9">
        <f>(CH348/N348)^0.5*(CI348/CH348)^0.15</f>
        <v>1.6270009626009634</v>
      </c>
      <c r="CK348" s="70">
        <f>IF(AO348&gt;1,20,0)</f>
        <v>20</v>
      </c>
      <c r="CL348" s="9">
        <f>MIN(PI()*AM348^2/4*AN348*2/X348/N348/MAX(0.01,AO348),0.05)</f>
        <v>0.05</v>
      </c>
      <c r="CM348" s="9">
        <f>MAX(0,CK348*(CL348-0.5/50))</f>
        <v>0.8</v>
      </c>
      <c r="CN348" s="9">
        <f>MIN(1,(25/N348)^0.3)</f>
        <v>0.99524931562137331</v>
      </c>
      <c r="CO348" s="9">
        <f>IF(J348&gt;=800,0.68,IF(J348&gt;=700,0.75-(J348-700)*0.07/100,IF(J348&gt;=600,0.85-(J348-600)*0.1/100,IF(J348&gt;=500,1-(J348-500)*0.15/100,1.2-(J348-400)*0.2/100))))</f>
        <v>0.68</v>
      </c>
      <c r="CP348" s="9">
        <f>1.75*CN348*CO348*(M348/25)^0.5</f>
        <v>1.9847176531283015</v>
      </c>
      <c r="CQ348" s="9">
        <f>MIN((CJ348+CM348)*CP348,2.5*CP348,M348^0.5)</f>
        <v>4.8169116546335129</v>
      </c>
      <c r="CR348" s="40">
        <v>1</v>
      </c>
      <c r="CS348" s="9">
        <f>4*CQ348*P348+60*CQ348</f>
        <v>473.59875388356699</v>
      </c>
      <c r="CU348" s="4">
        <f>AJ348/BF348</f>
        <v>1.3973460333516139</v>
      </c>
      <c r="CV348" s="4">
        <f>AJ348/BK348</f>
        <v>0.4326213705365124</v>
      </c>
      <c r="CW348" s="4">
        <f>AJ348/BN348</f>
        <v>0.79963293487855847</v>
      </c>
      <c r="CX348" s="4">
        <f>AJ348/CS348</f>
        <v>1.2465084055760451</v>
      </c>
      <c r="CY348" s="4">
        <f>AJ348/DZ348</f>
        <v>0.88772695202762453</v>
      </c>
      <c r="CZ348" s="4">
        <f>AJ348/EL348</f>
        <v>0.8760822339448866</v>
      </c>
      <c r="DA348" s="4">
        <f>AJ348/GI348</f>
        <v>1.0909464990682394</v>
      </c>
      <c r="DB348" s="4">
        <f>AN348</f>
        <v>4</v>
      </c>
      <c r="DI348" s="4">
        <f>CU348</f>
        <v>1.3973460333516139</v>
      </c>
      <c r="DJ348" s="4">
        <f>CV348</f>
        <v>0.4326213705365124</v>
      </c>
      <c r="DK348" s="4">
        <f>CX348</f>
        <v>1.2465084055760451</v>
      </c>
      <c r="DL348" s="4">
        <f>DA348</f>
        <v>1.0909464990682394</v>
      </c>
      <c r="DM348" s="4">
        <f>CY348</f>
        <v>0.88772695202762453</v>
      </c>
      <c r="DN348" s="4">
        <f>CZ348</f>
        <v>0.8760822339448866</v>
      </c>
      <c r="DQ348" s="4">
        <f>L348</f>
        <v>243.33199999999999</v>
      </c>
      <c r="DT348" s="4">
        <f>K348/4/(1-0.3*(M348/30)^0.5)/200000/N348</f>
        <v>2.2132247433714916E-5</v>
      </c>
      <c r="DU348" s="4">
        <f>EP348</f>
        <v>11.445102347435631</v>
      </c>
      <c r="DV348" s="4">
        <f>EC348*AG348/257/M348/AD348</f>
        <v>0.16744627587900529</v>
      </c>
      <c r="DW348" s="4">
        <f>DU348*DV348^0.4</f>
        <v>5.5997659814198109</v>
      </c>
      <c r="DX348" s="4">
        <f>MIN(DU348, DU348/1.4*(1-DV348^1.4)/(1-DV348))</f>
        <v>9.0148128271126939</v>
      </c>
      <c r="DY348" s="4">
        <f>MAX(DU348/2, (4-DT348*(8*AG348*(DW348-DX348)+6*K348*DX348))/(4+DT348*K348*DU348)*DU348)</f>
        <v>10.590826696453178</v>
      </c>
      <c r="DZ348" s="38">
        <f>MIN(1/N348*(4*AG348*(DW348-DX348)+(3*DX348+DY348)*K348)+EC348 -FJ348,MAX(J348,AJ348))</f>
        <v>665.00721447943192</v>
      </c>
      <c r="EA348" s="4">
        <f>DZ348/FF348</f>
        <v>1.0000970659885409</v>
      </c>
      <c r="EB348" s="4">
        <f>AG348/N348</f>
        <v>3.2403703492039297</v>
      </c>
      <c r="EC348" s="4">
        <f>MIN(EB$10*BB348)</f>
        <v>348.7254402358941</v>
      </c>
      <c r="EG348" s="4">
        <f>IF(U348&gt;1*N348,0.85,1)</f>
        <v>0.85</v>
      </c>
      <c r="EH348" s="4">
        <f>MIN(1,MAX(0.7,(1-0.1*(BZ348-1*N348)/N348)))</f>
        <v>0.85</v>
      </c>
      <c r="EI348" s="4">
        <f>MIN(1,MAX(0.7,1-0.3*(PI()*AM348^2/4*AQ348*2-0.25*PI()/4*N348^2)/(PI()/4*N348^2)))</f>
        <v>0.92500000000000004</v>
      </c>
      <c r="EJ348" s="4">
        <f>IF(EH348*EI348&lt;0.7,0.7,EH348*EI348)</f>
        <v>0.78625</v>
      </c>
      <c r="EL348" s="4">
        <f>MIN(DU348/N348*3*K348+EM348-FJ348,MAX(J348,AJ348))</f>
        <v>673.84636363182415</v>
      </c>
      <c r="EM348" s="25">
        <f>13.3*Q348*K348^0.5*M348^0.5/X348/N348^2*(0.7+S348/5/K348)</f>
        <v>344.91412216652412</v>
      </c>
      <c r="EO348" s="4">
        <f>EG348*EJ348</f>
        <v>0.66831249999999998</v>
      </c>
      <c r="EP348" s="4">
        <f>IF(N348&lt;22.2,1.1*5*(M348/30)^0.5,IF(N348&gt;=31.8,0.9*5*(M348/30)^0.5,1*5*(M348/30)^0.5))/EG348/EJ348</f>
        <v>11.445102347435631</v>
      </c>
      <c r="ES348" s="4">
        <f>ET348*N348</f>
        <v>82.305406869779816</v>
      </c>
      <c r="ET348" s="4">
        <f>AF348^0.5</f>
        <v>3.2403703492039302</v>
      </c>
      <c r="EU348" s="4">
        <f>MIN(EC348)/(4700*M348^0.5)/AE348*ES348</f>
        <v>7.6718595980052401E-2</v>
      </c>
      <c r="EX348" s="4">
        <f>EU348</f>
        <v>7.6718595980052401E-2</v>
      </c>
      <c r="EY348" s="4">
        <f>MIN(0.999, EX348/(0.3*(M348/30)^0.5))</f>
        <v>0.16716683925230674</v>
      </c>
      <c r="EZ348" s="4">
        <f>EP348/1*EY348^0.4</f>
        <v>5.5960261220442531</v>
      </c>
      <c r="FA348" s="4">
        <f>EP348/1.4*(1-EY348^1.4)/(1-EY348)</f>
        <v>9.0136663650658502</v>
      </c>
      <c r="FB348" s="4">
        <f>MAX(0,DQ348*FB$9-ES348)</f>
        <v>100.19359313022018</v>
      </c>
      <c r="FC348" s="4">
        <f>MAX(0,DQ348-ES348-FB348)</f>
        <v>60.833000000000013</v>
      </c>
      <c r="FD348" s="4">
        <f>FC348/(1-0.3*(M348/30)^0.5)/200000/N348</f>
        <v>2.213224743371492E-5</v>
      </c>
      <c r="FE348" s="4">
        <f>MAX(0.5*EP348, (1-2*FD348*(ES348*EZ348+FB348*FA348))/(1/EP348+FD348*FC348))</f>
        <v>10.591037580874655</v>
      </c>
      <c r="FF348" s="4">
        <f>MIN(4/N348*(1*EZ348*ES348+FA348*FB348+FC348*FE348)+EC348,MAX(J348,AJ348))</f>
        <v>664.94267116173262</v>
      </c>
      <c r="FO348" s="23">
        <f>IF(CU348&lt;0.6,0.6,IF(CU348&lt;0.8,0.8,IF(CU348&lt;1,1,IF(CU348&lt;1.2,1.2,IF(CU348&lt;1.4,1.4,IF(CU348&lt;1.6,1.6,IF(CU348&lt;1.8,1.8,IF(CU348&lt;2,2,2.2))))))))</f>
        <v>1.4</v>
      </c>
      <c r="FP348" s="23">
        <f>IF(CV348&lt;0.6,0.6,IF(CV348&lt;0.8,0.8,IF(CV348&lt;1,1,IF(CV348&lt;1.2,1.2,IF(CV348&lt;1.4,1.4,IF(CV348&lt;1.6,1.6,IF(CV348&lt;1.8,1.8,IF(CV348&lt;2,2,2.2))))))))</f>
        <v>0.6</v>
      </c>
      <c r="FQ348" s="23">
        <f>IF(DA348&lt;0.6,0.6,IF(DA348&lt;0.8,0.8,IF(DA348&lt;1,1,IF(DA348&lt;1.2,1.2,IF(DA348&lt;1.4,1.4,IF(DA348&lt;1.6,1.6,IF(DA348&lt;1.8,1.8,IF(DA348&lt;2,2,2.2))))))))</f>
        <v>1.2</v>
      </c>
      <c r="FR348" s="23">
        <f>IF(CX348&lt;0.6,0.6,IF(CX348&lt;0.8,0.8,IF(CX348&lt;1,1,IF(CX348&lt;1.2,1.2,IF(CX348&lt;1.4,1.4,IF(CX348&lt;1.6,1.6,IF(CX348&lt;1.8,1.8,IF(CX348&lt;2,2,2.2))))))))</f>
        <v>1.4</v>
      </c>
      <c r="FS348" s="23">
        <f>IF(CY348&lt;0.6,0.6,IF(CY348&lt;0.8,0.8,IF(CY348&lt;1,1,IF(CY348&lt;1.2,1.2,IF(CY348&lt;1.4,1.4,IF(CY348&lt;1.6,1.6,IF(CY348&lt;1.8,1.8,IF(CY348&lt;2,2,2.2))))))))</f>
        <v>1</v>
      </c>
      <c r="FT348" s="23">
        <f>IF(CZ348&lt;0.6,0.6,IF(CZ348&lt;0.8,0.8,IF(CZ348&lt;1,1,IF(CZ348&lt;1.2,1.2,IF(CZ348&lt;1.4,1.4,IF(CZ348&lt;1.6,1.6,IF(CZ348&lt;1.8,1.8,IF(CZ348&lt;2,2,2.2))))))))</f>
        <v>1</v>
      </c>
      <c r="FU348" s="23">
        <f>IF(FS348&lt;1,1,0)</f>
        <v>0</v>
      </c>
      <c r="FV348" s="23"/>
      <c r="GF348" s="4">
        <f>IF(S348&gt;=2.5*25.4,1,1.25)</f>
        <v>1</v>
      </c>
      <c r="GG348" s="4">
        <f>IF(AO348&gt;1, 0.05*(18-MIN(8,(W348+N348)/N348))*(1-48000/MAX(60000,(J348*145))*(N348/25.4)^0.75*GH348), 1/12*(14-MIN(8,(W348+N348)/N348)))</f>
        <v>0.51100000000000001</v>
      </c>
      <c r="GH348" s="4">
        <f>MIN(0.3, AM348^2*PI()/4*2*AP348/(N348^2*PI()/4*X348))</f>
        <v>0.16666666666666669</v>
      </c>
      <c r="GI348" s="4">
        <f>(K348/25.4)/(N348/25.4)^1.5/0.0024*(M348*145)^0.25/GF348/GG348/145</f>
        <v>541.13086947014483</v>
      </c>
    </row>
    <row r="349" spans="1:191" ht="12" customHeight="1" x14ac:dyDescent="0.3">
      <c r="A349" s="25">
        <v>238</v>
      </c>
      <c r="B349" s="4" t="s">
        <v>605</v>
      </c>
      <c r="C349" s="4">
        <v>2016</v>
      </c>
      <c r="D349" s="4" t="s">
        <v>309</v>
      </c>
      <c r="E349" s="24" t="s">
        <v>662</v>
      </c>
      <c r="F349" s="24"/>
      <c r="G349" s="24">
        <v>41</v>
      </c>
      <c r="H349" s="7" t="s">
        <v>391</v>
      </c>
      <c r="I349" s="5">
        <f>K349/N349</f>
        <v>9.56</v>
      </c>
      <c r="J349" s="91">
        <f>120/0.145</f>
        <v>827.58620689655174</v>
      </c>
      <c r="K349" s="38">
        <f>9.56*25.4</f>
        <v>242.82400000000001</v>
      </c>
      <c r="L349" s="4">
        <f>K349</f>
        <v>242.82400000000001</v>
      </c>
      <c r="M349" s="89">
        <f>5090/145</f>
        <v>35.103448275862071</v>
      </c>
      <c r="N349" s="96">
        <f>1*25.4</f>
        <v>25.4</v>
      </c>
      <c r="O349" s="7">
        <f>K349/N349</f>
        <v>9.56</v>
      </c>
      <c r="P349" s="7">
        <f>L349/N349</f>
        <v>9.56</v>
      </c>
      <c r="Q349" s="38">
        <f>17.3*25.4</f>
        <v>439.42</v>
      </c>
      <c r="R349" s="32">
        <f>S349/N349</f>
        <v>2.8</v>
      </c>
      <c r="S349" s="38">
        <f>2.8*25.4</f>
        <v>71.11999999999999</v>
      </c>
      <c r="T349" s="32">
        <f>U349/N349</f>
        <v>3.0499999999999994</v>
      </c>
      <c r="U349" s="39">
        <f>3.05*25.4</f>
        <v>77.469999999999985</v>
      </c>
      <c r="V349" s="32">
        <f>W349/N349</f>
        <v>9.7000000000000011</v>
      </c>
      <c r="W349" s="7">
        <f>(Q349-X349*N349-2*S349)/(X349-1)</f>
        <v>246.38000000000002</v>
      </c>
      <c r="X349" s="38">
        <v>2</v>
      </c>
      <c r="Y349" s="7">
        <f>AN349</f>
        <v>10</v>
      </c>
      <c r="Z349" s="32">
        <f>AA349/N349</f>
        <v>10.25</v>
      </c>
      <c r="AA349" s="4">
        <f>10.25*25.4</f>
        <v>260.34999999999997</v>
      </c>
      <c r="AB349" s="7">
        <f>MIN(S349/N349+0.5, W349/2/N349+0.5)</f>
        <v>3.3</v>
      </c>
      <c r="AC349" s="7">
        <f>S349/N349+0.5</f>
        <v>3.3</v>
      </c>
      <c r="AD349" s="38">
        <v>4</v>
      </c>
      <c r="AE349" s="4">
        <f>AD349</f>
        <v>4</v>
      </c>
      <c r="AF349" s="4">
        <f>AE349+1</f>
        <v>5</v>
      </c>
      <c r="AG349" s="7">
        <f>N349*AF349^0.5</f>
        <v>56.796126628494655</v>
      </c>
      <c r="AJ349" s="38">
        <f>99.6/0.145</f>
        <v>686.89655172413791</v>
      </c>
      <c r="AL349" s="4">
        <f>CY349</f>
        <v>1.1793748514869569</v>
      </c>
      <c r="AM349" s="38">
        <f>0.375*25.4</f>
        <v>9.5249999999999986</v>
      </c>
      <c r="AN349" s="38">
        <v>10</v>
      </c>
      <c r="AO349" s="39">
        <f>3*25.4</f>
        <v>76.199999999999989</v>
      </c>
      <c r="AP349" s="39">
        <v>3</v>
      </c>
      <c r="AQ349" s="39">
        <v>1</v>
      </c>
      <c r="AR349" s="7"/>
      <c r="AS349" s="4">
        <f>K349</f>
        <v>242.82400000000001</v>
      </c>
      <c r="AT349" s="4">
        <f>IF(K349*3&gt;W349+N349, Q349, (S349+N349/2)*2+1.5*K349*(2*X349-2))*(3*K349)/(9*K349^2)</f>
        <v>0.60320781032078097</v>
      </c>
      <c r="AU349" s="4">
        <f>MIN(10*M349^0.5*K349^1.5,100*3.9*M349^0.5*K349^(5/3))/(PI()/4*N349^2)/X349</f>
        <v>221.2203082426764</v>
      </c>
      <c r="AV349" s="4">
        <f>MIN(0.7+0.3*(MIN(S349,AA349)+0.5*N349)/1.5/K349,1)</f>
        <v>0.76903765690376569</v>
      </c>
      <c r="AW349" s="4">
        <v>1.25</v>
      </c>
      <c r="AX349" s="4">
        <f>AX348</f>
        <v>2.5</v>
      </c>
      <c r="AY349" s="38">
        <f>AT349*AV349*AW349*AX349*AU349</f>
        <v>320.69307138372187</v>
      </c>
      <c r="AZ349" s="38">
        <f>AY349</f>
        <v>320.69307138372187</v>
      </c>
      <c r="BA349" s="38">
        <f>IF(M349&lt;50, 0.3*M349^(2/3), 2.12*LN(1+0.1*(M349+8)))</f>
        <v>3.2162843791396258</v>
      </c>
      <c r="BB349" s="38">
        <f>AX349* (M349^0.5/AS349^0.5)/(PI()/4*N349^2)/X349/0.72 *(0.7+(MIN(S349,AA349)+0.5*N349)/5/K349) *(3*Q349*K349)</f>
        <v>320.69307138372176</v>
      </c>
      <c r="BC349" s="38">
        <f>AY349/BB349</f>
        <v>1.0000000000000004</v>
      </c>
      <c r="BD349" s="38">
        <f>BH349/BB349</f>
        <v>1.4448878338470383</v>
      </c>
      <c r="BE349" s="4">
        <f>IF(BD349&lt;1,1,0)</f>
        <v>0</v>
      </c>
      <c r="BF349" s="4">
        <f>L349/N349*M349^0.5/0.19</f>
        <v>298.11180999096536</v>
      </c>
      <c r="BG349" s="4">
        <f>MIN(0.6+0.4*(AC349/AB349),2)</f>
        <v>1</v>
      </c>
      <c r="BH349" s="38">
        <f>2*M349*AB349*AD349^0.5*BG349*0.7/0.7</f>
        <v>463.36551724137934</v>
      </c>
      <c r="BI349" s="4">
        <f>MAX(1-0.7*AE349/5,0.3)</f>
        <v>0.44000000000000006</v>
      </c>
      <c r="BJ349" s="4">
        <f>BI349*J349*L349/(J349*N349/2.75/M349^0.5)</f>
        <v>68.535905116922933</v>
      </c>
      <c r="BK349" s="4">
        <f>BH349+BJ349</f>
        <v>531.90142235830228</v>
      </c>
      <c r="BM349" s="4">
        <f>MIN(1.5, 0.75+0.25*MIN(3,MAX(1,S349/N349))+0.4*MIN(1,(40*2*PI()*AM349^2/4/AO349/X349)/N349))</f>
        <v>1.5</v>
      </c>
      <c r="BN349" s="4">
        <f>(3*P349+30)*BM349*M349^0.5</f>
        <v>521.50233137310727</v>
      </c>
      <c r="BP349" s="4">
        <f>3.4/PI()^0.5*M349*AB349*AE349^0.5*BG349</f>
        <v>444.42419694476757</v>
      </c>
      <c r="BQ349" s="4">
        <f>8/3*AH349*AI349^2/(AG349-N349-22)/N349*(AG349^2-N349^2)/(AG349^2-(N349+22)^2)</f>
        <v>0</v>
      </c>
      <c r="BR349" s="4">
        <f>BQ349/BP349</f>
        <v>0</v>
      </c>
      <c r="BZ349" s="4">
        <f>IF(W349=0,S349,MIN(W349/2,S349))</f>
        <v>71.11999999999999</v>
      </c>
      <c r="CD349" s="9"/>
      <c r="CF349" s="9"/>
      <c r="CG349" s="9"/>
      <c r="CH349" s="9">
        <f>IF(W349=0,MIN(S349,U349),MIN(W349/2,S349,U349))</f>
        <v>71.11999999999999</v>
      </c>
      <c r="CI349" s="9">
        <f>MAX(W349/2,S349)</f>
        <v>123.19000000000001</v>
      </c>
      <c r="CJ349" s="9">
        <f>(CH349/N349)^0.5*(CI349/CH349)^0.15</f>
        <v>1.8170487186781425</v>
      </c>
      <c r="CK349" s="70">
        <f>IF(AO349&gt;1,20,0)</f>
        <v>20</v>
      </c>
      <c r="CL349" s="9">
        <f>MIN(PI()*AM349^2/4*AN349*2/X349/N349/MAX(0.01,AO349),0.05)</f>
        <v>0.05</v>
      </c>
      <c r="CM349" s="9">
        <f>MAX(0,CK349*(CL349-0.5/50))</f>
        <v>0.8</v>
      </c>
      <c r="CN349" s="9">
        <f>MIN(1,(25/N349)^0.3)</f>
        <v>0.99524931562137331</v>
      </c>
      <c r="CO349" s="9">
        <f>IF(J349&gt;=800,0.68,IF(J349&gt;=700,0.75-(J349-700)*0.07/100,IF(J349&gt;=600,0.85-(J349-600)*0.1/100,IF(J349&gt;=500,1-(J349-500)*0.15/100,1.2-(J349-400)*0.2/100))))</f>
        <v>0.68</v>
      </c>
      <c r="CP349" s="9">
        <f>1.75*CN349*CO349*(M349/25)^0.5</f>
        <v>1.4034073112676719</v>
      </c>
      <c r="CQ349" s="9">
        <f>MIN((CJ349+CM349)*CP349,2.5*CP349,M349^0.5)</f>
        <v>3.5085182781691797</v>
      </c>
      <c r="CR349" s="40">
        <v>1</v>
      </c>
      <c r="CS349" s="9">
        <f>4*CQ349*P349+60*CQ349</f>
        <v>344.67683564734023</v>
      </c>
      <c r="CU349" s="4">
        <f>AJ349/BF349</f>
        <v>2.3041574627484738</v>
      </c>
      <c r="CV349" s="4">
        <f>AJ349/BK349</f>
        <v>1.291398223149377</v>
      </c>
      <c r="CW349" s="4">
        <f>AJ349/BN349</f>
        <v>1.317149532036703</v>
      </c>
      <c r="CX349" s="4">
        <f>AJ349/CS349</f>
        <v>1.9928712367167702</v>
      </c>
      <c r="CY349" s="4">
        <f>AJ349/DZ349</f>
        <v>1.1793748514869569</v>
      </c>
      <c r="CZ349" s="4">
        <f>AJ349/EL349</f>
        <v>1.267632927019867</v>
      </c>
      <c r="DA349" s="4">
        <f>AJ349/GI349</f>
        <v>1.3025245533720942</v>
      </c>
      <c r="DB349" s="4">
        <f>AN349</f>
        <v>10</v>
      </c>
      <c r="DI349" s="4">
        <f>CU349</f>
        <v>2.3041574627484738</v>
      </c>
      <c r="DJ349" s="4">
        <f>CV349</f>
        <v>1.291398223149377</v>
      </c>
      <c r="DK349" s="4">
        <f>CX349</f>
        <v>1.9928712367167702</v>
      </c>
      <c r="DL349" s="4">
        <f>DA349</f>
        <v>1.3025245533720942</v>
      </c>
      <c r="DM349" s="4">
        <f>CY349</f>
        <v>1.1793748514869569</v>
      </c>
      <c r="DN349" s="4">
        <f>CZ349</f>
        <v>1.267632927019867</v>
      </c>
      <c r="DQ349" s="4">
        <f>L349</f>
        <v>242.82400000000001</v>
      </c>
      <c r="DT349" s="4">
        <f>K349/4/(1-0.3*(M349/30)^0.5)/200000/N349</f>
        <v>1.7691006908959997E-5</v>
      </c>
      <c r="DU349" s="4">
        <f>EP349</f>
        <v>7.8332539258345992</v>
      </c>
      <c r="DV349" s="4">
        <f>EC349*AG349/257/M349/AD349</f>
        <v>0.50473730099887937</v>
      </c>
      <c r="DW349" s="4">
        <f>DU349*DV349^0.4</f>
        <v>5.958931120908705</v>
      </c>
      <c r="DX349" s="4">
        <f>MIN(DU349, DU349/1.4*(1-DV349^1.4)/(1-DV349))</f>
        <v>6.9595952738984037</v>
      </c>
      <c r="DY349" s="4">
        <f>MAX(DU349/2, (4-DT349*(8*AG349*(DW349-DX349)+6*K349*DX349))/(4+DT349*K349*DU349)*DU349)</f>
        <v>7.4351706042633126</v>
      </c>
      <c r="DZ349" s="38">
        <f>MIN(1/N349*(4*AG349*(DW349-DX349)+(3*DX349+DY349)*K349)+EC349 -FJ349,MAX(J349,AJ349))</f>
        <v>582.42428254095648</v>
      </c>
      <c r="EA349" s="4">
        <f>DZ349/FF349</f>
        <v>1.0001168332714179</v>
      </c>
      <c r="EB349" s="4">
        <f>AG349/N349</f>
        <v>2.2360679774997898</v>
      </c>
      <c r="EC349" s="4">
        <f>MIN(EB$10*BB349)</f>
        <v>320.69307138372176</v>
      </c>
      <c r="EG349" s="4">
        <f>IF(U349&gt;1*N349,0.85,1)</f>
        <v>0.85</v>
      </c>
      <c r="EH349" s="4">
        <f>MIN(1,MAX(0.7,(1-0.1*(BZ349-1*N349)/N349)))</f>
        <v>0.82000000000000006</v>
      </c>
      <c r="EI349" s="4">
        <f>MIN(1,MAX(0.7,1-0.3*(PI()*AM349^2/4*AQ349*2-0.25*PI()/4*N349^2)/(PI()/4*N349^2)))</f>
        <v>0.99062499999999998</v>
      </c>
      <c r="EJ349" s="4">
        <f>IF(EH349*EI349&lt;0.7,0.7,EH349*EI349)</f>
        <v>0.81231249999999999</v>
      </c>
      <c r="EL349" s="4">
        <f>MIN(DU349/N349*3*K349+EM349-FJ349,MAX(J349,AJ349))</f>
        <v>541.87339022424476</v>
      </c>
      <c r="EM349" s="25">
        <f>13.3*Q349*K349^0.5*M349^0.5/X349/N349^2*(0.7+S349/5/K349)</f>
        <v>317.21566763130841</v>
      </c>
      <c r="EO349" s="4">
        <f>EG349*EJ349</f>
        <v>0.69046562499999997</v>
      </c>
      <c r="EP349" s="4">
        <f>IF(N349&lt;22.2,1.1*5*(M349/30)^0.5,IF(N349&gt;=31.8,0.9*5*(M349/30)^0.5,1*5*(M349/30)^0.5))/EG349/EJ349</f>
        <v>7.8332539258345992</v>
      </c>
      <c r="ES349" s="4">
        <f>ET349*N349</f>
        <v>56.796126628494655</v>
      </c>
      <c r="ET349" s="4">
        <f>AF349^0.5</f>
        <v>2.2360679774997898</v>
      </c>
      <c r="EU349" s="4">
        <f>MIN(EC349)/(4700*M349^0.5)/AE349*ES349</f>
        <v>0.16352176138615632</v>
      </c>
      <c r="EX349" s="4">
        <f>EU349</f>
        <v>0.16352176138615632</v>
      </c>
      <c r="EY349" s="4">
        <f>MIN(0.999, EX349/(0.3*(M349/30)^0.5))</f>
        <v>0.50389498851375736</v>
      </c>
      <c r="EZ349" s="4">
        <f>EP349/1*EY349^0.4</f>
        <v>5.9549513895244344</v>
      </c>
      <c r="FA349" s="4">
        <f>EP349/1.4*(1-EY349^1.4)/(1-EY349)</f>
        <v>6.9578929171418729</v>
      </c>
      <c r="FB349" s="4">
        <f>MAX(0,DQ349*FB$9-ES349)</f>
        <v>125.32187337150535</v>
      </c>
      <c r="FC349" s="4">
        <f>MAX(0,DQ349-ES349-FB349)</f>
        <v>60.706000000000017</v>
      </c>
      <c r="FD349" s="4">
        <f>FC349/(1-0.3*(M349/30)^0.5)/200000/N349</f>
        <v>1.7691006908960001E-5</v>
      </c>
      <c r="FE349" s="4">
        <f>MAX(0.5*EP349, (1-2*FD349*(ES349*EZ349+FB349*FA349))/(1/EP349+FD349*FC349))</f>
        <v>7.4352913641562788</v>
      </c>
      <c r="FF349" s="4">
        <f>MIN(4/N349*(1*EZ349*ES349+FA349*FB349+FC349*FE349)+EC349,MAX(J349,AJ349))</f>
        <v>582.35624395584443</v>
      </c>
      <c r="FO349" s="23">
        <f>IF(CU349&lt;0.6,0.6,IF(CU349&lt;0.8,0.8,IF(CU349&lt;1,1,IF(CU349&lt;1.2,1.2,IF(CU349&lt;1.4,1.4,IF(CU349&lt;1.6,1.6,IF(CU349&lt;1.8,1.8,IF(CU349&lt;2,2,2.2))))))))</f>
        <v>2.2000000000000002</v>
      </c>
      <c r="FP349" s="23">
        <f>IF(CV349&lt;0.6,0.6,IF(CV349&lt;0.8,0.8,IF(CV349&lt;1,1,IF(CV349&lt;1.2,1.2,IF(CV349&lt;1.4,1.4,IF(CV349&lt;1.6,1.6,IF(CV349&lt;1.8,1.8,IF(CV349&lt;2,2,2.2))))))))</f>
        <v>1.4</v>
      </c>
      <c r="FQ349" s="23">
        <f>IF(DA349&lt;0.6,0.6,IF(DA349&lt;0.8,0.8,IF(DA349&lt;1,1,IF(DA349&lt;1.2,1.2,IF(DA349&lt;1.4,1.4,IF(DA349&lt;1.6,1.6,IF(DA349&lt;1.8,1.8,IF(DA349&lt;2,2,2.2))))))))</f>
        <v>1.4</v>
      </c>
      <c r="FR349" s="23">
        <f>IF(CX349&lt;0.6,0.6,IF(CX349&lt;0.8,0.8,IF(CX349&lt;1,1,IF(CX349&lt;1.2,1.2,IF(CX349&lt;1.4,1.4,IF(CX349&lt;1.6,1.6,IF(CX349&lt;1.8,1.8,IF(CX349&lt;2,2,2.2))))))))</f>
        <v>2</v>
      </c>
      <c r="FS349" s="23">
        <f>IF(CY349&lt;0.6,0.6,IF(CY349&lt;0.8,0.8,IF(CY349&lt;1,1,IF(CY349&lt;1.2,1.2,IF(CY349&lt;1.4,1.4,IF(CY349&lt;1.6,1.6,IF(CY349&lt;1.8,1.8,IF(CY349&lt;2,2,2.2))))))))</f>
        <v>1.2</v>
      </c>
      <c r="FT349" s="23">
        <f>IF(CZ349&lt;0.6,0.6,IF(CZ349&lt;0.8,0.8,IF(CZ349&lt;1,1,IF(CZ349&lt;1.2,1.2,IF(CZ349&lt;1.4,1.4,IF(CZ349&lt;1.6,1.6,IF(CZ349&lt;1.8,1.8,IF(CZ349&lt;2,2,2.2))))))))</f>
        <v>1.4</v>
      </c>
      <c r="FU349" s="23">
        <f>IF(FS349&lt;1,1,0)</f>
        <v>0</v>
      </c>
      <c r="FV349" s="23"/>
      <c r="GF349" s="4">
        <f>IF(S349&gt;=2.5*25.4,1,1.25)</f>
        <v>1</v>
      </c>
      <c r="GG349" s="4">
        <f>IF(AO349&gt;1, 0.05*(18-MIN(8,(W349+N349)/N349))*(1-48000/MAX(60000,(J349*145))*(N349/25.4)^0.75*GH349), 1/12*(14-MIN(8,(W349+N349)/N349)))</f>
        <v>0.44</v>
      </c>
      <c r="GH349" s="4">
        <f>MIN(0.3, AM349^2*PI()/4*2*AP349/(N349^2*PI()/4*X349))</f>
        <v>0.3</v>
      </c>
      <c r="GI349" s="4">
        <f>(K349/25.4)/(N349/25.4)^1.5/0.0024*(M349*145)^0.25/GF349/GG349/145</f>
        <v>527.35785282959739</v>
      </c>
    </row>
    <row r="350" spans="1:191" ht="12" customHeight="1" x14ac:dyDescent="0.3">
      <c r="A350" s="25">
        <v>239</v>
      </c>
      <c r="B350" s="4" t="s">
        <v>605</v>
      </c>
      <c r="C350" s="4">
        <v>2016</v>
      </c>
      <c r="D350" s="4" t="s">
        <v>309</v>
      </c>
      <c r="E350" s="24" t="s">
        <v>662</v>
      </c>
      <c r="F350" s="24"/>
      <c r="G350" s="24">
        <v>49</v>
      </c>
      <c r="H350" s="7" t="s">
        <v>392</v>
      </c>
      <c r="I350" s="5">
        <f>K350/N350</f>
        <v>9.56</v>
      </c>
      <c r="J350" s="91">
        <f>120/0.145</f>
        <v>827.58620689655174</v>
      </c>
      <c r="K350" s="38">
        <f>9.56*25.4</f>
        <v>242.82400000000001</v>
      </c>
      <c r="L350" s="4">
        <f>K350</f>
        <v>242.82400000000001</v>
      </c>
      <c r="M350" s="89">
        <f>5910/145</f>
        <v>40.758620689655174</v>
      </c>
      <c r="N350" s="96">
        <f>1*25.4</f>
        <v>25.4</v>
      </c>
      <c r="O350" s="7">
        <f>K350/N350</f>
        <v>9.56</v>
      </c>
      <c r="P350" s="7">
        <f>L350/N350</f>
        <v>9.56</v>
      </c>
      <c r="Q350" s="38">
        <f>18.9*25.4</f>
        <v>480.05999999999995</v>
      </c>
      <c r="R350" s="32">
        <f>S350/N350</f>
        <v>3.3500000000000005</v>
      </c>
      <c r="S350" s="38">
        <f>3.35*25.4</f>
        <v>85.09</v>
      </c>
      <c r="T350" s="32">
        <f>U350/N350</f>
        <v>3.15</v>
      </c>
      <c r="U350" s="39">
        <f>3.15*25.4</f>
        <v>80.009999999999991</v>
      </c>
      <c r="V350" s="32">
        <f>W350/N350</f>
        <v>10.199999999999998</v>
      </c>
      <c r="W350" s="7">
        <f>(Q350-X350*N350-2*S350)/(X350-1)</f>
        <v>259.07999999999993</v>
      </c>
      <c r="X350" s="38">
        <v>2</v>
      </c>
      <c r="Y350" s="7">
        <f>AN350</f>
        <v>10</v>
      </c>
      <c r="Z350" s="32">
        <f>AA350/N350</f>
        <v>10.25</v>
      </c>
      <c r="AA350" s="4">
        <f>10.25*25.4</f>
        <v>260.34999999999997</v>
      </c>
      <c r="AB350" s="7">
        <f>MIN(S350/N350+0.5, W350/2/N350+0.5)</f>
        <v>3.8500000000000005</v>
      </c>
      <c r="AC350" s="7">
        <f>S350/N350+0.5</f>
        <v>3.8500000000000005</v>
      </c>
      <c r="AD350" s="38">
        <v>4</v>
      </c>
      <c r="AE350" s="4">
        <f>AD350</f>
        <v>4</v>
      </c>
      <c r="AF350" s="4">
        <f>AE350+1</f>
        <v>5</v>
      </c>
      <c r="AG350" s="7">
        <f>N350*AF350^0.5</f>
        <v>56.796126628494655</v>
      </c>
      <c r="AJ350" s="38">
        <f>100.6/0.145</f>
        <v>693.79310344827582</v>
      </c>
      <c r="AL350" s="4">
        <f>CY350</f>
        <v>1.0114255979953197</v>
      </c>
      <c r="AM350" s="38">
        <f>0.375*25.4</f>
        <v>9.5249999999999986</v>
      </c>
      <c r="AN350" s="38">
        <v>10</v>
      </c>
      <c r="AO350" s="39">
        <f>3*25.4</f>
        <v>76.199999999999989</v>
      </c>
      <c r="AP350" s="39">
        <v>3</v>
      </c>
      <c r="AQ350" s="39">
        <v>1</v>
      </c>
      <c r="AR350" s="7"/>
      <c r="AS350" s="4">
        <f>K350</f>
        <v>242.82400000000001</v>
      </c>
      <c r="AT350" s="4">
        <f>IF(K350*3&gt;W350+N350, Q350, (S350+N350/2)*2+1.5*K350*(2*X350-2))*(3*K350)/(9*K350^2)</f>
        <v>0.65899581589958145</v>
      </c>
      <c r="AU350" s="4">
        <f>MIN(10*M350^0.5*K350^1.5,100*3.9*M350^0.5*K350^(5/3))/(PI()/4*N350^2)/X350</f>
        <v>238.37452595758</v>
      </c>
      <c r="AV350" s="4">
        <f>MIN(0.7+0.3*(MIN(S350,AA350)+0.5*N350)/1.5/K350,1)</f>
        <v>0.78054393305439329</v>
      </c>
      <c r="AW350" s="4">
        <v>1.25</v>
      </c>
      <c r="AX350" s="4">
        <f>AX349</f>
        <v>2.5</v>
      </c>
      <c r="AY350" s="38">
        <f>AT350*AV350*AW350*AX350*AU350</f>
        <v>383.16856602860486</v>
      </c>
      <c r="AZ350" s="38">
        <f>AY350</f>
        <v>383.16856602860486</v>
      </c>
      <c r="BA350" s="38">
        <f>IF(M350&lt;50, 0.3*M350^(2/3), 2.12*LN(1+0.1*(M350+8)))</f>
        <v>3.5530466297176955</v>
      </c>
      <c r="BB350" s="38">
        <f>AX350* (M350^0.5/AS350^0.5)/(PI()/4*N350^2)/X350/0.72 *(0.7+(MIN(S350,AA350)+0.5*N350)/5/K350) *(3*Q350*K350)</f>
        <v>383.16856602860469</v>
      </c>
      <c r="BC350" s="38">
        <f>AY350/BB350</f>
        <v>1.0000000000000004</v>
      </c>
      <c r="BD350" s="38">
        <f>BH350/BB350</f>
        <v>1.6381374002736733</v>
      </c>
      <c r="BE350" s="4">
        <f>IF(BD350&lt;1,1,0)</f>
        <v>0</v>
      </c>
      <c r="BF350" s="4">
        <f>L350/N350*M350^0.5/0.19</f>
        <v>321.22847108140701</v>
      </c>
      <c r="BG350" s="4">
        <f>MIN(0.6+0.4*(AC350/AB350),2)</f>
        <v>1</v>
      </c>
      <c r="BH350" s="38">
        <f>2*M350*AB350*AD350^0.5*BG350*0.7/0.7</f>
        <v>627.68275862068981</v>
      </c>
      <c r="BI350" s="4">
        <f>MAX(1-0.7*AE350/5,0.3)</f>
        <v>0.44000000000000006</v>
      </c>
      <c r="BJ350" s="4">
        <f>BI350*J350*L350/(J350*N350/2.75/M350^0.5)</f>
        <v>73.850425501615476</v>
      </c>
      <c r="BK350" s="4">
        <f>BH350+BJ350</f>
        <v>701.53318412230533</v>
      </c>
      <c r="BM350" s="4">
        <f>MIN(1.5, 0.75+0.25*MIN(3,MAX(1,S350/N350))+0.4*MIN(1,(40*2*PI()*AM350^2/4/AO350/X350)/N350))</f>
        <v>1.5</v>
      </c>
      <c r="BN350" s="4">
        <f>(3*P350+30)*BM350*M350^0.5</f>
        <v>561.94149630452239</v>
      </c>
      <c r="BP350" s="4">
        <f>3.4/PI()^0.5*M350*AB350*AE350^0.5*BG350</f>
        <v>602.02452611673345</v>
      </c>
      <c r="BQ350" s="4">
        <f>8/3*AH350*AI350^2/(AG350-N350-22)/N350*(AG350^2-N350^2)/(AG350^2-(N350+22)^2)</f>
        <v>0</v>
      </c>
      <c r="BR350" s="4">
        <f>BQ350/BP350</f>
        <v>0</v>
      </c>
      <c r="BZ350" s="4">
        <f>IF(W350=0,S350,MIN(W350/2,S350))</f>
        <v>85.09</v>
      </c>
      <c r="CD350" s="9"/>
      <c r="CF350" s="9"/>
      <c r="CG350" s="9"/>
      <c r="CH350" s="9">
        <f>IF(W350=0,MIN(S350,U350),MIN(W350/2,S350,U350))</f>
        <v>80.009999999999991</v>
      </c>
      <c r="CI350" s="9">
        <f>MAX(W350/2,S350)</f>
        <v>129.53999999999996</v>
      </c>
      <c r="CJ350" s="9">
        <f>(CH350/N350)^0.5*(CI350/CH350)^0.15</f>
        <v>1.9078499730405829</v>
      </c>
      <c r="CK350" s="70">
        <f>IF(AO350&gt;1,20,0)</f>
        <v>20</v>
      </c>
      <c r="CL350" s="9">
        <f>MIN(PI()*AM350^2/4*AN350*2/X350/N350/MAX(0.01,AO350),0.05)</f>
        <v>0.05</v>
      </c>
      <c r="CM350" s="9">
        <f>MAX(0,CK350*(CL350-0.5/50))</f>
        <v>0.8</v>
      </c>
      <c r="CN350" s="9">
        <f>MIN(1,(25/N350)^0.3)</f>
        <v>0.99524931562137331</v>
      </c>
      <c r="CO350" s="9">
        <f>IF(J350&gt;=800,0.68,IF(J350&gt;=700,0.75-(J350-700)*0.07/100,IF(J350&gt;=600,0.85-(J350-600)*0.1/100,IF(J350&gt;=500,1-(J350-500)*0.15/100,1.2-(J350-400)*0.2/100))))</f>
        <v>0.68</v>
      </c>
      <c r="CP350" s="9">
        <f>1.75*CN350*CO350*(M350/25)^0.5</f>
        <v>1.5122325576992237</v>
      </c>
      <c r="CQ350" s="9">
        <f>MIN((CJ350+CM350)*CP350,2.5*CP350,M350^0.5)</f>
        <v>3.7805813942480593</v>
      </c>
      <c r="CR350" s="40">
        <v>1</v>
      </c>
      <c r="CS350" s="9">
        <f>4*CQ350*P350+60*CQ350</f>
        <v>371.40431617092935</v>
      </c>
      <c r="CU350" s="4">
        <f>AJ350/BF350</f>
        <v>2.1598119902405912</v>
      </c>
      <c r="CV350" s="4">
        <f>AJ350/BK350</f>
        <v>0.98896690726937853</v>
      </c>
      <c r="CW350" s="4">
        <f>AJ350/BN350</f>
        <v>1.2346358259905077</v>
      </c>
      <c r="CX350" s="4">
        <f>AJ350/CS350</f>
        <v>1.8680264963021465</v>
      </c>
      <c r="CY350" s="4">
        <f>AJ350/DZ350</f>
        <v>1.0114255979953197</v>
      </c>
      <c r="CZ350" s="4">
        <f>AJ350/EL350</f>
        <v>1.0864732280294513</v>
      </c>
      <c r="DA350" s="4">
        <f>AJ350/GI350</f>
        <v>1.2673808375373148</v>
      </c>
      <c r="DB350" s="4">
        <f>AN350</f>
        <v>10</v>
      </c>
      <c r="DI350" s="4">
        <f>CU350</f>
        <v>2.1598119902405912</v>
      </c>
      <c r="DJ350" s="4">
        <f>CV350</f>
        <v>0.98896690726937853</v>
      </c>
      <c r="DK350" s="4">
        <f>CX350</f>
        <v>1.8680264963021465</v>
      </c>
      <c r="DL350" s="4">
        <f>DA350</f>
        <v>1.2673808375373148</v>
      </c>
      <c r="DM350" s="4">
        <f>CY350</f>
        <v>1.0114255979953197</v>
      </c>
      <c r="DN350" s="4">
        <f>CZ350</f>
        <v>1.0864732280294513</v>
      </c>
      <c r="DQ350" s="4">
        <f>L350</f>
        <v>242.82400000000001</v>
      </c>
      <c r="DT350" s="4">
        <f>K350/4/(1-0.3*(M350/30)^0.5)/200000/N350</f>
        <v>1.8375559240592081E-5</v>
      </c>
      <c r="DU350" s="4">
        <f>EP350</f>
        <v>9.0475183276018765</v>
      </c>
      <c r="DV350" s="4">
        <f>EC350*AG350/257/M350/AD350</f>
        <v>0.5193928887020951</v>
      </c>
      <c r="DW350" s="4">
        <f>DU350*DV350^0.4</f>
        <v>6.9619014486186845</v>
      </c>
      <c r="DX350" s="4">
        <f>MIN(DU350, DU350/1.4*(1-DV350^1.4)/(1-DV350))</f>
        <v>8.0724627777507614</v>
      </c>
      <c r="DY350" s="4">
        <f>MAX(DU350/2, (4-DT350*(8*AG350*(DW350-DX350)+6*K350*DX350))/(4+DT350*K350*DU350)*DU350)</f>
        <v>8.4939345141555673</v>
      </c>
      <c r="DZ350" s="38">
        <f>MIN(1/N350*(4*AG350*(DW350-DX350)+(3*DX350+DY350)*K350)+EC350 -FJ350,MAX(J350,AJ350))</f>
        <v>685.95564994933648</v>
      </c>
      <c r="EA350" s="4">
        <f>DZ350/FF350</f>
        <v>1.0001159184527728</v>
      </c>
      <c r="EB350" s="4">
        <f>AG350/N350</f>
        <v>2.2360679774997898</v>
      </c>
      <c r="EC350" s="4">
        <f>MIN(EB$10*BB350)</f>
        <v>383.16856602860469</v>
      </c>
      <c r="EG350" s="4">
        <f>IF(U350&gt;1*N350,0.85,1)</f>
        <v>0.85</v>
      </c>
      <c r="EH350" s="4">
        <f>MIN(1,MAX(0.7,(1-0.1*(BZ350-1*N350)/N350)))</f>
        <v>0.7649999999999999</v>
      </c>
      <c r="EI350" s="4">
        <f>MIN(1,MAX(0.7,1-0.3*(PI()*AM350^2/4*AQ350*2-0.25*PI()/4*N350^2)/(PI()/4*N350^2)))</f>
        <v>0.99062499999999998</v>
      </c>
      <c r="EJ350" s="4">
        <f>IF(EH350*EI350&lt;0.7,0.7,EH350*EI350)</f>
        <v>0.75782812499999985</v>
      </c>
      <c r="EL350" s="4">
        <f>MIN(DU350/N350*3*K350+EM350-FJ350,MAX(J350,AJ350))</f>
        <v>638.57358428114799</v>
      </c>
      <c r="EM350" s="25">
        <f>13.3*Q350*K350^0.5*M350^0.5/X350/N350^2*(0.7+S350/5/K350)</f>
        <v>379.09075864552608</v>
      </c>
      <c r="EO350" s="4">
        <f>EG350*EJ350</f>
        <v>0.64415390624999991</v>
      </c>
      <c r="EP350" s="4">
        <f>IF(N350&lt;22.2,1.1*5*(M350/30)^0.5,IF(N350&gt;=31.8,0.9*5*(M350/30)^0.5,1*5*(M350/30)^0.5))/EG350/EJ350</f>
        <v>9.0475183276018765</v>
      </c>
      <c r="ES350" s="4">
        <f>ET350*N350</f>
        <v>56.796126628494655</v>
      </c>
      <c r="ET350" s="4">
        <f>AF350^0.5</f>
        <v>2.2360679774997898</v>
      </c>
      <c r="EU350" s="4">
        <f>MIN(EC350)/(4700*M350^0.5)/AE350*ES350</f>
        <v>0.18131803502377647</v>
      </c>
      <c r="EX350" s="4">
        <f>EU350</f>
        <v>0.18131803502377647</v>
      </c>
      <c r="EY350" s="4">
        <f>MIN(0.999, EX350/(0.3*(M350/30)^0.5))</f>
        <v>0.51852611877252675</v>
      </c>
      <c r="EZ350" s="4">
        <f>EP350/1*EY350^0.4</f>
        <v>6.9572518735309554</v>
      </c>
      <c r="FA350" s="4">
        <f>EP350/1.4*(1-EY350^1.4)/(1-EY350)</f>
        <v>8.0704593131350855</v>
      </c>
      <c r="FB350" s="4">
        <f>MAX(0,DQ350*FB$9-ES350)</f>
        <v>125.32187337150535</v>
      </c>
      <c r="FC350" s="4">
        <f>MAX(0,DQ350-ES350-FB350)</f>
        <v>60.706000000000017</v>
      </c>
      <c r="FD350" s="4">
        <f>FC350/(1-0.3*(M350/30)^0.5)/200000/N350</f>
        <v>1.8375559240592081E-5</v>
      </c>
      <c r="FE350" s="4">
        <f>MAX(0.5*EP350, (1-2*FD350*(ES350*EZ350+FB350*FA350))/(1/EP350+FD350*FC350))</f>
        <v>8.4941040952547997</v>
      </c>
      <c r="FF350" s="4">
        <f>MIN(4/N350*(1*EZ350*ES350+FA350*FB350+FC350*FE350)+EC350,MAX(J350,AJ350))</f>
        <v>685.87614424790149</v>
      </c>
      <c r="FO350" s="23">
        <f>IF(CU350&lt;0.6,0.6,IF(CU350&lt;0.8,0.8,IF(CU350&lt;1,1,IF(CU350&lt;1.2,1.2,IF(CU350&lt;1.4,1.4,IF(CU350&lt;1.6,1.6,IF(CU350&lt;1.8,1.8,IF(CU350&lt;2,2,2.2))))))))</f>
        <v>2.2000000000000002</v>
      </c>
      <c r="FP350" s="23">
        <f>IF(CV350&lt;0.6,0.6,IF(CV350&lt;0.8,0.8,IF(CV350&lt;1,1,IF(CV350&lt;1.2,1.2,IF(CV350&lt;1.4,1.4,IF(CV350&lt;1.6,1.6,IF(CV350&lt;1.8,1.8,IF(CV350&lt;2,2,2.2))))))))</f>
        <v>1</v>
      </c>
      <c r="FQ350" s="23">
        <f>IF(DA350&lt;0.6,0.6,IF(DA350&lt;0.8,0.8,IF(DA350&lt;1,1,IF(DA350&lt;1.2,1.2,IF(DA350&lt;1.4,1.4,IF(DA350&lt;1.6,1.6,IF(DA350&lt;1.8,1.8,IF(DA350&lt;2,2,2.2))))))))</f>
        <v>1.4</v>
      </c>
      <c r="FR350" s="23">
        <f>IF(CX350&lt;0.6,0.6,IF(CX350&lt;0.8,0.8,IF(CX350&lt;1,1,IF(CX350&lt;1.2,1.2,IF(CX350&lt;1.4,1.4,IF(CX350&lt;1.6,1.6,IF(CX350&lt;1.8,1.8,IF(CX350&lt;2,2,2.2))))))))</f>
        <v>2</v>
      </c>
      <c r="FS350" s="23">
        <f>IF(CY350&lt;0.6,0.6,IF(CY350&lt;0.8,0.8,IF(CY350&lt;1,1,IF(CY350&lt;1.2,1.2,IF(CY350&lt;1.4,1.4,IF(CY350&lt;1.6,1.6,IF(CY350&lt;1.8,1.8,IF(CY350&lt;2,2,2.2))))))))</f>
        <v>1.2</v>
      </c>
      <c r="FT350" s="23">
        <f>IF(CZ350&lt;0.6,0.6,IF(CZ350&lt;0.8,0.8,IF(CZ350&lt;1,1,IF(CZ350&lt;1.2,1.2,IF(CZ350&lt;1.4,1.4,IF(CZ350&lt;1.6,1.6,IF(CZ350&lt;1.8,1.8,IF(CZ350&lt;2,2,2.2))))))))</f>
        <v>1.2</v>
      </c>
      <c r="FU350" s="23">
        <f>IF(FS350&lt;1,1,0)</f>
        <v>0</v>
      </c>
      <c r="FV350" s="23"/>
      <c r="GF350" s="4">
        <f>IF(S350&gt;=2.5*25.4,1,1.25)</f>
        <v>1</v>
      </c>
      <c r="GG350" s="4">
        <f>IF(AO350&gt;1, 0.05*(18-MIN(8,(W350+N350)/N350))*(1-48000/MAX(60000,(J350*145))*(N350/25.4)^0.75*GH350), 1/12*(14-MIN(8,(W350+N350)/N350)))</f>
        <v>0.44</v>
      </c>
      <c r="GH350" s="4">
        <f>MIN(0.3, AM350^2*PI()/4*2*AP350/(N350^2*PI()/4*X350))</f>
        <v>0.3</v>
      </c>
      <c r="GI350" s="4">
        <f>(K350/25.4)/(N350/25.4)^1.5/0.0024*(M350*145)^0.25/GF350/GG350/145</f>
        <v>547.4227500523092</v>
      </c>
    </row>
    <row r="351" spans="1:191" ht="12" customHeight="1" x14ac:dyDescent="0.3">
      <c r="A351" s="25">
        <v>306</v>
      </c>
      <c r="B351" s="4" t="s">
        <v>605</v>
      </c>
      <c r="C351" s="4">
        <v>2016</v>
      </c>
      <c r="D351" s="4" t="s">
        <v>309</v>
      </c>
      <c r="E351" s="24" t="s">
        <v>669</v>
      </c>
      <c r="F351" s="24"/>
      <c r="G351" s="24">
        <v>31</v>
      </c>
      <c r="H351" s="7" t="s">
        <v>467</v>
      </c>
      <c r="I351" s="5">
        <f>K351/N351</f>
        <v>9.5</v>
      </c>
      <c r="J351" s="91">
        <f>120/0.145</f>
        <v>827.58620689655174</v>
      </c>
      <c r="K351" s="47">
        <f>9.5*25.4</f>
        <v>241.29999999999998</v>
      </c>
      <c r="L351" s="4">
        <f>K351</f>
        <v>241.29999999999998</v>
      </c>
      <c r="M351" s="99">
        <f>9940/145</f>
        <v>68.551724137931032</v>
      </c>
      <c r="N351" s="96">
        <f>1*25.4</f>
        <v>25.4</v>
      </c>
      <c r="O351" s="7">
        <f>K351/N351</f>
        <v>9.5</v>
      </c>
      <c r="P351" s="7">
        <f>L351/N351</f>
        <v>9.5</v>
      </c>
      <c r="Q351" s="38">
        <f>16*25.4</f>
        <v>406.4</v>
      </c>
      <c r="R351" s="32">
        <f>S351/N351</f>
        <v>2.5</v>
      </c>
      <c r="S351" s="38">
        <f>2.5*25.4</f>
        <v>63.5</v>
      </c>
      <c r="T351" s="32">
        <f>U351/N351</f>
        <v>3.3</v>
      </c>
      <c r="U351" s="39">
        <f>3.3*25.4</f>
        <v>83.82</v>
      </c>
      <c r="V351" s="32">
        <f>W351/N351</f>
        <v>4</v>
      </c>
      <c r="W351" s="7">
        <f>(Q351-X351*N351-2*S351)/(X351-1)</f>
        <v>101.6</v>
      </c>
      <c r="X351" s="38">
        <v>3</v>
      </c>
      <c r="Y351" s="7">
        <f>AN351</f>
        <v>0</v>
      </c>
      <c r="Z351" s="32">
        <f>AA351/N351</f>
        <v>10.25</v>
      </c>
      <c r="AA351" s="4">
        <f>10.25*25.4</f>
        <v>260.34999999999997</v>
      </c>
      <c r="AB351" s="7">
        <f>MIN(S351/N351+0.5, W351/2/N351+0.5)</f>
        <v>2.5</v>
      </c>
      <c r="AC351" s="7">
        <f>S351/N351+0.5</f>
        <v>3</v>
      </c>
      <c r="AD351" s="38">
        <v>9.5</v>
      </c>
      <c r="AE351" s="4">
        <f>AD351</f>
        <v>9.5</v>
      </c>
      <c r="AF351" s="4">
        <f>AE351+1</f>
        <v>10.5</v>
      </c>
      <c r="AG351" s="7">
        <f>N351*AF351^0.5</f>
        <v>82.305406869779816</v>
      </c>
      <c r="AJ351" s="38">
        <f>AK351/0.145</f>
        <v>388.27586206896552</v>
      </c>
      <c r="AK351" s="4">
        <v>56.3</v>
      </c>
      <c r="AL351" s="4">
        <f>CY351</f>
        <v>0.72179535196685451</v>
      </c>
      <c r="AM351" s="38">
        <v>0</v>
      </c>
      <c r="AN351" s="38">
        <v>0</v>
      </c>
      <c r="AO351" s="39">
        <f>L351</f>
        <v>241.29999999999998</v>
      </c>
      <c r="AP351" s="39"/>
      <c r="AQ351" s="39"/>
      <c r="AR351" s="7"/>
      <c r="AS351" s="4">
        <f>K351</f>
        <v>241.29999999999998</v>
      </c>
      <c r="AT351" s="4">
        <f>IF(K351*3&gt;W351+N351, Q351, (S351+N351/2)*2+1.5*K351*(2*X351-2))*(3*K351)/(9*K351^2)</f>
        <v>0.56140350877192979</v>
      </c>
      <c r="AU351" s="4">
        <f>MIN(10*M351^0.5*K351^1.5,100*3.9*M351^0.5*K351^(5/3))/(PI()/4*N351^2)/X351</f>
        <v>204.15809498223462</v>
      </c>
      <c r="AV351" s="4">
        <f>MIN(0.7+0.3*(MIN(S351,AA351)+0.5*N351)/1.5/K351,1)</f>
        <v>0.76315789473684204</v>
      </c>
      <c r="AW351" s="4">
        <v>1.25</v>
      </c>
      <c r="AX351" s="4">
        <f>AX350</f>
        <v>2.5</v>
      </c>
      <c r="AY351" s="38">
        <f>AT351*AV351*AW351*AX351*AU351</f>
        <v>273.34186308794108</v>
      </c>
      <c r="AZ351" s="38">
        <f>AY351</f>
        <v>273.34186308794108</v>
      </c>
      <c r="BA351" s="38">
        <f>IF(M351&lt;50, 0.3*M351^(2/3), 2.12*LN(1+0.1*(M351+8)))</f>
        <v>4.5752930713880566</v>
      </c>
      <c r="BB351" s="38">
        <f>AX351* (M351^0.5/AS351^0.5)/(PI()/4*N351^2)/X351/0.72 *(0.7+(MIN(S351,AA351)+0.5*N351)/5/K351) *(3*Q351*K351)</f>
        <v>273.34186308794119</v>
      </c>
      <c r="BC351" s="38">
        <f>AY351/BB351</f>
        <v>0.99999999999999956</v>
      </c>
      <c r="BD351" s="38">
        <f>BH351/BB351</f>
        <v>4.1741475281539566</v>
      </c>
      <c r="BE351" s="4">
        <f>IF(BD351&lt;1,1,0)</f>
        <v>0</v>
      </c>
      <c r="BF351" s="4">
        <f>L351/N351*M351^0.5/0.19</f>
        <v>413.97984292091752</v>
      </c>
      <c r="BG351" s="4">
        <f>MIN(0.6+0.4*(AC351/AB351),2)</f>
        <v>1.08</v>
      </c>
      <c r="BH351" s="38">
        <f>2*M351*AB351*AD351^0.5*BG351*0.7/0.7</f>
        <v>1140.9692621495269</v>
      </c>
      <c r="BI351" s="4">
        <f>MAX(1-0.7*AE351/5,0.3)</f>
        <v>0.3</v>
      </c>
      <c r="BJ351" s="4">
        <f>BI351*J351*L351/(J351*N351/2.75/M351^0.5)</f>
        <v>64.891340377853822</v>
      </c>
      <c r="BK351" s="4">
        <f>BH351+BJ351</f>
        <v>1205.8606025273807</v>
      </c>
      <c r="BM351" s="4">
        <f>MIN(1.5, 0.75+0.25*MIN(3,MAX(1,S351/N351))+0.4*MIN(1,(40*2*PI()*AM351^2/4/AO351/X351)/N351))</f>
        <v>1.375</v>
      </c>
      <c r="BN351" s="4">
        <f>(3*P351+30)*BM351*M351^0.5</f>
        <v>665.99007229902611</v>
      </c>
      <c r="BP351" s="4">
        <f>3.4/PI()^0.5*M351*AB351*AE351^0.5*BG351</f>
        <v>1094.329053849985</v>
      </c>
      <c r="BQ351" s="4">
        <f>8/3*AH351*AI351^2/(AG351-N351-22)/N351*(AG351^2-N351^2)/(AG351^2-(N351+22)^2)</f>
        <v>0</v>
      </c>
      <c r="BR351" s="4">
        <f>BQ351/BP351</f>
        <v>0</v>
      </c>
      <c r="BZ351" s="4">
        <f>IF(W351=0,S351,MIN(W351/2,S351))</f>
        <v>50.8</v>
      </c>
      <c r="CD351" s="9"/>
      <c r="CF351" s="9"/>
      <c r="CG351" s="9"/>
      <c r="CH351" s="9">
        <f>IF(W351=0,MIN(S351,U351),MIN(W351/2,S351,U351))</f>
        <v>50.8</v>
      </c>
      <c r="CI351" s="9">
        <f>MAX(W351/2,S351)</f>
        <v>63.5</v>
      </c>
      <c r="CJ351" s="9">
        <f>(CH351/N351)^0.5*(CI351/CH351)^0.15</f>
        <v>1.4623505735569622</v>
      </c>
      <c r="CK351" s="70">
        <f>IF(AO351&gt;1,20,0)</f>
        <v>20</v>
      </c>
      <c r="CL351" s="9">
        <f>MIN(PI()*AM351^2/4*AN351*2/X351/N351/MAX(0.01,AO351),0.05)</f>
        <v>0</v>
      </c>
      <c r="CM351" s="9">
        <f>MAX(0,CK351*(CL351-0.5/50))</f>
        <v>0</v>
      </c>
      <c r="CN351" s="9">
        <f>MIN(1,(25/N351)^0.3)</f>
        <v>0.99524931562137331</v>
      </c>
      <c r="CO351" s="9">
        <f>IF(J351&gt;=800,0.68,IF(J351&gt;=700,0.75-(J351-700)*0.07/100,IF(J351&gt;=600,0.85-(J351-600)*0.1/100,IF(J351&gt;=500,1-(J351-500)*0.15/100,1.2-(J351-400)*0.2/100))))</f>
        <v>0.68</v>
      </c>
      <c r="CP351" s="9">
        <f>1.75*CN351*CO351*(M351/25)^0.5</f>
        <v>1.9611826194568933</v>
      </c>
      <c r="CQ351" s="9">
        <f>MIN((CJ351+CM351)*CP351,2.5*CP351,M351^0.5)</f>
        <v>2.8679365284127334</v>
      </c>
      <c r="CR351" s="40">
        <v>1</v>
      </c>
      <c r="CS351" s="9">
        <f>4*CQ351*P351+60*CQ351</f>
        <v>281.05777978444786</v>
      </c>
      <c r="CU351" s="4">
        <f>AJ351/BF351</f>
        <v>0.93791006665785359</v>
      </c>
      <c r="CV351" s="4">
        <f>AJ351/BK351</f>
        <v>0.32199066895060052</v>
      </c>
      <c r="CW351" s="4">
        <f>AJ351/BN351</f>
        <v>0.58300548044000222</v>
      </c>
      <c r="CX351" s="4">
        <f>AJ351/CS351</f>
        <v>1.3814805708874047</v>
      </c>
      <c r="CY351" s="4">
        <f>AJ351/DZ351</f>
        <v>0.72179535196685451</v>
      </c>
      <c r="CZ351" s="4">
        <f>AJ351/EL351</f>
        <v>0.70351864336481917</v>
      </c>
      <c r="DA351" s="4">
        <f>AJ351/GI351</f>
        <v>0.92589724491094383</v>
      </c>
      <c r="DB351" s="4">
        <f>AN351</f>
        <v>0</v>
      </c>
      <c r="DC351" s="4">
        <f>CU351</f>
        <v>0.93791006665785359</v>
      </c>
      <c r="DD351" s="4">
        <f>CV351</f>
        <v>0.32199066895060052</v>
      </c>
      <c r="DE351" s="4">
        <f>CX351</f>
        <v>1.3814805708874047</v>
      </c>
      <c r="DF351" s="4">
        <f>DA351</f>
        <v>0.92589724491094383</v>
      </c>
      <c r="DG351" s="4">
        <f>CY351</f>
        <v>0.72179535196685451</v>
      </c>
      <c r="DH351" s="4">
        <f>CZ351</f>
        <v>0.70351864336481917</v>
      </c>
      <c r="DQ351" s="4">
        <f>L351</f>
        <v>241.29999999999998</v>
      </c>
      <c r="DT351" s="4">
        <f>K351/4/(1-0.3*(M351/30)^0.5)/200000/N351</f>
        <v>2.172887546527434E-5</v>
      </c>
      <c r="DU351" s="4">
        <f>EP351</f>
        <v>9.8800042841059668</v>
      </c>
      <c r="DV351" s="4">
        <f>EC351*AG351/257/M351/AD351</f>
        <v>0.13441861169554761</v>
      </c>
      <c r="DW351" s="4">
        <f>DU351*DV351^0.4</f>
        <v>4.4273198152976452</v>
      </c>
      <c r="DX351" s="4">
        <f>MIN(DU351, DU351/1.4*(1-DV351^1.4)/(1-DV351))</f>
        <v>7.6619766176459025</v>
      </c>
      <c r="DY351" s="4">
        <f>MAX(DU351/2, (4-DT351*(8*AG351*(DW351-DX351)+6*K351*DX351))/(4+DT351*K351*DU351)*DU351)</f>
        <v>9.2787814635556796</v>
      </c>
      <c r="DZ351" s="38">
        <f>MIN(1/N351*(4*AG351*(DW351-DX351)+(3*DX351+DY351)*K351)+EC351 -FJ351,MAX(J351,AJ351))</f>
        <v>537.93067662590806</v>
      </c>
      <c r="EA351" s="4">
        <f>DZ351/FF351</f>
        <v>1.0000930316890846</v>
      </c>
      <c r="EB351" s="4">
        <f>AG351/N351</f>
        <v>3.2403703492039297</v>
      </c>
      <c r="EC351" s="4">
        <f>MIN(EB$10*BB351)</f>
        <v>273.34186308794119</v>
      </c>
      <c r="EG351" s="4">
        <f>IF(U351&gt;1*N351,0.85,1)</f>
        <v>0.85</v>
      </c>
      <c r="EH351" s="4">
        <f>MIN(1,MAX(0.7,(1-0.1*(BZ351-1*N351)/N351)))</f>
        <v>0.9</v>
      </c>
      <c r="EI351" s="4">
        <f>MIN(1,MAX(0.7,1-0.3*(PI()*AM351^2/4*AQ351*2-0.25*PI()/4*N351^2)/(PI()/4*N351^2)))</f>
        <v>1</v>
      </c>
      <c r="EJ351" s="4">
        <f>IF(EH351*EI351&lt;0.7,0.7,EH351*EI351)</f>
        <v>0.9</v>
      </c>
      <c r="EL351" s="4">
        <f>MIN(DU351/N351*3*K351+EM351-FJ351,MAX(J351,AJ351))</f>
        <v>551.90557596583801</v>
      </c>
      <c r="EM351" s="25">
        <f>13.3*Q351*K351^0.5*M351^0.5/X351/N351^2*(0.7+S351/5/K351)</f>
        <v>270.32545386881799</v>
      </c>
      <c r="EO351" s="4">
        <f>EG351*EJ351</f>
        <v>0.76500000000000001</v>
      </c>
      <c r="EP351" s="4">
        <f>IF(N351&lt;22.2,1.1*5*(M351/30)^0.5,IF(N351&gt;=31.8,0.9*5*(M351/30)^0.5,1*5*(M351/30)^0.5))/EG351/EJ351</f>
        <v>9.8800042841059668</v>
      </c>
      <c r="ES351" s="4">
        <f>ET351*N351</f>
        <v>82.305406869779816</v>
      </c>
      <c r="ET351" s="4">
        <f>AF351^0.5</f>
        <v>3.2403703492039302</v>
      </c>
      <c r="EU351" s="4">
        <f>MIN(EC351)/(4700*M351^0.5)/AE351*ES351</f>
        <v>6.0856064294171258E-2</v>
      </c>
      <c r="EX351" s="4">
        <f>EU351</f>
        <v>6.0856064294171258E-2</v>
      </c>
      <c r="EY351" s="4">
        <f>MIN(0.999, EX351/(0.3*(M351/30)^0.5))</f>
        <v>0.13419429208485137</v>
      </c>
      <c r="EZ351" s="4">
        <f>EP351/1*EY351^0.4</f>
        <v>4.4243629857489157</v>
      </c>
      <c r="FA351" s="4">
        <f>EP351/1.4*(1-EY351^1.4)/(1-EY351)</f>
        <v>7.6611381748751528</v>
      </c>
      <c r="FB351" s="4">
        <f>MAX(0,DQ351*FB$9-ES351)</f>
        <v>98.669593130220179</v>
      </c>
      <c r="FC351" s="4">
        <f>MAX(0,DQ351-ES351-FB351)</f>
        <v>60.324999999999974</v>
      </c>
      <c r="FD351" s="4">
        <f>FC351/(1-0.3*(M351/30)^0.5)/200000/N351</f>
        <v>2.172887546527433E-5</v>
      </c>
      <c r="FE351" s="4">
        <f>MAX(0.5*EP351, (1-2*FD351*(ES351*EZ351+FB351*FA351))/(1/EP351+FD351*FC351))</f>
        <v>9.2789196852003251</v>
      </c>
      <c r="FF351" s="4">
        <f>MIN(4/N351*(1*EZ351*ES351+FA351*FB351+FC351*FE351)+EC351,MAX(J351,AJ351))</f>
        <v>537.88063668175164</v>
      </c>
      <c r="FO351" s="23">
        <f>IF(CU351&lt;0.6,0.6,IF(CU351&lt;0.8,0.8,IF(CU351&lt;1,1,IF(CU351&lt;1.2,1.2,IF(CU351&lt;1.4,1.4,IF(CU351&lt;1.6,1.6,IF(CU351&lt;1.8,1.8,IF(CU351&lt;2,2,2.2))))))))</f>
        <v>1</v>
      </c>
      <c r="FP351" s="23">
        <f>IF(CV351&lt;0.6,0.6,IF(CV351&lt;0.8,0.8,IF(CV351&lt;1,1,IF(CV351&lt;1.2,1.2,IF(CV351&lt;1.4,1.4,IF(CV351&lt;1.6,1.6,IF(CV351&lt;1.8,1.8,IF(CV351&lt;2,2,2.2))))))))</f>
        <v>0.6</v>
      </c>
      <c r="FQ351" s="23">
        <f>IF(DA351&lt;0.6,0.6,IF(DA351&lt;0.8,0.8,IF(DA351&lt;1,1,IF(DA351&lt;1.2,1.2,IF(DA351&lt;1.4,1.4,IF(DA351&lt;1.6,1.6,IF(DA351&lt;1.8,1.8,IF(DA351&lt;2,2,2.2))))))))</f>
        <v>1</v>
      </c>
      <c r="FR351" s="23">
        <f>IF(CX351&lt;0.6,0.6,IF(CX351&lt;0.8,0.8,IF(CX351&lt;1,1,IF(CX351&lt;1.2,1.2,IF(CX351&lt;1.4,1.4,IF(CX351&lt;1.6,1.6,IF(CX351&lt;1.8,1.8,IF(CX351&lt;2,2,2.2))))))))</f>
        <v>1.4</v>
      </c>
      <c r="FS351" s="23">
        <f>IF(CY351&lt;0.6,0.6,IF(CY351&lt;0.8,0.8,IF(CY351&lt;1,1,IF(CY351&lt;1.2,1.2,IF(CY351&lt;1.4,1.4,IF(CY351&lt;1.6,1.6,IF(CY351&lt;1.8,1.8,IF(CY351&lt;2,2,2.2))))))))</f>
        <v>0.8</v>
      </c>
      <c r="FT351" s="23">
        <f>IF(CZ351&lt;0.6,0.6,IF(CZ351&lt;0.8,0.8,IF(CZ351&lt;1,1,IF(CZ351&lt;1.2,1.2,IF(CZ351&lt;1.4,1.4,IF(CZ351&lt;1.6,1.6,IF(CZ351&lt;1.8,1.8,IF(CZ351&lt;2,2,2.2))))))))</f>
        <v>0.8</v>
      </c>
      <c r="FU351" s="23">
        <f>IF(FS351&lt;1,1,0)</f>
        <v>1</v>
      </c>
      <c r="FV351" s="23"/>
      <c r="GF351" s="4">
        <f>IF(S351&gt;=2.5*25.4,1,1.25)</f>
        <v>1</v>
      </c>
      <c r="GG351" s="4">
        <f>IF(AO351&gt;1, 0.05*(18-MIN(8,(W351+N351)/N351))*(1-48000/MAX(60000,(J351*145))*(N351/25.4)^0.75*GH351), 1/12*(14-MIN(8,(W351+N351)/N351)))</f>
        <v>0.65</v>
      </c>
      <c r="GH351" s="4">
        <f>MIN(0.3, AM351^2*PI()/4*2*AP351/(N351^2*PI()/4*X351))</f>
        <v>0</v>
      </c>
      <c r="GI351" s="4">
        <f>(K351/25.4)/(N351/25.4)^1.5/0.0024*(M351*145)^0.25/GF351/GG351/145</f>
        <v>419.35092063732333</v>
      </c>
    </row>
    <row r="352" spans="1:191" ht="12" customHeight="1" x14ac:dyDescent="0.3">
      <c r="A352" s="25">
        <v>308</v>
      </c>
      <c r="B352" s="4" t="s">
        <v>605</v>
      </c>
      <c r="C352" s="4">
        <v>2016</v>
      </c>
      <c r="D352" s="4" t="s">
        <v>309</v>
      </c>
      <c r="E352" s="24" t="s">
        <v>669</v>
      </c>
      <c r="F352" s="24"/>
      <c r="G352" s="24">
        <v>33</v>
      </c>
      <c r="H352" s="7" t="s">
        <v>469</v>
      </c>
      <c r="I352" s="5">
        <f>K352/N352</f>
        <v>9.5</v>
      </c>
      <c r="J352" s="91">
        <f>120/0.145</f>
        <v>827.58620689655174</v>
      </c>
      <c r="K352" s="47">
        <f>9.5*25.4</f>
        <v>241.29999999999998</v>
      </c>
      <c r="L352" s="4">
        <f>K352</f>
        <v>241.29999999999998</v>
      </c>
      <c r="M352" s="99">
        <f>10180/145</f>
        <v>70.206896551724142</v>
      </c>
      <c r="N352" s="96">
        <f>1*25.4</f>
        <v>25.4</v>
      </c>
      <c r="O352" s="7">
        <f>K352/N352</f>
        <v>9.5</v>
      </c>
      <c r="P352" s="7">
        <f>L352/N352</f>
        <v>9.5</v>
      </c>
      <c r="Q352" s="38">
        <f>19.9*25.4</f>
        <v>505.45999999999992</v>
      </c>
      <c r="R352" s="32">
        <f>S352/N352</f>
        <v>2.5</v>
      </c>
      <c r="S352" s="38">
        <f>2.5*25.4</f>
        <v>63.5</v>
      </c>
      <c r="T352" s="32">
        <f>U352/N352</f>
        <v>3.1</v>
      </c>
      <c r="U352" s="39">
        <f>3.1*25.4</f>
        <v>78.739999999999995</v>
      </c>
      <c r="V352" s="32">
        <f>W352/N352</f>
        <v>5.9499999999999993</v>
      </c>
      <c r="W352" s="7">
        <f>(Q352-X352*N352-2*S352)/(X352-1)</f>
        <v>151.12999999999997</v>
      </c>
      <c r="X352" s="38">
        <v>3</v>
      </c>
      <c r="Y352" s="7">
        <f>AN352</f>
        <v>0</v>
      </c>
      <c r="Z352" s="32">
        <f>AA352/N352</f>
        <v>10.25</v>
      </c>
      <c r="AA352" s="4">
        <f>10.25*25.4</f>
        <v>260.34999999999997</v>
      </c>
      <c r="AB352" s="7">
        <f>MIN(S352/N352+0.5, W352/2/N352+0.5)</f>
        <v>3</v>
      </c>
      <c r="AC352" s="7">
        <f>S352/N352+0.5</f>
        <v>3</v>
      </c>
      <c r="AD352" s="38">
        <v>9.5</v>
      </c>
      <c r="AE352" s="4">
        <f>AD352</f>
        <v>9.5</v>
      </c>
      <c r="AF352" s="4">
        <f>AE352+1</f>
        <v>10.5</v>
      </c>
      <c r="AG352" s="7">
        <f>N352*AF352^0.5</f>
        <v>82.305406869779816</v>
      </c>
      <c r="AJ352" s="38">
        <f>AK352/0.145</f>
        <v>600</v>
      </c>
      <c r="AK352" s="4">
        <v>87</v>
      </c>
      <c r="AL352" s="4">
        <f>CY352</f>
        <v>0.94633885858091515</v>
      </c>
      <c r="AM352" s="38">
        <v>0</v>
      </c>
      <c r="AN352" s="38">
        <v>0</v>
      </c>
      <c r="AO352" s="39">
        <f>L352</f>
        <v>241.29999999999998</v>
      </c>
      <c r="AP352" s="39"/>
      <c r="AQ352" s="39"/>
      <c r="AR352" s="7"/>
      <c r="AS352" s="4">
        <f>K352</f>
        <v>241.29999999999998</v>
      </c>
      <c r="AT352" s="4">
        <f>IF(K352*3&gt;W352+N352, Q352, (S352+N352/2)*2+1.5*K352*(2*X352-2))*(3*K352)/(9*K352^2)</f>
        <v>0.69824561403508767</v>
      </c>
      <c r="AU352" s="4">
        <f>MIN(10*M352^0.5*K352^1.5,100*3.9*M352^0.5*K352^(5/3))/(PI()/4*N352^2)/X352</f>
        <v>206.60807979855329</v>
      </c>
      <c r="AV352" s="4">
        <f>MIN(0.7+0.3*(MIN(S352,AA352)+0.5*N352)/1.5/K352,1)</f>
        <v>0.76315789473684204</v>
      </c>
      <c r="AW352" s="4">
        <v>1.25</v>
      </c>
      <c r="AX352" s="4">
        <f>AX351</f>
        <v>2.5</v>
      </c>
      <c r="AY352" s="38">
        <f>AT352*AV352*AW352*AX352*AU352</f>
        <v>344.04871552327177</v>
      </c>
      <c r="AZ352" s="38">
        <f>AY352</f>
        <v>344.04871552327177</v>
      </c>
      <c r="BA352" s="38">
        <f>IF(M352&lt;50, 0.3*M352^(2/3), 2.12*LN(1+0.1*(M352+8)))</f>
        <v>4.615452125415529</v>
      </c>
      <c r="BB352" s="38">
        <f>AX352* (M352^0.5/AS352^0.5)/(PI()/4*N352^2)/X352/0.72 *(0.7+(MIN(S352,AA352)+0.5*N352)/5/K352) *(3*Q352*K352)</f>
        <v>344.04871552327194</v>
      </c>
      <c r="BC352" s="38">
        <f>AY352/BB352</f>
        <v>0.99999999999999956</v>
      </c>
      <c r="BD352" s="38">
        <f>BH352/BB352</f>
        <v>3.7737479317445835</v>
      </c>
      <c r="BE352" s="4">
        <f>IF(BD352&lt;1,1,0)</f>
        <v>0</v>
      </c>
      <c r="BF352" s="4">
        <f>L352/N352*M352^0.5/0.19</f>
        <v>418.94777882131126</v>
      </c>
      <c r="BG352" s="4">
        <f>MIN(0.6+0.4*(AC352/AB352),2)</f>
        <v>1</v>
      </c>
      <c r="BH352" s="38">
        <f>2*M352*AB352*AD352^0.5*BG352*0.7/0.7</f>
        <v>1298.3531286253281</v>
      </c>
      <c r="BI352" s="4">
        <f>MAX(1-0.7*AE352/5,0.3)</f>
        <v>0.3</v>
      </c>
      <c r="BJ352" s="4">
        <f>BI352*J352*L352/(J352*N352/2.75/M352^0.5)</f>
        <v>65.67006433024055</v>
      </c>
      <c r="BK352" s="4">
        <f>BH352+BJ352</f>
        <v>1364.0231929555687</v>
      </c>
      <c r="BM352" s="4">
        <f>MIN(1.5, 0.75+0.25*MIN(3,MAX(1,S352/N352))+0.4*MIN(1,(40*2*PI()*AM352^2/4/AO352/X352)/N352))</f>
        <v>1.375</v>
      </c>
      <c r="BN352" s="4">
        <f>(3*P352+30)*BM352*M352^0.5</f>
        <v>673.98223917878454</v>
      </c>
      <c r="BP352" s="4">
        <f>3.4/PI()^0.5*M352*AB352*AE352^0.5*BG352</f>
        <v>1245.2794285929851</v>
      </c>
      <c r="BQ352" s="4">
        <f>8/3*AH352*AI352^2/(AG352-N352-22)/N352*(AG352^2-N352^2)/(AG352^2-(N352+22)^2)</f>
        <v>0</v>
      </c>
      <c r="BR352" s="4">
        <f>BQ352/BP352</f>
        <v>0</v>
      </c>
      <c r="BZ352" s="4">
        <f>IF(W352=0,S352,MIN(W352/2,S352))</f>
        <v>63.5</v>
      </c>
      <c r="CD352" s="9"/>
      <c r="CF352" s="9"/>
      <c r="CG352" s="9"/>
      <c r="CH352" s="9">
        <f>IF(W352=0,MIN(S352,U352),MIN(W352/2,S352,U352))</f>
        <v>63.5</v>
      </c>
      <c r="CI352" s="9">
        <f>MAX(W352/2,S352)</f>
        <v>75.564999999999984</v>
      </c>
      <c r="CJ352" s="9">
        <f>(CH352/N352)^0.5*(CI352/CH352)^0.15</f>
        <v>1.6229384464141692</v>
      </c>
      <c r="CK352" s="70">
        <f>IF(AO352&gt;1,20,0)</f>
        <v>20</v>
      </c>
      <c r="CL352" s="9">
        <f>MIN(PI()*AM352^2/4*AN352*2/X352/N352/MAX(0.01,AO352),0.05)</f>
        <v>0</v>
      </c>
      <c r="CM352" s="9">
        <f>MAX(0,CK352*(CL352-0.5/50))</f>
        <v>0</v>
      </c>
      <c r="CN352" s="9">
        <f>MIN(1,(25/N352)^0.3)</f>
        <v>0.99524931562137331</v>
      </c>
      <c r="CO352" s="9">
        <f>IF(J352&gt;=800,0.68,IF(J352&gt;=700,0.75-(J352-700)*0.07/100,IF(J352&gt;=600,0.85-(J352-600)*0.1/100,IF(J352&gt;=500,1-(J352-500)*0.15/100,1.2-(J352-400)*0.2/100))))</f>
        <v>0.68</v>
      </c>
      <c r="CP352" s="9">
        <f>1.75*CN352*CO352*(M352/25)^0.5</f>
        <v>1.9847176531283015</v>
      </c>
      <c r="CQ352" s="9">
        <f>MIN((CJ352+CM352)*CP352,2.5*CP352,M352^0.5)</f>
        <v>3.2210745845388216</v>
      </c>
      <c r="CR352" s="40">
        <v>1</v>
      </c>
      <c r="CS352" s="9">
        <f>4*CQ352*P352+60*CQ352</f>
        <v>315.66530928480449</v>
      </c>
      <c r="CU352" s="4">
        <f>AJ352/BF352</f>
        <v>1.4321594010787457</v>
      </c>
      <c r="CV352" s="4">
        <f>AJ352/BK352</f>
        <v>0.43987521847038291</v>
      </c>
      <c r="CW352" s="4">
        <f>AJ352/BN352</f>
        <v>0.89023117394172224</v>
      </c>
      <c r="CX352" s="4">
        <f>AJ352/CS352</f>
        <v>1.9007473496514582</v>
      </c>
      <c r="CY352" s="4">
        <f>AJ352/DZ352</f>
        <v>0.94633885858091515</v>
      </c>
      <c r="CZ352" s="4">
        <f>AJ352/EL352</f>
        <v>0.93461795122954905</v>
      </c>
      <c r="DA352" s="4">
        <f>AJ352/GI352</f>
        <v>1.2089329841498877</v>
      </c>
      <c r="DB352" s="4">
        <f>AN352</f>
        <v>0</v>
      </c>
      <c r="DC352" s="4">
        <f>CU352</f>
        <v>1.4321594010787457</v>
      </c>
      <c r="DD352" s="4">
        <f>CV352</f>
        <v>0.43987521847038291</v>
      </c>
      <c r="DE352" s="4">
        <f>CX352</f>
        <v>1.9007473496514582</v>
      </c>
      <c r="DF352" s="4">
        <f>DA352</f>
        <v>1.2089329841498877</v>
      </c>
      <c r="DG352" s="4">
        <f>CY352</f>
        <v>0.94633885858091515</v>
      </c>
      <c r="DH352" s="4">
        <f>CZ352</f>
        <v>0.93461795122954905</v>
      </c>
      <c r="DQ352" s="4">
        <f>L352</f>
        <v>241.29999999999998</v>
      </c>
      <c r="DT352" s="4">
        <f>K352/4/(1-0.3*(M352/30)^0.5)/200000/N352</f>
        <v>2.1947426995855081E-5</v>
      </c>
      <c r="DU352" s="4">
        <f>EP352</f>
        <v>10.58671967137796</v>
      </c>
      <c r="DV352" s="4">
        <f>EC352*AG352/257/M352/AD352</f>
        <v>0.16520066931841088</v>
      </c>
      <c r="DW352" s="4">
        <f>DU352*DV352^0.4</f>
        <v>5.1518846949079204</v>
      </c>
      <c r="DX352" s="4">
        <f>MIN(DU352, DU352/1.4*(1-DV352^1.4)/(1-DV352))</f>
        <v>8.3301669153224136</v>
      </c>
      <c r="DY352" s="4">
        <f>MAX(DU352/2, (4-DT352*(8*AG352*(DW352-DX352)+6*K352*DX352))/(4+DT352*K352*DU352)*DU352)</f>
        <v>9.8693828406686102</v>
      </c>
      <c r="DZ352" s="38">
        <f>MIN(1/N352*(4*AG352*(DW352-DX352)+(3*DX352+DY352)*K352)+EC352 -FJ352,MAX(J352,AJ352))</f>
        <v>634.02236372257983</v>
      </c>
      <c r="EA352" s="4">
        <f>DZ352/FF352</f>
        <v>1.0000934219261655</v>
      </c>
      <c r="EB352" s="4">
        <f>AG352/N352</f>
        <v>3.2403703492039297</v>
      </c>
      <c r="EC352" s="4">
        <f>MIN(EB$10*BB352)</f>
        <v>344.04871552327194</v>
      </c>
      <c r="EG352" s="4">
        <f>IF(U352&gt;1*N352,0.85,1)</f>
        <v>0.85</v>
      </c>
      <c r="EH352" s="4">
        <f>MIN(1,MAX(0.7,(1-0.1*(BZ352-1*N352)/N352)))</f>
        <v>0.85</v>
      </c>
      <c r="EI352" s="4">
        <f>MIN(1,MAX(0.7,1-0.3*(PI()*AM352^2/4*AQ352*2-0.25*PI()/4*N352^2)/(PI()/4*N352^2)))</f>
        <v>1</v>
      </c>
      <c r="EJ352" s="4">
        <f>IF(EH352*EI352&lt;0.7,0.7,EH352*EI352)</f>
        <v>0.85</v>
      </c>
      <c r="EL352" s="4">
        <f>MIN(DU352/N352*3*K352+EM352-FJ352,MAX(J352,AJ352))</f>
        <v>641.97354567249863</v>
      </c>
      <c r="EM352" s="25">
        <f>13.3*Q352*K352^0.5*M352^0.5/X352/N352^2*(0.7+S352/5/K352)</f>
        <v>340.25203503822672</v>
      </c>
      <c r="EO352" s="4">
        <f>EG352*EJ352</f>
        <v>0.72249999999999992</v>
      </c>
      <c r="EP352" s="4">
        <f>IF(N352&lt;22.2,1.1*5*(M352/30)^0.5,IF(N352&gt;=31.8,0.9*5*(M352/30)^0.5,1*5*(M352/30)^0.5))/EG352/EJ352</f>
        <v>10.58671967137796</v>
      </c>
      <c r="ES352" s="4">
        <f>ET352*N352</f>
        <v>82.305406869779816</v>
      </c>
      <c r="ET352" s="4">
        <f>AF352^0.5</f>
        <v>3.2403703492039302</v>
      </c>
      <c r="EU352" s="4">
        <f>MIN(EC352)/(4700*M352^0.5)/AE352*ES352</f>
        <v>7.5689729965875502E-2</v>
      </c>
      <c r="EX352" s="4">
        <f>EU352</f>
        <v>7.5689729965875502E-2</v>
      </c>
      <c r="EY352" s="4">
        <f>MIN(0.999, EX352/(0.3*(M352/30)^0.5))</f>
        <v>0.16492498019053781</v>
      </c>
      <c r="EZ352" s="4">
        <f>EP352/1*EY352^0.4</f>
        <v>5.1484439575017564</v>
      </c>
      <c r="FA352" s="4">
        <f>EP352/1.4*(1-EY352^1.4)/(1-EY352)</f>
        <v>8.3291170790317608</v>
      </c>
      <c r="FB352" s="4">
        <f>MAX(0,DQ352*FB$9-ES352)</f>
        <v>98.669593130220179</v>
      </c>
      <c r="FC352" s="4">
        <f>MAX(0,DQ352-ES352-FB352)</f>
        <v>60.324999999999974</v>
      </c>
      <c r="FD352" s="4">
        <f>FC352/(1-0.3*(M352/30)^0.5)/200000/N352</f>
        <v>2.1947426995855075E-5</v>
      </c>
      <c r="FE352" s="4">
        <f>MAX(0.5*EP352, (1-2*FD352*(ES352*EZ352+FB352*FA352))/(1/EP352+FD352*FC352))</f>
        <v>9.8695600930028586</v>
      </c>
      <c r="FF352" s="4">
        <f>MIN(4/N352*(1*EZ352*ES352+FA352*FB352+FC352*FE352)+EC352,MAX(J352,AJ352))</f>
        <v>633.96313766514129</v>
      </c>
      <c r="FO352" s="23">
        <f>IF(CU352&lt;0.6,0.6,IF(CU352&lt;0.8,0.8,IF(CU352&lt;1,1,IF(CU352&lt;1.2,1.2,IF(CU352&lt;1.4,1.4,IF(CU352&lt;1.6,1.6,IF(CU352&lt;1.8,1.8,IF(CU352&lt;2,2,2.2))))))))</f>
        <v>1.6</v>
      </c>
      <c r="FP352" s="23">
        <f>IF(CV352&lt;0.6,0.6,IF(CV352&lt;0.8,0.8,IF(CV352&lt;1,1,IF(CV352&lt;1.2,1.2,IF(CV352&lt;1.4,1.4,IF(CV352&lt;1.6,1.6,IF(CV352&lt;1.8,1.8,IF(CV352&lt;2,2,2.2))))))))</f>
        <v>0.6</v>
      </c>
      <c r="FQ352" s="23">
        <f>IF(DA352&lt;0.6,0.6,IF(DA352&lt;0.8,0.8,IF(DA352&lt;1,1,IF(DA352&lt;1.2,1.2,IF(DA352&lt;1.4,1.4,IF(DA352&lt;1.6,1.6,IF(DA352&lt;1.8,1.8,IF(DA352&lt;2,2,2.2))))))))</f>
        <v>1.4</v>
      </c>
      <c r="FR352" s="23">
        <f>IF(CX352&lt;0.6,0.6,IF(CX352&lt;0.8,0.8,IF(CX352&lt;1,1,IF(CX352&lt;1.2,1.2,IF(CX352&lt;1.4,1.4,IF(CX352&lt;1.6,1.6,IF(CX352&lt;1.8,1.8,IF(CX352&lt;2,2,2.2))))))))</f>
        <v>2</v>
      </c>
      <c r="FS352" s="23">
        <f>IF(CY352&lt;0.6,0.6,IF(CY352&lt;0.8,0.8,IF(CY352&lt;1,1,IF(CY352&lt;1.2,1.2,IF(CY352&lt;1.4,1.4,IF(CY352&lt;1.6,1.6,IF(CY352&lt;1.8,1.8,IF(CY352&lt;2,2,2.2))))))))</f>
        <v>1</v>
      </c>
      <c r="FT352" s="23">
        <f>IF(CZ352&lt;0.6,0.6,IF(CZ352&lt;0.8,0.8,IF(CZ352&lt;1,1,IF(CZ352&lt;1.2,1.2,IF(CZ352&lt;1.4,1.4,IF(CZ352&lt;1.6,1.6,IF(CZ352&lt;1.8,1.8,IF(CZ352&lt;2,2,2.2))))))))</f>
        <v>1</v>
      </c>
      <c r="FU352" s="23">
        <f>IF(FS352&lt;1,1,0)</f>
        <v>0</v>
      </c>
      <c r="FV352" s="23"/>
      <c r="GF352" s="4">
        <f>IF(S352&gt;=2.5*25.4,1,1.25)</f>
        <v>1</v>
      </c>
      <c r="GG352" s="4">
        <f>IF(AO352&gt;1, 0.05*(18-MIN(8,(W352+N352)/N352))*(1-48000/MAX(60000,(J352*145))*(N352/25.4)^0.75*GH352), 1/12*(14-MIN(8,(W352+N352)/N352)))</f>
        <v>0.5525000000000001</v>
      </c>
      <c r="GH352" s="4">
        <f>MIN(0.3, AM352^2*PI()/4*2*AP352/(N352^2*PI()/4*X352))</f>
        <v>0</v>
      </c>
      <c r="GI352" s="4">
        <f>(K352/25.4)/(N352/25.4)^1.5/0.0024*(M352*145)^0.25/GF352/GG352/145</f>
        <v>496.30542624487606</v>
      </c>
    </row>
    <row r="353" spans="1:191" ht="12" customHeight="1" x14ac:dyDescent="0.3">
      <c r="A353" s="25">
        <v>294</v>
      </c>
      <c r="B353" s="4" t="s">
        <v>605</v>
      </c>
      <c r="C353" s="4">
        <v>2016</v>
      </c>
      <c r="D353" s="4" t="s">
        <v>309</v>
      </c>
      <c r="E353" s="24" t="s">
        <v>452</v>
      </c>
      <c r="F353" s="24"/>
      <c r="G353" s="24">
        <v>35</v>
      </c>
      <c r="H353" s="7" t="s">
        <v>454</v>
      </c>
      <c r="I353" s="5">
        <f>K353/N353</f>
        <v>9.5</v>
      </c>
      <c r="J353" s="78">
        <f>115.9/0.145</f>
        <v>799.31034482758628</v>
      </c>
      <c r="K353" s="38">
        <f>9.5*25.4</f>
        <v>241.29999999999998</v>
      </c>
      <c r="L353" s="4">
        <f>K353</f>
        <v>241.29999999999998</v>
      </c>
      <c r="M353" s="38">
        <f>16030/145</f>
        <v>110.55172413793103</v>
      </c>
      <c r="N353" s="38">
        <f>1*25.4</f>
        <v>25.4</v>
      </c>
      <c r="O353" s="7">
        <f>K353/N353</f>
        <v>9.5</v>
      </c>
      <c r="P353" s="7">
        <f>L353/N353</f>
        <v>9.5</v>
      </c>
      <c r="Q353" s="38">
        <f>17.3*25.4</f>
        <v>439.42</v>
      </c>
      <c r="R353" s="32">
        <f>S353/N353</f>
        <v>2.6499999999999995</v>
      </c>
      <c r="S353" s="38">
        <f>2.65*25.4</f>
        <v>67.309999999999988</v>
      </c>
      <c r="T353" s="32">
        <f>U353/N353</f>
        <v>2.9</v>
      </c>
      <c r="U353" s="39">
        <f>2.9*25.4</f>
        <v>73.66</v>
      </c>
      <c r="V353" s="32">
        <f>W353/N353</f>
        <v>10.000000000000002</v>
      </c>
      <c r="W353" s="7">
        <f>(Q353-X353*N353-2*S353)/(X353-1)</f>
        <v>254.00000000000003</v>
      </c>
      <c r="X353" s="38">
        <v>2</v>
      </c>
      <c r="Y353" s="7">
        <f>AN353</f>
        <v>0</v>
      </c>
      <c r="Z353" s="32">
        <f>AA353/N353</f>
        <v>10.25</v>
      </c>
      <c r="AA353" s="4">
        <f>10.25*25.4</f>
        <v>260.34999999999997</v>
      </c>
      <c r="AB353" s="7">
        <f>MIN(S353/N353+0.5, W353/2/N353+0.5)</f>
        <v>3.1499999999999995</v>
      </c>
      <c r="AC353" s="7">
        <f>S353/N353+0.5</f>
        <v>3.1499999999999995</v>
      </c>
      <c r="AD353" s="38">
        <v>9.5</v>
      </c>
      <c r="AE353" s="4">
        <f>AD353</f>
        <v>9.5</v>
      </c>
      <c r="AF353" s="4">
        <f>AE353+1</f>
        <v>10.5</v>
      </c>
      <c r="AG353" s="7">
        <f>N353*AF353^0.5</f>
        <v>82.305406869779816</v>
      </c>
      <c r="AJ353" s="38">
        <f>AK353/0.145</f>
        <v>713.10344827586221</v>
      </c>
      <c r="AK353" s="4">
        <v>103.4</v>
      </c>
      <c r="AL353" s="4">
        <f>CY353</f>
        <v>0.89214840379637628</v>
      </c>
      <c r="AM353" s="38">
        <v>0</v>
      </c>
      <c r="AN353" s="38">
        <v>0</v>
      </c>
      <c r="AO353" s="39">
        <f>L353</f>
        <v>241.29999999999998</v>
      </c>
      <c r="AP353" s="39"/>
      <c r="AQ353" s="39"/>
      <c r="AR353" s="7"/>
      <c r="AS353" s="4">
        <f>K353</f>
        <v>241.29999999999998</v>
      </c>
      <c r="AT353" s="4">
        <f>IF(K353*3&gt;W353+N353, Q353, (S353+N353/2)*2+1.5*K353*(2*X353-2))*(3*K353)/(9*K353^2)</f>
        <v>0.60701754385964912</v>
      </c>
      <c r="AU353" s="4">
        <f>MIN(10*M353^0.5*K353^1.5,100*3.9*M353^0.5*K353^(5/3))/(PI()/4*N353^2)/X353</f>
        <v>388.89417005620368</v>
      </c>
      <c r="AV353" s="4">
        <f>MIN(0.7+0.3*(MIN(S353,AA353)+0.5*N353)/1.5/K353,1)</f>
        <v>0.76631578947368417</v>
      </c>
      <c r="AW353" s="4">
        <v>1.25</v>
      </c>
      <c r="AX353" s="4">
        <f>AX352</f>
        <v>2.5</v>
      </c>
      <c r="AY353" s="38">
        <f>AT353*AV353*AW353*AX353*AU353</f>
        <v>565.31495098751748</v>
      </c>
      <c r="AZ353" s="38">
        <f>AY353</f>
        <v>565.31495098751748</v>
      </c>
      <c r="BA353" s="38">
        <f>IF(M353&lt;50, 0.3*M353^(2/3), 2.12*LN(1+0.1*(M353+8)))</f>
        <v>5.4139420559889198</v>
      </c>
      <c r="BB353" s="38">
        <f>AX353* (M353^0.5/AS353^0.5)/(PI()/4*N353^2)/X353/0.72 *(0.7+(MIN(S353,AA353)+0.5*N353)/5/K353) *(3*Q353*K353)</f>
        <v>565.31495098751748</v>
      </c>
      <c r="BC353" s="38">
        <f>AY353/BB353</f>
        <v>1</v>
      </c>
      <c r="BD353" s="38">
        <f>BH353/BB353</f>
        <v>3.7973217844035227</v>
      </c>
      <c r="BE353" s="4">
        <f>IF(BD353&lt;1,1,0)</f>
        <v>0</v>
      </c>
      <c r="BF353" s="4">
        <f>L353/N353*M353^0.5/0.19</f>
        <v>525.71789996615826</v>
      </c>
      <c r="BG353" s="4">
        <f>MIN(0.6+0.4*(AC353/AB353),2)</f>
        <v>1</v>
      </c>
      <c r="BH353" s="38">
        <f>2*M353*AB353*AD353^0.5*BG353*0.7/0.7</f>
        <v>2146.6827784339098</v>
      </c>
      <c r="BI353" s="4">
        <f>MAX(1-0.7*AE353/5,0.3)</f>
        <v>0.3</v>
      </c>
      <c r="BJ353" s="4">
        <f>BI353*J353*L353/(J353*N353/2.75/M353^0.5)</f>
        <v>82.406280819695297</v>
      </c>
      <c r="BK353" s="4">
        <f>BH353+BJ353</f>
        <v>2229.0890592536052</v>
      </c>
      <c r="BM353" s="4">
        <f>MIN(1.5, 0.75+0.25*MIN(3,MAX(1,S353/N353))+0.4*MIN(1,(40*2*PI()*AM353^2/4/AO353/X353)/N353))</f>
        <v>1.4124999999999999</v>
      </c>
      <c r="BN353" s="4">
        <f>(3*P353+30)*BM353*M353^0.5</f>
        <v>868.81454443157224</v>
      </c>
      <c r="BP353" s="4">
        <f>3.4/PI()^0.5*M353*AB353*AE353^0.5*BG353</f>
        <v>2058.9313067154058</v>
      </c>
      <c r="BQ353" s="4">
        <f>8/3*AH353*AI353^2/(AG353-N353-22)/N353*(AG353^2-N353^2)/(AG353^2-(N353+22)^2)</f>
        <v>0</v>
      </c>
      <c r="BR353" s="4">
        <f>BQ353/BP353</f>
        <v>0</v>
      </c>
      <c r="BZ353" s="4">
        <f>IF(W353=0,S353,MIN(W353/2,S353))</f>
        <v>67.309999999999988</v>
      </c>
      <c r="CD353" s="9"/>
      <c r="CF353" s="9"/>
      <c r="CG353" s="9"/>
      <c r="CH353" s="9">
        <f>IF(W353=0,MIN(S353,U353),MIN(W353/2,S353,U353))</f>
        <v>67.309999999999988</v>
      </c>
      <c r="CI353" s="9">
        <f>MAX(W353/2,S353)</f>
        <v>127.00000000000001</v>
      </c>
      <c r="CJ353" s="9">
        <f>(CH353/N353)^0.5*(CI353/CH353)^0.15</f>
        <v>1.7905298128039189</v>
      </c>
      <c r="CK353" s="70">
        <f>IF(AO353&gt;1,20,0)</f>
        <v>20</v>
      </c>
      <c r="CL353" s="9">
        <f>MIN(PI()*AM353^2/4*AN353*2/X353/N353/MAX(0.01,AO353),0.05)</f>
        <v>0</v>
      </c>
      <c r="CM353" s="9">
        <f>MAX(0,CK353*(CL353-0.5/50))</f>
        <v>0</v>
      </c>
      <c r="CN353" s="9">
        <f>MIN(1,(25/N353)^0.3)</f>
        <v>0.99524931562137331</v>
      </c>
      <c r="CO353" s="9">
        <f>IF(J353&gt;=800,0.68,IF(J353&gt;=700,0.75-(J353-700)*0.07/100,IF(J353&gt;=600,0.85-(J353-600)*0.1/100,IF(J353&gt;=500,1-(J353-500)*0.15/100,1.2-(J353-400)*0.2/100))))</f>
        <v>0.68048275862068963</v>
      </c>
      <c r="CP353" s="9">
        <f>1.75*CN353*CO353*(M353/25)^0.5</f>
        <v>2.4922971335630986</v>
      </c>
      <c r="CQ353" s="9">
        <f>MIN((CJ353+CM353)*CP353,2.5*CP353,M353^0.5)</f>
        <v>4.4625323200104781</v>
      </c>
      <c r="CR353" s="40">
        <v>1</v>
      </c>
      <c r="CS353" s="9">
        <f>4*CQ353*P353+60*CQ353</f>
        <v>437.32816736102683</v>
      </c>
      <c r="CU353" s="4">
        <f>AJ353/BF353</f>
        <v>1.3564374511915354</v>
      </c>
      <c r="CV353" s="4">
        <f>AJ353/BK353</f>
        <v>0.31990801144331121</v>
      </c>
      <c r="CW353" s="4">
        <f>AJ353/BN353</f>
        <v>0.82077752133214454</v>
      </c>
      <c r="CX353" s="4">
        <f>AJ353/CS353</f>
        <v>1.6305911704223137</v>
      </c>
      <c r="CY353" s="4">
        <f>AJ353/DZ353</f>
        <v>0.89214840379637628</v>
      </c>
      <c r="CZ353" s="4">
        <f>AJ353/EL353</f>
        <v>0.89214840379637628</v>
      </c>
      <c r="DA353" s="4">
        <f>AJ353/GI353</f>
        <v>1.1607663213543273</v>
      </c>
      <c r="DB353" s="4">
        <f>AN353</f>
        <v>0</v>
      </c>
      <c r="DC353" s="4">
        <f>CU353</f>
        <v>1.3564374511915354</v>
      </c>
      <c r="DD353" s="4">
        <f>CV353</f>
        <v>0.31990801144331121</v>
      </c>
      <c r="DE353" s="4">
        <f>CX353</f>
        <v>1.6305911704223137</v>
      </c>
      <c r="DF353" s="4">
        <f>DA353</f>
        <v>1.1607663213543273</v>
      </c>
      <c r="DG353" s="4">
        <f>CY353</f>
        <v>0.89214840379637628</v>
      </c>
      <c r="DH353" s="4">
        <f>CZ353</f>
        <v>0.89214840379637628</v>
      </c>
      <c r="DQ353" s="4">
        <f>L353</f>
        <v>241.29999999999998</v>
      </c>
      <c r="DT353" s="4">
        <f>K353/4/(1-0.3*(M353/30)^0.5)/200000/N353</f>
        <v>2.8000148432523461E-5</v>
      </c>
      <c r="DU353" s="4">
        <f>EP353</f>
        <v>13.523426215602175</v>
      </c>
      <c r="DV353" s="4">
        <f>EC353*AG353/257/M353/AD353</f>
        <v>0.17238385513177032</v>
      </c>
      <c r="DW353" s="4">
        <f>DU353*DV353^0.4</f>
        <v>6.6939948114044903</v>
      </c>
      <c r="DX353" s="4">
        <f>MIN(DU353, DU353/1.4*(1-DV353^1.4)/(1-DV353))</f>
        <v>10.675661364855177</v>
      </c>
      <c r="DY353" s="4">
        <f>MAX(DU353/2, (4-DT353*(8*AG353*(DW353-DX353)+6*K353*DX353))/(4+DT353*K353*DU353)*DU353)</f>
        <v>12.03357545451744</v>
      </c>
      <c r="DZ353" s="38">
        <f>MIN(1/N353*(4*AG353*(DW353-DX353)+(3*DX353+DY353)*K353)+EC353 -FJ353,MAX(J353,AJ353))</f>
        <v>799.31034482758628</v>
      </c>
      <c r="EA353" s="4">
        <f>DZ353/FF353</f>
        <v>1</v>
      </c>
      <c r="EB353" s="4">
        <f>AG353/N353</f>
        <v>3.2403703492039297</v>
      </c>
      <c r="EC353" s="4">
        <f>MIN(EB$10*BB353)</f>
        <v>565.31495098751748</v>
      </c>
      <c r="EG353" s="4">
        <f>IF(U353&gt;1*N353,0.85,1)</f>
        <v>0.85</v>
      </c>
      <c r="EH353" s="4">
        <f>MIN(1,MAX(0.7,(1-0.1*(BZ353-1*N353)/N353)))</f>
        <v>0.83499999999999996</v>
      </c>
      <c r="EI353" s="4">
        <f>MIN(1,MAX(0.7,1-0.3*(PI()*AM353^2/4*AQ353*2-0.25*PI()/4*N353^2)/(PI()/4*N353^2)))</f>
        <v>1</v>
      </c>
      <c r="EJ353" s="4">
        <f>IF(EH353*EI353&lt;0.7,0.7,EH353*EI353)</f>
        <v>0.83499999999999996</v>
      </c>
      <c r="EL353" s="4">
        <f>MIN(DU353/N353*3*K353+EM353-FJ353,MAX(J353,AJ353))</f>
        <v>799.31034482758628</v>
      </c>
      <c r="EM353" s="25">
        <f>13.3*Q353*K353^0.5*M353^0.5/X353/N353^2*(0.7+S353/5/K353)</f>
        <v>559.10875360372461</v>
      </c>
      <c r="EO353" s="4">
        <f>EG353*EJ353</f>
        <v>0.70974999999999999</v>
      </c>
      <c r="EP353" s="4">
        <f>IF(N353&lt;22.2,1.1*5*(M353/30)^0.5,IF(N353&gt;=31.8,0.9*5*(M353/30)^0.5,1*5*(M353/30)^0.5))/EG353/EJ353</f>
        <v>13.523426215602175</v>
      </c>
      <c r="ES353" s="4">
        <f>ET353*N353</f>
        <v>82.305406869779816</v>
      </c>
      <c r="ET353" s="4">
        <f>AF353^0.5</f>
        <v>3.2403703492039302</v>
      </c>
      <c r="EU353" s="4">
        <f>MIN(EC353)/(4700*M353^0.5)/AE353*ES353</f>
        <v>9.9109346915497026E-2</v>
      </c>
      <c r="EX353" s="4">
        <f>EU353</f>
        <v>9.9109346915497026E-2</v>
      </c>
      <c r="EY353" s="4">
        <f>MIN(0.999, EX353/(0.3*(M353/30)^0.5))</f>
        <v>0.17209617860553858</v>
      </c>
      <c r="EZ353" s="4">
        <f>EP353/1*EY353^0.4</f>
        <v>6.6895241604275695</v>
      </c>
      <c r="FA353" s="4">
        <f>EP353/1.4*(1-EY353^1.4)/(1-EY353)</f>
        <v>10.674277055571464</v>
      </c>
      <c r="FB353" s="4">
        <f>MAX(0,DQ353*FB$9-ES353)</f>
        <v>98.669593130220179</v>
      </c>
      <c r="FC353" s="4">
        <f>MAX(0,DQ353-ES353-FB353)</f>
        <v>60.324999999999974</v>
      </c>
      <c r="FD353" s="4">
        <f>FC353/(1-0.3*(M353/30)^0.5)/200000/N353</f>
        <v>2.8000148432523447E-5</v>
      </c>
      <c r="FE353" s="4">
        <f>MAX(0.5*EP353, (1-2*FD353*(ES353*EZ353+FB353*FA353))/(1/EP353+FD353*FC353))</f>
        <v>12.033949023453868</v>
      </c>
      <c r="FF353" s="4">
        <f>MIN(4/N353*(1*EZ353*ES353+FA353*FB353+FC353*FE353)+EC353,MAX(J353,AJ353))</f>
        <v>799.31034482758628</v>
      </c>
      <c r="FO353" s="23">
        <f>IF(CU353&lt;0.6,0.6,IF(CU353&lt;0.8,0.8,IF(CU353&lt;1,1,IF(CU353&lt;1.2,1.2,IF(CU353&lt;1.4,1.4,IF(CU353&lt;1.6,1.6,IF(CU353&lt;1.8,1.8,IF(CU353&lt;2,2,2.2))))))))</f>
        <v>1.4</v>
      </c>
      <c r="FP353" s="23">
        <f>IF(CV353&lt;0.6,0.6,IF(CV353&lt;0.8,0.8,IF(CV353&lt;1,1,IF(CV353&lt;1.2,1.2,IF(CV353&lt;1.4,1.4,IF(CV353&lt;1.6,1.6,IF(CV353&lt;1.8,1.8,IF(CV353&lt;2,2,2.2))))))))</f>
        <v>0.6</v>
      </c>
      <c r="FQ353" s="23">
        <f>IF(DA353&lt;0.6,0.6,IF(DA353&lt;0.8,0.8,IF(DA353&lt;1,1,IF(DA353&lt;1.2,1.2,IF(DA353&lt;1.4,1.4,IF(DA353&lt;1.6,1.6,IF(DA353&lt;1.8,1.8,IF(DA353&lt;2,2,2.2))))))))</f>
        <v>1.2</v>
      </c>
      <c r="FR353" s="23">
        <f>IF(CX353&lt;0.6,0.6,IF(CX353&lt;0.8,0.8,IF(CX353&lt;1,1,IF(CX353&lt;1.2,1.2,IF(CX353&lt;1.4,1.4,IF(CX353&lt;1.6,1.6,IF(CX353&lt;1.8,1.8,IF(CX353&lt;2,2,2.2))))))))</f>
        <v>1.8</v>
      </c>
      <c r="FS353" s="23">
        <f>IF(CY353&lt;0.6,0.6,IF(CY353&lt;0.8,0.8,IF(CY353&lt;1,1,IF(CY353&lt;1.2,1.2,IF(CY353&lt;1.4,1.4,IF(CY353&lt;1.6,1.6,IF(CY353&lt;1.8,1.8,IF(CY353&lt;2,2,2.2))))))))</f>
        <v>1</v>
      </c>
      <c r="FT353" s="23">
        <f>IF(CZ353&lt;0.6,0.6,IF(CZ353&lt;0.8,0.8,IF(CZ353&lt;1,1,IF(CZ353&lt;1.2,1.2,IF(CZ353&lt;1.4,1.4,IF(CZ353&lt;1.6,1.6,IF(CZ353&lt;1.8,1.8,IF(CZ353&lt;2,2,2.2))))))))</f>
        <v>1</v>
      </c>
      <c r="FU353" s="23">
        <f>IF(FS353&lt;1,1,0)</f>
        <v>0</v>
      </c>
      <c r="FV353" s="23"/>
      <c r="GF353" s="4">
        <f>IF(S353&gt;=2.5*25.4,1,1.25)</f>
        <v>1</v>
      </c>
      <c r="GG353" s="4">
        <f>IF(AO353&gt;1, 0.05*(18-MIN(8,(W353+N353)/N353))*(1-48000/MAX(60000,(J353*145))*(N353/25.4)^0.75*GH353), 1/12*(14-MIN(8,(W353+N353)/N353)))</f>
        <v>0.5</v>
      </c>
      <c r="GH353" s="4">
        <f>MIN(0.3, AM353^2*PI()/4*2*AP353/(N353^2*PI()/4*X353))</f>
        <v>0</v>
      </c>
      <c r="GI353" s="4">
        <f>(K353/25.4)/(N353/25.4)^1.5/0.0024*(M353*145)^0.25/GF353/GG353/145</f>
        <v>614.33850651683861</v>
      </c>
    </row>
    <row r="354" spans="1:191" ht="12" customHeight="1" x14ac:dyDescent="0.3">
      <c r="A354" s="25">
        <v>241</v>
      </c>
      <c r="B354" s="4" t="s">
        <v>605</v>
      </c>
      <c r="C354" s="4">
        <v>2016</v>
      </c>
      <c r="D354" s="4" t="s">
        <v>309</v>
      </c>
      <c r="E354" s="24" t="s">
        <v>662</v>
      </c>
      <c r="F354" s="24"/>
      <c r="G354" s="24">
        <v>49</v>
      </c>
      <c r="H354" s="7" t="s">
        <v>394</v>
      </c>
      <c r="I354" s="5">
        <f>K354/N354</f>
        <v>9.5</v>
      </c>
      <c r="J354" s="91">
        <f>120/0.145</f>
        <v>827.58620689655174</v>
      </c>
      <c r="K354" s="38">
        <f>9.5*25.4</f>
        <v>241.29999999999998</v>
      </c>
      <c r="L354" s="4">
        <f>K354</f>
        <v>241.29999999999998</v>
      </c>
      <c r="M354" s="89">
        <f>5910/145</f>
        <v>40.758620689655174</v>
      </c>
      <c r="N354" s="96">
        <f>1*25.4</f>
        <v>25.4</v>
      </c>
      <c r="O354" s="7">
        <f>K354/N354</f>
        <v>9.5</v>
      </c>
      <c r="P354" s="7">
        <f>L354/N354</f>
        <v>9.5</v>
      </c>
      <c r="Q354" s="38">
        <f>19*25.4</f>
        <v>482.59999999999997</v>
      </c>
      <c r="R354" s="32">
        <f>S354/N354</f>
        <v>3.9</v>
      </c>
      <c r="S354" s="38">
        <f>3.9*25.4</f>
        <v>99.059999999999988</v>
      </c>
      <c r="T354" s="32">
        <f>U354/N354</f>
        <v>3.25</v>
      </c>
      <c r="U354" s="39">
        <f>3.25*25.4</f>
        <v>82.55</v>
      </c>
      <c r="V354" s="32">
        <f>W354/N354</f>
        <v>9.1999999999999993</v>
      </c>
      <c r="W354" s="7">
        <f>(Q354-X354*N354-2*S354)/(X354-1)</f>
        <v>233.67999999999998</v>
      </c>
      <c r="X354" s="38">
        <v>2</v>
      </c>
      <c r="Y354" s="7">
        <f>AN354</f>
        <v>8</v>
      </c>
      <c r="Z354" s="32">
        <f>AA354/N354</f>
        <v>10.25</v>
      </c>
      <c r="AA354" s="4">
        <f>10.25*25.4</f>
        <v>260.34999999999997</v>
      </c>
      <c r="AB354" s="7">
        <f>MIN(S354/N354+0.5, W354/2/N354+0.5)</f>
        <v>4.4000000000000004</v>
      </c>
      <c r="AC354" s="7">
        <f>S354/N354+0.5</f>
        <v>4.4000000000000004</v>
      </c>
      <c r="AD354" s="38">
        <v>4</v>
      </c>
      <c r="AE354" s="4">
        <f>AD354</f>
        <v>4</v>
      </c>
      <c r="AF354" s="4">
        <f>AE354+1</f>
        <v>5</v>
      </c>
      <c r="AG354" s="7">
        <f>N354*AF354^0.5</f>
        <v>56.796126628494655</v>
      </c>
      <c r="AJ354" s="38">
        <f>122.4/0.145</f>
        <v>844.1379310344829</v>
      </c>
      <c r="AL354" s="4">
        <f>CY354</f>
        <v>1.1787643163301271</v>
      </c>
      <c r="AM354" s="38">
        <f>0.5*25.4</f>
        <v>12.7</v>
      </c>
      <c r="AN354" s="38">
        <v>8</v>
      </c>
      <c r="AO354" s="39">
        <f>4*25.4</f>
        <v>101.6</v>
      </c>
      <c r="AP354" s="39">
        <v>2</v>
      </c>
      <c r="AQ354" s="39">
        <v>1</v>
      </c>
      <c r="AR354" s="7"/>
      <c r="AS354" s="4">
        <f>K354</f>
        <v>241.29999999999998</v>
      </c>
      <c r="AT354" s="4">
        <f>IF(K354*3&gt;W354+N354, Q354, (S354+N354/2)*2+1.5*K354*(2*X354-2))*(3*K354)/(9*K354^2)</f>
        <v>0.66666666666666663</v>
      </c>
      <c r="AU354" s="4">
        <f>MIN(10*M354^0.5*K354^1.5,100*3.9*M354^0.5*K354^(5/3))/(PI()/4*N354^2)/X354</f>
        <v>236.13393909906492</v>
      </c>
      <c r="AV354" s="4">
        <f>MIN(0.7+0.3*(MIN(S354,AA354)+0.5*N354)/1.5/K354,1)</f>
        <v>0.79263157894736835</v>
      </c>
      <c r="AW354" s="4">
        <v>1.25</v>
      </c>
      <c r="AX354" s="4">
        <f>AX353</f>
        <v>2.5</v>
      </c>
      <c r="AY354" s="38">
        <f>AT354*AV354*AW354*AX354*AU354</f>
        <v>389.93170206490322</v>
      </c>
      <c r="AZ354" s="38">
        <f>AY354</f>
        <v>389.93170206490322</v>
      </c>
      <c r="BA354" s="38">
        <f>IF(M354&lt;50, 0.3*M354^(2/3), 2.12*LN(1+0.1*(M354+8)))</f>
        <v>3.5530466297176955</v>
      </c>
      <c r="BB354" s="38">
        <f>AX354* (M354^0.5/AS354^0.5)/(PI()/4*N354^2)/X354/0.72 *(0.7+(MIN(S354,AA354)+0.5*N354)/5/K354) *(3*Q354*K354)</f>
        <v>389.93170206490333</v>
      </c>
      <c r="BC354" s="38">
        <f>AY354/BB354</f>
        <v>0.99999999999999967</v>
      </c>
      <c r="BD354" s="38">
        <f>BH354/BB354</f>
        <v>1.8396855663162504</v>
      </c>
      <c r="BE354" s="4">
        <f>IF(BD354&lt;1,1,0)</f>
        <v>0</v>
      </c>
      <c r="BF354" s="4">
        <f>L354/N354*M354^0.5/0.19</f>
        <v>319.21239281102157</v>
      </c>
      <c r="BG354" s="4">
        <f>MIN(0.6+0.4*(AC354/AB354),2)</f>
        <v>1</v>
      </c>
      <c r="BH354" s="38">
        <f>2*M354*AB354*AD354^0.5*BG354*0.7/0.7</f>
        <v>717.35172413793111</v>
      </c>
      <c r="BI354" s="4">
        <f>MAX(1-0.7*AE354/5,0.3)</f>
        <v>0.44000000000000006</v>
      </c>
      <c r="BJ354" s="4">
        <f>BI354*J354*L354/(J354*N354/2.75/M354^0.5)</f>
        <v>73.386929107253877</v>
      </c>
      <c r="BK354" s="4">
        <f>BH354+BJ354</f>
        <v>790.73865324518499</v>
      </c>
      <c r="BM354" s="4">
        <f>MIN(1.5, 0.75+0.25*MIN(3,MAX(1,S354/N354))+0.4*MIN(1,(40*2*PI()*AM354^2/4/AO354/X354)/N354))</f>
        <v>1.5</v>
      </c>
      <c r="BN354" s="4">
        <f>(3*P354+30)*BM354*M354^0.5</f>
        <v>560.21774938334283</v>
      </c>
      <c r="BP354" s="4">
        <f>3.4/PI()^0.5*M354*AB354*AE354^0.5*BG354</f>
        <v>688.02802984769528</v>
      </c>
      <c r="BQ354" s="4">
        <f>8/3*AH354*AI354^2/(AG354-N354-22)/N354*(AG354^2-N354^2)/(AG354^2-(N354+22)^2)</f>
        <v>0</v>
      </c>
      <c r="BR354" s="4">
        <f>BQ354/BP354</f>
        <v>0</v>
      </c>
      <c r="BZ354" s="4">
        <f>IF(W354=0,S354,MIN(W354/2,S354))</f>
        <v>99.059999999999988</v>
      </c>
      <c r="CD354" s="9"/>
      <c r="CF354" s="9"/>
      <c r="CG354" s="9"/>
      <c r="CH354" s="9">
        <f>IF(W354=0,MIN(S354,U354),MIN(W354/2,S354,U354))</f>
        <v>82.55</v>
      </c>
      <c r="CI354" s="9">
        <f>MAX(W354/2,S354)</f>
        <v>116.83999999999999</v>
      </c>
      <c r="CJ354" s="9">
        <f>(CH354/N354)^0.5*(CI354/CH354)^0.15</f>
        <v>1.8992093998678425</v>
      </c>
      <c r="CK354" s="70">
        <f>IF(AO354&gt;1,20,0)</f>
        <v>20</v>
      </c>
      <c r="CL354" s="9">
        <f>MIN(PI()*AM354^2/4*AN354*2/X354/N354/MAX(0.01,AO354),0.05)</f>
        <v>0.05</v>
      </c>
      <c r="CM354" s="9">
        <f>MAX(0,CK354*(CL354-0.5/50))</f>
        <v>0.8</v>
      </c>
      <c r="CN354" s="9">
        <f>MIN(1,(25/N354)^0.3)</f>
        <v>0.99524931562137331</v>
      </c>
      <c r="CO354" s="9">
        <f>IF(J354&gt;=800,0.68,IF(J354&gt;=700,0.75-(J354-700)*0.07/100,IF(J354&gt;=600,0.85-(J354-600)*0.1/100,IF(J354&gt;=500,1-(J354-500)*0.15/100,1.2-(J354-400)*0.2/100))))</f>
        <v>0.68</v>
      </c>
      <c r="CP354" s="9">
        <f>1.75*CN354*CO354*(M354/25)^0.5</f>
        <v>1.5122325576992237</v>
      </c>
      <c r="CQ354" s="9">
        <f>MIN((CJ354+CM354)*CP354,2.5*CP354,M354^0.5)</f>
        <v>3.7805813942480593</v>
      </c>
      <c r="CR354" s="40">
        <v>1</v>
      </c>
      <c r="CS354" s="9">
        <f>4*CQ354*P354+60*CQ354</f>
        <v>370.4969766363098</v>
      </c>
      <c r="CU354" s="4">
        <f>AJ354/BF354</f>
        <v>2.6444397211552655</v>
      </c>
      <c r="CV354" s="4">
        <f>AJ354/BK354</f>
        <v>1.0675308808670825</v>
      </c>
      <c r="CW354" s="4">
        <f>AJ354/BN354</f>
        <v>1.5068032599175301</v>
      </c>
      <c r="CX354" s="4">
        <f>AJ354/CS354</f>
        <v>2.2783935747554356</v>
      </c>
      <c r="CY354" s="4">
        <f>AJ354/DZ354</f>
        <v>1.1787643163301271</v>
      </c>
      <c r="CZ354" s="4">
        <f>AJ354/EL354</f>
        <v>1.2694084672363284</v>
      </c>
      <c r="DA354" s="4">
        <f>AJ354/GI354</f>
        <v>1.5517610994655895</v>
      </c>
      <c r="DB354" s="4">
        <f>AN354</f>
        <v>8</v>
      </c>
      <c r="DI354" s="4">
        <f>CU354</f>
        <v>2.6444397211552655</v>
      </c>
      <c r="DJ354" s="4">
        <f>CV354</f>
        <v>1.0675308808670825</v>
      </c>
      <c r="DK354" s="4">
        <f>CX354</f>
        <v>2.2783935747554356</v>
      </c>
      <c r="DL354" s="4">
        <f>DA354</f>
        <v>1.5517610994655895</v>
      </c>
      <c r="DM354" s="4">
        <f>CY354</f>
        <v>1.1787643163301271</v>
      </c>
      <c r="DN354" s="4">
        <f>CZ354</f>
        <v>1.2694084672363284</v>
      </c>
      <c r="DQ354" s="4">
        <f>L354</f>
        <v>241.29999999999998</v>
      </c>
      <c r="DT354" s="4">
        <f>K354/4/(1-0.3*(M354/30)^0.5)/200000/N354</f>
        <v>1.8260231462931454E-5</v>
      </c>
      <c r="DU354" s="4">
        <f>EP354</f>
        <v>9.7949483572995213</v>
      </c>
      <c r="DV354" s="4">
        <f>EC354*AG354/257/M354/AD354</f>
        <v>0.5285604589936419</v>
      </c>
      <c r="DW354" s="4">
        <f>DU354*DV354^0.4</f>
        <v>7.5899692945005892</v>
      </c>
      <c r="DX354" s="4">
        <f>MIN(DU354, DU354/1.4*(1-DV354^1.4)/(1-DV354))</f>
        <v>8.7622062704031336</v>
      </c>
      <c r="DY354" s="4">
        <f>MAX(DU354/2, (4-DT354*(8*AG354*(DW354-DX354)+6*K354*DX354))/(4+DT354*K354*DU354)*DU354)</f>
        <v>9.1527650475891438</v>
      </c>
      <c r="DZ354" s="38">
        <f>MIN(1/N354*(4*AG354*(DW354-DX354)+(3*DX354+DY354)*K354)+EC354 -FJ354,MAX(J354,AJ354))</f>
        <v>716.12104246806189</v>
      </c>
      <c r="EA354" s="4">
        <f>DZ354/FF354</f>
        <v>1.0001206064320898</v>
      </c>
      <c r="EB354" s="4">
        <f>AG354/N354</f>
        <v>2.2360679774997898</v>
      </c>
      <c r="EC354" s="4">
        <f>MIN(EB$10*BB354)</f>
        <v>389.93170206490333</v>
      </c>
      <c r="EG354" s="4">
        <f>IF(U354&gt;1*N354,0.85,1)</f>
        <v>0.85</v>
      </c>
      <c r="EH354" s="4">
        <f>MIN(1,MAX(0.7,(1-0.1*(BZ354-1*N354)/N354)))</f>
        <v>0.71</v>
      </c>
      <c r="EI354" s="4">
        <f>MIN(1,MAX(0.7,1-0.3*(PI()*AM354^2/4*AQ354*2-0.25*PI()/4*N354^2)/(PI()/4*N354^2)))</f>
        <v>0.92500000000000004</v>
      </c>
      <c r="EJ354" s="4">
        <f>IF(EH354*EI354&lt;0.7,0.7,EH354*EI354)</f>
        <v>0.7</v>
      </c>
      <c r="EL354" s="4">
        <f>MIN(DU354/N354*3*K354+EM354-FJ354,MAX(J354,AJ354))</f>
        <v>664.98526898302782</v>
      </c>
      <c r="EM354" s="25">
        <f>13.3*Q354*K354^0.5*M354^0.5/X354/N354^2*(0.7+S354/5/K354)</f>
        <v>385.82924079999151</v>
      </c>
      <c r="EO354" s="4">
        <f>EG354*EJ354</f>
        <v>0.59499999999999997</v>
      </c>
      <c r="EP354" s="4">
        <f>IF(N354&lt;22.2,1.1*5*(M354/30)^0.5,IF(N354&gt;=31.8,0.9*5*(M354/30)^0.5,1*5*(M354/30)^0.5))/EG354/EJ354</f>
        <v>9.7949483572995213</v>
      </c>
      <c r="ES354" s="4">
        <f>ET354*N354</f>
        <v>56.796126628494655</v>
      </c>
      <c r="ET354" s="4">
        <f>AF354^0.5</f>
        <v>2.2360679774997898</v>
      </c>
      <c r="EU354" s="4">
        <f>MIN(EC354)/(4700*M354^0.5)/AE354*ES354</f>
        <v>0.18451839811569204</v>
      </c>
      <c r="EX354" s="4">
        <f>EU354</f>
        <v>0.18451839811569204</v>
      </c>
      <c r="EY354" s="4">
        <f>MIN(0.999, EX354/(0.3*(M354/30)^0.5))</f>
        <v>0.52767839009785966</v>
      </c>
      <c r="EZ354" s="4">
        <f>EP354/1*EY354^0.4</f>
        <v>7.584900258058636</v>
      </c>
      <c r="FA354" s="4">
        <f>EP354/1.4*(1-EY354^1.4)/(1-EY354)</f>
        <v>8.7600123648110575</v>
      </c>
      <c r="FB354" s="4">
        <f>MAX(0,DQ354*FB$9-ES354)</f>
        <v>124.17887337150535</v>
      </c>
      <c r="FC354" s="4">
        <f>MAX(0,DQ354-ES354-FB354)</f>
        <v>60.324999999999989</v>
      </c>
      <c r="FD354" s="4">
        <f>FC354/(1-0.3*(M354/30)^0.5)/200000/N354</f>
        <v>1.8260231462931451E-5</v>
      </c>
      <c r="FE354" s="4">
        <f>MAX(0.5*EP354, (1-2*FD354*(ES354*EZ354+FB354*FA354))/(1/EP354+FD354*FC354))</f>
        <v>9.1529633500073277</v>
      </c>
      <c r="FF354" s="4">
        <f>MIN(4/N354*(1*EZ354*ES354+FA354*FB354+FC354*FE354)+EC354,MAX(J354,AJ354))</f>
        <v>716.03468407956245</v>
      </c>
      <c r="FO354" s="23">
        <f>IF(CU354&lt;0.6,0.6,IF(CU354&lt;0.8,0.8,IF(CU354&lt;1,1,IF(CU354&lt;1.2,1.2,IF(CU354&lt;1.4,1.4,IF(CU354&lt;1.6,1.6,IF(CU354&lt;1.8,1.8,IF(CU354&lt;2,2,2.2))))))))</f>
        <v>2.2000000000000002</v>
      </c>
      <c r="FP354" s="23">
        <f>IF(CV354&lt;0.6,0.6,IF(CV354&lt;0.8,0.8,IF(CV354&lt;1,1,IF(CV354&lt;1.2,1.2,IF(CV354&lt;1.4,1.4,IF(CV354&lt;1.6,1.6,IF(CV354&lt;1.8,1.8,IF(CV354&lt;2,2,2.2))))))))</f>
        <v>1.2</v>
      </c>
      <c r="FQ354" s="23">
        <f>IF(DA354&lt;0.6,0.6,IF(DA354&lt;0.8,0.8,IF(DA354&lt;1,1,IF(DA354&lt;1.2,1.2,IF(DA354&lt;1.4,1.4,IF(DA354&lt;1.6,1.6,IF(DA354&lt;1.8,1.8,IF(DA354&lt;2,2,2.2))))))))</f>
        <v>1.6</v>
      </c>
      <c r="FR354" s="23">
        <f>IF(CX354&lt;0.6,0.6,IF(CX354&lt;0.8,0.8,IF(CX354&lt;1,1,IF(CX354&lt;1.2,1.2,IF(CX354&lt;1.4,1.4,IF(CX354&lt;1.6,1.6,IF(CX354&lt;1.8,1.8,IF(CX354&lt;2,2,2.2))))))))</f>
        <v>2.2000000000000002</v>
      </c>
      <c r="FS354" s="23">
        <f>IF(CY354&lt;0.6,0.6,IF(CY354&lt;0.8,0.8,IF(CY354&lt;1,1,IF(CY354&lt;1.2,1.2,IF(CY354&lt;1.4,1.4,IF(CY354&lt;1.6,1.6,IF(CY354&lt;1.8,1.8,IF(CY354&lt;2,2,2.2))))))))</f>
        <v>1.2</v>
      </c>
      <c r="FT354" s="23">
        <f>IF(CZ354&lt;0.6,0.6,IF(CZ354&lt;0.8,0.8,IF(CZ354&lt;1,1,IF(CZ354&lt;1.2,1.2,IF(CZ354&lt;1.4,1.4,IF(CZ354&lt;1.6,1.6,IF(CZ354&lt;1.8,1.8,IF(CZ354&lt;2,2,2.2))))))))</f>
        <v>1.4</v>
      </c>
      <c r="FU354" s="23">
        <f>IF(FS354&lt;1,1,0)</f>
        <v>0</v>
      </c>
      <c r="FV354" s="23"/>
      <c r="GF354" s="4">
        <f>IF(S354&gt;=2.5*25.4,1,1.25)</f>
        <v>1</v>
      </c>
      <c r="GG354" s="4">
        <f>IF(AO354&gt;1, 0.05*(18-MIN(8,(W354+N354)/N354))*(1-48000/MAX(60000,(J354*145))*(N354/25.4)^0.75*GH354), 1/12*(14-MIN(8,(W354+N354)/N354)))</f>
        <v>0.44</v>
      </c>
      <c r="GH354" s="4">
        <f>MIN(0.3, AM354^2*PI()/4*2*AP354/(N354^2*PI()/4*X354))</f>
        <v>0.3</v>
      </c>
      <c r="GI354" s="4">
        <f>(K354/25.4)/(N354/25.4)^1.5/0.0024*(M354*145)^0.25/GF354/GG354/145</f>
        <v>543.98704241599773</v>
      </c>
    </row>
    <row r="355" spans="1:191" ht="12" customHeight="1" x14ac:dyDescent="0.3">
      <c r="A355" s="25">
        <v>335</v>
      </c>
      <c r="B355" s="4" t="s">
        <v>605</v>
      </c>
      <c r="C355" s="4">
        <v>2016</v>
      </c>
      <c r="D355" s="4" t="s">
        <v>309</v>
      </c>
      <c r="E355" s="24" t="s">
        <v>671</v>
      </c>
      <c r="F355" s="24"/>
      <c r="G355" s="24">
        <v>54</v>
      </c>
      <c r="H355" s="7" t="s">
        <v>498</v>
      </c>
      <c r="I355" s="5">
        <f>K355/N355</f>
        <v>9.5</v>
      </c>
      <c r="J355" s="91">
        <f>120/0.145</f>
        <v>827.58620689655174</v>
      </c>
      <c r="K355" s="38">
        <f>9.5*25.4</f>
        <v>241.29999999999998</v>
      </c>
      <c r="L355" s="4">
        <f>K355</f>
        <v>241.29999999999998</v>
      </c>
      <c r="M355" s="38">
        <f>6790/145</f>
        <v>46.827586206896555</v>
      </c>
      <c r="N355" s="96">
        <f>1*25.4</f>
        <v>25.4</v>
      </c>
      <c r="O355" s="7">
        <f>K355/N355</f>
        <v>9.5</v>
      </c>
      <c r="P355" s="7">
        <f>L355/N355</f>
        <v>9.5</v>
      </c>
      <c r="Q355" s="38">
        <f>15.1*25.4</f>
        <v>383.53999999999996</v>
      </c>
      <c r="R355" s="32">
        <f>S355/N355</f>
        <v>2.5</v>
      </c>
      <c r="S355" s="38">
        <f>2.5*25.4</f>
        <v>63.5</v>
      </c>
      <c r="T355" s="32">
        <f>U355/N355</f>
        <v>2.9999999999999996</v>
      </c>
      <c r="U355" s="39">
        <f>3*25.4</f>
        <v>76.199999999999989</v>
      </c>
      <c r="V355" s="32">
        <f>W355/N355</f>
        <v>8.0999999999999979</v>
      </c>
      <c r="W355" s="7">
        <f>(Q355-X355*N355-2*S355)/(X355-1)</f>
        <v>205.73999999999995</v>
      </c>
      <c r="X355" s="38">
        <v>2</v>
      </c>
      <c r="Y355" s="7">
        <f>AN355</f>
        <v>10</v>
      </c>
      <c r="Z355" s="32">
        <f>AA355/N355</f>
        <v>10.25</v>
      </c>
      <c r="AA355" s="4">
        <f>10.25*25.4</f>
        <v>260.34999999999997</v>
      </c>
      <c r="AB355" s="7">
        <f>MIN(S355/N355+0.5, W355/2/N355+0.5)</f>
        <v>3</v>
      </c>
      <c r="AC355" s="7">
        <f>S355/N355+0.5</f>
        <v>3</v>
      </c>
      <c r="AD355" s="38">
        <v>4</v>
      </c>
      <c r="AE355" s="4">
        <f>AD355</f>
        <v>4</v>
      </c>
      <c r="AF355" s="4">
        <f>AE355+1</f>
        <v>5</v>
      </c>
      <c r="AG355" s="7">
        <f>N355*AF355^0.5</f>
        <v>56.796126628494655</v>
      </c>
      <c r="AJ355" s="38">
        <f>AK355/0.145</f>
        <v>669.65517241379314</v>
      </c>
      <c r="AK355" s="4">
        <v>97.1</v>
      </c>
      <c r="AL355" s="4">
        <f>CY355</f>
        <v>1.0276805768179793</v>
      </c>
      <c r="AM355" s="38">
        <f>0.5*25.4</f>
        <v>12.7</v>
      </c>
      <c r="AN355" s="38">
        <v>10</v>
      </c>
      <c r="AO355" s="39">
        <f>3*25.4</f>
        <v>76.199999999999989</v>
      </c>
      <c r="AP355" s="39">
        <v>3</v>
      </c>
      <c r="AQ355" s="39">
        <f>AP355-1</f>
        <v>2</v>
      </c>
      <c r="AR355" s="7"/>
      <c r="AS355" s="4">
        <f>K355</f>
        <v>241.29999999999998</v>
      </c>
      <c r="AT355" s="4">
        <f>IF(K355*3&gt;W355+N355, Q355, (S355+N355/2)*2+1.5*K355*(2*X355-2))*(3*K355)/(9*K355^2)</f>
        <v>0.52982456140350875</v>
      </c>
      <c r="AU355" s="4">
        <f>MIN(10*M355^0.5*K355^1.5,100*3.9*M355^0.5*K355^(5/3))/(PI()/4*N355^2)/X355</f>
        <v>253.10432048351177</v>
      </c>
      <c r="AV355" s="4">
        <f>MIN(0.7+0.3*(MIN(S355,AA355)+0.5*N355)/1.5/K355,1)</f>
        <v>0.76315789473684204</v>
      </c>
      <c r="AW355" s="4">
        <v>1.25</v>
      </c>
      <c r="AX355" s="4">
        <f>AX354</f>
        <v>2.5</v>
      </c>
      <c r="AY355" s="38">
        <f>AT355*AV355*AW355*AX355*AU355</f>
        <v>319.81296727761367</v>
      </c>
      <c r="AZ355" s="38">
        <f>AY355</f>
        <v>319.81296727761367</v>
      </c>
      <c r="BA355" s="38">
        <f>IF(M355&lt;50, 0.3*M355^(2/3), 2.12*LN(1+0.1*(M355+8)))</f>
        <v>3.8975267336121062</v>
      </c>
      <c r="BB355" s="38">
        <f>AX355* (M355^0.5/AS355^0.5)/(PI()/4*N355^2)/X355/0.72 *(0.7+(MIN(S355,AA355)+0.5*N355)/5/K355) *(3*Q355*K355)</f>
        <v>319.81296727761384</v>
      </c>
      <c r="BC355" s="38">
        <f>AY355/BB355</f>
        <v>0.99999999999999944</v>
      </c>
      <c r="BD355" s="38">
        <f>BH355/BB355</f>
        <v>1.757061445213302</v>
      </c>
      <c r="BE355" s="4">
        <f>IF(BD355&lt;1,1,0)</f>
        <v>0</v>
      </c>
      <c r="BF355" s="4">
        <f>L355/N355*M355^0.5/0.19</f>
        <v>342.15342394493348</v>
      </c>
      <c r="BG355" s="4">
        <f>MIN(0.6+0.4*(AC355/AB355),2)</f>
        <v>1</v>
      </c>
      <c r="BH355" s="38">
        <f>2*M355*AB355*AD355^0.5*BG355*0.7/0.7</f>
        <v>561.93103448275861</v>
      </c>
      <c r="BI355" s="4">
        <f>MAX(1-0.7*AE355/5,0.3)</f>
        <v>0.44000000000000006</v>
      </c>
      <c r="BJ355" s="4">
        <f>BI355*J355*L355/(J355*N355/2.75/M355^0.5)</f>
        <v>78.661072164940208</v>
      </c>
      <c r="BK355" s="4">
        <f>BH355+BJ355</f>
        <v>640.59210664769876</v>
      </c>
      <c r="BM355" s="4">
        <f>MIN(1.5, 0.75+0.25*MIN(3,MAX(1,S355/N355))+0.4*MIN(1,(40*2*PI()*AM355^2/4/AO355/X355)/N355))</f>
        <v>1.5</v>
      </c>
      <c r="BN355" s="4">
        <f>(3*P355+30)*BM355*M355^0.5</f>
        <v>600.47925902335828</v>
      </c>
      <c r="BP355" s="4">
        <f>3.4/PI()^0.5*M355*AB355*AE355^0.5*BG355</f>
        <v>538.96058175655878</v>
      </c>
      <c r="BQ355" s="4">
        <f>8/3*AH355*AI355^2/(AG355-N355-22)/N355*(AG355^2-N355^2)/(AG355^2-(N355+22)^2)</f>
        <v>0</v>
      </c>
      <c r="BR355" s="4">
        <f>BQ355/BP355</f>
        <v>0</v>
      </c>
      <c r="BZ355" s="4">
        <f>IF(W355=0,S355,MIN(W355/2,S355))</f>
        <v>63.5</v>
      </c>
      <c r="CD355" s="9"/>
      <c r="CF355" s="9"/>
      <c r="CG355" s="9"/>
      <c r="CH355" s="9">
        <f>IF(W355=0,MIN(S355,U355),MIN(W355/2,S355,U355))</f>
        <v>63.5</v>
      </c>
      <c r="CI355" s="9">
        <f>MAX(W355/2,S355)</f>
        <v>102.86999999999998</v>
      </c>
      <c r="CJ355" s="9">
        <f>(CH355/N355)^0.5*(CI355/CH355)^0.15</f>
        <v>1.699797775373473</v>
      </c>
      <c r="CK355" s="70">
        <f>IF(AO355&gt;1,20,0)</f>
        <v>20</v>
      </c>
      <c r="CL355" s="9">
        <f>MIN(PI()*AM355^2/4*AN355*2/X355/N355/MAX(0.01,AO355),0.05)</f>
        <v>0.05</v>
      </c>
      <c r="CM355" s="9">
        <f>MAX(0,CK355*(CL355-0.5/50))</f>
        <v>0.8</v>
      </c>
      <c r="CN355" s="9">
        <f>MIN(1,(25/N355)^0.3)</f>
        <v>0.99524931562137331</v>
      </c>
      <c r="CO355" s="9">
        <f>IF(J355&gt;=800,0.68,IF(J355&gt;=700,0.75-(J355-700)*0.07/100,IF(J355&gt;=600,0.85-(J355-600)*0.1/100,IF(J355&gt;=500,1-(J355-500)*0.15/100,1.2-(J355-400)*0.2/100))))</f>
        <v>0.68</v>
      </c>
      <c r="CP355" s="9">
        <f>1.75*CN355*CO355*(M355/25)^0.5</f>
        <v>1.6209130944490342</v>
      </c>
      <c r="CQ355" s="9">
        <f>MIN((CJ355+CM355)*CP355,2.5*CP355,M355^0.5)</f>
        <v>4.0519549475774275</v>
      </c>
      <c r="CR355" s="40">
        <v>1</v>
      </c>
      <c r="CS355" s="9">
        <f>4*CQ355*P355+60*CQ355</f>
        <v>397.09158486258787</v>
      </c>
      <c r="CU355" s="4">
        <f>AJ355/BF355</f>
        <v>1.9571780539059229</v>
      </c>
      <c r="CV355" s="4">
        <f>AJ355/BK355</f>
        <v>1.0453690663130164</v>
      </c>
      <c r="CW355" s="4">
        <f>AJ355/BN355</f>
        <v>1.1152011703167652</v>
      </c>
      <c r="CX355" s="4">
        <f>AJ355/CS355</f>
        <v>1.6863998078567315</v>
      </c>
      <c r="CY355" s="4">
        <f>AJ355/DZ355</f>
        <v>1.0276805768179793</v>
      </c>
      <c r="CZ355" s="4">
        <f>AJ355/EL355</f>
        <v>1.0879820523592281</v>
      </c>
      <c r="DA355" s="4">
        <f>AJ355/GI355</f>
        <v>1.1890280478040305</v>
      </c>
      <c r="DB355" s="4">
        <f>AN355</f>
        <v>10</v>
      </c>
      <c r="DI355" s="4">
        <f>CU355</f>
        <v>1.9571780539059229</v>
      </c>
      <c r="DJ355" s="4">
        <f>CV355</f>
        <v>1.0453690663130164</v>
      </c>
      <c r="DK355" s="4">
        <f>CX355</f>
        <v>1.6863998078567315</v>
      </c>
      <c r="DL355" s="4">
        <f>DA355</f>
        <v>1.1890280478040305</v>
      </c>
      <c r="DM355" s="4">
        <f>CY355</f>
        <v>1.0276805768179793</v>
      </c>
      <c r="DN355" s="4">
        <f>CZ355</f>
        <v>1.0879820523592281</v>
      </c>
      <c r="DQ355" s="4">
        <f>L355</f>
        <v>241.29999999999998</v>
      </c>
      <c r="DT355" s="4">
        <f>K355/4/(1-0.3*(M355/30)^0.5)/200000/N355</f>
        <v>1.8994234773964424E-5</v>
      </c>
      <c r="DU355" s="4">
        <f>EP355</f>
        <v>10.498887866793746</v>
      </c>
      <c r="DV355" s="4">
        <f>EC355*AG355/257/M355/AD355</f>
        <v>0.37732875353223522</v>
      </c>
      <c r="DW355" s="4">
        <f>DU355*DV355^0.4</f>
        <v>7.1093722985602961</v>
      </c>
      <c r="DX355" s="4">
        <f>MIN(DU355, DU355/1.4*(1-DV355^1.4)/(1-DV355))</f>
        <v>8.9663426766085994</v>
      </c>
      <c r="DY355" s="4">
        <f>MAX(DU355/2, (4-DT355*(8*AG355*(DW355-DX355)+6*K355*DX355))/(4+DT355*K355*DU355)*DU355)</f>
        <v>9.776160469501713</v>
      </c>
      <c r="DZ355" s="38">
        <f>MIN(1/N355*(4*AG355*(DW355-DX355)+(3*DX355+DY355)*K355)+EC355 -FJ355,MAX(J355,AJ355))</f>
        <v>651.61801003114715</v>
      </c>
      <c r="EA355" s="4">
        <f>DZ355/FF355</f>
        <v>1.0001186705256411</v>
      </c>
      <c r="EB355" s="4">
        <f>AG355/N355</f>
        <v>2.2360679774997898</v>
      </c>
      <c r="EC355" s="4">
        <f>MIN(EB$10*BB355)</f>
        <v>319.81296727761384</v>
      </c>
      <c r="EG355" s="4">
        <f>IF(U355&gt;1*N355,0.85,1)</f>
        <v>0.85</v>
      </c>
      <c r="EH355" s="4">
        <f>MIN(1,MAX(0.7,(1-0.1*(BZ355-1*N355)/N355)))</f>
        <v>0.85</v>
      </c>
      <c r="EI355" s="4">
        <f>MIN(1,MAX(0.7,1-0.3*(PI()*AM355^2/4*AQ355*2-0.25*PI()/4*N355^2)/(PI()/4*N355^2)))</f>
        <v>0.77500000000000002</v>
      </c>
      <c r="EJ355" s="4">
        <f>IF(EH355*EI355&lt;0.7,0.7,EH355*EI355)</f>
        <v>0.7</v>
      </c>
      <c r="EL355" s="4">
        <f>MIN(DU355/N355*3*K355+EM355-FJ355,MAX(J355,AJ355))</f>
        <v>615.50203972729469</v>
      </c>
      <c r="EM355" s="25">
        <f>13.3*Q355*K355^0.5*M355^0.5/X355/N355^2*(0.7+S355/5/K355)</f>
        <v>316.28373552367282</v>
      </c>
      <c r="EO355" s="4">
        <f>EG355*EJ355</f>
        <v>0.59499999999999997</v>
      </c>
      <c r="EP355" s="4">
        <f>IF(N355&lt;22.2,1.1*5*(M355/30)^0.5,IF(N355&gt;=31.8,0.9*5*(M355/30)^0.5,1*5*(M355/30)^0.5))/EG355/EJ355</f>
        <v>10.498887866793746</v>
      </c>
      <c r="ES355" s="4">
        <f>ET355*N355</f>
        <v>56.796126628494655</v>
      </c>
      <c r="ET355" s="4">
        <f>AF355^0.5</f>
        <v>2.2360679774997898</v>
      </c>
      <c r="EU355" s="4">
        <f>MIN(EC355)/(4700*M355^0.5)/AE355*ES355</f>
        <v>0.14119068731191298</v>
      </c>
      <c r="EX355" s="4">
        <f>EU355</f>
        <v>0.14119068731191298</v>
      </c>
      <c r="EY355" s="4">
        <f>MIN(0.999, EX355/(0.3*(M355/30)^0.5))</f>
        <v>0.37669906216710974</v>
      </c>
      <c r="EZ355" s="4">
        <f>EP355/1*EY355^0.4</f>
        <v>7.1046242335994894</v>
      </c>
      <c r="FA355" s="4">
        <f>EP355/1.4*(1-EY355^1.4)/(1-EY355)</f>
        <v>8.9644642695673813</v>
      </c>
      <c r="FB355" s="4">
        <f>MAX(0,DQ355*FB$9-ES355)</f>
        <v>124.17887337150535</v>
      </c>
      <c r="FC355" s="4">
        <f>MAX(0,DQ355-ES355-FB355)</f>
        <v>60.324999999999989</v>
      </c>
      <c r="FD355" s="4">
        <f>FC355/(1-0.3*(M355/30)^0.5)/200000/N355</f>
        <v>1.8994234773964424E-5</v>
      </c>
      <c r="FE355" s="4">
        <f>MAX(0.5*EP355, (1-2*FD355*(ES355*EZ355+FB355*FA355))/(1/EP355+FD355*FC355))</f>
        <v>9.7763586721413507</v>
      </c>
      <c r="FF355" s="4">
        <f>MIN(4/N355*(1*EZ355*ES355+FA355*FB355+FC355*FE355)+EC355,MAX(J355,AJ355))</f>
        <v>651.54069135482757</v>
      </c>
      <c r="FO355" s="23">
        <f>IF(CU355&lt;0.6,0.6,IF(CU355&lt;0.8,0.8,IF(CU355&lt;1,1,IF(CU355&lt;1.2,1.2,IF(CU355&lt;1.4,1.4,IF(CU355&lt;1.6,1.6,IF(CU355&lt;1.8,1.8,IF(CU355&lt;2,2,2.2))))))))</f>
        <v>2</v>
      </c>
      <c r="FP355" s="23">
        <f>IF(CV355&lt;0.6,0.6,IF(CV355&lt;0.8,0.8,IF(CV355&lt;1,1,IF(CV355&lt;1.2,1.2,IF(CV355&lt;1.4,1.4,IF(CV355&lt;1.6,1.6,IF(CV355&lt;1.8,1.8,IF(CV355&lt;2,2,2.2))))))))</f>
        <v>1.2</v>
      </c>
      <c r="FQ355" s="23">
        <f>IF(DA355&lt;0.6,0.6,IF(DA355&lt;0.8,0.8,IF(DA355&lt;1,1,IF(DA355&lt;1.2,1.2,IF(DA355&lt;1.4,1.4,IF(DA355&lt;1.6,1.6,IF(DA355&lt;1.8,1.8,IF(DA355&lt;2,2,2.2))))))))</f>
        <v>1.2</v>
      </c>
      <c r="FR355" s="23">
        <f>IF(CX355&lt;0.6,0.6,IF(CX355&lt;0.8,0.8,IF(CX355&lt;1,1,IF(CX355&lt;1.2,1.2,IF(CX355&lt;1.4,1.4,IF(CX355&lt;1.6,1.6,IF(CX355&lt;1.8,1.8,IF(CX355&lt;2,2,2.2))))))))</f>
        <v>1.8</v>
      </c>
      <c r="FS355" s="23">
        <f>IF(CY355&lt;0.6,0.6,IF(CY355&lt;0.8,0.8,IF(CY355&lt;1,1,IF(CY355&lt;1.2,1.2,IF(CY355&lt;1.4,1.4,IF(CY355&lt;1.6,1.6,IF(CY355&lt;1.8,1.8,IF(CY355&lt;2,2,2.2))))))))</f>
        <v>1.2</v>
      </c>
      <c r="FT355" s="23">
        <f>IF(CZ355&lt;0.6,0.6,IF(CZ355&lt;0.8,0.8,IF(CZ355&lt;1,1,IF(CZ355&lt;1.2,1.2,IF(CZ355&lt;1.4,1.4,IF(CZ355&lt;1.6,1.6,IF(CZ355&lt;1.8,1.8,IF(CZ355&lt;2,2,2.2))))))))</f>
        <v>1.2</v>
      </c>
      <c r="FU355" s="23">
        <f>IF(FS355&lt;1,1,0)</f>
        <v>0</v>
      </c>
      <c r="FV355" s="23"/>
      <c r="GF355" s="4">
        <f>IF(S355&gt;=2.5*25.4,1,1.25)</f>
        <v>1</v>
      </c>
      <c r="GG355" s="4">
        <f>IF(AO355&gt;1, 0.05*(18-MIN(8,(W355+N355)/N355))*(1-48000/MAX(60000,(J355*145))*(N355/25.4)^0.75*GH355), 1/12*(14-MIN(8,(W355+N355)/N355)))</f>
        <v>0.44</v>
      </c>
      <c r="GH355" s="4">
        <f>MIN(0.3, AM355^2*PI()/4*2*AP355/(N355^2*PI()/4*X355))</f>
        <v>0.3</v>
      </c>
      <c r="GI355" s="4">
        <f>(K355/25.4)/(N355/25.4)^1.5/0.0024*(M355*145)^0.25/GF355/GG355/145</f>
        <v>563.19543819891646</v>
      </c>
    </row>
    <row r="356" spans="1:191" ht="12" customHeight="1" x14ac:dyDescent="0.3">
      <c r="A356" s="25">
        <v>293</v>
      </c>
      <c r="B356" s="4" t="s">
        <v>605</v>
      </c>
      <c r="C356" s="4">
        <v>2016</v>
      </c>
      <c r="D356" s="4" t="s">
        <v>309</v>
      </c>
      <c r="E356" s="24" t="s">
        <v>452</v>
      </c>
      <c r="F356" s="24"/>
      <c r="G356" s="24"/>
      <c r="H356" s="7" t="s">
        <v>453</v>
      </c>
      <c r="I356" s="5">
        <f>K356/N356</f>
        <v>9.5</v>
      </c>
      <c r="J356" s="91">
        <f>120/0.145</f>
        <v>827.58620689655174</v>
      </c>
      <c r="K356" s="38">
        <f>9.5*25.4</f>
        <v>241.29999999999998</v>
      </c>
      <c r="L356" s="4">
        <f>K356</f>
        <v>241.29999999999998</v>
      </c>
      <c r="M356" s="38">
        <f>16030/145</f>
        <v>110.55172413793103</v>
      </c>
      <c r="N356" s="96">
        <f>1*25.4</f>
        <v>25.4</v>
      </c>
      <c r="O356" s="7">
        <f>K356/N356</f>
        <v>9.5</v>
      </c>
      <c r="P356" s="7">
        <f>L356/N356</f>
        <v>9.5</v>
      </c>
      <c r="Q356" s="38">
        <f>17*25.4</f>
        <v>431.79999999999995</v>
      </c>
      <c r="R356" s="32">
        <f>S356/N356</f>
        <v>2.5</v>
      </c>
      <c r="S356" s="38">
        <f>2.5*25.4</f>
        <v>63.5</v>
      </c>
      <c r="T356" s="32">
        <f>U356/N356</f>
        <v>4.5</v>
      </c>
      <c r="U356" s="39">
        <f>4.5*25.4</f>
        <v>114.3</v>
      </c>
      <c r="V356" s="32">
        <f>W356/N356</f>
        <v>9.9999999999999982</v>
      </c>
      <c r="W356" s="7">
        <f>(Q356-X356*N356-2*S356)/(X356-1)</f>
        <v>253.99999999999994</v>
      </c>
      <c r="X356" s="38">
        <v>2</v>
      </c>
      <c r="Y356" s="7">
        <f>AN356</f>
        <v>0</v>
      </c>
      <c r="Z356" s="32">
        <f>AA356/N356</f>
        <v>10.25</v>
      </c>
      <c r="AA356" s="4">
        <f>10.25*25.4</f>
        <v>260.34999999999997</v>
      </c>
      <c r="AB356" s="7">
        <f>MIN(S356/N356+0.5, W356/2/N356+0.5)</f>
        <v>3</v>
      </c>
      <c r="AC356" s="7">
        <f>S356/N356+0.5</f>
        <v>3</v>
      </c>
      <c r="AD356" s="38">
        <v>4</v>
      </c>
      <c r="AE356" s="4">
        <f>AD356</f>
        <v>4</v>
      </c>
      <c r="AF356" s="4">
        <f>AE356+1</f>
        <v>5</v>
      </c>
      <c r="AG356" s="7">
        <f>N356*AF356^0.5</f>
        <v>56.796126628494655</v>
      </c>
      <c r="AJ356" s="38">
        <f>AK356/0.145</f>
        <v>726.89655172413802</v>
      </c>
      <c r="AK356" s="4">
        <v>105.4</v>
      </c>
      <c r="AL356" s="4">
        <f>CY356</f>
        <v>0.87833333333333341</v>
      </c>
      <c r="AM356" s="38">
        <v>0</v>
      </c>
      <c r="AN356" s="38">
        <v>0</v>
      </c>
      <c r="AO356" s="39">
        <f>L356</f>
        <v>241.29999999999998</v>
      </c>
      <c r="AP356" s="39"/>
      <c r="AQ356" s="39"/>
      <c r="AR356" s="7"/>
      <c r="AS356" s="4">
        <f>K356</f>
        <v>241.29999999999998</v>
      </c>
      <c r="AT356" s="4">
        <f>IF(K356*3&gt;W356+N356, Q356, (S356+N356/2)*2+1.5*K356*(2*X356-2))*(3*K356)/(9*K356^2)</f>
        <v>0.59649122807017541</v>
      </c>
      <c r="AU356" s="4">
        <f>MIN(10*M356^0.5*K356^1.5,100*3.9*M356^0.5*K356^(5/3))/(PI()/4*N356^2)/X356</f>
        <v>388.89417005620368</v>
      </c>
      <c r="AV356" s="4">
        <f>MIN(0.7+0.3*(MIN(S356,AA356)+0.5*N356)/1.5/K356,1)</f>
        <v>0.76315789473684204</v>
      </c>
      <c r="AW356" s="4">
        <v>1.25</v>
      </c>
      <c r="AX356" s="4">
        <f>AX355</f>
        <v>2.5</v>
      </c>
      <c r="AY356" s="38">
        <f>AT356*AV356*AW356*AX356*AU356</f>
        <v>553.22260456402466</v>
      </c>
      <c r="AZ356" s="38">
        <f>AY356</f>
        <v>553.22260456402466</v>
      </c>
      <c r="BA356" s="38">
        <f>IF(M356&lt;50, 0.3*M356^(2/3), 2.12*LN(1+0.1*(M356+8)))</f>
        <v>5.4139420559889198</v>
      </c>
      <c r="BB356" s="38">
        <f>AX356* (M356^0.5/AS356^0.5)/(PI()/4*N356^2)/X356/0.72 *(0.7+(MIN(S356,AA356)+0.5*N356)/5/K356) *(3*Q356*K356)</f>
        <v>553.22260456402478</v>
      </c>
      <c r="BC356" s="38">
        <f>AY356/BB356</f>
        <v>0.99999999999999978</v>
      </c>
      <c r="BD356" s="38">
        <f>BH356/BB356</f>
        <v>2.3979871370235051</v>
      </c>
      <c r="BE356" s="4">
        <f>IF(BD356&lt;1,1,0)</f>
        <v>0</v>
      </c>
      <c r="BF356" s="4">
        <f>L356/N356*M356^0.5/0.19</f>
        <v>525.71789996615826</v>
      </c>
      <c r="BG356" s="4">
        <f>MIN(0.6+0.4*(AC356/AB356),2)</f>
        <v>1</v>
      </c>
      <c r="BH356" s="38">
        <f>2*M356*AB356*AD356^0.5*BG356*0.7/0.7</f>
        <v>1326.6206896551723</v>
      </c>
      <c r="BI356" s="4">
        <f>MAX(1-0.7*AE356/5,0.3)</f>
        <v>0.44000000000000006</v>
      </c>
      <c r="BJ356" s="4">
        <f>BI356*J356*L356/(J356*N356/2.75/M356^0.5)</f>
        <v>120.86254520221979</v>
      </c>
      <c r="BK356" s="4">
        <f>BH356+BJ356</f>
        <v>1447.4832348573921</v>
      </c>
      <c r="BM356" s="4">
        <f>MIN(1.5, 0.75+0.25*MIN(3,MAX(1,S356/N356))+0.4*MIN(1,(40*2*PI()*AM356^2/4/AO356/X356)/N356))</f>
        <v>1.375</v>
      </c>
      <c r="BN356" s="4">
        <f>(3*P356+30)*BM356*M356^0.5</f>
        <v>845.74867157055712</v>
      </c>
      <c r="BP356" s="4">
        <f>3.4/PI()^0.5*M356*AB356*AE356^0.5*BG356</f>
        <v>1272.3914765180612</v>
      </c>
      <c r="BQ356" s="4">
        <f>8/3*AH356*AI356^2/(AG356-N356-22)/N356*(AG356^2-N356^2)/(AG356^2-(N356+22)^2)</f>
        <v>0</v>
      </c>
      <c r="BR356" s="4">
        <f>BQ356/BP356</f>
        <v>0</v>
      </c>
      <c r="BZ356" s="4">
        <f>IF(W356=0,S356,MIN(W356/2,S356))</f>
        <v>63.5</v>
      </c>
      <c r="CD356" s="9"/>
      <c r="CF356" s="9"/>
      <c r="CG356" s="9"/>
      <c r="CH356" s="9">
        <f>IF(W356=0,MIN(S356,U356),MIN(W356/2,S356,U356))</f>
        <v>63.5</v>
      </c>
      <c r="CI356" s="9">
        <f>MAX(W356/2,S356)</f>
        <v>126.99999999999997</v>
      </c>
      <c r="CJ356" s="9">
        <f>(CH356/N356)^0.5*(CI356/CH356)^0.15</f>
        <v>1.7543833769624846</v>
      </c>
      <c r="CK356" s="70">
        <f>IF(AO356&gt;1,20,0)</f>
        <v>20</v>
      </c>
      <c r="CL356" s="9">
        <f>MIN(PI()*AM356^2/4*AN356*2/X356/N356/MAX(0.01,AO356),0.05)</f>
        <v>0</v>
      </c>
      <c r="CM356" s="9">
        <f>MAX(0,CK356*(CL356-0.5/50))</f>
        <v>0</v>
      </c>
      <c r="CN356" s="9">
        <f>MIN(1,(25/N356)^0.3)</f>
        <v>0.99524931562137331</v>
      </c>
      <c r="CO356" s="9">
        <f>IF(J356&gt;=800,0.68,IF(J356&gt;=700,0.75-(J356-700)*0.07/100,IF(J356&gt;=600,0.85-(J356-600)*0.1/100,IF(J356&gt;=500,1-(J356-500)*0.15/100,1.2-(J356-400)*0.2/100))))</f>
        <v>0.68</v>
      </c>
      <c r="CP356" s="9">
        <f>1.75*CN356*CO356*(M356/25)^0.5</f>
        <v>2.4905290095198289</v>
      </c>
      <c r="CQ356" s="9">
        <f>MIN((CJ356+CM356)*CP356,2.5*CP356,M356^0.5)</f>
        <v>4.3693426941444296</v>
      </c>
      <c r="CR356" s="40">
        <v>1</v>
      </c>
      <c r="CS356" s="9">
        <f>4*CQ356*P356+60*CQ356</f>
        <v>428.19558402615405</v>
      </c>
      <c r="CU356" s="4">
        <f>AJ356/BF356</f>
        <v>1.3826741523751238</v>
      </c>
      <c r="CV356" s="4">
        <f>AJ356/BK356</f>
        <v>0.50217959988721583</v>
      </c>
      <c r="CW356" s="4">
        <f>AJ356/BN356</f>
        <v>0.85947111258748954</v>
      </c>
      <c r="CX356" s="4">
        <f>AJ356/CS356</f>
        <v>1.6975806823821411</v>
      </c>
      <c r="CY356" s="4">
        <f>AJ356/DZ356</f>
        <v>0.87833333333333341</v>
      </c>
      <c r="CZ356" s="4">
        <f>AJ356/EL356</f>
        <v>0.87833333333333341</v>
      </c>
      <c r="DA356" s="4">
        <f>AJ356/GI356</f>
        <v>1.1832182811484149</v>
      </c>
      <c r="DB356" s="4">
        <f>AN356</f>
        <v>0</v>
      </c>
      <c r="DC356" s="4">
        <f>CU356</f>
        <v>1.3826741523751238</v>
      </c>
      <c r="DD356" s="4">
        <f>CV356</f>
        <v>0.50217959988721583</v>
      </c>
      <c r="DE356" s="4">
        <f>CX356</f>
        <v>1.6975806823821411</v>
      </c>
      <c r="DF356" s="4">
        <f>DA356</f>
        <v>1.1832182811484149</v>
      </c>
      <c r="DG356" s="4">
        <f>CY356</f>
        <v>0.87833333333333341</v>
      </c>
      <c r="DH356" s="4">
        <f>CZ356</f>
        <v>0.87833333333333341</v>
      </c>
      <c r="DQ356" s="4">
        <f>L356</f>
        <v>241.29999999999998</v>
      </c>
      <c r="DT356" s="4">
        <f>K356/4/(1-0.3*(M356/30)^0.5)/200000/N356</f>
        <v>2.8000148432523461E-5</v>
      </c>
      <c r="DU356" s="4">
        <f>EP356</f>
        <v>13.284777517679784</v>
      </c>
      <c r="DV356" s="4">
        <f>EC356*AG356/257/M356/AD356</f>
        <v>0.27647763191291236</v>
      </c>
      <c r="DW356" s="4">
        <f>DU356*DV356^0.4</f>
        <v>7.9436168068407298</v>
      </c>
      <c r="DX356" s="4">
        <f>MIN(DU356, DU356/1.4*(1-DV356^1.4)/(1-DV356))</f>
        <v>10.946986223421044</v>
      </c>
      <c r="DY356" s="4">
        <f>MAX(DU356/2, (4-DT356*(8*AG356*(DW356-DX356)+6*K356*DX356))/(4+DT356*K356*DU356)*DU356)</f>
        <v>11.675816604746906</v>
      </c>
      <c r="DZ356" s="38">
        <f>MIN(1/N356*(4*AG356*(DW356-DX356)+(3*DX356+DY356)*K356)+EC356 -FJ356,MAX(J356,AJ356))</f>
        <v>827.58620689655174</v>
      </c>
      <c r="EA356" s="4">
        <f>DZ356/FF356</f>
        <v>1</v>
      </c>
      <c r="EB356" s="4">
        <f>AG356/N356</f>
        <v>2.2360679774997898</v>
      </c>
      <c r="EC356" s="4">
        <f>MIN(EB$10*BB356)</f>
        <v>553.22260456402478</v>
      </c>
      <c r="EG356" s="4">
        <f>IF(U356&gt;1*N356,0.85,1)</f>
        <v>0.85</v>
      </c>
      <c r="EH356" s="4">
        <f>MIN(1,MAX(0.7,(1-0.1*(BZ356-1*N356)/N356)))</f>
        <v>0.85</v>
      </c>
      <c r="EI356" s="4">
        <f>MIN(1,MAX(0.7,1-0.3*(PI()*AM356^2/4*AQ356*2-0.25*PI()/4*N356^2)/(PI()/4*N356^2)))</f>
        <v>1</v>
      </c>
      <c r="EJ356" s="4">
        <f>IF(EH356*EI356&lt;0.7,0.7,EH356*EI356)</f>
        <v>0.85</v>
      </c>
      <c r="EL356" s="4">
        <f>MIN(DU356/N356*3*K356+EM356-FJ356,MAX(J356,AJ356))</f>
        <v>827.58620689655174</v>
      </c>
      <c r="EM356" s="25">
        <f>13.3*Q356*K356^0.5*M356^0.5/X356/N356^2*(0.7+S356/5/K356)</f>
        <v>547.11762764690559</v>
      </c>
      <c r="EO356" s="4">
        <f>EG356*EJ356</f>
        <v>0.72249999999999992</v>
      </c>
      <c r="EP356" s="4">
        <f>IF(N356&lt;22.2,1.1*5*(M356/30)^0.5,IF(N356&gt;=31.8,0.9*5*(M356/30)^0.5,1*5*(M356/30)^0.5))/EG356/EJ356</f>
        <v>13.284777517679784</v>
      </c>
      <c r="ES356" s="4">
        <f>ET356*N356</f>
        <v>56.796126628494655</v>
      </c>
      <c r="ET356" s="4">
        <f>AF356^0.5</f>
        <v>2.2360679774997898</v>
      </c>
      <c r="EU356" s="4">
        <f>MIN(EC356)/(4700*M356^0.5)/AE356*ES356</f>
        <v>0.15895640293394173</v>
      </c>
      <c r="EX356" s="4">
        <f>EU356</f>
        <v>0.15895640293394173</v>
      </c>
      <c r="EY356" s="4">
        <f>MIN(0.999, EX356/(0.3*(M356/30)^0.5))</f>
        <v>0.2760162422736756</v>
      </c>
      <c r="EZ356" s="4">
        <f>EP356/1*EY356^0.4</f>
        <v>7.9383115833922018</v>
      </c>
      <c r="FA356" s="4">
        <f>EP356/1.4*(1-EY356^1.4)/(1-EY356)</f>
        <v>10.945070507495156</v>
      </c>
      <c r="FB356" s="4">
        <f>MAX(0,DQ356*FB$9-ES356)</f>
        <v>124.17887337150535</v>
      </c>
      <c r="FC356" s="4">
        <f>MAX(0,DQ356-ES356-FB356)</f>
        <v>60.324999999999989</v>
      </c>
      <c r="FD356" s="4">
        <f>FC356/(1-0.3*(M356/30)^0.5)/200000/N356</f>
        <v>2.8000148432523457E-5</v>
      </c>
      <c r="FE356" s="4">
        <f>MAX(0.5*EP356, (1-2*FD356*(ES356*EZ356+FB356*FA356))/(1/EP356+FD356*FC356))</f>
        <v>11.676208945135416</v>
      </c>
      <c r="FF356" s="4">
        <f>MIN(4/N356*(1*EZ356*ES356+FA356*FB356+FC356*FE356)+EC356,MAX(J356,AJ356))</f>
        <v>827.58620689655174</v>
      </c>
      <c r="FO356" s="23">
        <f>IF(CU356&lt;0.6,0.6,IF(CU356&lt;0.8,0.8,IF(CU356&lt;1,1,IF(CU356&lt;1.2,1.2,IF(CU356&lt;1.4,1.4,IF(CU356&lt;1.6,1.6,IF(CU356&lt;1.8,1.8,IF(CU356&lt;2,2,2.2))))))))</f>
        <v>1.4</v>
      </c>
      <c r="FP356" s="23">
        <f>IF(CV356&lt;0.6,0.6,IF(CV356&lt;0.8,0.8,IF(CV356&lt;1,1,IF(CV356&lt;1.2,1.2,IF(CV356&lt;1.4,1.4,IF(CV356&lt;1.6,1.6,IF(CV356&lt;1.8,1.8,IF(CV356&lt;2,2,2.2))))))))</f>
        <v>0.6</v>
      </c>
      <c r="FQ356" s="23">
        <f>IF(DA356&lt;0.6,0.6,IF(DA356&lt;0.8,0.8,IF(DA356&lt;1,1,IF(DA356&lt;1.2,1.2,IF(DA356&lt;1.4,1.4,IF(DA356&lt;1.6,1.6,IF(DA356&lt;1.8,1.8,IF(DA356&lt;2,2,2.2))))))))</f>
        <v>1.2</v>
      </c>
      <c r="FR356" s="23">
        <f>IF(CX356&lt;0.6,0.6,IF(CX356&lt;0.8,0.8,IF(CX356&lt;1,1,IF(CX356&lt;1.2,1.2,IF(CX356&lt;1.4,1.4,IF(CX356&lt;1.6,1.6,IF(CX356&lt;1.8,1.8,IF(CX356&lt;2,2,2.2))))))))</f>
        <v>1.8</v>
      </c>
      <c r="FS356" s="23">
        <f>IF(CY356&lt;0.6,0.6,IF(CY356&lt;0.8,0.8,IF(CY356&lt;1,1,IF(CY356&lt;1.2,1.2,IF(CY356&lt;1.4,1.4,IF(CY356&lt;1.6,1.6,IF(CY356&lt;1.8,1.8,IF(CY356&lt;2,2,2.2))))))))</f>
        <v>1</v>
      </c>
      <c r="FT356" s="23">
        <f>IF(CZ356&lt;0.6,0.6,IF(CZ356&lt;0.8,0.8,IF(CZ356&lt;1,1,IF(CZ356&lt;1.2,1.2,IF(CZ356&lt;1.4,1.4,IF(CZ356&lt;1.6,1.6,IF(CZ356&lt;1.8,1.8,IF(CZ356&lt;2,2,2.2))))))))</f>
        <v>1</v>
      </c>
      <c r="FU356" s="23">
        <f>IF(FS356&lt;1,1,0)</f>
        <v>0</v>
      </c>
      <c r="FV356" s="23"/>
      <c r="GF356" s="4">
        <f>IF(S356&gt;=2.5*25.4,1,1.25)</f>
        <v>1</v>
      </c>
      <c r="GG356" s="4">
        <f>IF(AO356&gt;1, 0.05*(18-MIN(8,(W356+N356)/N356))*(1-48000/MAX(60000,(J356*145))*(N356/25.4)^0.75*GH356), 1/12*(14-MIN(8,(W356+N356)/N356)))</f>
        <v>0.5</v>
      </c>
      <c r="GH356" s="4">
        <f>MIN(0.3, AM356^2*PI()/4*2*AP356/(N356^2*PI()/4*X356))</f>
        <v>0</v>
      </c>
      <c r="GI356" s="4">
        <f>(K356/25.4)/(N356/25.4)^1.5/0.0024*(M356*145)^0.25/GF356/GG356/145</f>
        <v>614.33850651683861</v>
      </c>
    </row>
    <row r="357" spans="1:191" ht="12" customHeight="1" x14ac:dyDescent="0.3">
      <c r="A357" s="25">
        <v>338</v>
      </c>
      <c r="B357" s="4" t="s">
        <v>605</v>
      </c>
      <c r="C357" s="4">
        <v>2016</v>
      </c>
      <c r="D357" s="4" t="s">
        <v>309</v>
      </c>
      <c r="E357" s="24" t="s">
        <v>671</v>
      </c>
      <c r="F357" s="24"/>
      <c r="G357" s="24">
        <v>20</v>
      </c>
      <c r="H357" s="7" t="s">
        <v>501</v>
      </c>
      <c r="I357" s="5">
        <f>K357/N357</f>
        <v>9.4700000000000006</v>
      </c>
      <c r="J357" s="91">
        <f>120/0.145</f>
        <v>827.58620689655174</v>
      </c>
      <c r="K357" s="96">
        <f>9.47*25.4</f>
        <v>240.53800000000001</v>
      </c>
      <c r="L357" s="4">
        <f>K357</f>
        <v>240.53800000000001</v>
      </c>
      <c r="M357" s="98">
        <f>6650/145</f>
        <v>45.862068965517238</v>
      </c>
      <c r="N357" s="96">
        <f>1*25.4</f>
        <v>25.4</v>
      </c>
      <c r="O357" s="7">
        <f>K357/N357</f>
        <v>9.4700000000000006</v>
      </c>
      <c r="P357" s="7">
        <f>L357/N357</f>
        <v>9.4700000000000006</v>
      </c>
      <c r="Q357" s="38">
        <f>14.8*25.4</f>
        <v>375.92</v>
      </c>
      <c r="R357" s="32">
        <f>S357/N357</f>
        <v>2.4500000000000002</v>
      </c>
      <c r="S357" s="38">
        <f>2.45*25.4</f>
        <v>62.230000000000004</v>
      </c>
      <c r="T357" s="32">
        <f>U357/N357</f>
        <v>3.3</v>
      </c>
      <c r="U357" s="39">
        <f>3.3*25.4</f>
        <v>83.82</v>
      </c>
      <c r="V357" s="32">
        <f>W357/N357</f>
        <v>1.9666666666666672</v>
      </c>
      <c r="W357" s="7">
        <f>(Q357-X357*N357-2*S357)/(X357-1)</f>
        <v>49.953333333333347</v>
      </c>
      <c r="X357" s="38">
        <v>4</v>
      </c>
      <c r="Y357" s="7">
        <f>AN357</f>
        <v>0</v>
      </c>
      <c r="Z357" s="32">
        <f>AA357/N357</f>
        <v>10.25</v>
      </c>
      <c r="AA357" s="4">
        <f>10.25*25.4</f>
        <v>260.34999999999997</v>
      </c>
      <c r="AB357" s="7">
        <f>MIN(S357/N357+0.5, W357/2/N357+0.5)</f>
        <v>1.4833333333333336</v>
      </c>
      <c r="AC357" s="7">
        <f>S357/N357+0.5</f>
        <v>2.95</v>
      </c>
      <c r="AD357" s="38">
        <v>4</v>
      </c>
      <c r="AE357" s="4">
        <f>AD357</f>
        <v>4</v>
      </c>
      <c r="AF357" s="4">
        <f>AE357+1</f>
        <v>5</v>
      </c>
      <c r="AG357" s="7">
        <f>N357*AF357^0.5</f>
        <v>56.796126628494655</v>
      </c>
      <c r="AJ357" s="38">
        <f>AK357/0.145</f>
        <v>228.27586206896555</v>
      </c>
      <c r="AK357" s="4">
        <v>33.1</v>
      </c>
      <c r="AL357" s="4">
        <f>CY357</f>
        <v>0.62319362436667958</v>
      </c>
      <c r="AM357" s="38">
        <v>0</v>
      </c>
      <c r="AN357" s="38">
        <v>0</v>
      </c>
      <c r="AO357" s="39">
        <f>L357</f>
        <v>240.53800000000001</v>
      </c>
      <c r="AP357" s="39"/>
      <c r="AQ357" s="39"/>
      <c r="AR357" s="7"/>
      <c r="AS357" s="4">
        <f>K357</f>
        <v>240.53800000000001</v>
      </c>
      <c r="AT357" s="4">
        <f>IF(K357*3&gt;W357+N357, Q357, (S357+N357/2)*2+1.5*K357*(2*X357-2))*(3*K357)/(9*K357^2)</f>
        <v>0.52094332981344593</v>
      </c>
      <c r="AU357" s="4">
        <f>MIN(10*M357^0.5*K357^1.5,100*3.9*M357^0.5*K357^(5/3))/(PI()/4*N357^2)/X357</f>
        <v>124.64792666075199</v>
      </c>
      <c r="AV357" s="4">
        <f>MIN(0.7+0.3*(MIN(S357,AA357)+0.5*N357)/1.5/K357,1)</f>
        <v>0.76230200633579726</v>
      </c>
      <c r="AW357" s="4">
        <v>1.25</v>
      </c>
      <c r="AX357" s="4">
        <f>AX356</f>
        <v>2.5</v>
      </c>
      <c r="AY357" s="38">
        <f>AT357*AV357*AW357*AX357*AU357</f>
        <v>154.68657556433811</v>
      </c>
      <c r="AZ357" s="38">
        <f>AY357</f>
        <v>154.68657556433811</v>
      </c>
      <c r="BA357" s="38">
        <f>IF(M357&lt;50, 0.3*M357^(2/3), 2.12*LN(1+0.1*(M357+8)))</f>
        <v>3.8437666713572023</v>
      </c>
      <c r="BB357" s="38">
        <f>AX357* (M357^0.5/AS357^0.5)/(PI()/4*N357^2)/X357/0.72 *(0.7+(MIN(S357,AA357)+0.5*N357)/5/K357) *(3*Q357*K357)</f>
        <v>154.68657556433794</v>
      </c>
      <c r="BC357" s="38">
        <f>AY357/BB357</f>
        <v>1.0000000000000011</v>
      </c>
      <c r="BD357" s="38">
        <f>BH357/BB357</f>
        <v>2.4548861441214105</v>
      </c>
      <c r="BE357" s="4">
        <f>IF(BD357&lt;1,1,0)</f>
        <v>0</v>
      </c>
      <c r="BF357" s="4">
        <f>L357/N357*M357^0.5/0.19</f>
        <v>337.53840945652274</v>
      </c>
      <c r="BG357" s="4">
        <f>MIN(0.6+0.4*(AC357/AB357),2)</f>
        <v>1.395505617977528</v>
      </c>
      <c r="BH357" s="38">
        <f>2*M357*AB357*AD357^0.5*BG357*0.7/0.7</f>
        <v>379.73793103448276</v>
      </c>
      <c r="BI357" s="4">
        <f>MAX(1-0.7*AE357/5,0.3)</f>
        <v>0.44000000000000006</v>
      </c>
      <c r="BJ357" s="4">
        <f>BI357*J357*L357/(J357*N357/2.75/M357^0.5)</f>
        <v>77.600080334054581</v>
      </c>
      <c r="BK357" s="4">
        <f>BH357+BJ357</f>
        <v>457.33801136853731</v>
      </c>
      <c r="BM357" s="4">
        <f>MIN(1.5, 0.75+0.25*MIN(3,MAX(1,S357/N357))+0.4*MIN(1,(40*2*PI()*AM357^2/4/AO357/X357)/N357))</f>
        <v>1.3625</v>
      </c>
      <c r="BN357" s="4">
        <f>(3*P357+30)*BM357*M357^0.5</f>
        <v>538.95255947666624</v>
      </c>
      <c r="BP357" s="4">
        <f>3.4/PI()^0.5*M357*AB357*AE357^0.5*BG357</f>
        <v>364.21511478497354</v>
      </c>
      <c r="BQ357" s="4">
        <f>8/3*AH357*AI357^2/(AG357-N357-22)/N357*(AG357^2-N357^2)/(AG357^2-(N357+22)^2)</f>
        <v>0</v>
      </c>
      <c r="BR357" s="4">
        <f>BQ357/BP357</f>
        <v>0</v>
      </c>
      <c r="BZ357" s="4">
        <f>IF(W357=0,S357,MIN(W357/2,S357))</f>
        <v>24.976666666666674</v>
      </c>
      <c r="CD357" s="9"/>
      <c r="CF357" s="9"/>
      <c r="CG357" s="9"/>
      <c r="CH357" s="9">
        <f>IF(W357=0,MIN(S357,U357),MIN(W357/2,S357,U357))</f>
        <v>24.976666666666674</v>
      </c>
      <c r="CI357" s="9">
        <f>MAX(W357/2,S357)</f>
        <v>62.230000000000004</v>
      </c>
      <c r="CJ357" s="9">
        <f>(CH357/N357)^0.5*(CI357/CH357)^0.15</f>
        <v>1.1371563454107663</v>
      </c>
      <c r="CK357" s="70">
        <f>IF(AO357&gt;1,20,0)</f>
        <v>20</v>
      </c>
      <c r="CL357" s="9">
        <f>MIN(PI()*AM357^2/4*AN357*2/X357/N357/MAX(0.01,AO357),0.05)</f>
        <v>0</v>
      </c>
      <c r="CM357" s="9">
        <f>MAX(0,CK357*(CL357-0.5/50))</f>
        <v>0</v>
      </c>
      <c r="CN357" s="9">
        <f>MIN(1,(25/N357)^0.3)</f>
        <v>0.99524931562137331</v>
      </c>
      <c r="CO357" s="9">
        <f>IF(J357&gt;=800,0.68,IF(J357&gt;=700,0.75-(J357-700)*0.07/100,IF(J357&gt;=600,0.85-(J357-600)*0.1/100,IF(J357&gt;=500,1-(J357-500)*0.15/100,1.2-(J357-400)*0.2/100))))</f>
        <v>0.68</v>
      </c>
      <c r="CP357" s="9">
        <f>1.75*CN357*CO357*(M357/25)^0.5</f>
        <v>1.6041156142513788</v>
      </c>
      <c r="CQ357" s="9">
        <f>MIN((CJ357+CM357)*CP357,2.5*CP357,M357^0.5)</f>
        <v>1.8241302495184444</v>
      </c>
      <c r="CR357" s="40">
        <v>1</v>
      </c>
      <c r="CS357" s="9">
        <f>4*CQ357*P357+60*CQ357</f>
        <v>178.54586882286534</v>
      </c>
      <c r="CU357" s="4">
        <f>AJ357/BF357</f>
        <v>0.6762959582481799</v>
      </c>
      <c r="CV357" s="4">
        <f>AJ357/BK357</f>
        <v>0.49914036531945671</v>
      </c>
      <c r="CW357" s="4">
        <f>AJ357/BN357</f>
        <v>0.42355464883704419</v>
      </c>
      <c r="CX357" s="4">
        <f>AJ357/CS357</f>
        <v>1.2785278291453337</v>
      </c>
      <c r="CY357" s="4">
        <f>AJ357/DZ357</f>
        <v>0.62319362436667958</v>
      </c>
      <c r="CZ357" s="4">
        <f>AJ357/EL357</f>
        <v>0.63480838312555887</v>
      </c>
      <c r="DA357" s="4">
        <f>AJ357/GI357</f>
        <v>0.87280886698648519</v>
      </c>
      <c r="DB357" s="4">
        <f>AN357</f>
        <v>0</v>
      </c>
      <c r="DC357" s="4">
        <f>CU357</f>
        <v>0.6762959582481799</v>
      </c>
      <c r="DD357" s="4">
        <f>CV357</f>
        <v>0.49914036531945671</v>
      </c>
      <c r="DE357" s="4">
        <f>CX357</f>
        <v>1.2785278291453337</v>
      </c>
      <c r="DF357" s="4">
        <f>DA357</f>
        <v>0.87280886698648519</v>
      </c>
      <c r="DG357" s="4">
        <f>CY357</f>
        <v>0.62319362436667958</v>
      </c>
      <c r="DH357" s="4">
        <f>CZ357</f>
        <v>0.63480838312555887</v>
      </c>
      <c r="DQ357" s="4">
        <f>L357</f>
        <v>240.53800000000001</v>
      </c>
      <c r="DT357" s="4">
        <f>K357/4/(1-0.3*(M357/30)^0.5)/200000/N357</f>
        <v>1.8817345456164922E-5</v>
      </c>
      <c r="DU357" s="4">
        <f>EP357</f>
        <v>7.2730617156164961</v>
      </c>
      <c r="DV357" s="4">
        <f>EC357*AG357/257/M357/AD357</f>
        <v>0.18634793574714756</v>
      </c>
      <c r="DW357" s="4">
        <f>DU357*DV357^0.4</f>
        <v>3.7140445371509778</v>
      </c>
      <c r="DX357" s="4">
        <f>MIN(DU357, DU357/1.4*(1-DV357^1.4)/(1-DV357))</f>
        <v>5.7772651340212935</v>
      </c>
      <c r="DY357" s="4">
        <f>MAX(DU357/2, (4-DT357*(8*AG357*(DW357-DX357)+6*K357*DX357))/(4+DT357*K357*DU357)*DU357)</f>
        <v>6.9625541839601279</v>
      </c>
      <c r="DZ357" s="38">
        <f>MIN(1/N357*(4*AG357*(DW357-DX357)+(3*DX357+DY357)*K357)+EC357 -FJ357,MAX(J357,AJ357))</f>
        <v>366.30006011526649</v>
      </c>
      <c r="EA357" s="4">
        <f>DZ357/FF357</f>
        <v>1.0001008195512369</v>
      </c>
      <c r="EB357" s="4">
        <f>AG357/N357</f>
        <v>2.2360679774997898</v>
      </c>
      <c r="EC357" s="4">
        <f>MIN(EB$10*BB357)</f>
        <v>154.68657556433794</v>
      </c>
      <c r="EG357" s="4">
        <f>IF(U357&gt;1*N357,0.85,1)</f>
        <v>0.85</v>
      </c>
      <c r="EH357" s="4">
        <f>MIN(1,MAX(0.7,(1-0.1*(BZ357-1*N357)/N357)))</f>
        <v>1</v>
      </c>
      <c r="EI357" s="4">
        <f>MIN(1,MAX(0.7,1-0.3*(PI()*AM357^2/4*AQ357*2-0.25*PI()/4*N357^2)/(PI()/4*N357^2)))</f>
        <v>1</v>
      </c>
      <c r="EJ357" s="4">
        <f>IF(EH357*EI357&lt;0.7,0.7,EH357*EI357)</f>
        <v>1</v>
      </c>
      <c r="EL357" s="4">
        <f>MIN(DU357/N357*3*K357+EM357-FJ357,MAX(J357,AJ357))</f>
        <v>359.59805846454111</v>
      </c>
      <c r="EM357" s="25">
        <f>13.3*Q357*K357^0.5*M357^0.5/X357/N357^2*(0.7+S357/5/K357)</f>
        <v>152.97037512387644</v>
      </c>
      <c r="EO357" s="4">
        <f>EG357*EJ357</f>
        <v>0.85</v>
      </c>
      <c r="EP357" s="4">
        <f>IF(N357&lt;22.2,1.1*5*(M357/30)^0.5,IF(N357&gt;=31.8,0.9*5*(M357/30)^0.5,1*5*(M357/30)^0.5))/EG357/EJ357</f>
        <v>7.2730617156164961</v>
      </c>
      <c r="ES357" s="4">
        <f>ET357*N357</f>
        <v>56.796126628494655</v>
      </c>
      <c r="ET357" s="4">
        <f>AF357^0.5</f>
        <v>2.2360679774997898</v>
      </c>
      <c r="EU357" s="4">
        <f>MIN(EC357)/(4700*M357^0.5)/AE357*ES357</f>
        <v>6.9005971296814891E-2</v>
      </c>
      <c r="EX357" s="4">
        <f>EU357</f>
        <v>6.9005971296814891E-2</v>
      </c>
      <c r="EY357" s="4">
        <f>MIN(0.999, EX357/(0.3*(M357/30)^0.5))</f>
        <v>0.18603695577291959</v>
      </c>
      <c r="EZ357" s="4">
        <f>EP357/1*EY357^0.4</f>
        <v>3.711564075587122</v>
      </c>
      <c r="FA357" s="4">
        <f>EP357/1.4*(1-EY357^1.4)/(1-EY357)</f>
        <v>5.7764763931624632</v>
      </c>
      <c r="FB357" s="4">
        <f>MAX(0,DQ357*FB$9-ES357)</f>
        <v>123.60737337150536</v>
      </c>
      <c r="FC357" s="4">
        <f>MAX(0,DQ357-ES357-FB357)</f>
        <v>60.134500000000003</v>
      </c>
      <c r="FD357" s="4">
        <f>FC357/(1-0.3*(M357/30)^0.5)/200000/N357</f>
        <v>1.8817345456164922E-5</v>
      </c>
      <c r="FE357" s="4">
        <f>MAX(0.5*EP357, (1-2*FD357*(ES357*EZ357+FB357*FA357))/(1/EP357+FD357*FC357))</f>
        <v>6.9626188991674915</v>
      </c>
      <c r="FF357" s="4">
        <f>MIN(4/N357*(1*EZ357*ES357+FA357*FB357+FC357*FE357)+EC357,MAX(J357,AJ357))</f>
        <v>366.26313363049928</v>
      </c>
      <c r="FO357" s="23">
        <f>IF(CU357&lt;0.6,0.6,IF(CU357&lt;0.8,0.8,IF(CU357&lt;1,1,IF(CU357&lt;1.2,1.2,IF(CU357&lt;1.4,1.4,IF(CU357&lt;1.6,1.6,IF(CU357&lt;1.8,1.8,IF(CU357&lt;2,2,2.2))))))))</f>
        <v>0.8</v>
      </c>
      <c r="FP357" s="23">
        <f>IF(CV357&lt;0.6,0.6,IF(CV357&lt;0.8,0.8,IF(CV357&lt;1,1,IF(CV357&lt;1.2,1.2,IF(CV357&lt;1.4,1.4,IF(CV357&lt;1.6,1.6,IF(CV357&lt;1.8,1.8,IF(CV357&lt;2,2,2.2))))))))</f>
        <v>0.6</v>
      </c>
      <c r="FQ357" s="23">
        <f>IF(DA357&lt;0.6,0.6,IF(DA357&lt;0.8,0.8,IF(DA357&lt;1,1,IF(DA357&lt;1.2,1.2,IF(DA357&lt;1.4,1.4,IF(DA357&lt;1.6,1.6,IF(DA357&lt;1.8,1.8,IF(DA357&lt;2,2,2.2))))))))</f>
        <v>1</v>
      </c>
      <c r="FR357" s="23">
        <f>IF(CX357&lt;0.6,0.6,IF(CX357&lt;0.8,0.8,IF(CX357&lt;1,1,IF(CX357&lt;1.2,1.2,IF(CX357&lt;1.4,1.4,IF(CX357&lt;1.6,1.6,IF(CX357&lt;1.8,1.8,IF(CX357&lt;2,2,2.2))))))))</f>
        <v>1.4</v>
      </c>
      <c r="FS357" s="23">
        <f>IF(CY357&lt;0.6,0.6,IF(CY357&lt;0.8,0.8,IF(CY357&lt;1,1,IF(CY357&lt;1.2,1.2,IF(CY357&lt;1.4,1.4,IF(CY357&lt;1.6,1.6,IF(CY357&lt;1.8,1.8,IF(CY357&lt;2,2,2.2))))))))</f>
        <v>0.8</v>
      </c>
      <c r="FT357" s="23">
        <f>IF(CZ357&lt;0.6,0.6,IF(CZ357&lt;0.8,0.8,IF(CZ357&lt;1,1,IF(CZ357&lt;1.2,1.2,IF(CZ357&lt;1.4,1.4,IF(CZ357&lt;1.6,1.6,IF(CZ357&lt;1.8,1.8,IF(CZ357&lt;2,2,2.2))))))))</f>
        <v>0.8</v>
      </c>
      <c r="FU357" s="23">
        <f>IF(FS357&lt;1,1,0)</f>
        <v>1</v>
      </c>
      <c r="FV357" s="23"/>
      <c r="GF357" s="4">
        <f>IF(S357&gt;=2.5*25.4,1,1.25)</f>
        <v>1.25</v>
      </c>
      <c r="GG357" s="4">
        <f>IF(AO357&gt;1, 0.05*(18-MIN(8,(W357+N357)/N357))*(1-48000/MAX(60000,(J357*145))*(N357/25.4)^0.75*GH357), 1/12*(14-MIN(8,(W357+N357)/N357)))</f>
        <v>0.75166666666666659</v>
      </c>
      <c r="GH357" s="4">
        <f>MIN(0.3, AM357^2*PI()/4*2*AP357/(N357^2*PI()/4*X357))</f>
        <v>0</v>
      </c>
      <c r="GI357" s="4">
        <f>(K357/25.4)/(N357/25.4)^1.5/0.0024*(M357*145)^0.25/GF357/GG357/145</f>
        <v>261.54163953114403</v>
      </c>
    </row>
    <row r="358" spans="1:191" ht="12" customHeight="1" x14ac:dyDescent="0.3">
      <c r="A358" s="25">
        <v>340</v>
      </c>
      <c r="B358" s="4" t="s">
        <v>605</v>
      </c>
      <c r="C358" s="4">
        <v>2016</v>
      </c>
      <c r="D358" s="4" t="s">
        <v>309</v>
      </c>
      <c r="E358" s="24" t="s">
        <v>671</v>
      </c>
      <c r="F358" s="24"/>
      <c r="G358" s="24">
        <v>54</v>
      </c>
      <c r="H358" s="7" t="s">
        <v>503</v>
      </c>
      <c r="I358" s="5">
        <f>K358/N358</f>
        <v>9.4600000000000009</v>
      </c>
      <c r="J358" s="91">
        <f>120/0.145</f>
        <v>827.58620689655174</v>
      </c>
      <c r="K358" s="38">
        <f>9.46*25.4</f>
        <v>240.28400000000002</v>
      </c>
      <c r="L358" s="4">
        <f>K358</f>
        <v>240.28400000000002</v>
      </c>
      <c r="M358" s="38">
        <f>6790/145</f>
        <v>46.827586206896555</v>
      </c>
      <c r="N358" s="96">
        <f>1*25.4</f>
        <v>25.4</v>
      </c>
      <c r="O358" s="7">
        <f>K358/N358</f>
        <v>9.4600000000000009</v>
      </c>
      <c r="P358" s="7">
        <f>L358/N358</f>
        <v>9.4600000000000009</v>
      </c>
      <c r="Q358" s="38">
        <f>12.3*25.4</f>
        <v>312.42</v>
      </c>
      <c r="R358" s="32">
        <f>S358/N358</f>
        <v>2.5</v>
      </c>
      <c r="S358" s="38">
        <f>2.5*25.4</f>
        <v>63.5</v>
      </c>
      <c r="T358" s="32">
        <f>U358/N358</f>
        <v>3.1</v>
      </c>
      <c r="U358" s="39">
        <f>3.1*25.4</f>
        <v>78.739999999999995</v>
      </c>
      <c r="V358" s="32">
        <f>W358/N358</f>
        <v>2.1500000000000008</v>
      </c>
      <c r="W358" s="7">
        <f>(Q358-X358*N358-2*S358)/(X358-1)</f>
        <v>54.610000000000014</v>
      </c>
      <c r="X358" s="38">
        <v>3</v>
      </c>
      <c r="Y358" s="7">
        <f>AN358</f>
        <v>0</v>
      </c>
      <c r="Z358" s="32">
        <f>AA358/N358</f>
        <v>10.25</v>
      </c>
      <c r="AA358" s="4">
        <f>10.25*25.4</f>
        <v>260.34999999999997</v>
      </c>
      <c r="AB358" s="7">
        <f>MIN(S358/N358+0.5, W358/2/N358+0.5)</f>
        <v>1.5750000000000004</v>
      </c>
      <c r="AC358" s="7">
        <f>S358/N358+0.5</f>
        <v>3</v>
      </c>
      <c r="AD358" s="38">
        <v>4</v>
      </c>
      <c r="AE358" s="4">
        <f>AD358</f>
        <v>4</v>
      </c>
      <c r="AF358" s="4">
        <f>AE358+1</f>
        <v>5</v>
      </c>
      <c r="AG358" s="7">
        <f>N358*AF358^0.5</f>
        <v>56.796126628494655</v>
      </c>
      <c r="AJ358" s="38">
        <f>AK358/0.145</f>
        <v>343.44827586206895</v>
      </c>
      <c r="AK358" s="4">
        <v>49.8</v>
      </c>
      <c r="AL358" s="4">
        <f>CY358</f>
        <v>0.87917179348650509</v>
      </c>
      <c r="AM358" s="38">
        <v>0</v>
      </c>
      <c r="AN358" s="38">
        <v>0</v>
      </c>
      <c r="AO358" s="39">
        <f>L358</f>
        <v>240.28400000000002</v>
      </c>
      <c r="AP358" s="39"/>
      <c r="AQ358" s="39"/>
      <c r="AR358" s="7"/>
      <c r="AS358" s="4">
        <f>K358</f>
        <v>240.28400000000002</v>
      </c>
      <c r="AT358" s="4">
        <f>IF(K358*3&gt;W358+N358, Q358, (S358+N358/2)*2+1.5*K358*(2*X358-2))*(3*K358)/(9*K358^2)</f>
        <v>0.43340380549682872</v>
      </c>
      <c r="AU358" s="4">
        <f>MIN(10*M358^0.5*K358^1.5,100*3.9*M358^0.5*K358^(5/3))/(PI()/4*N358^2)/X358</f>
        <v>167.67163383410892</v>
      </c>
      <c r="AV358" s="4">
        <f>MIN(0.7+0.3*(MIN(S358,AA358)+0.5*N358)/1.5/K358,1)</f>
        <v>0.76342494714587739</v>
      </c>
      <c r="AW358" s="4">
        <v>1.25</v>
      </c>
      <c r="AX358" s="4">
        <f>AX357</f>
        <v>2.5</v>
      </c>
      <c r="AY358" s="38">
        <f>AT358*AV358*AW358*AX358*AU358</f>
        <v>173.36789891993814</v>
      </c>
      <c r="AZ358" s="38">
        <f>AY358</f>
        <v>173.36789891993814</v>
      </c>
      <c r="BA358" s="38">
        <f>IF(M358&lt;50, 0.3*M358^(2/3), 2.12*LN(1+0.1*(M358+8)))</f>
        <v>3.8975267336121062</v>
      </c>
      <c r="BB358" s="38">
        <f>AX358* (M358^0.5/AS358^0.5)/(PI()/4*N358^2)/X358/0.72 *(0.7+(MIN(S358,AA358)+0.5*N358)/5/K358) *(3*Q358*K358)</f>
        <v>173.3678989199382</v>
      </c>
      <c r="BC358" s="38">
        <f>AY358/BB358</f>
        <v>0.99999999999999967</v>
      </c>
      <c r="BD358" s="38">
        <f>BH358/BB358</f>
        <v>2.3175033680296027</v>
      </c>
      <c r="BE358" s="4">
        <f>IF(BD358&lt;1,1,0)</f>
        <v>0</v>
      </c>
      <c r="BF358" s="4">
        <f>L358/N358*M358^0.5/0.19</f>
        <v>340.71277794937589</v>
      </c>
      <c r="BG358" s="4">
        <f>MIN(0.6+0.4*(AC358/AB358),2)</f>
        <v>1.3619047619047617</v>
      </c>
      <c r="BH358" s="38">
        <f>2*M358*AB358*AD358^0.5*BG358*0.7/0.7</f>
        <v>401.78068965517252</v>
      </c>
      <c r="BI358" s="4">
        <f>MAX(1-0.7*AE358/5,0.3)</f>
        <v>0.44000000000000006</v>
      </c>
      <c r="BJ358" s="4">
        <f>BI358*J358*L358/(J358*N358/2.75/M358^0.5)</f>
        <v>78.329867650561525</v>
      </c>
      <c r="BK358" s="4">
        <f>BH358+BJ358</f>
        <v>480.11055730573406</v>
      </c>
      <c r="BM358" s="4">
        <f>MIN(1.5, 0.75+0.25*MIN(3,MAX(1,S358/N358))+0.4*MIN(1,(40*2*PI()*AM358^2/4/AO358/X358)/N358))</f>
        <v>1.375</v>
      </c>
      <c r="BN358" s="4">
        <f>(3*P358+30)*BM358*M358^0.5</f>
        <v>549.31021447239357</v>
      </c>
      <c r="BP358" s="4">
        <f>3.4/PI()^0.5*M358*AB358*AE358^0.5*BG358</f>
        <v>385.35681595593957</v>
      </c>
      <c r="BQ358" s="4">
        <f>8/3*AH358*AI358^2/(AG358-N358-22)/N358*(AG358^2-N358^2)/(AG358^2-(N358+22)^2)</f>
        <v>0</v>
      </c>
      <c r="BR358" s="4">
        <f>BQ358/BP358</f>
        <v>0</v>
      </c>
      <c r="BZ358" s="4">
        <f>IF(W358=0,S358,MIN(W358/2,S358))</f>
        <v>27.305000000000007</v>
      </c>
      <c r="CD358" s="9"/>
      <c r="CF358" s="9"/>
      <c r="CG358" s="9"/>
      <c r="CH358" s="9">
        <f>IF(W358=0,MIN(S358,U358),MIN(W358/2,S358,U358))</f>
        <v>27.305000000000007</v>
      </c>
      <c r="CI358" s="9">
        <f>MAX(W358/2,S358)</f>
        <v>63.5</v>
      </c>
      <c r="CJ358" s="9">
        <f>(CH358/N358)^0.5*(CI358/CH358)^0.15</f>
        <v>1.1767493410612269</v>
      </c>
      <c r="CK358" s="70">
        <f>IF(AO358&gt;1,20,0)</f>
        <v>20</v>
      </c>
      <c r="CL358" s="9">
        <f>MIN(PI()*AM358^2/4*AN358*2/X358/N358/MAX(0.01,AO358),0.05)</f>
        <v>0</v>
      </c>
      <c r="CM358" s="9">
        <f>MAX(0,CK358*(CL358-0.5/50))</f>
        <v>0</v>
      </c>
      <c r="CN358" s="9">
        <f>MIN(1,(25/N358)^0.3)</f>
        <v>0.99524931562137331</v>
      </c>
      <c r="CO358" s="9">
        <f>IF(J358&gt;=800,0.68,IF(J358&gt;=700,0.75-(J358-700)*0.07/100,IF(J358&gt;=600,0.85-(J358-600)*0.1/100,IF(J358&gt;=500,1-(J358-500)*0.15/100,1.2-(J358-400)*0.2/100))))</f>
        <v>0.68</v>
      </c>
      <c r="CP358" s="9">
        <f>1.75*CN358*CO358*(M358/25)^0.5</f>
        <v>1.6209130944490342</v>
      </c>
      <c r="CQ358" s="9">
        <f>MIN((CJ358+CM358)*CP358,2.5*CP358,M358^0.5)</f>
        <v>1.9074084158104152</v>
      </c>
      <c r="CR358" s="40">
        <v>1</v>
      </c>
      <c r="CS358" s="9">
        <f>4*CQ358*P358+60*CQ358</f>
        <v>186.62083940289102</v>
      </c>
      <c r="CU358" s="4">
        <f>AJ358/BF358</f>
        <v>1.008028750577413</v>
      </c>
      <c r="CV358" s="4">
        <f>AJ358/BK358</f>
        <v>0.71535247587434603</v>
      </c>
      <c r="CW358" s="4">
        <f>AJ358/BN358</f>
        <v>0.62523555326919822</v>
      </c>
      <c r="CX358" s="4">
        <f>AJ358/CS358</f>
        <v>1.8403532904522368</v>
      </c>
      <c r="CY358" s="4">
        <f>AJ358/DZ358</f>
        <v>0.87917179348650509</v>
      </c>
      <c r="CZ358" s="4">
        <f>AJ358/EL358</f>
        <v>0.90003950832799662</v>
      </c>
      <c r="DA358" s="4">
        <f>AJ358/GI358</f>
        <v>1.0334238077499565</v>
      </c>
      <c r="DB358" s="4">
        <f>AN358</f>
        <v>0</v>
      </c>
      <c r="DC358" s="4">
        <f>CU358</f>
        <v>1.008028750577413</v>
      </c>
      <c r="DD358" s="4">
        <f>CV358</f>
        <v>0.71535247587434603</v>
      </c>
      <c r="DE358" s="4">
        <f>CX358</f>
        <v>1.8403532904522368</v>
      </c>
      <c r="DF358" s="4">
        <f>DA358</f>
        <v>1.0334238077499565</v>
      </c>
      <c r="DG358" s="4">
        <f>CY358</f>
        <v>0.87917179348650509</v>
      </c>
      <c r="DH358" s="4">
        <f>CZ358</f>
        <v>0.90003950832799662</v>
      </c>
      <c r="DQ358" s="4">
        <f>L358</f>
        <v>240.28400000000002</v>
      </c>
      <c r="DT358" s="4">
        <f>K358/4/(1-0.3*(M358/30)^0.5)/200000/N358</f>
        <v>1.8914259048600366E-5</v>
      </c>
      <c r="DU358" s="4">
        <f>EP358</f>
        <v>7.4047571856479815</v>
      </c>
      <c r="DV358" s="4">
        <f>EC358*AG358/257/M358/AD358</f>
        <v>0.20454671916157116</v>
      </c>
      <c r="DW358" s="4">
        <f>DU358*DV358^0.4</f>
        <v>3.9248930677358072</v>
      </c>
      <c r="DX358" s="4">
        <f>MIN(DU358, DU358/1.4*(1-DV358^1.4)/(1-DV358))</f>
        <v>5.9282759587841678</v>
      </c>
      <c r="DY358" s="4">
        <f>MAX(DU358/2, (4-DT358*(8*AG358*(DW358-DX358)+6*K358*DX358))/(4+DT358*K358*DU358)*DU358)</f>
        <v>7.077824520316236</v>
      </c>
      <c r="DZ358" s="38">
        <f>MIN(1/N358*(4*AG358*(DW358-DX358)+(3*DX358+DY358)*K358)+EC358 -FJ358,MAX(J358,AJ358))</f>
        <v>390.64978927504768</v>
      </c>
      <c r="EA358" s="4">
        <f>DZ358/FF358</f>
        <v>1.0001010933452728</v>
      </c>
      <c r="EB358" s="4">
        <f>AG358/N358</f>
        <v>2.2360679774997898</v>
      </c>
      <c r="EC358" s="4">
        <f>MIN(EB$10*BB358)</f>
        <v>173.3678989199382</v>
      </c>
      <c r="EG358" s="4">
        <f>IF(U358&gt;1*N358,0.85,1)</f>
        <v>0.85</v>
      </c>
      <c r="EH358" s="4">
        <f>MIN(1,MAX(0.7,(1-0.1*(BZ358-1*N358)/N358)))</f>
        <v>0.99249999999999994</v>
      </c>
      <c r="EI358" s="4">
        <f>MIN(1,MAX(0.7,1-0.3*(PI()*AM358^2/4*AQ358*2-0.25*PI()/4*N358^2)/(PI()/4*N358^2)))</f>
        <v>1</v>
      </c>
      <c r="EJ358" s="4">
        <f>IF(EH358*EI358&lt;0.7,0.7,EH358*EI358)</f>
        <v>0.99249999999999994</v>
      </c>
      <c r="EL358" s="4">
        <f>MIN(DU358/N358*3*K358+EM358-FJ358,MAX(J358,AJ358))</f>
        <v>381.59244420291373</v>
      </c>
      <c r="EM358" s="25">
        <f>13.3*Q358*K358^0.5*M358^0.5/X358/N358^2*(0.7+S358/5/K358)</f>
        <v>171.44543527422402</v>
      </c>
      <c r="EO358" s="4">
        <f>EG358*EJ358</f>
        <v>0.84362499999999996</v>
      </c>
      <c r="EP358" s="4">
        <f>IF(N358&lt;22.2,1.1*5*(M358/30)^0.5,IF(N358&gt;=31.8,0.9*5*(M358/30)^0.5,1*5*(M358/30)^0.5))/EG358/EJ358</f>
        <v>7.4047571856479815</v>
      </c>
      <c r="ES358" s="4">
        <f>ET358*N358</f>
        <v>56.796126628494655</v>
      </c>
      <c r="ET358" s="4">
        <f>AF358^0.5</f>
        <v>2.2360679774997898</v>
      </c>
      <c r="EU358" s="4">
        <f>MIN(EC358)/(4700*M358^0.5)/AE358*ES358</f>
        <v>7.6538274900780523E-2</v>
      </c>
      <c r="EX358" s="4">
        <f>EU358</f>
        <v>7.6538274900780523E-2</v>
      </c>
      <c r="EY358" s="4">
        <f>MIN(0.999, EX358/(0.3*(M358/30)^0.5))</f>
        <v>0.20420536880961671</v>
      </c>
      <c r="EZ358" s="4">
        <f>EP358/1*EY358^0.4</f>
        <v>3.9222717888848462</v>
      </c>
      <c r="FA358" s="4">
        <f>EP358/1.4*(1-EY358^1.4)/(1-EY358)</f>
        <v>5.9274160600858794</v>
      </c>
      <c r="FB358" s="4">
        <f>MAX(0,DQ358*FB$9-ES358)</f>
        <v>123.41687337150537</v>
      </c>
      <c r="FC358" s="4">
        <f>MAX(0,DQ358-ES358-FB358)</f>
        <v>60.070999999999998</v>
      </c>
      <c r="FD358" s="4">
        <f>FC358/(1-0.3*(M358/30)^0.5)/200000/N358</f>
        <v>1.8914259048600366E-5</v>
      </c>
      <c r="FE358" s="4">
        <f>MAX(0.5*EP358, (1-2*FD358*(ES358*EZ358+FB358*FA358))/(1/EP358+FD358*FC358))</f>
        <v>7.0778953539352774</v>
      </c>
      <c r="FF358" s="4">
        <f>MIN(4/N358*(1*EZ358*ES358+FA358*FB358+FC358*FE358)+EC358,MAX(J358,AJ358))</f>
        <v>390.61030117300407</v>
      </c>
      <c r="FO358" s="23">
        <f>IF(CU358&lt;0.6,0.6,IF(CU358&lt;0.8,0.8,IF(CU358&lt;1,1,IF(CU358&lt;1.2,1.2,IF(CU358&lt;1.4,1.4,IF(CU358&lt;1.6,1.6,IF(CU358&lt;1.8,1.8,IF(CU358&lt;2,2,2.2))))))))</f>
        <v>1.2</v>
      </c>
      <c r="FP358" s="23">
        <f>IF(CV358&lt;0.6,0.6,IF(CV358&lt;0.8,0.8,IF(CV358&lt;1,1,IF(CV358&lt;1.2,1.2,IF(CV358&lt;1.4,1.4,IF(CV358&lt;1.6,1.6,IF(CV358&lt;1.8,1.8,IF(CV358&lt;2,2,2.2))))))))</f>
        <v>0.8</v>
      </c>
      <c r="FQ358" s="23">
        <f>IF(DA358&lt;0.6,0.6,IF(DA358&lt;0.8,0.8,IF(DA358&lt;1,1,IF(DA358&lt;1.2,1.2,IF(DA358&lt;1.4,1.4,IF(DA358&lt;1.6,1.6,IF(DA358&lt;1.8,1.8,IF(DA358&lt;2,2,2.2))))))))</f>
        <v>1.2</v>
      </c>
      <c r="FR358" s="23">
        <f>IF(CX358&lt;0.6,0.6,IF(CX358&lt;0.8,0.8,IF(CX358&lt;1,1,IF(CX358&lt;1.2,1.2,IF(CX358&lt;1.4,1.4,IF(CX358&lt;1.6,1.6,IF(CX358&lt;1.8,1.8,IF(CX358&lt;2,2,2.2))))))))</f>
        <v>2</v>
      </c>
      <c r="FS358" s="23">
        <f>IF(CY358&lt;0.6,0.6,IF(CY358&lt;0.8,0.8,IF(CY358&lt;1,1,IF(CY358&lt;1.2,1.2,IF(CY358&lt;1.4,1.4,IF(CY358&lt;1.6,1.6,IF(CY358&lt;1.8,1.8,IF(CY358&lt;2,2,2.2))))))))</f>
        <v>1</v>
      </c>
      <c r="FT358" s="23">
        <f>IF(CZ358&lt;0.6,0.6,IF(CZ358&lt;0.8,0.8,IF(CZ358&lt;1,1,IF(CZ358&lt;1.2,1.2,IF(CZ358&lt;1.4,1.4,IF(CZ358&lt;1.6,1.6,IF(CZ358&lt;1.8,1.8,IF(CZ358&lt;2,2,2.2))))))))</f>
        <v>1</v>
      </c>
      <c r="FU358" s="23">
        <f>IF(FS358&lt;1,1,0)</f>
        <v>0</v>
      </c>
      <c r="FV358" s="23"/>
      <c r="GF358" s="4">
        <f>IF(S358&gt;=2.5*25.4,1,1.25)</f>
        <v>1</v>
      </c>
      <c r="GG358" s="4">
        <f>IF(AO358&gt;1, 0.05*(18-MIN(8,(W358+N358)/N358))*(1-48000/MAX(60000,(J358*145))*(N358/25.4)^0.75*GH358), 1/12*(14-MIN(8,(W358+N358)/N358)))</f>
        <v>0.74250000000000005</v>
      </c>
      <c r="GH358" s="4">
        <f>MIN(0.3, AM358^2*PI()/4*2*AP358/(N358^2*PI()/4*X358))</f>
        <v>0</v>
      </c>
      <c r="GI358" s="4">
        <f>(K358/25.4)/(N358/25.4)^1.5/0.0024*(M358*145)^0.25/GF358/GG358/145</f>
        <v>332.34020088026506</v>
      </c>
    </row>
    <row r="359" spans="1:191" ht="12" customHeight="1" x14ac:dyDescent="0.3">
      <c r="A359" s="25">
        <v>307</v>
      </c>
      <c r="B359" s="4" t="s">
        <v>605</v>
      </c>
      <c r="C359" s="4">
        <v>2016</v>
      </c>
      <c r="D359" s="4" t="s">
        <v>309</v>
      </c>
      <c r="E359" s="24" t="s">
        <v>669</v>
      </c>
      <c r="F359" s="24"/>
      <c r="G359" s="24">
        <v>31</v>
      </c>
      <c r="H359" s="7" t="s">
        <v>468</v>
      </c>
      <c r="I359" s="5">
        <f>K359/N359</f>
        <v>9.42</v>
      </c>
      <c r="J359" s="91">
        <f>120/0.145</f>
        <v>827.58620689655174</v>
      </c>
      <c r="K359" s="47">
        <f>9.42*25.4</f>
        <v>239.26799999999997</v>
      </c>
      <c r="L359" s="4">
        <f>K359</f>
        <v>239.26799999999997</v>
      </c>
      <c r="M359" s="99">
        <f>9940/145</f>
        <v>68.551724137931032</v>
      </c>
      <c r="N359" s="96">
        <f>1*25.4</f>
        <v>25.4</v>
      </c>
      <c r="O359" s="7">
        <f>K359/N359</f>
        <v>9.42</v>
      </c>
      <c r="P359" s="7">
        <f>L359/N359</f>
        <v>9.42</v>
      </c>
      <c r="Q359" s="38">
        <f>16*25.4</f>
        <v>406.4</v>
      </c>
      <c r="R359" s="32">
        <f>S359/N359</f>
        <v>2.5</v>
      </c>
      <c r="S359" s="38">
        <f>2.5*25.4</f>
        <v>63.5</v>
      </c>
      <c r="T359" s="32">
        <f>U359/N359</f>
        <v>3.4000000000000004</v>
      </c>
      <c r="U359" s="39">
        <f>3.4*25.4</f>
        <v>86.36</v>
      </c>
      <c r="V359" s="32">
        <f>W359/N359</f>
        <v>4</v>
      </c>
      <c r="W359" s="7">
        <f>(Q359-X359*N359-2*S359)/(X359-1)</f>
        <v>101.6</v>
      </c>
      <c r="X359" s="38">
        <v>3</v>
      </c>
      <c r="Y359" s="7">
        <f>AN359</f>
        <v>4</v>
      </c>
      <c r="Z359" s="32">
        <f>AA359/N359</f>
        <v>10.25</v>
      </c>
      <c r="AA359" s="4">
        <f>10.25*25.4</f>
        <v>260.34999999999997</v>
      </c>
      <c r="AB359" s="7">
        <f>MIN(S359/N359+0.5, W359/2/N359+0.5)</f>
        <v>2.5</v>
      </c>
      <c r="AC359" s="7">
        <f>S359/N359+0.5</f>
        <v>3</v>
      </c>
      <c r="AD359" s="38">
        <v>9.5</v>
      </c>
      <c r="AE359" s="4">
        <f>AD359</f>
        <v>9.5</v>
      </c>
      <c r="AF359" s="4">
        <f>AE359+1</f>
        <v>10.5</v>
      </c>
      <c r="AG359" s="7">
        <f>N359*AF359^0.5</f>
        <v>82.305406869779816</v>
      </c>
      <c r="AJ359" s="38">
        <f>AK359/0.145</f>
        <v>488.27586206896552</v>
      </c>
      <c r="AK359" s="4">
        <v>70.8</v>
      </c>
      <c r="AL359" s="4">
        <f>CY359</f>
        <v>0.90958443196571492</v>
      </c>
      <c r="AM359" s="38">
        <f>0.375*25.4</f>
        <v>9.5249999999999986</v>
      </c>
      <c r="AN359" s="38">
        <v>4</v>
      </c>
      <c r="AO359" s="39">
        <f>6*25.4</f>
        <v>152.39999999999998</v>
      </c>
      <c r="AP359" s="39">
        <v>1</v>
      </c>
      <c r="AQ359" s="39">
        <v>1</v>
      </c>
      <c r="AR359" s="7"/>
      <c r="AS359" s="4">
        <f>K359</f>
        <v>239.26799999999997</v>
      </c>
      <c r="AT359" s="4">
        <f>IF(K359*3&gt;W359+N359, Q359, (S359+N359/2)*2+1.5*K359*(2*X359-2))*(3*K359)/(9*K359^2)</f>
        <v>0.56617126680820962</v>
      </c>
      <c r="AU359" s="4">
        <f>MIN(10*M359^0.5*K359^1.5,100*3.9*M359^0.5*K359^(5/3))/(PI()/4*N359^2)/X359</f>
        <v>201.58469266666123</v>
      </c>
      <c r="AV359" s="4">
        <f>MIN(0.7+0.3*(MIN(S359,AA359)+0.5*N359)/1.5/K359,1)</f>
        <v>0.76369426751592351</v>
      </c>
      <c r="AW359" s="4">
        <v>1.25</v>
      </c>
      <c r="AX359" s="4">
        <f>AX358</f>
        <v>2.5</v>
      </c>
      <c r="AY359" s="38">
        <f>AT359*AV359*AW359*AX359*AU359</f>
        <v>272.37981990178423</v>
      </c>
      <c r="AZ359" s="38">
        <f>AY359</f>
        <v>272.37981990178423</v>
      </c>
      <c r="BA359" s="38">
        <f>IF(M359&lt;50, 0.3*M359^(2/3), 2.12*LN(1+0.1*(M359+8)))</f>
        <v>4.5752930713880566</v>
      </c>
      <c r="BB359" s="38">
        <f>AX359* (M359^0.5/AS359^0.5)/(PI()/4*N359^2)/X359/0.72 *(0.7+(MIN(S359,AA359)+0.5*N359)/5/K359) *(3*Q359*K359)</f>
        <v>272.37981990178383</v>
      </c>
      <c r="BC359" s="38">
        <f>AY359/BB359</f>
        <v>1.0000000000000016</v>
      </c>
      <c r="BD359" s="38">
        <f>BH359/BB359</f>
        <v>4.1888905813982245</v>
      </c>
      <c r="BE359" s="4">
        <f>IF(BD359&lt;1,1,0)</f>
        <v>0</v>
      </c>
      <c r="BF359" s="4">
        <f>L359/N359*M359^0.5/0.19</f>
        <v>410.49369687526774</v>
      </c>
      <c r="BG359" s="4">
        <f>MIN(0.6+0.4*(AC359/AB359),2)</f>
        <v>1.08</v>
      </c>
      <c r="BH359" s="38">
        <f>2*M359*AB359*AD359^0.5*BG359*0.7/0.7</f>
        <v>1140.9692621495269</v>
      </c>
      <c r="BI359" s="4">
        <f>MAX(1-0.7*AE359/5,0.3)</f>
        <v>0.3</v>
      </c>
      <c r="BJ359" s="4">
        <f>BI359*J359*L359/(J359*N359/2.75/M359^0.5)</f>
        <v>64.344886985198201</v>
      </c>
      <c r="BK359" s="4">
        <f>BH359+BJ359</f>
        <v>1205.3141491347251</v>
      </c>
      <c r="BM359" s="4">
        <f>MIN(1.5, 0.75+0.25*MIN(3,MAX(1,S359/N359))+0.4*MIN(1,(40*2*PI()*AM359^2/4/AO359/X359)/N359))</f>
        <v>1.5</v>
      </c>
      <c r="BN359" s="4">
        <f>(3*P359+30)*BM359*M359^0.5</f>
        <v>723.55396945717973</v>
      </c>
      <c r="BP359" s="4">
        <f>3.4/PI()^0.5*M359*AB359*AE359^0.5*BG359</f>
        <v>1094.329053849985</v>
      </c>
      <c r="BQ359" s="4">
        <f>8/3*AH359*AI359^2/(AG359-N359-22)/N359*(AG359^2-N359^2)/(AG359^2-(N359+22)^2)</f>
        <v>0</v>
      </c>
      <c r="BR359" s="4">
        <f>BQ359/BP359</f>
        <v>0</v>
      </c>
      <c r="BZ359" s="4">
        <f>IF(W359=0,S359,MIN(W359/2,S359))</f>
        <v>50.8</v>
      </c>
      <c r="CD359" s="9"/>
      <c r="CF359" s="9"/>
      <c r="CG359" s="9"/>
      <c r="CH359" s="9">
        <f>IF(W359=0,MIN(S359,U359),MIN(W359/2,S359,U359))</f>
        <v>50.8</v>
      </c>
      <c r="CI359" s="9">
        <f>MAX(W359/2,S359)</f>
        <v>63.5</v>
      </c>
      <c r="CJ359" s="9">
        <f>(CH359/N359)^0.5*(CI359/CH359)^0.15</f>
        <v>1.4623505735569622</v>
      </c>
      <c r="CK359" s="70">
        <f>IF(AO359&gt;1,20,0)</f>
        <v>20</v>
      </c>
      <c r="CL359" s="9">
        <f>MIN(PI()*AM359^2/4*AN359*2/X359/N359/MAX(0.01,AO359),0.05)</f>
        <v>4.9087385212340517E-2</v>
      </c>
      <c r="CM359" s="9">
        <f>MAX(0,CK359*(CL359-0.5/50))</f>
        <v>0.78174770424681028</v>
      </c>
      <c r="CN359" s="9">
        <f>MIN(1,(25/N359)^0.3)</f>
        <v>0.99524931562137331</v>
      </c>
      <c r="CO359" s="9">
        <f>IF(J359&gt;=800,0.68,IF(J359&gt;=700,0.75-(J359-700)*0.07/100,IF(J359&gt;=600,0.85-(J359-600)*0.1/100,IF(J359&gt;=500,1-(J359-500)*0.15/100,1.2-(J359-400)*0.2/100))))</f>
        <v>0.68</v>
      </c>
      <c r="CP359" s="9">
        <f>1.75*CN359*CO359*(M359/25)^0.5</f>
        <v>1.9611826194568933</v>
      </c>
      <c r="CQ359" s="9">
        <f>MIN((CJ359+CM359)*CP359,2.5*CP359,M359^0.5)</f>
        <v>4.4010865387819056</v>
      </c>
      <c r="CR359" s="40">
        <v>1</v>
      </c>
      <c r="CS359" s="9">
        <f>4*CQ359*P359+60*CQ359</f>
        <v>429.89813310821648</v>
      </c>
      <c r="CU359" s="4">
        <f>AJ359/BF359</f>
        <v>1.1894844324913778</v>
      </c>
      <c r="CV359" s="4">
        <f>AJ359/BK359</f>
        <v>0.40510257215472878</v>
      </c>
      <c r="CW359" s="4">
        <f>AJ359/BN359</f>
        <v>0.67482991273653969</v>
      </c>
      <c r="CX359" s="4">
        <f>AJ359/CS359</f>
        <v>1.135794330016441</v>
      </c>
      <c r="CY359" s="4">
        <f>AJ359/DZ359</f>
        <v>0.90958443196571492</v>
      </c>
      <c r="CZ359" s="4">
        <f>AJ359/EL359</f>
        <v>0.88584801505264343</v>
      </c>
      <c r="DA359" s="4">
        <f>AJ359/GI359</f>
        <v>1.1302150740598296</v>
      </c>
      <c r="DB359" s="4">
        <f>AN359</f>
        <v>4</v>
      </c>
      <c r="DI359" s="4">
        <f>CU359</f>
        <v>1.1894844324913778</v>
      </c>
      <c r="DJ359" s="4">
        <f>CV359</f>
        <v>0.40510257215472878</v>
      </c>
      <c r="DK359" s="4">
        <f>CX359</f>
        <v>1.135794330016441</v>
      </c>
      <c r="DL359" s="4">
        <f>DA359</f>
        <v>1.1302150740598296</v>
      </c>
      <c r="DM359" s="4">
        <f>CY359</f>
        <v>0.90958443196571492</v>
      </c>
      <c r="DN359" s="4">
        <f>CZ359</f>
        <v>0.88584801505264343</v>
      </c>
      <c r="DQ359" s="4">
        <f>L359</f>
        <v>239.26799999999997</v>
      </c>
      <c r="DT359" s="4">
        <f>K359/4/(1-0.3*(M359/30)^0.5)/200000/N359</f>
        <v>2.154589546135624E-5</v>
      </c>
      <c r="DU359" s="4">
        <f>EP359</f>
        <v>9.9735059019366208</v>
      </c>
      <c r="DV359" s="4">
        <f>EC359*AG359/257/M359/AD359</f>
        <v>0.13394551727812634</v>
      </c>
      <c r="DW359" s="4">
        <f>DU359*DV359^0.4</f>
        <v>4.4629202110573463</v>
      </c>
      <c r="DX359" s="4">
        <f>MIN(DU359, DU359/1.4*(1-DV359^1.4)/(1-DV359))</f>
        <v>7.732702018789797</v>
      </c>
      <c r="DY359" s="4">
        <f>MAX(DU359/2, (4-DT359*(8*AG359*(DW359-DX359)+6*K359*DX359))/(4+DT359*K359*DU359)*DU359)</f>
        <v>9.372320963877053</v>
      </c>
      <c r="DZ359" s="38">
        <f>MIN(1/N359*(4*AG359*(DW359-DX359)+(3*DX359+DY359)*K359)+EC359 -FJ359,MAX(J359,AJ359))</f>
        <v>536.81202635993463</v>
      </c>
      <c r="EA359" s="4">
        <f>DZ359/FF359</f>
        <v>1.0000935950550178</v>
      </c>
      <c r="EB359" s="4">
        <f>AG359/N359</f>
        <v>3.2403703492039297</v>
      </c>
      <c r="EC359" s="4">
        <f>MIN(EB$10*BB359)</f>
        <v>272.37981990178383</v>
      </c>
      <c r="EG359" s="4">
        <f>IF(U359&gt;1*N359,0.85,1)</f>
        <v>0.85</v>
      </c>
      <c r="EH359" s="4">
        <f>MIN(1,MAX(0.7,(1-0.1*(BZ359-1*N359)/N359)))</f>
        <v>0.9</v>
      </c>
      <c r="EI359" s="4">
        <f>MIN(1,MAX(0.7,1-0.3*(PI()*AM359^2/4*AQ359*2-0.25*PI()/4*N359^2)/(PI()/4*N359^2)))</f>
        <v>0.99062499999999998</v>
      </c>
      <c r="EJ359" s="4">
        <f>IF(EH359*EI359&lt;0.7,0.7,EH359*EI359)</f>
        <v>0.89156250000000004</v>
      </c>
      <c r="EL359" s="4">
        <f>MIN(DU359/N359*3*K359+EM359-FJ359,MAX(J359,AJ359))</f>
        <v>551.19597693058972</v>
      </c>
      <c r="EM359" s="25">
        <f>13.3*Q359*K359^0.5*M359^0.5/X359/N359^2*(0.7+S359/5/K359)</f>
        <v>269.34470014186081</v>
      </c>
      <c r="EO359" s="4">
        <f>EG359*EJ359</f>
        <v>0.75782812499999996</v>
      </c>
      <c r="EP359" s="4">
        <f>IF(N359&lt;22.2,1.1*5*(M359/30)^0.5,IF(N359&gt;=31.8,0.9*5*(M359/30)^0.5,1*5*(M359/30)^0.5))/EG359/EJ359</f>
        <v>9.9735059019366208</v>
      </c>
      <c r="ES359" s="4">
        <f>ET359*N359</f>
        <v>82.305406869779816</v>
      </c>
      <c r="ET359" s="4">
        <f>AF359^0.5</f>
        <v>3.2403703492039302</v>
      </c>
      <c r="EU359" s="4">
        <f>MIN(EC359)/(4700*M359^0.5)/AE359*ES359</f>
        <v>6.064187770259262E-2</v>
      </c>
      <c r="EX359" s="4">
        <f>EU359</f>
        <v>6.064187770259262E-2</v>
      </c>
      <c r="EY359" s="4">
        <f>MIN(0.999, EX359/(0.3*(M359/30)^0.5))</f>
        <v>0.13372198717383998</v>
      </c>
      <c r="EZ359" s="4">
        <f>EP359/1*EY359^0.4</f>
        <v>4.4599396054304208</v>
      </c>
      <c r="FA359" s="4">
        <f>EP359/1.4*(1-EY359^1.4)/(1-EY359)</f>
        <v>7.7318579159388037</v>
      </c>
      <c r="FB359" s="4">
        <f>MAX(0,DQ359*FB$9-ES359)</f>
        <v>97.145593130220149</v>
      </c>
      <c r="FC359" s="4">
        <f>MAX(0,DQ359-ES359-FB359)</f>
        <v>59.817000000000021</v>
      </c>
      <c r="FD359" s="4">
        <f>FC359/(1-0.3*(M359/30)^0.5)/200000/N359</f>
        <v>2.154589546135625E-5</v>
      </c>
      <c r="FE359" s="4">
        <f>MAX(0.5*EP359, (1-2*FD359*(ES359*EZ359+FB359*FA359))/(1/EP359+FD359*FC359))</f>
        <v>9.3724598533105858</v>
      </c>
      <c r="FF359" s="4">
        <f>MIN(4/N359*(1*EZ359*ES359+FA359*FB359+FC359*FE359)+EC359,MAX(J359,AJ359))</f>
        <v>536.76178811084492</v>
      </c>
      <c r="FO359" s="23">
        <f>IF(CU359&lt;0.6,0.6,IF(CU359&lt;0.8,0.8,IF(CU359&lt;1,1,IF(CU359&lt;1.2,1.2,IF(CU359&lt;1.4,1.4,IF(CU359&lt;1.6,1.6,IF(CU359&lt;1.8,1.8,IF(CU359&lt;2,2,2.2))))))))</f>
        <v>1.2</v>
      </c>
      <c r="FP359" s="23">
        <f>IF(CV359&lt;0.6,0.6,IF(CV359&lt;0.8,0.8,IF(CV359&lt;1,1,IF(CV359&lt;1.2,1.2,IF(CV359&lt;1.4,1.4,IF(CV359&lt;1.6,1.6,IF(CV359&lt;1.8,1.8,IF(CV359&lt;2,2,2.2))))))))</f>
        <v>0.6</v>
      </c>
      <c r="FQ359" s="23">
        <f>IF(DA359&lt;0.6,0.6,IF(DA359&lt;0.8,0.8,IF(DA359&lt;1,1,IF(DA359&lt;1.2,1.2,IF(DA359&lt;1.4,1.4,IF(DA359&lt;1.6,1.6,IF(DA359&lt;1.8,1.8,IF(DA359&lt;2,2,2.2))))))))</f>
        <v>1.2</v>
      </c>
      <c r="FR359" s="23">
        <f>IF(CX359&lt;0.6,0.6,IF(CX359&lt;0.8,0.8,IF(CX359&lt;1,1,IF(CX359&lt;1.2,1.2,IF(CX359&lt;1.4,1.4,IF(CX359&lt;1.6,1.6,IF(CX359&lt;1.8,1.8,IF(CX359&lt;2,2,2.2))))))))</f>
        <v>1.2</v>
      </c>
      <c r="FS359" s="23">
        <f>IF(CY359&lt;0.6,0.6,IF(CY359&lt;0.8,0.8,IF(CY359&lt;1,1,IF(CY359&lt;1.2,1.2,IF(CY359&lt;1.4,1.4,IF(CY359&lt;1.6,1.6,IF(CY359&lt;1.8,1.8,IF(CY359&lt;2,2,2.2))))))))</f>
        <v>1</v>
      </c>
      <c r="FT359" s="23">
        <f>IF(CZ359&lt;0.6,0.6,IF(CZ359&lt;0.8,0.8,IF(CZ359&lt;1,1,IF(CZ359&lt;1.2,1.2,IF(CZ359&lt;1.4,1.4,IF(CZ359&lt;1.6,1.6,IF(CZ359&lt;1.8,1.8,IF(CZ359&lt;2,2,2.2))))))))</f>
        <v>1</v>
      </c>
      <c r="FU359" s="23">
        <f>IF(FS359&lt;1,1,0)</f>
        <v>0</v>
      </c>
      <c r="FV359" s="23"/>
      <c r="GF359" s="4">
        <f>IF(S359&gt;=2.5*25.4,1,1.25)</f>
        <v>1</v>
      </c>
      <c r="GG359" s="4">
        <f>IF(AO359&gt;1, 0.05*(18-MIN(8,(W359+N359)/N359))*(1-48000/MAX(60000,(J359*145))*(N359/25.4)^0.75*GH359), 1/12*(14-MIN(8,(W359+N359)/N359)))</f>
        <v>0.62562499999999999</v>
      </c>
      <c r="GH359" s="4">
        <f>MIN(0.3, AM359^2*PI()/4*2*AP359/(N359^2*PI()/4*X359))</f>
        <v>9.3749999999999986E-2</v>
      </c>
      <c r="GI359" s="4">
        <f>(K359/25.4)/(N359/25.4)^1.5/0.0024*(M359*145)^0.25/GF359/GG359/145</f>
        <v>432.02030593614074</v>
      </c>
    </row>
    <row r="360" spans="1:191" ht="12" customHeight="1" x14ac:dyDescent="0.3">
      <c r="A360" s="25">
        <v>406</v>
      </c>
      <c r="B360" s="4" t="s">
        <v>605</v>
      </c>
      <c r="C360" s="4">
        <v>2016</v>
      </c>
      <c r="D360" s="4" t="s">
        <v>309</v>
      </c>
      <c r="E360" s="14" t="s">
        <v>677</v>
      </c>
      <c r="F360" s="14"/>
      <c r="G360" s="14">
        <v>28</v>
      </c>
      <c r="H360" s="48" t="s">
        <v>575</v>
      </c>
      <c r="I360" s="5">
        <f>K360/N360</f>
        <v>9.3800000000000008</v>
      </c>
      <c r="J360" s="78">
        <f>115.9/0.145</f>
        <v>799.31034482758628</v>
      </c>
      <c r="K360" s="47">
        <f>9.38*25.4</f>
        <v>238.25200000000001</v>
      </c>
      <c r="L360" s="4">
        <f>K360</f>
        <v>238.25200000000001</v>
      </c>
      <c r="M360" s="47">
        <f>8800/145</f>
        <v>60.689655172413794</v>
      </c>
      <c r="N360" s="38">
        <f>1*25.4</f>
        <v>25.4</v>
      </c>
      <c r="O360" s="7">
        <f>K360/N360</f>
        <v>9.3800000000000008</v>
      </c>
      <c r="P360" s="7">
        <f>L360/N360</f>
        <v>9.3800000000000008</v>
      </c>
      <c r="Q360" s="38">
        <f>17.1*25.4</f>
        <v>434.34000000000003</v>
      </c>
      <c r="R360" s="32">
        <f>S360/N360</f>
        <v>2.5499999999999998</v>
      </c>
      <c r="S360" s="38">
        <f>2.55*25.4</f>
        <v>64.77</v>
      </c>
      <c r="T360" s="32">
        <f>U360/N360</f>
        <v>3.2</v>
      </c>
      <c r="U360" s="39">
        <f>3.2*25.4</f>
        <v>81.28</v>
      </c>
      <c r="V360" s="32">
        <f>W360/N360</f>
        <v>10.000000000000002</v>
      </c>
      <c r="W360" s="7">
        <f>(Q360-X360*N360-2*S360)/(X360-1)</f>
        <v>254.00000000000003</v>
      </c>
      <c r="X360" s="38">
        <v>2</v>
      </c>
      <c r="Y360" s="7">
        <f>AN360</f>
        <v>10</v>
      </c>
      <c r="Z360" s="32">
        <f>AA360/N360</f>
        <v>20</v>
      </c>
      <c r="AA360" s="4">
        <f>20*25.4</f>
        <v>508</v>
      </c>
      <c r="AB360" s="7">
        <f>MIN(S360/N360+0.5, W360/2/N360+0.5)</f>
        <v>3.05</v>
      </c>
      <c r="AC360" s="7">
        <f>S360/N360+0.5</f>
        <v>3.05</v>
      </c>
      <c r="AD360" s="38">
        <v>12.9</v>
      </c>
      <c r="AE360" s="4">
        <f>AD360</f>
        <v>12.9</v>
      </c>
      <c r="AF360" s="4">
        <f>AE360+1</f>
        <v>13.9</v>
      </c>
      <c r="AG360" s="7">
        <f>N360*AF360^0.5</f>
        <v>94.698067562120812</v>
      </c>
      <c r="AJ360" s="38">
        <f>AK360/0.145</f>
        <v>728.96551724137942</v>
      </c>
      <c r="AK360" s="4">
        <v>105.7</v>
      </c>
      <c r="AL360" s="4">
        <f>CY360</f>
        <v>0.99413885294838056</v>
      </c>
      <c r="AM360" s="38">
        <f>0.5*25.4</f>
        <v>12.7</v>
      </c>
      <c r="AN360" s="38">
        <v>10</v>
      </c>
      <c r="AO360" s="39">
        <f>3*25.4</f>
        <v>76.199999999999989</v>
      </c>
      <c r="AP360" s="39">
        <v>3</v>
      </c>
      <c r="AQ360" s="39">
        <f>AP360-1</f>
        <v>2</v>
      </c>
      <c r="AR360" s="7"/>
      <c r="AS360" s="4">
        <f>K360</f>
        <v>238.25200000000001</v>
      </c>
      <c r="AT360" s="4">
        <f>IF(K360*3&gt;W360+N360, Q360, (S360+N360/2)*2+1.5*K360*(2*X360-2))*(3*K360)/(9*K360^2)</f>
        <v>0.60767590618336897</v>
      </c>
      <c r="AU360" s="4">
        <f>MIN(10*M360^0.5*K360^1.5,100*3.9*M360^0.5*K360^(5/3))/(PI()/4*N360^2)/X360</f>
        <v>282.69938075844567</v>
      </c>
      <c r="AV360" s="4">
        <f>MIN(0.7+0.3*(MIN(S360,AA360)+0.5*N360)/1.5/K360,1)</f>
        <v>0.76503198294243069</v>
      </c>
      <c r="AW360" s="4">
        <v>1.25</v>
      </c>
      <c r="AX360" s="4">
        <f>AX359</f>
        <v>2.5</v>
      </c>
      <c r="AY360" s="38">
        <f>AT360*AV360*AW360*AX360*AU360</f>
        <v>410.70168799237626</v>
      </c>
      <c r="AZ360" s="38">
        <f>AY360</f>
        <v>410.70168799237626</v>
      </c>
      <c r="BA360" s="38">
        <f>IF(M360&lt;50, 0.3*M360^(2/3), 2.12*LN(1+0.1*(M360+8)))</f>
        <v>4.3734044077759826</v>
      </c>
      <c r="BB360" s="38">
        <f>AX360* (M360^0.5/AS360^0.5)/(PI()/4*N360^2)/X360/0.72 *(0.7+(MIN(S360,AA360)+0.5*N360)/5/K360) *(3*Q360*K360)</f>
        <v>410.70168799237581</v>
      </c>
      <c r="BC360" s="38">
        <f>AY360/BB360</f>
        <v>1.0000000000000011</v>
      </c>
      <c r="BD360" s="38">
        <f>BH360/BB360</f>
        <v>3.2375230733939095</v>
      </c>
      <c r="BE360" s="4">
        <f>IF(BD360&lt;1,1,0)</f>
        <v>0</v>
      </c>
      <c r="BF360" s="4">
        <f>L360/N360*M360^0.5/0.19</f>
        <v>384.59760229875792</v>
      </c>
      <c r="BG360" s="4">
        <f>MIN(0.6+0.4*(AC360/AB360),2)</f>
        <v>1</v>
      </c>
      <c r="BH360" s="38">
        <f>2*M360*AB360*AD360^0.5*BG360*0.7/0.7</f>
        <v>1329.656191157143</v>
      </c>
      <c r="BI360" s="4">
        <f>MAX(1-0.7*AE360/5,0.3)</f>
        <v>0.3</v>
      </c>
      <c r="BJ360" s="4">
        <f>BI360*J360*L360/(J360*N360/2.75/M360^0.5)</f>
        <v>60.285674160330302</v>
      </c>
      <c r="BK360" s="4">
        <f>BH360+BJ360</f>
        <v>1389.9418653174732</v>
      </c>
      <c r="BM360" s="4">
        <f>MIN(1.5, 0.75+0.25*MIN(3,MAX(1,S360/N360))+0.4*MIN(1,(40*2*PI()*AM360^2/4/AO360/X360)/N360))</f>
        <v>1.5</v>
      </c>
      <c r="BN360" s="4">
        <f>(3*P360+30)*BM360*M360^0.5</f>
        <v>679.39699470471101</v>
      </c>
      <c r="BP360" s="4">
        <f>3.4/PI()^0.5*M360*AB360*AE360^0.5*BG360</f>
        <v>1275.3028936760954</v>
      </c>
      <c r="BQ360" s="4">
        <f>8/3*AH360*AI360^2/(AG360-N360-22)/N360*(AG360^2-N360^2)/(AG360^2-(N360+22)^2)</f>
        <v>0</v>
      </c>
      <c r="BR360" s="4">
        <f>BQ360/BP360</f>
        <v>0</v>
      </c>
      <c r="BZ360" s="4">
        <f>IF(W360=0,S360,MIN(W360/2,S360))</f>
        <v>64.77</v>
      </c>
      <c r="CD360" s="9"/>
      <c r="CF360" s="9"/>
      <c r="CG360" s="9"/>
      <c r="CH360" s="9">
        <f>IF(W360=0,MIN(S360,U360),MIN(W360/2,S360,U360))</f>
        <v>64.77</v>
      </c>
      <c r="CI360" s="9">
        <f>MAX(W360/2,S360)</f>
        <v>127.00000000000001</v>
      </c>
      <c r="CJ360" s="9">
        <f>(CH360/N360)^0.5*(CI360/CH360)^0.15</f>
        <v>1.7665851027593089</v>
      </c>
      <c r="CK360" s="70">
        <f>IF(AO360&gt;1,20,0)</f>
        <v>20</v>
      </c>
      <c r="CL360" s="9">
        <f>MIN(PI()*AM360^2/4*AN360*2/X360/N360/MAX(0.01,AO360),0.05)</f>
        <v>0.05</v>
      </c>
      <c r="CM360" s="9">
        <f>MAX(0,CK360*(CL360-0.5/50))</f>
        <v>0.8</v>
      </c>
      <c r="CN360" s="9">
        <f>MIN(1,(25/N360)^0.3)</f>
        <v>0.99524931562137331</v>
      </c>
      <c r="CO360" s="9">
        <f>IF(J360&gt;=800,0.68,IF(J360&gt;=700,0.75-(J360-700)*0.07/100,IF(J360&gt;=600,0.85-(J360-600)*0.1/100,IF(J360&gt;=500,1-(J360-500)*0.15/100,1.2-(J360-400)*0.2/100))))</f>
        <v>0.68048275862068963</v>
      </c>
      <c r="CP360" s="9">
        <f>1.75*CN360*CO360*(M360/25)^0.5</f>
        <v>1.8466066401443861</v>
      </c>
      <c r="CQ360" s="9">
        <f>MIN((CJ360+CM360)*CP360,2.5*CP360,M360^0.5)</f>
        <v>4.6165166003609652</v>
      </c>
      <c r="CR360" s="40">
        <v>1</v>
      </c>
      <c r="CS360" s="9">
        <f>4*CQ360*P360+60*CQ360</f>
        <v>450.20269886720132</v>
      </c>
      <c r="CU360" s="4">
        <f>AJ360/BF360</f>
        <v>1.8953979767016702</v>
      </c>
      <c r="CV360" s="4">
        <f>AJ360/BK360</f>
        <v>0.5244575585719754</v>
      </c>
      <c r="CW360" s="4">
        <f>AJ360/BN360</f>
        <v>1.0729595846360971</v>
      </c>
      <c r="CX360" s="4">
        <f>AJ360/CS360</f>
        <v>1.619194018773322</v>
      </c>
      <c r="CY360" s="4">
        <f>AJ360/DZ360</f>
        <v>0.99413885294838056</v>
      </c>
      <c r="CZ360" s="4">
        <f>AJ360/EL360</f>
        <v>0.98184147159351287</v>
      </c>
      <c r="DA360" s="4">
        <f>AJ360/GI360</f>
        <v>1.2226871085348725</v>
      </c>
      <c r="DB360" s="4">
        <f>AN360</f>
        <v>10</v>
      </c>
      <c r="DI360" s="4">
        <f>CU360</f>
        <v>1.8953979767016702</v>
      </c>
      <c r="DJ360" s="4">
        <f>CV360</f>
        <v>0.5244575585719754</v>
      </c>
      <c r="DK360" s="4">
        <f>CX360</f>
        <v>1.619194018773322</v>
      </c>
      <c r="DL360" s="4">
        <f>DA360</f>
        <v>1.2226871085348725</v>
      </c>
      <c r="DM360" s="4">
        <f>CY360</f>
        <v>0.99413885294838056</v>
      </c>
      <c r="DN360" s="4">
        <f>CZ360</f>
        <v>0.98184147159351287</v>
      </c>
      <c r="DQ360" s="4">
        <f>L360</f>
        <v>238.25200000000001</v>
      </c>
      <c r="DT360" s="4">
        <f>K360/4/(1-0.3*(M360/30)^0.5)/200000/N360</f>
        <v>2.0451606401250436E-5</v>
      </c>
      <c r="DU360" s="4">
        <f>EP360</f>
        <v>11.952252138130413</v>
      </c>
      <c r="DV360" s="4">
        <f>EC360*AG360/257/M360/AD360</f>
        <v>0.19329921975455272</v>
      </c>
      <c r="DW360" s="4">
        <f>DU360*DV360^0.4</f>
        <v>6.1935804996758534</v>
      </c>
      <c r="DX360" s="4">
        <f>MIN(DU360, DU360/1.4*(1-DV360^1.4)/(1-DV360))</f>
        <v>9.5229483944501201</v>
      </c>
      <c r="DY360" s="4">
        <f>MAX(DU360/2, (4-DT360*(8*AG360*(DW360-DX360)+6*K360*DX360))/(4+DT360*K360*DU360)*DU360)</f>
        <v>11.112682316132476</v>
      </c>
      <c r="DZ360" s="38">
        <f>MIN(1/N360*(4*AG360*(DW360-DX360)+(3*DX360+DY360)*K360)+EC360 -FJ360,MAX(J360,AJ360))</f>
        <v>733.26328115981005</v>
      </c>
      <c r="EA360" s="4">
        <f>DZ360/FF360</f>
        <v>1.0001050543831476</v>
      </c>
      <c r="EB360" s="4">
        <f>AG360/N360</f>
        <v>3.7282703764614493</v>
      </c>
      <c r="EC360" s="4">
        <f>MIN(EB$10*BB360)</f>
        <v>410.70168799237581</v>
      </c>
      <c r="EG360" s="4">
        <f>IF(U360&gt;1*N360,0.85,1)</f>
        <v>0.85</v>
      </c>
      <c r="EH360" s="4">
        <f>MIN(1,MAX(0.7,(1-0.1*(BZ360-1*N360)/N360)))</f>
        <v>0.84499999999999997</v>
      </c>
      <c r="EI360" s="4">
        <f>MIN(1,MAX(0.7,1-0.3*(PI()*AM360^2/4*AQ360*2-0.25*PI()/4*N360^2)/(PI()/4*N360^2)))</f>
        <v>0.77500000000000002</v>
      </c>
      <c r="EJ360" s="4">
        <f>IF(EH360*EI360&lt;0.7,0.7,EH360*EI360)</f>
        <v>0.7</v>
      </c>
      <c r="EL360" s="4">
        <f>MIN(DU360/N360*3*K360+EM360-FJ360,MAX(J360,AJ360))</f>
        <v>742.44726703006359</v>
      </c>
      <c r="EM360" s="25">
        <f>13.3*Q360*K360^0.5*M360^0.5/X360/N360^2*(0.7+S360/5/K360)</f>
        <v>406.11089186307373</v>
      </c>
      <c r="EO360" s="4">
        <f>EG360*EJ360</f>
        <v>0.59499999999999997</v>
      </c>
      <c r="EP360" s="4">
        <f>IF(N360&lt;22.2,1.1*5*(M360/30)^0.5,IF(N360&gt;=31.8,0.9*5*(M360/30)^0.5,1*5*(M360/30)^0.5))/EG360/EJ360</f>
        <v>11.952252138130413</v>
      </c>
      <c r="ES360" s="4">
        <f>ET360*N360</f>
        <v>94.698067562120812</v>
      </c>
      <c r="ET360" s="4">
        <f>AF360^0.5</f>
        <v>3.7282703764614498</v>
      </c>
      <c r="EU360" s="4">
        <f>MIN(EC360)/(4700*M360^0.5)/AE360*ES360</f>
        <v>8.2342244589026295E-2</v>
      </c>
      <c r="EX360" s="4">
        <f>EU360</f>
        <v>8.2342244589026295E-2</v>
      </c>
      <c r="EY360" s="4">
        <f>MIN(0.999, EX360/(0.3*(M360/30)^0.5))</f>
        <v>0.19297663938285961</v>
      </c>
      <c r="EZ360" s="4">
        <f>EP360/1*EY360^0.4</f>
        <v>6.1894440553714247</v>
      </c>
      <c r="FA360" s="4">
        <f>EP360/1.4*(1-EY360^1.4)/(1-EY360)</f>
        <v>9.5216167653525225</v>
      </c>
      <c r="FB360" s="4">
        <f>MAX(0,DQ360*FB$9-ES360)</f>
        <v>83.990932437879209</v>
      </c>
      <c r="FC360" s="4">
        <f>MAX(0,DQ360-ES360-FB360)</f>
        <v>59.563000000000002</v>
      </c>
      <c r="FD360" s="4">
        <f>FC360/(1-0.3*(M360/30)^0.5)/200000/N360</f>
        <v>2.0451606401250436E-5</v>
      </c>
      <c r="FE360" s="4">
        <f>MAX(0.5*EP360, (1-2*FD360*(ES360*EZ360+FB360*FA360))/(1/EP360+FD360*FC360))</f>
        <v>11.112924965456761</v>
      </c>
      <c r="FF360" s="4">
        <f>MIN(4/N360*(1*EZ360*ES360+FA360*FB360+FC360*FE360)+EC360,MAX(J360,AJ360))</f>
        <v>733.18625672987696</v>
      </c>
      <c r="FI360" s="4">
        <f>5.25*25.4</f>
        <v>133.35</v>
      </c>
      <c r="FO360" s="23">
        <f>IF(CU360&lt;0.6,0.6,IF(CU360&lt;0.8,0.8,IF(CU360&lt;1,1,IF(CU360&lt;1.2,1.2,IF(CU360&lt;1.4,1.4,IF(CU360&lt;1.6,1.6,IF(CU360&lt;1.8,1.8,IF(CU360&lt;2,2,2.2))))))))</f>
        <v>2</v>
      </c>
      <c r="FP360" s="23">
        <f>IF(CV360&lt;0.6,0.6,IF(CV360&lt;0.8,0.8,IF(CV360&lt;1,1,IF(CV360&lt;1.2,1.2,IF(CV360&lt;1.4,1.4,IF(CV360&lt;1.6,1.6,IF(CV360&lt;1.8,1.8,IF(CV360&lt;2,2,2.2))))))))</f>
        <v>0.6</v>
      </c>
      <c r="FQ360" s="23">
        <f>IF(DA360&lt;0.6,0.6,IF(DA360&lt;0.8,0.8,IF(DA360&lt;1,1,IF(DA360&lt;1.2,1.2,IF(DA360&lt;1.4,1.4,IF(DA360&lt;1.6,1.6,IF(DA360&lt;1.8,1.8,IF(DA360&lt;2,2,2.2))))))))</f>
        <v>1.4</v>
      </c>
      <c r="FR360" s="23">
        <f>IF(CX360&lt;0.6,0.6,IF(CX360&lt;0.8,0.8,IF(CX360&lt;1,1,IF(CX360&lt;1.2,1.2,IF(CX360&lt;1.4,1.4,IF(CX360&lt;1.6,1.6,IF(CX360&lt;1.8,1.8,IF(CX360&lt;2,2,2.2))))))))</f>
        <v>1.8</v>
      </c>
      <c r="FS360" s="23">
        <f>IF(CY360&lt;0.6,0.6,IF(CY360&lt;0.8,0.8,IF(CY360&lt;1,1,IF(CY360&lt;1.2,1.2,IF(CY360&lt;1.4,1.4,IF(CY360&lt;1.6,1.6,IF(CY360&lt;1.8,1.8,IF(CY360&lt;2,2,2.2))))))))</f>
        <v>1</v>
      </c>
      <c r="FT360" s="23">
        <f>IF(CZ360&lt;0.6,0.6,IF(CZ360&lt;0.8,0.8,IF(CZ360&lt;1,1,IF(CZ360&lt;1.2,1.2,IF(CZ360&lt;1.4,1.4,IF(CZ360&lt;1.6,1.6,IF(CZ360&lt;1.8,1.8,IF(CZ360&lt;2,2,2.2))))))))</f>
        <v>1</v>
      </c>
      <c r="FU360" s="23">
        <f>IF(FS360&lt;1,1,0)</f>
        <v>0</v>
      </c>
      <c r="FV360" s="23"/>
      <c r="GF360" s="4">
        <f>IF(S360&gt;=2.5*25.4,1,1.25)</f>
        <v>1</v>
      </c>
      <c r="GG360" s="4">
        <f>IF(AO360&gt;1, 0.05*(18-MIN(8,(W360+N360)/N360))*(1-48000/MAX(60000,(J360*145))*(N360/25.4)^0.75*GH360), 1/12*(14-MIN(8,(W360+N360)/N360)))</f>
        <v>0.43787748058671272</v>
      </c>
      <c r="GH360" s="4">
        <f>MIN(0.3, AM360^2*PI()/4*2*AP360/(N360^2*PI()/4*X360))</f>
        <v>0.3</v>
      </c>
      <c r="GI360" s="4">
        <f>(K360/25.4)/(N360/25.4)^1.5/0.0024*(M360*145)^0.25/GF360/GG360/145</f>
        <v>596.1995609121027</v>
      </c>
    </row>
    <row r="361" spans="1:191" ht="12" customHeight="1" x14ac:dyDescent="0.3">
      <c r="A361" s="25">
        <v>302</v>
      </c>
      <c r="B361" s="4" t="s">
        <v>605</v>
      </c>
      <c r="C361" s="4">
        <v>2016</v>
      </c>
      <c r="D361" s="4" t="s">
        <v>309</v>
      </c>
      <c r="E361" s="24" t="s">
        <v>462</v>
      </c>
      <c r="F361" s="24"/>
      <c r="G361" s="24">
        <v>29</v>
      </c>
      <c r="H361" s="7" t="s">
        <v>463</v>
      </c>
      <c r="I361" s="5">
        <f>K361/N361</f>
        <v>9.3800000000000008</v>
      </c>
      <c r="J361" s="91">
        <f>120/0.145</f>
        <v>827.58620689655174</v>
      </c>
      <c r="K361" s="47">
        <f>9.38*25.4</f>
        <v>238.25200000000001</v>
      </c>
      <c r="L361" s="4">
        <f>K361</f>
        <v>238.25200000000001</v>
      </c>
      <c r="M361" s="47">
        <f>9040/145</f>
        <v>62.344827586206897</v>
      </c>
      <c r="N361" s="96">
        <f>1*25.4</f>
        <v>25.4</v>
      </c>
      <c r="O361" s="7">
        <f>K361/N361</f>
        <v>9.3800000000000008</v>
      </c>
      <c r="P361" s="7">
        <f>L361/N361</f>
        <v>9.3800000000000008</v>
      </c>
      <c r="Q361" s="38">
        <f>17*25.4</f>
        <v>431.79999999999995</v>
      </c>
      <c r="R361" s="32">
        <f>S361/N361</f>
        <v>2.5</v>
      </c>
      <c r="S361" s="38">
        <f>2.5*25.4</f>
        <v>63.5</v>
      </c>
      <c r="T361" s="32">
        <f>U361/N361</f>
        <v>3.4000000000000004</v>
      </c>
      <c r="U361" s="39">
        <f>3.4*25.4</f>
        <v>86.36</v>
      </c>
      <c r="V361" s="32">
        <f>W361/N361</f>
        <v>9.9999999999999982</v>
      </c>
      <c r="W361" s="7">
        <f>(Q361-X361*N361-2*S361)/(X361-1)</f>
        <v>253.99999999999994</v>
      </c>
      <c r="X361" s="38">
        <v>2</v>
      </c>
      <c r="Y361" s="7">
        <f>AN361</f>
        <v>0</v>
      </c>
      <c r="Z361" s="32">
        <f>AA361/N361</f>
        <v>10.25</v>
      </c>
      <c r="AA361" s="4">
        <f>10.25*25.4</f>
        <v>260.34999999999997</v>
      </c>
      <c r="AB361" s="7">
        <f>MIN(S361/N361+0.5, W361/2/N361+0.5)</f>
        <v>3</v>
      </c>
      <c r="AC361" s="7">
        <f>S361/N361+0.5</f>
        <v>3</v>
      </c>
      <c r="AD361" s="38">
        <v>9.5</v>
      </c>
      <c r="AE361" s="4">
        <f>AD361</f>
        <v>9.5</v>
      </c>
      <c r="AF361" s="4">
        <f>AE361+1</f>
        <v>10.5</v>
      </c>
      <c r="AG361" s="7">
        <f>N361*AF361^0.5</f>
        <v>82.305406869779816</v>
      </c>
      <c r="AJ361" s="38">
        <f>AK361/0.145</f>
        <v>568.9655172413793</v>
      </c>
      <c r="AK361" s="4">
        <v>82.5</v>
      </c>
      <c r="AL361" s="4">
        <f>CY361</f>
        <v>0.81958454427477145</v>
      </c>
      <c r="AM361" s="38">
        <v>0</v>
      </c>
      <c r="AN361" s="38">
        <v>0</v>
      </c>
      <c r="AO361" s="39">
        <f>L361</f>
        <v>238.25200000000001</v>
      </c>
      <c r="AP361" s="39"/>
      <c r="AQ361" s="39"/>
      <c r="AR361" s="7"/>
      <c r="AS361" s="4">
        <f>K361</f>
        <v>238.25200000000001</v>
      </c>
      <c r="AT361" s="4">
        <f>IF(K361*3&gt;W361+N361, Q361, (S361+N361/2)*2+1.5*K361*(2*X361-2))*(3*K361)/(9*K361^2)</f>
        <v>0.60412224591329067</v>
      </c>
      <c r="AU361" s="4">
        <f>MIN(10*M361^0.5*K361^1.5,100*3.9*M361^0.5*K361^(5/3))/(PI()/4*N361^2)/X361</f>
        <v>286.52844070443393</v>
      </c>
      <c r="AV361" s="4">
        <f>MIN(0.7+0.3*(MIN(S361,AA361)+0.5*N361)/1.5/K361,1)</f>
        <v>0.76396588486140726</v>
      </c>
      <c r="AW361" s="4">
        <v>1.25</v>
      </c>
      <c r="AX361" s="4">
        <f>AX360</f>
        <v>2.5</v>
      </c>
      <c r="AY361" s="38">
        <f>AT361*AV361*AW361*AX361*AU361</f>
        <v>413.25351074896452</v>
      </c>
      <c r="AZ361" s="38">
        <f>AY361</f>
        <v>413.25351074896452</v>
      </c>
      <c r="BA361" s="38">
        <f>IF(M361&lt;50, 0.3*M361^(2/3), 2.12*LN(1+0.1*(M361+8)))</f>
        <v>4.4175343619879603</v>
      </c>
      <c r="BB361" s="38">
        <f>AX361* (M361^0.5/AS361^0.5)/(PI()/4*N361^2)/X361/0.72 *(0.7+(MIN(S361,AA361)+0.5*N361)/5/K361) *(3*Q361*K361)</f>
        <v>413.25351074896435</v>
      </c>
      <c r="BC361" s="38">
        <f>AY361/BB361</f>
        <v>1.0000000000000004</v>
      </c>
      <c r="BD361" s="38">
        <f>BH361/BB361</f>
        <v>2.7899532721832792</v>
      </c>
      <c r="BE361" s="4">
        <f>IF(BD361&lt;1,1,0)</f>
        <v>0</v>
      </c>
      <c r="BF361" s="4">
        <f>L361/N361*M361^0.5/0.19</f>
        <v>389.8068364694675</v>
      </c>
      <c r="BG361" s="4">
        <f>MIN(0.6+0.4*(AC361/AB361),2)</f>
        <v>1</v>
      </c>
      <c r="BH361" s="38">
        <f>2*M361*AB361*AD361^0.5*BG361*0.7/0.7</f>
        <v>1152.957984555301</v>
      </c>
      <c r="BI361" s="4">
        <f>MAX(1-0.7*AE361/5,0.3)</f>
        <v>0.3</v>
      </c>
      <c r="BJ361" s="4">
        <f>BI361*J361*L361/(J361*N361/2.75/M361^0.5)</f>
        <v>61.102221616589034</v>
      </c>
      <c r="BK361" s="4">
        <f>BH361+BJ361</f>
        <v>1214.0602061718901</v>
      </c>
      <c r="BM361" s="4">
        <f>MIN(1.5, 0.75+0.25*MIN(3,MAX(1,S361/N361))+0.4*MIN(1,(40*2*PI()*AM361^2/4/AO361/X361)/N361))</f>
        <v>1.375</v>
      </c>
      <c r="BN361" s="4">
        <f>(3*P361+30)*BM361*M361^0.5</f>
        <v>631.21591414152192</v>
      </c>
      <c r="BP361" s="4">
        <f>3.4/PI()^0.5*M361*AB361*AE361^0.5*BG361</f>
        <v>1105.8277047623367</v>
      </c>
      <c r="BQ361" s="4">
        <f>8/3*AH361*AI361^2/(AG361-N361-22)/N361*(AG361^2-N361^2)/(AG361^2-(N361+22)^2)</f>
        <v>0</v>
      </c>
      <c r="BR361" s="4">
        <f>BQ361/BP361</f>
        <v>0</v>
      </c>
      <c r="BZ361" s="4">
        <f>IF(W361=0,S361,MIN(W361/2,S361))</f>
        <v>63.5</v>
      </c>
      <c r="CD361" s="9"/>
      <c r="CF361" s="9"/>
      <c r="CG361" s="9"/>
      <c r="CH361" s="9">
        <f>IF(W361=0,MIN(S361,U361),MIN(W361/2,S361,U361))</f>
        <v>63.5</v>
      </c>
      <c r="CI361" s="9">
        <f>MAX(W361/2,S361)</f>
        <v>126.99999999999997</v>
      </c>
      <c r="CJ361" s="9">
        <f>(CH361/N361)^0.5*(CI361/CH361)^0.15</f>
        <v>1.7543833769624846</v>
      </c>
      <c r="CK361" s="70">
        <f>IF(AO361&gt;1,20,0)</f>
        <v>20</v>
      </c>
      <c r="CL361" s="9">
        <f>MIN(PI()*AM361^2/4*AN361*2/X361/N361/MAX(0.01,AO361),0.05)</f>
        <v>0</v>
      </c>
      <c r="CM361" s="9">
        <f>MAX(0,CK361*(CL361-0.5/50))</f>
        <v>0</v>
      </c>
      <c r="CN361" s="9">
        <f>MIN(1,(25/N361)^0.3)</f>
        <v>0.99524931562137331</v>
      </c>
      <c r="CO361" s="9">
        <f>IF(J361&gt;=800,0.68,IF(J361&gt;=700,0.75-(J361-700)*0.07/100,IF(J361&gt;=600,0.85-(J361-600)*0.1/100,IF(J361&gt;=500,1-(J361-500)*0.15/100,1.2-(J361-400)*0.2/100))))</f>
        <v>0.68</v>
      </c>
      <c r="CP361" s="9">
        <f>1.75*CN361*CO361*(M361/25)^0.5</f>
        <v>1.8702904607807274</v>
      </c>
      <c r="CQ361" s="9">
        <f>MIN((CJ361+CM361)*CP361,2.5*CP361,M361^0.5)</f>
        <v>3.2812064944852137</v>
      </c>
      <c r="CR361" s="40">
        <v>1</v>
      </c>
      <c r="CS361" s="9">
        <f>4*CQ361*P361+60*CQ361</f>
        <v>319.98325734219804</v>
      </c>
      <c r="CU361" s="4">
        <f>AJ361/BF361</f>
        <v>1.4596088729345433</v>
      </c>
      <c r="CV361" s="4">
        <f>AJ361/BK361</f>
        <v>0.46864687134043465</v>
      </c>
      <c r="CW361" s="4">
        <f>AJ361/BN361</f>
        <v>0.90138018464758518</v>
      </c>
      <c r="CX361" s="4">
        <f>AJ361/CS361</f>
        <v>1.778110273541323</v>
      </c>
      <c r="CY361" s="4">
        <f>AJ361/DZ361</f>
        <v>0.81958454427477145</v>
      </c>
      <c r="CZ361" s="4">
        <f>AJ361/EL361</f>
        <v>0.82535245957938552</v>
      </c>
      <c r="DA361" s="4">
        <f>AJ361/GI361</f>
        <v>1.0824061436066807</v>
      </c>
      <c r="DB361" s="4">
        <f>AN361</f>
        <v>0</v>
      </c>
      <c r="DC361" s="4">
        <f>CU361</f>
        <v>1.4596088729345433</v>
      </c>
      <c r="DD361" s="4">
        <f>CV361</f>
        <v>0.46864687134043465</v>
      </c>
      <c r="DE361" s="4">
        <f>CX361</f>
        <v>1.778110273541323</v>
      </c>
      <c r="DF361" s="4">
        <f>DA361</f>
        <v>1.0824061436066807</v>
      </c>
      <c r="DG361" s="4">
        <f>CY361</f>
        <v>0.81958454427477145</v>
      </c>
      <c r="DH361" s="4">
        <f>CZ361</f>
        <v>0.82535245957938552</v>
      </c>
      <c r="DQ361" s="4">
        <f>L361</f>
        <v>238.25200000000001</v>
      </c>
      <c r="DT361" s="4">
        <f>K361/4/(1-0.3*(M361/30)^0.5)/200000/N361</f>
        <v>2.0659876811674702E-5</v>
      </c>
      <c r="DU361" s="4">
        <f>EP361</f>
        <v>9.9763514377618598</v>
      </c>
      <c r="DV361" s="4">
        <f>EC361*AG361/257/M361/AD361</f>
        <v>0.22345380848450982</v>
      </c>
      <c r="DW361" s="4">
        <f>DU361*DV361^0.4</f>
        <v>5.4783130292378068</v>
      </c>
      <c r="DX361" s="4">
        <f>MIN(DU361, DU361/1.4*(1-DV361^1.4)/(1-DV361))</f>
        <v>8.0504837803731188</v>
      </c>
      <c r="DY361" s="4">
        <f>MAX(DU361/2, (4-DT361*(8*AG361*(DW361-DX361)+6*K361*DX361))/(4+DT361*K361*DU361)*DU361)</f>
        <v>9.355770870462635</v>
      </c>
      <c r="DZ361" s="38">
        <f>MIN(1/N361*(4*AG361*(DW361-DX361)+(3*DX361+DY361)*K361)+EC361 -FJ361,MAX(J361,AJ361))</f>
        <v>694.21211175332951</v>
      </c>
      <c r="EA361" s="4">
        <f>DZ361/FF361</f>
        <v>1.0000930207171117</v>
      </c>
      <c r="EB361" s="4">
        <f>AG361/N361</f>
        <v>3.2403703492039297</v>
      </c>
      <c r="EC361" s="4">
        <f>MIN(EB$10*BB361)</f>
        <v>413.25351074896435</v>
      </c>
      <c r="EG361" s="4">
        <f>IF(U361&gt;1*N361,0.85,1)</f>
        <v>0.85</v>
      </c>
      <c r="EH361" s="4">
        <f>MIN(1,MAX(0.7,(1-0.1*(BZ361-1*N361)/N361)))</f>
        <v>0.85</v>
      </c>
      <c r="EI361" s="4">
        <f>MIN(1,MAX(0.7,1-0.3*(PI()*AM361^2/4*AQ361*2-0.25*PI()/4*N361^2)/(PI()/4*N361^2)))</f>
        <v>1</v>
      </c>
      <c r="EJ361" s="4">
        <f>IF(EH361*EI361&lt;0.7,0.7,EH361*EI361)</f>
        <v>0.85</v>
      </c>
      <c r="EL361" s="4">
        <f>MIN(DU361/N361*3*K361+EM361-FJ361,MAX(J361,AJ361))</f>
        <v>689.36066117902453</v>
      </c>
      <c r="EM361" s="25">
        <f>13.3*Q361*K361^0.5*M361^0.5/X361/N361^2*(0.7+S361/5/K361)</f>
        <v>408.62613172040579</v>
      </c>
      <c r="EO361" s="4">
        <f>EG361*EJ361</f>
        <v>0.72249999999999992</v>
      </c>
      <c r="EP361" s="4">
        <f>IF(N361&lt;22.2,1.1*5*(M361/30)^0.5,IF(N361&gt;=31.8,0.9*5*(M361/30)^0.5,1*5*(M361/30)^0.5))/EG361/EJ361</f>
        <v>9.9763514377618598</v>
      </c>
      <c r="ES361" s="4">
        <f>ET361*N361</f>
        <v>82.305406869779816</v>
      </c>
      <c r="ET361" s="4">
        <f>AF361^0.5</f>
        <v>3.2403703492039302</v>
      </c>
      <c r="EU361" s="4">
        <f>MIN(EC361)/(4700*M361^0.5)/AE361*ES361</f>
        <v>9.6476877856159354E-2</v>
      </c>
      <c r="EX361" s="4">
        <f>EU361</f>
        <v>9.6476877856159354E-2</v>
      </c>
      <c r="EY361" s="4">
        <f>MIN(0.999, EX361/(0.3*(M361/30)^0.5))</f>
        <v>0.22308090572427774</v>
      </c>
      <c r="EZ361" s="4">
        <f>EP361/1*EY361^0.4</f>
        <v>5.4746542834236758</v>
      </c>
      <c r="FA361" s="4">
        <f>EP361/1.4*(1-EY361^1.4)/(1-EY361)</f>
        <v>8.0492483214376556</v>
      </c>
      <c r="FB361" s="4">
        <f>MAX(0,DQ361*FB$9-ES361)</f>
        <v>96.383593130220206</v>
      </c>
      <c r="FC361" s="4">
        <f>MAX(0,DQ361-ES361-FB361)</f>
        <v>59.563000000000002</v>
      </c>
      <c r="FD361" s="4">
        <f>FC361/(1-0.3*(M361/30)^0.5)/200000/N361</f>
        <v>2.0659876811674702E-5</v>
      </c>
      <c r="FE361" s="4">
        <f>MAX(0.5*EP361, (1-2*FD361*(ES361*EZ361+FB361*FA361))/(1/EP361+FD361*FC361))</f>
        <v>9.35594198988003</v>
      </c>
      <c r="FF361" s="4">
        <f>MIN(4/N361*(1*EZ361*ES361+FA361*FB361+FC361*FE361)+EC361,MAX(J361,AJ361))</f>
        <v>694.14754165122383</v>
      </c>
      <c r="FO361" s="23">
        <f>IF(CU361&lt;0.6,0.6,IF(CU361&lt;0.8,0.8,IF(CU361&lt;1,1,IF(CU361&lt;1.2,1.2,IF(CU361&lt;1.4,1.4,IF(CU361&lt;1.6,1.6,IF(CU361&lt;1.8,1.8,IF(CU361&lt;2,2,2.2))))))))</f>
        <v>1.6</v>
      </c>
      <c r="FP361" s="23">
        <f>IF(CV361&lt;0.6,0.6,IF(CV361&lt;0.8,0.8,IF(CV361&lt;1,1,IF(CV361&lt;1.2,1.2,IF(CV361&lt;1.4,1.4,IF(CV361&lt;1.6,1.6,IF(CV361&lt;1.8,1.8,IF(CV361&lt;2,2,2.2))))))))</f>
        <v>0.6</v>
      </c>
      <c r="FQ361" s="23">
        <f>IF(DA361&lt;0.6,0.6,IF(DA361&lt;0.8,0.8,IF(DA361&lt;1,1,IF(DA361&lt;1.2,1.2,IF(DA361&lt;1.4,1.4,IF(DA361&lt;1.6,1.6,IF(DA361&lt;1.8,1.8,IF(DA361&lt;2,2,2.2))))))))</f>
        <v>1.2</v>
      </c>
      <c r="FR361" s="23">
        <f>IF(CX361&lt;0.6,0.6,IF(CX361&lt;0.8,0.8,IF(CX361&lt;1,1,IF(CX361&lt;1.2,1.2,IF(CX361&lt;1.4,1.4,IF(CX361&lt;1.6,1.6,IF(CX361&lt;1.8,1.8,IF(CX361&lt;2,2,2.2))))))))</f>
        <v>1.8</v>
      </c>
      <c r="FS361" s="23">
        <f>IF(CY361&lt;0.6,0.6,IF(CY361&lt;0.8,0.8,IF(CY361&lt;1,1,IF(CY361&lt;1.2,1.2,IF(CY361&lt;1.4,1.4,IF(CY361&lt;1.6,1.6,IF(CY361&lt;1.8,1.8,IF(CY361&lt;2,2,2.2))))))))</f>
        <v>1</v>
      </c>
      <c r="FT361" s="23">
        <f>IF(CZ361&lt;0.6,0.6,IF(CZ361&lt;0.8,0.8,IF(CZ361&lt;1,1,IF(CZ361&lt;1.2,1.2,IF(CZ361&lt;1.4,1.4,IF(CZ361&lt;1.6,1.6,IF(CZ361&lt;1.8,1.8,IF(CZ361&lt;2,2,2.2))))))))</f>
        <v>1</v>
      </c>
      <c r="FU361" s="23">
        <f>IF(FS361&lt;1,1,0)</f>
        <v>0</v>
      </c>
      <c r="FV361" s="23"/>
      <c r="GF361" s="4">
        <f>IF(S361&gt;=2.5*25.4,1,1.25)</f>
        <v>1</v>
      </c>
      <c r="GG361" s="4">
        <f>IF(AO361&gt;1, 0.05*(18-MIN(8,(W361+N361)/N361))*(1-48000/MAX(60000,(J361*145))*(N361/25.4)^0.75*GH361), 1/12*(14-MIN(8,(W361+N361)/N361)))</f>
        <v>0.5</v>
      </c>
      <c r="GH361" s="4">
        <f>MIN(0.3, AM361^2*PI()/4*2*AP361/(N361^2*PI()/4*X361))</f>
        <v>0</v>
      </c>
      <c r="GI361" s="4">
        <f>(K361/25.4)/(N361/25.4)^1.5/0.0024*(M361*145)^0.25/GF361/GG361/145</f>
        <v>525.6488247059757</v>
      </c>
    </row>
    <row r="362" spans="1:191" ht="12" customHeight="1" x14ac:dyDescent="0.3">
      <c r="A362" s="25">
        <v>275</v>
      </c>
      <c r="B362" s="4" t="s">
        <v>605</v>
      </c>
      <c r="C362" s="4">
        <v>2016</v>
      </c>
      <c r="D362" s="4" t="s">
        <v>309</v>
      </c>
      <c r="E362" s="24" t="s">
        <v>666</v>
      </c>
      <c r="F362" s="24"/>
      <c r="G362" s="24">
        <v>45</v>
      </c>
      <c r="H362" s="48" t="s">
        <v>433</v>
      </c>
      <c r="I362" s="5">
        <f>K362/N362</f>
        <v>9.3800000000000008</v>
      </c>
      <c r="J362" s="78">
        <f>115.9/0.145</f>
        <v>799.31034482758628</v>
      </c>
      <c r="K362" s="38">
        <f>9.38*25.4</f>
        <v>238.25200000000001</v>
      </c>
      <c r="L362" s="4">
        <f>K362</f>
        <v>238.25200000000001</v>
      </c>
      <c r="M362" s="38">
        <f>5750/145</f>
        <v>39.655172413793103</v>
      </c>
      <c r="N362" s="38">
        <f>1*25.4</f>
        <v>25.4</v>
      </c>
      <c r="O362" s="7">
        <f>K362/N362</f>
        <v>9.3800000000000008</v>
      </c>
      <c r="P362" s="7">
        <f>L362/N362</f>
        <v>9.3800000000000008</v>
      </c>
      <c r="Q362" s="38">
        <f>17*25.4</f>
        <v>431.79999999999995</v>
      </c>
      <c r="R362" s="32">
        <f>S362/N362</f>
        <v>2.5</v>
      </c>
      <c r="S362" s="38">
        <f>2.5*25.4</f>
        <v>63.5</v>
      </c>
      <c r="T362" s="32">
        <f>U362/N362</f>
        <v>3.1</v>
      </c>
      <c r="U362" s="39">
        <f>3.1*25.4</f>
        <v>78.739999999999995</v>
      </c>
      <c r="V362" s="32">
        <f>W362/N362</f>
        <v>9.9999999999999982</v>
      </c>
      <c r="W362" s="7">
        <f>(Q362-X362*N362-2*S362)/(X362-1)</f>
        <v>253.99999999999994</v>
      </c>
      <c r="X362" s="38">
        <v>2</v>
      </c>
      <c r="Y362" s="7">
        <f>AN362</f>
        <v>4</v>
      </c>
      <c r="Z362" s="32">
        <f>AA362/N362</f>
        <v>10.25</v>
      </c>
      <c r="AA362" s="4">
        <f>10.25*25.4</f>
        <v>260.34999999999997</v>
      </c>
      <c r="AB362" s="7">
        <f>MIN(S362/N362+0.5, W362/2/N362+0.5)</f>
        <v>3</v>
      </c>
      <c r="AC362" s="7">
        <f>S362/N362+0.5</f>
        <v>3</v>
      </c>
      <c r="AD362" s="38">
        <v>4.5</v>
      </c>
      <c r="AE362" s="4">
        <f>AD362</f>
        <v>4.5</v>
      </c>
      <c r="AF362" s="4">
        <f>AE362+1</f>
        <v>5.5</v>
      </c>
      <c r="AG362" s="7">
        <f>N362*AF362^0.5</f>
        <v>59.568280149757555</v>
      </c>
      <c r="AJ362" s="38">
        <f>AK362/0.145</f>
        <v>593.10344827586209</v>
      </c>
      <c r="AK362" s="4">
        <v>86</v>
      </c>
      <c r="AL362" s="4">
        <f>CY362</f>
        <v>0.98277763354811387</v>
      </c>
      <c r="AM362" s="38">
        <f>0.5*25.4</f>
        <v>12.7</v>
      </c>
      <c r="AN362" s="38">
        <v>4</v>
      </c>
      <c r="AO362" s="39">
        <f>5.5*25.4</f>
        <v>139.69999999999999</v>
      </c>
      <c r="AP362" s="39">
        <v>1</v>
      </c>
      <c r="AQ362" s="39">
        <v>1</v>
      </c>
      <c r="AR362" s="7"/>
      <c r="AS362" s="4">
        <f>K362</f>
        <v>238.25200000000001</v>
      </c>
      <c r="AT362" s="4">
        <f>IF(K362*3&gt;W362+N362, Q362, (S362+N362/2)*2+1.5*K362*(2*X362-2))*(3*K362)/(9*K362^2)</f>
        <v>0.60412224591329067</v>
      </c>
      <c r="AU362" s="4">
        <f>MIN(10*M362^0.5*K362^1.5,100*3.9*M362^0.5*K362^(5/3))/(PI()/4*N362^2)/X362</f>
        <v>228.51643672654887</v>
      </c>
      <c r="AV362" s="4">
        <f>MIN(0.7+0.3*(MIN(S362,AA362)+0.5*N362)/1.5/K362,1)</f>
        <v>0.76396588486140726</v>
      </c>
      <c r="AW362" s="4">
        <v>1.25</v>
      </c>
      <c r="AX362" s="4">
        <f>AX361</f>
        <v>2.5</v>
      </c>
      <c r="AY362" s="38">
        <f>AT362*AV362*AW362*AX362*AU362</f>
        <v>329.58410519011557</v>
      </c>
      <c r="AZ362" s="38">
        <f>AY362</f>
        <v>329.58410519011557</v>
      </c>
      <c r="BA362" s="38">
        <f>IF(M362&lt;50, 0.3*M362^(2/3), 2.12*LN(1+0.1*(M362+8)))</f>
        <v>3.4886265610899732</v>
      </c>
      <c r="BB362" s="38">
        <f>AX362* (M362^0.5/AS362^0.5)/(PI()/4*N362^2)/X362/0.72 *(0.7+(MIN(S362,AA362)+0.5*N362)/5/K362) *(3*Q362*K362)</f>
        <v>329.58410519011528</v>
      </c>
      <c r="BC362" s="38">
        <f>AY362/BB362</f>
        <v>1.0000000000000009</v>
      </c>
      <c r="BD362" s="38">
        <f>BH362/BB362</f>
        <v>1.531408632468251</v>
      </c>
      <c r="BE362" s="4">
        <f>IF(BD362&lt;1,1,0)</f>
        <v>0</v>
      </c>
      <c r="BF362" s="4">
        <f>L362/N362*M362^0.5/0.19</f>
        <v>310.88456371958614</v>
      </c>
      <c r="BG362" s="4">
        <f>MIN(0.6+0.4*(AC362/AB362),2)</f>
        <v>1</v>
      </c>
      <c r="BH362" s="38">
        <f>2*M362*AB362*AD362^0.5*BG362*0.7/0.7</f>
        <v>504.72794381246661</v>
      </c>
      <c r="BI362" s="4">
        <f>MAX(1-0.7*AE362/5,0.3)</f>
        <v>0.37</v>
      </c>
      <c r="BJ362" s="4">
        <f>BI362*J362*L362/(J362*N362/2.75/M362^0.5)</f>
        <v>60.101758281088976</v>
      </c>
      <c r="BK362" s="4">
        <f>BH362+BJ362</f>
        <v>564.82970209355562</v>
      </c>
      <c r="BM362" s="4">
        <f>MIN(1.5, 0.75+0.25*MIN(3,MAX(1,S362/N362))+0.4*MIN(1,(40*2*PI()*AM362^2/4/AO362/X362)/N362))</f>
        <v>1.5</v>
      </c>
      <c r="BN362" s="4">
        <f>(3*P362+30)*BM362*M362^0.5</f>
        <v>549.18189044532733</v>
      </c>
      <c r="BP362" s="4">
        <f>3.4/PI()^0.5*M362*AB362*AE362^0.5*BG362</f>
        <v>484.09582232160056</v>
      </c>
      <c r="BQ362" s="4">
        <f>8/3*AH362*AI362^2/(AG362-N362-22)/N362*(AG362^2-N362^2)/(AG362^2-(N362+22)^2)</f>
        <v>0</v>
      </c>
      <c r="BR362" s="4">
        <f>BQ362/BP362</f>
        <v>0</v>
      </c>
      <c r="BZ362" s="4">
        <f>IF(W362=0,S362,MIN(W362/2,S362))</f>
        <v>63.5</v>
      </c>
      <c r="CD362" s="9"/>
      <c r="CF362" s="9"/>
      <c r="CG362" s="9"/>
      <c r="CH362" s="9">
        <f>IF(W362=0,MIN(S362,U362),MIN(W362/2,S362,U362))</f>
        <v>63.5</v>
      </c>
      <c r="CI362" s="9">
        <f>MAX(W362/2,S362)</f>
        <v>126.99999999999997</v>
      </c>
      <c r="CJ362" s="9">
        <f>(CH362/N362)^0.5*(CI362/CH362)^0.15</f>
        <v>1.7543833769624846</v>
      </c>
      <c r="CK362" s="70">
        <f>IF(AO362&gt;1,20,0)</f>
        <v>20</v>
      </c>
      <c r="CL362" s="9">
        <f>MIN(PI()*AM362^2/4*AN362*2/X362/N362/MAX(0.01,AO362),0.05)</f>
        <v>0.05</v>
      </c>
      <c r="CM362" s="9">
        <f>MAX(0,CK362*(CL362-0.5/50))</f>
        <v>0.8</v>
      </c>
      <c r="CN362" s="9">
        <f>MIN(1,(25/N362)^0.3)</f>
        <v>0.99524931562137331</v>
      </c>
      <c r="CO362" s="9">
        <f>IF(J362&gt;=800,0.68,IF(J362&gt;=700,0.75-(J362-700)*0.07/100,IF(J362&gt;=600,0.85-(J362-600)*0.1/100,IF(J362&gt;=500,1-(J362-500)*0.15/100,1.2-(J362-400)*0.2/100))))</f>
        <v>0.68048275862068963</v>
      </c>
      <c r="CP362" s="9">
        <f>1.75*CN362*CO362*(M362/25)^0.5</f>
        <v>1.4926809118196944</v>
      </c>
      <c r="CQ362" s="9">
        <f>MIN((CJ362+CM362)*CP362,2.5*CP362,M362^0.5)</f>
        <v>3.7317022795492361</v>
      </c>
      <c r="CR362" s="40">
        <v>1</v>
      </c>
      <c r="CS362" s="9">
        <f>4*CQ362*P362+60*CQ362</f>
        <v>363.9156063016415</v>
      </c>
      <c r="CU362" s="4">
        <f>AJ362/BF362</f>
        <v>1.9077931730661086</v>
      </c>
      <c r="CV362" s="4">
        <f>AJ362/BK362</f>
        <v>1.0500571164680419</v>
      </c>
      <c r="CW362" s="4">
        <f>AJ362/BN362</f>
        <v>1.0799763404341667</v>
      </c>
      <c r="CX362" s="4">
        <f>AJ362/CS362</f>
        <v>1.6297829441924288</v>
      </c>
      <c r="CY362" s="4">
        <f>AJ362/DZ362</f>
        <v>0.98277763354811387</v>
      </c>
      <c r="CZ362" s="4">
        <f>AJ362/EL362</f>
        <v>1.0443012016693149</v>
      </c>
      <c r="DA362" s="4">
        <f>AJ362/GI362</f>
        <v>1.1326402982209955</v>
      </c>
      <c r="DB362" s="4">
        <f>AN362</f>
        <v>4</v>
      </c>
      <c r="DI362" s="4">
        <f>CU362</f>
        <v>1.9077931730661086</v>
      </c>
      <c r="DJ362" s="4">
        <f>CV362</f>
        <v>1.0500571164680419</v>
      </c>
      <c r="DK362" s="4">
        <f>CX362</f>
        <v>1.6297829441924288</v>
      </c>
      <c r="DL362" s="4">
        <f>DA362</f>
        <v>1.1326402982209955</v>
      </c>
      <c r="DM362" s="4">
        <f>CY362</f>
        <v>0.98277763354811387</v>
      </c>
      <c r="DN362" s="4">
        <f>CZ362</f>
        <v>1.0443012016693149</v>
      </c>
      <c r="DQ362" s="4">
        <f>L362</f>
        <v>238.25200000000001</v>
      </c>
      <c r="DT362" s="4">
        <f>K362/4/(1-0.3*(M362/30)^0.5)/200000/N362</f>
        <v>1.7898407390874884E-5</v>
      </c>
      <c r="DU362" s="4">
        <f>EP362</f>
        <v>8.6016093352106822</v>
      </c>
      <c r="DV362" s="4">
        <f>EC362*AG362/257/M362/AD362</f>
        <v>0.42809074683004311</v>
      </c>
      <c r="DW362" s="4">
        <f>DU362*DV362^0.4</f>
        <v>6.1262406163308114</v>
      </c>
      <c r="DX362" s="4">
        <f>MIN(DU362, DU362/1.4*(1-DV362^1.4)/(1-DV362))</f>
        <v>7.4674964120678524</v>
      </c>
      <c r="DY362" s="4">
        <f>MAX(DU362/2, (4-DT362*(8*AG362*(DW362-DX362)+6*K362*DX362))/(4+DT362*K362*DU362)*DU362)</f>
        <v>8.1406968914674351</v>
      </c>
      <c r="DZ362" s="38">
        <f>MIN(1/N362*(4*AG362*(DW362-DX362)+(3*DX362+DY362)*K362)+EC362 -FJ362,MAX(J362,AJ362))</f>
        <v>603.49709642311018</v>
      </c>
      <c r="EA362" s="4">
        <f>DZ362/FF362</f>
        <v>1.0001136025152375</v>
      </c>
      <c r="EB362" s="4">
        <f>AG362/N362</f>
        <v>2.3452078799117149</v>
      </c>
      <c r="EC362" s="4">
        <f>MIN(EB$10*BB362)</f>
        <v>329.58410519011528</v>
      </c>
      <c r="EG362" s="4">
        <f>IF(U362&gt;1*N362,0.85,1)</f>
        <v>0.85</v>
      </c>
      <c r="EH362" s="4">
        <f>MIN(1,MAX(0.7,(1-0.1*(BZ362-1*N362)/N362)))</f>
        <v>0.85</v>
      </c>
      <c r="EI362" s="4">
        <f>MIN(1,MAX(0.7,1-0.3*(PI()*AM362^2/4*AQ362*2-0.25*PI()/4*N362^2)/(PI()/4*N362^2)))</f>
        <v>0.92500000000000004</v>
      </c>
      <c r="EJ362" s="4">
        <f>IF(EH362*EI362&lt;0.7,0.7,EH362*EI362)</f>
        <v>0.78625</v>
      </c>
      <c r="EL362" s="4">
        <f>MIN(DU362/N362*3*K362+EM362-FJ362,MAX(J362,AJ362))</f>
        <v>567.94289552457326</v>
      </c>
      <c r="EM362" s="25">
        <f>13.3*Q362*K362^0.5*M362^0.5/X362/N362^2*(0.7+S362/5/K362)</f>
        <v>325.8936088317447</v>
      </c>
      <c r="EO362" s="4">
        <f>EG362*EJ362</f>
        <v>0.66831249999999998</v>
      </c>
      <c r="EP362" s="4">
        <f>IF(N362&lt;22.2,1.1*5*(M362/30)^0.5,IF(N362&gt;=31.8,0.9*5*(M362/30)^0.5,1*5*(M362/30)^0.5))/EG362/EJ362</f>
        <v>8.6016093352106822</v>
      </c>
      <c r="ES362" s="4">
        <f>ET362*N362</f>
        <v>59.568280149757555</v>
      </c>
      <c r="ET362" s="4">
        <f>AF362^0.5</f>
        <v>2.3452078799117149</v>
      </c>
      <c r="EU362" s="4">
        <f>MIN(EC362)/(4700*M362^0.5)/AE362*ES362</f>
        <v>0.1474079909974034</v>
      </c>
      <c r="EX362" s="4">
        <f>EU362</f>
        <v>0.1474079909974034</v>
      </c>
      <c r="EY362" s="4">
        <f>MIN(0.999, EX362/(0.3*(M362/30)^0.5))</f>
        <v>0.42737634315885298</v>
      </c>
      <c r="EZ362" s="4">
        <f>EP362/1*EY362^0.4</f>
        <v>6.1221491456368717</v>
      </c>
      <c r="FA362" s="4">
        <f>EP362/1.4*(1-EY362^1.4)/(1-EY362)</f>
        <v>7.4658205132645818</v>
      </c>
      <c r="FB362" s="4">
        <f>MAX(0,DQ362*FB$9-ES362)</f>
        <v>119.12071985024247</v>
      </c>
      <c r="FC362" s="4">
        <f>MAX(0,DQ362-ES362-FB362)</f>
        <v>59.562999999999988</v>
      </c>
      <c r="FD362" s="4">
        <f>FC362/(1-0.3*(M362/30)^0.5)/200000/N362</f>
        <v>1.789840739087488E-5</v>
      </c>
      <c r="FE362" s="4">
        <f>MAX(0.5*EP362, (1-2*FD362*(ES362*EZ362+FB362*FA362))/(1/EP362+FD362*FC362))</f>
        <v>8.1408321648925881</v>
      </c>
      <c r="FF362" s="4">
        <f>MIN(4/N362*(1*EZ362*ES362+FA362*FB362+FC362*FE362)+EC362,MAX(J362,AJ362))</f>
        <v>603.42854542258408</v>
      </c>
      <c r="FI362" s="4">
        <f>5.25*25.4</f>
        <v>133.35</v>
      </c>
      <c r="FO362" s="23">
        <f>IF(CU362&lt;0.6,0.6,IF(CU362&lt;0.8,0.8,IF(CU362&lt;1,1,IF(CU362&lt;1.2,1.2,IF(CU362&lt;1.4,1.4,IF(CU362&lt;1.6,1.6,IF(CU362&lt;1.8,1.8,IF(CU362&lt;2,2,2.2))))))))</f>
        <v>2</v>
      </c>
      <c r="FP362" s="23">
        <f>IF(CV362&lt;0.6,0.6,IF(CV362&lt;0.8,0.8,IF(CV362&lt;1,1,IF(CV362&lt;1.2,1.2,IF(CV362&lt;1.4,1.4,IF(CV362&lt;1.6,1.6,IF(CV362&lt;1.8,1.8,IF(CV362&lt;2,2,2.2))))))))</f>
        <v>1.2</v>
      </c>
      <c r="FQ362" s="23">
        <f>IF(DA362&lt;0.6,0.6,IF(DA362&lt;0.8,0.8,IF(DA362&lt;1,1,IF(DA362&lt;1.2,1.2,IF(DA362&lt;1.4,1.4,IF(DA362&lt;1.6,1.6,IF(DA362&lt;1.8,1.8,IF(DA362&lt;2,2,2.2))))))))</f>
        <v>1.2</v>
      </c>
      <c r="FR362" s="23">
        <f>IF(CX362&lt;0.6,0.6,IF(CX362&lt;0.8,0.8,IF(CX362&lt;1,1,IF(CX362&lt;1.2,1.2,IF(CX362&lt;1.4,1.4,IF(CX362&lt;1.6,1.6,IF(CX362&lt;1.8,1.8,IF(CX362&lt;2,2,2.2))))))))</f>
        <v>1.8</v>
      </c>
      <c r="FS362" s="23">
        <f>IF(CY362&lt;0.6,0.6,IF(CY362&lt;0.8,0.8,IF(CY362&lt;1,1,IF(CY362&lt;1.2,1.2,IF(CY362&lt;1.4,1.4,IF(CY362&lt;1.6,1.6,IF(CY362&lt;1.8,1.8,IF(CY362&lt;2,2,2.2))))))))</f>
        <v>1</v>
      </c>
      <c r="FT362" s="23">
        <f>IF(CZ362&lt;0.6,0.6,IF(CZ362&lt;0.8,0.8,IF(CZ362&lt;1,1,IF(CZ362&lt;1.2,1.2,IF(CZ362&lt;1.4,1.4,IF(CZ362&lt;1.6,1.6,IF(CZ362&lt;1.8,1.8,IF(CZ362&lt;2,2,2.2))))))))</f>
        <v>1.2</v>
      </c>
      <c r="FU362" s="23">
        <f>IF(FS362&lt;1,1,0)</f>
        <v>0</v>
      </c>
      <c r="FV362" s="23"/>
      <c r="GF362" s="4">
        <f>IF(S362&gt;=2.5*25.4,1,1.25)</f>
        <v>1</v>
      </c>
      <c r="GG362" s="4">
        <f>IF(AO362&gt;1, 0.05*(18-MIN(8,(W362+N362)/N362))*(1-48000/MAX(60000,(J362*145))*(N362/25.4)^0.75*GH362), 1/12*(14-MIN(8,(W362+N362)/N362)))</f>
        <v>0.4482312338222606</v>
      </c>
      <c r="GH362" s="4">
        <f>MIN(0.3, AM362^2*PI()/4*2*AP362/(N362^2*PI()/4*X362))</f>
        <v>0.25</v>
      </c>
      <c r="GI362" s="4">
        <f>(K362/25.4)/(N362/25.4)^1.5/0.0024*(M362*145)^0.25/GF362/GG362/145</f>
        <v>523.64678283779244</v>
      </c>
    </row>
    <row r="363" spans="1:191" ht="12" customHeight="1" x14ac:dyDescent="0.3">
      <c r="A363" s="25">
        <v>334</v>
      </c>
      <c r="B363" s="4" t="s">
        <v>605</v>
      </c>
      <c r="C363" s="4">
        <v>2016</v>
      </c>
      <c r="D363" s="4" t="s">
        <v>309</v>
      </c>
      <c r="E363" s="24" t="s">
        <v>671</v>
      </c>
      <c r="F363" s="24"/>
      <c r="G363" s="24">
        <v>54</v>
      </c>
      <c r="H363" s="7" t="s">
        <v>698</v>
      </c>
      <c r="I363" s="5">
        <f>K363/N363</f>
        <v>9.3800000000000008</v>
      </c>
      <c r="J363" s="91">
        <f>120/0.145</f>
        <v>827.58620689655174</v>
      </c>
      <c r="K363" s="38">
        <f>9.38*25.4</f>
        <v>238.25200000000001</v>
      </c>
      <c r="L363" s="4">
        <f>K363</f>
        <v>238.25200000000001</v>
      </c>
      <c r="M363" s="38">
        <f>6790/145</f>
        <v>46.827586206896555</v>
      </c>
      <c r="N363" s="96">
        <f>1*25.4</f>
        <v>25.4</v>
      </c>
      <c r="O363" s="7">
        <f>K363/N363</f>
        <v>9.3800000000000008</v>
      </c>
      <c r="P363" s="7">
        <f>L363/N363</f>
        <v>9.3800000000000008</v>
      </c>
      <c r="Q363" s="38">
        <f>15.1*25.4</f>
        <v>383.53999999999996</v>
      </c>
      <c r="R363" s="32">
        <f>S363/N363</f>
        <v>2.5</v>
      </c>
      <c r="S363" s="38">
        <f>2.5*25.4</f>
        <v>63.5</v>
      </c>
      <c r="T363" s="32">
        <f>U363/N363</f>
        <v>3.25</v>
      </c>
      <c r="U363" s="39">
        <f>3.25*25.4</f>
        <v>82.55</v>
      </c>
      <c r="V363" s="32">
        <f>W363/N363</f>
        <v>8.0999999999999979</v>
      </c>
      <c r="W363" s="7">
        <f>(Q363-X363*N363-2*S363)/(X363-1)</f>
        <v>205.73999999999995</v>
      </c>
      <c r="X363" s="38">
        <v>2</v>
      </c>
      <c r="Y363" s="7">
        <f>AN363</f>
        <v>0</v>
      </c>
      <c r="Z363" s="32">
        <f>AA363/N363</f>
        <v>10.25</v>
      </c>
      <c r="AA363" s="4">
        <f>10.25*25.4</f>
        <v>260.34999999999997</v>
      </c>
      <c r="AB363" s="7">
        <f>MIN(S363/N363+0.5, W363/2/N363+0.5)</f>
        <v>3</v>
      </c>
      <c r="AC363" s="7">
        <f>S363/N363+0.5</f>
        <v>3</v>
      </c>
      <c r="AD363" s="38">
        <v>4</v>
      </c>
      <c r="AE363" s="4">
        <f>AD363</f>
        <v>4</v>
      </c>
      <c r="AF363" s="4">
        <f>AE363+1</f>
        <v>5</v>
      </c>
      <c r="AG363" s="7">
        <f>N363*AF363^0.5</f>
        <v>56.796126628494655</v>
      </c>
      <c r="AJ363" s="38">
        <f>AK363/0.145</f>
        <v>539.31034482758628</v>
      </c>
      <c r="AK363" s="4">
        <v>78.2</v>
      </c>
      <c r="AL363" s="4">
        <f>CY363</f>
        <v>0.9161935541106252</v>
      </c>
      <c r="AM363" s="38">
        <v>0</v>
      </c>
      <c r="AN363" s="38">
        <v>0</v>
      </c>
      <c r="AO363" s="39">
        <f>L363</f>
        <v>238.25200000000001</v>
      </c>
      <c r="AP363" s="39"/>
      <c r="AQ363" s="39"/>
      <c r="AR363" s="7"/>
      <c r="AS363" s="4">
        <f>K363</f>
        <v>238.25200000000001</v>
      </c>
      <c r="AT363" s="4">
        <f>IF(K363*3&gt;W363+N363, Q363, (S363+N363/2)*2+1.5*K363*(2*X363-2))*(3*K363)/(9*K363^2)</f>
        <v>0.53660270078180528</v>
      </c>
      <c r="AU363" s="4">
        <f>MIN(10*M363^0.5*K363^1.5,100*3.9*M363^0.5*K363^(5/3))/(PI()/4*N363^2)/X363</f>
        <v>248.32383590087252</v>
      </c>
      <c r="AV363" s="4">
        <f>MIN(0.7+0.3*(MIN(S363,AA363)+0.5*N363)/1.5/K363,1)</f>
        <v>0.76396588486140726</v>
      </c>
      <c r="AW363" s="4">
        <v>1.25</v>
      </c>
      <c r="AX363" s="4">
        <f>AX362</f>
        <v>2.5</v>
      </c>
      <c r="AY363" s="38">
        <f>AT363*AV363*AW363*AX363*AU363</f>
        <v>318.12313202907933</v>
      </c>
      <c r="AZ363" s="38">
        <f>AY363</f>
        <v>318.12313202907933</v>
      </c>
      <c r="BA363" s="38">
        <f>IF(M363&lt;50, 0.3*M363^(2/3), 2.12*LN(1+0.1*(M363+8)))</f>
        <v>3.8975267336121062</v>
      </c>
      <c r="BB363" s="38">
        <f>AX363* (M363^0.5/AS363^0.5)/(PI()/4*N363^2)/X363/0.72 *(0.7+(MIN(S363,AA363)+0.5*N363)/5/K363) *(3*Q363*K363)</f>
        <v>318.12313202907904</v>
      </c>
      <c r="BC363" s="38">
        <f>AY363/BB363</f>
        <v>1.0000000000000009</v>
      </c>
      <c r="BD363" s="38">
        <f>BH363/BB363</f>
        <v>1.7663947632434147</v>
      </c>
      <c r="BE363" s="4">
        <f>IF(BD363&lt;1,1,0)</f>
        <v>0</v>
      </c>
      <c r="BF363" s="4">
        <f>L363/N363*M363^0.5/0.19</f>
        <v>337.83148595826066</v>
      </c>
      <c r="BG363" s="4">
        <f>MIN(0.6+0.4*(AC363/AB363),2)</f>
        <v>1</v>
      </c>
      <c r="BH363" s="38">
        <f>2*M363*AB363*AD363^0.5*BG363*0.7/0.7</f>
        <v>561.93103448275861</v>
      </c>
      <c r="BI363" s="4">
        <f>MAX(1-0.7*AE363/5,0.3)</f>
        <v>0.44000000000000006</v>
      </c>
      <c r="BJ363" s="4">
        <f>BI363*J363*L363/(J363*N363/2.75/M363^0.5)</f>
        <v>77.66745862180413</v>
      </c>
      <c r="BK363" s="4">
        <f>BH363+BJ363</f>
        <v>639.59849310456275</v>
      </c>
      <c r="BM363" s="4">
        <f>MIN(1.5, 0.75+0.25*MIN(3,MAX(1,S363/N363))+0.4*MIN(1,(40*2*PI()*AM363^2/4/AO363/X363)/N363))</f>
        <v>1.375</v>
      </c>
      <c r="BN363" s="4">
        <f>(3*P363+30)*BM363*M363^0.5</f>
        <v>547.05200187435685</v>
      </c>
      <c r="BP363" s="4">
        <f>3.4/PI()^0.5*M363*AB363*AE363^0.5*BG363</f>
        <v>538.96058175655878</v>
      </c>
      <c r="BQ363" s="4">
        <f>8/3*AH363*AI363^2/(AG363-N363-22)/N363*(AG363^2-N363^2)/(AG363^2-(N363+22)^2)</f>
        <v>0</v>
      </c>
      <c r="BR363" s="4">
        <f>BQ363/BP363</f>
        <v>0</v>
      </c>
      <c r="BZ363" s="4">
        <f>IF(W363=0,S363,MIN(W363/2,S363))</f>
        <v>63.5</v>
      </c>
      <c r="CD363" s="9"/>
      <c r="CF363" s="9"/>
      <c r="CG363" s="9"/>
      <c r="CH363" s="9">
        <f>IF(W363=0,MIN(S363,U363),MIN(W363/2,S363,U363))</f>
        <v>63.5</v>
      </c>
      <c r="CI363" s="9">
        <f>MAX(W363/2,S363)</f>
        <v>102.86999999999998</v>
      </c>
      <c r="CJ363" s="9">
        <f>(CH363/N363)^0.5*(CI363/CH363)^0.15</f>
        <v>1.699797775373473</v>
      </c>
      <c r="CK363" s="70">
        <f>IF(AO363&gt;1,20,0)</f>
        <v>20</v>
      </c>
      <c r="CL363" s="9">
        <f>MIN(PI()*AM363^2/4*AN363*2/X363/N363/MAX(0.01,AO363),0.05)</f>
        <v>0</v>
      </c>
      <c r="CM363" s="9">
        <f>MAX(0,CK363*(CL363-0.5/50))</f>
        <v>0</v>
      </c>
      <c r="CN363" s="9">
        <f>MIN(1,(25/N363)^0.3)</f>
        <v>0.99524931562137331</v>
      </c>
      <c r="CO363" s="9">
        <f>IF(J363&gt;=800,0.68,IF(J363&gt;=700,0.75-(J363-700)*0.07/100,IF(J363&gt;=600,0.85-(J363-600)*0.1/100,IF(J363&gt;=500,1-(J363-500)*0.15/100,1.2-(J363-400)*0.2/100))))</f>
        <v>0.68</v>
      </c>
      <c r="CP363" s="9">
        <f>1.75*CN363*CO363*(M363/25)^0.5</f>
        <v>1.6209130944490342</v>
      </c>
      <c r="CQ363" s="9">
        <f>MIN((CJ363+CM363)*CP363,2.5*CP363,M363^0.5)</f>
        <v>2.7552244720182006</v>
      </c>
      <c r="CR363" s="40">
        <v>1</v>
      </c>
      <c r="CS363" s="9">
        <f>4*CQ363*P363+60*CQ363</f>
        <v>268.68949051121496</v>
      </c>
      <c r="CU363" s="4">
        <f>AJ363/BF363</f>
        <v>1.5963886352920298</v>
      </c>
      <c r="CV363" s="4">
        <f>AJ363/BK363</f>
        <v>0.8432014000061423</v>
      </c>
      <c r="CW363" s="4">
        <f>AJ363/BN363</f>
        <v>0.98584840742699886</v>
      </c>
      <c r="CX363" s="4">
        <f>AJ363/CS363</f>
        <v>2.0071880883821756</v>
      </c>
      <c r="CY363" s="4">
        <f>AJ363/DZ363</f>
        <v>0.9161935541106252</v>
      </c>
      <c r="CZ363" s="4">
        <f>AJ363/EL363</f>
        <v>0.96674260066309403</v>
      </c>
      <c r="DA363" s="4">
        <f>AJ363/GI363</f>
        <v>1.1020916631669231</v>
      </c>
      <c r="DB363" s="4">
        <f>AN363</f>
        <v>0</v>
      </c>
      <c r="DC363" s="4">
        <f>CU363</f>
        <v>1.5963886352920298</v>
      </c>
      <c r="DD363" s="4">
        <f>CV363</f>
        <v>0.8432014000061423</v>
      </c>
      <c r="DE363" s="4">
        <f>CX363</f>
        <v>2.0071880883821756</v>
      </c>
      <c r="DF363" s="4">
        <f>DA363</f>
        <v>1.1020916631669231</v>
      </c>
      <c r="DG363" s="4">
        <f>CY363</f>
        <v>0.9161935541106252</v>
      </c>
      <c r="DH363" s="4">
        <f>CZ363</f>
        <v>0.96674260066309403</v>
      </c>
      <c r="DQ363" s="4">
        <f>L363</f>
        <v>238.25200000000001</v>
      </c>
      <c r="DT363" s="4">
        <f>K363/4/(1-0.3*(M363/30)^0.5)/200000/N363</f>
        <v>1.8754307597872246E-5</v>
      </c>
      <c r="DU363" s="4">
        <f>EP363</f>
        <v>8.6461429491242612</v>
      </c>
      <c r="DV363" s="4">
        <f>EC363*AG363/257/M363/AD363</f>
        <v>0.37533501502490646</v>
      </c>
      <c r="DW363" s="4">
        <f>DU363*DV363^0.4</f>
        <v>5.8423832730452157</v>
      </c>
      <c r="DX363" s="4">
        <f>MIN(DU363, DU363/1.4*(1-DV363^1.4)/(1-DV363))</f>
        <v>7.3791461832387251</v>
      </c>
      <c r="DY363" s="4">
        <f>MAX(DU363/2, (4-DT363*(8*AG363*(DW363-DX363)+6*K363*DX363))/(4+DT363*K363*DU363)*DU363)</f>
        <v>8.1679413048538798</v>
      </c>
      <c r="DZ363" s="38">
        <f>MIN(1/N363*(4*AG363*(DW363-DX363)+(3*DX363+DY363)*K363)+EC363 -FJ363,MAX(J363,AJ363))</f>
        <v>588.64236973497373</v>
      </c>
      <c r="EA363" s="4">
        <f>DZ363/FF363</f>
        <v>1.0001074677116861</v>
      </c>
      <c r="EB363" s="4">
        <f>AG363/N363</f>
        <v>2.2360679774997898</v>
      </c>
      <c r="EC363" s="4">
        <f>MIN(EB$10*BB363)</f>
        <v>318.12313202907904</v>
      </c>
      <c r="EG363" s="4">
        <f>IF(U363&gt;1*N363,0.85,1)</f>
        <v>0.85</v>
      </c>
      <c r="EH363" s="4">
        <f>MIN(1,MAX(0.7,(1-0.1*(BZ363-1*N363)/N363)))</f>
        <v>0.85</v>
      </c>
      <c r="EI363" s="4">
        <f>MIN(1,MAX(0.7,1-0.3*(PI()*AM363^2/4*AQ363*2-0.25*PI()/4*N363^2)/(PI()/4*N363^2)))</f>
        <v>1</v>
      </c>
      <c r="EJ363" s="4">
        <f>IF(EH363*EI363&lt;0.7,0.7,EH363*EI363)</f>
        <v>0.85</v>
      </c>
      <c r="EL363" s="4">
        <f>MIN(DU363/N363*3*K363+EM363-FJ363,MAX(J363,AJ363))</f>
        <v>557.86343175284753</v>
      </c>
      <c r="EM363" s="25">
        <f>13.3*Q363*K363^0.5*M363^0.5/X363/N363^2*(0.7+S363/5/K363)</f>
        <v>314.56096916449081</v>
      </c>
      <c r="EO363" s="4">
        <f>EG363*EJ363</f>
        <v>0.72249999999999992</v>
      </c>
      <c r="EP363" s="4">
        <f>IF(N363&lt;22.2,1.1*5*(M363/30)^0.5,IF(N363&gt;=31.8,0.9*5*(M363/30)^0.5,1*5*(M363/30)^0.5))/EG363/EJ363</f>
        <v>8.6461429491242612</v>
      </c>
      <c r="ES363" s="4">
        <f>ET363*N363</f>
        <v>56.796126628494655</v>
      </c>
      <c r="ET363" s="4">
        <f>AF363^0.5</f>
        <v>2.2360679774997898</v>
      </c>
      <c r="EU363" s="4">
        <f>MIN(EC363)/(4700*M363^0.5)/AE363*ES363</f>
        <v>0.14044466065071942</v>
      </c>
      <c r="EX363" s="4">
        <f>EU363</f>
        <v>0.14044466065071942</v>
      </c>
      <c r="EY363" s="4">
        <f>MIN(0.999, EX363/(0.3*(M363/30)^0.5))</f>
        <v>0.37470865083776739</v>
      </c>
      <c r="EZ363" s="4">
        <f>EP363/1*EY363^0.4</f>
        <v>5.8384813792996928</v>
      </c>
      <c r="FA363" s="4">
        <f>EP363/1.4*(1-EY363^1.4)/(1-EY363)</f>
        <v>7.3776048296736834</v>
      </c>
      <c r="FB363" s="4">
        <f>MAX(0,DQ363*FB$9-ES363)</f>
        <v>121.89287337150537</v>
      </c>
      <c r="FC363" s="4">
        <f>MAX(0,DQ363-ES363-FB363)</f>
        <v>59.562999999999988</v>
      </c>
      <c r="FD363" s="4">
        <f>FC363/(1-0.3*(M363/30)^0.5)/200000/N363</f>
        <v>1.8754307597872239E-5</v>
      </c>
      <c r="FE363" s="4">
        <f>MAX(0.5*EP363, (1-2*FD363*(ES363*EZ363+FB363*FA363))/(1/EP363+FD363*FC363))</f>
        <v>8.1680728348916425</v>
      </c>
      <c r="FF363" s="4">
        <f>MIN(4/N363*(1*EZ363*ES363+FA363*FB363+FC363*FE363)+EC363,MAX(J363,AJ363))</f>
        <v>588.57911648417894</v>
      </c>
      <c r="FO363" s="23">
        <f>IF(CU363&lt;0.6,0.6,IF(CU363&lt;0.8,0.8,IF(CU363&lt;1,1,IF(CU363&lt;1.2,1.2,IF(CU363&lt;1.4,1.4,IF(CU363&lt;1.6,1.6,IF(CU363&lt;1.8,1.8,IF(CU363&lt;2,2,2.2))))))))</f>
        <v>1.6</v>
      </c>
      <c r="FP363" s="23">
        <f>IF(CV363&lt;0.6,0.6,IF(CV363&lt;0.8,0.8,IF(CV363&lt;1,1,IF(CV363&lt;1.2,1.2,IF(CV363&lt;1.4,1.4,IF(CV363&lt;1.6,1.6,IF(CV363&lt;1.8,1.8,IF(CV363&lt;2,2,2.2))))))))</f>
        <v>1</v>
      </c>
      <c r="FQ363" s="23">
        <f>IF(DA363&lt;0.6,0.6,IF(DA363&lt;0.8,0.8,IF(DA363&lt;1,1,IF(DA363&lt;1.2,1.2,IF(DA363&lt;1.4,1.4,IF(DA363&lt;1.6,1.6,IF(DA363&lt;1.8,1.8,IF(DA363&lt;2,2,2.2))))))))</f>
        <v>1.2</v>
      </c>
      <c r="FR363" s="23">
        <f>IF(CX363&lt;0.6,0.6,IF(CX363&lt;0.8,0.8,IF(CX363&lt;1,1,IF(CX363&lt;1.2,1.2,IF(CX363&lt;1.4,1.4,IF(CX363&lt;1.6,1.6,IF(CX363&lt;1.8,1.8,IF(CX363&lt;2,2,2.2))))))))</f>
        <v>2.2000000000000002</v>
      </c>
      <c r="FS363" s="23">
        <f>IF(CY363&lt;0.6,0.6,IF(CY363&lt;0.8,0.8,IF(CY363&lt;1,1,IF(CY363&lt;1.2,1.2,IF(CY363&lt;1.4,1.4,IF(CY363&lt;1.6,1.6,IF(CY363&lt;1.8,1.8,IF(CY363&lt;2,2,2.2))))))))</f>
        <v>1</v>
      </c>
      <c r="FT363" s="23">
        <f>IF(CZ363&lt;0.6,0.6,IF(CZ363&lt;0.8,0.8,IF(CZ363&lt;1,1,IF(CZ363&lt;1.2,1.2,IF(CZ363&lt;1.4,1.4,IF(CZ363&lt;1.6,1.6,IF(CZ363&lt;1.8,1.8,IF(CZ363&lt;2,2,2.2))))))))</f>
        <v>1</v>
      </c>
      <c r="FU363" s="23">
        <f>IF(FS363&lt;1,1,0)</f>
        <v>0</v>
      </c>
      <c r="FV363" s="23"/>
      <c r="GF363" s="4">
        <f>IF(S363&gt;=2.5*25.4,1,1.25)</f>
        <v>1</v>
      </c>
      <c r="GG363" s="4">
        <f>IF(AO363&gt;1, 0.05*(18-MIN(8,(W363+N363)/N363))*(1-48000/MAX(60000,(J363*145))*(N363/25.4)^0.75*GH363), 1/12*(14-MIN(8,(W363+N363)/N363)))</f>
        <v>0.5</v>
      </c>
      <c r="GH363" s="4">
        <f>MIN(0.3, AM363^2*PI()/4*2*AP363/(N363^2*PI()/4*X363))</f>
        <v>0</v>
      </c>
      <c r="GI363" s="4">
        <f>(K363/25.4)/(N363/25.4)^1.5/0.0024*(M363*145)^0.25/GF363/GG363/145</f>
        <v>489.35162369148799</v>
      </c>
    </row>
    <row r="364" spans="1:191" ht="12" customHeight="1" x14ac:dyDescent="0.3">
      <c r="A364" s="25">
        <v>341</v>
      </c>
      <c r="B364" s="4" t="s">
        <v>605</v>
      </c>
      <c r="C364" s="4">
        <v>2016</v>
      </c>
      <c r="D364" s="4" t="s">
        <v>309</v>
      </c>
      <c r="E364" s="24" t="s">
        <v>671</v>
      </c>
      <c r="F364" s="24"/>
      <c r="G364" s="24">
        <v>52</v>
      </c>
      <c r="H364" s="7" t="s">
        <v>504</v>
      </c>
      <c r="I364" s="5">
        <f>K364/N364</f>
        <v>9.33</v>
      </c>
      <c r="J364" s="91">
        <f>120/0.145</f>
        <v>827.58620689655174</v>
      </c>
      <c r="K364" s="38">
        <f>9.33*25.4</f>
        <v>236.982</v>
      </c>
      <c r="L364" s="4">
        <f>K364</f>
        <v>236.982</v>
      </c>
      <c r="M364" s="38">
        <f>6650/145</f>
        <v>45.862068965517238</v>
      </c>
      <c r="N364" s="96">
        <f>1*25.4</f>
        <v>25.4</v>
      </c>
      <c r="O364" s="7">
        <f>K364/N364</f>
        <v>9.33</v>
      </c>
      <c r="P364" s="7">
        <f>L364/N364</f>
        <v>9.33</v>
      </c>
      <c r="Q364" s="38">
        <f>12.1*25.4</f>
        <v>307.33999999999997</v>
      </c>
      <c r="R364" s="32">
        <f>S364/N364</f>
        <v>2.5</v>
      </c>
      <c r="S364" s="38">
        <f>2.5*25.4</f>
        <v>63.5</v>
      </c>
      <c r="T364" s="32">
        <f>U364/N364</f>
        <v>3.2300000000000004</v>
      </c>
      <c r="U364" s="39">
        <f>3.23*25.4</f>
        <v>82.042000000000002</v>
      </c>
      <c r="V364" s="32">
        <f>W364/N364</f>
        <v>2.0499999999999998</v>
      </c>
      <c r="W364" s="7">
        <f>(Q364-X364*N364-2*S364)/(X364-1)</f>
        <v>52.069999999999993</v>
      </c>
      <c r="X364" s="38">
        <v>3</v>
      </c>
      <c r="Y364" s="7">
        <f>AN364</f>
        <v>10</v>
      </c>
      <c r="Z364" s="32">
        <f>AA364/N364</f>
        <v>10.25</v>
      </c>
      <c r="AA364" s="4">
        <f>10.25*25.4</f>
        <v>260.34999999999997</v>
      </c>
      <c r="AB364" s="7">
        <f>MIN(S364/N364+0.5, W364/2/N364+0.5)</f>
        <v>1.5249999999999999</v>
      </c>
      <c r="AC364" s="7">
        <f>S364/N364+0.5</f>
        <v>3</v>
      </c>
      <c r="AD364" s="38">
        <v>4</v>
      </c>
      <c r="AE364" s="4">
        <f>AD364</f>
        <v>4</v>
      </c>
      <c r="AF364" s="4">
        <f>AE364+1</f>
        <v>5</v>
      </c>
      <c r="AG364" s="7">
        <f>N364*AF364^0.5</f>
        <v>56.796126628494655</v>
      </c>
      <c r="AJ364" s="38">
        <f>AK364/0.145</f>
        <v>493.79310344827587</v>
      </c>
      <c r="AK364" s="4">
        <v>71.599999999999994</v>
      </c>
      <c r="AL364" s="4">
        <f>CY364</f>
        <v>1.2347092535127056</v>
      </c>
      <c r="AM364" s="38">
        <f>0.375*25.4</f>
        <v>9.5249999999999986</v>
      </c>
      <c r="AN364" s="38">
        <v>10</v>
      </c>
      <c r="AO364" s="39">
        <f>3*25.4</f>
        <v>76.199999999999989</v>
      </c>
      <c r="AP364" s="39">
        <v>3</v>
      </c>
      <c r="AQ364" s="39">
        <f>AP364-1</f>
        <v>2</v>
      </c>
      <c r="AR364" s="7"/>
      <c r="AS364" s="4">
        <f>K364</f>
        <v>236.982</v>
      </c>
      <c r="AT364" s="4">
        <f>IF(K364*3&gt;W364+N364, Q364, (S364+N364/2)*2+1.5*K364*(2*X364-2))*(3*K364)/(9*K364^2)</f>
        <v>0.43229724901750621</v>
      </c>
      <c r="AU364" s="4">
        <f>MIN(10*M364^0.5*K364^1.5,100*3.9*M364^0.5*K364^(5/3))/(PI()/4*N364^2)/X364</f>
        <v>162.52541840444198</v>
      </c>
      <c r="AV364" s="4">
        <f>MIN(0.7+0.3*(MIN(S364,AA364)+0.5*N364)/1.5/K364,1)</f>
        <v>0.7643086816720257</v>
      </c>
      <c r="AW364" s="4">
        <v>1.25</v>
      </c>
      <c r="AX364" s="4">
        <f>AX363</f>
        <v>2.5</v>
      </c>
      <c r="AY364" s="38">
        <f>AT364*AV364*AW364*AX364*AU364</f>
        <v>167.81183214704026</v>
      </c>
      <c r="AZ364" s="38">
        <f>AY364</f>
        <v>167.81183214704026</v>
      </c>
      <c r="BA364" s="38">
        <f>IF(M364&lt;50, 0.3*M364^(2/3), 2.12*LN(1+0.1*(M364+8)))</f>
        <v>3.8437666713572023</v>
      </c>
      <c r="BB364" s="38">
        <f>AX364* (M364^0.5/AS364^0.5)/(PI()/4*N364^2)/X364/0.72 *(0.7+(MIN(S364,AA364)+0.5*N364)/5/K364) *(3*Q364*K364)</f>
        <v>167.81183214704018</v>
      </c>
      <c r="BC364" s="38">
        <f>AY364/BB364</f>
        <v>1.0000000000000004</v>
      </c>
      <c r="BD364" s="38">
        <f>BH364/BB364</f>
        <v>2.3120723877700602</v>
      </c>
      <c r="BE364" s="4">
        <f>IF(BD364&lt;1,1,0)</f>
        <v>0</v>
      </c>
      <c r="BF364" s="4">
        <f>L364/N364*M364^0.5/0.19</f>
        <v>332.54840129137875</v>
      </c>
      <c r="BG364" s="4">
        <f>MIN(0.6+0.4*(AC364/AB364),2)</f>
        <v>1.3868852459016394</v>
      </c>
      <c r="BH364" s="38">
        <f>2*M364*AB364*AD364^0.5*BG364*0.7/0.7</f>
        <v>387.99310344827575</v>
      </c>
      <c r="BI364" s="4">
        <f>MAX(1-0.7*AE364/5,0.3)</f>
        <v>0.44000000000000006</v>
      </c>
      <c r="BJ364" s="4">
        <f>BI364*J364*L364/(J364*N364/2.75/M364^0.5)</f>
        <v>76.452877456887975</v>
      </c>
      <c r="BK364" s="4">
        <f>BH364+BJ364</f>
        <v>464.44598090516371</v>
      </c>
      <c r="BM364" s="4">
        <f>MIN(1.5, 0.75+0.25*MIN(3,MAX(1,S364/N364))+0.4*MIN(1,(40*2*PI()*AM364^2/4/AO364/X364)/N364))</f>
        <v>1.5</v>
      </c>
      <c r="BN364" s="4">
        <f>(3*P364+30)*BM364*M364^0.5</f>
        <v>589.07581033256281</v>
      </c>
      <c r="BP364" s="4">
        <f>3.4/PI()^0.5*M364*AB364*AE364^0.5*BG364</f>
        <v>372.13283467160323</v>
      </c>
      <c r="BQ364" s="4">
        <f>8/3*AH364*AI364^2/(AG364-N364-22)/N364*(AG364^2-N364^2)/(AG364^2-(N364+22)^2)</f>
        <v>0</v>
      </c>
      <c r="BR364" s="4">
        <f>BQ364/BP364</f>
        <v>0</v>
      </c>
      <c r="BZ364" s="4">
        <f>IF(W364=0,S364,MIN(W364/2,S364))</f>
        <v>26.034999999999997</v>
      </c>
      <c r="CD364" s="9"/>
      <c r="CF364" s="9"/>
      <c r="CG364" s="9"/>
      <c r="CH364" s="9">
        <f>IF(W364=0,MIN(S364,U364),MIN(W364/2,S364,U364))</f>
        <v>26.034999999999997</v>
      </c>
      <c r="CI364" s="9">
        <f>MAX(W364/2,S364)</f>
        <v>63.5</v>
      </c>
      <c r="CJ364" s="9">
        <f>(CH364/N364)^0.5*(CI364/CH364)^0.15</f>
        <v>1.1572957391947862</v>
      </c>
      <c r="CK364" s="70">
        <f>IF(AO364&gt;1,20,0)</f>
        <v>20</v>
      </c>
      <c r="CL364" s="9">
        <f>MIN(PI()*AM364^2/4*AN364*2/X364/N364/MAX(0.01,AO364),0.05)</f>
        <v>0.05</v>
      </c>
      <c r="CM364" s="9">
        <f>MAX(0,CK364*(CL364-0.5/50))</f>
        <v>0.8</v>
      </c>
      <c r="CN364" s="9">
        <f>MIN(1,(25/N364)^0.3)</f>
        <v>0.99524931562137331</v>
      </c>
      <c r="CO364" s="9">
        <f>IF(J364&gt;=800,0.68,IF(J364&gt;=700,0.75-(J364-700)*0.07/100,IF(J364&gt;=600,0.85-(J364-600)*0.1/100,IF(J364&gt;=500,1-(J364-500)*0.15/100,1.2-(J364-400)*0.2/100))))</f>
        <v>0.68</v>
      </c>
      <c r="CP364" s="9">
        <f>1.75*CN364*CO364*(M364/25)^0.5</f>
        <v>1.6041156142513788</v>
      </c>
      <c r="CQ364" s="9">
        <f>MIN((CJ364+CM364)*CP364,2.5*CP364,M364^0.5)</f>
        <v>3.1397286569500511</v>
      </c>
      <c r="CR364" s="40">
        <v>1</v>
      </c>
      <c r="CS364" s="9">
        <f>4*CQ364*P364+60*CQ364</f>
        <v>305.55839289437898</v>
      </c>
      <c r="CU364" s="4">
        <f>AJ364/BF364</f>
        <v>1.484875890338786</v>
      </c>
      <c r="CV364" s="4">
        <f>AJ364/BK364</f>
        <v>1.0631873753884515</v>
      </c>
      <c r="CW364" s="4">
        <f>AJ364/BN364</f>
        <v>0.83825051850203269</v>
      </c>
      <c r="CX364" s="4">
        <f>AJ364/CS364</f>
        <v>1.6160351505021928</v>
      </c>
      <c r="CY364" s="4">
        <f>AJ364/DZ364</f>
        <v>1.2347092535127056</v>
      </c>
      <c r="CZ364" s="4">
        <f>AJ364/EL364</f>
        <v>1.2625217719196895</v>
      </c>
      <c r="DA364" s="4">
        <f>AJ364/GI364</f>
        <v>1.3530591037272715</v>
      </c>
      <c r="DB364" s="4">
        <f>AN364</f>
        <v>10</v>
      </c>
      <c r="DI364" s="4">
        <f>CU364</f>
        <v>1.484875890338786</v>
      </c>
      <c r="DJ364" s="4">
        <f>CV364</f>
        <v>1.0631873753884515</v>
      </c>
      <c r="DK364" s="4">
        <f>CX364</f>
        <v>1.6160351505021928</v>
      </c>
      <c r="DL364" s="4">
        <f>DA364</f>
        <v>1.3530591037272715</v>
      </c>
      <c r="DM364" s="4">
        <f>CY364</f>
        <v>1.2347092535127056</v>
      </c>
      <c r="DN364" s="4">
        <f>CZ364</f>
        <v>1.2625217719196895</v>
      </c>
      <c r="DQ364" s="4">
        <f>L364</f>
        <v>236.982</v>
      </c>
      <c r="DT364" s="4">
        <f>K364/4/(1-0.3*(M364/30)^0.5)/200000/N364</f>
        <v>1.8539158722916439E-5</v>
      </c>
      <c r="DU364" s="4">
        <f>EP364</f>
        <v>8.0455613136194923</v>
      </c>
      <c r="DV364" s="4">
        <f>EC364*AG364/257/M364/AD364</f>
        <v>0.20215967934167123</v>
      </c>
      <c r="DW364" s="4">
        <f>DU364*DV364^0.4</f>
        <v>4.2445745413968154</v>
      </c>
      <c r="DX364" s="4">
        <f>MIN(DU364, DU364/1.4*(1-DV364^1.4)/(1-DV364))</f>
        <v>6.4347636804050365</v>
      </c>
      <c r="DY364" s="4">
        <f>MAX(DU364/2, (4-DT364*(8*AG364*(DW364-DX364)+6*K364*DX364))/(4+DT364*K364*DU364)*DU364)</f>
        <v>7.6736767082776174</v>
      </c>
      <c r="DZ364" s="38">
        <f>MIN(1/N364*(4*AG364*(DW364-DX364)+(3*DX364+DY364)*K364)+EC364 -FJ364,MAX(J364,AJ364))</f>
        <v>399.92662405619086</v>
      </c>
      <c r="EA364" s="4">
        <f>DZ364/FF364</f>
        <v>1.0001056415089917</v>
      </c>
      <c r="EB364" s="4">
        <f>AG364/N364</f>
        <v>2.2360679774997898</v>
      </c>
      <c r="EC364" s="4">
        <f>MIN(EB$10*BB364)</f>
        <v>167.81183214704018</v>
      </c>
      <c r="EG364" s="4">
        <f>IF(U364&gt;1*N364,0.85,1)</f>
        <v>0.85</v>
      </c>
      <c r="EH364" s="4">
        <f>MIN(1,MAX(0.7,(1-0.1*(BZ364-1*N364)/N364)))</f>
        <v>0.99750000000000005</v>
      </c>
      <c r="EI364" s="4">
        <f>MIN(1,MAX(0.7,1-0.3*(PI()*AM364^2/4*AQ364*2-0.25*PI()/4*N364^2)/(PI()/4*N364^2)))</f>
        <v>0.90625</v>
      </c>
      <c r="EJ364" s="4">
        <f>IF(EH364*EI364&lt;0.7,0.7,EH364*EI364)</f>
        <v>0.90398437500000006</v>
      </c>
      <c r="EL364" s="4">
        <f>MIN(DU364/N364*3*K364+EM364-FJ364,MAX(J364,AJ364))</f>
        <v>391.11650541871734</v>
      </c>
      <c r="EM364" s="25">
        <f>13.3*Q364*K364^0.5*M364^0.5/X364/N364^2*(0.7+S364/5/K364)</f>
        <v>165.92124425050773</v>
      </c>
      <c r="EO364" s="4">
        <f>EG364*EJ364</f>
        <v>0.76838671875000009</v>
      </c>
      <c r="EP364" s="4">
        <f>IF(N364&lt;22.2,1.1*5*(M364/30)^0.5,IF(N364&gt;=31.8,0.9*5*(M364/30)^0.5,1*5*(M364/30)^0.5))/EG364/EJ364</f>
        <v>8.0455613136194923</v>
      </c>
      <c r="ES364" s="4">
        <f>ET364*N364</f>
        <v>56.796126628494655</v>
      </c>
      <c r="ET364" s="4">
        <f>AF364^0.5</f>
        <v>2.2360679774997898</v>
      </c>
      <c r="EU364" s="4">
        <f>MIN(EC364)/(4700*M364^0.5)/AE364*ES364</f>
        <v>7.4861172859749275E-2</v>
      </c>
      <c r="EX364" s="4">
        <f>EU364</f>
        <v>7.4861172859749275E-2</v>
      </c>
      <c r="EY364" s="4">
        <f>MIN(0.999, EX364/(0.3*(M364/30)^0.5))</f>
        <v>0.20182231251429236</v>
      </c>
      <c r="EZ364" s="4">
        <f>EP364/1*EY364^0.4</f>
        <v>4.2417397600958529</v>
      </c>
      <c r="FA364" s="4">
        <f>EP364/1.4*(1-EY364^1.4)/(1-EY364)</f>
        <v>6.4338373512511406</v>
      </c>
      <c r="FB364" s="4">
        <f>MAX(0,DQ364*FB$9-ES364)</f>
        <v>120.94037337150536</v>
      </c>
      <c r="FC364" s="4">
        <f>MAX(0,DQ364-ES364-FB364)</f>
        <v>59.245499999999993</v>
      </c>
      <c r="FD364" s="4">
        <f>FC364/(1-0.3*(M364/30)^0.5)/200000/N364</f>
        <v>1.8539158722916439E-5</v>
      </c>
      <c r="FE364" s="4">
        <f>MAX(0.5*EP364, (1-2*FD364*(ES364*EZ364+FB364*FA364))/(1/EP364+FD364*FC364))</f>
        <v>7.6737574455399828</v>
      </c>
      <c r="FF364" s="4">
        <f>MIN(4/N364*(1*EZ364*ES364+FA364*FB364+FC364*FE364)+EC364,MAX(J364,AJ364))</f>
        <v>399.8843796669006</v>
      </c>
      <c r="FO364" s="23">
        <f>IF(CU364&lt;0.6,0.6,IF(CU364&lt;0.8,0.8,IF(CU364&lt;1,1,IF(CU364&lt;1.2,1.2,IF(CU364&lt;1.4,1.4,IF(CU364&lt;1.6,1.6,IF(CU364&lt;1.8,1.8,IF(CU364&lt;2,2,2.2))))))))</f>
        <v>1.6</v>
      </c>
      <c r="FP364" s="23">
        <f>IF(CV364&lt;0.6,0.6,IF(CV364&lt;0.8,0.8,IF(CV364&lt;1,1,IF(CV364&lt;1.2,1.2,IF(CV364&lt;1.4,1.4,IF(CV364&lt;1.6,1.6,IF(CV364&lt;1.8,1.8,IF(CV364&lt;2,2,2.2))))))))</f>
        <v>1.2</v>
      </c>
      <c r="FQ364" s="23">
        <f>IF(DA364&lt;0.6,0.6,IF(DA364&lt;0.8,0.8,IF(DA364&lt;1,1,IF(DA364&lt;1.2,1.2,IF(DA364&lt;1.4,1.4,IF(DA364&lt;1.6,1.6,IF(DA364&lt;1.8,1.8,IF(DA364&lt;2,2,2.2))))))))</f>
        <v>1.4</v>
      </c>
      <c r="FR364" s="23">
        <f>IF(CX364&lt;0.6,0.6,IF(CX364&lt;0.8,0.8,IF(CX364&lt;1,1,IF(CX364&lt;1.2,1.2,IF(CX364&lt;1.4,1.4,IF(CX364&lt;1.6,1.6,IF(CX364&lt;1.8,1.8,IF(CX364&lt;2,2,2.2))))))))</f>
        <v>1.8</v>
      </c>
      <c r="FS364" s="23">
        <f>IF(CY364&lt;0.6,0.6,IF(CY364&lt;0.8,0.8,IF(CY364&lt;1,1,IF(CY364&lt;1.2,1.2,IF(CY364&lt;1.4,1.4,IF(CY364&lt;1.6,1.6,IF(CY364&lt;1.8,1.8,IF(CY364&lt;2,2,2.2))))))))</f>
        <v>1.4</v>
      </c>
      <c r="FT364" s="23">
        <f>IF(CZ364&lt;0.6,0.6,IF(CZ364&lt;0.8,0.8,IF(CZ364&lt;1,1,IF(CZ364&lt;1.2,1.2,IF(CZ364&lt;1.4,1.4,IF(CZ364&lt;1.6,1.6,IF(CZ364&lt;1.8,1.8,IF(CZ364&lt;2,2,2.2))))))))</f>
        <v>1.4</v>
      </c>
      <c r="FU364" s="23">
        <f>IF(FS364&lt;1,1,0)</f>
        <v>0</v>
      </c>
      <c r="FV364" s="23"/>
      <c r="GF364" s="4">
        <f>IF(S364&gt;=2.5*25.4,1,1.25)</f>
        <v>1</v>
      </c>
      <c r="GG364" s="4">
        <f>IF(AO364&gt;1, 0.05*(18-MIN(8,(W364+N364)/N364))*(1-48000/MAX(60000,(J364*145))*(N364/25.4)^0.75*GH364), 1/12*(14-MIN(8,(W364+N364)/N364)))</f>
        <v>0.66340624999999998</v>
      </c>
      <c r="GH364" s="4">
        <f>MIN(0.3, AM364^2*PI()/4*2*AP364/(N364^2*PI()/4*X364))</f>
        <v>0.28124999999999994</v>
      </c>
      <c r="GI364" s="4">
        <f>(K364/25.4)/(N364/25.4)^1.5/0.0024*(M364*145)^0.25/GF364/GG364/145</f>
        <v>364.94570125430897</v>
      </c>
    </row>
    <row r="365" spans="1:191" ht="12" customHeight="1" x14ac:dyDescent="0.3">
      <c r="A365" s="25">
        <v>336</v>
      </c>
      <c r="B365" s="4" t="s">
        <v>605</v>
      </c>
      <c r="C365" s="4">
        <v>2016</v>
      </c>
      <c r="D365" s="4" t="s">
        <v>309</v>
      </c>
      <c r="E365" s="24" t="s">
        <v>671</v>
      </c>
      <c r="F365" s="24"/>
      <c r="G365" s="24">
        <v>54</v>
      </c>
      <c r="H365" s="7" t="s">
        <v>499</v>
      </c>
      <c r="I365" s="5">
        <f>K365/N365</f>
        <v>9.33</v>
      </c>
      <c r="J365" s="91">
        <f>120/0.145</f>
        <v>827.58620689655174</v>
      </c>
      <c r="K365" s="38">
        <f>9.33*25.4</f>
        <v>236.982</v>
      </c>
      <c r="L365" s="4">
        <f>K365</f>
        <v>236.982</v>
      </c>
      <c r="M365" s="38">
        <f>6790/145</f>
        <v>46.827586206896555</v>
      </c>
      <c r="N365" s="96">
        <f>1*25.4</f>
        <v>25.4</v>
      </c>
      <c r="O365" s="7">
        <f>K365/N365</f>
        <v>9.33</v>
      </c>
      <c r="P365" s="7">
        <f>L365/N365</f>
        <v>9.33</v>
      </c>
      <c r="Q365" s="38">
        <f>15.1*25.4</f>
        <v>383.53999999999996</v>
      </c>
      <c r="R365" s="32">
        <f>S365/N365</f>
        <v>2.5499999999999998</v>
      </c>
      <c r="S365" s="38">
        <f>2.55*25.4</f>
        <v>64.77</v>
      </c>
      <c r="T365" s="32">
        <f>U365/N365</f>
        <v>3.3</v>
      </c>
      <c r="U365" s="39">
        <f>3.3*25.4</f>
        <v>83.82</v>
      </c>
      <c r="V365" s="32">
        <f>W365/N365</f>
        <v>3.5</v>
      </c>
      <c r="W365" s="7">
        <f>(Q365-X365*N365-2*S365)/(X365-1)</f>
        <v>88.899999999999991</v>
      </c>
      <c r="X365" s="38">
        <v>3</v>
      </c>
      <c r="Y365" s="7">
        <f>AN365</f>
        <v>0</v>
      </c>
      <c r="Z365" s="32">
        <f>AA365/N365</f>
        <v>10.25</v>
      </c>
      <c r="AA365" s="4">
        <f>10.25*25.4</f>
        <v>260.34999999999997</v>
      </c>
      <c r="AB365" s="7">
        <f>MIN(S365/N365+0.5, W365/2/N365+0.5)</f>
        <v>2.25</v>
      </c>
      <c r="AC365" s="7">
        <f>S365/N365+0.5</f>
        <v>3.05</v>
      </c>
      <c r="AD365" s="38">
        <v>4</v>
      </c>
      <c r="AE365" s="4">
        <f>AD365</f>
        <v>4</v>
      </c>
      <c r="AF365" s="4">
        <f>AE365+1</f>
        <v>5</v>
      </c>
      <c r="AG365" s="7">
        <f>N365*AF365^0.5</f>
        <v>56.796126628494655</v>
      </c>
      <c r="AJ365" s="38">
        <f>AK365/0.145</f>
        <v>355.17241379310349</v>
      </c>
      <c r="AK365" s="4">
        <v>51.5</v>
      </c>
      <c r="AL365" s="4">
        <f>CY365</f>
        <v>0.79497862339968595</v>
      </c>
      <c r="AM365" s="38">
        <v>0</v>
      </c>
      <c r="AN365" s="38">
        <v>0</v>
      </c>
      <c r="AO365" s="39">
        <f>L365</f>
        <v>236.982</v>
      </c>
      <c r="AP365" s="39"/>
      <c r="AQ365" s="39"/>
      <c r="AR365" s="7"/>
      <c r="AS365" s="4">
        <f>K365</f>
        <v>236.982</v>
      </c>
      <c r="AT365" s="4">
        <f>IF(K365*3&gt;W365+N365, Q365, (S365+N365/2)*2+1.5*K365*(2*X365-2))*(3*K365)/(9*K365^2)</f>
        <v>0.53947838513754909</v>
      </c>
      <c r="AU365" s="4">
        <f>MIN(10*M365^0.5*K365^1.5,100*3.9*M365^0.5*K365^(5/3))/(PI()/4*N365^2)/X365</f>
        <v>164.22730165587976</v>
      </c>
      <c r="AV365" s="4">
        <f>MIN(0.7+0.3*(MIN(S365,AA365)+0.5*N365)/1.5/K365,1)</f>
        <v>0.76538049303322608</v>
      </c>
      <c r="AW365" s="4">
        <v>1.25</v>
      </c>
      <c r="AX365" s="4">
        <f>AX364</f>
        <v>2.5</v>
      </c>
      <c r="AY365" s="38">
        <f>AT365*AV365*AW365*AX365*AU365</f>
        <v>211.90773869847416</v>
      </c>
      <c r="AZ365" s="38">
        <f>AY365</f>
        <v>211.90773869847416</v>
      </c>
      <c r="BA365" s="38">
        <f>IF(M365&lt;50, 0.3*M365^(2/3), 2.12*LN(1+0.1*(M365+8)))</f>
        <v>3.8975267336121062</v>
      </c>
      <c r="BB365" s="38">
        <f>AX365* (M365^0.5/AS365^0.5)/(PI()/4*N365^2)/X365/0.72 *(0.7+(MIN(S365,AA365)+0.5*N365)/5/K365) *(3*Q365*K365)</f>
        <v>211.90773869847405</v>
      </c>
      <c r="BC365" s="38">
        <f>AY365/BB365</f>
        <v>1.0000000000000004</v>
      </c>
      <c r="BD365" s="38">
        <f>BH365/BB365</f>
        <v>2.27168478680181</v>
      </c>
      <c r="BE365" s="4">
        <f>IF(BD365&lt;1,1,0)</f>
        <v>0</v>
      </c>
      <c r="BF365" s="4">
        <f>L365/N365*M365^0.5/0.19</f>
        <v>336.03067846381362</v>
      </c>
      <c r="BG365" s="4">
        <f>MIN(0.6+0.4*(AC365/AB365),2)</f>
        <v>1.1422222222222222</v>
      </c>
      <c r="BH365" s="38">
        <f>2*M365*AB365*AD365^0.5*BG365*0.7/0.7</f>
        <v>481.38758620689663</v>
      </c>
      <c r="BI365" s="4">
        <f>MAX(1-0.7*AE365/5,0.3)</f>
        <v>0.44000000000000006</v>
      </c>
      <c r="BJ365" s="4">
        <f>BI365*J365*L365/(J365*N365/2.75/M365^0.5)</f>
        <v>77.253452978830751</v>
      </c>
      <c r="BK365" s="4">
        <f>BH365+BJ365</f>
        <v>558.64103918572732</v>
      </c>
      <c r="BM365" s="4">
        <f>MIN(1.5, 0.75+0.25*MIN(3,MAX(1,S365/N365))+0.4*MIN(1,(40*2*PI()*AM365^2/4/AO365/X365)/N365))</f>
        <v>1.3875</v>
      </c>
      <c r="BN365" s="4">
        <f>(3*P365+30)*BM365*M365^0.5</f>
        <v>550.60098826422575</v>
      </c>
      <c r="BP365" s="4">
        <f>3.4/PI()^0.5*M365*AB365*AE365^0.5*BG365</f>
        <v>461.70956503811868</v>
      </c>
      <c r="BQ365" s="4">
        <f>8/3*AH365*AI365^2/(AG365-N365-22)/N365*(AG365^2-N365^2)/(AG365^2-(N365+22)^2)</f>
        <v>0</v>
      </c>
      <c r="BR365" s="4">
        <f>BQ365/BP365</f>
        <v>0</v>
      </c>
      <c r="BZ365" s="4">
        <f>IF(W365=0,S365,MIN(W365/2,S365))</f>
        <v>44.449999999999996</v>
      </c>
      <c r="CD365" s="9"/>
      <c r="CF365" s="9"/>
      <c r="CG365" s="9"/>
      <c r="CH365" s="9">
        <f>IF(W365=0,MIN(S365,U365),MIN(W365/2,S365,U365))</f>
        <v>44.449999999999996</v>
      </c>
      <c r="CI365" s="9">
        <f>MAX(W365/2,S365)</f>
        <v>64.77</v>
      </c>
      <c r="CJ365" s="9">
        <f>(CH365/N365)^0.5*(CI365/CH365)^0.15</f>
        <v>1.3997302362379427</v>
      </c>
      <c r="CK365" s="70">
        <f>IF(AO365&gt;1,20,0)</f>
        <v>20</v>
      </c>
      <c r="CL365" s="9">
        <f>MIN(PI()*AM365^2/4*AN365*2/X365/N365/MAX(0.01,AO365),0.05)</f>
        <v>0</v>
      </c>
      <c r="CM365" s="9">
        <f>MAX(0,CK365*(CL365-0.5/50))</f>
        <v>0</v>
      </c>
      <c r="CN365" s="9">
        <f>MIN(1,(25/N365)^0.3)</f>
        <v>0.99524931562137331</v>
      </c>
      <c r="CO365" s="9">
        <f>IF(J365&gt;=800,0.68,IF(J365&gt;=700,0.75-(J365-700)*0.07/100,IF(J365&gt;=600,0.85-(J365-600)*0.1/100,IF(J365&gt;=500,1-(J365-500)*0.15/100,1.2-(J365-400)*0.2/100))))</f>
        <v>0.68</v>
      </c>
      <c r="CP365" s="9">
        <f>1.75*CN365*CO365*(M365/25)^0.5</f>
        <v>1.6209130944490342</v>
      </c>
      <c r="CQ365" s="9">
        <f>MIN((CJ365+CM365)*CP365,2.5*CP365,M365^0.5)</f>
        <v>2.2688410686143214</v>
      </c>
      <c r="CR365" s="40">
        <v>1</v>
      </c>
      <c r="CS365" s="9">
        <f>4*CQ365*P365+60*CQ365</f>
        <v>220.80361279754578</v>
      </c>
      <c r="CU365" s="4">
        <f>AJ365/BF365</f>
        <v>1.0569642492667561</v>
      </c>
      <c r="CV365" s="4">
        <f>AJ365/BK365</f>
        <v>0.63577930885779754</v>
      </c>
      <c r="CW365" s="4">
        <f>AJ365/BN365</f>
        <v>0.64506316073421432</v>
      </c>
      <c r="CX365" s="4">
        <f>AJ365/CS365</f>
        <v>1.6085443951442955</v>
      </c>
      <c r="CY365" s="4">
        <f>AJ365/DZ365</f>
        <v>0.79497862339968595</v>
      </c>
      <c r="CZ365" s="4">
        <f>AJ365/EL365</f>
        <v>0.82233348350740842</v>
      </c>
      <c r="DA365" s="4">
        <f>AJ365/GI365</f>
        <v>0.98508375291617878</v>
      </c>
      <c r="DB365" s="4">
        <f>AN365</f>
        <v>0</v>
      </c>
      <c r="DC365" s="4">
        <f>CU365</f>
        <v>1.0569642492667561</v>
      </c>
      <c r="DD365" s="4">
        <f>CV365</f>
        <v>0.63577930885779754</v>
      </c>
      <c r="DE365" s="4">
        <f>CX365</f>
        <v>1.6085443951442955</v>
      </c>
      <c r="DF365" s="4">
        <f>DA365</f>
        <v>0.98508375291617878</v>
      </c>
      <c r="DG365" s="4">
        <f>CY365</f>
        <v>0.79497862339968595</v>
      </c>
      <c r="DH365" s="4">
        <f>CZ365</f>
        <v>0.82233348350740842</v>
      </c>
      <c r="DQ365" s="4">
        <f>L365</f>
        <v>236.982</v>
      </c>
      <c r="DT365" s="4">
        <f>K365/4/(1-0.3*(M365/30)^0.5)/200000/N365</f>
        <v>1.8654337941167171E-5</v>
      </c>
      <c r="DU365" s="4">
        <f>EP365</f>
        <v>7.9451043316276984</v>
      </c>
      <c r="DV365" s="4">
        <f>EC365*AG365/257/M365/AD365</f>
        <v>0.25001763870794352</v>
      </c>
      <c r="DW365" s="4">
        <f>DU365*DV365^0.4</f>
        <v>4.5633929194179164</v>
      </c>
      <c r="DX365" s="4">
        <f>MIN(DU365, DU365/1.4*(1-DV365^1.4)/(1-DV365))</f>
        <v>6.4803196530193512</v>
      </c>
      <c r="DY365" s="4">
        <f>MAX(DU365/2, (4-DT365*(8*AG365*(DW365-DX365)+6*K365*DX365))/(4+DT365*K365*DU365)*DU365)</f>
        <v>7.5694956542959266</v>
      </c>
      <c r="DZ365" s="38">
        <f>MIN(1/N365*(4*AG365*(DW365-DX365)+(3*DX365+DY365)*K365)+EC365 -FJ365,MAX(J365,AJ365))</f>
        <v>446.76976630418892</v>
      </c>
      <c r="EA365" s="4">
        <f>DZ365/FF365</f>
        <v>1.0001046444848969</v>
      </c>
      <c r="EB365" s="4">
        <f>AG365/N365</f>
        <v>2.2360679774997898</v>
      </c>
      <c r="EC365" s="4">
        <f>MIN(EB$10*BB365)</f>
        <v>211.90773869847405</v>
      </c>
      <c r="EG365" s="4">
        <f>IF(U365&gt;1*N365,0.85,1)</f>
        <v>0.85</v>
      </c>
      <c r="EH365" s="4">
        <f>MIN(1,MAX(0.7,(1-0.1*(BZ365-1*N365)/N365)))</f>
        <v>0.92500000000000004</v>
      </c>
      <c r="EI365" s="4">
        <f>MIN(1,MAX(0.7,1-0.3*(PI()*AM365^2/4*AQ365*2-0.25*PI()/4*N365^2)/(PI()/4*N365^2)))</f>
        <v>1</v>
      </c>
      <c r="EJ365" s="4">
        <f>IF(EH365*EI365&lt;0.7,0.7,EH365*EI365)</f>
        <v>0.92500000000000004</v>
      </c>
      <c r="EL365" s="4">
        <f>MIN(DU365/N365*3*K365+EM365-FJ365,MAX(J365,AJ365))</f>
        <v>431.90800437582294</v>
      </c>
      <c r="EM365" s="25">
        <f>13.3*Q365*K365^0.5*M365^0.5/X365/N365^2*(0.7+S365/5/K365)</f>
        <v>209.52453413356363</v>
      </c>
      <c r="EO365" s="4">
        <f>EG365*EJ365</f>
        <v>0.78625</v>
      </c>
      <c r="EP365" s="4">
        <f>IF(N365&lt;22.2,1.1*5*(M365/30)^0.5,IF(N365&gt;=31.8,0.9*5*(M365/30)^0.5,1*5*(M365/30)^0.5))/EG365/EJ365</f>
        <v>7.9451043316276984</v>
      </c>
      <c r="ES365" s="4">
        <f>ET365*N365</f>
        <v>56.796126628494655</v>
      </c>
      <c r="ET365" s="4">
        <f>AF365^0.5</f>
        <v>2.2360679774997898</v>
      </c>
      <c r="EU365" s="4">
        <f>MIN(EC365)/(4700*M365^0.5)/AE365*ES365</f>
        <v>9.3552802215112377E-2</v>
      </c>
      <c r="EX365" s="4">
        <f>EU365</f>
        <v>9.3552802215112377E-2</v>
      </c>
      <c r="EY365" s="4">
        <f>MIN(0.999, EX365/(0.3*(M365/30)^0.5))</f>
        <v>0.24960040586589352</v>
      </c>
      <c r="EZ365" s="4">
        <f>EP365/1*EY365^0.4</f>
        <v>4.5603452120939565</v>
      </c>
      <c r="FA365" s="4">
        <f>EP365/1.4*(1-EY365^1.4)/(1-EY365)</f>
        <v>6.4792529673615737</v>
      </c>
      <c r="FB365" s="4">
        <f>MAX(0,DQ365*FB$9-ES365)</f>
        <v>120.94037337150536</v>
      </c>
      <c r="FC365" s="4">
        <f>MAX(0,DQ365-ES365-FB365)</f>
        <v>59.245499999999993</v>
      </c>
      <c r="FD365" s="4">
        <f>FC365/(1-0.3*(M365/30)^0.5)/200000/N365</f>
        <v>1.8654337941167168E-5</v>
      </c>
      <c r="FE365" s="4">
        <f>MAX(0.5*EP365, (1-2*FD365*(ES365*EZ365+FB365*FA365))/(1/EP365+FD365*FC365))</f>
        <v>7.5695844246889541</v>
      </c>
      <c r="FF365" s="4">
        <f>MIN(4/N365*(1*EZ365*ES365+FA365*FB365+FC365*FE365)+EC365,MAX(J365,AJ365))</f>
        <v>446.72301920395273</v>
      </c>
      <c r="FO365" s="23">
        <f>IF(CU365&lt;0.6,0.6,IF(CU365&lt;0.8,0.8,IF(CU365&lt;1,1,IF(CU365&lt;1.2,1.2,IF(CU365&lt;1.4,1.4,IF(CU365&lt;1.6,1.6,IF(CU365&lt;1.8,1.8,IF(CU365&lt;2,2,2.2))))))))</f>
        <v>1.2</v>
      </c>
      <c r="FP365" s="23">
        <f>IF(CV365&lt;0.6,0.6,IF(CV365&lt;0.8,0.8,IF(CV365&lt;1,1,IF(CV365&lt;1.2,1.2,IF(CV365&lt;1.4,1.4,IF(CV365&lt;1.6,1.6,IF(CV365&lt;1.8,1.8,IF(CV365&lt;2,2,2.2))))))))</f>
        <v>0.8</v>
      </c>
      <c r="FQ365" s="23">
        <f>IF(DA365&lt;0.6,0.6,IF(DA365&lt;0.8,0.8,IF(DA365&lt;1,1,IF(DA365&lt;1.2,1.2,IF(DA365&lt;1.4,1.4,IF(DA365&lt;1.6,1.6,IF(DA365&lt;1.8,1.8,IF(DA365&lt;2,2,2.2))))))))</f>
        <v>1</v>
      </c>
      <c r="FR365" s="23">
        <f>IF(CX365&lt;0.6,0.6,IF(CX365&lt;0.8,0.8,IF(CX365&lt;1,1,IF(CX365&lt;1.2,1.2,IF(CX365&lt;1.4,1.4,IF(CX365&lt;1.6,1.6,IF(CX365&lt;1.8,1.8,IF(CX365&lt;2,2,2.2))))))))</f>
        <v>1.8</v>
      </c>
      <c r="FS365" s="23">
        <f>IF(CY365&lt;0.6,0.6,IF(CY365&lt;0.8,0.8,IF(CY365&lt;1,1,IF(CY365&lt;1.2,1.2,IF(CY365&lt;1.4,1.4,IF(CY365&lt;1.6,1.6,IF(CY365&lt;1.8,1.8,IF(CY365&lt;2,2,2.2))))))))</f>
        <v>0.8</v>
      </c>
      <c r="FT365" s="23">
        <f>IF(CZ365&lt;0.6,0.6,IF(CZ365&lt;0.8,0.8,IF(CZ365&lt;1,1,IF(CZ365&lt;1.2,1.2,IF(CZ365&lt;1.4,1.4,IF(CZ365&lt;1.6,1.6,IF(CZ365&lt;1.8,1.8,IF(CZ365&lt;2,2,2.2))))))))</f>
        <v>1</v>
      </c>
      <c r="FU365" s="23">
        <f>IF(FS365&lt;1,1,0)</f>
        <v>1</v>
      </c>
      <c r="FV365" s="23"/>
      <c r="GF365" s="4">
        <f>IF(S365&gt;=2.5*25.4,1,1.25)</f>
        <v>1</v>
      </c>
      <c r="GG365" s="4">
        <f>IF(AO365&gt;1, 0.05*(18-MIN(8,(W365+N365)/N365))*(1-48000/MAX(60000,(J365*145))*(N365/25.4)^0.75*GH365), 1/12*(14-MIN(8,(W365+N365)/N365)))</f>
        <v>0.67500000000000004</v>
      </c>
      <c r="GH365" s="4">
        <f>MIN(0.3, AM365^2*PI()/4*2*AP365/(N365^2*PI()/4*X365))</f>
        <v>0</v>
      </c>
      <c r="GI365" s="4">
        <f>(K365/25.4)/(N365/25.4)^1.5/0.0024*(M365*145)^0.25/GF365/GG365/145</f>
        <v>360.55047374568289</v>
      </c>
    </row>
    <row r="366" spans="1:191" ht="12" customHeight="1" x14ac:dyDescent="0.3">
      <c r="A366" s="25">
        <v>244</v>
      </c>
      <c r="B366" s="4" t="s">
        <v>605</v>
      </c>
      <c r="C366" s="4">
        <v>2016</v>
      </c>
      <c r="D366" s="4" t="s">
        <v>309</v>
      </c>
      <c r="E366" s="24" t="s">
        <v>405</v>
      </c>
      <c r="F366" s="24"/>
      <c r="G366" s="24">
        <v>49</v>
      </c>
      <c r="H366" s="7" t="s">
        <v>397</v>
      </c>
      <c r="I366" s="5">
        <f>K366/N366</f>
        <v>9.31</v>
      </c>
      <c r="J366" s="91">
        <f>120/0.145</f>
        <v>827.58620689655174</v>
      </c>
      <c r="K366" s="38">
        <f>9.31*25.4</f>
        <v>236.47399999999999</v>
      </c>
      <c r="L366" s="4">
        <f>K366</f>
        <v>236.47399999999999</v>
      </c>
      <c r="M366" s="89">
        <f>5960/145</f>
        <v>41.103448275862071</v>
      </c>
      <c r="N366" s="96">
        <f>1*25.4</f>
        <v>25.4</v>
      </c>
      <c r="O366" s="7">
        <f>K366/N366</f>
        <v>9.31</v>
      </c>
      <c r="P366" s="7">
        <f>L366/N366</f>
        <v>9.31</v>
      </c>
      <c r="Q366" s="38">
        <f>16.5*25.4</f>
        <v>419.09999999999997</v>
      </c>
      <c r="R366" s="32">
        <f>S366/N366</f>
        <v>2.5</v>
      </c>
      <c r="S366" s="38">
        <f>2.5*25.4</f>
        <v>63.5</v>
      </c>
      <c r="T366" s="32">
        <f>U366/N366</f>
        <v>3.45</v>
      </c>
      <c r="U366" s="39">
        <f>3.45*25.4</f>
        <v>87.63</v>
      </c>
      <c r="V366" s="32">
        <f>W366/N366</f>
        <v>9.4999999999999982</v>
      </c>
      <c r="W366" s="7">
        <f>(Q366-X366*N366-2*S366)/(X366-1)</f>
        <v>241.29999999999995</v>
      </c>
      <c r="X366" s="38">
        <v>2</v>
      </c>
      <c r="Y366" s="7">
        <f>AN366</f>
        <v>10</v>
      </c>
      <c r="Z366" s="32">
        <f>AA366/N366</f>
        <v>10.25</v>
      </c>
      <c r="AA366" s="4">
        <f>10.25*25.4</f>
        <v>260.34999999999997</v>
      </c>
      <c r="AB366" s="7">
        <f>MIN(S366/N366+0.5, W366/2/N366+0.5)</f>
        <v>3</v>
      </c>
      <c r="AC366" s="7">
        <f>S366/N366+0.5</f>
        <v>3</v>
      </c>
      <c r="AD366" s="38">
        <v>4</v>
      </c>
      <c r="AE366" s="4">
        <f>AD366</f>
        <v>4</v>
      </c>
      <c r="AF366" s="4">
        <f>AE366+1</f>
        <v>5</v>
      </c>
      <c r="AG366" s="7">
        <f>N366*AF366^0.5</f>
        <v>56.796126628494655</v>
      </c>
      <c r="AJ366" s="38">
        <f>AK366/0.145</f>
        <v>647.58620689655186</v>
      </c>
      <c r="AK366" s="4">
        <v>93.9</v>
      </c>
      <c r="AL366" s="4">
        <f>CY366</f>
        <v>1.1078590441518625</v>
      </c>
      <c r="AM366" s="38">
        <f>0.375*25.4</f>
        <v>9.5249999999999986</v>
      </c>
      <c r="AN366" s="38">
        <v>10</v>
      </c>
      <c r="AO366" s="39">
        <f>3*25.4</f>
        <v>76.199999999999989</v>
      </c>
      <c r="AP366" s="39">
        <v>3</v>
      </c>
      <c r="AQ366" s="39">
        <v>1</v>
      </c>
      <c r="AR366" s="7"/>
      <c r="AS366" s="4">
        <f>K366</f>
        <v>236.47399999999999</v>
      </c>
      <c r="AT366" s="4">
        <f>IF(K366*3&gt;W366+N366, Q366, (S366+N366/2)*2+1.5*K366*(2*X366-2))*(3*K366)/(9*K366^2)</f>
        <v>0.59076262083780873</v>
      </c>
      <c r="AU366" s="4">
        <f>MIN(10*M366^0.5*K366^1.5,100*3.9*M366^0.5*K366^(5/3))/(PI()/4*N366^2)/X366</f>
        <v>230.0524776158949</v>
      </c>
      <c r="AV366" s="4">
        <f>MIN(0.7+0.3*(MIN(S366,AA366)+0.5*N366)/1.5/K366,1)</f>
        <v>0.76444683136412461</v>
      </c>
      <c r="AW366" s="4">
        <v>1.25</v>
      </c>
      <c r="AX366" s="4">
        <f>AX365</f>
        <v>2.5</v>
      </c>
      <c r="AY366" s="38">
        <f>AT366*AV366*AW366*AX366*AU366</f>
        <v>324.66631363626266</v>
      </c>
      <c r="AZ366" s="38">
        <f>AY366</f>
        <v>324.66631363626266</v>
      </c>
      <c r="BA366" s="38">
        <f>IF(M366&lt;50, 0.3*M366^(2/3), 2.12*LN(1+0.1*(M366+8)))</f>
        <v>3.5730582227190051</v>
      </c>
      <c r="BB366" s="38">
        <f>AX366* (M366^0.5/AS366^0.5)/(PI()/4*N366^2)/X366/0.72 *(0.7+(MIN(S366,AA366)+0.5*N366)/5/K366) *(3*Q366*K366)</f>
        <v>324.66631363626226</v>
      </c>
      <c r="BC366" s="38">
        <f>AY366/BB366</f>
        <v>1.0000000000000013</v>
      </c>
      <c r="BD366" s="38">
        <f>BH366/BB366</f>
        <v>1.519225612863996</v>
      </c>
      <c r="BE366" s="4">
        <f>IF(BD366&lt;1,1,0)</f>
        <v>0</v>
      </c>
      <c r="BF366" s="4">
        <f>L366/N366*M366^0.5/0.19</f>
        <v>314.1486579795382</v>
      </c>
      <c r="BG366" s="4">
        <f>MIN(0.6+0.4*(AC366/AB366),2)</f>
        <v>1</v>
      </c>
      <c r="BH366" s="38">
        <f>2*M366*AB366*AD366^0.5*BG366*0.7/0.7</f>
        <v>493.24137931034488</v>
      </c>
      <c r="BI366" s="4">
        <f>MAX(1-0.7*AE366/5,0.3)</f>
        <v>0.44000000000000006</v>
      </c>
      <c r="BJ366" s="4">
        <f>BI366*J366*L366/(J366*N366/2.75/M366^0.5)</f>
        <v>72.222776469495813</v>
      </c>
      <c r="BK366" s="4">
        <f>BH366+BJ366</f>
        <v>565.46415577984067</v>
      </c>
      <c r="BM366" s="4">
        <f>MIN(1.5, 0.75+0.25*MIN(3,MAX(1,S366/N366))+0.4*MIN(1,(40*2*PI()*AM366^2/4/AO366/X366)/N366))</f>
        <v>1.5</v>
      </c>
      <c r="BN366" s="4">
        <f>(3*P366+30)*BM366*M366^0.5</f>
        <v>557.10097214555037</v>
      </c>
      <c r="BP366" s="4">
        <f>3.4/PI()^0.5*M366*AB366*AE366^0.5*BG366</f>
        <v>473.07880224876135</v>
      </c>
      <c r="BQ366" s="4">
        <f>8/3*AK366*AI366^2/(AG366-N366-22)/N366*(AG366^2-N366^2)/(AG366^2-(N366+22)^2)</f>
        <v>0</v>
      </c>
      <c r="BR366" s="4">
        <f>BQ366/BP366</f>
        <v>0</v>
      </c>
      <c r="BZ366" s="4">
        <f>IF(W366=0,S366,MIN(W366/2,S366))</f>
        <v>63.5</v>
      </c>
      <c r="CD366" s="9"/>
      <c r="CF366" s="9"/>
      <c r="CG366" s="9"/>
      <c r="CH366" s="9">
        <f>IF(W366=0,MIN(S366,U366),MIN(W366/2,S366,U366))</f>
        <v>63.5</v>
      </c>
      <c r="CI366" s="9">
        <f>MAX(W366/2,S366)</f>
        <v>120.64999999999998</v>
      </c>
      <c r="CJ366" s="9">
        <f>(CH366/N366)^0.5*(CI366/CH366)^0.15</f>
        <v>1.7409369561833321</v>
      </c>
      <c r="CK366" s="70">
        <f>IF(AO366&gt;1,20,0)</f>
        <v>20</v>
      </c>
      <c r="CL366" s="9">
        <f>MIN(PI()*AM366^2/4*AN366*2/X366/N366/MAX(0.01,AO366),0.05)</f>
        <v>0.05</v>
      </c>
      <c r="CM366" s="9">
        <f>MAX(0,CK366*(CL366-0.5/50))</f>
        <v>0.8</v>
      </c>
      <c r="CN366" s="9">
        <f>MIN(1,(25/N366)^0.3)</f>
        <v>0.99524931562137331</v>
      </c>
      <c r="CO366" s="9">
        <f>IF(J366&gt;=800,0.68,IF(J366&gt;=700,0.75-(J366-700)*0.07/100,IF(J366&gt;=600,0.85-(J366-600)*0.1/100,IF(J366&gt;=500,1-(J366-500)*0.15/100,1.2-(J366-400)*0.2/100))))</f>
        <v>0.68</v>
      </c>
      <c r="CP366" s="9">
        <f>1.75*CN366*CO366*(M366/25)^0.5</f>
        <v>1.5186160075936113</v>
      </c>
      <c r="CQ366" s="9">
        <f>MIN((CJ366+CM366)*CP366,2.5*CP366,M366^0.5)</f>
        <v>3.7965400189840279</v>
      </c>
      <c r="CR366" s="40">
        <v>1</v>
      </c>
      <c r="CS366" s="9">
        <f>4*CQ366*P366+60*CQ366</f>
        <v>369.17555144600692</v>
      </c>
      <c r="CU366" s="4">
        <f>AJ366/BF366</f>
        <v>2.0614005199370671</v>
      </c>
      <c r="CV366" s="4">
        <f>AJ366/BK366</f>
        <v>1.1452294549129385</v>
      </c>
      <c r="CW366" s="4">
        <f>AJ366/BN366</f>
        <v>1.162421606270974</v>
      </c>
      <c r="CX366" s="4">
        <f>AJ366/CS366</f>
        <v>1.7541416390117137</v>
      </c>
      <c r="CY366" s="4">
        <f>AJ366/DZ366</f>
        <v>1.1078590441518625</v>
      </c>
      <c r="CZ366" s="4">
        <f>AJ366/EL366</f>
        <v>1.1787430355325779</v>
      </c>
      <c r="DA366" s="4">
        <f>AJ366/GI366</f>
        <v>1.2121832107334114</v>
      </c>
      <c r="DB366" s="4">
        <f>AN366</f>
        <v>10</v>
      </c>
      <c r="DI366" s="4">
        <f>CU366</f>
        <v>2.0614005199370671</v>
      </c>
      <c r="DJ366" s="4">
        <f>CV366</f>
        <v>1.1452294549129385</v>
      </c>
      <c r="DK366" s="4">
        <f>CX366</f>
        <v>1.7541416390117137</v>
      </c>
      <c r="DL366" s="4">
        <f>DA366</f>
        <v>1.2121832107334114</v>
      </c>
      <c r="DM366" s="4">
        <f>CY366</f>
        <v>1.1078590441518625</v>
      </c>
      <c r="DN366" s="4">
        <f>CZ366</f>
        <v>1.1787430355325779</v>
      </c>
      <c r="DQ366" s="4">
        <f>L366</f>
        <v>236.47399999999999</v>
      </c>
      <c r="DT366" s="4">
        <f>K366/4/(1-0.3*(M366/30)^0.5)/200000/N366</f>
        <v>1.7935736647377375E-5</v>
      </c>
      <c r="DU366" s="4">
        <f>EP366</f>
        <v>8.1771388151947182</v>
      </c>
      <c r="DV366" s="4">
        <f>EC366*AG366/257/M366/AD366</f>
        <v>0.43639983382852249</v>
      </c>
      <c r="DW366" s="4">
        <f>DU366*DV366^0.4</f>
        <v>5.8688796130071648</v>
      </c>
      <c r="DX366" s="4">
        <f>MIN(DU366, DU366/1.4*(1-DV366^1.4)/(1-DV366))</f>
        <v>7.1174580141854262</v>
      </c>
      <c r="DY366" s="4">
        <f>MAX(DU366/2, (4-DT366*(8*AG366*(DW366-DX366)+6*K366*DX366))/(4+DT366*K366*DU366)*DU366)</f>
        <v>7.7603820959198675</v>
      </c>
      <c r="DZ366" s="38">
        <f>MIN(1/N366*(4*AG366*(DW366-DX366)+(3*DX366+DY366)*K366)+EC366 -FJ366,MAX(J366,AJ366))</f>
        <v>584.53844856438468</v>
      </c>
      <c r="EA366" s="4">
        <f>DZ366/FF366</f>
        <v>1.0001104721941727</v>
      </c>
      <c r="EB366" s="4">
        <f>AG366/N366</f>
        <v>2.2360679774997898</v>
      </c>
      <c r="EC366" s="4">
        <f>MIN(EB$10*BB366)</f>
        <v>324.66631363626226</v>
      </c>
      <c r="EG366" s="4">
        <f>IF(U366&gt;1*N366,0.85,1)</f>
        <v>0.85</v>
      </c>
      <c r="EH366" s="4">
        <f>MIN(1,MAX(0.7,(1-0.1*(BZ366-1*N366)/N366)))</f>
        <v>0.85</v>
      </c>
      <c r="EI366" s="4">
        <f>MIN(1,MAX(0.7,1-0.3*(PI()*AM366^2/4*AQ366*2-0.25*PI()/4*N366^2)/(PI()/4*N366^2)))</f>
        <v>0.99062499999999998</v>
      </c>
      <c r="EJ366" s="4">
        <f>IF(EH366*EI366&lt;0.7,0.7,EH366*EI366)</f>
        <v>0.84203125000000001</v>
      </c>
      <c r="EL366" s="4">
        <f>MIN(DU366/N366*3*K366+EM366-FJ366,MAX(J366,AJ366))</f>
        <v>549.38709063418594</v>
      </c>
      <c r="EM366" s="25">
        <f>13.3*Q366*K366^0.5*M366^0.5/X366/N366^2*(0.7+S366/5/K366)</f>
        <v>320.9996035257974</v>
      </c>
      <c r="EO366" s="4">
        <f>EG366*EJ366</f>
        <v>0.7157265625</v>
      </c>
      <c r="EP366" s="4">
        <f>IF(N366&lt;22.2,1.1*5*(M366/30)^0.5,IF(N366&gt;=31.8,0.9*5*(M366/30)^0.5,1*5*(M366/30)^0.5))/EG366/EJ366</f>
        <v>8.1771388151947182</v>
      </c>
      <c r="ES366" s="4">
        <f>ET366*N366</f>
        <v>56.796126628494655</v>
      </c>
      <c r="ET366" s="4">
        <f>AF366^0.5</f>
        <v>2.2360679774997898</v>
      </c>
      <c r="EU366" s="4">
        <f>MIN(EC366)/(4700*M366^0.5)/AE366*ES366</f>
        <v>0.15298856487151113</v>
      </c>
      <c r="EX366" s="4">
        <f>EU366</f>
        <v>0.15298856487151113</v>
      </c>
      <c r="EY366" s="4">
        <f>MIN(0.999, EX366/(0.3*(M366/30)^0.5))</f>
        <v>0.43567156383973532</v>
      </c>
      <c r="EZ366" s="4">
        <f>EP366/1*EY366^0.4</f>
        <v>5.8649600234176082</v>
      </c>
      <c r="FA366" s="4">
        <f>EP366/1.4*(1-EY366^1.4)/(1-EY366)</f>
        <v>7.1158441858875401</v>
      </c>
      <c r="FB366" s="4">
        <f>MAX(0,DQ366*FB$9-ES366)</f>
        <v>120.55937337150536</v>
      </c>
      <c r="FC366" s="4">
        <f>MAX(0,DQ366-ES366-FB366)</f>
        <v>59.118499999999983</v>
      </c>
      <c r="FD366" s="4">
        <f>FC366/(1-0.3*(M366/30)^0.5)/200000/N366</f>
        <v>1.7935736647377372E-5</v>
      </c>
      <c r="FE366" s="4">
        <f>MAX(0.5*EP366, (1-2*FD366*(ES366*EZ366+FB366*FA366))/(1/EP366+FD366*FC366))</f>
        <v>7.7605034136751785</v>
      </c>
      <c r="FF366" s="4">
        <f>MIN(4/N366*(1*EZ366*ES366+FA366*FB366+FC366*FE366)+EC366,MAX(J366,AJ366))</f>
        <v>584.47388045237449</v>
      </c>
      <c r="FO366" s="23">
        <f>IF(CU366&lt;0.6,0.6,IF(CU366&lt;0.8,0.8,IF(CU366&lt;1,1,IF(CU366&lt;1.2,1.2,IF(CU366&lt;1.4,1.4,IF(CU366&lt;1.6,1.6,IF(CU366&lt;1.8,1.8,IF(CU366&lt;2,2,2.2))))))))</f>
        <v>2.2000000000000002</v>
      </c>
      <c r="FP366" s="23">
        <f>IF(CV366&lt;0.6,0.6,IF(CV366&lt;0.8,0.8,IF(CV366&lt;1,1,IF(CV366&lt;1.2,1.2,IF(CV366&lt;1.4,1.4,IF(CV366&lt;1.6,1.6,IF(CV366&lt;1.8,1.8,IF(CV366&lt;2,2,2.2))))))))</f>
        <v>1.2</v>
      </c>
      <c r="FQ366" s="23">
        <f>IF(DA366&lt;0.6,0.6,IF(DA366&lt;0.8,0.8,IF(DA366&lt;1,1,IF(DA366&lt;1.2,1.2,IF(DA366&lt;1.4,1.4,IF(DA366&lt;1.6,1.6,IF(DA366&lt;1.8,1.8,IF(DA366&lt;2,2,2.2))))))))</f>
        <v>1.4</v>
      </c>
      <c r="FR366" s="23">
        <f>IF(CX366&lt;0.6,0.6,IF(CX366&lt;0.8,0.8,IF(CX366&lt;1,1,IF(CX366&lt;1.2,1.2,IF(CX366&lt;1.4,1.4,IF(CX366&lt;1.6,1.6,IF(CX366&lt;1.8,1.8,IF(CX366&lt;2,2,2.2))))))))</f>
        <v>1.8</v>
      </c>
      <c r="FS366" s="23">
        <f>IF(CY366&lt;0.6,0.6,IF(CY366&lt;0.8,0.8,IF(CY366&lt;1,1,IF(CY366&lt;1.2,1.2,IF(CY366&lt;1.4,1.4,IF(CY366&lt;1.6,1.6,IF(CY366&lt;1.8,1.8,IF(CY366&lt;2,2,2.2))))))))</f>
        <v>1.2</v>
      </c>
      <c r="FT366" s="23">
        <f>IF(CZ366&lt;0.6,0.6,IF(CZ366&lt;0.8,0.8,IF(CZ366&lt;1,1,IF(CZ366&lt;1.2,1.2,IF(CZ366&lt;1.4,1.4,IF(CZ366&lt;1.6,1.6,IF(CZ366&lt;1.8,1.8,IF(CZ366&lt;2,2,2.2))))))))</f>
        <v>1.2</v>
      </c>
      <c r="FU366" s="23">
        <f>IF(FS366&lt;1,1,0)</f>
        <v>0</v>
      </c>
      <c r="FV366" s="23"/>
      <c r="GF366" s="4">
        <f>IF(S366&gt;=2.5*25.4,1,1.25)</f>
        <v>1</v>
      </c>
      <c r="GG366" s="4">
        <f>IF(AO366&gt;1, 0.05*(18-MIN(8,(W366+N366)/N366))*(1-48000/MAX(60000,(J366*145))*(N366/25.4)^0.75*GH366), 1/12*(14-MIN(8,(W366+N366)/N366)))</f>
        <v>0.44</v>
      </c>
      <c r="GH366" s="4">
        <f>MIN(0.3, AM366^2*PI()/4*2*AP366/(N366^2*PI()/4*X366))</f>
        <v>0.3</v>
      </c>
      <c r="GI366" s="4">
        <f>(K366/25.4)/(N366/25.4)^1.5/0.0024*(M366*145)^0.25/GF366/GG366/145</f>
        <v>534.23129537055752</v>
      </c>
    </row>
    <row r="367" spans="1:191" ht="12" customHeight="1" x14ac:dyDescent="0.3">
      <c r="A367" s="25">
        <v>304</v>
      </c>
      <c r="B367" s="4" t="s">
        <v>605</v>
      </c>
      <c r="C367" s="4">
        <v>2016</v>
      </c>
      <c r="D367" s="4" t="s">
        <v>309</v>
      </c>
      <c r="E367" s="24" t="s">
        <v>669</v>
      </c>
      <c r="F367" s="24"/>
      <c r="G367" s="24">
        <v>29</v>
      </c>
      <c r="H367" s="7" t="s">
        <v>465</v>
      </c>
      <c r="I367" s="5">
        <f>K367/N367</f>
        <v>9.25</v>
      </c>
      <c r="J367" s="91">
        <f>120/0.145</f>
        <v>827.58620689655174</v>
      </c>
      <c r="K367" s="38">
        <f>9.25*25.4</f>
        <v>234.95</v>
      </c>
      <c r="L367" s="4">
        <f>K367</f>
        <v>234.95</v>
      </c>
      <c r="M367" s="47">
        <f>9040/145</f>
        <v>62.344827586206897</v>
      </c>
      <c r="N367" s="96">
        <f>1*25.4</f>
        <v>25.4</v>
      </c>
      <c r="O367" s="7">
        <f>K367/N367</f>
        <v>9.25</v>
      </c>
      <c r="P367" s="7">
        <f>L367/N367</f>
        <v>9.25</v>
      </c>
      <c r="Q367" s="38">
        <f>14*25.4</f>
        <v>355.59999999999997</v>
      </c>
      <c r="R367" s="32">
        <f>S367/N367</f>
        <v>2.5</v>
      </c>
      <c r="S367" s="38">
        <f>2.5*25.4</f>
        <v>63.5</v>
      </c>
      <c r="T367" s="32">
        <f>U367/N367</f>
        <v>3.3</v>
      </c>
      <c r="U367" s="39">
        <f>3.3*25.4</f>
        <v>83.82</v>
      </c>
      <c r="V367" s="32">
        <f>W367/N367</f>
        <v>2.9999999999999996</v>
      </c>
      <c r="W367" s="7">
        <f>(Q367-X367*N367-2*S367)/(X367-1)</f>
        <v>76.199999999999989</v>
      </c>
      <c r="X367" s="38">
        <v>3</v>
      </c>
      <c r="Y367" s="7">
        <f>AN367</f>
        <v>0</v>
      </c>
      <c r="Z367" s="32">
        <f>AA367/N367</f>
        <v>10.25</v>
      </c>
      <c r="AA367" s="4">
        <f>10.25*25.4</f>
        <v>260.34999999999997</v>
      </c>
      <c r="AB367" s="7">
        <f>MIN(S367/N367+0.5, W367/2/N367+0.5)</f>
        <v>1.9999999999999998</v>
      </c>
      <c r="AC367" s="7">
        <f>S367/N367+0.5</f>
        <v>3</v>
      </c>
      <c r="AD367" s="38">
        <v>9.5</v>
      </c>
      <c r="AE367" s="4">
        <f>AD367</f>
        <v>9.5</v>
      </c>
      <c r="AF367" s="4">
        <f>AE367+1</f>
        <v>10.5</v>
      </c>
      <c r="AG367" s="7">
        <f>N367*AF367^0.5</f>
        <v>82.305406869779816</v>
      </c>
      <c r="AJ367" s="38">
        <f>AK367/0.145</f>
        <v>351.72413793103453</v>
      </c>
      <c r="AK367" s="4">
        <v>51</v>
      </c>
      <c r="AL367" s="4">
        <f>CY367</f>
        <v>0.77187994815402661</v>
      </c>
      <c r="AM367" s="38">
        <v>0</v>
      </c>
      <c r="AN367" s="38">
        <v>0</v>
      </c>
      <c r="AO367" s="39">
        <f>L367</f>
        <v>234.95</v>
      </c>
      <c r="AP367" s="39"/>
      <c r="AQ367" s="39"/>
      <c r="AR367" s="7"/>
      <c r="AS367" s="4">
        <f>K367</f>
        <v>234.95</v>
      </c>
      <c r="AT367" s="4">
        <f>IF(K367*3&gt;W367+N367, Q367, (S367+N367/2)*2+1.5*K367*(2*X367-2))*(3*K367)/(9*K367^2)</f>
        <v>0.50450450450450446</v>
      </c>
      <c r="AU367" s="4">
        <f>MIN(10*M367^0.5*K367^1.5,100*3.9*M367^0.5*K367^(5/3))/(PI()/4*N367^2)/X367</f>
        <v>187.06167500766796</v>
      </c>
      <c r="AV367" s="4">
        <f>MIN(0.7+0.3*(MIN(S367,AA367)+0.5*N367)/1.5/K367,1)</f>
        <v>0.76486486486486482</v>
      </c>
      <c r="AW367" s="4">
        <v>1.25</v>
      </c>
      <c r="AX367" s="4">
        <f>AX366</f>
        <v>2.5</v>
      </c>
      <c r="AY367" s="38">
        <f>AT367*AV367*AW367*AX367*AU367</f>
        <v>225.57169356597893</v>
      </c>
      <c r="AZ367" s="38">
        <f>AY367</f>
        <v>225.57169356597893</v>
      </c>
      <c r="BA367" s="38">
        <f>IF(M367&lt;50, 0.3*M367^(2/3), 2.12*LN(1+0.1*(M367+8)))</f>
        <v>4.4175343619879603</v>
      </c>
      <c r="BB367" s="38">
        <f>AX367* (M367^0.5/AS367^0.5)/(PI()/4*N367^2)/X367/0.72 *(0.7+(MIN(S367,AA367)+0.5*N367)/5/K367) *(3*Q367*K367)</f>
        <v>225.57169356597893</v>
      </c>
      <c r="BC367" s="38">
        <f>AY367/BB367</f>
        <v>1</v>
      </c>
      <c r="BD367" s="38">
        <f>BH367/BB367</f>
        <v>4.089016547523733</v>
      </c>
      <c r="BE367" s="4">
        <f>IF(BD367&lt;1,1,0)</f>
        <v>0</v>
      </c>
      <c r="BF367" s="4">
        <f>L367/N367*M367^0.5/0.19</f>
        <v>384.40439630517841</v>
      </c>
      <c r="BG367" s="4">
        <f>MIN(0.6+0.4*(AC367/AB367),2)</f>
        <v>1.2000000000000002</v>
      </c>
      <c r="BH367" s="38">
        <f>2*M367*AB367*AD367^0.5*BG367*0.7/0.7</f>
        <v>922.36638764424072</v>
      </c>
      <c r="BI367" s="4">
        <f>MAX(1-0.7*AE367/5,0.3)</f>
        <v>0.3</v>
      </c>
      <c r="BJ367" s="4">
        <f>BI367*J367*L367/(J367*N367/2.75/M367^0.5)</f>
        <v>60.255389120836725</v>
      </c>
      <c r="BK367" s="4">
        <f>BH367+BJ367</f>
        <v>982.62177676507747</v>
      </c>
      <c r="BM367" s="4">
        <f>MIN(1.5, 0.75+0.25*MIN(3,MAX(1,S367/N367))+0.4*MIN(1,(40*2*PI()*AM367^2/4/AO367/X367)/N367))</f>
        <v>1.375</v>
      </c>
      <c r="BN367" s="4">
        <f>(3*P367+30)*BM367*M367^0.5</f>
        <v>626.98175166276042</v>
      </c>
      <c r="BP367" s="4">
        <f>3.4/PI()^0.5*M367*AB367*AE367^0.5*BG367</f>
        <v>884.6621638098693</v>
      </c>
      <c r="BQ367" s="4">
        <f>8/3*AH367*AI367^2/(AG367-N367-22)/N367*(AG367^2-N367^2)/(AG367^2-(N367+22)^2)</f>
        <v>0</v>
      </c>
      <c r="BR367" s="4">
        <f>BQ367/BP367</f>
        <v>0</v>
      </c>
      <c r="BZ367" s="4">
        <f>IF(W367=0,S367,MIN(W367/2,S367))</f>
        <v>38.099999999999994</v>
      </c>
      <c r="CD367" s="9"/>
      <c r="CF367" s="9"/>
      <c r="CG367" s="9"/>
      <c r="CH367" s="9">
        <f>IF(W367=0,MIN(S367,U367),MIN(W367/2,S367,U367))</f>
        <v>38.099999999999994</v>
      </c>
      <c r="CI367" s="9">
        <f>MAX(W367/2,S367)</f>
        <v>63.5</v>
      </c>
      <c r="CJ367" s="9">
        <f>(CH367/N367)^0.5*(CI367/CH367)^0.15</f>
        <v>1.3222785168171165</v>
      </c>
      <c r="CK367" s="70">
        <f>IF(AO367&gt;1,20,0)</f>
        <v>20</v>
      </c>
      <c r="CL367" s="9">
        <f>MIN(PI()*AM367^2/4*AN367*2/X367/N367/MAX(0.01,AO367),0.05)</f>
        <v>0</v>
      </c>
      <c r="CM367" s="9">
        <f>MAX(0,CK367*(CL367-0.5/50))</f>
        <v>0</v>
      </c>
      <c r="CN367" s="9">
        <f>MIN(1,(25/N367)^0.3)</f>
        <v>0.99524931562137331</v>
      </c>
      <c r="CO367" s="9">
        <f>IF(J367&gt;=800,0.68,IF(J367&gt;=700,0.75-(J367-700)*0.07/100,IF(J367&gt;=600,0.85-(J367-600)*0.1/100,IF(J367&gt;=500,1-(J367-500)*0.15/100,1.2-(J367-400)*0.2/100))))</f>
        <v>0.68</v>
      </c>
      <c r="CP367" s="9">
        <f>1.75*CN367*CO367*(M367/25)^0.5</f>
        <v>1.8702904607807274</v>
      </c>
      <c r="CQ367" s="9">
        <f>MIN((CJ367+CM367)*CP367,2.5*CP367,M367^0.5)</f>
        <v>2.4730448964983416</v>
      </c>
      <c r="CR367" s="40">
        <v>1</v>
      </c>
      <c r="CS367" s="9">
        <f>4*CQ367*P367+60*CQ367</f>
        <v>239.88535496033913</v>
      </c>
      <c r="CU367" s="4">
        <f>AJ367/BF367</f>
        <v>0.91498469141284478</v>
      </c>
      <c r="CV367" s="4">
        <f>AJ367/BK367</f>
        <v>0.35794457872586288</v>
      </c>
      <c r="CW367" s="4">
        <f>AJ367/BN367</f>
        <v>0.56097986424367119</v>
      </c>
      <c r="CX367" s="4">
        <f>AJ367/CS367</f>
        <v>1.4662176354583463</v>
      </c>
      <c r="CY367" s="4">
        <f>AJ367/DZ367</f>
        <v>0.77187994815402661</v>
      </c>
      <c r="CZ367" s="4">
        <f>AJ367/EL367</f>
        <v>0.74722430214469848</v>
      </c>
      <c r="DA367" s="4">
        <f>AJ367/GI367</f>
        <v>0.94993877984601438</v>
      </c>
      <c r="DB367" s="4">
        <f>AN367</f>
        <v>0</v>
      </c>
      <c r="DC367" s="4">
        <f>CU367</f>
        <v>0.91498469141284478</v>
      </c>
      <c r="DD367" s="4">
        <f>CV367</f>
        <v>0.35794457872586288</v>
      </c>
      <c r="DE367" s="4">
        <f>CX367</f>
        <v>1.4662176354583463</v>
      </c>
      <c r="DF367" s="4">
        <f>DA367</f>
        <v>0.94993877984601438</v>
      </c>
      <c r="DG367" s="4">
        <f>CY367</f>
        <v>0.77187994815402661</v>
      </c>
      <c r="DH367" s="4">
        <f>CZ367</f>
        <v>0.74722430214469848</v>
      </c>
      <c r="DQ367" s="4">
        <f>L367</f>
        <v>234.95</v>
      </c>
      <c r="DT367" s="4">
        <f>K367/4/(1-0.3*(M367/30)^0.5)/200000/N367</f>
        <v>2.0373545896374304E-5</v>
      </c>
      <c r="DU367" s="4">
        <f>EP367</f>
        <v>8.9262091811553486</v>
      </c>
      <c r="DV367" s="4">
        <f>EC367*AG367/257/M367/AD367</f>
        <v>0.12197078234681423</v>
      </c>
      <c r="DW367" s="4">
        <f>DU367*DV367^0.4</f>
        <v>3.8474181010001449</v>
      </c>
      <c r="DX367" s="4">
        <f>MIN(DU367, DU367/1.4*(1-DV367^1.4)/(1-DV367))</f>
        <v>6.8798040749591918</v>
      </c>
      <c r="DY367" s="4">
        <f>MAX(DU367/2, (4-DT367*(8*AG367*(DW367-DX367)+6*K367*DX367))/(4+DT367*K367*DU367)*DU367)</f>
        <v>8.4854089879150845</v>
      </c>
      <c r="DZ367" s="38">
        <f>MIN(1/N367*(4*AG367*(DW367-DX367)+(3*DX367+DY367)*K367)+EC367 -FJ367,MAX(J367,AJ367))</f>
        <v>455.67207539487595</v>
      </c>
      <c r="EA367" s="4">
        <f>DZ367/FF367</f>
        <v>1.0000938902297358</v>
      </c>
      <c r="EB367" s="4">
        <f>AG367/N367</f>
        <v>3.2403703492039297</v>
      </c>
      <c r="EC367" s="4">
        <f>MIN(EB$10*BB367)</f>
        <v>225.57169356597893</v>
      </c>
      <c r="EG367" s="4">
        <f>IF(U367&gt;1*N367,0.85,1)</f>
        <v>0.85</v>
      </c>
      <c r="EH367" s="4">
        <f>MIN(1,MAX(0.7,(1-0.1*(BZ367-1*N367)/N367)))</f>
        <v>0.95</v>
      </c>
      <c r="EI367" s="4">
        <f>MIN(1,MAX(0.7,1-0.3*(PI()*AM367^2/4*AQ367*2-0.25*PI()/4*N367^2)/(PI()/4*N367^2)))</f>
        <v>1</v>
      </c>
      <c r="EJ367" s="4">
        <f>IF(EH367*EI367&lt;0.7,0.7,EH367*EI367)</f>
        <v>0.95</v>
      </c>
      <c r="EL367" s="4">
        <f>MIN(DU367/N367*3*K367+EM367-FJ367,MAX(J367,AJ367))</f>
        <v>470.70757324341395</v>
      </c>
      <c r="EM367" s="25">
        <f>13.3*Q367*K367^0.5*M367^0.5/X367/N367^2*(0.7+S367/5/K367)</f>
        <v>223.00526846635302</v>
      </c>
      <c r="EO367" s="4">
        <f>EG367*EJ367</f>
        <v>0.8075</v>
      </c>
      <c r="EP367" s="4">
        <f>IF(N367&lt;22.2,1.1*5*(M367/30)^0.5,IF(N367&gt;=31.8,0.9*5*(M367/30)^0.5,1*5*(M367/30)^0.5))/EG367/EJ367</f>
        <v>8.9262091811553486</v>
      </c>
      <c r="ES367" s="4">
        <f>ET367*N367</f>
        <v>82.305406869779816</v>
      </c>
      <c r="ET367" s="4">
        <f>AF367^0.5</f>
        <v>3.2403703492039302</v>
      </c>
      <c r="EU367" s="4">
        <f>MIN(EC367)/(4700*M367^0.5)/AE367*ES367</f>
        <v>5.2661265208686421E-2</v>
      </c>
      <c r="EX367" s="4">
        <f>EU367</f>
        <v>5.2661265208686421E-2</v>
      </c>
      <c r="EY367" s="4">
        <f>MIN(0.999, EX367/(0.3*(M367/30)^0.5))</f>
        <v>0.12176723584334105</v>
      </c>
      <c r="EZ367" s="4">
        <f>EP367/1*EY367^0.4</f>
        <v>3.8448485645758632</v>
      </c>
      <c r="FA367" s="4">
        <f>EP367/1.4*(1-EY367^1.4)/(1-EY367)</f>
        <v>6.8791009663372167</v>
      </c>
      <c r="FB367" s="4">
        <f>MAX(0,DQ367*FB$9-ES367)</f>
        <v>93.907093130220161</v>
      </c>
      <c r="FC367" s="4">
        <f>MAX(0,DQ367-ES367-FB367)</f>
        <v>58.737500000000026</v>
      </c>
      <c r="FD367" s="4">
        <f>FC367/(1-0.3*(M367/30)^0.5)/200000/N367</f>
        <v>2.0373545896374314E-5</v>
      </c>
      <c r="FE367" s="4">
        <f>MAX(0.5*EP367, (1-2*FD367*(ES367*EZ367+FB367*FA367))/(1/EP367+FD367*FC367))</f>
        <v>8.4855088575581235</v>
      </c>
      <c r="FF367" s="4">
        <f>MIN(4/N367*(1*EZ367*ES367+FA367*FB367+FC367*FE367)+EC367,MAX(J367,AJ367))</f>
        <v>455.62929625557615</v>
      </c>
      <c r="FO367" s="23">
        <f>IF(CU367&lt;0.6,0.6,IF(CU367&lt;0.8,0.8,IF(CU367&lt;1,1,IF(CU367&lt;1.2,1.2,IF(CU367&lt;1.4,1.4,IF(CU367&lt;1.6,1.6,IF(CU367&lt;1.8,1.8,IF(CU367&lt;2,2,2.2))))))))</f>
        <v>1</v>
      </c>
      <c r="FP367" s="23">
        <f>IF(CV367&lt;0.6,0.6,IF(CV367&lt;0.8,0.8,IF(CV367&lt;1,1,IF(CV367&lt;1.2,1.2,IF(CV367&lt;1.4,1.4,IF(CV367&lt;1.6,1.6,IF(CV367&lt;1.8,1.8,IF(CV367&lt;2,2,2.2))))))))</f>
        <v>0.6</v>
      </c>
      <c r="FQ367" s="23">
        <f>IF(DA367&lt;0.6,0.6,IF(DA367&lt;0.8,0.8,IF(DA367&lt;1,1,IF(DA367&lt;1.2,1.2,IF(DA367&lt;1.4,1.4,IF(DA367&lt;1.6,1.6,IF(DA367&lt;1.8,1.8,IF(DA367&lt;2,2,2.2))))))))</f>
        <v>1</v>
      </c>
      <c r="FR367" s="23">
        <f>IF(CX367&lt;0.6,0.6,IF(CX367&lt;0.8,0.8,IF(CX367&lt;1,1,IF(CX367&lt;1.2,1.2,IF(CX367&lt;1.4,1.4,IF(CX367&lt;1.6,1.6,IF(CX367&lt;1.8,1.8,IF(CX367&lt;2,2,2.2))))))))</f>
        <v>1.6</v>
      </c>
      <c r="FS367" s="23">
        <f>IF(CY367&lt;0.6,0.6,IF(CY367&lt;0.8,0.8,IF(CY367&lt;1,1,IF(CY367&lt;1.2,1.2,IF(CY367&lt;1.4,1.4,IF(CY367&lt;1.6,1.6,IF(CY367&lt;1.8,1.8,IF(CY367&lt;2,2,2.2))))))))</f>
        <v>0.8</v>
      </c>
      <c r="FT367" s="23">
        <f>IF(CZ367&lt;0.6,0.6,IF(CZ367&lt;0.8,0.8,IF(CZ367&lt;1,1,IF(CZ367&lt;1.2,1.2,IF(CZ367&lt;1.4,1.4,IF(CZ367&lt;1.6,1.6,IF(CZ367&lt;1.8,1.8,IF(CZ367&lt;2,2,2.2))))))))</f>
        <v>0.8</v>
      </c>
      <c r="FU367" s="23">
        <f>IF(FS367&lt;1,1,0)</f>
        <v>1</v>
      </c>
      <c r="FV367" s="23"/>
      <c r="GF367" s="4">
        <f>IF(S367&gt;=2.5*25.4,1,1.25)</f>
        <v>1</v>
      </c>
      <c r="GG367" s="4">
        <f>IF(AO367&gt;1, 0.05*(18-MIN(8,(W367+N367)/N367))*(1-48000/MAX(60000,(J367*145))*(N367/25.4)^0.75*GH367), 1/12*(14-MIN(8,(W367+N367)/N367)))</f>
        <v>0.70000000000000007</v>
      </c>
      <c r="GH367" s="4">
        <f>MIN(0.3, AM367^2*PI()/4*2*AP367/(N367^2*PI()/4*X367))</f>
        <v>0</v>
      </c>
      <c r="GI367" s="4">
        <f>(K367/25.4)/(N367/25.4)^1.5/0.0024*(M367*145)^0.25/GF367/GG367/145</f>
        <v>370.25979504494933</v>
      </c>
    </row>
    <row r="368" spans="1:191" ht="12" customHeight="1" x14ac:dyDescent="0.3">
      <c r="A368" s="25">
        <v>247</v>
      </c>
      <c r="B368" s="4" t="s">
        <v>605</v>
      </c>
      <c r="C368" s="4">
        <v>2016</v>
      </c>
      <c r="D368" s="4" t="s">
        <v>309</v>
      </c>
      <c r="E368" s="24" t="s">
        <v>663</v>
      </c>
      <c r="F368" s="24"/>
      <c r="G368" s="24">
        <v>49</v>
      </c>
      <c r="H368" s="7" t="s">
        <v>400</v>
      </c>
      <c r="I368" s="5">
        <f>K368/N368</f>
        <v>9.25</v>
      </c>
      <c r="J368" s="91">
        <f>120/0.145</f>
        <v>827.58620689655174</v>
      </c>
      <c r="K368" s="38">
        <f>9.25*25.4</f>
        <v>234.95</v>
      </c>
      <c r="L368" s="4">
        <f>K368</f>
        <v>234.95</v>
      </c>
      <c r="M368" s="89">
        <f>6210/145</f>
        <v>42.827586206896555</v>
      </c>
      <c r="N368" s="96">
        <f>1*25.4</f>
        <v>25.4</v>
      </c>
      <c r="O368" s="7">
        <f>K368/N368</f>
        <v>9.25</v>
      </c>
      <c r="P368" s="7">
        <f>L368/N368</f>
        <v>9.25</v>
      </c>
      <c r="Q368" s="38">
        <f>18.6*25.4</f>
        <v>472.44</v>
      </c>
      <c r="R368" s="32">
        <f>S368/N368</f>
        <v>3.45</v>
      </c>
      <c r="S368" s="38">
        <f>3.45*25.4</f>
        <v>87.63</v>
      </c>
      <c r="T368" s="32">
        <f>U368/N368</f>
        <v>3.45</v>
      </c>
      <c r="U368" s="39">
        <f>3.45*25.4</f>
        <v>87.63</v>
      </c>
      <c r="V368" s="32">
        <f>W368/N368</f>
        <v>9.7000000000000011</v>
      </c>
      <c r="W368" s="7">
        <f>(Q368-X368*N368-2*S368)/(X368-1)</f>
        <v>246.38</v>
      </c>
      <c r="X368" s="38">
        <v>2</v>
      </c>
      <c r="Y368" s="7">
        <f>AN368</f>
        <v>8</v>
      </c>
      <c r="Z368" s="32">
        <f>AA368/N368</f>
        <v>10.25</v>
      </c>
      <c r="AA368" s="4">
        <f>10.25*25.4</f>
        <v>260.34999999999997</v>
      </c>
      <c r="AB368" s="7">
        <f>MIN(S368/N368+0.5, W368/2/N368+0.5)</f>
        <v>3.95</v>
      </c>
      <c r="AC368" s="7">
        <f>S368/N368+0.5</f>
        <v>3.95</v>
      </c>
      <c r="AD368" s="38">
        <v>4</v>
      </c>
      <c r="AE368" s="4">
        <f>AD368</f>
        <v>4</v>
      </c>
      <c r="AF368" s="4">
        <f>AE368+1</f>
        <v>5</v>
      </c>
      <c r="AG368" s="7">
        <f>N368*AF368^0.5</f>
        <v>56.796126628494655</v>
      </c>
      <c r="AJ368" s="38">
        <f>AK368/0.145</f>
        <v>747.58620689655186</v>
      </c>
      <c r="AK368" s="4">
        <v>108.4</v>
      </c>
      <c r="AL368" s="4">
        <f>CY368</f>
        <v>1.0612133921380551</v>
      </c>
      <c r="AM368" s="38">
        <f>0.5*25.4</f>
        <v>12.7</v>
      </c>
      <c r="AN368" s="38">
        <v>8</v>
      </c>
      <c r="AO368" s="39">
        <f>4*25.4</f>
        <v>101.6</v>
      </c>
      <c r="AP368" s="39">
        <v>2</v>
      </c>
      <c r="AQ368" s="39">
        <v>1</v>
      </c>
      <c r="AR368" s="7"/>
      <c r="AS368" s="4">
        <f>K368</f>
        <v>234.95</v>
      </c>
      <c r="AT368" s="4">
        <f>IF(K368*3&gt;W368+N368, Q368, (S368+N368/2)*2+1.5*K368*(2*X368-2))*(3*K368)/(9*K368^2)</f>
        <v>0.67027027027027031</v>
      </c>
      <c r="AU368" s="4">
        <f>MIN(10*M368^0.5*K368^1.5,100*3.9*M368^0.5*K368^(5/3))/(PI()/4*N368^2)/X368</f>
        <v>232.56141582533411</v>
      </c>
      <c r="AV368" s="4">
        <f>MIN(0.7+0.3*(MIN(S368,AA368)+0.5*N368)/1.5/K368,1)</f>
        <v>0.78540540540540538</v>
      </c>
      <c r="AW368" s="4">
        <v>1.25</v>
      </c>
      <c r="AX368" s="4">
        <f>AX367</f>
        <v>2.5</v>
      </c>
      <c r="AY368" s="38">
        <f>AT368*AV368*AW368*AX368*AU368</f>
        <v>382.58816117679049</v>
      </c>
      <c r="AZ368" s="38">
        <f>AY368</f>
        <v>382.58816117679049</v>
      </c>
      <c r="BA368" s="38">
        <f>IF(M368&lt;50, 0.3*M368^(2/3), 2.12*LN(1+0.1*(M368+8)))</f>
        <v>3.6722901407859458</v>
      </c>
      <c r="BB368" s="38">
        <f>AX368* (M368^0.5/AS368^0.5)/(PI()/4*N368^2)/X368/0.72 *(0.7+(MIN(S368,AA368)+0.5*N368)/5/K368) *(3*Q368*K368)</f>
        <v>382.58816117679044</v>
      </c>
      <c r="BC368" s="38">
        <f>AY368/BB368</f>
        <v>1.0000000000000002</v>
      </c>
      <c r="BD368" s="38">
        <f>BH368/BB368</f>
        <v>1.7686795639143678</v>
      </c>
      <c r="BE368" s="4">
        <f>IF(BD368&lt;1,1,0)</f>
        <v>0</v>
      </c>
      <c r="BF368" s="4">
        <f>L368/N368*M368^0.5/0.19</f>
        <v>318.6030512861621</v>
      </c>
      <c r="BG368" s="4">
        <f>MIN(0.6+0.4*(AC368/AB368),2)</f>
        <v>1</v>
      </c>
      <c r="BH368" s="38">
        <f>2*M368*AB368*AD368^0.5*BG368*0.7/0.7</f>
        <v>676.67586206896556</v>
      </c>
      <c r="BI368" s="4">
        <f>MAX(1-0.7*AE368/5,0.3)</f>
        <v>0.44000000000000006</v>
      </c>
      <c r="BJ368" s="4">
        <f>BI368*J368*L368/(J368*N368/2.75/M368^0.5)</f>
        <v>73.246841490688666</v>
      </c>
      <c r="BK368" s="4">
        <f>BH368+BJ368</f>
        <v>749.92270355965422</v>
      </c>
      <c r="BM368" s="4">
        <f>MIN(1.5, 0.75+0.25*MIN(3,MAX(1,S368/N368))+0.4*MIN(1,(40*2*PI()*AM368^2/4/AO368/X368)/N368))</f>
        <v>1.5</v>
      </c>
      <c r="BN368" s="4">
        <f>(3*P368+30)*BM368*M368^0.5</f>
        <v>566.89815895741845</v>
      </c>
      <c r="BP368" s="4">
        <f>3.4/PI()^0.5*M368*AB368*AE368^0.5*BG368</f>
        <v>649.01490378976473</v>
      </c>
      <c r="BQ368" s="4">
        <f>8/3*AK368*AI368^2/(AG368-N368-22)/N368*(AG368^2-N368^2)/(AG368^2-(N368+22)^2)</f>
        <v>0</v>
      </c>
      <c r="BR368" s="4">
        <f>BQ368/BP368</f>
        <v>0</v>
      </c>
      <c r="BZ368" s="4">
        <f>IF(W368=0,S368,MIN(W368/2,S368))</f>
        <v>87.63</v>
      </c>
      <c r="CD368" s="9"/>
      <c r="CF368" s="9"/>
      <c r="CG368" s="9"/>
      <c r="CH368" s="9">
        <f>IF(W368=0,MIN(S368,U368),MIN(W368/2,S368,U368))</f>
        <v>87.63</v>
      </c>
      <c r="CI368" s="9">
        <f>MAX(W368/2,S368)</f>
        <v>123.19</v>
      </c>
      <c r="CJ368" s="9">
        <f>(CH368/N368)^0.5*(CI368/CH368)^0.15</f>
        <v>1.9547802569983255</v>
      </c>
      <c r="CK368" s="70">
        <f>IF(AO368&gt;1,20,0)</f>
        <v>20</v>
      </c>
      <c r="CL368" s="9">
        <f>MIN(PI()*AM368^2/4*AN368*2/X368/N368/MAX(0.01,AO368),0.05)</f>
        <v>0.05</v>
      </c>
      <c r="CM368" s="9">
        <f>MAX(0,CK368*(CL368-0.5/50))</f>
        <v>0.8</v>
      </c>
      <c r="CN368" s="9">
        <f>MIN(1,(25/N368)^0.3)</f>
        <v>0.99524931562137331</v>
      </c>
      <c r="CO368" s="9">
        <f>IF(J368&gt;=800,0.68,IF(J368&gt;=700,0.75-(J368-700)*0.07/100,IF(J368&gt;=600,0.85-(J368-600)*0.1/100,IF(J368&gt;=500,1-(J368-500)*0.15/100,1.2-(J368-400)*0.2/100))))</f>
        <v>0.68</v>
      </c>
      <c r="CP368" s="9">
        <f>1.75*CN368*CO368*(M368/25)^0.5</f>
        <v>1.5501390028928617</v>
      </c>
      <c r="CQ368" s="9">
        <f>MIN((CJ368+CM368)*CP368,2.5*CP368,M368^0.5)</f>
        <v>3.8753475072321542</v>
      </c>
      <c r="CR368" s="40">
        <v>1</v>
      </c>
      <c r="CS368" s="9">
        <f>4*CQ368*P368+60*CQ368</f>
        <v>375.90870820151895</v>
      </c>
      <c r="CU368" s="4">
        <f>AJ368/BF368</f>
        <v>2.3464502423270477</v>
      </c>
      <c r="CV368" s="4">
        <f>AJ368/BK368</f>
        <v>0.99688435001099218</v>
      </c>
      <c r="CW368" s="4">
        <f>AJ368/BN368</f>
        <v>1.3187310543950901</v>
      </c>
      <c r="CX368" s="4">
        <f>AJ368/CS368</f>
        <v>1.9887440503128282</v>
      </c>
      <c r="CY368" s="4">
        <f>AJ368/DZ368</f>
        <v>1.0612133921380551</v>
      </c>
      <c r="CZ368" s="4">
        <f>AJ368/EL368</f>
        <v>1.1378780950693508</v>
      </c>
      <c r="DA368" s="4">
        <f>AJ368/GI368</f>
        <v>1.3940506960947452</v>
      </c>
      <c r="DB368" s="4">
        <f>AN368</f>
        <v>8</v>
      </c>
      <c r="DI368" s="4">
        <f>CU368</f>
        <v>2.3464502423270477</v>
      </c>
      <c r="DJ368" s="4">
        <f>CV368</f>
        <v>0.99688435001099218</v>
      </c>
      <c r="DK368" s="4">
        <f>CX368</f>
        <v>1.9887440503128282</v>
      </c>
      <c r="DL368" s="4">
        <f>DA368</f>
        <v>1.3940506960947452</v>
      </c>
      <c r="DM368" s="4">
        <f>CY368</f>
        <v>1.0612133921380551</v>
      </c>
      <c r="DN368" s="4">
        <f>CZ368</f>
        <v>1.1378780950693508</v>
      </c>
      <c r="DQ368" s="4">
        <f>L368</f>
        <v>234.95</v>
      </c>
      <c r="DT368" s="4">
        <f>K368/4/(1-0.3*(M368/30)^0.5)/200000/N368</f>
        <v>1.8022614595125072E-5</v>
      </c>
      <c r="DU368" s="4">
        <f>EP368</f>
        <v>10.040473869357923</v>
      </c>
      <c r="DV368" s="4">
        <f>EC368*AG368/257/M368/AD368</f>
        <v>0.49355270134623253</v>
      </c>
      <c r="DW368" s="4">
        <f>DU368*DV368^0.4</f>
        <v>7.5698560949832281</v>
      </c>
      <c r="DX368" s="4">
        <f>MIN(DU368, DU368/1.4*(1-DV368^1.4)/(1-DV368))</f>
        <v>8.8915625174409794</v>
      </c>
      <c r="DY368" s="4">
        <f>MAX(DU368/2, (4-DT368*(8*AG368*(DW368-DX368)+6*K368*DX368))/(4+DT368*K368*DU368)*DU368)</f>
        <v>9.400679013749011</v>
      </c>
      <c r="DZ368" s="38">
        <f>MIN(1/N368*(4*AG368*(DW368-DX368)+(3*DX368+DY368)*K368)+EC368 -FJ368,MAX(J368,AJ368))</f>
        <v>704.4636002853016</v>
      </c>
      <c r="EA368" s="4">
        <f>DZ368/FF368</f>
        <v>1.0001190436330836</v>
      </c>
      <c r="EB368" s="4">
        <f>AG368/N368</f>
        <v>2.2360679774997898</v>
      </c>
      <c r="EC368" s="4">
        <f>MIN(EB$10*BB368)</f>
        <v>382.58816117679044</v>
      </c>
      <c r="EG368" s="4">
        <f>IF(U368&gt;1*N368,0.85,1)</f>
        <v>0.85</v>
      </c>
      <c r="EH368" s="4">
        <f>MIN(1,MAX(0.7,(1-0.1*(BZ368-1*N368)/N368)))</f>
        <v>0.755</v>
      </c>
      <c r="EI368" s="4">
        <f>MIN(1,MAX(0.7,1-0.3*(PI()*AM368^2/4*AQ368*2-0.25*PI()/4*N368^2)/(PI()/4*N368^2)))</f>
        <v>0.92500000000000004</v>
      </c>
      <c r="EJ368" s="4">
        <f>IF(EH368*EI368&lt;0.7,0.7,EH368*EI368)</f>
        <v>0.7</v>
      </c>
      <c r="EL368" s="4">
        <f>MIN(DU368/N368*3*K368+EM368-FJ368,MAX(J368,AJ368))</f>
        <v>657.00026227413082</v>
      </c>
      <c r="EM368" s="25">
        <f>13.3*Q368*K368^0.5*M368^0.5/X368/N368^2*(0.7+S368/5/K368)</f>
        <v>378.37711239944844</v>
      </c>
      <c r="EO368" s="4">
        <f>EG368*EJ368</f>
        <v>0.59499999999999997</v>
      </c>
      <c r="EP368" s="4">
        <f>IF(N368&lt;22.2,1.1*5*(M368/30)^0.5,IF(N368&gt;=31.8,0.9*5*(M368/30)^0.5,1*5*(M368/30)^0.5))/EG368/EJ368</f>
        <v>10.040473869357923</v>
      </c>
      <c r="ES368" s="4">
        <f>ET368*N368</f>
        <v>56.796126628494655</v>
      </c>
      <c r="ET368" s="4">
        <f>AF368^0.5</f>
        <v>2.2360679774997898</v>
      </c>
      <c r="EU368" s="4">
        <f>MIN(EC368)/(4700*M368^0.5)/AE368*ES368</f>
        <v>0.17661622488619055</v>
      </c>
      <c r="EX368" s="4">
        <f>EU368</f>
        <v>0.17661622488619055</v>
      </c>
      <c r="EY368" s="4">
        <f>MIN(0.999, EX368/(0.3*(M368/30)^0.5))</f>
        <v>0.49272905387340471</v>
      </c>
      <c r="EZ368" s="4">
        <f>EP368/1*EY368^0.4</f>
        <v>7.5648004913415097</v>
      </c>
      <c r="FA368" s="4">
        <f>EP368/1.4*(1-EY368^1.4)/(1-EY368)</f>
        <v>8.8894123808466254</v>
      </c>
      <c r="FB368" s="4">
        <f>MAX(0,DQ368*FB$9-ES368)</f>
        <v>119.41637337150533</v>
      </c>
      <c r="FC368" s="4">
        <f>MAX(0,DQ368-ES368-FB368)</f>
        <v>58.737500000000011</v>
      </c>
      <c r="FD368" s="4">
        <f>FC368/(1-0.3*(M368/30)^0.5)/200000/N368</f>
        <v>1.8022614595125075E-5</v>
      </c>
      <c r="FE368" s="4">
        <f>MAX(0.5*EP368, (1-2*FD368*(ES368*EZ368+FB368*FA368))/(1/EP368+FD368*FC368))</f>
        <v>9.4008737870976802</v>
      </c>
      <c r="FF368" s="4">
        <f>MIN(4/N368*(1*EZ368*ES368+FA368*FB368+FC368*FE368)+EC368,MAX(J368,AJ368))</f>
        <v>704.37974836098624</v>
      </c>
      <c r="FO368" s="23">
        <f>IF(CU368&lt;0.6,0.6,IF(CU368&lt;0.8,0.8,IF(CU368&lt;1,1,IF(CU368&lt;1.2,1.2,IF(CU368&lt;1.4,1.4,IF(CU368&lt;1.6,1.6,IF(CU368&lt;1.8,1.8,IF(CU368&lt;2,2,2.2))))))))</f>
        <v>2.2000000000000002</v>
      </c>
      <c r="FP368" s="23">
        <f>IF(CV368&lt;0.6,0.6,IF(CV368&lt;0.8,0.8,IF(CV368&lt;1,1,IF(CV368&lt;1.2,1.2,IF(CV368&lt;1.4,1.4,IF(CV368&lt;1.6,1.6,IF(CV368&lt;1.8,1.8,IF(CV368&lt;2,2,2.2))))))))</f>
        <v>1</v>
      </c>
      <c r="FQ368" s="23">
        <f>IF(DA368&lt;0.6,0.6,IF(DA368&lt;0.8,0.8,IF(DA368&lt;1,1,IF(DA368&lt;1.2,1.2,IF(DA368&lt;1.4,1.4,IF(DA368&lt;1.6,1.6,IF(DA368&lt;1.8,1.8,IF(DA368&lt;2,2,2.2))))))))</f>
        <v>1.4</v>
      </c>
      <c r="FR368" s="23">
        <f>IF(CX368&lt;0.6,0.6,IF(CX368&lt;0.8,0.8,IF(CX368&lt;1,1,IF(CX368&lt;1.2,1.2,IF(CX368&lt;1.4,1.4,IF(CX368&lt;1.6,1.6,IF(CX368&lt;1.8,1.8,IF(CX368&lt;2,2,2.2))))))))</f>
        <v>2</v>
      </c>
      <c r="FS368" s="23">
        <f>IF(CY368&lt;0.6,0.6,IF(CY368&lt;0.8,0.8,IF(CY368&lt;1,1,IF(CY368&lt;1.2,1.2,IF(CY368&lt;1.4,1.4,IF(CY368&lt;1.6,1.6,IF(CY368&lt;1.8,1.8,IF(CY368&lt;2,2,2.2))))))))</f>
        <v>1.2</v>
      </c>
      <c r="FT368" s="23">
        <f>IF(CZ368&lt;0.6,0.6,IF(CZ368&lt;0.8,0.8,IF(CZ368&lt;1,1,IF(CZ368&lt;1.2,1.2,IF(CZ368&lt;1.4,1.4,IF(CZ368&lt;1.6,1.6,IF(CZ368&lt;1.8,1.8,IF(CZ368&lt;2,2,2.2))))))))</f>
        <v>1.2</v>
      </c>
      <c r="FU368" s="23">
        <f>IF(FS368&lt;1,1,0)</f>
        <v>0</v>
      </c>
      <c r="FV368" s="23"/>
      <c r="GF368" s="4">
        <f>IF(S368&gt;=2.5*25.4,1,1.25)</f>
        <v>1</v>
      </c>
      <c r="GG368" s="4">
        <f>IF(AO368&gt;1, 0.05*(18-MIN(8,(W368+N368)/N368))*(1-48000/MAX(60000,(J368*145))*(N368/25.4)^0.75*GH368), 1/12*(14-MIN(8,(W368+N368)/N368)))</f>
        <v>0.44</v>
      </c>
      <c r="GH368" s="4">
        <f>MIN(0.3, AM368^2*PI()/4*2*AP368/(N368^2*PI()/4*X368))</f>
        <v>0.3</v>
      </c>
      <c r="GI368" s="4">
        <f>(K368/25.4)/(N368/25.4)^1.5/0.0024*(M368*145)^0.25/GF368/GG368/145</f>
        <v>536.269024498764</v>
      </c>
    </row>
    <row r="369" spans="1:191" ht="12" customHeight="1" x14ac:dyDescent="0.3">
      <c r="A369" s="25">
        <v>246</v>
      </c>
      <c r="B369" s="4" t="s">
        <v>605</v>
      </c>
      <c r="C369" s="4">
        <v>2016</v>
      </c>
      <c r="D369" s="4" t="s">
        <v>309</v>
      </c>
      <c r="E369" s="24" t="s">
        <v>663</v>
      </c>
      <c r="F369" s="24"/>
      <c r="G369" s="24">
        <v>51</v>
      </c>
      <c r="H369" s="7" t="s">
        <v>399</v>
      </c>
      <c r="I369" s="5">
        <f>K369/N369</f>
        <v>9.25</v>
      </c>
      <c r="J369" s="91">
        <f>120/0.145</f>
        <v>827.58620689655174</v>
      </c>
      <c r="K369" s="38">
        <f>9.25*25.4</f>
        <v>234.95</v>
      </c>
      <c r="L369" s="4">
        <f>K369</f>
        <v>234.95</v>
      </c>
      <c r="M369" s="89">
        <f>6440/145</f>
        <v>44.413793103448278</v>
      </c>
      <c r="N369" s="96">
        <f>1*25.4</f>
        <v>25.4</v>
      </c>
      <c r="O369" s="7">
        <f>K369/N369</f>
        <v>9.25</v>
      </c>
      <c r="P369" s="7">
        <f>L369/N369</f>
        <v>9.25</v>
      </c>
      <c r="Q369" s="38">
        <f>16.6*25.4</f>
        <v>421.64</v>
      </c>
      <c r="R369" s="32">
        <f>S369/N369</f>
        <v>2.5499999999999998</v>
      </c>
      <c r="S369" s="38">
        <f>2.55*25.4</f>
        <v>64.77</v>
      </c>
      <c r="T369" s="32">
        <f>U369/N369</f>
        <v>3.3500000000000005</v>
      </c>
      <c r="U369" s="39">
        <f>3.35*25.4</f>
        <v>85.09</v>
      </c>
      <c r="V369" s="32">
        <f>W369/N369</f>
        <v>9.5</v>
      </c>
      <c r="W369" s="7">
        <f>(Q369-X369*N369-2*S369)/(X369-1)</f>
        <v>241.29999999999998</v>
      </c>
      <c r="X369" s="38">
        <v>2</v>
      </c>
      <c r="Y369" s="7">
        <f>AN369</f>
        <v>8</v>
      </c>
      <c r="Z369" s="32">
        <f>AA369/N369</f>
        <v>10.25</v>
      </c>
      <c r="AA369" s="4">
        <f>10.25*25.4</f>
        <v>260.34999999999997</v>
      </c>
      <c r="AB369" s="7">
        <f>MIN(S369/N369+0.5, W369/2/N369+0.5)</f>
        <v>3.05</v>
      </c>
      <c r="AC369" s="7">
        <f>S369/N369+0.5</f>
        <v>3.05</v>
      </c>
      <c r="AD369" s="38">
        <v>4</v>
      </c>
      <c r="AE369" s="4">
        <f>AD369</f>
        <v>4</v>
      </c>
      <c r="AF369" s="4">
        <f>AE369+1</f>
        <v>5</v>
      </c>
      <c r="AG369" s="7">
        <f>N369*AF369^0.5</f>
        <v>56.796126628494655</v>
      </c>
      <c r="AJ369" s="38">
        <f>AK369/0.145</f>
        <v>790.34482758620686</v>
      </c>
      <c r="AK369" s="4">
        <v>114.6</v>
      </c>
      <c r="AL369" s="4">
        <f>CY369</f>
        <v>1.2622199993298189</v>
      </c>
      <c r="AM369" s="38">
        <f>0.5*25.4</f>
        <v>12.7</v>
      </c>
      <c r="AN369" s="38">
        <v>8</v>
      </c>
      <c r="AO369" s="39">
        <f>4*25.4</f>
        <v>101.6</v>
      </c>
      <c r="AP369" s="39">
        <v>2</v>
      </c>
      <c r="AQ369" s="39">
        <v>1</v>
      </c>
      <c r="AR369" s="7"/>
      <c r="AS369" s="4">
        <f>K369</f>
        <v>234.95</v>
      </c>
      <c r="AT369" s="4">
        <f>IF(K369*3&gt;W369+N369, Q369, (S369+N369/2)*2+1.5*K369*(2*X369-2))*(3*K369)/(9*K369^2)</f>
        <v>0.59819819819819819</v>
      </c>
      <c r="AU369" s="4">
        <f>MIN(10*M369^0.5*K369^1.5,100*3.9*M369^0.5*K369^(5/3))/(PI()/4*N369^2)/X369</f>
        <v>236.82895372126541</v>
      </c>
      <c r="AV369" s="4">
        <f>MIN(0.7+0.3*(MIN(S369,AA369)+0.5*N369)/1.5/K369,1)</f>
        <v>0.76594594594594589</v>
      </c>
      <c r="AW369" s="4">
        <v>1.25</v>
      </c>
      <c r="AX369" s="4">
        <f>AX368</f>
        <v>2.5</v>
      </c>
      <c r="AY369" s="38">
        <f>AT369*AV369*AW369*AX369*AU369</f>
        <v>339.10019571599395</v>
      </c>
      <c r="AZ369" s="38">
        <f>AY369</f>
        <v>339.10019571599395</v>
      </c>
      <c r="BA369" s="38">
        <f>IF(M369&lt;50, 0.3*M369^(2/3), 2.12*LN(1+0.1*(M369+8)))</f>
        <v>3.7624132755662103</v>
      </c>
      <c r="BB369" s="38">
        <f>AX369* (M369^0.5/AS369^0.5)/(PI()/4*N369^2)/X369/0.72 *(0.7+(MIN(S369,AA369)+0.5*N369)/5/K369) *(3*Q369*K369)</f>
        <v>339.10019571599406</v>
      </c>
      <c r="BC369" s="38">
        <f>AY369/BB369</f>
        <v>0.99999999999999967</v>
      </c>
      <c r="BD369" s="38">
        <f>BH369/BB369</f>
        <v>1.5979002156515476</v>
      </c>
      <c r="BE369" s="4">
        <f>IF(BD369&lt;1,1,0)</f>
        <v>0</v>
      </c>
      <c r="BF369" s="4">
        <f>L369/N369*M369^0.5/0.19</f>
        <v>324.44946648060778</v>
      </c>
      <c r="BG369" s="4">
        <f>MIN(0.6+0.4*(AC369/AB369),2)</f>
        <v>1</v>
      </c>
      <c r="BH369" s="38">
        <f>2*M369*AB369*AD369^0.5*BG369*0.7/0.7</f>
        <v>541.84827586206893</v>
      </c>
      <c r="BI369" s="4">
        <f>MAX(1-0.7*AE369/5,0.3)</f>
        <v>0.44000000000000006</v>
      </c>
      <c r="BJ369" s="4">
        <f>BI369*J369*L369/(J369*N369/2.75/M369^0.5)</f>
        <v>74.590932343891737</v>
      </c>
      <c r="BK369" s="4">
        <f>BH369+BJ369</f>
        <v>616.43920820596065</v>
      </c>
      <c r="BM369" s="4">
        <f>MIN(1.5, 0.75+0.25*MIN(3,MAX(1,S369/N369))+0.4*MIN(1,(40*2*PI()*AM369^2/4/AO369/X369)/N369))</f>
        <v>1.5</v>
      </c>
      <c r="BN369" s="4">
        <f>(3*P369+30)*BM369*M369^0.5</f>
        <v>577.300827722995</v>
      </c>
      <c r="BP369" s="4">
        <f>3.4/PI()^0.5*M369*AB369*AE369^0.5*BG369</f>
        <v>519.69876027797375</v>
      </c>
      <c r="BQ369" s="4">
        <f>8/3*AK369*AI369^2/(AG369-N369-22)/N369*(AG369^2-N369^2)/(AG369^2-(N369+22)^2)</f>
        <v>0</v>
      </c>
      <c r="BR369" s="4">
        <f>BQ369/BP369</f>
        <v>0</v>
      </c>
      <c r="BZ369" s="4">
        <f>IF(W369=0,S369,MIN(W369/2,S369))</f>
        <v>64.77</v>
      </c>
      <c r="CD369" s="9"/>
      <c r="CF369" s="9"/>
      <c r="CG369" s="9"/>
      <c r="CH369" s="9">
        <f>IF(W369=0,MIN(S369,U369),MIN(W369/2,S369,U369))</f>
        <v>64.77</v>
      </c>
      <c r="CI369" s="9">
        <f>MAX(W369/2,S369)</f>
        <v>120.64999999999999</v>
      </c>
      <c r="CJ369" s="9">
        <f>(CH369/N369)^0.5*(CI369/CH369)^0.15</f>
        <v>1.753045162204804</v>
      </c>
      <c r="CK369" s="70">
        <f>IF(AO369&gt;1,20,0)</f>
        <v>20</v>
      </c>
      <c r="CL369" s="9">
        <f>MIN(PI()*AM369^2/4*AN369*2/X369/N369/MAX(0.01,AO369),0.05)</f>
        <v>0.05</v>
      </c>
      <c r="CM369" s="9">
        <f>MAX(0,CK369*(CL369-0.5/50))</f>
        <v>0.8</v>
      </c>
      <c r="CN369" s="9">
        <f>MIN(1,(25/N369)^0.3)</f>
        <v>0.99524931562137331</v>
      </c>
      <c r="CO369" s="9">
        <f>IF(J369&gt;=800,0.68,IF(J369&gt;=700,0.75-(J369-700)*0.07/100,IF(J369&gt;=600,0.85-(J369-600)*0.1/100,IF(J369&gt;=500,1-(J369-500)*0.15/100,1.2-(J369-400)*0.2/100))))</f>
        <v>0.68</v>
      </c>
      <c r="CP369" s="9">
        <f>1.75*CN369*CO369*(M369/25)^0.5</f>
        <v>1.5785842929910907</v>
      </c>
      <c r="CQ369" s="9">
        <f>MIN((CJ369+CM369)*CP369,2.5*CP369,M369^0.5)</f>
        <v>3.9464607324777266</v>
      </c>
      <c r="CR369" s="40">
        <v>1</v>
      </c>
      <c r="CS369" s="9">
        <f>4*CQ369*P369+60*CQ369</f>
        <v>382.80669105033951</v>
      </c>
      <c r="CU369" s="4">
        <f>AJ369/BF369</f>
        <v>2.4359566257244731</v>
      </c>
      <c r="CV369" s="4">
        <f>AJ369/BK369</f>
        <v>1.2821131703909106</v>
      </c>
      <c r="CW369" s="4">
        <f>AJ369/BN369</f>
        <v>1.36903463434048</v>
      </c>
      <c r="CX369" s="4">
        <f>AJ369/CS369</f>
        <v>2.0646055726394699</v>
      </c>
      <c r="CY369" s="4">
        <f>AJ369/DZ369</f>
        <v>1.2622199993298189</v>
      </c>
      <c r="CZ369" s="4">
        <f>AJ369/EL369</f>
        <v>1.3410351127446876</v>
      </c>
      <c r="DA369" s="4">
        <f>AJ369/GI369</f>
        <v>1.4604454373528053</v>
      </c>
      <c r="DB369" s="4">
        <f>AN369</f>
        <v>8</v>
      </c>
      <c r="DI369" s="4">
        <f>CU369</f>
        <v>2.4359566257244731</v>
      </c>
      <c r="DJ369" s="4">
        <f>CV369</f>
        <v>1.2821131703909106</v>
      </c>
      <c r="DK369" s="4">
        <f>CX369</f>
        <v>2.0646055726394699</v>
      </c>
      <c r="DL369" s="4">
        <f>DA369</f>
        <v>1.4604454373528053</v>
      </c>
      <c r="DM369" s="4">
        <f>CY369</f>
        <v>1.2622199993298189</v>
      </c>
      <c r="DN369" s="4">
        <f>CZ369</f>
        <v>1.3410351127446876</v>
      </c>
      <c r="DQ369" s="4">
        <f>L369</f>
        <v>234.95</v>
      </c>
      <c r="DT369" s="4">
        <f>K369/4/(1-0.3*(M369/30)^0.5)/200000/N369</f>
        <v>1.8209304814341571E-5</v>
      </c>
      <c r="DU369" s="4">
        <f>EP369</f>
        <v>9.1569520944446019</v>
      </c>
      <c r="DV369" s="4">
        <f>EC369*AG369/257/M369/AD369</f>
        <v>0.42182836480212033</v>
      </c>
      <c r="DW369" s="4">
        <f>DU369*DV369^0.4</f>
        <v>6.4834363846303589</v>
      </c>
      <c r="DX369" s="4">
        <f>MIN(DU369, DU369/1.4*(1-DV369^1.4)/(1-DV369))</f>
        <v>7.9339449877808761</v>
      </c>
      <c r="DY369" s="4">
        <f>MAX(DU369/2, (4-DT369*(8*AG369*(DW369-DX369)+6*K369*DX369))/(4+DT369*K369*DU369)*DU369)</f>
        <v>8.6336377842407881</v>
      </c>
      <c r="DZ369" s="38">
        <f>MIN(1/N369*(4*AG369*(DW369-DX369)+(3*DX369+DY369)*K369)+EC369 -FJ369,MAX(J369,AJ369))</f>
        <v>626.15457527676938</v>
      </c>
      <c r="EA369" s="4">
        <f>DZ369/FF369</f>
        <v>1.0001126918088037</v>
      </c>
      <c r="EB369" s="4">
        <f>AG369/N369</f>
        <v>2.2360679774997898</v>
      </c>
      <c r="EC369" s="4">
        <f>MIN(EB$10*BB369)</f>
        <v>339.10019571599406</v>
      </c>
      <c r="EG369" s="4">
        <f>IF(U369&gt;1*N369,0.85,1)</f>
        <v>0.85</v>
      </c>
      <c r="EH369" s="4">
        <f>MIN(1,MAX(0.7,(1-0.1*(BZ369-1*N369)/N369)))</f>
        <v>0.84499999999999997</v>
      </c>
      <c r="EI369" s="4">
        <f>MIN(1,MAX(0.7,1-0.3*(PI()*AM369^2/4*AQ369*2-0.25*PI()/4*N369^2)/(PI()/4*N369^2)))</f>
        <v>0.92500000000000004</v>
      </c>
      <c r="EJ369" s="4">
        <f>IF(EH369*EI369&lt;0.7,0.7,EH369*EI369)</f>
        <v>0.78162500000000001</v>
      </c>
      <c r="EL369" s="4">
        <f>MIN(DU369/N369*3*K369+EM369-FJ369,MAX(J369,AJ369))</f>
        <v>589.35431300423852</v>
      </c>
      <c r="EM369" s="25">
        <f>13.3*Q369*K369^0.5*M369^0.5/X369/N369^2*(0.7+S369/5/K369)</f>
        <v>335.24889238340086</v>
      </c>
      <c r="EO369" s="4">
        <f>EG369*EJ369</f>
        <v>0.66438125000000003</v>
      </c>
      <c r="EP369" s="4">
        <f>IF(N369&lt;22.2,1.1*5*(M369/30)^0.5,IF(N369&gt;=31.8,0.9*5*(M369/30)^0.5,1*5*(M369/30)^0.5))/EG369/EJ369</f>
        <v>9.1569520944446019</v>
      </c>
      <c r="ES369" s="4">
        <f>ET369*N369</f>
        <v>56.796126628494655</v>
      </c>
      <c r="ET369" s="4">
        <f>AF369^0.5</f>
        <v>2.2360679774997898</v>
      </c>
      <c r="EU369" s="4">
        <f>MIN(EC369)/(4700*M369^0.5)/AE369*ES369</f>
        <v>0.15371985898726231</v>
      </c>
      <c r="EX369" s="4">
        <f>EU369</f>
        <v>0.15371985898726231</v>
      </c>
      <c r="EY369" s="4">
        <f>MIN(0.999, EX369/(0.3*(M369/30)^0.5))</f>
        <v>0.42112441187938565</v>
      </c>
      <c r="EZ369" s="4">
        <f>EP369/1*EY369^0.4</f>
        <v>6.4791063571918306</v>
      </c>
      <c r="FA369" s="4">
        <f>EP369/1.4*(1-EY369^1.4)/(1-EY369)</f>
        <v>7.9321784362025918</v>
      </c>
      <c r="FB369" s="4">
        <f>MAX(0,DQ369*FB$9-ES369)</f>
        <v>119.41637337150533</v>
      </c>
      <c r="FC369" s="4">
        <f>MAX(0,DQ369-ES369-FB369)</f>
        <v>58.737500000000011</v>
      </c>
      <c r="FD369" s="4">
        <f>FC369/(1-0.3*(M369/30)^0.5)/200000/N369</f>
        <v>1.8209304814341575E-5</v>
      </c>
      <c r="FE369" s="4">
        <f>MAX(0.5*EP369, (1-2*FD369*(ES369*EZ369+FB369*FA369))/(1/EP369+FD369*FC369))</f>
        <v>8.6337886697182409</v>
      </c>
      <c r="FF369" s="4">
        <f>MIN(4/N369*(1*EZ369*ES369+FA369*FB369+FC369*FE369)+EC369,MAX(J369,AJ369))</f>
        <v>626.08402073600962</v>
      </c>
      <c r="FO369" s="23">
        <f>IF(CU369&lt;0.6,0.6,IF(CU369&lt;0.8,0.8,IF(CU369&lt;1,1,IF(CU369&lt;1.2,1.2,IF(CU369&lt;1.4,1.4,IF(CU369&lt;1.6,1.6,IF(CU369&lt;1.8,1.8,IF(CU369&lt;2,2,2.2))))))))</f>
        <v>2.2000000000000002</v>
      </c>
      <c r="FP369" s="23">
        <f>IF(CV369&lt;0.6,0.6,IF(CV369&lt;0.8,0.8,IF(CV369&lt;1,1,IF(CV369&lt;1.2,1.2,IF(CV369&lt;1.4,1.4,IF(CV369&lt;1.6,1.6,IF(CV369&lt;1.8,1.8,IF(CV369&lt;2,2,2.2))))))))</f>
        <v>1.4</v>
      </c>
      <c r="FQ369" s="23">
        <f>IF(DA369&lt;0.6,0.6,IF(DA369&lt;0.8,0.8,IF(DA369&lt;1,1,IF(DA369&lt;1.2,1.2,IF(DA369&lt;1.4,1.4,IF(DA369&lt;1.6,1.6,IF(DA369&lt;1.8,1.8,IF(DA369&lt;2,2,2.2))))))))</f>
        <v>1.6</v>
      </c>
      <c r="FR369" s="23">
        <f>IF(CX369&lt;0.6,0.6,IF(CX369&lt;0.8,0.8,IF(CX369&lt;1,1,IF(CX369&lt;1.2,1.2,IF(CX369&lt;1.4,1.4,IF(CX369&lt;1.6,1.6,IF(CX369&lt;1.8,1.8,IF(CX369&lt;2,2,2.2))))))))</f>
        <v>2.2000000000000002</v>
      </c>
      <c r="FS369" s="23">
        <f>IF(CY369&lt;0.6,0.6,IF(CY369&lt;0.8,0.8,IF(CY369&lt;1,1,IF(CY369&lt;1.2,1.2,IF(CY369&lt;1.4,1.4,IF(CY369&lt;1.6,1.6,IF(CY369&lt;1.8,1.8,IF(CY369&lt;2,2,2.2))))))))</f>
        <v>1.4</v>
      </c>
      <c r="FT369" s="23">
        <f>IF(CZ369&lt;0.6,0.6,IF(CZ369&lt;0.8,0.8,IF(CZ369&lt;1,1,IF(CZ369&lt;1.2,1.2,IF(CZ369&lt;1.4,1.4,IF(CZ369&lt;1.6,1.6,IF(CZ369&lt;1.8,1.8,IF(CZ369&lt;2,2,2.2))))))))</f>
        <v>1.4</v>
      </c>
      <c r="FU369" s="23">
        <f>IF(FS369&lt;1,1,0)</f>
        <v>0</v>
      </c>
      <c r="FV369" s="23"/>
      <c r="GF369" s="4">
        <f>IF(S369&gt;=2.5*25.4,1,1.25)</f>
        <v>1</v>
      </c>
      <c r="GG369" s="4">
        <f>IF(AO369&gt;1, 0.05*(18-MIN(8,(W369+N369)/N369))*(1-48000/MAX(60000,(J369*145))*(N369/25.4)^0.75*GH369), 1/12*(14-MIN(8,(W369+N369)/N369)))</f>
        <v>0.44</v>
      </c>
      <c r="GH369" s="4">
        <f>MIN(0.3, AM369^2*PI()/4*2*AP369/(N369^2*PI()/4*X369))</f>
        <v>0.3</v>
      </c>
      <c r="GI369" s="4">
        <f>(K369/25.4)/(N369/25.4)^1.5/0.0024*(M369*145)^0.25/GF369/GG369/145</f>
        <v>541.16696685278509</v>
      </c>
    </row>
    <row r="370" spans="1:191" ht="12" customHeight="1" x14ac:dyDescent="0.3">
      <c r="A370" s="25">
        <v>331</v>
      </c>
      <c r="B370" s="4" t="s">
        <v>605</v>
      </c>
      <c r="C370" s="4">
        <v>2016</v>
      </c>
      <c r="D370" s="4" t="s">
        <v>309</v>
      </c>
      <c r="E370" s="24" t="s">
        <v>671</v>
      </c>
      <c r="F370" s="24"/>
      <c r="G370" s="24">
        <v>53</v>
      </c>
      <c r="H370" s="48" t="s">
        <v>494</v>
      </c>
      <c r="I370" s="5">
        <f>K370/N370</f>
        <v>9.25</v>
      </c>
      <c r="J370" s="78">
        <f>115.9/0.145</f>
        <v>799.31034482758628</v>
      </c>
      <c r="K370" s="38">
        <f>9.25*25.4</f>
        <v>234.95</v>
      </c>
      <c r="L370" s="4">
        <f>K370</f>
        <v>234.95</v>
      </c>
      <c r="M370" s="38">
        <f>6710/145</f>
        <v>46.275862068965516</v>
      </c>
      <c r="N370" s="38">
        <f>1*25.4</f>
        <v>25.4</v>
      </c>
      <c r="O370" s="7">
        <f>K370/N370</f>
        <v>9.25</v>
      </c>
      <c r="P370" s="7">
        <f>L370/N370</f>
        <v>9.25</v>
      </c>
      <c r="Q370" s="38">
        <f>13.1*25.4</f>
        <v>332.73999999999995</v>
      </c>
      <c r="R370" s="32">
        <f>S370/N370</f>
        <v>2.5499999999999998</v>
      </c>
      <c r="S370" s="38">
        <f>2.55*25.4</f>
        <v>64.77</v>
      </c>
      <c r="T370" s="32">
        <f>U370/N370</f>
        <v>3.2</v>
      </c>
      <c r="U370" s="39">
        <f>3.2*25.4</f>
        <v>81.28</v>
      </c>
      <c r="V370" s="32">
        <f>W370/N370</f>
        <v>5.9999999999999982</v>
      </c>
      <c r="W370" s="7">
        <f>(Q370-X370*N370-2*S370)/(X370-1)</f>
        <v>152.39999999999995</v>
      </c>
      <c r="X370" s="38">
        <v>2</v>
      </c>
      <c r="Y370" s="7">
        <f>AN370</f>
        <v>0</v>
      </c>
      <c r="Z370" s="32">
        <f>AA370/N370</f>
        <v>10.25</v>
      </c>
      <c r="AA370" s="4">
        <f>10.25*25.4</f>
        <v>260.34999999999997</v>
      </c>
      <c r="AB370" s="7">
        <f>MIN(S370/N370+0.5, W370/2/N370+0.5)</f>
        <v>3.05</v>
      </c>
      <c r="AC370" s="7">
        <f>S370/N370+0.5</f>
        <v>3.05</v>
      </c>
      <c r="AD370" s="38">
        <v>4.5</v>
      </c>
      <c r="AE370" s="4">
        <f>AD370</f>
        <v>4.5</v>
      </c>
      <c r="AF370" s="4">
        <f>AE370+1</f>
        <v>5.5</v>
      </c>
      <c r="AG370" s="7">
        <f>N370*AF370^0.5</f>
        <v>59.568280149757555</v>
      </c>
      <c r="AJ370" s="38">
        <f>AK370/0.145</f>
        <v>475.86206896551727</v>
      </c>
      <c r="AK370" s="4">
        <v>69</v>
      </c>
      <c r="AL370" s="4">
        <f>CY370</f>
        <v>0.89515643202731698</v>
      </c>
      <c r="AM370" s="38">
        <v>0</v>
      </c>
      <c r="AN370" s="38">
        <v>0</v>
      </c>
      <c r="AO370" s="39">
        <f>L370</f>
        <v>234.95</v>
      </c>
      <c r="AP370" s="39"/>
      <c r="AQ370" s="39"/>
      <c r="AR370" s="7"/>
      <c r="AS370" s="4">
        <f>K370</f>
        <v>234.95</v>
      </c>
      <c r="AT370" s="4">
        <f>IF(K370*3&gt;W370+N370, Q370, (S370+N370/2)*2+1.5*K370*(2*X370-2))*(3*K370)/(9*K370^2)</f>
        <v>0.47207207207207197</v>
      </c>
      <c r="AU370" s="4">
        <f>MIN(10*M370^0.5*K370^1.5,100*3.9*M370^0.5*K370^(5/3))/(PI()/4*N370^2)/X370</f>
        <v>241.74256326019332</v>
      </c>
      <c r="AV370" s="4">
        <f>MIN(0.7+0.3*(MIN(S370,AA370)+0.5*N370)/1.5/K370,1)</f>
        <v>0.76594594594594589</v>
      </c>
      <c r="AW370" s="4">
        <v>1.25</v>
      </c>
      <c r="AX370" s="4">
        <f>AX369</f>
        <v>2.5</v>
      </c>
      <c r="AY370" s="38">
        <f>AT370*AV370*AW370*AX370*AU370</f>
        <v>273.1552641240558</v>
      </c>
      <c r="AZ370" s="38">
        <f>AY370</f>
        <v>273.1552641240558</v>
      </c>
      <c r="BA370" s="38">
        <f>IF(M370&lt;50, 0.3*M370^(2/3), 2.12*LN(1+0.1*(M370+8)))</f>
        <v>3.8668524435568052</v>
      </c>
      <c r="BB370" s="38">
        <f>AX370* (M370^0.5/AS370^0.5)/(PI()/4*N370^2)/X370/0.72 *(0.7+(MIN(S370,AA370)+0.5*N370)/5/K370) *(3*Q370*K370)</f>
        <v>273.15526412405586</v>
      </c>
      <c r="BC370" s="38">
        <f>AY370/BB370</f>
        <v>0.99999999999999978</v>
      </c>
      <c r="BD370" s="38">
        <f>BH370/BB370</f>
        <v>2.192204350952025</v>
      </c>
      <c r="BE370" s="4">
        <f>IF(BD370&lt;1,1,0)</f>
        <v>0</v>
      </c>
      <c r="BF370" s="4">
        <f>L370/N370*M370^0.5/0.19</f>
        <v>331.18098291197919</v>
      </c>
      <c r="BG370" s="4">
        <f>MIN(0.6+0.4*(AC370/AB370),2)</f>
        <v>1</v>
      </c>
      <c r="BH370" s="38">
        <f>2*M370*AB370*AD370^0.5*BG370*0.7/0.7</f>
        <v>598.81215849820489</v>
      </c>
      <c r="BI370" s="4">
        <f>MAX(1-0.7*AE370/5,0.3)</f>
        <v>0.37</v>
      </c>
      <c r="BJ370" s="4">
        <f>BI370*J370*L370/(J370*N370/2.75/M370^0.5)</f>
        <v>64.025563521458352</v>
      </c>
      <c r="BK370" s="4">
        <f>BH370+BJ370</f>
        <v>662.83772201966326</v>
      </c>
      <c r="BM370" s="4">
        <f>MIN(1.5, 0.75+0.25*MIN(3,MAX(1,S370/N370))+0.4*MIN(1,(40*2*PI()*AM370^2/4/AO370/X370)/N370))</f>
        <v>1.3875</v>
      </c>
      <c r="BN370" s="4">
        <f>(3*P370+30)*BM370*M370^0.5</f>
        <v>545.0825002502537</v>
      </c>
      <c r="BP370" s="4">
        <f>3.4/PI()^0.5*M370*AB370*AE370^0.5*BG370</f>
        <v>574.33408995494005</v>
      </c>
      <c r="BQ370" s="4">
        <f>8/3*AH370*AI370^2/(AG370-N370-22)/N370*(AG370^2-N370^2)/(AG370^2-(N370+22)^2)</f>
        <v>0</v>
      </c>
      <c r="BR370" s="4">
        <f>BQ370/BP370</f>
        <v>0</v>
      </c>
      <c r="BZ370" s="4">
        <f>IF(W370=0,S370,MIN(W370/2,S370))</f>
        <v>64.77</v>
      </c>
      <c r="CD370" s="9"/>
      <c r="CF370" s="9"/>
      <c r="CG370" s="9"/>
      <c r="CH370" s="9">
        <f>IF(W370=0,MIN(S370,U370),MIN(W370/2,S370,U370))</f>
        <v>64.77</v>
      </c>
      <c r="CI370" s="9">
        <f>MAX(W370/2,S370)</f>
        <v>76.199999999999974</v>
      </c>
      <c r="CJ370" s="9">
        <f>(CH370/N370)^0.5*(CI370/CH370)^0.15</f>
        <v>1.636278603156414</v>
      </c>
      <c r="CK370" s="70">
        <f>IF(AO370&gt;1,20,0)</f>
        <v>20</v>
      </c>
      <c r="CL370" s="9">
        <f>MIN(PI()*AM370^2/4*AN370*2/X370/N370/MAX(0.01,AO370),0.05)</f>
        <v>0</v>
      </c>
      <c r="CM370" s="9">
        <f>MAX(0,CK370*(CL370-0.5/50))</f>
        <v>0</v>
      </c>
      <c r="CN370" s="9">
        <f>MIN(1,(25/N370)^0.3)</f>
        <v>0.99524931562137331</v>
      </c>
      <c r="CO370" s="9">
        <f>IF(J370&gt;=800,0.68,IF(J370&gt;=700,0.75-(J370-700)*0.07/100,IF(J370&gt;=600,0.85-(J370-600)*0.1/100,IF(J370&gt;=500,1-(J370-500)*0.15/100,1.2-(J370-400)*0.2/100))))</f>
        <v>0.68048275862068963</v>
      </c>
      <c r="CP370" s="9">
        <f>1.75*CN370*CO370*(M370/25)^0.5</f>
        <v>1.6124799265763963</v>
      </c>
      <c r="CQ370" s="9">
        <f>MIN((CJ370+CM370)*CP370,2.5*CP370,M370^0.5)</f>
        <v>2.6384664018761828</v>
      </c>
      <c r="CR370" s="40">
        <v>1</v>
      </c>
      <c r="CS370" s="9">
        <f>4*CQ370*P370+60*CQ370</f>
        <v>255.93124098198973</v>
      </c>
      <c r="CU370" s="4">
        <f>AJ370/BF370</f>
        <v>1.4368641121280543</v>
      </c>
      <c r="CV370" s="4">
        <f>AJ370/BK370</f>
        <v>0.71791639666428142</v>
      </c>
      <c r="CW370" s="4">
        <f>AJ370/BN370</f>
        <v>0.87300925776748195</v>
      </c>
      <c r="CX370" s="4">
        <f>AJ370/CS370</f>
        <v>1.8593356056871713</v>
      </c>
      <c r="CY370" s="4">
        <f>AJ370/DZ370</f>
        <v>0.89515643202731698</v>
      </c>
      <c r="CZ370" s="4">
        <f>AJ370/EL370</f>
        <v>0.93310480003574625</v>
      </c>
      <c r="DA370" s="4">
        <f>AJ370/GI370</f>
        <v>1.0879292646151721</v>
      </c>
      <c r="DB370" s="4">
        <f>AN370</f>
        <v>0</v>
      </c>
      <c r="DC370" s="4">
        <f>CU370</f>
        <v>1.4368641121280543</v>
      </c>
      <c r="DD370" s="4">
        <f>CV370</f>
        <v>0.71791639666428142</v>
      </c>
      <c r="DE370" s="4">
        <f>CX370</f>
        <v>1.8593356056871713</v>
      </c>
      <c r="DF370" s="4">
        <f>DA370</f>
        <v>1.0879292646151721</v>
      </c>
      <c r="DG370" s="4">
        <f>CY370</f>
        <v>0.89515643202731698</v>
      </c>
      <c r="DH370" s="4">
        <f>CZ370</f>
        <v>0.93310480003574625</v>
      </c>
      <c r="DQ370" s="4">
        <f>L370</f>
        <v>234.95</v>
      </c>
      <c r="DT370" s="4">
        <f>K370/4/(1-0.3*(M370/30)^0.5)/200000/N370</f>
        <v>1.8429106646995416E-5</v>
      </c>
      <c r="DU370" s="4">
        <f>EP370</f>
        <v>8.6459157905566411</v>
      </c>
      <c r="DV370" s="4">
        <f>EC370*AG370/257/M370/AD370</f>
        <v>0.30403562939077616</v>
      </c>
      <c r="DW370" s="4">
        <f>DU370*DV370^0.4</f>
        <v>5.3700804699320424</v>
      </c>
      <c r="DX370" s="4">
        <f>MIN(DU370, DU370/1.4*(1-DV370^1.4)/(1-DV370))</f>
        <v>7.1978438338554191</v>
      </c>
      <c r="DY370" s="4">
        <f>MAX(DU370/2, (4-DT370*(8*AG370*(DW370-DX370)+6*K370*DX370))/(4+DT370*K370*DU370)*DU370)</f>
        <v>8.1996818827256952</v>
      </c>
      <c r="DZ370" s="38">
        <f>MIN(1/N370*(4*AG370*(DW370-DX370)+(3*DX370+DY370)*K370)+EC370 -FJ370,MAX(J370,AJ370))</f>
        <v>531.59654775400827</v>
      </c>
      <c r="EA370" s="4">
        <f>DZ370/FF370</f>
        <v>1.0001073279151589</v>
      </c>
      <c r="EB370" s="4">
        <f>AG370/N370</f>
        <v>2.3452078799117149</v>
      </c>
      <c r="EC370" s="4">
        <f>MIN(EB$10*BB370)</f>
        <v>273.15526412405586</v>
      </c>
      <c r="EG370" s="4">
        <f>IF(U370&gt;1*N370,0.85,1)</f>
        <v>0.85</v>
      </c>
      <c r="EH370" s="4">
        <f>MIN(1,MAX(0.7,(1-0.1*(BZ370-1*N370)/N370)))</f>
        <v>0.84499999999999997</v>
      </c>
      <c r="EI370" s="4">
        <f>MIN(1,MAX(0.7,1-0.3*(PI()*AM370^2/4*AQ370*2-0.25*PI()/4*N370^2)/(PI()/4*N370^2)))</f>
        <v>1</v>
      </c>
      <c r="EJ370" s="4">
        <f>IF(EH370*EI370&lt;0.7,0.7,EH370*EI370)</f>
        <v>0.84499999999999997</v>
      </c>
      <c r="EL370" s="4">
        <f>MIN(DU370/N370*3*K370+EM370-FJ370,MAX(J370,AJ370))</f>
        <v>509.97708826199107</v>
      </c>
      <c r="EM370" s="25">
        <f>13.3*Q370*K370^0.5*M370^0.5/X370/N370^2*(0.7+S370/5/K370)</f>
        <v>270.05292507404425</v>
      </c>
      <c r="EO370" s="4">
        <f>EG370*EJ370</f>
        <v>0.71824999999999994</v>
      </c>
      <c r="EP370" s="4">
        <f>IF(N370&lt;22.2,1.1*5*(M370/30)^0.5,IF(N370&gt;=31.8,0.9*5*(M370/30)^0.5,1*5*(M370/30)^0.5))/EG370/EJ370</f>
        <v>8.6459157905566411</v>
      </c>
      <c r="ES370" s="4">
        <f>ET370*N370</f>
        <v>59.568280149757555</v>
      </c>
      <c r="ET370" s="4">
        <f>AF370^0.5</f>
        <v>2.3452078799117149</v>
      </c>
      <c r="EU370" s="4">
        <f>MIN(EC370)/(4700*M370^0.5)/AE370*ES370</f>
        <v>0.11309333344115358</v>
      </c>
      <c r="EX370" s="4">
        <f>EU370</f>
        <v>0.11309333344115358</v>
      </c>
      <c r="EY370" s="4">
        <f>MIN(0.999, EX370/(0.3*(M370/30)^0.5))</f>
        <v>0.30352825058986138</v>
      </c>
      <c r="EZ370" s="4">
        <f>EP370/1*EY370^0.4</f>
        <v>5.3664940083085373</v>
      </c>
      <c r="FA370" s="4">
        <f>EP370/1.4*(1-EY370^1.4)/(1-EY370)</f>
        <v>7.1965110043758811</v>
      </c>
      <c r="FB370" s="4">
        <f>MAX(0,DQ370*FB$9-ES370)</f>
        <v>116.64421985024242</v>
      </c>
      <c r="FC370" s="4">
        <f>MAX(0,DQ370-ES370-FB370)</f>
        <v>58.737500000000011</v>
      </c>
      <c r="FD370" s="4">
        <f>FC370/(1-0.3*(M370/30)^0.5)/200000/N370</f>
        <v>1.842910664699542E-5</v>
      </c>
      <c r="FE370" s="4">
        <f>MAX(0.5*EP370, (1-2*FD370*(ES370*EZ370+FB370*FA370))/(1/EP370+FD370*FC370))</f>
        <v>8.1997984162699229</v>
      </c>
      <c r="FF370" s="4">
        <f>MIN(4/N370*(1*EZ370*ES370+FA370*FB370+FC370*FE370)+EC370,MAX(J370,AJ370))</f>
        <v>531.53949872778526</v>
      </c>
      <c r="FI370" s="4">
        <f>5.25*25.4</f>
        <v>133.35</v>
      </c>
      <c r="FO370" s="23">
        <f>IF(CU370&lt;0.6,0.6,IF(CU370&lt;0.8,0.8,IF(CU370&lt;1,1,IF(CU370&lt;1.2,1.2,IF(CU370&lt;1.4,1.4,IF(CU370&lt;1.6,1.6,IF(CU370&lt;1.8,1.8,IF(CU370&lt;2,2,2.2))))))))</f>
        <v>1.6</v>
      </c>
      <c r="FP370" s="23">
        <f>IF(CV370&lt;0.6,0.6,IF(CV370&lt;0.8,0.8,IF(CV370&lt;1,1,IF(CV370&lt;1.2,1.2,IF(CV370&lt;1.4,1.4,IF(CV370&lt;1.6,1.6,IF(CV370&lt;1.8,1.8,IF(CV370&lt;2,2,2.2))))))))</f>
        <v>0.8</v>
      </c>
      <c r="FQ370" s="23">
        <f>IF(DA370&lt;0.6,0.6,IF(DA370&lt;0.8,0.8,IF(DA370&lt;1,1,IF(DA370&lt;1.2,1.2,IF(DA370&lt;1.4,1.4,IF(DA370&lt;1.6,1.6,IF(DA370&lt;1.8,1.8,IF(DA370&lt;2,2,2.2))))))))</f>
        <v>1.2</v>
      </c>
      <c r="FR370" s="23">
        <f>IF(CX370&lt;0.6,0.6,IF(CX370&lt;0.8,0.8,IF(CX370&lt;1,1,IF(CX370&lt;1.2,1.2,IF(CX370&lt;1.4,1.4,IF(CX370&lt;1.6,1.6,IF(CX370&lt;1.8,1.8,IF(CX370&lt;2,2,2.2))))))))</f>
        <v>2</v>
      </c>
      <c r="FS370" s="23">
        <f>IF(CY370&lt;0.6,0.6,IF(CY370&lt;0.8,0.8,IF(CY370&lt;1,1,IF(CY370&lt;1.2,1.2,IF(CY370&lt;1.4,1.4,IF(CY370&lt;1.6,1.6,IF(CY370&lt;1.8,1.8,IF(CY370&lt;2,2,2.2))))))))</f>
        <v>1</v>
      </c>
      <c r="FT370" s="23">
        <f>IF(CZ370&lt;0.6,0.6,IF(CZ370&lt;0.8,0.8,IF(CZ370&lt;1,1,IF(CZ370&lt;1.2,1.2,IF(CZ370&lt;1.4,1.4,IF(CZ370&lt;1.6,1.6,IF(CZ370&lt;1.8,1.8,IF(CZ370&lt;2,2,2.2))))))))</f>
        <v>1</v>
      </c>
      <c r="FU370" s="23">
        <f>IF(FS370&lt;1,1,0)</f>
        <v>0</v>
      </c>
      <c r="FV370" s="23"/>
      <c r="GF370" s="4">
        <f>IF(S370&gt;=2.5*25.4,1,1.25)</f>
        <v>1</v>
      </c>
      <c r="GG370" s="4">
        <f>IF(AO370&gt;1, 0.05*(18-MIN(8,(W370+N370)/N370))*(1-48000/MAX(60000,(J370*145))*(N370/25.4)^0.75*GH370), 1/12*(14-MIN(8,(W370+N370)/N370)))</f>
        <v>0.55000000000000016</v>
      </c>
      <c r="GH370" s="4">
        <f>MIN(0.3, AM370^2*PI()/4*2*AP370/(N370^2*PI()/4*X370))</f>
        <v>0</v>
      </c>
      <c r="GI370" s="4">
        <f>(K370/25.4)/(N370/25.4)^1.5/0.0024*(M370*145)^0.25/GF370/GG370/145</f>
        <v>437.40166244525244</v>
      </c>
    </row>
    <row r="371" spans="1:191" ht="12" customHeight="1" x14ac:dyDescent="0.3">
      <c r="A371" s="25">
        <v>303</v>
      </c>
      <c r="B371" s="4" t="s">
        <v>605</v>
      </c>
      <c r="C371" s="4">
        <v>2016</v>
      </c>
      <c r="D371" s="4" t="s">
        <v>309</v>
      </c>
      <c r="E371" s="24" t="s">
        <v>462</v>
      </c>
      <c r="F371" s="24"/>
      <c r="G371" s="24">
        <v>29</v>
      </c>
      <c r="H371" s="7" t="s">
        <v>464</v>
      </c>
      <c r="I371" s="5">
        <f>K371/N371</f>
        <v>9.19</v>
      </c>
      <c r="J371" s="91">
        <f>120/0.145</f>
        <v>827.58620689655174</v>
      </c>
      <c r="K371" s="47">
        <f>9.19*25.4</f>
        <v>233.42599999999999</v>
      </c>
      <c r="L371" s="4">
        <f>K371</f>
        <v>233.42599999999999</v>
      </c>
      <c r="M371" s="47">
        <f>9040/145</f>
        <v>62.344827586206897</v>
      </c>
      <c r="N371" s="96">
        <f>1*25.4</f>
        <v>25.4</v>
      </c>
      <c r="O371" s="7">
        <f>K371/N371</f>
        <v>9.19</v>
      </c>
      <c r="P371" s="7">
        <f>L371/N371</f>
        <v>9.19</v>
      </c>
      <c r="Q371" s="38">
        <f>17*25.4</f>
        <v>431.79999999999995</v>
      </c>
      <c r="R371" s="32">
        <f>S371/N371</f>
        <v>2.6499999999999995</v>
      </c>
      <c r="S371" s="38">
        <f>2.65*25.4</f>
        <v>67.309999999999988</v>
      </c>
      <c r="T371" s="32">
        <f>U371/N371</f>
        <v>3.3</v>
      </c>
      <c r="U371" s="39">
        <f>3.3*25.4</f>
        <v>83.82</v>
      </c>
      <c r="V371" s="32">
        <f>W371/N371</f>
        <v>9.6999999999999993</v>
      </c>
      <c r="W371" s="7">
        <f>(Q371-X371*N371-2*S371)/(X371-1)</f>
        <v>246.37999999999997</v>
      </c>
      <c r="X371" s="38">
        <v>2</v>
      </c>
      <c r="Y371" s="7">
        <f>AN371</f>
        <v>4</v>
      </c>
      <c r="Z371" s="32">
        <f>AA371/N371</f>
        <v>10.25</v>
      </c>
      <c r="AA371" s="4">
        <f>10.25*25.4</f>
        <v>260.34999999999997</v>
      </c>
      <c r="AB371" s="7">
        <f>MIN(S371/N371+0.5, W371/2/N371+0.5)</f>
        <v>3.1499999999999995</v>
      </c>
      <c r="AC371" s="7">
        <f>S371/N371+0.5</f>
        <v>3.1499999999999995</v>
      </c>
      <c r="AD371" s="38">
        <v>9.5</v>
      </c>
      <c r="AE371" s="4">
        <f>AD371</f>
        <v>9.5</v>
      </c>
      <c r="AF371" s="4">
        <f>AE371+1</f>
        <v>10.5</v>
      </c>
      <c r="AG371" s="7">
        <f>N371*AF371^0.5</f>
        <v>82.305406869779816</v>
      </c>
      <c r="AJ371" s="38">
        <f>AK371/0.145</f>
        <v>600</v>
      </c>
      <c r="AK371" s="4">
        <v>87</v>
      </c>
      <c r="AL371" s="4">
        <f>CY371</f>
        <v>0.86504992090891586</v>
      </c>
      <c r="AM371" s="38">
        <f>0.375*25.4</f>
        <v>9.5249999999999986</v>
      </c>
      <c r="AN371" s="38">
        <v>4</v>
      </c>
      <c r="AO371" s="39">
        <f>6*25.4</f>
        <v>152.39999999999998</v>
      </c>
      <c r="AP371" s="39">
        <v>1</v>
      </c>
      <c r="AQ371" s="39">
        <v>1</v>
      </c>
      <c r="AR371" s="7"/>
      <c r="AS371" s="4">
        <f>K371</f>
        <v>233.42599999999999</v>
      </c>
      <c r="AT371" s="4">
        <f>IF(K371*3&gt;W371+N371, Q371, (S371+N371/2)*2+1.5*K371*(2*X371-2))*(3*K371)/(9*K371^2)</f>
        <v>0.61661225970257527</v>
      </c>
      <c r="AU371" s="4">
        <f>MIN(10*M371^0.5*K371^1.5,100*3.9*M371^0.5*K371^(5/3))/(PI()/4*N371^2)/X371</f>
        <v>277.86685517024648</v>
      </c>
      <c r="AV371" s="4">
        <f>MIN(0.7+0.3*(MIN(S371,AA371)+0.5*N371)/1.5/K371,1)</f>
        <v>0.76855277475516859</v>
      </c>
      <c r="AW371" s="4">
        <v>1.25</v>
      </c>
      <c r="AX371" s="4">
        <f>AX370</f>
        <v>2.5</v>
      </c>
      <c r="AY371" s="38">
        <f>AT371*AV371*AW371*AX371*AU371</f>
        <v>411.5026323235121</v>
      </c>
      <c r="AZ371" s="38">
        <f>AY371</f>
        <v>411.5026323235121</v>
      </c>
      <c r="BA371" s="38">
        <f>IF(M371&lt;50, 0.3*M371^(2/3), 2.12*LN(1+0.1*(M371+8)))</f>
        <v>4.4175343619879603</v>
      </c>
      <c r="BB371" s="38">
        <f>AX371* (M371^0.5/AS371^0.5)/(PI()/4*N371^2)/X371/0.72 *(0.7+(MIN(S371,AA371)+0.5*N371)/5/K371) *(3*Q371*K371)</f>
        <v>411.50263232351193</v>
      </c>
      <c r="BC371" s="38">
        <f>AY371/BB371</f>
        <v>1.0000000000000004</v>
      </c>
      <c r="BD371" s="38">
        <f>BH371/BB371</f>
        <v>2.9419152848366741</v>
      </c>
      <c r="BE371" s="4">
        <f>IF(BD371&lt;1,1,0)</f>
        <v>0</v>
      </c>
      <c r="BF371" s="4">
        <f>L371/N371*M371^0.5/0.19</f>
        <v>381.91096238319886</v>
      </c>
      <c r="BG371" s="4">
        <f>MIN(0.6+0.4*(AC371/AB371),2)</f>
        <v>1</v>
      </c>
      <c r="BH371" s="38">
        <f>2*M371*AB371*AD371^0.5*BG371*0.7/0.7</f>
        <v>1210.6058837830658</v>
      </c>
      <c r="BI371" s="4">
        <f>MAX(1-0.7*AE371/5,0.3)</f>
        <v>0.3</v>
      </c>
      <c r="BJ371" s="4">
        <f>BI371*J371*L371/(J371*N371/2.75/M371^0.5)</f>
        <v>59.864543353566432</v>
      </c>
      <c r="BK371" s="4">
        <f>BH371+BJ371</f>
        <v>1270.4704271366322</v>
      </c>
      <c r="BM371" s="4">
        <f>MIN(1.5, 0.75+0.25*MIN(3,MAX(1,S371/N371))+0.4*MIN(1,(40*2*PI()*AM371^2/4/AO371/X371)/N371))</f>
        <v>1.5</v>
      </c>
      <c r="BN371" s="4">
        <f>(3*P371+30)*BM371*M371^0.5</f>
        <v>681.84820671971897</v>
      </c>
      <c r="BP371" s="4">
        <f>3.4/PI()^0.5*M371*AB371*AE371^0.5*BG371</f>
        <v>1161.1190900004531</v>
      </c>
      <c r="BQ371" s="4">
        <f>8/3*AH371*AI371^2/(AG371-N371-22)/N371*(AG371^2-N371^2)/(AG371^2-(N371+22)^2)</f>
        <v>0</v>
      </c>
      <c r="BR371" s="4">
        <f>BQ371/BP371</f>
        <v>0</v>
      </c>
      <c r="BZ371" s="4">
        <f>IF(W371=0,S371,MIN(W371/2,S371))</f>
        <v>67.309999999999988</v>
      </c>
      <c r="CD371" s="9"/>
      <c r="CF371" s="9"/>
      <c r="CG371" s="9"/>
      <c r="CH371" s="9">
        <f>IF(W371=0,MIN(S371,U371),MIN(W371/2,S371,U371))</f>
        <v>67.309999999999988</v>
      </c>
      <c r="CI371" s="9">
        <f>MAX(W371/2,S371)</f>
        <v>123.18999999999998</v>
      </c>
      <c r="CJ371" s="9">
        <f>(CH371/N371)^0.5*(CI371/CH371)^0.15</f>
        <v>1.7823677548771022</v>
      </c>
      <c r="CK371" s="70">
        <f>IF(AO371&gt;1,20,0)</f>
        <v>20</v>
      </c>
      <c r="CL371" s="9">
        <f>MIN(PI()*AM371^2/4*AN371*2/X371/N371/MAX(0.01,AO371),0.05)</f>
        <v>0.05</v>
      </c>
      <c r="CM371" s="9">
        <f>MAX(0,CK371*(CL371-0.5/50))</f>
        <v>0.8</v>
      </c>
      <c r="CN371" s="9">
        <f>MIN(1,(25/N371)^0.3)</f>
        <v>0.99524931562137331</v>
      </c>
      <c r="CO371" s="9">
        <f>IF(J371&gt;=800,0.68,IF(J371&gt;=700,0.75-(J371-700)*0.07/100,IF(J371&gt;=600,0.85-(J371-600)*0.1/100,IF(J371&gt;=500,1-(J371-500)*0.15/100,1.2-(J371-400)*0.2/100))))</f>
        <v>0.68</v>
      </c>
      <c r="CP371" s="9">
        <f>1.75*CN371*CO371*(M371/25)^0.5</f>
        <v>1.8702904607807274</v>
      </c>
      <c r="CQ371" s="9">
        <f>MIN((CJ371+CM371)*CP371,2.5*CP371,M371^0.5)</f>
        <v>4.6757261519518183</v>
      </c>
      <c r="CR371" s="40">
        <v>1</v>
      </c>
      <c r="CS371" s="9">
        <f>4*CQ371*P371+60*CQ371</f>
        <v>452.42326246285791</v>
      </c>
      <c r="CU371" s="4">
        <f>AJ371/BF371</f>
        <v>1.5710468122095345</v>
      </c>
      <c r="CV371" s="4">
        <f>AJ371/BK371</f>
        <v>0.47226601043541899</v>
      </c>
      <c r="CW371" s="4">
        <f>AJ371/BN371</f>
        <v>0.8799612495668504</v>
      </c>
      <c r="CX371" s="4">
        <f>AJ371/CS371</f>
        <v>1.3261917540087973</v>
      </c>
      <c r="CY371" s="4">
        <f>AJ371/DZ371</f>
        <v>0.86504992090891586</v>
      </c>
      <c r="CZ371" s="4">
        <f>AJ371/EL371</f>
        <v>0.87025939203289582</v>
      </c>
      <c r="DA371" s="4">
        <f>AJ371/GI371</f>
        <v>1.099511672686895</v>
      </c>
      <c r="DB371" s="4">
        <f>AN371</f>
        <v>4</v>
      </c>
      <c r="DI371" s="4">
        <f>CU371</f>
        <v>1.5710468122095345</v>
      </c>
      <c r="DJ371" s="4">
        <f>CV371</f>
        <v>0.47226601043541899</v>
      </c>
      <c r="DK371" s="4">
        <f>CX371</f>
        <v>1.3261917540087973</v>
      </c>
      <c r="DL371" s="4">
        <f>DA371</f>
        <v>1.099511672686895</v>
      </c>
      <c r="DM371" s="4">
        <f>CY371</f>
        <v>0.86504992090891586</v>
      </c>
      <c r="DN371" s="4">
        <f>CZ371</f>
        <v>0.87025939203289582</v>
      </c>
      <c r="DQ371" s="4">
        <f>L371</f>
        <v>233.42599999999999</v>
      </c>
      <c r="DT371" s="4">
        <f>K371/4/(1-0.3*(M371/30)^0.5)/200000/N371</f>
        <v>2.0241393166235661E-5</v>
      </c>
      <c r="DU371" s="4">
        <f>EP371</f>
        <v>10.25167680187093</v>
      </c>
      <c r="DV371" s="4">
        <f>EC371*AG371/257/M371/AD371</f>
        <v>0.22250707617084689</v>
      </c>
      <c r="DW371" s="4">
        <f>DU371*DV371^0.4</f>
        <v>5.6199498067632083</v>
      </c>
      <c r="DX371" s="4">
        <f>MIN(DU371, DU371/1.4*(1-DV371^1.4)/(1-DV371))</f>
        <v>8.2694351166294009</v>
      </c>
      <c r="DY371" s="4">
        <f>MAX(DU371/2, (4-DT371*(8*AG371*(DW371-DX371)+6*K371*DX371))/(4+DT371*K371*DU371)*DU371)</f>
        <v>9.6247971060916608</v>
      </c>
      <c r="DZ371" s="38">
        <f>MIN(1/N371*(4*AG371*(DW371-DX371)+(3*DX371+DY371)*K371)+EC371 -FJ371,MAX(J371,AJ371))</f>
        <v>693.6015893389997</v>
      </c>
      <c r="EA371" s="4">
        <f>DZ371/FF371</f>
        <v>1.0000944892265211</v>
      </c>
      <c r="EB371" s="4">
        <f>AG371/N371</f>
        <v>3.2403703492039297</v>
      </c>
      <c r="EC371" s="4">
        <f>MIN(EB$10*BB371)</f>
        <v>411.50263232351193</v>
      </c>
      <c r="EG371" s="4">
        <f>IF(U371&gt;1*N371,0.85,1)</f>
        <v>0.85</v>
      </c>
      <c r="EH371" s="4">
        <f>MIN(1,MAX(0.7,(1-0.1*(BZ371-1*N371)/N371)))</f>
        <v>0.83499999999999996</v>
      </c>
      <c r="EI371" s="4">
        <f>MIN(1,MAX(0.7,1-0.3*(PI()*AM371^2/4*AQ371*2-0.25*PI()/4*N371^2)/(PI()/4*N371^2)))</f>
        <v>0.99062499999999998</v>
      </c>
      <c r="EJ371" s="4">
        <f>IF(EH371*EI371&lt;0.7,0.7,EH371*EI371)</f>
        <v>0.827171875</v>
      </c>
      <c r="EL371" s="4">
        <f>MIN(DU371/N371*3*K371+EM371-FJ371,MAX(J371,AJ371))</f>
        <v>689.44961179726056</v>
      </c>
      <c r="EM371" s="25">
        <f>13.3*Q371*K371^0.5*M371^0.5/X371/N371^2*(0.7+S371/5/K371)</f>
        <v>406.81088236967901</v>
      </c>
      <c r="EO371" s="4">
        <f>EG371*EJ371</f>
        <v>0.70309609374999993</v>
      </c>
      <c r="EP371" s="4">
        <f>IF(N371&lt;22.2,1.1*5*(M371/30)^0.5,IF(N371&gt;=31.8,0.9*5*(M371/30)^0.5,1*5*(M371/30)^0.5))/EG371/EJ371</f>
        <v>10.25167680187093</v>
      </c>
      <c r="ES371" s="4">
        <f>ET371*N371</f>
        <v>82.305406869779816</v>
      </c>
      <c r="ET371" s="4">
        <f>AF371^0.5</f>
        <v>3.2403703492039302</v>
      </c>
      <c r="EU371" s="4">
        <f>MIN(EC371)/(4700*M371^0.5)/AE371*ES371</f>
        <v>9.6068123230730482E-2</v>
      </c>
      <c r="EX371" s="4">
        <f>EU371</f>
        <v>9.6068123230730482E-2</v>
      </c>
      <c r="EY371" s="4">
        <f>MIN(0.999, EX371/(0.3*(M371/30)^0.5))</f>
        <v>0.22213575333039937</v>
      </c>
      <c r="EZ371" s="4">
        <f>EP371/1*EY371^0.4</f>
        <v>5.6161964674192566</v>
      </c>
      <c r="FA371" s="4">
        <f>EP371/1.4*(1-EY371^1.4)/(1-EY371)</f>
        <v>8.2681694572947251</v>
      </c>
      <c r="FB371" s="4">
        <f>MAX(0,DQ371*FB$9-ES371)</f>
        <v>92.764093130220189</v>
      </c>
      <c r="FC371" s="4">
        <f>MAX(0,DQ371-ES371-FB371)</f>
        <v>58.356499999999997</v>
      </c>
      <c r="FD371" s="4">
        <f>FC371/(1-0.3*(M371/30)^0.5)/200000/N371</f>
        <v>2.0241393166235661E-5</v>
      </c>
      <c r="FE371" s="4">
        <f>MAX(0.5*EP371, (1-2*FD371*(ES371*EZ371+FB371*FA371))/(1/EP371+FD371*FC371))</f>
        <v>9.6249719222359911</v>
      </c>
      <c r="FF371" s="4">
        <f>MIN(4/N371*(1*EZ371*ES371+FA371*FB371+FC371*FE371)+EC371,MAX(J371,AJ371))</f>
        <v>693.5360576533476</v>
      </c>
      <c r="FO371" s="23">
        <f>IF(CU371&lt;0.6,0.6,IF(CU371&lt;0.8,0.8,IF(CU371&lt;1,1,IF(CU371&lt;1.2,1.2,IF(CU371&lt;1.4,1.4,IF(CU371&lt;1.6,1.6,IF(CU371&lt;1.8,1.8,IF(CU371&lt;2,2,2.2))))))))</f>
        <v>1.6</v>
      </c>
      <c r="FP371" s="23">
        <f>IF(CV371&lt;0.6,0.6,IF(CV371&lt;0.8,0.8,IF(CV371&lt;1,1,IF(CV371&lt;1.2,1.2,IF(CV371&lt;1.4,1.4,IF(CV371&lt;1.6,1.6,IF(CV371&lt;1.8,1.8,IF(CV371&lt;2,2,2.2))))))))</f>
        <v>0.6</v>
      </c>
      <c r="FQ371" s="23">
        <f>IF(DA371&lt;0.6,0.6,IF(DA371&lt;0.8,0.8,IF(DA371&lt;1,1,IF(DA371&lt;1.2,1.2,IF(DA371&lt;1.4,1.4,IF(DA371&lt;1.6,1.6,IF(DA371&lt;1.8,1.8,IF(DA371&lt;2,2,2.2))))))))</f>
        <v>1.2</v>
      </c>
      <c r="FR371" s="23">
        <f>IF(CX371&lt;0.6,0.6,IF(CX371&lt;0.8,0.8,IF(CX371&lt;1,1,IF(CX371&lt;1.2,1.2,IF(CX371&lt;1.4,1.4,IF(CX371&lt;1.6,1.6,IF(CX371&lt;1.8,1.8,IF(CX371&lt;2,2,2.2))))))))</f>
        <v>1.4</v>
      </c>
      <c r="FS371" s="23">
        <f>IF(CY371&lt;0.6,0.6,IF(CY371&lt;0.8,0.8,IF(CY371&lt;1,1,IF(CY371&lt;1.2,1.2,IF(CY371&lt;1.4,1.4,IF(CY371&lt;1.6,1.6,IF(CY371&lt;1.8,1.8,IF(CY371&lt;2,2,2.2))))))))</f>
        <v>1</v>
      </c>
      <c r="FT371" s="23">
        <f>IF(CZ371&lt;0.6,0.6,IF(CZ371&lt;0.8,0.8,IF(CZ371&lt;1,1,IF(CZ371&lt;1.2,1.2,IF(CZ371&lt;1.4,1.4,IF(CZ371&lt;1.6,1.6,IF(CZ371&lt;1.8,1.8,IF(CZ371&lt;2,2,2.2))))))))</f>
        <v>1</v>
      </c>
      <c r="FU371" s="23">
        <f>IF(FS371&lt;1,1,0)</f>
        <v>0</v>
      </c>
      <c r="FV371" s="23"/>
      <c r="GF371" s="4">
        <f>IF(S371&gt;=2.5*25.4,1,1.25)</f>
        <v>1</v>
      </c>
      <c r="GG371" s="4">
        <f>IF(AO371&gt;1, 0.05*(18-MIN(8,(W371+N371)/N371))*(1-48000/MAX(60000,(J371*145))*(N371/25.4)^0.75*GH371), 1/12*(14-MIN(8,(W371+N371)/N371)))</f>
        <v>0.47187499999999999</v>
      </c>
      <c r="GH371" s="4">
        <f>MIN(0.3, AM371^2*PI()/4*2*AP371/(N371^2*PI()/4*X371))</f>
        <v>0.14062499999999997</v>
      </c>
      <c r="GI371" s="4">
        <f>(K371/25.4)/(N371/25.4)^1.5/0.0024*(M371*145)^0.25/GF371/GG371/145</f>
        <v>545.69679877410488</v>
      </c>
    </row>
    <row r="372" spans="1:191" ht="12" customHeight="1" x14ac:dyDescent="0.3">
      <c r="A372" s="25">
        <v>240</v>
      </c>
      <c r="B372" s="4" t="s">
        <v>605</v>
      </c>
      <c r="C372" s="4">
        <v>2016</v>
      </c>
      <c r="D372" s="4" t="s">
        <v>309</v>
      </c>
      <c r="E372" s="24" t="s">
        <v>662</v>
      </c>
      <c r="F372" s="24"/>
      <c r="G372" s="24">
        <v>41</v>
      </c>
      <c r="H372" s="7" t="s">
        <v>393</v>
      </c>
      <c r="I372" s="5">
        <f>K372/N372</f>
        <v>9.19</v>
      </c>
      <c r="J372" s="91">
        <f>120/0.145</f>
        <v>827.58620689655174</v>
      </c>
      <c r="K372" s="38">
        <f>9.19*25.4</f>
        <v>233.42599999999999</v>
      </c>
      <c r="L372" s="4">
        <f>K372</f>
        <v>233.42599999999999</v>
      </c>
      <c r="M372" s="89">
        <f>5180/145</f>
        <v>35.724137931034484</v>
      </c>
      <c r="N372" s="96">
        <f>1*25.4</f>
        <v>25.4</v>
      </c>
      <c r="O372" s="7">
        <f>K372/N372</f>
        <v>9.19</v>
      </c>
      <c r="P372" s="7">
        <f>L372/N372</f>
        <v>9.19</v>
      </c>
      <c r="Q372" s="38">
        <f>16.5*25.4</f>
        <v>419.09999999999997</v>
      </c>
      <c r="R372" s="32">
        <f>S372/N372</f>
        <v>2.5</v>
      </c>
      <c r="S372" s="38">
        <f>2.5*25.4</f>
        <v>63.5</v>
      </c>
      <c r="T372" s="32">
        <f>U372/N372</f>
        <v>3.45</v>
      </c>
      <c r="U372" s="39">
        <f>3.45*25.4</f>
        <v>87.63</v>
      </c>
      <c r="V372" s="32">
        <f>W372/N372</f>
        <v>9.4999999999999982</v>
      </c>
      <c r="W372" s="7">
        <f>(Q372-X372*N372-2*S372)/(X372-1)</f>
        <v>241.29999999999995</v>
      </c>
      <c r="X372" s="38">
        <v>2</v>
      </c>
      <c r="Y372" s="7">
        <f>AN372</f>
        <v>8</v>
      </c>
      <c r="Z372" s="32">
        <f>AA372/N372</f>
        <v>10.25</v>
      </c>
      <c r="AA372" s="4">
        <f>10.25*25.4</f>
        <v>260.34999999999997</v>
      </c>
      <c r="AB372" s="7">
        <f>MIN(S372/N372+0.5, W372/2/N372+0.5)</f>
        <v>3</v>
      </c>
      <c r="AC372" s="7">
        <f>S372/N372+0.5</f>
        <v>3</v>
      </c>
      <c r="AD372" s="38">
        <v>4</v>
      </c>
      <c r="AE372" s="4">
        <f>AD372</f>
        <v>4</v>
      </c>
      <c r="AF372" s="4">
        <f>AE372+1</f>
        <v>5</v>
      </c>
      <c r="AG372" s="7">
        <f>N372*AF372^0.5</f>
        <v>56.796126628494655</v>
      </c>
      <c r="AJ372" s="38">
        <f>114.8/0.145</f>
        <v>791.72413793103453</v>
      </c>
      <c r="AL372" s="4">
        <f>CY372</f>
        <v>1.4143463626576895</v>
      </c>
      <c r="AM372" s="38">
        <f>0.5*25.4</f>
        <v>12.7</v>
      </c>
      <c r="AN372" s="38">
        <v>8</v>
      </c>
      <c r="AO372" s="39">
        <f>4*25.4</f>
        <v>101.6</v>
      </c>
      <c r="AP372" s="39">
        <v>2</v>
      </c>
      <c r="AQ372" s="39">
        <v>1</v>
      </c>
      <c r="AR372" s="7"/>
      <c r="AS372" s="4">
        <f>K372</f>
        <v>233.42599999999999</v>
      </c>
      <c r="AT372" s="4">
        <f>IF(K372*3&gt;W372+N372, Q372, (S372+N372/2)*2+1.5*K372*(2*X372-2))*(3*K372)/(9*K372^2)</f>
        <v>0.59847660500544075</v>
      </c>
      <c r="AU372" s="4">
        <f>MIN(10*M372^0.5*K372^1.5,100*3.9*M372^0.5*K372^(5/3))/(PI()/4*N372^2)/X372</f>
        <v>210.33784035951044</v>
      </c>
      <c r="AV372" s="4">
        <f>MIN(0.7+0.3*(MIN(S372,AA372)+0.5*N372)/1.5/K372,1)</f>
        <v>0.76528835690968444</v>
      </c>
      <c r="AW372" s="4">
        <v>1.25</v>
      </c>
      <c r="AX372" s="4">
        <f>AX371</f>
        <v>2.5</v>
      </c>
      <c r="AY372" s="38">
        <f>AT372*AV372*AW372*AX372*AU372</f>
        <v>301.05075195376668</v>
      </c>
      <c r="AZ372" s="38">
        <f>AY372</f>
        <v>301.05075195376668</v>
      </c>
      <c r="BA372" s="38">
        <f>IF(M372&lt;50, 0.3*M372^(2/3), 2.12*LN(1+0.1*(M372+8)))</f>
        <v>3.2540864993004175</v>
      </c>
      <c r="BB372" s="38">
        <f>AX372* (M372^0.5/AS372^0.5)/(PI()/4*N372^2)/X372/0.72 *(0.7+(MIN(S372,AA372)+0.5*N372)/5/K372) *(3*Q372*K372)</f>
        <v>301.05075195376651</v>
      </c>
      <c r="BC372" s="38">
        <f>AY372/BB372</f>
        <v>1.0000000000000007</v>
      </c>
      <c r="BD372" s="38">
        <f>BH372/BB372</f>
        <v>1.4239780249353082</v>
      </c>
      <c r="BE372" s="4">
        <f>IF(BD372&lt;1,1,0)</f>
        <v>0</v>
      </c>
      <c r="BF372" s="4">
        <f>L372/N372*M372^0.5/0.19</f>
        <v>289.09647027921568</v>
      </c>
      <c r="BG372" s="4">
        <f>MIN(0.6+0.4*(AC372/AB372),2)</f>
        <v>1</v>
      </c>
      <c r="BH372" s="38">
        <f>2*M372*AB372*AD372^0.5*BG372*0.7/0.7</f>
        <v>428.68965517241384</v>
      </c>
      <c r="BI372" s="4">
        <f>MAX(1-0.7*AE372/5,0.3)</f>
        <v>0.44000000000000006</v>
      </c>
      <c r="BJ372" s="4">
        <f>BI372*J372*L372/(J372*N372/2.75/M372^0.5)</f>
        <v>66.463278517191682</v>
      </c>
      <c r="BK372" s="4">
        <f>BH372+BJ372</f>
        <v>495.1529336896055</v>
      </c>
      <c r="BM372" s="4">
        <f>MIN(1.5, 0.75+0.25*MIN(3,MAX(1,S372/N372))+0.4*MIN(1,(40*2*PI()*AM372^2/4/AO372/X372)/N372))</f>
        <v>1.5</v>
      </c>
      <c r="BN372" s="4">
        <f>(3*P372+30)*BM372*M372^0.5</f>
        <v>516.14100993283103</v>
      </c>
      <c r="BP372" s="4">
        <f>3.4/PI()^0.5*M372*AB372*AE372^0.5*BG372</f>
        <v>411.16580463902415</v>
      </c>
      <c r="BQ372" s="4">
        <f>8/3*AH372*AI372^2/(AG372-N372-22)/N372*(AG372^2-N372^2)/(AG372^2-(N372+22)^2)</f>
        <v>0</v>
      </c>
      <c r="BR372" s="4">
        <f>BQ372/BP372</f>
        <v>0</v>
      </c>
      <c r="BZ372" s="4">
        <f>IF(W372=0,S372,MIN(W372/2,S372))</f>
        <v>63.5</v>
      </c>
      <c r="CD372" s="9"/>
      <c r="CF372" s="9"/>
      <c r="CG372" s="9"/>
      <c r="CH372" s="9">
        <f>IF(W372=0,MIN(S372,U372),MIN(W372/2,S372,U372))</f>
        <v>63.5</v>
      </c>
      <c r="CI372" s="9">
        <f>MAX(W372/2,S372)</f>
        <v>120.64999999999998</v>
      </c>
      <c r="CJ372" s="9">
        <f>(CH372/N372)^0.5*(CI372/CH372)^0.15</f>
        <v>1.7409369561833321</v>
      </c>
      <c r="CK372" s="70">
        <f>IF(AO372&gt;1,20,0)</f>
        <v>20</v>
      </c>
      <c r="CL372" s="9">
        <f>MIN(PI()*AM372^2/4*AN372*2/X372/N372/MAX(0.01,AO372),0.05)</f>
        <v>0.05</v>
      </c>
      <c r="CM372" s="9">
        <f>MAX(0,CK372*(CL372-0.5/50))</f>
        <v>0.8</v>
      </c>
      <c r="CN372" s="9">
        <f>MIN(1,(25/N372)^0.3)</f>
        <v>0.99524931562137331</v>
      </c>
      <c r="CO372" s="9">
        <f>IF(J372&gt;=800,0.68,IF(J372&gt;=700,0.75-(J372-700)*0.07/100,IF(J372&gt;=600,0.85-(J372-600)*0.1/100,IF(J372&gt;=500,1-(J372-500)*0.15/100,1.2-(J372-400)*0.2/100))))</f>
        <v>0.68</v>
      </c>
      <c r="CP372" s="9">
        <f>1.75*CN372*CO372*(M372/25)^0.5</f>
        <v>1.4157602788737922</v>
      </c>
      <c r="CQ372" s="9">
        <f>MIN((CJ372+CM372)*CP372,2.5*CP372,M372^0.5)</f>
        <v>3.5394006971844805</v>
      </c>
      <c r="CR372" s="40">
        <v>1</v>
      </c>
      <c r="CS372" s="9">
        <f>4*CQ372*P372+60*CQ372</f>
        <v>342.47241145957031</v>
      </c>
      <c r="CU372" s="4">
        <f>AJ372/BF372</f>
        <v>2.7386157194045646</v>
      </c>
      <c r="CV372" s="4">
        <f>AJ372/BK372</f>
        <v>1.5989486965805586</v>
      </c>
      <c r="CW372" s="4">
        <f>AJ372/BN372</f>
        <v>1.5339299197210992</v>
      </c>
      <c r="CX372" s="4">
        <f>AJ372/CS372</f>
        <v>2.3117895381902884</v>
      </c>
      <c r="CY372" s="4">
        <f>AJ372/DZ372</f>
        <v>1.4143463626576895</v>
      </c>
      <c r="CZ372" s="4">
        <f>AJ372/EL372</f>
        <v>1.5147236131087898</v>
      </c>
      <c r="DA372" s="4">
        <f>AJ372/GI372</f>
        <v>1.5549193028146699</v>
      </c>
      <c r="DB372" s="4">
        <f>AN372</f>
        <v>8</v>
      </c>
      <c r="DI372" s="4">
        <f>CU372</f>
        <v>2.7386157194045646</v>
      </c>
      <c r="DJ372" s="4">
        <f>CV372</f>
        <v>1.5989486965805586</v>
      </c>
      <c r="DK372" s="4">
        <f>CX372</f>
        <v>2.3117895381902884</v>
      </c>
      <c r="DL372" s="4">
        <f>DA372</f>
        <v>1.5549193028146699</v>
      </c>
      <c r="DM372" s="4">
        <f>CY372</f>
        <v>1.4143463626576895</v>
      </c>
      <c r="DN372" s="4">
        <f>CZ372</f>
        <v>1.5147236131087898</v>
      </c>
      <c r="DQ372" s="4">
        <f>L372</f>
        <v>233.42599999999999</v>
      </c>
      <c r="DT372" s="4">
        <f>K372/4/(1-0.3*(M372/30)^0.5)/200000/N372</f>
        <v>1.7078533262925979E-5</v>
      </c>
      <c r="DU372" s="4">
        <f>EP372</f>
        <v>8.1641442880324373</v>
      </c>
      <c r="DV372" s="4">
        <f>EC372*AG372/257/M372/AD372</f>
        <v>0.46558991318142223</v>
      </c>
      <c r="DW372" s="4">
        <f>DU372*DV372^0.4</f>
        <v>6.0132892782925138</v>
      </c>
      <c r="DX372" s="4">
        <f>MIN(DU372, DU372/1.4*(1-DV372^1.4)/(1-DV372))</f>
        <v>7.1700120340069331</v>
      </c>
      <c r="DY372" s="4">
        <f>MAX(DU372/2, (4-DT372*(8*AG372*(DW372-DX372)+6*K372*DX372))/(4+DT372*K372*DU372)*DU372)</f>
        <v>7.769205682379722</v>
      </c>
      <c r="DZ372" s="38">
        <f>MIN(1/N372*(4*AG372*(DW372-DX372)+(3*DX372+DY372)*K372)+EC372 -FJ372,MAX(J372,AJ372))</f>
        <v>559.78094110081395</v>
      </c>
      <c r="EA372" s="4">
        <f>DZ372/FF372</f>
        <v>1.0001182170996981</v>
      </c>
      <c r="EB372" s="4">
        <f>AG372/N372</f>
        <v>2.2360679774997898</v>
      </c>
      <c r="EC372" s="4">
        <f>MIN(EB$10*BB372)</f>
        <v>301.05075195376651</v>
      </c>
      <c r="EG372" s="4">
        <f>IF(U372&gt;1*N372,0.85,1)</f>
        <v>0.85</v>
      </c>
      <c r="EH372" s="4">
        <f>MIN(1,MAX(0.7,(1-0.1*(BZ372-1*N372)/N372)))</f>
        <v>0.85</v>
      </c>
      <c r="EI372" s="4">
        <f>MIN(1,MAX(0.7,1-0.3*(PI()*AM372^2/4*AQ372*2-0.25*PI()/4*N372^2)/(PI()/4*N372^2)))</f>
        <v>0.92500000000000004</v>
      </c>
      <c r="EJ372" s="4">
        <f>IF(EH372*EI372&lt;0.7,0.7,EH372*EI372)</f>
        <v>0.78625</v>
      </c>
      <c r="EL372" s="4">
        <f>MIN(DU372/N372*3*K372+EM372-FJ372,MAX(J372,AJ372))</f>
        <v>522.68554545480083</v>
      </c>
      <c r="EM372" s="25">
        <f>13.3*Q372*K372^0.5*M372^0.5/X372/N372^2*(0.7+S372/5/K372)</f>
        <v>297.60008743374652</v>
      </c>
      <c r="EO372" s="4">
        <f>EG372*EJ372</f>
        <v>0.66831249999999998</v>
      </c>
      <c r="EP372" s="4">
        <f>IF(N372&lt;22.2,1.1*5*(M372/30)^0.5,IF(N372&gt;=31.8,0.9*5*(M372/30)^0.5,1*5*(M372/30)^0.5))/EG372/EJ372</f>
        <v>8.1641442880324373</v>
      </c>
      <c r="ES372" s="4">
        <f>ET372*N372</f>
        <v>56.796126628494655</v>
      </c>
      <c r="ET372" s="4">
        <f>AF372^0.5</f>
        <v>2.2360679774997898</v>
      </c>
      <c r="EU372" s="4">
        <f>MIN(EC372)/(4700*M372^0.5)/AE372*ES372</f>
        <v>0.15216672970932105</v>
      </c>
      <c r="EX372" s="4">
        <f>EU372</f>
        <v>0.15216672970932105</v>
      </c>
      <c r="EY372" s="4">
        <f>MIN(0.999, EX372/(0.3*(M372/30)^0.5))</f>
        <v>0.46481293039048616</v>
      </c>
      <c r="EZ372" s="4">
        <f>EP372/1*EY372^0.4</f>
        <v>6.0092732432724834</v>
      </c>
      <c r="FA372" s="4">
        <f>EP372/1.4*(1-EY372^1.4)/(1-EY372)</f>
        <v>7.1683297930473469</v>
      </c>
      <c r="FB372" s="4">
        <f>MAX(0,DQ372*FB$9-ES372)</f>
        <v>118.27337337150536</v>
      </c>
      <c r="FC372" s="4">
        <f>MAX(0,DQ372-ES372-FB372)</f>
        <v>58.356499999999983</v>
      </c>
      <c r="FD372" s="4">
        <f>FC372/(1-0.3*(M372/30)^0.5)/200000/N372</f>
        <v>1.7078533262925975E-5</v>
      </c>
      <c r="FE372" s="4">
        <f>MAX(0.5*EP372, (1-2*FD372*(ES372*EZ372+FB372*FA372))/(1/EP372+FD372*FC372))</f>
        <v>7.7693238123866122</v>
      </c>
      <c r="FF372" s="4">
        <f>MIN(4/N372*(1*EZ372*ES372+FA372*FB372+FC372*FE372)+EC372,MAX(J372,AJ372))</f>
        <v>559.71477324366288</v>
      </c>
      <c r="FO372" s="23">
        <f>IF(CU372&lt;0.6,0.6,IF(CU372&lt;0.8,0.8,IF(CU372&lt;1,1,IF(CU372&lt;1.2,1.2,IF(CU372&lt;1.4,1.4,IF(CU372&lt;1.6,1.6,IF(CU372&lt;1.8,1.8,IF(CU372&lt;2,2,2.2))))))))</f>
        <v>2.2000000000000002</v>
      </c>
      <c r="FP372" s="23">
        <f>IF(CV372&lt;0.6,0.6,IF(CV372&lt;0.8,0.8,IF(CV372&lt;1,1,IF(CV372&lt;1.2,1.2,IF(CV372&lt;1.4,1.4,IF(CV372&lt;1.6,1.6,IF(CV372&lt;1.8,1.8,IF(CV372&lt;2,2,2.2))))))))</f>
        <v>1.6</v>
      </c>
      <c r="FQ372" s="23">
        <f>IF(DA372&lt;0.6,0.6,IF(DA372&lt;0.8,0.8,IF(DA372&lt;1,1,IF(DA372&lt;1.2,1.2,IF(DA372&lt;1.4,1.4,IF(DA372&lt;1.6,1.6,IF(DA372&lt;1.8,1.8,IF(DA372&lt;2,2,2.2))))))))</f>
        <v>1.6</v>
      </c>
      <c r="FR372" s="23">
        <f>IF(CX372&lt;0.6,0.6,IF(CX372&lt;0.8,0.8,IF(CX372&lt;1,1,IF(CX372&lt;1.2,1.2,IF(CX372&lt;1.4,1.4,IF(CX372&lt;1.6,1.6,IF(CX372&lt;1.8,1.8,IF(CX372&lt;2,2,2.2))))))))</f>
        <v>2.2000000000000002</v>
      </c>
      <c r="FS372" s="23">
        <f>IF(CY372&lt;0.6,0.6,IF(CY372&lt;0.8,0.8,IF(CY372&lt;1,1,IF(CY372&lt;1.2,1.2,IF(CY372&lt;1.4,1.4,IF(CY372&lt;1.6,1.6,IF(CY372&lt;1.8,1.8,IF(CY372&lt;2,2,2.2))))))))</f>
        <v>1.6</v>
      </c>
      <c r="FT372" s="23">
        <f>IF(CZ372&lt;0.6,0.6,IF(CZ372&lt;0.8,0.8,IF(CZ372&lt;1,1,IF(CZ372&lt;1.2,1.2,IF(CZ372&lt;1.4,1.4,IF(CZ372&lt;1.6,1.6,IF(CZ372&lt;1.8,1.8,IF(CZ372&lt;2,2,2.2))))))))</f>
        <v>1.6</v>
      </c>
      <c r="FU372" s="23">
        <f>IF(FS372&lt;1,1,0)</f>
        <v>0</v>
      </c>
      <c r="FV372" s="23"/>
      <c r="GF372" s="4">
        <f>IF(S372&gt;=2.5*25.4,1,1.25)</f>
        <v>1</v>
      </c>
      <c r="GG372" s="4">
        <f>IF(AO372&gt;1, 0.05*(18-MIN(8,(W372+N372)/N372))*(1-48000/MAX(60000,(J372*145))*(N372/25.4)^0.75*GH372), 1/12*(14-MIN(8,(W372+N372)/N372)))</f>
        <v>0.44</v>
      </c>
      <c r="GH372" s="4">
        <f>MIN(0.3, AM372^2*PI()/4*2*AP372/(N372^2*PI()/4*X372))</f>
        <v>0.3</v>
      </c>
      <c r="GI372" s="4">
        <f>(K372/25.4)/(N372/25.4)^1.5/0.0024*(M372*145)^0.25/GF372/GG372/145</f>
        <v>509.17377930666783</v>
      </c>
    </row>
    <row r="373" spans="1:191" ht="12" customHeight="1" x14ac:dyDescent="0.3">
      <c r="A373" s="25">
        <v>329</v>
      </c>
      <c r="B373" s="4" t="s">
        <v>605</v>
      </c>
      <c r="C373" s="4">
        <v>2016</v>
      </c>
      <c r="D373" s="4" t="s">
        <v>309</v>
      </c>
      <c r="E373" s="24" t="s">
        <v>491</v>
      </c>
      <c r="F373" s="24"/>
      <c r="G373" s="24">
        <v>53</v>
      </c>
      <c r="H373" s="48" t="s">
        <v>492</v>
      </c>
      <c r="I373" s="5">
        <f>K373/N373</f>
        <v>9.19</v>
      </c>
      <c r="J373" s="78">
        <f>115.9/0.145</f>
        <v>799.31034482758628</v>
      </c>
      <c r="K373" s="38">
        <f>9.19*25.4</f>
        <v>233.42599999999999</v>
      </c>
      <c r="L373" s="4">
        <f>K373</f>
        <v>233.42599999999999</v>
      </c>
      <c r="M373" s="38">
        <f>6710/145</f>
        <v>46.275862068965516</v>
      </c>
      <c r="N373" s="38">
        <f>1*25.4</f>
        <v>25.4</v>
      </c>
      <c r="O373" s="7">
        <f>K373/N373</f>
        <v>9.19</v>
      </c>
      <c r="P373" s="7">
        <f>L373/N373</f>
        <v>9.19</v>
      </c>
      <c r="Q373" s="38">
        <f>17.3*25.4</f>
        <v>439.42</v>
      </c>
      <c r="R373" s="32">
        <f>S373/N373</f>
        <v>2.5999999999999996</v>
      </c>
      <c r="S373" s="38">
        <f>2.6*25.4</f>
        <v>66.039999999999992</v>
      </c>
      <c r="T373" s="32">
        <f>U373/N373</f>
        <v>3.25</v>
      </c>
      <c r="U373" s="39">
        <f>3.25*25.4</f>
        <v>82.55</v>
      </c>
      <c r="V373" s="32">
        <f>W373/N373</f>
        <v>10.100000000000001</v>
      </c>
      <c r="W373" s="7">
        <f>(Q373-X373*N373-2*S373)/(X373-1)</f>
        <v>256.54000000000002</v>
      </c>
      <c r="X373" s="38">
        <v>2</v>
      </c>
      <c r="Y373" s="7">
        <f>AN373</f>
        <v>0</v>
      </c>
      <c r="Z373" s="32">
        <f>AA373/N373</f>
        <v>10.25</v>
      </c>
      <c r="AA373" s="4">
        <f>10.25*25.4</f>
        <v>260.34999999999997</v>
      </c>
      <c r="AB373" s="7">
        <f>MIN(S373/N373+0.5, W373/2/N373+0.5)</f>
        <v>3.0999999999999996</v>
      </c>
      <c r="AC373" s="7">
        <f>S373/N373+0.5</f>
        <v>3.0999999999999996</v>
      </c>
      <c r="AD373" s="38">
        <v>4.5</v>
      </c>
      <c r="AE373" s="4">
        <f>AD373</f>
        <v>4.5</v>
      </c>
      <c r="AF373" s="4">
        <f>AE373+1</f>
        <v>5.5</v>
      </c>
      <c r="AG373" s="7">
        <f>N373*AF373^0.5</f>
        <v>59.568280149757555</v>
      </c>
      <c r="AJ373" s="38">
        <f>AK373/0.145</f>
        <v>509.6551724137932</v>
      </c>
      <c r="AK373" s="4">
        <v>73.900000000000006</v>
      </c>
      <c r="AL373" s="4">
        <f>CY373</f>
        <v>0.81066942187607538</v>
      </c>
      <c r="AM373" s="38">
        <v>0</v>
      </c>
      <c r="AN373" s="38">
        <v>0</v>
      </c>
      <c r="AO373" s="39">
        <f>L373</f>
        <v>233.42599999999999</v>
      </c>
      <c r="AP373" s="39"/>
      <c r="AQ373" s="39"/>
      <c r="AR373" s="7"/>
      <c r="AS373" s="4">
        <f>K373</f>
        <v>233.42599999999999</v>
      </c>
      <c r="AT373" s="4">
        <f>IF(K373*3&gt;W373+N373, Q373, (S373+N373/2)*2+1.5*K373*(2*X373-2))*(3*K373)/(9*K373^2)</f>
        <v>0.62749365252085609</v>
      </c>
      <c r="AU373" s="4">
        <f>MIN(10*M373^0.5*K373^1.5,100*3.9*M373^0.5*K373^(5/3))/(PI()/4*N373^2)/X373</f>
        <v>239.39429178870478</v>
      </c>
      <c r="AV373" s="4">
        <f>MIN(0.7+0.3*(MIN(S373,AA373)+0.5*N373)/1.5/K373,1)</f>
        <v>0.76746463547334054</v>
      </c>
      <c r="AW373" s="4">
        <v>1.25</v>
      </c>
      <c r="AX373" s="4">
        <f>AX372</f>
        <v>2.5</v>
      </c>
      <c r="AY373" s="38">
        <f>AT373*AV373*AW373*AX373*AU373</f>
        <v>360.27283900740065</v>
      </c>
      <c r="AZ373" s="38">
        <f>AY373</f>
        <v>360.27283900740065</v>
      </c>
      <c r="BA373" s="38">
        <f>IF(M373&lt;50, 0.3*M373^(2/3), 2.12*LN(1+0.1*(M373+8)))</f>
        <v>3.8668524435568052</v>
      </c>
      <c r="BB373" s="38">
        <f>AX373* (M373^0.5/AS373^0.5)/(PI()/4*N373^2)/X373/0.72 *(0.7+(MIN(S373,AA373)+0.5*N373)/5/K373) *(3*Q373*K373)</f>
        <v>360.27283900740036</v>
      </c>
      <c r="BC373" s="38">
        <f>AY373/BB373</f>
        <v>1.0000000000000009</v>
      </c>
      <c r="BD373" s="38">
        <f>BH373/BB373</f>
        <v>1.6893550813803335</v>
      </c>
      <c r="BE373" s="4">
        <f>IF(BD373&lt;1,1,0)</f>
        <v>0</v>
      </c>
      <c r="BF373" s="4">
        <f>L373/N373*M373^0.5/0.19</f>
        <v>329.0327819417393</v>
      </c>
      <c r="BG373" s="4">
        <f>MIN(0.6+0.4*(AC373/AB373),2)</f>
        <v>1</v>
      </c>
      <c r="BH373" s="38">
        <f>2*M373*AB373*AD373^0.5*BG373*0.7/0.7</f>
        <v>608.62875126047061</v>
      </c>
      <c r="BI373" s="4">
        <f>MAX(1-0.7*AE373/5,0.3)</f>
        <v>0.37</v>
      </c>
      <c r="BJ373" s="4">
        <f>BI373*J373*L373/(J373*N373/2.75/M373^0.5)</f>
        <v>63.610262568886739</v>
      </c>
      <c r="BK373" s="4">
        <f>BH373+BJ373</f>
        <v>672.2390138293573</v>
      </c>
      <c r="BM373" s="4">
        <f>MIN(1.5, 0.75+0.25*MIN(3,MAX(1,S373/N373))+0.4*MIN(1,(40*2*PI()*AM373^2/4/AO373/X373)/N373))</f>
        <v>1.4</v>
      </c>
      <c r="BN373" s="4">
        <f>(3*P373+30)*BM373*M373^0.5</f>
        <v>548.27888903141002</v>
      </c>
      <c r="BP373" s="4">
        <f>3.4/PI()^0.5*M373*AB373*AE373^0.5*BG373</f>
        <v>583.74940290502093</v>
      </c>
      <c r="BQ373" s="4">
        <f>8/3*AH373*AI373^2/(AG373-N373-22)/N373*(AG373^2-N373^2)/(AG373^2-(N373+22)^2)</f>
        <v>0</v>
      </c>
      <c r="BR373" s="4">
        <f>BQ373/BP373</f>
        <v>0</v>
      </c>
      <c r="BZ373" s="4">
        <f>IF(W373=0,S373,MIN(W373/2,S373))</f>
        <v>66.039999999999992</v>
      </c>
      <c r="CD373" s="9"/>
      <c r="CF373" s="9"/>
      <c r="CG373" s="9"/>
      <c r="CH373" s="9">
        <f>IF(W373=0,MIN(S373,U373),MIN(W373/2,S373,U373))</f>
        <v>66.039999999999992</v>
      </c>
      <c r="CI373" s="9">
        <f>MAX(W373/2,S373)</f>
        <v>128.27000000000001</v>
      </c>
      <c r="CJ373" s="9">
        <f>(CH373/N373)^0.5*(CI373/CH373)^0.15</f>
        <v>1.7812889692205971</v>
      </c>
      <c r="CK373" s="70">
        <f>IF(AO373&gt;1,20,0)</f>
        <v>20</v>
      </c>
      <c r="CL373" s="9">
        <f>MIN(PI()*AM373^2/4*AN373*2/X373/N373/MAX(0.01,AO373),0.05)</f>
        <v>0</v>
      </c>
      <c r="CM373" s="9">
        <f>MAX(0,CK373*(CL373-0.5/50))</f>
        <v>0</v>
      </c>
      <c r="CN373" s="9">
        <f>MIN(1,(25/N373)^0.3)</f>
        <v>0.99524931562137331</v>
      </c>
      <c r="CO373" s="9">
        <f>IF(J373&gt;=800,0.68,IF(J373&gt;=700,0.75-(J373-700)*0.07/100,IF(J373&gt;=600,0.85-(J373-600)*0.1/100,IF(J373&gt;=500,1-(J373-500)*0.15/100,1.2-(J373-400)*0.2/100))))</f>
        <v>0.68048275862068963</v>
      </c>
      <c r="CP373" s="9">
        <f>1.75*CN373*CO373*(M373/25)^0.5</f>
        <v>1.6124799265763963</v>
      </c>
      <c r="CQ373" s="9">
        <f>MIN((CJ373+CM373)*CP373,2.5*CP373,M373^0.5)</f>
        <v>2.8722927063001729</v>
      </c>
      <c r="CR373" s="40">
        <v>1</v>
      </c>
      <c r="CS373" s="9">
        <f>4*CQ373*P373+60*CQ373</f>
        <v>277.92304226160473</v>
      </c>
      <c r="CU373" s="4">
        <f>AJ373/BF373</f>
        <v>1.5489495283908705</v>
      </c>
      <c r="CV373" s="4">
        <f>AJ373/BK373</f>
        <v>0.75814578138002153</v>
      </c>
      <c r="CW373" s="4">
        <f>AJ373/BN373</f>
        <v>0.92955461647292403</v>
      </c>
      <c r="CX373" s="4">
        <f>AJ373/CS373</f>
        <v>1.8337996312449061</v>
      </c>
      <c r="CY373" s="4">
        <f>AJ373/DZ373</f>
        <v>0.81066942187607538</v>
      </c>
      <c r="CZ373" s="4">
        <f>AJ373/EL373</f>
        <v>0.85520549534192214</v>
      </c>
      <c r="DA373" s="4">
        <f>AJ373/GI373</f>
        <v>1.066177573233374</v>
      </c>
      <c r="DB373" s="4">
        <f>AN373</f>
        <v>0</v>
      </c>
      <c r="DC373" s="4">
        <f>CU373</f>
        <v>1.5489495283908705</v>
      </c>
      <c r="DD373" s="4">
        <f>CV373</f>
        <v>0.75814578138002153</v>
      </c>
      <c r="DE373" s="4">
        <f>CX373</f>
        <v>1.8337996312449061</v>
      </c>
      <c r="DF373" s="4">
        <f>DA373</f>
        <v>1.066177573233374</v>
      </c>
      <c r="DG373" s="4">
        <f>CY373</f>
        <v>0.81066942187607538</v>
      </c>
      <c r="DH373" s="4">
        <f>CZ373</f>
        <v>0.85520549534192214</v>
      </c>
      <c r="DQ373" s="4">
        <f>L373</f>
        <v>233.42599999999999</v>
      </c>
      <c r="DT373" s="4">
        <f>K373/4/(1-0.3*(M373/30)^0.5)/200000/N373</f>
        <v>1.8309566495771662E-5</v>
      </c>
      <c r="DU373" s="4">
        <f>EP373</f>
        <v>8.6973795750242395</v>
      </c>
      <c r="DV373" s="4">
        <f>EC373*AG373/257/M373/AD373</f>
        <v>0.40100189799113706</v>
      </c>
      <c r="DW373" s="4">
        <f>DU373*DV373^0.4</f>
        <v>6.0345792547808044</v>
      </c>
      <c r="DX373" s="4">
        <f>MIN(DU373, DU373/1.4*(1-DV373^1.4)/(1-DV373))</f>
        <v>7.4857163501452408</v>
      </c>
      <c r="DY373" s="4">
        <f>MAX(DU373/2, (4-DT373*(8*AG373*(DW373-DX373)+6*K373*DX373))/(4+DT373*K373*DU373)*DU373)</f>
        <v>8.2310311474027262</v>
      </c>
      <c r="DZ373" s="38">
        <f>MIN(1/N373*(4*AG373*(DW373-DX373)+(3*DX373+DY373)*K373)+EC373 -FJ373,MAX(J373,AJ373))</f>
        <v>628.68434242201215</v>
      </c>
      <c r="EA373" s="4">
        <f>DZ373/FF373</f>
        <v>1.0001050940839242</v>
      </c>
      <c r="EB373" s="4">
        <f>AG373/N373</f>
        <v>2.3452078799117149</v>
      </c>
      <c r="EC373" s="4">
        <f>MIN(EB$10*BB373)</f>
        <v>360.27283900740036</v>
      </c>
      <c r="EG373" s="4">
        <f>IF(U373&gt;1*N373,0.85,1)</f>
        <v>0.85</v>
      </c>
      <c r="EH373" s="4">
        <f>MIN(1,MAX(0.7,(1-0.1*(BZ373-1*N373)/N373)))</f>
        <v>0.84000000000000008</v>
      </c>
      <c r="EI373" s="4">
        <f>MIN(1,MAX(0.7,1-0.3*(PI()*AM373^2/4*AQ373*2-0.25*PI()/4*N373^2)/(PI()/4*N373^2)))</f>
        <v>1</v>
      </c>
      <c r="EJ373" s="4">
        <f>IF(EH373*EI373&lt;0.7,0.7,EH373*EI373)</f>
        <v>0.84000000000000008</v>
      </c>
      <c r="EL373" s="4">
        <f>MIN(DU373/N373*3*K373+EM373-FJ373,MAX(J373,AJ373))</f>
        <v>595.94468836992974</v>
      </c>
      <c r="EM373" s="25">
        <f>13.3*Q373*K373^0.5*M373^0.5/X373/N373^2*(0.7+S373/5/K373)</f>
        <v>356.15793348651147</v>
      </c>
      <c r="EO373" s="4">
        <f>EG373*EJ373</f>
        <v>0.71400000000000008</v>
      </c>
      <c r="EP373" s="4">
        <f>IF(N373&lt;22.2,1.1*5*(M373/30)^0.5,IF(N373&gt;=31.8,0.9*5*(M373/30)^0.5,1*5*(M373/30)^0.5))/EG373/EJ373</f>
        <v>8.6973795750242395</v>
      </c>
      <c r="ES373" s="4">
        <f>ET373*N373</f>
        <v>59.568280149757555</v>
      </c>
      <c r="ET373" s="4">
        <f>AF373^0.5</f>
        <v>2.3452078799117149</v>
      </c>
      <c r="EU373" s="4">
        <f>MIN(EC373)/(4700*M373^0.5)/AE373*ES373</f>
        <v>0.14916225920929174</v>
      </c>
      <c r="EX373" s="4">
        <f>EU373</f>
        <v>0.14916225920929174</v>
      </c>
      <c r="EY373" s="4">
        <f>MIN(0.999, EX373/(0.3*(M373/30)^0.5))</f>
        <v>0.40033270055998399</v>
      </c>
      <c r="EZ373" s="4">
        <f>EP373/1*EY373^0.4</f>
        <v>6.0305490010383416</v>
      </c>
      <c r="FA373" s="4">
        <f>EP373/1.4*(1-EY373^1.4)/(1-EY373)</f>
        <v>7.4840947084284517</v>
      </c>
      <c r="FB373" s="4">
        <f>MAX(0,DQ373*FB$9-ES373)</f>
        <v>115.50121985024245</v>
      </c>
      <c r="FC373" s="4">
        <f>MAX(0,DQ373-ES373-FB373)</f>
        <v>58.356499999999983</v>
      </c>
      <c r="FD373" s="4">
        <f>FC373/(1-0.3*(M373/30)^0.5)/200000/N373</f>
        <v>1.8309566495771656E-5</v>
      </c>
      <c r="FE373" s="4">
        <f>MAX(0.5*EP373, (1-2*FD373*(ES373*EZ373+FB373*FA373))/(1/EP373+FD373*FC373))</f>
        <v>8.2311660096049586</v>
      </c>
      <c r="FF373" s="4">
        <f>MIN(4/N373*(1*EZ373*ES373+FA373*FB373+FC373*FE373)+EC373,MAX(J373,AJ373))</f>
        <v>628.61827835990982</v>
      </c>
      <c r="FI373" s="4">
        <f>5.25*25.4</f>
        <v>133.35</v>
      </c>
      <c r="FO373" s="23">
        <f>IF(CU373&lt;0.6,0.6,IF(CU373&lt;0.8,0.8,IF(CU373&lt;1,1,IF(CU373&lt;1.2,1.2,IF(CU373&lt;1.4,1.4,IF(CU373&lt;1.6,1.6,IF(CU373&lt;1.8,1.8,IF(CU373&lt;2,2,2.2))))))))</f>
        <v>1.6</v>
      </c>
      <c r="FP373" s="23">
        <f>IF(CV373&lt;0.6,0.6,IF(CV373&lt;0.8,0.8,IF(CV373&lt;1,1,IF(CV373&lt;1.2,1.2,IF(CV373&lt;1.4,1.4,IF(CV373&lt;1.6,1.6,IF(CV373&lt;1.8,1.8,IF(CV373&lt;2,2,2.2))))))))</f>
        <v>0.8</v>
      </c>
      <c r="FQ373" s="23">
        <f>IF(DA373&lt;0.6,0.6,IF(DA373&lt;0.8,0.8,IF(DA373&lt;1,1,IF(DA373&lt;1.2,1.2,IF(DA373&lt;1.4,1.4,IF(DA373&lt;1.6,1.6,IF(DA373&lt;1.8,1.8,IF(DA373&lt;2,2,2.2))))))))</f>
        <v>1.2</v>
      </c>
      <c r="FR373" s="23">
        <f>IF(CX373&lt;0.6,0.6,IF(CX373&lt;0.8,0.8,IF(CX373&lt;1,1,IF(CX373&lt;1.2,1.2,IF(CX373&lt;1.4,1.4,IF(CX373&lt;1.6,1.6,IF(CX373&lt;1.8,1.8,IF(CX373&lt;2,2,2.2))))))))</f>
        <v>2</v>
      </c>
      <c r="FS373" s="23">
        <f>IF(CY373&lt;0.6,0.6,IF(CY373&lt;0.8,0.8,IF(CY373&lt;1,1,IF(CY373&lt;1.2,1.2,IF(CY373&lt;1.4,1.4,IF(CY373&lt;1.6,1.6,IF(CY373&lt;1.8,1.8,IF(CY373&lt;2,2,2.2))))))))</f>
        <v>1</v>
      </c>
      <c r="FT373" s="23">
        <f>IF(CZ373&lt;0.6,0.6,IF(CZ373&lt;0.8,0.8,IF(CZ373&lt;1,1,IF(CZ373&lt;1.2,1.2,IF(CZ373&lt;1.4,1.4,IF(CZ373&lt;1.6,1.6,IF(CZ373&lt;1.8,1.8,IF(CZ373&lt;2,2,2.2))))))))</f>
        <v>1</v>
      </c>
      <c r="FU373" s="23">
        <f>IF(FS373&lt;1,1,0)</f>
        <v>0</v>
      </c>
      <c r="FV373" s="23"/>
      <c r="GF373" s="4">
        <f>IF(S373&gt;=2.5*25.4,1,1.25)</f>
        <v>1</v>
      </c>
      <c r="GG373" s="4">
        <f>IF(AO373&gt;1, 0.05*(18-MIN(8,(W373+N373)/N373))*(1-48000/MAX(60000,(J373*145))*(N373/25.4)^0.75*GH373), 1/12*(14-MIN(8,(W373+N373)/N373)))</f>
        <v>0.5</v>
      </c>
      <c r="GH373" s="4">
        <f>MIN(0.3, AM373^2*PI()/4*2*AP373/(N373^2*PI()/4*X373))</f>
        <v>0</v>
      </c>
      <c r="GI373" s="4">
        <f>(K373/25.4)/(N373/25.4)^1.5/0.0024*(M373*145)^0.25/GF373/GG373/145</f>
        <v>478.02090871989816</v>
      </c>
    </row>
    <row r="374" spans="1:191" ht="12" customHeight="1" x14ac:dyDescent="0.3">
      <c r="A374" s="25">
        <v>337</v>
      </c>
      <c r="B374" s="4" t="s">
        <v>605</v>
      </c>
      <c r="C374" s="4">
        <v>2016</v>
      </c>
      <c r="D374" s="4" t="s">
        <v>309</v>
      </c>
      <c r="E374" s="24" t="s">
        <v>671</v>
      </c>
      <c r="F374" s="24"/>
      <c r="G374" s="24">
        <v>52</v>
      </c>
      <c r="H374" s="7" t="s">
        <v>500</v>
      </c>
      <c r="I374" s="5">
        <f>K374/N374</f>
        <v>9.17</v>
      </c>
      <c r="J374" s="91">
        <f>120/0.145</f>
        <v>827.58620689655174</v>
      </c>
      <c r="K374" s="38">
        <f>9.17*25.4</f>
        <v>232.91799999999998</v>
      </c>
      <c r="L374" s="4">
        <f>K374</f>
        <v>232.91799999999998</v>
      </c>
      <c r="M374" s="38">
        <f>6650/145</f>
        <v>45.862068965517238</v>
      </c>
      <c r="N374" s="96">
        <f>1*25.4</f>
        <v>25.4</v>
      </c>
      <c r="O374" s="7">
        <f>K374/N374</f>
        <v>9.17</v>
      </c>
      <c r="P374" s="7">
        <f>L374/N374</f>
        <v>9.17</v>
      </c>
      <c r="Q374" s="38">
        <f>15.3*25.4</f>
        <v>388.62</v>
      </c>
      <c r="R374" s="32">
        <f>S374/N374</f>
        <v>2.4500000000000002</v>
      </c>
      <c r="S374" s="38">
        <f>2.45*25.4</f>
        <v>62.230000000000004</v>
      </c>
      <c r="T374" s="32">
        <f>U374/N374</f>
        <v>3.5</v>
      </c>
      <c r="U374" s="39">
        <f>3.5*25.4</f>
        <v>88.899999999999991</v>
      </c>
      <c r="V374" s="32">
        <f>W374/N374</f>
        <v>3.7</v>
      </c>
      <c r="W374" s="7">
        <f>(Q374-X374*N374-2*S374)/(X374-1)</f>
        <v>93.98</v>
      </c>
      <c r="X374" s="38">
        <v>3</v>
      </c>
      <c r="Y374" s="7">
        <f>AN374</f>
        <v>10</v>
      </c>
      <c r="Z374" s="32">
        <f>AA374/N374</f>
        <v>10.25</v>
      </c>
      <c r="AA374" s="4">
        <f>10.25*25.4</f>
        <v>260.34999999999997</v>
      </c>
      <c r="AB374" s="7">
        <f>MIN(S374/N374+0.5, W374/2/N374+0.5)</f>
        <v>2.35</v>
      </c>
      <c r="AC374" s="7">
        <f>S374/N374+0.5</f>
        <v>2.95</v>
      </c>
      <c r="AD374" s="38">
        <v>4</v>
      </c>
      <c r="AE374" s="4">
        <f>AD374</f>
        <v>4</v>
      </c>
      <c r="AF374" s="4">
        <f>AE374+1</f>
        <v>5</v>
      </c>
      <c r="AG374" s="7">
        <f>N374*AF374^0.5</f>
        <v>56.796126628494655</v>
      </c>
      <c r="AJ374" s="38">
        <f>AK374/0.145</f>
        <v>545.51724137931035</v>
      </c>
      <c r="AK374" s="4">
        <v>79.099999999999994</v>
      </c>
      <c r="AL374" s="4">
        <f>CY374</f>
        <v>1.0750809484919404</v>
      </c>
      <c r="AM374" s="38">
        <f>0.5*25.4</f>
        <v>12.7</v>
      </c>
      <c r="AN374" s="38">
        <v>10</v>
      </c>
      <c r="AO374" s="39">
        <f>3*25.4</f>
        <v>76.199999999999989</v>
      </c>
      <c r="AP374" s="39">
        <v>3</v>
      </c>
      <c r="AQ374" s="39">
        <f>AP374-1</f>
        <v>2</v>
      </c>
      <c r="AR374" s="7"/>
      <c r="AS374" s="4">
        <f>K374</f>
        <v>232.91799999999998</v>
      </c>
      <c r="AT374" s="4">
        <f>IF(K374*3&gt;W374+N374, Q374, (S374+N374/2)*2+1.5*K374*(2*X374-2))*(3*K374)/(9*K374^2)</f>
        <v>0.5561613958560524</v>
      </c>
      <c r="AU374" s="4">
        <f>MIN(10*M374^0.5*K374^1.5,100*3.9*M374^0.5*K374^(5/3))/(PI()/4*N374^2)/X374</f>
        <v>158.36267557236209</v>
      </c>
      <c r="AV374" s="4">
        <f>MIN(0.7+0.3*(MIN(S374,AA374)+0.5*N374)/1.5/K374,1)</f>
        <v>0.76434023991275901</v>
      </c>
      <c r="AW374" s="4">
        <v>1.25</v>
      </c>
      <c r="AX374" s="4">
        <f>AX373</f>
        <v>2.5</v>
      </c>
      <c r="AY374" s="38">
        <f>AT374*AV374*AW374*AX374*AU374</f>
        <v>210.37320193056468</v>
      </c>
      <c r="AZ374" s="38">
        <f>AY374</f>
        <v>210.37320193056468</v>
      </c>
      <c r="BA374" s="38">
        <f>IF(M374&lt;50, 0.3*M374^(2/3), 2.12*LN(1+0.1*(M374+8)))</f>
        <v>3.8437666713572023</v>
      </c>
      <c r="BB374" s="38">
        <f>AX374* (M374^0.5/AS374^0.5)/(PI()/4*N374^2)/X374/0.72 *(0.7+(MIN(S374,AA374)+0.5*N374)/5/K374) *(3*Q374*K374)</f>
        <v>210.37320193056462</v>
      </c>
      <c r="BC374" s="38">
        <f>AY374/BB374</f>
        <v>1.0000000000000002</v>
      </c>
      <c r="BD374" s="38">
        <f>BH374/BB374</f>
        <v>2.2585150110496457</v>
      </c>
      <c r="BE374" s="4">
        <f>IF(BD374&lt;1,1,0)</f>
        <v>0</v>
      </c>
      <c r="BF374" s="4">
        <f>L374/N374*M374^0.5/0.19</f>
        <v>326.84553481692853</v>
      </c>
      <c r="BG374" s="4">
        <f>MIN(0.6+0.4*(AC374/AB374),2)</f>
        <v>1.102127659574468</v>
      </c>
      <c r="BH374" s="38">
        <f>2*M374*AB374*AD374^0.5*BG374*0.7/0.7</f>
        <v>475.13103448275854</v>
      </c>
      <c r="BI374" s="4">
        <f>MAX(1-0.7*AE374/5,0.3)</f>
        <v>0.44000000000000006</v>
      </c>
      <c r="BJ374" s="4">
        <f>BI374*J374*L374/(J374*N374/2.75/M374^0.5)</f>
        <v>75.141788454411881</v>
      </c>
      <c r="BK374" s="4">
        <f>BH374+BJ374</f>
        <v>550.27282293717042</v>
      </c>
      <c r="BM374" s="4">
        <f>MIN(1.5, 0.75+0.25*MIN(3,MAX(1,S374/N374))+0.4*MIN(1,(40*2*PI()*AM374^2/4/AO374/X374)/N374))</f>
        <v>1.5</v>
      </c>
      <c r="BN374" s="4">
        <f>(3*P374+30)*BM374*M374^0.5</f>
        <v>584.19985949690783</v>
      </c>
      <c r="BP374" s="4">
        <f>3.4/PI()^0.5*M374*AB374*AE374^0.5*BG374</f>
        <v>455.70876680825171</v>
      </c>
      <c r="BQ374" s="4">
        <f>8/3*AH374*AI374^2/(AG374-N374-22)/N374*(AG374^2-N374^2)/(AG374^2-(N374+22)^2)</f>
        <v>0</v>
      </c>
      <c r="BR374" s="4">
        <f>BQ374/BP374</f>
        <v>0</v>
      </c>
      <c r="BZ374" s="4">
        <f>IF(W374=0,S374,MIN(W374/2,S374))</f>
        <v>46.99</v>
      </c>
      <c r="CD374" s="9"/>
      <c r="CF374" s="9"/>
      <c r="CG374" s="9"/>
      <c r="CH374" s="9">
        <f>IF(W374=0,MIN(S374,U374),MIN(W374/2,S374,U374))</f>
        <v>46.99</v>
      </c>
      <c r="CI374" s="9">
        <f>MAX(W374/2,S374)</f>
        <v>62.230000000000004</v>
      </c>
      <c r="CJ374" s="9">
        <f>(CH374/N374)^0.5*(CI374/CH374)^0.15</f>
        <v>1.4186818663340235</v>
      </c>
      <c r="CK374" s="70">
        <f>IF(AO374&gt;1,20,0)</f>
        <v>20</v>
      </c>
      <c r="CL374" s="9">
        <f>MIN(PI()*AM374^2/4*AN374*2/X374/N374/MAX(0.01,AO374),0.05)</f>
        <v>0.05</v>
      </c>
      <c r="CM374" s="9">
        <f>MAX(0,CK374*(CL374-0.5/50))</f>
        <v>0.8</v>
      </c>
      <c r="CN374" s="9">
        <f>MIN(1,(25/N374)^0.3)</f>
        <v>0.99524931562137331</v>
      </c>
      <c r="CO374" s="9">
        <f>IF(J374&gt;=800,0.68,IF(J374&gt;=700,0.75-(J374-700)*0.07/100,IF(J374&gt;=600,0.85-(J374-600)*0.1/100,IF(J374&gt;=500,1-(J374-500)*0.15/100,1.2-(J374-400)*0.2/100))))</f>
        <v>0.68</v>
      </c>
      <c r="CP374" s="9">
        <f>1.75*CN374*CO374*(M374/25)^0.5</f>
        <v>1.6041156142513788</v>
      </c>
      <c r="CQ374" s="9">
        <f>MIN((CJ374+CM374)*CP374,2.5*CP374,M374^0.5)</f>
        <v>3.5590222248427974</v>
      </c>
      <c r="CR374" s="40">
        <v>1</v>
      </c>
      <c r="CS374" s="9">
        <f>4*CQ374*P374+60*CQ374</f>
        <v>344.08626869780164</v>
      </c>
      <c r="CU374" s="4">
        <f>AJ374/BF374</f>
        <v>1.6690368485066298</v>
      </c>
      <c r="CV374" s="4">
        <f>AJ374/BK374</f>
        <v>0.99135777498064259</v>
      </c>
      <c r="CW374" s="4">
        <f>AJ374/BN374</f>
        <v>0.93378530054610154</v>
      </c>
      <c r="CX374" s="4">
        <f>AJ374/CS374</f>
        <v>1.5854083437965325</v>
      </c>
      <c r="CY374" s="4">
        <f>AJ374/DZ374</f>
        <v>1.0750809484919404</v>
      </c>
      <c r="CZ374" s="4">
        <f>AJ374/EL374</f>
        <v>1.1130622636058647</v>
      </c>
      <c r="DA374" s="4">
        <f>AJ374/GI374</f>
        <v>1.676977781714432</v>
      </c>
      <c r="DB374" s="4">
        <f>AN374</f>
        <v>10</v>
      </c>
      <c r="DI374" s="4">
        <f>CU374</f>
        <v>1.6690368485066298</v>
      </c>
      <c r="DJ374" s="4">
        <f>CV374</f>
        <v>0.99135777498064259</v>
      </c>
      <c r="DK374" s="4">
        <f>CX374</f>
        <v>1.5854083437965325</v>
      </c>
      <c r="DL374" s="4">
        <f>DA374</f>
        <v>1.676977781714432</v>
      </c>
      <c r="DM374" s="4">
        <f>CY374</f>
        <v>1.0750809484919404</v>
      </c>
      <c r="DN374" s="4">
        <f>CZ374</f>
        <v>1.1130622636058647</v>
      </c>
      <c r="DQ374" s="4">
        <f>L374</f>
        <v>232.91799999999998</v>
      </c>
      <c r="DT374" s="4">
        <f>K374/4/(1-0.3*(M374/30)^0.5)/200000/N374</f>
        <v>1.8221231027775321E-5</v>
      </c>
      <c r="DU374" s="4">
        <f>EP374</f>
        <v>10.256388811022733</v>
      </c>
      <c r="DV374" s="4">
        <f>EC374*AG374/257/M374/AD374</f>
        <v>0.25343254108029062</v>
      </c>
      <c r="DW374" s="4">
        <f>DU374*DV374^0.4</f>
        <v>5.9229685617203174</v>
      </c>
      <c r="DX374" s="4">
        <f>MIN(DU374, DU374/1.4*(1-DV374^1.4)/(1-DV374))</f>
        <v>8.3767340140551969</v>
      </c>
      <c r="DY374" s="4">
        <f>MAX(DU374/2, (4-DT374*(8*AG374*(DW374-DX374)+6*K374*DX374))/(4+DT374*K374*DU374)*DU374)</f>
        <v>9.6564537119373188</v>
      </c>
      <c r="DZ374" s="38">
        <f>MIN(1/N374*(4*AG374*(DW374-DX374)+(3*DX374+DY374)*K374)+EC374 -FJ374,MAX(J374,AJ374))</f>
        <v>507.419689786643</v>
      </c>
      <c r="EA374" s="4">
        <f>DZ374/FF374</f>
        <v>1.0001180171195405</v>
      </c>
      <c r="EB374" s="4">
        <f>AG374/N374</f>
        <v>2.2360679774997898</v>
      </c>
      <c r="EC374" s="4">
        <f>MIN(EB$10*BB374)</f>
        <v>210.37320193056462</v>
      </c>
      <c r="EG374" s="4">
        <f>IF(U374&gt;1*N374,0.85,1)</f>
        <v>0.85</v>
      </c>
      <c r="EH374" s="4">
        <f>MIN(1,MAX(0.7,(1-0.1*(BZ374-1*N374)/N374)))</f>
        <v>0.91500000000000004</v>
      </c>
      <c r="EI374" s="4">
        <f>MIN(1,MAX(0.7,1-0.3*(PI()*AM374^2/4*AQ374*2-0.25*PI()/4*N374^2)/(PI()/4*N374^2)))</f>
        <v>0.77500000000000002</v>
      </c>
      <c r="EJ374" s="4">
        <f>IF(EH374*EI374&lt;0.7,0.7,EH374*EI374)</f>
        <v>0.70912500000000001</v>
      </c>
      <c r="EL374" s="4">
        <f>MIN(DU374/N374*3*K374+EM374-FJ374,MAX(J374,AJ374))</f>
        <v>490.1048748270905</v>
      </c>
      <c r="EM374" s="25">
        <f>13.3*Q374*K374^0.5*M374^0.5/X374/N374^2*(0.7+S374/5/K374)</f>
        <v>207.95161863585514</v>
      </c>
      <c r="EO374" s="4">
        <f>EG374*EJ374</f>
        <v>0.60275624999999999</v>
      </c>
      <c r="EP374" s="4">
        <f>IF(N374&lt;22.2,1.1*5*(M374/30)^0.5,IF(N374&gt;=31.8,0.9*5*(M374/30)^0.5,1*5*(M374/30)^0.5))/EG374/EJ374</f>
        <v>10.256388811022733</v>
      </c>
      <c r="ES374" s="4">
        <f>ET374*N374</f>
        <v>56.796126628494655</v>
      </c>
      <c r="ET374" s="4">
        <f>AF374^0.5</f>
        <v>2.2360679774997898</v>
      </c>
      <c r="EU374" s="4">
        <f>MIN(EC374)/(4700*M374^0.5)/AE374*ES374</f>
        <v>9.3847879695297828E-2</v>
      </c>
      <c r="EX374" s="4">
        <f>EU374</f>
        <v>9.3847879695297828E-2</v>
      </c>
      <c r="EY374" s="4">
        <f>MIN(0.999, EX374/(0.3*(M374/30)^0.5))</f>
        <v>0.25300960940263245</v>
      </c>
      <c r="EZ374" s="4">
        <f>EP374/1*EY374^0.4</f>
        <v>5.9190128482886895</v>
      </c>
      <c r="FA374" s="4">
        <f>EP374/1.4*(1-EY374^1.4)/(1-EY374)</f>
        <v>8.3753436193313071</v>
      </c>
      <c r="FB374" s="4">
        <f>MAX(0,DQ374*FB$9-ES374)</f>
        <v>117.89237337150533</v>
      </c>
      <c r="FC374" s="4">
        <f>MAX(0,DQ374-ES374-FB374)</f>
        <v>58.229500000000002</v>
      </c>
      <c r="FD374" s="4">
        <f>FC374/(1-0.3*(M374/30)^0.5)/200000/N374</f>
        <v>1.8221231027775321E-5</v>
      </c>
      <c r="FE374" s="4">
        <f>MAX(0.5*EP374, (1-2*FD374*(ES374*EZ374+FB374*FA374))/(1/EP374+FD374*FC374))</f>
        <v>9.6565973895003765</v>
      </c>
      <c r="FF374" s="4">
        <f>MIN(4/N374*(1*EZ374*ES374+FA374*FB374+FC374*FE374)+EC374,MAX(J374,AJ374))</f>
        <v>507.35981264298425</v>
      </c>
      <c r="FO374" s="23">
        <f>IF(CU374&lt;0.6,0.6,IF(CU374&lt;0.8,0.8,IF(CU374&lt;1,1,IF(CU374&lt;1.2,1.2,IF(CU374&lt;1.4,1.4,IF(CU374&lt;1.6,1.6,IF(CU374&lt;1.8,1.8,IF(CU374&lt;2,2,2.2))))))))</f>
        <v>1.8</v>
      </c>
      <c r="FP374" s="23">
        <f>IF(CV374&lt;0.6,0.6,IF(CV374&lt;0.8,0.8,IF(CV374&lt;1,1,IF(CV374&lt;1.2,1.2,IF(CV374&lt;1.4,1.4,IF(CV374&lt;1.6,1.6,IF(CV374&lt;1.8,1.8,IF(CV374&lt;2,2,2.2))))))))</f>
        <v>1</v>
      </c>
      <c r="FQ374" s="23">
        <f>IF(DA374&lt;0.6,0.6,IF(DA374&lt;0.8,0.8,IF(DA374&lt;1,1,IF(DA374&lt;1.2,1.2,IF(DA374&lt;1.4,1.4,IF(DA374&lt;1.6,1.6,IF(DA374&lt;1.8,1.8,IF(DA374&lt;2,2,2.2))))))))</f>
        <v>1.8</v>
      </c>
      <c r="FR374" s="23">
        <f>IF(CX374&lt;0.6,0.6,IF(CX374&lt;0.8,0.8,IF(CX374&lt;1,1,IF(CX374&lt;1.2,1.2,IF(CX374&lt;1.4,1.4,IF(CX374&lt;1.6,1.6,IF(CX374&lt;1.8,1.8,IF(CX374&lt;2,2,2.2))))))))</f>
        <v>1.6</v>
      </c>
      <c r="FS374" s="23">
        <f>IF(CY374&lt;0.6,0.6,IF(CY374&lt;0.8,0.8,IF(CY374&lt;1,1,IF(CY374&lt;1.2,1.2,IF(CY374&lt;1.4,1.4,IF(CY374&lt;1.6,1.6,IF(CY374&lt;1.8,1.8,IF(CY374&lt;2,2,2.2))))))))</f>
        <v>1.2</v>
      </c>
      <c r="FT374" s="23">
        <f>IF(CZ374&lt;0.6,0.6,IF(CZ374&lt;0.8,0.8,IF(CZ374&lt;1,1,IF(CZ374&lt;1.2,1.2,IF(CZ374&lt;1.4,1.4,IF(CZ374&lt;1.6,1.6,IF(CZ374&lt;1.8,1.8,IF(CZ374&lt;2,2,2.2))))))))</f>
        <v>1.2</v>
      </c>
      <c r="FU374" s="23">
        <f>IF(FS374&lt;1,1,0)</f>
        <v>0</v>
      </c>
      <c r="FV374" s="23"/>
      <c r="GF374" s="4">
        <f>IF(S374&gt;=2.5*25.4,1,1.25)</f>
        <v>1.25</v>
      </c>
      <c r="GG374" s="4">
        <f>IF(AO374&gt;1, 0.05*(18-MIN(8,(W374+N374)/N374))*(1-48000/MAX(60000,(J374*145))*(N374/25.4)^0.75*GH374), 1/12*(14-MIN(8,(W374+N374)/N374)))</f>
        <v>0.58520000000000005</v>
      </c>
      <c r="GH374" s="4">
        <f>MIN(0.3, AM374^2*PI()/4*2*AP374/(N374^2*PI()/4*X374))</f>
        <v>0.3</v>
      </c>
      <c r="GI374" s="4">
        <f>(K374/25.4)/(N374/25.4)^1.5/0.0024*(M374*145)^0.25/GF374/GG374/145</f>
        <v>325.29783478801329</v>
      </c>
    </row>
    <row r="375" spans="1:191" ht="12" customHeight="1" x14ac:dyDescent="0.3">
      <c r="A375" s="25">
        <v>273</v>
      </c>
      <c r="B375" s="4" t="s">
        <v>605</v>
      </c>
      <c r="C375" s="4">
        <v>2016</v>
      </c>
      <c r="D375" s="4" t="s">
        <v>309</v>
      </c>
      <c r="E375" s="24" t="s">
        <v>666</v>
      </c>
      <c r="F375" s="24"/>
      <c r="G375" s="24">
        <v>45</v>
      </c>
      <c r="H375" s="7" t="s">
        <v>431</v>
      </c>
      <c r="I375" s="5">
        <f>K375/N375</f>
        <v>9.1300000000000008</v>
      </c>
      <c r="J375" s="78">
        <f>115.9/0.145</f>
        <v>799.31034482758628</v>
      </c>
      <c r="K375" s="38">
        <f>9.13*25.4</f>
        <v>231.90200000000002</v>
      </c>
      <c r="L375" s="4">
        <f>K375</f>
        <v>231.90200000000002</v>
      </c>
      <c r="M375" s="38">
        <f>5750/145</f>
        <v>39.655172413793103</v>
      </c>
      <c r="N375" s="38">
        <f>1*25.4</f>
        <v>25.4</v>
      </c>
      <c r="O375" s="7">
        <f>K375/N375</f>
        <v>9.1300000000000008</v>
      </c>
      <c r="P375" s="7">
        <f>L375/N375</f>
        <v>9.1300000000000008</v>
      </c>
      <c r="Q375" s="38">
        <f>17.5*25.4</f>
        <v>444.5</v>
      </c>
      <c r="R375" s="32">
        <f>S375/N375</f>
        <v>2.6499999999999995</v>
      </c>
      <c r="S375" s="38">
        <f>2.65*25.4</f>
        <v>67.309999999999988</v>
      </c>
      <c r="T375" s="32">
        <f>U375/N375</f>
        <v>3.15</v>
      </c>
      <c r="U375" s="39">
        <f>3.15*25.4</f>
        <v>80.009999999999991</v>
      </c>
      <c r="V375" s="32">
        <f>W375/N375</f>
        <v>10.200000000000003</v>
      </c>
      <c r="W375" s="7">
        <f>(Q375-X375*N375-2*S375)/(X375-1)</f>
        <v>259.08000000000004</v>
      </c>
      <c r="X375" s="38">
        <v>2</v>
      </c>
      <c r="Y375" s="7">
        <f>AN375</f>
        <v>4</v>
      </c>
      <c r="Z375" s="32">
        <f>AA375/N375</f>
        <v>10.25</v>
      </c>
      <c r="AA375" s="4">
        <f>10.25*25.4</f>
        <v>260.34999999999997</v>
      </c>
      <c r="AB375" s="7">
        <f>MIN(S375/N375+0.5, W375/2/N375+0.5)</f>
        <v>3.1499999999999995</v>
      </c>
      <c r="AC375" s="7">
        <f>S375/N375+0.5</f>
        <v>3.1499999999999995</v>
      </c>
      <c r="AD375" s="38">
        <v>6.5</v>
      </c>
      <c r="AE375" s="4">
        <f>AD375</f>
        <v>6.5</v>
      </c>
      <c r="AF375" s="4">
        <f>AE375+1</f>
        <v>7.5</v>
      </c>
      <c r="AG375" s="7">
        <f>N375*AF375^0.5</f>
        <v>69.56076480315609</v>
      </c>
      <c r="AJ375" s="38">
        <f>AK375/0.145</f>
        <v>553.10344827586209</v>
      </c>
      <c r="AK375" s="4">
        <v>80.2</v>
      </c>
      <c r="AL375" s="4">
        <f>CY375</f>
        <v>0.92467198904083814</v>
      </c>
      <c r="AM375" s="38">
        <f>0.5*25.4</f>
        <v>12.7</v>
      </c>
      <c r="AN375" s="38">
        <v>4</v>
      </c>
      <c r="AO375" s="39">
        <f>5.5*25.4</f>
        <v>139.69999999999999</v>
      </c>
      <c r="AP375" s="39">
        <v>1</v>
      </c>
      <c r="AQ375" s="39">
        <v>1</v>
      </c>
      <c r="AR375" s="7"/>
      <c r="AS375" s="4">
        <f>K375</f>
        <v>231.90200000000002</v>
      </c>
      <c r="AT375" s="4">
        <f>IF(K375*3&gt;W375+N375, Q375, (S375+N375/2)*2+1.5*K375*(2*X375-2))*(3*K375)/(9*K375^2)</f>
        <v>0.63891931361810872</v>
      </c>
      <c r="AU375" s="4">
        <f>MIN(10*M375^0.5*K375^1.5,100*3.9*M375^0.5*K375^(5/3))/(PI()/4*N375^2)/X375</f>
        <v>219.44179758495289</v>
      </c>
      <c r="AV375" s="4">
        <f>MIN(0.7+0.3*(MIN(S375,AA375)+0.5*N375)/1.5/K375,1)</f>
        <v>0.76900328587075573</v>
      </c>
      <c r="AW375" s="4">
        <v>1.25</v>
      </c>
      <c r="AX375" s="4">
        <f>AX374</f>
        <v>2.5</v>
      </c>
      <c r="AY375" s="38">
        <f>AT375*AV375*AW375*AX375*AU375</f>
        <v>336.933028649113</v>
      </c>
      <c r="AZ375" s="38">
        <f>AY375</f>
        <v>336.933028649113</v>
      </c>
      <c r="BA375" s="38">
        <f>IF(M375&lt;50, 0.3*M375^(2/3), 2.12*LN(1+0.1*(M375+8)))</f>
        <v>3.4886265610899732</v>
      </c>
      <c r="BB375" s="38">
        <f>AX375* (M375^0.5/AS375^0.5)/(PI()/4*N375^2)/X375/0.72 *(0.7+(MIN(S375,AA375)+0.5*N375)/5/K375) *(3*Q375*K375)</f>
        <v>336.93302864911328</v>
      </c>
      <c r="BC375" s="38">
        <f>AY375/BB375</f>
        <v>0.99999999999999911</v>
      </c>
      <c r="BD375" s="38">
        <f>BH375/BB375</f>
        <v>1.8903990241179067</v>
      </c>
      <c r="BE375" s="4">
        <f>IF(BD375&lt;1,1,0)</f>
        <v>0</v>
      </c>
      <c r="BF375" s="4">
        <f>L375/N375*M375^0.5/0.19</f>
        <v>302.59872779955452</v>
      </c>
      <c r="BG375" s="4">
        <f>MIN(0.6+0.4*(AC375/AB375),2)</f>
        <v>1</v>
      </c>
      <c r="BH375" s="38">
        <f>2*M375*AB375*AD375^0.5*BG375*0.7/0.7</f>
        <v>636.93786855137444</v>
      </c>
      <c r="BI375" s="4">
        <f>MAX(1-0.7*AE375/5,0.3)</f>
        <v>0.3</v>
      </c>
      <c r="BJ375" s="4">
        <f>BI375*J375*L375/(J375*N375/2.75/M375^0.5)</f>
        <v>47.432350582580163</v>
      </c>
      <c r="BK375" s="4">
        <f>BH375+BJ375</f>
        <v>684.37021913395461</v>
      </c>
      <c r="BM375" s="4">
        <f>MIN(1.5, 0.75+0.25*MIN(3,MAX(1,S375/N375))+0.4*MIN(1,(40*2*PI()*AM375^2/4/AO375/X375)/N375))</f>
        <v>1.5</v>
      </c>
      <c r="BN375" s="4">
        <f>(3*P375+30)*BM375*M375^0.5</f>
        <v>542.09750073370026</v>
      </c>
      <c r="BP375" s="4">
        <f>3.4/PI()^0.5*M375*AB375*AE375^0.5*BG375</f>
        <v>610.90130836645233</v>
      </c>
      <c r="BQ375" s="4">
        <f>8/3*AH375*AI375^2/(AG375-N375-22)/N375*(AG375^2-N375^2)/(AG375^2-(N375+22)^2)</f>
        <v>0</v>
      </c>
      <c r="BR375" s="4">
        <f>BQ375/BP375</f>
        <v>0</v>
      </c>
      <c r="BZ375" s="4">
        <f>IF(W375=0,S375,MIN(W375/2,S375))</f>
        <v>67.309999999999988</v>
      </c>
      <c r="CD375" s="9"/>
      <c r="CF375" s="9"/>
      <c r="CG375" s="9"/>
      <c r="CH375" s="9">
        <f>IF(W375=0,MIN(S375,U375),MIN(W375/2,S375,U375))</f>
        <v>67.309999999999988</v>
      </c>
      <c r="CI375" s="9">
        <f>MAX(W375/2,S375)</f>
        <v>129.54000000000002</v>
      </c>
      <c r="CJ375" s="9">
        <f>(CH375/N375)^0.5*(CI375/CH375)^0.15</f>
        <v>1.7958562989508591</v>
      </c>
      <c r="CK375" s="70">
        <f>IF(AO375&gt;1,20,0)</f>
        <v>20</v>
      </c>
      <c r="CL375" s="9">
        <f>MIN(PI()*AM375^2/4*AN375*2/X375/N375/MAX(0.01,AO375),0.05)</f>
        <v>0.05</v>
      </c>
      <c r="CM375" s="9">
        <f>MAX(0,CK375*(CL375-0.5/50))</f>
        <v>0.8</v>
      </c>
      <c r="CN375" s="9">
        <f>MIN(1,(25/N375)^0.3)</f>
        <v>0.99524931562137331</v>
      </c>
      <c r="CO375" s="9">
        <f>IF(J375&gt;=800,0.68,IF(J375&gt;=700,0.75-(J375-700)*0.07/100,IF(J375&gt;=600,0.85-(J375-600)*0.1/100,IF(J375&gt;=500,1-(J375-500)*0.15/100,1.2-(J375-400)*0.2/100))))</f>
        <v>0.68048275862068963</v>
      </c>
      <c r="CP375" s="9">
        <f>1.75*CN375*CO375*(M375/25)^0.5</f>
        <v>1.4926809118196944</v>
      </c>
      <c r="CQ375" s="9">
        <f>MIN((CJ375+CM375)*CP375,2.5*CP375,M375^0.5)</f>
        <v>3.7317022795492361</v>
      </c>
      <c r="CR375" s="40">
        <v>1</v>
      </c>
      <c r="CS375" s="9">
        <f>4*CQ375*P375+60*CQ375</f>
        <v>360.18390402209229</v>
      </c>
      <c r="CU375" s="4">
        <f>AJ375/BF375</f>
        <v>1.82784459240108</v>
      </c>
      <c r="CV375" s="4">
        <f>AJ375/BK375</f>
        <v>0.80819333280719641</v>
      </c>
      <c r="CW375" s="4">
        <f>AJ375/BN375</f>
        <v>1.0203025240427521</v>
      </c>
      <c r="CX375" s="4">
        <f>AJ375/CS375</f>
        <v>1.5356140074541944</v>
      </c>
      <c r="CY375" s="4">
        <f>AJ375/DZ375</f>
        <v>0.92467198904083814</v>
      </c>
      <c r="CZ375" s="4">
        <f>AJ375/EL375</f>
        <v>0.96545639129394512</v>
      </c>
      <c r="DA375" s="4">
        <f>AJ375/GI375</f>
        <v>1.085175517695939</v>
      </c>
      <c r="DB375" s="4">
        <f>AN375</f>
        <v>4</v>
      </c>
      <c r="DI375" s="4">
        <f>CU375</f>
        <v>1.82784459240108</v>
      </c>
      <c r="DJ375" s="4">
        <f>CV375</f>
        <v>0.80819333280719641</v>
      </c>
      <c r="DK375" s="4">
        <f>CX375</f>
        <v>1.5356140074541944</v>
      </c>
      <c r="DL375" s="4">
        <f>DA375</f>
        <v>1.085175517695939</v>
      </c>
      <c r="DM375" s="4">
        <f>CY375</f>
        <v>0.92467198904083814</v>
      </c>
      <c r="DN375" s="4">
        <f>CZ375</f>
        <v>0.96545639129394512</v>
      </c>
      <c r="DQ375" s="4">
        <f>L375</f>
        <v>231.90200000000002</v>
      </c>
      <c r="DT375" s="4">
        <f>K375/4/(1-0.3*(M375/30)^0.5)/200000/N375</f>
        <v>1.7421370946555192E-5</v>
      </c>
      <c r="DU375" s="4">
        <f>EP375</f>
        <v>8.7561292633881198</v>
      </c>
      <c r="DV375" s="4">
        <f>EC375*AG375/257/M375/AD375</f>
        <v>0.35380308194526749</v>
      </c>
      <c r="DW375" s="4">
        <f>DU375*DV375^0.4</f>
        <v>5.7785225040000663</v>
      </c>
      <c r="DX375" s="4">
        <f>MIN(DU375, DU375/1.4*(1-DV375^1.4)/(1-DV375))</f>
        <v>7.4188687743172457</v>
      </c>
      <c r="DY375" s="4">
        <f>MAX(DU375/2, (4-DT375*(8*AG375*(DW375-DX375)+6*K375*DX375))/(4+DT375*K375*DU375)*DU375)</f>
        <v>8.3236620530493592</v>
      </c>
      <c r="DZ375" s="38">
        <f>MIN(1/N375*(4*AG375*(DW375-DX375)+(3*DX375+DY375)*K375)+EC375 -FJ375,MAX(J375,AJ375))</f>
        <v>598.16178583455962</v>
      </c>
      <c r="EA375" s="4">
        <f>DZ375/FF375</f>
        <v>1.0001099197196661</v>
      </c>
      <c r="EB375" s="4">
        <f>AG375/N375</f>
        <v>2.7386127875258306</v>
      </c>
      <c r="EC375" s="4">
        <f>MIN(EB$10*BB375)</f>
        <v>336.93302864911328</v>
      </c>
      <c r="EG375" s="4">
        <f>IF(U375&gt;1*N375,0.85,1)</f>
        <v>0.85</v>
      </c>
      <c r="EH375" s="4">
        <f>MIN(1,MAX(0.7,(1-0.1*(BZ375-1*N375)/N375)))</f>
        <v>0.83499999999999996</v>
      </c>
      <c r="EI375" s="4">
        <f>MIN(1,MAX(0.7,1-0.3*(PI()*AM375^2/4*AQ375*2-0.25*PI()/4*N375^2)/(PI()/4*N375^2)))</f>
        <v>0.92500000000000004</v>
      </c>
      <c r="EJ375" s="4">
        <f>IF(EH375*EI375&lt;0.7,0.7,EH375*EI375)</f>
        <v>0.77237500000000003</v>
      </c>
      <c r="EL375" s="4">
        <f>MIN(DU375/N375*3*K375+EM375-FJ375,MAX(J375,AJ375))</f>
        <v>572.89324848175659</v>
      </c>
      <c r="EM375" s="25">
        <f>13.3*Q375*K375^0.5*M375^0.5/X375/N375^2*(0.7+S375/5/K375)</f>
        <v>333.06286795755597</v>
      </c>
      <c r="EO375" s="4">
        <f>EG375*EJ375</f>
        <v>0.65651875000000004</v>
      </c>
      <c r="EP375" s="4">
        <f>IF(N375&lt;22.2,1.1*5*(M375/30)^0.5,IF(N375&gt;=31.8,0.9*5*(M375/30)^0.5,1*5*(M375/30)^0.5))/EG375/EJ375</f>
        <v>8.7561292633881198</v>
      </c>
      <c r="ES375" s="4">
        <f>ET375*N375</f>
        <v>69.56076480315609</v>
      </c>
      <c r="ET375" s="4">
        <f>AF375^0.5</f>
        <v>2.7386127875258306</v>
      </c>
      <c r="EU375" s="4">
        <f>MIN(EC375)/(4700*M375^0.5)/AE375*ES375</f>
        <v>0.12182791126514832</v>
      </c>
      <c r="EX375" s="4">
        <f>EU375</f>
        <v>0.12182791126514832</v>
      </c>
      <c r="EY375" s="4">
        <f>MIN(0.999, EX375/(0.3*(M375/30)^0.5))</f>
        <v>0.35321265054143147</v>
      </c>
      <c r="EZ375" s="4">
        <f>EP375/1*EY375^0.4</f>
        <v>5.7746632603039609</v>
      </c>
      <c r="FA375" s="4">
        <f>EP375/1.4*(1-EY375^1.4)/(1-EY375)</f>
        <v>7.4173695936807951</v>
      </c>
      <c r="FB375" s="4">
        <f>MAX(0,DQ375*FB$9-ES375)</f>
        <v>104.36573519684391</v>
      </c>
      <c r="FC375" s="4">
        <f>MAX(0,DQ375-ES375-FB375)</f>
        <v>57.975499999999997</v>
      </c>
      <c r="FD375" s="4">
        <f>FC375/(1-0.3*(M375/30)^0.5)/200000/N375</f>
        <v>1.7421370946555189E-5</v>
      </c>
      <c r="FE375" s="4">
        <f>MAX(0.5*EP375, (1-2*FD375*(ES375*EZ375+FB375*FA375))/(1/EP375+FD375*FC375))</f>
        <v>8.3237905529090828</v>
      </c>
      <c r="FF375" s="4">
        <f>MIN(4/N375*(1*EZ375*ES375+FA375*FB375+FC375*FE375)+EC375,MAX(J375,AJ375))</f>
        <v>598.09604328514831</v>
      </c>
      <c r="FO375" s="23">
        <f>IF(CU375&lt;0.6,0.6,IF(CU375&lt;0.8,0.8,IF(CU375&lt;1,1,IF(CU375&lt;1.2,1.2,IF(CU375&lt;1.4,1.4,IF(CU375&lt;1.6,1.6,IF(CU375&lt;1.8,1.8,IF(CU375&lt;2,2,2.2))))))))</f>
        <v>2</v>
      </c>
      <c r="FP375" s="23">
        <f>IF(CV375&lt;0.6,0.6,IF(CV375&lt;0.8,0.8,IF(CV375&lt;1,1,IF(CV375&lt;1.2,1.2,IF(CV375&lt;1.4,1.4,IF(CV375&lt;1.6,1.6,IF(CV375&lt;1.8,1.8,IF(CV375&lt;2,2,2.2))))))))</f>
        <v>1</v>
      </c>
      <c r="FQ375" s="23">
        <f>IF(DA375&lt;0.6,0.6,IF(DA375&lt;0.8,0.8,IF(DA375&lt;1,1,IF(DA375&lt;1.2,1.2,IF(DA375&lt;1.4,1.4,IF(DA375&lt;1.6,1.6,IF(DA375&lt;1.8,1.8,IF(DA375&lt;2,2,2.2))))))))</f>
        <v>1.2</v>
      </c>
      <c r="FR375" s="23">
        <f>IF(CX375&lt;0.6,0.6,IF(CX375&lt;0.8,0.8,IF(CX375&lt;1,1,IF(CX375&lt;1.2,1.2,IF(CX375&lt;1.4,1.4,IF(CX375&lt;1.6,1.6,IF(CX375&lt;1.8,1.8,IF(CX375&lt;2,2,2.2))))))))</f>
        <v>1.6</v>
      </c>
      <c r="FS375" s="23">
        <f>IF(CY375&lt;0.6,0.6,IF(CY375&lt;0.8,0.8,IF(CY375&lt;1,1,IF(CY375&lt;1.2,1.2,IF(CY375&lt;1.4,1.4,IF(CY375&lt;1.6,1.6,IF(CY375&lt;1.8,1.8,IF(CY375&lt;2,2,2.2))))))))</f>
        <v>1</v>
      </c>
      <c r="FT375" s="23">
        <f>IF(CZ375&lt;0.6,0.6,IF(CZ375&lt;0.8,0.8,IF(CZ375&lt;1,1,IF(CZ375&lt;1.2,1.2,IF(CZ375&lt;1.4,1.4,IF(CZ375&lt;1.6,1.6,IF(CZ375&lt;1.8,1.8,IF(CZ375&lt;2,2,2.2))))))))</f>
        <v>1</v>
      </c>
      <c r="FU375" s="23">
        <f>IF(FS375&lt;1,1,0)</f>
        <v>0</v>
      </c>
      <c r="FV375" s="23"/>
      <c r="GF375" s="4">
        <f>IF(S375&gt;=2.5*25.4,1,1.25)</f>
        <v>1</v>
      </c>
      <c r="GG375" s="4">
        <f>IF(AO375&gt;1, 0.05*(18-MIN(8,(W375+N375)/N375))*(1-48000/MAX(60000,(J375*145))*(N375/25.4)^0.75*GH375), 1/12*(14-MIN(8,(W375+N375)/N375)))</f>
        <v>0.4482312338222606</v>
      </c>
      <c r="GH375" s="4">
        <f>MIN(0.3, AM375^2*PI()/4*2*AP375/(N375^2*PI()/4*X375))</f>
        <v>0.25</v>
      </c>
      <c r="GI375" s="4">
        <f>(K375/25.4)/(N375/25.4)^1.5/0.0024*(M375*145)^0.25/GF375/GG375/145</f>
        <v>509.69031207985563</v>
      </c>
    </row>
    <row r="376" spans="1:191" ht="12" customHeight="1" x14ac:dyDescent="0.3">
      <c r="A376" s="25">
        <v>245</v>
      </c>
      <c r="B376" s="4" t="s">
        <v>605</v>
      </c>
      <c r="C376" s="4">
        <v>2016</v>
      </c>
      <c r="D376" s="4" t="s">
        <v>309</v>
      </c>
      <c r="E376" s="24" t="s">
        <v>663</v>
      </c>
      <c r="F376" s="24"/>
      <c r="G376" s="24">
        <v>51</v>
      </c>
      <c r="H376" s="7" t="s">
        <v>699</v>
      </c>
      <c r="I376" s="5">
        <f>K376/N376</f>
        <v>9.06</v>
      </c>
      <c r="J376" s="91">
        <f>120/0.145</f>
        <v>827.58620689655174</v>
      </c>
      <c r="K376" s="38">
        <f>9.06*25.4</f>
        <v>230.124</v>
      </c>
      <c r="L376" s="4">
        <f>K376</f>
        <v>230.124</v>
      </c>
      <c r="M376" s="89">
        <f>6440/145</f>
        <v>44.413793103448278</v>
      </c>
      <c r="N376" s="96">
        <f>1*25.4</f>
        <v>25.4</v>
      </c>
      <c r="O376" s="7">
        <f>K376/N376</f>
        <v>9.06</v>
      </c>
      <c r="P376" s="7">
        <f>L376/N376</f>
        <v>9.06</v>
      </c>
      <c r="Q376" s="38">
        <f>18.6*25.4</f>
        <v>472.44</v>
      </c>
      <c r="R376" s="32">
        <f>S376/N376</f>
        <v>3.45</v>
      </c>
      <c r="S376" s="38">
        <f>3.45*25.4</f>
        <v>87.63</v>
      </c>
      <c r="T376" s="32">
        <f>U376/N376</f>
        <v>3.7</v>
      </c>
      <c r="U376" s="39">
        <f>3.7*25.4</f>
        <v>93.98</v>
      </c>
      <c r="V376" s="32">
        <f>W376/N376</f>
        <v>9.7000000000000011</v>
      </c>
      <c r="W376" s="7">
        <f>(Q376-X376*N376-2*S376)/(X376-1)</f>
        <v>246.38</v>
      </c>
      <c r="X376" s="38">
        <v>2</v>
      </c>
      <c r="Y376" s="7">
        <f>AN376</f>
        <v>10</v>
      </c>
      <c r="Z376" s="32">
        <f>AA376/N376</f>
        <v>10.25</v>
      </c>
      <c r="AA376" s="4">
        <f>10.25*25.4</f>
        <v>260.34999999999997</v>
      </c>
      <c r="AB376" s="7">
        <f>MIN(S376/N376+0.5, W376/2/N376+0.5)</f>
        <v>3.95</v>
      </c>
      <c r="AC376" s="7">
        <f>S376/N376+0.5</f>
        <v>3.95</v>
      </c>
      <c r="AD376" s="38">
        <v>4</v>
      </c>
      <c r="AE376" s="4">
        <f>AD376</f>
        <v>4</v>
      </c>
      <c r="AF376" s="4">
        <f>AE376+1</f>
        <v>5</v>
      </c>
      <c r="AG376" s="7">
        <f>N376*AF376^0.5</f>
        <v>56.796126628494655</v>
      </c>
      <c r="AJ376" s="38">
        <f>AK376/0.145</f>
        <v>703.44827586206907</v>
      </c>
      <c r="AK376" s="4">
        <v>102</v>
      </c>
      <c r="AL376" s="4">
        <f>CY376</f>
        <v>1.0255837865554474</v>
      </c>
      <c r="AM376" s="38">
        <f>0.375*25.4</f>
        <v>9.5249999999999986</v>
      </c>
      <c r="AN376" s="38">
        <v>10</v>
      </c>
      <c r="AO376" s="39">
        <f>3*25.4</f>
        <v>76.199999999999989</v>
      </c>
      <c r="AP376" s="39">
        <v>3</v>
      </c>
      <c r="AQ376" s="39">
        <v>1</v>
      </c>
      <c r="AR376" s="7"/>
      <c r="AS376" s="4">
        <f>K376</f>
        <v>230.124</v>
      </c>
      <c r="AT376" s="4">
        <f>IF(K376*3&gt;W376+N376, Q376, (S376+N376/2)*2+1.5*K376*(2*X376-2))*(3*K376)/(9*K376^2)</f>
        <v>0.6843267108167771</v>
      </c>
      <c r="AU376" s="4">
        <f>MIN(10*M376^0.5*K376^1.5,100*3.9*M376^0.5*K376^(5/3))/(PI()/4*N376^2)/X376</f>
        <v>229.56966143640747</v>
      </c>
      <c r="AV376" s="4">
        <f>MIN(0.7+0.3*(MIN(S376,AA376)+0.5*N376)/1.5/K376,1)</f>
        <v>0.78719646799116993</v>
      </c>
      <c r="AW376" s="4">
        <v>1.25</v>
      </c>
      <c r="AX376" s="4">
        <f>AX375</f>
        <v>2.5</v>
      </c>
      <c r="AY376" s="38">
        <f>AT376*AV376*AW376*AX376*AU376</f>
        <v>386.46586822990668</v>
      </c>
      <c r="AZ376" s="38">
        <f>AY376</f>
        <v>386.46586822990668</v>
      </c>
      <c r="BA376" s="38">
        <f>IF(M376&lt;50, 0.3*M376^(2/3), 2.12*LN(1+0.1*(M376+8)))</f>
        <v>3.7624132755662103</v>
      </c>
      <c r="BB376" s="38">
        <f>AX376* (M376^0.5/AS376^0.5)/(PI()/4*N376^2)/X376/0.72 *(0.7+(MIN(S376,AA376)+0.5*N376)/5/K376) *(3*Q376*K376)</f>
        <v>386.46586822990719</v>
      </c>
      <c r="BC376" s="38">
        <f>AY376/BB376</f>
        <v>0.99999999999999867</v>
      </c>
      <c r="BD376" s="38">
        <f>BH376/BB376</f>
        <v>1.8157824240691325</v>
      </c>
      <c r="BE376" s="4">
        <f>IF(BD376&lt;1,1,0)</f>
        <v>0</v>
      </c>
      <c r="BF376" s="4">
        <f>L376/N376*M376^0.5/0.19</f>
        <v>317.78509906100612</v>
      </c>
      <c r="BG376" s="4">
        <f>MIN(0.6+0.4*(AC376/AB376),2)</f>
        <v>1</v>
      </c>
      <c r="BH376" s="38">
        <f>2*M376*AB376*AD376^0.5*BG376*0.7/0.7</f>
        <v>701.73793103448281</v>
      </c>
      <c r="BI376" s="4">
        <f>MAX(1-0.7*AE376/5,0.3)</f>
        <v>0.44000000000000006</v>
      </c>
      <c r="BJ376" s="4">
        <f>BI376*J376*L376/(J376*N376/2.75/M376^0.5)</f>
        <v>73.058794274125319</v>
      </c>
      <c r="BK376" s="4">
        <f>BH376+BJ376</f>
        <v>774.79672530860807</v>
      </c>
      <c r="BM376" s="4">
        <f>MIN(1.5, 0.75+0.25*MIN(3,MAX(1,S376/N376))+0.4*MIN(1,(40*2*PI()*AM376^2/4/AO376/X376)/N376))</f>
        <v>1.5</v>
      </c>
      <c r="BN376" s="4">
        <f>(3*P376+30)*BM376*M376^0.5</f>
        <v>571.60279357923548</v>
      </c>
      <c r="BP376" s="4">
        <f>3.4/PI()^0.5*M376*AB376*AE376^0.5*BG376</f>
        <v>673.05249281901524</v>
      </c>
      <c r="BQ376" s="4">
        <f>8/3*AK376*AI376^2/(AG376-N376-22)/N376*(AG376^2-N376^2)/(AG376^2-(N376+22)^2)</f>
        <v>0</v>
      </c>
      <c r="BR376" s="4">
        <f>BQ376/BP376</f>
        <v>0</v>
      </c>
      <c r="BZ376" s="4">
        <f>IF(W376=0,S376,MIN(W376/2,S376))</f>
        <v>87.63</v>
      </c>
      <c r="CD376" s="9"/>
      <c r="CF376" s="9"/>
      <c r="CG376" s="9"/>
      <c r="CH376" s="9">
        <f>IF(W376=0,MIN(S376,U376),MIN(W376/2,S376,U376))</f>
        <v>87.63</v>
      </c>
      <c r="CI376" s="9">
        <f>MAX(W376/2,S376)</f>
        <v>123.19</v>
      </c>
      <c r="CJ376" s="9">
        <f>(CH376/N376)^0.5*(CI376/CH376)^0.15</f>
        <v>1.9547802569983255</v>
      </c>
      <c r="CK376" s="70">
        <f>IF(AO376&gt;1,20,0)</f>
        <v>20</v>
      </c>
      <c r="CL376" s="9">
        <f>MIN(PI()*AM376^2/4*AN376*2/X376/N376/MAX(0.01,AO376),0.05)</f>
        <v>0.05</v>
      </c>
      <c r="CM376" s="9">
        <f>MAX(0,CK376*(CL376-0.5/50))</f>
        <v>0.8</v>
      </c>
      <c r="CN376" s="9">
        <f>MIN(1,(25/N376)^0.3)</f>
        <v>0.99524931562137331</v>
      </c>
      <c r="CO376" s="9">
        <f>IF(J376&gt;=800,0.68,IF(J376&gt;=700,0.75-(J376-700)*0.07/100,IF(J376&gt;=600,0.85-(J376-600)*0.1/100,IF(J376&gt;=500,1-(J376-500)*0.15/100,1.2-(J376-400)*0.2/100))))</f>
        <v>0.68</v>
      </c>
      <c r="CP376" s="9">
        <f>1.75*CN376*CO376*(M376/25)^0.5</f>
        <v>1.5785842929910907</v>
      </c>
      <c r="CQ376" s="9">
        <f>MIN((CJ376+CM376)*CP376,2.5*CP376,M376^0.5)</f>
        <v>3.9464607324777266</v>
      </c>
      <c r="CR376" s="40">
        <v>1</v>
      </c>
      <c r="CS376" s="9">
        <f>4*CQ376*P376+60*CQ376</f>
        <v>379.80738089365639</v>
      </c>
      <c r="CU376" s="4">
        <f>AJ376/BF376</f>
        <v>2.2135974214669707</v>
      </c>
      <c r="CV376" s="4">
        <f>AJ376/BK376</f>
        <v>0.90791333117970996</v>
      </c>
      <c r="CW376" s="4">
        <f>AJ376/BN376</f>
        <v>1.2306592685757356</v>
      </c>
      <c r="CX376" s="4">
        <f>AJ376/CS376</f>
        <v>1.8521184980842436</v>
      </c>
      <c r="CY376" s="4">
        <f>AJ376/DZ376</f>
        <v>1.0255837865554474</v>
      </c>
      <c r="CZ376" s="4">
        <f>AJ376/EL376</f>
        <v>1.0953486974677027</v>
      </c>
      <c r="DA376" s="4">
        <f>AJ376/GI376</f>
        <v>1.327132930109501</v>
      </c>
      <c r="DB376" s="4">
        <f>AN376</f>
        <v>10</v>
      </c>
      <c r="DI376" s="4">
        <f>CU376</f>
        <v>2.2135974214669707</v>
      </c>
      <c r="DJ376" s="4">
        <f>CV376</f>
        <v>0.90791333117970996</v>
      </c>
      <c r="DK376" s="4">
        <f>CX376</f>
        <v>1.8521184980842436</v>
      </c>
      <c r="DL376" s="4">
        <f>DA376</f>
        <v>1.327132930109501</v>
      </c>
      <c r="DM376" s="4">
        <f>CY376</f>
        <v>1.0255837865554474</v>
      </c>
      <c r="DN376" s="4">
        <f>CZ376</f>
        <v>1.0953486974677027</v>
      </c>
      <c r="DQ376" s="4">
        <f>L376</f>
        <v>230.124</v>
      </c>
      <c r="DT376" s="4">
        <f>K376/4/(1-0.3*(M376/30)^0.5)/200000/N376</f>
        <v>1.7835275850587528E-5</v>
      </c>
      <c r="DU376" s="4">
        <f>EP376</f>
        <v>9.5695859688824623</v>
      </c>
      <c r="DV376" s="4">
        <f>EC376*AG376/257/M376/AD376</f>
        <v>0.48074954631931027</v>
      </c>
      <c r="DW376" s="4">
        <f>DU376*DV376^0.4</f>
        <v>7.1393833409390375</v>
      </c>
      <c r="DX376" s="4">
        <f>MIN(DU376, DU376/1.4*(1-DV376^1.4)/(1-DV376))</f>
        <v>8.4425686834085472</v>
      </c>
      <c r="DY376" s="4">
        <f>MAX(DU376/2, (4-DT376*(8*AG376*(DW376-DX376)+6*K376*DX376))/(4+DT376*K376*DU376)*DU376)</f>
        <v>9.0089963326407201</v>
      </c>
      <c r="DZ376" s="38">
        <f>MIN(1/N376*(4*AG376*(DW376-DX376)+(3*DX376+DY376)*K376)+EC376 -FJ376,MAX(J376,AJ376))</f>
        <v>685.90034776650373</v>
      </c>
      <c r="EA376" s="4">
        <f>DZ376/FF376</f>
        <v>1.0001134871288546</v>
      </c>
      <c r="EB376" s="4">
        <f>AG376/N376</f>
        <v>2.2360679774997898</v>
      </c>
      <c r="EC376" s="4">
        <f>MIN(EB$10*BB376)</f>
        <v>386.46586822990719</v>
      </c>
      <c r="EG376" s="4">
        <f>IF(U376&gt;1*N376,0.85,1)</f>
        <v>0.85</v>
      </c>
      <c r="EH376" s="4">
        <f>MIN(1,MAX(0.7,(1-0.1*(BZ376-1*N376)/N376)))</f>
        <v>0.755</v>
      </c>
      <c r="EI376" s="4">
        <f>MIN(1,MAX(0.7,1-0.3*(PI()*AM376^2/4*AQ376*2-0.25*PI()/4*N376^2)/(PI()/4*N376^2)))</f>
        <v>0.99062499999999998</v>
      </c>
      <c r="EJ376" s="4">
        <f>IF(EH376*EI376&lt;0.7,0.7,EH376*EI376)</f>
        <v>0.74792187499999996</v>
      </c>
      <c r="EL376" s="4">
        <f>MIN(DU376/N376*3*K376+EM376-FJ376,MAX(J376,AJ376))</f>
        <v>642.21400681659259</v>
      </c>
      <c r="EM376" s="25">
        <f>13.3*Q376*K376^0.5*M376^0.5/X376/N376^2*(0.7+S376/5/K376)</f>
        <v>382.11266018236722</v>
      </c>
      <c r="EO376" s="4">
        <f>EG376*EJ376</f>
        <v>0.63573359374999994</v>
      </c>
      <c r="EP376" s="4">
        <f>IF(N376&lt;22.2,1.1*5*(M376/30)^0.5,IF(N376&gt;=31.8,0.9*5*(M376/30)^0.5,1*5*(M376/30)^0.5))/EG376/EJ376</f>
        <v>9.5695859688824623</v>
      </c>
      <c r="ES376" s="4">
        <f>ET376*N376</f>
        <v>56.796126628494655</v>
      </c>
      <c r="ET376" s="4">
        <f>AF376^0.5</f>
        <v>2.2360679774997898</v>
      </c>
      <c r="EU376" s="4">
        <f>MIN(EC376)/(4700*M376^0.5)/AE376*ES376</f>
        <v>0.17519152014128195</v>
      </c>
      <c r="EX376" s="4">
        <f>EU376</f>
        <v>0.17519152014128195</v>
      </c>
      <c r="EY376" s="4">
        <f>MIN(0.999, EX376/(0.3*(M376/30)^0.5))</f>
        <v>0.47994726492603873</v>
      </c>
      <c r="EZ376" s="4">
        <f>EP376/1*EY376^0.4</f>
        <v>7.1346152328052508</v>
      </c>
      <c r="FA376" s="4">
        <f>EP376/1.4*(1-EY376^1.4)/(1-EY376)</f>
        <v>8.4405545920590228</v>
      </c>
      <c r="FB376" s="4">
        <f>MAX(0,DQ376*FB$9-ES376)</f>
        <v>115.79687337150534</v>
      </c>
      <c r="FC376" s="4">
        <f>MAX(0,DQ376-ES376-FB376)</f>
        <v>57.531000000000006</v>
      </c>
      <c r="FD376" s="4">
        <f>FC376/(1-0.3*(M376/30)^0.5)/200000/N376</f>
        <v>1.7835275850587531E-5</v>
      </c>
      <c r="FE376" s="4">
        <f>MAX(0.5*EP376, (1-2*FD376*(ES376*EZ376+FB376*FA376))/(1/EP376+FD376*FC376))</f>
        <v>9.0091667133943858</v>
      </c>
      <c r="FF376" s="4">
        <f>MIN(4/N376*(1*EZ376*ES376+FA376*FB376+FC376*FE376)+EC376,MAX(J376,AJ376))</f>
        <v>685.82251573828876</v>
      </c>
      <c r="FO376" s="23">
        <f>IF(CU376&lt;0.6,0.6,IF(CU376&lt;0.8,0.8,IF(CU376&lt;1,1,IF(CU376&lt;1.2,1.2,IF(CU376&lt;1.4,1.4,IF(CU376&lt;1.6,1.6,IF(CU376&lt;1.8,1.8,IF(CU376&lt;2,2,2.2))))))))</f>
        <v>2.2000000000000002</v>
      </c>
      <c r="FP376" s="23">
        <f>IF(CV376&lt;0.6,0.6,IF(CV376&lt;0.8,0.8,IF(CV376&lt;1,1,IF(CV376&lt;1.2,1.2,IF(CV376&lt;1.4,1.4,IF(CV376&lt;1.6,1.6,IF(CV376&lt;1.8,1.8,IF(CV376&lt;2,2,2.2))))))))</f>
        <v>1</v>
      </c>
      <c r="FQ376" s="23">
        <f>IF(DA376&lt;0.6,0.6,IF(DA376&lt;0.8,0.8,IF(DA376&lt;1,1,IF(DA376&lt;1.2,1.2,IF(DA376&lt;1.4,1.4,IF(DA376&lt;1.6,1.6,IF(DA376&lt;1.8,1.8,IF(DA376&lt;2,2,2.2))))))))</f>
        <v>1.4</v>
      </c>
      <c r="FR376" s="23">
        <f>IF(CX376&lt;0.6,0.6,IF(CX376&lt;0.8,0.8,IF(CX376&lt;1,1,IF(CX376&lt;1.2,1.2,IF(CX376&lt;1.4,1.4,IF(CX376&lt;1.6,1.6,IF(CX376&lt;1.8,1.8,IF(CX376&lt;2,2,2.2))))))))</f>
        <v>2</v>
      </c>
      <c r="FS376" s="23">
        <f>IF(CY376&lt;0.6,0.6,IF(CY376&lt;0.8,0.8,IF(CY376&lt;1,1,IF(CY376&lt;1.2,1.2,IF(CY376&lt;1.4,1.4,IF(CY376&lt;1.6,1.6,IF(CY376&lt;1.8,1.8,IF(CY376&lt;2,2,2.2))))))))</f>
        <v>1.2</v>
      </c>
      <c r="FT376" s="23">
        <f>IF(CZ376&lt;0.6,0.6,IF(CZ376&lt;0.8,0.8,IF(CZ376&lt;1,1,IF(CZ376&lt;1.2,1.2,IF(CZ376&lt;1.4,1.4,IF(CZ376&lt;1.6,1.6,IF(CZ376&lt;1.8,1.8,IF(CZ376&lt;2,2,2.2))))))))</f>
        <v>1.2</v>
      </c>
      <c r="FU376" s="23">
        <f>IF(FS376&lt;1,1,0)</f>
        <v>0</v>
      </c>
      <c r="FV376" s="23"/>
      <c r="GF376" s="4">
        <f>IF(S376&gt;=2.5*25.4,1,1.25)</f>
        <v>1</v>
      </c>
      <c r="GG376" s="4">
        <f>IF(AO376&gt;1, 0.05*(18-MIN(8,(W376+N376)/N376))*(1-48000/MAX(60000,(J376*145))*(N376/25.4)^0.75*GH376), 1/12*(14-MIN(8,(W376+N376)/N376)))</f>
        <v>0.44</v>
      </c>
      <c r="GH376" s="4">
        <f>MIN(0.3, AM376^2*PI()/4*2*AP376/(N376^2*PI()/4*X376))</f>
        <v>0.3</v>
      </c>
      <c r="GI376" s="4">
        <f>(K376/25.4)/(N376/25.4)^1.5/0.0024*(M376*145)^0.25/GF376/GG376/145</f>
        <v>530.05110483094404</v>
      </c>
    </row>
    <row r="377" spans="1:191" ht="12" customHeight="1" x14ac:dyDescent="0.3">
      <c r="A377" s="25">
        <v>330</v>
      </c>
      <c r="B377" s="4" t="s">
        <v>605</v>
      </c>
      <c r="C377" s="4">
        <v>2016</v>
      </c>
      <c r="D377" s="4" t="s">
        <v>309</v>
      </c>
      <c r="E377" s="24" t="s">
        <v>491</v>
      </c>
      <c r="F377" s="24"/>
      <c r="G377" s="24">
        <v>53</v>
      </c>
      <c r="H377" s="48" t="s">
        <v>493</v>
      </c>
      <c r="I377" s="5">
        <f>K377/N377</f>
        <v>9</v>
      </c>
      <c r="J377" s="78">
        <f>115.9/0.145</f>
        <v>799.31034482758628</v>
      </c>
      <c r="K377" s="38">
        <f>9*25.4</f>
        <v>228.6</v>
      </c>
      <c r="L377" s="4">
        <f>K377</f>
        <v>228.6</v>
      </c>
      <c r="M377" s="38">
        <f>6710/145</f>
        <v>46.275862068965516</v>
      </c>
      <c r="N377" s="38">
        <f>1*25.4</f>
        <v>25.4</v>
      </c>
      <c r="O377" s="7">
        <f>K377/N377</f>
        <v>9</v>
      </c>
      <c r="P377" s="7">
        <f>L377/N377</f>
        <v>9</v>
      </c>
      <c r="Q377" s="38">
        <f>15.3*25.4</f>
        <v>388.62</v>
      </c>
      <c r="R377" s="32">
        <f>S377/N377</f>
        <v>2.5499999999999998</v>
      </c>
      <c r="S377" s="38">
        <f>2.55*25.4</f>
        <v>64.77</v>
      </c>
      <c r="T377" s="32">
        <f>U377/N377</f>
        <v>3.45</v>
      </c>
      <c r="U377" s="39">
        <f>3.45*25.4</f>
        <v>87.63</v>
      </c>
      <c r="V377" s="32">
        <f>W377/N377</f>
        <v>8.2000000000000011</v>
      </c>
      <c r="W377" s="7">
        <f>(Q377-X377*N377-2*S377)/(X377-1)</f>
        <v>208.28</v>
      </c>
      <c r="X377" s="38">
        <v>2</v>
      </c>
      <c r="Y377" s="7">
        <f>AN377</f>
        <v>0</v>
      </c>
      <c r="Z377" s="32">
        <f>AA377/N377</f>
        <v>10.25</v>
      </c>
      <c r="AA377" s="4">
        <f>10.25*25.4</f>
        <v>260.34999999999997</v>
      </c>
      <c r="AB377" s="7">
        <f>MIN(S377/N377+0.5, W377/2/N377+0.5)</f>
        <v>3.05</v>
      </c>
      <c r="AC377" s="7">
        <f>S377/N377+0.5</f>
        <v>3.05</v>
      </c>
      <c r="AD377" s="38">
        <v>4.5</v>
      </c>
      <c r="AE377" s="4">
        <f>AD377</f>
        <v>4.5</v>
      </c>
      <c r="AF377" s="4">
        <f>AE377+1</f>
        <v>5.5</v>
      </c>
      <c r="AG377" s="7">
        <f>N377*AF377^0.5</f>
        <v>59.568280149757555</v>
      </c>
      <c r="AJ377" s="38">
        <f>AK377/0.145</f>
        <v>513.10344827586209</v>
      </c>
      <c r="AK377" s="4">
        <v>74.400000000000006</v>
      </c>
      <c r="AL377" s="4">
        <f>CY377</f>
        <v>0.89753775945612424</v>
      </c>
      <c r="AM377" s="38">
        <v>0</v>
      </c>
      <c r="AN377" s="38">
        <v>0</v>
      </c>
      <c r="AO377" s="39">
        <f>L377</f>
        <v>228.6</v>
      </c>
      <c r="AP377" s="39"/>
      <c r="AQ377" s="39"/>
      <c r="AR377" s="7"/>
      <c r="AS377" s="4">
        <f>K377</f>
        <v>228.6</v>
      </c>
      <c r="AT377" s="4">
        <f>IF(K377*3&gt;W377+N377, Q377, (S377+N377/2)*2+1.5*K377*(2*X377-2))*(3*K377)/(9*K377^2)</f>
        <v>0.56666666666666654</v>
      </c>
      <c r="AU377" s="4">
        <f>MIN(10*M377^0.5*K377^1.5,100*3.9*M377^0.5*K377^(5/3))/(PI()/4*N377^2)/X377</f>
        <v>232.00870916574723</v>
      </c>
      <c r="AV377" s="4">
        <f>MIN(0.7+0.3*(MIN(S377,AA377)+0.5*N377)/1.5/K377,1)</f>
        <v>0.76777777777777778</v>
      </c>
      <c r="AW377" s="4">
        <v>1.25</v>
      </c>
      <c r="AX377" s="4">
        <f>AX376</f>
        <v>2.5</v>
      </c>
      <c r="AY377" s="38">
        <f>AT377*AV377*AW377*AX377*AU377</f>
        <v>315.44054474190187</v>
      </c>
      <c r="AZ377" s="38">
        <f>AY377</f>
        <v>315.44054474190187</v>
      </c>
      <c r="BA377" s="38">
        <f>IF(M377&lt;50, 0.3*M377^(2/3), 2.12*LN(1+0.1*(M377+8)))</f>
        <v>3.8668524435568052</v>
      </c>
      <c r="BB377" s="38">
        <f>AX377* (M377^0.5/AS377^0.5)/(PI()/4*N377^2)/X377/0.72 *(0.7+(MIN(S377,AA377)+0.5*N377)/5/K377) *(3*Q377*K377)</f>
        <v>315.44054474190187</v>
      </c>
      <c r="BC377" s="38">
        <f>AY377/BB377</f>
        <v>1</v>
      </c>
      <c r="BD377" s="38">
        <f>BH377/BB377</f>
        <v>1.898336052482289</v>
      </c>
      <c r="BE377" s="4">
        <f>IF(BD377&lt;1,1,0)</f>
        <v>0</v>
      </c>
      <c r="BF377" s="4">
        <f>L377/N377*M377^0.5/0.19</f>
        <v>322.23014553597972</v>
      </c>
      <c r="BG377" s="4">
        <f>MIN(0.6+0.4*(AC377/AB377),2)</f>
        <v>1</v>
      </c>
      <c r="BH377" s="38">
        <f>2*M377*AB377*AD377^0.5*BG377*0.7/0.7</f>
        <v>598.81215849820489</v>
      </c>
      <c r="BI377" s="4">
        <f>MAX(1-0.7*AE377/5,0.3)</f>
        <v>0.37</v>
      </c>
      <c r="BJ377" s="4">
        <f>BI377*J377*L377/(J377*N377/2.75/M377^0.5)</f>
        <v>62.295142885743282</v>
      </c>
      <c r="BK377" s="4">
        <f>BH377+BJ377</f>
        <v>661.1073013839482</v>
      </c>
      <c r="BM377" s="4">
        <f>MIN(1.5, 0.75+0.25*MIN(3,MAX(1,S377/N377))+0.4*MIN(1,(40*2*PI()*AM377^2/4/AO377/X377)/N377))</f>
        <v>1.3875</v>
      </c>
      <c r="BN377" s="4">
        <f>(3*P377+30)*BM377*M377^0.5</f>
        <v>538.00350674051015</v>
      </c>
      <c r="BP377" s="4">
        <f>3.4/PI()^0.5*M377*AB377*AE377^0.5*BG377</f>
        <v>574.33408995494005</v>
      </c>
      <c r="BQ377" s="4">
        <f>8/3*AH377*AI377^2/(AG377-N377-22)/N377*(AG377^2-N377^2)/(AG377^2-(N377+22)^2)</f>
        <v>0</v>
      </c>
      <c r="BR377" s="4">
        <f>BQ377/BP377</f>
        <v>0</v>
      </c>
      <c r="BZ377" s="4">
        <f>IF(W377=0,S377,MIN(W377/2,S377))</f>
        <v>64.77</v>
      </c>
      <c r="CD377" s="9"/>
      <c r="CF377" s="9"/>
      <c r="CG377" s="9"/>
      <c r="CH377" s="9">
        <f>IF(W377=0,MIN(S377,U377),MIN(W377/2,S377,U377))</f>
        <v>64.77</v>
      </c>
      <c r="CI377" s="9">
        <f>MAX(W377/2,S377)</f>
        <v>104.14</v>
      </c>
      <c r="CJ377" s="9">
        <f>(CH377/N377)^0.5*(CI377/CH377)^0.15</f>
        <v>1.7147730195910189</v>
      </c>
      <c r="CK377" s="70">
        <f>IF(AO377&gt;1,20,0)</f>
        <v>20</v>
      </c>
      <c r="CL377" s="9">
        <f>MIN(PI()*AM377^2/4*AN377*2/X377/N377/MAX(0.01,AO377),0.05)</f>
        <v>0</v>
      </c>
      <c r="CM377" s="9">
        <f>MAX(0,CK377*(CL377-0.5/50))</f>
        <v>0</v>
      </c>
      <c r="CN377" s="9">
        <f>MIN(1,(25/N377)^0.3)</f>
        <v>0.99524931562137331</v>
      </c>
      <c r="CO377" s="9">
        <f>IF(J377&gt;=800,0.68,IF(J377&gt;=700,0.75-(J377-700)*0.07/100,IF(J377&gt;=600,0.85-(J377-600)*0.1/100,IF(J377&gt;=500,1-(J377-500)*0.15/100,1.2-(J377-400)*0.2/100))))</f>
        <v>0.68048275862068963</v>
      </c>
      <c r="CP377" s="9">
        <f>1.75*CN377*CO377*(M377/25)^0.5</f>
        <v>1.6124799265763963</v>
      </c>
      <c r="CQ377" s="9">
        <f>MIN((CJ377+CM377)*CP377,2.5*CP377,M377^0.5)</f>
        <v>2.7650370727253115</v>
      </c>
      <c r="CR377" s="40">
        <v>1</v>
      </c>
      <c r="CS377" s="9">
        <f>4*CQ377*P377+60*CQ377</f>
        <v>265.44355898162991</v>
      </c>
      <c r="CU377" s="4">
        <f>AJ377/BF377</f>
        <v>1.592350856628868</v>
      </c>
      <c r="CV377" s="4">
        <f>AJ377/BK377</f>
        <v>0.77612733545937562</v>
      </c>
      <c r="CW377" s="4">
        <f>AJ377/BN377</f>
        <v>0.95371766512172973</v>
      </c>
      <c r="CX377" s="4">
        <f>AJ377/CS377</f>
        <v>1.9330039509882082</v>
      </c>
      <c r="CY377" s="4">
        <f>AJ377/DZ377</f>
        <v>0.89753775945612424</v>
      </c>
      <c r="CZ377" s="4">
        <f>AJ377/EL377</f>
        <v>0.94115541649385537</v>
      </c>
      <c r="DA377" s="4">
        <f>AJ377/GI377</f>
        <v>1.0960517053259571</v>
      </c>
      <c r="DB377" s="4">
        <f>AN377</f>
        <v>0</v>
      </c>
      <c r="DC377" s="4">
        <f>CU377</f>
        <v>1.592350856628868</v>
      </c>
      <c r="DD377" s="4">
        <f>CV377</f>
        <v>0.77612733545937562</v>
      </c>
      <c r="DE377" s="4">
        <f>CX377</f>
        <v>1.9330039509882082</v>
      </c>
      <c r="DF377" s="4">
        <f>DA377</f>
        <v>1.0960517053259571</v>
      </c>
      <c r="DG377" s="4">
        <f>CY377</f>
        <v>0.89753775945612424</v>
      </c>
      <c r="DH377" s="4">
        <f>CZ377</f>
        <v>0.94115541649385537</v>
      </c>
      <c r="DQ377" s="4">
        <f>L377</f>
        <v>228.6</v>
      </c>
      <c r="DT377" s="4">
        <f>K377/4/(1-0.3*(M377/30)^0.5)/200000/N377</f>
        <v>1.7931022683563105E-5</v>
      </c>
      <c r="DU377" s="4">
        <f>EP377</f>
        <v>8.6459157905566411</v>
      </c>
      <c r="DV377" s="4">
        <f>EC377*AG377/257/M377/AD377</f>
        <v>0.35110128616235364</v>
      </c>
      <c r="DW377" s="4">
        <f>DU377*DV377^0.4</f>
        <v>5.6883193387798539</v>
      </c>
      <c r="DX377" s="4">
        <f>MIN(DU377, DU377/1.4*(1-DV377^1.4)/(1-DV377))</f>
        <v>7.3187071889491833</v>
      </c>
      <c r="DY377" s="4">
        <f>MAX(DU377/2, (4-DT377*(8*AG377*(DW377-DX377)+6*K377*DX377))/(4+DT377*K377*DU377)*DU377)</f>
        <v>8.2141899726092866</v>
      </c>
      <c r="DZ377" s="38">
        <f>MIN(1/N377*(4*AG377*(DW377-DX377)+(3*DX377+DY377)*K377)+EC377 -FJ377,MAX(J377,AJ377))</f>
        <v>571.67895486289558</v>
      </c>
      <c r="EA377" s="4">
        <f>DZ377/FF377</f>
        <v>1.000105841760796</v>
      </c>
      <c r="EB377" s="4">
        <f>AG377/N377</f>
        <v>2.3452078799117149</v>
      </c>
      <c r="EC377" s="4">
        <f>MIN(EB$10*BB377)</f>
        <v>315.44054474190187</v>
      </c>
      <c r="EG377" s="4">
        <f>IF(U377&gt;1*N377,0.85,1)</f>
        <v>0.85</v>
      </c>
      <c r="EH377" s="4">
        <f>MIN(1,MAX(0.7,(1-0.1*(BZ377-1*N377)/N377)))</f>
        <v>0.84499999999999997</v>
      </c>
      <c r="EI377" s="4">
        <f>MIN(1,MAX(0.7,1-0.3*(PI()*AM377^2/4*AQ377*2-0.25*PI()/4*N377^2)/(PI()/4*N377^2)))</f>
        <v>1</v>
      </c>
      <c r="EJ377" s="4">
        <f>IF(EH377*EI377&lt;0.7,0.7,EH377*EI377)</f>
        <v>0.84499999999999997</v>
      </c>
      <c r="EL377" s="4">
        <f>MIN(DU377/N377*3*K377+EM377-FJ377,MAX(J377,AJ377))</f>
        <v>545.18460955934165</v>
      </c>
      <c r="EM377" s="25">
        <f>13.3*Q377*K377^0.5*M377^0.5/X377/N377^2*(0.7+S377/5/K377)</f>
        <v>311.74488321431227</v>
      </c>
      <c r="EO377" s="4">
        <f>EG377*EJ377</f>
        <v>0.71824999999999994</v>
      </c>
      <c r="EP377" s="4">
        <f>IF(N377&lt;22.2,1.1*5*(M377/30)^0.5,IF(N377&gt;=31.8,0.9*5*(M377/30)^0.5,1*5*(M377/30)^0.5))/EG377/EJ377</f>
        <v>8.6459157905566411</v>
      </c>
      <c r="ES377" s="4">
        <f>ET377*N377</f>
        <v>59.568280149757555</v>
      </c>
      <c r="ET377" s="4">
        <f>AF377^0.5</f>
        <v>2.3452078799117149</v>
      </c>
      <c r="EU377" s="4">
        <f>MIN(EC377)/(4700*M377^0.5)/AE377*ES377</f>
        <v>0.13060053161250176</v>
      </c>
      <c r="EX377" s="4">
        <f>EU377</f>
        <v>0.13060053161250176</v>
      </c>
      <c r="EY377" s="4">
        <f>MIN(0.999, EX377/(0.3*(M377/30)^0.5))</f>
        <v>0.35051536355213303</v>
      </c>
      <c r="EZ377" s="4">
        <f>EP377/1*EY377^0.4</f>
        <v>5.6845203381643117</v>
      </c>
      <c r="FA377" s="4">
        <f>EP377/1.4*(1-EY377^1.4)/(1-EY377)</f>
        <v>7.3172346462199735</v>
      </c>
      <c r="FB377" s="4">
        <f>MAX(0,DQ377*FB$9-ES377)</f>
        <v>111.88171985024243</v>
      </c>
      <c r="FC377" s="4">
        <f>MAX(0,DQ377-ES377-FB377)</f>
        <v>57.150000000000006</v>
      </c>
      <c r="FD377" s="4">
        <f>FC377/(1-0.3*(M377/30)^0.5)/200000/N377</f>
        <v>1.7931022683563109E-5</v>
      </c>
      <c r="FE377" s="4">
        <f>MAX(0.5*EP377, (1-2*FD377*(ES377*EZ377+FB377*FA377))/(1/EP377+FD377*FC377))</f>
        <v>8.2143101569991188</v>
      </c>
      <c r="FF377" s="4">
        <f>MIN(4/N377*(1*EZ377*ES377+FA377*FB377+FC377*FE377)+EC377,MAX(J377,AJ377))</f>
        <v>571.61845375924622</v>
      </c>
      <c r="FI377" s="4">
        <f>5.25*25.4</f>
        <v>133.35</v>
      </c>
      <c r="FO377" s="23">
        <f>IF(CU377&lt;0.6,0.6,IF(CU377&lt;0.8,0.8,IF(CU377&lt;1,1,IF(CU377&lt;1.2,1.2,IF(CU377&lt;1.4,1.4,IF(CU377&lt;1.6,1.6,IF(CU377&lt;1.8,1.8,IF(CU377&lt;2,2,2.2))))))))</f>
        <v>1.6</v>
      </c>
      <c r="FP377" s="23">
        <f>IF(CV377&lt;0.6,0.6,IF(CV377&lt;0.8,0.8,IF(CV377&lt;1,1,IF(CV377&lt;1.2,1.2,IF(CV377&lt;1.4,1.4,IF(CV377&lt;1.6,1.6,IF(CV377&lt;1.8,1.8,IF(CV377&lt;2,2,2.2))))))))</f>
        <v>0.8</v>
      </c>
      <c r="FQ377" s="23">
        <f>IF(DA377&lt;0.6,0.6,IF(DA377&lt;0.8,0.8,IF(DA377&lt;1,1,IF(DA377&lt;1.2,1.2,IF(DA377&lt;1.4,1.4,IF(DA377&lt;1.6,1.6,IF(DA377&lt;1.8,1.8,IF(DA377&lt;2,2,2.2))))))))</f>
        <v>1.2</v>
      </c>
      <c r="FR377" s="23">
        <f>IF(CX377&lt;0.6,0.6,IF(CX377&lt;0.8,0.8,IF(CX377&lt;1,1,IF(CX377&lt;1.2,1.2,IF(CX377&lt;1.4,1.4,IF(CX377&lt;1.6,1.6,IF(CX377&lt;1.8,1.8,IF(CX377&lt;2,2,2.2))))))))</f>
        <v>2</v>
      </c>
      <c r="FS377" s="23">
        <f>IF(CY377&lt;0.6,0.6,IF(CY377&lt;0.8,0.8,IF(CY377&lt;1,1,IF(CY377&lt;1.2,1.2,IF(CY377&lt;1.4,1.4,IF(CY377&lt;1.6,1.6,IF(CY377&lt;1.8,1.8,IF(CY377&lt;2,2,2.2))))))))</f>
        <v>1</v>
      </c>
      <c r="FT377" s="23">
        <f>IF(CZ377&lt;0.6,0.6,IF(CZ377&lt;0.8,0.8,IF(CZ377&lt;1,1,IF(CZ377&lt;1.2,1.2,IF(CZ377&lt;1.4,1.4,IF(CZ377&lt;1.6,1.6,IF(CZ377&lt;1.8,1.8,IF(CZ377&lt;2,2,2.2))))))))</f>
        <v>1</v>
      </c>
      <c r="FU377" s="23">
        <f>IF(FS377&lt;1,1,0)</f>
        <v>0</v>
      </c>
      <c r="FV377" s="23"/>
      <c r="GF377" s="4">
        <f>IF(S377&gt;=2.5*25.4,1,1.25)</f>
        <v>1</v>
      </c>
      <c r="GG377" s="4">
        <f>IF(AO377&gt;1, 0.05*(18-MIN(8,(W377+N377)/N377))*(1-48000/MAX(60000,(J377*145))*(N377/25.4)^0.75*GH377), 1/12*(14-MIN(8,(W377+N377)/N377)))</f>
        <v>0.5</v>
      </c>
      <c r="GH377" s="4">
        <f>MIN(0.3, AM377^2*PI()/4*2*AP377/(N377^2*PI()/4*X377))</f>
        <v>0</v>
      </c>
      <c r="GI377" s="4">
        <f>(K377/25.4)/(N377/25.4)^1.5/0.0024*(M377*145)^0.25/GF377/GG377/145</f>
        <v>468.13799548194601</v>
      </c>
    </row>
    <row r="378" spans="1:191" ht="12" customHeight="1" x14ac:dyDescent="0.3">
      <c r="A378" s="25">
        <v>332</v>
      </c>
      <c r="B378" s="4" t="s">
        <v>605</v>
      </c>
      <c r="C378" s="4">
        <v>2016</v>
      </c>
      <c r="D378" s="4" t="s">
        <v>309</v>
      </c>
      <c r="E378" s="24" t="s">
        <v>671</v>
      </c>
      <c r="F378" s="24"/>
      <c r="G378" s="24">
        <v>53</v>
      </c>
      <c r="H378" s="48" t="s">
        <v>495</v>
      </c>
      <c r="I378" s="5">
        <f>K378/N378</f>
        <v>9</v>
      </c>
      <c r="J378" s="78">
        <f>115.9/0.145</f>
        <v>799.31034482758628</v>
      </c>
      <c r="K378" s="38">
        <f>9*25.4</f>
        <v>228.6</v>
      </c>
      <c r="L378" s="4">
        <f>K378</f>
        <v>228.6</v>
      </c>
      <c r="M378" s="38">
        <f>6710/145</f>
        <v>46.275862068965516</v>
      </c>
      <c r="N378" s="38">
        <f>1*25.4</f>
        <v>25.4</v>
      </c>
      <c r="O378" s="7">
        <f>K378/N378</f>
        <v>9</v>
      </c>
      <c r="P378" s="7">
        <f>L378/N378</f>
        <v>9</v>
      </c>
      <c r="Q378" s="38">
        <f>11.3*25.4</f>
        <v>287.02</v>
      </c>
      <c r="R378" s="32">
        <f>S378/N378</f>
        <v>2.5</v>
      </c>
      <c r="S378" s="38">
        <f>2.5*25.4</f>
        <v>63.5</v>
      </c>
      <c r="T378" s="32">
        <f>U378/N378</f>
        <v>3.55</v>
      </c>
      <c r="U378" s="39">
        <f>3.55*25.4</f>
        <v>90.169999999999987</v>
      </c>
      <c r="V378" s="32">
        <f>W378/N378</f>
        <v>4.2999999999999989</v>
      </c>
      <c r="W378" s="7">
        <f>(Q378-X378*N378-2*S378)/(X378-1)</f>
        <v>109.21999999999997</v>
      </c>
      <c r="X378" s="38">
        <v>2</v>
      </c>
      <c r="Y378" s="7">
        <f>AN378</f>
        <v>0</v>
      </c>
      <c r="Z378" s="32">
        <f>AA378/N378</f>
        <v>10.25</v>
      </c>
      <c r="AA378" s="4">
        <f>10.25*25.4</f>
        <v>260.34999999999997</v>
      </c>
      <c r="AB378" s="7">
        <f>MIN(S378/N378+0.5, W378/2/N378+0.5)</f>
        <v>2.6499999999999995</v>
      </c>
      <c r="AC378" s="7">
        <f>S378/N378+0.5</f>
        <v>3</v>
      </c>
      <c r="AD378" s="38">
        <v>4.5</v>
      </c>
      <c r="AE378" s="4">
        <f>AD378</f>
        <v>4.5</v>
      </c>
      <c r="AF378" s="4">
        <f>AE378+1</f>
        <v>5.5</v>
      </c>
      <c r="AG378" s="7">
        <f>N378*AF378^0.5</f>
        <v>59.568280149757555</v>
      </c>
      <c r="AJ378" s="38">
        <f>AK378/0.145</f>
        <v>446.89655172413796</v>
      </c>
      <c r="AK378" s="4">
        <v>64.8</v>
      </c>
      <c r="AL378" s="4">
        <f>CY378</f>
        <v>0.95550025830198404</v>
      </c>
      <c r="AM378" s="38">
        <v>0</v>
      </c>
      <c r="AN378" s="38">
        <v>0</v>
      </c>
      <c r="AO378" s="39">
        <f>L378</f>
        <v>228.6</v>
      </c>
      <c r="AP378" s="39"/>
      <c r="AQ378" s="39"/>
      <c r="AR378" s="7"/>
      <c r="AS378" s="4">
        <f>K378</f>
        <v>228.6</v>
      </c>
      <c r="AT378" s="4">
        <f>IF(K378*3&gt;W378+N378, Q378, (S378+N378/2)*2+1.5*K378*(2*X378-2))*(3*K378)/(9*K378^2)</f>
        <v>0.4185185185185184</v>
      </c>
      <c r="AU378" s="4">
        <f>MIN(10*M378^0.5*K378^1.5,100*3.9*M378^0.5*K378^(5/3))/(PI()/4*N378^2)/X378</f>
        <v>232.00870916574723</v>
      </c>
      <c r="AV378" s="4">
        <f>MIN(0.7+0.3*(MIN(S378,AA378)+0.5*N378)/1.5/K378,1)</f>
        <v>0.76666666666666661</v>
      </c>
      <c r="AW378" s="4">
        <v>1.25</v>
      </c>
      <c r="AX378" s="4">
        <f>AX377</f>
        <v>2.5</v>
      </c>
      <c r="AY378" s="38">
        <f>AT378*AV378*AW378*AX378*AU378</f>
        <v>232.63527589574724</v>
      </c>
      <c r="AZ378" s="38">
        <f>AY378</f>
        <v>232.63527589574724</v>
      </c>
      <c r="BA378" s="38">
        <f>IF(M378&lt;50, 0.3*M378^(2/3), 2.12*LN(1+0.1*(M378+8)))</f>
        <v>3.8668524435568052</v>
      </c>
      <c r="BB378" s="38">
        <f>AX378* (M378^0.5/AS378^0.5)/(PI()/4*N378^2)/X378/0.72 *(0.7+(MIN(S378,AA378)+0.5*N378)/5/K378) *(3*Q378*K378)</f>
        <v>232.63527589574718</v>
      </c>
      <c r="BC378" s="38">
        <f>AY378/BB378</f>
        <v>1.0000000000000002</v>
      </c>
      <c r="BD378" s="38">
        <f>BH378/BB378</f>
        <v>2.3546122746229528</v>
      </c>
      <c r="BE378" s="4">
        <f>IF(BD378&lt;1,1,0)</f>
        <v>0</v>
      </c>
      <c r="BF378" s="4">
        <f>L378/N378*M378^0.5/0.19</f>
        <v>322.23014553597972</v>
      </c>
      <c r="BG378" s="4">
        <f>MIN(0.6+0.4*(AC378/AB378),2)</f>
        <v>1.0528301886792453</v>
      </c>
      <c r="BH378" s="38">
        <f>2*M378*AB378*AD378^0.5*BG378*0.7/0.7</f>
        <v>547.76587613442348</v>
      </c>
      <c r="BI378" s="4">
        <f>MAX(1-0.7*AE378/5,0.3)</f>
        <v>0.37</v>
      </c>
      <c r="BJ378" s="4">
        <f>BI378*J378*L378/(J378*N378/2.75/M378^0.5)</f>
        <v>62.295142885743282</v>
      </c>
      <c r="BK378" s="4">
        <f>BH378+BJ378</f>
        <v>610.06101902016678</v>
      </c>
      <c r="BM378" s="4">
        <f>MIN(1.5, 0.75+0.25*MIN(3,MAX(1,S378/N378))+0.4*MIN(1,(40*2*PI()*AM378^2/4/AO378/X378)/N378))</f>
        <v>1.375</v>
      </c>
      <c r="BN378" s="4">
        <f>(3*P378+30)*BM378*M378^0.5</f>
        <v>533.1566283014065</v>
      </c>
      <c r="BP378" s="4">
        <f>3.4/PI()^0.5*M378*AB378*AE378^0.5*BG378</f>
        <v>525.37446261451885</v>
      </c>
      <c r="BQ378" s="4">
        <f>8/3*AH378*AI378^2/(AG378-N378-22)/N378*(AG378^2-N378^2)/(AG378^2-(N378+22)^2)</f>
        <v>0</v>
      </c>
      <c r="BR378" s="4">
        <f>BQ378/BP378</f>
        <v>0</v>
      </c>
      <c r="BZ378" s="4">
        <f>IF(W378=0,S378,MIN(W378/2,S378))</f>
        <v>54.609999999999985</v>
      </c>
      <c r="CD378" s="9"/>
      <c r="CF378" s="9"/>
      <c r="CG378" s="9"/>
      <c r="CH378" s="9">
        <f>IF(W378=0,MIN(S378,U378),MIN(W378/2,S378,U378))</f>
        <v>54.609999999999985</v>
      </c>
      <c r="CI378" s="9">
        <f>MAX(W378/2,S378)</f>
        <v>63.5</v>
      </c>
      <c r="CJ378" s="9">
        <f>(CH378/N378)^0.5*(CI378/CH378)^0.15</f>
        <v>1.4998383783405258</v>
      </c>
      <c r="CK378" s="70">
        <f>IF(AO378&gt;1,20,0)</f>
        <v>20</v>
      </c>
      <c r="CL378" s="9">
        <f>MIN(PI()*AM378^2/4*AN378*2/X378/N378/MAX(0.01,AO378),0.05)</f>
        <v>0</v>
      </c>
      <c r="CM378" s="9">
        <f>MAX(0,CK378*(CL378-0.5/50))</f>
        <v>0</v>
      </c>
      <c r="CN378" s="9">
        <f>MIN(1,(25/N378)^0.3)</f>
        <v>0.99524931562137331</v>
      </c>
      <c r="CO378" s="9">
        <f>IF(J378&gt;=800,0.68,IF(J378&gt;=700,0.75-(J378-700)*0.07/100,IF(J378&gt;=600,0.85-(J378-600)*0.1/100,IF(J378&gt;=500,1-(J378-500)*0.15/100,1.2-(J378-400)*0.2/100))))</f>
        <v>0.68048275862068963</v>
      </c>
      <c r="CP378" s="9">
        <f>1.75*CN378*CO378*(M378/25)^0.5</f>
        <v>1.6124799265763963</v>
      </c>
      <c r="CQ378" s="9">
        <f>MIN((CJ378+CM378)*CP378,2.5*CP378,M378^0.5)</f>
        <v>2.4184592781829921</v>
      </c>
      <c r="CR378" s="40">
        <v>1</v>
      </c>
      <c r="CS378" s="9">
        <f>4*CQ378*P378+60*CQ378</f>
        <v>232.17209070556726</v>
      </c>
      <c r="CU378" s="4">
        <f>AJ378/BF378</f>
        <v>1.3868862299670786</v>
      </c>
      <c r="CV378" s="4">
        <f>AJ378/BK378</f>
        <v>0.73254402066519331</v>
      </c>
      <c r="CW378" s="4">
        <f>AJ378/BN378</f>
        <v>0.83820875142810081</v>
      </c>
      <c r="CX378" s="4">
        <f>AJ378/CS378</f>
        <v>1.9248504433329023</v>
      </c>
      <c r="CY378" s="4">
        <f>AJ378/DZ378</f>
        <v>0.95550025830198404</v>
      </c>
      <c r="CZ378" s="4">
        <f>AJ378/EL378</f>
        <v>0.98697622127594653</v>
      </c>
      <c r="DA378" s="4">
        <f>AJ378/GI378</f>
        <v>1.2123746121170023</v>
      </c>
      <c r="DB378" s="4">
        <f>AN378</f>
        <v>0</v>
      </c>
      <c r="DC378" s="4">
        <f>CU378</f>
        <v>1.3868862299670786</v>
      </c>
      <c r="DD378" s="4">
        <f>CV378</f>
        <v>0.73254402066519331</v>
      </c>
      <c r="DE378" s="4">
        <f>CX378</f>
        <v>1.9248504433329023</v>
      </c>
      <c r="DF378" s="4">
        <f>DA378</f>
        <v>1.2123746121170023</v>
      </c>
      <c r="DG378" s="4">
        <f>CY378</f>
        <v>0.95550025830198404</v>
      </c>
      <c r="DH378" s="4">
        <f>CZ378</f>
        <v>0.98697622127594653</v>
      </c>
      <c r="DQ378" s="4">
        <f>L378</f>
        <v>228.6</v>
      </c>
      <c r="DT378" s="4">
        <f>K378/4/(1-0.3*(M378/30)^0.5)/200000/N378</f>
        <v>1.7931022683563105E-5</v>
      </c>
      <c r="DU378" s="4">
        <f>EP378</f>
        <v>8.2551399356162278</v>
      </c>
      <c r="DV378" s="4">
        <f>EC378*AG378/257/M378/AD378</f>
        <v>0.25893483236456305</v>
      </c>
      <c r="DW378" s="4">
        <f>DU378*DV378^0.4</f>
        <v>4.808400460769148</v>
      </c>
      <c r="DX378" s="4">
        <f>MIN(DU378, DU378/1.4*(1-DV378^1.4)/(1-DV378))</f>
        <v>6.7567583551320318</v>
      </c>
      <c r="DY378" s="4">
        <f>MAX(DU378/2, (4-DT378*(8*AG378*(DW378-DX378)+6*K378*DX378))/(4+DT378*K378*DU378)*DU378)</f>
        <v>7.8798854996843941</v>
      </c>
      <c r="DZ378" s="38">
        <f>MIN(1/N378*(4*AG378*(DW378-DX378)+(3*DX378+DY378)*K378)+EC378 -FJ378,MAX(J378,AJ378))</f>
        <v>467.70950383447951</v>
      </c>
      <c r="EA378" s="4">
        <f>DZ378/FF378</f>
        <v>1.0001054299424883</v>
      </c>
      <c r="EB378" s="4">
        <f>AG378/N378</f>
        <v>2.3452078799117149</v>
      </c>
      <c r="EC378" s="4">
        <f>MIN(EB$10*BB378)</f>
        <v>232.63527589574718</v>
      </c>
      <c r="EG378" s="4">
        <f>IF(U378&gt;1*N378,0.85,1)</f>
        <v>0.85</v>
      </c>
      <c r="EH378" s="4">
        <f>MIN(1,MAX(0.7,(1-0.1*(BZ378-1*N378)/N378)))</f>
        <v>0.88500000000000001</v>
      </c>
      <c r="EI378" s="4">
        <f>MIN(1,MAX(0.7,1-0.3*(PI()*AM378^2/4*AQ378*2-0.25*PI()/4*N378^2)/(PI()/4*N378^2)))</f>
        <v>1</v>
      </c>
      <c r="EJ378" s="4">
        <f>IF(EH378*EI378&lt;0.7,0.7,EH378*EI378)</f>
        <v>0.88500000000000001</v>
      </c>
      <c r="EL378" s="4">
        <f>MIN(DU378/N378*3*K378+EM378-FJ378,MAX(J378,AJ378))</f>
        <v>452.79363584504347</v>
      </c>
      <c r="EM378" s="25">
        <f>13.3*Q378*K378^0.5*M378^0.5/X378/N378^2*(0.7+S378/5/K378)</f>
        <v>229.90485758340532</v>
      </c>
      <c r="EO378" s="4">
        <f>EG378*EJ378</f>
        <v>0.75224999999999997</v>
      </c>
      <c r="EP378" s="4">
        <f>IF(N378&lt;22.2,1.1*5*(M378/30)^0.5,IF(N378&gt;=31.8,0.9*5*(M378/30)^0.5,1*5*(M378/30)^0.5))/EG378/EJ378</f>
        <v>8.2551399356162278</v>
      </c>
      <c r="ES378" s="4">
        <f>ET378*N378</f>
        <v>59.568280149757555</v>
      </c>
      <c r="ET378" s="4">
        <f>AF378^0.5</f>
        <v>2.3452078799117149</v>
      </c>
      <c r="EU378" s="4">
        <f>MIN(EC378)/(4700*M378^0.5)/AE378*ES378</f>
        <v>9.6317011906839181E-2</v>
      </c>
      <c r="EX378" s="4">
        <f>EU378</f>
        <v>9.6317011906839181E-2</v>
      </c>
      <c r="EY378" s="4">
        <f>MIN(0.999, EX378/(0.3*(M378/30)^0.5))</f>
        <v>0.25850271838823907</v>
      </c>
      <c r="EZ378" s="4">
        <f>EP378/1*EY378^0.4</f>
        <v>4.8051891227231813</v>
      </c>
      <c r="FA378" s="4">
        <f>EP378/1.4*(1-EY378^1.4)/(1-EY378)</f>
        <v>6.755621997097994</v>
      </c>
      <c r="FB378" s="4">
        <f>MAX(0,DQ378*FB$9-ES378)</f>
        <v>111.88171985024243</v>
      </c>
      <c r="FC378" s="4">
        <f>MAX(0,DQ378-ES378-FB378)</f>
        <v>57.150000000000006</v>
      </c>
      <c r="FD378" s="4">
        <f>FC378/(1-0.3*(M378/30)^0.5)/200000/N378</f>
        <v>1.7931022683563109E-5</v>
      </c>
      <c r="FE378" s="4">
        <f>MAX(0.5*EP378, (1-2*FD378*(ES378*EZ378+FB378*FA378))/(1/EP378+FD378*FC378))</f>
        <v>7.8799789793501009</v>
      </c>
      <c r="FF378" s="4">
        <f>MIN(4/N378*(1*EZ378*ES378+FA378*FB378+FC378*FE378)+EC378,MAX(J378,AJ378))</f>
        <v>467.66019844665323</v>
      </c>
      <c r="FI378" s="4">
        <f>5.25*25.4</f>
        <v>133.35</v>
      </c>
      <c r="FO378" s="23">
        <f>IF(CU378&lt;0.6,0.6,IF(CU378&lt;0.8,0.8,IF(CU378&lt;1,1,IF(CU378&lt;1.2,1.2,IF(CU378&lt;1.4,1.4,IF(CU378&lt;1.6,1.6,IF(CU378&lt;1.8,1.8,IF(CU378&lt;2,2,2.2))))))))</f>
        <v>1.4</v>
      </c>
      <c r="FP378" s="23">
        <f>IF(CV378&lt;0.6,0.6,IF(CV378&lt;0.8,0.8,IF(CV378&lt;1,1,IF(CV378&lt;1.2,1.2,IF(CV378&lt;1.4,1.4,IF(CV378&lt;1.6,1.6,IF(CV378&lt;1.8,1.8,IF(CV378&lt;2,2,2.2))))))))</f>
        <v>0.8</v>
      </c>
      <c r="FQ378" s="23">
        <f>IF(DA378&lt;0.6,0.6,IF(DA378&lt;0.8,0.8,IF(DA378&lt;1,1,IF(DA378&lt;1.2,1.2,IF(DA378&lt;1.4,1.4,IF(DA378&lt;1.6,1.6,IF(DA378&lt;1.8,1.8,IF(DA378&lt;2,2,2.2))))))))</f>
        <v>1.4</v>
      </c>
      <c r="FR378" s="23">
        <f>IF(CX378&lt;0.6,0.6,IF(CX378&lt;0.8,0.8,IF(CX378&lt;1,1,IF(CX378&lt;1.2,1.2,IF(CX378&lt;1.4,1.4,IF(CX378&lt;1.6,1.6,IF(CX378&lt;1.8,1.8,IF(CX378&lt;2,2,2.2))))))))</f>
        <v>2</v>
      </c>
      <c r="FS378" s="23">
        <f>IF(CY378&lt;0.6,0.6,IF(CY378&lt;0.8,0.8,IF(CY378&lt;1,1,IF(CY378&lt;1.2,1.2,IF(CY378&lt;1.4,1.4,IF(CY378&lt;1.6,1.6,IF(CY378&lt;1.8,1.8,IF(CY378&lt;2,2,2.2))))))))</f>
        <v>1</v>
      </c>
      <c r="FT378" s="23">
        <f>IF(CZ378&lt;0.6,0.6,IF(CZ378&lt;0.8,0.8,IF(CZ378&lt;1,1,IF(CZ378&lt;1.2,1.2,IF(CZ378&lt;1.4,1.4,IF(CZ378&lt;1.6,1.6,IF(CZ378&lt;1.8,1.8,IF(CZ378&lt;2,2,2.2))))))))</f>
        <v>1</v>
      </c>
      <c r="FU378" s="23">
        <f>IF(FS378&lt;1,1,0)</f>
        <v>0</v>
      </c>
      <c r="FV378" s="23"/>
      <c r="GF378" s="4">
        <f>IF(S378&gt;=2.5*25.4,1,1.25)</f>
        <v>1</v>
      </c>
      <c r="GG378" s="4">
        <f>IF(AO378&gt;1, 0.05*(18-MIN(8,(W378+N378)/N378))*(1-48000/MAX(60000,(J378*145))*(N378/25.4)^0.75*GH378), 1/12*(14-MIN(8,(W378+N378)/N378)))</f>
        <v>0.63500000000000012</v>
      </c>
      <c r="GH378" s="4">
        <f>MIN(0.3, AM378^2*PI()/4*2*AP378/(N378^2*PI()/4*X378))</f>
        <v>0</v>
      </c>
      <c r="GI378" s="4">
        <f>(K378/25.4)/(N378/25.4)^1.5/0.0024*(M378*145)^0.25/GF378/GG378/145</f>
        <v>368.61259486767398</v>
      </c>
    </row>
    <row r="379" spans="1:191" ht="12" customHeight="1" x14ac:dyDescent="0.3">
      <c r="A379" s="25">
        <v>333</v>
      </c>
      <c r="B379" s="4" t="s">
        <v>605</v>
      </c>
      <c r="C379" s="4">
        <v>2016</v>
      </c>
      <c r="D379" s="4" t="s">
        <v>309</v>
      </c>
      <c r="E379" s="24" t="s">
        <v>671</v>
      </c>
      <c r="F379" s="24"/>
      <c r="G379" s="24">
        <v>53</v>
      </c>
      <c r="H379" s="48" t="s">
        <v>496</v>
      </c>
      <c r="I379" s="5">
        <f>K379/N379</f>
        <v>9</v>
      </c>
      <c r="J379" s="78">
        <f>115.9/0.145</f>
        <v>799.31034482758628</v>
      </c>
      <c r="K379" s="38">
        <f>9*25.4</f>
        <v>228.6</v>
      </c>
      <c r="L379" s="4">
        <f>K379</f>
        <v>228.6</v>
      </c>
      <c r="M379" s="38">
        <f>6710/145</f>
        <v>46.275862068965516</v>
      </c>
      <c r="N379" s="38">
        <f>1*25.4</f>
        <v>25.4</v>
      </c>
      <c r="O379" s="7">
        <f>K379/N379</f>
        <v>9</v>
      </c>
      <c r="P379" s="7">
        <f>L379/N379</f>
        <v>9</v>
      </c>
      <c r="Q379" s="38">
        <f>9.1*25.4</f>
        <v>231.14</v>
      </c>
      <c r="R379" s="32">
        <f>S379/N379</f>
        <v>2.5</v>
      </c>
      <c r="S379" s="38">
        <f>2.5*25.4</f>
        <v>63.5</v>
      </c>
      <c r="T379" s="32">
        <f>U379/N379</f>
        <v>3.5</v>
      </c>
      <c r="U379" s="39">
        <f>3.5*25.4</f>
        <v>88.899999999999991</v>
      </c>
      <c r="V379" s="32">
        <f>W379/N379</f>
        <v>2.0999999999999992</v>
      </c>
      <c r="W379" s="7">
        <f>(Q379-X379*N379-2*S379)/(X379-1)</f>
        <v>53.339999999999975</v>
      </c>
      <c r="X379" s="38">
        <v>2</v>
      </c>
      <c r="Y379" s="7">
        <f>AN379</f>
        <v>0</v>
      </c>
      <c r="Z379" s="32">
        <f>AA379/N379</f>
        <v>10.25</v>
      </c>
      <c r="AA379" s="4">
        <f>10.25*25.4</f>
        <v>260.34999999999997</v>
      </c>
      <c r="AB379" s="7">
        <f>MIN(S379/N379+0.5, W379/2/N379+0.5)</f>
        <v>1.5499999999999996</v>
      </c>
      <c r="AC379" s="7">
        <f>S379/N379+0.5</f>
        <v>3</v>
      </c>
      <c r="AD379" s="38">
        <v>4.5</v>
      </c>
      <c r="AE379" s="4">
        <f>AD379</f>
        <v>4.5</v>
      </c>
      <c r="AF379" s="4">
        <f>AE379+1</f>
        <v>5.5</v>
      </c>
      <c r="AG379" s="7">
        <f>N379*AF379^0.5</f>
        <v>59.568280149757555</v>
      </c>
      <c r="AJ379" s="38">
        <f>AK379/0.145</f>
        <v>416.55172413793105</v>
      </c>
      <c r="AK379" s="4">
        <v>60.4</v>
      </c>
      <c r="AL379" s="4">
        <f>CY379</f>
        <v>1.0643352713979048</v>
      </c>
      <c r="AM379" s="38">
        <v>0</v>
      </c>
      <c r="AN379" s="38">
        <v>0</v>
      </c>
      <c r="AO379" s="39">
        <f>L379</f>
        <v>228.6</v>
      </c>
      <c r="AP379" s="39"/>
      <c r="AQ379" s="39"/>
      <c r="AR379" s="7"/>
      <c r="AS379" s="4">
        <f>K379</f>
        <v>228.6</v>
      </c>
      <c r="AT379" s="4">
        <f>IF(K379*3&gt;W379+N379, Q379, (S379+N379/2)*2+1.5*K379*(2*X379-2))*(3*K379)/(9*K379^2)</f>
        <v>0.33703703703703697</v>
      </c>
      <c r="AU379" s="4">
        <f>MIN(10*M379^0.5*K379^1.5,100*3.9*M379^0.5*K379^(5/3))/(PI()/4*N379^2)/X379</f>
        <v>232.00870916574723</v>
      </c>
      <c r="AV379" s="4">
        <f>MIN(0.7+0.3*(MIN(S379,AA379)+0.5*N379)/1.5/K379,1)</f>
        <v>0.76666666666666661</v>
      </c>
      <c r="AW379" s="4">
        <v>1.25</v>
      </c>
      <c r="AX379" s="4">
        <f>AX378</f>
        <v>2.5</v>
      </c>
      <c r="AY379" s="38">
        <f>AT379*AV379*AW379*AX379*AU379</f>
        <v>187.34345227002655</v>
      </c>
      <c r="AZ379" s="38">
        <f>AY379</f>
        <v>187.34345227002655</v>
      </c>
      <c r="BA379" s="38">
        <f>IF(M379&lt;50, 0.3*M379^(2/3), 2.12*LN(1+0.1*(M379+8)))</f>
        <v>3.8668524435568052</v>
      </c>
      <c r="BB379" s="38">
        <f>AX379* (M379^0.5/AS379^0.5)/(PI()/4*N379^2)/X379/0.72 *(0.7+(MIN(S379,AA379)+0.5*N379)/5/K379) *(3*Q379*K379)</f>
        <v>187.34345227002649</v>
      </c>
      <c r="BC379" s="38">
        <f>AY379/BB379</f>
        <v>1.0000000000000002</v>
      </c>
      <c r="BD379" s="38">
        <f>BH379/BB379</f>
        <v>2.232193581389573</v>
      </c>
      <c r="BE379" s="4">
        <f>IF(BD379&lt;1,1,0)</f>
        <v>0</v>
      </c>
      <c r="BF379" s="4">
        <f>L379/N379*M379^0.5/0.19</f>
        <v>322.23014553597972</v>
      </c>
      <c r="BG379" s="4">
        <f>MIN(0.6+0.4*(AC379/AB379),2)</f>
        <v>1.3741935483870971</v>
      </c>
      <c r="BH379" s="38">
        <f>2*M379*AB379*AD379^0.5*BG379*0.7/0.7</f>
        <v>418.18685167251692</v>
      </c>
      <c r="BI379" s="4">
        <f>MAX(1-0.7*AE379/5,0.3)</f>
        <v>0.37</v>
      </c>
      <c r="BJ379" s="4">
        <f>BI379*J379*L379/(J379*N379/2.75/M379^0.5)</f>
        <v>62.295142885743282</v>
      </c>
      <c r="BK379" s="4">
        <f>BH379+BJ379</f>
        <v>480.48199455826023</v>
      </c>
      <c r="BM379" s="4">
        <f>MIN(1.5, 0.75+0.25*MIN(3,MAX(1,S379/N379))+0.4*MIN(1,(40*2*PI()*AM379^2/4/AO379/X379)/N379))</f>
        <v>1.375</v>
      </c>
      <c r="BN379" s="4">
        <f>(3*P379+30)*BM379*M379^0.5</f>
        <v>533.1566283014065</v>
      </c>
      <c r="BP379" s="4">
        <f>3.4/PI()^0.5*M379*AB379*AE379^0.5*BG379</f>
        <v>401.09233167344996</v>
      </c>
      <c r="BQ379" s="4">
        <f>8/3*AH379*AI379^2/(AG379-N379-22)/N379*(AG379^2-N379^2)/(AG379^2-(N379+22)^2)</f>
        <v>0</v>
      </c>
      <c r="BR379" s="4">
        <f>BQ379/BP379</f>
        <v>0</v>
      </c>
      <c r="BZ379" s="4">
        <f>IF(W379=0,S379,MIN(W379/2,S379))</f>
        <v>26.669999999999987</v>
      </c>
      <c r="CD379" s="9"/>
      <c r="CF379" s="9"/>
      <c r="CG379" s="9"/>
      <c r="CH379" s="9">
        <f>IF(W379=0,MIN(S379,U379),MIN(W379/2,S379,U379))</f>
        <v>26.669999999999987</v>
      </c>
      <c r="CI379" s="9">
        <f>MAX(W379/2,S379)</f>
        <v>63.5</v>
      </c>
      <c r="CJ379" s="9">
        <f>(CH379/N379)^0.5*(CI379/CH379)^0.15</f>
        <v>1.1670978149623896</v>
      </c>
      <c r="CK379" s="70">
        <f>IF(AO379&gt;1,20,0)</f>
        <v>20</v>
      </c>
      <c r="CL379" s="9">
        <f>MIN(PI()*AM379^2/4*AN379*2/X379/N379/MAX(0.01,AO379),0.05)</f>
        <v>0</v>
      </c>
      <c r="CM379" s="9">
        <f>MAX(0,CK379*(CL379-0.5/50))</f>
        <v>0</v>
      </c>
      <c r="CN379" s="9">
        <f>MIN(1,(25/N379)^0.3)</f>
        <v>0.99524931562137331</v>
      </c>
      <c r="CO379" s="9">
        <f>IF(J379&gt;=800,0.68,IF(J379&gt;=700,0.75-(J379-700)*0.07/100,IF(J379&gt;=600,0.85-(J379-600)*0.1/100,IF(J379&gt;=500,1-(J379-500)*0.15/100,1.2-(J379-400)*0.2/100))))</f>
        <v>0.68048275862068963</v>
      </c>
      <c r="CP379" s="9">
        <f>1.75*CN379*CO379*(M379/25)^0.5</f>
        <v>1.6124799265763963</v>
      </c>
      <c r="CQ379" s="9">
        <f>MIN((CJ379+CM379)*CP379,2.5*CP379,M379^0.5)</f>
        <v>1.8819217989780266</v>
      </c>
      <c r="CR379" s="40">
        <v>1</v>
      </c>
      <c r="CS379" s="9">
        <f>4*CQ379*P379+60*CQ379</f>
        <v>180.66449270189054</v>
      </c>
      <c r="CU379" s="4">
        <f>AJ379/BF379</f>
        <v>1.2927149427470916</v>
      </c>
      <c r="CV379" s="4">
        <f>AJ379/BK379</f>
        <v>0.86694554396548273</v>
      </c>
      <c r="CW379" s="4">
        <f>AJ379/BN379</f>
        <v>0.78129334238051362</v>
      </c>
      <c r="CX379" s="4">
        <f>AJ379/CS379</f>
        <v>2.3056645935694262</v>
      </c>
      <c r="CY379" s="4">
        <f>AJ379/DZ379</f>
        <v>1.0643352713979048</v>
      </c>
      <c r="CZ379" s="4">
        <f>AJ379/EL379</f>
        <v>1.0864891795569402</v>
      </c>
      <c r="DA379" s="4">
        <f>AJ379/GI379</f>
        <v>1.325810070867135</v>
      </c>
      <c r="DB379" s="4">
        <f>AN379</f>
        <v>0</v>
      </c>
      <c r="DC379" s="4">
        <f>CU379</f>
        <v>1.2927149427470916</v>
      </c>
      <c r="DD379" s="4">
        <f>CV379</f>
        <v>0.86694554396548273</v>
      </c>
      <c r="DE379" s="4">
        <f>CX379</f>
        <v>2.3056645935694262</v>
      </c>
      <c r="DF379" s="4">
        <f>DA379</f>
        <v>1.325810070867135</v>
      </c>
      <c r="DG379" s="4">
        <f>CY379</f>
        <v>1.0643352713979048</v>
      </c>
      <c r="DH379" s="4">
        <f>CZ379</f>
        <v>1.0864891795569402</v>
      </c>
      <c r="DQ379" s="4">
        <f>L379</f>
        <v>228.6</v>
      </c>
      <c r="DT379" s="4">
        <f>K379/4/(1-0.3*(M379/30)^0.5)/200000/N379</f>
        <v>1.7931022683563105E-5</v>
      </c>
      <c r="DU379" s="4">
        <f>EP379</f>
        <v>7.3425114000204648</v>
      </c>
      <c r="DV379" s="4">
        <f>EC379*AG379/257/M379/AD379</f>
        <v>0.20852274110774549</v>
      </c>
      <c r="DW379" s="4">
        <f>DU379*DV379^0.4</f>
        <v>3.9219856434308356</v>
      </c>
      <c r="DX379" s="4">
        <f>MIN(DU379, DU379/1.4*(1-DV379^1.4)/(1-DV379))</f>
        <v>5.8883455225764845</v>
      </c>
      <c r="DY379" s="4">
        <f>MAX(DU379/2, (4-DT379*(8*AG379*(DW379-DX379)+6*K379*DX379))/(4+DT379*K379*DU379)*DU379)</f>
        <v>7.0544408137106744</v>
      </c>
      <c r="DZ379" s="38">
        <f>MIN(1/N379*(4*AG379*(DW379-DX379)+(3*DX379+DY379)*K379)+EC379 -FJ379,MAX(J379,AJ379))</f>
        <v>391.37265796972918</v>
      </c>
      <c r="EA379" s="4">
        <f>DZ379/FF379</f>
        <v>1.0001002033787558</v>
      </c>
      <c r="EB379" s="4">
        <f>AG379/N379</f>
        <v>2.3452078799117149</v>
      </c>
      <c r="EC379" s="4">
        <f>MIN(EB$10*BB379)</f>
        <v>187.34345227002649</v>
      </c>
      <c r="EG379" s="4">
        <f>IF(U379&gt;1*N379,0.85,1)</f>
        <v>0.85</v>
      </c>
      <c r="EH379" s="4">
        <f>MIN(1,MAX(0.7,(1-0.1*(BZ379-1*N379)/N379)))</f>
        <v>0.995</v>
      </c>
      <c r="EI379" s="4">
        <f>MIN(1,MAX(0.7,1-0.3*(PI()*AM379^2/4*AQ379*2-0.25*PI()/4*N379^2)/(PI()/4*N379^2)))</f>
        <v>1</v>
      </c>
      <c r="EJ379" s="4">
        <f>IF(EH379*EI379&lt;0.7,0.7,EH379*EI379)</f>
        <v>0.995</v>
      </c>
      <c r="EL379" s="4">
        <f>MIN(DU379/N379*3*K379+EM379-FJ379,MAX(J379,AJ379))</f>
        <v>383.39242762435686</v>
      </c>
      <c r="EM379" s="25">
        <f>13.3*Q379*K379^0.5*M379^0.5/X379/N379^2*(0.7+S379/5/K379)</f>
        <v>185.14461982380428</v>
      </c>
      <c r="EO379" s="4">
        <f>EG379*EJ379</f>
        <v>0.84575</v>
      </c>
      <c r="EP379" s="4">
        <f>IF(N379&lt;22.2,1.1*5*(M379/30)^0.5,IF(N379&gt;=31.8,0.9*5*(M379/30)^0.5,1*5*(M379/30)^0.5))/EG379/EJ379</f>
        <v>7.3425114000204648</v>
      </c>
      <c r="ES379" s="4">
        <f>ET379*N379</f>
        <v>59.568280149757555</v>
      </c>
      <c r="ET379" s="4">
        <f>AF379^0.5</f>
        <v>2.3452078799117149</v>
      </c>
      <c r="EU379" s="4">
        <f>MIN(EC379)/(4700*M379^0.5)/AE379*ES379</f>
        <v>7.7565027287808549E-2</v>
      </c>
      <c r="EX379" s="4">
        <f>EU379</f>
        <v>7.7565027287808549E-2</v>
      </c>
      <c r="EY379" s="4">
        <f>MIN(0.999, EX379/(0.3*(M379/30)^0.5))</f>
        <v>0.20817475551619255</v>
      </c>
      <c r="EZ379" s="4">
        <f>EP379/1*EY379^0.4</f>
        <v>3.9193663063320971</v>
      </c>
      <c r="FA379" s="4">
        <f>EP379/1.4*(1-EY379^1.4)/(1-EY379)</f>
        <v>5.8874807855904052</v>
      </c>
      <c r="FB379" s="4">
        <f>MAX(0,DQ379*FB$9-ES379)</f>
        <v>111.88171985024243</v>
      </c>
      <c r="FC379" s="4">
        <f>MAX(0,DQ379-ES379-FB379)</f>
        <v>57.150000000000006</v>
      </c>
      <c r="FD379" s="4">
        <f>FC379/(1-0.3*(M379/30)^0.5)/200000/N379</f>
        <v>1.7931022683563109E-5</v>
      </c>
      <c r="FE379" s="4">
        <f>MAX(0.5*EP379, (1-2*FD379*(ES379*EZ379+FB379*FA379))/(1/EP379+FD379*FC379))</f>
        <v>7.0545068774054061</v>
      </c>
      <c r="FF379" s="4">
        <f>MIN(4/N379*(1*EZ379*ES379+FA379*FB379+FC379*FE379)+EC379,MAX(J379,AJ379))</f>
        <v>391.33344503631639</v>
      </c>
      <c r="FI379" s="4">
        <f>5.25*25.4</f>
        <v>133.35</v>
      </c>
      <c r="FO379" s="23">
        <f>IF(CU379&lt;0.6,0.6,IF(CU379&lt;0.8,0.8,IF(CU379&lt;1,1,IF(CU379&lt;1.2,1.2,IF(CU379&lt;1.4,1.4,IF(CU379&lt;1.6,1.6,IF(CU379&lt;1.8,1.8,IF(CU379&lt;2,2,2.2))))))))</f>
        <v>1.4</v>
      </c>
      <c r="FP379" s="23">
        <f>IF(CV379&lt;0.6,0.6,IF(CV379&lt;0.8,0.8,IF(CV379&lt;1,1,IF(CV379&lt;1.2,1.2,IF(CV379&lt;1.4,1.4,IF(CV379&lt;1.6,1.6,IF(CV379&lt;1.8,1.8,IF(CV379&lt;2,2,2.2))))))))</f>
        <v>1</v>
      </c>
      <c r="FQ379" s="23">
        <f>IF(DA379&lt;0.6,0.6,IF(DA379&lt;0.8,0.8,IF(DA379&lt;1,1,IF(DA379&lt;1.2,1.2,IF(DA379&lt;1.4,1.4,IF(DA379&lt;1.6,1.6,IF(DA379&lt;1.8,1.8,IF(DA379&lt;2,2,2.2))))))))</f>
        <v>1.4</v>
      </c>
      <c r="FR379" s="23">
        <f>IF(CX379&lt;0.6,0.6,IF(CX379&lt;0.8,0.8,IF(CX379&lt;1,1,IF(CX379&lt;1.2,1.2,IF(CX379&lt;1.4,1.4,IF(CX379&lt;1.6,1.6,IF(CX379&lt;1.8,1.8,IF(CX379&lt;2,2,2.2))))))))</f>
        <v>2.2000000000000002</v>
      </c>
      <c r="FS379" s="23">
        <f>IF(CY379&lt;0.6,0.6,IF(CY379&lt;0.8,0.8,IF(CY379&lt;1,1,IF(CY379&lt;1.2,1.2,IF(CY379&lt;1.4,1.4,IF(CY379&lt;1.6,1.6,IF(CY379&lt;1.8,1.8,IF(CY379&lt;2,2,2.2))))))))</f>
        <v>1.2</v>
      </c>
      <c r="FT379" s="23">
        <f>IF(CZ379&lt;0.6,0.6,IF(CZ379&lt;0.8,0.8,IF(CZ379&lt;1,1,IF(CZ379&lt;1.2,1.2,IF(CZ379&lt;1.4,1.4,IF(CZ379&lt;1.6,1.6,IF(CZ379&lt;1.8,1.8,IF(CZ379&lt;2,2,2.2))))))))</f>
        <v>1.2</v>
      </c>
      <c r="FU379" s="23">
        <f>IF(FS379&lt;1,1,0)</f>
        <v>0</v>
      </c>
      <c r="FV379" s="23"/>
      <c r="GF379" s="4">
        <f>IF(S379&gt;=2.5*25.4,1,1.25)</f>
        <v>1</v>
      </c>
      <c r="GG379" s="4">
        <f>IF(AO379&gt;1, 0.05*(18-MIN(8,(W379+N379)/N379))*(1-48000/MAX(60000,(J379*145))*(N379/25.4)^0.75*GH379), 1/12*(14-MIN(8,(W379+N379)/N379)))</f>
        <v>0.74500000000000011</v>
      </c>
      <c r="GH379" s="4">
        <f>MIN(0.3, AM379^2*PI()/4*2*AP379/(N379^2*PI()/4*X379))</f>
        <v>0</v>
      </c>
      <c r="GI379" s="4">
        <f>(K379/25.4)/(N379/25.4)^1.5/0.0024*(M379*145)^0.25/GF379/GG379/145</f>
        <v>314.18657414895699</v>
      </c>
    </row>
    <row r="380" spans="1:191" ht="12" customHeight="1" x14ac:dyDescent="0.3">
      <c r="A380" s="25">
        <v>142</v>
      </c>
      <c r="B380" s="24" t="s">
        <v>659</v>
      </c>
      <c r="C380" s="24">
        <v>2007</v>
      </c>
      <c r="D380" s="24" t="s">
        <v>309</v>
      </c>
      <c r="E380" s="24"/>
      <c r="F380" s="24"/>
      <c r="G380" s="24">
        <v>1</v>
      </c>
      <c r="H380" s="4" t="s">
        <v>119</v>
      </c>
      <c r="I380" s="5">
        <f>K380/N380</f>
        <v>6.061452513966481</v>
      </c>
      <c r="J380" s="7">
        <v>450.6</v>
      </c>
      <c r="K380" s="7">
        <v>217</v>
      </c>
      <c r="L380" s="7">
        <f>K380</f>
        <v>217</v>
      </c>
      <c r="M380" s="7">
        <v>24.6</v>
      </c>
      <c r="N380" s="7">
        <v>35.799999999999997</v>
      </c>
      <c r="O380" s="7">
        <f>K380/N380</f>
        <v>6.061452513966481</v>
      </c>
      <c r="P380" s="7">
        <f>L380/N380</f>
        <v>6.061452513966481</v>
      </c>
      <c r="Q380" s="7">
        <v>220</v>
      </c>
      <c r="R380" s="32">
        <f>S380/N380</f>
        <v>2.5726256983240225</v>
      </c>
      <c r="S380" s="7">
        <f>(Q380-N380)/2</f>
        <v>92.1</v>
      </c>
      <c r="T380" s="32">
        <f>U380/N380</f>
        <v>5.7262569832402237</v>
      </c>
      <c r="U380" s="7">
        <f>434-12-L380</f>
        <v>205</v>
      </c>
      <c r="V380" s="32">
        <f>W380/N380</f>
        <v>0</v>
      </c>
      <c r="W380" s="7">
        <v>0</v>
      </c>
      <c r="X380" s="7">
        <v>1</v>
      </c>
      <c r="Y380" s="7">
        <f>AN380</f>
        <v>0</v>
      </c>
      <c r="Z380" s="32">
        <f>AA380/N380</f>
        <v>10.307262569832403</v>
      </c>
      <c r="AA380" s="7">
        <f>434-65</f>
        <v>369</v>
      </c>
      <c r="AB380" s="7">
        <f>S380/N380+0.5</f>
        <v>3.0726256983240225</v>
      </c>
      <c r="AC380" s="7">
        <f>S380/N380+0.5</f>
        <v>3.0726256983240225</v>
      </c>
      <c r="AD380" s="7">
        <f>10324/2581</f>
        <v>4</v>
      </c>
      <c r="AE380" s="7">
        <f>10324/2581</f>
        <v>4</v>
      </c>
      <c r="AF380" s="7">
        <f>AE380+1</f>
        <v>5</v>
      </c>
      <c r="AG380" s="7">
        <f>N380*AF380^0.5</f>
        <v>80.051233594492473</v>
      </c>
      <c r="AH380" s="7">
        <f>J380</f>
        <v>450.6</v>
      </c>
      <c r="AI380" s="7">
        <v>12</v>
      </c>
      <c r="AJ380" s="7">
        <f>(117+122)/2/1006*1000</f>
        <v>118.78727634194831</v>
      </c>
      <c r="AK380" s="7"/>
      <c r="AL380" s="7"/>
      <c r="AM380" s="7">
        <v>0</v>
      </c>
      <c r="AN380" s="7">
        <v>0</v>
      </c>
      <c r="AO380" s="7">
        <f>L380</f>
        <v>217</v>
      </c>
      <c r="AP380" s="7"/>
      <c r="AQ380" s="7"/>
      <c r="AR380" s="7"/>
      <c r="AS380" s="4">
        <f>K380</f>
        <v>217</v>
      </c>
      <c r="AT380" s="4">
        <f>MIN(9*K380^2,Q380*3*K380)/(9*K380^2)</f>
        <v>0.33794162826420893</v>
      </c>
      <c r="AU380" s="4">
        <f>MIN(10*M380^0.5*K380^1.5,3.9*M380^0.5*K380^(5/3))/(PI()/4*N380^2)</f>
        <v>150.58294354764655</v>
      </c>
      <c r="AV380" s="4">
        <f>MIN(0.7+0.3*Q380/2/1.5/K380,1)</f>
        <v>0.80138248847926263</v>
      </c>
      <c r="AW380" s="4">
        <v>1.25</v>
      </c>
      <c r="AX380" s="25">
        <v>1</v>
      </c>
      <c r="AY380" s="38">
        <f>AT380*AV380*AW380*AX380*AU380</f>
        <v>50.976185647089032</v>
      </c>
      <c r="BB380" s="38">
        <f>AX380* (M380^0.5/AS380^0.5)/(PI()/4*N380^2)/X380/0.72 *(0.7+(MIN(S380,AA380)+0.5*N380)/5/K380) *(3*Q380*K380)</f>
        <v>53.320323184075299</v>
      </c>
      <c r="BC380" s="38">
        <f>AY380/BB380</f>
        <v>0.95603669676018821</v>
      </c>
      <c r="BD380" s="38">
        <f>BH380/BB380</f>
        <v>5.6703776470241447</v>
      </c>
      <c r="BE380" s="4">
        <f>IF(BD380&lt;1,1,0)</f>
        <v>0</v>
      </c>
      <c r="BF380" s="4">
        <f>L380/N380*M380^0.5/0.19</f>
        <v>158.23066736708512</v>
      </c>
      <c r="BG380" s="4">
        <f>MIN(0.6+0.4*(AC380/AB380),2)</f>
        <v>1</v>
      </c>
      <c r="BH380" s="38">
        <f>2*M380*AB380*AD380^0.5*BG380*0.7/0.7</f>
        <v>302.34636871508383</v>
      </c>
      <c r="BI380" s="4">
        <f>MAX(1-0.7*AE380/5,0.3)</f>
        <v>0.44000000000000006</v>
      </c>
      <c r="BJ380" s="4">
        <f>BI380*J380*L380/(J380*N380/2.75/M380^0.5)</f>
        <v>36.377230427692872</v>
      </c>
      <c r="BK380" s="4">
        <f>BH380+BJ380</f>
        <v>338.72359914277672</v>
      </c>
      <c r="BM380" s="4">
        <f>MIN(1.5, 0.75+0.25*MIN(3,MAX(1,S380/N380))+0.4*MIN(1,(40*2*PI()*AM380^2/4/AO380/X380)/N380))</f>
        <v>1.3931564245810057</v>
      </c>
      <c r="BN380" s="4">
        <f>(3*P380+30)*BM380*M380^0.5</f>
        <v>332.94577514924339</v>
      </c>
      <c r="BP380" s="4">
        <f>3.4/PI()^0.5*M380*AB380*AE380^0.5*BG380</f>
        <v>289.98714214931721</v>
      </c>
      <c r="BQ380" s="4">
        <f>8/3*AH380*AI380^2/(AG380-N380-22)/N380*(AG380^2-N380^2)/(AG380^2-(N380+22)^2)</f>
        <v>363.03340318192352</v>
      </c>
      <c r="BR380" s="4">
        <f>BQ380/BP380</f>
        <v>1.2518948270988997</v>
      </c>
      <c r="BZ380" s="4">
        <f>IF(W380=0,S380,MIN(W380/2,S380))</f>
        <v>92.1</v>
      </c>
      <c r="CD380" s="9"/>
      <c r="CF380" s="9"/>
      <c r="CG380" s="9"/>
      <c r="CH380" s="9">
        <f>IF(W380=0,MIN(S380,U380),MIN(W380/2,S380,U380))</f>
        <v>92.1</v>
      </c>
      <c r="CI380" s="9">
        <f>MAX(W380/2,S380)</f>
        <v>92.1</v>
      </c>
      <c r="CJ380" s="9">
        <f>(CH380/N380)^0.5*(CI380/CH380)^0.15</f>
        <v>1.6039406779317067</v>
      </c>
      <c r="CK380" s="70">
        <v>0</v>
      </c>
      <c r="CL380" s="9">
        <f>MIN(PI()*AM380^2/4*AN380*2/X380/N380/MAX(0.01,AO380),0.05)</f>
        <v>0</v>
      </c>
      <c r="CM380" s="9">
        <f>MAX(0,CK380*(CL380-0.5/50))</f>
        <v>0</v>
      </c>
      <c r="CN380" s="9">
        <f>MIN(1,(25/N380)^0.3)</f>
        <v>0.89787751228078194</v>
      </c>
      <c r="CO380" s="9">
        <f>IF(J380&gt;=800,0.68,IF(J380&gt;=700,0.75-(J380-700)*0.07/100,IF(J380&gt;=600,0.85-(J380-600)*0.1/100,IF(J380&gt;=500,1-(J380-500)*0.15/100,1.2-(J380-400)*0.2/100))))</f>
        <v>1.0988</v>
      </c>
      <c r="CP380" s="9">
        <f>1.75*CN380*CO380*(M380/25)^0.5</f>
        <v>1.7126607436390533</v>
      </c>
      <c r="CQ380" s="9">
        <f>MIN((CJ380+CM380)*CP380,2.5*CP380,M380^0.5)</f>
        <v>2.7470062342194441</v>
      </c>
      <c r="CR380" s="9">
        <v>1</v>
      </c>
      <c r="CS380" s="9">
        <f>4*CQ380*P380+60*CQ380</f>
        <v>231.42376543033083</v>
      </c>
      <c r="CU380" s="4">
        <f>AJ380/BF380</f>
        <v>0.75072221029296027</v>
      </c>
      <c r="CV380" s="4">
        <f>AJ380/BK380</f>
        <v>0.35069087787968922</v>
      </c>
      <c r="CW380" s="4">
        <f>AJ380/BN380</f>
        <v>0.35677664415084337</v>
      </c>
      <c r="CX380" s="4">
        <f>AJ380/CS380</f>
        <v>0.51328901386192649</v>
      </c>
      <c r="CY380" s="4">
        <f>AJ380/DZ380</f>
        <v>2.2278048827998371</v>
      </c>
      <c r="CZ380" s="4" t="e">
        <f>AJ380/EL380</f>
        <v>#DIV/0!</v>
      </c>
      <c r="DA380" s="4">
        <f>AJ380/GI380</f>
        <v>0.89051300180325932</v>
      </c>
      <c r="DP380" s="4">
        <f>AN380</f>
        <v>0</v>
      </c>
      <c r="DQ380" s="4">
        <f>L380</f>
        <v>217</v>
      </c>
      <c r="DT380" s="4">
        <f>K380/4/(1-0.3*(M380/30)^0.5)/200000/N380</f>
        <v>1.0402877516035162E-5</v>
      </c>
      <c r="DU380" s="4">
        <f>EP380</f>
        <v>5.6886371181108544</v>
      </c>
      <c r="DZ380" s="38">
        <f>MIN(1/N380*(4*AG380*(DW380-DX380)+(3*DX380+DY380)*K380)+EC380 -FJ380,MAX(J380,AJ380))</f>
        <v>53.320323184075299</v>
      </c>
      <c r="EA380" s="4">
        <f>DZ380/FF380</f>
        <v>0.34703441987354833</v>
      </c>
      <c r="EC380" s="4">
        <f>MIN(EB$10*BB380)</f>
        <v>53.320323184075299</v>
      </c>
      <c r="EG380" s="4">
        <f>IF(U380&gt;1*N380,0.85,1)</f>
        <v>0.85</v>
      </c>
      <c r="EH380" s="4">
        <f>MIN(1,MAX(0.7,(1-0.1*(BZ380-1*N380)/N380)))</f>
        <v>0.84273743016759772</v>
      </c>
      <c r="EI380" s="4">
        <f>MIN(1,MAX(0.7,1-0.3*(PI()*AM380^2/4*AN380*2-0.25*PI()/4*N380^2)/(PI()/4*N380^2)))</f>
        <v>1</v>
      </c>
      <c r="EJ380" s="4">
        <f>IF(EH380*EI380&lt;0.7,0.7,EH380*EI380)</f>
        <v>0.84273743016759772</v>
      </c>
      <c r="EM380" s="25"/>
      <c r="EP380" s="4">
        <f>IF(N380&lt;22.2,1.1*5*(M380/30)^0.5,IF(N380&gt;=31.8,0.9*5*(M380/30)^0.5,1*5*(M380/30)^0.5))/EJ380/EG380</f>
        <v>5.6886371181108544</v>
      </c>
      <c r="ES380" s="4">
        <f>ET380*N380</f>
        <v>80.051233594492473</v>
      </c>
      <c r="ET380" s="4">
        <f>AF380^0.5</f>
        <v>2.2360679774997898</v>
      </c>
      <c r="EU380" s="4">
        <f>MIN(EC380)/(4700*M380^0.5)/AE380*ES380</f>
        <v>4.5775742671843048E-2</v>
      </c>
      <c r="EX380" s="4">
        <f>EU380</f>
        <v>4.5775742671843048E-2</v>
      </c>
      <c r="EY380" s="4">
        <f>MIN(0.999, EX380/(0.3*(M380/30)^0.5))</f>
        <v>0.16850283734870336</v>
      </c>
      <c r="EZ380" s="4">
        <f>EP380/1*EY380^0.4</f>
        <v>2.7903014063860758</v>
      </c>
      <c r="FA380" s="4">
        <f>EP380/1.4*(1-EY380^1.4)/(1-EY380)</f>
        <v>4.4828461654785512</v>
      </c>
      <c r="FB380" s="4">
        <f>MAX(0,DQ380*FB$9-ES380)</f>
        <v>82.698766405507527</v>
      </c>
      <c r="FC380" s="4">
        <f>MAX(0,DQ380-ES380-FB380)</f>
        <v>54.249999999999986</v>
      </c>
      <c r="FD380" s="4">
        <f>FC380/(1-0.3*(M380/30)^0.5)/200000/N380</f>
        <v>1.0402877516035159E-5</v>
      </c>
      <c r="FE380" s="4">
        <f>MAX(0.5*EP380, (1-2*FD380*(ES380*EZ380+FB380*FA380))/(1/EP380+FD380*FC380))</f>
        <v>5.6003429880312172</v>
      </c>
      <c r="FF380" s="4">
        <f>MIN(4/N380*(1*EZ380*ES380+FA380*FB380+FC380*FE380)+EC380,MAX(J380,AJ380))</f>
        <v>153.64563320117944</v>
      </c>
      <c r="FO380" s="23"/>
      <c r="FP380" s="23"/>
      <c r="FQ380" s="23"/>
      <c r="FR380" s="23"/>
      <c r="FS380" s="23"/>
      <c r="FT380" s="23"/>
      <c r="FU380" s="23"/>
      <c r="FV380" s="23"/>
      <c r="GF380" s="4">
        <f>IF(S380&gt;=2.5*25.4,1,1.25)</f>
        <v>1</v>
      </c>
      <c r="GG380" s="4">
        <f>IF(AO380&gt;1, 0.05*(18-MIN(8,(W380+N380)/N380))*(1-48000/MAX(60000,(J380*145))*(N380/25.4)^0.75*GH380), 1/12*(14-MIN(8,(W380+N380)/N380)))</f>
        <v>0.85000000000000009</v>
      </c>
      <c r="GH380" s="4">
        <f>MIN(0.3, AM380^2*PI()/4*2*AP380/(N380^2*PI()/4*X380))</f>
        <v>0</v>
      </c>
      <c r="GI380" s="4">
        <f>(K380/25.4)/(N380/25.4)^1.5/0.0024*(M380*145)^0.25/GF380/GG380/145</f>
        <v>133.39196182583299</v>
      </c>
    </row>
    <row r="381" spans="1:191" ht="12" customHeight="1" x14ac:dyDescent="0.3">
      <c r="A381" s="25">
        <v>277</v>
      </c>
      <c r="B381" s="4" t="s">
        <v>605</v>
      </c>
      <c r="C381" s="4">
        <v>2016</v>
      </c>
      <c r="D381" s="4" t="s">
        <v>309</v>
      </c>
      <c r="E381" s="24" t="s">
        <v>666</v>
      </c>
      <c r="F381" s="24"/>
      <c r="G381" s="24">
        <v>47</v>
      </c>
      <c r="H381" s="7" t="s">
        <v>435</v>
      </c>
      <c r="I381" s="5">
        <f>K381/N381</f>
        <v>8.31</v>
      </c>
      <c r="J381" s="78">
        <f>115.9/0.145</f>
        <v>799.31034482758628</v>
      </c>
      <c r="K381" s="38">
        <f>8.31*25.4</f>
        <v>211.07400000000001</v>
      </c>
      <c r="L381" s="4">
        <f>K381</f>
        <v>211.07400000000001</v>
      </c>
      <c r="M381" s="38">
        <f>5900/145</f>
        <v>40.689655172413794</v>
      </c>
      <c r="N381" s="38">
        <f>1*25.4</f>
        <v>25.4</v>
      </c>
      <c r="O381" s="7">
        <f>K381/N381</f>
        <v>8.31</v>
      </c>
      <c r="P381" s="7">
        <f>L381/N381</f>
        <v>8.31</v>
      </c>
      <c r="Q381" s="38">
        <f>16.9*25.4</f>
        <v>429.25999999999993</v>
      </c>
      <c r="R381" s="32">
        <f>S381/N381</f>
        <v>2.4500000000000002</v>
      </c>
      <c r="S381" s="38">
        <f>2.45*25.4</f>
        <v>62.230000000000004</v>
      </c>
      <c r="T381" s="32">
        <f>U381/N381</f>
        <v>3.0499999999999994</v>
      </c>
      <c r="U381" s="39">
        <f>3.05*25.4</f>
        <v>77.469999999999985</v>
      </c>
      <c r="V381" s="32">
        <f>W381/N381</f>
        <v>9.9999999999999964</v>
      </c>
      <c r="W381" s="7">
        <f>(Q381-X381*N381-2*S381)/(X381-1)</f>
        <v>253.99999999999991</v>
      </c>
      <c r="X381" s="38">
        <v>2</v>
      </c>
      <c r="Y381" s="7">
        <f>AN381</f>
        <v>10</v>
      </c>
      <c r="Z381" s="32">
        <f>AA381/N381</f>
        <v>10.25</v>
      </c>
      <c r="AA381" s="4">
        <f>10.25*25.4</f>
        <v>260.34999999999997</v>
      </c>
      <c r="AB381" s="7">
        <f>MIN(S381/N381+0.5, W381/2/N381+0.5)</f>
        <v>2.95</v>
      </c>
      <c r="AC381" s="7">
        <f>S381/N381+0.5</f>
        <v>2.95</v>
      </c>
      <c r="AD381" s="38">
        <v>6.5</v>
      </c>
      <c r="AE381" s="4">
        <f>AD381</f>
        <v>6.5</v>
      </c>
      <c r="AF381" s="4">
        <f>AE381+1</f>
        <v>7.5</v>
      </c>
      <c r="AG381" s="7">
        <f>N381*AF381^0.5</f>
        <v>69.56076480315609</v>
      </c>
      <c r="AJ381" s="38">
        <f>AK381/0.145</f>
        <v>541.37931034482767</v>
      </c>
      <c r="AK381" s="4">
        <v>78.5</v>
      </c>
      <c r="AL381" s="4">
        <f>CY381</f>
        <v>1.5151167350293466</v>
      </c>
      <c r="AM381" s="38">
        <f>0.5*25.4</f>
        <v>12.7</v>
      </c>
      <c r="AN381" s="38">
        <v>10</v>
      </c>
      <c r="AO381" s="39">
        <f>3*25.4</f>
        <v>76.199999999999989</v>
      </c>
      <c r="AP381" s="39">
        <v>3</v>
      </c>
      <c r="AQ381" s="39">
        <v>2</v>
      </c>
      <c r="AR381" s="7"/>
      <c r="AS381" s="4">
        <f>K381</f>
        <v>211.07400000000001</v>
      </c>
      <c r="AT381" s="4">
        <f>IF(K381*3&gt;W381+N381, Q381, (S381+N381/2)*2+1.5*K381*(2*X381-2))*(3*K381)/(9*K381^2)</f>
        <v>0.67789811472121919</v>
      </c>
      <c r="AU381" s="4">
        <f>MIN(10*M381^0.5*K381^1.5,100*3.9*M381^0.5*K381^(5/3))/(PI()/4*N381^2)/X381</f>
        <v>193.02199723672265</v>
      </c>
      <c r="AV381" s="4">
        <f>MIN(0.7+0.3*(MIN(S381,AA381)+0.5*N381)/1.5/K381,1)</f>
        <v>0.77099879663056559</v>
      </c>
      <c r="AW381" s="4">
        <v>1.25</v>
      </c>
      <c r="AX381" s="4">
        <f>AX380</f>
        <v>1</v>
      </c>
      <c r="AY381" s="38">
        <f>AT381*AV381*AW381*AX381*AU381</f>
        <v>126.1057659605561</v>
      </c>
      <c r="AZ381" s="38">
        <f>AY381</f>
        <v>126.1057659605561</v>
      </c>
      <c r="BA381" s="38">
        <f>IF(M381&lt;50, 0.3*M381^(2/3), 2.12*LN(1+0.1*(M381+8)))</f>
        <v>3.5490375497727622</v>
      </c>
      <c r="BB381" s="38">
        <f>AX381* (M381^0.5/AS381^0.5)/(PI()/4*N381^2)/X381/0.72 *(0.7+(MIN(S381,AA381)+0.5*N381)/5/K381) *(3*Q381*K381)</f>
        <v>126.10576596055614</v>
      </c>
      <c r="BC381" s="38">
        <f>AY381/BB381</f>
        <v>0.99999999999999967</v>
      </c>
      <c r="BD381" s="38">
        <f>BH381/BB381</f>
        <v>4.8535304093998803</v>
      </c>
      <c r="BE381" s="4">
        <f>IF(BD381&lt;1,1,0)</f>
        <v>0</v>
      </c>
      <c r="BF381" s="4">
        <f>L381/N381*M381^0.5/0.19</f>
        <v>278.99050791306132</v>
      </c>
      <c r="BG381" s="4">
        <f>MIN(0.6+0.4*(AC381/AB381),2)</f>
        <v>1</v>
      </c>
      <c r="BH381" s="38">
        <f>2*M381*AB381*AD381^0.5*BG381*0.7/0.7</f>
        <v>612.05816989022355</v>
      </c>
      <c r="BI381" s="4">
        <f>MAX(1-0.7*AE381/5,0.3)</f>
        <v>0.3</v>
      </c>
      <c r="BJ381" s="4">
        <f>BI381*J381*L381/(J381*N381/2.75/M381^0.5)</f>
        <v>43.731762115372362</v>
      </c>
      <c r="BK381" s="4">
        <f>BH381+BJ381</f>
        <v>655.78993200559592</v>
      </c>
      <c r="BM381" s="4">
        <f>MIN(1.5, 0.75+0.25*MIN(3,MAX(1,S381/N381))+0.4*MIN(1,(40*2*PI()*AM381^2/4/AO381/X381)/N381))</f>
        <v>1.5</v>
      </c>
      <c r="BN381" s="4">
        <f>(3*P381+30)*BM381*M381^0.5</f>
        <v>525.58487977188565</v>
      </c>
      <c r="BP381" s="4">
        <f>3.4/PI()^0.5*M381*AB381*AE381^0.5*BG381</f>
        <v>587.03863476152412</v>
      </c>
      <c r="BQ381" s="4">
        <f>8/3*AH381*AI381^2/(AG381-N381-22)/N381*(AG381^2-N381^2)/(AG381^2-(N381+22)^2)</f>
        <v>0</v>
      </c>
      <c r="BR381" s="4">
        <f>BQ381/BP381</f>
        <v>0</v>
      </c>
      <c r="BZ381" s="4">
        <f>IF(W381=0,S381,MIN(W381/2,S381))</f>
        <v>62.230000000000004</v>
      </c>
      <c r="CD381" s="9"/>
      <c r="CF381" s="9"/>
      <c r="CG381" s="9"/>
      <c r="CH381" s="9">
        <f>IF(W381=0,MIN(S381,U381),MIN(W381/2,S381,U381))</f>
        <v>62.230000000000004</v>
      </c>
      <c r="CI381" s="9">
        <f>MAX(W381/2,S381)</f>
        <v>126.99999999999996</v>
      </c>
      <c r="CJ381" s="9">
        <f>(CH381/N381)^0.5*(CI381/CH381)^0.15</f>
        <v>1.7420219790042637</v>
      </c>
      <c r="CK381" s="70">
        <f>IF(AO381&gt;1,20,0)</f>
        <v>20</v>
      </c>
      <c r="CL381" s="9">
        <f>MIN(PI()*AM381^2/4*AN381*2/X381/N381/MAX(0.01,AO381),0.05)</f>
        <v>0.05</v>
      </c>
      <c r="CM381" s="9">
        <f>MAX(0,CK381*(CL381-0.5/50))</f>
        <v>0.8</v>
      </c>
      <c r="CN381" s="9">
        <f>MIN(1,(25/N381)^0.3)</f>
        <v>0.99524931562137331</v>
      </c>
      <c r="CO381" s="9">
        <f>IF(J381&gt;=800,0.68,IF(J381&gt;=700,0.75-(J381-700)*0.07/100,IF(J381&gt;=600,0.85-(J381-600)*0.1/100,IF(J381&gt;=500,1-(J381-500)*0.15/100,1.2-(J381-400)*0.2/100))))</f>
        <v>0.68048275862068963</v>
      </c>
      <c r="CP381" s="9">
        <f>1.75*CN381*CO381*(M381/25)^0.5</f>
        <v>1.51202531590344</v>
      </c>
      <c r="CQ381" s="9">
        <f>MIN((CJ381+CM381)*CP381,2.5*CP381,M381^0.5)</f>
        <v>3.7800632897586</v>
      </c>
      <c r="CR381" s="40">
        <v>1</v>
      </c>
      <c r="CS381" s="9">
        <f>4*CQ381*P381+60*CQ381</f>
        <v>352.45310113709183</v>
      </c>
      <c r="CU381" s="4">
        <f>AJ381/BF381</f>
        <v>1.9404936547645257</v>
      </c>
      <c r="CV381" s="4">
        <f>AJ381/BK381</f>
        <v>0.82553769724572112</v>
      </c>
      <c r="CW381" s="4">
        <f>AJ381/BN381</f>
        <v>1.0300511509764076</v>
      </c>
      <c r="CX381" s="4">
        <f>AJ381/CS381</f>
        <v>1.5360321943493134</v>
      </c>
      <c r="CY381" s="4">
        <f>AJ381/DZ381</f>
        <v>1.5151167350293466</v>
      </c>
      <c r="CZ381" s="4">
        <f>AJ381/EL381</f>
        <v>0.97511909646297612</v>
      </c>
      <c r="DA381" s="4">
        <f>AJ381/GI381</f>
        <v>1.4158899377768372</v>
      </c>
      <c r="DB381" s="4">
        <f>AN381</f>
        <v>10</v>
      </c>
      <c r="DI381" s="4">
        <f>CU381</f>
        <v>1.9404936547645257</v>
      </c>
      <c r="DJ381" s="4">
        <f>CV381</f>
        <v>0.82553769724572112</v>
      </c>
      <c r="DK381" s="4">
        <f>CX381</f>
        <v>1.5360321943493134</v>
      </c>
      <c r="DL381" s="4">
        <f>DA381</f>
        <v>1.4158899377768372</v>
      </c>
      <c r="DM381" s="4">
        <f>CY381</f>
        <v>1.5151167350293466</v>
      </c>
      <c r="DN381" s="4">
        <f>CZ381</f>
        <v>0.97511909646297612</v>
      </c>
      <c r="DQ381" s="4">
        <f>L381</f>
        <v>211.07400000000001</v>
      </c>
      <c r="DT381" s="4">
        <f>K381/4/(1-0.3*(M381/30)^0.5)/200000/N381</f>
        <v>1.5965631204689113E-5</v>
      </c>
      <c r="DU381" s="4">
        <f>EP381</f>
        <v>9.7866580905942957</v>
      </c>
      <c r="DV381" s="4">
        <f>EC381*AG381/257/M381/AD381</f>
        <v>0.12905320758669572</v>
      </c>
      <c r="DW381" s="4">
        <f>DU381*DV381^0.4</f>
        <v>4.3146138901130779</v>
      </c>
      <c r="DX381" s="4">
        <f>MIN(DU381, DU381/1.4*(1-DV381^1.4)/(1-DV381))</f>
        <v>7.5696303059227095</v>
      </c>
      <c r="DY381" s="4">
        <f>MAX(DU381/2, (4-DT381*(8*AG381*(DW381-DX381)+6*K381*DX381))/(4+DT381*K381*DU381)*DU381)</f>
        <v>9.4053930041807909</v>
      </c>
      <c r="DZ381" s="38">
        <f>MIN(1/N381*(4*AG381*(DW381-DX381)+(3*DX381+DY381)*K381)+EC381 -FJ381,MAX(J381,AJ381))</f>
        <v>357.31854703218073</v>
      </c>
      <c r="EA381" s="4">
        <f>DZ381/FF381</f>
        <v>1.0001178824430292</v>
      </c>
      <c r="EB381" s="4">
        <f>AG381/N381</f>
        <v>2.7386127875258306</v>
      </c>
      <c r="EC381" s="4">
        <f>MIN(EB$10*BB381)</f>
        <v>126.10576596055614</v>
      </c>
      <c r="EG381" s="4">
        <f>IF(U381&gt;1*N381,0.85,1)</f>
        <v>0.85</v>
      </c>
      <c r="EH381" s="4">
        <f>MIN(1,MAX(0.7,(1-0.1*(BZ381-1*N381)/N381)))</f>
        <v>0.85499999999999998</v>
      </c>
      <c r="EI381" s="4">
        <f>MIN(1,MAX(0.7,1-0.3*(PI()*AM381^2/4*AQ381*2-0.25*PI()/4*N381^2)/(PI()/4*N381^2)))</f>
        <v>0.77500000000000002</v>
      </c>
      <c r="EJ381" s="4">
        <f>IF(EH381*EI381&lt;0.7,0.7,EH381*EI381)</f>
        <v>0.7</v>
      </c>
      <c r="EL381" s="4">
        <f>MIN(DU381/N381*3*K381+EM381-FJ381,MAX(J381,AJ381))</f>
        <v>555.19301417494398</v>
      </c>
      <c r="EM381" s="25">
        <f>13.3*Q381*K381^0.5*M381^0.5/X381/N381^2*(0.7+S381/5/K381)</f>
        <v>311.21162797642813</v>
      </c>
      <c r="EO381" s="4">
        <f>EG381*EJ381</f>
        <v>0.59499999999999997</v>
      </c>
      <c r="EP381" s="4">
        <f>IF(N381&lt;22.2,1.1*5*(M381/30)^0.5,IF(N381&gt;=31.8,0.9*5*(M381/30)^0.5,1*5*(M381/30)^0.5))/EG381/EJ381</f>
        <v>9.7866580905942957</v>
      </c>
      <c r="ES381" s="4">
        <f>ET381*N381</f>
        <v>69.56076480315609</v>
      </c>
      <c r="ET381" s="4">
        <f>AF381^0.5</f>
        <v>2.7386127875258306</v>
      </c>
      <c r="EU381" s="4">
        <f>MIN(EC381)/(4700*M381^0.5)/AE381*ES381</f>
        <v>4.501384108610914E-2</v>
      </c>
      <c r="EX381" s="4">
        <f>EU381</f>
        <v>4.501384108610914E-2</v>
      </c>
      <c r="EY381" s="4">
        <f>MIN(0.999, EX381/(0.3*(M381/30)^0.5))</f>
        <v>0.12883784183548175</v>
      </c>
      <c r="EZ381" s="4">
        <f>EP381/1*EY381^0.4</f>
        <v>4.3117323323368444</v>
      </c>
      <c r="FA381" s="4">
        <f>EP381/1.4*(1-EY381^1.4)/(1-EY381)</f>
        <v>7.5688252556899434</v>
      </c>
      <c r="FB381" s="4">
        <f>MAX(0,DQ381*FB$9-ES381)</f>
        <v>88.744735196843905</v>
      </c>
      <c r="FC381" s="4">
        <f>MAX(0,DQ381-ES381-FB381)</f>
        <v>52.768500000000031</v>
      </c>
      <c r="FD381" s="4">
        <f>FC381/(1-0.3*(M381/30)^0.5)/200000/N381</f>
        <v>1.5965631204689123E-5</v>
      </c>
      <c r="FE381" s="4">
        <f>MAX(0.5*EP381, (1-2*FD381*(ES381*EZ381+FB381*FA381))/(1/EP381+FD381*FC381))</f>
        <v>9.4054772742525969</v>
      </c>
      <c r="FF381" s="4">
        <f>MIN(4/N381*(1*EZ381*ES381+FA381*FB381+FC381*FE381)+EC381,MAX(J381,AJ381))</f>
        <v>357.27643041372676</v>
      </c>
      <c r="FO381" s="23">
        <f>IF(CU381&lt;0.6,0.6,IF(CU381&lt;0.8,0.8,IF(CU381&lt;1,1,IF(CU381&lt;1.2,1.2,IF(CU381&lt;1.4,1.4,IF(CU381&lt;1.6,1.6,IF(CU381&lt;1.8,1.8,IF(CU381&lt;2,2,2.2))))))))</f>
        <v>2</v>
      </c>
      <c r="FP381" s="23">
        <f>IF(CV381&lt;0.6,0.6,IF(CV381&lt;0.8,0.8,IF(CV381&lt;1,1,IF(CV381&lt;1.2,1.2,IF(CV381&lt;1.4,1.4,IF(CV381&lt;1.6,1.6,IF(CV381&lt;1.8,1.8,IF(CV381&lt;2,2,2.2))))))))</f>
        <v>1</v>
      </c>
      <c r="FQ381" s="23">
        <f>IF(DA381&lt;0.6,0.6,IF(DA381&lt;0.8,0.8,IF(DA381&lt;1,1,IF(DA381&lt;1.2,1.2,IF(DA381&lt;1.4,1.4,IF(DA381&lt;1.6,1.6,IF(DA381&lt;1.8,1.8,IF(DA381&lt;2,2,2.2))))))))</f>
        <v>1.6</v>
      </c>
      <c r="FR381" s="23">
        <f>IF(CX381&lt;0.6,0.6,IF(CX381&lt;0.8,0.8,IF(CX381&lt;1,1,IF(CX381&lt;1.2,1.2,IF(CX381&lt;1.4,1.4,IF(CX381&lt;1.6,1.6,IF(CX381&lt;1.8,1.8,IF(CX381&lt;2,2,2.2))))))))</f>
        <v>1.6</v>
      </c>
      <c r="FS381" s="23">
        <f>IF(CY381&lt;0.6,0.6,IF(CY381&lt;0.8,0.8,IF(CY381&lt;1,1,IF(CY381&lt;1.2,1.2,IF(CY381&lt;1.4,1.4,IF(CY381&lt;1.6,1.6,IF(CY381&lt;1.8,1.8,IF(CY381&lt;2,2,2.2))))))))</f>
        <v>1.6</v>
      </c>
      <c r="FT381" s="23">
        <f>IF(CZ381&lt;0.6,0.6,IF(CZ381&lt;0.8,0.8,IF(CZ381&lt;1,1,IF(CZ381&lt;1.2,1.2,IF(CZ381&lt;1.4,1.4,IF(CZ381&lt;1.6,1.6,IF(CZ381&lt;1.8,1.8,IF(CZ381&lt;2,2,2.2))))))))</f>
        <v>1</v>
      </c>
      <c r="FU381" s="23">
        <f>IF(FS381&lt;1,1,0)</f>
        <v>0</v>
      </c>
      <c r="FV381" s="23"/>
      <c r="GF381" s="4">
        <f>IF(S381&gt;=2.5*25.4,1,1.25)</f>
        <v>1.25</v>
      </c>
      <c r="GG381" s="4">
        <f>IF(AO381&gt;1, 0.05*(18-MIN(8,(W381+N381)/N381))*(1-48000/MAX(60000,(J381*145))*(N381/25.4)^0.75*GH381), 1/12*(14-MIN(8,(W381+N381)/N381)))</f>
        <v>0.43787748058671272</v>
      </c>
      <c r="GH381" s="4">
        <f>MIN(0.3, AM381^2*PI()/4*2*AP381/(N381^2*PI()/4*X381))</f>
        <v>0.3</v>
      </c>
      <c r="GI381" s="4">
        <f>(K381/25.4)/(N381/25.4)^1.5/0.0024*(M381*145)^0.25/GF381/GG381/145</f>
        <v>382.35974131921273</v>
      </c>
    </row>
    <row r="382" spans="1:191" ht="12" customHeight="1" x14ac:dyDescent="0.3">
      <c r="A382" s="25">
        <v>205</v>
      </c>
      <c r="B382" s="24" t="s">
        <v>182</v>
      </c>
      <c r="C382" s="4">
        <v>1996</v>
      </c>
      <c r="D382" s="24" t="s">
        <v>309</v>
      </c>
      <c r="E382" s="24"/>
      <c r="F382" s="24" t="s">
        <v>764</v>
      </c>
      <c r="G382" s="24">
        <v>1</v>
      </c>
      <c r="H382" s="4" t="s">
        <v>339</v>
      </c>
      <c r="I382" s="5">
        <f>K382/N382</f>
        <v>8.3070866141732296</v>
      </c>
      <c r="J382" s="103">
        <v>578</v>
      </c>
      <c r="K382" s="72">
        <f>305-U382-18</f>
        <v>211</v>
      </c>
      <c r="L382" s="72">
        <f>K382</f>
        <v>211</v>
      </c>
      <c r="M382" s="48">
        <v>35</v>
      </c>
      <c r="N382" s="112">
        <v>25.4</v>
      </c>
      <c r="O382" s="7">
        <f>K382/N382</f>
        <v>8.3070866141732296</v>
      </c>
      <c r="P382" s="7">
        <f>L382/N382</f>
        <v>8.3070866141732296</v>
      </c>
      <c r="Q382" s="7">
        <v>305</v>
      </c>
      <c r="R382" s="32">
        <f>S382/N382</f>
        <v>1.4960629921259843</v>
      </c>
      <c r="S382" s="7">
        <v>38</v>
      </c>
      <c r="T382" s="32">
        <f>U382/N382</f>
        <v>2.9921259842519685</v>
      </c>
      <c r="U382" s="7">
        <v>76</v>
      </c>
      <c r="V382" s="32">
        <f>W382/N382</f>
        <v>7.015748031496063</v>
      </c>
      <c r="W382" s="7">
        <f>Q382-2*N382-2*S382</f>
        <v>178.2</v>
      </c>
      <c r="X382" s="7">
        <v>2</v>
      </c>
      <c r="Y382" s="7">
        <f>AN382</f>
        <v>0</v>
      </c>
      <c r="Z382" s="32">
        <f>AA382/N382</f>
        <v>11.023622047244094</v>
      </c>
      <c r="AA382" s="7">
        <f>775-(343+152)</f>
        <v>280</v>
      </c>
      <c r="AB382" s="7">
        <f>MIN(S382/N382+0.5, W382/2/N382+0.5)</f>
        <v>1.9960629921259843</v>
      </c>
      <c r="AC382" s="7">
        <f>S382/N382+0.5</f>
        <v>1.9960629921259843</v>
      </c>
      <c r="AD382" s="7">
        <f>3200/(N382^2*PI()/4)-1</f>
        <v>5.3152807724479523</v>
      </c>
      <c r="AE382" s="7">
        <f>3200/(N382^2*PI()/4)-1</f>
        <v>5.3152807724479523</v>
      </c>
      <c r="AF382" s="7">
        <f>AE382+1</f>
        <v>6.3152807724479523</v>
      </c>
      <c r="AG382" s="7">
        <f>N382*AF382^0.5</f>
        <v>63.830764864229231</v>
      </c>
      <c r="AH382" s="7">
        <f>J382</f>
        <v>578</v>
      </c>
      <c r="AI382" s="7">
        <v>18</v>
      </c>
      <c r="AJ382" s="7">
        <f>178*1000/(N382^2*PI()/4)</f>
        <v>351.28749296741734</v>
      </c>
      <c r="AK382" s="7"/>
      <c r="AL382" s="4">
        <f>CY382</f>
        <v>1.4738851451493513</v>
      </c>
      <c r="AM382" s="7">
        <v>0</v>
      </c>
      <c r="AN382" s="7">
        <v>0</v>
      </c>
      <c r="AO382" s="7">
        <f>L382</f>
        <v>211</v>
      </c>
      <c r="AP382" s="7"/>
      <c r="AQ382" s="7"/>
      <c r="AR382" s="7">
        <f>3*AS382/(W382+N382)</f>
        <v>3.1090373280943027</v>
      </c>
      <c r="AS382" s="4">
        <f>K382</f>
        <v>211</v>
      </c>
      <c r="AT382" s="4">
        <f>IF(K382*3&gt;W382+N382, Q382, (S382+N382/2)*2+1.5*K382*(2*X382-2))*(3*K382)/(9*K382^2)</f>
        <v>0.48183254344391785</v>
      </c>
      <c r="AU382" s="4">
        <f>MIN(10*M382^0.5*K382^1.5,100*3.9*M382^0.5*K382^(5/3))/(PI()/4*N382^2)/X382</f>
        <v>178.92474002033066</v>
      </c>
      <c r="AV382" s="4">
        <f>MIN(0.7+0.3*(MIN(S382,AA382)+0.5*N382)/1.5/K382,1)</f>
        <v>0.7480568720379146</v>
      </c>
      <c r="AW382" s="4">
        <v>1.25</v>
      </c>
      <c r="AX382" s="4">
        <f>AX381</f>
        <v>1</v>
      </c>
      <c r="AY382" s="38">
        <f>AT382*AV382*AW382*AX382*AU382</f>
        <v>80.614126800337118</v>
      </c>
      <c r="AZ382" s="38">
        <f>AY382</f>
        <v>80.614126800337118</v>
      </c>
      <c r="BA382" s="38">
        <f>IF(M382&lt;50, 0.3*M382^(2/3), 2.12*LN(1+0.1*(M382+8)))</f>
        <v>3.2099624416952368</v>
      </c>
      <c r="BB382" s="38">
        <f>AX382* (M382^0.5/AS382^0.5)/(PI()/4*N382^2)/X382/0.72 *(0.7+(MIN(S382,AA382)+0.5*N382)/5/K382) *(3*Q382*K382)</f>
        <v>80.614126800337147</v>
      </c>
      <c r="BC382" s="38">
        <f>AY382/BB382</f>
        <v>0.99999999999999967</v>
      </c>
      <c r="BD382" s="38">
        <f>BH382/BB382</f>
        <v>3.9959885379590889</v>
      </c>
      <c r="BE382" s="4">
        <f>IF(BD382&lt;1,1,0)</f>
        <v>0</v>
      </c>
      <c r="BF382" s="4">
        <f>L382/N382*M382^0.5/0.19</f>
        <v>258.6599324977247</v>
      </c>
      <c r="BG382" s="4">
        <f>MIN(0.6+0.4*(AC382/AB382),2)</f>
        <v>1</v>
      </c>
      <c r="BH382" s="38">
        <f>2*M382*AB382*AD382^0.5*BG382*0.7/0.7</f>
        <v>322.13312669172785</v>
      </c>
      <c r="BI382" s="4">
        <f>MAX(1-0.7*AE382/5,0.3)</f>
        <v>0.3</v>
      </c>
      <c r="BJ382" s="4">
        <f>BI382*J382*L382/(J382*N382/2.75/M382^0.5)</f>
        <v>40.544944419018336</v>
      </c>
      <c r="BK382" s="4">
        <f>BH382+BJ382</f>
        <v>362.6780711107462</v>
      </c>
      <c r="BM382" s="4">
        <f>MIN(1.5, 0.75+0.25*MIN(3,MAX(1,S382/N382))+0.4*MIN(1,(40*2*PI()*AM382^2/4/AO382/X382)/N382))</f>
        <v>1.1240157480314961</v>
      </c>
      <c r="BN382" s="4">
        <f>(3*P382+30)*BM382*M382^0.5</f>
        <v>365.21357266639933</v>
      </c>
      <c r="BP382" s="4">
        <f>3.4/PI()^0.5*M382*AB382*AE382^0.5*BG382</f>
        <v>308.96506281174231</v>
      </c>
      <c r="BQ382" s="4">
        <f>8/3*AH382*AI382^2/(AG382-N382-22)/N382*(AG382^2-N382^2)/(AG382^2-(N382+22)^2)</f>
        <v>2245.2309649218914</v>
      </c>
      <c r="BR382" s="4">
        <f>BQ382/BP382</f>
        <v>7.2669412667216324</v>
      </c>
      <c r="BZ382" s="4">
        <f>IF(W382=0,S382,MIN(W382/2,S382))</f>
        <v>38</v>
      </c>
      <c r="CD382" s="9"/>
      <c r="CF382" s="9"/>
      <c r="CG382" s="9"/>
      <c r="CH382" s="9">
        <f>IF(W382=0,MIN(S382,U382),MIN(W382/2,S382,U382))</f>
        <v>38</v>
      </c>
      <c r="CI382" s="9">
        <f>MAX(W382/2,S382)</f>
        <v>89.1</v>
      </c>
      <c r="CJ382" s="9">
        <f>(CH382/N382)^0.5*(CI382/CH382)^0.15</f>
        <v>1.3899176059121618</v>
      </c>
      <c r="CK382" s="70">
        <v>0</v>
      </c>
      <c r="CL382" s="9">
        <f>MIN(PI()*AM382^2/4*AN382*2/X382/N382/MAX(0.01,AO382),0.05)</f>
        <v>0</v>
      </c>
      <c r="CM382" s="9">
        <f>MAX(0,CK382*(CL382-0.5/50))</f>
        <v>0</v>
      </c>
      <c r="CN382" s="9">
        <f>MIN(1,(25/N382)^0.3)</f>
        <v>0.99524931562137331</v>
      </c>
      <c r="CO382" s="9">
        <f>IF(J382&gt;=800,0.68,IF(J382&gt;=700,0.75-(J382-700)*0.07/100,IF(J382&gt;=600,0.85-(J382-600)*0.1/100,IF(J382&gt;=500,1-(J382-500)*0.15/100,1.2-(J382-400)*0.2/100))))</f>
        <v>0.88300000000000001</v>
      </c>
      <c r="CP382" s="9">
        <f>1.75*CN382*CO382*(M382/25)^0.5</f>
        <v>1.8196784745027872</v>
      </c>
      <c r="CQ382" s="9">
        <f>MIN((CJ382+CM382)*CP382,2.5*CP382,M382^0.5)</f>
        <v>2.5292031488108089</v>
      </c>
      <c r="CR382" s="9">
        <v>1</v>
      </c>
      <c r="CS382" s="9">
        <f>4*CQ382*P382+60*CQ382</f>
        <v>235.79342741669274</v>
      </c>
      <c r="CU382" s="4">
        <f>AJ382/BF382</f>
        <v>1.358105561906104</v>
      </c>
      <c r="CV382" s="4">
        <f>AJ382/BK382</f>
        <v>0.96859314347723358</v>
      </c>
      <c r="CW382" s="4">
        <f>AJ382/BN382</f>
        <v>0.96186866879752408</v>
      </c>
      <c r="CX382" s="4">
        <f>AJ382/CS382</f>
        <v>1.4898103684061734</v>
      </c>
      <c r="CY382" s="4">
        <f>AJ382/DZ382</f>
        <v>1.4738851451493513</v>
      </c>
      <c r="CZ382" s="4">
        <f>AJ382/EL382</f>
        <v>0.96123910886210173</v>
      </c>
      <c r="DA382" s="4">
        <f>AJ382/GI382</f>
        <v>1.08971818573285</v>
      </c>
      <c r="DC382" s="4">
        <f>CU382</f>
        <v>1.358105561906104</v>
      </c>
      <c r="DD382" s="4">
        <f>CV382</f>
        <v>0.96859314347723358</v>
      </c>
      <c r="DE382" s="4">
        <f>CX382</f>
        <v>1.4898103684061734</v>
      </c>
      <c r="DF382" s="4">
        <f>DA382</f>
        <v>1.08971818573285</v>
      </c>
      <c r="DG382" s="4">
        <f>CY382</f>
        <v>1.4738851451493513</v>
      </c>
      <c r="DH382" s="4">
        <f>CZ382</f>
        <v>0.96123910886210173</v>
      </c>
      <c r="DP382" s="4">
        <f>AN382</f>
        <v>0</v>
      </c>
      <c r="DQ382" s="4">
        <f>L382</f>
        <v>211</v>
      </c>
      <c r="DT382" s="4">
        <f>K382/4/(1-0.3*(M382/30)^0.5)/200000/N382</f>
        <v>1.5361578672425713E-5</v>
      </c>
      <c r="DU382" s="4">
        <f>EP382</f>
        <v>6.6853003614357291</v>
      </c>
      <c r="DV382" s="4">
        <f>EC382*AG382/257/M382/AD382</f>
        <v>0.10762516355627041</v>
      </c>
      <c r="DW382" s="4">
        <f>DU382*DV382^0.4</f>
        <v>2.7408574833830341</v>
      </c>
      <c r="DX382" s="4">
        <f>MIN(DU382, DU382/1.4*(1-DV382^1.4)/(1-DV382))</f>
        <v>5.1150151463647351</v>
      </c>
      <c r="DY382" s="4">
        <f>MAX(DU382/2, (4-DT382*(8*AG382*(DW382-DX382)+6*K382*DX382))/(4+DT382*K382*DU382)*DU382)</f>
        <v>6.5148777974622316</v>
      </c>
      <c r="DZ382" s="38">
        <f>MIN(1/N382*(4*AG382*(DW382-DX382)+(3*DX382+DY382)*K382)+EC382 -FJ382,MAX(J382,AJ382))</f>
        <v>238.34115848411022</v>
      </c>
      <c r="EA382" s="4">
        <f>DZ382/FF382</f>
        <v>1.000105876218381</v>
      </c>
      <c r="EB382" s="4">
        <f>AG382/N382</f>
        <v>2.5130222387491825</v>
      </c>
      <c r="EC382" s="4">
        <f>MIN(EB$10*BB382)</f>
        <v>80.614126800337147</v>
      </c>
      <c r="EG382" s="4">
        <f>IF(U382&gt;1*N382,0.85,1)</f>
        <v>0.85</v>
      </c>
      <c r="EH382" s="4">
        <f>MIN(1,MAX(0.7,(1-0.1*(BZ382-1*N382)/N382)))</f>
        <v>0.9503937007874016</v>
      </c>
      <c r="EI382" s="4">
        <f>MIN(1,MAX(0.7,1-0.3*(PI()*AM382^2/4*AQ382*2-0.25*PI()/4*N382^2)/(PI()/4*N382^2)))</f>
        <v>1</v>
      </c>
      <c r="EJ382" s="4">
        <f>IF(EH382*EI382&lt;0.7,0.7,EH382*EI382)</f>
        <v>0.9503937007874016</v>
      </c>
      <c r="EL382" s="4">
        <f>MIN(DU382/N382*3*K382+EM382-FJ382,MAX(J382,AJ382))</f>
        <v>365.45276792084064</v>
      </c>
      <c r="EM382" s="25">
        <f>13.3*Q382*K382^0.5*M382^0.5/X382/N382^2*(0.7+S382/5/K382)</f>
        <v>198.84666048821009</v>
      </c>
      <c r="EO382" s="4">
        <f>EG382*EJ382</f>
        <v>0.80783464566929131</v>
      </c>
      <c r="EP382" s="4">
        <f>IF(N382&lt;22.2,1.1*5*(M382/30)^0.5,IF(N382&gt;=31.8,0.9*5*(M382/30)^0.5,1*5*(M382/30)^0.5))/EG382/EJ382</f>
        <v>6.6853003614357291</v>
      </c>
      <c r="ES382" s="4">
        <f>ET382*N382</f>
        <v>63.830764864229231</v>
      </c>
      <c r="ET382" s="4">
        <f>AF382^0.5</f>
        <v>2.5130222387491825</v>
      </c>
      <c r="EU382" s="4">
        <f>MIN(EC382)/(4700*M382^0.5)/AE382*ES382</f>
        <v>3.4816339775933298E-2</v>
      </c>
      <c r="EX382" s="4">
        <f>EU382</f>
        <v>3.4816339775933298E-2</v>
      </c>
      <c r="EY382" s="4">
        <f>MIN(0.999, EX382/(0.3*(M382/30)^0.5))</f>
        <v>0.10744555721689872</v>
      </c>
      <c r="EZ382" s="4">
        <f>EP382/1*EY382^0.4</f>
        <v>2.739026974467071</v>
      </c>
      <c r="FA382" s="4">
        <f>EP382/1.4*(1-EY382^1.4)/(1-EY382)</f>
        <v>5.1145372168351306</v>
      </c>
      <c r="FB382" s="4">
        <f>MAX(0,DQ382*FB$9-ES382)</f>
        <v>94.419235135770776</v>
      </c>
      <c r="FC382" s="4">
        <f>MAX(0,DQ382-ES382-FB382)</f>
        <v>52.75</v>
      </c>
      <c r="FD382" s="4">
        <f>FC382/(1-0.3*(M382/30)^0.5)/200000/N382</f>
        <v>1.5361578672425713E-5</v>
      </c>
      <c r="FE382" s="4">
        <f>MAX(0.5*EP382, (1-2*FD382*(ES382*EZ382+FB382*FA382))/(1/EP382+FD382*FC382))</f>
        <v>6.5149108855037472</v>
      </c>
      <c r="FF382" s="4">
        <f>MIN(4/N382*(1*EZ382*ES382+FA382*FB382+FC382*FE382)+EC382,MAX(J382,AJ382))</f>
        <v>238.31592649503295</v>
      </c>
      <c r="FO382" s="23">
        <f>IF(CU382&lt;0.6,0.6,IF(CU382&lt;0.8,0.8,IF(CU382&lt;1,1,IF(CU382&lt;1.2,1.2,IF(CU382&lt;1.4,1.4,IF(CU382&lt;1.6,1.6,IF(CU382&lt;1.8,1.8,IF(CU382&lt;2,2,2.2))))))))</f>
        <v>1.4</v>
      </c>
      <c r="FP382" s="23">
        <f>IF(CV382&lt;0.6,0.6,IF(CV382&lt;0.8,0.8,IF(CV382&lt;1,1,IF(CV382&lt;1.2,1.2,IF(CV382&lt;1.4,1.4,IF(CV382&lt;1.6,1.6,IF(CV382&lt;1.8,1.8,IF(CV382&lt;2,2,2.2))))))))</f>
        <v>1</v>
      </c>
      <c r="FQ382" s="23">
        <f>IF(DA382&lt;0.6,0.6,IF(DA382&lt;0.8,0.8,IF(DA382&lt;1,1,IF(DA382&lt;1.2,1.2,IF(DA382&lt;1.4,1.4,IF(DA382&lt;1.6,1.6,IF(DA382&lt;1.8,1.8,IF(DA382&lt;2,2,2.2))))))))</f>
        <v>1.2</v>
      </c>
      <c r="FR382" s="23">
        <f>IF(CX382&lt;0.6,0.6,IF(CX382&lt;0.8,0.8,IF(CX382&lt;1,1,IF(CX382&lt;1.2,1.2,IF(CX382&lt;1.4,1.4,IF(CX382&lt;1.6,1.6,IF(CX382&lt;1.8,1.8,IF(CX382&lt;2,2,2.2))))))))</f>
        <v>1.6</v>
      </c>
      <c r="FS382" s="23">
        <f>IF(CY382&lt;0.6,0.6,IF(CY382&lt;0.8,0.8,IF(CY382&lt;1,1,IF(CY382&lt;1.2,1.2,IF(CY382&lt;1.4,1.4,IF(CY382&lt;1.6,1.6,IF(CY382&lt;1.8,1.8,IF(CY382&lt;2,2,2.2))))))))</f>
        <v>1.6</v>
      </c>
      <c r="FT382" s="23">
        <f>IF(CZ382&lt;0.6,0.6,IF(CZ382&lt;0.8,0.8,IF(CZ382&lt;1,1,IF(CZ382&lt;1.2,1.2,IF(CZ382&lt;1.4,1.4,IF(CZ382&lt;1.6,1.6,IF(CZ382&lt;1.8,1.8,IF(CZ382&lt;2,2,2.2))))))))</f>
        <v>1</v>
      </c>
      <c r="FU382" s="23">
        <f>IF(FS382&lt;1,1,0)</f>
        <v>0</v>
      </c>
      <c r="FV382" s="23"/>
      <c r="GF382" s="4">
        <f>IF(S382&gt;=2.5*25.4,1,1.25)</f>
        <v>1.25</v>
      </c>
      <c r="GG382" s="4">
        <f>IF(AO382&gt;1, 0.05*(18-MIN(8,(W382+N382)/N382))*(1-48000/MAX(60000,(J382*145))*(N382/25.4)^0.75*GH382), 1/12*(14-MIN(8,(W382+N382)/N382)))</f>
        <v>0.5</v>
      </c>
      <c r="GH382" s="4">
        <f>MIN(0.3, AM382^2*PI()/4*2*AP382/(N382^2*PI()/4*X382))</f>
        <v>0</v>
      </c>
      <c r="GI382" s="4">
        <f>(K382/25.4)/(N382/25.4)^1.5/0.0024*(M382*145)^0.25/GF382/GG382/145</f>
        <v>322.36544967924146</v>
      </c>
    </row>
    <row r="383" spans="1:191" ht="12" customHeight="1" x14ac:dyDescent="0.3">
      <c r="A383" s="25">
        <v>214</v>
      </c>
      <c r="B383" s="24" t="s">
        <v>182</v>
      </c>
      <c r="C383" s="4">
        <v>1996</v>
      </c>
      <c r="D383" s="24" t="s">
        <v>309</v>
      </c>
      <c r="E383" s="24">
        <v>1</v>
      </c>
      <c r="F383" s="24">
        <v>1</v>
      </c>
      <c r="G383" s="24">
        <v>1</v>
      </c>
      <c r="H383" s="4" t="s">
        <v>348</v>
      </c>
      <c r="I383" s="5">
        <f>K383/N383</f>
        <v>8.3070866141732296</v>
      </c>
      <c r="J383" s="103">
        <v>578</v>
      </c>
      <c r="K383" s="72">
        <f>305-U383-18</f>
        <v>211</v>
      </c>
      <c r="L383" s="72">
        <f>K383</f>
        <v>211</v>
      </c>
      <c r="M383" s="48">
        <v>35.200000000000003</v>
      </c>
      <c r="N383" s="112">
        <v>25.4</v>
      </c>
      <c r="O383" s="7">
        <f>K383/N383</f>
        <v>8.3070866141732296</v>
      </c>
      <c r="P383" s="7">
        <f>L383/N383</f>
        <v>8.3070866141732296</v>
      </c>
      <c r="Q383" s="7">
        <v>305</v>
      </c>
      <c r="R383" s="32">
        <f>S383/N383</f>
        <v>2.9921259842519685</v>
      </c>
      <c r="S383" s="7">
        <v>76</v>
      </c>
      <c r="T383" s="32">
        <f>U383/N383</f>
        <v>2.9921259842519685</v>
      </c>
      <c r="U383" s="7">
        <v>76</v>
      </c>
      <c r="V383" s="32">
        <f>W383/N383</f>
        <v>4.0236220472440944</v>
      </c>
      <c r="W383" s="7">
        <f>Q383-2*N383-2*S383</f>
        <v>102.19999999999999</v>
      </c>
      <c r="X383" s="7">
        <v>2</v>
      </c>
      <c r="Y383" s="7">
        <f>AN383</f>
        <v>0</v>
      </c>
      <c r="Z383" s="32">
        <f>AA383/N383</f>
        <v>11.023622047244094</v>
      </c>
      <c r="AA383" s="7">
        <f>775-(343+152)</f>
        <v>280</v>
      </c>
      <c r="AB383" s="7">
        <f>MIN(S383/N383+0.5, W383/2/N383+0.5)</f>
        <v>2.5118110236220472</v>
      </c>
      <c r="AC383" s="7">
        <f>S383/N383+0.5</f>
        <v>3.4921259842519685</v>
      </c>
      <c r="AD383" s="7">
        <f>3200/(N383^2*PI()/4)-1</f>
        <v>5.3152807724479523</v>
      </c>
      <c r="AE383" s="7">
        <f>3200/(N383^2*PI()/4)-1</f>
        <v>5.3152807724479523</v>
      </c>
      <c r="AF383" s="7">
        <f>AE383+1</f>
        <v>6.3152807724479523</v>
      </c>
      <c r="AG383" s="7">
        <f>N383*AF383^0.5</f>
        <v>63.830764864229231</v>
      </c>
      <c r="AH383" s="7">
        <f>J383</f>
        <v>578</v>
      </c>
      <c r="AI383" s="7">
        <v>18</v>
      </c>
      <c r="AJ383" s="7">
        <f>218*1000/(N383^2*PI()/4)</f>
        <v>430.22850262301677</v>
      </c>
      <c r="AK383" s="7"/>
      <c r="AL383" s="4">
        <f>CY383</f>
        <v>1.7031111416982552</v>
      </c>
      <c r="AM383" s="7">
        <v>0</v>
      </c>
      <c r="AN383" s="7">
        <v>0</v>
      </c>
      <c r="AO383" s="7">
        <f>L383</f>
        <v>211</v>
      </c>
      <c r="AP383" s="7"/>
      <c r="AQ383" s="7"/>
      <c r="AR383" s="7">
        <f>3*AS383/(W383+N383)</f>
        <v>4.9608150470219439</v>
      </c>
      <c r="AS383" s="4">
        <f>K383</f>
        <v>211</v>
      </c>
      <c r="AT383" s="4">
        <f>IF(K383*3&gt;W383+N383, Q383, (S383+N383/2)*2+1.5*K383*(2*X383-2))*(3*K383)/(9*K383^2)</f>
        <v>0.48183254344391785</v>
      </c>
      <c r="AU383" s="4">
        <f>MIN(10*M383^0.5*K383^1.5,100*3.9*M383^0.5*K383^(5/3))/(PI()/4*N383^2)/X383</f>
        <v>179.43522533734807</v>
      </c>
      <c r="AV383" s="4">
        <f>MIN(0.7+0.3*(MIN(S383,AA383)+0.5*N383)/1.5/K383,1)</f>
        <v>0.7840758293838862</v>
      </c>
      <c r="AW383" s="4">
        <v>1.25</v>
      </c>
      <c r="AX383" s="4">
        <f>AX382</f>
        <v>1</v>
      </c>
      <c r="AY383" s="38">
        <f>AT383*AV383*AW383*AX383*AU383</f>
        <v>84.736771433165558</v>
      </c>
      <c r="AZ383" s="38">
        <f>AY383</f>
        <v>84.736771433165558</v>
      </c>
      <c r="BA383" s="38">
        <f>IF(M383&lt;50, 0.3*M383^(2/3), 2.12*LN(1+0.1*(M383+8)))</f>
        <v>3.222179253401551</v>
      </c>
      <c r="BB383" s="38">
        <f>AX383* (M383^0.5/AS383^0.5)/(PI()/4*N383^2)/X383/0.72 *(0.7+(MIN(S383,AA383)+0.5*N383)/5/K383) *(3*Q383*K383)</f>
        <v>84.736771433165572</v>
      </c>
      <c r="BC383" s="38">
        <f>AY383/BB383</f>
        <v>0.99999999999999978</v>
      </c>
      <c r="BD383" s="38">
        <f>BH383/BB383</f>
        <v>5.5622568935469481</v>
      </c>
      <c r="BE383" s="4">
        <f>IF(BD383&lt;1,1,0)</f>
        <v>0</v>
      </c>
      <c r="BF383" s="4">
        <f>L383/N383*M383^0.5/0.19</f>
        <v>259.3979081271753</v>
      </c>
      <c r="BG383" s="4">
        <f>MIN(0.6+0.4*(AC383/AB383),2)</f>
        <v>1.1561128526645768</v>
      </c>
      <c r="BH383" s="38">
        <f>2*M383*AB383*AD383^0.5*BG383*0.7/0.7</f>
        <v>471.32769104103733</v>
      </c>
      <c r="BI383" s="4">
        <f>MAX(1-0.7*AE383/5,0.3)</f>
        <v>0.3</v>
      </c>
      <c r="BJ383" s="4">
        <f>BI383*J383*L383/(J383*N383/2.75/M383^0.5)</f>
        <v>40.660622098934731</v>
      </c>
      <c r="BK383" s="4">
        <f>BH383+BJ383</f>
        <v>511.98831313997204</v>
      </c>
      <c r="BM383" s="4">
        <f>MIN(1.5, 0.75+0.25*MIN(3,MAX(1,S383/N383))+0.4*MIN(1,(40*2*PI()*AM383^2/4/AO383/X383)/N383))</f>
        <v>1.4980314960629921</v>
      </c>
      <c r="BN383" s="4">
        <f>(3*P383+30)*BM383*M383^0.5</f>
        <v>488.12692869417333</v>
      </c>
      <c r="BP383" s="4">
        <f>3.4/PI()^0.5*M383*AB383*AE383^0.5*BG383</f>
        <v>452.06089532904645</v>
      </c>
      <c r="BQ383" s="4">
        <f>8/3*AH383*AI383^2/(AG383-N383-22)/N383*(AG383^2-N383^2)/(AG383^2-(N383+22)^2)</f>
        <v>2245.2309649218914</v>
      </c>
      <c r="BR383" s="4">
        <f>BQ383/BP383</f>
        <v>4.9666560149769889</v>
      </c>
      <c r="BZ383" s="4">
        <f>IF(W383=0,S383,MIN(W383/2,S383))</f>
        <v>51.099999999999994</v>
      </c>
      <c r="CD383" s="9"/>
      <c r="CF383" s="9"/>
      <c r="CG383" s="9"/>
      <c r="CH383" s="9">
        <f>IF(W383=0,MIN(S383,U383),MIN(W383/2,S383,U383))</f>
        <v>51.099999999999994</v>
      </c>
      <c r="CI383" s="9">
        <f>MAX(W383/2,S383)</f>
        <v>76</v>
      </c>
      <c r="CJ383" s="9">
        <f>(CH383/N383)^0.5*(CI383/CH383)^0.15</f>
        <v>1.5054020239149992</v>
      </c>
      <c r="CK383" s="70">
        <v>0</v>
      </c>
      <c r="CL383" s="9">
        <f>MIN(PI()*AM383^2/4*AN383*2/X383/N383/MAX(0.01,AO383),0.05)</f>
        <v>0</v>
      </c>
      <c r="CM383" s="9">
        <f>MAX(0,CK383*(CL383-0.5/50))</f>
        <v>0</v>
      </c>
      <c r="CN383" s="9">
        <f>MIN(1,(25/N383)^0.3)</f>
        <v>0.99524931562137331</v>
      </c>
      <c r="CO383" s="9">
        <f>IF(J383&gt;=800,0.68,IF(J383&gt;=700,0.75-(J383-700)*0.07/100,IF(J383&gt;=600,0.85-(J383-600)*0.1/100,IF(J383&gt;=500,1-(J383-500)*0.15/100,1.2-(J383-400)*0.2/100))))</f>
        <v>0.88300000000000001</v>
      </c>
      <c r="CP383" s="9">
        <f>1.75*CN383*CO383*(M383/25)^0.5</f>
        <v>1.8248701497446835</v>
      </c>
      <c r="CQ383" s="9">
        <f>MIN((CJ383+CM383)*CP383,2.5*CP383,M383^0.5)</f>
        <v>2.7471632168077145</v>
      </c>
      <c r="CR383" s="9">
        <v>1</v>
      </c>
      <c r="CS383" s="9">
        <f>4*CQ383*P383+60*CQ383</f>
        <v>256.1134841496326</v>
      </c>
      <c r="CU383" s="4">
        <f>AJ383/BF383</f>
        <v>1.6585658139235577</v>
      </c>
      <c r="CV383" s="4">
        <f>AJ383/BK383</f>
        <v>0.84030922499865146</v>
      </c>
      <c r="CW383" s="4">
        <f>AJ383/BN383</f>
        <v>0.88138653561678071</v>
      </c>
      <c r="CX383" s="4">
        <f>AJ383/CS383</f>
        <v>1.6798354215963835</v>
      </c>
      <c r="CY383" s="4">
        <f>AJ383/DZ383</f>
        <v>1.7031111416982552</v>
      </c>
      <c r="CZ383" s="4">
        <f>AJ383/EL383</f>
        <v>1.1150394683014302</v>
      </c>
      <c r="DA383" s="4">
        <f>AJ383/GI383</f>
        <v>1.3834883569132823</v>
      </c>
      <c r="DC383" s="4">
        <f>CU383</f>
        <v>1.6585658139235577</v>
      </c>
      <c r="DD383" s="4">
        <f>CV383</f>
        <v>0.84030922499865146</v>
      </c>
      <c r="DE383" s="4">
        <f>CX383</f>
        <v>1.6798354215963835</v>
      </c>
      <c r="DF383" s="4">
        <f>DA383</f>
        <v>1.3834883569132823</v>
      </c>
      <c r="DG383" s="4">
        <f>CY383</f>
        <v>1.7031111416982552</v>
      </c>
      <c r="DH383" s="4">
        <f>CZ383</f>
        <v>1.1150394683014302</v>
      </c>
      <c r="DP383" s="4">
        <f>AN383</f>
        <v>0</v>
      </c>
      <c r="DQ383" s="4">
        <f>L383</f>
        <v>211</v>
      </c>
      <c r="DT383" s="4">
        <f>K383/4/(1-0.3*(M383/30)^0.5)/200000/N383</f>
        <v>1.5382617175677067E-5</v>
      </c>
      <c r="DU383" s="4">
        <f>EP383</f>
        <v>7.0890752785809319</v>
      </c>
      <c r="DV383" s="4">
        <f>EC383*AG383/257/M383/AD383</f>
        <v>0.11248638605548829</v>
      </c>
      <c r="DW383" s="4">
        <f>DU383*DV383^0.4</f>
        <v>2.9582139024790601</v>
      </c>
      <c r="DX383" s="4">
        <f>MIN(DU383, DU383/1.4*(1-DV383^1.4)/(1-DV383))</f>
        <v>5.4375958547544618</v>
      </c>
      <c r="DY383" s="4">
        <f>MAX(DU383/2, (4-DT383*(8*AG383*(DW383-DX383)+6*K383*DX383))/(4+DT383*K383*DU383)*DU383)</f>
        <v>6.8962497152914048</v>
      </c>
      <c r="DZ383" s="38">
        <f>MIN(1/N383*(4*AG383*(DW383-DX383)+(3*DX383+DY383)*K383)+EC383 -FJ383,MAX(J383,AJ383))</f>
        <v>252.61328640831681</v>
      </c>
      <c r="EA383" s="4">
        <f>DZ383/FF383</f>
        <v>1.0001082496730345</v>
      </c>
      <c r="EB383" s="4">
        <f>AG383/N383</f>
        <v>2.5130222387491825</v>
      </c>
      <c r="EC383" s="4">
        <f>MIN(EB$10*BB383)</f>
        <v>84.736771433165572</v>
      </c>
      <c r="EG383" s="4">
        <f>IF(U383&gt;1*N383,0.85,1)</f>
        <v>0.85</v>
      </c>
      <c r="EH383" s="4">
        <f>MIN(1,MAX(0.7,(1-0.1*(BZ383-1*N383)/N383)))</f>
        <v>0.89881889763779532</v>
      </c>
      <c r="EI383" s="4">
        <f>MIN(1,MAX(0.7,1-0.3*(PI()*AM383^2/4*AQ383*2-0.25*PI()/4*N383^2)/(PI()/4*N383^2)))</f>
        <v>1</v>
      </c>
      <c r="EJ383" s="4">
        <f>IF(EH383*EI383&lt;0.7,0.7,EH383*EI383)</f>
        <v>0.89881889763779532</v>
      </c>
      <c r="EL383" s="4">
        <f>MIN(DU383/N383*3*K383+EM383-FJ383,MAX(J383,AJ383))</f>
        <v>385.84150144783257</v>
      </c>
      <c r="EM383" s="25">
        <f>13.3*Q383*K383^0.5*M383^0.5/X383/N383^2*(0.7+S383/5/K383)</f>
        <v>209.17281438713454</v>
      </c>
      <c r="EO383" s="4">
        <f>EG383*EJ383</f>
        <v>0.76399606299212597</v>
      </c>
      <c r="EP383" s="4">
        <f>IF(N383&lt;22.2,1.1*5*(M383/30)^0.5,IF(N383&gt;=31.8,0.9*5*(M383/30)^0.5,1*5*(M383/30)^0.5))/EG383/EJ383</f>
        <v>7.0890752785809319</v>
      </c>
      <c r="ES383" s="4">
        <f>ET383*N383</f>
        <v>63.830764864229231</v>
      </c>
      <c r="ET383" s="4">
        <f>AF383^0.5</f>
        <v>2.5130222387491825</v>
      </c>
      <c r="EU383" s="4">
        <f>MIN(EC383)/(4700*M383^0.5)/AE383*ES383</f>
        <v>3.649274741846429E-2</v>
      </c>
      <c r="EX383" s="4">
        <f>EU383</f>
        <v>3.649274741846429E-2</v>
      </c>
      <c r="EY383" s="4">
        <f>MIN(0.999, EX383/(0.3*(M383/30)^0.5))</f>
        <v>0.11229866724177412</v>
      </c>
      <c r="EZ383" s="4">
        <f>EP383/1*EY383^0.4</f>
        <v>2.956238229917957</v>
      </c>
      <c r="FA383" s="4">
        <f>EP383/1.4*(1-EY383^1.4)/(1-EY383)</f>
        <v>5.4370713404542954</v>
      </c>
      <c r="FB383" s="4">
        <f>MAX(0,DQ383*FB$9-ES383)</f>
        <v>94.419235135770776</v>
      </c>
      <c r="FC383" s="4">
        <f>MAX(0,DQ383-ES383-FB383)</f>
        <v>52.75</v>
      </c>
      <c r="FD383" s="4">
        <f>FC383/(1-0.3*(M383/30)^0.5)/200000/N383</f>
        <v>1.5382617175677067E-5</v>
      </c>
      <c r="FE383" s="4">
        <f>MAX(0.5*EP383, (1-2*FD383*(ES383*EZ383+FB383*FA383))/(1/EP383+FD383*FC383))</f>
        <v>6.8962878012352622</v>
      </c>
      <c r="FF383" s="4">
        <f>MIN(4/N383*(1*EZ383*ES383+FA383*FB383+FC383*FE383)+EC383,MAX(J383,AJ383))</f>
        <v>252.58594406245896</v>
      </c>
      <c r="FO383" s="23">
        <f>IF(CU383&lt;0.6,0.6,IF(CU383&lt;0.8,0.8,IF(CU383&lt;1,1,IF(CU383&lt;1.2,1.2,IF(CU383&lt;1.4,1.4,IF(CU383&lt;1.6,1.6,IF(CU383&lt;1.8,1.8,IF(CU383&lt;2,2,2.2))))))))</f>
        <v>1.8</v>
      </c>
      <c r="FP383" s="23">
        <f>IF(CV383&lt;0.6,0.6,IF(CV383&lt;0.8,0.8,IF(CV383&lt;1,1,IF(CV383&lt;1.2,1.2,IF(CV383&lt;1.4,1.4,IF(CV383&lt;1.6,1.6,IF(CV383&lt;1.8,1.8,IF(CV383&lt;2,2,2.2))))))))</f>
        <v>1</v>
      </c>
      <c r="FQ383" s="23">
        <f>IF(DA383&lt;0.6,0.6,IF(DA383&lt;0.8,0.8,IF(DA383&lt;1,1,IF(DA383&lt;1.2,1.2,IF(DA383&lt;1.4,1.4,IF(DA383&lt;1.6,1.6,IF(DA383&lt;1.8,1.8,IF(DA383&lt;2,2,2.2))))))))</f>
        <v>1.4</v>
      </c>
      <c r="FR383" s="23">
        <f>IF(CX383&lt;0.6,0.6,IF(CX383&lt;0.8,0.8,IF(CX383&lt;1,1,IF(CX383&lt;1.2,1.2,IF(CX383&lt;1.4,1.4,IF(CX383&lt;1.6,1.6,IF(CX383&lt;1.8,1.8,IF(CX383&lt;2,2,2.2))))))))</f>
        <v>1.8</v>
      </c>
      <c r="FS383" s="23">
        <f>IF(CY383&lt;0.6,0.6,IF(CY383&lt;0.8,0.8,IF(CY383&lt;1,1,IF(CY383&lt;1.2,1.2,IF(CY383&lt;1.4,1.4,IF(CY383&lt;1.6,1.6,IF(CY383&lt;1.8,1.8,IF(CY383&lt;2,2,2.2))))))))</f>
        <v>1.8</v>
      </c>
      <c r="FT383" s="23">
        <f>IF(CZ383&lt;0.6,0.6,IF(CZ383&lt;0.8,0.8,IF(CZ383&lt;1,1,IF(CZ383&lt;1.2,1.2,IF(CZ383&lt;1.4,1.4,IF(CZ383&lt;1.6,1.6,IF(CZ383&lt;1.8,1.8,IF(CZ383&lt;2,2,2.2))))))))</f>
        <v>1.2</v>
      </c>
      <c r="FU383" s="23">
        <f>IF(FS383&lt;1,1,0)</f>
        <v>0</v>
      </c>
      <c r="FV383" s="23"/>
      <c r="GF383" s="4">
        <f>IF(S383&gt;=2.5*25.4,1,1.25)</f>
        <v>1</v>
      </c>
      <c r="GG383" s="4">
        <f>IF(AO383&gt;1, 0.05*(18-MIN(8,(W383+N383)/N383))*(1-48000/MAX(60000,(J383*145))*(N383/25.4)^0.75*GH383), 1/12*(14-MIN(8,(W383+N383)/N383)))</f>
        <v>0.64881889763779532</v>
      </c>
      <c r="GH383" s="4">
        <f>MIN(0.3, AM383^2*PI()/4*2*AP383/(N383^2*PI()/4*X383))</f>
        <v>0</v>
      </c>
      <c r="GI383" s="4">
        <f>(K383/25.4)/(N383/25.4)^1.5/0.0024*(M383*145)^0.25/GF383/GG383/145</f>
        <v>310.97370677040232</v>
      </c>
    </row>
    <row r="384" spans="1:191" ht="12" customHeight="1" x14ac:dyDescent="0.3">
      <c r="A384" s="25">
        <v>215</v>
      </c>
      <c r="B384" s="24" t="s">
        <v>182</v>
      </c>
      <c r="C384" s="4">
        <v>1996</v>
      </c>
      <c r="D384" s="24" t="s">
        <v>309</v>
      </c>
      <c r="E384" s="24"/>
      <c r="F384" s="24">
        <v>1</v>
      </c>
      <c r="G384" s="24">
        <v>1</v>
      </c>
      <c r="H384" s="4" t="s">
        <v>349</v>
      </c>
      <c r="I384" s="5">
        <f>K384/N384</f>
        <v>8.3070866141732296</v>
      </c>
      <c r="J384" s="103">
        <v>578</v>
      </c>
      <c r="K384" s="72">
        <f>305-U384-18</f>
        <v>211</v>
      </c>
      <c r="L384" s="72">
        <f>K384</f>
        <v>211</v>
      </c>
      <c r="M384" s="48">
        <v>35.200000000000003</v>
      </c>
      <c r="N384" s="112">
        <v>25.4</v>
      </c>
      <c r="O384" s="7">
        <f>K384/N384</f>
        <v>8.3070866141732296</v>
      </c>
      <c r="P384" s="7">
        <f>L384/N384</f>
        <v>8.3070866141732296</v>
      </c>
      <c r="Q384" s="7">
        <v>305</v>
      </c>
      <c r="R384" s="32">
        <f>S384/N384</f>
        <v>2.9921259842519685</v>
      </c>
      <c r="S384" s="7">
        <v>76</v>
      </c>
      <c r="T384" s="32">
        <f>U384/N384</f>
        <v>2.9921259842519685</v>
      </c>
      <c r="U384" s="7">
        <v>76</v>
      </c>
      <c r="V384" s="32">
        <f>W384/N384</f>
        <v>4.0236220472440944</v>
      </c>
      <c r="W384" s="7">
        <f>Q384-2*N384-2*S384</f>
        <v>102.19999999999999</v>
      </c>
      <c r="X384" s="7">
        <v>2</v>
      </c>
      <c r="Y384" s="7">
        <f>AN384</f>
        <v>0</v>
      </c>
      <c r="Z384" s="32">
        <f>AA384/N384</f>
        <v>11.023622047244094</v>
      </c>
      <c r="AA384" s="7">
        <f>775-(343+152)</f>
        <v>280</v>
      </c>
      <c r="AB384" s="7">
        <f>MIN(S384/N384+0.5, W384/2/N384+0.5)</f>
        <v>2.5118110236220472</v>
      </c>
      <c r="AC384" s="7">
        <f>S384/N384+0.5</f>
        <v>3.4921259842519685</v>
      </c>
      <c r="AD384" s="7">
        <f>1624/(N384^2*PI()/4)-1</f>
        <v>2.205004992017336</v>
      </c>
      <c r="AE384" s="7">
        <f>1624/(N384^2*PI()/4)-1</f>
        <v>2.205004992017336</v>
      </c>
      <c r="AF384" s="7">
        <f>AE384+1</f>
        <v>3.205004992017336</v>
      </c>
      <c r="AG384" s="7">
        <f>N384*AF384^0.5</f>
        <v>45.472420439755616</v>
      </c>
      <c r="AH384" s="7">
        <f>J384</f>
        <v>578</v>
      </c>
      <c r="AI384" s="7">
        <v>18</v>
      </c>
      <c r="AJ384" s="7">
        <f>183*1000/(N384^2*PI()/4)</f>
        <v>361.15511917436726</v>
      </c>
      <c r="AK384" s="7"/>
      <c r="AL384" s="4">
        <f>CY384</f>
        <v>1.3453438012059822</v>
      </c>
      <c r="AM384" s="7">
        <v>0</v>
      </c>
      <c r="AN384" s="7">
        <v>0</v>
      </c>
      <c r="AO384" s="7">
        <f>L384</f>
        <v>211</v>
      </c>
      <c r="AP384" s="7"/>
      <c r="AQ384" s="7"/>
      <c r="AR384" s="7">
        <f>3*AS384/(W384+N384)</f>
        <v>4.9608150470219439</v>
      </c>
      <c r="AS384" s="4">
        <f>K384</f>
        <v>211</v>
      </c>
      <c r="AT384" s="4">
        <f>IF(K384*3&gt;W384+N384, Q384, (S384+N384/2)*2+1.5*K384*(2*X384-2))*(3*K384)/(9*K384^2)</f>
        <v>0.48183254344391785</v>
      </c>
      <c r="AU384" s="4">
        <f>MIN(10*M384^0.5*K384^1.5,100*3.9*M384^0.5*K384^(5/3))/(PI()/4*N384^2)/X384</f>
        <v>179.43522533734807</v>
      </c>
      <c r="AV384" s="4">
        <f>MIN(0.7+0.3*(MIN(S384,AA384)+0.5*N384)/1.5/K384,1)</f>
        <v>0.7840758293838862</v>
      </c>
      <c r="AW384" s="4">
        <v>1.25</v>
      </c>
      <c r="AX384" s="4">
        <f>AX383</f>
        <v>1</v>
      </c>
      <c r="AY384" s="38">
        <f>AT384*AV384*AW384*AX384*AU384</f>
        <v>84.736771433165558</v>
      </c>
      <c r="AZ384" s="38">
        <f>AY384</f>
        <v>84.736771433165558</v>
      </c>
      <c r="BA384" s="38">
        <f>IF(M384&lt;50, 0.3*M384^(2/3), 2.12*LN(1+0.1*(M384+8)))</f>
        <v>3.222179253401551</v>
      </c>
      <c r="BB384" s="38">
        <f>AX384* (M384^0.5/AS384^0.5)/(PI()/4*N384^2)/X384/0.72 *(0.7+(MIN(S384,AA384)+0.5*N384)/5/K384) *(3*Q384*K384)</f>
        <v>84.736771433165572</v>
      </c>
      <c r="BC384" s="38">
        <f>AY384/BB384</f>
        <v>0.99999999999999978</v>
      </c>
      <c r="BD384" s="38">
        <f>BH384/BB384</f>
        <v>3.5825538428694244</v>
      </c>
      <c r="BE384" s="4">
        <f>IF(BD384&lt;1,1,0)</f>
        <v>0</v>
      </c>
      <c r="BF384" s="4">
        <f>L384/N384*M384^0.5/0.19</f>
        <v>259.3979081271753</v>
      </c>
      <c r="BG384" s="4">
        <f>MIN(0.6+0.4*(AC384/AB384),2)</f>
        <v>1.1561128526645768</v>
      </c>
      <c r="BH384" s="38">
        <f>2*M384*AB384*AD384^0.5*BG384*0.7/0.7</f>
        <v>303.57404613023539</v>
      </c>
      <c r="BI384" s="4">
        <f>MAX(1-0.7*AE384/5,0.3)</f>
        <v>0.69129930111757298</v>
      </c>
      <c r="BJ384" s="4">
        <f>BI384*J384*L384/(J384*N384/2.75/M384^0.5)</f>
        <v>93.695532133331071</v>
      </c>
      <c r="BK384" s="4">
        <f>BH384+BJ384</f>
        <v>397.26957826356647</v>
      </c>
      <c r="BM384" s="4">
        <f>MIN(1.5, 0.75+0.25*MIN(3,MAX(1,S384/N384))+0.4*MIN(1,(40*2*PI()*AM384^2/4/AO384/X384)/N384))</f>
        <v>1.4980314960629921</v>
      </c>
      <c r="BN384" s="4">
        <f>(3*P384+30)*BM384*M384^0.5</f>
        <v>488.12692869417333</v>
      </c>
      <c r="BP384" s="4">
        <f>3.4/PI()^0.5*M384*AB384*AE384^0.5*BG384</f>
        <v>291.16463492561229</v>
      </c>
      <c r="BQ384" s="4">
        <f>8/3*AH384*AI384^2/(AG384-N384-22)/N384*(AG384^2-N384^2)/(AG384^2-(N384+22)^2)</f>
        <v>81053.819577985545</v>
      </c>
      <c r="BR384" s="4">
        <f>BQ384/BP384</f>
        <v>278.37796852867604</v>
      </c>
      <c r="BZ384" s="4">
        <f>IF(W384=0,S384,MIN(W384/2,S384))</f>
        <v>51.099999999999994</v>
      </c>
      <c r="CD384" s="9"/>
      <c r="CF384" s="9"/>
      <c r="CG384" s="9"/>
      <c r="CH384" s="9">
        <f>IF(W384=0,MIN(S384,U384),MIN(W384/2,S384,U384))</f>
        <v>51.099999999999994</v>
      </c>
      <c r="CI384" s="9">
        <f>MAX(W384/2,S384)</f>
        <v>76</v>
      </c>
      <c r="CJ384" s="9">
        <f>(CH384/N384)^0.5*(CI384/CH384)^0.15</f>
        <v>1.5054020239149992</v>
      </c>
      <c r="CK384" s="70">
        <v>0</v>
      </c>
      <c r="CL384" s="9">
        <f>MIN(PI()*AM384^2/4*AN384*2/X384/N384/MAX(0.01,AO384),0.05)</f>
        <v>0</v>
      </c>
      <c r="CM384" s="9">
        <f>MAX(0,CK384*(CL384-0.5/50))</f>
        <v>0</v>
      </c>
      <c r="CN384" s="9">
        <f>MIN(1,(25/N384)^0.3)</f>
        <v>0.99524931562137331</v>
      </c>
      <c r="CO384" s="9">
        <f>IF(J384&gt;=800,0.68,IF(J384&gt;=700,0.75-(J384-700)*0.07/100,IF(J384&gt;=600,0.85-(J384-600)*0.1/100,IF(J384&gt;=500,1-(J384-500)*0.15/100,1.2-(J384-400)*0.2/100))))</f>
        <v>0.88300000000000001</v>
      </c>
      <c r="CP384" s="9">
        <f>1.75*CN384*CO384*(M384/25)^0.5</f>
        <v>1.8248701497446835</v>
      </c>
      <c r="CQ384" s="9">
        <f>MIN((CJ384+CM384)*CP384,2.5*CP384,M384^0.5)</f>
        <v>2.7471632168077145</v>
      </c>
      <c r="CR384" s="9">
        <v>1</v>
      </c>
      <c r="CS384" s="9">
        <f>4*CQ384*P384+60*CQ384</f>
        <v>256.1134841496326</v>
      </c>
      <c r="CU384" s="4">
        <f>AJ384/BF384</f>
        <v>1.392282311688124</v>
      </c>
      <c r="CV384" s="4">
        <f>AJ384/BK384</f>
        <v>0.90909331832794082</v>
      </c>
      <c r="CW384" s="4">
        <f>AJ384/BN384</f>
        <v>0.73987952301775617</v>
      </c>
      <c r="CX384" s="4">
        <f>AJ384/CS384</f>
        <v>1.4101370740923769</v>
      </c>
      <c r="CY384" s="4">
        <f>AJ384/DZ384</f>
        <v>1.3453438012059822</v>
      </c>
      <c r="CZ384" s="4">
        <f>AJ384/EL384</f>
        <v>0.93601937017964099</v>
      </c>
      <c r="DA384" s="4">
        <f>AJ384/GI384</f>
        <v>1.1613686665831682</v>
      </c>
      <c r="DC384" s="4">
        <f>CU384</f>
        <v>1.392282311688124</v>
      </c>
      <c r="DD384" s="4">
        <f>CV384</f>
        <v>0.90909331832794082</v>
      </c>
      <c r="DE384" s="4">
        <f>CX384</f>
        <v>1.4101370740923769</v>
      </c>
      <c r="DF384" s="4">
        <f>DA384</f>
        <v>1.1613686665831682</v>
      </c>
      <c r="DG384" s="4">
        <f>CY384</f>
        <v>1.3453438012059822</v>
      </c>
      <c r="DH384" s="4">
        <f>CZ384</f>
        <v>0.93601937017964099</v>
      </c>
      <c r="DP384" s="4">
        <f>AN384</f>
        <v>0</v>
      </c>
      <c r="DQ384" s="4">
        <f>L384</f>
        <v>211</v>
      </c>
      <c r="DT384" s="4">
        <f>K384/4/(1-0.3*(M384/30)^0.5)/200000/N384</f>
        <v>1.5382617175677067E-5</v>
      </c>
      <c r="DU384" s="4">
        <f>EP384</f>
        <v>7.0890752785809319</v>
      </c>
      <c r="DV384" s="4">
        <f>EC384*AG384/257/M384/AD384</f>
        <v>0.1931677498152235</v>
      </c>
      <c r="DW384" s="4">
        <f>DU384*DV384^0.4</f>
        <v>3.6725138005310982</v>
      </c>
      <c r="DX384" s="4">
        <f>MIN(DU384, DU384/1.4*(1-DV384^1.4)/(1-DV384))</f>
        <v>5.6478938378241832</v>
      </c>
      <c r="DY384" s="4">
        <f>MAX(DU384/2, (4-DT384*(8*AG384*(DW384-DX384)+6*K384*DX384))/(4+DT384*K384*DU384)*DU384)</f>
        <v>6.8741928091853124</v>
      </c>
      <c r="DZ384" s="38">
        <f>MIN(1/N384*(4*AG384*(DW384-DX384)+(3*DX384+DY384)*K384)+EC384 -FJ384,MAX(J384,AJ384))</f>
        <v>268.44819803727756</v>
      </c>
      <c r="EA384" s="4">
        <f>DZ384/FF384</f>
        <v>1.0001163224744472</v>
      </c>
      <c r="EB384" s="4">
        <f>AG384/N384</f>
        <v>1.7902527732187252</v>
      </c>
      <c r="EC384" s="4">
        <f>MIN(EB$10*BB384)</f>
        <v>84.736771433165572</v>
      </c>
      <c r="EG384" s="4">
        <f>IF(U384&gt;1*N384,0.85,1)</f>
        <v>0.85</v>
      </c>
      <c r="EH384" s="4">
        <f>MIN(1,MAX(0.7,(1-0.1*(BZ384-1*N384)/N384)))</f>
        <v>0.89881889763779532</v>
      </c>
      <c r="EI384" s="4">
        <f>MIN(1,MAX(0.7,1-0.3*(PI()*AM384^2/4*AQ384*2-0.25*PI()/4*N384^2)/(PI()/4*N384^2)))</f>
        <v>1</v>
      </c>
      <c r="EJ384" s="4">
        <f>IF(EH384*EI384&lt;0.7,0.7,EH384*EI384)</f>
        <v>0.89881889763779532</v>
      </c>
      <c r="EL384" s="4">
        <f>MIN(DU384/N384*3*K384+EM384-FJ384,MAX(J384,AJ384))</f>
        <v>385.84150144783257</v>
      </c>
      <c r="EM384" s="25">
        <f>13.3*Q384*K384^0.5*M384^0.5/X384/N384^2*(0.7+S384/5/K384)</f>
        <v>209.17281438713454</v>
      </c>
      <c r="EO384" s="4">
        <f>EG384*EJ384</f>
        <v>0.76399606299212597</v>
      </c>
      <c r="EP384" s="4">
        <f>IF(N384&lt;22.2,1.1*5*(M384/30)^0.5,IF(N384&gt;=31.8,0.9*5*(M384/30)^0.5,1*5*(M384/30)^0.5))/EG384/EJ384</f>
        <v>7.0890752785809319</v>
      </c>
      <c r="ES384" s="4">
        <f>ET384*N384</f>
        <v>45.472420439755616</v>
      </c>
      <c r="ET384" s="4">
        <f>AF384^0.5</f>
        <v>1.7902527732187252</v>
      </c>
      <c r="EU384" s="4">
        <f>MIN(EC384)/(4700*M384^0.5)/AE384*ES384</f>
        <v>6.2667333804490355E-2</v>
      </c>
      <c r="EX384" s="4">
        <f>EU384</f>
        <v>6.2667333804490355E-2</v>
      </c>
      <c r="EY384" s="4">
        <f>MIN(0.999, EX384/(0.3*(M384/30)^0.5))</f>
        <v>0.19284538884235644</v>
      </c>
      <c r="EZ384" s="4">
        <f>EP384/1*EY384^0.4</f>
        <v>3.6700610756825327</v>
      </c>
      <c r="FA384" s="4">
        <f>EP384/1.4*(1-EY384^1.4)/(1-EY384)</f>
        <v>5.6471044219091251</v>
      </c>
      <c r="FB384" s="4">
        <f>MAX(0,DQ384*FB$9-ES384)</f>
        <v>112.77757956024439</v>
      </c>
      <c r="FC384" s="4">
        <f>MAX(0,DQ384-ES384-FB384)</f>
        <v>52.75</v>
      </c>
      <c r="FD384" s="4">
        <f>FC384/(1-0.3*(M384/30)^0.5)/200000/N384</f>
        <v>1.5382617175677067E-5</v>
      </c>
      <c r="FE384" s="4">
        <f>MAX(0.5*EP384, (1-2*FD384*(ES384*EZ384+FB384*FA384))/(1/EP384+FD384*FC384))</f>
        <v>6.8742363005024307</v>
      </c>
      <c r="FF384" s="4">
        <f>MIN(4/N384*(1*EZ384*ES384+FA384*FB384+FC384*FE384)+EC384,MAX(J384,AJ384))</f>
        <v>268.41697511054906</v>
      </c>
      <c r="FO384" s="23">
        <f>IF(CU384&lt;0.6,0.6,IF(CU384&lt;0.8,0.8,IF(CU384&lt;1,1,IF(CU384&lt;1.2,1.2,IF(CU384&lt;1.4,1.4,IF(CU384&lt;1.6,1.6,IF(CU384&lt;1.8,1.8,IF(CU384&lt;2,2,2.2))))))))</f>
        <v>1.4</v>
      </c>
      <c r="FP384" s="23">
        <f>IF(CV384&lt;0.6,0.6,IF(CV384&lt;0.8,0.8,IF(CV384&lt;1,1,IF(CV384&lt;1.2,1.2,IF(CV384&lt;1.4,1.4,IF(CV384&lt;1.6,1.6,IF(CV384&lt;1.8,1.8,IF(CV384&lt;2,2,2.2))))))))</f>
        <v>1</v>
      </c>
      <c r="FQ384" s="23">
        <f>IF(DA384&lt;0.6,0.6,IF(DA384&lt;0.8,0.8,IF(DA384&lt;1,1,IF(DA384&lt;1.2,1.2,IF(DA384&lt;1.4,1.4,IF(DA384&lt;1.6,1.6,IF(DA384&lt;1.8,1.8,IF(DA384&lt;2,2,2.2))))))))</f>
        <v>1.2</v>
      </c>
      <c r="FR384" s="23">
        <f>IF(CX384&lt;0.6,0.6,IF(CX384&lt;0.8,0.8,IF(CX384&lt;1,1,IF(CX384&lt;1.2,1.2,IF(CX384&lt;1.4,1.4,IF(CX384&lt;1.6,1.6,IF(CX384&lt;1.8,1.8,IF(CX384&lt;2,2,2.2))))))))</f>
        <v>1.6</v>
      </c>
      <c r="FS384" s="23">
        <f>IF(CY384&lt;0.6,0.6,IF(CY384&lt;0.8,0.8,IF(CY384&lt;1,1,IF(CY384&lt;1.2,1.2,IF(CY384&lt;1.4,1.4,IF(CY384&lt;1.6,1.6,IF(CY384&lt;1.8,1.8,IF(CY384&lt;2,2,2.2))))))))</f>
        <v>1.4</v>
      </c>
      <c r="FT384" s="23">
        <f>IF(CZ384&lt;0.6,0.6,IF(CZ384&lt;0.8,0.8,IF(CZ384&lt;1,1,IF(CZ384&lt;1.2,1.2,IF(CZ384&lt;1.4,1.4,IF(CZ384&lt;1.6,1.6,IF(CZ384&lt;1.8,1.8,IF(CZ384&lt;2,2,2.2))))))))</f>
        <v>1</v>
      </c>
      <c r="FU384" s="23">
        <f>IF(FS384&lt;1,1,0)</f>
        <v>0</v>
      </c>
      <c r="FV384" s="23"/>
      <c r="GF384" s="4">
        <f>IF(S384&gt;=2.5*25.4,1,1.25)</f>
        <v>1</v>
      </c>
      <c r="GG384" s="4">
        <f>IF(AO384&gt;1, 0.05*(18-MIN(8,(W384+N384)/N384))*(1-48000/MAX(60000,(J384*145))*(N384/25.4)^0.75*GH384), 1/12*(14-MIN(8,(W384+N384)/N384)))</f>
        <v>0.64881889763779532</v>
      </c>
      <c r="GH384" s="4">
        <f>MIN(0.3, AM384^2*PI()/4*2*AP384/(N384^2*PI()/4*X384))</f>
        <v>0</v>
      </c>
      <c r="GI384" s="4">
        <f>(K384/25.4)/(N384/25.4)^1.5/0.0024*(M384*145)^0.25/GF384/GG384/145</f>
        <v>310.97370677040232</v>
      </c>
    </row>
    <row r="385" spans="1:191" ht="12" customHeight="1" x14ac:dyDescent="0.3">
      <c r="A385" s="25">
        <v>405</v>
      </c>
      <c r="B385" s="4" t="s">
        <v>605</v>
      </c>
      <c r="C385" s="4">
        <v>2016</v>
      </c>
      <c r="D385" s="4" t="s">
        <v>309</v>
      </c>
      <c r="E385" s="14" t="s">
        <v>677</v>
      </c>
      <c r="F385" s="14"/>
      <c r="G385" s="14">
        <v>27</v>
      </c>
      <c r="H385" s="7" t="s">
        <v>574</v>
      </c>
      <c r="I385" s="5">
        <f>K385/N385</f>
        <v>8.25</v>
      </c>
      <c r="J385" s="78">
        <f>115.9/0.145</f>
        <v>799.31034482758628</v>
      </c>
      <c r="K385" s="38">
        <f>8.25*25.4</f>
        <v>209.54999999999998</v>
      </c>
      <c r="L385" s="4">
        <f>K385</f>
        <v>209.54999999999998</v>
      </c>
      <c r="M385" s="47">
        <f>8800/145</f>
        <v>60.689655172413794</v>
      </c>
      <c r="N385" s="38">
        <f>1*25.4</f>
        <v>25.4</v>
      </c>
      <c r="O385" s="7">
        <f>K385/N385</f>
        <v>8.25</v>
      </c>
      <c r="P385" s="7">
        <f>L385/N385</f>
        <v>8.25</v>
      </c>
      <c r="Q385" s="38">
        <f>17.3*25.4</f>
        <v>439.42</v>
      </c>
      <c r="R385" s="32">
        <f>S385/N385</f>
        <v>2.5999999999999996</v>
      </c>
      <c r="S385" s="38">
        <f>2.6*25.4</f>
        <v>66.039999999999992</v>
      </c>
      <c r="T385" s="32">
        <f>U385/N385</f>
        <v>3.3</v>
      </c>
      <c r="U385" s="39">
        <f>3.3*25.4</f>
        <v>83.82</v>
      </c>
      <c r="V385" s="32">
        <f>W385/N385</f>
        <v>10.100000000000001</v>
      </c>
      <c r="W385" s="7">
        <f>(Q385-X385*N385-2*S385)/(X385-1)</f>
        <v>256.54000000000002</v>
      </c>
      <c r="X385" s="38">
        <v>2</v>
      </c>
      <c r="Y385" s="7">
        <f>AN385</f>
        <v>0</v>
      </c>
      <c r="Z385" s="32">
        <f>AA385/N385</f>
        <v>20</v>
      </c>
      <c r="AA385" s="4">
        <f>20*25.4</f>
        <v>508</v>
      </c>
      <c r="AB385" s="7">
        <f>MIN(S385/N385+0.5, W385/2/N385+0.5)</f>
        <v>3.0999999999999996</v>
      </c>
      <c r="AC385" s="7">
        <f>S385/N385+0.5</f>
        <v>3.0999999999999996</v>
      </c>
      <c r="AD385" s="38">
        <v>14.9</v>
      </c>
      <c r="AE385" s="4">
        <f>AD385</f>
        <v>14.9</v>
      </c>
      <c r="AF385" s="4">
        <f>AE385+1</f>
        <v>15.9</v>
      </c>
      <c r="AG385" s="7">
        <f>N385*AF385^0.5</f>
        <v>101.28200234987457</v>
      </c>
      <c r="AJ385" s="38">
        <f>AK385/0.145</f>
        <v>618.62068965517244</v>
      </c>
      <c r="AK385" s="4">
        <v>89.7</v>
      </c>
      <c r="AL385" s="4">
        <f>CY385</f>
        <v>1.731758202447683</v>
      </c>
      <c r="AM385" s="38">
        <v>0</v>
      </c>
      <c r="AN385" s="38">
        <v>0</v>
      </c>
      <c r="AO385" s="39">
        <f>L385</f>
        <v>209.54999999999998</v>
      </c>
      <c r="AP385" s="39"/>
      <c r="AQ385" s="39"/>
      <c r="AR385" s="7"/>
      <c r="AS385" s="4">
        <f>K385</f>
        <v>209.54999999999998</v>
      </c>
      <c r="AT385" s="4">
        <f>IF(K385*3&gt;W385+N385, Q385, (S385+N385/2)*2+1.5*K385*(2*X385-2))*(3*K385)/(9*K385^2)</f>
        <v>0.69898989898989905</v>
      </c>
      <c r="AU385" s="4">
        <f>MIN(10*M385^0.5*K385^1.5,100*3.9*M385^0.5*K385^(5/3))/(PI()/4*N385^2)/X385</f>
        <v>233.18548975839079</v>
      </c>
      <c r="AV385" s="4">
        <f>MIN(0.7+0.3*(MIN(S385,AA385)+0.5*N385)/1.5/K385,1)</f>
        <v>0.77515151515151515</v>
      </c>
      <c r="AW385" s="4">
        <v>1.25</v>
      </c>
      <c r="AX385" s="4">
        <f>AX384</f>
        <v>1</v>
      </c>
      <c r="AY385" s="38">
        <f>AT385*AV385*AW385*AX385*AU385</f>
        <v>157.93160012969042</v>
      </c>
      <c r="AZ385" s="38">
        <f>AY385</f>
        <v>157.93160012969042</v>
      </c>
      <c r="BA385" s="38">
        <f>IF(M385&lt;50, 0.3*M385^(2/3), 2.12*LN(1+0.1*(M385+8)))</f>
        <v>4.3734044077759826</v>
      </c>
      <c r="BB385" s="38">
        <f>AX385* (M385^0.5/AS385^0.5)/(PI()/4*N385^2)/X385/0.72 *(0.7+(MIN(S385,AA385)+0.5*N385)/5/K385) *(3*Q385*K385)</f>
        <v>157.93160012969025</v>
      </c>
      <c r="BC385" s="38">
        <f>AY385/BB385</f>
        <v>1.0000000000000011</v>
      </c>
      <c r="BD385" s="38">
        <f>BH385/BB385</f>
        <v>9.1966669268296961</v>
      </c>
      <c r="BE385" s="4">
        <f>IF(BD385&lt;1,1,0)</f>
        <v>0</v>
      </c>
      <c r="BF385" s="4">
        <f>L385/N385*M385^0.5/0.19</f>
        <v>338.26548176596515</v>
      </c>
      <c r="BG385" s="4">
        <f>MIN(0.6+0.4*(AC385/AB385),2)</f>
        <v>1</v>
      </c>
      <c r="BH385" s="38">
        <f>2*M385*AB385*AD385^0.5*BG385*0.7/0.7</f>
        <v>1452.4443236140148</v>
      </c>
      <c r="BI385" s="4">
        <f>MAX(1-0.7*AE385/5,0.3)</f>
        <v>0.3</v>
      </c>
      <c r="BJ385" s="4">
        <f>BI385*J385*L385/(J385*N385/2.75/M385^0.5)</f>
        <v>53.023114266815028</v>
      </c>
      <c r="BK385" s="4">
        <f>BH385+BJ385</f>
        <v>1505.4674378808299</v>
      </c>
      <c r="BM385" s="4">
        <f>MIN(1.5, 0.75+0.25*MIN(3,MAX(1,S385/N385))+0.4*MIN(1,(40*2*PI()*AM385^2/4/AO385/X385)/N385))</f>
        <v>1.4</v>
      </c>
      <c r="BN385" s="4">
        <f>(3*P385+30)*BM385*M385^0.5</f>
        <v>597.13082953922822</v>
      </c>
      <c r="BP385" s="4">
        <f>3.4/PI()^0.5*M385*AB385*AE385^0.5*BG385</f>
        <v>1393.0717287123591</v>
      </c>
      <c r="BQ385" s="4">
        <f>8/3*AH385*AI385^2/(AG385-N385-22)/N385*(AG385^2-N385^2)/(AG385^2-(N385+22)^2)</f>
        <v>0</v>
      </c>
      <c r="BR385" s="4">
        <f>BQ385/BP385</f>
        <v>0</v>
      </c>
      <c r="BZ385" s="4">
        <f>IF(W385=0,S385,MIN(W385/2,S385))</f>
        <v>66.039999999999992</v>
      </c>
      <c r="CD385" s="9"/>
      <c r="CF385" s="9"/>
      <c r="CG385" s="9"/>
      <c r="CH385" s="9">
        <f>IF(W385=0,MIN(S385,U385),MIN(W385/2,S385,U385))</f>
        <v>66.039999999999992</v>
      </c>
      <c r="CI385" s="9">
        <f>MAX(W385/2,S385)</f>
        <v>128.27000000000001</v>
      </c>
      <c r="CJ385" s="9">
        <f>(CH385/N385)^0.5*(CI385/CH385)^0.15</f>
        <v>1.7812889692205971</v>
      </c>
      <c r="CK385" s="70">
        <f>IF(AO385&gt;1,20,0)</f>
        <v>20</v>
      </c>
      <c r="CL385" s="9">
        <f>MIN(PI()*AM385^2/4*AN385*2/X385/N385/MAX(0.01,AO385),0.05)</f>
        <v>0</v>
      </c>
      <c r="CM385" s="9">
        <f>MAX(0,CK385*(CL385-0.5/50))</f>
        <v>0</v>
      </c>
      <c r="CN385" s="9">
        <f>MIN(1,(25/N385)^0.3)</f>
        <v>0.99524931562137331</v>
      </c>
      <c r="CO385" s="9">
        <f>IF(J385&gt;=800,0.68,IF(J385&gt;=700,0.75-(J385-700)*0.07/100,IF(J385&gt;=600,0.85-(J385-600)*0.1/100,IF(J385&gt;=500,1-(J385-500)*0.15/100,1.2-(J385-400)*0.2/100))))</f>
        <v>0.68048275862068963</v>
      </c>
      <c r="CP385" s="9">
        <f>1.75*CN385*CO385*(M385/25)^0.5</f>
        <v>1.8466066401443861</v>
      </c>
      <c r="CQ385" s="9">
        <f>MIN((CJ385+CM385)*CP385,2.5*CP385,M385^0.5)</f>
        <v>3.2893400385787035</v>
      </c>
      <c r="CR385" s="40">
        <v>1</v>
      </c>
      <c r="CS385" s="9">
        <f>4*CQ385*P385+60*CQ385</f>
        <v>305.90862358781942</v>
      </c>
      <c r="CU385" s="4">
        <f>AJ385/BF385</f>
        <v>1.828802295834536</v>
      </c>
      <c r="CV385" s="4">
        <f>AJ385/BK385</f>
        <v>0.41091602122326432</v>
      </c>
      <c r="CW385" s="4">
        <f>AJ385/BN385</f>
        <v>1.0359885288999844</v>
      </c>
      <c r="CX385" s="4">
        <f>AJ385/CS385</f>
        <v>2.0222401134029506</v>
      </c>
      <c r="CY385" s="4">
        <f>AJ385/DZ385</f>
        <v>1.731758202447683</v>
      </c>
      <c r="CZ385" s="4">
        <f>AJ385/EL385</f>
        <v>0.97228115444619168</v>
      </c>
      <c r="DA385" s="4">
        <f>AJ385/GI385</f>
        <v>1.3470976313599901</v>
      </c>
      <c r="DB385" s="4">
        <f>AN385</f>
        <v>0</v>
      </c>
      <c r="DC385" s="4">
        <f>CU385</f>
        <v>1.828802295834536</v>
      </c>
      <c r="DD385" s="4">
        <f>CV385</f>
        <v>0.41091602122326432</v>
      </c>
      <c r="DE385" s="4">
        <f>CX385</f>
        <v>2.0222401134029506</v>
      </c>
      <c r="DF385" s="4">
        <f>DA385</f>
        <v>1.3470976313599901</v>
      </c>
      <c r="DG385" s="4">
        <f>CY385</f>
        <v>1.731758202447683</v>
      </c>
      <c r="DH385" s="4">
        <f>CZ385</f>
        <v>0.97228115444619168</v>
      </c>
      <c r="DQ385" s="4">
        <f>L385</f>
        <v>209.54999999999998</v>
      </c>
      <c r="DT385" s="4">
        <f>K385/4/(1-0.3*(M385/30)^0.5)/200000/N385</f>
        <v>1.7987820129031567E-5</v>
      </c>
      <c r="DU385" s="4">
        <f>EP385</f>
        <v>9.9602101151086764</v>
      </c>
      <c r="DV385" s="4">
        <f>EC385*AG385/257/M385/AD385</f>
        <v>6.8828333235629854E-2</v>
      </c>
      <c r="DW385" s="4">
        <f>DU385*DV385^0.4</f>
        <v>3.4148796398750636</v>
      </c>
      <c r="DX385" s="4">
        <f>MIN(DU385, DU385/1.4*(1-DV385^1.4)/(1-DV385))</f>
        <v>7.4600097830731213</v>
      </c>
      <c r="DY385" s="4">
        <f>MAX(DU385/2, (4-DT385*(8*AG385*(DW385-DX385)+6*K385*DX385))/(4+DT385*K385*DU385)*DU385)</f>
        <v>9.5968285567853009</v>
      </c>
      <c r="DZ385" s="38">
        <f>MIN(1/N385*(4*AG385*(DW385-DX385)+(3*DX385+DY385)*K385)+EC385 -FJ385,MAX(J385,AJ385))</f>
        <v>357.22116908746744</v>
      </c>
      <c r="EA385" s="4">
        <f>DZ385/FF385</f>
        <v>1.0001120157143533</v>
      </c>
      <c r="EB385" s="4">
        <f>AG385/N385</f>
        <v>3.9874804074753771</v>
      </c>
      <c r="EC385" s="4">
        <f>MIN(EB$10*BB385)</f>
        <v>157.93160012969025</v>
      </c>
      <c r="EG385" s="4">
        <f>IF(U385&gt;1*N385,0.85,1)</f>
        <v>0.85</v>
      </c>
      <c r="EH385" s="4">
        <f>MIN(1,MAX(0.7,(1-0.1*(BZ385-1*N385)/N385)))</f>
        <v>0.84000000000000008</v>
      </c>
      <c r="EI385" s="4">
        <f>MIN(1,MAX(0.7,1-0.3*(PI()*AM385^2/4*AQ385*2-0.25*PI()/4*N385^2)/(PI()/4*N385^2)))</f>
        <v>1</v>
      </c>
      <c r="EJ385" s="4">
        <f>IF(EH385*EI385&lt;0.7,0.7,EH385*EI385)</f>
        <v>0.84000000000000008</v>
      </c>
      <c r="EL385" s="4">
        <f>MIN(DU385/N385*3*K385+EM385-FJ385,MAX(J385,AJ385))</f>
        <v>636.25699914705933</v>
      </c>
      <c r="EM385" s="25">
        <f>13.3*Q385*K385^0.5*M385^0.5/X385/N385^2*(0.7+S385/5/K385)</f>
        <v>389.74179879811953</v>
      </c>
      <c r="EO385" s="4">
        <f>EG385*EJ385</f>
        <v>0.71400000000000008</v>
      </c>
      <c r="EP385" s="4">
        <f>IF(N385&lt;22.2,1.1*5*(M385/30)^0.5,IF(N385&gt;=31.8,0.9*5*(M385/30)^0.5,1*5*(M385/30)^0.5))/EG385/EJ385</f>
        <v>9.9602101151086764</v>
      </c>
      <c r="ES385" s="4">
        <f>ET385*N385</f>
        <v>101.28200234987457</v>
      </c>
      <c r="ET385" s="4">
        <f>AF385^0.5</f>
        <v>3.9874804074753771</v>
      </c>
      <c r="EU385" s="4">
        <f>MIN(EC385)/(4700*M385^0.5)/AE385*ES385</f>
        <v>2.9319722330693763E-2</v>
      </c>
      <c r="EX385" s="4">
        <f>EU385</f>
        <v>2.9319722330693763E-2</v>
      </c>
      <c r="EY385" s="4">
        <f>MIN(0.999, EX385/(0.3*(M385/30)^0.5))</f>
        <v>6.8713471575317098E-2</v>
      </c>
      <c r="EZ385" s="4">
        <f>EP385/1*EY385^0.4</f>
        <v>3.4125989785617232</v>
      </c>
      <c r="FA385" s="4">
        <f>EP385/1.4*(1-EY385^1.4)/(1-EY385)</f>
        <v>7.4595107300871293</v>
      </c>
      <c r="FB385" s="4">
        <f>MAX(0,DQ385*FB$9-ES385)</f>
        <v>55.88049765012542</v>
      </c>
      <c r="FC385" s="4">
        <f>MAX(0,DQ385-ES385-FB385)</f>
        <v>52.387499999999989</v>
      </c>
      <c r="FD385" s="4">
        <f>FC385/(1-0.3*(M385/30)^0.5)/200000/N385</f>
        <v>1.7987820129031563E-5</v>
      </c>
      <c r="FE385" s="4">
        <f>MAX(0.5*EP385, (1-2*FD385*(ES385*EZ385+FB385*FA385))/(1/EP385+FD385*FC385))</f>
        <v>9.596920456409558</v>
      </c>
      <c r="FF385" s="4">
        <f>MIN(4/N385*(1*EZ385*ES385+FA385*FB385+FC385*FE385)+EC385,MAX(J385,AJ385))</f>
        <v>357.18115918476786</v>
      </c>
      <c r="FO385" s="23">
        <f>IF(CU385&lt;0.6,0.6,IF(CU385&lt;0.8,0.8,IF(CU385&lt;1,1,IF(CU385&lt;1.2,1.2,IF(CU385&lt;1.4,1.4,IF(CU385&lt;1.6,1.6,IF(CU385&lt;1.8,1.8,IF(CU385&lt;2,2,2.2))))))))</f>
        <v>2</v>
      </c>
      <c r="FP385" s="23">
        <f>IF(CV385&lt;0.6,0.6,IF(CV385&lt;0.8,0.8,IF(CV385&lt;1,1,IF(CV385&lt;1.2,1.2,IF(CV385&lt;1.4,1.4,IF(CV385&lt;1.6,1.6,IF(CV385&lt;1.8,1.8,IF(CV385&lt;2,2,2.2))))))))</f>
        <v>0.6</v>
      </c>
      <c r="FQ385" s="23">
        <f>IF(DA385&lt;0.6,0.6,IF(DA385&lt;0.8,0.8,IF(DA385&lt;1,1,IF(DA385&lt;1.2,1.2,IF(DA385&lt;1.4,1.4,IF(DA385&lt;1.6,1.6,IF(DA385&lt;1.8,1.8,IF(DA385&lt;2,2,2.2))))))))</f>
        <v>1.4</v>
      </c>
      <c r="FR385" s="23">
        <f>IF(CX385&lt;0.6,0.6,IF(CX385&lt;0.8,0.8,IF(CX385&lt;1,1,IF(CX385&lt;1.2,1.2,IF(CX385&lt;1.4,1.4,IF(CX385&lt;1.6,1.6,IF(CX385&lt;1.8,1.8,IF(CX385&lt;2,2,2.2))))))))</f>
        <v>2.2000000000000002</v>
      </c>
      <c r="FS385" s="23">
        <f>IF(CY385&lt;0.6,0.6,IF(CY385&lt;0.8,0.8,IF(CY385&lt;1,1,IF(CY385&lt;1.2,1.2,IF(CY385&lt;1.4,1.4,IF(CY385&lt;1.6,1.6,IF(CY385&lt;1.8,1.8,IF(CY385&lt;2,2,2.2))))))))</f>
        <v>1.8</v>
      </c>
      <c r="FT385" s="23">
        <f>IF(CZ385&lt;0.6,0.6,IF(CZ385&lt;0.8,0.8,IF(CZ385&lt;1,1,IF(CZ385&lt;1.2,1.2,IF(CZ385&lt;1.4,1.4,IF(CZ385&lt;1.6,1.6,IF(CZ385&lt;1.8,1.8,IF(CZ385&lt;2,2,2.2))))))))</f>
        <v>1</v>
      </c>
      <c r="FU385" s="23">
        <f>IF(FS385&lt;1,1,0)</f>
        <v>0</v>
      </c>
      <c r="FV385" s="23"/>
      <c r="GF385" s="4">
        <f>IF(S385&gt;=2.5*25.4,1,1.25)</f>
        <v>1</v>
      </c>
      <c r="GG385" s="4">
        <f>IF(AO385&gt;1, 0.05*(18-MIN(8,(W385+N385)/N385))*(1-48000/MAX(60000,(J385*145))*(N385/25.4)^0.75*GH385), 1/12*(14-MIN(8,(W385+N385)/N385)))</f>
        <v>0.5</v>
      </c>
      <c r="GH385" s="4">
        <f>MIN(0.3, AM385^2*PI()/4*2*AP385/(N385^2*PI()/4*X385))</f>
        <v>0</v>
      </c>
      <c r="GI385" s="4">
        <f>(K385/25.4)/(N385/25.4)^1.5/0.0024*(M385*145)^0.25/GF385/GG385/145</f>
        <v>459.22483660715164</v>
      </c>
    </row>
    <row r="386" spans="1:191" ht="12" customHeight="1" x14ac:dyDescent="0.3">
      <c r="A386" s="25">
        <v>407</v>
      </c>
      <c r="B386" s="4" t="s">
        <v>605</v>
      </c>
      <c r="C386" s="4">
        <v>2016</v>
      </c>
      <c r="D386" s="4" t="s">
        <v>309</v>
      </c>
      <c r="E386" s="14" t="s">
        <v>677</v>
      </c>
      <c r="F386" s="14"/>
      <c r="G386" s="14">
        <v>27</v>
      </c>
      <c r="H386" s="7" t="s">
        <v>576</v>
      </c>
      <c r="I386" s="5">
        <f>K386/N386</f>
        <v>8.25</v>
      </c>
      <c r="J386" s="78">
        <f>115.9/0.145</f>
        <v>799.31034482758628</v>
      </c>
      <c r="K386" s="38">
        <f>8.25*25.4</f>
        <v>209.54999999999998</v>
      </c>
      <c r="L386" s="4">
        <f>K386</f>
        <v>209.54999999999998</v>
      </c>
      <c r="M386" s="47">
        <f>8800/145</f>
        <v>60.689655172413794</v>
      </c>
      <c r="N386" s="38">
        <f>1*25.4</f>
        <v>25.4</v>
      </c>
      <c r="O386" s="7">
        <f>K386/N386</f>
        <v>8.25</v>
      </c>
      <c r="P386" s="7">
        <f>L386/N386</f>
        <v>8.25</v>
      </c>
      <c r="Q386" s="38">
        <f>17.3*25.4</f>
        <v>439.42</v>
      </c>
      <c r="R386" s="32">
        <f>S386/N386</f>
        <v>2.6499999999999995</v>
      </c>
      <c r="S386" s="38">
        <f>2.65*25.4</f>
        <v>67.309999999999988</v>
      </c>
      <c r="T386" s="32">
        <f>U386/N386</f>
        <v>3.1</v>
      </c>
      <c r="U386" s="39">
        <f>3.1*25.4</f>
        <v>78.739999999999995</v>
      </c>
      <c r="V386" s="32">
        <f>W386/N386</f>
        <v>10.000000000000002</v>
      </c>
      <c r="W386" s="7">
        <f>(Q386-X386*N386-2*S386)/(X386-1)</f>
        <v>254.00000000000003</v>
      </c>
      <c r="X386" s="38">
        <v>2</v>
      </c>
      <c r="Y386" s="7">
        <f>AN386</f>
        <v>10</v>
      </c>
      <c r="Z386" s="32">
        <f>AA386/N386</f>
        <v>20</v>
      </c>
      <c r="AA386" s="4">
        <f>20*25.4</f>
        <v>508</v>
      </c>
      <c r="AB386" s="7">
        <f>MIN(S386/N386+0.5, W386/2/N386+0.5)</f>
        <v>3.1499999999999995</v>
      </c>
      <c r="AC386" s="7">
        <f>S386/N386+0.5</f>
        <v>3.1499999999999995</v>
      </c>
      <c r="AD386" s="38">
        <v>14.9</v>
      </c>
      <c r="AE386" s="4">
        <f>AD386</f>
        <v>14.9</v>
      </c>
      <c r="AF386" s="4">
        <f>AE386+1</f>
        <v>15.9</v>
      </c>
      <c r="AG386" s="7">
        <f>N386*AF386^0.5</f>
        <v>101.28200234987457</v>
      </c>
      <c r="AJ386" s="38">
        <f>AK386/0.145</f>
        <v>759.31034482758616</v>
      </c>
      <c r="AK386" s="4">
        <v>110.1</v>
      </c>
      <c r="AL386" s="4">
        <f>CY386</f>
        <v>1.9142631106667445</v>
      </c>
      <c r="AM386" s="38">
        <f>0.5*25.4</f>
        <v>12.7</v>
      </c>
      <c r="AN386" s="38">
        <v>10</v>
      </c>
      <c r="AO386" s="39">
        <f>3*25.4</f>
        <v>76.199999999999989</v>
      </c>
      <c r="AP386" s="39">
        <v>3</v>
      </c>
      <c r="AQ386" s="39">
        <f>AP386-1</f>
        <v>2</v>
      </c>
      <c r="AR386" s="7"/>
      <c r="AS386" s="4">
        <f>K386</f>
        <v>209.54999999999998</v>
      </c>
      <c r="AT386" s="4">
        <f>IF(K386*3&gt;W386+N386, Q386, (S386+N386/2)*2+1.5*K386*(2*X386-2))*(3*K386)/(9*K386^2)</f>
        <v>0.69898989898989905</v>
      </c>
      <c r="AU386" s="4">
        <f>MIN(10*M386^0.5*K386^1.5,100*3.9*M386^0.5*K386^(5/3))/(PI()/4*N386^2)/X386</f>
        <v>233.18548975839079</v>
      </c>
      <c r="AV386" s="4">
        <f>MIN(0.7+0.3*(MIN(S386,AA386)+0.5*N386)/1.5/K386,1)</f>
        <v>0.77636363636363637</v>
      </c>
      <c r="AW386" s="4">
        <v>1.25</v>
      </c>
      <c r="AX386" s="4">
        <f>AX385</f>
        <v>1</v>
      </c>
      <c r="AY386" s="38">
        <f>AT386*AV386*AW386*AX386*AU386</f>
        <v>158.17856119322394</v>
      </c>
      <c r="AZ386" s="38">
        <f>AY386</f>
        <v>158.17856119322394</v>
      </c>
      <c r="BA386" s="38">
        <f>IF(M386&lt;50, 0.3*M386^(2/3), 2.12*LN(1+0.1*(M386+8)))</f>
        <v>4.3734044077759826</v>
      </c>
      <c r="BB386" s="38">
        <f>AX386* (M386^0.5/AS386^0.5)/(PI()/4*N386^2)/X386/0.72 *(0.7+(MIN(S386,AA386)+0.5*N386)/5/K386) *(3*Q386*K386)</f>
        <v>158.1785611932238</v>
      </c>
      <c r="BC386" s="38">
        <f>AY386/BB386</f>
        <v>1.0000000000000009</v>
      </c>
      <c r="BD386" s="38">
        <f>BH386/BB386</f>
        <v>9.3304101000120401</v>
      </c>
      <c r="BE386" s="4">
        <f>IF(BD386&lt;1,1,0)</f>
        <v>0</v>
      </c>
      <c r="BF386" s="4">
        <f>L386/N386*M386^0.5/0.19</f>
        <v>338.26548176596515</v>
      </c>
      <c r="BG386" s="4">
        <f>MIN(0.6+0.4*(AC386/AB386),2)</f>
        <v>1</v>
      </c>
      <c r="BH386" s="38">
        <f>2*M386*AB386*AD386^0.5*BG386*0.7/0.7</f>
        <v>1475.8708449626279</v>
      </c>
      <c r="BI386" s="4">
        <f>MAX(1-0.7*AE386/5,0.3)</f>
        <v>0.3</v>
      </c>
      <c r="BJ386" s="4">
        <f>BI386*J386*L386/(J386*N386/2.75/M386^0.5)</f>
        <v>53.023114266815028</v>
      </c>
      <c r="BK386" s="4">
        <f>BH386+BJ386</f>
        <v>1528.893959229443</v>
      </c>
      <c r="BM386" s="4">
        <f>MIN(1.5, 0.75+0.25*MIN(3,MAX(1,S386/N386))+0.4*MIN(1,(40*2*PI()*AM386^2/4/AO386/X386)/N386))</f>
        <v>1.5</v>
      </c>
      <c r="BN386" s="4">
        <f>(3*P386+30)*BM386*M386^0.5</f>
        <v>639.78303164917315</v>
      </c>
      <c r="BP386" s="4">
        <f>3.4/PI()^0.5*M386*AB386*AE386^0.5*BG386</f>
        <v>1415.5406275625585</v>
      </c>
      <c r="BQ386" s="4">
        <f>8/3*AH386*AI386^2/(AG386-N386-22)/N386*(AG386^2-N386^2)/(AG386^2-(N386+22)^2)</f>
        <v>0</v>
      </c>
      <c r="BR386" s="4">
        <f>BQ386/BP386</f>
        <v>0</v>
      </c>
      <c r="BZ386" s="4">
        <f>IF(W386=0,S386,MIN(W386/2,S386))</f>
        <v>67.309999999999988</v>
      </c>
      <c r="CD386" s="9"/>
      <c r="CF386" s="9"/>
      <c r="CG386" s="9"/>
      <c r="CH386" s="9">
        <f>IF(W386=0,MIN(S386,U386),MIN(W386/2,S386,U386))</f>
        <v>67.309999999999988</v>
      </c>
      <c r="CI386" s="9">
        <f>MAX(W386/2,S386)</f>
        <v>127.00000000000001</v>
      </c>
      <c r="CJ386" s="9">
        <f>(CH386/N386)^0.5*(CI386/CH386)^0.15</f>
        <v>1.7905298128039189</v>
      </c>
      <c r="CK386" s="70">
        <f>IF(AO386&gt;1,20,0)</f>
        <v>20</v>
      </c>
      <c r="CL386" s="9">
        <f>MIN(PI()*AM386^2/4*AN386*2/X386/N386/MAX(0.01,AO386),0.05)</f>
        <v>0.05</v>
      </c>
      <c r="CM386" s="9">
        <f>MAX(0,CK386*(CL386-0.5/50))</f>
        <v>0.8</v>
      </c>
      <c r="CN386" s="9">
        <f>MIN(1,(25/N386)^0.3)</f>
        <v>0.99524931562137331</v>
      </c>
      <c r="CO386" s="9">
        <f>IF(J386&gt;=800,0.68,IF(J386&gt;=700,0.75-(J386-700)*0.07/100,IF(J386&gt;=600,0.85-(J386-600)*0.1/100,IF(J386&gt;=500,1-(J386-500)*0.15/100,1.2-(J386-400)*0.2/100))))</f>
        <v>0.68048275862068963</v>
      </c>
      <c r="CP386" s="9">
        <f>1.75*CN386*CO386*(M386/25)^0.5</f>
        <v>1.8466066401443861</v>
      </c>
      <c r="CQ386" s="9">
        <f>MIN((CJ386+CM386)*CP386,2.5*CP386,M386^0.5)</f>
        <v>4.6165166003609652</v>
      </c>
      <c r="CR386" s="40">
        <v>1</v>
      </c>
      <c r="CS386" s="9">
        <f>4*CQ386*P386+60*CQ386</f>
        <v>429.33604383356976</v>
      </c>
      <c r="CU386" s="4">
        <f>AJ386/BF386</f>
        <v>2.2447171992350321</v>
      </c>
      <c r="CV386" s="4">
        <f>AJ386/BK386</f>
        <v>0.49664029362132861</v>
      </c>
      <c r="CW386" s="4">
        <f>AJ386/BN386</f>
        <v>1.1868247628736053</v>
      </c>
      <c r="CX386" s="4">
        <f>AJ386/CS386</f>
        <v>1.7685688302516001</v>
      </c>
      <c r="CY386" s="4">
        <f>AJ386/DZ386</f>
        <v>1.9142631106667445</v>
      </c>
      <c r="CZ386" s="4">
        <f>AJ386/EL386</f>
        <v>1.1065773777959143</v>
      </c>
      <c r="DA386" s="4">
        <f>AJ386/GI386</f>
        <v>1.4480266495732195</v>
      </c>
      <c r="DB386" s="4">
        <f>AN386</f>
        <v>10</v>
      </c>
      <c r="DI386" s="4">
        <f>CU386</f>
        <v>2.2447171992350321</v>
      </c>
      <c r="DJ386" s="4">
        <f>CV386</f>
        <v>0.49664029362132861</v>
      </c>
      <c r="DK386" s="4">
        <f>CX386</f>
        <v>1.7685688302516001</v>
      </c>
      <c r="DL386" s="4">
        <f>DA386</f>
        <v>1.4480266495732195</v>
      </c>
      <c r="DM386" s="4">
        <f>CY386</f>
        <v>1.9142631106667445</v>
      </c>
      <c r="DN386" s="4">
        <f>CZ386</f>
        <v>1.1065773777959143</v>
      </c>
      <c r="DQ386" s="4">
        <f>L386</f>
        <v>209.54999999999998</v>
      </c>
      <c r="DT386" s="4">
        <f>K386/4/(1-0.3*(M386/30)^0.5)/200000/N386</f>
        <v>1.7987820129031567E-5</v>
      </c>
      <c r="DU386" s="4">
        <f>EP386</f>
        <v>11.952252138130413</v>
      </c>
      <c r="DV386" s="4">
        <f>EC386*AG386/257/M386/AD386</f>
        <v>6.8935961590963143E-2</v>
      </c>
      <c r="DW386" s="4">
        <f>DU386*DV386^0.4</f>
        <v>4.1004175286305635</v>
      </c>
      <c r="DX386" s="4">
        <f>MIN(DU386, DU386/1.4*(1-DV386^1.4)/(1-DV386))</f>
        <v>8.9525727182374535</v>
      </c>
      <c r="DY386" s="4">
        <f>MAX(DU386/2, (4-DT386*(8*AG386*(DW386-DX386)+6*K386*DX386))/(4+DT386*K386*DU386)*DU386)</f>
        <v>11.429830361786014</v>
      </c>
      <c r="DZ386" s="38">
        <f>MIN(1/N386*(4*AG386*(DW386-DX386)+(3*DX386+DY386)*K386)+EC386 -FJ386,MAX(J386,AJ386))</f>
        <v>396.65934144398557</v>
      </c>
      <c r="EA386" s="4">
        <f>DZ386/FF386</f>
        <v>1.0001206852577009</v>
      </c>
      <c r="EB386" s="4">
        <f>AG386/N386</f>
        <v>3.9874804074753771</v>
      </c>
      <c r="EC386" s="4">
        <f>MIN(EB$10*BB386)</f>
        <v>158.1785611932238</v>
      </c>
      <c r="EG386" s="4">
        <f>IF(U386&gt;1*N386,0.85,1)</f>
        <v>0.85</v>
      </c>
      <c r="EH386" s="4">
        <f>MIN(1,MAX(0.7,(1-0.1*(BZ386-1*N386)/N386)))</f>
        <v>0.83499999999999996</v>
      </c>
      <c r="EI386" s="4">
        <f>MIN(1,MAX(0.7,1-0.3*(PI()*AM386^2/4*AQ386*2-0.25*PI()/4*N386^2)/(PI()/4*N386^2)))</f>
        <v>0.77500000000000002</v>
      </c>
      <c r="EJ386" s="4">
        <f>IF(EH386*EI386&lt;0.7,0.7,EH386*EI386)</f>
        <v>0.7</v>
      </c>
      <c r="EL386" s="4">
        <f>MIN(DU386/N386*3*K386+EM386-FJ386,MAX(J386,AJ386))</f>
        <v>686.17916836505719</v>
      </c>
      <c r="EM386" s="25">
        <f>13.3*Q386*K386^0.5*M386^0.5/X386/N386^2*(0.7+S386/5/K386)</f>
        <v>390.36092794632941</v>
      </c>
      <c r="EO386" s="4">
        <f>EG386*EJ386</f>
        <v>0.59499999999999997</v>
      </c>
      <c r="EP386" s="4">
        <f>IF(N386&lt;22.2,1.1*5*(M386/30)^0.5,IF(N386&gt;=31.8,0.9*5*(M386/30)^0.5,1*5*(M386/30)^0.5))/EG386/EJ386</f>
        <v>11.952252138130413</v>
      </c>
      <c r="ES386" s="4">
        <f>ET386*N386</f>
        <v>101.28200234987457</v>
      </c>
      <c r="ET386" s="4">
        <f>AF386^0.5</f>
        <v>3.9874804074753771</v>
      </c>
      <c r="EU386" s="4">
        <f>MIN(EC386)/(4700*M386^0.5)/AE386*ES386</f>
        <v>2.9365570215495483E-2</v>
      </c>
      <c r="EX386" s="4">
        <f>EU386</f>
        <v>2.9365570215495483E-2</v>
      </c>
      <c r="EY386" s="4">
        <f>MIN(0.999, EX386/(0.3*(M386/30)^0.5))</f>
        <v>6.8820920318984541E-2</v>
      </c>
      <c r="EZ386" s="4">
        <f>EP386/1*EY386^0.4</f>
        <v>4.0976790240235799</v>
      </c>
      <c r="FA386" s="4">
        <f>EP386/1.4*(1-EY386^1.4)/(1-EY386)</f>
        <v>8.9519730960903825</v>
      </c>
      <c r="FB386" s="4">
        <f>MAX(0,DQ386*FB$9-ES386)</f>
        <v>55.88049765012542</v>
      </c>
      <c r="FC386" s="4">
        <f>MAX(0,DQ386-ES386-FB386)</f>
        <v>52.387499999999989</v>
      </c>
      <c r="FD386" s="4">
        <f>FC386/(1-0.3*(M386/30)^0.5)/200000/N386</f>
        <v>1.7987820129031563E-5</v>
      </c>
      <c r="FE386" s="4">
        <f>MAX(0.5*EP386, (1-2*FD386*(ES386*EZ386+FB386*FA386))/(1/EP386+FD386*FC386))</f>
        <v>11.429962543304621</v>
      </c>
      <c r="FF386" s="4">
        <f>MIN(4/N386*(1*EZ386*ES386+FA386*FB386+FC386*FE386)+EC386,MAX(J386,AJ386))</f>
        <v>396.61147628576288</v>
      </c>
      <c r="FO386" s="23">
        <f>IF(CU386&lt;0.6,0.6,IF(CU386&lt;0.8,0.8,IF(CU386&lt;1,1,IF(CU386&lt;1.2,1.2,IF(CU386&lt;1.4,1.4,IF(CU386&lt;1.6,1.6,IF(CU386&lt;1.8,1.8,IF(CU386&lt;2,2,2.2))))))))</f>
        <v>2.2000000000000002</v>
      </c>
      <c r="FP386" s="23">
        <f>IF(CV386&lt;0.6,0.6,IF(CV386&lt;0.8,0.8,IF(CV386&lt;1,1,IF(CV386&lt;1.2,1.2,IF(CV386&lt;1.4,1.4,IF(CV386&lt;1.6,1.6,IF(CV386&lt;1.8,1.8,IF(CV386&lt;2,2,2.2))))))))</f>
        <v>0.6</v>
      </c>
      <c r="FQ386" s="23">
        <f>IF(DA386&lt;0.6,0.6,IF(DA386&lt;0.8,0.8,IF(DA386&lt;1,1,IF(DA386&lt;1.2,1.2,IF(DA386&lt;1.4,1.4,IF(DA386&lt;1.6,1.6,IF(DA386&lt;1.8,1.8,IF(DA386&lt;2,2,2.2))))))))</f>
        <v>1.6</v>
      </c>
      <c r="FR386" s="23">
        <f>IF(CX386&lt;0.6,0.6,IF(CX386&lt;0.8,0.8,IF(CX386&lt;1,1,IF(CX386&lt;1.2,1.2,IF(CX386&lt;1.4,1.4,IF(CX386&lt;1.6,1.6,IF(CX386&lt;1.8,1.8,IF(CX386&lt;2,2,2.2))))))))</f>
        <v>1.8</v>
      </c>
      <c r="FS386" s="23">
        <f>IF(CY386&lt;0.6,0.6,IF(CY386&lt;0.8,0.8,IF(CY386&lt;1,1,IF(CY386&lt;1.2,1.2,IF(CY386&lt;1.4,1.4,IF(CY386&lt;1.6,1.6,IF(CY386&lt;1.8,1.8,IF(CY386&lt;2,2,2.2))))))))</f>
        <v>2</v>
      </c>
      <c r="FT386" s="23">
        <f>IF(CZ386&lt;0.6,0.6,IF(CZ386&lt;0.8,0.8,IF(CZ386&lt;1,1,IF(CZ386&lt;1.2,1.2,IF(CZ386&lt;1.4,1.4,IF(CZ386&lt;1.6,1.6,IF(CZ386&lt;1.8,1.8,IF(CZ386&lt;2,2,2.2))))))))</f>
        <v>1.2</v>
      </c>
      <c r="FU386" s="23">
        <f>IF(FS386&lt;1,1,0)</f>
        <v>0</v>
      </c>
      <c r="FV386" s="23"/>
      <c r="GF386" s="4">
        <f>IF(S386&gt;=2.5*25.4,1,1.25)</f>
        <v>1</v>
      </c>
      <c r="GG386" s="4">
        <f>IF(AO386&gt;1, 0.05*(18-MIN(8,(W386+N386)/N386))*(1-48000/MAX(60000,(J386*145))*(N386/25.4)^0.75*GH386), 1/12*(14-MIN(8,(W386+N386)/N386)))</f>
        <v>0.43787748058671272</v>
      </c>
      <c r="GH386" s="4">
        <f>MIN(0.3, AM386^2*PI()/4*2*AP386/(N386^2*PI()/4*X386))</f>
        <v>0.3</v>
      </c>
      <c r="GI386" s="4">
        <f>(K386/25.4)/(N386/25.4)^1.5/0.0024*(M386*145)^0.25/GF386/GG386/145</f>
        <v>524.37594643122043</v>
      </c>
    </row>
    <row r="387" spans="1:191" ht="12" customHeight="1" x14ac:dyDescent="0.3">
      <c r="A387" s="25">
        <v>213</v>
      </c>
      <c r="B387" s="24" t="s">
        <v>182</v>
      </c>
      <c r="C387" s="4">
        <v>1996</v>
      </c>
      <c r="D387" s="24" t="s">
        <v>309</v>
      </c>
      <c r="E387" s="24"/>
      <c r="F387" s="24"/>
      <c r="G387" s="24">
        <v>4</v>
      </c>
      <c r="H387" s="4" t="s">
        <v>347</v>
      </c>
      <c r="I387" s="5">
        <f>K387/N387</f>
        <v>5.8379888268156428</v>
      </c>
      <c r="J387" s="110">
        <v>556</v>
      </c>
      <c r="K387" s="110">
        <f>305-U387-20</f>
        <v>209</v>
      </c>
      <c r="L387" s="7">
        <f>K387</f>
        <v>209</v>
      </c>
      <c r="M387" s="48">
        <v>35.200000000000003</v>
      </c>
      <c r="N387" s="105">
        <v>35.799999999999997</v>
      </c>
      <c r="O387" s="7">
        <f>K387/N387</f>
        <v>5.8379888268156428</v>
      </c>
      <c r="P387" s="7">
        <f>L387/N387</f>
        <v>5.8379888268156428</v>
      </c>
      <c r="Q387" s="7">
        <v>305</v>
      </c>
      <c r="R387" s="32">
        <f>S387/N387</f>
        <v>2.1229050279329611</v>
      </c>
      <c r="S387" s="7">
        <v>76</v>
      </c>
      <c r="T387" s="32">
        <f>U387/N387</f>
        <v>2.1229050279329611</v>
      </c>
      <c r="U387" s="7">
        <v>76</v>
      </c>
      <c r="V387" s="32">
        <f>W387/N387</f>
        <v>2.2737430167597767</v>
      </c>
      <c r="W387" s="7">
        <f>Q387-2*N387-2*S387</f>
        <v>81.400000000000006</v>
      </c>
      <c r="X387" s="7">
        <v>2</v>
      </c>
      <c r="Y387" s="7">
        <f>AN387</f>
        <v>0</v>
      </c>
      <c r="Z387" s="32">
        <f>AA387/N387</f>
        <v>7.8212290502793298</v>
      </c>
      <c r="AA387" s="7">
        <f>775-(343+152)</f>
        <v>280</v>
      </c>
      <c r="AB387" s="7">
        <f>MIN(S387/N387+0.5, W387/2/N387+0.5)</f>
        <v>1.6368715083798884</v>
      </c>
      <c r="AC387" s="7">
        <f>S387/N387+0.5</f>
        <v>2.6229050279329611</v>
      </c>
      <c r="AD387" s="7">
        <f>4225/(N387^2*PI()/4)-1</f>
        <v>3.1973074158937482</v>
      </c>
      <c r="AE387" s="7">
        <f>4225/(N387^2*PI()/4)-1</f>
        <v>3.1973074158937482</v>
      </c>
      <c r="AF387" s="7">
        <f>AE387+1</f>
        <v>4.1973074158937482</v>
      </c>
      <c r="AG387" s="7">
        <f>N387*AF387^0.5</f>
        <v>73.344645861208321</v>
      </c>
      <c r="AH387" s="7">
        <f>J387</f>
        <v>556</v>
      </c>
      <c r="AI387" s="7">
        <v>20</v>
      </c>
      <c r="AJ387" s="7">
        <f>349*1000/(N387^2*PI()/4)</f>
        <v>346.71249423595691</v>
      </c>
      <c r="AK387" s="7"/>
      <c r="AL387" s="4">
        <f>CY387</f>
        <v>2.5258582854795466</v>
      </c>
      <c r="AM387" s="7">
        <v>0</v>
      </c>
      <c r="AN387" s="7">
        <v>0</v>
      </c>
      <c r="AO387" s="7">
        <f>L387</f>
        <v>209</v>
      </c>
      <c r="AP387" s="7"/>
      <c r="AQ387" s="7"/>
      <c r="AR387" s="7">
        <f>3*AS387/(W387+N387)</f>
        <v>5.3498293515358357</v>
      </c>
      <c r="AS387" s="4">
        <f>K387</f>
        <v>209</v>
      </c>
      <c r="AT387" s="4">
        <f>IF(K387*3&gt;W387+N387, Q387, (S387+N387/2)*2+1.5*K387*(2*X387-2))*(3*K387)/(9*K387^2)</f>
        <v>0.48644338118022329</v>
      </c>
      <c r="AU387" s="4">
        <f>MIN(10*M387^0.5*K387^1.5,100*3.9*M387^0.5*K387^(5/3))/(PI()/4*N387^2)/X387</f>
        <v>89.044034776358373</v>
      </c>
      <c r="AV387" s="4">
        <f>MIN(0.7+0.3*(MIN(S387,AA387)+0.5*N387)/1.5/K387,1)</f>
        <v>0.78985645933014348</v>
      </c>
      <c r="AW387" s="4">
        <v>1.25</v>
      </c>
      <c r="AX387" s="4">
        <f>AX386</f>
        <v>1</v>
      </c>
      <c r="AY387" s="38">
        <f>AT387*AV387*AW387*AX387*AU387</f>
        <v>42.765673524804626</v>
      </c>
      <c r="AZ387" s="38">
        <f>AY387</f>
        <v>42.765673524804626</v>
      </c>
      <c r="BA387" s="38">
        <f>IF(M387&lt;50, 0.3*M387^(2/3), 2.12*LN(1+0.1*(M387+8)))</f>
        <v>3.222179253401551</v>
      </c>
      <c r="BB387" s="38">
        <f>AX387* (M387^0.5/AS387^0.5)/(PI()/4*N387^2)/X387/0.72 *(0.7+(MIN(S387,AA387)+0.5*N387)/5/K387) *(3*Q387*K387)</f>
        <v>42.765673524804633</v>
      </c>
      <c r="BC387" s="38">
        <f>AY387/BB387</f>
        <v>0.99999999999999989</v>
      </c>
      <c r="BD387" s="38">
        <f>BH387/BB387</f>
        <v>5.9791628756415145</v>
      </c>
      <c r="BE387" s="4">
        <f>IF(BD387&lt;1,1,0)</f>
        <v>0</v>
      </c>
      <c r="BF387" s="4">
        <f>L387/N387*M387^0.5/0.19</f>
        <v>182.29761644257499</v>
      </c>
      <c r="BG387" s="4">
        <f>MIN(0.6+0.4*(AC387/AB387),2)</f>
        <v>1.2409556313993173</v>
      </c>
      <c r="BH387" s="38">
        <f>2*M387*AB387*AD387^0.5*BG387*0.7/0.7</f>
        <v>255.70292749131704</v>
      </c>
      <c r="BI387" s="4">
        <f>MAX(1-0.7*AE387/5,0.3)</f>
        <v>0.55237696177487527</v>
      </c>
      <c r="BJ387" s="4">
        <f>BI387*J387*L387/(J387*N387/2.75/M387^0.5)</f>
        <v>52.614184333635947</v>
      </c>
      <c r="BK387" s="4">
        <f>BH387+BJ387</f>
        <v>308.31711182495297</v>
      </c>
      <c r="BM387" s="4">
        <f>MIN(1.5, 0.75+0.25*MIN(3,MAX(1,S387/N387))+0.4*MIN(1,(40*2*PI()*AM387^2/4/AO387/X387)/N387))</f>
        <v>1.2807262569832403</v>
      </c>
      <c r="BN387" s="4">
        <f>(3*P387+30)*BM387*M387^0.5</f>
        <v>361.03468916532245</v>
      </c>
      <c r="BP387" s="4">
        <f>3.4/PI()^0.5*M387*AB387*AE387^0.5*BG387</f>
        <v>245.25037789455612</v>
      </c>
      <c r="BQ387" s="4">
        <f>8/3*AH387*AI387^2/(AG387-N387-22)/N387*(AG387^2-N387^2)/(AG387^2-(N387+22)^2)</f>
        <v>2142.1935501129287</v>
      </c>
      <c r="BR387" s="4">
        <f>BQ387/BP387</f>
        <v>8.7347206903548642</v>
      </c>
      <c r="BZ387" s="4">
        <f>IF(W387=0,S387,MIN(W387/2,S387))</f>
        <v>40.700000000000003</v>
      </c>
      <c r="CD387" s="9"/>
      <c r="CF387" s="9"/>
      <c r="CG387" s="9"/>
      <c r="CH387" s="9">
        <f>IF(W387=0,MIN(S387,U387),MIN(W387/2,S387,U387))</f>
        <v>40.700000000000003</v>
      </c>
      <c r="CI387" s="9">
        <f>MAX(W387/2,S387)</f>
        <v>76</v>
      </c>
      <c r="CJ387" s="9">
        <f>(CH387/N387)^0.5*(CI387/CH387)^0.15</f>
        <v>1.1709505872794554</v>
      </c>
      <c r="CK387" s="70">
        <v>0</v>
      </c>
      <c r="CL387" s="9">
        <f>MIN(PI()*AM387^2/4*AN387*2/X387/N387/MAX(0.01,AO387),0.05)</f>
        <v>0</v>
      </c>
      <c r="CM387" s="9">
        <f>MAX(0,CK387*(CL387-0.5/50))</f>
        <v>0</v>
      </c>
      <c r="CN387" s="9">
        <f>MIN(1,(25/N387)^0.3)</f>
        <v>0.89787751228078194</v>
      </c>
      <c r="CO387" s="9">
        <f>IF(J387&gt;=800,0.68,IF(J387&gt;=700,0.75-(J387-700)*0.07/100,IF(J387&gt;=600,0.85-(J387-600)*0.1/100,IF(J387&gt;=500,1-(J387-500)*0.15/100,1.2-(J387-400)*0.2/100))))</f>
        <v>0.91600000000000004</v>
      </c>
      <c r="CP387" s="9">
        <f>1.75*CN387*CO387*(M387/25)^0.5</f>
        <v>1.7078587312996556</v>
      </c>
      <c r="CQ387" s="9">
        <f>MIN((CJ387+CM387)*CP387,2.5*CP387,M387^0.5)</f>
        <v>1.9998181844056775</v>
      </c>
      <c r="CR387" s="9">
        <v>1</v>
      </c>
      <c r="CS387" s="9">
        <f>4*CQ387*P387+60*CQ387</f>
        <v>166.68875592923303</v>
      </c>
      <c r="CU387" s="4">
        <f>AJ387/BF387</f>
        <v>1.9019036068701081</v>
      </c>
      <c r="CV387" s="4">
        <f>AJ387/BK387</f>
        <v>1.1245321162479069</v>
      </c>
      <c r="CW387" s="4">
        <f>AJ387/BN387</f>
        <v>0.96033014178643861</v>
      </c>
      <c r="CX387" s="4">
        <f>AJ387/CS387</f>
        <v>2.0799992915128129</v>
      </c>
      <c r="CY387" s="4">
        <f>AJ387/DZ387</f>
        <v>2.5258582854795466</v>
      </c>
      <c r="CZ387" s="4">
        <f>AJ387/EL387</f>
        <v>1.6772269266410664</v>
      </c>
      <c r="DA387" s="4">
        <f>AJ387/GI387</f>
        <v>2.137444489225357</v>
      </c>
      <c r="DC387" s="4">
        <f>CU387</f>
        <v>1.9019036068701081</v>
      </c>
      <c r="DD387" s="4">
        <f>CV387</f>
        <v>1.1245321162479069</v>
      </c>
      <c r="DE387" s="4">
        <f>CX387</f>
        <v>2.0799992915128129</v>
      </c>
      <c r="DF387" s="4">
        <f>DA387</f>
        <v>2.137444489225357</v>
      </c>
      <c r="DG387" s="4">
        <f>CY387</f>
        <v>2.5258582854795466</v>
      </c>
      <c r="DH387" s="4">
        <f>CZ387</f>
        <v>1.6772269266410664</v>
      </c>
      <c r="DP387" s="4">
        <f>AN387</f>
        <v>0</v>
      </c>
      <c r="DQ387" s="4">
        <f>L387</f>
        <v>209</v>
      </c>
      <c r="DT387" s="4">
        <f>K387/4/(1-0.3*(M387/30)^0.5)/200000/N387</f>
        <v>1.0810474402128634E-5</v>
      </c>
      <c r="DU387" s="4">
        <f>EP387</f>
        <v>5.8141951099198845</v>
      </c>
      <c r="DV387" s="4">
        <f>EC387*AG387/257/M387/AD387</f>
        <v>0.10844350610217771</v>
      </c>
      <c r="DW387" s="4">
        <f>DU387*DV387^0.4</f>
        <v>2.3909529041228521</v>
      </c>
      <c r="DX387" s="4">
        <f>MIN(DU387, DU387/1.4*(1-DV387^1.4)/(1-DV387))</f>
        <v>4.4504124705274348</v>
      </c>
      <c r="DY387" s="4">
        <f>MAX(DU387/2, (4-DT387*(8*AG387*(DW387-DX387)+6*K387*DX387))/(4+DT387*K387*DU387)*DU387)</f>
        <v>5.726681765970139</v>
      </c>
      <c r="DZ387" s="38">
        <f>MIN(1/N387*(4*AG387*(DW387-DX387)+(3*DX387+DY387)*K387)+EC387 -FJ387,MAX(J387,AJ387))</f>
        <v>137.26522039225642</v>
      </c>
      <c r="EA387" s="4">
        <f>DZ387/FF387</f>
        <v>1.0001229238572846</v>
      </c>
      <c r="EB387" s="4">
        <f>AG387/N387</f>
        <v>2.0487331246147575</v>
      </c>
      <c r="EC387" s="4">
        <f>MIN(EB$10*BB387)</f>
        <v>42.765673524804633</v>
      </c>
      <c r="EG387" s="4">
        <f>IF(U387&gt;1*N387,0.85,1)</f>
        <v>0.85</v>
      </c>
      <c r="EH387" s="4">
        <f>MIN(1,MAX(0.7,(1-0.1*(BZ387-1*N387)/N387)))</f>
        <v>0.98631284916201112</v>
      </c>
      <c r="EI387" s="4">
        <f>MIN(1,MAX(0.7,1-0.3*(PI()*AM387^2/4*AQ387*2-0.25*PI()/4*N387^2)/(PI()/4*N387^2)))</f>
        <v>1</v>
      </c>
      <c r="EJ387" s="4">
        <f>IF(EH387*EI387&lt;0.7,0.7,EH387*EI387)</f>
        <v>0.98631284916201112</v>
      </c>
      <c r="EL387" s="4">
        <f>MIN(DU387/N387*3*K387+EM387-FJ387,MAX(J387,AJ387))</f>
        <v>206.71770094360932</v>
      </c>
      <c r="EM387" s="25">
        <f>13.3*Q387*K387^0.5*M387^0.5/X387/N387^2*(0.7+S387/5/K387)</f>
        <v>104.88808267769402</v>
      </c>
      <c r="EO387" s="4">
        <f>EG387*EJ387</f>
        <v>0.83836592178770941</v>
      </c>
      <c r="EP387" s="4">
        <f>IF(N387&lt;22.2,1.1*5*(M387/30)^0.5,IF(N387&gt;=31.8,0.9*5*(M387/30)^0.5,1*5*(M387/30)^0.5))/EG387/EJ387</f>
        <v>5.8141951099198845</v>
      </c>
      <c r="ES387" s="4">
        <f>ET387*N387</f>
        <v>73.344645861208321</v>
      </c>
      <c r="ET387" s="4">
        <f>AF387^0.5</f>
        <v>2.0487331246147575</v>
      </c>
      <c r="EU387" s="4">
        <f>MIN(EC387)/(4700*M387^0.5)/AE387*ES387</f>
        <v>3.5181159392989297E-2</v>
      </c>
      <c r="EX387" s="4">
        <f>EU387</f>
        <v>3.5181159392989297E-2</v>
      </c>
      <c r="EY387" s="4">
        <f>MIN(0.999, EX387/(0.3*(M387/30)^0.5))</f>
        <v>0.10826253410161522</v>
      </c>
      <c r="EZ387" s="4">
        <f>EP387/1*EY387^0.4</f>
        <v>2.3893560824583986</v>
      </c>
      <c r="FA387" s="4">
        <f>EP387/1.4*(1-EY387^1.4)/(1-EY387)</f>
        <v>4.4499943553332875</v>
      </c>
      <c r="FB387" s="4">
        <f>MAX(0,DQ387*FB$9-ES387)</f>
        <v>83.405354138791679</v>
      </c>
      <c r="FC387" s="4">
        <f>MAX(0,DQ387-ES387-FB387)</f>
        <v>52.249999999999986</v>
      </c>
      <c r="FD387" s="4">
        <f>FC387/(1-0.3*(M387/30)^0.5)/200000/N387</f>
        <v>1.0810474402128631E-5</v>
      </c>
      <c r="FE387" s="4">
        <f>MAX(0.5*EP387, (1-2*FD387*(ES387*EZ387+FB387*FA387))/(1/EP387+FD387*FC387))</f>
        <v>5.7267008100205565</v>
      </c>
      <c r="FF387" s="4">
        <f>MIN(4/N387*(1*EZ387*ES387+FA387*FB387+FC387*FE387)+EC387,MAX(J387,AJ387))</f>
        <v>137.24834929575505</v>
      </c>
      <c r="FO387" s="23">
        <f>IF(CU387&lt;0.6,0.6,IF(CU387&lt;0.8,0.8,IF(CU387&lt;1,1,IF(CU387&lt;1.2,1.2,IF(CU387&lt;1.4,1.4,IF(CU387&lt;1.6,1.6,IF(CU387&lt;1.8,1.8,IF(CU387&lt;2,2,2.2))))))))</f>
        <v>2</v>
      </c>
      <c r="FP387" s="23">
        <f>IF(CV387&lt;0.6,0.6,IF(CV387&lt;0.8,0.8,IF(CV387&lt;1,1,IF(CV387&lt;1.2,1.2,IF(CV387&lt;1.4,1.4,IF(CV387&lt;1.6,1.6,IF(CV387&lt;1.8,1.8,IF(CV387&lt;2,2,2.2))))))))</f>
        <v>1.2</v>
      </c>
      <c r="FQ387" s="23">
        <f>IF(DA387&lt;0.6,0.6,IF(DA387&lt;0.8,0.8,IF(DA387&lt;1,1,IF(DA387&lt;1.2,1.2,IF(DA387&lt;1.4,1.4,IF(DA387&lt;1.6,1.6,IF(DA387&lt;1.8,1.8,IF(DA387&lt;2,2,2.2))))))))</f>
        <v>2.2000000000000002</v>
      </c>
      <c r="FR387" s="23">
        <f>IF(CX387&lt;0.6,0.6,IF(CX387&lt;0.8,0.8,IF(CX387&lt;1,1,IF(CX387&lt;1.2,1.2,IF(CX387&lt;1.4,1.4,IF(CX387&lt;1.6,1.6,IF(CX387&lt;1.8,1.8,IF(CX387&lt;2,2,2.2))))))))</f>
        <v>2.2000000000000002</v>
      </c>
      <c r="FS387" s="23">
        <f>IF(CY387&lt;0.6,0.6,IF(CY387&lt;0.8,0.8,IF(CY387&lt;1,1,IF(CY387&lt;1.2,1.2,IF(CY387&lt;1.4,1.4,IF(CY387&lt;1.6,1.6,IF(CY387&lt;1.8,1.8,IF(CY387&lt;2,2,2.2))))))))</f>
        <v>2.2000000000000002</v>
      </c>
      <c r="FT387" s="23">
        <f>IF(CZ387&lt;0.6,0.6,IF(CZ387&lt;0.8,0.8,IF(CZ387&lt;1,1,IF(CZ387&lt;1.2,1.2,IF(CZ387&lt;1.4,1.4,IF(CZ387&lt;1.6,1.6,IF(CZ387&lt;1.8,1.8,IF(CZ387&lt;2,2,2.2))))))))</f>
        <v>1.8</v>
      </c>
      <c r="FU387" s="23">
        <f>IF(FS387&lt;1,1,0)</f>
        <v>0</v>
      </c>
      <c r="FV387" s="23"/>
      <c r="GF387" s="4">
        <f>IF(S387&gt;=2.5*25.4,1,1.25)</f>
        <v>1</v>
      </c>
      <c r="GG387" s="4">
        <f>IF(AO387&gt;1, 0.05*(18-MIN(8,(W387+N387)/N387))*(1-48000/MAX(60000,(J387*145))*(N387/25.4)^0.75*GH387), 1/12*(14-MIN(8,(W387+N387)/N387)))</f>
        <v>0.73631284916201123</v>
      </c>
      <c r="GH387" s="4">
        <f>MIN(0.3, AM387^2*PI()/4*2*AP387/(N387^2*PI()/4*X387))</f>
        <v>0</v>
      </c>
      <c r="GI387" s="4">
        <f>(K387/25.4)/(N387/25.4)^1.5/0.0024*(M387*145)^0.25/GF387/GG387/145</f>
        <v>162.20888822315609</v>
      </c>
    </row>
    <row r="388" spans="1:191" ht="12" customHeight="1" x14ac:dyDescent="0.3">
      <c r="A388" s="25">
        <v>220</v>
      </c>
      <c r="B388" s="24" t="s">
        <v>182</v>
      </c>
      <c r="C388" s="4">
        <v>1996</v>
      </c>
      <c r="D388" s="24" t="s">
        <v>309</v>
      </c>
      <c r="E388" s="24"/>
      <c r="F388" s="24"/>
      <c r="G388" s="24">
        <v>4</v>
      </c>
      <c r="H388" s="4" t="s">
        <v>354</v>
      </c>
      <c r="I388" s="5">
        <f>K388/N388</f>
        <v>5.6983240223463696</v>
      </c>
      <c r="J388" s="110">
        <v>556</v>
      </c>
      <c r="K388" s="110">
        <f>305-U388-25</f>
        <v>204</v>
      </c>
      <c r="L388" s="7">
        <f>K388</f>
        <v>204</v>
      </c>
      <c r="M388" s="80">
        <v>31.4</v>
      </c>
      <c r="N388" s="105">
        <v>35.799999999999997</v>
      </c>
      <c r="O388" s="7">
        <f>K388/N388</f>
        <v>5.6983240223463696</v>
      </c>
      <c r="P388" s="7">
        <f>L388/N388</f>
        <v>5.6983240223463696</v>
      </c>
      <c r="Q388" s="7">
        <v>305</v>
      </c>
      <c r="R388" s="32">
        <f>S388/N388</f>
        <v>2.1229050279329611</v>
      </c>
      <c r="S388" s="7">
        <v>76</v>
      </c>
      <c r="T388" s="32">
        <f>U388/N388</f>
        <v>2.1229050279329611</v>
      </c>
      <c r="U388" s="7">
        <v>76</v>
      </c>
      <c r="V388" s="32">
        <f>W388/N388</f>
        <v>2.2737430167597767</v>
      </c>
      <c r="W388" s="7">
        <f>Q388-2*N388-2*S388</f>
        <v>81.400000000000006</v>
      </c>
      <c r="X388" s="7">
        <v>2</v>
      </c>
      <c r="Y388" s="7">
        <f>AN388</f>
        <v>0</v>
      </c>
      <c r="Z388" s="32">
        <f>AA388/N388</f>
        <v>7.8212290502793298</v>
      </c>
      <c r="AA388" s="7">
        <f>775-(343+152)</f>
        <v>280</v>
      </c>
      <c r="AB388" s="7">
        <f>MIN(S388/N388+0.5, W388/2/N388+0.5)</f>
        <v>1.6368715083798884</v>
      </c>
      <c r="AC388" s="7">
        <f>S388/N388+0.5</f>
        <v>2.6229050279329611</v>
      </c>
      <c r="AD388" s="7">
        <f>3025/(N388^2*PI()/4)-1</f>
        <v>2.0051727652257014</v>
      </c>
      <c r="AE388" s="7">
        <f>3025/(N388^2*PI()/4)-1</f>
        <v>2.0051727652257014</v>
      </c>
      <c r="AF388" s="7">
        <f>AE388+1</f>
        <v>3.0051727652257014</v>
      </c>
      <c r="AG388" s="7">
        <f>N388*AF388^0.5</f>
        <v>62.060854190253195</v>
      </c>
      <c r="AH388" s="7">
        <f>J388</f>
        <v>556</v>
      </c>
      <c r="AI388" s="7">
        <v>25</v>
      </c>
      <c r="AJ388" s="7">
        <f>198*1000/(N388^2*PI()/4)</f>
        <v>196.70221736022771</v>
      </c>
      <c r="AK388" s="7"/>
      <c r="AL388" s="4">
        <f>CY388</f>
        <v>1.4842785522928055</v>
      </c>
      <c r="AM388" s="7">
        <v>0</v>
      </c>
      <c r="AN388" s="7">
        <v>0</v>
      </c>
      <c r="AO388" s="7">
        <f>L388</f>
        <v>204</v>
      </c>
      <c r="AP388" s="7"/>
      <c r="AQ388" s="7"/>
      <c r="AR388" s="7">
        <f>3*AS388/(W388+N388)</f>
        <v>5.2218430034129693</v>
      </c>
      <c r="AS388" s="4">
        <f>K388</f>
        <v>204</v>
      </c>
      <c r="AT388" s="4">
        <f>IF(K388*3&gt;W388+N388, Q388, (S388+N388/2)*2+1.5*K388*(2*X388-2))*(3*K388)/(9*K388^2)</f>
        <v>0.49836601307189543</v>
      </c>
      <c r="AU388" s="4">
        <f>MIN(10*M388^0.5*K388^1.5,100*3.9*M388^0.5*K388^(5/3))/(PI()/4*N388^2)/X388</f>
        <v>81.100614496488049</v>
      </c>
      <c r="AV388" s="4">
        <f>MIN(0.7+0.3*(MIN(S388,AA388)+0.5*N388)/1.5/K388,1)</f>
        <v>0.7920588235294117</v>
      </c>
      <c r="AW388" s="4">
        <v>1.25</v>
      </c>
      <c r="AX388" s="4">
        <f>AX387</f>
        <v>1</v>
      </c>
      <c r="AY388" s="38">
        <f>AT388*AV388*AW388*AX388*AU388</f>
        <v>40.016583901569049</v>
      </c>
      <c r="AZ388" s="38">
        <f>AY388</f>
        <v>40.016583901569049</v>
      </c>
      <c r="BA388" s="38">
        <f>IF(M388&lt;50, 0.3*M388^(2/3), 2.12*LN(1+0.1*(M388+8)))</f>
        <v>2.9858937754367516</v>
      </c>
      <c r="BB388" s="38">
        <f>AX388* (M388^0.5/AS388^0.5)/(PI()/4*N388^2)/X388/0.72 *(0.7+(MIN(S388,AA388)+0.5*N388)/5/K388) *(3*Q388*K388)</f>
        <v>40.016583901569085</v>
      </c>
      <c r="BC388" s="38">
        <f>AY388/BB388</f>
        <v>0.99999999999999911</v>
      </c>
      <c r="BD388" s="38">
        <f>BH388/BB388</f>
        <v>4.5140500963368666</v>
      </c>
      <c r="BE388" s="4">
        <f>IF(BD388&lt;1,1,0)</f>
        <v>0</v>
      </c>
      <c r="BF388" s="4">
        <f>L388/N388*M388^0.5/0.19</f>
        <v>168.05767998405574</v>
      </c>
      <c r="BG388" s="4">
        <f>MIN(0.6+0.4*(AC388/AB388),2)</f>
        <v>1.2409556313993173</v>
      </c>
      <c r="BH388" s="38">
        <f>2*M388*AB388*AD388^0.5*BG388*0.7/0.7</f>
        <v>180.63686441595024</v>
      </c>
      <c r="BI388" s="4">
        <f>MAX(1-0.7*AE388/5,0.3)</f>
        <v>0.71927581286840181</v>
      </c>
      <c r="BJ388" s="4">
        <f>BI388*J388*L388/(J388*N388/2.75/M388^0.5)</f>
        <v>63.159708238189161</v>
      </c>
      <c r="BK388" s="4">
        <f>BH388+BJ388</f>
        <v>243.7965726541394</v>
      </c>
      <c r="BM388" s="4">
        <f>MIN(1.5, 0.75+0.25*MIN(3,MAX(1,S388/N388))+0.4*MIN(1,(40*2*PI()*AM388^2/4/AO388/X388)/N388))</f>
        <v>1.2807262569832403</v>
      </c>
      <c r="BN388" s="4">
        <f>(3*P388+30)*BM388*M388^0.5</f>
        <v>337.98364167752999</v>
      </c>
      <c r="BP388" s="4">
        <f>3.4/PI()^0.5*M388*AB388*AE388^0.5*BG388</f>
        <v>173.2528434239527</v>
      </c>
      <c r="BQ388" s="4">
        <f>8/3*AH388*AI388^2/(AG388-N388-22)/N388*(AG388^2-N388^2)/(AG388^2-(N388+22)^2)</f>
        <v>30569.451870773988</v>
      </c>
      <c r="BR388" s="4">
        <f>BQ388/BP388</f>
        <v>176.44415679787727</v>
      </c>
      <c r="BZ388" s="4">
        <f>IF(W388=0,S388,MIN(W388/2,S388))</f>
        <v>40.700000000000003</v>
      </c>
      <c r="CD388" s="9"/>
      <c r="CF388" s="9"/>
      <c r="CG388" s="9"/>
      <c r="CH388" s="9">
        <f>IF(W388=0,MIN(S388,U388),MIN(W388/2,S388,U388))</f>
        <v>40.700000000000003</v>
      </c>
      <c r="CI388" s="9">
        <f>MAX(W388/2,S388)</f>
        <v>76</v>
      </c>
      <c r="CJ388" s="9">
        <f>(CH388/N388)^0.5*(CI388/CH388)^0.15</f>
        <v>1.1709505872794554</v>
      </c>
      <c r="CK388" s="70">
        <v>0</v>
      </c>
      <c r="CL388" s="9">
        <f>MIN(PI()*AM388^2/4*AN388*2/X388/N388/MAX(0.01,AO388),0.05)</f>
        <v>0</v>
      </c>
      <c r="CM388" s="9">
        <f>MAX(0,CK388*(CL388-0.5/50))</f>
        <v>0</v>
      </c>
      <c r="CN388" s="9">
        <f>MIN(1,(25/N388)^0.3)</f>
        <v>0.89787751228078194</v>
      </c>
      <c r="CO388" s="9">
        <f>IF(J388&gt;=800,0.68,IF(J388&gt;=700,0.75-(J388-700)*0.07/100,IF(J388&gt;=600,0.85-(J388-600)*0.1/100,IF(J388&gt;=500,1-(J388-500)*0.15/100,1.2-(J388-400)*0.2/100))))</f>
        <v>0.91600000000000004</v>
      </c>
      <c r="CP388" s="9">
        <f>1.75*CN388*CO388*(M388/25)^0.5</f>
        <v>1.6130411125805293</v>
      </c>
      <c r="CQ388" s="9">
        <f>MIN((CJ388+CM388)*CP388,2.5*CP388,M388^0.5)</f>
        <v>1.8887914380820769</v>
      </c>
      <c r="CR388" s="9">
        <v>1</v>
      </c>
      <c r="CS388" s="9">
        <f>4*CQ388*P388+60*CQ388</f>
        <v>156.37926878422559</v>
      </c>
      <c r="CU388" s="4">
        <f>AJ388/BF388</f>
        <v>1.1704446793439585</v>
      </c>
      <c r="CV388" s="4">
        <f>AJ388/BK388</f>
        <v>0.80682929714224561</v>
      </c>
      <c r="CW388" s="4">
        <f>AJ388/BN388</f>
        <v>0.58198738963793162</v>
      </c>
      <c r="CX388" s="4">
        <f>AJ388/CS388</f>
        <v>1.2578535434363767</v>
      </c>
      <c r="CY388" s="4">
        <f>AJ388/DZ388</f>
        <v>1.4842785522928055</v>
      </c>
      <c r="CZ388" s="4">
        <f>AJ388/EL388</f>
        <v>1.024630490427666</v>
      </c>
      <c r="DA388" s="4">
        <f>AJ388/GI388</f>
        <v>1.2783623766584251</v>
      </c>
      <c r="DC388" s="4">
        <f>CU388</f>
        <v>1.1704446793439585</v>
      </c>
      <c r="DD388" s="4">
        <f>CV388</f>
        <v>0.80682929714224561</v>
      </c>
      <c r="DE388" s="4">
        <f>CX388</f>
        <v>1.2578535434363767</v>
      </c>
      <c r="DF388" s="4">
        <f>DA388</f>
        <v>1.2783623766584251</v>
      </c>
      <c r="DG388" s="4">
        <f>CY388</f>
        <v>1.4842785522928055</v>
      </c>
      <c r="DH388" s="4">
        <f>CZ388</f>
        <v>1.024630490427666</v>
      </c>
      <c r="DP388" s="4">
        <f>AN388</f>
        <v>0</v>
      </c>
      <c r="DQ388" s="4">
        <f>L388</f>
        <v>204</v>
      </c>
      <c r="DT388" s="4">
        <f>K388/4/(1-0.3*(M388/30)^0.5)/200000/N388</f>
        <v>1.0277178579490715E-5</v>
      </c>
      <c r="DU388" s="4">
        <f>EP388</f>
        <v>5.4914001825716072</v>
      </c>
      <c r="DV388" s="4">
        <f>EC388*AG388/257/M388/AD388</f>
        <v>0.15347696114938414</v>
      </c>
      <c r="DW388" s="4">
        <f>DU388*DV388^0.4</f>
        <v>2.5947789760530071</v>
      </c>
      <c r="DX388" s="4">
        <f>MIN(DU388, DU388/1.4*(1-DV388^1.4)/(1-DV388))</f>
        <v>4.2975468531910641</v>
      </c>
      <c r="DY388" s="4">
        <f>MAX(DU388/2, (4-DT388*(8*AG388*(DW388-DX388)+6*K388*DX388))/(4+DT388*K388*DU388)*DU388)</f>
        <v>5.4135302764656918</v>
      </c>
      <c r="DZ388" s="38">
        <f>MIN(1/N388*(4*AG388*(DW388-DX388)+(3*DX388+DY388)*K388)+EC388 -FJ388,MAX(J388,AJ388))</f>
        <v>132.52378878369996</v>
      </c>
      <c r="EA388" s="4">
        <f>DZ388/FF388</f>
        <v>1.0001294528750737</v>
      </c>
      <c r="EB388" s="4">
        <f>AG388/N388</f>
        <v>1.7335434131355643</v>
      </c>
      <c r="EC388" s="4">
        <f>MIN(EB$10*BB388)</f>
        <v>40.016583901569085</v>
      </c>
      <c r="EG388" s="4">
        <f>IF(U388&gt;1*N388,0.85,1)</f>
        <v>0.85</v>
      </c>
      <c r="EH388" s="4">
        <f>MIN(1,MAX(0.7,(1-0.1*(BZ388-1*N388)/N388)))</f>
        <v>0.98631284916201112</v>
      </c>
      <c r="EI388" s="4">
        <f>MIN(1,MAX(0.7,1-0.3*(PI()*AM388^2/4*AQ388*2-0.25*PI()/4*N388^2)/(PI()/4*N388^2)))</f>
        <v>1</v>
      </c>
      <c r="EJ388" s="4">
        <f>IF(EH388*EI388&lt;0.7,0.7,EH388*EI388)</f>
        <v>0.98631284916201112</v>
      </c>
      <c r="EL388" s="4">
        <f>MIN(DU388/N388*3*K388+EM388-FJ388,MAX(J388,AJ388))</f>
        <v>191.97380831223074</v>
      </c>
      <c r="EM388" s="25">
        <f>13.3*Q388*K388^0.5*M388^0.5/X388/N388^2*(0.7+S388/5/K388)</f>
        <v>98.098475582235665</v>
      </c>
      <c r="EO388" s="4">
        <f>EG388*EJ388</f>
        <v>0.83836592178770941</v>
      </c>
      <c r="EP388" s="4">
        <f>IF(N388&lt;22.2,1.1*5*(M388/30)^0.5,IF(N388&gt;=31.8,0.9*5*(M388/30)^0.5,1*5*(M388/30)^0.5))/EG388/EJ388</f>
        <v>5.4914001825716072</v>
      </c>
      <c r="ES388" s="4">
        <f>ET388*N388</f>
        <v>62.060854190253195</v>
      </c>
      <c r="ET388" s="4">
        <f>AF388^0.5</f>
        <v>1.7335434131355643</v>
      </c>
      <c r="EU388" s="4">
        <f>MIN(EC388)/(4700*M388^0.5)/AE388*ES388</f>
        <v>4.7026567557365367E-2</v>
      </c>
      <c r="EX388" s="4">
        <f>EU388</f>
        <v>4.7026567557365367E-2</v>
      </c>
      <c r="EY388" s="4">
        <f>MIN(0.999, EX388/(0.3*(M388/30)^0.5))</f>
        <v>0.15322083670544298</v>
      </c>
      <c r="EZ388" s="4">
        <f>EP388/1*EY388^0.4</f>
        <v>2.593046027120268</v>
      </c>
      <c r="FA388" s="4">
        <f>EP388/1.4*(1-EY388^1.4)/(1-EY388)</f>
        <v>4.2970315566617776</v>
      </c>
      <c r="FB388" s="4">
        <f>MAX(0,DQ388*FB$9-ES388)</f>
        <v>90.939145809746805</v>
      </c>
      <c r="FC388" s="4">
        <f>MAX(0,DQ388-ES388-FB388)</f>
        <v>51</v>
      </c>
      <c r="FD388" s="4">
        <f>FC388/(1-0.3*(M388/30)^0.5)/200000/N388</f>
        <v>1.0277178579490715E-5</v>
      </c>
      <c r="FE388" s="4">
        <f>MAX(0.5*EP388, (1-2*FD388*(ES388*EZ388+FB388*FA388))/(1/EP388+FD388*FC388))</f>
        <v>5.4135476549205981</v>
      </c>
      <c r="FF388" s="4">
        <f>MIN(4/N388*(1*EZ388*ES388+FA388*FB388+FC388*FE388)+EC388,MAX(J388,AJ388))</f>
        <v>132.50663541877864</v>
      </c>
      <c r="FO388" s="23">
        <f>IF(CU388&lt;0.6,0.6,IF(CU388&lt;0.8,0.8,IF(CU388&lt;1,1,IF(CU388&lt;1.2,1.2,IF(CU388&lt;1.4,1.4,IF(CU388&lt;1.6,1.6,IF(CU388&lt;1.8,1.8,IF(CU388&lt;2,2,2.2))))))))</f>
        <v>1.2</v>
      </c>
      <c r="FP388" s="23">
        <f>IF(CV388&lt;0.6,0.6,IF(CV388&lt;0.8,0.8,IF(CV388&lt;1,1,IF(CV388&lt;1.2,1.2,IF(CV388&lt;1.4,1.4,IF(CV388&lt;1.6,1.6,IF(CV388&lt;1.8,1.8,IF(CV388&lt;2,2,2.2))))))))</f>
        <v>1</v>
      </c>
      <c r="FQ388" s="23">
        <f>IF(DA388&lt;0.6,0.6,IF(DA388&lt;0.8,0.8,IF(DA388&lt;1,1,IF(DA388&lt;1.2,1.2,IF(DA388&lt;1.4,1.4,IF(DA388&lt;1.6,1.6,IF(DA388&lt;1.8,1.8,IF(DA388&lt;2,2,2.2))))))))</f>
        <v>1.4</v>
      </c>
      <c r="FR388" s="23">
        <f>IF(CX388&lt;0.6,0.6,IF(CX388&lt;0.8,0.8,IF(CX388&lt;1,1,IF(CX388&lt;1.2,1.2,IF(CX388&lt;1.4,1.4,IF(CX388&lt;1.6,1.6,IF(CX388&lt;1.8,1.8,IF(CX388&lt;2,2,2.2))))))))</f>
        <v>1.4</v>
      </c>
      <c r="FS388" s="23">
        <f>IF(CY388&lt;0.6,0.6,IF(CY388&lt;0.8,0.8,IF(CY388&lt;1,1,IF(CY388&lt;1.2,1.2,IF(CY388&lt;1.4,1.4,IF(CY388&lt;1.6,1.6,IF(CY388&lt;1.8,1.8,IF(CY388&lt;2,2,2.2))))))))</f>
        <v>1.6</v>
      </c>
      <c r="FT388" s="23">
        <f>IF(CZ388&lt;0.6,0.6,IF(CZ388&lt;0.8,0.8,IF(CZ388&lt;1,1,IF(CZ388&lt;1.2,1.2,IF(CZ388&lt;1.4,1.4,IF(CZ388&lt;1.6,1.6,IF(CZ388&lt;1.8,1.8,IF(CZ388&lt;2,2,2.2))))))))</f>
        <v>1.2</v>
      </c>
      <c r="FU388" s="23">
        <f>IF(FS388&lt;1,1,0)</f>
        <v>0</v>
      </c>
      <c r="FV388" s="23"/>
      <c r="GF388" s="4">
        <f>IF(S388&gt;=2.5*25.4,1,1.25)</f>
        <v>1</v>
      </c>
      <c r="GG388" s="4">
        <f>IF(AO388&gt;1, 0.05*(18-MIN(8,(W388+N388)/N388))*(1-48000/MAX(60000,(J388*145))*(N388/25.4)^0.75*GH388), 1/12*(14-MIN(8,(W388+N388)/N388)))</f>
        <v>0.73631284916201123</v>
      </c>
      <c r="GH388" s="4">
        <f>MIN(0.3, AM388^2*PI()/4*2*AP388/(N388^2*PI()/4*X388))</f>
        <v>0</v>
      </c>
      <c r="GI388" s="4">
        <f>(K388/25.4)/(N388/25.4)^1.5/0.0024*(M388*145)^0.25/GF388/GG388/145</f>
        <v>153.8704681487869</v>
      </c>
    </row>
    <row r="389" spans="1:191" ht="12" customHeight="1" x14ac:dyDescent="0.3">
      <c r="A389" s="25">
        <v>225</v>
      </c>
      <c r="B389" s="24" t="s">
        <v>182</v>
      </c>
      <c r="C389" s="4">
        <v>1996</v>
      </c>
      <c r="D389" s="24" t="s">
        <v>309</v>
      </c>
      <c r="E389" s="24"/>
      <c r="F389" s="24" t="s">
        <v>767</v>
      </c>
      <c r="G389" s="24"/>
      <c r="H389" s="4" t="s">
        <v>359</v>
      </c>
      <c r="I389" s="5">
        <f>K389/N389</f>
        <v>8.0314960629921259</v>
      </c>
      <c r="J389" s="103">
        <v>578</v>
      </c>
      <c r="K389" s="110">
        <f>305-U389-25</f>
        <v>204</v>
      </c>
      <c r="L389" s="7">
        <f>K389</f>
        <v>204</v>
      </c>
      <c r="M389" s="84">
        <v>33.299999999999997</v>
      </c>
      <c r="N389" s="112">
        <v>25.4</v>
      </c>
      <c r="O389" s="7">
        <f>K389/N389</f>
        <v>8.0314960629921259</v>
      </c>
      <c r="P389" s="7">
        <f>L389/N389</f>
        <v>8.0314960629921259</v>
      </c>
      <c r="Q389" s="7">
        <v>305</v>
      </c>
      <c r="R389" s="32">
        <f>S389/N389</f>
        <v>2.9921259842519685</v>
      </c>
      <c r="S389" s="7">
        <v>76</v>
      </c>
      <c r="T389" s="32">
        <f>U389/N389</f>
        <v>2.9921259842519685</v>
      </c>
      <c r="U389" s="7">
        <v>76</v>
      </c>
      <c r="V389" s="32">
        <f>W389/N389</f>
        <v>4.0236220472440944</v>
      </c>
      <c r="W389" s="7">
        <f>Q389-2*N389-2*S389</f>
        <v>102.19999999999999</v>
      </c>
      <c r="X389" s="7">
        <v>2</v>
      </c>
      <c r="Y389" s="7">
        <f>AN389</f>
        <v>0</v>
      </c>
      <c r="Z389" s="32">
        <f>AA389/N389</f>
        <v>11.023622047244094</v>
      </c>
      <c r="AA389" s="7">
        <f>775-(343+152)</f>
        <v>280</v>
      </c>
      <c r="AB389" s="7">
        <f>MIN(S389/N389+0.5, W389/2/N389+0.5)</f>
        <v>2.5118110236220472</v>
      </c>
      <c r="AC389" s="7">
        <f>S389/N389+0.5</f>
        <v>3.4921259842519685</v>
      </c>
      <c r="AD389" s="7">
        <f>3800/(N389^2*PI()/4)-1</f>
        <v>6.4993959172819435</v>
      </c>
      <c r="AE389" s="7">
        <f>3800/(N389^2*PI()/4)-1</f>
        <v>6.4993959172819435</v>
      </c>
      <c r="AF389" s="7">
        <f>AE389+1</f>
        <v>7.4993959172819435</v>
      </c>
      <c r="AG389" s="7">
        <f>N389*AF389^0.5</f>
        <v>69.557963383020478</v>
      </c>
      <c r="AH389" s="7">
        <f>J389</f>
        <v>578</v>
      </c>
      <c r="AI389" s="7">
        <v>25</v>
      </c>
      <c r="AJ389" s="7">
        <f>216*1000/(N389^2*PI()/4)</f>
        <v>426.28145214023681</v>
      </c>
      <c r="AK389" s="7"/>
      <c r="AL389" s="4">
        <f>CY389</f>
        <v>1.8155625474566859</v>
      </c>
      <c r="AM389" s="7">
        <v>0</v>
      </c>
      <c r="AN389" s="7">
        <v>0</v>
      </c>
      <c r="AO389" s="7">
        <f>L389</f>
        <v>204</v>
      </c>
      <c r="AP389" s="7"/>
      <c r="AQ389" s="7"/>
      <c r="AR389" s="7">
        <f>3*AS389/(W389+N389)</f>
        <v>4.7962382445141065</v>
      </c>
      <c r="AS389" s="4">
        <f>K389</f>
        <v>204</v>
      </c>
      <c r="AT389" s="4">
        <f>IF(K389*3&gt;W389+N389, Q389, (S389+N389/2)*2+1.5*K389*(2*X389-2))*(3*K389)/(9*K389^2)</f>
        <v>0.49836601307189543</v>
      </c>
      <c r="AU389" s="4">
        <f>MIN(10*M389^0.5*K389^1.5,100*3.9*M389^0.5*K389^(5/3))/(PI()/4*N389^2)/X389</f>
        <v>165.91286301077704</v>
      </c>
      <c r="AV389" s="4">
        <f>MIN(0.7+0.3*(MIN(S389,AA389)+0.5*N389)/1.5/K389,1)</f>
        <v>0.7869607843137254</v>
      </c>
      <c r="AW389" s="4">
        <v>1.25</v>
      </c>
      <c r="AX389" s="4">
        <f>AX388</f>
        <v>1</v>
      </c>
      <c r="AY389" s="38">
        <f>AT389*AV389*AW389*AX389*AU389</f>
        <v>81.33764220756234</v>
      </c>
      <c r="AZ389" s="38">
        <f>AY389</f>
        <v>81.33764220756234</v>
      </c>
      <c r="BA389" s="38">
        <f>IF(M389&lt;50, 0.3*M389^(2/3), 2.12*LN(1+0.1*(M389+8)))</f>
        <v>3.1051606722149665</v>
      </c>
      <c r="BB389" s="38">
        <f>AX389* (M389^0.5/AS389^0.5)/(PI()/4*N389^2)/X389/0.72 *(0.7+(MIN(S389,AA389)+0.5*N389)/5/K389) *(3*Q389*K389)</f>
        <v>81.337642207562396</v>
      </c>
      <c r="BC389" s="38">
        <f>AY389/BB389</f>
        <v>0.99999999999999933</v>
      </c>
      <c r="BD389" s="38">
        <f>BH389/BB389</f>
        <v>6.0618660879039128</v>
      </c>
      <c r="BE389" s="4">
        <f>IF(BD389&lt;1,1,0)</f>
        <v>0</v>
      </c>
      <c r="BF389" s="4">
        <f>L389/N389*M389^0.5/0.19</f>
        <v>243.92986004440246</v>
      </c>
      <c r="BG389" s="4">
        <f>MIN(0.6+0.4*(AC389/AB389),2)</f>
        <v>1.1561128526645768</v>
      </c>
      <c r="BH389" s="38">
        <f>2*M389*AB389*AD389^0.5*BG389*0.7/0.7</f>
        <v>493.05789496808444</v>
      </c>
      <c r="BI389" s="4">
        <f>MAX(1-0.7*AE389/5,0.3)</f>
        <v>0.3</v>
      </c>
      <c r="BJ389" s="4">
        <f>BI389*J389*L389/(J389*N389/2.75/M389^0.5)</f>
        <v>38.236005561960084</v>
      </c>
      <c r="BK389" s="4">
        <f>BH389+BJ389</f>
        <v>531.29390053004454</v>
      </c>
      <c r="BM389" s="4">
        <f>MIN(1.5, 0.75+0.25*MIN(3,MAX(1,S389/N389))+0.4*MIN(1,(40*2*PI()*AM389^2/4/AO389/X389)/N389))</f>
        <v>1.4980314960629921</v>
      </c>
      <c r="BN389" s="4">
        <f>(3*P389+30)*BM389*M389^0.5</f>
        <v>467.62322998001468</v>
      </c>
      <c r="BP389" s="4">
        <f>3.4/PI()^0.5*M389*AB389*AE389^0.5*BG389</f>
        <v>472.90281832586072</v>
      </c>
      <c r="BQ389" s="4">
        <f>8/3*AH389*AI389^2/(AG389-N389-22)/N389*(AG389^2-N389^2)/(AG389^2-(N389+22)^2)</f>
        <v>2769.4518574340823</v>
      </c>
      <c r="BR389" s="4">
        <f>BQ389/BP389</f>
        <v>5.8562811430016692</v>
      </c>
      <c r="BZ389" s="4">
        <f>IF(W389=0,S389,MIN(W389/2,S389))</f>
        <v>51.099999999999994</v>
      </c>
      <c r="CD389" s="9"/>
      <c r="CF389" s="9"/>
      <c r="CG389" s="9"/>
      <c r="CH389" s="9">
        <f>IF(W389=0,MIN(S389,U389),MIN(W389/2,S389,U389))</f>
        <v>51.099999999999994</v>
      </c>
      <c r="CI389" s="9">
        <f>MAX(W389/2,S389)</f>
        <v>76</v>
      </c>
      <c r="CJ389" s="9">
        <f>(CH389/N389)^0.5*(CI389/CH389)^0.15</f>
        <v>1.5054020239149992</v>
      </c>
      <c r="CK389" s="70">
        <v>0</v>
      </c>
      <c r="CL389" s="9">
        <f>MIN(PI()*AM389^2/4*AN389*2/X389/N389/MAX(0.01,AO389),0.05)</f>
        <v>0</v>
      </c>
      <c r="CM389" s="9">
        <f>MAX(0,CK389*(CL389-0.5/50))</f>
        <v>0</v>
      </c>
      <c r="CN389" s="9">
        <f>MIN(1,(25/N389)^0.3)</f>
        <v>0.99524931562137331</v>
      </c>
      <c r="CO389" s="9">
        <f>IF(J389&gt;=800,0.68,IF(J389&gt;=700,0.75-(J389-700)*0.07/100,IF(J389&gt;=600,0.85-(J389-600)*0.1/100,IF(J389&gt;=500,1-(J389-500)*0.15/100,1.2-(J389-400)*0.2/100))))</f>
        <v>0.88300000000000001</v>
      </c>
      <c r="CP389" s="9">
        <f>1.75*CN389*CO389*(M389/25)^0.5</f>
        <v>1.7749362217430373</v>
      </c>
      <c r="CQ389" s="9">
        <f>MIN((CJ389+CM389)*CP389,2.5*CP389,M389^0.5)</f>
        <v>2.6719925805320104</v>
      </c>
      <c r="CR389" s="9">
        <v>1</v>
      </c>
      <c r="CS389" s="9">
        <f>4*CQ389*P389+60*CQ389</f>
        <v>246.15994639546867</v>
      </c>
      <c r="CU389" s="4">
        <f>AJ389/BF389</f>
        <v>1.7475574825592937</v>
      </c>
      <c r="CV389" s="4">
        <f>AJ389/BK389</f>
        <v>0.8023458423199622</v>
      </c>
      <c r="CW389" s="4">
        <f>AJ389/BN389</f>
        <v>0.91159169350602032</v>
      </c>
      <c r="CX389" s="4">
        <f>AJ389/CS389</f>
        <v>1.7317254832977322</v>
      </c>
      <c r="CY389" s="4">
        <f>AJ389/DZ389</f>
        <v>1.8155625474566859</v>
      </c>
      <c r="CZ389" s="4">
        <f>AJ389/EL389</f>
        <v>1.162098744070923</v>
      </c>
      <c r="DA389" s="4">
        <f>AJ389/GI389</f>
        <v>1.4376383901517891</v>
      </c>
      <c r="DC389" s="4">
        <f>CU389</f>
        <v>1.7475574825592937</v>
      </c>
      <c r="DD389" s="4">
        <f>CV389</f>
        <v>0.8023458423199622</v>
      </c>
      <c r="DE389" s="4">
        <f>CX389</f>
        <v>1.7317254832977322</v>
      </c>
      <c r="DF389" s="4">
        <f>DA389</f>
        <v>1.4376383901517891</v>
      </c>
      <c r="DG389" s="4">
        <f>CY389</f>
        <v>1.8155625474566859</v>
      </c>
      <c r="DH389" s="4">
        <f>CZ389</f>
        <v>1.162098744070923</v>
      </c>
      <c r="DP389" s="4">
        <f>AN389</f>
        <v>0</v>
      </c>
      <c r="DQ389" s="4">
        <f>L389</f>
        <v>204</v>
      </c>
      <c r="DT389" s="4">
        <f>K389/4/(1-0.3*(M389/30)^0.5)/200000/N389</f>
        <v>1.4678935551750747E-5</v>
      </c>
      <c r="DU389" s="4">
        <f>EP389</f>
        <v>6.8950968880590437</v>
      </c>
      <c r="DV389" s="4">
        <f>EC389*AG389/257/M389/AD389</f>
        <v>0.10171572209695025</v>
      </c>
      <c r="DW389" s="4">
        <f>DU389*DV389^0.4</f>
        <v>2.7637299681170466</v>
      </c>
      <c r="DX389" s="4">
        <f>MIN(DU389, DU389/1.4*(1-DV389^1.4)/(1-DV389))</f>
        <v>5.2592180936868766</v>
      </c>
      <c r="DY389" s="4">
        <f>MAX(DU389/2, (4-DT389*(8*AG389*(DW389-DX389)+6*K389*DX389))/(4+DT389*K389*DU389)*DU389)</f>
        <v>6.7325977921161373</v>
      </c>
      <c r="DZ389" s="38">
        <f>MIN(1/N389*(4*AG389*(DW389-DX389)+(3*DX389+DY389)*K389)+EC389 -FJ389,MAX(J389,AJ389))</f>
        <v>234.7930412738406</v>
      </c>
      <c r="EA389" s="4">
        <f>DZ389/FF389</f>
        <v>1.0001113661335514</v>
      </c>
      <c r="EB389" s="4">
        <f>AG389/N389</f>
        <v>2.7385024953945072</v>
      </c>
      <c r="EC389" s="4">
        <f>MIN(EB$10*BB389)</f>
        <v>81.337642207562396</v>
      </c>
      <c r="EG389" s="4">
        <f>IF(U389&gt;1*N389,0.85,1)</f>
        <v>0.85</v>
      </c>
      <c r="EH389" s="4">
        <f>MIN(1,MAX(0.7,(1-0.1*(BZ389-1*N389)/N389)))</f>
        <v>0.89881889763779532</v>
      </c>
      <c r="EI389" s="4">
        <f>MIN(1,MAX(0.7,1-0.3*(PI()*AM389^2/4*AQ389*2-0.25*PI()/4*N389^2)/(PI()/4*N389^2)))</f>
        <v>1</v>
      </c>
      <c r="EJ389" s="4">
        <f>IF(EH389*EI389&lt;0.7,0.7,EH389*EI389)</f>
        <v>0.89881889763779532</v>
      </c>
      <c r="EL389" s="4">
        <f>MIN(DU389/N389*3*K389+EM389-FJ389,MAX(J389,AJ389))</f>
        <v>366.82033632266007</v>
      </c>
      <c r="EM389" s="25">
        <f>13.3*Q389*K389^0.5*M389^0.5/X389/N389^2*(0.7+S389/5/K389)</f>
        <v>200.68650579147365</v>
      </c>
      <c r="EO389" s="4">
        <f>EG389*EJ389</f>
        <v>0.76399606299212597</v>
      </c>
      <c r="EP389" s="4">
        <f>IF(N389&lt;22.2,1.1*5*(M389/30)^0.5,IF(N389&gt;=31.8,0.9*5*(M389/30)^0.5,1*5*(M389/30)^0.5))/EG389/EJ389</f>
        <v>6.8950968880590437</v>
      </c>
      <c r="ES389" s="4">
        <f>ET389*N389</f>
        <v>69.557963383020478</v>
      </c>
      <c r="ET389" s="4">
        <f>AF389^0.5</f>
        <v>2.7385024953945072</v>
      </c>
      <c r="EU389" s="4">
        <f>MIN(EC389)/(4700*M389^0.5)/AE389*ES389</f>
        <v>3.2095597772475483E-2</v>
      </c>
      <c r="EX389" s="4">
        <f>EU389</f>
        <v>3.2095597772475483E-2</v>
      </c>
      <c r="EY389" s="4">
        <f>MIN(0.999, EX389/(0.3*(M389/30)^0.5))</f>
        <v>0.10154597751400402</v>
      </c>
      <c r="EZ389" s="4">
        <f>EP389/1*EY389^0.4</f>
        <v>2.761884183584788</v>
      </c>
      <c r="FA389" s="4">
        <f>EP389/1.4*(1-EY389^1.4)/(1-EY389)</f>
        <v>5.2587464477146675</v>
      </c>
      <c r="FB389" s="4">
        <f>MAX(0,DQ389*FB$9-ES389)</f>
        <v>83.442036616979522</v>
      </c>
      <c r="FC389" s="4">
        <f>MAX(0,DQ389-ES389-FB389)</f>
        <v>51</v>
      </c>
      <c r="FD389" s="4">
        <f>FC389/(1-0.3*(M389/30)^0.5)/200000/N389</f>
        <v>1.4678935551750747E-5</v>
      </c>
      <c r="FE389" s="4">
        <f>MAX(0.5*EP389, (1-2*FD389*(ES389*EZ389+FB389*FA389))/(1/EP389+FD389*FC389))</f>
        <v>6.7326315734057891</v>
      </c>
      <c r="FF389" s="4">
        <f>MIN(4/N389*(1*EZ389*ES389+FA389*FB389+FC389*FE389)+EC389,MAX(J389,AJ389))</f>
        <v>234.76689619232579</v>
      </c>
      <c r="FO389" s="23">
        <f>IF(CU389&lt;0.6,0.6,IF(CU389&lt;0.8,0.8,IF(CU389&lt;1,1,IF(CU389&lt;1.2,1.2,IF(CU389&lt;1.4,1.4,IF(CU389&lt;1.6,1.6,IF(CU389&lt;1.8,1.8,IF(CU389&lt;2,2,2.2))))))))</f>
        <v>1.8</v>
      </c>
      <c r="FP389" s="23">
        <f>IF(CV389&lt;0.6,0.6,IF(CV389&lt;0.8,0.8,IF(CV389&lt;1,1,IF(CV389&lt;1.2,1.2,IF(CV389&lt;1.4,1.4,IF(CV389&lt;1.6,1.6,IF(CV389&lt;1.8,1.8,IF(CV389&lt;2,2,2.2))))))))</f>
        <v>1</v>
      </c>
      <c r="FQ389" s="23">
        <f>IF(DA389&lt;0.6,0.6,IF(DA389&lt;0.8,0.8,IF(DA389&lt;1,1,IF(DA389&lt;1.2,1.2,IF(DA389&lt;1.4,1.4,IF(DA389&lt;1.6,1.6,IF(DA389&lt;1.8,1.8,IF(DA389&lt;2,2,2.2))))))))</f>
        <v>1.6</v>
      </c>
      <c r="FR389" s="23">
        <f>IF(CX389&lt;0.6,0.6,IF(CX389&lt;0.8,0.8,IF(CX389&lt;1,1,IF(CX389&lt;1.2,1.2,IF(CX389&lt;1.4,1.4,IF(CX389&lt;1.6,1.6,IF(CX389&lt;1.8,1.8,IF(CX389&lt;2,2,2.2))))))))</f>
        <v>1.8</v>
      </c>
      <c r="FS389" s="23">
        <f>IF(CY389&lt;0.6,0.6,IF(CY389&lt;0.8,0.8,IF(CY389&lt;1,1,IF(CY389&lt;1.2,1.2,IF(CY389&lt;1.4,1.4,IF(CY389&lt;1.6,1.6,IF(CY389&lt;1.8,1.8,IF(CY389&lt;2,2,2.2))))))))</f>
        <v>2</v>
      </c>
      <c r="FT389" s="23">
        <f>IF(CZ389&lt;0.6,0.6,IF(CZ389&lt;0.8,0.8,IF(CZ389&lt;1,1,IF(CZ389&lt;1.2,1.2,IF(CZ389&lt;1.4,1.4,IF(CZ389&lt;1.6,1.6,IF(CZ389&lt;1.8,1.8,IF(CZ389&lt;2,2,2.2))))))))</f>
        <v>1.2</v>
      </c>
      <c r="FU389" s="23">
        <f>IF(FS389&lt;1,1,0)</f>
        <v>0</v>
      </c>
      <c r="FV389" s="23"/>
      <c r="GF389" s="4">
        <f>IF(S389&gt;=2.5*25.4,1,1.25)</f>
        <v>1</v>
      </c>
      <c r="GG389" s="4">
        <f>IF(AO389&gt;1, 0.05*(18-MIN(8,(W389+N389)/N389))*(1-48000/MAX(60000,(J389*145))*(N389/25.4)^0.75*GH389), 1/12*(14-MIN(8,(W389+N389)/N389)))</f>
        <v>0.64881889763779532</v>
      </c>
      <c r="GH389" s="4">
        <f>MIN(0.3, AM389^2*PI()/4*2*AP389/(N389^2*PI()/4*X389))</f>
        <v>0</v>
      </c>
      <c r="GI389" s="4">
        <f>(K389/25.4)/(N389/25.4)^1.5/0.0024*(M389*145)^0.25/GF389/GG389/145</f>
        <v>296.51507295602272</v>
      </c>
    </row>
    <row r="390" spans="1:191" ht="12" customHeight="1" x14ac:dyDescent="0.3">
      <c r="A390" s="25">
        <v>279</v>
      </c>
      <c r="B390" s="4" t="s">
        <v>605</v>
      </c>
      <c r="C390" s="4">
        <v>2016</v>
      </c>
      <c r="D390" s="4" t="s">
        <v>309</v>
      </c>
      <c r="E390" s="24" t="s">
        <v>666</v>
      </c>
      <c r="F390" s="24"/>
      <c r="G390" s="24">
        <v>47</v>
      </c>
      <c r="H390" s="48" t="s">
        <v>437</v>
      </c>
      <c r="I390" s="5">
        <f>K390/N390</f>
        <v>8</v>
      </c>
      <c r="J390" s="78">
        <f>115.9/0.145</f>
        <v>799.31034482758628</v>
      </c>
      <c r="K390" s="38">
        <f>8*25.4</f>
        <v>203.2</v>
      </c>
      <c r="L390" s="4">
        <f>K390</f>
        <v>203.2</v>
      </c>
      <c r="M390" s="38">
        <f>5900/145</f>
        <v>40.689655172413794</v>
      </c>
      <c r="N390" s="38">
        <f>1*25.4</f>
        <v>25.4</v>
      </c>
      <c r="O390" s="7">
        <f>K390/N390</f>
        <v>8</v>
      </c>
      <c r="P390" s="7">
        <f>L390/N390</f>
        <v>8</v>
      </c>
      <c r="Q390" s="38">
        <f>17.3*25.4</f>
        <v>439.42</v>
      </c>
      <c r="R390" s="32">
        <f>S390/N390</f>
        <v>2.6499999999999995</v>
      </c>
      <c r="S390" s="38">
        <f>2.65*25.4</f>
        <v>67.309999999999988</v>
      </c>
      <c r="T390" s="32">
        <f>U390/N390</f>
        <v>3.4000000000000004</v>
      </c>
      <c r="U390" s="39">
        <f>3.4*25.4</f>
        <v>86.36</v>
      </c>
      <c r="V390" s="32">
        <f>W390/N390</f>
        <v>10.000000000000002</v>
      </c>
      <c r="W390" s="7">
        <f>(Q390-X390*N390-2*S390)/(X390-1)</f>
        <v>254.00000000000003</v>
      </c>
      <c r="X390" s="38">
        <v>2</v>
      </c>
      <c r="Y390" s="7">
        <f>AN390</f>
        <v>10</v>
      </c>
      <c r="Z390" s="32">
        <f>AA390/N390</f>
        <v>10.25</v>
      </c>
      <c r="AA390" s="4">
        <f>10.25*25.4</f>
        <v>260.34999999999997</v>
      </c>
      <c r="AB390" s="7">
        <f>MIN(S390/N390+0.5, W390/2/N390+0.5)</f>
        <v>3.1499999999999995</v>
      </c>
      <c r="AC390" s="7">
        <f>S390/N390+0.5</f>
        <v>3.1499999999999995</v>
      </c>
      <c r="AD390" s="38">
        <v>4.5</v>
      </c>
      <c r="AE390" s="4">
        <f>AD390</f>
        <v>4.5</v>
      </c>
      <c r="AF390" s="4">
        <f>AE390+1</f>
        <v>5.5</v>
      </c>
      <c r="AG390" s="7">
        <f>N390*AF390^0.5</f>
        <v>59.568280149757555</v>
      </c>
      <c r="AJ390" s="38">
        <f>AK390/0.145</f>
        <v>597.24137931034488</v>
      </c>
      <c r="AK390" s="4">
        <v>86.6</v>
      </c>
      <c r="AL390" s="4">
        <f>CY390</f>
        <v>1.6590638296996747</v>
      </c>
      <c r="AM390" s="38">
        <f>0.5*25.4</f>
        <v>12.7</v>
      </c>
      <c r="AN390" s="38">
        <v>10</v>
      </c>
      <c r="AO390" s="39">
        <f>3*25.4</f>
        <v>76.199999999999989</v>
      </c>
      <c r="AP390" s="39">
        <v>3</v>
      </c>
      <c r="AQ390" s="39">
        <v>2</v>
      </c>
      <c r="AR390" s="7"/>
      <c r="AS390" s="4">
        <f>K390</f>
        <v>203.2</v>
      </c>
      <c r="AT390" s="4">
        <f>IF(K390*3&gt;W390+N390, Q390, (S390+N390/2)*2+1.5*K390*(2*X390-2))*(3*K390)/(9*K390^2)</f>
        <v>0.72083333333333333</v>
      </c>
      <c r="AU390" s="4">
        <f>MIN(10*M390^0.5*K390^1.5,100*3.9*M390^0.5*K390^(5/3))/(PI()/4*N390^2)/X390</f>
        <v>182.32249269813812</v>
      </c>
      <c r="AV390" s="4">
        <f>MIN(0.7+0.3*(MIN(S390,AA390)+0.5*N390)/1.5/K390,1)</f>
        <v>0.77874999999999994</v>
      </c>
      <c r="AW390" s="4">
        <v>1.25</v>
      </c>
      <c r="AX390" s="4">
        <f>AX389</f>
        <v>1</v>
      </c>
      <c r="AY390" s="38">
        <f>AT390*AV390*AW390*AX390*AU390</f>
        <v>127.93317669604575</v>
      </c>
      <c r="AZ390" s="38">
        <f>AY390</f>
        <v>127.93317669604575</v>
      </c>
      <c r="BA390" s="38">
        <f>IF(M390&lt;50, 0.3*M390^(2/3), 2.12*LN(1+0.1*(M390+8)))</f>
        <v>3.5490375497727622</v>
      </c>
      <c r="BB390" s="38">
        <f>AX390* (M390^0.5/AS390^0.5)/(PI()/4*N390^2)/X390/0.72 *(0.7+(MIN(S390,AA390)+0.5*N390)/5/K390) *(3*Q390*K390)</f>
        <v>127.93317669604581</v>
      </c>
      <c r="BC390" s="38">
        <f>AY390/BB390</f>
        <v>0.99999999999999956</v>
      </c>
      <c r="BD390" s="38">
        <f>BH390/BB390</f>
        <v>4.2505744934083021</v>
      </c>
      <c r="BE390" s="4">
        <f>IF(BD390&lt;1,1,0)</f>
        <v>0</v>
      </c>
      <c r="BF390" s="4">
        <f>L390/N390*M390^0.5/0.19</f>
        <v>268.58291977190015</v>
      </c>
      <c r="BG390" s="4">
        <f>MIN(0.6+0.4*(AC390/AB390),2)</f>
        <v>1</v>
      </c>
      <c r="BH390" s="38">
        <f>2*M390*AB390*AD390^0.5*BG390*0.7/0.7</f>
        <v>543.78949772490967</v>
      </c>
      <c r="BI390" s="4">
        <f>MAX(1-0.7*AE390/5,0.3)</f>
        <v>0.37</v>
      </c>
      <c r="BJ390" s="4">
        <f>BI390*J390*L390/(J390*N390/2.75/M390^0.5)</f>
        <v>51.923792964902589</v>
      </c>
      <c r="BK390" s="4">
        <f>BH390+BJ390</f>
        <v>595.71329068981231</v>
      </c>
      <c r="BM390" s="4">
        <f>MIN(1.5, 0.75+0.25*MIN(3,MAX(1,S390/N390))+0.4*MIN(1,(40*2*PI()*AM390^2/4/AO390/X390)/N390))</f>
        <v>1.5</v>
      </c>
      <c r="BN390" s="4">
        <f>(3*P390+30)*BM390*M390^0.5</f>
        <v>516.68639191119291</v>
      </c>
      <c r="BP390" s="4">
        <f>3.4/PI()^0.5*M390*AB390*AE390^0.5*BG390</f>
        <v>521.56062944040264</v>
      </c>
      <c r="BQ390" s="4">
        <f>8/3*AH390*AI390^2/(AG390-N390-22)/N390*(AG390^2-N390^2)/(AG390^2-(N390+22)^2)</f>
        <v>0</v>
      </c>
      <c r="BR390" s="4">
        <f>BQ390/BP390</f>
        <v>0</v>
      </c>
      <c r="BZ390" s="4">
        <f>IF(W390=0,S390,MIN(W390/2,S390))</f>
        <v>67.309999999999988</v>
      </c>
      <c r="CD390" s="9"/>
      <c r="CF390" s="9"/>
      <c r="CG390" s="9"/>
      <c r="CH390" s="9">
        <f>IF(W390=0,MIN(S390,U390),MIN(W390/2,S390,U390))</f>
        <v>67.309999999999988</v>
      </c>
      <c r="CI390" s="9">
        <f>MAX(W390/2,S390)</f>
        <v>127.00000000000001</v>
      </c>
      <c r="CJ390" s="9">
        <f>(CH390/N390)^0.5*(CI390/CH390)^0.15</f>
        <v>1.7905298128039189</v>
      </c>
      <c r="CK390" s="70">
        <f>IF(AO390&gt;1,20,0)</f>
        <v>20</v>
      </c>
      <c r="CL390" s="9">
        <f>MIN(PI()*AM390^2/4*AN390*2/X390/N390/MAX(0.01,AO390),0.05)</f>
        <v>0.05</v>
      </c>
      <c r="CM390" s="9">
        <f>MAX(0,CK390*(CL390-0.5/50))</f>
        <v>0.8</v>
      </c>
      <c r="CN390" s="9">
        <f>MIN(1,(25/N390)^0.3)</f>
        <v>0.99524931562137331</v>
      </c>
      <c r="CO390" s="9">
        <f>IF(J390&gt;=800,0.68,IF(J390&gt;=700,0.75-(J390-700)*0.07/100,IF(J390&gt;=600,0.85-(J390-600)*0.1/100,IF(J390&gt;=500,1-(J390-500)*0.15/100,1.2-(J390-400)*0.2/100))))</f>
        <v>0.68048275862068963</v>
      </c>
      <c r="CP390" s="9">
        <f>1.75*CN390*CO390*(M390/25)^0.5</f>
        <v>1.51202531590344</v>
      </c>
      <c r="CQ390" s="9">
        <f>MIN((CJ390+CM390)*CP390,2.5*CP390,M390^0.5)</f>
        <v>3.7800632897586</v>
      </c>
      <c r="CR390" s="40">
        <v>1</v>
      </c>
      <c r="CS390" s="9">
        <f>4*CQ390*P390+60*CQ390</f>
        <v>347.7658226577912</v>
      </c>
      <c r="CU390" s="4">
        <f>AJ390/BF390</f>
        <v>2.2236759501220891</v>
      </c>
      <c r="CV390" s="4">
        <f>AJ390/BK390</f>
        <v>1.0025651410576439</v>
      </c>
      <c r="CW390" s="4">
        <f>AJ390/BN390</f>
        <v>1.1559069266391626</v>
      </c>
      <c r="CX390" s="4">
        <f>AJ390/CS390</f>
        <v>1.7173665161974321</v>
      </c>
      <c r="CY390" s="4">
        <f>AJ390/DZ390</f>
        <v>1.6590638296996747</v>
      </c>
      <c r="CZ390" s="4">
        <f>AJ390/EL390</f>
        <v>1.0849879495526928</v>
      </c>
      <c r="DA390" s="4">
        <f>AJ390/GI390</f>
        <v>1.2980121403329294</v>
      </c>
      <c r="DB390" s="4">
        <f>AN390</f>
        <v>10</v>
      </c>
      <c r="DI390" s="4">
        <f>CU390</f>
        <v>2.2236759501220891</v>
      </c>
      <c r="DJ390" s="4">
        <f>CV390</f>
        <v>1.0025651410576439</v>
      </c>
      <c r="DK390" s="4">
        <f>CX390</f>
        <v>1.7173665161974321</v>
      </c>
      <c r="DL390" s="4">
        <f>DA390</f>
        <v>1.2980121403329294</v>
      </c>
      <c r="DM390" s="4">
        <f>CY390</f>
        <v>1.6590638296996747</v>
      </c>
      <c r="DN390" s="4">
        <f>CZ390</f>
        <v>1.0849879495526928</v>
      </c>
      <c r="DQ390" s="4">
        <f>L390</f>
        <v>203.2</v>
      </c>
      <c r="DT390" s="4">
        <f>K390/4/(1-0.3*(M390/30)^0.5)/200000/N390</f>
        <v>1.5370042074309613E-5</v>
      </c>
      <c r="DU390" s="4">
        <f>EP390</f>
        <v>9.7866580905942957</v>
      </c>
      <c r="DV390" s="4">
        <f>EC390*AG390/257/M390/AD390</f>
        <v>0.16194539338189909</v>
      </c>
      <c r="DW390" s="4">
        <f>DU390*DV390^0.4</f>
        <v>4.7247828744430578</v>
      </c>
      <c r="DX390" s="4">
        <f>MIN(DU390, DU390/1.4*(1-DV390^1.4)/(1-DV390))</f>
        <v>7.689152266712127</v>
      </c>
      <c r="DY390" s="4">
        <f>MAX(DU390/2, (4-DT390*(8*AG390*(DW390-DX390)+6*K390*DX390))/(4+DT390*K390*DU390)*DU390)</f>
        <v>9.4152999644915667</v>
      </c>
      <c r="DZ390" s="38">
        <f>MIN(1/N390*(4*AG390*(DW390-DX390)+(3*DX390+DY390)*K390)+EC390 -FJ390,MAX(J390,AJ390))</f>
        <v>359.98698098219529</v>
      </c>
      <c r="EA390" s="4">
        <f>DZ390/FF390</f>
        <v>1.0001192361671456</v>
      </c>
      <c r="EB390" s="4">
        <f>AG390/N390</f>
        <v>2.3452078799117149</v>
      </c>
      <c r="EC390" s="4">
        <f>MIN(EB$10*BB390)</f>
        <v>127.93317669604581</v>
      </c>
      <c r="EG390" s="4">
        <f>IF(U390&gt;1*N390,0.85,1)</f>
        <v>0.85</v>
      </c>
      <c r="EH390" s="4">
        <f>MIN(1,MAX(0.7,(1-0.1*(BZ390-1*N390)/N390)))</f>
        <v>0.83499999999999996</v>
      </c>
      <c r="EI390" s="4">
        <f>MIN(1,MAX(0.7,1-0.3*(PI()*AM390^2/4*AQ390*2-0.25*PI()/4*N390^2)/(PI()/4*N390^2)))</f>
        <v>0.77500000000000002</v>
      </c>
      <c r="EJ390" s="4">
        <f>IF(EH390*EI390&lt;0.7,0.7,EH390*EI390)</f>
        <v>0.7</v>
      </c>
      <c r="EL390" s="4">
        <f>MIN(DU390/N390*3*K390+EM390-FJ390,MAX(J390,AJ390))</f>
        <v>550.45899777649061</v>
      </c>
      <c r="EM390" s="25">
        <f>13.3*Q390*K390^0.5*M390^0.5/X390/N390^2*(0.7+S390/5/K390)</f>
        <v>315.57920360222749</v>
      </c>
      <c r="EO390" s="4">
        <f>EG390*EJ390</f>
        <v>0.59499999999999997</v>
      </c>
      <c r="EP390" s="4">
        <f>IF(N390&lt;22.2,1.1*5*(M390/30)^0.5,IF(N390&gt;=31.8,0.9*5*(M390/30)^0.5,1*5*(M390/30)^0.5))/EG390/EJ390</f>
        <v>9.7866580905942957</v>
      </c>
      <c r="ES390" s="4">
        <f>ET390*N390</f>
        <v>59.568280149757555</v>
      </c>
      <c r="ET390" s="4">
        <f>AF390^0.5</f>
        <v>2.3452078799117149</v>
      </c>
      <c r="EU390" s="4">
        <f>MIN(EC390)/(4700*M390^0.5)/AE390*ES390</f>
        <v>5.6486656462398165E-2</v>
      </c>
      <c r="EX390" s="4">
        <f>EU390</f>
        <v>5.6486656462398165E-2</v>
      </c>
      <c r="EY390" s="4">
        <f>MIN(0.999, EX390/(0.3*(M390/30)^0.5))</f>
        <v>0.16167513670286304</v>
      </c>
      <c r="EZ390" s="4">
        <f>EP390/1*EY390^0.4</f>
        <v>4.7216273812333256</v>
      </c>
      <c r="FA390" s="4">
        <f>EP390/1.4*(1-EY390^1.4)/(1-EY390)</f>
        <v>7.6881961135693242</v>
      </c>
      <c r="FB390" s="4">
        <f>MAX(0,DQ390*FB$9-ES390)</f>
        <v>92.831719850242422</v>
      </c>
      <c r="FC390" s="4">
        <f>MAX(0,DQ390-ES390-FB390)</f>
        <v>50.800000000000011</v>
      </c>
      <c r="FD390" s="4">
        <f>FC390/(1-0.3*(M390/30)^0.5)/200000/N390</f>
        <v>1.537004207430962E-5</v>
      </c>
      <c r="FE390" s="4">
        <f>MAX(0.5*EP390, (1-2*FD390*(ES390*EZ390+FB390*FA390))/(1/EP390+FD390*FC390))</f>
        <v>9.4153825849458848</v>
      </c>
      <c r="FF390" s="4">
        <f>MIN(4/N390*(1*EZ390*ES390+FA390*FB390+FC390*FE390)+EC390,MAX(J390,AJ390))</f>
        <v>359.94406263178024</v>
      </c>
      <c r="FI390" s="4">
        <f>5.25*25.4</f>
        <v>133.35</v>
      </c>
      <c r="FO390" s="23">
        <f>IF(CU390&lt;0.6,0.6,IF(CU390&lt;0.8,0.8,IF(CU390&lt;1,1,IF(CU390&lt;1.2,1.2,IF(CU390&lt;1.4,1.4,IF(CU390&lt;1.6,1.6,IF(CU390&lt;1.8,1.8,IF(CU390&lt;2,2,2.2))))))))</f>
        <v>2.2000000000000002</v>
      </c>
      <c r="FP390" s="23">
        <f>IF(CV390&lt;0.6,0.6,IF(CV390&lt;0.8,0.8,IF(CV390&lt;1,1,IF(CV390&lt;1.2,1.2,IF(CV390&lt;1.4,1.4,IF(CV390&lt;1.6,1.6,IF(CV390&lt;1.8,1.8,IF(CV390&lt;2,2,2.2))))))))</f>
        <v>1.2</v>
      </c>
      <c r="FQ390" s="23">
        <f>IF(DA390&lt;0.6,0.6,IF(DA390&lt;0.8,0.8,IF(DA390&lt;1,1,IF(DA390&lt;1.2,1.2,IF(DA390&lt;1.4,1.4,IF(DA390&lt;1.6,1.6,IF(DA390&lt;1.8,1.8,IF(DA390&lt;2,2,2.2))))))))</f>
        <v>1.4</v>
      </c>
      <c r="FR390" s="23">
        <f>IF(CX390&lt;0.6,0.6,IF(CX390&lt;0.8,0.8,IF(CX390&lt;1,1,IF(CX390&lt;1.2,1.2,IF(CX390&lt;1.4,1.4,IF(CX390&lt;1.6,1.6,IF(CX390&lt;1.8,1.8,IF(CX390&lt;2,2,2.2))))))))</f>
        <v>1.8</v>
      </c>
      <c r="FS390" s="23">
        <f>IF(CY390&lt;0.6,0.6,IF(CY390&lt;0.8,0.8,IF(CY390&lt;1,1,IF(CY390&lt;1.2,1.2,IF(CY390&lt;1.4,1.4,IF(CY390&lt;1.6,1.6,IF(CY390&lt;1.8,1.8,IF(CY390&lt;2,2,2.2))))))))</f>
        <v>1.8</v>
      </c>
      <c r="FT390" s="23">
        <f>IF(CZ390&lt;0.6,0.6,IF(CZ390&lt;0.8,0.8,IF(CZ390&lt;1,1,IF(CZ390&lt;1.2,1.2,IF(CZ390&lt;1.4,1.4,IF(CZ390&lt;1.6,1.6,IF(CZ390&lt;1.8,1.8,IF(CZ390&lt;2,2,2.2))))))))</f>
        <v>1.2</v>
      </c>
      <c r="FU390" s="23">
        <f>IF(FS390&lt;1,1,0)</f>
        <v>0</v>
      </c>
      <c r="FV390" s="23"/>
      <c r="GF390" s="4">
        <f>IF(S390&gt;=2.5*25.4,1,1.25)</f>
        <v>1</v>
      </c>
      <c r="GG390" s="4">
        <f>IF(AO390&gt;1, 0.05*(18-MIN(8,(W390+N390)/N390))*(1-48000/MAX(60000,(J390*145))*(N390/25.4)^0.75*GH390), 1/12*(14-MIN(8,(W390+N390)/N390)))</f>
        <v>0.43787748058671272</v>
      </c>
      <c r="GH390" s="4">
        <f>MIN(0.3, AM390^2*PI()/4*2*AP390/(N390^2*PI()/4*X390))</f>
        <v>0.3</v>
      </c>
      <c r="GI390" s="4">
        <f>(K390/25.4)/(N390/25.4)^1.5/0.0024*(M390*145)^0.25/GF390/GG390/145</f>
        <v>460.12002565488899</v>
      </c>
    </row>
    <row r="391" spans="1:191" ht="12" customHeight="1" x14ac:dyDescent="0.3">
      <c r="A391" s="25">
        <v>192</v>
      </c>
      <c r="B391" s="24" t="s">
        <v>128</v>
      </c>
      <c r="C391" s="24">
        <v>2017</v>
      </c>
      <c r="D391" s="24" t="s">
        <v>309</v>
      </c>
      <c r="E391" s="24"/>
      <c r="F391" s="115" t="s">
        <v>791</v>
      </c>
      <c r="G391" s="109"/>
      <c r="H391" s="4" t="s">
        <v>324</v>
      </c>
      <c r="I391" s="5">
        <f>K391/N391</f>
        <v>6</v>
      </c>
      <c r="J391" s="7">
        <v>649</v>
      </c>
      <c r="K391" s="106">
        <f>6*N391</f>
        <v>190.8</v>
      </c>
      <c r="L391" s="7">
        <f>K391</f>
        <v>190.8</v>
      </c>
      <c r="M391" s="10">
        <v>129.9</v>
      </c>
      <c r="N391" s="21">
        <v>31.8</v>
      </c>
      <c r="O391" s="7">
        <f>K391/N391</f>
        <v>6</v>
      </c>
      <c r="P391" s="7">
        <f>L391/N391</f>
        <v>6</v>
      </c>
      <c r="Q391" s="7">
        <v>396</v>
      </c>
      <c r="R391" s="32">
        <f>S391/N391</f>
        <v>1</v>
      </c>
      <c r="S391" s="7">
        <f>1*N391</f>
        <v>31.8</v>
      </c>
      <c r="T391" s="32">
        <f>U391/N391</f>
        <v>2.0503144654088046</v>
      </c>
      <c r="U391" s="7">
        <f>256-L391</f>
        <v>65.199999999999989</v>
      </c>
      <c r="V391" s="32">
        <f>W391/N391</f>
        <v>8.4528301886792434</v>
      </c>
      <c r="W391" s="7">
        <f>Q391-2*N391-2*S391</f>
        <v>268.79999999999995</v>
      </c>
      <c r="X391" s="7">
        <v>2</v>
      </c>
      <c r="Y391" s="7">
        <f>AN391</f>
        <v>0</v>
      </c>
      <c r="Z391" s="32">
        <f>AA391/N391</f>
        <v>4</v>
      </c>
      <c r="AA391" s="10">
        <f>2/3*K391</f>
        <v>127.2</v>
      </c>
      <c r="AB391" s="7">
        <f>MIN(S391/N391+0.5, W391/2/N391+0.5)</f>
        <v>1.5</v>
      </c>
      <c r="AC391" s="7">
        <f>S391/N391+0.5</f>
        <v>1.5</v>
      </c>
      <c r="AD391" s="7">
        <f>2040/510</f>
        <v>4</v>
      </c>
      <c r="AE391" s="7">
        <f>2040/510</f>
        <v>4</v>
      </c>
      <c r="AF391" s="7">
        <f>AE391+1</f>
        <v>5</v>
      </c>
      <c r="AG391" s="7">
        <f>N391*AF391^0.5</f>
        <v>71.106961684493314</v>
      </c>
      <c r="AH391" s="7">
        <f>J391</f>
        <v>649</v>
      </c>
      <c r="AI391" s="7">
        <v>11</v>
      </c>
      <c r="AJ391" s="7">
        <f>(723+708)/2</f>
        <v>715.5</v>
      </c>
      <c r="AK391" s="7"/>
      <c r="AL391" s="4">
        <f>CY391</f>
        <v>2.4380497966331038</v>
      </c>
      <c r="AM391" s="7">
        <v>0</v>
      </c>
      <c r="AN391" s="7">
        <v>0</v>
      </c>
      <c r="AO391" s="7">
        <f>L391</f>
        <v>190.8</v>
      </c>
      <c r="AP391" s="7"/>
      <c r="AQ391" s="7"/>
      <c r="AR391" s="7">
        <f>3*AS391/(W391+N391)</f>
        <v>1.9041916167664676</v>
      </c>
      <c r="AS391" s="4">
        <f>K391</f>
        <v>190.8</v>
      </c>
      <c r="AT391" s="4">
        <f>IF(K391*3&gt;W391+N391, Q391, (S391+N391/2)*2+1.5*K391*(2*X391-2))*(3*K391)/(9*K391^2)</f>
        <v>0.69182389937106914</v>
      </c>
      <c r="AU391" s="4">
        <f>MIN(10*M391^0.5*K391^1.5,100*3.9*M391^0.5*K391^(5/3))/(PI()/4*N391^2)/X391</f>
        <v>189.10282381875894</v>
      </c>
      <c r="AV391" s="4">
        <f>MIN(0.7+0.3*(MIN(S391,AA391)+0.5*N391)/1.5/K391,1)</f>
        <v>0.75</v>
      </c>
      <c r="AW391" s="4">
        <v>1.25</v>
      </c>
      <c r="AX391" s="47">
        <f>AX390</f>
        <v>1</v>
      </c>
      <c r="AY391" s="38">
        <f>AT391*AV391*AW391*AX391*AU391</f>
        <v>122.64923714660074</v>
      </c>
      <c r="AZ391" s="38">
        <f>AY391</f>
        <v>122.64923714660074</v>
      </c>
      <c r="BA391" s="38">
        <f>IF(M391&lt;50, 0.3*M391^(2/3), 2.12*LN(1+0.1*(M391+8)))</f>
        <v>5.7111767066521422</v>
      </c>
      <c r="BB391" s="38">
        <f>AX391* (M391^0.5/AS391^0.5)/(PI()/4*N391^2)/X391/0.72 *(0.7+(MIN(S391,AA391)+0.5*N391)/5/K391) *(3*Q391*K391)</f>
        <v>122.6492371466007</v>
      </c>
      <c r="BC391" s="38">
        <f>AY391/BB391</f>
        <v>1.0000000000000004</v>
      </c>
      <c r="BD391" s="38">
        <f>BH391/BB391</f>
        <v>6.3547072785165026</v>
      </c>
      <c r="BE391" s="4">
        <f>IF(BD391&lt;1,1,0)</f>
        <v>0</v>
      </c>
      <c r="BF391" s="4">
        <f>L391/N391*M391^0.5/0.19</f>
        <v>359.91688791300993</v>
      </c>
      <c r="BG391" s="4">
        <f>MIN(0.6+0.4*(AC391/AB391),2)</f>
        <v>1</v>
      </c>
      <c r="BH391" s="38">
        <f>2*M391*AB391*AD391^0.5*BG391*0.7/0.7</f>
        <v>779.40000000000009</v>
      </c>
      <c r="BI391" s="4">
        <f>MAX(1-0.7*AE391/5,0.3)</f>
        <v>0.44000000000000006</v>
      </c>
      <c r="BJ391" s="4">
        <f>BI391*J391*L391/(J391*N391/2.75/M391^0.5)</f>
        <v>82.744892531200989</v>
      </c>
      <c r="BK391" s="4">
        <f>BH391+BJ391</f>
        <v>862.14489253120109</v>
      </c>
      <c r="BM391" s="4">
        <f>MIN(1.5, 0.75+0.25*MIN(3,MAX(1,S391/N391))+0.4*MIN(1,(40*2*PI()*AM391^2/4/AO391/X391)/N391))</f>
        <v>1</v>
      </c>
      <c r="BN391" s="4">
        <f>(3*P391+30)*BM391*M391^0.5</f>
        <v>547.07366962777508</v>
      </c>
      <c r="BP391" s="4">
        <f>3.4/PI()^0.5*M391*AB391*AE391^0.5*BG391</f>
        <v>747.53991440910613</v>
      </c>
      <c r="BQ391" s="4">
        <f>8/3*AH391*AI391^2/(AG391-N391-22)/N391*(AG391^2-N391^2)/(AG391^2-(N391+22)^2)</f>
        <v>711.96329095823319</v>
      </c>
      <c r="BR391" s="4">
        <f>BQ391/BP391</f>
        <v>0.95240839617374207</v>
      </c>
      <c r="BZ391" s="4">
        <f>IF(W391=0,S391,MIN(W391/2,S391))</f>
        <v>31.8</v>
      </c>
      <c r="CD391" s="9"/>
      <c r="CF391" s="9"/>
      <c r="CG391" s="9"/>
      <c r="CH391" s="9">
        <f>IF(W391=0,MIN(S391,U391),MIN(W391/2,S391,U391))</f>
        <v>31.8</v>
      </c>
      <c r="CI391" s="9">
        <f>MAX(W391/2,S391)</f>
        <v>134.39999999999998</v>
      </c>
      <c r="CJ391" s="9">
        <f>(CH391/N391)^0.5*(CI391/CH391)^0.15</f>
        <v>1.2413544982455165</v>
      </c>
      <c r="CK391" s="70">
        <v>0</v>
      </c>
      <c r="CL391" s="9">
        <f>MIN(PI()*AM391^2/4*AN391*2/X391/N391/MAX(0.01,AO391),0.05)</f>
        <v>0</v>
      </c>
      <c r="CM391" s="9">
        <f>MAX(0,CK391*(CL391-0.5/50))</f>
        <v>0</v>
      </c>
      <c r="CN391" s="9">
        <f>MIN(1,(25/N391)^0.3)</f>
        <v>0.93036607665491811</v>
      </c>
      <c r="CO391" s="9">
        <f>IF(J391&gt;=800,0.68,IF(J391&gt;=700,0.75-(J391-700)*0.07/100,IF(J391&gt;=600,0.85-(J391-600)*0.1/100,IF(J391&gt;=500,1-(J391-500)*0.15/100,1.2-(J391-400)*0.2/100))))</f>
        <v>0.80099999999999993</v>
      </c>
      <c r="CP391" s="9">
        <f>1.75*CN391*CO391*(M391/25)^0.5</f>
        <v>2.9727542082721463</v>
      </c>
      <c r="CQ391" s="9">
        <f>MIN((CJ391+CM391)*CP391,2.5*CP391,M391^0.5)</f>
        <v>3.6902418086169178</v>
      </c>
      <c r="CR391" s="9">
        <v>1</v>
      </c>
      <c r="CS391" s="9">
        <f>4*CQ391*P391+60*CQ391</f>
        <v>309.98031192382109</v>
      </c>
      <c r="CU391" s="4">
        <f>AJ391/BF391</f>
        <v>1.9879589539375342</v>
      </c>
      <c r="CV391" s="4">
        <f>AJ391/BK391</f>
        <v>0.82990690567027392</v>
      </c>
      <c r="CW391" s="4">
        <f>AJ391/BN391</f>
        <v>1.307867732853641</v>
      </c>
      <c r="CX391" s="4">
        <f>AJ391/CS391</f>
        <v>2.3082111104392879</v>
      </c>
      <c r="CY391" s="44">
        <f>AJ391/DZ391</f>
        <v>2.4380497966331038</v>
      </c>
      <c r="CZ391" s="4">
        <f>AJ391/EL391</f>
        <v>1</v>
      </c>
      <c r="DA391" s="4">
        <f>AJ391/GI391</f>
        <v>2.4772512849863699</v>
      </c>
      <c r="DC391" s="4">
        <f>CU391</f>
        <v>1.9879589539375342</v>
      </c>
      <c r="DD391" s="4">
        <f>CV391</f>
        <v>0.82990690567027392</v>
      </c>
      <c r="DE391" s="4">
        <f>CX391</f>
        <v>2.3082111104392879</v>
      </c>
      <c r="DF391" s="4">
        <f>DA391</f>
        <v>2.4772512849863699</v>
      </c>
      <c r="DG391" s="4">
        <f>CY391</f>
        <v>2.4380497966331038</v>
      </c>
      <c r="DH391" s="4">
        <f>CZ391</f>
        <v>1</v>
      </c>
      <c r="DP391" s="4">
        <f>AN391</f>
        <v>0</v>
      </c>
      <c r="DQ391" s="4">
        <f>L391</f>
        <v>190.8</v>
      </c>
      <c r="DT391" s="4">
        <f>K391/4/(1-0.3*(M391/30)^0.5)/200000/N391</f>
        <v>1.9960587760943931E-5</v>
      </c>
      <c r="DU391" s="4">
        <f>EP391</f>
        <v>11.016345201186075</v>
      </c>
      <c r="DV391" s="4">
        <f>EC391*AG391/257/M391/AD391</f>
        <v>6.5309251702264745E-2</v>
      </c>
      <c r="DW391" s="4">
        <f>DU391*DV391^0.4</f>
        <v>3.6985152975109146</v>
      </c>
      <c r="DX391" s="4">
        <f>MIN(DU391, DU391/1.4*(1-DV391^1.4)/(1-DV391))</f>
        <v>8.2340434556405722</v>
      </c>
      <c r="DY391" s="4">
        <f>MAX(DU391/2, (4-DT391*(8*AG391*(DW391-DX391)+6*K391*DX391))/(4+DT391*K391*DU391)*DU391)</f>
        <v>10.529540732334025</v>
      </c>
      <c r="DZ391" s="38">
        <f>MIN(1/N391*(4*AG391*(DW391-DX391)+(3*DX391+DY391)*K391)+EC391 -FJ391,MAX(J391,AJ391))</f>
        <v>293.47226664036583</v>
      </c>
      <c r="EA391" s="4">
        <f>DZ391/FF391</f>
        <v>1.0000897100194308</v>
      </c>
      <c r="EB391" s="4">
        <f>AG391/N391</f>
        <v>2.2360679774997898</v>
      </c>
      <c r="EC391" s="4">
        <f>MIN(EB$10*BB391)</f>
        <v>122.6492371466007</v>
      </c>
      <c r="EG391" s="4">
        <f>IF(U391&gt;1*N391,0.85,1)</f>
        <v>0.85</v>
      </c>
      <c r="EH391" s="4">
        <f>MIN(1,MAX(0.7,(1-0.1*(BZ391-1*N391)/N391)))</f>
        <v>1</v>
      </c>
      <c r="EI391" s="4">
        <f>MIN(1,MAX(0.7,1-0.3*(PI()*AM391^2/4*AQ391*2-0.25*PI()/4*N391^2)/(PI()/4*N391^2)))</f>
        <v>1</v>
      </c>
      <c r="EJ391" s="4">
        <f>IF(EH391*EI391&lt;0.7,0.7,EH391*EI391)</f>
        <v>1</v>
      </c>
      <c r="EL391" s="4">
        <f>MIN(DU391/N391*3*K391+EM391-FJ391,MAX(J391,AJ391))</f>
        <v>715.5</v>
      </c>
      <c r="EM391" s="25">
        <f>26.5*Q391*K391^0.5*M391^0.5/X391/N391^2*(0.7+S391/5/K391)</f>
        <v>599.03474243278185</v>
      </c>
      <c r="EP391" s="4">
        <f>IF(N391&lt;22.2,1.1*5*(M391/30)^0.5,IF(N391&gt;=31.8,0.9*5*(M391/30)^0.5,1*5*(M391/30)^0.5))/EG391/EJ391</f>
        <v>11.016345201186075</v>
      </c>
      <c r="ES391" s="4">
        <f>ET391*N391</f>
        <v>71.106961684493314</v>
      </c>
      <c r="ET391" s="4">
        <f>AF391^0.5</f>
        <v>2.2360679774997898</v>
      </c>
      <c r="EU391" s="4">
        <f>MIN(EC391)/(4700*M391^0.5)/AE391*ES391</f>
        <v>4.0701887417004944E-2</v>
      </c>
      <c r="EX391" s="4">
        <f>EU391</f>
        <v>4.0701887417004944E-2</v>
      </c>
      <c r="EY391" s="4">
        <f>MIN(0.999, EX391/(0.3*(M391/30)^0.5))</f>
        <v>6.5200262733163566E-2</v>
      </c>
      <c r="EZ391" s="4">
        <f>EP391/1*EY391^0.4</f>
        <v>3.696045207304123</v>
      </c>
      <c r="FA391" s="4">
        <f>EP391/1.4*(1-EY391^1.4)/(1-EY391)</f>
        <v>8.2335145112021202</v>
      </c>
      <c r="FB391" s="4">
        <f>MAX(0,DQ391*FB$9-ES391)</f>
        <v>71.993038315506709</v>
      </c>
      <c r="FC391" s="4">
        <f>MAX(0,DQ391-ES391-FB391)</f>
        <v>47.699999999999989</v>
      </c>
      <c r="FD391" s="4">
        <f>FC391/(1-0.3*(M391/30)^0.5)/200000/N391</f>
        <v>1.9960587760943925E-5</v>
      </c>
      <c r="FE391" s="4">
        <f>MAX(0.5*EP391, (1-2*FD391*(ES391*EZ391+FB391*FA391))/(1/EP391+FD391*FC391))</f>
        <v>10.529633748057091</v>
      </c>
      <c r="FF391" s="4">
        <f>MIN(4/N391*(1*EZ391*ES391+FA391*FB391+FC391*FE391)+EC391,MAX(J391,AJ391))</f>
        <v>293.4459415992431</v>
      </c>
      <c r="FO391" s="23">
        <f>IF(CU391&lt;0.6,0.6,IF(CU391&lt;0.8,0.8,IF(CU391&lt;1,1,IF(CU391&lt;1.2,1.2,IF(CU391&lt;1.4,1.4,IF(CU391&lt;1.6,1.6,IF(CU391&lt;1.8,1.8,IF(CU391&lt;2,2,2.2))))))))</f>
        <v>2</v>
      </c>
      <c r="FP391" s="23">
        <f>IF(CV391&lt;0.6,0.6,IF(CV391&lt;0.8,0.8,IF(CV391&lt;1,1,IF(CV391&lt;1.2,1.2,IF(CV391&lt;1.4,1.4,IF(CV391&lt;1.6,1.6,IF(CV391&lt;1.8,1.8,IF(CV391&lt;2,2,2.2))))))))</f>
        <v>1</v>
      </c>
      <c r="FQ391" s="23">
        <f>IF(DA391&lt;0.6,0.6,IF(DA391&lt;0.8,0.8,IF(DA391&lt;1,1,IF(DA391&lt;1.2,1.2,IF(DA391&lt;1.4,1.4,IF(DA391&lt;1.6,1.6,IF(DA391&lt;1.8,1.8,IF(DA391&lt;2,2,2.2))))))))</f>
        <v>2.2000000000000002</v>
      </c>
      <c r="FR391" s="23">
        <f>IF(CX391&lt;0.6,0.6,IF(CX391&lt;0.8,0.8,IF(CX391&lt;1,1,IF(CX391&lt;1.2,1.2,IF(CX391&lt;1.4,1.4,IF(CX391&lt;1.6,1.6,IF(CX391&lt;1.8,1.8,IF(CX391&lt;2,2,2.2))))))))</f>
        <v>2.2000000000000002</v>
      </c>
      <c r="FS391" s="23">
        <f>IF(CY391&lt;0.6,0.6,IF(CY391&lt;0.8,0.8,IF(CY391&lt;1,1,IF(CY391&lt;1.2,1.2,IF(CY391&lt;1.4,1.4,IF(CY391&lt;1.6,1.6,IF(CY391&lt;1.8,1.8,IF(CY391&lt;2,2,2.2))))))))</f>
        <v>2.2000000000000002</v>
      </c>
      <c r="FT391" s="23">
        <f>IF(CZ391&lt;0.6,0.6,IF(CZ391&lt;0.8,0.8,IF(CZ391&lt;1,1,IF(CZ391&lt;1.2,1.2,IF(CZ391&lt;1.4,1.4,IF(CZ391&lt;1.6,1.6,IF(CZ391&lt;1.8,1.8,IF(CZ391&lt;2,2,2.2))))))))</f>
        <v>1.2</v>
      </c>
      <c r="FU391" s="23">
        <f>IF(FS391&lt;1,1,0)</f>
        <v>0</v>
      </c>
      <c r="FV391" s="23"/>
      <c r="GF391" s="4">
        <f>IF(S391&gt;=2.5*25.4,1,1.25)</f>
        <v>1.25</v>
      </c>
      <c r="GG391" s="4">
        <f>IF(AO391&gt;1, 0.05*(18-MIN(8,(W391+N391)/N391))*(1-48000/MAX(60000,(J391*145))*(N391/25.4)^0.75*GH391), 1/12*(14-MIN(8,(W391+N391)/N391)))</f>
        <v>0.5</v>
      </c>
      <c r="GH391" s="4">
        <f>MIN(0.3, AM391^2*PI()/4*2*AP391/(N391^2*PI()/4*X391))</f>
        <v>0</v>
      </c>
      <c r="GI391" s="4">
        <f>(K391/25.4)/(N391/25.4)^1.5/0.0024*(M391*145)^0.25/GF391/GG391/145</f>
        <v>288.82818805518826</v>
      </c>
    </row>
    <row r="392" spans="1:191" ht="12" customHeight="1" x14ac:dyDescent="0.3">
      <c r="A392" s="25">
        <v>193</v>
      </c>
      <c r="B392" s="24" t="s">
        <v>128</v>
      </c>
      <c r="C392" s="24">
        <v>2017</v>
      </c>
      <c r="D392" s="24" t="s">
        <v>309</v>
      </c>
      <c r="E392" s="24"/>
      <c r="F392" s="115" t="s">
        <v>791</v>
      </c>
      <c r="G392" s="109"/>
      <c r="H392" s="4" t="s">
        <v>325</v>
      </c>
      <c r="I392" s="5">
        <f>K392/N392</f>
        <v>6</v>
      </c>
      <c r="J392" s="7">
        <v>649</v>
      </c>
      <c r="K392" s="106">
        <f>6*N392</f>
        <v>190.8</v>
      </c>
      <c r="L392" s="7">
        <f>K392</f>
        <v>190.8</v>
      </c>
      <c r="M392" s="10">
        <v>129.9</v>
      </c>
      <c r="N392" s="21">
        <v>31.8</v>
      </c>
      <c r="O392" s="7">
        <f>K392/N392</f>
        <v>6</v>
      </c>
      <c r="P392" s="7">
        <f>L392/N392</f>
        <v>6</v>
      </c>
      <c r="Q392" s="7">
        <v>396</v>
      </c>
      <c r="R392" s="32">
        <f>S392/N392</f>
        <v>1</v>
      </c>
      <c r="S392" s="7">
        <f>1*N392</f>
        <v>31.8</v>
      </c>
      <c r="T392" s="32">
        <f>U392/N392</f>
        <v>2.0503144654088046</v>
      </c>
      <c r="U392" s="7">
        <f>256-L392</f>
        <v>65.199999999999989</v>
      </c>
      <c r="V392" s="32">
        <f>W392/N392</f>
        <v>8.4528301886792434</v>
      </c>
      <c r="W392" s="7">
        <f>Q392-2*N392-2*S392</f>
        <v>268.79999999999995</v>
      </c>
      <c r="X392" s="7">
        <v>2</v>
      </c>
      <c r="Y392" s="7">
        <f>AN392</f>
        <v>0</v>
      </c>
      <c r="Z392" s="32">
        <f>AA392/N392</f>
        <v>4</v>
      </c>
      <c r="AA392" s="10">
        <f>2/3*K392</f>
        <v>127.2</v>
      </c>
      <c r="AB392" s="7">
        <f>MIN(S392/N392+0.5, W392/2/N392+0.5)</f>
        <v>1.5</v>
      </c>
      <c r="AC392" s="7">
        <f>S392/N392+0.5</f>
        <v>1.5</v>
      </c>
      <c r="AD392" s="7">
        <f>2040/510</f>
        <v>4</v>
      </c>
      <c r="AE392" s="7">
        <f>2040/510</f>
        <v>4</v>
      </c>
      <c r="AF392" s="7">
        <f>AE392+1</f>
        <v>5</v>
      </c>
      <c r="AG392" s="7">
        <f>N392*AF392^0.5</f>
        <v>71.106961684493314</v>
      </c>
      <c r="AH392" s="7">
        <f>J392</f>
        <v>649</v>
      </c>
      <c r="AI392" s="7">
        <v>11</v>
      </c>
      <c r="AJ392" s="7">
        <f>(736+710)/2</f>
        <v>723</v>
      </c>
      <c r="AK392" s="7"/>
      <c r="AL392" s="4">
        <f>CY392</f>
        <v>2.4636058741659457</v>
      </c>
      <c r="AM392" s="7">
        <v>0</v>
      </c>
      <c r="AN392" s="7">
        <v>0</v>
      </c>
      <c r="AO392" s="7">
        <f>L392</f>
        <v>190.8</v>
      </c>
      <c r="AP392" s="7"/>
      <c r="AQ392" s="7"/>
      <c r="AR392" s="7">
        <f>3*AS392/(W392+N392)</f>
        <v>1.9041916167664676</v>
      </c>
      <c r="AS392" s="4">
        <f>K392</f>
        <v>190.8</v>
      </c>
      <c r="AT392" s="4">
        <f>IF(K392*3&gt;W392+N392, Q392, (S392+N392/2)*2+1.5*K392*(2*X392-2))*(3*K392)/(9*K392^2)</f>
        <v>0.69182389937106914</v>
      </c>
      <c r="AU392" s="4">
        <f>MIN(10*M392^0.5*K392^1.5,100*3.9*M392^0.5*K392^(5/3))/(PI()/4*N392^2)/X392</f>
        <v>189.10282381875894</v>
      </c>
      <c r="AV392" s="4">
        <f>MIN(0.7+0.3*(MIN(S392,AA392)+0.5*N392)/1.5/K392,1)</f>
        <v>0.75</v>
      </c>
      <c r="AW392" s="4">
        <v>1.25</v>
      </c>
      <c r="AX392" s="47">
        <f>AX391</f>
        <v>1</v>
      </c>
      <c r="AY392" s="38">
        <f>AT392*AV392*AW392*AX392*AU392</f>
        <v>122.64923714660074</v>
      </c>
      <c r="AZ392" s="38">
        <f>AY392</f>
        <v>122.64923714660074</v>
      </c>
      <c r="BA392" s="38">
        <f>IF(M392&lt;50, 0.3*M392^(2/3), 2.12*LN(1+0.1*(M392+8)))</f>
        <v>5.7111767066521422</v>
      </c>
      <c r="BB392" s="38">
        <f>AX392* (M392^0.5/AS392^0.5)/(PI()/4*N392^2)/X392/0.72 *(0.7+(MIN(S392,AA392)+0.5*N392)/5/K392) *(3*Q392*K392)</f>
        <v>122.6492371466007</v>
      </c>
      <c r="BC392" s="38">
        <f>AY392/BB392</f>
        <v>1.0000000000000004</v>
      </c>
      <c r="BD392" s="38">
        <f>BH392/BB392</f>
        <v>6.3547072785165026</v>
      </c>
      <c r="BE392" s="4">
        <f>IF(BD392&lt;1,1,0)</f>
        <v>0</v>
      </c>
      <c r="BF392" s="4">
        <f>L392/N392*M392^0.5/0.19</f>
        <v>359.91688791300993</v>
      </c>
      <c r="BG392" s="4">
        <f>MIN(0.6+0.4*(AC392/AB392),2)</f>
        <v>1</v>
      </c>
      <c r="BH392" s="38">
        <f>2*M392*AB392*AD392^0.5*BG392*0.7/0.7</f>
        <v>779.40000000000009</v>
      </c>
      <c r="BI392" s="4">
        <f>MAX(1-0.7*AE392/5,0.3)</f>
        <v>0.44000000000000006</v>
      </c>
      <c r="BJ392" s="4">
        <f>BI392*J392*L392/(J392*N392/2.75/M392^0.5)</f>
        <v>82.744892531200989</v>
      </c>
      <c r="BK392" s="4">
        <f>BH392+BJ392</f>
        <v>862.14489253120109</v>
      </c>
      <c r="BM392" s="4">
        <f>MIN(1.5, 0.75+0.25*MIN(3,MAX(1,S392/N392))+0.4*MIN(1,(40*2*PI()*AM392^2/4/AO392/X392)/N392))</f>
        <v>1</v>
      </c>
      <c r="BN392" s="4">
        <f>(3*P392+30)*BM392*M392^0.5</f>
        <v>547.07366962777508</v>
      </c>
      <c r="BP392" s="4">
        <f>3.4/PI()^0.5*M392*AB392*AE392^0.5*BG392</f>
        <v>747.53991440910613</v>
      </c>
      <c r="BQ392" s="4">
        <f>8/3*AH392*AI392^2/(AG392-N392-22)/N392*(AG392^2-N392^2)/(AG392^2-(N392+22)^2)</f>
        <v>711.96329095823319</v>
      </c>
      <c r="BR392" s="4">
        <f>BQ392/BP392</f>
        <v>0.95240839617374207</v>
      </c>
      <c r="BZ392" s="4">
        <f>IF(W392=0,S392,MIN(W392/2,S392))</f>
        <v>31.8</v>
      </c>
      <c r="CD392" s="9"/>
      <c r="CF392" s="9"/>
      <c r="CG392" s="9"/>
      <c r="CH392" s="9">
        <f>IF(W392=0,MIN(S392,U392),MIN(W392/2,S392,U392))</f>
        <v>31.8</v>
      </c>
      <c r="CI392" s="9">
        <f>MAX(W392/2,S392)</f>
        <v>134.39999999999998</v>
      </c>
      <c r="CJ392" s="9">
        <f>(CH392/N392)^0.5*(CI392/CH392)^0.15</f>
        <v>1.2413544982455165</v>
      </c>
      <c r="CK392" s="70">
        <v>0</v>
      </c>
      <c r="CL392" s="9">
        <f>MIN(PI()*AM392^2/4*AN392*2/X392/N392/MAX(0.01,AO392),0.05)</f>
        <v>0</v>
      </c>
      <c r="CM392" s="9">
        <f>MAX(0,CK392*(CL392-0.5/50))</f>
        <v>0</v>
      </c>
      <c r="CN392" s="9">
        <f>MIN(1,(25/N392)^0.3)</f>
        <v>0.93036607665491811</v>
      </c>
      <c r="CO392" s="9">
        <f>IF(J392&gt;=800,0.68,IF(J392&gt;=700,0.75-(J392-700)*0.07/100,IF(J392&gt;=600,0.85-(J392-600)*0.1/100,IF(J392&gt;=500,1-(J392-500)*0.15/100,1.2-(J392-400)*0.2/100))))</f>
        <v>0.80099999999999993</v>
      </c>
      <c r="CP392" s="9">
        <f>1.75*CN392*CO392*(M392/25)^0.5</f>
        <v>2.9727542082721463</v>
      </c>
      <c r="CQ392" s="9">
        <f>MIN((CJ392+CM392)*CP392,2.5*CP392,M392^0.5)</f>
        <v>3.6902418086169178</v>
      </c>
      <c r="CR392" s="9">
        <v>1</v>
      </c>
      <c r="CS392" s="9">
        <f>4*CQ392*P392+60*CQ392</f>
        <v>309.98031192382109</v>
      </c>
      <c r="CU392" s="4">
        <f>AJ392/BF392</f>
        <v>2.0087970981087873</v>
      </c>
      <c r="CV392" s="4">
        <f>AJ392/BK392</f>
        <v>0.83860613948233131</v>
      </c>
      <c r="CW392" s="4">
        <f>AJ392/BN392</f>
        <v>1.3215770382294654</v>
      </c>
      <c r="CX392" s="4">
        <f>AJ392/CS392</f>
        <v>2.3324061954543751</v>
      </c>
      <c r="CY392" s="44">
        <f>AJ392/DZ392</f>
        <v>2.4636058741659457</v>
      </c>
      <c r="CZ392" s="4">
        <f>AJ392/EL392</f>
        <v>1</v>
      </c>
      <c r="DA392" s="4">
        <f>AJ392/GI392</f>
        <v>2.5032182795879043</v>
      </c>
      <c r="DC392" s="4">
        <f>CU392</f>
        <v>2.0087970981087873</v>
      </c>
      <c r="DD392" s="4">
        <f>CV392</f>
        <v>0.83860613948233131</v>
      </c>
      <c r="DE392" s="4">
        <f>CX392</f>
        <v>2.3324061954543751</v>
      </c>
      <c r="DF392" s="4">
        <f>DA392</f>
        <v>2.5032182795879043</v>
      </c>
      <c r="DG392" s="4">
        <f>CY392</f>
        <v>2.4636058741659457</v>
      </c>
      <c r="DH392" s="4">
        <f>CZ392</f>
        <v>1</v>
      </c>
      <c r="DP392" s="4">
        <f>AN392</f>
        <v>0</v>
      </c>
      <c r="DQ392" s="4">
        <f>L392</f>
        <v>190.8</v>
      </c>
      <c r="DT392" s="4">
        <f>K392/4/(1-0.3*(M392/30)^0.5)/200000/N392</f>
        <v>1.9960587760943931E-5</v>
      </c>
      <c r="DU392" s="4">
        <f>EP392</f>
        <v>11.016345201186075</v>
      </c>
      <c r="DV392" s="4">
        <f>EC392*AG392/257/M392/AD392</f>
        <v>6.5309251702264745E-2</v>
      </c>
      <c r="DW392" s="4">
        <f>DU392*DV392^0.4</f>
        <v>3.6985152975109146</v>
      </c>
      <c r="DX392" s="4">
        <f>MIN(DU392, DU392/1.4*(1-DV392^1.4)/(1-DV392))</f>
        <v>8.2340434556405722</v>
      </c>
      <c r="DY392" s="4">
        <f>MAX(DU392/2, (4-DT392*(8*AG392*(DW392-DX392)+6*K392*DX392))/(4+DT392*K392*DU392)*DU392)</f>
        <v>10.529540732334025</v>
      </c>
      <c r="DZ392" s="38">
        <f>MIN(1/N392*(4*AG392*(DW392-DX392)+(3*DX392+DY392)*K392)+EC392 -FJ392,MAX(J392,AJ392))</f>
        <v>293.47226664036583</v>
      </c>
      <c r="EA392" s="4">
        <f>DZ392/FF392</f>
        <v>1.0000897100194308</v>
      </c>
      <c r="EB392" s="4">
        <f>AG392/N392</f>
        <v>2.2360679774997898</v>
      </c>
      <c r="EC392" s="4">
        <f>MIN(EB$10*BB392)</f>
        <v>122.6492371466007</v>
      </c>
      <c r="EG392" s="4">
        <f>IF(U392&gt;1*N392,0.85,1)</f>
        <v>0.85</v>
      </c>
      <c r="EH392" s="4">
        <f>MIN(1,MAX(0.7,(1-0.1*(BZ392-1*N392)/N392)))</f>
        <v>1</v>
      </c>
      <c r="EI392" s="4">
        <f>MIN(1,MAX(0.7,1-0.3*(PI()*AM392^2/4*AQ392*2-0.25*PI()/4*N392^2)/(PI()/4*N392^2)))</f>
        <v>1</v>
      </c>
      <c r="EJ392" s="4">
        <f>IF(EH392*EI392&lt;0.7,0.7,EH392*EI392)</f>
        <v>1</v>
      </c>
      <c r="EL392" s="4">
        <f>MIN(DU392/N392*3*K392+EM392-FJ392,MAX(J392,AJ392))</f>
        <v>723</v>
      </c>
      <c r="EM392" s="25">
        <f>26.5*Q392*K392^0.5*M392^0.5/X392/N392^2*(0.7+S392/5/K392)</f>
        <v>599.03474243278185</v>
      </c>
      <c r="EP392" s="4">
        <f>IF(N392&lt;22.2,1.1*5*(M392/30)^0.5,IF(N392&gt;=31.8,0.9*5*(M392/30)^0.5,1*5*(M392/30)^0.5))/EG392/EJ392</f>
        <v>11.016345201186075</v>
      </c>
      <c r="ES392" s="4">
        <f>ET392*N392</f>
        <v>71.106961684493314</v>
      </c>
      <c r="ET392" s="4">
        <f>AF392^0.5</f>
        <v>2.2360679774997898</v>
      </c>
      <c r="EU392" s="4">
        <f>MIN(EC392)/(4700*M392^0.5)/AE392*ES392</f>
        <v>4.0701887417004944E-2</v>
      </c>
      <c r="EX392" s="4">
        <f>EU392</f>
        <v>4.0701887417004944E-2</v>
      </c>
      <c r="EY392" s="4">
        <f>MIN(0.999, EX392/(0.3*(M392/30)^0.5))</f>
        <v>6.5200262733163566E-2</v>
      </c>
      <c r="EZ392" s="4">
        <f>EP392/1*EY392^0.4</f>
        <v>3.696045207304123</v>
      </c>
      <c r="FA392" s="4">
        <f>EP392/1.4*(1-EY392^1.4)/(1-EY392)</f>
        <v>8.2335145112021202</v>
      </c>
      <c r="FB392" s="4">
        <f>MAX(0,DQ392*FB$9-ES392)</f>
        <v>71.993038315506709</v>
      </c>
      <c r="FC392" s="4">
        <f>MAX(0,DQ392-ES392-FB392)</f>
        <v>47.699999999999989</v>
      </c>
      <c r="FD392" s="4">
        <f>FC392/(1-0.3*(M392/30)^0.5)/200000/N392</f>
        <v>1.9960587760943925E-5</v>
      </c>
      <c r="FE392" s="4">
        <f>MAX(0.5*EP392, (1-2*FD392*(ES392*EZ392+FB392*FA392))/(1/EP392+FD392*FC392))</f>
        <v>10.529633748057091</v>
      </c>
      <c r="FF392" s="4">
        <f>MIN(4/N392*(1*EZ392*ES392+FA392*FB392+FC392*FE392)+EC392,MAX(J392,AJ392))</f>
        <v>293.4459415992431</v>
      </c>
      <c r="FO392" s="23">
        <f>IF(CU392&lt;0.6,0.6,IF(CU392&lt;0.8,0.8,IF(CU392&lt;1,1,IF(CU392&lt;1.2,1.2,IF(CU392&lt;1.4,1.4,IF(CU392&lt;1.6,1.6,IF(CU392&lt;1.8,1.8,IF(CU392&lt;2,2,2.2))))))))</f>
        <v>2.2000000000000002</v>
      </c>
      <c r="FP392" s="23">
        <f>IF(CV392&lt;0.6,0.6,IF(CV392&lt;0.8,0.8,IF(CV392&lt;1,1,IF(CV392&lt;1.2,1.2,IF(CV392&lt;1.4,1.4,IF(CV392&lt;1.6,1.6,IF(CV392&lt;1.8,1.8,IF(CV392&lt;2,2,2.2))))))))</f>
        <v>1</v>
      </c>
      <c r="FQ392" s="23">
        <f>IF(DA392&lt;0.6,0.6,IF(DA392&lt;0.8,0.8,IF(DA392&lt;1,1,IF(DA392&lt;1.2,1.2,IF(DA392&lt;1.4,1.4,IF(DA392&lt;1.6,1.6,IF(DA392&lt;1.8,1.8,IF(DA392&lt;2,2,2.2))))))))</f>
        <v>2.2000000000000002</v>
      </c>
      <c r="FR392" s="23">
        <f>IF(CX392&lt;0.6,0.6,IF(CX392&lt;0.8,0.8,IF(CX392&lt;1,1,IF(CX392&lt;1.2,1.2,IF(CX392&lt;1.4,1.4,IF(CX392&lt;1.6,1.6,IF(CX392&lt;1.8,1.8,IF(CX392&lt;2,2,2.2))))))))</f>
        <v>2.2000000000000002</v>
      </c>
      <c r="FS392" s="23">
        <f>IF(CY392&lt;0.6,0.6,IF(CY392&lt;0.8,0.8,IF(CY392&lt;1,1,IF(CY392&lt;1.2,1.2,IF(CY392&lt;1.4,1.4,IF(CY392&lt;1.6,1.6,IF(CY392&lt;1.8,1.8,IF(CY392&lt;2,2,2.2))))))))</f>
        <v>2.2000000000000002</v>
      </c>
      <c r="FT392" s="23">
        <f>IF(CZ392&lt;0.6,0.6,IF(CZ392&lt;0.8,0.8,IF(CZ392&lt;1,1,IF(CZ392&lt;1.2,1.2,IF(CZ392&lt;1.4,1.4,IF(CZ392&lt;1.6,1.6,IF(CZ392&lt;1.8,1.8,IF(CZ392&lt;2,2,2.2))))))))</f>
        <v>1.2</v>
      </c>
      <c r="FU392" s="23">
        <f>IF(FS392&lt;1,1,0)</f>
        <v>0</v>
      </c>
      <c r="FV392" s="23"/>
      <c r="GF392" s="4">
        <f>IF(S392&gt;=2.5*25.4,1,1.25)</f>
        <v>1.25</v>
      </c>
      <c r="GG392" s="4">
        <f>IF(AO392&gt;1, 0.05*(18-MIN(8,(W392+N392)/N392))*(1-48000/MAX(60000,(J392*145))*(N392/25.4)^0.75*GH392), 1/12*(14-MIN(8,(W392+N392)/N392)))</f>
        <v>0.5</v>
      </c>
      <c r="GH392" s="4">
        <f>MIN(0.3, AM392^2*PI()/4*2*AP392/(N392^2*PI()/4*X392))</f>
        <v>0</v>
      </c>
      <c r="GI392" s="4">
        <f>(K392/25.4)/(N392/25.4)^1.5/0.0024*(M392*145)^0.25/GF392/GG392/145</f>
        <v>288.82818805518826</v>
      </c>
    </row>
    <row r="393" spans="1:191" ht="12" customHeight="1" x14ac:dyDescent="0.3">
      <c r="A393" s="25">
        <v>297</v>
      </c>
      <c r="B393" s="4" t="s">
        <v>605</v>
      </c>
      <c r="C393" s="4">
        <v>2016</v>
      </c>
      <c r="D393" s="4" t="s">
        <v>309</v>
      </c>
      <c r="E393" s="24" t="s">
        <v>668</v>
      </c>
      <c r="F393" s="24"/>
      <c r="G393" s="24">
        <v>34</v>
      </c>
      <c r="H393" s="7" t="s">
        <v>457</v>
      </c>
      <c r="I393" s="5">
        <f>K393/N393</f>
        <v>7.06</v>
      </c>
      <c r="J393" s="78">
        <f>115.9/0.145</f>
        <v>799.31034482758628</v>
      </c>
      <c r="K393" s="38">
        <f>7.06*25.4</f>
        <v>179.32399999999998</v>
      </c>
      <c r="L393" s="4">
        <f>K393</f>
        <v>179.32399999999998</v>
      </c>
      <c r="M393" s="38">
        <f>16030/145</f>
        <v>110.55172413793103</v>
      </c>
      <c r="N393" s="38">
        <f>1*25.4</f>
        <v>25.4</v>
      </c>
      <c r="O393" s="7">
        <f>K393/N393</f>
        <v>7.06</v>
      </c>
      <c r="P393" s="7">
        <f>L393/N393</f>
        <v>7.06</v>
      </c>
      <c r="Q393" s="38">
        <f>16.9*25.4</f>
        <v>429.25999999999993</v>
      </c>
      <c r="R393" s="32">
        <f>S393/N393</f>
        <v>2.5</v>
      </c>
      <c r="S393" s="38">
        <f>2.5*25.4</f>
        <v>63.5</v>
      </c>
      <c r="T393" s="32">
        <f>U393/N393</f>
        <v>3.25</v>
      </c>
      <c r="U393" s="39">
        <f>3.25*25.4</f>
        <v>82.55</v>
      </c>
      <c r="V393" s="32">
        <f>W393/N393</f>
        <v>9.8999999999999968</v>
      </c>
      <c r="W393" s="7">
        <f>(Q393-X393*N393-2*S393)/(X393-1)</f>
        <v>251.45999999999992</v>
      </c>
      <c r="X393" s="38">
        <v>2</v>
      </c>
      <c r="Y393" s="7">
        <f>AN393</f>
        <v>4</v>
      </c>
      <c r="Z393" s="32">
        <f>AA393/N393</f>
        <v>10.25</v>
      </c>
      <c r="AA393" s="4">
        <f>10.25*25.4</f>
        <v>260.34999999999997</v>
      </c>
      <c r="AB393" s="7">
        <f>MIN(S393/N393+0.5, W393/2/N393+0.5)</f>
        <v>3</v>
      </c>
      <c r="AC393" s="7">
        <f>S393/N393+0.5</f>
        <v>3</v>
      </c>
      <c r="AD393" s="38">
        <v>9.5</v>
      </c>
      <c r="AE393" s="4">
        <f>AD393</f>
        <v>9.5</v>
      </c>
      <c r="AF393" s="4">
        <f>AE393+1</f>
        <v>10.5</v>
      </c>
      <c r="AG393" s="7">
        <f>N393*AF393^0.5</f>
        <v>82.305406869779816</v>
      </c>
      <c r="AJ393" s="38">
        <f>AK393/0.145</f>
        <v>585.51724137931046</v>
      </c>
      <c r="AK393" s="4">
        <v>84.9</v>
      </c>
      <c r="AL393" s="4">
        <f>CY393</f>
        <v>1.3327587691667713</v>
      </c>
      <c r="AM393" s="38">
        <f>0.5*25.4</f>
        <v>12.7</v>
      </c>
      <c r="AN393" s="38">
        <v>4</v>
      </c>
      <c r="AO393" s="39">
        <f>5.5*25.4</f>
        <v>139.69999999999999</v>
      </c>
      <c r="AP393" s="39">
        <v>1</v>
      </c>
      <c r="AQ393" s="39">
        <v>1</v>
      </c>
      <c r="AR393" s="7"/>
      <c r="AS393" s="4">
        <f>K393</f>
        <v>179.32399999999998</v>
      </c>
      <c r="AT393" s="4">
        <f>IF(K393*3&gt;W393+N393, Q393, (S393+N393/2)*2+1.5*K393*(2*X393-2))*(3*K393)/(9*K393^2)</f>
        <v>0.79792256846081211</v>
      </c>
      <c r="AU393" s="4">
        <f>MIN(10*M393^0.5*K393^1.5,100*3.9*M393^0.5*K393^(5/3))/(PI()/4*N393^2)/X393</f>
        <v>249.14551653979098</v>
      </c>
      <c r="AV393" s="4">
        <f>MIN(0.7+0.3*(MIN(S393,AA393)+0.5*N393)/1.5/K393,1)</f>
        <v>0.784985835694051</v>
      </c>
      <c r="AW393" s="4">
        <v>1.25</v>
      </c>
      <c r="AX393" s="4">
        <f>AX392</f>
        <v>1</v>
      </c>
      <c r="AY393" s="38">
        <f>AT393*AV393*AW393*AX393*AU393</f>
        <v>195.06783259714317</v>
      </c>
      <c r="AZ393" s="38">
        <f>AY393</f>
        <v>195.06783259714317</v>
      </c>
      <c r="BA393" s="38">
        <f>IF(M393&lt;50, 0.3*M393^(2/3), 2.12*LN(1+0.1*(M393+8)))</f>
        <v>5.4139420559889198</v>
      </c>
      <c r="BB393" s="38">
        <f>AX393* (M393^0.5/AS393^0.5)/(PI()/4*N393^2)/X393/0.72 *(0.7+(MIN(S393,AA393)+0.5*N393)/5/K393) *(3*Q393*K393)</f>
        <v>195.06783259714308</v>
      </c>
      <c r="BC393" s="38">
        <f>AY393/BB393</f>
        <v>1.0000000000000004</v>
      </c>
      <c r="BD393" s="38">
        <f>BH393/BB393</f>
        <v>10.480763341472729</v>
      </c>
      <c r="BE393" s="4">
        <f>IF(BD393&lt;1,1,0)</f>
        <v>0</v>
      </c>
      <c r="BF393" s="4">
        <f>L393/N393*M393^0.5/0.19</f>
        <v>390.69140776432391</v>
      </c>
      <c r="BG393" s="4">
        <f>MIN(0.6+0.4*(AC393/AB393),2)</f>
        <v>1</v>
      </c>
      <c r="BH393" s="38">
        <f>2*M393*AB393*AD393^0.5*BG393*0.7/0.7</f>
        <v>2044.4597889846762</v>
      </c>
      <c r="BI393" s="4">
        <f>MAX(1-0.7*AE393/5,0.3)</f>
        <v>0.3</v>
      </c>
      <c r="BJ393" s="4">
        <f>BI393*J393*L393/(J393*N393/2.75/M393^0.5)</f>
        <v>61.240878167057772</v>
      </c>
      <c r="BK393" s="4">
        <f>BH393+BJ393</f>
        <v>2105.7006671517338</v>
      </c>
      <c r="BM393" s="4">
        <f>MIN(1.5, 0.75+0.25*MIN(3,MAX(1,S393/N393))+0.4*MIN(1,(40*2*PI()*AM393^2/4/AO393/X393)/N393))</f>
        <v>1.5</v>
      </c>
      <c r="BN393" s="4">
        <f>(3*P393+30)*BM393*M393^0.5</f>
        <v>807.1872636080393</v>
      </c>
      <c r="BP393" s="4">
        <f>3.4/PI()^0.5*M393*AB393*AE393^0.5*BG393</f>
        <v>1960.8869587765769</v>
      </c>
      <c r="BQ393" s="4">
        <f>8/3*AH393*AI393^2/(AG393-N393-22)/N393*(AG393^2-N393^2)/(AG393^2-(N393+22)^2)</f>
        <v>0</v>
      </c>
      <c r="BR393" s="4">
        <f>BQ393/BP393</f>
        <v>0</v>
      </c>
      <c r="BZ393" s="4">
        <f>IF(W393=0,S393,MIN(W393/2,S393))</f>
        <v>63.5</v>
      </c>
      <c r="CD393" s="9"/>
      <c r="CF393" s="9"/>
      <c r="CG393" s="9"/>
      <c r="CH393" s="9">
        <f>IF(W393=0,MIN(S393,U393),MIN(W393/2,S393,U393))</f>
        <v>63.5</v>
      </c>
      <c r="CI393" s="9">
        <f>MAX(W393/2,S393)</f>
        <v>125.72999999999996</v>
      </c>
      <c r="CJ393" s="9">
        <f>(CH393/N393)^0.5*(CI393/CH393)^0.15</f>
        <v>1.7517405482385959</v>
      </c>
      <c r="CK393" s="70">
        <f>IF(AO393&gt;1,20,0)</f>
        <v>20</v>
      </c>
      <c r="CL393" s="9">
        <f>MIN(PI()*AM393^2/4*AN393*2/X393/N393/MAX(0.01,AO393),0.05)</f>
        <v>0.05</v>
      </c>
      <c r="CM393" s="9">
        <f>MAX(0,CK393*(CL393-0.5/50))</f>
        <v>0.8</v>
      </c>
      <c r="CN393" s="9">
        <f>MIN(1,(25/N393)^0.3)</f>
        <v>0.99524931562137331</v>
      </c>
      <c r="CO393" s="9">
        <f>IF(J393&gt;=800,0.68,IF(J393&gt;=700,0.75-(J393-700)*0.07/100,IF(J393&gt;=600,0.85-(J393-600)*0.1/100,IF(J393&gt;=500,1-(J393-500)*0.15/100,1.2-(J393-400)*0.2/100))))</f>
        <v>0.68048275862068963</v>
      </c>
      <c r="CP393" s="9">
        <f>1.75*CN393*CO393*(M393/25)^0.5</f>
        <v>2.4922971335630986</v>
      </c>
      <c r="CQ393" s="9">
        <f>MIN((CJ393+CM393)*CP393,2.5*CP393,M393^0.5)</f>
        <v>6.2307428339077466</v>
      </c>
      <c r="CR393" s="40">
        <v>1</v>
      </c>
      <c r="CS393" s="9">
        <f>4*CQ393*P393+60*CQ393</f>
        <v>549.80074766401958</v>
      </c>
      <c r="CU393" s="4">
        <f>AJ393/BF393</f>
        <v>1.4986693583302733</v>
      </c>
      <c r="CV393" s="4">
        <f>AJ393/BK393</f>
        <v>0.27806290348537888</v>
      </c>
      <c r="CW393" s="4">
        <f>AJ393/BN393</f>
        <v>0.72537968297729583</v>
      </c>
      <c r="CX393" s="4">
        <f>AJ393/CS393</f>
        <v>1.064962613941582</v>
      </c>
      <c r="CY393" s="4">
        <f>AJ393/DZ393</f>
        <v>1.3327587691667713</v>
      </c>
      <c r="CZ393" s="4">
        <f>AJ393/EL393</f>
        <v>0.74645745582544709</v>
      </c>
      <c r="DA393" s="4">
        <f>AJ393/GI393</f>
        <v>1.1496958567038023</v>
      </c>
      <c r="DB393" s="4">
        <f>AN393</f>
        <v>4</v>
      </c>
      <c r="DI393" s="4">
        <f>CU393</f>
        <v>1.4986693583302733</v>
      </c>
      <c r="DJ393" s="4">
        <f>CV393</f>
        <v>0.27806290348537888</v>
      </c>
      <c r="DK393" s="4">
        <f>CX393</f>
        <v>1.064962613941582</v>
      </c>
      <c r="DL393" s="4">
        <f>DA393</f>
        <v>1.1496958567038023</v>
      </c>
      <c r="DM393" s="4">
        <f>CY393</f>
        <v>1.3327587691667713</v>
      </c>
      <c r="DN393" s="4">
        <f>CZ393</f>
        <v>0.74645745582544709</v>
      </c>
      <c r="DQ393" s="4">
        <f>L393</f>
        <v>179.32399999999998</v>
      </c>
      <c r="DT393" s="4">
        <f>K393/4/(1-0.3*(M393/30)^0.5)/200000/N393</f>
        <v>2.0808531361433225E-5</v>
      </c>
      <c r="DU393" s="4">
        <f>EP393</f>
        <v>14.3619216407349</v>
      </c>
      <c r="DV393" s="4">
        <f>EC393*AG393/257/M393/AD393</f>
        <v>5.9482850995810368E-2</v>
      </c>
      <c r="DW393" s="4">
        <f>DU393*DV393^0.4</f>
        <v>4.6448240079140479</v>
      </c>
      <c r="DX393" s="4">
        <f>MIN(DU393, DU393/1.4*(1-DV393^1.4)/(1-DV393))</f>
        <v>10.697484191303021</v>
      </c>
      <c r="DY393" s="4">
        <f>MAX(DU393/2, (4-DT393*(8*AG393*(DW393-DX393)+6*K393*DX393))/(4+DT393*K393*DU393)*DU393)</f>
        <v>13.617300552982577</v>
      </c>
      <c r="DZ393" s="38">
        <f>MIN(1/N393*(4*AG393*(DW393-DX393)+(3*DX393+DY393)*K393)+EC393 -FJ393,MAX(J393,AJ393))</f>
        <v>439.32724730475456</v>
      </c>
      <c r="EA393" s="4">
        <f>DZ393/FF393</f>
        <v>1.0001007475257855</v>
      </c>
      <c r="EB393" s="4">
        <f>AG393/N393</f>
        <v>3.2403703492039297</v>
      </c>
      <c r="EC393" s="4">
        <f>MIN(EB$10*BB393)</f>
        <v>195.06783259714308</v>
      </c>
      <c r="EG393" s="4">
        <f>IF(U393&gt;1*N393,0.85,1)</f>
        <v>0.85</v>
      </c>
      <c r="EH393" s="4">
        <f>MIN(1,MAX(0.7,(1-0.1*(BZ393-1*N393)/N393)))</f>
        <v>0.85</v>
      </c>
      <c r="EI393" s="4">
        <f>MIN(1,MAX(0.7,1-0.3*(PI()*AM393^2/4*AQ393*2-0.25*PI()/4*N393^2)/(PI()/4*N393^2)))</f>
        <v>0.92500000000000004</v>
      </c>
      <c r="EJ393" s="4">
        <f>IF(EH393*EI393&lt;0.7,0.7,EH393*EI393)</f>
        <v>0.78625</v>
      </c>
      <c r="EL393" s="4">
        <f>MIN(DU393/N393*3*K393+EM393-FJ393,MAX(J393,AJ393))</f>
        <v>784.39465881124352</v>
      </c>
      <c r="EM393" s="25">
        <f>13.3*Q393*K393^0.5*M393^0.5/X393/N393^2*(0.7+S393/5/K393)</f>
        <v>480.20915846047836</v>
      </c>
      <c r="EO393" s="4">
        <f>EG393*EJ393</f>
        <v>0.66831249999999998</v>
      </c>
      <c r="EP393" s="4">
        <f>IF(N393&lt;22.2,1.1*5*(M393/30)^0.5,IF(N393&gt;=31.8,0.9*5*(M393/30)^0.5,1*5*(M393/30)^0.5))/EG393/EJ393</f>
        <v>14.3619216407349</v>
      </c>
      <c r="ES393" s="4">
        <f>ET393*N393</f>
        <v>82.305406869779816</v>
      </c>
      <c r="ET393" s="4">
        <f>AF393^0.5</f>
        <v>3.2403703492039302</v>
      </c>
      <c r="EU393" s="4">
        <f>MIN(EC393)/(4700*M393^0.5)/AE393*ES393</f>
        <v>3.4198716059344485E-2</v>
      </c>
      <c r="EX393" s="4">
        <f>EU393</f>
        <v>3.4198716059344485E-2</v>
      </c>
      <c r="EY393" s="4">
        <f>MIN(0.999, EX393/(0.3*(M393/30)^0.5))</f>
        <v>5.9383585203594755E-2</v>
      </c>
      <c r="EZ393" s="4">
        <f>EP393/1*EY393^0.4</f>
        <v>4.641721916028164</v>
      </c>
      <c r="FA393" s="4">
        <f>EP393/1.4*(1-EY393^1.4)/(1-EY393)</f>
        <v>10.696845274058166</v>
      </c>
      <c r="FB393" s="4">
        <f>MAX(0,DQ393*FB$9-ES393)</f>
        <v>52.187593130220179</v>
      </c>
      <c r="FC393" s="4">
        <f>MAX(0,DQ393-ES393-FB393)</f>
        <v>44.830999999999989</v>
      </c>
      <c r="FD393" s="4">
        <f>FC393/(1-0.3*(M393/30)^0.5)/200000/N393</f>
        <v>2.0808531361433218E-5</v>
      </c>
      <c r="FE393" s="4">
        <f>MAX(0.5*EP393, (1-2*FD393*(ES393*EZ393+FB393*FA393))/(1/EP393+FD393*FC393))</f>
        <v>13.617470805830605</v>
      </c>
      <c r="FF393" s="4">
        <f>MIN(4/N393*(1*EZ393*ES393+FA393*FB393+FC393*FE393)+EC393,MAX(J393,AJ393))</f>
        <v>439.28299063032887</v>
      </c>
      <c r="FO393" s="23">
        <f>IF(CU393&lt;0.6,0.6,IF(CU393&lt;0.8,0.8,IF(CU393&lt;1,1,IF(CU393&lt;1.2,1.2,IF(CU393&lt;1.4,1.4,IF(CU393&lt;1.6,1.6,IF(CU393&lt;1.8,1.8,IF(CU393&lt;2,2,2.2))))))))</f>
        <v>1.6</v>
      </c>
      <c r="FP393" s="23">
        <f>IF(CV393&lt;0.6,0.6,IF(CV393&lt;0.8,0.8,IF(CV393&lt;1,1,IF(CV393&lt;1.2,1.2,IF(CV393&lt;1.4,1.4,IF(CV393&lt;1.6,1.6,IF(CV393&lt;1.8,1.8,IF(CV393&lt;2,2,2.2))))))))</f>
        <v>0.6</v>
      </c>
      <c r="FQ393" s="23">
        <f>IF(DA393&lt;0.6,0.6,IF(DA393&lt;0.8,0.8,IF(DA393&lt;1,1,IF(DA393&lt;1.2,1.2,IF(DA393&lt;1.4,1.4,IF(DA393&lt;1.6,1.6,IF(DA393&lt;1.8,1.8,IF(DA393&lt;2,2,2.2))))))))</f>
        <v>1.2</v>
      </c>
      <c r="FR393" s="23">
        <f>IF(CX393&lt;0.6,0.6,IF(CX393&lt;0.8,0.8,IF(CX393&lt;1,1,IF(CX393&lt;1.2,1.2,IF(CX393&lt;1.4,1.4,IF(CX393&lt;1.6,1.6,IF(CX393&lt;1.8,1.8,IF(CX393&lt;2,2,2.2))))))))</f>
        <v>1.2</v>
      </c>
      <c r="FS393" s="23">
        <f>IF(CY393&lt;0.6,0.6,IF(CY393&lt;0.8,0.8,IF(CY393&lt;1,1,IF(CY393&lt;1.2,1.2,IF(CY393&lt;1.4,1.4,IF(CY393&lt;1.6,1.6,IF(CY393&lt;1.8,1.8,IF(CY393&lt;2,2,2.2))))))))</f>
        <v>1.4</v>
      </c>
      <c r="FT393" s="23">
        <f>IF(CZ393&lt;0.6,0.6,IF(CZ393&lt;0.8,0.8,IF(CZ393&lt;1,1,IF(CZ393&lt;1.2,1.2,IF(CZ393&lt;1.4,1.4,IF(CZ393&lt;1.6,1.6,IF(CZ393&lt;1.8,1.8,IF(CZ393&lt;2,2,2.2))))))))</f>
        <v>0.8</v>
      </c>
      <c r="FU393" s="23">
        <f>IF(FS393&lt;1,1,0)</f>
        <v>0</v>
      </c>
      <c r="FV393" s="23"/>
      <c r="GF393" s="4">
        <f>IF(S393&gt;=2.5*25.4,1,1.25)</f>
        <v>1</v>
      </c>
      <c r="GG393" s="4">
        <f>IF(AO393&gt;1, 0.05*(18-MIN(8,(W393+N393)/N393))*(1-48000/MAX(60000,(J393*145))*(N393/25.4)^0.75*GH393), 1/12*(14-MIN(8,(W393+N393)/N393)))</f>
        <v>0.4482312338222606</v>
      </c>
      <c r="GH393" s="4">
        <f>MIN(0.3, AM393^2*PI()/4*2*AP393/(N393^2*PI()/4*X393))</f>
        <v>0.25</v>
      </c>
      <c r="GI393" s="4">
        <f>(K393/25.4)/(N393/25.4)^1.5/0.0024*(M393*145)^0.25/GF393/GG393/145</f>
        <v>509.28011783742392</v>
      </c>
    </row>
    <row r="394" spans="1:191" ht="12" customHeight="1" x14ac:dyDescent="0.3">
      <c r="A394" s="25">
        <v>296</v>
      </c>
      <c r="B394" s="4" t="s">
        <v>605</v>
      </c>
      <c r="C394" s="4">
        <v>2016</v>
      </c>
      <c r="D394" s="4" t="s">
        <v>309</v>
      </c>
      <c r="E394" s="24" t="s">
        <v>668</v>
      </c>
      <c r="F394" s="24"/>
      <c r="G394" s="24"/>
      <c r="H394" s="7" t="s">
        <v>456</v>
      </c>
      <c r="I394" s="5">
        <f>K394/N394</f>
        <v>7.06</v>
      </c>
      <c r="J394" s="91">
        <f>120/0.145</f>
        <v>827.58620689655174</v>
      </c>
      <c r="K394" s="38">
        <f>7.06*25.4</f>
        <v>179.32399999999998</v>
      </c>
      <c r="L394" s="4">
        <f>K394</f>
        <v>179.32399999999998</v>
      </c>
      <c r="M394" s="38">
        <f>16030/145</f>
        <v>110.55172413793103</v>
      </c>
      <c r="N394" s="96">
        <f>1*25.4</f>
        <v>25.4</v>
      </c>
      <c r="O394" s="7">
        <f>K394/N394</f>
        <v>7.06</v>
      </c>
      <c r="P394" s="7">
        <f>L394/N394</f>
        <v>7.06</v>
      </c>
      <c r="Q394" s="38">
        <f>17*25.4</f>
        <v>431.79999999999995</v>
      </c>
      <c r="R394" s="32">
        <f>S394/N394</f>
        <v>2.5</v>
      </c>
      <c r="S394" s="38">
        <f>2.5*25.4</f>
        <v>63.5</v>
      </c>
      <c r="T394" s="32">
        <f>U394/N394</f>
        <v>4.55</v>
      </c>
      <c r="U394" s="39">
        <f>4.55*25.4</f>
        <v>115.57</v>
      </c>
      <c r="V394" s="32">
        <f>W394/N394</f>
        <v>9.9999999999999982</v>
      </c>
      <c r="W394" s="7">
        <f>(Q394-X394*N394-2*S394)/(X394-1)</f>
        <v>253.99999999999994</v>
      </c>
      <c r="X394" s="38">
        <v>2</v>
      </c>
      <c r="Y394" s="7">
        <f>AN394</f>
        <v>4</v>
      </c>
      <c r="Z394" s="32">
        <f>AA394/N394</f>
        <v>10.25</v>
      </c>
      <c r="AA394" s="4">
        <f>10.25*25.4</f>
        <v>260.34999999999997</v>
      </c>
      <c r="AB394" s="7">
        <f>MIN(S394/N394+0.5, W394/2/N394+0.5)</f>
        <v>3</v>
      </c>
      <c r="AC394" s="7">
        <f>S394/N394+0.5</f>
        <v>3</v>
      </c>
      <c r="AD394" s="38">
        <v>4</v>
      </c>
      <c r="AE394" s="4">
        <f>AD394</f>
        <v>4</v>
      </c>
      <c r="AF394" s="4">
        <f>AE394+1</f>
        <v>5</v>
      </c>
      <c r="AG394" s="7">
        <f>N394*AF394^0.5</f>
        <v>56.796126628494655</v>
      </c>
      <c r="AJ394" s="38">
        <f>AK394/0.145</f>
        <v>515.17241379310349</v>
      </c>
      <c r="AK394" s="4">
        <v>74.7</v>
      </c>
      <c r="AL394" s="4">
        <f>CY394</f>
        <v>1.0824860548652508</v>
      </c>
      <c r="AM394" s="38">
        <f>0.5*25.4</f>
        <v>12.7</v>
      </c>
      <c r="AN394" s="38">
        <v>4</v>
      </c>
      <c r="AO394" s="39">
        <f>5.5*25.4</f>
        <v>139.69999999999999</v>
      </c>
      <c r="AP394" s="39">
        <v>1</v>
      </c>
      <c r="AQ394" s="39">
        <v>1</v>
      </c>
      <c r="AR394" s="7"/>
      <c r="AS394" s="4">
        <f>K394</f>
        <v>179.32399999999998</v>
      </c>
      <c r="AT394" s="4">
        <f>IF(K394*3&gt;W394+N394, Q394, (S394+N394/2)*2+1.5*K394*(2*X394-2))*(3*K394)/(9*K394^2)</f>
        <v>0.80264400377714828</v>
      </c>
      <c r="AU394" s="4">
        <f>MIN(10*M394^0.5*K394^1.5,100*3.9*M394^0.5*K394^(5/3))/(PI()/4*N394^2)/X394</f>
        <v>249.14551653979098</v>
      </c>
      <c r="AV394" s="4">
        <f>MIN(0.7+0.3*(MIN(S394,AA394)+0.5*N394)/1.5/K394,1)</f>
        <v>0.784985835694051</v>
      </c>
      <c r="AW394" s="4">
        <v>1.25</v>
      </c>
      <c r="AX394" s="4">
        <f>AX393</f>
        <v>1</v>
      </c>
      <c r="AY394" s="38">
        <f>AT394*AV394*AW394*AX394*AU394</f>
        <v>196.22208012730377</v>
      </c>
      <c r="AZ394" s="38">
        <f>AY394</f>
        <v>196.22208012730377</v>
      </c>
      <c r="BA394" s="38">
        <f>IF(M394&lt;50, 0.3*M394^(2/3), 2.12*LN(1+0.1*(M394+8)))</f>
        <v>5.4139420559889198</v>
      </c>
      <c r="BB394" s="38">
        <f>AX394* (M394^0.5/AS394^0.5)/(PI()/4*N394^2)/X394/0.72 *(0.7+(MIN(S394,AA394)+0.5*N394)/5/K394) *(3*Q394*K394)</f>
        <v>196.22208012730368</v>
      </c>
      <c r="BC394" s="38">
        <f>AY394/BB394</f>
        <v>1.0000000000000004</v>
      </c>
      <c r="BD394" s="38">
        <f>BH394/BB394</f>
        <v>6.7608124875370601</v>
      </c>
      <c r="BE394" s="4">
        <f>IF(BD394&lt;1,1,0)</f>
        <v>0</v>
      </c>
      <c r="BF394" s="4">
        <f>L394/N394*M394^0.5/0.19</f>
        <v>390.69140776432391</v>
      </c>
      <c r="BG394" s="4">
        <f>MIN(0.6+0.4*(AC394/AB394),2)</f>
        <v>1</v>
      </c>
      <c r="BH394" s="38">
        <f>2*M394*AB394*AD394^0.5*BG394*0.7/0.7</f>
        <v>1326.6206896551723</v>
      </c>
      <c r="BI394" s="4">
        <f>MAX(1-0.7*AE394/5,0.3)</f>
        <v>0.44000000000000006</v>
      </c>
      <c r="BJ394" s="4">
        <f>BI394*J394*L394/(J394*N394/2.75/M394^0.5)</f>
        <v>89.819954645018072</v>
      </c>
      <c r="BK394" s="4">
        <f>BH394+BJ394</f>
        <v>1416.4406443001903</v>
      </c>
      <c r="BM394" s="4">
        <f>MIN(1.5, 0.75+0.25*MIN(3,MAX(1,S394/N394))+0.4*MIN(1,(40*2*PI()*AM394^2/4/AO394/X394)/N394))</f>
        <v>1.5</v>
      </c>
      <c r="BN394" s="4">
        <f>(3*P394+30)*BM394*M394^0.5</f>
        <v>807.1872636080393</v>
      </c>
      <c r="BP394" s="4">
        <f>3.4/PI()^0.5*M394*AB394*AE394^0.5*BG394</f>
        <v>1272.3914765180612</v>
      </c>
      <c r="BQ394" s="4">
        <f>8/3*AH394*AI394^2/(AG394-N394-22)/N394*(AG394^2-N394^2)/(AG394^2-(N394+22)^2)</f>
        <v>0</v>
      </c>
      <c r="BR394" s="4">
        <f>BQ394/BP394</f>
        <v>0</v>
      </c>
      <c r="BZ394" s="4">
        <f>IF(W394=0,S394,MIN(W394/2,S394))</f>
        <v>63.5</v>
      </c>
      <c r="CD394" s="9"/>
      <c r="CF394" s="9"/>
      <c r="CG394" s="9"/>
      <c r="CH394" s="9">
        <f>IF(W394=0,MIN(S394,U394),MIN(W394/2,S394,U394))</f>
        <v>63.5</v>
      </c>
      <c r="CI394" s="9">
        <f>MAX(W394/2,S394)</f>
        <v>126.99999999999997</v>
      </c>
      <c r="CJ394" s="9">
        <f>(CH394/N394)^0.5*(CI394/CH394)^0.15</f>
        <v>1.7543833769624846</v>
      </c>
      <c r="CK394" s="70">
        <f>IF(AO394&gt;1,20,0)</f>
        <v>20</v>
      </c>
      <c r="CL394" s="9">
        <f>MIN(PI()*AM394^2/4*AN394*2/X394/N394/MAX(0.01,AO394),0.05)</f>
        <v>0.05</v>
      </c>
      <c r="CM394" s="9">
        <f>MAX(0,CK394*(CL394-0.5/50))</f>
        <v>0.8</v>
      </c>
      <c r="CN394" s="9">
        <f>MIN(1,(25/N394)^0.3)</f>
        <v>0.99524931562137331</v>
      </c>
      <c r="CO394" s="9">
        <f>IF(J394&gt;=800,0.68,IF(J394&gt;=700,0.75-(J394-700)*0.07/100,IF(J394&gt;=600,0.85-(J394-600)*0.1/100,IF(J394&gt;=500,1-(J394-500)*0.15/100,1.2-(J394-400)*0.2/100))))</f>
        <v>0.68</v>
      </c>
      <c r="CP394" s="9">
        <f>1.75*CN394*CO394*(M394/25)^0.5</f>
        <v>2.4905290095198289</v>
      </c>
      <c r="CQ394" s="9">
        <f>MIN((CJ394+CM394)*CP394,2.5*CP394,M394^0.5)</f>
        <v>6.2263225237995723</v>
      </c>
      <c r="CR394" s="40">
        <v>1</v>
      </c>
      <c r="CS394" s="9">
        <f>4*CQ394*P394+60*CQ394</f>
        <v>549.41069950007432</v>
      </c>
      <c r="CU394" s="4">
        <f>AJ394/BF394</f>
        <v>1.3186172092729258</v>
      </c>
      <c r="CV394" s="4">
        <f>AJ394/BK394</f>
        <v>0.36370914366668056</v>
      </c>
      <c r="CW394" s="4">
        <f>AJ394/BN394</f>
        <v>0.63823159385634853</v>
      </c>
      <c r="CX394" s="4">
        <f>AJ394/CS394</f>
        <v>0.9376818002668581</v>
      </c>
      <c r="CY394" s="4">
        <f>AJ394/DZ394</f>
        <v>1.0824860548652508</v>
      </c>
      <c r="CZ394" s="4">
        <f>AJ394/EL394</f>
        <v>0.65440646347147291</v>
      </c>
      <c r="DA394" s="4">
        <f>AJ394/GI394</f>
        <v>1.0155616105585565</v>
      </c>
      <c r="DB394" s="4">
        <f>AN394</f>
        <v>4</v>
      </c>
      <c r="DI394" s="4">
        <f>CU394</f>
        <v>1.3186172092729258</v>
      </c>
      <c r="DJ394" s="4">
        <f>CV394</f>
        <v>0.36370914366668056</v>
      </c>
      <c r="DK394" s="4">
        <f>CX394</f>
        <v>0.9376818002668581</v>
      </c>
      <c r="DL394" s="4">
        <f>DA394</f>
        <v>1.0155616105585565</v>
      </c>
      <c r="DM394" s="4">
        <f>CY394</f>
        <v>1.0824860548652508</v>
      </c>
      <c r="DN394" s="4">
        <f>CZ394</f>
        <v>0.65440646347147291</v>
      </c>
      <c r="DQ394" s="4">
        <f>L394</f>
        <v>179.32399999999998</v>
      </c>
      <c r="DT394" s="4">
        <f>K394/4/(1-0.3*(M394/30)^0.5)/200000/N394</f>
        <v>2.0808531361433225E-5</v>
      </c>
      <c r="DU394" s="4">
        <f>EP394</f>
        <v>14.3619216407349</v>
      </c>
      <c r="DV394" s="4">
        <f>EC394*AG394/257/M394/AD394</f>
        <v>9.8063628628074537E-2</v>
      </c>
      <c r="DW394" s="4">
        <f>DU394*DV394^0.4</f>
        <v>5.6730385742760294</v>
      </c>
      <c r="DX394" s="4">
        <f>MIN(DU394, DU394/1.4*(1-DV394^1.4)/(1-DV394))</f>
        <v>10.933304428587197</v>
      </c>
      <c r="DY394" s="4">
        <f>MAX(DU394/2, (4-DT394*(8*AG394*(DW394-DX394)+6*K394*DX394))/(4+DT394*K394*DU394)*DU394)</f>
        <v>13.480986145379685</v>
      </c>
      <c r="DZ394" s="38">
        <f>MIN(1/N394*(4*AG394*(DW394-DX394)+(3*DX394+DY394)*K394)+EC394 -FJ394,MAX(J394,AJ394))</f>
        <v>475.91598199131795</v>
      </c>
      <c r="EA394" s="4">
        <f>DZ394/FF394</f>
        <v>1.0000932256801707</v>
      </c>
      <c r="EB394" s="4">
        <f>AG394/N394</f>
        <v>2.2360679774997898</v>
      </c>
      <c r="EC394" s="4">
        <f>MIN(EB$10*BB394)</f>
        <v>196.22208012730368</v>
      </c>
      <c r="EG394" s="4">
        <f>IF(U394&gt;1*N394,0.85,1)</f>
        <v>0.85</v>
      </c>
      <c r="EH394" s="4">
        <f>MIN(1,MAX(0.7,(1-0.1*(BZ394-1*N394)/N394)))</f>
        <v>0.85</v>
      </c>
      <c r="EI394" s="4">
        <f>MIN(1,MAX(0.7,1-0.3*(PI()*AM394^2/4*AQ394*2-0.25*PI()/4*N394^2)/(PI()/4*N394^2)))</f>
        <v>0.92500000000000004</v>
      </c>
      <c r="EJ394" s="4">
        <f>IF(EH394*EI394&lt;0.7,0.7,EH394*EI394)</f>
        <v>0.78625</v>
      </c>
      <c r="EL394" s="4">
        <f>MIN(DU394/N394*3*K394+EM394-FJ394,MAX(J394,AJ394))</f>
        <v>787.23613312166049</v>
      </c>
      <c r="EM394" s="25">
        <f>13.3*Q394*K394^0.5*M394^0.5/X394/N394^2*(0.7+S394/5/K394)</f>
        <v>483.05063277089533</v>
      </c>
      <c r="EO394" s="4">
        <f>EG394*EJ394</f>
        <v>0.66831249999999998</v>
      </c>
      <c r="EP394" s="4">
        <f>IF(N394&lt;22.2,1.1*5*(M394/30)^0.5,IF(N394&gt;=31.8,0.9*5*(M394/30)^0.5,1*5*(M394/30)^0.5))/EG394/EJ394</f>
        <v>14.3619216407349</v>
      </c>
      <c r="ES394" s="4">
        <f>ET394*N394</f>
        <v>56.796126628494655</v>
      </c>
      <c r="ET394" s="4">
        <f>AF394^0.5</f>
        <v>2.2360679774997898</v>
      </c>
      <c r="EU394" s="4">
        <f>MIN(EC394)/(4700*M394^0.5)/AE394*ES394</f>
        <v>5.6380118556132057E-2</v>
      </c>
      <c r="EX394" s="4">
        <f>EU394</f>
        <v>5.6380118556132057E-2</v>
      </c>
      <c r="EY394" s="4">
        <f>MIN(0.999, EX394/(0.3*(M394/30)^0.5))</f>
        <v>9.789997870847017E-2</v>
      </c>
      <c r="EZ394" s="4">
        <f>EP394/1*EY394^0.4</f>
        <v>5.6692497790709622</v>
      </c>
      <c r="FA394" s="4">
        <f>EP394/1.4*(1-EY394^1.4)/(1-EY394)</f>
        <v>10.932349820417299</v>
      </c>
      <c r="FB394" s="4">
        <f>MAX(0,DQ394*FB$9-ES394)</f>
        <v>77.696873371505347</v>
      </c>
      <c r="FC394" s="4">
        <f>MAX(0,DQ394-ES394-FB394)</f>
        <v>44.830999999999989</v>
      </c>
      <c r="FD394" s="4">
        <f>FC394/(1-0.3*(M394/30)^0.5)/200000/N394</f>
        <v>2.0808531361433218E-5</v>
      </c>
      <c r="FE394" s="4">
        <f>MAX(0.5*EP394, (1-2*FD394*(ES394*EZ394+FB394*FA394))/(1/EP394+FD394*FC394))</f>
        <v>13.481156809007564</v>
      </c>
      <c r="FF394" s="4">
        <f>MIN(4/N394*(1*EZ394*ES394+FA394*FB394+FC394*FE394)+EC394,MAX(J394,AJ394))</f>
        <v>475.871618536006</v>
      </c>
      <c r="FO394" s="23">
        <f>IF(CU394&lt;0.6,0.6,IF(CU394&lt;0.8,0.8,IF(CU394&lt;1,1,IF(CU394&lt;1.2,1.2,IF(CU394&lt;1.4,1.4,IF(CU394&lt;1.6,1.6,IF(CU394&lt;1.8,1.8,IF(CU394&lt;2,2,2.2))))))))</f>
        <v>1.4</v>
      </c>
      <c r="FP394" s="23">
        <f>IF(CV394&lt;0.6,0.6,IF(CV394&lt;0.8,0.8,IF(CV394&lt;1,1,IF(CV394&lt;1.2,1.2,IF(CV394&lt;1.4,1.4,IF(CV394&lt;1.6,1.6,IF(CV394&lt;1.8,1.8,IF(CV394&lt;2,2,2.2))))))))</f>
        <v>0.6</v>
      </c>
      <c r="FQ394" s="23">
        <f>IF(DA394&lt;0.6,0.6,IF(DA394&lt;0.8,0.8,IF(DA394&lt;1,1,IF(DA394&lt;1.2,1.2,IF(DA394&lt;1.4,1.4,IF(DA394&lt;1.6,1.6,IF(DA394&lt;1.8,1.8,IF(DA394&lt;2,2,2.2))))))))</f>
        <v>1.2</v>
      </c>
      <c r="FR394" s="23">
        <f>IF(CX394&lt;0.6,0.6,IF(CX394&lt;0.8,0.8,IF(CX394&lt;1,1,IF(CX394&lt;1.2,1.2,IF(CX394&lt;1.4,1.4,IF(CX394&lt;1.6,1.6,IF(CX394&lt;1.8,1.8,IF(CX394&lt;2,2,2.2))))))))</f>
        <v>1</v>
      </c>
      <c r="FS394" s="23">
        <f>IF(CY394&lt;0.6,0.6,IF(CY394&lt;0.8,0.8,IF(CY394&lt;1,1,IF(CY394&lt;1.2,1.2,IF(CY394&lt;1.4,1.4,IF(CY394&lt;1.6,1.6,IF(CY394&lt;1.8,1.8,IF(CY394&lt;2,2,2.2))))))))</f>
        <v>1.2</v>
      </c>
      <c r="FT394" s="23">
        <f>IF(CZ394&lt;0.6,0.6,IF(CZ394&lt;0.8,0.8,IF(CZ394&lt;1,1,IF(CZ394&lt;1.2,1.2,IF(CZ394&lt;1.4,1.4,IF(CZ394&lt;1.6,1.6,IF(CZ394&lt;1.8,1.8,IF(CZ394&lt;2,2,2.2))))))))</f>
        <v>0.8</v>
      </c>
      <c r="FU394" s="23">
        <f>IF(FS394&lt;1,1,0)</f>
        <v>0</v>
      </c>
      <c r="FV394" s="23"/>
      <c r="GF394" s="4">
        <f>IF(S394&gt;=2.5*25.4,1,1.25)</f>
        <v>1</v>
      </c>
      <c r="GG394" s="4">
        <f>IF(AO394&gt;1, 0.05*(18-MIN(8,(W394+N394)/N394))*(1-48000/MAX(60000,(J394*145))*(N394/25.4)^0.75*GH394), 1/12*(14-MIN(8,(W394+N394)/N394)))</f>
        <v>0.45</v>
      </c>
      <c r="GH394" s="4">
        <f>MIN(0.3, AM394^2*PI()/4*2*AP394/(N394^2*PI()/4*X394))</f>
        <v>0.25</v>
      </c>
      <c r="GI394" s="4">
        <f>(K394/25.4)/(N394/25.4)^1.5/0.0024*(M394*145)^0.25/GF394/GG394/145</f>
        <v>507.27834573203279</v>
      </c>
    </row>
    <row r="395" spans="1:191" ht="12" customHeight="1" x14ac:dyDescent="0.3">
      <c r="A395" s="25">
        <v>298</v>
      </c>
      <c r="B395" s="4" t="s">
        <v>605</v>
      </c>
      <c r="C395" s="4">
        <v>2016</v>
      </c>
      <c r="D395" s="4" t="s">
        <v>309</v>
      </c>
      <c r="E395" s="24" t="s">
        <v>668</v>
      </c>
      <c r="F395" s="24"/>
      <c r="G395" s="24">
        <v>34</v>
      </c>
      <c r="H395" s="7" t="s">
        <v>458</v>
      </c>
      <c r="I395" s="5">
        <f>K395/N395</f>
        <v>7</v>
      </c>
      <c r="J395" s="78">
        <f>115.9/0.145</f>
        <v>799.31034482758628</v>
      </c>
      <c r="K395" s="38">
        <f>7*25.4</f>
        <v>177.79999999999998</v>
      </c>
      <c r="L395" s="4">
        <f>K395</f>
        <v>177.79999999999998</v>
      </c>
      <c r="M395" s="38">
        <f>16030/145</f>
        <v>110.55172413793103</v>
      </c>
      <c r="N395" s="38">
        <f>1*25.4</f>
        <v>25.4</v>
      </c>
      <c r="O395" s="7">
        <f>K395/N395</f>
        <v>7</v>
      </c>
      <c r="P395" s="7">
        <f>L395/N395</f>
        <v>7</v>
      </c>
      <c r="Q395" s="38">
        <f>17.6*25.4</f>
        <v>447.04</v>
      </c>
      <c r="R395" s="32">
        <f>S395/N395</f>
        <v>2.85</v>
      </c>
      <c r="S395" s="38">
        <f>2.85*25.4</f>
        <v>72.39</v>
      </c>
      <c r="T395" s="32">
        <f>U395/N395</f>
        <v>3.3</v>
      </c>
      <c r="U395" s="39">
        <f>3.3*25.4</f>
        <v>83.82</v>
      </c>
      <c r="V395" s="32">
        <f>W395/N395</f>
        <v>9.9</v>
      </c>
      <c r="W395" s="7">
        <f>(Q395-X395*N395-2*S395)/(X395-1)</f>
        <v>251.46</v>
      </c>
      <c r="X395" s="38">
        <v>2</v>
      </c>
      <c r="Y395" s="7">
        <f>AN395</f>
        <v>4</v>
      </c>
      <c r="Z395" s="32">
        <f>AA395/N395</f>
        <v>10.25</v>
      </c>
      <c r="AA395" s="4">
        <f>10.25*25.4</f>
        <v>260.34999999999997</v>
      </c>
      <c r="AB395" s="7">
        <f>MIN(S395/N395+0.5, W395/2/N395+0.5)</f>
        <v>3.35</v>
      </c>
      <c r="AC395" s="7">
        <f>S395/N395+0.5</f>
        <v>3.35</v>
      </c>
      <c r="AD395" s="38">
        <v>14.9</v>
      </c>
      <c r="AE395" s="4">
        <f>AD395</f>
        <v>14.9</v>
      </c>
      <c r="AF395" s="4">
        <f>AE395+1</f>
        <v>15.9</v>
      </c>
      <c r="AG395" s="7">
        <f>N395*AF395^0.5</f>
        <v>101.28200234987457</v>
      </c>
      <c r="AJ395" s="38">
        <f>AK395/0.145</f>
        <v>692.41379310344837</v>
      </c>
      <c r="AK395" s="4">
        <v>100.4</v>
      </c>
      <c r="AL395" s="4">
        <f>CY395</f>
        <v>1.6008115856850342</v>
      </c>
      <c r="AM395" s="38">
        <f>0.5*25.4</f>
        <v>12.7</v>
      </c>
      <c r="AN395" s="38">
        <v>4</v>
      </c>
      <c r="AO395" s="39">
        <f>5.5*25.4</f>
        <v>139.69999999999999</v>
      </c>
      <c r="AP395" s="39">
        <v>1</v>
      </c>
      <c r="AQ395" s="39">
        <v>1</v>
      </c>
      <c r="AR395" s="7"/>
      <c r="AS395" s="4">
        <f>K395</f>
        <v>177.79999999999998</v>
      </c>
      <c r="AT395" s="4">
        <f>IF(K395*3&gt;W395+N395, Q395, (S395+N395/2)*2+1.5*K395*(2*X395-2))*(3*K395)/(9*K395^2)</f>
        <v>0.83809523809523823</v>
      </c>
      <c r="AU395" s="4">
        <f>MIN(10*M395^0.5*K395^1.5,100*3.9*M395^0.5*K395^(5/3))/(PI()/4*N395^2)/X395</f>
        <v>245.97619817542986</v>
      </c>
      <c r="AV395" s="4">
        <f>MIN(0.7+0.3*(MIN(S395,AA395)+0.5*N395)/1.5/K395,1)</f>
        <v>0.79571428571428571</v>
      </c>
      <c r="AW395" s="4">
        <v>1.25</v>
      </c>
      <c r="AX395" s="4">
        <f>AX394</f>
        <v>1</v>
      </c>
      <c r="AY395" s="38">
        <f>AT395*AV395*AW395*AX395*AU395</f>
        <v>205.0470974450148</v>
      </c>
      <c r="AZ395" s="38">
        <f>AY395</f>
        <v>205.0470974450148</v>
      </c>
      <c r="BA395" s="38">
        <f>IF(M395&lt;50, 0.3*M395^(2/3), 2.12*LN(1+0.1*(M395+8)))</f>
        <v>5.4139420559889198</v>
      </c>
      <c r="BB395" s="38">
        <f>AX395* (M395^0.5/AS395^0.5)/(PI()/4*N395^2)/X395/0.72 *(0.7+(MIN(S395,AA395)+0.5*N395)/5/K395) *(3*Q395*K395)</f>
        <v>205.04709744501483</v>
      </c>
      <c r="BC395" s="38">
        <f>AY395/BB395</f>
        <v>0.99999999999999989</v>
      </c>
      <c r="BD395" s="38">
        <f>BH395/BB395</f>
        <v>13.943757815074527</v>
      </c>
      <c r="BE395" s="4">
        <f>IF(BD395&lt;1,1,0)</f>
        <v>0</v>
      </c>
      <c r="BF395" s="4">
        <f>L395/N395*M395^0.5/0.19</f>
        <v>387.37108418559029</v>
      </c>
      <c r="BG395" s="4">
        <f>MIN(0.6+0.4*(AC395/AB395),2)</f>
        <v>1</v>
      </c>
      <c r="BH395" s="38">
        <f>2*M395*AB395*AD395^0.5*BG395*0.7/0.7</f>
        <v>2859.1270674572734</v>
      </c>
      <c r="BI395" s="4">
        <f>MAX(1-0.7*AE395/5,0.3)</f>
        <v>0.3</v>
      </c>
      <c r="BJ395" s="4">
        <f>BI395*J395*L395/(J395*N395/2.75/M395^0.5)</f>
        <v>60.720417446091268</v>
      </c>
      <c r="BK395" s="4">
        <f>BH395+BJ395</f>
        <v>2919.8474849033646</v>
      </c>
      <c r="BM395" s="4">
        <f>MIN(1.5, 0.75+0.25*MIN(3,MAX(1,S395/N395))+0.4*MIN(1,(40*2*PI()*AM395^2/4/AO395/X395)/N395))</f>
        <v>1.5</v>
      </c>
      <c r="BN395" s="4">
        <f>(3*P395+30)*BM395*M395^0.5</f>
        <v>804.34838694822213</v>
      </c>
      <c r="BP395" s="4">
        <f>3.4/PI()^0.5*M395*AB395*AE395^0.5*BG395</f>
        <v>2742.2525061480219</v>
      </c>
      <c r="BQ395" s="4">
        <f>8/3*AH395*AI395^2/(AG395-N395-22)/N395*(AG395^2-N395^2)/(AG395^2-(N395+22)^2)</f>
        <v>0</v>
      </c>
      <c r="BR395" s="4">
        <f>BQ395/BP395</f>
        <v>0</v>
      </c>
      <c r="BZ395" s="4">
        <f>IF(W395=0,S395,MIN(W395/2,S395))</f>
        <v>72.39</v>
      </c>
      <c r="CD395" s="9"/>
      <c r="CF395" s="9"/>
      <c r="CG395" s="9"/>
      <c r="CH395" s="9">
        <f>IF(W395=0,MIN(S395,U395),MIN(W395/2,S395,U395))</f>
        <v>72.39</v>
      </c>
      <c r="CI395" s="9">
        <f>MAX(W395/2,S395)</f>
        <v>125.73</v>
      </c>
      <c r="CJ395" s="9">
        <f>(CH395/N395)^0.5*(CI395/CH395)^0.15</f>
        <v>1.8339457339368097</v>
      </c>
      <c r="CK395" s="70">
        <f>IF(AO395&gt;1,20,0)</f>
        <v>20</v>
      </c>
      <c r="CL395" s="9">
        <f>MIN(PI()*AM395^2/4*AN395*2/X395/N395/MAX(0.01,AO395),0.05)</f>
        <v>0.05</v>
      </c>
      <c r="CM395" s="9">
        <f>MAX(0,CK395*(CL395-0.5/50))</f>
        <v>0.8</v>
      </c>
      <c r="CN395" s="9">
        <f>MIN(1,(25/N395)^0.3)</f>
        <v>0.99524931562137331</v>
      </c>
      <c r="CO395" s="9">
        <f>IF(J395&gt;=800,0.68,IF(J395&gt;=700,0.75-(J395-700)*0.07/100,IF(J395&gt;=600,0.85-(J395-600)*0.1/100,IF(J395&gt;=500,1-(J395-500)*0.15/100,1.2-(J395-400)*0.2/100))))</f>
        <v>0.68048275862068963</v>
      </c>
      <c r="CP395" s="9">
        <f>1.75*CN395*CO395*(M395/25)^0.5</f>
        <v>2.4922971335630986</v>
      </c>
      <c r="CQ395" s="9">
        <f>MIN((CJ395+CM395)*CP395,2.5*CP395,M395^0.5)</f>
        <v>6.2307428339077466</v>
      </c>
      <c r="CR395" s="40">
        <v>1</v>
      </c>
      <c r="CS395" s="9">
        <f>4*CQ395*P395+60*CQ395</f>
        <v>548.30536938388173</v>
      </c>
      <c r="CU395" s="4">
        <f>AJ395/BF395</f>
        <v>1.7874689706362066</v>
      </c>
      <c r="CV395" s="4">
        <f>AJ395/BK395</f>
        <v>0.23714039746372731</v>
      </c>
      <c r="CW395" s="4">
        <f>AJ395/BN395</f>
        <v>0.8608381695530406</v>
      </c>
      <c r="CX395" s="4">
        <f>AJ395/CS395</f>
        <v>1.2628251185675932</v>
      </c>
      <c r="CY395" s="4">
        <f>AJ395/DZ395</f>
        <v>1.6008115856850342</v>
      </c>
      <c r="CZ395" s="4">
        <f>AJ395/EL395</f>
        <v>0.86626402070750652</v>
      </c>
      <c r="DA395" s="4">
        <f>AJ395/GI395</f>
        <v>1.3712468718361366</v>
      </c>
      <c r="DB395" s="4">
        <f>AN395</f>
        <v>4</v>
      </c>
      <c r="DI395" s="4">
        <f>CU395</f>
        <v>1.7874689706362066</v>
      </c>
      <c r="DJ395" s="4">
        <f>CV395</f>
        <v>0.23714039746372731</v>
      </c>
      <c r="DK395" s="4">
        <f>CX395</f>
        <v>1.2628251185675932</v>
      </c>
      <c r="DL395" s="4">
        <f>DA395</f>
        <v>1.3712468718361366</v>
      </c>
      <c r="DM395" s="4">
        <f>CY395</f>
        <v>1.6008115856850342</v>
      </c>
      <c r="DN395" s="4">
        <f>CZ395</f>
        <v>0.86626402070750652</v>
      </c>
      <c r="DQ395" s="4">
        <f>L395</f>
        <v>177.79999999999998</v>
      </c>
      <c r="DT395" s="4">
        <f>K395/4/(1-0.3*(M395/30)^0.5)/200000/N395</f>
        <v>2.0631688318701494E-5</v>
      </c>
      <c r="DU395" s="4">
        <f>EP395</f>
        <v>14.978691281748057</v>
      </c>
      <c r="DV395" s="4">
        <f>EC395*AG395/257/M395/AD395</f>
        <v>4.9057000766650656E-2</v>
      </c>
      <c r="DW395" s="4">
        <f>DU395*DV395^0.4</f>
        <v>4.4849155212905361</v>
      </c>
      <c r="DX395" s="4">
        <f>MIN(DU395, DU395/1.4*(1-DV395^1.4)/(1-DV395))</f>
        <v>11.085743902541399</v>
      </c>
      <c r="DY395" s="4">
        <f>MAX(DU395/2, (4-DT395*(8*AG395*(DW395-DX395)+6*K395*DX395))/(4+DT395*K395*DU395)*DU395)</f>
        <v>14.282027859379806</v>
      </c>
      <c r="DZ395" s="38">
        <f>MIN(1/N395*(4*AG395*(DW395-DX395)+(3*DX395+DY395)*K395)+EC395 -FJ395,MAX(J395,AJ395))</f>
        <v>432.53921904066192</v>
      </c>
      <c r="EA395" s="4">
        <f>DZ395/FF395</f>
        <v>1.0001139272684518</v>
      </c>
      <c r="EB395" s="4">
        <f>AG395/N395</f>
        <v>3.9874804074753771</v>
      </c>
      <c r="EC395" s="4">
        <f>MIN(EB$10*BB395)</f>
        <v>205.04709744501483</v>
      </c>
      <c r="EG395" s="4">
        <f>IF(U395&gt;1*N395,0.85,1)</f>
        <v>0.85</v>
      </c>
      <c r="EH395" s="4">
        <f>MIN(1,MAX(0.7,(1-0.1*(BZ395-1*N395)/N395)))</f>
        <v>0.81499999999999995</v>
      </c>
      <c r="EI395" s="4">
        <f>MIN(1,MAX(0.7,1-0.3*(PI()*AM395^2/4*AQ395*2-0.25*PI()/4*N395^2)/(PI()/4*N395^2)))</f>
        <v>0.92500000000000004</v>
      </c>
      <c r="EJ395" s="4">
        <f>IF(EH395*EI395&lt;0.7,0.7,EH395*EI395)</f>
        <v>0.75387499999999996</v>
      </c>
      <c r="EL395" s="4">
        <f>MIN(DU395/N395*3*K395+EM395-FJ395,MAX(J395,AJ395))</f>
        <v>799.31034482758628</v>
      </c>
      <c r="EM395" s="25">
        <f>13.3*Q395*K395^0.5*M395^0.5/X395/N395^2*(0.7+S395/5/K395)</f>
        <v>504.82228840667528</v>
      </c>
      <c r="EO395" s="4">
        <f>EG395*EJ395</f>
        <v>0.64079374999999994</v>
      </c>
      <c r="EP395" s="4">
        <f>IF(N395&lt;22.2,1.1*5*(M395/30)^0.5,IF(N395&gt;=31.8,0.9*5*(M395/30)^0.5,1*5*(M395/30)^0.5))/EG395/EJ395</f>
        <v>14.978691281748057</v>
      </c>
      <c r="ES395" s="4">
        <f>ET395*N395</f>
        <v>101.28200234987457</v>
      </c>
      <c r="ET395" s="4">
        <f>AF395^0.5</f>
        <v>3.9874804074753771</v>
      </c>
      <c r="EU395" s="4">
        <f>MIN(EC395)/(4700*M395^0.5)/AE395*ES395</f>
        <v>2.8204539827115842E-2</v>
      </c>
      <c r="EX395" s="4">
        <f>EU395</f>
        <v>2.8204539827115842E-2</v>
      </c>
      <c r="EY395" s="4">
        <f>MIN(0.999, EX395/(0.3*(M395/30)^0.5))</f>
        <v>4.8975133775353182E-2</v>
      </c>
      <c r="EZ395" s="4">
        <f>EP395/1*EY395^0.4</f>
        <v>4.4819202258770252</v>
      </c>
      <c r="FA395" s="4">
        <f>EP395/1.4*(1-EY395^1.4)/(1-EY395)</f>
        <v>11.08517555510247</v>
      </c>
      <c r="FB395" s="4">
        <f>MAX(0,DQ395*FB$9-ES395)</f>
        <v>32.06799765012542</v>
      </c>
      <c r="FC395" s="4">
        <f>MAX(0,DQ395-ES395-FB395)</f>
        <v>44.449999999999989</v>
      </c>
      <c r="FD395" s="4">
        <f>FC395/(1-0.3*(M395/30)^0.5)/200000/N395</f>
        <v>2.0631688318701491E-5</v>
      </c>
      <c r="FE395" s="4">
        <f>MAX(0.5*EP395, (1-2*FD395*(ES395*EZ395+FB395*FA395))/(1/EP395+FD395*FC395))</f>
        <v>14.282223934802385</v>
      </c>
      <c r="FF395" s="4">
        <f>MIN(4/N395*(1*EZ395*ES395+FA395*FB395+FC395*FE395)+EC395,MAX(J395,AJ395))</f>
        <v>432.48994664240803</v>
      </c>
      <c r="FO395" s="23">
        <f>IF(CU395&lt;0.6,0.6,IF(CU395&lt;0.8,0.8,IF(CU395&lt;1,1,IF(CU395&lt;1.2,1.2,IF(CU395&lt;1.4,1.4,IF(CU395&lt;1.6,1.6,IF(CU395&lt;1.8,1.8,IF(CU395&lt;2,2,2.2))))))))</f>
        <v>1.8</v>
      </c>
      <c r="FP395" s="23">
        <f>IF(CV395&lt;0.6,0.6,IF(CV395&lt;0.8,0.8,IF(CV395&lt;1,1,IF(CV395&lt;1.2,1.2,IF(CV395&lt;1.4,1.4,IF(CV395&lt;1.6,1.6,IF(CV395&lt;1.8,1.8,IF(CV395&lt;2,2,2.2))))))))</f>
        <v>0.6</v>
      </c>
      <c r="FQ395" s="23">
        <f>IF(DA395&lt;0.6,0.6,IF(DA395&lt;0.8,0.8,IF(DA395&lt;1,1,IF(DA395&lt;1.2,1.2,IF(DA395&lt;1.4,1.4,IF(DA395&lt;1.6,1.6,IF(DA395&lt;1.8,1.8,IF(DA395&lt;2,2,2.2))))))))</f>
        <v>1.4</v>
      </c>
      <c r="FR395" s="23">
        <f>IF(CX395&lt;0.6,0.6,IF(CX395&lt;0.8,0.8,IF(CX395&lt;1,1,IF(CX395&lt;1.2,1.2,IF(CX395&lt;1.4,1.4,IF(CX395&lt;1.6,1.6,IF(CX395&lt;1.8,1.8,IF(CX395&lt;2,2,2.2))))))))</f>
        <v>1.4</v>
      </c>
      <c r="FS395" s="23">
        <f>IF(CY395&lt;0.6,0.6,IF(CY395&lt;0.8,0.8,IF(CY395&lt;1,1,IF(CY395&lt;1.2,1.2,IF(CY395&lt;1.4,1.4,IF(CY395&lt;1.6,1.6,IF(CY395&lt;1.8,1.8,IF(CY395&lt;2,2,2.2))))))))</f>
        <v>1.8</v>
      </c>
      <c r="FT395" s="23">
        <f>IF(CZ395&lt;0.6,0.6,IF(CZ395&lt;0.8,0.8,IF(CZ395&lt;1,1,IF(CZ395&lt;1.2,1.2,IF(CZ395&lt;1.4,1.4,IF(CZ395&lt;1.6,1.6,IF(CZ395&lt;1.8,1.8,IF(CZ395&lt;2,2,2.2))))))))</f>
        <v>1</v>
      </c>
      <c r="FU395" s="23">
        <f>IF(FS395&lt;1,1,0)</f>
        <v>0</v>
      </c>
      <c r="FV395" s="23"/>
      <c r="GF395" s="4">
        <f>IF(S395&gt;=2.5*25.4,1,1.25)</f>
        <v>1</v>
      </c>
      <c r="GG395" s="4">
        <f>IF(AO395&gt;1, 0.05*(18-MIN(8,(W395+N395)/N395))*(1-48000/MAX(60000,(J395*145))*(N395/25.4)^0.75*GH395), 1/12*(14-MIN(8,(W395+N395)/N395)))</f>
        <v>0.4482312338222606</v>
      </c>
      <c r="GH395" s="4">
        <f>MIN(0.3, AM395^2*PI()/4*2*AP395/(N395^2*PI()/4*X395))</f>
        <v>0.25</v>
      </c>
      <c r="GI395" s="4">
        <f>(K395/25.4)/(N395/25.4)^1.5/0.0024*(M395*145)^0.25/GF395/GG395/145</f>
        <v>504.95195819574604</v>
      </c>
    </row>
    <row r="396" spans="1:191" ht="12" customHeight="1" x14ac:dyDescent="0.3">
      <c r="A396" s="25">
        <v>146</v>
      </c>
      <c r="B396" s="24" t="s">
        <v>659</v>
      </c>
      <c r="C396" s="24">
        <v>2007</v>
      </c>
      <c r="D396" s="24" t="s">
        <v>309</v>
      </c>
      <c r="E396" s="24"/>
      <c r="F396" s="24"/>
      <c r="G396" s="24">
        <v>1</v>
      </c>
      <c r="H396" s="4" t="s">
        <v>123</v>
      </c>
      <c r="I396" s="5">
        <f>K396/N396</f>
        <v>6.3385826771653546</v>
      </c>
      <c r="J396" s="7">
        <v>454.8</v>
      </c>
      <c r="K396" s="7">
        <v>161</v>
      </c>
      <c r="L396" s="7">
        <f>K396</f>
        <v>161</v>
      </c>
      <c r="M396" s="7">
        <v>25.1</v>
      </c>
      <c r="N396" s="7">
        <v>25.4</v>
      </c>
      <c r="O396" s="7">
        <f>K396/N396</f>
        <v>6.3385826771653546</v>
      </c>
      <c r="P396" s="7">
        <f>L396/N396</f>
        <v>6.3385826771653546</v>
      </c>
      <c r="Q396" s="7">
        <v>160</v>
      </c>
      <c r="R396" s="32">
        <f>S396/N396</f>
        <v>2.6496062992125986</v>
      </c>
      <c r="S396" s="7">
        <f>(Q396-N396)/2</f>
        <v>67.3</v>
      </c>
      <c r="T396" s="32">
        <f>U396/N396</f>
        <v>6.0236220472440944</v>
      </c>
      <c r="U396" s="7">
        <f>323-9-L396</f>
        <v>153</v>
      </c>
      <c r="V396" s="32">
        <f>W396/N396</f>
        <v>0</v>
      </c>
      <c r="W396" s="7">
        <v>0</v>
      </c>
      <c r="X396" s="7">
        <v>1</v>
      </c>
      <c r="Y396" s="7">
        <f>AN396</f>
        <v>0</v>
      </c>
      <c r="Z396" s="32">
        <f>AA396/N396</f>
        <v>10.94488188976378</v>
      </c>
      <c r="AA396" s="7">
        <f>323-45</f>
        <v>278</v>
      </c>
      <c r="AB396" s="7">
        <f>S396/N396+0.5</f>
        <v>3.1496062992125986</v>
      </c>
      <c r="AC396" s="7">
        <f>S396/N396+0.5</f>
        <v>3.1496062992125986</v>
      </c>
      <c r="AD396" s="7">
        <f>2040/510</f>
        <v>4</v>
      </c>
      <c r="AE396" s="7">
        <f>2040/510</f>
        <v>4</v>
      </c>
      <c r="AF396" s="7">
        <f>AE396+1</f>
        <v>5</v>
      </c>
      <c r="AG396" s="7">
        <f>N396*AF396^0.5</f>
        <v>56.796126628494655</v>
      </c>
      <c r="AH396" s="7">
        <f>J396</f>
        <v>454.8</v>
      </c>
      <c r="AI396" s="7">
        <v>9</v>
      </c>
      <c r="AJ396" s="7">
        <f>(59+56)/2/510*1000</f>
        <v>112.74509803921569</v>
      </c>
      <c r="AK396" s="7"/>
      <c r="AL396" s="7"/>
      <c r="AM396" s="7">
        <v>0</v>
      </c>
      <c r="AN396" s="7">
        <v>0</v>
      </c>
      <c r="AO396" s="7">
        <f>L396</f>
        <v>161</v>
      </c>
      <c r="AP396" s="7"/>
      <c r="AQ396" s="7"/>
      <c r="AR396" s="7">
        <f>3*AS396/(W396+N396)</f>
        <v>19.015748031496063</v>
      </c>
      <c r="AS396" s="4">
        <f>K396</f>
        <v>161</v>
      </c>
      <c r="AT396" s="4">
        <f>MIN(9*K396^2,Q396*3*K396)/(9*K396^2)</f>
        <v>0.33126293995859213</v>
      </c>
      <c r="AU396" s="4">
        <f>MIN(10*M396^0.5*K396^1.5,3.9*M396^0.5*K396^(5/3))/(PI()/4*N396^2)</f>
        <v>183.73304806343879</v>
      </c>
      <c r="AV396" s="4">
        <f>MIN(0.7+0.3*Q396/2/1.5/K396,1)</f>
        <v>0.79937888198757756</v>
      </c>
      <c r="AW396" s="4">
        <v>1.25</v>
      </c>
      <c r="AX396" s="25">
        <v>1</v>
      </c>
      <c r="AY396" s="38">
        <f>AT396*AV396*AW396*AX396*AU396</f>
        <v>60.816695049739771</v>
      </c>
      <c r="BB396" s="38">
        <f>AX396* (M396^0.5/AS396^0.5)/(PI()/4*N396^2)/X396/0.72 *(0.7+(MIN(S396,AA396)+0.5*N396)/5/K396) *(3*Q396*K396)</f>
        <v>66.858079292379969</v>
      </c>
      <c r="BC396" s="38">
        <f>AY396/BB396</f>
        <v>0.90963868082090182</v>
      </c>
      <c r="BD396" s="38">
        <f>BH396/BB396</f>
        <v>4.7297271442403765</v>
      </c>
      <c r="BE396" s="4">
        <f>IF(BD396&lt;1,1,0)</f>
        <v>0</v>
      </c>
      <c r="BF396" s="4">
        <f>L396/N396*M396^0.5/0.19</f>
        <v>167.13808396435402</v>
      </c>
      <c r="BG396" s="4">
        <f>MIN(0.6+0.4*(AC396/AB396),2)</f>
        <v>1</v>
      </c>
      <c r="BH396" s="38">
        <f>2*M396*AB396*AD396^0.5*BG396*0.7/0.7</f>
        <v>316.22047244094495</v>
      </c>
      <c r="BI396" s="4">
        <f>MAX(1-0.7*AE396/5,0.3)</f>
        <v>0.44000000000000006</v>
      </c>
      <c r="BJ396" s="4">
        <f>BI396*J396*L396/(J396*N396/2.75/M396^0.5)</f>
        <v>38.425045503404988</v>
      </c>
      <c r="BK396" s="4">
        <f>BH396+BJ396</f>
        <v>354.64551794434993</v>
      </c>
      <c r="BM396" s="4">
        <f>MIN(1.5, 0.75+0.25*MIN(3,MAX(1,S396/N396))+0.4*MIN(1,(40*2*PI()*AM396^2/4/AO396/X396)/N396))</f>
        <v>1.4124015748031495</v>
      </c>
      <c r="BN396" s="4">
        <f>(3*P396+30)*BM396*M396^0.5</f>
        <v>346.84120682824488</v>
      </c>
      <c r="BP396" s="4">
        <f>3.4/PI()^0.5*M396*AB396*AE396^0.5*BG396</f>
        <v>303.29410431474349</v>
      </c>
      <c r="BQ396" s="4">
        <f>8/3*AH396*AI396^2/(AG396-N396-22)/N396*(AG396^2-N396^2)/(AG396^2-(N396+22)^2)</f>
        <v>1084.9722194286705</v>
      </c>
      <c r="BR396" s="4">
        <f>BQ396/BP396</f>
        <v>3.5772941313186242</v>
      </c>
      <c r="BZ396" s="4">
        <f>IF(W396=0,S396,MIN(W396/2,S396))</f>
        <v>67.3</v>
      </c>
      <c r="CD396" s="9"/>
      <c r="CF396" s="9"/>
      <c r="CG396" s="9"/>
      <c r="CH396" s="9">
        <f>IF(W396=0,MIN(S396,U396),MIN(W396/2,S396,U396))</f>
        <v>67.3</v>
      </c>
      <c r="CI396" s="9">
        <f>MAX(W396/2,S396)</f>
        <v>67.3</v>
      </c>
      <c r="CJ396" s="9">
        <f>(CH396/N396)^0.5*(CI396/CH396)^0.15</f>
        <v>1.6277611308827222</v>
      </c>
      <c r="CK396" s="70">
        <v>0</v>
      </c>
      <c r="CL396" s="9">
        <f>MIN(PI()*AM396^2/4*AN396*2/X396/N396/MAX(0.01,AO396),0.05)</f>
        <v>0</v>
      </c>
      <c r="CM396" s="9">
        <f>MAX(0,CK396*(CL396-0.5/50))</f>
        <v>0</v>
      </c>
      <c r="CN396" s="9">
        <f>MIN(1,(25/N396)^0.3)</f>
        <v>0.99524931562137331</v>
      </c>
      <c r="CO396" s="9">
        <f>IF(J396&gt;=800,0.68,IF(J396&gt;=700,0.75-(J396-700)*0.07/100,IF(J396&gt;=600,0.85-(J396-600)*0.1/100,IF(J396&gt;=500,1-(J396-500)*0.15/100,1.2-(J396-400)*0.2/100))))</f>
        <v>1.0903999999999998</v>
      </c>
      <c r="CP396" s="9">
        <f>1.75*CN396*CO396*(M396/25)^0.5</f>
        <v>1.9029292228649537</v>
      </c>
      <c r="CQ396" s="9">
        <f>MIN((CJ396+CM396)*CP396,2.5*CP396,M396^0.5)</f>
        <v>3.0975142238004367</v>
      </c>
      <c r="CR396" s="9">
        <v>1</v>
      </c>
      <c r="CS396" s="9">
        <f>4*CQ396*P396+60*CQ396</f>
        <v>264.38625343304517</v>
      </c>
      <c r="CU396" s="4">
        <f>AJ396/BF396</f>
        <v>0.67456258540848857</v>
      </c>
      <c r="CV396" s="4">
        <f>AJ396/BK396</f>
        <v>0.31790927090443977</v>
      </c>
      <c r="CW396" s="4">
        <f>AJ396/BN396</f>
        <v>0.32506258143383421</v>
      </c>
      <c r="CX396" s="4">
        <f>AJ396/CS396</f>
        <v>0.42644084771891505</v>
      </c>
      <c r="CY396" s="4">
        <f>AJ396/DZ396</f>
        <v>1.6863346843418161</v>
      </c>
      <c r="CZ396" s="4" t="e">
        <f>AJ396/EL396</f>
        <v>#DIV/0!</v>
      </c>
      <c r="DA396" s="4">
        <f>AJ396/GI396</f>
        <v>0.6773969671925244</v>
      </c>
      <c r="DP396" s="4">
        <f>AN396</f>
        <v>0</v>
      </c>
      <c r="DQ396" s="4">
        <f>L396</f>
        <v>161</v>
      </c>
      <c r="DT396" s="4">
        <f>K396/4/(1-0.3*(M396/30)^0.5)/200000/N396</f>
        <v>1.0919681186424338E-5</v>
      </c>
      <c r="DU396" s="4">
        <f>EP396</f>
        <v>6.4434781492989988</v>
      </c>
      <c r="DZ396" s="38">
        <f>MIN(1/N396*(4*AG396*(DW396-DX396)+(3*DX396+DY396)*K396)+EC396 -FJ396,MAX(J396,AJ396))</f>
        <v>66.858079292379969</v>
      </c>
      <c r="EA396" s="4">
        <f>DZ396/FF396</f>
        <v>0.36229788726661166</v>
      </c>
      <c r="EC396" s="4">
        <f>MIN(EB$10*BB396)</f>
        <v>66.858079292379969</v>
      </c>
      <c r="EG396" s="4">
        <f>IF(U396&gt;1*N396,0.85,1)</f>
        <v>0.85</v>
      </c>
      <c r="EH396" s="4">
        <f>MIN(1,MAX(0.7,(1-0.1*(BZ396-1*N396)/N396)))</f>
        <v>0.83503937007874018</v>
      </c>
      <c r="EI396" s="4">
        <f>MIN(1,MAX(0.7,1-0.3*(PI()*AM396^2/4*AN396*2-0.25*PI()/4*N396^2)/(PI()/4*N396^2)))</f>
        <v>1</v>
      </c>
      <c r="EJ396" s="4">
        <f>IF(EH396*EI396&lt;0.7,0.7,EH396*EI396)</f>
        <v>0.83503937007874018</v>
      </c>
      <c r="EM396" s="25"/>
      <c r="EP396" s="4">
        <f>IF(N396&lt;22.2,1.1*5*(M396/30)^0.5,IF(N396&gt;=31.8,0.9*5*(M396/30)^0.5,1*5*(M396/30)^0.5))/EJ396/EG396</f>
        <v>6.4434781492989988</v>
      </c>
      <c r="ES396" s="4">
        <f>ET396*N396</f>
        <v>56.796126628494655</v>
      </c>
      <c r="ET396" s="4">
        <f>AF396^0.5</f>
        <v>2.2360679774997898</v>
      </c>
      <c r="EU396" s="4">
        <f>MIN(EC396)/(4700*M396^0.5)/AE396*ES396</f>
        <v>4.0316043465442299E-2</v>
      </c>
      <c r="EX396" s="4">
        <f>EU396</f>
        <v>4.0316043465442299E-2</v>
      </c>
      <c r="EY396" s="4">
        <f>MIN(0.999, EX396/(0.3*(M396/30)^0.5))</f>
        <v>0.14691982982966276</v>
      </c>
      <c r="EZ396" s="4">
        <f>EP396/1*EY396^0.4</f>
        <v>2.991937566563843</v>
      </c>
      <c r="FA396" s="4">
        <f>EP396/1.4*(1-EY396^1.4)/(1-EY396)</f>
        <v>5.0270800205596196</v>
      </c>
      <c r="FB396" s="4">
        <f>MAX(0,DQ396*FB$9-ES396)</f>
        <v>63.953873371505345</v>
      </c>
      <c r="FC396" s="4">
        <f>MAX(0,DQ396-ES396-FB396)</f>
        <v>40.250000000000007</v>
      </c>
      <c r="FD396" s="4">
        <f>FC396/(1-0.3*(M396/30)^0.5)/200000/N396</f>
        <v>1.091968118642434E-5</v>
      </c>
      <c r="FE396" s="4">
        <f>MAX(0.5*EP396, (1-2*FD396*(ES396*EZ396+FB396*FA396))/(1/EP396+FD396*FC396))</f>
        <v>6.3563219390598054</v>
      </c>
      <c r="FF396" s="4">
        <f>MIN(4/N396*(1*EZ396*ES396+FA396*FB396+FC396*FE396)+EC396,MAX(J396,AJ396))</f>
        <v>184.53897094679917</v>
      </c>
      <c r="FO396" s="23"/>
      <c r="FP396" s="23"/>
      <c r="FQ396" s="23"/>
      <c r="FR396" s="23"/>
      <c r="FS396" s="23"/>
      <c r="FT396" s="23"/>
      <c r="FU396" s="23"/>
      <c r="FV396" s="23"/>
      <c r="GF396" s="4">
        <f>IF(S396&gt;=2.5*25.4,1,1.25)</f>
        <v>1</v>
      </c>
      <c r="GG396" s="4">
        <f>IF(AO396&gt;1, 0.05*(18-MIN(8,(W396+N396)/N396))*(1-48000/MAX(60000,(J396*145))*(N396/25.4)^0.75*GH396), 1/12*(14-MIN(8,(W396+N396)/N396)))</f>
        <v>0.85000000000000009</v>
      </c>
      <c r="GH396" s="4">
        <f>MIN(0.3, AM396^2*PI()/4*2*AP396/(N396^2*PI()/4*X396))</f>
        <v>0</v>
      </c>
      <c r="GI396" s="4">
        <f>(K396/25.4)/(N396/25.4)^1.5/0.0024*(M396*145)^0.25/GF396/GG396/145</f>
        <v>166.43874050173031</v>
      </c>
    </row>
    <row r="397" spans="1:191" ht="12" customHeight="1" x14ac:dyDescent="0.3">
      <c r="A397" s="25">
        <v>346</v>
      </c>
      <c r="B397" s="4" t="s">
        <v>605</v>
      </c>
      <c r="C397" s="4">
        <v>2016</v>
      </c>
      <c r="D397" s="4" t="s">
        <v>309</v>
      </c>
      <c r="E397" s="24" t="s">
        <v>672</v>
      </c>
      <c r="F397" s="24"/>
      <c r="G397" s="24">
        <v>19</v>
      </c>
      <c r="H397" s="7" t="s">
        <v>510</v>
      </c>
      <c r="I397" s="5">
        <f>K397/N397</f>
        <v>6.33</v>
      </c>
      <c r="J397" s="38">
        <f>129/0.145</f>
        <v>889.65517241379314</v>
      </c>
      <c r="K397" s="38">
        <f>6.33*25.4</f>
        <v>160.78199999999998</v>
      </c>
      <c r="L397" s="4">
        <f>K397</f>
        <v>160.78199999999998</v>
      </c>
      <c r="M397" s="38">
        <f>4930/145</f>
        <v>34</v>
      </c>
      <c r="N397" s="96">
        <f>1*25.4</f>
        <v>25.4</v>
      </c>
      <c r="O397" s="7">
        <f>K397/N397</f>
        <v>6.33</v>
      </c>
      <c r="P397" s="7">
        <f>L397/N397</f>
        <v>6.33</v>
      </c>
      <c r="Q397" s="38">
        <f>16.9*25.4</f>
        <v>429.25999999999993</v>
      </c>
      <c r="R397" s="32">
        <f>S397/N397</f>
        <v>2.8</v>
      </c>
      <c r="S397" s="38">
        <f>2.8*25.4</f>
        <v>71.11999999999999</v>
      </c>
      <c r="T397" s="32">
        <f>U397/N397</f>
        <v>6.8000000000000007</v>
      </c>
      <c r="U397" s="39">
        <f>6.8*25.4</f>
        <v>172.72</v>
      </c>
      <c r="V397" s="32">
        <f>W397/N397</f>
        <v>4.1499999999999995</v>
      </c>
      <c r="W397" s="7">
        <f>(Q397-X397*N397-2*S397)/(X397-1)</f>
        <v>105.40999999999998</v>
      </c>
      <c r="X397" s="38">
        <v>3</v>
      </c>
      <c r="Y397" s="7">
        <f>AN397</f>
        <v>0</v>
      </c>
      <c r="Z397" s="32">
        <f>AA397/N397</f>
        <v>10.25</v>
      </c>
      <c r="AA397" s="4">
        <f>10.25*25.4</f>
        <v>260.34999999999997</v>
      </c>
      <c r="AB397" s="7">
        <f>MIN(S397/N397+0.5, W397/2/N397+0.5)</f>
        <v>2.5749999999999997</v>
      </c>
      <c r="AC397" s="7">
        <f>S397/N397+0.5</f>
        <v>3.3</v>
      </c>
      <c r="AD397" s="38">
        <v>4.0999999999999996</v>
      </c>
      <c r="AE397" s="4">
        <f>AD397</f>
        <v>4.0999999999999996</v>
      </c>
      <c r="AF397" s="4">
        <f>AE397+1</f>
        <v>5.0999999999999996</v>
      </c>
      <c r="AG397" s="7">
        <f>N397*AF397^0.5</f>
        <v>57.361276136431961</v>
      </c>
      <c r="AJ397" s="38">
        <f>AK397/0.145</f>
        <v>208.96551724137933</v>
      </c>
      <c r="AK397" s="4">
        <v>30.3</v>
      </c>
      <c r="AL397" s="4">
        <f>CY397</f>
        <v>1.0788549020126255</v>
      </c>
      <c r="AM397" s="38">
        <v>0</v>
      </c>
      <c r="AN397" s="38">
        <v>0</v>
      </c>
      <c r="AO397" s="39">
        <f>L397</f>
        <v>160.78199999999998</v>
      </c>
      <c r="AP397" s="39"/>
      <c r="AQ397" s="39"/>
      <c r="AR397" s="7"/>
      <c r="AS397" s="4">
        <f>K397</f>
        <v>160.78199999999998</v>
      </c>
      <c r="AT397" s="4">
        <f>IF(K397*3&gt;W397+N397, Q397, (S397+N397/2)*2+1.5*K397*(2*X397-2))*(3*K397)/(9*K397^2)</f>
        <v>0.88994207477619791</v>
      </c>
      <c r="AU397" s="4">
        <f>MIN(10*M397^0.5*K397^1.5,100*3.9*M397^0.5*K397^(5/3))/(PI()/4*N397^2)/X397</f>
        <v>78.20185035706578</v>
      </c>
      <c r="AV397" s="4">
        <f>MIN(0.7+0.3*(MIN(S397,AA397)+0.5*N397)/1.5/K397,1)</f>
        <v>0.80426540284360182</v>
      </c>
      <c r="AW397" s="4">
        <v>1.25</v>
      </c>
      <c r="AX397" s="4">
        <f>AX396</f>
        <v>1</v>
      </c>
      <c r="AY397" s="38">
        <f>AT397*AV397*AW397*AX397*AU397</f>
        <v>69.966180970322256</v>
      </c>
      <c r="AZ397" s="38">
        <f>AY397</f>
        <v>69.966180970322256</v>
      </c>
      <c r="BA397" s="38">
        <f>IF(M397&lt;50, 0.3*M397^(2/3), 2.12*LN(1+0.1*(M397+8)))</f>
        <v>3.1485253868929024</v>
      </c>
      <c r="BB397" s="38">
        <f>AX397* (M397^0.5/AS397^0.5)/(PI()/4*N397^2)/X397/0.72 *(0.7+(MIN(S397,AA397)+0.5*N397)/5/K397) *(3*Q397*K397)</f>
        <v>69.966180970322242</v>
      </c>
      <c r="BC397" s="38">
        <f>AY397/BB397</f>
        <v>1.0000000000000002</v>
      </c>
      <c r="BD397" s="38">
        <f>BH397/BB397</f>
        <v>5.6381587299560856</v>
      </c>
      <c r="BE397" s="4">
        <f>IF(BD397&lt;1,1,0)</f>
        <v>0</v>
      </c>
      <c r="BF397" s="4">
        <f>L397/N397*M397^0.5/0.19</f>
        <v>194.26276575984608</v>
      </c>
      <c r="BG397" s="4">
        <f>MIN(0.6+0.4*(AC397/AB397),2)</f>
        <v>1.112621359223301</v>
      </c>
      <c r="BH397" s="38">
        <f>2*M397*AB397*AD397^0.5*BG397*0.7/0.7</f>
        <v>394.4804340395097</v>
      </c>
      <c r="BI397" s="4">
        <f>MAX(1-0.7*AE397/5,0.3)</f>
        <v>0.42600000000000005</v>
      </c>
      <c r="BJ397" s="4">
        <f>BI397*J397*L397/(J397*N397/2.75/M397^0.5)</f>
        <v>43.239977716655339</v>
      </c>
      <c r="BK397" s="4">
        <f>BH397+BJ397</f>
        <v>437.72041175616505</v>
      </c>
      <c r="BM397" s="4">
        <f>MIN(1.5, 0.75+0.25*MIN(3,MAX(1,S397/N397))+0.4*MIN(1,(40*2*PI()*AM397^2/4/AO397/X397)/N397))</f>
        <v>1.45</v>
      </c>
      <c r="BN397" s="4">
        <f>(3*P397+30)*BM397*M397^0.5</f>
        <v>414.20458332628334</v>
      </c>
      <c r="BP397" s="4">
        <f>3.4/PI()^0.5*M397*AB397*AE397^0.5*BG397</f>
        <v>378.35497805743148</v>
      </c>
      <c r="BQ397" s="4">
        <f>8/3*AH397*AI397^2/(AG397-N397-22)/N397*(AG397^2-N397^2)/(AG397^2-(N397+22)^2)</f>
        <v>0</v>
      </c>
      <c r="BR397" s="4">
        <f>BQ397/BP397</f>
        <v>0</v>
      </c>
      <c r="BZ397" s="4">
        <f>IF(W397=0,S397,MIN(W397/2,S397))</f>
        <v>52.704999999999991</v>
      </c>
      <c r="CD397" s="9"/>
      <c r="CF397" s="9"/>
      <c r="CG397" s="9"/>
      <c r="CH397" s="9">
        <f>IF(W397=0,MIN(S397,U397),MIN(W397/2,S397,U397))</f>
        <v>52.704999999999991</v>
      </c>
      <c r="CI397" s="9">
        <f>MAX(W397/2,S397)</f>
        <v>71.11999999999999</v>
      </c>
      <c r="CJ397" s="9">
        <f>(CH397/N397)^0.5*(CI397/CH397)^0.15</f>
        <v>1.5067112815202597</v>
      </c>
      <c r="CK397" s="70">
        <f>IF(AO397&gt;1,20,0)</f>
        <v>20</v>
      </c>
      <c r="CL397" s="9">
        <f>MIN(PI()*AM397^2/4*AN397*2/X397/N397/MAX(0.01,AO397),0.05)</f>
        <v>0</v>
      </c>
      <c r="CM397" s="9">
        <f>MAX(0,CK397*(CL397-0.5/50))</f>
        <v>0</v>
      </c>
      <c r="CN397" s="9">
        <f>MIN(1,(25/N397)^0.3)</f>
        <v>0.99524931562137331</v>
      </c>
      <c r="CO397" s="9">
        <f>IF(J397&gt;=800,0.68,IF(J397&gt;=700,0.75-(J397-700)*0.07/100,IF(J397&gt;=600,0.85-(J397-600)*0.1/100,IF(J397&gt;=500,1-(J397-500)*0.15/100,1.2-(J397-400)*0.2/100))))</f>
        <v>0.68</v>
      </c>
      <c r="CP397" s="9">
        <f>1.75*CN397*CO397*(M397/25)^0.5</f>
        <v>1.3811737100982926</v>
      </c>
      <c r="CQ397" s="9">
        <f>MIN((CJ397+CM397)*CP397,2.5*CP397,M397^0.5)</f>
        <v>2.0810300107442901</v>
      </c>
      <c r="CR397" s="40">
        <v>1</v>
      </c>
      <c r="CS397" s="9">
        <f>4*CQ397*P397+60*CQ397</f>
        <v>177.55348051670285</v>
      </c>
      <c r="CU397" s="4">
        <f>AJ397/BF397</f>
        <v>1.0756848664437799</v>
      </c>
      <c r="CV397" s="4">
        <f>AJ397/BK397</f>
        <v>0.47739495721251607</v>
      </c>
      <c r="CW397" s="4">
        <f>AJ397/BN397</f>
        <v>0.50449832197238131</v>
      </c>
      <c r="CX397" s="4">
        <f>AJ397/CS397</f>
        <v>1.1769159164509957</v>
      </c>
      <c r="CY397" s="4">
        <f>AJ397/DZ397</f>
        <v>1.0788549020126255</v>
      </c>
      <c r="CZ397" s="4">
        <f>AJ397/EL397</f>
        <v>0.68467739710453912</v>
      </c>
      <c r="DA397" s="4">
        <f>AJ397/GI397</f>
        <v>0.88086947875987576</v>
      </c>
      <c r="DB397" s="4">
        <f>AN397</f>
        <v>0</v>
      </c>
      <c r="DC397" s="4">
        <f>CU397</f>
        <v>1.0756848664437799</v>
      </c>
      <c r="DD397" s="4">
        <f>CV397</f>
        <v>0.47739495721251607</v>
      </c>
      <c r="DE397" s="4">
        <f>CX397</f>
        <v>1.1769159164509957</v>
      </c>
      <c r="DF397" s="4">
        <f>DA397</f>
        <v>0.88086947875987576</v>
      </c>
      <c r="DG397" s="4">
        <f>CY397</f>
        <v>1.0788549020126255</v>
      </c>
      <c r="DH397" s="4">
        <f>CZ397</f>
        <v>0.68467739710453912</v>
      </c>
      <c r="DQ397" s="4">
        <f>L397</f>
        <v>160.78199999999998</v>
      </c>
      <c r="DT397" s="4">
        <f>K397/4/(1-0.3*(M397/30)^0.5)/200000/N397</f>
        <v>1.162533390716897E-5</v>
      </c>
      <c r="DU397" s="4">
        <f>EP397</f>
        <v>7.0165186676207227</v>
      </c>
      <c r="DV397" s="4">
        <f>EC397*AG397/257/M397/AD397</f>
        <v>0.11202400021353956</v>
      </c>
      <c r="DW397" s="4">
        <f>DU397*DV397^0.4</f>
        <v>2.9231164411908694</v>
      </c>
      <c r="DX397" s="4">
        <f>MIN(DU397, DU397/1.4*(1-DV397^1.4)/(1-DV397))</f>
        <v>5.3806630169518206</v>
      </c>
      <c r="DY397" s="4">
        <f>MAX(DU397/2, (4-DT397*(8*AG397*(DW397-DX397)+6*K397*DX397))/(4+DT397*K397*DU397)*DU397)</f>
        <v>6.9110065644103953</v>
      </c>
      <c r="DZ397" s="38">
        <f>MIN(1/N397*(4*AG397*(DW397-DX397)+(3*DX397+DY397)*K397)+EC397 -FJ397,MAX(J397,AJ397))</f>
        <v>193.69195695505482</v>
      </c>
      <c r="EA397" s="4">
        <f>DZ397/FF397</f>
        <v>1.0001168930403395</v>
      </c>
      <c r="EB397" s="4">
        <f>AG397/N397</f>
        <v>2.2583179581272428</v>
      </c>
      <c r="EC397" s="4">
        <f>MIN(EB$10*BB397)</f>
        <v>69.966180970322242</v>
      </c>
      <c r="EG397" s="4">
        <f>IF(U397&gt;1*N397,0.85,1)</f>
        <v>0.85</v>
      </c>
      <c r="EH397" s="4">
        <f>MIN(1,MAX(0.7,(1-0.1*(BZ397-1*N397)/N397)))</f>
        <v>0.89250000000000007</v>
      </c>
      <c r="EI397" s="4">
        <f>MIN(1,MAX(0.7,1-0.3*(PI()*AM397^2/4*AQ397*2-0.25*PI()/4*N397^2)/(PI()/4*N397^2)))</f>
        <v>1</v>
      </c>
      <c r="EJ397" s="4">
        <f>IF(EH397*EI397&lt;0.7,0.7,EH397*EI397)</f>
        <v>0.89250000000000007</v>
      </c>
      <c r="EL397" s="4">
        <f>MIN(DU397/N397*3*K397+EM397-FJ397,MAX(J397,AJ397))</f>
        <v>305.20288551233375</v>
      </c>
      <c r="EM397" s="25">
        <f>13.3*Q397*K397^0.5*M397^0.5/X397/N397^2*(0.7+S397/5/K397)</f>
        <v>171.95919601421622</v>
      </c>
      <c r="EO397" s="4">
        <f>EG397*EJ397</f>
        <v>0.75862499999999999</v>
      </c>
      <c r="EP397" s="4">
        <f>IF(N397&lt;22.2,1.1*5*(M397/30)^0.5,IF(N397&gt;=31.8,0.9*5*(M397/30)^0.5,1*5*(M397/30)^0.5))/EG397/EJ397</f>
        <v>7.0165186676207227</v>
      </c>
      <c r="ES397" s="4">
        <f>ET397*N397</f>
        <v>57.361276136431961</v>
      </c>
      <c r="ET397" s="4">
        <f>AF397^0.5</f>
        <v>2.2583179581272428</v>
      </c>
      <c r="EU397" s="4">
        <f>MIN(EC397)/(4700*M397^0.5)/AE397*ES397</f>
        <v>3.5717890419684095E-2</v>
      </c>
      <c r="EX397" s="4">
        <f>EU397</f>
        <v>3.5717890419684095E-2</v>
      </c>
      <c r="EY397" s="4">
        <f>MIN(0.999, EX397/(0.3*(M397/30)^0.5))</f>
        <v>0.11183705303561862</v>
      </c>
      <c r="EZ397" s="4">
        <f>EP397/1*EY397^0.4</f>
        <v>2.9211642088181771</v>
      </c>
      <c r="FA397" s="4">
        <f>EP397/1.4*(1-EY397^1.4)/(1-EY397)</f>
        <v>5.3801455287474251</v>
      </c>
      <c r="FB397" s="4">
        <f>MAX(0,DQ397*FB$9-ES397)</f>
        <v>63.225223863568026</v>
      </c>
      <c r="FC397" s="4">
        <f>MAX(0,DQ397-ES397-FB397)</f>
        <v>40.195499999999988</v>
      </c>
      <c r="FD397" s="4">
        <f>FC397/(1-0.3*(M397/30)^0.5)/200000/N397</f>
        <v>1.1625333907168968E-5</v>
      </c>
      <c r="FE397" s="4">
        <f>MAX(0.5*EP397, (1-2*FD397*(ES397*EZ397+FB397*FA397))/(1/EP397+FD397*FC397))</f>
        <v>6.9110300935794697</v>
      </c>
      <c r="FF397" s="4">
        <f>MIN(4/N397*(1*EZ397*ES397+FA397*FB397+FC397*FE397)+EC397,MAX(J397,AJ397))</f>
        <v>193.66931835961128</v>
      </c>
      <c r="FO397" s="23">
        <f>IF(CU397&lt;0.6,0.6,IF(CU397&lt;0.8,0.8,IF(CU397&lt;1,1,IF(CU397&lt;1.2,1.2,IF(CU397&lt;1.4,1.4,IF(CU397&lt;1.6,1.6,IF(CU397&lt;1.8,1.8,IF(CU397&lt;2,2,2.2))))))))</f>
        <v>1.2</v>
      </c>
      <c r="FP397" s="23">
        <f>IF(CV397&lt;0.6,0.6,IF(CV397&lt;0.8,0.8,IF(CV397&lt;1,1,IF(CV397&lt;1.2,1.2,IF(CV397&lt;1.4,1.4,IF(CV397&lt;1.6,1.6,IF(CV397&lt;1.8,1.8,IF(CV397&lt;2,2,2.2))))))))</f>
        <v>0.6</v>
      </c>
      <c r="FQ397" s="23">
        <f>IF(DA397&lt;0.6,0.6,IF(DA397&lt;0.8,0.8,IF(DA397&lt;1,1,IF(DA397&lt;1.2,1.2,IF(DA397&lt;1.4,1.4,IF(DA397&lt;1.6,1.6,IF(DA397&lt;1.8,1.8,IF(DA397&lt;2,2,2.2))))))))</f>
        <v>1</v>
      </c>
      <c r="FR397" s="23">
        <f>IF(CX397&lt;0.6,0.6,IF(CX397&lt;0.8,0.8,IF(CX397&lt;1,1,IF(CX397&lt;1.2,1.2,IF(CX397&lt;1.4,1.4,IF(CX397&lt;1.6,1.6,IF(CX397&lt;1.8,1.8,IF(CX397&lt;2,2,2.2))))))))</f>
        <v>1.2</v>
      </c>
      <c r="FS397" s="23">
        <f>IF(CY397&lt;0.6,0.6,IF(CY397&lt;0.8,0.8,IF(CY397&lt;1,1,IF(CY397&lt;1.2,1.2,IF(CY397&lt;1.4,1.4,IF(CY397&lt;1.6,1.6,IF(CY397&lt;1.8,1.8,IF(CY397&lt;2,2,2.2))))))))</f>
        <v>1.2</v>
      </c>
      <c r="FT397" s="23">
        <f>IF(CZ397&lt;0.6,0.6,IF(CZ397&lt;0.8,0.8,IF(CZ397&lt;1,1,IF(CZ397&lt;1.2,1.2,IF(CZ397&lt;1.4,1.4,IF(CZ397&lt;1.6,1.6,IF(CZ397&lt;1.8,1.8,IF(CZ397&lt;2,2,2.2))))))))</f>
        <v>0.8</v>
      </c>
      <c r="FU397" s="23">
        <f>IF(FS397&lt;1,1,0)</f>
        <v>0</v>
      </c>
      <c r="FV397" s="23"/>
      <c r="GF397" s="4">
        <f>IF(S397&gt;=2.5*25.4,1,1.25)</f>
        <v>1</v>
      </c>
      <c r="GG397" s="4">
        <f>IF(AO397&gt;1, 0.05*(18-MIN(8,(W397+N397)/N397))*(1-48000/MAX(60000,(J397*145))*(N397/25.4)^0.75*GH397), 1/12*(14-MIN(8,(W397+N397)/N397)))</f>
        <v>0.64250000000000007</v>
      </c>
      <c r="GH397" s="4">
        <f>MIN(0.3, AM397^2*PI()/4*2*AP397/(N397^2*PI()/4*X397))</f>
        <v>0</v>
      </c>
      <c r="GI397" s="4">
        <f>(K397/25.4)/(N397/25.4)^1.5/0.0024*(M397*145)^0.25/GF397/GG397/145</f>
        <v>237.2264248905179</v>
      </c>
    </row>
    <row r="398" spans="1:191" ht="12" customHeight="1" x14ac:dyDescent="0.3">
      <c r="A398" s="25">
        <v>347</v>
      </c>
      <c r="B398" s="4" t="s">
        <v>605</v>
      </c>
      <c r="C398" s="4">
        <v>2016</v>
      </c>
      <c r="D398" s="4" t="s">
        <v>309</v>
      </c>
      <c r="E398" s="24" t="s">
        <v>672</v>
      </c>
      <c r="F398" s="24"/>
      <c r="G398" s="24">
        <v>19</v>
      </c>
      <c r="H398" s="7" t="s">
        <v>511</v>
      </c>
      <c r="I398" s="5">
        <f>K398/N398</f>
        <v>6.29</v>
      </c>
      <c r="J398" s="38">
        <f>129/0.145</f>
        <v>889.65517241379314</v>
      </c>
      <c r="K398" s="38">
        <f>6.29*25.4</f>
        <v>159.76599999999999</v>
      </c>
      <c r="L398" s="4">
        <f>K398</f>
        <v>159.76599999999999</v>
      </c>
      <c r="M398" s="38">
        <f>4930/145</f>
        <v>34</v>
      </c>
      <c r="N398" s="96">
        <f>1*25.4</f>
        <v>25.4</v>
      </c>
      <c r="O398" s="7">
        <f>K398/N398</f>
        <v>6.29</v>
      </c>
      <c r="P398" s="7">
        <f>L398/N398</f>
        <v>6.29</v>
      </c>
      <c r="Q398" s="38">
        <f>16.8*25.4</f>
        <v>426.71999999999997</v>
      </c>
      <c r="R398" s="32">
        <f>S398/N398</f>
        <v>2.8</v>
      </c>
      <c r="S398" s="38">
        <f>2.8*25.4</f>
        <v>71.11999999999999</v>
      </c>
      <c r="T398" s="32">
        <f>U398/N398</f>
        <v>7</v>
      </c>
      <c r="U398" s="39">
        <f>7*25.4</f>
        <v>177.79999999999998</v>
      </c>
      <c r="V398" s="32">
        <f>W398/N398</f>
        <v>4.1000000000000005</v>
      </c>
      <c r="W398" s="7">
        <f>(Q398-X398*N398-2*S398)/(X398-1)</f>
        <v>104.14</v>
      </c>
      <c r="X398" s="38">
        <v>3</v>
      </c>
      <c r="Y398" s="7">
        <f>AN398</f>
        <v>10</v>
      </c>
      <c r="Z398" s="32">
        <f>AA398/N398</f>
        <v>10.25</v>
      </c>
      <c r="AA398" s="4">
        <f>10.25*25.4</f>
        <v>260.34999999999997</v>
      </c>
      <c r="AB398" s="7">
        <f>MIN(S398/N398+0.5, W398/2/N398+0.5)</f>
        <v>2.5500000000000003</v>
      </c>
      <c r="AC398" s="7">
        <f>S398/N398+0.5</f>
        <v>3.3</v>
      </c>
      <c r="AD398" s="38">
        <v>4.0999999999999996</v>
      </c>
      <c r="AE398" s="4">
        <f>AD398</f>
        <v>4.0999999999999996</v>
      </c>
      <c r="AF398" s="4">
        <f>AE398+1</f>
        <v>5.0999999999999996</v>
      </c>
      <c r="AG398" s="7">
        <f>N398*AF398^0.5</f>
        <v>57.361276136431961</v>
      </c>
      <c r="AJ398" s="38">
        <f>AK398/0.145</f>
        <v>327.58620689655174</v>
      </c>
      <c r="AK398" s="4">
        <v>47.5</v>
      </c>
      <c r="AL398" s="4">
        <f>CY398</f>
        <v>1.6031941418598026</v>
      </c>
      <c r="AM398" s="38">
        <f>0.375*25.4</f>
        <v>9.5249999999999986</v>
      </c>
      <c r="AN398" s="38">
        <v>10</v>
      </c>
      <c r="AO398" s="39">
        <f>3*25.4</f>
        <v>76.199999999999989</v>
      </c>
      <c r="AP398" s="39">
        <v>3</v>
      </c>
      <c r="AQ398" s="39">
        <f>AP398-1</f>
        <v>2</v>
      </c>
      <c r="AR398" s="7"/>
      <c r="AS398" s="4">
        <f>K398</f>
        <v>159.76599999999999</v>
      </c>
      <c r="AT398" s="4">
        <f>IF(K398*3&gt;W398+N398, Q398, (S398+N398/2)*2+1.5*K398*(2*X398-2))*(3*K398)/(9*K398^2)</f>
        <v>0.890302066772655</v>
      </c>
      <c r="AU398" s="4">
        <f>MIN(10*M398^0.5*K398^1.5,100*3.9*M398^0.5*K398^(5/3))/(PI()/4*N398^2)/X398</f>
        <v>77.461772837561156</v>
      </c>
      <c r="AV398" s="4">
        <f>MIN(0.7+0.3*(MIN(S398,AA398)+0.5*N398)/1.5/K398,1)</f>
        <v>0.8049284578696343</v>
      </c>
      <c r="AW398" s="4">
        <v>1.25</v>
      </c>
      <c r="AX398" s="4">
        <f>AX397</f>
        <v>1</v>
      </c>
      <c r="AY398" s="38">
        <f>AT398*AV398*AW398*AX398*AU398</f>
        <v>69.389236482973317</v>
      </c>
      <c r="AZ398" s="38">
        <f>AY398</f>
        <v>69.389236482973317</v>
      </c>
      <c r="BA398" s="38">
        <f>IF(M398&lt;50, 0.3*M398^(2/3), 2.12*LN(1+0.1*(M398+8)))</f>
        <v>3.1485253868929024</v>
      </c>
      <c r="BB398" s="38">
        <f>AX398* (M398^0.5/AS398^0.5)/(PI()/4*N398^2)/X398/0.72 *(0.7+(MIN(S398,AA398)+0.5*N398)/5/K398) *(3*Q398*K398)</f>
        <v>69.389236482973388</v>
      </c>
      <c r="BC398" s="38">
        <f>AY398/BB398</f>
        <v>0.999999999999999</v>
      </c>
      <c r="BD398" s="38">
        <f>BH398/BB398</f>
        <v>5.6552732288559717</v>
      </c>
      <c r="BE398" s="4">
        <f>IF(BD398&lt;1,1,0)</f>
        <v>0</v>
      </c>
      <c r="BF398" s="4">
        <f>L398/N398*M398^0.5/0.19</f>
        <v>193.03519693987863</v>
      </c>
      <c r="BG398" s="4">
        <f>MIN(0.6+0.4*(AC398/AB398),2)</f>
        <v>1.1176470588235294</v>
      </c>
      <c r="BH398" s="38">
        <f>2*M398*AB398*AD398^0.5*BG398*0.7/0.7</f>
        <v>392.41509145291548</v>
      </c>
      <c r="BI398" s="4">
        <f>MAX(1-0.7*AE398/5,0.3)</f>
        <v>0.42600000000000005</v>
      </c>
      <c r="BJ398" s="4">
        <f>BI398*J398*L398/(J398*N398/2.75/M398^0.5)</f>
        <v>42.966739310862884</v>
      </c>
      <c r="BK398" s="4">
        <f>BH398+BJ398</f>
        <v>435.38183076377834</v>
      </c>
      <c r="BM398" s="4">
        <f>MIN(1.5, 0.75+0.25*MIN(3,MAX(1,S398/N398))+0.4*MIN(1,(40*2*PI()*AM398^2/4/AO398/X398)/N398))</f>
        <v>1.5</v>
      </c>
      <c r="BN398" s="4">
        <f>(3*P398+30)*BM398*M398^0.5</f>
        <v>427.43792865163482</v>
      </c>
      <c r="BP398" s="4">
        <f>3.4/PI()^0.5*M398*AB398*AE398^0.5*BG398</f>
        <v>376.37406194194762</v>
      </c>
      <c r="BQ398" s="4">
        <f>8/3*AH398*AI398^2/(AG398-N398-22)/N398*(AG398^2-N398^2)/(AG398^2-(N398+22)^2)</f>
        <v>0</v>
      </c>
      <c r="BR398" s="4">
        <f>BQ398/BP398</f>
        <v>0</v>
      </c>
      <c r="BZ398" s="4">
        <f>IF(W398=0,S398,MIN(W398/2,S398))</f>
        <v>52.07</v>
      </c>
      <c r="CD398" s="9"/>
      <c r="CF398" s="9"/>
      <c r="CG398" s="9"/>
      <c r="CH398" s="9">
        <f>IF(W398=0,MIN(S398,U398),MIN(W398/2,S398,U398))</f>
        <v>52.07</v>
      </c>
      <c r="CI398" s="9">
        <f>MAX(W398/2,S398)</f>
        <v>71.11999999999999</v>
      </c>
      <c r="CJ398" s="9">
        <f>(CH398/N398)^0.5*(CI398/CH398)^0.15</f>
        <v>1.5003326349839896</v>
      </c>
      <c r="CK398" s="70">
        <f>IF(AO398&gt;1,20,0)</f>
        <v>20</v>
      </c>
      <c r="CL398" s="9">
        <f>MIN(PI()*AM398^2/4*AN398*2/X398/N398/MAX(0.01,AO398),0.05)</f>
        <v>0.05</v>
      </c>
      <c r="CM398" s="9">
        <f>MAX(0,CK398*(CL398-0.5/50))</f>
        <v>0.8</v>
      </c>
      <c r="CN398" s="9">
        <f>MIN(1,(25/N398)^0.3)</f>
        <v>0.99524931562137331</v>
      </c>
      <c r="CO398" s="9">
        <f>IF(J398&gt;=800,0.68,IF(J398&gt;=700,0.75-(J398-700)*0.07/100,IF(J398&gt;=600,0.85-(J398-600)*0.1/100,IF(J398&gt;=500,1-(J398-500)*0.15/100,1.2-(J398-400)*0.2/100))))</f>
        <v>0.68</v>
      </c>
      <c r="CP398" s="9">
        <f>1.75*CN398*CO398*(M398/25)^0.5</f>
        <v>1.3811737100982926</v>
      </c>
      <c r="CQ398" s="9">
        <f>MIN((CJ398+CM398)*CP398,2.5*CP398,M398^0.5)</f>
        <v>3.1771589599210186</v>
      </c>
      <c r="CR398" s="40">
        <v>1</v>
      </c>
      <c r="CS398" s="9">
        <f>4*CQ398*P398+60*CQ398</f>
        <v>270.56685702687395</v>
      </c>
      <c r="CU398" s="4">
        <f>AJ398/BF398</f>
        <v>1.6970283766363055</v>
      </c>
      <c r="CV398" s="4">
        <f>AJ398/BK398</f>
        <v>0.75241129452250288</v>
      </c>
      <c r="CW398" s="4">
        <f>AJ398/BN398</f>
        <v>0.76639480246858727</v>
      </c>
      <c r="CX398" s="4">
        <f>AJ398/CS398</f>
        <v>1.2107403341866605</v>
      </c>
      <c r="CY398" s="4">
        <f>AJ398/DZ398</f>
        <v>1.6031941418598026</v>
      </c>
      <c r="CZ398" s="4">
        <f>AJ398/EL398</f>
        <v>1.0359680488784047</v>
      </c>
      <c r="DA398" s="4">
        <f>AJ398/GI398</f>
        <v>1.2490921086446241</v>
      </c>
      <c r="DB398" s="4">
        <f>AN398</f>
        <v>10</v>
      </c>
      <c r="DI398" s="4">
        <f>CU398</f>
        <v>1.6970283766363055</v>
      </c>
      <c r="DJ398" s="4">
        <f>CV398</f>
        <v>0.75241129452250288</v>
      </c>
      <c r="DK398" s="4">
        <f>CX398</f>
        <v>1.2107403341866605</v>
      </c>
      <c r="DL398" s="4">
        <f>DA398</f>
        <v>1.2490921086446241</v>
      </c>
      <c r="DM398" s="4">
        <f>CY398</f>
        <v>1.6031941418598026</v>
      </c>
      <c r="DN398" s="4">
        <f>CZ398</f>
        <v>1.0359680488784047</v>
      </c>
      <c r="DQ398" s="4">
        <f>L398</f>
        <v>159.76599999999999</v>
      </c>
      <c r="DT398" s="4">
        <f>K398/4/(1-0.3*(M398/30)^0.5)/200000/N398</f>
        <v>1.1551872081531252E-5</v>
      </c>
      <c r="DU398" s="4">
        <f>EP398</f>
        <v>7.7207387072721181</v>
      </c>
      <c r="DV398" s="4">
        <f>EC398*AG398/257/M398/AD398</f>
        <v>0.11110024492952052</v>
      </c>
      <c r="DW398" s="4">
        <f>DU398*DV398^0.4</f>
        <v>3.2058622784589419</v>
      </c>
      <c r="DX398" s="4">
        <f>MIN(DU398, DU398/1.4*(1-DV398^1.4)/(1-DV398))</f>
        <v>5.9178829791033518</v>
      </c>
      <c r="DY398" s="4">
        <f>MAX(DU398/2, (4-DT398*(8*AG398*(DW398-DX398)+6*K398*DX398))/(4+DT398*K398*DU398)*DU398)</f>
        <v>7.5949431524235518</v>
      </c>
      <c r="DZ398" s="38">
        <f>MIN(1/N398*(4*AG398*(DW398-DX398)+(3*DX398+DY398)*K398)+EC398 -FJ398,MAX(J398,AJ398))</f>
        <v>204.33346052308539</v>
      </c>
      <c r="EA398" s="4">
        <f>DZ398/FF398</f>
        <v>1.0001210393566606</v>
      </c>
      <c r="EB398" s="4">
        <f>AG398/N398</f>
        <v>2.2583179581272428</v>
      </c>
      <c r="EC398" s="4">
        <f>MIN(EB$10*BB398)</f>
        <v>69.389236482973388</v>
      </c>
      <c r="EG398" s="4">
        <f>IF(U398&gt;1*N398,0.85,1)</f>
        <v>0.85</v>
      </c>
      <c r="EH398" s="4">
        <f>MIN(1,MAX(0.7,(1-0.1*(BZ398-1*N398)/N398)))</f>
        <v>0.89500000000000002</v>
      </c>
      <c r="EI398" s="4">
        <f>MIN(1,MAX(0.7,1-0.3*(PI()*AM398^2/4*AQ398*2-0.25*PI()/4*N398^2)/(PI()/4*N398^2)))</f>
        <v>0.90625</v>
      </c>
      <c r="EJ398" s="4">
        <f>IF(EH398*EI398&lt;0.7,0.7,EH398*EI398)</f>
        <v>0.81109375000000006</v>
      </c>
      <c r="EL398" s="4">
        <f>MIN(DU398/N398*3*K398+EM398-FJ398,MAX(J398,AJ398))</f>
        <v>316.21265467715375</v>
      </c>
      <c r="EM398" s="25">
        <f>13.3*Q398*K398^0.5*M398^0.5/X398/N398^2*(0.7+S398/5/K398)</f>
        <v>170.52231527092891</v>
      </c>
      <c r="EO398" s="4">
        <f>EG398*EJ398</f>
        <v>0.6894296875</v>
      </c>
      <c r="EP398" s="4">
        <f>IF(N398&lt;22.2,1.1*5*(M398/30)^0.5,IF(N398&gt;=31.8,0.9*5*(M398/30)^0.5,1*5*(M398/30)^0.5))/EG398/EJ398</f>
        <v>7.7207387072721181</v>
      </c>
      <c r="ES398" s="4">
        <f>ET398*N398</f>
        <v>57.361276136431961</v>
      </c>
      <c r="ET398" s="4">
        <f>AF398^0.5</f>
        <v>2.2583179581272428</v>
      </c>
      <c r="EU398" s="4">
        <f>MIN(EC398)/(4700*M398^0.5)/AE398*ES398</f>
        <v>3.5423358980471942E-2</v>
      </c>
      <c r="EX398" s="4">
        <f>EU398</f>
        <v>3.5423358980471942E-2</v>
      </c>
      <c r="EY398" s="4">
        <f>MIN(0.999, EX398/(0.3*(M398/30)^0.5))</f>
        <v>0.11091483932700402</v>
      </c>
      <c r="EZ398" s="4">
        <f>EP398/1*EY398^0.4</f>
        <v>3.2037212114681739</v>
      </c>
      <c r="FA398" s="4">
        <f>EP398/1.4*(1-EY398^1.4)/(1-EY398)</f>
        <v>5.917317203962738</v>
      </c>
      <c r="FB398" s="4">
        <f>MAX(0,DQ398*FB$9-ES398)</f>
        <v>62.463223863568039</v>
      </c>
      <c r="FC398" s="4">
        <f>MAX(0,DQ398-ES398-FB398)</f>
        <v>39.941499999999984</v>
      </c>
      <c r="FD398" s="4">
        <f>FC398/(1-0.3*(M398/30)^0.5)/200000/N398</f>
        <v>1.1551872081531248E-5</v>
      </c>
      <c r="FE398" s="4">
        <f>MAX(0.5*EP398, (1-2*FD398*(ES398*EZ398+FB398*FA398))/(1/EP398+FD398*FC398))</f>
        <v>7.5949712635564222</v>
      </c>
      <c r="FF398" s="4">
        <f>MIN(4/N398*(1*EZ398*ES398+FA398*FB398+FC398*FE398)+EC398,MAX(J398,AJ398))</f>
        <v>204.30873112570978</v>
      </c>
      <c r="FO398" s="23">
        <f>IF(CU398&lt;0.6,0.6,IF(CU398&lt;0.8,0.8,IF(CU398&lt;1,1,IF(CU398&lt;1.2,1.2,IF(CU398&lt;1.4,1.4,IF(CU398&lt;1.6,1.6,IF(CU398&lt;1.8,1.8,IF(CU398&lt;2,2,2.2))))))))</f>
        <v>1.8</v>
      </c>
      <c r="FP398" s="23">
        <f>IF(CV398&lt;0.6,0.6,IF(CV398&lt;0.8,0.8,IF(CV398&lt;1,1,IF(CV398&lt;1.2,1.2,IF(CV398&lt;1.4,1.4,IF(CV398&lt;1.6,1.6,IF(CV398&lt;1.8,1.8,IF(CV398&lt;2,2,2.2))))))))</f>
        <v>0.8</v>
      </c>
      <c r="FQ398" s="23">
        <f>IF(DA398&lt;0.6,0.6,IF(DA398&lt;0.8,0.8,IF(DA398&lt;1,1,IF(DA398&lt;1.2,1.2,IF(DA398&lt;1.4,1.4,IF(DA398&lt;1.6,1.6,IF(DA398&lt;1.8,1.8,IF(DA398&lt;2,2,2.2))))))))</f>
        <v>1.4</v>
      </c>
      <c r="FR398" s="23">
        <f>IF(CX398&lt;0.6,0.6,IF(CX398&lt;0.8,0.8,IF(CX398&lt;1,1,IF(CX398&lt;1.2,1.2,IF(CX398&lt;1.4,1.4,IF(CX398&lt;1.6,1.6,IF(CX398&lt;1.8,1.8,IF(CX398&lt;2,2,2.2))))))))</f>
        <v>1.4</v>
      </c>
      <c r="FS398" s="23">
        <f>IF(CY398&lt;0.6,0.6,IF(CY398&lt;0.8,0.8,IF(CY398&lt;1,1,IF(CY398&lt;1.2,1.2,IF(CY398&lt;1.4,1.4,IF(CY398&lt;1.6,1.6,IF(CY398&lt;1.8,1.8,IF(CY398&lt;2,2,2.2))))))))</f>
        <v>1.8</v>
      </c>
      <c r="FT398" s="23">
        <f>IF(CZ398&lt;0.6,0.6,IF(CZ398&lt;0.8,0.8,IF(CZ398&lt;1,1,IF(CZ398&lt;1.2,1.2,IF(CZ398&lt;1.4,1.4,IF(CZ398&lt;1.6,1.6,IF(CZ398&lt;1.8,1.8,IF(CZ398&lt;2,2,2.2))))))))</f>
        <v>1.2</v>
      </c>
      <c r="FU398" s="23">
        <f>IF(FS398&lt;1,1,0)</f>
        <v>0</v>
      </c>
      <c r="FV398" s="23"/>
      <c r="GF398" s="4">
        <f>IF(S398&gt;=2.5*25.4,1,1.25)</f>
        <v>1</v>
      </c>
      <c r="GG398" s="4">
        <f>IF(AO398&gt;1, 0.05*(18-MIN(8,(W398+N398)/N398))*(1-48000/MAX(60000,(J398*145))*(N398/25.4)^0.75*GH398), 1/12*(14-MIN(8,(W398+N398)/N398)))</f>
        <v>0.57750000000000001</v>
      </c>
      <c r="GH398" s="4">
        <f>MIN(0.3, AM398^2*PI()/4*2*AP398/(N398^2*PI()/4*X398))</f>
        <v>0.28124999999999994</v>
      </c>
      <c r="GI398" s="4">
        <f>(K398/25.4)/(N398/25.4)^1.5/0.0024*(M398*145)^0.25/GF398/GG398/145</f>
        <v>262.25944798579496</v>
      </c>
    </row>
    <row r="399" spans="1:191" ht="12" customHeight="1" x14ac:dyDescent="0.3">
      <c r="A399" s="25">
        <v>348</v>
      </c>
      <c r="B399" s="4" t="s">
        <v>605</v>
      </c>
      <c r="C399" s="4">
        <v>2016</v>
      </c>
      <c r="D399" s="4" t="s">
        <v>309</v>
      </c>
      <c r="E399" s="24" t="s">
        <v>672</v>
      </c>
      <c r="F399" s="24"/>
      <c r="G399" s="24">
        <v>19</v>
      </c>
      <c r="H399" s="7" t="s">
        <v>512</v>
      </c>
      <c r="I399" s="5">
        <f>K399/N399</f>
        <v>6.25</v>
      </c>
      <c r="J399" s="38">
        <f>129/0.145</f>
        <v>889.65517241379314</v>
      </c>
      <c r="K399" s="38">
        <f>6.25*25.4</f>
        <v>158.75</v>
      </c>
      <c r="L399" s="4">
        <f>K399</f>
        <v>158.75</v>
      </c>
      <c r="M399" s="38">
        <f>4940/145</f>
        <v>34.068965517241381</v>
      </c>
      <c r="N399" s="96">
        <f>1*25.4</f>
        <v>25.4</v>
      </c>
      <c r="O399" s="7">
        <f>K399/N399</f>
        <v>6.25</v>
      </c>
      <c r="P399" s="7">
        <f>L399/N399</f>
        <v>6.25</v>
      </c>
      <c r="Q399" s="38">
        <f>20.5*25.4</f>
        <v>520.69999999999993</v>
      </c>
      <c r="R399" s="32">
        <f>S399/N399</f>
        <v>2.7</v>
      </c>
      <c r="S399" s="38">
        <f>2.7*25.4</f>
        <v>68.58</v>
      </c>
      <c r="T399" s="32">
        <f>U399/N399</f>
        <v>7</v>
      </c>
      <c r="U399" s="39">
        <f>7*25.4</f>
        <v>177.79999999999998</v>
      </c>
      <c r="V399" s="32">
        <f>W399/N399</f>
        <v>6.0499999999999989</v>
      </c>
      <c r="W399" s="7">
        <f>(Q399-X399*N399-2*S399)/(X399-1)</f>
        <v>153.66999999999996</v>
      </c>
      <c r="X399" s="38">
        <v>3</v>
      </c>
      <c r="Y399" s="7">
        <f>AN399</f>
        <v>0</v>
      </c>
      <c r="Z399" s="32">
        <f>AA399/N399</f>
        <v>10.25</v>
      </c>
      <c r="AA399" s="4">
        <f>10.25*25.4</f>
        <v>260.34999999999997</v>
      </c>
      <c r="AB399" s="7">
        <f>MIN(S399/N399+0.5, W399/2/N399+0.5)</f>
        <v>3.2</v>
      </c>
      <c r="AC399" s="7">
        <f>S399/N399+0.5</f>
        <v>3.2</v>
      </c>
      <c r="AD399" s="38">
        <v>4.0999999999999996</v>
      </c>
      <c r="AE399" s="4">
        <f>AD399</f>
        <v>4.0999999999999996</v>
      </c>
      <c r="AF399" s="4">
        <f>AE399+1</f>
        <v>5.0999999999999996</v>
      </c>
      <c r="AG399" s="7">
        <f>N399*AF399^0.5</f>
        <v>57.361276136431961</v>
      </c>
      <c r="AJ399" s="38">
        <f>AK399/0.145</f>
        <v>236.55172413793102</v>
      </c>
      <c r="AK399" s="4">
        <v>34.299999999999997</v>
      </c>
      <c r="AL399" s="4">
        <f>CY399</f>
        <v>1.0842825744116804</v>
      </c>
      <c r="AM399" s="38">
        <v>0</v>
      </c>
      <c r="AN399" s="38">
        <v>0</v>
      </c>
      <c r="AO399" s="39">
        <f>L399</f>
        <v>158.75</v>
      </c>
      <c r="AP399" s="39"/>
      <c r="AQ399" s="39"/>
      <c r="AR399" s="7"/>
      <c r="AS399" s="4">
        <f>K399</f>
        <v>158.75</v>
      </c>
      <c r="AT399" s="4">
        <f>IF(K399*3&gt;W399+N399, Q399, (S399+N399/2)*2+1.5*K399*(2*X399-2))*(3*K399)/(9*K399^2)</f>
        <v>1.0933333333333333</v>
      </c>
      <c r="AU399" s="4">
        <f>MIN(10*M399^0.5*K399^1.5,100*3.9*M399^0.5*K399^(5/3))/(PI()/4*N399^2)/X399</f>
        <v>76.801818794045587</v>
      </c>
      <c r="AV399" s="4">
        <f>MIN(0.7+0.3*(MIN(S399,AA399)+0.5*N399)/1.5/K399,1)</f>
        <v>0.8024</v>
      </c>
      <c r="AW399" s="4">
        <v>1.25</v>
      </c>
      <c r="AX399" s="4">
        <f>AX398</f>
        <v>1</v>
      </c>
      <c r="AY399" s="38">
        <f>AT399*AV399*AW399*AX399*AU399</f>
        <v>84.22189851380098</v>
      </c>
      <c r="AZ399" s="38">
        <f>AY399</f>
        <v>84.22189851380098</v>
      </c>
      <c r="BA399" s="38">
        <f>IF(M399&lt;50, 0.3*M399^(2/3), 2.12*LN(1+0.1*(M399+8)))</f>
        <v>3.152781589644936</v>
      </c>
      <c r="BB399" s="38">
        <f>AX399* (M399^0.5/AS399^0.5)/(PI()/4*N399^2)/X399/0.72 *(0.7+(MIN(S399,AA399)+0.5*N399)/5/K399) *(3*Q399*K399)</f>
        <v>84.221898513801037</v>
      </c>
      <c r="BC399" s="38">
        <f>AY399/BB399</f>
        <v>0.99999999999999933</v>
      </c>
      <c r="BD399" s="38">
        <f>BH399/BB399</f>
        <v>5.242106284125903</v>
      </c>
      <c r="BE399" s="4">
        <f>IF(BD399&lt;1,1,0)</f>
        <v>0</v>
      </c>
      <c r="BF399" s="4">
        <f>L399/N399*M399^0.5/0.19</f>
        <v>192.00206063625004</v>
      </c>
      <c r="BG399" s="4">
        <f>MIN(0.6+0.4*(AC399/AB399),2)</f>
        <v>1</v>
      </c>
      <c r="BH399" s="38">
        <f>2*M399*AB399*AD399^0.5*BG399*0.7/0.7</f>
        <v>441.50014346021044</v>
      </c>
      <c r="BI399" s="4">
        <f>MAX(1-0.7*AE399/5,0.3)</f>
        <v>0.42600000000000005</v>
      </c>
      <c r="BJ399" s="4">
        <f>BI399*J399*L399/(J399*N399/2.75/M399^0.5)</f>
        <v>42.736778666719729</v>
      </c>
      <c r="BK399" s="4">
        <f>BH399+BJ399</f>
        <v>484.23692212693015</v>
      </c>
      <c r="BM399" s="4">
        <f>MIN(1.5, 0.75+0.25*MIN(3,MAX(1,S399/N399))+0.4*MIN(1,(40*2*PI()*AM399^2/4/AO399/X399)/N399))</f>
        <v>1.425</v>
      </c>
      <c r="BN399" s="4">
        <f>(3*P399+30)*BM399*M399^0.5</f>
        <v>405.47955175466467</v>
      </c>
      <c r="BP399" s="4">
        <f>3.4/PI()^0.5*M399*AB399*AE399^0.5*BG399</f>
        <v>423.45262952765438</v>
      </c>
      <c r="BQ399" s="4">
        <f>8/3*AH399*AI399^2/(AG399-N399-22)/N399*(AG399^2-N399^2)/(AG399^2-(N399+22)^2)</f>
        <v>0</v>
      </c>
      <c r="BR399" s="4">
        <f>BQ399/BP399</f>
        <v>0</v>
      </c>
      <c r="BZ399" s="4">
        <f>IF(W399=0,S399,MIN(W399/2,S399))</f>
        <v>68.58</v>
      </c>
      <c r="CD399" s="9"/>
      <c r="CF399" s="9"/>
      <c r="CG399" s="9"/>
      <c r="CH399" s="9">
        <f>IF(W399=0,MIN(S399,U399),MIN(W399/2,S399,U399))</f>
        <v>68.58</v>
      </c>
      <c r="CI399" s="9">
        <f>MAX(W399/2,S399)</f>
        <v>76.83499999999998</v>
      </c>
      <c r="CJ399" s="9">
        <f>(CH399/N399)^0.5*(CI399/CH399)^0.15</f>
        <v>1.671422038708936</v>
      </c>
      <c r="CK399" s="70">
        <f>IF(AO399&gt;1,20,0)</f>
        <v>20</v>
      </c>
      <c r="CL399" s="9">
        <f>MIN(PI()*AM399^2/4*AN399*2/X399/N399/MAX(0.01,AO399),0.05)</f>
        <v>0</v>
      </c>
      <c r="CM399" s="9">
        <f>MAX(0,CK399*(CL399-0.5/50))</f>
        <v>0</v>
      </c>
      <c r="CN399" s="9">
        <f>MIN(1,(25/N399)^0.3)</f>
        <v>0.99524931562137331</v>
      </c>
      <c r="CO399" s="9">
        <f>IF(J399&gt;=800,0.68,IF(J399&gt;=700,0.75-(J399-700)*0.07/100,IF(J399&gt;=600,0.85-(J399-600)*0.1/100,IF(J399&gt;=500,1-(J399-500)*0.15/100,1.2-(J399-400)*0.2/100))))</f>
        <v>0.68</v>
      </c>
      <c r="CP399" s="9">
        <f>1.75*CN399*CO399*(M399/25)^0.5</f>
        <v>1.3825737851765767</v>
      </c>
      <c r="CQ399" s="9">
        <f>MIN((CJ399+CM399)*CP399,2.5*CP399,M399^0.5)</f>
        <v>2.3108642946853646</v>
      </c>
      <c r="CR399" s="40">
        <v>1</v>
      </c>
      <c r="CS399" s="9">
        <f>4*CQ399*P399+60*CQ399</f>
        <v>196.42346504825599</v>
      </c>
      <c r="CU399" s="4">
        <f>AJ399/BF399</f>
        <v>1.2320270071792656</v>
      </c>
      <c r="CV399" s="4">
        <f>AJ399/BK399</f>
        <v>0.48850410476532213</v>
      </c>
      <c r="CW399" s="4">
        <f>AJ399/BN399</f>
        <v>0.5833875545987004</v>
      </c>
      <c r="CX399" s="4">
        <f>AJ399/CS399</f>
        <v>1.2042946298692805</v>
      </c>
      <c r="CY399" s="4">
        <f>AJ399/DZ399</f>
        <v>1.0842825744116804</v>
      </c>
      <c r="CZ399" s="4">
        <f>AJ399/EL399</f>
        <v>0.67868729013532503</v>
      </c>
      <c r="DA399" s="4">
        <f>AJ399/GI399</f>
        <v>0.86015700533062411</v>
      </c>
      <c r="DB399" s="4">
        <f>AN399</f>
        <v>0</v>
      </c>
      <c r="DC399" s="4">
        <f>CU399</f>
        <v>1.2320270071792656</v>
      </c>
      <c r="DD399" s="4">
        <f>CV399</f>
        <v>0.48850410476532213</v>
      </c>
      <c r="DE399" s="4">
        <f>CX399</f>
        <v>1.2042946298692805</v>
      </c>
      <c r="DF399" s="4">
        <f>DA399</f>
        <v>0.86015700533062411</v>
      </c>
      <c r="DG399" s="4">
        <f>CY399</f>
        <v>1.0842825744116804</v>
      </c>
      <c r="DH399" s="4">
        <f>CZ399</f>
        <v>0.67868729013532503</v>
      </c>
      <c r="DQ399" s="4">
        <f>L399</f>
        <v>158.75</v>
      </c>
      <c r="DT399" s="4">
        <f>K399/4/(1-0.3*(M399/30)^0.5)/200000/N399</f>
        <v>1.1483872651980423E-5</v>
      </c>
      <c r="DU399" s="4">
        <f>EP399</f>
        <v>7.5525190994983378</v>
      </c>
      <c r="DV399" s="4">
        <f>EC399*AG399/257/M399/AD399</f>
        <v>0.13457608963839782</v>
      </c>
      <c r="DW399" s="4">
        <f>DU399*DV399^0.4</f>
        <v>3.3859379432784427</v>
      </c>
      <c r="DX399" s="4">
        <f>MIN(DU399, DU399/1.4*(1-DV399^1.4)/(1-DV399))</f>
        <v>5.8574538082798817</v>
      </c>
      <c r="DY399" s="4">
        <f>MAX(DU399/2, (4-DT399*(8*AG399*(DW399-DX399)+6*K399*DX399))/(4+DT399*K399*DU399)*DU399)</f>
        <v>7.4305591100601234</v>
      </c>
      <c r="DZ399" s="38">
        <f>MIN(1/N399*(4*AG399*(DW399-DX399)+(3*DX399+DY399)*K399)+EC399 -FJ399,MAX(J399,AJ399))</f>
        <v>218.16427721000804</v>
      </c>
      <c r="EA399" s="4">
        <f>DZ399/FF399</f>
        <v>1.0001213801209978</v>
      </c>
      <c r="EB399" s="4">
        <f>AG399/N399</f>
        <v>2.2583179581272428</v>
      </c>
      <c r="EC399" s="4">
        <f>MIN(EB$10*BB399)</f>
        <v>84.221898513801037</v>
      </c>
      <c r="EG399" s="4">
        <f>IF(U399&gt;1*N399,0.85,1)</f>
        <v>0.85</v>
      </c>
      <c r="EH399" s="4">
        <f>MIN(1,MAX(0.7,(1-0.1*(BZ399-1*N399)/N399)))</f>
        <v>0.83</v>
      </c>
      <c r="EI399" s="4">
        <f>MIN(1,MAX(0.7,1-0.3*(PI()*AM399^2/4*AQ399*2-0.25*PI()/4*N399^2)/(PI()/4*N399^2)))</f>
        <v>1</v>
      </c>
      <c r="EJ399" s="4">
        <f>IF(EH399*EI399&lt;0.7,0.7,EH399*EI399)</f>
        <v>0.83</v>
      </c>
      <c r="EL399" s="4">
        <f>MIN(DU399/N399*3*K399+EM399-FJ399,MAX(J399,AJ399))</f>
        <v>348.54302942783033</v>
      </c>
      <c r="EM399" s="25">
        <f>13.3*Q399*K399^0.5*M399^0.5/X399/N399^2*(0.7+S399/5/K399)</f>
        <v>206.93329631223651</v>
      </c>
      <c r="EO399" s="4">
        <f>EG399*EJ399</f>
        <v>0.7054999999999999</v>
      </c>
      <c r="EP399" s="4">
        <f>IF(N399&lt;22.2,1.1*5*(M399/30)^0.5,IF(N399&gt;=31.8,0.9*5*(M399/30)^0.5,1*5*(M399/30)^0.5))/EG399/EJ399</f>
        <v>7.5525190994983378</v>
      </c>
      <c r="ES399" s="4">
        <f>ET399*N399</f>
        <v>57.361276136431961</v>
      </c>
      <c r="ET399" s="4">
        <f>AF399^0.5</f>
        <v>2.2583179581272428</v>
      </c>
      <c r="EU399" s="4">
        <f>MIN(EC399)/(4700*M399^0.5)/AE399*ES399</f>
        <v>4.2951926090730654E-2</v>
      </c>
      <c r="EX399" s="4">
        <f>EU399</f>
        <v>4.2951926090730654E-2</v>
      </c>
      <c r="EY399" s="4">
        <f>MIN(0.999, EX399/(0.3*(M399/30)^0.5))</f>
        <v>0.13435150722636488</v>
      </c>
      <c r="EZ399" s="4">
        <f>EP399/1*EY399^0.4</f>
        <v>3.383676610964871</v>
      </c>
      <c r="FA399" s="4">
        <f>EP399/1.4*(1-EY399^1.4)/(1-EY399)</f>
        <v>5.856812309005873</v>
      </c>
      <c r="FB399" s="4">
        <f>MAX(0,DQ399*FB$9-ES399)</f>
        <v>61.701223863568039</v>
      </c>
      <c r="FC399" s="4">
        <f>MAX(0,DQ399-ES399-FB399)</f>
        <v>39.687499999999993</v>
      </c>
      <c r="FD399" s="4">
        <f>FC399/(1-0.3*(M399/30)^0.5)/200000/N399</f>
        <v>1.1483872651980423E-5</v>
      </c>
      <c r="FE399" s="4">
        <f>MAX(0.5*EP399, (1-2*FD399*(ES399*EZ399+FB399*FA399))/(1/EP399+FD399*FC399))</f>
        <v>7.4305883758274165</v>
      </c>
      <c r="FF399" s="4">
        <f>MIN(4/N399*(1*EZ399*ES399+FA399*FB399+FC399*FE399)+EC399,MAX(J399,AJ399))</f>
        <v>218.13779961749628</v>
      </c>
      <c r="FO399" s="23">
        <f>IF(CU399&lt;0.6,0.6,IF(CU399&lt;0.8,0.8,IF(CU399&lt;1,1,IF(CU399&lt;1.2,1.2,IF(CU399&lt;1.4,1.4,IF(CU399&lt;1.6,1.6,IF(CU399&lt;1.8,1.8,IF(CU399&lt;2,2,2.2))))))))</f>
        <v>1.4</v>
      </c>
      <c r="FP399" s="23">
        <f>IF(CV399&lt;0.6,0.6,IF(CV399&lt;0.8,0.8,IF(CV399&lt;1,1,IF(CV399&lt;1.2,1.2,IF(CV399&lt;1.4,1.4,IF(CV399&lt;1.6,1.6,IF(CV399&lt;1.8,1.8,IF(CV399&lt;2,2,2.2))))))))</f>
        <v>0.6</v>
      </c>
      <c r="FQ399" s="23">
        <f>IF(DA399&lt;0.6,0.6,IF(DA399&lt;0.8,0.8,IF(DA399&lt;1,1,IF(DA399&lt;1.2,1.2,IF(DA399&lt;1.4,1.4,IF(DA399&lt;1.6,1.6,IF(DA399&lt;1.8,1.8,IF(DA399&lt;2,2,2.2))))))))</f>
        <v>1</v>
      </c>
      <c r="FR399" s="23">
        <f>IF(CX399&lt;0.6,0.6,IF(CX399&lt;0.8,0.8,IF(CX399&lt;1,1,IF(CX399&lt;1.2,1.2,IF(CX399&lt;1.4,1.4,IF(CX399&lt;1.6,1.6,IF(CX399&lt;1.8,1.8,IF(CX399&lt;2,2,2.2))))))))</f>
        <v>1.4</v>
      </c>
      <c r="FS399" s="23">
        <f>IF(CY399&lt;0.6,0.6,IF(CY399&lt;0.8,0.8,IF(CY399&lt;1,1,IF(CY399&lt;1.2,1.2,IF(CY399&lt;1.4,1.4,IF(CY399&lt;1.6,1.6,IF(CY399&lt;1.8,1.8,IF(CY399&lt;2,2,2.2))))))))</f>
        <v>1.2</v>
      </c>
      <c r="FT399" s="23">
        <f>IF(CZ399&lt;0.6,0.6,IF(CZ399&lt;0.8,0.8,IF(CZ399&lt;1,1,IF(CZ399&lt;1.2,1.2,IF(CZ399&lt;1.4,1.4,IF(CZ399&lt;1.6,1.6,IF(CZ399&lt;1.8,1.8,IF(CZ399&lt;2,2,2.2))))))))</f>
        <v>0.8</v>
      </c>
      <c r="FU399" s="23">
        <f>IF(FS399&lt;1,1,0)</f>
        <v>0</v>
      </c>
      <c r="FV399" s="23"/>
      <c r="GF399" s="4">
        <f>IF(S399&gt;=2.5*25.4,1,1.25)</f>
        <v>1</v>
      </c>
      <c r="GG399" s="4">
        <f>IF(AO399&gt;1, 0.05*(18-MIN(8,(W399+N399)/N399))*(1-48000/MAX(60000,(J399*145))*(N399/25.4)^0.75*GH399), 1/12*(14-MIN(8,(W399+N399)/N399)))</f>
        <v>0.5475000000000001</v>
      </c>
      <c r="GH399" s="4">
        <f>MIN(0.3, AM399^2*PI()/4*2*AP399/(N399^2*PI()/4*X399))</f>
        <v>0</v>
      </c>
      <c r="GI399" s="4">
        <f>(K399/25.4)/(N399/25.4)^1.5/0.0024*(M399*145)^0.25/GF399/GG399/145</f>
        <v>275.0099373392955</v>
      </c>
    </row>
    <row r="400" spans="1:191" ht="12" customHeight="1" x14ac:dyDescent="0.3">
      <c r="A400" s="25">
        <v>353</v>
      </c>
      <c r="B400" s="4" t="s">
        <v>605</v>
      </c>
      <c r="C400" s="4">
        <v>2016</v>
      </c>
      <c r="D400" s="4" t="s">
        <v>309</v>
      </c>
      <c r="E400" s="24" t="s">
        <v>672</v>
      </c>
      <c r="F400" s="24"/>
      <c r="G400" s="24">
        <v>19</v>
      </c>
      <c r="H400" s="7" t="s">
        <v>517</v>
      </c>
      <c r="I400" s="5">
        <f>K400/N400</f>
        <v>6.25</v>
      </c>
      <c r="J400" s="38">
        <f>129/0.145</f>
        <v>889.65517241379314</v>
      </c>
      <c r="K400" s="38">
        <f>6.25*25.4</f>
        <v>158.75</v>
      </c>
      <c r="L400" s="4">
        <f>K400</f>
        <v>158.75</v>
      </c>
      <c r="M400" s="38">
        <f>5160/145</f>
        <v>35.586206896551722</v>
      </c>
      <c r="N400" s="96">
        <f>1*25.4</f>
        <v>25.4</v>
      </c>
      <c r="O400" s="7">
        <f>K400/N400</f>
        <v>6.25</v>
      </c>
      <c r="P400" s="7">
        <f>L400/N400</f>
        <v>6.25</v>
      </c>
      <c r="Q400" s="38">
        <f>17.3*25.4</f>
        <v>439.42</v>
      </c>
      <c r="R400" s="32">
        <f>S400/N400</f>
        <v>2.6499999999999995</v>
      </c>
      <c r="S400" s="38">
        <f>2.65*25.4</f>
        <v>67.309999999999988</v>
      </c>
      <c r="T400" s="32">
        <f>U400/N400</f>
        <v>7.1</v>
      </c>
      <c r="U400" s="39">
        <f>7.1*25.4</f>
        <v>180.33999999999997</v>
      </c>
      <c r="V400" s="32">
        <f>W400/N400</f>
        <v>4.5000000000000009</v>
      </c>
      <c r="W400" s="7">
        <f>(Q400-X400*N400-2*S400)/(X400-1)</f>
        <v>114.30000000000003</v>
      </c>
      <c r="X400" s="38">
        <v>3</v>
      </c>
      <c r="Y400" s="7">
        <f>AN400</f>
        <v>10</v>
      </c>
      <c r="Z400" s="32">
        <f>AA400/N400</f>
        <v>10.25</v>
      </c>
      <c r="AA400" s="4">
        <f>10.25*25.4</f>
        <v>260.34999999999997</v>
      </c>
      <c r="AB400" s="7">
        <f>MIN(S400/N400+0.5, W400/2/N400+0.5)</f>
        <v>2.7500000000000004</v>
      </c>
      <c r="AC400" s="7">
        <f>S400/N400+0.5</f>
        <v>3.1499999999999995</v>
      </c>
      <c r="AD400" s="38">
        <v>9.1</v>
      </c>
      <c r="AE400" s="4">
        <f>AD400</f>
        <v>9.1</v>
      </c>
      <c r="AF400" s="4">
        <f>AE400+1</f>
        <v>10.1</v>
      </c>
      <c r="AG400" s="7">
        <f>N400*AF400^0.5</f>
        <v>80.72246279691916</v>
      </c>
      <c r="AJ400" s="38">
        <f>AK400/0.145</f>
        <v>376.55172413793105</v>
      </c>
      <c r="AK400" s="4">
        <v>54.6</v>
      </c>
      <c r="AL400" s="4">
        <f>CY400</f>
        <v>1.7894468224730991</v>
      </c>
      <c r="AM400" s="38">
        <f>0.5*25.4</f>
        <v>12.7</v>
      </c>
      <c r="AN400" s="38">
        <v>10</v>
      </c>
      <c r="AO400" s="39">
        <f>3*25.4</f>
        <v>76.199999999999989</v>
      </c>
      <c r="AP400" s="39">
        <v>3</v>
      </c>
      <c r="AQ400" s="39">
        <f>AP400-1</f>
        <v>2</v>
      </c>
      <c r="AR400" s="7"/>
      <c r="AS400" s="4">
        <f>K400</f>
        <v>158.75</v>
      </c>
      <c r="AT400" s="4">
        <f>IF(K400*3&gt;W400+N400, Q400, (S400+N400/2)*2+1.5*K400*(2*X400-2))*(3*K400)/(9*K400^2)</f>
        <v>0.92266666666666663</v>
      </c>
      <c r="AU400" s="4">
        <f>MIN(10*M400^0.5*K400^1.5,100*3.9*M400^0.5*K400^(5/3))/(PI()/4*N400^2)/X400</f>
        <v>78.493353014927791</v>
      </c>
      <c r="AV400" s="4">
        <f>MIN(0.7+0.3*(MIN(S400,AA400)+0.5*N400)/1.5/K400,1)</f>
        <v>0.80079999999999996</v>
      </c>
      <c r="AW400" s="4">
        <v>1.25</v>
      </c>
      <c r="AX400" s="4">
        <f>AX399</f>
        <v>1</v>
      </c>
      <c r="AY400" s="38">
        <f>AT400*AV400*AW400*AX400*AU400</f>
        <v>72.495623582155147</v>
      </c>
      <c r="AZ400" s="38">
        <f>AY400</f>
        <v>72.495623582155147</v>
      </c>
      <c r="BA400" s="38">
        <f>IF(M400&lt;50, 0.3*M400^(2/3), 2.12*LN(1+0.1*(M400+8)))</f>
        <v>3.2457050730263122</v>
      </c>
      <c r="BB400" s="38">
        <f>AX400* (M400^0.5/AS400^0.5)/(PI()/4*N400^2)/X400/0.72 *(0.7+(MIN(S400,AA400)+0.5*N400)/5/K400) *(3*Q400*K400)</f>
        <v>72.49562358215519</v>
      </c>
      <c r="BC400" s="38">
        <f>AY400/BB400</f>
        <v>0.99999999999999944</v>
      </c>
      <c r="BD400" s="38">
        <f>BH400/BB400</f>
        <v>8.6181409029662248</v>
      </c>
      <c r="BE400" s="4">
        <f>IF(BD400&lt;1,1,0)</f>
        <v>0</v>
      </c>
      <c r="BF400" s="4">
        <f>L400/N400*M400^0.5/0.19</f>
        <v>196.23084142745833</v>
      </c>
      <c r="BG400" s="4">
        <f>MIN(0.6+0.4*(AC400/AB400),2)</f>
        <v>1.0581818181818181</v>
      </c>
      <c r="BH400" s="38">
        <f>2*M400*AB400*AD400^0.5*BG400*0.7/0.7</f>
        <v>624.77749887941445</v>
      </c>
      <c r="BI400" s="4">
        <f>MAX(1-0.7*AE400/5,0.3)</f>
        <v>0.3</v>
      </c>
      <c r="BJ400" s="4">
        <f>BI400*J400*L400/(J400*N400/2.75/M400^0.5)</f>
        <v>30.75918439375409</v>
      </c>
      <c r="BK400" s="4">
        <f>BH400+BJ400</f>
        <v>655.53668327316859</v>
      </c>
      <c r="BM400" s="4">
        <f>MIN(1.5, 0.75+0.25*MIN(3,MAX(1,S400/N400))+0.4*MIN(1,(40*2*PI()*AM400^2/4/AO400/X400)/N400))</f>
        <v>1.5</v>
      </c>
      <c r="BN400" s="4">
        <f>(3*P400+30)*BM400*M400^0.5</f>
        <v>436.22116049323989</v>
      </c>
      <c r="BP400" s="4">
        <f>3.4/PI()^0.5*M400*AB400*AE400^0.5*BG400</f>
        <v>599.23802673473551</v>
      </c>
      <c r="BQ400" s="4">
        <f>8/3*AH400*AI400^2/(AG400-N400-22)/N400*(AG400^2-N400^2)/(AG400^2-(N400+22)^2)</f>
        <v>0</v>
      </c>
      <c r="BR400" s="4">
        <f>BQ400/BP400</f>
        <v>0</v>
      </c>
      <c r="BZ400" s="4">
        <f>IF(W400=0,S400,MIN(W400/2,S400))</f>
        <v>57.150000000000013</v>
      </c>
      <c r="CD400" s="9"/>
      <c r="CF400" s="9"/>
      <c r="CG400" s="9"/>
      <c r="CH400" s="9">
        <f>IF(W400=0,MIN(S400,U400),MIN(W400/2,S400,U400))</f>
        <v>57.150000000000013</v>
      </c>
      <c r="CI400" s="9">
        <f>MAX(W400/2,S400)</f>
        <v>67.309999999999988</v>
      </c>
      <c r="CJ400" s="9">
        <f>(CH400/N400)^0.5*(CI400/CH400)^0.15</f>
        <v>1.5372721608851661</v>
      </c>
      <c r="CK400" s="70">
        <f>IF(AO400&gt;1,20,0)</f>
        <v>20</v>
      </c>
      <c r="CL400" s="9">
        <f>MIN(PI()*AM400^2/4*AN400*2/X400/N400/MAX(0.01,AO400),0.05)</f>
        <v>0.05</v>
      </c>
      <c r="CM400" s="9">
        <f>MAX(0,CK400*(CL400-0.5/50))</f>
        <v>0.8</v>
      </c>
      <c r="CN400" s="9">
        <f>MIN(1,(25/N400)^0.3)</f>
        <v>0.99524931562137331</v>
      </c>
      <c r="CO400" s="9">
        <f>IF(J400&gt;=800,0.68,IF(J400&gt;=700,0.75-(J400-700)*0.07/100,IF(J400&gt;=600,0.85-(J400-600)*0.1/100,IF(J400&gt;=500,1-(J400-500)*0.15/100,1.2-(J400-400)*0.2/100))))</f>
        <v>0.68</v>
      </c>
      <c r="CP400" s="9">
        <f>1.75*CN400*CO400*(M400/25)^0.5</f>
        <v>1.4130245076626196</v>
      </c>
      <c r="CQ400" s="9">
        <f>MIN((CJ400+CM400)*CP400,2.5*CP400,M400^0.5)</f>
        <v>3.3026228444083086</v>
      </c>
      <c r="CR400" s="40">
        <v>1</v>
      </c>
      <c r="CS400" s="9">
        <f>4*CQ400*P400+60*CQ400</f>
        <v>280.72294177470621</v>
      </c>
      <c r="CU400" s="4">
        <f>AJ400/BF400</f>
        <v>1.9189222315857666</v>
      </c>
      <c r="CV400" s="4">
        <f>AJ400/BK400</f>
        <v>0.57441747158643486</v>
      </c>
      <c r="CW400" s="4">
        <f>AJ400/BN400</f>
        <v>0.86321287970569793</v>
      </c>
      <c r="CX400" s="4">
        <f>AJ400/CS400</f>
        <v>1.341364270969104</v>
      </c>
      <c r="CY400" s="4">
        <f>AJ400/DZ400</f>
        <v>1.7894468224730991</v>
      </c>
      <c r="CZ400" s="4">
        <f>AJ400/EL400</f>
        <v>1.0767191342865152</v>
      </c>
      <c r="DA400" s="4">
        <f>AJ400/GI400</f>
        <v>1.3735243604164213</v>
      </c>
      <c r="DB400" s="4">
        <f>AN400</f>
        <v>10</v>
      </c>
      <c r="DI400" s="4">
        <f>CU400</f>
        <v>1.9189222315857666</v>
      </c>
      <c r="DJ400" s="4">
        <f>CV400</f>
        <v>0.57441747158643486</v>
      </c>
      <c r="DK400" s="4">
        <f>CX400</f>
        <v>1.341364270969104</v>
      </c>
      <c r="DL400" s="4">
        <f>DA400</f>
        <v>1.3735243604164213</v>
      </c>
      <c r="DM400" s="4">
        <f>CY400</f>
        <v>1.7894468224730991</v>
      </c>
      <c r="DN400" s="4">
        <f>CZ400</f>
        <v>1.0767191342865152</v>
      </c>
      <c r="DQ400" s="4">
        <f>L400</f>
        <v>158.75</v>
      </c>
      <c r="DT400" s="4">
        <f>K400/4/(1-0.3*(M400/30)^0.5)/200000/N400</f>
        <v>1.1603975840543402E-5</v>
      </c>
      <c r="DU400" s="4">
        <f>EP400</f>
        <v>9.152363510286726</v>
      </c>
      <c r="DV400" s="4">
        <f>EC400*AG400/257/M400/AD400</f>
        <v>7.0315323364629034E-2</v>
      </c>
      <c r="DW400" s="4">
        <f>DU400*DV400^0.4</f>
        <v>3.1648508823944117</v>
      </c>
      <c r="DX400" s="4">
        <f>MIN(DU400, DU400/1.4*(1-DV400^1.4)/(1-DV400))</f>
        <v>6.8608715418039328</v>
      </c>
      <c r="DY400" s="4">
        <f>MAX(DU400/2, (4-DT400*(8*AG400*(DW400-DX400)+6*K400*DX400))/(4+DT400*K400*DU400)*DU400)</f>
        <v>9.004273100365987</v>
      </c>
      <c r="DZ400" s="38">
        <f>MIN(1/N400*(4*AG400*(DW400-DX400)+(3*DX400+DY400)*K400)+EC400 -FJ400,MAX(J400,AJ400))</f>
        <v>210.4291222342774</v>
      </c>
      <c r="EA400" s="4">
        <f>DZ400/FF400</f>
        <v>1.0001399117781975</v>
      </c>
      <c r="EB400" s="4">
        <f>AG400/N400</f>
        <v>3.1780497164141401</v>
      </c>
      <c r="EC400" s="4">
        <f>MIN(EB$10*BB400)</f>
        <v>72.49562358215519</v>
      </c>
      <c r="EG400" s="4">
        <f>IF(U400&gt;1*N400,0.85,1)</f>
        <v>0.85</v>
      </c>
      <c r="EH400" s="4">
        <f>MIN(1,MAX(0.7,(1-0.1*(BZ400-1*N400)/N400)))</f>
        <v>0.87499999999999989</v>
      </c>
      <c r="EI400" s="4">
        <f>MIN(1,MAX(0.7,1-0.3*(PI()*AM400^2/4*AQ400*2-0.25*PI()/4*N400^2)/(PI()/4*N400^2)))</f>
        <v>0.77500000000000002</v>
      </c>
      <c r="EJ400" s="4">
        <f>IF(EH400*EI400&lt;0.7,0.7,EH400*EI400)</f>
        <v>0.7</v>
      </c>
      <c r="EL400" s="4">
        <f>MIN(DU400/N400*3*K400+EM400-FJ400,MAX(J400,AJ400))</f>
        <v>349.72140101090702</v>
      </c>
      <c r="EM400" s="25">
        <f>13.3*Q400*K400^0.5*M400^0.5/X400/N400^2*(0.7+S400/5/K400)</f>
        <v>178.1145851930309</v>
      </c>
      <c r="EO400" s="4">
        <f>EG400*EJ400</f>
        <v>0.59499999999999997</v>
      </c>
      <c r="EP400" s="4">
        <f>IF(N400&lt;22.2,1.1*5*(M400/30)^0.5,IF(N400&gt;=31.8,0.9*5*(M400/30)^0.5,1*5*(M400/30)^0.5))/EG400/EJ400</f>
        <v>9.152363510286726</v>
      </c>
      <c r="ES400" s="4">
        <f>ET400*N400</f>
        <v>80.72246279691916</v>
      </c>
      <c r="ET400" s="4">
        <f>AF400^0.5</f>
        <v>3.1780497164141406</v>
      </c>
      <c r="EU400" s="4">
        <f>MIN(EC400)/(4700*M400^0.5)/AE400*ES400</f>
        <v>2.2936444337818534E-2</v>
      </c>
      <c r="EX400" s="4">
        <f>EU400</f>
        <v>2.2936444337818534E-2</v>
      </c>
      <c r="EY400" s="4">
        <f>MIN(0.999, EX400/(0.3*(M400/30)^0.5))</f>
        <v>7.0197980194928275E-2</v>
      </c>
      <c r="EZ400" s="4">
        <f>EP400/1*EY400^0.4</f>
        <v>3.1627372052721832</v>
      </c>
      <c r="FA400" s="4">
        <f>EP400/1.4*(1-EY400^1.4)/(1-EY400)</f>
        <v>6.8604049620780474</v>
      </c>
      <c r="FB400" s="4">
        <f>MAX(0,DQ400*FB$9-ES400)</f>
        <v>38.34003720308084</v>
      </c>
      <c r="FC400" s="4">
        <f>MAX(0,DQ400-ES400-FB400)</f>
        <v>39.6875</v>
      </c>
      <c r="FD400" s="4">
        <f>FC400/(1-0.3*(M400/30)^0.5)/200000/N400</f>
        <v>1.1603975840543402E-5</v>
      </c>
      <c r="FE400" s="4">
        <f>MAX(0.5*EP400, (1-2*FD400*(ES400*EZ400+FB400*FA400))/(1/EP400+FD400*FC400))</f>
        <v>9.0043129732420777</v>
      </c>
      <c r="FF400" s="4">
        <f>MIN(4/N400*(1*EZ400*ES400+FA400*FB400+FC400*FE400)+EC400,MAX(J400,AJ400))</f>
        <v>210.39968484023922</v>
      </c>
      <c r="FO400" s="23">
        <f>IF(CU400&lt;0.6,0.6,IF(CU400&lt;0.8,0.8,IF(CU400&lt;1,1,IF(CU400&lt;1.2,1.2,IF(CU400&lt;1.4,1.4,IF(CU400&lt;1.6,1.6,IF(CU400&lt;1.8,1.8,IF(CU400&lt;2,2,2.2))))))))</f>
        <v>2</v>
      </c>
      <c r="FP400" s="23">
        <f>IF(CV400&lt;0.6,0.6,IF(CV400&lt;0.8,0.8,IF(CV400&lt;1,1,IF(CV400&lt;1.2,1.2,IF(CV400&lt;1.4,1.4,IF(CV400&lt;1.6,1.6,IF(CV400&lt;1.8,1.8,IF(CV400&lt;2,2,2.2))))))))</f>
        <v>0.6</v>
      </c>
      <c r="FQ400" s="23">
        <f>IF(DA400&lt;0.6,0.6,IF(DA400&lt;0.8,0.8,IF(DA400&lt;1,1,IF(DA400&lt;1.2,1.2,IF(DA400&lt;1.4,1.4,IF(DA400&lt;1.6,1.6,IF(DA400&lt;1.8,1.8,IF(DA400&lt;2,2,2.2))))))))</f>
        <v>1.4</v>
      </c>
      <c r="FR400" s="23">
        <f>IF(CX400&lt;0.6,0.6,IF(CX400&lt;0.8,0.8,IF(CX400&lt;1,1,IF(CX400&lt;1.2,1.2,IF(CX400&lt;1.4,1.4,IF(CX400&lt;1.6,1.6,IF(CX400&lt;1.8,1.8,IF(CX400&lt;2,2,2.2))))))))</f>
        <v>1.4</v>
      </c>
      <c r="FS400" s="23">
        <f>IF(CY400&lt;0.6,0.6,IF(CY400&lt;0.8,0.8,IF(CY400&lt;1,1,IF(CY400&lt;1.2,1.2,IF(CY400&lt;1.4,1.4,IF(CY400&lt;1.6,1.6,IF(CY400&lt;1.8,1.8,IF(CY400&lt;2,2,2.2))))))))</f>
        <v>1.8</v>
      </c>
      <c r="FT400" s="23">
        <f>IF(CZ400&lt;0.6,0.6,IF(CZ400&lt;0.8,0.8,IF(CZ400&lt;1,1,IF(CZ400&lt;1.2,1.2,IF(CZ400&lt;1.4,1.4,IF(CZ400&lt;1.6,1.6,IF(CZ400&lt;1.8,1.8,IF(CZ400&lt;2,2,2.2))))))))</f>
        <v>1.2</v>
      </c>
      <c r="FU400" s="23">
        <f>IF(FS400&lt;1,1,0)</f>
        <v>0</v>
      </c>
      <c r="FV400" s="23"/>
      <c r="GF400" s="4">
        <f>IF(S400&gt;=2.5*25.4,1,1.25)</f>
        <v>1</v>
      </c>
      <c r="GG400" s="4">
        <f>IF(AO400&gt;1, 0.05*(18-MIN(8,(W400+N400)/N400))*(1-48000/MAX(60000,(J400*145))*(N400/25.4)^0.75*GH400), 1/12*(14-MIN(8,(W400+N400)/N400)))</f>
        <v>0.55523255813953487</v>
      </c>
      <c r="GH400" s="4">
        <f>MIN(0.3, AM400^2*PI()/4*2*AP400/(N400^2*PI()/4*X400))</f>
        <v>0.3</v>
      </c>
      <c r="GI400" s="4">
        <f>(K400/25.4)/(N400/25.4)^1.5/0.0024*(M400*145)^0.25/GF400/GG400/145</f>
        <v>274.15001509239278</v>
      </c>
    </row>
    <row r="401" spans="1:191" ht="12" customHeight="1" x14ac:dyDescent="0.3">
      <c r="A401" s="25">
        <v>343</v>
      </c>
      <c r="B401" s="4" t="s">
        <v>605</v>
      </c>
      <c r="C401" s="4">
        <v>2016</v>
      </c>
      <c r="D401" s="4" t="s">
        <v>309</v>
      </c>
      <c r="E401" s="24" t="s">
        <v>505</v>
      </c>
      <c r="F401" s="24"/>
      <c r="G401" s="24">
        <v>24</v>
      </c>
      <c r="H401" s="7" t="s">
        <v>507</v>
      </c>
      <c r="I401" s="5">
        <f>K401/N401</f>
        <v>6.25</v>
      </c>
      <c r="J401" s="38">
        <f>129/0.145</f>
        <v>889.65517241379314</v>
      </c>
      <c r="K401" s="38">
        <f>6.25*25.4</f>
        <v>158.75</v>
      </c>
      <c r="L401" s="4">
        <f>K401</f>
        <v>158.75</v>
      </c>
      <c r="M401" s="38">
        <f>4930/145</f>
        <v>34</v>
      </c>
      <c r="N401" s="96">
        <f>1*25.4</f>
        <v>25.4</v>
      </c>
      <c r="O401" s="7">
        <f>K401/N401</f>
        <v>6.25</v>
      </c>
      <c r="P401" s="7">
        <f>L401/N401</f>
        <v>6.25</v>
      </c>
      <c r="Q401" s="38">
        <f>17.1*25.4</f>
        <v>434.34000000000003</v>
      </c>
      <c r="R401" s="32">
        <f>S401/N401</f>
        <v>2.5499999999999998</v>
      </c>
      <c r="S401" s="38">
        <f>2.55*25.4</f>
        <v>64.77</v>
      </c>
      <c r="T401" s="32">
        <f>U401/N401</f>
        <v>6.8000000000000007</v>
      </c>
      <c r="U401" s="39">
        <f>6.8*25.4</f>
        <v>172.72</v>
      </c>
      <c r="V401" s="32">
        <f>W401/N401</f>
        <v>10.000000000000002</v>
      </c>
      <c r="W401" s="7">
        <f>(Q401-X401*N401-2*S401)/(X401-1)</f>
        <v>254.00000000000003</v>
      </c>
      <c r="X401" s="38">
        <v>2</v>
      </c>
      <c r="Y401" s="7">
        <f>AN401</f>
        <v>10</v>
      </c>
      <c r="Z401" s="32">
        <f>AA401/N401</f>
        <v>10.25</v>
      </c>
      <c r="AA401" s="4">
        <f>10.25*25.4</f>
        <v>260.34999999999997</v>
      </c>
      <c r="AB401" s="7">
        <f>MIN(S401/N401+0.5, W401/2/N401+0.5)</f>
        <v>3.05</v>
      </c>
      <c r="AC401" s="7">
        <f>S401/N401+0.5</f>
        <v>3.05</v>
      </c>
      <c r="AD401" s="38">
        <v>4.0999999999999996</v>
      </c>
      <c r="AE401" s="4">
        <f>AD401</f>
        <v>4.0999999999999996</v>
      </c>
      <c r="AF401" s="4">
        <f>AE401+1</f>
        <v>5.0999999999999996</v>
      </c>
      <c r="AG401" s="7">
        <f>N401*AF401^0.5</f>
        <v>57.361276136431961</v>
      </c>
      <c r="AJ401" s="38">
        <f>AK401/0.145</f>
        <v>442.06896551724139</v>
      </c>
      <c r="AK401" s="4">
        <v>64.099999999999994</v>
      </c>
      <c r="AL401" s="4">
        <f>CY401</f>
        <v>1.7433677731711112</v>
      </c>
      <c r="AM401" s="38">
        <f>0.375*25.4</f>
        <v>9.5249999999999986</v>
      </c>
      <c r="AN401" s="38">
        <v>10</v>
      </c>
      <c r="AO401" s="39">
        <f>3*25.4</f>
        <v>76.199999999999989</v>
      </c>
      <c r="AP401" s="39">
        <v>3</v>
      </c>
      <c r="AQ401" s="39">
        <f>AP401-1</f>
        <v>2</v>
      </c>
      <c r="AR401" s="7"/>
      <c r="AS401" s="4">
        <f>K401</f>
        <v>158.75</v>
      </c>
      <c r="AT401" s="4">
        <f>IF(K401*3&gt;W401+N401, Q401, (S401+N401/2)*2+1.5*K401*(2*X401-2))*(3*K401)/(9*K401^2)</f>
        <v>0.91200000000000003</v>
      </c>
      <c r="AU401" s="4">
        <f>MIN(10*M401^0.5*K401^1.5,100*3.9*M401^0.5*K401^(5/3))/(PI()/4*N401^2)/X401</f>
        <v>115.08606717057168</v>
      </c>
      <c r="AV401" s="4">
        <f>MIN(0.7+0.3*(MIN(S401,AA401)+0.5*N401)/1.5/K401,1)</f>
        <v>0.79759999999999998</v>
      </c>
      <c r="AW401" s="4">
        <v>1.25</v>
      </c>
      <c r="AX401" s="4">
        <f>AX400</f>
        <v>1</v>
      </c>
      <c r="AY401" s="38">
        <f>AT401*AV401*AW401*AX401*AU401</f>
        <v>104.6436177797827</v>
      </c>
      <c r="AZ401" s="38">
        <f>AY401</f>
        <v>104.6436177797827</v>
      </c>
      <c r="BA401" s="38">
        <f>IF(M401&lt;50, 0.3*M401^(2/3), 2.12*LN(1+0.1*(M401+8)))</f>
        <v>3.1485253868929024</v>
      </c>
      <c r="BB401" s="38">
        <f>AX401* (M401^0.5/AS401^0.5)/(PI()/4*N401^2)/X401/0.72 *(0.7+(MIN(S401,AA401)+0.5*N401)/5/K401) *(3*Q401*K401)</f>
        <v>104.64361777978277</v>
      </c>
      <c r="BC401" s="38">
        <f>AY401/BB401</f>
        <v>0.99999999999999933</v>
      </c>
      <c r="BD401" s="38">
        <f>BH401/BB401</f>
        <v>4.0131734884326704</v>
      </c>
      <c r="BE401" s="4">
        <f>IF(BD401&lt;1,1,0)</f>
        <v>0</v>
      </c>
      <c r="BF401" s="4">
        <f>L401/N401*M401^0.5/0.19</f>
        <v>191.80762811991121</v>
      </c>
      <c r="BG401" s="4">
        <f>MIN(0.6+0.4*(AC401/AB401),2)</f>
        <v>1</v>
      </c>
      <c r="BH401" s="38">
        <f>2*M401*AB401*AD401^0.5*BG401*0.7/0.7</f>
        <v>419.95299260750585</v>
      </c>
      <c r="BI401" s="4">
        <f>MAX(1-0.7*AE401/5,0.3)</f>
        <v>0.42600000000000005</v>
      </c>
      <c r="BJ401" s="4">
        <f>BI401*J401*L401/(J401*N401/2.75/M401^0.5)</f>
        <v>42.693500905070444</v>
      </c>
      <c r="BK401" s="4">
        <f>BH401+BJ401</f>
        <v>462.64649351257628</v>
      </c>
      <c r="BM401" s="4">
        <f>MIN(1.5, 0.75+0.25*MIN(3,MAX(1,S401/N401))+0.4*MIN(1,(40*2*PI()*AM401^2/4/AO401/X401)/N401))</f>
        <v>1.5</v>
      </c>
      <c r="BN401" s="4">
        <f>(3*P401+30)*BM401*M401^0.5</f>
        <v>426.38835731056264</v>
      </c>
      <c r="BP401" s="4">
        <f>3.4/PI()^0.5*M401*AB401*AE401^0.5*BG401</f>
        <v>402.78627681506663</v>
      </c>
      <c r="BQ401" s="4">
        <f>8/3*AH401*AI401^2/(AG401-N401-22)/N401*(AG401^2-N401^2)/(AG401^2-(N401+22)^2)</f>
        <v>0</v>
      </c>
      <c r="BR401" s="4">
        <f>BQ401/BP401</f>
        <v>0</v>
      </c>
      <c r="BZ401" s="4">
        <f>IF(W401=0,S401,MIN(W401/2,S401))</f>
        <v>64.77</v>
      </c>
      <c r="CD401" s="9"/>
      <c r="CF401" s="9"/>
      <c r="CG401" s="9"/>
      <c r="CH401" s="9">
        <f>IF(W401=0,MIN(S401,U401),MIN(W401/2,S401,U401))</f>
        <v>64.77</v>
      </c>
      <c r="CI401" s="9">
        <f>MAX(W401/2,S401)</f>
        <v>127.00000000000001</v>
      </c>
      <c r="CJ401" s="9">
        <f>(CH401/N401)^0.5*(CI401/CH401)^0.15</f>
        <v>1.7665851027593089</v>
      </c>
      <c r="CK401" s="70">
        <f>IF(AO401&gt;1,20,0)</f>
        <v>20</v>
      </c>
      <c r="CL401" s="9">
        <f>MIN(PI()*AM401^2/4*AN401*2/X401/N401/MAX(0.01,AO401),0.05)</f>
        <v>0.05</v>
      </c>
      <c r="CM401" s="9">
        <f>MAX(0,CK401*(CL401-0.5/50))</f>
        <v>0.8</v>
      </c>
      <c r="CN401" s="9">
        <f>MIN(1,(25/N401)^0.3)</f>
        <v>0.99524931562137331</v>
      </c>
      <c r="CO401" s="9">
        <f>IF(J401&gt;=800,0.68,IF(J401&gt;=700,0.75-(J401-700)*0.07/100,IF(J401&gt;=600,0.85-(J401-600)*0.1/100,IF(J401&gt;=500,1-(J401-500)*0.15/100,1.2-(J401-400)*0.2/100))))</f>
        <v>0.68</v>
      </c>
      <c r="CP401" s="9">
        <f>1.75*CN401*CO401*(M401/25)^0.5</f>
        <v>1.3811737100982926</v>
      </c>
      <c r="CQ401" s="9">
        <f>MIN((CJ401+CM401)*CP401,2.5*CP401,M401^0.5)</f>
        <v>3.4529342752457315</v>
      </c>
      <c r="CR401" s="40">
        <v>1</v>
      </c>
      <c r="CS401" s="9">
        <f>4*CQ401*P401+60*CQ401</f>
        <v>293.49941339588719</v>
      </c>
      <c r="CU401" s="4">
        <f>AJ401/BF401</f>
        <v>2.3047517444972305</v>
      </c>
      <c r="CV401" s="4">
        <f>AJ401/BK401</f>
        <v>0.95552213561783861</v>
      </c>
      <c r="CW401" s="4">
        <f>AJ401/BN401</f>
        <v>1.0367754136289835</v>
      </c>
      <c r="CX401" s="4">
        <f>AJ401/CS401</f>
        <v>1.5062005078727565</v>
      </c>
      <c r="CY401" s="4">
        <f>AJ401/DZ401</f>
        <v>1.7433677731711112</v>
      </c>
      <c r="CZ401" s="4">
        <f>AJ401/EL401</f>
        <v>1.0771457263688171</v>
      </c>
      <c r="DA401" s="4">
        <f>AJ401/GI401</f>
        <v>1.3047954564429862</v>
      </c>
      <c r="DB401" s="4">
        <f>AN401</f>
        <v>10</v>
      </c>
      <c r="DI401" s="4">
        <f>CU401</f>
        <v>2.3047517444972305</v>
      </c>
      <c r="DJ401" s="4">
        <f>CV401</f>
        <v>0.95552213561783861</v>
      </c>
      <c r="DK401" s="4">
        <f>CX401</f>
        <v>1.5062005078727565</v>
      </c>
      <c r="DL401" s="4">
        <f>DA401</f>
        <v>1.3047954564429862</v>
      </c>
      <c r="DM401" s="4">
        <f>CY401</f>
        <v>1.7433677731711112</v>
      </c>
      <c r="DN401" s="4">
        <f>CZ401</f>
        <v>1.0771457263688171</v>
      </c>
      <c r="DQ401" s="4">
        <f>L401</f>
        <v>158.75</v>
      </c>
      <c r="DT401" s="4">
        <f>K401/4/(1-0.3*(M401/30)^0.5)/200000/N401</f>
        <v>1.1478410255893533E-5</v>
      </c>
      <c r="DU401" s="4">
        <f>EP401</f>
        <v>8.177587151489405</v>
      </c>
      <c r="DV401" s="4">
        <f>EC401*AG401/257/M401/AD401</f>
        <v>0.16754661320560491</v>
      </c>
      <c r="DW401" s="4">
        <f>DU401*DV401^0.4</f>
        <v>4.002021731842115</v>
      </c>
      <c r="DX401" s="4">
        <f>MIN(DU401, DU401/1.4*(1-DV401^1.4)/(1-DV401))</f>
        <v>6.4414262737728292</v>
      </c>
      <c r="DY401" s="4">
        <f>MAX(DU401/2, (4-DT401*(8*AG401*(DW401-DX401)+6*K401*DX401))/(4+DT401*K401*DU401)*DU401)</f>
        <v>8.0299646456304128</v>
      </c>
      <c r="DZ401" s="38">
        <f>MIN(1/N401*(4*AG401*(DW401-DX401)+(3*DX401+DY401)*K401)+EC401 -FJ401,MAX(J401,AJ401))</f>
        <v>253.57183511149623</v>
      </c>
      <c r="EA401" s="4">
        <f>DZ401/FF401</f>
        <v>1.0001256952097046</v>
      </c>
      <c r="EB401" s="4">
        <f>AG401/N401</f>
        <v>2.2583179581272428</v>
      </c>
      <c r="EC401" s="4">
        <f>MIN(EB$10*BB401)</f>
        <v>104.64361777978277</v>
      </c>
      <c r="EG401" s="4">
        <f>IF(U401&gt;1*N401,0.85,1)</f>
        <v>0.85</v>
      </c>
      <c r="EH401" s="4">
        <f>MIN(1,MAX(0.7,(1-0.1*(BZ401-1*N401)/N401)))</f>
        <v>0.84499999999999997</v>
      </c>
      <c r="EI401" s="4">
        <f>MIN(1,MAX(0.7,1-0.3*(PI()*AM401^2/4*AQ401*2-0.25*PI()/4*N401^2)/(PI()/4*N401^2)))</f>
        <v>0.90625</v>
      </c>
      <c r="EJ401" s="4">
        <f>IF(EH401*EI401&lt;0.7,0.7,EH401*EI401)</f>
        <v>0.76578124999999997</v>
      </c>
      <c r="EL401" s="4">
        <f>MIN(DU401/N401*3*K401+EM401-FJ401,MAX(J401,AJ401))</f>
        <v>410.40776070987818</v>
      </c>
      <c r="EM401" s="25">
        <f>13.3*Q401*K401^0.5*M401^0.5/X401/N401^2*(0.7+S401/5/K401)</f>
        <v>257.07800161945181</v>
      </c>
      <c r="EO401" s="4">
        <f>EG401*EJ401</f>
        <v>0.65091406249999995</v>
      </c>
      <c r="EP401" s="4">
        <f>IF(N401&lt;22.2,1.1*5*(M401/30)^0.5,IF(N401&gt;=31.8,0.9*5*(M401/30)^0.5,1*5*(M401/30)^0.5))/EG401/EJ401</f>
        <v>8.177587151489405</v>
      </c>
      <c r="ES401" s="4">
        <f>ET401*N401</f>
        <v>57.361276136431961</v>
      </c>
      <c r="ET401" s="4">
        <f>AF401^0.5</f>
        <v>2.2583179581272428</v>
      </c>
      <c r="EU401" s="4">
        <f>MIN(EC401)/(4700*M401^0.5)/AE401*ES401</f>
        <v>5.3420798750799282E-2</v>
      </c>
      <c r="EX401" s="4">
        <f>EU401</f>
        <v>5.3420798750799282E-2</v>
      </c>
      <c r="EY401" s="4">
        <f>MIN(0.999, EX401/(0.3*(M401/30)^0.5))</f>
        <v>0.1672670091346086</v>
      </c>
      <c r="EZ401" s="4">
        <f>EP401/1*EY401^0.4</f>
        <v>3.9993489418461268</v>
      </c>
      <c r="FA401" s="4">
        <f>EP401/1.4*(1-EY401^1.4)/(1-EY401)</f>
        <v>6.4406067541341354</v>
      </c>
      <c r="FB401" s="4">
        <f>MAX(0,DQ401*FB$9-ES401)</f>
        <v>61.701223863568039</v>
      </c>
      <c r="FC401" s="4">
        <f>MAX(0,DQ401-ES401-FB401)</f>
        <v>39.687499999999993</v>
      </c>
      <c r="FD401" s="4">
        <f>FC401/(1-0.3*(M401/30)^0.5)/200000/N401</f>
        <v>1.1478410255893533E-5</v>
      </c>
      <c r="FE401" s="4">
        <f>MAX(0.5*EP401, (1-2*FD401*(ES401*EZ401+FB401*FA401))/(1/EP401+FD401*FC401))</f>
        <v>8.030002778254886</v>
      </c>
      <c r="FF401" s="4">
        <f>MIN(4/N401*(1*EZ401*ES401+FA401*FB401+FC401*FE401)+EC401,MAX(J401,AJ401))</f>
        <v>253.5399663522571</v>
      </c>
      <c r="FO401" s="23">
        <f>IF(CU401&lt;0.6,0.6,IF(CU401&lt;0.8,0.8,IF(CU401&lt;1,1,IF(CU401&lt;1.2,1.2,IF(CU401&lt;1.4,1.4,IF(CU401&lt;1.6,1.6,IF(CU401&lt;1.8,1.8,IF(CU401&lt;2,2,2.2))))))))</f>
        <v>2.2000000000000002</v>
      </c>
      <c r="FP401" s="23">
        <f>IF(CV401&lt;0.6,0.6,IF(CV401&lt;0.8,0.8,IF(CV401&lt;1,1,IF(CV401&lt;1.2,1.2,IF(CV401&lt;1.4,1.4,IF(CV401&lt;1.6,1.6,IF(CV401&lt;1.8,1.8,IF(CV401&lt;2,2,2.2))))))))</f>
        <v>1</v>
      </c>
      <c r="FQ401" s="23">
        <f>IF(DA401&lt;0.6,0.6,IF(DA401&lt;0.8,0.8,IF(DA401&lt;1,1,IF(DA401&lt;1.2,1.2,IF(DA401&lt;1.4,1.4,IF(DA401&lt;1.6,1.6,IF(DA401&lt;1.8,1.8,IF(DA401&lt;2,2,2.2))))))))</f>
        <v>1.4</v>
      </c>
      <c r="FR401" s="23">
        <f>IF(CX401&lt;0.6,0.6,IF(CX401&lt;0.8,0.8,IF(CX401&lt;1,1,IF(CX401&lt;1.2,1.2,IF(CX401&lt;1.4,1.4,IF(CX401&lt;1.6,1.6,IF(CX401&lt;1.8,1.8,IF(CX401&lt;2,2,2.2))))))))</f>
        <v>1.6</v>
      </c>
      <c r="FS401" s="23">
        <f>IF(CY401&lt;0.6,0.6,IF(CY401&lt;0.8,0.8,IF(CY401&lt;1,1,IF(CY401&lt;1.2,1.2,IF(CY401&lt;1.4,1.4,IF(CY401&lt;1.6,1.6,IF(CY401&lt;1.8,1.8,IF(CY401&lt;2,2,2.2))))))))</f>
        <v>1.8</v>
      </c>
      <c r="FT401" s="23">
        <f>IF(CZ401&lt;0.6,0.6,IF(CZ401&lt;0.8,0.8,IF(CZ401&lt;1,1,IF(CZ401&lt;1.2,1.2,IF(CZ401&lt;1.4,1.4,IF(CZ401&lt;1.6,1.6,IF(CZ401&lt;1.8,1.8,IF(CZ401&lt;2,2,2.2))))))))</f>
        <v>1.2</v>
      </c>
      <c r="FU401" s="23">
        <f>IF(FS401&lt;1,1,0)</f>
        <v>0</v>
      </c>
      <c r="FV401" s="23"/>
      <c r="GF401" s="4">
        <f>IF(S401&gt;=2.5*25.4,1,1.25)</f>
        <v>1</v>
      </c>
      <c r="GG401" s="4">
        <f>IF(AO401&gt;1, 0.05*(18-MIN(8,(W401+N401)/N401))*(1-48000/MAX(60000,(J401*145))*(N401/25.4)^0.75*GH401), 1/12*(14-MIN(8,(W401+N401)/N401)))</f>
        <v>0.44418604651162791</v>
      </c>
      <c r="GH401" s="4">
        <f>MIN(0.3, AM401^2*PI()/4*2*AP401/(N401^2*PI()/4*X401))</f>
        <v>0.3</v>
      </c>
      <c r="GI401" s="4">
        <f>(K401/25.4)/(N401/25.4)^1.5/0.0024*(M401*145)^0.25/GF401/GG401/145</f>
        <v>338.80326861527345</v>
      </c>
    </row>
    <row r="402" spans="1:191" ht="12" customHeight="1" x14ac:dyDescent="0.3">
      <c r="A402" s="25">
        <v>363</v>
      </c>
      <c r="B402" s="4" t="s">
        <v>605</v>
      </c>
      <c r="C402" s="4">
        <v>2016</v>
      </c>
      <c r="D402" s="4" t="s">
        <v>309</v>
      </c>
      <c r="E402" s="24" t="s">
        <v>673</v>
      </c>
      <c r="F402" s="97" t="s">
        <v>762</v>
      </c>
      <c r="G402" s="24">
        <v>2</v>
      </c>
      <c r="H402" s="7" t="s">
        <v>528</v>
      </c>
      <c r="I402" s="5">
        <f>K402/N402</f>
        <v>9.9519999999999982</v>
      </c>
      <c r="J402" s="38">
        <f>139/0.145</f>
        <v>958.62068965517244</v>
      </c>
      <c r="K402" s="78">
        <f>6.22*25.4</f>
        <v>157.98799999999997</v>
      </c>
      <c r="L402" s="4">
        <f>K402</f>
        <v>157.98799999999997</v>
      </c>
      <c r="M402" s="76">
        <f>4690/145</f>
        <v>32.344827586206897</v>
      </c>
      <c r="N402" s="38">
        <f>0.625*25.4</f>
        <v>15.875</v>
      </c>
      <c r="O402" s="7">
        <f>K402/N402</f>
        <v>9.9519999999999982</v>
      </c>
      <c r="P402" s="7">
        <f>L402/N402</f>
        <v>9.9519999999999982</v>
      </c>
      <c r="Q402" s="38">
        <f>13.3*25.4</f>
        <v>337.82</v>
      </c>
      <c r="R402" s="32">
        <f>S402/N402</f>
        <v>4.08</v>
      </c>
      <c r="S402" s="38">
        <f>2.55*25.4</f>
        <v>64.77</v>
      </c>
      <c r="T402" s="32">
        <f>U402/N402</f>
        <v>4.7999999999999989</v>
      </c>
      <c r="U402" s="39">
        <f>3*25.4</f>
        <v>76.199999999999989</v>
      </c>
      <c r="V402" s="32">
        <f>W402/N402</f>
        <v>11.12</v>
      </c>
      <c r="W402" s="7">
        <f>(Q402-X402*N402-2*S402)/(X402-1)</f>
        <v>176.53</v>
      </c>
      <c r="X402" s="38">
        <v>2</v>
      </c>
      <c r="Y402" s="7">
        <f>AN402</f>
        <v>0</v>
      </c>
      <c r="Z402" s="32">
        <f>AA402/N402</f>
        <v>8.4</v>
      </c>
      <c r="AA402" s="4">
        <f>5.25*25.4</f>
        <v>133.35</v>
      </c>
      <c r="AB402" s="7">
        <f>MIN(S402/N402+0.5, W402/2/N402+0.5)</f>
        <v>4.58</v>
      </c>
      <c r="AC402" s="7">
        <f>S402/N402+0.5</f>
        <v>4.58</v>
      </c>
      <c r="AD402" s="38">
        <v>13.1</v>
      </c>
      <c r="AE402" s="4">
        <f>AD402</f>
        <v>13.1</v>
      </c>
      <c r="AF402" s="4">
        <f>AE402+1</f>
        <v>14.1</v>
      </c>
      <c r="AG402" s="7">
        <f>N402*AF402^0.5</f>
        <v>59.610572153771514</v>
      </c>
      <c r="AJ402" s="38">
        <f>AK402/0.145</f>
        <v>785.51724137931046</v>
      </c>
      <c r="AK402" s="4">
        <v>113.9</v>
      </c>
      <c r="AL402" s="4">
        <f>CY402</f>
        <v>1.697827799212775</v>
      </c>
      <c r="AM402" s="38">
        <v>0</v>
      </c>
      <c r="AN402" s="38">
        <v>0</v>
      </c>
      <c r="AO402" s="39">
        <f>L402</f>
        <v>157.98799999999997</v>
      </c>
      <c r="AP402" s="39"/>
      <c r="AQ402" s="39"/>
      <c r="AR402" s="7"/>
      <c r="AS402" s="4">
        <f>K402</f>
        <v>157.98799999999997</v>
      </c>
      <c r="AT402" s="4">
        <f>IF(K402*3&gt;W402+N402, Q402, (S402+N402/2)*2+1.5*K402*(2*X402-2))*(3*K402)/(9*K402^2)</f>
        <v>0.71275455519828534</v>
      </c>
      <c r="AU402" s="4">
        <f>MIN(10*M402^0.5*K402^1.5,100*3.9*M402^0.5*K402^(5/3))/(PI()/4*N402^2)/X402</f>
        <v>285.29307317151796</v>
      </c>
      <c r="AV402" s="4">
        <f>MIN(0.7+0.3*(MIN(S402,AA402)+0.5*N402)/1.5/K402,1)</f>
        <v>0.79204180064308682</v>
      </c>
      <c r="AW402" s="4">
        <v>1.25</v>
      </c>
      <c r="AX402" s="4">
        <f>AX401</f>
        <v>1</v>
      </c>
      <c r="AY402" s="38">
        <f>AT402*AV402*AW402*AX402*AU402</f>
        <v>201.32112297901452</v>
      </c>
      <c r="AZ402" s="38">
        <f>AY402</f>
        <v>201.32112297901452</v>
      </c>
      <c r="BA402" s="38">
        <f>IF(M402&lt;50, 0.3*M402^(2/3), 2.12*LN(1+0.1*(M402+8)))</f>
        <v>3.0454944685430494</v>
      </c>
      <c r="BB402" s="38">
        <f>AX402* (M402^0.5/AS402^0.5)/(PI()/4*N402^2)/X402/0.72 *(0.7+(MIN(S402,AA402)+0.5*N402)/5/K402) *(3*Q402*K402)</f>
        <v>201.32112297901455</v>
      </c>
      <c r="BC402" s="38">
        <f>AY402/BB402</f>
        <v>0.99999999999999989</v>
      </c>
      <c r="BD402" s="38">
        <f>BH402/BB402</f>
        <v>5.3265574773352187</v>
      </c>
      <c r="BE402" s="4">
        <f>IF(BD402&lt;1,1,0)</f>
        <v>0</v>
      </c>
      <c r="BF402" s="4">
        <f>L402/N402*M402^0.5/0.19</f>
        <v>297.89223760438909</v>
      </c>
      <c r="BG402" s="4">
        <f>MIN(0.6+0.4*(AC402/AB402),2)</f>
        <v>1</v>
      </c>
      <c r="BH402" s="38">
        <f>2*M402*AB402*AD402^0.5*BG402*0.7/0.7</f>
        <v>1072.3485329493931</v>
      </c>
      <c r="BI402" s="4">
        <f>MAX(1-0.7*AE402/5,0.3)</f>
        <v>0.3</v>
      </c>
      <c r="BJ402" s="4">
        <f>BI402*J402*L402/(J402*N402/2.75/M402^0.5)</f>
        <v>46.694608244487995</v>
      </c>
      <c r="BK402" s="4">
        <f>BH402+BJ402</f>
        <v>1119.0431411938812</v>
      </c>
      <c r="BM402" s="4">
        <f>MIN(1.5, 0.75+0.25*MIN(3,MAX(1,S402/N402))+0.4*MIN(1,(40*2*PI()*AM402^2/4/AO402/X402)/N402))</f>
        <v>1.5</v>
      </c>
      <c r="BN402" s="4">
        <f>(3*P402+30)*BM402*M402^0.5</f>
        <v>510.62417258880328</v>
      </c>
      <c r="BP402" s="4">
        <f>3.4/PI()^0.5*M402*AB402*AE402^0.5*BG402</f>
        <v>1028.5133827787015</v>
      </c>
      <c r="BQ402" s="4">
        <f>8/3*AH402*AI402^2/(AG402-N402-22)/N402*(AG402^2-N402^2)/(AG402^2-(N402+22)^2)</f>
        <v>0</v>
      </c>
      <c r="BR402" s="4">
        <f>BQ402/BP402</f>
        <v>0</v>
      </c>
      <c r="BZ402" s="4">
        <f>IF(W402=0,S402,MIN(W402/2,S402))</f>
        <v>64.77</v>
      </c>
      <c r="CD402" s="9"/>
      <c r="CF402" s="9"/>
      <c r="CG402" s="9"/>
      <c r="CH402" s="9">
        <f>IF(W402=0,MIN(S402,U402),MIN(W402/2,S402,U402))</f>
        <v>64.77</v>
      </c>
      <c r="CI402" s="9">
        <f>MAX(W402/2,S402)</f>
        <v>88.265000000000001</v>
      </c>
      <c r="CJ402" s="9">
        <f>(CH402/N402)^0.5*(CI402/CH402)^0.15</f>
        <v>2.1158860526359717</v>
      </c>
      <c r="CK402" s="70">
        <f>IF(AO402&gt;1,20,0)</f>
        <v>20</v>
      </c>
      <c r="CL402" s="9">
        <f>MIN(PI()*AM402^2/4*AN402*2/X402/N402/MAX(0.01,AO402),0.05)</f>
        <v>0</v>
      </c>
      <c r="CM402" s="9">
        <f>MAX(0,CK402*(CL402-0.5/50))</f>
        <v>0</v>
      </c>
      <c r="CN402" s="9">
        <f>MIN(1,(25/N402)^0.3)</f>
        <v>1</v>
      </c>
      <c r="CO402" s="9">
        <f>IF(J402&gt;=800,0.68,IF(J402&gt;=700,0.75-(J402-700)*0.07/100,IF(J402&gt;=600,0.85-(J402-600)*0.1/100,IF(J402&gt;=500,1-(J402-500)*0.15/100,1.2-(J402-400)*0.2/100))))</f>
        <v>0.68</v>
      </c>
      <c r="CP402" s="9">
        <f>1.75*CN402*CO402*(M402/25)^0.5</f>
        <v>1.3535658143559566</v>
      </c>
      <c r="CQ402" s="9">
        <f>MIN((CJ402+CM402)*CP402,2.5*CP402,M402^0.5)</f>
        <v>2.8639910279206195</v>
      </c>
      <c r="CR402" s="40">
        <v>1</v>
      </c>
      <c r="CS402" s="9">
        <f>4*CQ402*P402+60*CQ402</f>
        <v>285.8492165147012</v>
      </c>
      <c r="CU402" s="4">
        <f>AJ402/BF402</f>
        <v>2.6369174561121116</v>
      </c>
      <c r="CV402" s="4">
        <f>AJ402/BK402</f>
        <v>0.70195438626366125</v>
      </c>
      <c r="CW402" s="4">
        <f>AJ402/BN402</f>
        <v>1.5383471514809657</v>
      </c>
      <c r="CX402" s="4">
        <f>AJ402/CS402</f>
        <v>2.7480125744508079</v>
      </c>
      <c r="CY402" s="4">
        <f>AJ402/DZ402</f>
        <v>1.697827799212775</v>
      </c>
      <c r="CZ402" s="4">
        <f>AJ402/EL402</f>
        <v>1.000825177613299</v>
      </c>
      <c r="DA402" s="4">
        <f>AJ402/GI402</f>
        <v>1.3120228562170784</v>
      </c>
      <c r="DB402" s="4">
        <f>AN402</f>
        <v>0</v>
      </c>
      <c r="DC402" s="4">
        <f>CU402</f>
        <v>2.6369174561121116</v>
      </c>
      <c r="DD402" s="4">
        <f>CV402</f>
        <v>0.70195438626366125</v>
      </c>
      <c r="DE402" s="4">
        <f>CX402</f>
        <v>2.7480125744508079</v>
      </c>
      <c r="DF402" s="4">
        <f>DA402</f>
        <v>1.3120228562170784</v>
      </c>
      <c r="DG402" s="4">
        <f>CY402</f>
        <v>1.697827799212775</v>
      </c>
      <c r="DH402" s="4">
        <f>CZ402</f>
        <v>1.000825177613299</v>
      </c>
      <c r="DQ402" s="4">
        <f>L402</f>
        <v>157.98799999999997</v>
      </c>
      <c r="DT402" s="4">
        <f>K402/4/(1-0.3*(M402/30)^0.5)/200000/N402</f>
        <v>1.8068358394329439E-5</v>
      </c>
      <c r="DU402" s="4">
        <f>EP402</f>
        <v>9.5981496427943913</v>
      </c>
      <c r="DV402" s="4">
        <f>EC402*AG402/257/M402/AD402</f>
        <v>0.11020552684319097</v>
      </c>
      <c r="DW402" s="4">
        <f>DU402*DV402^0.4</f>
        <v>3.972545376749919</v>
      </c>
      <c r="DX402" s="4">
        <f>MIN(DU402, DU402/1.4*(1-DV402^1.4)/(1-DV402))</f>
        <v>7.3535064741589169</v>
      </c>
      <c r="DY402" s="4">
        <f>MAX(DU402/2, (4-DT402*(8*AG402*(DW402-DX402)+6*K402*DX402))/(4+DT402*K402*DU402)*DU402)</f>
        <v>9.302121675729687</v>
      </c>
      <c r="DZ402" s="38">
        <f>MIN(1/N402*(4*AG402*(DW402-DX402)+(3*DX402+DY402)*K402)+EC402 -FJ402,MAX(J402,AJ402))</f>
        <v>462.66013652475715</v>
      </c>
      <c r="EA402" s="4">
        <f>DZ402/FF402</f>
        <v>1.0001070789029427</v>
      </c>
      <c r="EB402" s="4">
        <f>AG402/N402</f>
        <v>3.7549966711037173</v>
      </c>
      <c r="EC402" s="4">
        <f>MIN(EB$10*BB402)</f>
        <v>201.32112297901455</v>
      </c>
      <c r="EG402" s="4">
        <f>IF(U402&gt;1*N402,0.85,1)</f>
        <v>0.85</v>
      </c>
      <c r="EH402" s="4">
        <f>MIN(1,MAX(0.7,(1-0.1*(BZ402-1*N402)/N402)))</f>
        <v>0.7</v>
      </c>
      <c r="EI402" s="4">
        <f>MIN(1,MAX(0.7,1-0.3*(PI()*AM402^2/4*AQ402*2-0.25*PI()/4*N402^2)/(PI()/4*N402^2)))</f>
        <v>1</v>
      </c>
      <c r="EJ402" s="4">
        <f>IF(EH402*EI402&lt;0.7,0.7,EH402*EI402)</f>
        <v>0.7</v>
      </c>
      <c r="EL402" s="4">
        <f>MIN(DU402/N402*3*K402+EM402-FJ402,MAX(J402,AJ402))</f>
        <v>784.86958456876505</v>
      </c>
      <c r="EM402" s="25">
        <f>13.3*Q402*K402^0.5*M402^0.5/X402/N402^2*(0.7+S402/5/K402)</f>
        <v>498.30722883349574</v>
      </c>
      <c r="EO402" s="4">
        <f>EG402*EJ402</f>
        <v>0.59499999999999997</v>
      </c>
      <c r="EP402" s="4">
        <f>IF(N402&lt;22.2,1.1*5*(M402/30)^0.5,IF(N402&gt;=31.8,0.9*5*(M402/30)^0.5,1*5*(M402/30)^0.5))/EG402/EJ402</f>
        <v>9.5981496427943913</v>
      </c>
      <c r="ES402" s="4">
        <f>ET402*N402</f>
        <v>59.610572153771514</v>
      </c>
      <c r="ET402" s="4">
        <f>AF402^0.5</f>
        <v>3.7549966711037173</v>
      </c>
      <c r="EU402" s="4">
        <f>MIN(EC402)/(4700*M402^0.5)/AE402*ES402</f>
        <v>3.4272127174882858E-2</v>
      </c>
      <c r="EX402" s="4">
        <f>EU402</f>
        <v>3.4272127174882858E-2</v>
      </c>
      <c r="EY402" s="4">
        <f>MIN(0.999, EX402/(0.3*(M402/30)^0.5))</f>
        <v>0.11002161435840775</v>
      </c>
      <c r="EZ402" s="4">
        <f>EP402/1*EY402^0.4</f>
        <v>3.9698922728306907</v>
      </c>
      <c r="FA402" s="4">
        <f>EP402/1.4*(1-EY402^1.4)/(1-EY402)</f>
        <v>7.3528075303473193</v>
      </c>
      <c r="FB402" s="4">
        <f>MAX(0,DQ402*FB$9-ES402)</f>
        <v>58.880427846228471</v>
      </c>
      <c r="FC402" s="4">
        <f>MAX(0,DQ402-ES402-FB402)</f>
        <v>39.496999999999986</v>
      </c>
      <c r="FD402" s="4">
        <f>FC402/(1-0.3*(M402/30)^0.5)/200000/N402</f>
        <v>1.8068358394329436E-5</v>
      </c>
      <c r="FE402" s="4">
        <f>MAX(0.5*EP402, (1-2*FD402*(ES402*EZ402+FB402*FA402))/(1/EP402+FD402*FC402))</f>
        <v>9.3021903342529484</v>
      </c>
      <c r="FF402" s="4">
        <f>MIN(4/N402*(1*EZ402*ES402+FA402*FB402+FC402*FE402)+EC402,MAX(J402,AJ402))</f>
        <v>462.61060068914571</v>
      </c>
      <c r="FO402" s="23">
        <f>IF(CU402&lt;0.6,0.6,IF(CU402&lt;0.8,0.8,IF(CU402&lt;1,1,IF(CU402&lt;1.2,1.2,IF(CU402&lt;1.4,1.4,IF(CU402&lt;1.6,1.6,IF(CU402&lt;1.8,1.8,IF(CU402&lt;2,2,2.2))))))))</f>
        <v>2.2000000000000002</v>
      </c>
      <c r="FP402" s="23">
        <f>IF(CV402&lt;0.6,0.6,IF(CV402&lt;0.8,0.8,IF(CV402&lt;1,1,IF(CV402&lt;1.2,1.2,IF(CV402&lt;1.4,1.4,IF(CV402&lt;1.6,1.6,IF(CV402&lt;1.8,1.8,IF(CV402&lt;2,2,2.2))))))))</f>
        <v>0.8</v>
      </c>
      <c r="FQ402" s="23">
        <f>IF(DA402&lt;0.6,0.6,IF(DA402&lt;0.8,0.8,IF(DA402&lt;1,1,IF(DA402&lt;1.2,1.2,IF(DA402&lt;1.4,1.4,IF(DA402&lt;1.6,1.6,IF(DA402&lt;1.8,1.8,IF(DA402&lt;2,2,2.2))))))))</f>
        <v>1.4</v>
      </c>
      <c r="FR402" s="23">
        <f>IF(CX402&lt;0.6,0.6,IF(CX402&lt;0.8,0.8,IF(CX402&lt;1,1,IF(CX402&lt;1.2,1.2,IF(CX402&lt;1.4,1.4,IF(CX402&lt;1.6,1.6,IF(CX402&lt;1.8,1.8,IF(CX402&lt;2,2,2.2))))))))</f>
        <v>2.2000000000000002</v>
      </c>
      <c r="FS402" s="23">
        <f>IF(CY402&lt;0.6,0.6,IF(CY402&lt;0.8,0.8,IF(CY402&lt;1,1,IF(CY402&lt;1.2,1.2,IF(CY402&lt;1.4,1.4,IF(CY402&lt;1.6,1.6,IF(CY402&lt;1.8,1.8,IF(CY402&lt;2,2,2.2))))))))</f>
        <v>1.8</v>
      </c>
      <c r="FT402" s="23">
        <f>IF(CZ402&lt;0.6,0.6,IF(CZ402&lt;0.8,0.8,IF(CZ402&lt;1,1,IF(CZ402&lt;1.2,1.2,IF(CZ402&lt;1.4,1.4,IF(CZ402&lt;1.6,1.6,IF(CZ402&lt;1.8,1.8,IF(CZ402&lt;2,2,2.2))))))))</f>
        <v>1.2</v>
      </c>
      <c r="FU402" s="23">
        <f>IF(FS402&lt;1,1,0)</f>
        <v>0</v>
      </c>
      <c r="FV402" s="23"/>
      <c r="GF402" s="4">
        <f>IF(S402&gt;=2.5*25.4,1,1.25)</f>
        <v>1</v>
      </c>
      <c r="GG402" s="4">
        <f>IF(AO402&gt;1, 0.05*(18-MIN(8,(W402+N402)/N402))*(1-48000/MAX(60000,(J402*145))*(N402/25.4)^0.75*GH402), 1/12*(14-MIN(8,(W402+N402)/N402)))</f>
        <v>0.5</v>
      </c>
      <c r="GH402" s="4">
        <f>MIN(0.3, AM402^2*PI()/4*2*AP402/(N402^2*PI()/4*X402))</f>
        <v>0</v>
      </c>
      <c r="GI402" s="4">
        <f>(K402/25.4)/(N402/25.4)^1.5/0.0024*(M402*145)^0.25/GF402/GG402/145</f>
        <v>598.70697957516688</v>
      </c>
    </row>
    <row r="403" spans="1:191" ht="12" customHeight="1" x14ac:dyDescent="0.3">
      <c r="A403" s="25">
        <v>352</v>
      </c>
      <c r="B403" s="4" t="s">
        <v>605</v>
      </c>
      <c r="C403" s="4">
        <v>2016</v>
      </c>
      <c r="D403" s="4" t="s">
        <v>309</v>
      </c>
      <c r="E403" s="24" t="s">
        <v>672</v>
      </c>
      <c r="F403" s="24"/>
      <c r="G403" s="24">
        <v>19</v>
      </c>
      <c r="H403" s="7" t="s">
        <v>516</v>
      </c>
      <c r="I403" s="5">
        <f>K403/N403</f>
        <v>6.21</v>
      </c>
      <c r="J403" s="38">
        <f>129/0.145</f>
        <v>889.65517241379314</v>
      </c>
      <c r="K403" s="38">
        <f>6.21*25.4</f>
        <v>157.73399999999998</v>
      </c>
      <c r="L403" s="4">
        <f>K403</f>
        <v>157.73399999999998</v>
      </c>
      <c r="M403" s="38">
        <f>5160/145</f>
        <v>35.586206896551722</v>
      </c>
      <c r="N403" s="96">
        <f>1*25.4</f>
        <v>25.4</v>
      </c>
      <c r="O403" s="7">
        <f>K403/N403</f>
        <v>6.21</v>
      </c>
      <c r="P403" s="7">
        <f>L403/N403</f>
        <v>6.21</v>
      </c>
      <c r="Q403" s="38">
        <f>17.3*25.4</f>
        <v>439.42</v>
      </c>
      <c r="R403" s="32">
        <f>S403/N403</f>
        <v>2.6499999999999995</v>
      </c>
      <c r="S403" s="38">
        <f>2.65*25.4</f>
        <v>67.309999999999988</v>
      </c>
      <c r="T403" s="32">
        <f>U403/N403</f>
        <v>7.1499999999999995</v>
      </c>
      <c r="U403" s="39">
        <f>7.15*25.4</f>
        <v>181.60999999999999</v>
      </c>
      <c r="V403" s="32">
        <f>W403/N403</f>
        <v>4.5000000000000009</v>
      </c>
      <c r="W403" s="7">
        <f>(Q403-X403*N403-2*S403)/(X403-1)</f>
        <v>114.30000000000003</v>
      </c>
      <c r="X403" s="38">
        <v>3</v>
      </c>
      <c r="Y403" s="7">
        <f>AN403</f>
        <v>0</v>
      </c>
      <c r="Z403" s="32">
        <f>AA403/N403</f>
        <v>10.25</v>
      </c>
      <c r="AA403" s="4">
        <f>10.25*25.4</f>
        <v>260.34999999999997</v>
      </c>
      <c r="AB403" s="7">
        <f>MIN(S403/N403+0.5, W403/2/N403+0.5)</f>
        <v>2.7500000000000004</v>
      </c>
      <c r="AC403" s="7">
        <f>S403/N403+0.5</f>
        <v>3.1499999999999995</v>
      </c>
      <c r="AD403" s="38">
        <v>9.1</v>
      </c>
      <c r="AE403" s="4">
        <f>AD403</f>
        <v>9.1</v>
      </c>
      <c r="AF403" s="4">
        <f>AE403+1</f>
        <v>10.1</v>
      </c>
      <c r="AG403" s="7">
        <f>N403*AF403^0.5</f>
        <v>80.72246279691916</v>
      </c>
      <c r="AJ403" s="38">
        <f>AK403/0.145</f>
        <v>200.68965517241381</v>
      </c>
      <c r="AK403" s="4">
        <v>29.1</v>
      </c>
      <c r="AL403" s="4">
        <f>CY403</f>
        <v>1.1036377176784957</v>
      </c>
      <c r="AM403" s="38">
        <v>0</v>
      </c>
      <c r="AN403" s="38">
        <v>0</v>
      </c>
      <c r="AO403" s="39">
        <f>L403</f>
        <v>157.73399999999998</v>
      </c>
      <c r="AP403" s="39"/>
      <c r="AQ403" s="39"/>
      <c r="AR403" s="7"/>
      <c r="AS403" s="4">
        <f>K403</f>
        <v>157.73399999999998</v>
      </c>
      <c r="AT403" s="4">
        <f>IF(K403*3&gt;W403+N403, Q403, (S403+N403/2)*2+1.5*K403*(2*X403-2))*(3*K403)/(9*K403^2)</f>
        <v>0.92860976918947957</v>
      </c>
      <c r="AU403" s="4">
        <f>MIN(10*M403^0.5*K403^1.5,100*3.9*M403^0.5*K403^(5/3))/(PI()/4*N403^2)/X403</f>
        <v>77.74102377301837</v>
      </c>
      <c r="AV403" s="4">
        <f>MIN(0.7+0.3*(MIN(S403,AA403)+0.5*N403)/1.5/K403,1)</f>
        <v>0.8014492753623188</v>
      </c>
      <c r="AW403" s="4">
        <v>1.25</v>
      </c>
      <c r="AX403" s="4">
        <f>AX402</f>
        <v>1</v>
      </c>
      <c r="AY403" s="38">
        <f>AT403*AV403*AW403*AX403*AU403</f>
        <v>72.321855073833859</v>
      </c>
      <c r="AZ403" s="38">
        <f>AY403</f>
        <v>72.321855073833859</v>
      </c>
      <c r="BA403" s="38">
        <f>IF(M403&lt;50, 0.3*M403^(2/3), 2.12*LN(1+0.1*(M403+8)))</f>
        <v>3.2457050730263122</v>
      </c>
      <c r="BB403" s="38">
        <f>AX403* (M403^0.5/AS403^0.5)/(PI()/4*N403^2)/X403/0.72 *(0.7+(MIN(S403,AA403)+0.5*N403)/5/K403) *(3*Q403*K403)</f>
        <v>72.321855073833817</v>
      </c>
      <c r="BC403" s="38">
        <f>AY403/BB403</f>
        <v>1.0000000000000007</v>
      </c>
      <c r="BD403" s="38">
        <f>BH403/BB403</f>
        <v>8.6388478039117675</v>
      </c>
      <c r="BE403" s="4">
        <f>IF(BD403&lt;1,1,0)</f>
        <v>0</v>
      </c>
      <c r="BF403" s="4">
        <f>L403/N403*M403^0.5/0.19</f>
        <v>194.9749640423226</v>
      </c>
      <c r="BG403" s="4">
        <f>MIN(0.6+0.4*(AC403/AB403),2)</f>
        <v>1.0581818181818181</v>
      </c>
      <c r="BH403" s="38">
        <f>2*M403*AB403*AD403^0.5*BG403*0.7/0.7</f>
        <v>624.77749887941445</v>
      </c>
      <c r="BI403" s="4">
        <f>MAX(1-0.7*AE403/5,0.3)</f>
        <v>0.3</v>
      </c>
      <c r="BJ403" s="4">
        <f>BI403*J403*L403/(J403*N403/2.75/M403^0.5)</f>
        <v>30.562325613634059</v>
      </c>
      <c r="BK403" s="4">
        <f>BH403+BJ403</f>
        <v>655.33982449304847</v>
      </c>
      <c r="BM403" s="4">
        <f>MIN(1.5, 0.75+0.25*MIN(3,MAX(1,S403/N403))+0.4*MIN(1,(40*2*PI()*AM403^2/4/AO403/X403)/N403))</f>
        <v>1.4124999999999999</v>
      </c>
      <c r="BN403" s="4">
        <f>(3*P403+30)*BM403*M403^0.5</f>
        <v>409.76378785142674</v>
      </c>
      <c r="BP403" s="4">
        <f>3.4/PI()^0.5*M403*AB403*AE403^0.5*BG403</f>
        <v>599.23802673473551</v>
      </c>
      <c r="BQ403" s="4">
        <f>8/3*AH403*AI403^2/(AG403-N403-22)/N403*(AG403^2-N403^2)/(AG403^2-(N403+22)^2)</f>
        <v>0</v>
      </c>
      <c r="BR403" s="4">
        <f>BQ403/BP403</f>
        <v>0</v>
      </c>
      <c r="BZ403" s="4">
        <f>IF(W403=0,S403,MIN(W403/2,S403))</f>
        <v>57.150000000000013</v>
      </c>
      <c r="CD403" s="9"/>
      <c r="CF403" s="9"/>
      <c r="CG403" s="9"/>
      <c r="CH403" s="9">
        <f>IF(W403=0,MIN(S403,U403),MIN(W403/2,S403,U403))</f>
        <v>57.150000000000013</v>
      </c>
      <c r="CI403" s="9">
        <f>MAX(W403/2,S403)</f>
        <v>67.309999999999988</v>
      </c>
      <c r="CJ403" s="9">
        <f>(CH403/N403)^0.5*(CI403/CH403)^0.15</f>
        <v>1.5372721608851661</v>
      </c>
      <c r="CK403" s="70">
        <f>IF(AO403&gt;1,20,0)</f>
        <v>20</v>
      </c>
      <c r="CL403" s="9">
        <f>MIN(PI()*AM403^2/4*AN403*2/X403/N403/MAX(0.01,AO403),0.05)</f>
        <v>0</v>
      </c>
      <c r="CM403" s="9">
        <f>MAX(0,CK403*(CL403-0.5/50))</f>
        <v>0</v>
      </c>
      <c r="CN403" s="9">
        <f>MIN(1,(25/N403)^0.3)</f>
        <v>0.99524931562137331</v>
      </c>
      <c r="CO403" s="9">
        <f>IF(J403&gt;=800,0.68,IF(J403&gt;=700,0.75-(J403-700)*0.07/100,IF(J403&gt;=600,0.85-(J403-600)*0.1/100,IF(J403&gt;=500,1-(J403-500)*0.15/100,1.2-(J403-400)*0.2/100))))</f>
        <v>0.68</v>
      </c>
      <c r="CP403" s="9">
        <f>1.75*CN403*CO403*(M403/25)^0.5</f>
        <v>1.4130245076626196</v>
      </c>
      <c r="CQ403" s="9">
        <f>MIN((CJ403+CM403)*CP403,2.5*CP403,M403^0.5)</f>
        <v>2.1722032382782128</v>
      </c>
      <c r="CR403" s="40">
        <v>1</v>
      </c>
      <c r="CS403" s="9">
        <f>4*CQ403*P403+60*CQ403</f>
        <v>184.28972273552358</v>
      </c>
      <c r="CU403" s="4">
        <f>AJ403/BF403</f>
        <v>1.0293098714399596</v>
      </c>
      <c r="CV403" s="4">
        <f>AJ403/BK403</f>
        <v>0.30623753916933311</v>
      </c>
      <c r="CW403" s="4">
        <f>AJ403/BN403</f>
        <v>0.48976913315039056</v>
      </c>
      <c r="CX403" s="4">
        <f>AJ403/CS403</f>
        <v>1.0889899457954362</v>
      </c>
      <c r="CY403" s="4">
        <f>AJ403/DZ403</f>
        <v>1.1036377176784957</v>
      </c>
      <c r="CZ403" s="4">
        <f>AJ403/EL403</f>
        <v>0.63898823880641586</v>
      </c>
      <c r="DA403" s="4">
        <f>AJ403/GI403</f>
        <v>0.82933543612103122</v>
      </c>
      <c r="DB403" s="4">
        <f>AN403</f>
        <v>0</v>
      </c>
      <c r="DC403" s="4">
        <f>CU403</f>
        <v>1.0293098714399596</v>
      </c>
      <c r="DD403" s="4">
        <f>CV403</f>
        <v>0.30623753916933311</v>
      </c>
      <c r="DE403" s="4">
        <f>CX403</f>
        <v>1.0889899457954362</v>
      </c>
      <c r="DF403" s="4">
        <f>DA403</f>
        <v>0.82933543612103122</v>
      </c>
      <c r="DG403" s="4">
        <f>CY403</f>
        <v>1.1036377176784957</v>
      </c>
      <c r="DH403" s="4">
        <f>CZ403</f>
        <v>0.63898823880641586</v>
      </c>
      <c r="DQ403" s="4">
        <f>L403</f>
        <v>157.73399999999998</v>
      </c>
      <c r="DT403" s="4">
        <f>K403/4/(1-0.3*(M403/30)^0.5)/200000/N403</f>
        <v>1.1529710395163923E-5</v>
      </c>
      <c r="DU403" s="4">
        <f>EP403</f>
        <v>7.3218908082293819</v>
      </c>
      <c r="DV403" s="4">
        <f>EC403*AG403/257/M403/AD403</f>
        <v>7.0146780930624583E-2</v>
      </c>
      <c r="DW403" s="4">
        <f>DU403*DV403^0.4</f>
        <v>2.5294514397805217</v>
      </c>
      <c r="DX403" s="4">
        <f>MIN(DU403, DU403/1.4*(1-DV403^1.4)/(1-DV403))</f>
        <v>5.4881610695494114</v>
      </c>
      <c r="DY403" s="4">
        <f>MAX(DU403/2, (4-DT403*(8*AG403*(DW403-DX403)+6*K403*DX403))/(4+DT403*K403*DU403)*DU403)</f>
        <v>7.2285330370684759</v>
      </c>
      <c r="DZ403" s="38">
        <f>MIN(1/N403*(4*AG403*(DW403-DX403)+(3*DX403+DY403)*K403)+EC403 -FJ403,MAX(J403,AJ403))</f>
        <v>181.84378076037933</v>
      </c>
      <c r="EA403" s="4">
        <f>DZ403/FF403</f>
        <v>1.0001293719796167</v>
      </c>
      <c r="EB403" s="4">
        <f>AG403/N403</f>
        <v>3.1780497164141401</v>
      </c>
      <c r="EC403" s="4">
        <f>MIN(EB$10*BB403)</f>
        <v>72.321855073833817</v>
      </c>
      <c r="EG403" s="4">
        <f>IF(U403&gt;1*N403,0.85,1)</f>
        <v>0.85</v>
      </c>
      <c r="EH403" s="4">
        <f>MIN(1,MAX(0.7,(1-0.1*(BZ403-1*N403)/N403)))</f>
        <v>0.87499999999999989</v>
      </c>
      <c r="EI403" s="4">
        <f>MIN(1,MAX(0.7,1-0.3*(PI()*AM403^2/4*AQ403*2-0.25*PI()/4*N403^2)/(PI()/4*N403^2)))</f>
        <v>1</v>
      </c>
      <c r="EJ403" s="4">
        <f>IF(EH403*EI403&lt;0.7,0.7,EH403*EI403)</f>
        <v>0.87499999999999989</v>
      </c>
      <c r="EL403" s="4">
        <f>MIN(DU403/N403*3*K403+EM403-FJ403,MAX(J403,AJ403))</f>
        <v>314.07409868339312</v>
      </c>
      <c r="EM403" s="25">
        <f>13.3*Q403*K403^0.5*M403^0.5/X403/N403^2*(0.7+S403/5/K403)</f>
        <v>177.66727292607976</v>
      </c>
      <c r="EO403" s="4">
        <f>EG403*EJ403</f>
        <v>0.74374999999999991</v>
      </c>
      <c r="EP403" s="4">
        <f>IF(N403&lt;22.2,1.1*5*(M403/30)^0.5,IF(N403&gt;=31.8,0.9*5*(M403/30)^0.5,1*5*(M403/30)^0.5))/EG403/EJ403</f>
        <v>7.3218908082293819</v>
      </c>
      <c r="ES403" s="4">
        <f>ET403*N403</f>
        <v>80.72246279691916</v>
      </c>
      <c r="ET403" s="4">
        <f>AF403^0.5</f>
        <v>3.1780497164141406</v>
      </c>
      <c r="EU403" s="4">
        <f>MIN(EC403)/(4700*M403^0.5)/AE403*ES403</f>
        <v>2.2881466788528784E-2</v>
      </c>
      <c r="EX403" s="4">
        <f>EU403</f>
        <v>2.2881466788528784E-2</v>
      </c>
      <c r="EY403" s="4">
        <f>MIN(0.999, EX403/(0.3*(M403/30)^0.5))</f>
        <v>7.0029719026834136E-2</v>
      </c>
      <c r="EZ403" s="4">
        <f>EP403/1*EY403^0.4</f>
        <v>2.5277621204922753</v>
      </c>
      <c r="FA403" s="4">
        <f>EP403/1.4*(1-EY403^1.4)/(1-EY403)</f>
        <v>5.4877885296413478</v>
      </c>
      <c r="FB403" s="4">
        <f>MAX(0,DQ403*FB$9-ES403)</f>
        <v>37.578037203080825</v>
      </c>
      <c r="FC403" s="4">
        <f>MAX(0,DQ403-ES403-FB403)</f>
        <v>39.433499999999995</v>
      </c>
      <c r="FD403" s="4">
        <f>FC403/(1-0.3*(M403/30)^0.5)/200000/N403</f>
        <v>1.1529710395163923E-5</v>
      </c>
      <c r="FE403" s="4">
        <f>MAX(0.5*EP403, (1-2*FD403*(ES403*EZ403+FB403*FA403))/(1/EP403+FD403*FC403))</f>
        <v>7.2285583403016211</v>
      </c>
      <c r="FF403" s="4">
        <f>MIN(4/N403*(1*EZ403*ES403+FA403*FB403+FC403*FE403)+EC403,MAX(J403,AJ403))</f>
        <v>181.82025831362688</v>
      </c>
      <c r="FO403" s="23">
        <f>IF(CU403&lt;0.6,0.6,IF(CU403&lt;0.8,0.8,IF(CU403&lt;1,1,IF(CU403&lt;1.2,1.2,IF(CU403&lt;1.4,1.4,IF(CU403&lt;1.6,1.6,IF(CU403&lt;1.8,1.8,IF(CU403&lt;2,2,2.2))))))))</f>
        <v>1.2</v>
      </c>
      <c r="FP403" s="23">
        <f>IF(CV403&lt;0.6,0.6,IF(CV403&lt;0.8,0.8,IF(CV403&lt;1,1,IF(CV403&lt;1.2,1.2,IF(CV403&lt;1.4,1.4,IF(CV403&lt;1.6,1.6,IF(CV403&lt;1.8,1.8,IF(CV403&lt;2,2,2.2))))))))</f>
        <v>0.6</v>
      </c>
      <c r="FQ403" s="23">
        <f>IF(DA403&lt;0.6,0.6,IF(DA403&lt;0.8,0.8,IF(DA403&lt;1,1,IF(DA403&lt;1.2,1.2,IF(DA403&lt;1.4,1.4,IF(DA403&lt;1.6,1.6,IF(DA403&lt;1.8,1.8,IF(DA403&lt;2,2,2.2))))))))</f>
        <v>1</v>
      </c>
      <c r="FR403" s="23">
        <f>IF(CX403&lt;0.6,0.6,IF(CX403&lt;0.8,0.8,IF(CX403&lt;1,1,IF(CX403&lt;1.2,1.2,IF(CX403&lt;1.4,1.4,IF(CX403&lt;1.6,1.6,IF(CX403&lt;1.8,1.8,IF(CX403&lt;2,2,2.2))))))))</f>
        <v>1.2</v>
      </c>
      <c r="FS403" s="23">
        <f>IF(CY403&lt;0.6,0.6,IF(CY403&lt;0.8,0.8,IF(CY403&lt;1,1,IF(CY403&lt;1.2,1.2,IF(CY403&lt;1.4,1.4,IF(CY403&lt;1.6,1.6,IF(CY403&lt;1.8,1.8,IF(CY403&lt;2,2,2.2))))))))</f>
        <v>1.2</v>
      </c>
      <c r="FT403" s="23">
        <f>IF(CZ403&lt;0.6,0.6,IF(CZ403&lt;0.8,0.8,IF(CZ403&lt;1,1,IF(CZ403&lt;1.2,1.2,IF(CZ403&lt;1.4,1.4,IF(CZ403&lt;1.6,1.6,IF(CZ403&lt;1.8,1.8,IF(CZ403&lt;2,2,2.2))))))))</f>
        <v>0.8</v>
      </c>
      <c r="FU403" s="23">
        <f>IF(FS403&lt;1,1,0)</f>
        <v>0</v>
      </c>
      <c r="FV403" s="23"/>
      <c r="GF403" s="4">
        <f>IF(S403&gt;=2.5*25.4,1,1.25)</f>
        <v>1</v>
      </c>
      <c r="GG403" s="4">
        <f>IF(AO403&gt;1, 0.05*(18-MIN(8,(W403+N403)/N403))*(1-48000/MAX(60000,(J403*145))*(N403/25.4)^0.75*GH403), 1/12*(14-MIN(8,(W403+N403)/N403)))</f>
        <v>0.625</v>
      </c>
      <c r="GH403" s="4">
        <f>MIN(0.3, AM403^2*PI()/4*2*AP403/(N403^2*PI()/4*X403))</f>
        <v>0</v>
      </c>
      <c r="GI403" s="4">
        <f>(K403/25.4)/(N403/25.4)^1.5/0.0024*(M403*145)^0.25/GF403/GG403/145</f>
        <v>241.98852048464218</v>
      </c>
    </row>
    <row r="404" spans="1:191" ht="12" customHeight="1" x14ac:dyDescent="0.3">
      <c r="A404" s="25">
        <v>344</v>
      </c>
      <c r="B404" s="4" t="s">
        <v>605</v>
      </c>
      <c r="C404" s="4">
        <v>2016</v>
      </c>
      <c r="D404" s="4" t="s">
        <v>309</v>
      </c>
      <c r="E404" s="24" t="s">
        <v>672</v>
      </c>
      <c r="F404" s="24"/>
      <c r="G404" s="24">
        <v>19</v>
      </c>
      <c r="H404" s="7" t="s">
        <v>508</v>
      </c>
      <c r="I404" s="5">
        <f>K404/N404</f>
        <v>6.19</v>
      </c>
      <c r="J404" s="38">
        <f>129/0.145</f>
        <v>889.65517241379314</v>
      </c>
      <c r="K404" s="38">
        <f>6.19*25.4</f>
        <v>157.226</v>
      </c>
      <c r="L404" s="4">
        <f>K404</f>
        <v>157.226</v>
      </c>
      <c r="M404" s="38">
        <f>4930/145</f>
        <v>34</v>
      </c>
      <c r="N404" s="96">
        <f>1*25.4</f>
        <v>25.4</v>
      </c>
      <c r="O404" s="7">
        <f>K404/N404</f>
        <v>6.19</v>
      </c>
      <c r="P404" s="7">
        <f>L404/N404</f>
        <v>6.19</v>
      </c>
      <c r="Q404" s="38">
        <f>12.6*25.4</f>
        <v>320.03999999999996</v>
      </c>
      <c r="R404" s="32">
        <f>S404/N404</f>
        <v>2.6499999999999995</v>
      </c>
      <c r="S404" s="38">
        <f>2.65*25.4</f>
        <v>67.309999999999988</v>
      </c>
      <c r="T404" s="32">
        <f>U404/N404</f>
        <v>6.5</v>
      </c>
      <c r="U404" s="39">
        <f>6.5*25.4</f>
        <v>165.1</v>
      </c>
      <c r="V404" s="32">
        <f>W404/N404</f>
        <v>2.15</v>
      </c>
      <c r="W404" s="7">
        <f>(Q404-X404*N404-2*S404)/(X404-1)</f>
        <v>54.61</v>
      </c>
      <c r="X404" s="38">
        <v>3</v>
      </c>
      <c r="Y404" s="7">
        <f>AN404</f>
        <v>0</v>
      </c>
      <c r="Z404" s="32">
        <f>AA404/N404</f>
        <v>10.25</v>
      </c>
      <c r="AA404" s="4">
        <f>10.25*25.4</f>
        <v>260.34999999999997</v>
      </c>
      <c r="AB404" s="7">
        <f>MIN(S404/N404+0.5, W404/2/N404+0.5)</f>
        <v>1.575</v>
      </c>
      <c r="AC404" s="7">
        <f>S404/N404+0.5</f>
        <v>3.1499999999999995</v>
      </c>
      <c r="AD404" s="38">
        <v>4.0999999999999996</v>
      </c>
      <c r="AE404" s="4">
        <f>AD404</f>
        <v>4.0999999999999996</v>
      </c>
      <c r="AF404" s="4">
        <f>AE404+1</f>
        <v>5.0999999999999996</v>
      </c>
      <c r="AG404" s="7">
        <f>N404*AF404^0.5</f>
        <v>57.361276136431961</v>
      </c>
      <c r="AJ404" s="38">
        <f>AK404/0.145</f>
        <v>180.00000000000003</v>
      </c>
      <c r="AK404" s="4">
        <v>26.1</v>
      </c>
      <c r="AL404" s="4">
        <f>CY404</f>
        <v>1.1508423840732456</v>
      </c>
      <c r="AM404" s="38">
        <v>0</v>
      </c>
      <c r="AN404" s="38">
        <v>0</v>
      </c>
      <c r="AO404" s="39">
        <f>L404</f>
        <v>157.226</v>
      </c>
      <c r="AP404" s="39"/>
      <c r="AQ404" s="39"/>
      <c r="AR404" s="7"/>
      <c r="AS404" s="4">
        <f>K404</f>
        <v>157.226</v>
      </c>
      <c r="AT404" s="4">
        <f>IF(K404*3&gt;W404+N404, Q404, (S404+N404/2)*2+1.5*K404*(2*X404-2))*(3*K404)/(9*K404^2)</f>
        <v>0.67851373182552488</v>
      </c>
      <c r="AU404" s="4">
        <f>MIN(10*M404^0.5*K404^1.5,100*3.9*M404^0.5*K404^(5/3))/(PI()/4*N404^2)/X404</f>
        <v>75.621874376410929</v>
      </c>
      <c r="AV404" s="4">
        <f>MIN(0.7+0.3*(MIN(S404,AA404)+0.5*N404)/1.5/K404,1)</f>
        <v>0.80177705977382874</v>
      </c>
      <c r="AW404" s="4">
        <v>1.25</v>
      </c>
      <c r="AX404" s="4">
        <f>AX403</f>
        <v>1</v>
      </c>
      <c r="AY404" s="38">
        <f>AT404*AV404*AW404*AX404*AU404</f>
        <v>51.424457428683205</v>
      </c>
      <c r="AZ404" s="38">
        <f>AY404</f>
        <v>51.424457428683205</v>
      </c>
      <c r="BA404" s="38">
        <f>IF(M404&lt;50, 0.3*M404^(2/3), 2.12*LN(1+0.1*(M404+8)))</f>
        <v>3.1485253868929024</v>
      </c>
      <c r="BB404" s="38">
        <f>AX404* (M404^0.5/AS404^0.5)/(PI()/4*N404^2)/X404/0.72 *(0.7+(MIN(S404,AA404)+0.5*N404)/5/K404) *(3*Q404*K404)</f>
        <v>51.424457428683212</v>
      </c>
      <c r="BC404" s="38">
        <f>AY404/BB404</f>
        <v>0.99999999999999989</v>
      </c>
      <c r="BD404" s="38">
        <f>BH404/BB404</f>
        <v>5.9039098399902166</v>
      </c>
      <c r="BE404" s="4">
        <f>IF(BD404&lt;1,1,0)</f>
        <v>0</v>
      </c>
      <c r="BF404" s="4">
        <f>L404/N404*M404^0.5/0.19</f>
        <v>189.96627488996009</v>
      </c>
      <c r="BG404" s="4">
        <f>MIN(0.6+0.4*(AC404/AB404),2)</f>
        <v>1.4</v>
      </c>
      <c r="BH404" s="38">
        <f>2*M404*AB404*AD404^0.5*BG404*0.7/0.7</f>
        <v>303.60536022936083</v>
      </c>
      <c r="BI404" s="4">
        <f>MAX(1-0.7*AE404/5,0.3)</f>
        <v>0.42600000000000005</v>
      </c>
      <c r="BJ404" s="4">
        <f>BI404*J404*L404/(J404*N404/2.75/M404^0.5)</f>
        <v>42.283643296381761</v>
      </c>
      <c r="BK404" s="4">
        <f>BH404+BJ404</f>
        <v>345.88900352574257</v>
      </c>
      <c r="BM404" s="4">
        <f>MIN(1.5, 0.75+0.25*MIN(3,MAX(1,S404/N404))+0.4*MIN(1,(40*2*PI()*AM404^2/4/AO404/X404)/N404))</f>
        <v>1.4124999999999999</v>
      </c>
      <c r="BN404" s="4">
        <f>(3*P404+30)*BM404*M404^0.5</f>
        <v>400.03318361484872</v>
      </c>
      <c r="BP404" s="4">
        <f>3.4/PI()^0.5*M404*AB404*AE404^0.5*BG404</f>
        <v>291.19466897613836</v>
      </c>
      <c r="BQ404" s="4">
        <f>8/3*AH404*AI404^2/(AG404-N404-22)/N404*(AG404^2-N404^2)/(AG404^2-(N404+22)^2)</f>
        <v>0</v>
      </c>
      <c r="BR404" s="4">
        <f>BQ404/BP404</f>
        <v>0</v>
      </c>
      <c r="BZ404" s="4">
        <f>IF(W404=0,S404,MIN(W404/2,S404))</f>
        <v>27.305</v>
      </c>
      <c r="CD404" s="9"/>
      <c r="CF404" s="9"/>
      <c r="CG404" s="9"/>
      <c r="CH404" s="9">
        <f>IF(W404=0,MIN(S404,U404),MIN(W404/2,S404,U404))</f>
        <v>27.305</v>
      </c>
      <c r="CI404" s="9">
        <f>MAX(W404/2,S404)</f>
        <v>67.309999999999988</v>
      </c>
      <c r="CJ404" s="9">
        <f>(CH404/N404)^0.5*(CI404/CH404)^0.15</f>
        <v>1.1870796051742518</v>
      </c>
      <c r="CK404" s="70">
        <f>IF(AO404&gt;1,20,0)</f>
        <v>20</v>
      </c>
      <c r="CL404" s="9">
        <f>MIN(PI()*AM404^2/4*AN404*2/X404/N404/MAX(0.01,AO404),0.05)</f>
        <v>0</v>
      </c>
      <c r="CM404" s="9">
        <f>MAX(0,CK404*(CL404-0.5/50))</f>
        <v>0</v>
      </c>
      <c r="CN404" s="9">
        <f>MIN(1,(25/N404)^0.3)</f>
        <v>0.99524931562137331</v>
      </c>
      <c r="CO404" s="9">
        <f>IF(J404&gt;=800,0.68,IF(J404&gt;=700,0.75-(J404-700)*0.07/100,IF(J404&gt;=600,0.85-(J404-600)*0.1/100,IF(J404&gt;=500,1-(J404-500)*0.15/100,1.2-(J404-400)*0.2/100))))</f>
        <v>0.68</v>
      </c>
      <c r="CP404" s="9">
        <f>1.75*CN404*CO404*(M404/25)^0.5</f>
        <v>1.3811737100982926</v>
      </c>
      <c r="CQ404" s="9">
        <f>MIN((CJ404+CM404)*CP404,2.5*CP404,M404^0.5)</f>
        <v>1.6395631424605377</v>
      </c>
      <c r="CR404" s="40">
        <v>1</v>
      </c>
      <c r="CS404" s="9">
        <f>4*CQ404*P404+60*CQ404</f>
        <v>138.96937195495516</v>
      </c>
      <c r="CU404" s="4">
        <f>AJ404/BF404</f>
        <v>0.94753660934956419</v>
      </c>
      <c r="CV404" s="4">
        <f>AJ404/BK404</f>
        <v>0.52039815711170379</v>
      </c>
      <c r="CW404" s="4">
        <f>AJ404/BN404</f>
        <v>0.44996267153002917</v>
      </c>
      <c r="CX404" s="4">
        <f>AJ404/CS404</f>
        <v>1.2952494313519984</v>
      </c>
      <c r="CY404" s="4">
        <f>AJ404/DZ404</f>
        <v>1.1508423840732456</v>
      </c>
      <c r="CZ404" s="4">
        <f>AJ404/EL404</f>
        <v>0.73924512696546085</v>
      </c>
      <c r="DA404" s="4">
        <f>AJ404/GI404</f>
        <v>0.89669723004929791</v>
      </c>
      <c r="DB404" s="4">
        <f>AN404</f>
        <v>0</v>
      </c>
      <c r="DC404" s="4">
        <f>CU404</f>
        <v>0.94753660934956419</v>
      </c>
      <c r="DD404" s="4">
        <f>CV404</f>
        <v>0.52039815711170379</v>
      </c>
      <c r="DE404" s="4">
        <f>CX404</f>
        <v>1.2952494313519984</v>
      </c>
      <c r="DF404" s="4">
        <f>DA404</f>
        <v>0.89669723004929791</v>
      </c>
      <c r="DG404" s="4">
        <f>CY404</f>
        <v>1.1508423840732456</v>
      </c>
      <c r="DH404" s="4">
        <f>CZ404</f>
        <v>0.73924512696546085</v>
      </c>
      <c r="DQ404" s="4">
        <f>L404</f>
        <v>157.226</v>
      </c>
      <c r="DT404" s="4">
        <f>K404/4/(1-0.3*(M404/30)^0.5)/200000/N404</f>
        <v>1.1368217517436956E-5</v>
      </c>
      <c r="DU404" s="4">
        <f>EP404</f>
        <v>6.3095646456942012</v>
      </c>
      <c r="DV404" s="4">
        <f>EC404*AG404/257/M404/AD404</f>
        <v>8.2336542456355133E-2</v>
      </c>
      <c r="DW404" s="4">
        <f>DU404*DV404^0.4</f>
        <v>2.3240017174560124</v>
      </c>
      <c r="DX404" s="4">
        <f>MIN(DU404, DU404/1.4*(1-DV404^1.4)/(1-DV404))</f>
        <v>4.7622612542457787</v>
      </c>
      <c r="DY404" s="4">
        <f>MAX(DU404/2, (4-DT404*(8*AG404*(DW404-DX404)+6*K404*DX404))/(4+DT404*K404*DU404)*DU404)</f>
        <v>6.2314995022058426</v>
      </c>
      <c r="DZ404" s="38">
        <f>MIN(1/N404*(4*AG404*(DW404-DX404)+(3*DX404+DY404)*K404)+EC404 -FJ404,MAX(J404,AJ404))</f>
        <v>156.40716964465213</v>
      </c>
      <c r="EA404" s="4">
        <f>DZ404/FF404</f>
        <v>1.0001112893742932</v>
      </c>
      <c r="EB404" s="4">
        <f>AG404/N404</f>
        <v>2.2583179581272428</v>
      </c>
      <c r="EC404" s="4">
        <f>MIN(EB$10*BB404)</f>
        <v>51.424457428683212</v>
      </c>
      <c r="EG404" s="4">
        <f>IF(U404&gt;1*N404,0.85,1)</f>
        <v>0.85</v>
      </c>
      <c r="EH404" s="4">
        <f>MIN(1,MAX(0.7,(1-0.1*(BZ404-1*N404)/N404)))</f>
        <v>0.99250000000000005</v>
      </c>
      <c r="EI404" s="4">
        <f>MIN(1,MAX(0.7,1-0.3*(PI()*AM404^2/4*AQ404*2-0.25*PI()/4*N404^2)/(PI()/4*N404^2)))</f>
        <v>1</v>
      </c>
      <c r="EJ404" s="4">
        <f>IF(EH404*EI404&lt;0.7,0.7,EH404*EI404)</f>
        <v>0.99250000000000005</v>
      </c>
      <c r="EL404" s="4">
        <f>MIN(DU404/N404*3*K404+EM404-FJ404,MAX(J404,AJ404))</f>
        <v>243.49162873603905</v>
      </c>
      <c r="EM404" s="25">
        <f>13.3*Q404*K404^0.5*M404^0.5/X404/N404^2*(0.7+S404/5/K404)</f>
        <v>126.32301326549774</v>
      </c>
      <c r="EO404" s="4">
        <f>EG404*EJ404</f>
        <v>0.84362500000000007</v>
      </c>
      <c r="EP404" s="4">
        <f>IF(N404&lt;22.2,1.1*5*(M404/30)^0.5,IF(N404&gt;=31.8,0.9*5*(M404/30)^0.5,1*5*(M404/30)^0.5))/EG404/EJ404</f>
        <v>6.3095646456942012</v>
      </c>
      <c r="ES404" s="4">
        <f>ET404*N404</f>
        <v>57.361276136431961</v>
      </c>
      <c r="ET404" s="4">
        <f>AF404^0.5</f>
        <v>2.2583179581272428</v>
      </c>
      <c r="EU404" s="4">
        <f>MIN(EC404)/(4700*M404^0.5)/AE404*ES404</f>
        <v>2.6252299466059552E-2</v>
      </c>
      <c r="EX404" s="4">
        <f>EU404</f>
        <v>2.6252299466059552E-2</v>
      </c>
      <c r="EY404" s="4">
        <f>MIN(0.999, EX404/(0.3*(M404/30)^0.5))</f>
        <v>8.219913811244095E-2</v>
      </c>
      <c r="EZ404" s="4">
        <f>EP404/1*EY404^0.4</f>
        <v>2.3224496098071077</v>
      </c>
      <c r="FA404" s="4">
        <f>EP404/1.4*(1-EY404^1.4)/(1-EY404)</f>
        <v>4.7618961052453601</v>
      </c>
      <c r="FB404" s="4">
        <f>MAX(0,DQ404*FB$9-ES404)</f>
        <v>60.558223863568038</v>
      </c>
      <c r="FC404" s="4">
        <f>MAX(0,DQ404-ES404-FB404)</f>
        <v>39.306499999999993</v>
      </c>
      <c r="FD404" s="4">
        <f>FC404/(1-0.3*(M404/30)^0.5)/200000/N404</f>
        <v>1.1368217517436953E-5</v>
      </c>
      <c r="FE404" s="4">
        <f>MAX(0.5*EP404, (1-2*FD404*(ES404*EZ404+FB404*FA404))/(1/EP404+FD404*FC404))</f>
        <v>6.2315154017142156</v>
      </c>
      <c r="FF404" s="4">
        <f>MIN(4/N404*(1*EZ404*ES404+FA404*FB404+FC404*FE404)+EC404,MAX(J404,AJ404))</f>
        <v>156.38976512554547</v>
      </c>
      <c r="FO404" s="23">
        <f>IF(CU404&lt;0.6,0.6,IF(CU404&lt;0.8,0.8,IF(CU404&lt;1,1,IF(CU404&lt;1.2,1.2,IF(CU404&lt;1.4,1.4,IF(CU404&lt;1.6,1.6,IF(CU404&lt;1.8,1.8,IF(CU404&lt;2,2,2.2))))))))</f>
        <v>1</v>
      </c>
      <c r="FP404" s="23">
        <f>IF(CV404&lt;0.6,0.6,IF(CV404&lt;0.8,0.8,IF(CV404&lt;1,1,IF(CV404&lt;1.2,1.2,IF(CV404&lt;1.4,1.4,IF(CV404&lt;1.6,1.6,IF(CV404&lt;1.8,1.8,IF(CV404&lt;2,2,2.2))))))))</f>
        <v>0.6</v>
      </c>
      <c r="FQ404" s="23">
        <f>IF(DA404&lt;0.6,0.6,IF(DA404&lt;0.8,0.8,IF(DA404&lt;1,1,IF(DA404&lt;1.2,1.2,IF(DA404&lt;1.4,1.4,IF(DA404&lt;1.6,1.6,IF(DA404&lt;1.8,1.8,IF(DA404&lt;2,2,2.2))))))))</f>
        <v>1</v>
      </c>
      <c r="FR404" s="23">
        <f>IF(CX404&lt;0.6,0.6,IF(CX404&lt;0.8,0.8,IF(CX404&lt;1,1,IF(CX404&lt;1.2,1.2,IF(CX404&lt;1.4,1.4,IF(CX404&lt;1.6,1.6,IF(CX404&lt;1.8,1.8,IF(CX404&lt;2,2,2.2))))))))</f>
        <v>1.4</v>
      </c>
      <c r="FS404" s="23">
        <f>IF(CY404&lt;0.6,0.6,IF(CY404&lt;0.8,0.8,IF(CY404&lt;1,1,IF(CY404&lt;1.2,1.2,IF(CY404&lt;1.4,1.4,IF(CY404&lt;1.6,1.6,IF(CY404&lt;1.8,1.8,IF(CY404&lt;2,2,2.2))))))))</f>
        <v>1.2</v>
      </c>
      <c r="FT404" s="23">
        <f>IF(CZ404&lt;0.6,0.6,IF(CZ404&lt;0.8,0.8,IF(CZ404&lt;1,1,IF(CZ404&lt;1.2,1.2,IF(CZ404&lt;1.4,1.4,IF(CZ404&lt;1.6,1.6,IF(CZ404&lt;1.8,1.8,IF(CZ404&lt;2,2,2.2))))))))</f>
        <v>0.8</v>
      </c>
      <c r="FU404" s="23">
        <f>IF(FS404&lt;1,1,0)</f>
        <v>0</v>
      </c>
      <c r="FV404" s="23"/>
      <c r="GF404" s="4">
        <f>IF(S404&gt;=2.5*25.4,1,1.25)</f>
        <v>1</v>
      </c>
      <c r="GG404" s="4">
        <f>IF(AO404&gt;1, 0.05*(18-MIN(8,(W404+N404)/N404))*(1-48000/MAX(60000,(J404*145))*(N404/25.4)^0.75*GH404), 1/12*(14-MIN(8,(W404+N404)/N404)))</f>
        <v>0.74250000000000005</v>
      </c>
      <c r="GH404" s="4">
        <f>MIN(0.3, AM404^2*PI()/4*2*AP404/(N404^2*PI()/4*X404))</f>
        <v>0</v>
      </c>
      <c r="GI404" s="4">
        <f>(K404/25.4)/(N404/25.4)^1.5/0.0024*(M404*145)^0.25/GF404/GG404/145</f>
        <v>200.73665220322374</v>
      </c>
    </row>
    <row r="405" spans="1:191" ht="12" customHeight="1" x14ac:dyDescent="0.3">
      <c r="A405" s="25">
        <v>351</v>
      </c>
      <c r="B405" s="4" t="s">
        <v>605</v>
      </c>
      <c r="C405" s="4">
        <v>2016</v>
      </c>
      <c r="D405" s="4" t="s">
        <v>309</v>
      </c>
      <c r="E405" s="24" t="s">
        <v>672</v>
      </c>
      <c r="F405" s="24"/>
      <c r="G405" s="24">
        <v>24</v>
      </c>
      <c r="H405" s="7" t="s">
        <v>515</v>
      </c>
      <c r="I405" s="5">
        <f>K405/N405</f>
        <v>6.16</v>
      </c>
      <c r="J405" s="38">
        <f>129/0.145</f>
        <v>889.65517241379314</v>
      </c>
      <c r="K405" s="38">
        <f>6.16*25.4</f>
        <v>156.464</v>
      </c>
      <c r="L405" s="4">
        <f>K405</f>
        <v>156.464</v>
      </c>
      <c r="M405" s="38">
        <f>4940/145</f>
        <v>34.068965517241381</v>
      </c>
      <c r="N405" s="96">
        <f>1*25.4</f>
        <v>25.4</v>
      </c>
      <c r="O405" s="7">
        <f>K405/N405</f>
        <v>6.16</v>
      </c>
      <c r="P405" s="7">
        <f>L405/N405</f>
        <v>6.16</v>
      </c>
      <c r="Q405" s="38">
        <f>17*25.4</f>
        <v>431.79999999999995</v>
      </c>
      <c r="R405" s="32">
        <f>S405/N405</f>
        <v>2.5</v>
      </c>
      <c r="S405" s="38">
        <f>2.5*25.4</f>
        <v>63.5</v>
      </c>
      <c r="T405" s="32">
        <f>U405/N405</f>
        <v>6.95</v>
      </c>
      <c r="U405" s="39">
        <f>6.95*25.4</f>
        <v>176.53</v>
      </c>
      <c r="V405" s="32">
        <f>W405/N405</f>
        <v>9.9999999999999982</v>
      </c>
      <c r="W405" s="7">
        <f>(Q405-X405*N405-2*S405)/(X405-1)</f>
        <v>253.99999999999994</v>
      </c>
      <c r="X405" s="38">
        <v>2</v>
      </c>
      <c r="Y405" s="7">
        <f>AN405</f>
        <v>10</v>
      </c>
      <c r="Z405" s="32">
        <f>AA405/N405</f>
        <v>10.25</v>
      </c>
      <c r="AA405" s="4">
        <f>10.25*25.4</f>
        <v>260.34999999999997</v>
      </c>
      <c r="AB405" s="7">
        <f>MIN(S405/N405+0.5, W405/2/N405+0.5)</f>
        <v>3</v>
      </c>
      <c r="AC405" s="7">
        <f>S405/N405+0.5</f>
        <v>3</v>
      </c>
      <c r="AD405" s="38">
        <v>9.1</v>
      </c>
      <c r="AE405" s="4">
        <f>AD405</f>
        <v>9.1</v>
      </c>
      <c r="AF405" s="4">
        <f>AE405+1</f>
        <v>10.1</v>
      </c>
      <c r="AG405" s="7">
        <f>N405*AF405^0.5</f>
        <v>80.72246279691916</v>
      </c>
      <c r="AJ405" s="38">
        <f>AK405/0.145</f>
        <v>469.65517241379308</v>
      </c>
      <c r="AK405" s="4">
        <v>68.099999999999994</v>
      </c>
      <c r="AL405" s="4">
        <f>CY405</f>
        <v>2.0370562080807706</v>
      </c>
      <c r="AM405" s="38">
        <f>0.375*25.4</f>
        <v>9.5249999999999986</v>
      </c>
      <c r="AN405" s="38">
        <v>10</v>
      </c>
      <c r="AO405" s="39">
        <f>3*25.4</f>
        <v>76.199999999999989</v>
      </c>
      <c r="AP405" s="39">
        <v>3</v>
      </c>
      <c r="AQ405" s="39">
        <f>AP405-1</f>
        <v>2</v>
      </c>
      <c r="AR405" s="7"/>
      <c r="AS405" s="4">
        <f>K405</f>
        <v>156.464</v>
      </c>
      <c r="AT405" s="4">
        <f>IF(K405*3&gt;W405+N405, Q405, (S405+N405/2)*2+1.5*K405*(2*X405-2))*(3*K405)/(9*K405^2)</f>
        <v>0.91991341991341979</v>
      </c>
      <c r="AU405" s="4">
        <f>MIN(10*M405^0.5*K405^1.5,100*3.9*M405^0.5*K405^(5/3))/(PI()/4*N405^2)/X405</f>
        <v>112.7233290428203</v>
      </c>
      <c r="AV405" s="4">
        <f>MIN(0.7+0.3*(MIN(S405,AA405)+0.5*N405)/1.5/K405,1)</f>
        <v>0.79740259740259734</v>
      </c>
      <c r="AW405" s="4">
        <v>1.25</v>
      </c>
      <c r="AX405" s="4">
        <f>AX404</f>
        <v>1</v>
      </c>
      <c r="AY405" s="38">
        <f>AT405*AV405*AW405*AX405*AU405</f>
        <v>103.35902876301493</v>
      </c>
      <c r="AZ405" s="38">
        <f>AY405</f>
        <v>103.35902876301493</v>
      </c>
      <c r="BA405" s="38">
        <f>IF(M405&lt;50, 0.3*M405^(2/3), 2.12*LN(1+0.1*(M405+8)))</f>
        <v>3.152781589644936</v>
      </c>
      <c r="BB405" s="38">
        <f>AX405* (M405^0.5/AS405^0.5)/(PI()/4*N405^2)/X405/0.72 *(0.7+(MIN(S405,AA405)+0.5*N405)/5/K405) *(3*Q405*K405)</f>
        <v>103.3590287630149</v>
      </c>
      <c r="BC405" s="38">
        <f>AY405/BB405</f>
        <v>1.0000000000000002</v>
      </c>
      <c r="BD405" s="38">
        <f>BH405/BB405</f>
        <v>5.965989346587798</v>
      </c>
      <c r="BE405" s="4">
        <f>IF(BD405&lt;1,1,0)</f>
        <v>0</v>
      </c>
      <c r="BF405" s="4">
        <f>L405/N405*M405^0.5/0.19</f>
        <v>189.23723096308805</v>
      </c>
      <c r="BG405" s="4">
        <f>MIN(0.6+0.4*(AC405/AB405),2)</f>
        <v>1</v>
      </c>
      <c r="BH405" s="38">
        <f>2*M405*AB405*AD405^0.5*BG405*0.7/0.7</f>
        <v>616.63886447380867</v>
      </c>
      <c r="BI405" s="4">
        <f>MAX(1-0.7*AE405/5,0.3)</f>
        <v>0.3</v>
      </c>
      <c r="BJ405" s="4">
        <f>BI405*J405*L405/(J405*N405/2.75/M405^0.5)</f>
        <v>29.66293595346405</v>
      </c>
      <c r="BK405" s="4">
        <f>BH405+BJ405</f>
        <v>646.30180042727272</v>
      </c>
      <c r="BM405" s="4">
        <f>MIN(1.5, 0.75+0.25*MIN(3,MAX(1,S405/N405))+0.4*MIN(1,(40*2*PI()*AM405^2/4/AO405/X405)/N405))</f>
        <v>1.5</v>
      </c>
      <c r="BN405" s="4">
        <f>(3*P405+30)*BM405*M405^0.5</f>
        <v>424.45665142383035</v>
      </c>
      <c r="BP405" s="4">
        <f>3.4/PI()^0.5*M405*AB405*AE405^0.5*BG405</f>
        <v>591.43208104962719</v>
      </c>
      <c r="BQ405" s="4">
        <f>8/3*AH405*AI405^2/(AG405-N405-22)/N405*(AG405^2-N405^2)/(AG405^2-(N405+22)^2)</f>
        <v>0</v>
      </c>
      <c r="BR405" s="4">
        <f>BQ405/BP405</f>
        <v>0</v>
      </c>
      <c r="BZ405" s="4">
        <f>IF(W405=0,S405,MIN(W405/2,S405))</f>
        <v>63.5</v>
      </c>
      <c r="CD405" s="9"/>
      <c r="CF405" s="9"/>
      <c r="CG405" s="9"/>
      <c r="CH405" s="9">
        <f>IF(W405=0,MIN(S405,U405),MIN(W405/2,S405,U405))</f>
        <v>63.5</v>
      </c>
      <c r="CI405" s="9">
        <f>MAX(W405/2,S405)</f>
        <v>126.99999999999997</v>
      </c>
      <c r="CJ405" s="9">
        <f>(CH405/N405)^0.5*(CI405/CH405)^0.15</f>
        <v>1.7543833769624846</v>
      </c>
      <c r="CK405" s="70">
        <f>IF(AO405&gt;1,20,0)</f>
        <v>20</v>
      </c>
      <c r="CL405" s="9">
        <f>MIN(PI()*AM405^2/4*AN405*2/X405/N405/MAX(0.01,AO405),0.05)</f>
        <v>0.05</v>
      </c>
      <c r="CM405" s="9">
        <f>MAX(0,CK405*(CL405-0.5/50))</f>
        <v>0.8</v>
      </c>
      <c r="CN405" s="9">
        <f>MIN(1,(25/N405)^0.3)</f>
        <v>0.99524931562137331</v>
      </c>
      <c r="CO405" s="9">
        <f>IF(J405&gt;=800,0.68,IF(J405&gt;=700,0.75-(J405-700)*0.07/100,IF(J405&gt;=600,0.85-(J405-600)*0.1/100,IF(J405&gt;=500,1-(J405-500)*0.15/100,1.2-(J405-400)*0.2/100))))</f>
        <v>0.68</v>
      </c>
      <c r="CP405" s="9">
        <f>1.75*CN405*CO405*(M405/25)^0.5</f>
        <v>1.3825737851765767</v>
      </c>
      <c r="CQ405" s="9">
        <f>MIN((CJ405+CM405)*CP405,2.5*CP405,M405^0.5)</f>
        <v>3.4564344629414419</v>
      </c>
      <c r="CR405" s="40">
        <v>1</v>
      </c>
      <c r="CS405" s="9">
        <f>4*CQ405*P405+60*CQ405</f>
        <v>292.55261294336361</v>
      </c>
      <c r="CU405" s="4">
        <f>AJ405/BF405</f>
        <v>2.4818328297426966</v>
      </c>
      <c r="CV405" s="4">
        <f>AJ405/BK405</f>
        <v>0.72668089753626275</v>
      </c>
      <c r="CW405" s="4">
        <f>AJ405/BN405</f>
        <v>1.106485599503142</v>
      </c>
      <c r="CX405" s="4">
        <f>AJ405/CS405</f>
        <v>1.6053699459000061</v>
      </c>
      <c r="CY405" s="4">
        <f>AJ405/DZ405</f>
        <v>2.0370562080807706</v>
      </c>
      <c r="CZ405" s="4">
        <f>AJ405/EL405</f>
        <v>1.1618512131976952</v>
      </c>
      <c r="DA405" s="4">
        <f>AJ405/GI405</f>
        <v>1.405758816311484</v>
      </c>
      <c r="DB405" s="4">
        <f>AN405</f>
        <v>10</v>
      </c>
      <c r="DI405" s="4">
        <f>CU405</f>
        <v>2.4818328297426966</v>
      </c>
      <c r="DJ405" s="4">
        <f>CV405</f>
        <v>0.72668089753626275</v>
      </c>
      <c r="DK405" s="4">
        <f>CX405</f>
        <v>1.6053699459000061</v>
      </c>
      <c r="DL405" s="4">
        <f>DA405</f>
        <v>1.405758816311484</v>
      </c>
      <c r="DM405" s="4">
        <f>CY405</f>
        <v>2.0370562080807706</v>
      </c>
      <c r="DN405" s="4">
        <f>CZ405</f>
        <v>1.1618512131976952</v>
      </c>
      <c r="DQ405" s="4">
        <f>L405</f>
        <v>156.464</v>
      </c>
      <c r="DT405" s="4">
        <f>K405/4/(1-0.3*(M405/30)^0.5)/200000/N405</f>
        <v>1.1318504885791904E-5</v>
      </c>
      <c r="DU405" s="4">
        <f>EP405</f>
        <v>8.1377244333742738</v>
      </c>
      <c r="DV405" s="4">
        <f>EC405*AG405/257/M405/AD405</f>
        <v>0.10471511183649941</v>
      </c>
      <c r="DW405" s="4">
        <f>DU405*DV405^0.4</f>
        <v>3.2999451678751721</v>
      </c>
      <c r="DX405" s="4">
        <f>MIN(DU405, DU405/1.4*(1-DV405^1.4)/(1-DV405))</f>
        <v>6.2168322133990541</v>
      </c>
      <c r="DY405" s="4">
        <f>MAX(DU405/2, (4-DT405*(8*AG405*(DW405-DX405)+6*K405*DX405))/(4+DT405*K405*DU405)*DU405)</f>
        <v>8.0178220842570358</v>
      </c>
      <c r="DZ405" s="38">
        <f>MIN(1/N405*(4*AG405*(DW405-DX405)+(3*DX405+DY405)*K405)+EC405 -FJ405,MAX(J405,AJ405))</f>
        <v>230.55582391429573</v>
      </c>
      <c r="EA405" s="4">
        <f>DZ405/FF405</f>
        <v>1.0001348061908486</v>
      </c>
      <c r="EB405" s="4">
        <f>AG405/N405</f>
        <v>3.1780497164141401</v>
      </c>
      <c r="EC405" s="4">
        <f>MIN(EB$10*BB405)</f>
        <v>103.3590287630149</v>
      </c>
      <c r="EG405" s="4">
        <f>IF(U405&gt;1*N405,0.85,1)</f>
        <v>0.85</v>
      </c>
      <c r="EH405" s="4">
        <f>MIN(1,MAX(0.7,(1-0.1*(BZ405-1*N405)/N405)))</f>
        <v>0.85</v>
      </c>
      <c r="EI405" s="4">
        <f>MIN(1,MAX(0.7,1-0.3*(PI()*AM405^2/4*AQ405*2-0.25*PI()/4*N405^2)/(PI()/4*N405^2)))</f>
        <v>0.90625</v>
      </c>
      <c r="EJ405" s="4">
        <f>IF(EH405*EI405&lt;0.7,0.7,EH405*EI405)</f>
        <v>0.77031249999999996</v>
      </c>
      <c r="EL405" s="4">
        <f>MIN(DU405/N405*3*K405+EM405-FJ405,MAX(J405,AJ405))</f>
        <v>404.2300486317767</v>
      </c>
      <c r="EM405" s="25">
        <f>13.3*Q405*K405^0.5*M405^0.5/X405/N405^2*(0.7+S405/5/K405)</f>
        <v>253.84490110302011</v>
      </c>
      <c r="EO405" s="4">
        <f>EG405*EJ405</f>
        <v>0.65476562499999991</v>
      </c>
      <c r="EP405" s="4">
        <f>IF(N405&lt;22.2,1.1*5*(M405/30)^0.5,IF(N405&gt;=31.8,0.9*5*(M405/30)^0.5,1*5*(M405/30)^0.5))/EG405/EJ405</f>
        <v>8.1377244333742738</v>
      </c>
      <c r="ES405" s="4">
        <f>ET405*N405</f>
        <v>80.72246279691916</v>
      </c>
      <c r="ET405" s="4">
        <f>AF405^0.5</f>
        <v>3.1780497164141406</v>
      </c>
      <c r="EU405" s="4">
        <f>MIN(EC405)/(4700*M405^0.5)/AE405*ES405</f>
        <v>3.3421358550907172E-2</v>
      </c>
      <c r="EX405" s="4">
        <f>EU405</f>
        <v>3.3421358550907172E-2</v>
      </c>
      <c r="EY405" s="4">
        <f>MIN(0.999, EX405/(0.3*(M405/30)^0.5))</f>
        <v>0.10454036183108811</v>
      </c>
      <c r="EZ405" s="4">
        <f>EP405/1*EY405^0.4</f>
        <v>3.2977412666914701</v>
      </c>
      <c r="FA405" s="4">
        <f>EP405/1.4*(1-EY405^1.4)/(1-EY405)</f>
        <v>6.2162627644379143</v>
      </c>
      <c r="FB405" s="4">
        <f>MAX(0,DQ405*FB$9-ES405)</f>
        <v>36.625537203080839</v>
      </c>
      <c r="FC405" s="4">
        <f>MAX(0,DQ405-ES405-FB405)</f>
        <v>39.116</v>
      </c>
      <c r="FD405" s="4">
        <f>FC405/(1-0.3*(M405/30)^0.5)/200000/N405</f>
        <v>1.1318504885791904E-5</v>
      </c>
      <c r="FE405" s="4">
        <f>MAX(0.5*EP405, (1-2*FD405*(ES405*EZ405+FB405*FA405))/(1/EP405+FD405*FC405))</f>
        <v>8.017858567268533</v>
      </c>
      <c r="FF405" s="4">
        <f>MIN(4/N405*(1*EZ405*ES405+FA405*FB405+FC405*FE405)+EC405,MAX(J405,AJ405))</f>
        <v>230.52474775115508</v>
      </c>
      <c r="FO405" s="23">
        <f>IF(CU405&lt;0.6,0.6,IF(CU405&lt;0.8,0.8,IF(CU405&lt;1,1,IF(CU405&lt;1.2,1.2,IF(CU405&lt;1.4,1.4,IF(CU405&lt;1.6,1.6,IF(CU405&lt;1.8,1.8,IF(CU405&lt;2,2,2.2))))))))</f>
        <v>2.2000000000000002</v>
      </c>
      <c r="FP405" s="23">
        <f>IF(CV405&lt;0.6,0.6,IF(CV405&lt;0.8,0.8,IF(CV405&lt;1,1,IF(CV405&lt;1.2,1.2,IF(CV405&lt;1.4,1.4,IF(CV405&lt;1.6,1.6,IF(CV405&lt;1.8,1.8,IF(CV405&lt;2,2,2.2))))))))</f>
        <v>0.8</v>
      </c>
      <c r="FQ405" s="23">
        <f>IF(DA405&lt;0.6,0.6,IF(DA405&lt;0.8,0.8,IF(DA405&lt;1,1,IF(DA405&lt;1.2,1.2,IF(DA405&lt;1.4,1.4,IF(DA405&lt;1.6,1.6,IF(DA405&lt;1.8,1.8,IF(DA405&lt;2,2,2.2))))))))</f>
        <v>1.6</v>
      </c>
      <c r="FR405" s="23">
        <f>IF(CX405&lt;0.6,0.6,IF(CX405&lt;0.8,0.8,IF(CX405&lt;1,1,IF(CX405&lt;1.2,1.2,IF(CX405&lt;1.4,1.4,IF(CX405&lt;1.6,1.6,IF(CX405&lt;1.8,1.8,IF(CX405&lt;2,2,2.2))))))))</f>
        <v>1.8</v>
      </c>
      <c r="FS405" s="23">
        <f>IF(CY405&lt;0.6,0.6,IF(CY405&lt;0.8,0.8,IF(CY405&lt;1,1,IF(CY405&lt;1.2,1.2,IF(CY405&lt;1.4,1.4,IF(CY405&lt;1.6,1.6,IF(CY405&lt;1.8,1.8,IF(CY405&lt;2,2,2.2))))))))</f>
        <v>2.2000000000000002</v>
      </c>
      <c r="FT405" s="23">
        <f>IF(CZ405&lt;0.6,0.6,IF(CZ405&lt;0.8,0.8,IF(CZ405&lt;1,1,IF(CZ405&lt;1.2,1.2,IF(CZ405&lt;1.4,1.4,IF(CZ405&lt;1.6,1.6,IF(CZ405&lt;1.8,1.8,IF(CZ405&lt;2,2,2.2))))))))</f>
        <v>1.2</v>
      </c>
      <c r="FU405" s="23">
        <f>IF(FS405&lt;1,1,0)</f>
        <v>0</v>
      </c>
      <c r="FV405" s="23"/>
      <c r="GF405" s="4">
        <f>IF(S405&gt;=2.5*25.4,1,1.25)</f>
        <v>1</v>
      </c>
      <c r="GG405" s="4">
        <f>IF(AO405&gt;1, 0.05*(18-MIN(8,(W405+N405)/N405))*(1-48000/MAX(60000,(J405*145))*(N405/25.4)^0.75*GH405), 1/12*(14-MIN(8,(W405+N405)/N405)))</f>
        <v>0.44418604651162791</v>
      </c>
      <c r="GH405" s="4">
        <f>MIN(0.3, AM405^2*PI()/4*2*AP405/(N405^2*PI()/4*X405))</f>
        <v>0.3</v>
      </c>
      <c r="GI405" s="4">
        <f>(K405/25.4)/(N405/25.4)^1.5/0.0024*(M405*145)^0.25/GF405/GG405/145</f>
        <v>334.0937058080155</v>
      </c>
    </row>
    <row r="406" spans="1:191" ht="12" customHeight="1" x14ac:dyDescent="0.3">
      <c r="A406" s="25">
        <v>350</v>
      </c>
      <c r="B406" s="4" t="s">
        <v>605</v>
      </c>
      <c r="C406" s="4">
        <v>2016</v>
      </c>
      <c r="D406" s="4" t="s">
        <v>309</v>
      </c>
      <c r="E406" s="24" t="s">
        <v>672</v>
      </c>
      <c r="F406" s="24"/>
      <c r="G406" s="24">
        <v>24</v>
      </c>
      <c r="H406" s="7" t="s">
        <v>514</v>
      </c>
      <c r="I406" s="5">
        <f>K406/N406</f>
        <v>6.13</v>
      </c>
      <c r="J406" s="38">
        <f>129/0.145</f>
        <v>889.65517241379314</v>
      </c>
      <c r="K406" s="38">
        <f>6.13*25.4</f>
        <v>155.702</v>
      </c>
      <c r="L406" s="4">
        <f>K406</f>
        <v>155.702</v>
      </c>
      <c r="M406" s="38">
        <f>4940/145</f>
        <v>34.068965517241381</v>
      </c>
      <c r="N406" s="96">
        <f>1*25.4</f>
        <v>25.4</v>
      </c>
      <c r="O406" s="7">
        <f>K406/N406</f>
        <v>6.13</v>
      </c>
      <c r="P406" s="7">
        <f>L406/N406</f>
        <v>6.13</v>
      </c>
      <c r="Q406" s="38">
        <f>17.3*25.4</f>
        <v>439.42</v>
      </c>
      <c r="R406" s="32">
        <f>S406/N406</f>
        <v>2.8</v>
      </c>
      <c r="S406" s="38">
        <f>2.8*25.4</f>
        <v>71.11999999999999</v>
      </c>
      <c r="T406" s="32">
        <f>U406/N406</f>
        <v>7</v>
      </c>
      <c r="U406" s="39">
        <f>7*25.4</f>
        <v>177.79999999999998</v>
      </c>
      <c r="V406" s="32">
        <f>W406/N406</f>
        <v>9.7000000000000011</v>
      </c>
      <c r="W406" s="7">
        <f>(Q406-X406*N406-2*S406)/(X406-1)</f>
        <v>246.38000000000002</v>
      </c>
      <c r="X406" s="38">
        <v>2</v>
      </c>
      <c r="Y406" s="7">
        <f>AN406</f>
        <v>0</v>
      </c>
      <c r="Z406" s="32">
        <f>AA406/N406</f>
        <v>10.25</v>
      </c>
      <c r="AA406" s="4">
        <f>10.25*25.4</f>
        <v>260.34999999999997</v>
      </c>
      <c r="AB406" s="7">
        <f>MIN(S406/N406+0.5, W406/2/N406+0.5)</f>
        <v>3.3</v>
      </c>
      <c r="AC406" s="7">
        <f>S406/N406+0.5</f>
        <v>3.3</v>
      </c>
      <c r="AD406" s="38">
        <v>9.1</v>
      </c>
      <c r="AE406" s="4">
        <f>AD406</f>
        <v>9.1</v>
      </c>
      <c r="AF406" s="4">
        <f>AE406+1</f>
        <v>10.1</v>
      </c>
      <c r="AG406" s="7">
        <f>N406*AF406^0.5</f>
        <v>80.72246279691916</v>
      </c>
      <c r="AJ406" s="38">
        <f>AK406/0.145</f>
        <v>291.72413793103448</v>
      </c>
      <c r="AK406" s="4">
        <v>42.3</v>
      </c>
      <c r="AL406" s="4">
        <f>CY406</f>
        <v>1.2933704868741975</v>
      </c>
      <c r="AM406" s="38">
        <v>0</v>
      </c>
      <c r="AN406" s="38">
        <v>0</v>
      </c>
      <c r="AO406" s="39">
        <f>L406</f>
        <v>155.702</v>
      </c>
      <c r="AP406" s="39"/>
      <c r="AQ406" s="39"/>
      <c r="AR406" s="7"/>
      <c r="AS406" s="4">
        <f>K406</f>
        <v>155.702</v>
      </c>
      <c r="AT406" s="4">
        <f>IF(K406*3&gt;W406+N406, Q406, (S406+N406/2)*2+1.5*K406*(2*X406-2))*(3*K406)/(9*K406^2)</f>
        <v>0.94072865687873841</v>
      </c>
      <c r="AU406" s="4">
        <f>MIN(10*M406^0.5*K406^1.5,100*3.9*M406^0.5*K406^(5/3))/(PI()/4*N406^2)/X406</f>
        <v>111.90086657680006</v>
      </c>
      <c r="AV406" s="4">
        <f>MIN(0.7+0.3*(MIN(S406,AA406)+0.5*N406)/1.5/K406,1)</f>
        <v>0.80766721044045675</v>
      </c>
      <c r="AW406" s="4">
        <v>1.25</v>
      </c>
      <c r="AX406" s="4">
        <f>AX405</f>
        <v>1</v>
      </c>
      <c r="AY406" s="38">
        <f>AT406*AV406*AW406*AX406*AU406</f>
        <v>106.27724517695769</v>
      </c>
      <c r="AZ406" s="38">
        <f>AY406</f>
        <v>106.27724517695769</v>
      </c>
      <c r="BA406" s="38">
        <f>IF(M406&lt;50, 0.3*M406^(2/3), 2.12*LN(1+0.1*(M406+8)))</f>
        <v>3.152781589644936</v>
      </c>
      <c r="BB406" s="38">
        <f>AX406* (M406^0.5/AS406^0.5)/(PI()/4*N406^2)/X406/0.72 *(0.7+(MIN(S406,AA406)+0.5*N406)/5/K406) *(3*Q406*K406)</f>
        <v>106.27724517695775</v>
      </c>
      <c r="BC406" s="38">
        <f>AY406/BB406</f>
        <v>0.99999999999999944</v>
      </c>
      <c r="BD406" s="38">
        <f>BH406/BB406</f>
        <v>6.382389285606493</v>
      </c>
      <c r="BE406" s="4">
        <f>IF(BD406&lt;1,1,0)</f>
        <v>0</v>
      </c>
      <c r="BF406" s="4">
        <f>L406/N406*M406^0.5/0.19</f>
        <v>188.31562107203405</v>
      </c>
      <c r="BG406" s="4">
        <f>MIN(0.6+0.4*(AC406/AB406),2)</f>
        <v>1</v>
      </c>
      <c r="BH406" s="38">
        <f>2*M406*AB406*AD406^0.5*BG406*0.7/0.7</f>
        <v>678.3027509211895</v>
      </c>
      <c r="BI406" s="4">
        <f>MAX(1-0.7*AE406/5,0.3)</f>
        <v>0.3</v>
      </c>
      <c r="BJ406" s="4">
        <f>BI406*J406*L406/(J406*N406/2.75/M406^0.5)</f>
        <v>29.518473603041336</v>
      </c>
      <c r="BK406" s="4">
        <f>BH406+BJ406</f>
        <v>707.82122452423084</v>
      </c>
      <c r="BM406" s="4">
        <f>MIN(1.5, 0.75+0.25*MIN(3,MAX(1,S406/N406))+0.4*MIN(1,(40*2*PI()*AM406^2/4/AO406/X406)/N406))</f>
        <v>1.45</v>
      </c>
      <c r="BN406" s="4">
        <f>(3*P406+30)*BM406*M406^0.5</f>
        <v>409.54638580141318</v>
      </c>
      <c r="BP406" s="4">
        <f>3.4/PI()^0.5*M406*AB406*AE406^0.5*BG406</f>
        <v>650.57528915458977</v>
      </c>
      <c r="BQ406" s="4">
        <f>8/3*AH406*AI406^2/(AG406-N406-22)/N406*(AG406^2-N406^2)/(AG406^2-(N406+22)^2)</f>
        <v>0</v>
      </c>
      <c r="BR406" s="4">
        <f>BQ406/BP406</f>
        <v>0</v>
      </c>
      <c r="BZ406" s="4">
        <f>IF(W406=0,S406,MIN(W406/2,S406))</f>
        <v>71.11999999999999</v>
      </c>
      <c r="CD406" s="9"/>
      <c r="CF406" s="9"/>
      <c r="CG406" s="9"/>
      <c r="CH406" s="9">
        <f>IF(W406=0,MIN(S406,U406),MIN(W406/2,S406,U406))</f>
        <v>71.11999999999999</v>
      </c>
      <c r="CI406" s="9">
        <f>MAX(W406/2,S406)</f>
        <v>123.19000000000001</v>
      </c>
      <c r="CJ406" s="9">
        <f>(CH406/N406)^0.5*(CI406/CH406)^0.15</f>
        <v>1.8170487186781425</v>
      </c>
      <c r="CK406" s="70">
        <f>IF(AO406&gt;1,20,0)</f>
        <v>20</v>
      </c>
      <c r="CL406" s="9">
        <f>MIN(PI()*AM406^2/4*AN406*2/X406/N406/MAX(0.01,AO406),0.05)</f>
        <v>0</v>
      </c>
      <c r="CM406" s="9">
        <f>MAX(0,CK406*(CL406-0.5/50))</f>
        <v>0</v>
      </c>
      <c r="CN406" s="9">
        <f>MIN(1,(25/N406)^0.3)</f>
        <v>0.99524931562137331</v>
      </c>
      <c r="CO406" s="9">
        <f>IF(J406&gt;=800,0.68,IF(J406&gt;=700,0.75-(J406-700)*0.07/100,IF(J406&gt;=600,0.85-(J406-600)*0.1/100,IF(J406&gt;=500,1-(J406-500)*0.15/100,1.2-(J406-400)*0.2/100))))</f>
        <v>0.68</v>
      </c>
      <c r="CP406" s="9">
        <f>1.75*CN406*CO406*(M406/25)^0.5</f>
        <v>1.3825737851765767</v>
      </c>
      <c r="CQ406" s="9">
        <f>MIN((CJ406+CM406)*CP406,2.5*CP406,M406^0.5)</f>
        <v>2.5122039248330883</v>
      </c>
      <c r="CR406" s="40">
        <v>1</v>
      </c>
      <c r="CS406" s="9">
        <f>4*CQ406*P406+60*CQ406</f>
        <v>212.33147572689262</v>
      </c>
      <c r="CU406" s="4">
        <f>AJ406/BF406</f>
        <v>1.549123414564981</v>
      </c>
      <c r="CV406" s="4">
        <f>AJ406/BK406</f>
        <v>0.41214381234063702</v>
      </c>
      <c r="CW406" s="4">
        <f>AJ406/BN406</f>
        <v>0.71231037080251502</v>
      </c>
      <c r="CX406" s="4">
        <f>AJ406/CS406</f>
        <v>1.3739090586186062</v>
      </c>
      <c r="CY406" s="4">
        <f>AJ406/DZ406</f>
        <v>1.2933704868741975</v>
      </c>
      <c r="CZ406" s="4">
        <f>AJ406/EL406</f>
        <v>0.72633374341804824</v>
      </c>
      <c r="DA406" s="4">
        <f>AJ406/GI406</f>
        <v>0.98770988832965423</v>
      </c>
      <c r="DB406" s="4">
        <f>AN406</f>
        <v>0</v>
      </c>
      <c r="DC406" s="4">
        <f>CU406</f>
        <v>1.549123414564981</v>
      </c>
      <c r="DD406" s="4">
        <f>CV406</f>
        <v>0.41214381234063702</v>
      </c>
      <c r="DE406" s="4">
        <f>CX406</f>
        <v>1.3739090586186062</v>
      </c>
      <c r="DF406" s="4">
        <f>DA406</f>
        <v>0.98770988832965423</v>
      </c>
      <c r="DG406" s="4">
        <f>CY406</f>
        <v>1.2933704868741975</v>
      </c>
      <c r="DH406" s="4">
        <f>CZ406</f>
        <v>0.72633374341804824</v>
      </c>
      <c r="DQ406" s="4">
        <f>L406</f>
        <v>155.702</v>
      </c>
      <c r="DT406" s="4">
        <f>K406/4/(1-0.3*(M406/30)^0.5)/200000/N406</f>
        <v>1.12633822970624E-5</v>
      </c>
      <c r="DU406" s="4">
        <f>EP406</f>
        <v>7.644622990955634</v>
      </c>
      <c r="DV406" s="4">
        <f>EC406*AG406/257/M406/AD406</f>
        <v>0.1076716156059938</v>
      </c>
      <c r="DW406" s="4">
        <f>DU406*DV406^0.4</f>
        <v>3.1347041877676705</v>
      </c>
      <c r="DX406" s="4">
        <f>MIN(DU406, DU406/1.4*(1-DV406^1.4)/(1-DV406))</f>
        <v>5.8491473818113509</v>
      </c>
      <c r="DY406" s="4">
        <f>MAX(DU406/2, (4-DT406*(8*AG406*(DW406-DX406)+6*K406*DX406))/(4+DT406*K406*DU406)*DU406)</f>
        <v>7.5394612007741664</v>
      </c>
      <c r="DZ406" s="38">
        <f>MIN(1/N406*(4*AG406*(DW406-DX406)+(3*DX406+DY406)*K406)+EC406 -FJ406,MAX(J406,AJ406))</f>
        <v>225.55342099700289</v>
      </c>
      <c r="EA406" s="4">
        <f>DZ406/FF406</f>
        <v>1.0001308908903537</v>
      </c>
      <c r="EB406" s="4">
        <f>AG406/N406</f>
        <v>3.1780497164141401</v>
      </c>
      <c r="EC406" s="4">
        <f>MIN(EB$10*BB406)</f>
        <v>106.27724517695775</v>
      </c>
      <c r="EG406" s="4">
        <f>IF(U406&gt;1*N406,0.85,1)</f>
        <v>0.85</v>
      </c>
      <c r="EH406" s="4">
        <f>MIN(1,MAX(0.7,(1-0.1*(BZ406-1*N406)/N406)))</f>
        <v>0.82000000000000006</v>
      </c>
      <c r="EI406" s="4">
        <f>MIN(1,MAX(0.7,1-0.3*(PI()*AM406^2/4*AQ406*2-0.25*PI()/4*N406^2)/(PI()/4*N406^2)))</f>
        <v>1</v>
      </c>
      <c r="EJ406" s="4">
        <f>IF(EH406*EI406&lt;0.7,0.7,EH406*EI406)</f>
        <v>0.82000000000000006</v>
      </c>
      <c r="EL406" s="4">
        <f>MIN(DU406/N406*3*K406+EM406-FJ406,MAX(J406,AJ406))</f>
        <v>401.63924721191137</v>
      </c>
      <c r="EM406" s="25">
        <f>13.3*Q406*K406^0.5*M406^0.5/X406/N406^2*(0.7+S406/5/K406)</f>
        <v>261.05463040823724</v>
      </c>
      <c r="EO406" s="4">
        <f>EG406*EJ406</f>
        <v>0.69700000000000006</v>
      </c>
      <c r="EP406" s="4">
        <f>IF(N406&lt;22.2,1.1*5*(M406/30)^0.5,IF(N406&gt;=31.8,0.9*5*(M406/30)^0.5,1*5*(M406/30)^0.5))/EG406/EJ406</f>
        <v>7.644622990955634</v>
      </c>
      <c r="ES406" s="4">
        <f>ET406*N406</f>
        <v>80.72246279691916</v>
      </c>
      <c r="ET406" s="4">
        <f>AF406^0.5</f>
        <v>3.1780497164141406</v>
      </c>
      <c r="EU406" s="4">
        <f>MIN(EC406)/(4700*M406^0.5)/AE406*ES406</f>
        <v>3.4364969943803947E-2</v>
      </c>
      <c r="EX406" s="4">
        <f>EU406</f>
        <v>3.4364969943803947E-2</v>
      </c>
      <c r="EY406" s="4">
        <f>MIN(0.999, EX406/(0.3*(M406/30)^0.5))</f>
        <v>0.10749193174680861</v>
      </c>
      <c r="EZ406" s="4">
        <f>EP406/1*EY406^0.4</f>
        <v>3.1326106444151227</v>
      </c>
      <c r="FA406" s="4">
        <f>EP406/1.4*(1-EY406^1.4)/(1-EY406)</f>
        <v>5.8486006868261065</v>
      </c>
      <c r="FB406" s="4">
        <f>MAX(0,DQ406*FB$9-ES406)</f>
        <v>36.054037203080838</v>
      </c>
      <c r="FC406" s="4">
        <f>MAX(0,DQ406-ES406-FB406)</f>
        <v>38.9255</v>
      </c>
      <c r="FD406" s="4">
        <f>FC406/(1-0.3*(M406/30)^0.5)/200000/N406</f>
        <v>1.12633822970624E-5</v>
      </c>
      <c r="FE406" s="4">
        <f>MAX(0.5*EP406, (1-2*FD406*(ES406*EZ406+FB406*FA406))/(1/EP406+FD406*FC406))</f>
        <v>7.5394935891124337</v>
      </c>
      <c r="FF406" s="4">
        <f>MIN(4/N406*(1*EZ406*ES406+FA406*FB406+FC406*FE406)+EC406,MAX(J406,AJ406))</f>
        <v>225.52390197267763</v>
      </c>
      <c r="FO406" s="23">
        <f>IF(CU406&lt;0.6,0.6,IF(CU406&lt;0.8,0.8,IF(CU406&lt;1,1,IF(CU406&lt;1.2,1.2,IF(CU406&lt;1.4,1.4,IF(CU406&lt;1.6,1.6,IF(CU406&lt;1.8,1.8,IF(CU406&lt;2,2,2.2))))))))</f>
        <v>1.6</v>
      </c>
      <c r="FP406" s="23">
        <f>IF(CV406&lt;0.6,0.6,IF(CV406&lt;0.8,0.8,IF(CV406&lt;1,1,IF(CV406&lt;1.2,1.2,IF(CV406&lt;1.4,1.4,IF(CV406&lt;1.6,1.6,IF(CV406&lt;1.8,1.8,IF(CV406&lt;2,2,2.2))))))))</f>
        <v>0.6</v>
      </c>
      <c r="FQ406" s="23">
        <f>IF(DA406&lt;0.6,0.6,IF(DA406&lt;0.8,0.8,IF(DA406&lt;1,1,IF(DA406&lt;1.2,1.2,IF(DA406&lt;1.4,1.4,IF(DA406&lt;1.6,1.6,IF(DA406&lt;1.8,1.8,IF(DA406&lt;2,2,2.2))))))))</f>
        <v>1</v>
      </c>
      <c r="FR406" s="23">
        <f>IF(CX406&lt;0.6,0.6,IF(CX406&lt;0.8,0.8,IF(CX406&lt;1,1,IF(CX406&lt;1.2,1.2,IF(CX406&lt;1.4,1.4,IF(CX406&lt;1.6,1.6,IF(CX406&lt;1.8,1.8,IF(CX406&lt;2,2,2.2))))))))</f>
        <v>1.4</v>
      </c>
      <c r="FS406" s="23">
        <f>IF(CY406&lt;0.6,0.6,IF(CY406&lt;0.8,0.8,IF(CY406&lt;1,1,IF(CY406&lt;1.2,1.2,IF(CY406&lt;1.4,1.4,IF(CY406&lt;1.6,1.6,IF(CY406&lt;1.8,1.8,IF(CY406&lt;2,2,2.2))))))))</f>
        <v>1.4</v>
      </c>
      <c r="FT406" s="23">
        <f>IF(CZ406&lt;0.6,0.6,IF(CZ406&lt;0.8,0.8,IF(CZ406&lt;1,1,IF(CZ406&lt;1.2,1.2,IF(CZ406&lt;1.4,1.4,IF(CZ406&lt;1.6,1.6,IF(CZ406&lt;1.8,1.8,IF(CZ406&lt;2,2,2.2))))))))</f>
        <v>0.8</v>
      </c>
      <c r="FU406" s="23">
        <f>IF(FS406&lt;1,1,0)</f>
        <v>0</v>
      </c>
      <c r="FV406" s="23"/>
      <c r="GF406" s="4">
        <f>IF(S406&gt;=2.5*25.4,1,1.25)</f>
        <v>1</v>
      </c>
      <c r="GG406" s="4">
        <f>IF(AO406&gt;1, 0.05*(18-MIN(8,(W406+N406)/N406))*(1-48000/MAX(60000,(J406*145))*(N406/25.4)^0.75*GH406), 1/12*(14-MIN(8,(W406+N406)/N406)))</f>
        <v>0.5</v>
      </c>
      <c r="GH406" s="4">
        <f>MIN(0.3, AM406^2*PI()/4*2*AP406/(N406^2*PI()/4*X406))</f>
        <v>0</v>
      </c>
      <c r="GI406" s="4">
        <f>(K406/25.4)/(N406/25.4)^1.5/0.0024*(M406*145)^0.25/GF406/GG406/145</f>
        <v>295.3540724639073</v>
      </c>
    </row>
    <row r="407" spans="1:191" ht="12" customHeight="1" x14ac:dyDescent="0.3">
      <c r="A407" s="25">
        <v>354</v>
      </c>
      <c r="B407" s="4" t="s">
        <v>605</v>
      </c>
      <c r="C407" s="4">
        <v>2016</v>
      </c>
      <c r="D407" s="4" t="s">
        <v>309</v>
      </c>
      <c r="E407" s="24" t="s">
        <v>672</v>
      </c>
      <c r="F407" s="24"/>
      <c r="G407" s="24">
        <v>40</v>
      </c>
      <c r="H407" s="7" t="s">
        <v>518</v>
      </c>
      <c r="I407" s="5">
        <f>K407/N407</f>
        <v>6.13</v>
      </c>
      <c r="J407" s="91">
        <f>120/0.145</f>
        <v>827.58620689655174</v>
      </c>
      <c r="K407" s="38">
        <f>6.13*25.4</f>
        <v>155.702</v>
      </c>
      <c r="L407" s="4">
        <f>K407</f>
        <v>155.702</v>
      </c>
      <c r="M407" s="98">
        <f>5160/145</f>
        <v>35.586206896551722</v>
      </c>
      <c r="N407" s="96">
        <f>1*25.4</f>
        <v>25.4</v>
      </c>
      <c r="O407" s="7">
        <f>K407/N407</f>
        <v>6.13</v>
      </c>
      <c r="P407" s="7">
        <f>L407/N407</f>
        <v>6.13</v>
      </c>
      <c r="Q407" s="38">
        <f>17*25.4</f>
        <v>431.79999999999995</v>
      </c>
      <c r="R407" s="32">
        <f>S407/N407</f>
        <v>2.6499999999999995</v>
      </c>
      <c r="S407" s="38">
        <f>2.65*25.4</f>
        <v>67.309999999999988</v>
      </c>
      <c r="T407" s="32">
        <f>U407/N407</f>
        <v>6.6</v>
      </c>
      <c r="U407" s="39">
        <f>6.6*25.4</f>
        <v>167.64</v>
      </c>
      <c r="V407" s="32">
        <f>W407/N407</f>
        <v>2.566666666666666</v>
      </c>
      <c r="W407" s="7">
        <f>(Q407-X407*N407-2*S407)/(X407-1)</f>
        <v>65.193333333333314</v>
      </c>
      <c r="X407" s="38">
        <v>4</v>
      </c>
      <c r="Y407" s="7">
        <f>AN407</f>
        <v>0</v>
      </c>
      <c r="Z407" s="32">
        <f>AA407/N407</f>
        <v>10.25</v>
      </c>
      <c r="AA407" s="4">
        <f>10.25*25.4</f>
        <v>260.34999999999997</v>
      </c>
      <c r="AB407" s="7">
        <f>MIN(S407/N407+0.5, W407/2/N407+0.5)</f>
        <v>1.783333333333333</v>
      </c>
      <c r="AC407" s="7">
        <f>S407/N407+0.5</f>
        <v>3.1499999999999995</v>
      </c>
      <c r="AD407" s="38">
        <v>9.5</v>
      </c>
      <c r="AE407" s="4">
        <f>AD407</f>
        <v>9.5</v>
      </c>
      <c r="AF407" s="4">
        <f>AE407+1</f>
        <v>10.5</v>
      </c>
      <c r="AG407" s="7">
        <f>N407*AF407^0.5</f>
        <v>82.305406869779816</v>
      </c>
      <c r="AJ407" s="38">
        <f>AK407/0.145</f>
        <v>189.65517241379311</v>
      </c>
      <c r="AK407" s="4">
        <v>27.5</v>
      </c>
      <c r="AL407" s="4">
        <f>CY407</f>
        <v>1.3045051452426668</v>
      </c>
      <c r="AM407" s="38">
        <v>0</v>
      </c>
      <c r="AN407" s="38">
        <v>0</v>
      </c>
      <c r="AO407" s="39">
        <f>L407</f>
        <v>155.702</v>
      </c>
      <c r="AP407" s="39"/>
      <c r="AQ407" s="39"/>
      <c r="AR407" s="7"/>
      <c r="AS407" s="4">
        <f>K407</f>
        <v>155.702</v>
      </c>
      <c r="AT407" s="4">
        <f>IF(K407*3&gt;W407+N407, Q407, (S407+N407/2)*2+1.5*K407*(2*X407-2))*(3*K407)/(9*K407^2)</f>
        <v>0.92441544317563884</v>
      </c>
      <c r="AU407" s="4">
        <f>MIN(10*M407^0.5*K407^1.5,100*3.9*M407^0.5*K407^(5/3))/(PI()/4*N407^2)/X407</f>
        <v>57.182722758449053</v>
      </c>
      <c r="AV407" s="4">
        <f>MIN(0.7+0.3*(MIN(S407,AA407)+0.5*N407)/1.5/K407,1)</f>
        <v>0.80277324632952685</v>
      </c>
      <c r="AW407" s="4">
        <v>1.25</v>
      </c>
      <c r="AX407" s="4">
        <f>AX406</f>
        <v>1</v>
      </c>
      <c r="AY407" s="38">
        <f>AT407*AV407*AW407*AX407*AU407</f>
        <v>53.043836304169716</v>
      </c>
      <c r="AZ407" s="38">
        <f>AY407</f>
        <v>53.043836304169716</v>
      </c>
      <c r="BA407" s="38">
        <f>IF(M407&lt;50, 0.3*M407^(2/3), 2.12*LN(1+0.1*(M407+8)))</f>
        <v>3.2457050730263122</v>
      </c>
      <c r="BB407" s="38">
        <f>AX407* (M407^0.5/AS407^0.5)/(PI()/4*N407^2)/X407/0.72 *(0.7+(MIN(S407,AA407)+0.5*N407)/5/K407) *(3*Q407*K407)</f>
        <v>53.043836304169751</v>
      </c>
      <c r="BC407" s="38">
        <f>AY407/BB407</f>
        <v>0.99999999999999933</v>
      </c>
      <c r="BD407" s="38">
        <f>BH407/BB407</f>
        <v>9.6359489965094323</v>
      </c>
      <c r="BE407" s="4">
        <f>IF(BD407&lt;1,1,0)</f>
        <v>0</v>
      </c>
      <c r="BF407" s="4">
        <f>L407/N407*M407^0.5/0.19</f>
        <v>192.46320927205113</v>
      </c>
      <c r="BG407" s="4">
        <f>MIN(0.6+0.4*(AC407/AB407),2)</f>
        <v>1.3065420560747665</v>
      </c>
      <c r="BH407" s="38">
        <f>2*M407*AB407*AD407^0.5*BG407*0.7/0.7</f>
        <v>511.12770120617512</v>
      </c>
      <c r="BI407" s="4">
        <f>MAX(1-0.7*AE407/5,0.3)</f>
        <v>0.3</v>
      </c>
      <c r="BJ407" s="4">
        <f>BI407*J407*L407/(J407*N407/2.75/M407^0.5)</f>
        <v>30.168608053394017</v>
      </c>
      <c r="BK407" s="4">
        <f>BH407+BJ407</f>
        <v>541.29630925956917</v>
      </c>
      <c r="BM407" s="4">
        <f>MIN(1.5, 0.75+0.25*MIN(3,MAX(1,S407/N407))+0.4*MIN(1,(40*2*PI()*AM407^2/4/AO407/X407)/N407))</f>
        <v>1.4124999999999999</v>
      </c>
      <c r="BN407" s="4">
        <f>(3*P407+30)*BM407*M407^0.5</f>
        <v>407.74151129201192</v>
      </c>
      <c r="BP407" s="4">
        <f>3.4/PI()^0.5*M407*AB407*AE407^0.5*BG407</f>
        <v>490.23397230149772</v>
      </c>
      <c r="BQ407" s="4">
        <f>8/3*AH407*AI407^2/(AG407-N407-22)/N407*(AG407^2-N407^2)/(AG407^2-(N407+22)^2)</f>
        <v>0</v>
      </c>
      <c r="BR407" s="4">
        <f>BQ407/BP407</f>
        <v>0</v>
      </c>
      <c r="BZ407" s="4">
        <f>IF(W407=0,S407,MIN(W407/2,S407))</f>
        <v>32.596666666666657</v>
      </c>
      <c r="CD407" s="9"/>
      <c r="CF407" s="9"/>
      <c r="CG407" s="9"/>
      <c r="CH407" s="9">
        <f>IF(W407=0,MIN(S407,U407),MIN(W407/2,S407,U407))</f>
        <v>32.596666666666657</v>
      </c>
      <c r="CI407" s="9">
        <f>MAX(W407/2,S407)</f>
        <v>67.309999999999988</v>
      </c>
      <c r="CJ407" s="9">
        <f>(CH407/N407)^0.5*(CI407/CH407)^0.15</f>
        <v>1.2630068246419943</v>
      </c>
      <c r="CK407" s="70">
        <f>IF(AO407&gt;1,20,0)</f>
        <v>20</v>
      </c>
      <c r="CL407" s="9">
        <f>MIN(PI()*AM407^2/4*AN407*2/X407/N407/MAX(0.01,AO407),0.05)</f>
        <v>0</v>
      </c>
      <c r="CM407" s="9">
        <f>MAX(0,CK407*(CL407-0.5/50))</f>
        <v>0</v>
      </c>
      <c r="CN407" s="9">
        <f>MIN(1,(25/N407)^0.3)</f>
        <v>0.99524931562137331</v>
      </c>
      <c r="CO407" s="9">
        <f>IF(J407&gt;=800,0.68,IF(J407&gt;=700,0.75-(J407-700)*0.07/100,IF(J407&gt;=600,0.85-(J407-600)*0.1/100,IF(J407&gt;=500,1-(J407-500)*0.15/100,1.2-(J407-400)*0.2/100))))</f>
        <v>0.68</v>
      </c>
      <c r="CP407" s="9">
        <f>1.75*CN407*CO407*(M407/25)^0.5</f>
        <v>1.4130245076626196</v>
      </c>
      <c r="CQ407" s="9">
        <f>MIN((CJ407+CM407)*CP407,2.5*CP407,M407^0.5)</f>
        <v>1.7846595965642824</v>
      </c>
      <c r="CR407" s="40">
        <v>1</v>
      </c>
      <c r="CS407" s="9">
        <f>4*CQ407*P407+60*CQ407</f>
        <v>150.83942910161315</v>
      </c>
      <c r="CU407" s="4">
        <f>AJ407/BF407</f>
        <v>0.9854100070923747</v>
      </c>
      <c r="CV407" s="4">
        <f>AJ407/BK407</f>
        <v>0.35037218833658679</v>
      </c>
      <c r="CW407" s="4">
        <f>AJ407/BN407</f>
        <v>0.46513579599200511</v>
      </c>
      <c r="CX407" s="4">
        <f>AJ407/CS407</f>
        <v>1.257331544831237</v>
      </c>
      <c r="CY407" s="4">
        <f>AJ407/DZ407</f>
        <v>1.3045051452426668</v>
      </c>
      <c r="CZ407" s="4">
        <f>AJ407/EL407</f>
        <v>0.75400013200926497</v>
      </c>
      <c r="DA407" s="4">
        <f>AJ407/GI407</f>
        <v>0.91676427599558874</v>
      </c>
      <c r="DB407" s="4">
        <f>AN407</f>
        <v>0</v>
      </c>
      <c r="DC407" s="4">
        <f>CU407</f>
        <v>0.9854100070923747</v>
      </c>
      <c r="DD407" s="4">
        <f>CV407</f>
        <v>0.35037218833658679</v>
      </c>
      <c r="DE407" s="4">
        <f>CX407</f>
        <v>1.257331544831237</v>
      </c>
      <c r="DF407" s="4">
        <f>DA407</f>
        <v>0.91676427599558874</v>
      </c>
      <c r="DG407" s="4">
        <f>CY407</f>
        <v>1.3045051452426668</v>
      </c>
      <c r="DH407" s="4">
        <f>CZ407</f>
        <v>0.75400013200926497</v>
      </c>
      <c r="DQ407" s="4">
        <f>L407</f>
        <v>155.702</v>
      </c>
      <c r="DT407" s="4">
        <f>K407/4/(1-0.3*(M407/30)^0.5)/200000/N407</f>
        <v>1.1381179504404969E-5</v>
      </c>
      <c r="DU407" s="4">
        <f>EP407</f>
        <v>6.5934694242202827</v>
      </c>
      <c r="DV407" s="4">
        <f>EC407*AG407/257/M407/AD407</f>
        <v>5.0248703911653619E-2</v>
      </c>
      <c r="DW407" s="4">
        <f>DU407*DV407^0.4</f>
        <v>1.9932599573492948</v>
      </c>
      <c r="DX407" s="4">
        <f>MIN(DU407, DU407/1.4*(1-DV407^1.4)/(1-DV407))</f>
        <v>4.8834669526853176</v>
      </c>
      <c r="DY407" s="4">
        <f>MAX(DU407/2, (4-DT407*(8*AG407*(DW407-DX407)+6*K407*DX407))/(4+DT407*K407*DU407)*DU407)</f>
        <v>6.5245243778941688</v>
      </c>
      <c r="DZ407" s="38">
        <f>MIN(1/N407*(4*AG407*(DW407-DX407)+(3*DX407+DY407)*K407)+EC407 -FJ407,MAX(J407,AJ407))</f>
        <v>145.38476379754948</v>
      </c>
      <c r="EA407" s="4">
        <f>DZ407/FF407</f>
        <v>1.0001274810987881</v>
      </c>
      <c r="EB407" s="4">
        <f>AG407/N407</f>
        <v>3.2403703492039297</v>
      </c>
      <c r="EC407" s="4">
        <f>MIN(EB$10*BB407)</f>
        <v>53.043836304169751</v>
      </c>
      <c r="EG407" s="4">
        <f>IF(U407&gt;1*N407,0.85,1)</f>
        <v>0.85</v>
      </c>
      <c r="EH407" s="4">
        <f>MIN(1,MAX(0.7,(1-0.1*(BZ407-1*N407)/N407)))</f>
        <v>0.97166666666666668</v>
      </c>
      <c r="EI407" s="4">
        <f>MIN(1,MAX(0.7,1-0.3*(PI()*AM407^2/4*AQ407*2-0.25*PI()/4*N407^2)/(PI()/4*N407^2)))</f>
        <v>1</v>
      </c>
      <c r="EJ407" s="4">
        <f>IF(EH407*EI407&lt;0.7,0.7,EH407*EI407)</f>
        <v>0.97166666666666668</v>
      </c>
      <c r="EL407" s="4">
        <f>MIN(DU407/N407*3*K407+EM407-FJ407,MAX(J407,AJ407))</f>
        <v>251.53201486636169</v>
      </c>
      <c r="EM407" s="25">
        <f>13.3*Q407*K407^0.5*M407^0.5/X407/N407^2*(0.7+S407/5/K407)</f>
        <v>130.27811215495069</v>
      </c>
      <c r="EO407" s="4">
        <f>EG407*EJ407</f>
        <v>0.82591666666666663</v>
      </c>
      <c r="EP407" s="4">
        <f>IF(N407&lt;22.2,1.1*5*(M407/30)^0.5,IF(N407&gt;=31.8,0.9*5*(M407/30)^0.5,1*5*(M407/30)^0.5))/EG407/EJ407</f>
        <v>6.5934694242202827</v>
      </c>
      <c r="ES407" s="4">
        <f>ET407*N407</f>
        <v>82.305406869779816</v>
      </c>
      <c r="ET407" s="4">
        <f>AF407^0.5</f>
        <v>3.2403703492039302</v>
      </c>
      <c r="EU407" s="4">
        <f>MIN(EC407)/(4700*M407^0.5)/AE407*ES407</f>
        <v>1.6390831260785003E-2</v>
      </c>
      <c r="EX407" s="4">
        <f>EU407</f>
        <v>1.6390831260785003E-2</v>
      </c>
      <c r="EY407" s="4">
        <f>MIN(0.999, EX407/(0.3*(M407/30)^0.5))</f>
        <v>5.0164848189910405E-2</v>
      </c>
      <c r="EZ407" s="4">
        <f>EP407/1*EY407^0.4</f>
        <v>1.991928738872639</v>
      </c>
      <c r="FA407" s="4">
        <f>EP407/1.4*(1-EY407^1.4)/(1-EY407)</f>
        <v>4.8832117334518115</v>
      </c>
      <c r="FB407" s="4">
        <f>MAX(0,DQ407*FB$9-ES407)</f>
        <v>34.471093130220183</v>
      </c>
      <c r="FC407" s="4">
        <f>MAX(0,DQ407-ES407-FB407)</f>
        <v>38.9255</v>
      </c>
      <c r="FD407" s="4">
        <f>FC407/(1-0.3*(M407/30)^0.5)/200000/N407</f>
        <v>1.1381179504404969E-5</v>
      </c>
      <c r="FE407" s="4">
        <f>MAX(0.5*EP407, (1-2*FD407*(ES407*EZ407+FB407*FA407))/(1/EP407+FD407*FC407))</f>
        <v>6.5245420905940925</v>
      </c>
      <c r="FF407" s="4">
        <f>MIN(4/N407*(1*EZ407*ES407+FA407*FB407+FC407*FE407)+EC407,MAX(J407,AJ407))</f>
        <v>145.36623235052275</v>
      </c>
      <c r="FO407" s="23">
        <f>IF(CU407&lt;0.6,0.6,IF(CU407&lt;0.8,0.8,IF(CU407&lt;1,1,IF(CU407&lt;1.2,1.2,IF(CU407&lt;1.4,1.4,IF(CU407&lt;1.6,1.6,IF(CU407&lt;1.8,1.8,IF(CU407&lt;2,2,2.2))))))))</f>
        <v>1</v>
      </c>
      <c r="FP407" s="23">
        <f>IF(CV407&lt;0.6,0.6,IF(CV407&lt;0.8,0.8,IF(CV407&lt;1,1,IF(CV407&lt;1.2,1.2,IF(CV407&lt;1.4,1.4,IF(CV407&lt;1.6,1.6,IF(CV407&lt;1.8,1.8,IF(CV407&lt;2,2,2.2))))))))</f>
        <v>0.6</v>
      </c>
      <c r="FQ407" s="23">
        <f>IF(DA407&lt;0.6,0.6,IF(DA407&lt;0.8,0.8,IF(DA407&lt;1,1,IF(DA407&lt;1.2,1.2,IF(DA407&lt;1.4,1.4,IF(DA407&lt;1.6,1.6,IF(DA407&lt;1.8,1.8,IF(DA407&lt;2,2,2.2))))))))</f>
        <v>1</v>
      </c>
      <c r="FR407" s="23">
        <f>IF(CX407&lt;0.6,0.6,IF(CX407&lt;0.8,0.8,IF(CX407&lt;1,1,IF(CX407&lt;1.2,1.2,IF(CX407&lt;1.4,1.4,IF(CX407&lt;1.6,1.6,IF(CX407&lt;1.8,1.8,IF(CX407&lt;2,2,2.2))))))))</f>
        <v>1.4</v>
      </c>
      <c r="FS407" s="23">
        <f>IF(CY407&lt;0.6,0.6,IF(CY407&lt;0.8,0.8,IF(CY407&lt;1,1,IF(CY407&lt;1.2,1.2,IF(CY407&lt;1.4,1.4,IF(CY407&lt;1.6,1.6,IF(CY407&lt;1.8,1.8,IF(CY407&lt;2,2,2.2))))))))</f>
        <v>1.4</v>
      </c>
      <c r="FT407" s="23">
        <f>IF(CZ407&lt;0.6,0.6,IF(CZ407&lt;0.8,0.8,IF(CZ407&lt;1,1,IF(CZ407&lt;1.2,1.2,IF(CZ407&lt;1.4,1.4,IF(CZ407&lt;1.6,1.6,IF(CZ407&lt;1.8,1.8,IF(CZ407&lt;2,2,2.2))))))))</f>
        <v>0.8</v>
      </c>
      <c r="FU407" s="23">
        <f>IF(FS407&lt;1,1,0)</f>
        <v>0</v>
      </c>
      <c r="FV407" s="23"/>
      <c r="GF407" s="4">
        <f>IF(S407&gt;=2.5*25.4,1,1.25)</f>
        <v>1</v>
      </c>
      <c r="GG407" s="4">
        <f>IF(AO407&gt;1, 0.05*(18-MIN(8,(W407+N407)/N407))*(1-48000/MAX(60000,(J407*145))*(N407/25.4)^0.75*GH407), 1/12*(14-MIN(8,(W407+N407)/N407)))</f>
        <v>0.72166666666666668</v>
      </c>
      <c r="GH407" s="4">
        <f>MIN(0.3, AM407^2*PI()/4*2*AP407/(N407^2*PI()/4*X407))</f>
        <v>0</v>
      </c>
      <c r="GI407" s="4">
        <f>(K407/25.4)/(N407/25.4)^1.5/0.0024*(M407*145)^0.25/GF407/GG407/145</f>
        <v>206.87452312409442</v>
      </c>
    </row>
    <row r="408" spans="1:191" ht="12" customHeight="1" x14ac:dyDescent="0.3">
      <c r="A408" s="25">
        <v>349</v>
      </c>
      <c r="B408" s="4" t="s">
        <v>605</v>
      </c>
      <c r="C408" s="4">
        <v>2016</v>
      </c>
      <c r="D408" s="4" t="s">
        <v>309</v>
      </c>
      <c r="E408" s="24" t="s">
        <v>672</v>
      </c>
      <c r="F408" s="24"/>
      <c r="G408" s="24">
        <v>19</v>
      </c>
      <c r="H408" s="7" t="s">
        <v>513</v>
      </c>
      <c r="I408" s="5">
        <f>K408/N408</f>
        <v>6.0999999999999988</v>
      </c>
      <c r="J408" s="38">
        <f>129/0.145</f>
        <v>889.65517241379314</v>
      </c>
      <c r="K408" s="38">
        <f>6.1*25.4</f>
        <v>154.93999999999997</v>
      </c>
      <c r="L408" s="4">
        <f>K408</f>
        <v>154.93999999999997</v>
      </c>
      <c r="M408" s="38">
        <f>4940/145</f>
        <v>34.068965517241381</v>
      </c>
      <c r="N408" s="96">
        <f>1*25.4</f>
        <v>25.4</v>
      </c>
      <c r="O408" s="7">
        <f>K408/N408</f>
        <v>6.0999999999999988</v>
      </c>
      <c r="P408" s="7">
        <f>L408/N408</f>
        <v>6.0999999999999988</v>
      </c>
      <c r="Q408" s="38">
        <f>20.5*25.4</f>
        <v>520.69999999999993</v>
      </c>
      <c r="R408" s="32">
        <f>S408/N408</f>
        <v>2.7</v>
      </c>
      <c r="S408" s="38">
        <f>2.7*25.4</f>
        <v>68.58</v>
      </c>
      <c r="T408" s="32">
        <f>U408/N408</f>
        <v>7</v>
      </c>
      <c r="U408" s="39">
        <f>7*25.4</f>
        <v>177.79999999999998</v>
      </c>
      <c r="V408" s="32">
        <f>W408/N408</f>
        <v>6.0499999999999989</v>
      </c>
      <c r="W408" s="7">
        <f>(Q408-X408*N408-2*S408)/(X408-1)</f>
        <v>153.66999999999996</v>
      </c>
      <c r="X408" s="38">
        <v>3</v>
      </c>
      <c r="Y408" s="7">
        <f>AN408</f>
        <v>10</v>
      </c>
      <c r="Z408" s="32">
        <f>AA408/N408</f>
        <v>10.25</v>
      </c>
      <c r="AA408" s="4">
        <f>10.25*25.4</f>
        <v>260.34999999999997</v>
      </c>
      <c r="AB408" s="7">
        <f>MIN(S408/N408+0.5, W408/2/N408+0.5)</f>
        <v>3.2</v>
      </c>
      <c r="AC408" s="7">
        <f>S408/N408+0.5</f>
        <v>3.2</v>
      </c>
      <c r="AD408" s="38">
        <v>4.0999999999999996</v>
      </c>
      <c r="AE408" s="4">
        <f>AD408</f>
        <v>4.0999999999999996</v>
      </c>
      <c r="AF408" s="4">
        <f>AE408+1</f>
        <v>5.0999999999999996</v>
      </c>
      <c r="AG408" s="7">
        <f>N408*AF408^0.5</f>
        <v>57.361276136431961</v>
      </c>
      <c r="AJ408" s="38">
        <f>AK408/0.145</f>
        <v>368.96551724137936</v>
      </c>
      <c r="AK408" s="4">
        <v>53.5</v>
      </c>
      <c r="AL408" s="4">
        <f>CY408</f>
        <v>1.5531423718553099</v>
      </c>
      <c r="AM408" s="38">
        <f>0.5*25.4</f>
        <v>12.7</v>
      </c>
      <c r="AN408" s="38">
        <v>10</v>
      </c>
      <c r="AO408" s="39">
        <f>3*25.4</f>
        <v>76.199999999999989</v>
      </c>
      <c r="AP408" s="39">
        <v>3</v>
      </c>
      <c r="AQ408" s="39">
        <f>AP408-1</f>
        <v>2</v>
      </c>
      <c r="AR408" s="7"/>
      <c r="AS408" s="4">
        <f>K408</f>
        <v>154.93999999999997</v>
      </c>
      <c r="AT408" s="4">
        <f>IF(K408*3&gt;W408+N408, Q408, (S408+N408/2)*2+1.5*K408*(2*X408-2))*(3*K408)/(9*K408^2)</f>
        <v>1.1202185792349728</v>
      </c>
      <c r="AU408" s="4">
        <f>MIN(10*M408^0.5*K408^1.5,100*3.9*M408^0.5*K408^(5/3))/(PI()/4*N408^2)/X408</f>
        <v>74.053609471570255</v>
      </c>
      <c r="AV408" s="4">
        <f>MIN(0.7+0.3*(MIN(S408,AA408)+0.5*N408)/1.5/K408,1)</f>
        <v>0.80491803278688523</v>
      </c>
      <c r="AW408" s="4">
        <v>1.25</v>
      </c>
      <c r="AX408" s="4">
        <f>AX407</f>
        <v>1</v>
      </c>
      <c r="AY408" s="38">
        <f>AT408*AV408*AW408*AX408*AU408</f>
        <v>83.466206008251646</v>
      </c>
      <c r="AZ408" s="38">
        <f>AY408</f>
        <v>83.466206008251646</v>
      </c>
      <c r="BA408" s="38">
        <f>IF(M408&lt;50, 0.3*M408^(2/3), 2.12*LN(1+0.1*(M408+8)))</f>
        <v>3.152781589644936</v>
      </c>
      <c r="BB408" s="38">
        <f>AX408* (M408^0.5/AS408^0.5)/(PI()/4*N408^2)/X408/0.72 *(0.7+(MIN(S408,AA408)+0.5*N408)/5/K408) *(3*Q408*K408)</f>
        <v>83.466206008251703</v>
      </c>
      <c r="BC408" s="38">
        <f>AY408/BB408</f>
        <v>0.99999999999999933</v>
      </c>
      <c r="BD408" s="38">
        <f>BH408/BB408</f>
        <v>5.2895676534831653</v>
      </c>
      <c r="BE408" s="4">
        <f>IF(BD408&lt;1,1,0)</f>
        <v>0</v>
      </c>
      <c r="BF408" s="4">
        <f>L408/N408*M408^0.5/0.19</f>
        <v>187.39401118098002</v>
      </c>
      <c r="BG408" s="4">
        <f>MIN(0.6+0.4*(AC408/AB408),2)</f>
        <v>1</v>
      </c>
      <c r="BH408" s="38">
        <f>2*M408*AB408*AD408^0.5*BG408*0.7/0.7</f>
        <v>441.50014346021044</v>
      </c>
      <c r="BI408" s="4">
        <f>MAX(1-0.7*AE408/5,0.3)</f>
        <v>0.42600000000000005</v>
      </c>
      <c r="BJ408" s="4">
        <f>BI408*J408*L408/(J408*N408/2.75/M408^0.5)</f>
        <v>41.71109597871844</v>
      </c>
      <c r="BK408" s="4">
        <f>BH408+BJ408</f>
        <v>483.21123943892889</v>
      </c>
      <c r="BM408" s="4">
        <f>MIN(1.5, 0.75+0.25*MIN(3,MAX(1,S408/N408))+0.4*MIN(1,(40*2*PI()*AM408^2/4/AO408/X408)/N408))</f>
        <v>1.5</v>
      </c>
      <c r="BN408" s="4">
        <f>(3*P408+30)*BM408*M408^0.5</f>
        <v>422.88069851012796</v>
      </c>
      <c r="BP408" s="4">
        <f>3.4/PI()^0.5*M408*AB408*AE408^0.5*BG408</f>
        <v>423.45262952765438</v>
      </c>
      <c r="BQ408" s="4">
        <f>8/3*AH408*AI408^2/(AG408-N408-22)/N408*(AG408^2-N408^2)/(AG408^2-(N408+22)^2)</f>
        <v>0</v>
      </c>
      <c r="BR408" s="4">
        <f>BQ408/BP408</f>
        <v>0</v>
      </c>
      <c r="BZ408" s="4">
        <f>IF(W408=0,S408,MIN(W408/2,S408))</f>
        <v>68.58</v>
      </c>
      <c r="CD408" s="9"/>
      <c r="CF408" s="9"/>
      <c r="CG408" s="9"/>
      <c r="CH408" s="9">
        <f>IF(W408=0,MIN(S408,U408),MIN(W408/2,S408,U408))</f>
        <v>68.58</v>
      </c>
      <c r="CI408" s="9">
        <f>MAX(W408/2,S408)</f>
        <v>76.83499999999998</v>
      </c>
      <c r="CJ408" s="9">
        <f>(CH408/N408)^0.5*(CI408/CH408)^0.15</f>
        <v>1.671422038708936</v>
      </c>
      <c r="CK408" s="70">
        <f>IF(AO408&gt;1,20,0)</f>
        <v>20</v>
      </c>
      <c r="CL408" s="9">
        <f>MIN(PI()*AM408^2/4*AN408*2/X408/N408/MAX(0.01,AO408),0.05)</f>
        <v>0.05</v>
      </c>
      <c r="CM408" s="9">
        <f>MAX(0,CK408*(CL408-0.5/50))</f>
        <v>0.8</v>
      </c>
      <c r="CN408" s="9">
        <f>MIN(1,(25/N408)^0.3)</f>
        <v>0.99524931562137331</v>
      </c>
      <c r="CO408" s="9">
        <f>IF(J408&gt;=800,0.68,IF(J408&gt;=700,0.75-(J408-700)*0.07/100,IF(J408&gt;=600,0.85-(J408-600)*0.1/100,IF(J408&gt;=500,1-(J408-500)*0.15/100,1.2-(J408-400)*0.2/100))))</f>
        <v>0.68</v>
      </c>
      <c r="CP408" s="9">
        <f>1.75*CN408*CO408*(M408/25)^0.5</f>
        <v>1.3825737851765767</v>
      </c>
      <c r="CQ408" s="9">
        <f>MIN((CJ408+CM408)*CP408,2.5*CP408,M408^0.5)</f>
        <v>3.4169233228266256</v>
      </c>
      <c r="CR408" s="40">
        <v>1</v>
      </c>
      <c r="CS408" s="9">
        <f>4*CQ408*P408+60*CQ408</f>
        <v>288.38832844656719</v>
      </c>
      <c r="CU408" s="4">
        <f>AJ408/BF408</f>
        <v>1.9689290757805624</v>
      </c>
      <c r="CV408" s="4">
        <f>AJ408/BK408</f>
        <v>0.7635698161114719</v>
      </c>
      <c r="CW408" s="4">
        <f>AJ408/BN408</f>
        <v>0.872504984363912</v>
      </c>
      <c r="CX408" s="4">
        <f>AJ408/CS408</f>
        <v>1.2794051660441645</v>
      </c>
      <c r="CY408" s="4">
        <f>AJ408/DZ408</f>
        <v>1.5531423718553099</v>
      </c>
      <c r="CZ408" s="4">
        <f>AJ408/EL408</f>
        <v>1.0002692328949259</v>
      </c>
      <c r="DA408" s="4">
        <f>AJ408/GI408</f>
        <v>1.2211878714437694</v>
      </c>
      <c r="DB408" s="4">
        <f>AN408</f>
        <v>10</v>
      </c>
      <c r="DI408" s="4">
        <f>CU408</f>
        <v>1.9689290757805624</v>
      </c>
      <c r="DJ408" s="4">
        <f>CV408</f>
        <v>0.7635698161114719</v>
      </c>
      <c r="DK408" s="4">
        <f>CX408</f>
        <v>1.2794051660441645</v>
      </c>
      <c r="DL408" s="4">
        <f>DA408</f>
        <v>1.2211878714437694</v>
      </c>
      <c r="DM408" s="4">
        <f>CY408</f>
        <v>1.5531423718553099</v>
      </c>
      <c r="DN408" s="4">
        <f>CZ408</f>
        <v>1.0002692328949259</v>
      </c>
      <c r="DQ408" s="4">
        <f>L408</f>
        <v>154.93999999999997</v>
      </c>
      <c r="DT408" s="4">
        <f>K408/4/(1-0.3*(M408/30)^0.5)/200000/N408</f>
        <v>1.120825970833289E-5</v>
      </c>
      <c r="DU408" s="4">
        <f>EP408</f>
        <v>8.9551297894051718</v>
      </c>
      <c r="DV408" s="4">
        <f>EC408*AG408/257/M408/AD408</f>
        <v>0.13336858726478165</v>
      </c>
      <c r="DW408" s="4">
        <f>DU408*DV408^0.4</f>
        <v>4.0003068413615237</v>
      </c>
      <c r="DX408" s="4">
        <f>MIN(DU408, DU408/1.4*(1-DV408^1.4)/(1-DV408))</f>
        <v>6.9411734360939228</v>
      </c>
      <c r="DY408" s="4">
        <f>MAX(DU408/2, (4-DT408*(8*AG408*(DW408-DX408)+6*K408*DX408))/(4+DT408*K408*DU408)*DU408)</f>
        <v>8.7928887287351412</v>
      </c>
      <c r="DZ408" s="38">
        <f>MIN(1/N408*(4*AG408*(DW408-DX408)+(3*DX408+DY408)*K408)+EC408 -FJ408,MAX(J408,AJ408))</f>
        <v>237.56065376069208</v>
      </c>
      <c r="EA408" s="4">
        <f>DZ408/FF408</f>
        <v>1.0001300586626294</v>
      </c>
      <c r="EB408" s="4">
        <f>AG408/N408</f>
        <v>2.2583179581272428</v>
      </c>
      <c r="EC408" s="4">
        <f>MIN(EB$10*BB408)</f>
        <v>83.466206008251703</v>
      </c>
      <c r="EG408" s="4">
        <f>IF(U408&gt;1*N408,0.85,1)</f>
        <v>0.85</v>
      </c>
      <c r="EH408" s="4">
        <f>MIN(1,MAX(0.7,(1-0.1*(BZ408-1*N408)/N408)))</f>
        <v>0.83</v>
      </c>
      <c r="EI408" s="4">
        <f>MIN(1,MAX(0.7,1-0.3*(PI()*AM408^2/4*AQ408*2-0.25*PI()/4*N408^2)/(PI()/4*N408^2)))</f>
        <v>0.77500000000000002</v>
      </c>
      <c r="EJ408" s="4">
        <f>IF(EH408*EI408&lt;0.7,0.7,EH408*EI408)</f>
        <v>0.7</v>
      </c>
      <c r="EL408" s="4">
        <f>MIN(DU408/N408*3*K408+EM408-FJ408,MAX(J408,AJ408))</f>
        <v>368.86620632481021</v>
      </c>
      <c r="EM408" s="25">
        <f>13.3*Q408*K408^0.5*M408^0.5/X408/N408^2*(0.7+S408/5/K408)</f>
        <v>204.9873311786956</v>
      </c>
      <c r="EO408" s="4">
        <f>EG408*EJ408</f>
        <v>0.59499999999999997</v>
      </c>
      <c r="EP408" s="4">
        <f>IF(N408&lt;22.2,1.1*5*(M408/30)^0.5,IF(N408&gt;=31.8,0.9*5*(M408/30)^0.5,1*5*(M408/30)^0.5))/EG408/EJ408</f>
        <v>8.9551297894051718</v>
      </c>
      <c r="ES408" s="4">
        <f>ET408*N408</f>
        <v>57.361276136431961</v>
      </c>
      <c r="ET408" s="4">
        <f>AF408^0.5</f>
        <v>2.2583179581272428</v>
      </c>
      <c r="EU408" s="4">
        <f>MIN(EC408)/(4700*M408^0.5)/AE408*ES408</f>
        <v>4.2566534058273021E-2</v>
      </c>
      <c r="EX408" s="4">
        <f>EU408</f>
        <v>4.2566534058273021E-2</v>
      </c>
      <c r="EY408" s="4">
        <f>MIN(0.999, EX408/(0.3*(M408/30)^0.5))</f>
        <v>0.13314601994916245</v>
      </c>
      <c r="EZ408" s="4">
        <f>EP408/1*EY408^0.4</f>
        <v>3.9976351966721904</v>
      </c>
      <c r="FA408" s="4">
        <f>EP408/1.4*(1-EY408^1.4)/(1-EY408)</f>
        <v>6.9404180170044452</v>
      </c>
      <c r="FB408" s="4">
        <f>MAX(0,DQ408*FB$9-ES408)</f>
        <v>58.843723863568023</v>
      </c>
      <c r="FC408" s="4">
        <f>MAX(0,DQ408-ES408-FB408)</f>
        <v>38.734999999999978</v>
      </c>
      <c r="FD408" s="4">
        <f>FC408/(1-0.3*(M408/30)^0.5)/200000/N408</f>
        <v>1.1208259708332886E-5</v>
      </c>
      <c r="FE408" s="4">
        <f>MAX(0.5*EP408, (1-2*FD408*(ES408*EZ408+FB408*FA408))/(1/EP408+FD408*FC408))</f>
        <v>8.7929282620185045</v>
      </c>
      <c r="FF408" s="4">
        <f>MIN(4/N408*(1*EZ408*ES408+FA408*FB408+FC408*FE408)+EC408,MAX(J408,AJ408))</f>
        <v>237.52976095764723</v>
      </c>
      <c r="FO408" s="23">
        <f>IF(CU408&lt;0.6,0.6,IF(CU408&lt;0.8,0.8,IF(CU408&lt;1,1,IF(CU408&lt;1.2,1.2,IF(CU408&lt;1.4,1.4,IF(CU408&lt;1.6,1.6,IF(CU408&lt;1.8,1.8,IF(CU408&lt;2,2,2.2))))))))</f>
        <v>2</v>
      </c>
      <c r="FP408" s="23">
        <f>IF(CV408&lt;0.6,0.6,IF(CV408&lt;0.8,0.8,IF(CV408&lt;1,1,IF(CV408&lt;1.2,1.2,IF(CV408&lt;1.4,1.4,IF(CV408&lt;1.6,1.6,IF(CV408&lt;1.8,1.8,IF(CV408&lt;2,2,2.2))))))))</f>
        <v>0.8</v>
      </c>
      <c r="FQ408" s="23">
        <f>IF(DA408&lt;0.6,0.6,IF(DA408&lt;0.8,0.8,IF(DA408&lt;1,1,IF(DA408&lt;1.2,1.2,IF(DA408&lt;1.4,1.4,IF(DA408&lt;1.6,1.6,IF(DA408&lt;1.8,1.8,IF(DA408&lt;2,2,2.2))))))))</f>
        <v>1.4</v>
      </c>
      <c r="FR408" s="23">
        <f>IF(CX408&lt;0.6,0.6,IF(CX408&lt;0.8,0.8,IF(CX408&lt;1,1,IF(CX408&lt;1.2,1.2,IF(CX408&lt;1.4,1.4,IF(CX408&lt;1.6,1.6,IF(CX408&lt;1.8,1.8,IF(CX408&lt;2,2,2.2))))))))</f>
        <v>1.4</v>
      </c>
      <c r="FS408" s="23">
        <f>IF(CY408&lt;0.6,0.6,IF(CY408&lt;0.8,0.8,IF(CY408&lt;1,1,IF(CY408&lt;1.2,1.2,IF(CY408&lt;1.4,1.4,IF(CY408&lt;1.6,1.6,IF(CY408&lt;1.8,1.8,IF(CY408&lt;2,2,2.2))))))))</f>
        <v>1.6</v>
      </c>
      <c r="FT408" s="23">
        <f>IF(CZ408&lt;0.6,0.6,IF(CZ408&lt;0.8,0.8,IF(CZ408&lt;1,1,IF(CZ408&lt;1.2,1.2,IF(CZ408&lt;1.4,1.4,IF(CZ408&lt;1.6,1.6,IF(CZ408&lt;1.8,1.8,IF(CZ408&lt;2,2,2.2))))))))</f>
        <v>1.2</v>
      </c>
      <c r="FU408" s="23">
        <f>IF(FS408&lt;1,1,0)</f>
        <v>0</v>
      </c>
      <c r="FV408" s="23"/>
      <c r="GF408" s="4">
        <f>IF(S408&gt;=2.5*25.4,1,1.25)</f>
        <v>1</v>
      </c>
      <c r="GG408" s="4">
        <f>IF(AO408&gt;1, 0.05*(18-MIN(8,(W408+N408)/N408))*(1-48000/MAX(60000,(J408*145))*(N408/25.4)^0.75*GH408), 1/12*(14-MIN(8,(W408+N408)/N408)))</f>
        <v>0.48638372093023263</v>
      </c>
      <c r="GH408" s="4">
        <f>MIN(0.3, AM408^2*PI()/4*2*AP408/(N408^2*PI()/4*X408))</f>
        <v>0.3</v>
      </c>
      <c r="GI408" s="4">
        <f>(K408/25.4)/(N408/25.4)^1.5/0.0024*(M408*145)^0.25/GF408/GG408/145</f>
        <v>302.13657199621861</v>
      </c>
    </row>
    <row r="409" spans="1:191" ht="12" customHeight="1" x14ac:dyDescent="0.3">
      <c r="A409" s="25">
        <v>342</v>
      </c>
      <c r="B409" s="4" t="s">
        <v>605</v>
      </c>
      <c r="C409" s="4">
        <v>2016</v>
      </c>
      <c r="D409" s="4" t="s">
        <v>309</v>
      </c>
      <c r="E409" s="24" t="s">
        <v>505</v>
      </c>
      <c r="F409" s="24"/>
      <c r="G409" s="24">
        <v>24</v>
      </c>
      <c r="H409" s="7" t="s">
        <v>506</v>
      </c>
      <c r="I409" s="5">
        <f>K409/N409</f>
        <v>6.09</v>
      </c>
      <c r="J409" s="38">
        <f>129/0.145</f>
        <v>889.65517241379314</v>
      </c>
      <c r="K409" s="38">
        <f>6.09*25.4</f>
        <v>154.68599999999998</v>
      </c>
      <c r="L409" s="4">
        <f>K409</f>
        <v>154.68599999999998</v>
      </c>
      <c r="M409" s="38">
        <f>4930/145</f>
        <v>34</v>
      </c>
      <c r="N409" s="96">
        <f>1*25.4</f>
        <v>25.4</v>
      </c>
      <c r="O409" s="7">
        <f>K409/N409</f>
        <v>6.09</v>
      </c>
      <c r="P409" s="7">
        <f>L409/N409</f>
        <v>6.09</v>
      </c>
      <c r="Q409" s="38">
        <f>17.3*25.4</f>
        <v>439.42</v>
      </c>
      <c r="R409" s="32">
        <f>S409/N409</f>
        <v>2.6499999999999995</v>
      </c>
      <c r="S409" s="38">
        <f>2.65*25.4</f>
        <v>67.309999999999988</v>
      </c>
      <c r="T409" s="32">
        <f>U409/N409</f>
        <v>7.1499999999999995</v>
      </c>
      <c r="U409" s="39">
        <f>7.15*25.4</f>
        <v>181.60999999999999</v>
      </c>
      <c r="V409" s="32">
        <f>W409/N409</f>
        <v>10.000000000000002</v>
      </c>
      <c r="W409" s="7">
        <f>(Q409-X409*N409-2*S409)/(X409-1)</f>
        <v>254.00000000000003</v>
      </c>
      <c r="X409" s="38">
        <v>2</v>
      </c>
      <c r="Y409" s="7">
        <f>AN409</f>
        <v>0</v>
      </c>
      <c r="Z409" s="32">
        <f>AA409/N409</f>
        <v>10.25</v>
      </c>
      <c r="AA409" s="4">
        <f>10.25*25.4</f>
        <v>260.34999999999997</v>
      </c>
      <c r="AB409" s="7">
        <f>MIN(S409/N409+0.5, W409/2/N409+0.5)</f>
        <v>3.1499999999999995</v>
      </c>
      <c r="AC409" s="7">
        <f>S409/N409+0.5</f>
        <v>3.1499999999999995</v>
      </c>
      <c r="AD409" s="38">
        <v>4.0999999999999996</v>
      </c>
      <c r="AE409" s="4">
        <f>AD409</f>
        <v>4.0999999999999996</v>
      </c>
      <c r="AF409" s="4">
        <f>AE409+1</f>
        <v>5.0999999999999996</v>
      </c>
      <c r="AG409" s="7">
        <f>N409*AF409^0.5</f>
        <v>57.361276136431961</v>
      </c>
      <c r="AJ409" s="38">
        <f>AK409/0.145</f>
        <v>250.34482758620689</v>
      </c>
      <c r="AK409" s="4">
        <v>36.299999999999997</v>
      </c>
      <c r="AL409" s="4">
        <f>CY409</f>
        <v>1.0516411430045192</v>
      </c>
      <c r="AM409" s="38">
        <v>0</v>
      </c>
      <c r="AN409" s="38">
        <v>0</v>
      </c>
      <c r="AO409" s="39">
        <f>L409</f>
        <v>154.68599999999998</v>
      </c>
      <c r="AP409" s="39"/>
      <c r="AQ409" s="39"/>
      <c r="AR409" s="7"/>
      <c r="AS409" s="4">
        <f>K409</f>
        <v>154.68599999999998</v>
      </c>
      <c r="AT409" s="4">
        <f>IF(K409*3&gt;W409+N409, Q409, (S409+N409/2)*2+1.5*K409*(2*X409-2))*(3*K409)/(9*K409^2)</f>
        <v>0.94690749863163681</v>
      </c>
      <c r="AU409" s="4">
        <f>MIN(10*M409^0.5*K409^1.5,100*3.9*M409^0.5*K409^(5/3))/(PI()/4*N409^2)/X409</f>
        <v>110.69516759312566</v>
      </c>
      <c r="AV409" s="4">
        <f>MIN(0.7+0.3*(MIN(S409,AA409)+0.5*N409)/1.5/K409,1)</f>
        <v>0.80344827586206891</v>
      </c>
      <c r="AW409" s="4">
        <v>1.25</v>
      </c>
      <c r="AX409" s="4">
        <f>AX408</f>
        <v>1</v>
      </c>
      <c r="AY409" s="38">
        <f>AT409*AV409*AW409*AX409*AU409</f>
        <v>105.26988634352772</v>
      </c>
      <c r="AZ409" s="38">
        <f>AY409</f>
        <v>105.26988634352772</v>
      </c>
      <c r="BA409" s="38">
        <f>IF(M409&lt;50, 0.3*M409^(2/3), 2.12*LN(1+0.1*(M409+8)))</f>
        <v>3.1485253868929024</v>
      </c>
      <c r="BB409" s="38">
        <f>AX409* (M409^0.5/AS409^0.5)/(PI()/4*N409^2)/X409/0.72 *(0.7+(MIN(S409,AA409)+0.5*N409)/5/K409) *(3*Q409*K409)</f>
        <v>105.26988634352779</v>
      </c>
      <c r="BC409" s="38">
        <f>AY409/BB409</f>
        <v>0.99999999999999933</v>
      </c>
      <c r="BD409" s="38">
        <f>BH409/BB409</f>
        <v>4.1200951026909438</v>
      </c>
      <c r="BE409" s="4">
        <f>IF(BD409&lt;1,1,0)</f>
        <v>0</v>
      </c>
      <c r="BF409" s="4">
        <f>L409/N409*M409^0.5/0.19</f>
        <v>186.89735284004149</v>
      </c>
      <c r="BG409" s="4">
        <f>MIN(0.6+0.4*(AC409/AB409),2)</f>
        <v>1</v>
      </c>
      <c r="BH409" s="38">
        <f>2*M409*AB409*AD409^0.5*BG409*0.7/0.7</f>
        <v>433.72194318480115</v>
      </c>
      <c r="BI409" s="4">
        <f>MAX(1-0.7*AE409/5,0.3)</f>
        <v>0.42600000000000005</v>
      </c>
      <c r="BJ409" s="4">
        <f>BI409*J409*L409/(J409*N409/2.75/M409^0.5)</f>
        <v>41.600547281900631</v>
      </c>
      <c r="BK409" s="4">
        <f>BH409+BJ409</f>
        <v>475.32249046670177</v>
      </c>
      <c r="BM409" s="4">
        <f>MIN(1.5, 0.75+0.25*MIN(3,MAX(1,S409/N409))+0.4*MIN(1,(40*2*PI()*AM409^2/4/AO409/X409)/N409))</f>
        <v>1.4124999999999999</v>
      </c>
      <c r="BN409" s="4">
        <f>(3*P409+30)*BM409*M409^0.5</f>
        <v>397.56231774940795</v>
      </c>
      <c r="BP409" s="4">
        <f>3.4/PI()^0.5*M409*AB409*AE409^0.5*BG409</f>
        <v>415.99238425162616</v>
      </c>
      <c r="BQ409" s="4">
        <f>8/3*AH409*AI409^2/(AG409-N409-22)/N409*(AG409^2-N409^2)/(AG409^2-(N409+22)^2)</f>
        <v>0</v>
      </c>
      <c r="BR409" s="4">
        <f>BQ409/BP409</f>
        <v>0</v>
      </c>
      <c r="BZ409" s="4">
        <f>IF(W409=0,S409,MIN(W409/2,S409))</f>
        <v>67.309999999999988</v>
      </c>
      <c r="CD409" s="9"/>
      <c r="CF409" s="9"/>
      <c r="CG409" s="9"/>
      <c r="CH409" s="9">
        <f>IF(W409=0,MIN(S409,U409),MIN(W409/2,S409,U409))</f>
        <v>67.309999999999988</v>
      </c>
      <c r="CI409" s="9">
        <f>MAX(W409/2,S409)</f>
        <v>127.00000000000001</v>
      </c>
      <c r="CJ409" s="9">
        <f>(CH409/N409)^0.5*(CI409/CH409)^0.15</f>
        <v>1.7905298128039189</v>
      </c>
      <c r="CK409" s="70">
        <f>IF(AO409&gt;1,20,0)</f>
        <v>20</v>
      </c>
      <c r="CL409" s="9">
        <f>MIN(PI()*AM409^2/4*AN409*2/X409/N409/MAX(0.01,AO409),0.05)</f>
        <v>0</v>
      </c>
      <c r="CM409" s="9">
        <f>MAX(0,CK409*(CL409-0.5/50))</f>
        <v>0</v>
      </c>
      <c r="CN409" s="9">
        <f>MIN(1,(25/N409)^0.3)</f>
        <v>0.99524931562137331</v>
      </c>
      <c r="CO409" s="9">
        <f>IF(J409&gt;=800,0.68,IF(J409&gt;=700,0.75-(J409-700)*0.07/100,IF(J409&gt;=600,0.85-(J409-600)*0.1/100,IF(J409&gt;=500,1-(J409-500)*0.15/100,1.2-(J409-400)*0.2/100))))</f>
        <v>0.68</v>
      </c>
      <c r="CP409" s="9">
        <f>1.75*CN409*CO409*(M409/25)^0.5</f>
        <v>1.3811737100982926</v>
      </c>
      <c r="CQ409" s="9">
        <f>MIN((CJ409+CM409)*CP409,2.5*CP409,M409^0.5)</f>
        <v>2.47303270459199</v>
      </c>
      <c r="CR409" s="40">
        <v>1</v>
      </c>
      <c r="CS409" s="9">
        <f>4*CQ409*P409+60*CQ409</f>
        <v>208.62503895938028</v>
      </c>
      <c r="CU409" s="4">
        <f>AJ409/BF409</f>
        <v>1.3394776532788442</v>
      </c>
      <c r="CV409" s="4">
        <f>AJ409/BK409</f>
        <v>0.52668416203155555</v>
      </c>
      <c r="CW409" s="4">
        <f>AJ409/BN409</f>
        <v>0.62969958773609069</v>
      </c>
      <c r="CX409" s="4">
        <f>AJ409/CS409</f>
        <v>1.1999749830361903</v>
      </c>
      <c r="CY409" s="4">
        <f>AJ409/DZ409</f>
        <v>1.0516411430045192</v>
      </c>
      <c r="CZ409" s="4">
        <f>AJ409/EL409</f>
        <v>0.63292489521379602</v>
      </c>
      <c r="DA409" s="4">
        <f>AJ409/GI409</f>
        <v>0.8536087311591446</v>
      </c>
      <c r="DB409" s="4">
        <f>AN409</f>
        <v>0</v>
      </c>
      <c r="DC409" s="4">
        <f>CU409</f>
        <v>1.3394776532788442</v>
      </c>
      <c r="DD409" s="4">
        <f>CV409</f>
        <v>0.52668416203155555</v>
      </c>
      <c r="DE409" s="4">
        <f>CX409</f>
        <v>1.1999749830361903</v>
      </c>
      <c r="DF409" s="4">
        <f>DA409</f>
        <v>0.8536087311591446</v>
      </c>
      <c r="DG409" s="4">
        <f>CY409</f>
        <v>1.0516411430045192</v>
      </c>
      <c r="DH409" s="4">
        <f>CZ409</f>
        <v>0.63292489521379602</v>
      </c>
      <c r="DQ409" s="4">
        <f>L409</f>
        <v>154.68599999999998</v>
      </c>
      <c r="DT409" s="4">
        <f>K409/4/(1-0.3*(M409/30)^0.5)/200000/N409</f>
        <v>1.1184562953342657E-5</v>
      </c>
      <c r="DU409" s="4">
        <f>EP409</f>
        <v>7.4996921088041866</v>
      </c>
      <c r="DV409" s="4">
        <f>EC409*AG409/257/M409/AD409</f>
        <v>0.1685493420775504</v>
      </c>
      <c r="DW409" s="4">
        <f>DU409*DV409^0.4</f>
        <v>3.6790378759534228</v>
      </c>
      <c r="DX409" s="4">
        <f>MIN(DU409, DU409/1.4*(1-DV409^1.4)/(1-DV409))</f>
        <v>5.9101460027224544</v>
      </c>
      <c r="DY409" s="4">
        <f>MAX(DU409/2, (4-DT409*(8*AG409*(DW409-DX409)+6*K409*DX409))/(4+DT409*K409*DU409)*DU409)</f>
        <v>7.3821879609585643</v>
      </c>
      <c r="DZ409" s="38">
        <f>MIN(1/N409*(4*AG409*(DW409-DX409)+(3*DX409+DY409)*K409)+EC409 -FJ409,MAX(J409,AJ409))</f>
        <v>238.0515722986801</v>
      </c>
      <c r="EA409" s="4">
        <f>DZ409/FF409</f>
        <v>1.0001217532436986</v>
      </c>
      <c r="EB409" s="4">
        <f>AG409/N409</f>
        <v>2.2583179581272428</v>
      </c>
      <c r="EC409" s="4">
        <f>MIN(EB$10*BB409)</f>
        <v>105.26988634352779</v>
      </c>
      <c r="EG409" s="4">
        <f>IF(U409&gt;1*N409,0.85,1)</f>
        <v>0.85</v>
      </c>
      <c r="EH409" s="4">
        <f>MIN(1,MAX(0.7,(1-0.1*(BZ409-1*N409)/N409)))</f>
        <v>0.83499999999999996</v>
      </c>
      <c r="EI409" s="4">
        <f>MIN(1,MAX(0.7,1-0.3*(PI()*AM409^2/4*AQ409*2-0.25*PI()/4*N409^2)/(PI()/4*N409^2)))</f>
        <v>1</v>
      </c>
      <c r="EJ409" s="4">
        <f>IF(EH409*EI409&lt;0.7,0.7,EH409*EI409)</f>
        <v>0.83499999999999996</v>
      </c>
      <c r="EL409" s="4">
        <f>MIN(DU409/N409*3*K409+EM409-FJ409,MAX(J409,AJ409))</f>
        <v>395.53638903971819</v>
      </c>
      <c r="EM409" s="25">
        <f>13.3*Q409*K409^0.5*M409^0.5/X409/N409^2*(0.7+S409/5/K409)</f>
        <v>258.51701421186567</v>
      </c>
      <c r="EO409" s="4">
        <f>EG409*EJ409</f>
        <v>0.70974999999999999</v>
      </c>
      <c r="EP409" s="4">
        <f>IF(N409&lt;22.2,1.1*5*(M409/30)^0.5,IF(N409&gt;=31.8,0.9*5*(M409/30)^0.5,1*5*(M409/30)^0.5))/EG409/EJ409</f>
        <v>7.4996921088041866</v>
      </c>
      <c r="ES409" s="4">
        <f>ET409*N409</f>
        <v>57.361276136431961</v>
      </c>
      <c r="ET409" s="4">
        <f>AF409^0.5</f>
        <v>2.2583179581272428</v>
      </c>
      <c r="EU409" s="4">
        <f>MIN(EC409)/(4700*M409^0.5)/AE409*ES409</f>
        <v>5.3740510240306273E-2</v>
      </c>
      <c r="EX409" s="4">
        <f>EU409</f>
        <v>5.3740510240306273E-2</v>
      </c>
      <c r="EY409" s="4">
        <f>MIN(0.999, EX409/(0.3*(M409/30)^0.5))</f>
        <v>0.16826806463895005</v>
      </c>
      <c r="EZ409" s="4">
        <f>EP409/1*EY409^0.4</f>
        <v>3.676580793936234</v>
      </c>
      <c r="FA409" s="4">
        <f>EP409/1.4*(1-EY409^1.4)/(1-EY409)</f>
        <v>5.9093910649166608</v>
      </c>
      <c r="FB409" s="4">
        <f>MAX(0,DQ409*FB$9-ES409)</f>
        <v>58.653223863568023</v>
      </c>
      <c r="FC409" s="4">
        <f>MAX(0,DQ409-ES409-FB409)</f>
        <v>38.671499999999988</v>
      </c>
      <c r="FD409" s="4">
        <f>FC409/(1-0.3*(M409/30)^0.5)/200000/N409</f>
        <v>1.1184562953342657E-5</v>
      </c>
      <c r="FE409" s="4">
        <f>MAX(0.5*EP409, (1-2*FD409*(ES409*EZ409+FB409*FA409))/(1/EP409+FD409*FC409))</f>
        <v>7.3822189334361239</v>
      </c>
      <c r="FF409" s="4">
        <f>MIN(4/N409*(1*EZ409*ES409+FA409*FB409+FC409*FE409)+EC409,MAX(J409,AJ409))</f>
        <v>238.02259227599694</v>
      </c>
      <c r="FO409" s="23">
        <f>IF(CU409&lt;0.6,0.6,IF(CU409&lt;0.8,0.8,IF(CU409&lt;1,1,IF(CU409&lt;1.2,1.2,IF(CU409&lt;1.4,1.4,IF(CU409&lt;1.6,1.6,IF(CU409&lt;1.8,1.8,IF(CU409&lt;2,2,2.2))))))))</f>
        <v>1.4</v>
      </c>
      <c r="FP409" s="23">
        <f>IF(CV409&lt;0.6,0.6,IF(CV409&lt;0.8,0.8,IF(CV409&lt;1,1,IF(CV409&lt;1.2,1.2,IF(CV409&lt;1.4,1.4,IF(CV409&lt;1.6,1.6,IF(CV409&lt;1.8,1.8,IF(CV409&lt;2,2,2.2))))))))</f>
        <v>0.6</v>
      </c>
      <c r="FQ409" s="23">
        <f>IF(DA409&lt;0.6,0.6,IF(DA409&lt;0.8,0.8,IF(DA409&lt;1,1,IF(DA409&lt;1.2,1.2,IF(DA409&lt;1.4,1.4,IF(DA409&lt;1.6,1.6,IF(DA409&lt;1.8,1.8,IF(DA409&lt;2,2,2.2))))))))</f>
        <v>1</v>
      </c>
      <c r="FR409" s="23">
        <f>IF(CX409&lt;0.6,0.6,IF(CX409&lt;0.8,0.8,IF(CX409&lt;1,1,IF(CX409&lt;1.2,1.2,IF(CX409&lt;1.4,1.4,IF(CX409&lt;1.6,1.6,IF(CX409&lt;1.8,1.8,IF(CX409&lt;2,2,2.2))))))))</f>
        <v>1.2</v>
      </c>
      <c r="FS409" s="23">
        <f>IF(CY409&lt;0.6,0.6,IF(CY409&lt;0.8,0.8,IF(CY409&lt;1,1,IF(CY409&lt;1.2,1.2,IF(CY409&lt;1.4,1.4,IF(CY409&lt;1.6,1.6,IF(CY409&lt;1.8,1.8,IF(CY409&lt;2,2,2.2))))))))</f>
        <v>1.2</v>
      </c>
      <c r="FT409" s="23">
        <f>IF(CZ409&lt;0.6,0.6,IF(CZ409&lt;0.8,0.8,IF(CZ409&lt;1,1,IF(CZ409&lt;1.2,1.2,IF(CZ409&lt;1.4,1.4,IF(CZ409&lt;1.6,1.6,IF(CZ409&lt;1.8,1.8,IF(CZ409&lt;2,2,2.2))))))))</f>
        <v>0.8</v>
      </c>
      <c r="FU409" s="23">
        <f>IF(FS409&lt;1,1,0)</f>
        <v>0</v>
      </c>
      <c r="FV409" s="23"/>
      <c r="GF409" s="4">
        <f>IF(S409&gt;=2.5*25.4,1,1.25)</f>
        <v>1</v>
      </c>
      <c r="GG409" s="4">
        <f>IF(AO409&gt;1, 0.05*(18-MIN(8,(W409+N409)/N409))*(1-48000/MAX(60000,(J409*145))*(N409/25.4)^0.75*GH409), 1/12*(14-MIN(8,(W409+N409)/N409)))</f>
        <v>0.5</v>
      </c>
      <c r="GH409" s="4">
        <f>MIN(0.3, AM409^2*PI()/4*2*AP409/(N409^2*PI()/4*X409))</f>
        <v>0</v>
      </c>
      <c r="GI409" s="4">
        <f>(K409/25.4)/(N409/25.4)^1.5/0.0024*(M409*145)^0.25/GF409/GG409/145</f>
        <v>293.27819461998126</v>
      </c>
    </row>
    <row r="410" spans="1:191" ht="12" customHeight="1" x14ac:dyDescent="0.3">
      <c r="A410" s="25">
        <v>366</v>
      </c>
      <c r="B410" s="4" t="s">
        <v>605</v>
      </c>
      <c r="C410" s="4">
        <v>2016</v>
      </c>
      <c r="D410" s="4" t="s">
        <v>309</v>
      </c>
      <c r="E410" s="24" t="s">
        <v>673</v>
      </c>
      <c r="F410" s="97" t="s">
        <v>762</v>
      </c>
      <c r="G410" s="24">
        <v>2</v>
      </c>
      <c r="H410" s="7" t="s">
        <v>531</v>
      </c>
      <c r="I410" s="5">
        <f>K410/N410</f>
        <v>9.695999999999998</v>
      </c>
      <c r="J410" s="38">
        <f>139/0.145</f>
        <v>958.62068965517244</v>
      </c>
      <c r="K410" s="78">
        <f>6.06*25.4</f>
        <v>153.92399999999998</v>
      </c>
      <c r="L410" s="4">
        <f>K410</f>
        <v>153.92399999999998</v>
      </c>
      <c r="M410" s="76">
        <f>4690/145</f>
        <v>32.344827586206897</v>
      </c>
      <c r="N410" s="38">
        <f>0.625*25.4</f>
        <v>15.875</v>
      </c>
      <c r="O410" s="7">
        <f>K410/N410</f>
        <v>9.695999999999998</v>
      </c>
      <c r="P410" s="7">
        <f>L410/N410</f>
        <v>9.695999999999998</v>
      </c>
      <c r="Q410" s="38">
        <f>13.1*25.4</f>
        <v>332.73999999999995</v>
      </c>
      <c r="R410" s="32">
        <f>S410/N410</f>
        <v>4.08</v>
      </c>
      <c r="S410" s="38">
        <f>2.55*25.4</f>
        <v>64.77</v>
      </c>
      <c r="T410" s="32">
        <f>U410/N410</f>
        <v>5.0399999999999991</v>
      </c>
      <c r="U410" s="39">
        <f>3.15*25.4</f>
        <v>80.009999999999991</v>
      </c>
      <c r="V410" s="32">
        <f>W410/N410</f>
        <v>10.799999999999997</v>
      </c>
      <c r="W410" s="7">
        <f>(Q410-X410*N410-2*S410)/(X410-1)</f>
        <v>171.44999999999996</v>
      </c>
      <c r="X410" s="38">
        <v>2</v>
      </c>
      <c r="Y410" s="7">
        <f>AN410</f>
        <v>10</v>
      </c>
      <c r="Z410" s="32">
        <f>AA410/N410</f>
        <v>8.4</v>
      </c>
      <c r="AA410" s="4">
        <f>5.25*25.4</f>
        <v>133.35</v>
      </c>
      <c r="AB410" s="7">
        <f>MIN(S410/N410+0.5, W410/2/N410+0.5)</f>
        <v>4.58</v>
      </c>
      <c r="AC410" s="7">
        <f>S410/N410+0.5</f>
        <v>4.58</v>
      </c>
      <c r="AD410" s="38">
        <v>4</v>
      </c>
      <c r="AE410" s="4">
        <f>AD410</f>
        <v>4</v>
      </c>
      <c r="AF410" s="4">
        <f>AE410+1</f>
        <v>5</v>
      </c>
      <c r="AG410" s="7">
        <f>N410*AF410^0.5</f>
        <v>35.497579142809165</v>
      </c>
      <c r="AJ410" s="38">
        <f>AK410/0.145</f>
        <v>967.58620689655186</v>
      </c>
      <c r="AK410" s="4">
        <v>140.30000000000001</v>
      </c>
      <c r="AL410" s="4">
        <f>CY410</f>
        <v>1.9857553822289242</v>
      </c>
      <c r="AM410" s="38">
        <f>0.375*25.4</f>
        <v>9.5249999999999986</v>
      </c>
      <c r="AN410" s="38">
        <v>10</v>
      </c>
      <c r="AO410" s="39">
        <f>1.75*25.4</f>
        <v>44.449999999999996</v>
      </c>
      <c r="AP410" s="39">
        <v>3</v>
      </c>
      <c r="AQ410" s="39">
        <f>AP410-1</f>
        <v>2</v>
      </c>
      <c r="AR410" s="7"/>
      <c r="AS410" s="4">
        <f>K410</f>
        <v>153.92399999999998</v>
      </c>
      <c r="AT410" s="4">
        <f>IF(K410*3&gt;W410+N410, Q410, (S410+N410/2)*2+1.5*K410*(2*X410-2))*(3*K410)/(9*K410^2)</f>
        <v>0.7205720572057206</v>
      </c>
      <c r="AU410" s="4">
        <f>MIN(10*M410^0.5*K410^1.5,100*3.9*M410^0.5*K410^(5/3))/(PI()/4*N410^2)/X410</f>
        <v>274.35607837678128</v>
      </c>
      <c r="AV410" s="4">
        <f>MIN(0.7+0.3*(MIN(S410,AA410)+0.5*N410)/1.5/K410,1)</f>
        <v>0.79447194719471947</v>
      </c>
      <c r="AW410" s="4">
        <v>1.25</v>
      </c>
      <c r="AX410" s="4">
        <f>AX409</f>
        <v>1</v>
      </c>
      <c r="AY410" s="38">
        <f>AT410*AV410*AW410*AX410*AU410</f>
        <v>196.3272498863092</v>
      </c>
      <c r="AZ410" s="38">
        <f>AY410</f>
        <v>196.3272498863092</v>
      </c>
      <c r="BA410" s="38">
        <f>IF(M410&lt;50, 0.3*M410^(2/3), 2.12*LN(1+0.1*(M410+8)))</f>
        <v>3.0454944685430494</v>
      </c>
      <c r="BB410" s="38">
        <f>AX410* (M410^0.5/AS410^0.5)/(PI()/4*N410^2)/X410/0.72 *(0.7+(MIN(S410,AA410)+0.5*N410)/5/K410) *(3*Q410*K410)</f>
        <v>196.32724988630903</v>
      </c>
      <c r="BC410" s="38">
        <f>AY410/BB410</f>
        <v>1.0000000000000009</v>
      </c>
      <c r="BD410" s="38">
        <f>BH410/BB410</f>
        <v>3.0182118973420846</v>
      </c>
      <c r="BE410" s="4">
        <f>IF(BD410&lt;1,1,0)</f>
        <v>0</v>
      </c>
      <c r="BF410" s="4">
        <f>L410/N410*M410^0.5/0.19</f>
        <v>290.22941477212186</v>
      </c>
      <c r="BG410" s="4">
        <f>MIN(0.6+0.4*(AC410/AB410),2)</f>
        <v>1</v>
      </c>
      <c r="BH410" s="38">
        <f>2*M410*AB410*AD410^0.5*BG410*0.7/0.7</f>
        <v>592.55724137931031</v>
      </c>
      <c r="BI410" s="4">
        <f>MAX(1-0.7*AE410/5,0.3)</f>
        <v>0.44000000000000006</v>
      </c>
      <c r="BJ410" s="4">
        <f>BI410*J410*L410/(J410*N410/2.75/M410^0.5)</f>
        <v>66.723742456110827</v>
      </c>
      <c r="BK410" s="4">
        <f>BH410+BJ410</f>
        <v>659.28098383542113</v>
      </c>
      <c r="BM410" s="4">
        <f>MIN(1.5, 0.75+0.25*MIN(3,MAX(1,S410/N410))+0.4*MIN(1,(40*2*PI()*AM410^2/4/AO410/X410)/N410))</f>
        <v>1.5</v>
      </c>
      <c r="BN410" s="4">
        <f>(3*P410+30)*BM410*M410^0.5</f>
        <v>504.07245906721477</v>
      </c>
      <c r="BP410" s="4">
        <f>3.4/PI()^0.5*M410*AB410*AE410^0.5*BG410</f>
        <v>568.33485951140074</v>
      </c>
      <c r="BQ410" s="4">
        <f>8/3*AH410*AI410^2/(AG410-N410-22)/N410*(AG410^2-N410^2)/(AG410^2-(N410+22)^2)</f>
        <v>0</v>
      </c>
      <c r="BR410" s="4">
        <f>BQ410/BP410</f>
        <v>0</v>
      </c>
      <c r="BZ410" s="4">
        <f>IF(W410=0,S410,MIN(W410/2,S410))</f>
        <v>64.77</v>
      </c>
      <c r="CD410" s="9"/>
      <c r="CF410" s="9"/>
      <c r="CG410" s="9"/>
      <c r="CH410" s="9">
        <f>IF(W410=0,MIN(S410,U410),MIN(W410/2,S410,U410))</f>
        <v>64.77</v>
      </c>
      <c r="CI410" s="9">
        <f>MAX(W410/2,S410)</f>
        <v>85.72499999999998</v>
      </c>
      <c r="CJ410" s="9">
        <f>(CH410/N410)^0.5*(CI410/CH410)^0.15</f>
        <v>2.1066390052415969</v>
      </c>
      <c r="CK410" s="70">
        <f>IF(AO410&gt;1,20,0)</f>
        <v>20</v>
      </c>
      <c r="CL410" s="9">
        <f>MIN(PI()*AM410^2/4*AN410*2/X410/N410/MAX(0.01,AO410),0.05)</f>
        <v>0.05</v>
      </c>
      <c r="CM410" s="9">
        <f>MAX(0,CK410*(CL410-0.5/50))</f>
        <v>0.8</v>
      </c>
      <c r="CN410" s="9">
        <f>MIN(1,(25/N410)^0.3)</f>
        <v>1</v>
      </c>
      <c r="CO410" s="9">
        <f>IF(J410&gt;=800,0.68,IF(J410&gt;=700,0.75-(J410-700)*0.07/100,IF(J410&gt;=600,0.85-(J410-600)*0.1/100,IF(J410&gt;=500,1-(J410-500)*0.15/100,1.2-(J410-400)*0.2/100))))</f>
        <v>0.68</v>
      </c>
      <c r="CP410" s="9">
        <f>1.75*CN410*CO410*(M410/25)^0.5</f>
        <v>1.3535658143559566</v>
      </c>
      <c r="CQ410" s="9">
        <f>MIN((CJ410+CM410)*CP410,2.5*CP410,M410^0.5)</f>
        <v>3.3839145358898914</v>
      </c>
      <c r="CR410" s="40">
        <v>1</v>
      </c>
      <c r="CS410" s="9">
        <f>4*CQ410*P410+60*CQ410</f>
        <v>334.276613513347</v>
      </c>
      <c r="CU410" s="4">
        <f>AJ410/BF410</f>
        <v>3.3338667883001012</v>
      </c>
      <c r="CV410" s="4">
        <f>AJ410/BK410</f>
        <v>1.4676385799383138</v>
      </c>
      <c r="CW410" s="4">
        <f>AJ410/BN410</f>
        <v>1.9195379344609871</v>
      </c>
      <c r="CX410" s="4">
        <f>AJ410/CS410</f>
        <v>2.8945674563557766</v>
      </c>
      <c r="CY410" s="4">
        <f>AJ410/DZ410</f>
        <v>1.9857553822289242</v>
      </c>
      <c r="CZ410" s="4">
        <f>AJ410/EL410</f>
        <v>1.2648314968012164</v>
      </c>
      <c r="DA410" s="4">
        <f>AJ410/GI410</f>
        <v>1.5380009760396056</v>
      </c>
      <c r="DB410" s="4">
        <f>AN410</f>
        <v>10</v>
      </c>
      <c r="DI410" s="4">
        <f>CU410</f>
        <v>3.3338667883001012</v>
      </c>
      <c r="DJ410" s="4">
        <f>CV410</f>
        <v>1.4676385799383138</v>
      </c>
      <c r="DK410" s="4">
        <f>CX410</f>
        <v>2.8945674563557766</v>
      </c>
      <c r="DL410" s="4">
        <f>DA410</f>
        <v>1.5380009760396056</v>
      </c>
      <c r="DM410" s="4">
        <f>CY410</f>
        <v>1.9857553822289242</v>
      </c>
      <c r="DN410" s="4">
        <f>CZ410</f>
        <v>1.2648314968012164</v>
      </c>
      <c r="DQ410" s="4">
        <f>L410</f>
        <v>153.92399999999998</v>
      </c>
      <c r="DT410" s="4">
        <f>K410/4/(1-0.3*(M410/30)^0.5)/200000/N410</f>
        <v>1.7603577471002637E-5</v>
      </c>
      <c r="DU410" s="4">
        <f>EP410</f>
        <v>9.5981496427943913</v>
      </c>
      <c r="DV410" s="4">
        <f>EC410*AG410/257/M410/AD410</f>
        <v>0.20959521524307709</v>
      </c>
      <c r="DW410" s="4">
        <f>DU410*DV410^0.4</f>
        <v>5.1373607376074437</v>
      </c>
      <c r="DX410" s="4">
        <f>MIN(DU410, DU410/1.4*(1-DV410^1.4)/(1-DV410))</f>
        <v>7.7007408803604802</v>
      </c>
      <c r="DY410" s="4">
        <f>MAX(DU410/2, (4-DT410*(8*AG410*(DW410-DX410)+6*K410*DX410))/(4+DT410*K410*DU410)*DU410)</f>
        <v>9.2682253831607859</v>
      </c>
      <c r="DZ410" s="38">
        <f>MIN(1/N410*(4*AG410*(DW410-DX410)+(3*DX410+DY410)*K410)+EC410 -FJ410,MAX(J410,AJ410))</f>
        <v>487.263544923886</v>
      </c>
      <c r="EA410" s="4">
        <f>DZ410/FF410</f>
        <v>1.0001084784786192</v>
      </c>
      <c r="EB410" s="4">
        <f>AG410/N410</f>
        <v>2.2360679774997898</v>
      </c>
      <c r="EC410" s="4">
        <f>MIN(EB$10*BB410)</f>
        <v>196.32724988630903</v>
      </c>
      <c r="EG410" s="4">
        <f>IF(U410&gt;1*N410,0.85,1)</f>
        <v>0.85</v>
      </c>
      <c r="EH410" s="4">
        <f>MIN(1,MAX(0.7,(1-0.1*(BZ410-1*N410)/N410)))</f>
        <v>0.7</v>
      </c>
      <c r="EI410" s="4">
        <f>MIN(1,MAX(0.7,1-0.3*(PI()*AM410^2/4*AQ410*2-0.25*PI()/4*N410^2)/(PI()/4*N410^2)))</f>
        <v>0.7</v>
      </c>
      <c r="EJ410" s="4">
        <f>IF(EH410*EI410&lt;0.7,0.7,EH410*EI410)</f>
        <v>0.7</v>
      </c>
      <c r="EL410" s="4">
        <f>MIN(DU410/N410*3*K410+EM410-FJ410,MAX(J410,AJ410))</f>
        <v>764.99218223423145</v>
      </c>
      <c r="EM410" s="25">
        <f>13.3*Q410*K410^0.5*M410^0.5/X410/N410^2*(0.7+S410/5/K410)</f>
        <v>485.80120542462834</v>
      </c>
      <c r="EO410" s="4">
        <f>EG410*EJ410</f>
        <v>0.59499999999999997</v>
      </c>
      <c r="EP410" s="4">
        <f>IF(N410&lt;22.2,1.1*5*(M410/30)^0.5,IF(N410&gt;=31.8,0.9*5*(M410/30)^0.5,1*5*(M410/30)^0.5))/EG410/EJ410</f>
        <v>9.5981496427943913</v>
      </c>
      <c r="ES410" s="4">
        <f>ET410*N410</f>
        <v>35.497579142809165</v>
      </c>
      <c r="ET410" s="4">
        <f>AF410^0.5</f>
        <v>2.2360679774997898</v>
      </c>
      <c r="EU410" s="4">
        <f>MIN(EC410)/(4700*M410^0.5)/AE410*ES410</f>
        <v>6.5180704433078093E-2</v>
      </c>
      <c r="EX410" s="4">
        <f>EU410</f>
        <v>6.5180704433078093E-2</v>
      </c>
      <c r="EY410" s="4">
        <f>MIN(0.999, EX410/(0.3*(M410/30)^0.5))</f>
        <v>0.20924543989207428</v>
      </c>
      <c r="EZ410" s="4">
        <f>EP410/1*EY410^0.4</f>
        <v>5.1339297001705377</v>
      </c>
      <c r="FA410" s="4">
        <f>EP410/1.4*(1-EY410^1.4)/(1-EY410)</f>
        <v>7.6996062588478269</v>
      </c>
      <c r="FB410" s="4">
        <f>MAX(0,DQ410*FB$9-ES410)</f>
        <v>79.945420857190811</v>
      </c>
      <c r="FC410" s="4">
        <f>MAX(0,DQ410-ES410-FB410)</f>
        <v>38.480999999999995</v>
      </c>
      <c r="FD410" s="4">
        <f>FC410/(1-0.3*(M410/30)^0.5)/200000/N410</f>
        <v>1.7603577471002637E-5</v>
      </c>
      <c r="FE410" s="4">
        <f>MAX(0.5*EP410, (1-2*FD410*(ES410*EZ410+FB410*FA410))/(1/EP410+FD410*FC410))</f>
        <v>9.2682967284842288</v>
      </c>
      <c r="FF410" s="4">
        <f>MIN(4/N410*(1*EZ410*ES410+FA410*FB410+FC410*FE410)+EC410,MAX(J410,AJ410))</f>
        <v>487.21069304913703</v>
      </c>
      <c r="FO410" s="23">
        <f>IF(CU410&lt;0.6,0.6,IF(CU410&lt;0.8,0.8,IF(CU410&lt;1,1,IF(CU410&lt;1.2,1.2,IF(CU410&lt;1.4,1.4,IF(CU410&lt;1.6,1.6,IF(CU410&lt;1.8,1.8,IF(CU410&lt;2,2,2.2))))))))</f>
        <v>2.2000000000000002</v>
      </c>
      <c r="FP410" s="23">
        <f>IF(CV410&lt;0.6,0.6,IF(CV410&lt;0.8,0.8,IF(CV410&lt;1,1,IF(CV410&lt;1.2,1.2,IF(CV410&lt;1.4,1.4,IF(CV410&lt;1.6,1.6,IF(CV410&lt;1.8,1.8,IF(CV410&lt;2,2,2.2))))))))</f>
        <v>1.6</v>
      </c>
      <c r="FQ410" s="23">
        <f>IF(DA410&lt;0.6,0.6,IF(DA410&lt;0.8,0.8,IF(DA410&lt;1,1,IF(DA410&lt;1.2,1.2,IF(DA410&lt;1.4,1.4,IF(DA410&lt;1.6,1.6,IF(DA410&lt;1.8,1.8,IF(DA410&lt;2,2,2.2))))))))</f>
        <v>1.6</v>
      </c>
      <c r="FR410" s="23">
        <f>IF(CX410&lt;0.6,0.6,IF(CX410&lt;0.8,0.8,IF(CX410&lt;1,1,IF(CX410&lt;1.2,1.2,IF(CX410&lt;1.4,1.4,IF(CX410&lt;1.6,1.6,IF(CX410&lt;1.8,1.8,IF(CX410&lt;2,2,2.2))))))))</f>
        <v>2.2000000000000002</v>
      </c>
      <c r="FS410" s="23">
        <f>IF(CY410&lt;0.6,0.6,IF(CY410&lt;0.8,0.8,IF(CY410&lt;1,1,IF(CY410&lt;1.2,1.2,IF(CY410&lt;1.4,1.4,IF(CY410&lt;1.6,1.6,IF(CY410&lt;1.8,1.8,IF(CY410&lt;2,2,2.2))))))))</f>
        <v>2</v>
      </c>
      <c r="FT410" s="23">
        <f>IF(CZ410&lt;0.6,0.6,IF(CZ410&lt;0.8,0.8,IF(CZ410&lt;1,1,IF(CZ410&lt;1.2,1.2,IF(CZ410&lt;1.4,1.4,IF(CZ410&lt;1.6,1.6,IF(CZ410&lt;1.8,1.8,IF(CZ410&lt;2,2,2.2))))))))</f>
        <v>1.4</v>
      </c>
      <c r="FU410" s="23">
        <f>IF(FS410&lt;1,1,0)</f>
        <v>0</v>
      </c>
      <c r="FV410" s="23"/>
      <c r="GF410" s="4">
        <f>IF(S410&gt;=2.5*25.4,1,1.25)</f>
        <v>1</v>
      </c>
      <c r="GG410" s="4">
        <f>IF(AO410&gt;1, 0.05*(18-MIN(8,(W410+N410)/N410))*(1-48000/MAX(60000,(J410*145))*(N410/25.4)^0.75*GH410), 1/12*(14-MIN(8,(W410+N410)/N410)))</f>
        <v>0.46358941059918601</v>
      </c>
      <c r="GH410" s="4">
        <f>MIN(0.3, AM410^2*PI()/4*2*AP410/(N410^2*PI()/4*X410))</f>
        <v>0.3</v>
      </c>
      <c r="GI410" s="4">
        <f>(K410/25.4)/(N410/25.4)^1.5/0.0024*(M410*145)^0.25/GF410/GG410/145</f>
        <v>629.11937116458319</v>
      </c>
    </row>
    <row r="411" spans="1:191" ht="12" customHeight="1" x14ac:dyDescent="0.3">
      <c r="A411" s="25">
        <v>374</v>
      </c>
      <c r="B411" s="4" t="s">
        <v>605</v>
      </c>
      <c r="C411" s="4">
        <v>2016</v>
      </c>
      <c r="D411" s="4" t="s">
        <v>309</v>
      </c>
      <c r="E411" s="24" t="s">
        <v>674</v>
      </c>
      <c r="F411" s="75" t="s">
        <v>763</v>
      </c>
      <c r="G411" s="24">
        <v>4</v>
      </c>
      <c r="H411" s="7" t="s">
        <v>540</v>
      </c>
      <c r="I411" s="5">
        <f>K411/N411</f>
        <v>9.6479999999999997</v>
      </c>
      <c r="J411" s="38">
        <f>139/0.145</f>
        <v>958.62068965517244</v>
      </c>
      <c r="K411" s="78">
        <f>6.03*25.4</f>
        <v>153.16200000000001</v>
      </c>
      <c r="L411" s="4">
        <f>K411</f>
        <v>153.16200000000001</v>
      </c>
      <c r="M411" s="38">
        <f>11030/145</f>
        <v>76.068965517241381</v>
      </c>
      <c r="N411" s="38">
        <f>0.625*25.4</f>
        <v>15.875</v>
      </c>
      <c r="O411" s="7">
        <f>K411/N411</f>
        <v>9.6479999999999997</v>
      </c>
      <c r="P411" s="7">
        <f>L411/N411</f>
        <v>9.6479999999999997</v>
      </c>
      <c r="Q411" s="38">
        <f>13*25.4</f>
        <v>330.2</v>
      </c>
      <c r="R411" s="32">
        <f>S411/N411</f>
        <v>4.08</v>
      </c>
      <c r="S411" s="38">
        <f>2.55*25.4</f>
        <v>64.77</v>
      </c>
      <c r="T411" s="32">
        <f>U411/N411</f>
        <v>5.0399999999999991</v>
      </c>
      <c r="U411" s="39">
        <f>3.15*25.4</f>
        <v>80.009999999999991</v>
      </c>
      <c r="V411" s="32">
        <f>W411/N411</f>
        <v>10.64</v>
      </c>
      <c r="W411" s="7">
        <f>(Q411-X411*N411-2*S411)/(X411-1)</f>
        <v>168.91</v>
      </c>
      <c r="X411" s="38">
        <v>2</v>
      </c>
      <c r="Y411" s="7">
        <f>AN411</f>
        <v>0</v>
      </c>
      <c r="Z411" s="32">
        <f>AA411/N411</f>
        <v>8.4</v>
      </c>
      <c r="AA411" s="4">
        <f>5.25*25.4</f>
        <v>133.35</v>
      </c>
      <c r="AB411" s="7">
        <f>MIN(S411/N411+0.5, W411/2/N411+0.5)</f>
        <v>4.58</v>
      </c>
      <c r="AC411" s="7">
        <f>S411/N411+0.5</f>
        <v>4.58</v>
      </c>
      <c r="AD411" s="38">
        <v>13.1</v>
      </c>
      <c r="AE411" s="4">
        <f>AD411</f>
        <v>13.1</v>
      </c>
      <c r="AF411" s="4">
        <f>AE411+1</f>
        <v>14.1</v>
      </c>
      <c r="AG411" s="7">
        <f>N411*AF411^0.5</f>
        <v>59.610572153771514</v>
      </c>
      <c r="AJ411" s="38">
        <f>AK411/0.145</f>
        <v>983.44827586206895</v>
      </c>
      <c r="AK411" s="4">
        <v>142.6</v>
      </c>
      <c r="AL411" s="4">
        <f>CY411</f>
        <v>1.4853019156950511</v>
      </c>
      <c r="AM411" s="38">
        <v>0</v>
      </c>
      <c r="AN411" s="38">
        <v>0</v>
      </c>
      <c r="AO411" s="39">
        <f>L411</f>
        <v>153.16200000000001</v>
      </c>
      <c r="AP411" s="39"/>
      <c r="AQ411" s="39"/>
      <c r="AR411" s="7"/>
      <c r="AS411" s="4">
        <f>K411</f>
        <v>153.16200000000001</v>
      </c>
      <c r="AT411" s="4">
        <f>IF(K411*3&gt;W411+N411, Q411, (S411+N411/2)*2+1.5*K411*(2*X411-2))*(3*K411)/(9*K411^2)</f>
        <v>0.71862907683803201</v>
      </c>
      <c r="AU411" s="4">
        <f>MIN(10*M411^0.5*K411^1.5,100*3.9*M411^0.5*K411^(5/3))/(PI()/4*N411^2)/X411</f>
        <v>417.6216003496458</v>
      </c>
      <c r="AV411" s="4">
        <f>MIN(0.7+0.3*(MIN(S411,AA411)+0.5*N411)/1.5/K411,1)</f>
        <v>0.79494195688225533</v>
      </c>
      <c r="AW411" s="4">
        <v>1.25</v>
      </c>
      <c r="AX411" s="4">
        <f>AX410</f>
        <v>1</v>
      </c>
      <c r="AY411" s="38">
        <f>AT411*AV411*AW411*AX411*AU411</f>
        <v>298.21753170516894</v>
      </c>
      <c r="AZ411" s="38">
        <f>AY411</f>
        <v>298.21753170516894</v>
      </c>
      <c r="BA411" s="38">
        <f>IF(M411&lt;50, 0.3*M411^(2/3), 2.12*LN(1+0.1*(M411+8)))</f>
        <v>4.7518593634836064</v>
      </c>
      <c r="BB411" s="38">
        <f>AX411* (M411^0.5/AS411^0.5)/(PI()/4*N411^2)/X411/0.72 *(0.7+(MIN(S411,AA411)+0.5*N411)/5/K411) *(3*Q411*K411)</f>
        <v>298.21753170516911</v>
      </c>
      <c r="BC411" s="38">
        <f>AY411/BB411</f>
        <v>0.99999999999999944</v>
      </c>
      <c r="BD411" s="38">
        <f>BH411/BB411</f>
        <v>8.4567883277123297</v>
      </c>
      <c r="BE411" s="4">
        <f>IF(BD411&lt;1,1,0)</f>
        <v>0</v>
      </c>
      <c r="BF411" s="4">
        <f>L411/N411*M411^0.5/0.19</f>
        <v>442.88140779849761</v>
      </c>
      <c r="BG411" s="4">
        <f>MIN(0.6+0.4*(AC411/AB411),2)</f>
        <v>1</v>
      </c>
      <c r="BH411" s="38">
        <f>2*M411*AB411*AD411^0.5*BG411*0.7/0.7</f>
        <v>2521.9625412434557</v>
      </c>
      <c r="BI411" s="4">
        <f>MAX(1-0.7*AE411/5,0.3)</f>
        <v>0.3</v>
      </c>
      <c r="BJ411" s="4">
        <f>BI411*J411*L411/(J411*N411/2.75/M411^0.5)</f>
        <v>69.421660672414518</v>
      </c>
      <c r="BK411" s="4">
        <f>BH411+BJ411</f>
        <v>2591.3842019158701</v>
      </c>
      <c r="BM411" s="4">
        <f>MIN(1.5, 0.75+0.25*MIN(3,MAX(1,S411/N411))+0.4*MIN(1,(40*2*PI()*AM411^2/4/AO411/X411)/N411))</f>
        <v>1.5</v>
      </c>
      <c r="BN411" s="4">
        <f>(3*P411+30)*BM411*M411^0.5</f>
        <v>771.14246319063773</v>
      </c>
      <c r="BP411" s="4">
        <f>3.4/PI()^0.5*M411*AB411*AE411^0.5*BG411</f>
        <v>2418.8704929742166</v>
      </c>
      <c r="BQ411" s="4">
        <f>8/3*AH411*AI411^2/(AG411-N411-22)/N411*(AG411^2-N411^2)/(AG411^2-(N411+22)^2)</f>
        <v>0</v>
      </c>
      <c r="BR411" s="4">
        <f>BQ411/BP411</f>
        <v>0</v>
      </c>
      <c r="BZ411" s="4">
        <f>IF(W411=0,S411,MIN(W411/2,S411))</f>
        <v>64.77</v>
      </c>
      <c r="CD411" s="9"/>
      <c r="CF411" s="9"/>
      <c r="CG411" s="9"/>
      <c r="CH411" s="9">
        <f>IF(W411=0,MIN(S411,U411),MIN(W411/2,S411,U411))</f>
        <v>64.77</v>
      </c>
      <c r="CI411" s="9">
        <f>MAX(W411/2,S411)</f>
        <v>84.454999999999998</v>
      </c>
      <c r="CJ411" s="9">
        <f>(CH411/N411)^0.5*(CI411/CH411)^0.15</f>
        <v>2.1019278374638874</v>
      </c>
      <c r="CK411" s="70">
        <f>IF(AO411&gt;1,20,0)</f>
        <v>20</v>
      </c>
      <c r="CL411" s="9">
        <f>MIN(PI()*AM411^2/4*AN411*2/X411/N411/MAX(0.01,AO411),0.05)</f>
        <v>0</v>
      </c>
      <c r="CM411" s="9">
        <f>MAX(0,CK411*(CL411-0.5/50))</f>
        <v>0</v>
      </c>
      <c r="CN411" s="9">
        <f>MIN(1,(25/N411)^0.3)</f>
        <v>1</v>
      </c>
      <c r="CO411" s="9">
        <f>IF(J411&gt;=800,0.68,IF(J411&gt;=700,0.75-(J411-700)*0.07/100,IF(J411&gt;=600,0.85-(J411-600)*0.1/100,IF(J411&gt;=500,1-(J411-500)*0.15/100,1.2-(J411-400)*0.2/100))))</f>
        <v>0.68</v>
      </c>
      <c r="CP411" s="9">
        <f>1.75*CN411*CO411*(M411/25)^0.5</f>
        <v>2.0757770792545673</v>
      </c>
      <c r="CQ411" s="9">
        <f>MIN((CJ411+CM411)*CP411,2.5*CP411,M411^0.5)</f>
        <v>4.3631336272546575</v>
      </c>
      <c r="CR411" s="40">
        <v>1</v>
      </c>
      <c r="CS411" s="9">
        <f>4*CQ411*P411+60*CQ411</f>
        <v>430.17007057829119</v>
      </c>
      <c r="CU411" s="4">
        <f>AJ411/BF411</f>
        <v>2.2205679862486321</v>
      </c>
      <c r="CV411" s="4">
        <f>AJ411/BK411</f>
        <v>0.37950693499442612</v>
      </c>
      <c r="CW411" s="4">
        <f>AJ411/BN411</f>
        <v>1.2753133471511944</v>
      </c>
      <c r="CX411" s="4">
        <f>AJ411/CS411</f>
        <v>2.286184797887004</v>
      </c>
      <c r="CY411" s="4">
        <f>AJ411/DZ411</f>
        <v>1.4853019156950511</v>
      </c>
      <c r="CZ411" s="4">
        <f>AJ411/EL411</f>
        <v>1</v>
      </c>
      <c r="DA411" s="4">
        <f>AJ411/GI411</f>
        <v>1.368231571250613</v>
      </c>
      <c r="DB411" s="4">
        <f>AN411</f>
        <v>0</v>
      </c>
      <c r="DC411" s="4">
        <f>CU411</f>
        <v>2.2205679862486321</v>
      </c>
      <c r="DD411" s="4">
        <f>CV411</f>
        <v>0.37950693499442612</v>
      </c>
      <c r="DE411" s="4">
        <f>CX411</f>
        <v>2.286184797887004</v>
      </c>
      <c r="DF411" s="4">
        <f>DA411</f>
        <v>1.368231571250613</v>
      </c>
      <c r="DG411" s="4">
        <f>CY411</f>
        <v>1.4853019156950511</v>
      </c>
      <c r="DH411" s="4">
        <f>CZ411</f>
        <v>1</v>
      </c>
      <c r="DQ411" s="4">
        <f>L411</f>
        <v>153.16200000000001</v>
      </c>
      <c r="DT411" s="4">
        <f>K411/4/(1-0.3*(M411/30)^0.5)/200000/N411</f>
        <v>2.3090622580663914E-5</v>
      </c>
      <c r="DU411" s="4">
        <f>EP411</f>
        <v>14.719357433866572</v>
      </c>
      <c r="DV411" s="4">
        <f>EC411*AG411/257/M411/AD411</f>
        <v>6.9413594180506286E-2</v>
      </c>
      <c r="DW411" s="4">
        <f>DU411*DV411^0.4</f>
        <v>5.0636848025487069</v>
      </c>
      <c r="DX411" s="4">
        <f>MIN(DU411, DU411/1.4*(1-DV411^1.4)/(1-DV411))</f>
        <v>11.028275736424968</v>
      </c>
      <c r="DY411" s="4">
        <f>MAX(DU411/2, (4-DT411*(8*AG411*(DW411-DX411)+6*K411*DX411))/(4+DT411*K411*DU411)*DU411)</f>
        <v>13.918765258113831</v>
      </c>
      <c r="DZ411" s="38">
        <f>MIN(1/N411*(4*AG411*(DW411-DX411)+(3*DX411+DY411)*K411)+EC411 -FJ411,MAX(J411,AJ411))</f>
        <v>662.12011542573259</v>
      </c>
      <c r="EA411" s="4">
        <f>DZ411/FF411</f>
        <v>1.0000899676426889</v>
      </c>
      <c r="EB411" s="4">
        <f>AG411/N411</f>
        <v>3.7549966711037173</v>
      </c>
      <c r="EC411" s="4">
        <f>MIN(EB$10*BB411)</f>
        <v>298.21753170516911</v>
      </c>
      <c r="EG411" s="4">
        <f>IF(U411&gt;1*N411,0.85,1)</f>
        <v>0.85</v>
      </c>
      <c r="EH411" s="4">
        <f>MIN(1,MAX(0.7,(1-0.1*(BZ411-1*N411)/N411)))</f>
        <v>0.7</v>
      </c>
      <c r="EI411" s="4">
        <f>MIN(1,MAX(0.7,1-0.3*(PI()*AM411^2/4*AQ411*2-0.25*PI()/4*N411^2)/(PI()/4*N411^2)))</f>
        <v>1</v>
      </c>
      <c r="EJ411" s="4">
        <f>IF(EH411*EI411&lt;0.7,0.7,EH411*EI411)</f>
        <v>0.7</v>
      </c>
      <c r="EL411" s="4">
        <f>MIN(DU411/N411*3*K411+EM411-FJ411,MAX(J411,AJ411))</f>
        <v>983.44827586206895</v>
      </c>
      <c r="EM411" s="25">
        <f>13.3*Q411*K411^0.5*M411^0.5/X411/N411^2*(0.7+S411/5/K411)</f>
        <v>737.88070102182303</v>
      </c>
      <c r="EO411" s="4">
        <f>EG411*EJ411</f>
        <v>0.59499999999999997</v>
      </c>
      <c r="EP411" s="4">
        <f>IF(N411&lt;22.2,1.1*5*(M411/30)^0.5,IF(N411&gt;=31.8,0.9*5*(M411/30)^0.5,1*5*(M411/30)^0.5))/EG411/EJ411</f>
        <v>14.719357433866572</v>
      </c>
      <c r="ES411" s="4">
        <f>ET411*N411</f>
        <v>59.610572153771514</v>
      </c>
      <c r="ET411" s="4">
        <f>AF411^0.5</f>
        <v>3.7549966711037173</v>
      </c>
      <c r="EU411" s="4">
        <f>MIN(EC411)/(4700*M411^0.5)/AE411*ES411</f>
        <v>3.310423474134034E-2</v>
      </c>
      <c r="EX411" s="4">
        <f>EU411</f>
        <v>3.310423474134034E-2</v>
      </c>
      <c r="EY411" s="4">
        <f>MIN(0.999, EX411/(0.3*(M411/30)^0.5))</f>
        <v>6.9297755828754359E-2</v>
      </c>
      <c r="EZ411" s="4">
        <f>EP411/1*EY411^0.4</f>
        <v>5.0603029703174114</v>
      </c>
      <c r="FA411" s="4">
        <f>EP411/1.4*(1-EY411^1.4)/(1-EY411)</f>
        <v>11.027533152825109</v>
      </c>
      <c r="FB411" s="4">
        <f>MAX(0,DQ411*FB$9-ES411)</f>
        <v>55.260927846228483</v>
      </c>
      <c r="FC411" s="4">
        <f>MAX(0,DQ411-ES411-FB411)</f>
        <v>38.290500000000009</v>
      </c>
      <c r="FD411" s="4">
        <f>FC411/(1-0.3*(M411/30)^0.5)/200000/N411</f>
        <v>2.309062258066392E-5</v>
      </c>
      <c r="FE411" s="4">
        <f>MAX(0.5*EP411, (1-2*FD411*(ES411*EZ411+FB411*FA411))/(1/EP411+FD411*FC411))</f>
        <v>13.918928068218394</v>
      </c>
      <c r="FF411" s="4">
        <f>MIN(4/N411*(1*EZ411*ES411+FA411*FB411+FC411*FE411)+EC411,MAX(J411,AJ411))</f>
        <v>662.06055139860598</v>
      </c>
      <c r="FO411" s="23">
        <f>IF(CU411&lt;0.6,0.6,IF(CU411&lt;0.8,0.8,IF(CU411&lt;1,1,IF(CU411&lt;1.2,1.2,IF(CU411&lt;1.4,1.4,IF(CU411&lt;1.6,1.6,IF(CU411&lt;1.8,1.8,IF(CU411&lt;2,2,2.2))))))))</f>
        <v>2.2000000000000002</v>
      </c>
      <c r="FP411" s="23">
        <f>IF(CV411&lt;0.6,0.6,IF(CV411&lt;0.8,0.8,IF(CV411&lt;1,1,IF(CV411&lt;1.2,1.2,IF(CV411&lt;1.4,1.4,IF(CV411&lt;1.6,1.6,IF(CV411&lt;1.8,1.8,IF(CV411&lt;2,2,2.2))))))))</f>
        <v>0.6</v>
      </c>
      <c r="FQ411" s="23">
        <f>IF(DA411&lt;0.6,0.6,IF(DA411&lt;0.8,0.8,IF(DA411&lt;1,1,IF(DA411&lt;1.2,1.2,IF(DA411&lt;1.4,1.4,IF(DA411&lt;1.6,1.6,IF(DA411&lt;1.8,1.8,IF(DA411&lt;2,2,2.2))))))))</f>
        <v>1.4</v>
      </c>
      <c r="FR411" s="23">
        <f>IF(CX411&lt;0.6,0.6,IF(CX411&lt;0.8,0.8,IF(CX411&lt;1,1,IF(CX411&lt;1.2,1.2,IF(CX411&lt;1.4,1.4,IF(CX411&lt;1.6,1.6,IF(CX411&lt;1.8,1.8,IF(CX411&lt;2,2,2.2))))))))</f>
        <v>2.2000000000000002</v>
      </c>
      <c r="FS411" s="23">
        <f>IF(CY411&lt;0.6,0.6,IF(CY411&lt;0.8,0.8,IF(CY411&lt;1,1,IF(CY411&lt;1.2,1.2,IF(CY411&lt;1.4,1.4,IF(CY411&lt;1.6,1.6,IF(CY411&lt;1.8,1.8,IF(CY411&lt;2,2,2.2))))))))</f>
        <v>1.6</v>
      </c>
      <c r="FT411" s="23">
        <f>IF(CZ411&lt;0.6,0.6,IF(CZ411&lt;0.8,0.8,IF(CZ411&lt;1,1,IF(CZ411&lt;1.2,1.2,IF(CZ411&lt;1.4,1.4,IF(CZ411&lt;1.6,1.6,IF(CZ411&lt;1.8,1.8,IF(CZ411&lt;2,2,2.2))))))))</f>
        <v>1.2</v>
      </c>
      <c r="FU411" s="23">
        <f>IF(FS411&lt;1,1,0)</f>
        <v>0</v>
      </c>
      <c r="FV411" s="23"/>
      <c r="GF411" s="4">
        <f>IF(S411&gt;=2.5*25.4,1,1.25)</f>
        <v>1</v>
      </c>
      <c r="GG411" s="4">
        <f>IF(AO411&gt;1, 0.05*(18-MIN(8,(W411+N411)/N411))*(1-48000/MAX(60000,(J411*145))*(N411/25.4)^0.75*GH411), 1/12*(14-MIN(8,(W411+N411)/N411)))</f>
        <v>0.5</v>
      </c>
      <c r="GH411" s="4">
        <f>MIN(0.3, AM411^2*PI()/4*2*AP411/(N411^2*PI()/4*X411))</f>
        <v>0</v>
      </c>
      <c r="GI411" s="4">
        <f>(K411/25.4)/(N411/25.4)^1.5/0.0024*(M411*145)^0.25/GF411/GG411/145</f>
        <v>718.7732665481193</v>
      </c>
    </row>
    <row r="412" spans="1:191" ht="12" customHeight="1" x14ac:dyDescent="0.3">
      <c r="A412" s="25">
        <v>355</v>
      </c>
      <c r="B412" s="4" t="s">
        <v>605</v>
      </c>
      <c r="C412" s="4">
        <v>2016</v>
      </c>
      <c r="D412" s="4" t="s">
        <v>309</v>
      </c>
      <c r="E412" s="24" t="s">
        <v>672</v>
      </c>
      <c r="F412" s="24"/>
      <c r="G412" s="24">
        <v>40</v>
      </c>
      <c r="H412" s="7" t="s">
        <v>519</v>
      </c>
      <c r="I412" s="5">
        <f>K412/N412</f>
        <v>6.03</v>
      </c>
      <c r="J412" s="38">
        <f>129/0.145</f>
        <v>889.65517241379314</v>
      </c>
      <c r="K412" s="38">
        <f>6.03*25.4</f>
        <v>153.16200000000001</v>
      </c>
      <c r="L412" s="4">
        <f>K412</f>
        <v>153.16200000000001</v>
      </c>
      <c r="M412" s="98">
        <f>5160/145</f>
        <v>35.586206896551722</v>
      </c>
      <c r="N412" s="96">
        <f>1*25.4</f>
        <v>25.4</v>
      </c>
      <c r="O412" s="7">
        <f>K412/N412</f>
        <v>6.03</v>
      </c>
      <c r="P412" s="7">
        <f>L412/N412</f>
        <v>6.03</v>
      </c>
      <c r="Q412" s="38">
        <f>17.4*25.4</f>
        <v>441.95999999999992</v>
      </c>
      <c r="R412" s="32">
        <f>S412/N412</f>
        <v>2.5499999999999998</v>
      </c>
      <c r="S412" s="38">
        <f>2.55*25.4</f>
        <v>64.77</v>
      </c>
      <c r="T412" s="32">
        <f>U412/N412</f>
        <v>7.2499999999999991</v>
      </c>
      <c r="U412" s="39">
        <f>7.25*25.4</f>
        <v>184.14999999999998</v>
      </c>
      <c r="V412" s="32">
        <f>W412/N412</f>
        <v>2.7666666666666653</v>
      </c>
      <c r="W412" s="7">
        <f>(Q412-X412*N412-2*S412)/(X412-1)</f>
        <v>70.273333333333298</v>
      </c>
      <c r="X412" s="38">
        <v>4</v>
      </c>
      <c r="Y412" s="7">
        <f>AN412</f>
        <v>10</v>
      </c>
      <c r="Z412" s="32">
        <f>AA412/N412</f>
        <v>10.25</v>
      </c>
      <c r="AA412" s="4">
        <f>10.25*25.4</f>
        <v>260.34999999999997</v>
      </c>
      <c r="AB412" s="7">
        <f>MIN(S412/N412+0.5, W412/2/N412+0.5)</f>
        <v>1.8833333333333326</v>
      </c>
      <c r="AC412" s="7">
        <f>S412/N412+0.5</f>
        <v>3.05</v>
      </c>
      <c r="AD412" s="38">
        <v>9.1</v>
      </c>
      <c r="AE412" s="4">
        <f>AD412</f>
        <v>9.1</v>
      </c>
      <c r="AF412" s="4">
        <f>AE412+1</f>
        <v>10.1</v>
      </c>
      <c r="AG412" s="7">
        <f>N412*AF412^0.5</f>
        <v>80.72246279691916</v>
      </c>
      <c r="AJ412" s="38">
        <f>AK412/0.145</f>
        <v>275.86206896551727</v>
      </c>
      <c r="AK412" s="4">
        <v>40</v>
      </c>
      <c r="AL412" s="4">
        <f>CY412</f>
        <v>1.597463993520754</v>
      </c>
      <c r="AM412" s="38">
        <f>0.5*25.4</f>
        <v>12.7</v>
      </c>
      <c r="AN412" s="38">
        <v>10</v>
      </c>
      <c r="AO412" s="39">
        <f>3*25.4</f>
        <v>76.199999999999989</v>
      </c>
      <c r="AP412" s="39">
        <v>3</v>
      </c>
      <c r="AQ412" s="39">
        <f>AP412-1</f>
        <v>2</v>
      </c>
      <c r="AR412" s="7"/>
      <c r="AS412" s="4">
        <f>K412</f>
        <v>153.16200000000001</v>
      </c>
      <c r="AT412" s="4">
        <f>IF(K412*3&gt;W412+N412, Q412, (S412+N412/2)*2+1.5*K412*(2*X412-2))*(3*K412)/(9*K412^2)</f>
        <v>0.96185737976782737</v>
      </c>
      <c r="AU412" s="4">
        <f>MIN(10*M412^0.5*K412^1.5,100*3.9*M412^0.5*K412^(5/3))/(PI()/4*N412^2)/X412</f>
        <v>55.789193974838994</v>
      </c>
      <c r="AV412" s="4">
        <f>MIN(0.7+0.3*(MIN(S412,AA412)+0.5*N412)/1.5/K412,1)</f>
        <v>0.80116086235489214</v>
      </c>
      <c r="AW412" s="4">
        <v>1.25</v>
      </c>
      <c r="AX412" s="4">
        <f>AX411</f>
        <v>1</v>
      </c>
      <c r="AY412" s="38">
        <f>AT412*AV412*AW412*AX412*AU412</f>
        <v>53.739114589304485</v>
      </c>
      <c r="AZ412" s="38">
        <f>AY412</f>
        <v>53.739114589304485</v>
      </c>
      <c r="BA412" s="38">
        <f>IF(M412&lt;50, 0.3*M412^(2/3), 2.12*LN(1+0.1*(M412+8)))</f>
        <v>3.2457050730263122</v>
      </c>
      <c r="BB412" s="38">
        <f>AX412* (M412^0.5/AS412^0.5)/(PI()/4*N412^2)/X412/0.72 *(0.7+(MIN(S412,AA412)+0.5*N412)/5/K412) *(3*Q412*K412)</f>
        <v>53.739114589304528</v>
      </c>
      <c r="BC412" s="38">
        <f>AY412/BB412</f>
        <v>0.99999999999999922</v>
      </c>
      <c r="BD412" s="38">
        <f>BH412/BB412</f>
        <v>9.3887926276988942</v>
      </c>
      <c r="BE412" s="4">
        <f>IF(BD412&lt;1,1,0)</f>
        <v>0</v>
      </c>
      <c r="BF412" s="4">
        <f>L412/N412*M412^0.5/0.19</f>
        <v>189.32351580921181</v>
      </c>
      <c r="BG412" s="4">
        <f>MIN(0.6+0.4*(AC412/AB412),2)</f>
        <v>1.2477876106194694</v>
      </c>
      <c r="BH412" s="38">
        <f>2*M412*AB412*AD412^0.5*BG412*0.7/0.7</f>
        <v>504.54540287512845</v>
      </c>
      <c r="BI412" s="4">
        <f>MAX(1-0.7*AE412/5,0.3)</f>
        <v>0.3</v>
      </c>
      <c r="BJ412" s="4">
        <f>BI412*J412*L412/(J412*N412/2.75/M412^0.5)</f>
        <v>29.676461103093949</v>
      </c>
      <c r="BK412" s="4">
        <f>BH412+BJ412</f>
        <v>534.22186397822236</v>
      </c>
      <c r="BM412" s="4">
        <f>MIN(1.5, 0.75+0.25*MIN(3,MAX(1,S412/N412))+0.4*MIN(1,(40*2*PI()*AM412^2/4/AO412/X412)/N412))</f>
        <v>1.5</v>
      </c>
      <c r="BN412" s="4">
        <f>(3*P412+30)*BM412*M412^0.5</f>
        <v>430.31539708963913</v>
      </c>
      <c r="BP412" s="4">
        <f>3.4/PI()^0.5*M412*AB412*AE412^0.5*BG412</f>
        <v>483.92074323939113</v>
      </c>
      <c r="BQ412" s="4">
        <f>8/3*AH412*AI412^2/(AG412-N412-22)/N412*(AG412^2-N412^2)/(AG412^2-(N412+22)^2)</f>
        <v>0</v>
      </c>
      <c r="BR412" s="4">
        <f>BQ412/BP412</f>
        <v>0</v>
      </c>
      <c r="BZ412" s="4">
        <f>IF(W412=0,S412,MIN(W412/2,S412))</f>
        <v>35.136666666666649</v>
      </c>
      <c r="CD412" s="9"/>
      <c r="CF412" s="9"/>
      <c r="CG412" s="9"/>
      <c r="CH412" s="9">
        <f>IF(W412=0,MIN(S412,U412),MIN(W412/2,S412,U412))</f>
        <v>35.136666666666649</v>
      </c>
      <c r="CI412" s="9">
        <f>MAX(W412/2,S412)</f>
        <v>64.77</v>
      </c>
      <c r="CJ412" s="9">
        <f>(CH412/N412)^0.5*(CI412/CH412)^0.15</f>
        <v>1.2891558441961506</v>
      </c>
      <c r="CK412" s="70">
        <f>IF(AO412&gt;1,20,0)</f>
        <v>20</v>
      </c>
      <c r="CL412" s="9">
        <f>MIN(PI()*AM412^2/4*AN412*2/X412/N412/MAX(0.01,AO412),0.05)</f>
        <v>0.05</v>
      </c>
      <c r="CM412" s="9">
        <f>MAX(0,CK412*(CL412-0.5/50))</f>
        <v>0.8</v>
      </c>
      <c r="CN412" s="9">
        <f>MIN(1,(25/N412)^0.3)</f>
        <v>0.99524931562137331</v>
      </c>
      <c r="CO412" s="9">
        <f>IF(J412&gt;=800,0.68,IF(J412&gt;=700,0.75-(J412-700)*0.07/100,IF(J412&gt;=600,0.85-(J412-600)*0.1/100,IF(J412&gt;=500,1-(J412-500)*0.15/100,1.2-(J412-400)*0.2/100))))</f>
        <v>0.68</v>
      </c>
      <c r="CP412" s="9">
        <f>1.75*CN412*CO412*(M412/25)^0.5</f>
        <v>1.4130245076626196</v>
      </c>
      <c r="CQ412" s="9">
        <f>MIN((CJ412+CM412)*CP412,2.5*CP412,M412^0.5)</f>
        <v>2.95202840817575</v>
      </c>
      <c r="CR412" s="40">
        <v>1</v>
      </c>
      <c r="CS412" s="9">
        <f>4*CQ412*P412+60*CQ412</f>
        <v>248.32462969574408</v>
      </c>
      <c r="CU412" s="4">
        <f>AJ412/BF412</f>
        <v>1.4570935247342094</v>
      </c>
      <c r="CV412" s="4">
        <f>AJ412/BK412</f>
        <v>0.51638109101570362</v>
      </c>
      <c r="CW412" s="4">
        <f>AJ412/BN412</f>
        <v>0.64106948259639507</v>
      </c>
      <c r="CX412" s="4">
        <f>AJ412/CS412</f>
        <v>1.110892903790949</v>
      </c>
      <c r="CY412" s="4">
        <f>AJ412/DZ412</f>
        <v>1.597463993520754</v>
      </c>
      <c r="CZ412" s="4">
        <f>AJ412/EL412</f>
        <v>0.95972228420837502</v>
      </c>
      <c r="DA412" s="4">
        <f>AJ412/GI412</f>
        <v>1.1875804167963844</v>
      </c>
      <c r="DB412" s="4">
        <f>AN412</f>
        <v>10</v>
      </c>
      <c r="DI412" s="4">
        <f>CU412</f>
        <v>1.4570935247342094</v>
      </c>
      <c r="DJ412" s="4">
        <f>CV412</f>
        <v>0.51638109101570362</v>
      </c>
      <c r="DK412" s="4">
        <f>CX412</f>
        <v>1.110892903790949</v>
      </c>
      <c r="DL412" s="4">
        <f>DA412</f>
        <v>1.1875804167963844</v>
      </c>
      <c r="DM412" s="4">
        <f>CY412</f>
        <v>1.597463993520754</v>
      </c>
      <c r="DN412" s="4">
        <f>CZ412</f>
        <v>0.95972228420837502</v>
      </c>
      <c r="DQ412" s="4">
        <f>L412</f>
        <v>153.16200000000001</v>
      </c>
      <c r="DT412" s="4">
        <f>K412/4/(1-0.3*(M412/30)^0.5)/200000/N412</f>
        <v>1.1195515890956275E-5</v>
      </c>
      <c r="DU412" s="4">
        <f>EP412</f>
        <v>8.5961707929120017</v>
      </c>
      <c r="DV412" s="4">
        <f>EC412*AG412/257/M412/AD412</f>
        <v>5.2122914914907011E-2</v>
      </c>
      <c r="DW412" s="4">
        <f>DU412*DV412^0.4</f>
        <v>2.6370387630660383</v>
      </c>
      <c r="DX412" s="4">
        <f>MIN(DU412, DU412/1.4*(1-DV412^1.4)/(1-DV412))</f>
        <v>6.3741843890158894</v>
      </c>
      <c r="DY412" s="4">
        <f>MAX(DU412/2, (4-DT412*(8*AG412*(DW412-DX412)+6*K412*DX412))/(4+DT412*K412*DU412)*DU412)</f>
        <v>8.4820450574101507</v>
      </c>
      <c r="DZ412" s="38">
        <f>MIN(1/N412*(4*AG412*(DW412-DX412)+(3*DX412+DY412)*K412)+EC412 -FJ412,MAX(J412,AJ412))</f>
        <v>172.68750349579213</v>
      </c>
      <c r="EA412" s="4">
        <f>DZ412/FF412</f>
        <v>1.0001393172052349</v>
      </c>
      <c r="EB412" s="4">
        <f>AG412/N412</f>
        <v>3.1780497164141401</v>
      </c>
      <c r="EC412" s="4">
        <f>MIN(EB$10*BB412)</f>
        <v>53.739114589304528</v>
      </c>
      <c r="EG412" s="4">
        <f>IF(U412&gt;1*N412,0.85,1)</f>
        <v>0.85</v>
      </c>
      <c r="EH412" s="4">
        <f>MIN(1,MAX(0.7,(1-0.1*(BZ412-1*N412)/N412)))</f>
        <v>0.96166666666666667</v>
      </c>
      <c r="EI412" s="4">
        <f>MIN(1,MAX(0.7,1-0.3*(PI()*AM412^2/4*AQ412*2-0.25*PI()/4*N412^2)/(PI()/4*N412^2)))</f>
        <v>0.77500000000000002</v>
      </c>
      <c r="EJ412" s="4">
        <f>IF(EH412*EI412&lt;0.7,0.7,EH412*EI412)</f>
        <v>0.74529166666666669</v>
      </c>
      <c r="EL412" s="4">
        <f>MIN(DU412/N412*3*K412+EM412-FJ412,MAX(J412,AJ412))</f>
        <v>287.43947442364697</v>
      </c>
      <c r="EM412" s="25">
        <f>13.3*Q412*K412^0.5*M412^0.5/X412/N412^2*(0.7+S412/5/K412)</f>
        <v>131.93474477986888</v>
      </c>
      <c r="EO412" s="4">
        <f>EG412*EJ412</f>
        <v>0.63349791666666666</v>
      </c>
      <c r="EP412" s="4">
        <f>IF(N412&lt;22.2,1.1*5*(M412/30)^0.5,IF(N412&gt;=31.8,0.9*5*(M412/30)^0.5,1*5*(M412/30)^0.5))/EG412/EJ412</f>
        <v>8.5961707929120017</v>
      </c>
      <c r="ES412" s="4">
        <f>ET412*N412</f>
        <v>80.72246279691916</v>
      </c>
      <c r="ET412" s="4">
        <f>AF412^0.5</f>
        <v>3.1780497164141406</v>
      </c>
      <c r="EU412" s="4">
        <f>MIN(EC412)/(4700*M412^0.5)/AE412*ES412</f>
        <v>1.7002187851304116E-2</v>
      </c>
      <c r="EX412" s="4">
        <f>EU412</f>
        <v>1.7002187851304116E-2</v>
      </c>
      <c r="EY412" s="4">
        <f>MIN(0.999, EX412/(0.3*(M412/30)^0.5))</f>
        <v>5.2035931484304819E-2</v>
      </c>
      <c r="EZ412" s="4">
        <f>EP412/1*EY412^0.4</f>
        <v>2.6352775905144568</v>
      </c>
      <c r="FA412" s="4">
        <f>EP412/1.4*(1-EY412^1.4)/(1-EY412)</f>
        <v>6.3738413946539456</v>
      </c>
      <c r="FB412" s="4">
        <f>MAX(0,DQ412*FB$9-ES412)</f>
        <v>34.149037203080837</v>
      </c>
      <c r="FC412" s="4">
        <f>MAX(0,DQ412-ES412-FB412)</f>
        <v>38.290500000000009</v>
      </c>
      <c r="FD412" s="4">
        <f>FC412/(1-0.3*(M412/30)^0.5)/200000/N412</f>
        <v>1.1195515890956275E-5</v>
      </c>
      <c r="FE412" s="4">
        <f>MAX(0.5*EP412, (1-2*FD412*(ES412*EZ412+FB412*FA412))/(1/EP412+FD412*FC412))</f>
        <v>8.4820745668776514</v>
      </c>
      <c r="FF412" s="4">
        <f>MIN(4/N412*(1*EZ412*ES412+FA412*FB412+FC412*FE412)+EC412,MAX(J412,AJ412))</f>
        <v>172.66344850669995</v>
      </c>
      <c r="FO412" s="23">
        <f>IF(CU412&lt;0.6,0.6,IF(CU412&lt;0.8,0.8,IF(CU412&lt;1,1,IF(CU412&lt;1.2,1.2,IF(CU412&lt;1.4,1.4,IF(CU412&lt;1.6,1.6,IF(CU412&lt;1.8,1.8,IF(CU412&lt;2,2,2.2))))))))</f>
        <v>1.6</v>
      </c>
      <c r="FP412" s="23">
        <f>IF(CV412&lt;0.6,0.6,IF(CV412&lt;0.8,0.8,IF(CV412&lt;1,1,IF(CV412&lt;1.2,1.2,IF(CV412&lt;1.4,1.4,IF(CV412&lt;1.6,1.6,IF(CV412&lt;1.8,1.8,IF(CV412&lt;2,2,2.2))))))))</f>
        <v>0.6</v>
      </c>
      <c r="FQ412" s="23">
        <f>IF(DA412&lt;0.6,0.6,IF(DA412&lt;0.8,0.8,IF(DA412&lt;1,1,IF(DA412&lt;1.2,1.2,IF(DA412&lt;1.4,1.4,IF(DA412&lt;1.6,1.6,IF(DA412&lt;1.8,1.8,IF(DA412&lt;2,2,2.2))))))))</f>
        <v>1.2</v>
      </c>
      <c r="FR412" s="23">
        <f>IF(CX412&lt;0.6,0.6,IF(CX412&lt;0.8,0.8,IF(CX412&lt;1,1,IF(CX412&lt;1.2,1.2,IF(CX412&lt;1.4,1.4,IF(CX412&lt;1.6,1.6,IF(CX412&lt;1.8,1.8,IF(CX412&lt;2,2,2.2))))))))</f>
        <v>1.2</v>
      </c>
      <c r="FS412" s="23">
        <f>IF(CY412&lt;0.6,0.6,IF(CY412&lt;0.8,0.8,IF(CY412&lt;1,1,IF(CY412&lt;1.2,1.2,IF(CY412&lt;1.4,1.4,IF(CY412&lt;1.6,1.6,IF(CY412&lt;1.8,1.8,IF(CY412&lt;2,2,2.2))))))))</f>
        <v>1.6</v>
      </c>
      <c r="FT412" s="23">
        <f>IF(CZ412&lt;0.6,0.6,IF(CZ412&lt;0.8,0.8,IF(CZ412&lt;1,1,IF(CZ412&lt;1.2,1.2,IF(CZ412&lt;1.4,1.4,IF(CZ412&lt;1.6,1.6,IF(CZ412&lt;1.8,1.8,IF(CZ412&lt;2,2,2.2))))))))</f>
        <v>1</v>
      </c>
      <c r="FU412" s="23">
        <f>IF(FS412&lt;1,1,0)</f>
        <v>0</v>
      </c>
      <c r="FV412" s="23"/>
      <c r="GF412" s="4">
        <f>IF(S412&gt;=2.5*25.4,1,1.25)</f>
        <v>1</v>
      </c>
      <c r="GG412" s="4">
        <f>IF(AO412&gt;1, 0.05*(18-MIN(8,(W412+N412)/N412))*(1-48000/MAX(60000,(J412*145))*(N412/25.4)^0.75*GH412), 1/12*(14-MIN(8,(W412+N412)/N412)))</f>
        <v>0.63222480620155053</v>
      </c>
      <c r="GH412" s="4">
        <f>MIN(0.3, AM412^2*PI()/4*2*AP412/(N412^2*PI()/4*X412))</f>
        <v>0.3</v>
      </c>
      <c r="GI412" s="4">
        <f>(K412/25.4)/(N412/25.4)^1.5/0.0024*(M412*145)^0.25/GF412/GG412/145</f>
        <v>232.28916969655197</v>
      </c>
    </row>
    <row r="413" spans="1:191" ht="12" customHeight="1" x14ac:dyDescent="0.3">
      <c r="A413" s="25">
        <v>362</v>
      </c>
      <c r="B413" s="4" t="s">
        <v>605</v>
      </c>
      <c r="C413" s="4">
        <v>2016</v>
      </c>
      <c r="D413" s="4" t="s">
        <v>309</v>
      </c>
      <c r="E413" s="24" t="s">
        <v>673</v>
      </c>
      <c r="F413" s="97" t="s">
        <v>762</v>
      </c>
      <c r="G413" s="24">
        <v>2</v>
      </c>
      <c r="H413" s="7" t="s">
        <v>527</v>
      </c>
      <c r="I413" s="5">
        <f>K413/N413</f>
        <v>9.5999999999999979</v>
      </c>
      <c r="J413" s="38">
        <f>139/0.145</f>
        <v>958.62068965517244</v>
      </c>
      <c r="K413" s="78">
        <f>6*25.4</f>
        <v>152.39999999999998</v>
      </c>
      <c r="L413" s="4">
        <f>K413</f>
        <v>152.39999999999998</v>
      </c>
      <c r="M413" s="76">
        <f>4690/145</f>
        <v>32.344827586206897</v>
      </c>
      <c r="N413" s="38">
        <f>0.625*25.4</f>
        <v>15.875</v>
      </c>
      <c r="O413" s="7">
        <f>K413/N413</f>
        <v>9.5999999999999979</v>
      </c>
      <c r="P413" s="7">
        <f>L413/N413</f>
        <v>9.5999999999999979</v>
      </c>
      <c r="Q413" s="38">
        <f>13.1*25.4</f>
        <v>332.73999999999995</v>
      </c>
      <c r="R413" s="32">
        <f>S413/N413</f>
        <v>4.08</v>
      </c>
      <c r="S413" s="38">
        <f>2.55*25.4</f>
        <v>64.77</v>
      </c>
      <c r="T413" s="32">
        <f>U413/N413</f>
        <v>5.2799999999999994</v>
      </c>
      <c r="U413" s="39">
        <f>3.3*25.4</f>
        <v>83.82</v>
      </c>
      <c r="V413" s="32">
        <f>W413/N413</f>
        <v>10.799999999999997</v>
      </c>
      <c r="W413" s="7">
        <f>(Q413-X413*N413-2*S413)/(X413-1)</f>
        <v>171.44999999999996</v>
      </c>
      <c r="X413" s="38">
        <v>2</v>
      </c>
      <c r="Y413" s="7">
        <f>AN413</f>
        <v>0</v>
      </c>
      <c r="Z413" s="32">
        <f>AA413/N413</f>
        <v>8.4</v>
      </c>
      <c r="AA413" s="4">
        <f>5.25*25.4</f>
        <v>133.35</v>
      </c>
      <c r="AB413" s="7">
        <f>MIN(S413/N413+0.5, W413/2/N413+0.5)</f>
        <v>4.58</v>
      </c>
      <c r="AC413" s="7">
        <f>S413/N413+0.5</f>
        <v>4.58</v>
      </c>
      <c r="AD413" s="38">
        <v>4</v>
      </c>
      <c r="AE413" s="4">
        <f>AD413</f>
        <v>4</v>
      </c>
      <c r="AF413" s="4">
        <f>AE413+1</f>
        <v>5</v>
      </c>
      <c r="AG413" s="7">
        <f>N413*AF413^0.5</f>
        <v>35.497579142809165</v>
      </c>
      <c r="AJ413" s="38">
        <f>AK413/0.145</f>
        <v>727.58620689655174</v>
      </c>
      <c r="AK413" s="4">
        <v>105.5</v>
      </c>
      <c r="AL413" s="4">
        <f>CY413</f>
        <v>1.5052684293177485</v>
      </c>
      <c r="AM413" s="38">
        <v>0</v>
      </c>
      <c r="AN413" s="38">
        <v>0</v>
      </c>
      <c r="AO413" s="39">
        <f>L413</f>
        <v>152.39999999999998</v>
      </c>
      <c r="AP413" s="39"/>
      <c r="AQ413" s="39"/>
      <c r="AR413" s="7"/>
      <c r="AS413" s="4">
        <f>K413</f>
        <v>152.39999999999998</v>
      </c>
      <c r="AT413" s="4">
        <f>IF(K413*3&gt;W413+N413, Q413, (S413+N413/2)*2+1.5*K413*(2*X413-2))*(3*K413)/(9*K413^2)</f>
        <v>0.72777777777777763</v>
      </c>
      <c r="AU413" s="4">
        <f>MIN(10*M413^0.5*K413^1.5,100*3.9*M413^0.5*K413^(5/3))/(PI()/4*N413^2)/X413</f>
        <v>270.29158549016233</v>
      </c>
      <c r="AV413" s="4">
        <f>MIN(0.7+0.3*(MIN(S413,AA413)+0.5*N413)/1.5/K413,1)</f>
        <v>0.79541666666666666</v>
      </c>
      <c r="AW413" s="4">
        <v>1.25</v>
      </c>
      <c r="AX413" s="4">
        <f>AX412</f>
        <v>1</v>
      </c>
      <c r="AY413" s="38">
        <f>AT413*AV413*AW413*AX413*AU413</f>
        <v>195.58521240681219</v>
      </c>
      <c r="AZ413" s="38">
        <f>AY413</f>
        <v>195.58521240681219</v>
      </c>
      <c r="BA413" s="38">
        <f>IF(M413&lt;50, 0.3*M413^(2/3), 2.12*LN(1+0.1*(M413+8)))</f>
        <v>3.0454944685430494</v>
      </c>
      <c r="BB413" s="38">
        <f>AX413* (M413^0.5/AS413^0.5)/(PI()/4*N413^2)/X413/0.72 *(0.7+(MIN(S413,AA413)+0.5*N413)/5/K413) *(3*Q413*K413)</f>
        <v>195.58521240681213</v>
      </c>
      <c r="BC413" s="38">
        <f>AY413/BB413</f>
        <v>1.0000000000000002</v>
      </c>
      <c r="BD413" s="38">
        <f>BH413/BB413</f>
        <v>3.0296627955021811</v>
      </c>
      <c r="BE413" s="4">
        <f>IF(BD413&lt;1,1,0)</f>
        <v>0</v>
      </c>
      <c r="BF413" s="4">
        <f>L413/N413*M413^0.5/0.19</f>
        <v>287.35585621002161</v>
      </c>
      <c r="BG413" s="4">
        <f>MIN(0.6+0.4*(AC413/AB413),2)</f>
        <v>1</v>
      </c>
      <c r="BH413" s="38">
        <f>2*M413*AB413*AD413^0.5*BG413*0.7/0.7</f>
        <v>592.55724137931031</v>
      </c>
      <c r="BI413" s="4">
        <f>MAX(1-0.7*AE413/5,0.3)</f>
        <v>0.44000000000000006</v>
      </c>
      <c r="BJ413" s="4">
        <f>BI413*J413*L413/(J413*N413/2.75/M413^0.5)</f>
        <v>66.063111342683982</v>
      </c>
      <c r="BK413" s="4">
        <f>BH413+BJ413</f>
        <v>658.62035272199432</v>
      </c>
      <c r="BM413" s="4">
        <f>MIN(1.5, 0.75+0.25*MIN(3,MAX(1,S413/N413))+0.4*MIN(1,(40*2*PI()*AM413^2/4/AO413/X413)/N413))</f>
        <v>1.5</v>
      </c>
      <c r="BN413" s="4">
        <f>(3*P413+30)*BM413*M413^0.5</f>
        <v>501.61556649661907</v>
      </c>
      <c r="BP413" s="4">
        <f>3.4/PI()^0.5*M413*AB413*AE413^0.5*BG413</f>
        <v>568.33485951140074</v>
      </c>
      <c r="BQ413" s="4">
        <f>8/3*AH413*AI413^2/(AG413-N413-22)/N413*(AG413^2-N413^2)/(AG413^2-(N413+22)^2)</f>
        <v>0</v>
      </c>
      <c r="BR413" s="4">
        <f>BQ413/BP413</f>
        <v>0</v>
      </c>
      <c r="BZ413" s="4">
        <f>IF(W413=0,S413,MIN(W413/2,S413))</f>
        <v>64.77</v>
      </c>
      <c r="CD413" s="9"/>
      <c r="CF413" s="9"/>
      <c r="CG413" s="9"/>
      <c r="CH413" s="9">
        <f>IF(W413=0,MIN(S413,U413),MIN(W413/2,S413,U413))</f>
        <v>64.77</v>
      </c>
      <c r="CI413" s="9">
        <f>MAX(W413/2,S413)</f>
        <v>85.72499999999998</v>
      </c>
      <c r="CJ413" s="9">
        <f>(CH413/N413)^0.5*(CI413/CH413)^0.15</f>
        <v>2.1066390052415969</v>
      </c>
      <c r="CK413" s="70">
        <f>IF(AO413&gt;1,20,0)</f>
        <v>20</v>
      </c>
      <c r="CL413" s="9">
        <f>MIN(PI()*AM413^2/4*AN413*2/X413/N413/MAX(0.01,AO413),0.05)</f>
        <v>0</v>
      </c>
      <c r="CM413" s="9">
        <f>MAX(0,CK413*(CL413-0.5/50))</f>
        <v>0</v>
      </c>
      <c r="CN413" s="9">
        <f>MIN(1,(25/N413)^0.3)</f>
        <v>1</v>
      </c>
      <c r="CO413" s="9">
        <f>IF(J413&gt;=800,0.68,IF(J413&gt;=700,0.75-(J413-700)*0.07/100,IF(J413&gt;=600,0.85-(J413-600)*0.1/100,IF(J413&gt;=500,1-(J413-500)*0.15/100,1.2-(J413-400)*0.2/100))))</f>
        <v>0.68</v>
      </c>
      <c r="CP413" s="9">
        <f>1.75*CN413*CO413*(M413/25)^0.5</f>
        <v>1.3535658143559566</v>
      </c>
      <c r="CQ413" s="9">
        <f>MIN((CJ413+CM413)*CP413,2.5*CP413,M413^0.5)</f>
        <v>2.8514745406838644</v>
      </c>
      <c r="CR413" s="40">
        <v>1</v>
      </c>
      <c r="CS413" s="9">
        <f>4*CQ413*P413+60*CQ413</f>
        <v>280.58509480329224</v>
      </c>
      <c r="CU413" s="4">
        <f>AJ413/BF413</f>
        <v>2.532004102831912</v>
      </c>
      <c r="CV413" s="4">
        <f>AJ413/BK413</f>
        <v>1.1047126070269926</v>
      </c>
      <c r="CW413" s="4">
        <f>AJ413/BN413</f>
        <v>1.4504857015864872</v>
      </c>
      <c r="CX413" s="4">
        <f>AJ413/CS413</f>
        <v>2.5931035552926835</v>
      </c>
      <c r="CY413" s="4">
        <f>AJ413/DZ413</f>
        <v>1.5052684293177485</v>
      </c>
      <c r="CZ413" s="4">
        <f>AJ413/EL413</f>
        <v>0.95692750390543657</v>
      </c>
      <c r="DA413" s="4">
        <f>AJ413/GI413</f>
        <v>1.2598222395057197</v>
      </c>
      <c r="DB413" s="4">
        <f>AN413</f>
        <v>0</v>
      </c>
      <c r="DC413" s="4">
        <f>CU413</f>
        <v>2.532004102831912</v>
      </c>
      <c r="DD413" s="4">
        <f>CV413</f>
        <v>1.1047126070269926</v>
      </c>
      <c r="DE413" s="4">
        <f>CX413</f>
        <v>2.5931035552926835</v>
      </c>
      <c r="DF413" s="4">
        <f>DA413</f>
        <v>1.2598222395057197</v>
      </c>
      <c r="DG413" s="4">
        <f>CY413</f>
        <v>1.5052684293177485</v>
      </c>
      <c r="DH413" s="4">
        <f>CZ413</f>
        <v>0.95692750390543657</v>
      </c>
      <c r="DQ413" s="4">
        <f>L413</f>
        <v>152.39999999999998</v>
      </c>
      <c r="DT413" s="4">
        <f>K413/4/(1-0.3*(M413/30)^0.5)/200000/N413</f>
        <v>1.7429284624755085E-5</v>
      </c>
      <c r="DU413" s="4">
        <f>EP413</f>
        <v>9.5981496427943913</v>
      </c>
      <c r="DV413" s="4">
        <f>EC413*AG413/257/M413/AD413</f>
        <v>0.20880303022890484</v>
      </c>
      <c r="DW413" s="4">
        <f>DU413*DV413^0.4</f>
        <v>5.1295850560876906</v>
      </c>
      <c r="DX413" s="4">
        <f>MIN(DU413, DU413/1.4*(1-DV413^1.4)/(1-DV413))</f>
        <v>7.6981704078544819</v>
      </c>
      <c r="DY413" s="4">
        <f>MAX(DU413/2, (4-DT413*(8*AG413*(DW413-DX413)+6*K413*DX413))/(4+DT413*K413*DU413)*DU413)</f>
        <v>9.2751436514722254</v>
      </c>
      <c r="DZ413" s="38">
        <f>MIN(1/N413*(4*AG413*(DW413-DX413)+(3*DX413+DY413)*K413)+EC413 -FJ413,MAX(J413,AJ413))</f>
        <v>483.35977339691146</v>
      </c>
      <c r="EA413" s="4">
        <f>DZ413/FF413</f>
        <v>1.00010849331527</v>
      </c>
      <c r="EB413" s="4">
        <f>AG413/N413</f>
        <v>2.2360679774997898</v>
      </c>
      <c r="EC413" s="4">
        <f>MIN(EB$10*BB413)</f>
        <v>195.58521240681213</v>
      </c>
      <c r="EG413" s="4">
        <f>IF(U413&gt;1*N413,0.85,1)</f>
        <v>0.85</v>
      </c>
      <c r="EH413" s="4">
        <f>MIN(1,MAX(0.7,(1-0.1*(BZ413-1*N413)/N413)))</f>
        <v>0.7</v>
      </c>
      <c r="EI413" s="4">
        <f>MIN(1,MAX(0.7,1-0.3*(PI()*AM413^2/4*AQ413*2-0.25*PI()/4*N413^2)/(PI()/4*N413^2)))</f>
        <v>1</v>
      </c>
      <c r="EJ413" s="4">
        <f>IF(EH413*EI413&lt;0.7,0.7,EH413*EI413)</f>
        <v>0.7</v>
      </c>
      <c r="EL413" s="4">
        <f>MIN(DU413/N413*3*K413+EM413-FJ413,MAX(J413,AJ413))</f>
        <v>760.3357662175124</v>
      </c>
      <c r="EM413" s="25">
        <f>13.3*Q413*K413^0.5*M413^0.5/X413/N413^2*(0.7+S413/5/K413)</f>
        <v>483.90905650503407</v>
      </c>
      <c r="EO413" s="4">
        <f>EG413*EJ413</f>
        <v>0.59499999999999997</v>
      </c>
      <c r="EP413" s="4">
        <f>IF(N413&lt;22.2,1.1*5*(M413/30)^0.5,IF(N413&gt;=31.8,0.9*5*(M413/30)^0.5,1*5*(M413/30)^0.5))/EG413/EJ413</f>
        <v>9.5981496427943913</v>
      </c>
      <c r="ES413" s="4">
        <f>ET413*N413</f>
        <v>35.497579142809165</v>
      </c>
      <c r="ET413" s="4">
        <f>AF413^0.5</f>
        <v>2.2360679774997898</v>
      </c>
      <c r="EU413" s="4">
        <f>MIN(EC413)/(4700*M413^0.5)/AE413*ES413</f>
        <v>6.4934347772668682E-2</v>
      </c>
      <c r="EX413" s="4">
        <f>EU413</f>
        <v>6.4934347772668682E-2</v>
      </c>
      <c r="EY413" s="4">
        <f>MIN(0.999, EX413/(0.3*(M413/30)^0.5))</f>
        <v>0.20845457688704747</v>
      </c>
      <c r="EZ413" s="4">
        <f>EP413/1*EY413^0.4</f>
        <v>5.1261592117169839</v>
      </c>
      <c r="FA413" s="4">
        <f>EP413/1.4*(1-EY413^1.4)/(1-EY413)</f>
        <v>7.6970389138210571</v>
      </c>
      <c r="FB413" s="4">
        <f>MAX(0,DQ413*FB$9-ES413)</f>
        <v>78.80242085719081</v>
      </c>
      <c r="FC413" s="4">
        <f>MAX(0,DQ413-ES413-FB413)</f>
        <v>38.099999999999994</v>
      </c>
      <c r="FD413" s="4">
        <f>FC413/(1-0.3*(M413/30)^0.5)/200000/N413</f>
        <v>1.7429284624755085E-5</v>
      </c>
      <c r="FE413" s="4">
        <f>MAX(0.5*EP413, (1-2*FD413*(ES413*EZ413+FB413*FA413))/(1/EP413+FD413*FC413))</f>
        <v>9.2752137250207589</v>
      </c>
      <c r="FF413" s="4">
        <f>MIN(4/N413*(1*EZ413*ES413+FA413*FB413+FC413*FE413)+EC413,MAX(J413,AJ413))</f>
        <v>483.30733778154126</v>
      </c>
      <c r="FO413" s="23">
        <f>IF(CU413&lt;0.6,0.6,IF(CU413&lt;0.8,0.8,IF(CU413&lt;1,1,IF(CU413&lt;1.2,1.2,IF(CU413&lt;1.4,1.4,IF(CU413&lt;1.6,1.6,IF(CU413&lt;1.8,1.8,IF(CU413&lt;2,2,2.2))))))))</f>
        <v>2.2000000000000002</v>
      </c>
      <c r="FP413" s="23">
        <f>IF(CV413&lt;0.6,0.6,IF(CV413&lt;0.8,0.8,IF(CV413&lt;1,1,IF(CV413&lt;1.2,1.2,IF(CV413&lt;1.4,1.4,IF(CV413&lt;1.6,1.6,IF(CV413&lt;1.8,1.8,IF(CV413&lt;2,2,2.2))))))))</f>
        <v>1.2</v>
      </c>
      <c r="FQ413" s="23">
        <f>IF(DA413&lt;0.6,0.6,IF(DA413&lt;0.8,0.8,IF(DA413&lt;1,1,IF(DA413&lt;1.2,1.2,IF(DA413&lt;1.4,1.4,IF(DA413&lt;1.6,1.6,IF(DA413&lt;1.8,1.8,IF(DA413&lt;2,2,2.2))))))))</f>
        <v>1.4</v>
      </c>
      <c r="FR413" s="23">
        <f>IF(CX413&lt;0.6,0.6,IF(CX413&lt;0.8,0.8,IF(CX413&lt;1,1,IF(CX413&lt;1.2,1.2,IF(CX413&lt;1.4,1.4,IF(CX413&lt;1.6,1.6,IF(CX413&lt;1.8,1.8,IF(CX413&lt;2,2,2.2))))))))</f>
        <v>2.2000000000000002</v>
      </c>
      <c r="FS413" s="23">
        <f>IF(CY413&lt;0.6,0.6,IF(CY413&lt;0.8,0.8,IF(CY413&lt;1,1,IF(CY413&lt;1.2,1.2,IF(CY413&lt;1.4,1.4,IF(CY413&lt;1.6,1.6,IF(CY413&lt;1.8,1.8,IF(CY413&lt;2,2,2.2))))))))</f>
        <v>1.6</v>
      </c>
      <c r="FT413" s="23">
        <f>IF(CZ413&lt;0.6,0.6,IF(CZ413&lt;0.8,0.8,IF(CZ413&lt;1,1,IF(CZ413&lt;1.2,1.2,IF(CZ413&lt;1.4,1.4,IF(CZ413&lt;1.6,1.6,IF(CZ413&lt;1.8,1.8,IF(CZ413&lt;2,2,2.2))))))))</f>
        <v>1</v>
      </c>
      <c r="FU413" s="23">
        <f>IF(FS413&lt;1,1,0)</f>
        <v>0</v>
      </c>
      <c r="FV413" s="23"/>
      <c r="GF413" s="4">
        <f>IF(S413&gt;=2.5*25.4,1,1.25)</f>
        <v>1</v>
      </c>
      <c r="GG413" s="4">
        <f>IF(AO413&gt;1, 0.05*(18-MIN(8,(W413+N413)/N413))*(1-48000/MAX(60000,(J413*145))*(N413/25.4)^0.75*GH413), 1/12*(14-MIN(8,(W413+N413)/N413)))</f>
        <v>0.5</v>
      </c>
      <c r="GH413" s="4">
        <f>MIN(0.3, AM413^2*PI()/4*2*AP413/(N413^2*PI()/4*X413))</f>
        <v>0</v>
      </c>
      <c r="GI413" s="4">
        <f>(K413/25.4)/(N413/25.4)^1.5/0.0024*(M413*145)^0.25/GF413/GG413/145</f>
        <v>577.53084846479123</v>
      </c>
    </row>
    <row r="414" spans="1:191" ht="12" customHeight="1" x14ac:dyDescent="0.3">
      <c r="A414" s="25">
        <v>364</v>
      </c>
      <c r="B414" s="4" t="s">
        <v>605</v>
      </c>
      <c r="C414" s="4">
        <v>2016</v>
      </c>
      <c r="D414" s="4" t="s">
        <v>309</v>
      </c>
      <c r="E414" s="24" t="s">
        <v>673</v>
      </c>
      <c r="F414" s="97" t="s">
        <v>762</v>
      </c>
      <c r="G414" s="24">
        <v>2</v>
      </c>
      <c r="H414" s="7" t="s">
        <v>529</v>
      </c>
      <c r="I414" s="5">
        <f>K414/N414</f>
        <v>9.5999999999999979</v>
      </c>
      <c r="J414" s="38">
        <f>139/0.145</f>
        <v>958.62068965517244</v>
      </c>
      <c r="K414" s="78">
        <f>6*25.4</f>
        <v>152.39999999999998</v>
      </c>
      <c r="L414" s="4">
        <f>K414</f>
        <v>152.39999999999998</v>
      </c>
      <c r="M414" s="76">
        <f>4690/145</f>
        <v>32.344827586206897</v>
      </c>
      <c r="N414" s="38">
        <f>0.625*25.4</f>
        <v>15.875</v>
      </c>
      <c r="O414" s="7">
        <f>K414/N414</f>
        <v>9.5999999999999979</v>
      </c>
      <c r="P414" s="7">
        <f>L414/N414</f>
        <v>9.5999999999999979</v>
      </c>
      <c r="Q414" s="38">
        <f>13.1*25.4</f>
        <v>332.73999999999995</v>
      </c>
      <c r="R414" s="32">
        <f>S414/N414</f>
        <v>4.08</v>
      </c>
      <c r="S414" s="38">
        <f>2.55*25.4</f>
        <v>64.77</v>
      </c>
      <c r="T414" s="32">
        <f>U414/N414</f>
        <v>5.12</v>
      </c>
      <c r="U414" s="39">
        <f>3.2*25.4</f>
        <v>81.28</v>
      </c>
      <c r="V414" s="32">
        <f>W414/N414</f>
        <v>10.799999999999997</v>
      </c>
      <c r="W414" s="7">
        <f>(Q414-X414*N414-2*S414)/(X414-1)</f>
        <v>171.44999999999996</v>
      </c>
      <c r="X414" s="38">
        <v>2</v>
      </c>
      <c r="Y414" s="7">
        <f>AN414</f>
        <v>4</v>
      </c>
      <c r="Z414" s="32">
        <f>AA414/N414</f>
        <v>8.4</v>
      </c>
      <c r="AA414" s="4">
        <f>5.25*25.4</f>
        <v>133.35</v>
      </c>
      <c r="AB414" s="7">
        <f>MIN(S414/N414+0.5, W414/2/N414+0.5)</f>
        <v>4.58</v>
      </c>
      <c r="AC414" s="7">
        <f>S414/N414+0.5</f>
        <v>4.58</v>
      </c>
      <c r="AD414" s="38">
        <v>4</v>
      </c>
      <c r="AE414" s="4">
        <f>AD414</f>
        <v>4</v>
      </c>
      <c r="AF414" s="4">
        <f>AE414+1</f>
        <v>5</v>
      </c>
      <c r="AG414" s="7">
        <f>N414*AF414^0.5</f>
        <v>35.497579142809165</v>
      </c>
      <c r="AJ414" s="38">
        <f>AK414/0.145</f>
        <v>843.44827586206895</v>
      </c>
      <c r="AK414" s="4">
        <v>122.3</v>
      </c>
      <c r="AL414" s="4">
        <f>CY414</f>
        <v>1.7449699422328022</v>
      </c>
      <c r="AM414" s="38">
        <f>0.375*25.4</f>
        <v>9.5249999999999986</v>
      </c>
      <c r="AN414" s="38">
        <v>4</v>
      </c>
      <c r="AO414" s="39">
        <f>3.5*25.4</f>
        <v>88.899999999999991</v>
      </c>
      <c r="AP414" s="39">
        <v>2</v>
      </c>
      <c r="AQ414" s="39">
        <f>AP414-1</f>
        <v>1</v>
      </c>
      <c r="AR414" s="7"/>
      <c r="AS414" s="4">
        <f>K414</f>
        <v>152.39999999999998</v>
      </c>
      <c r="AT414" s="4">
        <f>IF(K414*3&gt;W414+N414, Q414, (S414+N414/2)*2+1.5*K414*(2*X414-2))*(3*K414)/(9*K414^2)</f>
        <v>0.72777777777777763</v>
      </c>
      <c r="AU414" s="4">
        <f>MIN(10*M414^0.5*K414^1.5,100*3.9*M414^0.5*K414^(5/3))/(PI()/4*N414^2)/X414</f>
        <v>270.29158549016233</v>
      </c>
      <c r="AV414" s="4">
        <f>MIN(0.7+0.3*(MIN(S414,AA414)+0.5*N414)/1.5/K414,1)</f>
        <v>0.79541666666666666</v>
      </c>
      <c r="AW414" s="4">
        <v>1.25</v>
      </c>
      <c r="AX414" s="4">
        <f>AX413</f>
        <v>1</v>
      </c>
      <c r="AY414" s="38">
        <f>AT414*AV414*AW414*AX414*AU414</f>
        <v>195.58521240681219</v>
      </c>
      <c r="AZ414" s="38">
        <f>AY414</f>
        <v>195.58521240681219</v>
      </c>
      <c r="BA414" s="38">
        <f>IF(M414&lt;50, 0.3*M414^(2/3), 2.12*LN(1+0.1*(M414+8)))</f>
        <v>3.0454944685430494</v>
      </c>
      <c r="BB414" s="38">
        <f>AX414* (M414^0.5/AS414^0.5)/(PI()/4*N414^2)/X414/0.72 *(0.7+(MIN(S414,AA414)+0.5*N414)/5/K414) *(3*Q414*K414)</f>
        <v>195.58521240681213</v>
      </c>
      <c r="BC414" s="38">
        <f>AY414/BB414</f>
        <v>1.0000000000000002</v>
      </c>
      <c r="BD414" s="38">
        <f>BH414/BB414</f>
        <v>3.0296627955021811</v>
      </c>
      <c r="BE414" s="4">
        <f>IF(BD414&lt;1,1,0)</f>
        <v>0</v>
      </c>
      <c r="BF414" s="4">
        <f>L414/N414*M414^0.5/0.19</f>
        <v>287.35585621002161</v>
      </c>
      <c r="BG414" s="4">
        <f>MIN(0.6+0.4*(AC414/AB414),2)</f>
        <v>1</v>
      </c>
      <c r="BH414" s="38">
        <f>2*M414*AB414*AD414^0.5*BG414*0.7/0.7</f>
        <v>592.55724137931031</v>
      </c>
      <c r="BI414" s="4">
        <f>MAX(1-0.7*AE414/5,0.3)</f>
        <v>0.44000000000000006</v>
      </c>
      <c r="BJ414" s="4">
        <f>BI414*J414*L414/(J414*N414/2.75/M414^0.5)</f>
        <v>66.063111342683982</v>
      </c>
      <c r="BK414" s="4">
        <f>BH414+BJ414</f>
        <v>658.62035272199432</v>
      </c>
      <c r="BM414" s="4">
        <f>MIN(1.5, 0.75+0.25*MIN(3,MAX(1,S414/N414))+0.4*MIN(1,(40*2*PI()*AM414^2/4/AO414/X414)/N414))</f>
        <v>1.5</v>
      </c>
      <c r="BN414" s="4">
        <f>(3*P414+30)*BM414*M414^0.5</f>
        <v>501.61556649661907</v>
      </c>
      <c r="BP414" s="4">
        <f>3.4/PI()^0.5*M414*AB414*AE414^0.5*BG414</f>
        <v>568.33485951140074</v>
      </c>
      <c r="BQ414" s="4">
        <f>8/3*AH414*AI414^2/(AG414-N414-22)/N414*(AG414^2-N414^2)/(AG414^2-(N414+22)^2)</f>
        <v>0</v>
      </c>
      <c r="BR414" s="4">
        <f>BQ414/BP414</f>
        <v>0</v>
      </c>
      <c r="BZ414" s="4">
        <f>IF(W414=0,S414,MIN(W414/2,S414))</f>
        <v>64.77</v>
      </c>
      <c r="CD414" s="9"/>
      <c r="CF414" s="9"/>
      <c r="CG414" s="9"/>
      <c r="CH414" s="9">
        <f>IF(W414=0,MIN(S414,U414),MIN(W414/2,S414,U414))</f>
        <v>64.77</v>
      </c>
      <c r="CI414" s="9">
        <f>MAX(W414/2,S414)</f>
        <v>85.72499999999998</v>
      </c>
      <c r="CJ414" s="9">
        <f>(CH414/N414)^0.5*(CI414/CH414)^0.15</f>
        <v>2.1066390052415969</v>
      </c>
      <c r="CK414" s="70">
        <f>IF(AO414&gt;1,20,0)</f>
        <v>20</v>
      </c>
      <c r="CL414" s="9">
        <f>MIN(PI()*AM414^2/4*AN414*2/X414/N414/MAX(0.01,AO414),0.05)</f>
        <v>0.05</v>
      </c>
      <c r="CM414" s="9">
        <f>MAX(0,CK414*(CL414-0.5/50))</f>
        <v>0.8</v>
      </c>
      <c r="CN414" s="9">
        <f>MIN(1,(25/N414)^0.3)</f>
        <v>1</v>
      </c>
      <c r="CO414" s="9">
        <f>IF(J414&gt;=800,0.68,IF(J414&gt;=700,0.75-(J414-700)*0.07/100,IF(J414&gt;=600,0.85-(J414-600)*0.1/100,IF(J414&gt;=500,1-(J414-500)*0.15/100,1.2-(J414-400)*0.2/100))))</f>
        <v>0.68</v>
      </c>
      <c r="CP414" s="9">
        <f>1.75*CN414*CO414*(M414/25)^0.5</f>
        <v>1.3535658143559566</v>
      </c>
      <c r="CQ414" s="9">
        <f>MIN((CJ414+CM414)*CP414,2.5*CP414,M414^0.5)</f>
        <v>3.3839145358898914</v>
      </c>
      <c r="CR414" s="40">
        <v>1</v>
      </c>
      <c r="CS414" s="9">
        <f>4*CQ414*P414+60*CQ414</f>
        <v>332.97719033156528</v>
      </c>
      <c r="CU414" s="4">
        <f>AJ414/BF414</f>
        <v>2.9352047561738659</v>
      </c>
      <c r="CV414" s="4">
        <f>AJ414/BK414</f>
        <v>1.280628927387689</v>
      </c>
      <c r="CW414" s="4">
        <f>AJ414/BN414</f>
        <v>1.6814635194694538</v>
      </c>
      <c r="CX414" s="4">
        <f>AJ414/CS414</f>
        <v>2.5330512129740694</v>
      </c>
      <c r="CY414" s="4">
        <f>AJ414/DZ414</f>
        <v>1.7449699422328022</v>
      </c>
      <c r="CZ414" s="4">
        <f>AJ414/EL414</f>
        <v>1.1093102722998569</v>
      </c>
      <c r="DA414" s="4">
        <f>AJ414/GI414</f>
        <v>1.3540876305298664</v>
      </c>
      <c r="DB414" s="4">
        <f>AN414</f>
        <v>4</v>
      </c>
      <c r="DI414" s="4">
        <f>CU414</f>
        <v>2.9352047561738659</v>
      </c>
      <c r="DJ414" s="4">
        <f>CV414</f>
        <v>1.280628927387689</v>
      </c>
      <c r="DK414" s="4">
        <f>CX414</f>
        <v>2.5330512129740694</v>
      </c>
      <c r="DL414" s="4">
        <f>DA414</f>
        <v>1.3540876305298664</v>
      </c>
      <c r="DM414" s="4">
        <f>CY414</f>
        <v>1.7449699422328022</v>
      </c>
      <c r="DN414" s="4">
        <f>CZ414</f>
        <v>1.1093102722998569</v>
      </c>
      <c r="DQ414" s="4">
        <f>L414</f>
        <v>152.39999999999998</v>
      </c>
      <c r="DT414" s="4">
        <f>K414/4/(1-0.3*(M414/30)^0.5)/200000/N414</f>
        <v>1.7429284624755085E-5</v>
      </c>
      <c r="DU414" s="4">
        <f>EP414</f>
        <v>9.5981496427943913</v>
      </c>
      <c r="DV414" s="4">
        <f>EC414*AG414/257/M414/AD414</f>
        <v>0.20880303022890484</v>
      </c>
      <c r="DW414" s="4">
        <f>DU414*DV414^0.4</f>
        <v>5.1295850560876906</v>
      </c>
      <c r="DX414" s="4">
        <f>MIN(DU414, DU414/1.4*(1-DV414^1.4)/(1-DV414))</f>
        <v>7.6981704078544819</v>
      </c>
      <c r="DY414" s="4">
        <f>MAX(DU414/2, (4-DT414*(8*AG414*(DW414-DX414)+6*K414*DX414))/(4+DT414*K414*DU414)*DU414)</f>
        <v>9.2751436514722254</v>
      </c>
      <c r="DZ414" s="38">
        <f>MIN(1/N414*(4*AG414*(DW414-DX414)+(3*DX414+DY414)*K414)+EC414 -FJ414,MAX(J414,AJ414))</f>
        <v>483.35977339691146</v>
      </c>
      <c r="EA414" s="4">
        <f>DZ414/FF414</f>
        <v>1.00010849331527</v>
      </c>
      <c r="EB414" s="4">
        <f>AG414/N414</f>
        <v>2.2360679774997898</v>
      </c>
      <c r="EC414" s="4">
        <f>MIN(EB$10*BB414)</f>
        <v>195.58521240681213</v>
      </c>
      <c r="EG414" s="4">
        <f>IF(U414&gt;1*N414,0.85,1)</f>
        <v>0.85</v>
      </c>
      <c r="EH414" s="4">
        <f>MIN(1,MAX(0.7,(1-0.1*(BZ414-1*N414)/N414)))</f>
        <v>0.7</v>
      </c>
      <c r="EI414" s="4">
        <f>MIN(1,MAX(0.7,1-0.3*(PI()*AM414^2/4*AQ414*2-0.25*PI()/4*N414^2)/(PI()/4*N414^2)))</f>
        <v>0.85899999999999999</v>
      </c>
      <c r="EJ414" s="4">
        <f>IF(EH414*EI414&lt;0.7,0.7,EH414*EI414)</f>
        <v>0.7</v>
      </c>
      <c r="EL414" s="4">
        <f>MIN(DU414/N414*3*K414+EM414-FJ414,MAX(J414,AJ414))</f>
        <v>760.3357662175124</v>
      </c>
      <c r="EM414" s="25">
        <f>13.3*Q414*K414^0.5*M414^0.5/X414/N414^2*(0.7+S414/5/K414)</f>
        <v>483.90905650503407</v>
      </c>
      <c r="EO414" s="4">
        <f>EG414*EJ414</f>
        <v>0.59499999999999997</v>
      </c>
      <c r="EP414" s="4">
        <f>IF(N414&lt;22.2,1.1*5*(M414/30)^0.5,IF(N414&gt;=31.8,0.9*5*(M414/30)^0.5,1*5*(M414/30)^0.5))/EG414/EJ414</f>
        <v>9.5981496427943913</v>
      </c>
      <c r="ES414" s="4">
        <f>ET414*N414</f>
        <v>35.497579142809165</v>
      </c>
      <c r="ET414" s="4">
        <f>AF414^0.5</f>
        <v>2.2360679774997898</v>
      </c>
      <c r="EU414" s="4">
        <f>MIN(EC414)/(4700*M414^0.5)/AE414*ES414</f>
        <v>6.4934347772668682E-2</v>
      </c>
      <c r="EX414" s="4">
        <f>EU414</f>
        <v>6.4934347772668682E-2</v>
      </c>
      <c r="EY414" s="4">
        <f>MIN(0.999, EX414/(0.3*(M414/30)^0.5))</f>
        <v>0.20845457688704747</v>
      </c>
      <c r="EZ414" s="4">
        <f>EP414/1*EY414^0.4</f>
        <v>5.1261592117169839</v>
      </c>
      <c r="FA414" s="4">
        <f>EP414/1.4*(1-EY414^1.4)/(1-EY414)</f>
        <v>7.6970389138210571</v>
      </c>
      <c r="FB414" s="4">
        <f>MAX(0,DQ414*FB$9-ES414)</f>
        <v>78.80242085719081</v>
      </c>
      <c r="FC414" s="4">
        <f>MAX(0,DQ414-ES414-FB414)</f>
        <v>38.099999999999994</v>
      </c>
      <c r="FD414" s="4">
        <f>FC414/(1-0.3*(M414/30)^0.5)/200000/N414</f>
        <v>1.7429284624755085E-5</v>
      </c>
      <c r="FE414" s="4">
        <f>MAX(0.5*EP414, (1-2*FD414*(ES414*EZ414+FB414*FA414))/(1/EP414+FD414*FC414))</f>
        <v>9.2752137250207589</v>
      </c>
      <c r="FF414" s="4">
        <f>MIN(4/N414*(1*EZ414*ES414+FA414*FB414+FC414*FE414)+EC414,MAX(J414,AJ414))</f>
        <v>483.30733778154126</v>
      </c>
      <c r="FO414" s="23">
        <f>IF(CU414&lt;0.6,0.6,IF(CU414&lt;0.8,0.8,IF(CU414&lt;1,1,IF(CU414&lt;1.2,1.2,IF(CU414&lt;1.4,1.4,IF(CU414&lt;1.6,1.6,IF(CU414&lt;1.8,1.8,IF(CU414&lt;2,2,2.2))))))))</f>
        <v>2.2000000000000002</v>
      </c>
      <c r="FP414" s="23">
        <f>IF(CV414&lt;0.6,0.6,IF(CV414&lt;0.8,0.8,IF(CV414&lt;1,1,IF(CV414&lt;1.2,1.2,IF(CV414&lt;1.4,1.4,IF(CV414&lt;1.6,1.6,IF(CV414&lt;1.8,1.8,IF(CV414&lt;2,2,2.2))))))))</f>
        <v>1.4</v>
      </c>
      <c r="FQ414" s="23">
        <f>IF(DA414&lt;0.6,0.6,IF(DA414&lt;0.8,0.8,IF(DA414&lt;1,1,IF(DA414&lt;1.2,1.2,IF(DA414&lt;1.4,1.4,IF(DA414&lt;1.6,1.6,IF(DA414&lt;1.8,1.8,IF(DA414&lt;2,2,2.2))))))))</f>
        <v>1.4</v>
      </c>
      <c r="FR414" s="23">
        <f>IF(CX414&lt;0.6,0.6,IF(CX414&lt;0.8,0.8,IF(CX414&lt;1,1,IF(CX414&lt;1.2,1.2,IF(CX414&lt;1.4,1.4,IF(CX414&lt;1.6,1.6,IF(CX414&lt;1.8,1.8,IF(CX414&lt;2,2,2.2))))))))</f>
        <v>2.2000000000000002</v>
      </c>
      <c r="FS414" s="23">
        <f>IF(CY414&lt;0.6,0.6,IF(CY414&lt;0.8,0.8,IF(CY414&lt;1,1,IF(CY414&lt;1.2,1.2,IF(CY414&lt;1.4,1.4,IF(CY414&lt;1.6,1.6,IF(CY414&lt;1.8,1.8,IF(CY414&lt;2,2,2.2))))))))</f>
        <v>1.8</v>
      </c>
      <c r="FT414" s="23">
        <f>IF(CZ414&lt;0.6,0.6,IF(CZ414&lt;0.8,0.8,IF(CZ414&lt;1,1,IF(CZ414&lt;1.2,1.2,IF(CZ414&lt;1.4,1.4,IF(CZ414&lt;1.6,1.6,IF(CZ414&lt;1.8,1.8,IF(CZ414&lt;2,2,2.2))))))))</f>
        <v>1.2</v>
      </c>
      <c r="FU414" s="23">
        <f>IF(FS414&lt;1,1,0)</f>
        <v>0</v>
      </c>
      <c r="FV414" s="23"/>
      <c r="GF414" s="4">
        <f>IF(S414&gt;=2.5*25.4,1,1.25)</f>
        <v>1</v>
      </c>
      <c r="GG414" s="4">
        <f>IF(AO414&gt;1, 0.05*(18-MIN(8,(W414+N414)/N414))*(1-48000/MAX(60000,(J414*145))*(N414/25.4)^0.75*GH414), 1/12*(14-MIN(8,(W414+N414)/N414)))</f>
        <v>0.46358941059918601</v>
      </c>
      <c r="GH414" s="4">
        <f>MIN(0.3, AM414^2*PI()/4*2*AP414/(N414^2*PI()/4*X414))</f>
        <v>0.3</v>
      </c>
      <c r="GI414" s="4">
        <f>(K414/25.4)/(N414/25.4)^1.5/0.0024*(M414*145)^0.25/GF414/GG414/145</f>
        <v>622.89046649958709</v>
      </c>
    </row>
    <row r="415" spans="1:191" ht="12" customHeight="1" x14ac:dyDescent="0.3">
      <c r="A415" s="25">
        <v>373</v>
      </c>
      <c r="B415" s="4" t="s">
        <v>605</v>
      </c>
      <c r="C415" s="4">
        <v>2016</v>
      </c>
      <c r="D415" s="4" t="s">
        <v>309</v>
      </c>
      <c r="E415" s="24" t="s">
        <v>674</v>
      </c>
      <c r="F415" s="75" t="s">
        <v>763</v>
      </c>
      <c r="G415" s="24">
        <v>4</v>
      </c>
      <c r="H415" s="7" t="s">
        <v>539</v>
      </c>
      <c r="I415" s="5">
        <f>K415/N415</f>
        <v>9.5999999999999979</v>
      </c>
      <c r="J415" s="38">
        <f>139/0.145</f>
        <v>958.62068965517244</v>
      </c>
      <c r="K415" s="78">
        <f>6*25.4</f>
        <v>152.39999999999998</v>
      </c>
      <c r="L415" s="4">
        <f>K415</f>
        <v>152.39999999999998</v>
      </c>
      <c r="M415" s="38">
        <f>11030/145</f>
        <v>76.068965517241381</v>
      </c>
      <c r="N415" s="38">
        <f>0.625*25.4</f>
        <v>15.875</v>
      </c>
      <c r="O415" s="7">
        <f>K415/N415</f>
        <v>9.5999999999999979</v>
      </c>
      <c r="P415" s="7">
        <f>L415/N415</f>
        <v>9.5999999999999979</v>
      </c>
      <c r="Q415" s="38">
        <f>13.1*25.4</f>
        <v>332.73999999999995</v>
      </c>
      <c r="R415" s="32">
        <f>S415/N415</f>
        <v>4.08</v>
      </c>
      <c r="S415" s="38">
        <f>2.55*25.4</f>
        <v>64.77</v>
      </c>
      <c r="T415" s="32">
        <f>U415/N415</f>
        <v>4.96</v>
      </c>
      <c r="U415" s="39">
        <f>3.1*25.4</f>
        <v>78.739999999999995</v>
      </c>
      <c r="V415" s="32">
        <f>W415/N415</f>
        <v>10.799999999999997</v>
      </c>
      <c r="W415" s="7">
        <f>(Q415-X415*N415-2*S415)/(X415-1)</f>
        <v>171.44999999999996</v>
      </c>
      <c r="X415" s="38">
        <v>2</v>
      </c>
      <c r="Y415" s="7">
        <f>AN415</f>
        <v>0</v>
      </c>
      <c r="Z415" s="32">
        <f>AA415/N415</f>
        <v>8.4</v>
      </c>
      <c r="AA415" s="4">
        <f>5.25*25.4</f>
        <v>133.35</v>
      </c>
      <c r="AB415" s="7">
        <f>MIN(S415/N415+0.5, W415/2/N415+0.5)</f>
        <v>4.58</v>
      </c>
      <c r="AC415" s="7">
        <f>S415/N415+0.5</f>
        <v>4.58</v>
      </c>
      <c r="AD415" s="38">
        <v>4</v>
      </c>
      <c r="AE415" s="4">
        <f>AD415</f>
        <v>4</v>
      </c>
      <c r="AF415" s="4">
        <f>AE415+1</f>
        <v>5</v>
      </c>
      <c r="AG415" s="7">
        <f>N415*AF415^0.5</f>
        <v>35.497579142809165</v>
      </c>
      <c r="AJ415" s="38">
        <f>AK415/0.145</f>
        <v>927.58620689655174</v>
      </c>
      <c r="AK415" s="4">
        <v>134.5</v>
      </c>
      <c r="AL415" s="4">
        <f>CY415</f>
        <v>1.291340863422106</v>
      </c>
      <c r="AM415" s="38">
        <v>0</v>
      </c>
      <c r="AN415" s="38">
        <v>0</v>
      </c>
      <c r="AO415" s="39">
        <f>L415</f>
        <v>152.39999999999998</v>
      </c>
      <c r="AP415" s="39"/>
      <c r="AQ415" s="39"/>
      <c r="AR415" s="7"/>
      <c r="AS415" s="4">
        <f>K415</f>
        <v>152.39999999999998</v>
      </c>
      <c r="AT415" s="4">
        <f>IF(K415*3&gt;W415+N415, Q415, (S415+N415/2)*2+1.5*K415*(2*X415-2))*(3*K415)/(9*K415^2)</f>
        <v>0.72777777777777763</v>
      </c>
      <c r="AU415" s="4">
        <f>MIN(10*M415^0.5*K415^1.5,100*3.9*M415^0.5*K415^(5/3))/(PI()/4*N415^2)/X415</f>
        <v>414.50890080495793</v>
      </c>
      <c r="AV415" s="4">
        <f>MIN(0.7+0.3*(MIN(S415,AA415)+0.5*N415)/1.5/K415,1)</f>
        <v>0.79541666666666666</v>
      </c>
      <c r="AW415" s="4">
        <v>1.25</v>
      </c>
      <c r="AX415" s="4">
        <f>AX414</f>
        <v>1</v>
      </c>
      <c r="AY415" s="38">
        <f>AT415*AV415*AW415*AX415*AU415</f>
        <v>299.94204688774033</v>
      </c>
      <c r="AZ415" s="38">
        <f>AY415</f>
        <v>299.94204688774033</v>
      </c>
      <c r="BA415" s="38">
        <f>IF(M415&lt;50, 0.3*M415^(2/3), 2.12*LN(1+0.1*(M415+8)))</f>
        <v>4.7518593634836064</v>
      </c>
      <c r="BB415" s="38">
        <f>AX415* (M415^0.5/AS415^0.5)/(PI()/4*N415^2)/X415/0.72 *(0.7+(MIN(S415,AA415)+0.5*N415)/5/K415) *(3*Q415*K415)</f>
        <v>299.94204688774022</v>
      </c>
      <c r="BC415" s="38">
        <f>AY415/BB415</f>
        <v>1.0000000000000004</v>
      </c>
      <c r="BD415" s="38">
        <f>BH415/BB415</f>
        <v>4.6461756953917197</v>
      </c>
      <c r="BE415" s="4">
        <f>IF(BD415&lt;1,1,0)</f>
        <v>0</v>
      </c>
      <c r="BF415" s="4">
        <f>L415/N415*M415^0.5/0.19</f>
        <v>440.67801770994777</v>
      </c>
      <c r="BG415" s="4">
        <f>MIN(0.6+0.4*(AC415/AB415),2)</f>
        <v>1</v>
      </c>
      <c r="BH415" s="38">
        <f>2*M415*AB415*AD415^0.5*BG415*0.7/0.7</f>
        <v>1393.5834482758621</v>
      </c>
      <c r="BI415" s="4">
        <f>MAX(1-0.7*AE415/5,0.3)</f>
        <v>0.44000000000000006</v>
      </c>
      <c r="BJ415" s="4">
        <f>BI415*J415*L415/(J415*N415/2.75/M415^0.5)</f>
        <v>101.31187627151702</v>
      </c>
      <c r="BK415" s="4">
        <f>BH415+BJ415</f>
        <v>1494.8953245473792</v>
      </c>
      <c r="BM415" s="4">
        <f>MIN(1.5, 0.75+0.25*MIN(3,MAX(1,S415/N415))+0.4*MIN(1,(40*2*PI()*AM415^2/4/AO415/X415)/N415))</f>
        <v>1.5</v>
      </c>
      <c r="BN415" s="4">
        <f>(3*P415+30)*BM415*M415^0.5</f>
        <v>769.25856466492769</v>
      </c>
      <c r="BP415" s="4">
        <f>3.4/PI()^0.5*M415*AB415*AE415^0.5*BG415</f>
        <v>1336.6169510470681</v>
      </c>
      <c r="BQ415" s="4">
        <f>8/3*AH415*AI415^2/(AG415-N415-22)/N415*(AG415^2-N415^2)/(AG415^2-(N415+22)^2)</f>
        <v>0</v>
      </c>
      <c r="BR415" s="4">
        <f>BQ415/BP415</f>
        <v>0</v>
      </c>
      <c r="BZ415" s="4">
        <f>IF(W415=0,S415,MIN(W415/2,S415))</f>
        <v>64.77</v>
      </c>
      <c r="CD415" s="9"/>
      <c r="CF415" s="9"/>
      <c r="CG415" s="9"/>
      <c r="CH415" s="9">
        <f>IF(W415=0,MIN(S415,U415),MIN(W415/2,S415,U415))</f>
        <v>64.77</v>
      </c>
      <c r="CI415" s="9">
        <f>MAX(W415/2,S415)</f>
        <v>85.72499999999998</v>
      </c>
      <c r="CJ415" s="9">
        <f>(CH415/N415)^0.5*(CI415/CH415)^0.15</f>
        <v>2.1066390052415969</v>
      </c>
      <c r="CK415" s="70">
        <f>IF(AO415&gt;1,20,0)</f>
        <v>20</v>
      </c>
      <c r="CL415" s="9">
        <f>MIN(PI()*AM415^2/4*AN415*2/X415/N415/MAX(0.01,AO415),0.05)</f>
        <v>0</v>
      </c>
      <c r="CM415" s="9">
        <f>MAX(0,CK415*(CL415-0.5/50))</f>
        <v>0</v>
      </c>
      <c r="CN415" s="9">
        <f>MIN(1,(25/N415)^0.3)</f>
        <v>1</v>
      </c>
      <c r="CO415" s="9">
        <f>IF(J415&gt;=800,0.68,IF(J415&gt;=700,0.75-(J415-700)*0.07/100,IF(J415&gt;=600,0.85-(J415-600)*0.1/100,IF(J415&gt;=500,1-(J415-500)*0.15/100,1.2-(J415-400)*0.2/100))))</f>
        <v>0.68</v>
      </c>
      <c r="CP415" s="9">
        <f>1.75*CN415*CO415*(M415/25)^0.5</f>
        <v>2.0757770792545673</v>
      </c>
      <c r="CQ415" s="9">
        <f>MIN((CJ415+CM415)*CP415,2.5*CP415,M415^0.5)</f>
        <v>4.3729129613441495</v>
      </c>
      <c r="CR415" s="40">
        <v>1</v>
      </c>
      <c r="CS415" s="9">
        <f>4*CQ415*P415+60*CQ415</f>
        <v>430.29463539626425</v>
      </c>
      <c r="CU415" s="4">
        <f>AJ415/BF415</f>
        <v>2.1049069152958855</v>
      </c>
      <c r="CV415" s="4">
        <f>AJ415/BK415</f>
        <v>0.62050244700404289</v>
      </c>
      <c r="CW415" s="4">
        <f>AJ415/BN415</f>
        <v>1.2058184978422544</v>
      </c>
      <c r="CX415" s="4">
        <f>AJ415/CS415</f>
        <v>2.1557001426297702</v>
      </c>
      <c r="CY415" s="4">
        <f>AJ415/DZ415</f>
        <v>1.291340863422106</v>
      </c>
      <c r="CZ415" s="4">
        <f>AJ415/EL415</f>
        <v>0.96762589928057552</v>
      </c>
      <c r="DA415" s="4">
        <f>AJ415/GI415</f>
        <v>1.2969655123763921</v>
      </c>
      <c r="DB415" s="4">
        <f>AN415</f>
        <v>0</v>
      </c>
      <c r="DC415" s="4">
        <f>CU415</f>
        <v>2.1049069152958855</v>
      </c>
      <c r="DD415" s="4">
        <f>CV415</f>
        <v>0.62050244700404289</v>
      </c>
      <c r="DE415" s="4">
        <f>CX415</f>
        <v>2.1557001426297702</v>
      </c>
      <c r="DF415" s="4">
        <f>DA415</f>
        <v>1.2969655123763921</v>
      </c>
      <c r="DG415" s="4">
        <f>CY415</f>
        <v>1.291340863422106</v>
      </c>
      <c r="DH415" s="4">
        <f>CZ415</f>
        <v>0.96762589928057552</v>
      </c>
      <c r="DQ415" s="4">
        <f>L415</f>
        <v>152.39999999999998</v>
      </c>
      <c r="DT415" s="4">
        <f>K415/4/(1-0.3*(M415/30)^0.5)/200000/N415</f>
        <v>2.2975743861357127E-5</v>
      </c>
      <c r="DU415" s="4">
        <f>EP415</f>
        <v>14.719357433866572</v>
      </c>
      <c r="DV415" s="4">
        <f>EC415*AG415/257/M415/AD415</f>
        <v>0.1361555855281309</v>
      </c>
      <c r="DW415" s="4">
        <f>DU415*DV415^0.4</f>
        <v>6.6298398291090628</v>
      </c>
      <c r="DX415" s="4">
        <f>MIN(DU415, DU415/1.4*(1-DV415^1.4)/(1-DV415))</f>
        <v>11.424566969391821</v>
      </c>
      <c r="DY415" s="4">
        <f>MAX(DU415/2, (4-DT415*(8*AG415*(DW415-DX415)+6*K415*DX415))/(4+DT415*K415*DU415)*DU415)</f>
        <v>13.773771666254921</v>
      </c>
      <c r="DZ415" s="38">
        <f>MIN(1/N415*(4*AG415*(DW415-DX415)+(3*DX415+DY415)*K415)+EC415 -FJ415,MAX(J415,AJ415))</f>
        <v>718.31244032533016</v>
      </c>
      <c r="EA415" s="4">
        <f>DZ415/FF415</f>
        <v>1.0000877201761509</v>
      </c>
      <c r="EB415" s="4">
        <f>AG415/N415</f>
        <v>2.2360679774997898</v>
      </c>
      <c r="EC415" s="4">
        <f>MIN(EB$10*BB415)</f>
        <v>299.94204688774022</v>
      </c>
      <c r="EG415" s="4">
        <f>IF(U415&gt;1*N415,0.85,1)</f>
        <v>0.85</v>
      </c>
      <c r="EH415" s="4">
        <f>MIN(1,MAX(0.7,(1-0.1*(BZ415-1*N415)/N415)))</f>
        <v>0.7</v>
      </c>
      <c r="EI415" s="4">
        <f>MIN(1,MAX(0.7,1-0.3*(PI()*AM415^2/4*AQ415*2-0.25*PI()/4*N415^2)/(PI()/4*N415^2)))</f>
        <v>1</v>
      </c>
      <c r="EJ415" s="4">
        <f>IF(EH415*EI415&lt;0.7,0.7,EH415*EI415)</f>
        <v>0.7</v>
      </c>
      <c r="EL415" s="4">
        <f>MIN(DU415/N415*3*K415+EM415-FJ415,MAX(J415,AJ415))</f>
        <v>958.62068965517244</v>
      </c>
      <c r="EM415" s="25">
        <f>13.3*Q415*K415^0.5*M415^0.5/X415/N415^2*(0.7+S415/5/K415)</f>
        <v>742.1045340265191</v>
      </c>
      <c r="EO415" s="4">
        <f>EG415*EJ415</f>
        <v>0.59499999999999997</v>
      </c>
      <c r="EP415" s="4">
        <f>IF(N415&lt;22.2,1.1*5*(M415/30)^0.5,IF(N415&gt;=31.8,0.9*5*(M415/30)^0.5,1*5*(M415/30)^0.5))/EG415/EJ415</f>
        <v>14.719357433866572</v>
      </c>
      <c r="ES415" s="4">
        <f>ET415*N415</f>
        <v>35.497579142809165</v>
      </c>
      <c r="ET415" s="4">
        <f>AF415^0.5</f>
        <v>2.2360679774997898</v>
      </c>
      <c r="EU415" s="4">
        <f>MIN(EC415)/(4700*M415^0.5)/AE415*ES415</f>
        <v>6.4934347772668682E-2</v>
      </c>
      <c r="EX415" s="4">
        <f>EU415</f>
        <v>6.4934347772668682E-2</v>
      </c>
      <c r="EY415" s="4">
        <f>MIN(0.999, EX415/(0.3*(M415/30)^0.5))</f>
        <v>0.13592836723183602</v>
      </c>
      <c r="EZ415" s="4">
        <f>EP415/1*EY415^0.4</f>
        <v>6.6254120246748061</v>
      </c>
      <c r="FA415" s="4">
        <f>EP415/1.4*(1-EY415^1.4)/(1-EY415)</f>
        <v>11.423305554659807</v>
      </c>
      <c r="FB415" s="4">
        <f>MAX(0,DQ415*FB$9-ES415)</f>
        <v>78.80242085719081</v>
      </c>
      <c r="FC415" s="4">
        <f>MAX(0,DQ415-ES415-FB415)</f>
        <v>38.099999999999994</v>
      </c>
      <c r="FD415" s="4">
        <f>FC415/(1-0.3*(M415/30)^0.5)/200000/N415</f>
        <v>2.2975743861357127E-5</v>
      </c>
      <c r="FE415" s="4">
        <f>MAX(0.5*EP415, (1-2*FD415*(ES415*EZ415+FB415*FA415))/(1/EP415+FD415*FC415))</f>
        <v>13.773943002480124</v>
      </c>
      <c r="FF415" s="4">
        <f>MIN(4/N415*(1*EZ415*ES415+FA415*FB415+FC415*FE415)+EC415,MAX(J415,AJ415))</f>
        <v>718.24943535834018</v>
      </c>
      <c r="FO415" s="23">
        <f>IF(CU415&lt;0.6,0.6,IF(CU415&lt;0.8,0.8,IF(CU415&lt;1,1,IF(CU415&lt;1.2,1.2,IF(CU415&lt;1.4,1.4,IF(CU415&lt;1.6,1.6,IF(CU415&lt;1.8,1.8,IF(CU415&lt;2,2,2.2))))))))</f>
        <v>2.2000000000000002</v>
      </c>
      <c r="FP415" s="23">
        <f>IF(CV415&lt;0.6,0.6,IF(CV415&lt;0.8,0.8,IF(CV415&lt;1,1,IF(CV415&lt;1.2,1.2,IF(CV415&lt;1.4,1.4,IF(CV415&lt;1.6,1.6,IF(CV415&lt;1.8,1.8,IF(CV415&lt;2,2,2.2))))))))</f>
        <v>0.8</v>
      </c>
      <c r="FQ415" s="23">
        <f>IF(DA415&lt;0.6,0.6,IF(DA415&lt;0.8,0.8,IF(DA415&lt;1,1,IF(DA415&lt;1.2,1.2,IF(DA415&lt;1.4,1.4,IF(DA415&lt;1.6,1.6,IF(DA415&lt;1.8,1.8,IF(DA415&lt;2,2,2.2))))))))</f>
        <v>1.4</v>
      </c>
      <c r="FR415" s="23">
        <f>IF(CX415&lt;0.6,0.6,IF(CX415&lt;0.8,0.8,IF(CX415&lt;1,1,IF(CX415&lt;1.2,1.2,IF(CX415&lt;1.4,1.4,IF(CX415&lt;1.6,1.6,IF(CX415&lt;1.8,1.8,IF(CX415&lt;2,2,2.2))))))))</f>
        <v>2.2000000000000002</v>
      </c>
      <c r="FS415" s="23">
        <f>IF(CY415&lt;0.6,0.6,IF(CY415&lt;0.8,0.8,IF(CY415&lt;1,1,IF(CY415&lt;1.2,1.2,IF(CY415&lt;1.4,1.4,IF(CY415&lt;1.6,1.6,IF(CY415&lt;1.8,1.8,IF(CY415&lt;2,2,2.2))))))))</f>
        <v>1.4</v>
      </c>
      <c r="FT415" s="23">
        <f>IF(CZ415&lt;0.6,0.6,IF(CZ415&lt;0.8,0.8,IF(CZ415&lt;1,1,IF(CZ415&lt;1.2,1.2,IF(CZ415&lt;1.4,1.4,IF(CZ415&lt;1.6,1.6,IF(CZ415&lt;1.8,1.8,IF(CZ415&lt;2,2,2.2))))))))</f>
        <v>1</v>
      </c>
      <c r="FU415" s="23">
        <f>IF(FS415&lt;1,1,0)</f>
        <v>0</v>
      </c>
      <c r="FV415" s="23"/>
      <c r="GF415" s="4">
        <f>IF(S415&gt;=2.5*25.4,1,1.25)</f>
        <v>1</v>
      </c>
      <c r="GG415" s="4">
        <f>IF(AO415&gt;1, 0.05*(18-MIN(8,(W415+N415)/N415))*(1-48000/MAX(60000,(J415*145))*(N415/25.4)^0.75*GH415), 1/12*(14-MIN(8,(W415+N415)/N415)))</f>
        <v>0.5</v>
      </c>
      <c r="GH415" s="4">
        <f>MIN(0.3, AM415^2*PI()/4*2*AP415/(N415^2*PI()/4*X415))</f>
        <v>0</v>
      </c>
      <c r="GI415" s="4">
        <f>(K415/25.4)/(N415/25.4)^1.5/0.0024*(M415*145)^0.25/GF415/GG415/145</f>
        <v>715.19728014738234</v>
      </c>
    </row>
    <row r="416" spans="1:191" ht="12" customHeight="1" x14ac:dyDescent="0.3">
      <c r="A416" s="25">
        <v>345</v>
      </c>
      <c r="B416" s="4" t="s">
        <v>605</v>
      </c>
      <c r="C416" s="4">
        <v>2016</v>
      </c>
      <c r="D416" s="4" t="s">
        <v>309</v>
      </c>
      <c r="E416" s="24" t="s">
        <v>672</v>
      </c>
      <c r="F416" s="24"/>
      <c r="G416" s="24">
        <v>19</v>
      </c>
      <c r="H416" s="7" t="s">
        <v>509</v>
      </c>
      <c r="I416" s="5">
        <f>K416/N416</f>
        <v>5.9999999999999991</v>
      </c>
      <c r="J416" s="38">
        <f>129/0.145</f>
        <v>889.65517241379314</v>
      </c>
      <c r="K416" s="38">
        <f>6*25.4</f>
        <v>152.39999999999998</v>
      </c>
      <c r="L416" s="4">
        <f>K416</f>
        <v>152.39999999999998</v>
      </c>
      <c r="M416" s="38">
        <f>4930/145</f>
        <v>34</v>
      </c>
      <c r="N416" s="96">
        <f>1*25.4</f>
        <v>25.4</v>
      </c>
      <c r="O416" s="7">
        <f>K416/N416</f>
        <v>5.9999999999999991</v>
      </c>
      <c r="P416" s="7">
        <f>L416/N416</f>
        <v>5.9999999999999991</v>
      </c>
      <c r="Q416" s="38">
        <f>12.5*25.4</f>
        <v>317.5</v>
      </c>
      <c r="R416" s="32">
        <f>S416/N416</f>
        <v>2.5499999999999998</v>
      </c>
      <c r="S416" s="38">
        <f>2.55*25.4</f>
        <v>64.77</v>
      </c>
      <c r="T416" s="32">
        <f>U416/N416</f>
        <v>7</v>
      </c>
      <c r="U416" s="39">
        <f>7*25.4</f>
        <v>177.79999999999998</v>
      </c>
      <c r="V416" s="32">
        <f>W416/N416</f>
        <v>2.2000000000000006</v>
      </c>
      <c r="W416" s="7">
        <f>(Q416-X416*N416-2*S416)/(X416-1)</f>
        <v>55.88000000000001</v>
      </c>
      <c r="X416" s="38">
        <v>3</v>
      </c>
      <c r="Y416" s="7">
        <f>AN416</f>
        <v>10</v>
      </c>
      <c r="Z416" s="32">
        <f>AA416/N416</f>
        <v>10.25</v>
      </c>
      <c r="AA416" s="4">
        <f>10.25*25.4</f>
        <v>260.34999999999997</v>
      </c>
      <c r="AB416" s="7">
        <f>MIN(S416/N416+0.5, W416/2/N416+0.5)</f>
        <v>1.6000000000000003</v>
      </c>
      <c r="AC416" s="7">
        <f>S416/N416+0.5</f>
        <v>3.05</v>
      </c>
      <c r="AD416" s="38">
        <v>4.0999999999999996</v>
      </c>
      <c r="AE416" s="4">
        <f>AD416</f>
        <v>4.0999999999999996</v>
      </c>
      <c r="AF416" s="4">
        <f>AE416+1</f>
        <v>5.0999999999999996</v>
      </c>
      <c r="AG416" s="7">
        <f>N416*AF416^0.5</f>
        <v>57.361276136431961</v>
      </c>
      <c r="AJ416" s="38">
        <f>AK416/0.145</f>
        <v>280.00000000000006</v>
      </c>
      <c r="AK416" s="4">
        <v>40.6</v>
      </c>
      <c r="AL416" s="4">
        <f>CY416</f>
        <v>1.7309716556713737</v>
      </c>
      <c r="AM416" s="38">
        <f>0.375*25.4</f>
        <v>9.5249999999999986</v>
      </c>
      <c r="AN416" s="38">
        <v>10</v>
      </c>
      <c r="AO416" s="39">
        <f>3*25.4</f>
        <v>76.199999999999989</v>
      </c>
      <c r="AP416" s="39">
        <v>3</v>
      </c>
      <c r="AQ416" s="39">
        <f>AP416-1</f>
        <v>2</v>
      </c>
      <c r="AR416" s="7"/>
      <c r="AS416" s="4">
        <f>K416</f>
        <v>152.39999999999998</v>
      </c>
      <c r="AT416" s="4">
        <f>IF(K416*3&gt;W416+N416, Q416, (S416+N416/2)*2+1.5*K416*(2*X416-2))*(3*K416)/(9*K416^2)</f>
        <v>0.69444444444444442</v>
      </c>
      <c r="AU416" s="4">
        <f>MIN(10*M416^0.5*K416^1.5,100*3.9*M416^0.5*K416^(5/3))/(PI()/4*N416^2)/X416</f>
        <v>72.166948114322295</v>
      </c>
      <c r="AV416" s="4">
        <f>MIN(0.7+0.3*(MIN(S416,AA416)+0.5*N416)/1.5/K416,1)</f>
        <v>0.80166666666666664</v>
      </c>
      <c r="AW416" s="4">
        <v>1.25</v>
      </c>
      <c r="AX416" s="4">
        <f>AX415</f>
        <v>1</v>
      </c>
      <c r="AY416" s="38">
        <f>AT416*AV416*AW416*AX416*AU416</f>
        <v>50.220344390898468</v>
      </c>
      <c r="AZ416" s="38">
        <f>AY416</f>
        <v>50.220344390898468</v>
      </c>
      <c r="BA416" s="38">
        <f>IF(M416&lt;50, 0.3*M416^(2/3), 2.12*LN(1+0.1*(M416+8)))</f>
        <v>3.1485253868929024</v>
      </c>
      <c r="BB416" s="38">
        <f>AX416* (M416^0.5/AS416^0.5)/(PI()/4*N416^2)/X416/0.72 *(0.7+(MIN(S416,AA416)+0.5*N416)/5/K416) *(3*Q416*K416)</f>
        <v>50.220344390898461</v>
      </c>
      <c r="BC416" s="38">
        <f>AY416/BB416</f>
        <v>1.0000000000000002</v>
      </c>
      <c r="BD416" s="38">
        <f>BH416/BB416</f>
        <v>5.9769228233217024</v>
      </c>
      <c r="BE416" s="4">
        <f>IF(BD416&lt;1,1,0)</f>
        <v>0</v>
      </c>
      <c r="BF416" s="4">
        <f>L416/N416*M416^0.5/0.19</f>
        <v>184.13532299511473</v>
      </c>
      <c r="BG416" s="4">
        <f>MIN(0.6+0.4*(AC416/AB416),2)</f>
        <v>1.3624999999999998</v>
      </c>
      <c r="BH416" s="38">
        <f>2*M416*AB416*AD416^0.5*BG416*0.7/0.7</f>
        <v>300.16312258503706</v>
      </c>
      <c r="BI416" s="4">
        <f>MAX(1-0.7*AE416/5,0.3)</f>
        <v>0.42600000000000005</v>
      </c>
      <c r="BJ416" s="4">
        <f>BI416*J416*L416/(J416*N416/2.75/M416^0.5)</f>
        <v>40.985760868867615</v>
      </c>
      <c r="BK416" s="4">
        <f>BH416+BJ416</f>
        <v>341.14888345390466</v>
      </c>
      <c r="BM416" s="4">
        <f>MIN(1.5, 0.75+0.25*MIN(3,MAX(1,S416/N416))+0.4*MIN(1,(40*2*PI()*AM416^2/4/AO416/X416)/N416))</f>
        <v>1.5</v>
      </c>
      <c r="BN416" s="4">
        <f>(3*P416+30)*BM416*M416^0.5</f>
        <v>419.82853642886164</v>
      </c>
      <c r="BP416" s="4">
        <f>3.4/PI()^0.5*M416*AB416*AE416^0.5*BG416</f>
        <v>287.89314211699849</v>
      </c>
      <c r="BQ416" s="4">
        <f>8/3*AH416*AI416^2/(AG416-N416-22)/N416*(AG416^2-N416^2)/(AG416^2-(N416+22)^2)</f>
        <v>0</v>
      </c>
      <c r="BR416" s="4">
        <f>BQ416/BP416</f>
        <v>0</v>
      </c>
      <c r="BZ416" s="4">
        <f>IF(W416=0,S416,MIN(W416/2,S416))</f>
        <v>27.940000000000005</v>
      </c>
      <c r="CD416" s="9"/>
      <c r="CF416" s="9"/>
      <c r="CG416" s="9"/>
      <c r="CH416" s="9">
        <f>IF(W416=0,MIN(S416,U416),MIN(W416/2,S416,U416))</f>
        <v>27.940000000000005</v>
      </c>
      <c r="CI416" s="9">
        <f>MAX(W416/2,S416)</f>
        <v>64.77</v>
      </c>
      <c r="CJ416" s="9">
        <f>(CH416/N416)^0.5*(CI416/CH416)^0.15</f>
        <v>1.1897849384592458</v>
      </c>
      <c r="CK416" s="70">
        <f>IF(AO416&gt;1,20,0)</f>
        <v>20</v>
      </c>
      <c r="CL416" s="9">
        <f>MIN(PI()*AM416^2/4*AN416*2/X416/N416/MAX(0.01,AO416),0.05)</f>
        <v>0.05</v>
      </c>
      <c r="CM416" s="9">
        <f>MAX(0,CK416*(CL416-0.5/50))</f>
        <v>0.8</v>
      </c>
      <c r="CN416" s="9">
        <f>MIN(1,(25/N416)^0.3)</f>
        <v>0.99524931562137331</v>
      </c>
      <c r="CO416" s="9">
        <f>IF(J416&gt;=800,0.68,IF(J416&gt;=700,0.75-(J416-700)*0.07/100,IF(J416&gt;=600,0.85-(J416-600)*0.1/100,IF(J416&gt;=500,1-(J416-500)*0.15/100,1.2-(J416-400)*0.2/100))))</f>
        <v>0.68</v>
      </c>
      <c r="CP416" s="9">
        <f>1.75*CN416*CO416*(M416/25)^0.5</f>
        <v>1.3811737100982926</v>
      </c>
      <c r="CQ416" s="9">
        <f>MIN((CJ416+CM416)*CP416,2.5*CP416,M416^0.5)</f>
        <v>2.7482386457494594</v>
      </c>
      <c r="CR416" s="40">
        <v>1</v>
      </c>
      <c r="CS416" s="9">
        <f>4*CQ416*P416+60*CQ416</f>
        <v>230.8520462429546</v>
      </c>
      <c r="CU416" s="4">
        <f>AJ416/BF416</f>
        <v>1.5206207882635787</v>
      </c>
      <c r="CV416" s="4">
        <f>AJ416/BK416</f>
        <v>0.82075602055380337</v>
      </c>
      <c r="CW416" s="4">
        <f>AJ416/BN416</f>
        <v>0.6669389422208678</v>
      </c>
      <c r="CX416" s="4">
        <f>AJ416/CS416</f>
        <v>1.2128980641796907</v>
      </c>
      <c r="CY416" s="4">
        <f>AJ416/DZ416</f>
        <v>1.7309716556713737</v>
      </c>
      <c r="CZ416" s="4">
        <f>AJ416/EL416</f>
        <v>1.1248507186141501</v>
      </c>
      <c r="DA416" s="4">
        <f>AJ416/GI416</f>
        <v>1.2840983524179472</v>
      </c>
      <c r="DB416" s="4">
        <f>AN416</f>
        <v>10</v>
      </c>
      <c r="DI416" s="4">
        <f>CU416</f>
        <v>1.5206207882635787</v>
      </c>
      <c r="DJ416" s="4">
        <f>CV416</f>
        <v>0.82075602055380337</v>
      </c>
      <c r="DK416" s="4">
        <f>CX416</f>
        <v>1.2128980641796907</v>
      </c>
      <c r="DL416" s="4">
        <f>DA416</f>
        <v>1.2840983524179472</v>
      </c>
      <c r="DM416" s="4">
        <f>CY416</f>
        <v>1.7309716556713737</v>
      </c>
      <c r="DN416" s="4">
        <f>CZ416</f>
        <v>1.1248507186141501</v>
      </c>
      <c r="DQ416" s="4">
        <f>L416</f>
        <v>152.39999999999998</v>
      </c>
      <c r="DT416" s="4">
        <f>K416/4/(1-0.3*(M416/30)^0.5)/200000/N416</f>
        <v>1.1019273845657792E-5</v>
      </c>
      <c r="DU416" s="4">
        <f>EP416</f>
        <v>6.9798597404126728</v>
      </c>
      <c r="DV416" s="4">
        <f>EC416*AG416/257/M416/AD416</f>
        <v>8.0408617316934689E-2</v>
      </c>
      <c r="DW416" s="4">
        <f>DU416*DV416^0.4</f>
        <v>2.5466410380912095</v>
      </c>
      <c r="DX416" s="4">
        <f>MIN(DU416, DU416/1.4*(1-DV416^1.4)/(1-DV416))</f>
        <v>5.2624987135743746</v>
      </c>
      <c r="DY416" s="4">
        <f>MAX(DU416/2, (4-DT416*(8*AG416*(DW416-DX416)+6*K416*DX416))/(4+DT416*K416*DU416)*DU416)</f>
        <v>6.89110306929636</v>
      </c>
      <c r="DZ416" s="38">
        <f>MIN(1/N416*(4*AG416*(DW416-DX416)+(3*DX416+DY416)*K416)+EC416 -FJ416,MAX(J416,AJ416))</f>
        <v>161.75885900997</v>
      </c>
      <c r="EA416" s="4">
        <f>DZ416/FF416</f>
        <v>1.0001162812221995</v>
      </c>
      <c r="EB416" s="4">
        <f>AG416/N416</f>
        <v>2.2583179581272428</v>
      </c>
      <c r="EC416" s="4">
        <f>MIN(EB$10*BB416)</f>
        <v>50.220344390898461</v>
      </c>
      <c r="EG416" s="4">
        <f>IF(U416&gt;1*N416,0.85,1)</f>
        <v>0.85</v>
      </c>
      <c r="EH416" s="4">
        <f>MIN(1,MAX(0.7,(1-0.1*(BZ416-1*N416)/N416)))</f>
        <v>0.99</v>
      </c>
      <c r="EI416" s="4">
        <f>MIN(1,MAX(0.7,1-0.3*(PI()*AM416^2/4*AQ416*2-0.25*PI()/4*N416^2)/(PI()/4*N416^2)))</f>
        <v>0.90625</v>
      </c>
      <c r="EJ416" s="4">
        <f>IF(EH416*EI416&lt;0.7,0.7,EH416*EI416)</f>
        <v>0.89718750000000003</v>
      </c>
      <c r="EL416" s="4">
        <f>MIN(DU416/N416*3*K416+EM416-FJ416,MAX(J416,AJ416))</f>
        <v>248.92191947476238</v>
      </c>
      <c r="EM416" s="25">
        <f>13.3*Q416*K416^0.5*M416^0.5/X416/N416^2*(0.7+S416/5/K416)</f>
        <v>123.28444414733428</v>
      </c>
      <c r="EO416" s="4">
        <f>EG416*EJ416</f>
        <v>0.76260937500000003</v>
      </c>
      <c r="EP416" s="4">
        <f>IF(N416&lt;22.2,1.1*5*(M416/30)^0.5,IF(N416&gt;=31.8,0.9*5*(M416/30)^0.5,1*5*(M416/30)^0.5))/EG416/EJ416</f>
        <v>6.9798597404126728</v>
      </c>
      <c r="ES416" s="4">
        <f>ET416*N416</f>
        <v>57.361276136431961</v>
      </c>
      <c r="ET416" s="4">
        <f>AF416^0.5</f>
        <v>2.2583179581272428</v>
      </c>
      <c r="EU416" s="4">
        <f>MIN(EC416)/(4700*M416^0.5)/AE416*ES416</f>
        <v>2.5637597092140474E-2</v>
      </c>
      <c r="EX416" s="4">
        <f>EU416</f>
        <v>2.5637597092140474E-2</v>
      </c>
      <c r="EY416" s="4">
        <f>MIN(0.999, EX416/(0.3*(M416/30)^0.5))</f>
        <v>8.0274430320761786E-2</v>
      </c>
      <c r="EZ416" s="4">
        <f>EP416/1*EY416^0.4</f>
        <v>2.5449402385588562</v>
      </c>
      <c r="FA416" s="4">
        <f>EP416/1.4*(1-EY416^1.4)/(1-EY416)</f>
        <v>5.2621023487357137</v>
      </c>
      <c r="FB416" s="4">
        <f>MAX(0,DQ416*FB$9-ES416)</f>
        <v>56.938723863568022</v>
      </c>
      <c r="FC416" s="4">
        <f>MAX(0,DQ416-ES416-FB416)</f>
        <v>38.099999999999987</v>
      </c>
      <c r="FD416" s="4">
        <f>FC416/(1-0.3*(M416/30)^0.5)/200000/N416</f>
        <v>1.1019273845657788E-5</v>
      </c>
      <c r="FE416" s="4">
        <f>MAX(0.5*EP416, (1-2*FD416*(ES416*EZ416+FB416*FA416))/(1/EP416+FD416*FC416))</f>
        <v>6.8911214941936834</v>
      </c>
      <c r="FF416" s="4">
        <f>MIN(4/N416*(1*EZ416*ES416+FA416*FB416+FC416*FE416)+EC416,MAX(J416,AJ416))</f>
        <v>161.74005167908214</v>
      </c>
      <c r="FO416" s="23">
        <f>IF(CU416&lt;0.6,0.6,IF(CU416&lt;0.8,0.8,IF(CU416&lt;1,1,IF(CU416&lt;1.2,1.2,IF(CU416&lt;1.4,1.4,IF(CU416&lt;1.6,1.6,IF(CU416&lt;1.8,1.8,IF(CU416&lt;2,2,2.2))))))))</f>
        <v>1.6</v>
      </c>
      <c r="FP416" s="23">
        <f>IF(CV416&lt;0.6,0.6,IF(CV416&lt;0.8,0.8,IF(CV416&lt;1,1,IF(CV416&lt;1.2,1.2,IF(CV416&lt;1.4,1.4,IF(CV416&lt;1.6,1.6,IF(CV416&lt;1.8,1.8,IF(CV416&lt;2,2,2.2))))))))</f>
        <v>1</v>
      </c>
      <c r="FQ416" s="23">
        <f>IF(DA416&lt;0.6,0.6,IF(DA416&lt;0.8,0.8,IF(DA416&lt;1,1,IF(DA416&lt;1.2,1.2,IF(DA416&lt;1.4,1.4,IF(DA416&lt;1.6,1.6,IF(DA416&lt;1.8,1.8,IF(DA416&lt;2,2,2.2))))))))</f>
        <v>1.4</v>
      </c>
      <c r="FR416" s="23">
        <f>IF(CX416&lt;0.6,0.6,IF(CX416&lt;0.8,0.8,IF(CX416&lt;1,1,IF(CX416&lt;1.2,1.2,IF(CX416&lt;1.4,1.4,IF(CX416&lt;1.6,1.6,IF(CX416&lt;1.8,1.8,IF(CX416&lt;2,2,2.2))))))))</f>
        <v>1.4</v>
      </c>
      <c r="FS416" s="23">
        <f>IF(CY416&lt;0.6,0.6,IF(CY416&lt;0.8,0.8,IF(CY416&lt;1,1,IF(CY416&lt;1.2,1.2,IF(CY416&lt;1.4,1.4,IF(CY416&lt;1.6,1.6,IF(CY416&lt;1.8,1.8,IF(CY416&lt;2,2,2.2))))))))</f>
        <v>1.8</v>
      </c>
      <c r="FT416" s="23">
        <f>IF(CZ416&lt;0.6,0.6,IF(CZ416&lt;0.8,0.8,IF(CZ416&lt;1,1,IF(CZ416&lt;1.2,1.2,IF(CZ416&lt;1.4,1.4,IF(CZ416&lt;1.6,1.6,IF(CZ416&lt;1.8,1.8,IF(CZ416&lt;2,2,2.2))))))))</f>
        <v>1.2</v>
      </c>
      <c r="FU416" s="23">
        <f>IF(FS416&lt;1,1,0)</f>
        <v>0</v>
      </c>
      <c r="FV416" s="23"/>
      <c r="GF416" s="4">
        <f>IF(S416&gt;=2.5*25.4,1,1.25)</f>
        <v>1</v>
      </c>
      <c r="GG416" s="4">
        <f>IF(AO416&gt;1, 0.05*(18-MIN(8,(W416+N416)/N416))*(1-48000/MAX(60000,(J416*145))*(N416/25.4)^0.75*GH416), 1/12*(14-MIN(8,(W416+N416)/N416)))</f>
        <v>0.66255813953488385</v>
      </c>
      <c r="GH416" s="4">
        <f>MIN(0.3, AM416^2*PI()/4*2*AP416/(N416^2*PI()/4*X416))</f>
        <v>0.28124999999999994</v>
      </c>
      <c r="GI416" s="4">
        <f>(K416/25.4)/(N416/25.4)^1.5/0.0024*(M416*145)^0.25/GF416/GG416/145</f>
        <v>218.05183339170418</v>
      </c>
    </row>
    <row r="417" spans="1:191" ht="12" customHeight="1" x14ac:dyDescent="0.3">
      <c r="A417" s="25">
        <v>365</v>
      </c>
      <c r="B417" s="4" t="s">
        <v>605</v>
      </c>
      <c r="C417" s="4">
        <v>2016</v>
      </c>
      <c r="D417" s="4" t="s">
        <v>309</v>
      </c>
      <c r="E417" s="24" t="s">
        <v>673</v>
      </c>
      <c r="F417" s="97" t="s">
        <v>762</v>
      </c>
      <c r="G417" s="24">
        <v>2</v>
      </c>
      <c r="H417" s="7" t="s">
        <v>530</v>
      </c>
      <c r="I417" s="5">
        <f>K417/N417</f>
        <v>9.5039999999999996</v>
      </c>
      <c r="J417" s="38">
        <f>139/0.145</f>
        <v>958.62068965517244</v>
      </c>
      <c r="K417" s="78">
        <f>5.94*25.4</f>
        <v>150.876</v>
      </c>
      <c r="L417" s="4">
        <f>K417</f>
        <v>150.876</v>
      </c>
      <c r="M417" s="76">
        <f>4690/145</f>
        <v>32.344827586206897</v>
      </c>
      <c r="N417" s="38">
        <f>0.625*25.4</f>
        <v>15.875</v>
      </c>
      <c r="O417" s="7">
        <f>K417/N417</f>
        <v>9.5039999999999996</v>
      </c>
      <c r="P417" s="7">
        <f>L417/N417</f>
        <v>9.5039999999999996</v>
      </c>
      <c r="Q417" s="38">
        <f>12.9*25.4</f>
        <v>327.65999999999997</v>
      </c>
      <c r="R417" s="32">
        <f>S417/N417</f>
        <v>4.08</v>
      </c>
      <c r="S417" s="38">
        <f>2.55*25.4</f>
        <v>64.77</v>
      </c>
      <c r="T417" s="32">
        <f>U417/N417</f>
        <v>5.2</v>
      </c>
      <c r="U417" s="39">
        <f>3.25*25.4</f>
        <v>82.55</v>
      </c>
      <c r="V417" s="32">
        <f>W417/N417</f>
        <v>10.479999999999999</v>
      </c>
      <c r="W417" s="7">
        <f>(Q417-X417*N417-2*S417)/(X417-1)</f>
        <v>166.36999999999998</v>
      </c>
      <c r="X417" s="38">
        <v>2</v>
      </c>
      <c r="Y417" s="7">
        <f>AN417</f>
        <v>4</v>
      </c>
      <c r="Z417" s="32">
        <f>AA417/N417</f>
        <v>8.4</v>
      </c>
      <c r="AA417" s="4">
        <f>5.25*25.4</f>
        <v>133.35</v>
      </c>
      <c r="AB417" s="7">
        <f>MIN(S417/N417+0.5, W417/2/N417+0.5)</f>
        <v>4.58</v>
      </c>
      <c r="AC417" s="7">
        <f>S417/N417+0.5</f>
        <v>4.58</v>
      </c>
      <c r="AD417" s="38">
        <v>13.1</v>
      </c>
      <c r="AE417" s="4">
        <f>AD417</f>
        <v>13.1</v>
      </c>
      <c r="AF417" s="4">
        <f>AE417+1</f>
        <v>14.1</v>
      </c>
      <c r="AG417" s="7">
        <f>N417*AF417^0.5</f>
        <v>59.610572153771514</v>
      </c>
      <c r="AJ417" s="38">
        <f>AK417/0.145</f>
        <v>1032.4137931034484</v>
      </c>
      <c r="AK417" s="4">
        <v>149.69999999999999</v>
      </c>
      <c r="AL417" s="4">
        <f>CY417</f>
        <v>2.356880352834843</v>
      </c>
      <c r="AM417" s="38">
        <f>0.375*25.4</f>
        <v>9.5249999999999986</v>
      </c>
      <c r="AN417" s="38">
        <v>4</v>
      </c>
      <c r="AO417" s="39">
        <f>3.5*25.4</f>
        <v>88.899999999999991</v>
      </c>
      <c r="AP417" s="39">
        <v>2</v>
      </c>
      <c r="AQ417" s="39">
        <f>AP417-1</f>
        <v>1</v>
      </c>
      <c r="AR417" s="7"/>
      <c r="AS417" s="4">
        <f>K417</f>
        <v>150.876</v>
      </c>
      <c r="AT417" s="4">
        <f>IF(K417*3&gt;W417+N417, Q417, (S417+N417/2)*2+1.5*K417*(2*X417-2))*(3*K417)/(9*K417^2)</f>
        <v>0.72390572390572394</v>
      </c>
      <c r="AU417" s="4">
        <f>MIN(10*M417^0.5*K417^1.5,100*3.9*M417^0.5*K417^(5/3))/(PI()/4*N417^2)/X417</f>
        <v>266.24736459915772</v>
      </c>
      <c r="AV417" s="4">
        <f>MIN(0.7+0.3*(MIN(S417,AA417)+0.5*N417)/1.5/K417,1)</f>
        <v>0.7963804713804713</v>
      </c>
      <c r="AW417" s="4">
        <v>1.25</v>
      </c>
      <c r="AX417" s="4">
        <f>AX416</f>
        <v>1</v>
      </c>
      <c r="AY417" s="38">
        <f>AT417*AV417*AW417*AX417*AU417</f>
        <v>191.86596536408402</v>
      </c>
      <c r="AZ417" s="38">
        <f>AY417</f>
        <v>191.86596536408402</v>
      </c>
      <c r="BA417" s="38">
        <f>IF(M417&lt;50, 0.3*M417^(2/3), 2.12*LN(1+0.1*(M417+8)))</f>
        <v>3.0454944685430494</v>
      </c>
      <c r="BB417" s="38">
        <f>AX417* (M417^0.5/AS417^0.5)/(PI()/4*N417^2)/X417/0.72 *(0.7+(MIN(S417,AA417)+0.5*N417)/5/K417) *(3*Q417*K417)</f>
        <v>191.86596536408422</v>
      </c>
      <c r="BC417" s="38">
        <f>AY417/BB417</f>
        <v>0.999999999999999</v>
      </c>
      <c r="BD417" s="38">
        <f>BH417/BB417</f>
        <v>5.5890503087116468</v>
      </c>
      <c r="BE417" s="4">
        <f>IF(BD417&lt;1,1,0)</f>
        <v>0</v>
      </c>
      <c r="BF417" s="4">
        <f>L417/N417*M417^0.5/0.19</f>
        <v>284.48229764792148</v>
      </c>
      <c r="BG417" s="4">
        <f>MIN(0.6+0.4*(AC417/AB417),2)</f>
        <v>1</v>
      </c>
      <c r="BH417" s="38">
        <f>2*M417*AB417*AD417^0.5*BG417*0.7/0.7</f>
        <v>1072.3485329493931</v>
      </c>
      <c r="BI417" s="4">
        <f>MAX(1-0.7*AE417/5,0.3)</f>
        <v>0.3</v>
      </c>
      <c r="BJ417" s="4">
        <f>BI417*J417*L417/(J417*N417/2.75/M417^0.5)</f>
        <v>44.592600156311697</v>
      </c>
      <c r="BK417" s="4">
        <f>BH417+BJ417</f>
        <v>1116.9411331057047</v>
      </c>
      <c r="BM417" s="4">
        <f>MIN(1.5, 0.75+0.25*MIN(3,MAX(1,S417/N417))+0.4*MIN(1,(40*2*PI()*AM417^2/4/AO417/X417)/N417))</f>
        <v>1.5</v>
      </c>
      <c r="BN417" s="4">
        <f>(3*P417+30)*BM417*M417^0.5</f>
        <v>499.15867392602348</v>
      </c>
      <c r="BP417" s="4">
        <f>3.4/PI()^0.5*M417*AB417*AE417^0.5*BG417</f>
        <v>1028.5133827787015</v>
      </c>
      <c r="BQ417" s="4">
        <f>8/3*AH417*AI417^2/(AG417-N417-22)/N417*(AG417^2-N417^2)/(AG417^2-(N417+22)^2)</f>
        <v>0</v>
      </c>
      <c r="BR417" s="4">
        <f>BQ417/BP417</f>
        <v>0</v>
      </c>
      <c r="BZ417" s="4">
        <f>IF(W417=0,S417,MIN(W417/2,S417))</f>
        <v>64.77</v>
      </c>
      <c r="CD417" s="9"/>
      <c r="CF417" s="9"/>
      <c r="CG417" s="9"/>
      <c r="CH417" s="9">
        <f>IF(W417=0,MIN(S417,U417),MIN(W417/2,S417,U417))</f>
        <v>64.77</v>
      </c>
      <c r="CI417" s="9">
        <f>MAX(W417/2,S417)</f>
        <v>83.184999999999988</v>
      </c>
      <c r="CJ417" s="9">
        <f>(CH417/N417)^0.5*(CI417/CH417)^0.15</f>
        <v>2.0971560619797187</v>
      </c>
      <c r="CK417" s="70">
        <f>IF(AO417&gt;1,20,0)</f>
        <v>20</v>
      </c>
      <c r="CL417" s="9">
        <f>MIN(PI()*AM417^2/4*AN417*2/X417/N417/MAX(0.01,AO417),0.05)</f>
        <v>0.05</v>
      </c>
      <c r="CM417" s="9">
        <f>MAX(0,CK417*(CL417-0.5/50))</f>
        <v>0.8</v>
      </c>
      <c r="CN417" s="9">
        <f>MIN(1,(25/N417)^0.3)</f>
        <v>1</v>
      </c>
      <c r="CO417" s="9">
        <f>IF(J417&gt;=800,0.68,IF(J417&gt;=700,0.75-(J417-700)*0.07/100,IF(J417&gt;=600,0.85-(J417-600)*0.1/100,IF(J417&gt;=500,1-(J417-500)*0.15/100,1.2-(J417-400)*0.2/100))))</f>
        <v>0.68</v>
      </c>
      <c r="CP417" s="9">
        <f>1.75*CN417*CO417*(M417/25)^0.5</f>
        <v>1.3535658143559566</v>
      </c>
      <c r="CQ417" s="9">
        <f>MIN((CJ417+CM417)*CP417,2.5*CP417,M417^0.5)</f>
        <v>3.3839145358898914</v>
      </c>
      <c r="CR417" s="40">
        <v>1</v>
      </c>
      <c r="CS417" s="9">
        <f>4*CQ417*P417+60*CQ417</f>
        <v>331.67776714978356</v>
      </c>
      <c r="CU417" s="4">
        <f>AJ417/BF417</f>
        <v>3.6290967896398789</v>
      </c>
      <c r="CV417" s="4">
        <f>AJ417/BK417</f>
        <v>0.92432247546723945</v>
      </c>
      <c r="CW417" s="4">
        <f>AJ417/BN417</f>
        <v>2.068307828817685</v>
      </c>
      <c r="CX417" s="4">
        <f>AJ417/CS417</f>
        <v>3.1127012279879973</v>
      </c>
      <c r="CY417" s="4">
        <f>AJ417/DZ417</f>
        <v>2.356880352834843</v>
      </c>
      <c r="CZ417" s="4">
        <f>AJ417/EL417</f>
        <v>1.3796539954432834</v>
      </c>
      <c r="DA417" s="4">
        <f>AJ417/GI417</f>
        <v>1.6741983885487828</v>
      </c>
      <c r="DB417" s="4">
        <f>AN417</f>
        <v>4</v>
      </c>
      <c r="DI417" s="4">
        <f>CU417</f>
        <v>3.6290967896398789</v>
      </c>
      <c r="DJ417" s="4">
        <f>CV417</f>
        <v>0.92432247546723945</v>
      </c>
      <c r="DK417" s="4">
        <f>CX417</f>
        <v>3.1127012279879973</v>
      </c>
      <c r="DL417" s="4">
        <f>DA417</f>
        <v>1.6741983885487828</v>
      </c>
      <c r="DM417" s="4">
        <f>CY417</f>
        <v>2.356880352834843</v>
      </c>
      <c r="DN417" s="4">
        <f>CZ417</f>
        <v>1.3796539954432834</v>
      </c>
      <c r="DQ417" s="4">
        <f>L417</f>
        <v>150.876</v>
      </c>
      <c r="DT417" s="4">
        <f>K417/4/(1-0.3*(M417/30)^0.5)/200000/N417</f>
        <v>1.7254991778507537E-5</v>
      </c>
      <c r="DU417" s="4">
        <f>EP417</f>
        <v>9.5981496427943913</v>
      </c>
      <c r="DV417" s="4">
        <f>EC417*AG417/257/M417/AD417</f>
        <v>0.10502966347167865</v>
      </c>
      <c r="DW417" s="4">
        <f>DU417*DV417^0.4</f>
        <v>3.8968375928292751</v>
      </c>
      <c r="DX417" s="4">
        <f>MIN(DU417, DU417/1.4*(1-DV417^1.4)/(1-DV417))</f>
        <v>7.3337355654396559</v>
      </c>
      <c r="DY417" s="4">
        <f>MAX(DU417/2, (4-DT417*(8*AG417*(DW417-DX417)+6*K417*DX417))/(4+DT417*K417*DU417)*DU417)</f>
        <v>9.3328326171783296</v>
      </c>
      <c r="DZ417" s="38">
        <f>MIN(1/N417*(4*AG417*(DW417-DX417)+(3*DX417+DY417)*K417)+EC417 -FJ417,MAX(J417,AJ417))</f>
        <v>438.04251321526215</v>
      </c>
      <c r="EA417" s="4">
        <f>DZ417/FF417</f>
        <v>1.0001086202289333</v>
      </c>
      <c r="EB417" s="4">
        <f>AG417/N417</f>
        <v>3.7549966711037173</v>
      </c>
      <c r="EC417" s="4">
        <f>MIN(EB$10*BB417)</f>
        <v>191.86596536408422</v>
      </c>
      <c r="EG417" s="4">
        <f>IF(U417&gt;1*N417,0.85,1)</f>
        <v>0.85</v>
      </c>
      <c r="EH417" s="4">
        <f>MIN(1,MAX(0.7,(1-0.1*(BZ417-1*N417)/N417)))</f>
        <v>0.7</v>
      </c>
      <c r="EI417" s="4">
        <f>MIN(1,MAX(0.7,1-0.3*(PI()*AM417^2/4*AQ417*2-0.25*PI()/4*N417^2)/(PI()/4*N417^2)))</f>
        <v>0.85899999999999999</v>
      </c>
      <c r="EJ417" s="4">
        <f>IF(EH417*EI417&lt;0.7,0.7,EH417*EI417)</f>
        <v>0.7</v>
      </c>
      <c r="EL417" s="4">
        <f>MIN(DU417/N417*3*K417+EM417-FJ417,MAX(J417,AJ417))</f>
        <v>748.31356014863229</v>
      </c>
      <c r="EM417" s="25">
        <f>13.3*Q417*K417^0.5*M417^0.5/X417/N417^2*(0.7+S417/5/K417)</f>
        <v>474.65111753327864</v>
      </c>
      <c r="EO417" s="4">
        <f>EG417*EJ417</f>
        <v>0.59499999999999997</v>
      </c>
      <c r="EP417" s="4">
        <f>IF(N417&lt;22.2,1.1*5*(M417/30)^0.5,IF(N417&gt;=31.8,0.9*5*(M417/30)^0.5,1*5*(M417/30)^0.5))/EG417/EJ417</f>
        <v>9.5981496427943913</v>
      </c>
      <c r="ES417" s="4">
        <f>ET417*N417</f>
        <v>59.610572153771514</v>
      </c>
      <c r="ET417" s="4">
        <f>AF417^0.5</f>
        <v>3.7549966711037173</v>
      </c>
      <c r="EU417" s="4">
        <f>MIN(EC417)/(4700*M417^0.5)/AE417*ES417</f>
        <v>3.2662517813269905E-2</v>
      </c>
      <c r="EX417" s="4">
        <f>EU417</f>
        <v>3.2662517813269905E-2</v>
      </c>
      <c r="EY417" s="4">
        <f>MIN(0.999, EX417/(0.3*(M417/30)^0.5))</f>
        <v>0.1048543885382127</v>
      </c>
      <c r="EZ417" s="4">
        <f>EP417/1*EY417^0.4</f>
        <v>3.8942350511061172</v>
      </c>
      <c r="FA417" s="4">
        <f>EP417/1.4*(1-EY417^1.4)/(1-EY417)</f>
        <v>7.333062345241923</v>
      </c>
      <c r="FB417" s="4">
        <f>MAX(0,DQ417*FB$9-ES417)</f>
        <v>53.546427846228497</v>
      </c>
      <c r="FC417" s="4">
        <f>MAX(0,DQ417-ES417-FB417)</f>
        <v>37.718999999999994</v>
      </c>
      <c r="FD417" s="4">
        <f>FC417/(1-0.3*(M417/30)^0.5)/200000/N417</f>
        <v>1.7254991778507533E-5</v>
      </c>
      <c r="FE417" s="4">
        <f>MAX(0.5*EP417, (1-2*FD417*(ES417*EZ417+FB417*FA417))/(1/EP417+FD417*FC417))</f>
        <v>9.3328955514639986</v>
      </c>
      <c r="FF417" s="4">
        <f>MIN(4/N417*(1*EZ417*ES417+FA417*FB417+FC417*FE417)+EC417,MAX(J417,AJ417))</f>
        <v>437.99493810481357</v>
      </c>
      <c r="FO417" s="23">
        <f>IF(CU417&lt;0.6,0.6,IF(CU417&lt;0.8,0.8,IF(CU417&lt;1,1,IF(CU417&lt;1.2,1.2,IF(CU417&lt;1.4,1.4,IF(CU417&lt;1.6,1.6,IF(CU417&lt;1.8,1.8,IF(CU417&lt;2,2,2.2))))))))</f>
        <v>2.2000000000000002</v>
      </c>
      <c r="FP417" s="23">
        <f>IF(CV417&lt;0.6,0.6,IF(CV417&lt;0.8,0.8,IF(CV417&lt;1,1,IF(CV417&lt;1.2,1.2,IF(CV417&lt;1.4,1.4,IF(CV417&lt;1.6,1.6,IF(CV417&lt;1.8,1.8,IF(CV417&lt;2,2,2.2))))))))</f>
        <v>1</v>
      </c>
      <c r="FQ417" s="23">
        <f>IF(DA417&lt;0.6,0.6,IF(DA417&lt;0.8,0.8,IF(DA417&lt;1,1,IF(DA417&lt;1.2,1.2,IF(DA417&lt;1.4,1.4,IF(DA417&lt;1.6,1.6,IF(DA417&lt;1.8,1.8,IF(DA417&lt;2,2,2.2))))))))</f>
        <v>1.8</v>
      </c>
      <c r="FR417" s="23">
        <f>IF(CX417&lt;0.6,0.6,IF(CX417&lt;0.8,0.8,IF(CX417&lt;1,1,IF(CX417&lt;1.2,1.2,IF(CX417&lt;1.4,1.4,IF(CX417&lt;1.6,1.6,IF(CX417&lt;1.8,1.8,IF(CX417&lt;2,2,2.2))))))))</f>
        <v>2.2000000000000002</v>
      </c>
      <c r="FS417" s="23">
        <f>IF(CY417&lt;0.6,0.6,IF(CY417&lt;0.8,0.8,IF(CY417&lt;1,1,IF(CY417&lt;1.2,1.2,IF(CY417&lt;1.4,1.4,IF(CY417&lt;1.6,1.6,IF(CY417&lt;1.8,1.8,IF(CY417&lt;2,2,2.2))))))))</f>
        <v>2.2000000000000002</v>
      </c>
      <c r="FT417" s="23">
        <f>IF(CZ417&lt;0.6,0.6,IF(CZ417&lt;0.8,0.8,IF(CZ417&lt;1,1,IF(CZ417&lt;1.2,1.2,IF(CZ417&lt;1.4,1.4,IF(CZ417&lt;1.6,1.6,IF(CZ417&lt;1.8,1.8,IF(CZ417&lt;2,2,2.2))))))))</f>
        <v>1.4</v>
      </c>
      <c r="FU417" s="23">
        <f>IF(FS417&lt;1,1,0)</f>
        <v>0</v>
      </c>
      <c r="FV417" s="23"/>
      <c r="GF417" s="4">
        <f>IF(S417&gt;=2.5*25.4,1,1.25)</f>
        <v>1</v>
      </c>
      <c r="GG417" s="4">
        <f>IF(AO417&gt;1, 0.05*(18-MIN(8,(W417+N417)/N417))*(1-48000/MAX(60000,(J417*145))*(N417/25.4)^0.75*GH417), 1/12*(14-MIN(8,(W417+N417)/N417)))</f>
        <v>0.46358941059918601</v>
      </c>
      <c r="GH417" s="4">
        <f>MIN(0.3, AM417^2*PI()/4*2*AP417/(N417^2*PI()/4*X417))</f>
        <v>0.3</v>
      </c>
      <c r="GI417" s="4">
        <f>(K417/25.4)/(N417/25.4)^1.5/0.0024*(M417*145)^0.25/GF417/GG417/145</f>
        <v>616.66156183459134</v>
      </c>
    </row>
    <row r="418" spans="1:191" ht="12" customHeight="1" x14ac:dyDescent="0.3">
      <c r="A418" s="25">
        <v>300</v>
      </c>
      <c r="B418" s="4" t="s">
        <v>605</v>
      </c>
      <c r="C418" s="4">
        <v>2016</v>
      </c>
      <c r="D418" s="4" t="s">
        <v>309</v>
      </c>
      <c r="E418" s="24" t="s">
        <v>668</v>
      </c>
      <c r="F418" s="24"/>
      <c r="G418" s="24">
        <v>56</v>
      </c>
      <c r="H418" s="7" t="s">
        <v>460</v>
      </c>
      <c r="I418" s="5">
        <f>K418/N418</f>
        <v>5.63</v>
      </c>
      <c r="J418" s="78">
        <f>115.9/0.145</f>
        <v>799.31034482758628</v>
      </c>
      <c r="K418" s="38">
        <f>5.63*25.4</f>
        <v>143.00199999999998</v>
      </c>
      <c r="L418" s="4">
        <f>K418</f>
        <v>143.00199999999998</v>
      </c>
      <c r="M418" s="38">
        <f>16030/145</f>
        <v>110.55172413793103</v>
      </c>
      <c r="N418" s="38">
        <f>1*25.4</f>
        <v>25.4</v>
      </c>
      <c r="O418" s="7">
        <f>K418/N418</f>
        <v>5.63</v>
      </c>
      <c r="P418" s="7">
        <f>L418/N418</f>
        <v>5.63</v>
      </c>
      <c r="Q418" s="38">
        <f>16.8*25.4</f>
        <v>426.71999999999997</v>
      </c>
      <c r="R418" s="32">
        <f>S418/N418</f>
        <v>2.35</v>
      </c>
      <c r="S418" s="38">
        <f>2.35*25.4</f>
        <v>59.69</v>
      </c>
      <c r="T418" s="32">
        <f>U418/N418</f>
        <v>3.15</v>
      </c>
      <c r="U418" s="39">
        <f>3.15*25.4</f>
        <v>80.009999999999991</v>
      </c>
      <c r="V418" s="32">
        <f>W418/N418</f>
        <v>10.1</v>
      </c>
      <c r="W418" s="7">
        <f>(Q418-X418*N418-2*S418)/(X418-1)</f>
        <v>256.53999999999996</v>
      </c>
      <c r="X418" s="38">
        <v>2</v>
      </c>
      <c r="Y418" s="7">
        <f>AN418</f>
        <v>10</v>
      </c>
      <c r="Z418" s="32">
        <f>AA418/N418</f>
        <v>10.25</v>
      </c>
      <c r="AA418" s="4">
        <f>10.25*25.4</f>
        <v>260.34999999999997</v>
      </c>
      <c r="AB418" s="7">
        <f>MIN(S418/N418+0.5, W418/2/N418+0.5)</f>
        <v>2.85</v>
      </c>
      <c r="AC418" s="7">
        <f>S418/N418+0.5</f>
        <v>2.85</v>
      </c>
      <c r="AD418" s="38">
        <v>9.5</v>
      </c>
      <c r="AE418" s="4">
        <f>AD418</f>
        <v>9.5</v>
      </c>
      <c r="AF418" s="4">
        <f>AE418+1</f>
        <v>10.5</v>
      </c>
      <c r="AG418" s="7">
        <f>N418*AF418^0.5</f>
        <v>82.305406869779816</v>
      </c>
      <c r="AJ418" s="38">
        <f>AK418/0.145</f>
        <v>661.37931034482767</v>
      </c>
      <c r="AK418" s="4">
        <v>95.9</v>
      </c>
      <c r="AL418" s="4">
        <f>CY418</f>
        <v>1.756014516688875</v>
      </c>
      <c r="AM418" s="38">
        <f>0.5*25.4</f>
        <v>12.7</v>
      </c>
      <c r="AN418" s="38">
        <v>10</v>
      </c>
      <c r="AO418" s="39">
        <f>3*25.4</f>
        <v>76.199999999999989</v>
      </c>
      <c r="AP418" s="39">
        <v>3</v>
      </c>
      <c r="AQ418" s="39">
        <f>AP418-1</f>
        <v>2</v>
      </c>
      <c r="AR418" s="7"/>
      <c r="AS418" s="4">
        <f>K418</f>
        <v>143.00199999999998</v>
      </c>
      <c r="AT418" s="4">
        <f>IF(K418*3&gt;W418+N418, Q418, (S418+N418/2)*2+1.5*K418*(2*X418-2))*(3*K418)/(9*K418^2)</f>
        <v>0.99467140319715819</v>
      </c>
      <c r="AU418" s="4">
        <f>MIN(10*M418^0.5*K418^1.5,100*3.9*M418^0.5*K418^(5/3))/(PI()/4*N418^2)/X418</f>
        <v>177.42246835851654</v>
      </c>
      <c r="AV418" s="4">
        <f>MIN(0.7+0.3*(MIN(S418,AA418)+0.5*N418)/1.5/K418,1)</f>
        <v>0.80124333925399638</v>
      </c>
      <c r="AW418" s="4">
        <v>1.25</v>
      </c>
      <c r="AX418" s="4">
        <f>AX417</f>
        <v>1</v>
      </c>
      <c r="AY418" s="38">
        <f>AT418*AV418*AW418*AX418*AU418</f>
        <v>176.7513316241297</v>
      </c>
      <c r="AZ418" s="38">
        <f>AY418</f>
        <v>176.7513316241297</v>
      </c>
      <c r="BA418" s="38">
        <f>IF(M418&lt;50, 0.3*M418^(2/3), 2.12*LN(1+0.1*(M418+8)))</f>
        <v>5.4139420559889198</v>
      </c>
      <c r="BB418" s="38">
        <f>AX418* (M418^0.5/AS418^0.5)/(PI()/4*N418^2)/X418/0.72 *(0.7+(MIN(S418,AA418)+0.5*N418)/5/K418) *(3*Q418*K418)</f>
        <v>176.7513316241297</v>
      </c>
      <c r="BC418" s="38">
        <f>AY418/BB418</f>
        <v>1</v>
      </c>
      <c r="BD418" s="38">
        <f>BH418/BB418</f>
        <v>10.988527111443231</v>
      </c>
      <c r="BE418" s="4">
        <f>IF(BD418&lt;1,1,0)</f>
        <v>0</v>
      </c>
      <c r="BF418" s="4">
        <f>L418/N418*M418^0.5/0.19</f>
        <v>311.55702913783904</v>
      </c>
      <c r="BG418" s="4">
        <f>MIN(0.6+0.4*(AC418/AB418),2)</f>
        <v>1</v>
      </c>
      <c r="BH418" s="38">
        <f>2*M418*AB418*AD418^0.5*BG418*0.7/0.7</f>
        <v>1942.2367995354425</v>
      </c>
      <c r="BI418" s="4">
        <f>MAX(1-0.7*AE418/5,0.3)</f>
        <v>0.3</v>
      </c>
      <c r="BJ418" s="4">
        <f>BI418*J418*L418/(J418*N418/2.75/M418^0.5)</f>
        <v>48.836564317356263</v>
      </c>
      <c r="BK418" s="4">
        <f>BH418+BJ418</f>
        <v>1991.0733638527988</v>
      </c>
      <c r="BM418" s="4">
        <f>MIN(1.5, 0.75+0.25*MIN(3,MAX(1,S418/N418))+0.4*MIN(1,(40*2*PI()*AM418^2/4/AO418/X418)/N418))</f>
        <v>1.5</v>
      </c>
      <c r="BN418" s="4">
        <f>(3*P418+30)*BM418*M418^0.5</f>
        <v>739.52736988239485</v>
      </c>
      <c r="BP418" s="4">
        <f>3.4/PI()^0.5*M418*AB418*AE418^0.5*BG418</f>
        <v>1862.842610837748</v>
      </c>
      <c r="BQ418" s="4">
        <f>8/3*AH418*AI418^2/(AG418-N418-22)/N418*(AG418^2-N418^2)/(AG418^2-(N418+22)^2)</f>
        <v>0</v>
      </c>
      <c r="BR418" s="4">
        <f>BQ418/BP418</f>
        <v>0</v>
      </c>
      <c r="BZ418" s="4">
        <f>IF(W418=0,S418,MIN(W418/2,S418))</f>
        <v>59.69</v>
      </c>
      <c r="CD418" s="9"/>
      <c r="CF418" s="9"/>
      <c r="CG418" s="9"/>
      <c r="CH418" s="9">
        <f>IF(W418=0,MIN(S418,U418),MIN(W418/2,S418,U418))</f>
        <v>59.69</v>
      </c>
      <c r="CI418" s="9">
        <f>MAX(W418/2,S418)</f>
        <v>128.26999999999998</v>
      </c>
      <c r="CJ418" s="9">
        <f>(CH418/N418)^0.5*(CI418/CH418)^0.15</f>
        <v>1.7193625322570376</v>
      </c>
      <c r="CK418" s="70">
        <f>IF(AO418&gt;1,20,0)</f>
        <v>20</v>
      </c>
      <c r="CL418" s="9">
        <f>MIN(PI()*AM418^2/4*AN418*2/X418/N418/MAX(0.01,AO418),0.05)</f>
        <v>0.05</v>
      </c>
      <c r="CM418" s="9">
        <f>MAX(0,CK418*(CL418-0.5/50))</f>
        <v>0.8</v>
      </c>
      <c r="CN418" s="9">
        <f>MIN(1,(25/N418)^0.3)</f>
        <v>0.99524931562137331</v>
      </c>
      <c r="CO418" s="9">
        <f>IF(J418&gt;=800,0.68,IF(J418&gt;=700,0.75-(J418-700)*0.07/100,IF(J418&gt;=600,0.85-(J418-600)*0.1/100,IF(J418&gt;=500,1-(J418-500)*0.15/100,1.2-(J418-400)*0.2/100))))</f>
        <v>0.68048275862068963</v>
      </c>
      <c r="CP418" s="9">
        <f>1.75*CN418*CO418*(M418/25)^0.5</f>
        <v>2.4922971335630986</v>
      </c>
      <c r="CQ418" s="9">
        <f>MIN((CJ418+CM418)*CP418,2.5*CP418,M418^0.5)</f>
        <v>6.2307428339077466</v>
      </c>
      <c r="CR418" s="40">
        <v>1</v>
      </c>
      <c r="CS418" s="9">
        <f>4*CQ418*P418+60*CQ418</f>
        <v>514.1608986540673</v>
      </c>
      <c r="CU418" s="4">
        <f>AJ418/BF418</f>
        <v>2.1228194150362767</v>
      </c>
      <c r="CV418" s="4">
        <f>AJ418/BK418</f>
        <v>0.33217224555956837</v>
      </c>
      <c r="CW418" s="4">
        <f>AJ418/BN418</f>
        <v>0.89432702193294766</v>
      </c>
      <c r="CX418" s="4">
        <f>AJ418/CS418</f>
        <v>1.2863275135782164</v>
      </c>
      <c r="CY418" s="4">
        <f>AJ418/DZ418</f>
        <v>1.756014516688875</v>
      </c>
      <c r="CZ418" s="4">
        <f>AJ418/EL418</f>
        <v>0.93712665612600687</v>
      </c>
      <c r="DA418" s="4">
        <f>AJ418/GI418</f>
        <v>1.9886149364652124</v>
      </c>
      <c r="DB418" s="4">
        <f>AN418</f>
        <v>10</v>
      </c>
      <c r="DI418" s="4">
        <f>CU418</f>
        <v>2.1228194150362767</v>
      </c>
      <c r="DJ418" s="4">
        <f>CV418</f>
        <v>0.33217224555956837</v>
      </c>
      <c r="DK418" s="4">
        <f>CX418</f>
        <v>1.2863275135782164</v>
      </c>
      <c r="DL418" s="4">
        <f>DA418</f>
        <v>1.9886149364652124</v>
      </c>
      <c r="DM418" s="4">
        <f>CY418</f>
        <v>1.756014516688875</v>
      </c>
      <c r="DN418" s="4">
        <f>CZ418</f>
        <v>0.93712665612600687</v>
      </c>
      <c r="DQ418" s="4">
        <f>L418</f>
        <v>143.00199999999998</v>
      </c>
      <c r="DT418" s="4">
        <f>K418/4/(1-0.3*(M418/30)^0.5)/200000/N418</f>
        <v>1.6593772176327059E-5</v>
      </c>
      <c r="DU418" s="4">
        <f>EP418</f>
        <v>16.131515557182595</v>
      </c>
      <c r="DV418" s="4">
        <f>EC418*AG418/257/M418/AD418</f>
        <v>5.389752365794806E-2</v>
      </c>
      <c r="DW418" s="4">
        <f>DU418*DV418^0.4</f>
        <v>5.0153667456232327</v>
      </c>
      <c r="DX418" s="4">
        <f>MIN(DU418, DU418/1.4*(1-DV418^1.4)/(1-DV418))</f>
        <v>11.97484273334728</v>
      </c>
      <c r="DY418" s="4">
        <f>MAX(DU418/2, (4-DT418*(8*AG418*(DW418-DX418)+6*K418*DX418))/(4+DT418*K418*DU418)*DU418)</f>
        <v>15.60129270168653</v>
      </c>
      <c r="DZ418" s="38">
        <f>MIN(1/N418*(4*AG418*(DW418-DX418)+(3*DX418+DY418)*K418)+EC418 -FJ418,MAX(J418,AJ418))</f>
        <v>376.63658475438945</v>
      </c>
      <c r="EA418" s="4">
        <f>DZ418/FF418</f>
        <v>1.0001198713854931</v>
      </c>
      <c r="EB418" s="4">
        <f>AG418/N418</f>
        <v>3.2403703492039297</v>
      </c>
      <c r="EC418" s="4">
        <f>MIN(EB$10*BB418)</f>
        <v>176.7513316241297</v>
      </c>
      <c r="EG418" s="4">
        <f>IF(U418&gt;1*N418,0.85,1)</f>
        <v>0.85</v>
      </c>
      <c r="EH418" s="4">
        <f>MIN(1,MAX(0.7,(1-0.1*(BZ418-1*N418)/N418)))</f>
        <v>0.86499999999999999</v>
      </c>
      <c r="EI418" s="4">
        <f>MIN(1,MAX(0.7,1-0.3*(PI()*AM418^2/4*AQ418*2-0.25*PI()/4*N418^2)/(PI()/4*N418^2)))</f>
        <v>0.77500000000000002</v>
      </c>
      <c r="EJ418" s="4">
        <f>IF(EH418*EI418&lt;0.7,0.7,EH418*EI418)</f>
        <v>0.7</v>
      </c>
      <c r="EL418" s="4">
        <f>MIN(DU418/N418*3*K418+EM418-FJ418,MAX(J418,AJ418))</f>
        <v>705.75231855948618</v>
      </c>
      <c r="EM418" s="25">
        <f>13.3*Q418*K418^0.5*M418^0.5/X418/N418^2*(0.7+S418/5/K418)</f>
        <v>433.29102079867221</v>
      </c>
      <c r="EO418" s="4">
        <f>EG418*EJ418</f>
        <v>0.59499999999999997</v>
      </c>
      <c r="EP418" s="4">
        <f>IF(N418&lt;22.2,1.1*5*(M418/30)^0.5,IF(N418&gt;=31.8,0.9*5*(M418/30)^0.5,1*5*(M418/30)^0.5))/EG418/EJ418</f>
        <v>16.131515557182595</v>
      </c>
      <c r="ES418" s="4">
        <f>ET418*N418</f>
        <v>82.305406869779816</v>
      </c>
      <c r="ET418" s="4">
        <f>AF418^0.5</f>
        <v>3.2403703492039302</v>
      </c>
      <c r="EU418" s="4">
        <f>MIN(EC418)/(4700*M418^0.5)/AE418*ES418</f>
        <v>3.0987521227080962E-2</v>
      </c>
      <c r="EX418" s="4">
        <f>EU418</f>
        <v>3.0987521227080962E-2</v>
      </c>
      <c r="EY418" s="4">
        <f>MIN(0.999, EX418/(0.3*(M418/30)^0.5))</f>
        <v>5.3807578736095839E-2</v>
      </c>
      <c r="EZ418" s="4">
        <f>EP418/1*EY418^0.4</f>
        <v>5.0120171830865647</v>
      </c>
      <c r="FA418" s="4">
        <f>EP418/1.4*(1-EY418^1.4)/(1-EY418)</f>
        <v>11.974181007336071</v>
      </c>
      <c r="FB418" s="4">
        <f>MAX(0,DQ418*FB$9-ES418)</f>
        <v>24.946093130220177</v>
      </c>
      <c r="FC418" s="4">
        <f>MAX(0,DQ418-ES418-FB418)</f>
        <v>35.750499999999988</v>
      </c>
      <c r="FD418" s="4">
        <f>FC418/(1-0.3*(M418/30)^0.5)/200000/N418</f>
        <v>1.6593772176327059E-5</v>
      </c>
      <c r="FE418" s="4">
        <f>MAX(0.5*EP418, (1-2*FD418*(ES418*EZ418+FB418*FA418))/(1/EP418+FD418*FC418))</f>
        <v>15.601447649734206</v>
      </c>
      <c r="FF418" s="4">
        <f>MIN(4/N418*(1*EZ418*ES418+FA418*FB418+FC418*FE418)+EC418,MAX(J418,AJ418))</f>
        <v>376.59144221644613</v>
      </c>
      <c r="FO418" s="23">
        <f>IF(CU418&lt;0.6,0.6,IF(CU418&lt;0.8,0.8,IF(CU418&lt;1,1,IF(CU418&lt;1.2,1.2,IF(CU418&lt;1.4,1.4,IF(CU418&lt;1.6,1.6,IF(CU418&lt;1.8,1.8,IF(CU418&lt;2,2,2.2))))))))</f>
        <v>2.2000000000000002</v>
      </c>
      <c r="FP418" s="23">
        <f>IF(CV418&lt;0.6,0.6,IF(CV418&lt;0.8,0.8,IF(CV418&lt;1,1,IF(CV418&lt;1.2,1.2,IF(CV418&lt;1.4,1.4,IF(CV418&lt;1.6,1.6,IF(CV418&lt;1.8,1.8,IF(CV418&lt;2,2,2.2))))))))</f>
        <v>0.6</v>
      </c>
      <c r="FQ418" s="23">
        <f>IF(DA418&lt;0.6,0.6,IF(DA418&lt;0.8,0.8,IF(DA418&lt;1,1,IF(DA418&lt;1.2,1.2,IF(DA418&lt;1.4,1.4,IF(DA418&lt;1.6,1.6,IF(DA418&lt;1.8,1.8,IF(DA418&lt;2,2,2.2))))))))</f>
        <v>2</v>
      </c>
      <c r="FR418" s="23">
        <f>IF(CX418&lt;0.6,0.6,IF(CX418&lt;0.8,0.8,IF(CX418&lt;1,1,IF(CX418&lt;1.2,1.2,IF(CX418&lt;1.4,1.4,IF(CX418&lt;1.6,1.6,IF(CX418&lt;1.8,1.8,IF(CX418&lt;2,2,2.2))))))))</f>
        <v>1.4</v>
      </c>
      <c r="FS418" s="23">
        <f>IF(CY418&lt;0.6,0.6,IF(CY418&lt;0.8,0.8,IF(CY418&lt;1,1,IF(CY418&lt;1.2,1.2,IF(CY418&lt;1.4,1.4,IF(CY418&lt;1.6,1.6,IF(CY418&lt;1.8,1.8,IF(CY418&lt;2,2,2.2))))))))</f>
        <v>1.8</v>
      </c>
      <c r="FT418" s="23">
        <f>IF(CZ418&lt;0.6,0.6,IF(CZ418&lt;0.8,0.8,IF(CZ418&lt;1,1,IF(CZ418&lt;1.2,1.2,IF(CZ418&lt;1.4,1.4,IF(CZ418&lt;1.6,1.6,IF(CZ418&lt;1.8,1.8,IF(CZ418&lt;2,2,2.2))))))))</f>
        <v>1</v>
      </c>
      <c r="FU418" s="23">
        <f>IF(FS418&lt;1,1,0)</f>
        <v>0</v>
      </c>
      <c r="FV418" s="23"/>
      <c r="GF418" s="4">
        <f>IF(S418&gt;=2.5*25.4,1,1.25)</f>
        <v>1.25</v>
      </c>
      <c r="GG418" s="4">
        <f>IF(AO418&gt;1, 0.05*(18-MIN(8,(W418+N418)/N418))*(1-48000/MAX(60000,(J418*145))*(N418/25.4)^0.75*GH418), 1/12*(14-MIN(8,(W418+N418)/N418)))</f>
        <v>0.43787748058671272</v>
      </c>
      <c r="GH418" s="4">
        <f>MIN(0.3, AM418^2*PI()/4*2*AP418/(N418^2*PI()/4*X418))</f>
        <v>0.3</v>
      </c>
      <c r="GI418" s="4">
        <f>(K418/25.4)/(N418/25.4)^1.5/0.0024*(M418*145)^0.25/GF418/GG418/145</f>
        <v>332.58289386100938</v>
      </c>
    </row>
    <row r="419" spans="1:191" ht="12" customHeight="1" x14ac:dyDescent="0.3">
      <c r="A419" s="25">
        <v>301</v>
      </c>
      <c r="B419" s="4" t="s">
        <v>605</v>
      </c>
      <c r="C419" s="4">
        <v>2016</v>
      </c>
      <c r="D419" s="4" t="s">
        <v>309</v>
      </c>
      <c r="E419" s="24" t="s">
        <v>668</v>
      </c>
      <c r="F419" s="115"/>
      <c r="G419" s="24">
        <v>56</v>
      </c>
      <c r="H419" s="7" t="s">
        <v>461</v>
      </c>
      <c r="I419" s="5">
        <f>K419/N419</f>
        <v>5.5</v>
      </c>
      <c r="J419" s="78">
        <f>115.9/0.145</f>
        <v>799.31034482758628</v>
      </c>
      <c r="K419" s="38">
        <f>5.5*25.4</f>
        <v>139.69999999999999</v>
      </c>
      <c r="L419" s="4">
        <f>K419</f>
        <v>139.69999999999999</v>
      </c>
      <c r="M419" s="38">
        <f>16030/145</f>
        <v>110.55172413793103</v>
      </c>
      <c r="N419" s="38">
        <f>1*25.4</f>
        <v>25.4</v>
      </c>
      <c r="O419" s="7">
        <f>K419/N419</f>
        <v>5.5</v>
      </c>
      <c r="P419" s="7">
        <f>L419/N419</f>
        <v>5.5</v>
      </c>
      <c r="Q419" s="38">
        <f>17*25.4</f>
        <v>431.79999999999995</v>
      </c>
      <c r="R419" s="32">
        <f>S419/N419</f>
        <v>2.5</v>
      </c>
      <c r="S419" s="38">
        <f>2.5*25.4</f>
        <v>63.5</v>
      </c>
      <c r="T419" s="32">
        <f>U419/N419</f>
        <v>3.8000000000000003</v>
      </c>
      <c r="U419" s="39">
        <f>3.8*25.4</f>
        <v>96.52</v>
      </c>
      <c r="V419" s="32">
        <f>W419/N419</f>
        <v>9.9999999999999982</v>
      </c>
      <c r="W419" s="7">
        <f>(Q419-X419*N419-2*S419)/(X419-1)</f>
        <v>253.99999999999994</v>
      </c>
      <c r="X419" s="38">
        <v>2</v>
      </c>
      <c r="Y419" s="7">
        <f>AN419</f>
        <v>10</v>
      </c>
      <c r="Z419" s="32">
        <f>AA419/N419</f>
        <v>10.25</v>
      </c>
      <c r="AA419" s="4">
        <f>10.25*25.4</f>
        <v>260.34999999999997</v>
      </c>
      <c r="AB419" s="7">
        <f>MIN(S419/N419+0.5, W419/2/N419+0.5)</f>
        <v>3</v>
      </c>
      <c r="AC419" s="7">
        <f>S419/N419+0.5</f>
        <v>3</v>
      </c>
      <c r="AD419" s="38">
        <v>14.9</v>
      </c>
      <c r="AE419" s="4">
        <f>AD419</f>
        <v>14.9</v>
      </c>
      <c r="AF419" s="4">
        <f>AE419+1</f>
        <v>15.9</v>
      </c>
      <c r="AG419" s="7">
        <f>N419*AF419^0.5</f>
        <v>101.28200234987457</v>
      </c>
      <c r="AJ419" s="38">
        <f>AK419/0.145</f>
        <v>710.34482758620697</v>
      </c>
      <c r="AK419" s="4">
        <v>103</v>
      </c>
      <c r="AL419" s="4">
        <f>CY419</f>
        <v>2.0624467853963915</v>
      </c>
      <c r="AM419" s="38">
        <f>0.5*25.4</f>
        <v>12.7</v>
      </c>
      <c r="AN419" s="38">
        <v>10</v>
      </c>
      <c r="AO419" s="39">
        <f>3*25.4</f>
        <v>76.199999999999989</v>
      </c>
      <c r="AP419" s="39">
        <v>3</v>
      </c>
      <c r="AQ419" s="39">
        <f>AP419-1</f>
        <v>2</v>
      </c>
      <c r="AR419" s="7"/>
      <c r="AS419" s="4">
        <f>K419</f>
        <v>139.69999999999999</v>
      </c>
      <c r="AT419" s="4">
        <f>IF(K419*3&gt;W419+N419, Q419, (S419+N419/2)*2+1.5*K419*(2*X419-2))*(3*K419)/(9*K419^2)</f>
        <v>1.0303030303030303</v>
      </c>
      <c r="AU419" s="4">
        <f>MIN(10*M419^0.5*K419^1.5,100*3.9*M419^0.5*K419^(5/3))/(PI()/4*N419^2)/X419</f>
        <v>171.31289685931245</v>
      </c>
      <c r="AV419" s="4">
        <f>MIN(0.7+0.3*(MIN(S419,AA419)+0.5*N419)/1.5/K419,1)</f>
        <v>0.80909090909090908</v>
      </c>
      <c r="AW419" s="4">
        <v>1.25</v>
      </c>
      <c r="AX419" s="4">
        <f>AX418</f>
        <v>1</v>
      </c>
      <c r="AY419" s="38">
        <f>AT419*AV419*AW419*AX419*AU419</f>
        <v>178.50992627282349</v>
      </c>
      <c r="AZ419" s="38">
        <f>AY419</f>
        <v>178.50992627282349</v>
      </c>
      <c r="BA419" s="38">
        <f>IF(M419&lt;50, 0.3*M419^(2/3), 2.12*LN(1+0.1*(M419+8)))</f>
        <v>5.4139420559889198</v>
      </c>
      <c r="BB419" s="38">
        <f>AX419* (M419^0.5/AS419^0.5)/(PI()/4*N419^2)/X419/0.72 *(0.7+(MIN(S419,AA419)+0.5*N419)/5/K419) *(3*Q419*K419)</f>
        <v>178.50992627282341</v>
      </c>
      <c r="BC419" s="38">
        <f>AY419/BB419</f>
        <v>1.0000000000000004</v>
      </c>
      <c r="BD419" s="38">
        <f>BH419/BB419</f>
        <v>14.34324887514823</v>
      </c>
      <c r="BE419" s="4">
        <f>IF(BD419&lt;1,1,0)</f>
        <v>0</v>
      </c>
      <c r="BF419" s="4">
        <f>L419/N419*M419^0.5/0.19</f>
        <v>304.36299471724953</v>
      </c>
      <c r="BG419" s="4">
        <f>MIN(0.6+0.4*(AC419/AB419),2)</f>
        <v>1</v>
      </c>
      <c r="BH419" s="38">
        <f>2*M419*AB419*AD419^0.5*BG419*0.7/0.7</f>
        <v>2560.412299215468</v>
      </c>
      <c r="BI419" s="4">
        <f>MAX(1-0.7*AE419/5,0.3)</f>
        <v>0.3</v>
      </c>
      <c r="BJ419" s="4">
        <f>BI419*J419*L419/(J419*N419/2.75/M419^0.5)</f>
        <v>47.708899421928855</v>
      </c>
      <c r="BK419" s="4">
        <f>BH419+BJ419</f>
        <v>2608.1211986373969</v>
      </c>
      <c r="BM419" s="4">
        <f>MIN(1.5, 0.75+0.25*MIN(3,MAX(1,S419/N419))+0.4*MIN(1,(40*2*PI()*AM419^2/4/AO419/X419)/N419))</f>
        <v>1.5</v>
      </c>
      <c r="BN419" s="4">
        <f>(3*P419+30)*BM419*M419^0.5</f>
        <v>733.37647045279073</v>
      </c>
      <c r="BP419" s="4">
        <f>3.4/PI()^0.5*M419*AB419*AE419^0.5*BG419</f>
        <v>2455.7485129683778</v>
      </c>
      <c r="BQ419" s="4">
        <f>8/3*AH419*AI419^2/(AG419-N419-22)/N419*(AG419^2-N419^2)/(AG419^2-(N419+22)^2)</f>
        <v>0</v>
      </c>
      <c r="BR419" s="4">
        <f>BQ419/BP419</f>
        <v>0</v>
      </c>
      <c r="BZ419" s="4">
        <f>IF(W419=0,S419,MIN(W419/2,S419))</f>
        <v>63.5</v>
      </c>
      <c r="CD419" s="9"/>
      <c r="CF419" s="9"/>
      <c r="CG419" s="9"/>
      <c r="CH419" s="9">
        <f>IF(W419=0,MIN(S419,U419),MIN(W419/2,S419,U419))</f>
        <v>63.5</v>
      </c>
      <c r="CI419" s="9">
        <f>MAX(W419/2,S419)</f>
        <v>126.99999999999997</v>
      </c>
      <c r="CJ419" s="9">
        <f>(CH419/N419)^0.5*(CI419/CH419)^0.15</f>
        <v>1.7543833769624846</v>
      </c>
      <c r="CK419" s="70">
        <f>IF(AO419&gt;1,20,0)</f>
        <v>20</v>
      </c>
      <c r="CL419" s="9">
        <f>MIN(PI()*AM419^2/4*AN419*2/X419/N419/MAX(0.01,AO419),0.05)</f>
        <v>0.05</v>
      </c>
      <c r="CM419" s="9">
        <f>MAX(0,CK419*(CL419-0.5/50))</f>
        <v>0.8</v>
      </c>
      <c r="CN419" s="9">
        <f>MIN(1,(25/N419)^0.3)</f>
        <v>0.99524931562137331</v>
      </c>
      <c r="CO419" s="9">
        <f>IF(J419&gt;=800,0.68,IF(J419&gt;=700,0.75-(J419-700)*0.07/100,IF(J419&gt;=600,0.85-(J419-600)*0.1/100,IF(J419&gt;=500,1-(J419-500)*0.15/100,1.2-(J419-400)*0.2/100))))</f>
        <v>0.68048275862068963</v>
      </c>
      <c r="CP419" s="9">
        <f>1.75*CN419*CO419*(M419/25)^0.5</f>
        <v>2.4922971335630986</v>
      </c>
      <c r="CQ419" s="9">
        <f>MIN((CJ419+CM419)*CP419,2.5*CP419,M419^0.5)</f>
        <v>6.2307428339077466</v>
      </c>
      <c r="CR419" s="40">
        <v>1</v>
      </c>
      <c r="CS419" s="9">
        <f>4*CQ419*P419+60*CQ419</f>
        <v>510.92091238043525</v>
      </c>
      <c r="CU419" s="4">
        <f>AJ419/BF419</f>
        <v>2.3338738280128664</v>
      </c>
      <c r="CV419" s="4">
        <f>AJ419/BK419</f>
        <v>0.27235882594617306</v>
      </c>
      <c r="CW419" s="4">
        <f>AJ419/BN419</f>
        <v>0.96859506161635667</v>
      </c>
      <c r="CX419" s="4">
        <f>AJ419/CS419</f>
        <v>1.3903224753056873</v>
      </c>
      <c r="CY419" s="4">
        <f>AJ419/DZ419</f>
        <v>2.0624467853963915</v>
      </c>
      <c r="CZ419" s="4">
        <f>AJ419/EL419</f>
        <v>1.0095343957325076</v>
      </c>
      <c r="DA419" s="4">
        <f>AJ419/GI419</f>
        <v>1.7490612046742806</v>
      </c>
      <c r="DB419" s="4">
        <f>AN419</f>
        <v>10</v>
      </c>
      <c r="DI419" s="4">
        <f>CU419</f>
        <v>2.3338738280128664</v>
      </c>
      <c r="DJ419" s="4">
        <f>CV419</f>
        <v>0.27235882594617306</v>
      </c>
      <c r="DK419" s="4">
        <f>CX419</f>
        <v>1.3903224753056873</v>
      </c>
      <c r="DL419" s="4">
        <f>DA419</f>
        <v>1.7490612046742806</v>
      </c>
      <c r="DM419" s="4">
        <f>CY419</f>
        <v>2.0624467853963915</v>
      </c>
      <c r="DN419" s="4">
        <f>CZ419</f>
        <v>1.0095343957325076</v>
      </c>
      <c r="DQ419" s="4">
        <f>L419</f>
        <v>139.69999999999999</v>
      </c>
      <c r="DT419" s="4">
        <f>K419/4/(1-0.3*(M419/30)^0.5)/200000/N419</f>
        <v>1.6210612250408316E-5</v>
      </c>
      <c r="DU419" s="4">
        <f>EP419</f>
        <v>16.131515557182595</v>
      </c>
      <c r="DV419" s="4">
        <f>EC419*AG419/257/M419/AD419</f>
        <v>4.2708049512229548E-2</v>
      </c>
      <c r="DW419" s="4">
        <f>DU419*DV419^0.4</f>
        <v>4.5696092651895324</v>
      </c>
      <c r="DX419" s="4">
        <f>MIN(DU419, DU419/1.4*(1-DV419^1.4)/(1-DV419))</f>
        <v>11.890951083651919</v>
      </c>
      <c r="DY419" s="4">
        <f>MAX(DU419/2, (4-DT419*(8*AG419*(DW419-DX419)+6*K419*DX419))/(4+DT419*K419*DU419)*DU419)</f>
        <v>15.724128872876795</v>
      </c>
      <c r="DZ419" s="38">
        <f>MIN(1/N419*(4*AG419*(DW419-DX419)+(3*DX419+DY419)*K419)+EC419 -FJ419,MAX(J419,AJ419))</f>
        <v>344.41849972370676</v>
      </c>
      <c r="EA419" s="4">
        <f>DZ419/FF419</f>
        <v>1.0001396469641641</v>
      </c>
      <c r="EB419" s="4">
        <f>AG419/N419</f>
        <v>3.9874804074753771</v>
      </c>
      <c r="EC419" s="4">
        <f>MIN(EB$10*BB419)</f>
        <v>178.50992627282341</v>
      </c>
      <c r="EG419" s="4">
        <f>IF(U419&gt;1*N419,0.85,1)</f>
        <v>0.85</v>
      </c>
      <c r="EH419" s="4">
        <f>MIN(1,MAX(0.7,(1-0.1*(BZ419-1*N419)/N419)))</f>
        <v>0.85</v>
      </c>
      <c r="EI419" s="4">
        <f>MIN(1,MAX(0.7,1-0.3*(PI()*AM419^2/4*AQ419*2-0.25*PI()/4*N419^2)/(PI()/4*N419^2)))</f>
        <v>0.77500000000000002</v>
      </c>
      <c r="EJ419" s="4">
        <f>IF(EH419*EI419&lt;0.7,0.7,EH419*EI419)</f>
        <v>0.7</v>
      </c>
      <c r="EL419" s="4">
        <f>MIN(DU419/N419*3*K419+EM419-FJ419,MAX(J419,AJ419))</f>
        <v>703.63608272186525</v>
      </c>
      <c r="EM419" s="25">
        <f>13.3*Q419*K419^0.5*M419^0.5/X419/N419^2*(0.7+S419/5/K419)</f>
        <v>437.46607602835246</v>
      </c>
      <c r="EO419" s="4">
        <f>EG419*EJ419</f>
        <v>0.59499999999999997</v>
      </c>
      <c r="EP419" s="4">
        <f>IF(N419&lt;22.2,1.1*5*(M419/30)^0.5,IF(N419&gt;=31.8,0.9*5*(M419/30)^0.5,1*5*(M419/30)^0.5))/EG419/EJ419</f>
        <v>16.131515557182595</v>
      </c>
      <c r="ES419" s="4">
        <f>ET419*N419</f>
        <v>101.28200234987457</v>
      </c>
      <c r="ET419" s="4">
        <f>AF419^0.5</f>
        <v>3.9874804074753771</v>
      </c>
      <c r="EU419" s="4">
        <f>MIN(EC419)/(4700*M419^0.5)/AE419*ES419</f>
        <v>2.4554311608568288E-2</v>
      </c>
      <c r="EX419" s="4">
        <f>EU419</f>
        <v>2.4554311608568288E-2</v>
      </c>
      <c r="EY419" s="4">
        <f>MIN(0.999, EX419/(0.3*(M419/30)^0.5))</f>
        <v>4.2636777737292041E-2</v>
      </c>
      <c r="EZ419" s="4">
        <f>EP419/1*EY419^0.4</f>
        <v>4.566557406217254</v>
      </c>
      <c r="FA419" s="4">
        <f>EP419/1.4*(1-EY419^1.4)/(1-EY419)</f>
        <v>11.890405926127871</v>
      </c>
      <c r="FB419" s="4">
        <f>MAX(0,DQ419*FB$9-ES419)</f>
        <v>3.4929976501254174</v>
      </c>
      <c r="FC419" s="4">
        <f>MAX(0,DQ419-ES419-FB419)</f>
        <v>34.924999999999997</v>
      </c>
      <c r="FD419" s="4">
        <f>FC419/(1-0.3*(M419/30)^0.5)/200000/N419</f>
        <v>1.6210612250408316E-5</v>
      </c>
      <c r="FE419" s="4">
        <f>MAX(0.5*EP419, (1-2*FD419*(ES419*EZ419+FB419*FA419))/(1/EP419+FD419*FC419))</f>
        <v>15.724290056253006</v>
      </c>
      <c r="FF419" s="4">
        <f>MIN(4/N419*(1*EZ419*ES419+FA419*FB419+FC419*FE419)+EC419,MAX(J419,AJ419))</f>
        <v>344.37040944148032</v>
      </c>
      <c r="FO419" s="23">
        <f>IF(CU419&lt;0.6,0.6,IF(CU419&lt;0.8,0.8,IF(CU419&lt;1,1,IF(CU419&lt;1.2,1.2,IF(CU419&lt;1.4,1.4,IF(CU419&lt;1.6,1.6,IF(CU419&lt;1.8,1.8,IF(CU419&lt;2,2,2.2))))))))</f>
        <v>2.2000000000000002</v>
      </c>
      <c r="FP419" s="23">
        <f>IF(CV419&lt;0.6,0.6,IF(CV419&lt;0.8,0.8,IF(CV419&lt;1,1,IF(CV419&lt;1.2,1.2,IF(CV419&lt;1.4,1.4,IF(CV419&lt;1.6,1.6,IF(CV419&lt;1.8,1.8,IF(CV419&lt;2,2,2.2))))))))</f>
        <v>0.6</v>
      </c>
      <c r="FQ419" s="23">
        <f>IF(DA419&lt;0.6,0.6,IF(DA419&lt;0.8,0.8,IF(DA419&lt;1,1,IF(DA419&lt;1.2,1.2,IF(DA419&lt;1.4,1.4,IF(DA419&lt;1.6,1.6,IF(DA419&lt;1.8,1.8,IF(DA419&lt;2,2,2.2))))))))</f>
        <v>1.8</v>
      </c>
      <c r="FR419" s="23">
        <f>IF(CX419&lt;0.6,0.6,IF(CX419&lt;0.8,0.8,IF(CX419&lt;1,1,IF(CX419&lt;1.2,1.2,IF(CX419&lt;1.4,1.4,IF(CX419&lt;1.6,1.6,IF(CX419&lt;1.8,1.8,IF(CX419&lt;2,2,2.2))))))))</f>
        <v>1.4</v>
      </c>
      <c r="FS419" s="23">
        <f>IF(CY419&lt;0.6,0.6,IF(CY419&lt;0.8,0.8,IF(CY419&lt;1,1,IF(CY419&lt;1.2,1.2,IF(CY419&lt;1.4,1.4,IF(CY419&lt;1.6,1.6,IF(CY419&lt;1.8,1.8,IF(CY419&lt;2,2,2.2))))))))</f>
        <v>2.2000000000000002</v>
      </c>
      <c r="FT419" s="23">
        <f>IF(CZ419&lt;0.6,0.6,IF(CZ419&lt;0.8,0.8,IF(CZ419&lt;1,1,IF(CZ419&lt;1.2,1.2,IF(CZ419&lt;1.4,1.4,IF(CZ419&lt;1.6,1.6,IF(CZ419&lt;1.8,1.8,IF(CZ419&lt;2,2,2.2))))))))</f>
        <v>1.2</v>
      </c>
      <c r="FU419" s="23">
        <f>IF(FS419&lt;1,1,0)</f>
        <v>0</v>
      </c>
      <c r="FV419" s="23"/>
      <c r="GF419" s="4">
        <f>IF(S419&gt;=2.5*25.4,1,1.25)</f>
        <v>1</v>
      </c>
      <c r="GG419" s="4">
        <f>IF(AO419&gt;1, 0.05*(18-MIN(8,(W419+N419)/N419))*(1-48000/MAX(60000,(J419*145))*(N419/25.4)^0.75*GH419), 1/12*(14-MIN(8,(W419+N419)/N419)))</f>
        <v>0.43787748058671272</v>
      </c>
      <c r="GH419" s="4">
        <f>MIN(0.3, AM419^2*PI()/4*2*AP419/(N419^2*PI()/4*X419))</f>
        <v>0.3</v>
      </c>
      <c r="GI419" s="4">
        <f>(K419/25.4)/(N419/25.4)^1.5/0.0024*(M419*145)^0.25/GF419/GG419/145</f>
        <v>406.12919987467853</v>
      </c>
    </row>
    <row r="420" spans="1:191" ht="12" customHeight="1" x14ac:dyDescent="0.3">
      <c r="A420" s="25">
        <v>299</v>
      </c>
      <c r="B420" s="4" t="s">
        <v>605</v>
      </c>
      <c r="C420" s="4">
        <v>2016</v>
      </c>
      <c r="D420" s="4" t="s">
        <v>309</v>
      </c>
      <c r="E420" s="24" t="s">
        <v>668</v>
      </c>
      <c r="F420" s="24"/>
      <c r="G420" s="24"/>
      <c r="H420" s="7" t="s">
        <v>459</v>
      </c>
      <c r="I420" s="5">
        <f>K420/N420</f>
        <v>5.5</v>
      </c>
      <c r="J420" s="91">
        <f>120/0.145</f>
        <v>827.58620689655174</v>
      </c>
      <c r="K420" s="38">
        <f>5.5*25.4</f>
        <v>139.69999999999999</v>
      </c>
      <c r="L420" s="4">
        <f>K420</f>
        <v>139.69999999999999</v>
      </c>
      <c r="M420" s="38">
        <f>16030/145</f>
        <v>110.55172413793103</v>
      </c>
      <c r="N420" s="96">
        <f>1*25.4</f>
        <v>25.4</v>
      </c>
      <c r="O420" s="7">
        <f>K420/N420</f>
        <v>5.5</v>
      </c>
      <c r="P420" s="7">
        <f>L420/N420</f>
        <v>5.5</v>
      </c>
      <c r="Q420" s="38">
        <f>16.9*25.4</f>
        <v>429.25999999999993</v>
      </c>
      <c r="R420" s="32">
        <f>S420/N420</f>
        <v>2.4500000000000002</v>
      </c>
      <c r="S420" s="38">
        <f>2.45*25.4</f>
        <v>62.230000000000004</v>
      </c>
      <c r="T420" s="32">
        <f>U420/N420</f>
        <v>4.7</v>
      </c>
      <c r="U420" s="39">
        <f>4.7*25.4</f>
        <v>119.38</v>
      </c>
      <c r="V420" s="32">
        <f>W420/N420</f>
        <v>9.9999999999999964</v>
      </c>
      <c r="W420" s="7">
        <f>(Q420-X420*N420-2*S420)/(X420-1)</f>
        <v>253.99999999999991</v>
      </c>
      <c r="X420" s="38">
        <v>2</v>
      </c>
      <c r="Y420" s="7">
        <f>AN420</f>
        <v>10</v>
      </c>
      <c r="Z420" s="32">
        <f>AA420/N420</f>
        <v>10.25</v>
      </c>
      <c r="AA420" s="4">
        <f>10.25*25.4</f>
        <v>260.34999999999997</v>
      </c>
      <c r="AB420" s="7">
        <f>MIN(S420/N420+0.5, W420/2/N420+0.5)</f>
        <v>2.95</v>
      </c>
      <c r="AC420" s="7">
        <f>S420/N420+0.5</f>
        <v>2.95</v>
      </c>
      <c r="AD420" s="38">
        <v>4</v>
      </c>
      <c r="AE420" s="4">
        <f>AD420</f>
        <v>4</v>
      </c>
      <c r="AF420" s="4">
        <f>AE420+1</f>
        <v>5</v>
      </c>
      <c r="AG420" s="7">
        <f>N420*AF420^0.5</f>
        <v>56.796126628494655</v>
      </c>
      <c r="AJ420" s="38">
        <f>AK420/0.145</f>
        <v>552.41379310344826</v>
      </c>
      <c r="AK420" s="4">
        <v>80.099999999999994</v>
      </c>
      <c r="AL420" s="4">
        <f>CY420</f>
        <v>1.3495646193214026</v>
      </c>
      <c r="AM420" s="38">
        <f>0.5*25.4</f>
        <v>12.7</v>
      </c>
      <c r="AN420" s="38">
        <v>10</v>
      </c>
      <c r="AO420" s="39">
        <f>3*25.4</f>
        <v>76.199999999999989</v>
      </c>
      <c r="AP420" s="39">
        <v>3</v>
      </c>
      <c r="AQ420" s="39">
        <f>AP420-1</f>
        <v>2</v>
      </c>
      <c r="AR420" s="7"/>
      <c r="AS420" s="4">
        <f>K420</f>
        <v>139.69999999999999</v>
      </c>
      <c r="AT420" s="4">
        <f>IF(K420*3&gt;W420+N420, Q420, (S420+N420/2)*2+1.5*K420*(2*X420-2))*(3*K420)/(9*K420^2)</f>
        <v>1.0242424242424242</v>
      </c>
      <c r="AU420" s="4">
        <f>MIN(10*M420^0.5*K420^1.5,100*3.9*M420^0.5*K420^(5/3))/(PI()/4*N420^2)/X420</f>
        <v>171.31289685931245</v>
      </c>
      <c r="AV420" s="4">
        <f>MIN(0.7+0.3*(MIN(S420,AA420)+0.5*N420)/1.5/K420,1)</f>
        <v>0.80727272727272725</v>
      </c>
      <c r="AW420" s="4">
        <v>1.25</v>
      </c>
      <c r="AX420" s="4">
        <f>AX419</f>
        <v>1</v>
      </c>
      <c r="AY420" s="38">
        <f>AT420*AV420*AW420*AX420*AU420</f>
        <v>177.06108166302161</v>
      </c>
      <c r="AZ420" s="38">
        <f>AY420</f>
        <v>177.06108166302161</v>
      </c>
      <c r="BA420" s="38">
        <f>IF(M420&lt;50, 0.3*M420^(2/3), 2.12*LN(1+0.1*(M420+8)))</f>
        <v>5.4139420559889198</v>
      </c>
      <c r="BB420" s="38">
        <f>AX420* (M420^0.5/AS420^0.5)/(PI()/4*N420^2)/X420/0.72 *(0.7+(MIN(S420,AA420)+0.5*N420)/5/K420) *(3*Q420*K420)</f>
        <v>177.0610816630215</v>
      </c>
      <c r="BC420" s="38">
        <f>AY420/BB420</f>
        <v>1.0000000000000007</v>
      </c>
      <c r="BD420" s="38">
        <f>BH420/BB420</f>
        <v>7.3675724364448412</v>
      </c>
      <c r="BE420" s="4">
        <f>IF(BD420&lt;1,1,0)</f>
        <v>0</v>
      </c>
      <c r="BF420" s="4">
        <f>L420/N420*M420^0.5/0.19</f>
        <v>304.36299471724953</v>
      </c>
      <c r="BG420" s="4">
        <f>MIN(0.6+0.4*(AC420/AB420),2)</f>
        <v>1</v>
      </c>
      <c r="BH420" s="38">
        <f>2*M420*AB420*AD420^0.5*BG420*0.7/0.7</f>
        <v>1304.5103448275863</v>
      </c>
      <c r="BI420" s="4">
        <f>MAX(1-0.7*AE420/5,0.3)</f>
        <v>0.44000000000000006</v>
      </c>
      <c r="BJ420" s="4">
        <f>BI420*J420*L420/(J420*N420/2.75/M420^0.5)</f>
        <v>69.973052485495671</v>
      </c>
      <c r="BK420" s="4">
        <f>BH420+BJ420</f>
        <v>1374.4833973130819</v>
      </c>
      <c r="BM420" s="4">
        <f>MIN(1.5, 0.75+0.25*MIN(3,MAX(1,S420/N420))+0.4*MIN(1,(40*2*PI()*AM420^2/4/AO420/X420)/N420))</f>
        <v>1.5</v>
      </c>
      <c r="BN420" s="4">
        <f>(3*P420+30)*BM420*M420^0.5</f>
        <v>733.37647045279073</v>
      </c>
      <c r="BP420" s="4">
        <f>3.4/PI()^0.5*M420*AB420*AE420^0.5*BG420</f>
        <v>1251.1849519094269</v>
      </c>
      <c r="BQ420" s="4">
        <f>8/3*AH420*AI420^2/(AG420-N420-22)/N420*(AG420^2-N420^2)/(AG420^2-(N420+22)^2)</f>
        <v>0</v>
      </c>
      <c r="BR420" s="4">
        <f>BQ420/BP420</f>
        <v>0</v>
      </c>
      <c r="BZ420" s="4">
        <f>IF(W420=0,S420,MIN(W420/2,S420))</f>
        <v>62.230000000000004</v>
      </c>
      <c r="CD420" s="9"/>
      <c r="CF420" s="9"/>
      <c r="CG420" s="9"/>
      <c r="CH420" s="9">
        <f>IF(W420=0,MIN(S420,U420),MIN(W420/2,S420,U420))</f>
        <v>62.230000000000004</v>
      </c>
      <c r="CI420" s="9">
        <f>MAX(W420/2,S420)</f>
        <v>126.99999999999996</v>
      </c>
      <c r="CJ420" s="9">
        <f>(CH420/N420)^0.5*(CI420/CH420)^0.15</f>
        <v>1.7420219790042637</v>
      </c>
      <c r="CK420" s="70">
        <f>IF(AO420&gt;1,20,0)</f>
        <v>20</v>
      </c>
      <c r="CL420" s="9">
        <f>MIN(PI()*AM420^2/4*AN420*2/X420/N420/MAX(0.01,AO420),0.05)</f>
        <v>0.05</v>
      </c>
      <c r="CM420" s="9">
        <f>MAX(0,CK420*(CL420-0.5/50))</f>
        <v>0.8</v>
      </c>
      <c r="CN420" s="9">
        <f>MIN(1,(25/N420)^0.3)</f>
        <v>0.99524931562137331</v>
      </c>
      <c r="CO420" s="9">
        <f>IF(J420&gt;=800,0.68,IF(J420&gt;=700,0.75-(J420-700)*0.07/100,IF(J420&gt;=600,0.85-(J420-600)*0.1/100,IF(J420&gt;=500,1-(J420-500)*0.15/100,1.2-(J420-400)*0.2/100))))</f>
        <v>0.68</v>
      </c>
      <c r="CP420" s="9">
        <f>1.75*CN420*CO420*(M420/25)^0.5</f>
        <v>2.4905290095198289</v>
      </c>
      <c r="CQ420" s="9">
        <f>MIN((CJ420+CM420)*CP420,2.5*CP420,M420^0.5)</f>
        <v>6.2263225237995723</v>
      </c>
      <c r="CR420" s="40">
        <v>1</v>
      </c>
      <c r="CS420" s="9">
        <f>4*CQ420*P420+60*CQ420</f>
        <v>510.55844695156497</v>
      </c>
      <c r="CU420" s="4">
        <f>AJ420/BF420</f>
        <v>1.8149834332410735</v>
      </c>
      <c r="CV420" s="4">
        <f>AJ420/BK420</f>
        <v>0.40190648659950207</v>
      </c>
      <c r="CW420" s="4">
        <f>AJ420/BN420</f>
        <v>0.75324722752883644</v>
      </c>
      <c r="CX420" s="4">
        <f>AJ420/CS420</f>
        <v>1.0819795390748945</v>
      </c>
      <c r="CY420" s="4">
        <f>AJ420/DZ420</f>
        <v>1.3495646193214026</v>
      </c>
      <c r="CZ420" s="4">
        <f>AJ420/EL420</f>
        <v>0.78909154398737613</v>
      </c>
      <c r="DA420" s="4">
        <f>AJ420/GI420</f>
        <v>1.7084818805310933</v>
      </c>
      <c r="DB420" s="4">
        <f>AN420</f>
        <v>10</v>
      </c>
      <c r="DI420" s="4">
        <f>CU420</f>
        <v>1.8149834332410735</v>
      </c>
      <c r="DJ420" s="4">
        <f>CV420</f>
        <v>0.40190648659950207</v>
      </c>
      <c r="DK420" s="4">
        <f>CX420</f>
        <v>1.0819795390748945</v>
      </c>
      <c r="DL420" s="4">
        <f>DA420</f>
        <v>1.7084818805310933</v>
      </c>
      <c r="DM420" s="4">
        <f>CY420</f>
        <v>1.3495646193214026</v>
      </c>
      <c r="DN420" s="4">
        <f>CZ420</f>
        <v>0.78909154398737613</v>
      </c>
      <c r="DQ420" s="4">
        <f>L420</f>
        <v>139.69999999999999</v>
      </c>
      <c r="DT420" s="4">
        <f>K420/4/(1-0.3*(M420/30)^0.5)/200000/N420</f>
        <v>1.6210612250408316E-5</v>
      </c>
      <c r="DU420" s="4">
        <f>EP420</f>
        <v>16.131515557182595</v>
      </c>
      <c r="DV420" s="4">
        <f>EC420*AG420/257/M420/AD420</f>
        <v>8.8487759101437025E-2</v>
      </c>
      <c r="DW420" s="4">
        <f>DU420*DV420^0.4</f>
        <v>6.1154504278153432</v>
      </c>
      <c r="DX420" s="4">
        <f>MIN(DU420, DU420/1.4*(1-DV420^1.4)/(1-DV420))</f>
        <v>12.217039171206931</v>
      </c>
      <c r="DY420" s="4">
        <f>MAX(DU420/2, (4-DT420*(8*AG420*(DW420-DX420)+6*K420*DX420))/(4+DT420*K420*DU420)*DU420)</f>
        <v>15.501718713997622</v>
      </c>
      <c r="DZ420" s="38">
        <f>MIN(1/N420*(4*AG420*(DW420-DX420)+(3*DX420+DY420)*K420)+EC420 -FJ420,MAX(J420,AJ420))</f>
        <v>409.32741211103826</v>
      </c>
      <c r="EA420" s="4">
        <f>DZ420/FF420</f>
        <v>1.0001055607973015</v>
      </c>
      <c r="EB420" s="4">
        <f>AG420/N420</f>
        <v>2.2360679774997898</v>
      </c>
      <c r="EC420" s="4">
        <f>MIN(EB$10*BB420)</f>
        <v>177.0610816630215</v>
      </c>
      <c r="EG420" s="4">
        <f>IF(U420&gt;1*N420,0.85,1)</f>
        <v>0.85</v>
      </c>
      <c r="EH420" s="4">
        <f>MIN(1,MAX(0.7,(1-0.1*(BZ420-1*N420)/N420)))</f>
        <v>0.85499999999999998</v>
      </c>
      <c r="EI420" s="4">
        <f>MIN(1,MAX(0.7,1-0.3*(PI()*AM420^2/4*AQ420*2-0.25*PI()/4*N420^2)/(PI()/4*N420^2)))</f>
        <v>0.77500000000000002</v>
      </c>
      <c r="EJ420" s="4">
        <f>IF(EH420*EI420&lt;0.7,0.7,EH420*EI420)</f>
        <v>0.7</v>
      </c>
      <c r="EL420" s="4">
        <f>MIN(DU420/N420*3*K420+EM420-FJ420,MAX(J420,AJ420))</f>
        <v>700.06299942340502</v>
      </c>
      <c r="EM420" s="25">
        <f>13.3*Q420*K420^0.5*M420^0.5/X420/N420^2*(0.7+S420/5/K420)</f>
        <v>433.89299272989223</v>
      </c>
      <c r="EO420" s="4">
        <f>EG420*EJ420</f>
        <v>0.59499999999999997</v>
      </c>
      <c r="EP420" s="4">
        <f>IF(N420&lt;22.2,1.1*5*(M420/30)^0.5,IF(N420&gt;=31.8,0.9*5*(M420/30)^0.5,1*5*(M420/30)^0.5))/EG420/EJ420</f>
        <v>16.131515557182595</v>
      </c>
      <c r="ES420" s="4">
        <f>ET420*N420</f>
        <v>56.796126628494655</v>
      </c>
      <c r="ET420" s="4">
        <f>AF420^0.5</f>
        <v>2.2360679774997898</v>
      </c>
      <c r="EU420" s="4">
        <f>MIN(EC420)/(4700*M420^0.5)/AE420*ES420</f>
        <v>5.0874625166350315E-2</v>
      </c>
      <c r="EX420" s="4">
        <f>EU420</f>
        <v>5.0874625166350315E-2</v>
      </c>
      <c r="EY420" s="4">
        <f>MIN(0.999, EX420/(0.3*(M420/30)^0.5))</f>
        <v>8.8340089523373133E-2</v>
      </c>
      <c r="EZ420" s="4">
        <f>EP420/1*EY420^0.4</f>
        <v>6.1113661634560623</v>
      </c>
      <c r="FA420" s="4">
        <f>EP420/1.4*(1-EY420^1.4)/(1-EY420)</f>
        <v>12.216050512458938</v>
      </c>
      <c r="FB420" s="4">
        <f>MAX(0,DQ420*FB$9-ES420)</f>
        <v>47.978873371505337</v>
      </c>
      <c r="FC420" s="4">
        <f>MAX(0,DQ420-ES420-FB420)</f>
        <v>34.925000000000004</v>
      </c>
      <c r="FD420" s="4">
        <f>FC420/(1-0.3*(M420/30)^0.5)/200000/N420</f>
        <v>1.6210612250408323E-5</v>
      </c>
      <c r="FE420" s="4">
        <f>MAX(0.5*EP420, (1-2*FD420*(ES420*EZ420+FB420*FA420))/(1/EP420+FD420*FC420))</f>
        <v>15.501863521336336</v>
      </c>
      <c r="FF420" s="4">
        <f>MIN(4/N420*(1*EZ420*ES420+FA420*FB420+FC420*FE420)+EC420,MAX(J420,AJ420))</f>
        <v>409.28420774374592</v>
      </c>
      <c r="FO420" s="23">
        <f>IF(CU420&lt;0.6,0.6,IF(CU420&lt;0.8,0.8,IF(CU420&lt;1,1,IF(CU420&lt;1.2,1.2,IF(CU420&lt;1.4,1.4,IF(CU420&lt;1.6,1.6,IF(CU420&lt;1.8,1.8,IF(CU420&lt;2,2,2.2))))))))</f>
        <v>2</v>
      </c>
      <c r="FP420" s="23">
        <f>IF(CV420&lt;0.6,0.6,IF(CV420&lt;0.8,0.8,IF(CV420&lt;1,1,IF(CV420&lt;1.2,1.2,IF(CV420&lt;1.4,1.4,IF(CV420&lt;1.6,1.6,IF(CV420&lt;1.8,1.8,IF(CV420&lt;2,2,2.2))))))))</f>
        <v>0.6</v>
      </c>
      <c r="FQ420" s="23">
        <f>IF(DA420&lt;0.6,0.6,IF(DA420&lt;0.8,0.8,IF(DA420&lt;1,1,IF(DA420&lt;1.2,1.2,IF(DA420&lt;1.4,1.4,IF(DA420&lt;1.6,1.6,IF(DA420&lt;1.8,1.8,IF(DA420&lt;2,2,2.2))))))))</f>
        <v>1.8</v>
      </c>
      <c r="FR420" s="23">
        <f>IF(CX420&lt;0.6,0.6,IF(CX420&lt;0.8,0.8,IF(CX420&lt;1,1,IF(CX420&lt;1.2,1.2,IF(CX420&lt;1.4,1.4,IF(CX420&lt;1.6,1.6,IF(CX420&lt;1.8,1.8,IF(CX420&lt;2,2,2.2))))))))</f>
        <v>1.2</v>
      </c>
      <c r="FS420" s="23">
        <f>IF(CY420&lt;0.6,0.6,IF(CY420&lt;0.8,0.8,IF(CY420&lt;1,1,IF(CY420&lt;1.2,1.2,IF(CY420&lt;1.4,1.4,IF(CY420&lt;1.6,1.6,IF(CY420&lt;1.8,1.8,IF(CY420&lt;2,2,2.2))))))))</f>
        <v>1.4</v>
      </c>
      <c r="FT420" s="23">
        <f>IF(CZ420&lt;0.6,0.6,IF(CZ420&lt;0.8,0.8,IF(CZ420&lt;1,1,IF(CZ420&lt;1.2,1.2,IF(CZ420&lt;1.4,1.4,IF(CZ420&lt;1.6,1.6,IF(CZ420&lt;1.8,1.8,IF(CZ420&lt;2,2,2.2))))))))</f>
        <v>0.8</v>
      </c>
      <c r="FU420" s="23">
        <f>IF(FS420&lt;1,1,0)</f>
        <v>0</v>
      </c>
      <c r="FV420" s="23"/>
      <c r="GF420" s="4">
        <f>IF(S420&gt;=2.5*25.4,1,1.25)</f>
        <v>1.25</v>
      </c>
      <c r="GG420" s="4">
        <f>IF(AO420&gt;1, 0.05*(18-MIN(8,(W420+N420)/N420))*(1-48000/MAX(60000,(J420*145))*(N420/25.4)^0.75*GH420), 1/12*(14-MIN(8,(W420+N420)/N420)))</f>
        <v>0.44</v>
      </c>
      <c r="GH420" s="4">
        <f>MIN(0.3, AM420^2*PI()/4*2*AP420/(N420^2*PI()/4*X420))</f>
        <v>0.3</v>
      </c>
      <c r="GI420" s="4">
        <f>(K420/25.4)/(N420/25.4)^1.5/0.0024*(M420*145)^0.25/GF420/GG420/145</f>
        <v>323.33605606149399</v>
      </c>
    </row>
    <row r="421" spans="1:191" ht="12" customHeight="1" x14ac:dyDescent="0.3">
      <c r="A421" s="25">
        <v>184</v>
      </c>
      <c r="B421" s="24" t="s">
        <v>128</v>
      </c>
      <c r="C421" s="24">
        <v>2017</v>
      </c>
      <c r="D421" s="24" t="s">
        <v>309</v>
      </c>
      <c r="E421" s="24"/>
      <c r="F421" s="115" t="s">
        <v>792</v>
      </c>
      <c r="G421" s="109"/>
      <c r="H421" s="4" t="s">
        <v>318</v>
      </c>
      <c r="I421" s="5">
        <f>K421/N421</f>
        <v>6</v>
      </c>
      <c r="J421" s="86">
        <v>679</v>
      </c>
      <c r="K421" s="104">
        <f>6*N421</f>
        <v>133.19999999999999</v>
      </c>
      <c r="L421" s="7">
        <f>K421</f>
        <v>133.19999999999999</v>
      </c>
      <c r="M421" s="10">
        <v>129.9</v>
      </c>
      <c r="N421" s="80">
        <v>22.2</v>
      </c>
      <c r="O421" s="7">
        <f>K421/N421</f>
        <v>6</v>
      </c>
      <c r="P421" s="7">
        <f>L421/N421</f>
        <v>6</v>
      </c>
      <c r="Q421" s="7">
        <v>366</v>
      </c>
      <c r="R421" s="32">
        <f>S421/N421</f>
        <v>1</v>
      </c>
      <c r="S421" s="7">
        <f>1*N421</f>
        <v>22.2</v>
      </c>
      <c r="T421" s="32">
        <f>U421/N421</f>
        <v>1.9279279279279284</v>
      </c>
      <c r="U421" s="7">
        <f>176-L421</f>
        <v>42.800000000000011</v>
      </c>
      <c r="V421" s="32">
        <f>W421/N421</f>
        <v>12.48648648648649</v>
      </c>
      <c r="W421" s="7">
        <f>Q421-2*N421-2*S421</f>
        <v>277.20000000000005</v>
      </c>
      <c r="X421" s="7">
        <v>2</v>
      </c>
      <c r="Y421" s="7">
        <f>AN421</f>
        <v>0</v>
      </c>
      <c r="Z421" s="32">
        <f>AA421/N421</f>
        <v>3.9999999999999996</v>
      </c>
      <c r="AA421" s="10">
        <f>2/3*K421</f>
        <v>88.799999999999983</v>
      </c>
      <c r="AB421" s="7">
        <f>MIN(S421/N421+0.5, W421/2/N421+0.5)</f>
        <v>1.5</v>
      </c>
      <c r="AC421" s="7">
        <f>S421/N421+0.5</f>
        <v>1.5</v>
      </c>
      <c r="AD421" s="7">
        <f>2040/510</f>
        <v>4</v>
      </c>
      <c r="AE421" s="7">
        <f>2040/510</f>
        <v>4</v>
      </c>
      <c r="AF421" s="7">
        <f>AE421+1</f>
        <v>5</v>
      </c>
      <c r="AG421" s="7">
        <f>N421*AF421^0.5</f>
        <v>49.640709100495329</v>
      </c>
      <c r="AH421" s="7">
        <f>J421</f>
        <v>679</v>
      </c>
      <c r="AI421" s="7">
        <v>8</v>
      </c>
      <c r="AJ421" s="7">
        <f>(750+710)/2</f>
        <v>730</v>
      </c>
      <c r="AK421" s="7"/>
      <c r="AL421" s="4">
        <f>CY421</f>
        <v>1.8878427439141436</v>
      </c>
      <c r="AM421" s="7">
        <v>0</v>
      </c>
      <c r="AN421" s="7">
        <v>0</v>
      </c>
      <c r="AO421" s="7">
        <f>L421</f>
        <v>133.19999999999999</v>
      </c>
      <c r="AP421" s="7"/>
      <c r="AQ421" s="7"/>
      <c r="AR421" s="7">
        <f>3*AS421/(W421+N421)</f>
        <v>1.3346693386773545</v>
      </c>
      <c r="AS421" s="4">
        <f>K421</f>
        <v>133.19999999999999</v>
      </c>
      <c r="AT421" s="4">
        <f>IF(K421*3&gt;W421+N421, Q421, (S421+N421/2)*2+1.5*K421*(2*X421-2))*(3*K421)/(9*K421^2)</f>
        <v>0.91591591591591592</v>
      </c>
      <c r="AU421" s="4">
        <f>MIN(10*M421^0.5*K421^1.5,100*3.9*M421^0.5*K421^(5/3))/(PI()/4*N421^2)/X421</f>
        <v>226.32633296409878</v>
      </c>
      <c r="AV421" s="4">
        <f>MIN(0.7+0.3*(MIN(S421,AA421)+0.5*N421)/1.5/K421,1)</f>
        <v>0.75</v>
      </c>
      <c r="AW421" s="4">
        <v>1.25</v>
      </c>
      <c r="AX421" s="47">
        <f>AX420</f>
        <v>1</v>
      </c>
      <c r="AY421" s="38">
        <f>AT421*AV421*AW421*AX421*AU421</f>
        <v>194.33989739315916</v>
      </c>
      <c r="AZ421" s="38">
        <f>AY421</f>
        <v>194.33989739315916</v>
      </c>
      <c r="BA421" s="38">
        <f>IF(M421&lt;50, 0.3*M421^(2/3), 2.12*LN(1+0.1*(M421+8)))</f>
        <v>5.7111767066521422</v>
      </c>
      <c r="BB421" s="38">
        <f>AX421* (M421^0.5/AS421^0.5)/(PI()/4*N421^2)/X421/0.72 *(0.7+(MIN(S421,AA421)+0.5*N421)/5/K421) *(3*Q421*K421)</f>
        <v>194.33989739315902</v>
      </c>
      <c r="BC421" s="38">
        <f>AY421/BB421</f>
        <v>1.0000000000000007</v>
      </c>
      <c r="BD421" s="38">
        <f>BH421/BB421</f>
        <v>4.010499184442998</v>
      </c>
      <c r="BE421" s="4">
        <f>IF(BD421&lt;1,1,0)</f>
        <v>0</v>
      </c>
      <c r="BF421" s="4">
        <f>L421/N421*M421^0.5/0.19</f>
        <v>359.91688791300993</v>
      </c>
      <c r="BG421" s="4">
        <f>MIN(0.6+0.4*(AC421/AB421),2)</f>
        <v>1</v>
      </c>
      <c r="BH421" s="38">
        <f>2*M421*AB421*AD421^0.5*BG421*0.7/0.7</f>
        <v>779.40000000000009</v>
      </c>
      <c r="BI421" s="4">
        <f>MAX(1-0.7*AE421/5,0.3)</f>
        <v>0.44000000000000006</v>
      </c>
      <c r="BJ421" s="4">
        <f>BI421*J421*L421/(J421*N421/2.75/M421^0.5)</f>
        <v>82.744892531200989</v>
      </c>
      <c r="BK421" s="4">
        <f>BH421+BJ421</f>
        <v>862.14489253120109</v>
      </c>
      <c r="BM421" s="4">
        <f>MIN(1.5, 0.75+0.25*MIN(3,MAX(1,S421/N421))+0.4*MIN(1,(40*2*PI()*AM421^2/4/AO421/X421)/N421))</f>
        <v>1</v>
      </c>
      <c r="BN421" s="4">
        <f>(3*P421+30)*BM421*M421^0.5</f>
        <v>547.07366962777508</v>
      </c>
      <c r="BP421" s="4">
        <f>3.4/PI()^0.5*M421*AB421*AE421^0.5*BG421</f>
        <v>747.53991440910613</v>
      </c>
      <c r="BQ421" s="4">
        <f>8/3*AH421*AI421^2/(AG421-N421-22)/N421*(AG421^2-N421^2)/(AG421^2-(N421+22)^2)</f>
        <v>3704.4961984911101</v>
      </c>
      <c r="BR421" s="4">
        <f>BQ421/BP421</f>
        <v>4.9555831429005819</v>
      </c>
      <c r="BZ421" s="4">
        <f>IF(W421=0,S421,MIN(W421/2,S421))</f>
        <v>22.2</v>
      </c>
      <c r="CD421" s="9"/>
      <c r="CF421" s="9"/>
      <c r="CG421" s="9"/>
      <c r="CH421" s="9">
        <f>IF(W421=0,MIN(S421,U421),MIN(W421/2,S421,U421))</f>
        <v>22.2</v>
      </c>
      <c r="CI421" s="9">
        <f>MAX(W421/2,S421)</f>
        <v>138.60000000000002</v>
      </c>
      <c r="CJ421" s="9">
        <f>(CH421/N421)^0.5*(CI421/CH421)^0.15</f>
        <v>1.3161686388047049</v>
      </c>
      <c r="CK421" s="70">
        <v>0</v>
      </c>
      <c r="CL421" s="9">
        <f>MIN(PI()*AM421^2/4*AN421*2/X421/N421/MAX(0.01,AO421),0.05)</f>
        <v>0</v>
      </c>
      <c r="CM421" s="9">
        <f>MAX(0,CK421*(CL421-0.5/50))</f>
        <v>0</v>
      </c>
      <c r="CN421" s="9">
        <f>MIN(1,(25/N421)^0.3)</f>
        <v>1</v>
      </c>
      <c r="CO421" s="9">
        <f>IF(J421&gt;=800,0.68,IF(J421&gt;=700,0.75-(J421-700)*0.07/100,IF(J421&gt;=600,0.85-(J421-600)*0.1/100,IF(J421&gt;=500,1-(J421-500)*0.15/100,1.2-(J421-400)*0.2/100))))</f>
        <v>0.77100000000000002</v>
      </c>
      <c r="CP421" s="9">
        <f>1.75*CN421*CO421*(M421/25)^0.5</f>
        <v>3.0755797864386483</v>
      </c>
      <c r="CQ421" s="9">
        <f>MIN((CJ421+CM421)*CP421,2.5*CP421,M421^0.5)</f>
        <v>4.047981661052221</v>
      </c>
      <c r="CR421" s="9">
        <v>1</v>
      </c>
      <c r="CS421" s="9">
        <f>4*CQ421*P421+60*CQ421</f>
        <v>340.03045952838659</v>
      </c>
      <c r="CU421" s="4">
        <f>AJ421/BF421</f>
        <v>2.0282460326686236</v>
      </c>
      <c r="CV421" s="4">
        <f>AJ421/BK421</f>
        <v>0.84672542437358489</v>
      </c>
      <c r="CW421" s="4">
        <f>AJ421/BN421</f>
        <v>1.334372389913568</v>
      </c>
      <c r="CX421" s="4">
        <f>AJ421/CS421</f>
        <v>2.1468664925268488</v>
      </c>
      <c r="CY421" s="44">
        <f>AJ421/DZ421</f>
        <v>1.8878427439141436</v>
      </c>
      <c r="CZ421" s="4">
        <f>AJ421/EL421</f>
        <v>1</v>
      </c>
      <c r="DA421" s="4">
        <f>AJ421/GI421</f>
        <v>2.1117680338689433</v>
      </c>
      <c r="DC421" s="4">
        <f>CU421</f>
        <v>2.0282460326686236</v>
      </c>
      <c r="DD421" s="4">
        <f>CV421</f>
        <v>0.84672542437358489</v>
      </c>
      <c r="DE421" s="4">
        <f>CX421</f>
        <v>2.1468664925268488</v>
      </c>
      <c r="DF421" s="4">
        <f>DA421</f>
        <v>2.1117680338689433</v>
      </c>
      <c r="DG421" s="4">
        <f>CY421</f>
        <v>1.8878427439141436</v>
      </c>
      <c r="DH421" s="4">
        <f>CZ421</f>
        <v>1</v>
      </c>
      <c r="DP421" s="4">
        <f>AN421</f>
        <v>0</v>
      </c>
      <c r="DQ421" s="4">
        <f>L421</f>
        <v>133.19999999999999</v>
      </c>
      <c r="DT421" s="4">
        <f>K421/4/(1-0.3*(M421/30)^0.5)/200000/N421</f>
        <v>1.9960587760943928E-5</v>
      </c>
      <c r="DU421" s="4">
        <f>EP421</f>
        <v>12.240383556873418</v>
      </c>
      <c r="DV421" s="4">
        <f>EC421*AG421/257/M421/AD421</f>
        <v>7.2243317316177932E-2</v>
      </c>
      <c r="DW421" s="4">
        <f>DU421*DV421^0.4</f>
        <v>4.278722282400147</v>
      </c>
      <c r="DX421" s="4">
        <f>MIN(DU421, DU421/1.4*(1-DV421^1.4)/(1-DV421))</f>
        <v>9.1859633704229555</v>
      </c>
      <c r="DY421" s="4">
        <f>MAX(DU421/2, (4-DT421*(8*AG421*(DW421-DX421)+6*K421*DX421))/(4+DT421*K421*DU421)*DU421)</f>
        <v>11.814868473216258</v>
      </c>
      <c r="DZ421" s="38">
        <f>MIN(1/N421*(4*AG421*(DW421-DX421)+(3*DX421+DY421)*K421)+EC421 -FJ421,MAX(J421,AJ421))</f>
        <v>386.68475028087369</v>
      </c>
      <c r="EA421" s="4">
        <f>DZ421/FF421</f>
        <v>1.0000797326428974</v>
      </c>
      <c r="EB421" s="4">
        <f>AG421/N421</f>
        <v>2.2360679774997898</v>
      </c>
      <c r="EC421" s="4">
        <f>MIN(EB$10*BB421)</f>
        <v>194.33989739315902</v>
      </c>
      <c r="EG421" s="4">
        <f>IF(U421&gt;1*N421,0.85,1)</f>
        <v>0.85</v>
      </c>
      <c r="EH421" s="4">
        <f>MIN(1,MAX(0.7,(1-0.1*(BZ421-1*N421)/N421)))</f>
        <v>1</v>
      </c>
      <c r="EI421" s="4">
        <f>MIN(1,MAX(0.7,1-0.3*(PI()*AM421^2/4*AQ421*2-0.25*PI()/4*N421^2)/(PI()/4*N421^2)))</f>
        <v>1</v>
      </c>
      <c r="EJ421" s="4">
        <f>IF(EH421*EI421&lt;0.7,0.7,EH421*EI421)</f>
        <v>1</v>
      </c>
      <c r="EL421" s="4">
        <f>MIN(DU421/N421*3*K421+EM421-FJ421,MAX(J421,AJ421))</f>
        <v>730</v>
      </c>
      <c r="EM421" s="25">
        <f>26.5*Q421*K421^0.5*M421^0.5/X421/N421^2*(0.7+S421/5/K421)</f>
        <v>949.1812023271998</v>
      </c>
      <c r="EP421" s="4">
        <f>IF(N421&lt;22.2,1.1*5*(M421/30)^0.5,IF(N421&gt;=31.8,0.9*5*(M421/30)^0.5,1*5*(M421/30)^0.5))/EG421/EJ421</f>
        <v>12.240383556873418</v>
      </c>
      <c r="ES421" s="4">
        <f>ET421*N421</f>
        <v>49.640709100495329</v>
      </c>
      <c r="ET421" s="4">
        <f>AF421^0.5</f>
        <v>2.2360679774997898</v>
      </c>
      <c r="EU421" s="4">
        <f>MIN(EC421)/(4700*M421^0.5)/AE421*ES421</f>
        <v>4.5023320454490388E-2</v>
      </c>
      <c r="EX421" s="4">
        <f>EU421</f>
        <v>4.5023320454490388E-2</v>
      </c>
      <c r="EY421" s="4">
        <f>MIN(0.999, EX421/(0.3*(M421/30)^0.5))</f>
        <v>7.2122756683901279E-2</v>
      </c>
      <c r="EZ421" s="4">
        <f>EP421/1*EY421^0.4</f>
        <v>4.2758646951909078</v>
      </c>
      <c r="FA421" s="4">
        <f>EP421/1.4*(1-EY421^1.4)/(1-EY421)</f>
        <v>9.1853255788184534</v>
      </c>
      <c r="FB421" s="4">
        <f>MAX(0,DQ421*FB$9-ES421)</f>
        <v>50.259290899504663</v>
      </c>
      <c r="FC421" s="4">
        <f>MAX(0,DQ421-ES421-FB421)</f>
        <v>33.299999999999997</v>
      </c>
      <c r="FD421" s="4">
        <f>FC421/(1-0.3*(M421/30)^0.5)/200000/N421</f>
        <v>1.9960587760943928E-5</v>
      </c>
      <c r="FE421" s="4">
        <f>MAX(0.5*EP421, (1-2*FD421*(ES421*EZ421+FB421*FA421))/(1/EP421+FD421*FC421))</f>
        <v>11.814952767436134</v>
      </c>
      <c r="FF421" s="4">
        <f>MIN(4/N421*(1*EZ421*ES421+FA421*FB421+FC421*FE421)+EC421,MAX(J421,AJ421))</f>
        <v>386.65392134183844</v>
      </c>
      <c r="FO421" s="23">
        <f>IF(CU421&lt;0.6,0.6,IF(CU421&lt;0.8,0.8,IF(CU421&lt;1,1,IF(CU421&lt;1.2,1.2,IF(CU421&lt;1.4,1.4,IF(CU421&lt;1.6,1.6,IF(CU421&lt;1.8,1.8,IF(CU421&lt;2,2,2.2))))))))</f>
        <v>2.2000000000000002</v>
      </c>
      <c r="FP421" s="23">
        <f>IF(CV421&lt;0.6,0.6,IF(CV421&lt;0.8,0.8,IF(CV421&lt;1,1,IF(CV421&lt;1.2,1.2,IF(CV421&lt;1.4,1.4,IF(CV421&lt;1.6,1.6,IF(CV421&lt;1.8,1.8,IF(CV421&lt;2,2,2.2))))))))</f>
        <v>1</v>
      </c>
      <c r="FQ421" s="23">
        <f>IF(DA421&lt;0.6,0.6,IF(DA421&lt;0.8,0.8,IF(DA421&lt;1,1,IF(DA421&lt;1.2,1.2,IF(DA421&lt;1.4,1.4,IF(DA421&lt;1.6,1.6,IF(DA421&lt;1.8,1.8,IF(DA421&lt;2,2,2.2))))))))</f>
        <v>2.2000000000000002</v>
      </c>
      <c r="FR421" s="23">
        <f>IF(CX421&lt;0.6,0.6,IF(CX421&lt;0.8,0.8,IF(CX421&lt;1,1,IF(CX421&lt;1.2,1.2,IF(CX421&lt;1.4,1.4,IF(CX421&lt;1.6,1.6,IF(CX421&lt;1.8,1.8,IF(CX421&lt;2,2,2.2))))))))</f>
        <v>2.2000000000000002</v>
      </c>
      <c r="FS421" s="23">
        <f>IF(CY421&lt;0.6,0.6,IF(CY421&lt;0.8,0.8,IF(CY421&lt;1,1,IF(CY421&lt;1.2,1.2,IF(CY421&lt;1.4,1.4,IF(CY421&lt;1.6,1.6,IF(CY421&lt;1.8,1.8,IF(CY421&lt;2,2,2.2))))))))</f>
        <v>2</v>
      </c>
      <c r="FT421" s="23">
        <f>IF(CZ421&lt;0.6,0.6,IF(CZ421&lt;0.8,0.8,IF(CZ421&lt;1,1,IF(CZ421&lt;1.2,1.2,IF(CZ421&lt;1.4,1.4,IF(CZ421&lt;1.6,1.6,IF(CZ421&lt;1.8,1.8,IF(CZ421&lt;2,2,2.2))))))))</f>
        <v>1.2</v>
      </c>
      <c r="FU421" s="23">
        <f>IF(FS421&lt;1,1,0)</f>
        <v>0</v>
      </c>
      <c r="FV421" s="23"/>
      <c r="GF421" s="4">
        <f>IF(S421&gt;=2.5*25.4,1,1.25)</f>
        <v>1.25</v>
      </c>
      <c r="GG421" s="4">
        <f>IF(AO421&gt;1, 0.05*(18-MIN(8,(W421+N421)/N421))*(1-48000/MAX(60000,(J421*145))*(N421/25.4)^0.75*GH421), 1/12*(14-MIN(8,(W421+N421)/N421)))</f>
        <v>0.5</v>
      </c>
      <c r="GH421" s="4">
        <f>MIN(0.3, AM421^2*PI()/4*2*AP421/(N421^2*PI()/4*X421))</f>
        <v>0</v>
      </c>
      <c r="GI421" s="4">
        <f>(K421/25.4)/(N421/25.4)^1.5/0.0024*(M421*145)^0.25/GF421/GG421/145</f>
        <v>345.681906484102</v>
      </c>
    </row>
    <row r="422" spans="1:191" ht="12" customHeight="1" x14ac:dyDescent="0.3">
      <c r="A422" s="25">
        <v>185</v>
      </c>
      <c r="B422" s="24" t="s">
        <v>128</v>
      </c>
      <c r="C422" s="24">
        <v>2017</v>
      </c>
      <c r="D422" s="24" t="s">
        <v>309</v>
      </c>
      <c r="E422" s="24"/>
      <c r="F422" s="115" t="s">
        <v>792</v>
      </c>
      <c r="G422" s="109"/>
      <c r="H422" s="4" t="s">
        <v>319</v>
      </c>
      <c r="I422" s="5">
        <f>K422/N422</f>
        <v>6</v>
      </c>
      <c r="J422" s="86">
        <v>679</v>
      </c>
      <c r="K422" s="104">
        <f>6*N422</f>
        <v>133.19999999999999</v>
      </c>
      <c r="L422" s="7">
        <f>K422</f>
        <v>133.19999999999999</v>
      </c>
      <c r="M422" s="10">
        <v>129.9</v>
      </c>
      <c r="N422" s="80">
        <v>22.2</v>
      </c>
      <c r="O422" s="7">
        <f>K422/N422</f>
        <v>6</v>
      </c>
      <c r="P422" s="7">
        <f>L422/N422</f>
        <v>6</v>
      </c>
      <c r="Q422" s="7">
        <v>366</v>
      </c>
      <c r="R422" s="32">
        <f>S422/N422</f>
        <v>1</v>
      </c>
      <c r="S422" s="7">
        <f>1*N422</f>
        <v>22.2</v>
      </c>
      <c r="T422" s="32">
        <f>U422/N422</f>
        <v>1.9279279279279284</v>
      </c>
      <c r="U422" s="7">
        <f>176-L422</f>
        <v>42.800000000000011</v>
      </c>
      <c r="V422" s="32">
        <f>W422/N422</f>
        <v>12.48648648648649</v>
      </c>
      <c r="W422" s="7">
        <f>Q422-2*N422-2*S422</f>
        <v>277.20000000000005</v>
      </c>
      <c r="X422" s="7">
        <v>2</v>
      </c>
      <c r="Y422" s="7">
        <f>AN422</f>
        <v>0</v>
      </c>
      <c r="Z422" s="32">
        <f>AA422/N422</f>
        <v>3.9999999999999996</v>
      </c>
      <c r="AA422" s="10">
        <f>2/3*K422</f>
        <v>88.799999999999983</v>
      </c>
      <c r="AB422" s="7">
        <f>MIN(S422/N422+0.5, W422/2/N422+0.5)</f>
        <v>1.5</v>
      </c>
      <c r="AC422" s="7">
        <f>S422/N422+0.5</f>
        <v>1.5</v>
      </c>
      <c r="AD422" s="7">
        <f>2040/510</f>
        <v>4</v>
      </c>
      <c r="AE422" s="7">
        <f>2040/510</f>
        <v>4</v>
      </c>
      <c r="AF422" s="7">
        <f>AE422+1</f>
        <v>5</v>
      </c>
      <c r="AG422" s="7">
        <f>N422*AF422^0.5</f>
        <v>49.640709100495329</v>
      </c>
      <c r="AH422" s="7">
        <f>J422</f>
        <v>679</v>
      </c>
      <c r="AI422" s="7">
        <v>8</v>
      </c>
      <c r="AJ422" s="7">
        <f>(742+721)/2</f>
        <v>731.5</v>
      </c>
      <c r="AK422" s="7"/>
      <c r="AL422" s="4">
        <f>CY422</f>
        <v>1.8917218728399947</v>
      </c>
      <c r="AM422" s="7">
        <v>0</v>
      </c>
      <c r="AN422" s="7">
        <v>0</v>
      </c>
      <c r="AO422" s="7">
        <f>L422</f>
        <v>133.19999999999999</v>
      </c>
      <c r="AP422" s="7"/>
      <c r="AQ422" s="7"/>
      <c r="AR422" s="7">
        <f>3*AS422/(W422+N422)</f>
        <v>1.3346693386773545</v>
      </c>
      <c r="AS422" s="4">
        <f>K422</f>
        <v>133.19999999999999</v>
      </c>
      <c r="AT422" s="4">
        <f>IF(K422*3&gt;W422+N422, Q422, (S422+N422/2)*2+1.5*K422*(2*X422-2))*(3*K422)/(9*K422^2)</f>
        <v>0.91591591591591592</v>
      </c>
      <c r="AU422" s="4">
        <f>MIN(10*M422^0.5*K422^1.5,100*3.9*M422^0.5*K422^(5/3))/(PI()/4*N422^2)/X422</f>
        <v>226.32633296409878</v>
      </c>
      <c r="AV422" s="4">
        <f>MIN(0.7+0.3*(MIN(S422,AA422)+0.5*N422)/1.5/K422,1)</f>
        <v>0.75</v>
      </c>
      <c r="AW422" s="4">
        <v>1.25</v>
      </c>
      <c r="AX422" s="47">
        <f>AX421</f>
        <v>1</v>
      </c>
      <c r="AY422" s="38">
        <f>AT422*AV422*AW422*AX422*AU422</f>
        <v>194.33989739315916</v>
      </c>
      <c r="AZ422" s="38">
        <f>AY422</f>
        <v>194.33989739315916</v>
      </c>
      <c r="BA422" s="38">
        <f>IF(M422&lt;50, 0.3*M422^(2/3), 2.12*LN(1+0.1*(M422+8)))</f>
        <v>5.7111767066521422</v>
      </c>
      <c r="BB422" s="38">
        <f>AX422* (M422^0.5/AS422^0.5)/(PI()/4*N422^2)/X422/0.72 *(0.7+(MIN(S422,AA422)+0.5*N422)/5/K422) *(3*Q422*K422)</f>
        <v>194.33989739315902</v>
      </c>
      <c r="BC422" s="38">
        <f>AY422/BB422</f>
        <v>1.0000000000000007</v>
      </c>
      <c r="BD422" s="38">
        <f>BH422/BB422</f>
        <v>4.010499184442998</v>
      </c>
      <c r="BE422" s="4">
        <f>IF(BD422&lt;1,1,0)</f>
        <v>0</v>
      </c>
      <c r="BF422" s="4">
        <f>L422/N422*M422^0.5/0.19</f>
        <v>359.91688791300993</v>
      </c>
      <c r="BG422" s="4">
        <f>MIN(0.6+0.4*(AC422/AB422),2)</f>
        <v>1</v>
      </c>
      <c r="BH422" s="38">
        <f>2*M422*AB422*AD422^0.5*BG422*0.7/0.7</f>
        <v>779.40000000000009</v>
      </c>
      <c r="BI422" s="4">
        <f>MAX(1-0.7*AE422/5,0.3)</f>
        <v>0.44000000000000006</v>
      </c>
      <c r="BJ422" s="4">
        <f>BI422*J422*L422/(J422*N422/2.75/M422^0.5)</f>
        <v>82.744892531200989</v>
      </c>
      <c r="BK422" s="4">
        <f>BH422+BJ422</f>
        <v>862.14489253120109</v>
      </c>
      <c r="BM422" s="4">
        <f>MIN(1.5, 0.75+0.25*MIN(3,MAX(1,S422/N422))+0.4*MIN(1,(40*2*PI()*AM422^2/4/AO422/X422)/N422))</f>
        <v>1</v>
      </c>
      <c r="BN422" s="4">
        <f>(3*P422+30)*BM422*M422^0.5</f>
        <v>547.07366962777508</v>
      </c>
      <c r="BP422" s="4">
        <f>3.4/PI()^0.5*M422*AB422*AE422^0.5*BG422</f>
        <v>747.53991440910613</v>
      </c>
      <c r="BQ422" s="4">
        <f>8/3*AH422*AI422^2/(AG422-N422-22)/N422*(AG422^2-N422^2)/(AG422^2-(N422+22)^2)</f>
        <v>3704.4961984911101</v>
      </c>
      <c r="BR422" s="4">
        <f>BQ422/BP422</f>
        <v>4.9555831429005819</v>
      </c>
      <c r="BZ422" s="4">
        <f>IF(W422=0,S422,MIN(W422/2,S422))</f>
        <v>22.2</v>
      </c>
      <c r="CD422" s="9"/>
      <c r="CF422" s="9"/>
      <c r="CG422" s="9"/>
      <c r="CH422" s="9">
        <f>IF(W422=0,MIN(S422,U422),MIN(W422/2,S422,U422))</f>
        <v>22.2</v>
      </c>
      <c r="CI422" s="9">
        <f>MAX(W422/2,S422)</f>
        <v>138.60000000000002</v>
      </c>
      <c r="CJ422" s="9">
        <f>(CH422/N422)^0.5*(CI422/CH422)^0.15</f>
        <v>1.3161686388047049</v>
      </c>
      <c r="CK422" s="70">
        <v>0</v>
      </c>
      <c r="CL422" s="9">
        <f>MIN(PI()*AM422^2/4*AN422*2/X422/N422/MAX(0.01,AO422),0.05)</f>
        <v>0</v>
      </c>
      <c r="CM422" s="9">
        <f>MAX(0,CK422*(CL422-0.5/50))</f>
        <v>0</v>
      </c>
      <c r="CN422" s="9">
        <f>MIN(1,(25/N422)^0.3)</f>
        <v>1</v>
      </c>
      <c r="CO422" s="9">
        <f>IF(J422&gt;=800,0.68,IF(J422&gt;=700,0.75-(J422-700)*0.07/100,IF(J422&gt;=600,0.85-(J422-600)*0.1/100,IF(J422&gt;=500,1-(J422-500)*0.15/100,1.2-(J422-400)*0.2/100))))</f>
        <v>0.77100000000000002</v>
      </c>
      <c r="CP422" s="9">
        <f>1.75*CN422*CO422*(M422/25)^0.5</f>
        <v>3.0755797864386483</v>
      </c>
      <c r="CQ422" s="9">
        <f>MIN((CJ422+CM422)*CP422,2.5*CP422,M422^0.5)</f>
        <v>4.047981661052221</v>
      </c>
      <c r="CR422" s="9">
        <v>1</v>
      </c>
      <c r="CS422" s="9">
        <f>4*CQ422*P422+60*CQ422</f>
        <v>340.03045952838659</v>
      </c>
      <c r="CU422" s="4">
        <f>AJ422/BF422</f>
        <v>2.0324136615028738</v>
      </c>
      <c r="CV422" s="4">
        <f>AJ422/BK422</f>
        <v>0.84846527113599635</v>
      </c>
      <c r="CW422" s="4">
        <f>AJ422/BN422</f>
        <v>1.3371142509887328</v>
      </c>
      <c r="CX422" s="4">
        <f>AJ422/CS422</f>
        <v>2.1512778620320412</v>
      </c>
      <c r="CY422" s="44">
        <f>AJ422/DZ422</f>
        <v>1.8917218728399947</v>
      </c>
      <c r="CZ422" s="4">
        <f>AJ422/EL422</f>
        <v>1</v>
      </c>
      <c r="DA422" s="4">
        <f>AJ422/GI422</f>
        <v>2.1161072832536054</v>
      </c>
      <c r="DC422" s="4">
        <f>CU422</f>
        <v>2.0324136615028738</v>
      </c>
      <c r="DD422" s="4">
        <f>CV422</f>
        <v>0.84846527113599635</v>
      </c>
      <c r="DE422" s="4">
        <f>CX422</f>
        <v>2.1512778620320412</v>
      </c>
      <c r="DF422" s="4">
        <f>DA422</f>
        <v>2.1161072832536054</v>
      </c>
      <c r="DG422" s="4">
        <f>CY422</f>
        <v>1.8917218728399947</v>
      </c>
      <c r="DH422" s="4">
        <f>CZ422</f>
        <v>1</v>
      </c>
      <c r="DP422" s="4">
        <f>AN422</f>
        <v>0</v>
      </c>
      <c r="DQ422" s="4">
        <f>L422</f>
        <v>133.19999999999999</v>
      </c>
      <c r="DT422" s="4">
        <f>K422/4/(1-0.3*(M422/30)^0.5)/200000/N422</f>
        <v>1.9960587760943928E-5</v>
      </c>
      <c r="DU422" s="4">
        <f>EP422</f>
        <v>12.240383556873418</v>
      </c>
      <c r="DV422" s="4">
        <f>EC422*AG422/257/M422/AD422</f>
        <v>7.2243317316177932E-2</v>
      </c>
      <c r="DW422" s="4">
        <f>DU422*DV422^0.4</f>
        <v>4.278722282400147</v>
      </c>
      <c r="DX422" s="4">
        <f>MIN(DU422, DU422/1.4*(1-DV422^1.4)/(1-DV422))</f>
        <v>9.1859633704229555</v>
      </c>
      <c r="DY422" s="4">
        <f>MAX(DU422/2, (4-DT422*(8*AG422*(DW422-DX422)+6*K422*DX422))/(4+DT422*K422*DU422)*DU422)</f>
        <v>11.814868473216258</v>
      </c>
      <c r="DZ422" s="38">
        <f>MIN(1/N422*(4*AG422*(DW422-DX422)+(3*DX422+DY422)*K422)+EC422 -FJ422,MAX(J422,AJ422))</f>
        <v>386.68475028087369</v>
      </c>
      <c r="EA422" s="4">
        <f>DZ422/FF422</f>
        <v>1.0000797326428974</v>
      </c>
      <c r="EB422" s="4">
        <f>AG422/N422</f>
        <v>2.2360679774997898</v>
      </c>
      <c r="EC422" s="4">
        <f>MIN(EB$10*BB422)</f>
        <v>194.33989739315902</v>
      </c>
      <c r="EG422" s="4">
        <f>IF(U422&gt;1*N422,0.85,1)</f>
        <v>0.85</v>
      </c>
      <c r="EH422" s="4">
        <f>MIN(1,MAX(0.7,(1-0.1*(BZ422-1*N422)/N422)))</f>
        <v>1</v>
      </c>
      <c r="EI422" s="4">
        <f>MIN(1,MAX(0.7,1-0.3*(PI()*AM422^2/4*AQ422*2-0.25*PI()/4*N422^2)/(PI()/4*N422^2)))</f>
        <v>1</v>
      </c>
      <c r="EJ422" s="4">
        <f>IF(EH422*EI422&lt;0.7,0.7,EH422*EI422)</f>
        <v>1</v>
      </c>
      <c r="EL422" s="4">
        <f>MIN(DU422/N422*3*K422+EM422-FJ422,MAX(J422,AJ422))</f>
        <v>731.5</v>
      </c>
      <c r="EM422" s="25">
        <f>26.5*Q422*K422^0.5*M422^0.5/X422/N422^2*(0.7+S422/5/K422)</f>
        <v>949.1812023271998</v>
      </c>
      <c r="EP422" s="4">
        <f>IF(N422&lt;22.2,1.1*5*(M422/30)^0.5,IF(N422&gt;=31.8,0.9*5*(M422/30)^0.5,1*5*(M422/30)^0.5))/EG422/EJ422</f>
        <v>12.240383556873418</v>
      </c>
      <c r="ES422" s="4">
        <f>ET422*N422</f>
        <v>49.640709100495329</v>
      </c>
      <c r="ET422" s="4">
        <f>AF422^0.5</f>
        <v>2.2360679774997898</v>
      </c>
      <c r="EU422" s="4">
        <f>MIN(EC422)/(4700*M422^0.5)/AE422*ES422</f>
        <v>4.5023320454490388E-2</v>
      </c>
      <c r="EX422" s="4">
        <f>EU422</f>
        <v>4.5023320454490388E-2</v>
      </c>
      <c r="EY422" s="4">
        <f>MIN(0.999, EX422/(0.3*(M422/30)^0.5))</f>
        <v>7.2122756683901279E-2</v>
      </c>
      <c r="EZ422" s="4">
        <f>EP422/1*EY422^0.4</f>
        <v>4.2758646951909078</v>
      </c>
      <c r="FA422" s="4">
        <f>EP422/1.4*(1-EY422^1.4)/(1-EY422)</f>
        <v>9.1853255788184534</v>
      </c>
      <c r="FB422" s="4">
        <f>MAX(0,DQ422*FB$9-ES422)</f>
        <v>50.259290899504663</v>
      </c>
      <c r="FC422" s="4">
        <f>MAX(0,DQ422-ES422-FB422)</f>
        <v>33.299999999999997</v>
      </c>
      <c r="FD422" s="4">
        <f>FC422/(1-0.3*(M422/30)^0.5)/200000/N422</f>
        <v>1.9960587760943928E-5</v>
      </c>
      <c r="FE422" s="4">
        <f>MAX(0.5*EP422, (1-2*FD422*(ES422*EZ422+FB422*FA422))/(1/EP422+FD422*FC422))</f>
        <v>11.814952767436134</v>
      </c>
      <c r="FF422" s="4">
        <f>MIN(4/N422*(1*EZ422*ES422+FA422*FB422+FC422*FE422)+EC422,MAX(J422,AJ422))</f>
        <v>386.65392134183844</v>
      </c>
      <c r="FO422" s="23">
        <f>IF(CU422&lt;0.6,0.6,IF(CU422&lt;0.8,0.8,IF(CU422&lt;1,1,IF(CU422&lt;1.2,1.2,IF(CU422&lt;1.4,1.4,IF(CU422&lt;1.6,1.6,IF(CU422&lt;1.8,1.8,IF(CU422&lt;2,2,2.2))))))))</f>
        <v>2.2000000000000002</v>
      </c>
      <c r="FP422" s="23">
        <f>IF(CV422&lt;0.6,0.6,IF(CV422&lt;0.8,0.8,IF(CV422&lt;1,1,IF(CV422&lt;1.2,1.2,IF(CV422&lt;1.4,1.4,IF(CV422&lt;1.6,1.6,IF(CV422&lt;1.8,1.8,IF(CV422&lt;2,2,2.2))))))))</f>
        <v>1</v>
      </c>
      <c r="FQ422" s="23">
        <f>IF(DA422&lt;0.6,0.6,IF(DA422&lt;0.8,0.8,IF(DA422&lt;1,1,IF(DA422&lt;1.2,1.2,IF(DA422&lt;1.4,1.4,IF(DA422&lt;1.6,1.6,IF(DA422&lt;1.8,1.8,IF(DA422&lt;2,2,2.2))))))))</f>
        <v>2.2000000000000002</v>
      </c>
      <c r="FR422" s="23">
        <f>IF(CX422&lt;0.6,0.6,IF(CX422&lt;0.8,0.8,IF(CX422&lt;1,1,IF(CX422&lt;1.2,1.2,IF(CX422&lt;1.4,1.4,IF(CX422&lt;1.6,1.6,IF(CX422&lt;1.8,1.8,IF(CX422&lt;2,2,2.2))))))))</f>
        <v>2.2000000000000002</v>
      </c>
      <c r="FS422" s="23">
        <f>IF(CY422&lt;0.6,0.6,IF(CY422&lt;0.8,0.8,IF(CY422&lt;1,1,IF(CY422&lt;1.2,1.2,IF(CY422&lt;1.4,1.4,IF(CY422&lt;1.6,1.6,IF(CY422&lt;1.8,1.8,IF(CY422&lt;2,2,2.2))))))))</f>
        <v>2</v>
      </c>
      <c r="FT422" s="23">
        <f>IF(CZ422&lt;0.6,0.6,IF(CZ422&lt;0.8,0.8,IF(CZ422&lt;1,1,IF(CZ422&lt;1.2,1.2,IF(CZ422&lt;1.4,1.4,IF(CZ422&lt;1.6,1.6,IF(CZ422&lt;1.8,1.8,IF(CZ422&lt;2,2,2.2))))))))</f>
        <v>1.2</v>
      </c>
      <c r="FU422" s="23">
        <f>IF(FS422&lt;1,1,0)</f>
        <v>0</v>
      </c>
      <c r="FV422" s="23"/>
      <c r="GF422" s="4">
        <f>IF(S422&gt;=2.5*25.4,1,1.25)</f>
        <v>1.25</v>
      </c>
      <c r="GG422" s="4">
        <f>IF(AO422&gt;1, 0.05*(18-MIN(8,(W422+N422)/N422))*(1-48000/MAX(60000,(J422*145))*(N422/25.4)^0.75*GH422), 1/12*(14-MIN(8,(W422+N422)/N422)))</f>
        <v>0.5</v>
      </c>
      <c r="GH422" s="4">
        <f>MIN(0.3, AM422^2*PI()/4*2*AP422/(N422^2*PI()/4*X422))</f>
        <v>0</v>
      </c>
      <c r="GI422" s="4">
        <f>(K422/25.4)/(N422/25.4)^1.5/0.0024*(M422*145)^0.25/GF422/GG422/145</f>
        <v>345.681906484102</v>
      </c>
    </row>
    <row r="423" spans="1:191" ht="12" customHeight="1" x14ac:dyDescent="0.3">
      <c r="A423" s="25">
        <v>378</v>
      </c>
      <c r="B423" s="4" t="s">
        <v>605</v>
      </c>
      <c r="C423" s="4">
        <v>2016</v>
      </c>
      <c r="D423" s="4" t="s">
        <v>309</v>
      </c>
      <c r="E423" s="24" t="s">
        <v>674</v>
      </c>
      <c r="F423" s="120" t="s">
        <v>763</v>
      </c>
      <c r="G423" s="24">
        <v>5</v>
      </c>
      <c r="H423" s="7" t="s">
        <v>544</v>
      </c>
      <c r="I423" s="5">
        <f>K423/N423</f>
        <v>8.3040000000000003</v>
      </c>
      <c r="J423" s="38">
        <f>139/0.145</f>
        <v>958.62068965517244</v>
      </c>
      <c r="K423" s="77">
        <f>5.19*25.4</f>
        <v>131.82599999999999</v>
      </c>
      <c r="L423" s="4">
        <f>K423</f>
        <v>131.82599999999999</v>
      </c>
      <c r="M423" s="38">
        <f>11030/145</f>
        <v>76.068965517241381</v>
      </c>
      <c r="N423" s="38">
        <f>0.625*25.4</f>
        <v>15.875</v>
      </c>
      <c r="O423" s="7">
        <f>K423/N423</f>
        <v>8.3040000000000003</v>
      </c>
      <c r="P423" s="7">
        <f>L423/N423</f>
        <v>8.3040000000000003</v>
      </c>
      <c r="Q423" s="38">
        <f>12.8*25.4</f>
        <v>325.12</v>
      </c>
      <c r="R423" s="32">
        <f>S423/N423</f>
        <v>4</v>
      </c>
      <c r="S423" s="38">
        <f>2.5*25.4</f>
        <v>63.5</v>
      </c>
      <c r="T423" s="32">
        <f>U423/N423</f>
        <v>6.2399999999999993</v>
      </c>
      <c r="U423" s="39">
        <f>3.9*25.4</f>
        <v>99.059999999999988</v>
      </c>
      <c r="V423" s="32">
        <f>W423/N423</f>
        <v>2.8266666666666667</v>
      </c>
      <c r="W423" s="7">
        <f>(Q423-X423*N423-2*S423)/(X423-1)</f>
        <v>44.873333333333335</v>
      </c>
      <c r="X423" s="38">
        <v>4</v>
      </c>
      <c r="Y423" s="7">
        <f>AN423</f>
        <v>0</v>
      </c>
      <c r="Z423" s="32">
        <f>AA423/N423</f>
        <v>8.4</v>
      </c>
      <c r="AA423" s="4">
        <f>5.25*25.4</f>
        <v>133.35</v>
      </c>
      <c r="AB423" s="7">
        <f>MIN(S423/N423+0.5, W423/2/N423+0.5)</f>
        <v>1.9133333333333333</v>
      </c>
      <c r="AC423" s="7">
        <f>S423/N423+0.5</f>
        <v>4.5</v>
      </c>
      <c r="AD423" s="38">
        <v>4</v>
      </c>
      <c r="AE423" s="4">
        <f>AD423</f>
        <v>4</v>
      </c>
      <c r="AF423" s="4">
        <f>AE423+1</f>
        <v>5</v>
      </c>
      <c r="AG423" s="7">
        <f>N423*AF423^0.5</f>
        <v>35.497579142809165</v>
      </c>
      <c r="AJ423" s="38">
        <f>AK423/0.145</f>
        <v>570.34482758620697</v>
      </c>
      <c r="AK423" s="4">
        <v>82.7</v>
      </c>
      <c r="AL423" s="4">
        <f>CY423</f>
        <v>1.4822802361136755</v>
      </c>
      <c r="AM423" s="38">
        <v>0</v>
      </c>
      <c r="AN423" s="38">
        <v>0</v>
      </c>
      <c r="AO423" s="39">
        <f>L423</f>
        <v>131.82599999999999</v>
      </c>
      <c r="AP423" s="39"/>
      <c r="AQ423" s="39"/>
      <c r="AR423" s="7"/>
      <c r="AS423" s="4">
        <f>K423</f>
        <v>131.82599999999999</v>
      </c>
      <c r="AT423" s="4">
        <f>IF(K423*3&gt;W423+N423, Q423, (S423+N423/2)*2+1.5*K423*(2*X423-2))*(3*K423)/(9*K423^2)</f>
        <v>0.82209377007064866</v>
      </c>
      <c r="AU423" s="4">
        <f>MIN(10*M423^0.5*K423^1.5,100*3.9*M423^0.5*K423^(5/3))/(PI()/4*N423^2)/X423</f>
        <v>166.73548079390528</v>
      </c>
      <c r="AV423" s="4">
        <f>MIN(0.7+0.3*(MIN(S423,AA423)+0.5*N423)/1.5/K423,1)</f>
        <v>0.80838150289017341</v>
      </c>
      <c r="AW423" s="4">
        <v>1.25</v>
      </c>
      <c r="AX423" s="4">
        <f>AX422</f>
        <v>1</v>
      </c>
      <c r="AY423" s="38">
        <f>AT423*AV423*AW423*AX423*AU423</f>
        <v>138.50828881109086</v>
      </c>
      <c r="AZ423" s="38">
        <f>AY423</f>
        <v>138.50828881109086</v>
      </c>
      <c r="BA423" s="38">
        <f>IF(M423&lt;50, 0.3*M423^(2/3), 2.12*LN(1+0.1*(M423+8)))</f>
        <v>4.7518593634836064</v>
      </c>
      <c r="BB423" s="38">
        <f>AX423* (M423^0.5/AS423^0.5)/(PI()/4*N423^2)/X423/0.72 *(0.7+(MIN(S423,AA423)+0.5*N423)/5/K423) *(3*Q423*K423)</f>
        <v>138.50828881109081</v>
      </c>
      <c r="BC423" s="38">
        <f>AY423/BB423</f>
        <v>1.0000000000000004</v>
      </c>
      <c r="BD423" s="38">
        <f>BH423/BB423</f>
        <v>6.4761845596310916</v>
      </c>
      <c r="BE423" s="4">
        <f>IF(BD423&lt;1,1,0)</f>
        <v>0</v>
      </c>
      <c r="BF423" s="4">
        <f>L423/N423*M423^0.5/0.19</f>
        <v>381.18648531910492</v>
      </c>
      <c r="BG423" s="4">
        <f>MIN(0.6+0.4*(AC423/AB423),2)</f>
        <v>1.540766550522648</v>
      </c>
      <c r="BH423" s="38">
        <f>2*M423*AB423*AD423^0.5*BG423*0.7/0.7</f>
        <v>897.00524137931018</v>
      </c>
      <c r="BI423" s="4">
        <f>MAX(1-0.7*AE423/5,0.3)</f>
        <v>0.44000000000000006</v>
      </c>
      <c r="BJ423" s="4">
        <f>BI423*J423*L423/(J423*N423/2.75/M423^0.5)</f>
        <v>87.63477297486223</v>
      </c>
      <c r="BK423" s="4">
        <f>BH423+BJ423</f>
        <v>984.64001435417242</v>
      </c>
      <c r="BM423" s="4">
        <f>MIN(1.5, 0.75+0.25*MIN(3,MAX(1,S423/N423))+0.4*MIN(1,(40*2*PI()*AM423^2/4/AO423/X423)/N423))</f>
        <v>1.5</v>
      </c>
      <c r="BN423" s="4">
        <f>(3*P423+30)*BM423*M423^0.5</f>
        <v>718.39330447075702</v>
      </c>
      <c r="BP423" s="4">
        <f>3.4/PI()^0.5*M423*AB423*AE423^0.5*BG423</f>
        <v>860.3377230757111</v>
      </c>
      <c r="BQ423" s="4">
        <f>8/3*AH423*AI423^2/(AG423-N423-22)/N423*(AG423^2-N423^2)/(AG423^2-(N423+22)^2)</f>
        <v>0</v>
      </c>
      <c r="BR423" s="4">
        <f>BQ423/BP423</f>
        <v>0</v>
      </c>
      <c r="BZ423" s="4">
        <f>IF(W423=0,S423,MIN(W423/2,S423))</f>
        <v>22.436666666666667</v>
      </c>
      <c r="CD423" s="9"/>
      <c r="CF423" s="9"/>
      <c r="CG423" s="9"/>
      <c r="CH423" s="9">
        <f>IF(W423=0,MIN(S423,U423),MIN(W423/2,S423,U423))</f>
        <v>22.436666666666667</v>
      </c>
      <c r="CI423" s="9">
        <f>MAX(W423/2,S423)</f>
        <v>63.5</v>
      </c>
      <c r="CJ423" s="9">
        <f>(CH423/N423)^0.5*(CI423/CH423)^0.15</f>
        <v>1.3896153710408319</v>
      </c>
      <c r="CK423" s="70">
        <f>IF(AO423&gt;1,20,0)</f>
        <v>20</v>
      </c>
      <c r="CL423" s="9">
        <f>MIN(PI()*AM423^2/4*AN423*2/X423/N423/MAX(0.01,AO423),0.05)</f>
        <v>0</v>
      </c>
      <c r="CM423" s="9">
        <f>MAX(0,CK423*(CL423-0.5/50))</f>
        <v>0</v>
      </c>
      <c r="CN423" s="9">
        <f>MIN(1,(25/N423)^0.3)</f>
        <v>1</v>
      </c>
      <c r="CO423" s="9">
        <f>IF(J423&gt;=800,0.68,IF(J423&gt;=700,0.75-(J423-700)*0.07/100,IF(J423&gt;=600,0.85-(J423-600)*0.1/100,IF(J423&gt;=500,1-(J423-500)*0.15/100,1.2-(J423-400)*0.2/100))))</f>
        <v>0.68</v>
      </c>
      <c r="CP423" s="9">
        <f>1.75*CN423*CO423*(M423/25)^0.5</f>
        <v>2.0757770792545673</v>
      </c>
      <c r="CQ423" s="9">
        <f>MIN((CJ423+CM423)*CP423,2.5*CP423,M423^0.5)</f>
        <v>2.88453173618639</v>
      </c>
      <c r="CR423" s="40">
        <v>1</v>
      </c>
      <c r="CS423" s="9">
        <f>4*CQ423*P423+60*CQ423</f>
        <v>268.88451032035056</v>
      </c>
      <c r="CU423" s="4">
        <f>AJ423/BF423</f>
        <v>1.4962356997225408</v>
      </c>
      <c r="CV423" s="4">
        <f>AJ423/BK423</f>
        <v>0.57924197602338701</v>
      </c>
      <c r="CW423" s="4">
        <f>AJ423/BN423</f>
        <v>0.79391723730830444</v>
      </c>
      <c r="CX423" s="4">
        <f>AJ423/CS423</f>
        <v>2.1211516680774762</v>
      </c>
      <c r="CY423" s="4">
        <f>AJ423/DZ423</f>
        <v>1.4822802361136755</v>
      </c>
      <c r="CZ423" s="4">
        <f>AJ423/EL423</f>
        <v>0.93527480684988118</v>
      </c>
      <c r="DA423" s="4">
        <f>AJ423/GI423</f>
        <v>1.3066748939789545</v>
      </c>
      <c r="DB423" s="4">
        <f>AN423</f>
        <v>0</v>
      </c>
      <c r="DC423" s="4">
        <f>CU423</f>
        <v>1.4962356997225408</v>
      </c>
      <c r="DD423" s="4">
        <f>CV423</f>
        <v>0.57924197602338701</v>
      </c>
      <c r="DE423" s="4">
        <f>CX423</f>
        <v>2.1211516680774762</v>
      </c>
      <c r="DF423" s="4">
        <f>DA423</f>
        <v>1.3066748939789545</v>
      </c>
      <c r="DG423" s="4">
        <f>CY423</f>
        <v>1.4822802361136755</v>
      </c>
      <c r="DH423" s="4">
        <f>CZ423</f>
        <v>0.93527480684988118</v>
      </c>
      <c r="DQ423" s="4">
        <f>L423</f>
        <v>131.82599999999999</v>
      </c>
      <c r="DT423" s="4">
        <f>K423/4/(1-0.3*(M423/30)^0.5)/200000/N423</f>
        <v>1.987401844007391E-5</v>
      </c>
      <c r="DU423" s="4">
        <f>EP423</f>
        <v>10.747792284812169</v>
      </c>
      <c r="DV423" s="4">
        <f>EC423*AG423/257/M423/AD423</f>
        <v>6.2874403103049425E-2</v>
      </c>
      <c r="DW423" s="4">
        <f>DU423*DV423^0.4</f>
        <v>3.5539295508089261</v>
      </c>
      <c r="DX423" s="4">
        <f>MIN(DU423, DU423/1.4*(1-DV423^1.4)/(1-DV423))</f>
        <v>8.0217491813594748</v>
      </c>
      <c r="DY423" s="4">
        <f>MAX(DU423/2, (4-DT423*(8*AG423*(DW423-DX423)+6*K423*DX423))/(4+DT423*K423*DU423)*DU423)</f>
        <v>10.403491403092593</v>
      </c>
      <c r="DZ423" s="38">
        <f>MIN(1/N423*(4*AG423*(DW423-DX423)+(3*DX423+DY423)*K423)+EC423 -FJ423,MAX(J423,AJ423))</f>
        <v>384.77530340792282</v>
      </c>
      <c r="EA423" s="4">
        <f>DZ423/FF423</f>
        <v>1.0000748802716588</v>
      </c>
      <c r="EB423" s="4">
        <f>AG423/N423</f>
        <v>2.2360679774997898</v>
      </c>
      <c r="EC423" s="4">
        <f>MIN(EB$10*BB423)</f>
        <v>138.50828881109081</v>
      </c>
      <c r="EG423" s="4">
        <f>IF(U423&gt;1*N423,0.85,1)</f>
        <v>0.85</v>
      </c>
      <c r="EH423" s="4">
        <f>MIN(1,MAX(0.7,(1-0.1*(BZ423-1*N423)/N423)))</f>
        <v>0.95866666666666667</v>
      </c>
      <c r="EI423" s="4">
        <f>MIN(1,MAX(0.7,1-0.3*(PI()*AM423^2/4*AQ423*2-0.25*PI()/4*N423^2)/(PI()/4*N423^2)))</f>
        <v>1</v>
      </c>
      <c r="EJ423" s="4">
        <f>IF(EH423*EI423&lt;0.7,0.7,EH423*EI423)</f>
        <v>0.95866666666666667</v>
      </c>
      <c r="EL423" s="4">
        <f>MIN(DU423/N423*3*K423+EM423-FJ423,MAX(J423,AJ423))</f>
        <v>609.8152365583303</v>
      </c>
      <c r="EM423" s="25">
        <f>13.3*Q423*K423^0.5*M423^0.5/X423/N423^2*(0.7+S423/5/K423)</f>
        <v>342.0662351590895</v>
      </c>
      <c r="EO423" s="4">
        <f>EG423*EJ423</f>
        <v>0.81486666666666663</v>
      </c>
      <c r="EP423" s="4">
        <f>IF(N423&lt;22.2,1.1*5*(M423/30)^0.5,IF(N423&gt;=31.8,0.9*5*(M423/30)^0.5,1*5*(M423/30)^0.5))/EG423/EJ423</f>
        <v>10.747792284812169</v>
      </c>
      <c r="ES423" s="4">
        <f>ET423*N423</f>
        <v>35.497579142809165</v>
      </c>
      <c r="ET423" s="4">
        <f>AF423^0.5</f>
        <v>2.2360679774997898</v>
      </c>
      <c r="EU423" s="4">
        <f>MIN(EC423)/(4700*M423^0.5)/AE423*ES423</f>
        <v>2.9985610515029865E-2</v>
      </c>
      <c r="EX423" s="4">
        <f>EU423</f>
        <v>2.9985610515029865E-2</v>
      </c>
      <c r="EY423" s="4">
        <f>MIN(0.999, EX423/(0.3*(M423/30)^0.5))</f>
        <v>6.2769477442466207E-2</v>
      </c>
      <c r="EZ423" s="4">
        <f>EP423/1*EY423^0.4</f>
        <v>3.5515560236303334</v>
      </c>
      <c r="FA423" s="4">
        <f>EP423/1.4*(1-EY423^1.4)/(1-EY423)</f>
        <v>8.0212488632243168</v>
      </c>
      <c r="FB423" s="4">
        <f>MAX(0,DQ423*FB$9-ES423)</f>
        <v>63.371920857190823</v>
      </c>
      <c r="FC423" s="4">
        <f>MAX(0,DQ423-ES423-FB423)</f>
        <v>32.956499999999998</v>
      </c>
      <c r="FD423" s="4">
        <f>FC423/(1-0.3*(M423/30)^0.5)/200000/N423</f>
        <v>1.987401844007391E-5</v>
      </c>
      <c r="FE423" s="4">
        <f>MAX(0.5*EP423, (1-2*FD423*(ES423*EZ423+FB423*FA423))/(1/EP423+FD423*FC423))</f>
        <v>10.403540595585353</v>
      </c>
      <c r="FF423" s="4">
        <f>MIN(4/N423*(1*EZ423*ES423+FA423*FB423+FC423*FE423)+EC423,MAX(J423,AJ423))</f>
        <v>384.74649348597086</v>
      </c>
      <c r="FO423" s="23">
        <f>IF(CU423&lt;0.6,0.6,IF(CU423&lt;0.8,0.8,IF(CU423&lt;1,1,IF(CU423&lt;1.2,1.2,IF(CU423&lt;1.4,1.4,IF(CU423&lt;1.6,1.6,IF(CU423&lt;1.8,1.8,IF(CU423&lt;2,2,2.2))))))))</f>
        <v>1.6</v>
      </c>
      <c r="FP423" s="23">
        <f>IF(CV423&lt;0.6,0.6,IF(CV423&lt;0.8,0.8,IF(CV423&lt;1,1,IF(CV423&lt;1.2,1.2,IF(CV423&lt;1.4,1.4,IF(CV423&lt;1.6,1.6,IF(CV423&lt;1.8,1.8,IF(CV423&lt;2,2,2.2))))))))</f>
        <v>0.6</v>
      </c>
      <c r="FQ423" s="23">
        <f>IF(DA423&lt;0.6,0.6,IF(DA423&lt;0.8,0.8,IF(DA423&lt;1,1,IF(DA423&lt;1.2,1.2,IF(DA423&lt;1.4,1.4,IF(DA423&lt;1.6,1.6,IF(DA423&lt;1.8,1.8,IF(DA423&lt;2,2,2.2))))))))</f>
        <v>1.4</v>
      </c>
      <c r="FR423" s="23">
        <f>IF(CX423&lt;0.6,0.6,IF(CX423&lt;0.8,0.8,IF(CX423&lt;1,1,IF(CX423&lt;1.2,1.2,IF(CX423&lt;1.4,1.4,IF(CX423&lt;1.6,1.6,IF(CX423&lt;1.8,1.8,IF(CX423&lt;2,2,2.2))))))))</f>
        <v>2.2000000000000002</v>
      </c>
      <c r="FS423" s="23">
        <f>IF(CY423&lt;0.6,0.6,IF(CY423&lt;0.8,0.8,IF(CY423&lt;1,1,IF(CY423&lt;1.2,1.2,IF(CY423&lt;1.4,1.4,IF(CY423&lt;1.6,1.6,IF(CY423&lt;1.8,1.8,IF(CY423&lt;2,2,2.2))))))))</f>
        <v>1.6</v>
      </c>
      <c r="FT423" s="23">
        <f>IF(CZ423&lt;0.6,0.6,IF(CZ423&lt;0.8,0.8,IF(CZ423&lt;1,1,IF(CZ423&lt;1.2,1.2,IF(CZ423&lt;1.4,1.4,IF(CZ423&lt;1.6,1.6,IF(CZ423&lt;1.8,1.8,IF(CZ423&lt;2,2,2.2))))))))</f>
        <v>1</v>
      </c>
      <c r="FU423" s="23">
        <f>IF(FS423&lt;1,1,0)</f>
        <v>0</v>
      </c>
      <c r="FV423" s="23"/>
      <c r="GF423" s="4">
        <f>IF(S423&gt;=2.5*25.4,1,1.25)</f>
        <v>1</v>
      </c>
      <c r="GG423" s="4">
        <f>IF(AO423&gt;1, 0.05*(18-MIN(8,(W423+N423)/N423))*(1-48000/MAX(60000,(J423*145))*(N423/25.4)^0.75*GH423), 1/12*(14-MIN(8,(W423+N423)/N423)))</f>
        <v>0.70866666666666678</v>
      </c>
      <c r="GH423" s="4">
        <f>MIN(0.3, AM423^2*PI()/4*2*AP423/(N423^2*PI()/4*X423))</f>
        <v>0</v>
      </c>
      <c r="GI423" s="4">
        <f>(K423/25.4)/(N423/25.4)^1.5/0.0024*(M423*145)^0.25/GF423/GG423/145</f>
        <v>436.48564016520623</v>
      </c>
    </row>
    <row r="424" spans="1:191" ht="12" customHeight="1" x14ac:dyDescent="0.3">
      <c r="A424" s="25">
        <v>380</v>
      </c>
      <c r="B424" s="4" t="s">
        <v>605</v>
      </c>
      <c r="C424" s="4">
        <v>2016</v>
      </c>
      <c r="D424" s="4" t="s">
        <v>309</v>
      </c>
      <c r="E424" s="24" t="s">
        <v>674</v>
      </c>
      <c r="F424" s="120" t="s">
        <v>763</v>
      </c>
      <c r="G424" s="24">
        <v>5</v>
      </c>
      <c r="H424" s="7" t="s">
        <v>546</v>
      </c>
      <c r="I424" s="5">
        <f>K424/N424</f>
        <v>8.3040000000000003</v>
      </c>
      <c r="J424" s="38">
        <f>139/0.145</f>
        <v>958.62068965517244</v>
      </c>
      <c r="K424" s="77">
        <f>5.19*25.4</f>
        <v>131.82599999999999</v>
      </c>
      <c r="L424" s="4">
        <f>K424</f>
        <v>131.82599999999999</v>
      </c>
      <c r="M424" s="38">
        <f>11030/145</f>
        <v>76.068965517241381</v>
      </c>
      <c r="N424" s="38">
        <f>0.625*25.4</f>
        <v>15.875</v>
      </c>
      <c r="O424" s="7">
        <f>K424/N424</f>
        <v>8.3040000000000003</v>
      </c>
      <c r="P424" s="7">
        <f>L424/N424</f>
        <v>8.3040000000000003</v>
      </c>
      <c r="Q424" s="38">
        <f>13.3*25.4</f>
        <v>337.82</v>
      </c>
      <c r="R424" s="32">
        <f>S424/N424</f>
        <v>4</v>
      </c>
      <c r="S424" s="38">
        <f>2.5*25.4</f>
        <v>63.5</v>
      </c>
      <c r="T424" s="32">
        <f>U424/N424</f>
        <v>6.08</v>
      </c>
      <c r="U424" s="39">
        <f>3.8*25.4</f>
        <v>96.52</v>
      </c>
      <c r="V424" s="32">
        <f>W424/N424</f>
        <v>3.0933333333333328</v>
      </c>
      <c r="W424" s="7">
        <f>(Q424-X424*N424-2*S424)/(X424-1)</f>
        <v>49.106666666666662</v>
      </c>
      <c r="X424" s="38">
        <v>4</v>
      </c>
      <c r="Y424" s="7">
        <f>AN424</f>
        <v>10</v>
      </c>
      <c r="Z424" s="32">
        <f>AA424/N424</f>
        <v>8.4</v>
      </c>
      <c r="AA424" s="4">
        <f>5.25*25.4</f>
        <v>133.35</v>
      </c>
      <c r="AB424" s="7">
        <f>MIN(S424/N424+0.5, W424/2/N424+0.5)</f>
        <v>2.0466666666666664</v>
      </c>
      <c r="AC424" s="7">
        <f>S424/N424+0.5</f>
        <v>4.5</v>
      </c>
      <c r="AD424" s="38">
        <v>4</v>
      </c>
      <c r="AE424" s="4">
        <f>AD424</f>
        <v>4</v>
      </c>
      <c r="AF424" s="4">
        <f>AE424+1</f>
        <v>5</v>
      </c>
      <c r="AG424" s="7">
        <f>N424*AF424^0.5</f>
        <v>35.497579142809165</v>
      </c>
      <c r="AJ424" s="38">
        <f>AK424/0.145</f>
        <v>1070.344827586207</v>
      </c>
      <c r="AK424" s="4">
        <v>155.19999999999999</v>
      </c>
      <c r="AL424" s="4">
        <f>CY424</f>
        <v>2.226804333961967</v>
      </c>
      <c r="AM424" s="38">
        <f>0.375*25.4</f>
        <v>9.5249999999999986</v>
      </c>
      <c r="AN424" s="38">
        <v>10</v>
      </c>
      <c r="AO424" s="39">
        <f>1.75*25.4</f>
        <v>44.449999999999996</v>
      </c>
      <c r="AP424" s="39">
        <v>3</v>
      </c>
      <c r="AQ424" s="39">
        <f>AP424-1</f>
        <v>2</v>
      </c>
      <c r="AR424" s="7"/>
      <c r="AS424" s="4">
        <f>K424</f>
        <v>131.82599999999999</v>
      </c>
      <c r="AT424" s="4">
        <f>IF(K424*3&gt;W424+N424, Q424, (S424+N424/2)*2+1.5*K424*(2*X424-2))*(3*K424)/(9*K424^2)</f>
        <v>0.85420680796403337</v>
      </c>
      <c r="AU424" s="4">
        <f>MIN(10*M424^0.5*K424^1.5,100*3.9*M424^0.5*K424^(5/3))/(PI()/4*N424^2)/X424</f>
        <v>166.73548079390528</v>
      </c>
      <c r="AV424" s="4">
        <f>MIN(0.7+0.3*(MIN(S424,AA424)+0.5*N424)/1.5/K424,1)</f>
        <v>0.80838150289017341</v>
      </c>
      <c r="AW424" s="4">
        <v>1.25</v>
      </c>
      <c r="AX424" s="4">
        <f>AX423</f>
        <v>1</v>
      </c>
      <c r="AY424" s="38">
        <f>AT424*AV424*AW424*AX424*AU424</f>
        <v>143.91876884277409</v>
      </c>
      <c r="AZ424" s="38">
        <f>AY424</f>
        <v>143.91876884277409</v>
      </c>
      <c r="BA424" s="38">
        <f>IF(M424&lt;50, 0.3*M424^(2/3), 2.12*LN(1+0.1*(M424+8)))</f>
        <v>4.7518593634836064</v>
      </c>
      <c r="BB424" s="38">
        <f>AX424* (M424^0.5/AS424^0.5)/(PI()/4*N424^2)/X424/0.72 *(0.7+(MIN(S424,AA424)+0.5*N424)/5/K424) *(3*Q424*K424)</f>
        <v>143.91876884277406</v>
      </c>
      <c r="BC424" s="38">
        <f>AY424/BB424</f>
        <v>1.0000000000000002</v>
      </c>
      <c r="BD424" s="38">
        <f>BH424/BB424</f>
        <v>6.4018565316617284</v>
      </c>
      <c r="BE424" s="4">
        <f>IF(BD424&lt;1,1,0)</f>
        <v>0</v>
      </c>
      <c r="BF424" s="4">
        <f>L424/N424*M424^0.5/0.19</f>
        <v>381.18648531910492</v>
      </c>
      <c r="BG424" s="4">
        <f>MIN(0.6+0.4*(AC424/AB424),2)</f>
        <v>1.4794788273615636</v>
      </c>
      <c r="BH424" s="38">
        <f>2*M424*AB424*AD424^0.5*BG424*0.7/0.7</f>
        <v>921.34731034482752</v>
      </c>
      <c r="BI424" s="4">
        <f>MAX(1-0.7*AE424/5,0.3)</f>
        <v>0.44000000000000006</v>
      </c>
      <c r="BJ424" s="4">
        <f>BI424*J424*L424/(J424*N424/2.75/M424^0.5)</f>
        <v>87.63477297486223</v>
      </c>
      <c r="BK424" s="4">
        <f>BH424+BJ424</f>
        <v>1008.9820833196898</v>
      </c>
      <c r="BM424" s="4">
        <f>MIN(1.5, 0.75+0.25*MIN(3,MAX(1,S424/N424))+0.4*MIN(1,(40*2*PI()*AM424^2/4/AO424/X424)/N424))</f>
        <v>1.5</v>
      </c>
      <c r="BN424" s="4">
        <f>(3*P424+30)*BM424*M424^0.5</f>
        <v>718.39330447075702</v>
      </c>
      <c r="BP424" s="4">
        <f>3.4/PI()^0.5*M424*AB424*AE424^0.5*BG424</f>
        <v>883.68474405469908</v>
      </c>
      <c r="BQ424" s="4">
        <f>8/3*AH424*AI424^2/(AG424-N424-22)/N424*(AG424^2-N424^2)/(AG424^2-(N424+22)^2)</f>
        <v>0</v>
      </c>
      <c r="BR424" s="4">
        <f>BQ424/BP424</f>
        <v>0</v>
      </c>
      <c r="BZ424" s="4">
        <f>IF(W424=0,S424,MIN(W424/2,S424))</f>
        <v>24.553333333333331</v>
      </c>
      <c r="CD424" s="9"/>
      <c r="CF424" s="9"/>
      <c r="CG424" s="9"/>
      <c r="CH424" s="9">
        <f>IF(W424=0,MIN(S424,U424),MIN(W424/2,S424,U424))</f>
        <v>24.553333333333331</v>
      </c>
      <c r="CI424" s="9">
        <f>MAX(W424/2,S424)</f>
        <v>63.5</v>
      </c>
      <c r="CJ424" s="9">
        <f>(CH424/N424)^0.5*(CI424/CH424)^0.15</f>
        <v>1.4341608165436117</v>
      </c>
      <c r="CK424" s="70">
        <f>IF(AO424&gt;1,20,0)</f>
        <v>20</v>
      </c>
      <c r="CL424" s="9">
        <f>MIN(PI()*AM424^2/4*AN424*2/X424/N424/MAX(0.01,AO424),0.05)</f>
        <v>0.05</v>
      </c>
      <c r="CM424" s="9">
        <f>MAX(0,CK424*(CL424-0.5/50))</f>
        <v>0.8</v>
      </c>
      <c r="CN424" s="9">
        <f>MIN(1,(25/N424)^0.3)</f>
        <v>1</v>
      </c>
      <c r="CO424" s="9">
        <f>IF(J424&gt;=800,0.68,IF(J424&gt;=700,0.75-(J424-700)*0.07/100,IF(J424&gt;=600,0.85-(J424-600)*0.1/100,IF(J424&gt;=500,1-(J424-500)*0.15/100,1.2-(J424-400)*0.2/100))))</f>
        <v>0.68</v>
      </c>
      <c r="CP424" s="9">
        <f>1.75*CN424*CO424*(M424/25)^0.5</f>
        <v>2.0757770792545673</v>
      </c>
      <c r="CQ424" s="9">
        <f>MIN((CJ424+CM424)*CP424,2.5*CP424,M424^0.5)</f>
        <v>4.6376198143498968</v>
      </c>
      <c r="CR424" s="40">
        <v>1</v>
      </c>
      <c r="CS424" s="9">
        <f>4*CQ424*P424+60*CQ424</f>
        <v>432.30036861443995</v>
      </c>
      <c r="CU424" s="47">
        <f>AJ424/BF424</f>
        <v>2.8079296323692664</v>
      </c>
      <c r="CV424" s="47">
        <f>AJ424/BK424</f>
        <v>1.0608164855263091</v>
      </c>
      <c r="CW424" s="47">
        <f>AJ424/BN424</f>
        <v>1.4899148153597199</v>
      </c>
      <c r="CX424" s="47">
        <f>AJ424/CS424</f>
        <v>2.4759285563802655</v>
      </c>
      <c r="CY424" s="47">
        <f>AJ424/DZ424</f>
        <v>2.226804333961967</v>
      </c>
      <c r="CZ424" s="47">
        <f>AJ424/EL424</f>
        <v>1.4822322141280799</v>
      </c>
      <c r="DA424" s="47">
        <f>AJ424/GI424</f>
        <v>2.2308393728048879</v>
      </c>
      <c r="DB424" s="4">
        <f>AN424</f>
        <v>10</v>
      </c>
      <c r="DI424" s="4">
        <f>CU424</f>
        <v>2.8079296323692664</v>
      </c>
      <c r="DJ424" s="4">
        <f>CV424</f>
        <v>1.0608164855263091</v>
      </c>
      <c r="DK424" s="4">
        <f>CX424</f>
        <v>2.4759285563802655</v>
      </c>
      <c r="DL424" s="4">
        <f>DA424</f>
        <v>2.2308393728048879</v>
      </c>
      <c r="DM424" s="4">
        <f>CY424</f>
        <v>2.226804333961967</v>
      </c>
      <c r="DN424" s="4">
        <f>CZ424</f>
        <v>1.4822322141280799</v>
      </c>
      <c r="DQ424" s="4">
        <f>L424</f>
        <v>131.82599999999999</v>
      </c>
      <c r="DT424" s="4">
        <f>K424/4/(1-0.3*(M424/30)^0.5)/200000/N424</f>
        <v>1.987401844007391E-5</v>
      </c>
      <c r="DU424" s="4">
        <f>EP424</f>
        <v>14.719357433866572</v>
      </c>
      <c r="DV424" s="4">
        <f>EC424*AG424/257/M424/AD424</f>
        <v>6.5330434474262303E-2</v>
      </c>
      <c r="DW424" s="4">
        <f>DU424*DV424^0.4</f>
        <v>4.9423678977174861</v>
      </c>
      <c r="DX424" s="4">
        <f>MIN(DU424, DU424/1.4*(1-DV424^1.4)/(1-DV424))</f>
        <v>11.001955681738133</v>
      </c>
      <c r="DY424" s="4">
        <f>MAX(DU424/2, (4-DT424*(8*AG424*(DW424-DX424)+6*K424*DX424))/(4+DT424*K424*DU424)*DU424)</f>
        <v>14.073118860960413</v>
      </c>
      <c r="DZ424" s="38">
        <f>MIN(1/N424*(4*AG424*(DW424-DX424)+(3*DX424+DY424)*K424)+EC424 -FJ424,MAX(J424,AJ424))</f>
        <v>480.66406700485976</v>
      </c>
      <c r="EA424" s="4">
        <f>DZ424/FF424</f>
        <v>1.0000832916994842</v>
      </c>
      <c r="EB424" s="4">
        <f>AG424/N424</f>
        <v>2.2360679774997898</v>
      </c>
      <c r="EC424" s="4">
        <f>MIN(EB$10*BB424)</f>
        <v>143.91876884277406</v>
      </c>
      <c r="EG424" s="4">
        <f>IF(U424&gt;1*N424,0.85,1)</f>
        <v>0.85</v>
      </c>
      <c r="EH424" s="4">
        <f>MIN(1,MAX(0.7,(1-0.1*(BZ424-1*N424)/N424)))</f>
        <v>0.94533333333333336</v>
      </c>
      <c r="EI424" s="4">
        <f>MIN(1,MAX(0.7,1-0.3*(PI()*AM424^2/4*AQ424*2-0.25*PI()/4*N424^2)/(PI()/4*N424^2)))</f>
        <v>0.7</v>
      </c>
      <c r="EJ424" s="4">
        <f>IF(EH424*EI424&lt;0.7,0.7,EH424*EI424)</f>
        <v>0.7</v>
      </c>
      <c r="EL424" s="4">
        <f>MIN(DU424/N424*3*K424+EM424-FJ424,MAX(J424,AJ424))</f>
        <v>722.11682986247547</v>
      </c>
      <c r="EM424" s="25">
        <f>13.3*Q424*K424^0.5*M424^0.5/X424/N424^2*(0.7+S424/5/K424)</f>
        <v>355.4281974699914</v>
      </c>
      <c r="EO424" s="4">
        <f>EG424*EJ424</f>
        <v>0.59499999999999997</v>
      </c>
      <c r="EP424" s="4">
        <f>IF(N424&lt;22.2,1.1*5*(M424/30)^0.5,IF(N424&gt;=31.8,0.9*5*(M424/30)^0.5,1*5*(M424/30)^0.5))/EG424/EJ424</f>
        <v>14.719357433866572</v>
      </c>
      <c r="ES424" s="4">
        <f>ET424*N424</f>
        <v>35.497579142809165</v>
      </c>
      <c r="ET424" s="4">
        <f>AF424^0.5</f>
        <v>2.2360679774997898</v>
      </c>
      <c r="EU424" s="4">
        <f>MIN(EC424)/(4700*M424^0.5)/AE424*ES424</f>
        <v>3.1156923425773225E-2</v>
      </c>
      <c r="EX424" s="4">
        <f>EU424</f>
        <v>3.1156923425773225E-2</v>
      </c>
      <c r="EY424" s="4">
        <f>MIN(0.999, EX424/(0.3*(M424/30)^0.5))</f>
        <v>6.5221410155062554E-2</v>
      </c>
      <c r="EZ424" s="4">
        <f>EP424/1*EY424^0.4</f>
        <v>4.9390670881870404</v>
      </c>
      <c r="FA424" s="4">
        <f>EP424/1.4*(1-EY424^1.4)/(1-EY424)</f>
        <v>11.001248752477913</v>
      </c>
      <c r="FB424" s="4">
        <f>MAX(0,DQ424*FB$9-ES424)</f>
        <v>63.371920857190823</v>
      </c>
      <c r="FC424" s="4">
        <f>MAX(0,DQ424-ES424-FB424)</f>
        <v>32.956499999999998</v>
      </c>
      <c r="FD424" s="4">
        <f>FC424/(1-0.3*(M424/30)^0.5)/200000/N424</f>
        <v>1.987401844007391E-5</v>
      </c>
      <c r="FE424" s="4">
        <f>MAX(0.5*EP424, (1-2*FD424*(ES424*EZ424+FB424*FA424))/(1/EP424+FD424*FC424))</f>
        <v>14.073212719279345</v>
      </c>
      <c r="FF424" s="4">
        <f>MIN(4/N424*(1*EZ424*ES424+FA424*FB424+FC424*FE424)+EC424,MAX(J424,AJ424))</f>
        <v>480.62403501217068</v>
      </c>
      <c r="FO424" s="23">
        <f>IF(CU424&lt;0.6,0.6,IF(CU424&lt;0.8,0.8,IF(CU424&lt;1,1,IF(CU424&lt;1.2,1.2,IF(CU424&lt;1.4,1.4,IF(CU424&lt;1.6,1.6,IF(CU424&lt;1.8,1.8,IF(CU424&lt;2,2,2.2))))))))</f>
        <v>2.2000000000000002</v>
      </c>
      <c r="FP424" s="23">
        <f>IF(CV424&lt;0.6,0.6,IF(CV424&lt;0.8,0.8,IF(CV424&lt;1,1,IF(CV424&lt;1.2,1.2,IF(CV424&lt;1.4,1.4,IF(CV424&lt;1.6,1.6,IF(CV424&lt;1.8,1.8,IF(CV424&lt;2,2,2.2))))))))</f>
        <v>1.2</v>
      </c>
      <c r="FQ424" s="23">
        <f>IF(DA424&lt;0.6,0.6,IF(DA424&lt;0.8,0.8,IF(DA424&lt;1,1,IF(DA424&lt;1.2,1.2,IF(DA424&lt;1.4,1.4,IF(DA424&lt;1.6,1.6,IF(DA424&lt;1.8,1.8,IF(DA424&lt;2,2,2.2))))))))</f>
        <v>2.2000000000000002</v>
      </c>
      <c r="FR424" s="23">
        <f>IF(CX424&lt;0.6,0.6,IF(CX424&lt;0.8,0.8,IF(CX424&lt;1,1,IF(CX424&lt;1.2,1.2,IF(CX424&lt;1.4,1.4,IF(CX424&lt;1.6,1.6,IF(CX424&lt;1.8,1.8,IF(CX424&lt;2,2,2.2))))))))</f>
        <v>2.2000000000000002</v>
      </c>
      <c r="FS424" s="23">
        <f>IF(CY424&lt;0.6,0.6,IF(CY424&lt;0.8,0.8,IF(CY424&lt;1,1,IF(CY424&lt;1.2,1.2,IF(CY424&lt;1.4,1.4,IF(CY424&lt;1.6,1.6,IF(CY424&lt;1.8,1.8,IF(CY424&lt;2,2,2.2))))))))</f>
        <v>2.2000000000000002</v>
      </c>
      <c r="FT424" s="23">
        <f>IF(CZ424&lt;0.6,0.6,IF(CZ424&lt;0.8,0.8,IF(CZ424&lt;1,1,IF(CZ424&lt;1.2,1.2,IF(CZ424&lt;1.4,1.4,IF(CZ424&lt;1.6,1.6,IF(CZ424&lt;1.8,1.8,IF(CZ424&lt;2,2,2.2))))))))</f>
        <v>1.6</v>
      </c>
      <c r="FU424" s="23">
        <f>IF(FS424&lt;1,1,0)</f>
        <v>0</v>
      </c>
      <c r="FV424" s="23"/>
      <c r="GF424" s="4">
        <f>IF(S424&gt;=2.5*25.4,1,1.25)</f>
        <v>1</v>
      </c>
      <c r="GG424" s="4">
        <f>IF(AO424&gt;1, 0.05*(18-MIN(8,(W424+N424)/N424))*(1-48000/MAX(60000,(J424*145))*(N424/25.4)^0.75*GH424), 1/12*(14-MIN(8,(W424+N424)/N424)))</f>
        <v>0.64469834033993467</v>
      </c>
      <c r="GH424" s="4">
        <f>MIN(0.3, AM424^2*PI()/4*2*AP424/(N424^2*PI()/4*X424))</f>
        <v>0.3</v>
      </c>
      <c r="GI424" s="4">
        <f>(K424/25.4)/(N424/25.4)^1.5/0.0024*(M424*145)^0.25/GF424/GG424/145</f>
        <v>479.79466412251668</v>
      </c>
    </row>
    <row r="425" spans="1:191" ht="12" customHeight="1" x14ac:dyDescent="0.3">
      <c r="A425" s="25">
        <v>376</v>
      </c>
      <c r="B425" s="4" t="s">
        <v>605</v>
      </c>
      <c r="C425" s="4">
        <v>2016</v>
      </c>
      <c r="D425" s="4" t="s">
        <v>309</v>
      </c>
      <c r="E425" s="24" t="s">
        <v>674</v>
      </c>
      <c r="F425" s="120" t="s">
        <v>763</v>
      </c>
      <c r="G425" s="24">
        <v>5</v>
      </c>
      <c r="H425" s="7" t="s">
        <v>542</v>
      </c>
      <c r="I425" s="5">
        <f>K425/N425</f>
        <v>8.24</v>
      </c>
      <c r="J425" s="38">
        <f>139/0.145</f>
        <v>958.62068965517244</v>
      </c>
      <c r="K425" s="77">
        <f>5.15*25.4</f>
        <v>130.81</v>
      </c>
      <c r="L425" s="4">
        <f>K425</f>
        <v>130.81</v>
      </c>
      <c r="M425" s="38">
        <f>11030/145</f>
        <v>76.068965517241381</v>
      </c>
      <c r="N425" s="38">
        <f>0.625*25.4</f>
        <v>15.875</v>
      </c>
      <c r="O425" s="7">
        <f>K425/N425</f>
        <v>8.24</v>
      </c>
      <c r="P425" s="7">
        <f>L425/N425</f>
        <v>8.24</v>
      </c>
      <c r="Q425" s="38">
        <f>13.1*25.4</f>
        <v>332.73999999999995</v>
      </c>
      <c r="R425" s="32">
        <f>S425/N425</f>
        <v>4</v>
      </c>
      <c r="S425" s="38">
        <f>2.5*25.4</f>
        <v>63.5</v>
      </c>
      <c r="T425" s="32">
        <f>U425/N425</f>
        <v>6.4479999999999995</v>
      </c>
      <c r="U425" s="39">
        <f>4.03*25.4</f>
        <v>102.36199999999999</v>
      </c>
      <c r="V425" s="32">
        <f>W425/N425</f>
        <v>4.9799999999999986</v>
      </c>
      <c r="W425" s="7">
        <f>(Q425-X425*N425-2*S425)/(X425-1)</f>
        <v>79.057499999999976</v>
      </c>
      <c r="X425" s="38">
        <v>3</v>
      </c>
      <c r="Y425" s="7">
        <f>AN425</f>
        <v>4</v>
      </c>
      <c r="Z425" s="32">
        <f>AA425/N425</f>
        <v>8.4</v>
      </c>
      <c r="AA425" s="4">
        <f>5.25*25.4</f>
        <v>133.35</v>
      </c>
      <c r="AB425" s="7">
        <f>MIN(S425/N425+0.5, W425/2/N425+0.5)</f>
        <v>2.9899999999999993</v>
      </c>
      <c r="AC425" s="7">
        <f>S425/N425+0.5</f>
        <v>4.5</v>
      </c>
      <c r="AD425" s="38">
        <v>4</v>
      </c>
      <c r="AE425" s="4">
        <f>AD425</f>
        <v>4</v>
      </c>
      <c r="AF425" s="4">
        <f>AE425+1</f>
        <v>5</v>
      </c>
      <c r="AG425" s="7">
        <f>N425*AF425^0.5</f>
        <v>35.497579142809165</v>
      </c>
      <c r="AJ425" s="38">
        <f>AK425/0.145</f>
        <v>781.37931034482767</v>
      </c>
      <c r="AK425" s="4">
        <v>113.3</v>
      </c>
      <c r="AL425" s="4">
        <f>CY425</f>
        <v>1.5173231544502177</v>
      </c>
      <c r="AM425" s="38">
        <f>0.375*25.4</f>
        <v>9.5249999999999986</v>
      </c>
      <c r="AN425" s="38">
        <v>4</v>
      </c>
      <c r="AO425" s="39">
        <f>3.5*25.4</f>
        <v>88.899999999999991</v>
      </c>
      <c r="AP425" s="39">
        <v>2</v>
      </c>
      <c r="AQ425" s="39">
        <f>AP425-1</f>
        <v>1</v>
      </c>
      <c r="AR425" s="7"/>
      <c r="AS425" s="4">
        <f>K425</f>
        <v>130.81</v>
      </c>
      <c r="AT425" s="4">
        <f>IF(K425*3&gt;W425+N425, Q425, (S425+N425/2)*2+1.5*K425*(2*X425-2))*(3*K425)/(9*K425^2)</f>
        <v>0.84789644012944965</v>
      </c>
      <c r="AU425" s="4">
        <f>MIN(10*M425^0.5*K425^1.5,100*3.9*M425^0.5*K425^(5/3))/(PI()/4*N425^2)/X425</f>
        <v>219.74882905147061</v>
      </c>
      <c r="AV425" s="4">
        <f>MIN(0.7+0.3*(MIN(S425,AA425)+0.5*N425)/1.5/K425,1)</f>
        <v>0.80922330097087369</v>
      </c>
      <c r="AW425" s="4">
        <v>1.25</v>
      </c>
      <c r="AX425" s="4">
        <f>AX424</f>
        <v>1</v>
      </c>
      <c r="AY425" s="38">
        <f>AT425*AV425*AW425*AX425*AU425</f>
        <v>188.47240566882277</v>
      </c>
      <c r="AZ425" s="38">
        <f>AY425</f>
        <v>188.47240566882277</v>
      </c>
      <c r="BA425" s="38">
        <f>IF(M425&lt;50, 0.3*M425^(2/3), 2.12*LN(1+0.1*(M425+8)))</f>
        <v>4.7518593634836064</v>
      </c>
      <c r="BB425" s="38">
        <f>AX425* (M425^0.5/AS425^0.5)/(PI()/4*N425^2)/X425/0.72 *(0.7+(MIN(S425,AA425)+0.5*N425)/5/K425) *(3*Q425*K425)</f>
        <v>188.47240566882294</v>
      </c>
      <c r="BC425" s="38">
        <f>AY425/BB425</f>
        <v>0.99999999999999911</v>
      </c>
      <c r="BD425" s="38">
        <f>BH425/BB425</f>
        <v>5.8022682121298974</v>
      </c>
      <c r="BE425" s="4">
        <f>IF(BD425&lt;1,1,0)</f>
        <v>0</v>
      </c>
      <c r="BF425" s="4">
        <f>L425/N425*M425^0.5/0.19</f>
        <v>378.24863186770523</v>
      </c>
      <c r="BG425" s="4">
        <f>MIN(0.6+0.4*(AC425/AB425),2)</f>
        <v>1.2020066889632108</v>
      </c>
      <c r="BH425" s="38">
        <f>2*M425*AB425*AD425^0.5*BG425*0.7/0.7</f>
        <v>1093.567448275862</v>
      </c>
      <c r="BI425" s="4">
        <f>MAX(1-0.7*AE425/5,0.3)</f>
        <v>0.44000000000000006</v>
      </c>
      <c r="BJ425" s="4">
        <f>BI425*J425*L425/(J425*N425/2.75/M425^0.5)</f>
        <v>86.959360466385462</v>
      </c>
      <c r="BK425" s="4">
        <f>BH425+BJ425</f>
        <v>1180.5268087422476</v>
      </c>
      <c r="BM425" s="4">
        <f>MIN(1.5, 0.75+0.25*MIN(3,MAX(1,S425/N425))+0.4*MIN(1,(40*2*PI()*AM425^2/4/AO425/X425)/N425))</f>
        <v>1.5</v>
      </c>
      <c r="BN425" s="4">
        <f>(3*P425+30)*BM425*M425^0.5</f>
        <v>715.8814397698103</v>
      </c>
      <c r="BP425" s="4">
        <f>3.4/PI()^0.5*M425*AB425*AE425^0.5*BG425</f>
        <v>1048.8649174810398</v>
      </c>
      <c r="BQ425" s="4">
        <f>8/3*AH425*AI425^2/(AG425-N425-22)/N425*(AG425^2-N425^2)/(AG425^2-(N425+22)^2)</f>
        <v>0</v>
      </c>
      <c r="BR425" s="4">
        <f>BQ425/BP425</f>
        <v>0</v>
      </c>
      <c r="BZ425" s="4">
        <f>IF(W425=0,S425,MIN(W425/2,S425))</f>
        <v>39.528749999999988</v>
      </c>
      <c r="CD425" s="9"/>
      <c r="CF425" s="9"/>
      <c r="CG425" s="9"/>
      <c r="CH425" s="9">
        <f>IF(W425=0,MIN(S425,U425),MIN(W425/2,S425,U425))</f>
        <v>39.528749999999988</v>
      </c>
      <c r="CI425" s="9">
        <f>MAX(W425/2,S425)</f>
        <v>63.5</v>
      </c>
      <c r="CJ425" s="9">
        <f>(CH425/N425)^0.5*(CI425/CH425)^0.15</f>
        <v>1.6942549773761708</v>
      </c>
      <c r="CK425" s="70">
        <f>IF(AO425&gt;1,20,0)</f>
        <v>20</v>
      </c>
      <c r="CL425" s="9">
        <f>MIN(PI()*AM425^2/4*AN425*2/X425/N425/MAX(0.01,AO425),0.05)</f>
        <v>0.05</v>
      </c>
      <c r="CM425" s="9">
        <f>MAX(0,CK425*(CL425-0.5/50))</f>
        <v>0.8</v>
      </c>
      <c r="CN425" s="9">
        <f>MIN(1,(25/N425)^0.3)</f>
        <v>1</v>
      </c>
      <c r="CO425" s="9">
        <f>IF(J425&gt;=800,0.68,IF(J425&gt;=700,0.75-(J425-700)*0.07/100,IF(J425&gt;=600,0.85-(J425-600)*0.1/100,IF(J425&gt;=500,1-(J425-500)*0.15/100,1.2-(J425-400)*0.2/100))))</f>
        <v>0.68</v>
      </c>
      <c r="CP425" s="9">
        <f>1.75*CN425*CO425*(M425/25)^0.5</f>
        <v>2.0757770792545673</v>
      </c>
      <c r="CQ425" s="9">
        <f>MIN((CJ425+CM425)*CP425,2.5*CP425,M425^0.5)</f>
        <v>5.1775173118540749</v>
      </c>
      <c r="CR425" s="40">
        <v>1</v>
      </c>
      <c r="CS425" s="9">
        <f>4*CQ425*P425+60*CQ425</f>
        <v>481.30200930995477</v>
      </c>
      <c r="CU425" s="4">
        <f>AJ425/BF425</f>
        <v>2.0657822514428021</v>
      </c>
      <c r="CV425" s="4">
        <f>AJ425/BK425</f>
        <v>0.66189035654118</v>
      </c>
      <c r="CW425" s="4">
        <f>AJ425/BN425</f>
        <v>1.0914926228511777</v>
      </c>
      <c r="CX425" s="4">
        <f>AJ425/CS425</f>
        <v>1.6234698697084089</v>
      </c>
      <c r="CY425" s="4">
        <f>AJ425/DZ425</f>
        <v>1.5173231544502177</v>
      </c>
      <c r="CZ425" s="4">
        <f>AJ425/EL425</f>
        <v>0.9601139047349182</v>
      </c>
      <c r="DA425" s="4">
        <f>AJ425/GI425</f>
        <v>1.418561096358864</v>
      </c>
      <c r="DB425" s="4">
        <f>AN425</f>
        <v>4</v>
      </c>
      <c r="DI425" s="4">
        <f>CU425</f>
        <v>2.0657822514428021</v>
      </c>
      <c r="DJ425" s="4">
        <f>CV425</f>
        <v>0.66189035654118</v>
      </c>
      <c r="DK425" s="4">
        <f>CX425</f>
        <v>1.6234698697084089</v>
      </c>
      <c r="DL425" s="4">
        <f>DA425</f>
        <v>1.418561096358864</v>
      </c>
      <c r="DM425" s="4">
        <f>CY425</f>
        <v>1.5173231544502177</v>
      </c>
      <c r="DN425" s="4">
        <f>CZ425</f>
        <v>0.9601139047349182</v>
      </c>
      <c r="DQ425" s="4">
        <f>L425</f>
        <v>130.81</v>
      </c>
      <c r="DT425" s="4">
        <f>K425/4/(1-0.3*(M425/30)^0.5)/200000/N425</f>
        <v>1.9720846814331535E-5</v>
      </c>
      <c r="DU425" s="4">
        <f>EP425</f>
        <v>14.094970381632237</v>
      </c>
      <c r="DV425" s="4">
        <f>EC425*AG425/257/M425/AD425</f>
        <v>8.5555096446142481E-2</v>
      </c>
      <c r="DW425" s="4">
        <f>DU425*DV425^0.4</f>
        <v>5.2718436503269661</v>
      </c>
      <c r="DX425" s="4">
        <f>MIN(DU425, DU425/1.4*(1-DV425^1.4)/(1-DV425))</f>
        <v>10.657470400625673</v>
      </c>
      <c r="DY425" s="4">
        <f>MAX(DU425/2, (4-DT425*(8*AG425*(DW425-DX425)+6*K425*DX425))/(4+DT425*K425*DU425)*DU425)</f>
        <v>13.497291322777674</v>
      </c>
      <c r="DZ425" s="38">
        <f>MIN(1/N425*(4*AG425*(DW425-DX425)+(3*DX425+DY425)*K425)+EC425 -FJ425,MAX(J425,AJ425))</f>
        <v>514.97224441154083</v>
      </c>
      <c r="EA425" s="4">
        <f>DZ425/FF425</f>
        <v>1.0000853570762522</v>
      </c>
      <c r="EB425" s="4">
        <f>AG425/N425</f>
        <v>2.2360679774997898</v>
      </c>
      <c r="EC425" s="4">
        <f>MIN(EB$10*BB425)</f>
        <v>188.47240566882294</v>
      </c>
      <c r="EG425" s="4">
        <f>IF(U425&gt;1*N425,0.85,1)</f>
        <v>0.85</v>
      </c>
      <c r="EH425" s="4">
        <f>MIN(1,MAX(0.7,(1-0.1*(BZ425-1*N425)/N425)))</f>
        <v>0.85100000000000009</v>
      </c>
      <c r="EI425" s="4">
        <f>MIN(1,MAX(0.7,1-0.3*(PI()*AM425^2/4*AQ425*2-0.25*PI()/4*N425^2)/(PI()/4*N425^2)))</f>
        <v>0.85899999999999999</v>
      </c>
      <c r="EJ425" s="4">
        <f>IF(EH425*EI425&lt;0.7,0.7,EH425*EI425)</f>
        <v>0.73100900000000002</v>
      </c>
      <c r="EL425" s="4">
        <f>MIN(DU425/N425*3*K425+EM425-FJ425,MAX(J425,AJ425))</f>
        <v>813.84021884420258</v>
      </c>
      <c r="EM425" s="25">
        <f>13.3*Q425*K425^0.5*M425^0.5/X425/N425^2*(0.7+S425/5/K425)</f>
        <v>465.41255101025371</v>
      </c>
      <c r="EO425" s="4">
        <f>EG425*EJ425</f>
        <v>0.62135764999999998</v>
      </c>
      <c r="EP425" s="4">
        <f>IF(N425&lt;22.2,1.1*5*(M425/30)^0.5,IF(N425&gt;=31.8,0.9*5*(M425/30)^0.5,1*5*(M425/30)^0.5))/EG425/EJ425</f>
        <v>14.094970381632237</v>
      </c>
      <c r="ES425" s="4">
        <f>ET425*N425</f>
        <v>35.497579142809165</v>
      </c>
      <c r="ET425" s="4">
        <f>AF425^0.5</f>
        <v>2.2360679774997898</v>
      </c>
      <c r="EU425" s="4">
        <f>MIN(EC425)/(4700*M425^0.5)/AE425*ES425</f>
        <v>4.080232452314797E-2</v>
      </c>
      <c r="EX425" s="4">
        <f>EU425</f>
        <v>4.080232452314797E-2</v>
      </c>
      <c r="EY425" s="4">
        <f>MIN(0.999, EX425/(0.3*(M425/30)^0.5))</f>
        <v>8.5412320935476252E-2</v>
      </c>
      <c r="EZ425" s="4">
        <f>EP425/1*EY425^0.4</f>
        <v>5.2683227971399651</v>
      </c>
      <c r="FA425" s="4">
        <f>EP425/1.4*(1-EY425^1.4)/(1-EY425)</f>
        <v>10.656629380206347</v>
      </c>
      <c r="FB425" s="4">
        <f>MAX(0,DQ425*FB$9-ES425)</f>
        <v>62.609920857190836</v>
      </c>
      <c r="FC425" s="4">
        <f>MAX(0,DQ425-ES425-FB425)</f>
        <v>32.702499999999993</v>
      </c>
      <c r="FD425" s="4">
        <f>FC425/(1-0.3*(M425/30)^0.5)/200000/N425</f>
        <v>1.9720846814331531E-5</v>
      </c>
      <c r="FE425" s="4">
        <f>MAX(0.5*EP425, (1-2*FD425*(ES425*EZ425+FB425*FA425))/(1/EP425+FD425*FC425))</f>
        <v>13.497389187372248</v>
      </c>
      <c r="FF425" s="4">
        <f>MIN(4/N425*(1*EZ425*ES425+FA425*FB425+FC425*FE425)+EC425,MAX(J425,AJ425))</f>
        <v>514.92829163808699</v>
      </c>
      <c r="FO425" s="23">
        <f>IF(CU425&lt;0.6,0.6,IF(CU425&lt;0.8,0.8,IF(CU425&lt;1,1,IF(CU425&lt;1.2,1.2,IF(CU425&lt;1.4,1.4,IF(CU425&lt;1.6,1.6,IF(CU425&lt;1.8,1.8,IF(CU425&lt;2,2,2.2))))))))</f>
        <v>2.2000000000000002</v>
      </c>
      <c r="FP425" s="23">
        <f>IF(CV425&lt;0.6,0.6,IF(CV425&lt;0.8,0.8,IF(CV425&lt;1,1,IF(CV425&lt;1.2,1.2,IF(CV425&lt;1.4,1.4,IF(CV425&lt;1.6,1.6,IF(CV425&lt;1.8,1.8,IF(CV425&lt;2,2,2.2))))))))</f>
        <v>0.8</v>
      </c>
      <c r="FQ425" s="23">
        <f>IF(DA425&lt;0.6,0.6,IF(DA425&lt;0.8,0.8,IF(DA425&lt;1,1,IF(DA425&lt;1.2,1.2,IF(DA425&lt;1.4,1.4,IF(DA425&lt;1.6,1.6,IF(DA425&lt;1.8,1.8,IF(DA425&lt;2,2,2.2))))))))</f>
        <v>1.6</v>
      </c>
      <c r="FR425" s="23">
        <f>IF(CX425&lt;0.6,0.6,IF(CX425&lt;0.8,0.8,IF(CX425&lt;1,1,IF(CX425&lt;1.2,1.2,IF(CX425&lt;1.4,1.4,IF(CX425&lt;1.6,1.6,IF(CX425&lt;1.8,1.8,IF(CX425&lt;2,2,2.2))))))))</f>
        <v>1.8</v>
      </c>
      <c r="FS425" s="23">
        <f>IF(CY425&lt;0.6,0.6,IF(CY425&lt;0.8,0.8,IF(CY425&lt;1,1,IF(CY425&lt;1.2,1.2,IF(CY425&lt;1.4,1.4,IF(CY425&lt;1.6,1.6,IF(CY425&lt;1.8,1.8,IF(CY425&lt;2,2,2.2))))))))</f>
        <v>1.6</v>
      </c>
      <c r="FT425" s="23">
        <f>IF(CZ425&lt;0.6,0.6,IF(CZ425&lt;0.8,0.8,IF(CZ425&lt;1,1,IF(CZ425&lt;1.2,1.2,IF(CZ425&lt;1.4,1.4,IF(CZ425&lt;1.6,1.6,IF(CZ425&lt;1.8,1.8,IF(CZ425&lt;2,2,2.2))))))))</f>
        <v>1</v>
      </c>
      <c r="FU425" s="23">
        <f>IF(FS425&lt;1,1,0)</f>
        <v>0</v>
      </c>
      <c r="FV425" s="23"/>
      <c r="GF425" s="4">
        <f>IF(S425&gt;=2.5*25.4,1,1.25)</f>
        <v>1</v>
      </c>
      <c r="GG425" s="4">
        <f>IF(AO425&gt;1, 0.05*(18-MIN(8,(W425+N425)/N425))*(1-48000/MAX(60000,(J425*145))*(N425/25.4)^0.75*GH425), 1/12*(14-MIN(8,(W425+N425)/N425)))</f>
        <v>0.55723447154022165</v>
      </c>
      <c r="GH425" s="4">
        <f>MIN(0.3, AM425^2*PI()/4*2*AP425/(N425^2*PI()/4*X425))</f>
        <v>0.3</v>
      </c>
      <c r="GI425" s="4">
        <f>(K425/25.4)/(N425/25.4)^1.5/0.0024*(M425*145)^0.25/GF425/GG425/145</f>
        <v>550.82527805848997</v>
      </c>
    </row>
    <row r="426" spans="1:191" ht="12" customHeight="1" x14ac:dyDescent="0.3">
      <c r="A426" s="25">
        <v>375</v>
      </c>
      <c r="B426" s="4" t="s">
        <v>605</v>
      </c>
      <c r="C426" s="4">
        <v>2016</v>
      </c>
      <c r="D426" s="4" t="s">
        <v>309</v>
      </c>
      <c r="E426" s="24" t="s">
        <v>674</v>
      </c>
      <c r="F426" s="120" t="s">
        <v>763</v>
      </c>
      <c r="G426" s="24">
        <v>5</v>
      </c>
      <c r="H426" s="7" t="s">
        <v>541</v>
      </c>
      <c r="I426" s="5">
        <f>K426/N426</f>
        <v>8.0640000000000001</v>
      </c>
      <c r="J426" s="38">
        <f>139/0.145</f>
        <v>958.62068965517244</v>
      </c>
      <c r="K426" s="77">
        <f>5.04*25.4</f>
        <v>128.01599999999999</v>
      </c>
      <c r="L426" s="4">
        <f>K426</f>
        <v>128.01599999999999</v>
      </c>
      <c r="M426" s="38">
        <f>11030/145</f>
        <v>76.068965517241381</v>
      </c>
      <c r="N426" s="38">
        <f>0.625*25.4</f>
        <v>15.875</v>
      </c>
      <c r="O426" s="7">
        <f>K426/N426</f>
        <v>8.0640000000000001</v>
      </c>
      <c r="P426" s="7">
        <f>L426/N426</f>
        <v>8.0640000000000001</v>
      </c>
      <c r="Q426" s="38">
        <f>13.1*25.4</f>
        <v>332.73999999999995</v>
      </c>
      <c r="R426" s="32">
        <f>S426/N426</f>
        <v>4</v>
      </c>
      <c r="S426" s="38">
        <f>2.5*25.4</f>
        <v>63.5</v>
      </c>
      <c r="T426" s="32">
        <f>U426/N426</f>
        <v>6.7680000000000007</v>
      </c>
      <c r="U426" s="39">
        <f>4.23*25.4</f>
        <v>107.44200000000001</v>
      </c>
      <c r="V426" s="32">
        <f>W426/N426</f>
        <v>4.9799999999999986</v>
      </c>
      <c r="W426" s="7">
        <f>(Q426-X426*N426-2*S426)/(X426-1)</f>
        <v>79.057499999999976</v>
      </c>
      <c r="X426" s="38">
        <v>3</v>
      </c>
      <c r="Y426" s="7">
        <f>AN426</f>
        <v>0</v>
      </c>
      <c r="Z426" s="32">
        <f>AA426/N426</f>
        <v>8.4</v>
      </c>
      <c r="AA426" s="4">
        <f>5.25*25.4</f>
        <v>133.35</v>
      </c>
      <c r="AB426" s="7">
        <f>MIN(S426/N426+0.5, W426/2/N426+0.5)</f>
        <v>2.9899999999999993</v>
      </c>
      <c r="AC426" s="7">
        <f>S426/N426+0.5</f>
        <v>4.5</v>
      </c>
      <c r="AD426" s="38">
        <v>4</v>
      </c>
      <c r="AE426" s="4">
        <f>AD426</f>
        <v>4</v>
      </c>
      <c r="AF426" s="4">
        <f>AE426+1</f>
        <v>5</v>
      </c>
      <c r="AG426" s="7">
        <f>N426*AF426^0.5</f>
        <v>35.497579142809165</v>
      </c>
      <c r="AJ426" s="38">
        <f>AK426/0.145</f>
        <v>623.44827586206907</v>
      </c>
      <c r="AK426" s="4">
        <v>90.4</v>
      </c>
      <c r="AL426" s="4">
        <f>CY426</f>
        <v>1.351934535422801</v>
      </c>
      <c r="AM426" s="38">
        <v>0</v>
      </c>
      <c r="AN426" s="38">
        <v>0</v>
      </c>
      <c r="AO426" s="39">
        <f>L426</f>
        <v>128.01599999999999</v>
      </c>
      <c r="AP426" s="39"/>
      <c r="AQ426" s="39"/>
      <c r="AR426" s="7"/>
      <c r="AS426" s="4">
        <f>K426</f>
        <v>128.01599999999999</v>
      </c>
      <c r="AT426" s="4">
        <f>IF(K426*3&gt;W426+N426, Q426, (S426+N426/2)*2+1.5*K426*(2*X426-2))*(3*K426)/(9*K426^2)</f>
        <v>0.86640211640211651</v>
      </c>
      <c r="AU426" s="4">
        <f>MIN(10*M426^0.5*K426^1.5,100*3.9*M426^0.5*K426^(5/3))/(PI()/4*N426^2)/X426</f>
        <v>212.74606238722586</v>
      </c>
      <c r="AV426" s="4">
        <f>MIN(0.7+0.3*(MIN(S426,AA426)+0.5*N426)/1.5/K426,1)</f>
        <v>0.81160714285714286</v>
      </c>
      <c r="AW426" s="4">
        <v>1.25</v>
      </c>
      <c r="AX426" s="4">
        <f>AX425</f>
        <v>1</v>
      </c>
      <c r="AY426" s="38">
        <f>AT426*AV426*AW426*AX426*AU426</f>
        <v>186.99797721655676</v>
      </c>
      <c r="AZ426" s="38">
        <f>AY426</f>
        <v>186.99797721655676</v>
      </c>
      <c r="BA426" s="38">
        <f>IF(M426&lt;50, 0.3*M426^(2/3), 2.12*LN(1+0.1*(M426+8)))</f>
        <v>4.7518593634836064</v>
      </c>
      <c r="BB426" s="38">
        <f>AX426* (M426^0.5/AS426^0.5)/(PI()/4*N426^2)/X426/0.72 *(0.7+(MIN(S426,AA426)+0.5*N426)/5/K426) *(3*Q426*K426)</f>
        <v>186.99797721655685</v>
      </c>
      <c r="BC426" s="38">
        <f>AY426/BB426</f>
        <v>0.99999999999999956</v>
      </c>
      <c r="BD426" s="38">
        <f>BH426/BB426</f>
        <v>5.848017526999417</v>
      </c>
      <c r="BE426" s="4">
        <f>IF(BD426&lt;1,1,0)</f>
        <v>0</v>
      </c>
      <c r="BF426" s="4">
        <f>L426/N426*M426^0.5/0.19</f>
        <v>370.16953487635624</v>
      </c>
      <c r="BG426" s="4">
        <f>MIN(0.6+0.4*(AC426/AB426),2)</f>
        <v>1.2020066889632108</v>
      </c>
      <c r="BH426" s="38">
        <f>2*M426*AB426*AD426^0.5*BG426*0.7/0.7</f>
        <v>1093.567448275862</v>
      </c>
      <c r="BI426" s="4">
        <f>MAX(1-0.7*AE426/5,0.3)</f>
        <v>0.44000000000000006</v>
      </c>
      <c r="BJ426" s="4">
        <f>BI426*J426*L426/(J426*N426/2.75/M426^0.5)</f>
        <v>85.101976068074308</v>
      </c>
      <c r="BK426" s="4">
        <f>BH426+BJ426</f>
        <v>1178.6694243439363</v>
      </c>
      <c r="BM426" s="4">
        <f>MIN(1.5, 0.75+0.25*MIN(3,MAX(1,S426/N426))+0.4*MIN(1,(40*2*PI()*AM426^2/4/AO426/X426)/N426))</f>
        <v>1.5</v>
      </c>
      <c r="BN426" s="4">
        <f>(3*P426+30)*BM426*M426^0.5</f>
        <v>708.97381184220683</v>
      </c>
      <c r="BP426" s="4">
        <f>3.4/PI()^0.5*M426*AB426*AE426^0.5*BG426</f>
        <v>1048.8649174810398</v>
      </c>
      <c r="BQ426" s="4">
        <f>8/3*AH426*AI426^2/(AG426-N426-22)/N426*(AG426^2-N426^2)/(AG426^2-(N426+22)^2)</f>
        <v>0</v>
      </c>
      <c r="BR426" s="4">
        <f>BQ426/BP426</f>
        <v>0</v>
      </c>
      <c r="BZ426" s="4">
        <f>IF(W426=0,S426,MIN(W426/2,S426))</f>
        <v>39.528749999999988</v>
      </c>
      <c r="CD426" s="9"/>
      <c r="CF426" s="9"/>
      <c r="CG426" s="9"/>
      <c r="CH426" s="9">
        <f>IF(W426=0,MIN(S426,U426),MIN(W426/2,S426,U426))</f>
        <v>39.528749999999988</v>
      </c>
      <c r="CI426" s="9">
        <f>MAX(W426/2,S426)</f>
        <v>63.5</v>
      </c>
      <c r="CJ426" s="9">
        <f>(CH426/N426)^0.5*(CI426/CH426)^0.15</f>
        <v>1.6942549773761708</v>
      </c>
      <c r="CK426" s="70">
        <f>IF(AO426&gt;1,20,0)</f>
        <v>20</v>
      </c>
      <c r="CL426" s="9">
        <f>MIN(PI()*AM426^2/4*AN426*2/X426/N426/MAX(0.01,AO426),0.05)</f>
        <v>0</v>
      </c>
      <c r="CM426" s="9">
        <f>MAX(0,CK426*(CL426-0.5/50))</f>
        <v>0</v>
      </c>
      <c r="CN426" s="9">
        <f>MIN(1,(25/N426)^0.3)</f>
        <v>1</v>
      </c>
      <c r="CO426" s="9">
        <f>IF(J426&gt;=800,0.68,IF(J426&gt;=700,0.75-(J426-700)*0.07/100,IF(J426&gt;=600,0.85-(J426-600)*0.1/100,IF(J426&gt;=500,1-(J426-500)*0.15/100,1.2-(J426-400)*0.2/100))))</f>
        <v>0.68</v>
      </c>
      <c r="CP426" s="9">
        <f>1.75*CN426*CO426*(M426/25)^0.5</f>
        <v>2.0757770792545673</v>
      </c>
      <c r="CQ426" s="9">
        <f>MIN((CJ426+CM426)*CP426,2.5*CP426,M426^0.5)</f>
        <v>3.5168956484504208</v>
      </c>
      <c r="CR426" s="40">
        <v>1</v>
      </c>
      <c r="CS426" s="9">
        <f>4*CQ426*P426+60*CQ426</f>
        <v>324.45472494344199</v>
      </c>
      <c r="CU426" s="4">
        <f>AJ426/BF426</f>
        <v>1.6842236249136839</v>
      </c>
      <c r="CV426" s="4">
        <f>AJ426/BK426</f>
        <v>0.52894243541533204</v>
      </c>
      <c r="CW426" s="4">
        <f>AJ426/BN426</f>
        <v>0.87936714367783619</v>
      </c>
      <c r="CX426" s="4">
        <f>AJ426/CS426</f>
        <v>1.9215262652462428</v>
      </c>
      <c r="CY426" s="4">
        <f>AJ426/DZ426</f>
        <v>1.351934535422801</v>
      </c>
      <c r="CZ426" s="4">
        <f>AJ426/EL426</f>
        <v>0.82625634412902194</v>
      </c>
      <c r="DA426" s="4">
        <f>AJ426/GI426</f>
        <v>1.2473828124201516</v>
      </c>
      <c r="DB426" s="4">
        <f>AN426</f>
        <v>0</v>
      </c>
      <c r="DC426" s="4">
        <f>CU426</f>
        <v>1.6842236249136839</v>
      </c>
      <c r="DD426" s="4">
        <f>CV426</f>
        <v>0.52894243541533204</v>
      </c>
      <c r="DE426" s="4">
        <f>CX426</f>
        <v>1.9215262652462428</v>
      </c>
      <c r="DF426" s="4">
        <f>DA426</f>
        <v>1.2473828124201516</v>
      </c>
      <c r="DG426" s="4">
        <f>CY426</f>
        <v>1.351934535422801</v>
      </c>
      <c r="DH426" s="4">
        <f>CZ426</f>
        <v>0.82625634412902194</v>
      </c>
      <c r="DQ426" s="4">
        <f>L426</f>
        <v>128.01599999999999</v>
      </c>
      <c r="DT426" s="4">
        <f>K426/4/(1-0.3*(M426/30)^0.5)/200000/N426</f>
        <v>1.9299624843539986E-5</v>
      </c>
      <c r="DU426" s="4">
        <f>EP426</f>
        <v>12.10757955782209</v>
      </c>
      <c r="DV426" s="4">
        <f>EC426*AG426/257/M426/AD426</f>
        <v>8.4885794921662455E-2</v>
      </c>
      <c r="DW426" s="4">
        <f>DU426*DV426^0.4</f>
        <v>4.5143095888721998</v>
      </c>
      <c r="DX426" s="4">
        <f>MIN(DU426, DU426/1.4*(1-DV426^1.4)/(1-DV426))</f>
        <v>9.1513783079008739</v>
      </c>
      <c r="DY426" s="4">
        <f>MAX(DU426/2, (4-DT426*(8*AG426*(DW426-DX426)+6*K426*DX426))/(4+DT426*K426*DU426)*DU426)</f>
        <v>11.686482275240898</v>
      </c>
      <c r="DZ426" s="38">
        <f>MIN(1/N426*(4*AG426*(DW426-DX426)+(3*DX426+DY426)*K426)+EC426 -FJ426,MAX(J426,AJ426))</f>
        <v>461.15271082049344</v>
      </c>
      <c r="EA426" s="4">
        <f>DZ426/FF426</f>
        <v>1.0000810000000302</v>
      </c>
      <c r="EB426" s="4">
        <f>AG426/N426</f>
        <v>2.2360679774997898</v>
      </c>
      <c r="EC426" s="4">
        <f>MIN(EB$10*BB426)</f>
        <v>186.99797721655685</v>
      </c>
      <c r="EG426" s="4">
        <f>IF(U426&gt;1*N426,0.85,1)</f>
        <v>0.85</v>
      </c>
      <c r="EH426" s="4">
        <f>MIN(1,MAX(0.7,(1-0.1*(BZ426-1*N426)/N426)))</f>
        <v>0.85100000000000009</v>
      </c>
      <c r="EI426" s="4">
        <f>MIN(1,MAX(0.7,1-0.3*(PI()*AM426^2/4*AQ426*2-0.25*PI()/4*N426^2)/(PI()/4*N426^2)))</f>
        <v>1</v>
      </c>
      <c r="EJ426" s="4">
        <f>IF(EH426*EI426&lt;0.7,0.7,EH426*EI426)</f>
        <v>0.85100000000000009</v>
      </c>
      <c r="EL426" s="4">
        <f>MIN(DU426/N426*3*K426+EM426-FJ426,MAX(J426,AJ426))</f>
        <v>754.54582623418389</v>
      </c>
      <c r="EM426" s="25">
        <f>13.3*Q426*K426^0.5*M426^0.5/X426/N426^2*(0.7+S426/5/K426)</f>
        <v>461.63926157135188</v>
      </c>
      <c r="EO426" s="4">
        <f>EG426*EJ426</f>
        <v>0.72335000000000005</v>
      </c>
      <c r="EP426" s="4">
        <f>IF(N426&lt;22.2,1.1*5*(M426/30)^0.5,IF(N426&gt;=31.8,0.9*5*(M426/30)^0.5,1*5*(M426/30)^0.5))/EG426/EJ426</f>
        <v>12.10757955782209</v>
      </c>
      <c r="ES426" s="4">
        <f>ET426*N426</f>
        <v>35.497579142809165</v>
      </c>
      <c r="ET426" s="4">
        <f>AF426^0.5</f>
        <v>2.2360679774997898</v>
      </c>
      <c r="EU426" s="4">
        <f>MIN(EC426)/(4700*M426^0.5)/AE426*ES426</f>
        <v>4.0483126028376087E-2</v>
      </c>
      <c r="EX426" s="4">
        <f>EU426</f>
        <v>4.0483126028376087E-2</v>
      </c>
      <c r="EY426" s="4">
        <f>MIN(0.999, EX426/(0.3*(M426/30)^0.5))</f>
        <v>8.4744136350499738E-2</v>
      </c>
      <c r="EZ426" s="4">
        <f>EP426/1*EY426^0.4</f>
        <v>4.5112946623384618</v>
      </c>
      <c r="FA426" s="4">
        <f>EP426/1.4*(1-EY426^1.4)/(1-EY426)</f>
        <v>9.1506603730974554</v>
      </c>
      <c r="FB426" s="4">
        <f>MAX(0,DQ426*FB$9-ES426)</f>
        <v>60.514420857190835</v>
      </c>
      <c r="FC426" s="4">
        <f>MAX(0,DQ426-ES426-FB426)</f>
        <v>32.003999999999984</v>
      </c>
      <c r="FD426" s="4">
        <f>FC426/(1-0.3*(M426/30)^0.5)/200000/N426</f>
        <v>1.929962484353998E-5</v>
      </c>
      <c r="FE426" s="4">
        <f>MAX(0.5*EP426, (1-2*FD426*(ES426*EZ426+FB426*FA426))/(1/EP426+FD426*FC426))</f>
        <v>11.686552073500165</v>
      </c>
      <c r="FF426" s="4">
        <f>MIN(4/N426*(1*EZ426*ES426+FA426*FB426+FC426*FE426)+EC426,MAX(J426,AJ426))</f>
        <v>461.1153604762809</v>
      </c>
      <c r="FO426" s="23">
        <f>IF(CU426&lt;0.6,0.6,IF(CU426&lt;0.8,0.8,IF(CU426&lt;1,1,IF(CU426&lt;1.2,1.2,IF(CU426&lt;1.4,1.4,IF(CU426&lt;1.6,1.6,IF(CU426&lt;1.8,1.8,IF(CU426&lt;2,2,2.2))))))))</f>
        <v>1.8</v>
      </c>
      <c r="FP426" s="23">
        <f>IF(CV426&lt;0.6,0.6,IF(CV426&lt;0.8,0.8,IF(CV426&lt;1,1,IF(CV426&lt;1.2,1.2,IF(CV426&lt;1.4,1.4,IF(CV426&lt;1.6,1.6,IF(CV426&lt;1.8,1.8,IF(CV426&lt;2,2,2.2))))))))</f>
        <v>0.6</v>
      </c>
      <c r="FQ426" s="23">
        <f>IF(DA426&lt;0.6,0.6,IF(DA426&lt;0.8,0.8,IF(DA426&lt;1,1,IF(DA426&lt;1.2,1.2,IF(DA426&lt;1.4,1.4,IF(DA426&lt;1.6,1.6,IF(DA426&lt;1.8,1.8,IF(DA426&lt;2,2,2.2))))))))</f>
        <v>1.4</v>
      </c>
      <c r="FR426" s="23">
        <f>IF(CX426&lt;0.6,0.6,IF(CX426&lt;0.8,0.8,IF(CX426&lt;1,1,IF(CX426&lt;1.2,1.2,IF(CX426&lt;1.4,1.4,IF(CX426&lt;1.6,1.6,IF(CX426&lt;1.8,1.8,IF(CX426&lt;2,2,2.2))))))))</f>
        <v>2</v>
      </c>
      <c r="FS426" s="23">
        <f>IF(CY426&lt;0.6,0.6,IF(CY426&lt;0.8,0.8,IF(CY426&lt;1,1,IF(CY426&lt;1.2,1.2,IF(CY426&lt;1.4,1.4,IF(CY426&lt;1.6,1.6,IF(CY426&lt;1.8,1.8,IF(CY426&lt;2,2,2.2))))))))</f>
        <v>1.4</v>
      </c>
      <c r="FT426" s="23">
        <f>IF(CZ426&lt;0.6,0.6,IF(CZ426&lt;0.8,0.8,IF(CZ426&lt;1,1,IF(CZ426&lt;1.2,1.2,IF(CZ426&lt;1.4,1.4,IF(CZ426&lt;1.6,1.6,IF(CZ426&lt;1.8,1.8,IF(CZ426&lt;2,2,2.2))))))))</f>
        <v>1</v>
      </c>
      <c r="FU426" s="23">
        <f>IF(FS426&lt;1,1,0)</f>
        <v>0</v>
      </c>
      <c r="FV426" s="23"/>
      <c r="GF426" s="4">
        <f>IF(S426&gt;=2.5*25.4,1,1.25)</f>
        <v>1</v>
      </c>
      <c r="GG426" s="4">
        <f>IF(AO426&gt;1, 0.05*(18-MIN(8,(W426+N426)/N426))*(1-48000/MAX(60000,(J426*145))*(N426/25.4)^0.75*GH426), 1/12*(14-MIN(8,(W426+N426)/N426)))</f>
        <v>0.60100000000000009</v>
      </c>
      <c r="GH426" s="4">
        <f>MIN(0.3, AM426^2*PI()/4*2*AP426/(N426^2*PI()/4*X426))</f>
        <v>0</v>
      </c>
      <c r="GI426" s="4">
        <f>(K426/25.4)/(N426/25.4)^1.5/0.0024*(M426*145)^0.25/GF426/GG426/145</f>
        <v>499.80508762379446</v>
      </c>
    </row>
    <row r="427" spans="1:191" ht="12" customHeight="1" x14ac:dyDescent="0.3">
      <c r="A427" s="25">
        <v>379</v>
      </c>
      <c r="B427" s="4" t="s">
        <v>605</v>
      </c>
      <c r="C427" s="4">
        <v>2016</v>
      </c>
      <c r="D427" s="4" t="s">
        <v>309</v>
      </c>
      <c r="E427" s="24" t="s">
        <v>674</v>
      </c>
      <c r="F427" s="120" t="s">
        <v>763</v>
      </c>
      <c r="G427" s="24">
        <v>5</v>
      </c>
      <c r="H427" s="7" t="s">
        <v>545</v>
      </c>
      <c r="I427" s="5">
        <f>K427/N427</f>
        <v>8.048</v>
      </c>
      <c r="J427" s="38">
        <f>139/0.145</f>
        <v>958.62068965517244</v>
      </c>
      <c r="K427" s="77">
        <f>5.03*25.4</f>
        <v>127.762</v>
      </c>
      <c r="L427" s="4">
        <f>K427</f>
        <v>127.762</v>
      </c>
      <c r="M427" s="38">
        <f>11030/145</f>
        <v>76.068965517241381</v>
      </c>
      <c r="N427" s="38">
        <f>0.625*25.4</f>
        <v>15.875</v>
      </c>
      <c r="O427" s="7">
        <f>K427/N427</f>
        <v>8.048</v>
      </c>
      <c r="P427" s="7">
        <f>L427/N427</f>
        <v>8.048</v>
      </c>
      <c r="Q427" s="38">
        <f>13*25.4</f>
        <v>330.2</v>
      </c>
      <c r="R427" s="32">
        <f>S427/N427</f>
        <v>4</v>
      </c>
      <c r="S427" s="38">
        <f>2.5*25.4</f>
        <v>63.5</v>
      </c>
      <c r="T427" s="32">
        <f>U427/N427</f>
        <v>6.3999999999999995</v>
      </c>
      <c r="U427" s="39">
        <f>4*25.4</f>
        <v>101.6</v>
      </c>
      <c r="V427" s="32">
        <f>W427/N427</f>
        <v>2.9333333333333331</v>
      </c>
      <c r="W427" s="7">
        <f>(Q427-X427*N427-2*S427)/(X427-1)</f>
        <v>46.566666666666663</v>
      </c>
      <c r="X427" s="38">
        <v>4</v>
      </c>
      <c r="Y427" s="7">
        <f>AN427</f>
        <v>4</v>
      </c>
      <c r="Z427" s="32">
        <f>AA427/N427</f>
        <v>8.4</v>
      </c>
      <c r="AA427" s="4">
        <f>5.25*25.4</f>
        <v>133.35</v>
      </c>
      <c r="AB427" s="7">
        <f>MIN(S427/N427+0.5, W427/2/N427+0.5)</f>
        <v>1.9666666666666666</v>
      </c>
      <c r="AC427" s="7">
        <f>S427/N427+0.5</f>
        <v>4.5</v>
      </c>
      <c r="AD427" s="38">
        <v>4</v>
      </c>
      <c r="AE427" s="4">
        <f>AD427</f>
        <v>4</v>
      </c>
      <c r="AF427" s="4">
        <f>AE427+1</f>
        <v>5</v>
      </c>
      <c r="AG427" s="7">
        <f>N427*AF427^0.5</f>
        <v>35.497579142809165</v>
      </c>
      <c r="AJ427" s="38">
        <f>AK427/0.145</f>
        <v>687.58620689655174</v>
      </c>
      <c r="AK427" s="4">
        <v>99.7</v>
      </c>
      <c r="AL427" s="4">
        <f>CY427</f>
        <v>1.649578283506135</v>
      </c>
      <c r="AM427" s="38">
        <f>0.375*25.4</f>
        <v>9.5249999999999986</v>
      </c>
      <c r="AN427" s="38">
        <v>4</v>
      </c>
      <c r="AO427" s="39">
        <f>3.5*25.4</f>
        <v>88.899999999999991</v>
      </c>
      <c r="AP427" s="39">
        <v>2</v>
      </c>
      <c r="AQ427" s="39">
        <f>AP427-1</f>
        <v>1</v>
      </c>
      <c r="AR427" s="7"/>
      <c r="AS427" s="4">
        <f>K427</f>
        <v>127.762</v>
      </c>
      <c r="AT427" s="4">
        <f>IF(K427*3&gt;W427+N427, Q427, (S427+N427/2)*2+1.5*K427*(2*X427-2))*(3*K427)/(9*K427^2)</f>
        <v>0.86149768058316756</v>
      </c>
      <c r="AU427" s="4">
        <f>MIN(10*M427^0.5*K427^1.5,100*3.9*M427^0.5*K427^(5/3))/(PI()/4*N427^2)/X427</f>
        <v>159.0849028201888</v>
      </c>
      <c r="AV427" s="4">
        <f>MIN(0.7+0.3*(MIN(S427,AA427)+0.5*N427)/1.5/K427,1)</f>
        <v>0.81182902584493033</v>
      </c>
      <c r="AW427" s="4">
        <v>1.25</v>
      </c>
      <c r="AX427" s="4">
        <f>AX426</f>
        <v>1</v>
      </c>
      <c r="AY427" s="38">
        <f>AT427*AV427*AW427*AX427*AU427</f>
        <v>139.07775363493545</v>
      </c>
      <c r="AZ427" s="38">
        <f>AY427</f>
        <v>139.07775363493545</v>
      </c>
      <c r="BA427" s="38">
        <f>IF(M427&lt;50, 0.3*M427^(2/3), 2.12*LN(1+0.1*(M427+8)))</f>
        <v>4.7518593634836064</v>
      </c>
      <c r="BB427" s="38">
        <f>AX427* (M427^0.5/AS427^0.5)/(PI()/4*N427^2)/X427/0.72 *(0.7+(MIN(S427,AA427)+0.5*N427)/5/K427) *(3*Q427*K427)</f>
        <v>139.07775363493545</v>
      </c>
      <c r="BC427" s="38">
        <f>AY427/BB427</f>
        <v>1</v>
      </c>
      <c r="BD427" s="38">
        <f>BH427/BB427</f>
        <v>6.5196772687716846</v>
      </c>
      <c r="BE427" s="4">
        <f>IF(BD427&lt;1,1,0)</f>
        <v>0</v>
      </c>
      <c r="BF427" s="4">
        <f>L427/N427*M427^0.5/0.19</f>
        <v>369.43507151350633</v>
      </c>
      <c r="BG427" s="4">
        <f>MIN(0.6+0.4*(AC427/AB427),2)</f>
        <v>1.5152542372881357</v>
      </c>
      <c r="BH427" s="38">
        <f>2*M427*AB427*AD427^0.5*BG427*0.7/0.7</f>
        <v>906.74206896551721</v>
      </c>
      <c r="BI427" s="4">
        <f>MAX(1-0.7*AE427/5,0.3)</f>
        <v>0.44000000000000006</v>
      </c>
      <c r="BJ427" s="4">
        <f>BI427*J427*L427/(J427*N427/2.75/M427^0.5)</f>
        <v>84.933122940955116</v>
      </c>
      <c r="BK427" s="4">
        <f>BH427+BJ427</f>
        <v>991.67519190647226</v>
      </c>
      <c r="BM427" s="4">
        <f>MIN(1.5, 0.75+0.25*MIN(3,MAX(1,S427/N427))+0.4*MIN(1,(40*2*PI()*AM427^2/4/AO427/X427)/N427))</f>
        <v>1.5</v>
      </c>
      <c r="BN427" s="4">
        <f>(3*P427+30)*BM427*M427^0.5</f>
        <v>708.34584566697015</v>
      </c>
      <c r="BP427" s="4">
        <f>3.4/PI()^0.5*M427*AB427*AE427^0.5*BG427</f>
        <v>869.6765314673064</v>
      </c>
      <c r="BQ427" s="4">
        <f>8/3*AH427*AI427^2/(AG427-N427-22)/N427*(AG427^2-N427^2)/(AG427^2-(N427+22)^2)</f>
        <v>0</v>
      </c>
      <c r="BR427" s="4">
        <f>BQ427/BP427</f>
        <v>0</v>
      </c>
      <c r="BZ427" s="4">
        <f>IF(W427=0,S427,MIN(W427/2,S427))</f>
        <v>23.283333333333331</v>
      </c>
      <c r="CD427" s="9"/>
      <c r="CF427" s="9"/>
      <c r="CG427" s="9"/>
      <c r="CH427" s="9">
        <f>IF(W427=0,MIN(S427,U427),MIN(W427/2,S427,U427))</f>
        <v>23.283333333333331</v>
      </c>
      <c r="CI427" s="9">
        <f>MAX(W427/2,S427)</f>
        <v>63.5</v>
      </c>
      <c r="CJ427" s="9">
        <f>(CH427/N427)^0.5*(CI427/CH427)^0.15</f>
        <v>1.4077482505972425</v>
      </c>
      <c r="CK427" s="70">
        <f>IF(AO427&gt;1,20,0)</f>
        <v>20</v>
      </c>
      <c r="CL427" s="9">
        <f>MIN(PI()*AM427^2/4*AN427*2/X427/N427/MAX(0.01,AO427),0.05)</f>
        <v>0.05</v>
      </c>
      <c r="CM427" s="9">
        <f>MAX(0,CK427*(CL427-0.5/50))</f>
        <v>0.8</v>
      </c>
      <c r="CN427" s="9">
        <f>MIN(1,(25/N427)^0.3)</f>
        <v>1</v>
      </c>
      <c r="CO427" s="9">
        <f>IF(J427&gt;=800,0.68,IF(J427&gt;=700,0.75-(J427-700)*0.07/100,IF(J427&gt;=600,0.85-(J427-600)*0.1/100,IF(J427&gt;=500,1-(J427-500)*0.15/100,1.2-(J427-400)*0.2/100))))</f>
        <v>0.68</v>
      </c>
      <c r="CP427" s="9">
        <f>1.75*CN427*CO427*(M427/25)^0.5</f>
        <v>2.0757770792545673</v>
      </c>
      <c r="CQ427" s="9">
        <f>MIN((CJ427+CM427)*CP427,2.5*CP427,M427^0.5)</f>
        <v>4.5827932153541244</v>
      </c>
      <c r="CR427" s="40">
        <v>1</v>
      </c>
      <c r="CS427" s="9">
        <f>4*CQ427*P427+60*CQ427</f>
        <v>422.49687210992738</v>
      </c>
      <c r="CU427" s="4">
        <f>AJ427/BF427</f>
        <v>1.8611828164544308</v>
      </c>
      <c r="CV427" s="4">
        <f>AJ427/BK427</f>
        <v>0.69335828153035006</v>
      </c>
      <c r="CW427" s="4">
        <f>AJ427/BN427</f>
        <v>0.97069279237337602</v>
      </c>
      <c r="CX427" s="4">
        <f>AJ427/CS427</f>
        <v>1.6274350232766979</v>
      </c>
      <c r="CY427" s="4">
        <f>AJ427/DZ427</f>
        <v>1.649578283506135</v>
      </c>
      <c r="CZ427" s="4">
        <f>AJ427/EL427</f>
        <v>1.0625500982773062</v>
      </c>
      <c r="DA427" s="4">
        <f>AJ427/GI427</f>
        <v>1.4956819971499853</v>
      </c>
      <c r="DB427" s="4">
        <f>AN427</f>
        <v>4</v>
      </c>
      <c r="DI427" s="4">
        <f>CU427</f>
        <v>1.8611828164544308</v>
      </c>
      <c r="DJ427" s="4">
        <f>CV427</f>
        <v>0.69335828153035006</v>
      </c>
      <c r="DK427" s="4">
        <f>CX427</f>
        <v>1.6274350232766979</v>
      </c>
      <c r="DL427" s="4">
        <f>DA427</f>
        <v>1.4956819971499853</v>
      </c>
      <c r="DM427" s="4">
        <f>CY427</f>
        <v>1.649578283506135</v>
      </c>
      <c r="DN427" s="4">
        <f>CZ427</f>
        <v>1.0625500982773062</v>
      </c>
      <c r="DQ427" s="4">
        <f>L427</f>
        <v>127.762</v>
      </c>
      <c r="DT427" s="4">
        <f>K427/4/(1-0.3*(M427/30)^0.5)/200000/N427</f>
        <v>1.9261331937104394E-5</v>
      </c>
      <c r="DU427" s="4">
        <f>EP427</f>
        <v>12.581978805701782</v>
      </c>
      <c r="DV427" s="4">
        <f>EC427*AG427/257/M427/AD427</f>
        <v>6.3132905761588864E-2</v>
      </c>
      <c r="DW427" s="4">
        <f>DU427*DV427^0.4</f>
        <v>4.1672663649704607</v>
      </c>
      <c r="DX427" s="4">
        <f>MIN(DU427, DU427/1.4*(1-DV427^1.4)/(1-DV427))</f>
        <v>9.3921594388955096</v>
      </c>
      <c r="DY427" s="4">
        <f>MAX(DU427/2, (4-DT427*(8*AG427*(DW427-DX427)+6*K427*DX427))/(4+DT427*K427*DU427)*DU427)</f>
        <v>12.141682547614144</v>
      </c>
      <c r="DZ427" s="38">
        <f>MIN(1/N427*(4*AG427*(DW427-DX427)+(3*DX427+DY427)*K427)+EC427 -FJ427,MAX(J427,AJ427))</f>
        <v>416.82544791697029</v>
      </c>
      <c r="EA427" s="4">
        <f>DZ427/FF427</f>
        <v>1.0000799102391975</v>
      </c>
      <c r="EB427" s="4">
        <f>AG427/N427</f>
        <v>2.2360679774997898</v>
      </c>
      <c r="EC427" s="4">
        <f>MIN(EB$10*BB427)</f>
        <v>139.07775363493545</v>
      </c>
      <c r="EG427" s="4">
        <f>IF(U427&gt;1*N427,0.85,1)</f>
        <v>0.85</v>
      </c>
      <c r="EH427" s="4">
        <f>MIN(1,MAX(0.7,(1-0.1*(BZ427-1*N427)/N427)))</f>
        <v>0.95333333333333337</v>
      </c>
      <c r="EI427" s="4">
        <f>MIN(1,MAX(0.7,1-0.3*(PI()*AM427^2/4*AQ427*2-0.25*PI()/4*N427^2)/(PI()/4*N427^2)))</f>
        <v>0.85899999999999999</v>
      </c>
      <c r="EJ427" s="4">
        <f>IF(EH427*EI427&lt;0.7,0.7,EH427*EI427)</f>
        <v>0.81891333333333338</v>
      </c>
      <c r="EL427" s="4">
        <f>MIN(DU427/N427*3*K427+EM427-FJ427,MAX(J427,AJ427))</f>
        <v>647.10944736753891</v>
      </c>
      <c r="EM427" s="25">
        <f>13.3*Q427*K427^0.5*M427^0.5/X427/N427^2*(0.7+S427/5/K427)</f>
        <v>343.33015108267512</v>
      </c>
      <c r="EO427" s="4">
        <f>EG427*EJ427</f>
        <v>0.69607633333333341</v>
      </c>
      <c r="EP427" s="4">
        <f>IF(N427&lt;22.2,1.1*5*(M427/30)^0.5,IF(N427&gt;=31.8,0.9*5*(M427/30)^0.5,1*5*(M427/30)^0.5))/EG427/EJ427</f>
        <v>12.581978805701782</v>
      </c>
      <c r="ES427" s="4">
        <f>ET427*N427</f>
        <v>35.497579142809165</v>
      </c>
      <c r="ET427" s="4">
        <f>AF427^0.5</f>
        <v>2.2360679774997898</v>
      </c>
      <c r="EU427" s="4">
        <f>MIN(EC427)/(4700*M427^0.5)/AE427*ES427</f>
        <v>3.0108893753573843E-2</v>
      </c>
      <c r="EX427" s="4">
        <f>EU427</f>
        <v>3.0108893753573843E-2</v>
      </c>
      <c r="EY427" s="4">
        <f>MIN(0.999, EX427/(0.3*(M427/30)^0.5))</f>
        <v>6.3027548708246894E-2</v>
      </c>
      <c r="EZ427" s="4">
        <f>EP427/1*EY427^0.4</f>
        <v>4.164483214703611</v>
      </c>
      <c r="FA427" s="4">
        <f>EP427/1.4*(1-EY427^1.4)/(1-EY427)</f>
        <v>9.3915717738843281</v>
      </c>
      <c r="FB427" s="4">
        <f>MAX(0,DQ427*FB$9-ES427)</f>
        <v>60.323920857190835</v>
      </c>
      <c r="FC427" s="4">
        <f>MAX(0,DQ427-ES427-FB427)</f>
        <v>31.940499999999993</v>
      </c>
      <c r="FD427" s="4">
        <f>FC427/(1-0.3*(M427/30)^0.5)/200000/N427</f>
        <v>1.9261331937104387E-5</v>
      </c>
      <c r="FE427" s="4">
        <f>MAX(0.5*EP427, (1-2*FD427*(ES427*EZ427+FB427*FA427))/(1/EP427+FD427*FC427))</f>
        <v>12.14174711537901</v>
      </c>
      <c r="FF427" s="4">
        <f>MIN(4/N427*(1*EZ427*ES427+FA427*FB427+FC427*FE427)+EC427,MAX(J427,AJ427))</f>
        <v>416.79214195721084</v>
      </c>
      <c r="FO427" s="23">
        <f>IF(CU427&lt;0.6,0.6,IF(CU427&lt;0.8,0.8,IF(CU427&lt;1,1,IF(CU427&lt;1.2,1.2,IF(CU427&lt;1.4,1.4,IF(CU427&lt;1.6,1.6,IF(CU427&lt;1.8,1.8,IF(CU427&lt;2,2,2.2))))))))</f>
        <v>2</v>
      </c>
      <c r="FP427" s="23">
        <f>IF(CV427&lt;0.6,0.6,IF(CV427&lt;0.8,0.8,IF(CV427&lt;1,1,IF(CV427&lt;1.2,1.2,IF(CV427&lt;1.4,1.4,IF(CV427&lt;1.6,1.6,IF(CV427&lt;1.8,1.8,IF(CV427&lt;2,2,2.2))))))))</f>
        <v>0.8</v>
      </c>
      <c r="FQ427" s="23">
        <f>IF(DA427&lt;0.6,0.6,IF(DA427&lt;0.8,0.8,IF(DA427&lt;1,1,IF(DA427&lt;1.2,1.2,IF(DA427&lt;1.4,1.4,IF(DA427&lt;1.6,1.6,IF(DA427&lt;1.8,1.8,IF(DA427&lt;2,2,2.2))))))))</f>
        <v>1.6</v>
      </c>
      <c r="FR427" s="23">
        <f>IF(CX427&lt;0.6,0.6,IF(CX427&lt;0.8,0.8,IF(CX427&lt;1,1,IF(CX427&lt;1.2,1.2,IF(CX427&lt;1.4,1.4,IF(CX427&lt;1.6,1.6,IF(CX427&lt;1.8,1.8,IF(CX427&lt;2,2,2.2))))))))</f>
        <v>1.8</v>
      </c>
      <c r="FS427" s="23">
        <f>IF(CY427&lt;0.6,0.6,IF(CY427&lt;0.8,0.8,IF(CY427&lt;1,1,IF(CY427&lt;1.2,1.2,IF(CY427&lt;1.4,1.4,IF(CY427&lt;1.6,1.6,IF(CY427&lt;1.8,1.8,IF(CY427&lt;2,2,2.2))))))))</f>
        <v>1.8</v>
      </c>
      <c r="FT427" s="23">
        <f>IF(CZ427&lt;0.6,0.6,IF(CZ427&lt;0.8,0.8,IF(CZ427&lt;1,1,IF(CZ427&lt;1.2,1.2,IF(CZ427&lt;1.4,1.4,IF(CZ427&lt;1.6,1.6,IF(CZ427&lt;1.8,1.8,IF(CZ427&lt;2,2,2.2))))))))</f>
        <v>1.2</v>
      </c>
      <c r="FU427" s="23">
        <f>IF(FS427&lt;1,1,0)</f>
        <v>0</v>
      </c>
      <c r="FV427" s="23"/>
      <c r="GF427" s="4">
        <f>IF(S427&gt;=2.5*25.4,1,1.25)</f>
        <v>1</v>
      </c>
      <c r="GG427" s="4">
        <f>IF(AO427&gt;1, 0.05*(18-MIN(8,(W427+N427)/N427))*(1-48000/MAX(60000,(J427*145))*(N427/25.4)^0.75*GH427), 1/12*(14-MIN(8,(W427+N427)/N427)))</f>
        <v>0.65211577090952166</v>
      </c>
      <c r="GH427" s="4">
        <f>MIN(0.3, AM427^2*PI()/4*2*AP427/(N427^2*PI()/4*X427))</f>
        <v>0.3</v>
      </c>
      <c r="GI427" s="4">
        <f>(K427/25.4)/(N427/25.4)^1.5/0.0024*(M427*145)^0.25/GF427/GG427/145</f>
        <v>459.71416932659741</v>
      </c>
    </row>
    <row r="428" spans="1:191" ht="12" customHeight="1" x14ac:dyDescent="0.3">
      <c r="A428" s="25">
        <v>377</v>
      </c>
      <c r="B428" s="4" t="s">
        <v>605</v>
      </c>
      <c r="C428" s="4">
        <v>2016</v>
      </c>
      <c r="D428" s="4" t="s">
        <v>309</v>
      </c>
      <c r="E428" s="24" t="s">
        <v>674</v>
      </c>
      <c r="F428" s="120" t="s">
        <v>763</v>
      </c>
      <c r="G428" s="24">
        <v>5</v>
      </c>
      <c r="H428" s="7" t="s">
        <v>543</v>
      </c>
      <c r="I428" s="5">
        <f>K428/N428</f>
        <v>8.0319999999999983</v>
      </c>
      <c r="J428" s="38">
        <f>139/0.145</f>
        <v>958.62068965517244</v>
      </c>
      <c r="K428" s="77">
        <f>5.02*25.4</f>
        <v>127.50799999999998</v>
      </c>
      <c r="L428" s="4">
        <f>K428</f>
        <v>127.50799999999998</v>
      </c>
      <c r="M428" s="38">
        <f>11030/145</f>
        <v>76.068965517241381</v>
      </c>
      <c r="N428" s="38">
        <f>0.625*25.4</f>
        <v>15.875</v>
      </c>
      <c r="O428" s="7">
        <f>K428/N428</f>
        <v>8.0319999999999983</v>
      </c>
      <c r="P428" s="7">
        <f>L428/N428</f>
        <v>8.0319999999999983</v>
      </c>
      <c r="Q428" s="38">
        <f>12.9*25.4</f>
        <v>327.65999999999997</v>
      </c>
      <c r="R428" s="32">
        <f>S428/N428</f>
        <v>4</v>
      </c>
      <c r="S428" s="38">
        <f>2.5*25.4</f>
        <v>63.5</v>
      </c>
      <c r="T428" s="32">
        <f>U428/N428</f>
        <v>6.5599999999999987</v>
      </c>
      <c r="U428" s="39">
        <f>4.1*25.4</f>
        <v>104.13999999999999</v>
      </c>
      <c r="V428" s="32">
        <f>W428/N428</f>
        <v>4.8199999999999994</v>
      </c>
      <c r="W428" s="7">
        <f>(Q428-X428*N428-2*S428)/(X428-1)</f>
        <v>76.517499999999984</v>
      </c>
      <c r="X428" s="38">
        <v>3</v>
      </c>
      <c r="Y428" s="7">
        <f>AN428</f>
        <v>10</v>
      </c>
      <c r="Z428" s="32">
        <f>AA428/N428</f>
        <v>8.4</v>
      </c>
      <c r="AA428" s="4">
        <f>5.25*25.4</f>
        <v>133.35</v>
      </c>
      <c r="AB428" s="7">
        <f>MIN(S428/N428+0.5, W428/2/N428+0.5)</f>
        <v>2.9099999999999997</v>
      </c>
      <c r="AC428" s="7">
        <f>S428/N428+0.5</f>
        <v>4.5</v>
      </c>
      <c r="AD428" s="38">
        <v>4</v>
      </c>
      <c r="AE428" s="4">
        <f>AD428</f>
        <v>4</v>
      </c>
      <c r="AF428" s="4">
        <f>AE428+1</f>
        <v>5</v>
      </c>
      <c r="AG428" s="7">
        <f>N428*AF428^0.5</f>
        <v>35.497579142809165</v>
      </c>
      <c r="AJ428" s="38">
        <f>AK428/0.145</f>
        <v>859.31034482758628</v>
      </c>
      <c r="AK428" s="4">
        <v>124.6</v>
      </c>
      <c r="AL428" s="4">
        <f>CY428</f>
        <v>1.6706415634065737</v>
      </c>
      <c r="AM428" s="38">
        <f>0.375*25.4</f>
        <v>9.5249999999999986</v>
      </c>
      <c r="AN428" s="38">
        <v>10</v>
      </c>
      <c r="AO428" s="39">
        <f>1.75*25.4</f>
        <v>44.449999999999996</v>
      </c>
      <c r="AP428" s="39">
        <v>3</v>
      </c>
      <c r="AQ428" s="39">
        <f>AP428-1</f>
        <v>2</v>
      </c>
      <c r="AR428" s="7"/>
      <c r="AS428" s="4">
        <f>K428</f>
        <v>127.50799999999998</v>
      </c>
      <c r="AT428" s="4">
        <f>IF(K428*3&gt;W428+N428, Q428, (S428+N428/2)*2+1.5*K428*(2*X428-2))*(3*K428)/(9*K428^2)</f>
        <v>0.856573705179283</v>
      </c>
      <c r="AU428" s="4">
        <f>MIN(10*M428^0.5*K428^1.5,100*3.9*M428^0.5*K428^(5/3))/(PI()/4*N428^2)/X428</f>
        <v>211.48097390514772</v>
      </c>
      <c r="AV428" s="4">
        <f>MIN(0.7+0.3*(MIN(S428,AA428)+0.5*N428)/1.5/K428,1)</f>
        <v>0.81205179282868523</v>
      </c>
      <c r="AW428" s="4">
        <v>1.25</v>
      </c>
      <c r="AX428" s="4">
        <f>AX427</f>
        <v>1</v>
      </c>
      <c r="AY428" s="38">
        <f>AT428*AV428*AW428*AX428*AU428</f>
        <v>183.87800479033265</v>
      </c>
      <c r="AZ428" s="38">
        <f>AY428</f>
        <v>183.87800479033265</v>
      </c>
      <c r="BA428" s="38">
        <f>IF(M428&lt;50, 0.3*M428^(2/3), 2.12*LN(1+0.1*(M428+8)))</f>
        <v>4.7518593634836064</v>
      </c>
      <c r="BB428" s="38">
        <f>AX428* (M428^0.5/AS428^0.5)/(PI()/4*N428^2)/X428/0.72 *(0.7+(MIN(S428,AA428)+0.5*N428)/5/K428) *(3*Q428*K428)</f>
        <v>183.87800479033262</v>
      </c>
      <c r="BC428" s="38">
        <f>AY428/BB428</f>
        <v>1.0000000000000002</v>
      </c>
      <c r="BD428" s="38">
        <f>BH428/BB428</f>
        <v>5.8678155015160263</v>
      </c>
      <c r="BE428" s="4">
        <f>IF(BD428&lt;1,1,0)</f>
        <v>0</v>
      </c>
      <c r="BF428" s="4">
        <f>L428/N428*M428^0.5/0.19</f>
        <v>368.70060815065631</v>
      </c>
      <c r="BG428" s="4">
        <f>MIN(0.6+0.4*(AC428/AB428),2)</f>
        <v>1.2185567010309279</v>
      </c>
      <c r="BH428" s="38">
        <f>2*M428*AB428*AD428^0.5*BG428*0.7/0.7</f>
        <v>1078.9622068965518</v>
      </c>
      <c r="BI428" s="4">
        <f>MAX(1-0.7*AE428/5,0.3)</f>
        <v>0.44000000000000006</v>
      </c>
      <c r="BJ428" s="4">
        <f>BI428*J428*L428/(J428*N428/2.75/M428^0.5)</f>
        <v>84.764269813835909</v>
      </c>
      <c r="BK428" s="4">
        <f>BH428+BJ428</f>
        <v>1163.7264767103877</v>
      </c>
      <c r="BM428" s="4">
        <f>MIN(1.5, 0.75+0.25*MIN(3,MAX(1,S428/N428))+0.4*MIN(1,(40*2*PI()*AM428^2/4/AO428/X428)/N428))</f>
        <v>1.5</v>
      </c>
      <c r="BN428" s="4">
        <f>(3*P428+30)*BM428*M428^0.5</f>
        <v>707.71787949173347</v>
      </c>
      <c r="BP428" s="4">
        <f>3.4/PI()^0.5*M428*AB428*AE428^0.5*BG428</f>
        <v>1034.856704893647</v>
      </c>
      <c r="BQ428" s="4">
        <f>8/3*AH428*AI428^2/(AG428-N428-22)/N428*(AG428^2-N428^2)/(AG428^2-(N428+22)^2)</f>
        <v>0</v>
      </c>
      <c r="BR428" s="4">
        <f>BQ428/BP428</f>
        <v>0</v>
      </c>
      <c r="BZ428" s="4">
        <f>IF(W428=0,S428,MIN(W428/2,S428))</f>
        <v>38.258749999999992</v>
      </c>
      <c r="CD428" s="9"/>
      <c r="CF428" s="9"/>
      <c r="CG428" s="9"/>
      <c r="CH428" s="9">
        <f>IF(W428=0,MIN(S428,U428),MIN(W428/2,S428,U428))</f>
        <v>38.258749999999992</v>
      </c>
      <c r="CI428" s="9">
        <f>MAX(W428/2,S428)</f>
        <v>63.5</v>
      </c>
      <c r="CJ428" s="9">
        <f>(CH428/N428)^0.5*(CI428/CH428)^0.15</f>
        <v>1.6750005871158282</v>
      </c>
      <c r="CK428" s="70">
        <f>IF(AO428&gt;1,20,0)</f>
        <v>20</v>
      </c>
      <c r="CL428" s="9">
        <f>MIN(PI()*AM428^2/4*AN428*2/X428/N428/MAX(0.01,AO428),0.05)</f>
        <v>0.05</v>
      </c>
      <c r="CM428" s="9">
        <f>MAX(0,CK428*(CL428-0.5/50))</f>
        <v>0.8</v>
      </c>
      <c r="CN428" s="9">
        <f>MIN(1,(25/N428)^0.3)</f>
        <v>1</v>
      </c>
      <c r="CO428" s="9">
        <f>IF(J428&gt;=800,0.68,IF(J428&gt;=700,0.75-(J428-700)*0.07/100,IF(J428&gt;=600,0.85-(J428-600)*0.1/100,IF(J428&gt;=500,1-(J428-500)*0.15/100,1.2-(J428-400)*0.2/100))))</f>
        <v>0.68</v>
      </c>
      <c r="CP428" s="9">
        <f>1.75*CN428*CO428*(M428/25)^0.5</f>
        <v>2.0757770792545673</v>
      </c>
      <c r="CQ428" s="9">
        <f>MIN((CJ428+CM428)*CP428,2.5*CP428,M428^0.5)</f>
        <v>5.1375494898766334</v>
      </c>
      <c r="CR428" s="40">
        <v>1</v>
      </c>
      <c r="CS428" s="9">
        <f>4*CQ428*P428+60*CQ428</f>
        <v>473.31215940335449</v>
      </c>
      <c r="CU428" s="4">
        <f>AJ428/BF428</f>
        <v>2.3306453144673411</v>
      </c>
      <c r="CV428" s="4">
        <f>AJ428/BK428</f>
        <v>0.73841264422949071</v>
      </c>
      <c r="CW428" s="4">
        <f>AJ428/BN428</f>
        <v>1.2141990046156852</v>
      </c>
      <c r="CX428" s="4">
        <f>AJ428/CS428</f>
        <v>1.8155256055766906</v>
      </c>
      <c r="CY428" s="4">
        <f>AJ428/DZ428</f>
        <v>1.6706415634065737</v>
      </c>
      <c r="CZ428" s="4">
        <f>AJ428/EL428</f>
        <v>1.0627262740118579</v>
      </c>
      <c r="DA428" s="4">
        <f>AJ428/GI428</f>
        <v>1.6217447857525504</v>
      </c>
      <c r="DB428" s="4">
        <f>AN428</f>
        <v>10</v>
      </c>
      <c r="DI428" s="4">
        <f>CU428</f>
        <v>2.3306453144673411</v>
      </c>
      <c r="DJ428" s="4">
        <f>CV428</f>
        <v>0.73841264422949071</v>
      </c>
      <c r="DK428" s="4">
        <f>CX428</f>
        <v>1.8155256055766906</v>
      </c>
      <c r="DL428" s="4">
        <f>DA428</f>
        <v>1.6217447857525504</v>
      </c>
      <c r="DM428" s="4">
        <f>CY428</f>
        <v>1.6706415634065737</v>
      </c>
      <c r="DN428" s="4">
        <f>CZ428</f>
        <v>1.0627262740118579</v>
      </c>
      <c r="DQ428" s="4">
        <f>L428</f>
        <v>127.50799999999998</v>
      </c>
      <c r="DT428" s="4">
        <f>K428/4/(1-0.3*(M428/30)^0.5)/200000/N428</f>
        <v>1.9223039030668795E-5</v>
      </c>
      <c r="DU428" s="4">
        <f>EP428</f>
        <v>14.719357433866572</v>
      </c>
      <c r="DV428" s="4">
        <f>EC428*AG428/257/M428/AD428</f>
        <v>8.3469515753963178E-2</v>
      </c>
      <c r="DW428" s="4">
        <f>DU428*DV428^0.4</f>
        <v>5.4512990710254927</v>
      </c>
      <c r="DX428" s="4">
        <f>MIN(DU428, DU428/1.4*(1-DV428^1.4)/(1-DV428))</f>
        <v>11.11672176864151</v>
      </c>
      <c r="DY428" s="4">
        <f>MAX(DU428/2, (4-DT428*(8*AG428*(DW428-DX428)+6*K428*DX428))/(4+DT428*K428*DU428)*DU428)</f>
        <v>14.10433764222392</v>
      </c>
      <c r="DZ428" s="38">
        <f>MIN(1/N428*(4*AG428*(DW428-DX428)+(3*DX428+DY428)*K428)+EC428 -FJ428,MAX(J428,AJ428))</f>
        <v>514.35949137730222</v>
      </c>
      <c r="EA428" s="4">
        <f>DZ428/FF428</f>
        <v>1.0000870991778896</v>
      </c>
      <c r="EB428" s="4">
        <f>AG428/N428</f>
        <v>2.2360679774997898</v>
      </c>
      <c r="EC428" s="4">
        <f>MIN(EB$10*BB428)</f>
        <v>183.87800479033262</v>
      </c>
      <c r="EG428" s="4">
        <f>IF(U428&gt;1*N428,0.85,1)</f>
        <v>0.85</v>
      </c>
      <c r="EH428" s="4">
        <f>MIN(1,MAX(0.7,(1-0.1*(BZ428-1*N428)/N428)))</f>
        <v>0.8590000000000001</v>
      </c>
      <c r="EI428" s="4">
        <f>MIN(1,MAX(0.7,1-0.3*(PI()*AM428^2/4*AQ428*2-0.25*PI()/4*N428^2)/(PI()/4*N428^2)))</f>
        <v>0.7</v>
      </c>
      <c r="EJ428" s="4">
        <f>IF(EH428*EI428&lt;0.7,0.7,EH428*EI428)</f>
        <v>0.7</v>
      </c>
      <c r="EL428" s="4">
        <f>MIN(DU428/N428*3*K428+EM428-FJ428,MAX(J428,AJ428))</f>
        <v>808.59047700367478</v>
      </c>
      <c r="EM428" s="25">
        <f>13.3*Q428*K428^0.5*M428^0.5/X428/N428^2*(0.7+S428/5/K428)</f>
        <v>453.912840277226</v>
      </c>
      <c r="EO428" s="4">
        <f>EG428*EJ428</f>
        <v>0.59499999999999997</v>
      </c>
      <c r="EP428" s="4">
        <f>IF(N428&lt;22.2,1.1*5*(M428/30)^0.5,IF(N428&gt;=31.8,0.9*5*(M428/30)^0.5,1*5*(M428/30)^0.5))/EG428/EJ428</f>
        <v>14.719357433866572</v>
      </c>
      <c r="ES428" s="4">
        <f>ET428*N428</f>
        <v>35.497579142809165</v>
      </c>
      <c r="ET428" s="4">
        <f>AF428^0.5</f>
        <v>2.2360679774997898</v>
      </c>
      <c r="EU428" s="4">
        <f>MIN(EC428)/(4700*M428^0.5)/AE428*ES428</f>
        <v>3.9807684299989779E-2</v>
      </c>
      <c r="EX428" s="4">
        <f>EU428</f>
        <v>3.9807684299989779E-2</v>
      </c>
      <c r="EY428" s="4">
        <f>MIN(0.999, EX428/(0.3*(M428/30)^0.5))</f>
        <v>8.3330220688772799E-2</v>
      </c>
      <c r="EZ428" s="4">
        <f>EP428/1*EY428^0.4</f>
        <v>5.447658366751889</v>
      </c>
      <c r="FA428" s="4">
        <f>EP428/1.4*(1-EY428^1.4)/(1-EY428)</f>
        <v>11.115860587259149</v>
      </c>
      <c r="FB428" s="4">
        <f>MAX(0,DQ428*FB$9-ES428)</f>
        <v>60.133420857190821</v>
      </c>
      <c r="FC428" s="4">
        <f>MAX(0,DQ428-ES428-FB428)</f>
        <v>31.876999999999988</v>
      </c>
      <c r="FD428" s="4">
        <f>FC428/(1-0.3*(M428/30)^0.5)/200000/N428</f>
        <v>1.9223039030668792E-5</v>
      </c>
      <c r="FE428" s="4">
        <f>MAX(0.5*EP428, (1-2*FD428*(ES428*EZ428+FB428*FA428))/(1/EP428+FD428*FC428))</f>
        <v>14.104439167124125</v>
      </c>
      <c r="FF428" s="4">
        <f>MIN(4/N428*(1*EZ428*ES428+FA428*FB428+FC428*FE428)+EC428,MAX(J428,AJ428))</f>
        <v>514.31469499019204</v>
      </c>
      <c r="FO428" s="23">
        <f>IF(CU428&lt;0.6,0.6,IF(CU428&lt;0.8,0.8,IF(CU428&lt;1,1,IF(CU428&lt;1.2,1.2,IF(CU428&lt;1.4,1.4,IF(CU428&lt;1.6,1.6,IF(CU428&lt;1.8,1.8,IF(CU428&lt;2,2,2.2))))))))</f>
        <v>2.2000000000000002</v>
      </c>
      <c r="FP428" s="23">
        <f>IF(CV428&lt;0.6,0.6,IF(CV428&lt;0.8,0.8,IF(CV428&lt;1,1,IF(CV428&lt;1.2,1.2,IF(CV428&lt;1.4,1.4,IF(CV428&lt;1.6,1.6,IF(CV428&lt;1.8,1.8,IF(CV428&lt;2,2,2.2))))))))</f>
        <v>0.8</v>
      </c>
      <c r="FQ428" s="23">
        <f>IF(DA428&lt;0.6,0.6,IF(DA428&lt;0.8,0.8,IF(DA428&lt;1,1,IF(DA428&lt;1.2,1.2,IF(DA428&lt;1.4,1.4,IF(DA428&lt;1.6,1.6,IF(DA428&lt;1.8,1.8,IF(DA428&lt;2,2,2.2))))))))</f>
        <v>1.8</v>
      </c>
      <c r="FR428" s="23">
        <f>IF(CX428&lt;0.6,0.6,IF(CX428&lt;0.8,0.8,IF(CX428&lt;1,1,IF(CX428&lt;1.2,1.2,IF(CX428&lt;1.4,1.4,IF(CX428&lt;1.6,1.6,IF(CX428&lt;1.8,1.8,IF(CX428&lt;2,2,2.2))))))))</f>
        <v>2</v>
      </c>
      <c r="FS428" s="23">
        <f>IF(CY428&lt;0.6,0.6,IF(CY428&lt;0.8,0.8,IF(CY428&lt;1,1,IF(CY428&lt;1.2,1.2,IF(CY428&lt;1.4,1.4,IF(CY428&lt;1.6,1.6,IF(CY428&lt;1.8,1.8,IF(CY428&lt;2,2,2.2))))))))</f>
        <v>1.8</v>
      </c>
      <c r="FT428" s="23">
        <f>IF(CZ428&lt;0.6,0.6,IF(CZ428&lt;0.8,0.8,IF(CZ428&lt;1,1,IF(CZ428&lt;1.2,1.2,IF(CZ428&lt;1.4,1.4,IF(CZ428&lt;1.6,1.6,IF(CZ428&lt;1.8,1.8,IF(CZ428&lt;2,2,2.2))))))))</f>
        <v>1.2</v>
      </c>
      <c r="FU428" s="23">
        <f>IF(FS428&lt;1,1,0)</f>
        <v>0</v>
      </c>
      <c r="FV428" s="23"/>
      <c r="GF428" s="4">
        <f>IF(S428&gt;=2.5*25.4,1,1.25)</f>
        <v>1</v>
      </c>
      <c r="GG428" s="4">
        <f>IF(AO428&gt;1, 0.05*(18-MIN(8,(W428+N428)/N428))*(1-48000/MAX(60000,(J428*145))*(N428/25.4)^0.75*GH428), 1/12*(14-MIN(8,(W428+N428)/N428)))</f>
        <v>0.56465190210980853</v>
      </c>
      <c r="GH428" s="4">
        <f>MIN(0.3, AM428^2*PI()/4*2*AP428/(N428^2*PI()/4*X428))</f>
        <v>0.3</v>
      </c>
      <c r="GI428" s="4">
        <f>(K428/25.4)/(N428/25.4)^1.5/0.0024*(M428*145)^0.25/GF428/GG428/145</f>
        <v>529.86780187416116</v>
      </c>
    </row>
    <row r="429" spans="1:191" ht="12" customHeight="1" x14ac:dyDescent="0.3">
      <c r="A429" s="25">
        <v>186</v>
      </c>
      <c r="B429" s="24" t="s">
        <v>128</v>
      </c>
      <c r="C429" s="24">
        <v>2017</v>
      </c>
      <c r="D429" s="24" t="s">
        <v>309</v>
      </c>
      <c r="E429" s="24"/>
      <c r="F429" s="115" t="s">
        <v>791</v>
      </c>
      <c r="G429" s="109"/>
      <c r="H429" s="4" t="s">
        <v>312</v>
      </c>
      <c r="I429" s="5">
        <f>K429/N429</f>
        <v>4</v>
      </c>
      <c r="J429" s="7">
        <v>649</v>
      </c>
      <c r="K429" s="104">
        <f>4*N429</f>
        <v>127.2</v>
      </c>
      <c r="L429" s="7">
        <f>K429</f>
        <v>127.2</v>
      </c>
      <c r="M429" s="10">
        <v>129.9</v>
      </c>
      <c r="N429" s="21">
        <v>31.8</v>
      </c>
      <c r="O429" s="7">
        <f>K429/N429</f>
        <v>4</v>
      </c>
      <c r="P429" s="7">
        <f>L429/N429</f>
        <v>4</v>
      </c>
      <c r="Q429" s="7">
        <v>396</v>
      </c>
      <c r="R429" s="32">
        <f>S429/N429</f>
        <v>1</v>
      </c>
      <c r="S429" s="7">
        <f>1*N429</f>
        <v>31.8</v>
      </c>
      <c r="T429" s="32">
        <f>U429/N429</f>
        <v>1.3773584905660377</v>
      </c>
      <c r="U429" s="7">
        <f>171-L429</f>
        <v>43.8</v>
      </c>
      <c r="V429" s="32">
        <f>W429/N429</f>
        <v>8.4528301886792434</v>
      </c>
      <c r="W429" s="7">
        <f>Q429-2*N429-2*S429</f>
        <v>268.79999999999995</v>
      </c>
      <c r="X429" s="7">
        <v>2</v>
      </c>
      <c r="Y429" s="7">
        <f>AN429</f>
        <v>0</v>
      </c>
      <c r="Z429" s="32">
        <f>AA429/N429</f>
        <v>2.6666666666666665</v>
      </c>
      <c r="AA429" s="10">
        <f>2/3*K429</f>
        <v>84.8</v>
      </c>
      <c r="AB429" s="7">
        <f>MIN(S429/N429+0.5, W429/2/N429+0.5)</f>
        <v>1.5</v>
      </c>
      <c r="AC429" s="7">
        <f>S429/N429+0.5</f>
        <v>1.5</v>
      </c>
      <c r="AD429" s="7">
        <f>2040/510</f>
        <v>4</v>
      </c>
      <c r="AE429" s="7">
        <f>2040/510</f>
        <v>4</v>
      </c>
      <c r="AF429" s="7">
        <f>AE429+1</f>
        <v>5</v>
      </c>
      <c r="AG429" s="7">
        <f>N429*AF429^0.5</f>
        <v>71.106961684493314</v>
      </c>
      <c r="AH429" s="7">
        <f>J429</f>
        <v>649</v>
      </c>
      <c r="AI429" s="7">
        <v>11</v>
      </c>
      <c r="AJ429" s="7">
        <f>(714+700)/2</f>
        <v>707</v>
      </c>
      <c r="AK429" s="7"/>
      <c r="AL429" s="4">
        <f>CY429</f>
        <v>3.4872822367819616</v>
      </c>
      <c r="AM429" s="7">
        <v>0</v>
      </c>
      <c r="AN429" s="7">
        <v>0</v>
      </c>
      <c r="AO429" s="7">
        <f>L429</f>
        <v>127.2</v>
      </c>
      <c r="AP429" s="7"/>
      <c r="AQ429" s="7"/>
      <c r="AR429" s="7">
        <f>3*AS429/(W429+N429)</f>
        <v>1.2694610778443116</v>
      </c>
      <c r="AS429" s="4">
        <f>K429</f>
        <v>127.2</v>
      </c>
      <c r="AT429" s="4">
        <f>IF(K429*3&gt;W429+N429, Q429, (S429+N429/2)*2+1.5*K429*(2*X429-2))*(3*K429)/(9*K429^2)</f>
        <v>1.0377358490566038</v>
      </c>
      <c r="AU429" s="4">
        <f>MIN(10*M429^0.5*K429^1.5,100*3.9*M429^0.5*K429^(5/3))/(PI()/4*N429^2)/X429</f>
        <v>102.93453939452981</v>
      </c>
      <c r="AV429" s="4">
        <f>MIN(0.7+0.3*(MIN(S429,AA429)+0.5*N429)/1.5/K429,1)</f>
        <v>0.77499999999999991</v>
      </c>
      <c r="AW429" s="4">
        <v>1.25</v>
      </c>
      <c r="AX429" s="47">
        <f>AX428</f>
        <v>1</v>
      </c>
      <c r="AY429" s="38">
        <f>AT429*AV429*AW429*AX429*AU429</f>
        <v>103.48077220971302</v>
      </c>
      <c r="AZ429" s="38">
        <f>AY429</f>
        <v>103.48077220971302</v>
      </c>
      <c r="BA429" s="38">
        <f>IF(M429&lt;50, 0.3*M429^(2/3), 2.12*LN(1+0.1*(M429+8)))</f>
        <v>5.7111767066521422</v>
      </c>
      <c r="BB429" s="38">
        <f>AX429* (M429^0.5/AS429^0.5)/(PI()/4*N429^2)/X429/0.72 *(0.7+(MIN(S429,AA429)+0.5*N429)/5/K429) *(3*Q429*K429)</f>
        <v>103.48077220971308</v>
      </c>
      <c r="BC429" s="38">
        <f>AY429/BB429</f>
        <v>0.99999999999999944</v>
      </c>
      <c r="BD429" s="38">
        <f>BH429/BB429</f>
        <v>7.5318340147334419</v>
      </c>
      <c r="BE429" s="4">
        <f>IF(BD429&lt;1,1,0)</f>
        <v>0</v>
      </c>
      <c r="BF429" s="4">
        <f>L429/N429*M429^0.5/0.19</f>
        <v>239.94459194200661</v>
      </c>
      <c r="BG429" s="4">
        <f>MIN(0.6+0.4*(AC429/AB429),2)</f>
        <v>1</v>
      </c>
      <c r="BH429" s="38">
        <f>2*M429*AB429*AD429^0.5*BG429*0.7/0.7</f>
        <v>779.40000000000009</v>
      </c>
      <c r="BI429" s="4">
        <f>MAX(1-0.7*AE429/5,0.3)</f>
        <v>0.44000000000000006</v>
      </c>
      <c r="BJ429" s="4">
        <f>BI429*J429*L429/(J429*N429/2.75/M429^0.5)</f>
        <v>55.163261687467333</v>
      </c>
      <c r="BK429" s="4">
        <f>BH429+BJ429</f>
        <v>834.56326168746739</v>
      </c>
      <c r="BM429" s="4">
        <f>MIN(1.5, 0.75+0.25*MIN(3,MAX(1,S429/N429))+0.4*MIN(1,(40*2*PI()*AM429^2/4/AO429/X429)/N429))</f>
        <v>1</v>
      </c>
      <c r="BN429" s="4">
        <f>(3*P429+30)*BM429*M429^0.5</f>
        <v>478.68946092430321</v>
      </c>
      <c r="BP429" s="4">
        <f>3.4/PI()^0.5*M429*AB429*AE429^0.5*BG429</f>
        <v>747.53991440910613</v>
      </c>
      <c r="BQ429" s="4">
        <f>8/3*AH429*AI429^2/(AG429-N429-22)/N429*(AG429^2-N429^2)/(AG429^2-(N429+22)^2)</f>
        <v>711.96329095823319</v>
      </c>
      <c r="BR429" s="4">
        <f>BQ429/BP429</f>
        <v>0.95240839617374207</v>
      </c>
      <c r="BZ429" s="4">
        <f>IF(W429=0,S429,MIN(W429/2,S429))</f>
        <v>31.8</v>
      </c>
      <c r="CD429" s="9"/>
      <c r="CF429" s="9"/>
      <c r="CG429" s="9"/>
      <c r="CH429" s="9">
        <f>IF(W429=0,MIN(S429,U429),MIN(W429/2,S429,U429))</f>
        <v>31.8</v>
      </c>
      <c r="CI429" s="9">
        <f>MAX(W429/2,S429)</f>
        <v>134.39999999999998</v>
      </c>
      <c r="CJ429" s="9">
        <f>(CH429/N429)^0.5*(CI429/CH429)^0.15</f>
        <v>1.2413544982455165</v>
      </c>
      <c r="CK429" s="70">
        <v>0</v>
      </c>
      <c r="CL429" s="9">
        <f>MIN(PI()*AM429^2/4*AN429*2/X429/N429/MAX(0.01,AO429),0.05)</f>
        <v>0</v>
      </c>
      <c r="CM429" s="9">
        <f>MAX(0,CK429*(CL429-0.5/50))</f>
        <v>0</v>
      </c>
      <c r="CN429" s="9">
        <f>MIN(1,(25/N429)^0.3)</f>
        <v>0.93036607665491811</v>
      </c>
      <c r="CO429" s="9">
        <f>IF(J429&gt;=800,0.68,IF(J429&gt;=700,0.75-(J429-700)*0.07/100,IF(J429&gt;=600,0.85-(J429-600)*0.1/100,IF(J429&gt;=500,1-(J429-500)*0.15/100,1.2-(J429-400)*0.2/100))))</f>
        <v>0.80099999999999993</v>
      </c>
      <c r="CP429" s="9">
        <f>1.75*CN429*CO429*(M429/25)^0.5</f>
        <v>2.9727542082721463</v>
      </c>
      <c r="CQ429" s="9">
        <f>MIN((CJ429+CM429)*CP429,2.5*CP429,M429^0.5)</f>
        <v>3.6902418086169178</v>
      </c>
      <c r="CR429" s="9">
        <v>1</v>
      </c>
      <c r="CS429" s="9">
        <f>4*CQ429*P429+60*CQ429</f>
        <v>280.45837745488575</v>
      </c>
      <c r="CU429" s="4">
        <f>AJ429/BF429</f>
        <v>2.9465135858151714</v>
      </c>
      <c r="CV429" s="4">
        <f>AJ429/BK429</f>
        <v>0.84714967990618539</v>
      </c>
      <c r="CW429" s="4">
        <f>AJ429/BN429</f>
        <v>1.476949165822141</v>
      </c>
      <c r="CX429" s="4">
        <f>AJ429/CS429</f>
        <v>2.5208731734666308</v>
      </c>
      <c r="CY429" s="44">
        <f>AJ429/DZ429</f>
        <v>3.4872822367819616</v>
      </c>
      <c r="CZ429" s="4">
        <f>AJ429/EL429</f>
        <v>1.1179242582161224</v>
      </c>
      <c r="DA429" s="4">
        <f>AJ429/GI429</f>
        <v>3.6717330366569469</v>
      </c>
      <c r="DC429" s="4">
        <f>CU429</f>
        <v>2.9465135858151714</v>
      </c>
      <c r="DD429" s="4">
        <f>CV429</f>
        <v>0.84714967990618539</v>
      </c>
      <c r="DE429" s="4">
        <f>CX429</f>
        <v>2.5208731734666308</v>
      </c>
      <c r="DF429" s="4">
        <f>DA429</f>
        <v>3.6717330366569469</v>
      </c>
      <c r="DG429" s="4">
        <f>CY429</f>
        <v>3.4872822367819616</v>
      </c>
      <c r="DH429" s="4">
        <f>CZ429</f>
        <v>1.1179242582161224</v>
      </c>
      <c r="DP429" s="4">
        <f>AN429</f>
        <v>0</v>
      </c>
      <c r="DQ429" s="4">
        <f>L429</f>
        <v>127.2</v>
      </c>
      <c r="DT429" s="4">
        <f>K429/4/(1-0.3*(M429/30)^0.5)/200000/N429</f>
        <v>1.3307058507295954E-5</v>
      </c>
      <c r="DU429" s="4">
        <f>EP429</f>
        <v>11.016345201186075</v>
      </c>
      <c r="DV429" s="4">
        <f>EC429*AG429/257/M429/AD429</f>
        <v>5.5102273408442357E-2</v>
      </c>
      <c r="DW429" s="4">
        <f>DU429*DV429^0.4</f>
        <v>3.4554558083585571</v>
      </c>
      <c r="DX429" s="4">
        <f>MIN(DU429, DU429/1.4*(1-DV429^1.4)/(1-DV429))</f>
        <v>8.1837592621452515</v>
      </c>
      <c r="DY429" s="4">
        <f>MAX(DU429/2, (4-DT429*(8*AG429*(DW429-DX429)+6*K429*DX429))/(4+DT429*K429*DU429)*DU429)</f>
        <v>10.835505459786312</v>
      </c>
      <c r="DZ429" s="38">
        <f>MIN(1/N429*(4*AG429*(DW429-DX429)+(3*DX429+DY429)*K429)+EC429 -FJ429,MAX(J429,AJ429))</f>
        <v>202.73667343094502</v>
      </c>
      <c r="EA429" s="4">
        <f>DZ429/FF429</f>
        <v>1.0001077519918364</v>
      </c>
      <c r="EB429" s="4">
        <f>AG429/N429</f>
        <v>2.2360679774997898</v>
      </c>
      <c r="EC429" s="4">
        <f>MIN(EB$10*BB429)</f>
        <v>103.48077220971308</v>
      </c>
      <c r="EG429" s="4">
        <f>IF(U429&gt;1*N429,0.85,1)</f>
        <v>0.85</v>
      </c>
      <c r="EH429" s="4">
        <f>MIN(1,MAX(0.7,(1-0.1*(BZ429-1*N429)/N429)))</f>
        <v>1</v>
      </c>
      <c r="EI429" s="4">
        <f>MIN(1,MAX(0.7,1-0.3*(PI()*AM429^2/4*AQ429*2-0.25*PI()/4*N429^2)/(PI()/4*N429^2)))</f>
        <v>1</v>
      </c>
      <c r="EJ429" s="4">
        <f>IF(EH429*EI429&lt;0.7,0.7,EH429*EI429)</f>
        <v>1</v>
      </c>
      <c r="EL429" s="4">
        <f>MIN(DU429/N429*3*K429+EM429-FJ429,MAX(J429,AJ429))</f>
        <v>632.4220937187315</v>
      </c>
      <c r="EM429" s="25">
        <f>26.5*Q429*K429^0.5*M429^0.5/X429/N429^2*(0.7+S429/5/K429)</f>
        <v>500.22595130449861</v>
      </c>
      <c r="EP429" s="4">
        <f>IF(N429&lt;22.2,1.1*5*(M429/30)^0.5,IF(N429&gt;=31.8,0.9*5*(M429/30)^0.5,1*5*(M429/30)^0.5))/EG429/EJ429</f>
        <v>11.016345201186075</v>
      </c>
      <c r="ES429" s="4">
        <f>ET429*N429</f>
        <v>71.106961684493314</v>
      </c>
      <c r="ET429" s="4">
        <f>AF429^0.5</f>
        <v>2.2360679774997898</v>
      </c>
      <c r="EU429" s="4">
        <f>MIN(EC429)/(4700*M429^0.5)/AE429*ES429</f>
        <v>3.4340716977066088E-2</v>
      </c>
      <c r="EX429" s="4">
        <f>EU429</f>
        <v>3.4340716977066088E-2</v>
      </c>
      <c r="EY429" s="4">
        <f>MIN(0.999, EX429/(0.3*(M429/30)^0.5))</f>
        <v>5.5010317983791392E-2</v>
      </c>
      <c r="EZ429" s="4">
        <f>EP429/1*EY429^0.4</f>
        <v>3.4531480478477445</v>
      </c>
      <c r="FA429" s="4">
        <f>EP429/1.4*(1-EY429^1.4)/(1-EY429)</f>
        <v>8.1832990462846187</v>
      </c>
      <c r="FB429" s="4">
        <f>MAX(0,DQ429*FB$9-ES429)</f>
        <v>24.293038315506692</v>
      </c>
      <c r="FC429" s="4">
        <f>MAX(0,DQ429-ES429-FB429)</f>
        <v>31.799999999999997</v>
      </c>
      <c r="FD429" s="4">
        <f>FC429/(1-0.3*(M429/30)^0.5)/200000/N429</f>
        <v>1.330705850729595E-5</v>
      </c>
      <c r="FE429" s="4">
        <f>MAX(0.5*EP429, (1-2*FD429*(ES429*EZ429+FB429*FA429))/(1/EP429+FD429*FC429))</f>
        <v>10.835556611107076</v>
      </c>
      <c r="FF429" s="4">
        <f>MIN(4/N429*(1*EZ429*ES429+FA429*FB429+FC429*FE429)+EC429,MAX(J429,AJ429))</f>
        <v>202.7148305041834</v>
      </c>
      <c r="FO429" s="23">
        <f>IF(CU429&lt;0.6,0.6,IF(CU429&lt;0.8,0.8,IF(CU429&lt;1,1,IF(CU429&lt;1.2,1.2,IF(CU429&lt;1.4,1.4,IF(CU429&lt;1.6,1.6,IF(CU429&lt;1.8,1.8,IF(CU429&lt;2,2,2.2))))))))</f>
        <v>2.2000000000000002</v>
      </c>
      <c r="FP429" s="23">
        <f>IF(CV429&lt;0.6,0.6,IF(CV429&lt;0.8,0.8,IF(CV429&lt;1,1,IF(CV429&lt;1.2,1.2,IF(CV429&lt;1.4,1.4,IF(CV429&lt;1.6,1.6,IF(CV429&lt;1.8,1.8,IF(CV429&lt;2,2,2.2))))))))</f>
        <v>1</v>
      </c>
      <c r="FQ429" s="23">
        <f>IF(DA429&lt;0.6,0.6,IF(DA429&lt;0.8,0.8,IF(DA429&lt;1,1,IF(DA429&lt;1.2,1.2,IF(DA429&lt;1.4,1.4,IF(DA429&lt;1.6,1.6,IF(DA429&lt;1.8,1.8,IF(DA429&lt;2,2,2.2))))))))</f>
        <v>2.2000000000000002</v>
      </c>
      <c r="FR429" s="23">
        <f>IF(CX429&lt;0.6,0.6,IF(CX429&lt;0.8,0.8,IF(CX429&lt;1,1,IF(CX429&lt;1.2,1.2,IF(CX429&lt;1.4,1.4,IF(CX429&lt;1.6,1.6,IF(CX429&lt;1.8,1.8,IF(CX429&lt;2,2,2.2))))))))</f>
        <v>2.2000000000000002</v>
      </c>
      <c r="FS429" s="23">
        <f>IF(CY429&lt;0.6,0.6,IF(CY429&lt;0.8,0.8,IF(CY429&lt;1,1,IF(CY429&lt;1.2,1.2,IF(CY429&lt;1.4,1.4,IF(CY429&lt;1.6,1.6,IF(CY429&lt;1.8,1.8,IF(CY429&lt;2,2,2.2))))))))</f>
        <v>2.2000000000000002</v>
      </c>
      <c r="FT429" s="23">
        <f>IF(CZ429&lt;0.6,0.6,IF(CZ429&lt;0.8,0.8,IF(CZ429&lt;1,1,IF(CZ429&lt;1.2,1.2,IF(CZ429&lt;1.4,1.4,IF(CZ429&lt;1.6,1.6,IF(CZ429&lt;1.8,1.8,IF(CZ429&lt;2,2,2.2))))))))</f>
        <v>1.2</v>
      </c>
      <c r="FU429" s="23">
        <f>IF(FS429&lt;1,1,0)</f>
        <v>0</v>
      </c>
      <c r="FV429" s="23"/>
      <c r="GF429" s="4">
        <f>IF(S429&gt;=2.5*25.4,1,1.25)</f>
        <v>1.25</v>
      </c>
      <c r="GG429" s="4">
        <f>IF(AO429&gt;1, 0.05*(18-MIN(8,(W429+N429)/N429))*(1-48000/MAX(60000,(J429*145))*(N429/25.4)^0.75*GH429), 1/12*(14-MIN(8,(W429+N429)/N429)))</f>
        <v>0.5</v>
      </c>
      <c r="GH429" s="4">
        <f>MIN(0.3, AM429^2*PI()/4*2*AP429/(N429^2*PI()/4*X429))</f>
        <v>0</v>
      </c>
      <c r="GI429" s="4">
        <f>(K429/25.4)/(N429/25.4)^1.5/0.0024*(M429*145)^0.25/GF429/GG429/145</f>
        <v>192.55212537012548</v>
      </c>
    </row>
    <row r="430" spans="1:191" ht="12" customHeight="1" x14ac:dyDescent="0.3">
      <c r="A430" s="25">
        <v>187</v>
      </c>
      <c r="B430" s="24" t="s">
        <v>128</v>
      </c>
      <c r="C430" s="24">
        <v>2017</v>
      </c>
      <c r="D430" s="24" t="s">
        <v>309</v>
      </c>
      <c r="E430" s="24"/>
      <c r="F430" s="115" t="s">
        <v>791</v>
      </c>
      <c r="G430" s="109"/>
      <c r="H430" s="4" t="s">
        <v>154</v>
      </c>
      <c r="I430" s="5">
        <f>K430/N430</f>
        <v>4</v>
      </c>
      <c r="J430" s="7">
        <v>649</v>
      </c>
      <c r="K430" s="104">
        <f>4*N430</f>
        <v>127.2</v>
      </c>
      <c r="L430" s="7">
        <f>K430</f>
        <v>127.2</v>
      </c>
      <c r="M430" s="10">
        <v>129.9</v>
      </c>
      <c r="N430" s="21">
        <v>31.8</v>
      </c>
      <c r="O430" s="7">
        <f>K430/N430</f>
        <v>4</v>
      </c>
      <c r="P430" s="7">
        <f>L430/N430</f>
        <v>4</v>
      </c>
      <c r="Q430" s="7">
        <v>396</v>
      </c>
      <c r="R430" s="32">
        <f>S430/N430</f>
        <v>1</v>
      </c>
      <c r="S430" s="7">
        <f>1*N430</f>
        <v>31.8</v>
      </c>
      <c r="T430" s="32">
        <f>U430/N430</f>
        <v>1.3773584905660377</v>
      </c>
      <c r="U430" s="7">
        <f>171-L430</f>
        <v>43.8</v>
      </c>
      <c r="V430" s="32">
        <f>W430/N430</f>
        <v>8.4528301886792434</v>
      </c>
      <c r="W430" s="7">
        <f>Q430-2*N430-2*S430</f>
        <v>268.79999999999995</v>
      </c>
      <c r="X430" s="7">
        <v>2</v>
      </c>
      <c r="Y430" s="7">
        <f>AN430</f>
        <v>0</v>
      </c>
      <c r="Z430" s="32">
        <f>AA430/N430</f>
        <v>2.6666666666666665</v>
      </c>
      <c r="AA430" s="10">
        <f>2/3*K430</f>
        <v>84.8</v>
      </c>
      <c r="AB430" s="7">
        <f>MIN(S430/N430+0.5, W430/2/N430+0.5)</f>
        <v>1.5</v>
      </c>
      <c r="AC430" s="7">
        <f>S430/N430+0.5</f>
        <v>1.5</v>
      </c>
      <c r="AD430" s="7">
        <f>2040/510</f>
        <v>4</v>
      </c>
      <c r="AE430" s="7">
        <f>2040/510</f>
        <v>4</v>
      </c>
      <c r="AF430" s="7">
        <f>AE430+1</f>
        <v>5</v>
      </c>
      <c r="AG430" s="7">
        <f>N430*AF430^0.5</f>
        <v>71.106961684493314</v>
      </c>
      <c r="AH430" s="7">
        <f>J430</f>
        <v>649</v>
      </c>
      <c r="AI430" s="7">
        <v>11</v>
      </c>
      <c r="AJ430" s="7">
        <f>(720+688)/2</f>
        <v>704</v>
      </c>
      <c r="AK430" s="7"/>
      <c r="AL430" s="4">
        <f>CY430</f>
        <v>3.4724847166824624</v>
      </c>
      <c r="AM430" s="7">
        <v>0</v>
      </c>
      <c r="AN430" s="7">
        <v>0</v>
      </c>
      <c r="AO430" s="7">
        <f>L430</f>
        <v>127.2</v>
      </c>
      <c r="AP430" s="7"/>
      <c r="AQ430" s="7"/>
      <c r="AR430" s="7">
        <f>3*AS430/(W430+N430)</f>
        <v>1.2694610778443116</v>
      </c>
      <c r="AS430" s="4">
        <f>K430</f>
        <v>127.2</v>
      </c>
      <c r="AT430" s="4">
        <f>IF(K430*3&gt;W430+N430, Q430, (S430+N430/2)*2+1.5*K430*(2*X430-2))*(3*K430)/(9*K430^2)</f>
        <v>1.0377358490566038</v>
      </c>
      <c r="AU430" s="4">
        <f>MIN(10*M430^0.5*K430^1.5,100*3.9*M430^0.5*K430^(5/3))/(PI()/4*N430^2)/X430</f>
        <v>102.93453939452981</v>
      </c>
      <c r="AV430" s="4">
        <f>MIN(0.7+0.3*(MIN(S430,AA430)+0.5*N430)/1.5/K430,1)</f>
        <v>0.77499999999999991</v>
      </c>
      <c r="AW430" s="4">
        <v>1.25</v>
      </c>
      <c r="AX430" s="47">
        <f>AX429</f>
        <v>1</v>
      </c>
      <c r="AY430" s="38">
        <f>AT430*AV430*AW430*AX430*AU430</f>
        <v>103.48077220971302</v>
      </c>
      <c r="AZ430" s="38">
        <f>AY430</f>
        <v>103.48077220971302</v>
      </c>
      <c r="BA430" s="38">
        <f>IF(M430&lt;50, 0.3*M430^(2/3), 2.12*LN(1+0.1*(M430+8)))</f>
        <v>5.7111767066521422</v>
      </c>
      <c r="BB430" s="38">
        <f>AX430* (M430^0.5/AS430^0.5)/(PI()/4*N430^2)/X430/0.72 *(0.7+(MIN(S430,AA430)+0.5*N430)/5/K430) *(3*Q430*K430)</f>
        <v>103.48077220971308</v>
      </c>
      <c r="BC430" s="38">
        <f>AY430/BB430</f>
        <v>0.99999999999999944</v>
      </c>
      <c r="BD430" s="38">
        <f>BH430/BB430</f>
        <v>7.5318340147334419</v>
      </c>
      <c r="BE430" s="4">
        <f>IF(BD430&lt;1,1,0)</f>
        <v>0</v>
      </c>
      <c r="BF430" s="4">
        <f>L430/N430*M430^0.5/0.19</f>
        <v>239.94459194200661</v>
      </c>
      <c r="BG430" s="4">
        <f>MIN(0.6+0.4*(AC430/AB430),2)</f>
        <v>1</v>
      </c>
      <c r="BH430" s="38">
        <f>2*M430*AB430*AD430^0.5*BG430*0.7/0.7</f>
        <v>779.40000000000009</v>
      </c>
      <c r="BI430" s="4">
        <f>MAX(1-0.7*AE430/5,0.3)</f>
        <v>0.44000000000000006</v>
      </c>
      <c r="BJ430" s="4">
        <f>BI430*J430*L430/(J430*N430/2.75/M430^0.5)</f>
        <v>55.163261687467333</v>
      </c>
      <c r="BK430" s="4">
        <f>BH430+BJ430</f>
        <v>834.56326168746739</v>
      </c>
      <c r="BM430" s="4">
        <f>MIN(1.5, 0.75+0.25*MIN(3,MAX(1,S430/N430))+0.4*MIN(1,(40*2*PI()*AM430^2/4/AO430/X430)/N430))</f>
        <v>1</v>
      </c>
      <c r="BN430" s="4">
        <f>(3*P430+30)*BM430*M430^0.5</f>
        <v>478.68946092430321</v>
      </c>
      <c r="BP430" s="4">
        <f>3.4/PI()^0.5*M430*AB430*AE430^0.5*BG430</f>
        <v>747.53991440910613</v>
      </c>
      <c r="BQ430" s="4">
        <f>8/3*AH430*AI430^2/(AG430-N430-22)/N430*(AG430^2-N430^2)/(AG430^2-(N430+22)^2)</f>
        <v>711.96329095823319</v>
      </c>
      <c r="BR430" s="4">
        <f>BQ430/BP430</f>
        <v>0.95240839617374207</v>
      </c>
      <c r="BZ430" s="4">
        <f>IF(W430=0,S430,MIN(W430/2,S430))</f>
        <v>31.8</v>
      </c>
      <c r="CD430" s="9"/>
      <c r="CF430" s="9"/>
      <c r="CG430" s="9"/>
      <c r="CH430" s="9">
        <f>IF(W430=0,MIN(S430,U430),MIN(W430/2,S430,U430))</f>
        <v>31.8</v>
      </c>
      <c r="CI430" s="9">
        <f>MAX(W430/2,S430)</f>
        <v>134.39999999999998</v>
      </c>
      <c r="CJ430" s="9">
        <f>(CH430/N430)^0.5*(CI430/CH430)^0.15</f>
        <v>1.2413544982455165</v>
      </c>
      <c r="CK430" s="70">
        <v>0</v>
      </c>
      <c r="CL430" s="9">
        <f>MIN(PI()*AM430^2/4*AN430*2/X430/N430/MAX(0.01,AO430),0.05)</f>
        <v>0</v>
      </c>
      <c r="CM430" s="9">
        <f>MAX(0,CK430*(CL430-0.5/50))</f>
        <v>0</v>
      </c>
      <c r="CN430" s="9">
        <f>MIN(1,(25/N430)^0.3)</f>
        <v>0.93036607665491811</v>
      </c>
      <c r="CO430" s="9">
        <f>IF(J430&gt;=800,0.68,IF(J430&gt;=700,0.75-(J430-700)*0.07/100,IF(J430&gt;=600,0.85-(J430-600)*0.1/100,IF(J430&gt;=500,1-(J430-500)*0.15/100,1.2-(J430-400)*0.2/100))))</f>
        <v>0.80099999999999993</v>
      </c>
      <c r="CP430" s="9">
        <f>1.75*CN430*CO430*(M430/25)^0.5</f>
        <v>2.9727542082721463</v>
      </c>
      <c r="CQ430" s="9">
        <f>MIN((CJ430+CM430)*CP430,2.5*CP430,M430^0.5)</f>
        <v>3.6902418086169178</v>
      </c>
      <c r="CR430" s="9">
        <v>1</v>
      </c>
      <c r="CS430" s="9">
        <f>4*CQ430*P430+60*CQ430</f>
        <v>280.45837745488575</v>
      </c>
      <c r="CU430" s="4">
        <f>AJ430/BF430</f>
        <v>2.9340106993124198</v>
      </c>
      <c r="CV430" s="4">
        <f>AJ430/BK430</f>
        <v>0.84355498536627227</v>
      </c>
      <c r="CW430" s="4">
        <f>AJ430/BN430</f>
        <v>1.4706820547931927</v>
      </c>
      <c r="CX430" s="4">
        <f>AJ430/CS430</f>
        <v>2.5101763990389081</v>
      </c>
      <c r="CY430" s="44">
        <f>AJ430/DZ430</f>
        <v>3.4724847166824624</v>
      </c>
      <c r="CZ430" s="4">
        <f>AJ430/EL430</f>
        <v>1.1131805909252479</v>
      </c>
      <c r="DA430" s="4">
        <f>AJ430/GI430</f>
        <v>3.6561528398960266</v>
      </c>
      <c r="DC430" s="4">
        <f>CU430</f>
        <v>2.9340106993124198</v>
      </c>
      <c r="DD430" s="4">
        <f>CV430</f>
        <v>0.84355498536627227</v>
      </c>
      <c r="DE430" s="4">
        <f>CX430</f>
        <v>2.5101763990389081</v>
      </c>
      <c r="DF430" s="4">
        <f>DA430</f>
        <v>3.6561528398960266</v>
      </c>
      <c r="DG430" s="4">
        <f>CY430</f>
        <v>3.4724847166824624</v>
      </c>
      <c r="DH430" s="4">
        <f>CZ430</f>
        <v>1.1131805909252479</v>
      </c>
      <c r="DP430" s="4">
        <f>AN430</f>
        <v>0</v>
      </c>
      <c r="DQ430" s="4">
        <f>L430</f>
        <v>127.2</v>
      </c>
      <c r="DT430" s="4">
        <f>K430/4/(1-0.3*(M430/30)^0.5)/200000/N430</f>
        <v>1.3307058507295954E-5</v>
      </c>
      <c r="DU430" s="4">
        <f>EP430</f>
        <v>11.016345201186075</v>
      </c>
      <c r="DV430" s="4">
        <f>EC430*AG430/257/M430/AD430</f>
        <v>5.5102273408442357E-2</v>
      </c>
      <c r="DW430" s="4">
        <f>DU430*DV430^0.4</f>
        <v>3.4554558083585571</v>
      </c>
      <c r="DX430" s="4">
        <f>MIN(DU430, DU430/1.4*(1-DV430^1.4)/(1-DV430))</f>
        <v>8.1837592621452515</v>
      </c>
      <c r="DY430" s="4">
        <f>MAX(DU430/2, (4-DT430*(8*AG430*(DW430-DX430)+6*K430*DX430))/(4+DT430*K430*DU430)*DU430)</f>
        <v>10.835505459786312</v>
      </c>
      <c r="DZ430" s="38">
        <f>MIN(1/N430*(4*AG430*(DW430-DX430)+(3*DX430+DY430)*K430)+EC430 -FJ430,MAX(J430,AJ430))</f>
        <v>202.73667343094502</v>
      </c>
      <c r="EA430" s="4">
        <f>DZ430/FF430</f>
        <v>1.0001077519918364</v>
      </c>
      <c r="EB430" s="4">
        <f>AG430/N430</f>
        <v>2.2360679774997898</v>
      </c>
      <c r="EC430" s="4">
        <f>MIN(EB$10*BB430)</f>
        <v>103.48077220971308</v>
      </c>
      <c r="EG430" s="4">
        <f>IF(U430&gt;1*N430,0.85,1)</f>
        <v>0.85</v>
      </c>
      <c r="EH430" s="4">
        <f>MIN(1,MAX(0.7,(1-0.1*(BZ430-1*N430)/N430)))</f>
        <v>1</v>
      </c>
      <c r="EI430" s="4">
        <f>MIN(1,MAX(0.7,1-0.3*(PI()*AM430^2/4*AQ430*2-0.25*PI()/4*N430^2)/(PI()/4*N430^2)))</f>
        <v>1</v>
      </c>
      <c r="EJ430" s="4">
        <f>IF(EH430*EI430&lt;0.7,0.7,EH430*EI430)</f>
        <v>1</v>
      </c>
      <c r="EL430" s="4">
        <f>MIN(DU430/N430*3*K430+EM430-FJ430,MAX(J430,AJ430))</f>
        <v>632.4220937187315</v>
      </c>
      <c r="EM430" s="25">
        <f>26.5*Q430*K430^0.5*M430^0.5/X430/N430^2*(0.7+S430/5/K430)</f>
        <v>500.22595130449861</v>
      </c>
      <c r="EP430" s="4">
        <f>IF(N430&lt;22.2,1.1*5*(M430/30)^0.5,IF(N430&gt;=31.8,0.9*5*(M430/30)^0.5,1*5*(M430/30)^0.5))/EG430/EJ430</f>
        <v>11.016345201186075</v>
      </c>
      <c r="ES430" s="4">
        <f>ET430*N430</f>
        <v>71.106961684493314</v>
      </c>
      <c r="ET430" s="4">
        <f>AF430^0.5</f>
        <v>2.2360679774997898</v>
      </c>
      <c r="EU430" s="4">
        <f>MIN(EC430)/(4700*M430^0.5)/AE430*ES430</f>
        <v>3.4340716977066088E-2</v>
      </c>
      <c r="EX430" s="4">
        <f>EU430</f>
        <v>3.4340716977066088E-2</v>
      </c>
      <c r="EY430" s="4">
        <f>MIN(0.999, EX430/(0.3*(M430/30)^0.5))</f>
        <v>5.5010317983791392E-2</v>
      </c>
      <c r="EZ430" s="4">
        <f>EP430/1*EY430^0.4</f>
        <v>3.4531480478477445</v>
      </c>
      <c r="FA430" s="4">
        <f>EP430/1.4*(1-EY430^1.4)/(1-EY430)</f>
        <v>8.1832990462846187</v>
      </c>
      <c r="FB430" s="4">
        <f>MAX(0,DQ430*FB$9-ES430)</f>
        <v>24.293038315506692</v>
      </c>
      <c r="FC430" s="4">
        <f>MAX(0,DQ430-ES430-FB430)</f>
        <v>31.799999999999997</v>
      </c>
      <c r="FD430" s="4">
        <f>FC430/(1-0.3*(M430/30)^0.5)/200000/N430</f>
        <v>1.330705850729595E-5</v>
      </c>
      <c r="FE430" s="4">
        <f>MAX(0.5*EP430, (1-2*FD430*(ES430*EZ430+FB430*FA430))/(1/EP430+FD430*FC430))</f>
        <v>10.835556611107076</v>
      </c>
      <c r="FF430" s="4">
        <f>MIN(4/N430*(1*EZ430*ES430+FA430*FB430+FC430*FE430)+EC430,MAX(J430,AJ430))</f>
        <v>202.7148305041834</v>
      </c>
      <c r="FO430" s="23">
        <f>IF(CU430&lt;0.6,0.6,IF(CU430&lt;0.8,0.8,IF(CU430&lt;1,1,IF(CU430&lt;1.2,1.2,IF(CU430&lt;1.4,1.4,IF(CU430&lt;1.6,1.6,IF(CU430&lt;1.8,1.8,IF(CU430&lt;2,2,2.2))))))))</f>
        <v>2.2000000000000002</v>
      </c>
      <c r="FP430" s="23">
        <f>IF(CV430&lt;0.6,0.6,IF(CV430&lt;0.8,0.8,IF(CV430&lt;1,1,IF(CV430&lt;1.2,1.2,IF(CV430&lt;1.4,1.4,IF(CV430&lt;1.6,1.6,IF(CV430&lt;1.8,1.8,IF(CV430&lt;2,2,2.2))))))))</f>
        <v>1</v>
      </c>
      <c r="FQ430" s="23">
        <f>IF(DA430&lt;0.6,0.6,IF(DA430&lt;0.8,0.8,IF(DA430&lt;1,1,IF(DA430&lt;1.2,1.2,IF(DA430&lt;1.4,1.4,IF(DA430&lt;1.6,1.6,IF(DA430&lt;1.8,1.8,IF(DA430&lt;2,2,2.2))))))))</f>
        <v>2.2000000000000002</v>
      </c>
      <c r="FR430" s="23">
        <f>IF(CX430&lt;0.6,0.6,IF(CX430&lt;0.8,0.8,IF(CX430&lt;1,1,IF(CX430&lt;1.2,1.2,IF(CX430&lt;1.4,1.4,IF(CX430&lt;1.6,1.6,IF(CX430&lt;1.8,1.8,IF(CX430&lt;2,2,2.2))))))))</f>
        <v>2.2000000000000002</v>
      </c>
      <c r="FS430" s="23">
        <f>IF(CY430&lt;0.6,0.6,IF(CY430&lt;0.8,0.8,IF(CY430&lt;1,1,IF(CY430&lt;1.2,1.2,IF(CY430&lt;1.4,1.4,IF(CY430&lt;1.6,1.6,IF(CY430&lt;1.8,1.8,IF(CY430&lt;2,2,2.2))))))))</f>
        <v>2.2000000000000002</v>
      </c>
      <c r="FT430" s="23">
        <f>IF(CZ430&lt;0.6,0.6,IF(CZ430&lt;0.8,0.8,IF(CZ430&lt;1,1,IF(CZ430&lt;1.2,1.2,IF(CZ430&lt;1.4,1.4,IF(CZ430&lt;1.6,1.6,IF(CZ430&lt;1.8,1.8,IF(CZ430&lt;2,2,2.2))))))))</f>
        <v>1.2</v>
      </c>
      <c r="FU430" s="23">
        <f>IF(FS430&lt;1,1,0)</f>
        <v>0</v>
      </c>
      <c r="FV430" s="23"/>
      <c r="GF430" s="4">
        <f>IF(S430&gt;=2.5*25.4,1,1.25)</f>
        <v>1.25</v>
      </c>
      <c r="GG430" s="4">
        <f>IF(AO430&gt;1, 0.05*(18-MIN(8,(W430+N430)/N430))*(1-48000/MAX(60000,(J430*145))*(N430/25.4)^0.75*GH430), 1/12*(14-MIN(8,(W430+N430)/N430)))</f>
        <v>0.5</v>
      </c>
      <c r="GH430" s="4">
        <f>MIN(0.3, AM430^2*PI()/4*2*AP430/(N430^2*PI()/4*X430))</f>
        <v>0</v>
      </c>
      <c r="GI430" s="4">
        <f>(K430/25.4)/(N430/25.4)^1.5/0.0024*(M430*145)^0.25/GF430/GG430/145</f>
        <v>192.55212537012548</v>
      </c>
    </row>
    <row r="431" spans="1:191" ht="12" customHeight="1" x14ac:dyDescent="0.3">
      <c r="A431" s="25">
        <v>188</v>
      </c>
      <c r="B431" s="24" t="s">
        <v>128</v>
      </c>
      <c r="C431" s="24">
        <v>2017</v>
      </c>
      <c r="D431" s="24" t="s">
        <v>309</v>
      </c>
      <c r="E431" s="24"/>
      <c r="F431" s="115" t="s">
        <v>791</v>
      </c>
      <c r="G431" s="109"/>
      <c r="H431" s="4" t="s">
        <v>320</v>
      </c>
      <c r="I431" s="5">
        <f>K431/N431</f>
        <v>4</v>
      </c>
      <c r="J431" s="7">
        <v>649</v>
      </c>
      <c r="K431" s="104">
        <f>4*N431</f>
        <v>127.2</v>
      </c>
      <c r="L431" s="7">
        <f>K431</f>
        <v>127.2</v>
      </c>
      <c r="M431" s="10">
        <v>129.9</v>
      </c>
      <c r="N431" s="21">
        <v>31.8</v>
      </c>
      <c r="O431" s="7">
        <f>K431/N431</f>
        <v>4</v>
      </c>
      <c r="P431" s="7">
        <f>L431/N431</f>
        <v>4</v>
      </c>
      <c r="Q431" s="7">
        <v>428</v>
      </c>
      <c r="R431" s="32">
        <f>S431/N431</f>
        <v>1.5</v>
      </c>
      <c r="S431" s="7">
        <f>1.5*N431</f>
        <v>47.7</v>
      </c>
      <c r="T431" s="32">
        <f>U431/N431</f>
        <v>1.3773584905660377</v>
      </c>
      <c r="U431" s="7">
        <f>171-L431</f>
        <v>43.8</v>
      </c>
      <c r="V431" s="32">
        <f>W431/N431</f>
        <v>8.4591194968553456</v>
      </c>
      <c r="W431" s="7">
        <f>Q431-2*N431-2*S431</f>
        <v>269</v>
      </c>
      <c r="X431" s="7">
        <v>2</v>
      </c>
      <c r="Y431" s="7">
        <f>AN431</f>
        <v>0</v>
      </c>
      <c r="Z431" s="32">
        <f>AA431/N431</f>
        <v>2.6666666666666665</v>
      </c>
      <c r="AA431" s="10">
        <f>2/3*K431</f>
        <v>84.8</v>
      </c>
      <c r="AB431" s="7">
        <f>MIN(S431/N431+0.5, W431/2/N431+0.5)</f>
        <v>2</v>
      </c>
      <c r="AC431" s="7">
        <f>S431/N431+0.5</f>
        <v>2</v>
      </c>
      <c r="AD431" s="7">
        <f>2040/510</f>
        <v>4</v>
      </c>
      <c r="AE431" s="7">
        <f>2040/510</f>
        <v>4</v>
      </c>
      <c r="AF431" s="7">
        <f>AE431+1</f>
        <v>5</v>
      </c>
      <c r="AG431" s="7">
        <f>N431*AF431^0.5</f>
        <v>71.106961684493314</v>
      </c>
      <c r="AH431" s="7">
        <f>J431</f>
        <v>649</v>
      </c>
      <c r="AI431" s="7">
        <v>11</v>
      </c>
      <c r="AJ431" s="7">
        <f>(741+710)/2</f>
        <v>725.5</v>
      </c>
      <c r="AK431" s="7"/>
      <c r="AL431" s="4">
        <f>CY431</f>
        <v>3.2763843126979917</v>
      </c>
      <c r="AM431" s="7">
        <v>0</v>
      </c>
      <c r="AN431" s="7">
        <v>0</v>
      </c>
      <c r="AO431" s="7">
        <f>L431</f>
        <v>127.2</v>
      </c>
      <c r="AP431" s="7"/>
      <c r="AQ431" s="7"/>
      <c r="AR431" s="7">
        <f>3*AS431/(W431+N431)</f>
        <v>1.2686170212765957</v>
      </c>
      <c r="AS431" s="4">
        <f>K431</f>
        <v>127.2</v>
      </c>
      <c r="AT431" s="4">
        <f>IF(K431*3&gt;W431+N431, Q431, (S431+N431/2)*2+1.5*K431*(2*X431-2))*(3*K431)/(9*K431^2)</f>
        <v>1.1215932914046123</v>
      </c>
      <c r="AU431" s="4">
        <f>MIN(10*M431^0.5*K431^1.5,100*3.9*M431^0.5*K431^(5/3))/(PI()/4*N431^2)/X431</f>
        <v>102.93453939452981</v>
      </c>
      <c r="AV431" s="4">
        <f>MIN(0.7+0.3*(MIN(S431,AA431)+0.5*N431)/1.5/K431,1)</f>
        <v>0.79999999999999993</v>
      </c>
      <c r="AW431" s="4">
        <v>1.25</v>
      </c>
      <c r="AX431" s="47">
        <f>AX430</f>
        <v>1</v>
      </c>
      <c r="AY431" s="38">
        <f>AT431*AV431*AW431*AX431*AU431</f>
        <v>115.4506888387284</v>
      </c>
      <c r="AZ431" s="38">
        <f>AY431</f>
        <v>115.4506888387284</v>
      </c>
      <c r="BA431" s="38">
        <f>IF(M431&lt;50, 0.3*M431^(2/3), 2.12*LN(1+0.1*(M431+8)))</f>
        <v>5.7111767066521422</v>
      </c>
      <c r="BB431" s="38">
        <f>AX431* (M431^0.5/AS431^0.5)/(PI()/4*N431^2)/X431/0.72 *(0.7+(MIN(S431,AA431)+0.5*N431)/5/K431) *(3*Q431*K431)</f>
        <v>115.45068883872845</v>
      </c>
      <c r="BC431" s="38">
        <f>AY431/BB431</f>
        <v>0.99999999999999956</v>
      </c>
      <c r="BD431" s="38">
        <f>BH431/BB431</f>
        <v>9.001245557327465</v>
      </c>
      <c r="BE431" s="4">
        <f>IF(BD431&lt;1,1,0)</f>
        <v>0</v>
      </c>
      <c r="BF431" s="4">
        <f>L431/N431*M431^0.5/0.19</f>
        <v>239.94459194200661</v>
      </c>
      <c r="BG431" s="4">
        <f>MIN(0.6+0.4*(AC431/AB431),2)</f>
        <v>1</v>
      </c>
      <c r="BH431" s="38">
        <f>2*M431*AB431*AD431^0.5*BG431*0.7/0.7</f>
        <v>1039.2</v>
      </c>
      <c r="BI431" s="4">
        <f>MAX(1-0.7*AE431/5,0.3)</f>
        <v>0.44000000000000006</v>
      </c>
      <c r="BJ431" s="4">
        <f>BI431*J431*L431/(J431*N431/2.75/M431^0.5)</f>
        <v>55.163261687467333</v>
      </c>
      <c r="BK431" s="4">
        <f>BH431+BJ431</f>
        <v>1094.3632616874675</v>
      </c>
      <c r="BM431" s="4">
        <f>MIN(1.5, 0.75+0.25*MIN(3,MAX(1,S431/N431))+0.4*MIN(1,(40*2*PI()*AM431^2/4/AO431/X431)/N431))</f>
        <v>1.125</v>
      </c>
      <c r="BN431" s="4">
        <f>(3*P431+30)*BM431*M431^0.5</f>
        <v>538.5256435398411</v>
      </c>
      <c r="BP431" s="4">
        <f>3.4/PI()^0.5*M431*AB431*AE431^0.5*BG431</f>
        <v>996.71988587880821</v>
      </c>
      <c r="BQ431" s="4">
        <f>8/3*AH431*AI431^2/(AG431-N431-22)/N431*(AG431^2-N431^2)/(AG431^2-(N431+22)^2)</f>
        <v>711.96329095823319</v>
      </c>
      <c r="BR431" s="4">
        <f>BQ431/BP431</f>
        <v>0.71430629713030647</v>
      </c>
      <c r="BZ431" s="4">
        <f>IF(W431=0,S431,MIN(W431/2,S431))</f>
        <v>47.7</v>
      </c>
      <c r="CD431" s="9"/>
      <c r="CF431" s="9"/>
      <c r="CG431" s="9"/>
      <c r="CH431" s="9">
        <f>IF(W431=0,MIN(S431,U431),MIN(W431/2,S431,U431))</f>
        <v>43.8</v>
      </c>
      <c r="CI431" s="9">
        <f>MAX(W431/2,S431)</f>
        <v>134.5</v>
      </c>
      <c r="CJ431" s="9">
        <f>(CH431/N431)^0.5*(CI431/CH431)^0.15</f>
        <v>1.3887073091970812</v>
      </c>
      <c r="CK431" s="70">
        <v>0</v>
      </c>
      <c r="CL431" s="9">
        <f>MIN(PI()*AM431^2/4*AN431*2/X431/N431/MAX(0.01,AO431),0.05)</f>
        <v>0</v>
      </c>
      <c r="CM431" s="9">
        <f>MAX(0,CK431*(CL431-0.5/50))</f>
        <v>0</v>
      </c>
      <c r="CN431" s="9">
        <f>MIN(1,(25/N431)^0.3)</f>
        <v>0.93036607665491811</v>
      </c>
      <c r="CO431" s="9">
        <f>IF(J431&gt;=800,0.68,IF(J431&gt;=700,0.75-(J431-700)*0.07/100,IF(J431&gt;=600,0.85-(J431-600)*0.1/100,IF(J431&gt;=500,1-(J431-500)*0.15/100,1.2-(J431-400)*0.2/100))))</f>
        <v>0.80099999999999993</v>
      </c>
      <c r="CP431" s="9">
        <f>1.75*CN431*CO431*(M431/25)^0.5</f>
        <v>2.9727542082721463</v>
      </c>
      <c r="CQ431" s="9">
        <f>MIN((CJ431+CM431)*CP431,2.5*CP431,M431^0.5)</f>
        <v>4.1282854974739118</v>
      </c>
      <c r="CR431" s="9">
        <v>1</v>
      </c>
      <c r="CS431" s="9">
        <f>4*CQ431*P431+60*CQ431</f>
        <v>313.74969780801729</v>
      </c>
      <c r="CU431" s="4">
        <f>AJ431/BF431</f>
        <v>3.0236147192488074</v>
      </c>
      <c r="CV431" s="4">
        <f>AJ431/BK431</f>
        <v>0.66294257619842423</v>
      </c>
      <c r="CW431" s="4">
        <f>AJ431/BN431</f>
        <v>1.3471967560005826</v>
      </c>
      <c r="CX431" s="4">
        <f>AJ431/CS431</f>
        <v>2.3123528247792344</v>
      </c>
      <c r="CY431" s="44">
        <f>AJ431/DZ431</f>
        <v>3.2763843126979917</v>
      </c>
      <c r="CZ431" s="4">
        <f>AJ431/EL431</f>
        <v>1.0396608877230671</v>
      </c>
      <c r="DA431" s="4">
        <f>AJ431/GI431</f>
        <v>3.7678109166826239</v>
      </c>
      <c r="DC431" s="4">
        <f>CU431</f>
        <v>3.0236147192488074</v>
      </c>
      <c r="DD431" s="4">
        <f>CV431</f>
        <v>0.66294257619842423</v>
      </c>
      <c r="DE431" s="4">
        <f>CX431</f>
        <v>2.3123528247792344</v>
      </c>
      <c r="DF431" s="4">
        <f>DA431</f>
        <v>3.7678109166826239</v>
      </c>
      <c r="DG431" s="4">
        <f>CY431</f>
        <v>3.2763843126979917</v>
      </c>
      <c r="DH431" s="4">
        <f>CZ431</f>
        <v>1.0396608877230671</v>
      </c>
      <c r="DP431" s="4">
        <f>AN431</f>
        <v>0</v>
      </c>
      <c r="DQ431" s="4">
        <f>L431</f>
        <v>127.2</v>
      </c>
      <c r="DT431" s="4">
        <f>K431/4/(1-0.3*(M431/30)^0.5)/200000/N431</f>
        <v>1.3307058507295954E-5</v>
      </c>
      <c r="DU431" s="4">
        <f>EP431</f>
        <v>11.596152843353764</v>
      </c>
      <c r="DV431" s="4">
        <f>EC431*AG431/257/M431/AD431</f>
        <v>6.1476110834313015E-2</v>
      </c>
      <c r="DW431" s="4">
        <f>DU431*DV431^0.4</f>
        <v>3.8001127719780743</v>
      </c>
      <c r="DX431" s="4">
        <f>MIN(DU431, DU431/1.4*(1-DV431^1.4)/(1-DV431))</f>
        <v>8.6477262102525305</v>
      </c>
      <c r="DY431" s="4">
        <f>MAX(DU431/2, (4-DT431*(8*AG431*(DW431-DX431)+6*K431*DX431))/(4+DT431*K431*DU431)*DU431)</f>
        <v>11.3920222843144</v>
      </c>
      <c r="DZ431" s="38">
        <f>MIN(1/N431*(4*AG431*(DW431-DX431)+(3*DX431+DY431)*K431)+EC431 -FJ431,MAX(J431,AJ431))</f>
        <v>221.43311979252377</v>
      </c>
      <c r="EA431" s="4">
        <f>DZ431/FF431</f>
        <v>1.0001087671535449</v>
      </c>
      <c r="EB431" s="4">
        <f>AG431/N431</f>
        <v>2.2360679774997898</v>
      </c>
      <c r="EC431" s="4">
        <f>MIN(EB$10*BB431)</f>
        <v>115.45068883872845</v>
      </c>
      <c r="EG431" s="4">
        <f>IF(U431&gt;1*N431,0.85,1)</f>
        <v>0.85</v>
      </c>
      <c r="EH431" s="4">
        <f>MIN(1,MAX(0.7,(1-0.1*(BZ431-1*N431)/N431)))</f>
        <v>0.95</v>
      </c>
      <c r="EI431" s="4">
        <f>MIN(1,MAX(0.7,1-0.3*(PI()*AM431^2/4*AQ431*2-0.25*PI()/4*N431^2)/(PI()/4*N431^2)))</f>
        <v>1</v>
      </c>
      <c r="EJ431" s="4">
        <f>IF(EH431*EI431&lt;0.7,0.7,EH431*EI431)</f>
        <v>0.95</v>
      </c>
      <c r="EL431" s="4">
        <f>MIN(DU431/N431*3*K431+EM431-FJ431,MAX(J431,AJ431))</f>
        <v>697.82369286671712</v>
      </c>
      <c r="EM431" s="25">
        <f>26.5*Q431*K431^0.5*M431^0.5/X431/N431^2*(0.7+S431/5/K431)</f>
        <v>558.66985874647196</v>
      </c>
      <c r="EP431" s="4">
        <f>IF(N431&lt;22.2,1.1*5*(M431/30)^0.5,IF(N431&gt;=31.8,0.9*5*(M431/30)^0.5,1*5*(M431/30)^0.5))/EG431/EJ431</f>
        <v>11.596152843353764</v>
      </c>
      <c r="ES431" s="4">
        <f>ET431*N431</f>
        <v>71.106961684493314</v>
      </c>
      <c r="ET431" s="4">
        <f>AF431^0.5</f>
        <v>2.2360679774997898</v>
      </c>
      <c r="EU431" s="4">
        <f>MIN(EC431)/(4700*M431^0.5)/AE431*ES431</f>
        <v>3.8313005842122612E-2</v>
      </c>
      <c r="EX431" s="4">
        <f>EU431</f>
        <v>3.8313005842122612E-2</v>
      </c>
      <c r="EY431" s="4">
        <f>MIN(0.999, EX431/(0.3*(M431/30)^0.5))</f>
        <v>6.1373518662920089E-2</v>
      </c>
      <c r="EZ431" s="4">
        <f>EP431/1*EY431^0.4</f>
        <v>3.7975748288880218</v>
      </c>
      <c r="FA431" s="4">
        <f>EP431/1.4*(1-EY431^1.4)/(1-EY431)</f>
        <v>8.647196225894108</v>
      </c>
      <c r="FB431" s="4">
        <f>MAX(0,DQ431*FB$9-ES431)</f>
        <v>24.293038315506692</v>
      </c>
      <c r="FC431" s="4">
        <f>MAX(0,DQ431-ES431-FB431)</f>
        <v>31.799999999999997</v>
      </c>
      <c r="FD431" s="4">
        <f>FC431/(1-0.3*(M431/30)^0.5)/200000/N431</f>
        <v>1.330705850729595E-5</v>
      </c>
      <c r="FE431" s="4">
        <f>MAX(0.5*EP431, (1-2*FD431*(ES431*EZ431+FB431*FA431))/(1/EP431+FD431*FC431))</f>
        <v>11.392081661907993</v>
      </c>
      <c r="FF431" s="4">
        <f>MIN(4/N431*(1*EZ431*ES431+FA431*FB431+FC431*FE431)+EC431,MAX(J431,AJ431))</f>
        <v>221.40903776171729</v>
      </c>
      <c r="FO431" s="23">
        <f>IF(CU431&lt;0.6,0.6,IF(CU431&lt;0.8,0.8,IF(CU431&lt;1,1,IF(CU431&lt;1.2,1.2,IF(CU431&lt;1.4,1.4,IF(CU431&lt;1.6,1.6,IF(CU431&lt;1.8,1.8,IF(CU431&lt;2,2,2.2))))))))</f>
        <v>2.2000000000000002</v>
      </c>
      <c r="FP431" s="23">
        <f>IF(CV431&lt;0.6,0.6,IF(CV431&lt;0.8,0.8,IF(CV431&lt;1,1,IF(CV431&lt;1.2,1.2,IF(CV431&lt;1.4,1.4,IF(CV431&lt;1.6,1.6,IF(CV431&lt;1.8,1.8,IF(CV431&lt;2,2,2.2))))))))</f>
        <v>0.8</v>
      </c>
      <c r="FQ431" s="23">
        <f>IF(DA431&lt;0.6,0.6,IF(DA431&lt;0.8,0.8,IF(DA431&lt;1,1,IF(DA431&lt;1.2,1.2,IF(DA431&lt;1.4,1.4,IF(DA431&lt;1.6,1.6,IF(DA431&lt;1.8,1.8,IF(DA431&lt;2,2,2.2))))))))</f>
        <v>2.2000000000000002</v>
      </c>
      <c r="FR431" s="23">
        <f>IF(CX431&lt;0.6,0.6,IF(CX431&lt;0.8,0.8,IF(CX431&lt;1,1,IF(CX431&lt;1.2,1.2,IF(CX431&lt;1.4,1.4,IF(CX431&lt;1.6,1.6,IF(CX431&lt;1.8,1.8,IF(CX431&lt;2,2,2.2))))))))</f>
        <v>2.2000000000000002</v>
      </c>
      <c r="FS431" s="23">
        <f>IF(CY431&lt;0.6,0.6,IF(CY431&lt;0.8,0.8,IF(CY431&lt;1,1,IF(CY431&lt;1.2,1.2,IF(CY431&lt;1.4,1.4,IF(CY431&lt;1.6,1.6,IF(CY431&lt;1.8,1.8,IF(CY431&lt;2,2,2.2))))))))</f>
        <v>2.2000000000000002</v>
      </c>
      <c r="FT431" s="23">
        <f>IF(CZ431&lt;0.6,0.6,IF(CZ431&lt;0.8,0.8,IF(CZ431&lt;1,1,IF(CZ431&lt;1.2,1.2,IF(CZ431&lt;1.4,1.4,IF(CZ431&lt;1.6,1.6,IF(CZ431&lt;1.8,1.8,IF(CZ431&lt;2,2,2.2))))))))</f>
        <v>1.2</v>
      </c>
      <c r="FU431" s="23">
        <f>IF(FS431&lt;1,1,0)</f>
        <v>0</v>
      </c>
      <c r="FV431" s="23"/>
      <c r="GF431" s="4">
        <f>IF(S431&gt;=2.5*25.4,1,1.25)</f>
        <v>1.25</v>
      </c>
      <c r="GG431" s="4">
        <f>IF(AO431&gt;1, 0.05*(18-MIN(8,(W431+N431)/N431))*(1-48000/MAX(60000,(J431*145))*(N431/25.4)^0.75*GH431), 1/12*(14-MIN(8,(W431+N431)/N431)))</f>
        <v>0.5</v>
      </c>
      <c r="GH431" s="4">
        <f>MIN(0.3, AM431^2*PI()/4*2*AP431/(N431^2*PI()/4*X431))</f>
        <v>0</v>
      </c>
      <c r="GI431" s="4">
        <f>(K431/25.4)/(N431/25.4)^1.5/0.0024*(M431*145)^0.25/GF431/GG431/145</f>
        <v>192.55212537012548</v>
      </c>
    </row>
    <row r="432" spans="1:191" ht="12" customHeight="1" x14ac:dyDescent="0.3">
      <c r="A432" s="25">
        <v>189</v>
      </c>
      <c r="B432" s="24" t="s">
        <v>128</v>
      </c>
      <c r="C432" s="24">
        <v>2017</v>
      </c>
      <c r="D432" s="24" t="s">
        <v>309</v>
      </c>
      <c r="E432" s="24"/>
      <c r="F432" s="115" t="s">
        <v>791</v>
      </c>
      <c r="G432" s="109"/>
      <c r="H432" s="4" t="s">
        <v>321</v>
      </c>
      <c r="I432" s="5">
        <f>K432/N432</f>
        <v>4</v>
      </c>
      <c r="J432" s="7">
        <v>649</v>
      </c>
      <c r="K432" s="104">
        <f>4*N432</f>
        <v>127.2</v>
      </c>
      <c r="L432" s="7">
        <f>K432</f>
        <v>127.2</v>
      </c>
      <c r="M432" s="10">
        <v>129.9</v>
      </c>
      <c r="N432" s="21">
        <v>31.8</v>
      </c>
      <c r="O432" s="7">
        <f>K432/N432</f>
        <v>4</v>
      </c>
      <c r="P432" s="7">
        <f>L432/N432</f>
        <v>4</v>
      </c>
      <c r="Q432" s="7">
        <v>428</v>
      </c>
      <c r="R432" s="32">
        <f>S432/N432</f>
        <v>1.5</v>
      </c>
      <c r="S432" s="7">
        <f>1.5*N432</f>
        <v>47.7</v>
      </c>
      <c r="T432" s="32">
        <f>U432/N432</f>
        <v>1.3773584905660377</v>
      </c>
      <c r="U432" s="7">
        <f>171-L432</f>
        <v>43.8</v>
      </c>
      <c r="V432" s="32">
        <f>W432/N432</f>
        <v>8.4591194968553456</v>
      </c>
      <c r="W432" s="7">
        <f>Q432-2*N432-2*S432</f>
        <v>269</v>
      </c>
      <c r="X432" s="7">
        <v>2</v>
      </c>
      <c r="Y432" s="7">
        <f>AN432</f>
        <v>0</v>
      </c>
      <c r="Z432" s="32">
        <f>AA432/N432</f>
        <v>2.6666666666666665</v>
      </c>
      <c r="AA432" s="10">
        <f>2/3*K432</f>
        <v>84.8</v>
      </c>
      <c r="AB432" s="7">
        <f>MIN(S432/N432+0.5, W432/2/N432+0.5)</f>
        <v>2</v>
      </c>
      <c r="AC432" s="7">
        <f>S432/N432+0.5</f>
        <v>2</v>
      </c>
      <c r="AD432" s="7">
        <f>2040/510</f>
        <v>4</v>
      </c>
      <c r="AE432" s="7">
        <f>2040/510</f>
        <v>4</v>
      </c>
      <c r="AF432" s="7">
        <f>AE432+1</f>
        <v>5</v>
      </c>
      <c r="AG432" s="7">
        <f>N432*AF432^0.5</f>
        <v>71.106961684493314</v>
      </c>
      <c r="AH432" s="7">
        <f>J432</f>
        <v>649</v>
      </c>
      <c r="AI432" s="7">
        <v>11</v>
      </c>
      <c r="AJ432" s="7">
        <f>(728+714)/2</f>
        <v>721</v>
      </c>
      <c r="AK432" s="7"/>
      <c r="AL432" s="4">
        <f>CY432</f>
        <v>3.2560621494903539</v>
      </c>
      <c r="AM432" s="7">
        <v>0</v>
      </c>
      <c r="AN432" s="7">
        <v>0</v>
      </c>
      <c r="AO432" s="7">
        <f>L432</f>
        <v>127.2</v>
      </c>
      <c r="AP432" s="7"/>
      <c r="AQ432" s="7"/>
      <c r="AR432" s="7">
        <f>3*AS432/(W432+N432)</f>
        <v>1.2686170212765957</v>
      </c>
      <c r="AS432" s="4">
        <f>K432</f>
        <v>127.2</v>
      </c>
      <c r="AT432" s="4">
        <f>IF(K432*3&gt;W432+N432, Q432, (S432+N432/2)*2+1.5*K432*(2*X432-2))*(3*K432)/(9*K432^2)</f>
        <v>1.1215932914046123</v>
      </c>
      <c r="AU432" s="4">
        <f>MIN(10*M432^0.5*K432^1.5,100*3.9*M432^0.5*K432^(5/3))/(PI()/4*N432^2)/X432</f>
        <v>102.93453939452981</v>
      </c>
      <c r="AV432" s="4">
        <f>MIN(0.7+0.3*(MIN(S432,AA432)+0.5*N432)/1.5/K432,1)</f>
        <v>0.79999999999999993</v>
      </c>
      <c r="AW432" s="4">
        <v>1.25</v>
      </c>
      <c r="AX432" s="47">
        <f>AX431</f>
        <v>1</v>
      </c>
      <c r="AY432" s="38">
        <f>AT432*AV432*AW432*AX432*AU432</f>
        <v>115.4506888387284</v>
      </c>
      <c r="AZ432" s="38">
        <f>AY432</f>
        <v>115.4506888387284</v>
      </c>
      <c r="BA432" s="38">
        <f>IF(M432&lt;50, 0.3*M432^(2/3), 2.12*LN(1+0.1*(M432+8)))</f>
        <v>5.7111767066521422</v>
      </c>
      <c r="BB432" s="38">
        <f>AX432* (M432^0.5/AS432^0.5)/(PI()/4*N432^2)/X432/0.72 *(0.7+(MIN(S432,AA432)+0.5*N432)/5/K432) *(3*Q432*K432)</f>
        <v>115.45068883872845</v>
      </c>
      <c r="BC432" s="38">
        <f>AY432/BB432</f>
        <v>0.99999999999999956</v>
      </c>
      <c r="BD432" s="38">
        <f>BH432/BB432</f>
        <v>9.001245557327465</v>
      </c>
      <c r="BE432" s="4">
        <f>IF(BD432&lt;1,1,0)</f>
        <v>0</v>
      </c>
      <c r="BF432" s="4">
        <f>L432/N432*M432^0.5/0.19</f>
        <v>239.94459194200661</v>
      </c>
      <c r="BG432" s="4">
        <f>MIN(0.6+0.4*(AC432/AB432),2)</f>
        <v>1</v>
      </c>
      <c r="BH432" s="38">
        <f>2*M432*AB432*AD432^0.5*BG432*0.7/0.7</f>
        <v>1039.2</v>
      </c>
      <c r="BI432" s="4">
        <f>MAX(1-0.7*AE432/5,0.3)</f>
        <v>0.44000000000000006</v>
      </c>
      <c r="BJ432" s="4">
        <f>BI432*J432*L432/(J432*N432/2.75/M432^0.5)</f>
        <v>55.163261687467333</v>
      </c>
      <c r="BK432" s="4">
        <f>BH432+BJ432</f>
        <v>1094.3632616874675</v>
      </c>
      <c r="BM432" s="4">
        <f>MIN(1.5, 0.75+0.25*MIN(3,MAX(1,S432/N432))+0.4*MIN(1,(40*2*PI()*AM432^2/4/AO432/X432)/N432))</f>
        <v>1.125</v>
      </c>
      <c r="BN432" s="4">
        <f>(3*P432+30)*BM432*M432^0.5</f>
        <v>538.5256435398411</v>
      </c>
      <c r="BP432" s="4">
        <f>3.4/PI()^0.5*M432*AB432*AE432^0.5*BG432</f>
        <v>996.71988587880821</v>
      </c>
      <c r="BQ432" s="4">
        <f>8/3*AH432*AI432^2/(AG432-N432-22)/N432*(AG432^2-N432^2)/(AG432^2-(N432+22)^2)</f>
        <v>711.96329095823319</v>
      </c>
      <c r="BR432" s="4">
        <f>BQ432/BP432</f>
        <v>0.71430629713030647</v>
      </c>
      <c r="BZ432" s="4">
        <f>IF(W432=0,S432,MIN(W432/2,S432))</f>
        <v>47.7</v>
      </c>
      <c r="CD432" s="9"/>
      <c r="CF432" s="9"/>
      <c r="CG432" s="9"/>
      <c r="CH432" s="9">
        <f>IF(W432=0,MIN(S432,U432),MIN(W432/2,S432,U432))</f>
        <v>43.8</v>
      </c>
      <c r="CI432" s="9">
        <f>MAX(W432/2,S432)</f>
        <v>134.5</v>
      </c>
      <c r="CJ432" s="9">
        <f>(CH432/N432)^0.5*(CI432/CH432)^0.15</f>
        <v>1.3887073091970812</v>
      </c>
      <c r="CK432" s="70">
        <v>0</v>
      </c>
      <c r="CL432" s="9">
        <f>MIN(PI()*AM432^2/4*AN432*2/X432/N432/MAX(0.01,AO432),0.05)</f>
        <v>0</v>
      </c>
      <c r="CM432" s="9">
        <f>MAX(0,CK432*(CL432-0.5/50))</f>
        <v>0</v>
      </c>
      <c r="CN432" s="9">
        <f>MIN(1,(25/N432)^0.3)</f>
        <v>0.93036607665491811</v>
      </c>
      <c r="CO432" s="9">
        <f>IF(J432&gt;=800,0.68,IF(J432&gt;=700,0.75-(J432-700)*0.07/100,IF(J432&gt;=600,0.85-(J432-600)*0.1/100,IF(J432&gt;=500,1-(J432-500)*0.15/100,1.2-(J432-400)*0.2/100))))</f>
        <v>0.80099999999999993</v>
      </c>
      <c r="CP432" s="9">
        <f>1.75*CN432*CO432*(M432/25)^0.5</f>
        <v>2.9727542082721463</v>
      </c>
      <c r="CQ432" s="9">
        <f>MIN((CJ432+CM432)*CP432,2.5*CP432,M432^0.5)</f>
        <v>4.1282854974739118</v>
      </c>
      <c r="CR432" s="9">
        <v>1</v>
      </c>
      <c r="CS432" s="9">
        <f>4*CQ432*P432+60*CQ432</f>
        <v>313.74969780801729</v>
      </c>
      <c r="CU432" s="4">
        <f>AJ432/BF432</f>
        <v>3.0048603894946799</v>
      </c>
      <c r="CV432" s="4">
        <f>AJ432/BK432</f>
        <v>0.65883059605660077</v>
      </c>
      <c r="CW432" s="4">
        <f>AJ432/BN432</f>
        <v>1.3388406079619848</v>
      </c>
      <c r="CX432" s="4">
        <f>AJ432/CS432</f>
        <v>2.2980101814828782</v>
      </c>
      <c r="CY432" s="44">
        <f>AJ432/DZ432</f>
        <v>3.2560621494903539</v>
      </c>
      <c r="CZ432" s="4">
        <f>AJ432/EL432</f>
        <v>1.0332122674684099</v>
      </c>
      <c r="DA432" s="4">
        <f>AJ432/GI432</f>
        <v>3.7444406215412429</v>
      </c>
      <c r="DC432" s="4">
        <f>CU432</f>
        <v>3.0048603894946799</v>
      </c>
      <c r="DD432" s="4">
        <f>CV432</f>
        <v>0.65883059605660077</v>
      </c>
      <c r="DE432" s="4">
        <f>CX432</f>
        <v>2.2980101814828782</v>
      </c>
      <c r="DF432" s="4">
        <f>DA432</f>
        <v>3.7444406215412429</v>
      </c>
      <c r="DG432" s="4">
        <f>CY432</f>
        <v>3.2560621494903539</v>
      </c>
      <c r="DH432" s="4">
        <f>CZ432</f>
        <v>1.0332122674684099</v>
      </c>
      <c r="DP432" s="4">
        <f>AN432</f>
        <v>0</v>
      </c>
      <c r="DQ432" s="4">
        <f>L432</f>
        <v>127.2</v>
      </c>
      <c r="DT432" s="4">
        <f>K432/4/(1-0.3*(M432/30)^0.5)/200000/N432</f>
        <v>1.3307058507295954E-5</v>
      </c>
      <c r="DU432" s="4">
        <f>EP432</f>
        <v>11.596152843353764</v>
      </c>
      <c r="DV432" s="4">
        <f>EC432*AG432/257/M432/AD432</f>
        <v>6.1476110834313015E-2</v>
      </c>
      <c r="DW432" s="4">
        <f>DU432*DV432^0.4</f>
        <v>3.8001127719780743</v>
      </c>
      <c r="DX432" s="4">
        <f>MIN(DU432, DU432/1.4*(1-DV432^1.4)/(1-DV432))</f>
        <v>8.6477262102525305</v>
      </c>
      <c r="DY432" s="4">
        <f>MAX(DU432/2, (4-DT432*(8*AG432*(DW432-DX432)+6*K432*DX432))/(4+DT432*K432*DU432)*DU432)</f>
        <v>11.3920222843144</v>
      </c>
      <c r="DZ432" s="38">
        <f>MIN(1/N432*(4*AG432*(DW432-DX432)+(3*DX432+DY432)*K432)+EC432 -FJ432,MAX(J432,AJ432))</f>
        <v>221.43311979252377</v>
      </c>
      <c r="EA432" s="4">
        <f>DZ432/FF432</f>
        <v>1.0001087671535449</v>
      </c>
      <c r="EB432" s="4">
        <f>AG432/N432</f>
        <v>2.2360679774997898</v>
      </c>
      <c r="EC432" s="4">
        <f>MIN(EB$10*BB432)</f>
        <v>115.45068883872845</v>
      </c>
      <c r="EG432" s="4">
        <f>IF(U432&gt;1*N432,0.85,1)</f>
        <v>0.85</v>
      </c>
      <c r="EH432" s="4">
        <f>MIN(1,MAX(0.7,(1-0.1*(BZ432-1*N432)/N432)))</f>
        <v>0.95</v>
      </c>
      <c r="EI432" s="4">
        <f>MIN(1,MAX(0.7,1-0.3*(PI()*AM432^2/4*AQ432*2-0.25*PI()/4*N432^2)/(PI()/4*N432^2)))</f>
        <v>1</v>
      </c>
      <c r="EJ432" s="4">
        <f>IF(EH432*EI432&lt;0.7,0.7,EH432*EI432)</f>
        <v>0.95</v>
      </c>
      <c r="EL432" s="4">
        <f>MIN(DU432/N432*3*K432+EM432-FJ432,MAX(J432,AJ432))</f>
        <v>697.82369286671712</v>
      </c>
      <c r="EM432" s="25">
        <f>26.5*Q432*K432^0.5*M432^0.5/X432/N432^2*(0.7+S432/5/K432)</f>
        <v>558.66985874647196</v>
      </c>
      <c r="EP432" s="4">
        <f>IF(N432&lt;22.2,1.1*5*(M432/30)^0.5,IF(N432&gt;=31.8,0.9*5*(M432/30)^0.5,1*5*(M432/30)^0.5))/EG432/EJ432</f>
        <v>11.596152843353764</v>
      </c>
      <c r="ES432" s="4">
        <f>ET432*N432</f>
        <v>71.106961684493314</v>
      </c>
      <c r="ET432" s="4">
        <f>AF432^0.5</f>
        <v>2.2360679774997898</v>
      </c>
      <c r="EU432" s="4">
        <f>MIN(EC432)/(4700*M432^0.5)/AE432*ES432</f>
        <v>3.8313005842122612E-2</v>
      </c>
      <c r="EX432" s="4">
        <f>EU432</f>
        <v>3.8313005842122612E-2</v>
      </c>
      <c r="EY432" s="4">
        <f>MIN(0.999, EX432/(0.3*(M432/30)^0.5))</f>
        <v>6.1373518662920089E-2</v>
      </c>
      <c r="EZ432" s="4">
        <f>EP432/1*EY432^0.4</f>
        <v>3.7975748288880218</v>
      </c>
      <c r="FA432" s="4">
        <f>EP432/1.4*(1-EY432^1.4)/(1-EY432)</f>
        <v>8.647196225894108</v>
      </c>
      <c r="FB432" s="4">
        <f>MAX(0,DQ432*FB$9-ES432)</f>
        <v>24.293038315506692</v>
      </c>
      <c r="FC432" s="4">
        <f>MAX(0,DQ432-ES432-FB432)</f>
        <v>31.799999999999997</v>
      </c>
      <c r="FD432" s="4">
        <f>FC432/(1-0.3*(M432/30)^0.5)/200000/N432</f>
        <v>1.330705850729595E-5</v>
      </c>
      <c r="FE432" s="4">
        <f>MAX(0.5*EP432, (1-2*FD432*(ES432*EZ432+FB432*FA432))/(1/EP432+FD432*FC432))</f>
        <v>11.392081661907993</v>
      </c>
      <c r="FF432" s="4">
        <f>MIN(4/N432*(1*EZ432*ES432+FA432*FB432+FC432*FE432)+EC432,MAX(J432,AJ432))</f>
        <v>221.40903776171729</v>
      </c>
      <c r="FO432" s="23">
        <f>IF(CU432&lt;0.6,0.6,IF(CU432&lt;0.8,0.8,IF(CU432&lt;1,1,IF(CU432&lt;1.2,1.2,IF(CU432&lt;1.4,1.4,IF(CU432&lt;1.6,1.6,IF(CU432&lt;1.8,1.8,IF(CU432&lt;2,2,2.2))))))))</f>
        <v>2.2000000000000002</v>
      </c>
      <c r="FP432" s="23">
        <f>IF(CV432&lt;0.6,0.6,IF(CV432&lt;0.8,0.8,IF(CV432&lt;1,1,IF(CV432&lt;1.2,1.2,IF(CV432&lt;1.4,1.4,IF(CV432&lt;1.6,1.6,IF(CV432&lt;1.8,1.8,IF(CV432&lt;2,2,2.2))))))))</f>
        <v>0.8</v>
      </c>
      <c r="FQ432" s="23">
        <f>IF(DA432&lt;0.6,0.6,IF(DA432&lt;0.8,0.8,IF(DA432&lt;1,1,IF(DA432&lt;1.2,1.2,IF(DA432&lt;1.4,1.4,IF(DA432&lt;1.6,1.6,IF(DA432&lt;1.8,1.8,IF(DA432&lt;2,2,2.2))))))))</f>
        <v>2.2000000000000002</v>
      </c>
      <c r="FR432" s="23">
        <f>IF(CX432&lt;0.6,0.6,IF(CX432&lt;0.8,0.8,IF(CX432&lt;1,1,IF(CX432&lt;1.2,1.2,IF(CX432&lt;1.4,1.4,IF(CX432&lt;1.6,1.6,IF(CX432&lt;1.8,1.8,IF(CX432&lt;2,2,2.2))))))))</f>
        <v>2.2000000000000002</v>
      </c>
      <c r="FS432" s="23">
        <f>IF(CY432&lt;0.6,0.6,IF(CY432&lt;0.8,0.8,IF(CY432&lt;1,1,IF(CY432&lt;1.2,1.2,IF(CY432&lt;1.4,1.4,IF(CY432&lt;1.6,1.6,IF(CY432&lt;1.8,1.8,IF(CY432&lt;2,2,2.2))))))))</f>
        <v>2.2000000000000002</v>
      </c>
      <c r="FT432" s="23">
        <f>IF(CZ432&lt;0.6,0.6,IF(CZ432&lt;0.8,0.8,IF(CZ432&lt;1,1,IF(CZ432&lt;1.2,1.2,IF(CZ432&lt;1.4,1.4,IF(CZ432&lt;1.6,1.6,IF(CZ432&lt;1.8,1.8,IF(CZ432&lt;2,2,2.2))))))))</f>
        <v>1.2</v>
      </c>
      <c r="FU432" s="23">
        <f>IF(FS432&lt;1,1,0)</f>
        <v>0</v>
      </c>
      <c r="FV432" s="23"/>
      <c r="GF432" s="4">
        <f>IF(S432&gt;=2.5*25.4,1,1.25)</f>
        <v>1.25</v>
      </c>
      <c r="GG432" s="4">
        <f>IF(AO432&gt;1, 0.05*(18-MIN(8,(W432+N432)/N432))*(1-48000/MAX(60000,(J432*145))*(N432/25.4)^0.75*GH432), 1/12*(14-MIN(8,(W432+N432)/N432)))</f>
        <v>0.5</v>
      </c>
      <c r="GH432" s="4">
        <f>MIN(0.3, AM432^2*PI()/4*2*AP432/(N432^2*PI()/4*X432))</f>
        <v>0</v>
      </c>
      <c r="GI432" s="4">
        <f>(K432/25.4)/(N432/25.4)^1.5/0.0024*(M432*145)^0.25/GF432/GG432/145</f>
        <v>192.55212537012548</v>
      </c>
    </row>
    <row r="433" spans="1:191" ht="12" customHeight="1" x14ac:dyDescent="0.3">
      <c r="A433" s="25">
        <v>190</v>
      </c>
      <c r="B433" s="24" t="s">
        <v>128</v>
      </c>
      <c r="C433" s="24">
        <v>2017</v>
      </c>
      <c r="D433" s="24" t="s">
        <v>309</v>
      </c>
      <c r="E433" s="24"/>
      <c r="F433" s="115" t="s">
        <v>786</v>
      </c>
      <c r="G433" s="109"/>
      <c r="H433" s="4" t="s">
        <v>322</v>
      </c>
      <c r="I433" s="5">
        <f>K433/N433</f>
        <v>4</v>
      </c>
      <c r="J433" s="7">
        <v>649</v>
      </c>
      <c r="K433" s="104">
        <f>4*N433</f>
        <v>127.2</v>
      </c>
      <c r="L433" s="7">
        <f>K433</f>
        <v>127.2</v>
      </c>
      <c r="M433" s="10">
        <v>129.9</v>
      </c>
      <c r="N433" s="21">
        <v>31.8</v>
      </c>
      <c r="O433" s="7">
        <f>K433/N433</f>
        <v>4</v>
      </c>
      <c r="P433" s="7">
        <f>L433/N433</f>
        <v>4</v>
      </c>
      <c r="Q433" s="7">
        <v>396</v>
      </c>
      <c r="R433" s="32">
        <f>S433/N433</f>
        <v>1</v>
      </c>
      <c r="S433" s="7">
        <f>1*N433</f>
        <v>31.8</v>
      </c>
      <c r="T433" s="32">
        <f>U433/N433</f>
        <v>1.3773584905660377</v>
      </c>
      <c r="U433" s="7">
        <f>171-L433</f>
        <v>43.8</v>
      </c>
      <c r="V433" s="32">
        <f>W433/N433</f>
        <v>8.4528301886792434</v>
      </c>
      <c r="W433" s="7">
        <f>Q433-2*N433-2*S433</f>
        <v>268.79999999999995</v>
      </c>
      <c r="X433" s="7">
        <v>2</v>
      </c>
      <c r="Y433" s="7">
        <f>AN433</f>
        <v>2</v>
      </c>
      <c r="Z433" s="32">
        <f>AA433/N433</f>
        <v>2.6666666666666665</v>
      </c>
      <c r="AA433" s="10">
        <f>2/3*K433</f>
        <v>84.8</v>
      </c>
      <c r="AB433" s="7">
        <f>MIN(S433/N433+0.5, W433/2/N433+0.5)</f>
        <v>1.5</v>
      </c>
      <c r="AC433" s="7">
        <f>S433/N433+0.5</f>
        <v>1.5</v>
      </c>
      <c r="AD433" s="7">
        <f>2040/510</f>
        <v>4</v>
      </c>
      <c r="AE433" s="7">
        <f>2040/510</f>
        <v>4</v>
      </c>
      <c r="AF433" s="7">
        <f>AE433+1</f>
        <v>5</v>
      </c>
      <c r="AG433" s="7">
        <f>N433*AF433^0.5</f>
        <v>71.106961684493314</v>
      </c>
      <c r="AH433" s="7">
        <f>J433</f>
        <v>649</v>
      </c>
      <c r="AI433" s="7">
        <v>11</v>
      </c>
      <c r="AJ433" s="7">
        <f>(738+710)/2</f>
        <v>724</v>
      </c>
      <c r="AK433" s="7"/>
      <c r="AL433" s="4">
        <f>CY433</f>
        <v>3.3564461639150021</v>
      </c>
      <c r="AM433" s="7">
        <v>12.7</v>
      </c>
      <c r="AN433" s="7">
        <v>2</v>
      </c>
      <c r="AO433" s="7">
        <v>64</v>
      </c>
      <c r="AP433" s="7">
        <v>4</v>
      </c>
      <c r="AQ433" s="7">
        <f>AN433</f>
        <v>2</v>
      </c>
      <c r="AR433" s="7">
        <f>3*AS433/(W433+N433)</f>
        <v>1.2694610778443116</v>
      </c>
      <c r="AS433" s="4">
        <f>K433</f>
        <v>127.2</v>
      </c>
      <c r="AT433" s="4">
        <f>IF(K433*3&gt;W433+N433, Q433, (S433+N433/2)*2+1.5*K433*(2*X433-2))*(3*K433)/(9*K433^2)</f>
        <v>1.0377358490566038</v>
      </c>
      <c r="AU433" s="4">
        <f>MIN(10*M433^0.5*K433^1.5,100*3.9*M433^0.5*K433^(5/3))/(PI()/4*N433^2)/X433</f>
        <v>102.93453939452981</v>
      </c>
      <c r="AV433" s="4">
        <f>MIN(0.7+0.3*(MIN(S433,AA433)+0.5*N433)/1.5/K433,1)</f>
        <v>0.77499999999999991</v>
      </c>
      <c r="AW433" s="4">
        <v>1.25</v>
      </c>
      <c r="AX433" s="47">
        <f>AX432</f>
        <v>1</v>
      </c>
      <c r="AY433" s="38">
        <f>AT433*AV433*AW433*AX433*AU433</f>
        <v>103.48077220971302</v>
      </c>
      <c r="AZ433" s="38">
        <f>AY433</f>
        <v>103.48077220971302</v>
      </c>
      <c r="BA433" s="38">
        <f>IF(M433&lt;50, 0.3*M433^(2/3), 2.12*LN(1+0.1*(M433+8)))</f>
        <v>5.7111767066521422</v>
      </c>
      <c r="BB433" s="38">
        <f>AX433* (M433^0.5/AS433^0.5)/(PI()/4*N433^2)/X433/0.72 *(0.7+(MIN(S433,AA433)+0.5*N433)/5/K433) *(3*Q433*K433)</f>
        <v>103.48077220971308</v>
      </c>
      <c r="BC433" s="38">
        <f>AY433/BB433</f>
        <v>0.99999999999999944</v>
      </c>
      <c r="BD433" s="38">
        <f>BH433/BB433</f>
        <v>7.5318340147334419</v>
      </c>
      <c r="BE433" s="4">
        <f>IF(BD433&lt;1,1,0)</f>
        <v>0</v>
      </c>
      <c r="BF433" s="4">
        <f>L433/N433*M433^0.5/0.19</f>
        <v>239.94459194200661</v>
      </c>
      <c r="BG433" s="4">
        <f>MIN(0.6+0.4*(AC433/AB433),2)</f>
        <v>1</v>
      </c>
      <c r="BH433" s="38">
        <f>2*M433*AB433*AD433^0.5*BG433*0.7/0.7</f>
        <v>779.40000000000009</v>
      </c>
      <c r="BI433" s="4">
        <f>MAX(1-0.7*AE433/5,0.3)</f>
        <v>0.44000000000000006</v>
      </c>
      <c r="BJ433" s="4">
        <f>BI433*J433*L433/(J433*N433/2.75/M433^0.5)</f>
        <v>55.163261687467333</v>
      </c>
      <c r="BK433" s="4">
        <f>BH433+BJ433</f>
        <v>834.56326168746739</v>
      </c>
      <c r="BM433" s="4">
        <f>MIN(1.5, 0.75+0.25*MIN(3,MAX(1,S433/N433))+0.4*MIN(1,(40*2*PI()*AM433^2/4/AO433/X433)/N433))</f>
        <v>1.4</v>
      </c>
      <c r="BN433" s="4">
        <f>(3*P433+30)*BM433*M433^0.5</f>
        <v>670.16524529402443</v>
      </c>
      <c r="BP433" s="4">
        <f>3.4/PI()^0.5*M433*AB433*AE433^0.5*BG433</f>
        <v>747.53991440910613</v>
      </c>
      <c r="BQ433" s="4">
        <f>8/3*AH433*AI433^2/(AG433-N433-22)/N433*(AG433^2-N433^2)/(AG433^2-(N433+22)^2)</f>
        <v>711.96329095823319</v>
      </c>
      <c r="BR433" s="4">
        <f>BQ433/BP433</f>
        <v>0.95240839617374207</v>
      </c>
      <c r="BZ433" s="4">
        <f>IF(W433=0,S433,MIN(W433/2,S433))</f>
        <v>31.8</v>
      </c>
      <c r="CD433" s="9"/>
      <c r="CF433" s="9"/>
      <c r="CG433" s="9"/>
      <c r="CH433" s="9">
        <f>IF(W433=0,MIN(S433,U433),MIN(W433/2,S433,U433))</f>
        <v>31.8</v>
      </c>
      <c r="CI433" s="9">
        <f>MAX(W433/2,S433)</f>
        <v>134.39999999999998</v>
      </c>
      <c r="CJ433" s="9">
        <f>(CH433/N433)^0.5*(CI433/CH433)^0.15</f>
        <v>1.2413544982455165</v>
      </c>
      <c r="CK433" s="70">
        <v>20</v>
      </c>
      <c r="CL433" s="9">
        <f>MIN(PI()*AM433^2/4*AN433*2/X433/N433/MAX(0.01,AO433),0.05)</f>
        <v>0.05</v>
      </c>
      <c r="CM433" s="9">
        <f>MAX(0,CK433*(CL433-0.5/50))</f>
        <v>0.8</v>
      </c>
      <c r="CN433" s="9">
        <f>MIN(1,(25/N433)^0.3)</f>
        <v>0.93036607665491811</v>
      </c>
      <c r="CO433" s="9">
        <f>IF(J433&gt;=800,0.68,IF(J433&gt;=700,0.75-(J433-700)*0.07/100,IF(J433&gt;=600,0.85-(J433-600)*0.1/100,IF(J433&gt;=500,1-(J433-500)*0.15/100,1.2-(J433-400)*0.2/100))))</f>
        <v>0.80099999999999993</v>
      </c>
      <c r="CP433" s="9">
        <f>1.75*CN433*CO433*(M433/25)^0.5</f>
        <v>2.9727542082721463</v>
      </c>
      <c r="CQ433" s="9">
        <f>MIN((CJ433+CM433)*CP433,2.5*CP433,M433^0.5)</f>
        <v>6.0684451752346353</v>
      </c>
      <c r="CR433" s="9">
        <v>1</v>
      </c>
      <c r="CS433" s="9">
        <f>4*CQ433*P433+60*CQ433</f>
        <v>461.20183331783232</v>
      </c>
      <c r="CU433" s="4">
        <f>AJ433/BF433</f>
        <v>3.0173632759974316</v>
      </c>
      <c r="CV433" s="4">
        <f>AJ433/BK433</f>
        <v>0.86751961563235958</v>
      </c>
      <c r="CW433" s="4">
        <f>AJ433/BN433</f>
        <v>1.0803305678472723</v>
      </c>
      <c r="CX433" s="4">
        <f>AJ433/CS433</f>
        <v>1.5698116262713619</v>
      </c>
      <c r="CY433" s="44">
        <f>AJ433/DZ433</f>
        <v>3.3564461639150021</v>
      </c>
      <c r="CZ433" s="4">
        <f>AJ433/EL433</f>
        <v>1.1141268495754608</v>
      </c>
      <c r="DA433" s="4">
        <f>AJ433/GI433</f>
        <v>3.0790396611328834</v>
      </c>
      <c r="DI433" s="4">
        <f>CU433</f>
        <v>3.0173632759974316</v>
      </c>
      <c r="DJ433" s="4">
        <f>CV433</f>
        <v>0.86751961563235958</v>
      </c>
      <c r="DK433" s="4">
        <f>CX433</f>
        <v>1.5698116262713619</v>
      </c>
      <c r="DL433" s="4">
        <f>DA433</f>
        <v>3.0790396611328834</v>
      </c>
      <c r="DM433" s="4">
        <f>CY433</f>
        <v>3.3564461639150021</v>
      </c>
      <c r="DN433" s="4">
        <f>CZ433</f>
        <v>1.1141268495754608</v>
      </c>
      <c r="DP433" s="4">
        <f>AN433</f>
        <v>2</v>
      </c>
      <c r="DQ433" s="4">
        <f>L433</f>
        <v>127.2</v>
      </c>
      <c r="DT433" s="4">
        <f>K433/4/(1-0.3*(M433/30)^0.5)/200000/N433</f>
        <v>1.3307058507295954E-5</v>
      </c>
      <c r="DU433" s="4">
        <f>EP433</f>
        <v>12.467523847691927</v>
      </c>
      <c r="DV433" s="4">
        <f>EC433*AG433/257/M433/AD433</f>
        <v>5.5102273408442357E-2</v>
      </c>
      <c r="DW433" s="4">
        <f>DU433*DV433^0.4</f>
        <v>3.9106415883479744</v>
      </c>
      <c r="DX433" s="4">
        <f>MIN(DU433, DU433/1.4*(1-DV433^1.4)/(1-DV433))</f>
        <v>9.2618025217274784</v>
      </c>
      <c r="DY433" s="4">
        <f>MAX(DU433/2, (4-DT433*(8*AG433*(DW433-DX433)+6*K433*DX433))/(4+DT433*K433*DU433)*DU433)</f>
        <v>12.23604365034679</v>
      </c>
      <c r="DZ433" s="38">
        <f>MIN(1/N433*(4*AG433*(DW433-DX433)+(3*DX433+DY433)*K433)+EC433 -FJ433,MAX(J433,AJ433))</f>
        <v>215.70433864951883</v>
      </c>
      <c r="EA433" s="4">
        <f>DZ433/FF433</f>
        <v>1.0001144750734638</v>
      </c>
      <c r="EB433" s="4">
        <f>AG433/N433</f>
        <v>2.2360679774997898</v>
      </c>
      <c r="EC433" s="4">
        <f>MIN(EB$10*BB433)</f>
        <v>103.48077220971308</v>
      </c>
      <c r="EG433" s="4">
        <f>IF(U433&gt;1*N433,0.85,1)</f>
        <v>0.85</v>
      </c>
      <c r="EH433" s="4">
        <f>MIN(1,MAX(0.7,(1-0.1*(BZ433-1*N433)/N433)))</f>
        <v>1</v>
      </c>
      <c r="EI433" s="4">
        <f>MIN(1,MAX(0.7,1-0.3*(PI()*AM433^2/4*AQ433*2-0.25*PI()/4*N433^2)/(PI()/4*N433^2)))</f>
        <v>0.88360329892013767</v>
      </c>
      <c r="EJ433" s="4">
        <f>IF(EH433*EI433&lt;0.7,0.7,EH433*EI433)</f>
        <v>0.88360329892013767</v>
      </c>
      <c r="EL433" s="4">
        <f>MIN(DU433/N433*3*K433+EM433-FJ433,MAX(J433,AJ433))</f>
        <v>649.83623747680167</v>
      </c>
      <c r="EM433" s="25">
        <f>26.5*Q433*K433^0.5*M433^0.5/X433/N433^2*(0.7+S433/5/K433)</f>
        <v>500.22595130449861</v>
      </c>
      <c r="EP433" s="4">
        <f>IF(N433&lt;22.2,1.1*5*(M433/30)^0.5,IF(N433&gt;=31.8,0.9*5*(M433/30)^0.5,1*5*(M433/30)^0.5))/EG433/EJ433</f>
        <v>12.467523847691927</v>
      </c>
      <c r="ES433" s="4">
        <f>ET433*N433</f>
        <v>71.106961684493314</v>
      </c>
      <c r="ET433" s="4">
        <f>AF433^0.5</f>
        <v>2.2360679774997898</v>
      </c>
      <c r="EU433" s="4">
        <f>MIN(EC433)/(4700*M433^0.5)/AE433*ES433</f>
        <v>3.4340716977066088E-2</v>
      </c>
      <c r="EX433" s="4">
        <f>EU433</f>
        <v>3.4340716977066088E-2</v>
      </c>
      <c r="EY433" s="4">
        <f>MIN(0.999, EX433/(0.3*(M433/30)^0.5))</f>
        <v>5.5010317983791392E-2</v>
      </c>
      <c r="EZ433" s="4">
        <f>EP433/1*EY433^0.4</f>
        <v>3.9080298274891896</v>
      </c>
      <c r="FA433" s="4">
        <f>EP433/1.4*(1-EY433^1.4)/(1-EY433)</f>
        <v>9.2612816818198027</v>
      </c>
      <c r="FB433" s="4">
        <f>MAX(0,DQ433*FB$9-ES433)</f>
        <v>24.293038315506692</v>
      </c>
      <c r="FC433" s="4">
        <f>MAX(0,DQ433-ES433-FB433)</f>
        <v>31.799999999999997</v>
      </c>
      <c r="FD433" s="4">
        <f>FC433/(1-0.3*(M433/30)^0.5)/200000/N433</f>
        <v>1.330705850729595E-5</v>
      </c>
      <c r="FE433" s="4">
        <f>MAX(0.5*EP433, (1-2*FD433*(ES433*EZ433+FB433*FA433))/(1/EP433+FD433*FC433))</f>
        <v>12.236109125544514</v>
      </c>
      <c r="FF433" s="4">
        <f>MIN(4/N433*(1*EZ433*ES433+FA433*FB433+FC433*FE433)+EC433,MAX(J433,AJ433))</f>
        <v>215.67964870588855</v>
      </c>
      <c r="FO433" s="23">
        <f>IF(CU433&lt;0.6,0.6,IF(CU433&lt;0.8,0.8,IF(CU433&lt;1,1,IF(CU433&lt;1.2,1.2,IF(CU433&lt;1.4,1.4,IF(CU433&lt;1.6,1.6,IF(CU433&lt;1.8,1.8,IF(CU433&lt;2,2,2.2))))))))</f>
        <v>2.2000000000000002</v>
      </c>
      <c r="FP433" s="23">
        <f>IF(CV433&lt;0.6,0.6,IF(CV433&lt;0.8,0.8,IF(CV433&lt;1,1,IF(CV433&lt;1.2,1.2,IF(CV433&lt;1.4,1.4,IF(CV433&lt;1.6,1.6,IF(CV433&lt;1.8,1.8,IF(CV433&lt;2,2,2.2))))))))</f>
        <v>1</v>
      </c>
      <c r="FQ433" s="23">
        <f>IF(DA433&lt;0.6,0.6,IF(DA433&lt;0.8,0.8,IF(DA433&lt;1,1,IF(DA433&lt;1.2,1.2,IF(DA433&lt;1.4,1.4,IF(DA433&lt;1.6,1.6,IF(DA433&lt;1.8,1.8,IF(DA433&lt;2,2,2.2))))))))</f>
        <v>2.2000000000000002</v>
      </c>
      <c r="FR433" s="23">
        <f>IF(CX433&lt;0.6,0.6,IF(CX433&lt;0.8,0.8,IF(CX433&lt;1,1,IF(CX433&lt;1.2,1.2,IF(CX433&lt;1.4,1.4,IF(CX433&lt;1.6,1.6,IF(CX433&lt;1.8,1.8,IF(CX433&lt;2,2,2.2))))))))</f>
        <v>1.6</v>
      </c>
      <c r="FS433" s="23">
        <f>IF(CY433&lt;0.6,0.6,IF(CY433&lt;0.8,0.8,IF(CY433&lt;1,1,IF(CY433&lt;1.2,1.2,IF(CY433&lt;1.4,1.4,IF(CY433&lt;1.6,1.6,IF(CY433&lt;1.8,1.8,IF(CY433&lt;2,2,2.2))))))))</f>
        <v>2.2000000000000002</v>
      </c>
      <c r="FT433" s="23">
        <f>IF(CZ433&lt;0.6,0.6,IF(CZ433&lt;0.8,0.8,IF(CZ433&lt;1,1,IF(CZ433&lt;1.2,1.2,IF(CZ433&lt;1.4,1.4,IF(CZ433&lt;1.6,1.6,IF(CZ433&lt;1.8,1.8,IF(CZ433&lt;2,2,2.2))))))))</f>
        <v>1.2</v>
      </c>
      <c r="FU433" s="23">
        <f>IF(FS433&lt;1,1,0)</f>
        <v>0</v>
      </c>
      <c r="FV433" s="23"/>
      <c r="GF433" s="4">
        <f>IF(S433&gt;=2.5*25.4,1,1.25)</f>
        <v>1.25</v>
      </c>
      <c r="GG433" s="4">
        <f>IF(AO433&gt;1, 0.05*(18-MIN(8,(W433+N433)/N433))*(1-48000/MAX(60000,(J433*145))*(N433/25.4)^0.75*GH433), 1/12*(14-MIN(8,(W433+N433)/N433)))</f>
        <v>0.40944449644340308</v>
      </c>
      <c r="GH433" s="4">
        <f>MIN(0.3, AM433^2*PI()/4*2*AP433/(N433^2*PI()/4*X433))</f>
        <v>0.3</v>
      </c>
      <c r="GI433" s="4">
        <f>(K433/25.4)/(N433/25.4)^1.5/0.0024*(M433*145)^0.25/GF433/GG433/145</f>
        <v>235.13825077966541</v>
      </c>
    </row>
    <row r="434" spans="1:191" ht="12" customHeight="1" x14ac:dyDescent="0.3">
      <c r="A434" s="25">
        <v>191</v>
      </c>
      <c r="B434" s="24" t="s">
        <v>128</v>
      </c>
      <c r="C434" s="24">
        <v>2017</v>
      </c>
      <c r="D434" s="24" t="s">
        <v>309</v>
      </c>
      <c r="E434" s="24"/>
      <c r="F434" s="115" t="s">
        <v>786</v>
      </c>
      <c r="G434" s="109"/>
      <c r="H434" s="4" t="s">
        <v>323</v>
      </c>
      <c r="I434" s="5">
        <f>K434/N434</f>
        <v>4</v>
      </c>
      <c r="J434" s="7">
        <v>649</v>
      </c>
      <c r="K434" s="104">
        <f>4*N434</f>
        <v>127.2</v>
      </c>
      <c r="L434" s="7">
        <f>K434</f>
        <v>127.2</v>
      </c>
      <c r="M434" s="10">
        <v>129.9</v>
      </c>
      <c r="N434" s="21">
        <v>31.8</v>
      </c>
      <c r="O434" s="7">
        <f>K434/N434</f>
        <v>4</v>
      </c>
      <c r="P434" s="7">
        <f>L434/N434</f>
        <v>4</v>
      </c>
      <c r="Q434" s="7">
        <v>396</v>
      </c>
      <c r="R434" s="32">
        <f>S434/N434</f>
        <v>1</v>
      </c>
      <c r="S434" s="7">
        <f>1*N434</f>
        <v>31.8</v>
      </c>
      <c r="T434" s="32">
        <f>U434/N434</f>
        <v>1.3773584905660377</v>
      </c>
      <c r="U434" s="7">
        <f>171-L434</f>
        <v>43.8</v>
      </c>
      <c r="V434" s="32">
        <f>W434/N434</f>
        <v>8.4528301886792434</v>
      </c>
      <c r="W434" s="7">
        <f>Q434-2*N434-2*S434</f>
        <v>268.79999999999995</v>
      </c>
      <c r="X434" s="7">
        <v>2</v>
      </c>
      <c r="Y434" s="7">
        <f>AN434</f>
        <v>2</v>
      </c>
      <c r="Z434" s="32">
        <f>AA434/N434</f>
        <v>2.6666666666666665</v>
      </c>
      <c r="AA434" s="10">
        <f>2/3*K434</f>
        <v>84.8</v>
      </c>
      <c r="AB434" s="7">
        <f>MIN(S434/N434+0.5, W434/2/N434+0.5)</f>
        <v>1.5</v>
      </c>
      <c r="AC434" s="7">
        <f>S434/N434+0.5</f>
        <v>1.5</v>
      </c>
      <c r="AD434" s="7">
        <f>2040/510</f>
        <v>4</v>
      </c>
      <c r="AE434" s="7">
        <f>2040/510</f>
        <v>4</v>
      </c>
      <c r="AF434" s="7">
        <f>AE434+1</f>
        <v>5</v>
      </c>
      <c r="AG434" s="7">
        <f>N434*AF434^0.5</f>
        <v>71.106961684493314</v>
      </c>
      <c r="AH434" s="7">
        <f>J434</f>
        <v>649</v>
      </c>
      <c r="AI434" s="7">
        <v>11</v>
      </c>
      <c r="AJ434" s="7">
        <f>(732+713)/2</f>
        <v>722.5</v>
      </c>
      <c r="AK434" s="7"/>
      <c r="AL434" s="4">
        <f>CY434</f>
        <v>3.3494922008682169</v>
      </c>
      <c r="AM434" s="7">
        <v>12.7</v>
      </c>
      <c r="AN434" s="7">
        <v>2</v>
      </c>
      <c r="AO434" s="7">
        <v>64</v>
      </c>
      <c r="AP434" s="7">
        <v>4</v>
      </c>
      <c r="AQ434" s="7">
        <f>AN434</f>
        <v>2</v>
      </c>
      <c r="AR434" s="7">
        <f>3*AS434/(W434+N434)</f>
        <v>1.2694610778443116</v>
      </c>
      <c r="AS434" s="4">
        <f>K434</f>
        <v>127.2</v>
      </c>
      <c r="AT434" s="4">
        <f>IF(K434*3&gt;W434+N434, Q434, (S434+N434/2)*2+1.5*K434*(2*X434-2))*(3*K434)/(9*K434^2)</f>
        <v>1.0377358490566038</v>
      </c>
      <c r="AU434" s="4">
        <f>MIN(10*M434^0.5*K434^1.5,100*3.9*M434^0.5*K434^(5/3))/(PI()/4*N434^2)/X434</f>
        <v>102.93453939452981</v>
      </c>
      <c r="AV434" s="4">
        <f>MIN(0.7+0.3*(MIN(S434,AA434)+0.5*N434)/1.5/K434,1)</f>
        <v>0.77499999999999991</v>
      </c>
      <c r="AW434" s="4">
        <v>1.25</v>
      </c>
      <c r="AX434" s="47">
        <f>AX433</f>
        <v>1</v>
      </c>
      <c r="AY434" s="38">
        <f>AT434*AV434*AW434*AX434*AU434</f>
        <v>103.48077220971302</v>
      </c>
      <c r="AZ434" s="38">
        <f>AY434</f>
        <v>103.48077220971302</v>
      </c>
      <c r="BA434" s="38">
        <f>IF(M434&lt;50, 0.3*M434^(2/3), 2.12*LN(1+0.1*(M434+8)))</f>
        <v>5.7111767066521422</v>
      </c>
      <c r="BB434" s="38">
        <f>AX434* (M434^0.5/AS434^0.5)/(PI()/4*N434^2)/X434/0.72 *(0.7+(MIN(S434,AA434)+0.5*N434)/5/K434) *(3*Q434*K434)</f>
        <v>103.48077220971308</v>
      </c>
      <c r="BC434" s="38">
        <f>AY434/BB434</f>
        <v>0.99999999999999944</v>
      </c>
      <c r="BD434" s="38">
        <f>BH434/BB434</f>
        <v>7.5318340147334419</v>
      </c>
      <c r="BE434" s="4">
        <f>IF(BD434&lt;1,1,0)</f>
        <v>0</v>
      </c>
      <c r="BF434" s="4">
        <f>L434/N434*M434^0.5/0.19</f>
        <v>239.94459194200661</v>
      </c>
      <c r="BG434" s="4">
        <f>MIN(0.6+0.4*(AC434/AB434),2)</f>
        <v>1</v>
      </c>
      <c r="BH434" s="38">
        <f>2*M434*AB434*AD434^0.5*BG434*0.7/0.7</f>
        <v>779.40000000000009</v>
      </c>
      <c r="BI434" s="4">
        <f>MAX(1-0.7*AE434/5,0.3)</f>
        <v>0.44000000000000006</v>
      </c>
      <c r="BJ434" s="4">
        <f>BI434*J434*L434/(J434*N434/2.75/M434^0.5)</f>
        <v>55.163261687467333</v>
      </c>
      <c r="BK434" s="4">
        <f>BH434+BJ434</f>
        <v>834.56326168746739</v>
      </c>
      <c r="BM434" s="4">
        <f>MIN(1.5, 0.75+0.25*MIN(3,MAX(1,S434/N434))+0.4*MIN(1,(40*2*PI()*AM434^2/4/AO434/X434)/N434))</f>
        <v>1.4</v>
      </c>
      <c r="BN434" s="4">
        <f>(3*P434+30)*BM434*M434^0.5</f>
        <v>670.16524529402443</v>
      </c>
      <c r="BP434" s="4">
        <f>3.4/PI()^0.5*M434*AB434*AE434^0.5*BG434</f>
        <v>747.53991440910613</v>
      </c>
      <c r="BQ434" s="4">
        <f>8/3*AH434*AI434^2/(AG434-N434-22)/N434*(AG434^2-N434^2)/(AG434^2-(N434+22)^2)</f>
        <v>711.96329095823319</v>
      </c>
      <c r="BR434" s="4">
        <f>BQ434/BP434</f>
        <v>0.95240839617374207</v>
      </c>
      <c r="BZ434" s="4">
        <f>IF(W434=0,S434,MIN(W434/2,S434))</f>
        <v>31.8</v>
      </c>
      <c r="CD434" s="9"/>
      <c r="CF434" s="9"/>
      <c r="CG434" s="9"/>
      <c r="CH434" s="9">
        <f>IF(W434=0,MIN(S434,U434),MIN(W434/2,S434,U434))</f>
        <v>31.8</v>
      </c>
      <c r="CI434" s="9">
        <f>MAX(W434/2,S434)</f>
        <v>134.39999999999998</v>
      </c>
      <c r="CJ434" s="9">
        <f>(CH434/N434)^0.5*(CI434/CH434)^0.15</f>
        <v>1.2413544982455165</v>
      </c>
      <c r="CK434" s="70">
        <v>20</v>
      </c>
      <c r="CL434" s="9">
        <f>MIN(PI()*AM434^2/4*AN434*2/X434/N434/MAX(0.01,AO434),0.05)</f>
        <v>0.05</v>
      </c>
      <c r="CM434" s="9">
        <f>MAX(0,CK434*(CL434-0.5/50))</f>
        <v>0.8</v>
      </c>
      <c r="CN434" s="9">
        <f>MIN(1,(25/N434)^0.3)</f>
        <v>0.93036607665491811</v>
      </c>
      <c r="CO434" s="9">
        <f>IF(J434&gt;=800,0.68,IF(J434&gt;=700,0.75-(J434-700)*0.07/100,IF(J434&gt;=600,0.85-(J434-600)*0.1/100,IF(J434&gt;=500,1-(J434-500)*0.15/100,1.2-(J434-400)*0.2/100))))</f>
        <v>0.80099999999999993</v>
      </c>
      <c r="CP434" s="9">
        <f>1.75*CN434*CO434*(M434/25)^0.5</f>
        <v>2.9727542082721463</v>
      </c>
      <c r="CQ434" s="9">
        <f>MIN((CJ434+CM434)*CP434,2.5*CP434,M434^0.5)</f>
        <v>6.0684451752346353</v>
      </c>
      <c r="CR434" s="9">
        <v>1</v>
      </c>
      <c r="CS434" s="9">
        <f>4*CQ434*P434+60*CQ434</f>
        <v>461.20183331783232</v>
      </c>
      <c r="CU434" s="4">
        <f>AJ434/BF434</f>
        <v>3.0111118327460558</v>
      </c>
      <c r="CV434" s="4">
        <f>AJ434/BK434</f>
        <v>0.86572226836240296</v>
      </c>
      <c r="CW434" s="4">
        <f>AJ434/BN434</f>
        <v>1.0780923139083622</v>
      </c>
      <c r="CX434" s="4">
        <f>AJ434/CS434</f>
        <v>1.5665592541174849</v>
      </c>
      <c r="CY434" s="44">
        <f>AJ434/DZ434</f>
        <v>3.3494922008682169</v>
      </c>
      <c r="CZ434" s="4">
        <f>AJ434/EL434</f>
        <v>1.111818575715843</v>
      </c>
      <c r="DA434" s="4">
        <f>AJ434/GI434</f>
        <v>3.0726604353156195</v>
      </c>
      <c r="DI434" s="4">
        <f>CU434</f>
        <v>3.0111118327460558</v>
      </c>
      <c r="DJ434" s="4">
        <f>CV434</f>
        <v>0.86572226836240296</v>
      </c>
      <c r="DK434" s="4">
        <f>CX434</f>
        <v>1.5665592541174849</v>
      </c>
      <c r="DL434" s="4">
        <f>DA434</f>
        <v>3.0726604353156195</v>
      </c>
      <c r="DM434" s="4">
        <f>CY434</f>
        <v>3.3494922008682169</v>
      </c>
      <c r="DN434" s="4">
        <f>CZ434</f>
        <v>1.111818575715843</v>
      </c>
      <c r="DP434" s="4">
        <f>AN434</f>
        <v>2</v>
      </c>
      <c r="DQ434" s="4">
        <f>L434</f>
        <v>127.2</v>
      </c>
      <c r="DT434" s="4">
        <f>K434/4/(1-0.3*(M434/30)^0.5)/200000/N434</f>
        <v>1.3307058507295954E-5</v>
      </c>
      <c r="DU434" s="4">
        <f>EP434</f>
        <v>12.467523847691927</v>
      </c>
      <c r="DV434" s="4">
        <f>EC434*AG434/257/M434/AD434</f>
        <v>5.5102273408442357E-2</v>
      </c>
      <c r="DW434" s="4">
        <f>DU434*DV434^0.4</f>
        <v>3.9106415883479744</v>
      </c>
      <c r="DX434" s="4">
        <f>MIN(DU434, DU434/1.4*(1-DV434^1.4)/(1-DV434))</f>
        <v>9.2618025217274784</v>
      </c>
      <c r="DY434" s="4">
        <f>MAX(DU434/2, (4-DT434*(8*AG434*(DW434-DX434)+6*K434*DX434))/(4+DT434*K434*DU434)*DU434)</f>
        <v>12.23604365034679</v>
      </c>
      <c r="DZ434" s="38">
        <f>MIN(1/N434*(4*AG434*(DW434-DX434)+(3*DX434+DY434)*K434)+EC434 -FJ434,MAX(J434,AJ434))</f>
        <v>215.70433864951883</v>
      </c>
      <c r="EA434" s="4">
        <f>DZ434/FF434</f>
        <v>1.0001144750734638</v>
      </c>
      <c r="EB434" s="4">
        <f>AG434/N434</f>
        <v>2.2360679774997898</v>
      </c>
      <c r="EC434" s="4">
        <f>MIN(EB$10*BB434)</f>
        <v>103.48077220971308</v>
      </c>
      <c r="EG434" s="4">
        <f>IF(U434&gt;1*N434,0.85,1)</f>
        <v>0.85</v>
      </c>
      <c r="EH434" s="4">
        <f>MIN(1,MAX(0.7,(1-0.1*(BZ434-1*N434)/N434)))</f>
        <v>1</v>
      </c>
      <c r="EI434" s="4">
        <f>MIN(1,MAX(0.7,1-0.3*(PI()*AM434^2/4*AQ434*2-0.25*PI()/4*N434^2)/(PI()/4*N434^2)))</f>
        <v>0.88360329892013767</v>
      </c>
      <c r="EJ434" s="4">
        <f>IF(EH434*EI434&lt;0.7,0.7,EH434*EI434)</f>
        <v>0.88360329892013767</v>
      </c>
      <c r="EL434" s="4">
        <f>MIN(DU434/N434*3*K434+EM434-FJ434,MAX(J434,AJ434))</f>
        <v>649.83623747680167</v>
      </c>
      <c r="EM434" s="25">
        <f>26.5*Q434*K434^0.5*M434^0.5/X434/N434^2*(0.7+S434/5/K434)</f>
        <v>500.22595130449861</v>
      </c>
      <c r="EP434" s="4">
        <f>IF(N434&lt;22.2,1.1*5*(M434/30)^0.5,IF(N434&gt;=31.8,0.9*5*(M434/30)^0.5,1*5*(M434/30)^0.5))/EG434/EJ434</f>
        <v>12.467523847691927</v>
      </c>
      <c r="ES434" s="4">
        <f>ET434*N434</f>
        <v>71.106961684493314</v>
      </c>
      <c r="ET434" s="4">
        <f>AF434^0.5</f>
        <v>2.2360679774997898</v>
      </c>
      <c r="EU434" s="4">
        <f>MIN(EC434)/(4700*M434^0.5)/AE434*ES434</f>
        <v>3.4340716977066088E-2</v>
      </c>
      <c r="EX434" s="4">
        <f>EU434</f>
        <v>3.4340716977066088E-2</v>
      </c>
      <c r="EY434" s="4">
        <f>MIN(0.999, EX434/(0.3*(M434/30)^0.5))</f>
        <v>5.5010317983791392E-2</v>
      </c>
      <c r="EZ434" s="4">
        <f>EP434/1*EY434^0.4</f>
        <v>3.9080298274891896</v>
      </c>
      <c r="FA434" s="4">
        <f>EP434/1.4*(1-EY434^1.4)/(1-EY434)</f>
        <v>9.2612816818198027</v>
      </c>
      <c r="FB434" s="4">
        <f>MAX(0,DQ434*FB$9-ES434)</f>
        <v>24.293038315506692</v>
      </c>
      <c r="FC434" s="4">
        <f>MAX(0,DQ434-ES434-FB434)</f>
        <v>31.799999999999997</v>
      </c>
      <c r="FD434" s="4">
        <f>FC434/(1-0.3*(M434/30)^0.5)/200000/N434</f>
        <v>1.330705850729595E-5</v>
      </c>
      <c r="FE434" s="4">
        <f>MAX(0.5*EP434, (1-2*FD434*(ES434*EZ434+FB434*FA434))/(1/EP434+FD434*FC434))</f>
        <v>12.236109125544514</v>
      </c>
      <c r="FF434" s="4">
        <f>MIN(4/N434*(1*EZ434*ES434+FA434*FB434+FC434*FE434)+EC434,MAX(J434,AJ434))</f>
        <v>215.67964870588855</v>
      </c>
      <c r="FO434" s="23">
        <f>IF(CU434&lt;0.6,0.6,IF(CU434&lt;0.8,0.8,IF(CU434&lt;1,1,IF(CU434&lt;1.2,1.2,IF(CU434&lt;1.4,1.4,IF(CU434&lt;1.6,1.6,IF(CU434&lt;1.8,1.8,IF(CU434&lt;2,2,2.2))))))))</f>
        <v>2.2000000000000002</v>
      </c>
      <c r="FP434" s="23">
        <f>IF(CV434&lt;0.6,0.6,IF(CV434&lt;0.8,0.8,IF(CV434&lt;1,1,IF(CV434&lt;1.2,1.2,IF(CV434&lt;1.4,1.4,IF(CV434&lt;1.6,1.6,IF(CV434&lt;1.8,1.8,IF(CV434&lt;2,2,2.2))))))))</f>
        <v>1</v>
      </c>
      <c r="FQ434" s="23">
        <f>IF(DA434&lt;0.6,0.6,IF(DA434&lt;0.8,0.8,IF(DA434&lt;1,1,IF(DA434&lt;1.2,1.2,IF(DA434&lt;1.4,1.4,IF(DA434&lt;1.6,1.6,IF(DA434&lt;1.8,1.8,IF(DA434&lt;2,2,2.2))))))))</f>
        <v>2.2000000000000002</v>
      </c>
      <c r="FR434" s="23">
        <f>IF(CX434&lt;0.6,0.6,IF(CX434&lt;0.8,0.8,IF(CX434&lt;1,1,IF(CX434&lt;1.2,1.2,IF(CX434&lt;1.4,1.4,IF(CX434&lt;1.6,1.6,IF(CX434&lt;1.8,1.8,IF(CX434&lt;2,2,2.2))))))))</f>
        <v>1.6</v>
      </c>
      <c r="FS434" s="23">
        <f>IF(CY434&lt;0.6,0.6,IF(CY434&lt;0.8,0.8,IF(CY434&lt;1,1,IF(CY434&lt;1.2,1.2,IF(CY434&lt;1.4,1.4,IF(CY434&lt;1.6,1.6,IF(CY434&lt;1.8,1.8,IF(CY434&lt;2,2,2.2))))))))</f>
        <v>2.2000000000000002</v>
      </c>
      <c r="FT434" s="23">
        <f>IF(CZ434&lt;0.6,0.6,IF(CZ434&lt;0.8,0.8,IF(CZ434&lt;1,1,IF(CZ434&lt;1.2,1.2,IF(CZ434&lt;1.4,1.4,IF(CZ434&lt;1.6,1.6,IF(CZ434&lt;1.8,1.8,IF(CZ434&lt;2,2,2.2))))))))</f>
        <v>1.2</v>
      </c>
      <c r="FU434" s="23">
        <f>IF(FS434&lt;1,1,0)</f>
        <v>0</v>
      </c>
      <c r="FV434" s="23"/>
      <c r="GF434" s="4">
        <f>IF(S434&gt;=2.5*25.4,1,1.25)</f>
        <v>1.25</v>
      </c>
      <c r="GG434" s="4">
        <f>IF(AO434&gt;1, 0.05*(18-MIN(8,(W434+N434)/N434))*(1-48000/MAX(60000,(J434*145))*(N434/25.4)^0.75*GH434), 1/12*(14-MIN(8,(W434+N434)/N434)))</f>
        <v>0.40944449644340308</v>
      </c>
      <c r="GH434" s="4">
        <f>MIN(0.3, AM434^2*PI()/4*2*AP434/(N434^2*PI()/4*X434))</f>
        <v>0.3</v>
      </c>
      <c r="GI434" s="4">
        <f>(K434/25.4)/(N434/25.4)^1.5/0.0024*(M434*145)^0.25/GF434/GG434/145</f>
        <v>235.13825077966541</v>
      </c>
    </row>
    <row r="435" spans="1:191" ht="12" customHeight="1" x14ac:dyDescent="0.3">
      <c r="A435" s="25">
        <v>176</v>
      </c>
      <c r="B435" s="24" t="s">
        <v>128</v>
      </c>
      <c r="C435" s="24">
        <v>2017</v>
      </c>
      <c r="D435" s="24" t="s">
        <v>309</v>
      </c>
      <c r="E435" s="24"/>
      <c r="F435" s="115"/>
      <c r="G435" s="109"/>
      <c r="H435" s="4" t="s">
        <v>312</v>
      </c>
      <c r="I435" s="5">
        <f>K435/N435</f>
        <v>4</v>
      </c>
      <c r="J435" s="48">
        <v>667</v>
      </c>
      <c r="K435" s="104">
        <f>4*N435</f>
        <v>127.2</v>
      </c>
      <c r="L435" s="7">
        <f>K435</f>
        <v>127.2</v>
      </c>
      <c r="M435" s="82">
        <v>225.5</v>
      </c>
      <c r="N435" s="21">
        <v>31.8</v>
      </c>
      <c r="O435" s="7">
        <f>K435/N435</f>
        <v>4</v>
      </c>
      <c r="P435" s="7">
        <f>L435/N435</f>
        <v>4</v>
      </c>
      <c r="Q435" s="7">
        <v>396</v>
      </c>
      <c r="R435" s="32">
        <f>S435/N435</f>
        <v>1</v>
      </c>
      <c r="S435" s="7">
        <f>1*N435</f>
        <v>31.8</v>
      </c>
      <c r="T435" s="32">
        <f>U435/N435</f>
        <v>1.3773584905660377</v>
      </c>
      <c r="U435" s="7">
        <f>171-L435</f>
        <v>43.8</v>
      </c>
      <c r="V435" s="32">
        <f>W435/N435</f>
        <v>8.4528301886792434</v>
      </c>
      <c r="W435" s="7">
        <f>Q435-2*N435-2*S435</f>
        <v>268.79999999999995</v>
      </c>
      <c r="X435" s="7">
        <v>2</v>
      </c>
      <c r="Y435" s="7">
        <f>AN435</f>
        <v>0</v>
      </c>
      <c r="Z435" s="32">
        <f>AA435/N435</f>
        <v>2.6666666666666665</v>
      </c>
      <c r="AA435" s="10">
        <f>2/3*K435</f>
        <v>84.8</v>
      </c>
      <c r="AB435" s="7">
        <f>MIN(S435/N435+0.5, W435/2/N435+0.5)</f>
        <v>1.5</v>
      </c>
      <c r="AC435" s="7">
        <f>S435/N435+0.5</f>
        <v>1.5</v>
      </c>
      <c r="AD435" s="7">
        <f>2040/510</f>
        <v>4</v>
      </c>
      <c r="AE435" s="7">
        <f>2040/510</f>
        <v>4</v>
      </c>
      <c r="AF435" s="7">
        <f>AE435+1</f>
        <v>5</v>
      </c>
      <c r="AG435" s="7">
        <f>N435*AF435^0.5</f>
        <v>71.106961684493314</v>
      </c>
      <c r="AH435" s="7">
        <f>J435</f>
        <v>667</v>
      </c>
      <c r="AI435" s="7">
        <v>11</v>
      </c>
      <c r="AJ435" s="7">
        <f>(728+642)/2</f>
        <v>685</v>
      </c>
      <c r="AK435" s="7"/>
      <c r="AL435" s="4">
        <f>CY435</f>
        <v>2.6242898657708054</v>
      </c>
      <c r="AM435" s="7">
        <v>0</v>
      </c>
      <c r="AN435" s="7">
        <v>0</v>
      </c>
      <c r="AO435" s="7">
        <f>L435</f>
        <v>127.2</v>
      </c>
      <c r="AP435" s="7"/>
      <c r="AQ435" s="7"/>
      <c r="AR435" s="7">
        <f>3*AS435/(W435+N435)</f>
        <v>1.2694610778443116</v>
      </c>
      <c r="AS435" s="4">
        <f>K435</f>
        <v>127.2</v>
      </c>
      <c r="AT435" s="4">
        <f>IF(K435*3&gt;W435+N435, Q435, (S435+N435/2)*2+1.5*K435*(2*X435-2))*(3*K435)/(9*K435^2)</f>
        <v>1.0377358490566038</v>
      </c>
      <c r="AU435" s="4">
        <f>MIN(10*M435^0.5*K435^1.5,100*3.9*M435^0.5*K435^(5/3))/(PI()/4*N435^2)/X435</f>
        <v>135.62189960291116</v>
      </c>
      <c r="AV435" s="4">
        <f>MIN(0.7+0.3*(MIN(S435,AA435)+0.5*N435)/1.5/K435,1)</f>
        <v>0.77499999999999991</v>
      </c>
      <c r="AW435" s="4">
        <v>1.25</v>
      </c>
      <c r="AX435" s="47">
        <f>AX434</f>
        <v>1</v>
      </c>
      <c r="AY435" s="38">
        <f>AT435*AV435*AW435*AX435*AU435</f>
        <v>136.34159128712469</v>
      </c>
      <c r="AZ435" s="38">
        <f>AY435</f>
        <v>136.34159128712469</v>
      </c>
      <c r="BA435" s="38">
        <f>IF(M435&lt;50, 0.3*M435^(2/3), 2.12*LN(1+0.1*(M435+8)))</f>
        <v>6.7681675210006302</v>
      </c>
      <c r="BB435" s="38">
        <f>AX435* (M435^0.5/AS435^0.5)/(PI()/4*N435^2)/X435/0.72 *(0.7+(MIN(S435,AA435)+0.5*N435)/5/K435) *(3*Q435*K435)</f>
        <v>136.34159128712474</v>
      </c>
      <c r="BC435" s="38">
        <f>AY435/BB435</f>
        <v>0.99999999999999956</v>
      </c>
      <c r="BD435" s="38">
        <f>BH435/BB435</f>
        <v>9.9236042885159499</v>
      </c>
      <c r="BE435" s="4">
        <f>IF(BD435&lt;1,1,0)</f>
        <v>0</v>
      </c>
      <c r="BF435" s="4">
        <f>L435/N435*M435^0.5/0.19</f>
        <v>316.14015616170963</v>
      </c>
      <c r="BG435" s="4">
        <f>MIN(0.6+0.4*(AC435/AB435),2)</f>
        <v>1</v>
      </c>
      <c r="BH435" s="38">
        <f>2*M435*AB435*AD435^0.5*BG435*0.7/0.7</f>
        <v>1353</v>
      </c>
      <c r="BI435" s="4">
        <f>MAX(1-0.7*AE435/5,0.3)</f>
        <v>0.44000000000000006</v>
      </c>
      <c r="BJ435" s="4">
        <f>BI435*J435*L435/(J435*N435/2.75/M435^0.5)</f>
        <v>72.680621901577041</v>
      </c>
      <c r="BK435" s="4">
        <f>BH435+BJ435</f>
        <v>1425.6806219015771</v>
      </c>
      <c r="BM435" s="4">
        <f>MIN(1.5, 0.75+0.25*MIN(3,MAX(1,S435/N435))+0.4*MIN(1,(40*2*PI()*AM435^2/4/AO435/X435)/N435))</f>
        <v>1</v>
      </c>
      <c r="BN435" s="4">
        <f>(3*P435+30)*BM435*M435^0.5</f>
        <v>630.69961154261068</v>
      </c>
      <c r="BP435" s="4">
        <f>3.4/PI()^0.5*M435*AB435*AE435^0.5*BG435</f>
        <v>1297.6924611181944</v>
      </c>
      <c r="BQ435" s="4">
        <f>8/3*AH435*AI435^2/(AG435-N435-22)/N435*(AG435^2-N435^2)/(AG435^2-(N435+22)^2)</f>
        <v>731.7095763777221</v>
      </c>
      <c r="BR435" s="4">
        <f>BQ435/BP435</f>
        <v>0.56385437867707366</v>
      </c>
      <c r="BZ435" s="4">
        <f>IF(W435=0,S435,MIN(W435/2,S435))</f>
        <v>31.8</v>
      </c>
      <c r="CD435" s="9"/>
      <c r="CF435" s="9"/>
      <c r="CG435" s="9"/>
      <c r="CH435" s="9">
        <f>IF(W435=0,MIN(S435,U435),MIN(W435/2,S435,U435))</f>
        <v>31.8</v>
      </c>
      <c r="CI435" s="9">
        <f>MAX(W435/2,S435)</f>
        <v>134.39999999999998</v>
      </c>
      <c r="CJ435" s="9">
        <f>(CH435/N435)^0.5*(CI435/CH435)^0.15</f>
        <v>1.2413544982455165</v>
      </c>
      <c r="CK435" s="70">
        <v>0</v>
      </c>
      <c r="CL435" s="9">
        <f>MIN(PI()*AM435^2/4*AN435*2/X435/N435/MAX(0.01,AO435),0.05)</f>
        <v>0</v>
      </c>
      <c r="CM435" s="9">
        <f>MAX(0,CK435*(CL435-0.5/50))</f>
        <v>0</v>
      </c>
      <c r="CN435" s="9">
        <f>MIN(1,(25/N435)^0.3)</f>
        <v>0.93036607665491811</v>
      </c>
      <c r="CO435" s="9">
        <f>IF(J435&gt;=800,0.68,IF(J435&gt;=700,0.75-(J435-700)*0.07/100,IF(J435&gt;=600,0.85-(J435-600)*0.1/100,IF(J435&gt;=500,1-(J435-500)*0.15/100,1.2-(J435-400)*0.2/100))))</f>
        <v>0.78299999999999992</v>
      </c>
      <c r="CP435" s="9">
        <f>1.75*CN435*CO435*(M435/25)^0.5</f>
        <v>3.8287494384798837</v>
      </c>
      <c r="CQ435" s="9">
        <f>MIN((CJ435+CM435)*CP435,2.5*CP435,M435^0.5)</f>
        <v>4.752835338111999</v>
      </c>
      <c r="CR435" s="9">
        <v>1</v>
      </c>
      <c r="CS435" s="9">
        <f>4*CQ435*P435+60*CQ435</f>
        <v>361.21548569651196</v>
      </c>
      <c r="CU435" s="4">
        <f>AJ435/BF435</f>
        <v>2.1667604910323823</v>
      </c>
      <c r="CV435" s="4">
        <f>AJ435/BK435</f>
        <v>0.48047226670328519</v>
      </c>
      <c r="CW435" s="4">
        <f>AJ435/BN435</f>
        <v>1.0860954842267581</v>
      </c>
      <c r="CX435" s="4">
        <f>AJ435/CS435</f>
        <v>1.8963749538011976</v>
      </c>
      <c r="CY435" s="44">
        <f>AJ435/DZ435</f>
        <v>2.6242898657708054</v>
      </c>
      <c r="CZ435" s="4">
        <f>AJ435/EL435</f>
        <v>1</v>
      </c>
      <c r="DA435" s="4">
        <f>AJ435/GI435</f>
        <v>3.0992592497031439</v>
      </c>
      <c r="DC435" s="4">
        <f>CU435</f>
        <v>2.1667604910323823</v>
      </c>
      <c r="DD435" s="4">
        <f>CV435</f>
        <v>0.48047226670328519</v>
      </c>
      <c r="DE435" s="4">
        <f>CX435</f>
        <v>1.8963749538011976</v>
      </c>
      <c r="DF435" s="4">
        <f>DA435</f>
        <v>3.0992592497031439</v>
      </c>
      <c r="DG435" s="4">
        <f>CY435</f>
        <v>2.6242898657708054</v>
      </c>
      <c r="DH435" s="4">
        <f>CZ435</f>
        <v>1</v>
      </c>
      <c r="DP435" s="4">
        <f>AN435</f>
        <v>0</v>
      </c>
      <c r="DQ435" s="4">
        <f>L435</f>
        <v>127.2</v>
      </c>
      <c r="DT435" s="4">
        <f>K435/4/(1-0.3*(M435/30)^0.5)/200000/N435</f>
        <v>2.8168411137544479E-5</v>
      </c>
      <c r="DU435" s="4">
        <f>EP435</f>
        <v>14.514638834102248</v>
      </c>
      <c r="DV435" s="4">
        <f>EC435*AG435/257/M435/AD435</f>
        <v>4.1821616932784161E-2</v>
      </c>
      <c r="DW435" s="4">
        <f>DU435*DV435^0.4</f>
        <v>4.0772426801562647</v>
      </c>
      <c r="DX435" s="4">
        <f>MIN(DU435, DU435/1.4*(1-DV435^1.4)/(1-DV435))</f>
        <v>10.692999942150589</v>
      </c>
      <c r="DY435" s="4">
        <f>MAX(DU435/2, (4-DT435*(8*AG435*(DW435-DX435)+6*K435*DX435))/(4+DT435*K435*DU435)*DU435)</f>
        <v>13.884634013483094</v>
      </c>
      <c r="DZ435" s="38">
        <f>MIN(1/N435*(4*AG435*(DW435-DX435)+(3*DX435+DY435)*K435)+EC435 -FJ435,MAX(J435,AJ435))</f>
        <v>261.02299480503541</v>
      </c>
      <c r="EA435" s="4">
        <f>DZ435/FF435</f>
        <v>1.000096419193788</v>
      </c>
      <c r="EB435" s="4">
        <f>AG435/N435</f>
        <v>2.2360679774997898</v>
      </c>
      <c r="EC435" s="4">
        <f>MIN(EB$10*BB435)</f>
        <v>136.34159128712474</v>
      </c>
      <c r="EG435" s="4">
        <f>IF(U435&gt;1*N435,0.85,1)</f>
        <v>0.85</v>
      </c>
      <c r="EH435" s="4">
        <f>MIN(1,MAX(0.7,(1-0.1*(BZ435-1*N435)/N435)))</f>
        <v>1</v>
      </c>
      <c r="EI435" s="4">
        <f>MIN(1,MAX(0.7,1-0.3*(PI()*AM435^2/4*AQ435*2-0.25*PI()/4*N435^2)/(PI()/4*N435^2)))</f>
        <v>1</v>
      </c>
      <c r="EJ435" s="4">
        <f>IF(EH435*EI435&lt;0.7,0.7,EH435*EI435)</f>
        <v>1</v>
      </c>
      <c r="EL435" s="4">
        <f>MIN(DU435/N435*3*K435+EM435-FJ435,MAX(J435,AJ435))</f>
        <v>685</v>
      </c>
      <c r="EM435" s="25">
        <f>26.5*Q435*K435^0.5*M435^0.5/X435/N435^2*(0.7+S435/5/K435)</f>
        <v>659.07511847470983</v>
      </c>
      <c r="EP435" s="4">
        <f>IF(N435&lt;22.2,1.1*5*(M435/30)^0.5,IF(N435&gt;=31.8,0.9*5*(M435/30)^0.5,1*5*(M435/30)^0.5))/EG435/EJ435</f>
        <v>14.514638834102248</v>
      </c>
      <c r="ES435" s="4">
        <f>ET435*N435</f>
        <v>71.106961684493314</v>
      </c>
      <c r="ET435" s="4">
        <f>AF435^0.5</f>
        <v>2.2360679774997898</v>
      </c>
      <c r="EU435" s="4">
        <f>MIN(EC435)/(4700*M435^0.5)/AE435*ES435</f>
        <v>3.4340716977066081E-2</v>
      </c>
      <c r="EX435" s="4">
        <f>EU435</f>
        <v>3.4340716977066081E-2</v>
      </c>
      <c r="EY435" s="4">
        <f>MIN(0.999, EX435/(0.3*(M435/30)^0.5))</f>
        <v>4.175182444861316E-2</v>
      </c>
      <c r="EZ435" s="4">
        <f>EP435/1*EY435^0.4</f>
        <v>4.0745196531022057</v>
      </c>
      <c r="FA435" s="4">
        <f>EP435/1.4*(1-EY435^1.4)/(1-EY435)</f>
        <v>10.692517994829101</v>
      </c>
      <c r="FB435" s="4">
        <f>MAX(0,DQ435*FB$9-ES435)</f>
        <v>24.293038315506692</v>
      </c>
      <c r="FC435" s="4">
        <f>MAX(0,DQ435-ES435-FB435)</f>
        <v>31.799999999999997</v>
      </c>
      <c r="FD435" s="4">
        <f>FC435/(1-0.3*(M435/30)^0.5)/200000/N435</f>
        <v>2.8168411137544476E-5</v>
      </c>
      <c r="FE435" s="4">
        <f>MAX(0.5*EP435, (1-2*FD435*(ES435*EZ435+FB435*FA435))/(1/EP435+FD435*FC435))</f>
        <v>13.884799761994868</v>
      </c>
      <c r="FF435" s="4">
        <f>MIN(4/N435*(1*EZ435*ES435+FA435*FB435+FC435*FE435)+EC435,MAX(J435,AJ435))</f>
        <v>260.99782960472453</v>
      </c>
      <c r="FO435" s="23">
        <f>IF(CU435&lt;0.6,0.6,IF(CU435&lt;0.8,0.8,IF(CU435&lt;1,1,IF(CU435&lt;1.2,1.2,IF(CU435&lt;1.4,1.4,IF(CU435&lt;1.6,1.6,IF(CU435&lt;1.8,1.8,IF(CU435&lt;2,2,2.2))))))))</f>
        <v>2.2000000000000002</v>
      </c>
      <c r="FP435" s="23">
        <f>IF(CV435&lt;0.6,0.6,IF(CV435&lt;0.8,0.8,IF(CV435&lt;1,1,IF(CV435&lt;1.2,1.2,IF(CV435&lt;1.4,1.4,IF(CV435&lt;1.6,1.6,IF(CV435&lt;1.8,1.8,IF(CV435&lt;2,2,2.2))))))))</f>
        <v>0.6</v>
      </c>
      <c r="FQ435" s="23">
        <f>IF(DA435&lt;0.6,0.6,IF(DA435&lt;0.8,0.8,IF(DA435&lt;1,1,IF(DA435&lt;1.2,1.2,IF(DA435&lt;1.4,1.4,IF(DA435&lt;1.6,1.6,IF(DA435&lt;1.8,1.8,IF(DA435&lt;2,2,2.2))))))))</f>
        <v>2.2000000000000002</v>
      </c>
      <c r="FR435" s="23">
        <f>IF(CX435&lt;0.6,0.6,IF(CX435&lt;0.8,0.8,IF(CX435&lt;1,1,IF(CX435&lt;1.2,1.2,IF(CX435&lt;1.4,1.4,IF(CX435&lt;1.6,1.6,IF(CX435&lt;1.8,1.8,IF(CX435&lt;2,2,2.2))))))))</f>
        <v>2</v>
      </c>
      <c r="FS435" s="23">
        <f>IF(CY435&lt;0.6,0.6,IF(CY435&lt;0.8,0.8,IF(CY435&lt;1,1,IF(CY435&lt;1.2,1.2,IF(CY435&lt;1.4,1.4,IF(CY435&lt;1.6,1.6,IF(CY435&lt;1.8,1.8,IF(CY435&lt;2,2,2.2))))))))</f>
        <v>2.2000000000000002</v>
      </c>
      <c r="FT435" s="23">
        <f>IF(CZ435&lt;0.6,0.6,IF(CZ435&lt;0.8,0.8,IF(CZ435&lt;1,1,IF(CZ435&lt;1.2,1.2,IF(CZ435&lt;1.4,1.4,IF(CZ435&lt;1.6,1.6,IF(CZ435&lt;1.8,1.8,IF(CZ435&lt;2,2,2.2))))))))</f>
        <v>1.2</v>
      </c>
      <c r="FU435" s="23">
        <f>IF(FS435&lt;1,1,0)</f>
        <v>0</v>
      </c>
      <c r="FV435" s="23"/>
      <c r="GF435" s="4">
        <f>IF(S435&gt;=2.5*25.4,1,1.25)</f>
        <v>1.25</v>
      </c>
      <c r="GG435" s="4">
        <f>IF(AO435&gt;1, 0.05*(18-MIN(8,(W435+N435)/N435))*(1-48000/MAX(60000,(J435*145))*(N435/25.4)^0.75*GH435), 1/12*(14-MIN(8,(W435+N435)/N435)))</f>
        <v>0.5</v>
      </c>
      <c r="GH435" s="4">
        <f>MIN(0.3, AM435^2*PI()/4*2*AP435/(N435^2*PI()/4*X435))</f>
        <v>0</v>
      </c>
      <c r="GI435" s="4">
        <f>(K435/25.4)/(N435/25.4)^1.5/0.0024*(M435*145)^0.25/GF435/GG435/145</f>
        <v>221.02055517479258</v>
      </c>
    </row>
    <row r="436" spans="1:191" ht="12" customHeight="1" x14ac:dyDescent="0.3">
      <c r="A436" s="25">
        <v>177</v>
      </c>
      <c r="B436" s="24" t="s">
        <v>128</v>
      </c>
      <c r="C436" s="24">
        <v>2017</v>
      </c>
      <c r="D436" s="24" t="s">
        <v>309</v>
      </c>
      <c r="E436" s="24"/>
      <c r="F436" s="115"/>
      <c r="G436" s="109"/>
      <c r="H436" s="4" t="s">
        <v>154</v>
      </c>
      <c r="I436" s="5">
        <f>K436/N436</f>
        <v>4</v>
      </c>
      <c r="J436" s="48">
        <v>667</v>
      </c>
      <c r="K436" s="104">
        <f>4*N436</f>
        <v>127.2</v>
      </c>
      <c r="L436" s="7">
        <f>K436</f>
        <v>127.2</v>
      </c>
      <c r="M436" s="82">
        <v>225.5</v>
      </c>
      <c r="N436" s="21">
        <v>31.8</v>
      </c>
      <c r="O436" s="7">
        <f>K436/N436</f>
        <v>4</v>
      </c>
      <c r="P436" s="7">
        <f>L436/N436</f>
        <v>4</v>
      </c>
      <c r="Q436" s="7">
        <v>396</v>
      </c>
      <c r="R436" s="32">
        <f>S436/N436</f>
        <v>1</v>
      </c>
      <c r="S436" s="7">
        <f>1*N436</f>
        <v>31.8</v>
      </c>
      <c r="T436" s="32">
        <f>U436/N436</f>
        <v>1.3773584905660377</v>
      </c>
      <c r="U436" s="7">
        <f>171-L436</f>
        <v>43.8</v>
      </c>
      <c r="V436" s="32">
        <f>W436/N436</f>
        <v>8.4528301886792434</v>
      </c>
      <c r="W436" s="7">
        <f>Q436-2*N436-2*S436</f>
        <v>268.79999999999995</v>
      </c>
      <c r="X436" s="7">
        <v>2</v>
      </c>
      <c r="Y436" s="7">
        <f>AN436</f>
        <v>0</v>
      </c>
      <c r="Z436" s="32">
        <f>AA436/N436</f>
        <v>2.6666666666666665</v>
      </c>
      <c r="AA436" s="10">
        <f>2/3*K436</f>
        <v>84.8</v>
      </c>
      <c r="AB436" s="7">
        <f>MIN(S436/N436+0.5, W436/2/N436+0.5)</f>
        <v>1.5</v>
      </c>
      <c r="AC436" s="7">
        <f>S436/N436+0.5</f>
        <v>1.5</v>
      </c>
      <c r="AD436" s="7">
        <f>2040/510</f>
        <v>4</v>
      </c>
      <c r="AE436" s="7">
        <f>2040/510</f>
        <v>4</v>
      </c>
      <c r="AF436" s="7">
        <f>AE436+1</f>
        <v>5</v>
      </c>
      <c r="AG436" s="7">
        <f>N436*AF436^0.5</f>
        <v>71.106961684493314</v>
      </c>
      <c r="AH436" s="7">
        <f>J436</f>
        <v>667</v>
      </c>
      <c r="AI436" s="7">
        <v>11</v>
      </c>
      <c r="AJ436" s="7">
        <f>(742+707)/2</f>
        <v>724.5</v>
      </c>
      <c r="AK436" s="7"/>
      <c r="AL436" s="4">
        <f>CY436</f>
        <v>2.7756175295634287</v>
      </c>
      <c r="AM436" s="7">
        <v>0</v>
      </c>
      <c r="AN436" s="7">
        <v>0</v>
      </c>
      <c r="AO436" s="7">
        <f>L436</f>
        <v>127.2</v>
      </c>
      <c r="AP436" s="7"/>
      <c r="AQ436" s="7"/>
      <c r="AR436" s="7">
        <f>3*AS436/(W436+N436)</f>
        <v>1.2694610778443116</v>
      </c>
      <c r="AS436" s="4">
        <f>K436</f>
        <v>127.2</v>
      </c>
      <c r="AT436" s="4">
        <f>IF(K436*3&gt;W436+N436, Q436, (S436+N436/2)*2+1.5*K436*(2*X436-2))*(3*K436)/(9*K436^2)</f>
        <v>1.0377358490566038</v>
      </c>
      <c r="AU436" s="4">
        <f>MIN(10*M436^0.5*K436^1.5,100*3.9*M436^0.5*K436^(5/3))/(PI()/4*N436^2)/X436</f>
        <v>135.62189960291116</v>
      </c>
      <c r="AV436" s="4">
        <f>MIN(0.7+0.3*(MIN(S436,AA436)+0.5*N436)/1.5/K436,1)</f>
        <v>0.77499999999999991</v>
      </c>
      <c r="AW436" s="4">
        <v>1.25</v>
      </c>
      <c r="AX436" s="47">
        <f>AX435</f>
        <v>1</v>
      </c>
      <c r="AY436" s="38">
        <f>AT436*AV436*AW436*AX436*AU436</f>
        <v>136.34159128712469</v>
      </c>
      <c r="AZ436" s="38">
        <f>AY436</f>
        <v>136.34159128712469</v>
      </c>
      <c r="BA436" s="38">
        <f>IF(M436&lt;50, 0.3*M436^(2/3), 2.12*LN(1+0.1*(M436+8)))</f>
        <v>6.7681675210006302</v>
      </c>
      <c r="BB436" s="38">
        <f>AX436* (M436^0.5/AS436^0.5)/(PI()/4*N436^2)/X436/0.72 *(0.7+(MIN(S436,AA436)+0.5*N436)/5/K436) *(3*Q436*K436)</f>
        <v>136.34159128712474</v>
      </c>
      <c r="BC436" s="38">
        <f>AY436/BB436</f>
        <v>0.99999999999999956</v>
      </c>
      <c r="BD436" s="38">
        <f>BH436/BB436</f>
        <v>9.9236042885159499</v>
      </c>
      <c r="BE436" s="4">
        <f>IF(BD436&lt;1,1,0)</f>
        <v>0</v>
      </c>
      <c r="BF436" s="4">
        <f>L436/N436*M436^0.5/0.19</f>
        <v>316.14015616170963</v>
      </c>
      <c r="BG436" s="4">
        <f>MIN(0.6+0.4*(AC436/AB436),2)</f>
        <v>1</v>
      </c>
      <c r="BH436" s="38">
        <f>2*M436*AB436*AD436^0.5*BG436*0.7/0.7</f>
        <v>1353</v>
      </c>
      <c r="BI436" s="4">
        <f>MAX(1-0.7*AE436/5,0.3)</f>
        <v>0.44000000000000006</v>
      </c>
      <c r="BJ436" s="4">
        <f>BI436*J436*L436/(J436*N436/2.75/M436^0.5)</f>
        <v>72.680621901577041</v>
      </c>
      <c r="BK436" s="4">
        <f>BH436+BJ436</f>
        <v>1425.6806219015771</v>
      </c>
      <c r="BM436" s="4">
        <f>MIN(1.5, 0.75+0.25*MIN(3,MAX(1,S436/N436))+0.4*MIN(1,(40*2*PI()*AM436^2/4/AO436/X436)/N436))</f>
        <v>1</v>
      </c>
      <c r="BN436" s="4">
        <f>(3*P436+30)*BM436*M436^0.5</f>
        <v>630.69961154261068</v>
      </c>
      <c r="BP436" s="4">
        <f>3.4/PI()^0.5*M436*AB436*AE436^0.5*BG436</f>
        <v>1297.6924611181944</v>
      </c>
      <c r="BQ436" s="4">
        <f>8/3*AH436*AI436^2/(AG436-N436-22)/N436*(AG436^2-N436^2)/(AG436^2-(N436+22)^2)</f>
        <v>731.7095763777221</v>
      </c>
      <c r="BR436" s="4">
        <f>BQ436/BP436</f>
        <v>0.56385437867707366</v>
      </c>
      <c r="BZ436" s="4">
        <f>IF(W436=0,S436,MIN(W436/2,S436))</f>
        <v>31.8</v>
      </c>
      <c r="CD436" s="9"/>
      <c r="CF436" s="9"/>
      <c r="CG436" s="9"/>
      <c r="CH436" s="9">
        <f>IF(W436=0,MIN(S436,U436),MIN(W436/2,S436,U436))</f>
        <v>31.8</v>
      </c>
      <c r="CI436" s="9">
        <f>MAX(W436/2,S436)</f>
        <v>134.39999999999998</v>
      </c>
      <c r="CJ436" s="9">
        <f>(CH436/N436)^0.5*(CI436/CH436)^0.15</f>
        <v>1.2413544982455165</v>
      </c>
      <c r="CK436" s="70">
        <v>0</v>
      </c>
      <c r="CL436" s="9">
        <f>MIN(PI()*AM436^2/4*AN436*2/X436/N436/MAX(0.01,AO436),0.05)</f>
        <v>0</v>
      </c>
      <c r="CM436" s="9">
        <f>MAX(0,CK436*(CL436-0.5/50))</f>
        <v>0</v>
      </c>
      <c r="CN436" s="9">
        <f>MIN(1,(25/N436)^0.3)</f>
        <v>0.93036607665491811</v>
      </c>
      <c r="CO436" s="9">
        <f>IF(J436&gt;=800,0.68,IF(J436&gt;=700,0.75-(J436-700)*0.07/100,IF(J436&gt;=600,0.85-(J436-600)*0.1/100,IF(J436&gt;=500,1-(J436-500)*0.15/100,1.2-(J436-400)*0.2/100))))</f>
        <v>0.78299999999999992</v>
      </c>
      <c r="CP436" s="9">
        <f>1.75*CN436*CO436*(M436/25)^0.5</f>
        <v>3.8287494384798837</v>
      </c>
      <c r="CQ436" s="9">
        <f>MIN((CJ436+CM436)*CP436,2.5*CP436,M436^0.5)</f>
        <v>4.752835338111999</v>
      </c>
      <c r="CR436" s="9">
        <v>1</v>
      </c>
      <c r="CS436" s="9">
        <f>4*CQ436*P436+60*CQ436</f>
        <v>361.21548569651196</v>
      </c>
      <c r="CU436" s="4">
        <f>AJ436/BF436</f>
        <v>2.2917050740919138</v>
      </c>
      <c r="CV436" s="4">
        <f>AJ436/BK436</f>
        <v>0.50817833171756221</v>
      </c>
      <c r="CW436" s="4">
        <f>AJ436/BN436</f>
        <v>1.1487243479157463</v>
      </c>
      <c r="CX436" s="4">
        <f>AJ436/CS436</f>
        <v>2.0057279620860839</v>
      </c>
      <c r="CY436" s="44">
        <f>AJ436/DZ436</f>
        <v>2.7756175295634287</v>
      </c>
      <c r="CZ436" s="4">
        <f>AJ436/EL436</f>
        <v>1</v>
      </c>
      <c r="DA436" s="4">
        <f>AJ436/GI436</f>
        <v>3.2779756589925952</v>
      </c>
      <c r="DC436" s="4">
        <f>CU436</f>
        <v>2.2917050740919138</v>
      </c>
      <c r="DD436" s="4">
        <f>CV436</f>
        <v>0.50817833171756221</v>
      </c>
      <c r="DE436" s="4">
        <f>CX436</f>
        <v>2.0057279620860839</v>
      </c>
      <c r="DF436" s="4">
        <f>DA436</f>
        <v>3.2779756589925952</v>
      </c>
      <c r="DG436" s="4">
        <f>CY436</f>
        <v>2.7756175295634287</v>
      </c>
      <c r="DH436" s="4">
        <f>CZ436</f>
        <v>1</v>
      </c>
      <c r="DP436" s="4">
        <f>AN436</f>
        <v>0</v>
      </c>
      <c r="DQ436" s="4">
        <f>L436</f>
        <v>127.2</v>
      </c>
      <c r="DT436" s="4">
        <f>K436/4/(1-0.3*(M436/30)^0.5)/200000/N436</f>
        <v>2.8168411137544479E-5</v>
      </c>
      <c r="DU436" s="4">
        <f>EP436</f>
        <v>14.514638834102248</v>
      </c>
      <c r="DV436" s="4">
        <f>EC436*AG436/257/M436/AD436</f>
        <v>4.1821616932784161E-2</v>
      </c>
      <c r="DW436" s="4">
        <f>DU436*DV436^0.4</f>
        <v>4.0772426801562647</v>
      </c>
      <c r="DX436" s="4">
        <f>MIN(DU436, DU436/1.4*(1-DV436^1.4)/(1-DV436))</f>
        <v>10.692999942150589</v>
      </c>
      <c r="DY436" s="4">
        <f>MAX(DU436/2, (4-DT436*(8*AG436*(DW436-DX436)+6*K436*DX436))/(4+DT436*K436*DU436)*DU436)</f>
        <v>13.884634013483094</v>
      </c>
      <c r="DZ436" s="38">
        <f>MIN(1/N436*(4*AG436*(DW436-DX436)+(3*DX436+DY436)*K436)+EC436 -FJ436,MAX(J436,AJ436))</f>
        <v>261.02299480503541</v>
      </c>
      <c r="EA436" s="4">
        <f>DZ436/FF436</f>
        <v>1.000096419193788</v>
      </c>
      <c r="EB436" s="4">
        <f>AG436/N436</f>
        <v>2.2360679774997898</v>
      </c>
      <c r="EC436" s="4">
        <f>MIN(EB$10*BB436)</f>
        <v>136.34159128712474</v>
      </c>
      <c r="EG436" s="4">
        <f>IF(U436&gt;1*N436,0.85,1)</f>
        <v>0.85</v>
      </c>
      <c r="EH436" s="4">
        <f>MIN(1,MAX(0.7,(1-0.1*(BZ436-1*N436)/N436)))</f>
        <v>1</v>
      </c>
      <c r="EI436" s="4">
        <f>MIN(1,MAX(0.7,1-0.3*(PI()*AM436^2/4*AQ436*2-0.25*PI()/4*N436^2)/(PI()/4*N436^2)))</f>
        <v>1</v>
      </c>
      <c r="EJ436" s="4">
        <f>IF(EH436*EI436&lt;0.7,0.7,EH436*EI436)</f>
        <v>1</v>
      </c>
      <c r="EL436" s="4">
        <f>MIN(DU436/N436*3*K436+EM436-FJ436,MAX(J436,AJ436))</f>
        <v>724.5</v>
      </c>
      <c r="EM436" s="25">
        <f>26.5*Q436*K436^0.5*M436^0.5/X436/N436^2*(0.7+S436/5/K436)</f>
        <v>659.07511847470983</v>
      </c>
      <c r="EP436" s="4">
        <f>IF(N436&lt;22.2,1.1*5*(M436/30)^0.5,IF(N436&gt;=31.8,0.9*5*(M436/30)^0.5,1*5*(M436/30)^0.5))/EG436/EJ436</f>
        <v>14.514638834102248</v>
      </c>
      <c r="ES436" s="4">
        <f>ET436*N436</f>
        <v>71.106961684493314</v>
      </c>
      <c r="ET436" s="4">
        <f>AF436^0.5</f>
        <v>2.2360679774997898</v>
      </c>
      <c r="EU436" s="4">
        <f>MIN(EC436)/(4700*M436^0.5)/AE436*ES436</f>
        <v>3.4340716977066081E-2</v>
      </c>
      <c r="EX436" s="4">
        <f>EU436</f>
        <v>3.4340716977066081E-2</v>
      </c>
      <c r="EY436" s="4">
        <f>MIN(0.999, EX436/(0.3*(M436/30)^0.5))</f>
        <v>4.175182444861316E-2</v>
      </c>
      <c r="EZ436" s="4">
        <f>EP436/1*EY436^0.4</f>
        <v>4.0745196531022057</v>
      </c>
      <c r="FA436" s="4">
        <f>EP436/1.4*(1-EY436^1.4)/(1-EY436)</f>
        <v>10.692517994829101</v>
      </c>
      <c r="FB436" s="4">
        <f>MAX(0,DQ436*FB$9-ES436)</f>
        <v>24.293038315506692</v>
      </c>
      <c r="FC436" s="4">
        <f>MAX(0,DQ436-ES436-FB436)</f>
        <v>31.799999999999997</v>
      </c>
      <c r="FD436" s="4">
        <f>FC436/(1-0.3*(M436/30)^0.5)/200000/N436</f>
        <v>2.8168411137544476E-5</v>
      </c>
      <c r="FE436" s="4">
        <f>MAX(0.5*EP436, (1-2*FD436*(ES436*EZ436+FB436*FA436))/(1/EP436+FD436*FC436))</f>
        <v>13.884799761994868</v>
      </c>
      <c r="FF436" s="4">
        <f>MIN(4/N436*(1*EZ436*ES436+FA436*FB436+FC436*FE436)+EC436,MAX(J436,AJ436))</f>
        <v>260.99782960472453</v>
      </c>
      <c r="FO436" s="23">
        <f>IF(CU436&lt;0.6,0.6,IF(CU436&lt;0.8,0.8,IF(CU436&lt;1,1,IF(CU436&lt;1.2,1.2,IF(CU436&lt;1.4,1.4,IF(CU436&lt;1.6,1.6,IF(CU436&lt;1.8,1.8,IF(CU436&lt;2,2,2.2))))))))</f>
        <v>2.2000000000000002</v>
      </c>
      <c r="FP436" s="23">
        <f>IF(CV436&lt;0.6,0.6,IF(CV436&lt;0.8,0.8,IF(CV436&lt;1,1,IF(CV436&lt;1.2,1.2,IF(CV436&lt;1.4,1.4,IF(CV436&lt;1.6,1.6,IF(CV436&lt;1.8,1.8,IF(CV436&lt;2,2,2.2))))))))</f>
        <v>0.6</v>
      </c>
      <c r="FQ436" s="23">
        <f>IF(DA436&lt;0.6,0.6,IF(DA436&lt;0.8,0.8,IF(DA436&lt;1,1,IF(DA436&lt;1.2,1.2,IF(DA436&lt;1.4,1.4,IF(DA436&lt;1.6,1.6,IF(DA436&lt;1.8,1.8,IF(DA436&lt;2,2,2.2))))))))</f>
        <v>2.2000000000000002</v>
      </c>
      <c r="FR436" s="23">
        <f>IF(CX436&lt;0.6,0.6,IF(CX436&lt;0.8,0.8,IF(CX436&lt;1,1,IF(CX436&lt;1.2,1.2,IF(CX436&lt;1.4,1.4,IF(CX436&lt;1.6,1.6,IF(CX436&lt;1.8,1.8,IF(CX436&lt;2,2,2.2))))))))</f>
        <v>2.2000000000000002</v>
      </c>
      <c r="FS436" s="23">
        <f>IF(CY436&lt;0.6,0.6,IF(CY436&lt;0.8,0.8,IF(CY436&lt;1,1,IF(CY436&lt;1.2,1.2,IF(CY436&lt;1.4,1.4,IF(CY436&lt;1.6,1.6,IF(CY436&lt;1.8,1.8,IF(CY436&lt;2,2,2.2))))))))</f>
        <v>2.2000000000000002</v>
      </c>
      <c r="FT436" s="23">
        <f>IF(CZ436&lt;0.6,0.6,IF(CZ436&lt;0.8,0.8,IF(CZ436&lt;1,1,IF(CZ436&lt;1.2,1.2,IF(CZ436&lt;1.4,1.4,IF(CZ436&lt;1.6,1.6,IF(CZ436&lt;1.8,1.8,IF(CZ436&lt;2,2,2.2))))))))</f>
        <v>1.2</v>
      </c>
      <c r="FU436" s="23">
        <f>IF(FS436&lt;1,1,0)</f>
        <v>0</v>
      </c>
      <c r="FV436" s="23"/>
      <c r="GF436" s="4">
        <f>IF(S436&gt;=2.5*25.4,1,1.25)</f>
        <v>1.25</v>
      </c>
      <c r="GG436" s="4">
        <f>IF(AO436&gt;1, 0.05*(18-MIN(8,(W436+N436)/N436))*(1-48000/MAX(60000,(J436*145))*(N436/25.4)^0.75*GH436), 1/12*(14-MIN(8,(W436+N436)/N436)))</f>
        <v>0.5</v>
      </c>
      <c r="GH436" s="4">
        <f>MIN(0.3, AM436^2*PI()/4*2*AP436/(N436^2*PI()/4*X436))</f>
        <v>0</v>
      </c>
      <c r="GI436" s="4">
        <f>(K436/25.4)/(N436/25.4)^1.5/0.0024*(M436*145)^0.25/GF436/GG436/145</f>
        <v>221.02055517479258</v>
      </c>
    </row>
    <row r="437" spans="1:191" ht="12" customHeight="1" x14ac:dyDescent="0.3">
      <c r="A437" s="25">
        <v>357</v>
      </c>
      <c r="B437" s="4" t="s">
        <v>605</v>
      </c>
      <c r="C437" s="4">
        <v>2016</v>
      </c>
      <c r="D437" s="4" t="s">
        <v>309</v>
      </c>
      <c r="E437" s="24" t="s">
        <v>520</v>
      </c>
      <c r="F437" s="97" t="s">
        <v>762</v>
      </c>
      <c r="G437" s="24">
        <v>1</v>
      </c>
      <c r="H437" s="7" t="s">
        <v>522</v>
      </c>
      <c r="I437" s="5">
        <f>K437/N437</f>
        <v>7.056</v>
      </c>
      <c r="J437" s="38">
        <f>139/0.145</f>
        <v>958.62068965517244</v>
      </c>
      <c r="K437" s="76">
        <f>4.41*25.4</f>
        <v>112.014</v>
      </c>
      <c r="L437" s="4">
        <f>K437</f>
        <v>112.014</v>
      </c>
      <c r="M437" s="76">
        <f>4810/145</f>
        <v>33.172413793103445</v>
      </c>
      <c r="N437" s="38">
        <f>0.625*25.4</f>
        <v>15.875</v>
      </c>
      <c r="O437" s="7">
        <f>K437/N437</f>
        <v>7.056</v>
      </c>
      <c r="P437" s="7">
        <f>L437/N437</f>
        <v>7.056</v>
      </c>
      <c r="Q437" s="38">
        <f>13.1*25.4</f>
        <v>332.73999999999995</v>
      </c>
      <c r="R437" s="32">
        <f>S437/N437</f>
        <v>4</v>
      </c>
      <c r="S437" s="38">
        <f>2.5*25.4</f>
        <v>63.5</v>
      </c>
      <c r="T437" s="32">
        <f>U437/N437</f>
        <v>7.44</v>
      </c>
      <c r="U437" s="39">
        <f>4.65*25.4</f>
        <v>118.11</v>
      </c>
      <c r="V437" s="32">
        <f>W437/N437</f>
        <v>10.959999999999997</v>
      </c>
      <c r="W437" s="7">
        <f>(Q437-X437*N437-2*S437)/(X437-1)</f>
        <v>173.98999999999995</v>
      </c>
      <c r="X437" s="38">
        <v>2</v>
      </c>
      <c r="Y437" s="7">
        <f>AN437</f>
        <v>0</v>
      </c>
      <c r="Z437" s="32">
        <f>AA437/N437</f>
        <v>8.4</v>
      </c>
      <c r="AA437" s="4">
        <f>5.25*25.4</f>
        <v>133.35</v>
      </c>
      <c r="AB437" s="7">
        <f>MIN(S437/N437+0.5, W437/2/N437+0.5)</f>
        <v>4.5</v>
      </c>
      <c r="AC437" s="7">
        <f>S437/N437+0.5</f>
        <v>4.5</v>
      </c>
      <c r="AD437" s="38">
        <v>13.1</v>
      </c>
      <c r="AE437" s="4">
        <f>AD437</f>
        <v>13.1</v>
      </c>
      <c r="AF437" s="4">
        <f>AE437+1</f>
        <v>14.1</v>
      </c>
      <c r="AG437" s="7">
        <f>N437*AF437^0.5</f>
        <v>59.610572153771514</v>
      </c>
      <c r="AJ437" s="38">
        <f>AK437/0.145</f>
        <v>627.58620689655174</v>
      </c>
      <c r="AK437" s="4">
        <v>91</v>
      </c>
      <c r="AL437" s="4">
        <f>CY437</f>
        <v>1.8113307185544554</v>
      </c>
      <c r="AM437" s="38">
        <v>0</v>
      </c>
      <c r="AN437" s="38">
        <v>0</v>
      </c>
      <c r="AO437" s="39">
        <f>L437</f>
        <v>112.014</v>
      </c>
      <c r="AP437" s="39"/>
      <c r="AQ437" s="39"/>
      <c r="AR437" s="7"/>
      <c r="AS437" s="4">
        <f>K437</f>
        <v>112.014</v>
      </c>
      <c r="AT437" s="4">
        <f>IF(K437*3&gt;W437+N437, Q437, (S437+N437/2)*2+1.5*K437*(2*X437-2))*(3*K437)/(9*K437^2)</f>
        <v>0.99017384731670421</v>
      </c>
      <c r="AU437" s="4">
        <f>MIN(10*M437^0.5*K437^1.5,100*3.9*M437^0.5*K437^(5/3))/(PI()/4*N437^2)/X437</f>
        <v>172.48433206051794</v>
      </c>
      <c r="AV437" s="4">
        <f>MIN(0.7+0.3*(MIN(S437,AA437)+0.5*N437)/1.5/K437,1)</f>
        <v>0.8275510204081632</v>
      </c>
      <c r="AW437" s="4">
        <v>1.25</v>
      </c>
      <c r="AX437" s="4">
        <f>AX436</f>
        <v>1</v>
      </c>
      <c r="AY437" s="38">
        <f>AT437*AV437*AW437*AX437*AU437</f>
        <v>176.67125505616372</v>
      </c>
      <c r="AZ437" s="38">
        <f>AY437</f>
        <v>176.67125505616372</v>
      </c>
      <c r="BA437" s="38">
        <f>IF(M437&lt;50, 0.3*M437^(2/3), 2.12*LN(1+0.1*(M437+8)))</f>
        <v>3.0972241539071201</v>
      </c>
      <c r="BB437" s="38">
        <f>AX437* (M437^0.5/AS437^0.5)/(PI()/4*N437^2)/X437/0.72 *(0.7+(MIN(S437,AA437)+0.5*N437)/5/K437) *(3*Q437*K437)</f>
        <v>176.67125505616357</v>
      </c>
      <c r="BC437" s="38">
        <f>AY437/BB437</f>
        <v>1.0000000000000009</v>
      </c>
      <c r="BD437" s="38">
        <f>BH437/BB437</f>
        <v>6.1163078596377982</v>
      </c>
      <c r="BE437" s="4">
        <f>IF(BD437&lt;1,1,0)</f>
        <v>0</v>
      </c>
      <c r="BF437" s="4">
        <f>L437/N437*M437^0.5/0.19</f>
        <v>213.89149117962776</v>
      </c>
      <c r="BG437" s="4">
        <f>MIN(0.6+0.4*(AC437/AB437),2)</f>
        <v>1</v>
      </c>
      <c r="BH437" s="38">
        <f>2*M437*AB437*AD437^0.5*BG437*0.7/0.7</f>
        <v>1080.5757858720874</v>
      </c>
      <c r="BI437" s="4">
        <f>MAX(1-0.7*AE437/5,0.3)</f>
        <v>0.3</v>
      </c>
      <c r="BJ437" s="4">
        <f>BI437*J437*L437/(J437*N437/2.75/M437^0.5)</f>
        <v>33.527491242406654</v>
      </c>
      <c r="BK437" s="4">
        <f>BH437+BJ437</f>
        <v>1114.1032771144942</v>
      </c>
      <c r="BM437" s="4">
        <f>MIN(1.5, 0.75+0.25*MIN(3,MAX(1,S437/N437))+0.4*MIN(1,(40*2*PI()*AM437^2/4/AO437/X437)/N437))</f>
        <v>1.5</v>
      </c>
      <c r="BN437" s="4">
        <f>(3*P437+30)*BM437*M437^0.5</f>
        <v>442.05696554614087</v>
      </c>
      <c r="BP437" s="4">
        <f>3.4/PI()^0.5*M437*AB437*AE437^0.5*BG437</f>
        <v>1036.4043244590362</v>
      </c>
      <c r="BQ437" s="4">
        <f>8/3*AH437*AI437^2/(AG437-N437-22)/N437*(AG437^2-N437^2)/(AG437^2-(N437+22)^2)</f>
        <v>0</v>
      </c>
      <c r="BR437" s="4">
        <f>BQ437/BP437</f>
        <v>0</v>
      </c>
      <c r="BZ437" s="4">
        <f>IF(W437=0,S437,MIN(W437/2,S437))</f>
        <v>63.5</v>
      </c>
      <c r="CD437" s="9"/>
      <c r="CF437" s="9"/>
      <c r="CG437" s="9"/>
      <c r="CH437" s="9">
        <f>IF(W437=0,MIN(S437,U437),MIN(W437/2,S437,U437))</f>
        <v>63.5</v>
      </c>
      <c r="CI437" s="9">
        <f>MAX(W437/2,S437)</f>
        <v>86.994999999999976</v>
      </c>
      <c r="CJ437" s="9">
        <f>(CH437/N437)^0.5*(CI437/CH437)^0.15</f>
        <v>2.0967086203206882</v>
      </c>
      <c r="CK437" s="70">
        <f>IF(AO437&gt;1,20,0)</f>
        <v>20</v>
      </c>
      <c r="CL437" s="9">
        <f>MIN(PI()*AM437^2/4*AN437*2/X437/N437/MAX(0.01,AO437),0.05)</f>
        <v>0</v>
      </c>
      <c r="CM437" s="9">
        <f>MAX(0,CK437*(CL437-0.5/50))</f>
        <v>0</v>
      </c>
      <c r="CN437" s="9">
        <f>MIN(1,(25/N437)^0.3)</f>
        <v>1</v>
      </c>
      <c r="CO437" s="9">
        <f>IF(J437&gt;=800,0.68,IF(J437&gt;=700,0.75-(J437-700)*0.07/100,IF(J437&gt;=600,0.85-(J437-600)*0.1/100,IF(J437&gt;=500,1-(J437-500)*0.15/100,1.2-(J437-400)*0.2/100))))</f>
        <v>0.68</v>
      </c>
      <c r="CP437" s="9">
        <f>1.75*CN437*CO437*(M437/25)^0.5</f>
        <v>1.3707728502186465</v>
      </c>
      <c r="CQ437" s="9">
        <f>MIN((CJ437+CM437)*CP437,2.5*CP437,M437^0.5)</f>
        <v>2.8741112515549956</v>
      </c>
      <c r="CR437" s="40">
        <v>1</v>
      </c>
      <c r="CS437" s="9">
        <f>4*CQ437*P437+60*CQ437</f>
        <v>253.56559105718793</v>
      </c>
      <c r="CU437" s="4">
        <f>AJ437/BF437</f>
        <v>2.934133580701908</v>
      </c>
      <c r="CV437" s="4">
        <f>AJ437/BK437</f>
        <v>0.5633106192111631</v>
      </c>
      <c r="CW437" s="4">
        <f>AJ437/BN437</f>
        <v>1.4196953239300236</v>
      </c>
      <c r="CX437" s="4">
        <f>AJ437/CS437</f>
        <v>2.4750448366435061</v>
      </c>
      <c r="CY437" s="4">
        <f>AJ437/DZ437</f>
        <v>1.8113307185544554</v>
      </c>
      <c r="CZ437" s="4">
        <f>AJ437/EL437</f>
        <v>0.97894457082747688</v>
      </c>
      <c r="DA437" s="4">
        <f>AJ437/GI437</f>
        <v>1.4691556370667194</v>
      </c>
      <c r="DB437" s="4">
        <f>AN437</f>
        <v>0</v>
      </c>
      <c r="DC437" s="4">
        <f>CU437</f>
        <v>2.934133580701908</v>
      </c>
      <c r="DD437" s="4">
        <f>CV437</f>
        <v>0.5633106192111631</v>
      </c>
      <c r="DE437" s="4">
        <f>CX437</f>
        <v>2.4750448366435061</v>
      </c>
      <c r="DF437" s="4">
        <f>DA437</f>
        <v>1.4691556370667194</v>
      </c>
      <c r="DG437" s="4">
        <f>CY437</f>
        <v>1.8113307185544554</v>
      </c>
      <c r="DH437" s="4">
        <f>CZ437</f>
        <v>0.97894457082747688</v>
      </c>
      <c r="DQ437" s="4">
        <f>L437</f>
        <v>112.014</v>
      </c>
      <c r="DT437" s="4">
        <f>K437/4/(1-0.3*(M437/30)^0.5)/200000/N437</f>
        <v>1.2884631338180772E-5</v>
      </c>
      <c r="DU437" s="4">
        <f>EP437</f>
        <v>9.7201649178311715</v>
      </c>
      <c r="DV437" s="4">
        <f>EC437*AG437/257/M437/AD437</f>
        <v>9.4299131179325757E-2</v>
      </c>
      <c r="DW437" s="4">
        <f>DU437*DV437^0.4</f>
        <v>3.7798686641042036</v>
      </c>
      <c r="DX437" s="4">
        <f>MIN(DU437, DU437/1.4*(1-DV437^1.4)/(1-DV437))</f>
        <v>7.3847518134348471</v>
      </c>
      <c r="DY437" s="4">
        <f>MAX(DU437/2, (4-DT437*(8*AG437*(DW437-DX437)+6*K437*DX437))/(4+DT437*K437*DU437)*DU437)</f>
        <v>9.5849765570434737</v>
      </c>
      <c r="DZ437" s="38">
        <f>MIN(1/N437*(4*AG437*(DW437-DX437)+(3*DX437+DY437)*K437)+EC437 -FJ437,MAX(J437,AJ437))</f>
        <v>346.47797912763338</v>
      </c>
      <c r="EA437" s="4">
        <f>DZ437/FF437</f>
        <v>1.0001197228739853</v>
      </c>
      <c r="EB437" s="4">
        <f>AG437/N437</f>
        <v>3.7549966711037173</v>
      </c>
      <c r="EC437" s="4">
        <f>MIN(EB$10*BB437)</f>
        <v>176.67125505616357</v>
      </c>
      <c r="EG437" s="4">
        <f>IF(U437&gt;1*N437,0.85,1)</f>
        <v>0.85</v>
      </c>
      <c r="EH437" s="4">
        <f>MIN(1,MAX(0.7,(1-0.1*(BZ437-1*N437)/N437)))</f>
        <v>0.7</v>
      </c>
      <c r="EI437" s="4">
        <f>MIN(1,MAX(0.7,1-0.3*(PI()*AM437^2/4*AQ437*2-0.25*PI()/4*N437^2)/(PI()/4*N437^2)))</f>
        <v>1</v>
      </c>
      <c r="EJ437" s="4">
        <f>IF(EH437*EI437&lt;0.7,0.7,EH437*EI437)</f>
        <v>0.7</v>
      </c>
      <c r="EL437" s="4">
        <f>MIN(DU437/N437*3*K437+EM437-FJ437,MAX(J437,AJ437))</f>
        <v>641.08451652790632</v>
      </c>
      <c r="EM437" s="25">
        <f>13.3*Q437*K437^0.5*M437^0.5/X437/N437^2*(0.7+S437/5/K437)</f>
        <v>435.32806554725613</v>
      </c>
      <c r="EO437" s="4">
        <f>EG437*EJ437</f>
        <v>0.59499999999999997</v>
      </c>
      <c r="EP437" s="4">
        <f>IF(N437&lt;22.2,1.1*5*(M437/30)^0.5,IF(N437&gt;=31.8,0.9*5*(M437/30)^0.5,1*5*(M437/30)^0.5))/EG437/EJ437</f>
        <v>9.7201649178311715</v>
      </c>
      <c r="ES437" s="4">
        <f>ET437*N437</f>
        <v>59.610572153771514</v>
      </c>
      <c r="ET437" s="4">
        <f>AF437^0.5</f>
        <v>3.7549966711037173</v>
      </c>
      <c r="EU437" s="4">
        <f>MIN(EC437)/(4700*M437^0.5)/AE437*ES437</f>
        <v>2.9698293426332373E-2</v>
      </c>
      <c r="EX437" s="4">
        <f>EU437</f>
        <v>2.9698293426332373E-2</v>
      </c>
      <c r="EY437" s="4">
        <f>MIN(0.999, EX437/(0.3*(M437/30)^0.5))</f>
        <v>9.4141763504356435E-2</v>
      </c>
      <c r="EZ437" s="4">
        <f>EP437/1*EY437^0.4</f>
        <v>3.7773442412428331</v>
      </c>
      <c r="FA437" s="4">
        <f>EP437/1.4*(1-EY437^1.4)/(1-EY437)</f>
        <v>7.3841253460087248</v>
      </c>
      <c r="FB437" s="4">
        <f>MAX(0,DQ437*FB$9-ES437)</f>
        <v>24.399927846228479</v>
      </c>
      <c r="FC437" s="4">
        <f>MAX(0,DQ437-ES437-FB437)</f>
        <v>28.003500000000003</v>
      </c>
      <c r="FD437" s="4">
        <f>FC437/(1-0.3*(M437/30)^0.5)/200000/N437</f>
        <v>1.2884631338180774E-5</v>
      </c>
      <c r="FE437" s="4">
        <f>MAX(0.5*EP437, (1-2*FD437*(ES437*EZ437+FB437*FA437))/(1/EP437+FD437*FC437))</f>
        <v>9.5850179337552177</v>
      </c>
      <c r="FF437" s="4">
        <f>MIN(4/N437*(1*EZ437*ES437+FA437*FB437+FC437*FE437)+EC437,MAX(J437,AJ437))</f>
        <v>346.43650275387023</v>
      </c>
      <c r="FO437" s="23">
        <f>IF(CU437&lt;0.6,0.6,IF(CU437&lt;0.8,0.8,IF(CU437&lt;1,1,IF(CU437&lt;1.2,1.2,IF(CU437&lt;1.4,1.4,IF(CU437&lt;1.6,1.6,IF(CU437&lt;1.8,1.8,IF(CU437&lt;2,2,2.2))))))))</f>
        <v>2.2000000000000002</v>
      </c>
      <c r="FP437" s="23">
        <f>IF(CV437&lt;0.6,0.6,IF(CV437&lt;0.8,0.8,IF(CV437&lt;1,1,IF(CV437&lt;1.2,1.2,IF(CV437&lt;1.4,1.4,IF(CV437&lt;1.6,1.6,IF(CV437&lt;1.8,1.8,IF(CV437&lt;2,2,2.2))))))))</f>
        <v>0.6</v>
      </c>
      <c r="FQ437" s="23">
        <f>IF(DA437&lt;0.6,0.6,IF(DA437&lt;0.8,0.8,IF(DA437&lt;1,1,IF(DA437&lt;1.2,1.2,IF(DA437&lt;1.4,1.4,IF(DA437&lt;1.6,1.6,IF(DA437&lt;1.8,1.8,IF(DA437&lt;2,2,2.2))))))))</f>
        <v>1.6</v>
      </c>
      <c r="FR437" s="23">
        <f>IF(CX437&lt;0.6,0.6,IF(CX437&lt;0.8,0.8,IF(CX437&lt;1,1,IF(CX437&lt;1.2,1.2,IF(CX437&lt;1.4,1.4,IF(CX437&lt;1.6,1.6,IF(CX437&lt;1.8,1.8,IF(CX437&lt;2,2,2.2))))))))</f>
        <v>2.2000000000000002</v>
      </c>
      <c r="FS437" s="23">
        <f>IF(CY437&lt;0.6,0.6,IF(CY437&lt;0.8,0.8,IF(CY437&lt;1,1,IF(CY437&lt;1.2,1.2,IF(CY437&lt;1.4,1.4,IF(CY437&lt;1.6,1.6,IF(CY437&lt;1.8,1.8,IF(CY437&lt;2,2,2.2))))))))</f>
        <v>2</v>
      </c>
      <c r="FT437" s="23">
        <f>IF(CZ437&lt;0.6,0.6,IF(CZ437&lt;0.8,0.8,IF(CZ437&lt;1,1,IF(CZ437&lt;1.2,1.2,IF(CZ437&lt;1.4,1.4,IF(CZ437&lt;1.6,1.6,IF(CZ437&lt;1.8,1.8,IF(CZ437&lt;2,2,2.2))))))))</f>
        <v>1</v>
      </c>
      <c r="FU437" s="23">
        <f>IF(FS437&lt;1,1,0)</f>
        <v>0</v>
      </c>
      <c r="FV437" s="23"/>
      <c r="GF437" s="4">
        <f>IF(S437&gt;=2.5*25.4,1,1.25)</f>
        <v>1</v>
      </c>
      <c r="GG437" s="4">
        <f>IF(AO437&gt;1, 0.05*(18-MIN(8,(W437+N437)/N437))*(1-48000/MAX(60000,(J437*145))*(N437/25.4)^0.75*GH437), 1/12*(14-MIN(8,(W437+N437)/N437)))</f>
        <v>0.5</v>
      </c>
      <c r="GH437" s="4">
        <f>MIN(0.3, AM437^2*PI()/4*2*AP437/(N437^2*PI()/4*X437))</f>
        <v>0</v>
      </c>
      <c r="GI437" s="4">
        <f>(K437/25.4)/(N437/25.4)^1.5/0.0024*(M437*145)^0.25/GF437/GG437/145</f>
        <v>427.17476015650402</v>
      </c>
    </row>
    <row r="438" spans="1:191" ht="12" customHeight="1" x14ac:dyDescent="0.3">
      <c r="A438" s="25">
        <v>371</v>
      </c>
      <c r="B438" s="4" t="s">
        <v>605</v>
      </c>
      <c r="C438" s="4">
        <v>2016</v>
      </c>
      <c r="D438" s="4" t="s">
        <v>309</v>
      </c>
      <c r="E438" s="24" t="s">
        <v>674</v>
      </c>
      <c r="F438" s="75" t="s">
        <v>763</v>
      </c>
      <c r="G438" s="24">
        <v>3</v>
      </c>
      <c r="H438" s="7" t="s">
        <v>537</v>
      </c>
      <c r="I438" s="5">
        <f>K438/N438</f>
        <v>6.7519999999999989</v>
      </c>
      <c r="J438" s="38">
        <f>139/0.145</f>
        <v>958.62068965517244</v>
      </c>
      <c r="K438" s="76">
        <f>4.22*25.4</f>
        <v>107.18799999999999</v>
      </c>
      <c r="L438" s="4">
        <f>K438</f>
        <v>107.18799999999999</v>
      </c>
      <c r="M438" s="38">
        <f>11030/145</f>
        <v>76.068965517241381</v>
      </c>
      <c r="N438" s="38">
        <f>0.625*25.4</f>
        <v>15.875</v>
      </c>
      <c r="O438" s="7">
        <f>K438/N438</f>
        <v>6.7519999999999989</v>
      </c>
      <c r="P438" s="7">
        <f>L438/N438</f>
        <v>6.7519999999999989</v>
      </c>
      <c r="Q438" s="38">
        <f>13.1*25.4</f>
        <v>332.73999999999995</v>
      </c>
      <c r="R438" s="32">
        <f>S438/N438</f>
        <v>4.08</v>
      </c>
      <c r="S438" s="38">
        <f>2.55*25.4</f>
        <v>64.77</v>
      </c>
      <c r="T438" s="32">
        <f>U438/N438</f>
        <v>7.6799999999999988</v>
      </c>
      <c r="U438" s="39">
        <f>4.8*25.4</f>
        <v>121.91999999999999</v>
      </c>
      <c r="V438" s="32">
        <f>W438/N438</f>
        <v>10.799999999999997</v>
      </c>
      <c r="W438" s="7">
        <f>(Q438-X438*N438-2*S438)/(X438-1)</f>
        <v>171.44999999999996</v>
      </c>
      <c r="X438" s="38">
        <v>2</v>
      </c>
      <c r="Y438" s="7">
        <f>AN438</f>
        <v>10</v>
      </c>
      <c r="Z438" s="32">
        <f>AA438/N438</f>
        <v>8.4</v>
      </c>
      <c r="AA438" s="4">
        <f>5.25*25.4</f>
        <v>133.35</v>
      </c>
      <c r="AB438" s="7">
        <f>MIN(S438/N438+0.5, W438/2/N438+0.5)</f>
        <v>4.58</v>
      </c>
      <c r="AC438" s="7">
        <f>S438/N438+0.5</f>
        <v>4.58</v>
      </c>
      <c r="AD438" s="38">
        <v>4</v>
      </c>
      <c r="AE438" s="4">
        <f>AD438</f>
        <v>4</v>
      </c>
      <c r="AF438" s="4">
        <f>AE438+1</f>
        <v>5</v>
      </c>
      <c r="AG438" s="7">
        <f>N438*AF438^0.5</f>
        <v>35.497579142809165</v>
      </c>
      <c r="AJ438" s="38">
        <f>AK438/0.145</f>
        <v>865.51724137931035</v>
      </c>
      <c r="AK438" s="4">
        <v>125.5</v>
      </c>
      <c r="AL438" s="4">
        <f>CY438</f>
        <v>1.5873395236395706</v>
      </c>
      <c r="AM438" s="38">
        <f>0.375*25.4</f>
        <v>9.5249999999999986</v>
      </c>
      <c r="AN438" s="38">
        <v>10</v>
      </c>
      <c r="AO438" s="39">
        <f>1.75*25.4</f>
        <v>44.449999999999996</v>
      </c>
      <c r="AP438" s="39">
        <v>3</v>
      </c>
      <c r="AQ438" s="39">
        <f>AP438-1</f>
        <v>2</v>
      </c>
      <c r="AR438" s="7"/>
      <c r="AS438" s="4">
        <f>K438</f>
        <v>107.18799999999999</v>
      </c>
      <c r="AT438" s="4">
        <f>IF(K438*3&gt;W438+N438, Q438, (S438+N438/2)*2+1.5*K438*(2*X438-2))*(3*K438)/(9*K438^2)</f>
        <v>1.0347551342812007</v>
      </c>
      <c r="AU438" s="4">
        <f>MIN(10*M438^0.5*K438^1.5,100*3.9*M438^0.5*K438^(5/3))/(PI()/4*N438^2)/X438</f>
        <v>244.49819737031095</v>
      </c>
      <c r="AV438" s="4">
        <f>MIN(0.7+0.3*(MIN(S438,AA438)+0.5*N438)/1.5/K438,1)</f>
        <v>0.83566350710900472</v>
      </c>
      <c r="AW438" s="4">
        <v>1.25</v>
      </c>
      <c r="AX438" s="4">
        <f>AX437</f>
        <v>1</v>
      </c>
      <c r="AY438" s="38">
        <f>AT438*AV438*AW438*AX438*AU438</f>
        <v>264.27416038325225</v>
      </c>
      <c r="AZ438" s="38">
        <f>AY438</f>
        <v>264.27416038325225</v>
      </c>
      <c r="BA438" s="38">
        <f>IF(M438&lt;50, 0.3*M438^(2/3), 2.12*LN(1+0.1*(M438+8)))</f>
        <v>4.7518593634836064</v>
      </c>
      <c r="BB438" s="38">
        <f>AX438* (M438^0.5/AS438^0.5)/(PI()/4*N438^2)/X438/0.72 *(0.7+(MIN(S438,AA438)+0.5*N438)/5/K438) *(3*Q438*K438)</f>
        <v>264.27416038325231</v>
      </c>
      <c r="BC438" s="38">
        <f>AY438/BB438</f>
        <v>0.99999999999999978</v>
      </c>
      <c r="BD438" s="38">
        <f>BH438/BB438</f>
        <v>5.2732489860335843</v>
      </c>
      <c r="BE438" s="4">
        <f>IF(BD438&lt;1,1,0)</f>
        <v>0</v>
      </c>
      <c r="BF438" s="4">
        <f>L438/N438*M438^0.5/0.19</f>
        <v>309.94353912266331</v>
      </c>
      <c r="BG438" s="4">
        <f>MIN(0.6+0.4*(AC438/AB438),2)</f>
        <v>1</v>
      </c>
      <c r="BH438" s="38">
        <f>2*M438*AB438*AD438^0.5*BG438*0.7/0.7</f>
        <v>1393.5834482758621</v>
      </c>
      <c r="BI438" s="4">
        <f>MAX(1-0.7*AE438/5,0.3)</f>
        <v>0.44000000000000006</v>
      </c>
      <c r="BJ438" s="4">
        <f>BI438*J438*L438/(J438*N438/2.75/M438^0.5)</f>
        <v>71.256019644300309</v>
      </c>
      <c r="BK438" s="4">
        <f>BH438+BJ438</f>
        <v>1464.8394679201624</v>
      </c>
      <c r="BM438" s="4">
        <f>MIN(1.5, 0.75+0.25*MIN(3,MAX(1,S438/N438))+0.4*MIN(1,(40*2*PI()*AM438^2/4/AO438/X438)/N438))</f>
        <v>1.5</v>
      </c>
      <c r="BN438" s="4">
        <f>(3*P438+30)*BM438*M438^0.5</f>
        <v>657.48058547279948</v>
      </c>
      <c r="BP438" s="4">
        <f>3.4/PI()^0.5*M438*AB438*AE438^0.5*BG438</f>
        <v>1336.6169510470681</v>
      </c>
      <c r="BQ438" s="4">
        <f>8/3*AH438*AI438^2/(AG438-N438-22)/N438*(AG438^2-N438^2)/(AG438^2-(N438+22)^2)</f>
        <v>0</v>
      </c>
      <c r="BR438" s="4">
        <f>BQ438/BP438</f>
        <v>0</v>
      </c>
      <c r="BZ438" s="4">
        <f>IF(W438=0,S438,MIN(W438/2,S438))</f>
        <v>64.77</v>
      </c>
      <c r="CD438" s="9"/>
      <c r="CF438" s="9"/>
      <c r="CG438" s="9"/>
      <c r="CH438" s="9">
        <f>IF(W438=0,MIN(S438,U438),MIN(W438/2,S438,U438))</f>
        <v>64.77</v>
      </c>
      <c r="CI438" s="9">
        <f>MAX(W438/2,S438)</f>
        <v>85.72499999999998</v>
      </c>
      <c r="CJ438" s="9">
        <f>(CH438/N438)^0.5*(CI438/CH438)^0.15</f>
        <v>2.1066390052415969</v>
      </c>
      <c r="CK438" s="70">
        <f>IF(AO438&gt;1,20,0)</f>
        <v>20</v>
      </c>
      <c r="CL438" s="9">
        <f>MIN(PI()*AM438^2/4*AN438*2/X438/N438/MAX(0.01,AO438),0.05)</f>
        <v>0.05</v>
      </c>
      <c r="CM438" s="9">
        <f>MAX(0,CK438*(CL438-0.5/50))</f>
        <v>0.8</v>
      </c>
      <c r="CN438" s="9">
        <f>MIN(1,(25/N438)^0.3)</f>
        <v>1</v>
      </c>
      <c r="CO438" s="9">
        <f>IF(J438&gt;=800,0.68,IF(J438&gt;=700,0.75-(J438-700)*0.07/100,IF(J438&gt;=600,0.85-(J438-600)*0.1/100,IF(J438&gt;=500,1-(J438-500)*0.15/100,1.2-(J438-400)*0.2/100))))</f>
        <v>0.68</v>
      </c>
      <c r="CP438" s="9">
        <f>1.75*CN438*CO438*(M438/25)^0.5</f>
        <v>2.0757770792545673</v>
      </c>
      <c r="CQ438" s="9">
        <f>MIN((CJ438+CM438)*CP438,2.5*CP438,M438^0.5)</f>
        <v>5.1894426981364186</v>
      </c>
      <c r="CR438" s="40">
        <v>1</v>
      </c>
      <c r="CS438" s="9">
        <f>4*CQ438*P438+60*CQ438</f>
        <v>451.52303027945345</v>
      </c>
      <c r="CU438" s="4">
        <f>AJ438/BF438</f>
        <v>2.7924997043954289</v>
      </c>
      <c r="CV438" s="4">
        <f>AJ438/BK438</f>
        <v>0.5908614973408699</v>
      </c>
      <c r="CW438" s="4">
        <f>AJ438/BN438</f>
        <v>1.3164149033494428</v>
      </c>
      <c r="CX438" s="4">
        <f>AJ438/CS438</f>
        <v>1.9168839313547983</v>
      </c>
      <c r="CY438" s="4">
        <f>AJ438/DZ438</f>
        <v>1.5873395236395706</v>
      </c>
      <c r="CZ438" s="4">
        <f>AJ438/EL438</f>
        <v>0.91208253125064931</v>
      </c>
      <c r="DA438" s="4">
        <f>AJ438/GI438</f>
        <v>1.5953360225510751</v>
      </c>
      <c r="DB438" s="4">
        <f>AN438</f>
        <v>10</v>
      </c>
      <c r="DI438" s="4">
        <f>CU438</f>
        <v>2.7924997043954289</v>
      </c>
      <c r="DJ438" s="4">
        <f>CV438</f>
        <v>0.5908614973408699</v>
      </c>
      <c r="DK438" s="4">
        <f>CX438</f>
        <v>1.9168839313547983</v>
      </c>
      <c r="DL438" s="4">
        <f>DA438</f>
        <v>1.5953360225510751</v>
      </c>
      <c r="DM438" s="4">
        <f>CY438</f>
        <v>1.5873395236395706</v>
      </c>
      <c r="DN438" s="4">
        <f>CZ438</f>
        <v>0.91208253125064931</v>
      </c>
      <c r="DQ438" s="4">
        <f>L438</f>
        <v>107.18799999999999</v>
      </c>
      <c r="DT438" s="4">
        <f>K438/4/(1-0.3*(M438/30)^0.5)/200000/N438</f>
        <v>1.6159606515821178E-5</v>
      </c>
      <c r="DU438" s="4">
        <f>EP438</f>
        <v>14.719357433866572</v>
      </c>
      <c r="DV438" s="4">
        <f>EC438*AG438/257/M438/AD438</f>
        <v>0.11996451788036266</v>
      </c>
      <c r="DW438" s="4">
        <f>DU438*DV438^0.4</f>
        <v>6.3024582396217834</v>
      </c>
      <c r="DX438" s="4">
        <f>MIN(DU438, DU438/1.4*(1-DV438^1.4)/(1-DV438))</f>
        <v>11.333379126988241</v>
      </c>
      <c r="DY438" s="4">
        <f>MAX(DU438/2, (4-DT438*(8*AG438*(DW438-DX438)+6*K438*DX438))/(4+DT438*K438*DU438)*DU438)</f>
        <v>14.279867704454333</v>
      </c>
      <c r="DZ438" s="38">
        <f>MIN(1/N438*(4*AG438*(DW438-DX438)+(3*DX438+DY438)*K438)+EC438 -FJ438,MAX(J438,AJ438))</f>
        <v>545.26283034570179</v>
      </c>
      <c r="EA438" s="4">
        <f>DZ438/FF438</f>
        <v>1.0000916256169652</v>
      </c>
      <c r="EB438" s="4">
        <f>AG438/N438</f>
        <v>2.2360679774997898</v>
      </c>
      <c r="EC438" s="4">
        <f>MIN(EB$10*BB438)</f>
        <v>264.27416038325231</v>
      </c>
      <c r="EG438" s="4">
        <f>IF(U438&gt;1*N438,0.85,1)</f>
        <v>0.85</v>
      </c>
      <c r="EH438" s="4">
        <f>MIN(1,MAX(0.7,(1-0.1*(BZ438-1*N438)/N438)))</f>
        <v>0.7</v>
      </c>
      <c r="EI438" s="4">
        <f>MIN(1,MAX(0.7,1-0.3*(PI()*AM438^2/4*AQ438*2-0.25*PI()/4*N438^2)/(PI()/4*N438^2)))</f>
        <v>0.7</v>
      </c>
      <c r="EJ438" s="4">
        <f>IF(EH438*EI438&lt;0.7,0.7,EH438*EI438)</f>
        <v>0.7</v>
      </c>
      <c r="EL438" s="4">
        <f>MIN(DU438/N438*3*K438+EM438-FJ438,MAX(J438,AJ438))</f>
        <v>948.94618822762834</v>
      </c>
      <c r="EM438" s="25">
        <f>13.3*Q438*K438^0.5*M438^0.5/X438/N438^2*(0.7+S438/5/K438)</f>
        <v>650.79088404722711</v>
      </c>
      <c r="EO438" s="4">
        <f>EG438*EJ438</f>
        <v>0.59499999999999997</v>
      </c>
      <c r="EP438" s="4">
        <f>IF(N438&lt;22.2,1.1*5*(M438/30)^0.5,IF(N438&gt;=31.8,0.9*5*(M438/30)^0.5,1*5*(M438/30)^0.5))/EG438/EJ438</f>
        <v>14.719357433866572</v>
      </c>
      <c r="ES438" s="4">
        <f>ET438*N438</f>
        <v>35.497579142809165</v>
      </c>
      <c r="ET438" s="4">
        <f>AF438^0.5</f>
        <v>2.2360679774997898</v>
      </c>
      <c r="EU438" s="4">
        <f>MIN(EC438)/(4700*M438^0.5)/AE438*ES438</f>
        <v>5.7212619623412793E-2</v>
      </c>
      <c r="EX438" s="4">
        <f>EU438</f>
        <v>5.7212619623412793E-2</v>
      </c>
      <c r="EY438" s="4">
        <f>MIN(0.999, EX438/(0.3*(M438/30)^0.5))</f>
        <v>0.11976431945836712</v>
      </c>
      <c r="EZ438" s="4">
        <f>EP438/1*EY438^0.4</f>
        <v>6.2982490802364257</v>
      </c>
      <c r="FA438" s="4">
        <f>EP438/1.4*(1-EY438^1.4)/(1-EY438)</f>
        <v>11.332234429371146</v>
      </c>
      <c r="FB438" s="4">
        <f>MAX(0,DQ438*FB$9-ES438)</f>
        <v>44.893420857190826</v>
      </c>
      <c r="FC438" s="4">
        <f>MAX(0,DQ438-ES438-FB438)</f>
        <v>26.79699999999999</v>
      </c>
      <c r="FD438" s="4">
        <f>FC438/(1-0.3*(M438/30)^0.5)/200000/N438</f>
        <v>1.6159606515821174E-5</v>
      </c>
      <c r="FE438" s="4">
        <f>MAX(0.5*EP438, (1-2*FD438*(ES438*EZ438+FB438*FA438))/(1/EP438+FD438*FC438))</f>
        <v>14.279962625693486</v>
      </c>
      <c r="FF438" s="4">
        <f>MIN(4/N438*(1*EZ438*ES438+FA438*FB438+FC438*FE438)+EC438,MAX(J438,AJ438))</f>
        <v>545.21287487966356</v>
      </c>
      <c r="FO438" s="23">
        <f>IF(CU438&lt;0.6,0.6,IF(CU438&lt;0.8,0.8,IF(CU438&lt;1,1,IF(CU438&lt;1.2,1.2,IF(CU438&lt;1.4,1.4,IF(CU438&lt;1.6,1.6,IF(CU438&lt;1.8,1.8,IF(CU438&lt;2,2,2.2))))))))</f>
        <v>2.2000000000000002</v>
      </c>
      <c r="FP438" s="23">
        <f>IF(CV438&lt;0.6,0.6,IF(CV438&lt;0.8,0.8,IF(CV438&lt;1,1,IF(CV438&lt;1.2,1.2,IF(CV438&lt;1.4,1.4,IF(CV438&lt;1.6,1.6,IF(CV438&lt;1.8,1.8,IF(CV438&lt;2,2,2.2))))))))</f>
        <v>0.6</v>
      </c>
      <c r="FQ438" s="23">
        <f>IF(DA438&lt;0.6,0.6,IF(DA438&lt;0.8,0.8,IF(DA438&lt;1,1,IF(DA438&lt;1.2,1.2,IF(DA438&lt;1.4,1.4,IF(DA438&lt;1.6,1.6,IF(DA438&lt;1.8,1.8,IF(DA438&lt;2,2,2.2))))))))</f>
        <v>1.6</v>
      </c>
      <c r="FR438" s="23">
        <f>IF(CX438&lt;0.6,0.6,IF(CX438&lt;0.8,0.8,IF(CX438&lt;1,1,IF(CX438&lt;1.2,1.2,IF(CX438&lt;1.4,1.4,IF(CX438&lt;1.6,1.6,IF(CX438&lt;1.8,1.8,IF(CX438&lt;2,2,2.2))))))))</f>
        <v>2</v>
      </c>
      <c r="FS438" s="23">
        <f>IF(CY438&lt;0.6,0.6,IF(CY438&lt;0.8,0.8,IF(CY438&lt;1,1,IF(CY438&lt;1.2,1.2,IF(CY438&lt;1.4,1.4,IF(CY438&lt;1.6,1.6,IF(CY438&lt;1.8,1.8,IF(CY438&lt;2,2,2.2))))))))</f>
        <v>1.6</v>
      </c>
      <c r="FT438" s="23">
        <f>IF(CZ438&lt;0.6,0.6,IF(CZ438&lt;0.8,0.8,IF(CZ438&lt;1,1,IF(CZ438&lt;1.2,1.2,IF(CZ438&lt;1.4,1.4,IF(CZ438&lt;1.6,1.6,IF(CZ438&lt;1.8,1.8,IF(CZ438&lt;2,2,2.2))))))))</f>
        <v>1</v>
      </c>
      <c r="FU438" s="23">
        <f>IF(FS438&lt;1,1,0)</f>
        <v>0</v>
      </c>
      <c r="FV438" s="23"/>
      <c r="GF438" s="4">
        <f>IF(S438&gt;=2.5*25.4,1,1.25)</f>
        <v>1</v>
      </c>
      <c r="GG438" s="4">
        <f>IF(AO438&gt;1, 0.05*(18-MIN(8,(W438+N438)/N438))*(1-48000/MAX(60000,(J438*145))*(N438/25.4)^0.75*GH438), 1/12*(14-MIN(8,(W438+N438)/N438)))</f>
        <v>0.46358941059918601</v>
      </c>
      <c r="GH438" s="4">
        <f>MIN(0.3, AM438^2*PI()/4*2*AP438/(N438^2*PI()/4*X438))</f>
        <v>0.3</v>
      </c>
      <c r="GI438" s="4">
        <f>(K438/25.4)/(N438/25.4)^1.5/0.0024*(M438*145)^0.25/GF438/GG438/145</f>
        <v>542.52974241456434</v>
      </c>
    </row>
    <row r="439" spans="1:191" ht="12" customHeight="1" x14ac:dyDescent="0.3">
      <c r="A439" s="25">
        <v>361</v>
      </c>
      <c r="B439" s="4" t="s">
        <v>605</v>
      </c>
      <c r="C439" s="4">
        <v>2016</v>
      </c>
      <c r="D439" s="4" t="s">
        <v>309</v>
      </c>
      <c r="E439" s="24" t="s">
        <v>673</v>
      </c>
      <c r="F439" s="97" t="s">
        <v>762</v>
      </c>
      <c r="G439" s="24">
        <v>1</v>
      </c>
      <c r="H439" s="7" t="s">
        <v>526</v>
      </c>
      <c r="I439" s="5">
        <f>K439/N439</f>
        <v>6.7039999999999997</v>
      </c>
      <c r="J439" s="38">
        <f>139/0.145</f>
        <v>958.62068965517244</v>
      </c>
      <c r="K439" s="76">
        <f>4.19*25.4</f>
        <v>106.426</v>
      </c>
      <c r="L439" s="4">
        <f>K439</f>
        <v>106.426</v>
      </c>
      <c r="M439" s="76">
        <f>4690/145</f>
        <v>32.344827586206897</v>
      </c>
      <c r="N439" s="38">
        <f>0.625*25.4</f>
        <v>15.875</v>
      </c>
      <c r="O439" s="7">
        <f>K439/N439</f>
        <v>6.7039999999999997</v>
      </c>
      <c r="P439" s="7">
        <f>L439/N439</f>
        <v>6.7039999999999997</v>
      </c>
      <c r="Q439" s="38">
        <f>13*25.4</f>
        <v>330.2</v>
      </c>
      <c r="R439" s="32">
        <f>S439/N439</f>
        <v>4</v>
      </c>
      <c r="S439" s="38">
        <f>2.5*25.4</f>
        <v>63.5</v>
      </c>
      <c r="T439" s="32">
        <f>U439/N439</f>
        <v>8.0799999999999983</v>
      </c>
      <c r="U439" s="39">
        <f>5.05*25.4</f>
        <v>128.26999999999998</v>
      </c>
      <c r="V439" s="32">
        <f>W439/N439</f>
        <v>10.799999999999999</v>
      </c>
      <c r="W439" s="7">
        <f>(Q439-X439*N439-2*S439)/(X439-1)</f>
        <v>171.45</v>
      </c>
      <c r="X439" s="38">
        <v>2</v>
      </c>
      <c r="Y439" s="7">
        <f>AN439</f>
        <v>10</v>
      </c>
      <c r="Z439" s="32">
        <f>AA439/N439</f>
        <v>8.4</v>
      </c>
      <c r="AA439" s="4">
        <f>5.25*25.4</f>
        <v>133.35</v>
      </c>
      <c r="AB439" s="7">
        <f>MIN(S439/N439+0.5, W439/2/N439+0.5)</f>
        <v>4.5</v>
      </c>
      <c r="AC439" s="7">
        <f>S439/N439+0.5</f>
        <v>4.5</v>
      </c>
      <c r="AD439" s="38">
        <v>13.1</v>
      </c>
      <c r="AE439" s="4">
        <f>AD439</f>
        <v>13.1</v>
      </c>
      <c r="AF439" s="4">
        <f>AE439+1</f>
        <v>14.1</v>
      </c>
      <c r="AG439" s="7">
        <f>N439*AF439^0.5</f>
        <v>59.610572153771514</v>
      </c>
      <c r="AJ439" s="38">
        <f>AK439/0.145</f>
        <v>782.75862068965523</v>
      </c>
      <c r="AK439" s="4">
        <v>113.5</v>
      </c>
      <c r="AL439" s="4">
        <f>CY439</f>
        <v>2.3968898250261241</v>
      </c>
      <c r="AM439" s="38">
        <f>0.375*25.4</f>
        <v>9.5249999999999986</v>
      </c>
      <c r="AN439" s="38">
        <v>10</v>
      </c>
      <c r="AO439" s="39">
        <f>1.75*25.4</f>
        <v>44.449999999999996</v>
      </c>
      <c r="AP439" s="39">
        <v>3</v>
      </c>
      <c r="AQ439" s="39">
        <f>AP439-1</f>
        <v>2</v>
      </c>
      <c r="AR439" s="7"/>
      <c r="AS439" s="4">
        <f>K439</f>
        <v>106.426</v>
      </c>
      <c r="AT439" s="4">
        <f>IF(K439*3&gt;W439+N439, Q439, (S439+N439/2)*2+1.5*K439*(2*X439-2))*(3*K439)/(9*K439^2)</f>
        <v>1.0342084327764518</v>
      </c>
      <c r="AU439" s="4">
        <f>MIN(10*M439^0.5*K439^1.5,100*3.9*M439^0.5*K439^(5/3))/(PI()/4*N439^2)/X439</f>
        <v>157.73449680371363</v>
      </c>
      <c r="AV439" s="4">
        <f>MIN(0.7+0.3*(MIN(S439,AA439)+0.5*N439)/1.5/K439,1)</f>
        <v>0.83424821002386629</v>
      </c>
      <c r="AW439" s="4">
        <v>1.25</v>
      </c>
      <c r="AX439" s="4">
        <f>AX438</f>
        <v>1</v>
      </c>
      <c r="AY439" s="38">
        <f>AT439*AV439*AW439*AX439*AU439</f>
        <v>170.11399970442258</v>
      </c>
      <c r="AZ439" s="38">
        <f>AY439</f>
        <v>170.11399970442258</v>
      </c>
      <c r="BA439" s="38">
        <f>IF(M439&lt;50, 0.3*M439^(2/3), 2.12*LN(1+0.1*(M439+8)))</f>
        <v>3.0454944685430494</v>
      </c>
      <c r="BB439" s="38">
        <f>AX439* (M439^0.5/AS439^0.5)/(PI()/4*N439^2)/X439/0.72 *(0.7+(MIN(S439,AA439)+0.5*N439)/5/K439) *(3*Q439*K439)</f>
        <v>170.11399970442264</v>
      </c>
      <c r="BC439" s="38">
        <f>AY439/BB439</f>
        <v>0.99999999999999967</v>
      </c>
      <c r="BD439" s="38">
        <f>BH439/BB439</f>
        <v>6.1935969763723513</v>
      </c>
      <c r="BE439" s="4">
        <f>IF(BD439&lt;1,1,0)</f>
        <v>0</v>
      </c>
      <c r="BF439" s="4">
        <f>L439/N439*M439^0.5/0.19</f>
        <v>200.67017291999846</v>
      </c>
      <c r="BG439" s="4">
        <f>MIN(0.6+0.4*(AC439/AB439),2)</f>
        <v>1</v>
      </c>
      <c r="BH439" s="38">
        <f>2*M439*AB439*AD439^0.5*BG439*0.7/0.7</f>
        <v>1053.6175542079191</v>
      </c>
      <c r="BI439" s="4">
        <f>MAX(1-0.7*AE439/5,0.3)</f>
        <v>0.3</v>
      </c>
      <c r="BJ439" s="4">
        <f>BI439*J439*L439/(J439*N439/2.75/M439^0.5)</f>
        <v>31.455049605209762</v>
      </c>
      <c r="BK439" s="4">
        <f>BH439+BJ439</f>
        <v>1085.0726038131288</v>
      </c>
      <c r="BM439" s="4">
        <f>MIN(1.5, 0.75+0.25*MIN(3,MAX(1,S439/N439))+0.4*MIN(1,(40*2*PI()*AM439^2/4/AO439/X439)/N439))</f>
        <v>1.5</v>
      </c>
      <c r="BN439" s="4">
        <f>(3*P439+30)*BM439*M439^0.5</f>
        <v>427.49930728364927</v>
      </c>
      <c r="BP439" s="4">
        <f>3.4/PI()^0.5*M439*AB439*AE439^0.5*BG439</f>
        <v>1010.5480835161915</v>
      </c>
      <c r="BQ439" s="4">
        <f>8/3*AH439*AI439^2/(AG439-N439-22)/N439*(AG439^2-N439^2)/(AG439^2-(N439+22)^2)</f>
        <v>0</v>
      </c>
      <c r="BR439" s="4">
        <f>BQ439/BP439</f>
        <v>0</v>
      </c>
      <c r="BZ439" s="4">
        <f>IF(W439=0,S439,MIN(W439/2,S439))</f>
        <v>63.5</v>
      </c>
      <c r="CD439" s="9"/>
      <c r="CF439" s="9"/>
      <c r="CG439" s="9"/>
      <c r="CH439" s="9">
        <f>IF(W439=0,MIN(S439,U439),MIN(W439/2,S439,U439))</f>
        <v>63.5</v>
      </c>
      <c r="CI439" s="9">
        <f>MAX(W439/2,S439)</f>
        <v>85.724999999999994</v>
      </c>
      <c r="CJ439" s="9">
        <f>(CH439/N439)^0.5*(CI439/CH439)^0.15</f>
        <v>2.0920885420600022</v>
      </c>
      <c r="CK439" s="70">
        <f>IF(AO439&gt;1,20,0)</f>
        <v>20</v>
      </c>
      <c r="CL439" s="9">
        <f>MIN(PI()*AM439^2/4*AN439*2/X439/N439/MAX(0.01,AO439),0.05)</f>
        <v>0.05</v>
      </c>
      <c r="CM439" s="9">
        <f>MAX(0,CK439*(CL439-0.5/50))</f>
        <v>0.8</v>
      </c>
      <c r="CN439" s="9">
        <f>MIN(1,(25/N439)^0.3)</f>
        <v>1</v>
      </c>
      <c r="CO439" s="9">
        <f>IF(J439&gt;=800,0.68,IF(J439&gt;=700,0.75-(J439-700)*0.07/100,IF(J439&gt;=600,0.85-(J439-600)*0.1/100,IF(J439&gt;=500,1-(J439-500)*0.15/100,1.2-(J439-400)*0.2/100))))</f>
        <v>0.68</v>
      </c>
      <c r="CP439" s="9">
        <f>1.75*CN439*CO439*(M439/25)^0.5</f>
        <v>1.3535658143559566</v>
      </c>
      <c r="CQ439" s="9">
        <f>MIN((CJ439+CM439)*CP439,2.5*CP439,M439^0.5)</f>
        <v>3.3839145358898914</v>
      </c>
      <c r="CR439" s="40">
        <v>1</v>
      </c>
      <c r="CS439" s="9">
        <f>4*CQ439*P439+60*CQ439</f>
        <v>293.77792434781679</v>
      </c>
      <c r="CU439" s="4">
        <f>AJ439/BF439</f>
        <v>3.9007223111414722</v>
      </c>
      <c r="CV439" s="4">
        <f>AJ439/BK439</f>
        <v>0.72138824438006166</v>
      </c>
      <c r="CW439" s="4">
        <f>AJ439/BN439</f>
        <v>1.8310172843631967</v>
      </c>
      <c r="CX439" s="4">
        <f>AJ439/CS439</f>
        <v>2.6644569105298475</v>
      </c>
      <c r="CY439" s="4">
        <f>AJ439/DZ439</f>
        <v>2.3968898250261241</v>
      </c>
      <c r="CZ439" s="4">
        <f>AJ439/EL439</f>
        <v>1.2792539211145848</v>
      </c>
      <c r="DA439" s="4">
        <f>AJ439/GI439</f>
        <v>1.799506429845696</v>
      </c>
      <c r="DB439" s="4">
        <f>AN439</f>
        <v>10</v>
      </c>
      <c r="DI439" s="4">
        <f>CU439</f>
        <v>3.9007223111414722</v>
      </c>
      <c r="DJ439" s="4">
        <f>CV439</f>
        <v>0.72138824438006166</v>
      </c>
      <c r="DK439" s="4">
        <f>CX439</f>
        <v>2.6644569105298475</v>
      </c>
      <c r="DL439" s="4">
        <f>DA439</f>
        <v>1.799506429845696</v>
      </c>
      <c r="DM439" s="4">
        <f>CY439</f>
        <v>2.3968898250261241</v>
      </c>
      <c r="DN439" s="4">
        <f>CZ439</f>
        <v>1.2792539211145848</v>
      </c>
      <c r="DQ439" s="4">
        <f>L439</f>
        <v>106.426</v>
      </c>
      <c r="DT439" s="4">
        <f>K439/4/(1-0.3*(M439/30)^0.5)/200000/N439</f>
        <v>1.2171450429620639E-5</v>
      </c>
      <c r="DU439" s="4">
        <f>EP439</f>
        <v>9.5981496427943913</v>
      </c>
      <c r="DV439" s="4">
        <f>EC439*AG439/257/M439/AD439</f>
        <v>9.3122384196031652E-2</v>
      </c>
      <c r="DW439" s="4">
        <f>DU439*DV439^0.4</f>
        <v>3.7137199552164111</v>
      </c>
      <c r="DX439" s="4">
        <f>MIN(DU439, DU439/1.4*(1-DV439^1.4)/(1-DV439))</f>
        <v>7.2874214818358301</v>
      </c>
      <c r="DY439" s="4">
        <f>MAX(DU439/2, (4-DT439*(8*AG439*(DW439-DX439)+6*K439*DX439))/(4+DT439*K439*DU439)*DU439)</f>
        <v>9.4825420042538138</v>
      </c>
      <c r="DZ439" s="38">
        <f>MIN(1/N439*(4*AG439*(DW439-DX439)+(3*DX439+DY439)*K439)+EC439 -FJ439,MAX(J439,AJ439))</f>
        <v>326.57263279972568</v>
      </c>
      <c r="EA439" s="4">
        <f>DZ439/FF439</f>
        <v>1.0001228726572426</v>
      </c>
      <c r="EB439" s="4">
        <f>AG439/N439</f>
        <v>3.7549966711037173</v>
      </c>
      <c r="EC439" s="4">
        <f>MIN(EB$10*BB439)</f>
        <v>170.11399970442264</v>
      </c>
      <c r="EG439" s="4">
        <f>IF(U439&gt;1*N439,0.85,1)</f>
        <v>0.85</v>
      </c>
      <c r="EH439" s="4">
        <f>MIN(1,MAX(0.7,(1-0.1*(BZ439-1*N439)/N439)))</f>
        <v>0.7</v>
      </c>
      <c r="EI439" s="4">
        <f>MIN(1,MAX(0.7,1-0.3*(PI()*AM439^2/4*AQ439*2-0.25*PI()/4*N439^2)/(PI()/4*N439^2)))</f>
        <v>0.7</v>
      </c>
      <c r="EJ439" s="4">
        <f>IF(EH439*EI439&lt;0.7,0.7,EH439*EI439)</f>
        <v>0.7</v>
      </c>
      <c r="EL439" s="4">
        <f>MIN(DU439/N439*3*K439+EM439-FJ439,MAX(J439,AJ439))</f>
        <v>611.88682541434423</v>
      </c>
      <c r="EM439" s="25">
        <f>13.3*Q439*K439^0.5*M439^0.5/X439/N439^2*(0.7+S439/5/K439)</f>
        <v>418.84883979846347</v>
      </c>
      <c r="EO439" s="4">
        <f>EG439*EJ439</f>
        <v>0.59499999999999997</v>
      </c>
      <c r="EP439" s="4">
        <f>IF(N439&lt;22.2,1.1*5*(M439/30)^0.5,IF(N439&gt;=31.8,0.9*5*(M439/30)^0.5,1*5*(M439/30)^0.5))/EG439/EJ439</f>
        <v>9.5981496427943913</v>
      </c>
      <c r="ES439" s="4">
        <f>ET439*N439</f>
        <v>59.610572153771514</v>
      </c>
      <c r="ET439" s="4">
        <f>AF439^0.5</f>
        <v>3.7549966711037173</v>
      </c>
      <c r="EU439" s="4">
        <f>MIN(EC439)/(4700*M439^0.5)/AE439*ES439</f>
        <v>2.8959547541892495E-2</v>
      </c>
      <c r="EX439" s="4">
        <f>EU439</f>
        <v>2.8959547541892495E-2</v>
      </c>
      <c r="EY439" s="4">
        <f>MIN(0.999, EX439/(0.3*(M439/30)^0.5))</f>
        <v>9.2966980292461573E-2</v>
      </c>
      <c r="EZ439" s="4">
        <f>EP439/1*EY439^0.4</f>
        <v>3.7112397104278267</v>
      </c>
      <c r="FA439" s="4">
        <f>EP439/1.4*(1-EY439^1.4)/(1-EY439)</f>
        <v>7.286808979486926</v>
      </c>
      <c r="FB439" s="4">
        <f>MAX(0,DQ439*FB$9-ES439)</f>
        <v>20.208927846228491</v>
      </c>
      <c r="FC439" s="4">
        <f>MAX(0,DQ439-ES439-FB439)</f>
        <v>26.606499999999997</v>
      </c>
      <c r="FD439" s="4">
        <f>FC439/(1-0.3*(M439/30)^0.5)/200000/N439</f>
        <v>1.2171450429620635E-5</v>
      </c>
      <c r="FE439" s="4">
        <f>MAX(0.5*EP439, (1-2*FD439*(ES439*EZ439+FB439*FA439))/(1/EP439+FD439*FC439))</f>
        <v>9.4825793247381398</v>
      </c>
      <c r="FF439" s="4">
        <f>MIN(4/N439*(1*EZ439*ES439+FA439*FB439+FC439*FE439)+EC439,MAX(J439,AJ439))</f>
        <v>326.53251088243746</v>
      </c>
      <c r="FO439" s="23">
        <f>IF(CU439&lt;0.6,0.6,IF(CU439&lt;0.8,0.8,IF(CU439&lt;1,1,IF(CU439&lt;1.2,1.2,IF(CU439&lt;1.4,1.4,IF(CU439&lt;1.6,1.6,IF(CU439&lt;1.8,1.8,IF(CU439&lt;2,2,2.2))))))))</f>
        <v>2.2000000000000002</v>
      </c>
      <c r="FP439" s="23">
        <f>IF(CV439&lt;0.6,0.6,IF(CV439&lt;0.8,0.8,IF(CV439&lt;1,1,IF(CV439&lt;1.2,1.2,IF(CV439&lt;1.4,1.4,IF(CV439&lt;1.6,1.6,IF(CV439&lt;1.8,1.8,IF(CV439&lt;2,2,2.2))))))))</f>
        <v>0.8</v>
      </c>
      <c r="FQ439" s="23">
        <f>IF(DA439&lt;0.6,0.6,IF(DA439&lt;0.8,0.8,IF(DA439&lt;1,1,IF(DA439&lt;1.2,1.2,IF(DA439&lt;1.4,1.4,IF(DA439&lt;1.6,1.6,IF(DA439&lt;1.8,1.8,IF(DA439&lt;2,2,2.2))))))))</f>
        <v>1.8</v>
      </c>
      <c r="FR439" s="23">
        <f>IF(CX439&lt;0.6,0.6,IF(CX439&lt;0.8,0.8,IF(CX439&lt;1,1,IF(CX439&lt;1.2,1.2,IF(CX439&lt;1.4,1.4,IF(CX439&lt;1.6,1.6,IF(CX439&lt;1.8,1.8,IF(CX439&lt;2,2,2.2))))))))</f>
        <v>2.2000000000000002</v>
      </c>
      <c r="FS439" s="23">
        <f>IF(CY439&lt;0.6,0.6,IF(CY439&lt;0.8,0.8,IF(CY439&lt;1,1,IF(CY439&lt;1.2,1.2,IF(CY439&lt;1.4,1.4,IF(CY439&lt;1.6,1.6,IF(CY439&lt;1.8,1.8,IF(CY439&lt;2,2,2.2))))))))</f>
        <v>2.2000000000000002</v>
      </c>
      <c r="FT439" s="23">
        <f>IF(CZ439&lt;0.6,0.6,IF(CZ439&lt;0.8,0.8,IF(CZ439&lt;1,1,IF(CZ439&lt;1.2,1.2,IF(CZ439&lt;1.4,1.4,IF(CZ439&lt;1.6,1.6,IF(CZ439&lt;1.8,1.8,IF(CZ439&lt;2,2,2.2))))))))</f>
        <v>1.4</v>
      </c>
      <c r="FU439" s="23">
        <f>IF(FS439&lt;1,1,0)</f>
        <v>0</v>
      </c>
      <c r="FV439" s="23"/>
      <c r="GF439" s="4">
        <f>IF(S439&gt;=2.5*25.4,1,1.25)</f>
        <v>1</v>
      </c>
      <c r="GG439" s="4">
        <f>IF(AO439&gt;1, 0.05*(18-MIN(8,(W439+N439)/N439))*(1-48000/MAX(60000,(J439*145))*(N439/25.4)^0.75*GH439), 1/12*(14-MIN(8,(W439+N439)/N439)))</f>
        <v>0.46358941059918601</v>
      </c>
      <c r="GH439" s="4">
        <f>MIN(0.3, AM439^2*PI()/4*2*AP439/(N439^2*PI()/4*X439))</f>
        <v>0.3</v>
      </c>
      <c r="GI439" s="4">
        <f>(K439/25.4)/(N439/25.4)^1.5/0.0024*(M439*145)^0.25/GF439/GG439/145</f>
        <v>434.98517577221173</v>
      </c>
    </row>
    <row r="440" spans="1:191" ht="12" customHeight="1" x14ac:dyDescent="0.3">
      <c r="A440" s="25">
        <v>360</v>
      </c>
      <c r="B440" s="4" t="s">
        <v>605</v>
      </c>
      <c r="C440" s="4">
        <v>2016</v>
      </c>
      <c r="D440" s="4" t="s">
        <v>309</v>
      </c>
      <c r="E440" s="24" t="s">
        <v>673</v>
      </c>
      <c r="F440" s="97" t="s">
        <v>762</v>
      </c>
      <c r="G440" s="24">
        <v>1</v>
      </c>
      <c r="H440" s="7" t="s">
        <v>525</v>
      </c>
      <c r="I440" s="5">
        <f>K440/N440</f>
        <v>6.6559999999999997</v>
      </c>
      <c r="J440" s="38">
        <f>139/0.145</f>
        <v>958.62068965517244</v>
      </c>
      <c r="K440" s="76">
        <f>4.16*25.4</f>
        <v>105.664</v>
      </c>
      <c r="L440" s="4">
        <f>K440</f>
        <v>105.664</v>
      </c>
      <c r="M440" s="76">
        <f>4810/145</f>
        <v>33.172413793103445</v>
      </c>
      <c r="N440" s="38">
        <f>0.625*25.4</f>
        <v>15.875</v>
      </c>
      <c r="O440" s="7">
        <f>K440/N440</f>
        <v>6.6559999999999997</v>
      </c>
      <c r="P440" s="7">
        <f>L440/N440</f>
        <v>6.6559999999999997</v>
      </c>
      <c r="Q440" s="38">
        <f>13.1*25.4</f>
        <v>332.73999999999995</v>
      </c>
      <c r="R440" s="32">
        <f>S440/N440</f>
        <v>4.08</v>
      </c>
      <c r="S440" s="38">
        <f>2.55*25.4</f>
        <v>64.77</v>
      </c>
      <c r="T440" s="32">
        <f>U440/N440</f>
        <v>8.16</v>
      </c>
      <c r="U440" s="39">
        <f>5.1*25.4</f>
        <v>129.54</v>
      </c>
      <c r="V440" s="32">
        <f>W440/N440</f>
        <v>10.799999999999997</v>
      </c>
      <c r="W440" s="7">
        <f>(Q440-X440*N440-2*S440)/(X440-1)</f>
        <v>171.44999999999996</v>
      </c>
      <c r="X440" s="38">
        <v>2</v>
      </c>
      <c r="Y440" s="7">
        <f>AN440</f>
        <v>10</v>
      </c>
      <c r="Z440" s="32">
        <f>AA440/N440</f>
        <v>8.4</v>
      </c>
      <c r="AA440" s="4">
        <f>5.25*25.4</f>
        <v>133.35</v>
      </c>
      <c r="AB440" s="7">
        <f>MIN(S440/N440+0.5, W440/2/N440+0.5)</f>
        <v>4.58</v>
      </c>
      <c r="AC440" s="7">
        <f>S440/N440+0.5</f>
        <v>4.58</v>
      </c>
      <c r="AD440" s="38">
        <v>4</v>
      </c>
      <c r="AE440" s="4">
        <f>AD440</f>
        <v>4</v>
      </c>
      <c r="AF440" s="4">
        <f>AE440+1</f>
        <v>5</v>
      </c>
      <c r="AG440" s="7">
        <f>N440*AF440^0.5</f>
        <v>35.497579142809165</v>
      </c>
      <c r="AJ440" s="38">
        <f>AK440/0.145</f>
        <v>589.65517241379314</v>
      </c>
      <c r="AK440" s="4">
        <v>85.5</v>
      </c>
      <c r="AL440" s="4">
        <f>CY440</f>
        <v>1.6104550162570681</v>
      </c>
      <c r="AM440" s="38">
        <f>0.375*25.4</f>
        <v>9.5249999999999986</v>
      </c>
      <c r="AN440" s="38">
        <v>10</v>
      </c>
      <c r="AO440" s="39">
        <f>1.75*25.4</f>
        <v>44.449999999999996</v>
      </c>
      <c r="AP440" s="39">
        <v>3</v>
      </c>
      <c r="AQ440" s="39">
        <f>AP440-1</f>
        <v>2</v>
      </c>
      <c r="AR440" s="7"/>
      <c r="AS440" s="4">
        <f>K440</f>
        <v>105.664</v>
      </c>
      <c r="AT440" s="4">
        <f>IF(K440*3&gt;W440+N440, Q440, (S440+N440/2)*2+1.5*K440*(2*X440-2))*(3*K440)/(9*K440^2)</f>
        <v>1.049679487179487</v>
      </c>
      <c r="AU440" s="4">
        <f>MIN(10*M440^0.5*K440^1.5,100*3.9*M440^0.5*K440^(5/3))/(PI()/4*N440^2)/X440</f>
        <v>158.02717010503781</v>
      </c>
      <c r="AV440" s="4">
        <f>MIN(0.7+0.3*(MIN(S440,AA440)+0.5*N440)/1.5/K440,1)</f>
        <v>0.83762019230769225</v>
      </c>
      <c r="AW440" s="4">
        <v>1.25</v>
      </c>
      <c r="AX440" s="4">
        <f>AX439</f>
        <v>1</v>
      </c>
      <c r="AY440" s="38">
        <f>AT440*AV440*AW440*AX440*AU440</f>
        <v>173.67832600492889</v>
      </c>
      <c r="AZ440" s="38">
        <f>AY440</f>
        <v>173.67832600492889</v>
      </c>
      <c r="BA440" s="38">
        <f>IF(M440&lt;50, 0.3*M440^(2/3), 2.12*LN(1+0.1*(M440+8)))</f>
        <v>3.0972241539071201</v>
      </c>
      <c r="BB440" s="38">
        <f>AX440* (M440^0.5/AS440^0.5)/(PI()/4*N440^2)/X440/0.72 *(0.7+(MIN(S440,AA440)+0.5*N440)/5/K440) *(3*Q440*K440)</f>
        <v>173.67832600492883</v>
      </c>
      <c r="BC440" s="38">
        <f>AY440/BB440</f>
        <v>1.0000000000000002</v>
      </c>
      <c r="BD440" s="38">
        <f>BH440/BB440</f>
        <v>3.4991045495936475</v>
      </c>
      <c r="BE440" s="4">
        <f>IF(BD440&lt;1,1,0)</f>
        <v>0</v>
      </c>
      <c r="BF440" s="4">
        <f>L440/N440*M440^0.5/0.19</f>
        <v>201.76612319892325</v>
      </c>
      <c r="BG440" s="4">
        <f>MIN(0.6+0.4*(AC440/AB440),2)</f>
        <v>1</v>
      </c>
      <c r="BH440" s="38">
        <f>2*M440*AB440*AD440^0.5*BG440*0.7/0.7</f>
        <v>607.71862068965515</v>
      </c>
      <c r="BI440" s="4">
        <f>MAX(1-0.7*AE440/5,0.3)</f>
        <v>0.44000000000000006</v>
      </c>
      <c r="BJ440" s="4">
        <f>BI440*J440*L440/(J440*N440/2.75/M440^0.5)</f>
        <v>46.386031723432467</v>
      </c>
      <c r="BK440" s="4">
        <f>BH440+BJ440</f>
        <v>654.10465241308759</v>
      </c>
      <c r="BM440" s="4">
        <f>MIN(1.5, 0.75+0.25*MIN(3,MAX(1,S440/N440))+0.4*MIN(1,(40*2*PI()*AM440^2/4/AO440/X440)/N440))</f>
        <v>1.5</v>
      </c>
      <c r="BN440" s="4">
        <f>(3*P440+30)*BM440*M440^0.5</f>
        <v>431.68977592263855</v>
      </c>
      <c r="BP440" s="4">
        <f>3.4/PI()^0.5*M440*AB440*AE440^0.5*BG440</f>
        <v>582.87647638589272</v>
      </c>
      <c r="BQ440" s="4">
        <f>8/3*AH440*AI440^2/(AG440-N440-22)/N440*(AG440^2-N440^2)/(AG440^2-(N440+22)^2)</f>
        <v>0</v>
      </c>
      <c r="BR440" s="4">
        <f>BQ440/BP440</f>
        <v>0</v>
      </c>
      <c r="BZ440" s="4">
        <f>IF(W440=0,S440,MIN(W440/2,S440))</f>
        <v>64.77</v>
      </c>
      <c r="CD440" s="9"/>
      <c r="CF440" s="9"/>
      <c r="CG440" s="9"/>
      <c r="CH440" s="9">
        <f>IF(W440=0,MIN(S440,U440),MIN(W440/2,S440,U440))</f>
        <v>64.77</v>
      </c>
      <c r="CI440" s="9">
        <f>MAX(W440/2,S440)</f>
        <v>85.72499999999998</v>
      </c>
      <c r="CJ440" s="9">
        <f>(CH440/N440)^0.5*(CI440/CH440)^0.15</f>
        <v>2.1066390052415969</v>
      </c>
      <c r="CK440" s="70">
        <f>IF(AO440&gt;1,20,0)</f>
        <v>20</v>
      </c>
      <c r="CL440" s="9">
        <f>MIN(PI()*AM440^2/4*AN440*2/X440/N440/MAX(0.01,AO440),0.05)</f>
        <v>0.05</v>
      </c>
      <c r="CM440" s="9">
        <f>MAX(0,CK440*(CL440-0.5/50))</f>
        <v>0.8</v>
      </c>
      <c r="CN440" s="9">
        <f>MIN(1,(25/N440)^0.3)</f>
        <v>1</v>
      </c>
      <c r="CO440" s="9">
        <f>IF(J440&gt;=800,0.68,IF(J440&gt;=700,0.75-(J440-700)*0.07/100,IF(J440&gt;=600,0.85-(J440-600)*0.1/100,IF(J440&gt;=500,1-(J440-500)*0.15/100,1.2-(J440-400)*0.2/100))))</f>
        <v>0.68</v>
      </c>
      <c r="CP440" s="9">
        <f>1.75*CN440*CO440*(M440/25)^0.5</f>
        <v>1.3707728502186465</v>
      </c>
      <c r="CQ440" s="9">
        <f>MIN((CJ440+CM440)*CP440,2.5*CP440,M440^0.5)</f>
        <v>3.4269321255466161</v>
      </c>
      <c r="CR440" s="40">
        <v>1</v>
      </c>
      <c r="CS440" s="9">
        <f>4*CQ440*P440+60*CQ440</f>
        <v>296.8545684433501</v>
      </c>
      <c r="CU440" s="4">
        <f>AJ440/BF440</f>
        <v>2.9224686635449011</v>
      </c>
      <c r="CV440" s="4">
        <f>AJ440/BK440</f>
        <v>0.90146916130082411</v>
      </c>
      <c r="CW440" s="4">
        <f>AJ440/BN440</f>
        <v>1.3659234137605867</v>
      </c>
      <c r="CX440" s="4">
        <f>AJ440/CS440</f>
        <v>1.9863436008609694</v>
      </c>
      <c r="CY440" s="4">
        <f>AJ440/DZ440</f>
        <v>1.6104550162570681</v>
      </c>
      <c r="CZ440" s="4">
        <f>AJ440/EL440</f>
        <v>0.94846759987164653</v>
      </c>
      <c r="DA440" s="4">
        <f>AJ440/GI440</f>
        <v>1.356754559997581</v>
      </c>
      <c r="DB440" s="4">
        <f>AN440</f>
        <v>10</v>
      </c>
      <c r="DI440" s="4">
        <f>CU440</f>
        <v>2.9224686635449011</v>
      </c>
      <c r="DJ440" s="4">
        <f>CV440</f>
        <v>0.90146916130082411</v>
      </c>
      <c r="DK440" s="4">
        <f>CX440</f>
        <v>1.9863436008609694</v>
      </c>
      <c r="DL440" s="4">
        <f>DA440</f>
        <v>1.356754559997581</v>
      </c>
      <c r="DM440" s="4">
        <f>CY440</f>
        <v>1.6104550162570681</v>
      </c>
      <c r="DN440" s="4">
        <f>CZ440</f>
        <v>0.94846759987164653</v>
      </c>
      <c r="DQ440" s="4">
        <f>L440</f>
        <v>105.664</v>
      </c>
      <c r="DT440" s="4">
        <f>K440/4/(1-0.3*(M440/30)^0.5)/200000/N440</f>
        <v>1.2154210060506127E-5</v>
      </c>
      <c r="DU440" s="4">
        <f>EP440</f>
        <v>9.7201649178311715</v>
      </c>
      <c r="DV440" s="4">
        <f>EC440*AG440/257/M440/AD440</f>
        <v>0.18078990304707951</v>
      </c>
      <c r="DW440" s="4">
        <f>DU440*DV440^0.4</f>
        <v>4.903919158838062</v>
      </c>
      <c r="DX440" s="4">
        <f>MIN(DU440, DU440/1.4*(1-DV440^1.4)/(1-DV440))</f>
        <v>7.7021806750280755</v>
      </c>
      <c r="DY440" s="4">
        <f>MAX(DU440/2, (4-DT440*(8*AG440*(DW440-DX440)+6*K440*DX440))/(4+DT440*K440*DU440)*DU440)</f>
        <v>9.5695481151872013</v>
      </c>
      <c r="DZ440" s="38">
        <f>MIN(1/N440*(4*AG440*(DW440-DX440)+(3*DX440+DY440)*K440)+EC440 -FJ440,MAX(J440,AJ440))</f>
        <v>366.14197010248546</v>
      </c>
      <c r="EA440" s="4">
        <f>DZ440/FF440</f>
        <v>1.000110362296694</v>
      </c>
      <c r="EB440" s="4">
        <f>AG440/N440</f>
        <v>2.2360679774997898</v>
      </c>
      <c r="EC440" s="4">
        <f>MIN(EB$10*BB440)</f>
        <v>173.67832600492883</v>
      </c>
      <c r="EG440" s="4">
        <f>IF(U440&gt;1*N440,0.85,1)</f>
        <v>0.85</v>
      </c>
      <c r="EH440" s="4">
        <f>MIN(1,MAX(0.7,(1-0.1*(BZ440-1*N440)/N440)))</f>
        <v>0.7</v>
      </c>
      <c r="EI440" s="4">
        <f>MIN(1,MAX(0.7,1-0.3*(PI()*AM440^2/4*AQ440*2-0.25*PI()/4*N440^2)/(PI()/4*N440^2)))</f>
        <v>0.7</v>
      </c>
      <c r="EJ440" s="4">
        <f>IF(EH440*EI440&lt;0.7,0.7,EH440*EI440)</f>
        <v>0.7</v>
      </c>
      <c r="EL440" s="4">
        <f>MIN(DU440/N440*3*K440+EM440-FJ440,MAX(J440,AJ440))</f>
        <v>621.69247794399041</v>
      </c>
      <c r="EM440" s="25">
        <f>13.3*Q440*K440^0.5*M440^0.5/X440/N440^2*(0.7+S440/5/K440)</f>
        <v>427.60022486473753</v>
      </c>
      <c r="EO440" s="4">
        <f>EG440*EJ440</f>
        <v>0.59499999999999997</v>
      </c>
      <c r="EP440" s="4">
        <f>IF(N440&lt;22.2,1.1*5*(M440/30)^0.5,IF(N440&gt;=31.8,0.9*5*(M440/30)^0.5,1*5*(M440/30)^0.5))/EG440/EJ440</f>
        <v>9.7201649178311715</v>
      </c>
      <c r="ES440" s="4">
        <f>ET440*N440</f>
        <v>35.497579142809165</v>
      </c>
      <c r="ET440" s="4">
        <f>AF440^0.5</f>
        <v>2.2360679774997898</v>
      </c>
      <c r="EU440" s="4">
        <f>MIN(EC440)/(4700*M440^0.5)/AE440*ES440</f>
        <v>5.6937444937854166E-2</v>
      </c>
      <c r="EX440" s="4">
        <f>EU440</f>
        <v>5.6937444937854166E-2</v>
      </c>
      <c r="EY440" s="4">
        <f>MIN(0.999, EX440/(0.3*(M440/30)^0.5))</f>
        <v>0.18048819839355149</v>
      </c>
      <c r="EZ440" s="4">
        <f>EP440/1*EY440^0.4</f>
        <v>4.9006440276800802</v>
      </c>
      <c r="FA440" s="4">
        <f>EP440/1.4*(1-EY440^1.4)/(1-EY440)</f>
        <v>7.7011498875541111</v>
      </c>
      <c r="FB440" s="4">
        <f>MAX(0,DQ440*FB$9-ES440)</f>
        <v>43.750420857190839</v>
      </c>
      <c r="FC440" s="4">
        <f>MAX(0,DQ440-ES440-FB440)</f>
        <v>26.416000000000004</v>
      </c>
      <c r="FD440" s="4">
        <f>FC440/(1-0.3*(M440/30)^0.5)/200000/N440</f>
        <v>1.2154210060506129E-5</v>
      </c>
      <c r="FE440" s="4">
        <f>MAX(0.5*EP440, (1-2*FD440*(ES440*EZ440+FB440*FA440))/(1/EP440+FD440*FC440))</f>
        <v>9.5695861222139591</v>
      </c>
      <c r="FF440" s="4">
        <f>MIN(4/N440*(1*EZ440*ES440+FA440*FB440+FC440*FE440)+EC440,MAX(J440,AJ440))</f>
        <v>366.10156629280607</v>
      </c>
      <c r="FO440" s="23">
        <f>IF(CU440&lt;0.6,0.6,IF(CU440&lt;0.8,0.8,IF(CU440&lt;1,1,IF(CU440&lt;1.2,1.2,IF(CU440&lt;1.4,1.4,IF(CU440&lt;1.6,1.6,IF(CU440&lt;1.8,1.8,IF(CU440&lt;2,2,2.2))))))))</f>
        <v>2.2000000000000002</v>
      </c>
      <c r="FP440" s="23">
        <f>IF(CV440&lt;0.6,0.6,IF(CV440&lt;0.8,0.8,IF(CV440&lt;1,1,IF(CV440&lt;1.2,1.2,IF(CV440&lt;1.4,1.4,IF(CV440&lt;1.6,1.6,IF(CV440&lt;1.8,1.8,IF(CV440&lt;2,2,2.2))))))))</f>
        <v>1</v>
      </c>
      <c r="FQ440" s="23">
        <f>IF(DA440&lt;0.6,0.6,IF(DA440&lt;0.8,0.8,IF(DA440&lt;1,1,IF(DA440&lt;1.2,1.2,IF(DA440&lt;1.4,1.4,IF(DA440&lt;1.6,1.6,IF(DA440&lt;1.8,1.8,IF(DA440&lt;2,2,2.2))))))))</f>
        <v>1.4</v>
      </c>
      <c r="FR440" s="23">
        <f>IF(CX440&lt;0.6,0.6,IF(CX440&lt;0.8,0.8,IF(CX440&lt;1,1,IF(CX440&lt;1.2,1.2,IF(CX440&lt;1.4,1.4,IF(CX440&lt;1.6,1.6,IF(CX440&lt;1.8,1.8,IF(CX440&lt;2,2,2.2))))))))</f>
        <v>2</v>
      </c>
      <c r="FS440" s="23">
        <f>IF(CY440&lt;0.6,0.6,IF(CY440&lt;0.8,0.8,IF(CY440&lt;1,1,IF(CY440&lt;1.2,1.2,IF(CY440&lt;1.4,1.4,IF(CY440&lt;1.6,1.6,IF(CY440&lt;1.8,1.8,IF(CY440&lt;2,2,2.2))))))))</f>
        <v>1.8</v>
      </c>
      <c r="FT440" s="23">
        <f>IF(CZ440&lt;0.6,0.6,IF(CZ440&lt;0.8,0.8,IF(CZ440&lt;1,1,IF(CZ440&lt;1.2,1.2,IF(CZ440&lt;1.4,1.4,IF(CZ440&lt;1.6,1.6,IF(CZ440&lt;1.8,1.8,IF(CZ440&lt;2,2,2.2))))))))</f>
        <v>1</v>
      </c>
      <c r="FU440" s="23">
        <f>IF(FS440&lt;1,1,0)</f>
        <v>0</v>
      </c>
      <c r="FV440" s="23"/>
      <c r="GF440" s="4">
        <f>IF(S440&gt;=2.5*25.4,1,1.25)</f>
        <v>1</v>
      </c>
      <c r="GG440" s="4">
        <f>IF(AO440&gt;1, 0.05*(18-MIN(8,(W440+N440)/N440))*(1-48000/MAX(60000,(J440*145))*(N440/25.4)^0.75*GH440), 1/12*(14-MIN(8,(W440+N440)/N440)))</f>
        <v>0.46358941059918601</v>
      </c>
      <c r="GH440" s="4">
        <f>MIN(0.3, AM440^2*PI()/4*2*AP440/(N440^2*PI()/4*X440))</f>
        <v>0.3</v>
      </c>
      <c r="GI440" s="4">
        <f>(K440/25.4)/(N440/25.4)^1.5/0.0024*(M440*145)^0.25/GF440/GG440/145</f>
        <v>434.60710566164926</v>
      </c>
    </row>
    <row r="441" spans="1:191" ht="12" customHeight="1" x14ac:dyDescent="0.3">
      <c r="A441" s="25">
        <v>368</v>
      </c>
      <c r="B441" s="4" t="s">
        <v>605</v>
      </c>
      <c r="C441" s="4">
        <v>2016</v>
      </c>
      <c r="D441" s="4" t="s">
        <v>309</v>
      </c>
      <c r="E441" s="24" t="s">
        <v>532</v>
      </c>
      <c r="F441" s="75" t="s">
        <v>763</v>
      </c>
      <c r="G441" s="24">
        <v>3</v>
      </c>
      <c r="H441" s="7" t="s">
        <v>534</v>
      </c>
      <c r="I441" s="5">
        <f>K441/N441</f>
        <v>6.6079999999999988</v>
      </c>
      <c r="J441" s="38">
        <f>139/0.145</f>
        <v>958.62068965517244</v>
      </c>
      <c r="K441" s="76">
        <f>4.13*25.4</f>
        <v>104.90199999999999</v>
      </c>
      <c r="L441" s="4">
        <f>K441</f>
        <v>104.90199999999999</v>
      </c>
      <c r="M441" s="38">
        <f>11030/145</f>
        <v>76.068965517241381</v>
      </c>
      <c r="N441" s="38">
        <f>0.625*25.4</f>
        <v>15.875</v>
      </c>
      <c r="O441" s="7">
        <f>K441/N441</f>
        <v>6.6079999999999988</v>
      </c>
      <c r="P441" s="7">
        <f>L441/N441</f>
        <v>6.6079999999999988</v>
      </c>
      <c r="Q441" s="38">
        <f>13*25.4</f>
        <v>330.2</v>
      </c>
      <c r="R441" s="32">
        <f>S441/N441</f>
        <v>4</v>
      </c>
      <c r="S441" s="38">
        <f>2.5*25.4</f>
        <v>63.5</v>
      </c>
      <c r="T441" s="32">
        <f>U441/N441</f>
        <v>7.8400000000000007</v>
      </c>
      <c r="U441" s="39">
        <f>4.9*25.4</f>
        <v>124.46000000000001</v>
      </c>
      <c r="V441" s="32">
        <f>W441/N441</f>
        <v>10.799999999999999</v>
      </c>
      <c r="W441" s="7">
        <f>(Q441-X441*N441-2*S441)/(X441-1)</f>
        <v>171.45</v>
      </c>
      <c r="X441" s="38">
        <v>2</v>
      </c>
      <c r="Y441" s="7">
        <f>AN441</f>
        <v>0</v>
      </c>
      <c r="Z441" s="32">
        <f>AA441/N441</f>
        <v>8.4</v>
      </c>
      <c r="AA441" s="4">
        <f>5.25*25.4</f>
        <v>133.35</v>
      </c>
      <c r="AB441" s="7">
        <f>MIN(S441/N441+0.5, W441/2/N441+0.5)</f>
        <v>4.5</v>
      </c>
      <c r="AC441" s="7">
        <f>S441/N441+0.5</f>
        <v>4.5</v>
      </c>
      <c r="AD441" s="38">
        <v>13.1</v>
      </c>
      <c r="AE441" s="4">
        <f>AD441</f>
        <v>13.1</v>
      </c>
      <c r="AF441" s="4">
        <f>AE441+1</f>
        <v>14.1</v>
      </c>
      <c r="AG441" s="7">
        <f>N441*AF441^0.5</f>
        <v>59.610572153771514</v>
      </c>
      <c r="AJ441" s="38">
        <f>AK441/0.145</f>
        <v>698.62068965517244</v>
      </c>
      <c r="AK441" s="4">
        <v>101.3</v>
      </c>
      <c r="AL441" s="4">
        <f>CY441</f>
        <v>1.4571988895401744</v>
      </c>
      <c r="AM441" s="38">
        <v>0</v>
      </c>
      <c r="AN441" s="38">
        <v>0</v>
      </c>
      <c r="AO441" s="39">
        <f>L441</f>
        <v>104.90199999999999</v>
      </c>
      <c r="AP441" s="39"/>
      <c r="AQ441" s="39"/>
      <c r="AR441" s="7"/>
      <c r="AS441" s="4">
        <f>K441</f>
        <v>104.90199999999999</v>
      </c>
      <c r="AT441" s="4">
        <f>IF(K441*3&gt;W441+N441, Q441, (S441+N441/2)*2+1.5*K441*(2*X441-2))*(3*K441)/(9*K441^2)</f>
        <v>1.0492332526230832</v>
      </c>
      <c r="AU441" s="4">
        <f>MIN(10*M441^0.5*K441^1.5,100*3.9*M441^0.5*K441^(5/3))/(PI()/4*N441^2)/X441</f>
        <v>236.71842498037796</v>
      </c>
      <c r="AV441" s="4">
        <f>MIN(0.7+0.3*(MIN(S441,AA441)+0.5*N441)/1.5/K441,1)</f>
        <v>0.83619854721549636</v>
      </c>
      <c r="AW441" s="4">
        <v>1.25</v>
      </c>
      <c r="AX441" s="4">
        <f>AX440</f>
        <v>1</v>
      </c>
      <c r="AY441" s="38">
        <f>AT441*AV441*AW441*AX441*AU441</f>
        <v>259.61126310336186</v>
      </c>
      <c r="AZ441" s="38">
        <f>AY441</f>
        <v>259.61126310336186</v>
      </c>
      <c r="BA441" s="38">
        <f>IF(M441&lt;50, 0.3*M441^(2/3), 2.12*LN(1+0.1*(M441+8)))</f>
        <v>4.7518593634836064</v>
      </c>
      <c r="BB441" s="38">
        <f>AX441* (M441^0.5/AS441^0.5)/(PI()/4*N441^2)/X441/0.72 *(0.7+(MIN(S441,AA441)+0.5*N441)/5/K441) *(3*Q441*K441)</f>
        <v>259.61126310336186</v>
      </c>
      <c r="BC441" s="38">
        <f>AY441/BB441</f>
        <v>1</v>
      </c>
      <c r="BD441" s="38">
        <f>BH441/BB441</f>
        <v>9.5446968062075079</v>
      </c>
      <c r="BE441" s="4">
        <f>IF(BD441&lt;1,1,0)</f>
        <v>0</v>
      </c>
      <c r="BF441" s="4">
        <f>L441/N441*M441^0.5/0.19</f>
        <v>303.33336885701408</v>
      </c>
      <c r="BG441" s="4">
        <f>MIN(0.6+0.4*(AC441/AB441),2)</f>
        <v>1</v>
      </c>
      <c r="BH441" s="38">
        <f>2*M441*AB441*AD441^0.5*BG441*0.7/0.7</f>
        <v>2477.9107937981548</v>
      </c>
      <c r="BI441" s="4">
        <f>MAX(1-0.7*AE441/5,0.3)</f>
        <v>0.3</v>
      </c>
      <c r="BJ441" s="4">
        <f>BI441*J441*L441/(J441*N441/2.75/M441^0.5)</f>
        <v>47.547505568336966</v>
      </c>
      <c r="BK441" s="4">
        <f>BH441+BJ441</f>
        <v>2525.4582993664917</v>
      </c>
      <c r="BM441" s="4">
        <f>MIN(1.5, 0.75+0.25*MIN(3,MAX(1,S441/N441))+0.4*MIN(1,(40*2*PI()*AM441^2/4/AO441/X441)/N441))</f>
        <v>1.5</v>
      </c>
      <c r="BN441" s="4">
        <f>(3*P441+30)*BM441*M441^0.5</f>
        <v>651.82888989566936</v>
      </c>
      <c r="BP441" s="4">
        <f>3.4/PI()^0.5*M441*AB441*AE441^0.5*BG441</f>
        <v>2376.619479996501</v>
      </c>
      <c r="BQ441" s="4">
        <f>8/3*AH441*AI441^2/(AG441-N441-22)/N441*(AG441^2-N441^2)/(AG441^2-(N441+22)^2)</f>
        <v>0</v>
      </c>
      <c r="BR441" s="4">
        <f>BQ441/BP441</f>
        <v>0</v>
      </c>
      <c r="BZ441" s="4">
        <f>IF(W441=0,S441,MIN(W441/2,S441))</f>
        <v>63.5</v>
      </c>
      <c r="CD441" s="9"/>
      <c r="CF441" s="9"/>
      <c r="CG441" s="9"/>
      <c r="CH441" s="9">
        <f>IF(W441=0,MIN(S441,U441),MIN(W441/2,S441,U441))</f>
        <v>63.5</v>
      </c>
      <c r="CI441" s="9">
        <f>MAX(W441/2,S441)</f>
        <v>85.724999999999994</v>
      </c>
      <c r="CJ441" s="9">
        <f>(CH441/N441)^0.5*(CI441/CH441)^0.15</f>
        <v>2.0920885420600022</v>
      </c>
      <c r="CK441" s="70">
        <f>IF(AO441&gt;1,20,0)</f>
        <v>20</v>
      </c>
      <c r="CL441" s="9">
        <f>MIN(PI()*AM441^2/4*AN441*2/X441/N441/MAX(0.01,AO441),0.05)</f>
        <v>0</v>
      </c>
      <c r="CM441" s="9">
        <f>MAX(0,CK441*(CL441-0.5/50))</f>
        <v>0</v>
      </c>
      <c r="CN441" s="9">
        <f>MIN(1,(25/N441)^0.3)</f>
        <v>1</v>
      </c>
      <c r="CO441" s="9">
        <f>IF(J441&gt;=800,0.68,IF(J441&gt;=700,0.75-(J441-700)*0.07/100,IF(J441&gt;=600,0.85-(J441-600)*0.1/100,IF(J441&gt;=500,1-(J441-500)*0.15/100,1.2-(J441-400)*0.2/100))))</f>
        <v>0.68</v>
      </c>
      <c r="CP441" s="9">
        <f>1.75*CN441*CO441*(M441/25)^0.5</f>
        <v>2.0757770792545673</v>
      </c>
      <c r="CQ441" s="9">
        <f>MIN((CJ441+CM441)*CP441,2.5*CP441,M441^0.5)</f>
        <v>4.342709443379257</v>
      </c>
      <c r="CR441" s="40">
        <v>1</v>
      </c>
      <c r="CS441" s="9">
        <f>4*CQ441*P441+60*CQ441</f>
        <v>375.3490626101559</v>
      </c>
      <c r="CU441" s="4">
        <f>AJ441/BF441</f>
        <v>2.3031448610076581</v>
      </c>
      <c r="CV441" s="4">
        <f>AJ441/BK441</f>
        <v>0.27663125137739181</v>
      </c>
      <c r="CW441" s="4">
        <f>AJ441/BN441</f>
        <v>1.0717854033241645</v>
      </c>
      <c r="CX441" s="4">
        <f>AJ441/CS441</f>
        <v>1.8612559860866686</v>
      </c>
      <c r="CY441" s="4">
        <f>AJ441/DZ441</f>
        <v>1.4571988895401744</v>
      </c>
      <c r="CZ441" s="4">
        <f>AJ441/EL441</f>
        <v>0.75051026424073697</v>
      </c>
      <c r="DA441" s="4">
        <f>AJ441/GI441</f>
        <v>1.419112376432075</v>
      </c>
      <c r="DB441" s="4">
        <f>AN441</f>
        <v>0</v>
      </c>
      <c r="DC441" s="4">
        <f>CU441</f>
        <v>2.3031448610076581</v>
      </c>
      <c r="DD441" s="4">
        <f>CV441</f>
        <v>0.27663125137739181</v>
      </c>
      <c r="DE441" s="4">
        <f>CX441</f>
        <v>1.8612559860866686</v>
      </c>
      <c r="DF441" s="4">
        <f>DA441</f>
        <v>1.419112376432075</v>
      </c>
      <c r="DG441" s="4">
        <f>CY441</f>
        <v>1.4571988895401744</v>
      </c>
      <c r="DH441" s="4">
        <f>CZ441</f>
        <v>0.75051026424073697</v>
      </c>
      <c r="DQ441" s="4">
        <f>L441</f>
        <v>104.90199999999999</v>
      </c>
      <c r="DT441" s="4">
        <f>K441/4/(1-0.3*(M441/30)^0.5)/200000/N441</f>
        <v>1.5814970357900817E-5</v>
      </c>
      <c r="DU441" s="4">
        <f>EP441</f>
        <v>14.719357433866572</v>
      </c>
      <c r="DV441" s="4">
        <f>EC441*AG441/257/M441/AD441</f>
        <v>6.042753676722571E-2</v>
      </c>
      <c r="DW441" s="4">
        <f>DU441*DV441^0.4</f>
        <v>4.7905216587200821</v>
      </c>
      <c r="DX441" s="4">
        <f>MIN(DU441, DU441/1.4*(1-DV441^1.4)/(1-DV441))</f>
        <v>10.969942314090531</v>
      </c>
      <c r="DY441" s="4">
        <f>MAX(DU441/2, (4-DT441*(8*AG441*(DW441-DX441)+6*K441*DX441))/(4+DT441*K441*DU441)*DU441)</f>
        <v>14.401112598815184</v>
      </c>
      <c r="DZ441" s="38">
        <f>MIN(1/N441*(4*AG441*(DW441-DX441)+(3*DX441+DY441)*K441)+EC441 -FJ441,MAX(J441,AJ441))</f>
        <v>479.42713562980089</v>
      </c>
      <c r="EA441" s="4">
        <f>DZ441/FF441</f>
        <v>1.0001055948086126</v>
      </c>
      <c r="EB441" s="4">
        <f>AG441/N441</f>
        <v>3.7549966711037173</v>
      </c>
      <c r="EC441" s="4">
        <f>MIN(EB$10*BB441)</f>
        <v>259.61126310336186</v>
      </c>
      <c r="EG441" s="4">
        <f>IF(U441&gt;1*N441,0.85,1)</f>
        <v>0.85</v>
      </c>
      <c r="EH441" s="4">
        <f>MIN(1,MAX(0.7,(1-0.1*(BZ441-1*N441)/N441)))</f>
        <v>0.7</v>
      </c>
      <c r="EI441" s="4">
        <f>MIN(1,MAX(0.7,1-0.3*(PI()*AM441^2/4*AQ441*2-0.25*PI()/4*N441^2)/(PI()/4*N441^2)))</f>
        <v>1</v>
      </c>
      <c r="EJ441" s="4">
        <f>IF(EH441*EI441&lt;0.7,0.7,EH441*EI441)</f>
        <v>0.7</v>
      </c>
      <c r="EL441" s="4">
        <f>MIN(DU441/N441*3*K441+EM441-FJ441,MAX(J441,AJ441))</f>
        <v>930.86093947288077</v>
      </c>
      <c r="EM441" s="25">
        <f>13.3*Q441*K441^0.5*M441^0.5/X441/N441^2*(0.7+S441/5/K441)</f>
        <v>639.06439770390989</v>
      </c>
      <c r="EO441" s="4">
        <f>EG441*EJ441</f>
        <v>0.59499999999999997</v>
      </c>
      <c r="EP441" s="4">
        <f>IF(N441&lt;22.2,1.1*5*(M441/30)^0.5,IF(N441&gt;=31.8,0.9*5*(M441/30)^0.5,1*5*(M441/30)^0.5))/EG441/EJ441</f>
        <v>14.719357433866572</v>
      </c>
      <c r="ES441" s="4">
        <f>ET441*N441</f>
        <v>59.610572153771514</v>
      </c>
      <c r="ET441" s="4">
        <f>AF441^0.5</f>
        <v>3.7549966711037173</v>
      </c>
      <c r="EU441" s="4">
        <f>MIN(EC441)/(4700*M441^0.5)/AE441*ES441</f>
        <v>2.8818668527396278E-2</v>
      </c>
      <c r="EX441" s="4">
        <f>EU441</f>
        <v>2.8818668527396278E-2</v>
      </c>
      <c r="EY441" s="4">
        <f>MIN(0.999, EX441/(0.3*(M441/30)^0.5))</f>
        <v>6.03266944705231E-2</v>
      </c>
      <c r="EZ441" s="4">
        <f>EP441/1*EY441^0.4</f>
        <v>4.7873222612097912</v>
      </c>
      <c r="FA441" s="4">
        <f>EP441/1.4*(1-EY441^1.4)/(1-EY441)</f>
        <v>10.969278989658664</v>
      </c>
      <c r="FB441" s="4">
        <f>MAX(0,DQ441*FB$9-ES441)</f>
        <v>19.065927846228476</v>
      </c>
      <c r="FC441" s="4">
        <f>MAX(0,DQ441-ES441-FB441)</f>
        <v>26.225499999999997</v>
      </c>
      <c r="FD441" s="4">
        <f>FC441/(1-0.3*(M441/30)^0.5)/200000/N441</f>
        <v>1.5814970357900817E-5</v>
      </c>
      <c r="FE441" s="4">
        <f>MAX(0.5*EP441, (1-2*FD441*(ES441*EZ441+FB441*FA441))/(1/EP441+FD441*FC441))</f>
        <v>14.401206705345139</v>
      </c>
      <c r="FF441" s="4">
        <f>MIN(4/N441*(1*EZ441*ES441+FA441*FB441+FC441*FE441)+EC441,MAX(J441,AJ441))</f>
        <v>479.3765159583449</v>
      </c>
      <c r="FO441" s="23">
        <f>IF(CU441&lt;0.6,0.6,IF(CU441&lt;0.8,0.8,IF(CU441&lt;1,1,IF(CU441&lt;1.2,1.2,IF(CU441&lt;1.4,1.4,IF(CU441&lt;1.6,1.6,IF(CU441&lt;1.8,1.8,IF(CU441&lt;2,2,2.2))))))))</f>
        <v>2.2000000000000002</v>
      </c>
      <c r="FP441" s="23">
        <f>IF(CV441&lt;0.6,0.6,IF(CV441&lt;0.8,0.8,IF(CV441&lt;1,1,IF(CV441&lt;1.2,1.2,IF(CV441&lt;1.4,1.4,IF(CV441&lt;1.6,1.6,IF(CV441&lt;1.8,1.8,IF(CV441&lt;2,2,2.2))))))))</f>
        <v>0.6</v>
      </c>
      <c r="FQ441" s="23">
        <f>IF(DA441&lt;0.6,0.6,IF(DA441&lt;0.8,0.8,IF(DA441&lt;1,1,IF(DA441&lt;1.2,1.2,IF(DA441&lt;1.4,1.4,IF(DA441&lt;1.6,1.6,IF(DA441&lt;1.8,1.8,IF(DA441&lt;2,2,2.2))))))))</f>
        <v>1.6</v>
      </c>
      <c r="FR441" s="23">
        <f>IF(CX441&lt;0.6,0.6,IF(CX441&lt;0.8,0.8,IF(CX441&lt;1,1,IF(CX441&lt;1.2,1.2,IF(CX441&lt;1.4,1.4,IF(CX441&lt;1.6,1.6,IF(CX441&lt;1.8,1.8,IF(CX441&lt;2,2,2.2))))))))</f>
        <v>2</v>
      </c>
      <c r="FS441" s="23">
        <f>IF(CY441&lt;0.6,0.6,IF(CY441&lt;0.8,0.8,IF(CY441&lt;1,1,IF(CY441&lt;1.2,1.2,IF(CY441&lt;1.4,1.4,IF(CY441&lt;1.6,1.6,IF(CY441&lt;1.8,1.8,IF(CY441&lt;2,2,2.2))))))))</f>
        <v>1.6</v>
      </c>
      <c r="FT441" s="23">
        <f>IF(CZ441&lt;0.6,0.6,IF(CZ441&lt;0.8,0.8,IF(CZ441&lt;1,1,IF(CZ441&lt;1.2,1.2,IF(CZ441&lt;1.4,1.4,IF(CZ441&lt;1.6,1.6,IF(CZ441&lt;1.8,1.8,IF(CZ441&lt;2,2,2.2))))))))</f>
        <v>0.8</v>
      </c>
      <c r="FU441" s="23">
        <f>IF(FS441&lt;1,1,0)</f>
        <v>0</v>
      </c>
      <c r="FV441" s="23"/>
      <c r="GF441" s="4">
        <f>IF(S441&gt;=2.5*25.4,1,1.25)</f>
        <v>1</v>
      </c>
      <c r="GG441" s="4">
        <f>IF(AO441&gt;1, 0.05*(18-MIN(8,(W441+N441)/N441))*(1-48000/MAX(60000,(J441*145))*(N441/25.4)^0.75*GH441), 1/12*(14-MIN(8,(W441+N441)/N441)))</f>
        <v>0.5</v>
      </c>
      <c r="GH441" s="4">
        <f>MIN(0.3, AM441^2*PI()/4*2*AP441/(N441^2*PI()/4*X441))</f>
        <v>0</v>
      </c>
      <c r="GI441" s="4">
        <f>(K441/25.4)/(N441/25.4)^1.5/0.0024*(M441*145)^0.25/GF441/GG441/145</f>
        <v>492.29412783478148</v>
      </c>
    </row>
    <row r="442" spans="1:191" ht="12" customHeight="1" x14ac:dyDescent="0.3">
      <c r="A442" s="25">
        <v>369</v>
      </c>
      <c r="B442" s="4" t="s">
        <v>605</v>
      </c>
      <c r="C442" s="4">
        <v>2016</v>
      </c>
      <c r="D442" s="4" t="s">
        <v>309</v>
      </c>
      <c r="E442" s="24" t="s">
        <v>674</v>
      </c>
      <c r="F442" s="75" t="s">
        <v>763</v>
      </c>
      <c r="G442" s="24">
        <v>3</v>
      </c>
      <c r="H442" s="7" t="s">
        <v>535</v>
      </c>
      <c r="I442" s="5">
        <f>K442/N442</f>
        <v>6.6079999999999988</v>
      </c>
      <c r="J442" s="38">
        <f>139/0.145</f>
        <v>958.62068965517244</v>
      </c>
      <c r="K442" s="76">
        <f>4.13*25.4</f>
        <v>104.90199999999999</v>
      </c>
      <c r="L442" s="4">
        <f>K442</f>
        <v>104.90199999999999</v>
      </c>
      <c r="M442" s="38">
        <f>11030/145</f>
        <v>76.068965517241381</v>
      </c>
      <c r="N442" s="38">
        <f>0.625*25.4</f>
        <v>15.875</v>
      </c>
      <c r="O442" s="7">
        <f>K442/N442</f>
        <v>6.6079999999999988</v>
      </c>
      <c r="P442" s="7">
        <f>L442/N442</f>
        <v>6.6079999999999988</v>
      </c>
      <c r="Q442" s="38">
        <f>13.1*25.4</f>
        <v>332.73999999999995</v>
      </c>
      <c r="R442" s="32">
        <f>S442/N442</f>
        <v>4.2399999999999993</v>
      </c>
      <c r="S442" s="38">
        <f>2.65*25.4</f>
        <v>67.309999999999988</v>
      </c>
      <c r="T442" s="32">
        <f>U442/N442</f>
        <v>8</v>
      </c>
      <c r="U442" s="39">
        <f>5*25.4</f>
        <v>127</v>
      </c>
      <c r="V442" s="32">
        <f>W442/N442</f>
        <v>10.479999999999999</v>
      </c>
      <c r="W442" s="7">
        <f>(Q442-X442*N442-2*S442)/(X442-1)</f>
        <v>166.36999999999998</v>
      </c>
      <c r="X442" s="38">
        <v>2</v>
      </c>
      <c r="Y442" s="7">
        <f>AN442</f>
        <v>4</v>
      </c>
      <c r="Z442" s="32">
        <f>AA442/N442</f>
        <v>8.4</v>
      </c>
      <c r="AA442" s="4">
        <f>5.25*25.4</f>
        <v>133.35</v>
      </c>
      <c r="AB442" s="7">
        <f>MIN(S442/N442+0.5, W442/2/N442+0.5)</f>
        <v>4.7399999999999993</v>
      </c>
      <c r="AC442" s="7">
        <f>S442/N442+0.5</f>
        <v>4.7399999999999993</v>
      </c>
      <c r="AD442" s="38">
        <v>4</v>
      </c>
      <c r="AE442" s="4">
        <f>AD442</f>
        <v>4</v>
      </c>
      <c r="AF442" s="4">
        <f>AE442+1</f>
        <v>5</v>
      </c>
      <c r="AG442" s="7">
        <f>N442*AF442^0.5</f>
        <v>35.497579142809165</v>
      </c>
      <c r="AJ442" s="38">
        <f>AK442/0.145</f>
        <v>727.58620689655174</v>
      </c>
      <c r="AK442" s="4">
        <v>105.5</v>
      </c>
      <c r="AL442" s="4">
        <f>CY442</f>
        <v>1.3523744146328167</v>
      </c>
      <c r="AM442" s="38">
        <f>0.375*25.4</f>
        <v>9.5249999999999986</v>
      </c>
      <c r="AN442" s="38">
        <v>4</v>
      </c>
      <c r="AO442" s="39">
        <f>3.5*25.4</f>
        <v>88.899999999999991</v>
      </c>
      <c r="AP442" s="39">
        <v>2</v>
      </c>
      <c r="AQ442" s="39">
        <f>AP442-1</f>
        <v>1</v>
      </c>
      <c r="AR442" s="7"/>
      <c r="AS442" s="4">
        <f>K442</f>
        <v>104.90199999999999</v>
      </c>
      <c r="AT442" s="4">
        <f>IF(K442*3&gt;W442+N442, Q442, (S442+N442/2)*2+1.5*K442*(2*X442-2))*(3*K442)/(9*K442^2)</f>
        <v>1.0573042776432606</v>
      </c>
      <c r="AU442" s="4">
        <f>MIN(10*M442^0.5*K442^1.5,100*3.9*M442^0.5*K442^(5/3))/(PI()/4*N442^2)/X442</f>
        <v>236.71842498037796</v>
      </c>
      <c r="AV442" s="4">
        <f>MIN(0.7+0.3*(MIN(S442,AA442)+0.5*N442)/1.5/K442,1)</f>
        <v>0.84346246973365613</v>
      </c>
      <c r="AW442" s="4">
        <v>1.25</v>
      </c>
      <c r="AX442" s="4">
        <f>AX441</f>
        <v>1</v>
      </c>
      <c r="AY442" s="38">
        <f>AT442*AV442*AW442*AX442*AU442</f>
        <v>263.88082188124309</v>
      </c>
      <c r="AZ442" s="38">
        <f>AY442</f>
        <v>263.88082188124309</v>
      </c>
      <c r="BA442" s="38">
        <f>IF(M442&lt;50, 0.3*M442^(2/3), 2.12*LN(1+0.1*(M442+8)))</f>
        <v>4.7518593634836064</v>
      </c>
      <c r="BB442" s="38">
        <f>AX442* (M442^0.5/AS442^0.5)/(PI()/4*N442^2)/X442/0.72 *(0.7+(MIN(S442,AA442)+0.5*N442)/5/K442) *(3*Q442*K442)</f>
        <v>263.88082188124309</v>
      </c>
      <c r="BC442" s="38">
        <f>AY442/BB442</f>
        <v>1</v>
      </c>
      <c r="BD442" s="38">
        <f>BH442/BB442</f>
        <v>5.4656021454108341</v>
      </c>
      <c r="BE442" s="4">
        <f>IF(BD442&lt;1,1,0)</f>
        <v>0</v>
      </c>
      <c r="BF442" s="4">
        <f>L442/N442*M442^0.5/0.19</f>
        <v>303.33336885701408</v>
      </c>
      <c r="BG442" s="4">
        <f>MIN(0.6+0.4*(AC442/AB442),2)</f>
        <v>1</v>
      </c>
      <c r="BH442" s="38">
        <f>2*M442*AB442*AD442^0.5*BG442*0.7/0.7</f>
        <v>1442.2675862068963</v>
      </c>
      <c r="BI442" s="4">
        <f>MAX(1-0.7*AE442/5,0.3)</f>
        <v>0.44000000000000006</v>
      </c>
      <c r="BJ442" s="4">
        <f>BI442*J442*L442/(J442*N442/2.75/M442^0.5)</f>
        <v>69.736341500227553</v>
      </c>
      <c r="BK442" s="4">
        <f>BH442+BJ442</f>
        <v>1512.0039277071239</v>
      </c>
      <c r="BM442" s="4">
        <f>MIN(1.5, 0.75+0.25*MIN(3,MAX(1,S442/N442))+0.4*MIN(1,(40*2*PI()*AM442^2/4/AO442/X442)/N442))</f>
        <v>1.5</v>
      </c>
      <c r="BN442" s="4">
        <f>(3*P442+30)*BM442*M442^0.5</f>
        <v>651.82888989566936</v>
      </c>
      <c r="BP442" s="4">
        <f>3.4/PI()^0.5*M442*AB442*AE442^0.5*BG442</f>
        <v>1383.3109930050441</v>
      </c>
      <c r="BQ442" s="4">
        <f>8/3*AH442*AI442^2/(AG442-N442-22)/N442*(AG442^2-N442^2)/(AG442^2-(N442+22)^2)</f>
        <v>0</v>
      </c>
      <c r="BR442" s="4">
        <f>BQ442/BP442</f>
        <v>0</v>
      </c>
      <c r="BZ442" s="4">
        <f>IF(W442=0,S442,MIN(W442/2,S442))</f>
        <v>67.309999999999988</v>
      </c>
      <c r="CD442" s="9"/>
      <c r="CF442" s="9"/>
      <c r="CG442" s="9"/>
      <c r="CH442" s="9">
        <f>IF(W442=0,MIN(S442,U442),MIN(W442/2,S442,U442))</f>
        <v>67.309999999999988</v>
      </c>
      <c r="CI442" s="9">
        <f>MAX(W442/2,S442)</f>
        <v>83.184999999999988</v>
      </c>
      <c r="CJ442" s="9">
        <f>(CH442/N442)^0.5*(CI442/CH442)^0.15</f>
        <v>2.1255814085673048</v>
      </c>
      <c r="CK442" s="70">
        <f>IF(AO442&gt;1,20,0)</f>
        <v>20</v>
      </c>
      <c r="CL442" s="9">
        <f>MIN(PI()*AM442^2/4*AN442*2/X442/N442/MAX(0.01,AO442),0.05)</f>
        <v>0.05</v>
      </c>
      <c r="CM442" s="9">
        <f>MAX(0,CK442*(CL442-0.5/50))</f>
        <v>0.8</v>
      </c>
      <c r="CN442" s="9">
        <f>MIN(1,(25/N442)^0.3)</f>
        <v>1</v>
      </c>
      <c r="CO442" s="9">
        <f>IF(J442&gt;=800,0.68,IF(J442&gt;=700,0.75-(J442-700)*0.07/100,IF(J442&gt;=600,0.85-(J442-600)*0.1/100,IF(J442&gt;=500,1-(J442-500)*0.15/100,1.2-(J442-400)*0.2/100))))</f>
        <v>0.68</v>
      </c>
      <c r="CP442" s="9">
        <f>1.75*CN442*CO442*(M442/25)^0.5</f>
        <v>2.0757770792545673</v>
      </c>
      <c r="CQ442" s="9">
        <f>MIN((CJ442+CM442)*CP442,2.5*CP442,M442^0.5)</f>
        <v>5.1894426981364186</v>
      </c>
      <c r="CR442" s="40">
        <v>1</v>
      </c>
      <c r="CS442" s="9">
        <f>4*CQ442*P442+60*CQ442</f>
        <v>448.53391128532689</v>
      </c>
      <c r="CU442" s="4">
        <f>AJ442/BF442</f>
        <v>2.3986355660050145</v>
      </c>
      <c r="CV442" s="4">
        <f>AJ442/BK442</f>
        <v>0.48120655876859975</v>
      </c>
      <c r="CW442" s="4">
        <f>AJ442/BN442</f>
        <v>1.1162227053376048</v>
      </c>
      <c r="CX442" s="4">
        <f>AJ442/CS442</f>
        <v>1.6221431392145302</v>
      </c>
      <c r="CY442" s="4">
        <f>AJ442/DZ442</f>
        <v>1.3523744146328167</v>
      </c>
      <c r="CZ442" s="4">
        <f>AJ442/EL442</f>
        <v>0.77281597321579087</v>
      </c>
      <c r="DA442" s="4">
        <f>AJ442/GI442</f>
        <v>1.3703241283774616</v>
      </c>
      <c r="DB442" s="4">
        <f>AN442</f>
        <v>4</v>
      </c>
      <c r="DI442" s="4">
        <f>CU442</f>
        <v>2.3986355660050145</v>
      </c>
      <c r="DJ442" s="4">
        <f>CV442</f>
        <v>0.48120655876859975</v>
      </c>
      <c r="DK442" s="4">
        <f>CX442</f>
        <v>1.6221431392145302</v>
      </c>
      <c r="DL442" s="4">
        <f>DA442</f>
        <v>1.3703241283774616</v>
      </c>
      <c r="DM442" s="4">
        <f>CY442</f>
        <v>1.3523744146328167</v>
      </c>
      <c r="DN442" s="4">
        <f>CZ442</f>
        <v>0.77281597321579087</v>
      </c>
      <c r="DQ442" s="4">
        <f>L442</f>
        <v>104.90199999999999</v>
      </c>
      <c r="DT442" s="4">
        <f>K442/4/(1-0.3*(M442/30)^0.5)/200000/N442</f>
        <v>1.5814970357900817E-5</v>
      </c>
      <c r="DU442" s="4">
        <f>EP442</f>
        <v>14.719357433866572</v>
      </c>
      <c r="DV442" s="4">
        <f>EC442*AG442/257/M442/AD442</f>
        <v>0.11978596594138806</v>
      </c>
      <c r="DW442" s="4">
        <f>DU442*DV442^0.4</f>
        <v>6.2987043996526157</v>
      </c>
      <c r="DX442" s="4">
        <f>MIN(DU442, DU442/1.4*(1-DV442^1.4)/(1-DV442))</f>
        <v>11.332358221024144</v>
      </c>
      <c r="DY442" s="4">
        <f>MAX(DU442/2, (4-DT442*(8*AG442*(DW442-DX442)+6*K442*DX442))/(4+DT442*K442*DU442)*DU442)</f>
        <v>14.300145802609304</v>
      </c>
      <c r="DZ442" s="38">
        <f>MIN(1/N442*(4*AG442*(DW442-DX442)+(3*DX442+DY442)*K442)+EC442 -FJ442,MAX(J442,AJ442))</f>
        <v>538.00648623931465</v>
      </c>
      <c r="EA442" s="4">
        <f>DZ442/FF442</f>
        <v>1.0000919358854434</v>
      </c>
      <c r="EB442" s="4">
        <f>AG442/N442</f>
        <v>2.2360679774997898</v>
      </c>
      <c r="EC442" s="4">
        <f>MIN(EB$10*BB442)</f>
        <v>263.88082188124309</v>
      </c>
      <c r="EG442" s="4">
        <f>IF(U442&gt;1*N442,0.85,1)</f>
        <v>0.85</v>
      </c>
      <c r="EH442" s="4">
        <f>MIN(1,MAX(0.7,(1-0.1*(BZ442-1*N442)/N442)))</f>
        <v>0.7</v>
      </c>
      <c r="EI442" s="4">
        <f>MIN(1,MAX(0.7,1-0.3*(PI()*AM442^2/4*AQ442*2-0.25*PI()/4*N442^2)/(PI()/4*N442^2)))</f>
        <v>0.85899999999999999</v>
      </c>
      <c r="EJ442" s="4">
        <f>IF(EH442*EI442&lt;0.7,0.7,EH442*EI442)</f>
        <v>0.7</v>
      </c>
      <c r="EL442" s="4">
        <f>MIN(DU442/N442*3*K442+EM442-FJ442,MAX(J442,AJ442))</f>
        <v>941.4740793580753</v>
      </c>
      <c r="EM442" s="25">
        <f>13.3*Q442*K442^0.5*M442^0.5/X442/N442^2*(0.7+S442/5/K442)</f>
        <v>649.67753758910442</v>
      </c>
      <c r="EO442" s="4">
        <f>EG442*EJ442</f>
        <v>0.59499999999999997</v>
      </c>
      <c r="EP442" s="4">
        <f>IF(N442&lt;22.2,1.1*5*(M442/30)^0.5,IF(N442&gt;=31.8,0.9*5*(M442/30)^0.5,1*5*(M442/30)^0.5))/EG442/EJ442</f>
        <v>14.719357433866572</v>
      </c>
      <c r="ES442" s="4">
        <f>ET442*N442</f>
        <v>35.497579142809165</v>
      </c>
      <c r="ET442" s="4">
        <f>AF442^0.5</f>
        <v>2.2360679774997898</v>
      </c>
      <c r="EU442" s="4">
        <f>MIN(EC442)/(4700*M442^0.5)/AE442*ES442</f>
        <v>5.7127465910064269E-2</v>
      </c>
      <c r="EX442" s="4">
        <f>EU442</f>
        <v>5.7127465910064269E-2</v>
      </c>
      <c r="EY442" s="4">
        <f>MIN(0.999, EX442/(0.3*(M442/30)^0.5))</f>
        <v>0.11958606548930108</v>
      </c>
      <c r="EZ442" s="4">
        <f>EP442/1*EY442^0.4</f>
        <v>6.2944977473065959</v>
      </c>
      <c r="FA442" s="4">
        <f>EP442/1.4*(1-EY442^1.4)/(1-EY442)</f>
        <v>11.331214838325721</v>
      </c>
      <c r="FB442" s="4">
        <f>MAX(0,DQ442*FB$9-ES442)</f>
        <v>43.178920857190825</v>
      </c>
      <c r="FC442" s="4">
        <f>MAX(0,DQ442-ES442-FB442)</f>
        <v>26.22549999999999</v>
      </c>
      <c r="FD442" s="4">
        <f>FC442/(1-0.3*(M442/30)^0.5)/200000/N442</f>
        <v>1.5814970357900814E-5</v>
      </c>
      <c r="FE442" s="4">
        <f>MAX(0.5*EP442, (1-2*FD442*(ES442*EZ442+FB442*FA442))/(1/EP442+FD442*FC442))</f>
        <v>14.30023774866148</v>
      </c>
      <c r="FF442" s="4">
        <f>MIN(4/N442*(1*EZ442*ES442+FA442*FB442+FC442*FE442)+EC442,MAX(J442,AJ442))</f>
        <v>537.95702868355215</v>
      </c>
      <c r="FO442" s="23">
        <f>IF(CU442&lt;0.6,0.6,IF(CU442&lt;0.8,0.8,IF(CU442&lt;1,1,IF(CU442&lt;1.2,1.2,IF(CU442&lt;1.4,1.4,IF(CU442&lt;1.6,1.6,IF(CU442&lt;1.8,1.8,IF(CU442&lt;2,2,2.2))))))))</f>
        <v>2.2000000000000002</v>
      </c>
      <c r="FP442" s="23">
        <f>IF(CV442&lt;0.6,0.6,IF(CV442&lt;0.8,0.8,IF(CV442&lt;1,1,IF(CV442&lt;1.2,1.2,IF(CV442&lt;1.4,1.4,IF(CV442&lt;1.6,1.6,IF(CV442&lt;1.8,1.8,IF(CV442&lt;2,2,2.2))))))))</f>
        <v>0.6</v>
      </c>
      <c r="FQ442" s="23">
        <f>IF(DA442&lt;0.6,0.6,IF(DA442&lt;0.8,0.8,IF(DA442&lt;1,1,IF(DA442&lt;1.2,1.2,IF(DA442&lt;1.4,1.4,IF(DA442&lt;1.6,1.6,IF(DA442&lt;1.8,1.8,IF(DA442&lt;2,2,2.2))))))))</f>
        <v>1.4</v>
      </c>
      <c r="FR442" s="23">
        <f>IF(CX442&lt;0.6,0.6,IF(CX442&lt;0.8,0.8,IF(CX442&lt;1,1,IF(CX442&lt;1.2,1.2,IF(CX442&lt;1.4,1.4,IF(CX442&lt;1.6,1.6,IF(CX442&lt;1.8,1.8,IF(CX442&lt;2,2,2.2))))))))</f>
        <v>1.8</v>
      </c>
      <c r="FS442" s="23">
        <f>IF(CY442&lt;0.6,0.6,IF(CY442&lt;0.8,0.8,IF(CY442&lt;1,1,IF(CY442&lt;1.2,1.2,IF(CY442&lt;1.4,1.4,IF(CY442&lt;1.6,1.6,IF(CY442&lt;1.8,1.8,IF(CY442&lt;2,2,2.2))))))))</f>
        <v>1.4</v>
      </c>
      <c r="FT442" s="23">
        <f>IF(CZ442&lt;0.6,0.6,IF(CZ442&lt;0.8,0.8,IF(CZ442&lt;1,1,IF(CZ442&lt;1.2,1.2,IF(CZ442&lt;1.4,1.4,IF(CZ442&lt;1.6,1.6,IF(CZ442&lt;1.8,1.8,IF(CZ442&lt;2,2,2.2))))))))</f>
        <v>0.8</v>
      </c>
      <c r="FU442" s="23">
        <f>IF(FS442&lt;1,1,0)</f>
        <v>0</v>
      </c>
      <c r="FV442" s="23"/>
      <c r="GF442" s="4">
        <f>IF(S442&gt;=2.5*25.4,1,1.25)</f>
        <v>1</v>
      </c>
      <c r="GG442" s="4">
        <f>IF(AO442&gt;1, 0.05*(18-MIN(8,(W442+N442)/N442))*(1-48000/MAX(60000,(J442*145))*(N442/25.4)^0.75*GH442), 1/12*(14-MIN(8,(W442+N442)/N442)))</f>
        <v>0.46358941059918601</v>
      </c>
      <c r="GH442" s="4">
        <f>MIN(0.3, AM442^2*PI()/4*2*AP442/(N442^2*PI()/4*X442))</f>
        <v>0.3</v>
      </c>
      <c r="GI442" s="4">
        <f>(K442/25.4)/(N442/25.4)^1.5/0.0024*(M442*145)^0.25/GF442/GG442/145</f>
        <v>530.95920288439595</v>
      </c>
    </row>
    <row r="443" spans="1:191" ht="12" customHeight="1" x14ac:dyDescent="0.3">
      <c r="A443" s="25">
        <v>372</v>
      </c>
      <c r="B443" s="4" t="s">
        <v>605</v>
      </c>
      <c r="C443" s="4">
        <v>2016</v>
      </c>
      <c r="D443" s="4" t="s">
        <v>309</v>
      </c>
      <c r="E443" s="24" t="s">
        <v>674</v>
      </c>
      <c r="F443" s="75" t="s">
        <v>763</v>
      </c>
      <c r="G443" s="24">
        <v>3</v>
      </c>
      <c r="H443" s="7" t="s">
        <v>538</v>
      </c>
      <c r="I443" s="5">
        <f>K443/N443</f>
        <v>6.6079999999999988</v>
      </c>
      <c r="J443" s="38">
        <f>139/0.145</f>
        <v>958.62068965517244</v>
      </c>
      <c r="K443" s="76">
        <f>4.13*25.4</f>
        <v>104.90199999999999</v>
      </c>
      <c r="L443" s="4">
        <f>K443</f>
        <v>104.90199999999999</v>
      </c>
      <c r="M443" s="38">
        <f>11030/145</f>
        <v>76.068965517241381</v>
      </c>
      <c r="N443" s="38">
        <f>0.625*25.4</f>
        <v>15.875</v>
      </c>
      <c r="O443" s="7">
        <f>K443/N443</f>
        <v>6.6079999999999988</v>
      </c>
      <c r="P443" s="7">
        <f>L443/N443</f>
        <v>6.6079999999999988</v>
      </c>
      <c r="Q443" s="38">
        <f>13.1*25.4</f>
        <v>332.73999999999995</v>
      </c>
      <c r="R443" s="32">
        <f>S443/N443</f>
        <v>4.08</v>
      </c>
      <c r="S443" s="38">
        <f>2.55*25.4</f>
        <v>64.77</v>
      </c>
      <c r="T443" s="32">
        <f>U443/N443</f>
        <v>8</v>
      </c>
      <c r="U443" s="39">
        <f>5*25.4</f>
        <v>127</v>
      </c>
      <c r="V443" s="32">
        <f>W443/N443</f>
        <v>10.799999999999997</v>
      </c>
      <c r="W443" s="7">
        <f>(Q443-X443*N443-2*S443)/(X443-1)</f>
        <v>171.44999999999996</v>
      </c>
      <c r="X443" s="38">
        <v>2</v>
      </c>
      <c r="Y443" s="7">
        <f>AN443</f>
        <v>10</v>
      </c>
      <c r="Z443" s="32">
        <f>AA443/N443</f>
        <v>8.4</v>
      </c>
      <c r="AA443" s="4">
        <f>5.25*25.4</f>
        <v>133.35</v>
      </c>
      <c r="AB443" s="7">
        <f>MIN(S443/N443+0.5, W443/2/N443+0.5)</f>
        <v>4.58</v>
      </c>
      <c r="AC443" s="7">
        <f>S443/N443+0.5</f>
        <v>4.58</v>
      </c>
      <c r="AD443" s="38">
        <v>13.1</v>
      </c>
      <c r="AE443" s="4">
        <f>AD443</f>
        <v>13.1</v>
      </c>
      <c r="AF443" s="4">
        <f>AE443+1</f>
        <v>14.1</v>
      </c>
      <c r="AG443" s="7">
        <f>N443*AF443^0.5</f>
        <v>59.610572153771514</v>
      </c>
      <c r="AJ443" s="38">
        <f>AK443/0.145</f>
        <v>896.55172413793105</v>
      </c>
      <c r="AK443" s="4">
        <v>130</v>
      </c>
      <c r="AL443" s="4">
        <f>CY443</f>
        <v>1.8581291628547163</v>
      </c>
      <c r="AM443" s="38">
        <f>0.375*25.4</f>
        <v>9.5249999999999986</v>
      </c>
      <c r="AN443" s="38">
        <v>10</v>
      </c>
      <c r="AO443" s="39">
        <f>1.75*25.4</f>
        <v>44.449999999999996</v>
      </c>
      <c r="AP443" s="39">
        <v>3</v>
      </c>
      <c r="AQ443" s="39">
        <f>AP443-1</f>
        <v>2</v>
      </c>
      <c r="AR443" s="7"/>
      <c r="AS443" s="4">
        <f>K443</f>
        <v>104.90199999999999</v>
      </c>
      <c r="AT443" s="4">
        <f>IF(K443*3&gt;W443+N443, Q443, (S443+N443/2)*2+1.5*K443*(2*X443-2))*(3*K443)/(9*K443^2)</f>
        <v>1.0573042776432606</v>
      </c>
      <c r="AU443" s="4">
        <f>MIN(10*M443^0.5*K443^1.5,100*3.9*M443^0.5*K443^(5/3))/(PI()/4*N443^2)/X443</f>
        <v>236.71842498037796</v>
      </c>
      <c r="AV443" s="4">
        <f>MIN(0.7+0.3*(MIN(S443,AA443)+0.5*N443)/1.5/K443,1)</f>
        <v>0.83861985472154954</v>
      </c>
      <c r="AW443" s="4">
        <v>1.25</v>
      </c>
      <c r="AX443" s="4">
        <f>AX442</f>
        <v>1</v>
      </c>
      <c r="AY443" s="38">
        <f>AT443*AV443*AW443*AX443*AU443</f>
        <v>262.36578917344201</v>
      </c>
      <c r="AZ443" s="38">
        <f>AY443</f>
        <v>262.36578917344201</v>
      </c>
      <c r="BA443" s="38">
        <f>IF(M443&lt;50, 0.3*M443^(2/3), 2.12*LN(1+0.1*(M443+8)))</f>
        <v>4.7518593634836064</v>
      </c>
      <c r="BB443" s="38">
        <f>AX443* (M443^0.5/AS443^0.5)/(PI()/4*N443^2)/X443/0.72 *(0.7+(MIN(S443,AA443)+0.5*N443)/5/K443) *(3*Q443*K443)</f>
        <v>262.36578917344207</v>
      </c>
      <c r="BC443" s="38">
        <f>AY443/BB443</f>
        <v>0.99999999999999978</v>
      </c>
      <c r="BD443" s="38">
        <f>BH443/BB443</f>
        <v>9.6123909644952334</v>
      </c>
      <c r="BE443" s="4">
        <f>IF(BD443&lt;1,1,0)</f>
        <v>0</v>
      </c>
      <c r="BF443" s="4">
        <f>L443/N443*M443^0.5/0.19</f>
        <v>303.33336885701408</v>
      </c>
      <c r="BG443" s="4">
        <f>MIN(0.6+0.4*(AC443/AB443),2)</f>
        <v>1</v>
      </c>
      <c r="BH443" s="38">
        <f>2*M443*AB443*AD443^0.5*BG443*0.7/0.7</f>
        <v>2521.9625412434557</v>
      </c>
      <c r="BI443" s="4">
        <f>MAX(1-0.7*AE443/5,0.3)</f>
        <v>0.3</v>
      </c>
      <c r="BJ443" s="4">
        <f>BI443*J443*L443/(J443*N443/2.75/M443^0.5)</f>
        <v>47.547505568336966</v>
      </c>
      <c r="BK443" s="4">
        <f>BH443+BJ443</f>
        <v>2569.5100468117926</v>
      </c>
      <c r="BM443" s="4">
        <f>MIN(1.5, 0.75+0.25*MIN(3,MAX(1,S443/N443))+0.4*MIN(1,(40*2*PI()*AM443^2/4/AO443/X443)/N443))</f>
        <v>1.5</v>
      </c>
      <c r="BN443" s="4">
        <f>(3*P443+30)*BM443*M443^0.5</f>
        <v>651.82888989566936</v>
      </c>
      <c r="BP443" s="4">
        <f>3.4/PI()^0.5*M443*AB443*AE443^0.5*BG443</f>
        <v>2418.8704929742166</v>
      </c>
      <c r="BQ443" s="4">
        <f>8/3*AH443*AI443^2/(AG443-N443-22)/N443*(AG443^2-N443^2)/(AG443^2-(N443+22)^2)</f>
        <v>0</v>
      </c>
      <c r="BR443" s="4">
        <f>BQ443/BP443</f>
        <v>0</v>
      </c>
      <c r="BZ443" s="4">
        <f>IF(W443=0,S443,MIN(W443/2,S443))</f>
        <v>64.77</v>
      </c>
      <c r="CD443" s="9"/>
      <c r="CF443" s="9"/>
      <c r="CG443" s="9"/>
      <c r="CH443" s="9">
        <f>IF(W443=0,MIN(S443,U443),MIN(W443/2,S443,U443))</f>
        <v>64.77</v>
      </c>
      <c r="CI443" s="9">
        <f>MAX(W443/2,S443)</f>
        <v>85.72499999999998</v>
      </c>
      <c r="CJ443" s="9">
        <f>(CH443/N443)^0.5*(CI443/CH443)^0.15</f>
        <v>2.1066390052415969</v>
      </c>
      <c r="CK443" s="70">
        <f>IF(AO443&gt;1,20,0)</f>
        <v>20</v>
      </c>
      <c r="CL443" s="9">
        <f>MIN(PI()*AM443^2/4*AN443*2/X443/N443/MAX(0.01,AO443),0.05)</f>
        <v>0.05</v>
      </c>
      <c r="CM443" s="9">
        <f>MAX(0,CK443*(CL443-0.5/50))</f>
        <v>0.8</v>
      </c>
      <c r="CN443" s="9">
        <f>MIN(1,(25/N443)^0.3)</f>
        <v>1</v>
      </c>
      <c r="CO443" s="9">
        <f>IF(J443&gt;=800,0.68,IF(J443&gt;=700,0.75-(J443-700)*0.07/100,IF(J443&gt;=600,0.85-(J443-600)*0.1/100,IF(J443&gt;=500,1-(J443-500)*0.15/100,1.2-(J443-400)*0.2/100))))</f>
        <v>0.68</v>
      </c>
      <c r="CP443" s="9">
        <f>1.75*CN443*CO443*(M443/25)^0.5</f>
        <v>2.0757770792545673</v>
      </c>
      <c r="CQ443" s="9">
        <f>MIN((CJ443+CM443)*CP443,2.5*CP443,M443^0.5)</f>
        <v>5.1894426981364186</v>
      </c>
      <c r="CR443" s="40">
        <v>1</v>
      </c>
      <c r="CS443" s="9">
        <f>4*CQ443*P443+60*CQ443</f>
        <v>448.53391128532689</v>
      </c>
      <c r="CU443" s="4">
        <f>AJ443/BF443</f>
        <v>2.9556646784895912</v>
      </c>
      <c r="CV443" s="4">
        <f>AJ443/BK443</f>
        <v>0.34891933006853126</v>
      </c>
      <c r="CW443" s="4">
        <f>AJ443/BN443</f>
        <v>1.3754403004160058</v>
      </c>
      <c r="CX443" s="4">
        <f>AJ443/CS443</f>
        <v>1.998849365856767</v>
      </c>
      <c r="CY443" s="4">
        <f>AJ443/DZ443</f>
        <v>1.8581291628547163</v>
      </c>
      <c r="CZ443" s="4">
        <f>AJ443/EL443</f>
        <v>0.95614243505191698</v>
      </c>
      <c r="DA443" s="4">
        <f>AJ443/GI443</f>
        <v>1.6885510586641708</v>
      </c>
      <c r="DB443" s="4">
        <f>AN443</f>
        <v>10</v>
      </c>
      <c r="DI443" s="4">
        <f>CU443</f>
        <v>2.9556646784895912</v>
      </c>
      <c r="DJ443" s="4">
        <f>CV443</f>
        <v>0.34891933006853126</v>
      </c>
      <c r="DK443" s="4">
        <f>CX443</f>
        <v>1.998849365856767</v>
      </c>
      <c r="DL443" s="4">
        <f>DA443</f>
        <v>1.6885510586641708</v>
      </c>
      <c r="DM443" s="4">
        <f>CY443</f>
        <v>1.8581291628547163</v>
      </c>
      <c r="DN443" s="4">
        <f>CZ443</f>
        <v>0.95614243505191698</v>
      </c>
      <c r="DQ443" s="4">
        <f>L443</f>
        <v>104.90199999999999</v>
      </c>
      <c r="DT443" s="4">
        <f>K443/4/(1-0.3*(M443/30)^0.5)/200000/N443</f>
        <v>1.5814970357900817E-5</v>
      </c>
      <c r="DU443" s="4">
        <f>EP443</f>
        <v>14.719357433866572</v>
      </c>
      <c r="DV443" s="4">
        <f>EC443*AG443/257/M443/AD443</f>
        <v>6.1068684702744139E-2</v>
      </c>
      <c r="DW443" s="4">
        <f>DU443*DV443^0.4</f>
        <v>4.8107886537293059</v>
      </c>
      <c r="DX443" s="4">
        <f>MIN(DU443, DU443/1.4*(1-DV443^1.4)/(1-DV443))</f>
        <v>10.974154995895105</v>
      </c>
      <c r="DY443" s="4">
        <f>MAX(DU443/2, (4-DT443*(8*AG443*(DW443-DX443)+6*K443*DX443))/(4+DT443*K443*DU443)*DU443)</f>
        <v>14.400516373896112</v>
      </c>
      <c r="DZ443" s="38">
        <f>MIN(1/N443*(4*AG443*(DW443-DX443)+(3*DX443+DY443)*K443)+EC443 -FJ443,MAX(J443,AJ443))</f>
        <v>482.502369620271</v>
      </c>
      <c r="EA443" s="4">
        <f>DZ443/FF443</f>
        <v>1.000105394653692</v>
      </c>
      <c r="EB443" s="4">
        <f>AG443/N443</f>
        <v>3.7549966711037173</v>
      </c>
      <c r="EC443" s="4">
        <f>MIN(EB$10*BB443)</f>
        <v>262.36578917344207</v>
      </c>
      <c r="EG443" s="4">
        <f>IF(U443&gt;1*N443,0.85,1)</f>
        <v>0.85</v>
      </c>
      <c r="EH443" s="4">
        <f>MIN(1,MAX(0.7,(1-0.1*(BZ443-1*N443)/N443)))</f>
        <v>0.7</v>
      </c>
      <c r="EI443" s="4">
        <f>MIN(1,MAX(0.7,1-0.3*(PI()*AM443^2/4*AQ443*2-0.25*PI()/4*N443^2)/(PI()/4*N443^2)))</f>
        <v>0.7</v>
      </c>
      <c r="EJ443" s="4">
        <f>IF(EH443*EI443&lt;0.7,0.7,EH443*EI443)</f>
        <v>0.7</v>
      </c>
      <c r="EL443" s="4">
        <f>MIN(DU443/N443*3*K443+EM443-FJ443,MAX(J443,AJ443))</f>
        <v>937.67590608950411</v>
      </c>
      <c r="EM443" s="25">
        <f>13.3*Q443*K443^0.5*M443^0.5/X443/N443^2*(0.7+S443/5/K443)</f>
        <v>645.87936432053323</v>
      </c>
      <c r="EO443" s="4">
        <f>EG443*EJ443</f>
        <v>0.59499999999999997</v>
      </c>
      <c r="EP443" s="4">
        <f>IF(N443&lt;22.2,1.1*5*(M443/30)^0.5,IF(N443&gt;=31.8,0.9*5*(M443/30)^0.5,1*5*(M443/30)^0.5))/EG443/EJ443</f>
        <v>14.719357433866572</v>
      </c>
      <c r="ES443" s="4">
        <f>ET443*N443</f>
        <v>59.610572153771514</v>
      </c>
      <c r="ET443" s="4">
        <f>AF443^0.5</f>
        <v>3.7549966711037173</v>
      </c>
      <c r="EU443" s="4">
        <f>MIN(EC443)/(4700*M443^0.5)/AE443*ES443</f>
        <v>2.9124440213935579E-2</v>
      </c>
      <c r="EX443" s="4">
        <f>EU443</f>
        <v>2.9124440213935579E-2</v>
      </c>
      <c r="EY443" s="4">
        <f>MIN(0.999, EX443/(0.3*(M443/30)^0.5))</f>
        <v>6.096677244963089E-2</v>
      </c>
      <c r="EZ443" s="4">
        <f>EP443/1*EY443^0.4</f>
        <v>4.8075757207049321</v>
      </c>
      <c r="FA443" s="4">
        <f>EP443/1.4*(1-EY443^1.4)/(1-EY443)</f>
        <v>10.973485918142011</v>
      </c>
      <c r="FB443" s="4">
        <f>MAX(0,DQ443*FB$9-ES443)</f>
        <v>19.065927846228476</v>
      </c>
      <c r="FC443" s="4">
        <f>MAX(0,DQ443-ES443-FB443)</f>
        <v>26.225499999999997</v>
      </c>
      <c r="FD443" s="4">
        <f>FC443/(1-0.3*(M443/30)^0.5)/200000/N443</f>
        <v>1.5814970357900817E-5</v>
      </c>
      <c r="FE443" s="4">
        <f>MAX(0.5*EP443, (1-2*FD443*(ES443*EZ443+FB443*FA443))/(1/EP443+FD443*FC443))</f>
        <v>14.400610904558153</v>
      </c>
      <c r="FF443" s="4">
        <f>MIN(4/N443*(1*EZ443*ES443+FA443*FB443+FC443*FE443)+EC443,MAX(J443,AJ443))</f>
        <v>482.45152180920672</v>
      </c>
      <c r="FO443" s="23">
        <f>IF(CU443&lt;0.6,0.6,IF(CU443&lt;0.8,0.8,IF(CU443&lt;1,1,IF(CU443&lt;1.2,1.2,IF(CU443&lt;1.4,1.4,IF(CU443&lt;1.6,1.6,IF(CU443&lt;1.8,1.8,IF(CU443&lt;2,2,2.2))))))))</f>
        <v>2.2000000000000002</v>
      </c>
      <c r="FP443" s="23">
        <f>IF(CV443&lt;0.6,0.6,IF(CV443&lt;0.8,0.8,IF(CV443&lt;1,1,IF(CV443&lt;1.2,1.2,IF(CV443&lt;1.4,1.4,IF(CV443&lt;1.6,1.6,IF(CV443&lt;1.8,1.8,IF(CV443&lt;2,2,2.2))))))))</f>
        <v>0.6</v>
      </c>
      <c r="FQ443" s="23">
        <f>IF(DA443&lt;0.6,0.6,IF(DA443&lt;0.8,0.8,IF(DA443&lt;1,1,IF(DA443&lt;1.2,1.2,IF(DA443&lt;1.4,1.4,IF(DA443&lt;1.6,1.6,IF(DA443&lt;1.8,1.8,IF(DA443&lt;2,2,2.2))))))))</f>
        <v>1.8</v>
      </c>
      <c r="FR443" s="23">
        <f>IF(CX443&lt;0.6,0.6,IF(CX443&lt;0.8,0.8,IF(CX443&lt;1,1,IF(CX443&lt;1.2,1.2,IF(CX443&lt;1.4,1.4,IF(CX443&lt;1.6,1.6,IF(CX443&lt;1.8,1.8,IF(CX443&lt;2,2,2.2))))))))</f>
        <v>2</v>
      </c>
      <c r="FS443" s="23">
        <f>IF(CY443&lt;0.6,0.6,IF(CY443&lt;0.8,0.8,IF(CY443&lt;1,1,IF(CY443&lt;1.2,1.2,IF(CY443&lt;1.4,1.4,IF(CY443&lt;1.6,1.6,IF(CY443&lt;1.8,1.8,IF(CY443&lt;2,2,2.2))))))))</f>
        <v>2</v>
      </c>
      <c r="FT443" s="23">
        <f>IF(CZ443&lt;0.6,0.6,IF(CZ443&lt;0.8,0.8,IF(CZ443&lt;1,1,IF(CZ443&lt;1.2,1.2,IF(CZ443&lt;1.4,1.4,IF(CZ443&lt;1.6,1.6,IF(CZ443&lt;1.8,1.8,IF(CZ443&lt;2,2,2.2))))))))</f>
        <v>1</v>
      </c>
      <c r="FU443" s="23">
        <f>IF(FS443&lt;1,1,0)</f>
        <v>0</v>
      </c>
      <c r="FV443" s="23"/>
      <c r="GF443" s="4">
        <f>IF(S443&gt;=2.5*25.4,1,1.25)</f>
        <v>1</v>
      </c>
      <c r="GG443" s="4">
        <f>IF(AO443&gt;1, 0.05*(18-MIN(8,(W443+N443)/N443))*(1-48000/MAX(60000,(J443*145))*(N443/25.4)^0.75*GH443), 1/12*(14-MIN(8,(W443+N443)/N443)))</f>
        <v>0.46358941059918601</v>
      </c>
      <c r="GH443" s="4">
        <f>MIN(0.3, AM443^2*PI()/4*2*AP443/(N443^2*PI()/4*X443))</f>
        <v>0.3</v>
      </c>
      <c r="GI443" s="4">
        <f>(K443/25.4)/(N443/25.4)^1.5/0.0024*(M443*145)^0.25/GF443/GG443/145</f>
        <v>530.95920288439595</v>
      </c>
    </row>
    <row r="444" spans="1:191" ht="12" customHeight="1" x14ac:dyDescent="0.3">
      <c r="A444" s="25">
        <v>359</v>
      </c>
      <c r="B444" s="4" t="s">
        <v>605</v>
      </c>
      <c r="C444" s="4">
        <v>2016</v>
      </c>
      <c r="D444" s="4" t="s">
        <v>309</v>
      </c>
      <c r="E444" s="24" t="s">
        <v>673</v>
      </c>
      <c r="F444" s="97" t="s">
        <v>762</v>
      </c>
      <c r="G444" s="24">
        <v>1</v>
      </c>
      <c r="H444" s="7" t="s">
        <v>524</v>
      </c>
      <c r="I444" s="5">
        <f>K444/N444</f>
        <v>6.5439999999999996</v>
      </c>
      <c r="J444" s="38">
        <f>139/0.145</f>
        <v>958.62068965517244</v>
      </c>
      <c r="K444" s="76">
        <f>4.09*25.4</f>
        <v>103.886</v>
      </c>
      <c r="L444" s="4">
        <f>K444</f>
        <v>103.886</v>
      </c>
      <c r="M444" s="76">
        <f>4810/145</f>
        <v>33.172413793103445</v>
      </c>
      <c r="N444" s="38">
        <f>0.625*25.4</f>
        <v>15.875</v>
      </c>
      <c r="O444" s="7">
        <f>K444/N444</f>
        <v>6.5439999999999996</v>
      </c>
      <c r="P444" s="7">
        <f>L444/N444</f>
        <v>6.5439999999999996</v>
      </c>
      <c r="Q444" s="38">
        <f>13.1*25.4</f>
        <v>332.73999999999995</v>
      </c>
      <c r="R444" s="32">
        <f>S444/N444</f>
        <v>4.1599999999999993</v>
      </c>
      <c r="S444" s="38">
        <f>2.6*25.4</f>
        <v>66.039999999999992</v>
      </c>
      <c r="T444" s="32">
        <f>U444/N444</f>
        <v>8.4</v>
      </c>
      <c r="U444" s="39">
        <f>5.25*25.4</f>
        <v>133.35</v>
      </c>
      <c r="V444" s="32">
        <f>W444/N444</f>
        <v>10.639999999999999</v>
      </c>
      <c r="W444" s="7">
        <f>(Q444-X444*N444-2*S444)/(X444-1)</f>
        <v>168.90999999999997</v>
      </c>
      <c r="X444" s="38">
        <v>2</v>
      </c>
      <c r="Y444" s="7">
        <f>AN444</f>
        <v>4</v>
      </c>
      <c r="Z444" s="32">
        <f>AA444/N444</f>
        <v>8.4</v>
      </c>
      <c r="AA444" s="4">
        <f>5.25*25.4</f>
        <v>133.35</v>
      </c>
      <c r="AB444" s="7">
        <f>MIN(S444/N444+0.5, W444/2/N444+0.5)</f>
        <v>4.6599999999999993</v>
      </c>
      <c r="AC444" s="7">
        <f>S444/N444+0.5</f>
        <v>4.6599999999999993</v>
      </c>
      <c r="AD444" s="38">
        <v>13.1</v>
      </c>
      <c r="AE444" s="4">
        <f>AD444</f>
        <v>13.1</v>
      </c>
      <c r="AF444" s="4">
        <f>AE444+1</f>
        <v>14.1</v>
      </c>
      <c r="AG444" s="7">
        <f>N444*AF444^0.5</f>
        <v>59.610572153771514</v>
      </c>
      <c r="AJ444" s="38">
        <f>AK444/0.145</f>
        <v>642.75862068965523</v>
      </c>
      <c r="AK444" s="4">
        <v>93.2</v>
      </c>
      <c r="AL444" s="4">
        <f>CY444</f>
        <v>1.9691110177056528</v>
      </c>
      <c r="AM444" s="38">
        <f>0.375*25.4</f>
        <v>9.5249999999999986</v>
      </c>
      <c r="AN444" s="38">
        <v>4</v>
      </c>
      <c r="AO444" s="39">
        <f>3.5*25.4</f>
        <v>88.899999999999991</v>
      </c>
      <c r="AP444" s="39">
        <v>2</v>
      </c>
      <c r="AQ444" s="39">
        <f>AP444-1</f>
        <v>1</v>
      </c>
      <c r="AR444" s="7"/>
      <c r="AS444" s="4">
        <f>K444</f>
        <v>103.886</v>
      </c>
      <c r="AT444" s="4">
        <f>IF(K444*3&gt;W444+N444, Q444, (S444+N444/2)*2+1.5*K444*(2*X444-2))*(3*K444)/(9*K444^2)</f>
        <v>1.0676446617766908</v>
      </c>
      <c r="AU444" s="4">
        <f>MIN(10*M444^0.5*K444^1.5,100*3.9*M444^0.5*K444^(5/3))/(PI()/4*N444^2)/X444</f>
        <v>154.05533015486256</v>
      </c>
      <c r="AV444" s="4">
        <f>MIN(0.7+0.3*(MIN(S444,AA444)+0.5*N444)/1.5/K444,1)</f>
        <v>0.84242053789731042</v>
      </c>
      <c r="AW444" s="4">
        <v>1.25</v>
      </c>
      <c r="AX444" s="4">
        <f>AX443</f>
        <v>1</v>
      </c>
      <c r="AY444" s="38">
        <f>AT444*AV444*AW444*AX444*AU444</f>
        <v>173.19781995156808</v>
      </c>
      <c r="AZ444" s="38">
        <f>AY444</f>
        <v>173.19781995156808</v>
      </c>
      <c r="BA444" s="38">
        <f>IF(M444&lt;50, 0.3*M444^(2/3), 2.12*LN(1+0.1*(M444+8)))</f>
        <v>3.0972241539071201</v>
      </c>
      <c r="BB444" s="38">
        <f>AX444* (M444^0.5/AS444^0.5)/(PI()/4*N444^2)/X444/0.72 *(0.7+(MIN(S444,AA444)+0.5*N444)/5/K444) *(3*Q444*K444)</f>
        <v>173.19781995156814</v>
      </c>
      <c r="BC444" s="38">
        <f>AY444/BB444</f>
        <v>0.99999999999999967</v>
      </c>
      <c r="BD444" s="38">
        <f>BH444/BB444</f>
        <v>6.4607987477646018</v>
      </c>
      <c r="BE444" s="4">
        <f>IF(BD444&lt;1,1,0)</f>
        <v>0</v>
      </c>
      <c r="BF444" s="4">
        <f>L444/N444*M444^0.5/0.19</f>
        <v>198.37102016432598</v>
      </c>
      <c r="BG444" s="4">
        <f>MIN(0.6+0.4*(AC444/AB444),2)</f>
        <v>1</v>
      </c>
      <c r="BH444" s="38">
        <f>2*M444*AB444*AD444^0.5*BG444*0.7/0.7</f>
        <v>1118.9962582586504</v>
      </c>
      <c r="BI444" s="4">
        <f>MAX(1-0.7*AE444/5,0.3)</f>
        <v>0.3</v>
      </c>
      <c r="BJ444" s="4">
        <f>BI444*J444*L444/(J444*N444/2.75/M444^0.5)</f>
        <v>31.094657410758099</v>
      </c>
      <c r="BK444" s="4">
        <f>BH444+BJ444</f>
        <v>1150.0909156694086</v>
      </c>
      <c r="BM444" s="4">
        <f>MIN(1.5, 0.75+0.25*MIN(3,MAX(1,S444/N444))+0.4*MIN(1,(40*2*PI()*AM444^2/4/AO444/X444)/N444))</f>
        <v>1.5</v>
      </c>
      <c r="BN444" s="4">
        <f>(3*P444+30)*BM444*M444^0.5</f>
        <v>428.78696282805788</v>
      </c>
      <c r="BP444" s="4">
        <f>3.4/PI()^0.5*M444*AB444*AE444^0.5*BG444</f>
        <v>1073.2542559953574</v>
      </c>
      <c r="BQ444" s="4">
        <f>8/3*AH444*AI444^2/(AG444-N444-22)/N444*(AG444^2-N444^2)/(AG444^2-(N444+22)^2)</f>
        <v>0</v>
      </c>
      <c r="BR444" s="4">
        <f>BQ444/BP444</f>
        <v>0</v>
      </c>
      <c r="BZ444" s="4">
        <f>IF(W444=0,S444,MIN(W444/2,S444))</f>
        <v>66.039999999999992</v>
      </c>
      <c r="CD444" s="9"/>
      <c r="CF444" s="9"/>
      <c r="CG444" s="9"/>
      <c r="CH444" s="9">
        <f>IF(W444=0,MIN(S444,U444),MIN(W444/2,S444,U444))</f>
        <v>66.039999999999992</v>
      </c>
      <c r="CI444" s="9">
        <f>MAX(W444/2,S444)</f>
        <v>84.454999999999984</v>
      </c>
      <c r="CJ444" s="9">
        <f>(CH444/N444)^0.5*(CI444/CH444)^0.15</f>
        <v>2.116261887080392</v>
      </c>
      <c r="CK444" s="70">
        <f>IF(AO444&gt;1,20,0)</f>
        <v>20</v>
      </c>
      <c r="CL444" s="9">
        <f>MIN(PI()*AM444^2/4*AN444*2/X444/N444/MAX(0.01,AO444),0.05)</f>
        <v>0.05</v>
      </c>
      <c r="CM444" s="9">
        <f>MAX(0,CK444*(CL444-0.5/50))</f>
        <v>0.8</v>
      </c>
      <c r="CN444" s="9">
        <f>MIN(1,(25/N444)^0.3)</f>
        <v>1</v>
      </c>
      <c r="CO444" s="9">
        <f>IF(J444&gt;=800,0.68,IF(J444&gt;=700,0.75-(J444-700)*0.07/100,IF(J444&gt;=600,0.85-(J444-600)*0.1/100,IF(J444&gt;=500,1-(J444-500)*0.15/100,1.2-(J444-400)*0.2/100))))</f>
        <v>0.68</v>
      </c>
      <c r="CP444" s="9">
        <f>1.75*CN444*CO444*(M444/25)^0.5</f>
        <v>1.3707728502186465</v>
      </c>
      <c r="CQ444" s="9">
        <f>MIN((CJ444+CM444)*CP444,2.5*CP444,M444^0.5)</f>
        <v>3.4269321255466161</v>
      </c>
      <c r="CR444" s="40">
        <v>1</v>
      </c>
      <c r="CS444" s="9">
        <f>4*CQ444*P444+60*CQ444</f>
        <v>295.31930285110519</v>
      </c>
      <c r="CU444" s="4">
        <f>AJ444/BF444</f>
        <v>3.2401840760672038</v>
      </c>
      <c r="CV444" s="4">
        <f>AJ444/BK444</f>
        <v>0.55887635658398238</v>
      </c>
      <c r="CW444" s="4">
        <f>AJ444/BN444</f>
        <v>1.4990162397903857</v>
      </c>
      <c r="CX444" s="4">
        <f>AJ444/CS444</f>
        <v>2.1764869904684927</v>
      </c>
      <c r="CY444" s="4">
        <f>AJ444/DZ444</f>
        <v>1.9691110177056528</v>
      </c>
      <c r="CZ444" s="4">
        <f>AJ444/EL444</f>
        <v>1.0414859751276166</v>
      </c>
      <c r="DA444" s="4">
        <f>AJ444/GI444</f>
        <v>1.5042537753350267</v>
      </c>
      <c r="DB444" s="4">
        <f>AN444</f>
        <v>4</v>
      </c>
      <c r="DI444" s="4">
        <f>CU444</f>
        <v>3.2401840760672038</v>
      </c>
      <c r="DJ444" s="4">
        <f>CV444</f>
        <v>0.55887635658398238</v>
      </c>
      <c r="DK444" s="4">
        <f>CX444</f>
        <v>2.1764869904684927</v>
      </c>
      <c r="DL444" s="4">
        <f>DA444</f>
        <v>1.5042537753350267</v>
      </c>
      <c r="DM444" s="4">
        <f>CY444</f>
        <v>1.9691110177056528</v>
      </c>
      <c r="DN444" s="4">
        <f>CZ444</f>
        <v>1.0414859751276166</v>
      </c>
      <c r="DQ444" s="4">
        <f>L444</f>
        <v>103.886</v>
      </c>
      <c r="DT444" s="4">
        <f>K444/4/(1-0.3*(M444/30)^0.5)/200000/N444</f>
        <v>1.1949692102757226E-5</v>
      </c>
      <c r="DU444" s="4">
        <f>EP444</f>
        <v>9.7201649178311715</v>
      </c>
      <c r="DV444" s="4">
        <f>EC444*AG444/257/M444/AD444</f>
        <v>9.2445168504599787E-2</v>
      </c>
      <c r="DW444" s="4">
        <f>DU444*DV444^0.4</f>
        <v>3.74996591993968</v>
      </c>
      <c r="DX444" s="4">
        <f>MIN(DU444, DU444/1.4*(1-DV444^1.4)/(1-DV444))</f>
        <v>7.3773572375715304</v>
      </c>
      <c r="DY444" s="4">
        <f>MAX(DU444/2, (4-DT444*(8*AG444*(DW444-DX444)+6*K444*DX444))/(4+DT444*K444*DU444)*DU444)</f>
        <v>9.6078826702638427</v>
      </c>
      <c r="DZ444" s="38">
        <f>MIN(1/N444*(4*AG444*(DW444-DX444)+(3*DX444+DY444)*K444)+EC444 -FJ444,MAX(J444,AJ444))</f>
        <v>326.42071214378643</v>
      </c>
      <c r="EA444" s="4">
        <f>DZ444/FF444</f>
        <v>1.0001232236194026</v>
      </c>
      <c r="EB444" s="4">
        <f>AG444/N444</f>
        <v>3.7549966711037173</v>
      </c>
      <c r="EC444" s="4">
        <f>MIN(EB$10*BB444)</f>
        <v>173.19781995156814</v>
      </c>
      <c r="EG444" s="4">
        <f>IF(U444&gt;1*N444,0.85,1)</f>
        <v>0.85</v>
      </c>
      <c r="EH444" s="4">
        <f>MIN(1,MAX(0.7,(1-0.1*(BZ444-1*N444)/N444)))</f>
        <v>0.7</v>
      </c>
      <c r="EI444" s="4">
        <f>MIN(1,MAX(0.7,1-0.3*(PI()*AM444^2/4*AQ444*2-0.25*PI()/4*N444^2)/(PI()/4*N444^2)))</f>
        <v>0.85899999999999999</v>
      </c>
      <c r="EJ444" s="4">
        <f>IF(EH444*EI444&lt;0.7,0.7,EH444*EI444)</f>
        <v>0.7</v>
      </c>
      <c r="EL444" s="4">
        <f>MIN(DU444/N444*3*K444+EM444-FJ444,MAX(J444,AJ444))</f>
        <v>617.1553300186265</v>
      </c>
      <c r="EM444" s="25">
        <f>13.3*Q444*K444^0.5*M444^0.5/X444/N444^2*(0.7+S444/5/K444)</f>
        <v>426.32905235176491</v>
      </c>
      <c r="EO444" s="4">
        <f>EG444*EJ444</f>
        <v>0.59499999999999997</v>
      </c>
      <c r="EP444" s="4">
        <f>IF(N444&lt;22.2,1.1*5*(M444/30)^0.5,IF(N444&gt;=31.8,0.9*5*(M444/30)^0.5,1*5*(M444/30)^0.5))/EG444/EJ444</f>
        <v>9.7201649178311715</v>
      </c>
      <c r="ES444" s="4">
        <f>ET444*N444</f>
        <v>59.610572153771514</v>
      </c>
      <c r="ET444" s="4">
        <f>AF444^0.5</f>
        <v>3.7549966711037173</v>
      </c>
      <c r="EU444" s="4">
        <f>MIN(EC444)/(4700*M444^0.5)/AE444*ES444</f>
        <v>2.9114411827139537E-2</v>
      </c>
      <c r="EX444" s="4">
        <f>EU444</f>
        <v>2.9114411827139537E-2</v>
      </c>
      <c r="EY444" s="4">
        <f>MIN(0.999, EX444/(0.3*(M444/30)^0.5))</f>
        <v>9.2290894747802915E-2</v>
      </c>
      <c r="EZ444" s="4">
        <f>EP444/1*EY444^0.4</f>
        <v>3.7474614679232512</v>
      </c>
      <c r="FA444" s="4">
        <f>EP444/1.4*(1-EY444^1.4)/(1-EY444)</f>
        <v>7.3767405152801615</v>
      </c>
      <c r="FB444" s="4">
        <f>MAX(0,DQ444*FB$9-ES444)</f>
        <v>18.30392784622849</v>
      </c>
      <c r="FC444" s="4">
        <f>MAX(0,DQ444-ES444-FB444)</f>
        <v>25.971499999999992</v>
      </c>
      <c r="FD444" s="4">
        <f>FC444/(1-0.3*(M444/30)^0.5)/200000/N444</f>
        <v>1.1949692102757221E-5</v>
      </c>
      <c r="FE444" s="4">
        <f>MAX(0.5*EP444, (1-2*FD444*(ES444*EZ444+FB444*FA444))/(1/EP444+FD444*FC444))</f>
        <v>9.6079198618196262</v>
      </c>
      <c r="FF444" s="4">
        <f>MIN(4/N444*(1*EZ444*ES444+FA444*FB444+FC444*FE444)+EC444,MAX(J444,AJ444))</f>
        <v>326.38049435796921</v>
      </c>
      <c r="FO444" s="23">
        <f>IF(CU444&lt;0.6,0.6,IF(CU444&lt;0.8,0.8,IF(CU444&lt;1,1,IF(CU444&lt;1.2,1.2,IF(CU444&lt;1.4,1.4,IF(CU444&lt;1.6,1.6,IF(CU444&lt;1.8,1.8,IF(CU444&lt;2,2,2.2))))))))</f>
        <v>2.2000000000000002</v>
      </c>
      <c r="FP444" s="23">
        <f>IF(CV444&lt;0.6,0.6,IF(CV444&lt;0.8,0.8,IF(CV444&lt;1,1,IF(CV444&lt;1.2,1.2,IF(CV444&lt;1.4,1.4,IF(CV444&lt;1.6,1.6,IF(CV444&lt;1.8,1.8,IF(CV444&lt;2,2,2.2))))))))</f>
        <v>0.6</v>
      </c>
      <c r="FQ444" s="23">
        <f>IF(DA444&lt;0.6,0.6,IF(DA444&lt;0.8,0.8,IF(DA444&lt;1,1,IF(DA444&lt;1.2,1.2,IF(DA444&lt;1.4,1.4,IF(DA444&lt;1.6,1.6,IF(DA444&lt;1.8,1.8,IF(DA444&lt;2,2,2.2))))))))</f>
        <v>1.6</v>
      </c>
      <c r="FR444" s="23">
        <f>IF(CX444&lt;0.6,0.6,IF(CX444&lt;0.8,0.8,IF(CX444&lt;1,1,IF(CX444&lt;1.2,1.2,IF(CX444&lt;1.4,1.4,IF(CX444&lt;1.6,1.6,IF(CX444&lt;1.8,1.8,IF(CX444&lt;2,2,2.2))))))))</f>
        <v>2.2000000000000002</v>
      </c>
      <c r="FS444" s="23">
        <f>IF(CY444&lt;0.6,0.6,IF(CY444&lt;0.8,0.8,IF(CY444&lt;1,1,IF(CY444&lt;1.2,1.2,IF(CY444&lt;1.4,1.4,IF(CY444&lt;1.6,1.6,IF(CY444&lt;1.8,1.8,IF(CY444&lt;2,2,2.2))))))))</f>
        <v>2</v>
      </c>
      <c r="FT444" s="23">
        <f>IF(CZ444&lt;0.6,0.6,IF(CZ444&lt;0.8,0.8,IF(CZ444&lt;1,1,IF(CZ444&lt;1.2,1.2,IF(CZ444&lt;1.4,1.4,IF(CZ444&lt;1.6,1.6,IF(CZ444&lt;1.8,1.8,IF(CZ444&lt;2,2,2.2))))))))</f>
        <v>1.2</v>
      </c>
      <c r="FU444" s="23">
        <f>IF(FS444&lt;1,1,0)</f>
        <v>0</v>
      </c>
      <c r="FV444" s="23"/>
      <c r="GF444" s="4">
        <f>IF(S444&gt;=2.5*25.4,1,1.25)</f>
        <v>1</v>
      </c>
      <c r="GG444" s="4">
        <f>IF(AO444&gt;1, 0.05*(18-MIN(8,(W444+N444)/N444))*(1-48000/MAX(60000,(J444*145))*(N444/25.4)^0.75*GH444), 1/12*(14-MIN(8,(W444+N444)/N444)))</f>
        <v>0.46358941059918601</v>
      </c>
      <c r="GH444" s="4">
        <f>MIN(0.3, AM444^2*PI()/4*2*AP444/(N444^2*PI()/4*X444))</f>
        <v>0.3</v>
      </c>
      <c r="GI444" s="4">
        <f>(K444/25.4)/(N444/25.4)^1.5/0.0024*(M444*145)^0.25/GF444/GG444/145</f>
        <v>427.29400532599647</v>
      </c>
    </row>
    <row r="445" spans="1:191" ht="12" customHeight="1" x14ac:dyDescent="0.3">
      <c r="A445" s="25">
        <v>370</v>
      </c>
      <c r="B445" s="4" t="s">
        <v>605</v>
      </c>
      <c r="C445" s="4">
        <v>2016</v>
      </c>
      <c r="D445" s="4" t="s">
        <v>309</v>
      </c>
      <c r="E445" s="24" t="s">
        <v>674</v>
      </c>
      <c r="F445" s="75" t="s">
        <v>763</v>
      </c>
      <c r="G445" s="24">
        <v>3</v>
      </c>
      <c r="H445" s="7" t="s">
        <v>536</v>
      </c>
      <c r="I445" s="5">
        <f>K445/N445</f>
        <v>6.5439999999999996</v>
      </c>
      <c r="J445" s="38">
        <f>139/0.145</f>
        <v>958.62068965517244</v>
      </c>
      <c r="K445" s="76">
        <f>4.09*25.4</f>
        <v>103.886</v>
      </c>
      <c r="L445" s="4">
        <f>K445</f>
        <v>103.886</v>
      </c>
      <c r="M445" s="38">
        <f>11030/145</f>
        <v>76.068965517241381</v>
      </c>
      <c r="N445" s="38">
        <f>0.625*25.4</f>
        <v>15.875</v>
      </c>
      <c r="O445" s="7">
        <f>K445/N445</f>
        <v>6.5439999999999996</v>
      </c>
      <c r="P445" s="7">
        <f>L445/N445</f>
        <v>6.5439999999999996</v>
      </c>
      <c r="Q445" s="38">
        <f>13.1*25.4</f>
        <v>332.73999999999995</v>
      </c>
      <c r="R445" s="32">
        <f>S445/N445</f>
        <v>4.1599999999999993</v>
      </c>
      <c r="S445" s="38">
        <f>2.6*25.4</f>
        <v>66.039999999999992</v>
      </c>
      <c r="T445" s="32">
        <f>U445/N445</f>
        <v>8.24</v>
      </c>
      <c r="U445" s="39">
        <f>5.15*25.4</f>
        <v>130.81</v>
      </c>
      <c r="V445" s="32">
        <f>W445/N445</f>
        <v>10.639999999999999</v>
      </c>
      <c r="W445" s="7">
        <f>(Q445-X445*N445-2*S445)/(X445-1)</f>
        <v>168.90999999999997</v>
      </c>
      <c r="X445" s="38">
        <v>2</v>
      </c>
      <c r="Y445" s="7">
        <f>AN445</f>
        <v>4</v>
      </c>
      <c r="Z445" s="32">
        <f>AA445/N445</f>
        <v>8.4</v>
      </c>
      <c r="AA445" s="4">
        <f>5.25*25.4</f>
        <v>133.35</v>
      </c>
      <c r="AB445" s="7">
        <f>MIN(S445/N445+0.5, W445/2/N445+0.5)</f>
        <v>4.6599999999999993</v>
      </c>
      <c r="AC445" s="7">
        <f>S445/N445+0.5</f>
        <v>4.6599999999999993</v>
      </c>
      <c r="AD445" s="38">
        <v>13.1</v>
      </c>
      <c r="AE445" s="4">
        <f>AD445</f>
        <v>13.1</v>
      </c>
      <c r="AF445" s="4">
        <f>AE445+1</f>
        <v>14.1</v>
      </c>
      <c r="AG445" s="7">
        <f>N445*AF445^0.5</f>
        <v>59.610572153771514</v>
      </c>
      <c r="AJ445" s="38">
        <f>AK445/0.145</f>
        <v>807.58620689655174</v>
      </c>
      <c r="AK445" s="4">
        <v>117.1</v>
      </c>
      <c r="AL445" s="4">
        <f>CY445</f>
        <v>1.6844942416423301</v>
      </c>
      <c r="AM445" s="38">
        <f>0.375*25.4</f>
        <v>9.5249999999999986</v>
      </c>
      <c r="AN445" s="38">
        <v>4</v>
      </c>
      <c r="AO445" s="39">
        <f>3.5*25.4</f>
        <v>88.899999999999991</v>
      </c>
      <c r="AP445" s="39">
        <v>2</v>
      </c>
      <c r="AQ445" s="39">
        <f>AP445-1</f>
        <v>1</v>
      </c>
      <c r="AR445" s="7"/>
      <c r="AS445" s="4">
        <f>K445</f>
        <v>103.886</v>
      </c>
      <c r="AT445" s="4">
        <f>IF(K445*3&gt;W445+N445, Q445, (S445+N445/2)*2+1.5*K445*(2*X445-2))*(3*K445)/(9*K445^2)</f>
        <v>1.0676446617766908</v>
      </c>
      <c r="AU445" s="4">
        <f>MIN(10*M445^0.5*K445^1.5,100*3.9*M445^0.5*K445^(5/3))/(PI()/4*N445^2)/X445</f>
        <v>233.28775677272216</v>
      </c>
      <c r="AV445" s="4">
        <f>MIN(0.7+0.3*(MIN(S445,AA445)+0.5*N445)/1.5/K445,1)</f>
        <v>0.84242053789731042</v>
      </c>
      <c r="AW445" s="4">
        <v>1.25</v>
      </c>
      <c r="AX445" s="4">
        <f>AX444</f>
        <v>1</v>
      </c>
      <c r="AY445" s="38">
        <f>AT445*AV445*AW445*AX445*AU445</f>
        <v>262.27544904684891</v>
      </c>
      <c r="AZ445" s="38">
        <f>AY445</f>
        <v>262.27544904684891</v>
      </c>
      <c r="BA445" s="38">
        <f>IF(M445&lt;50, 0.3*M445^(2/3), 2.12*LN(1+0.1*(M445+8)))</f>
        <v>4.7518593634836064</v>
      </c>
      <c r="BB445" s="38">
        <f>AX445* (M445^0.5/AS445^0.5)/(PI()/4*N445^2)/X445/0.72 *(0.7+(MIN(S445,AA445)+0.5*N445)/5/K445) *(3*Q445*K445)</f>
        <v>262.27544904684896</v>
      </c>
      <c r="BC445" s="38">
        <f>AY445/BB445</f>
        <v>0.99999999999999978</v>
      </c>
      <c r="BD445" s="38">
        <f>BH445/BB445</f>
        <v>9.7836617876894802</v>
      </c>
      <c r="BE445" s="4">
        <f>IF(BD445&lt;1,1,0)</f>
        <v>0</v>
      </c>
      <c r="BF445" s="4">
        <f>L445/N445*M445^0.5/0.19</f>
        <v>300.39551540561445</v>
      </c>
      <c r="BG445" s="4">
        <f>MIN(0.6+0.4*(AC445/AB445),2)</f>
        <v>1</v>
      </c>
      <c r="BH445" s="38">
        <f>2*M445*AB445*AD445^0.5*BG445*0.7/0.7</f>
        <v>2566.0142886887556</v>
      </c>
      <c r="BI445" s="4">
        <f>MAX(1-0.7*AE445/5,0.3)</f>
        <v>0.3</v>
      </c>
      <c r="BJ445" s="4">
        <f>BI445*J445*L445/(J445*N445/2.75/M445^0.5)</f>
        <v>47.086997039830067</v>
      </c>
      <c r="BK445" s="4">
        <f>BH445+BJ445</f>
        <v>2613.1012857285859</v>
      </c>
      <c r="BM445" s="4">
        <f>MIN(1.5, 0.75+0.25*MIN(3,MAX(1,S445/N445))+0.4*MIN(1,(40*2*PI()*AM445^2/4/AO445/X445)/N445))</f>
        <v>1.5</v>
      </c>
      <c r="BN445" s="4">
        <f>(3*P445+30)*BM445*M445^0.5</f>
        <v>649.31702519472265</v>
      </c>
      <c r="BP445" s="4">
        <f>3.4/PI()^0.5*M445*AB445*AE445^0.5*BG445</f>
        <v>2461.1215059519318</v>
      </c>
      <c r="BQ445" s="4">
        <f>8/3*AH445*AI445^2/(AG445-N445-22)/N445*(AG445^2-N445^2)/(AG445^2-(N445+22)^2)</f>
        <v>0</v>
      </c>
      <c r="BR445" s="4">
        <f>BQ445/BP445</f>
        <v>0</v>
      </c>
      <c r="BZ445" s="4">
        <f>IF(W445=0,S445,MIN(W445/2,S445))</f>
        <v>66.039999999999992</v>
      </c>
      <c r="CD445" s="9"/>
      <c r="CF445" s="9"/>
      <c r="CG445" s="9"/>
      <c r="CH445" s="9">
        <f>IF(W445=0,MIN(S445,U445),MIN(W445/2,S445,U445))</f>
        <v>66.039999999999992</v>
      </c>
      <c r="CI445" s="9">
        <f>MAX(W445/2,S445)</f>
        <v>84.454999999999984</v>
      </c>
      <c r="CJ445" s="9">
        <f>(CH445/N445)^0.5*(CI445/CH445)^0.15</f>
        <v>2.116261887080392</v>
      </c>
      <c r="CK445" s="70">
        <f>IF(AO445&gt;1,20,0)</f>
        <v>20</v>
      </c>
      <c r="CL445" s="9">
        <f>MIN(PI()*AM445^2/4*AN445*2/X445/N445/MAX(0.01,AO445),0.05)</f>
        <v>0.05</v>
      </c>
      <c r="CM445" s="9">
        <f>MAX(0,CK445*(CL445-0.5/50))</f>
        <v>0.8</v>
      </c>
      <c r="CN445" s="9">
        <f>MIN(1,(25/N445)^0.3)</f>
        <v>1</v>
      </c>
      <c r="CO445" s="9">
        <f>IF(J445&gt;=800,0.68,IF(J445&gt;=700,0.75-(J445-700)*0.07/100,IF(J445&gt;=600,0.85-(J445-600)*0.1/100,IF(J445&gt;=500,1-(J445-500)*0.15/100,1.2-(J445-400)*0.2/100))))</f>
        <v>0.68</v>
      </c>
      <c r="CP445" s="9">
        <f>1.75*CN445*CO445*(M445/25)^0.5</f>
        <v>2.0757770792545673</v>
      </c>
      <c r="CQ445" s="9">
        <f>MIN((CJ445+CM445)*CP445,2.5*CP445,M445^0.5)</f>
        <v>5.1894426981364186</v>
      </c>
      <c r="CR445" s="40">
        <v>1</v>
      </c>
      <c r="CS445" s="9">
        <f>4*CQ445*P445+60*CQ445</f>
        <v>447.20541395460401</v>
      </c>
      <c r="CU445" s="4">
        <f>AJ445/BF445</f>
        <v>2.6884096648583249</v>
      </c>
      <c r="CV445" s="4">
        <f>AJ445/BK445</f>
        <v>0.30905277621926552</v>
      </c>
      <c r="CW445" s="4">
        <f>AJ445/BN445</f>
        <v>1.2437471613413587</v>
      </c>
      <c r="CX445" s="4">
        <f>AJ445/CS445</f>
        <v>1.8058506934321912</v>
      </c>
      <c r="CY445" s="4">
        <f>AJ445/DZ445</f>
        <v>1.6844942416423301</v>
      </c>
      <c r="CZ445" s="4">
        <f>AJ445/EL445</f>
        <v>0.86413021470864393</v>
      </c>
      <c r="DA445" s="4">
        <f>AJ445/GI445</f>
        <v>1.5358700933690845</v>
      </c>
      <c r="DB445" s="4">
        <f>AN445</f>
        <v>4</v>
      </c>
      <c r="DI445" s="4">
        <f>CU445</f>
        <v>2.6884096648583249</v>
      </c>
      <c r="DJ445" s="4">
        <f>CV445</f>
        <v>0.30905277621926552</v>
      </c>
      <c r="DK445" s="4">
        <f>CX445</f>
        <v>1.8058506934321912</v>
      </c>
      <c r="DL445" s="4">
        <f>DA445</f>
        <v>1.5358700933690845</v>
      </c>
      <c r="DM445" s="4">
        <f>CY445</f>
        <v>1.6844942416423301</v>
      </c>
      <c r="DN445" s="4">
        <f>CZ445</f>
        <v>0.86413021470864393</v>
      </c>
      <c r="DQ445" s="4">
        <f>L445</f>
        <v>103.886</v>
      </c>
      <c r="DT445" s="4">
        <f>K445/4/(1-0.3*(M445/30)^0.5)/200000/N445</f>
        <v>1.5661798732158438E-5</v>
      </c>
      <c r="DU445" s="4">
        <f>EP445</f>
        <v>14.719357433866572</v>
      </c>
      <c r="DV445" s="4">
        <f>EC445*AG445/257/M445/AD445</f>
        <v>6.1047656989015528E-2</v>
      </c>
      <c r="DW445" s="4">
        <f>DU445*DV445^0.4</f>
        <v>4.8101259878231168</v>
      </c>
      <c r="DX445" s="4">
        <f>MIN(DU445, DU445/1.4*(1-DV445^1.4)/(1-DV445))</f>
        <v>10.974016960699869</v>
      </c>
      <c r="DY445" s="4">
        <f>MAX(DU445/2, (4-DT445*(8*AG445*(DW445-DX445)+6*K445*DX445))/(4+DT445*K445*DU445)*DU445)</f>
        <v>14.408276115668407</v>
      </c>
      <c r="DZ445" s="38">
        <f>MIN(1/N445*(4*AG445*(DW445-DX445)+(3*DX445+DY445)*K445)+EC445 -FJ445,MAX(J445,AJ445))</f>
        <v>479.42354858344902</v>
      </c>
      <c r="EA445" s="4">
        <f>DZ445/FF445</f>
        <v>1.0001058162196099</v>
      </c>
      <c r="EB445" s="4">
        <f>AG445/N445</f>
        <v>3.7549966711037173</v>
      </c>
      <c r="EC445" s="4">
        <f>MIN(EB$10*BB445)</f>
        <v>262.27544904684896</v>
      </c>
      <c r="EG445" s="4">
        <f>IF(U445&gt;1*N445,0.85,1)</f>
        <v>0.85</v>
      </c>
      <c r="EH445" s="4">
        <f>MIN(1,MAX(0.7,(1-0.1*(BZ445-1*N445)/N445)))</f>
        <v>0.7</v>
      </c>
      <c r="EI445" s="4">
        <f>MIN(1,MAX(0.7,1-0.3*(PI()*AM445^2/4*AQ445*2-0.25*PI()/4*N445^2)/(PI()/4*N445^2)))</f>
        <v>0.85899999999999999</v>
      </c>
      <c r="EJ445" s="4">
        <f>IF(EH445*EI445&lt;0.7,0.7,EH445*EI445)</f>
        <v>0.7</v>
      </c>
      <c r="EL445" s="4">
        <f>MIN(DU445/N445*3*K445+EM445-FJ445,MAX(J445,AJ445))</f>
        <v>934.56540825718389</v>
      </c>
      <c r="EM445" s="25">
        <f>13.3*Q445*K445^0.5*M445^0.5/X445/N445^2*(0.7+S445/5/K445)</f>
        <v>645.59498311551533</v>
      </c>
      <c r="EO445" s="4">
        <f>EG445*EJ445</f>
        <v>0.59499999999999997</v>
      </c>
      <c r="EP445" s="4">
        <f>IF(N445&lt;22.2,1.1*5*(M445/30)^0.5,IF(N445&gt;=31.8,0.9*5*(M445/30)^0.5,1*5*(M445/30)^0.5))/EG445/EJ445</f>
        <v>14.719357433866572</v>
      </c>
      <c r="ES445" s="4">
        <f>ET445*N445</f>
        <v>59.610572153771514</v>
      </c>
      <c r="ET445" s="4">
        <f>AF445^0.5</f>
        <v>3.7549966711037173</v>
      </c>
      <c r="EU445" s="4">
        <f>MIN(EC445)/(4700*M445^0.5)/AE445*ES445</f>
        <v>2.9114411827139537E-2</v>
      </c>
      <c r="EX445" s="4">
        <f>EU445</f>
        <v>2.9114411827139537E-2</v>
      </c>
      <c r="EY445" s="4">
        <f>MIN(0.999, EX445/(0.3*(M445/30)^0.5))</f>
        <v>6.0945779827237458E-2</v>
      </c>
      <c r="EZ445" s="4">
        <f>EP445/1*EY445^0.4</f>
        <v>4.8069134973667538</v>
      </c>
      <c r="FA445" s="4">
        <f>EP445/1.4*(1-EY445^1.4)/(1-EY445)</f>
        <v>10.973348071389001</v>
      </c>
      <c r="FB445" s="4">
        <f>MAX(0,DQ445*FB$9-ES445)</f>
        <v>18.30392784622849</v>
      </c>
      <c r="FC445" s="4">
        <f>MAX(0,DQ445-ES445-FB445)</f>
        <v>25.971499999999992</v>
      </c>
      <c r="FD445" s="4">
        <f>FC445/(1-0.3*(M445/30)^0.5)/200000/N445</f>
        <v>1.5661798732158435E-5</v>
      </c>
      <c r="FE445" s="4">
        <f>MAX(0.5*EP445, (1-2*FD445*(ES445*EZ445+FB445*FA445))/(1/EP445+FD445*FC445))</f>
        <v>14.408369494390277</v>
      </c>
      <c r="FF445" s="4">
        <f>MIN(4/N445*(1*EZ445*ES445+FA445*FB445+FC445*FE445)+EC445,MAX(J445,AJ445))</f>
        <v>479.37282316351815</v>
      </c>
      <c r="FO445" s="23">
        <f>IF(CU445&lt;0.6,0.6,IF(CU445&lt;0.8,0.8,IF(CU445&lt;1,1,IF(CU445&lt;1.2,1.2,IF(CU445&lt;1.4,1.4,IF(CU445&lt;1.6,1.6,IF(CU445&lt;1.8,1.8,IF(CU445&lt;2,2,2.2))))))))</f>
        <v>2.2000000000000002</v>
      </c>
      <c r="FP445" s="23">
        <f>IF(CV445&lt;0.6,0.6,IF(CV445&lt;0.8,0.8,IF(CV445&lt;1,1,IF(CV445&lt;1.2,1.2,IF(CV445&lt;1.4,1.4,IF(CV445&lt;1.6,1.6,IF(CV445&lt;1.8,1.8,IF(CV445&lt;2,2,2.2))))))))</f>
        <v>0.6</v>
      </c>
      <c r="FQ445" s="23">
        <f>IF(DA445&lt;0.6,0.6,IF(DA445&lt;0.8,0.8,IF(DA445&lt;1,1,IF(DA445&lt;1.2,1.2,IF(DA445&lt;1.4,1.4,IF(DA445&lt;1.6,1.6,IF(DA445&lt;1.8,1.8,IF(DA445&lt;2,2,2.2))))))))</f>
        <v>1.6</v>
      </c>
      <c r="FR445" s="23">
        <f>IF(CX445&lt;0.6,0.6,IF(CX445&lt;0.8,0.8,IF(CX445&lt;1,1,IF(CX445&lt;1.2,1.2,IF(CX445&lt;1.4,1.4,IF(CX445&lt;1.6,1.6,IF(CX445&lt;1.8,1.8,IF(CX445&lt;2,2,2.2))))))))</f>
        <v>2</v>
      </c>
      <c r="FS445" s="23">
        <f>IF(CY445&lt;0.6,0.6,IF(CY445&lt;0.8,0.8,IF(CY445&lt;1,1,IF(CY445&lt;1.2,1.2,IF(CY445&lt;1.4,1.4,IF(CY445&lt;1.6,1.6,IF(CY445&lt;1.8,1.8,IF(CY445&lt;2,2,2.2))))))))</f>
        <v>1.8</v>
      </c>
      <c r="FT445" s="23">
        <f>IF(CZ445&lt;0.6,0.6,IF(CZ445&lt;0.8,0.8,IF(CZ445&lt;1,1,IF(CZ445&lt;1.2,1.2,IF(CZ445&lt;1.4,1.4,IF(CZ445&lt;1.6,1.6,IF(CZ445&lt;1.8,1.8,IF(CZ445&lt;2,2,2.2))))))))</f>
        <v>1</v>
      </c>
      <c r="FU445" s="23">
        <f>IF(FS445&lt;1,1,0)</f>
        <v>0</v>
      </c>
      <c r="FV445" s="23"/>
      <c r="GF445" s="4">
        <f>IF(S445&gt;=2.5*25.4,1,1.25)</f>
        <v>1</v>
      </c>
      <c r="GG445" s="4">
        <f>IF(AO445&gt;1, 0.05*(18-MIN(8,(W445+N445)/N445))*(1-48000/MAX(60000,(J445*145))*(N445/25.4)^0.75*GH445), 1/12*(14-MIN(8,(W445+N445)/N445)))</f>
        <v>0.46358941059918601</v>
      </c>
      <c r="GH445" s="4">
        <f>MIN(0.3, AM445^2*PI()/4*2*AP445/(N445^2*PI()/4*X445))</f>
        <v>0.3</v>
      </c>
      <c r="GI445" s="4">
        <f>(K445/25.4)/(N445/25.4)^1.5/0.0024*(M445*145)^0.25/GF445/GG445/145</f>
        <v>525.81674087098781</v>
      </c>
    </row>
    <row r="446" spans="1:191" ht="12" customHeight="1" x14ac:dyDescent="0.3">
      <c r="A446" s="25">
        <v>356</v>
      </c>
      <c r="B446" s="4" t="s">
        <v>605</v>
      </c>
      <c r="C446" s="4">
        <v>2016</v>
      </c>
      <c r="D446" s="4" t="s">
        <v>309</v>
      </c>
      <c r="E446" s="24" t="s">
        <v>520</v>
      </c>
      <c r="F446" s="97" t="s">
        <v>762</v>
      </c>
      <c r="G446" s="24">
        <v>1</v>
      </c>
      <c r="H446" s="7" t="s">
        <v>521</v>
      </c>
      <c r="I446" s="5">
        <f>K446/N446</f>
        <v>6.4959999999999987</v>
      </c>
      <c r="J446" s="38">
        <f>139/0.145</f>
        <v>958.62068965517244</v>
      </c>
      <c r="K446" s="76">
        <f>4.06*25.4</f>
        <v>103.12399999999998</v>
      </c>
      <c r="L446" s="4">
        <f>K446</f>
        <v>103.12399999999998</v>
      </c>
      <c r="M446" s="76">
        <f>4810/145</f>
        <v>33.172413793103445</v>
      </c>
      <c r="N446" s="38">
        <f>0.625*25.4</f>
        <v>15.875</v>
      </c>
      <c r="O446" s="7">
        <f>K446/N446</f>
        <v>6.4959999999999987</v>
      </c>
      <c r="P446" s="7">
        <f>L446/N446</f>
        <v>6.4959999999999987</v>
      </c>
      <c r="Q446" s="38">
        <f>12.9*25.4</f>
        <v>327.65999999999997</v>
      </c>
      <c r="R446" s="32">
        <f>S446/N446</f>
        <v>4</v>
      </c>
      <c r="S446" s="38">
        <f>2.5*25.4</f>
        <v>63.5</v>
      </c>
      <c r="T446" s="32">
        <f>U446/N446</f>
        <v>8.4</v>
      </c>
      <c r="U446" s="39">
        <f>5.25*25.4</f>
        <v>133.35</v>
      </c>
      <c r="V446" s="32">
        <f>W446/N446</f>
        <v>10.639999999999999</v>
      </c>
      <c r="W446" s="7">
        <f>(Q446-X446*N446-2*S446)/(X446-1)</f>
        <v>168.90999999999997</v>
      </c>
      <c r="X446" s="38">
        <v>2</v>
      </c>
      <c r="Y446" s="7">
        <f>AN446</f>
        <v>0</v>
      </c>
      <c r="Z446" s="32">
        <f>AA446/N446</f>
        <v>8.4</v>
      </c>
      <c r="AA446" s="4">
        <f>5.25*25.4</f>
        <v>133.35</v>
      </c>
      <c r="AB446" s="7">
        <f>MIN(S446/N446+0.5, W446/2/N446+0.5)</f>
        <v>4.5</v>
      </c>
      <c r="AC446" s="7">
        <f>S446/N446+0.5</f>
        <v>4.5</v>
      </c>
      <c r="AD446" s="38">
        <v>4</v>
      </c>
      <c r="AE446" s="4">
        <f>AD446</f>
        <v>4</v>
      </c>
      <c r="AF446" s="4">
        <f>AE446+1</f>
        <v>5</v>
      </c>
      <c r="AG446" s="7">
        <f>N446*AF446^0.5</f>
        <v>35.497579142809165</v>
      </c>
      <c r="AJ446" s="38">
        <f>AK446/0.145</f>
        <v>544.82758620689663</v>
      </c>
      <c r="AK446" s="4">
        <v>79</v>
      </c>
      <c r="AL446" s="4">
        <f>CY446</f>
        <v>1.5312635885804775</v>
      </c>
      <c r="AM446" s="38">
        <v>0</v>
      </c>
      <c r="AN446" s="38">
        <v>0</v>
      </c>
      <c r="AO446" s="39">
        <f>L446</f>
        <v>103.12399999999998</v>
      </c>
      <c r="AP446" s="39"/>
      <c r="AQ446" s="39"/>
      <c r="AR446" s="7"/>
      <c r="AS446" s="4">
        <f>K446</f>
        <v>103.12399999999998</v>
      </c>
      <c r="AT446" s="4">
        <f>IF(K446*3&gt;W446+N446, Q446, (S446+N446/2)*2+1.5*K446*(2*X446-2))*(3*K446)/(9*K446^2)</f>
        <v>1.059113300492611</v>
      </c>
      <c r="AU446" s="4">
        <f>MIN(10*M446^0.5*K446^1.5,100*3.9*M446^0.5*K446^(5/3))/(PI()/4*N446^2)/X446</f>
        <v>152.36345683370544</v>
      </c>
      <c r="AV446" s="4">
        <f>MIN(0.7+0.3*(MIN(S446,AA446)+0.5*N446)/1.5/K446,1)</f>
        <v>0.83854679802955667</v>
      </c>
      <c r="AW446" s="4">
        <v>1.25</v>
      </c>
      <c r="AX446" s="4">
        <f>AX445</f>
        <v>1</v>
      </c>
      <c r="AY446" s="38">
        <f>AT446*AV446*AW446*AX446*AU446</f>
        <v>169.14554252397127</v>
      </c>
      <c r="AZ446" s="38">
        <f>AY446</f>
        <v>169.14554252397127</v>
      </c>
      <c r="BA446" s="38">
        <f>IF(M446&lt;50, 0.3*M446^(2/3), 2.12*LN(1+0.1*(M446+8)))</f>
        <v>3.0972241539071201</v>
      </c>
      <c r="BB446" s="38">
        <f>AX446* (M446^0.5/AS446^0.5)/(PI()/4*N446^2)/X446/0.72 *(0.7+(MIN(S446,AA446)+0.5*N446)/5/K446) *(3*Q446*K446)</f>
        <v>169.14554252397127</v>
      </c>
      <c r="BC446" s="38">
        <f>AY446/BB446</f>
        <v>1</v>
      </c>
      <c r="BD446" s="38">
        <f>BH446/BB446</f>
        <v>3.5301163682231862</v>
      </c>
      <c r="BE446" s="4">
        <f>IF(BD446&lt;1,1,0)</f>
        <v>0</v>
      </c>
      <c r="BF446" s="4">
        <f>L446/N446*M446^0.5/0.19</f>
        <v>196.91597600664139</v>
      </c>
      <c r="BG446" s="4">
        <f>MIN(0.6+0.4*(AC446/AB446),2)</f>
        <v>1</v>
      </c>
      <c r="BH446" s="38">
        <f>2*M446*AB446*AD446^0.5*BG446*0.7/0.7</f>
        <v>597.10344827586198</v>
      </c>
      <c r="BI446" s="4">
        <f>MAX(1-0.7*AE446/5,0.3)</f>
        <v>0.44000000000000006</v>
      </c>
      <c r="BJ446" s="4">
        <f>BI446*J446*L446/(J446*N446/2.75/M446^0.5)</f>
        <v>45.27098288392687</v>
      </c>
      <c r="BK446" s="4">
        <f>BH446+BJ446</f>
        <v>642.37443115978886</v>
      </c>
      <c r="BM446" s="4">
        <f>MIN(1.5, 0.75+0.25*MIN(3,MAX(1,S446/N446))+0.4*MIN(1,(40*2*PI()*AM446^2/4/AO446/X446)/N446))</f>
        <v>1.5</v>
      </c>
      <c r="BN446" s="4">
        <f>(3*P446+30)*BM446*M446^0.5</f>
        <v>427.5429000732376</v>
      </c>
      <c r="BP446" s="4">
        <f>3.4/PI()^0.5*M446*AB446*AE446^0.5*BG446</f>
        <v>572.6952278900693</v>
      </c>
      <c r="BQ446" s="4">
        <f>8/3*AH446*AI446^2/(AG446-N446-22)/N446*(AG446^2-N446^2)/(AG446^2-(N446+22)^2)</f>
        <v>0</v>
      </c>
      <c r="BR446" s="4">
        <f>BQ446/BP446</f>
        <v>0</v>
      </c>
      <c r="BZ446" s="4">
        <f>IF(W446=0,S446,MIN(W446/2,S446))</f>
        <v>63.5</v>
      </c>
      <c r="CD446" s="9"/>
      <c r="CF446" s="9"/>
      <c r="CG446" s="9"/>
      <c r="CH446" s="9">
        <f>IF(W446=0,MIN(S446,U446),MIN(W446/2,S446,U446))</f>
        <v>63.5</v>
      </c>
      <c r="CI446" s="9">
        <f>MAX(W446/2,S446)</f>
        <v>84.454999999999984</v>
      </c>
      <c r="CJ446" s="9">
        <f>(CH446/N446)^0.5*(CI446/CH446)^0.15</f>
        <v>2.0874099141114333</v>
      </c>
      <c r="CK446" s="70">
        <f>IF(AO446&gt;1,20,0)</f>
        <v>20</v>
      </c>
      <c r="CL446" s="9">
        <f>MIN(PI()*AM446^2/4*AN446*2/X446/N446/MAX(0.01,AO446),0.05)</f>
        <v>0</v>
      </c>
      <c r="CM446" s="9">
        <f>MAX(0,CK446*(CL446-0.5/50))</f>
        <v>0</v>
      </c>
      <c r="CN446" s="9">
        <f>MIN(1,(25/N446)^0.3)</f>
        <v>1</v>
      </c>
      <c r="CO446" s="9">
        <f>IF(J446&gt;=800,0.68,IF(J446&gt;=700,0.75-(J446-700)*0.07/100,IF(J446&gt;=600,0.85-(J446-600)*0.1/100,IF(J446&gt;=500,1-(J446-500)*0.15/100,1.2-(J446-400)*0.2/100))))</f>
        <v>0.68</v>
      </c>
      <c r="CP446" s="9">
        <f>1.75*CN446*CO446*(M446/25)^0.5</f>
        <v>1.3707728502186465</v>
      </c>
      <c r="CQ446" s="9">
        <f>MIN((CJ446+CM446)*CP446,2.5*CP446,M446^0.5)</f>
        <v>2.8613648375411893</v>
      </c>
      <c r="CR446" s="40">
        <v>1</v>
      </c>
      <c r="CS446" s="9">
        <f>4*CQ446*P446+60*CQ446</f>
        <v>246.03159419114161</v>
      </c>
      <c r="CU446" s="4">
        <f>AJ446/BF446</f>
        <v>2.7668023552772643</v>
      </c>
      <c r="CV446" s="4">
        <f>AJ446/BK446</f>
        <v>0.84814643886623231</v>
      </c>
      <c r="CW446" s="4">
        <f>AJ446/BN446</f>
        <v>1.2743226144407223</v>
      </c>
      <c r="CX446" s="4">
        <f>AJ446/CS446</f>
        <v>2.2144618783538053</v>
      </c>
      <c r="CY446" s="4">
        <f>AJ446/DZ446</f>
        <v>1.5312635885804775</v>
      </c>
      <c r="CZ446" s="4">
        <f>AJ446/EL446</f>
        <v>0.89951817016281221</v>
      </c>
      <c r="DA446" s="4">
        <f>AJ446/GI446</f>
        <v>1.3853708991438167</v>
      </c>
      <c r="DB446" s="4">
        <f>AN446</f>
        <v>0</v>
      </c>
      <c r="DC446" s="4">
        <f>CU446</f>
        <v>2.7668023552772643</v>
      </c>
      <c r="DD446" s="4">
        <f>CV446</f>
        <v>0.84814643886623231</v>
      </c>
      <c r="DE446" s="4">
        <f>CX446</f>
        <v>2.2144618783538053</v>
      </c>
      <c r="DF446" s="4">
        <f>DA446</f>
        <v>1.3853708991438167</v>
      </c>
      <c r="DG446" s="4">
        <f>CY446</f>
        <v>1.5312635885804775</v>
      </c>
      <c r="DH446" s="4">
        <f>CZ446</f>
        <v>0.89951817016281221</v>
      </c>
      <c r="DQ446" s="4">
        <f>L446</f>
        <v>103.12399999999998</v>
      </c>
      <c r="DT446" s="4">
        <f>K446/4/(1-0.3*(M446/30)^0.5)/200000/N446</f>
        <v>1.1862041549436264E-5</v>
      </c>
      <c r="DU446" s="4">
        <f>EP446</f>
        <v>9.7201649178311715</v>
      </c>
      <c r="DV446" s="4">
        <f>EC446*AG446/257/M446/AD446</f>
        <v>0.17607151644751923</v>
      </c>
      <c r="DW446" s="4">
        <f>DU446*DV446^0.4</f>
        <v>4.8523182283252497</v>
      </c>
      <c r="DX446" s="4">
        <f>MIN(DU446, DU446/1.4*(1-DV446^1.4)/(1-DV446))</f>
        <v>7.6860085259357955</v>
      </c>
      <c r="DY446" s="4">
        <f>MAX(DU446/2, (4-DT446*(8*AG446*(DW446-DX446)+6*K446*DX446))/(4+DT446*K446*DU446)*DU446)</f>
        <v>9.5778068015065543</v>
      </c>
      <c r="DZ446" s="38">
        <f>MIN(1/N446*(4*AG446*(DW446-DX446)+(3*DX446+DY446)*K446)+EC446 -FJ446,MAX(J446,AJ446))</f>
        <v>355.80261312943935</v>
      </c>
      <c r="EA446" s="4">
        <f>DZ446/FF446</f>
        <v>1.0001107695929539</v>
      </c>
      <c r="EB446" s="4">
        <f>AG446/N446</f>
        <v>2.2360679774997898</v>
      </c>
      <c r="EC446" s="4">
        <f>MIN(EB$10*BB446)</f>
        <v>169.14554252397127</v>
      </c>
      <c r="EG446" s="4">
        <f>IF(U446&gt;1*N446,0.85,1)</f>
        <v>0.85</v>
      </c>
      <c r="EH446" s="4">
        <f>MIN(1,MAX(0.7,(1-0.1*(BZ446-1*N446)/N446)))</f>
        <v>0.7</v>
      </c>
      <c r="EI446" s="4">
        <f>MIN(1,MAX(0.7,1-0.3*(PI()*AM446^2/4*AQ446*2-0.25*PI()/4*N446^2)/(PI()/4*N446^2)))</f>
        <v>1</v>
      </c>
      <c r="EJ446" s="4">
        <f>IF(EH446*EI446&lt;0.7,0.7,EH446*EI446)</f>
        <v>0.7</v>
      </c>
      <c r="EL446" s="4">
        <f>MIN(DU446/N446*3*K446+EM446-FJ446,MAX(J446,AJ446))</f>
        <v>605.68824986412801</v>
      </c>
      <c r="EM446" s="25">
        <f>13.3*Q446*K446^0.5*M446^0.5/X446/N446^2*(0.7+S446/5/K446)</f>
        <v>416.26167594543415</v>
      </c>
      <c r="EO446" s="4">
        <f>EG446*EJ446</f>
        <v>0.59499999999999997</v>
      </c>
      <c r="EP446" s="4">
        <f>IF(N446&lt;22.2,1.1*5*(M446/30)^0.5,IF(N446&gt;=31.8,0.9*5*(M446/30)^0.5,1*5*(M446/30)^0.5))/EG446/EJ446</f>
        <v>9.7201649178311715</v>
      </c>
      <c r="ES446" s="4">
        <f>ET446*N446</f>
        <v>35.497579142809165</v>
      </c>
      <c r="ET446" s="4">
        <f>AF446^0.5</f>
        <v>2.2360679774997898</v>
      </c>
      <c r="EU446" s="4">
        <f>MIN(EC446)/(4700*M446^0.5)/AE446*ES446</f>
        <v>5.5451450019553816E-2</v>
      </c>
      <c r="EX446" s="4">
        <f>EU446</f>
        <v>5.5451450019553816E-2</v>
      </c>
      <c r="EY446" s="4">
        <f>MIN(0.999, EX446/(0.3*(M446/30)^0.5))</f>
        <v>0.17577768590183815</v>
      </c>
      <c r="EZ446" s="4">
        <f>EP446/1*EY446^0.4</f>
        <v>4.8490775593616542</v>
      </c>
      <c r="FA446" s="4">
        <f>EP446/1.4*(1-EY446^1.4)/(1-EY446)</f>
        <v>7.6849977539918273</v>
      </c>
      <c r="FB446" s="4">
        <f>MAX(0,DQ446*FB$9-ES446)</f>
        <v>41.845420857190824</v>
      </c>
      <c r="FC446" s="4">
        <f>MAX(0,DQ446-ES446-FB446)</f>
        <v>25.780999999999999</v>
      </c>
      <c r="FD446" s="4">
        <f>FC446/(1-0.3*(M446/30)^0.5)/200000/N446</f>
        <v>1.1862041549436266E-5</v>
      </c>
      <c r="FE446" s="4">
        <f>MAX(0.5*EP446, (1-2*FD446*(ES446*EZ446+FB446*FA446))/(1/EP446+FD446*FC446))</f>
        <v>9.5778429750703626</v>
      </c>
      <c r="FF446" s="4">
        <f>MIN(4/N446*(1*EZ446*ES446+FA446*FB446+FC446*FE446)+EC446,MAX(J446,AJ446))</f>
        <v>355.76320538399102</v>
      </c>
      <c r="FO446" s="23">
        <f>IF(CU446&lt;0.6,0.6,IF(CU446&lt;0.8,0.8,IF(CU446&lt;1,1,IF(CU446&lt;1.2,1.2,IF(CU446&lt;1.4,1.4,IF(CU446&lt;1.6,1.6,IF(CU446&lt;1.8,1.8,IF(CU446&lt;2,2,2.2))))))))</f>
        <v>2.2000000000000002</v>
      </c>
      <c r="FP446" s="23">
        <f>IF(CV446&lt;0.6,0.6,IF(CV446&lt;0.8,0.8,IF(CV446&lt;1,1,IF(CV446&lt;1.2,1.2,IF(CV446&lt;1.4,1.4,IF(CV446&lt;1.6,1.6,IF(CV446&lt;1.8,1.8,IF(CV446&lt;2,2,2.2))))))))</f>
        <v>1</v>
      </c>
      <c r="FQ446" s="23">
        <f>IF(DA446&lt;0.6,0.6,IF(DA446&lt;0.8,0.8,IF(DA446&lt;1,1,IF(DA446&lt;1.2,1.2,IF(DA446&lt;1.4,1.4,IF(DA446&lt;1.6,1.6,IF(DA446&lt;1.8,1.8,IF(DA446&lt;2,2,2.2))))))))</f>
        <v>1.4</v>
      </c>
      <c r="FR446" s="23">
        <f>IF(CX446&lt;0.6,0.6,IF(CX446&lt;0.8,0.8,IF(CX446&lt;1,1,IF(CX446&lt;1.2,1.2,IF(CX446&lt;1.4,1.4,IF(CX446&lt;1.6,1.6,IF(CX446&lt;1.8,1.8,IF(CX446&lt;2,2,2.2))))))))</f>
        <v>2.2000000000000002</v>
      </c>
      <c r="FS446" s="23">
        <f>IF(CY446&lt;0.6,0.6,IF(CY446&lt;0.8,0.8,IF(CY446&lt;1,1,IF(CY446&lt;1.2,1.2,IF(CY446&lt;1.4,1.4,IF(CY446&lt;1.6,1.6,IF(CY446&lt;1.8,1.8,IF(CY446&lt;2,2,2.2))))))))</f>
        <v>1.6</v>
      </c>
      <c r="FT446" s="23">
        <f>IF(CZ446&lt;0.6,0.6,IF(CZ446&lt;0.8,0.8,IF(CZ446&lt;1,1,IF(CZ446&lt;1.2,1.2,IF(CZ446&lt;1.4,1.4,IF(CZ446&lt;1.6,1.6,IF(CZ446&lt;1.8,1.8,IF(CZ446&lt;2,2,2.2))))))))</f>
        <v>1</v>
      </c>
      <c r="FU446" s="23">
        <f>IF(FS446&lt;1,1,0)</f>
        <v>0</v>
      </c>
      <c r="FV446" s="23"/>
      <c r="GF446" s="4">
        <f>IF(S446&gt;=2.5*25.4,1,1.25)</f>
        <v>1</v>
      </c>
      <c r="GG446" s="4">
        <f>IF(AO446&gt;1, 0.05*(18-MIN(8,(W446+N446)/N446))*(1-48000/MAX(60000,(J446*145))*(N446/25.4)^0.75*GH446), 1/12*(14-MIN(8,(W446+N446)/N446)))</f>
        <v>0.5</v>
      </c>
      <c r="GH446" s="4">
        <f>MIN(0.3, AM446^2*PI()/4*2*AP446/(N446^2*PI()/4*X446))</f>
        <v>0</v>
      </c>
      <c r="GI446" s="4">
        <f>(K446/25.4)/(N446/25.4)^1.5/0.0024*(M446*145)^0.25/GF446/GG446/145</f>
        <v>393.27200141392427</v>
      </c>
    </row>
    <row r="447" spans="1:191" ht="12" customHeight="1" x14ac:dyDescent="0.3">
      <c r="A447" s="25">
        <v>367</v>
      </c>
      <c r="B447" s="4" t="s">
        <v>605</v>
      </c>
      <c r="C447" s="4">
        <v>2016</v>
      </c>
      <c r="D447" s="4" t="s">
        <v>309</v>
      </c>
      <c r="E447" s="24" t="s">
        <v>532</v>
      </c>
      <c r="F447" s="75" t="s">
        <v>763</v>
      </c>
      <c r="G447" s="24">
        <v>3</v>
      </c>
      <c r="H447" s="7" t="s">
        <v>533</v>
      </c>
      <c r="I447" s="5">
        <f>K447/N447</f>
        <v>6.4959999999999987</v>
      </c>
      <c r="J447" s="38">
        <f>139/0.145</f>
        <v>958.62068965517244</v>
      </c>
      <c r="K447" s="76">
        <f>4.06*25.4</f>
        <v>103.12399999999998</v>
      </c>
      <c r="L447" s="4">
        <f>K447</f>
        <v>103.12399999999998</v>
      </c>
      <c r="M447" s="38">
        <f>11030/145</f>
        <v>76.068965517241381</v>
      </c>
      <c r="N447" s="38">
        <f>0.625*25.4</f>
        <v>15.875</v>
      </c>
      <c r="O447" s="7">
        <f>K447/N447</f>
        <v>6.4959999999999987</v>
      </c>
      <c r="P447" s="7">
        <f>L447/N447</f>
        <v>6.4959999999999987</v>
      </c>
      <c r="Q447" s="38">
        <f>13.1*25.4</f>
        <v>332.73999999999995</v>
      </c>
      <c r="R447" s="32">
        <f>S447/N447</f>
        <v>4.1599999999999993</v>
      </c>
      <c r="S447" s="38">
        <f>2.6*25.4</f>
        <v>66.039999999999992</v>
      </c>
      <c r="T447" s="32">
        <f>U447/N447</f>
        <v>8.3199999999999985</v>
      </c>
      <c r="U447" s="39">
        <f>5.2*25.4</f>
        <v>132.07999999999998</v>
      </c>
      <c r="V447" s="32">
        <f>W447/N447</f>
        <v>10.639999999999999</v>
      </c>
      <c r="W447" s="7">
        <f>(Q447-X447*N447-2*S447)/(X447-1)</f>
        <v>168.90999999999997</v>
      </c>
      <c r="X447" s="38">
        <v>2</v>
      </c>
      <c r="Y447" s="7">
        <f>AN447</f>
        <v>0</v>
      </c>
      <c r="Z447" s="32">
        <f>AA447/N447</f>
        <v>8.4</v>
      </c>
      <c r="AA447" s="4">
        <f>5.25*25.4</f>
        <v>133.35</v>
      </c>
      <c r="AB447" s="7">
        <f>MIN(S447/N447+0.5, W447/2/N447+0.5)</f>
        <v>4.6599999999999993</v>
      </c>
      <c r="AC447" s="7">
        <f>S447/N447+0.5</f>
        <v>4.6599999999999993</v>
      </c>
      <c r="AD447" s="38">
        <v>4</v>
      </c>
      <c r="AE447" s="4">
        <f>AD447</f>
        <v>4</v>
      </c>
      <c r="AF447" s="4">
        <f>AE447+1</f>
        <v>5</v>
      </c>
      <c r="AG447" s="7">
        <f>N447*AF447^0.5</f>
        <v>35.497579142809165</v>
      </c>
      <c r="AJ447" s="38">
        <f>AK447/0.145</f>
        <v>629.65517241379314</v>
      </c>
      <c r="AK447" s="4">
        <v>91.3</v>
      </c>
      <c r="AL447" s="4">
        <f>CY447</f>
        <v>1.1875713646393697</v>
      </c>
      <c r="AM447" s="38">
        <v>0</v>
      </c>
      <c r="AN447" s="38">
        <v>0</v>
      </c>
      <c r="AO447" s="39">
        <f>L447</f>
        <v>103.12399999999998</v>
      </c>
      <c r="AP447" s="39"/>
      <c r="AQ447" s="39"/>
      <c r="AR447" s="7"/>
      <c r="AS447" s="4">
        <f>K447</f>
        <v>103.12399999999998</v>
      </c>
      <c r="AT447" s="4">
        <f>IF(K447*3&gt;W447+N447, Q447, (S447+N447/2)*2+1.5*K447*(2*X447-2))*(3*K447)/(9*K447^2)</f>
        <v>1.0755336617405586</v>
      </c>
      <c r="AU447" s="4">
        <f>MIN(10*M447^0.5*K447^1.5,100*3.9*M447^0.5*K447^(5/3))/(PI()/4*N447^2)/X447</f>
        <v>230.72573356041525</v>
      </c>
      <c r="AV447" s="4">
        <f>MIN(0.7+0.3*(MIN(S447,AA447)+0.5*N447)/1.5/K447,1)</f>
        <v>0.84347290640394079</v>
      </c>
      <c r="AW447" s="4">
        <v>1.25</v>
      </c>
      <c r="AX447" s="4">
        <f>AX446</f>
        <v>1</v>
      </c>
      <c r="AY447" s="38">
        <f>AT447*AV447*AW447*AX447*AU447</f>
        <v>261.63822417855511</v>
      </c>
      <c r="AZ447" s="38">
        <f>AY447</f>
        <v>261.63822417855511</v>
      </c>
      <c r="BA447" s="38">
        <f>IF(M447&lt;50, 0.3*M447^(2/3), 2.12*LN(1+0.1*(M447+8)))</f>
        <v>4.7518593634836064</v>
      </c>
      <c r="BB447" s="38">
        <f>AX447* (M447^0.5/AS447^0.5)/(PI()/4*N447^2)/X447/0.72 *(0.7+(MIN(S447,AA447)+0.5*N447)/5/K447) *(3*Q447*K447)</f>
        <v>261.63822417855499</v>
      </c>
      <c r="BC447" s="38">
        <f>AY447/BB447</f>
        <v>1.0000000000000004</v>
      </c>
      <c r="BD447" s="38">
        <f>BH447/BB447</f>
        <v>5.4194127088774149</v>
      </c>
      <c r="BE447" s="4">
        <f>IF(BD447&lt;1,1,0)</f>
        <v>0</v>
      </c>
      <c r="BF447" s="4">
        <f>L447/N447*M447^0.5/0.19</f>
        <v>298.19212531706467</v>
      </c>
      <c r="BG447" s="4">
        <f>MIN(0.6+0.4*(AC447/AB447),2)</f>
        <v>1</v>
      </c>
      <c r="BH447" s="38">
        <f>2*M447*AB447*AD447^0.5*BG447*0.7/0.7</f>
        <v>1417.9255172413791</v>
      </c>
      <c r="BI447" s="4">
        <f>MAX(1-0.7*AE447/5,0.3)</f>
        <v>0.44000000000000006</v>
      </c>
      <c r="BJ447" s="4">
        <f>BI447*J447*L447/(J447*N447/2.75/M447^0.5)</f>
        <v>68.554369610393181</v>
      </c>
      <c r="BK447" s="4">
        <f>BH447+BJ447</f>
        <v>1486.4798868517723</v>
      </c>
      <c r="BM447" s="4">
        <f>MIN(1.5, 0.75+0.25*MIN(3,MAX(1,S447/N447))+0.4*MIN(1,(40*2*PI()*AM447^2/4/AO447/X447)/N447))</f>
        <v>1.5</v>
      </c>
      <c r="BN447" s="4">
        <f>(3*P447+30)*BM447*M447^0.5</f>
        <v>647.43312666901272</v>
      </c>
      <c r="BP447" s="4">
        <f>3.4/PI()^0.5*M447*AB447*AE447^0.5*BG447</f>
        <v>1359.9639720260559</v>
      </c>
      <c r="BQ447" s="4">
        <f>8/3*AH447*AI447^2/(AG447-N447-22)/N447*(AG447^2-N447^2)/(AG447^2-(N447+22)^2)</f>
        <v>0</v>
      </c>
      <c r="BR447" s="4">
        <f>BQ447/BP447</f>
        <v>0</v>
      </c>
      <c r="BZ447" s="4">
        <f>IF(W447=0,S447,MIN(W447/2,S447))</f>
        <v>66.039999999999992</v>
      </c>
      <c r="CD447" s="9"/>
      <c r="CF447" s="9"/>
      <c r="CG447" s="9"/>
      <c r="CH447" s="9">
        <f>IF(W447=0,MIN(S447,U447),MIN(W447/2,S447,U447))</f>
        <v>66.039999999999992</v>
      </c>
      <c r="CI447" s="9">
        <f>MAX(W447/2,S447)</f>
        <v>84.454999999999984</v>
      </c>
      <c r="CJ447" s="9">
        <f>(CH447/N447)^0.5*(CI447/CH447)^0.15</f>
        <v>2.116261887080392</v>
      </c>
      <c r="CK447" s="70">
        <f>IF(AO447&gt;1,20,0)</f>
        <v>20</v>
      </c>
      <c r="CL447" s="9">
        <f>MIN(PI()*AM447^2/4*AN447*2/X447/N447/MAX(0.01,AO447),0.05)</f>
        <v>0</v>
      </c>
      <c r="CM447" s="9">
        <f>MAX(0,CK447*(CL447-0.5/50))</f>
        <v>0</v>
      </c>
      <c r="CN447" s="9">
        <f>MIN(1,(25/N447)^0.3)</f>
        <v>1</v>
      </c>
      <c r="CO447" s="9">
        <f>IF(J447&gt;=800,0.68,IF(J447&gt;=700,0.75-(J447-700)*0.07/100,IF(J447&gt;=600,0.85-(J447-600)*0.1/100,IF(J447&gt;=500,1-(J447-500)*0.15/100,1.2-(J447-400)*0.2/100))))</f>
        <v>0.68</v>
      </c>
      <c r="CP447" s="9">
        <f>1.75*CN447*CO447*(M447/25)^0.5</f>
        <v>2.0757770792545673</v>
      </c>
      <c r="CQ447" s="9">
        <f>MIN((CJ447+CM447)*CP447,2.5*CP447,M447^0.5)</f>
        <v>4.3928879189014953</v>
      </c>
      <c r="CR447" s="40">
        <v>1</v>
      </c>
      <c r="CS447" s="9">
        <f>4*CQ447*P447+60*CQ447</f>
        <v>377.71807481882615</v>
      </c>
      <c r="CU447" s="4">
        <f>AJ447/BF447</f>
        <v>2.1115754540609921</v>
      </c>
      <c r="CV447" s="4">
        <f>AJ447/BK447</f>
        <v>0.42358808752356875</v>
      </c>
      <c r="CW447" s="4">
        <f>AJ447/BN447</f>
        <v>0.97254086403226603</v>
      </c>
      <c r="CX447" s="4">
        <f>AJ447/CS447</f>
        <v>1.6669977276459687</v>
      </c>
      <c r="CY447" s="4">
        <f>AJ447/DZ447</f>
        <v>1.1875713646393697</v>
      </c>
      <c r="CZ447" s="4">
        <f>AJ447/EL447</f>
        <v>0.67646352686461653</v>
      </c>
      <c r="DA447" s="4">
        <f>AJ447/GI447</f>
        <v>1.3010744184441332</v>
      </c>
      <c r="DB447" s="4">
        <f>AN447</f>
        <v>0</v>
      </c>
      <c r="DC447" s="4">
        <f>CU447</f>
        <v>2.1115754540609921</v>
      </c>
      <c r="DD447" s="4">
        <f>CV447</f>
        <v>0.42358808752356875</v>
      </c>
      <c r="DE447" s="4">
        <f>CX447</f>
        <v>1.6669977276459687</v>
      </c>
      <c r="DF447" s="4">
        <f>DA447</f>
        <v>1.3010744184441332</v>
      </c>
      <c r="DG447" s="4">
        <f>CY447</f>
        <v>1.1875713646393697</v>
      </c>
      <c r="DH447" s="4">
        <f>CZ447</f>
        <v>0.67646352686461653</v>
      </c>
      <c r="DQ447" s="4">
        <f>L447</f>
        <v>103.12399999999998</v>
      </c>
      <c r="DT447" s="4">
        <f>K447/4/(1-0.3*(M447/30)^0.5)/200000/N447</f>
        <v>1.5546920012851651E-5</v>
      </c>
      <c r="DU447" s="4">
        <f>EP447</f>
        <v>14.719357433866572</v>
      </c>
      <c r="DV447" s="4">
        <f>EC447*AG447/257/M447/AD447</f>
        <v>0.11876796194200941</v>
      </c>
      <c r="DW447" s="4">
        <f>DU447*DV447^0.4</f>
        <v>6.2772376818698001</v>
      </c>
      <c r="DX447" s="4">
        <f>MIN(DU447, DU447/1.4*(1-DV447^1.4)/(1-DV447))</f>
        <v>11.326530928351525</v>
      </c>
      <c r="DY447" s="4">
        <f>MAX(DU447/2, (4-DT447*(8*AG447*(DW447-DX447)+6*K447*DX447))/(4+DT447*K447*DU447)*DU447)</f>
        <v>14.31598892772424</v>
      </c>
      <c r="DZ447" s="38">
        <f>MIN(1/N447*(4*AG447*(DW447-DX447)+(3*DX447+DY447)*K447)+EC447 -FJ447,MAX(J447,AJ447))</f>
        <v>530.20407123491123</v>
      </c>
      <c r="EA447" s="4">
        <f>DZ447/FF447</f>
        <v>1.0000922243461332</v>
      </c>
      <c r="EB447" s="4">
        <f>AG447/N447</f>
        <v>2.2360679774997898</v>
      </c>
      <c r="EC447" s="4">
        <f>MIN(EB$10*BB447)</f>
        <v>261.63822417855499</v>
      </c>
      <c r="EG447" s="4">
        <f>IF(U447&gt;1*N447,0.85,1)</f>
        <v>0.85</v>
      </c>
      <c r="EH447" s="4">
        <f>MIN(1,MAX(0.7,(1-0.1*(BZ447-1*N447)/N447)))</f>
        <v>0.7</v>
      </c>
      <c r="EI447" s="4">
        <f>MIN(1,MAX(0.7,1-0.3*(PI()*AM447^2/4*AQ447*2-0.25*PI()/4*N447^2)/(PI()/4*N447^2)))</f>
        <v>1</v>
      </c>
      <c r="EJ447" s="4">
        <f>IF(EH447*EI447&lt;0.7,0.7,EH447*EI447)</f>
        <v>0.7</v>
      </c>
      <c r="EL447" s="4">
        <f>MIN(DU447/N447*3*K447+EM447-FJ447,MAX(J447,AJ447))</f>
        <v>930.8043189441737</v>
      </c>
      <c r="EM447" s="25">
        <f>13.3*Q447*K447^0.5*M447^0.5/X447/N447^2*(0.7+S447/5/K447)</f>
        <v>643.953481272982</v>
      </c>
      <c r="EO447" s="4">
        <f>EG447*EJ447</f>
        <v>0.59499999999999997</v>
      </c>
      <c r="EP447" s="4">
        <f>IF(N447&lt;22.2,1.1*5*(M447/30)^0.5,IF(N447&gt;=31.8,0.9*5*(M447/30)^0.5,1*5*(M447/30)^0.5))/EG447/EJ447</f>
        <v>14.719357433866572</v>
      </c>
      <c r="ES447" s="4">
        <f>ET447*N447</f>
        <v>35.497579142809165</v>
      </c>
      <c r="ET447" s="4">
        <f>AF447^0.5</f>
        <v>2.2360679774997898</v>
      </c>
      <c r="EU447" s="4">
        <f>MIN(EC447)/(4700*M447^0.5)/AE447*ES447</f>
        <v>5.6641966725633354E-2</v>
      </c>
      <c r="EX447" s="4">
        <f>EU447</f>
        <v>5.6641966725633354E-2</v>
      </c>
      <c r="EY447" s="4">
        <f>MIN(0.999, EX447/(0.3*(M447/30)^0.5))</f>
        <v>0.11856976034886724</v>
      </c>
      <c r="EZ447" s="4">
        <f>EP447/1*EY447^0.4</f>
        <v>6.2730453662846424</v>
      </c>
      <c r="FA447" s="4">
        <f>EP447/1.4*(1-EY447^1.4)/(1-EY447)</f>
        <v>11.325395054730361</v>
      </c>
      <c r="FB447" s="4">
        <f>MAX(0,DQ447*FB$9-ES447)</f>
        <v>41.845420857190824</v>
      </c>
      <c r="FC447" s="4">
        <f>MAX(0,DQ447-ES447-FB447)</f>
        <v>25.780999999999999</v>
      </c>
      <c r="FD447" s="4">
        <f>FC447/(1-0.3*(M447/30)^0.5)/200000/N447</f>
        <v>1.5546920012851655E-5</v>
      </c>
      <c r="FE447" s="4">
        <f>MAX(0.5*EP447, (1-2*FD447*(ES447*EZ447+FB447*FA447))/(1/EP447+FD447*FC447))</f>
        <v>14.316078265546043</v>
      </c>
      <c r="FF447" s="4">
        <f>MIN(4/N447*(1*EZ447*ES447+FA447*FB447+FC447*FE447)+EC447,MAX(J447,AJ447))</f>
        <v>530.1551780202692</v>
      </c>
      <c r="FO447" s="23">
        <f>IF(CU447&lt;0.6,0.6,IF(CU447&lt;0.8,0.8,IF(CU447&lt;1,1,IF(CU447&lt;1.2,1.2,IF(CU447&lt;1.4,1.4,IF(CU447&lt;1.6,1.6,IF(CU447&lt;1.8,1.8,IF(CU447&lt;2,2,2.2))))))))</f>
        <v>2.2000000000000002</v>
      </c>
      <c r="FP447" s="23">
        <f>IF(CV447&lt;0.6,0.6,IF(CV447&lt;0.8,0.8,IF(CV447&lt;1,1,IF(CV447&lt;1.2,1.2,IF(CV447&lt;1.4,1.4,IF(CV447&lt;1.6,1.6,IF(CV447&lt;1.8,1.8,IF(CV447&lt;2,2,2.2))))))))</f>
        <v>0.6</v>
      </c>
      <c r="FQ447" s="23">
        <f>IF(DA447&lt;0.6,0.6,IF(DA447&lt;0.8,0.8,IF(DA447&lt;1,1,IF(DA447&lt;1.2,1.2,IF(DA447&lt;1.4,1.4,IF(DA447&lt;1.6,1.6,IF(DA447&lt;1.8,1.8,IF(DA447&lt;2,2,2.2))))))))</f>
        <v>1.4</v>
      </c>
      <c r="FR447" s="23">
        <f>IF(CX447&lt;0.6,0.6,IF(CX447&lt;0.8,0.8,IF(CX447&lt;1,1,IF(CX447&lt;1.2,1.2,IF(CX447&lt;1.4,1.4,IF(CX447&lt;1.6,1.6,IF(CX447&lt;1.8,1.8,IF(CX447&lt;2,2,2.2))))))))</f>
        <v>1.8</v>
      </c>
      <c r="FS447" s="23">
        <f>IF(CY447&lt;0.6,0.6,IF(CY447&lt;0.8,0.8,IF(CY447&lt;1,1,IF(CY447&lt;1.2,1.2,IF(CY447&lt;1.4,1.4,IF(CY447&lt;1.6,1.6,IF(CY447&lt;1.8,1.8,IF(CY447&lt;2,2,2.2))))))))</f>
        <v>1.2</v>
      </c>
      <c r="FT447" s="23">
        <f>IF(CZ447&lt;0.6,0.6,IF(CZ447&lt;0.8,0.8,IF(CZ447&lt;1,1,IF(CZ447&lt;1.2,1.2,IF(CZ447&lt;1.4,1.4,IF(CZ447&lt;1.6,1.6,IF(CZ447&lt;1.8,1.8,IF(CZ447&lt;2,2,2.2))))))))</f>
        <v>0.8</v>
      </c>
      <c r="FU447" s="23">
        <f>IF(FS447&lt;1,1,0)</f>
        <v>0</v>
      </c>
      <c r="FV447" s="23"/>
      <c r="GF447" s="4">
        <f>IF(S447&gt;=2.5*25.4,1,1.25)</f>
        <v>1</v>
      </c>
      <c r="GG447" s="4">
        <f>IF(AO447&gt;1, 0.05*(18-MIN(8,(W447+N447)/N447))*(1-48000/MAX(60000,(J447*145))*(N447/25.4)^0.75*GH447), 1/12*(14-MIN(8,(W447+N447)/N447)))</f>
        <v>0.5</v>
      </c>
      <c r="GH447" s="4">
        <f>MIN(0.3, AM447^2*PI()/4*2*AP447/(N447^2*PI()/4*X447))</f>
        <v>0</v>
      </c>
      <c r="GI447" s="4">
        <f>(K447/25.4)/(N447/25.4)^1.5/0.0024*(M447*145)^0.25/GF447/GG447/145</f>
        <v>483.95015956639526</v>
      </c>
    </row>
    <row r="448" spans="1:191" ht="12" customHeight="1" x14ac:dyDescent="0.3">
      <c r="A448" s="25">
        <v>358</v>
      </c>
      <c r="B448" s="4" t="s">
        <v>605</v>
      </c>
      <c r="C448" s="4">
        <v>2016</v>
      </c>
      <c r="D448" s="4" t="s">
        <v>309</v>
      </c>
      <c r="E448" s="24" t="s">
        <v>673</v>
      </c>
      <c r="F448" s="97" t="s">
        <v>762</v>
      </c>
      <c r="G448" s="24">
        <v>1</v>
      </c>
      <c r="H448" s="7" t="s">
        <v>523</v>
      </c>
      <c r="I448" s="5">
        <f>K448/N448</f>
        <v>6.0960000000000001</v>
      </c>
      <c r="J448" s="38">
        <f>139/0.145</f>
        <v>958.62068965517244</v>
      </c>
      <c r="K448" s="76">
        <f>3.81*25.4</f>
        <v>96.774000000000001</v>
      </c>
      <c r="L448" s="4">
        <f>K448</f>
        <v>96.774000000000001</v>
      </c>
      <c r="M448" s="76">
        <f>4810/145</f>
        <v>33.172413793103445</v>
      </c>
      <c r="N448" s="38">
        <f>0.625*25.4</f>
        <v>15.875</v>
      </c>
      <c r="O448" s="7">
        <f>K448/N448</f>
        <v>6.0960000000000001</v>
      </c>
      <c r="P448" s="7">
        <f>L448/N448</f>
        <v>6.0960000000000001</v>
      </c>
      <c r="Q448" s="38">
        <f>13*25.4</f>
        <v>330.2</v>
      </c>
      <c r="R448" s="32">
        <f>S448/N448</f>
        <v>4</v>
      </c>
      <c r="S448" s="38">
        <f>2.5*25.4</f>
        <v>63.5</v>
      </c>
      <c r="T448" s="32">
        <f>U448/N448</f>
        <v>8.5599999999999987</v>
      </c>
      <c r="U448" s="39">
        <f>5.35*25.4</f>
        <v>135.88999999999999</v>
      </c>
      <c r="V448" s="32">
        <f>W448/N448</f>
        <v>10.799999999999999</v>
      </c>
      <c r="W448" s="7">
        <f>(Q448-X448*N448-2*S448)/(X448-1)</f>
        <v>171.45</v>
      </c>
      <c r="X448" s="38">
        <v>2</v>
      </c>
      <c r="Y448" s="7">
        <f>AN448</f>
        <v>4</v>
      </c>
      <c r="Z448" s="32">
        <f>AA448/N448</f>
        <v>8.4</v>
      </c>
      <c r="AA448" s="4">
        <f>5.25*25.4</f>
        <v>133.35</v>
      </c>
      <c r="AB448" s="7">
        <f>MIN(S448/N448+0.5, W448/2/N448+0.5)</f>
        <v>4.5</v>
      </c>
      <c r="AC448" s="7">
        <f>S448/N448+0.5</f>
        <v>4.5</v>
      </c>
      <c r="AD448" s="38">
        <v>4</v>
      </c>
      <c r="AE448" s="4">
        <f>AD448</f>
        <v>4</v>
      </c>
      <c r="AF448" s="4">
        <f>AE448+1</f>
        <v>5</v>
      </c>
      <c r="AG448" s="7">
        <f>N448*AF448^0.5</f>
        <v>35.497579142809165</v>
      </c>
      <c r="AJ448" s="38">
        <f>AK448/0.145</f>
        <v>437.93103448275866</v>
      </c>
      <c r="AK448" s="4">
        <v>63.5</v>
      </c>
      <c r="AL448" s="4">
        <f>CY448</f>
        <v>1.2867956956222946</v>
      </c>
      <c r="AM448" s="38">
        <f>0.375*25.4</f>
        <v>9.5249999999999986</v>
      </c>
      <c r="AN448" s="38">
        <v>4</v>
      </c>
      <c r="AO448" s="39">
        <f>3.5*25.4</f>
        <v>88.899999999999991</v>
      </c>
      <c r="AP448" s="39">
        <v>2</v>
      </c>
      <c r="AQ448" s="39">
        <f>AP448-1</f>
        <v>1</v>
      </c>
      <c r="AR448" s="7"/>
      <c r="AS448" s="4">
        <f>K448</f>
        <v>96.774000000000001</v>
      </c>
      <c r="AT448" s="4">
        <f>IF(K448*3&gt;W448+N448, Q448, (S448+N448/2)*2+1.5*K448*(2*X448-2))*(3*K448)/(9*K448^2)</f>
        <v>1.137357830271216</v>
      </c>
      <c r="AU448" s="4">
        <f>MIN(10*M448^0.5*K448^1.5,100*3.9*M448^0.5*K448^(5/3))/(PI()/4*N448^2)/X448</f>
        <v>138.50939444174517</v>
      </c>
      <c r="AV448" s="4">
        <f>MIN(0.7+0.3*(MIN(S448,AA448)+0.5*N448)/1.5/K448,1)</f>
        <v>0.84763779527559047</v>
      </c>
      <c r="AW448" s="4">
        <v>1.25</v>
      </c>
      <c r="AX448" s="4">
        <f>AX447</f>
        <v>1</v>
      </c>
      <c r="AY448" s="38">
        <f>AT448*AV448*AW448*AX448*AU448</f>
        <v>166.91550420868916</v>
      </c>
      <c r="AZ448" s="38">
        <f>AY448</f>
        <v>166.91550420868916</v>
      </c>
      <c r="BA448" s="38">
        <f>IF(M448&lt;50, 0.3*M448^(2/3), 2.12*LN(1+0.1*(M448+8)))</f>
        <v>3.0972241539071201</v>
      </c>
      <c r="BB448" s="38">
        <f>AX448* (M448^0.5/AS448^0.5)/(PI()/4*N448^2)/X448/0.72 *(0.7+(MIN(S448,AA448)+0.5*N448)/5/K448) *(3*Q448*K448)</f>
        <v>166.91550420868933</v>
      </c>
      <c r="BC448" s="38">
        <f>AY448/BB448</f>
        <v>0.999999999999999</v>
      </c>
      <c r="BD448" s="38">
        <f>BH448/BB448</f>
        <v>3.5772797206982156</v>
      </c>
      <c r="BE448" s="4">
        <f>IF(BD448&lt;1,1,0)</f>
        <v>0</v>
      </c>
      <c r="BF448" s="4">
        <f>L448/N448*M448^0.5/0.19</f>
        <v>184.79060802593693</v>
      </c>
      <c r="BG448" s="4">
        <f>MIN(0.6+0.4*(AC448/AB448),2)</f>
        <v>1</v>
      </c>
      <c r="BH448" s="38">
        <f>2*M448*AB448*AD448^0.5*BG448*0.7/0.7</f>
        <v>597.10344827586198</v>
      </c>
      <c r="BI448" s="4">
        <f>MAX(1-0.7*AE448/5,0.3)</f>
        <v>0.44000000000000006</v>
      </c>
      <c r="BJ448" s="4">
        <f>BI448*J448*L448/(J448*N448/2.75/M448^0.5)</f>
        <v>42.483360785162901</v>
      </c>
      <c r="BK448" s="4">
        <f>BH448+BJ448</f>
        <v>639.58680906102484</v>
      </c>
      <c r="BM448" s="4">
        <f>MIN(1.5, 0.75+0.25*MIN(3,MAX(1,S448/N448))+0.4*MIN(1,(40*2*PI()*AM448^2/4/AO448/X448)/N448))</f>
        <v>1.5</v>
      </c>
      <c r="BN448" s="4">
        <f>(3*P448+30)*BM448*M448^0.5</f>
        <v>417.17571044973516</v>
      </c>
      <c r="BP448" s="4">
        <f>3.4/PI()^0.5*M448*AB448*AE448^0.5*BG448</f>
        <v>572.6952278900693</v>
      </c>
      <c r="BQ448" s="4">
        <f>8/3*AH448*AI448^2/(AG448-N448-22)/N448*(AG448^2-N448^2)/(AG448^2-(N448+22)^2)</f>
        <v>0</v>
      </c>
      <c r="BR448" s="4">
        <f>BQ448/BP448</f>
        <v>0</v>
      </c>
      <c r="BZ448" s="4">
        <f>IF(W448=0,S448,MIN(W448/2,S448))</f>
        <v>63.5</v>
      </c>
      <c r="CD448" s="9"/>
      <c r="CF448" s="9"/>
      <c r="CG448" s="9"/>
      <c r="CH448" s="9">
        <f>IF(W448=0,MIN(S448,U448),MIN(W448/2,S448,U448))</f>
        <v>63.5</v>
      </c>
      <c r="CI448" s="9">
        <f>MAX(W448/2,S448)</f>
        <v>85.724999999999994</v>
      </c>
      <c r="CJ448" s="9">
        <f>(CH448/N448)^0.5*(CI448/CH448)^0.15</f>
        <v>2.0920885420600022</v>
      </c>
      <c r="CK448" s="70">
        <f>IF(AO448&gt;1,20,0)</f>
        <v>20</v>
      </c>
      <c r="CL448" s="9">
        <f>MIN(PI()*AM448^2/4*AN448*2/X448/N448/MAX(0.01,AO448),0.05)</f>
        <v>0.05</v>
      </c>
      <c r="CM448" s="9">
        <f>MAX(0,CK448*(CL448-0.5/50))</f>
        <v>0.8</v>
      </c>
      <c r="CN448" s="9">
        <f>MIN(1,(25/N448)^0.3)</f>
        <v>1</v>
      </c>
      <c r="CO448" s="9">
        <f>IF(J448&gt;=800,0.68,IF(J448&gt;=700,0.75-(J448-700)*0.07/100,IF(J448&gt;=600,0.85-(J448-600)*0.1/100,IF(J448&gt;=500,1-(J448-500)*0.15/100,1.2-(J448-400)*0.2/100))))</f>
        <v>0.68</v>
      </c>
      <c r="CP448" s="9">
        <f>1.75*CN448*CO448*(M448/25)^0.5</f>
        <v>1.3707728502186465</v>
      </c>
      <c r="CQ448" s="9">
        <f>MIN((CJ448+CM448)*CP448,2.5*CP448,M448^0.5)</f>
        <v>3.4269321255466161</v>
      </c>
      <c r="CR448" s="40">
        <v>1</v>
      </c>
      <c r="CS448" s="9">
        <f>4*CQ448*P448+60*CQ448</f>
        <v>289.17824048212566</v>
      </c>
      <c r="CU448" s="4">
        <f>AJ448/BF448</f>
        <v>2.3698771228746178</v>
      </c>
      <c r="CV448" s="4">
        <f>AJ448/BK448</f>
        <v>0.68470929712525452</v>
      </c>
      <c r="CW448" s="4">
        <f>AJ448/BN448</f>
        <v>1.0497519954137509</v>
      </c>
      <c r="CX448" s="4">
        <f>AJ448/CS448</f>
        <v>1.5143982955032453</v>
      </c>
      <c r="CY448" s="4">
        <f>AJ448/DZ448</f>
        <v>1.2867956956222946</v>
      </c>
      <c r="CZ448" s="4">
        <f>AJ448/EL448</f>
        <v>0.74462905197182427</v>
      </c>
      <c r="DA448" s="4">
        <f>AJ448/GI448</f>
        <v>1.1002142240916057</v>
      </c>
      <c r="DB448" s="4">
        <f>AN448</f>
        <v>4</v>
      </c>
      <c r="DI448" s="4">
        <f>CU448</f>
        <v>2.3698771228746178</v>
      </c>
      <c r="DJ448" s="4">
        <f>CV448</f>
        <v>0.68470929712525452</v>
      </c>
      <c r="DK448" s="4">
        <f>CX448</f>
        <v>1.5143982955032453</v>
      </c>
      <c r="DL448" s="4">
        <f>DA448</f>
        <v>1.1002142240916057</v>
      </c>
      <c r="DM448" s="4">
        <f>CY448</f>
        <v>1.2867956956222946</v>
      </c>
      <c r="DN448" s="4">
        <f>CZ448</f>
        <v>0.74462905197182427</v>
      </c>
      <c r="DQ448" s="4">
        <f>L448</f>
        <v>96.774000000000001</v>
      </c>
      <c r="DT448" s="4">
        <f>K448/4/(1-0.3*(M448/30)^0.5)/200000/N448</f>
        <v>1.113162027176162E-5</v>
      </c>
      <c r="DU448" s="4">
        <f>EP448</f>
        <v>9.7201649178311715</v>
      </c>
      <c r="DV448" s="4">
        <f>EC448*AG448/257/M448/AD448</f>
        <v>0.17375016513048927</v>
      </c>
      <c r="DW448" s="4">
        <f>DU448*DV448^0.4</f>
        <v>4.8266268431407626</v>
      </c>
      <c r="DX448" s="4">
        <f>MIN(DU448, DU448/1.4*(1-DV448^1.4)/(1-DV448))</f>
        <v>7.6780112226803219</v>
      </c>
      <c r="DY448" s="4">
        <f>MAX(DU448/2, (4-DT448*(8*AG448*(DW448-DX448)+6*K448*DX448))/(4+DT448*K448*DU448)*DU448)</f>
        <v>9.596352179500176</v>
      </c>
      <c r="DZ448" s="38">
        <f>MIN(1/N448*(4*AG448*(DW448-DX448)+(3*DX448+DY448)*K448)+EC448 -FJ448,MAX(J448,AJ448))</f>
        <v>340.32677912477408</v>
      </c>
      <c r="EA448" s="4">
        <f>DZ448/FF448</f>
        <v>1.0001116236225063</v>
      </c>
      <c r="EB448" s="4">
        <f>AG448/N448</f>
        <v>2.2360679774997898</v>
      </c>
      <c r="EC448" s="4">
        <f>MIN(EB$10*BB448)</f>
        <v>166.91550420868933</v>
      </c>
      <c r="EG448" s="4">
        <f>IF(U448&gt;1*N448,0.85,1)</f>
        <v>0.85</v>
      </c>
      <c r="EH448" s="4">
        <f>MIN(1,MAX(0.7,(1-0.1*(BZ448-1*N448)/N448)))</f>
        <v>0.7</v>
      </c>
      <c r="EI448" s="4">
        <f>MIN(1,MAX(0.7,1-0.3*(PI()*AM448^2/4*AQ448*2-0.25*PI()/4*N448^2)/(PI()/4*N448^2)))</f>
        <v>0.85899999999999999</v>
      </c>
      <c r="EJ448" s="4">
        <f>IF(EH448*EI448&lt;0.7,0.7,EH448*EI448)</f>
        <v>0.7</v>
      </c>
      <c r="EL448" s="4">
        <f>MIN(DU448/N448*3*K448+EM448-FJ448,MAX(J448,AJ448))</f>
        <v>588.11972662507583</v>
      </c>
      <c r="EM448" s="25">
        <f>13.3*Q448*K448^0.5*M448^0.5/X448/N448^2*(0.7+S448/5/K448)</f>
        <v>410.35735060777938</v>
      </c>
      <c r="EO448" s="4">
        <f>EG448*EJ448</f>
        <v>0.59499999999999997</v>
      </c>
      <c r="EP448" s="4">
        <f>IF(N448&lt;22.2,1.1*5*(M448/30)^0.5,IF(N448&gt;=31.8,0.9*5*(M448/30)^0.5,1*5*(M448/30)^0.5))/EG448/EJ448</f>
        <v>9.7201649178311715</v>
      </c>
      <c r="ES448" s="4">
        <f>ET448*N448</f>
        <v>35.497579142809165</v>
      </c>
      <c r="ET448" s="4">
        <f>AF448^0.5</f>
        <v>2.2360679774997898</v>
      </c>
      <c r="EU448" s="4">
        <f>MIN(EC448)/(4700*M448^0.5)/AE448*ES448</f>
        <v>5.4720370404115398E-2</v>
      </c>
      <c r="EX448" s="4">
        <f>EU448</f>
        <v>5.4720370404115398E-2</v>
      </c>
      <c r="EY448" s="4">
        <f>MIN(0.999, EX448/(0.3*(M448/30)^0.5))</f>
        <v>0.17346020848751526</v>
      </c>
      <c r="EZ448" s="4">
        <f>EP448/1*EY448^0.4</f>
        <v>4.8234033324241494</v>
      </c>
      <c r="FA448" s="4">
        <f>EP448/1.4*(1-EY448^1.4)/(1-EY448)</f>
        <v>7.6770103693492029</v>
      </c>
      <c r="FB448" s="4">
        <f>MAX(0,DQ448*FB$9-ES448)</f>
        <v>37.082920857190835</v>
      </c>
      <c r="FC448" s="4">
        <f>MAX(0,DQ448-ES448-FB448)</f>
        <v>24.1935</v>
      </c>
      <c r="FD448" s="4">
        <f>FC448/(1-0.3*(M448/30)^0.5)/200000/N448</f>
        <v>1.113162027176162E-5</v>
      </c>
      <c r="FE448" s="4">
        <f>MAX(0.5*EP448, (1-2*FD448*(ES448*EZ448+FB448*FA448))/(1/EP448+FD448*FC448))</f>
        <v>9.5963848877937981</v>
      </c>
      <c r="FF448" s="4">
        <f>MIN(4/N448*(1*EZ448*ES448+FA448*FB448+FC448*FE448)+EC448,MAX(J448,AJ448))</f>
        <v>340.28879485679386</v>
      </c>
      <c r="FO448" s="23">
        <f>IF(CU448&lt;0.6,0.6,IF(CU448&lt;0.8,0.8,IF(CU448&lt;1,1,IF(CU448&lt;1.2,1.2,IF(CU448&lt;1.4,1.4,IF(CU448&lt;1.6,1.6,IF(CU448&lt;1.8,1.8,IF(CU448&lt;2,2,2.2))))))))</f>
        <v>2.2000000000000002</v>
      </c>
      <c r="FP448" s="23">
        <f>IF(CV448&lt;0.6,0.6,IF(CV448&lt;0.8,0.8,IF(CV448&lt;1,1,IF(CV448&lt;1.2,1.2,IF(CV448&lt;1.4,1.4,IF(CV448&lt;1.6,1.6,IF(CV448&lt;1.8,1.8,IF(CV448&lt;2,2,2.2))))))))</f>
        <v>0.8</v>
      </c>
      <c r="FQ448" s="23">
        <f>IF(DA448&lt;0.6,0.6,IF(DA448&lt;0.8,0.8,IF(DA448&lt;1,1,IF(DA448&lt;1.2,1.2,IF(DA448&lt;1.4,1.4,IF(DA448&lt;1.6,1.6,IF(DA448&lt;1.8,1.8,IF(DA448&lt;2,2,2.2))))))))</f>
        <v>1.2</v>
      </c>
      <c r="FR448" s="23">
        <f>IF(CX448&lt;0.6,0.6,IF(CX448&lt;0.8,0.8,IF(CX448&lt;1,1,IF(CX448&lt;1.2,1.2,IF(CX448&lt;1.4,1.4,IF(CX448&lt;1.6,1.6,IF(CX448&lt;1.8,1.8,IF(CX448&lt;2,2,2.2))))))))</f>
        <v>1.6</v>
      </c>
      <c r="FS448" s="23">
        <f>IF(CY448&lt;0.6,0.6,IF(CY448&lt;0.8,0.8,IF(CY448&lt;1,1,IF(CY448&lt;1.2,1.2,IF(CY448&lt;1.4,1.4,IF(CY448&lt;1.6,1.6,IF(CY448&lt;1.8,1.8,IF(CY448&lt;2,2,2.2))))))))</f>
        <v>1.4</v>
      </c>
      <c r="FT448" s="23">
        <f>IF(CZ448&lt;0.6,0.6,IF(CZ448&lt;0.8,0.8,IF(CZ448&lt;1,1,IF(CZ448&lt;1.2,1.2,IF(CZ448&lt;1.4,1.4,IF(CZ448&lt;1.6,1.6,IF(CZ448&lt;1.8,1.8,IF(CZ448&lt;2,2,2.2))))))))</f>
        <v>0.8</v>
      </c>
      <c r="FU448" s="23">
        <f>IF(FS448&lt;1,1,0)</f>
        <v>0</v>
      </c>
      <c r="FV448" s="23"/>
      <c r="GF448" s="4">
        <f>IF(S448&gt;=2.5*25.4,1,1.25)</f>
        <v>1</v>
      </c>
      <c r="GG448" s="4">
        <f>IF(AO448&gt;1, 0.05*(18-MIN(8,(W448+N448)/N448))*(1-48000/MAX(60000,(J448*145))*(N448/25.4)^0.75*GH448), 1/12*(14-MIN(8,(W448+N448)/N448)))</f>
        <v>0.46358941059918601</v>
      </c>
      <c r="GH448" s="4">
        <f>MIN(0.3, AM448^2*PI()/4*2*AP448/(N448^2*PI()/4*X448))</f>
        <v>0.3</v>
      </c>
      <c r="GI448" s="4">
        <f>(K448/25.4)/(N448/25.4)^1.5/0.0024*(M448*145)^0.25/GF448/GG448/145</f>
        <v>398.04160398338547</v>
      </c>
    </row>
    <row r="449" spans="1:196" ht="12" customHeight="1" x14ac:dyDescent="0.3">
      <c r="A449" s="25">
        <v>178</v>
      </c>
      <c r="B449" s="24" t="s">
        <v>128</v>
      </c>
      <c r="C449" s="24">
        <v>2017</v>
      </c>
      <c r="D449" s="24" t="s">
        <v>309</v>
      </c>
      <c r="E449" s="24"/>
      <c r="F449" s="115" t="s">
        <v>792</v>
      </c>
      <c r="G449" s="109" t="s">
        <v>785</v>
      </c>
      <c r="H449" s="4" t="s">
        <v>153</v>
      </c>
      <c r="I449" s="5">
        <f>K449/N449</f>
        <v>4</v>
      </c>
      <c r="J449" s="86">
        <v>679</v>
      </c>
      <c r="K449" s="84">
        <f>4*N449</f>
        <v>88.8</v>
      </c>
      <c r="L449" s="7">
        <f>K449</f>
        <v>88.8</v>
      </c>
      <c r="M449" s="10">
        <v>129.9</v>
      </c>
      <c r="N449" s="80">
        <v>22.2</v>
      </c>
      <c r="O449" s="7">
        <f>K449/N449</f>
        <v>4</v>
      </c>
      <c r="P449" s="7">
        <f>L449/N449</f>
        <v>4</v>
      </c>
      <c r="Q449" s="7">
        <v>366</v>
      </c>
      <c r="R449" s="32">
        <f>S449/N449</f>
        <v>1</v>
      </c>
      <c r="S449" s="7">
        <f>1*N449</f>
        <v>22.2</v>
      </c>
      <c r="T449" s="32">
        <f>U449/N449</f>
        <v>1.3153153153153154</v>
      </c>
      <c r="U449" s="7">
        <f>118-L449</f>
        <v>29.200000000000003</v>
      </c>
      <c r="V449" s="32">
        <f>W449/N449</f>
        <v>12.48648648648649</v>
      </c>
      <c r="W449" s="7">
        <f>Q449-2*N449-2*S449</f>
        <v>277.20000000000005</v>
      </c>
      <c r="X449" s="7">
        <v>2</v>
      </c>
      <c r="Y449" s="7">
        <f>AN449</f>
        <v>0</v>
      </c>
      <c r="Z449" s="32">
        <f>AA449/N449</f>
        <v>2.6666666666666665</v>
      </c>
      <c r="AA449" s="10">
        <f>2/3*K449</f>
        <v>59.199999999999996</v>
      </c>
      <c r="AB449" s="7">
        <f>MIN(S449/N449+0.5, W449/2/N449+0.5)</f>
        <v>1.5</v>
      </c>
      <c r="AC449" s="7">
        <f>S449/N449+0.5</f>
        <v>1.5</v>
      </c>
      <c r="AD449" s="7">
        <f>2040/510</f>
        <v>4</v>
      </c>
      <c r="AE449" s="7">
        <f>2040/510</f>
        <v>4</v>
      </c>
      <c r="AF449" s="7">
        <f>AE449+1</f>
        <v>5</v>
      </c>
      <c r="AG449" s="7">
        <f>N449*AF449^0.5</f>
        <v>49.640709100495329</v>
      </c>
      <c r="AH449" s="7">
        <f>J449</f>
        <v>679</v>
      </c>
      <c r="AI449" s="7">
        <v>8</v>
      </c>
      <c r="AJ449" s="7">
        <f>(678+662)/2</f>
        <v>670</v>
      </c>
      <c r="AK449" s="7"/>
      <c r="AL449" s="4">
        <f>CY449</f>
        <v>2.4281246243137233</v>
      </c>
      <c r="AM449" s="7">
        <v>0</v>
      </c>
      <c r="AN449" s="7">
        <v>0</v>
      </c>
      <c r="AO449" s="7">
        <f>L449</f>
        <v>88.8</v>
      </c>
      <c r="AP449" s="7"/>
      <c r="AQ449" s="7"/>
      <c r="AR449" s="7">
        <f>3*AS449/(W449+N449)</f>
        <v>0.88977955911823625</v>
      </c>
      <c r="AS449" s="4">
        <f>K449</f>
        <v>88.8</v>
      </c>
      <c r="AT449" s="4">
        <f>IF(K449*3&gt;W449+N449, Q449, (S449+N449/2)*2+1.5*K449*(2*X449-2))*(3*K449)/(9*K449^2)</f>
        <v>1.25</v>
      </c>
      <c r="AU449" s="4">
        <f>MIN(10*M449^0.5*K449^1.5,100*3.9*M449^0.5*K449^(5/3))/(PI()/4*N449^2)/X449</f>
        <v>123.19645135939774</v>
      </c>
      <c r="AV449" s="4">
        <f>MIN(0.7+0.3*(MIN(S449,AA449)+0.5*N449)/1.5/K449,1)</f>
        <v>0.77499999999999991</v>
      </c>
      <c r="AW449" s="4">
        <v>1.25</v>
      </c>
      <c r="AX449" s="47">
        <f>AX448</f>
        <v>1</v>
      </c>
      <c r="AY449" s="38">
        <f>AT449*AV449*AW449*AX449*AU449</f>
        <v>149.18320281802067</v>
      </c>
      <c r="AZ449" s="38">
        <f>AY449</f>
        <v>149.18320281802067</v>
      </c>
      <c r="BA449" s="38">
        <f>IF(M449&lt;50, 0.3*M449^(2/3), 2.12*LN(1+0.1*(M449+8)))</f>
        <v>5.7111767066521422</v>
      </c>
      <c r="BB449" s="38">
        <f>AX449* (M449^0.5/AS449^0.5)/(PI()/4*N449^2)/X449/0.72 *(0.7+(MIN(S449,AA449)+0.5*N449)/5/K449) *(3*Q449*K449)</f>
        <v>163.96712381800475</v>
      </c>
      <c r="BC449" s="38">
        <f>AY449/BB449</f>
        <v>0.90983606557377028</v>
      </c>
      <c r="BD449" s="38">
        <f>BH449/BB449</f>
        <v>4.7533919108387535</v>
      </c>
      <c r="BE449" s="4">
        <f>IF(BD449&lt;1,1,0)</f>
        <v>0</v>
      </c>
      <c r="BF449" s="4">
        <f>L449/N449*M449^0.5/0.19</f>
        <v>239.94459194200661</v>
      </c>
      <c r="BG449" s="4">
        <f>MIN(0.6+0.4*(AC449/AB449),2)</f>
        <v>1</v>
      </c>
      <c r="BH449" s="38">
        <f>2*M449*AB449*AD449^0.5*BG449*0.7/0.7</f>
        <v>779.40000000000009</v>
      </c>
      <c r="BI449" s="4">
        <f>MAX(1-0.7*AE449/5,0.3)</f>
        <v>0.44000000000000006</v>
      </c>
      <c r="BJ449" s="4">
        <f>BI449*J449*L449/(J449*N449/2.75/M449^0.5)</f>
        <v>55.163261687467326</v>
      </c>
      <c r="BK449" s="4">
        <f>BH449+BJ449</f>
        <v>834.56326168746739</v>
      </c>
      <c r="BM449" s="4">
        <f>MIN(1.5, 0.75+0.25*MIN(3,MAX(1,S449/N449))+0.4*MIN(1,(40*2*PI()*AM449^2/4/AO449/X449)/N449))</f>
        <v>1</v>
      </c>
      <c r="BN449" s="4">
        <f>(3*P449+30)*BM449*M449^0.5</f>
        <v>478.68946092430321</v>
      </c>
      <c r="BP449" s="4">
        <f>3.4/PI()^0.5*M449*AB449*AE449^0.5*BG449</f>
        <v>747.53991440910613</v>
      </c>
      <c r="BQ449" s="4">
        <f>8/3*AH449*AI449^2/(AG449-N449-22)/N449*(AG449^2-N449^2)/(AG449^2-(N449+22)^2)</f>
        <v>3704.4961984911101</v>
      </c>
      <c r="BR449" s="4">
        <f>BQ449/BP449</f>
        <v>4.9555831429005819</v>
      </c>
      <c r="BZ449" s="4">
        <f>IF(W449=0,S449,MIN(W449/2,S449))</f>
        <v>22.2</v>
      </c>
      <c r="CD449" s="9"/>
      <c r="CF449" s="9"/>
      <c r="CG449" s="9"/>
      <c r="CH449" s="9">
        <f>IF(W449=0,MIN(S449,U449),MIN(W449/2,S449,U449))</f>
        <v>22.2</v>
      </c>
      <c r="CI449" s="9">
        <f>MAX(W449/2,S449)</f>
        <v>138.60000000000002</v>
      </c>
      <c r="CJ449" s="9">
        <f>(CH449/N449)^0.5*(CI449/CH449)^0.15</f>
        <v>1.3161686388047049</v>
      </c>
      <c r="CK449" s="70">
        <v>0</v>
      </c>
      <c r="CL449" s="9">
        <f>MIN(PI()*AM449^2/4*AN449*2/X449/N449/MAX(0.01,AO449),0.05)</f>
        <v>0</v>
      </c>
      <c r="CM449" s="9">
        <f>MAX(0,CK449*(CL449-0.5/50))</f>
        <v>0</v>
      </c>
      <c r="CN449" s="9">
        <f>MIN(1,(25/N449)^0.3)</f>
        <v>1</v>
      </c>
      <c r="CO449" s="9">
        <f>IF(J449&gt;=800,0.68,IF(J449&gt;=700,0.75-(J449-700)*0.07/100,IF(J449&gt;=600,0.85-(J449-600)*0.1/100,IF(J449&gt;=500,1-(J449-500)*0.15/100,1.2-(J449-400)*0.2/100))))</f>
        <v>0.77100000000000002</v>
      </c>
      <c r="CP449" s="9">
        <f>1.75*CN449*CO449*(M449/25)^0.5</f>
        <v>3.0755797864386483</v>
      </c>
      <c r="CQ449" s="9">
        <f>MIN((CJ449+CM449)*CP449,2.5*CP449,M449^0.5)</f>
        <v>4.047981661052221</v>
      </c>
      <c r="CR449" s="9">
        <v>1</v>
      </c>
      <c r="CS449" s="9">
        <f>4*CQ449*P449+60*CQ449</f>
        <v>307.64660623996883</v>
      </c>
      <c r="CU449" s="4">
        <f>AJ449/BF449</f>
        <v>2.7923113189478994</v>
      </c>
      <c r="CV449" s="4">
        <f>AJ449/BK449</f>
        <v>0.80281511391392391</v>
      </c>
      <c r="CW449" s="4">
        <f>AJ449/BN449</f>
        <v>1.3996547964651125</v>
      </c>
      <c r="CX449" s="4">
        <f>AJ449/CS449</f>
        <v>2.1778234715106537</v>
      </c>
      <c r="CY449" s="44">
        <f>AJ449/DZ449</f>
        <v>2.4281246243137233</v>
      </c>
      <c r="CZ449" s="4">
        <f>AJ449/EL449</f>
        <v>0.98674521354933731</v>
      </c>
      <c r="DA449" s="4">
        <f>AJ449/GI449</f>
        <v>2.9072970877236819</v>
      </c>
      <c r="DC449" s="4">
        <f>CU449</f>
        <v>2.7923113189478994</v>
      </c>
      <c r="DD449" s="4">
        <f>CV449</f>
        <v>0.80281511391392391</v>
      </c>
      <c r="DE449" s="4">
        <f>CX449</f>
        <v>2.1778234715106537</v>
      </c>
      <c r="DF449" s="4">
        <f>DA449</f>
        <v>2.9072970877236819</v>
      </c>
      <c r="DG449" s="4">
        <f>CY449</f>
        <v>2.4281246243137233</v>
      </c>
      <c r="DH449" s="4">
        <f>CZ449</f>
        <v>0.98674521354933731</v>
      </c>
      <c r="DP449" s="4">
        <f>AN449</f>
        <v>0</v>
      </c>
      <c r="DQ449" s="4">
        <f>L449</f>
        <v>88.8</v>
      </c>
      <c r="DT449" s="4">
        <f>K449/4/(1-0.3*(M449/30)^0.5)/200000/N449</f>
        <v>1.3307058507295954E-5</v>
      </c>
      <c r="DU449" s="4">
        <f>EP449</f>
        <v>12.240383556873418</v>
      </c>
      <c r="DV449" s="4">
        <f>EC449*AG449/257/M449/AD449</f>
        <v>6.0952635636320612E-2</v>
      </c>
      <c r="DW449" s="4">
        <f>DU449*DV449^0.4</f>
        <v>3.9975326783217482</v>
      </c>
      <c r="DX449" s="4">
        <f>MIN(DU449, DU449/1.4*(1-DV449^1.4)/(1-DV449))</f>
        <v>9.125299181882399</v>
      </c>
      <c r="DY449" s="4">
        <f>MAX(DU449/2, (4-DT449*(8*AG449*(DW449-DX449)+6*K449*DX449))/(4+DT449*K449*DU449)*DU449)</f>
        <v>12.081635631114194</v>
      </c>
      <c r="DZ449" s="38">
        <f>MIN(1/N449*(4*AG449*(DW449-DX449)+(3*DX449+DY449)*K449)+EC449 -FJ449,MAX(J449,AJ449))</f>
        <v>275.93311862621817</v>
      </c>
      <c r="EA449" s="4">
        <f>DZ449/FF449</f>
        <v>1.0000920328904122</v>
      </c>
      <c r="EB449" s="4">
        <f>AG449/N449</f>
        <v>2.2360679774997898</v>
      </c>
      <c r="EC449" s="4">
        <f>MIN(EB$10*BB449)</f>
        <v>163.96712381800475</v>
      </c>
      <c r="EG449" s="4">
        <f>IF(U449&gt;1*N449,0.85,1)</f>
        <v>0.85</v>
      </c>
      <c r="EH449" s="4">
        <f>MIN(1,MAX(0.7,(1-0.1*(BZ449-1*N449)/N449)))</f>
        <v>1</v>
      </c>
      <c r="EI449" s="4">
        <f>MIN(1,MAX(0.7,1-0.3*(PI()*AM449^2/4*AQ449*2-0.25*PI()/4*N449^2)/(PI()/4*N449^2)))</f>
        <v>1</v>
      </c>
      <c r="EJ449" s="4">
        <f>IF(EH449*EI449&lt;0.7,0.7,EH449*EI449)</f>
        <v>1</v>
      </c>
      <c r="EL449" s="4">
        <f>MIN(DU449/N449*3*K449+EM449-FJ449,MAX(J449,AJ449))</f>
        <v>679</v>
      </c>
      <c r="EM449" s="25">
        <f>26.5*Q449*K449^0.5*M449^0.5/X449/N449^2*(0.7+S449/5/K449)</f>
        <v>792.6169156169592</v>
      </c>
      <c r="EP449" s="4">
        <f>IF(N449&lt;22.2,1.1*5*(M449/30)^0.5,IF(N449&gt;=31.8,0.9*5*(M449/30)^0.5,1*5*(M449/30)^0.5))/EG449/EJ449</f>
        <v>12.240383556873418</v>
      </c>
      <c r="ES449" s="4">
        <f>ET449*N449</f>
        <v>49.640709100495329</v>
      </c>
      <c r="ET449" s="4">
        <f>AF449^0.5</f>
        <v>2.2360679774997898</v>
      </c>
      <c r="EU449" s="4">
        <f>MIN(EC449)/(4700*M449^0.5)/AE449*ES449</f>
        <v>3.7986766786874911E-2</v>
      </c>
      <c r="EX449" s="4">
        <f>EU449</f>
        <v>3.7986766786874911E-2</v>
      </c>
      <c r="EY449" s="4">
        <f>MIN(0.999, EX449/(0.3*(M449/30)^0.5))</f>
        <v>6.0850917047470615E-2</v>
      </c>
      <c r="EZ449" s="4">
        <f>EP449/1*EY449^0.4</f>
        <v>3.9948628863847779</v>
      </c>
      <c r="FA449" s="4">
        <f>EP449/1.4*(1-EY449^1.4)/(1-EY449)</f>
        <v>9.1247436524747467</v>
      </c>
      <c r="FB449" s="4">
        <f>MAX(0,DQ449*FB$9-ES449)</f>
        <v>16.959290899504666</v>
      </c>
      <c r="FC449" s="4">
        <f>MAX(0,DQ449-ES449-FB449)</f>
        <v>22.200000000000003</v>
      </c>
      <c r="FD449" s="4">
        <f>FC449/(1-0.3*(M449/30)^0.5)/200000/N449</f>
        <v>1.3307058507295955E-5</v>
      </c>
      <c r="FE449" s="4">
        <f>MAX(0.5*EP449, (1-2*FD449*(ES449*EZ449+FB449*FA449))/(1/EP449+FD449*FC449))</f>
        <v>12.081681707696337</v>
      </c>
      <c r="FF449" s="4">
        <f>MIN(4/N449*(1*EZ449*ES449+FA449*FB449+FC449*FE449)+EC449,MAX(J449,AJ449))</f>
        <v>275.90772604070361</v>
      </c>
      <c r="FO449" s="23">
        <f>IF(CU449&lt;0.6,0.6,IF(CU449&lt;0.8,0.8,IF(CU449&lt;1,1,IF(CU449&lt;1.2,1.2,IF(CU449&lt;1.4,1.4,IF(CU449&lt;1.6,1.6,IF(CU449&lt;1.8,1.8,IF(CU449&lt;2,2,2.2))))))))</f>
        <v>2.2000000000000002</v>
      </c>
      <c r="FP449" s="23">
        <f>IF(CV449&lt;0.6,0.6,IF(CV449&lt;0.8,0.8,IF(CV449&lt;1,1,IF(CV449&lt;1.2,1.2,IF(CV449&lt;1.4,1.4,IF(CV449&lt;1.6,1.6,IF(CV449&lt;1.8,1.8,IF(CV449&lt;2,2,2.2))))))))</f>
        <v>1</v>
      </c>
      <c r="FQ449" s="23">
        <f>IF(DA449&lt;0.6,0.6,IF(DA449&lt;0.8,0.8,IF(DA449&lt;1,1,IF(DA449&lt;1.2,1.2,IF(DA449&lt;1.4,1.4,IF(DA449&lt;1.6,1.6,IF(DA449&lt;1.8,1.8,IF(DA449&lt;2,2,2.2))))))))</f>
        <v>2.2000000000000002</v>
      </c>
      <c r="FR449" s="23">
        <f>IF(CX449&lt;0.6,0.6,IF(CX449&lt;0.8,0.8,IF(CX449&lt;1,1,IF(CX449&lt;1.2,1.2,IF(CX449&lt;1.4,1.4,IF(CX449&lt;1.6,1.6,IF(CX449&lt;1.8,1.8,IF(CX449&lt;2,2,2.2))))))))</f>
        <v>2.2000000000000002</v>
      </c>
      <c r="FS449" s="23">
        <f>IF(CY449&lt;0.6,0.6,IF(CY449&lt;0.8,0.8,IF(CY449&lt;1,1,IF(CY449&lt;1.2,1.2,IF(CY449&lt;1.4,1.4,IF(CY449&lt;1.6,1.6,IF(CY449&lt;1.8,1.8,IF(CY449&lt;2,2,2.2))))))))</f>
        <v>2.2000000000000002</v>
      </c>
      <c r="FT449" s="23">
        <f>IF(CZ449&lt;0.6,0.6,IF(CZ449&lt;0.8,0.8,IF(CZ449&lt;1,1,IF(CZ449&lt;1.2,1.2,IF(CZ449&lt;1.4,1.4,IF(CZ449&lt;1.6,1.6,IF(CZ449&lt;1.8,1.8,IF(CZ449&lt;2,2,2.2))))))))</f>
        <v>1</v>
      </c>
      <c r="FU449" s="23">
        <f>IF(FS449&lt;1,1,0)</f>
        <v>0</v>
      </c>
      <c r="FV449" s="23"/>
      <c r="GF449" s="4">
        <f>IF(S449&gt;=2.5*25.4,1,1.25)</f>
        <v>1.25</v>
      </c>
      <c r="GG449" s="4">
        <f>IF(AO449&gt;1, 0.05*(18-MIN(8,(W449+N449)/N449))*(1-48000/MAX(60000,(J449*145))*(N449/25.4)^0.75*GH449), 1/12*(14-MIN(8,(W449+N449)/N449)))</f>
        <v>0.5</v>
      </c>
      <c r="GH449" s="4">
        <f>MIN(0.3, AM449^2*PI()/4*2*AP449/(N449^2*PI()/4*X449))</f>
        <v>0</v>
      </c>
      <c r="GI449" s="4">
        <f>(K449/25.4)/(N449/25.4)^1.5/0.0024*(M449*145)^0.25/GF449/GG449/145</f>
        <v>230.4546043227347</v>
      </c>
    </row>
    <row r="450" spans="1:196" ht="12" customHeight="1" x14ac:dyDescent="0.3">
      <c r="A450" s="25">
        <v>179</v>
      </c>
      <c r="B450" s="24" t="s">
        <v>128</v>
      </c>
      <c r="C450" s="24">
        <v>2017</v>
      </c>
      <c r="D450" s="24" t="s">
        <v>309</v>
      </c>
      <c r="E450" s="24"/>
      <c r="F450" s="115" t="s">
        <v>792</v>
      </c>
      <c r="G450" s="109" t="s">
        <v>785</v>
      </c>
      <c r="H450" s="4" t="s">
        <v>311</v>
      </c>
      <c r="I450" s="5">
        <f>K450/N450</f>
        <v>4</v>
      </c>
      <c r="J450" s="86">
        <v>679</v>
      </c>
      <c r="K450" s="84">
        <f>4*N450</f>
        <v>88.8</v>
      </c>
      <c r="L450" s="7">
        <f>K450</f>
        <v>88.8</v>
      </c>
      <c r="M450" s="10">
        <v>129.9</v>
      </c>
      <c r="N450" s="80">
        <v>22.2</v>
      </c>
      <c r="O450" s="7">
        <f>K450/N450</f>
        <v>4</v>
      </c>
      <c r="P450" s="7">
        <f>L450/N450</f>
        <v>4</v>
      </c>
      <c r="Q450" s="7">
        <v>366</v>
      </c>
      <c r="R450" s="32">
        <f>S450/N450</f>
        <v>1</v>
      </c>
      <c r="S450" s="7">
        <f>1*N450</f>
        <v>22.2</v>
      </c>
      <c r="T450" s="32">
        <f>U450/N450</f>
        <v>1.3153153153153154</v>
      </c>
      <c r="U450" s="7">
        <f>118-L450</f>
        <v>29.200000000000003</v>
      </c>
      <c r="V450" s="32">
        <f>W450/N450</f>
        <v>12.48648648648649</v>
      </c>
      <c r="W450" s="7">
        <f>Q450-2*N450-2*S450</f>
        <v>277.20000000000005</v>
      </c>
      <c r="X450" s="7">
        <v>2</v>
      </c>
      <c r="Y450" s="7">
        <f>AN450</f>
        <v>0</v>
      </c>
      <c r="Z450" s="32">
        <f>AA450/N450</f>
        <v>2.6666666666666665</v>
      </c>
      <c r="AA450" s="10">
        <f>2/3*K450</f>
        <v>59.199999999999996</v>
      </c>
      <c r="AB450" s="7">
        <f>MIN(S450/N450+0.5, W450/2/N450+0.5)</f>
        <v>1.5</v>
      </c>
      <c r="AC450" s="7">
        <f>S450/N450+0.5</f>
        <v>1.5</v>
      </c>
      <c r="AD450" s="7">
        <f>2040/510</f>
        <v>4</v>
      </c>
      <c r="AE450" s="7">
        <f>2040/510</f>
        <v>4</v>
      </c>
      <c r="AF450" s="7">
        <f>AE450+1</f>
        <v>5</v>
      </c>
      <c r="AG450" s="7">
        <f>N450*AF450^0.5</f>
        <v>49.640709100495329</v>
      </c>
      <c r="AH450" s="7">
        <f>J450</f>
        <v>679</v>
      </c>
      <c r="AI450" s="7">
        <v>8</v>
      </c>
      <c r="AJ450" s="7">
        <f>(711+686)/2</f>
        <v>698.5</v>
      </c>
      <c r="AK450" s="7"/>
      <c r="AL450" s="4">
        <f>CY450</f>
        <v>2.5314105225121426</v>
      </c>
      <c r="AM450" s="7">
        <v>0</v>
      </c>
      <c r="AN450" s="7">
        <v>0</v>
      </c>
      <c r="AO450" s="7">
        <f>L450</f>
        <v>88.8</v>
      </c>
      <c r="AP450" s="7"/>
      <c r="AQ450" s="7"/>
      <c r="AR450" s="7">
        <f>3*AS450/(W450+N450)</f>
        <v>0.88977955911823625</v>
      </c>
      <c r="AS450" s="4">
        <f>K450</f>
        <v>88.8</v>
      </c>
      <c r="AT450" s="4">
        <f>IF(K450*3&gt;W450+N450, Q450, (S450+N450/2)*2+1.5*K450*(2*X450-2))*(3*K450)/(9*K450^2)</f>
        <v>1.25</v>
      </c>
      <c r="AU450" s="4">
        <f>MIN(10*M450^0.5*K450^1.5,100*3.9*M450^0.5*K450^(5/3))/(PI()/4*N450^2)/X450</f>
        <v>123.19645135939774</v>
      </c>
      <c r="AV450" s="4">
        <f>MIN(0.7+0.3*(MIN(S450,AA450)+0.5*N450)/1.5/K450,1)</f>
        <v>0.77499999999999991</v>
      </c>
      <c r="AW450" s="4">
        <v>1.25</v>
      </c>
      <c r="AX450" s="47">
        <f>AX449</f>
        <v>1</v>
      </c>
      <c r="AY450" s="38">
        <f>AT450*AV450*AW450*AX450*AU450</f>
        <v>149.18320281802067</v>
      </c>
      <c r="AZ450" s="38">
        <f>AY450</f>
        <v>149.18320281802067</v>
      </c>
      <c r="BA450" s="38">
        <f>IF(M450&lt;50, 0.3*M450^(2/3), 2.12*LN(1+0.1*(M450+8)))</f>
        <v>5.7111767066521422</v>
      </c>
      <c r="BB450" s="38">
        <f>AX450* (M450^0.5/AS450^0.5)/(PI()/4*N450^2)/X450/0.72 *(0.7+(MIN(S450,AA450)+0.5*N450)/5/K450) *(3*Q450*K450)</f>
        <v>163.96712381800475</v>
      </c>
      <c r="BC450" s="38">
        <f>AY450/BB450</f>
        <v>0.90983606557377028</v>
      </c>
      <c r="BD450" s="38">
        <f>BH450/BB450</f>
        <v>4.7533919108387535</v>
      </c>
      <c r="BE450" s="4">
        <f>IF(BD450&lt;1,1,0)</f>
        <v>0</v>
      </c>
      <c r="BF450" s="4">
        <f>L450/N450*M450^0.5/0.19</f>
        <v>239.94459194200661</v>
      </c>
      <c r="BG450" s="4">
        <f>MIN(0.6+0.4*(AC450/AB450),2)</f>
        <v>1</v>
      </c>
      <c r="BH450" s="38">
        <f>2*M450*AB450*AD450^0.5*BG450*0.7/0.7</f>
        <v>779.40000000000009</v>
      </c>
      <c r="BI450" s="4">
        <f>MAX(1-0.7*AE450/5,0.3)</f>
        <v>0.44000000000000006</v>
      </c>
      <c r="BJ450" s="4">
        <f>BI450*J450*L450/(J450*N450/2.75/M450^0.5)</f>
        <v>55.163261687467326</v>
      </c>
      <c r="BK450" s="4">
        <f>BH450+BJ450</f>
        <v>834.56326168746739</v>
      </c>
      <c r="BM450" s="4">
        <f>MIN(1.5, 0.75+0.25*MIN(3,MAX(1,S450/N450))+0.4*MIN(1,(40*2*PI()*AM450^2/4/AO450/X450)/N450))</f>
        <v>1</v>
      </c>
      <c r="BN450" s="4">
        <f>(3*P450+30)*BM450*M450^0.5</f>
        <v>478.68946092430321</v>
      </c>
      <c r="BP450" s="4">
        <f>3.4/PI()^0.5*M450*AB450*AE450^0.5*BG450</f>
        <v>747.53991440910613</v>
      </c>
      <c r="BQ450" s="4">
        <f>8/3*AH450*AI450^2/(AG450-N450-22)/N450*(AG450^2-N450^2)/(AG450^2-(N450+22)^2)</f>
        <v>3704.4961984911101</v>
      </c>
      <c r="BR450" s="4">
        <f>BQ450/BP450</f>
        <v>4.9555831429005819</v>
      </c>
      <c r="BZ450" s="4">
        <f>IF(W450=0,S450,MIN(W450/2,S450))</f>
        <v>22.2</v>
      </c>
      <c r="CD450" s="9"/>
      <c r="CF450" s="9"/>
      <c r="CG450" s="9"/>
      <c r="CH450" s="9">
        <f>IF(W450=0,MIN(S450,U450),MIN(W450/2,S450,U450))</f>
        <v>22.2</v>
      </c>
      <c r="CI450" s="9">
        <f>MAX(W450/2,S450)</f>
        <v>138.60000000000002</v>
      </c>
      <c r="CJ450" s="9">
        <f>(CH450/N450)^0.5*(CI450/CH450)^0.15</f>
        <v>1.3161686388047049</v>
      </c>
      <c r="CK450" s="70">
        <v>0</v>
      </c>
      <c r="CL450" s="9">
        <f>MIN(PI()*AM450^2/4*AN450*2/X450/N450/MAX(0.01,AO450),0.05)</f>
        <v>0</v>
      </c>
      <c r="CM450" s="9">
        <f>MAX(0,CK450*(CL450-0.5/50))</f>
        <v>0</v>
      </c>
      <c r="CN450" s="9">
        <f>MIN(1,(25/N450)^0.3)</f>
        <v>1</v>
      </c>
      <c r="CO450" s="9">
        <f>IF(J450&gt;=800,0.68,IF(J450&gt;=700,0.75-(J450-700)*0.07/100,IF(J450&gt;=600,0.85-(J450-600)*0.1/100,IF(J450&gt;=500,1-(J450-500)*0.15/100,1.2-(J450-400)*0.2/100))))</f>
        <v>0.77100000000000002</v>
      </c>
      <c r="CP450" s="9">
        <f>1.75*CN450*CO450*(M450/25)^0.5</f>
        <v>3.0755797864386483</v>
      </c>
      <c r="CQ450" s="9">
        <f>MIN((CJ450+CM450)*CP450,2.5*CP450,M450^0.5)</f>
        <v>4.047981661052221</v>
      </c>
      <c r="CR450" s="9">
        <v>1</v>
      </c>
      <c r="CS450" s="9">
        <f>4*CQ450*P450+60*CQ450</f>
        <v>307.64660623996883</v>
      </c>
      <c r="CU450" s="4">
        <f>AJ450/BF450</f>
        <v>2.9110887407240416</v>
      </c>
      <c r="CV450" s="4">
        <f>AJ450/BK450</f>
        <v>0.8369647120430983</v>
      </c>
      <c r="CW450" s="4">
        <f>AJ450/BN450</f>
        <v>1.459192351240121</v>
      </c>
      <c r="CX450" s="4">
        <f>AJ450/CS450</f>
        <v>2.2704622311196889</v>
      </c>
      <c r="CY450" s="44">
        <f>AJ450/DZ450</f>
        <v>2.5314105225121426</v>
      </c>
      <c r="CZ450" s="4">
        <f>AJ450/EL450</f>
        <v>1</v>
      </c>
      <c r="DA450" s="4">
        <f>AJ450/GI450</f>
        <v>3.0309656951865547</v>
      </c>
      <c r="DC450" s="4">
        <f>CU450</f>
        <v>2.9110887407240416</v>
      </c>
      <c r="DD450" s="4">
        <f>CV450</f>
        <v>0.8369647120430983</v>
      </c>
      <c r="DE450" s="4">
        <f>CX450</f>
        <v>2.2704622311196889</v>
      </c>
      <c r="DF450" s="4">
        <f>DA450</f>
        <v>3.0309656951865547</v>
      </c>
      <c r="DG450" s="4">
        <f>CY450</f>
        <v>2.5314105225121426</v>
      </c>
      <c r="DH450" s="4">
        <f>CZ450</f>
        <v>1</v>
      </c>
      <c r="DP450" s="4">
        <f>AN450</f>
        <v>0</v>
      </c>
      <c r="DQ450" s="4">
        <f>L450</f>
        <v>88.8</v>
      </c>
      <c r="DT450" s="4">
        <f>K450/4/(1-0.3*(M450/30)^0.5)/200000/N450</f>
        <v>1.3307058507295954E-5</v>
      </c>
      <c r="DU450" s="4">
        <f>EP450</f>
        <v>12.240383556873418</v>
      </c>
      <c r="DV450" s="4">
        <f>EC450*AG450/257/M450/AD450</f>
        <v>6.0952635636320612E-2</v>
      </c>
      <c r="DW450" s="4">
        <f>DU450*DV450^0.4</f>
        <v>3.9975326783217482</v>
      </c>
      <c r="DX450" s="4">
        <f>MIN(DU450, DU450/1.4*(1-DV450^1.4)/(1-DV450))</f>
        <v>9.125299181882399</v>
      </c>
      <c r="DY450" s="4">
        <f>MAX(DU450/2, (4-DT450*(8*AG450*(DW450-DX450)+6*K450*DX450))/(4+DT450*K450*DU450)*DU450)</f>
        <v>12.081635631114194</v>
      </c>
      <c r="DZ450" s="38">
        <f>MIN(1/N450*(4*AG450*(DW450-DX450)+(3*DX450+DY450)*K450)+EC450 -FJ450,MAX(J450,AJ450))</f>
        <v>275.93311862621817</v>
      </c>
      <c r="EA450" s="4">
        <f>DZ450/FF450</f>
        <v>1.0000920328904122</v>
      </c>
      <c r="EB450" s="4">
        <f>AG450/N450</f>
        <v>2.2360679774997898</v>
      </c>
      <c r="EC450" s="4">
        <f>MIN(EB$10*BB450)</f>
        <v>163.96712381800475</v>
      </c>
      <c r="EG450" s="4">
        <f>IF(U450&gt;1*N450,0.85,1)</f>
        <v>0.85</v>
      </c>
      <c r="EH450" s="4">
        <f>MIN(1,MAX(0.7,(1-0.1*(BZ450-1*N450)/N450)))</f>
        <v>1</v>
      </c>
      <c r="EI450" s="4">
        <f>MIN(1,MAX(0.7,1-0.3*(PI()*AM450^2/4*AQ450*2-0.25*PI()/4*N450^2)/(PI()/4*N450^2)))</f>
        <v>1</v>
      </c>
      <c r="EJ450" s="4">
        <f>IF(EH450*EI450&lt;0.7,0.7,EH450*EI450)</f>
        <v>1</v>
      </c>
      <c r="EL450" s="4">
        <f>MIN(DU450/N450*3*K450+EM450-FJ450,MAX(J450,AJ450))</f>
        <v>698.5</v>
      </c>
      <c r="EM450" s="25">
        <f>26.5*Q450*K450^0.5*M450^0.5/X450/N450^2*(0.7+S450/5/K450)</f>
        <v>792.6169156169592</v>
      </c>
      <c r="EP450" s="4">
        <f>IF(N450&lt;22.2,1.1*5*(M450/30)^0.5,IF(N450&gt;=31.8,0.9*5*(M450/30)^0.5,1*5*(M450/30)^0.5))/EG450/EJ450</f>
        <v>12.240383556873418</v>
      </c>
      <c r="ES450" s="4">
        <f>ET450*N450</f>
        <v>49.640709100495329</v>
      </c>
      <c r="ET450" s="4">
        <f>AF450^0.5</f>
        <v>2.2360679774997898</v>
      </c>
      <c r="EU450" s="4">
        <f>MIN(EC450)/(4700*M450^0.5)/AE450*ES450</f>
        <v>3.7986766786874911E-2</v>
      </c>
      <c r="EX450" s="4">
        <f>EU450</f>
        <v>3.7986766786874911E-2</v>
      </c>
      <c r="EY450" s="4">
        <f>MIN(0.999, EX450/(0.3*(M450/30)^0.5))</f>
        <v>6.0850917047470615E-2</v>
      </c>
      <c r="EZ450" s="4">
        <f>EP450/1*EY450^0.4</f>
        <v>3.9948628863847779</v>
      </c>
      <c r="FA450" s="4">
        <f>EP450/1.4*(1-EY450^1.4)/(1-EY450)</f>
        <v>9.1247436524747467</v>
      </c>
      <c r="FB450" s="4">
        <f>MAX(0,DQ450*FB$9-ES450)</f>
        <v>16.959290899504666</v>
      </c>
      <c r="FC450" s="4">
        <f>MAX(0,DQ450-ES450-FB450)</f>
        <v>22.200000000000003</v>
      </c>
      <c r="FD450" s="4">
        <f>FC450/(1-0.3*(M450/30)^0.5)/200000/N450</f>
        <v>1.3307058507295955E-5</v>
      </c>
      <c r="FE450" s="4">
        <f>MAX(0.5*EP450, (1-2*FD450*(ES450*EZ450+FB450*FA450))/(1/EP450+FD450*FC450))</f>
        <v>12.081681707696337</v>
      </c>
      <c r="FF450" s="4">
        <f>MIN(4/N450*(1*EZ450*ES450+FA450*FB450+FC450*FE450)+EC450,MAX(J450,AJ450))</f>
        <v>275.90772604070361</v>
      </c>
      <c r="FO450" s="23">
        <f>IF(CU450&lt;0.6,0.6,IF(CU450&lt;0.8,0.8,IF(CU450&lt;1,1,IF(CU450&lt;1.2,1.2,IF(CU450&lt;1.4,1.4,IF(CU450&lt;1.6,1.6,IF(CU450&lt;1.8,1.8,IF(CU450&lt;2,2,2.2))))))))</f>
        <v>2.2000000000000002</v>
      </c>
      <c r="FP450" s="23">
        <f>IF(CV450&lt;0.6,0.6,IF(CV450&lt;0.8,0.8,IF(CV450&lt;1,1,IF(CV450&lt;1.2,1.2,IF(CV450&lt;1.4,1.4,IF(CV450&lt;1.6,1.6,IF(CV450&lt;1.8,1.8,IF(CV450&lt;2,2,2.2))))))))</f>
        <v>1</v>
      </c>
      <c r="FQ450" s="23">
        <f>IF(DA450&lt;0.6,0.6,IF(DA450&lt;0.8,0.8,IF(DA450&lt;1,1,IF(DA450&lt;1.2,1.2,IF(DA450&lt;1.4,1.4,IF(DA450&lt;1.6,1.6,IF(DA450&lt;1.8,1.8,IF(DA450&lt;2,2,2.2))))))))</f>
        <v>2.2000000000000002</v>
      </c>
      <c r="FR450" s="23">
        <f>IF(CX450&lt;0.6,0.6,IF(CX450&lt;0.8,0.8,IF(CX450&lt;1,1,IF(CX450&lt;1.2,1.2,IF(CX450&lt;1.4,1.4,IF(CX450&lt;1.6,1.6,IF(CX450&lt;1.8,1.8,IF(CX450&lt;2,2,2.2))))))))</f>
        <v>2.2000000000000002</v>
      </c>
      <c r="FS450" s="23">
        <f>IF(CY450&lt;0.6,0.6,IF(CY450&lt;0.8,0.8,IF(CY450&lt;1,1,IF(CY450&lt;1.2,1.2,IF(CY450&lt;1.4,1.4,IF(CY450&lt;1.6,1.6,IF(CY450&lt;1.8,1.8,IF(CY450&lt;2,2,2.2))))))))</f>
        <v>2.2000000000000002</v>
      </c>
      <c r="FT450" s="23">
        <f>IF(CZ450&lt;0.6,0.6,IF(CZ450&lt;0.8,0.8,IF(CZ450&lt;1,1,IF(CZ450&lt;1.2,1.2,IF(CZ450&lt;1.4,1.4,IF(CZ450&lt;1.6,1.6,IF(CZ450&lt;1.8,1.8,IF(CZ450&lt;2,2,2.2))))))))</f>
        <v>1.2</v>
      </c>
      <c r="FU450" s="23">
        <f>IF(FS450&lt;1,1,0)</f>
        <v>0</v>
      </c>
      <c r="FV450" s="23"/>
      <c r="GF450" s="4">
        <f>IF(S450&gt;=2.5*25.4,1,1.25)</f>
        <v>1.25</v>
      </c>
      <c r="GG450" s="4">
        <f>IF(AO450&gt;1, 0.05*(18-MIN(8,(W450+N450)/N450))*(1-48000/MAX(60000,(J450*145))*(N450/25.4)^0.75*GH450), 1/12*(14-MIN(8,(W450+N450)/N450)))</f>
        <v>0.5</v>
      </c>
      <c r="GH450" s="4">
        <f>MIN(0.3, AM450^2*PI()/4*2*AP450/(N450^2*PI()/4*X450))</f>
        <v>0</v>
      </c>
      <c r="GI450" s="4">
        <f>(K450/25.4)/(N450/25.4)^1.5/0.0024*(M450*145)^0.25/GF450/GG450/145</f>
        <v>230.4546043227347</v>
      </c>
    </row>
    <row r="451" spans="1:196" ht="12" customHeight="1" x14ac:dyDescent="0.3">
      <c r="A451" s="25">
        <v>180</v>
      </c>
      <c r="B451" s="24" t="s">
        <v>128</v>
      </c>
      <c r="C451" s="24">
        <v>2017</v>
      </c>
      <c r="D451" s="24" t="s">
        <v>309</v>
      </c>
      <c r="E451" s="24"/>
      <c r="F451" s="115" t="s">
        <v>792</v>
      </c>
      <c r="G451" s="109" t="s">
        <v>785</v>
      </c>
      <c r="H451" s="4" t="s">
        <v>314</v>
      </c>
      <c r="I451" s="5">
        <f>K451/N451</f>
        <v>4</v>
      </c>
      <c r="J451" s="86">
        <v>679</v>
      </c>
      <c r="K451" s="84">
        <f>4*N451</f>
        <v>88.8</v>
      </c>
      <c r="L451" s="7">
        <f>K451</f>
        <v>88.8</v>
      </c>
      <c r="M451" s="10">
        <v>129.9</v>
      </c>
      <c r="N451" s="80">
        <v>22.2</v>
      </c>
      <c r="O451" s="7">
        <f>K451/N451</f>
        <v>4</v>
      </c>
      <c r="P451" s="7">
        <f>L451/N451</f>
        <v>4</v>
      </c>
      <c r="Q451" s="7">
        <v>388</v>
      </c>
      <c r="R451" s="32">
        <f>S451/N451</f>
        <v>1.5</v>
      </c>
      <c r="S451" s="7">
        <f>1.5*N451</f>
        <v>33.299999999999997</v>
      </c>
      <c r="T451" s="32">
        <f>U451/N451</f>
        <v>1.3153153153153154</v>
      </c>
      <c r="U451" s="7">
        <f>118-L451</f>
        <v>29.200000000000003</v>
      </c>
      <c r="V451" s="32">
        <f>W451/N451</f>
        <v>12.477477477477478</v>
      </c>
      <c r="W451" s="7">
        <f>Q451-2*N451-2*S451</f>
        <v>277</v>
      </c>
      <c r="X451" s="7">
        <v>2</v>
      </c>
      <c r="Y451" s="7">
        <f>AN451</f>
        <v>0</v>
      </c>
      <c r="Z451" s="32">
        <f>AA451/N451</f>
        <v>2.6666666666666665</v>
      </c>
      <c r="AA451" s="10">
        <f>2/3*K451</f>
        <v>59.199999999999996</v>
      </c>
      <c r="AB451" s="7">
        <f>MIN(S451/N451+0.5, W451/2/N451+0.5)</f>
        <v>2</v>
      </c>
      <c r="AC451" s="7">
        <f>S451/N451+0.5</f>
        <v>2</v>
      </c>
      <c r="AD451" s="7">
        <f>2040/510</f>
        <v>4</v>
      </c>
      <c r="AE451" s="7">
        <f>2040/510</f>
        <v>4</v>
      </c>
      <c r="AF451" s="7">
        <f>AE451+1</f>
        <v>5</v>
      </c>
      <c r="AG451" s="7">
        <f>N451*AF451^0.5</f>
        <v>49.640709100495329</v>
      </c>
      <c r="AH451" s="7">
        <f>J451</f>
        <v>679</v>
      </c>
      <c r="AI451" s="7">
        <v>8</v>
      </c>
      <c r="AJ451" s="7">
        <f>(751+699)/2</f>
        <v>725</v>
      </c>
      <c r="AK451" s="7"/>
      <c r="AL451" s="4">
        <f>CY451</f>
        <v>2.426985071922775</v>
      </c>
      <c r="AM451" s="7">
        <v>0</v>
      </c>
      <c r="AN451" s="7">
        <v>0</v>
      </c>
      <c r="AO451" s="7">
        <f>L451</f>
        <v>88.8</v>
      </c>
      <c r="AP451" s="7"/>
      <c r="AQ451" s="7"/>
      <c r="AR451" s="7">
        <f>3*AS451/(W451+N451)</f>
        <v>0.89037433155080214</v>
      </c>
      <c r="AS451" s="4">
        <f>K451</f>
        <v>88.8</v>
      </c>
      <c r="AT451" s="4">
        <f>IF(K451*3&gt;W451+N451, Q451, (S451+N451/2)*2+1.5*K451*(2*X451-2))*(3*K451)/(9*K451^2)</f>
        <v>1.3333333333333333</v>
      </c>
      <c r="AU451" s="4">
        <f>MIN(10*M451^0.5*K451^1.5,100*3.9*M451^0.5*K451^(5/3))/(PI()/4*N451^2)/X451</f>
        <v>123.19645135939774</v>
      </c>
      <c r="AV451" s="4">
        <f>MIN(0.7+0.3*(MIN(S451,AA451)+0.5*N451)/1.5/K451,1)</f>
        <v>0.79999999999999993</v>
      </c>
      <c r="AW451" s="4">
        <v>1.25</v>
      </c>
      <c r="AX451" s="47">
        <f>AX450</f>
        <v>1</v>
      </c>
      <c r="AY451" s="38">
        <f>AT451*AV451*AW451*AX451*AU451</f>
        <v>164.26193514586362</v>
      </c>
      <c r="AZ451" s="38">
        <f>AY451</f>
        <v>164.26193514586362</v>
      </c>
      <c r="BA451" s="38">
        <f>IF(M451&lt;50, 0.3*M451^(2/3), 2.12*LN(1+0.1*(M451+8)))</f>
        <v>5.7111767066521422</v>
      </c>
      <c r="BB451" s="38">
        <f>AX451* (M451^0.5/AS451^0.5)/(PI()/4*N451^2)/X451/0.72 *(0.7+(MIN(S451,AA451)+0.5*N451)/5/K451) *(3*Q451*K451)</f>
        <v>179.43026699491867</v>
      </c>
      <c r="BC451" s="38">
        <f>AY451/BB451</f>
        <v>0.91546391752577283</v>
      </c>
      <c r="BD451" s="38">
        <f>BH451/BB451</f>
        <v>5.7916650150747948</v>
      </c>
      <c r="BE451" s="4">
        <f>IF(BD451&lt;1,1,0)</f>
        <v>0</v>
      </c>
      <c r="BF451" s="4">
        <f>L451/N451*M451^0.5/0.19</f>
        <v>239.94459194200661</v>
      </c>
      <c r="BG451" s="4">
        <f>MIN(0.6+0.4*(AC451/AB451),2)</f>
        <v>1</v>
      </c>
      <c r="BH451" s="38">
        <f>2*M451*AB451*AD451^0.5*BG451*0.7/0.7</f>
        <v>1039.2</v>
      </c>
      <c r="BI451" s="4">
        <f>MAX(1-0.7*AE451/5,0.3)</f>
        <v>0.44000000000000006</v>
      </c>
      <c r="BJ451" s="4">
        <f>BI451*J451*L451/(J451*N451/2.75/M451^0.5)</f>
        <v>55.163261687467326</v>
      </c>
      <c r="BK451" s="4">
        <f>BH451+BJ451</f>
        <v>1094.3632616874675</v>
      </c>
      <c r="BM451" s="4">
        <f>MIN(1.5, 0.75+0.25*MIN(3,MAX(1,S451/N451))+0.4*MIN(1,(40*2*PI()*AM451^2/4/AO451/X451)/N451))</f>
        <v>1.125</v>
      </c>
      <c r="BN451" s="4">
        <f>(3*P451+30)*BM451*M451^0.5</f>
        <v>538.5256435398411</v>
      </c>
      <c r="BP451" s="4">
        <f>3.4/PI()^0.5*M451*AB451*AE451^0.5*BG451</f>
        <v>996.71988587880821</v>
      </c>
      <c r="BQ451" s="4">
        <f>8/3*AH451*AI451^2/(AG451-N451-22)/N451*(AG451^2-N451^2)/(AG451^2-(N451+22)^2)</f>
        <v>3704.4961984911101</v>
      </c>
      <c r="BR451" s="4">
        <f>BQ451/BP451</f>
        <v>3.7166873571754362</v>
      </c>
      <c r="BZ451" s="4">
        <f>IF(W451=0,S451,MIN(W451/2,S451))</f>
        <v>33.299999999999997</v>
      </c>
      <c r="CD451" s="9"/>
      <c r="CF451" s="9"/>
      <c r="CG451" s="9"/>
      <c r="CH451" s="9">
        <f>IF(W451=0,MIN(S451,U451),MIN(W451/2,S451,U451))</f>
        <v>29.200000000000003</v>
      </c>
      <c r="CI451" s="9">
        <f>MAX(W451/2,S451)</f>
        <v>138.5</v>
      </c>
      <c r="CJ451" s="9">
        <f>(CH451/N451)^0.5*(CI451/CH451)^0.15</f>
        <v>1.4485216037038422</v>
      </c>
      <c r="CK451" s="70">
        <v>0</v>
      </c>
      <c r="CL451" s="9">
        <f>MIN(PI()*AM451^2/4*AN451*2/X451/N451/MAX(0.01,AO451),0.05)</f>
        <v>0</v>
      </c>
      <c r="CM451" s="9">
        <f>MAX(0,CK451*(CL451-0.5/50))</f>
        <v>0</v>
      </c>
      <c r="CN451" s="9">
        <f>MIN(1,(25/N451)^0.3)</f>
        <v>1</v>
      </c>
      <c r="CO451" s="9">
        <f>IF(J451&gt;=800,0.68,IF(J451&gt;=700,0.75-(J451-700)*0.07/100,IF(J451&gt;=600,0.85-(J451-600)*0.1/100,IF(J451&gt;=500,1-(J451-500)*0.15/100,1.2-(J451-400)*0.2/100))))</f>
        <v>0.77100000000000002</v>
      </c>
      <c r="CP451" s="9">
        <f>1.75*CN451*CO451*(M451/25)^0.5</f>
        <v>3.0755797864386483</v>
      </c>
      <c r="CQ451" s="9">
        <f>MIN((CJ451+CM451)*CP451,2.5*CP451,M451^0.5)</f>
        <v>4.4550437645712311</v>
      </c>
      <c r="CR451" s="9">
        <v>1</v>
      </c>
      <c r="CS451" s="9">
        <f>4*CQ451*P451+60*CQ451</f>
        <v>338.58332610741354</v>
      </c>
      <c r="CU451" s="4">
        <f>AJ451/BF451</f>
        <v>3.0215309048316823</v>
      </c>
      <c r="CV451" s="4">
        <f>AJ451/BK451</f>
        <v>0.6624856895159994</v>
      </c>
      <c r="CW451" s="4">
        <f>AJ451/BN451</f>
        <v>1.346268295107405</v>
      </c>
      <c r="CX451" s="4">
        <f>AJ451/CS451</f>
        <v>2.1412749657081402</v>
      </c>
      <c r="CY451" s="44">
        <f>AJ451/DZ451</f>
        <v>2.426985071922775</v>
      </c>
      <c r="CZ451" s="4">
        <f>AJ451/EL451</f>
        <v>1</v>
      </c>
      <c r="DA451" s="4">
        <f>AJ451/GI451</f>
        <v>3.1459558038801037</v>
      </c>
      <c r="DC451" s="4">
        <f>CU451</f>
        <v>3.0215309048316823</v>
      </c>
      <c r="DD451" s="4">
        <f>CV451</f>
        <v>0.6624856895159994</v>
      </c>
      <c r="DE451" s="4">
        <f>CX451</f>
        <v>2.1412749657081402</v>
      </c>
      <c r="DF451" s="4">
        <f>DA451</f>
        <v>3.1459558038801037</v>
      </c>
      <c r="DG451" s="4">
        <f>CY451</f>
        <v>2.426985071922775</v>
      </c>
      <c r="DH451" s="4">
        <f>CZ451</f>
        <v>1</v>
      </c>
      <c r="DP451" s="4">
        <f>AN451</f>
        <v>0</v>
      </c>
      <c r="DQ451" s="4">
        <f>L451</f>
        <v>88.8</v>
      </c>
      <c r="DT451" s="4">
        <f>K451/4/(1-0.3*(M451/30)^0.5)/200000/N451</f>
        <v>1.3307058507295954E-5</v>
      </c>
      <c r="DU451" s="4">
        <f>EP451</f>
        <v>12.884614270393072</v>
      </c>
      <c r="DV451" s="4">
        <f>EC451*AG451/257/M451/AD451</f>
        <v>6.6700857047466672E-2</v>
      </c>
      <c r="DW451" s="4">
        <f>DU451*DV451^0.4</f>
        <v>4.3623849582727168</v>
      </c>
      <c r="DX451" s="4">
        <f>MIN(DU451, DU451/1.4*(1-DV451^1.4)/(1-DV451))</f>
        <v>9.6383424558242492</v>
      </c>
      <c r="DY451" s="4">
        <f>MAX(DU451/2, (4-DT451*(8*AG451*(DW451-DX451)+6*K451*DX451))/(4+DT451*K451*DU451)*DU451)</f>
        <v>12.705940577438506</v>
      </c>
      <c r="DZ451" s="38">
        <f>MIN(1/N451*(4*AG451*(DW451-DX451)+(3*DX451+DY451)*K451)+EC451 -FJ451,MAX(J451,AJ451))</f>
        <v>298.72454033086404</v>
      </c>
      <c r="EA451" s="4">
        <f>DZ451/FF451</f>
        <v>1.0000929695066556</v>
      </c>
      <c r="EB451" s="4">
        <f>AG451/N451</f>
        <v>2.2360679774997898</v>
      </c>
      <c r="EC451" s="4">
        <f>MIN(EB$10*BB451)</f>
        <v>179.43026699491867</v>
      </c>
      <c r="EG451" s="4">
        <f>IF(U451&gt;1*N451,0.85,1)</f>
        <v>0.85</v>
      </c>
      <c r="EH451" s="4">
        <f>MIN(1,MAX(0.7,(1-0.1*(BZ451-1*N451)/N451)))</f>
        <v>0.95</v>
      </c>
      <c r="EI451" s="4">
        <f>MIN(1,MAX(0.7,1-0.3*(PI()*AM451^2/4*AQ451*2-0.25*PI()/4*N451^2)/(PI()/4*N451^2)))</f>
        <v>1</v>
      </c>
      <c r="EJ451" s="4">
        <f>IF(EH451*EI451&lt;0.7,0.7,EH451*EI451)</f>
        <v>0.95</v>
      </c>
      <c r="EL451" s="4">
        <f>MIN(DU451/N451*3*K451+EM451-FJ451,MAX(J451,AJ451))</f>
        <v>725</v>
      </c>
      <c r="EM451" s="25">
        <f>26.5*Q451*K451^0.5*M451^0.5/X451/N451^2*(0.7+S451/5/K451)</f>
        <v>868.2692405319475</v>
      </c>
      <c r="EP451" s="4">
        <f>IF(N451&lt;22.2,1.1*5*(M451/30)^0.5,IF(N451&gt;=31.8,0.9*5*(M451/30)^0.5,1*5*(M451/30)^0.5))/EG451/EJ451</f>
        <v>12.884614270393072</v>
      </c>
      <c r="ES451" s="4">
        <f>ET451*N451</f>
        <v>49.640709100495329</v>
      </c>
      <c r="ET451" s="4">
        <f>AF451^0.5</f>
        <v>2.2360679774997898</v>
      </c>
      <c r="EU451" s="4">
        <f>MIN(EC451)/(4700*M451^0.5)/AE451*ES451</f>
        <v>4.1569160622760351E-2</v>
      </c>
      <c r="EX451" s="4">
        <f>EU451</f>
        <v>4.1569160622760351E-2</v>
      </c>
      <c r="EY451" s="4">
        <f>MIN(0.999, EX451/(0.3*(M451/30)^0.5))</f>
        <v>6.6589545748404311E-2</v>
      </c>
      <c r="EZ451" s="4">
        <f>EP451/1*EY451^0.4</f>
        <v>4.3594714961137413</v>
      </c>
      <c r="FA451" s="4">
        <f>EP451/1.4*(1-EY451^1.4)/(1-EY451)</f>
        <v>9.637713112319771</v>
      </c>
      <c r="FB451" s="4">
        <f>MAX(0,DQ451*FB$9-ES451)</f>
        <v>16.959290899504666</v>
      </c>
      <c r="FC451" s="4">
        <f>MAX(0,DQ451-ES451-FB451)</f>
        <v>22.200000000000003</v>
      </c>
      <c r="FD451" s="4">
        <f>FC451/(1-0.3*(M451/30)^0.5)/200000/N451</f>
        <v>1.3307058507295955E-5</v>
      </c>
      <c r="FE451" s="4">
        <f>MAX(0.5*EP451, (1-2*FD451*(ES451*EZ451+FB451*FA451))/(1/EP451+FD451*FC451))</f>
        <v>12.705993629680572</v>
      </c>
      <c r="FF451" s="4">
        <f>MIN(4/N451*(1*EZ451*ES451+FA451*FB451+FC451*FE451)+EC451,MAX(J451,AJ451))</f>
        <v>298.69677063945807</v>
      </c>
      <c r="FO451" s="23">
        <f>IF(CU451&lt;0.6,0.6,IF(CU451&lt;0.8,0.8,IF(CU451&lt;1,1,IF(CU451&lt;1.2,1.2,IF(CU451&lt;1.4,1.4,IF(CU451&lt;1.6,1.6,IF(CU451&lt;1.8,1.8,IF(CU451&lt;2,2,2.2))))))))</f>
        <v>2.2000000000000002</v>
      </c>
      <c r="FP451" s="23">
        <f>IF(CV451&lt;0.6,0.6,IF(CV451&lt;0.8,0.8,IF(CV451&lt;1,1,IF(CV451&lt;1.2,1.2,IF(CV451&lt;1.4,1.4,IF(CV451&lt;1.6,1.6,IF(CV451&lt;1.8,1.8,IF(CV451&lt;2,2,2.2))))))))</f>
        <v>0.8</v>
      </c>
      <c r="FQ451" s="23">
        <f>IF(DA451&lt;0.6,0.6,IF(DA451&lt;0.8,0.8,IF(DA451&lt;1,1,IF(DA451&lt;1.2,1.2,IF(DA451&lt;1.4,1.4,IF(DA451&lt;1.6,1.6,IF(DA451&lt;1.8,1.8,IF(DA451&lt;2,2,2.2))))))))</f>
        <v>2.2000000000000002</v>
      </c>
      <c r="FR451" s="23">
        <f>IF(CX451&lt;0.6,0.6,IF(CX451&lt;0.8,0.8,IF(CX451&lt;1,1,IF(CX451&lt;1.2,1.2,IF(CX451&lt;1.4,1.4,IF(CX451&lt;1.6,1.6,IF(CX451&lt;1.8,1.8,IF(CX451&lt;2,2,2.2))))))))</f>
        <v>2.2000000000000002</v>
      </c>
      <c r="FS451" s="23">
        <f>IF(CY451&lt;0.6,0.6,IF(CY451&lt;0.8,0.8,IF(CY451&lt;1,1,IF(CY451&lt;1.2,1.2,IF(CY451&lt;1.4,1.4,IF(CY451&lt;1.6,1.6,IF(CY451&lt;1.8,1.8,IF(CY451&lt;2,2,2.2))))))))</f>
        <v>2.2000000000000002</v>
      </c>
      <c r="FT451" s="23">
        <f>IF(CZ451&lt;0.6,0.6,IF(CZ451&lt;0.8,0.8,IF(CZ451&lt;1,1,IF(CZ451&lt;1.2,1.2,IF(CZ451&lt;1.4,1.4,IF(CZ451&lt;1.6,1.6,IF(CZ451&lt;1.8,1.8,IF(CZ451&lt;2,2,2.2))))))))</f>
        <v>1.2</v>
      </c>
      <c r="FU451" s="23">
        <f>IF(FS451&lt;1,1,0)</f>
        <v>0</v>
      </c>
      <c r="FV451" s="23"/>
      <c r="GF451" s="4">
        <f>IF(S451&gt;=2.5*25.4,1,1.25)</f>
        <v>1.25</v>
      </c>
      <c r="GG451" s="4">
        <f>IF(AO451&gt;1, 0.05*(18-MIN(8,(W451+N451)/N451))*(1-48000/MAX(60000,(J451*145))*(N451/25.4)^0.75*GH451), 1/12*(14-MIN(8,(W451+N451)/N451)))</f>
        <v>0.5</v>
      </c>
      <c r="GH451" s="4">
        <f>MIN(0.3, AM451^2*PI()/4*2*AP451/(N451^2*PI()/4*X451))</f>
        <v>0</v>
      </c>
      <c r="GI451" s="4">
        <f>(K451/25.4)/(N451/25.4)^1.5/0.0024*(M451*145)^0.25/GF451/GG451/145</f>
        <v>230.4546043227347</v>
      </c>
    </row>
    <row r="452" spans="1:196" ht="12" customHeight="1" x14ac:dyDescent="0.3">
      <c r="A452" s="25">
        <v>181</v>
      </c>
      <c r="B452" s="24" t="s">
        <v>128</v>
      </c>
      <c r="C452" s="24">
        <v>2017</v>
      </c>
      <c r="D452" s="24" t="s">
        <v>309</v>
      </c>
      <c r="E452" s="24"/>
      <c r="F452" s="115" t="s">
        <v>792</v>
      </c>
      <c r="G452" s="109" t="s">
        <v>785</v>
      </c>
      <c r="H452" s="4" t="s">
        <v>315</v>
      </c>
      <c r="I452" s="5">
        <f>K452/N452</f>
        <v>4</v>
      </c>
      <c r="J452" s="86">
        <v>679</v>
      </c>
      <c r="K452" s="84">
        <f>4*N452</f>
        <v>88.8</v>
      </c>
      <c r="L452" s="7">
        <f>K452</f>
        <v>88.8</v>
      </c>
      <c r="M452" s="10">
        <v>129.9</v>
      </c>
      <c r="N452" s="80">
        <v>22.2</v>
      </c>
      <c r="O452" s="7">
        <f>K452/N452</f>
        <v>4</v>
      </c>
      <c r="P452" s="7">
        <f>L452/N452</f>
        <v>4</v>
      </c>
      <c r="Q452" s="7">
        <v>388</v>
      </c>
      <c r="R452" s="32">
        <f>S452/N452</f>
        <v>1.5</v>
      </c>
      <c r="S452" s="7">
        <f>1.5*N452</f>
        <v>33.299999999999997</v>
      </c>
      <c r="T452" s="32">
        <f>U452/N452</f>
        <v>1.3153153153153154</v>
      </c>
      <c r="U452" s="7">
        <f>118-L452</f>
        <v>29.200000000000003</v>
      </c>
      <c r="V452" s="32">
        <f>W452/N452</f>
        <v>12.477477477477478</v>
      </c>
      <c r="W452" s="7">
        <f>Q452-2*N452-2*S452</f>
        <v>277</v>
      </c>
      <c r="X452" s="7">
        <v>2</v>
      </c>
      <c r="Y452" s="7">
        <f>AN452</f>
        <v>0</v>
      </c>
      <c r="Z452" s="32">
        <f>AA452/N452</f>
        <v>2.6666666666666665</v>
      </c>
      <c r="AA452" s="10">
        <f>2/3*K452</f>
        <v>59.199999999999996</v>
      </c>
      <c r="AB452" s="7">
        <f>MIN(S452/N452+0.5, W452/2/N452+0.5)</f>
        <v>2</v>
      </c>
      <c r="AC452" s="7">
        <f>S452/N452+0.5</f>
        <v>2</v>
      </c>
      <c r="AD452" s="7">
        <f>2040/510</f>
        <v>4</v>
      </c>
      <c r="AE452" s="7">
        <f>2040/510</f>
        <v>4</v>
      </c>
      <c r="AF452" s="7">
        <f>AE452+1</f>
        <v>5</v>
      </c>
      <c r="AG452" s="7">
        <f>N452*AF452^0.5</f>
        <v>49.640709100495329</v>
      </c>
      <c r="AH452" s="7">
        <f>J452</f>
        <v>679</v>
      </c>
      <c r="AI452" s="7">
        <v>8</v>
      </c>
      <c r="AJ452" s="7">
        <f>(731+693)/2</f>
        <v>712</v>
      </c>
      <c r="AK452" s="7"/>
      <c r="AL452" s="4">
        <f>CY452</f>
        <v>2.3834667189089873</v>
      </c>
      <c r="AM452" s="7">
        <v>0</v>
      </c>
      <c r="AN452" s="7">
        <v>0</v>
      </c>
      <c r="AO452" s="7">
        <f>L452</f>
        <v>88.8</v>
      </c>
      <c r="AP452" s="7"/>
      <c r="AQ452" s="7"/>
      <c r="AR452" s="7">
        <f>3*AS452/(W452+N452)</f>
        <v>0.89037433155080214</v>
      </c>
      <c r="AS452" s="4">
        <f>K452</f>
        <v>88.8</v>
      </c>
      <c r="AT452" s="4">
        <f>IF(K452*3&gt;W452+N452, Q452, (S452+N452/2)*2+1.5*K452*(2*X452-2))*(3*K452)/(9*K452^2)</f>
        <v>1.3333333333333333</v>
      </c>
      <c r="AU452" s="4">
        <f>MIN(10*M452^0.5*K452^1.5,100*3.9*M452^0.5*K452^(5/3))/(PI()/4*N452^2)/X452</f>
        <v>123.19645135939774</v>
      </c>
      <c r="AV452" s="4">
        <f>MIN(0.7+0.3*(MIN(S452,AA452)+0.5*N452)/1.5/K452,1)</f>
        <v>0.79999999999999993</v>
      </c>
      <c r="AW452" s="4">
        <v>1.25</v>
      </c>
      <c r="AX452" s="47">
        <f>AX451</f>
        <v>1</v>
      </c>
      <c r="AY452" s="38">
        <f>AT452*AV452*AW452*AX452*AU452</f>
        <v>164.26193514586362</v>
      </c>
      <c r="AZ452" s="38">
        <f>AY452</f>
        <v>164.26193514586362</v>
      </c>
      <c r="BA452" s="38">
        <f>IF(M452&lt;50, 0.3*M452^(2/3), 2.12*LN(1+0.1*(M452+8)))</f>
        <v>5.7111767066521422</v>
      </c>
      <c r="BB452" s="38">
        <f>AX452* (M452^0.5/AS452^0.5)/(PI()/4*N452^2)/X452/0.72 *(0.7+(MIN(S452,AA452)+0.5*N452)/5/K452) *(3*Q452*K452)</f>
        <v>179.43026699491867</v>
      </c>
      <c r="BC452" s="38">
        <f>AY452/BB452</f>
        <v>0.91546391752577283</v>
      </c>
      <c r="BD452" s="38">
        <f>BH452/BB452</f>
        <v>5.7916650150747948</v>
      </c>
      <c r="BE452" s="4">
        <f>IF(BD452&lt;1,1,0)</f>
        <v>0</v>
      </c>
      <c r="BF452" s="4">
        <f>L452/N452*M452^0.5/0.19</f>
        <v>239.94459194200661</v>
      </c>
      <c r="BG452" s="4">
        <f>MIN(0.6+0.4*(AC452/AB452),2)</f>
        <v>1</v>
      </c>
      <c r="BH452" s="38">
        <f>2*M452*AB452*AD452^0.5*BG452*0.7/0.7</f>
        <v>1039.2</v>
      </c>
      <c r="BI452" s="4">
        <f>MAX(1-0.7*AE452/5,0.3)</f>
        <v>0.44000000000000006</v>
      </c>
      <c r="BJ452" s="4">
        <f>BI452*J452*L452/(J452*N452/2.75/M452^0.5)</f>
        <v>55.163261687467326</v>
      </c>
      <c r="BK452" s="4">
        <f>BH452+BJ452</f>
        <v>1094.3632616874675</v>
      </c>
      <c r="BM452" s="4">
        <f>MIN(1.5, 0.75+0.25*MIN(3,MAX(1,S452/N452))+0.4*MIN(1,(40*2*PI()*AM452^2/4/AO452/X452)/N452))</f>
        <v>1.125</v>
      </c>
      <c r="BN452" s="4">
        <f>(3*P452+30)*BM452*M452^0.5</f>
        <v>538.5256435398411</v>
      </c>
      <c r="BP452" s="4">
        <f>3.4/PI()^0.5*M452*AB452*AE452^0.5*BG452</f>
        <v>996.71988587880821</v>
      </c>
      <c r="BQ452" s="4">
        <f>8/3*AH452*AI452^2/(AG452-N452-22)/N452*(AG452^2-N452^2)/(AG452^2-(N452+22)^2)</f>
        <v>3704.4961984911101</v>
      </c>
      <c r="BR452" s="4">
        <f>BQ452/BP452</f>
        <v>3.7166873571754362</v>
      </c>
      <c r="BZ452" s="4">
        <f>IF(W452=0,S452,MIN(W452/2,S452))</f>
        <v>33.299999999999997</v>
      </c>
      <c r="CD452" s="9"/>
      <c r="CF452" s="9"/>
      <c r="CG452" s="9"/>
      <c r="CH452" s="9">
        <f>IF(W452=0,MIN(S452,U452),MIN(W452/2,S452,U452))</f>
        <v>29.200000000000003</v>
      </c>
      <c r="CI452" s="9">
        <f>MAX(W452/2,S452)</f>
        <v>138.5</v>
      </c>
      <c r="CJ452" s="9">
        <f>(CH452/N452)^0.5*(CI452/CH452)^0.15</f>
        <v>1.4485216037038422</v>
      </c>
      <c r="CK452" s="70">
        <v>0</v>
      </c>
      <c r="CL452" s="9">
        <f>MIN(PI()*AM452^2/4*AN452*2/X452/N452/MAX(0.01,AO452),0.05)</f>
        <v>0</v>
      </c>
      <c r="CM452" s="9">
        <f>MAX(0,CK452*(CL452-0.5/50))</f>
        <v>0</v>
      </c>
      <c r="CN452" s="9">
        <f>MIN(1,(25/N452)^0.3)</f>
        <v>1</v>
      </c>
      <c r="CO452" s="9">
        <f>IF(J452&gt;=800,0.68,IF(J452&gt;=700,0.75-(J452-700)*0.07/100,IF(J452&gt;=600,0.85-(J452-600)*0.1/100,IF(J452&gt;=500,1-(J452-500)*0.15/100,1.2-(J452-400)*0.2/100))))</f>
        <v>0.77100000000000002</v>
      </c>
      <c r="CP452" s="9">
        <f>1.75*CN452*CO452*(M452/25)^0.5</f>
        <v>3.0755797864386483</v>
      </c>
      <c r="CQ452" s="9">
        <f>MIN((CJ452+CM452)*CP452,2.5*CP452,M452^0.5)</f>
        <v>4.4550437645712311</v>
      </c>
      <c r="CR452" s="9">
        <v>1</v>
      </c>
      <c r="CS452" s="9">
        <f>4*CQ452*P452+60*CQ452</f>
        <v>338.58332610741354</v>
      </c>
      <c r="CU452" s="4">
        <f>AJ452/BF452</f>
        <v>2.9673517299864245</v>
      </c>
      <c r="CV452" s="4">
        <f>AJ452/BK452</f>
        <v>0.65060663577295397</v>
      </c>
      <c r="CW452" s="4">
        <f>AJ452/BN452</f>
        <v>1.3221283118847895</v>
      </c>
      <c r="CX452" s="4">
        <f>AJ452/CS452</f>
        <v>2.1028796904609597</v>
      </c>
      <c r="CY452" s="44">
        <f>AJ452/DZ452</f>
        <v>2.3834667189089873</v>
      </c>
      <c r="CZ452" s="4">
        <f>AJ452/EL452</f>
        <v>1</v>
      </c>
      <c r="DA452" s="4">
        <f>AJ452/GI452</f>
        <v>3.0895455618794947</v>
      </c>
      <c r="DC452" s="4">
        <f>CU452</f>
        <v>2.9673517299864245</v>
      </c>
      <c r="DD452" s="4">
        <f>CV452</f>
        <v>0.65060663577295397</v>
      </c>
      <c r="DE452" s="4">
        <f>CX452</f>
        <v>2.1028796904609597</v>
      </c>
      <c r="DF452" s="4">
        <f>DA452</f>
        <v>3.0895455618794947</v>
      </c>
      <c r="DG452" s="4">
        <f>CY452</f>
        <v>2.3834667189089873</v>
      </c>
      <c r="DH452" s="4">
        <f>CZ452</f>
        <v>1</v>
      </c>
      <c r="DP452" s="4">
        <f>AN452</f>
        <v>0</v>
      </c>
      <c r="DQ452" s="4">
        <f>L452</f>
        <v>88.8</v>
      </c>
      <c r="DT452" s="4">
        <f>K452/4/(1-0.3*(M452/30)^0.5)/200000/N452</f>
        <v>1.3307058507295954E-5</v>
      </c>
      <c r="DU452" s="4">
        <f>EP452</f>
        <v>12.884614270393072</v>
      </c>
      <c r="DV452" s="4">
        <f>EC452*AG452/257/M452/AD452</f>
        <v>6.6700857047466672E-2</v>
      </c>
      <c r="DW452" s="4">
        <f>DU452*DV452^0.4</f>
        <v>4.3623849582727168</v>
      </c>
      <c r="DX452" s="4">
        <f>MIN(DU452, DU452/1.4*(1-DV452^1.4)/(1-DV452))</f>
        <v>9.6383424558242492</v>
      </c>
      <c r="DY452" s="4">
        <f>MAX(DU452/2, (4-DT452*(8*AG452*(DW452-DX452)+6*K452*DX452))/(4+DT452*K452*DU452)*DU452)</f>
        <v>12.705940577438506</v>
      </c>
      <c r="DZ452" s="38">
        <f>MIN(1/N452*(4*AG452*(DW452-DX452)+(3*DX452+DY452)*K452)+EC452 -FJ452,MAX(J452,AJ452))</f>
        <v>298.72454033086404</v>
      </c>
      <c r="EA452" s="4">
        <f>DZ452/FF452</f>
        <v>1.0000929695066556</v>
      </c>
      <c r="EB452" s="4">
        <f>AG452/N452</f>
        <v>2.2360679774997898</v>
      </c>
      <c r="EC452" s="4">
        <f>MIN(EB$10*BB452)</f>
        <v>179.43026699491867</v>
      </c>
      <c r="EG452" s="4">
        <f>IF(U452&gt;1*N452,0.85,1)</f>
        <v>0.85</v>
      </c>
      <c r="EH452" s="4">
        <f>MIN(1,MAX(0.7,(1-0.1*(BZ452-1*N452)/N452)))</f>
        <v>0.95</v>
      </c>
      <c r="EI452" s="4">
        <f>MIN(1,MAX(0.7,1-0.3*(PI()*AM452^2/4*AQ452*2-0.25*PI()/4*N452^2)/(PI()/4*N452^2)))</f>
        <v>1</v>
      </c>
      <c r="EJ452" s="4">
        <f>IF(EH452*EI452&lt;0.7,0.7,EH452*EI452)</f>
        <v>0.95</v>
      </c>
      <c r="EL452" s="4">
        <f>MIN(DU452/N452*3*K452+EM452-FJ452,MAX(J452,AJ452))</f>
        <v>712</v>
      </c>
      <c r="EM452" s="25">
        <f>26.5*Q452*K452^0.5*M452^0.5/X452/N452^2*(0.7+S452/5/K452)</f>
        <v>868.2692405319475</v>
      </c>
      <c r="EP452" s="4">
        <f>IF(N452&lt;22.2,1.1*5*(M452/30)^0.5,IF(N452&gt;=31.8,0.9*5*(M452/30)^0.5,1*5*(M452/30)^0.5))/EG452/EJ452</f>
        <v>12.884614270393072</v>
      </c>
      <c r="ES452" s="4">
        <f>ET452*N452</f>
        <v>49.640709100495329</v>
      </c>
      <c r="ET452" s="4">
        <f>AF452^0.5</f>
        <v>2.2360679774997898</v>
      </c>
      <c r="EU452" s="4">
        <f>MIN(EC452)/(4700*M452^0.5)/AE452*ES452</f>
        <v>4.1569160622760351E-2</v>
      </c>
      <c r="EX452" s="4">
        <f>EU452</f>
        <v>4.1569160622760351E-2</v>
      </c>
      <c r="EY452" s="4">
        <f>MIN(0.999, EX452/(0.3*(M452/30)^0.5))</f>
        <v>6.6589545748404311E-2</v>
      </c>
      <c r="EZ452" s="4">
        <f>EP452/1*EY452^0.4</f>
        <v>4.3594714961137413</v>
      </c>
      <c r="FA452" s="4">
        <f>EP452/1.4*(1-EY452^1.4)/(1-EY452)</f>
        <v>9.637713112319771</v>
      </c>
      <c r="FB452" s="4">
        <f>MAX(0,DQ452*FB$9-ES452)</f>
        <v>16.959290899504666</v>
      </c>
      <c r="FC452" s="4">
        <f>MAX(0,DQ452-ES452-FB452)</f>
        <v>22.200000000000003</v>
      </c>
      <c r="FD452" s="4">
        <f>FC452/(1-0.3*(M452/30)^0.5)/200000/N452</f>
        <v>1.3307058507295955E-5</v>
      </c>
      <c r="FE452" s="4">
        <f>MAX(0.5*EP452, (1-2*FD452*(ES452*EZ452+FB452*FA452))/(1/EP452+FD452*FC452))</f>
        <v>12.705993629680572</v>
      </c>
      <c r="FF452" s="4">
        <f>MIN(4/N452*(1*EZ452*ES452+FA452*FB452+FC452*FE452)+EC452,MAX(J452,AJ452))</f>
        <v>298.69677063945807</v>
      </c>
      <c r="FO452" s="23">
        <f>IF(CU452&lt;0.6,0.6,IF(CU452&lt;0.8,0.8,IF(CU452&lt;1,1,IF(CU452&lt;1.2,1.2,IF(CU452&lt;1.4,1.4,IF(CU452&lt;1.6,1.6,IF(CU452&lt;1.8,1.8,IF(CU452&lt;2,2,2.2))))))))</f>
        <v>2.2000000000000002</v>
      </c>
      <c r="FP452" s="23">
        <f>IF(CV452&lt;0.6,0.6,IF(CV452&lt;0.8,0.8,IF(CV452&lt;1,1,IF(CV452&lt;1.2,1.2,IF(CV452&lt;1.4,1.4,IF(CV452&lt;1.6,1.6,IF(CV452&lt;1.8,1.8,IF(CV452&lt;2,2,2.2))))))))</f>
        <v>0.8</v>
      </c>
      <c r="FQ452" s="23">
        <f>IF(DA452&lt;0.6,0.6,IF(DA452&lt;0.8,0.8,IF(DA452&lt;1,1,IF(DA452&lt;1.2,1.2,IF(DA452&lt;1.4,1.4,IF(DA452&lt;1.6,1.6,IF(DA452&lt;1.8,1.8,IF(DA452&lt;2,2,2.2))))))))</f>
        <v>2.2000000000000002</v>
      </c>
      <c r="FR452" s="23">
        <f>IF(CX452&lt;0.6,0.6,IF(CX452&lt;0.8,0.8,IF(CX452&lt;1,1,IF(CX452&lt;1.2,1.2,IF(CX452&lt;1.4,1.4,IF(CX452&lt;1.6,1.6,IF(CX452&lt;1.8,1.8,IF(CX452&lt;2,2,2.2))))))))</f>
        <v>2.2000000000000002</v>
      </c>
      <c r="FS452" s="23">
        <f>IF(CY452&lt;0.6,0.6,IF(CY452&lt;0.8,0.8,IF(CY452&lt;1,1,IF(CY452&lt;1.2,1.2,IF(CY452&lt;1.4,1.4,IF(CY452&lt;1.6,1.6,IF(CY452&lt;1.8,1.8,IF(CY452&lt;2,2,2.2))))))))</f>
        <v>2.2000000000000002</v>
      </c>
      <c r="FT452" s="23">
        <f>IF(CZ452&lt;0.6,0.6,IF(CZ452&lt;0.8,0.8,IF(CZ452&lt;1,1,IF(CZ452&lt;1.2,1.2,IF(CZ452&lt;1.4,1.4,IF(CZ452&lt;1.6,1.6,IF(CZ452&lt;1.8,1.8,IF(CZ452&lt;2,2,2.2))))))))</f>
        <v>1.2</v>
      </c>
      <c r="FU452" s="23">
        <f>IF(FS452&lt;1,1,0)</f>
        <v>0</v>
      </c>
      <c r="FV452" s="23"/>
      <c r="GF452" s="4">
        <f>IF(S452&gt;=2.5*25.4,1,1.25)</f>
        <v>1.25</v>
      </c>
      <c r="GG452" s="4">
        <f>IF(AO452&gt;1, 0.05*(18-MIN(8,(W452+N452)/N452))*(1-48000/MAX(60000,(J452*145))*(N452/25.4)^0.75*GH452), 1/12*(14-MIN(8,(W452+N452)/N452)))</f>
        <v>0.5</v>
      </c>
      <c r="GH452" s="4">
        <f>MIN(0.3, AM452^2*PI()/4*2*AP452/(N452^2*PI()/4*X452))</f>
        <v>0</v>
      </c>
      <c r="GI452" s="4">
        <f>(K452/25.4)/(N452/25.4)^1.5/0.0024*(M452*145)^0.25/GF452/GG452/145</f>
        <v>230.4546043227347</v>
      </c>
    </row>
    <row r="453" spans="1:196" ht="12" customHeight="1" x14ac:dyDescent="0.3">
      <c r="A453" s="52">
        <v>182</v>
      </c>
      <c r="B453" s="53" t="s">
        <v>128</v>
      </c>
      <c r="C453" s="53">
        <v>2017</v>
      </c>
      <c r="D453" s="53" t="s">
        <v>309</v>
      </c>
      <c r="E453" s="53"/>
      <c r="F453" s="24" t="s">
        <v>785</v>
      </c>
      <c r="G453" s="109" t="s">
        <v>785</v>
      </c>
      <c r="H453" s="54" t="s">
        <v>316</v>
      </c>
      <c r="I453" s="5">
        <f>K453/N453</f>
        <v>4</v>
      </c>
      <c r="J453" s="87">
        <v>679</v>
      </c>
      <c r="K453" s="83">
        <f>4*N453</f>
        <v>88.8</v>
      </c>
      <c r="L453" s="32">
        <f>K453</f>
        <v>88.8</v>
      </c>
      <c r="M453" s="102">
        <v>129.9</v>
      </c>
      <c r="N453" s="79">
        <v>22.2</v>
      </c>
      <c r="O453" s="32">
        <f>K453/N453</f>
        <v>4</v>
      </c>
      <c r="P453" s="32">
        <f>L453/N453</f>
        <v>4</v>
      </c>
      <c r="Q453" s="32">
        <v>366</v>
      </c>
      <c r="R453" s="32">
        <f>S453/N453</f>
        <v>1</v>
      </c>
      <c r="S453" s="32">
        <f>1*N453</f>
        <v>22.2</v>
      </c>
      <c r="T453" s="32">
        <f>U453/N453</f>
        <v>1.3153153153153154</v>
      </c>
      <c r="U453" s="32">
        <f>118-L453</f>
        <v>29.200000000000003</v>
      </c>
      <c r="V453" s="32">
        <f>W453/N453</f>
        <v>12.48648648648649</v>
      </c>
      <c r="W453" s="32">
        <f>Q453-2*N453-2*S453</f>
        <v>277.20000000000005</v>
      </c>
      <c r="X453" s="32">
        <v>2</v>
      </c>
      <c r="Y453" s="7">
        <f>AN453</f>
        <v>2</v>
      </c>
      <c r="Z453" s="32">
        <f>AA453/N453</f>
        <v>2.6666666666666665</v>
      </c>
      <c r="AA453" s="102">
        <f>2/3*K453</f>
        <v>59.199999999999996</v>
      </c>
      <c r="AB453" s="32">
        <f>MIN(S453/N453+0.5, W453/2/N453+0.5)</f>
        <v>1.5</v>
      </c>
      <c r="AC453" s="32">
        <f>S453/N453+0.5</f>
        <v>1.5</v>
      </c>
      <c r="AD453" s="32">
        <f>2040/510</f>
        <v>4</v>
      </c>
      <c r="AE453" s="32">
        <f>2040/510</f>
        <v>4</v>
      </c>
      <c r="AF453" s="32">
        <f>AE453+1</f>
        <v>5</v>
      </c>
      <c r="AG453" s="32">
        <f>N453*AF453^0.5</f>
        <v>49.640709100495329</v>
      </c>
      <c r="AH453" s="32">
        <f>J453</f>
        <v>679</v>
      </c>
      <c r="AI453" s="32">
        <v>8</v>
      </c>
      <c r="AJ453" s="32">
        <f>(735+707)/2</f>
        <v>721</v>
      </c>
      <c r="AK453" s="32"/>
      <c r="AL453" s="54">
        <f>CY453</f>
        <v>2.4460777087109391</v>
      </c>
      <c r="AM453" s="32">
        <v>9.5</v>
      </c>
      <c r="AN453" s="32">
        <v>2</v>
      </c>
      <c r="AO453" s="32">
        <v>52</v>
      </c>
      <c r="AP453" s="32">
        <v>4</v>
      </c>
      <c r="AQ453" s="32">
        <f>AN453</f>
        <v>2</v>
      </c>
      <c r="AR453" s="32">
        <f>3*AS453/(W453+N453)</f>
        <v>0.88977955911823625</v>
      </c>
      <c r="AS453" s="54">
        <f>K453</f>
        <v>88.8</v>
      </c>
      <c r="AT453" s="54">
        <f>IF(K453*3&gt;W453+N453, Q453, (S453+N453/2)*2+1.5*K453*(2*X453-2))*(3*K453)/(9*K453^2)</f>
        <v>1.25</v>
      </c>
      <c r="AU453" s="54">
        <f>MIN(10*M453^0.5*K453^1.5,100*3.9*M453^0.5*K453^(5/3))/(PI()/4*N453^2)/X453</f>
        <v>123.19645135939774</v>
      </c>
      <c r="AV453" s="54">
        <f>MIN(0.7+0.3*(MIN(S453,AA453)+0.5*N453)/1.5/K453,1)</f>
        <v>0.77499999999999991</v>
      </c>
      <c r="AW453" s="54">
        <v>1.25</v>
      </c>
      <c r="AX453" s="59">
        <f>AX452</f>
        <v>1</v>
      </c>
      <c r="AY453" s="56">
        <f>AT453*AV453*AW453*AX453*AU453</f>
        <v>149.18320281802067</v>
      </c>
      <c r="AZ453" s="56">
        <f>AY453</f>
        <v>149.18320281802067</v>
      </c>
      <c r="BA453" s="56">
        <f>IF(M453&lt;50, 0.3*M453^(2/3), 2.12*LN(1+0.1*(M453+8)))</f>
        <v>5.7111767066521422</v>
      </c>
      <c r="BB453" s="56">
        <f>AX453* (M453^0.5/AS453^0.5)/(PI()/4*N453^2)/X453/0.72 *(0.7+(MIN(S453,AA453)+0.5*N453)/5/K453) *(3*Q453*K453)</f>
        <v>163.96712381800475</v>
      </c>
      <c r="BC453" s="56">
        <f>AY453/BB453</f>
        <v>0.90983606557377028</v>
      </c>
      <c r="BD453" s="56">
        <f>BH453/BB453</f>
        <v>4.7533919108387535</v>
      </c>
      <c r="BE453" s="54">
        <f>IF(BD453&lt;1,1,0)</f>
        <v>0</v>
      </c>
      <c r="BF453" s="54">
        <f>L453/N453*M453^0.5/0.19</f>
        <v>239.94459194200661</v>
      </c>
      <c r="BG453" s="54">
        <f>MIN(0.6+0.4*(AC453/AB453),2)</f>
        <v>1</v>
      </c>
      <c r="BH453" s="56">
        <f>2*M453*AB453*AD453^0.5*BG453*0.7/0.7</f>
        <v>779.40000000000009</v>
      </c>
      <c r="BI453" s="54">
        <f>MAX(1-0.7*AE453/5,0.3)</f>
        <v>0.44000000000000006</v>
      </c>
      <c r="BJ453" s="54">
        <f>BI453*J453*L453/(J453*N453/2.75/M453^0.5)</f>
        <v>55.163261687467326</v>
      </c>
      <c r="BK453" s="54">
        <f>BH453+BJ453</f>
        <v>834.56326168746739</v>
      </c>
      <c r="BL453" s="54"/>
      <c r="BM453" s="54">
        <f>MIN(1.5, 0.75+0.25*MIN(3,MAX(1,S453/N453))+0.4*MIN(1,(40*2*PI()*AM453^2/4/AO453/X453)/N453))</f>
        <v>1.4</v>
      </c>
      <c r="BN453" s="54">
        <f>(3*P453+30)*BM453*M453^0.5</f>
        <v>670.16524529402443</v>
      </c>
      <c r="BO453" s="54"/>
      <c r="BP453" s="54">
        <f>3.4/PI()^0.5*M453*AB453*AE453^0.5*BG453</f>
        <v>747.53991440910613</v>
      </c>
      <c r="BQ453" s="54">
        <f>8/3*AH453*AI453^2/(AG453-N453-22)/N453*(AG453^2-N453^2)/(AG453^2-(N453+22)^2)</f>
        <v>3704.4961984911101</v>
      </c>
      <c r="BR453" s="54">
        <f>BQ453/BP453</f>
        <v>4.9555831429005819</v>
      </c>
      <c r="BS453" s="54"/>
      <c r="BT453" s="54"/>
      <c r="BU453" s="54"/>
      <c r="BV453" s="54"/>
      <c r="BW453" s="54"/>
      <c r="BX453" s="54"/>
      <c r="BY453" s="54"/>
      <c r="BZ453" s="54">
        <f>IF(W453=0,S453,MIN(W453/2,S453))</f>
        <v>22.2</v>
      </c>
      <c r="CA453" s="54"/>
      <c r="CB453" s="54"/>
      <c r="CC453" s="54"/>
      <c r="CD453" s="57"/>
      <c r="CE453" s="54"/>
      <c r="CF453" s="57"/>
      <c r="CG453" s="57"/>
      <c r="CH453" s="57">
        <f>IF(W453=0,MIN(S453,U453),MIN(W453/2,S453,U453))</f>
        <v>22.2</v>
      </c>
      <c r="CI453" s="57">
        <f>MAX(W453/2,S453)</f>
        <v>138.60000000000002</v>
      </c>
      <c r="CJ453" s="57">
        <f>(CH453/N453)^0.5*(CI453/CH453)^0.15</f>
        <v>1.3161686388047049</v>
      </c>
      <c r="CK453" s="71">
        <v>20</v>
      </c>
      <c r="CL453" s="57">
        <f>MIN(PI()*AM453^2/4*AN453*2/X453/N453/MAX(0.01,AO453),0.05)</f>
        <v>0.05</v>
      </c>
      <c r="CM453" s="57">
        <f>MAX(0,CK453*(CL453-0.5/50))</f>
        <v>0.8</v>
      </c>
      <c r="CN453" s="57">
        <f>MIN(1,(25/N453)^0.3)</f>
        <v>1</v>
      </c>
      <c r="CO453" s="57">
        <f>IF(J453&gt;=800,0.68,IF(J453&gt;=700,0.75-(J453-700)*0.07/100,IF(J453&gt;=600,0.85-(J453-600)*0.1/100,IF(J453&gt;=500,1-(J453-500)*0.15/100,1.2-(J453-400)*0.2/100))))</f>
        <v>0.77100000000000002</v>
      </c>
      <c r="CP453" s="57">
        <f>1.75*CN453*CO453*(M453/25)^0.5</f>
        <v>3.0755797864386483</v>
      </c>
      <c r="CQ453" s="57">
        <f>MIN((CJ453+CM453)*CP453,2.5*CP453,M453^0.5)</f>
        <v>6.5084454902031403</v>
      </c>
      <c r="CR453" s="57">
        <v>1</v>
      </c>
      <c r="CS453" s="57">
        <f>4*CQ453*P453+60*CQ453</f>
        <v>494.64185725543865</v>
      </c>
      <c r="CT453" s="54"/>
      <c r="CU453" s="54">
        <f>AJ453/BF453</f>
        <v>3.0048603894946799</v>
      </c>
      <c r="CV453" s="54">
        <f>AJ453/BK453</f>
        <v>0.86392492109244645</v>
      </c>
      <c r="CW453" s="54">
        <f>AJ453/BN453</f>
        <v>1.0758540599694522</v>
      </c>
      <c r="CX453" s="54">
        <f>AJ453/CS453</f>
        <v>1.4576202750016511</v>
      </c>
      <c r="CY453" s="60">
        <f>AJ453/DZ453</f>
        <v>2.4460777087109391</v>
      </c>
      <c r="CZ453" s="54">
        <f>AJ453/EL453</f>
        <v>1</v>
      </c>
      <c r="DA453" s="54">
        <f>AJ453/GI453</f>
        <v>2.7149668974723982</v>
      </c>
      <c r="DB453" s="54"/>
      <c r="DC453" s="54"/>
      <c r="DD453" s="54"/>
      <c r="DE453" s="54"/>
      <c r="DF453" s="54"/>
      <c r="DG453" s="54"/>
      <c r="DH453" s="54"/>
      <c r="DI453" s="54">
        <f>CU453</f>
        <v>3.0048603894946799</v>
      </c>
      <c r="DJ453" s="54">
        <f>CV453</f>
        <v>0.86392492109244645</v>
      </c>
      <c r="DK453" s="54">
        <f>CX453</f>
        <v>1.4576202750016511</v>
      </c>
      <c r="DL453" s="54">
        <f>DA453</f>
        <v>2.7149668974723982</v>
      </c>
      <c r="DM453" s="54">
        <f>CY453</f>
        <v>2.4460777087109391</v>
      </c>
      <c r="DN453" s="54">
        <f>CZ453</f>
        <v>1</v>
      </c>
      <c r="DO453" s="54"/>
      <c r="DP453" s="54">
        <f>AN453</f>
        <v>2</v>
      </c>
      <c r="DQ453" s="54">
        <f>L453</f>
        <v>88.8</v>
      </c>
      <c r="DR453" s="54"/>
      <c r="DS453" s="54"/>
      <c r="DT453" s="54">
        <f>K453/4/(1-0.3*(M453/30)^0.5)/200000/N453</f>
        <v>1.3307058507295954E-5</v>
      </c>
      <c r="DU453" s="54">
        <f>EP453</f>
        <v>14.311999279173566</v>
      </c>
      <c r="DV453" s="54">
        <f>EC453*AG453/257/M453/AD453</f>
        <v>6.0952635636320612E-2</v>
      </c>
      <c r="DW453" s="54">
        <f>DU453*DV453^0.4</f>
        <v>4.6740924861367308</v>
      </c>
      <c r="DX453" s="54">
        <f>MIN(DU453, DU453/1.4*(1-DV453^1.4)/(1-DV453))</f>
        <v>10.669704483239553</v>
      </c>
      <c r="DY453" s="54">
        <f>MAX(DU453/2, (4-DT453*(8*AG453*(DW453-DX453)+6*K453*DX453))/(4+DT453*K453*DU453)*DU453)</f>
        <v>14.095102116091823</v>
      </c>
      <c r="DZ453" s="56">
        <f>MIN(1/N453*(4*AG453*(DW453-DX453)+(3*DX453+DY453)*K453)+EC453 -FJ453,MAX(J453,AJ453))</f>
        <v>294.75760211230596</v>
      </c>
      <c r="EA453" s="54">
        <f>DZ453/FF453</f>
        <v>1.0001006142063733</v>
      </c>
      <c r="EB453" s="54">
        <f>AG453/N453</f>
        <v>2.2360679774997898</v>
      </c>
      <c r="EC453" s="54">
        <f>MIN(EB$10*BB453)</f>
        <v>163.96712381800475</v>
      </c>
      <c r="ED453" s="54"/>
      <c r="EE453" s="54"/>
      <c r="EF453" s="54"/>
      <c r="EG453" s="54">
        <f>IF(U453&gt;1*N453,0.85,1)</f>
        <v>0.85</v>
      </c>
      <c r="EH453" s="54">
        <f>MIN(1,MAX(0.7,(1-0.1*(BZ453-1*N453)/N453)))</f>
        <v>1</v>
      </c>
      <c r="EI453" s="54">
        <f>MIN(1,MAX(0.7,1-0.3*(PI()*AM453^2/4*AQ453*2-0.25*PI()/4*N453^2)/(PI()/4*N453^2)))</f>
        <v>0.8552532261991721</v>
      </c>
      <c r="EJ453" s="54">
        <f>IF(EH453*EI453&lt;0.7,0.7,EH453*EI453)</f>
        <v>0.8552532261991721</v>
      </c>
      <c r="EK453" s="54"/>
      <c r="EL453" s="54">
        <f>MIN(DU453/N453*3*K453+EM453-FJ453,MAX(J453,AJ453))</f>
        <v>721</v>
      </c>
      <c r="EM453" s="52">
        <f>26.5*Q453*K453^0.5*M453^0.5/X453/N453^2*(0.7+S453/5/K453)</f>
        <v>792.6169156169592</v>
      </c>
      <c r="EN453" s="54"/>
      <c r="EO453" s="54"/>
      <c r="EP453" s="54">
        <f>IF(N453&lt;22.2,1.1*5*(M453/30)^0.5,IF(N453&gt;=31.8,0.9*5*(M453/30)^0.5,1*5*(M453/30)^0.5))/EG453/EJ453</f>
        <v>14.311999279173566</v>
      </c>
      <c r="EQ453" s="54"/>
      <c r="ER453" s="54"/>
      <c r="ES453" s="54">
        <f>ET453*N453</f>
        <v>49.640709100495329</v>
      </c>
      <c r="ET453" s="54">
        <f>AF453^0.5</f>
        <v>2.2360679774997898</v>
      </c>
      <c r="EU453" s="54">
        <f>MIN(EC453)/(4700*M453^0.5)/AE453*ES453</f>
        <v>3.7986766786874911E-2</v>
      </c>
      <c r="EV453" s="54"/>
      <c r="EW453" s="54"/>
      <c r="EX453" s="54">
        <f>EU453</f>
        <v>3.7986766786874911E-2</v>
      </c>
      <c r="EY453" s="54">
        <f>MIN(0.999, EX453/(0.3*(M453/30)^0.5))</f>
        <v>6.0850917047470615E-2</v>
      </c>
      <c r="EZ453" s="54">
        <f>EP453/1*EY453^0.4</f>
        <v>4.6709708470067213</v>
      </c>
      <c r="FA453" s="54">
        <f>EP453/1.4*(1-EY453^1.4)/(1-EY453)</f>
        <v>10.669054933620055</v>
      </c>
      <c r="FB453" s="54">
        <f>MAX(0,DQ453*FB$9-ES453)</f>
        <v>16.959290899504666</v>
      </c>
      <c r="FC453" s="54">
        <f>MAX(0,DQ453-ES453-FB453)</f>
        <v>22.200000000000003</v>
      </c>
      <c r="FD453" s="54">
        <f>FC453/(1-0.3*(M453/30)^0.5)/200000/N453</f>
        <v>1.3307058507295955E-5</v>
      </c>
      <c r="FE453" s="54">
        <f>MAX(0.5*EP453, (1-2*FD453*(ES453*EZ453+FB453*FA453))/(1/EP453+FD453*FC453))</f>
        <v>14.095165070488884</v>
      </c>
      <c r="FF453" s="54">
        <f>MIN(4/N453*(1*EZ453*ES453+FA453*FB453+FC453*FE453)+EC453,MAX(J453,AJ453))</f>
        <v>294.72794829369235</v>
      </c>
      <c r="FG453" s="54"/>
      <c r="FH453" s="54"/>
      <c r="FI453" s="54"/>
      <c r="FJ453" s="54"/>
      <c r="FK453" s="54"/>
      <c r="FL453" s="54"/>
      <c r="FM453" s="54"/>
      <c r="FN453" s="54"/>
      <c r="FO453" s="58">
        <f>IF(CU453&lt;0.6,0.6,IF(CU453&lt;0.8,0.8,IF(CU453&lt;1,1,IF(CU453&lt;1.2,1.2,IF(CU453&lt;1.4,1.4,IF(CU453&lt;1.6,1.6,IF(CU453&lt;1.8,1.8,IF(CU453&lt;2,2,2.2))))))))</f>
        <v>2.2000000000000002</v>
      </c>
      <c r="FP453" s="58">
        <f>IF(CV453&lt;0.6,0.6,IF(CV453&lt;0.8,0.8,IF(CV453&lt;1,1,IF(CV453&lt;1.2,1.2,IF(CV453&lt;1.4,1.4,IF(CV453&lt;1.6,1.6,IF(CV453&lt;1.8,1.8,IF(CV453&lt;2,2,2.2))))))))</f>
        <v>1</v>
      </c>
      <c r="FQ453" s="58">
        <f>IF(DA453&lt;0.6,0.6,IF(DA453&lt;0.8,0.8,IF(DA453&lt;1,1,IF(DA453&lt;1.2,1.2,IF(DA453&lt;1.4,1.4,IF(DA453&lt;1.6,1.6,IF(DA453&lt;1.8,1.8,IF(DA453&lt;2,2,2.2))))))))</f>
        <v>2.2000000000000002</v>
      </c>
      <c r="FR453" s="58">
        <f>IF(CX453&lt;0.6,0.6,IF(CX453&lt;0.8,0.8,IF(CX453&lt;1,1,IF(CX453&lt;1.2,1.2,IF(CX453&lt;1.4,1.4,IF(CX453&lt;1.6,1.6,IF(CX453&lt;1.8,1.8,IF(CX453&lt;2,2,2.2))))))))</f>
        <v>1.6</v>
      </c>
      <c r="FS453" s="58">
        <f>IF(CY453&lt;0.6,0.6,IF(CY453&lt;0.8,0.8,IF(CY453&lt;1,1,IF(CY453&lt;1.2,1.2,IF(CY453&lt;1.4,1.4,IF(CY453&lt;1.6,1.6,IF(CY453&lt;1.8,1.8,IF(CY453&lt;2,2,2.2))))))))</f>
        <v>2.2000000000000002</v>
      </c>
      <c r="FT453" s="58">
        <f>IF(CZ453&lt;0.6,0.6,IF(CZ453&lt;0.8,0.8,IF(CZ453&lt;1,1,IF(CZ453&lt;1.2,1.2,IF(CZ453&lt;1.4,1.4,IF(CZ453&lt;1.6,1.6,IF(CZ453&lt;1.8,1.8,IF(CZ453&lt;2,2,2.2))))))))</f>
        <v>1.2</v>
      </c>
      <c r="FU453" s="58">
        <f>IF(FS453&lt;1,1,0)</f>
        <v>0</v>
      </c>
      <c r="FV453" s="58"/>
      <c r="FW453" s="54"/>
      <c r="FX453" s="54"/>
      <c r="FY453" s="54"/>
      <c r="FZ453" s="54"/>
      <c r="GA453" s="54"/>
      <c r="GB453" s="54"/>
      <c r="GC453" s="54"/>
      <c r="GD453" s="54"/>
      <c r="GE453" s="54"/>
      <c r="GF453" s="54">
        <f>IF(S453&gt;=2.5*25.4,1,1.25)</f>
        <v>1.25</v>
      </c>
      <c r="GG453" s="54">
        <f>IF(AO453&gt;1, 0.05*(18-MIN(8,(W453+N453)/N453))*(1-48000/MAX(60000,(J453*145))*(N453/25.4)^0.75*GH453), 1/12*(14-MIN(8,(W453+N453)/N453)))</f>
        <v>0.4338950222651346</v>
      </c>
      <c r="GH453" s="54">
        <f>MIN(0.3, AM453^2*PI()/4*2*AP453/(N453^2*PI()/4*X453))</f>
        <v>0.3</v>
      </c>
      <c r="GI453" s="54">
        <f>(K453/25.4)/(N453/25.4)^1.5/0.0024*(M453*145)^0.25/GF453/GG453/145</f>
        <v>265.56493218066208</v>
      </c>
      <c r="GJ453" s="54"/>
      <c r="GK453" s="54"/>
      <c r="GL453" s="54"/>
      <c r="GM453" s="54"/>
      <c r="GN453" s="54"/>
    </row>
    <row r="454" spans="1:196" ht="12" customHeight="1" x14ac:dyDescent="0.3">
      <c r="A454" s="25">
        <v>183</v>
      </c>
      <c r="B454" s="24" t="s">
        <v>128</v>
      </c>
      <c r="C454" s="24">
        <v>2017</v>
      </c>
      <c r="D454" s="24" t="s">
        <v>309</v>
      </c>
      <c r="E454" s="24"/>
      <c r="F454" s="24" t="s">
        <v>785</v>
      </c>
      <c r="G454" s="109" t="s">
        <v>785</v>
      </c>
      <c r="H454" s="4" t="s">
        <v>317</v>
      </c>
      <c r="I454" s="5">
        <f>K454/N454</f>
        <v>4</v>
      </c>
      <c r="J454" s="86">
        <v>679</v>
      </c>
      <c r="K454" s="84">
        <f>4*N454</f>
        <v>88.8</v>
      </c>
      <c r="L454" s="7">
        <f>K454</f>
        <v>88.8</v>
      </c>
      <c r="M454" s="10">
        <v>129.9</v>
      </c>
      <c r="N454" s="80">
        <v>22.2</v>
      </c>
      <c r="O454" s="7">
        <f>K454/N454</f>
        <v>4</v>
      </c>
      <c r="P454" s="7">
        <f>L454/N454</f>
        <v>4</v>
      </c>
      <c r="Q454" s="7">
        <v>366</v>
      </c>
      <c r="R454" s="32">
        <f>S454/N454</f>
        <v>1</v>
      </c>
      <c r="S454" s="7">
        <f>1*N454</f>
        <v>22.2</v>
      </c>
      <c r="T454" s="32">
        <f>U454/N454</f>
        <v>1.3153153153153154</v>
      </c>
      <c r="U454" s="7">
        <f>118-L454</f>
        <v>29.200000000000003</v>
      </c>
      <c r="V454" s="32">
        <f>W454/N454</f>
        <v>12.48648648648649</v>
      </c>
      <c r="W454" s="7">
        <f>Q454-2*N454-2*S454</f>
        <v>277.20000000000005</v>
      </c>
      <c r="X454" s="7">
        <v>2</v>
      </c>
      <c r="Y454" s="7">
        <f>AN454</f>
        <v>2</v>
      </c>
      <c r="Z454" s="32">
        <f>AA454/N454</f>
        <v>2.6666666666666665</v>
      </c>
      <c r="AA454" s="10">
        <f>2/3*K454</f>
        <v>59.199999999999996</v>
      </c>
      <c r="AB454" s="7">
        <f>MIN(S454/N454+0.5, W454/2/N454+0.5)</f>
        <v>1.5</v>
      </c>
      <c r="AC454" s="7">
        <f>S454/N454+0.5</f>
        <v>1.5</v>
      </c>
      <c r="AD454" s="7">
        <f>2040/510</f>
        <v>4</v>
      </c>
      <c r="AE454" s="7">
        <f>2040/510</f>
        <v>4</v>
      </c>
      <c r="AF454" s="7">
        <f>AE454+1</f>
        <v>5</v>
      </c>
      <c r="AG454" s="7">
        <f>N454*AF454^0.5</f>
        <v>49.640709100495329</v>
      </c>
      <c r="AH454" s="7">
        <f>J454</f>
        <v>679</v>
      </c>
      <c r="AI454" s="7">
        <v>8</v>
      </c>
      <c r="AJ454" s="7">
        <f>(735+703)/2</f>
        <v>719</v>
      </c>
      <c r="AK454" s="7"/>
      <c r="AL454" s="4">
        <f>CY454</f>
        <v>2.4392924723483564</v>
      </c>
      <c r="AM454" s="7">
        <v>9.5</v>
      </c>
      <c r="AN454" s="7">
        <v>2</v>
      </c>
      <c r="AO454" s="7">
        <v>52</v>
      </c>
      <c r="AP454" s="7">
        <v>4</v>
      </c>
      <c r="AQ454" s="7">
        <f>AN454</f>
        <v>2</v>
      </c>
      <c r="AR454" s="7">
        <f>3*AS454/(W454+N454)</f>
        <v>0.88977955911823625</v>
      </c>
      <c r="AS454" s="4">
        <f>K454</f>
        <v>88.8</v>
      </c>
      <c r="AT454" s="4">
        <f>IF(K454*3&gt;W454+N454, Q454, (S454+N454/2)*2+1.5*K454*(2*X454-2))*(3*K454)/(9*K454^2)</f>
        <v>1.25</v>
      </c>
      <c r="AU454" s="4">
        <f>MIN(10*M454^0.5*K454^1.5,100*3.9*M454^0.5*K454^(5/3))/(PI()/4*N454^2)/X454</f>
        <v>123.19645135939774</v>
      </c>
      <c r="AV454" s="4">
        <f>MIN(0.7+0.3*(MIN(S454,AA454)+0.5*N454)/1.5/K454,1)</f>
        <v>0.77499999999999991</v>
      </c>
      <c r="AW454" s="4">
        <v>1.25</v>
      </c>
      <c r="AX454" s="47">
        <f>AX453</f>
        <v>1</v>
      </c>
      <c r="AY454" s="38">
        <f>AT454*AV454*AW454*AX454*AU454</f>
        <v>149.18320281802067</v>
      </c>
      <c r="AZ454" s="38">
        <f>AY454</f>
        <v>149.18320281802067</v>
      </c>
      <c r="BA454" s="38">
        <f>IF(M454&lt;50, 0.3*M454^(2/3), 2.12*LN(1+0.1*(M454+8)))</f>
        <v>5.7111767066521422</v>
      </c>
      <c r="BB454" s="38">
        <f>AX454* (M454^0.5/AS454^0.5)/(PI()/4*N454^2)/X454/0.72 *(0.7+(MIN(S454,AA454)+0.5*N454)/5/K454) *(3*Q454*K454)</f>
        <v>163.96712381800475</v>
      </c>
      <c r="BC454" s="38">
        <f>AY454/BB454</f>
        <v>0.90983606557377028</v>
      </c>
      <c r="BD454" s="38">
        <f>BH454/BB454</f>
        <v>4.7533919108387535</v>
      </c>
      <c r="BE454" s="4">
        <f>IF(BD454&lt;1,1,0)</f>
        <v>0</v>
      </c>
      <c r="BF454" s="4">
        <f>L454/N454*M454^0.5/0.19</f>
        <v>239.94459194200661</v>
      </c>
      <c r="BG454" s="4">
        <f>MIN(0.6+0.4*(AC454/AB454),2)</f>
        <v>1</v>
      </c>
      <c r="BH454" s="38">
        <f>2*M454*AB454*AD454^0.5*BG454*0.7/0.7</f>
        <v>779.40000000000009</v>
      </c>
      <c r="BI454" s="4">
        <f>MAX(1-0.7*AE454/5,0.3)</f>
        <v>0.44000000000000006</v>
      </c>
      <c r="BJ454" s="4">
        <f>BI454*J454*L454/(J454*N454/2.75/M454^0.5)</f>
        <v>55.163261687467326</v>
      </c>
      <c r="BK454" s="4">
        <f>BH454+BJ454</f>
        <v>834.56326168746739</v>
      </c>
      <c r="BM454" s="4">
        <f>MIN(1.5, 0.75+0.25*MIN(3,MAX(1,S454/N454))+0.4*MIN(1,(40*2*PI()*AM454^2/4/AO454/X454)/N454))</f>
        <v>1.4</v>
      </c>
      <c r="BN454" s="4">
        <f>(3*P454+30)*BM454*M454^0.5</f>
        <v>670.16524529402443</v>
      </c>
      <c r="BP454" s="4">
        <f>3.4/PI()^0.5*M454*AB454*AE454^0.5*BG454</f>
        <v>747.53991440910613</v>
      </c>
      <c r="BQ454" s="4">
        <f>8/3*AH454*AI454^2/(AG454-N454-22)/N454*(AG454^2-N454^2)/(AG454^2-(N454+22)^2)</f>
        <v>3704.4961984911101</v>
      </c>
      <c r="BR454" s="4">
        <f>BQ454/BP454</f>
        <v>4.9555831429005819</v>
      </c>
      <c r="BZ454" s="4">
        <f>IF(W454=0,S454,MIN(W454/2,S454))</f>
        <v>22.2</v>
      </c>
      <c r="CD454" s="9"/>
      <c r="CF454" s="9"/>
      <c r="CG454" s="9"/>
      <c r="CH454" s="9">
        <f>IF(W454=0,MIN(S454,U454),MIN(W454/2,S454,U454))</f>
        <v>22.2</v>
      </c>
      <c r="CI454" s="9">
        <f>MAX(W454/2,S454)</f>
        <v>138.60000000000002</v>
      </c>
      <c r="CJ454" s="9">
        <f>(CH454/N454)^0.5*(CI454/CH454)^0.15</f>
        <v>1.3161686388047049</v>
      </c>
      <c r="CK454" s="70">
        <v>20</v>
      </c>
      <c r="CL454" s="9">
        <f>MIN(PI()*AM454^2/4*AN454*2/X454/N454/MAX(0.01,AO454),0.05)</f>
        <v>0.05</v>
      </c>
      <c r="CM454" s="9">
        <f>MAX(0,CK454*(CL454-0.5/50))</f>
        <v>0.8</v>
      </c>
      <c r="CN454" s="9">
        <f>MIN(1,(25/N454)^0.3)</f>
        <v>1</v>
      </c>
      <c r="CO454" s="9">
        <f>IF(J454&gt;=800,0.68,IF(J454&gt;=700,0.75-(J454-700)*0.07/100,IF(J454&gt;=600,0.85-(J454-600)*0.1/100,IF(J454&gt;=500,1-(J454-500)*0.15/100,1.2-(J454-400)*0.2/100))))</f>
        <v>0.77100000000000002</v>
      </c>
      <c r="CP454" s="9">
        <f>1.75*CN454*CO454*(M454/25)^0.5</f>
        <v>3.0755797864386483</v>
      </c>
      <c r="CQ454" s="9">
        <f>MIN((CJ454+CM454)*CP454,2.5*CP454,M454^0.5)</f>
        <v>6.5084454902031403</v>
      </c>
      <c r="CR454" s="9">
        <v>1</v>
      </c>
      <c r="CS454" s="9">
        <f>4*CQ454*P454+60*CQ454</f>
        <v>494.64185725543865</v>
      </c>
      <c r="CU454" s="4">
        <f>AJ454/BF454</f>
        <v>2.9965251318261785</v>
      </c>
      <c r="CV454" s="4">
        <f>AJ454/BK454</f>
        <v>0.86152845806583767</v>
      </c>
      <c r="CW454" s="4">
        <f>AJ454/BN454</f>
        <v>1.0728697213842386</v>
      </c>
      <c r="CX454" s="4">
        <f>AJ454/CS454</f>
        <v>1.4535769455286924</v>
      </c>
      <c r="CY454" s="44">
        <f>AJ454/DZ454</f>
        <v>2.4392924723483564</v>
      </c>
      <c r="CZ454" s="4">
        <f>AJ454/EL454</f>
        <v>1</v>
      </c>
      <c r="DA454" s="4">
        <f>AJ454/GI454</f>
        <v>2.7074357826389104</v>
      </c>
      <c r="DI454" s="4">
        <f>CU454</f>
        <v>2.9965251318261785</v>
      </c>
      <c r="DJ454" s="4">
        <f>CV454</f>
        <v>0.86152845806583767</v>
      </c>
      <c r="DK454" s="4">
        <f>CX454</f>
        <v>1.4535769455286924</v>
      </c>
      <c r="DL454" s="4">
        <f>DA454</f>
        <v>2.7074357826389104</v>
      </c>
      <c r="DM454" s="4">
        <f>CY454</f>
        <v>2.4392924723483564</v>
      </c>
      <c r="DN454" s="4">
        <f>CZ454</f>
        <v>1</v>
      </c>
      <c r="DP454" s="4">
        <f>AN454</f>
        <v>2</v>
      </c>
      <c r="DQ454" s="4">
        <f>L454</f>
        <v>88.8</v>
      </c>
      <c r="DT454" s="4">
        <f>K454/4/(1-0.3*(M454/30)^0.5)/200000/N454</f>
        <v>1.3307058507295954E-5</v>
      </c>
      <c r="DU454" s="4">
        <f>EP454</f>
        <v>14.311999279173566</v>
      </c>
      <c r="DV454" s="4">
        <f>EC454*AG454/257/M454/AD454</f>
        <v>6.0952635636320612E-2</v>
      </c>
      <c r="DW454" s="4">
        <f>DU454*DV454^0.4</f>
        <v>4.6740924861367308</v>
      </c>
      <c r="DX454" s="4">
        <f>MIN(DU454, DU454/1.4*(1-DV454^1.4)/(1-DV454))</f>
        <v>10.669704483239553</v>
      </c>
      <c r="DY454" s="4">
        <f>MAX(DU454/2, (4-DT454*(8*AG454*(DW454-DX454)+6*K454*DX454))/(4+DT454*K454*DU454)*DU454)</f>
        <v>14.095102116091823</v>
      </c>
      <c r="DZ454" s="38">
        <f>MIN(1/N454*(4*AG454*(DW454-DX454)+(3*DX454+DY454)*K454)+EC454 -FJ454,MAX(J454,AJ454))</f>
        <v>294.75760211230596</v>
      </c>
      <c r="EA454" s="4">
        <f>DZ454/FF454</f>
        <v>1.0001006142063733</v>
      </c>
      <c r="EB454" s="4">
        <f>AG454/N454</f>
        <v>2.2360679774997898</v>
      </c>
      <c r="EC454" s="4">
        <f>MIN(EB$10*BB454)</f>
        <v>163.96712381800475</v>
      </c>
      <c r="EG454" s="4">
        <f>IF(U454&gt;1*N454,0.85,1)</f>
        <v>0.85</v>
      </c>
      <c r="EH454" s="4">
        <f>MIN(1,MAX(0.7,(1-0.1*(BZ454-1*N454)/N454)))</f>
        <v>1</v>
      </c>
      <c r="EI454" s="4">
        <f>MIN(1,MAX(0.7,1-0.3*(PI()*AM454^2/4*AQ454*2-0.25*PI()/4*N454^2)/(PI()/4*N454^2)))</f>
        <v>0.8552532261991721</v>
      </c>
      <c r="EJ454" s="4">
        <f>IF(EH454*EI454&lt;0.7,0.7,EH454*EI454)</f>
        <v>0.8552532261991721</v>
      </c>
      <c r="EL454" s="4">
        <f>MIN(DU454/N454*3*K454+EM454-FJ454,MAX(J454,AJ454))</f>
        <v>719</v>
      </c>
      <c r="EM454" s="25">
        <f>26.5*Q454*K454^0.5*M454^0.5/X454/N454^2*(0.7+S454/5/K454)</f>
        <v>792.6169156169592</v>
      </c>
      <c r="EP454" s="4">
        <f>IF(N454&lt;22.2,1.1*5*(M454/30)^0.5,IF(N454&gt;=31.8,0.9*5*(M454/30)^0.5,1*5*(M454/30)^0.5))/EG454/EJ454</f>
        <v>14.311999279173566</v>
      </c>
      <c r="ES454" s="4">
        <f>ET454*N454</f>
        <v>49.640709100495329</v>
      </c>
      <c r="ET454" s="4">
        <f>AF454^0.5</f>
        <v>2.2360679774997898</v>
      </c>
      <c r="EU454" s="4">
        <f>MIN(EC454)/(4700*M454^0.5)/AE454*ES454</f>
        <v>3.7986766786874911E-2</v>
      </c>
      <c r="EX454" s="4">
        <f>EU454</f>
        <v>3.7986766786874911E-2</v>
      </c>
      <c r="EY454" s="4">
        <f>MIN(0.999, EX454/(0.3*(M454/30)^0.5))</f>
        <v>6.0850917047470615E-2</v>
      </c>
      <c r="EZ454" s="4">
        <f>EP454/1*EY454^0.4</f>
        <v>4.6709708470067213</v>
      </c>
      <c r="FA454" s="4">
        <f>EP454/1.4*(1-EY454^1.4)/(1-EY454)</f>
        <v>10.669054933620055</v>
      </c>
      <c r="FB454" s="4">
        <f>MAX(0,DQ454*FB$9-ES454)</f>
        <v>16.959290899504666</v>
      </c>
      <c r="FC454" s="4">
        <f>MAX(0,DQ454-ES454-FB454)</f>
        <v>22.200000000000003</v>
      </c>
      <c r="FD454" s="4">
        <f>FC454/(1-0.3*(M454/30)^0.5)/200000/N454</f>
        <v>1.3307058507295955E-5</v>
      </c>
      <c r="FE454" s="4">
        <f>MAX(0.5*EP454, (1-2*FD454*(ES454*EZ454+FB454*FA454))/(1/EP454+FD454*FC454))</f>
        <v>14.095165070488884</v>
      </c>
      <c r="FF454" s="4">
        <f>MIN(4/N454*(1*EZ454*ES454+FA454*FB454+FC454*FE454)+EC454,MAX(J454,AJ454))</f>
        <v>294.72794829369235</v>
      </c>
      <c r="FO454" s="23">
        <f>IF(CU454&lt;0.6,0.6,IF(CU454&lt;0.8,0.8,IF(CU454&lt;1,1,IF(CU454&lt;1.2,1.2,IF(CU454&lt;1.4,1.4,IF(CU454&lt;1.6,1.6,IF(CU454&lt;1.8,1.8,IF(CU454&lt;2,2,2.2))))))))</f>
        <v>2.2000000000000002</v>
      </c>
      <c r="FP454" s="23">
        <f>IF(CV454&lt;0.6,0.6,IF(CV454&lt;0.8,0.8,IF(CV454&lt;1,1,IF(CV454&lt;1.2,1.2,IF(CV454&lt;1.4,1.4,IF(CV454&lt;1.6,1.6,IF(CV454&lt;1.8,1.8,IF(CV454&lt;2,2,2.2))))))))</f>
        <v>1</v>
      </c>
      <c r="FQ454" s="23">
        <f>IF(DA454&lt;0.6,0.6,IF(DA454&lt;0.8,0.8,IF(DA454&lt;1,1,IF(DA454&lt;1.2,1.2,IF(DA454&lt;1.4,1.4,IF(DA454&lt;1.6,1.6,IF(DA454&lt;1.8,1.8,IF(DA454&lt;2,2,2.2))))))))</f>
        <v>2.2000000000000002</v>
      </c>
      <c r="FR454" s="23">
        <f>IF(CX454&lt;0.6,0.6,IF(CX454&lt;0.8,0.8,IF(CX454&lt;1,1,IF(CX454&lt;1.2,1.2,IF(CX454&lt;1.4,1.4,IF(CX454&lt;1.6,1.6,IF(CX454&lt;1.8,1.8,IF(CX454&lt;2,2,2.2))))))))</f>
        <v>1.6</v>
      </c>
      <c r="FS454" s="23">
        <f>IF(CY454&lt;0.6,0.6,IF(CY454&lt;0.8,0.8,IF(CY454&lt;1,1,IF(CY454&lt;1.2,1.2,IF(CY454&lt;1.4,1.4,IF(CY454&lt;1.6,1.6,IF(CY454&lt;1.8,1.8,IF(CY454&lt;2,2,2.2))))))))</f>
        <v>2.2000000000000002</v>
      </c>
      <c r="FT454" s="23">
        <f>IF(CZ454&lt;0.6,0.6,IF(CZ454&lt;0.8,0.8,IF(CZ454&lt;1,1,IF(CZ454&lt;1.2,1.2,IF(CZ454&lt;1.4,1.4,IF(CZ454&lt;1.6,1.6,IF(CZ454&lt;1.8,1.8,IF(CZ454&lt;2,2,2.2))))))))</f>
        <v>1.2</v>
      </c>
      <c r="FU454" s="23">
        <f>IF(FS454&lt;1,1,0)</f>
        <v>0</v>
      </c>
      <c r="FV454" s="23"/>
      <c r="GF454" s="4">
        <f>IF(S454&gt;=2.5*25.4,1,1.25)</f>
        <v>1.25</v>
      </c>
      <c r="GG454" s="4">
        <f>IF(AO454&gt;1, 0.05*(18-MIN(8,(W454+N454)/N454))*(1-48000/MAX(60000,(J454*145))*(N454/25.4)^0.75*GH454), 1/12*(14-MIN(8,(W454+N454)/N454)))</f>
        <v>0.4338950222651346</v>
      </c>
      <c r="GH454" s="4">
        <f>MIN(0.3, AM454^2*PI()/4*2*AP454/(N454^2*PI()/4*X454))</f>
        <v>0.3</v>
      </c>
      <c r="GI454" s="4">
        <f>(K454/25.4)/(N454/25.4)^1.5/0.0024*(M454*145)^0.25/GF454/GG454/145</f>
        <v>265.56493218066208</v>
      </c>
    </row>
    <row r="455" spans="1:196" ht="12" customHeight="1" x14ac:dyDescent="0.3">
      <c r="A455" s="52">
        <v>174</v>
      </c>
      <c r="B455" s="53" t="s">
        <v>128</v>
      </c>
      <c r="C455" s="53">
        <v>2017</v>
      </c>
      <c r="D455" s="53" t="s">
        <v>309</v>
      </c>
      <c r="E455" s="53"/>
      <c r="F455" s="116"/>
      <c r="G455" s="109" t="s">
        <v>785</v>
      </c>
      <c r="H455" s="54" t="s">
        <v>703</v>
      </c>
      <c r="I455" s="5">
        <f>K455/N455</f>
        <v>4</v>
      </c>
      <c r="J455" s="85">
        <v>661</v>
      </c>
      <c r="K455" s="83">
        <f>4*N455</f>
        <v>88.8</v>
      </c>
      <c r="L455" s="32">
        <f>K455</f>
        <v>88.8</v>
      </c>
      <c r="M455" s="81">
        <v>225.5</v>
      </c>
      <c r="N455" s="79">
        <v>22.2</v>
      </c>
      <c r="O455" s="32">
        <f>K455/N455</f>
        <v>4</v>
      </c>
      <c r="P455" s="32">
        <f>L455/N455</f>
        <v>4</v>
      </c>
      <c r="Q455" s="32">
        <v>366</v>
      </c>
      <c r="R455" s="32">
        <f>S455/N455</f>
        <v>1</v>
      </c>
      <c r="S455" s="32">
        <f>1*N455</f>
        <v>22.2</v>
      </c>
      <c r="T455" s="32">
        <f>U455/N455</f>
        <v>1.3153153153153154</v>
      </c>
      <c r="U455" s="32">
        <f>118-L455</f>
        <v>29.200000000000003</v>
      </c>
      <c r="V455" s="32">
        <f>W455/N455</f>
        <v>12.48648648648649</v>
      </c>
      <c r="W455" s="61">
        <f>Q455-2*N455-2*S455</f>
        <v>277.20000000000005</v>
      </c>
      <c r="X455" s="32">
        <v>2</v>
      </c>
      <c r="Y455" s="7">
        <f>AN455</f>
        <v>0</v>
      </c>
      <c r="Z455" s="32">
        <f>AA455/N455</f>
        <v>2.6666666666666665</v>
      </c>
      <c r="AA455" s="102">
        <f>2/3*K455</f>
        <v>59.199999999999996</v>
      </c>
      <c r="AB455" s="32">
        <f>MIN(S455/N455+0.5, W455/2/N455+0.5)</f>
        <v>1.5</v>
      </c>
      <c r="AC455" s="32">
        <f>S455/N455+0.5</f>
        <v>1.5</v>
      </c>
      <c r="AD455" s="32">
        <f>2040/510</f>
        <v>4</v>
      </c>
      <c r="AE455" s="32">
        <f>2040/510</f>
        <v>4</v>
      </c>
      <c r="AF455" s="32">
        <f>AE455+1</f>
        <v>5</v>
      </c>
      <c r="AG455" s="32">
        <f>N455*AF455^0.5</f>
        <v>49.640709100495329</v>
      </c>
      <c r="AH455" s="32">
        <f>J455</f>
        <v>661</v>
      </c>
      <c r="AI455" s="32">
        <v>8</v>
      </c>
      <c r="AJ455" s="32">
        <f>(853+842)/2</f>
        <v>847.5</v>
      </c>
      <c r="AK455" s="32"/>
      <c r="AL455" s="54">
        <f>CY455</f>
        <v>1</v>
      </c>
      <c r="AM455" s="32">
        <v>0</v>
      </c>
      <c r="AN455" s="32">
        <v>0</v>
      </c>
      <c r="AO455" s="32">
        <f>L455</f>
        <v>88.8</v>
      </c>
      <c r="AP455" s="32"/>
      <c r="AQ455" s="32"/>
      <c r="AR455" s="32">
        <f>3*AS455/(W455+N455)</f>
        <v>0.88977955911823625</v>
      </c>
      <c r="AS455" s="54">
        <f>K455</f>
        <v>88.8</v>
      </c>
      <c r="AT455" s="54">
        <f>IF(K455*3&gt;W455+N455, Q455, (S455+N455/2)*2+1.5*K455*(2*X455-2))*(3*K455)/(9*K455^2)</f>
        <v>1.25</v>
      </c>
      <c r="AU455" s="54">
        <f>MIN(10*M455^0.5*K455^1.5,100*3.9*M455^0.5*K455^(5/3))/(PI()/4*N455^2)/X455</f>
        <v>162.318079587065</v>
      </c>
      <c r="AV455" s="54">
        <f>MIN(0.7+0.3*(MIN(S455,AA455)+0.5*N455)/1.5/K455,1)</f>
        <v>0.77499999999999991</v>
      </c>
      <c r="AW455" s="54">
        <v>1.25</v>
      </c>
      <c r="AX455" s="59">
        <v>5</v>
      </c>
      <c r="AY455" s="56">
        <f>AT455*AV455*AW455*AX455*AU455</f>
        <v>982.7852474998075</v>
      </c>
      <c r="AZ455" s="56">
        <f>AY455</f>
        <v>982.7852474998075</v>
      </c>
      <c r="BA455" s="56">
        <f>IF(M455&lt;50, 0.3*M455^(2/3), 2.12*LN(1+0.1*(M455+8)))</f>
        <v>6.7681675210006302</v>
      </c>
      <c r="BB455" s="56">
        <f>AX455* (M455^0.5/AS455^0.5)/(PI()/4*N455^2)/X455/0.72 *(0.7+(MIN(S455,AA455)+0.5*N455)/5/K455) *(3*Q455*K455)</f>
        <v>1080.1783801349238</v>
      </c>
      <c r="BC455" s="56">
        <f>AY455/BB455</f>
        <v>0.90983606557377028</v>
      </c>
      <c r="BD455" s="56">
        <f>BH455/BB455</f>
        <v>1.2525708946618597</v>
      </c>
      <c r="BE455" s="54">
        <f>IF(BD455&lt;1,1,0)</f>
        <v>0</v>
      </c>
      <c r="BF455" s="54">
        <f>L455/N455*M455^0.5/0.19</f>
        <v>316.14015616170963</v>
      </c>
      <c r="BG455" s="54">
        <f>MIN(0.6+0.4*(AC455/AB455),2)</f>
        <v>1</v>
      </c>
      <c r="BH455" s="56">
        <f>2*M455*AB455*AD455^0.5*BG455*0.7/0.7</f>
        <v>1353</v>
      </c>
      <c r="BI455" s="54">
        <f>MAX(1-0.7*AE455/5,0.3)</f>
        <v>0.44000000000000006</v>
      </c>
      <c r="BJ455" s="54">
        <f>BI455*J455*L455/(J455*N455/2.75/M455^0.5)</f>
        <v>72.680621901577041</v>
      </c>
      <c r="BK455" s="54">
        <f>BH455+BJ455</f>
        <v>1425.6806219015771</v>
      </c>
      <c r="BL455" s="54"/>
      <c r="BM455" s="54">
        <f>MIN(1.5, 0.75+0.25*MIN(3,MAX(1,S455/N455))+0.4*MIN(1,(40*2*PI()*AM455^2/4/AO455/X455)/N455))</f>
        <v>1</v>
      </c>
      <c r="BN455" s="54">
        <f>(3*P455+30)*BM455*M455^0.5</f>
        <v>630.69961154261068</v>
      </c>
      <c r="BO455" s="54"/>
      <c r="BP455" s="54">
        <f>3.4/PI()^0.5*M455*AB455*AE455^0.5*BG455</f>
        <v>1297.6924611181944</v>
      </c>
      <c r="BQ455" s="54">
        <f>8/3*AH455*AI455^2/(AG455-N455-22)/N455*(AG455^2-N455^2)/(AG455^2-(N455+22)^2)</f>
        <v>3606.2915864545262</v>
      </c>
      <c r="BR455" s="54">
        <f>BQ455/BP455</f>
        <v>2.779003265031732</v>
      </c>
      <c r="BS455" s="54"/>
      <c r="BT455" s="54"/>
      <c r="BU455" s="54"/>
      <c r="BV455" s="54"/>
      <c r="BW455" s="54"/>
      <c r="BX455" s="54"/>
      <c r="BY455" s="54"/>
      <c r="BZ455" s="54">
        <f>IF(W455=0,S455,MIN(W455/2,S455))</f>
        <v>22.2</v>
      </c>
      <c r="CA455" s="54"/>
      <c r="CB455" s="54"/>
      <c r="CC455" s="54"/>
      <c r="CD455" s="57"/>
      <c r="CE455" s="54"/>
      <c r="CF455" s="57"/>
      <c r="CG455" s="57"/>
      <c r="CH455" s="57">
        <f>IF(W455=0,MIN(S455,U455),MIN(W455/2,S455,U455))</f>
        <v>22.2</v>
      </c>
      <c r="CI455" s="57">
        <f>MAX(W455/2,S455)</f>
        <v>138.60000000000002</v>
      </c>
      <c r="CJ455" s="57">
        <f>(CH455/N455)^0.5*(CI455/CH455)^0.15</f>
        <v>1.3161686388047049</v>
      </c>
      <c r="CK455" s="71">
        <v>0</v>
      </c>
      <c r="CL455" s="57">
        <f>MIN(PI()*AM455^2/4*AN455*2/X455/N455/MAX(0.01,AO455),0.05)</f>
        <v>0</v>
      </c>
      <c r="CM455" s="57">
        <f>MAX(0,CK455*(CL455-0.5/50))</f>
        <v>0</v>
      </c>
      <c r="CN455" s="57">
        <f>MIN(1,(25/N455)^0.3)</f>
        <v>1</v>
      </c>
      <c r="CO455" s="57">
        <f>IF(J455&gt;=800,0.68,IF(J455&gt;=700,0.75-(J455-700)*0.07/100,IF(J455&gt;=600,0.85-(J455-600)*0.1/100,IF(J455&gt;=500,1-(J455-500)*0.15/100,1.2-(J455-400)*0.2/100))))</f>
        <v>0.78899999999999992</v>
      </c>
      <c r="CP455" s="57">
        <f>1.75*CN455*CO455*(M455/25)^0.5</f>
        <v>4.1468499458926642</v>
      </c>
      <c r="CQ455" s="57">
        <f>MIN((CJ455+CM455)*CP455,2.5*CP455,M455^0.5)</f>
        <v>5.4579538486129122</v>
      </c>
      <c r="CR455" s="57">
        <v>1</v>
      </c>
      <c r="CS455" s="57">
        <f>4*CQ455*P455+60*CQ455</f>
        <v>414.80449249458132</v>
      </c>
      <c r="CT455" s="54"/>
      <c r="CU455" s="54">
        <f>AJ455/BF455</f>
        <v>2.6807730162772905</v>
      </c>
      <c r="CV455" s="54">
        <f>AJ455/BK455</f>
        <v>0.59445291391391852</v>
      </c>
      <c r="CW455" s="54">
        <f>AJ455/BN455</f>
        <v>1.343745872820697</v>
      </c>
      <c r="CX455" s="54">
        <f>AJ455/CS455</f>
        <v>2.0431311987564142</v>
      </c>
      <c r="CY455" s="60">
        <f>AJ455/DZ455</f>
        <v>1</v>
      </c>
      <c r="CZ455" s="54">
        <f>AJ455/EL455</f>
        <v>1</v>
      </c>
      <c r="DA455" s="54">
        <f>AJ455/GI455</f>
        <v>3.203833724920901</v>
      </c>
      <c r="DB455" s="54"/>
      <c r="DC455" s="54">
        <f>CU455</f>
        <v>2.6807730162772905</v>
      </c>
      <c r="DD455" s="54">
        <f>CV455</f>
        <v>0.59445291391391852</v>
      </c>
      <c r="DE455" s="54">
        <f>CX455</f>
        <v>2.0431311987564142</v>
      </c>
      <c r="DF455" s="54">
        <f>DA455</f>
        <v>3.203833724920901</v>
      </c>
      <c r="DG455" s="54">
        <f>CY455</f>
        <v>1</v>
      </c>
      <c r="DH455" s="54">
        <f>CZ455</f>
        <v>1</v>
      </c>
      <c r="DI455" s="54"/>
      <c r="DJ455" s="54"/>
      <c r="DK455" s="54"/>
      <c r="DL455" s="54"/>
      <c r="DM455" s="54"/>
      <c r="DN455" s="54"/>
      <c r="DO455" s="54"/>
      <c r="DP455" s="54">
        <f>AN455</f>
        <v>0</v>
      </c>
      <c r="DQ455" s="54">
        <f>L455</f>
        <v>88.8</v>
      </c>
      <c r="DR455" s="54"/>
      <c r="DS455" s="54"/>
      <c r="DT455" s="54">
        <f>K455/4/(1-0.3*(M455/30)^0.5)/200000/N455</f>
        <v>2.8168411137544479E-5</v>
      </c>
      <c r="DU455" s="54">
        <f>EP455</f>
        <v>16.127376482335833</v>
      </c>
      <c r="DV455" s="54">
        <f>EC455*AG455/257/M455/AD455</f>
        <v>0.23130967389770252</v>
      </c>
      <c r="DW455" s="54">
        <f>DU455*DV455^0.4</f>
        <v>8.9792743880390749</v>
      </c>
      <c r="DX455" s="54">
        <f>MIN(DU455, DU455/1.4*(1-DV455^1.4)/(1-DV455))</f>
        <v>13.055957437041979</v>
      </c>
      <c r="DY455" s="54">
        <f>MAX(DU455/2, (4-DT455*(8*AG455*(DW455-DX455)+6*K455*DX455))/(4+DT455*K455*DU455)*DU455)</f>
        <v>15.366250826866818</v>
      </c>
      <c r="DZ455" s="56">
        <f>MIN(1/N455*(4*AG455*(DW455-DX455)+(3*DX455+DY455)*K455)+EC455 -FJ455,MAX(J455,AJ455))</f>
        <v>847.5</v>
      </c>
      <c r="EA455" s="54">
        <f>DZ455/FF455</f>
        <v>1</v>
      </c>
      <c r="EB455" s="54">
        <f>AG455/N455</f>
        <v>2.2360679774997898</v>
      </c>
      <c r="EC455" s="54">
        <f>MIN(EB$10*BB455)</f>
        <v>1080.1783801349238</v>
      </c>
      <c r="ED455" s="54"/>
      <c r="EE455" s="54"/>
      <c r="EF455" s="54"/>
      <c r="EG455" s="54">
        <f>IF(U455&gt;1*N455,0.85,1)</f>
        <v>0.85</v>
      </c>
      <c r="EH455" s="54">
        <f>MIN(1,MAX(0.7,(1-0.1*(BZ455-1*N455)/N455)))</f>
        <v>1</v>
      </c>
      <c r="EI455" s="54">
        <f>MIN(1,MAX(0.7,1-0.3*(PI()*AM455^2/4*AQ455*2-0.25*PI()/4*N455^2)/(PI()/4*N455^2)))</f>
        <v>1</v>
      </c>
      <c r="EJ455" s="54">
        <f>IF(EH455*EI455&lt;0.7,0.7,EH455*EI455)</f>
        <v>1</v>
      </c>
      <c r="EK455" s="54"/>
      <c r="EL455" s="54">
        <f>MIN(DU455/N455*3*K455+EM455-FJ455,MAX(J455,AJ455))</f>
        <v>847.5</v>
      </c>
      <c r="EM455" s="52">
        <f>26.5*Q455*K455^0.5*M455^0.5/X455/N455^2*(0.7+S455/5/K455)</f>
        <v>1044.3162458944753</v>
      </c>
      <c r="EN455" s="54"/>
      <c r="EO455" s="54"/>
      <c r="EP455" s="54">
        <f>IF(N455&lt;22.2,1.1*5*(M455/30)^0.5,IF(N455&gt;=31.8,0.9*5*(M455/30)^0.5,1*5*(M455/30)^0.5))/EG455/EJ455</f>
        <v>16.127376482335833</v>
      </c>
      <c r="EQ455" s="54"/>
      <c r="ER455" s="54"/>
      <c r="ES455" s="54">
        <f>ET455*N455</f>
        <v>49.640709100495329</v>
      </c>
      <c r="ET455" s="54">
        <f>AF455^0.5</f>
        <v>2.2360679774997898</v>
      </c>
      <c r="EU455" s="54">
        <f>MIN(EC455)/(4700*M455^0.5)/AE455*ES455</f>
        <v>0.18993383393437457</v>
      </c>
      <c r="EV455" s="54"/>
      <c r="EW455" s="54"/>
      <c r="EX455" s="54">
        <f>EU455</f>
        <v>0.18993383393437457</v>
      </c>
      <c r="EY455" s="54">
        <f>MIN(0.999, EX455/(0.3*(M455/30)^0.5))</f>
        <v>0.23092366116223015</v>
      </c>
      <c r="EZ455" s="54">
        <f>EP455/1*EY455^0.4</f>
        <v>8.9732774903799175</v>
      </c>
      <c r="FA455" s="54">
        <f>EP455/1.4*(1-EY455^1.4)/(1-EY455)</f>
        <v>13.053909774486275</v>
      </c>
      <c r="FB455" s="54">
        <f>MAX(0,DQ455*FB$9-ES455)</f>
        <v>16.959290899504666</v>
      </c>
      <c r="FC455" s="54">
        <f>MAX(0,DQ455-ES455-FB455)</f>
        <v>22.200000000000003</v>
      </c>
      <c r="FD455" s="54">
        <f>FC455/(1-0.3*(M455/30)^0.5)/200000/N455</f>
        <v>2.8168411137544483E-5</v>
      </c>
      <c r="FE455" s="54">
        <f>MAX(0.5*EP455, (1-2*FD455*(ES455*EZ455+FB455*FA455))/(1/EP455+FD455*FC455))</f>
        <v>15.366549833999832</v>
      </c>
      <c r="FF455" s="54">
        <f>MIN(4/N455*(1*EZ455*ES455+FA455*FB455+FC455*FE455)+EC455,MAX(J455,AJ455))</f>
        <v>847.5</v>
      </c>
      <c r="FG455" s="54"/>
      <c r="FH455" s="54"/>
      <c r="FI455" s="54"/>
      <c r="FJ455" s="54"/>
      <c r="FK455" s="54"/>
      <c r="FL455" s="54"/>
      <c r="FM455" s="54"/>
      <c r="FN455" s="54"/>
      <c r="FO455" s="58">
        <f>IF(CU455&lt;0.6,0.6,IF(CU455&lt;0.8,0.8,IF(CU455&lt;1,1,IF(CU455&lt;1.2,1.2,IF(CU455&lt;1.4,1.4,IF(CU455&lt;1.6,1.6,IF(CU455&lt;1.8,1.8,IF(CU455&lt;2,2,2.2))))))))</f>
        <v>2.2000000000000002</v>
      </c>
      <c r="FP455" s="58">
        <f>IF(CV455&lt;0.6,0.6,IF(CV455&lt;0.8,0.8,IF(CV455&lt;1,1,IF(CV455&lt;1.2,1.2,IF(CV455&lt;1.4,1.4,IF(CV455&lt;1.6,1.6,IF(CV455&lt;1.8,1.8,IF(CV455&lt;2,2,2.2))))))))</f>
        <v>0.6</v>
      </c>
      <c r="FQ455" s="58">
        <f>IF(DA455&lt;0.6,0.6,IF(DA455&lt;0.8,0.8,IF(DA455&lt;1,1,IF(DA455&lt;1.2,1.2,IF(DA455&lt;1.4,1.4,IF(DA455&lt;1.6,1.6,IF(DA455&lt;1.8,1.8,IF(DA455&lt;2,2,2.2))))))))</f>
        <v>2.2000000000000002</v>
      </c>
      <c r="FR455" s="58">
        <f>IF(CX455&lt;0.6,0.6,IF(CX455&lt;0.8,0.8,IF(CX455&lt;1,1,IF(CX455&lt;1.2,1.2,IF(CX455&lt;1.4,1.4,IF(CX455&lt;1.6,1.6,IF(CX455&lt;1.8,1.8,IF(CX455&lt;2,2,2.2))))))))</f>
        <v>2.2000000000000002</v>
      </c>
      <c r="FS455" s="58">
        <f>IF(CY455&lt;0.6,0.6,IF(CY455&lt;0.8,0.8,IF(CY455&lt;1,1,IF(CY455&lt;1.2,1.2,IF(CY455&lt;1.4,1.4,IF(CY455&lt;1.6,1.6,IF(CY455&lt;1.8,1.8,IF(CY455&lt;2,2,2.2))))))))</f>
        <v>1.2</v>
      </c>
      <c r="FT455" s="58">
        <f>IF(CZ455&lt;0.6,0.6,IF(CZ455&lt;0.8,0.8,IF(CZ455&lt;1,1,IF(CZ455&lt;1.2,1.2,IF(CZ455&lt;1.4,1.4,IF(CZ455&lt;1.6,1.6,IF(CZ455&lt;1.8,1.8,IF(CZ455&lt;2,2,2.2))))))))</f>
        <v>1.2</v>
      </c>
      <c r="FU455" s="58">
        <f>IF(FS455&lt;1,1,0)</f>
        <v>0</v>
      </c>
      <c r="FV455" s="58"/>
      <c r="FW455" s="54"/>
      <c r="FX455" s="54"/>
      <c r="FY455" s="54"/>
      <c r="FZ455" s="54"/>
      <c r="GA455" s="54"/>
      <c r="GB455" s="54"/>
      <c r="GC455" s="54"/>
      <c r="GD455" s="54"/>
      <c r="GE455" s="54"/>
      <c r="GF455" s="54">
        <f>IF(S455&gt;=2.5*25.4,1,1.25)</f>
        <v>1.25</v>
      </c>
      <c r="GG455" s="54">
        <f>IF(AO455&gt;1, 0.05*(18-MIN(8,(W455+N455)/N455))*(1-48000/MAX(60000,(J455*145))*(N455/25.4)^0.75*GH455), 1/12*(14-MIN(8,(W455+N455)/N455)))</f>
        <v>0.5</v>
      </c>
      <c r="GH455" s="54">
        <f>MIN(0.3, AM455^2*PI()/4*2*AP455/(N455^2*PI()/4*X455))</f>
        <v>0</v>
      </c>
      <c r="GI455" s="54">
        <f>(K455/25.4)/(N455/25.4)^1.5/0.0024*(M455*145)^0.25/GF455/GG455/145</f>
        <v>264.52683652330421</v>
      </c>
      <c r="GJ455" s="54"/>
      <c r="GK455" s="54"/>
      <c r="GL455" s="54"/>
      <c r="GM455" s="54"/>
      <c r="GN455" s="54"/>
    </row>
    <row r="456" spans="1:196" ht="12" customHeight="1" x14ac:dyDescent="0.3">
      <c r="A456" s="25">
        <v>175</v>
      </c>
      <c r="B456" s="24" t="s">
        <v>128</v>
      </c>
      <c r="C456" s="24">
        <v>2017</v>
      </c>
      <c r="D456" s="24" t="s">
        <v>309</v>
      </c>
      <c r="E456" s="24"/>
      <c r="F456" s="116"/>
      <c r="G456" s="109" t="s">
        <v>785</v>
      </c>
      <c r="H456" s="4" t="s">
        <v>311</v>
      </c>
      <c r="I456" s="5">
        <f>K456/N456</f>
        <v>4</v>
      </c>
      <c r="J456" s="48">
        <v>661</v>
      </c>
      <c r="K456" s="84">
        <f>4*N456</f>
        <v>88.8</v>
      </c>
      <c r="L456" s="7">
        <f>K456</f>
        <v>88.8</v>
      </c>
      <c r="M456" s="82">
        <v>225.5</v>
      </c>
      <c r="N456" s="80">
        <v>22.2</v>
      </c>
      <c r="O456" s="7">
        <f>K456/N456</f>
        <v>4</v>
      </c>
      <c r="P456" s="7">
        <f>L456/N456</f>
        <v>4</v>
      </c>
      <c r="Q456" s="7">
        <v>366</v>
      </c>
      <c r="R456" s="32">
        <f>S456/N456</f>
        <v>1</v>
      </c>
      <c r="S456" s="7">
        <f>1*N456</f>
        <v>22.2</v>
      </c>
      <c r="T456" s="32">
        <f>U456/N456</f>
        <v>1.3153153153153154</v>
      </c>
      <c r="U456" s="7">
        <f>118-L456</f>
        <v>29.200000000000003</v>
      </c>
      <c r="V456" s="32">
        <f>W456/N456</f>
        <v>12.48648648648649</v>
      </c>
      <c r="W456" s="7">
        <f>Q456-2*N456-2*S456</f>
        <v>277.20000000000005</v>
      </c>
      <c r="X456" s="7">
        <v>2</v>
      </c>
      <c r="Y456" s="7">
        <f>AN456</f>
        <v>0</v>
      </c>
      <c r="Z456" s="32">
        <f>AA456/N456</f>
        <v>2.6666666666666665</v>
      </c>
      <c r="AA456" s="10">
        <f>2/3*K456</f>
        <v>59.199999999999996</v>
      </c>
      <c r="AB456" s="7">
        <f>MIN(S456/N456+0.5, W456/2/N456+0.5)</f>
        <v>1.5</v>
      </c>
      <c r="AC456" s="7">
        <f>S456/N456+0.5</f>
        <v>1.5</v>
      </c>
      <c r="AD456" s="7">
        <f>2040/510</f>
        <v>4</v>
      </c>
      <c r="AE456" s="7">
        <f>2040/510</f>
        <v>4</v>
      </c>
      <c r="AF456" s="7">
        <f>AE456+1</f>
        <v>5</v>
      </c>
      <c r="AG456" s="7">
        <f>N456*AF456^0.5</f>
        <v>49.640709100495329</v>
      </c>
      <c r="AH456" s="7">
        <f>J456</f>
        <v>661</v>
      </c>
      <c r="AI456" s="7">
        <v>8</v>
      </c>
      <c r="AJ456" s="7">
        <f>(847+826)/2</f>
        <v>836.5</v>
      </c>
      <c r="AK456" s="7"/>
      <c r="AL456" s="4">
        <f>CY456</f>
        <v>1</v>
      </c>
      <c r="AM456" s="7">
        <v>0</v>
      </c>
      <c r="AN456" s="7">
        <v>0</v>
      </c>
      <c r="AO456" s="7">
        <f>L456</f>
        <v>88.8</v>
      </c>
      <c r="AP456" s="7"/>
      <c r="AQ456" s="7"/>
      <c r="AR456" s="7">
        <f>3*AS456/(W456+N456)</f>
        <v>0.88977955911823625</v>
      </c>
      <c r="AS456" s="4">
        <f>K456</f>
        <v>88.8</v>
      </c>
      <c r="AT456" s="4">
        <f>IF(K456*3&gt;W456+N456, Q456, (S456+N456/2)*2+1.5*K456*(2*X456-2))*(3*K456)/(9*K456^2)</f>
        <v>1.25</v>
      </c>
      <c r="AU456" s="4">
        <f>MIN(10*M456^0.5*K456^1.5,100*3.9*M456^0.5*K456^(5/3))/(PI()/4*N456^2)/X456</f>
        <v>162.318079587065</v>
      </c>
      <c r="AV456" s="4">
        <f>MIN(0.7+0.3*(MIN(S456,AA456)+0.5*N456)/1.5/K456,1)</f>
        <v>0.77499999999999991</v>
      </c>
      <c r="AW456" s="4">
        <v>1.25</v>
      </c>
      <c r="AX456" s="47">
        <f>AX455</f>
        <v>5</v>
      </c>
      <c r="AY456" s="38">
        <f>AT456*AV456*AW456*AX456*AU456</f>
        <v>982.7852474998075</v>
      </c>
      <c r="AZ456" s="38">
        <f>AY456</f>
        <v>982.7852474998075</v>
      </c>
      <c r="BA456" s="38">
        <f>IF(M456&lt;50, 0.3*M456^(2/3), 2.12*LN(1+0.1*(M456+8)))</f>
        <v>6.7681675210006302</v>
      </c>
      <c r="BB456" s="38">
        <f>AX456* (M456^0.5/AS456^0.5)/(PI()/4*N456^2)/X456/0.72 *(0.7+(MIN(S456,AA456)+0.5*N456)/5/K456) *(3*Q456*K456)</f>
        <v>1080.1783801349238</v>
      </c>
      <c r="BC456" s="38">
        <f>AY456/BB456</f>
        <v>0.90983606557377028</v>
      </c>
      <c r="BD456" s="38">
        <f>BH456/BB456</f>
        <v>1.2525708946618597</v>
      </c>
      <c r="BE456" s="4">
        <f>IF(BD456&lt;1,1,0)</f>
        <v>0</v>
      </c>
      <c r="BF456" s="4">
        <f>L456/N456*M456^0.5/0.19</f>
        <v>316.14015616170963</v>
      </c>
      <c r="BG456" s="4">
        <f>MIN(0.6+0.4*(AC456/AB456),2)</f>
        <v>1</v>
      </c>
      <c r="BH456" s="38">
        <f>2*M456*AB456*AD456^0.5*BG456*0.7/0.7</f>
        <v>1353</v>
      </c>
      <c r="BI456" s="4">
        <f>MAX(1-0.7*AE456/5,0.3)</f>
        <v>0.44000000000000006</v>
      </c>
      <c r="BJ456" s="4">
        <f>BI456*J456*L456/(J456*N456/2.75/M456^0.5)</f>
        <v>72.680621901577041</v>
      </c>
      <c r="BK456" s="4">
        <f>BH456+BJ456</f>
        <v>1425.6806219015771</v>
      </c>
      <c r="BM456" s="4">
        <f>MIN(1.5, 0.75+0.25*MIN(3,MAX(1,S456/N456))+0.4*MIN(1,(40*2*PI()*AM456^2/4/AO456/X456)/N456))</f>
        <v>1</v>
      </c>
      <c r="BN456" s="4">
        <f>(3*P456+30)*BM456*M456^0.5</f>
        <v>630.69961154261068</v>
      </c>
      <c r="BP456" s="4">
        <f>3.4/PI()^0.5*M456*AB456*AE456^0.5*BG456</f>
        <v>1297.6924611181944</v>
      </c>
      <c r="BQ456" s="4">
        <f>8/3*AH456*AI456^2/(AG456-N456-22)/N456*(AG456^2-N456^2)/(AG456^2-(N456+22)^2)</f>
        <v>3606.2915864545262</v>
      </c>
      <c r="BR456" s="4">
        <f>BQ456/BP456</f>
        <v>2.779003265031732</v>
      </c>
      <c r="BZ456" s="4">
        <f>IF(W456=0,S456,MIN(W456/2,S456))</f>
        <v>22.2</v>
      </c>
      <c r="CD456" s="9"/>
      <c r="CF456" s="9"/>
      <c r="CG456" s="9"/>
      <c r="CH456" s="9">
        <f>IF(W456=0,MIN(S456,U456),MIN(W456/2,S456,U456))</f>
        <v>22.2</v>
      </c>
      <c r="CI456" s="9">
        <f>MAX(W456/2,S456)</f>
        <v>138.60000000000002</v>
      </c>
      <c r="CJ456" s="9">
        <f>(CH456/N456)^0.5*(CI456/CH456)^0.15</f>
        <v>1.3161686388047049</v>
      </c>
      <c r="CK456" s="70">
        <v>0</v>
      </c>
      <c r="CL456" s="9">
        <f>MIN(PI()*AM456^2/4*AN456*2/X456/N456/MAX(0.01,AO456),0.05)</f>
        <v>0</v>
      </c>
      <c r="CM456" s="9">
        <f>MAX(0,CK456*(CL456-0.5/50))</f>
        <v>0</v>
      </c>
      <c r="CN456" s="9">
        <f>MIN(1,(25/N456)^0.3)</f>
        <v>1</v>
      </c>
      <c r="CO456" s="9">
        <f>IF(J456&gt;=800,0.68,IF(J456&gt;=700,0.75-(J456-700)*0.07/100,IF(J456&gt;=600,0.85-(J456-600)*0.1/100,IF(J456&gt;=500,1-(J456-500)*0.15/100,1.2-(J456-400)*0.2/100))))</f>
        <v>0.78899999999999992</v>
      </c>
      <c r="CP456" s="9">
        <f>1.75*CN456*CO456*(M456/25)^0.5</f>
        <v>4.1468499458926642</v>
      </c>
      <c r="CQ456" s="9">
        <f>MIN((CJ456+CM456)*CP456,2.5*CP456,M456^0.5)</f>
        <v>5.4579538486129122</v>
      </c>
      <c r="CR456" s="9">
        <v>1</v>
      </c>
      <c r="CS456" s="9">
        <f>4*CQ456*P456+60*CQ456</f>
        <v>414.80449249458132</v>
      </c>
      <c r="CU456" s="4">
        <f>AJ456/BF456</f>
        <v>2.6459783222607123</v>
      </c>
      <c r="CV456" s="4">
        <f>AJ456/BK456</f>
        <v>0.58673730087196796</v>
      </c>
      <c r="CW456" s="4">
        <f>AJ456/BN456</f>
        <v>1.3263049234389535</v>
      </c>
      <c r="CX456" s="4">
        <f>AJ456/CS456</f>
        <v>2.0166126817224077</v>
      </c>
      <c r="CY456" s="44">
        <f>AJ456/DZ456</f>
        <v>1</v>
      </c>
      <c r="CZ456" s="4">
        <f>AJ456/EL456</f>
        <v>1</v>
      </c>
      <c r="DA456" s="4">
        <f>AJ456/GI456</f>
        <v>3.1622500423555562</v>
      </c>
      <c r="DC456" s="4">
        <f>CU456</f>
        <v>2.6459783222607123</v>
      </c>
      <c r="DD456" s="4">
        <f>CV456</f>
        <v>0.58673730087196796</v>
      </c>
      <c r="DE456" s="4">
        <f>CX456</f>
        <v>2.0166126817224077</v>
      </c>
      <c r="DF456" s="4">
        <f>DA456</f>
        <v>3.1622500423555562</v>
      </c>
      <c r="DG456" s="4">
        <f>CY456</f>
        <v>1</v>
      </c>
      <c r="DH456" s="4">
        <f>CZ456</f>
        <v>1</v>
      </c>
      <c r="DP456" s="4">
        <f>AN456</f>
        <v>0</v>
      </c>
      <c r="DQ456" s="4">
        <f>L456</f>
        <v>88.8</v>
      </c>
      <c r="DT456" s="4">
        <f>K456/4/(1-0.3*(M456/30)^0.5)/200000/N456</f>
        <v>2.8168411137544479E-5</v>
      </c>
      <c r="DU456" s="4">
        <f>EP456</f>
        <v>16.127376482335833</v>
      </c>
      <c r="DV456" s="4">
        <f>EC456*AG456/257/M456/AD456</f>
        <v>0.23130967389770252</v>
      </c>
      <c r="DW456" s="4">
        <f>DU456*DV456^0.4</f>
        <v>8.9792743880390749</v>
      </c>
      <c r="DX456" s="4">
        <f>MIN(DU456, DU456/1.4*(1-DV456^1.4)/(1-DV456))</f>
        <v>13.055957437041979</v>
      </c>
      <c r="DY456" s="4">
        <f>MAX(DU456/2, (4-DT456*(8*AG456*(DW456-DX456)+6*K456*DX456))/(4+DT456*K456*DU456)*DU456)</f>
        <v>15.366250826866818</v>
      </c>
      <c r="DZ456" s="38">
        <f>MIN(1/N456*(4*AG456*(DW456-DX456)+(3*DX456+DY456)*K456)+EC456 -FJ456,MAX(J456,AJ456))</f>
        <v>836.5</v>
      </c>
      <c r="EA456" s="4">
        <f>DZ456/FF456</f>
        <v>1</v>
      </c>
      <c r="EB456" s="4">
        <f>AG456/N456</f>
        <v>2.2360679774997898</v>
      </c>
      <c r="EC456" s="4">
        <f>MIN(EB$10*BB456)</f>
        <v>1080.1783801349238</v>
      </c>
      <c r="EG456" s="4">
        <f>IF(U456&gt;1*N456,0.85,1)</f>
        <v>0.85</v>
      </c>
      <c r="EH456" s="4">
        <f>MIN(1,MAX(0.7,(1-0.1*(BZ456-1*N456)/N456)))</f>
        <v>1</v>
      </c>
      <c r="EI456" s="4">
        <f>MIN(1,MAX(0.7,1-0.3*(PI()*AM456^2/4*AQ456*2-0.25*PI()/4*N456^2)/(PI()/4*N456^2)))</f>
        <v>1</v>
      </c>
      <c r="EJ456" s="4">
        <f>IF(EH456*EI456&lt;0.7,0.7,EH456*EI456)</f>
        <v>1</v>
      </c>
      <c r="EL456" s="4">
        <f>MIN(DU456/N456*3*K456+EM456-FJ456,MAX(J456,AJ456))</f>
        <v>836.5</v>
      </c>
      <c r="EM456" s="25">
        <f>26.5*Q456*K456^0.5*M456^0.5/X456/N456^2*(0.7+S456/5/K456)</f>
        <v>1044.3162458944753</v>
      </c>
      <c r="EP456" s="4">
        <f>IF(N456&lt;22.2,1.1*5*(M456/30)^0.5,IF(N456&gt;=31.8,0.9*5*(M456/30)^0.5,1*5*(M456/30)^0.5))/EG456/EJ456</f>
        <v>16.127376482335833</v>
      </c>
      <c r="ES456" s="4">
        <f>ET456*N456</f>
        <v>49.640709100495329</v>
      </c>
      <c r="ET456" s="4">
        <f>AF456^0.5</f>
        <v>2.2360679774997898</v>
      </c>
      <c r="EU456" s="4">
        <f>MIN(EC456)/(4700*M456^0.5)/AE456*ES456</f>
        <v>0.18993383393437457</v>
      </c>
      <c r="EX456" s="4">
        <f>EU456</f>
        <v>0.18993383393437457</v>
      </c>
      <c r="EY456" s="4">
        <f>MIN(0.999, EX456/(0.3*(M456/30)^0.5))</f>
        <v>0.23092366116223015</v>
      </c>
      <c r="EZ456" s="4">
        <f>EP456/1*EY456^0.4</f>
        <v>8.9732774903799175</v>
      </c>
      <c r="FA456" s="4">
        <f>EP456/1.4*(1-EY456^1.4)/(1-EY456)</f>
        <v>13.053909774486275</v>
      </c>
      <c r="FB456" s="4">
        <f>MAX(0,DQ456*FB$9-ES456)</f>
        <v>16.959290899504666</v>
      </c>
      <c r="FC456" s="4">
        <f>MAX(0,DQ456-ES456-FB456)</f>
        <v>22.200000000000003</v>
      </c>
      <c r="FD456" s="4">
        <f>FC456/(1-0.3*(M456/30)^0.5)/200000/N456</f>
        <v>2.8168411137544483E-5</v>
      </c>
      <c r="FE456" s="4">
        <f>MAX(0.5*EP456, (1-2*FD456*(ES456*EZ456+FB456*FA456))/(1/EP456+FD456*FC456))</f>
        <v>15.366549833999832</v>
      </c>
      <c r="FF456" s="4">
        <f>MIN(4/N456*(1*EZ456*ES456+FA456*FB456+FC456*FE456)+EC456,MAX(J456,AJ456))</f>
        <v>836.5</v>
      </c>
      <c r="FO456" s="23">
        <f>IF(CU456&lt;0.6,0.6,IF(CU456&lt;0.8,0.8,IF(CU456&lt;1,1,IF(CU456&lt;1.2,1.2,IF(CU456&lt;1.4,1.4,IF(CU456&lt;1.6,1.6,IF(CU456&lt;1.8,1.8,IF(CU456&lt;2,2,2.2))))))))</f>
        <v>2.2000000000000002</v>
      </c>
      <c r="FP456" s="23">
        <f>IF(CV456&lt;0.6,0.6,IF(CV456&lt;0.8,0.8,IF(CV456&lt;1,1,IF(CV456&lt;1.2,1.2,IF(CV456&lt;1.4,1.4,IF(CV456&lt;1.6,1.6,IF(CV456&lt;1.8,1.8,IF(CV456&lt;2,2,2.2))))))))</f>
        <v>0.6</v>
      </c>
      <c r="FQ456" s="23">
        <f>IF(DA456&lt;0.6,0.6,IF(DA456&lt;0.8,0.8,IF(DA456&lt;1,1,IF(DA456&lt;1.2,1.2,IF(DA456&lt;1.4,1.4,IF(DA456&lt;1.6,1.6,IF(DA456&lt;1.8,1.8,IF(DA456&lt;2,2,2.2))))))))</f>
        <v>2.2000000000000002</v>
      </c>
      <c r="FR456" s="23">
        <f>IF(CX456&lt;0.6,0.6,IF(CX456&lt;0.8,0.8,IF(CX456&lt;1,1,IF(CX456&lt;1.2,1.2,IF(CX456&lt;1.4,1.4,IF(CX456&lt;1.6,1.6,IF(CX456&lt;1.8,1.8,IF(CX456&lt;2,2,2.2))))))))</f>
        <v>2.2000000000000002</v>
      </c>
      <c r="FS456" s="23">
        <f>IF(CY456&lt;0.6,0.6,IF(CY456&lt;0.8,0.8,IF(CY456&lt;1,1,IF(CY456&lt;1.2,1.2,IF(CY456&lt;1.4,1.4,IF(CY456&lt;1.6,1.6,IF(CY456&lt;1.8,1.8,IF(CY456&lt;2,2,2.2))))))))</f>
        <v>1.2</v>
      </c>
      <c r="FT456" s="23">
        <f>IF(CZ456&lt;0.6,0.6,IF(CZ456&lt;0.8,0.8,IF(CZ456&lt;1,1,IF(CZ456&lt;1.2,1.2,IF(CZ456&lt;1.4,1.4,IF(CZ456&lt;1.6,1.6,IF(CZ456&lt;1.8,1.8,IF(CZ456&lt;2,2,2.2))))))))</f>
        <v>1.2</v>
      </c>
      <c r="FU456" s="23">
        <f>IF(FS456&lt;1,1,0)</f>
        <v>0</v>
      </c>
      <c r="FV456" s="23"/>
      <c r="GF456" s="4">
        <f>IF(S456&gt;=2.5*25.4,1,1.25)</f>
        <v>1.25</v>
      </c>
      <c r="GG456" s="4">
        <f>IF(AO456&gt;1, 0.05*(18-MIN(8,(W456+N456)/N456))*(1-48000/MAX(60000,(J456*145))*(N456/25.4)^0.75*GH456), 1/12*(14-MIN(8,(W456+N456)/N456)))</f>
        <v>0.5</v>
      </c>
      <c r="GH456" s="4">
        <f>MIN(0.3, AM456^2*PI()/4*2*AP456/(N456^2*PI()/4*X456))</f>
        <v>0</v>
      </c>
      <c r="GI456" s="4">
        <f>(K456/25.4)/(N456/25.4)^1.5/0.0024*(M456*145)^0.25/GF456/GG456/145</f>
        <v>264.52683652330421</v>
      </c>
    </row>
    <row r="457" spans="1:196" ht="12" customHeight="1" x14ac:dyDescent="0.3">
      <c r="B457" s="14"/>
      <c r="C457" s="14"/>
      <c r="D457" s="14"/>
      <c r="E457" s="14"/>
      <c r="F457" s="14"/>
      <c r="G457" s="109"/>
      <c r="H457" s="7"/>
      <c r="I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S457" s="7"/>
      <c r="AT457" s="7"/>
      <c r="AU457" s="7"/>
      <c r="AV457" s="7"/>
      <c r="AW457" s="7"/>
      <c r="AX457" s="7"/>
      <c r="AY457" s="39"/>
      <c r="AZ457" s="39"/>
      <c r="BA457" s="39"/>
      <c r="BC457" s="39"/>
      <c r="BD457" s="39"/>
      <c r="BE457" s="7"/>
      <c r="CD457" s="9"/>
      <c r="CF457" s="9"/>
      <c r="CG457" s="9"/>
      <c r="CH457" s="9"/>
      <c r="CI457" s="9"/>
      <c r="CJ457" s="9"/>
      <c r="CK457" s="70"/>
      <c r="CL457" s="9"/>
      <c r="CM457" s="9"/>
      <c r="CN457" s="9"/>
      <c r="CO457" s="9"/>
      <c r="CP457" s="9"/>
      <c r="CQ457" s="9"/>
      <c r="CR457" s="9"/>
      <c r="CS457" s="9"/>
      <c r="FO457" s="23"/>
      <c r="FP457" s="23"/>
      <c r="FQ457" s="23"/>
      <c r="FR457" s="23"/>
      <c r="FS457" s="23"/>
      <c r="FT457" s="23"/>
      <c r="FU457" s="23"/>
      <c r="FV457" s="23"/>
    </row>
    <row r="458" spans="1:196" ht="12" customHeight="1" x14ac:dyDescent="0.3">
      <c r="B458" s="14"/>
      <c r="C458" s="14"/>
      <c r="D458" s="14"/>
      <c r="E458" s="14"/>
      <c r="F458" s="14"/>
      <c r="G458" s="109"/>
      <c r="H458" s="7"/>
      <c r="I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S458" s="7"/>
      <c r="AT458" s="7"/>
      <c r="AU458" s="7"/>
      <c r="AV458" s="7"/>
      <c r="AW458" s="7"/>
      <c r="AX458" s="7"/>
      <c r="AY458" s="39"/>
      <c r="AZ458" s="39"/>
      <c r="BA458" s="39"/>
      <c r="BC458" s="39"/>
      <c r="BD458" s="39"/>
      <c r="BE458" s="7"/>
      <c r="CD458" s="9"/>
      <c r="CF458" s="9"/>
      <c r="CG458" s="9"/>
      <c r="CH458" s="9"/>
      <c r="CI458" s="9"/>
      <c r="CJ458" s="9"/>
      <c r="CK458" s="70"/>
      <c r="CL458" s="9"/>
      <c r="CM458" s="9"/>
      <c r="CN458" s="9"/>
      <c r="CO458" s="9"/>
      <c r="CP458" s="9"/>
      <c r="CQ458" s="9"/>
      <c r="CR458" s="9"/>
      <c r="CS458" s="9"/>
      <c r="FO458" s="23"/>
      <c r="FP458" s="23"/>
      <c r="FQ458" s="23"/>
      <c r="FR458" s="23"/>
      <c r="FS458" s="23"/>
      <c r="FT458" s="23"/>
      <c r="FU458" s="23"/>
      <c r="FV458" s="23"/>
    </row>
    <row r="459" spans="1:196" ht="12" customHeight="1" x14ac:dyDescent="0.3">
      <c r="B459" s="14"/>
      <c r="C459" s="14"/>
      <c r="D459" s="14"/>
      <c r="E459" s="14"/>
      <c r="F459" s="14"/>
      <c r="G459" s="109"/>
      <c r="H459" s="7"/>
      <c r="I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S459" s="7"/>
      <c r="AT459" s="7"/>
      <c r="AU459" s="7"/>
      <c r="AV459" s="7"/>
      <c r="AW459" s="7"/>
      <c r="AX459" s="7"/>
      <c r="AY459" s="39"/>
      <c r="AZ459" s="39"/>
      <c r="BA459" s="39"/>
      <c r="BC459" s="39"/>
      <c r="BD459" s="39"/>
      <c r="BE459" s="7"/>
      <c r="CD459" s="9"/>
      <c r="CF459" s="9"/>
      <c r="CG459" s="9"/>
      <c r="CH459" s="9"/>
      <c r="CI459" s="9"/>
      <c r="CJ459" s="9"/>
      <c r="CK459" s="70"/>
      <c r="CL459" s="9"/>
      <c r="CM459" s="9"/>
      <c r="CN459" s="9"/>
      <c r="CO459" s="9"/>
      <c r="CP459" s="9"/>
      <c r="CQ459" s="9"/>
      <c r="CR459" s="9"/>
      <c r="CS459" s="9"/>
      <c r="FO459" s="23"/>
      <c r="FP459" s="23"/>
      <c r="FQ459" s="23"/>
      <c r="FR459" s="23"/>
      <c r="FS459" s="23"/>
      <c r="FT459" s="23"/>
      <c r="FU459" s="23"/>
      <c r="FV459" s="23"/>
    </row>
    <row r="460" spans="1:196" ht="12" customHeight="1" x14ac:dyDescent="0.3">
      <c r="B460" s="14"/>
      <c r="C460" s="14"/>
      <c r="D460" s="14"/>
      <c r="E460" s="14"/>
      <c r="F460" s="14"/>
      <c r="G460" s="109"/>
      <c r="H460" s="7"/>
      <c r="I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S460" s="7"/>
      <c r="AT460" s="7"/>
      <c r="AU460" s="7"/>
      <c r="AV460" s="7"/>
      <c r="AW460" s="7"/>
      <c r="AX460" s="7"/>
      <c r="AY460" s="39"/>
      <c r="AZ460" s="39"/>
      <c r="BA460" s="39"/>
      <c r="BC460" s="39"/>
      <c r="BD460" s="39"/>
      <c r="BE460" s="7"/>
      <c r="CD460" s="9"/>
      <c r="CF460" s="9"/>
      <c r="CG460" s="9"/>
      <c r="CH460" s="9"/>
      <c r="CI460" s="9"/>
      <c r="CJ460" s="9"/>
      <c r="CK460" s="70"/>
      <c r="CL460" s="9"/>
      <c r="CM460" s="9"/>
      <c r="CN460" s="9"/>
      <c r="CO460" s="9"/>
      <c r="CP460" s="9"/>
      <c r="CQ460" s="9"/>
      <c r="CR460" s="9"/>
      <c r="CS460" s="9"/>
      <c r="FO460" s="23"/>
      <c r="FP460" s="23"/>
      <c r="FQ460" s="23"/>
      <c r="FR460" s="23"/>
      <c r="FS460" s="23"/>
      <c r="FT460" s="23"/>
      <c r="FU460" s="23"/>
      <c r="FV460" s="23"/>
    </row>
    <row r="461" spans="1:196" ht="12" customHeight="1" x14ac:dyDescent="0.3">
      <c r="B461" s="14"/>
      <c r="C461" s="14"/>
      <c r="D461" s="14"/>
      <c r="E461" s="14"/>
      <c r="F461" s="14"/>
      <c r="G461" s="109"/>
      <c r="H461" s="7"/>
      <c r="I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S461" s="7"/>
      <c r="AT461" s="7"/>
      <c r="AU461" s="7"/>
      <c r="AV461" s="7"/>
      <c r="AW461" s="7"/>
      <c r="AX461" s="7"/>
      <c r="AY461" s="39"/>
      <c r="AZ461" s="39"/>
      <c r="BA461" s="39"/>
      <c r="BC461" s="39"/>
      <c r="BD461" s="39"/>
      <c r="BE461" s="7"/>
      <c r="CD461" s="9"/>
      <c r="CF461" s="9"/>
      <c r="CG461" s="9"/>
      <c r="CH461" s="9"/>
      <c r="CI461" s="9"/>
      <c r="CJ461" s="9"/>
      <c r="CK461" s="70"/>
      <c r="CL461" s="9"/>
      <c r="CM461" s="9"/>
      <c r="CN461" s="9"/>
      <c r="CO461" s="9"/>
      <c r="CP461" s="9"/>
      <c r="CQ461" s="9"/>
      <c r="CR461" s="9"/>
      <c r="CS461" s="9"/>
      <c r="FO461" s="23"/>
      <c r="FP461" s="23"/>
      <c r="FQ461" s="23"/>
      <c r="FR461" s="23"/>
      <c r="FS461" s="23"/>
      <c r="FT461" s="23"/>
      <c r="FU461" s="23"/>
      <c r="FV461" s="23"/>
    </row>
    <row r="462" spans="1:196" ht="12" customHeight="1" x14ac:dyDescent="0.3">
      <c r="B462" s="14"/>
      <c r="C462" s="14"/>
      <c r="D462" s="14"/>
      <c r="E462" s="14"/>
      <c r="F462" s="14"/>
      <c r="G462" s="109"/>
      <c r="H462" s="7"/>
      <c r="I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S462" s="7"/>
      <c r="AT462" s="7"/>
      <c r="AU462" s="7"/>
      <c r="AV462" s="7"/>
      <c r="AW462" s="7"/>
      <c r="AX462" s="7"/>
      <c r="AY462" s="39"/>
      <c r="AZ462" s="39"/>
      <c r="BA462" s="39"/>
      <c r="BC462" s="39"/>
      <c r="BD462" s="39"/>
      <c r="BE462" s="7"/>
      <c r="CD462" s="9"/>
      <c r="CF462" s="9"/>
      <c r="CG462" s="9"/>
      <c r="CH462" s="9"/>
      <c r="CI462" s="9"/>
      <c r="CJ462" s="9"/>
      <c r="CK462" s="70"/>
      <c r="CL462" s="9"/>
      <c r="CM462" s="9"/>
      <c r="CN462" s="9"/>
      <c r="CO462" s="9"/>
      <c r="CP462" s="9"/>
      <c r="CQ462" s="9"/>
      <c r="CR462" s="9"/>
      <c r="CS462" s="9"/>
      <c r="FO462" s="23"/>
      <c r="FP462" s="23"/>
      <c r="FQ462" s="23"/>
      <c r="FR462" s="23"/>
      <c r="FS462" s="23"/>
      <c r="FT462" s="23"/>
      <c r="FU462" s="23"/>
      <c r="FV462" s="23"/>
    </row>
    <row r="463" spans="1:196" ht="12" customHeight="1" x14ac:dyDescent="0.3">
      <c r="B463" s="14"/>
      <c r="C463" s="14"/>
      <c r="D463" s="14"/>
      <c r="E463" s="14"/>
      <c r="F463" s="14"/>
      <c r="G463" s="109"/>
      <c r="H463" s="7"/>
      <c r="I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S463" s="7"/>
      <c r="AT463" s="7"/>
      <c r="AU463" s="7"/>
      <c r="AV463" s="7"/>
      <c r="AW463" s="7"/>
      <c r="AX463" s="7"/>
      <c r="AY463" s="39"/>
      <c r="AZ463" s="39"/>
      <c r="BA463" s="39"/>
      <c r="BC463" s="39"/>
      <c r="BD463" s="39"/>
      <c r="BE463" s="7"/>
      <c r="CD463" s="9"/>
      <c r="CF463" s="9"/>
      <c r="CG463" s="9"/>
      <c r="CH463" s="9"/>
      <c r="CI463" s="9"/>
      <c r="CJ463" s="9"/>
      <c r="CK463" s="70"/>
      <c r="CL463" s="9"/>
      <c r="CM463" s="9"/>
      <c r="CN463" s="9"/>
      <c r="CO463" s="9"/>
      <c r="CP463" s="9"/>
      <c r="CQ463" s="9"/>
      <c r="CR463" s="9"/>
      <c r="CS463" s="9"/>
      <c r="FO463" s="23"/>
      <c r="FP463" s="23"/>
      <c r="FQ463" s="23"/>
      <c r="FR463" s="23"/>
      <c r="FS463" s="23"/>
      <c r="FT463" s="23"/>
      <c r="FU463" s="23"/>
      <c r="FV463" s="23"/>
    </row>
    <row r="464" spans="1:196" ht="12" customHeight="1" x14ac:dyDescent="0.3">
      <c r="B464" s="14"/>
      <c r="C464" s="14"/>
      <c r="D464" s="14"/>
      <c r="E464" s="14"/>
      <c r="F464" s="14"/>
      <c r="G464" s="109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S464" s="7"/>
      <c r="AT464" s="7"/>
      <c r="AU464" s="7"/>
      <c r="AV464" s="7"/>
      <c r="AW464" s="7"/>
      <c r="AX464" s="7"/>
      <c r="AY464" s="39"/>
      <c r="AZ464" s="39"/>
      <c r="BA464" s="39"/>
      <c r="BC464" s="39"/>
      <c r="BD464" s="39"/>
      <c r="BE464" s="7"/>
      <c r="CD464" s="9"/>
      <c r="CF464" s="9"/>
      <c r="CG464" s="9"/>
      <c r="CH464" s="9"/>
      <c r="CI464" s="9"/>
      <c r="CJ464" s="9"/>
      <c r="CK464" s="70"/>
      <c r="CL464" s="9"/>
      <c r="CM464" s="9"/>
      <c r="CN464" s="9"/>
      <c r="CO464" s="9"/>
      <c r="CP464" s="9"/>
      <c r="CQ464" s="9"/>
      <c r="CR464" s="9"/>
      <c r="CS464" s="9"/>
      <c r="FO464" s="23"/>
      <c r="FP464" s="23"/>
      <c r="FQ464" s="23"/>
      <c r="FR464" s="23"/>
      <c r="FS464" s="23"/>
      <c r="FT464" s="23"/>
      <c r="FU464" s="23"/>
      <c r="FV464" s="23"/>
    </row>
    <row r="465" spans="2:191" ht="12" customHeight="1" x14ac:dyDescent="0.3">
      <c r="B465" s="14"/>
      <c r="C465" s="14"/>
      <c r="D465" s="14"/>
      <c r="E465" s="14"/>
      <c r="F465" s="14"/>
      <c r="G465" s="109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S465" s="7"/>
      <c r="AT465" s="7"/>
      <c r="AU465" s="7"/>
      <c r="AV465" s="7"/>
      <c r="AW465" s="7"/>
      <c r="AX465" s="7"/>
      <c r="AY465" s="39"/>
      <c r="AZ465" s="39"/>
      <c r="BA465" s="39"/>
      <c r="BC465" s="39"/>
      <c r="BD465" s="39"/>
      <c r="BE465" s="7"/>
      <c r="CD465" s="9"/>
      <c r="CF465" s="9"/>
      <c r="CG465" s="9"/>
      <c r="CH465" s="9"/>
      <c r="CI465" s="9"/>
      <c r="CJ465" s="9"/>
      <c r="CK465" s="70"/>
      <c r="CL465" s="9"/>
      <c r="CM465" s="9"/>
      <c r="CN465" s="9"/>
      <c r="CO465" s="9"/>
      <c r="CP465" s="9"/>
      <c r="CQ465" s="9"/>
      <c r="CR465" s="9"/>
      <c r="CS465" s="9"/>
      <c r="FO465" s="23"/>
      <c r="FP465" s="23"/>
      <c r="FQ465" s="23"/>
      <c r="FR465" s="23"/>
      <c r="FS465" s="23"/>
      <c r="FT465" s="23"/>
      <c r="FU465" s="23"/>
      <c r="FV465" s="23"/>
    </row>
    <row r="466" spans="2:191" ht="12" customHeight="1" x14ac:dyDescent="0.3">
      <c r="B466" s="14"/>
      <c r="C466" s="14"/>
      <c r="D466" s="14"/>
      <c r="E466" s="14"/>
      <c r="F466" s="14"/>
      <c r="G466" s="109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S466" s="7"/>
      <c r="AT466" s="7"/>
      <c r="AU466" s="7"/>
      <c r="AV466" s="7"/>
      <c r="AW466" s="7"/>
      <c r="AX466" s="7"/>
      <c r="AY466" s="39"/>
      <c r="AZ466" s="39"/>
      <c r="BA466" s="39"/>
      <c r="BC466" s="39"/>
      <c r="BD466" s="39"/>
      <c r="BE466" s="7"/>
      <c r="CD466" s="9"/>
      <c r="CF466" s="9"/>
      <c r="CG466" s="9"/>
      <c r="CH466" s="9"/>
      <c r="CI466" s="9"/>
      <c r="CJ466" s="9"/>
      <c r="CK466" s="70"/>
      <c r="CL466" s="9"/>
      <c r="CM466" s="9"/>
      <c r="CN466" s="9"/>
      <c r="CO466" s="9"/>
      <c r="CP466" s="9"/>
      <c r="CQ466" s="9"/>
      <c r="CR466" s="9"/>
      <c r="CS466" s="9"/>
      <c r="FO466" s="23"/>
      <c r="FP466" s="23"/>
      <c r="FQ466" s="23"/>
      <c r="FR466" s="23"/>
      <c r="FS466" s="23"/>
      <c r="FT466" s="23"/>
      <c r="FU466" s="23"/>
      <c r="FV466" s="23"/>
    </row>
    <row r="467" spans="2:191" ht="12" customHeight="1" x14ac:dyDescent="0.3">
      <c r="B467" s="14"/>
      <c r="C467" s="14"/>
      <c r="D467" s="14"/>
      <c r="E467" s="14"/>
      <c r="F467" s="14"/>
      <c r="G467" s="109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S467" s="7"/>
      <c r="AT467" s="7"/>
      <c r="AU467" s="7"/>
      <c r="AV467" s="7"/>
      <c r="AW467" s="7"/>
      <c r="AX467" s="7"/>
      <c r="AY467" s="39"/>
      <c r="AZ467" s="39"/>
      <c r="BA467" s="39"/>
      <c r="BC467" s="39"/>
      <c r="BD467" s="39"/>
      <c r="BE467" s="7"/>
      <c r="CD467" s="9"/>
      <c r="CF467" s="9"/>
      <c r="CG467" s="9"/>
      <c r="CH467" s="9"/>
      <c r="CI467" s="9"/>
      <c r="CJ467" s="9"/>
      <c r="CK467" s="70"/>
      <c r="CL467" s="9"/>
      <c r="CM467" s="9"/>
      <c r="CN467" s="9"/>
      <c r="CO467" s="9"/>
      <c r="CP467" s="9"/>
      <c r="CQ467" s="9"/>
      <c r="CR467" s="9"/>
      <c r="CS467" s="9"/>
      <c r="FO467" s="23"/>
      <c r="FP467" s="23"/>
      <c r="FQ467" s="23"/>
      <c r="FR467" s="23"/>
      <c r="FS467" s="23"/>
      <c r="FT467" s="23"/>
      <c r="FU467" s="23"/>
      <c r="FV467" s="23"/>
    </row>
    <row r="468" spans="2:191" ht="12" customHeight="1" x14ac:dyDescent="0.3">
      <c r="B468" s="14"/>
      <c r="C468" s="14"/>
      <c r="D468" s="14"/>
      <c r="E468" s="14"/>
      <c r="F468" s="14"/>
      <c r="G468" s="10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S468" s="7"/>
      <c r="AT468" s="7"/>
      <c r="AU468" s="7"/>
      <c r="AV468" s="7"/>
      <c r="AW468" s="7"/>
      <c r="AX468" s="7"/>
      <c r="AY468" s="39"/>
      <c r="AZ468" s="39"/>
      <c r="BA468" s="39"/>
      <c r="BC468" s="39"/>
      <c r="BD468" s="39"/>
      <c r="BE468" s="7"/>
      <c r="CD468" s="9"/>
      <c r="CF468" s="9"/>
      <c r="CG468" s="9"/>
      <c r="CH468" s="9"/>
      <c r="CI468" s="9"/>
      <c r="CJ468" s="9"/>
      <c r="CK468" s="70"/>
      <c r="CL468" s="9"/>
      <c r="CM468" s="9"/>
      <c r="CN468" s="9"/>
      <c r="CO468" s="9"/>
      <c r="CP468" s="9"/>
      <c r="CQ468" s="9"/>
      <c r="CR468" s="9"/>
      <c r="CS468" s="9"/>
      <c r="FO468" s="23"/>
      <c r="FP468" s="23"/>
      <c r="FQ468" s="23"/>
      <c r="FR468" s="23"/>
      <c r="FS468" s="23"/>
      <c r="FT468" s="23"/>
      <c r="FU468" s="23"/>
      <c r="FV468" s="23"/>
    </row>
    <row r="469" spans="2:191" ht="12" customHeight="1" x14ac:dyDescent="0.3">
      <c r="B469" s="14"/>
      <c r="C469" s="14"/>
      <c r="D469" s="14"/>
      <c r="E469" s="14"/>
      <c r="F469" s="14"/>
      <c r="G469" s="109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S469" s="7"/>
      <c r="AT469" s="7"/>
      <c r="AU469" s="7"/>
      <c r="AV469" s="7"/>
      <c r="AW469" s="7"/>
      <c r="AX469" s="7"/>
      <c r="AY469" s="39"/>
      <c r="AZ469" s="39"/>
      <c r="BA469" s="39"/>
      <c r="BC469" s="39"/>
      <c r="BD469" s="39"/>
      <c r="BE469" s="7"/>
      <c r="CD469" s="9"/>
      <c r="CF469" s="9"/>
      <c r="CG469" s="9"/>
      <c r="CH469" s="9"/>
      <c r="CI469" s="9"/>
      <c r="CJ469" s="9"/>
      <c r="CK469" s="70"/>
      <c r="CL469" s="9"/>
      <c r="CM469" s="9"/>
      <c r="CN469" s="9"/>
      <c r="CO469" s="9"/>
      <c r="CP469" s="9"/>
      <c r="CQ469" s="9"/>
      <c r="CR469" s="9"/>
      <c r="CS469" s="9"/>
      <c r="FO469" s="23"/>
      <c r="FP469" s="23"/>
      <c r="FQ469" s="23"/>
      <c r="FR469" s="23"/>
      <c r="FS469" s="23"/>
      <c r="FT469" s="23"/>
      <c r="FU469" s="23"/>
      <c r="FV469" s="23"/>
    </row>
    <row r="470" spans="2:191" ht="12" customHeight="1" x14ac:dyDescent="0.3">
      <c r="B470" s="14"/>
      <c r="C470" s="14"/>
      <c r="D470" s="14"/>
      <c r="E470" s="14"/>
      <c r="F470" s="14"/>
      <c r="G470" s="109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S470" s="7"/>
      <c r="AT470" s="7"/>
      <c r="AU470" s="7"/>
      <c r="AV470" s="7"/>
      <c r="AW470" s="7"/>
      <c r="AX470" s="7"/>
      <c r="AY470" s="39"/>
      <c r="AZ470" s="39"/>
      <c r="BA470" s="39"/>
      <c r="BC470" s="39"/>
      <c r="BD470" s="39"/>
      <c r="BE470" s="7"/>
      <c r="CD470" s="9"/>
      <c r="CF470" s="9"/>
      <c r="CG470" s="9"/>
      <c r="CH470" s="9"/>
      <c r="CI470" s="9"/>
      <c r="CJ470" s="9"/>
      <c r="CK470" s="70"/>
      <c r="CL470" s="9"/>
      <c r="CM470" s="9"/>
      <c r="CN470" s="9"/>
      <c r="CO470" s="9"/>
      <c r="CP470" s="9"/>
      <c r="CQ470" s="9"/>
      <c r="CR470" s="9"/>
      <c r="CS470" s="9"/>
      <c r="FO470" s="23"/>
      <c r="FP470" s="23"/>
      <c r="FQ470" s="23"/>
      <c r="FR470" s="23"/>
      <c r="FS470" s="23"/>
      <c r="FT470" s="23"/>
      <c r="FU470" s="23"/>
      <c r="FV470" s="23"/>
    </row>
    <row r="471" spans="2:191" ht="12" customHeight="1" x14ac:dyDescent="0.3">
      <c r="B471" s="14"/>
      <c r="C471" s="14"/>
      <c r="D471" s="14"/>
      <c r="E471" s="14"/>
      <c r="F471" s="14"/>
      <c r="G471" s="109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S471" s="7"/>
      <c r="AT471" s="7"/>
      <c r="AU471" s="7"/>
      <c r="AV471" s="7"/>
      <c r="AW471" s="7"/>
      <c r="AX471" s="7"/>
      <c r="AY471" s="39"/>
      <c r="AZ471" s="39"/>
      <c r="BA471" s="39"/>
      <c r="BC471" s="39"/>
      <c r="BD471" s="39"/>
      <c r="BE471" s="7"/>
      <c r="CD471" s="9"/>
      <c r="CF471" s="9"/>
      <c r="CG471" s="9"/>
      <c r="CH471" s="9"/>
      <c r="CI471" s="9"/>
      <c r="CJ471" s="9"/>
      <c r="CK471" s="70"/>
      <c r="CL471" s="9"/>
      <c r="CM471" s="9"/>
      <c r="CN471" s="9"/>
      <c r="CO471" s="9"/>
      <c r="CP471" s="9"/>
      <c r="CQ471" s="9"/>
      <c r="CR471" s="9"/>
      <c r="CS471" s="9"/>
      <c r="FO471" s="23"/>
      <c r="FP471" s="23"/>
      <c r="FQ471" s="23"/>
      <c r="FR471" s="23"/>
      <c r="FS471" s="23"/>
      <c r="FT471" s="23"/>
      <c r="FU471" s="23"/>
      <c r="FV471" s="23"/>
    </row>
    <row r="472" spans="2:191" ht="12" customHeight="1" x14ac:dyDescent="0.3">
      <c r="B472" s="14" t="s">
        <v>605</v>
      </c>
      <c r="C472" s="14"/>
      <c r="D472" s="14" t="s">
        <v>365</v>
      </c>
      <c r="E472" s="14"/>
      <c r="F472" s="14"/>
      <c r="G472" s="109"/>
      <c r="H472" s="43" t="s">
        <v>623</v>
      </c>
      <c r="I472" s="43"/>
      <c r="J472" s="38">
        <f t="shared" ref="J472:J503" si="505">129/0.145</f>
        <v>889.65517241379314</v>
      </c>
      <c r="K472" s="45">
        <v>203.2</v>
      </c>
      <c r="L472" s="4">
        <f t="shared" ref="L472:L503" si="506">K472</f>
        <v>203.2</v>
      </c>
      <c r="M472" s="45">
        <v>48.551724137931032</v>
      </c>
      <c r="N472" s="7">
        <v>25.4</v>
      </c>
      <c r="O472" s="7">
        <f t="shared" ref="O472:O503" si="507">K472/N472</f>
        <v>8</v>
      </c>
      <c r="P472" s="7">
        <f t="shared" ref="P472:P503" si="508">L472/N472</f>
        <v>8</v>
      </c>
      <c r="Q472" s="45">
        <v>1219.1999999999998</v>
      </c>
      <c r="R472" s="45"/>
      <c r="S472" s="45">
        <v>596.9</v>
      </c>
      <c r="T472" s="45"/>
      <c r="U472" s="45">
        <v>596.9</v>
      </c>
      <c r="V472" s="45"/>
      <c r="W472" s="7"/>
      <c r="X472" s="38">
        <v>1</v>
      </c>
      <c r="Y472" s="38"/>
      <c r="Z472" s="38"/>
      <c r="AB472" s="7">
        <f t="shared" ref="AB472:AB503" si="509">MIN(S472/N472+0.5)</f>
        <v>24</v>
      </c>
      <c r="AC472" s="7">
        <f t="shared" ref="AC472:AC503" si="510">S472/N472+0.5</f>
        <v>24</v>
      </c>
      <c r="AD472" s="45">
        <v>9.5</v>
      </c>
      <c r="AE472" s="4">
        <f t="shared" ref="AE472:AE503" si="511">AD472</f>
        <v>9.5</v>
      </c>
      <c r="AF472" s="4">
        <f t="shared" ref="AF472:AF503" si="512">AE472+1</f>
        <v>10.5</v>
      </c>
      <c r="AG472" s="7">
        <f t="shared" ref="AG472:AG503" si="513">N472*AF472^0.5</f>
        <v>82.305406869779816</v>
      </c>
      <c r="AJ472" s="45">
        <v>572.41379310344837</v>
      </c>
      <c r="AM472" s="38">
        <f>25.4*5/8</f>
        <v>15.875</v>
      </c>
      <c r="AN472" s="38">
        <v>4</v>
      </c>
      <c r="AO472" s="39">
        <f>6*25.4</f>
        <v>152.39999999999998</v>
      </c>
      <c r="AP472" s="39">
        <v>2</v>
      </c>
      <c r="AQ472" s="39"/>
      <c r="AS472" s="4">
        <f t="shared" ref="AS472:AS503" si="514">K472</f>
        <v>203.2</v>
      </c>
      <c r="AT472" s="4">
        <f t="shared" ref="AT472:AT503" si="515">MIN(9*K472^2,MIN(Q472,3*K472)*(3*K472))/(9*K472^2)</f>
        <v>0.99999999999999989</v>
      </c>
      <c r="AU472" s="4">
        <f t="shared" ref="AU472:AU503" si="516">MIN(10*M472^0.5*K472^1.5,100*3.9*M472^0.5*K472^(5/3))/(PI()/4*N472^2)/X472</f>
        <v>398.31858389679627</v>
      </c>
      <c r="AV472" s="4">
        <f t="shared" ref="AV472:AV503" si="517">MIN(0.7+0.3*(S472+N472/2)/1.5/K472,1)</f>
        <v>1</v>
      </c>
      <c r="AW472" s="4">
        <v>1.25</v>
      </c>
      <c r="AX472" s="4">
        <v>1</v>
      </c>
      <c r="AY472" s="38">
        <f t="shared" ref="AY472:AY503" si="518">AT472*AV472*AW472*AX472*AU472</f>
        <v>497.89822987099524</v>
      </c>
      <c r="AZ472" s="38">
        <f>BA472*K472*(PI()*K472*1)*MIN(1, (300/(K472+U472))^0.25)/ (PI()/4*N472^2)/X472/1.25</f>
        <v>639.85547595156208</v>
      </c>
      <c r="BA472" s="38">
        <f t="shared" ref="BA472:BA503" si="519">IF(M472&lt;50, 0.3*M472^(2/3), 2.12*LN(1+0.1*(M472+8)))</f>
        <v>3.9926173774513112</v>
      </c>
      <c r="BF472" s="4">
        <f t="shared" ref="BF472:BF503" si="520">L472/N472*M472^0.5/0.19</f>
        <v>293.3855463448877</v>
      </c>
      <c r="BG472" s="4">
        <f t="shared" ref="BG472:BG503" si="521">MIN(0.6+0.4*(AC472/AB472),2)</f>
        <v>1</v>
      </c>
      <c r="BH472" s="38">
        <f t="shared" ref="BH472:BH503" si="522">2*M472*AB472*AD472^0.5*BG472*0.7/0.7</f>
        <v>7183.0302754595714</v>
      </c>
      <c r="BI472" s="4">
        <f t="shared" ref="BI472:BI503" si="523">MAX(1-0.7*AE472/5,0.3)</f>
        <v>0.3</v>
      </c>
      <c r="BJ472" s="4">
        <f t="shared" ref="BJ472:BJ503" si="524">BI472*J472*L472/(J472*N472/2.75/M472^0.5)</f>
        <v>45.988184389561141</v>
      </c>
      <c r="BK472" s="4">
        <f t="shared" ref="BK472:BK503" si="525">BH472+BJ472</f>
        <v>7229.0184598491323</v>
      </c>
      <c r="BM472" s="4">
        <f t="shared" ref="BM472:BM503" si="526">MIN(1.5, 0.75+0.25*MIN(3,MAX(1,S472/N472))+0.4*MIN(1,(40*2*PI()*AM472^2/4/AO472/X472)/N472))</f>
        <v>1.5</v>
      </c>
      <c r="BN472" s="4">
        <f t="shared" ref="BN472:BN503" si="527">(3*P472+30)*BM472*M472^0.5</f>
        <v>564.40044478097775</v>
      </c>
      <c r="BP472" s="4">
        <f t="shared" ref="BP472:BP503" si="528">3.4/PI()^0.5*M472*AB472*AE472^0.5*BG472</f>
        <v>6889.4044615281846</v>
      </c>
      <c r="BQ472" s="4">
        <f t="shared" ref="BQ472:BQ503" si="529">8/3*AH472*AI472^2/(AG472-N472-22)/N472*(AG472^2-N472^2)/(AG472^2-(N472+22)^2)</f>
        <v>0</v>
      </c>
      <c r="BR472" s="4">
        <f t="shared" ref="BR472:BR503" si="530">BQ472/BP472</f>
        <v>0</v>
      </c>
      <c r="BZ472" s="4">
        <f t="shared" ref="BZ472:BZ503" si="531">IF(W472=0,S472,MIN(W472/2,S472))</f>
        <v>596.9</v>
      </c>
      <c r="CD472" s="9"/>
      <c r="CF472" s="9"/>
      <c r="CG472" s="9"/>
      <c r="CH472" s="9">
        <f t="shared" ref="CH472:CH503" si="532">IF(W472=0,MIN(S472,U472),MIN(W472/2,S472,U472))</f>
        <v>596.9</v>
      </c>
      <c r="CI472" s="9">
        <f t="shared" ref="CI472:CI503" si="533">MAX(W472/2,S472)</f>
        <v>596.9</v>
      </c>
      <c r="CJ472" s="9">
        <f t="shared" ref="CJ472:CJ503" si="534">(CH472/N472)^0.5*(CI472/CH472)^0.15</f>
        <v>4.8476798574163293</v>
      </c>
      <c r="CK472" s="70">
        <f t="shared" ref="CK472:CK503" si="535">IF(AO472&gt;1,20,0)</f>
        <v>20</v>
      </c>
      <c r="CL472" s="9">
        <f t="shared" ref="CL472:CL503" si="536">MIN(PI()*AM472^2/4*AN472*2/X472/N472/MAX(0.01,AO472),0.05)</f>
        <v>0.05</v>
      </c>
      <c r="CM472" s="9">
        <f t="shared" ref="CM472:CM503" si="537">MAX(0,CK472*(CL472-0.5/50))</f>
        <v>0.8</v>
      </c>
      <c r="CN472" s="9">
        <f t="shared" ref="CN472:CN503" si="538">MIN(1,(25/N472)^0.3)</f>
        <v>0.99524931562137331</v>
      </c>
      <c r="CO472" s="9">
        <f t="shared" ref="CO472:CO503" si="539">IF(J472&gt;=800,0.68,IF(J472&gt;=700,0.75-(J472-700)*0.07/100,IF(J472&gt;=600,0.85-(J472-600)*0.1/100,IF(J472&gt;=500,1-(J472-500)*0.15/100,1.2-(J472-400)*0.2/100))))</f>
        <v>0.68</v>
      </c>
      <c r="CP472" s="9">
        <f t="shared" ref="CP472:CP503" si="540">1.75*CN472*CO472*(M472/25)^0.5</f>
        <v>1.6504834472137122</v>
      </c>
      <c r="CQ472" s="9">
        <f t="shared" ref="CQ472:CQ503" si="541">MIN((CJ472+CM472)*CP472,2.5*CP472,M472^0.5)</f>
        <v>4.1262086180342807</v>
      </c>
      <c r="CR472" s="40">
        <v>1</v>
      </c>
      <c r="CS472" s="9">
        <f t="shared" ref="CS472:CS503" si="542">4*CQ472*P472+60*CQ472</f>
        <v>379.61119285915379</v>
      </c>
      <c r="DQ472" s="4">
        <f t="shared" ref="DQ472:DQ503" si="543">L472</f>
        <v>203.2</v>
      </c>
      <c r="DT472" s="4">
        <f t="shared" ref="DT472:DT503" si="544">K472/4/(1-0.3*(M472/30)^0.5)/200000/N472</f>
        <v>1.617201772180078E-5</v>
      </c>
      <c r="DU472" s="4">
        <f t="shared" ref="DU472:DU503" si="545">EP472</f>
        <v>10.690419306030725</v>
      </c>
      <c r="DV472" s="4">
        <f t="shared" ref="DV472:DV503" si="546">EY472</f>
        <v>0.44353052005319737</v>
      </c>
      <c r="DW472" s="4">
        <f t="shared" ref="DW472:DW503" si="547">DU472*DV472^0.4</f>
        <v>7.7226107205649352</v>
      </c>
      <c r="DX472" s="4">
        <f t="shared" ref="DX472:DX503" si="548">MIN(DU472, DU472/1.4*(1-DV472^1.4)/(1-DV472))</f>
        <v>9.3256375606551067</v>
      </c>
      <c r="DY472" s="4">
        <f t="shared" ref="DY472:DY503" si="549">MAX(DU472/2, (4-DT472*(8*AG472*(DW472-DX472)+6*K472*DX472))/(4+DT472*K472*DU472)*DU472)</f>
        <v>10.155429056789377</v>
      </c>
      <c r="DZ472" s="38">
        <f t="shared" ref="DZ472:DZ503" si="550">MIN(1/N472*(4*AG472*(DW472-DX472)+(3*DX472+DY472)*K472)+MIN(EB$10*AZ472, EB$11/0.7*2.8*M472*AB472*AE472^0.5*MIN(0.3+0.2*AC472/AB472,1)) -FJ472,MAX(J472,AJ472))</f>
        <v>889.65517241379314</v>
      </c>
      <c r="EA472" s="4">
        <f t="shared" ref="EA472:EA503" si="551">DZ472/FF472</f>
        <v>1</v>
      </c>
      <c r="EB472" s="4">
        <f t="shared" ref="EB472:EB503" si="552">AG472/N472</f>
        <v>3.2403703492039297</v>
      </c>
      <c r="EC472" s="4">
        <f t="shared" ref="EC472:EC503" si="553">MIN(EB$10*AZ472, EB$11*BH472)</f>
        <v>639.85547595156208</v>
      </c>
      <c r="EG472" s="4">
        <f t="shared" ref="EG472:EG503" si="554">IF(U472&gt;1*N472,0.85,1)</f>
        <v>0.85</v>
      </c>
      <c r="EH472" s="4">
        <f t="shared" ref="EH472:EH503" si="555">MIN(1,MAX(0.7,(1-0.1*(BZ472-1*N472)/N472)))</f>
        <v>0.7</v>
      </c>
      <c r="EI472" s="4">
        <f t="shared" ref="EI472:EI503" si="556">MIN(1,MAX(0.7,1-0.3*(PI()*AM472^2/4*AQ472*2-0.25*PI()/4*N472^2)/(PI()/4*N472^2)))</f>
        <v>1</v>
      </c>
      <c r="EJ472" s="4">
        <f t="shared" ref="EJ472:EJ503" si="557">IF(EH472*EI472&lt;0.7,0.7,EH472*EI472)</f>
        <v>0.7</v>
      </c>
      <c r="EL472" s="4">
        <f t="shared" ref="EL472:EL503" si="558">MIN(DU472/N472*(3.1*K472-0*1.4*N472)+2.8*M472*AB472-FJ472,MAX(J472,AJ472))</f>
        <v>889.65517241379314</v>
      </c>
      <c r="EP472" s="4">
        <f t="shared" ref="EP472:EP503" si="559">IF(N472&lt;22.2,1.1*5*(M472/30)^0.5,IF(N472&gt;=31.8,0.9*5*(M472/30)^0.5,1*5*(M472/30)^0.5))/EJ472/EG472</f>
        <v>10.690419306030725</v>
      </c>
      <c r="ES472" s="4">
        <f t="shared" ref="ES472:ES503" si="560">ET472*N472</f>
        <v>82.305406869779816</v>
      </c>
      <c r="ET472" s="4">
        <f t="shared" ref="ET472:ET503" si="561">AF472^0.5</f>
        <v>3.2403703492039302</v>
      </c>
      <c r="EU472" s="4">
        <f t="shared" ref="EU472:EU503" si="562">MIN(EC472)/(4700*M472^0.5)/AE472*ES472</f>
        <v>0.16927252226774256</v>
      </c>
      <c r="EX472" s="4">
        <f t="shared" ref="EX472:EX503" si="563">EU472</f>
        <v>0.16927252226774256</v>
      </c>
      <c r="EY472" s="4">
        <f t="shared" ref="EY472:EY503" si="564">MIN(0.999, EX472/(0.3*(M472/30)^0.5))</f>
        <v>0.44353052005319737</v>
      </c>
      <c r="EZ472" s="4">
        <f t="shared" ref="EZ472:EZ503" si="565">EP472/1*EY472^0.4</f>
        <v>7.7226107205649352</v>
      </c>
      <c r="FA472" s="4">
        <f t="shared" ref="FA472:FA503" si="566">EP472/1.4*(1-EY472^1.4)/(1-EY472)</f>
        <v>9.3256375606551067</v>
      </c>
      <c r="FB472" s="4">
        <f t="shared" ref="FB472:FB503" si="567">MAX(0,DQ472*FB$9-ES472)</f>
        <v>70.094593130220161</v>
      </c>
      <c r="FC472" s="4">
        <f t="shared" ref="FC472:FC503" si="568">MAX(0,DQ472-ES472-FB472)</f>
        <v>50.800000000000011</v>
      </c>
      <c r="FD472" s="4">
        <f t="shared" ref="FD472:FD503" si="569">FC472/(1-0.3*(M472/30)^0.5)/200000/N472</f>
        <v>1.617201772180078E-5</v>
      </c>
      <c r="FE472" s="4">
        <f t="shared" ref="FE472:FE503" si="570">MAX(0.5*EP472, (1-2*FD472*(ES472*EZ472+FB472*FA472))/(1/EP472+FD472*FC472))</f>
        <v>10.155429056789377</v>
      </c>
      <c r="FF472" s="4">
        <f t="shared" ref="FF472:FF503" si="571">MIN(4/N472*(1*EZ472*ES472+FA472*FB472+FC472*FE472)+EC472,MAX(J472,AJ472))</f>
        <v>889.65517241379314</v>
      </c>
      <c r="FO472" s="23"/>
      <c r="FP472" s="23"/>
      <c r="FQ472" s="23"/>
      <c r="FR472" s="23"/>
      <c r="FS472" s="23"/>
      <c r="FT472" s="23"/>
      <c r="FU472" s="23"/>
      <c r="FV472" s="23"/>
      <c r="GF472" s="4">
        <f t="shared" ref="GF472:GF503" si="572">IF(S472&gt;=2.5*25.4,1,1.25)</f>
        <v>1</v>
      </c>
      <c r="GG472" s="4">
        <f t="shared" ref="GG472:GG503" si="573">IF(AO472&gt;1, 0.05*(18-MIN(8,(W472+N472)/N472))*(1-48000/MAX(60000,(J472*145))*(N472/25.4)^0.75*GH472), 1/12*(14-MIN(8,(W472+N472)/N472)))</f>
        <v>0.75511627906976753</v>
      </c>
      <c r="GH472" s="4">
        <f t="shared" ref="GH472:GH503" si="574">MIN(0.3, AM472^2*PI()/4*2*AP472/(N472^2*PI()/4*X472))</f>
        <v>0.3</v>
      </c>
      <c r="GI472" s="4">
        <f t="shared" ref="GI472:GI503" si="575">(K472/25.4)/(N472/25.4)^1.5/0.0024*(M472*145)^0.25/GF472/GG472/145</f>
        <v>278.86247321680872</v>
      </c>
    </row>
    <row r="473" spans="2:191" ht="12" customHeight="1" x14ac:dyDescent="0.3">
      <c r="B473" s="14" t="s">
        <v>605</v>
      </c>
      <c r="C473" s="14"/>
      <c r="D473" s="14" t="s">
        <v>365</v>
      </c>
      <c r="E473" s="14"/>
      <c r="F473" s="14"/>
      <c r="G473" s="109"/>
      <c r="H473" s="43" t="s">
        <v>623</v>
      </c>
      <c r="I473" s="43"/>
      <c r="J473" s="38">
        <f t="shared" si="505"/>
        <v>889.65517241379314</v>
      </c>
      <c r="K473" s="45">
        <v>210.82</v>
      </c>
      <c r="L473" s="4">
        <f t="shared" si="506"/>
        <v>210.82</v>
      </c>
      <c r="M473" s="45">
        <v>48.551724137931032</v>
      </c>
      <c r="N473" s="7">
        <v>25.4</v>
      </c>
      <c r="O473" s="7">
        <f t="shared" si="507"/>
        <v>8.3000000000000007</v>
      </c>
      <c r="P473" s="7">
        <f t="shared" si="508"/>
        <v>8.3000000000000007</v>
      </c>
      <c r="Q473" s="45">
        <v>1219.1999999999998</v>
      </c>
      <c r="R473" s="45"/>
      <c r="S473" s="45">
        <v>596.9</v>
      </c>
      <c r="T473" s="45"/>
      <c r="U473" s="45">
        <v>596.9</v>
      </c>
      <c r="V473" s="45"/>
      <c r="W473" s="7"/>
      <c r="X473" s="38">
        <v>1</v>
      </c>
      <c r="Y473" s="38"/>
      <c r="Z473" s="38"/>
      <c r="AB473" s="7">
        <f t="shared" si="509"/>
        <v>24</v>
      </c>
      <c r="AC473" s="7">
        <f t="shared" si="510"/>
        <v>24</v>
      </c>
      <c r="AD473" s="45">
        <v>9.5</v>
      </c>
      <c r="AE473" s="4">
        <f t="shared" si="511"/>
        <v>9.5</v>
      </c>
      <c r="AF473" s="4">
        <f t="shared" si="512"/>
        <v>10.5</v>
      </c>
      <c r="AG473" s="7">
        <f t="shared" si="513"/>
        <v>82.305406869779816</v>
      </c>
      <c r="AJ473" s="45">
        <v>591.72413793103453</v>
      </c>
      <c r="AM473" s="38"/>
      <c r="AN473" s="38"/>
      <c r="AO473" s="39">
        <v>1</v>
      </c>
      <c r="AP473" s="39"/>
      <c r="AQ473" s="39"/>
      <c r="AS473" s="4">
        <f t="shared" si="514"/>
        <v>210.82</v>
      </c>
      <c r="AT473" s="4">
        <f t="shared" si="515"/>
        <v>1</v>
      </c>
      <c r="AU473" s="4">
        <f t="shared" si="516"/>
        <v>420.93276036185819</v>
      </c>
      <c r="AV473" s="4">
        <f t="shared" si="517"/>
        <v>1</v>
      </c>
      <c r="AW473" s="4">
        <v>1.25</v>
      </c>
      <c r="AX473" s="4">
        <v>1</v>
      </c>
      <c r="AY473" s="38">
        <f t="shared" si="518"/>
        <v>526.1659504523227</v>
      </c>
      <c r="AZ473" s="38">
        <f t="shared" ref="AZ473:AZ503" si="576">AY473</f>
        <v>526.1659504523227</v>
      </c>
      <c r="BA473" s="38">
        <f t="shared" si="519"/>
        <v>3.9926173774513112</v>
      </c>
      <c r="BF473" s="4">
        <f t="shared" si="520"/>
        <v>304.38750433282104</v>
      </c>
      <c r="BG473" s="4">
        <f t="shared" si="521"/>
        <v>1</v>
      </c>
      <c r="BH473" s="38">
        <f t="shared" si="522"/>
        <v>7183.0302754595714</v>
      </c>
      <c r="BI473" s="4">
        <f t="shared" si="523"/>
        <v>0.3</v>
      </c>
      <c r="BJ473" s="4">
        <f t="shared" si="524"/>
        <v>47.712741304169683</v>
      </c>
      <c r="BK473" s="4">
        <f t="shared" si="525"/>
        <v>7230.7430167637413</v>
      </c>
      <c r="BM473" s="4">
        <f t="shared" si="526"/>
        <v>1.5</v>
      </c>
      <c r="BN473" s="4">
        <f t="shared" si="527"/>
        <v>573.80711886066081</v>
      </c>
      <c r="BP473" s="4">
        <f t="shared" si="528"/>
        <v>6889.4044615281846</v>
      </c>
      <c r="BQ473" s="4">
        <f t="shared" si="529"/>
        <v>0</v>
      </c>
      <c r="BR473" s="4">
        <f t="shared" si="530"/>
        <v>0</v>
      </c>
      <c r="BZ473" s="4">
        <f t="shared" si="531"/>
        <v>596.9</v>
      </c>
      <c r="CD473" s="9"/>
      <c r="CF473" s="9"/>
      <c r="CG473" s="9"/>
      <c r="CH473" s="9">
        <f t="shared" si="532"/>
        <v>596.9</v>
      </c>
      <c r="CI473" s="9">
        <f t="shared" si="533"/>
        <v>596.9</v>
      </c>
      <c r="CJ473" s="9">
        <f t="shared" si="534"/>
        <v>4.8476798574163293</v>
      </c>
      <c r="CK473" s="70">
        <f t="shared" si="535"/>
        <v>0</v>
      </c>
      <c r="CL473" s="9">
        <f t="shared" si="536"/>
        <v>0</v>
      </c>
      <c r="CM473" s="9">
        <f t="shared" si="537"/>
        <v>0</v>
      </c>
      <c r="CN473" s="9">
        <f t="shared" si="538"/>
        <v>0.99524931562137331</v>
      </c>
      <c r="CO473" s="9">
        <f t="shared" si="539"/>
        <v>0.68</v>
      </c>
      <c r="CP473" s="9">
        <f t="shared" si="540"/>
        <v>1.6504834472137122</v>
      </c>
      <c r="CQ473" s="9">
        <f t="shared" si="541"/>
        <v>4.1262086180342807</v>
      </c>
      <c r="CR473" s="40">
        <v>1</v>
      </c>
      <c r="CS473" s="9">
        <f t="shared" si="542"/>
        <v>384.56264320079498</v>
      </c>
      <c r="DQ473" s="4">
        <f t="shared" si="543"/>
        <v>210.82</v>
      </c>
      <c r="DT473" s="4">
        <f t="shared" si="544"/>
        <v>1.6778468386368307E-5</v>
      </c>
      <c r="DU473" s="4">
        <f t="shared" si="545"/>
        <v>10.690419306030725</v>
      </c>
      <c r="DV473" s="4">
        <f t="shared" si="546"/>
        <v>0.36472401410857042</v>
      </c>
      <c r="DW473" s="4">
        <f t="shared" si="547"/>
        <v>7.1413527097240266</v>
      </c>
      <c r="DX473" s="4">
        <f t="shared" si="548"/>
        <v>9.0914327666231785</v>
      </c>
      <c r="DY473" s="4">
        <f t="shared" si="549"/>
        <v>10.136488236253166</v>
      </c>
      <c r="DZ473" s="38">
        <f t="shared" si="550"/>
        <v>811.39955232234138</v>
      </c>
      <c r="EA473" s="4">
        <f t="shared" si="551"/>
        <v>1</v>
      </c>
      <c r="EB473" s="4">
        <f t="shared" si="552"/>
        <v>3.2403703492039297</v>
      </c>
      <c r="EC473" s="4">
        <f t="shared" si="553"/>
        <v>526.1659504523227</v>
      </c>
      <c r="EG473" s="4">
        <f t="shared" si="554"/>
        <v>0.85</v>
      </c>
      <c r="EH473" s="4">
        <f t="shared" si="555"/>
        <v>0.7</v>
      </c>
      <c r="EI473" s="4">
        <f t="shared" si="556"/>
        <v>1</v>
      </c>
      <c r="EJ473" s="4">
        <f t="shared" si="557"/>
        <v>0.7</v>
      </c>
      <c r="EL473" s="4">
        <f t="shared" si="558"/>
        <v>889.65517241379314</v>
      </c>
      <c r="EP473" s="4">
        <f t="shared" si="559"/>
        <v>10.690419306030725</v>
      </c>
      <c r="ES473" s="4">
        <f t="shared" si="560"/>
        <v>82.305406869779816</v>
      </c>
      <c r="ET473" s="4">
        <f t="shared" si="561"/>
        <v>3.2403703492039302</v>
      </c>
      <c r="EU473" s="4">
        <f t="shared" si="562"/>
        <v>0.13919617931223441</v>
      </c>
      <c r="EX473" s="4">
        <f t="shared" si="563"/>
        <v>0.13919617931223441</v>
      </c>
      <c r="EY473" s="4">
        <f t="shared" si="564"/>
        <v>0.36472401410857042</v>
      </c>
      <c r="EZ473" s="4">
        <f t="shared" si="565"/>
        <v>7.1413527097240266</v>
      </c>
      <c r="FA473" s="4">
        <f t="shared" si="566"/>
        <v>9.0914327666231785</v>
      </c>
      <c r="FB473" s="4">
        <f t="shared" si="567"/>
        <v>75.809593130220193</v>
      </c>
      <c r="FC473" s="4">
        <f t="shared" si="568"/>
        <v>52.704999999999998</v>
      </c>
      <c r="FD473" s="4">
        <f t="shared" si="569"/>
        <v>1.6778468386368307E-5</v>
      </c>
      <c r="FE473" s="4">
        <f t="shared" si="570"/>
        <v>10.136488236253166</v>
      </c>
      <c r="FF473" s="4">
        <f t="shared" si="571"/>
        <v>811.39955232234138</v>
      </c>
      <c r="FO473" s="23"/>
      <c r="FP473" s="23"/>
      <c r="FQ473" s="23"/>
      <c r="FR473" s="23"/>
      <c r="FS473" s="23"/>
      <c r="FT473" s="23"/>
      <c r="FU473" s="23"/>
      <c r="FV473" s="23"/>
      <c r="GF473" s="4">
        <f t="shared" si="572"/>
        <v>1</v>
      </c>
      <c r="GG473" s="4">
        <f t="shared" si="573"/>
        <v>1.0833333333333333</v>
      </c>
      <c r="GH473" s="4">
        <f t="shared" si="574"/>
        <v>0</v>
      </c>
      <c r="GI473" s="4">
        <f t="shared" si="575"/>
        <v>201.66471036065258</v>
      </c>
    </row>
    <row r="474" spans="2:191" ht="12" customHeight="1" x14ac:dyDescent="0.3">
      <c r="B474" s="14" t="s">
        <v>605</v>
      </c>
      <c r="C474" s="14"/>
      <c r="D474" s="14" t="s">
        <v>365</v>
      </c>
      <c r="E474" s="14"/>
      <c r="F474" s="14"/>
      <c r="G474" s="109"/>
      <c r="H474" s="43" t="s">
        <v>624</v>
      </c>
      <c r="I474" s="43"/>
      <c r="J474" s="38">
        <f t="shared" si="505"/>
        <v>889.65517241379314</v>
      </c>
      <c r="K474" s="45">
        <v>215.89999999999998</v>
      </c>
      <c r="L474" s="4">
        <f t="shared" si="506"/>
        <v>215.89999999999998</v>
      </c>
      <c r="M474" s="45">
        <v>48.551724137931032</v>
      </c>
      <c r="N474" s="7">
        <v>25.4</v>
      </c>
      <c r="O474" s="7">
        <f t="shared" si="507"/>
        <v>8.5</v>
      </c>
      <c r="P474" s="7">
        <f t="shared" si="508"/>
        <v>8.5</v>
      </c>
      <c r="Q474" s="45">
        <v>1219.1999999999998</v>
      </c>
      <c r="R474" s="45"/>
      <c r="S474" s="45">
        <v>596.9</v>
      </c>
      <c r="T474" s="45"/>
      <c r="U474" s="45">
        <v>596.9</v>
      </c>
      <c r="V474" s="45"/>
      <c r="W474" s="7"/>
      <c r="X474" s="38">
        <v>1</v>
      </c>
      <c r="Y474" s="38"/>
      <c r="Z474" s="38"/>
      <c r="AB474" s="7">
        <f t="shared" si="509"/>
        <v>24</v>
      </c>
      <c r="AC474" s="7">
        <f t="shared" si="510"/>
        <v>24</v>
      </c>
      <c r="AD474" s="45">
        <v>4</v>
      </c>
      <c r="AE474" s="4">
        <f t="shared" si="511"/>
        <v>4</v>
      </c>
      <c r="AF474" s="4">
        <f t="shared" si="512"/>
        <v>5</v>
      </c>
      <c r="AG474" s="7">
        <f t="shared" si="513"/>
        <v>56.796126628494655</v>
      </c>
      <c r="AJ474" s="45">
        <v>539.31034482758628</v>
      </c>
      <c r="AM474" s="38"/>
      <c r="AN474" s="38"/>
      <c r="AO474" s="39">
        <v>1</v>
      </c>
      <c r="AP474" s="39"/>
      <c r="AQ474" s="39"/>
      <c r="AS474" s="4">
        <f t="shared" si="514"/>
        <v>215.89999999999998</v>
      </c>
      <c r="AT474" s="4">
        <f t="shared" si="515"/>
        <v>1</v>
      </c>
      <c r="AU474" s="4">
        <f t="shared" si="516"/>
        <v>436.23848592031243</v>
      </c>
      <c r="AV474" s="4">
        <f t="shared" si="517"/>
        <v>1</v>
      </c>
      <c r="AW474" s="4">
        <v>1.25</v>
      </c>
      <c r="AX474" s="4">
        <v>1</v>
      </c>
      <c r="AY474" s="38">
        <f t="shared" si="518"/>
        <v>545.29810740039056</v>
      </c>
      <c r="AZ474" s="38">
        <f t="shared" si="576"/>
        <v>545.29810740039056</v>
      </c>
      <c r="BA474" s="38">
        <f t="shared" si="519"/>
        <v>3.9926173774513112</v>
      </c>
      <c r="BF474" s="4">
        <f t="shared" si="520"/>
        <v>311.72214299144321</v>
      </c>
      <c r="BG474" s="4">
        <f t="shared" si="521"/>
        <v>1</v>
      </c>
      <c r="BH474" s="38">
        <f t="shared" si="522"/>
        <v>4660.9655172413786</v>
      </c>
      <c r="BI474" s="4">
        <f t="shared" si="523"/>
        <v>0.44000000000000006</v>
      </c>
      <c r="BJ474" s="4">
        <f t="shared" si="524"/>
        <v>71.664920673732794</v>
      </c>
      <c r="BK474" s="4">
        <f t="shared" si="525"/>
        <v>4732.6304379151115</v>
      </c>
      <c r="BM474" s="4">
        <f t="shared" si="526"/>
        <v>1.5</v>
      </c>
      <c r="BN474" s="4">
        <f t="shared" si="527"/>
        <v>580.07823491378269</v>
      </c>
      <c r="BP474" s="4">
        <f t="shared" si="528"/>
        <v>4470.4359299748721</v>
      </c>
      <c r="BQ474" s="4">
        <f t="shared" si="529"/>
        <v>0</v>
      </c>
      <c r="BR474" s="4">
        <f t="shared" si="530"/>
        <v>0</v>
      </c>
      <c r="BZ474" s="4">
        <f t="shared" si="531"/>
        <v>596.9</v>
      </c>
      <c r="CD474" s="9"/>
      <c r="CF474" s="9"/>
      <c r="CG474" s="9"/>
      <c r="CH474" s="9">
        <f t="shared" si="532"/>
        <v>596.9</v>
      </c>
      <c r="CI474" s="9">
        <f t="shared" si="533"/>
        <v>596.9</v>
      </c>
      <c r="CJ474" s="9">
        <f t="shared" si="534"/>
        <v>4.8476798574163293</v>
      </c>
      <c r="CK474" s="70">
        <f t="shared" si="535"/>
        <v>0</v>
      </c>
      <c r="CL474" s="9">
        <f t="shared" si="536"/>
        <v>0</v>
      </c>
      <c r="CM474" s="9">
        <f t="shared" si="537"/>
        <v>0</v>
      </c>
      <c r="CN474" s="9">
        <f t="shared" si="538"/>
        <v>0.99524931562137331</v>
      </c>
      <c r="CO474" s="9">
        <f t="shared" si="539"/>
        <v>0.68</v>
      </c>
      <c r="CP474" s="9">
        <f t="shared" si="540"/>
        <v>1.6504834472137122</v>
      </c>
      <c r="CQ474" s="9">
        <f t="shared" si="541"/>
        <v>4.1262086180342807</v>
      </c>
      <c r="CR474" s="40">
        <v>1</v>
      </c>
      <c r="CS474" s="9">
        <f t="shared" si="542"/>
        <v>387.86361009522238</v>
      </c>
      <c r="DQ474" s="4">
        <f t="shared" si="543"/>
        <v>215.89999999999998</v>
      </c>
      <c r="DT474" s="4">
        <f t="shared" si="544"/>
        <v>1.7182768829413324E-5</v>
      </c>
      <c r="DU474" s="4">
        <f t="shared" si="545"/>
        <v>10.690419306030725</v>
      </c>
      <c r="DV474" s="4">
        <f t="shared" si="546"/>
        <v>0.61948326067862303</v>
      </c>
      <c r="DW474" s="4">
        <f t="shared" si="547"/>
        <v>8.8268667378225558</v>
      </c>
      <c r="DX474" s="4">
        <f t="shared" si="548"/>
        <v>9.8030662330807399</v>
      </c>
      <c r="DY474" s="4">
        <f t="shared" si="549"/>
        <v>10.028193756194481</v>
      </c>
      <c r="DZ474" s="38">
        <f t="shared" si="550"/>
        <v>871.78454954760934</v>
      </c>
      <c r="EA474" s="4">
        <f t="shared" si="551"/>
        <v>1</v>
      </c>
      <c r="EB474" s="4">
        <f t="shared" si="552"/>
        <v>2.2360679774997898</v>
      </c>
      <c r="EC474" s="4">
        <f t="shared" si="553"/>
        <v>545.29810740039056</v>
      </c>
      <c r="EG474" s="4">
        <f t="shared" si="554"/>
        <v>0.85</v>
      </c>
      <c r="EH474" s="4">
        <f t="shared" si="555"/>
        <v>0.7</v>
      </c>
      <c r="EI474" s="4">
        <f t="shared" si="556"/>
        <v>1</v>
      </c>
      <c r="EJ474" s="4">
        <f t="shared" si="557"/>
        <v>0.7</v>
      </c>
      <c r="EL474" s="4">
        <f t="shared" si="558"/>
        <v>889.65517241379314</v>
      </c>
      <c r="EP474" s="4">
        <f t="shared" si="559"/>
        <v>10.690419306030725</v>
      </c>
      <c r="ES474" s="4">
        <f t="shared" si="560"/>
        <v>56.796126628494655</v>
      </c>
      <c r="ET474" s="4">
        <f t="shared" si="561"/>
        <v>2.2360679774997898</v>
      </c>
      <c r="EU474" s="4">
        <f t="shared" si="562"/>
        <v>0.23642452840706166</v>
      </c>
      <c r="EX474" s="4">
        <f t="shared" si="563"/>
        <v>0.23642452840706166</v>
      </c>
      <c r="EY474" s="4">
        <f t="shared" si="564"/>
        <v>0.61948326067862303</v>
      </c>
      <c r="EZ474" s="4">
        <f t="shared" si="565"/>
        <v>8.8268667378225558</v>
      </c>
      <c r="FA474" s="4">
        <f t="shared" si="566"/>
        <v>9.8030662330807399</v>
      </c>
      <c r="FB474" s="4">
        <f t="shared" si="567"/>
        <v>105.12887337150534</v>
      </c>
      <c r="FC474" s="4">
        <f t="shared" si="568"/>
        <v>53.974999999999994</v>
      </c>
      <c r="FD474" s="4">
        <f t="shared" si="569"/>
        <v>1.7182768829413324E-5</v>
      </c>
      <c r="FE474" s="4">
        <f t="shared" si="570"/>
        <v>10.028193756194481</v>
      </c>
      <c r="FF474" s="4">
        <f t="shared" si="571"/>
        <v>871.78454954760934</v>
      </c>
      <c r="FO474" s="23"/>
      <c r="FP474" s="23"/>
      <c r="FQ474" s="23"/>
      <c r="FR474" s="23"/>
      <c r="FS474" s="23"/>
      <c r="FT474" s="23"/>
      <c r="FU474" s="23"/>
      <c r="FV474" s="23"/>
      <c r="GF474" s="4">
        <f t="shared" si="572"/>
        <v>1</v>
      </c>
      <c r="GG474" s="4">
        <f t="shared" si="573"/>
        <v>1.0833333333333333</v>
      </c>
      <c r="GH474" s="4">
        <f t="shared" si="574"/>
        <v>0</v>
      </c>
      <c r="GI474" s="4">
        <f t="shared" si="575"/>
        <v>206.52410097175263</v>
      </c>
    </row>
    <row r="475" spans="2:191" ht="12" customHeight="1" x14ac:dyDescent="0.3">
      <c r="B475" s="14" t="s">
        <v>605</v>
      </c>
      <c r="C475" s="14"/>
      <c r="D475" s="14" t="s">
        <v>365</v>
      </c>
      <c r="E475" s="14"/>
      <c r="F475" s="14"/>
      <c r="G475" s="109"/>
      <c r="H475" s="43" t="s">
        <v>624</v>
      </c>
      <c r="I475" s="43"/>
      <c r="J475" s="38">
        <f t="shared" si="505"/>
        <v>889.65517241379314</v>
      </c>
      <c r="K475" s="45">
        <v>190.5</v>
      </c>
      <c r="L475" s="4">
        <f t="shared" si="506"/>
        <v>190.5</v>
      </c>
      <c r="M475" s="45">
        <v>48.551724137931032</v>
      </c>
      <c r="N475" s="7">
        <v>25.4</v>
      </c>
      <c r="O475" s="7">
        <f t="shared" si="507"/>
        <v>7.5</v>
      </c>
      <c r="P475" s="7">
        <f t="shared" si="508"/>
        <v>7.5</v>
      </c>
      <c r="Q475" s="45">
        <v>1219.1999999999998</v>
      </c>
      <c r="R475" s="45"/>
      <c r="S475" s="45">
        <v>596.9</v>
      </c>
      <c r="T475" s="45"/>
      <c r="U475" s="45">
        <v>596.9</v>
      </c>
      <c r="V475" s="45"/>
      <c r="W475" s="7"/>
      <c r="X475" s="38">
        <v>1</v>
      </c>
      <c r="Y475" s="38"/>
      <c r="Z475" s="38"/>
      <c r="AB475" s="7">
        <f t="shared" si="509"/>
        <v>24</v>
      </c>
      <c r="AC475" s="7">
        <f t="shared" si="510"/>
        <v>24</v>
      </c>
      <c r="AD475" s="45">
        <v>4</v>
      </c>
      <c r="AE475" s="4">
        <f t="shared" si="511"/>
        <v>4</v>
      </c>
      <c r="AF475" s="4">
        <f t="shared" si="512"/>
        <v>5</v>
      </c>
      <c r="AG475" s="7">
        <f t="shared" si="513"/>
        <v>56.796126628494655</v>
      </c>
      <c r="AJ475" s="45">
        <v>491.72413793103448</v>
      </c>
      <c r="AM475" s="38"/>
      <c r="AN475" s="38"/>
      <c r="AO475" s="39">
        <v>1</v>
      </c>
      <c r="AP475" s="39"/>
      <c r="AQ475" s="39"/>
      <c r="AS475" s="4">
        <f t="shared" si="514"/>
        <v>190.5</v>
      </c>
      <c r="AT475" s="4">
        <f t="shared" si="515"/>
        <v>1</v>
      </c>
      <c r="AU475" s="4">
        <f t="shared" si="516"/>
        <v>361.56591607434706</v>
      </c>
      <c r="AV475" s="4">
        <f t="shared" si="517"/>
        <v>1</v>
      </c>
      <c r="AW475" s="4">
        <v>1.25</v>
      </c>
      <c r="AX475" s="4">
        <v>1</v>
      </c>
      <c r="AY475" s="38">
        <f t="shared" si="518"/>
        <v>451.95739509293384</v>
      </c>
      <c r="AZ475" s="38">
        <f t="shared" si="576"/>
        <v>451.95739509293384</v>
      </c>
      <c r="BA475" s="38">
        <f t="shared" si="519"/>
        <v>3.9926173774513112</v>
      </c>
      <c r="BF475" s="4">
        <f t="shared" si="520"/>
        <v>275.04894969833225</v>
      </c>
      <c r="BG475" s="4">
        <f t="shared" si="521"/>
        <v>1</v>
      </c>
      <c r="BH475" s="38">
        <f t="shared" si="522"/>
        <v>4660.9655172413786</v>
      </c>
      <c r="BI475" s="4">
        <f t="shared" si="523"/>
        <v>0.44000000000000006</v>
      </c>
      <c r="BJ475" s="4">
        <f t="shared" si="524"/>
        <v>63.233753535646585</v>
      </c>
      <c r="BK475" s="4">
        <f t="shared" si="525"/>
        <v>4724.199270777025</v>
      </c>
      <c r="BM475" s="4">
        <f t="shared" si="526"/>
        <v>1.5</v>
      </c>
      <c r="BN475" s="4">
        <f t="shared" si="527"/>
        <v>548.72265464817281</v>
      </c>
      <c r="BP475" s="4">
        <f t="shared" si="528"/>
        <v>4470.4359299748721</v>
      </c>
      <c r="BQ475" s="4">
        <f t="shared" si="529"/>
        <v>0</v>
      </c>
      <c r="BR475" s="4">
        <f t="shared" si="530"/>
        <v>0</v>
      </c>
      <c r="BZ475" s="4">
        <f t="shared" si="531"/>
        <v>596.9</v>
      </c>
      <c r="CD475" s="9"/>
      <c r="CF475" s="9"/>
      <c r="CG475" s="9"/>
      <c r="CH475" s="9">
        <f t="shared" si="532"/>
        <v>596.9</v>
      </c>
      <c r="CI475" s="9">
        <f t="shared" si="533"/>
        <v>596.9</v>
      </c>
      <c r="CJ475" s="9">
        <f t="shared" si="534"/>
        <v>4.8476798574163293</v>
      </c>
      <c r="CK475" s="70">
        <f t="shared" si="535"/>
        <v>0</v>
      </c>
      <c r="CL475" s="9">
        <f t="shared" si="536"/>
        <v>0</v>
      </c>
      <c r="CM475" s="9">
        <f t="shared" si="537"/>
        <v>0</v>
      </c>
      <c r="CN475" s="9">
        <f t="shared" si="538"/>
        <v>0.99524931562137331</v>
      </c>
      <c r="CO475" s="9">
        <f t="shared" si="539"/>
        <v>0.68</v>
      </c>
      <c r="CP475" s="9">
        <f t="shared" si="540"/>
        <v>1.6504834472137122</v>
      </c>
      <c r="CQ475" s="9">
        <f t="shared" si="541"/>
        <v>4.1262086180342807</v>
      </c>
      <c r="CR475" s="40">
        <v>1</v>
      </c>
      <c r="CS475" s="9">
        <f t="shared" si="542"/>
        <v>371.35877562308525</v>
      </c>
      <c r="DQ475" s="4">
        <f t="shared" si="543"/>
        <v>190.5</v>
      </c>
      <c r="DT475" s="4">
        <f t="shared" si="544"/>
        <v>1.5161266614188229E-5</v>
      </c>
      <c r="DU475" s="4">
        <f t="shared" si="545"/>
        <v>10.690419306030725</v>
      </c>
      <c r="DV475" s="4">
        <f t="shared" si="546"/>
        <v>0.51344399879680713</v>
      </c>
      <c r="DW475" s="4">
        <f t="shared" si="547"/>
        <v>8.1882665666777861</v>
      </c>
      <c r="DX475" s="4">
        <f t="shared" si="548"/>
        <v>9.5220326434042857</v>
      </c>
      <c r="DY475" s="4">
        <f t="shared" si="549"/>
        <v>10.195269662186318</v>
      </c>
      <c r="DZ475" s="38">
        <f t="shared" si="550"/>
        <v>730.73808558135306</v>
      </c>
      <c r="EA475" s="4">
        <f t="shared" si="551"/>
        <v>1</v>
      </c>
      <c r="EB475" s="4">
        <f t="shared" si="552"/>
        <v>2.2360679774997898</v>
      </c>
      <c r="EC475" s="4">
        <f t="shared" si="553"/>
        <v>451.95739509293384</v>
      </c>
      <c r="EG475" s="4">
        <f t="shared" si="554"/>
        <v>0.85</v>
      </c>
      <c r="EH475" s="4">
        <f t="shared" si="555"/>
        <v>0.7</v>
      </c>
      <c r="EI475" s="4">
        <f t="shared" si="556"/>
        <v>1</v>
      </c>
      <c r="EJ475" s="4">
        <f t="shared" si="557"/>
        <v>0.7</v>
      </c>
      <c r="EL475" s="4">
        <f t="shared" si="558"/>
        <v>889.65517241379314</v>
      </c>
      <c r="EP475" s="4">
        <f t="shared" si="559"/>
        <v>10.690419306030725</v>
      </c>
      <c r="ES475" s="4">
        <f t="shared" si="560"/>
        <v>56.796126628494655</v>
      </c>
      <c r="ET475" s="4">
        <f t="shared" si="561"/>
        <v>2.2360679774997898</v>
      </c>
      <c r="EU475" s="4">
        <f t="shared" si="562"/>
        <v>0.1959548594517172</v>
      </c>
      <c r="EX475" s="4">
        <f t="shared" si="563"/>
        <v>0.1959548594517172</v>
      </c>
      <c r="EY475" s="4">
        <f t="shared" si="564"/>
        <v>0.51344399879680713</v>
      </c>
      <c r="EZ475" s="4">
        <f t="shared" si="565"/>
        <v>8.1882665666777861</v>
      </c>
      <c r="FA475" s="4">
        <f t="shared" si="566"/>
        <v>9.5220326434042857</v>
      </c>
      <c r="FB475" s="4">
        <f t="shared" si="567"/>
        <v>86.078873371505352</v>
      </c>
      <c r="FC475" s="4">
        <f t="shared" si="568"/>
        <v>47.625</v>
      </c>
      <c r="FD475" s="4">
        <f t="shared" si="569"/>
        <v>1.5161266614188229E-5</v>
      </c>
      <c r="FE475" s="4">
        <f t="shared" si="570"/>
        <v>10.195269662186318</v>
      </c>
      <c r="FF475" s="4">
        <f t="shared" si="571"/>
        <v>730.73808558135306</v>
      </c>
      <c r="FO475" s="23"/>
      <c r="FP475" s="23"/>
      <c r="FQ475" s="23"/>
      <c r="FR475" s="23"/>
      <c r="FS475" s="23"/>
      <c r="FT475" s="23"/>
      <c r="FU475" s="23"/>
      <c r="FV475" s="23"/>
      <c r="GF475" s="4">
        <f t="shared" si="572"/>
        <v>1</v>
      </c>
      <c r="GG475" s="4">
        <f t="shared" si="573"/>
        <v>1.0833333333333333</v>
      </c>
      <c r="GH475" s="4">
        <f t="shared" si="574"/>
        <v>0</v>
      </c>
      <c r="GI475" s="4">
        <f t="shared" si="575"/>
        <v>182.22714791625231</v>
      </c>
    </row>
    <row r="476" spans="2:191" ht="12" customHeight="1" x14ac:dyDescent="0.3">
      <c r="B476" s="14" t="s">
        <v>605</v>
      </c>
      <c r="C476" s="14"/>
      <c r="D476" s="14" t="s">
        <v>365</v>
      </c>
      <c r="E476" s="14"/>
      <c r="F476" s="14"/>
      <c r="G476" s="109"/>
      <c r="H476" s="43" t="s">
        <v>625</v>
      </c>
      <c r="I476" s="43"/>
      <c r="J476" s="38">
        <f t="shared" si="505"/>
        <v>889.65517241379314</v>
      </c>
      <c r="K476" s="45">
        <v>187.96</v>
      </c>
      <c r="L476" s="4">
        <f t="shared" si="506"/>
        <v>187.96</v>
      </c>
      <c r="M476" s="45">
        <v>36</v>
      </c>
      <c r="N476" s="7">
        <v>25.4</v>
      </c>
      <c r="O476" s="7">
        <f t="shared" si="507"/>
        <v>7.4</v>
      </c>
      <c r="P476" s="7">
        <f t="shared" si="508"/>
        <v>7.4</v>
      </c>
      <c r="Q476" s="45">
        <v>1219.1999999999998</v>
      </c>
      <c r="R476" s="45"/>
      <c r="S476" s="45">
        <v>596.9</v>
      </c>
      <c r="T476" s="45"/>
      <c r="U476" s="45">
        <v>596.9</v>
      </c>
      <c r="V476" s="45"/>
      <c r="W476" s="7"/>
      <c r="X476" s="38">
        <v>1</v>
      </c>
      <c r="Y476" s="38"/>
      <c r="Z476" s="38"/>
      <c r="AB476" s="7">
        <f t="shared" si="509"/>
        <v>24</v>
      </c>
      <c r="AC476" s="7">
        <f t="shared" si="510"/>
        <v>24</v>
      </c>
      <c r="AD476" s="45">
        <v>4.0999999999999996</v>
      </c>
      <c r="AE476" s="4">
        <f t="shared" si="511"/>
        <v>4.0999999999999996</v>
      </c>
      <c r="AF476" s="4">
        <f t="shared" si="512"/>
        <v>5.0999999999999996</v>
      </c>
      <c r="AG476" s="7">
        <f t="shared" si="513"/>
        <v>57.361276136431961</v>
      </c>
      <c r="AJ476" s="45">
        <v>601.37931034482767</v>
      </c>
      <c r="AM476" s="38"/>
      <c r="AN476" s="38"/>
      <c r="AO476" s="39">
        <v>1</v>
      </c>
      <c r="AP476" s="39"/>
      <c r="AQ476" s="39"/>
      <c r="AS476" s="4">
        <f t="shared" si="514"/>
        <v>187.96</v>
      </c>
      <c r="AT476" s="4">
        <f t="shared" si="515"/>
        <v>1</v>
      </c>
      <c r="AU476" s="4">
        <f t="shared" si="516"/>
        <v>305.13504551575329</v>
      </c>
      <c r="AV476" s="4">
        <f t="shared" si="517"/>
        <v>1</v>
      </c>
      <c r="AW476" s="4">
        <v>1.25</v>
      </c>
      <c r="AX476" s="4">
        <v>1</v>
      </c>
      <c r="AY476" s="38">
        <f t="shared" si="518"/>
        <v>381.41880689469161</v>
      </c>
      <c r="AZ476" s="38">
        <f t="shared" si="576"/>
        <v>381.41880689469161</v>
      </c>
      <c r="BA476" s="38">
        <f t="shared" si="519"/>
        <v>3.2708170670978505</v>
      </c>
      <c r="BF476" s="4">
        <f t="shared" si="520"/>
        <v>233.68421052631581</v>
      </c>
      <c r="BG476" s="4">
        <f t="shared" si="521"/>
        <v>1</v>
      </c>
      <c r="BH476" s="38">
        <f t="shared" si="522"/>
        <v>3498.9333231715059</v>
      </c>
      <c r="BI476" s="4">
        <f t="shared" si="523"/>
        <v>0.42600000000000005</v>
      </c>
      <c r="BJ476" s="4">
        <f t="shared" si="524"/>
        <v>52.014600000000009</v>
      </c>
      <c r="BK476" s="4">
        <f t="shared" si="525"/>
        <v>3550.9479231715059</v>
      </c>
      <c r="BM476" s="4">
        <f t="shared" si="526"/>
        <v>1.5</v>
      </c>
      <c r="BN476" s="4">
        <f t="shared" si="527"/>
        <v>469.80000000000007</v>
      </c>
      <c r="BP476" s="4">
        <f t="shared" si="528"/>
        <v>3355.904948584548</v>
      </c>
      <c r="BQ476" s="4">
        <f t="shared" si="529"/>
        <v>0</v>
      </c>
      <c r="BR476" s="4">
        <f t="shared" si="530"/>
        <v>0</v>
      </c>
      <c r="BZ476" s="4">
        <f t="shared" si="531"/>
        <v>596.9</v>
      </c>
      <c r="CD476" s="9"/>
      <c r="CF476" s="9"/>
      <c r="CG476" s="9"/>
      <c r="CH476" s="9">
        <f t="shared" si="532"/>
        <v>596.9</v>
      </c>
      <c r="CI476" s="9">
        <f t="shared" si="533"/>
        <v>596.9</v>
      </c>
      <c r="CJ476" s="9">
        <f t="shared" si="534"/>
        <v>4.8476798574163293</v>
      </c>
      <c r="CK476" s="70">
        <f t="shared" si="535"/>
        <v>0</v>
      </c>
      <c r="CL476" s="9">
        <f t="shared" si="536"/>
        <v>0</v>
      </c>
      <c r="CM476" s="9">
        <f t="shared" si="537"/>
        <v>0</v>
      </c>
      <c r="CN476" s="9">
        <f t="shared" si="538"/>
        <v>0.99524931562137331</v>
      </c>
      <c r="CO476" s="9">
        <f t="shared" si="539"/>
        <v>0.68</v>
      </c>
      <c r="CP476" s="9">
        <f t="shared" si="540"/>
        <v>1.4212160227073209</v>
      </c>
      <c r="CQ476" s="9">
        <f t="shared" si="541"/>
        <v>3.5530400567683023</v>
      </c>
      <c r="CR476" s="40">
        <v>1</v>
      </c>
      <c r="CS476" s="9">
        <f t="shared" si="542"/>
        <v>318.35238908643987</v>
      </c>
      <c r="DQ476" s="4">
        <f t="shared" si="543"/>
        <v>187.96</v>
      </c>
      <c r="DT476" s="4">
        <f t="shared" si="544"/>
        <v>1.377787017281802E-5</v>
      </c>
      <c r="DU476" s="4">
        <f t="shared" si="545"/>
        <v>9.2054211345406056</v>
      </c>
      <c r="DV476" s="4">
        <f t="shared" si="546"/>
        <v>0.57580583984844791</v>
      </c>
      <c r="DW476" s="4">
        <f t="shared" si="547"/>
        <v>7.3816608504860692</v>
      </c>
      <c r="DX476" s="4">
        <f t="shared" si="548"/>
        <v>8.3435810675533659</v>
      </c>
      <c r="DY476" s="4">
        <f t="shared" si="549"/>
        <v>8.8682086466934464</v>
      </c>
      <c r="DZ476" s="38">
        <f t="shared" si="550"/>
        <v>623.58176377795292</v>
      </c>
      <c r="EA476" s="4">
        <f t="shared" si="551"/>
        <v>1</v>
      </c>
      <c r="EB476" s="4">
        <f t="shared" si="552"/>
        <v>2.2583179581272428</v>
      </c>
      <c r="EC476" s="4">
        <f t="shared" si="553"/>
        <v>381.41880689469161</v>
      </c>
      <c r="EG476" s="4">
        <f t="shared" si="554"/>
        <v>0.85</v>
      </c>
      <c r="EH476" s="4">
        <f t="shared" si="555"/>
        <v>0.7</v>
      </c>
      <c r="EI476" s="4">
        <f t="shared" si="556"/>
        <v>1</v>
      </c>
      <c r="EJ476" s="4">
        <f t="shared" si="557"/>
        <v>0.7</v>
      </c>
      <c r="EL476" s="4">
        <f t="shared" si="558"/>
        <v>889.65517241379314</v>
      </c>
      <c r="EP476" s="4">
        <f t="shared" si="559"/>
        <v>9.2054211345406056</v>
      </c>
      <c r="ES476" s="4">
        <f t="shared" si="560"/>
        <v>57.361276136431961</v>
      </c>
      <c r="ET476" s="4">
        <f t="shared" si="561"/>
        <v>2.2583179581272428</v>
      </c>
      <c r="EU476" s="4">
        <f t="shared" si="562"/>
        <v>0.18922910833692116</v>
      </c>
      <c r="EX476" s="4">
        <f t="shared" si="563"/>
        <v>0.18922910833692116</v>
      </c>
      <c r="EY476" s="4">
        <f t="shared" si="564"/>
        <v>0.57580583984844791</v>
      </c>
      <c r="EZ476" s="4">
        <f t="shared" si="565"/>
        <v>7.3816608504860692</v>
      </c>
      <c r="FA476" s="4">
        <f t="shared" si="566"/>
        <v>8.3435810675533659</v>
      </c>
      <c r="FB476" s="4">
        <f t="shared" si="567"/>
        <v>83.608723863568031</v>
      </c>
      <c r="FC476" s="4">
        <f t="shared" si="568"/>
        <v>46.990000000000009</v>
      </c>
      <c r="FD476" s="4">
        <f t="shared" si="569"/>
        <v>1.377787017281802E-5</v>
      </c>
      <c r="FE476" s="4">
        <f t="shared" si="570"/>
        <v>8.8682086466934464</v>
      </c>
      <c r="FF476" s="4">
        <f t="shared" si="571"/>
        <v>623.58176377795292</v>
      </c>
      <c r="FO476" s="23"/>
      <c r="FP476" s="23"/>
      <c r="FQ476" s="23"/>
      <c r="FR476" s="23"/>
      <c r="FS476" s="23"/>
      <c r="FT476" s="23"/>
      <c r="FU476" s="23"/>
      <c r="FV476" s="23"/>
      <c r="GF476" s="4">
        <f t="shared" si="572"/>
        <v>1</v>
      </c>
      <c r="GG476" s="4">
        <f t="shared" si="573"/>
        <v>1.0833333333333333</v>
      </c>
      <c r="GH476" s="4">
        <f t="shared" si="574"/>
        <v>0</v>
      </c>
      <c r="GI476" s="4">
        <f t="shared" si="575"/>
        <v>166.84300191817573</v>
      </c>
    </row>
    <row r="477" spans="2:191" ht="12" customHeight="1" x14ac:dyDescent="0.3">
      <c r="B477" s="14" t="s">
        <v>605</v>
      </c>
      <c r="C477" s="14"/>
      <c r="D477" s="14" t="s">
        <v>365</v>
      </c>
      <c r="E477" s="14"/>
      <c r="F477" s="14"/>
      <c r="G477" s="109"/>
      <c r="H477" s="43" t="s">
        <v>625</v>
      </c>
      <c r="I477" s="43"/>
      <c r="J477" s="38">
        <f t="shared" si="505"/>
        <v>889.65517241379314</v>
      </c>
      <c r="K477" s="45">
        <v>187.96</v>
      </c>
      <c r="L477" s="4">
        <f t="shared" si="506"/>
        <v>187.96</v>
      </c>
      <c r="M477" s="45">
        <v>36</v>
      </c>
      <c r="N477" s="7">
        <v>25.4</v>
      </c>
      <c r="O477" s="7">
        <f t="shared" si="507"/>
        <v>7.4</v>
      </c>
      <c r="P477" s="7">
        <f t="shared" si="508"/>
        <v>7.4</v>
      </c>
      <c r="Q477" s="45">
        <v>1219.1999999999998</v>
      </c>
      <c r="R477" s="45"/>
      <c r="S477" s="45">
        <v>596.9</v>
      </c>
      <c r="T477" s="45"/>
      <c r="U477" s="45">
        <v>596.9</v>
      </c>
      <c r="V477" s="45"/>
      <c r="W477" s="7"/>
      <c r="X477" s="38">
        <v>1</v>
      </c>
      <c r="Y477" s="38"/>
      <c r="Z477" s="38"/>
      <c r="AB477" s="7">
        <f t="shared" si="509"/>
        <v>24</v>
      </c>
      <c r="AC477" s="7">
        <f t="shared" si="510"/>
        <v>24</v>
      </c>
      <c r="AD477" s="45">
        <v>4.0999999999999996</v>
      </c>
      <c r="AE477" s="4">
        <f t="shared" si="511"/>
        <v>4.0999999999999996</v>
      </c>
      <c r="AF477" s="4">
        <f t="shared" si="512"/>
        <v>5.0999999999999996</v>
      </c>
      <c r="AG477" s="7">
        <f t="shared" si="513"/>
        <v>57.361276136431961</v>
      </c>
      <c r="AJ477" s="45">
        <v>562.06896551724139</v>
      </c>
      <c r="AM477" s="38"/>
      <c r="AN477" s="38"/>
      <c r="AO477" s="39">
        <v>1</v>
      </c>
      <c r="AP477" s="39"/>
      <c r="AQ477" s="39"/>
      <c r="AS477" s="4">
        <f t="shared" si="514"/>
        <v>187.96</v>
      </c>
      <c r="AT477" s="4">
        <f t="shared" si="515"/>
        <v>1</v>
      </c>
      <c r="AU477" s="4">
        <f t="shared" si="516"/>
        <v>305.13504551575329</v>
      </c>
      <c r="AV477" s="4">
        <f t="shared" si="517"/>
        <v>1</v>
      </c>
      <c r="AW477" s="4">
        <v>1.25</v>
      </c>
      <c r="AX477" s="4">
        <v>1</v>
      </c>
      <c r="AY477" s="38">
        <f t="shared" si="518"/>
        <v>381.41880689469161</v>
      </c>
      <c r="AZ477" s="38">
        <f t="shared" si="576"/>
        <v>381.41880689469161</v>
      </c>
      <c r="BA477" s="38">
        <f t="shared" si="519"/>
        <v>3.2708170670978505</v>
      </c>
      <c r="BF477" s="4">
        <f t="shared" si="520"/>
        <v>233.68421052631581</v>
      </c>
      <c r="BG477" s="4">
        <f t="shared" si="521"/>
        <v>1</v>
      </c>
      <c r="BH477" s="38">
        <f t="shared" si="522"/>
        <v>3498.9333231715059</v>
      </c>
      <c r="BI477" s="4">
        <f t="shared" si="523"/>
        <v>0.42600000000000005</v>
      </c>
      <c r="BJ477" s="4">
        <f t="shared" si="524"/>
        <v>52.014600000000009</v>
      </c>
      <c r="BK477" s="4">
        <f t="shared" si="525"/>
        <v>3550.9479231715059</v>
      </c>
      <c r="BM477" s="4">
        <f t="shared" si="526"/>
        <v>1.5</v>
      </c>
      <c r="BN477" s="4">
        <f t="shared" si="527"/>
        <v>469.80000000000007</v>
      </c>
      <c r="BP477" s="4">
        <f t="shared" si="528"/>
        <v>3355.904948584548</v>
      </c>
      <c r="BQ477" s="4">
        <f t="shared" si="529"/>
        <v>0</v>
      </c>
      <c r="BR477" s="4">
        <f t="shared" si="530"/>
        <v>0</v>
      </c>
      <c r="BZ477" s="4">
        <f t="shared" si="531"/>
        <v>596.9</v>
      </c>
      <c r="CD477" s="9"/>
      <c r="CF477" s="9"/>
      <c r="CG477" s="9"/>
      <c r="CH477" s="9">
        <f t="shared" si="532"/>
        <v>596.9</v>
      </c>
      <c r="CI477" s="9">
        <f t="shared" si="533"/>
        <v>596.9</v>
      </c>
      <c r="CJ477" s="9">
        <f t="shared" si="534"/>
        <v>4.8476798574163293</v>
      </c>
      <c r="CK477" s="70">
        <f t="shared" si="535"/>
        <v>0</v>
      </c>
      <c r="CL477" s="9">
        <f t="shared" si="536"/>
        <v>0</v>
      </c>
      <c r="CM477" s="9">
        <f t="shared" si="537"/>
        <v>0</v>
      </c>
      <c r="CN477" s="9">
        <f t="shared" si="538"/>
        <v>0.99524931562137331</v>
      </c>
      <c r="CO477" s="9">
        <f t="shared" si="539"/>
        <v>0.68</v>
      </c>
      <c r="CP477" s="9">
        <f t="shared" si="540"/>
        <v>1.4212160227073209</v>
      </c>
      <c r="CQ477" s="9">
        <f t="shared" si="541"/>
        <v>3.5530400567683023</v>
      </c>
      <c r="CR477" s="40">
        <v>1</v>
      </c>
      <c r="CS477" s="9">
        <f t="shared" si="542"/>
        <v>318.35238908643987</v>
      </c>
      <c r="DQ477" s="4">
        <f t="shared" si="543"/>
        <v>187.96</v>
      </c>
      <c r="DT477" s="4">
        <f t="shared" si="544"/>
        <v>1.377787017281802E-5</v>
      </c>
      <c r="DU477" s="4">
        <f t="shared" si="545"/>
        <v>9.2054211345406056</v>
      </c>
      <c r="DV477" s="4">
        <f t="shared" si="546"/>
        <v>0.57580583984844791</v>
      </c>
      <c r="DW477" s="4">
        <f t="shared" si="547"/>
        <v>7.3816608504860692</v>
      </c>
      <c r="DX477" s="4">
        <f t="shared" si="548"/>
        <v>8.3435810675533659</v>
      </c>
      <c r="DY477" s="4">
        <f t="shared" si="549"/>
        <v>8.8682086466934464</v>
      </c>
      <c r="DZ477" s="38">
        <f t="shared" si="550"/>
        <v>623.58176377795292</v>
      </c>
      <c r="EA477" s="4">
        <f t="shared" si="551"/>
        <v>1</v>
      </c>
      <c r="EB477" s="4">
        <f t="shared" si="552"/>
        <v>2.2583179581272428</v>
      </c>
      <c r="EC477" s="4">
        <f t="shared" si="553"/>
        <v>381.41880689469161</v>
      </c>
      <c r="EG477" s="4">
        <f t="shared" si="554"/>
        <v>0.85</v>
      </c>
      <c r="EH477" s="4">
        <f t="shared" si="555"/>
        <v>0.7</v>
      </c>
      <c r="EI477" s="4">
        <f t="shared" si="556"/>
        <v>1</v>
      </c>
      <c r="EJ477" s="4">
        <f t="shared" si="557"/>
        <v>0.7</v>
      </c>
      <c r="EL477" s="4">
        <f t="shared" si="558"/>
        <v>889.65517241379314</v>
      </c>
      <c r="EP477" s="4">
        <f t="shared" si="559"/>
        <v>9.2054211345406056</v>
      </c>
      <c r="ES477" s="4">
        <f t="shared" si="560"/>
        <v>57.361276136431961</v>
      </c>
      <c r="ET477" s="4">
        <f t="shared" si="561"/>
        <v>2.2583179581272428</v>
      </c>
      <c r="EU477" s="4">
        <f t="shared" si="562"/>
        <v>0.18922910833692116</v>
      </c>
      <c r="EX477" s="4">
        <f t="shared" si="563"/>
        <v>0.18922910833692116</v>
      </c>
      <c r="EY477" s="4">
        <f t="shared" si="564"/>
        <v>0.57580583984844791</v>
      </c>
      <c r="EZ477" s="4">
        <f t="shared" si="565"/>
        <v>7.3816608504860692</v>
      </c>
      <c r="FA477" s="4">
        <f t="shared" si="566"/>
        <v>8.3435810675533659</v>
      </c>
      <c r="FB477" s="4">
        <f t="shared" si="567"/>
        <v>83.608723863568031</v>
      </c>
      <c r="FC477" s="4">
        <f t="shared" si="568"/>
        <v>46.990000000000009</v>
      </c>
      <c r="FD477" s="4">
        <f t="shared" si="569"/>
        <v>1.377787017281802E-5</v>
      </c>
      <c r="FE477" s="4">
        <f t="shared" si="570"/>
        <v>8.8682086466934464</v>
      </c>
      <c r="FF477" s="4">
        <f t="shared" si="571"/>
        <v>623.58176377795292</v>
      </c>
      <c r="FO477" s="23"/>
      <c r="FP477" s="23"/>
      <c r="FQ477" s="23"/>
      <c r="FR477" s="23"/>
      <c r="FS477" s="23"/>
      <c r="FT477" s="23"/>
      <c r="FU477" s="23"/>
      <c r="FV477" s="23"/>
      <c r="GF477" s="4">
        <f t="shared" si="572"/>
        <v>1</v>
      </c>
      <c r="GG477" s="4">
        <f t="shared" si="573"/>
        <v>1.0833333333333333</v>
      </c>
      <c r="GH477" s="4">
        <f t="shared" si="574"/>
        <v>0</v>
      </c>
      <c r="GI477" s="4">
        <f t="shared" si="575"/>
        <v>166.84300191817573</v>
      </c>
    </row>
    <row r="478" spans="2:191" ht="12" customHeight="1" x14ac:dyDescent="0.3">
      <c r="B478" s="14" t="s">
        <v>605</v>
      </c>
      <c r="C478" s="24"/>
      <c r="D478" s="14" t="s">
        <v>365</v>
      </c>
      <c r="E478" s="24"/>
      <c r="F478" s="24"/>
      <c r="G478" s="109"/>
      <c r="H478" s="43" t="s">
        <v>626</v>
      </c>
      <c r="I478" s="43"/>
      <c r="J478" s="38">
        <f t="shared" si="505"/>
        <v>889.65517241379314</v>
      </c>
      <c r="K478" s="45">
        <v>180.33999999999997</v>
      </c>
      <c r="L478" s="4">
        <f t="shared" si="506"/>
        <v>180.33999999999997</v>
      </c>
      <c r="M478" s="45">
        <v>36</v>
      </c>
      <c r="N478" s="7">
        <v>25.4</v>
      </c>
      <c r="O478" s="7">
        <f t="shared" si="507"/>
        <v>7.1</v>
      </c>
      <c r="P478" s="7">
        <f t="shared" si="508"/>
        <v>7.1</v>
      </c>
      <c r="Q478" s="45">
        <v>1219.1999999999998</v>
      </c>
      <c r="R478" s="45"/>
      <c r="S478" s="45">
        <v>596.9</v>
      </c>
      <c r="T478" s="45"/>
      <c r="U478" s="45">
        <v>596.9</v>
      </c>
      <c r="V478" s="45"/>
      <c r="W478" s="7"/>
      <c r="X478" s="38">
        <v>1</v>
      </c>
      <c r="Y478" s="38"/>
      <c r="Z478" s="38"/>
      <c r="AB478" s="7">
        <f t="shared" si="509"/>
        <v>24</v>
      </c>
      <c r="AC478" s="7">
        <f t="shared" si="510"/>
        <v>24</v>
      </c>
      <c r="AD478" s="45">
        <v>9.1</v>
      </c>
      <c r="AE478" s="4">
        <f t="shared" si="511"/>
        <v>9.1</v>
      </c>
      <c r="AF478" s="4">
        <f t="shared" si="512"/>
        <v>10.1</v>
      </c>
      <c r="AG478" s="7">
        <f t="shared" si="513"/>
        <v>80.72246279691916</v>
      </c>
      <c r="AJ478" s="45">
        <v>610.34482758620697</v>
      </c>
      <c r="AM478" s="38"/>
      <c r="AN478" s="38"/>
      <c r="AO478" s="39">
        <v>1</v>
      </c>
      <c r="AP478" s="39"/>
      <c r="AQ478" s="39"/>
      <c r="AS478" s="4">
        <f t="shared" si="514"/>
        <v>180.33999999999997</v>
      </c>
      <c r="AT478" s="4">
        <f t="shared" si="515"/>
        <v>1</v>
      </c>
      <c r="AU478" s="4">
        <f t="shared" si="516"/>
        <v>286.76888899995987</v>
      </c>
      <c r="AV478" s="4">
        <f t="shared" si="517"/>
        <v>1</v>
      </c>
      <c r="AW478" s="4">
        <v>1.25</v>
      </c>
      <c r="AX478" s="4">
        <v>1</v>
      </c>
      <c r="AY478" s="38">
        <f t="shared" si="518"/>
        <v>358.46111124994985</v>
      </c>
      <c r="AZ478" s="38">
        <f t="shared" si="576"/>
        <v>358.46111124994985</v>
      </c>
      <c r="BA478" s="38">
        <f t="shared" si="519"/>
        <v>3.2708170670978505</v>
      </c>
      <c r="BF478" s="4">
        <f t="shared" si="520"/>
        <v>224.21052631578945</v>
      </c>
      <c r="BG478" s="4">
        <f t="shared" si="521"/>
        <v>1</v>
      </c>
      <c r="BH478" s="38">
        <f t="shared" si="522"/>
        <v>5212.7204413818317</v>
      </c>
      <c r="BI478" s="4">
        <f t="shared" si="523"/>
        <v>0.3</v>
      </c>
      <c r="BJ478" s="4">
        <f t="shared" si="524"/>
        <v>35.144999999999989</v>
      </c>
      <c r="BK478" s="4">
        <f t="shared" si="525"/>
        <v>5247.8654413818322</v>
      </c>
      <c r="BM478" s="4">
        <f t="shared" si="526"/>
        <v>1.5</v>
      </c>
      <c r="BN478" s="4">
        <f t="shared" si="527"/>
        <v>461.69999999999993</v>
      </c>
      <c r="BP478" s="4">
        <f t="shared" si="528"/>
        <v>4999.6363774559568</v>
      </c>
      <c r="BQ478" s="4">
        <f t="shared" si="529"/>
        <v>0</v>
      </c>
      <c r="BR478" s="4">
        <f t="shared" si="530"/>
        <v>0</v>
      </c>
      <c r="BZ478" s="4">
        <f t="shared" si="531"/>
        <v>596.9</v>
      </c>
      <c r="CD478" s="9"/>
      <c r="CF478" s="9"/>
      <c r="CG478" s="9"/>
      <c r="CH478" s="9">
        <f t="shared" si="532"/>
        <v>596.9</v>
      </c>
      <c r="CI478" s="9">
        <f t="shared" si="533"/>
        <v>596.9</v>
      </c>
      <c r="CJ478" s="9">
        <f t="shared" si="534"/>
        <v>4.8476798574163293</v>
      </c>
      <c r="CK478" s="70">
        <f t="shared" si="535"/>
        <v>0</v>
      </c>
      <c r="CL478" s="9">
        <f t="shared" si="536"/>
        <v>0</v>
      </c>
      <c r="CM478" s="9">
        <f t="shared" si="537"/>
        <v>0</v>
      </c>
      <c r="CN478" s="9">
        <f t="shared" si="538"/>
        <v>0.99524931562137331</v>
      </c>
      <c r="CO478" s="9">
        <f t="shared" si="539"/>
        <v>0.68</v>
      </c>
      <c r="CP478" s="9">
        <f t="shared" si="540"/>
        <v>1.4212160227073209</v>
      </c>
      <c r="CQ478" s="9">
        <f t="shared" si="541"/>
        <v>3.5530400567683023</v>
      </c>
      <c r="CR478" s="40">
        <v>1</v>
      </c>
      <c r="CS478" s="9">
        <f t="shared" si="542"/>
        <v>314.08874101831793</v>
      </c>
      <c r="DQ478" s="4">
        <f t="shared" si="543"/>
        <v>180.33999999999997</v>
      </c>
      <c r="DT478" s="4">
        <f t="shared" si="544"/>
        <v>1.3219307868514583E-5</v>
      </c>
      <c r="DU478" s="4">
        <f t="shared" si="545"/>
        <v>9.2054211345406056</v>
      </c>
      <c r="DV478" s="4">
        <f t="shared" si="546"/>
        <v>0.34311054994209239</v>
      </c>
      <c r="DW478" s="4">
        <f t="shared" si="547"/>
        <v>6.0009124459143566</v>
      </c>
      <c r="DX478" s="4">
        <f t="shared" si="548"/>
        <v>7.7708713439840205</v>
      </c>
      <c r="DY478" s="4">
        <f t="shared" si="549"/>
        <v>8.9353684179504107</v>
      </c>
      <c r="DZ478" s="38">
        <f t="shared" si="550"/>
        <v>564.92171714795745</v>
      </c>
      <c r="EA478" s="4">
        <f t="shared" si="551"/>
        <v>1</v>
      </c>
      <c r="EB478" s="4">
        <f t="shared" si="552"/>
        <v>3.1780497164141401</v>
      </c>
      <c r="EC478" s="4">
        <f t="shared" si="553"/>
        <v>358.46111124994985</v>
      </c>
      <c r="EG478" s="4">
        <f t="shared" si="554"/>
        <v>0.85</v>
      </c>
      <c r="EH478" s="4">
        <f t="shared" si="555"/>
        <v>0.7</v>
      </c>
      <c r="EI478" s="4">
        <f t="shared" si="556"/>
        <v>1</v>
      </c>
      <c r="EJ478" s="4">
        <f t="shared" si="557"/>
        <v>0.7</v>
      </c>
      <c r="EL478" s="4">
        <f t="shared" si="558"/>
        <v>889.65517241379314</v>
      </c>
      <c r="EP478" s="4">
        <f t="shared" si="559"/>
        <v>9.2054211345406056</v>
      </c>
      <c r="ES478" s="4">
        <f t="shared" si="560"/>
        <v>80.72246279691916</v>
      </c>
      <c r="ET478" s="4">
        <f t="shared" si="561"/>
        <v>3.1780497164141406</v>
      </c>
      <c r="EU478" s="4">
        <f t="shared" si="562"/>
        <v>0.11275763275277211</v>
      </c>
      <c r="EX478" s="4">
        <f t="shared" si="563"/>
        <v>0.11275763275277211</v>
      </c>
      <c r="EY478" s="4">
        <f t="shared" si="564"/>
        <v>0.34311054994209239</v>
      </c>
      <c r="EZ478" s="4">
        <f t="shared" si="565"/>
        <v>6.0009124459143566</v>
      </c>
      <c r="FA478" s="4">
        <f t="shared" si="566"/>
        <v>7.7708713439840205</v>
      </c>
      <c r="FB478" s="4">
        <f t="shared" si="567"/>
        <v>54.532537203080835</v>
      </c>
      <c r="FC478" s="4">
        <f t="shared" si="568"/>
        <v>45.08499999999998</v>
      </c>
      <c r="FD478" s="4">
        <f t="shared" si="569"/>
        <v>1.3219307868514577E-5</v>
      </c>
      <c r="FE478" s="4">
        <f t="shared" si="570"/>
        <v>8.9353684179504107</v>
      </c>
      <c r="FF478" s="4">
        <f t="shared" si="571"/>
        <v>564.92171714795745</v>
      </c>
      <c r="FO478" s="23"/>
      <c r="FP478" s="23"/>
      <c r="FQ478" s="23"/>
      <c r="FR478" s="23"/>
      <c r="FS478" s="23"/>
      <c r="FT478" s="23"/>
      <c r="FU478" s="23"/>
      <c r="FV478" s="23"/>
      <c r="GF478" s="4">
        <f t="shared" si="572"/>
        <v>1</v>
      </c>
      <c r="GG478" s="4">
        <f t="shared" si="573"/>
        <v>1.0833333333333333</v>
      </c>
      <c r="GH478" s="4">
        <f t="shared" si="574"/>
        <v>0</v>
      </c>
      <c r="GI478" s="4">
        <f t="shared" si="575"/>
        <v>160.07909643500642</v>
      </c>
    </row>
    <row r="479" spans="2:191" ht="12" customHeight="1" x14ac:dyDescent="0.3">
      <c r="B479" s="14" t="s">
        <v>605</v>
      </c>
      <c r="C479" s="24"/>
      <c r="D479" s="14" t="s">
        <v>365</v>
      </c>
      <c r="E479" s="24"/>
      <c r="F479" s="24"/>
      <c r="G479" s="109"/>
      <c r="H479" s="43" t="s">
        <v>626</v>
      </c>
      <c r="I479" s="43"/>
      <c r="J479" s="38">
        <f t="shared" si="505"/>
        <v>889.65517241379314</v>
      </c>
      <c r="K479" s="45">
        <v>177.79999999999998</v>
      </c>
      <c r="L479" s="4">
        <f t="shared" si="506"/>
        <v>177.79999999999998</v>
      </c>
      <c r="M479" s="45">
        <v>36</v>
      </c>
      <c r="N479" s="7">
        <v>25.4</v>
      </c>
      <c r="O479" s="7">
        <f t="shared" si="507"/>
        <v>7</v>
      </c>
      <c r="P479" s="7">
        <f t="shared" si="508"/>
        <v>7</v>
      </c>
      <c r="Q479" s="45">
        <v>1219.1999999999998</v>
      </c>
      <c r="R479" s="45"/>
      <c r="S479" s="45">
        <v>596.9</v>
      </c>
      <c r="T479" s="45"/>
      <c r="U479" s="45">
        <v>596.9</v>
      </c>
      <c r="V479" s="45"/>
      <c r="W479" s="7"/>
      <c r="X479" s="38">
        <v>1</v>
      </c>
      <c r="Y479" s="38"/>
      <c r="Z479" s="38"/>
      <c r="AB479" s="7">
        <f t="shared" si="509"/>
        <v>24</v>
      </c>
      <c r="AC479" s="7">
        <f t="shared" si="510"/>
        <v>24</v>
      </c>
      <c r="AD479" s="45">
        <v>9.1</v>
      </c>
      <c r="AE479" s="4">
        <f t="shared" si="511"/>
        <v>9.1</v>
      </c>
      <c r="AF479" s="4">
        <f t="shared" si="512"/>
        <v>10.1</v>
      </c>
      <c r="AG479" s="7">
        <f t="shared" si="513"/>
        <v>80.72246279691916</v>
      </c>
      <c r="AJ479" s="45">
        <v>479.31034482758622</v>
      </c>
      <c r="AM479" s="38"/>
      <c r="AN479" s="38"/>
      <c r="AO479" s="39">
        <v>1</v>
      </c>
      <c r="AP479" s="39"/>
      <c r="AQ479" s="39"/>
      <c r="AS479" s="4">
        <f t="shared" si="514"/>
        <v>177.79999999999998</v>
      </c>
      <c r="AT479" s="4">
        <f t="shared" si="515"/>
        <v>1</v>
      </c>
      <c r="AU479" s="4">
        <f t="shared" si="516"/>
        <v>280.73177442647159</v>
      </c>
      <c r="AV479" s="4">
        <f t="shared" si="517"/>
        <v>1</v>
      </c>
      <c r="AW479" s="4">
        <v>1.25</v>
      </c>
      <c r="AX479" s="4">
        <v>1</v>
      </c>
      <c r="AY479" s="38">
        <f t="shared" si="518"/>
        <v>350.91471803308946</v>
      </c>
      <c r="AZ479" s="38">
        <f t="shared" si="576"/>
        <v>350.91471803308946</v>
      </c>
      <c r="BA479" s="38">
        <f t="shared" si="519"/>
        <v>3.2708170670978505</v>
      </c>
      <c r="BF479" s="4">
        <f t="shared" si="520"/>
        <v>221.05263157894737</v>
      </c>
      <c r="BG479" s="4">
        <f t="shared" si="521"/>
        <v>1</v>
      </c>
      <c r="BH479" s="38">
        <f t="shared" si="522"/>
        <v>5212.7204413818317</v>
      </c>
      <c r="BI479" s="4">
        <f t="shared" si="523"/>
        <v>0.3</v>
      </c>
      <c r="BJ479" s="4">
        <f t="shared" si="524"/>
        <v>34.65</v>
      </c>
      <c r="BK479" s="4">
        <f t="shared" si="525"/>
        <v>5247.3704413818314</v>
      </c>
      <c r="BM479" s="4">
        <f t="shared" si="526"/>
        <v>1.5</v>
      </c>
      <c r="BN479" s="4">
        <f t="shared" si="527"/>
        <v>459</v>
      </c>
      <c r="BP479" s="4">
        <f t="shared" si="528"/>
        <v>4999.6363774559568</v>
      </c>
      <c r="BQ479" s="4">
        <f t="shared" si="529"/>
        <v>0</v>
      </c>
      <c r="BR479" s="4">
        <f t="shared" si="530"/>
        <v>0</v>
      </c>
      <c r="BZ479" s="4">
        <f t="shared" si="531"/>
        <v>596.9</v>
      </c>
      <c r="CD479" s="9"/>
      <c r="CF479" s="9"/>
      <c r="CG479" s="9"/>
      <c r="CH479" s="9">
        <f t="shared" si="532"/>
        <v>596.9</v>
      </c>
      <c r="CI479" s="9">
        <f t="shared" si="533"/>
        <v>596.9</v>
      </c>
      <c r="CJ479" s="9">
        <f t="shared" si="534"/>
        <v>4.8476798574163293</v>
      </c>
      <c r="CK479" s="70">
        <f t="shared" si="535"/>
        <v>0</v>
      </c>
      <c r="CL479" s="9">
        <f t="shared" si="536"/>
        <v>0</v>
      </c>
      <c r="CM479" s="9">
        <f t="shared" si="537"/>
        <v>0</v>
      </c>
      <c r="CN479" s="9">
        <f t="shared" si="538"/>
        <v>0.99524931562137331</v>
      </c>
      <c r="CO479" s="9">
        <f t="shared" si="539"/>
        <v>0.68</v>
      </c>
      <c r="CP479" s="9">
        <f t="shared" si="540"/>
        <v>1.4212160227073209</v>
      </c>
      <c r="CQ479" s="9">
        <f t="shared" si="541"/>
        <v>3.5530400567683023</v>
      </c>
      <c r="CR479" s="40">
        <v>1</v>
      </c>
      <c r="CS479" s="9">
        <f t="shared" si="542"/>
        <v>312.66752499561062</v>
      </c>
      <c r="DQ479" s="4">
        <f t="shared" si="543"/>
        <v>177.79999999999998</v>
      </c>
      <c r="DT479" s="4">
        <f t="shared" si="544"/>
        <v>1.3033120433746772E-5</v>
      </c>
      <c r="DU479" s="4">
        <f t="shared" si="545"/>
        <v>9.2054211345406056</v>
      </c>
      <c r="DV479" s="4">
        <f t="shared" si="546"/>
        <v>0.33588731973536912</v>
      </c>
      <c r="DW479" s="4">
        <f t="shared" si="547"/>
        <v>5.9500567122923123</v>
      </c>
      <c r="DX479" s="4">
        <f t="shared" si="548"/>
        <v>7.7513443849227031</v>
      </c>
      <c r="DY479" s="4">
        <f t="shared" si="549"/>
        <v>8.9445872946317113</v>
      </c>
      <c r="DZ479" s="38">
        <f t="shared" si="550"/>
        <v>553.40673407015493</v>
      </c>
      <c r="EA479" s="4">
        <f t="shared" si="551"/>
        <v>1</v>
      </c>
      <c r="EB479" s="4">
        <f t="shared" si="552"/>
        <v>3.1780497164141401</v>
      </c>
      <c r="EC479" s="4">
        <f t="shared" si="553"/>
        <v>350.91471803308946</v>
      </c>
      <c r="EG479" s="4">
        <f t="shared" si="554"/>
        <v>0.85</v>
      </c>
      <c r="EH479" s="4">
        <f t="shared" si="555"/>
        <v>0.7</v>
      </c>
      <c r="EI479" s="4">
        <f t="shared" si="556"/>
        <v>1</v>
      </c>
      <c r="EJ479" s="4">
        <f t="shared" si="557"/>
        <v>0.7</v>
      </c>
      <c r="EL479" s="4">
        <f t="shared" si="558"/>
        <v>889.65517241379314</v>
      </c>
      <c r="EP479" s="4">
        <f t="shared" si="559"/>
        <v>9.2054211345406056</v>
      </c>
      <c r="ES479" s="4">
        <f t="shared" si="560"/>
        <v>80.72246279691916</v>
      </c>
      <c r="ET479" s="4">
        <f t="shared" si="561"/>
        <v>3.1780497164141406</v>
      </c>
      <c r="EU479" s="4">
        <f t="shared" si="562"/>
        <v>0.11038383707940708</v>
      </c>
      <c r="EX479" s="4">
        <f t="shared" si="563"/>
        <v>0.11038383707940708</v>
      </c>
      <c r="EY479" s="4">
        <f t="shared" si="564"/>
        <v>0.33588731973536912</v>
      </c>
      <c r="EZ479" s="4">
        <f t="shared" si="565"/>
        <v>5.9500567122923123</v>
      </c>
      <c r="FA479" s="4">
        <f t="shared" si="566"/>
        <v>7.7513443849227031</v>
      </c>
      <c r="FB479" s="4">
        <f t="shared" si="567"/>
        <v>52.627537203080834</v>
      </c>
      <c r="FC479" s="4">
        <f t="shared" si="568"/>
        <v>44.449999999999989</v>
      </c>
      <c r="FD479" s="4">
        <f t="shared" si="569"/>
        <v>1.3033120433746768E-5</v>
      </c>
      <c r="FE479" s="4">
        <f t="shared" si="570"/>
        <v>8.9445872946317113</v>
      </c>
      <c r="FF479" s="4">
        <f t="shared" si="571"/>
        <v>553.40673407015493</v>
      </c>
      <c r="FO479" s="23"/>
      <c r="FP479" s="23"/>
      <c r="FQ479" s="23"/>
      <c r="FR479" s="23"/>
      <c r="FS479" s="23"/>
      <c r="FT479" s="23"/>
      <c r="FU479" s="23"/>
      <c r="FV479" s="23"/>
      <c r="GF479" s="4">
        <f t="shared" si="572"/>
        <v>1</v>
      </c>
      <c r="GG479" s="4">
        <f t="shared" si="573"/>
        <v>1.0833333333333333</v>
      </c>
      <c r="GH479" s="4">
        <f t="shared" si="574"/>
        <v>0</v>
      </c>
      <c r="GI479" s="4">
        <f t="shared" si="575"/>
        <v>157.82446127394999</v>
      </c>
    </row>
    <row r="480" spans="2:191" ht="12" customHeight="1" x14ac:dyDescent="0.3">
      <c r="B480" s="14" t="s">
        <v>605</v>
      </c>
      <c r="C480" s="24"/>
      <c r="D480" s="14" t="s">
        <v>365</v>
      </c>
      <c r="E480" s="24"/>
      <c r="F480" s="24"/>
      <c r="G480" s="109"/>
      <c r="H480" s="43" t="s">
        <v>627</v>
      </c>
      <c r="I480" s="43"/>
      <c r="J480" s="38">
        <f t="shared" si="505"/>
        <v>889.65517241379314</v>
      </c>
      <c r="K480" s="45">
        <v>152.39999999999998</v>
      </c>
      <c r="L480" s="4">
        <f t="shared" si="506"/>
        <v>152.39999999999998</v>
      </c>
      <c r="M480" s="45">
        <v>50.96551724137931</v>
      </c>
      <c r="N480" s="7">
        <v>25.4</v>
      </c>
      <c r="O480" s="7">
        <f t="shared" si="507"/>
        <v>5.9999999999999991</v>
      </c>
      <c r="P480" s="7">
        <f t="shared" si="508"/>
        <v>5.9999999999999991</v>
      </c>
      <c r="Q480" s="45">
        <v>1219.1999999999998</v>
      </c>
      <c r="R480" s="45"/>
      <c r="S480" s="45">
        <v>596.9</v>
      </c>
      <c r="T480" s="45"/>
      <c r="U480" s="45">
        <v>596.9</v>
      </c>
      <c r="V480" s="45"/>
      <c r="W480" s="7"/>
      <c r="X480" s="38">
        <v>1</v>
      </c>
      <c r="Y480" s="38"/>
      <c r="Z480" s="38"/>
      <c r="AB480" s="7">
        <f t="shared" si="509"/>
        <v>24</v>
      </c>
      <c r="AC480" s="7">
        <f t="shared" si="510"/>
        <v>24</v>
      </c>
      <c r="AD480" s="45">
        <v>4.0999999999999996</v>
      </c>
      <c r="AE480" s="4">
        <f t="shared" si="511"/>
        <v>4.0999999999999996</v>
      </c>
      <c r="AF480" s="4">
        <f t="shared" si="512"/>
        <v>5.0999999999999996</v>
      </c>
      <c r="AG480" s="7">
        <f t="shared" si="513"/>
        <v>57.361276136431961</v>
      </c>
      <c r="AJ480" s="45">
        <v>562.06896551724139</v>
      </c>
      <c r="AM480" s="38"/>
      <c r="AN480" s="38"/>
      <c r="AO480" s="39">
        <v>1</v>
      </c>
      <c r="AP480" s="39"/>
      <c r="AQ480" s="39"/>
      <c r="AS480" s="4">
        <f t="shared" si="514"/>
        <v>152.39999999999998</v>
      </c>
      <c r="AT480" s="4">
        <f t="shared" si="515"/>
        <v>0.99999999999999989</v>
      </c>
      <c r="AU480" s="4">
        <f t="shared" si="516"/>
        <v>265.0686425289295</v>
      </c>
      <c r="AV480" s="4">
        <f t="shared" si="517"/>
        <v>1</v>
      </c>
      <c r="AW480" s="4">
        <v>1.25</v>
      </c>
      <c r="AX480" s="4">
        <v>1</v>
      </c>
      <c r="AY480" s="38">
        <f t="shared" si="518"/>
        <v>331.33580316116183</v>
      </c>
      <c r="AZ480" s="38">
        <f t="shared" si="576"/>
        <v>331.33580316116183</v>
      </c>
      <c r="BA480" s="38">
        <f t="shared" si="519"/>
        <v>4.093765657510513</v>
      </c>
      <c r="BF480" s="4">
        <f t="shared" si="520"/>
        <v>225.44253929385007</v>
      </c>
      <c r="BG480" s="4">
        <f t="shared" si="521"/>
        <v>1</v>
      </c>
      <c r="BH480" s="38">
        <f t="shared" si="522"/>
        <v>4953.4707391259444</v>
      </c>
      <c r="BI480" s="4">
        <f t="shared" si="523"/>
        <v>0.42600000000000005</v>
      </c>
      <c r="BJ480" s="4">
        <f t="shared" si="524"/>
        <v>50.180127608721627</v>
      </c>
      <c r="BK480" s="4">
        <f t="shared" si="525"/>
        <v>5003.6508667346661</v>
      </c>
      <c r="BM480" s="4">
        <f t="shared" si="526"/>
        <v>1.5</v>
      </c>
      <c r="BN480" s="4">
        <f t="shared" si="527"/>
        <v>514.00898958997823</v>
      </c>
      <c r="BP480" s="4">
        <f t="shared" si="528"/>
        <v>4750.9842088198866</v>
      </c>
      <c r="BQ480" s="4">
        <f t="shared" si="529"/>
        <v>0</v>
      </c>
      <c r="BR480" s="4">
        <f t="shared" si="530"/>
        <v>0</v>
      </c>
      <c r="BZ480" s="4">
        <f t="shared" si="531"/>
        <v>596.9</v>
      </c>
      <c r="CD480" s="9"/>
      <c r="CF480" s="9"/>
      <c r="CG480" s="9"/>
      <c r="CH480" s="9">
        <f t="shared" si="532"/>
        <v>596.9</v>
      </c>
      <c r="CI480" s="9">
        <f t="shared" si="533"/>
        <v>596.9</v>
      </c>
      <c r="CJ480" s="9">
        <f t="shared" si="534"/>
        <v>4.8476798574163293</v>
      </c>
      <c r="CK480" s="70">
        <f t="shared" si="535"/>
        <v>0</v>
      </c>
      <c r="CL480" s="9">
        <f t="shared" si="536"/>
        <v>0</v>
      </c>
      <c r="CM480" s="9">
        <f t="shared" si="537"/>
        <v>0</v>
      </c>
      <c r="CN480" s="9">
        <f t="shared" si="538"/>
        <v>0.99524931562137331</v>
      </c>
      <c r="CO480" s="9">
        <f t="shared" si="539"/>
        <v>0.68</v>
      </c>
      <c r="CP480" s="9">
        <f t="shared" si="540"/>
        <v>1.6910134532890686</v>
      </c>
      <c r="CQ480" s="9">
        <f t="shared" si="541"/>
        <v>4.2275336332226718</v>
      </c>
      <c r="CR480" s="40">
        <v>1</v>
      </c>
      <c r="CS480" s="9">
        <f t="shared" si="542"/>
        <v>355.11282519070443</v>
      </c>
      <c r="DQ480" s="4">
        <f t="shared" si="543"/>
        <v>152.39999999999998</v>
      </c>
      <c r="DT480" s="4">
        <f t="shared" si="544"/>
        <v>1.2315673098492836E-5</v>
      </c>
      <c r="DU480" s="4">
        <f t="shared" si="545"/>
        <v>10.952938000267244</v>
      </c>
      <c r="DV480" s="4">
        <f t="shared" si="546"/>
        <v>0.35332013969964099</v>
      </c>
      <c r="DW480" s="4">
        <f t="shared" si="547"/>
        <v>7.2243368340770866</v>
      </c>
      <c r="DX480" s="4">
        <f t="shared" si="548"/>
        <v>9.2786409214601537</v>
      </c>
      <c r="DY480" s="4">
        <f t="shared" si="549"/>
        <v>10.643904646822243</v>
      </c>
      <c r="DZ480" s="38">
        <f t="shared" si="550"/>
        <v>543.65768038041256</v>
      </c>
      <c r="EA480" s="4">
        <f t="shared" si="551"/>
        <v>1</v>
      </c>
      <c r="EB480" s="4">
        <f t="shared" si="552"/>
        <v>2.2583179581272428</v>
      </c>
      <c r="EC480" s="4">
        <f t="shared" si="553"/>
        <v>331.33580316116183</v>
      </c>
      <c r="EG480" s="4">
        <f t="shared" si="554"/>
        <v>0.85</v>
      </c>
      <c r="EH480" s="4">
        <f t="shared" si="555"/>
        <v>0.7</v>
      </c>
      <c r="EI480" s="4">
        <f t="shared" si="556"/>
        <v>1</v>
      </c>
      <c r="EJ480" s="4">
        <f t="shared" si="557"/>
        <v>0.7</v>
      </c>
      <c r="EL480" s="4">
        <f t="shared" si="558"/>
        <v>889.65517241379314</v>
      </c>
      <c r="EP480" s="4">
        <f t="shared" si="559"/>
        <v>10.952938000267244</v>
      </c>
      <c r="ES480" s="4">
        <f t="shared" si="560"/>
        <v>57.361276136431961</v>
      </c>
      <c r="ET480" s="4">
        <f t="shared" si="561"/>
        <v>2.2583179581272428</v>
      </c>
      <c r="EU480" s="4">
        <f t="shared" si="562"/>
        <v>0.13815520096222064</v>
      </c>
      <c r="EX480" s="4">
        <f t="shared" si="563"/>
        <v>0.13815520096222064</v>
      </c>
      <c r="EY480" s="4">
        <f t="shared" si="564"/>
        <v>0.35332013969964099</v>
      </c>
      <c r="EZ480" s="4">
        <f t="shared" si="565"/>
        <v>7.2243368340770866</v>
      </c>
      <c r="FA480" s="4">
        <f t="shared" si="566"/>
        <v>9.2786409214601537</v>
      </c>
      <c r="FB480" s="4">
        <f t="shared" si="567"/>
        <v>56.938723863568022</v>
      </c>
      <c r="FC480" s="4">
        <f t="shared" si="568"/>
        <v>38.099999999999987</v>
      </c>
      <c r="FD480" s="4">
        <f t="shared" si="569"/>
        <v>1.2315673098492833E-5</v>
      </c>
      <c r="FE480" s="4">
        <f t="shared" si="570"/>
        <v>10.643904646822241</v>
      </c>
      <c r="FF480" s="4">
        <f t="shared" si="571"/>
        <v>543.65768038041256</v>
      </c>
      <c r="FO480" s="23"/>
      <c r="FP480" s="23"/>
      <c r="FQ480" s="23"/>
      <c r="FR480" s="23"/>
      <c r="FS480" s="23"/>
      <c r="FT480" s="23"/>
      <c r="FU480" s="23"/>
      <c r="FV480" s="23"/>
      <c r="GF480" s="4">
        <f t="shared" si="572"/>
        <v>1</v>
      </c>
      <c r="GG480" s="4">
        <f t="shared" si="573"/>
        <v>1.0833333333333333</v>
      </c>
      <c r="GH480" s="4">
        <f t="shared" si="574"/>
        <v>0</v>
      </c>
      <c r="GI480" s="4">
        <f t="shared" si="575"/>
        <v>147.56080295276789</v>
      </c>
    </row>
    <row r="481" spans="2:191" ht="12" customHeight="1" x14ac:dyDescent="0.3">
      <c r="B481" s="14" t="s">
        <v>605</v>
      </c>
      <c r="C481" s="24"/>
      <c r="D481" s="14" t="s">
        <v>365</v>
      </c>
      <c r="E481" s="24"/>
      <c r="F481" s="24"/>
      <c r="G481" s="109"/>
      <c r="H481" s="43" t="s">
        <v>628</v>
      </c>
      <c r="I481" s="43"/>
      <c r="J481" s="38">
        <f t="shared" si="505"/>
        <v>889.65517241379314</v>
      </c>
      <c r="K481" s="45">
        <v>152.39999999999998</v>
      </c>
      <c r="L481" s="4">
        <f t="shared" si="506"/>
        <v>152.39999999999998</v>
      </c>
      <c r="M481" s="45">
        <v>50.96551724137931</v>
      </c>
      <c r="N481" s="7">
        <v>25.4</v>
      </c>
      <c r="O481" s="7">
        <f t="shared" si="507"/>
        <v>5.9999999999999991</v>
      </c>
      <c r="P481" s="7">
        <f t="shared" si="508"/>
        <v>5.9999999999999991</v>
      </c>
      <c r="Q481" s="45">
        <v>1219.1999999999998</v>
      </c>
      <c r="R481" s="45"/>
      <c r="S481" s="45">
        <v>596.9</v>
      </c>
      <c r="T481" s="45"/>
      <c r="U481" s="45">
        <v>596.9</v>
      </c>
      <c r="V481" s="45"/>
      <c r="W481" s="7"/>
      <c r="X481" s="38">
        <v>1</v>
      </c>
      <c r="Y481" s="38"/>
      <c r="Z481" s="38"/>
      <c r="AB481" s="7">
        <f t="shared" si="509"/>
        <v>24</v>
      </c>
      <c r="AC481" s="7">
        <f t="shared" si="510"/>
        <v>24</v>
      </c>
      <c r="AD481" s="45">
        <v>9.1</v>
      </c>
      <c r="AE481" s="4">
        <f t="shared" si="511"/>
        <v>9.1</v>
      </c>
      <c r="AF481" s="4">
        <f t="shared" si="512"/>
        <v>10.1</v>
      </c>
      <c r="AG481" s="7">
        <f t="shared" si="513"/>
        <v>80.72246279691916</v>
      </c>
      <c r="AJ481" s="45">
        <v>567.58620689655174</v>
      </c>
      <c r="AM481" s="38"/>
      <c r="AN481" s="38"/>
      <c r="AO481" s="39">
        <v>1</v>
      </c>
      <c r="AP481" s="39"/>
      <c r="AQ481" s="39"/>
      <c r="AS481" s="4">
        <f t="shared" si="514"/>
        <v>152.39999999999998</v>
      </c>
      <c r="AT481" s="4">
        <f t="shared" si="515"/>
        <v>0.99999999999999989</v>
      </c>
      <c r="AU481" s="4">
        <f t="shared" si="516"/>
        <v>265.0686425289295</v>
      </c>
      <c r="AV481" s="4">
        <f t="shared" si="517"/>
        <v>1</v>
      </c>
      <c r="AW481" s="4">
        <v>1.25</v>
      </c>
      <c r="AX481" s="4">
        <v>1</v>
      </c>
      <c r="AY481" s="38">
        <f t="shared" si="518"/>
        <v>331.33580316116183</v>
      </c>
      <c r="AZ481" s="38">
        <f t="shared" si="576"/>
        <v>331.33580316116183</v>
      </c>
      <c r="BA481" s="38">
        <f t="shared" si="519"/>
        <v>4.093765657510513</v>
      </c>
      <c r="BF481" s="4">
        <f t="shared" si="520"/>
        <v>225.44253929385007</v>
      </c>
      <c r="BG481" s="4">
        <f t="shared" si="521"/>
        <v>1</v>
      </c>
      <c r="BH481" s="38">
        <f t="shared" si="522"/>
        <v>7379.6942647148926</v>
      </c>
      <c r="BI481" s="4">
        <f t="shared" si="523"/>
        <v>0.3</v>
      </c>
      <c r="BJ481" s="4">
        <f t="shared" si="524"/>
        <v>35.338118034310995</v>
      </c>
      <c r="BK481" s="4">
        <f t="shared" si="525"/>
        <v>7415.0323827492039</v>
      </c>
      <c r="BM481" s="4">
        <f t="shared" si="526"/>
        <v>1.5</v>
      </c>
      <c r="BN481" s="4">
        <f t="shared" si="527"/>
        <v>514.00898958997823</v>
      </c>
      <c r="BP481" s="4">
        <f t="shared" si="528"/>
        <v>7078.029277662743</v>
      </c>
      <c r="BQ481" s="4">
        <f t="shared" si="529"/>
        <v>0</v>
      </c>
      <c r="BR481" s="4">
        <f t="shared" si="530"/>
        <v>0</v>
      </c>
      <c r="BZ481" s="4">
        <f t="shared" si="531"/>
        <v>596.9</v>
      </c>
      <c r="CD481" s="9"/>
      <c r="CF481" s="9"/>
      <c r="CG481" s="9"/>
      <c r="CH481" s="9">
        <f t="shared" si="532"/>
        <v>596.9</v>
      </c>
      <c r="CI481" s="9">
        <f t="shared" si="533"/>
        <v>596.9</v>
      </c>
      <c r="CJ481" s="9">
        <f t="shared" si="534"/>
        <v>4.8476798574163293</v>
      </c>
      <c r="CK481" s="70">
        <f t="shared" si="535"/>
        <v>0</v>
      </c>
      <c r="CL481" s="9">
        <f t="shared" si="536"/>
        <v>0</v>
      </c>
      <c r="CM481" s="9">
        <f t="shared" si="537"/>
        <v>0</v>
      </c>
      <c r="CN481" s="9">
        <f t="shared" si="538"/>
        <v>0.99524931562137331</v>
      </c>
      <c r="CO481" s="9">
        <f t="shared" si="539"/>
        <v>0.68</v>
      </c>
      <c r="CP481" s="9">
        <f t="shared" si="540"/>
        <v>1.6910134532890686</v>
      </c>
      <c r="CQ481" s="9">
        <f t="shared" si="541"/>
        <v>4.2275336332226718</v>
      </c>
      <c r="CR481" s="40">
        <v>1</v>
      </c>
      <c r="CS481" s="9">
        <f t="shared" si="542"/>
        <v>355.11282519070443</v>
      </c>
      <c r="DQ481" s="4">
        <f t="shared" si="543"/>
        <v>152.39999999999998</v>
      </c>
      <c r="DT481" s="4">
        <f t="shared" si="544"/>
        <v>1.2315673098492836E-5</v>
      </c>
      <c r="DU481" s="4">
        <f t="shared" si="545"/>
        <v>10.952938000267244</v>
      </c>
      <c r="DV481" s="4">
        <f t="shared" si="546"/>
        <v>0.2240198265930059</v>
      </c>
      <c r="DW481" s="4">
        <f t="shared" si="547"/>
        <v>6.0206753837110494</v>
      </c>
      <c r="DX481" s="4">
        <f t="shared" si="548"/>
        <v>8.8406045061947474</v>
      </c>
      <c r="DY481" s="4">
        <f t="shared" si="549"/>
        <v>10.68681250650315</v>
      </c>
      <c r="DZ481" s="38">
        <f t="shared" si="550"/>
        <v>518.74005951961703</v>
      </c>
      <c r="EA481" s="4">
        <f t="shared" si="551"/>
        <v>1</v>
      </c>
      <c r="EB481" s="4">
        <f t="shared" si="552"/>
        <v>3.1780497164141401</v>
      </c>
      <c r="EC481" s="4">
        <f t="shared" si="553"/>
        <v>331.33580316116183</v>
      </c>
      <c r="EG481" s="4">
        <f t="shared" si="554"/>
        <v>0.85</v>
      </c>
      <c r="EH481" s="4">
        <f t="shared" si="555"/>
        <v>0.7</v>
      </c>
      <c r="EI481" s="4">
        <f t="shared" si="556"/>
        <v>1</v>
      </c>
      <c r="EJ481" s="4">
        <f t="shared" si="557"/>
        <v>0.7</v>
      </c>
      <c r="EL481" s="4">
        <f t="shared" si="558"/>
        <v>889.65517241379314</v>
      </c>
      <c r="EP481" s="4">
        <f t="shared" si="559"/>
        <v>10.952938000267244</v>
      </c>
      <c r="ES481" s="4">
        <f t="shared" si="560"/>
        <v>80.72246279691916</v>
      </c>
      <c r="ET481" s="4">
        <f t="shared" si="561"/>
        <v>3.1780497164141406</v>
      </c>
      <c r="EU481" s="4">
        <f t="shared" si="562"/>
        <v>8.7596207192686099E-2</v>
      </c>
      <c r="EX481" s="4">
        <f t="shared" si="563"/>
        <v>8.7596207192686099E-2</v>
      </c>
      <c r="EY481" s="4">
        <f t="shared" si="564"/>
        <v>0.2240198265930059</v>
      </c>
      <c r="EZ481" s="4">
        <f t="shared" si="565"/>
        <v>6.0206753837110494</v>
      </c>
      <c r="FA481" s="4">
        <f t="shared" si="566"/>
        <v>8.8406045061947474</v>
      </c>
      <c r="FB481" s="4">
        <f t="shared" si="567"/>
        <v>33.577537203080823</v>
      </c>
      <c r="FC481" s="4">
        <f t="shared" si="568"/>
        <v>38.099999999999994</v>
      </c>
      <c r="FD481" s="4">
        <f t="shared" si="569"/>
        <v>1.2315673098492836E-5</v>
      </c>
      <c r="FE481" s="4">
        <f t="shared" si="570"/>
        <v>10.686812506503149</v>
      </c>
      <c r="FF481" s="4">
        <f t="shared" si="571"/>
        <v>518.74005951961703</v>
      </c>
      <c r="FO481" s="23"/>
      <c r="FP481" s="23"/>
      <c r="FQ481" s="23"/>
      <c r="FR481" s="23"/>
      <c r="FS481" s="23"/>
      <c r="FT481" s="23"/>
      <c r="FU481" s="23"/>
      <c r="FV481" s="23"/>
      <c r="GF481" s="4">
        <f t="shared" si="572"/>
        <v>1</v>
      </c>
      <c r="GG481" s="4">
        <f t="shared" si="573"/>
        <v>1.0833333333333333</v>
      </c>
      <c r="GH481" s="4">
        <f t="shared" si="574"/>
        <v>0</v>
      </c>
      <c r="GI481" s="4">
        <f t="shared" si="575"/>
        <v>147.56080295276789</v>
      </c>
    </row>
    <row r="482" spans="2:191" ht="12" customHeight="1" x14ac:dyDescent="0.3">
      <c r="B482" s="14" t="s">
        <v>605</v>
      </c>
      <c r="C482" s="24"/>
      <c r="D482" s="14" t="s">
        <v>365</v>
      </c>
      <c r="E482" s="24"/>
      <c r="F482" s="24"/>
      <c r="G482" s="109"/>
      <c r="H482" s="43" t="s">
        <v>629</v>
      </c>
      <c r="I482" s="43"/>
      <c r="J482" s="38">
        <f t="shared" si="505"/>
        <v>889.65517241379314</v>
      </c>
      <c r="K482" s="45">
        <v>154.93999999999997</v>
      </c>
      <c r="L482" s="4">
        <f t="shared" si="506"/>
        <v>154.93999999999997</v>
      </c>
      <c r="M482" s="45">
        <v>50.96551724137931</v>
      </c>
      <c r="N482" s="7">
        <v>25.4</v>
      </c>
      <c r="O482" s="7">
        <f t="shared" si="507"/>
        <v>6.0999999999999988</v>
      </c>
      <c r="P482" s="7">
        <f t="shared" si="508"/>
        <v>6.0999999999999988</v>
      </c>
      <c r="Q482" s="45">
        <v>1219.1999999999998</v>
      </c>
      <c r="R482" s="45"/>
      <c r="S482" s="45">
        <v>596.9</v>
      </c>
      <c r="T482" s="45"/>
      <c r="U482" s="45">
        <v>596.9</v>
      </c>
      <c r="V482" s="45"/>
      <c r="W482" s="7"/>
      <c r="X482" s="38">
        <v>1</v>
      </c>
      <c r="Y482" s="38"/>
      <c r="Z482" s="38"/>
      <c r="AB482" s="7">
        <f t="shared" si="509"/>
        <v>24</v>
      </c>
      <c r="AC482" s="7">
        <f t="shared" si="510"/>
        <v>24</v>
      </c>
      <c r="AD482" s="45">
        <v>4</v>
      </c>
      <c r="AE482" s="4">
        <f t="shared" si="511"/>
        <v>4</v>
      </c>
      <c r="AF482" s="4">
        <f t="shared" si="512"/>
        <v>5</v>
      </c>
      <c r="AG482" s="7">
        <f t="shared" si="513"/>
        <v>56.796126628494655</v>
      </c>
      <c r="AJ482" s="45">
        <v>528.27586206896547</v>
      </c>
      <c r="AM482" s="38"/>
      <c r="AN482" s="38"/>
      <c r="AO482" s="39">
        <v>1</v>
      </c>
      <c r="AP482" s="39"/>
      <c r="AQ482" s="39"/>
      <c r="AS482" s="4">
        <f t="shared" si="514"/>
        <v>154.93999999999997</v>
      </c>
      <c r="AT482" s="4">
        <f t="shared" si="515"/>
        <v>1</v>
      </c>
      <c r="AU482" s="4">
        <f t="shared" si="516"/>
        <v>271.72289368638678</v>
      </c>
      <c r="AV482" s="4">
        <f t="shared" si="517"/>
        <v>1</v>
      </c>
      <c r="AW482" s="4">
        <v>1.25</v>
      </c>
      <c r="AX482" s="4">
        <v>1</v>
      </c>
      <c r="AY482" s="38">
        <f t="shared" si="518"/>
        <v>339.65361710798345</v>
      </c>
      <c r="AZ482" s="38">
        <f t="shared" si="576"/>
        <v>339.65361710798345</v>
      </c>
      <c r="BA482" s="38">
        <f t="shared" si="519"/>
        <v>4.093765657510513</v>
      </c>
      <c r="BF482" s="4">
        <f t="shared" si="520"/>
        <v>229.19991494874753</v>
      </c>
      <c r="BG482" s="4">
        <f t="shared" si="521"/>
        <v>1</v>
      </c>
      <c r="BH482" s="38">
        <f t="shared" si="522"/>
        <v>4892.6896551724139</v>
      </c>
      <c r="BI482" s="4">
        <f t="shared" si="523"/>
        <v>0.44000000000000006</v>
      </c>
      <c r="BJ482" s="4">
        <f t="shared" si="524"/>
        <v>52.69306044671707</v>
      </c>
      <c r="BK482" s="4">
        <f t="shared" si="525"/>
        <v>4945.382715619131</v>
      </c>
      <c r="BM482" s="4">
        <f t="shared" si="526"/>
        <v>1.5</v>
      </c>
      <c r="BN482" s="4">
        <f t="shared" si="527"/>
        <v>517.22154577491551</v>
      </c>
      <c r="BP482" s="4">
        <f t="shared" si="528"/>
        <v>4692.6877162662367</v>
      </c>
      <c r="BQ482" s="4">
        <f t="shared" si="529"/>
        <v>0</v>
      </c>
      <c r="BR482" s="4">
        <f t="shared" si="530"/>
        <v>0</v>
      </c>
      <c r="BZ482" s="4">
        <f t="shared" si="531"/>
        <v>596.9</v>
      </c>
      <c r="CD482" s="9"/>
      <c r="CF482" s="9"/>
      <c r="CG482" s="9"/>
      <c r="CH482" s="9">
        <f t="shared" si="532"/>
        <v>596.9</v>
      </c>
      <c r="CI482" s="9">
        <f t="shared" si="533"/>
        <v>596.9</v>
      </c>
      <c r="CJ482" s="9">
        <f t="shared" si="534"/>
        <v>4.8476798574163293</v>
      </c>
      <c r="CK482" s="70">
        <f t="shared" si="535"/>
        <v>0</v>
      </c>
      <c r="CL482" s="9">
        <f t="shared" si="536"/>
        <v>0</v>
      </c>
      <c r="CM482" s="9">
        <f t="shared" si="537"/>
        <v>0</v>
      </c>
      <c r="CN482" s="9">
        <f t="shared" si="538"/>
        <v>0.99524931562137331</v>
      </c>
      <c r="CO482" s="9">
        <f t="shared" si="539"/>
        <v>0.68</v>
      </c>
      <c r="CP482" s="9">
        <f t="shared" si="540"/>
        <v>1.6910134532890686</v>
      </c>
      <c r="CQ482" s="9">
        <f t="shared" si="541"/>
        <v>4.2275336332226718</v>
      </c>
      <c r="CR482" s="40">
        <v>1</v>
      </c>
      <c r="CS482" s="9">
        <f t="shared" si="542"/>
        <v>356.80383864399346</v>
      </c>
      <c r="DQ482" s="4">
        <f t="shared" si="543"/>
        <v>154.93999999999997</v>
      </c>
      <c r="DT482" s="4">
        <f t="shared" si="544"/>
        <v>1.2520934316801049E-5</v>
      </c>
      <c r="DU482" s="4">
        <f t="shared" si="545"/>
        <v>10.952938000267244</v>
      </c>
      <c r="DV482" s="4">
        <f t="shared" si="546"/>
        <v>0.36758692053052205</v>
      </c>
      <c r="DW482" s="4">
        <f t="shared" si="547"/>
        <v>7.3396381486517051</v>
      </c>
      <c r="DX482" s="4">
        <f t="shared" si="548"/>
        <v>9.3236788279505589</v>
      </c>
      <c r="DY482" s="4">
        <f t="shared" si="549"/>
        <v>10.630203294189718</v>
      </c>
      <c r="DZ482" s="38">
        <f t="shared" si="550"/>
        <v>557.37538043788754</v>
      </c>
      <c r="EA482" s="4">
        <f t="shared" si="551"/>
        <v>1</v>
      </c>
      <c r="EB482" s="4">
        <f t="shared" si="552"/>
        <v>2.2360679774997898</v>
      </c>
      <c r="EC482" s="4">
        <f t="shared" si="553"/>
        <v>339.65361710798345</v>
      </c>
      <c r="EG482" s="4">
        <f t="shared" si="554"/>
        <v>0.85</v>
      </c>
      <c r="EH482" s="4">
        <f t="shared" si="555"/>
        <v>0.7</v>
      </c>
      <c r="EI482" s="4">
        <f t="shared" si="556"/>
        <v>1</v>
      </c>
      <c r="EJ482" s="4">
        <f t="shared" si="557"/>
        <v>0.7</v>
      </c>
      <c r="EL482" s="4">
        <f t="shared" si="558"/>
        <v>889.65517241379314</v>
      </c>
      <c r="EP482" s="4">
        <f t="shared" si="559"/>
        <v>10.952938000267244</v>
      </c>
      <c r="ES482" s="4">
        <f t="shared" si="560"/>
        <v>56.796126628494655</v>
      </c>
      <c r="ET482" s="4">
        <f t="shared" si="561"/>
        <v>2.2360679774997898</v>
      </c>
      <c r="EU482" s="4">
        <f t="shared" si="562"/>
        <v>0.14373379598499492</v>
      </c>
      <c r="EX482" s="4">
        <f t="shared" si="563"/>
        <v>0.14373379598499492</v>
      </c>
      <c r="EY482" s="4">
        <f t="shared" si="564"/>
        <v>0.36758692053052205</v>
      </c>
      <c r="EZ482" s="4">
        <f t="shared" si="565"/>
        <v>7.3396381486517051</v>
      </c>
      <c r="FA482" s="4">
        <f t="shared" si="566"/>
        <v>9.3236788279505589</v>
      </c>
      <c r="FB482" s="4">
        <f t="shared" si="567"/>
        <v>59.408873371505329</v>
      </c>
      <c r="FC482" s="4">
        <f t="shared" si="568"/>
        <v>38.734999999999992</v>
      </c>
      <c r="FD482" s="4">
        <f t="shared" si="569"/>
        <v>1.2520934316801049E-5</v>
      </c>
      <c r="FE482" s="4">
        <f t="shared" si="570"/>
        <v>10.630203294189718</v>
      </c>
      <c r="FF482" s="4">
        <f t="shared" si="571"/>
        <v>557.37538043788754</v>
      </c>
      <c r="FO482" s="23"/>
      <c r="FP482" s="23"/>
      <c r="FQ482" s="23"/>
      <c r="FR482" s="23"/>
      <c r="FS482" s="23"/>
      <c r="FT482" s="23"/>
      <c r="FU482" s="23"/>
      <c r="FV482" s="23"/>
      <c r="GF482" s="4">
        <f t="shared" si="572"/>
        <v>1</v>
      </c>
      <c r="GG482" s="4">
        <f t="shared" si="573"/>
        <v>1.0833333333333333</v>
      </c>
      <c r="GH482" s="4">
        <f t="shared" si="574"/>
        <v>0</v>
      </c>
      <c r="GI482" s="4">
        <f t="shared" si="575"/>
        <v>150.02014966864735</v>
      </c>
    </row>
    <row r="483" spans="2:191" ht="12" customHeight="1" x14ac:dyDescent="0.3">
      <c r="B483" s="14" t="s">
        <v>605</v>
      </c>
      <c r="C483" s="24"/>
      <c r="D483" s="14" t="s">
        <v>365</v>
      </c>
      <c r="E483" s="24"/>
      <c r="F483" s="24"/>
      <c r="G483" s="109"/>
      <c r="H483" s="43" t="s">
        <v>630</v>
      </c>
      <c r="I483" s="43"/>
      <c r="J483" s="38">
        <f t="shared" si="505"/>
        <v>889.65517241379314</v>
      </c>
      <c r="K483" s="45">
        <v>154.93999999999997</v>
      </c>
      <c r="L483" s="4">
        <f t="shared" si="506"/>
        <v>154.93999999999997</v>
      </c>
      <c r="M483" s="45">
        <v>50.96551724137931</v>
      </c>
      <c r="N483" s="7">
        <v>25.4</v>
      </c>
      <c r="O483" s="7">
        <f t="shared" si="507"/>
        <v>6.0999999999999988</v>
      </c>
      <c r="P483" s="7">
        <f t="shared" si="508"/>
        <v>6.0999999999999988</v>
      </c>
      <c r="Q483" s="45">
        <v>1219.1999999999998</v>
      </c>
      <c r="R483" s="45"/>
      <c r="S483" s="45">
        <v>596.9</v>
      </c>
      <c r="T483" s="45"/>
      <c r="U483" s="45">
        <v>596.9</v>
      </c>
      <c r="V483" s="45"/>
      <c r="W483" s="7"/>
      <c r="X483" s="38">
        <v>1</v>
      </c>
      <c r="Y483" s="38"/>
      <c r="Z483" s="38"/>
      <c r="AB483" s="7">
        <f t="shared" si="509"/>
        <v>24</v>
      </c>
      <c r="AC483" s="7">
        <f t="shared" si="510"/>
        <v>24</v>
      </c>
      <c r="AD483" s="45">
        <v>9.5</v>
      </c>
      <c r="AE483" s="4">
        <f t="shared" si="511"/>
        <v>9.5</v>
      </c>
      <c r="AF483" s="4">
        <f t="shared" si="512"/>
        <v>10.5</v>
      </c>
      <c r="AG483" s="7">
        <f t="shared" si="513"/>
        <v>82.305406869779816</v>
      </c>
      <c r="AJ483" s="45">
        <v>503.44827586206901</v>
      </c>
      <c r="AM483" s="38"/>
      <c r="AN483" s="38"/>
      <c r="AO483" s="39">
        <v>1</v>
      </c>
      <c r="AP483" s="39"/>
      <c r="AQ483" s="39"/>
      <c r="AS483" s="4">
        <f t="shared" si="514"/>
        <v>154.93999999999997</v>
      </c>
      <c r="AT483" s="4">
        <f t="shared" si="515"/>
        <v>1</v>
      </c>
      <c r="AU483" s="4">
        <f t="shared" si="516"/>
        <v>271.72289368638678</v>
      </c>
      <c r="AV483" s="4">
        <f t="shared" si="517"/>
        <v>1</v>
      </c>
      <c r="AW483" s="4">
        <v>1.25</v>
      </c>
      <c r="AX483" s="4">
        <v>1</v>
      </c>
      <c r="AY483" s="38">
        <f t="shared" si="518"/>
        <v>339.65361710798345</v>
      </c>
      <c r="AZ483" s="38">
        <f t="shared" si="576"/>
        <v>339.65361710798345</v>
      </c>
      <c r="BA483" s="38">
        <f t="shared" si="519"/>
        <v>4.093765657510513</v>
      </c>
      <c r="BF483" s="4">
        <f t="shared" si="520"/>
        <v>229.19991494874753</v>
      </c>
      <c r="BG483" s="4">
        <f t="shared" si="521"/>
        <v>1</v>
      </c>
      <c r="BH483" s="38">
        <f t="shared" si="522"/>
        <v>7540.1411556315707</v>
      </c>
      <c r="BI483" s="4">
        <f t="shared" si="523"/>
        <v>0.3</v>
      </c>
      <c r="BJ483" s="4">
        <f t="shared" si="524"/>
        <v>35.927086668216177</v>
      </c>
      <c r="BK483" s="4">
        <f t="shared" si="525"/>
        <v>7576.068242299787</v>
      </c>
      <c r="BM483" s="4">
        <f t="shared" si="526"/>
        <v>1.5</v>
      </c>
      <c r="BN483" s="4">
        <f t="shared" si="527"/>
        <v>517.22154577491551</v>
      </c>
      <c r="BP483" s="4">
        <f t="shared" si="528"/>
        <v>7231.9174674280239</v>
      </c>
      <c r="BQ483" s="4">
        <f t="shared" si="529"/>
        <v>0</v>
      </c>
      <c r="BR483" s="4">
        <f t="shared" si="530"/>
        <v>0</v>
      </c>
      <c r="BZ483" s="4">
        <f t="shared" si="531"/>
        <v>596.9</v>
      </c>
      <c r="CD483" s="9"/>
      <c r="CF483" s="9"/>
      <c r="CG483" s="9"/>
      <c r="CH483" s="9">
        <f t="shared" si="532"/>
        <v>596.9</v>
      </c>
      <c r="CI483" s="9">
        <f t="shared" si="533"/>
        <v>596.9</v>
      </c>
      <c r="CJ483" s="9">
        <f t="shared" si="534"/>
        <v>4.8476798574163293</v>
      </c>
      <c r="CK483" s="70">
        <f t="shared" si="535"/>
        <v>0</v>
      </c>
      <c r="CL483" s="9">
        <f t="shared" si="536"/>
        <v>0</v>
      </c>
      <c r="CM483" s="9">
        <f t="shared" si="537"/>
        <v>0</v>
      </c>
      <c r="CN483" s="9">
        <f t="shared" si="538"/>
        <v>0.99524931562137331</v>
      </c>
      <c r="CO483" s="9">
        <f t="shared" si="539"/>
        <v>0.68</v>
      </c>
      <c r="CP483" s="9">
        <f t="shared" si="540"/>
        <v>1.6910134532890686</v>
      </c>
      <c r="CQ483" s="9">
        <f t="shared" si="541"/>
        <v>4.2275336332226718</v>
      </c>
      <c r="CR483" s="40">
        <v>1</v>
      </c>
      <c r="CS483" s="9">
        <f t="shared" si="542"/>
        <v>356.80383864399346</v>
      </c>
      <c r="DQ483" s="4">
        <f t="shared" si="543"/>
        <v>154.93999999999997</v>
      </c>
      <c r="DT483" s="4">
        <f t="shared" si="544"/>
        <v>1.2520934316801049E-5</v>
      </c>
      <c r="DU483" s="4">
        <f t="shared" si="545"/>
        <v>10.952938000267244</v>
      </c>
      <c r="DV483" s="4">
        <f t="shared" si="546"/>
        <v>0.22428802325807964</v>
      </c>
      <c r="DW483" s="4">
        <f t="shared" si="547"/>
        <v>6.0235575312584908</v>
      </c>
      <c r="DX483" s="4">
        <f t="shared" si="548"/>
        <v>8.841578977482591</v>
      </c>
      <c r="DY483" s="4">
        <f t="shared" si="549"/>
        <v>10.678024043481885</v>
      </c>
      <c r="DZ483" s="38">
        <f t="shared" si="550"/>
        <v>530.0647265100929</v>
      </c>
      <c r="EA483" s="4">
        <f t="shared" si="551"/>
        <v>1</v>
      </c>
      <c r="EB483" s="4">
        <f t="shared" si="552"/>
        <v>3.2403703492039297</v>
      </c>
      <c r="EC483" s="4">
        <f t="shared" si="553"/>
        <v>339.65361710798345</v>
      </c>
      <c r="EG483" s="4">
        <f t="shared" si="554"/>
        <v>0.85</v>
      </c>
      <c r="EH483" s="4">
        <f t="shared" si="555"/>
        <v>0.7</v>
      </c>
      <c r="EI483" s="4">
        <f t="shared" si="556"/>
        <v>1</v>
      </c>
      <c r="EJ483" s="4">
        <f t="shared" si="557"/>
        <v>0.7</v>
      </c>
      <c r="EL483" s="4">
        <f t="shared" si="558"/>
        <v>889.65517241379314</v>
      </c>
      <c r="EP483" s="4">
        <f t="shared" si="559"/>
        <v>10.952938000267244</v>
      </c>
      <c r="ES483" s="4">
        <f t="shared" si="560"/>
        <v>82.305406869779816</v>
      </c>
      <c r="ET483" s="4">
        <f t="shared" si="561"/>
        <v>3.2403703492039302</v>
      </c>
      <c r="EU483" s="4">
        <f t="shared" si="562"/>
        <v>8.7701077422252291E-2</v>
      </c>
      <c r="EX483" s="4">
        <f t="shared" si="563"/>
        <v>8.7701077422252291E-2</v>
      </c>
      <c r="EY483" s="4">
        <f t="shared" si="564"/>
        <v>0.22428802325807964</v>
      </c>
      <c r="EZ483" s="4">
        <f t="shared" si="565"/>
        <v>6.0235575312584908</v>
      </c>
      <c r="FA483" s="4">
        <f t="shared" si="566"/>
        <v>8.841578977482591</v>
      </c>
      <c r="FB483" s="4">
        <f t="shared" si="567"/>
        <v>33.899593130220168</v>
      </c>
      <c r="FC483" s="4">
        <f t="shared" si="568"/>
        <v>38.734999999999985</v>
      </c>
      <c r="FD483" s="4">
        <f t="shared" si="569"/>
        <v>1.2520934316801048E-5</v>
      </c>
      <c r="FE483" s="4">
        <f t="shared" si="570"/>
        <v>10.678024043481887</v>
      </c>
      <c r="FF483" s="4">
        <f t="shared" si="571"/>
        <v>530.0647265100929</v>
      </c>
      <c r="FO483" s="23"/>
      <c r="FP483" s="23"/>
      <c r="FQ483" s="23"/>
      <c r="FR483" s="23"/>
      <c r="FS483" s="23"/>
      <c r="FT483" s="23"/>
      <c r="FU483" s="23"/>
      <c r="FV483" s="23"/>
      <c r="GF483" s="4">
        <f t="shared" si="572"/>
        <v>1</v>
      </c>
      <c r="GG483" s="4">
        <f t="shared" si="573"/>
        <v>1.0833333333333333</v>
      </c>
      <c r="GH483" s="4">
        <f t="shared" si="574"/>
        <v>0</v>
      </c>
      <c r="GI483" s="4">
        <f t="shared" si="575"/>
        <v>150.02014966864735</v>
      </c>
    </row>
    <row r="484" spans="2:191" ht="12" customHeight="1" x14ac:dyDescent="0.3">
      <c r="B484" s="14" t="s">
        <v>605</v>
      </c>
      <c r="C484" s="24"/>
      <c r="D484" s="14" t="s">
        <v>365</v>
      </c>
      <c r="E484" s="24"/>
      <c r="F484" s="24"/>
      <c r="G484" s="109"/>
      <c r="H484" s="43" t="s">
        <v>631</v>
      </c>
      <c r="I484" s="43"/>
      <c r="J484" s="38">
        <f t="shared" si="505"/>
        <v>889.65517241379314</v>
      </c>
      <c r="K484" s="45">
        <v>160.01999999999998</v>
      </c>
      <c r="L484" s="4">
        <f t="shared" si="506"/>
        <v>160.01999999999998</v>
      </c>
      <c r="M484" s="45">
        <v>59.448275862068968</v>
      </c>
      <c r="N484" s="7">
        <v>25.4</v>
      </c>
      <c r="O484" s="7">
        <f t="shared" si="507"/>
        <v>6.3</v>
      </c>
      <c r="P484" s="7">
        <f t="shared" si="508"/>
        <v>6.3</v>
      </c>
      <c r="Q484" s="45">
        <v>1219.1999999999998</v>
      </c>
      <c r="R484" s="45"/>
      <c r="S484" s="45">
        <v>596.9</v>
      </c>
      <c r="T484" s="45"/>
      <c r="U484" s="45">
        <v>596.9</v>
      </c>
      <c r="V484" s="45"/>
      <c r="W484" s="7"/>
      <c r="X484" s="38">
        <v>1</v>
      </c>
      <c r="Y484" s="38"/>
      <c r="Z484" s="38"/>
      <c r="AB484" s="7">
        <f t="shared" si="509"/>
        <v>24</v>
      </c>
      <c r="AC484" s="7">
        <f t="shared" si="510"/>
        <v>24</v>
      </c>
      <c r="AD484" s="45">
        <v>12.9</v>
      </c>
      <c r="AE484" s="4">
        <f t="shared" si="511"/>
        <v>12.9</v>
      </c>
      <c r="AF484" s="4">
        <f t="shared" si="512"/>
        <v>13.9</v>
      </c>
      <c r="AG484" s="7">
        <f t="shared" si="513"/>
        <v>94.698067562120812</v>
      </c>
      <c r="AJ484" s="45">
        <v>689.65517241379314</v>
      </c>
      <c r="AM484" s="38"/>
      <c r="AN484" s="38"/>
      <c r="AO484" s="39">
        <v>1</v>
      </c>
      <c r="AP484" s="39"/>
      <c r="AQ484" s="39"/>
      <c r="AS484" s="4">
        <f t="shared" si="514"/>
        <v>160.01999999999998</v>
      </c>
      <c r="AT484" s="4">
        <f t="shared" si="515"/>
        <v>1</v>
      </c>
      <c r="AU484" s="4">
        <f t="shared" si="516"/>
        <v>308.01631180193135</v>
      </c>
      <c r="AV484" s="4">
        <f t="shared" si="517"/>
        <v>1</v>
      </c>
      <c r="AW484" s="4">
        <v>1.25</v>
      </c>
      <c r="AX484" s="4">
        <v>1</v>
      </c>
      <c r="AY484" s="38">
        <f t="shared" si="518"/>
        <v>385.02038975241419</v>
      </c>
      <c r="AZ484" s="38">
        <f t="shared" si="576"/>
        <v>385.02038975241419</v>
      </c>
      <c r="BA484" s="38">
        <f t="shared" si="519"/>
        <v>4.3396934501138817</v>
      </c>
      <c r="BF484" s="4">
        <f t="shared" si="520"/>
        <v>255.65634769234322</v>
      </c>
      <c r="BG484" s="4">
        <f t="shared" si="521"/>
        <v>1</v>
      </c>
      <c r="BH484" s="38">
        <f t="shared" si="522"/>
        <v>10248.855172376669</v>
      </c>
      <c r="BI484" s="4">
        <f t="shared" si="523"/>
        <v>0.3</v>
      </c>
      <c r="BJ484" s="4">
        <f t="shared" si="524"/>
        <v>40.074132500774788</v>
      </c>
      <c r="BK484" s="4">
        <f t="shared" si="525"/>
        <v>10288.929304877443</v>
      </c>
      <c r="BM484" s="4">
        <f t="shared" si="526"/>
        <v>1.5</v>
      </c>
      <c r="BN484" s="4">
        <f t="shared" si="527"/>
        <v>565.54836343084776</v>
      </c>
      <c r="BP484" s="4">
        <f t="shared" si="528"/>
        <v>9829.9054636255823</v>
      </c>
      <c r="BQ484" s="4">
        <f t="shared" si="529"/>
        <v>0</v>
      </c>
      <c r="BR484" s="4">
        <f t="shared" si="530"/>
        <v>0</v>
      </c>
      <c r="BZ484" s="4">
        <f t="shared" si="531"/>
        <v>596.9</v>
      </c>
      <c r="CD484" s="9"/>
      <c r="CF484" s="9"/>
      <c r="CG484" s="9"/>
      <c r="CH484" s="9">
        <f t="shared" si="532"/>
        <v>596.9</v>
      </c>
      <c r="CI484" s="9">
        <f t="shared" si="533"/>
        <v>596.9</v>
      </c>
      <c r="CJ484" s="9">
        <f t="shared" si="534"/>
        <v>4.8476798574163293</v>
      </c>
      <c r="CK484" s="70">
        <f t="shared" si="535"/>
        <v>0</v>
      </c>
      <c r="CL484" s="9">
        <f t="shared" si="536"/>
        <v>0</v>
      </c>
      <c r="CM484" s="9">
        <f t="shared" si="537"/>
        <v>0</v>
      </c>
      <c r="CN484" s="9">
        <f t="shared" si="538"/>
        <v>0.99524931562137331</v>
      </c>
      <c r="CO484" s="9">
        <f t="shared" si="539"/>
        <v>0.68</v>
      </c>
      <c r="CP484" s="9">
        <f t="shared" si="540"/>
        <v>1.8263267342054628</v>
      </c>
      <c r="CQ484" s="9">
        <f t="shared" si="541"/>
        <v>4.5658168355136572</v>
      </c>
      <c r="CR484" s="40">
        <v>1</v>
      </c>
      <c r="CS484" s="9">
        <f t="shared" si="542"/>
        <v>389.00759438576358</v>
      </c>
      <c r="DQ484" s="4">
        <f t="shared" si="543"/>
        <v>160.01999999999998</v>
      </c>
      <c r="DT484" s="4">
        <f t="shared" si="544"/>
        <v>1.3631853306974178E-5</v>
      </c>
      <c r="DU484" s="4">
        <f t="shared" si="545"/>
        <v>11.829381634472119</v>
      </c>
      <c r="DV484" s="4">
        <f t="shared" si="546"/>
        <v>0.18468745080108853</v>
      </c>
      <c r="DW484" s="4">
        <f t="shared" si="547"/>
        <v>6.0191753840793982</v>
      </c>
      <c r="DX484" s="4">
        <f t="shared" si="548"/>
        <v>9.3896641998498129</v>
      </c>
      <c r="DY484" s="4">
        <f t="shared" si="549"/>
        <v>11.494727829289342</v>
      </c>
      <c r="DZ484" s="38">
        <f t="shared" si="550"/>
        <v>584.63745402997267</v>
      </c>
      <c r="EA484" s="4">
        <f t="shared" si="551"/>
        <v>1.0000000000000002</v>
      </c>
      <c r="EB484" s="4">
        <f t="shared" si="552"/>
        <v>3.7282703764614493</v>
      </c>
      <c r="EC484" s="4">
        <f t="shared" si="553"/>
        <v>385.02038975241419</v>
      </c>
      <c r="EG484" s="4">
        <f t="shared" si="554"/>
        <v>0.85</v>
      </c>
      <c r="EH484" s="4">
        <f t="shared" si="555"/>
        <v>0.7</v>
      </c>
      <c r="EI484" s="4">
        <f t="shared" si="556"/>
        <v>1</v>
      </c>
      <c r="EJ484" s="4">
        <f t="shared" si="557"/>
        <v>0.7</v>
      </c>
      <c r="EL484" s="4">
        <f t="shared" si="558"/>
        <v>889.65517241379314</v>
      </c>
      <c r="EP484" s="4">
        <f t="shared" si="559"/>
        <v>11.829381634472119</v>
      </c>
      <c r="ES484" s="4">
        <f t="shared" si="560"/>
        <v>94.698067562120812</v>
      </c>
      <c r="ET484" s="4">
        <f t="shared" si="561"/>
        <v>3.7282703764614498</v>
      </c>
      <c r="EU484" s="4">
        <f t="shared" si="562"/>
        <v>7.7995158688872135E-2</v>
      </c>
      <c r="EX484" s="4">
        <f t="shared" si="563"/>
        <v>7.7995158688872135E-2</v>
      </c>
      <c r="EY484" s="4">
        <f t="shared" si="564"/>
        <v>0.18468745080108853</v>
      </c>
      <c r="EZ484" s="4">
        <f t="shared" si="565"/>
        <v>6.0191753840793982</v>
      </c>
      <c r="FA484" s="4">
        <f t="shared" si="566"/>
        <v>9.3896641998498129</v>
      </c>
      <c r="FB484" s="4">
        <f t="shared" si="567"/>
        <v>25.316932437879174</v>
      </c>
      <c r="FC484" s="4">
        <f t="shared" si="568"/>
        <v>40.004999999999995</v>
      </c>
      <c r="FD484" s="4">
        <f t="shared" si="569"/>
        <v>1.3631853306974178E-5</v>
      </c>
      <c r="FE484" s="4">
        <f t="shared" si="570"/>
        <v>11.494727829289342</v>
      </c>
      <c r="FF484" s="4">
        <f t="shared" si="571"/>
        <v>584.63745402997256</v>
      </c>
      <c r="FO484" s="23"/>
      <c r="FP484" s="23"/>
      <c r="FQ484" s="23"/>
      <c r="FR484" s="23"/>
      <c r="FS484" s="23"/>
      <c r="FT484" s="23"/>
      <c r="FU484" s="23"/>
      <c r="FV484" s="23"/>
      <c r="GF484" s="4">
        <f t="shared" si="572"/>
        <v>1</v>
      </c>
      <c r="GG484" s="4">
        <f t="shared" si="573"/>
        <v>1.0833333333333333</v>
      </c>
      <c r="GH484" s="4">
        <f t="shared" si="574"/>
        <v>0</v>
      </c>
      <c r="GI484" s="4">
        <f t="shared" si="575"/>
        <v>161.01858866173305</v>
      </c>
    </row>
    <row r="485" spans="2:191" ht="12" customHeight="1" x14ac:dyDescent="0.3">
      <c r="B485" s="14" t="s">
        <v>605</v>
      </c>
      <c r="C485" s="24"/>
      <c r="D485" s="14" t="s">
        <v>365</v>
      </c>
      <c r="E485" s="24"/>
      <c r="F485" s="24"/>
      <c r="G485" s="109"/>
      <c r="H485" s="43" t="s">
        <v>632</v>
      </c>
      <c r="I485" s="43"/>
      <c r="J485" s="38">
        <f t="shared" si="505"/>
        <v>889.65517241379314</v>
      </c>
      <c r="K485" s="45">
        <v>160.01999999999998</v>
      </c>
      <c r="L485" s="4">
        <f t="shared" si="506"/>
        <v>160.01999999999998</v>
      </c>
      <c r="M485" s="45">
        <v>59.448275862068968</v>
      </c>
      <c r="N485" s="7">
        <v>25.4</v>
      </c>
      <c r="O485" s="7">
        <f t="shared" si="507"/>
        <v>6.3</v>
      </c>
      <c r="P485" s="7">
        <f t="shared" si="508"/>
        <v>6.3</v>
      </c>
      <c r="Q485" s="45">
        <v>1219.1999999999998</v>
      </c>
      <c r="R485" s="45"/>
      <c r="S485" s="45">
        <v>596.9</v>
      </c>
      <c r="T485" s="45"/>
      <c r="U485" s="45">
        <v>596.9</v>
      </c>
      <c r="V485" s="45"/>
      <c r="W485" s="7"/>
      <c r="X485" s="38">
        <v>1</v>
      </c>
      <c r="Y485" s="38"/>
      <c r="Z485" s="38"/>
      <c r="AB485" s="7">
        <f t="shared" si="509"/>
        <v>24</v>
      </c>
      <c r="AC485" s="7">
        <f t="shared" si="510"/>
        <v>24</v>
      </c>
      <c r="AD485" s="45">
        <v>9.1</v>
      </c>
      <c r="AE485" s="4">
        <f t="shared" si="511"/>
        <v>9.1</v>
      </c>
      <c r="AF485" s="4">
        <f t="shared" si="512"/>
        <v>10.1</v>
      </c>
      <c r="AG485" s="7">
        <f t="shared" si="513"/>
        <v>80.72246279691916</v>
      </c>
      <c r="AJ485" s="45">
        <v>618.62068965517244</v>
      </c>
      <c r="AM485" s="38"/>
      <c r="AN485" s="38"/>
      <c r="AO485" s="39">
        <v>1</v>
      </c>
      <c r="AP485" s="39"/>
      <c r="AQ485" s="39"/>
      <c r="AS485" s="4">
        <f t="shared" si="514"/>
        <v>160.01999999999998</v>
      </c>
      <c r="AT485" s="4">
        <f t="shared" si="515"/>
        <v>1</v>
      </c>
      <c r="AU485" s="4">
        <f t="shared" si="516"/>
        <v>308.01631180193135</v>
      </c>
      <c r="AV485" s="4">
        <f t="shared" si="517"/>
        <v>1</v>
      </c>
      <c r="AW485" s="4">
        <v>1.25</v>
      </c>
      <c r="AX485" s="4">
        <v>1</v>
      </c>
      <c r="AY485" s="38">
        <f t="shared" si="518"/>
        <v>385.02038975241419</v>
      </c>
      <c r="AZ485" s="38">
        <f t="shared" si="576"/>
        <v>385.02038975241419</v>
      </c>
      <c r="BA485" s="38">
        <f t="shared" si="519"/>
        <v>4.3396934501138817</v>
      </c>
      <c r="BF485" s="4">
        <f t="shared" si="520"/>
        <v>255.65634769234322</v>
      </c>
      <c r="BG485" s="4">
        <f t="shared" si="521"/>
        <v>1</v>
      </c>
      <c r="BH485" s="38">
        <f t="shared" si="522"/>
        <v>8607.978966419807</v>
      </c>
      <c r="BI485" s="4">
        <f t="shared" si="523"/>
        <v>0.3</v>
      </c>
      <c r="BJ485" s="4">
        <f t="shared" si="524"/>
        <v>40.074132500774788</v>
      </c>
      <c r="BK485" s="4">
        <f t="shared" si="525"/>
        <v>8648.0530989205818</v>
      </c>
      <c r="BM485" s="4">
        <f t="shared" si="526"/>
        <v>1.5</v>
      </c>
      <c r="BN485" s="4">
        <f t="shared" si="527"/>
        <v>565.54836343084776</v>
      </c>
      <c r="BP485" s="4">
        <f t="shared" si="528"/>
        <v>8256.1045160288031</v>
      </c>
      <c r="BQ485" s="4">
        <f t="shared" si="529"/>
        <v>0</v>
      </c>
      <c r="BR485" s="4">
        <f t="shared" si="530"/>
        <v>0</v>
      </c>
      <c r="BZ485" s="4">
        <f t="shared" si="531"/>
        <v>596.9</v>
      </c>
      <c r="CD485" s="9"/>
      <c r="CF485" s="9"/>
      <c r="CG485" s="9"/>
      <c r="CH485" s="9">
        <f t="shared" si="532"/>
        <v>596.9</v>
      </c>
      <c r="CI485" s="9">
        <f t="shared" si="533"/>
        <v>596.9</v>
      </c>
      <c r="CJ485" s="9">
        <f t="shared" si="534"/>
        <v>4.8476798574163293</v>
      </c>
      <c r="CK485" s="70">
        <f t="shared" si="535"/>
        <v>0</v>
      </c>
      <c r="CL485" s="9">
        <f t="shared" si="536"/>
        <v>0</v>
      </c>
      <c r="CM485" s="9">
        <f t="shared" si="537"/>
        <v>0</v>
      </c>
      <c r="CN485" s="9">
        <f t="shared" si="538"/>
        <v>0.99524931562137331</v>
      </c>
      <c r="CO485" s="9">
        <f t="shared" si="539"/>
        <v>0.68</v>
      </c>
      <c r="CP485" s="9">
        <f t="shared" si="540"/>
        <v>1.8263267342054628</v>
      </c>
      <c r="CQ485" s="9">
        <f t="shared" si="541"/>
        <v>4.5658168355136572</v>
      </c>
      <c r="CR485" s="40">
        <v>1</v>
      </c>
      <c r="CS485" s="9">
        <f t="shared" si="542"/>
        <v>389.00759438576358</v>
      </c>
      <c r="DQ485" s="4">
        <f t="shared" si="543"/>
        <v>160.01999999999998</v>
      </c>
      <c r="DT485" s="4">
        <f t="shared" si="544"/>
        <v>1.3631853306974178E-5</v>
      </c>
      <c r="DU485" s="4">
        <f t="shared" si="545"/>
        <v>11.829381634472119</v>
      </c>
      <c r="DV485" s="4">
        <f t="shared" si="546"/>
        <v>0.22317163317275795</v>
      </c>
      <c r="DW485" s="4">
        <f t="shared" si="547"/>
        <v>6.4925849346268336</v>
      </c>
      <c r="DX485" s="4">
        <f t="shared" si="548"/>
        <v>9.5446904861318114</v>
      </c>
      <c r="DY485" s="4">
        <f t="shared" si="549"/>
        <v>11.465435649076939</v>
      </c>
      <c r="DZ485" s="38">
        <f t="shared" si="550"/>
        <v>598.84831179978437</v>
      </c>
      <c r="EA485" s="4">
        <f t="shared" si="551"/>
        <v>1</v>
      </c>
      <c r="EB485" s="4">
        <f t="shared" si="552"/>
        <v>3.1780497164141401</v>
      </c>
      <c r="EC485" s="4">
        <f t="shared" si="553"/>
        <v>385.02038975241419</v>
      </c>
      <c r="EG485" s="4">
        <f t="shared" si="554"/>
        <v>0.85</v>
      </c>
      <c r="EH485" s="4">
        <f t="shared" si="555"/>
        <v>0.7</v>
      </c>
      <c r="EI485" s="4">
        <f t="shared" si="556"/>
        <v>1</v>
      </c>
      <c r="EJ485" s="4">
        <f t="shared" si="557"/>
        <v>0.7</v>
      </c>
      <c r="EL485" s="4">
        <f t="shared" si="558"/>
        <v>889.65517241379314</v>
      </c>
      <c r="EP485" s="4">
        <f t="shared" si="559"/>
        <v>11.829381634472119</v>
      </c>
      <c r="ES485" s="4">
        <f t="shared" si="560"/>
        <v>80.72246279691916</v>
      </c>
      <c r="ET485" s="4">
        <f t="shared" si="561"/>
        <v>3.1780497164141406</v>
      </c>
      <c r="EU485" s="4">
        <f t="shared" si="562"/>
        <v>9.4247372350766273E-2</v>
      </c>
      <c r="EX485" s="4">
        <f t="shared" si="563"/>
        <v>9.4247372350766273E-2</v>
      </c>
      <c r="EY485" s="4">
        <f t="shared" si="564"/>
        <v>0.22317163317275795</v>
      </c>
      <c r="EZ485" s="4">
        <f t="shared" si="565"/>
        <v>6.4925849346268336</v>
      </c>
      <c r="FA485" s="4">
        <f t="shared" si="566"/>
        <v>9.5446904861318114</v>
      </c>
      <c r="FB485" s="4">
        <f t="shared" si="567"/>
        <v>39.292537203080826</v>
      </c>
      <c r="FC485" s="4">
        <f t="shared" si="568"/>
        <v>40.004999999999995</v>
      </c>
      <c r="FD485" s="4">
        <f t="shared" si="569"/>
        <v>1.3631853306974178E-5</v>
      </c>
      <c r="FE485" s="4">
        <f t="shared" si="570"/>
        <v>11.465435649076939</v>
      </c>
      <c r="FF485" s="4">
        <f t="shared" si="571"/>
        <v>598.84831179978437</v>
      </c>
      <c r="FO485" s="23"/>
      <c r="FP485" s="23"/>
      <c r="FQ485" s="23"/>
      <c r="FR485" s="23"/>
      <c r="FS485" s="23"/>
      <c r="FT485" s="23"/>
      <c r="FU485" s="23"/>
      <c r="FV485" s="23"/>
      <c r="GF485" s="4">
        <f t="shared" si="572"/>
        <v>1</v>
      </c>
      <c r="GG485" s="4">
        <f t="shared" si="573"/>
        <v>1.0833333333333333</v>
      </c>
      <c r="GH485" s="4">
        <f t="shared" si="574"/>
        <v>0</v>
      </c>
      <c r="GI485" s="4">
        <f t="shared" si="575"/>
        <v>161.01858866173305</v>
      </c>
    </row>
    <row r="486" spans="2:191" ht="12" customHeight="1" x14ac:dyDescent="0.3">
      <c r="B486" s="14" t="s">
        <v>605</v>
      </c>
      <c r="C486" s="24"/>
      <c r="D486" s="14" t="s">
        <v>365</v>
      </c>
      <c r="E486" s="24"/>
      <c r="F486" s="24"/>
      <c r="G486" s="109"/>
      <c r="H486" s="43" t="s">
        <v>633</v>
      </c>
      <c r="I486" s="43"/>
      <c r="J486" s="38">
        <f t="shared" si="505"/>
        <v>889.65517241379314</v>
      </c>
      <c r="K486" s="45">
        <v>162.56</v>
      </c>
      <c r="L486" s="4">
        <f t="shared" si="506"/>
        <v>162.56</v>
      </c>
      <c r="M486" s="45">
        <v>59.448275862068968</v>
      </c>
      <c r="N486" s="7">
        <v>25.4</v>
      </c>
      <c r="O486" s="7">
        <f t="shared" si="507"/>
        <v>6.4</v>
      </c>
      <c r="P486" s="7">
        <f t="shared" si="508"/>
        <v>6.4</v>
      </c>
      <c r="Q486" s="45">
        <v>1219.1999999999998</v>
      </c>
      <c r="R486" s="45"/>
      <c r="S486" s="45">
        <v>596.9</v>
      </c>
      <c r="T486" s="45"/>
      <c r="U486" s="45">
        <v>596.9</v>
      </c>
      <c r="V486" s="45"/>
      <c r="W486" s="7"/>
      <c r="X486" s="38">
        <v>1</v>
      </c>
      <c r="Y486" s="38"/>
      <c r="Z486" s="38"/>
      <c r="AB486" s="7">
        <f t="shared" si="509"/>
        <v>24</v>
      </c>
      <c r="AC486" s="7">
        <f t="shared" si="510"/>
        <v>24</v>
      </c>
      <c r="AD486" s="45">
        <v>6.5</v>
      </c>
      <c r="AE486" s="4">
        <f t="shared" si="511"/>
        <v>6.5</v>
      </c>
      <c r="AF486" s="4">
        <f t="shared" si="512"/>
        <v>7.5</v>
      </c>
      <c r="AG486" s="7">
        <f t="shared" si="513"/>
        <v>69.56076480315609</v>
      </c>
      <c r="AJ486" s="45">
        <v>806.89655172413802</v>
      </c>
      <c r="AM486" s="38"/>
      <c r="AN486" s="38"/>
      <c r="AO486" s="39">
        <v>1</v>
      </c>
      <c r="AP486" s="39"/>
      <c r="AQ486" s="39"/>
      <c r="AS486" s="4">
        <f t="shared" si="514"/>
        <v>162.56</v>
      </c>
      <c r="AT486" s="4">
        <f t="shared" si="515"/>
        <v>1</v>
      </c>
      <c r="AU486" s="4">
        <f t="shared" si="516"/>
        <v>315.37905904684118</v>
      </c>
      <c r="AV486" s="4">
        <f t="shared" si="517"/>
        <v>1</v>
      </c>
      <c r="AW486" s="4">
        <v>1.25</v>
      </c>
      <c r="AX486" s="4">
        <v>1</v>
      </c>
      <c r="AY486" s="38">
        <f t="shared" si="518"/>
        <v>394.22382380855146</v>
      </c>
      <c r="AZ486" s="38">
        <f t="shared" si="576"/>
        <v>394.22382380855146</v>
      </c>
      <c r="BA486" s="38">
        <f t="shared" si="519"/>
        <v>4.3396934501138817</v>
      </c>
      <c r="BF486" s="4">
        <f t="shared" si="520"/>
        <v>259.71438495730104</v>
      </c>
      <c r="BG486" s="4">
        <f t="shared" si="521"/>
        <v>1</v>
      </c>
      <c r="BH486" s="38">
        <f t="shared" si="522"/>
        <v>7275.0700480832784</v>
      </c>
      <c r="BI486" s="4">
        <f t="shared" si="523"/>
        <v>0.3</v>
      </c>
      <c r="BJ486" s="4">
        <f t="shared" si="524"/>
        <v>40.71022984205694</v>
      </c>
      <c r="BK486" s="4">
        <f t="shared" si="525"/>
        <v>7315.7802779253352</v>
      </c>
      <c r="BM486" s="4">
        <f t="shared" si="526"/>
        <v>1.5</v>
      </c>
      <c r="BN486" s="4">
        <f t="shared" si="527"/>
        <v>569.01798529238681</v>
      </c>
      <c r="BP486" s="4">
        <f t="shared" si="528"/>
        <v>6977.6818592050622</v>
      </c>
      <c r="BQ486" s="4">
        <f t="shared" si="529"/>
        <v>0</v>
      </c>
      <c r="BR486" s="4">
        <f t="shared" si="530"/>
        <v>0</v>
      </c>
      <c r="BZ486" s="4">
        <f t="shared" si="531"/>
        <v>596.9</v>
      </c>
      <c r="CD486" s="9"/>
      <c r="CF486" s="9"/>
      <c r="CG486" s="9"/>
      <c r="CH486" s="9">
        <f t="shared" si="532"/>
        <v>596.9</v>
      </c>
      <c r="CI486" s="9">
        <f t="shared" si="533"/>
        <v>596.9</v>
      </c>
      <c r="CJ486" s="9">
        <f t="shared" si="534"/>
        <v>4.8476798574163293</v>
      </c>
      <c r="CK486" s="70">
        <f t="shared" si="535"/>
        <v>0</v>
      </c>
      <c r="CL486" s="9">
        <f t="shared" si="536"/>
        <v>0</v>
      </c>
      <c r="CM486" s="9">
        <f t="shared" si="537"/>
        <v>0</v>
      </c>
      <c r="CN486" s="9">
        <f t="shared" si="538"/>
        <v>0.99524931562137331</v>
      </c>
      <c r="CO486" s="9">
        <f t="shared" si="539"/>
        <v>0.68</v>
      </c>
      <c r="CP486" s="9">
        <f t="shared" si="540"/>
        <v>1.8263267342054628</v>
      </c>
      <c r="CQ486" s="9">
        <f t="shared" si="541"/>
        <v>4.5658168355136572</v>
      </c>
      <c r="CR486" s="40">
        <v>1</v>
      </c>
      <c r="CS486" s="9">
        <f t="shared" si="542"/>
        <v>390.83392111996909</v>
      </c>
      <c r="DQ486" s="4">
        <f t="shared" si="543"/>
        <v>162.56</v>
      </c>
      <c r="DT486" s="4">
        <f t="shared" si="544"/>
        <v>1.3848231930894405E-5</v>
      </c>
      <c r="DU486" s="4">
        <f t="shared" si="545"/>
        <v>11.829381634472119</v>
      </c>
      <c r="DV486" s="4">
        <f t="shared" si="546"/>
        <v>0.27567419108435354</v>
      </c>
      <c r="DW486" s="4">
        <f t="shared" si="547"/>
        <v>7.0651353558258458</v>
      </c>
      <c r="DX486" s="4">
        <f t="shared" si="548"/>
        <v>9.7447329036587558</v>
      </c>
      <c r="DY486" s="4">
        <f t="shared" si="549"/>
        <v>11.425135548573715</v>
      </c>
      <c r="DZ486" s="38">
        <f t="shared" si="550"/>
        <v>625.09004262999906</v>
      </c>
      <c r="EA486" s="4">
        <f t="shared" si="551"/>
        <v>1</v>
      </c>
      <c r="EB486" s="4">
        <f t="shared" si="552"/>
        <v>2.7386127875258306</v>
      </c>
      <c r="EC486" s="4">
        <f t="shared" si="553"/>
        <v>394.22382380855146</v>
      </c>
      <c r="EG486" s="4">
        <f t="shared" si="554"/>
        <v>0.85</v>
      </c>
      <c r="EH486" s="4">
        <f t="shared" si="555"/>
        <v>0.7</v>
      </c>
      <c r="EI486" s="4">
        <f t="shared" si="556"/>
        <v>1</v>
      </c>
      <c r="EJ486" s="4">
        <f t="shared" si="557"/>
        <v>0.7</v>
      </c>
      <c r="EL486" s="4">
        <f t="shared" si="558"/>
        <v>889.65517241379314</v>
      </c>
      <c r="EP486" s="4">
        <f t="shared" si="559"/>
        <v>11.829381634472119</v>
      </c>
      <c r="ES486" s="4">
        <f t="shared" si="560"/>
        <v>69.56076480315609</v>
      </c>
      <c r="ET486" s="4">
        <f t="shared" si="561"/>
        <v>2.7386127875258306</v>
      </c>
      <c r="EU486" s="4">
        <f t="shared" si="562"/>
        <v>0.11641967110807015</v>
      </c>
      <c r="EX486" s="4">
        <f t="shared" si="563"/>
        <v>0.11641967110807015</v>
      </c>
      <c r="EY486" s="4">
        <f t="shared" si="564"/>
        <v>0.27567419108435354</v>
      </c>
      <c r="EZ486" s="4">
        <f t="shared" si="565"/>
        <v>7.0651353558258458</v>
      </c>
      <c r="FA486" s="4">
        <f t="shared" si="566"/>
        <v>9.7447329036587558</v>
      </c>
      <c r="FB486" s="4">
        <f t="shared" si="567"/>
        <v>52.359235196843912</v>
      </c>
      <c r="FC486" s="4">
        <f t="shared" si="568"/>
        <v>40.64</v>
      </c>
      <c r="FD486" s="4">
        <f t="shared" si="569"/>
        <v>1.3848231930894405E-5</v>
      </c>
      <c r="FE486" s="4">
        <f t="shared" si="570"/>
        <v>11.425135548573714</v>
      </c>
      <c r="FF486" s="4">
        <f t="shared" si="571"/>
        <v>625.09004262999906</v>
      </c>
      <c r="FO486" s="23"/>
      <c r="FP486" s="23"/>
      <c r="FQ486" s="23"/>
      <c r="FR486" s="23"/>
      <c r="FS486" s="23"/>
      <c r="FT486" s="23"/>
      <c r="FU486" s="23"/>
      <c r="FV486" s="23"/>
      <c r="GF486" s="4">
        <f t="shared" si="572"/>
        <v>1</v>
      </c>
      <c r="GG486" s="4">
        <f t="shared" si="573"/>
        <v>1.0833333333333333</v>
      </c>
      <c r="GH486" s="4">
        <f t="shared" si="574"/>
        <v>0</v>
      </c>
      <c r="GI486" s="4">
        <f t="shared" si="575"/>
        <v>163.57443927541135</v>
      </c>
    </row>
    <row r="487" spans="2:191" ht="12" customHeight="1" x14ac:dyDescent="0.3">
      <c r="B487" s="14" t="s">
        <v>605</v>
      </c>
      <c r="C487" s="24"/>
      <c r="D487" s="14" t="s">
        <v>365</v>
      </c>
      <c r="E487" s="24"/>
      <c r="F487" s="24"/>
      <c r="G487" s="109"/>
      <c r="H487" s="43" t="s">
        <v>634</v>
      </c>
      <c r="I487" s="43"/>
      <c r="J487" s="38">
        <f t="shared" si="505"/>
        <v>889.65517241379314</v>
      </c>
      <c r="K487" s="45">
        <v>165.1</v>
      </c>
      <c r="L487" s="4">
        <f t="shared" si="506"/>
        <v>165.1</v>
      </c>
      <c r="M487" s="45">
        <v>59.448275862068968</v>
      </c>
      <c r="N487" s="7">
        <v>25.4</v>
      </c>
      <c r="O487" s="7">
        <f t="shared" si="507"/>
        <v>6.5</v>
      </c>
      <c r="P487" s="7">
        <f t="shared" si="508"/>
        <v>6.5</v>
      </c>
      <c r="Q487" s="45">
        <v>1219.1999999999998</v>
      </c>
      <c r="R487" s="45"/>
      <c r="S487" s="45">
        <v>596.9</v>
      </c>
      <c r="T487" s="45"/>
      <c r="U487" s="45">
        <v>596.9</v>
      </c>
      <c r="V487" s="45"/>
      <c r="W487" s="7"/>
      <c r="X487" s="38">
        <v>1</v>
      </c>
      <c r="Y487" s="38"/>
      <c r="Z487" s="38"/>
      <c r="AB487" s="7">
        <f t="shared" si="509"/>
        <v>24</v>
      </c>
      <c r="AC487" s="7">
        <f t="shared" si="510"/>
        <v>24</v>
      </c>
      <c r="AD487" s="45">
        <v>4.5</v>
      </c>
      <c r="AE487" s="4">
        <f t="shared" si="511"/>
        <v>4.5</v>
      </c>
      <c r="AF487" s="4">
        <f t="shared" si="512"/>
        <v>5.5</v>
      </c>
      <c r="AG487" s="7">
        <f t="shared" si="513"/>
        <v>59.568280149757555</v>
      </c>
      <c r="AJ487" s="45">
        <v>646.20689655172418</v>
      </c>
      <c r="AM487" s="38"/>
      <c r="AN487" s="38"/>
      <c r="AO487" s="39">
        <v>1</v>
      </c>
      <c r="AP487" s="39"/>
      <c r="AQ487" s="39"/>
      <c r="AS487" s="4">
        <f t="shared" si="514"/>
        <v>165.1</v>
      </c>
      <c r="AT487" s="4">
        <f t="shared" si="515"/>
        <v>0.99999999999999989</v>
      </c>
      <c r="AU487" s="4">
        <f t="shared" si="516"/>
        <v>322.79955480341323</v>
      </c>
      <c r="AV487" s="4">
        <f t="shared" si="517"/>
        <v>1</v>
      </c>
      <c r="AW487" s="4">
        <v>1.25</v>
      </c>
      <c r="AX487" s="4">
        <v>1</v>
      </c>
      <c r="AY487" s="38">
        <f t="shared" si="518"/>
        <v>403.49944350426648</v>
      </c>
      <c r="AZ487" s="38">
        <f t="shared" si="576"/>
        <v>403.49944350426648</v>
      </c>
      <c r="BA487" s="38">
        <f t="shared" si="519"/>
        <v>4.3396934501138817</v>
      </c>
      <c r="BF487" s="4">
        <f t="shared" si="520"/>
        <v>263.77242222225891</v>
      </c>
      <c r="BG487" s="4">
        <f t="shared" si="521"/>
        <v>1</v>
      </c>
      <c r="BH487" s="38">
        <f t="shared" si="522"/>
        <v>6053.2241748361221</v>
      </c>
      <c r="BI487" s="4">
        <f t="shared" si="523"/>
        <v>0.37</v>
      </c>
      <c r="BJ487" s="4">
        <f t="shared" si="524"/>
        <v>50.993803526118185</v>
      </c>
      <c r="BK487" s="4">
        <f t="shared" si="525"/>
        <v>6104.2179783622405</v>
      </c>
      <c r="BM487" s="4">
        <f t="shared" si="526"/>
        <v>1.5</v>
      </c>
      <c r="BN487" s="4">
        <f t="shared" si="527"/>
        <v>572.48760715392575</v>
      </c>
      <c r="BP487" s="4">
        <f t="shared" si="528"/>
        <v>5805.7822447474036</v>
      </c>
      <c r="BQ487" s="4">
        <f t="shared" si="529"/>
        <v>0</v>
      </c>
      <c r="BR487" s="4">
        <f t="shared" si="530"/>
        <v>0</v>
      </c>
      <c r="BZ487" s="4">
        <f t="shared" si="531"/>
        <v>596.9</v>
      </c>
      <c r="CD487" s="9"/>
      <c r="CF487" s="9"/>
      <c r="CG487" s="9"/>
      <c r="CH487" s="9">
        <f t="shared" si="532"/>
        <v>596.9</v>
      </c>
      <c r="CI487" s="9">
        <f t="shared" si="533"/>
        <v>596.9</v>
      </c>
      <c r="CJ487" s="9">
        <f t="shared" si="534"/>
        <v>4.8476798574163293</v>
      </c>
      <c r="CK487" s="70">
        <f t="shared" si="535"/>
        <v>0</v>
      </c>
      <c r="CL487" s="9">
        <f t="shared" si="536"/>
        <v>0</v>
      </c>
      <c r="CM487" s="9">
        <f t="shared" si="537"/>
        <v>0</v>
      </c>
      <c r="CN487" s="9">
        <f t="shared" si="538"/>
        <v>0.99524931562137331</v>
      </c>
      <c r="CO487" s="9">
        <f t="shared" si="539"/>
        <v>0.68</v>
      </c>
      <c r="CP487" s="9">
        <f t="shared" si="540"/>
        <v>1.8263267342054628</v>
      </c>
      <c r="CQ487" s="9">
        <f t="shared" si="541"/>
        <v>4.5658168355136572</v>
      </c>
      <c r="CR487" s="40">
        <v>1</v>
      </c>
      <c r="CS487" s="9">
        <f t="shared" si="542"/>
        <v>392.66024785417449</v>
      </c>
      <c r="DQ487" s="4">
        <f t="shared" si="543"/>
        <v>165.1</v>
      </c>
      <c r="DT487" s="4">
        <f t="shared" si="544"/>
        <v>1.406461055481463E-5</v>
      </c>
      <c r="DU487" s="4">
        <f t="shared" si="545"/>
        <v>11.829381634472119</v>
      </c>
      <c r="DV487" s="4">
        <f t="shared" si="546"/>
        <v>0.34901793030288153</v>
      </c>
      <c r="DW487" s="4">
        <f t="shared" si="547"/>
        <v>7.7642791021983317</v>
      </c>
      <c r="DX487" s="4">
        <f t="shared" si="548"/>
        <v>10.006320161093534</v>
      </c>
      <c r="DY487" s="4">
        <f t="shared" si="549"/>
        <v>11.383361078397993</v>
      </c>
      <c r="DZ487" s="38">
        <f t="shared" si="550"/>
        <v>651.58232422155083</v>
      </c>
      <c r="EA487" s="4">
        <f t="shared" si="551"/>
        <v>1</v>
      </c>
      <c r="EB487" s="4">
        <f t="shared" si="552"/>
        <v>2.3452078799117149</v>
      </c>
      <c r="EC487" s="4">
        <f t="shared" si="553"/>
        <v>403.49944350426648</v>
      </c>
      <c r="EG487" s="4">
        <f t="shared" si="554"/>
        <v>0.85</v>
      </c>
      <c r="EH487" s="4">
        <f t="shared" si="555"/>
        <v>0.7</v>
      </c>
      <c r="EI487" s="4">
        <f t="shared" si="556"/>
        <v>1</v>
      </c>
      <c r="EJ487" s="4">
        <f t="shared" si="557"/>
        <v>0.7</v>
      </c>
      <c r="EL487" s="4">
        <f t="shared" si="558"/>
        <v>889.65517241379314</v>
      </c>
      <c r="EP487" s="4">
        <f t="shared" si="559"/>
        <v>11.829381634472119</v>
      </c>
      <c r="ES487" s="4">
        <f t="shared" si="560"/>
        <v>59.568280149757555</v>
      </c>
      <c r="ET487" s="4">
        <f t="shared" si="561"/>
        <v>2.3452078799117149</v>
      </c>
      <c r="EU487" s="4">
        <f t="shared" si="562"/>
        <v>0.14739338672530164</v>
      </c>
      <c r="EX487" s="4">
        <f t="shared" si="563"/>
        <v>0.14739338672530164</v>
      </c>
      <c r="EY487" s="4">
        <f t="shared" si="564"/>
        <v>0.34901793030288153</v>
      </c>
      <c r="EZ487" s="4">
        <f t="shared" si="565"/>
        <v>7.7642791021983317</v>
      </c>
      <c r="FA487" s="4">
        <f t="shared" si="566"/>
        <v>10.006320161093534</v>
      </c>
      <c r="FB487" s="4">
        <f t="shared" si="567"/>
        <v>64.256719850242433</v>
      </c>
      <c r="FC487" s="4">
        <f t="shared" si="568"/>
        <v>41.275000000000006</v>
      </c>
      <c r="FD487" s="4">
        <f t="shared" si="569"/>
        <v>1.4064610554814634E-5</v>
      </c>
      <c r="FE487" s="4">
        <f t="shared" si="570"/>
        <v>11.383361078397993</v>
      </c>
      <c r="FF487" s="4">
        <f t="shared" si="571"/>
        <v>651.58232422155083</v>
      </c>
      <c r="FO487" s="23"/>
      <c r="FP487" s="23"/>
      <c r="FQ487" s="23"/>
      <c r="FR487" s="23"/>
      <c r="FS487" s="23"/>
      <c r="FT487" s="23"/>
      <c r="FU487" s="23"/>
      <c r="FV487" s="23"/>
      <c r="GF487" s="4">
        <f t="shared" si="572"/>
        <v>1</v>
      </c>
      <c r="GG487" s="4">
        <f t="shared" si="573"/>
        <v>1.0833333333333333</v>
      </c>
      <c r="GH487" s="4">
        <f t="shared" si="574"/>
        <v>0</v>
      </c>
      <c r="GI487" s="4">
        <f t="shared" si="575"/>
        <v>166.13028988908965</v>
      </c>
    </row>
    <row r="488" spans="2:191" ht="12" customHeight="1" x14ac:dyDescent="0.3">
      <c r="B488" s="14" t="s">
        <v>605</v>
      </c>
      <c r="C488" s="24"/>
      <c r="D488" s="14" t="s">
        <v>365</v>
      </c>
      <c r="E488" s="24"/>
      <c r="F488" s="24"/>
      <c r="G488" s="109"/>
      <c r="H488" s="43" t="s">
        <v>635</v>
      </c>
      <c r="I488" s="43"/>
      <c r="J488" s="38">
        <f t="shared" si="505"/>
        <v>889.65517241379314</v>
      </c>
      <c r="K488" s="45">
        <v>165.1</v>
      </c>
      <c r="L488" s="4">
        <f t="shared" si="506"/>
        <v>165.1</v>
      </c>
      <c r="M488" s="45">
        <v>28.96551724137931</v>
      </c>
      <c r="N488" s="7">
        <v>25.4</v>
      </c>
      <c r="O488" s="7">
        <f t="shared" si="507"/>
        <v>6.5</v>
      </c>
      <c r="P488" s="7">
        <f t="shared" si="508"/>
        <v>6.5</v>
      </c>
      <c r="Q488" s="45">
        <v>1219.1999999999998</v>
      </c>
      <c r="R488" s="45"/>
      <c r="S488" s="45">
        <v>596.9</v>
      </c>
      <c r="T488" s="45"/>
      <c r="U488" s="45">
        <v>596.9</v>
      </c>
      <c r="V488" s="45"/>
      <c r="W488" s="7"/>
      <c r="X488" s="38">
        <v>1</v>
      </c>
      <c r="Y488" s="38"/>
      <c r="Z488" s="38"/>
      <c r="AB488" s="7">
        <f t="shared" si="509"/>
        <v>24</v>
      </c>
      <c r="AC488" s="7">
        <f t="shared" si="510"/>
        <v>24</v>
      </c>
      <c r="AD488" s="45">
        <v>14</v>
      </c>
      <c r="AE488" s="4">
        <f t="shared" si="511"/>
        <v>14</v>
      </c>
      <c r="AF488" s="4">
        <f t="shared" si="512"/>
        <v>15</v>
      </c>
      <c r="AG488" s="7">
        <f t="shared" si="513"/>
        <v>98.373776993668386</v>
      </c>
      <c r="AJ488" s="45">
        <v>539.31034482758628</v>
      </c>
      <c r="AM488" s="38"/>
      <c r="AN488" s="38"/>
      <c r="AO488" s="39">
        <v>1</v>
      </c>
      <c r="AP488" s="39"/>
      <c r="AQ488" s="39"/>
      <c r="AS488" s="4">
        <f t="shared" si="514"/>
        <v>165.1</v>
      </c>
      <c r="AT488" s="4">
        <f t="shared" si="515"/>
        <v>0.99999999999999989</v>
      </c>
      <c r="AU488" s="4">
        <f t="shared" si="516"/>
        <v>225.32217739115345</v>
      </c>
      <c r="AV488" s="4">
        <f t="shared" si="517"/>
        <v>1</v>
      </c>
      <c r="AW488" s="4">
        <v>1.25</v>
      </c>
      <c r="AX488" s="4">
        <v>1</v>
      </c>
      <c r="AY488" s="38">
        <f t="shared" si="518"/>
        <v>281.65272173894175</v>
      </c>
      <c r="AZ488" s="38">
        <f t="shared" si="576"/>
        <v>281.65272173894175</v>
      </c>
      <c r="BA488" s="38">
        <f t="shared" si="519"/>
        <v>2.8294940183703567</v>
      </c>
      <c r="BF488" s="4">
        <f t="shared" si="520"/>
        <v>184.11975985237513</v>
      </c>
      <c r="BG488" s="4">
        <f t="shared" si="521"/>
        <v>1</v>
      </c>
      <c r="BH488" s="38">
        <f t="shared" si="522"/>
        <v>5202.1939943008729</v>
      </c>
      <c r="BI488" s="4">
        <f t="shared" si="523"/>
        <v>0.3</v>
      </c>
      <c r="BJ488" s="4">
        <f t="shared" si="524"/>
        <v>28.860772356859794</v>
      </c>
      <c r="BK488" s="4">
        <f t="shared" si="525"/>
        <v>5231.0547666577322</v>
      </c>
      <c r="BM488" s="4">
        <f t="shared" si="526"/>
        <v>1.5</v>
      </c>
      <c r="BN488" s="4">
        <f t="shared" si="527"/>
        <v>399.61069417190492</v>
      </c>
      <c r="BP488" s="4">
        <f t="shared" si="528"/>
        <v>4989.5402274047219</v>
      </c>
      <c r="BQ488" s="4">
        <f t="shared" si="529"/>
        <v>0</v>
      </c>
      <c r="BR488" s="4">
        <f t="shared" si="530"/>
        <v>0</v>
      </c>
      <c r="BZ488" s="4">
        <f t="shared" si="531"/>
        <v>596.9</v>
      </c>
      <c r="CD488" s="9"/>
      <c r="CF488" s="9"/>
      <c r="CG488" s="9"/>
      <c r="CH488" s="9">
        <f t="shared" si="532"/>
        <v>596.9</v>
      </c>
      <c r="CI488" s="9">
        <f t="shared" si="533"/>
        <v>596.9</v>
      </c>
      <c r="CJ488" s="9">
        <f t="shared" si="534"/>
        <v>4.8476798574163293</v>
      </c>
      <c r="CK488" s="70">
        <f t="shared" si="535"/>
        <v>0</v>
      </c>
      <c r="CL488" s="9">
        <f t="shared" si="536"/>
        <v>0</v>
      </c>
      <c r="CM488" s="9">
        <f t="shared" si="537"/>
        <v>0</v>
      </c>
      <c r="CN488" s="9">
        <f t="shared" si="538"/>
        <v>0.99524931562137331</v>
      </c>
      <c r="CO488" s="9">
        <f t="shared" si="539"/>
        <v>0.68</v>
      </c>
      <c r="CP488" s="9">
        <f t="shared" si="540"/>
        <v>1.2748218213295317</v>
      </c>
      <c r="CQ488" s="9">
        <f t="shared" si="541"/>
        <v>3.1870545533238293</v>
      </c>
      <c r="CR488" s="40">
        <v>1</v>
      </c>
      <c r="CS488" s="9">
        <f t="shared" si="542"/>
        <v>274.08669158584928</v>
      </c>
      <c r="DQ488" s="4">
        <f t="shared" si="543"/>
        <v>165.1</v>
      </c>
      <c r="DT488" s="4">
        <f t="shared" si="544"/>
        <v>1.1521263534281654E-5</v>
      </c>
      <c r="DU488" s="4">
        <f t="shared" si="545"/>
        <v>8.2572047805129003</v>
      </c>
      <c r="DV488" s="4">
        <f t="shared" si="546"/>
        <v>0.26541501582698523</v>
      </c>
      <c r="DW488" s="4">
        <f t="shared" si="547"/>
        <v>4.8573930946961532</v>
      </c>
      <c r="DX488" s="4">
        <f t="shared" si="548"/>
        <v>6.7754289501989868</v>
      </c>
      <c r="DY488" s="4">
        <f t="shared" si="549"/>
        <v>8.1016652006466714</v>
      </c>
      <c r="DZ488" s="38">
        <f t="shared" si="550"/>
        <v>436.7203263688607</v>
      </c>
      <c r="EA488" s="4">
        <f t="shared" si="551"/>
        <v>1</v>
      </c>
      <c r="EB488" s="4">
        <f t="shared" si="552"/>
        <v>3.872983346207417</v>
      </c>
      <c r="EC488" s="4">
        <f t="shared" si="553"/>
        <v>281.65272173894175</v>
      </c>
      <c r="EG488" s="4">
        <f t="shared" si="554"/>
        <v>0.85</v>
      </c>
      <c r="EH488" s="4">
        <f t="shared" si="555"/>
        <v>0.7</v>
      </c>
      <c r="EI488" s="4">
        <f t="shared" si="556"/>
        <v>1</v>
      </c>
      <c r="EJ488" s="4">
        <f t="shared" si="557"/>
        <v>0.7</v>
      </c>
      <c r="EL488" s="4">
        <f t="shared" si="558"/>
        <v>889.65517241379314</v>
      </c>
      <c r="EP488" s="4">
        <f t="shared" si="559"/>
        <v>8.2572047805129003</v>
      </c>
      <c r="ES488" s="4">
        <f t="shared" si="560"/>
        <v>98.373776993668386</v>
      </c>
      <c r="ET488" s="4">
        <f t="shared" si="561"/>
        <v>3.872983346207417</v>
      </c>
      <c r="EU488" s="4">
        <f t="shared" si="562"/>
        <v>7.8239625108981664E-2</v>
      </c>
      <c r="EX488" s="4">
        <f t="shared" si="563"/>
        <v>7.8239625108981664E-2</v>
      </c>
      <c r="EY488" s="4">
        <f t="shared" si="564"/>
        <v>0.26541501582698523</v>
      </c>
      <c r="EZ488" s="4">
        <f t="shared" si="565"/>
        <v>4.8573930946961532</v>
      </c>
      <c r="FA488" s="4">
        <f t="shared" si="566"/>
        <v>6.7754289501989868</v>
      </c>
      <c r="FB488" s="4">
        <f t="shared" si="567"/>
        <v>25.451223006331603</v>
      </c>
      <c r="FC488" s="4">
        <f t="shared" si="568"/>
        <v>41.275000000000006</v>
      </c>
      <c r="FD488" s="4">
        <f t="shared" si="569"/>
        <v>1.1521263534281654E-5</v>
      </c>
      <c r="FE488" s="4">
        <f t="shared" si="570"/>
        <v>8.1016652006466714</v>
      </c>
      <c r="FF488" s="4">
        <f t="shared" si="571"/>
        <v>436.7203263688607</v>
      </c>
      <c r="FO488" s="23"/>
      <c r="FP488" s="23"/>
      <c r="FQ488" s="23"/>
      <c r="FR488" s="23"/>
      <c r="FS488" s="23"/>
      <c r="FT488" s="23"/>
      <c r="FU488" s="23"/>
      <c r="FV488" s="23"/>
      <c r="GF488" s="4">
        <f t="shared" si="572"/>
        <v>1</v>
      </c>
      <c r="GG488" s="4">
        <f t="shared" si="573"/>
        <v>1.0833333333333333</v>
      </c>
      <c r="GH488" s="4">
        <f t="shared" si="574"/>
        <v>0</v>
      </c>
      <c r="GI488" s="4">
        <f t="shared" si="575"/>
        <v>138.79835820431603</v>
      </c>
    </row>
    <row r="489" spans="2:191" ht="12" customHeight="1" x14ac:dyDescent="0.3">
      <c r="B489" s="14" t="s">
        <v>605</v>
      </c>
      <c r="C489" s="24"/>
      <c r="D489" s="14" t="s">
        <v>365</v>
      </c>
      <c r="E489" s="24"/>
      <c r="F489" s="24"/>
      <c r="G489" s="109"/>
      <c r="H489" s="43" t="s">
        <v>636</v>
      </c>
      <c r="I489" s="43"/>
      <c r="J489" s="38">
        <f t="shared" si="505"/>
        <v>889.65517241379314</v>
      </c>
      <c r="K489" s="45">
        <v>165.1</v>
      </c>
      <c r="L489" s="4">
        <f t="shared" si="506"/>
        <v>165.1</v>
      </c>
      <c r="M489" s="45">
        <v>28.96551724137931</v>
      </c>
      <c r="N489" s="7">
        <v>25.4</v>
      </c>
      <c r="O489" s="7">
        <f t="shared" si="507"/>
        <v>6.5</v>
      </c>
      <c r="P489" s="7">
        <f t="shared" si="508"/>
        <v>6.5</v>
      </c>
      <c r="Q489" s="45">
        <v>1219.1999999999998</v>
      </c>
      <c r="R489" s="45"/>
      <c r="S489" s="45">
        <v>596.9</v>
      </c>
      <c r="T489" s="45"/>
      <c r="U489" s="45">
        <v>596.9</v>
      </c>
      <c r="V489" s="45"/>
      <c r="W489" s="7"/>
      <c r="X489" s="38">
        <v>1</v>
      </c>
      <c r="Y489" s="38"/>
      <c r="Z489" s="38"/>
      <c r="AB489" s="7">
        <f t="shared" si="509"/>
        <v>24</v>
      </c>
      <c r="AC489" s="7">
        <f t="shared" si="510"/>
        <v>24</v>
      </c>
      <c r="AD489" s="45">
        <v>6.5</v>
      </c>
      <c r="AE489" s="4">
        <f t="shared" si="511"/>
        <v>6.5</v>
      </c>
      <c r="AF489" s="4">
        <f t="shared" si="512"/>
        <v>7.5</v>
      </c>
      <c r="AG489" s="7">
        <f t="shared" si="513"/>
        <v>69.56076480315609</v>
      </c>
      <c r="AJ489" s="45">
        <v>429.65517241379314</v>
      </c>
      <c r="AM489" s="38"/>
      <c r="AN489" s="38"/>
      <c r="AO489" s="39">
        <v>1</v>
      </c>
      <c r="AP489" s="39"/>
      <c r="AQ489" s="39"/>
      <c r="AS489" s="4">
        <f t="shared" si="514"/>
        <v>165.1</v>
      </c>
      <c r="AT489" s="4">
        <f t="shared" si="515"/>
        <v>0.99999999999999989</v>
      </c>
      <c r="AU489" s="4">
        <f t="shared" si="516"/>
        <v>225.32217739115345</v>
      </c>
      <c r="AV489" s="4">
        <f t="shared" si="517"/>
        <v>1</v>
      </c>
      <c r="AW489" s="4">
        <v>1.25</v>
      </c>
      <c r="AX489" s="4">
        <v>1</v>
      </c>
      <c r="AY489" s="38">
        <f t="shared" si="518"/>
        <v>281.65272173894175</v>
      </c>
      <c r="AZ489" s="38">
        <f t="shared" si="576"/>
        <v>281.65272173894175</v>
      </c>
      <c r="BA489" s="38">
        <f t="shared" si="519"/>
        <v>2.8294940183703567</v>
      </c>
      <c r="BF489" s="4">
        <f t="shared" si="520"/>
        <v>184.11975985237513</v>
      </c>
      <c r="BG489" s="4">
        <f t="shared" si="521"/>
        <v>1</v>
      </c>
      <c r="BH489" s="38">
        <f t="shared" si="522"/>
        <v>3544.697703242432</v>
      </c>
      <c r="BI489" s="4">
        <f t="shared" si="523"/>
        <v>0.3</v>
      </c>
      <c r="BJ489" s="4">
        <f t="shared" si="524"/>
        <v>28.860772356859794</v>
      </c>
      <c r="BK489" s="4">
        <f t="shared" si="525"/>
        <v>3573.5584755992918</v>
      </c>
      <c r="BM489" s="4">
        <f t="shared" si="526"/>
        <v>1.5</v>
      </c>
      <c r="BN489" s="4">
        <f t="shared" si="527"/>
        <v>399.61069417190492</v>
      </c>
      <c r="BP489" s="4">
        <f t="shared" si="528"/>
        <v>3399.7985856915611</v>
      </c>
      <c r="BQ489" s="4">
        <f t="shared" si="529"/>
        <v>0</v>
      </c>
      <c r="BR489" s="4">
        <f t="shared" si="530"/>
        <v>0</v>
      </c>
      <c r="BZ489" s="4">
        <f t="shared" si="531"/>
        <v>596.9</v>
      </c>
      <c r="CD489" s="9"/>
      <c r="CF489" s="9"/>
      <c r="CG489" s="9"/>
      <c r="CH489" s="9">
        <f t="shared" si="532"/>
        <v>596.9</v>
      </c>
      <c r="CI489" s="9">
        <f t="shared" si="533"/>
        <v>596.9</v>
      </c>
      <c r="CJ489" s="9">
        <f t="shared" si="534"/>
        <v>4.8476798574163293</v>
      </c>
      <c r="CK489" s="70">
        <f t="shared" si="535"/>
        <v>0</v>
      </c>
      <c r="CL489" s="9">
        <f t="shared" si="536"/>
        <v>0</v>
      </c>
      <c r="CM489" s="9">
        <f t="shared" si="537"/>
        <v>0</v>
      </c>
      <c r="CN489" s="9">
        <f t="shared" si="538"/>
        <v>0.99524931562137331</v>
      </c>
      <c r="CO489" s="9">
        <f t="shared" si="539"/>
        <v>0.68</v>
      </c>
      <c r="CP489" s="9">
        <f t="shared" si="540"/>
        <v>1.2748218213295317</v>
      </c>
      <c r="CQ489" s="9">
        <f t="shared" si="541"/>
        <v>3.1870545533238293</v>
      </c>
      <c r="CR489" s="40">
        <v>1</v>
      </c>
      <c r="CS489" s="9">
        <f t="shared" si="542"/>
        <v>274.08669158584928</v>
      </c>
      <c r="DQ489" s="4">
        <f t="shared" si="543"/>
        <v>165.1</v>
      </c>
      <c r="DT489" s="4">
        <f t="shared" si="544"/>
        <v>1.1521263534281654E-5</v>
      </c>
      <c r="DU489" s="4">
        <f t="shared" si="545"/>
        <v>8.2572047805129003</v>
      </c>
      <c r="DV489" s="4">
        <f t="shared" si="546"/>
        <v>0.40422686235076083</v>
      </c>
      <c r="DW489" s="4">
        <f t="shared" si="547"/>
        <v>5.7475548374367609</v>
      </c>
      <c r="DX489" s="4">
        <f t="shared" si="548"/>
        <v>7.114271652605928</v>
      </c>
      <c r="DY489" s="4">
        <f t="shared" si="549"/>
        <v>8.0759712771072891</v>
      </c>
      <c r="DZ489" s="38">
        <f t="shared" si="550"/>
        <v>457.90319967815924</v>
      </c>
      <c r="EA489" s="4">
        <f t="shared" si="551"/>
        <v>1</v>
      </c>
      <c r="EB489" s="4">
        <f t="shared" si="552"/>
        <v>2.7386127875258306</v>
      </c>
      <c r="EC489" s="4">
        <f t="shared" si="553"/>
        <v>281.65272173894175</v>
      </c>
      <c r="EG489" s="4">
        <f t="shared" si="554"/>
        <v>0.85</v>
      </c>
      <c r="EH489" s="4">
        <f t="shared" si="555"/>
        <v>0.7</v>
      </c>
      <c r="EI489" s="4">
        <f t="shared" si="556"/>
        <v>1</v>
      </c>
      <c r="EJ489" s="4">
        <f t="shared" si="557"/>
        <v>0.7</v>
      </c>
      <c r="EL489" s="4">
        <f t="shared" si="558"/>
        <v>889.65517241379314</v>
      </c>
      <c r="EP489" s="4">
        <f t="shared" si="559"/>
        <v>8.2572047805129003</v>
      </c>
      <c r="ES489" s="4">
        <f t="shared" si="560"/>
        <v>69.56076480315609</v>
      </c>
      <c r="ET489" s="4">
        <f t="shared" si="561"/>
        <v>2.7386127875258306</v>
      </c>
      <c r="EU489" s="4">
        <f t="shared" si="562"/>
        <v>0.11915888809365521</v>
      </c>
      <c r="EX489" s="4">
        <f t="shared" si="563"/>
        <v>0.11915888809365521</v>
      </c>
      <c r="EY489" s="4">
        <f t="shared" si="564"/>
        <v>0.40422686235076083</v>
      </c>
      <c r="EZ489" s="4">
        <f t="shared" si="565"/>
        <v>5.7475548374367609</v>
      </c>
      <c r="FA489" s="4">
        <f t="shared" si="566"/>
        <v>7.114271652605928</v>
      </c>
      <c r="FB489" s="4">
        <f t="shared" si="567"/>
        <v>54.264235196843899</v>
      </c>
      <c r="FC489" s="4">
        <f t="shared" si="568"/>
        <v>41.275000000000006</v>
      </c>
      <c r="FD489" s="4">
        <f t="shared" si="569"/>
        <v>1.1521263534281654E-5</v>
      </c>
      <c r="FE489" s="4">
        <f t="shared" si="570"/>
        <v>8.0759712771072891</v>
      </c>
      <c r="FF489" s="4">
        <f t="shared" si="571"/>
        <v>457.90319967815924</v>
      </c>
      <c r="FO489" s="23"/>
      <c r="FP489" s="23"/>
      <c r="FQ489" s="23"/>
      <c r="FR489" s="23"/>
      <c r="FS489" s="23"/>
      <c r="FT489" s="23"/>
      <c r="FU489" s="23"/>
      <c r="FV489" s="23"/>
      <c r="GF489" s="4">
        <f t="shared" si="572"/>
        <v>1</v>
      </c>
      <c r="GG489" s="4">
        <f t="shared" si="573"/>
        <v>1.0833333333333333</v>
      </c>
      <c r="GH489" s="4">
        <f t="shared" si="574"/>
        <v>0</v>
      </c>
      <c r="GI489" s="4">
        <f t="shared" si="575"/>
        <v>138.79835820431603</v>
      </c>
    </row>
    <row r="490" spans="2:191" ht="12" customHeight="1" x14ac:dyDescent="0.3">
      <c r="B490" s="14" t="s">
        <v>605</v>
      </c>
      <c r="C490" s="24"/>
      <c r="D490" s="14" t="s">
        <v>365</v>
      </c>
      <c r="E490" s="24"/>
      <c r="F490" s="24"/>
      <c r="G490" s="109"/>
      <c r="H490" s="43" t="s">
        <v>637</v>
      </c>
      <c r="I490" s="43"/>
      <c r="J490" s="38">
        <f t="shared" si="505"/>
        <v>889.65517241379314</v>
      </c>
      <c r="K490" s="45">
        <v>167.64</v>
      </c>
      <c r="L490" s="4">
        <f t="shared" si="506"/>
        <v>167.64</v>
      </c>
      <c r="M490" s="45">
        <v>28.96551724137931</v>
      </c>
      <c r="N490" s="7">
        <v>25.4</v>
      </c>
      <c r="O490" s="7">
        <f t="shared" si="507"/>
        <v>6.6</v>
      </c>
      <c r="P490" s="7">
        <f t="shared" si="508"/>
        <v>6.6</v>
      </c>
      <c r="Q490" s="45">
        <v>1219.1999999999998</v>
      </c>
      <c r="R490" s="45"/>
      <c r="S490" s="45">
        <v>596.9</v>
      </c>
      <c r="T490" s="45"/>
      <c r="U490" s="45">
        <v>596.9</v>
      </c>
      <c r="V490" s="45"/>
      <c r="W490" s="7"/>
      <c r="X490" s="38">
        <v>1</v>
      </c>
      <c r="Y490" s="38"/>
      <c r="Z490" s="38"/>
      <c r="AB490" s="7">
        <f t="shared" si="509"/>
        <v>24</v>
      </c>
      <c r="AC490" s="7">
        <f t="shared" si="510"/>
        <v>24</v>
      </c>
      <c r="AD490" s="45">
        <v>12.9</v>
      </c>
      <c r="AE490" s="4">
        <f t="shared" si="511"/>
        <v>12.9</v>
      </c>
      <c r="AF490" s="4">
        <f t="shared" si="512"/>
        <v>13.9</v>
      </c>
      <c r="AG490" s="7">
        <f t="shared" si="513"/>
        <v>94.698067562120812</v>
      </c>
      <c r="AJ490" s="45">
        <v>457.24137931034483</v>
      </c>
      <c r="AM490" s="38"/>
      <c r="AN490" s="38"/>
      <c r="AO490" s="39">
        <v>1</v>
      </c>
      <c r="AP490" s="39"/>
      <c r="AQ490" s="39"/>
      <c r="AS490" s="4">
        <f t="shared" si="514"/>
        <v>167.64</v>
      </c>
      <c r="AT490" s="4">
        <f t="shared" si="515"/>
        <v>1</v>
      </c>
      <c r="AU490" s="4">
        <f t="shared" si="516"/>
        <v>230.54186797023712</v>
      </c>
      <c r="AV490" s="4">
        <f t="shared" si="517"/>
        <v>1</v>
      </c>
      <c r="AW490" s="4">
        <v>1.25</v>
      </c>
      <c r="AX490" s="4">
        <v>1</v>
      </c>
      <c r="AY490" s="38">
        <f t="shared" si="518"/>
        <v>288.17733496279641</v>
      </c>
      <c r="AZ490" s="38">
        <f t="shared" si="576"/>
        <v>288.17733496279641</v>
      </c>
      <c r="BA490" s="38">
        <f t="shared" si="519"/>
        <v>2.8294940183703567</v>
      </c>
      <c r="BF490" s="4">
        <f t="shared" si="520"/>
        <v>186.95237154241164</v>
      </c>
      <c r="BG490" s="4">
        <f t="shared" si="521"/>
        <v>1</v>
      </c>
      <c r="BH490" s="38">
        <f t="shared" si="522"/>
        <v>4993.6417313204183</v>
      </c>
      <c r="BI490" s="4">
        <f t="shared" si="523"/>
        <v>0.3</v>
      </c>
      <c r="BJ490" s="4">
        <f t="shared" si="524"/>
        <v>29.304784239273019</v>
      </c>
      <c r="BK490" s="4">
        <f t="shared" si="525"/>
        <v>5022.9465155596918</v>
      </c>
      <c r="BM490" s="4">
        <f t="shared" si="526"/>
        <v>1.5</v>
      </c>
      <c r="BN490" s="4">
        <f t="shared" si="527"/>
        <v>402.03257716688609</v>
      </c>
      <c r="BP490" s="4">
        <f t="shared" si="528"/>
        <v>4789.5131029266167</v>
      </c>
      <c r="BQ490" s="4">
        <f t="shared" si="529"/>
        <v>0</v>
      </c>
      <c r="BR490" s="4">
        <f t="shared" si="530"/>
        <v>0</v>
      </c>
      <c r="BZ490" s="4">
        <f t="shared" si="531"/>
        <v>596.9</v>
      </c>
      <c r="CD490" s="9"/>
      <c r="CF490" s="9"/>
      <c r="CG490" s="9"/>
      <c r="CH490" s="9">
        <f t="shared" si="532"/>
        <v>596.9</v>
      </c>
      <c r="CI490" s="9">
        <f t="shared" si="533"/>
        <v>596.9</v>
      </c>
      <c r="CJ490" s="9">
        <f t="shared" si="534"/>
        <v>4.8476798574163293</v>
      </c>
      <c r="CK490" s="70">
        <f t="shared" si="535"/>
        <v>0</v>
      </c>
      <c r="CL490" s="9">
        <f t="shared" si="536"/>
        <v>0</v>
      </c>
      <c r="CM490" s="9">
        <f t="shared" si="537"/>
        <v>0</v>
      </c>
      <c r="CN490" s="9">
        <f t="shared" si="538"/>
        <v>0.99524931562137331</v>
      </c>
      <c r="CO490" s="9">
        <f t="shared" si="539"/>
        <v>0.68</v>
      </c>
      <c r="CP490" s="9">
        <f t="shared" si="540"/>
        <v>1.2748218213295317</v>
      </c>
      <c r="CQ490" s="9">
        <f t="shared" si="541"/>
        <v>3.1870545533238293</v>
      </c>
      <c r="CR490" s="40">
        <v>1</v>
      </c>
      <c r="CS490" s="9">
        <f t="shared" si="542"/>
        <v>275.36151340717885</v>
      </c>
      <c r="DQ490" s="4">
        <f t="shared" si="543"/>
        <v>167.64</v>
      </c>
      <c r="DT490" s="4">
        <f t="shared" si="544"/>
        <v>1.1698513742501371E-5</v>
      </c>
      <c r="DU490" s="4">
        <f t="shared" si="545"/>
        <v>8.2572047805129003</v>
      </c>
      <c r="DV490" s="4">
        <f t="shared" si="546"/>
        <v>0.2837079160613234</v>
      </c>
      <c r="DW490" s="4">
        <f t="shared" si="547"/>
        <v>4.9886339367525627</v>
      </c>
      <c r="DX490" s="4">
        <f t="shared" si="548"/>
        <v>6.8227253695393193</v>
      </c>
      <c r="DY490" s="4">
        <f t="shared" si="549"/>
        <v>8.0922731041582345</v>
      </c>
      <c r="DZ490" s="38">
        <f t="shared" si="550"/>
        <v>449.32434474079685</v>
      </c>
      <c r="EA490" s="4">
        <f t="shared" si="551"/>
        <v>1</v>
      </c>
      <c r="EB490" s="4">
        <f t="shared" si="552"/>
        <v>3.7282703764614493</v>
      </c>
      <c r="EC490" s="4">
        <f t="shared" si="553"/>
        <v>288.17733496279641</v>
      </c>
      <c r="EG490" s="4">
        <f t="shared" si="554"/>
        <v>0.85</v>
      </c>
      <c r="EH490" s="4">
        <f t="shared" si="555"/>
        <v>0.7</v>
      </c>
      <c r="EI490" s="4">
        <f t="shared" si="556"/>
        <v>1</v>
      </c>
      <c r="EJ490" s="4">
        <f t="shared" si="557"/>
        <v>0.7</v>
      </c>
      <c r="EL490" s="4">
        <f t="shared" si="558"/>
        <v>889.65517241379314</v>
      </c>
      <c r="EP490" s="4">
        <f t="shared" si="559"/>
        <v>8.2572047805129003</v>
      </c>
      <c r="ES490" s="4">
        <f t="shared" si="560"/>
        <v>94.698067562120812</v>
      </c>
      <c r="ET490" s="4">
        <f t="shared" si="561"/>
        <v>3.7282703764614498</v>
      </c>
      <c r="EU490" s="4">
        <f t="shared" si="562"/>
        <v>8.3632046679521552E-2</v>
      </c>
      <c r="EX490" s="4">
        <f t="shared" si="563"/>
        <v>8.3632046679521552E-2</v>
      </c>
      <c r="EY490" s="4">
        <f t="shared" si="564"/>
        <v>0.2837079160613234</v>
      </c>
      <c r="EZ490" s="4">
        <f t="shared" si="565"/>
        <v>4.9886339367525627</v>
      </c>
      <c r="FA490" s="4">
        <f t="shared" si="566"/>
        <v>6.8227253695393193</v>
      </c>
      <c r="FB490" s="4">
        <f t="shared" si="567"/>
        <v>31.031932437879178</v>
      </c>
      <c r="FC490" s="4">
        <f t="shared" si="568"/>
        <v>41.91</v>
      </c>
      <c r="FD490" s="4">
        <f t="shared" si="569"/>
        <v>1.1698513742501371E-5</v>
      </c>
      <c r="FE490" s="4">
        <f t="shared" si="570"/>
        <v>8.0922731041582345</v>
      </c>
      <c r="FF490" s="4">
        <f t="shared" si="571"/>
        <v>449.32434474079685</v>
      </c>
      <c r="FO490" s="23"/>
      <c r="FP490" s="23"/>
      <c r="FQ490" s="23"/>
      <c r="FR490" s="23"/>
      <c r="FS490" s="23"/>
      <c r="FT490" s="23"/>
      <c r="FU490" s="23"/>
      <c r="FV490" s="23"/>
      <c r="GF490" s="4">
        <f t="shared" si="572"/>
        <v>1</v>
      </c>
      <c r="GG490" s="4">
        <f t="shared" si="573"/>
        <v>1.0833333333333333</v>
      </c>
      <c r="GH490" s="4">
        <f t="shared" si="574"/>
        <v>0</v>
      </c>
      <c r="GI490" s="4">
        <f t="shared" si="575"/>
        <v>140.93371756130549</v>
      </c>
    </row>
    <row r="491" spans="2:191" ht="12" customHeight="1" x14ac:dyDescent="0.3">
      <c r="B491" s="14" t="s">
        <v>605</v>
      </c>
      <c r="C491" s="24"/>
      <c r="D491" s="14" t="s">
        <v>365</v>
      </c>
      <c r="E491" s="24"/>
      <c r="F491" s="24"/>
      <c r="G491" s="109"/>
      <c r="H491" s="43" t="s">
        <v>638</v>
      </c>
      <c r="I491" s="43"/>
      <c r="J491" s="38">
        <f t="shared" si="505"/>
        <v>889.65517241379314</v>
      </c>
      <c r="K491" s="45">
        <v>165.1</v>
      </c>
      <c r="L491" s="4">
        <f t="shared" si="506"/>
        <v>165.1</v>
      </c>
      <c r="M491" s="45">
        <v>28.96551724137931</v>
      </c>
      <c r="N491" s="7">
        <v>25.4</v>
      </c>
      <c r="O491" s="7">
        <f t="shared" si="507"/>
        <v>6.5</v>
      </c>
      <c r="P491" s="7">
        <f t="shared" si="508"/>
        <v>6.5</v>
      </c>
      <c r="Q491" s="45">
        <v>1219.1999999999998</v>
      </c>
      <c r="R491" s="45"/>
      <c r="S491" s="45">
        <v>596.9</v>
      </c>
      <c r="T491" s="45"/>
      <c r="U491" s="45">
        <v>596.9</v>
      </c>
      <c r="V491" s="45"/>
      <c r="W491" s="7"/>
      <c r="X491" s="38">
        <v>1</v>
      </c>
      <c r="Y491" s="38"/>
      <c r="Z491" s="38"/>
      <c r="AB491" s="7">
        <f t="shared" si="509"/>
        <v>24</v>
      </c>
      <c r="AC491" s="7">
        <f t="shared" si="510"/>
        <v>24</v>
      </c>
      <c r="AD491" s="45">
        <v>4.5</v>
      </c>
      <c r="AE491" s="4">
        <f t="shared" si="511"/>
        <v>4.5</v>
      </c>
      <c r="AF491" s="4">
        <f t="shared" si="512"/>
        <v>5.5</v>
      </c>
      <c r="AG491" s="7">
        <f t="shared" si="513"/>
        <v>59.568280149757555</v>
      </c>
      <c r="AJ491" s="45">
        <v>437.24137931034483</v>
      </c>
      <c r="AM491" s="38"/>
      <c r="AN491" s="38"/>
      <c r="AO491" s="39">
        <v>1</v>
      </c>
      <c r="AP491" s="39"/>
      <c r="AQ491" s="39"/>
      <c r="AS491" s="4">
        <f t="shared" si="514"/>
        <v>165.1</v>
      </c>
      <c r="AT491" s="4">
        <f t="shared" si="515"/>
        <v>0.99999999999999989</v>
      </c>
      <c r="AU491" s="4">
        <f t="shared" si="516"/>
        <v>225.32217739115345</v>
      </c>
      <c r="AV491" s="4">
        <f t="shared" si="517"/>
        <v>1</v>
      </c>
      <c r="AW491" s="4">
        <v>1.25</v>
      </c>
      <c r="AX491" s="4">
        <v>1</v>
      </c>
      <c r="AY491" s="38">
        <f t="shared" si="518"/>
        <v>281.65272173894175</v>
      </c>
      <c r="AZ491" s="38">
        <f t="shared" si="576"/>
        <v>281.65272173894175</v>
      </c>
      <c r="BA491" s="38">
        <f t="shared" si="519"/>
        <v>2.8294940183703567</v>
      </c>
      <c r="BF491" s="4">
        <f t="shared" si="520"/>
        <v>184.11975985237513</v>
      </c>
      <c r="BG491" s="4">
        <f t="shared" si="521"/>
        <v>1</v>
      </c>
      <c r="BH491" s="38">
        <f t="shared" si="522"/>
        <v>2949.3667673215441</v>
      </c>
      <c r="BI491" s="4">
        <f t="shared" si="523"/>
        <v>0.37</v>
      </c>
      <c r="BJ491" s="4">
        <f t="shared" si="524"/>
        <v>35.594952573460411</v>
      </c>
      <c r="BK491" s="4">
        <f t="shared" si="525"/>
        <v>2984.9617198950045</v>
      </c>
      <c r="BM491" s="4">
        <f t="shared" si="526"/>
        <v>1.5</v>
      </c>
      <c r="BN491" s="4">
        <f t="shared" si="527"/>
        <v>399.61069417190492</v>
      </c>
      <c r="BP491" s="4">
        <f t="shared" si="528"/>
        <v>2828.8034139140482</v>
      </c>
      <c r="BQ491" s="4">
        <f t="shared" si="529"/>
        <v>0</v>
      </c>
      <c r="BR491" s="4">
        <f t="shared" si="530"/>
        <v>0</v>
      </c>
      <c r="BZ491" s="4">
        <f t="shared" si="531"/>
        <v>596.9</v>
      </c>
      <c r="CD491" s="9"/>
      <c r="CF491" s="9"/>
      <c r="CG491" s="9"/>
      <c r="CH491" s="9">
        <f t="shared" si="532"/>
        <v>596.9</v>
      </c>
      <c r="CI491" s="9">
        <f t="shared" si="533"/>
        <v>596.9</v>
      </c>
      <c r="CJ491" s="9">
        <f t="shared" si="534"/>
        <v>4.8476798574163293</v>
      </c>
      <c r="CK491" s="70">
        <f t="shared" si="535"/>
        <v>0</v>
      </c>
      <c r="CL491" s="9">
        <f t="shared" si="536"/>
        <v>0</v>
      </c>
      <c r="CM491" s="9">
        <f t="shared" si="537"/>
        <v>0</v>
      </c>
      <c r="CN491" s="9">
        <f t="shared" si="538"/>
        <v>0.99524931562137331</v>
      </c>
      <c r="CO491" s="9">
        <f t="shared" si="539"/>
        <v>0.68</v>
      </c>
      <c r="CP491" s="9">
        <f t="shared" si="540"/>
        <v>1.2748218213295317</v>
      </c>
      <c r="CQ491" s="9">
        <f t="shared" si="541"/>
        <v>3.1870545533238293</v>
      </c>
      <c r="CR491" s="40">
        <v>1</v>
      </c>
      <c r="CS491" s="9">
        <f t="shared" si="542"/>
        <v>274.08669158584928</v>
      </c>
      <c r="DQ491" s="4">
        <f t="shared" si="543"/>
        <v>165.1</v>
      </c>
      <c r="DT491" s="4">
        <f t="shared" si="544"/>
        <v>1.1521263534281654E-5</v>
      </c>
      <c r="DU491" s="4">
        <f t="shared" si="545"/>
        <v>8.2572047805129003</v>
      </c>
      <c r="DV491" s="4">
        <f t="shared" si="546"/>
        <v>0.50000773924973707</v>
      </c>
      <c r="DW491" s="4">
        <f t="shared" si="547"/>
        <v>6.257829783752344</v>
      </c>
      <c r="DX491" s="4">
        <f t="shared" si="548"/>
        <v>7.3261726234865572</v>
      </c>
      <c r="DY491" s="4">
        <f t="shared" si="549"/>
        <v>8.0650416635962614</v>
      </c>
      <c r="DZ491" s="38">
        <f t="shared" si="550"/>
        <v>466.91391452553756</v>
      </c>
      <c r="EA491" s="4">
        <f t="shared" si="551"/>
        <v>1</v>
      </c>
      <c r="EB491" s="4">
        <f t="shared" si="552"/>
        <v>2.3452078799117149</v>
      </c>
      <c r="EC491" s="4">
        <f t="shared" si="553"/>
        <v>281.65272173894175</v>
      </c>
      <c r="EG491" s="4">
        <f t="shared" si="554"/>
        <v>0.85</v>
      </c>
      <c r="EH491" s="4">
        <f t="shared" si="555"/>
        <v>0.7</v>
      </c>
      <c r="EI491" s="4">
        <f t="shared" si="556"/>
        <v>1</v>
      </c>
      <c r="EJ491" s="4">
        <f t="shared" si="557"/>
        <v>0.7</v>
      </c>
      <c r="EL491" s="4">
        <f t="shared" si="558"/>
        <v>889.65517241379314</v>
      </c>
      <c r="EP491" s="4">
        <f t="shared" si="559"/>
        <v>8.2572047805129003</v>
      </c>
      <c r="ES491" s="4">
        <f t="shared" si="560"/>
        <v>59.568280149757555</v>
      </c>
      <c r="ET491" s="4">
        <f t="shared" si="561"/>
        <v>2.3452078799117149</v>
      </c>
      <c r="EU491" s="4">
        <f t="shared" si="562"/>
        <v>0.14739338672530161</v>
      </c>
      <c r="EX491" s="4">
        <f t="shared" si="563"/>
        <v>0.14739338672530161</v>
      </c>
      <c r="EY491" s="4">
        <f t="shared" si="564"/>
        <v>0.50000773924973707</v>
      </c>
      <c r="EZ491" s="4">
        <f t="shared" si="565"/>
        <v>6.257829783752344</v>
      </c>
      <c r="FA491" s="4">
        <f t="shared" si="566"/>
        <v>7.3261726234865572</v>
      </c>
      <c r="FB491" s="4">
        <f t="shared" si="567"/>
        <v>64.256719850242433</v>
      </c>
      <c r="FC491" s="4">
        <f t="shared" si="568"/>
        <v>41.275000000000006</v>
      </c>
      <c r="FD491" s="4">
        <f t="shared" si="569"/>
        <v>1.1521263534281654E-5</v>
      </c>
      <c r="FE491" s="4">
        <f t="shared" si="570"/>
        <v>8.0650416635962596</v>
      </c>
      <c r="FF491" s="4">
        <f t="shared" si="571"/>
        <v>466.91391452553756</v>
      </c>
      <c r="FO491" s="23"/>
      <c r="FP491" s="23"/>
      <c r="FQ491" s="23"/>
      <c r="FR491" s="23"/>
      <c r="FS491" s="23"/>
      <c r="FT491" s="23"/>
      <c r="FU491" s="23"/>
      <c r="FV491" s="23"/>
      <c r="GF491" s="4">
        <f t="shared" si="572"/>
        <v>1</v>
      </c>
      <c r="GG491" s="4">
        <f t="shared" si="573"/>
        <v>1.0833333333333333</v>
      </c>
      <c r="GH491" s="4">
        <f t="shared" si="574"/>
        <v>0</v>
      </c>
      <c r="GI491" s="4">
        <f t="shared" si="575"/>
        <v>138.79835820431603</v>
      </c>
    </row>
    <row r="492" spans="2:191" ht="12" customHeight="1" x14ac:dyDescent="0.3">
      <c r="B492" s="14" t="s">
        <v>605</v>
      </c>
      <c r="C492" s="24"/>
      <c r="D492" s="14" t="s">
        <v>365</v>
      </c>
      <c r="E492" s="24"/>
      <c r="F492" s="24"/>
      <c r="G492" s="109"/>
      <c r="H492" s="43" t="s">
        <v>639</v>
      </c>
      <c r="I492" s="43"/>
      <c r="J492" s="38">
        <f t="shared" si="505"/>
        <v>889.65517241379314</v>
      </c>
      <c r="K492" s="45">
        <v>165.1</v>
      </c>
      <c r="L492" s="4">
        <f t="shared" si="506"/>
        <v>165.1</v>
      </c>
      <c r="M492" s="45">
        <v>28.96551724137931</v>
      </c>
      <c r="N492" s="7">
        <v>25.4</v>
      </c>
      <c r="O492" s="7">
        <f t="shared" si="507"/>
        <v>6.5</v>
      </c>
      <c r="P492" s="7">
        <f t="shared" si="508"/>
        <v>6.5</v>
      </c>
      <c r="Q492" s="45">
        <v>1219.1999999999998</v>
      </c>
      <c r="R492" s="45"/>
      <c r="S492" s="45">
        <v>596.9</v>
      </c>
      <c r="T492" s="45"/>
      <c r="U492" s="45">
        <v>596.9</v>
      </c>
      <c r="V492" s="45"/>
      <c r="W492" s="7"/>
      <c r="X492" s="38">
        <v>1</v>
      </c>
      <c r="Y492" s="38"/>
      <c r="Z492" s="38"/>
      <c r="AB492" s="7">
        <f t="shared" si="509"/>
        <v>24</v>
      </c>
      <c r="AC492" s="7">
        <f t="shared" si="510"/>
        <v>24</v>
      </c>
      <c r="AD492" s="45">
        <v>9.5</v>
      </c>
      <c r="AE492" s="4">
        <f t="shared" si="511"/>
        <v>9.5</v>
      </c>
      <c r="AF492" s="4">
        <f t="shared" si="512"/>
        <v>10.5</v>
      </c>
      <c r="AG492" s="7">
        <f t="shared" si="513"/>
        <v>82.305406869779816</v>
      </c>
      <c r="AJ492" s="45">
        <v>426.89655172413796</v>
      </c>
      <c r="AM492" s="38"/>
      <c r="AN492" s="38"/>
      <c r="AO492" s="39">
        <v>1</v>
      </c>
      <c r="AP492" s="39"/>
      <c r="AQ492" s="39"/>
      <c r="AS492" s="4">
        <f t="shared" si="514"/>
        <v>165.1</v>
      </c>
      <c r="AT492" s="4">
        <f t="shared" si="515"/>
        <v>0.99999999999999989</v>
      </c>
      <c r="AU492" s="4">
        <f t="shared" si="516"/>
        <v>225.32217739115345</v>
      </c>
      <c r="AV492" s="4">
        <f t="shared" si="517"/>
        <v>1</v>
      </c>
      <c r="AW492" s="4">
        <v>1.25</v>
      </c>
      <c r="AX492" s="4">
        <v>1</v>
      </c>
      <c r="AY492" s="38">
        <f t="shared" si="518"/>
        <v>281.65272173894175</v>
      </c>
      <c r="AZ492" s="38">
        <f t="shared" si="576"/>
        <v>281.65272173894175</v>
      </c>
      <c r="BA492" s="38">
        <f t="shared" si="519"/>
        <v>2.8294940183703567</v>
      </c>
      <c r="BF492" s="4">
        <f t="shared" si="520"/>
        <v>184.11975985237513</v>
      </c>
      <c r="BG492" s="4">
        <f t="shared" si="521"/>
        <v>1</v>
      </c>
      <c r="BH492" s="38">
        <f t="shared" si="522"/>
        <v>4285.3305620639503</v>
      </c>
      <c r="BI492" s="4">
        <f t="shared" si="523"/>
        <v>0.3</v>
      </c>
      <c r="BJ492" s="4">
        <f t="shared" si="524"/>
        <v>28.860772356859794</v>
      </c>
      <c r="BK492" s="4">
        <f t="shared" si="525"/>
        <v>4314.1913344208097</v>
      </c>
      <c r="BM492" s="4">
        <f t="shared" si="526"/>
        <v>1.5</v>
      </c>
      <c r="BN492" s="4">
        <f t="shared" si="527"/>
        <v>399.61069417190492</v>
      </c>
      <c r="BP492" s="4">
        <f t="shared" si="528"/>
        <v>4110.1560707980652</v>
      </c>
      <c r="BQ492" s="4">
        <f t="shared" si="529"/>
        <v>0</v>
      </c>
      <c r="BR492" s="4">
        <f t="shared" si="530"/>
        <v>0</v>
      </c>
      <c r="BZ492" s="4">
        <f t="shared" si="531"/>
        <v>596.9</v>
      </c>
      <c r="CD492" s="9"/>
      <c r="CF492" s="9"/>
      <c r="CG492" s="9"/>
      <c r="CH492" s="9">
        <f t="shared" si="532"/>
        <v>596.9</v>
      </c>
      <c r="CI492" s="9">
        <f t="shared" si="533"/>
        <v>596.9</v>
      </c>
      <c r="CJ492" s="9">
        <f t="shared" si="534"/>
        <v>4.8476798574163293</v>
      </c>
      <c r="CK492" s="70">
        <f t="shared" si="535"/>
        <v>0</v>
      </c>
      <c r="CL492" s="9">
        <f t="shared" si="536"/>
        <v>0</v>
      </c>
      <c r="CM492" s="9">
        <f t="shared" si="537"/>
        <v>0</v>
      </c>
      <c r="CN492" s="9">
        <f t="shared" si="538"/>
        <v>0.99524931562137331</v>
      </c>
      <c r="CO492" s="9">
        <f t="shared" si="539"/>
        <v>0.68</v>
      </c>
      <c r="CP492" s="9">
        <f t="shared" si="540"/>
        <v>1.2748218213295317</v>
      </c>
      <c r="CQ492" s="9">
        <f t="shared" si="541"/>
        <v>3.1870545533238293</v>
      </c>
      <c r="CR492" s="40">
        <v>1</v>
      </c>
      <c r="CS492" s="9">
        <f t="shared" si="542"/>
        <v>274.08669158584928</v>
      </c>
      <c r="DQ492" s="4">
        <f t="shared" si="543"/>
        <v>165.1</v>
      </c>
      <c r="DT492" s="4">
        <f t="shared" si="544"/>
        <v>1.1521263534281654E-5</v>
      </c>
      <c r="DU492" s="4">
        <f t="shared" si="545"/>
        <v>8.2572047805129003</v>
      </c>
      <c r="DV492" s="4">
        <f t="shared" si="546"/>
        <v>0.32724946090324902</v>
      </c>
      <c r="DW492" s="4">
        <f t="shared" si="547"/>
        <v>5.2818325815863334</v>
      </c>
      <c r="DX492" s="4">
        <f t="shared" si="548"/>
        <v>6.9318072770896242</v>
      </c>
      <c r="DY492" s="4">
        <f t="shared" si="549"/>
        <v>8.0879729188138541</v>
      </c>
      <c r="DZ492" s="38">
        <f t="shared" si="550"/>
        <v>448.00867129349689</v>
      </c>
      <c r="EA492" s="4">
        <f t="shared" si="551"/>
        <v>1</v>
      </c>
      <c r="EB492" s="4">
        <f t="shared" si="552"/>
        <v>3.2403703492039297</v>
      </c>
      <c r="EC492" s="4">
        <f t="shared" si="553"/>
        <v>281.65272173894175</v>
      </c>
      <c r="EG492" s="4">
        <f t="shared" si="554"/>
        <v>0.85</v>
      </c>
      <c r="EH492" s="4">
        <f t="shared" si="555"/>
        <v>0.7</v>
      </c>
      <c r="EI492" s="4">
        <f t="shared" si="556"/>
        <v>1</v>
      </c>
      <c r="EJ492" s="4">
        <f t="shared" si="557"/>
        <v>0.7</v>
      </c>
      <c r="EL492" s="4">
        <f t="shared" si="558"/>
        <v>889.65517241379314</v>
      </c>
      <c r="EP492" s="4">
        <f t="shared" si="559"/>
        <v>8.2572047805129003</v>
      </c>
      <c r="ES492" s="4">
        <f t="shared" si="560"/>
        <v>82.305406869779816</v>
      </c>
      <c r="ET492" s="4">
        <f t="shared" si="561"/>
        <v>3.2403703492039302</v>
      </c>
      <c r="EU492" s="4">
        <f t="shared" si="562"/>
        <v>9.6467319523763598E-2</v>
      </c>
      <c r="EX492" s="4">
        <f t="shared" si="563"/>
        <v>9.6467319523763598E-2</v>
      </c>
      <c r="EY492" s="4">
        <f t="shared" si="564"/>
        <v>0.32724946090324902</v>
      </c>
      <c r="EZ492" s="4">
        <f t="shared" si="565"/>
        <v>5.2818325815863334</v>
      </c>
      <c r="FA492" s="4">
        <f t="shared" si="566"/>
        <v>6.9318072770896242</v>
      </c>
      <c r="FB492" s="4">
        <f t="shared" si="567"/>
        <v>41.519593130220173</v>
      </c>
      <c r="FC492" s="4">
        <f t="shared" si="568"/>
        <v>41.275000000000006</v>
      </c>
      <c r="FD492" s="4">
        <f t="shared" si="569"/>
        <v>1.1521263534281654E-5</v>
      </c>
      <c r="FE492" s="4">
        <f t="shared" si="570"/>
        <v>8.0879729188138541</v>
      </c>
      <c r="FF492" s="4">
        <f t="shared" si="571"/>
        <v>448.00867129349689</v>
      </c>
      <c r="FO492" s="23"/>
      <c r="FP492" s="23"/>
      <c r="FQ492" s="23"/>
      <c r="FR492" s="23"/>
      <c r="FS492" s="23"/>
      <c r="FT492" s="23"/>
      <c r="FU492" s="23"/>
      <c r="FV492" s="23"/>
      <c r="GF492" s="4">
        <f t="shared" si="572"/>
        <v>1</v>
      </c>
      <c r="GG492" s="4">
        <f t="shared" si="573"/>
        <v>1.0833333333333333</v>
      </c>
      <c r="GH492" s="4">
        <f t="shared" si="574"/>
        <v>0</v>
      </c>
      <c r="GI492" s="4">
        <f t="shared" si="575"/>
        <v>138.79835820431603</v>
      </c>
    </row>
    <row r="493" spans="2:191" ht="12" customHeight="1" x14ac:dyDescent="0.3">
      <c r="B493" s="14" t="s">
        <v>605</v>
      </c>
      <c r="C493" s="24"/>
      <c r="D493" s="14" t="s">
        <v>365</v>
      </c>
      <c r="E493" s="24"/>
      <c r="F493" s="24"/>
      <c r="G493" s="109"/>
      <c r="H493" s="43" t="s">
        <v>639</v>
      </c>
      <c r="I493" s="43"/>
      <c r="J493" s="38">
        <f t="shared" si="505"/>
        <v>889.65517241379314</v>
      </c>
      <c r="K493" s="45">
        <v>162.56</v>
      </c>
      <c r="L493" s="4">
        <f t="shared" si="506"/>
        <v>162.56</v>
      </c>
      <c r="M493" s="45">
        <v>28.96551724137931</v>
      </c>
      <c r="N493" s="7">
        <v>25.4</v>
      </c>
      <c r="O493" s="7">
        <f t="shared" si="507"/>
        <v>6.4</v>
      </c>
      <c r="P493" s="7">
        <f t="shared" si="508"/>
        <v>6.4</v>
      </c>
      <c r="Q493" s="45">
        <v>1219.1999999999998</v>
      </c>
      <c r="R493" s="45"/>
      <c r="S493" s="45">
        <v>596.9</v>
      </c>
      <c r="T493" s="45"/>
      <c r="U493" s="45">
        <v>596.9</v>
      </c>
      <c r="V493" s="45"/>
      <c r="W493" s="7"/>
      <c r="X493" s="38">
        <v>1</v>
      </c>
      <c r="Y493" s="38"/>
      <c r="Z493" s="38"/>
      <c r="AB493" s="7">
        <f t="shared" si="509"/>
        <v>24</v>
      </c>
      <c r="AC493" s="7">
        <f t="shared" si="510"/>
        <v>24</v>
      </c>
      <c r="AD493" s="45">
        <v>9.5</v>
      </c>
      <c r="AE493" s="4">
        <f t="shared" si="511"/>
        <v>9.5</v>
      </c>
      <c r="AF493" s="4">
        <f t="shared" si="512"/>
        <v>10.5</v>
      </c>
      <c r="AG493" s="7">
        <f t="shared" si="513"/>
        <v>82.305406869779816</v>
      </c>
      <c r="AJ493" s="45">
        <v>475.86206896551727</v>
      </c>
      <c r="AM493" s="38"/>
      <c r="AN493" s="38"/>
      <c r="AO493" s="39">
        <v>1</v>
      </c>
      <c r="AP493" s="39"/>
      <c r="AQ493" s="39"/>
      <c r="AS493" s="4">
        <f t="shared" si="514"/>
        <v>162.56</v>
      </c>
      <c r="AT493" s="4">
        <f t="shared" si="515"/>
        <v>1</v>
      </c>
      <c r="AU493" s="4">
        <f t="shared" si="516"/>
        <v>220.14248542345268</v>
      </c>
      <c r="AV493" s="4">
        <f t="shared" si="517"/>
        <v>1</v>
      </c>
      <c r="AW493" s="4">
        <v>1.25</v>
      </c>
      <c r="AX493" s="4">
        <v>1</v>
      </c>
      <c r="AY493" s="38">
        <f t="shared" si="518"/>
        <v>275.17810677931584</v>
      </c>
      <c r="AZ493" s="38">
        <f t="shared" si="576"/>
        <v>275.17810677931584</v>
      </c>
      <c r="BA493" s="38">
        <f t="shared" si="519"/>
        <v>2.8294940183703567</v>
      </c>
      <c r="BF493" s="4">
        <f t="shared" si="520"/>
        <v>181.28714816233858</v>
      </c>
      <c r="BG493" s="4">
        <f t="shared" si="521"/>
        <v>1</v>
      </c>
      <c r="BH493" s="38">
        <f t="shared" si="522"/>
        <v>4285.3305620639503</v>
      </c>
      <c r="BI493" s="4">
        <f t="shared" si="523"/>
        <v>0.3</v>
      </c>
      <c r="BJ493" s="4">
        <f t="shared" si="524"/>
        <v>28.416760474446569</v>
      </c>
      <c r="BK493" s="4">
        <f t="shared" si="525"/>
        <v>4313.7473225383965</v>
      </c>
      <c r="BM493" s="4">
        <f t="shared" si="526"/>
        <v>1.5</v>
      </c>
      <c r="BN493" s="4">
        <f t="shared" si="527"/>
        <v>397.18881117692376</v>
      </c>
      <c r="BP493" s="4">
        <f t="shared" si="528"/>
        <v>4110.1560707980652</v>
      </c>
      <c r="BQ493" s="4">
        <f t="shared" si="529"/>
        <v>0</v>
      </c>
      <c r="BR493" s="4">
        <f t="shared" si="530"/>
        <v>0</v>
      </c>
      <c r="BZ493" s="4">
        <f t="shared" si="531"/>
        <v>596.9</v>
      </c>
      <c r="CD493" s="9"/>
      <c r="CF493" s="9"/>
      <c r="CG493" s="9"/>
      <c r="CH493" s="9">
        <f t="shared" si="532"/>
        <v>596.9</v>
      </c>
      <c r="CI493" s="9">
        <f t="shared" si="533"/>
        <v>596.9</v>
      </c>
      <c r="CJ493" s="9">
        <f t="shared" si="534"/>
        <v>4.8476798574163293</v>
      </c>
      <c r="CK493" s="70">
        <f t="shared" si="535"/>
        <v>0</v>
      </c>
      <c r="CL493" s="9">
        <f t="shared" si="536"/>
        <v>0</v>
      </c>
      <c r="CM493" s="9">
        <f t="shared" si="537"/>
        <v>0</v>
      </c>
      <c r="CN493" s="9">
        <f t="shared" si="538"/>
        <v>0.99524931562137331</v>
      </c>
      <c r="CO493" s="9">
        <f t="shared" si="539"/>
        <v>0.68</v>
      </c>
      <c r="CP493" s="9">
        <f t="shared" si="540"/>
        <v>1.2748218213295317</v>
      </c>
      <c r="CQ493" s="9">
        <f t="shared" si="541"/>
        <v>3.1870545533238293</v>
      </c>
      <c r="CR493" s="40">
        <v>1</v>
      </c>
      <c r="CS493" s="9">
        <f t="shared" si="542"/>
        <v>272.81186976451977</v>
      </c>
      <c r="DQ493" s="4">
        <f t="shared" si="543"/>
        <v>162.56</v>
      </c>
      <c r="DT493" s="4">
        <f t="shared" si="544"/>
        <v>1.1344013326061937E-5</v>
      </c>
      <c r="DU493" s="4">
        <f t="shared" si="545"/>
        <v>8.2572047805129003</v>
      </c>
      <c r="DV493" s="4">
        <f t="shared" si="546"/>
        <v>0.31972667098660273</v>
      </c>
      <c r="DW493" s="4">
        <f t="shared" si="547"/>
        <v>5.2329261002744616</v>
      </c>
      <c r="DX493" s="4">
        <f t="shared" si="548"/>
        <v>6.9132912758781213</v>
      </c>
      <c r="DY493" s="4">
        <f t="shared" si="549"/>
        <v>8.0943984457206888</v>
      </c>
      <c r="DZ493" s="38">
        <f t="shared" si="550"/>
        <v>437.93742736534432</v>
      </c>
      <c r="EA493" s="4">
        <f t="shared" si="551"/>
        <v>0.99999999999999989</v>
      </c>
      <c r="EB493" s="4">
        <f t="shared" si="552"/>
        <v>3.2403703492039297</v>
      </c>
      <c r="EC493" s="4">
        <f t="shared" si="553"/>
        <v>275.17810677931584</v>
      </c>
      <c r="EG493" s="4">
        <f t="shared" si="554"/>
        <v>0.85</v>
      </c>
      <c r="EH493" s="4">
        <f t="shared" si="555"/>
        <v>0.7</v>
      </c>
      <c r="EI493" s="4">
        <f t="shared" si="556"/>
        <v>1</v>
      </c>
      <c r="EJ493" s="4">
        <f t="shared" si="557"/>
        <v>0.7</v>
      </c>
      <c r="EL493" s="4">
        <f t="shared" si="558"/>
        <v>889.65517241379314</v>
      </c>
      <c r="EP493" s="4">
        <f t="shared" si="559"/>
        <v>8.2572047805129003</v>
      </c>
      <c r="ES493" s="4">
        <f t="shared" si="560"/>
        <v>82.305406869779816</v>
      </c>
      <c r="ET493" s="4">
        <f t="shared" si="561"/>
        <v>3.2403703492039302</v>
      </c>
      <c r="EU493" s="4">
        <f t="shared" si="562"/>
        <v>9.4249734881771408E-2</v>
      </c>
      <c r="EX493" s="4">
        <f t="shared" si="563"/>
        <v>9.4249734881771408E-2</v>
      </c>
      <c r="EY493" s="4">
        <f t="shared" si="564"/>
        <v>0.31972667098660273</v>
      </c>
      <c r="EZ493" s="4">
        <f t="shared" si="565"/>
        <v>5.2329261002744616</v>
      </c>
      <c r="FA493" s="4">
        <f t="shared" si="566"/>
        <v>6.9132912758781213</v>
      </c>
      <c r="FB493" s="4">
        <f t="shared" si="567"/>
        <v>39.614593130220186</v>
      </c>
      <c r="FC493" s="4">
        <f t="shared" si="568"/>
        <v>40.64</v>
      </c>
      <c r="FD493" s="4">
        <f t="shared" si="569"/>
        <v>1.1344013326061937E-5</v>
      </c>
      <c r="FE493" s="4">
        <f t="shared" si="570"/>
        <v>8.0943984457206888</v>
      </c>
      <c r="FF493" s="4">
        <f t="shared" si="571"/>
        <v>437.93742736534438</v>
      </c>
      <c r="FO493" s="23"/>
      <c r="FP493" s="23"/>
      <c r="FQ493" s="23"/>
      <c r="FR493" s="23"/>
      <c r="FS493" s="23"/>
      <c r="FT493" s="23"/>
      <c r="FU493" s="23"/>
      <c r="FV493" s="23"/>
      <c r="GF493" s="4">
        <f t="shared" si="572"/>
        <v>1</v>
      </c>
      <c r="GG493" s="4">
        <f t="shared" si="573"/>
        <v>1.0833333333333333</v>
      </c>
      <c r="GH493" s="4">
        <f t="shared" si="574"/>
        <v>0</v>
      </c>
      <c r="GI493" s="4">
        <f t="shared" si="575"/>
        <v>136.66299884732655</v>
      </c>
    </row>
    <row r="494" spans="2:191" ht="12" customHeight="1" x14ac:dyDescent="0.3">
      <c r="B494" s="14" t="s">
        <v>605</v>
      </c>
      <c r="C494" s="24"/>
      <c r="D494" s="14" t="s">
        <v>365</v>
      </c>
      <c r="E494" s="24"/>
      <c r="F494" s="24"/>
      <c r="G494" s="109"/>
      <c r="H494" s="43" t="s">
        <v>640</v>
      </c>
      <c r="I494" s="43"/>
      <c r="J494" s="38">
        <f t="shared" si="505"/>
        <v>889.65517241379314</v>
      </c>
      <c r="K494" s="45">
        <v>213.35999999999999</v>
      </c>
      <c r="L494" s="4">
        <f t="shared" si="506"/>
        <v>213.35999999999999</v>
      </c>
      <c r="M494" s="45">
        <v>28.96551724137931</v>
      </c>
      <c r="N494" s="7">
        <v>25.4</v>
      </c>
      <c r="O494" s="7">
        <f t="shared" si="507"/>
        <v>8.4</v>
      </c>
      <c r="P494" s="7">
        <f t="shared" si="508"/>
        <v>8.4</v>
      </c>
      <c r="Q494" s="45">
        <v>1219.1999999999998</v>
      </c>
      <c r="R494" s="45"/>
      <c r="S494" s="45">
        <v>596.9</v>
      </c>
      <c r="T494" s="45"/>
      <c r="U494" s="45">
        <v>596.9</v>
      </c>
      <c r="V494" s="45"/>
      <c r="W494" s="7"/>
      <c r="X494" s="38">
        <v>1</v>
      </c>
      <c r="Y494" s="38"/>
      <c r="Z494" s="38"/>
      <c r="AB494" s="7">
        <f t="shared" si="509"/>
        <v>24</v>
      </c>
      <c r="AC494" s="7">
        <f t="shared" si="510"/>
        <v>24</v>
      </c>
      <c r="AD494" s="45">
        <v>4.0999999999999996</v>
      </c>
      <c r="AE494" s="4">
        <f t="shared" si="511"/>
        <v>4.0999999999999996</v>
      </c>
      <c r="AF494" s="4">
        <f t="shared" si="512"/>
        <v>5.0999999999999996</v>
      </c>
      <c r="AG494" s="7">
        <f t="shared" si="513"/>
        <v>57.361276136431961</v>
      </c>
      <c r="AJ494" s="45">
        <v>341.37931034482762</v>
      </c>
      <c r="AM494" s="38"/>
      <c r="AN494" s="38"/>
      <c r="AO494" s="39">
        <v>1</v>
      </c>
      <c r="AP494" s="39"/>
      <c r="AQ494" s="39"/>
      <c r="AS494" s="4">
        <f t="shared" si="514"/>
        <v>213.35999999999999</v>
      </c>
      <c r="AT494" s="4">
        <f t="shared" si="515"/>
        <v>1</v>
      </c>
      <c r="AU494" s="4">
        <f t="shared" si="516"/>
        <v>331.01893227659951</v>
      </c>
      <c r="AV494" s="4">
        <f t="shared" si="517"/>
        <v>1</v>
      </c>
      <c r="AW494" s="4">
        <v>1.25</v>
      </c>
      <c r="AX494" s="4">
        <v>1</v>
      </c>
      <c r="AY494" s="38">
        <f t="shared" si="518"/>
        <v>413.77366534574941</v>
      </c>
      <c r="AZ494" s="38">
        <f t="shared" si="576"/>
        <v>413.77366534574941</v>
      </c>
      <c r="BA494" s="38">
        <f t="shared" si="519"/>
        <v>2.8294940183703567</v>
      </c>
      <c r="BF494" s="4">
        <f t="shared" si="520"/>
        <v>237.93938196306939</v>
      </c>
      <c r="BG494" s="4">
        <f t="shared" si="521"/>
        <v>1</v>
      </c>
      <c r="BH494" s="38">
        <f t="shared" si="522"/>
        <v>2815.2337082989129</v>
      </c>
      <c r="BI494" s="4">
        <f t="shared" si="523"/>
        <v>0.42600000000000005</v>
      </c>
      <c r="BJ494" s="4">
        <f t="shared" si="524"/>
        <v>52.961737334249797</v>
      </c>
      <c r="BK494" s="4">
        <f t="shared" si="525"/>
        <v>2868.1954456331628</v>
      </c>
      <c r="BM494" s="4">
        <f t="shared" si="526"/>
        <v>1.5</v>
      </c>
      <c r="BN494" s="4">
        <f t="shared" si="527"/>
        <v>445.62647107654857</v>
      </c>
      <c r="BP494" s="4">
        <f t="shared" si="528"/>
        <v>2700.1534069071072</v>
      </c>
      <c r="BQ494" s="4">
        <f t="shared" si="529"/>
        <v>0</v>
      </c>
      <c r="BR494" s="4">
        <f t="shared" si="530"/>
        <v>0</v>
      </c>
      <c r="BZ494" s="4">
        <f t="shared" si="531"/>
        <v>596.9</v>
      </c>
      <c r="CD494" s="9"/>
      <c r="CF494" s="9"/>
      <c r="CG494" s="9"/>
      <c r="CH494" s="9">
        <f t="shared" si="532"/>
        <v>596.9</v>
      </c>
      <c r="CI494" s="9">
        <f t="shared" si="533"/>
        <v>596.9</v>
      </c>
      <c r="CJ494" s="9">
        <f t="shared" si="534"/>
        <v>4.8476798574163293</v>
      </c>
      <c r="CK494" s="70">
        <f t="shared" si="535"/>
        <v>0</v>
      </c>
      <c r="CL494" s="9">
        <f t="shared" si="536"/>
        <v>0</v>
      </c>
      <c r="CM494" s="9">
        <f t="shared" si="537"/>
        <v>0</v>
      </c>
      <c r="CN494" s="9">
        <f t="shared" si="538"/>
        <v>0.99524931562137331</v>
      </c>
      <c r="CO494" s="9">
        <f t="shared" si="539"/>
        <v>0.68</v>
      </c>
      <c r="CP494" s="9">
        <f t="shared" si="540"/>
        <v>1.2748218213295317</v>
      </c>
      <c r="CQ494" s="9">
        <f t="shared" si="541"/>
        <v>3.1870545533238293</v>
      </c>
      <c r="CR494" s="40">
        <v>1</v>
      </c>
      <c r="CS494" s="9">
        <f t="shared" si="542"/>
        <v>298.30830619111043</v>
      </c>
      <c r="DQ494" s="4">
        <f t="shared" si="543"/>
        <v>213.35999999999999</v>
      </c>
      <c r="DT494" s="4">
        <f t="shared" si="544"/>
        <v>1.4889017490456289E-5</v>
      </c>
      <c r="DU494" s="4">
        <f t="shared" si="545"/>
        <v>8.2572047805129003</v>
      </c>
      <c r="DV494" s="4">
        <f t="shared" si="546"/>
        <v>0.77635082883803019</v>
      </c>
      <c r="DW494" s="4">
        <f t="shared" si="547"/>
        <v>7.4620175087624512</v>
      </c>
      <c r="DX494" s="4">
        <f t="shared" si="548"/>
        <v>7.8696638067407143</v>
      </c>
      <c r="DY494" s="4">
        <f t="shared" si="549"/>
        <v>7.901496818500239</v>
      </c>
      <c r="DZ494" s="38">
        <f t="shared" si="550"/>
        <v>674.77938672986375</v>
      </c>
      <c r="EA494" s="4">
        <f t="shared" si="551"/>
        <v>1</v>
      </c>
      <c r="EB494" s="4">
        <f t="shared" si="552"/>
        <v>2.2583179581272428</v>
      </c>
      <c r="EC494" s="4">
        <f t="shared" si="553"/>
        <v>413.77366534574941</v>
      </c>
      <c r="EG494" s="4">
        <f t="shared" si="554"/>
        <v>0.85</v>
      </c>
      <c r="EH494" s="4">
        <f t="shared" si="555"/>
        <v>0.7</v>
      </c>
      <c r="EI494" s="4">
        <f t="shared" si="556"/>
        <v>1</v>
      </c>
      <c r="EJ494" s="4">
        <f t="shared" si="557"/>
        <v>0.7</v>
      </c>
      <c r="EL494" s="4">
        <f t="shared" si="558"/>
        <v>889.65517241379314</v>
      </c>
      <c r="EP494" s="4">
        <f t="shared" si="559"/>
        <v>8.2572047805129003</v>
      </c>
      <c r="ES494" s="4">
        <f t="shared" si="560"/>
        <v>57.361276136431961</v>
      </c>
      <c r="ET494" s="4">
        <f t="shared" si="561"/>
        <v>2.2583179581272428</v>
      </c>
      <c r="EU494" s="4">
        <f t="shared" si="562"/>
        <v>0.22885441357594427</v>
      </c>
      <c r="EX494" s="4">
        <f t="shared" si="563"/>
        <v>0.22885441357594427</v>
      </c>
      <c r="EY494" s="4">
        <f t="shared" si="564"/>
        <v>0.77635082883803019</v>
      </c>
      <c r="EZ494" s="4">
        <f t="shared" si="565"/>
        <v>7.4620175087624512</v>
      </c>
      <c r="FA494" s="4">
        <f t="shared" si="566"/>
        <v>7.8696638067407143</v>
      </c>
      <c r="FB494" s="4">
        <f t="shared" si="567"/>
        <v>102.65872386356801</v>
      </c>
      <c r="FC494" s="4">
        <f t="shared" si="568"/>
        <v>53.34</v>
      </c>
      <c r="FD494" s="4">
        <f t="shared" si="569"/>
        <v>1.4889017490456294E-5</v>
      </c>
      <c r="FE494" s="4">
        <f t="shared" si="570"/>
        <v>7.9014968185002399</v>
      </c>
      <c r="FF494" s="4">
        <f t="shared" si="571"/>
        <v>674.77938672986375</v>
      </c>
      <c r="FO494" s="23"/>
      <c r="FP494" s="23"/>
      <c r="FQ494" s="23"/>
      <c r="FR494" s="23"/>
      <c r="FS494" s="23"/>
      <c r="FT494" s="23"/>
      <c r="FU494" s="23"/>
      <c r="FV494" s="23"/>
      <c r="GF494" s="4">
        <f t="shared" si="572"/>
        <v>1</v>
      </c>
      <c r="GG494" s="4">
        <f t="shared" si="573"/>
        <v>1.0833333333333333</v>
      </c>
      <c r="GH494" s="4">
        <f t="shared" si="574"/>
        <v>0</v>
      </c>
      <c r="GI494" s="4">
        <f t="shared" si="575"/>
        <v>179.37018598711612</v>
      </c>
    </row>
    <row r="495" spans="2:191" ht="12" customHeight="1" x14ac:dyDescent="0.3">
      <c r="B495" s="14" t="s">
        <v>605</v>
      </c>
      <c r="C495" s="24"/>
      <c r="D495" s="14" t="s">
        <v>365</v>
      </c>
      <c r="E495" s="24"/>
      <c r="F495" s="24"/>
      <c r="G495" s="109"/>
      <c r="H495" s="43" t="s">
        <v>641</v>
      </c>
      <c r="I495" s="43"/>
      <c r="J495" s="38">
        <f t="shared" si="505"/>
        <v>889.65517241379314</v>
      </c>
      <c r="K495" s="45">
        <v>165.1</v>
      </c>
      <c r="L495" s="4">
        <f t="shared" si="506"/>
        <v>165.1</v>
      </c>
      <c r="M495" s="45">
        <v>35.724137931034484</v>
      </c>
      <c r="N495" s="7">
        <v>25.4</v>
      </c>
      <c r="O495" s="7">
        <f t="shared" si="507"/>
        <v>6.5</v>
      </c>
      <c r="P495" s="7">
        <f t="shared" si="508"/>
        <v>6.5</v>
      </c>
      <c r="Q495" s="45">
        <v>1524</v>
      </c>
      <c r="R495" s="45"/>
      <c r="S495" s="45">
        <v>769.62</v>
      </c>
      <c r="T495" s="45"/>
      <c r="U495" s="45">
        <v>769.62</v>
      </c>
      <c r="V495" s="45"/>
      <c r="W495" s="7"/>
      <c r="X495" s="38">
        <v>1</v>
      </c>
      <c r="Y495" s="38"/>
      <c r="Z495" s="38"/>
      <c r="AB495" s="7">
        <f t="shared" si="509"/>
        <v>30.8</v>
      </c>
      <c r="AC495" s="7">
        <f t="shared" si="510"/>
        <v>30.8</v>
      </c>
      <c r="AD495" s="45">
        <v>4.0999999999999996</v>
      </c>
      <c r="AE495" s="4">
        <f t="shared" si="511"/>
        <v>4.0999999999999996</v>
      </c>
      <c r="AF495" s="4">
        <f t="shared" si="512"/>
        <v>5.0999999999999996</v>
      </c>
      <c r="AG495" s="7">
        <f t="shared" si="513"/>
        <v>57.361276136431961</v>
      </c>
      <c r="AJ495" s="45">
        <v>440.68965517241384</v>
      </c>
      <c r="AM495" s="38"/>
      <c r="AN495" s="38"/>
      <c r="AO495" s="39">
        <v>1</v>
      </c>
      <c r="AP495" s="39"/>
      <c r="AQ495" s="39"/>
      <c r="AS495" s="4">
        <f t="shared" si="514"/>
        <v>165.1</v>
      </c>
      <c r="AT495" s="4">
        <f t="shared" si="515"/>
        <v>0.99999999999999989</v>
      </c>
      <c r="AU495" s="4">
        <f t="shared" si="516"/>
        <v>250.23276458121583</v>
      </c>
      <c r="AV495" s="4">
        <f t="shared" si="517"/>
        <v>1</v>
      </c>
      <c r="AW495" s="4">
        <v>1.25</v>
      </c>
      <c r="AX495" s="4">
        <v>1</v>
      </c>
      <c r="AY495" s="38">
        <f t="shared" si="518"/>
        <v>312.79095572651971</v>
      </c>
      <c r="AZ495" s="38">
        <f t="shared" si="576"/>
        <v>312.79095572651971</v>
      </c>
      <c r="BA495" s="38">
        <f t="shared" si="519"/>
        <v>3.2540864993004175</v>
      </c>
      <c r="BF495" s="4">
        <f t="shared" si="520"/>
        <v>204.47519660662698</v>
      </c>
      <c r="BG495" s="4">
        <f t="shared" si="521"/>
        <v>1</v>
      </c>
      <c r="BH495" s="38">
        <f t="shared" si="522"/>
        <v>4455.8893527464461</v>
      </c>
      <c r="BI495" s="4">
        <f t="shared" si="523"/>
        <v>0.42600000000000005</v>
      </c>
      <c r="BJ495" s="4">
        <f t="shared" si="524"/>
        <v>45.51311163668607</v>
      </c>
      <c r="BK495" s="4">
        <f t="shared" si="525"/>
        <v>4501.4024643831326</v>
      </c>
      <c r="BM495" s="4">
        <f t="shared" si="526"/>
        <v>1.5</v>
      </c>
      <c r="BN495" s="4">
        <f t="shared" si="527"/>
        <v>443.78982094276768</v>
      </c>
      <c r="BP495" s="4">
        <f t="shared" si="528"/>
        <v>4273.7428090435269</v>
      </c>
      <c r="BQ495" s="4">
        <f t="shared" si="529"/>
        <v>0</v>
      </c>
      <c r="BR495" s="4">
        <f t="shared" si="530"/>
        <v>0</v>
      </c>
      <c r="BZ495" s="4">
        <f t="shared" si="531"/>
        <v>769.62</v>
      </c>
      <c r="CD495" s="9"/>
      <c r="CF495" s="9"/>
      <c r="CG495" s="9"/>
      <c r="CH495" s="9">
        <f t="shared" si="532"/>
        <v>769.62</v>
      </c>
      <c r="CI495" s="9">
        <f t="shared" si="533"/>
        <v>769.62</v>
      </c>
      <c r="CJ495" s="9">
        <f t="shared" si="534"/>
        <v>5.5045435778091543</v>
      </c>
      <c r="CK495" s="70">
        <f t="shared" si="535"/>
        <v>0</v>
      </c>
      <c r="CL495" s="9">
        <f t="shared" si="536"/>
        <v>0</v>
      </c>
      <c r="CM495" s="9">
        <f t="shared" si="537"/>
        <v>0</v>
      </c>
      <c r="CN495" s="9">
        <f t="shared" si="538"/>
        <v>0.99524931562137331</v>
      </c>
      <c r="CO495" s="9">
        <f t="shared" si="539"/>
        <v>0.68</v>
      </c>
      <c r="CP495" s="9">
        <f t="shared" si="540"/>
        <v>1.4157602788737922</v>
      </c>
      <c r="CQ495" s="9">
        <f t="shared" si="541"/>
        <v>3.5394006971844805</v>
      </c>
      <c r="CR495" s="40">
        <v>1</v>
      </c>
      <c r="CS495" s="9">
        <f t="shared" si="542"/>
        <v>304.38845995786528</v>
      </c>
      <c r="DQ495" s="4">
        <f t="shared" si="543"/>
        <v>165.1</v>
      </c>
      <c r="DT495" s="4">
        <f t="shared" si="544"/>
        <v>1.2079484897608146E-5</v>
      </c>
      <c r="DU495" s="4">
        <f t="shared" si="545"/>
        <v>9.1700834949507204</v>
      </c>
      <c r="DV495" s="4">
        <f t="shared" si="546"/>
        <v>0.47584870550152752</v>
      </c>
      <c r="DW495" s="4">
        <f t="shared" si="547"/>
        <v>6.8133523183375004</v>
      </c>
      <c r="DX495" s="4">
        <f t="shared" si="548"/>
        <v>8.0783090634384216</v>
      </c>
      <c r="DY495" s="4">
        <f t="shared" si="549"/>
        <v>8.9237531933943313</v>
      </c>
      <c r="DZ495" s="38">
        <f t="shared" si="550"/>
        <v>516.89568008576975</v>
      </c>
      <c r="EA495" s="4">
        <f t="shared" si="551"/>
        <v>1</v>
      </c>
      <c r="EB495" s="4">
        <f t="shared" si="552"/>
        <v>2.2583179581272428</v>
      </c>
      <c r="EC495" s="4">
        <f t="shared" si="553"/>
        <v>312.79095572651971</v>
      </c>
      <c r="EG495" s="4">
        <f t="shared" si="554"/>
        <v>0.85</v>
      </c>
      <c r="EH495" s="4">
        <f t="shared" si="555"/>
        <v>0.7</v>
      </c>
      <c r="EI495" s="4">
        <f t="shared" si="556"/>
        <v>1</v>
      </c>
      <c r="EJ495" s="4">
        <f t="shared" si="557"/>
        <v>0.7</v>
      </c>
      <c r="EL495" s="4">
        <f t="shared" si="558"/>
        <v>889.65517241379314</v>
      </c>
      <c r="EP495" s="4">
        <f t="shared" si="559"/>
        <v>9.1700834949507204</v>
      </c>
      <c r="ES495" s="4">
        <f t="shared" si="560"/>
        <v>57.361276136431961</v>
      </c>
      <c r="ET495" s="4">
        <f t="shared" si="561"/>
        <v>2.2583179581272428</v>
      </c>
      <c r="EU495" s="4">
        <f t="shared" si="562"/>
        <v>0.15577953326675206</v>
      </c>
      <c r="EX495" s="4">
        <f t="shared" si="563"/>
        <v>0.15577953326675206</v>
      </c>
      <c r="EY495" s="4">
        <f t="shared" si="564"/>
        <v>0.47584870550152752</v>
      </c>
      <c r="EZ495" s="4">
        <f t="shared" si="565"/>
        <v>6.8133523183375004</v>
      </c>
      <c r="FA495" s="4">
        <f t="shared" si="566"/>
        <v>8.0783090634384216</v>
      </c>
      <c r="FB495" s="4">
        <f t="shared" si="567"/>
        <v>66.463723863568021</v>
      </c>
      <c r="FC495" s="4">
        <f t="shared" si="568"/>
        <v>41.275000000000006</v>
      </c>
      <c r="FD495" s="4">
        <f t="shared" si="569"/>
        <v>1.2079484897608148E-5</v>
      </c>
      <c r="FE495" s="4">
        <f t="shared" si="570"/>
        <v>8.9237531933943295</v>
      </c>
      <c r="FF495" s="4">
        <f t="shared" si="571"/>
        <v>516.89568008576975</v>
      </c>
      <c r="FO495" s="23"/>
      <c r="FP495" s="23"/>
      <c r="FQ495" s="23"/>
      <c r="FR495" s="23"/>
      <c r="FS495" s="23"/>
      <c r="FT495" s="23"/>
      <c r="FU495" s="23"/>
      <c r="FV495" s="23"/>
      <c r="GF495" s="4">
        <f t="shared" si="572"/>
        <v>1</v>
      </c>
      <c r="GG495" s="4">
        <f t="shared" si="573"/>
        <v>1.0833333333333333</v>
      </c>
      <c r="GH495" s="4">
        <f t="shared" si="574"/>
        <v>0</v>
      </c>
      <c r="GI495" s="4">
        <f t="shared" si="575"/>
        <v>146.26972550267718</v>
      </c>
    </row>
    <row r="496" spans="2:191" ht="12" customHeight="1" x14ac:dyDescent="0.3">
      <c r="B496" s="14" t="s">
        <v>605</v>
      </c>
      <c r="C496" s="24"/>
      <c r="D496" s="14" t="s">
        <v>365</v>
      </c>
      <c r="E496" s="24"/>
      <c r="F496" s="24"/>
      <c r="G496" s="109"/>
      <c r="H496" s="43" t="s">
        <v>641</v>
      </c>
      <c r="I496" s="43"/>
      <c r="J496" s="38">
        <f t="shared" si="505"/>
        <v>889.65517241379314</v>
      </c>
      <c r="K496" s="45">
        <v>160.01999999999998</v>
      </c>
      <c r="L496" s="4">
        <f t="shared" si="506"/>
        <v>160.01999999999998</v>
      </c>
      <c r="M496" s="45">
        <v>35.724137931034484</v>
      </c>
      <c r="N496" s="7">
        <v>25.4</v>
      </c>
      <c r="O496" s="7">
        <f t="shared" si="507"/>
        <v>6.3</v>
      </c>
      <c r="P496" s="7">
        <f t="shared" si="508"/>
        <v>6.3</v>
      </c>
      <c r="Q496" s="45">
        <v>1524</v>
      </c>
      <c r="R496" s="45"/>
      <c r="S496" s="45">
        <v>774.69999999999993</v>
      </c>
      <c r="T496" s="45"/>
      <c r="U496" s="45">
        <v>774.69999999999993</v>
      </c>
      <c r="V496" s="45"/>
      <c r="W496" s="7"/>
      <c r="X496" s="38">
        <v>1</v>
      </c>
      <c r="Y496" s="38"/>
      <c r="Z496" s="38"/>
      <c r="AB496" s="7">
        <f t="shared" si="509"/>
        <v>31</v>
      </c>
      <c r="AC496" s="7">
        <f t="shared" si="510"/>
        <v>31</v>
      </c>
      <c r="AD496" s="45">
        <v>4.0999999999999996</v>
      </c>
      <c r="AE496" s="4">
        <f t="shared" si="511"/>
        <v>4.0999999999999996</v>
      </c>
      <c r="AF496" s="4">
        <f t="shared" si="512"/>
        <v>5.0999999999999996</v>
      </c>
      <c r="AG496" s="7">
        <f t="shared" si="513"/>
        <v>57.361276136431961</v>
      </c>
      <c r="AJ496" s="45">
        <v>426.89655172413796</v>
      </c>
      <c r="AM496" s="38"/>
      <c r="AN496" s="38"/>
      <c r="AO496" s="39">
        <v>1</v>
      </c>
      <c r="AP496" s="39"/>
      <c r="AQ496" s="39"/>
      <c r="AS496" s="4">
        <f t="shared" si="514"/>
        <v>160.01999999999998</v>
      </c>
      <c r="AT496" s="4">
        <f t="shared" si="515"/>
        <v>1</v>
      </c>
      <c r="AU496" s="4">
        <f t="shared" si="516"/>
        <v>238.77286102592873</v>
      </c>
      <c r="AV496" s="4">
        <f t="shared" si="517"/>
        <v>1</v>
      </c>
      <c r="AW496" s="4">
        <v>1.25</v>
      </c>
      <c r="AX496" s="4">
        <v>1</v>
      </c>
      <c r="AY496" s="38">
        <f t="shared" si="518"/>
        <v>298.46607628241094</v>
      </c>
      <c r="AZ496" s="38">
        <f t="shared" si="576"/>
        <v>298.46607628241094</v>
      </c>
      <c r="BA496" s="38">
        <f t="shared" si="519"/>
        <v>3.2540864993004175</v>
      </c>
      <c r="BF496" s="4">
        <f t="shared" si="520"/>
        <v>198.18365209565383</v>
      </c>
      <c r="BG496" s="4">
        <f t="shared" si="521"/>
        <v>1</v>
      </c>
      <c r="BH496" s="38">
        <f t="shared" si="522"/>
        <v>4484.8236991928516</v>
      </c>
      <c r="BI496" s="4">
        <f t="shared" si="523"/>
        <v>0.42600000000000005</v>
      </c>
      <c r="BJ496" s="4">
        <f t="shared" si="524"/>
        <v>44.112708201711108</v>
      </c>
      <c r="BK496" s="4">
        <f t="shared" si="525"/>
        <v>4528.9364073945626</v>
      </c>
      <c r="BM496" s="4">
        <f t="shared" si="526"/>
        <v>1.5</v>
      </c>
      <c r="BN496" s="4">
        <f t="shared" si="527"/>
        <v>438.41055038588564</v>
      </c>
      <c r="BP496" s="4">
        <f t="shared" si="528"/>
        <v>4301.4943857256276</v>
      </c>
      <c r="BQ496" s="4">
        <f t="shared" si="529"/>
        <v>0</v>
      </c>
      <c r="BR496" s="4">
        <f t="shared" si="530"/>
        <v>0</v>
      </c>
      <c r="BZ496" s="4">
        <f t="shared" si="531"/>
        <v>774.69999999999993</v>
      </c>
      <c r="CD496" s="9"/>
      <c r="CF496" s="9"/>
      <c r="CG496" s="9"/>
      <c r="CH496" s="9">
        <f t="shared" si="532"/>
        <v>774.69999999999993</v>
      </c>
      <c r="CI496" s="9">
        <f t="shared" si="533"/>
        <v>774.69999999999993</v>
      </c>
      <c r="CJ496" s="9">
        <f t="shared" si="534"/>
        <v>5.5226805085936306</v>
      </c>
      <c r="CK496" s="70">
        <f t="shared" si="535"/>
        <v>0</v>
      </c>
      <c r="CL496" s="9">
        <f t="shared" si="536"/>
        <v>0</v>
      </c>
      <c r="CM496" s="9">
        <f t="shared" si="537"/>
        <v>0</v>
      </c>
      <c r="CN496" s="9">
        <f t="shared" si="538"/>
        <v>0.99524931562137331</v>
      </c>
      <c r="CO496" s="9">
        <f t="shared" si="539"/>
        <v>0.68</v>
      </c>
      <c r="CP496" s="9">
        <f t="shared" si="540"/>
        <v>1.4157602788737922</v>
      </c>
      <c r="CQ496" s="9">
        <f t="shared" si="541"/>
        <v>3.5394006971844805</v>
      </c>
      <c r="CR496" s="40">
        <v>1</v>
      </c>
      <c r="CS496" s="9">
        <f t="shared" si="542"/>
        <v>301.5569394001177</v>
      </c>
      <c r="DQ496" s="4">
        <f t="shared" si="543"/>
        <v>160.01999999999998</v>
      </c>
      <c r="DT496" s="4">
        <f t="shared" si="544"/>
        <v>1.1707808439220202E-5</v>
      </c>
      <c r="DU496" s="4">
        <f t="shared" si="545"/>
        <v>9.1700834949507204</v>
      </c>
      <c r="DV496" s="4">
        <f t="shared" si="546"/>
        <v>0.45405627443806551</v>
      </c>
      <c r="DW496" s="4">
        <f t="shared" si="547"/>
        <v>6.6867819668177608</v>
      </c>
      <c r="DX496" s="4">
        <f t="shared" si="548"/>
        <v>8.0253014837540988</v>
      </c>
      <c r="DY496" s="4">
        <f t="shared" si="549"/>
        <v>8.9413546249557605</v>
      </c>
      <c r="DZ496" s="38">
        <f t="shared" si="550"/>
        <v>494.38359781298016</v>
      </c>
      <c r="EA496" s="4">
        <f t="shared" si="551"/>
        <v>1.0000000000000002</v>
      </c>
      <c r="EB496" s="4">
        <f t="shared" si="552"/>
        <v>2.2583179581272428</v>
      </c>
      <c r="EC496" s="4">
        <f t="shared" si="553"/>
        <v>298.46607628241094</v>
      </c>
      <c r="EG496" s="4">
        <f t="shared" si="554"/>
        <v>0.85</v>
      </c>
      <c r="EH496" s="4">
        <f t="shared" si="555"/>
        <v>0.7</v>
      </c>
      <c r="EI496" s="4">
        <f t="shared" si="556"/>
        <v>1</v>
      </c>
      <c r="EJ496" s="4">
        <f t="shared" si="557"/>
        <v>0.7</v>
      </c>
      <c r="EL496" s="4">
        <f t="shared" si="558"/>
        <v>889.65517241379314</v>
      </c>
      <c r="EP496" s="4">
        <f t="shared" si="559"/>
        <v>9.1700834949507204</v>
      </c>
      <c r="ES496" s="4">
        <f t="shared" si="560"/>
        <v>57.361276136431961</v>
      </c>
      <c r="ET496" s="4">
        <f t="shared" si="561"/>
        <v>2.2583179581272428</v>
      </c>
      <c r="EU496" s="4">
        <f t="shared" si="562"/>
        <v>0.14864530194371847</v>
      </c>
      <c r="EX496" s="4">
        <f t="shared" si="563"/>
        <v>0.14864530194371847</v>
      </c>
      <c r="EY496" s="4">
        <f t="shared" si="564"/>
        <v>0.45405627443806551</v>
      </c>
      <c r="EZ496" s="4">
        <f t="shared" si="565"/>
        <v>6.6867819668177608</v>
      </c>
      <c r="FA496" s="4">
        <f t="shared" si="566"/>
        <v>8.0253014837540988</v>
      </c>
      <c r="FB496" s="4">
        <f t="shared" si="567"/>
        <v>62.653723863568025</v>
      </c>
      <c r="FC496" s="4">
        <f t="shared" si="568"/>
        <v>40.004999999999988</v>
      </c>
      <c r="FD496" s="4">
        <f t="shared" si="569"/>
        <v>1.17078084392202E-5</v>
      </c>
      <c r="FE496" s="4">
        <f t="shared" si="570"/>
        <v>8.9413546249557587</v>
      </c>
      <c r="FF496" s="4">
        <f t="shared" si="571"/>
        <v>494.3835978129801</v>
      </c>
      <c r="FO496" s="23"/>
      <c r="FP496" s="23"/>
      <c r="FQ496" s="23"/>
      <c r="FR496" s="23"/>
      <c r="FS496" s="23"/>
      <c r="FT496" s="23"/>
      <c r="FU496" s="23"/>
      <c r="FV496" s="23"/>
      <c r="GF496" s="4">
        <f t="shared" si="572"/>
        <v>1</v>
      </c>
      <c r="GG496" s="4">
        <f t="shared" si="573"/>
        <v>1.0833333333333333</v>
      </c>
      <c r="GH496" s="4">
        <f t="shared" si="574"/>
        <v>0</v>
      </c>
      <c r="GI496" s="4">
        <f t="shared" si="575"/>
        <v>141.76911856413327</v>
      </c>
    </row>
    <row r="497" spans="1:192" ht="12" customHeight="1" x14ac:dyDescent="0.3">
      <c r="B497" s="14" t="s">
        <v>605</v>
      </c>
      <c r="C497" s="24"/>
      <c r="D497" s="14" t="s">
        <v>365</v>
      </c>
      <c r="E497" s="24"/>
      <c r="F497" s="24"/>
      <c r="G497" s="109"/>
      <c r="H497" s="43" t="s">
        <v>642</v>
      </c>
      <c r="I497" s="43"/>
      <c r="J497" s="38">
        <f t="shared" si="505"/>
        <v>889.65517241379314</v>
      </c>
      <c r="K497" s="45">
        <v>172.72</v>
      </c>
      <c r="L497" s="4">
        <f t="shared" si="506"/>
        <v>172.72</v>
      </c>
      <c r="M497" s="45">
        <v>35.724137931034484</v>
      </c>
      <c r="N497" s="7">
        <v>25.4</v>
      </c>
      <c r="O497" s="7">
        <f t="shared" si="507"/>
        <v>6.8000000000000007</v>
      </c>
      <c r="P497" s="7">
        <f t="shared" si="508"/>
        <v>6.8000000000000007</v>
      </c>
      <c r="Q497" s="45">
        <v>1524</v>
      </c>
      <c r="R497" s="45"/>
      <c r="S497" s="45">
        <v>769.62</v>
      </c>
      <c r="T497" s="45"/>
      <c r="U497" s="45">
        <v>769.62</v>
      </c>
      <c r="V497" s="45"/>
      <c r="W497" s="7"/>
      <c r="X497" s="38">
        <v>1</v>
      </c>
      <c r="Y497" s="38"/>
      <c r="Z497" s="38"/>
      <c r="AB497" s="7">
        <f t="shared" si="509"/>
        <v>30.8</v>
      </c>
      <c r="AC497" s="7">
        <f t="shared" si="510"/>
        <v>30.8</v>
      </c>
      <c r="AD497" s="45">
        <v>4.0999999999999996</v>
      </c>
      <c r="AE497" s="4">
        <f t="shared" si="511"/>
        <v>4.0999999999999996</v>
      </c>
      <c r="AF497" s="4">
        <f t="shared" si="512"/>
        <v>5.0999999999999996</v>
      </c>
      <c r="AG497" s="7">
        <f t="shared" si="513"/>
        <v>57.361276136431961</v>
      </c>
      <c r="AJ497" s="45">
        <v>536.55172413793105</v>
      </c>
      <c r="AM497" s="38"/>
      <c r="AN497" s="38"/>
      <c r="AO497" s="39">
        <v>1</v>
      </c>
      <c r="AP497" s="39"/>
      <c r="AQ497" s="39"/>
      <c r="AS497" s="4">
        <f t="shared" si="514"/>
        <v>172.72</v>
      </c>
      <c r="AT497" s="4">
        <f t="shared" si="515"/>
        <v>0.99999999999999978</v>
      </c>
      <c r="AU497" s="4">
        <f t="shared" si="516"/>
        <v>267.75494983665135</v>
      </c>
      <c r="AV497" s="4">
        <f t="shared" si="517"/>
        <v>1</v>
      </c>
      <c r="AW497" s="4">
        <v>1.25</v>
      </c>
      <c r="AX497" s="4">
        <v>1</v>
      </c>
      <c r="AY497" s="38">
        <f t="shared" si="518"/>
        <v>334.69368729581413</v>
      </c>
      <c r="AZ497" s="38">
        <f t="shared" si="576"/>
        <v>334.69368729581413</v>
      </c>
      <c r="BA497" s="38">
        <f t="shared" si="519"/>
        <v>3.2540864993004175</v>
      </c>
      <c r="BF497" s="4">
        <f t="shared" si="520"/>
        <v>213.91251337308668</v>
      </c>
      <c r="BG497" s="4">
        <f t="shared" si="521"/>
        <v>1</v>
      </c>
      <c r="BH497" s="38">
        <f t="shared" si="522"/>
        <v>4455.8893527464461</v>
      </c>
      <c r="BI497" s="4">
        <f t="shared" si="523"/>
        <v>0.42600000000000005</v>
      </c>
      <c r="BJ497" s="4">
        <f t="shared" si="524"/>
        <v>47.613716789148498</v>
      </c>
      <c r="BK497" s="4">
        <f t="shared" si="525"/>
        <v>4503.5030695355945</v>
      </c>
      <c r="BM497" s="4">
        <f t="shared" si="526"/>
        <v>1.5</v>
      </c>
      <c r="BN497" s="4">
        <f t="shared" si="527"/>
        <v>451.85872677809078</v>
      </c>
      <c r="BP497" s="4">
        <f t="shared" si="528"/>
        <v>4273.7428090435269</v>
      </c>
      <c r="BQ497" s="4">
        <f t="shared" si="529"/>
        <v>0</v>
      </c>
      <c r="BR497" s="4">
        <f t="shared" si="530"/>
        <v>0</v>
      </c>
      <c r="BZ497" s="4">
        <f t="shared" si="531"/>
        <v>769.62</v>
      </c>
      <c r="CD497" s="9"/>
      <c r="CF497" s="9"/>
      <c r="CG497" s="9"/>
      <c r="CH497" s="9">
        <f t="shared" si="532"/>
        <v>769.62</v>
      </c>
      <c r="CI497" s="9">
        <f t="shared" si="533"/>
        <v>769.62</v>
      </c>
      <c r="CJ497" s="9">
        <f t="shared" si="534"/>
        <v>5.5045435778091543</v>
      </c>
      <c r="CK497" s="70">
        <f t="shared" si="535"/>
        <v>0</v>
      </c>
      <c r="CL497" s="9">
        <f t="shared" si="536"/>
        <v>0</v>
      </c>
      <c r="CM497" s="9">
        <f t="shared" si="537"/>
        <v>0</v>
      </c>
      <c r="CN497" s="9">
        <f t="shared" si="538"/>
        <v>0.99524931562137331</v>
      </c>
      <c r="CO497" s="9">
        <f t="shared" si="539"/>
        <v>0.68</v>
      </c>
      <c r="CP497" s="9">
        <f t="shared" si="540"/>
        <v>1.4157602788737922</v>
      </c>
      <c r="CQ497" s="9">
        <f t="shared" si="541"/>
        <v>3.5394006971844805</v>
      </c>
      <c r="CR497" s="40">
        <v>1</v>
      </c>
      <c r="CS497" s="9">
        <f t="shared" si="542"/>
        <v>308.63574079448671</v>
      </c>
      <c r="DQ497" s="4">
        <f t="shared" si="543"/>
        <v>172.72</v>
      </c>
      <c r="DT497" s="4">
        <f t="shared" si="544"/>
        <v>1.2636999585190061E-5</v>
      </c>
      <c r="DU497" s="4">
        <f t="shared" si="545"/>
        <v>9.1700834949507204</v>
      </c>
      <c r="DV497" s="4">
        <f t="shared" si="546"/>
        <v>0.50916931875259841</v>
      </c>
      <c r="DW497" s="4">
        <f t="shared" si="547"/>
        <v>7.000324634104059</v>
      </c>
      <c r="DX497" s="4">
        <f t="shared" si="548"/>
        <v>8.1577927613746901</v>
      </c>
      <c r="DY497" s="4">
        <f t="shared" si="549"/>
        <v>8.8960375003236987</v>
      </c>
      <c r="DZ497" s="38">
        <f t="shared" si="550"/>
        <v>551.14999039895827</v>
      </c>
      <c r="EA497" s="4">
        <f t="shared" si="551"/>
        <v>1</v>
      </c>
      <c r="EB497" s="4">
        <f t="shared" si="552"/>
        <v>2.2583179581272428</v>
      </c>
      <c r="EC497" s="4">
        <f t="shared" si="553"/>
        <v>334.69368729581413</v>
      </c>
      <c r="EG497" s="4">
        <f t="shared" si="554"/>
        <v>0.85</v>
      </c>
      <c r="EH497" s="4">
        <f t="shared" si="555"/>
        <v>0.7</v>
      </c>
      <c r="EI497" s="4">
        <f t="shared" si="556"/>
        <v>1</v>
      </c>
      <c r="EJ497" s="4">
        <f t="shared" si="557"/>
        <v>0.7</v>
      </c>
      <c r="EL497" s="4">
        <f t="shared" si="558"/>
        <v>889.65517241379314</v>
      </c>
      <c r="EP497" s="4">
        <f t="shared" si="559"/>
        <v>9.1700834949507204</v>
      </c>
      <c r="ES497" s="4">
        <f t="shared" si="560"/>
        <v>57.361276136431961</v>
      </c>
      <c r="ET497" s="4">
        <f t="shared" si="561"/>
        <v>2.2583179581272428</v>
      </c>
      <c r="EU497" s="4">
        <f t="shared" si="562"/>
        <v>0.16668776842721761</v>
      </c>
      <c r="EX497" s="4">
        <f t="shared" si="563"/>
        <v>0.16668776842721761</v>
      </c>
      <c r="EY497" s="4">
        <f t="shared" si="564"/>
        <v>0.50916931875259841</v>
      </c>
      <c r="EZ497" s="4">
        <f t="shared" si="565"/>
        <v>7.000324634104059</v>
      </c>
      <c r="FA497" s="4">
        <f t="shared" si="566"/>
        <v>8.1577927613746901</v>
      </c>
      <c r="FB497" s="4">
        <f t="shared" si="567"/>
        <v>72.178723863568024</v>
      </c>
      <c r="FC497" s="4">
        <f t="shared" si="568"/>
        <v>43.180000000000007</v>
      </c>
      <c r="FD497" s="4">
        <f t="shared" si="569"/>
        <v>1.2636999585190062E-5</v>
      </c>
      <c r="FE497" s="4">
        <f t="shared" si="570"/>
        <v>8.8960375003236987</v>
      </c>
      <c r="FF497" s="4">
        <f t="shared" si="571"/>
        <v>551.14999039895827</v>
      </c>
      <c r="FO497" s="23"/>
      <c r="FP497" s="23"/>
      <c r="FQ497" s="23"/>
      <c r="FR497" s="23"/>
      <c r="FS497" s="23"/>
      <c r="FT497" s="23"/>
      <c r="FU497" s="23"/>
      <c r="FV497" s="23"/>
      <c r="GF497" s="4">
        <f>IF(S497&gt;=2.5*25.4,1,1.25)</f>
        <v>1</v>
      </c>
      <c r="GG497" s="4">
        <f t="shared" si="573"/>
        <v>1.0833333333333333</v>
      </c>
      <c r="GH497" s="4">
        <f t="shared" si="574"/>
        <v>0</v>
      </c>
      <c r="GI497" s="4">
        <f t="shared" si="575"/>
        <v>153.02063591049304</v>
      </c>
      <c r="GJ497" s="4">
        <f>GI497*0.145*PI()/4</f>
        <v>17.426408328871574</v>
      </c>
    </row>
    <row r="498" spans="1:192" ht="12" customHeight="1" x14ac:dyDescent="0.3">
      <c r="B498" s="14" t="s">
        <v>605</v>
      </c>
      <c r="C498" s="24"/>
      <c r="D498" s="14" t="s">
        <v>365</v>
      </c>
      <c r="E498" s="24"/>
      <c r="F498" s="24"/>
      <c r="G498" s="109"/>
      <c r="H498" s="43" t="s">
        <v>643</v>
      </c>
      <c r="I498" s="43"/>
      <c r="J498" s="38">
        <f t="shared" si="505"/>
        <v>889.65517241379314</v>
      </c>
      <c r="K498" s="45">
        <v>152.39999999999998</v>
      </c>
      <c r="L498" s="4">
        <f t="shared" si="506"/>
        <v>152.39999999999998</v>
      </c>
      <c r="M498" s="45">
        <v>35.724137931034484</v>
      </c>
      <c r="N498" s="7">
        <v>25.4</v>
      </c>
      <c r="O498" s="7">
        <f t="shared" si="507"/>
        <v>5.9999999999999991</v>
      </c>
      <c r="P498" s="7">
        <f t="shared" si="508"/>
        <v>5.9999999999999991</v>
      </c>
      <c r="Q498" s="45">
        <v>1524</v>
      </c>
      <c r="R498" s="45"/>
      <c r="S498" s="45">
        <v>762</v>
      </c>
      <c r="T498" s="45"/>
      <c r="U498" s="45">
        <v>762</v>
      </c>
      <c r="V498" s="45"/>
      <c r="W498" s="7"/>
      <c r="X498" s="38">
        <v>1</v>
      </c>
      <c r="Y498" s="38"/>
      <c r="Z498" s="38"/>
      <c r="AB498" s="7">
        <f t="shared" si="509"/>
        <v>30.5</v>
      </c>
      <c r="AC498" s="7">
        <f t="shared" si="510"/>
        <v>30.5</v>
      </c>
      <c r="AD498" s="45">
        <v>4.0999999999999996</v>
      </c>
      <c r="AE498" s="4">
        <f t="shared" si="511"/>
        <v>4.0999999999999996</v>
      </c>
      <c r="AF498" s="4">
        <f t="shared" si="512"/>
        <v>5.0999999999999996</v>
      </c>
      <c r="AG498" s="7">
        <f t="shared" si="513"/>
        <v>57.361276136431961</v>
      </c>
      <c r="AJ498" s="45">
        <v>466.20689655172413</v>
      </c>
      <c r="AM498" s="38">
        <f t="shared" ref="AM498:AM502" si="577">25.4*5/8</f>
        <v>15.875</v>
      </c>
      <c r="AN498" s="38">
        <v>2</v>
      </c>
      <c r="AO498" s="39">
        <v>25.4</v>
      </c>
      <c r="AP498" s="39">
        <v>2</v>
      </c>
      <c r="AQ498" s="39">
        <v>2</v>
      </c>
      <c r="AS498" s="4">
        <f t="shared" si="514"/>
        <v>152.39999999999998</v>
      </c>
      <c r="AT498" s="4">
        <f t="shared" si="515"/>
        <v>0.99999999999999989</v>
      </c>
      <c r="AU498" s="4">
        <f t="shared" si="516"/>
        <v>221.92233570793715</v>
      </c>
      <c r="AV498" s="4">
        <f t="shared" si="517"/>
        <v>1</v>
      </c>
      <c r="AW498" s="4">
        <v>1.25</v>
      </c>
      <c r="AX498" s="4">
        <v>1</v>
      </c>
      <c r="AY498" s="38">
        <f t="shared" si="518"/>
        <v>277.40291963492137</v>
      </c>
      <c r="AZ498" s="38">
        <f t="shared" si="576"/>
        <v>277.40291963492137</v>
      </c>
      <c r="BA498" s="38">
        <f t="shared" si="519"/>
        <v>3.2540864993004175</v>
      </c>
      <c r="BF498" s="4">
        <f t="shared" si="520"/>
        <v>188.7463353291941</v>
      </c>
      <c r="BG498" s="4">
        <f t="shared" si="521"/>
        <v>1</v>
      </c>
      <c r="BH498" s="38">
        <f t="shared" si="522"/>
        <v>4412.4878330768379</v>
      </c>
      <c r="BI498" s="4">
        <f t="shared" si="523"/>
        <v>0.42600000000000005</v>
      </c>
      <c r="BJ498" s="4">
        <f t="shared" si="524"/>
        <v>42.012103049248672</v>
      </c>
      <c r="BK498" s="4">
        <f t="shared" si="525"/>
        <v>4454.4999361260861</v>
      </c>
      <c r="BM498" s="4">
        <f t="shared" si="526"/>
        <v>1.5</v>
      </c>
      <c r="BN498" s="4">
        <f t="shared" si="527"/>
        <v>430.34164455056259</v>
      </c>
      <c r="BP498" s="4">
        <f t="shared" si="528"/>
        <v>4232.1154440203763</v>
      </c>
      <c r="BQ498" s="4">
        <f t="shared" si="529"/>
        <v>0</v>
      </c>
      <c r="BR498" s="4">
        <f t="shared" si="530"/>
        <v>0</v>
      </c>
      <c r="BZ498" s="4">
        <f t="shared" si="531"/>
        <v>762</v>
      </c>
      <c r="CD498" s="9"/>
      <c r="CF498" s="9"/>
      <c r="CG498" s="9"/>
      <c r="CH498" s="9">
        <f t="shared" si="532"/>
        <v>762</v>
      </c>
      <c r="CI498" s="9">
        <f t="shared" si="533"/>
        <v>762</v>
      </c>
      <c r="CJ498" s="9">
        <f t="shared" si="534"/>
        <v>5.4772255750516612</v>
      </c>
      <c r="CK498" s="70">
        <f t="shared" si="535"/>
        <v>20</v>
      </c>
      <c r="CL498" s="9">
        <f t="shared" si="536"/>
        <v>0.05</v>
      </c>
      <c r="CM498" s="9">
        <f t="shared" si="537"/>
        <v>0.8</v>
      </c>
      <c r="CN498" s="9">
        <f t="shared" si="538"/>
        <v>0.99524931562137331</v>
      </c>
      <c r="CO498" s="9">
        <f t="shared" si="539"/>
        <v>0.68</v>
      </c>
      <c r="CP498" s="9">
        <f t="shared" si="540"/>
        <v>1.4157602788737922</v>
      </c>
      <c r="CQ498" s="9">
        <f t="shared" si="541"/>
        <v>3.5394006971844805</v>
      </c>
      <c r="CR498" s="40">
        <v>1</v>
      </c>
      <c r="CS498" s="9">
        <f t="shared" si="542"/>
        <v>297.30965856349633</v>
      </c>
      <c r="DQ498" s="4">
        <f t="shared" si="543"/>
        <v>152.39999999999998</v>
      </c>
      <c r="DT498" s="4">
        <f t="shared" si="544"/>
        <v>1.1150293751638287E-5</v>
      </c>
      <c r="DU498" s="4">
        <f t="shared" si="545"/>
        <v>9.1700834949507204</v>
      </c>
      <c r="DV498" s="4">
        <f t="shared" si="546"/>
        <v>0.42201290604461672</v>
      </c>
      <c r="DW498" s="4">
        <f t="shared" si="547"/>
        <v>6.4938698928930743</v>
      </c>
      <c r="DX498" s="4">
        <f t="shared" si="548"/>
        <v>7.9457861568390831</v>
      </c>
      <c r="DY498" s="4">
        <f t="shared" si="549"/>
        <v>8.9664583264786533</v>
      </c>
      <c r="DZ498" s="38">
        <f t="shared" si="550"/>
        <v>461.11026612663159</v>
      </c>
      <c r="EA498" s="4">
        <f t="shared" si="551"/>
        <v>0.99999999999999989</v>
      </c>
      <c r="EB498" s="4">
        <f t="shared" si="552"/>
        <v>2.2583179581272428</v>
      </c>
      <c r="EC498" s="4">
        <f t="shared" si="553"/>
        <v>277.40291963492137</v>
      </c>
      <c r="EG498" s="4">
        <f t="shared" si="554"/>
        <v>0.85</v>
      </c>
      <c r="EH498" s="4">
        <f t="shared" si="555"/>
        <v>0.7</v>
      </c>
      <c r="EI498" s="4">
        <f t="shared" si="556"/>
        <v>0.7</v>
      </c>
      <c r="EJ498" s="4">
        <f t="shared" si="557"/>
        <v>0.7</v>
      </c>
      <c r="EL498" s="4">
        <f t="shared" si="558"/>
        <v>889.65517241379314</v>
      </c>
      <c r="EP498" s="4">
        <f t="shared" si="559"/>
        <v>9.1700834949507204</v>
      </c>
      <c r="ES498" s="4">
        <f t="shared" si="560"/>
        <v>57.361276136431961</v>
      </c>
      <c r="ET498" s="4">
        <f t="shared" si="561"/>
        <v>2.2583179581272428</v>
      </c>
      <c r="EU498" s="4">
        <f t="shared" si="562"/>
        <v>0.13815520096222064</v>
      </c>
      <c r="EX498" s="4">
        <f t="shared" si="563"/>
        <v>0.13815520096222064</v>
      </c>
      <c r="EY498" s="4">
        <f t="shared" si="564"/>
        <v>0.42201290604461672</v>
      </c>
      <c r="EZ498" s="4">
        <f t="shared" si="565"/>
        <v>6.4938698928930743</v>
      </c>
      <c r="FA498" s="4">
        <f t="shared" si="566"/>
        <v>7.9457861568390831</v>
      </c>
      <c r="FB498" s="4">
        <f t="shared" si="567"/>
        <v>56.938723863568022</v>
      </c>
      <c r="FC498" s="4">
        <f t="shared" si="568"/>
        <v>38.099999999999987</v>
      </c>
      <c r="FD498" s="4">
        <f t="shared" si="569"/>
        <v>1.1150293751638286E-5</v>
      </c>
      <c r="FE498" s="4">
        <f t="shared" si="570"/>
        <v>8.966458326478655</v>
      </c>
      <c r="FF498" s="4">
        <f t="shared" si="571"/>
        <v>461.11026612663164</v>
      </c>
      <c r="FO498" s="23"/>
      <c r="FP498" s="23"/>
      <c r="FQ498" s="23"/>
      <c r="FR498" s="23"/>
      <c r="FS498" s="23"/>
      <c r="FT498" s="23"/>
      <c r="FU498" s="23"/>
      <c r="FV498" s="23"/>
      <c r="GF498" s="4">
        <f t="shared" si="572"/>
        <v>1</v>
      </c>
      <c r="GG498" s="4">
        <f t="shared" si="573"/>
        <v>0.75511627906976753</v>
      </c>
      <c r="GH498" s="4">
        <f t="shared" si="574"/>
        <v>0.3</v>
      </c>
      <c r="GI498" s="4">
        <f t="shared" si="575"/>
        <v>193.70490288312646</v>
      </c>
    </row>
    <row r="499" spans="1:192" ht="12" customHeight="1" x14ac:dyDescent="0.3">
      <c r="B499" s="14" t="s">
        <v>605</v>
      </c>
      <c r="C499" s="24"/>
      <c r="D499" s="14" t="s">
        <v>365</v>
      </c>
      <c r="E499" s="24"/>
      <c r="F499" s="24"/>
      <c r="G499" s="109"/>
      <c r="H499" s="43" t="s">
        <v>643</v>
      </c>
      <c r="I499" s="43"/>
      <c r="J499" s="38">
        <f t="shared" si="505"/>
        <v>889.65517241379314</v>
      </c>
      <c r="K499" s="45">
        <v>154.93999999999997</v>
      </c>
      <c r="L499" s="4">
        <f t="shared" si="506"/>
        <v>154.93999999999997</v>
      </c>
      <c r="M499" s="45">
        <v>35.724137931034484</v>
      </c>
      <c r="N499" s="7">
        <v>25.4</v>
      </c>
      <c r="O499" s="7">
        <f t="shared" si="507"/>
        <v>6.0999999999999988</v>
      </c>
      <c r="P499" s="7">
        <f t="shared" si="508"/>
        <v>6.0999999999999988</v>
      </c>
      <c r="Q499" s="45">
        <v>1524</v>
      </c>
      <c r="R499" s="45"/>
      <c r="S499" s="45">
        <v>769.62</v>
      </c>
      <c r="T499" s="45"/>
      <c r="U499" s="45">
        <v>769.62</v>
      </c>
      <c r="V499" s="45"/>
      <c r="W499" s="7"/>
      <c r="X499" s="38">
        <v>1</v>
      </c>
      <c r="Y499" s="38"/>
      <c r="Z499" s="38"/>
      <c r="AB499" s="7">
        <f t="shared" si="509"/>
        <v>30.8</v>
      </c>
      <c r="AC499" s="7">
        <f t="shared" si="510"/>
        <v>30.8</v>
      </c>
      <c r="AD499" s="45">
        <v>4.0999999999999996</v>
      </c>
      <c r="AE499" s="4">
        <f t="shared" si="511"/>
        <v>4.0999999999999996</v>
      </c>
      <c r="AF499" s="4">
        <f t="shared" si="512"/>
        <v>5.0999999999999996</v>
      </c>
      <c r="AG499" s="7">
        <f t="shared" si="513"/>
        <v>57.361276136431961</v>
      </c>
      <c r="AJ499" s="45">
        <v>457.24137931034483</v>
      </c>
      <c r="AM499" s="38">
        <f t="shared" si="577"/>
        <v>15.875</v>
      </c>
      <c r="AN499" s="38">
        <v>2</v>
      </c>
      <c r="AO499" s="39">
        <v>25.4</v>
      </c>
      <c r="AP499" s="39">
        <v>2</v>
      </c>
      <c r="AQ499" s="39">
        <v>2</v>
      </c>
      <c r="AS499" s="4">
        <f t="shared" si="514"/>
        <v>154.93999999999997</v>
      </c>
      <c r="AT499" s="4">
        <f t="shared" si="515"/>
        <v>1</v>
      </c>
      <c r="AU499" s="4">
        <f t="shared" si="516"/>
        <v>227.49344719498902</v>
      </c>
      <c r="AV499" s="4">
        <f t="shared" si="517"/>
        <v>1</v>
      </c>
      <c r="AW499" s="4">
        <v>1.25</v>
      </c>
      <c r="AX499" s="4">
        <v>1</v>
      </c>
      <c r="AY499" s="38">
        <f t="shared" si="518"/>
        <v>284.3668089937363</v>
      </c>
      <c r="AZ499" s="38">
        <f t="shared" si="576"/>
        <v>284.3668089937363</v>
      </c>
      <c r="BA499" s="38">
        <f t="shared" si="519"/>
        <v>3.2540864993004175</v>
      </c>
      <c r="BF499" s="4">
        <f t="shared" si="520"/>
        <v>191.89210758468064</v>
      </c>
      <c r="BG499" s="4">
        <f t="shared" si="521"/>
        <v>1</v>
      </c>
      <c r="BH499" s="38">
        <f t="shared" si="522"/>
        <v>4455.8893527464461</v>
      </c>
      <c r="BI499" s="4">
        <f t="shared" si="523"/>
        <v>0.42600000000000005</v>
      </c>
      <c r="BJ499" s="4">
        <f t="shared" si="524"/>
        <v>42.712304766736146</v>
      </c>
      <c r="BK499" s="4">
        <f t="shared" si="525"/>
        <v>4498.6016575131825</v>
      </c>
      <c r="BM499" s="4">
        <f t="shared" si="526"/>
        <v>1.5</v>
      </c>
      <c r="BN499" s="4">
        <f t="shared" si="527"/>
        <v>433.03127982900355</v>
      </c>
      <c r="BP499" s="4">
        <f t="shared" si="528"/>
        <v>4273.7428090435269</v>
      </c>
      <c r="BQ499" s="4">
        <f t="shared" si="529"/>
        <v>0</v>
      </c>
      <c r="BR499" s="4">
        <f t="shared" si="530"/>
        <v>0</v>
      </c>
      <c r="BZ499" s="4">
        <f t="shared" si="531"/>
        <v>769.62</v>
      </c>
      <c r="CD499" s="9"/>
      <c r="CF499" s="9"/>
      <c r="CG499" s="9"/>
      <c r="CH499" s="9">
        <f t="shared" si="532"/>
        <v>769.62</v>
      </c>
      <c r="CI499" s="9">
        <f t="shared" si="533"/>
        <v>769.62</v>
      </c>
      <c r="CJ499" s="9">
        <f t="shared" si="534"/>
        <v>5.5045435778091543</v>
      </c>
      <c r="CK499" s="70">
        <f t="shared" si="535"/>
        <v>20</v>
      </c>
      <c r="CL499" s="9">
        <f t="shared" si="536"/>
        <v>0.05</v>
      </c>
      <c r="CM499" s="9">
        <f t="shared" si="537"/>
        <v>0.8</v>
      </c>
      <c r="CN499" s="9">
        <f t="shared" si="538"/>
        <v>0.99524931562137331</v>
      </c>
      <c r="CO499" s="9">
        <f t="shared" si="539"/>
        <v>0.68</v>
      </c>
      <c r="CP499" s="9">
        <f t="shared" si="540"/>
        <v>1.4157602788737922</v>
      </c>
      <c r="CQ499" s="9">
        <f t="shared" si="541"/>
        <v>3.5394006971844805</v>
      </c>
      <c r="CR499" s="40">
        <v>1</v>
      </c>
      <c r="CS499" s="9">
        <f t="shared" si="542"/>
        <v>298.72541884237012</v>
      </c>
      <c r="DQ499" s="4">
        <f t="shared" si="543"/>
        <v>154.93999999999997</v>
      </c>
      <c r="DT499" s="4">
        <f t="shared" si="544"/>
        <v>1.1336131980832258E-5</v>
      </c>
      <c r="DU499" s="4">
        <f t="shared" si="545"/>
        <v>9.1700834949507204</v>
      </c>
      <c r="DV499" s="4">
        <f t="shared" si="546"/>
        <v>0.43260706702011897</v>
      </c>
      <c r="DW499" s="4">
        <f t="shared" si="547"/>
        <v>6.5585937964406824</v>
      </c>
      <c r="DX499" s="4">
        <f t="shared" si="548"/>
        <v>7.9722900767464155</v>
      </c>
      <c r="DY499" s="4">
        <f t="shared" si="549"/>
        <v>8.9582625401394136</v>
      </c>
      <c r="DZ499" s="38">
        <f t="shared" si="550"/>
        <v>472.13481610443762</v>
      </c>
      <c r="EA499" s="4">
        <f t="shared" si="551"/>
        <v>1</v>
      </c>
      <c r="EB499" s="4">
        <f t="shared" si="552"/>
        <v>2.2583179581272428</v>
      </c>
      <c r="EC499" s="4">
        <f t="shared" si="553"/>
        <v>284.3668089937363</v>
      </c>
      <c r="EG499" s="4">
        <f t="shared" si="554"/>
        <v>0.85</v>
      </c>
      <c r="EH499" s="4">
        <f t="shared" si="555"/>
        <v>0.7</v>
      </c>
      <c r="EI499" s="4">
        <f t="shared" si="556"/>
        <v>0.7</v>
      </c>
      <c r="EJ499" s="4">
        <f t="shared" si="557"/>
        <v>0.7</v>
      </c>
      <c r="EL499" s="4">
        <f t="shared" si="558"/>
        <v>889.65517241379314</v>
      </c>
      <c r="EP499" s="4">
        <f t="shared" si="559"/>
        <v>9.1700834949507204</v>
      </c>
      <c r="ES499" s="4">
        <f t="shared" si="560"/>
        <v>57.361276136431961</v>
      </c>
      <c r="ET499" s="4">
        <f t="shared" si="561"/>
        <v>2.2583179581272428</v>
      </c>
      <c r="EU499" s="4">
        <f t="shared" si="562"/>
        <v>0.14162343242536429</v>
      </c>
      <c r="EX499" s="4">
        <f t="shared" si="563"/>
        <v>0.14162343242536429</v>
      </c>
      <c r="EY499" s="4">
        <f t="shared" si="564"/>
        <v>0.43260706702011897</v>
      </c>
      <c r="EZ499" s="4">
        <f t="shared" si="565"/>
        <v>6.5585937964406824</v>
      </c>
      <c r="FA499" s="4">
        <f t="shared" si="566"/>
        <v>7.9722900767464155</v>
      </c>
      <c r="FB499" s="4">
        <f t="shared" si="567"/>
        <v>58.843723863568023</v>
      </c>
      <c r="FC499" s="4">
        <f t="shared" si="568"/>
        <v>38.734999999999978</v>
      </c>
      <c r="FD499" s="4">
        <f t="shared" si="569"/>
        <v>1.1336131980832255E-5</v>
      </c>
      <c r="FE499" s="4">
        <f t="shared" si="570"/>
        <v>8.9582625401394136</v>
      </c>
      <c r="FF499" s="4">
        <f t="shared" si="571"/>
        <v>472.13481610443762</v>
      </c>
      <c r="FO499" s="23"/>
      <c r="FP499" s="23"/>
      <c r="FQ499" s="23"/>
      <c r="FR499" s="23"/>
      <c r="FS499" s="23"/>
      <c r="FT499" s="23"/>
      <c r="FU499" s="23"/>
      <c r="FV499" s="23"/>
      <c r="GF499" s="4">
        <f t="shared" si="572"/>
        <v>1</v>
      </c>
      <c r="GG499" s="4">
        <f t="shared" si="573"/>
        <v>0.75511627906976753</v>
      </c>
      <c r="GH499" s="4">
        <f t="shared" si="574"/>
        <v>0.3</v>
      </c>
      <c r="GI499" s="4">
        <f t="shared" si="575"/>
        <v>196.93331793117858</v>
      </c>
    </row>
    <row r="500" spans="1:192" ht="12" customHeight="1" x14ac:dyDescent="0.3">
      <c r="B500" s="14" t="s">
        <v>605</v>
      </c>
      <c r="C500" s="24"/>
      <c r="D500" s="14" t="s">
        <v>365</v>
      </c>
      <c r="E500" s="24"/>
      <c r="F500" s="24"/>
      <c r="G500" s="109"/>
      <c r="H500" s="43" t="s">
        <v>643</v>
      </c>
      <c r="I500" s="43"/>
      <c r="J500" s="38">
        <f t="shared" si="505"/>
        <v>889.65517241379314</v>
      </c>
      <c r="K500" s="45">
        <v>172.72</v>
      </c>
      <c r="L500" s="4">
        <f t="shared" si="506"/>
        <v>172.72</v>
      </c>
      <c r="M500" s="45">
        <v>37.655172413793103</v>
      </c>
      <c r="N500" s="7">
        <v>25.4</v>
      </c>
      <c r="O500" s="7">
        <f t="shared" si="507"/>
        <v>6.8000000000000007</v>
      </c>
      <c r="P500" s="7">
        <f t="shared" si="508"/>
        <v>6.8000000000000007</v>
      </c>
      <c r="Q500" s="45">
        <v>1524</v>
      </c>
      <c r="R500" s="45"/>
      <c r="S500" s="45">
        <v>769.62</v>
      </c>
      <c r="T500" s="45"/>
      <c r="U500" s="45">
        <v>769.62</v>
      </c>
      <c r="V500" s="45"/>
      <c r="W500" s="7"/>
      <c r="X500" s="38">
        <v>1</v>
      </c>
      <c r="Y500" s="38"/>
      <c r="Z500" s="38"/>
      <c r="AB500" s="7">
        <f t="shared" si="509"/>
        <v>30.8</v>
      </c>
      <c r="AC500" s="7">
        <f t="shared" si="510"/>
        <v>30.8</v>
      </c>
      <c r="AD500" s="45">
        <v>4.0999999999999996</v>
      </c>
      <c r="AE500" s="4">
        <f t="shared" si="511"/>
        <v>4.0999999999999996</v>
      </c>
      <c r="AF500" s="4">
        <f t="shared" si="512"/>
        <v>5.0999999999999996</v>
      </c>
      <c r="AG500" s="7">
        <f t="shared" si="513"/>
        <v>57.361276136431961</v>
      </c>
      <c r="AJ500" s="45">
        <v>466.89655172413796</v>
      </c>
      <c r="AM500" s="38">
        <f t="shared" si="577"/>
        <v>15.875</v>
      </c>
      <c r="AN500" s="38">
        <v>2</v>
      </c>
      <c r="AO500" s="39">
        <v>25.4</v>
      </c>
      <c r="AP500" s="39">
        <v>2</v>
      </c>
      <c r="AQ500" s="39">
        <v>2</v>
      </c>
      <c r="AS500" s="4">
        <f t="shared" si="514"/>
        <v>172.72</v>
      </c>
      <c r="AT500" s="4">
        <f t="shared" si="515"/>
        <v>0.99999999999999978</v>
      </c>
      <c r="AU500" s="4">
        <f t="shared" si="516"/>
        <v>274.89633492385769</v>
      </c>
      <c r="AV500" s="4">
        <f t="shared" si="517"/>
        <v>1</v>
      </c>
      <c r="AW500" s="4">
        <v>1.25</v>
      </c>
      <c r="AX500" s="4">
        <v>1</v>
      </c>
      <c r="AY500" s="38">
        <f t="shared" si="518"/>
        <v>343.62041865482206</v>
      </c>
      <c r="AZ500" s="38">
        <f t="shared" si="576"/>
        <v>343.62041865482206</v>
      </c>
      <c r="BA500" s="38">
        <f t="shared" si="519"/>
        <v>3.3703190491443937</v>
      </c>
      <c r="BF500" s="4">
        <f t="shared" si="520"/>
        <v>219.61784817231765</v>
      </c>
      <c r="BG500" s="4">
        <f t="shared" si="521"/>
        <v>1</v>
      </c>
      <c r="BH500" s="38">
        <f t="shared" si="522"/>
        <v>4696.7482366786853</v>
      </c>
      <c r="BI500" s="4">
        <f t="shared" si="523"/>
        <v>0.42600000000000005</v>
      </c>
      <c r="BJ500" s="4">
        <f t="shared" si="524"/>
        <v>48.883638735435319</v>
      </c>
      <c r="BK500" s="4">
        <f t="shared" si="525"/>
        <v>4745.6318754141203</v>
      </c>
      <c r="BM500" s="4">
        <f t="shared" si="526"/>
        <v>1.5</v>
      </c>
      <c r="BN500" s="4">
        <f t="shared" si="527"/>
        <v>463.9104075216427</v>
      </c>
      <c r="BP500" s="4">
        <f t="shared" si="528"/>
        <v>4504.7559338566916</v>
      </c>
      <c r="BQ500" s="4">
        <f t="shared" si="529"/>
        <v>0</v>
      </c>
      <c r="BR500" s="4">
        <f t="shared" si="530"/>
        <v>0</v>
      </c>
      <c r="BZ500" s="4">
        <f t="shared" si="531"/>
        <v>769.62</v>
      </c>
      <c r="CD500" s="9"/>
      <c r="CF500" s="9"/>
      <c r="CG500" s="9"/>
      <c r="CH500" s="9">
        <f t="shared" si="532"/>
        <v>769.62</v>
      </c>
      <c r="CI500" s="9">
        <f t="shared" si="533"/>
        <v>769.62</v>
      </c>
      <c r="CJ500" s="9">
        <f t="shared" si="534"/>
        <v>5.5045435778091543</v>
      </c>
      <c r="CK500" s="70">
        <f t="shared" si="535"/>
        <v>20</v>
      </c>
      <c r="CL500" s="9">
        <f t="shared" si="536"/>
        <v>0.05</v>
      </c>
      <c r="CM500" s="9">
        <f t="shared" si="537"/>
        <v>0.8</v>
      </c>
      <c r="CN500" s="9">
        <f t="shared" si="538"/>
        <v>0.99524931562137331</v>
      </c>
      <c r="CO500" s="9">
        <f t="shared" si="539"/>
        <v>0.68</v>
      </c>
      <c r="CP500" s="9">
        <f t="shared" si="540"/>
        <v>1.4535205120600561</v>
      </c>
      <c r="CQ500" s="9">
        <f t="shared" si="541"/>
        <v>3.63380128015014</v>
      </c>
      <c r="CR500" s="40">
        <v>1</v>
      </c>
      <c r="CS500" s="9">
        <f t="shared" si="542"/>
        <v>316.86747162909222</v>
      </c>
      <c r="DQ500" s="4">
        <f t="shared" si="543"/>
        <v>172.72</v>
      </c>
      <c r="DT500" s="4">
        <f t="shared" si="544"/>
        <v>1.2803199194359958E-5</v>
      </c>
      <c r="DU500" s="4">
        <f t="shared" si="545"/>
        <v>9.414661970751931</v>
      </c>
      <c r="DV500" s="4">
        <f t="shared" si="546"/>
        <v>0.49594188092295277</v>
      </c>
      <c r="DW500" s="4">
        <f t="shared" si="547"/>
        <v>7.111759235242249</v>
      </c>
      <c r="DX500" s="4">
        <f t="shared" si="548"/>
        <v>8.3432027494528445</v>
      </c>
      <c r="DY500" s="4">
        <f t="shared" si="549"/>
        <v>9.1236545658066053</v>
      </c>
      <c r="DZ500" s="38">
        <f t="shared" si="550"/>
        <v>564.73864178090059</v>
      </c>
      <c r="EA500" s="4">
        <f t="shared" si="551"/>
        <v>1</v>
      </c>
      <c r="EB500" s="4">
        <f t="shared" si="552"/>
        <v>2.2583179581272428</v>
      </c>
      <c r="EC500" s="4">
        <f t="shared" si="553"/>
        <v>343.62041865482206</v>
      </c>
      <c r="EG500" s="4">
        <f t="shared" si="554"/>
        <v>0.85</v>
      </c>
      <c r="EH500" s="4">
        <f t="shared" si="555"/>
        <v>0.7</v>
      </c>
      <c r="EI500" s="4">
        <f t="shared" si="556"/>
        <v>0.7</v>
      </c>
      <c r="EJ500" s="4">
        <f t="shared" si="557"/>
        <v>0.7</v>
      </c>
      <c r="EL500" s="4">
        <f t="shared" si="558"/>
        <v>889.65517241379314</v>
      </c>
      <c r="EP500" s="4">
        <f t="shared" si="559"/>
        <v>9.414661970751931</v>
      </c>
      <c r="ES500" s="4">
        <f t="shared" si="560"/>
        <v>57.361276136431961</v>
      </c>
      <c r="ET500" s="4">
        <f t="shared" si="561"/>
        <v>2.2583179581272428</v>
      </c>
      <c r="EU500" s="4">
        <f t="shared" si="562"/>
        <v>0.16668776842721764</v>
      </c>
      <c r="EX500" s="4">
        <f t="shared" si="563"/>
        <v>0.16668776842721764</v>
      </c>
      <c r="EY500" s="4">
        <f t="shared" si="564"/>
        <v>0.49594188092295277</v>
      </c>
      <c r="EZ500" s="4">
        <f t="shared" si="565"/>
        <v>7.111759235242249</v>
      </c>
      <c r="FA500" s="4">
        <f t="shared" si="566"/>
        <v>8.3432027494528445</v>
      </c>
      <c r="FB500" s="4">
        <f t="shared" si="567"/>
        <v>72.178723863568024</v>
      </c>
      <c r="FC500" s="4">
        <f t="shared" si="568"/>
        <v>43.180000000000007</v>
      </c>
      <c r="FD500" s="4">
        <f t="shared" si="569"/>
        <v>1.280319919435996E-5</v>
      </c>
      <c r="FE500" s="4">
        <f t="shared" si="570"/>
        <v>9.1236545658066071</v>
      </c>
      <c r="FF500" s="4">
        <f t="shared" si="571"/>
        <v>564.73864178090059</v>
      </c>
      <c r="FO500" s="23"/>
      <c r="FP500" s="23"/>
      <c r="FQ500" s="23"/>
      <c r="FR500" s="23"/>
      <c r="FS500" s="23"/>
      <c r="FT500" s="23"/>
      <c r="FU500" s="23"/>
      <c r="FV500" s="23"/>
      <c r="GF500" s="4">
        <f t="shared" si="572"/>
        <v>1</v>
      </c>
      <c r="GG500" s="4">
        <f t="shared" si="573"/>
        <v>0.75511627906976753</v>
      </c>
      <c r="GH500" s="4">
        <f t="shared" si="574"/>
        <v>0.3</v>
      </c>
      <c r="GI500" s="4">
        <f t="shared" si="575"/>
        <v>222.44056852042061</v>
      </c>
    </row>
    <row r="501" spans="1:192" ht="12" customHeight="1" x14ac:dyDescent="0.3">
      <c r="B501" s="14" t="s">
        <v>605</v>
      </c>
      <c r="C501" s="24"/>
      <c r="D501" s="14" t="s">
        <v>365</v>
      </c>
      <c r="E501" s="24"/>
      <c r="F501" s="24"/>
      <c r="G501" s="109"/>
      <c r="H501" s="43" t="s">
        <v>644</v>
      </c>
      <c r="I501" s="43"/>
      <c r="J501" s="38">
        <f t="shared" si="505"/>
        <v>889.65517241379314</v>
      </c>
      <c r="K501" s="45">
        <v>160.01999999999998</v>
      </c>
      <c r="L501" s="4">
        <f t="shared" si="506"/>
        <v>160.01999999999998</v>
      </c>
      <c r="M501" s="45">
        <v>37.655172413793103</v>
      </c>
      <c r="N501" s="7">
        <v>25.4</v>
      </c>
      <c r="O501" s="7">
        <f t="shared" si="507"/>
        <v>6.3</v>
      </c>
      <c r="P501" s="7">
        <f t="shared" si="508"/>
        <v>6.3</v>
      </c>
      <c r="Q501" s="45">
        <v>1524</v>
      </c>
      <c r="R501" s="45"/>
      <c r="S501" s="45">
        <v>774.69999999999993</v>
      </c>
      <c r="T501" s="45"/>
      <c r="U501" s="45">
        <v>774.69999999999993</v>
      </c>
      <c r="V501" s="45"/>
      <c r="W501" s="7"/>
      <c r="X501" s="38">
        <v>1</v>
      </c>
      <c r="Y501" s="38"/>
      <c r="Z501" s="38"/>
      <c r="AB501" s="7">
        <f t="shared" si="509"/>
        <v>31</v>
      </c>
      <c r="AC501" s="7">
        <f t="shared" si="510"/>
        <v>31</v>
      </c>
      <c r="AD501" s="45">
        <v>4.0999999999999996</v>
      </c>
      <c r="AE501" s="4">
        <f t="shared" si="511"/>
        <v>4.0999999999999996</v>
      </c>
      <c r="AF501" s="4">
        <f t="shared" si="512"/>
        <v>5.0999999999999996</v>
      </c>
      <c r="AG501" s="7">
        <f t="shared" si="513"/>
        <v>57.361276136431961</v>
      </c>
      <c r="AJ501" s="45">
        <v>412.41379310344826</v>
      </c>
      <c r="AM501" s="38">
        <f t="shared" si="577"/>
        <v>15.875</v>
      </c>
      <c r="AN501" s="38">
        <v>3</v>
      </c>
      <c r="AO501" s="39">
        <v>25.4</v>
      </c>
      <c r="AP501" s="39">
        <v>3</v>
      </c>
      <c r="AQ501" s="39">
        <v>1</v>
      </c>
      <c r="AS501" s="4">
        <f t="shared" si="514"/>
        <v>160.01999999999998</v>
      </c>
      <c r="AT501" s="4">
        <f t="shared" si="515"/>
        <v>1</v>
      </c>
      <c r="AU501" s="4">
        <f t="shared" si="516"/>
        <v>245.14125477551366</v>
      </c>
      <c r="AV501" s="4">
        <f t="shared" si="517"/>
        <v>1</v>
      </c>
      <c r="AW501" s="4">
        <v>1.25</v>
      </c>
      <c r="AX501" s="4">
        <v>1</v>
      </c>
      <c r="AY501" s="38">
        <f t="shared" si="518"/>
        <v>306.42656846939207</v>
      </c>
      <c r="AZ501" s="38">
        <f t="shared" si="576"/>
        <v>306.42656846939207</v>
      </c>
      <c r="BA501" s="38">
        <f t="shared" si="519"/>
        <v>3.3703190491443937</v>
      </c>
      <c r="BF501" s="4">
        <f t="shared" si="520"/>
        <v>203.46947698317661</v>
      </c>
      <c r="BG501" s="4">
        <f t="shared" si="521"/>
        <v>1</v>
      </c>
      <c r="BH501" s="38">
        <f t="shared" si="522"/>
        <v>4727.2466018519244</v>
      </c>
      <c r="BI501" s="4">
        <f t="shared" si="523"/>
        <v>0.42600000000000005</v>
      </c>
      <c r="BJ501" s="4">
        <f t="shared" si="524"/>
        <v>45.289253534300364</v>
      </c>
      <c r="BK501" s="4">
        <f t="shared" si="525"/>
        <v>4772.5358553862252</v>
      </c>
      <c r="BM501" s="4">
        <f t="shared" si="526"/>
        <v>1.5</v>
      </c>
      <c r="BN501" s="4">
        <f t="shared" si="527"/>
        <v>450.10355015492706</v>
      </c>
      <c r="BP501" s="4">
        <f t="shared" si="528"/>
        <v>4534.0075957648514</v>
      </c>
      <c r="BQ501" s="4">
        <f t="shared" si="529"/>
        <v>0</v>
      </c>
      <c r="BR501" s="4">
        <f t="shared" si="530"/>
        <v>0</v>
      </c>
      <c r="BZ501" s="4">
        <f t="shared" si="531"/>
        <v>774.69999999999993</v>
      </c>
      <c r="CD501" s="9"/>
      <c r="CF501" s="9"/>
      <c r="CG501" s="9"/>
      <c r="CH501" s="9">
        <f t="shared" si="532"/>
        <v>774.69999999999993</v>
      </c>
      <c r="CI501" s="9">
        <f t="shared" si="533"/>
        <v>774.69999999999993</v>
      </c>
      <c r="CJ501" s="9">
        <f t="shared" si="534"/>
        <v>5.5226805085936306</v>
      </c>
      <c r="CK501" s="70">
        <f t="shared" si="535"/>
        <v>20</v>
      </c>
      <c r="CL501" s="9">
        <f t="shared" si="536"/>
        <v>0.05</v>
      </c>
      <c r="CM501" s="9">
        <f t="shared" si="537"/>
        <v>0.8</v>
      </c>
      <c r="CN501" s="9">
        <f t="shared" si="538"/>
        <v>0.99524931562137331</v>
      </c>
      <c r="CO501" s="9">
        <f t="shared" si="539"/>
        <v>0.68</v>
      </c>
      <c r="CP501" s="9">
        <f t="shared" si="540"/>
        <v>1.4535205120600561</v>
      </c>
      <c r="CQ501" s="9">
        <f t="shared" si="541"/>
        <v>3.63380128015014</v>
      </c>
      <c r="CR501" s="40">
        <v>1</v>
      </c>
      <c r="CS501" s="9">
        <f t="shared" si="542"/>
        <v>309.59986906879192</v>
      </c>
      <c r="DQ501" s="4">
        <f t="shared" si="543"/>
        <v>160.01999999999998</v>
      </c>
      <c r="DT501" s="4">
        <f t="shared" si="544"/>
        <v>1.1861787488892311E-5</v>
      </c>
      <c r="DU501" s="4">
        <f t="shared" si="545"/>
        <v>9.414661970751931</v>
      </c>
      <c r="DV501" s="4">
        <f t="shared" si="546"/>
        <v>0.44226058895567227</v>
      </c>
      <c r="DW501" s="4">
        <f t="shared" si="547"/>
        <v>6.7932254419875013</v>
      </c>
      <c r="DX501" s="4">
        <f t="shared" si="548"/>
        <v>8.2095252459350316</v>
      </c>
      <c r="DY501" s="4">
        <f t="shared" si="549"/>
        <v>9.1717730741209333</v>
      </c>
      <c r="DZ501" s="38">
        <f t="shared" si="550"/>
        <v>506.57494485913878</v>
      </c>
      <c r="EA501" s="4">
        <f t="shared" si="551"/>
        <v>1</v>
      </c>
      <c r="EB501" s="4">
        <f t="shared" si="552"/>
        <v>2.2583179581272428</v>
      </c>
      <c r="EC501" s="4">
        <f t="shared" si="553"/>
        <v>306.42656846939207</v>
      </c>
      <c r="EG501" s="4">
        <f t="shared" si="554"/>
        <v>0.85</v>
      </c>
      <c r="EH501" s="4">
        <f t="shared" si="555"/>
        <v>0.7</v>
      </c>
      <c r="EI501" s="4">
        <f t="shared" si="556"/>
        <v>0.84062499999999996</v>
      </c>
      <c r="EJ501" s="4">
        <f t="shared" si="557"/>
        <v>0.7</v>
      </c>
      <c r="EL501" s="4">
        <f t="shared" si="558"/>
        <v>889.65517241379314</v>
      </c>
      <c r="EP501" s="4">
        <f t="shared" si="559"/>
        <v>9.414661970751931</v>
      </c>
      <c r="ES501" s="4">
        <f t="shared" si="560"/>
        <v>57.361276136431961</v>
      </c>
      <c r="ET501" s="4">
        <f t="shared" si="561"/>
        <v>2.2583179581272428</v>
      </c>
      <c r="EU501" s="4">
        <f t="shared" si="562"/>
        <v>0.14864530194371847</v>
      </c>
      <c r="EX501" s="4">
        <f t="shared" si="563"/>
        <v>0.14864530194371847</v>
      </c>
      <c r="EY501" s="4">
        <f t="shared" si="564"/>
        <v>0.44226058895567227</v>
      </c>
      <c r="EZ501" s="4">
        <f t="shared" si="565"/>
        <v>6.7932254419875013</v>
      </c>
      <c r="FA501" s="4">
        <f t="shared" si="566"/>
        <v>8.2095252459350316</v>
      </c>
      <c r="FB501" s="4">
        <f t="shared" si="567"/>
        <v>62.653723863568025</v>
      </c>
      <c r="FC501" s="4">
        <f t="shared" si="568"/>
        <v>40.004999999999988</v>
      </c>
      <c r="FD501" s="4">
        <f t="shared" si="569"/>
        <v>1.1861787488892309E-5</v>
      </c>
      <c r="FE501" s="4">
        <f t="shared" si="570"/>
        <v>9.1717730741209316</v>
      </c>
      <c r="FF501" s="4">
        <f t="shared" si="571"/>
        <v>506.57494485913878</v>
      </c>
      <c r="FO501" s="23"/>
      <c r="FP501" s="23"/>
      <c r="FQ501" s="23"/>
      <c r="FR501" s="23"/>
      <c r="FS501" s="23"/>
      <c r="FT501" s="23"/>
      <c r="FU501" s="23"/>
      <c r="FV501" s="23"/>
      <c r="GF501" s="4">
        <f t="shared" si="572"/>
        <v>1</v>
      </c>
      <c r="GG501" s="4">
        <f t="shared" si="573"/>
        <v>0.75511627906976753</v>
      </c>
      <c r="GH501" s="4">
        <f t="shared" si="574"/>
        <v>0.3</v>
      </c>
      <c r="GI501" s="4">
        <f t="shared" si="575"/>
        <v>206.08464436450731</v>
      </c>
    </row>
    <row r="502" spans="1:192" ht="12" customHeight="1" x14ac:dyDescent="0.3">
      <c r="B502" s="14" t="s">
        <v>605</v>
      </c>
      <c r="C502" s="24"/>
      <c r="D502" s="14" t="s">
        <v>365</v>
      </c>
      <c r="E502" s="24"/>
      <c r="F502" s="24"/>
      <c r="G502" s="109"/>
      <c r="H502" s="43" t="s">
        <v>644</v>
      </c>
      <c r="I502" s="43"/>
      <c r="J502" s="38">
        <f t="shared" si="505"/>
        <v>889.65517241379314</v>
      </c>
      <c r="K502" s="45">
        <v>167.64</v>
      </c>
      <c r="L502" s="4">
        <f t="shared" si="506"/>
        <v>167.64</v>
      </c>
      <c r="M502" s="45">
        <v>37.655172413793103</v>
      </c>
      <c r="N502" s="7">
        <v>25.4</v>
      </c>
      <c r="O502" s="7">
        <f t="shared" si="507"/>
        <v>6.6</v>
      </c>
      <c r="P502" s="7">
        <f t="shared" si="508"/>
        <v>6.6</v>
      </c>
      <c r="Q502" s="45">
        <v>1524</v>
      </c>
      <c r="R502" s="45"/>
      <c r="S502" s="45">
        <v>762</v>
      </c>
      <c r="T502" s="45"/>
      <c r="U502" s="45">
        <v>762</v>
      </c>
      <c r="V502" s="45"/>
      <c r="W502" s="7"/>
      <c r="X502" s="38">
        <v>1</v>
      </c>
      <c r="Y502" s="38"/>
      <c r="Z502" s="38"/>
      <c r="AB502" s="7">
        <f t="shared" si="509"/>
        <v>30.5</v>
      </c>
      <c r="AC502" s="7">
        <f t="shared" si="510"/>
        <v>30.5</v>
      </c>
      <c r="AD502" s="45">
        <v>4.0999999999999996</v>
      </c>
      <c r="AE502" s="4">
        <f t="shared" si="511"/>
        <v>4.0999999999999996</v>
      </c>
      <c r="AF502" s="4">
        <f t="shared" si="512"/>
        <v>5.0999999999999996</v>
      </c>
      <c r="AG502" s="7">
        <f t="shared" si="513"/>
        <v>57.361276136431961</v>
      </c>
      <c r="AJ502" s="45">
        <v>488.27586206896552</v>
      </c>
      <c r="AM502" s="38">
        <f t="shared" si="577"/>
        <v>15.875</v>
      </c>
      <c r="AN502" s="38">
        <v>3</v>
      </c>
      <c r="AO502" s="39">
        <v>25.4</v>
      </c>
      <c r="AP502" s="39">
        <v>3</v>
      </c>
      <c r="AQ502" s="39">
        <v>1</v>
      </c>
      <c r="AS502" s="4">
        <f t="shared" si="514"/>
        <v>167.64</v>
      </c>
      <c r="AT502" s="4">
        <f t="shared" si="515"/>
        <v>1</v>
      </c>
      <c r="AU502" s="4">
        <f t="shared" si="516"/>
        <v>262.85817231611441</v>
      </c>
      <c r="AV502" s="4">
        <f t="shared" si="517"/>
        <v>1</v>
      </c>
      <c r="AW502" s="4">
        <v>1.25</v>
      </c>
      <c r="AX502" s="4">
        <v>1</v>
      </c>
      <c r="AY502" s="38">
        <f t="shared" si="518"/>
        <v>328.57271539514301</v>
      </c>
      <c r="AZ502" s="38">
        <f t="shared" si="576"/>
        <v>328.57271539514301</v>
      </c>
      <c r="BA502" s="38">
        <f t="shared" si="519"/>
        <v>3.3703190491443937</v>
      </c>
      <c r="BF502" s="4">
        <f t="shared" si="520"/>
        <v>213.15849969666118</v>
      </c>
      <c r="BG502" s="4">
        <f t="shared" si="521"/>
        <v>1</v>
      </c>
      <c r="BH502" s="38">
        <f t="shared" si="522"/>
        <v>4651.000688918828</v>
      </c>
      <c r="BI502" s="4">
        <f t="shared" si="523"/>
        <v>0.42600000000000005</v>
      </c>
      <c r="BJ502" s="4">
        <f t="shared" si="524"/>
        <v>47.445884654981334</v>
      </c>
      <c r="BK502" s="4">
        <f t="shared" si="525"/>
        <v>4698.4465735738095</v>
      </c>
      <c r="BM502" s="4">
        <f t="shared" si="526"/>
        <v>1.5</v>
      </c>
      <c r="BN502" s="4">
        <f t="shared" si="527"/>
        <v>458.38766457495637</v>
      </c>
      <c r="BP502" s="4">
        <f t="shared" si="528"/>
        <v>4460.878440994451</v>
      </c>
      <c r="BQ502" s="4">
        <f t="shared" si="529"/>
        <v>0</v>
      </c>
      <c r="BR502" s="4">
        <f t="shared" si="530"/>
        <v>0</v>
      </c>
      <c r="BZ502" s="4">
        <f t="shared" si="531"/>
        <v>762</v>
      </c>
      <c r="CD502" s="9"/>
      <c r="CF502" s="9"/>
      <c r="CG502" s="9"/>
      <c r="CH502" s="9">
        <f t="shared" si="532"/>
        <v>762</v>
      </c>
      <c r="CI502" s="9">
        <f t="shared" si="533"/>
        <v>762</v>
      </c>
      <c r="CJ502" s="9">
        <f t="shared" si="534"/>
        <v>5.4772255750516612</v>
      </c>
      <c r="CK502" s="70">
        <f t="shared" si="535"/>
        <v>20</v>
      </c>
      <c r="CL502" s="9">
        <f t="shared" si="536"/>
        <v>0.05</v>
      </c>
      <c r="CM502" s="9">
        <f t="shared" si="537"/>
        <v>0.8</v>
      </c>
      <c r="CN502" s="9">
        <f t="shared" si="538"/>
        <v>0.99524931562137331</v>
      </c>
      <c r="CO502" s="9">
        <f t="shared" si="539"/>
        <v>0.68</v>
      </c>
      <c r="CP502" s="9">
        <f t="shared" si="540"/>
        <v>1.4535205120600561</v>
      </c>
      <c r="CQ502" s="9">
        <f t="shared" si="541"/>
        <v>3.63380128015014</v>
      </c>
      <c r="CR502" s="40">
        <v>1</v>
      </c>
      <c r="CS502" s="9">
        <f t="shared" si="542"/>
        <v>313.96043060497209</v>
      </c>
      <c r="DQ502" s="4">
        <f t="shared" si="543"/>
        <v>167.64</v>
      </c>
      <c r="DT502" s="4">
        <f t="shared" si="544"/>
        <v>1.2426634512172898E-5</v>
      </c>
      <c r="DU502" s="4">
        <f t="shared" si="545"/>
        <v>9.414661970751931</v>
      </c>
      <c r="DV502" s="4">
        <f t="shared" si="546"/>
        <v>0.47422377031884377</v>
      </c>
      <c r="DW502" s="4">
        <f t="shared" si="547"/>
        <v>6.985509041533815</v>
      </c>
      <c r="DX502" s="4">
        <f t="shared" si="548"/>
        <v>8.2897399950379445</v>
      </c>
      <c r="DY502" s="4">
        <f t="shared" si="549"/>
        <v>9.1434596716302359</v>
      </c>
      <c r="DZ502" s="38">
        <f t="shared" si="550"/>
        <v>541.27492839427873</v>
      </c>
      <c r="EA502" s="4">
        <f t="shared" si="551"/>
        <v>1</v>
      </c>
      <c r="EB502" s="4">
        <f t="shared" si="552"/>
        <v>2.2583179581272428</v>
      </c>
      <c r="EC502" s="4">
        <f t="shared" si="553"/>
        <v>328.57271539514301</v>
      </c>
      <c r="EG502" s="4">
        <f t="shared" si="554"/>
        <v>0.85</v>
      </c>
      <c r="EH502" s="4">
        <f t="shared" si="555"/>
        <v>0.7</v>
      </c>
      <c r="EI502" s="4">
        <f t="shared" si="556"/>
        <v>0.84062499999999996</v>
      </c>
      <c r="EJ502" s="4">
        <f t="shared" si="557"/>
        <v>0.7</v>
      </c>
      <c r="EL502" s="4">
        <f t="shared" si="558"/>
        <v>889.65517241379314</v>
      </c>
      <c r="EP502" s="4">
        <f t="shared" si="559"/>
        <v>9.414661970751931</v>
      </c>
      <c r="ES502" s="4">
        <f t="shared" si="560"/>
        <v>57.361276136431961</v>
      </c>
      <c r="ET502" s="4">
        <f t="shared" si="561"/>
        <v>2.2583179581272428</v>
      </c>
      <c r="EU502" s="4">
        <f t="shared" si="562"/>
        <v>0.15938823690889276</v>
      </c>
      <c r="EX502" s="4">
        <f t="shared" si="563"/>
        <v>0.15938823690889276</v>
      </c>
      <c r="EY502" s="4">
        <f t="shared" si="564"/>
        <v>0.47422377031884377</v>
      </c>
      <c r="EZ502" s="4">
        <f t="shared" si="565"/>
        <v>6.985509041533815</v>
      </c>
      <c r="FA502" s="4">
        <f t="shared" si="566"/>
        <v>8.2897399950379445</v>
      </c>
      <c r="FB502" s="4">
        <f t="shared" si="567"/>
        <v>68.368723863568022</v>
      </c>
      <c r="FC502" s="4">
        <f t="shared" si="568"/>
        <v>41.91</v>
      </c>
      <c r="FD502" s="4">
        <f t="shared" si="569"/>
        <v>1.2426634512172898E-5</v>
      </c>
      <c r="FE502" s="4">
        <f t="shared" si="570"/>
        <v>9.1434596716302359</v>
      </c>
      <c r="FF502" s="4">
        <f t="shared" si="571"/>
        <v>541.27492839427873</v>
      </c>
      <c r="FO502" s="23"/>
      <c r="FP502" s="23"/>
      <c r="FQ502" s="23"/>
      <c r="FR502" s="23"/>
      <c r="FS502" s="23"/>
      <c r="FT502" s="23"/>
      <c r="FU502" s="23"/>
      <c r="FV502" s="23"/>
      <c r="GF502" s="4">
        <f t="shared" si="572"/>
        <v>1</v>
      </c>
      <c r="GG502" s="4">
        <f t="shared" si="573"/>
        <v>0.75511627906976753</v>
      </c>
      <c r="GH502" s="4">
        <f t="shared" si="574"/>
        <v>0.3</v>
      </c>
      <c r="GI502" s="4">
        <f t="shared" si="575"/>
        <v>215.89819885805528</v>
      </c>
    </row>
    <row r="503" spans="1:192" ht="12" customHeight="1" x14ac:dyDescent="0.3">
      <c r="B503" s="14" t="s">
        <v>605</v>
      </c>
      <c r="C503" s="24"/>
      <c r="D503" s="14" t="s">
        <v>365</v>
      </c>
      <c r="E503" s="24"/>
      <c r="F503" s="24"/>
      <c r="G503" s="109"/>
      <c r="H503" s="43" t="s">
        <v>644</v>
      </c>
      <c r="I503" s="43"/>
      <c r="J503" s="38">
        <f t="shared" si="505"/>
        <v>889.65517241379314</v>
      </c>
      <c r="K503" s="45">
        <v>175.26</v>
      </c>
      <c r="L503" s="4">
        <f t="shared" si="506"/>
        <v>175.26</v>
      </c>
      <c r="M503" s="45">
        <v>37.655172413793103</v>
      </c>
      <c r="N503" s="7">
        <v>25.4</v>
      </c>
      <c r="O503" s="7">
        <f t="shared" si="507"/>
        <v>6.9</v>
      </c>
      <c r="P503" s="7">
        <f t="shared" si="508"/>
        <v>6.9</v>
      </c>
      <c r="Q503" s="45">
        <v>1524</v>
      </c>
      <c r="R503" s="45"/>
      <c r="S503" s="45">
        <v>769.62</v>
      </c>
      <c r="T503" s="45"/>
      <c r="U503" s="45">
        <v>769.62</v>
      </c>
      <c r="V503" s="45"/>
      <c r="W503" s="7"/>
      <c r="X503" s="38">
        <v>1</v>
      </c>
      <c r="Y503" s="38"/>
      <c r="Z503" s="38"/>
      <c r="AB503" s="7">
        <f t="shared" si="509"/>
        <v>30.8</v>
      </c>
      <c r="AC503" s="7">
        <f t="shared" si="510"/>
        <v>30.8</v>
      </c>
      <c r="AD503" s="45">
        <v>4.0999999999999996</v>
      </c>
      <c r="AE503" s="4">
        <f t="shared" si="511"/>
        <v>4.0999999999999996</v>
      </c>
      <c r="AF503" s="4">
        <f t="shared" si="512"/>
        <v>5.0999999999999996</v>
      </c>
      <c r="AG503" s="7">
        <f t="shared" si="513"/>
        <v>57.361276136431961</v>
      </c>
      <c r="AJ503" s="45">
        <v>459.31034482758622</v>
      </c>
      <c r="AL503" s="4">
        <f>AJ503*0.145*PI()/4</f>
        <v>52.307517682270053</v>
      </c>
      <c r="AM503" s="38">
        <f>25.4*5/8</f>
        <v>15.875</v>
      </c>
      <c r="AN503" s="38">
        <v>3</v>
      </c>
      <c r="AO503" s="39">
        <v>25.4</v>
      </c>
      <c r="AP503" s="39">
        <v>3</v>
      </c>
      <c r="AQ503" s="39">
        <v>1</v>
      </c>
      <c r="AS503" s="4">
        <f t="shared" si="514"/>
        <v>175.26</v>
      </c>
      <c r="AT503" s="4">
        <f t="shared" si="515"/>
        <v>1</v>
      </c>
      <c r="AU503" s="4">
        <f t="shared" si="516"/>
        <v>280.98246403479141</v>
      </c>
      <c r="AV503" s="4">
        <f t="shared" si="517"/>
        <v>1</v>
      </c>
      <c r="AW503" s="4">
        <v>1.25</v>
      </c>
      <c r="AX503" s="4">
        <v>1</v>
      </c>
      <c r="AY503" s="38">
        <f t="shared" si="518"/>
        <v>351.22808004348929</v>
      </c>
      <c r="AZ503" s="38">
        <f t="shared" si="576"/>
        <v>351.22808004348929</v>
      </c>
      <c r="BA503" s="38">
        <f t="shared" si="519"/>
        <v>3.3703190491443937</v>
      </c>
      <c r="BF503" s="4">
        <f t="shared" si="520"/>
        <v>222.84752241014584</v>
      </c>
      <c r="BG503" s="4">
        <f t="shared" si="521"/>
        <v>1</v>
      </c>
      <c r="BH503" s="38">
        <f t="shared" si="522"/>
        <v>4696.7482366786853</v>
      </c>
      <c r="BI503" s="4">
        <f t="shared" si="523"/>
        <v>0.42600000000000005</v>
      </c>
      <c r="BJ503" s="4">
        <f t="shared" si="524"/>
        <v>49.602515775662305</v>
      </c>
      <c r="BK503" s="4">
        <f t="shared" si="525"/>
        <v>4746.3507524543475</v>
      </c>
      <c r="BM503" s="4">
        <f t="shared" si="526"/>
        <v>1.5</v>
      </c>
      <c r="BN503" s="4">
        <f t="shared" si="527"/>
        <v>466.67177899498586</v>
      </c>
      <c r="BP503" s="4">
        <f t="shared" si="528"/>
        <v>4504.7559338566916</v>
      </c>
      <c r="BQ503" s="4">
        <f t="shared" si="529"/>
        <v>0</v>
      </c>
      <c r="BR503" s="4">
        <f t="shared" si="530"/>
        <v>0</v>
      </c>
      <c r="BZ503" s="4">
        <f t="shared" si="531"/>
        <v>769.62</v>
      </c>
      <c r="CD503" s="9"/>
      <c r="CF503" s="9"/>
      <c r="CG503" s="9"/>
      <c r="CH503" s="9">
        <f t="shared" si="532"/>
        <v>769.62</v>
      </c>
      <c r="CI503" s="9">
        <f t="shared" si="533"/>
        <v>769.62</v>
      </c>
      <c r="CJ503" s="9">
        <f t="shared" si="534"/>
        <v>5.5045435778091543</v>
      </c>
      <c r="CK503" s="70">
        <f t="shared" si="535"/>
        <v>20</v>
      </c>
      <c r="CL503" s="9">
        <f t="shared" si="536"/>
        <v>0.05</v>
      </c>
      <c r="CM503" s="9">
        <f t="shared" si="537"/>
        <v>0.8</v>
      </c>
      <c r="CN503" s="9">
        <f t="shared" si="538"/>
        <v>0.99524931562137331</v>
      </c>
      <c r="CO503" s="9">
        <f t="shared" si="539"/>
        <v>0.68</v>
      </c>
      <c r="CP503" s="9">
        <f t="shared" si="540"/>
        <v>1.4535205120600561</v>
      </c>
      <c r="CQ503" s="9">
        <f t="shared" si="541"/>
        <v>3.63380128015014</v>
      </c>
      <c r="CR503" s="40">
        <v>1</v>
      </c>
      <c r="CS503" s="9">
        <f t="shared" si="542"/>
        <v>318.32099214115226</v>
      </c>
      <c r="DQ503" s="4">
        <f t="shared" si="543"/>
        <v>175.26</v>
      </c>
      <c r="DT503" s="4">
        <f t="shared" si="544"/>
        <v>1.2991481535453484E-5</v>
      </c>
      <c r="DU503" s="4">
        <f t="shared" si="545"/>
        <v>9.414661970751931</v>
      </c>
      <c r="DV503" s="4">
        <f t="shared" si="546"/>
        <v>0.50692189751594396</v>
      </c>
      <c r="DW503" s="4">
        <f t="shared" si="547"/>
        <v>7.1743267463293359</v>
      </c>
      <c r="DX503" s="4">
        <f t="shared" si="548"/>
        <v>8.3699267548594403</v>
      </c>
      <c r="DY503" s="4">
        <f t="shared" si="549"/>
        <v>9.1134708215683489</v>
      </c>
      <c r="DZ503" s="38">
        <f t="shared" si="550"/>
        <v>576.56833265789874</v>
      </c>
      <c r="EA503" s="4">
        <f t="shared" si="551"/>
        <v>0.99999999999999978</v>
      </c>
      <c r="EB503" s="4">
        <f t="shared" si="552"/>
        <v>2.2583179581272428</v>
      </c>
      <c r="EC503" s="4">
        <f t="shared" si="553"/>
        <v>351.22808004348929</v>
      </c>
      <c r="EG503" s="4">
        <f t="shared" si="554"/>
        <v>0.85</v>
      </c>
      <c r="EH503" s="4">
        <f t="shared" si="555"/>
        <v>0.7</v>
      </c>
      <c r="EI503" s="4">
        <f t="shared" si="556"/>
        <v>0.84062499999999996</v>
      </c>
      <c r="EJ503" s="4">
        <f t="shared" si="557"/>
        <v>0.7</v>
      </c>
      <c r="EL503" s="4">
        <f t="shared" si="558"/>
        <v>889.65517241379314</v>
      </c>
      <c r="EP503" s="4">
        <f t="shared" si="559"/>
        <v>9.414661970751931</v>
      </c>
      <c r="ES503" s="4">
        <f t="shared" si="560"/>
        <v>57.361276136431961</v>
      </c>
      <c r="ET503" s="4">
        <f t="shared" si="561"/>
        <v>2.2583179581272428</v>
      </c>
      <c r="EU503" s="4">
        <f t="shared" si="562"/>
        <v>0.17037818969144611</v>
      </c>
      <c r="EX503" s="4">
        <f t="shared" si="563"/>
        <v>0.17037818969144611</v>
      </c>
      <c r="EY503" s="4">
        <f t="shared" si="564"/>
        <v>0.50692189751594396</v>
      </c>
      <c r="EZ503" s="4">
        <f t="shared" si="565"/>
        <v>7.1743267463293359</v>
      </c>
      <c r="FA503" s="4">
        <f t="shared" si="566"/>
        <v>8.3699267548594403</v>
      </c>
      <c r="FB503" s="4">
        <f t="shared" si="567"/>
        <v>74.083723863568025</v>
      </c>
      <c r="FC503" s="4">
        <f t="shared" si="568"/>
        <v>43.814999999999998</v>
      </c>
      <c r="FD503" s="4">
        <f t="shared" si="569"/>
        <v>1.2991481535453484E-5</v>
      </c>
      <c r="FE503" s="4">
        <f t="shared" si="570"/>
        <v>9.1134708215683489</v>
      </c>
      <c r="FF503" s="4">
        <f t="shared" si="571"/>
        <v>576.56833265789885</v>
      </c>
      <c r="FO503" s="23"/>
      <c r="FP503" s="23"/>
      <c r="FQ503" s="23"/>
      <c r="FR503" s="23"/>
      <c r="FS503" s="23"/>
      <c r="FT503" s="23"/>
      <c r="FU503" s="23"/>
      <c r="FV503" s="23"/>
      <c r="GF503" s="4">
        <f t="shared" si="572"/>
        <v>1</v>
      </c>
      <c r="GG503" s="4">
        <f t="shared" si="573"/>
        <v>0.75511627906976753</v>
      </c>
      <c r="GH503" s="4">
        <f t="shared" si="574"/>
        <v>0.3</v>
      </c>
      <c r="GI503" s="4">
        <f t="shared" si="575"/>
        <v>225.71175335160328</v>
      </c>
      <c r="GJ503" s="4">
        <f>GI503*0.145*PI()/4</f>
        <v>25.704671498237222</v>
      </c>
    </row>
    <row r="504" spans="1:192" ht="12" customHeight="1" x14ac:dyDescent="0.3">
      <c r="B504" s="24"/>
      <c r="C504" s="24"/>
      <c r="D504" s="24"/>
      <c r="E504" s="24"/>
      <c r="F504" s="24"/>
      <c r="G504" s="109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CD504" s="9"/>
      <c r="CF504" s="9"/>
      <c r="CG504" s="9"/>
      <c r="CH504" s="9"/>
      <c r="CI504" s="9"/>
      <c r="CJ504" s="9"/>
      <c r="CK504" s="70"/>
      <c r="CL504" s="9"/>
      <c r="CM504" s="9"/>
      <c r="CN504" s="9"/>
      <c r="CO504" s="9"/>
      <c r="CP504" s="9"/>
      <c r="CQ504" s="9"/>
      <c r="CR504" s="9"/>
      <c r="CS504" s="9"/>
      <c r="FO504" s="23"/>
      <c r="FP504" s="23"/>
      <c r="FQ504" s="23"/>
      <c r="FR504" s="23"/>
      <c r="FS504" s="23"/>
      <c r="FT504" s="23"/>
      <c r="FU504" s="23"/>
      <c r="FV504" s="23"/>
    </row>
    <row r="505" spans="1:192" ht="12" customHeight="1" x14ac:dyDescent="0.3">
      <c r="B505" s="24" t="s">
        <v>738</v>
      </c>
      <c r="C505" s="24">
        <v>2004</v>
      </c>
      <c r="D505" s="24" t="s">
        <v>758</v>
      </c>
      <c r="E505" s="24"/>
      <c r="F505" s="24"/>
      <c r="G505" s="109"/>
      <c r="H505" s="7" t="s">
        <v>701</v>
      </c>
      <c r="I505" s="7"/>
      <c r="J505" s="7">
        <v>392</v>
      </c>
      <c r="K505" s="7">
        <v>375</v>
      </c>
      <c r="L505" s="7"/>
      <c r="M505" s="7">
        <v>40.799999999999997</v>
      </c>
      <c r="N505" s="7">
        <v>22</v>
      </c>
      <c r="O505" s="7"/>
      <c r="P505" s="7"/>
      <c r="Q505" s="7">
        <v>500</v>
      </c>
      <c r="R505" s="7"/>
      <c r="S505" s="7">
        <v>134</v>
      </c>
      <c r="T505" s="7"/>
      <c r="U505" s="7">
        <f>500-375</f>
        <v>125</v>
      </c>
      <c r="V505" s="7"/>
      <c r="W505" s="7">
        <v>70</v>
      </c>
      <c r="X505" s="7">
        <v>4</v>
      </c>
      <c r="Y505" s="7"/>
      <c r="Z505" s="7"/>
      <c r="AA505" s="7">
        <v>61</v>
      </c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CD505" s="9"/>
      <c r="CF505" s="9"/>
      <c r="CG505" s="9"/>
      <c r="CH505" s="9"/>
      <c r="CI505" s="9"/>
      <c r="CJ505" s="9"/>
      <c r="CK505" s="70"/>
      <c r="CL505" s="9"/>
      <c r="CM505" s="9"/>
      <c r="CN505" s="9"/>
      <c r="CO505" s="9"/>
      <c r="CP505" s="9"/>
      <c r="CQ505" s="9"/>
      <c r="CR505" s="9"/>
      <c r="CS505" s="9"/>
      <c r="FO505" s="23"/>
      <c r="FP505" s="23"/>
      <c r="FQ505" s="23"/>
      <c r="FR505" s="23"/>
      <c r="FS505" s="23"/>
      <c r="FT505" s="23"/>
      <c r="FU505" s="23"/>
      <c r="FV505" s="23"/>
    </row>
    <row r="506" spans="1:192" ht="12" customHeight="1" x14ac:dyDescent="0.3">
      <c r="B506" s="24"/>
      <c r="C506" s="24"/>
      <c r="D506" s="24"/>
      <c r="E506" s="24"/>
      <c r="F506" s="24"/>
      <c r="G506" s="109"/>
      <c r="H506" s="7"/>
      <c r="I506" s="7"/>
      <c r="J506" s="7">
        <v>392</v>
      </c>
      <c r="K506" s="7">
        <v>375</v>
      </c>
      <c r="L506" s="7"/>
      <c r="M506" s="7">
        <v>40.799999999999997</v>
      </c>
      <c r="N506" s="7">
        <v>22</v>
      </c>
      <c r="O506" s="7"/>
      <c r="P506" s="7"/>
      <c r="Q506" s="7">
        <v>500</v>
      </c>
      <c r="R506" s="7"/>
      <c r="S506" s="7">
        <v>134</v>
      </c>
      <c r="T506" s="7"/>
      <c r="U506" s="7">
        <f>500-375</f>
        <v>125</v>
      </c>
      <c r="V506" s="7"/>
      <c r="W506" s="7">
        <v>105</v>
      </c>
      <c r="X506" s="7">
        <v>3</v>
      </c>
      <c r="Y506" s="7"/>
      <c r="Z506" s="7"/>
      <c r="AA506" s="7">
        <v>61</v>
      </c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CD506" s="9"/>
      <c r="CF506" s="9"/>
      <c r="CG506" s="9"/>
      <c r="CH506" s="9"/>
      <c r="CI506" s="9"/>
      <c r="CJ506" s="9"/>
      <c r="CK506" s="70"/>
      <c r="CL506" s="9"/>
      <c r="CM506" s="9"/>
      <c r="CN506" s="9"/>
      <c r="CO506" s="9"/>
      <c r="CP506" s="9"/>
      <c r="CQ506" s="9"/>
      <c r="CR506" s="9"/>
      <c r="CS506" s="9"/>
      <c r="FO506" s="23"/>
      <c r="FP506" s="23"/>
      <c r="FQ506" s="23"/>
      <c r="FR506" s="23"/>
      <c r="FS506" s="23"/>
      <c r="FT506" s="23"/>
      <c r="FU506" s="23"/>
      <c r="FV506" s="23"/>
    </row>
    <row r="507" spans="1:192" ht="12" customHeight="1" x14ac:dyDescent="0.3">
      <c r="B507" s="24"/>
      <c r="C507" s="24"/>
      <c r="D507" s="24"/>
      <c r="E507" s="24"/>
      <c r="F507" s="24"/>
      <c r="G507" s="109"/>
      <c r="H507" s="7" t="s">
        <v>702</v>
      </c>
      <c r="I507" s="7"/>
      <c r="J507" s="7">
        <v>392</v>
      </c>
      <c r="K507" s="7">
        <v>375</v>
      </c>
      <c r="L507" s="7"/>
      <c r="M507" s="7">
        <v>40.799999999999997</v>
      </c>
      <c r="N507" s="7">
        <v>22</v>
      </c>
      <c r="O507" s="7"/>
      <c r="P507" s="7"/>
      <c r="Q507" s="7">
        <v>500</v>
      </c>
      <c r="R507" s="7"/>
      <c r="U507" s="4">
        <f>500-375</f>
        <v>125</v>
      </c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34"/>
      <c r="AN507" s="7"/>
      <c r="AO507" s="7"/>
      <c r="AP507" s="7"/>
      <c r="AQ507" s="7"/>
      <c r="AR507" s="7"/>
      <c r="CD507" s="9"/>
      <c r="CF507" s="9"/>
      <c r="CG507" s="9"/>
      <c r="CH507" s="9"/>
      <c r="CI507" s="9"/>
      <c r="CJ507" s="9"/>
      <c r="CK507" s="70"/>
      <c r="CL507" s="9"/>
      <c r="CM507" s="9"/>
      <c r="CN507" s="9"/>
      <c r="CO507" s="9"/>
      <c r="CP507" s="9"/>
      <c r="CQ507" s="9"/>
      <c r="CR507" s="9"/>
      <c r="CS507" s="9"/>
      <c r="FO507" s="23"/>
      <c r="FP507" s="23"/>
      <c r="FQ507" s="23"/>
      <c r="FR507" s="23"/>
      <c r="FS507" s="23"/>
      <c r="FT507" s="23"/>
      <c r="FU507" s="23"/>
      <c r="FV507" s="23"/>
    </row>
    <row r="508" spans="1:192" ht="12" customHeight="1" x14ac:dyDescent="0.3">
      <c r="B508" s="24"/>
      <c r="C508" s="24"/>
      <c r="D508" s="24"/>
      <c r="E508" s="24"/>
      <c r="F508" s="24"/>
      <c r="G508" s="109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34"/>
      <c r="AN508" s="7"/>
      <c r="AO508" s="7"/>
      <c r="AP508" s="7"/>
      <c r="AQ508" s="7"/>
      <c r="AR508" s="7"/>
      <c r="CD508" s="9"/>
      <c r="CF508" s="9"/>
      <c r="CG508" s="9"/>
      <c r="CH508" s="9"/>
      <c r="CI508" s="9"/>
      <c r="CJ508" s="9"/>
      <c r="CK508" s="70"/>
      <c r="CL508" s="9"/>
      <c r="CM508" s="9"/>
      <c r="CN508" s="9"/>
      <c r="CO508" s="9"/>
      <c r="CP508" s="9"/>
      <c r="CQ508" s="9"/>
      <c r="CR508" s="9"/>
      <c r="CS508" s="9"/>
      <c r="FO508" s="23"/>
      <c r="FP508" s="23"/>
      <c r="FQ508" s="23"/>
      <c r="FR508" s="23"/>
      <c r="FS508" s="23"/>
      <c r="FT508" s="23"/>
      <c r="FU508" s="23"/>
      <c r="FV508" s="23"/>
    </row>
    <row r="509" spans="1:192" ht="12" customHeight="1" x14ac:dyDescent="0.3">
      <c r="B509" s="24"/>
      <c r="C509" s="24"/>
      <c r="D509" s="24"/>
      <c r="E509" s="24"/>
      <c r="F509" s="24"/>
      <c r="G509" s="109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CD509" s="9"/>
      <c r="CF509" s="9"/>
      <c r="CG509" s="9"/>
      <c r="CH509" s="9"/>
      <c r="CI509" s="9"/>
      <c r="CJ509" s="9"/>
      <c r="CK509" s="70"/>
      <c r="CL509" s="9"/>
      <c r="CM509" s="9"/>
      <c r="CN509" s="9"/>
      <c r="CO509" s="9"/>
      <c r="CP509" s="9"/>
      <c r="CQ509" s="9"/>
      <c r="CR509" s="9"/>
      <c r="CS509" s="9"/>
      <c r="FO509" s="23"/>
      <c r="FP509" s="23"/>
      <c r="FQ509" s="23"/>
      <c r="FR509" s="23"/>
      <c r="FS509" s="23"/>
      <c r="FT509" s="23"/>
      <c r="FU509" s="23"/>
      <c r="FV509" s="23"/>
    </row>
    <row r="510" spans="1:192" ht="12" customHeight="1" x14ac:dyDescent="0.3">
      <c r="A510" s="4">
        <v>1</v>
      </c>
      <c r="B510" s="24" t="s">
        <v>756</v>
      </c>
      <c r="C510" s="62" t="s">
        <v>755</v>
      </c>
      <c r="D510" s="24" t="s">
        <v>758</v>
      </c>
      <c r="E510" s="24"/>
      <c r="F510" s="24"/>
      <c r="G510" s="109"/>
      <c r="H510" s="7" t="s">
        <v>704</v>
      </c>
      <c r="I510" s="7"/>
      <c r="J510" s="7">
        <v>795</v>
      </c>
      <c r="K510" s="7">
        <f>20*N510</f>
        <v>440</v>
      </c>
      <c r="L510" s="7">
        <v>440</v>
      </c>
      <c r="M510" s="7">
        <v>42.3</v>
      </c>
      <c r="N510" s="7">
        <v>22</v>
      </c>
      <c r="O510" s="7">
        <v>20</v>
      </c>
      <c r="P510" s="7">
        <v>20</v>
      </c>
      <c r="Q510" s="7">
        <v>325</v>
      </c>
      <c r="R510" s="7"/>
      <c r="S510" s="7">
        <f>2*N510</f>
        <v>44</v>
      </c>
      <c r="T510" s="7"/>
      <c r="U510" s="7">
        <v>40</v>
      </c>
      <c r="V510" s="7"/>
      <c r="W510" s="7">
        <f t="shared" ref="W510:W537" si="578">Q510-2*N510-2*S510</f>
        <v>193</v>
      </c>
      <c r="X510" s="7">
        <v>2</v>
      </c>
      <c r="Y510" s="7"/>
      <c r="Z510" s="7"/>
      <c r="AA510" s="7">
        <f t="shared" ref="AA510:AA543" si="579">(2/3)*K510</f>
        <v>293.33333333333331</v>
      </c>
      <c r="AB510" s="7"/>
      <c r="AC510" s="7"/>
      <c r="AD510" s="7"/>
      <c r="AE510" s="7"/>
      <c r="AF510" s="7">
        <v>5</v>
      </c>
      <c r="AG510" s="7"/>
      <c r="AH510" s="7"/>
      <c r="AI510" s="7"/>
      <c r="AJ510" s="7">
        <f>(762+757)/2</f>
        <v>759.5</v>
      </c>
      <c r="AK510" s="7"/>
      <c r="AL510" s="7"/>
      <c r="AM510" s="7">
        <v>0</v>
      </c>
      <c r="AN510" s="7">
        <v>0</v>
      </c>
      <c r="AO510" s="7">
        <f t="shared" ref="AO510:AO529" si="580">L510</f>
        <v>440</v>
      </c>
      <c r="AP510" s="7"/>
      <c r="AQ510" s="7"/>
      <c r="AR510" s="7"/>
      <c r="CD510" s="9"/>
      <c r="CF510" s="9"/>
      <c r="CG510" s="9"/>
      <c r="CH510" s="9"/>
      <c r="CI510" s="9"/>
      <c r="CJ510" s="9"/>
      <c r="CK510" s="70"/>
      <c r="CL510" s="9"/>
      <c r="CM510" s="9"/>
      <c r="CN510" s="9"/>
      <c r="CO510" s="9"/>
      <c r="CP510" s="9"/>
      <c r="CQ510" s="9"/>
      <c r="CR510" s="9"/>
      <c r="CS510" s="9"/>
      <c r="FO510" s="23"/>
      <c r="FP510" s="23"/>
      <c r="FQ510" s="23"/>
      <c r="FR510" s="23"/>
      <c r="FS510" s="23"/>
      <c r="FT510" s="23"/>
      <c r="FU510" s="23"/>
      <c r="FV510" s="23"/>
    </row>
    <row r="511" spans="1:192" ht="12" customHeight="1" x14ac:dyDescent="0.3">
      <c r="A511" s="4">
        <v>2</v>
      </c>
      <c r="B511" s="24"/>
      <c r="C511" s="24"/>
      <c r="D511" s="24"/>
      <c r="E511" s="24"/>
      <c r="F511" s="24"/>
      <c r="G511" s="109"/>
      <c r="H511" s="7" t="s">
        <v>705</v>
      </c>
      <c r="I511" s="7"/>
      <c r="J511" s="7">
        <v>701</v>
      </c>
      <c r="K511" s="7">
        <f>20*N511</f>
        <v>700</v>
      </c>
      <c r="L511" s="7">
        <v>700</v>
      </c>
      <c r="M511" s="7">
        <v>42.3</v>
      </c>
      <c r="N511" s="7">
        <v>35</v>
      </c>
      <c r="O511" s="7">
        <v>20</v>
      </c>
      <c r="P511" s="7">
        <v>20</v>
      </c>
      <c r="Q511" s="7">
        <v>590</v>
      </c>
      <c r="R511" s="7"/>
      <c r="S511" s="7">
        <f>2*N511</f>
        <v>70</v>
      </c>
      <c r="T511" s="7"/>
      <c r="U511" s="7">
        <v>40</v>
      </c>
      <c r="V511" s="7"/>
      <c r="W511" s="7">
        <f t="shared" si="578"/>
        <v>380</v>
      </c>
      <c r="X511" s="7">
        <v>2</v>
      </c>
      <c r="Y511" s="7"/>
      <c r="Z511" s="7"/>
      <c r="AA511" s="7">
        <f t="shared" si="579"/>
        <v>466.66666666666663</v>
      </c>
      <c r="AB511" s="7"/>
      <c r="AC511" s="7"/>
      <c r="AD511" s="7"/>
      <c r="AE511" s="7"/>
      <c r="AF511" s="7">
        <v>5</v>
      </c>
      <c r="AG511" s="7"/>
      <c r="AH511" s="7"/>
      <c r="AI511" s="7"/>
      <c r="AJ511" s="4">
        <f>(781+770)/2</f>
        <v>775.5</v>
      </c>
      <c r="AK511" s="7"/>
      <c r="AL511" s="7"/>
      <c r="AM511" s="7">
        <v>0</v>
      </c>
      <c r="AN511" s="7">
        <v>0</v>
      </c>
      <c r="AO511" s="7">
        <f t="shared" si="580"/>
        <v>700</v>
      </c>
      <c r="AP511" s="7"/>
      <c r="AQ511" s="7"/>
      <c r="AR511" s="7"/>
      <c r="CD511" s="9"/>
      <c r="CF511" s="9"/>
      <c r="CG511" s="9"/>
      <c r="CH511" s="9"/>
      <c r="CI511" s="9"/>
      <c r="CJ511" s="9"/>
      <c r="CK511" s="70"/>
      <c r="CL511" s="9"/>
      <c r="CM511" s="9"/>
      <c r="CN511" s="9"/>
      <c r="CO511" s="9"/>
      <c r="CP511" s="9"/>
      <c r="CQ511" s="9"/>
      <c r="CR511" s="9"/>
      <c r="CS511" s="9"/>
      <c r="FO511" s="23"/>
      <c r="FP511" s="23"/>
      <c r="FQ511" s="23"/>
      <c r="FR511" s="23"/>
      <c r="FS511" s="23"/>
      <c r="FT511" s="23"/>
      <c r="FU511" s="23"/>
      <c r="FV511" s="23"/>
    </row>
    <row r="512" spans="1:192" ht="12" customHeight="1" x14ac:dyDescent="0.3">
      <c r="A512" s="4">
        <v>3</v>
      </c>
      <c r="B512" s="24"/>
      <c r="C512" s="24"/>
      <c r="D512" s="24"/>
      <c r="E512" s="24"/>
      <c r="F512" s="24"/>
      <c r="G512" s="109"/>
      <c r="H512" s="7" t="s">
        <v>706</v>
      </c>
      <c r="I512" s="7"/>
      <c r="J512" s="7">
        <v>649</v>
      </c>
      <c r="K512" s="7">
        <f>7*N512</f>
        <v>287</v>
      </c>
      <c r="L512" s="7">
        <v>287</v>
      </c>
      <c r="M512" s="7">
        <v>62.8</v>
      </c>
      <c r="N512" s="7">
        <v>41</v>
      </c>
      <c r="O512" s="7">
        <v>7</v>
      </c>
      <c r="P512" s="7">
        <v>7</v>
      </c>
      <c r="Q512" s="7">
        <v>620</v>
      </c>
      <c r="R512" s="7"/>
      <c r="S512" s="7">
        <f>2*N512</f>
        <v>82</v>
      </c>
      <c r="T512" s="7"/>
      <c r="U512" s="7">
        <v>40</v>
      </c>
      <c r="V512" s="7"/>
      <c r="W512" s="7">
        <f t="shared" si="578"/>
        <v>374</v>
      </c>
      <c r="X512" s="7">
        <v>2</v>
      </c>
      <c r="Y512" s="7"/>
      <c r="Z512" s="7"/>
      <c r="AA512" s="7">
        <f t="shared" si="579"/>
        <v>191.33333333333331</v>
      </c>
      <c r="AB512" s="7"/>
      <c r="AC512" s="7"/>
      <c r="AD512" s="7"/>
      <c r="AE512" s="7"/>
      <c r="AF512" s="7">
        <v>5</v>
      </c>
      <c r="AG512" s="7"/>
      <c r="AH512" s="7"/>
      <c r="AI512" s="7"/>
      <c r="AJ512" s="7">
        <f>(454+399)/2</f>
        <v>426.5</v>
      </c>
      <c r="AK512" s="7"/>
      <c r="AL512" s="7"/>
      <c r="AM512" s="7">
        <v>0</v>
      </c>
      <c r="AN512" s="7">
        <v>0</v>
      </c>
      <c r="AO512" s="7">
        <f t="shared" si="580"/>
        <v>287</v>
      </c>
      <c r="AP512" s="7"/>
      <c r="AQ512" s="7"/>
      <c r="AR512" s="7"/>
      <c r="CD512" s="9"/>
      <c r="CF512" s="9"/>
      <c r="CG512" s="9"/>
      <c r="CH512" s="9"/>
      <c r="CI512" s="9"/>
      <c r="CJ512" s="9"/>
      <c r="CK512" s="70"/>
      <c r="CL512" s="9"/>
      <c r="CM512" s="9"/>
      <c r="CN512" s="9"/>
      <c r="CO512" s="9"/>
      <c r="CP512" s="9"/>
      <c r="CQ512" s="9"/>
      <c r="CR512" s="9"/>
      <c r="CS512" s="9"/>
      <c r="FO512" s="23"/>
      <c r="FP512" s="23"/>
      <c r="FQ512" s="23"/>
      <c r="FR512" s="23"/>
      <c r="FS512" s="23"/>
      <c r="FT512" s="23"/>
      <c r="FU512" s="23"/>
      <c r="FV512" s="23"/>
    </row>
    <row r="513" spans="1:178" ht="12" customHeight="1" x14ac:dyDescent="0.3">
      <c r="A513" s="4">
        <v>4</v>
      </c>
      <c r="B513" s="24"/>
      <c r="C513" s="24"/>
      <c r="D513" s="24"/>
      <c r="E513" s="24"/>
      <c r="F513" s="24"/>
      <c r="G513" s="109"/>
      <c r="H513" s="7" t="s">
        <v>707</v>
      </c>
      <c r="I513" s="7"/>
      <c r="J513" s="7">
        <v>649</v>
      </c>
      <c r="K513" s="7">
        <f>7*N513</f>
        <v>287</v>
      </c>
      <c r="L513" s="7">
        <v>287</v>
      </c>
      <c r="M513" s="7">
        <v>70.3</v>
      </c>
      <c r="N513" s="7">
        <v>41</v>
      </c>
      <c r="O513" s="7">
        <v>7</v>
      </c>
      <c r="P513" s="7">
        <v>7</v>
      </c>
      <c r="Q513" s="7">
        <v>620</v>
      </c>
      <c r="R513" s="7"/>
      <c r="S513" s="7">
        <f>2*N513</f>
        <v>82</v>
      </c>
      <c r="T513" s="7"/>
      <c r="U513" s="7">
        <v>40</v>
      </c>
      <c r="V513" s="7"/>
      <c r="W513" s="7">
        <f t="shared" si="578"/>
        <v>374</v>
      </c>
      <c r="X513" s="7">
        <v>2</v>
      </c>
      <c r="Y513" s="7"/>
      <c r="Z513" s="7"/>
      <c r="AA513" s="7">
        <f t="shared" si="579"/>
        <v>191.33333333333331</v>
      </c>
      <c r="AB513" s="7"/>
      <c r="AC513" s="7"/>
      <c r="AD513" s="7"/>
      <c r="AE513" s="7"/>
      <c r="AF513" s="7">
        <v>5</v>
      </c>
      <c r="AG513" s="7"/>
      <c r="AH513" s="7"/>
      <c r="AI513" s="7"/>
      <c r="AJ513" s="7">
        <f>(466+476)/2</f>
        <v>471</v>
      </c>
      <c r="AK513" s="7"/>
      <c r="AL513" s="7"/>
      <c r="AM513" s="7">
        <v>0</v>
      </c>
      <c r="AN513" s="7">
        <v>0</v>
      </c>
      <c r="AO513" s="7">
        <f t="shared" si="580"/>
        <v>287</v>
      </c>
      <c r="AP513" s="7"/>
      <c r="AQ513" s="7"/>
      <c r="AR513" s="7"/>
      <c r="CD513" s="9"/>
      <c r="CF513" s="9"/>
      <c r="CG513" s="9"/>
      <c r="CH513" s="9"/>
      <c r="CI513" s="9"/>
      <c r="CJ513" s="9"/>
      <c r="CK513" s="70"/>
      <c r="CL513" s="9"/>
      <c r="CM513" s="9"/>
      <c r="CN513" s="9"/>
      <c r="CO513" s="9"/>
      <c r="CP513" s="9"/>
      <c r="CQ513" s="9"/>
      <c r="CR513" s="9"/>
      <c r="CS513" s="9"/>
      <c r="FO513" s="23"/>
      <c r="FP513" s="23"/>
      <c r="FQ513" s="23"/>
      <c r="FR513" s="23"/>
      <c r="FS513" s="23"/>
      <c r="FT513" s="23"/>
      <c r="FU513" s="23"/>
      <c r="FV513" s="23"/>
    </row>
    <row r="514" spans="1:178" ht="12" customHeight="1" x14ac:dyDescent="0.3">
      <c r="A514" s="4">
        <v>5</v>
      </c>
      <c r="B514" s="24"/>
      <c r="C514" s="24"/>
      <c r="D514" s="24"/>
      <c r="E514" s="24"/>
      <c r="F514" s="24"/>
      <c r="G514" s="109"/>
      <c r="H514" s="7" t="s">
        <v>708</v>
      </c>
      <c r="I514" s="7"/>
      <c r="J514" s="7">
        <v>649</v>
      </c>
      <c r="K514" s="7">
        <f>10*N514</f>
        <v>410</v>
      </c>
      <c r="L514" s="7">
        <v>410</v>
      </c>
      <c r="M514" s="7">
        <v>70.3</v>
      </c>
      <c r="N514" s="7">
        <v>41</v>
      </c>
      <c r="O514" s="7">
        <v>10</v>
      </c>
      <c r="P514" s="7">
        <v>10</v>
      </c>
      <c r="Q514" s="7">
        <v>538</v>
      </c>
      <c r="R514" s="7"/>
      <c r="S514" s="7">
        <f>1*N514</f>
        <v>41</v>
      </c>
      <c r="T514" s="7"/>
      <c r="U514" s="7">
        <v>40</v>
      </c>
      <c r="V514" s="7"/>
      <c r="W514" s="7">
        <f t="shared" si="578"/>
        <v>374</v>
      </c>
      <c r="X514" s="7">
        <v>2</v>
      </c>
      <c r="Y514" s="7"/>
      <c r="Z514" s="7"/>
      <c r="AA514" s="7">
        <f t="shared" si="579"/>
        <v>273.33333333333331</v>
      </c>
      <c r="AB514" s="7"/>
      <c r="AC514" s="7"/>
      <c r="AD514" s="7"/>
      <c r="AE514" s="7"/>
      <c r="AF514" s="7">
        <v>5</v>
      </c>
      <c r="AG514" s="7"/>
      <c r="AH514" s="7"/>
      <c r="AI514" s="7"/>
      <c r="AJ514" s="7">
        <f>(487+488)/2</f>
        <v>487.5</v>
      </c>
      <c r="AK514" s="7"/>
      <c r="AL514" s="7"/>
      <c r="AM514" s="7">
        <v>0</v>
      </c>
      <c r="AN514" s="7">
        <v>0</v>
      </c>
      <c r="AO514" s="7">
        <f t="shared" si="580"/>
        <v>410</v>
      </c>
      <c r="AP514" s="7"/>
      <c r="AQ514" s="7"/>
      <c r="AR514" s="7"/>
      <c r="CD514" s="9"/>
      <c r="CF514" s="9"/>
      <c r="CG514" s="9"/>
      <c r="CH514" s="9"/>
      <c r="CI514" s="9"/>
      <c r="CJ514" s="9"/>
      <c r="CK514" s="70"/>
      <c r="CL514" s="9"/>
      <c r="CM514" s="9"/>
      <c r="CN514" s="9"/>
      <c r="CO514" s="9"/>
      <c r="CP514" s="9"/>
      <c r="CQ514" s="9"/>
      <c r="CR514" s="9"/>
      <c r="CS514" s="9"/>
      <c r="FO514" s="23"/>
      <c r="FP514" s="23"/>
      <c r="FQ514" s="23"/>
      <c r="FR514" s="23"/>
      <c r="FS514" s="23"/>
      <c r="FT514" s="23"/>
      <c r="FU514" s="23"/>
      <c r="FV514" s="23"/>
    </row>
    <row r="515" spans="1:178" ht="12" customHeight="1" x14ac:dyDescent="0.3">
      <c r="A515" s="4">
        <v>6</v>
      </c>
      <c r="B515" s="24"/>
      <c r="C515" s="24"/>
      <c r="D515" s="24"/>
      <c r="E515" s="24"/>
      <c r="F515" s="24"/>
      <c r="G515" s="109"/>
      <c r="H515" s="7" t="s">
        <v>709</v>
      </c>
      <c r="I515" s="7"/>
      <c r="J515" s="7">
        <v>649</v>
      </c>
      <c r="K515" s="7">
        <f>10*N515</f>
        <v>410</v>
      </c>
      <c r="L515" s="7">
        <v>410</v>
      </c>
      <c r="M515" s="7">
        <v>62.8</v>
      </c>
      <c r="N515" s="7">
        <v>41</v>
      </c>
      <c r="O515" s="7">
        <v>10</v>
      </c>
      <c r="P515" s="7">
        <v>10</v>
      </c>
      <c r="Q515" s="7">
        <v>620</v>
      </c>
      <c r="R515" s="7"/>
      <c r="S515" s="7">
        <f>2*N515</f>
        <v>82</v>
      </c>
      <c r="T515" s="7"/>
      <c r="U515" s="7">
        <v>40</v>
      </c>
      <c r="V515" s="7"/>
      <c r="W515" s="7">
        <f t="shared" si="578"/>
        <v>374</v>
      </c>
      <c r="X515" s="7">
        <v>2</v>
      </c>
      <c r="Y515" s="7"/>
      <c r="Z515" s="7"/>
      <c r="AA515" s="7">
        <f t="shared" si="579"/>
        <v>273.33333333333331</v>
      </c>
      <c r="AB515" s="7"/>
      <c r="AC515" s="7"/>
      <c r="AD515" s="7"/>
      <c r="AE515" s="7"/>
      <c r="AF515" s="7">
        <v>5</v>
      </c>
      <c r="AG515" s="7"/>
      <c r="AH515" s="7"/>
      <c r="AI515" s="7"/>
      <c r="AJ515" s="4">
        <f>(619+454)/2</f>
        <v>536.5</v>
      </c>
      <c r="AK515" s="7"/>
      <c r="AL515" s="7"/>
      <c r="AM515" s="7">
        <v>0</v>
      </c>
      <c r="AN515" s="7">
        <v>0</v>
      </c>
      <c r="AO515" s="7">
        <f t="shared" si="580"/>
        <v>410</v>
      </c>
      <c r="AP515" s="7"/>
      <c r="AQ515" s="7"/>
      <c r="AR515" s="7"/>
      <c r="CD515" s="9"/>
      <c r="CF515" s="9"/>
      <c r="CG515" s="9"/>
      <c r="CH515" s="9"/>
      <c r="CI515" s="9"/>
      <c r="CJ515" s="9"/>
      <c r="CK515" s="70"/>
      <c r="CL515" s="9"/>
      <c r="CM515" s="9"/>
      <c r="CN515" s="9"/>
      <c r="CO515" s="9"/>
      <c r="CP515" s="9"/>
      <c r="CQ515" s="9"/>
      <c r="CR515" s="9"/>
      <c r="CS515" s="9"/>
      <c r="FO515" s="23"/>
      <c r="FP515" s="23"/>
      <c r="FQ515" s="23"/>
      <c r="FR515" s="23"/>
      <c r="FS515" s="23"/>
      <c r="FT515" s="23"/>
      <c r="FU515" s="23"/>
      <c r="FV515" s="23"/>
    </row>
    <row r="516" spans="1:178" ht="12" customHeight="1" x14ac:dyDescent="0.3">
      <c r="A516" s="4">
        <v>7</v>
      </c>
      <c r="B516" s="24"/>
      <c r="C516" s="24"/>
      <c r="D516" s="24"/>
      <c r="E516" s="24"/>
      <c r="F516" s="24"/>
      <c r="G516" s="109"/>
      <c r="H516" s="7" t="s">
        <v>710</v>
      </c>
      <c r="I516" s="7"/>
      <c r="J516" s="7">
        <v>649</v>
      </c>
      <c r="K516" s="7">
        <f>10*N516</f>
        <v>410</v>
      </c>
      <c r="L516" s="7">
        <v>410</v>
      </c>
      <c r="M516" s="7">
        <v>70.3</v>
      </c>
      <c r="N516" s="7">
        <v>41</v>
      </c>
      <c r="O516" s="7">
        <v>10</v>
      </c>
      <c r="P516" s="7">
        <v>10</v>
      </c>
      <c r="Q516" s="7">
        <v>620</v>
      </c>
      <c r="R516" s="7"/>
      <c r="S516" s="7">
        <f>2*N516</f>
        <v>82</v>
      </c>
      <c r="T516" s="7"/>
      <c r="U516" s="7">
        <v>40</v>
      </c>
      <c r="V516" s="7"/>
      <c r="W516" s="7">
        <f t="shared" si="578"/>
        <v>374</v>
      </c>
      <c r="X516" s="7">
        <v>2</v>
      </c>
      <c r="Y516" s="7"/>
      <c r="Z516" s="7"/>
      <c r="AA516" s="7">
        <f t="shared" si="579"/>
        <v>273.33333333333331</v>
      </c>
      <c r="AB516" s="7"/>
      <c r="AC516" s="7"/>
      <c r="AD516" s="7"/>
      <c r="AE516" s="7"/>
      <c r="AF516" s="7">
        <v>5</v>
      </c>
      <c r="AG516" s="7"/>
      <c r="AH516" s="7"/>
      <c r="AI516" s="7"/>
      <c r="AJ516" s="7">
        <f>(601+532)/2</f>
        <v>566.5</v>
      </c>
      <c r="AK516" s="7"/>
      <c r="AL516" s="7"/>
      <c r="AM516" s="7">
        <v>0</v>
      </c>
      <c r="AN516" s="7">
        <v>0</v>
      </c>
      <c r="AO516" s="7">
        <f t="shared" si="580"/>
        <v>410</v>
      </c>
      <c r="AP516" s="7"/>
      <c r="AQ516" s="7"/>
      <c r="AR516" s="7"/>
      <c r="CD516" s="9"/>
      <c r="CF516" s="9"/>
      <c r="CG516" s="9"/>
      <c r="CH516" s="9"/>
      <c r="CI516" s="9"/>
      <c r="CJ516" s="9"/>
      <c r="CK516" s="70"/>
      <c r="CL516" s="9"/>
      <c r="CM516" s="9"/>
      <c r="CN516" s="9"/>
      <c r="CO516" s="9"/>
      <c r="CP516" s="9"/>
      <c r="CQ516" s="9"/>
      <c r="CR516" s="9"/>
      <c r="CS516" s="9"/>
      <c r="FO516" s="23"/>
      <c r="FP516" s="23"/>
      <c r="FQ516" s="23"/>
      <c r="FR516" s="23"/>
      <c r="FS516" s="23"/>
      <c r="FT516" s="23"/>
      <c r="FU516" s="23"/>
      <c r="FV516" s="23"/>
    </row>
    <row r="517" spans="1:178" ht="12" customHeight="1" x14ac:dyDescent="0.3">
      <c r="A517" s="4">
        <v>8</v>
      </c>
      <c r="B517" s="24"/>
      <c r="C517" s="24"/>
      <c r="D517" s="24"/>
      <c r="E517" s="24"/>
      <c r="F517" s="24"/>
      <c r="G517" s="109"/>
      <c r="H517" s="7" t="s">
        <v>711</v>
      </c>
      <c r="I517" s="7"/>
      <c r="J517" s="7">
        <v>649</v>
      </c>
      <c r="K517" s="7">
        <f>13*N517</f>
        <v>533</v>
      </c>
      <c r="L517" s="7">
        <v>533</v>
      </c>
      <c r="M517" s="7">
        <v>70.3</v>
      </c>
      <c r="N517" s="7">
        <v>41</v>
      </c>
      <c r="O517" s="7">
        <v>13</v>
      </c>
      <c r="P517" s="7">
        <v>13</v>
      </c>
      <c r="Q517" s="7">
        <v>538</v>
      </c>
      <c r="R517" s="7"/>
      <c r="S517" s="7">
        <f>1*N517</f>
        <v>41</v>
      </c>
      <c r="T517" s="7"/>
      <c r="U517" s="7">
        <v>40</v>
      </c>
      <c r="V517" s="7"/>
      <c r="W517" s="7">
        <f t="shared" si="578"/>
        <v>374</v>
      </c>
      <c r="X517" s="7">
        <v>2</v>
      </c>
      <c r="Y517" s="7"/>
      <c r="Z517" s="7"/>
      <c r="AA517" s="7">
        <f t="shared" si="579"/>
        <v>355.33333333333331</v>
      </c>
      <c r="AB517" s="7"/>
      <c r="AC517" s="7"/>
      <c r="AD517" s="7"/>
      <c r="AE517" s="7"/>
      <c r="AF517" s="7">
        <v>5</v>
      </c>
      <c r="AG517" s="7"/>
      <c r="AH517" s="7"/>
      <c r="AI517" s="7"/>
      <c r="AJ517" s="7">
        <f>(628+654)/2</f>
        <v>641</v>
      </c>
      <c r="AK517" s="7"/>
      <c r="AL517" s="7"/>
      <c r="AM517" s="7">
        <v>0</v>
      </c>
      <c r="AN517" s="7">
        <v>0</v>
      </c>
      <c r="AO517" s="7">
        <f t="shared" si="580"/>
        <v>533</v>
      </c>
      <c r="AP517" s="7"/>
      <c r="AQ517" s="7"/>
      <c r="AR517" s="7"/>
      <c r="CD517" s="9"/>
      <c r="CF517" s="9"/>
      <c r="CG517" s="9"/>
      <c r="CH517" s="9"/>
      <c r="CI517" s="9"/>
      <c r="CJ517" s="9"/>
      <c r="CK517" s="70"/>
      <c r="CL517" s="9"/>
      <c r="CM517" s="9"/>
      <c r="CN517" s="9"/>
      <c r="CO517" s="9"/>
      <c r="CP517" s="9"/>
      <c r="CQ517" s="9"/>
      <c r="CR517" s="9"/>
      <c r="CS517" s="9"/>
      <c r="FO517" s="23"/>
      <c r="FP517" s="23"/>
      <c r="FQ517" s="23"/>
      <c r="FR517" s="23"/>
      <c r="FS517" s="23"/>
      <c r="FT517" s="23"/>
      <c r="FU517" s="23"/>
      <c r="FV517" s="23"/>
    </row>
    <row r="518" spans="1:178" ht="12" customHeight="1" x14ac:dyDescent="0.3">
      <c r="A518" s="4">
        <v>9</v>
      </c>
      <c r="B518" s="24"/>
      <c r="C518" s="24"/>
      <c r="D518" s="24"/>
      <c r="E518" s="24"/>
      <c r="F518" s="24"/>
      <c r="G518" s="109"/>
      <c r="H518" s="7" t="s">
        <v>712</v>
      </c>
      <c r="I518" s="7"/>
      <c r="J518" s="7">
        <v>649</v>
      </c>
      <c r="K518" s="7">
        <f t="shared" ref="K518:K519" si="581">13*N518</f>
        <v>533</v>
      </c>
      <c r="L518" s="7">
        <v>533</v>
      </c>
      <c r="M518" s="7">
        <v>62.8</v>
      </c>
      <c r="N518" s="7">
        <v>41</v>
      </c>
      <c r="O518" s="7">
        <v>13</v>
      </c>
      <c r="P518" s="7">
        <v>13</v>
      </c>
      <c r="Q518" s="7">
        <v>620</v>
      </c>
      <c r="R518" s="7"/>
      <c r="S518" s="7">
        <f>2*N518</f>
        <v>82</v>
      </c>
      <c r="T518" s="7"/>
      <c r="U518" s="7">
        <v>40</v>
      </c>
      <c r="V518" s="7"/>
      <c r="W518" s="7">
        <f t="shared" si="578"/>
        <v>374</v>
      </c>
      <c r="X518" s="7">
        <v>2</v>
      </c>
      <c r="Y518" s="7"/>
      <c r="Z518" s="7"/>
      <c r="AA518" s="7">
        <f t="shared" si="579"/>
        <v>355.33333333333331</v>
      </c>
      <c r="AB518" s="7"/>
      <c r="AC518" s="7"/>
      <c r="AD518" s="7"/>
      <c r="AE518" s="7"/>
      <c r="AF518" s="7">
        <v>5</v>
      </c>
      <c r="AG518" s="7"/>
      <c r="AH518" s="7"/>
      <c r="AI518" s="7"/>
      <c r="AJ518" s="7">
        <f>(740+694)/2</f>
        <v>717</v>
      </c>
      <c r="AK518" s="7"/>
      <c r="AL518" s="7"/>
      <c r="AM518" s="7">
        <v>0</v>
      </c>
      <c r="AN518" s="7">
        <v>0</v>
      </c>
      <c r="AO518" s="7">
        <f t="shared" si="580"/>
        <v>533</v>
      </c>
      <c r="AP518" s="7"/>
      <c r="AQ518" s="7"/>
      <c r="AR518" s="7"/>
      <c r="CD518" s="9"/>
      <c r="CF518" s="9"/>
      <c r="CG518" s="9"/>
      <c r="CH518" s="9"/>
      <c r="CI518" s="9"/>
      <c r="CJ518" s="9"/>
      <c r="CK518" s="70"/>
      <c r="CL518" s="9"/>
      <c r="CM518" s="9"/>
      <c r="CN518" s="9"/>
      <c r="CO518" s="9"/>
      <c r="CP518" s="9"/>
      <c r="CQ518" s="9"/>
      <c r="CR518" s="9"/>
      <c r="CS518" s="9"/>
      <c r="FO518" s="23"/>
      <c r="FP518" s="23"/>
      <c r="FQ518" s="23"/>
      <c r="FR518" s="23"/>
      <c r="FS518" s="23"/>
      <c r="FT518" s="23"/>
      <c r="FU518" s="23"/>
      <c r="FV518" s="23"/>
    </row>
    <row r="519" spans="1:178" ht="12" customHeight="1" x14ac:dyDescent="0.3">
      <c r="A519" s="4">
        <v>10</v>
      </c>
      <c r="B519" s="24"/>
      <c r="C519" s="24"/>
      <c r="D519" s="24"/>
      <c r="E519" s="24"/>
      <c r="F519" s="24"/>
      <c r="G519" s="109"/>
      <c r="H519" s="7" t="s">
        <v>713</v>
      </c>
      <c r="I519" s="7"/>
      <c r="J519" s="7">
        <v>649</v>
      </c>
      <c r="K519" s="7">
        <f t="shared" si="581"/>
        <v>533</v>
      </c>
      <c r="L519" s="7">
        <v>533</v>
      </c>
      <c r="M519" s="7">
        <v>70.3</v>
      </c>
      <c r="N519" s="7">
        <v>41</v>
      </c>
      <c r="O519" s="7">
        <v>13</v>
      </c>
      <c r="P519" s="7">
        <v>13</v>
      </c>
      <c r="Q519" s="7">
        <v>620</v>
      </c>
      <c r="R519" s="7"/>
      <c r="S519" s="7">
        <f>2*N519</f>
        <v>82</v>
      </c>
      <c r="T519" s="7"/>
      <c r="U519" s="7">
        <v>40</v>
      </c>
      <c r="V519" s="7"/>
      <c r="W519" s="7">
        <f t="shared" si="578"/>
        <v>374</v>
      </c>
      <c r="X519" s="7">
        <v>2</v>
      </c>
      <c r="Y519" s="7"/>
      <c r="Z519" s="7"/>
      <c r="AA519" s="7">
        <f t="shared" si="579"/>
        <v>355.33333333333331</v>
      </c>
      <c r="AB519" s="7"/>
      <c r="AC519" s="7"/>
      <c r="AD519" s="7"/>
      <c r="AE519" s="7"/>
      <c r="AF519" s="7">
        <v>5</v>
      </c>
      <c r="AG519" s="7"/>
      <c r="AH519" s="7"/>
      <c r="AI519" s="7"/>
      <c r="AJ519" s="7">
        <f>(740+731)/2</f>
        <v>735.5</v>
      </c>
      <c r="AK519" s="7"/>
      <c r="AL519" s="7"/>
      <c r="AM519" s="7">
        <v>0</v>
      </c>
      <c r="AN519" s="7">
        <v>0</v>
      </c>
      <c r="AO519" s="7">
        <f t="shared" si="580"/>
        <v>533</v>
      </c>
      <c r="AP519" s="7"/>
      <c r="AQ519" s="7"/>
      <c r="AR519" s="7"/>
      <c r="CD519" s="9"/>
      <c r="CF519" s="9"/>
      <c r="CG519" s="9"/>
      <c r="CH519" s="9"/>
      <c r="CI519" s="9"/>
      <c r="CJ519" s="9"/>
      <c r="CK519" s="70"/>
      <c r="CL519" s="9"/>
      <c r="CM519" s="9"/>
      <c r="CN519" s="9"/>
      <c r="CO519" s="9"/>
      <c r="CP519" s="9"/>
      <c r="CQ519" s="9"/>
      <c r="CR519" s="9"/>
      <c r="CS519" s="9"/>
      <c r="FO519" s="23"/>
      <c r="FP519" s="23"/>
      <c r="FQ519" s="23"/>
      <c r="FR519" s="23"/>
      <c r="FS519" s="23"/>
      <c r="FT519" s="23"/>
      <c r="FU519" s="23"/>
      <c r="FV519" s="23"/>
    </row>
    <row r="520" spans="1:178" ht="12" customHeight="1" x14ac:dyDescent="0.3">
      <c r="A520" s="4">
        <v>11</v>
      </c>
      <c r="B520" s="24"/>
      <c r="C520" s="24"/>
      <c r="D520" s="24"/>
      <c r="E520" s="24"/>
      <c r="F520" s="24"/>
      <c r="G520" s="109"/>
      <c r="H520" s="7" t="s">
        <v>714</v>
      </c>
      <c r="I520" s="7"/>
      <c r="J520" s="7">
        <v>649</v>
      </c>
      <c r="K520" s="7">
        <f>16*N520</f>
        <v>656</v>
      </c>
      <c r="L520" s="7">
        <v>656</v>
      </c>
      <c r="M520" s="7">
        <v>70.3</v>
      </c>
      <c r="N520" s="7">
        <v>41</v>
      </c>
      <c r="O520" s="7">
        <v>16</v>
      </c>
      <c r="P520" s="7">
        <v>16</v>
      </c>
      <c r="Q520" s="7">
        <v>538</v>
      </c>
      <c r="R520" s="7"/>
      <c r="S520" s="7">
        <f>1*N520</f>
        <v>41</v>
      </c>
      <c r="T520" s="7"/>
      <c r="U520" s="7">
        <v>40</v>
      </c>
      <c r="V520" s="7"/>
      <c r="W520" s="7">
        <f t="shared" si="578"/>
        <v>374</v>
      </c>
      <c r="X520" s="7">
        <v>2</v>
      </c>
      <c r="Y520" s="7"/>
      <c r="Z520" s="7"/>
      <c r="AA520" s="7">
        <f t="shared" si="579"/>
        <v>437.33333333333331</v>
      </c>
      <c r="AB520" s="7"/>
      <c r="AC520" s="7"/>
      <c r="AD520" s="7"/>
      <c r="AE520" s="7"/>
      <c r="AF520" s="7">
        <v>5</v>
      </c>
      <c r="AG520" s="7"/>
      <c r="AH520" s="7"/>
      <c r="AI520" s="7"/>
      <c r="AJ520" s="7">
        <f>(649+677)/2</f>
        <v>663</v>
      </c>
      <c r="AK520" s="7"/>
      <c r="AL520" s="7"/>
      <c r="AM520" s="7">
        <v>0</v>
      </c>
      <c r="AN520" s="7">
        <v>0</v>
      </c>
      <c r="AO520" s="7">
        <f t="shared" si="580"/>
        <v>656</v>
      </c>
      <c r="AP520" s="7"/>
      <c r="AQ520" s="7"/>
      <c r="AR520" s="7"/>
      <c r="CD520" s="9"/>
      <c r="CF520" s="9"/>
      <c r="CG520" s="9"/>
      <c r="CH520" s="9"/>
      <c r="CI520" s="9"/>
      <c r="CJ520" s="9"/>
      <c r="CK520" s="70"/>
      <c r="CL520" s="9"/>
      <c r="CM520" s="9"/>
      <c r="CN520" s="9"/>
      <c r="CO520" s="9"/>
      <c r="CP520" s="9"/>
      <c r="CQ520" s="9"/>
      <c r="CR520" s="9"/>
      <c r="CS520" s="9"/>
      <c r="FO520" s="23"/>
      <c r="FP520" s="23"/>
      <c r="FQ520" s="23"/>
      <c r="FR520" s="23"/>
      <c r="FS520" s="23"/>
      <c r="FT520" s="23"/>
      <c r="FU520" s="23"/>
      <c r="FV520" s="23"/>
    </row>
    <row r="521" spans="1:178" ht="12" customHeight="1" x14ac:dyDescent="0.3">
      <c r="A521" s="4">
        <v>12</v>
      </c>
      <c r="B521" s="24"/>
      <c r="C521" s="24"/>
      <c r="D521" s="24"/>
      <c r="E521" s="24"/>
      <c r="F521" s="24"/>
      <c r="G521" s="109"/>
      <c r="H521" s="7" t="s">
        <v>715</v>
      </c>
      <c r="I521" s="7"/>
      <c r="J521" s="7">
        <v>637</v>
      </c>
      <c r="K521" s="7">
        <f>7*N521</f>
        <v>357</v>
      </c>
      <c r="L521" s="7">
        <v>357</v>
      </c>
      <c r="M521" s="7">
        <v>62.8</v>
      </c>
      <c r="N521" s="7">
        <v>51</v>
      </c>
      <c r="O521" s="7">
        <v>7</v>
      </c>
      <c r="P521" s="7">
        <v>7</v>
      </c>
      <c r="Q521" s="7">
        <v>670</v>
      </c>
      <c r="R521" s="7"/>
      <c r="S521" s="7">
        <f>2*N521</f>
        <v>102</v>
      </c>
      <c r="T521" s="7"/>
      <c r="U521" s="7">
        <v>40</v>
      </c>
      <c r="V521" s="7"/>
      <c r="W521" s="7">
        <f t="shared" si="578"/>
        <v>364</v>
      </c>
      <c r="X521" s="7">
        <v>2</v>
      </c>
      <c r="Y521" s="7"/>
      <c r="Z521" s="7"/>
      <c r="AA521" s="7">
        <f t="shared" si="579"/>
        <v>238</v>
      </c>
      <c r="AB521" s="7"/>
      <c r="AC521" s="7"/>
      <c r="AD521" s="7"/>
      <c r="AE521" s="7"/>
      <c r="AF521" s="7">
        <v>5</v>
      </c>
      <c r="AG521" s="7"/>
      <c r="AH521" s="7"/>
      <c r="AI521" s="7"/>
      <c r="AJ521" s="7">
        <f>(460+448)/2</f>
        <v>454</v>
      </c>
      <c r="AK521" s="7"/>
      <c r="AL521" s="7"/>
      <c r="AM521" s="7">
        <v>0</v>
      </c>
      <c r="AN521" s="7">
        <v>0</v>
      </c>
      <c r="AO521" s="7">
        <f t="shared" si="580"/>
        <v>357</v>
      </c>
      <c r="AP521" s="7"/>
      <c r="AQ521" s="7"/>
      <c r="AR521" s="7"/>
      <c r="CD521" s="9"/>
      <c r="CF521" s="9"/>
      <c r="CG521" s="9"/>
      <c r="CH521" s="9"/>
      <c r="CI521" s="9"/>
      <c r="CJ521" s="9"/>
      <c r="CK521" s="70"/>
      <c r="CL521" s="9"/>
      <c r="CM521" s="9"/>
      <c r="CN521" s="9"/>
      <c r="CO521" s="9"/>
      <c r="CP521" s="9"/>
      <c r="CQ521" s="9"/>
      <c r="CR521" s="9"/>
      <c r="CS521" s="9"/>
      <c r="FO521" s="23"/>
      <c r="FP521" s="23"/>
      <c r="FQ521" s="23"/>
      <c r="FR521" s="23"/>
      <c r="FS521" s="23"/>
      <c r="FT521" s="23"/>
      <c r="FU521" s="23"/>
      <c r="FV521" s="23"/>
    </row>
    <row r="522" spans="1:178" ht="12" customHeight="1" x14ac:dyDescent="0.3">
      <c r="A522" s="4">
        <v>13</v>
      </c>
      <c r="B522" s="24"/>
      <c r="C522" s="24"/>
      <c r="D522" s="24"/>
      <c r="E522" s="24"/>
      <c r="F522" s="24"/>
      <c r="G522" s="109"/>
      <c r="H522" s="7" t="s">
        <v>716</v>
      </c>
      <c r="I522" s="7"/>
      <c r="J522" s="7">
        <v>637</v>
      </c>
      <c r="K522" s="7">
        <f>7*N522</f>
        <v>357</v>
      </c>
      <c r="L522" s="7">
        <v>357</v>
      </c>
      <c r="M522" s="7">
        <v>70.3</v>
      </c>
      <c r="N522" s="7">
        <v>51</v>
      </c>
      <c r="O522" s="7">
        <v>7</v>
      </c>
      <c r="P522" s="7">
        <v>7</v>
      </c>
      <c r="Q522" s="7">
        <v>670</v>
      </c>
      <c r="R522" s="7"/>
      <c r="S522" s="7">
        <f>2*N522</f>
        <v>102</v>
      </c>
      <c r="T522" s="7"/>
      <c r="U522" s="7">
        <v>40</v>
      </c>
      <c r="V522" s="7"/>
      <c r="W522" s="7">
        <f t="shared" si="578"/>
        <v>364</v>
      </c>
      <c r="X522" s="7">
        <v>2</v>
      </c>
      <c r="Y522" s="7"/>
      <c r="Z522" s="7"/>
      <c r="AA522" s="7">
        <f t="shared" si="579"/>
        <v>238</v>
      </c>
      <c r="AB522" s="7"/>
      <c r="AC522" s="7"/>
      <c r="AD522" s="7"/>
      <c r="AE522" s="7"/>
      <c r="AF522" s="7">
        <v>5</v>
      </c>
      <c r="AG522" s="7"/>
      <c r="AH522" s="7"/>
      <c r="AI522" s="7"/>
      <c r="AJ522" s="7">
        <f>(444+440)/2</f>
        <v>442</v>
      </c>
      <c r="AK522" s="7"/>
      <c r="AL522" s="7"/>
      <c r="AM522" s="7">
        <v>0</v>
      </c>
      <c r="AN522" s="7">
        <v>0</v>
      </c>
      <c r="AO522" s="7">
        <f t="shared" si="580"/>
        <v>357</v>
      </c>
      <c r="AP522" s="7"/>
      <c r="AQ522" s="7"/>
      <c r="AR522" s="7"/>
      <c r="CD522" s="9"/>
      <c r="CF522" s="9"/>
      <c r="CG522" s="9"/>
      <c r="CH522" s="9"/>
      <c r="CI522" s="9"/>
      <c r="CJ522" s="9"/>
      <c r="CK522" s="70"/>
      <c r="CL522" s="9"/>
      <c r="CM522" s="9"/>
      <c r="CN522" s="9"/>
      <c r="CO522" s="9"/>
      <c r="CP522" s="9"/>
      <c r="CQ522" s="9"/>
      <c r="CR522" s="9"/>
      <c r="CS522" s="9"/>
      <c r="FO522" s="23"/>
      <c r="FP522" s="23"/>
      <c r="FQ522" s="23"/>
      <c r="FR522" s="23"/>
      <c r="FS522" s="23"/>
      <c r="FT522" s="23"/>
      <c r="FU522" s="23"/>
      <c r="FV522" s="23"/>
    </row>
    <row r="523" spans="1:178" ht="12" customHeight="1" x14ac:dyDescent="0.3">
      <c r="A523" s="4">
        <v>14</v>
      </c>
      <c r="B523" s="24"/>
      <c r="C523" s="24"/>
      <c r="D523" s="24"/>
      <c r="E523" s="24"/>
      <c r="F523" s="24"/>
      <c r="G523" s="109"/>
      <c r="H523" s="7" t="s">
        <v>717</v>
      </c>
      <c r="I523" s="7"/>
      <c r="J523" s="7">
        <v>637</v>
      </c>
      <c r="K523" s="7">
        <f>10*N523</f>
        <v>510</v>
      </c>
      <c r="L523" s="7">
        <v>510</v>
      </c>
      <c r="M523" s="7">
        <v>70.3</v>
      </c>
      <c r="N523" s="7">
        <v>51</v>
      </c>
      <c r="O523" s="7">
        <v>10</v>
      </c>
      <c r="P523" s="7">
        <v>10</v>
      </c>
      <c r="Q523" s="7">
        <v>568</v>
      </c>
      <c r="R523" s="7"/>
      <c r="S523" s="7">
        <f>1*N523</f>
        <v>51</v>
      </c>
      <c r="T523" s="7"/>
      <c r="U523" s="7">
        <v>40</v>
      </c>
      <c r="V523" s="7"/>
      <c r="W523" s="7">
        <f t="shared" si="578"/>
        <v>364</v>
      </c>
      <c r="X523" s="7">
        <v>2</v>
      </c>
      <c r="Y523" s="7"/>
      <c r="Z523" s="7"/>
      <c r="AA523" s="7">
        <f t="shared" si="579"/>
        <v>340</v>
      </c>
      <c r="AB523" s="7"/>
      <c r="AC523" s="7"/>
      <c r="AD523" s="7"/>
      <c r="AE523" s="7"/>
      <c r="AF523" s="7">
        <v>5</v>
      </c>
      <c r="AG523" s="7"/>
      <c r="AH523" s="7"/>
      <c r="AI523" s="7"/>
      <c r="AJ523" s="7">
        <f>(485+469)/2</f>
        <v>477</v>
      </c>
      <c r="AK523" s="7"/>
      <c r="AL523" s="7"/>
      <c r="AM523" s="7">
        <v>0</v>
      </c>
      <c r="AN523" s="7">
        <v>0</v>
      </c>
      <c r="AO523" s="7">
        <f t="shared" si="580"/>
        <v>510</v>
      </c>
      <c r="AP523" s="7"/>
      <c r="AQ523" s="7"/>
      <c r="AR523" s="7"/>
      <c r="CD523" s="9"/>
      <c r="CF523" s="9"/>
      <c r="CG523" s="9"/>
      <c r="CH523" s="9"/>
      <c r="CI523" s="9"/>
      <c r="CJ523" s="9"/>
      <c r="CK523" s="70"/>
      <c r="CL523" s="9"/>
      <c r="CM523" s="9"/>
      <c r="CN523" s="9"/>
      <c r="CO523" s="9"/>
      <c r="CP523" s="9"/>
      <c r="CQ523" s="9"/>
      <c r="CR523" s="9"/>
      <c r="CS523" s="9"/>
      <c r="FO523" s="23"/>
      <c r="FP523" s="23"/>
      <c r="FQ523" s="23"/>
      <c r="FR523" s="23"/>
      <c r="FS523" s="23"/>
      <c r="FT523" s="23"/>
      <c r="FU523" s="23"/>
      <c r="FV523" s="23"/>
    </row>
    <row r="524" spans="1:178" ht="12" customHeight="1" x14ac:dyDescent="0.3">
      <c r="A524" s="4">
        <v>15</v>
      </c>
      <c r="B524" s="24"/>
      <c r="C524" s="24"/>
      <c r="D524" s="24"/>
      <c r="E524" s="24"/>
      <c r="F524" s="24"/>
      <c r="G524" s="109"/>
      <c r="H524" s="7" t="s">
        <v>718</v>
      </c>
      <c r="I524" s="7"/>
      <c r="J524" s="7">
        <v>637</v>
      </c>
      <c r="K524" s="7">
        <f t="shared" ref="K524:K525" si="582">10*N524</f>
        <v>510</v>
      </c>
      <c r="L524" s="7">
        <v>510</v>
      </c>
      <c r="M524" s="7">
        <v>62.8</v>
      </c>
      <c r="N524" s="7">
        <v>51</v>
      </c>
      <c r="O524" s="7">
        <v>10</v>
      </c>
      <c r="P524" s="7">
        <v>10</v>
      </c>
      <c r="Q524" s="7">
        <v>670</v>
      </c>
      <c r="R524" s="7"/>
      <c r="S524" s="7">
        <f>2*N524</f>
        <v>102</v>
      </c>
      <c r="T524" s="7"/>
      <c r="U524" s="7">
        <v>40</v>
      </c>
      <c r="V524" s="7"/>
      <c r="W524" s="7">
        <f t="shared" si="578"/>
        <v>364</v>
      </c>
      <c r="X524" s="7">
        <v>2</v>
      </c>
      <c r="Y524" s="7"/>
      <c r="Z524" s="7"/>
      <c r="AA524" s="7">
        <f t="shared" si="579"/>
        <v>340</v>
      </c>
      <c r="AB524" s="7"/>
      <c r="AC524" s="7"/>
      <c r="AD524" s="7"/>
      <c r="AE524" s="7"/>
      <c r="AF524" s="7">
        <v>5</v>
      </c>
      <c r="AG524" s="7"/>
      <c r="AH524" s="7"/>
      <c r="AI524" s="7"/>
      <c r="AJ524" s="7">
        <f>(502+498)/2</f>
        <v>500</v>
      </c>
      <c r="AK524" s="7"/>
      <c r="AL524" s="7"/>
      <c r="AM524" s="7">
        <v>0</v>
      </c>
      <c r="AN524" s="7">
        <v>0</v>
      </c>
      <c r="AO524" s="7">
        <f t="shared" si="580"/>
        <v>510</v>
      </c>
      <c r="AP524" s="7"/>
      <c r="AQ524" s="7"/>
      <c r="AR524" s="7"/>
      <c r="CD524" s="9"/>
      <c r="CF524" s="9"/>
      <c r="CG524" s="9"/>
      <c r="CH524" s="9"/>
      <c r="CI524" s="9"/>
      <c r="CJ524" s="9"/>
      <c r="CK524" s="70"/>
      <c r="CL524" s="9"/>
      <c r="CM524" s="9"/>
      <c r="CN524" s="9"/>
      <c r="CO524" s="9"/>
      <c r="CP524" s="9"/>
      <c r="CQ524" s="9"/>
      <c r="CR524" s="9"/>
      <c r="CS524" s="9"/>
      <c r="FO524" s="23"/>
      <c r="FP524" s="23"/>
      <c r="FQ524" s="23"/>
      <c r="FR524" s="23"/>
      <c r="FS524" s="23"/>
      <c r="FT524" s="23"/>
      <c r="FU524" s="23"/>
      <c r="FV524" s="23"/>
    </row>
    <row r="525" spans="1:178" ht="12" customHeight="1" x14ac:dyDescent="0.3">
      <c r="A525" s="4">
        <v>16</v>
      </c>
      <c r="B525" s="24"/>
      <c r="C525" s="24"/>
      <c r="D525" s="24"/>
      <c r="E525" s="24"/>
      <c r="F525" s="24"/>
      <c r="G525" s="109"/>
      <c r="H525" s="7" t="s">
        <v>719</v>
      </c>
      <c r="I525" s="7"/>
      <c r="J525" s="7">
        <v>637</v>
      </c>
      <c r="K525" s="7">
        <f t="shared" si="582"/>
        <v>510</v>
      </c>
      <c r="L525" s="7">
        <v>510</v>
      </c>
      <c r="M525" s="7">
        <v>70.3</v>
      </c>
      <c r="N525" s="7">
        <v>51</v>
      </c>
      <c r="O525" s="7">
        <v>10</v>
      </c>
      <c r="P525" s="7">
        <v>10</v>
      </c>
      <c r="Q525" s="7">
        <v>670</v>
      </c>
      <c r="R525" s="7"/>
      <c r="S525" s="7">
        <f>2*N525</f>
        <v>102</v>
      </c>
      <c r="T525" s="7"/>
      <c r="U525" s="7">
        <v>40</v>
      </c>
      <c r="V525" s="7"/>
      <c r="W525" s="7">
        <f t="shared" si="578"/>
        <v>364</v>
      </c>
      <c r="X525" s="7">
        <v>2</v>
      </c>
      <c r="Y525" s="7"/>
      <c r="Z525" s="7"/>
      <c r="AA525" s="7">
        <f t="shared" si="579"/>
        <v>340</v>
      </c>
      <c r="AB525" s="7"/>
      <c r="AC525" s="7"/>
      <c r="AD525" s="7"/>
      <c r="AE525" s="7"/>
      <c r="AF525" s="7">
        <v>5</v>
      </c>
      <c r="AG525" s="7"/>
      <c r="AH525" s="7"/>
      <c r="AI525" s="7"/>
      <c r="AJ525" s="7">
        <f>(553+560)/2</f>
        <v>556.5</v>
      </c>
      <c r="AK525" s="7"/>
      <c r="AL525" s="7"/>
      <c r="AM525" s="7">
        <v>0</v>
      </c>
      <c r="AN525" s="7">
        <v>0</v>
      </c>
      <c r="AO525" s="7">
        <f t="shared" si="580"/>
        <v>510</v>
      </c>
      <c r="AP525" s="7"/>
      <c r="AQ525" s="7"/>
      <c r="AR525" s="7"/>
      <c r="CD525" s="9"/>
      <c r="CF525" s="9"/>
      <c r="CG525" s="9"/>
      <c r="CH525" s="9"/>
      <c r="CI525" s="9"/>
      <c r="CJ525" s="9"/>
      <c r="CK525" s="70"/>
      <c r="CL525" s="9"/>
      <c r="CM525" s="9"/>
      <c r="CN525" s="9"/>
      <c r="CO525" s="9"/>
      <c r="CP525" s="9"/>
      <c r="CQ525" s="9"/>
      <c r="CR525" s="9"/>
      <c r="CS525" s="9"/>
      <c r="FO525" s="23"/>
      <c r="FP525" s="23"/>
      <c r="FQ525" s="23"/>
      <c r="FR525" s="23"/>
      <c r="FS525" s="23"/>
      <c r="FT525" s="23"/>
      <c r="FU525" s="23"/>
      <c r="FV525" s="23"/>
    </row>
    <row r="526" spans="1:178" ht="12" customHeight="1" x14ac:dyDescent="0.3">
      <c r="A526" s="4">
        <v>17</v>
      </c>
      <c r="B526" s="24"/>
      <c r="C526" s="24"/>
      <c r="D526" s="24"/>
      <c r="E526" s="24"/>
      <c r="F526" s="24"/>
      <c r="G526" s="109"/>
      <c r="H526" s="7" t="s">
        <v>720</v>
      </c>
      <c r="I526" s="7"/>
      <c r="J526" s="7">
        <v>637</v>
      </c>
      <c r="K526" s="7">
        <f>13*N526</f>
        <v>663</v>
      </c>
      <c r="L526" s="7">
        <v>663</v>
      </c>
      <c r="M526" s="7">
        <v>70.3</v>
      </c>
      <c r="N526" s="7">
        <v>51</v>
      </c>
      <c r="O526" s="7">
        <v>13</v>
      </c>
      <c r="P526" s="7">
        <v>13</v>
      </c>
      <c r="Q526" s="7">
        <v>568</v>
      </c>
      <c r="R526" s="7"/>
      <c r="S526" s="7">
        <f>1*N526</f>
        <v>51</v>
      </c>
      <c r="T526" s="7"/>
      <c r="U526" s="7">
        <v>40</v>
      </c>
      <c r="V526" s="7"/>
      <c r="W526" s="7">
        <f t="shared" si="578"/>
        <v>364</v>
      </c>
      <c r="X526" s="7">
        <v>2</v>
      </c>
      <c r="Y526" s="7"/>
      <c r="Z526" s="7"/>
      <c r="AA526" s="7">
        <f t="shared" si="579"/>
        <v>442</v>
      </c>
      <c r="AB526" s="7"/>
      <c r="AC526" s="7"/>
      <c r="AD526" s="7"/>
      <c r="AE526" s="7"/>
      <c r="AF526" s="7">
        <v>5</v>
      </c>
      <c r="AG526" s="7"/>
      <c r="AH526" s="7"/>
      <c r="AI526" s="7"/>
      <c r="AJ526" s="7">
        <f>(647+639)/2</f>
        <v>643</v>
      </c>
      <c r="AK526" s="7"/>
      <c r="AL526" s="7"/>
      <c r="AM526" s="7">
        <v>0</v>
      </c>
      <c r="AN526" s="7">
        <v>0</v>
      </c>
      <c r="AO526" s="7">
        <f t="shared" si="580"/>
        <v>663</v>
      </c>
      <c r="AP526" s="7"/>
      <c r="AQ526" s="7"/>
      <c r="AR526" s="7"/>
      <c r="CD526" s="9"/>
      <c r="CF526" s="9"/>
      <c r="CG526" s="9"/>
      <c r="CH526" s="9"/>
      <c r="CI526" s="9"/>
      <c r="CJ526" s="9"/>
      <c r="CK526" s="70"/>
      <c r="CL526" s="9"/>
      <c r="CM526" s="9"/>
      <c r="CN526" s="9"/>
      <c r="CO526" s="9"/>
      <c r="CP526" s="9"/>
      <c r="CQ526" s="9"/>
      <c r="CR526" s="9"/>
      <c r="CS526" s="9"/>
      <c r="FO526" s="23"/>
      <c r="FP526" s="23"/>
      <c r="FQ526" s="23"/>
      <c r="FR526" s="23"/>
      <c r="FS526" s="23"/>
      <c r="FT526" s="23"/>
      <c r="FU526" s="23"/>
      <c r="FV526" s="23"/>
    </row>
    <row r="527" spans="1:178" ht="12" customHeight="1" x14ac:dyDescent="0.3">
      <c r="A527" s="4">
        <v>18</v>
      </c>
      <c r="B527" s="24"/>
      <c r="C527" s="24"/>
      <c r="D527" s="24"/>
      <c r="E527" s="24"/>
      <c r="F527" s="24"/>
      <c r="G527" s="109"/>
      <c r="H527" s="7" t="s">
        <v>721</v>
      </c>
      <c r="I527" s="7"/>
      <c r="J527" s="7">
        <v>637</v>
      </c>
      <c r="K527" s="7">
        <f t="shared" ref="K527:K528" si="583">13*N527</f>
        <v>663</v>
      </c>
      <c r="L527" s="7">
        <v>663</v>
      </c>
      <c r="M527" s="7">
        <v>62.8</v>
      </c>
      <c r="N527" s="7">
        <v>51</v>
      </c>
      <c r="O527" s="7">
        <v>13</v>
      </c>
      <c r="P527" s="7">
        <v>13</v>
      </c>
      <c r="Q527" s="7">
        <v>670</v>
      </c>
      <c r="R527" s="7"/>
      <c r="S527" s="7">
        <f>2*N527</f>
        <v>102</v>
      </c>
      <c r="T527" s="7"/>
      <c r="U527" s="7">
        <v>40</v>
      </c>
      <c r="V527" s="7"/>
      <c r="W527" s="7">
        <f t="shared" si="578"/>
        <v>364</v>
      </c>
      <c r="X527" s="7">
        <v>2</v>
      </c>
      <c r="Y527" s="7"/>
      <c r="Z527" s="7"/>
      <c r="AA527" s="7">
        <f t="shared" si="579"/>
        <v>442</v>
      </c>
      <c r="AB527" s="7"/>
      <c r="AC527" s="7"/>
      <c r="AD527" s="7"/>
      <c r="AE527" s="7"/>
      <c r="AF527" s="7">
        <v>5</v>
      </c>
      <c r="AG527" s="7"/>
      <c r="AH527" s="7"/>
      <c r="AI527" s="7"/>
      <c r="AJ527" s="7">
        <f>(696+642)/2</f>
        <v>669</v>
      </c>
      <c r="AK527" s="7"/>
      <c r="AL527" s="7"/>
      <c r="AM527" s="7">
        <v>0</v>
      </c>
      <c r="AN527" s="7">
        <v>0</v>
      </c>
      <c r="AO527" s="7">
        <f t="shared" si="580"/>
        <v>663</v>
      </c>
      <c r="AP527" s="7"/>
      <c r="AQ527" s="7"/>
      <c r="AR527" s="7"/>
      <c r="CD527" s="9"/>
      <c r="CF527" s="9"/>
      <c r="CG527" s="9"/>
      <c r="CH527" s="9"/>
      <c r="CI527" s="9"/>
      <c r="CJ527" s="9"/>
      <c r="CK527" s="70"/>
      <c r="CL527" s="9"/>
      <c r="CM527" s="9"/>
      <c r="CN527" s="9"/>
      <c r="CO527" s="9"/>
      <c r="CP527" s="9"/>
      <c r="CQ527" s="9"/>
      <c r="CR527" s="9"/>
      <c r="CS527" s="9"/>
      <c r="FO527" s="23"/>
      <c r="FP527" s="23"/>
      <c r="FQ527" s="23"/>
      <c r="FR527" s="23"/>
      <c r="FS527" s="23"/>
      <c r="FT527" s="23"/>
      <c r="FU527" s="23"/>
      <c r="FV527" s="23"/>
    </row>
    <row r="528" spans="1:178" ht="12" customHeight="1" x14ac:dyDescent="0.3">
      <c r="A528" s="4">
        <v>19</v>
      </c>
      <c r="B528" s="24"/>
      <c r="C528" s="24"/>
      <c r="D528" s="24"/>
      <c r="E528" s="24"/>
      <c r="F528" s="24"/>
      <c r="G528" s="109"/>
      <c r="H528" s="7" t="s">
        <v>722</v>
      </c>
      <c r="I528" s="7"/>
      <c r="J528" s="7">
        <v>637</v>
      </c>
      <c r="K528" s="7">
        <f t="shared" si="583"/>
        <v>663</v>
      </c>
      <c r="L528" s="7">
        <v>663</v>
      </c>
      <c r="M528" s="7">
        <v>70.3</v>
      </c>
      <c r="N528" s="7">
        <v>51</v>
      </c>
      <c r="O528" s="7">
        <v>13</v>
      </c>
      <c r="P528" s="7">
        <v>13</v>
      </c>
      <c r="Q528" s="7">
        <v>670</v>
      </c>
      <c r="R528" s="7"/>
      <c r="S528" s="7">
        <f>2*N528</f>
        <v>102</v>
      </c>
      <c r="T528" s="7"/>
      <c r="U528" s="7">
        <v>40</v>
      </c>
      <c r="V528" s="7"/>
      <c r="W528" s="7">
        <f t="shared" si="578"/>
        <v>364</v>
      </c>
      <c r="X528" s="7">
        <v>2</v>
      </c>
      <c r="Y528" s="7"/>
      <c r="Z528" s="7"/>
      <c r="AA528" s="7">
        <f t="shared" si="579"/>
        <v>442</v>
      </c>
      <c r="AB528" s="7"/>
      <c r="AC528" s="7"/>
      <c r="AD528" s="7"/>
      <c r="AE528" s="7"/>
      <c r="AF528" s="7">
        <v>5</v>
      </c>
      <c r="AG528" s="7"/>
      <c r="AH528" s="7"/>
      <c r="AI528" s="7"/>
      <c r="AJ528" s="7">
        <f>(659+663)/2</f>
        <v>661</v>
      </c>
      <c r="AK528" s="7"/>
      <c r="AL528" s="7"/>
      <c r="AM528" s="7">
        <v>0</v>
      </c>
      <c r="AN528" s="7">
        <v>0</v>
      </c>
      <c r="AO528" s="7">
        <f t="shared" si="580"/>
        <v>663</v>
      </c>
      <c r="AP528" s="7"/>
      <c r="AQ528" s="7"/>
      <c r="AR528" s="7"/>
      <c r="CD528" s="9"/>
      <c r="CF528" s="9"/>
      <c r="CG528" s="9"/>
      <c r="CH528" s="9"/>
      <c r="CI528" s="9"/>
      <c r="CJ528" s="9"/>
      <c r="CK528" s="70"/>
      <c r="CL528" s="9"/>
      <c r="CM528" s="9"/>
      <c r="CN528" s="9"/>
      <c r="CO528" s="9"/>
      <c r="CP528" s="9"/>
      <c r="CQ528" s="9"/>
      <c r="CR528" s="9"/>
      <c r="CS528" s="9"/>
      <c r="FO528" s="23"/>
      <c r="FP528" s="23"/>
      <c r="FQ528" s="23"/>
      <c r="FR528" s="23"/>
      <c r="FS528" s="23"/>
      <c r="FT528" s="23"/>
      <c r="FU528" s="23"/>
      <c r="FV528" s="23"/>
    </row>
    <row r="529" spans="1:178" ht="12" customHeight="1" x14ac:dyDescent="0.3">
      <c r="A529" s="4">
        <v>20</v>
      </c>
      <c r="B529" s="14"/>
      <c r="C529" s="14"/>
      <c r="D529" s="14"/>
      <c r="E529" s="14"/>
      <c r="F529" s="14"/>
      <c r="G529" s="109"/>
      <c r="H529" s="7" t="s">
        <v>723</v>
      </c>
      <c r="I529" s="7"/>
      <c r="J529" s="7">
        <v>637</v>
      </c>
      <c r="K529" s="7">
        <f>16*N529</f>
        <v>816</v>
      </c>
      <c r="L529" s="7">
        <v>816</v>
      </c>
      <c r="M529" s="7">
        <v>70.3</v>
      </c>
      <c r="N529" s="7">
        <v>51</v>
      </c>
      <c r="O529" s="7">
        <v>16</v>
      </c>
      <c r="P529" s="7">
        <v>16</v>
      </c>
      <c r="Q529" s="7">
        <v>568</v>
      </c>
      <c r="R529" s="7"/>
      <c r="S529" s="7">
        <f>1*N529</f>
        <v>51</v>
      </c>
      <c r="T529" s="7"/>
      <c r="U529" s="7">
        <v>40</v>
      </c>
      <c r="V529" s="7"/>
      <c r="W529" s="7">
        <f t="shared" si="578"/>
        <v>364</v>
      </c>
      <c r="X529" s="7">
        <v>2</v>
      </c>
      <c r="Y529" s="7"/>
      <c r="Z529" s="7"/>
      <c r="AA529" s="7">
        <f t="shared" si="579"/>
        <v>544</v>
      </c>
      <c r="AB529" s="7"/>
      <c r="AC529" s="7"/>
      <c r="AD529" s="7"/>
      <c r="AE529" s="7"/>
      <c r="AF529" s="7">
        <v>5</v>
      </c>
      <c r="AG529" s="7"/>
      <c r="AH529" s="7"/>
      <c r="AI529" s="7"/>
      <c r="AJ529" s="7">
        <f>(702+693)/2</f>
        <v>697.5</v>
      </c>
      <c r="AK529" s="7"/>
      <c r="AL529" s="7"/>
      <c r="AM529" s="7">
        <v>0</v>
      </c>
      <c r="AN529" s="7">
        <v>0</v>
      </c>
      <c r="AO529" s="7">
        <f t="shared" si="580"/>
        <v>816</v>
      </c>
      <c r="AP529" s="7"/>
      <c r="AQ529" s="7"/>
      <c r="AR529" s="7"/>
      <c r="CD529" s="9"/>
      <c r="CF529" s="9"/>
      <c r="CG529" s="9"/>
      <c r="CH529" s="9"/>
      <c r="CI529" s="9"/>
      <c r="CJ529" s="9"/>
      <c r="CK529" s="70"/>
      <c r="CL529" s="9"/>
      <c r="CM529" s="9"/>
      <c r="CN529" s="9"/>
      <c r="CO529" s="9"/>
      <c r="CP529" s="9"/>
      <c r="CQ529" s="9"/>
      <c r="CR529" s="9"/>
      <c r="CS529" s="9"/>
      <c r="FO529" s="23"/>
      <c r="FP529" s="23"/>
      <c r="FQ529" s="23"/>
      <c r="FR529" s="23"/>
      <c r="FS529" s="23"/>
      <c r="FT529" s="23"/>
      <c r="FU529" s="23"/>
      <c r="FV529" s="23"/>
    </row>
    <row r="530" spans="1:178" ht="12" customHeight="1" x14ac:dyDescent="0.3">
      <c r="A530" s="4">
        <v>21</v>
      </c>
      <c r="B530" s="14"/>
      <c r="C530" s="14"/>
      <c r="D530" s="14"/>
      <c r="E530" s="14"/>
      <c r="F530" s="14"/>
      <c r="G530" s="109"/>
      <c r="H530" s="7" t="s">
        <v>724</v>
      </c>
      <c r="I530" s="7"/>
      <c r="J530" s="7">
        <v>795</v>
      </c>
      <c r="K530" s="7">
        <f>20*N530</f>
        <v>440</v>
      </c>
      <c r="L530" s="7">
        <v>440</v>
      </c>
      <c r="M530" s="4">
        <v>42.3</v>
      </c>
      <c r="N530" s="7">
        <v>22</v>
      </c>
      <c r="O530" s="7">
        <v>20</v>
      </c>
      <c r="P530" s="7">
        <v>20</v>
      </c>
      <c r="Q530" s="7">
        <v>281</v>
      </c>
      <c r="R530" s="7"/>
      <c r="S530" s="7">
        <f>1*N530</f>
        <v>22</v>
      </c>
      <c r="T530" s="7"/>
      <c r="U530" s="7">
        <v>40</v>
      </c>
      <c r="V530" s="7"/>
      <c r="W530" s="7">
        <f t="shared" si="578"/>
        <v>193</v>
      </c>
      <c r="X530" s="7">
        <v>2</v>
      </c>
      <c r="Y530" s="7"/>
      <c r="Z530" s="7"/>
      <c r="AA530" s="7">
        <f t="shared" si="579"/>
        <v>293.33333333333331</v>
      </c>
      <c r="AB530" s="7"/>
      <c r="AC530" s="7"/>
      <c r="AD530" s="7"/>
      <c r="AE530" s="7"/>
      <c r="AF530" s="7">
        <v>5</v>
      </c>
      <c r="AG530" s="7"/>
      <c r="AH530" s="7"/>
      <c r="AI530" s="7"/>
      <c r="AJ530" s="7">
        <f>(747+752)/2</f>
        <v>749.5</v>
      </c>
      <c r="AM530" s="7"/>
      <c r="AN530" s="7"/>
      <c r="AO530" s="7">
        <v>275</v>
      </c>
      <c r="AP530" s="7"/>
      <c r="AQ530" s="7"/>
      <c r="AR530" s="7"/>
      <c r="CD530" s="9"/>
      <c r="CF530" s="9"/>
      <c r="CG530" s="9"/>
      <c r="CH530" s="9"/>
      <c r="CI530" s="9"/>
      <c r="CJ530" s="9"/>
      <c r="CK530" s="70"/>
      <c r="CL530" s="9"/>
      <c r="CM530" s="9"/>
      <c r="CN530" s="9"/>
      <c r="CO530" s="9"/>
      <c r="CP530" s="9"/>
      <c r="CQ530" s="9"/>
      <c r="CR530" s="9"/>
      <c r="CS530" s="9"/>
      <c r="FO530" s="23"/>
      <c r="FP530" s="23"/>
      <c r="FQ530" s="23"/>
      <c r="FR530" s="23"/>
      <c r="FS530" s="23"/>
      <c r="FT530" s="23"/>
      <c r="FU530" s="23"/>
      <c r="FV530" s="23"/>
    </row>
    <row r="531" spans="1:178" ht="12" customHeight="1" x14ac:dyDescent="0.3">
      <c r="A531" s="4">
        <v>22</v>
      </c>
      <c r="B531" s="14"/>
      <c r="C531" s="14"/>
      <c r="D531" s="14"/>
      <c r="E531" s="14"/>
      <c r="F531" s="14"/>
      <c r="G531" s="109"/>
      <c r="H531" s="7" t="s">
        <v>725</v>
      </c>
      <c r="I531" s="7"/>
      <c r="J531" s="7">
        <v>701</v>
      </c>
      <c r="K531" s="7">
        <f>20*N531</f>
        <v>700</v>
      </c>
      <c r="L531" s="7">
        <v>700</v>
      </c>
      <c r="M531" s="4">
        <v>42.3</v>
      </c>
      <c r="N531" s="7">
        <v>35</v>
      </c>
      <c r="O531" s="7">
        <v>20</v>
      </c>
      <c r="P531" s="7">
        <v>20</v>
      </c>
      <c r="Q531" s="7">
        <v>520</v>
      </c>
      <c r="R531" s="7"/>
      <c r="S531" s="7">
        <f>1*N531</f>
        <v>35</v>
      </c>
      <c r="T531" s="7"/>
      <c r="U531" s="7">
        <v>40</v>
      </c>
      <c r="V531" s="7"/>
      <c r="W531" s="7">
        <f t="shared" si="578"/>
        <v>380</v>
      </c>
      <c r="X531" s="7">
        <v>2</v>
      </c>
      <c r="Y531" s="7"/>
      <c r="Z531" s="7"/>
      <c r="AA531" s="7">
        <f t="shared" si="579"/>
        <v>466.66666666666663</v>
      </c>
      <c r="AB531" s="7"/>
      <c r="AC531" s="7"/>
      <c r="AD531" s="7"/>
      <c r="AE531" s="7"/>
      <c r="AF531" s="7">
        <v>5</v>
      </c>
      <c r="AG531" s="7"/>
      <c r="AH531" s="7"/>
      <c r="AI531" s="7"/>
      <c r="AJ531" s="7">
        <f>(792+794)/2</f>
        <v>793</v>
      </c>
      <c r="AM531" s="7"/>
      <c r="AN531" s="7"/>
      <c r="AO531" s="7">
        <v>275</v>
      </c>
      <c r="AP531" s="7"/>
      <c r="AQ531" s="7"/>
      <c r="AR531" s="7"/>
      <c r="CD531" s="9"/>
      <c r="CF531" s="9"/>
      <c r="CG531" s="9"/>
      <c r="CH531" s="9"/>
      <c r="CI531" s="9"/>
      <c r="CJ531" s="9"/>
      <c r="CK531" s="70"/>
      <c r="CL531" s="9"/>
      <c r="CM531" s="9"/>
      <c r="CN531" s="9"/>
      <c r="CO531" s="9"/>
      <c r="CP531" s="9"/>
      <c r="CQ531" s="9"/>
      <c r="CR531" s="9"/>
      <c r="CS531" s="9"/>
      <c r="FO531" s="23"/>
      <c r="FP531" s="23"/>
      <c r="FQ531" s="23"/>
      <c r="FR531" s="23"/>
      <c r="FS531" s="23"/>
      <c r="FT531" s="23"/>
      <c r="FU531" s="23"/>
      <c r="FV531" s="23"/>
    </row>
    <row r="532" spans="1:178" ht="12" customHeight="1" x14ac:dyDescent="0.3">
      <c r="A532" s="4">
        <v>23</v>
      </c>
      <c r="B532" s="14"/>
      <c r="C532" s="14"/>
      <c r="D532" s="14"/>
      <c r="E532" s="14"/>
      <c r="F532" s="14"/>
      <c r="G532" s="109"/>
      <c r="H532" s="7" t="s">
        <v>726</v>
      </c>
      <c r="I532" s="7"/>
      <c r="J532" s="7">
        <v>649</v>
      </c>
      <c r="K532" s="7">
        <f>7*N532</f>
        <v>287</v>
      </c>
      <c r="L532" s="7">
        <v>287</v>
      </c>
      <c r="M532" s="4">
        <v>62.8</v>
      </c>
      <c r="N532" s="7">
        <v>41</v>
      </c>
      <c r="O532" s="7">
        <v>7</v>
      </c>
      <c r="P532" s="7">
        <v>7</v>
      </c>
      <c r="Q532" s="7">
        <v>620</v>
      </c>
      <c r="R532" s="7"/>
      <c r="S532" s="7">
        <f t="shared" ref="S532:S538" si="584">2*N532</f>
        <v>82</v>
      </c>
      <c r="T532" s="7"/>
      <c r="U532" s="7">
        <v>40</v>
      </c>
      <c r="V532" s="7"/>
      <c r="W532" s="7">
        <f t="shared" si="578"/>
        <v>374</v>
      </c>
      <c r="X532" s="7">
        <v>2</v>
      </c>
      <c r="Y532" s="7"/>
      <c r="Z532" s="7"/>
      <c r="AA532" s="7">
        <f t="shared" si="579"/>
        <v>191.33333333333331</v>
      </c>
      <c r="AB532" s="7"/>
      <c r="AC532" s="7"/>
      <c r="AD532" s="7"/>
      <c r="AE532" s="7"/>
      <c r="AF532" s="7">
        <v>5</v>
      </c>
      <c r="AG532" s="7"/>
      <c r="AH532" s="7"/>
      <c r="AI532" s="7"/>
      <c r="AJ532" s="7">
        <f>(563+571)/2</f>
        <v>567</v>
      </c>
      <c r="AM532" s="7"/>
      <c r="AN532" s="7"/>
      <c r="AO532" s="7">
        <v>275</v>
      </c>
      <c r="AP532" s="7"/>
      <c r="AQ532" s="7"/>
      <c r="AR532" s="7"/>
      <c r="CD532" s="9"/>
      <c r="CF532" s="9"/>
      <c r="CG532" s="9"/>
      <c r="CH532" s="9"/>
      <c r="CI532" s="9"/>
      <c r="CJ532" s="9"/>
      <c r="CK532" s="70"/>
      <c r="CL532" s="9"/>
      <c r="CM532" s="9"/>
      <c r="CN532" s="9"/>
      <c r="CO532" s="9"/>
      <c r="CP532" s="9"/>
      <c r="CQ532" s="9"/>
      <c r="CR532" s="9"/>
      <c r="CS532" s="9"/>
      <c r="FO532" s="23"/>
      <c r="FP532" s="23"/>
      <c r="FQ532" s="23"/>
      <c r="FR532" s="23"/>
      <c r="FS532" s="23"/>
      <c r="FT532" s="23"/>
      <c r="FU532" s="23"/>
      <c r="FV532" s="23"/>
    </row>
    <row r="533" spans="1:178" ht="12" customHeight="1" x14ac:dyDescent="0.3">
      <c r="A533" s="4">
        <v>24</v>
      </c>
      <c r="B533" s="14"/>
      <c r="C533" s="14"/>
      <c r="D533" s="14"/>
      <c r="E533" s="14"/>
      <c r="F533" s="14"/>
      <c r="G533" s="109"/>
      <c r="H533" s="7" t="s">
        <v>727</v>
      </c>
      <c r="I533" s="7"/>
      <c r="J533" s="7">
        <v>649</v>
      </c>
      <c r="K533" s="7">
        <f>10*N533</f>
        <v>410</v>
      </c>
      <c r="L533" s="7">
        <v>410</v>
      </c>
      <c r="M533" s="4">
        <v>62.8</v>
      </c>
      <c r="N533" s="7">
        <v>41</v>
      </c>
      <c r="O533" s="7">
        <v>10</v>
      </c>
      <c r="P533" s="7">
        <v>10</v>
      </c>
      <c r="Q533" s="7">
        <v>620</v>
      </c>
      <c r="R533" s="7"/>
      <c r="S533" s="7">
        <f t="shared" si="584"/>
        <v>82</v>
      </c>
      <c r="T533" s="7"/>
      <c r="U533" s="7">
        <v>40</v>
      </c>
      <c r="V533" s="7"/>
      <c r="W533" s="7">
        <f t="shared" si="578"/>
        <v>374</v>
      </c>
      <c r="X533" s="7">
        <v>2</v>
      </c>
      <c r="Y533" s="7"/>
      <c r="Z533" s="7"/>
      <c r="AA533" s="7">
        <f t="shared" si="579"/>
        <v>273.33333333333331</v>
      </c>
      <c r="AB533" s="7"/>
      <c r="AC533" s="7"/>
      <c r="AD533" s="7"/>
      <c r="AE533" s="7"/>
      <c r="AF533" s="7">
        <v>5</v>
      </c>
      <c r="AG533" s="7"/>
      <c r="AH533" s="7"/>
      <c r="AI533" s="7"/>
      <c r="AJ533" s="7">
        <f>(657+645)/2</f>
        <v>651</v>
      </c>
      <c r="AM533" s="7"/>
      <c r="AN533" s="7"/>
      <c r="AO533" s="7">
        <v>275</v>
      </c>
      <c r="AP533" s="7"/>
      <c r="AQ533" s="7"/>
      <c r="AR533" s="7"/>
      <c r="CD533" s="9"/>
      <c r="CF533" s="9"/>
      <c r="CG533" s="9"/>
      <c r="CH533" s="9"/>
      <c r="CI533" s="9"/>
      <c r="CJ533" s="9"/>
      <c r="CK533" s="70"/>
      <c r="CL533" s="9"/>
      <c r="CM533" s="9"/>
      <c r="CN533" s="9"/>
      <c r="CO533" s="9"/>
      <c r="CP533" s="9"/>
      <c r="CQ533" s="9"/>
      <c r="CR533" s="9"/>
      <c r="CS533" s="9"/>
      <c r="FO533" s="23"/>
      <c r="FP533" s="23"/>
      <c r="FQ533" s="23"/>
      <c r="FR533" s="23"/>
      <c r="FS533" s="23"/>
      <c r="FT533" s="23"/>
      <c r="FU533" s="23"/>
      <c r="FV533" s="23"/>
    </row>
    <row r="534" spans="1:178" ht="12" customHeight="1" x14ac:dyDescent="0.3">
      <c r="A534" s="4">
        <v>25</v>
      </c>
      <c r="B534" s="14"/>
      <c r="C534" s="14"/>
      <c r="D534" s="14"/>
      <c r="E534" s="14"/>
      <c r="F534" s="14"/>
      <c r="G534" s="109"/>
      <c r="H534" s="7" t="s">
        <v>728</v>
      </c>
      <c r="I534" s="7"/>
      <c r="J534" s="7">
        <v>649</v>
      </c>
      <c r="K534" s="7">
        <f>13*N534</f>
        <v>533</v>
      </c>
      <c r="L534" s="7">
        <v>533</v>
      </c>
      <c r="M534" s="4">
        <v>62.8</v>
      </c>
      <c r="N534" s="7">
        <v>41</v>
      </c>
      <c r="O534" s="7">
        <v>13</v>
      </c>
      <c r="P534" s="7">
        <v>13</v>
      </c>
      <c r="Q534" s="7">
        <v>620</v>
      </c>
      <c r="R534" s="7"/>
      <c r="S534" s="7">
        <f t="shared" si="584"/>
        <v>82</v>
      </c>
      <c r="T534" s="7"/>
      <c r="U534" s="7">
        <v>40</v>
      </c>
      <c r="V534" s="7"/>
      <c r="W534" s="7">
        <f t="shared" si="578"/>
        <v>374</v>
      </c>
      <c r="X534" s="7">
        <v>2</v>
      </c>
      <c r="Y534" s="7"/>
      <c r="Z534" s="7"/>
      <c r="AA534" s="7">
        <f t="shared" si="579"/>
        <v>355.33333333333331</v>
      </c>
      <c r="AB534" s="7"/>
      <c r="AC534" s="7"/>
      <c r="AD534" s="7"/>
      <c r="AE534" s="7"/>
      <c r="AF534" s="7">
        <v>5</v>
      </c>
      <c r="AG534" s="7"/>
      <c r="AH534" s="7"/>
      <c r="AI534" s="7"/>
      <c r="AJ534" s="7">
        <f>(739+734)/2</f>
        <v>736.5</v>
      </c>
      <c r="AM534" s="7"/>
      <c r="AN534" s="7"/>
      <c r="AO534" s="7">
        <v>275</v>
      </c>
      <c r="AP534" s="7"/>
      <c r="AQ534" s="7"/>
      <c r="AR534" s="7"/>
      <c r="CD534" s="9"/>
      <c r="CF534" s="9"/>
      <c r="CG534" s="9"/>
      <c r="CH534" s="9"/>
      <c r="CI534" s="9"/>
      <c r="CJ534" s="9"/>
      <c r="CK534" s="70"/>
      <c r="CL534" s="9"/>
      <c r="CM534" s="9"/>
      <c r="CN534" s="9"/>
      <c r="CO534" s="9"/>
      <c r="CP534" s="9"/>
      <c r="CQ534" s="9"/>
      <c r="CR534" s="9"/>
      <c r="CS534" s="9"/>
      <c r="FO534" s="23"/>
      <c r="FP534" s="23"/>
      <c r="FQ534" s="23"/>
      <c r="FR534" s="23"/>
      <c r="FS534" s="23"/>
      <c r="FT534" s="23"/>
      <c r="FU534" s="23"/>
      <c r="FV534" s="23"/>
    </row>
    <row r="535" spans="1:178" ht="12" customHeight="1" x14ac:dyDescent="0.3">
      <c r="A535" s="4">
        <v>26</v>
      </c>
      <c r="B535" s="14"/>
      <c r="C535" s="14"/>
      <c r="D535" s="14"/>
      <c r="E535" s="14"/>
      <c r="F535" s="14"/>
      <c r="G535" s="109"/>
      <c r="H535" s="7" t="s">
        <v>729</v>
      </c>
      <c r="I535" s="7"/>
      <c r="J535" s="7">
        <v>637</v>
      </c>
      <c r="K535" s="7">
        <f>7*N535</f>
        <v>357</v>
      </c>
      <c r="L535" s="7">
        <v>357</v>
      </c>
      <c r="M535" s="4">
        <v>62.8</v>
      </c>
      <c r="N535" s="7">
        <v>51</v>
      </c>
      <c r="O535" s="7">
        <v>7</v>
      </c>
      <c r="P535" s="7">
        <v>7</v>
      </c>
      <c r="Q535" s="7">
        <v>670</v>
      </c>
      <c r="R535" s="7"/>
      <c r="S535" s="7">
        <f t="shared" si="584"/>
        <v>102</v>
      </c>
      <c r="T535" s="7"/>
      <c r="U535" s="7">
        <v>40</v>
      </c>
      <c r="V535" s="7"/>
      <c r="W535" s="7">
        <f t="shared" si="578"/>
        <v>364</v>
      </c>
      <c r="X535" s="7">
        <v>2</v>
      </c>
      <c r="Y535" s="7"/>
      <c r="Z535" s="7"/>
      <c r="AA535" s="7">
        <f t="shared" si="579"/>
        <v>238</v>
      </c>
      <c r="AB535" s="7"/>
      <c r="AC535" s="7"/>
      <c r="AD535" s="7"/>
      <c r="AE535" s="7"/>
      <c r="AF535" s="7">
        <v>5</v>
      </c>
      <c r="AG535" s="7"/>
      <c r="AH535" s="7"/>
      <c r="AI535" s="7"/>
      <c r="AJ535" s="7">
        <f>(574+569)/2</f>
        <v>571.5</v>
      </c>
      <c r="AM535" s="7"/>
      <c r="AN535" s="7"/>
      <c r="AO535" s="7">
        <v>275</v>
      </c>
      <c r="AP535" s="7"/>
      <c r="AQ535" s="7"/>
      <c r="AR535" s="7"/>
      <c r="CD535" s="9"/>
      <c r="CF535" s="9"/>
      <c r="CG535" s="9"/>
      <c r="CH535" s="9"/>
      <c r="CI535" s="9"/>
      <c r="CJ535" s="9"/>
      <c r="CK535" s="70"/>
      <c r="CL535" s="9"/>
      <c r="CM535" s="9"/>
      <c r="CN535" s="9"/>
      <c r="CO535" s="9"/>
      <c r="CP535" s="9"/>
      <c r="CQ535" s="9"/>
      <c r="CR535" s="9"/>
      <c r="CS535" s="9"/>
      <c r="FO535" s="23"/>
      <c r="FP535" s="23"/>
      <c r="FQ535" s="23"/>
      <c r="FR535" s="23"/>
      <c r="FS535" s="23"/>
      <c r="FT535" s="23"/>
      <c r="FU535" s="23"/>
      <c r="FV535" s="23"/>
    </row>
    <row r="536" spans="1:178" ht="12" customHeight="1" x14ac:dyDescent="0.3">
      <c r="A536" s="4">
        <v>27</v>
      </c>
      <c r="B536" s="14"/>
      <c r="C536" s="14"/>
      <c r="D536" s="14"/>
      <c r="E536" s="14"/>
      <c r="F536" s="14"/>
      <c r="G536" s="109"/>
      <c r="H536" s="7" t="s">
        <v>730</v>
      </c>
      <c r="I536" s="7"/>
      <c r="J536" s="7">
        <v>637</v>
      </c>
      <c r="K536" s="7">
        <f>10*N536</f>
        <v>510</v>
      </c>
      <c r="L536" s="7">
        <v>510</v>
      </c>
      <c r="M536" s="4">
        <v>62.8</v>
      </c>
      <c r="N536" s="7">
        <v>51</v>
      </c>
      <c r="O536" s="7">
        <v>10</v>
      </c>
      <c r="P536" s="7">
        <v>10</v>
      </c>
      <c r="Q536" s="7">
        <v>670</v>
      </c>
      <c r="R536" s="7"/>
      <c r="S536" s="7">
        <f t="shared" si="584"/>
        <v>102</v>
      </c>
      <c r="T536" s="7"/>
      <c r="U536" s="7">
        <v>40</v>
      </c>
      <c r="V536" s="7"/>
      <c r="W536" s="7">
        <f t="shared" si="578"/>
        <v>364</v>
      </c>
      <c r="X536" s="7">
        <v>2</v>
      </c>
      <c r="Y536" s="7"/>
      <c r="Z536" s="7"/>
      <c r="AA536" s="7">
        <f t="shared" si="579"/>
        <v>340</v>
      </c>
      <c r="AB536" s="7"/>
      <c r="AC536" s="7"/>
      <c r="AD536" s="7"/>
      <c r="AE536" s="7"/>
      <c r="AF536" s="7">
        <v>5</v>
      </c>
      <c r="AG536" s="7"/>
      <c r="AH536" s="7"/>
      <c r="AI536" s="7"/>
      <c r="AJ536" s="7">
        <f>(698+674)/2</f>
        <v>686</v>
      </c>
      <c r="AM536" s="7"/>
      <c r="AN536" s="7"/>
      <c r="AO536" s="7">
        <v>275</v>
      </c>
      <c r="AP536" s="7"/>
      <c r="AQ536" s="7"/>
      <c r="AR536" s="7"/>
      <c r="CD536" s="9"/>
      <c r="CF536" s="9"/>
      <c r="CG536" s="9"/>
      <c r="CH536" s="9"/>
      <c r="CI536" s="9"/>
      <c r="CJ536" s="9"/>
      <c r="CK536" s="70"/>
      <c r="CL536" s="9"/>
      <c r="CM536" s="9"/>
      <c r="CN536" s="9"/>
      <c r="CO536" s="9"/>
      <c r="CP536" s="9"/>
      <c r="CQ536" s="9"/>
      <c r="CR536" s="9"/>
      <c r="CS536" s="9"/>
      <c r="FO536" s="23"/>
      <c r="FP536" s="23"/>
      <c r="FQ536" s="23"/>
      <c r="FR536" s="23"/>
      <c r="FS536" s="23"/>
      <c r="FT536" s="23"/>
      <c r="FU536" s="23"/>
      <c r="FV536" s="23"/>
    </row>
    <row r="537" spans="1:178" ht="12" customHeight="1" x14ac:dyDescent="0.3">
      <c r="A537" s="4">
        <v>28</v>
      </c>
      <c r="B537" s="14"/>
      <c r="C537" s="14"/>
      <c r="D537" s="14"/>
      <c r="E537" s="14"/>
      <c r="F537" s="14"/>
      <c r="G537" s="109"/>
      <c r="H537" s="7" t="s">
        <v>731</v>
      </c>
      <c r="I537" s="7"/>
      <c r="J537" s="7">
        <v>637</v>
      </c>
      <c r="K537" s="7">
        <f>13*N537</f>
        <v>663</v>
      </c>
      <c r="L537" s="7">
        <v>663</v>
      </c>
      <c r="M537" s="4">
        <v>62.8</v>
      </c>
      <c r="N537" s="7">
        <v>51</v>
      </c>
      <c r="O537" s="7">
        <v>13</v>
      </c>
      <c r="P537" s="7">
        <v>13</v>
      </c>
      <c r="Q537" s="7">
        <v>670</v>
      </c>
      <c r="R537" s="7"/>
      <c r="S537" s="7">
        <f t="shared" si="584"/>
        <v>102</v>
      </c>
      <c r="T537" s="7"/>
      <c r="U537" s="7">
        <v>40</v>
      </c>
      <c r="V537" s="7"/>
      <c r="W537" s="7">
        <f t="shared" si="578"/>
        <v>364</v>
      </c>
      <c r="X537" s="7">
        <v>2</v>
      </c>
      <c r="Y537" s="7"/>
      <c r="Z537" s="7"/>
      <c r="AA537" s="7">
        <f t="shared" si="579"/>
        <v>442</v>
      </c>
      <c r="AB537" s="7"/>
      <c r="AC537" s="7"/>
      <c r="AD537" s="7"/>
      <c r="AE537" s="7"/>
      <c r="AF537" s="7">
        <v>5</v>
      </c>
      <c r="AG537" s="7"/>
      <c r="AH537" s="7"/>
      <c r="AI537" s="7"/>
      <c r="AJ537" s="7">
        <f>(696+697)/2</f>
        <v>696.5</v>
      </c>
      <c r="AM537" s="7"/>
      <c r="AN537" s="7"/>
      <c r="AO537" s="7">
        <v>275</v>
      </c>
      <c r="AP537" s="7"/>
      <c r="AQ537" s="7"/>
      <c r="AR537" s="7"/>
      <c r="CD537" s="9"/>
      <c r="CF537" s="9"/>
      <c r="CG537" s="9"/>
      <c r="CH537" s="9"/>
      <c r="CI537" s="9"/>
      <c r="CJ537" s="9"/>
      <c r="CK537" s="70"/>
      <c r="CL537" s="9"/>
      <c r="CM537" s="9"/>
      <c r="CN537" s="9"/>
      <c r="CO537" s="9"/>
      <c r="CP537" s="9"/>
      <c r="CQ537" s="9"/>
      <c r="CR537" s="9"/>
      <c r="CS537" s="9"/>
      <c r="FO537" s="23"/>
      <c r="FP537" s="23"/>
      <c r="FQ537" s="23"/>
      <c r="FR537" s="23"/>
      <c r="FS537" s="23"/>
      <c r="FT537" s="23"/>
      <c r="FU537" s="23"/>
      <c r="FV537" s="23"/>
    </row>
    <row r="538" spans="1:178" ht="12" customHeight="1" x14ac:dyDescent="0.3">
      <c r="A538" s="4">
        <v>29</v>
      </c>
      <c r="B538" s="14"/>
      <c r="C538" s="14"/>
      <c r="D538" s="14"/>
      <c r="E538" s="14"/>
      <c r="F538" s="14"/>
      <c r="G538" s="109"/>
      <c r="H538" s="7" t="s">
        <v>732</v>
      </c>
      <c r="I538" s="7"/>
      <c r="J538" s="7">
        <v>701</v>
      </c>
      <c r="K538" s="7">
        <f>16*N538</f>
        <v>560</v>
      </c>
      <c r="L538" s="7">
        <v>560</v>
      </c>
      <c r="M538" s="4">
        <v>72.8</v>
      </c>
      <c r="N538" s="7">
        <v>35</v>
      </c>
      <c r="O538" s="7">
        <v>16</v>
      </c>
      <c r="P538" s="7">
        <v>16</v>
      </c>
      <c r="Q538" s="7">
        <v>590</v>
      </c>
      <c r="R538" s="7"/>
      <c r="S538" s="7">
        <f t="shared" si="584"/>
        <v>70</v>
      </c>
      <c r="T538" s="7"/>
      <c r="U538" s="7">
        <v>40</v>
      </c>
      <c r="V538" s="7"/>
      <c r="W538" s="7">
        <f t="shared" ref="W538:W543" si="585">(2-1)*N538</f>
        <v>35</v>
      </c>
      <c r="X538" s="7">
        <v>2</v>
      </c>
      <c r="Y538" s="7"/>
      <c r="Z538" s="7"/>
      <c r="AA538" s="7">
        <f t="shared" si="579"/>
        <v>373.33333333333331</v>
      </c>
      <c r="AB538" s="7"/>
      <c r="AC538" s="7"/>
      <c r="AD538" s="7"/>
      <c r="AE538" s="7"/>
      <c r="AF538" s="7">
        <v>5</v>
      </c>
      <c r="AG538" s="7"/>
      <c r="AH538" s="7"/>
      <c r="AI538" s="7"/>
      <c r="AJ538" s="7">
        <f>(560+575)/2</f>
        <v>567.5</v>
      </c>
      <c r="AM538" s="7"/>
      <c r="AN538" s="7"/>
      <c r="AO538" s="7">
        <v>120</v>
      </c>
      <c r="AP538" s="7"/>
      <c r="AQ538" s="7"/>
      <c r="AR538" s="7"/>
      <c r="CD538" s="9"/>
      <c r="CF538" s="9"/>
      <c r="CG538" s="9"/>
      <c r="CH538" s="9"/>
      <c r="CI538" s="9"/>
      <c r="CJ538" s="9"/>
      <c r="CK538" s="70"/>
      <c r="CL538" s="9"/>
      <c r="CM538" s="9"/>
      <c r="CN538" s="9"/>
      <c r="CO538" s="9"/>
      <c r="CP538" s="9"/>
      <c r="CQ538" s="9"/>
      <c r="CR538" s="9"/>
      <c r="CS538" s="9"/>
      <c r="FO538" s="23"/>
      <c r="FP538" s="23"/>
      <c r="FQ538" s="23"/>
      <c r="FR538" s="23"/>
      <c r="FS538" s="23"/>
      <c r="FT538" s="23"/>
      <c r="FU538" s="23"/>
      <c r="FV538" s="23"/>
    </row>
    <row r="539" spans="1:178" ht="12" customHeight="1" x14ac:dyDescent="0.3">
      <c r="A539" s="4">
        <v>30</v>
      </c>
      <c r="B539" s="14"/>
      <c r="C539" s="14"/>
      <c r="D539" s="14"/>
      <c r="E539" s="14"/>
      <c r="F539" s="14"/>
      <c r="G539" s="109"/>
      <c r="H539" s="7" t="s">
        <v>733</v>
      </c>
      <c r="I539" s="7"/>
      <c r="J539" s="7">
        <v>701</v>
      </c>
      <c r="K539" s="7">
        <f>16*N539</f>
        <v>560</v>
      </c>
      <c r="L539" s="7">
        <v>560</v>
      </c>
      <c r="M539" s="4">
        <v>72.8</v>
      </c>
      <c r="N539" s="7">
        <v>35</v>
      </c>
      <c r="O539" s="7">
        <v>16</v>
      </c>
      <c r="P539" s="7">
        <v>16</v>
      </c>
      <c r="Q539" s="7">
        <v>660</v>
      </c>
      <c r="R539" s="7"/>
      <c r="S539" s="7">
        <f>3*N539</f>
        <v>105</v>
      </c>
      <c r="T539" s="7"/>
      <c r="U539" s="7">
        <v>40</v>
      </c>
      <c r="V539" s="7"/>
      <c r="W539" s="7">
        <f t="shared" si="585"/>
        <v>35</v>
      </c>
      <c r="X539" s="7">
        <v>2</v>
      </c>
      <c r="Y539" s="7"/>
      <c r="Z539" s="7"/>
      <c r="AA539" s="7">
        <f t="shared" si="579"/>
        <v>373.33333333333331</v>
      </c>
      <c r="AB539" s="7"/>
      <c r="AC539" s="7"/>
      <c r="AD539" s="7"/>
      <c r="AE539" s="7"/>
      <c r="AF539" s="7">
        <v>5</v>
      </c>
      <c r="AG539" s="7"/>
      <c r="AH539" s="7"/>
      <c r="AI539" s="7"/>
      <c r="AJ539" s="7">
        <f>(589+603)/2</f>
        <v>596</v>
      </c>
      <c r="AM539" s="7"/>
      <c r="AN539" s="7"/>
      <c r="AO539" s="7">
        <v>120</v>
      </c>
      <c r="AP539" s="7"/>
      <c r="AQ539" s="7"/>
      <c r="AR539" s="7"/>
      <c r="CD539" s="9"/>
      <c r="CF539" s="9"/>
      <c r="CG539" s="9"/>
      <c r="CH539" s="9"/>
      <c r="CI539" s="9"/>
      <c r="CJ539" s="9"/>
      <c r="CK539" s="70"/>
      <c r="CL539" s="9"/>
      <c r="CM539" s="9"/>
      <c r="CN539" s="9"/>
      <c r="CO539" s="9"/>
      <c r="CP539" s="9"/>
      <c r="CQ539" s="9"/>
      <c r="CR539" s="9"/>
      <c r="CS539" s="9"/>
      <c r="FO539" s="23"/>
      <c r="FP539" s="23"/>
      <c r="FQ539" s="23"/>
      <c r="FR539" s="23"/>
      <c r="FS539" s="23"/>
      <c r="FT539" s="23"/>
      <c r="FU539" s="23"/>
      <c r="FV539" s="23"/>
    </row>
    <row r="540" spans="1:178" ht="12" customHeight="1" x14ac:dyDescent="0.3">
      <c r="A540" s="4">
        <v>31</v>
      </c>
      <c r="B540" s="14"/>
      <c r="C540" s="14"/>
      <c r="D540" s="14"/>
      <c r="E540" s="14"/>
      <c r="F540" s="14"/>
      <c r="G540" s="109"/>
      <c r="H540" s="7" t="s">
        <v>734</v>
      </c>
      <c r="I540" s="7"/>
      <c r="J540" s="7">
        <v>701</v>
      </c>
      <c r="K540" s="7">
        <f>20*N540</f>
        <v>700</v>
      </c>
      <c r="L540" s="7">
        <v>700</v>
      </c>
      <c r="M540" s="4">
        <v>74.099999999999994</v>
      </c>
      <c r="N540" s="7">
        <v>35</v>
      </c>
      <c r="O540" s="7">
        <v>20</v>
      </c>
      <c r="P540" s="7">
        <v>20</v>
      </c>
      <c r="Q540" s="7">
        <v>590</v>
      </c>
      <c r="R540" s="7"/>
      <c r="S540" s="7">
        <f>2*N540</f>
        <v>70</v>
      </c>
      <c r="T540" s="7"/>
      <c r="U540" s="7">
        <v>40</v>
      </c>
      <c r="V540" s="7"/>
      <c r="W540" s="7">
        <f t="shared" si="585"/>
        <v>35</v>
      </c>
      <c r="X540" s="7">
        <v>2</v>
      </c>
      <c r="Y540" s="7"/>
      <c r="Z540" s="7"/>
      <c r="AA540" s="7">
        <f t="shared" si="579"/>
        <v>466.66666666666663</v>
      </c>
      <c r="AB540" s="7"/>
      <c r="AC540" s="7"/>
      <c r="AD540" s="7"/>
      <c r="AE540" s="7"/>
      <c r="AF540" s="7">
        <v>5</v>
      </c>
      <c r="AG540" s="7"/>
      <c r="AH540" s="7"/>
      <c r="AI540" s="7"/>
      <c r="AJ540" s="7">
        <f>(649+659)/2</f>
        <v>654</v>
      </c>
      <c r="AM540" s="7"/>
      <c r="AN540" s="7"/>
      <c r="AO540" s="7">
        <v>120</v>
      </c>
      <c r="AP540" s="7"/>
      <c r="AQ540" s="7"/>
      <c r="AR540" s="7"/>
      <c r="CD540" s="9"/>
      <c r="CF540" s="9"/>
      <c r="CG540" s="9"/>
      <c r="CH540" s="9"/>
      <c r="CI540" s="9"/>
      <c r="CJ540" s="9"/>
      <c r="CK540" s="70"/>
      <c r="CL540" s="9"/>
      <c r="CM540" s="9"/>
      <c r="CN540" s="9"/>
      <c r="CO540" s="9"/>
      <c r="CP540" s="9"/>
      <c r="CQ540" s="9"/>
      <c r="CR540" s="9"/>
      <c r="CS540" s="9"/>
      <c r="FO540" s="23"/>
      <c r="FP540" s="23"/>
      <c r="FQ540" s="23"/>
      <c r="FR540" s="23"/>
      <c r="FS540" s="23"/>
      <c r="FT540" s="23"/>
      <c r="FU540" s="23"/>
      <c r="FV540" s="23"/>
    </row>
    <row r="541" spans="1:178" ht="12" customHeight="1" x14ac:dyDescent="0.3">
      <c r="A541" s="4">
        <v>32</v>
      </c>
      <c r="B541" s="14"/>
      <c r="C541" s="14"/>
      <c r="D541" s="14"/>
      <c r="E541" s="14"/>
      <c r="F541" s="14"/>
      <c r="G541" s="109"/>
      <c r="H541" s="7" t="s">
        <v>735</v>
      </c>
      <c r="I541" s="7"/>
      <c r="J541" s="7">
        <v>701</v>
      </c>
      <c r="K541" s="7">
        <f>20*N541</f>
        <v>700</v>
      </c>
      <c r="L541" s="7">
        <v>700</v>
      </c>
      <c r="M541" s="4">
        <v>74.099999999999994</v>
      </c>
      <c r="N541" s="7">
        <v>35</v>
      </c>
      <c r="O541" s="7">
        <v>20</v>
      </c>
      <c r="P541" s="7">
        <v>20</v>
      </c>
      <c r="Q541" s="7">
        <v>660</v>
      </c>
      <c r="R541" s="7"/>
      <c r="S541" s="7">
        <f>3*N541</f>
        <v>105</v>
      </c>
      <c r="T541" s="7"/>
      <c r="U541" s="7">
        <v>40</v>
      </c>
      <c r="V541" s="7"/>
      <c r="W541" s="7">
        <f t="shared" si="585"/>
        <v>35</v>
      </c>
      <c r="X541" s="7">
        <v>2</v>
      </c>
      <c r="Y541" s="7"/>
      <c r="Z541" s="7"/>
      <c r="AA541" s="7">
        <f t="shared" si="579"/>
        <v>466.66666666666663</v>
      </c>
      <c r="AB541" s="7"/>
      <c r="AC541" s="7"/>
      <c r="AD541" s="7"/>
      <c r="AE541" s="7"/>
      <c r="AF541" s="7">
        <v>5</v>
      </c>
      <c r="AG541" s="7"/>
      <c r="AH541" s="7"/>
      <c r="AI541" s="7"/>
      <c r="AJ541" s="7">
        <f>(719+742)/2</f>
        <v>730.5</v>
      </c>
      <c r="AM541" s="7"/>
      <c r="AN541" s="7"/>
      <c r="AO541" s="7">
        <v>120</v>
      </c>
      <c r="AP541" s="7"/>
      <c r="AQ541" s="7"/>
      <c r="AR541" s="7"/>
      <c r="CD541" s="9"/>
      <c r="CF541" s="9"/>
      <c r="CG541" s="9"/>
      <c r="CH541" s="9"/>
      <c r="CI541" s="9"/>
      <c r="CJ541" s="9"/>
      <c r="CK541" s="70"/>
      <c r="CL541" s="9"/>
      <c r="CM541" s="9"/>
      <c r="CN541" s="9"/>
      <c r="CO541" s="9"/>
      <c r="CP541" s="9"/>
      <c r="CQ541" s="9"/>
      <c r="CR541" s="9"/>
      <c r="CS541" s="9"/>
      <c r="FO541" s="23"/>
      <c r="FP541" s="23"/>
      <c r="FQ541" s="23"/>
      <c r="FR541" s="23"/>
      <c r="FS541" s="23"/>
      <c r="FT541" s="23"/>
      <c r="FU541" s="23"/>
      <c r="FV541" s="23"/>
    </row>
    <row r="542" spans="1:178" ht="12" customHeight="1" x14ac:dyDescent="0.3">
      <c r="A542" s="4">
        <v>33</v>
      </c>
      <c r="H542" s="7" t="s">
        <v>736</v>
      </c>
      <c r="I542" s="7"/>
      <c r="J542" s="7">
        <v>701</v>
      </c>
      <c r="K542" s="4">
        <f>23*N542</f>
        <v>805</v>
      </c>
      <c r="L542" s="4">
        <v>805</v>
      </c>
      <c r="M542" s="4">
        <v>80.8</v>
      </c>
      <c r="N542" s="7">
        <v>35</v>
      </c>
      <c r="O542" s="4">
        <v>23</v>
      </c>
      <c r="P542" s="4">
        <v>23</v>
      </c>
      <c r="Q542" s="4">
        <v>590</v>
      </c>
      <c r="S542" s="7">
        <f>2*N542</f>
        <v>70</v>
      </c>
      <c r="T542" s="7"/>
      <c r="U542" s="7">
        <v>40</v>
      </c>
      <c r="V542" s="7"/>
      <c r="W542" s="7">
        <f t="shared" si="585"/>
        <v>35</v>
      </c>
      <c r="X542" s="7">
        <v>2</v>
      </c>
      <c r="Y542" s="7"/>
      <c r="Z542" s="7"/>
      <c r="AA542" s="7">
        <f t="shared" si="579"/>
        <v>536.66666666666663</v>
      </c>
      <c r="AF542" s="7">
        <v>5</v>
      </c>
      <c r="AJ542" s="4">
        <f>(645+667)/2</f>
        <v>656</v>
      </c>
      <c r="AO542" s="7">
        <v>120</v>
      </c>
      <c r="FO542" s="23"/>
      <c r="FP542" s="23"/>
      <c r="FQ542" s="23"/>
      <c r="FR542" s="23"/>
      <c r="FS542" s="23"/>
      <c r="FT542" s="23"/>
    </row>
    <row r="543" spans="1:178" ht="12" customHeight="1" x14ac:dyDescent="0.3">
      <c r="A543" s="4">
        <v>34</v>
      </c>
      <c r="H543" s="7" t="s">
        <v>737</v>
      </c>
      <c r="I543" s="7"/>
      <c r="J543" s="7">
        <v>701</v>
      </c>
      <c r="K543" s="4">
        <f>23*N543</f>
        <v>805</v>
      </c>
      <c r="L543" s="4">
        <v>805</v>
      </c>
      <c r="M543" s="4">
        <v>80.8</v>
      </c>
      <c r="N543" s="7">
        <v>35</v>
      </c>
      <c r="O543" s="4">
        <v>23</v>
      </c>
      <c r="P543" s="4">
        <v>23</v>
      </c>
      <c r="Q543" s="4">
        <v>660</v>
      </c>
      <c r="S543" s="7">
        <f>3*N543</f>
        <v>105</v>
      </c>
      <c r="T543" s="7"/>
      <c r="U543" s="7">
        <v>40</v>
      </c>
      <c r="V543" s="7"/>
      <c r="W543" s="7">
        <f t="shared" si="585"/>
        <v>35</v>
      </c>
      <c r="X543" s="7">
        <v>2</v>
      </c>
      <c r="Y543" s="7"/>
      <c r="Z543" s="7"/>
      <c r="AA543" s="7">
        <f t="shared" si="579"/>
        <v>536.66666666666663</v>
      </c>
      <c r="AF543" s="7">
        <v>5</v>
      </c>
      <c r="AJ543" s="4">
        <f>(747+759)/2</f>
        <v>753</v>
      </c>
      <c r="AO543" s="7">
        <v>120</v>
      </c>
      <c r="FO543" s="23"/>
      <c r="FP543" s="23"/>
      <c r="FQ543" s="23"/>
      <c r="FR543" s="23"/>
      <c r="FS543" s="23"/>
      <c r="FT543" s="23"/>
    </row>
    <row r="544" spans="1:178" ht="12" customHeight="1" x14ac:dyDescent="0.3">
      <c r="FO544" s="23"/>
      <c r="FP544" s="23"/>
      <c r="FQ544" s="23"/>
      <c r="FR544" s="23"/>
      <c r="FS544" s="23"/>
      <c r="FT544" s="23"/>
    </row>
    <row r="545" spans="1:191" ht="12" customHeight="1" x14ac:dyDescent="0.3">
      <c r="B545" s="24"/>
      <c r="C545" s="24"/>
      <c r="D545" s="24"/>
      <c r="E545" s="24"/>
      <c r="F545" s="24"/>
      <c r="G545" s="109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L545" s="7"/>
      <c r="AM545" s="7"/>
      <c r="AN545" s="7"/>
      <c r="AO545" s="7"/>
      <c r="AP545" s="7"/>
      <c r="AQ545" s="7"/>
      <c r="AR545" s="7"/>
      <c r="CD545" s="9"/>
      <c r="CF545" s="9"/>
      <c r="CG545" s="9"/>
      <c r="CH545" s="9"/>
      <c r="CI545" s="9"/>
      <c r="CJ545" s="9"/>
      <c r="CK545" s="70"/>
      <c r="CL545" s="9"/>
      <c r="CM545" s="9"/>
      <c r="CN545" s="9"/>
      <c r="CO545" s="9"/>
      <c r="CP545" s="9"/>
      <c r="CQ545" s="9"/>
      <c r="CR545" s="9"/>
      <c r="CS545" s="9"/>
      <c r="FO545" s="23"/>
      <c r="FP545" s="23"/>
      <c r="FQ545" s="23"/>
      <c r="FR545" s="23"/>
      <c r="FS545" s="23"/>
      <c r="FT545" s="23"/>
      <c r="FU545" s="23"/>
      <c r="FV545" s="23"/>
    </row>
    <row r="546" spans="1:191" ht="12" customHeight="1" x14ac:dyDescent="0.3">
      <c r="B546" s="24"/>
      <c r="C546" s="24"/>
      <c r="D546" s="24"/>
      <c r="E546" s="24"/>
      <c r="F546" s="24"/>
      <c r="G546" s="109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L546" s="7"/>
      <c r="AM546" s="7"/>
      <c r="AN546" s="7"/>
      <c r="AO546" s="7"/>
      <c r="AP546" s="7"/>
      <c r="AQ546" s="7"/>
      <c r="AR546" s="7"/>
      <c r="CD546" s="9"/>
      <c r="CF546" s="9"/>
      <c r="CG546" s="9"/>
      <c r="CH546" s="9"/>
      <c r="CI546" s="9"/>
      <c r="CJ546" s="9"/>
      <c r="CK546" s="70"/>
      <c r="CL546" s="9"/>
      <c r="CM546" s="9"/>
      <c r="CN546" s="9"/>
      <c r="CO546" s="9"/>
      <c r="CP546" s="9"/>
      <c r="CQ546" s="9"/>
      <c r="CR546" s="9"/>
      <c r="CS546" s="9"/>
      <c r="FO546" s="23"/>
      <c r="FP546" s="23"/>
      <c r="FQ546" s="23"/>
      <c r="FR546" s="23"/>
      <c r="FS546" s="23"/>
      <c r="FT546" s="23"/>
      <c r="FU546" s="23"/>
      <c r="FV546" s="23"/>
    </row>
    <row r="547" spans="1:191" ht="12" customHeight="1" x14ac:dyDescent="0.3">
      <c r="B547" s="24"/>
      <c r="C547" s="24"/>
      <c r="D547" s="24"/>
      <c r="E547" s="24"/>
      <c r="F547" s="24"/>
      <c r="G547" s="109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L547" s="7"/>
      <c r="AM547" s="7"/>
      <c r="AN547" s="7"/>
      <c r="AO547" s="7"/>
      <c r="AP547" s="7"/>
      <c r="AQ547" s="7"/>
      <c r="AR547" s="7"/>
      <c r="CD547" s="9"/>
      <c r="CF547" s="9"/>
      <c r="CG547" s="9"/>
      <c r="CH547" s="9"/>
      <c r="CI547" s="9"/>
      <c r="CJ547" s="9"/>
      <c r="CK547" s="70"/>
      <c r="CL547" s="9"/>
      <c r="CM547" s="9"/>
      <c r="CN547" s="9"/>
      <c r="CO547" s="9"/>
      <c r="CP547" s="9"/>
      <c r="CQ547" s="9"/>
      <c r="CR547" s="9"/>
      <c r="CS547" s="9"/>
      <c r="FO547" s="23"/>
      <c r="FP547" s="23"/>
      <c r="FQ547" s="23"/>
      <c r="FR547" s="23"/>
      <c r="FS547" s="23"/>
      <c r="FT547" s="23"/>
      <c r="FU547" s="23"/>
      <c r="FV547" s="23"/>
    </row>
    <row r="548" spans="1:191" ht="12" customHeight="1" x14ac:dyDescent="0.3">
      <c r="B548" s="24"/>
      <c r="C548" s="24"/>
      <c r="D548" s="24"/>
      <c r="E548" s="24"/>
      <c r="F548" s="24"/>
      <c r="G548" s="109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L548" s="7"/>
      <c r="AM548" s="7"/>
      <c r="AN548" s="7"/>
      <c r="AO548" s="7"/>
      <c r="AP548" s="7"/>
      <c r="AQ548" s="7"/>
      <c r="AR548" s="7"/>
      <c r="AS548" s="35"/>
      <c r="AT548" s="35"/>
      <c r="AU548" s="35"/>
      <c r="AV548" s="35"/>
      <c r="AW548" s="35"/>
      <c r="AX548" s="35"/>
      <c r="AY548" s="42"/>
      <c r="AZ548" s="42"/>
      <c r="BA548" s="42"/>
      <c r="BB548" s="42"/>
      <c r="BC548" s="42"/>
      <c r="BD548" s="42"/>
      <c r="BE548" s="35"/>
      <c r="CD548" s="9"/>
      <c r="CF548" s="9"/>
      <c r="CG548" s="9"/>
      <c r="CH548" s="9"/>
      <c r="CI548" s="9"/>
      <c r="CJ548" s="9"/>
      <c r="CK548" s="70"/>
      <c r="CL548" s="9"/>
      <c r="CM548" s="9"/>
      <c r="CN548" s="9"/>
      <c r="CO548" s="9"/>
      <c r="CP548" s="9"/>
      <c r="CQ548" s="9"/>
      <c r="CR548" s="9"/>
      <c r="CS548" s="9"/>
      <c r="FO548" s="23"/>
      <c r="FP548" s="23"/>
      <c r="FQ548" s="23"/>
      <c r="FR548" s="23"/>
      <c r="FS548" s="23"/>
      <c r="FT548" s="23"/>
      <c r="FU548" s="23"/>
      <c r="FV548" s="23"/>
    </row>
    <row r="549" spans="1:191" ht="12" customHeight="1" x14ac:dyDescent="0.3">
      <c r="A549" s="4" t="s">
        <v>754</v>
      </c>
      <c r="B549" s="24"/>
      <c r="C549" s="24"/>
      <c r="D549" s="24"/>
      <c r="E549" s="24"/>
      <c r="F549" s="24"/>
      <c r="G549" s="109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L549" s="7"/>
      <c r="AM549" s="7"/>
      <c r="AN549" s="7"/>
      <c r="AO549" s="7"/>
      <c r="AP549" s="7"/>
      <c r="AQ549" s="7"/>
      <c r="AR549" s="7"/>
      <c r="AS549" s="35"/>
      <c r="AT549" s="35"/>
      <c r="AU549" s="35"/>
      <c r="AV549" s="35"/>
      <c r="AW549" s="35"/>
      <c r="AX549" s="35"/>
      <c r="AY549" s="42"/>
      <c r="AZ549" s="42"/>
      <c r="BA549" s="42"/>
      <c r="BB549" s="42"/>
      <c r="BC549" s="42"/>
      <c r="BD549" s="42"/>
      <c r="BE549" s="35"/>
      <c r="CD549" s="9"/>
      <c r="CF549" s="9"/>
      <c r="CG549" s="9"/>
      <c r="CH549" s="9"/>
      <c r="CI549" s="9"/>
      <c r="CJ549" s="9"/>
      <c r="CK549" s="70"/>
      <c r="CL549" s="9"/>
      <c r="CM549" s="9"/>
      <c r="CN549" s="9"/>
      <c r="CO549" s="9"/>
      <c r="CP549" s="9"/>
      <c r="CQ549" s="9"/>
      <c r="CR549" s="9"/>
      <c r="CS549" s="9"/>
      <c r="FO549" s="23"/>
      <c r="FP549" s="23"/>
      <c r="FQ549" s="23"/>
      <c r="FR549" s="23"/>
      <c r="FS549" s="23"/>
      <c r="FT549" s="23"/>
      <c r="FU549" s="23"/>
      <c r="FV549" s="23"/>
    </row>
    <row r="550" spans="1:191" s="54" customFormat="1" ht="12" customHeight="1" x14ac:dyDescent="0.3">
      <c r="A550" s="52">
        <v>174</v>
      </c>
      <c r="B550" s="53" t="s">
        <v>128</v>
      </c>
      <c r="C550" s="53">
        <v>2017</v>
      </c>
      <c r="D550" s="53"/>
      <c r="E550" s="53"/>
      <c r="F550" s="53"/>
      <c r="G550" s="109"/>
      <c r="H550" s="54" t="s">
        <v>703</v>
      </c>
      <c r="J550" s="32">
        <v>661</v>
      </c>
      <c r="K550" s="32">
        <f>4*N550</f>
        <v>88.8</v>
      </c>
      <c r="L550" s="32">
        <f t="shared" ref="L550:L558" si="586">K550</f>
        <v>88.8</v>
      </c>
      <c r="M550" s="32">
        <v>225.5</v>
      </c>
      <c r="N550" s="32">
        <v>22.2</v>
      </c>
      <c r="O550" s="32">
        <f t="shared" ref="O550:O558" si="587">K550/N550</f>
        <v>4</v>
      </c>
      <c r="P550" s="32">
        <f t="shared" ref="P550:P558" si="588">L550/N550</f>
        <v>4</v>
      </c>
      <c r="Q550" s="32">
        <v>366</v>
      </c>
      <c r="R550" s="32"/>
      <c r="S550" s="32">
        <f t="shared" ref="S550:S555" si="589">1*N550</f>
        <v>22.2</v>
      </c>
      <c r="T550" s="32"/>
      <c r="U550" s="32">
        <f>118-L550</f>
        <v>29.200000000000003</v>
      </c>
      <c r="V550" s="32"/>
      <c r="W550" s="61">
        <f t="shared" ref="W550:W558" si="590">Q550-2*N550-2*S550</f>
        <v>277.20000000000005</v>
      </c>
      <c r="X550" s="32">
        <v>2</v>
      </c>
      <c r="Y550" s="32"/>
      <c r="Z550" s="32"/>
      <c r="AA550" s="32">
        <f t="shared" ref="AA550:AA558" si="591">2/3*K550</f>
        <v>59.199999999999996</v>
      </c>
      <c r="AB550" s="32">
        <f t="shared" ref="AB550:AB558" si="592">MIN(S550/N550+0.5, W550/2/N550+0.5)</f>
        <v>1.5</v>
      </c>
      <c r="AC550" s="32">
        <f t="shared" ref="AC550:AC558" si="593">S550/N550+0.5</f>
        <v>1.5</v>
      </c>
      <c r="AD550" s="32">
        <f t="shared" ref="AD550:AE558" si="594">2040/510</f>
        <v>4</v>
      </c>
      <c r="AE550" s="32">
        <f t="shared" si="594"/>
        <v>4</v>
      </c>
      <c r="AF550" s="32">
        <f t="shared" ref="AF550:AF558" si="595">AE550+1</f>
        <v>5</v>
      </c>
      <c r="AG550" s="32">
        <f t="shared" ref="AG550:AG558" si="596">N550*AF550^0.5</f>
        <v>49.640709100495329</v>
      </c>
      <c r="AH550" s="32">
        <f t="shared" ref="AH550:AH558" si="597">J550</f>
        <v>661</v>
      </c>
      <c r="AI550" s="32">
        <v>8</v>
      </c>
      <c r="AJ550" s="32">
        <f>(853+842)/2</f>
        <v>847.5</v>
      </c>
      <c r="AK550" s="32"/>
      <c r="AL550" s="54">
        <f t="shared" ref="AL550:AL558" si="598">CY550</f>
        <v>1</v>
      </c>
      <c r="AM550" s="32">
        <v>0</v>
      </c>
      <c r="AN550" s="32">
        <v>0</v>
      </c>
      <c r="AO550" s="32">
        <f t="shared" ref="AO550:AO557" si="599">L550</f>
        <v>88.8</v>
      </c>
      <c r="AP550" s="32"/>
      <c r="AQ550" s="32"/>
      <c r="AR550" s="32">
        <f t="shared" ref="AR550:AR558" si="600">3*AS550/(W550+N550)</f>
        <v>0.88977955911823625</v>
      </c>
      <c r="AS550" s="54">
        <f t="shared" ref="AS550:AS558" si="601">K550</f>
        <v>88.8</v>
      </c>
      <c r="AT550" s="54">
        <f t="shared" ref="AT550:AT558" si="602">IF(K550*3&gt;W550+N550, Q550, (S550+N550/2)*2+1.5*K550*(2*X550-2))*(3*K550)/(9*K550^2)</f>
        <v>1.25</v>
      </c>
      <c r="AU550" s="54">
        <f t="shared" ref="AU550:AU558" si="603">MIN(10*M550^0.5*K550^1.5,100*3.9*M550^0.5*K550^(5/3))/(PI()/4*N550^2)/X550</f>
        <v>162.318079587065</v>
      </c>
      <c r="AV550" s="54">
        <f t="shared" ref="AV550:AV558" si="604">MIN(0.7+0.3*(MIN(S550,AA550)+0.5*N550)/1.5/K550,1)</f>
        <v>0.77499999999999991</v>
      </c>
      <c r="AW550" s="54">
        <v>1.25</v>
      </c>
      <c r="AX550" s="59">
        <v>5</v>
      </c>
      <c r="AY550" s="56">
        <f t="shared" ref="AY550:AY553" si="605">AT550*AV550*AW550*AX550*AU550</f>
        <v>982.7852474998075</v>
      </c>
      <c r="AZ550" s="56">
        <f t="shared" ref="AZ550:AZ558" si="606">AY550</f>
        <v>982.7852474998075</v>
      </c>
      <c r="BA550" s="56">
        <f t="shared" ref="BA550:BA558" si="607">IF(M550&lt;50, 0.3*M550^(2/3), 2.12*LN(1+0.1*(M550+8)))</f>
        <v>6.7681675210006302</v>
      </c>
      <c r="BB550" s="56">
        <f t="shared" ref="BB550:BB558" si="608">AX550* (M550^0.5/AS550^0.5)/(PI()/4*N550^2)/X550/0.72 *(0.7+(MIN(S550,AA550)+0.5*N550)/5/K550) *(3*Q550*K550)</f>
        <v>1080.1783801349238</v>
      </c>
      <c r="BC550" s="56">
        <f t="shared" ref="BC550:BC553" si="609">AY550/BB550</f>
        <v>0.90983606557377028</v>
      </c>
      <c r="BD550" s="56">
        <f t="shared" ref="BD550:BD558" si="610">BH550/BB550</f>
        <v>1.2525708946618597</v>
      </c>
      <c r="BE550" s="54">
        <f t="shared" ref="BE550:BE558" si="611">IF(BD550&lt;1,1,0)</f>
        <v>0</v>
      </c>
      <c r="BF550" s="54">
        <f t="shared" ref="BF550:BF558" si="612">L550/N550*M550^0.5/0.19</f>
        <v>316.14015616170963</v>
      </c>
      <c r="BG550" s="54">
        <f t="shared" ref="BG550:BG558" si="613">MIN(0.6+0.4*(AC550/AB550),2)</f>
        <v>1</v>
      </c>
      <c r="BH550" s="56">
        <f t="shared" ref="BH550:BH558" si="614">2*M550*AB550*AD550^0.5*BG550*0.7/0.7</f>
        <v>1353</v>
      </c>
      <c r="BI550" s="54">
        <f t="shared" ref="BI550:BI558" si="615">MAX(1-0.7*AE550/5,0.3)</f>
        <v>0.44000000000000006</v>
      </c>
      <c r="BJ550" s="54">
        <f t="shared" ref="BJ550:BJ558" si="616">BI550*J550*L550/(J550*N550/2.75/M550^0.5)</f>
        <v>72.680621901577041</v>
      </c>
      <c r="BK550" s="54">
        <f t="shared" ref="BK550:BK558" si="617">BH550+BJ550</f>
        <v>1425.6806219015771</v>
      </c>
      <c r="BM550" s="54">
        <f t="shared" ref="BM550:BM558" si="618">MIN(1.5, 0.75+0.25*MIN(3,MAX(1,S550/N550))+0.4*MIN(1,(40*2*PI()*AM550^2/4/AO550/X550)/N550))</f>
        <v>1</v>
      </c>
      <c r="BN550" s="54">
        <f t="shared" ref="BN550:BN558" si="619">(3*P550+30)*BM550*M550^0.5</f>
        <v>630.69961154261068</v>
      </c>
      <c r="BP550" s="54">
        <f t="shared" ref="BP550:BP558" si="620">3.4/PI()^0.5*M550*AB550*AE550^0.5*BG550</f>
        <v>1297.6924611181944</v>
      </c>
      <c r="BQ550" s="54">
        <f t="shared" ref="BQ550:BQ558" si="621">8/3*AH550*AI550^2/(AG550-N550-22)/N550*(AG550^2-N550^2)/(AG550^2-(N550+22)^2)</f>
        <v>3606.2915864545262</v>
      </c>
      <c r="BR550" s="54">
        <f t="shared" ref="BR550:BR558" si="622">BQ550/BP550</f>
        <v>2.779003265031732</v>
      </c>
      <c r="BZ550" s="54">
        <f t="shared" ref="BZ550:BZ558" si="623">IF(W550=0,S550,MIN(W550/2,S550))</f>
        <v>22.2</v>
      </c>
      <c r="CD550" s="57"/>
      <c r="CF550" s="57"/>
      <c r="CG550" s="57"/>
      <c r="CH550" s="57">
        <f t="shared" ref="CH550:CH558" si="624">IF(W550=0,MIN(S550,U550),MIN(W550/2,S550,U550))</f>
        <v>22.2</v>
      </c>
      <c r="CI550" s="57">
        <f t="shared" ref="CI550:CI558" si="625">MAX(W550/2,S550)</f>
        <v>138.60000000000002</v>
      </c>
      <c r="CJ550" s="57">
        <f t="shared" ref="CJ550:CJ558" si="626">(CH550/N550)^0.5*(CI550/CH550)^0.15</f>
        <v>1.3161686388047049</v>
      </c>
      <c r="CK550" s="71">
        <v>0</v>
      </c>
      <c r="CL550" s="57">
        <f t="shared" ref="CL550:CL558" si="627">MIN(PI()*AM550^2/4*AN550*2/X550/N550/MAX(0.01,AO550),0.05)</f>
        <v>0</v>
      </c>
      <c r="CM550" s="57">
        <f t="shared" ref="CM550:CM558" si="628">MAX(0,CK550*(CL550-0.5/50))</f>
        <v>0</v>
      </c>
      <c r="CN550" s="57">
        <f t="shared" ref="CN550:CN558" si="629">MIN(1,(25/N550)^0.3)</f>
        <v>1</v>
      </c>
      <c r="CO550" s="57">
        <f t="shared" ref="CO550:CO558" si="630">IF(J550&gt;=800,0.68,IF(J550&gt;=700,0.75-(J550-700)*0.07/100,IF(J550&gt;=600,0.85-(J550-600)*0.1/100,IF(J550&gt;=500,1-(J550-500)*0.15/100,1.2-(J550-400)*0.2/100))))</f>
        <v>0.78899999999999992</v>
      </c>
      <c r="CP550" s="57">
        <f t="shared" ref="CP550:CP558" si="631">1.75*CN550*CO550*(M550/25)^0.5</f>
        <v>4.1468499458926642</v>
      </c>
      <c r="CQ550" s="57">
        <f t="shared" ref="CQ550:CQ558" si="632">MIN((CJ550+CM550)*CP550,2.5*CP550,M550^0.5)</f>
        <v>5.4579538486129122</v>
      </c>
      <c r="CR550" s="57">
        <v>1</v>
      </c>
      <c r="CS550" s="57">
        <f t="shared" ref="CS550:CS558" si="633">4*CQ550*P550+60*CQ550</f>
        <v>414.80449249458132</v>
      </c>
      <c r="CU550" s="54">
        <f t="shared" ref="CU550:CU558" si="634">AJ550/BF550</f>
        <v>2.6807730162772905</v>
      </c>
      <c r="CV550" s="54">
        <f t="shared" ref="CV550:CV558" si="635">AJ550/BK550</f>
        <v>0.59445291391391852</v>
      </c>
      <c r="CW550" s="54">
        <f t="shared" ref="CW550:CW558" si="636">AJ550/BN550</f>
        <v>1.343745872820697</v>
      </c>
      <c r="CX550" s="54">
        <f t="shared" ref="CX550:CX558" si="637">AJ550/CS550</f>
        <v>2.0431311987564142</v>
      </c>
      <c r="CY550" s="60">
        <f t="shared" ref="CY550:CY558" si="638">AJ550/DZ550</f>
        <v>1</v>
      </c>
      <c r="CZ550" s="54">
        <f t="shared" ref="CZ550:CZ558" si="639">AJ550/EL550</f>
        <v>1</v>
      </c>
      <c r="DA550" s="54">
        <f t="shared" ref="DA550:DA558" si="640">AJ550/GI550</f>
        <v>3.203833724920901</v>
      </c>
      <c r="DC550" s="54">
        <f t="shared" ref="DC550:DC557" si="641">CU550</f>
        <v>2.6807730162772905</v>
      </c>
      <c r="DD550" s="54">
        <f t="shared" ref="DD550:DD557" si="642">CV550</f>
        <v>0.59445291391391852</v>
      </c>
      <c r="DE550" s="54">
        <f t="shared" ref="DE550:DE557" si="643">CX550</f>
        <v>2.0431311987564142</v>
      </c>
      <c r="DF550" s="54">
        <f t="shared" ref="DF550:DF557" si="644">DA550</f>
        <v>3.203833724920901</v>
      </c>
      <c r="DG550" s="54">
        <f t="shared" ref="DG550:DG557" si="645">CY550</f>
        <v>1</v>
      </c>
      <c r="DH550" s="54">
        <f t="shared" ref="DH550:DH557" si="646">CZ550</f>
        <v>1</v>
      </c>
      <c r="DP550" s="54">
        <f t="shared" ref="DP550:DP558" si="647">AN550</f>
        <v>0</v>
      </c>
      <c r="DQ550" s="54">
        <f t="shared" ref="DQ550:DQ558" si="648">L550</f>
        <v>88.8</v>
      </c>
      <c r="DT550" s="54">
        <f t="shared" ref="DT550:DT558" si="649">K550/4/(1-0.3*(M550/30)^0.5)/200000/N550</f>
        <v>2.8168411137544479E-5</v>
      </c>
      <c r="DU550" s="54">
        <f t="shared" ref="DU550:DU558" si="650">EP550</f>
        <v>16.127376482335833</v>
      </c>
      <c r="DV550" s="54">
        <f t="shared" ref="DV550:DV558" si="651">EC550*AG550/257/M550/AD550</f>
        <v>0.23130967389770252</v>
      </c>
      <c r="DW550" s="54">
        <f t="shared" ref="DW550:DW558" si="652">DU550*DV550^0.4</f>
        <v>8.9792743880390749</v>
      </c>
      <c r="DX550" s="54">
        <f t="shared" ref="DX550:DX558" si="653">MIN(DU550, DU550/1.4*(1-DV550^1.4)/(1-DV550))</f>
        <v>13.055957437041979</v>
      </c>
      <c r="DY550" s="54">
        <f t="shared" ref="DY550:DY558" si="654">MAX(DU550/2, (4-DT550*(8*AG550*(DW550-DX550)+6*K550*DX550))/(4+DT550*K550*DU550)*DU550)</f>
        <v>15.366250826866818</v>
      </c>
      <c r="DZ550" s="56">
        <f t="shared" ref="DZ550:DZ558" si="655">MIN(1/N550*(4*AG550*(DW550-DX550)+(3*DX550+DY550)*K550)+EC550 -FJ550,MAX(J550,AJ550))</f>
        <v>847.5</v>
      </c>
      <c r="EA550" s="54">
        <f t="shared" ref="EA550:EA558" si="656">DZ550/FF550</f>
        <v>1</v>
      </c>
      <c r="EB550" s="54">
        <f t="shared" ref="EB550:EB558" si="657">AG550/N550</f>
        <v>2.2360679774997898</v>
      </c>
      <c r="EC550" s="54">
        <f t="shared" ref="EC550:EC558" si="658">MIN(EB$10*BB550)</f>
        <v>1080.1783801349238</v>
      </c>
      <c r="EG550" s="54">
        <f t="shared" ref="EG550:EG558" si="659">IF(U550&gt;1*N550,0.85,1)</f>
        <v>0.85</v>
      </c>
      <c r="EH550" s="54">
        <f t="shared" ref="EH550:EH558" si="660">MIN(1,MAX(0.7,(1-0.1*(BZ550-1*N550)/N550)))</f>
        <v>1</v>
      </c>
      <c r="EI550" s="54">
        <f t="shared" ref="EI550:EI558" si="661">MIN(1,MAX(0.7,1-0.3*(PI()*AM550^2/4*AQ550*2-0.25*PI()/4*N550^2)/(PI()/4*N550^2)))</f>
        <v>1</v>
      </c>
      <c r="EJ550" s="54">
        <f t="shared" ref="EJ550:EJ558" si="662">IF(EH550*EI550&lt;0.7,0.7,EH550*EI550)</f>
        <v>1</v>
      </c>
      <c r="EL550" s="54">
        <f t="shared" ref="EL550:EL558" si="663">MIN(DU550/N550*3*K550+EM550-FJ550,MAX(J550,AJ550))</f>
        <v>847.5</v>
      </c>
      <c r="EM550" s="52">
        <f t="shared" ref="EM550:EM558" si="664">26.5*Q550*K550^0.5*M550^0.5/X550/N550^2*(0.7+S550/5/K550)</f>
        <v>1044.3162458944753</v>
      </c>
      <c r="EP550" s="54">
        <f t="shared" ref="EP550:EP558" si="665">IF(N550&lt;22.2,1.1*5*(M550/30)^0.5,IF(N550&gt;=31.8,0.9*5*(M550/30)^0.5,1*5*(M550/30)^0.5))/EG550/EJ550</f>
        <v>16.127376482335833</v>
      </c>
      <c r="ES550" s="54">
        <f t="shared" ref="ES550:ES558" si="666">ET550*N550</f>
        <v>49.640709100495329</v>
      </c>
      <c r="ET550" s="54">
        <f t="shared" ref="ET550:ET558" si="667">AF550^0.5</f>
        <v>2.2360679774997898</v>
      </c>
      <c r="EU550" s="54">
        <f t="shared" ref="EU550:EU558" si="668">MIN(EC550)/(4700*M550^0.5)/AE550*ES550</f>
        <v>0.18993383393437457</v>
      </c>
      <c r="EX550" s="54">
        <f t="shared" ref="EX550:EX558" si="669">EU550</f>
        <v>0.18993383393437457</v>
      </c>
      <c r="EY550" s="54">
        <f t="shared" ref="EY550:EY558" si="670">MIN(0.999, EX550/(0.3*(M550/30)^0.5))</f>
        <v>0.23092366116223015</v>
      </c>
      <c r="EZ550" s="54">
        <f t="shared" ref="EZ550:EZ558" si="671">EP550/1*EY550^0.4</f>
        <v>8.9732774903799175</v>
      </c>
      <c r="FA550" s="54">
        <f t="shared" ref="FA550:FA558" si="672">EP550/1.4*(1-EY550^1.4)/(1-EY550)</f>
        <v>13.053909774486275</v>
      </c>
      <c r="FB550" s="54">
        <f t="shared" ref="FB550:FB558" si="673">MAX(0,DQ550*FB$9-ES550)</f>
        <v>16.959290899504666</v>
      </c>
      <c r="FC550" s="54">
        <f t="shared" ref="FC550:FC558" si="674">MAX(0,DQ550-ES550-FB550)</f>
        <v>22.200000000000003</v>
      </c>
      <c r="FD550" s="54">
        <f t="shared" ref="FD550:FD558" si="675">FC550/(1-0.3*(M550/30)^0.5)/200000/N550</f>
        <v>2.8168411137544483E-5</v>
      </c>
      <c r="FE550" s="54">
        <f t="shared" ref="FE550:FE558" si="676">MAX(0.5*EP550, (1-2*FD550*(ES550*EZ550+FB550*FA550))/(1/EP550+FD550*FC550))</f>
        <v>15.366549833999832</v>
      </c>
      <c r="FF550" s="54">
        <f t="shared" ref="FF550:FF558" si="677">MIN(4/N550*(1*EZ550*ES550+FA550*FB550+FC550*FE550)+EC550,MAX(J550,AJ550))</f>
        <v>847.5</v>
      </c>
      <c r="FO550" s="58">
        <f t="shared" ref="FO550:FO558" si="678">IF(CU550&lt;0.6,0.6,IF(CU550&lt;0.8,0.8,IF(CU550&lt;1,1,IF(CU550&lt;1.2,1.2,IF(CU550&lt;1.4,1.4,IF(CU550&lt;1.6,1.6,IF(CU550&lt;1.8,1.8,IF(CU550&lt;2,2,2.2))))))))</f>
        <v>2.2000000000000002</v>
      </c>
      <c r="FP550" s="58">
        <f t="shared" ref="FP550:FP558" si="679">IF(CV550&lt;0.6,0.6,IF(CV550&lt;0.8,0.8,IF(CV550&lt;1,1,IF(CV550&lt;1.2,1.2,IF(CV550&lt;1.4,1.4,IF(CV550&lt;1.6,1.6,IF(CV550&lt;1.8,1.8,IF(CV550&lt;2,2,2.2))))))))</f>
        <v>0.6</v>
      </c>
      <c r="FQ550" s="58">
        <f t="shared" ref="FQ550:FQ558" si="680">IF(DA550&lt;0.6,0.6,IF(DA550&lt;0.8,0.8,IF(DA550&lt;1,1,IF(DA550&lt;1.2,1.2,IF(DA550&lt;1.4,1.4,IF(DA550&lt;1.6,1.6,IF(DA550&lt;1.8,1.8,IF(DA550&lt;2,2,2.2))))))))</f>
        <v>2.2000000000000002</v>
      </c>
      <c r="FR550" s="58">
        <f t="shared" ref="FR550:FR558" si="681">IF(CX550&lt;0.6,0.6,IF(CX550&lt;0.8,0.8,IF(CX550&lt;1,1,IF(CX550&lt;1.2,1.2,IF(CX550&lt;1.4,1.4,IF(CX550&lt;1.6,1.6,IF(CX550&lt;1.8,1.8,IF(CX550&lt;2,2,2.2))))))))</f>
        <v>2.2000000000000002</v>
      </c>
      <c r="FS550" s="58">
        <f t="shared" ref="FS550:FS558" si="682">IF(CY550&lt;0.6,0.6,IF(CY550&lt;0.8,0.8,IF(CY550&lt;1,1,IF(CY550&lt;1.2,1.2,IF(CY550&lt;1.4,1.4,IF(CY550&lt;1.6,1.6,IF(CY550&lt;1.8,1.8,IF(CY550&lt;2,2,2.2))))))))</f>
        <v>1.2</v>
      </c>
      <c r="FT550" s="58">
        <f t="shared" ref="FT550:FT558" si="683">IF(CZ550&lt;0.6,0.6,IF(CZ550&lt;0.8,0.8,IF(CZ550&lt;1,1,IF(CZ550&lt;1.2,1.2,IF(CZ550&lt;1.4,1.4,IF(CZ550&lt;1.6,1.6,IF(CZ550&lt;1.8,1.8,IF(CZ550&lt;2,2,2.2))))))))</f>
        <v>1.2</v>
      </c>
      <c r="FU550" s="58">
        <f t="shared" ref="FU550:FU558" si="684">IF(FS550&lt;1,1,0)</f>
        <v>0</v>
      </c>
      <c r="FV550" s="58"/>
      <c r="GF550" s="54">
        <f t="shared" ref="GF550:GF558" si="685">IF(S550&gt;=2.5*25.4,1,1.25)</f>
        <v>1.25</v>
      </c>
      <c r="GG550" s="54">
        <f t="shared" ref="GG550:GG558" si="686">IF(AO550&gt;1, 0.05*(18-MIN(8,(W550+N550)/N550))*(1-48000/MAX(60000,(J550*145))*(N550/25.4)^0.75*GH550), 1/12*(14-MIN(8,(W550+N550)/N550)))</f>
        <v>0.5</v>
      </c>
      <c r="GH550" s="54">
        <f t="shared" ref="GH550:GH558" si="687">MIN(0.3, AM550^2*PI()/4*2*AP550/(N550^2*PI()/4*X550))</f>
        <v>0</v>
      </c>
      <c r="GI550" s="54">
        <f t="shared" ref="GI550:GI558" si="688">(K550/25.4)/(N550/25.4)^1.5/0.0024*(M550*145)^0.25/GF550/GG550/145</f>
        <v>264.52683652330421</v>
      </c>
    </row>
    <row r="551" spans="1:191" ht="12" customHeight="1" x14ac:dyDescent="0.3">
      <c r="A551" s="25">
        <v>175</v>
      </c>
      <c r="B551" s="24" t="s">
        <v>128</v>
      </c>
      <c r="C551" s="24">
        <v>2017</v>
      </c>
      <c r="D551" s="24"/>
      <c r="E551" s="24"/>
      <c r="F551" s="24"/>
      <c r="G551" s="109"/>
      <c r="H551" s="4" t="s">
        <v>311</v>
      </c>
      <c r="J551" s="7">
        <v>661</v>
      </c>
      <c r="K551" s="7">
        <f t="shared" ref="K551:K558" si="689">4*N551</f>
        <v>88.8</v>
      </c>
      <c r="L551" s="7">
        <f t="shared" si="586"/>
        <v>88.8</v>
      </c>
      <c r="M551" s="7">
        <v>225.5</v>
      </c>
      <c r="N551" s="7">
        <v>22.2</v>
      </c>
      <c r="O551" s="7">
        <f t="shared" si="587"/>
        <v>4</v>
      </c>
      <c r="P551" s="7">
        <f t="shared" si="588"/>
        <v>4</v>
      </c>
      <c r="Q551" s="7">
        <v>366</v>
      </c>
      <c r="R551" s="7"/>
      <c r="S551" s="7">
        <f t="shared" si="589"/>
        <v>22.2</v>
      </c>
      <c r="T551" s="7"/>
      <c r="U551" s="7">
        <f>118-L551</f>
        <v>29.200000000000003</v>
      </c>
      <c r="V551" s="7"/>
      <c r="W551" s="7">
        <f t="shared" si="590"/>
        <v>277.20000000000005</v>
      </c>
      <c r="X551" s="7">
        <v>2</v>
      </c>
      <c r="Y551" s="7"/>
      <c r="Z551" s="7"/>
      <c r="AA551" s="7">
        <f t="shared" si="591"/>
        <v>59.199999999999996</v>
      </c>
      <c r="AB551" s="7">
        <f t="shared" si="592"/>
        <v>1.5</v>
      </c>
      <c r="AC551" s="7">
        <f t="shared" si="593"/>
        <v>1.5</v>
      </c>
      <c r="AD551" s="7">
        <f t="shared" si="594"/>
        <v>4</v>
      </c>
      <c r="AE551" s="7">
        <f t="shared" si="594"/>
        <v>4</v>
      </c>
      <c r="AF551" s="7">
        <f t="shared" si="595"/>
        <v>5</v>
      </c>
      <c r="AG551" s="7">
        <f t="shared" si="596"/>
        <v>49.640709100495329</v>
      </c>
      <c r="AH551" s="7">
        <f t="shared" si="597"/>
        <v>661</v>
      </c>
      <c r="AI551" s="7">
        <v>8</v>
      </c>
      <c r="AJ551" s="7">
        <f>(847+826)/2</f>
        <v>836.5</v>
      </c>
      <c r="AK551" s="7"/>
      <c r="AL551" s="4">
        <f t="shared" si="598"/>
        <v>1</v>
      </c>
      <c r="AM551" s="7">
        <v>0</v>
      </c>
      <c r="AN551" s="7">
        <v>0</v>
      </c>
      <c r="AO551" s="7">
        <f t="shared" si="599"/>
        <v>88.8</v>
      </c>
      <c r="AP551" s="7"/>
      <c r="AQ551" s="7"/>
      <c r="AR551" s="7">
        <f t="shared" si="600"/>
        <v>0.88977955911823625</v>
      </c>
      <c r="AS551" s="4">
        <f t="shared" si="601"/>
        <v>88.8</v>
      </c>
      <c r="AT551" s="4">
        <f t="shared" si="602"/>
        <v>1.25</v>
      </c>
      <c r="AU551" s="4">
        <f t="shared" si="603"/>
        <v>162.318079587065</v>
      </c>
      <c r="AV551" s="4">
        <f t="shared" si="604"/>
        <v>0.77499999999999991</v>
      </c>
      <c r="AW551" s="4">
        <v>1.25</v>
      </c>
      <c r="AX551" s="47">
        <f>AX550</f>
        <v>5</v>
      </c>
      <c r="AY551" s="38">
        <f t="shared" si="605"/>
        <v>982.7852474998075</v>
      </c>
      <c r="AZ551" s="38">
        <f t="shared" si="606"/>
        <v>982.7852474998075</v>
      </c>
      <c r="BA551" s="38">
        <f t="shared" si="607"/>
        <v>6.7681675210006302</v>
      </c>
      <c r="BB551" s="38">
        <f t="shared" si="608"/>
        <v>1080.1783801349238</v>
      </c>
      <c r="BC551" s="38">
        <f t="shared" si="609"/>
        <v>0.90983606557377028</v>
      </c>
      <c r="BD551" s="38">
        <f t="shared" si="610"/>
        <v>1.2525708946618597</v>
      </c>
      <c r="BE551" s="4">
        <f t="shared" si="611"/>
        <v>0</v>
      </c>
      <c r="BF551" s="4">
        <f t="shared" si="612"/>
        <v>316.14015616170963</v>
      </c>
      <c r="BG551" s="4">
        <f t="shared" si="613"/>
        <v>1</v>
      </c>
      <c r="BH551" s="38">
        <f t="shared" si="614"/>
        <v>1353</v>
      </c>
      <c r="BI551" s="4">
        <f t="shared" si="615"/>
        <v>0.44000000000000006</v>
      </c>
      <c r="BJ551" s="4">
        <f t="shared" si="616"/>
        <v>72.680621901577041</v>
      </c>
      <c r="BK551" s="4">
        <f t="shared" si="617"/>
        <v>1425.6806219015771</v>
      </c>
      <c r="BM551" s="4">
        <f t="shared" si="618"/>
        <v>1</v>
      </c>
      <c r="BN551" s="4">
        <f t="shared" si="619"/>
        <v>630.69961154261068</v>
      </c>
      <c r="BP551" s="4">
        <f t="shared" si="620"/>
        <v>1297.6924611181944</v>
      </c>
      <c r="BQ551" s="4">
        <f t="shared" si="621"/>
        <v>3606.2915864545262</v>
      </c>
      <c r="BR551" s="4">
        <f t="shared" si="622"/>
        <v>2.779003265031732</v>
      </c>
      <c r="BZ551" s="4">
        <f t="shared" si="623"/>
        <v>22.2</v>
      </c>
      <c r="CD551" s="9"/>
      <c r="CF551" s="9"/>
      <c r="CG551" s="9"/>
      <c r="CH551" s="9">
        <f t="shared" si="624"/>
        <v>22.2</v>
      </c>
      <c r="CI551" s="9">
        <f t="shared" si="625"/>
        <v>138.60000000000002</v>
      </c>
      <c r="CJ551" s="9">
        <f t="shared" si="626"/>
        <v>1.3161686388047049</v>
      </c>
      <c r="CK551" s="70">
        <v>0</v>
      </c>
      <c r="CL551" s="9">
        <f t="shared" si="627"/>
        <v>0</v>
      </c>
      <c r="CM551" s="9">
        <f t="shared" si="628"/>
        <v>0</v>
      </c>
      <c r="CN551" s="9">
        <f t="shared" si="629"/>
        <v>1</v>
      </c>
      <c r="CO551" s="9">
        <f t="shared" si="630"/>
        <v>0.78899999999999992</v>
      </c>
      <c r="CP551" s="9">
        <f t="shared" si="631"/>
        <v>4.1468499458926642</v>
      </c>
      <c r="CQ551" s="9">
        <f t="shared" si="632"/>
        <v>5.4579538486129122</v>
      </c>
      <c r="CR551" s="9">
        <v>1</v>
      </c>
      <c r="CS551" s="9">
        <f t="shared" si="633"/>
        <v>414.80449249458132</v>
      </c>
      <c r="CU551" s="4">
        <f t="shared" si="634"/>
        <v>2.6459783222607123</v>
      </c>
      <c r="CV551" s="4">
        <f t="shared" si="635"/>
        <v>0.58673730087196796</v>
      </c>
      <c r="CW551" s="4">
        <f t="shared" si="636"/>
        <v>1.3263049234389535</v>
      </c>
      <c r="CX551" s="4">
        <f t="shared" si="637"/>
        <v>2.0166126817224077</v>
      </c>
      <c r="CY551" s="44">
        <f t="shared" si="638"/>
        <v>1</v>
      </c>
      <c r="CZ551" s="4">
        <f t="shared" si="639"/>
        <v>1</v>
      </c>
      <c r="DA551" s="4">
        <f t="shared" si="640"/>
        <v>3.1622500423555562</v>
      </c>
      <c r="DC551" s="4">
        <f t="shared" si="641"/>
        <v>2.6459783222607123</v>
      </c>
      <c r="DD551" s="4">
        <f t="shared" si="642"/>
        <v>0.58673730087196796</v>
      </c>
      <c r="DE551" s="4">
        <f t="shared" si="643"/>
        <v>2.0166126817224077</v>
      </c>
      <c r="DF551" s="4">
        <f t="shared" si="644"/>
        <v>3.1622500423555562</v>
      </c>
      <c r="DG551" s="4">
        <f t="shared" si="645"/>
        <v>1</v>
      </c>
      <c r="DH551" s="4">
        <f t="shared" si="646"/>
        <v>1</v>
      </c>
      <c r="DP551" s="4">
        <f t="shared" si="647"/>
        <v>0</v>
      </c>
      <c r="DQ551" s="4">
        <f t="shared" si="648"/>
        <v>88.8</v>
      </c>
      <c r="DT551" s="4">
        <f t="shared" si="649"/>
        <v>2.8168411137544479E-5</v>
      </c>
      <c r="DU551" s="4">
        <f t="shared" si="650"/>
        <v>16.127376482335833</v>
      </c>
      <c r="DV551" s="4">
        <f t="shared" si="651"/>
        <v>0.23130967389770252</v>
      </c>
      <c r="DW551" s="4">
        <f t="shared" si="652"/>
        <v>8.9792743880390749</v>
      </c>
      <c r="DX551" s="4">
        <f t="shared" si="653"/>
        <v>13.055957437041979</v>
      </c>
      <c r="DY551" s="4">
        <f t="shared" si="654"/>
        <v>15.366250826866818</v>
      </c>
      <c r="DZ551" s="38">
        <f t="shared" si="655"/>
        <v>836.5</v>
      </c>
      <c r="EA551" s="4">
        <f t="shared" si="656"/>
        <v>1</v>
      </c>
      <c r="EB551" s="4">
        <f t="shared" si="657"/>
        <v>2.2360679774997898</v>
      </c>
      <c r="EC551" s="4">
        <f t="shared" si="658"/>
        <v>1080.1783801349238</v>
      </c>
      <c r="EG551" s="4">
        <f t="shared" si="659"/>
        <v>0.85</v>
      </c>
      <c r="EH551" s="4">
        <f t="shared" si="660"/>
        <v>1</v>
      </c>
      <c r="EI551" s="4">
        <f t="shared" si="661"/>
        <v>1</v>
      </c>
      <c r="EJ551" s="4">
        <f t="shared" si="662"/>
        <v>1</v>
      </c>
      <c r="EL551" s="4">
        <f t="shared" si="663"/>
        <v>836.5</v>
      </c>
      <c r="EM551" s="25">
        <f t="shared" si="664"/>
        <v>1044.3162458944753</v>
      </c>
      <c r="EP551" s="4">
        <f t="shared" si="665"/>
        <v>16.127376482335833</v>
      </c>
      <c r="ES551" s="4">
        <f t="shared" si="666"/>
        <v>49.640709100495329</v>
      </c>
      <c r="ET551" s="4">
        <f t="shared" si="667"/>
        <v>2.2360679774997898</v>
      </c>
      <c r="EU551" s="4">
        <f t="shared" si="668"/>
        <v>0.18993383393437457</v>
      </c>
      <c r="EX551" s="4">
        <f t="shared" si="669"/>
        <v>0.18993383393437457</v>
      </c>
      <c r="EY551" s="4">
        <f t="shared" si="670"/>
        <v>0.23092366116223015</v>
      </c>
      <c r="EZ551" s="4">
        <f t="shared" si="671"/>
        <v>8.9732774903799175</v>
      </c>
      <c r="FA551" s="4">
        <f t="shared" si="672"/>
        <v>13.053909774486275</v>
      </c>
      <c r="FB551" s="4">
        <f t="shared" si="673"/>
        <v>16.959290899504666</v>
      </c>
      <c r="FC551" s="4">
        <f t="shared" si="674"/>
        <v>22.200000000000003</v>
      </c>
      <c r="FD551" s="4">
        <f t="shared" si="675"/>
        <v>2.8168411137544483E-5</v>
      </c>
      <c r="FE551" s="4">
        <f t="shared" si="676"/>
        <v>15.366549833999832</v>
      </c>
      <c r="FF551" s="4">
        <f t="shared" si="677"/>
        <v>836.5</v>
      </c>
      <c r="FO551" s="23">
        <f t="shared" si="678"/>
        <v>2.2000000000000002</v>
      </c>
      <c r="FP551" s="23">
        <f t="shared" si="679"/>
        <v>0.6</v>
      </c>
      <c r="FQ551" s="23">
        <f t="shared" si="680"/>
        <v>2.2000000000000002</v>
      </c>
      <c r="FR551" s="23">
        <f t="shared" si="681"/>
        <v>2.2000000000000002</v>
      </c>
      <c r="FS551" s="23">
        <f t="shared" si="682"/>
        <v>1.2</v>
      </c>
      <c r="FT551" s="23">
        <f t="shared" si="683"/>
        <v>1.2</v>
      </c>
      <c r="FU551" s="23">
        <f t="shared" si="684"/>
        <v>0</v>
      </c>
      <c r="FV551" s="23"/>
      <c r="GF551" s="4">
        <f t="shared" si="685"/>
        <v>1.25</v>
      </c>
      <c r="GG551" s="4">
        <f t="shared" si="686"/>
        <v>0.5</v>
      </c>
      <c r="GH551" s="4">
        <f t="shared" si="687"/>
        <v>0</v>
      </c>
      <c r="GI551" s="4">
        <f t="shared" si="688"/>
        <v>264.52683652330421</v>
      </c>
    </row>
    <row r="552" spans="1:191" ht="12" customHeight="1" x14ac:dyDescent="0.3">
      <c r="A552" s="25">
        <v>176</v>
      </c>
      <c r="B552" s="24" t="s">
        <v>128</v>
      </c>
      <c r="C552" s="24">
        <v>2017</v>
      </c>
      <c r="D552" s="24"/>
      <c r="E552" s="24"/>
      <c r="F552" s="24"/>
      <c r="G552" s="109"/>
      <c r="H552" s="4" t="s">
        <v>312</v>
      </c>
      <c r="J552" s="7">
        <v>667</v>
      </c>
      <c r="K552" s="7">
        <f t="shared" si="689"/>
        <v>88.8</v>
      </c>
      <c r="L552" s="7">
        <f t="shared" si="586"/>
        <v>88.8</v>
      </c>
      <c r="M552" s="7">
        <v>225.5</v>
      </c>
      <c r="N552" s="7">
        <v>22.2</v>
      </c>
      <c r="O552" s="7">
        <f t="shared" si="587"/>
        <v>4</v>
      </c>
      <c r="P552" s="7">
        <f t="shared" si="588"/>
        <v>4</v>
      </c>
      <c r="Q552" s="7">
        <v>396</v>
      </c>
      <c r="R552" s="7"/>
      <c r="S552" s="7">
        <f t="shared" si="589"/>
        <v>22.2</v>
      </c>
      <c r="T552" s="7"/>
      <c r="U552" s="7">
        <f>171-L552</f>
        <v>82.2</v>
      </c>
      <c r="V552" s="7"/>
      <c r="W552" s="7">
        <f t="shared" si="590"/>
        <v>307.20000000000005</v>
      </c>
      <c r="X552" s="7">
        <v>2</v>
      </c>
      <c r="Y552" s="7"/>
      <c r="Z552" s="7"/>
      <c r="AA552" s="7">
        <f t="shared" si="591"/>
        <v>59.199999999999996</v>
      </c>
      <c r="AB552" s="7">
        <f t="shared" si="592"/>
        <v>1.5</v>
      </c>
      <c r="AC552" s="7">
        <f t="shared" si="593"/>
        <v>1.5</v>
      </c>
      <c r="AD552" s="7">
        <f t="shared" si="594"/>
        <v>4</v>
      </c>
      <c r="AE552" s="7">
        <f t="shared" si="594"/>
        <v>4</v>
      </c>
      <c r="AF552" s="7">
        <f t="shared" si="595"/>
        <v>5</v>
      </c>
      <c r="AG552" s="7">
        <f t="shared" si="596"/>
        <v>49.640709100495329</v>
      </c>
      <c r="AH552" s="7">
        <f t="shared" si="597"/>
        <v>667</v>
      </c>
      <c r="AI552" s="7">
        <v>11</v>
      </c>
      <c r="AJ552" s="7">
        <f>(728+642)/2</f>
        <v>685</v>
      </c>
      <c r="AK552" s="7"/>
      <c r="AL552" s="4">
        <f t="shared" si="598"/>
        <v>1</v>
      </c>
      <c r="AM552" s="7">
        <v>0</v>
      </c>
      <c r="AN552" s="7">
        <v>0</v>
      </c>
      <c r="AO552" s="7">
        <f t="shared" si="599"/>
        <v>88.8</v>
      </c>
      <c r="AP552" s="7"/>
      <c r="AQ552" s="7"/>
      <c r="AR552" s="7">
        <f t="shared" si="600"/>
        <v>0.808743169398907</v>
      </c>
      <c r="AS552" s="4">
        <f t="shared" si="601"/>
        <v>88.8</v>
      </c>
      <c r="AT552" s="4">
        <f t="shared" si="602"/>
        <v>1.25</v>
      </c>
      <c r="AU552" s="4">
        <f t="shared" si="603"/>
        <v>162.318079587065</v>
      </c>
      <c r="AV552" s="4">
        <f t="shared" si="604"/>
        <v>0.77499999999999991</v>
      </c>
      <c r="AW552" s="4">
        <v>1.25</v>
      </c>
      <c r="AX552" s="47">
        <f t="shared" ref="AX552:AX558" si="690">AX551</f>
        <v>5</v>
      </c>
      <c r="AY552" s="38">
        <f t="shared" si="605"/>
        <v>982.7852474998075</v>
      </c>
      <c r="AZ552" s="38">
        <f t="shared" si="606"/>
        <v>982.7852474998075</v>
      </c>
      <c r="BA552" s="38">
        <f t="shared" si="607"/>
        <v>6.7681675210006302</v>
      </c>
      <c r="BB552" s="38">
        <f t="shared" si="608"/>
        <v>1168.717591621393</v>
      </c>
      <c r="BC552" s="38">
        <f t="shared" si="609"/>
        <v>0.84090909090909072</v>
      </c>
      <c r="BD552" s="38">
        <f t="shared" si="610"/>
        <v>1.1576791602177794</v>
      </c>
      <c r="BE552" s="4">
        <f t="shared" si="611"/>
        <v>0</v>
      </c>
      <c r="BF552" s="4">
        <f t="shared" si="612"/>
        <v>316.14015616170963</v>
      </c>
      <c r="BG552" s="4">
        <f t="shared" si="613"/>
        <v>1</v>
      </c>
      <c r="BH552" s="38">
        <f t="shared" si="614"/>
        <v>1353</v>
      </c>
      <c r="BI552" s="4">
        <f t="shared" si="615"/>
        <v>0.44000000000000006</v>
      </c>
      <c r="BJ552" s="4">
        <f t="shared" si="616"/>
        <v>72.680621901577055</v>
      </c>
      <c r="BK552" s="4">
        <f t="shared" si="617"/>
        <v>1425.6806219015771</v>
      </c>
      <c r="BM552" s="4">
        <f t="shared" si="618"/>
        <v>1</v>
      </c>
      <c r="BN552" s="4">
        <f t="shared" si="619"/>
        <v>630.69961154261068</v>
      </c>
      <c r="BP552" s="4">
        <f t="shared" si="620"/>
        <v>1297.6924611181944</v>
      </c>
      <c r="BQ552" s="4">
        <f t="shared" si="621"/>
        <v>6880.0343955178114</v>
      </c>
      <c r="BR552" s="4">
        <f t="shared" si="622"/>
        <v>5.3017449061770998</v>
      </c>
      <c r="BZ552" s="4">
        <f t="shared" si="623"/>
        <v>22.2</v>
      </c>
      <c r="CD552" s="9"/>
      <c r="CF552" s="9"/>
      <c r="CG552" s="9"/>
      <c r="CH552" s="9">
        <f t="shared" si="624"/>
        <v>22.2</v>
      </c>
      <c r="CI552" s="9">
        <f t="shared" si="625"/>
        <v>153.60000000000002</v>
      </c>
      <c r="CJ552" s="9">
        <f t="shared" si="626"/>
        <v>1.3366131704942024</v>
      </c>
      <c r="CK552" s="70">
        <v>0</v>
      </c>
      <c r="CL552" s="9">
        <f t="shared" si="627"/>
        <v>0</v>
      </c>
      <c r="CM552" s="9">
        <f t="shared" si="628"/>
        <v>0</v>
      </c>
      <c r="CN552" s="9">
        <f t="shared" si="629"/>
        <v>1</v>
      </c>
      <c r="CO552" s="9">
        <f t="shared" si="630"/>
        <v>0.78299999999999992</v>
      </c>
      <c r="CP552" s="9">
        <f t="shared" si="631"/>
        <v>4.1153149653155339</v>
      </c>
      <c r="CQ552" s="9">
        <f t="shared" si="632"/>
        <v>5.5005841833726343</v>
      </c>
      <c r="CR552" s="9">
        <v>1</v>
      </c>
      <c r="CS552" s="9">
        <f t="shared" si="633"/>
        <v>418.04439793632019</v>
      </c>
      <c r="CU552" s="4">
        <f t="shared" si="634"/>
        <v>2.1667604910323823</v>
      </c>
      <c r="CV552" s="4">
        <f t="shared" si="635"/>
        <v>0.48047226670328519</v>
      </c>
      <c r="CW552" s="4">
        <f t="shared" si="636"/>
        <v>1.0860954842267581</v>
      </c>
      <c r="CX552" s="4">
        <f t="shared" si="637"/>
        <v>1.6385819386206548</v>
      </c>
      <c r="CY552" s="44">
        <f t="shared" si="638"/>
        <v>1</v>
      </c>
      <c r="CZ552" s="4">
        <f t="shared" si="639"/>
        <v>1</v>
      </c>
      <c r="DA552" s="4">
        <f t="shared" si="640"/>
        <v>2.5895293233873948</v>
      </c>
      <c r="DC552" s="4">
        <f t="shared" si="641"/>
        <v>2.1667604910323823</v>
      </c>
      <c r="DD552" s="4">
        <f t="shared" si="642"/>
        <v>0.48047226670328519</v>
      </c>
      <c r="DE552" s="4">
        <f t="shared" si="643"/>
        <v>1.6385819386206548</v>
      </c>
      <c r="DF552" s="4">
        <f t="shared" si="644"/>
        <v>2.5895293233873948</v>
      </c>
      <c r="DG552" s="4">
        <f t="shared" si="645"/>
        <v>1</v>
      </c>
      <c r="DH552" s="4">
        <f t="shared" si="646"/>
        <v>1</v>
      </c>
      <c r="DP552" s="4">
        <f t="shared" si="647"/>
        <v>0</v>
      </c>
      <c r="DQ552" s="4">
        <f t="shared" si="648"/>
        <v>88.8</v>
      </c>
      <c r="DT552" s="4">
        <f t="shared" si="649"/>
        <v>2.8168411137544479E-5</v>
      </c>
      <c r="DU552" s="4">
        <f t="shared" si="650"/>
        <v>16.127376482335833</v>
      </c>
      <c r="DV552" s="4">
        <f t="shared" si="651"/>
        <v>0.25026948323357978</v>
      </c>
      <c r="DW552" s="4">
        <f t="shared" si="652"/>
        <v>9.2667379743898639</v>
      </c>
      <c r="DX552" s="4">
        <f t="shared" si="653"/>
        <v>13.155388550026604</v>
      </c>
      <c r="DY552" s="4">
        <f t="shared" si="654"/>
        <v>15.351898346055917</v>
      </c>
      <c r="DZ552" s="38">
        <f t="shared" si="655"/>
        <v>685</v>
      </c>
      <c r="EA552" s="4">
        <f t="shared" si="656"/>
        <v>1</v>
      </c>
      <c r="EB552" s="4">
        <f t="shared" si="657"/>
        <v>2.2360679774997898</v>
      </c>
      <c r="EC552" s="4">
        <f t="shared" si="658"/>
        <v>1168.717591621393</v>
      </c>
      <c r="EG552" s="4">
        <f t="shared" si="659"/>
        <v>0.85</v>
      </c>
      <c r="EH552" s="4">
        <f t="shared" si="660"/>
        <v>1</v>
      </c>
      <c r="EI552" s="4">
        <f t="shared" si="661"/>
        <v>1</v>
      </c>
      <c r="EJ552" s="4">
        <f t="shared" si="662"/>
        <v>1</v>
      </c>
      <c r="EL552" s="4">
        <f t="shared" si="663"/>
        <v>685</v>
      </c>
      <c r="EM552" s="25">
        <f t="shared" si="664"/>
        <v>1129.9159381809077</v>
      </c>
      <c r="EP552" s="4">
        <f t="shared" si="665"/>
        <v>16.127376482335833</v>
      </c>
      <c r="ES552" s="4">
        <f t="shared" si="666"/>
        <v>49.640709100495329</v>
      </c>
      <c r="ET552" s="4">
        <f t="shared" si="667"/>
        <v>2.2360679774997898</v>
      </c>
      <c r="EU552" s="4">
        <f t="shared" si="668"/>
        <v>0.20550218097817574</v>
      </c>
      <c r="EX552" s="4">
        <f t="shared" si="669"/>
        <v>0.20550218097817574</v>
      </c>
      <c r="EY552" s="4">
        <f t="shared" si="670"/>
        <v>0.2498518301099539</v>
      </c>
      <c r="EZ552" s="4">
        <f t="shared" si="671"/>
        <v>9.2605490913170101</v>
      </c>
      <c r="FA552" s="4">
        <f t="shared" si="672"/>
        <v>13.15322177909766</v>
      </c>
      <c r="FB552" s="4">
        <f t="shared" si="673"/>
        <v>16.959290899504666</v>
      </c>
      <c r="FC552" s="4">
        <f t="shared" si="674"/>
        <v>22.200000000000003</v>
      </c>
      <c r="FD552" s="4">
        <f t="shared" si="675"/>
        <v>2.8168411137544483E-5</v>
      </c>
      <c r="FE552" s="4">
        <f t="shared" si="676"/>
        <v>15.352207742597887</v>
      </c>
      <c r="FF552" s="4">
        <f t="shared" si="677"/>
        <v>685</v>
      </c>
      <c r="FO552" s="23">
        <f t="shared" si="678"/>
        <v>2.2000000000000002</v>
      </c>
      <c r="FP552" s="23">
        <f t="shared" si="679"/>
        <v>0.6</v>
      </c>
      <c r="FQ552" s="23">
        <f t="shared" si="680"/>
        <v>2.2000000000000002</v>
      </c>
      <c r="FR552" s="23">
        <f t="shared" si="681"/>
        <v>1.8</v>
      </c>
      <c r="FS552" s="23">
        <f t="shared" si="682"/>
        <v>1.2</v>
      </c>
      <c r="FT552" s="23">
        <f t="shared" si="683"/>
        <v>1.2</v>
      </c>
      <c r="FU552" s="23">
        <f t="shared" si="684"/>
        <v>0</v>
      </c>
      <c r="FV552" s="23"/>
      <c r="GF552" s="4">
        <f t="shared" si="685"/>
        <v>1.25</v>
      </c>
      <c r="GG552" s="4">
        <f t="shared" si="686"/>
        <v>0.5</v>
      </c>
      <c r="GH552" s="4">
        <f t="shared" si="687"/>
        <v>0</v>
      </c>
      <c r="GI552" s="4">
        <f t="shared" si="688"/>
        <v>264.52683652330421</v>
      </c>
    </row>
    <row r="553" spans="1:191" ht="12" customHeight="1" x14ac:dyDescent="0.3">
      <c r="A553" s="25">
        <v>177</v>
      </c>
      <c r="B553" s="24" t="s">
        <v>128</v>
      </c>
      <c r="C553" s="24">
        <v>2017</v>
      </c>
      <c r="D553" s="24"/>
      <c r="E553" s="24"/>
      <c r="F553" s="24"/>
      <c r="G553" s="109"/>
      <c r="H553" s="4" t="s">
        <v>154</v>
      </c>
      <c r="J553" s="7">
        <v>667</v>
      </c>
      <c r="K553" s="7">
        <f t="shared" si="689"/>
        <v>88.8</v>
      </c>
      <c r="L553" s="7">
        <f t="shared" si="586"/>
        <v>88.8</v>
      </c>
      <c r="M553" s="7">
        <v>225.5</v>
      </c>
      <c r="N553" s="7">
        <v>22.2</v>
      </c>
      <c r="O553" s="7">
        <f t="shared" si="587"/>
        <v>4</v>
      </c>
      <c r="P553" s="7">
        <f t="shared" si="588"/>
        <v>4</v>
      </c>
      <c r="Q553" s="7">
        <v>396</v>
      </c>
      <c r="R553" s="7"/>
      <c r="S553" s="7">
        <f t="shared" si="589"/>
        <v>22.2</v>
      </c>
      <c r="T553" s="7"/>
      <c r="U553" s="7">
        <f>171-L553</f>
        <v>82.2</v>
      </c>
      <c r="V553" s="7"/>
      <c r="W553" s="7">
        <f t="shared" si="590"/>
        <v>307.20000000000005</v>
      </c>
      <c r="X553" s="7">
        <v>2</v>
      </c>
      <c r="Y553" s="7"/>
      <c r="Z553" s="7"/>
      <c r="AA553" s="7">
        <f t="shared" si="591"/>
        <v>59.199999999999996</v>
      </c>
      <c r="AB553" s="7">
        <f t="shared" si="592"/>
        <v>1.5</v>
      </c>
      <c r="AC553" s="7">
        <f t="shared" si="593"/>
        <v>1.5</v>
      </c>
      <c r="AD553" s="7">
        <f t="shared" si="594"/>
        <v>4</v>
      </c>
      <c r="AE553" s="7">
        <f t="shared" si="594"/>
        <v>4</v>
      </c>
      <c r="AF553" s="7">
        <f t="shared" si="595"/>
        <v>5</v>
      </c>
      <c r="AG553" s="7">
        <f t="shared" si="596"/>
        <v>49.640709100495329</v>
      </c>
      <c r="AH553" s="7">
        <f t="shared" si="597"/>
        <v>667</v>
      </c>
      <c r="AI553" s="7">
        <v>11</v>
      </c>
      <c r="AJ553" s="7">
        <f>(742+707)/2</f>
        <v>724.5</v>
      </c>
      <c r="AK553" s="7"/>
      <c r="AL553" s="4">
        <f t="shared" si="598"/>
        <v>1</v>
      </c>
      <c r="AM553" s="7">
        <v>0</v>
      </c>
      <c r="AN553" s="7">
        <v>0</v>
      </c>
      <c r="AO553" s="7">
        <f t="shared" si="599"/>
        <v>88.8</v>
      </c>
      <c r="AP553" s="7"/>
      <c r="AQ553" s="7"/>
      <c r="AR553" s="7">
        <f t="shared" si="600"/>
        <v>0.808743169398907</v>
      </c>
      <c r="AS553" s="4">
        <f t="shared" si="601"/>
        <v>88.8</v>
      </c>
      <c r="AT553" s="4">
        <f t="shared" si="602"/>
        <v>1.25</v>
      </c>
      <c r="AU553" s="4">
        <f t="shared" si="603"/>
        <v>162.318079587065</v>
      </c>
      <c r="AV553" s="4">
        <f t="shared" si="604"/>
        <v>0.77499999999999991</v>
      </c>
      <c r="AW553" s="4">
        <v>1.25</v>
      </c>
      <c r="AX553" s="47">
        <f t="shared" si="690"/>
        <v>5</v>
      </c>
      <c r="AY553" s="38">
        <f t="shared" si="605"/>
        <v>982.7852474998075</v>
      </c>
      <c r="AZ553" s="38">
        <f t="shared" si="606"/>
        <v>982.7852474998075</v>
      </c>
      <c r="BA553" s="38">
        <f t="shared" si="607"/>
        <v>6.7681675210006302</v>
      </c>
      <c r="BB553" s="38">
        <f t="shared" si="608"/>
        <v>1168.717591621393</v>
      </c>
      <c r="BC553" s="38">
        <f t="shared" si="609"/>
        <v>0.84090909090909072</v>
      </c>
      <c r="BD553" s="38">
        <f t="shared" si="610"/>
        <v>1.1576791602177794</v>
      </c>
      <c r="BE553" s="4">
        <f t="shared" si="611"/>
        <v>0</v>
      </c>
      <c r="BF553" s="4">
        <f t="shared" si="612"/>
        <v>316.14015616170963</v>
      </c>
      <c r="BG553" s="4">
        <f t="shared" si="613"/>
        <v>1</v>
      </c>
      <c r="BH553" s="38">
        <f t="shared" si="614"/>
        <v>1353</v>
      </c>
      <c r="BI553" s="4">
        <f t="shared" si="615"/>
        <v>0.44000000000000006</v>
      </c>
      <c r="BJ553" s="4">
        <f t="shared" si="616"/>
        <v>72.680621901577055</v>
      </c>
      <c r="BK553" s="4">
        <f t="shared" si="617"/>
        <v>1425.6806219015771</v>
      </c>
      <c r="BM553" s="4">
        <f t="shared" si="618"/>
        <v>1</v>
      </c>
      <c r="BN553" s="4">
        <f t="shared" si="619"/>
        <v>630.69961154261068</v>
      </c>
      <c r="BP553" s="4">
        <f t="shared" si="620"/>
        <v>1297.6924611181944</v>
      </c>
      <c r="BQ553" s="4">
        <f t="shared" si="621"/>
        <v>6880.0343955178114</v>
      </c>
      <c r="BR553" s="4">
        <f t="shared" si="622"/>
        <v>5.3017449061770998</v>
      </c>
      <c r="BZ553" s="4">
        <f t="shared" si="623"/>
        <v>22.2</v>
      </c>
      <c r="CD553" s="9"/>
      <c r="CF553" s="9"/>
      <c r="CG553" s="9"/>
      <c r="CH553" s="9">
        <f t="shared" si="624"/>
        <v>22.2</v>
      </c>
      <c r="CI553" s="9">
        <f t="shared" si="625"/>
        <v>153.60000000000002</v>
      </c>
      <c r="CJ553" s="9">
        <f t="shared" si="626"/>
        <v>1.3366131704942024</v>
      </c>
      <c r="CK553" s="70">
        <v>0</v>
      </c>
      <c r="CL553" s="9">
        <f t="shared" si="627"/>
        <v>0</v>
      </c>
      <c r="CM553" s="9">
        <f t="shared" si="628"/>
        <v>0</v>
      </c>
      <c r="CN553" s="9">
        <f t="shared" si="629"/>
        <v>1</v>
      </c>
      <c r="CO553" s="9">
        <f t="shared" si="630"/>
        <v>0.78299999999999992</v>
      </c>
      <c r="CP553" s="9">
        <f t="shared" si="631"/>
        <v>4.1153149653155339</v>
      </c>
      <c r="CQ553" s="9">
        <f t="shared" si="632"/>
        <v>5.5005841833726343</v>
      </c>
      <c r="CR553" s="9">
        <v>1</v>
      </c>
      <c r="CS553" s="9">
        <f t="shared" si="633"/>
        <v>418.04439793632019</v>
      </c>
      <c r="CU553" s="4">
        <f t="shared" si="634"/>
        <v>2.2917050740919138</v>
      </c>
      <c r="CV553" s="4">
        <f t="shared" si="635"/>
        <v>0.50817833171756221</v>
      </c>
      <c r="CW553" s="4">
        <f t="shared" si="636"/>
        <v>1.1487243479157463</v>
      </c>
      <c r="CX553" s="4">
        <f t="shared" si="637"/>
        <v>1.7330695102637437</v>
      </c>
      <c r="CY553" s="44">
        <f t="shared" si="638"/>
        <v>1</v>
      </c>
      <c r="CZ553" s="4">
        <f t="shared" si="639"/>
        <v>1</v>
      </c>
      <c r="DA553" s="4">
        <f t="shared" si="640"/>
        <v>2.7388525471447704</v>
      </c>
      <c r="DC553" s="4">
        <f t="shared" si="641"/>
        <v>2.2917050740919138</v>
      </c>
      <c r="DD553" s="4">
        <f t="shared" si="642"/>
        <v>0.50817833171756221</v>
      </c>
      <c r="DE553" s="4">
        <f t="shared" si="643"/>
        <v>1.7330695102637437</v>
      </c>
      <c r="DF553" s="4">
        <f t="shared" si="644"/>
        <v>2.7388525471447704</v>
      </c>
      <c r="DG553" s="4">
        <f t="shared" si="645"/>
        <v>1</v>
      </c>
      <c r="DH553" s="4">
        <f t="shared" si="646"/>
        <v>1</v>
      </c>
      <c r="DP553" s="4">
        <f t="shared" si="647"/>
        <v>0</v>
      </c>
      <c r="DQ553" s="4">
        <f t="shared" si="648"/>
        <v>88.8</v>
      </c>
      <c r="DT553" s="4">
        <f t="shared" si="649"/>
        <v>2.8168411137544479E-5</v>
      </c>
      <c r="DU553" s="4">
        <f t="shared" si="650"/>
        <v>16.127376482335833</v>
      </c>
      <c r="DV553" s="4">
        <f t="shared" si="651"/>
        <v>0.25026948323357978</v>
      </c>
      <c r="DW553" s="4">
        <f t="shared" si="652"/>
        <v>9.2667379743898639</v>
      </c>
      <c r="DX553" s="4">
        <f t="shared" si="653"/>
        <v>13.155388550026604</v>
      </c>
      <c r="DY553" s="4">
        <f t="shared" si="654"/>
        <v>15.351898346055917</v>
      </c>
      <c r="DZ553" s="38">
        <f t="shared" si="655"/>
        <v>724.5</v>
      </c>
      <c r="EA553" s="4">
        <f t="shared" si="656"/>
        <v>1</v>
      </c>
      <c r="EB553" s="4">
        <f t="shared" si="657"/>
        <v>2.2360679774997898</v>
      </c>
      <c r="EC553" s="4">
        <f t="shared" si="658"/>
        <v>1168.717591621393</v>
      </c>
      <c r="EG553" s="4">
        <f t="shared" si="659"/>
        <v>0.85</v>
      </c>
      <c r="EH553" s="4">
        <f t="shared" si="660"/>
        <v>1</v>
      </c>
      <c r="EI553" s="4">
        <f t="shared" si="661"/>
        <v>1</v>
      </c>
      <c r="EJ553" s="4">
        <f t="shared" si="662"/>
        <v>1</v>
      </c>
      <c r="EL553" s="4">
        <f t="shared" si="663"/>
        <v>724.5</v>
      </c>
      <c r="EM553" s="25">
        <f t="shared" si="664"/>
        <v>1129.9159381809077</v>
      </c>
      <c r="EP553" s="4">
        <f t="shared" si="665"/>
        <v>16.127376482335833</v>
      </c>
      <c r="ES553" s="4">
        <f t="shared" si="666"/>
        <v>49.640709100495329</v>
      </c>
      <c r="ET553" s="4">
        <f t="shared" si="667"/>
        <v>2.2360679774997898</v>
      </c>
      <c r="EU553" s="4">
        <f t="shared" si="668"/>
        <v>0.20550218097817574</v>
      </c>
      <c r="EX553" s="4">
        <f t="shared" si="669"/>
        <v>0.20550218097817574</v>
      </c>
      <c r="EY553" s="4">
        <f t="shared" si="670"/>
        <v>0.2498518301099539</v>
      </c>
      <c r="EZ553" s="4">
        <f t="shared" si="671"/>
        <v>9.2605490913170101</v>
      </c>
      <c r="FA553" s="4">
        <f t="shared" si="672"/>
        <v>13.15322177909766</v>
      </c>
      <c r="FB553" s="4">
        <f t="shared" si="673"/>
        <v>16.959290899504666</v>
      </c>
      <c r="FC553" s="4">
        <f t="shared" si="674"/>
        <v>22.200000000000003</v>
      </c>
      <c r="FD553" s="4">
        <f t="shared" si="675"/>
        <v>2.8168411137544483E-5</v>
      </c>
      <c r="FE553" s="4">
        <f t="shared" si="676"/>
        <v>15.352207742597887</v>
      </c>
      <c r="FF553" s="4">
        <f t="shared" si="677"/>
        <v>724.5</v>
      </c>
      <c r="FO553" s="23">
        <f t="shared" si="678"/>
        <v>2.2000000000000002</v>
      </c>
      <c r="FP553" s="23">
        <f t="shared" si="679"/>
        <v>0.6</v>
      </c>
      <c r="FQ553" s="23">
        <f t="shared" si="680"/>
        <v>2.2000000000000002</v>
      </c>
      <c r="FR553" s="23">
        <f t="shared" si="681"/>
        <v>1.8</v>
      </c>
      <c r="FS553" s="23">
        <f t="shared" si="682"/>
        <v>1.2</v>
      </c>
      <c r="FT553" s="23">
        <f t="shared" si="683"/>
        <v>1.2</v>
      </c>
      <c r="FU553" s="23">
        <f t="shared" si="684"/>
        <v>0</v>
      </c>
      <c r="FV553" s="23"/>
      <c r="GF553" s="4">
        <f t="shared" si="685"/>
        <v>1.25</v>
      </c>
      <c r="GG553" s="4">
        <f t="shared" si="686"/>
        <v>0.5</v>
      </c>
      <c r="GH553" s="4">
        <f t="shared" si="687"/>
        <v>0</v>
      </c>
      <c r="GI553" s="4">
        <f t="shared" si="688"/>
        <v>264.52683652330421</v>
      </c>
    </row>
    <row r="554" spans="1:191" ht="12" customHeight="1" x14ac:dyDescent="0.3">
      <c r="A554" s="25">
        <v>178</v>
      </c>
      <c r="B554" s="24" t="s">
        <v>128</v>
      </c>
      <c r="C554" s="24">
        <v>2017</v>
      </c>
      <c r="D554" s="24"/>
      <c r="E554" s="24"/>
      <c r="F554" s="24"/>
      <c r="G554" s="109"/>
      <c r="H554" s="4" t="s">
        <v>153</v>
      </c>
      <c r="J554" s="7">
        <v>679</v>
      </c>
      <c r="K554" s="7">
        <f t="shared" si="689"/>
        <v>88.8</v>
      </c>
      <c r="L554" s="7">
        <f t="shared" si="586"/>
        <v>88.8</v>
      </c>
      <c r="M554" s="7">
        <v>129.9</v>
      </c>
      <c r="N554" s="7">
        <v>22.2</v>
      </c>
      <c r="O554" s="7">
        <f t="shared" si="587"/>
        <v>4</v>
      </c>
      <c r="P554" s="7">
        <f t="shared" si="588"/>
        <v>4</v>
      </c>
      <c r="Q554" s="7">
        <v>366</v>
      </c>
      <c r="R554" s="7"/>
      <c r="S554" s="7">
        <f t="shared" si="589"/>
        <v>22.2</v>
      </c>
      <c r="T554" s="7"/>
      <c r="U554" s="7">
        <f>118-L554</f>
        <v>29.200000000000003</v>
      </c>
      <c r="V554" s="7"/>
      <c r="W554" s="7">
        <f t="shared" si="590"/>
        <v>277.20000000000005</v>
      </c>
      <c r="X554" s="7">
        <v>2</v>
      </c>
      <c r="Y554" s="7"/>
      <c r="Z554" s="7"/>
      <c r="AA554" s="7">
        <f t="shared" si="591"/>
        <v>59.199999999999996</v>
      </c>
      <c r="AB554" s="7">
        <f t="shared" si="592"/>
        <v>1.5</v>
      </c>
      <c r="AC554" s="7">
        <f t="shared" si="593"/>
        <v>1.5</v>
      </c>
      <c r="AD554" s="7">
        <f t="shared" si="594"/>
        <v>4</v>
      </c>
      <c r="AE554" s="7">
        <f t="shared" si="594"/>
        <v>4</v>
      </c>
      <c r="AF554" s="7">
        <f t="shared" si="595"/>
        <v>5</v>
      </c>
      <c r="AG554" s="7">
        <f t="shared" si="596"/>
        <v>49.640709100495329</v>
      </c>
      <c r="AH554" s="7">
        <f t="shared" si="597"/>
        <v>679</v>
      </c>
      <c r="AI554" s="7">
        <v>8</v>
      </c>
      <c r="AJ554" s="7">
        <f>(678+662)/2</f>
        <v>670</v>
      </c>
      <c r="AK554" s="7"/>
      <c r="AL554" s="4">
        <f t="shared" si="598"/>
        <v>0.98674521354933731</v>
      </c>
      <c r="AM554" s="7">
        <v>0</v>
      </c>
      <c r="AN554" s="7">
        <v>0</v>
      </c>
      <c r="AO554" s="7">
        <f t="shared" si="599"/>
        <v>88.8</v>
      </c>
      <c r="AP554" s="7"/>
      <c r="AQ554" s="7"/>
      <c r="AR554" s="7">
        <f t="shared" si="600"/>
        <v>0.88977955911823625</v>
      </c>
      <c r="AS554" s="4">
        <f t="shared" si="601"/>
        <v>88.8</v>
      </c>
      <c r="AT554" s="4">
        <f t="shared" si="602"/>
        <v>1.25</v>
      </c>
      <c r="AU554" s="4">
        <f t="shared" si="603"/>
        <v>123.19645135939774</v>
      </c>
      <c r="AV554" s="4">
        <f t="shared" si="604"/>
        <v>0.77499999999999991</v>
      </c>
      <c r="AW554" s="4">
        <v>1.25</v>
      </c>
      <c r="AX554" s="47">
        <f t="shared" si="690"/>
        <v>5</v>
      </c>
      <c r="AY554" s="38">
        <f>AT554*AV554*AW554*AX554*AU554</f>
        <v>745.91601409010343</v>
      </c>
      <c r="AZ554" s="38">
        <f t="shared" si="606"/>
        <v>745.91601409010343</v>
      </c>
      <c r="BA554" s="38">
        <f t="shared" si="607"/>
        <v>5.7111767066521422</v>
      </c>
      <c r="BB554" s="38">
        <f t="shared" si="608"/>
        <v>819.83561909002367</v>
      </c>
      <c r="BC554" s="38">
        <f>AY554/BB554</f>
        <v>0.90983606557377039</v>
      </c>
      <c r="BD554" s="38">
        <f t="shared" si="610"/>
        <v>0.9506783821677508</v>
      </c>
      <c r="BE554" s="4">
        <f t="shared" si="611"/>
        <v>1</v>
      </c>
      <c r="BF554" s="4">
        <f t="shared" si="612"/>
        <v>239.94459194200661</v>
      </c>
      <c r="BG554" s="4">
        <f t="shared" si="613"/>
        <v>1</v>
      </c>
      <c r="BH554" s="38">
        <f t="shared" si="614"/>
        <v>779.40000000000009</v>
      </c>
      <c r="BI554" s="4">
        <f t="shared" si="615"/>
        <v>0.44000000000000006</v>
      </c>
      <c r="BJ554" s="4">
        <f t="shared" si="616"/>
        <v>55.163261687467326</v>
      </c>
      <c r="BK554" s="4">
        <f t="shared" si="617"/>
        <v>834.56326168746739</v>
      </c>
      <c r="BM554" s="4">
        <f t="shared" si="618"/>
        <v>1</v>
      </c>
      <c r="BN554" s="4">
        <f t="shared" si="619"/>
        <v>478.68946092430321</v>
      </c>
      <c r="BP554" s="4">
        <f t="shared" si="620"/>
        <v>747.53991440910613</v>
      </c>
      <c r="BQ554" s="4">
        <f t="shared" si="621"/>
        <v>3704.4961984911101</v>
      </c>
      <c r="BR554" s="4">
        <f t="shared" si="622"/>
        <v>4.9555831429005819</v>
      </c>
      <c r="BZ554" s="4">
        <f t="shared" si="623"/>
        <v>22.2</v>
      </c>
      <c r="CD554" s="9"/>
      <c r="CF554" s="9"/>
      <c r="CG554" s="9"/>
      <c r="CH554" s="9">
        <f t="shared" si="624"/>
        <v>22.2</v>
      </c>
      <c r="CI554" s="9">
        <f t="shared" si="625"/>
        <v>138.60000000000002</v>
      </c>
      <c r="CJ554" s="9">
        <f t="shared" si="626"/>
        <v>1.3161686388047049</v>
      </c>
      <c r="CK554" s="70">
        <v>0</v>
      </c>
      <c r="CL554" s="9">
        <f t="shared" si="627"/>
        <v>0</v>
      </c>
      <c r="CM554" s="9">
        <f t="shared" si="628"/>
        <v>0</v>
      </c>
      <c r="CN554" s="9">
        <f t="shared" si="629"/>
        <v>1</v>
      </c>
      <c r="CO554" s="9">
        <f t="shared" si="630"/>
        <v>0.77100000000000002</v>
      </c>
      <c r="CP554" s="9">
        <f t="shared" si="631"/>
        <v>3.0755797864386483</v>
      </c>
      <c r="CQ554" s="9">
        <f t="shared" si="632"/>
        <v>4.047981661052221</v>
      </c>
      <c r="CR554" s="9">
        <v>1</v>
      </c>
      <c r="CS554" s="9">
        <f t="shared" si="633"/>
        <v>307.64660623996883</v>
      </c>
      <c r="CU554" s="4">
        <f t="shared" si="634"/>
        <v>2.7923113189478994</v>
      </c>
      <c r="CV554" s="4">
        <f t="shared" si="635"/>
        <v>0.80281511391392391</v>
      </c>
      <c r="CW554" s="4">
        <f t="shared" si="636"/>
        <v>1.3996547964651125</v>
      </c>
      <c r="CX554" s="4">
        <f t="shared" si="637"/>
        <v>2.1778234715106537</v>
      </c>
      <c r="CY554" s="44">
        <f t="shared" si="638"/>
        <v>0.98674521354933731</v>
      </c>
      <c r="CZ554" s="4">
        <f t="shared" si="639"/>
        <v>0.98674521354933731</v>
      </c>
      <c r="DA554" s="4">
        <f t="shared" si="640"/>
        <v>2.9072970877236819</v>
      </c>
      <c r="DC554" s="4">
        <f t="shared" si="641"/>
        <v>2.7923113189478994</v>
      </c>
      <c r="DD554" s="4">
        <f t="shared" si="642"/>
        <v>0.80281511391392391</v>
      </c>
      <c r="DE554" s="4">
        <f t="shared" si="643"/>
        <v>2.1778234715106537</v>
      </c>
      <c r="DF554" s="4">
        <f t="shared" si="644"/>
        <v>2.9072970877236819</v>
      </c>
      <c r="DG554" s="4">
        <f t="shared" si="645"/>
        <v>0.98674521354933731</v>
      </c>
      <c r="DH554" s="4">
        <f t="shared" si="646"/>
        <v>0.98674521354933731</v>
      </c>
      <c r="DP554" s="4">
        <f t="shared" si="647"/>
        <v>0</v>
      </c>
      <c r="DQ554" s="4">
        <f t="shared" si="648"/>
        <v>88.8</v>
      </c>
      <c r="DT554" s="4">
        <f t="shared" si="649"/>
        <v>1.3307058507295954E-5</v>
      </c>
      <c r="DU554" s="4">
        <f t="shared" si="650"/>
        <v>12.240383556873418</v>
      </c>
      <c r="DV554" s="4">
        <f t="shared" si="651"/>
        <v>0.30476317818160303</v>
      </c>
      <c r="DW554" s="4">
        <f t="shared" si="652"/>
        <v>7.6099188282326313</v>
      </c>
      <c r="DX554" s="4">
        <f t="shared" si="653"/>
        <v>10.192991795564765</v>
      </c>
      <c r="DY554" s="4">
        <f t="shared" si="654"/>
        <v>12.017551598084074</v>
      </c>
      <c r="DZ554" s="38">
        <f t="shared" si="655"/>
        <v>679</v>
      </c>
      <c r="EA554" s="4">
        <f t="shared" si="656"/>
        <v>1</v>
      </c>
      <c r="EB554" s="4">
        <f t="shared" si="657"/>
        <v>2.2360679774997898</v>
      </c>
      <c r="EC554" s="4">
        <f t="shared" si="658"/>
        <v>819.83561909002367</v>
      </c>
      <c r="EG554" s="4">
        <f t="shared" si="659"/>
        <v>0.85</v>
      </c>
      <c r="EH554" s="4">
        <f t="shared" si="660"/>
        <v>1</v>
      </c>
      <c r="EI554" s="4">
        <f t="shared" si="661"/>
        <v>1</v>
      </c>
      <c r="EJ554" s="4">
        <f t="shared" si="662"/>
        <v>1</v>
      </c>
      <c r="EL554" s="4">
        <f t="shared" si="663"/>
        <v>679</v>
      </c>
      <c r="EM554" s="25">
        <f t="shared" si="664"/>
        <v>792.6169156169592</v>
      </c>
      <c r="EP554" s="4">
        <f t="shared" si="665"/>
        <v>12.240383556873418</v>
      </c>
      <c r="ES554" s="4">
        <f t="shared" si="666"/>
        <v>49.640709100495329</v>
      </c>
      <c r="ET554" s="4">
        <f t="shared" si="667"/>
        <v>2.2360679774997898</v>
      </c>
      <c r="EU554" s="4">
        <f t="shared" si="668"/>
        <v>0.18993383393437455</v>
      </c>
      <c r="EX554" s="4">
        <f t="shared" si="669"/>
        <v>0.18993383393437455</v>
      </c>
      <c r="EY554" s="4">
        <f t="shared" si="670"/>
        <v>0.30425458523735305</v>
      </c>
      <c r="EZ554" s="4">
        <f t="shared" si="671"/>
        <v>7.6048364682962655</v>
      </c>
      <c r="FA554" s="4">
        <f t="shared" si="672"/>
        <v>10.191101700613215</v>
      </c>
      <c r="FB554" s="4">
        <f t="shared" si="673"/>
        <v>16.959290899504666</v>
      </c>
      <c r="FC554" s="4">
        <f t="shared" si="674"/>
        <v>22.200000000000003</v>
      </c>
      <c r="FD554" s="4">
        <f t="shared" si="675"/>
        <v>1.3307058507295955E-5</v>
      </c>
      <c r="FE554" s="4">
        <f t="shared" si="676"/>
        <v>12.01764389508271</v>
      </c>
      <c r="FF554" s="4">
        <f t="shared" si="677"/>
        <v>679</v>
      </c>
      <c r="FO554" s="23">
        <f t="shared" si="678"/>
        <v>2.2000000000000002</v>
      </c>
      <c r="FP554" s="23">
        <f t="shared" si="679"/>
        <v>1</v>
      </c>
      <c r="FQ554" s="23">
        <f t="shared" si="680"/>
        <v>2.2000000000000002</v>
      </c>
      <c r="FR554" s="23">
        <f t="shared" si="681"/>
        <v>2.2000000000000002</v>
      </c>
      <c r="FS554" s="23">
        <f t="shared" si="682"/>
        <v>1</v>
      </c>
      <c r="FT554" s="23">
        <f t="shared" si="683"/>
        <v>1</v>
      </c>
      <c r="FU554" s="23">
        <f t="shared" si="684"/>
        <v>0</v>
      </c>
      <c r="FV554" s="23"/>
      <c r="GF554" s="4">
        <f t="shared" si="685"/>
        <v>1.25</v>
      </c>
      <c r="GG554" s="4">
        <f t="shared" si="686"/>
        <v>0.5</v>
      </c>
      <c r="GH554" s="4">
        <f t="shared" si="687"/>
        <v>0</v>
      </c>
      <c r="GI554" s="4">
        <f t="shared" si="688"/>
        <v>230.4546043227347</v>
      </c>
    </row>
    <row r="555" spans="1:191" ht="12" customHeight="1" x14ac:dyDescent="0.3">
      <c r="A555" s="25">
        <v>179</v>
      </c>
      <c r="B555" s="24" t="s">
        <v>128</v>
      </c>
      <c r="C555" s="24">
        <v>2017</v>
      </c>
      <c r="D555" s="24"/>
      <c r="E555" s="24"/>
      <c r="F555" s="24"/>
      <c r="G555" s="109"/>
      <c r="H555" s="4" t="s">
        <v>311</v>
      </c>
      <c r="J555" s="7">
        <v>679</v>
      </c>
      <c r="K555" s="7">
        <f t="shared" si="689"/>
        <v>88.8</v>
      </c>
      <c r="L555" s="7">
        <f t="shared" si="586"/>
        <v>88.8</v>
      </c>
      <c r="M555" s="7">
        <v>129.9</v>
      </c>
      <c r="N555" s="7">
        <v>22.2</v>
      </c>
      <c r="O555" s="7">
        <f t="shared" si="587"/>
        <v>4</v>
      </c>
      <c r="P555" s="7">
        <f t="shared" si="588"/>
        <v>4</v>
      </c>
      <c r="Q555" s="7">
        <v>366</v>
      </c>
      <c r="R555" s="7"/>
      <c r="S555" s="7">
        <f t="shared" si="589"/>
        <v>22.2</v>
      </c>
      <c r="T555" s="7"/>
      <c r="U555" s="7">
        <f>118-L555</f>
        <v>29.200000000000003</v>
      </c>
      <c r="V555" s="7"/>
      <c r="W555" s="7">
        <f t="shared" si="590"/>
        <v>277.20000000000005</v>
      </c>
      <c r="X555" s="7">
        <v>2</v>
      </c>
      <c r="Y555" s="7"/>
      <c r="Z555" s="7"/>
      <c r="AA555" s="7">
        <f t="shared" si="591"/>
        <v>59.199999999999996</v>
      </c>
      <c r="AB555" s="7">
        <f t="shared" si="592"/>
        <v>1.5</v>
      </c>
      <c r="AC555" s="7">
        <f t="shared" si="593"/>
        <v>1.5</v>
      </c>
      <c r="AD555" s="7">
        <f t="shared" si="594"/>
        <v>4</v>
      </c>
      <c r="AE555" s="7">
        <f t="shared" si="594"/>
        <v>4</v>
      </c>
      <c r="AF555" s="7">
        <f t="shared" si="595"/>
        <v>5</v>
      </c>
      <c r="AG555" s="7">
        <f t="shared" si="596"/>
        <v>49.640709100495329</v>
      </c>
      <c r="AH555" s="7">
        <f t="shared" si="597"/>
        <v>679</v>
      </c>
      <c r="AI555" s="7">
        <v>8</v>
      </c>
      <c r="AJ555" s="7">
        <f>(711+686)/2</f>
        <v>698.5</v>
      </c>
      <c r="AK555" s="7"/>
      <c r="AL555" s="4">
        <f t="shared" si="598"/>
        <v>1</v>
      </c>
      <c r="AM555" s="7">
        <v>0</v>
      </c>
      <c r="AN555" s="7">
        <v>0</v>
      </c>
      <c r="AO555" s="7">
        <f t="shared" si="599"/>
        <v>88.8</v>
      </c>
      <c r="AP555" s="7"/>
      <c r="AQ555" s="7"/>
      <c r="AR555" s="7">
        <f t="shared" si="600"/>
        <v>0.88977955911823625</v>
      </c>
      <c r="AS555" s="4">
        <f t="shared" si="601"/>
        <v>88.8</v>
      </c>
      <c r="AT555" s="4">
        <f t="shared" si="602"/>
        <v>1.25</v>
      </c>
      <c r="AU555" s="4">
        <f t="shared" si="603"/>
        <v>123.19645135939774</v>
      </c>
      <c r="AV555" s="4">
        <f t="shared" si="604"/>
        <v>0.77499999999999991</v>
      </c>
      <c r="AW555" s="4">
        <v>1.25</v>
      </c>
      <c r="AX555" s="47">
        <f t="shared" si="690"/>
        <v>5</v>
      </c>
      <c r="AY555" s="38">
        <f t="shared" ref="AY555:AY558" si="691">AT555*AV555*AW555*AX555*AU555</f>
        <v>745.91601409010343</v>
      </c>
      <c r="AZ555" s="38">
        <f t="shared" si="606"/>
        <v>745.91601409010343</v>
      </c>
      <c r="BA555" s="38">
        <f t="shared" si="607"/>
        <v>5.7111767066521422</v>
      </c>
      <c r="BB555" s="38">
        <f t="shared" si="608"/>
        <v>819.83561909002367</v>
      </c>
      <c r="BC555" s="38">
        <f t="shared" ref="BC555:BC558" si="692">AY555/BB555</f>
        <v>0.90983606557377039</v>
      </c>
      <c r="BD555" s="38">
        <f t="shared" si="610"/>
        <v>0.9506783821677508</v>
      </c>
      <c r="BE555" s="4">
        <f t="shared" si="611"/>
        <v>1</v>
      </c>
      <c r="BF555" s="4">
        <f t="shared" si="612"/>
        <v>239.94459194200661</v>
      </c>
      <c r="BG555" s="4">
        <f t="shared" si="613"/>
        <v>1</v>
      </c>
      <c r="BH555" s="38">
        <f t="shared" si="614"/>
        <v>779.40000000000009</v>
      </c>
      <c r="BI555" s="4">
        <f t="shared" si="615"/>
        <v>0.44000000000000006</v>
      </c>
      <c r="BJ555" s="4">
        <f t="shared" si="616"/>
        <v>55.163261687467326</v>
      </c>
      <c r="BK555" s="4">
        <f t="shared" si="617"/>
        <v>834.56326168746739</v>
      </c>
      <c r="BM555" s="4">
        <f t="shared" si="618"/>
        <v>1</v>
      </c>
      <c r="BN555" s="4">
        <f t="shared" si="619"/>
        <v>478.68946092430321</v>
      </c>
      <c r="BP555" s="4">
        <f t="shared" si="620"/>
        <v>747.53991440910613</v>
      </c>
      <c r="BQ555" s="4">
        <f t="shared" si="621"/>
        <v>3704.4961984911101</v>
      </c>
      <c r="BR555" s="4">
        <f t="shared" si="622"/>
        <v>4.9555831429005819</v>
      </c>
      <c r="BZ555" s="4">
        <f t="shared" si="623"/>
        <v>22.2</v>
      </c>
      <c r="CD555" s="9"/>
      <c r="CF555" s="9"/>
      <c r="CG555" s="9"/>
      <c r="CH555" s="9">
        <f t="shared" si="624"/>
        <v>22.2</v>
      </c>
      <c r="CI555" s="9">
        <f t="shared" si="625"/>
        <v>138.60000000000002</v>
      </c>
      <c r="CJ555" s="9">
        <f t="shared" si="626"/>
        <v>1.3161686388047049</v>
      </c>
      <c r="CK555" s="70">
        <v>0</v>
      </c>
      <c r="CL555" s="9">
        <f t="shared" si="627"/>
        <v>0</v>
      </c>
      <c r="CM555" s="9">
        <f t="shared" si="628"/>
        <v>0</v>
      </c>
      <c r="CN555" s="9">
        <f t="shared" si="629"/>
        <v>1</v>
      </c>
      <c r="CO555" s="9">
        <f t="shared" si="630"/>
        <v>0.77100000000000002</v>
      </c>
      <c r="CP555" s="9">
        <f t="shared" si="631"/>
        <v>3.0755797864386483</v>
      </c>
      <c r="CQ555" s="9">
        <f t="shared" si="632"/>
        <v>4.047981661052221</v>
      </c>
      <c r="CR555" s="9">
        <v>1</v>
      </c>
      <c r="CS555" s="9">
        <f t="shared" si="633"/>
        <v>307.64660623996883</v>
      </c>
      <c r="CU555" s="4">
        <f t="shared" si="634"/>
        <v>2.9110887407240416</v>
      </c>
      <c r="CV555" s="4">
        <f t="shared" si="635"/>
        <v>0.8369647120430983</v>
      </c>
      <c r="CW555" s="4">
        <f t="shared" si="636"/>
        <v>1.459192351240121</v>
      </c>
      <c r="CX555" s="4">
        <f t="shared" si="637"/>
        <v>2.2704622311196889</v>
      </c>
      <c r="CY555" s="44">
        <f t="shared" si="638"/>
        <v>1</v>
      </c>
      <c r="CZ555" s="4">
        <f t="shared" si="639"/>
        <v>1</v>
      </c>
      <c r="DA555" s="4">
        <f t="shared" si="640"/>
        <v>3.0309656951865547</v>
      </c>
      <c r="DC555" s="4">
        <f t="shared" si="641"/>
        <v>2.9110887407240416</v>
      </c>
      <c r="DD555" s="4">
        <f t="shared" si="642"/>
        <v>0.8369647120430983</v>
      </c>
      <c r="DE555" s="4">
        <f t="shared" si="643"/>
        <v>2.2704622311196889</v>
      </c>
      <c r="DF555" s="4">
        <f t="shared" si="644"/>
        <v>3.0309656951865547</v>
      </c>
      <c r="DG555" s="4">
        <f t="shared" si="645"/>
        <v>1</v>
      </c>
      <c r="DH555" s="4">
        <f t="shared" si="646"/>
        <v>1</v>
      </c>
      <c r="DP555" s="4">
        <f t="shared" si="647"/>
        <v>0</v>
      </c>
      <c r="DQ555" s="4">
        <f t="shared" si="648"/>
        <v>88.8</v>
      </c>
      <c r="DT555" s="4">
        <f t="shared" si="649"/>
        <v>1.3307058507295954E-5</v>
      </c>
      <c r="DU555" s="4">
        <f t="shared" si="650"/>
        <v>12.240383556873418</v>
      </c>
      <c r="DV555" s="4">
        <f t="shared" si="651"/>
        <v>0.30476317818160303</v>
      </c>
      <c r="DW555" s="4">
        <f t="shared" si="652"/>
        <v>7.6099188282326313</v>
      </c>
      <c r="DX555" s="4">
        <f t="shared" si="653"/>
        <v>10.192991795564765</v>
      </c>
      <c r="DY555" s="4">
        <f t="shared" si="654"/>
        <v>12.017551598084074</v>
      </c>
      <c r="DZ555" s="38">
        <f t="shared" si="655"/>
        <v>698.5</v>
      </c>
      <c r="EA555" s="4">
        <f t="shared" si="656"/>
        <v>1</v>
      </c>
      <c r="EB555" s="4">
        <f t="shared" si="657"/>
        <v>2.2360679774997898</v>
      </c>
      <c r="EC555" s="4">
        <f t="shared" si="658"/>
        <v>819.83561909002367</v>
      </c>
      <c r="EG555" s="4">
        <f t="shared" si="659"/>
        <v>0.85</v>
      </c>
      <c r="EH555" s="4">
        <f t="shared" si="660"/>
        <v>1</v>
      </c>
      <c r="EI555" s="4">
        <f t="shared" si="661"/>
        <v>1</v>
      </c>
      <c r="EJ555" s="4">
        <f t="shared" si="662"/>
        <v>1</v>
      </c>
      <c r="EL555" s="4">
        <f t="shared" si="663"/>
        <v>698.5</v>
      </c>
      <c r="EM555" s="25">
        <f t="shared" si="664"/>
        <v>792.6169156169592</v>
      </c>
      <c r="EP555" s="4">
        <f t="shared" si="665"/>
        <v>12.240383556873418</v>
      </c>
      <c r="ES555" s="4">
        <f t="shared" si="666"/>
        <v>49.640709100495329</v>
      </c>
      <c r="ET555" s="4">
        <f t="shared" si="667"/>
        <v>2.2360679774997898</v>
      </c>
      <c r="EU555" s="4">
        <f t="shared" si="668"/>
        <v>0.18993383393437455</v>
      </c>
      <c r="EX555" s="4">
        <f t="shared" si="669"/>
        <v>0.18993383393437455</v>
      </c>
      <c r="EY555" s="4">
        <f t="shared" si="670"/>
        <v>0.30425458523735305</v>
      </c>
      <c r="EZ555" s="4">
        <f t="shared" si="671"/>
        <v>7.6048364682962655</v>
      </c>
      <c r="FA555" s="4">
        <f t="shared" si="672"/>
        <v>10.191101700613215</v>
      </c>
      <c r="FB555" s="4">
        <f t="shared" si="673"/>
        <v>16.959290899504666</v>
      </c>
      <c r="FC555" s="4">
        <f t="shared" si="674"/>
        <v>22.200000000000003</v>
      </c>
      <c r="FD555" s="4">
        <f t="shared" si="675"/>
        <v>1.3307058507295955E-5</v>
      </c>
      <c r="FE555" s="4">
        <f t="shared" si="676"/>
        <v>12.01764389508271</v>
      </c>
      <c r="FF555" s="4">
        <f t="shared" si="677"/>
        <v>698.5</v>
      </c>
      <c r="FO555" s="23">
        <f t="shared" si="678"/>
        <v>2.2000000000000002</v>
      </c>
      <c r="FP555" s="23">
        <f t="shared" si="679"/>
        <v>1</v>
      </c>
      <c r="FQ555" s="23">
        <f t="shared" si="680"/>
        <v>2.2000000000000002</v>
      </c>
      <c r="FR555" s="23">
        <f t="shared" si="681"/>
        <v>2.2000000000000002</v>
      </c>
      <c r="FS555" s="23">
        <f t="shared" si="682"/>
        <v>1.2</v>
      </c>
      <c r="FT555" s="23">
        <f t="shared" si="683"/>
        <v>1.2</v>
      </c>
      <c r="FU555" s="23">
        <f t="shared" si="684"/>
        <v>0</v>
      </c>
      <c r="FV555" s="23"/>
      <c r="GF555" s="4">
        <f t="shared" si="685"/>
        <v>1.25</v>
      </c>
      <c r="GG555" s="4">
        <f t="shared" si="686"/>
        <v>0.5</v>
      </c>
      <c r="GH555" s="4">
        <f t="shared" si="687"/>
        <v>0</v>
      </c>
      <c r="GI555" s="4">
        <f t="shared" si="688"/>
        <v>230.4546043227347</v>
      </c>
    </row>
    <row r="556" spans="1:191" ht="12" customHeight="1" x14ac:dyDescent="0.3">
      <c r="A556" s="25">
        <v>180</v>
      </c>
      <c r="B556" s="24" t="s">
        <v>128</v>
      </c>
      <c r="C556" s="24">
        <v>2017</v>
      </c>
      <c r="D556" s="24"/>
      <c r="E556" s="24"/>
      <c r="F556" s="24"/>
      <c r="G556" s="109"/>
      <c r="H556" s="4" t="s">
        <v>314</v>
      </c>
      <c r="J556" s="7">
        <v>679</v>
      </c>
      <c r="K556" s="7">
        <f t="shared" si="689"/>
        <v>88.8</v>
      </c>
      <c r="L556" s="7">
        <f t="shared" si="586"/>
        <v>88.8</v>
      </c>
      <c r="M556" s="7">
        <v>129.9</v>
      </c>
      <c r="N556" s="7">
        <v>22.2</v>
      </c>
      <c r="O556" s="7">
        <f t="shared" si="587"/>
        <v>4</v>
      </c>
      <c r="P556" s="7">
        <f t="shared" si="588"/>
        <v>4</v>
      </c>
      <c r="Q556" s="7">
        <v>388</v>
      </c>
      <c r="R556" s="7"/>
      <c r="S556" s="7">
        <f>1.5*N556</f>
        <v>33.299999999999997</v>
      </c>
      <c r="T556" s="7"/>
      <c r="U556" s="7">
        <f>118-L556</f>
        <v>29.200000000000003</v>
      </c>
      <c r="V556" s="7"/>
      <c r="W556" s="7">
        <f t="shared" si="590"/>
        <v>277</v>
      </c>
      <c r="X556" s="7">
        <v>2</v>
      </c>
      <c r="Y556" s="7"/>
      <c r="Z556" s="7"/>
      <c r="AA556" s="7">
        <f t="shared" si="591"/>
        <v>59.199999999999996</v>
      </c>
      <c r="AB556" s="7">
        <f t="shared" si="592"/>
        <v>2</v>
      </c>
      <c r="AC556" s="7">
        <f t="shared" si="593"/>
        <v>2</v>
      </c>
      <c r="AD556" s="7">
        <f t="shared" si="594"/>
        <v>4</v>
      </c>
      <c r="AE556" s="7">
        <f t="shared" si="594"/>
        <v>4</v>
      </c>
      <c r="AF556" s="7">
        <f t="shared" si="595"/>
        <v>5</v>
      </c>
      <c r="AG556" s="7">
        <f t="shared" si="596"/>
        <v>49.640709100495329</v>
      </c>
      <c r="AH556" s="7">
        <f t="shared" si="597"/>
        <v>679</v>
      </c>
      <c r="AI556" s="7">
        <v>8</v>
      </c>
      <c r="AJ556" s="7">
        <f>(751+699)/2</f>
        <v>725</v>
      </c>
      <c r="AK556" s="7"/>
      <c r="AL556" s="4">
        <f t="shared" si="598"/>
        <v>1</v>
      </c>
      <c r="AM556" s="7">
        <v>0</v>
      </c>
      <c r="AN556" s="7">
        <v>0</v>
      </c>
      <c r="AO556" s="7">
        <f t="shared" si="599"/>
        <v>88.8</v>
      </c>
      <c r="AP556" s="7"/>
      <c r="AQ556" s="7"/>
      <c r="AR556" s="7">
        <f t="shared" si="600"/>
        <v>0.89037433155080214</v>
      </c>
      <c r="AS556" s="4">
        <f t="shared" si="601"/>
        <v>88.8</v>
      </c>
      <c r="AT556" s="4">
        <f t="shared" si="602"/>
        <v>1.3333333333333333</v>
      </c>
      <c r="AU556" s="4">
        <f t="shared" si="603"/>
        <v>123.19645135939774</v>
      </c>
      <c r="AV556" s="4">
        <f t="shared" si="604"/>
        <v>0.79999999999999993</v>
      </c>
      <c r="AW556" s="4">
        <v>1.25</v>
      </c>
      <c r="AX556" s="47">
        <f t="shared" si="690"/>
        <v>5</v>
      </c>
      <c r="AY556" s="38">
        <f t="shared" si="691"/>
        <v>821.30967572931809</v>
      </c>
      <c r="AZ556" s="38">
        <f t="shared" si="606"/>
        <v>821.30967572931809</v>
      </c>
      <c r="BA556" s="38">
        <f t="shared" si="607"/>
        <v>5.7111767066521422</v>
      </c>
      <c r="BB556" s="38">
        <f t="shared" si="608"/>
        <v>897.15133497459317</v>
      </c>
      <c r="BC556" s="38">
        <f t="shared" si="692"/>
        <v>0.91546391752577294</v>
      </c>
      <c r="BD556" s="38">
        <f t="shared" si="610"/>
        <v>1.1583330030149592</v>
      </c>
      <c r="BE556" s="4">
        <f t="shared" si="611"/>
        <v>0</v>
      </c>
      <c r="BF556" s="4">
        <f t="shared" si="612"/>
        <v>239.94459194200661</v>
      </c>
      <c r="BG556" s="4">
        <f t="shared" si="613"/>
        <v>1</v>
      </c>
      <c r="BH556" s="38">
        <f t="shared" si="614"/>
        <v>1039.2</v>
      </c>
      <c r="BI556" s="4">
        <f t="shared" si="615"/>
        <v>0.44000000000000006</v>
      </c>
      <c r="BJ556" s="4">
        <f t="shared" si="616"/>
        <v>55.163261687467326</v>
      </c>
      <c r="BK556" s="4">
        <f t="shared" si="617"/>
        <v>1094.3632616874675</v>
      </c>
      <c r="BM556" s="4">
        <f t="shared" si="618"/>
        <v>1.125</v>
      </c>
      <c r="BN556" s="4">
        <f t="shared" si="619"/>
        <v>538.5256435398411</v>
      </c>
      <c r="BP556" s="4">
        <f t="shared" si="620"/>
        <v>996.71988587880821</v>
      </c>
      <c r="BQ556" s="4">
        <f t="shared" si="621"/>
        <v>3704.4961984911101</v>
      </c>
      <c r="BR556" s="4">
        <f t="shared" si="622"/>
        <v>3.7166873571754362</v>
      </c>
      <c r="BZ556" s="4">
        <f t="shared" si="623"/>
        <v>33.299999999999997</v>
      </c>
      <c r="CD556" s="9"/>
      <c r="CF556" s="9"/>
      <c r="CG556" s="9"/>
      <c r="CH556" s="9">
        <f t="shared" si="624"/>
        <v>29.200000000000003</v>
      </c>
      <c r="CI556" s="9">
        <f t="shared" si="625"/>
        <v>138.5</v>
      </c>
      <c r="CJ556" s="9">
        <f t="shared" si="626"/>
        <v>1.4485216037038422</v>
      </c>
      <c r="CK556" s="70">
        <v>0</v>
      </c>
      <c r="CL556" s="9">
        <f t="shared" si="627"/>
        <v>0</v>
      </c>
      <c r="CM556" s="9">
        <f t="shared" si="628"/>
        <v>0</v>
      </c>
      <c r="CN556" s="9">
        <f t="shared" si="629"/>
        <v>1</v>
      </c>
      <c r="CO556" s="9">
        <f t="shared" si="630"/>
        <v>0.77100000000000002</v>
      </c>
      <c r="CP556" s="9">
        <f t="shared" si="631"/>
        <v>3.0755797864386483</v>
      </c>
      <c r="CQ556" s="9">
        <f t="shared" si="632"/>
        <v>4.4550437645712311</v>
      </c>
      <c r="CR556" s="9">
        <v>1</v>
      </c>
      <c r="CS556" s="9">
        <f t="shared" si="633"/>
        <v>338.58332610741354</v>
      </c>
      <c r="CU556" s="4">
        <f t="shared" si="634"/>
        <v>3.0215309048316823</v>
      </c>
      <c r="CV556" s="4">
        <f t="shared" si="635"/>
        <v>0.6624856895159994</v>
      </c>
      <c r="CW556" s="4">
        <f t="shared" si="636"/>
        <v>1.346268295107405</v>
      </c>
      <c r="CX556" s="4">
        <f t="shared" si="637"/>
        <v>2.1412749657081402</v>
      </c>
      <c r="CY556" s="44">
        <f t="shared" si="638"/>
        <v>1</v>
      </c>
      <c r="CZ556" s="4">
        <f t="shared" si="639"/>
        <v>1</v>
      </c>
      <c r="DA556" s="4">
        <f t="shared" si="640"/>
        <v>3.1459558038801037</v>
      </c>
      <c r="DC556" s="4">
        <f t="shared" si="641"/>
        <v>3.0215309048316823</v>
      </c>
      <c r="DD556" s="4">
        <f t="shared" si="642"/>
        <v>0.6624856895159994</v>
      </c>
      <c r="DE556" s="4">
        <f t="shared" si="643"/>
        <v>2.1412749657081402</v>
      </c>
      <c r="DF556" s="4">
        <f t="shared" si="644"/>
        <v>3.1459558038801037</v>
      </c>
      <c r="DG556" s="4">
        <f t="shared" si="645"/>
        <v>1</v>
      </c>
      <c r="DH556" s="4">
        <f t="shared" si="646"/>
        <v>1</v>
      </c>
      <c r="DP556" s="4">
        <f t="shared" si="647"/>
        <v>0</v>
      </c>
      <c r="DQ556" s="4">
        <f t="shared" si="648"/>
        <v>88.8</v>
      </c>
      <c r="DT556" s="4">
        <f t="shared" si="649"/>
        <v>1.3307058507295954E-5</v>
      </c>
      <c r="DU556" s="4">
        <f t="shared" si="650"/>
        <v>12.884614270393072</v>
      </c>
      <c r="DV556" s="4">
        <f t="shared" si="651"/>
        <v>0.33350428523733322</v>
      </c>
      <c r="DW556" s="4">
        <f t="shared" si="652"/>
        <v>8.3044713080107613</v>
      </c>
      <c r="DX556" s="4">
        <f t="shared" si="653"/>
        <v>10.84031994129483</v>
      </c>
      <c r="DY556" s="4">
        <f t="shared" si="654"/>
        <v>12.632127494153044</v>
      </c>
      <c r="DZ556" s="38">
        <f t="shared" si="655"/>
        <v>725</v>
      </c>
      <c r="EA556" s="4">
        <f t="shared" si="656"/>
        <v>1</v>
      </c>
      <c r="EB556" s="4">
        <f t="shared" si="657"/>
        <v>2.2360679774997898</v>
      </c>
      <c r="EC556" s="4">
        <f t="shared" si="658"/>
        <v>897.15133497459317</v>
      </c>
      <c r="EG556" s="4">
        <f t="shared" si="659"/>
        <v>0.85</v>
      </c>
      <c r="EH556" s="4">
        <f t="shared" si="660"/>
        <v>0.95</v>
      </c>
      <c r="EI556" s="4">
        <f t="shared" si="661"/>
        <v>1</v>
      </c>
      <c r="EJ556" s="4">
        <f t="shared" si="662"/>
        <v>0.95</v>
      </c>
      <c r="EL556" s="4">
        <f t="shared" si="663"/>
        <v>725</v>
      </c>
      <c r="EM556" s="25">
        <f t="shared" si="664"/>
        <v>868.2692405319475</v>
      </c>
      <c r="EP556" s="4">
        <f t="shared" si="665"/>
        <v>12.884614270393072</v>
      </c>
      <c r="ES556" s="4">
        <f t="shared" si="666"/>
        <v>49.640709100495329</v>
      </c>
      <c r="ET556" s="4">
        <f t="shared" si="667"/>
        <v>2.2360679774997898</v>
      </c>
      <c r="EU556" s="4">
        <f t="shared" si="668"/>
        <v>0.20784580311380174</v>
      </c>
      <c r="EX556" s="4">
        <f t="shared" si="669"/>
        <v>0.20784580311380174</v>
      </c>
      <c r="EY556" s="4">
        <f t="shared" si="670"/>
        <v>0.3329477287420215</v>
      </c>
      <c r="EZ556" s="4">
        <f t="shared" si="671"/>
        <v>8.2989250842965276</v>
      </c>
      <c r="FA556" s="4">
        <f t="shared" si="672"/>
        <v>10.83820183717541</v>
      </c>
      <c r="FB556" s="4">
        <f t="shared" si="673"/>
        <v>16.959290899504666</v>
      </c>
      <c r="FC556" s="4">
        <f t="shared" si="674"/>
        <v>22.200000000000003</v>
      </c>
      <c r="FD556" s="4">
        <f t="shared" si="675"/>
        <v>1.3307058507295955E-5</v>
      </c>
      <c r="FE556" s="4">
        <f t="shared" si="676"/>
        <v>12.632233817586011</v>
      </c>
      <c r="FF556" s="4">
        <f t="shared" si="677"/>
        <v>725</v>
      </c>
      <c r="FO556" s="23">
        <f t="shared" si="678"/>
        <v>2.2000000000000002</v>
      </c>
      <c r="FP556" s="23">
        <f t="shared" si="679"/>
        <v>0.8</v>
      </c>
      <c r="FQ556" s="23">
        <f t="shared" si="680"/>
        <v>2.2000000000000002</v>
      </c>
      <c r="FR556" s="23">
        <f t="shared" si="681"/>
        <v>2.2000000000000002</v>
      </c>
      <c r="FS556" s="23">
        <f t="shared" si="682"/>
        <v>1.2</v>
      </c>
      <c r="FT556" s="23">
        <f t="shared" si="683"/>
        <v>1.2</v>
      </c>
      <c r="FU556" s="23">
        <f t="shared" si="684"/>
        <v>0</v>
      </c>
      <c r="FV556" s="23"/>
      <c r="GF556" s="4">
        <f t="shared" si="685"/>
        <v>1.25</v>
      </c>
      <c r="GG556" s="4">
        <f t="shared" si="686"/>
        <v>0.5</v>
      </c>
      <c r="GH556" s="4">
        <f t="shared" si="687"/>
        <v>0</v>
      </c>
      <c r="GI556" s="4">
        <f t="shared" si="688"/>
        <v>230.4546043227347</v>
      </c>
    </row>
    <row r="557" spans="1:191" ht="12" customHeight="1" x14ac:dyDescent="0.3">
      <c r="A557" s="25">
        <v>181</v>
      </c>
      <c r="B557" s="24" t="s">
        <v>128</v>
      </c>
      <c r="C557" s="24">
        <v>2017</v>
      </c>
      <c r="D557" s="24"/>
      <c r="E557" s="24"/>
      <c r="F557" s="24"/>
      <c r="G557" s="109"/>
      <c r="H557" s="4" t="s">
        <v>315</v>
      </c>
      <c r="J557" s="7">
        <v>679</v>
      </c>
      <c r="K557" s="7">
        <f t="shared" si="689"/>
        <v>88.8</v>
      </c>
      <c r="L557" s="7">
        <f t="shared" si="586"/>
        <v>88.8</v>
      </c>
      <c r="M557" s="7">
        <v>129.9</v>
      </c>
      <c r="N557" s="7">
        <v>22.2</v>
      </c>
      <c r="O557" s="7">
        <f t="shared" si="587"/>
        <v>4</v>
      </c>
      <c r="P557" s="7">
        <f t="shared" si="588"/>
        <v>4</v>
      </c>
      <c r="Q557" s="7">
        <v>388</v>
      </c>
      <c r="R557" s="7"/>
      <c r="S557" s="7">
        <f>1.5*N557</f>
        <v>33.299999999999997</v>
      </c>
      <c r="T557" s="7"/>
      <c r="U557" s="7">
        <f>118-L557</f>
        <v>29.200000000000003</v>
      </c>
      <c r="V557" s="7"/>
      <c r="W557" s="7">
        <f t="shared" si="590"/>
        <v>277</v>
      </c>
      <c r="X557" s="7">
        <v>2</v>
      </c>
      <c r="Y557" s="7"/>
      <c r="Z557" s="7"/>
      <c r="AA557" s="7">
        <f t="shared" si="591"/>
        <v>59.199999999999996</v>
      </c>
      <c r="AB557" s="7">
        <f t="shared" si="592"/>
        <v>2</v>
      </c>
      <c r="AC557" s="7">
        <f t="shared" si="593"/>
        <v>2</v>
      </c>
      <c r="AD557" s="7">
        <f t="shared" si="594"/>
        <v>4</v>
      </c>
      <c r="AE557" s="7">
        <f t="shared" si="594"/>
        <v>4</v>
      </c>
      <c r="AF557" s="7">
        <f t="shared" si="595"/>
        <v>5</v>
      </c>
      <c r="AG557" s="7">
        <f t="shared" si="596"/>
        <v>49.640709100495329</v>
      </c>
      <c r="AH557" s="7">
        <f t="shared" si="597"/>
        <v>679</v>
      </c>
      <c r="AI557" s="7">
        <v>8</v>
      </c>
      <c r="AJ557" s="7">
        <f>(731+693)/2</f>
        <v>712</v>
      </c>
      <c r="AK557" s="7"/>
      <c r="AL557" s="4">
        <f t="shared" si="598"/>
        <v>1</v>
      </c>
      <c r="AM557" s="7">
        <v>0</v>
      </c>
      <c r="AN557" s="7">
        <v>0</v>
      </c>
      <c r="AO557" s="7">
        <f t="shared" si="599"/>
        <v>88.8</v>
      </c>
      <c r="AP557" s="7"/>
      <c r="AQ557" s="7"/>
      <c r="AR557" s="7">
        <f t="shared" si="600"/>
        <v>0.89037433155080214</v>
      </c>
      <c r="AS557" s="4">
        <f t="shared" si="601"/>
        <v>88.8</v>
      </c>
      <c r="AT557" s="4">
        <f t="shared" si="602"/>
        <v>1.3333333333333333</v>
      </c>
      <c r="AU557" s="4">
        <f t="shared" si="603"/>
        <v>123.19645135939774</v>
      </c>
      <c r="AV557" s="4">
        <f t="shared" si="604"/>
        <v>0.79999999999999993</v>
      </c>
      <c r="AW557" s="4">
        <v>1.25</v>
      </c>
      <c r="AX557" s="47">
        <f t="shared" si="690"/>
        <v>5</v>
      </c>
      <c r="AY557" s="38">
        <f t="shared" si="691"/>
        <v>821.30967572931809</v>
      </c>
      <c r="AZ557" s="38">
        <f t="shared" si="606"/>
        <v>821.30967572931809</v>
      </c>
      <c r="BA557" s="38">
        <f t="shared" si="607"/>
        <v>5.7111767066521422</v>
      </c>
      <c r="BB557" s="38">
        <f t="shared" si="608"/>
        <v>897.15133497459317</v>
      </c>
      <c r="BC557" s="38">
        <f t="shared" si="692"/>
        <v>0.91546391752577294</v>
      </c>
      <c r="BD557" s="38">
        <f t="shared" si="610"/>
        <v>1.1583330030149592</v>
      </c>
      <c r="BE557" s="4">
        <f t="shared" si="611"/>
        <v>0</v>
      </c>
      <c r="BF557" s="4">
        <f t="shared" si="612"/>
        <v>239.94459194200661</v>
      </c>
      <c r="BG557" s="4">
        <f t="shared" si="613"/>
        <v>1</v>
      </c>
      <c r="BH557" s="38">
        <f t="shared" si="614"/>
        <v>1039.2</v>
      </c>
      <c r="BI557" s="4">
        <f t="shared" si="615"/>
        <v>0.44000000000000006</v>
      </c>
      <c r="BJ557" s="4">
        <f t="shared" si="616"/>
        <v>55.163261687467326</v>
      </c>
      <c r="BK557" s="4">
        <f t="shared" si="617"/>
        <v>1094.3632616874675</v>
      </c>
      <c r="BM557" s="4">
        <f t="shared" si="618"/>
        <v>1.125</v>
      </c>
      <c r="BN557" s="4">
        <f t="shared" si="619"/>
        <v>538.5256435398411</v>
      </c>
      <c r="BP557" s="4">
        <f t="shared" si="620"/>
        <v>996.71988587880821</v>
      </c>
      <c r="BQ557" s="4">
        <f t="shared" si="621"/>
        <v>3704.4961984911101</v>
      </c>
      <c r="BR557" s="4">
        <f t="shared" si="622"/>
        <v>3.7166873571754362</v>
      </c>
      <c r="BZ557" s="4">
        <f t="shared" si="623"/>
        <v>33.299999999999997</v>
      </c>
      <c r="CD557" s="9"/>
      <c r="CF557" s="9"/>
      <c r="CG557" s="9"/>
      <c r="CH557" s="9">
        <f t="shared" si="624"/>
        <v>29.200000000000003</v>
      </c>
      <c r="CI557" s="9">
        <f t="shared" si="625"/>
        <v>138.5</v>
      </c>
      <c r="CJ557" s="9">
        <f t="shared" si="626"/>
        <v>1.4485216037038422</v>
      </c>
      <c r="CK557" s="70">
        <v>0</v>
      </c>
      <c r="CL557" s="9">
        <f t="shared" si="627"/>
        <v>0</v>
      </c>
      <c r="CM557" s="9">
        <f t="shared" si="628"/>
        <v>0</v>
      </c>
      <c r="CN557" s="9">
        <f t="shared" si="629"/>
        <v>1</v>
      </c>
      <c r="CO557" s="9">
        <f t="shared" si="630"/>
        <v>0.77100000000000002</v>
      </c>
      <c r="CP557" s="9">
        <f t="shared" si="631"/>
        <v>3.0755797864386483</v>
      </c>
      <c r="CQ557" s="9">
        <f t="shared" si="632"/>
        <v>4.4550437645712311</v>
      </c>
      <c r="CR557" s="9">
        <v>1</v>
      </c>
      <c r="CS557" s="9">
        <f t="shared" si="633"/>
        <v>338.58332610741354</v>
      </c>
      <c r="CU557" s="4">
        <f t="shared" si="634"/>
        <v>2.9673517299864245</v>
      </c>
      <c r="CV557" s="4">
        <f t="shared" si="635"/>
        <v>0.65060663577295397</v>
      </c>
      <c r="CW557" s="4">
        <f t="shared" si="636"/>
        <v>1.3221283118847895</v>
      </c>
      <c r="CX557" s="4">
        <f t="shared" si="637"/>
        <v>2.1028796904609597</v>
      </c>
      <c r="CY557" s="44">
        <f t="shared" si="638"/>
        <v>1</v>
      </c>
      <c r="CZ557" s="4">
        <f t="shared" si="639"/>
        <v>1</v>
      </c>
      <c r="DA557" s="4">
        <f t="shared" si="640"/>
        <v>3.0895455618794947</v>
      </c>
      <c r="DC557" s="4">
        <f t="shared" si="641"/>
        <v>2.9673517299864245</v>
      </c>
      <c r="DD557" s="4">
        <f t="shared" si="642"/>
        <v>0.65060663577295397</v>
      </c>
      <c r="DE557" s="4">
        <f t="shared" si="643"/>
        <v>2.1028796904609597</v>
      </c>
      <c r="DF557" s="4">
        <f t="shared" si="644"/>
        <v>3.0895455618794947</v>
      </c>
      <c r="DG557" s="4">
        <f t="shared" si="645"/>
        <v>1</v>
      </c>
      <c r="DH557" s="4">
        <f t="shared" si="646"/>
        <v>1</v>
      </c>
      <c r="DP557" s="4">
        <f t="shared" si="647"/>
        <v>0</v>
      </c>
      <c r="DQ557" s="4">
        <f t="shared" si="648"/>
        <v>88.8</v>
      </c>
      <c r="DT557" s="4">
        <f t="shared" si="649"/>
        <v>1.3307058507295954E-5</v>
      </c>
      <c r="DU557" s="4">
        <f t="shared" si="650"/>
        <v>12.884614270393072</v>
      </c>
      <c r="DV557" s="4">
        <f t="shared" si="651"/>
        <v>0.33350428523733322</v>
      </c>
      <c r="DW557" s="4">
        <f t="shared" si="652"/>
        <v>8.3044713080107613</v>
      </c>
      <c r="DX557" s="4">
        <f t="shared" si="653"/>
        <v>10.84031994129483</v>
      </c>
      <c r="DY557" s="4">
        <f t="shared" si="654"/>
        <v>12.632127494153044</v>
      </c>
      <c r="DZ557" s="38">
        <f t="shared" si="655"/>
        <v>712</v>
      </c>
      <c r="EA557" s="4">
        <f t="shared" si="656"/>
        <v>1</v>
      </c>
      <c r="EB557" s="4">
        <f t="shared" si="657"/>
        <v>2.2360679774997898</v>
      </c>
      <c r="EC557" s="4">
        <f t="shared" si="658"/>
        <v>897.15133497459317</v>
      </c>
      <c r="EG557" s="4">
        <f t="shared" si="659"/>
        <v>0.85</v>
      </c>
      <c r="EH557" s="4">
        <f t="shared" si="660"/>
        <v>0.95</v>
      </c>
      <c r="EI557" s="4">
        <f t="shared" si="661"/>
        <v>1</v>
      </c>
      <c r="EJ557" s="4">
        <f t="shared" si="662"/>
        <v>0.95</v>
      </c>
      <c r="EL557" s="4">
        <f t="shared" si="663"/>
        <v>712</v>
      </c>
      <c r="EM557" s="25">
        <f t="shared" si="664"/>
        <v>868.2692405319475</v>
      </c>
      <c r="EP557" s="4">
        <f t="shared" si="665"/>
        <v>12.884614270393072</v>
      </c>
      <c r="ES557" s="4">
        <f t="shared" si="666"/>
        <v>49.640709100495329</v>
      </c>
      <c r="ET557" s="4">
        <f t="shared" si="667"/>
        <v>2.2360679774997898</v>
      </c>
      <c r="EU557" s="4">
        <f t="shared" si="668"/>
        <v>0.20784580311380174</v>
      </c>
      <c r="EX557" s="4">
        <f t="shared" si="669"/>
        <v>0.20784580311380174</v>
      </c>
      <c r="EY557" s="4">
        <f t="shared" si="670"/>
        <v>0.3329477287420215</v>
      </c>
      <c r="EZ557" s="4">
        <f t="shared" si="671"/>
        <v>8.2989250842965276</v>
      </c>
      <c r="FA557" s="4">
        <f t="shared" si="672"/>
        <v>10.83820183717541</v>
      </c>
      <c r="FB557" s="4">
        <f t="shared" si="673"/>
        <v>16.959290899504666</v>
      </c>
      <c r="FC557" s="4">
        <f t="shared" si="674"/>
        <v>22.200000000000003</v>
      </c>
      <c r="FD557" s="4">
        <f t="shared" si="675"/>
        <v>1.3307058507295955E-5</v>
      </c>
      <c r="FE557" s="4">
        <f t="shared" si="676"/>
        <v>12.632233817586011</v>
      </c>
      <c r="FF557" s="4">
        <f t="shared" si="677"/>
        <v>712</v>
      </c>
      <c r="FO557" s="23">
        <f t="shared" si="678"/>
        <v>2.2000000000000002</v>
      </c>
      <c r="FP557" s="23">
        <f t="shared" si="679"/>
        <v>0.8</v>
      </c>
      <c r="FQ557" s="23">
        <f t="shared" si="680"/>
        <v>2.2000000000000002</v>
      </c>
      <c r="FR557" s="23">
        <f t="shared" si="681"/>
        <v>2.2000000000000002</v>
      </c>
      <c r="FS557" s="23">
        <f t="shared" si="682"/>
        <v>1.2</v>
      </c>
      <c r="FT557" s="23">
        <f t="shared" si="683"/>
        <v>1.2</v>
      </c>
      <c r="FU557" s="23">
        <f t="shared" si="684"/>
        <v>0</v>
      </c>
      <c r="FV557" s="23"/>
      <c r="GF557" s="4">
        <f t="shared" si="685"/>
        <v>1.25</v>
      </c>
      <c r="GG557" s="4">
        <f t="shared" si="686"/>
        <v>0.5</v>
      </c>
      <c r="GH557" s="4">
        <f t="shared" si="687"/>
        <v>0</v>
      </c>
      <c r="GI557" s="4">
        <f t="shared" si="688"/>
        <v>230.4546043227347</v>
      </c>
    </row>
    <row r="558" spans="1:191" s="54" customFormat="1" ht="12" customHeight="1" x14ac:dyDescent="0.3">
      <c r="A558" s="52">
        <v>182</v>
      </c>
      <c r="B558" s="53" t="s">
        <v>128</v>
      </c>
      <c r="C558" s="53">
        <v>2017</v>
      </c>
      <c r="D558" s="53"/>
      <c r="E558" s="53"/>
      <c r="F558" s="53"/>
      <c r="G558" s="109"/>
      <c r="H558" s="54" t="s">
        <v>316</v>
      </c>
      <c r="J558" s="32">
        <v>679</v>
      </c>
      <c r="K558" s="32">
        <f t="shared" si="689"/>
        <v>88.8</v>
      </c>
      <c r="L558" s="32">
        <f t="shared" si="586"/>
        <v>88.8</v>
      </c>
      <c r="M558" s="32">
        <v>129.9</v>
      </c>
      <c r="N558" s="32">
        <v>22.2</v>
      </c>
      <c r="O558" s="32">
        <f t="shared" si="587"/>
        <v>4</v>
      </c>
      <c r="P558" s="32">
        <f t="shared" si="588"/>
        <v>4</v>
      </c>
      <c r="Q558" s="32">
        <v>366</v>
      </c>
      <c r="R558" s="32"/>
      <c r="S558" s="32">
        <f>1*N558</f>
        <v>22.2</v>
      </c>
      <c r="T558" s="32"/>
      <c r="U558" s="32">
        <f>118-L558</f>
        <v>29.200000000000003</v>
      </c>
      <c r="V558" s="32"/>
      <c r="W558" s="32">
        <f t="shared" si="590"/>
        <v>277.20000000000005</v>
      </c>
      <c r="X558" s="32">
        <v>2</v>
      </c>
      <c r="Y558" s="32"/>
      <c r="Z558" s="32"/>
      <c r="AA558" s="32">
        <f t="shared" si="591"/>
        <v>59.199999999999996</v>
      </c>
      <c r="AB558" s="32">
        <f t="shared" si="592"/>
        <v>1.5</v>
      </c>
      <c r="AC558" s="32">
        <f t="shared" si="593"/>
        <v>1.5</v>
      </c>
      <c r="AD558" s="32">
        <f t="shared" si="594"/>
        <v>4</v>
      </c>
      <c r="AE558" s="32">
        <f t="shared" si="594"/>
        <v>4</v>
      </c>
      <c r="AF558" s="32">
        <f t="shared" si="595"/>
        <v>5</v>
      </c>
      <c r="AG558" s="32">
        <f t="shared" si="596"/>
        <v>49.640709100495329</v>
      </c>
      <c r="AH558" s="32">
        <f t="shared" si="597"/>
        <v>679</v>
      </c>
      <c r="AI558" s="32">
        <v>8</v>
      </c>
      <c r="AJ558" s="32">
        <f>(735+707)/2</f>
        <v>721</v>
      </c>
      <c r="AK558" s="32"/>
      <c r="AL558" s="54">
        <f t="shared" si="598"/>
        <v>1</v>
      </c>
      <c r="AM558" s="32">
        <v>9.5</v>
      </c>
      <c r="AN558" s="32">
        <v>2</v>
      </c>
      <c r="AO558" s="32">
        <v>52</v>
      </c>
      <c r="AP558" s="32">
        <v>4</v>
      </c>
      <c r="AQ558" s="32">
        <f t="shared" ref="AQ558" si="693">AN558</f>
        <v>2</v>
      </c>
      <c r="AR558" s="32">
        <f t="shared" si="600"/>
        <v>0.88977955911823625</v>
      </c>
      <c r="AS558" s="54">
        <f t="shared" si="601"/>
        <v>88.8</v>
      </c>
      <c r="AT558" s="54">
        <f t="shared" si="602"/>
        <v>1.25</v>
      </c>
      <c r="AU558" s="54">
        <f t="shared" si="603"/>
        <v>123.19645135939774</v>
      </c>
      <c r="AV558" s="54">
        <f t="shared" si="604"/>
        <v>0.77499999999999991</v>
      </c>
      <c r="AW558" s="54">
        <v>1.25</v>
      </c>
      <c r="AX558" s="59">
        <f t="shared" si="690"/>
        <v>5</v>
      </c>
      <c r="AY558" s="56">
        <f t="shared" si="691"/>
        <v>745.91601409010343</v>
      </c>
      <c r="AZ558" s="56">
        <f t="shared" si="606"/>
        <v>745.91601409010343</v>
      </c>
      <c r="BA558" s="56">
        <f t="shared" si="607"/>
        <v>5.7111767066521422</v>
      </c>
      <c r="BB558" s="56">
        <f t="shared" si="608"/>
        <v>819.83561909002367</v>
      </c>
      <c r="BC558" s="56">
        <f t="shared" si="692"/>
        <v>0.90983606557377039</v>
      </c>
      <c r="BD558" s="56">
        <f t="shared" si="610"/>
        <v>0.9506783821677508</v>
      </c>
      <c r="BE558" s="54">
        <f t="shared" si="611"/>
        <v>1</v>
      </c>
      <c r="BF558" s="54">
        <f t="shared" si="612"/>
        <v>239.94459194200661</v>
      </c>
      <c r="BG558" s="54">
        <f t="shared" si="613"/>
        <v>1</v>
      </c>
      <c r="BH558" s="56">
        <f t="shared" si="614"/>
        <v>779.40000000000009</v>
      </c>
      <c r="BI558" s="54">
        <f t="shared" si="615"/>
        <v>0.44000000000000006</v>
      </c>
      <c r="BJ558" s="54">
        <f t="shared" si="616"/>
        <v>55.163261687467326</v>
      </c>
      <c r="BK558" s="54">
        <f t="shared" si="617"/>
        <v>834.56326168746739</v>
      </c>
      <c r="BM558" s="54">
        <f t="shared" si="618"/>
        <v>1.4</v>
      </c>
      <c r="BN558" s="54">
        <f t="shared" si="619"/>
        <v>670.16524529402443</v>
      </c>
      <c r="BP558" s="54">
        <f t="shared" si="620"/>
        <v>747.53991440910613</v>
      </c>
      <c r="BQ558" s="54">
        <f t="shared" si="621"/>
        <v>3704.4961984911101</v>
      </c>
      <c r="BR558" s="54">
        <f t="shared" si="622"/>
        <v>4.9555831429005819</v>
      </c>
      <c r="BZ558" s="54">
        <f t="shared" si="623"/>
        <v>22.2</v>
      </c>
      <c r="CD558" s="57"/>
      <c r="CF558" s="57"/>
      <c r="CG558" s="57"/>
      <c r="CH558" s="57">
        <f t="shared" si="624"/>
        <v>22.2</v>
      </c>
      <c r="CI558" s="57">
        <f t="shared" si="625"/>
        <v>138.60000000000002</v>
      </c>
      <c r="CJ558" s="57">
        <f t="shared" si="626"/>
        <v>1.3161686388047049</v>
      </c>
      <c r="CK558" s="71">
        <v>20</v>
      </c>
      <c r="CL558" s="57">
        <f t="shared" si="627"/>
        <v>0.05</v>
      </c>
      <c r="CM558" s="57">
        <f t="shared" si="628"/>
        <v>0.8</v>
      </c>
      <c r="CN558" s="57">
        <f t="shared" si="629"/>
        <v>1</v>
      </c>
      <c r="CO558" s="57">
        <f t="shared" si="630"/>
        <v>0.77100000000000002</v>
      </c>
      <c r="CP558" s="57">
        <f t="shared" si="631"/>
        <v>3.0755797864386483</v>
      </c>
      <c r="CQ558" s="57">
        <f t="shared" si="632"/>
        <v>6.5084454902031403</v>
      </c>
      <c r="CR558" s="57">
        <v>1</v>
      </c>
      <c r="CS558" s="57">
        <f t="shared" si="633"/>
        <v>494.64185725543865</v>
      </c>
      <c r="CU558" s="54">
        <f t="shared" si="634"/>
        <v>3.0048603894946799</v>
      </c>
      <c r="CV558" s="54">
        <f t="shared" si="635"/>
        <v>0.86392492109244645</v>
      </c>
      <c r="CW558" s="54">
        <f t="shared" si="636"/>
        <v>1.0758540599694522</v>
      </c>
      <c r="CX558" s="54">
        <f t="shared" si="637"/>
        <v>1.4576202750016511</v>
      </c>
      <c r="CY558" s="60">
        <f t="shared" si="638"/>
        <v>1</v>
      </c>
      <c r="CZ558" s="54">
        <f t="shared" si="639"/>
        <v>1</v>
      </c>
      <c r="DA558" s="54">
        <f t="shared" si="640"/>
        <v>2.7149668974723982</v>
      </c>
      <c r="DI558" s="54">
        <f t="shared" ref="DI558" si="694">CU558</f>
        <v>3.0048603894946799</v>
      </c>
      <c r="DJ558" s="54">
        <f t="shared" ref="DJ558" si="695">CV558</f>
        <v>0.86392492109244645</v>
      </c>
      <c r="DK558" s="54">
        <f t="shared" ref="DK558" si="696">CX558</f>
        <v>1.4576202750016511</v>
      </c>
      <c r="DL558" s="54">
        <f t="shared" ref="DL558" si="697">DA558</f>
        <v>2.7149668974723982</v>
      </c>
      <c r="DM558" s="54">
        <f t="shared" ref="DM558" si="698">CY558</f>
        <v>1</v>
      </c>
      <c r="DN558" s="54">
        <f t="shared" ref="DN558" si="699">CZ558</f>
        <v>1</v>
      </c>
      <c r="DP558" s="54">
        <f t="shared" si="647"/>
        <v>2</v>
      </c>
      <c r="DQ558" s="54">
        <f t="shared" si="648"/>
        <v>88.8</v>
      </c>
      <c r="DT558" s="54">
        <f t="shared" si="649"/>
        <v>1.3307058507295954E-5</v>
      </c>
      <c r="DU558" s="54">
        <f t="shared" si="650"/>
        <v>14.311999279173566</v>
      </c>
      <c r="DV558" s="54">
        <f t="shared" si="651"/>
        <v>0.30476317818160303</v>
      </c>
      <c r="DW558" s="54">
        <f t="shared" si="652"/>
        <v>8.8978545711564809</v>
      </c>
      <c r="DX558" s="54">
        <f t="shared" si="653"/>
        <v>11.918098036137676</v>
      </c>
      <c r="DY558" s="54">
        <f t="shared" si="654"/>
        <v>14.007544153387153</v>
      </c>
      <c r="DZ558" s="56">
        <f t="shared" si="655"/>
        <v>721</v>
      </c>
      <c r="EA558" s="54">
        <f t="shared" si="656"/>
        <v>1</v>
      </c>
      <c r="EB558" s="54">
        <f t="shared" si="657"/>
        <v>2.2360679774997898</v>
      </c>
      <c r="EC558" s="54">
        <f t="shared" si="658"/>
        <v>819.83561909002367</v>
      </c>
      <c r="EG558" s="54">
        <f t="shared" si="659"/>
        <v>0.85</v>
      </c>
      <c r="EH558" s="54">
        <f t="shared" si="660"/>
        <v>1</v>
      </c>
      <c r="EI558" s="54">
        <f t="shared" si="661"/>
        <v>0.8552532261991721</v>
      </c>
      <c r="EJ558" s="54">
        <f t="shared" si="662"/>
        <v>0.8552532261991721</v>
      </c>
      <c r="EL558" s="54">
        <f t="shared" si="663"/>
        <v>721</v>
      </c>
      <c r="EM558" s="52">
        <f t="shared" si="664"/>
        <v>792.6169156169592</v>
      </c>
      <c r="EP558" s="54">
        <f t="shared" si="665"/>
        <v>14.311999279173566</v>
      </c>
      <c r="ES558" s="54">
        <f t="shared" si="666"/>
        <v>49.640709100495329</v>
      </c>
      <c r="ET558" s="54">
        <f t="shared" si="667"/>
        <v>2.2360679774997898</v>
      </c>
      <c r="EU558" s="54">
        <f t="shared" si="668"/>
        <v>0.18993383393437455</v>
      </c>
      <c r="EX558" s="54">
        <f t="shared" si="669"/>
        <v>0.18993383393437455</v>
      </c>
      <c r="EY558" s="54">
        <f t="shared" si="670"/>
        <v>0.30425458523735305</v>
      </c>
      <c r="EZ558" s="54">
        <f t="shared" si="671"/>
        <v>8.8919120505313884</v>
      </c>
      <c r="FA558" s="54">
        <f t="shared" si="672"/>
        <v>11.915888053300256</v>
      </c>
      <c r="FB558" s="54">
        <f t="shared" si="673"/>
        <v>16.959290899504666</v>
      </c>
      <c r="FC558" s="54">
        <f t="shared" si="674"/>
        <v>22.200000000000003</v>
      </c>
      <c r="FD558" s="54">
        <f t="shared" si="675"/>
        <v>1.3307058507295955E-5</v>
      </c>
      <c r="FE558" s="54">
        <f t="shared" si="676"/>
        <v>14.007670258702035</v>
      </c>
      <c r="FF558" s="54">
        <f t="shared" si="677"/>
        <v>721</v>
      </c>
      <c r="FO558" s="58">
        <f t="shared" si="678"/>
        <v>2.2000000000000002</v>
      </c>
      <c r="FP558" s="58">
        <f t="shared" si="679"/>
        <v>1</v>
      </c>
      <c r="FQ558" s="58">
        <f t="shared" si="680"/>
        <v>2.2000000000000002</v>
      </c>
      <c r="FR558" s="58">
        <f t="shared" si="681"/>
        <v>1.6</v>
      </c>
      <c r="FS558" s="58">
        <f t="shared" si="682"/>
        <v>1.2</v>
      </c>
      <c r="FT558" s="58">
        <f t="shared" si="683"/>
        <v>1.2</v>
      </c>
      <c r="FU558" s="58">
        <f t="shared" si="684"/>
        <v>0</v>
      </c>
      <c r="FV558" s="58"/>
      <c r="GF558" s="54">
        <f t="shared" si="685"/>
        <v>1.25</v>
      </c>
      <c r="GG558" s="54">
        <f t="shared" si="686"/>
        <v>0.4338950222651346</v>
      </c>
      <c r="GH558" s="54">
        <f t="shared" si="687"/>
        <v>0.3</v>
      </c>
      <c r="GI558" s="54">
        <f t="shared" si="688"/>
        <v>265.56493218066208</v>
      </c>
    </row>
    <row r="559" spans="1:191" ht="12" customHeight="1" x14ac:dyDescent="0.3">
      <c r="B559" s="24"/>
      <c r="C559" s="24"/>
      <c r="D559" s="24"/>
      <c r="E559" s="24"/>
      <c r="F559" s="24"/>
      <c r="G559" s="109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L559" s="7"/>
      <c r="AM559" s="7"/>
      <c r="AN559" s="7"/>
      <c r="AO559" s="7"/>
      <c r="AP559" s="7"/>
      <c r="AQ559" s="7"/>
      <c r="AR559" s="7"/>
      <c r="AS559" s="35"/>
      <c r="AT559" s="35"/>
      <c r="AU559" s="35"/>
      <c r="AV559" s="35"/>
      <c r="AW559" s="35"/>
      <c r="AX559" s="35"/>
      <c r="AY559" s="42"/>
      <c r="AZ559" s="42"/>
      <c r="BA559" s="42"/>
      <c r="BB559" s="42"/>
      <c r="BC559" s="42"/>
      <c r="BD559" s="42"/>
      <c r="BE559" s="35"/>
      <c r="CD559" s="9"/>
      <c r="CF559" s="9"/>
      <c r="CG559" s="9"/>
      <c r="CH559" s="9"/>
      <c r="CI559" s="9"/>
      <c r="CJ559" s="9"/>
      <c r="CK559" s="70"/>
      <c r="CL559" s="9"/>
      <c r="CM559" s="9"/>
      <c r="CN559" s="9"/>
      <c r="CO559" s="9"/>
      <c r="CP559" s="9"/>
      <c r="CQ559" s="9"/>
      <c r="CR559" s="9"/>
      <c r="CS559" s="9"/>
      <c r="FO559" s="23"/>
      <c r="FP559" s="23"/>
      <c r="FQ559" s="23"/>
      <c r="FR559" s="23"/>
      <c r="FS559" s="23"/>
      <c r="FT559" s="23"/>
      <c r="FU559" s="23"/>
      <c r="FV559" s="23"/>
    </row>
    <row r="560" spans="1:191" ht="12" customHeight="1" x14ac:dyDescent="0.3">
      <c r="B560" s="24"/>
      <c r="C560" s="24"/>
      <c r="D560" s="24"/>
      <c r="E560" s="24"/>
      <c r="F560" s="24"/>
      <c r="G560" s="109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L560" s="7"/>
      <c r="AM560" s="7"/>
      <c r="AN560" s="7"/>
      <c r="AO560" s="7"/>
      <c r="AP560" s="7"/>
      <c r="AQ560" s="7"/>
      <c r="AR560" s="7"/>
      <c r="AS560" s="35"/>
      <c r="AT560" s="35"/>
      <c r="AU560" s="35"/>
      <c r="AV560" s="35"/>
      <c r="AW560" s="35"/>
      <c r="AX560" s="35"/>
      <c r="AY560" s="42"/>
      <c r="AZ560" s="42"/>
      <c r="BA560" s="42"/>
      <c r="BB560" s="42"/>
      <c r="BC560" s="42"/>
      <c r="BD560" s="42"/>
      <c r="BE560" s="35"/>
      <c r="CD560" s="9"/>
      <c r="CF560" s="9"/>
      <c r="CG560" s="9"/>
      <c r="CH560" s="9"/>
      <c r="CI560" s="9"/>
      <c r="CJ560" s="9"/>
      <c r="CK560" s="70"/>
      <c r="CL560" s="9"/>
      <c r="CM560" s="9"/>
      <c r="CN560" s="9"/>
      <c r="CO560" s="9"/>
      <c r="CP560" s="9"/>
      <c r="CQ560" s="9"/>
      <c r="CR560" s="9"/>
      <c r="CS560" s="9"/>
      <c r="FO560" s="23"/>
      <c r="FP560" s="23"/>
      <c r="FQ560" s="23"/>
      <c r="FR560" s="23"/>
      <c r="FS560" s="23"/>
      <c r="FT560" s="23"/>
      <c r="FU560" s="23"/>
      <c r="FV560" s="23"/>
    </row>
    <row r="561" spans="2:178" ht="12" customHeight="1" x14ac:dyDescent="0.3">
      <c r="B561" s="24"/>
      <c r="C561" s="24"/>
      <c r="D561" s="24"/>
      <c r="E561" s="24"/>
      <c r="F561" s="24"/>
      <c r="G561" s="109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L561" s="7"/>
      <c r="AM561" s="7"/>
      <c r="AN561" s="7"/>
      <c r="AO561" s="7"/>
      <c r="AP561" s="7"/>
      <c r="AQ561" s="7"/>
      <c r="AR561" s="7"/>
      <c r="AS561" s="35"/>
      <c r="AT561" s="35"/>
      <c r="AU561" s="35"/>
      <c r="AV561" s="35"/>
      <c r="AW561" s="35"/>
      <c r="AX561" s="35"/>
      <c r="AY561" s="42"/>
      <c r="AZ561" s="42"/>
      <c r="BA561" s="42"/>
      <c r="BB561" s="42"/>
      <c r="BC561" s="42"/>
      <c r="BD561" s="42"/>
      <c r="BE561" s="35"/>
      <c r="CD561" s="9"/>
      <c r="CF561" s="9"/>
      <c r="CG561" s="9"/>
      <c r="CH561" s="9"/>
      <c r="CI561" s="9"/>
      <c r="CJ561" s="9"/>
      <c r="CK561" s="70"/>
      <c r="CL561" s="9"/>
      <c r="CM561" s="9"/>
      <c r="CN561" s="9"/>
      <c r="CO561" s="9"/>
      <c r="CP561" s="9"/>
      <c r="CQ561" s="9"/>
      <c r="CR561" s="9"/>
      <c r="CS561" s="9"/>
      <c r="FO561" s="23"/>
      <c r="FP561" s="23"/>
      <c r="FQ561" s="23"/>
      <c r="FR561" s="23"/>
      <c r="FS561" s="23"/>
      <c r="FT561" s="23"/>
      <c r="FU561" s="23"/>
      <c r="FV561" s="23"/>
    </row>
    <row r="562" spans="2:178" ht="12" customHeight="1" x14ac:dyDescent="0.3">
      <c r="B562" s="24"/>
      <c r="C562" s="24"/>
      <c r="D562" s="24"/>
      <c r="E562" s="24"/>
      <c r="F562" s="24"/>
      <c r="G562" s="109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L562" s="7"/>
      <c r="AM562" s="7"/>
      <c r="AN562" s="7"/>
      <c r="AO562" s="7"/>
      <c r="AP562" s="7"/>
      <c r="AQ562" s="7"/>
      <c r="AR562" s="7"/>
      <c r="AS562" s="35"/>
      <c r="AT562" s="35"/>
      <c r="AU562" s="35"/>
      <c r="AV562" s="35"/>
      <c r="AW562" s="35"/>
      <c r="AX562" s="35"/>
      <c r="AY562" s="42"/>
      <c r="AZ562" s="42"/>
      <c r="BA562" s="42"/>
      <c r="BB562" s="42"/>
      <c r="BC562" s="42"/>
      <c r="BD562" s="42"/>
      <c r="BE562" s="35"/>
      <c r="CD562" s="9"/>
      <c r="CF562" s="9"/>
      <c r="CG562" s="9"/>
      <c r="CH562" s="9"/>
      <c r="CI562" s="9"/>
      <c r="CJ562" s="9"/>
      <c r="CK562" s="70"/>
      <c r="CL562" s="9"/>
      <c r="CM562" s="9"/>
      <c r="CN562" s="9"/>
      <c r="CO562" s="9"/>
      <c r="CP562" s="9"/>
      <c r="CQ562" s="9"/>
      <c r="CR562" s="9"/>
      <c r="CS562" s="9"/>
      <c r="FO562" s="23"/>
      <c r="FP562" s="23"/>
      <c r="FQ562" s="23"/>
      <c r="FR562" s="23"/>
      <c r="FS562" s="23"/>
      <c r="FT562" s="23"/>
      <c r="FU562" s="23"/>
      <c r="FV562" s="23"/>
    </row>
    <row r="563" spans="2:178" ht="12" customHeight="1" x14ac:dyDescent="0.3">
      <c r="B563" s="24"/>
      <c r="C563" s="24"/>
      <c r="D563" s="24"/>
      <c r="E563" s="24"/>
      <c r="F563" s="24"/>
      <c r="G563" s="109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L563" s="7"/>
      <c r="AM563" s="7"/>
      <c r="AN563" s="7"/>
      <c r="AO563" s="7"/>
      <c r="AP563" s="7"/>
      <c r="AQ563" s="7"/>
      <c r="AR563" s="7"/>
      <c r="AS563" s="35"/>
      <c r="AT563" s="35"/>
      <c r="AU563" s="35"/>
      <c r="AV563" s="35"/>
      <c r="AW563" s="35"/>
      <c r="AX563" s="35"/>
      <c r="AY563" s="42"/>
      <c r="AZ563" s="42"/>
      <c r="BA563" s="42"/>
      <c r="BB563" s="42"/>
      <c r="BC563" s="42"/>
      <c r="BD563" s="42"/>
      <c r="BE563" s="35"/>
      <c r="CD563" s="9"/>
      <c r="CF563" s="9"/>
      <c r="CG563" s="9"/>
      <c r="CH563" s="9"/>
      <c r="CI563" s="9"/>
      <c r="CJ563" s="9"/>
      <c r="CK563" s="70"/>
      <c r="CL563" s="9"/>
      <c r="CM563" s="9"/>
      <c r="CN563" s="9"/>
      <c r="CO563" s="9"/>
      <c r="CP563" s="9"/>
      <c r="CQ563" s="9"/>
      <c r="CR563" s="9"/>
      <c r="CS563" s="9"/>
      <c r="FO563" s="23"/>
      <c r="FP563" s="23"/>
      <c r="FQ563" s="23"/>
      <c r="FR563" s="23"/>
      <c r="FS563" s="23"/>
      <c r="FT563" s="23"/>
      <c r="FU563" s="23"/>
      <c r="FV563" s="23"/>
    </row>
    <row r="564" spans="2:178" ht="12" customHeight="1" x14ac:dyDescent="0.3">
      <c r="B564" s="24"/>
      <c r="C564" s="24"/>
      <c r="D564" s="24"/>
      <c r="E564" s="24"/>
      <c r="F564" s="24"/>
      <c r="G564" s="109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L564" s="7"/>
      <c r="AM564" s="7"/>
      <c r="AN564" s="7"/>
      <c r="AO564" s="7"/>
      <c r="AP564" s="7"/>
      <c r="AQ564" s="7"/>
      <c r="AR564" s="7"/>
      <c r="AS564" s="35"/>
      <c r="AT564" s="35"/>
      <c r="AU564" s="35"/>
      <c r="AV564" s="35"/>
      <c r="AW564" s="35"/>
      <c r="AX564" s="35"/>
      <c r="AY564" s="42"/>
      <c r="AZ564" s="42"/>
      <c r="BA564" s="42"/>
      <c r="BB564" s="42"/>
      <c r="BC564" s="42"/>
      <c r="BD564" s="42"/>
      <c r="BE564" s="35"/>
      <c r="CD564" s="9"/>
      <c r="CF564" s="9"/>
      <c r="CG564" s="9"/>
      <c r="CH564" s="9"/>
      <c r="CI564" s="9"/>
      <c r="CJ564" s="9"/>
      <c r="CK564" s="70"/>
      <c r="CL564" s="9"/>
      <c r="CM564" s="9"/>
      <c r="CN564" s="9"/>
      <c r="CO564" s="9"/>
      <c r="CP564" s="9"/>
      <c r="CQ564" s="9"/>
      <c r="CR564" s="9"/>
      <c r="CS564" s="9"/>
      <c r="FO564" s="23"/>
      <c r="FP564" s="23"/>
      <c r="FQ564" s="23"/>
      <c r="FR564" s="23"/>
      <c r="FS564" s="23"/>
      <c r="FT564" s="23"/>
      <c r="FU564" s="23"/>
      <c r="FV564" s="23"/>
    </row>
    <row r="565" spans="2:178" ht="12" customHeight="1" x14ac:dyDescent="0.3">
      <c r="B565" s="24"/>
      <c r="C565" s="24"/>
      <c r="D565" s="24"/>
      <c r="E565" s="24"/>
      <c r="F565" s="24"/>
      <c r="G565" s="109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L565" s="7"/>
      <c r="AM565" s="7"/>
      <c r="AN565" s="7"/>
      <c r="AO565" s="7"/>
      <c r="AP565" s="7"/>
      <c r="AQ565" s="7"/>
      <c r="AR565" s="7"/>
      <c r="AS565" s="35"/>
      <c r="AT565" s="35"/>
      <c r="AU565" s="35"/>
      <c r="AV565" s="35"/>
      <c r="AW565" s="35"/>
      <c r="AX565" s="35"/>
      <c r="AY565" s="42"/>
      <c r="AZ565" s="42"/>
      <c r="BA565" s="42"/>
      <c r="BB565" s="42"/>
      <c r="BC565" s="42"/>
      <c r="BD565" s="42"/>
      <c r="BE565" s="35"/>
      <c r="CD565" s="9"/>
      <c r="CF565" s="9"/>
      <c r="CG565" s="9"/>
      <c r="CH565" s="9"/>
      <c r="CI565" s="9"/>
      <c r="CJ565" s="9"/>
      <c r="CK565" s="70"/>
      <c r="CL565" s="9"/>
      <c r="CM565" s="9"/>
      <c r="CN565" s="9"/>
      <c r="CO565" s="9"/>
      <c r="CP565" s="9"/>
      <c r="CQ565" s="9"/>
      <c r="CR565" s="9"/>
      <c r="CS565" s="9"/>
      <c r="FO565" s="23"/>
      <c r="FP565" s="23"/>
      <c r="FQ565" s="23"/>
      <c r="FR565" s="23"/>
      <c r="FS565" s="23"/>
      <c r="FT565" s="23"/>
      <c r="FU565" s="23"/>
      <c r="FV565" s="23"/>
    </row>
    <row r="566" spans="2:178" ht="12" customHeight="1" x14ac:dyDescent="0.3">
      <c r="B566" s="24"/>
      <c r="C566" s="24"/>
      <c r="D566" s="24"/>
      <c r="E566" s="24"/>
      <c r="F566" s="24"/>
      <c r="G566" s="109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L566" s="7"/>
      <c r="AM566" s="7"/>
      <c r="AN566" s="7"/>
      <c r="AO566" s="7"/>
      <c r="AP566" s="7"/>
      <c r="AQ566" s="7"/>
      <c r="AR566" s="7"/>
      <c r="AS566" s="35"/>
      <c r="AT566" s="35"/>
      <c r="AU566" s="35"/>
      <c r="AV566" s="35"/>
      <c r="AW566" s="35"/>
      <c r="AX566" s="35"/>
      <c r="AY566" s="42"/>
      <c r="AZ566" s="42"/>
      <c r="BA566" s="42"/>
      <c r="BB566" s="42"/>
      <c r="BC566" s="42"/>
      <c r="BD566" s="42"/>
      <c r="BE566" s="35"/>
      <c r="CD566" s="9"/>
      <c r="CF566" s="9"/>
      <c r="CG566" s="9"/>
      <c r="CH566" s="9"/>
      <c r="CI566" s="9"/>
      <c r="CJ566" s="9"/>
      <c r="CK566" s="70"/>
      <c r="CL566" s="9"/>
      <c r="CM566" s="9"/>
      <c r="CN566" s="9"/>
      <c r="CO566" s="9"/>
      <c r="CP566" s="9"/>
      <c r="CQ566" s="9"/>
      <c r="CR566" s="9"/>
      <c r="CS566" s="9"/>
      <c r="FO566" s="23"/>
      <c r="FP566" s="23"/>
      <c r="FQ566" s="23"/>
      <c r="FR566" s="23"/>
      <c r="FS566" s="23"/>
      <c r="FT566" s="23"/>
      <c r="FU566" s="23"/>
      <c r="FV566" s="23"/>
    </row>
    <row r="567" spans="2:178" ht="12" customHeight="1" x14ac:dyDescent="0.3">
      <c r="B567" s="24"/>
      <c r="C567" s="24"/>
      <c r="D567" s="24"/>
      <c r="E567" s="24"/>
      <c r="F567" s="24"/>
      <c r="G567" s="109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L567" s="7"/>
      <c r="AM567" s="7"/>
      <c r="AN567" s="7"/>
      <c r="AO567" s="7"/>
      <c r="AP567" s="7"/>
      <c r="AQ567" s="7"/>
      <c r="AR567" s="7"/>
      <c r="AS567" s="35"/>
      <c r="AT567" s="35"/>
      <c r="AU567" s="35"/>
      <c r="AV567" s="35"/>
      <c r="AW567" s="35"/>
      <c r="AX567" s="35"/>
      <c r="AY567" s="42"/>
      <c r="AZ567" s="42"/>
      <c r="BA567" s="42"/>
      <c r="BB567" s="42"/>
      <c r="BC567" s="42"/>
      <c r="BD567" s="42"/>
      <c r="BE567" s="35"/>
      <c r="CD567" s="9"/>
      <c r="CF567" s="9"/>
      <c r="CG567" s="9"/>
      <c r="CH567" s="9"/>
      <c r="CI567" s="9"/>
      <c r="CJ567" s="9"/>
      <c r="CK567" s="70"/>
      <c r="CL567" s="9"/>
      <c r="CM567" s="9"/>
      <c r="CN567" s="9"/>
      <c r="CO567" s="9"/>
      <c r="CP567" s="9"/>
      <c r="CQ567" s="9"/>
      <c r="CR567" s="9"/>
      <c r="CS567" s="9"/>
      <c r="FO567" s="23"/>
      <c r="FP567" s="23"/>
      <c r="FQ567" s="23"/>
      <c r="FR567" s="23"/>
      <c r="FS567" s="23"/>
      <c r="FT567" s="23"/>
      <c r="FU567" s="23"/>
      <c r="FV567" s="23"/>
    </row>
    <row r="568" spans="2:178" ht="12" customHeight="1" x14ac:dyDescent="0.3">
      <c r="B568" s="24"/>
      <c r="C568" s="24"/>
      <c r="D568" s="24"/>
      <c r="E568" s="24"/>
      <c r="F568" s="24"/>
      <c r="G568" s="109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L568" s="7"/>
      <c r="AM568" s="7"/>
      <c r="AN568" s="7"/>
      <c r="AO568" s="7"/>
      <c r="AP568" s="7"/>
      <c r="AQ568" s="7"/>
      <c r="AR568" s="7"/>
      <c r="AS568" s="35"/>
      <c r="AT568" s="35"/>
      <c r="AU568" s="35"/>
      <c r="AV568" s="35"/>
      <c r="AW568" s="35"/>
      <c r="AX568" s="35"/>
      <c r="AY568" s="42"/>
      <c r="AZ568" s="42"/>
      <c r="BA568" s="42"/>
      <c r="BB568" s="42"/>
      <c r="BC568" s="42"/>
      <c r="BD568" s="42"/>
      <c r="BE568" s="35"/>
      <c r="CD568" s="9"/>
      <c r="CF568" s="9"/>
      <c r="CG568" s="9"/>
      <c r="CH568" s="9"/>
      <c r="CI568" s="9"/>
      <c r="CJ568" s="9"/>
      <c r="CK568" s="70"/>
      <c r="CL568" s="9"/>
      <c r="CM568" s="9"/>
      <c r="CN568" s="9"/>
      <c r="CO568" s="9"/>
      <c r="CP568" s="9"/>
      <c r="CQ568" s="9"/>
      <c r="CR568" s="9"/>
      <c r="CS568" s="9"/>
      <c r="FO568" s="23"/>
      <c r="FP568" s="23"/>
      <c r="FQ568" s="23"/>
      <c r="FR568" s="23"/>
      <c r="FS568" s="23"/>
      <c r="FT568" s="23"/>
      <c r="FU568" s="23"/>
      <c r="FV568" s="23"/>
    </row>
    <row r="569" spans="2:178" ht="12" customHeight="1" x14ac:dyDescent="0.3">
      <c r="B569" s="24"/>
      <c r="C569" s="24"/>
      <c r="D569" s="24"/>
      <c r="E569" s="24"/>
      <c r="F569" s="24"/>
      <c r="G569" s="109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L569" s="7"/>
      <c r="AM569" s="7"/>
      <c r="AN569" s="7"/>
      <c r="AO569" s="7"/>
      <c r="AP569" s="7"/>
      <c r="AQ569" s="7"/>
      <c r="AR569" s="7"/>
      <c r="AS569" s="35"/>
      <c r="AT569" s="35"/>
      <c r="AU569" s="35"/>
      <c r="AV569" s="35"/>
      <c r="AW569" s="35"/>
      <c r="AX569" s="35"/>
      <c r="AY569" s="42"/>
      <c r="AZ569" s="42"/>
      <c r="BA569" s="42"/>
      <c r="BB569" s="42"/>
      <c r="BC569" s="42"/>
      <c r="BD569" s="42"/>
      <c r="BE569" s="35"/>
      <c r="CD569" s="9"/>
      <c r="CF569" s="9"/>
      <c r="CG569" s="9"/>
      <c r="CH569" s="9"/>
      <c r="CI569" s="9"/>
      <c r="CJ569" s="9"/>
      <c r="CK569" s="70"/>
      <c r="CL569" s="9"/>
      <c r="CM569" s="9"/>
      <c r="CN569" s="9"/>
      <c r="CO569" s="9"/>
      <c r="CP569" s="9"/>
      <c r="CQ569" s="9"/>
      <c r="CR569" s="9"/>
      <c r="CS569" s="9"/>
      <c r="FO569" s="23"/>
      <c r="FP569" s="23"/>
      <c r="FQ569" s="23"/>
      <c r="FR569" s="23"/>
      <c r="FS569" s="23"/>
      <c r="FT569" s="23"/>
      <c r="FU569" s="23"/>
      <c r="FV569" s="23"/>
    </row>
    <row r="570" spans="2:178" ht="12" customHeight="1" x14ac:dyDescent="0.3">
      <c r="B570" s="24"/>
      <c r="C570" s="24"/>
      <c r="D570" s="24"/>
      <c r="E570" s="24"/>
      <c r="F570" s="24"/>
      <c r="G570" s="109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L570" s="7"/>
      <c r="AM570" s="7"/>
      <c r="AN570" s="7"/>
      <c r="AO570" s="7"/>
      <c r="AP570" s="7"/>
      <c r="AQ570" s="7"/>
      <c r="AR570" s="7"/>
      <c r="AS570" s="35"/>
      <c r="AT570" s="35"/>
      <c r="AU570" s="35"/>
      <c r="AV570" s="35"/>
      <c r="AW570" s="35"/>
      <c r="AX570" s="35"/>
      <c r="AY570" s="42"/>
      <c r="AZ570" s="42"/>
      <c r="BA570" s="42"/>
      <c r="BB570" s="42"/>
      <c r="BC570" s="42"/>
      <c r="BD570" s="42"/>
      <c r="BE570" s="35"/>
      <c r="CD570" s="9"/>
      <c r="CF570" s="9"/>
      <c r="CG570" s="9"/>
      <c r="CH570" s="9"/>
      <c r="CI570" s="9"/>
      <c r="CJ570" s="9"/>
      <c r="CK570" s="70"/>
      <c r="CL570" s="9"/>
      <c r="CM570" s="9"/>
      <c r="CN570" s="9"/>
      <c r="CO570" s="9"/>
      <c r="CP570" s="9"/>
      <c r="CQ570" s="9"/>
      <c r="CR570" s="9"/>
      <c r="CS570" s="9"/>
      <c r="FO570" s="23"/>
      <c r="FP570" s="23"/>
      <c r="FQ570" s="23"/>
      <c r="FR570" s="23"/>
      <c r="FS570" s="23"/>
      <c r="FT570" s="23"/>
      <c r="FU570" s="23"/>
      <c r="FV570" s="23"/>
    </row>
    <row r="571" spans="2:178" ht="12" customHeight="1" x14ac:dyDescent="0.3">
      <c r="B571" s="24"/>
      <c r="C571" s="24"/>
      <c r="D571" s="24"/>
      <c r="E571" s="24"/>
      <c r="F571" s="24"/>
      <c r="G571" s="109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L571" s="7"/>
      <c r="AM571" s="7"/>
      <c r="AN571" s="7"/>
      <c r="AO571" s="7"/>
      <c r="AP571" s="7"/>
      <c r="AQ571" s="7"/>
      <c r="AR571" s="7"/>
      <c r="AS571" s="35"/>
      <c r="AT571" s="35"/>
      <c r="AU571" s="35"/>
      <c r="AV571" s="35"/>
      <c r="AW571" s="35"/>
      <c r="AX571" s="35"/>
      <c r="AY571" s="42"/>
      <c r="AZ571" s="42"/>
      <c r="BA571" s="42"/>
      <c r="BB571" s="42"/>
      <c r="BC571" s="42"/>
      <c r="BD571" s="42"/>
      <c r="BE571" s="35"/>
      <c r="CD571" s="9"/>
      <c r="CF571" s="9"/>
      <c r="CG571" s="9"/>
      <c r="CH571" s="9"/>
      <c r="CI571" s="9"/>
      <c r="CJ571" s="9"/>
      <c r="CK571" s="70"/>
      <c r="CL571" s="9"/>
      <c r="CM571" s="9"/>
      <c r="CN571" s="9"/>
      <c r="CO571" s="9"/>
      <c r="CP571" s="9"/>
      <c r="CQ571" s="9"/>
      <c r="CR571" s="9"/>
      <c r="CS571" s="9"/>
      <c r="FO571" s="23"/>
      <c r="FP571" s="23"/>
      <c r="FQ571" s="23"/>
      <c r="FR571" s="23"/>
      <c r="FS571" s="23"/>
      <c r="FT571" s="23"/>
      <c r="FU571" s="23"/>
      <c r="FV571" s="23"/>
    </row>
    <row r="572" spans="2:178" ht="12" customHeight="1" x14ac:dyDescent="0.3">
      <c r="B572" s="24"/>
      <c r="C572" s="24"/>
      <c r="D572" s="24"/>
      <c r="E572" s="24"/>
      <c r="F572" s="24"/>
      <c r="G572" s="109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L572" s="7"/>
      <c r="AM572" s="7"/>
      <c r="AN572" s="7"/>
      <c r="AO572" s="7"/>
      <c r="AP572" s="7"/>
      <c r="AQ572" s="7"/>
      <c r="AR572" s="7"/>
      <c r="AS572" s="35"/>
      <c r="AT572" s="35"/>
      <c r="AU572" s="35"/>
      <c r="AV572" s="35"/>
      <c r="AW572" s="35"/>
      <c r="AX572" s="35"/>
      <c r="AY572" s="42"/>
      <c r="AZ572" s="42"/>
      <c r="BA572" s="42"/>
      <c r="BB572" s="42"/>
      <c r="BC572" s="42"/>
      <c r="BD572" s="42"/>
      <c r="BE572" s="35"/>
      <c r="CD572" s="9"/>
      <c r="CF572" s="9"/>
      <c r="CG572" s="9"/>
      <c r="CH572" s="9"/>
      <c r="CI572" s="9"/>
      <c r="CJ572" s="9"/>
      <c r="CK572" s="70"/>
      <c r="CL572" s="9"/>
      <c r="CM572" s="9"/>
      <c r="CN572" s="9"/>
      <c r="CO572" s="9"/>
      <c r="CP572" s="9"/>
      <c r="CQ572" s="9"/>
      <c r="CR572" s="9"/>
      <c r="CS572" s="9"/>
      <c r="FO572" s="23"/>
      <c r="FP572" s="23"/>
      <c r="FQ572" s="23"/>
      <c r="FR572" s="23"/>
      <c r="FS572" s="23"/>
      <c r="FT572" s="23"/>
      <c r="FU572" s="23"/>
      <c r="FV572" s="23"/>
    </row>
    <row r="573" spans="2:178" ht="12" customHeight="1" x14ac:dyDescent="0.3">
      <c r="B573" s="24"/>
      <c r="C573" s="24"/>
      <c r="D573" s="24"/>
      <c r="E573" s="24"/>
      <c r="F573" s="24"/>
      <c r="G573" s="109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L573" s="7"/>
      <c r="AM573" s="7"/>
      <c r="AN573" s="7"/>
      <c r="AO573" s="7"/>
      <c r="AP573" s="7"/>
      <c r="AQ573" s="7"/>
      <c r="AR573" s="7"/>
      <c r="AS573" s="35"/>
      <c r="AT573" s="35"/>
      <c r="AU573" s="35"/>
      <c r="AV573" s="35"/>
      <c r="AW573" s="35"/>
      <c r="AX573" s="35"/>
      <c r="AY573" s="42"/>
      <c r="AZ573" s="42"/>
      <c r="BA573" s="42"/>
      <c r="BB573" s="42"/>
      <c r="BC573" s="42"/>
      <c r="BD573" s="42"/>
      <c r="BE573" s="35"/>
      <c r="CD573" s="9"/>
      <c r="CF573" s="9"/>
      <c r="CG573" s="9"/>
      <c r="CH573" s="9"/>
      <c r="CI573" s="9"/>
      <c r="CJ573" s="9"/>
      <c r="CK573" s="70"/>
      <c r="CL573" s="9"/>
      <c r="CM573" s="9"/>
      <c r="CN573" s="9"/>
      <c r="CO573" s="9"/>
      <c r="CP573" s="9"/>
      <c r="CQ573" s="9"/>
      <c r="CR573" s="9"/>
      <c r="CS573" s="9"/>
      <c r="FO573" s="23"/>
      <c r="FP573" s="23"/>
      <c r="FQ573" s="23"/>
      <c r="FR573" s="23"/>
      <c r="FS573" s="23"/>
      <c r="FT573" s="23"/>
      <c r="FU573" s="23"/>
      <c r="FV573" s="23"/>
    </row>
    <row r="574" spans="2:178" ht="12" customHeight="1" x14ac:dyDescent="0.3">
      <c r="B574" s="24"/>
      <c r="C574" s="24"/>
      <c r="D574" s="24"/>
      <c r="E574" s="24"/>
      <c r="F574" s="24"/>
      <c r="G574" s="109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L574" s="7"/>
      <c r="AM574" s="7"/>
      <c r="AN574" s="7"/>
      <c r="AO574" s="7"/>
      <c r="AP574" s="7"/>
      <c r="AQ574" s="7"/>
      <c r="AR574" s="7"/>
      <c r="AS574" s="35"/>
      <c r="AT574" s="35"/>
      <c r="AU574" s="35"/>
      <c r="AV574" s="35"/>
      <c r="AW574" s="35"/>
      <c r="AX574" s="35"/>
      <c r="AY574" s="42"/>
      <c r="AZ574" s="42"/>
      <c r="BA574" s="42"/>
      <c r="BB574" s="42"/>
      <c r="BC574" s="42"/>
      <c r="BD574" s="42"/>
      <c r="BE574" s="35"/>
      <c r="CD574" s="9"/>
      <c r="CF574" s="9"/>
      <c r="CG574" s="9"/>
      <c r="CH574" s="9"/>
      <c r="CI574" s="9"/>
      <c r="CJ574" s="9"/>
      <c r="CK574" s="70"/>
      <c r="CL574" s="9"/>
      <c r="CM574" s="9"/>
      <c r="CN574" s="9"/>
      <c r="CO574" s="9"/>
      <c r="CP574" s="9"/>
      <c r="CQ574" s="9"/>
      <c r="CR574" s="9"/>
      <c r="CS574" s="9"/>
      <c r="FO574" s="23"/>
      <c r="FP574" s="23"/>
      <c r="FQ574" s="23"/>
      <c r="FR574" s="23"/>
      <c r="FS574" s="23"/>
      <c r="FT574" s="23"/>
      <c r="FU574" s="23"/>
      <c r="FV574" s="23"/>
    </row>
    <row r="575" spans="2:178" ht="12" customHeight="1" x14ac:dyDescent="0.3">
      <c r="B575" s="24"/>
      <c r="C575" s="24"/>
      <c r="D575" s="24"/>
      <c r="E575" s="24"/>
      <c r="F575" s="24"/>
      <c r="G575" s="109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L575" s="7"/>
      <c r="AM575" s="7"/>
      <c r="AN575" s="7"/>
      <c r="AO575" s="7"/>
      <c r="AP575" s="7"/>
      <c r="AQ575" s="7"/>
      <c r="AR575" s="7"/>
      <c r="AS575" s="35"/>
      <c r="AT575" s="35"/>
      <c r="AU575" s="35"/>
      <c r="AV575" s="35"/>
      <c r="AW575" s="35"/>
      <c r="AX575" s="35"/>
      <c r="AY575" s="42"/>
      <c r="AZ575" s="42"/>
      <c r="BA575" s="42"/>
      <c r="BB575" s="42"/>
      <c r="BC575" s="42"/>
      <c r="BD575" s="42"/>
      <c r="BE575" s="35"/>
      <c r="CD575" s="9"/>
      <c r="CF575" s="9"/>
      <c r="CG575" s="9"/>
      <c r="CH575" s="9"/>
      <c r="CI575" s="9"/>
      <c r="CJ575" s="9"/>
      <c r="CK575" s="70"/>
      <c r="CL575" s="9"/>
      <c r="CM575" s="9"/>
      <c r="CN575" s="9"/>
      <c r="CO575" s="9"/>
      <c r="CP575" s="9"/>
      <c r="CQ575" s="9"/>
      <c r="CR575" s="9"/>
      <c r="CS575" s="9"/>
      <c r="FO575" s="23"/>
      <c r="FP575" s="23"/>
      <c r="FQ575" s="23"/>
      <c r="FR575" s="23"/>
      <c r="FS575" s="23"/>
      <c r="FT575" s="23"/>
      <c r="FU575" s="23"/>
      <c r="FV575" s="23"/>
    </row>
    <row r="576" spans="2:178" ht="12" customHeight="1" x14ac:dyDescent="0.3">
      <c r="B576" s="24"/>
      <c r="C576" s="24"/>
      <c r="D576" s="24"/>
      <c r="E576" s="24"/>
      <c r="F576" s="24"/>
      <c r="G576" s="109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L576" s="7"/>
      <c r="AM576" s="7"/>
      <c r="AN576" s="7"/>
      <c r="AO576" s="7"/>
      <c r="AP576" s="7"/>
      <c r="AQ576" s="7"/>
      <c r="AR576" s="7"/>
      <c r="AS576" s="35"/>
      <c r="AT576" s="35"/>
      <c r="AU576" s="35"/>
      <c r="AV576" s="35"/>
      <c r="AW576" s="35"/>
      <c r="AX576" s="35"/>
      <c r="AY576" s="42"/>
      <c r="AZ576" s="42"/>
      <c r="BA576" s="42"/>
      <c r="BB576" s="42"/>
      <c r="BC576" s="42"/>
      <c r="BD576" s="42"/>
      <c r="BE576" s="35"/>
      <c r="CD576" s="9"/>
      <c r="CF576" s="9"/>
      <c r="CG576" s="9"/>
      <c r="CH576" s="9"/>
      <c r="CI576" s="9"/>
      <c r="CJ576" s="9"/>
      <c r="CK576" s="70"/>
      <c r="CL576" s="9"/>
      <c r="CM576" s="9"/>
      <c r="CN576" s="9"/>
      <c r="CO576" s="9"/>
      <c r="CP576" s="9"/>
      <c r="CQ576" s="9"/>
      <c r="CR576" s="9"/>
      <c r="CS576" s="9"/>
      <c r="FO576" s="23"/>
      <c r="FP576" s="23"/>
      <c r="FQ576" s="23"/>
      <c r="FR576" s="23"/>
      <c r="FS576" s="23"/>
      <c r="FT576" s="23"/>
      <c r="FU576" s="23"/>
      <c r="FV576" s="23"/>
    </row>
    <row r="577" spans="2:178" ht="12" customHeight="1" x14ac:dyDescent="0.3">
      <c r="B577" s="24"/>
      <c r="C577" s="24"/>
      <c r="D577" s="24"/>
      <c r="E577" s="24"/>
      <c r="F577" s="24"/>
      <c r="G577" s="109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L577" s="7"/>
      <c r="AM577" s="7"/>
      <c r="AN577" s="7"/>
      <c r="AO577" s="7"/>
      <c r="AP577" s="7"/>
      <c r="AQ577" s="7"/>
      <c r="AR577" s="7"/>
      <c r="AS577" s="35"/>
      <c r="AT577" s="35"/>
      <c r="AU577" s="35"/>
      <c r="AV577" s="35"/>
      <c r="AW577" s="35"/>
      <c r="AX577" s="35"/>
      <c r="AY577" s="42"/>
      <c r="AZ577" s="42"/>
      <c r="BA577" s="42"/>
      <c r="BB577" s="42"/>
      <c r="BC577" s="42"/>
      <c r="BD577" s="42"/>
      <c r="BE577" s="35"/>
      <c r="CD577" s="9"/>
      <c r="CF577" s="9"/>
      <c r="CG577" s="9"/>
      <c r="CH577" s="9"/>
      <c r="CI577" s="9"/>
      <c r="CJ577" s="9"/>
      <c r="CK577" s="70"/>
      <c r="CL577" s="9"/>
      <c r="CM577" s="9"/>
      <c r="CN577" s="9"/>
      <c r="CO577" s="9"/>
      <c r="CP577" s="9"/>
      <c r="CQ577" s="9"/>
      <c r="CR577" s="9"/>
      <c r="CS577" s="9"/>
      <c r="FO577" s="23"/>
      <c r="FP577" s="23"/>
      <c r="FQ577" s="23"/>
      <c r="FR577" s="23"/>
      <c r="FS577" s="23"/>
      <c r="FT577" s="23"/>
      <c r="FU577" s="23"/>
      <c r="FV577" s="23"/>
    </row>
    <row r="578" spans="2:178" ht="12" customHeight="1" x14ac:dyDescent="0.3">
      <c r="B578" s="24"/>
      <c r="C578" s="24"/>
      <c r="D578" s="24"/>
      <c r="E578" s="24"/>
      <c r="F578" s="24"/>
      <c r="G578" s="109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L578" s="7"/>
      <c r="AM578" s="7"/>
      <c r="AN578" s="7"/>
      <c r="AO578" s="7"/>
      <c r="AP578" s="7"/>
      <c r="AQ578" s="7"/>
      <c r="AR578" s="7"/>
      <c r="AS578" s="35"/>
      <c r="AT578" s="35"/>
      <c r="AU578" s="35"/>
      <c r="AV578" s="35"/>
      <c r="AW578" s="35"/>
      <c r="AX578" s="35"/>
      <c r="AY578" s="42"/>
      <c r="AZ578" s="42"/>
      <c r="BA578" s="42"/>
      <c r="BB578" s="42"/>
      <c r="BC578" s="42"/>
      <c r="BD578" s="42"/>
      <c r="BE578" s="35"/>
      <c r="CD578" s="9"/>
      <c r="CF578" s="9"/>
      <c r="CG578" s="9"/>
      <c r="CH578" s="9"/>
      <c r="CI578" s="9"/>
      <c r="CJ578" s="9"/>
      <c r="CK578" s="70"/>
      <c r="CL578" s="9"/>
      <c r="CM578" s="9"/>
      <c r="CN578" s="9"/>
      <c r="CO578" s="9"/>
      <c r="CP578" s="9"/>
      <c r="CQ578" s="9"/>
      <c r="CR578" s="9"/>
      <c r="CS578" s="9"/>
      <c r="FO578" s="23"/>
      <c r="FP578" s="23"/>
      <c r="FQ578" s="23"/>
      <c r="FR578" s="23"/>
      <c r="FS578" s="23"/>
      <c r="FT578" s="23"/>
      <c r="FU578" s="23"/>
      <c r="FV578" s="23"/>
    </row>
    <row r="579" spans="2:178" ht="12" customHeight="1" x14ac:dyDescent="0.3">
      <c r="B579" s="24"/>
      <c r="C579" s="24"/>
      <c r="D579" s="24"/>
      <c r="E579" s="24"/>
      <c r="F579" s="24"/>
      <c r="G579" s="109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L579" s="7"/>
      <c r="AM579" s="7"/>
      <c r="AN579" s="7"/>
      <c r="AO579" s="7"/>
      <c r="AP579" s="7"/>
      <c r="AQ579" s="7"/>
      <c r="AR579" s="7"/>
      <c r="AS579" s="35"/>
      <c r="AT579" s="35"/>
      <c r="AU579" s="35"/>
      <c r="AV579" s="35"/>
      <c r="AW579" s="35"/>
      <c r="AX579" s="35"/>
      <c r="AY579" s="42"/>
      <c r="AZ579" s="42"/>
      <c r="BA579" s="42"/>
      <c r="BB579" s="42"/>
      <c r="BC579" s="42"/>
      <c r="BD579" s="42"/>
      <c r="BE579" s="35"/>
      <c r="CD579" s="9"/>
      <c r="CF579" s="9"/>
      <c r="CG579" s="9"/>
      <c r="CH579" s="9"/>
      <c r="CI579" s="9"/>
      <c r="CJ579" s="9"/>
      <c r="CK579" s="70"/>
      <c r="CL579" s="9"/>
      <c r="CM579" s="9"/>
      <c r="CN579" s="9"/>
      <c r="CO579" s="9"/>
      <c r="CP579" s="9"/>
      <c r="CQ579" s="9"/>
      <c r="CR579" s="9"/>
      <c r="CS579" s="9"/>
      <c r="FO579" s="23"/>
      <c r="FP579" s="23"/>
      <c r="FQ579" s="23"/>
      <c r="FR579" s="23"/>
      <c r="FS579" s="23"/>
      <c r="FT579" s="23"/>
      <c r="FU579" s="23"/>
      <c r="FV579" s="23"/>
    </row>
    <row r="580" spans="2:178" ht="12" customHeight="1" x14ac:dyDescent="0.3">
      <c r="B580" s="24"/>
      <c r="C580" s="24"/>
      <c r="D580" s="24"/>
      <c r="E580" s="24"/>
      <c r="F580" s="24"/>
      <c r="G580" s="109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L580" s="7"/>
      <c r="AM580" s="7"/>
      <c r="AN580" s="7"/>
      <c r="AO580" s="7"/>
      <c r="AP580" s="7"/>
      <c r="AQ580" s="7"/>
      <c r="AR580" s="7"/>
      <c r="AS580" s="35"/>
      <c r="AT580" s="35"/>
      <c r="AU580" s="35"/>
      <c r="AV580" s="35"/>
      <c r="AW580" s="35"/>
      <c r="AX580" s="35"/>
      <c r="AY580" s="42"/>
      <c r="AZ580" s="42"/>
      <c r="BA580" s="42"/>
      <c r="BB580" s="42"/>
      <c r="BC580" s="42"/>
      <c r="BD580" s="42"/>
      <c r="BE580" s="35"/>
      <c r="CD580" s="9"/>
      <c r="CF580" s="9"/>
      <c r="CG580" s="9"/>
      <c r="CH580" s="9"/>
      <c r="CI580" s="9"/>
      <c r="CJ580" s="9"/>
      <c r="CK580" s="70"/>
      <c r="CL580" s="9"/>
      <c r="CM580" s="9"/>
      <c r="CN580" s="9"/>
      <c r="CO580" s="9"/>
      <c r="CP580" s="9"/>
      <c r="CQ580" s="9"/>
      <c r="CR580" s="9"/>
      <c r="CS580" s="9"/>
      <c r="FO580" s="23"/>
      <c r="FP580" s="23"/>
      <c r="FQ580" s="23"/>
      <c r="FR580" s="23"/>
      <c r="FS580" s="23"/>
      <c r="FT580" s="23"/>
      <c r="FU580" s="23"/>
      <c r="FV580" s="23"/>
    </row>
    <row r="581" spans="2:178" ht="12" customHeight="1" x14ac:dyDescent="0.3">
      <c r="B581" s="24"/>
      <c r="C581" s="24"/>
      <c r="D581" s="24"/>
      <c r="E581" s="24"/>
      <c r="F581" s="24"/>
      <c r="G581" s="109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L581" s="7"/>
      <c r="AM581" s="7"/>
      <c r="AN581" s="7"/>
      <c r="AO581" s="7"/>
      <c r="AP581" s="7"/>
      <c r="AQ581" s="7"/>
      <c r="AR581" s="7"/>
      <c r="AS581" s="35"/>
      <c r="AT581" s="35"/>
      <c r="AU581" s="35"/>
      <c r="AV581" s="35"/>
      <c r="AW581" s="35"/>
      <c r="AX581" s="35"/>
      <c r="AY581" s="42"/>
      <c r="AZ581" s="42"/>
      <c r="BA581" s="42"/>
      <c r="BB581" s="42"/>
      <c r="BC581" s="42"/>
      <c r="BD581" s="42"/>
      <c r="BE581" s="35"/>
      <c r="CD581" s="9"/>
      <c r="CF581" s="9"/>
      <c r="CG581" s="9"/>
      <c r="CH581" s="9"/>
      <c r="CI581" s="9"/>
      <c r="CJ581" s="9"/>
      <c r="CK581" s="70"/>
      <c r="CL581" s="9"/>
      <c r="CM581" s="9"/>
      <c r="CN581" s="9"/>
      <c r="CO581" s="9"/>
      <c r="CP581" s="9"/>
      <c r="CQ581" s="9"/>
      <c r="CR581" s="9"/>
      <c r="CS581" s="9"/>
      <c r="FO581" s="23"/>
      <c r="FP581" s="23"/>
      <c r="FQ581" s="23"/>
      <c r="FR581" s="23"/>
      <c r="FS581" s="23"/>
      <c r="FT581" s="23"/>
      <c r="FU581" s="23"/>
      <c r="FV581" s="23"/>
    </row>
    <row r="582" spans="2:178" ht="12" customHeight="1" x14ac:dyDescent="0.3">
      <c r="B582" s="24"/>
      <c r="C582" s="24"/>
      <c r="D582" s="24"/>
      <c r="E582" s="24"/>
      <c r="F582" s="24"/>
      <c r="G582" s="109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L582" s="7"/>
      <c r="AM582" s="7"/>
      <c r="AN582" s="7"/>
      <c r="AO582" s="7"/>
      <c r="AP582" s="7"/>
      <c r="AQ582" s="7"/>
      <c r="AR582" s="7"/>
      <c r="AS582" s="35"/>
      <c r="AT582" s="35"/>
      <c r="AU582" s="35"/>
      <c r="AV582" s="35"/>
      <c r="AW582" s="35"/>
      <c r="AX582" s="35"/>
      <c r="AY582" s="42"/>
      <c r="AZ582" s="42"/>
      <c r="BA582" s="42"/>
      <c r="BB582" s="42"/>
      <c r="BC582" s="42"/>
      <c r="BD582" s="42"/>
      <c r="BE582" s="35"/>
      <c r="CD582" s="9"/>
      <c r="CF582" s="9"/>
      <c r="CG582" s="9"/>
      <c r="CH582" s="9"/>
      <c r="CI582" s="9"/>
      <c r="CJ582" s="9"/>
      <c r="CK582" s="70"/>
      <c r="CL582" s="9"/>
      <c r="CM582" s="9"/>
      <c r="CN582" s="9"/>
      <c r="CO582" s="9"/>
      <c r="CP582" s="9"/>
      <c r="CQ582" s="9"/>
      <c r="CR582" s="9"/>
      <c r="CS582" s="9"/>
      <c r="FO582" s="23"/>
      <c r="FP582" s="23"/>
      <c r="FQ582" s="23"/>
      <c r="FR582" s="23"/>
      <c r="FS582" s="23"/>
      <c r="FT582" s="23"/>
      <c r="FU582" s="23"/>
      <c r="FV582" s="23"/>
    </row>
    <row r="583" spans="2:178" ht="12" customHeight="1" x14ac:dyDescent="0.3">
      <c r="B583" s="24"/>
      <c r="C583" s="24"/>
      <c r="D583" s="24"/>
      <c r="E583" s="24"/>
      <c r="F583" s="24"/>
      <c r="G583" s="109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L583" s="7"/>
      <c r="AM583" s="7"/>
      <c r="AN583" s="7"/>
      <c r="AO583" s="7"/>
      <c r="AP583" s="7"/>
      <c r="AQ583" s="7"/>
      <c r="AR583" s="7"/>
      <c r="AS583" s="35"/>
      <c r="AT583" s="35"/>
      <c r="AU583" s="35"/>
      <c r="AV583" s="35"/>
      <c r="AW583" s="35"/>
      <c r="AX583" s="35"/>
      <c r="AY583" s="42"/>
      <c r="AZ583" s="42"/>
      <c r="BA583" s="42"/>
      <c r="BB583" s="42"/>
      <c r="BC583" s="42"/>
      <c r="BD583" s="42"/>
      <c r="BE583" s="35"/>
      <c r="CD583" s="9"/>
      <c r="CF583" s="9"/>
      <c r="CG583" s="9"/>
      <c r="CH583" s="9"/>
      <c r="CI583" s="9"/>
      <c r="CJ583" s="9"/>
      <c r="CK583" s="70"/>
      <c r="CL583" s="9"/>
      <c r="CM583" s="9"/>
      <c r="CN583" s="9"/>
      <c r="CO583" s="9"/>
      <c r="CP583" s="9"/>
      <c r="CQ583" s="9"/>
      <c r="CR583" s="9"/>
      <c r="CS583" s="9"/>
      <c r="FO583" s="23"/>
      <c r="FP583" s="23"/>
      <c r="FQ583" s="23"/>
      <c r="FR583" s="23"/>
      <c r="FS583" s="23"/>
      <c r="FT583" s="23"/>
      <c r="FU583" s="23"/>
      <c r="FV583" s="23"/>
    </row>
    <row r="584" spans="2:178" ht="12" customHeight="1" x14ac:dyDescent="0.3">
      <c r="B584" s="24"/>
      <c r="C584" s="24"/>
      <c r="D584" s="24"/>
      <c r="E584" s="24"/>
      <c r="F584" s="24"/>
      <c r="G584" s="109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L584" s="7"/>
      <c r="AM584" s="7"/>
      <c r="AN584" s="7"/>
      <c r="AO584" s="7"/>
      <c r="AP584" s="7"/>
      <c r="AQ584" s="7"/>
      <c r="AR584" s="7"/>
      <c r="AS584" s="35"/>
      <c r="AT584" s="35"/>
      <c r="AU584" s="35"/>
      <c r="AV584" s="35"/>
      <c r="AW584" s="35"/>
      <c r="AX584" s="35"/>
      <c r="AY584" s="42"/>
      <c r="AZ584" s="42"/>
      <c r="BA584" s="42"/>
      <c r="BB584" s="42"/>
      <c r="BC584" s="42"/>
      <c r="BD584" s="42"/>
      <c r="BE584" s="35"/>
      <c r="CD584" s="9"/>
      <c r="CF584" s="9"/>
      <c r="CG584" s="9"/>
      <c r="CH584" s="9"/>
      <c r="CI584" s="9"/>
      <c r="CJ584" s="9"/>
      <c r="CK584" s="70"/>
      <c r="CL584" s="9"/>
      <c r="CM584" s="9"/>
      <c r="CN584" s="9"/>
      <c r="CO584" s="9"/>
      <c r="CP584" s="9"/>
      <c r="CQ584" s="9"/>
      <c r="CR584" s="9"/>
      <c r="CS584" s="9"/>
      <c r="FO584" s="23"/>
      <c r="FP584" s="23"/>
      <c r="FQ584" s="23"/>
      <c r="FR584" s="23"/>
      <c r="FS584" s="23"/>
      <c r="FT584" s="23"/>
      <c r="FU584" s="23"/>
      <c r="FV584" s="23"/>
    </row>
    <row r="585" spans="2:178" ht="12" customHeight="1" x14ac:dyDescent="0.3">
      <c r="B585" s="24"/>
      <c r="C585" s="24"/>
      <c r="D585" s="24"/>
      <c r="E585" s="24"/>
      <c r="F585" s="24"/>
      <c r="G585" s="109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L585" s="7"/>
      <c r="AM585" s="7"/>
      <c r="AN585" s="7"/>
      <c r="AO585" s="7"/>
      <c r="AP585" s="7"/>
      <c r="AQ585" s="7"/>
      <c r="AR585" s="7"/>
      <c r="AS585" s="35"/>
      <c r="AT585" s="35"/>
      <c r="AU585" s="35"/>
      <c r="AV585" s="35"/>
      <c r="AW585" s="35"/>
      <c r="AX585" s="35"/>
      <c r="AY585" s="42"/>
      <c r="AZ585" s="42"/>
      <c r="BA585" s="42"/>
      <c r="BB585" s="42"/>
      <c r="BC585" s="42"/>
      <c r="BD585" s="42"/>
      <c r="BE585" s="35"/>
      <c r="CD585" s="9"/>
      <c r="CF585" s="9"/>
      <c r="CG585" s="9"/>
      <c r="CH585" s="9"/>
      <c r="CI585" s="9"/>
      <c r="CJ585" s="9"/>
      <c r="CK585" s="70"/>
      <c r="CL585" s="9"/>
      <c r="CM585" s="9"/>
      <c r="CN585" s="9"/>
      <c r="CO585" s="9"/>
      <c r="CP585" s="9"/>
      <c r="CQ585" s="9"/>
      <c r="CR585" s="9"/>
      <c r="CS585" s="9"/>
      <c r="FO585" s="23"/>
      <c r="FP585" s="23"/>
      <c r="FQ585" s="23"/>
      <c r="FR585" s="23"/>
      <c r="FS585" s="23"/>
      <c r="FT585" s="23"/>
      <c r="FU585" s="23"/>
      <c r="FV585" s="23"/>
    </row>
    <row r="586" spans="2:178" ht="12" customHeight="1" x14ac:dyDescent="0.3">
      <c r="B586" s="24"/>
      <c r="C586" s="24"/>
      <c r="D586" s="24"/>
      <c r="E586" s="24"/>
      <c r="F586" s="24"/>
      <c r="G586" s="109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L586" s="7"/>
      <c r="AM586" s="7"/>
      <c r="AN586" s="7"/>
      <c r="AO586" s="7"/>
      <c r="AP586" s="7"/>
      <c r="AQ586" s="7"/>
      <c r="AR586" s="7"/>
      <c r="AS586" s="35"/>
      <c r="AT586" s="35"/>
      <c r="AU586" s="35"/>
      <c r="AV586" s="35"/>
      <c r="AW586" s="35"/>
      <c r="AX586" s="35"/>
      <c r="AY586" s="42"/>
      <c r="AZ586" s="42"/>
      <c r="BA586" s="42"/>
      <c r="BB586" s="42"/>
      <c r="BC586" s="42"/>
      <c r="BD586" s="42"/>
      <c r="BE586" s="35"/>
      <c r="CD586" s="9"/>
      <c r="CF586" s="9"/>
      <c r="CG586" s="9"/>
      <c r="CH586" s="9"/>
      <c r="CI586" s="9"/>
      <c r="CJ586" s="9"/>
      <c r="CK586" s="70"/>
      <c r="CL586" s="9"/>
      <c r="CM586" s="9"/>
      <c r="CN586" s="9"/>
      <c r="CO586" s="9"/>
      <c r="CP586" s="9"/>
      <c r="CQ586" s="9"/>
      <c r="CR586" s="9"/>
      <c r="CS586" s="9"/>
      <c r="FO586" s="23"/>
      <c r="FP586" s="23"/>
      <c r="FQ586" s="23"/>
      <c r="FR586" s="23"/>
      <c r="FS586" s="23"/>
      <c r="FT586" s="23"/>
      <c r="FU586" s="23"/>
      <c r="FV586" s="23"/>
    </row>
    <row r="587" spans="2:178" ht="12" customHeight="1" x14ac:dyDescent="0.3">
      <c r="B587" s="24"/>
      <c r="C587" s="24"/>
      <c r="D587" s="24"/>
      <c r="E587" s="24"/>
      <c r="F587" s="24"/>
      <c r="G587" s="109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L587" s="7"/>
      <c r="AM587" s="7"/>
      <c r="AN587" s="7"/>
      <c r="AO587" s="7"/>
      <c r="AP587" s="7"/>
      <c r="AQ587" s="7"/>
      <c r="AR587" s="7"/>
      <c r="AS587" s="35"/>
      <c r="AT587" s="35"/>
      <c r="AU587" s="35"/>
      <c r="AV587" s="35"/>
      <c r="AW587" s="35"/>
      <c r="AX587" s="35"/>
      <c r="AY587" s="42"/>
      <c r="AZ587" s="42"/>
      <c r="BA587" s="42"/>
      <c r="BB587" s="42"/>
      <c r="BC587" s="42"/>
      <c r="BD587" s="42"/>
      <c r="BE587" s="35"/>
      <c r="CD587" s="9"/>
      <c r="CF587" s="9"/>
      <c r="CG587" s="9"/>
      <c r="CH587" s="9"/>
      <c r="CI587" s="9"/>
      <c r="CJ587" s="9"/>
      <c r="CK587" s="70"/>
      <c r="CL587" s="9"/>
      <c r="CM587" s="9"/>
      <c r="CN587" s="9"/>
      <c r="CO587" s="9"/>
      <c r="CP587" s="9"/>
      <c r="CQ587" s="9"/>
      <c r="CR587" s="9"/>
      <c r="CS587" s="9"/>
      <c r="FO587" s="23"/>
      <c r="FP587" s="23"/>
      <c r="FQ587" s="23"/>
      <c r="FR587" s="23"/>
      <c r="FS587" s="23"/>
      <c r="FT587" s="23"/>
      <c r="FU587" s="23"/>
      <c r="FV587" s="23"/>
    </row>
    <row r="588" spans="2:178" ht="12" customHeight="1" x14ac:dyDescent="0.3">
      <c r="B588" s="24"/>
      <c r="C588" s="24"/>
      <c r="D588" s="24"/>
      <c r="E588" s="24"/>
      <c r="F588" s="24"/>
      <c r="G588" s="109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L588" s="7"/>
      <c r="AM588" s="7"/>
      <c r="AN588" s="7"/>
      <c r="AO588" s="7"/>
      <c r="AP588" s="7"/>
      <c r="AQ588" s="7"/>
      <c r="AR588" s="7"/>
      <c r="AS588" s="35"/>
      <c r="AT588" s="35"/>
      <c r="AU588" s="35"/>
      <c r="AV588" s="35"/>
      <c r="AW588" s="35"/>
      <c r="AX588" s="35"/>
      <c r="AY588" s="42"/>
      <c r="AZ588" s="42"/>
      <c r="BA588" s="42"/>
      <c r="BB588" s="42"/>
      <c r="BC588" s="42"/>
      <c r="BD588" s="42"/>
      <c r="BE588" s="35"/>
      <c r="CD588" s="9"/>
      <c r="CF588" s="9"/>
      <c r="CG588" s="9"/>
      <c r="CH588" s="9"/>
      <c r="CI588" s="9"/>
      <c r="CJ588" s="9"/>
      <c r="CK588" s="70"/>
      <c r="CL588" s="9"/>
      <c r="CM588" s="9"/>
      <c r="CN588" s="9"/>
      <c r="CO588" s="9"/>
      <c r="CP588" s="9"/>
      <c r="CQ588" s="9"/>
      <c r="CR588" s="9"/>
      <c r="CS588" s="9"/>
      <c r="FO588" s="23"/>
      <c r="FP588" s="23"/>
      <c r="FQ588" s="23"/>
      <c r="FR588" s="23"/>
      <c r="FS588" s="23"/>
      <c r="FT588" s="23"/>
      <c r="FU588" s="23"/>
      <c r="FV588" s="23"/>
    </row>
    <row r="589" spans="2:178" ht="12" customHeight="1" x14ac:dyDescent="0.3">
      <c r="B589" s="24"/>
      <c r="C589" s="24"/>
      <c r="D589" s="24"/>
      <c r="E589" s="24"/>
      <c r="F589" s="24"/>
      <c r="G589" s="109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L589" s="7"/>
      <c r="AM589" s="7"/>
      <c r="AN589" s="7"/>
      <c r="AO589" s="7"/>
      <c r="AP589" s="7"/>
      <c r="AQ589" s="7"/>
      <c r="AR589" s="7"/>
      <c r="AS589" s="35"/>
      <c r="AT589" s="35"/>
      <c r="AU589" s="35"/>
      <c r="AV589" s="35"/>
      <c r="AW589" s="35"/>
      <c r="AX589" s="35"/>
      <c r="AY589" s="42"/>
      <c r="AZ589" s="42"/>
      <c r="BA589" s="42"/>
      <c r="BB589" s="42"/>
      <c r="BC589" s="42"/>
      <c r="BD589" s="42"/>
      <c r="BE589" s="35"/>
      <c r="CD589" s="9"/>
      <c r="CF589" s="9"/>
      <c r="CG589" s="9"/>
      <c r="CH589" s="9"/>
      <c r="CI589" s="9"/>
      <c r="CJ589" s="9"/>
      <c r="CK589" s="70"/>
      <c r="CL589" s="9"/>
      <c r="CM589" s="9"/>
      <c r="CN589" s="9"/>
      <c r="CO589" s="9"/>
      <c r="CP589" s="9"/>
      <c r="CQ589" s="9"/>
      <c r="CR589" s="9"/>
      <c r="CS589" s="9"/>
      <c r="FO589" s="23"/>
      <c r="FP589" s="23"/>
      <c r="FQ589" s="23"/>
      <c r="FR589" s="23"/>
      <c r="FS589" s="23"/>
      <c r="FT589" s="23"/>
      <c r="FU589" s="23"/>
      <c r="FV589" s="23"/>
    </row>
    <row r="590" spans="2:178" ht="12" customHeight="1" x14ac:dyDescent="0.3">
      <c r="B590" s="24"/>
      <c r="C590" s="24"/>
      <c r="D590" s="24"/>
      <c r="E590" s="24"/>
      <c r="F590" s="24"/>
      <c r="G590" s="109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L590" s="7"/>
      <c r="AM590" s="7"/>
      <c r="AN590" s="7"/>
      <c r="AO590" s="7"/>
      <c r="AP590" s="7"/>
      <c r="AQ590" s="7"/>
      <c r="AR590" s="7"/>
      <c r="AS590" s="35"/>
      <c r="AT590" s="35"/>
      <c r="AU590" s="35"/>
      <c r="AV590" s="35"/>
      <c r="AW590" s="35"/>
      <c r="AX590" s="35"/>
      <c r="AY590" s="42"/>
      <c r="AZ590" s="42"/>
      <c r="BA590" s="42"/>
      <c r="BB590" s="42"/>
      <c r="BC590" s="42"/>
      <c r="BD590" s="42"/>
      <c r="BE590" s="35"/>
      <c r="CD590" s="9"/>
      <c r="CF590" s="9"/>
      <c r="CG590" s="9"/>
      <c r="CH590" s="9"/>
      <c r="CI590" s="9"/>
      <c r="CJ590" s="9"/>
      <c r="CK590" s="70"/>
      <c r="CL590" s="9"/>
      <c r="CM590" s="9"/>
      <c r="CN590" s="9"/>
      <c r="CO590" s="9"/>
      <c r="CP590" s="9"/>
      <c r="CQ590" s="9"/>
      <c r="CR590" s="9"/>
      <c r="CS590" s="9"/>
      <c r="FO590" s="23"/>
      <c r="FP590" s="23"/>
      <c r="FQ590" s="23"/>
      <c r="FR590" s="23"/>
      <c r="FS590" s="23"/>
      <c r="FT590" s="23"/>
      <c r="FU590" s="23"/>
      <c r="FV590" s="23"/>
    </row>
    <row r="591" spans="2:178" ht="12" customHeight="1" x14ac:dyDescent="0.3">
      <c r="B591" s="24"/>
      <c r="C591" s="24"/>
      <c r="D591" s="24"/>
      <c r="E591" s="24"/>
      <c r="F591" s="24"/>
      <c r="G591" s="109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L591" s="7"/>
      <c r="AM591" s="7"/>
      <c r="AN591" s="7"/>
      <c r="AO591" s="7"/>
      <c r="AP591" s="7"/>
      <c r="AQ591" s="7"/>
      <c r="AR591" s="7"/>
      <c r="AS591" s="35"/>
      <c r="AT591" s="35"/>
      <c r="AU591" s="35"/>
      <c r="AV591" s="35"/>
      <c r="AW591" s="35"/>
      <c r="AX591" s="35"/>
      <c r="AY591" s="42"/>
      <c r="AZ591" s="42"/>
      <c r="BA591" s="42"/>
      <c r="BB591" s="42"/>
      <c r="BC591" s="42"/>
      <c r="BD591" s="42"/>
      <c r="BE591" s="35"/>
      <c r="CD591" s="9"/>
      <c r="CF591" s="9"/>
      <c r="CG591" s="9"/>
      <c r="CH591" s="9"/>
      <c r="CI591" s="9"/>
      <c r="CJ591" s="9"/>
      <c r="CK591" s="70"/>
      <c r="CL591" s="9"/>
      <c r="CM591" s="9"/>
      <c r="CN591" s="9"/>
      <c r="CO591" s="9"/>
      <c r="CP591" s="9"/>
      <c r="CQ591" s="9"/>
      <c r="CR591" s="9"/>
      <c r="CS591" s="9"/>
      <c r="FO591" s="23"/>
      <c r="FP591" s="23"/>
      <c r="FQ591" s="23"/>
      <c r="FR591" s="23"/>
      <c r="FS591" s="23"/>
      <c r="FT591" s="23"/>
      <c r="FU591" s="23"/>
      <c r="FV591" s="23"/>
    </row>
    <row r="592" spans="2:178" ht="12" customHeight="1" x14ac:dyDescent="0.3">
      <c r="B592" s="24"/>
      <c r="C592" s="24"/>
      <c r="D592" s="24"/>
      <c r="E592" s="24"/>
      <c r="F592" s="24"/>
      <c r="G592" s="109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L592" s="7"/>
      <c r="AM592" s="7"/>
      <c r="AN592" s="7"/>
      <c r="AO592" s="7"/>
      <c r="AP592" s="7"/>
      <c r="AQ592" s="7"/>
      <c r="AR592" s="7"/>
      <c r="AS592" s="35"/>
      <c r="AT592" s="35"/>
      <c r="AU592" s="35"/>
      <c r="AV592" s="35"/>
      <c r="AW592" s="35"/>
      <c r="AX592" s="35"/>
      <c r="AY592" s="42"/>
      <c r="AZ592" s="42"/>
      <c r="BA592" s="42"/>
      <c r="BB592" s="42"/>
      <c r="BC592" s="42"/>
      <c r="BD592" s="42"/>
      <c r="BE592" s="35"/>
      <c r="CD592" s="9"/>
      <c r="CF592" s="9"/>
      <c r="CG592" s="9"/>
      <c r="CH592" s="9"/>
      <c r="CI592" s="9"/>
      <c r="CJ592" s="9"/>
      <c r="CK592" s="70"/>
      <c r="CL592" s="9"/>
      <c r="CM592" s="9"/>
      <c r="CN592" s="9"/>
      <c r="CO592" s="9"/>
      <c r="CP592" s="9"/>
      <c r="CQ592" s="9"/>
      <c r="CR592" s="9"/>
      <c r="CS592" s="9"/>
      <c r="FO592" s="23"/>
      <c r="FP592" s="23"/>
      <c r="FQ592" s="23"/>
      <c r="FR592" s="23"/>
      <c r="FS592" s="23"/>
      <c r="FT592" s="23"/>
      <c r="FU592" s="23"/>
      <c r="FV592" s="23"/>
    </row>
    <row r="593" spans="2:178" ht="12" customHeight="1" x14ac:dyDescent="0.3">
      <c r="B593" s="24"/>
      <c r="C593" s="24"/>
      <c r="D593" s="24"/>
      <c r="E593" s="24"/>
      <c r="F593" s="24"/>
      <c r="G593" s="109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L593" s="7"/>
      <c r="AM593" s="7"/>
      <c r="AN593" s="7"/>
      <c r="AO593" s="7"/>
      <c r="AP593" s="7"/>
      <c r="AQ593" s="7"/>
      <c r="AR593" s="7"/>
      <c r="AS593" s="35"/>
      <c r="AT593" s="35"/>
      <c r="AU593" s="35"/>
      <c r="AV593" s="35"/>
      <c r="AW593" s="35"/>
      <c r="AX593" s="35"/>
      <c r="AY593" s="42"/>
      <c r="AZ593" s="42"/>
      <c r="BA593" s="42"/>
      <c r="BB593" s="42"/>
      <c r="BC593" s="42"/>
      <c r="BD593" s="42"/>
      <c r="BE593" s="35"/>
      <c r="CD593" s="9"/>
      <c r="CF593" s="9"/>
      <c r="CG593" s="9"/>
      <c r="CH593" s="9"/>
      <c r="CI593" s="9"/>
      <c r="CJ593" s="9"/>
      <c r="CK593" s="70"/>
      <c r="CL593" s="9"/>
      <c r="CM593" s="9"/>
      <c r="CN593" s="9"/>
      <c r="CO593" s="9"/>
      <c r="CP593" s="9"/>
      <c r="CQ593" s="9"/>
      <c r="CR593" s="9"/>
      <c r="CS593" s="9"/>
      <c r="FO593" s="23"/>
      <c r="FP593" s="23"/>
      <c r="FQ593" s="23"/>
      <c r="FR593" s="23"/>
      <c r="FS593" s="23"/>
      <c r="FT593" s="23"/>
      <c r="FU593" s="23"/>
      <c r="FV593" s="23"/>
    </row>
    <row r="594" spans="2:178" ht="12" customHeight="1" x14ac:dyDescent="0.3">
      <c r="B594" s="24"/>
      <c r="C594" s="24"/>
      <c r="D594" s="24"/>
      <c r="E594" s="24"/>
      <c r="F594" s="24"/>
      <c r="G594" s="109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L594" s="7"/>
      <c r="AM594" s="7"/>
      <c r="AN594" s="7"/>
      <c r="AO594" s="7"/>
      <c r="AP594" s="7"/>
      <c r="AQ594" s="7"/>
      <c r="AR594" s="7"/>
      <c r="AS594" s="35"/>
      <c r="AT594" s="35"/>
      <c r="AU594" s="35"/>
      <c r="AV594" s="35"/>
      <c r="AW594" s="35"/>
      <c r="AX594" s="35"/>
      <c r="AY594" s="42"/>
      <c r="AZ594" s="42"/>
      <c r="BA594" s="42"/>
      <c r="BB594" s="42"/>
      <c r="BC594" s="42"/>
      <c r="BD594" s="42"/>
      <c r="BE594" s="35"/>
      <c r="CD594" s="9"/>
      <c r="CF594" s="9"/>
      <c r="CG594" s="9"/>
      <c r="CH594" s="9"/>
      <c r="CI594" s="9"/>
      <c r="CJ594" s="9"/>
      <c r="CK594" s="70"/>
      <c r="CL594" s="9"/>
      <c r="CM594" s="9"/>
      <c r="CN594" s="9"/>
      <c r="CO594" s="9"/>
      <c r="CP594" s="9"/>
      <c r="CQ594" s="9"/>
      <c r="CR594" s="9"/>
      <c r="CS594" s="9"/>
      <c r="FO594" s="23"/>
      <c r="FP594" s="23"/>
      <c r="FQ594" s="23"/>
      <c r="FR594" s="23"/>
      <c r="FS594" s="23"/>
      <c r="FT594" s="23"/>
      <c r="FU594" s="23"/>
      <c r="FV594" s="23"/>
    </row>
    <row r="595" spans="2:178" ht="12" customHeight="1" x14ac:dyDescent="0.3">
      <c r="B595" s="24"/>
      <c r="C595" s="24"/>
      <c r="D595" s="24"/>
      <c r="E595" s="24"/>
      <c r="F595" s="24"/>
      <c r="G595" s="109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L595" s="7"/>
      <c r="AM595" s="7"/>
      <c r="AN595" s="7"/>
      <c r="AO595" s="7"/>
      <c r="AP595" s="7"/>
      <c r="AQ595" s="7"/>
      <c r="AR595" s="7"/>
      <c r="AS595" s="35"/>
      <c r="AT595" s="35"/>
      <c r="AU595" s="35"/>
      <c r="AV595" s="35"/>
      <c r="AW595" s="35"/>
      <c r="AX595" s="35"/>
      <c r="AY595" s="42"/>
      <c r="AZ595" s="42"/>
      <c r="BA595" s="42"/>
      <c r="BB595" s="42"/>
      <c r="BC595" s="42"/>
      <c r="BD595" s="42"/>
      <c r="BE595" s="35"/>
      <c r="CD595" s="9"/>
      <c r="CF595" s="9"/>
      <c r="CG595" s="9"/>
      <c r="CH595" s="9"/>
      <c r="CI595" s="9"/>
      <c r="CJ595" s="9"/>
      <c r="CK595" s="70"/>
      <c r="CL595" s="9"/>
      <c r="CM595" s="9"/>
      <c r="CN595" s="9"/>
      <c r="CO595" s="9"/>
      <c r="CP595" s="9"/>
      <c r="CQ595" s="9"/>
      <c r="CR595" s="9"/>
      <c r="CS595" s="9"/>
      <c r="FO595" s="23"/>
      <c r="FP595" s="23"/>
      <c r="FQ595" s="23"/>
      <c r="FR595" s="23"/>
      <c r="FS595" s="23"/>
      <c r="FT595" s="23"/>
      <c r="FU595" s="23"/>
      <c r="FV595" s="23"/>
    </row>
    <row r="596" spans="2:178" ht="12" customHeight="1" x14ac:dyDescent="0.3">
      <c r="B596" s="24"/>
      <c r="C596" s="24"/>
      <c r="D596" s="24"/>
      <c r="E596" s="24"/>
      <c r="F596" s="24"/>
      <c r="G596" s="109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L596" s="7"/>
      <c r="AM596" s="7"/>
      <c r="AN596" s="7"/>
      <c r="AO596" s="7"/>
      <c r="AP596" s="7"/>
      <c r="AQ596" s="7"/>
      <c r="AR596" s="7"/>
      <c r="AS596" s="35"/>
      <c r="AT596" s="35"/>
      <c r="AU596" s="35"/>
      <c r="AV596" s="35"/>
      <c r="AW596" s="35"/>
      <c r="AX596" s="35"/>
      <c r="AY596" s="42"/>
      <c r="AZ596" s="42"/>
      <c r="BA596" s="42"/>
      <c r="BB596" s="42"/>
      <c r="BC596" s="42"/>
      <c r="BD596" s="42"/>
      <c r="BE596" s="35"/>
      <c r="CD596" s="9"/>
      <c r="CF596" s="9"/>
      <c r="CG596" s="9"/>
      <c r="CH596" s="9"/>
      <c r="CI596" s="9"/>
      <c r="CJ596" s="9"/>
      <c r="CK596" s="70"/>
      <c r="CL596" s="9"/>
      <c r="CM596" s="9"/>
      <c r="CN596" s="9"/>
      <c r="CO596" s="9"/>
      <c r="CP596" s="9"/>
      <c r="CQ596" s="9"/>
      <c r="CR596" s="9"/>
      <c r="CS596" s="9"/>
      <c r="FO596" s="23"/>
      <c r="FP596" s="23"/>
      <c r="FQ596" s="23"/>
      <c r="FR596" s="23"/>
      <c r="FS596" s="23"/>
      <c r="FT596" s="23"/>
      <c r="FU596" s="23"/>
      <c r="FV596" s="23"/>
    </row>
    <row r="597" spans="2:178" ht="12" customHeight="1" x14ac:dyDescent="0.3">
      <c r="B597" s="24"/>
      <c r="C597" s="24"/>
      <c r="D597" s="24"/>
      <c r="E597" s="24"/>
      <c r="F597" s="24"/>
      <c r="G597" s="109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L597" s="7"/>
      <c r="AM597" s="7"/>
      <c r="AN597" s="7"/>
      <c r="AO597" s="7"/>
      <c r="AP597" s="7"/>
      <c r="AQ597" s="7"/>
      <c r="AR597" s="7"/>
      <c r="AS597" s="35"/>
      <c r="AT597" s="35"/>
      <c r="AU597" s="35"/>
      <c r="AV597" s="35"/>
      <c r="AW597" s="35"/>
      <c r="AX597" s="35"/>
      <c r="AY597" s="42"/>
      <c r="AZ597" s="42"/>
      <c r="BA597" s="42"/>
      <c r="BB597" s="42"/>
      <c r="BC597" s="42"/>
      <c r="BD597" s="42"/>
      <c r="BE597" s="35"/>
      <c r="CD597" s="9"/>
      <c r="CF597" s="9"/>
      <c r="CG597" s="9"/>
      <c r="CH597" s="9"/>
      <c r="CI597" s="9"/>
      <c r="CJ597" s="9"/>
      <c r="CK597" s="70"/>
      <c r="CL597" s="9"/>
      <c r="CM597" s="9"/>
      <c r="CN597" s="9"/>
      <c r="CO597" s="9"/>
      <c r="CP597" s="9"/>
      <c r="CQ597" s="9"/>
      <c r="CR597" s="9"/>
      <c r="CS597" s="9"/>
      <c r="FO597" s="23"/>
      <c r="FP597" s="23"/>
      <c r="FQ597" s="23"/>
      <c r="FR597" s="23"/>
      <c r="FS597" s="23"/>
      <c r="FT597" s="23"/>
      <c r="FU597" s="23"/>
      <c r="FV597" s="23"/>
    </row>
    <row r="598" spans="2:178" ht="12" customHeight="1" x14ac:dyDescent="0.3">
      <c r="B598" s="24"/>
      <c r="C598" s="24"/>
      <c r="D598" s="24"/>
      <c r="E598" s="24"/>
      <c r="F598" s="24"/>
      <c r="G598" s="109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L598" s="7"/>
      <c r="AM598" s="7"/>
      <c r="AN598" s="7"/>
      <c r="AO598" s="7"/>
      <c r="AP598" s="7"/>
      <c r="AQ598" s="7"/>
      <c r="AR598" s="7"/>
      <c r="AS598" s="35"/>
      <c r="AT598" s="35"/>
      <c r="AU598" s="35"/>
      <c r="AV598" s="35"/>
      <c r="AW598" s="35"/>
      <c r="AX598" s="35"/>
      <c r="AY598" s="42"/>
      <c r="AZ598" s="42"/>
      <c r="BA598" s="42"/>
      <c r="BB598" s="42"/>
      <c r="BC598" s="42"/>
      <c r="BD598" s="42"/>
      <c r="BE598" s="35"/>
      <c r="CD598" s="9"/>
      <c r="CF598" s="9"/>
      <c r="CG598" s="9"/>
      <c r="CH598" s="9"/>
      <c r="CI598" s="9"/>
      <c r="CJ598" s="9"/>
      <c r="CK598" s="70"/>
      <c r="CL598" s="9"/>
      <c r="CM598" s="9"/>
      <c r="CN598" s="9"/>
      <c r="CO598" s="9"/>
      <c r="CP598" s="9"/>
      <c r="CQ598" s="9"/>
      <c r="CR598" s="9"/>
      <c r="CS598" s="9"/>
      <c r="FO598" s="23"/>
      <c r="FP598" s="23"/>
      <c r="FQ598" s="23"/>
      <c r="FR598" s="23"/>
      <c r="FS598" s="23"/>
      <c r="FT598" s="23"/>
      <c r="FU598" s="23"/>
      <c r="FV598" s="23"/>
    </row>
    <row r="599" spans="2:178" ht="12" customHeight="1" x14ac:dyDescent="0.3">
      <c r="B599" s="24"/>
      <c r="C599" s="24"/>
      <c r="D599" s="24"/>
      <c r="E599" s="24"/>
      <c r="F599" s="24"/>
      <c r="G599" s="109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L599" s="7"/>
      <c r="AM599" s="7"/>
      <c r="AN599" s="7"/>
      <c r="AO599" s="7"/>
      <c r="AP599" s="7"/>
      <c r="AQ599" s="7"/>
      <c r="AR599" s="7"/>
      <c r="AS599" s="35"/>
      <c r="AT599" s="35"/>
      <c r="AU599" s="35"/>
      <c r="AV599" s="35"/>
      <c r="AW599" s="35"/>
      <c r="AX599" s="35"/>
      <c r="AY599" s="42"/>
      <c r="AZ599" s="42"/>
      <c r="BA599" s="42"/>
      <c r="BB599" s="42"/>
      <c r="BC599" s="42"/>
      <c r="BD599" s="42"/>
      <c r="BE599" s="35"/>
      <c r="CD599" s="9"/>
      <c r="CF599" s="9"/>
      <c r="CG599" s="9"/>
      <c r="CH599" s="9"/>
      <c r="CI599" s="9"/>
      <c r="CJ599" s="9"/>
      <c r="CK599" s="70"/>
      <c r="CL599" s="9"/>
      <c r="CM599" s="9"/>
      <c r="CN599" s="9"/>
      <c r="CO599" s="9"/>
      <c r="CP599" s="9"/>
      <c r="CQ599" s="9"/>
      <c r="CR599" s="9"/>
      <c r="CS599" s="9"/>
      <c r="FO599" s="23"/>
      <c r="FP599" s="23"/>
      <c r="FQ599" s="23"/>
      <c r="FR599" s="23"/>
      <c r="FS599" s="23"/>
      <c r="FT599" s="23"/>
      <c r="FU599" s="23"/>
      <c r="FV599" s="23"/>
    </row>
    <row r="600" spans="2:178" ht="12" customHeight="1" x14ac:dyDescent="0.3">
      <c r="B600" s="24"/>
      <c r="C600" s="24"/>
      <c r="D600" s="24"/>
      <c r="E600" s="24"/>
      <c r="F600" s="24"/>
      <c r="G600" s="109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L600" s="7"/>
      <c r="AM600" s="7"/>
      <c r="AN600" s="7"/>
      <c r="AO600" s="7"/>
      <c r="AP600" s="7"/>
      <c r="AQ600" s="7"/>
      <c r="AR600" s="7"/>
      <c r="AS600" s="35"/>
      <c r="AT600" s="35"/>
      <c r="AU600" s="35"/>
      <c r="AV600" s="35"/>
      <c r="AW600" s="35"/>
      <c r="AX600" s="35"/>
      <c r="AY600" s="42"/>
      <c r="AZ600" s="42"/>
      <c r="BA600" s="42"/>
      <c r="BB600" s="42"/>
      <c r="BC600" s="42"/>
      <c r="BD600" s="42"/>
      <c r="BE600" s="35"/>
      <c r="CD600" s="9"/>
      <c r="CF600" s="9"/>
      <c r="CG600" s="9"/>
      <c r="CH600" s="9"/>
      <c r="CI600" s="9"/>
      <c r="CJ600" s="9"/>
      <c r="CK600" s="70"/>
      <c r="CL600" s="9"/>
      <c r="CM600" s="9"/>
      <c r="CN600" s="9"/>
      <c r="CO600" s="9"/>
      <c r="CP600" s="9"/>
      <c r="CQ600" s="9"/>
      <c r="CR600" s="9"/>
      <c r="CS600" s="9"/>
      <c r="FO600" s="23"/>
      <c r="FP600" s="23"/>
      <c r="FQ600" s="23"/>
      <c r="FR600" s="23"/>
      <c r="FS600" s="23"/>
      <c r="FT600" s="23"/>
      <c r="FU600" s="23"/>
      <c r="FV600" s="23"/>
    </row>
    <row r="601" spans="2:178" ht="12" customHeight="1" x14ac:dyDescent="0.3">
      <c r="B601" s="24"/>
      <c r="C601" s="24"/>
      <c r="D601" s="24"/>
      <c r="E601" s="24"/>
      <c r="F601" s="24"/>
      <c r="G601" s="109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L601" s="7"/>
      <c r="AM601" s="7"/>
      <c r="AN601" s="7"/>
      <c r="AO601" s="7"/>
      <c r="AP601" s="7"/>
      <c r="AQ601" s="7"/>
      <c r="AR601" s="7"/>
      <c r="AS601" s="35"/>
      <c r="AT601" s="35"/>
      <c r="AU601" s="35"/>
      <c r="AV601" s="35"/>
      <c r="AW601" s="35"/>
      <c r="AX601" s="35"/>
      <c r="AY601" s="42"/>
      <c r="AZ601" s="42"/>
      <c r="BA601" s="42"/>
      <c r="BB601" s="42"/>
      <c r="BC601" s="42"/>
      <c r="BD601" s="42"/>
      <c r="BE601" s="35"/>
      <c r="CD601" s="9"/>
      <c r="CF601" s="9"/>
      <c r="CG601" s="9"/>
      <c r="CH601" s="9"/>
      <c r="CI601" s="9"/>
      <c r="CJ601" s="9"/>
      <c r="CK601" s="70"/>
      <c r="CL601" s="9"/>
      <c r="CM601" s="9"/>
      <c r="CN601" s="9"/>
      <c r="CO601" s="9"/>
      <c r="CP601" s="9"/>
      <c r="CQ601" s="9"/>
      <c r="CR601" s="9"/>
      <c r="CS601" s="9"/>
      <c r="FO601" s="23"/>
      <c r="FP601" s="23"/>
      <c r="FQ601" s="23"/>
      <c r="FR601" s="23"/>
      <c r="FS601" s="23"/>
      <c r="FT601" s="23"/>
      <c r="FU601" s="23"/>
      <c r="FV601" s="23"/>
    </row>
    <row r="602" spans="2:178" ht="12" customHeight="1" x14ac:dyDescent="0.3">
      <c r="B602" s="24"/>
      <c r="C602" s="24"/>
      <c r="D602" s="24"/>
      <c r="E602" s="24"/>
      <c r="F602" s="24"/>
      <c r="G602" s="109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L602" s="7"/>
      <c r="AM602" s="7"/>
      <c r="AN602" s="7"/>
      <c r="AO602" s="7"/>
      <c r="AP602" s="7"/>
      <c r="AQ602" s="7"/>
      <c r="AR602" s="7"/>
      <c r="AS602" s="35"/>
      <c r="AT602" s="35"/>
      <c r="AU602" s="35"/>
      <c r="AV602" s="35"/>
      <c r="AW602" s="35"/>
      <c r="AX602" s="35"/>
      <c r="AY602" s="42"/>
      <c r="AZ602" s="42"/>
      <c r="BA602" s="42"/>
      <c r="BB602" s="42"/>
      <c r="BC602" s="42"/>
      <c r="BD602" s="42"/>
      <c r="BE602" s="35"/>
      <c r="CD602" s="9"/>
      <c r="CF602" s="9"/>
      <c r="CG602" s="9"/>
      <c r="CH602" s="9"/>
      <c r="CI602" s="9"/>
      <c r="CJ602" s="9"/>
      <c r="CK602" s="70"/>
      <c r="CL602" s="9"/>
      <c r="CM602" s="9"/>
      <c r="CN602" s="9"/>
      <c r="CO602" s="9"/>
      <c r="CP602" s="9"/>
      <c r="CQ602" s="9"/>
      <c r="CR602" s="9"/>
      <c r="CS602" s="9"/>
      <c r="FO602" s="23"/>
      <c r="FP602" s="23"/>
      <c r="FQ602" s="23"/>
      <c r="FR602" s="23"/>
      <c r="FS602" s="23"/>
      <c r="FT602" s="23"/>
      <c r="FU602" s="23"/>
      <c r="FV602" s="23"/>
    </row>
    <row r="603" spans="2:178" ht="12" customHeight="1" x14ac:dyDescent="0.3">
      <c r="B603" s="24"/>
      <c r="C603" s="24"/>
      <c r="D603" s="24"/>
      <c r="E603" s="24"/>
      <c r="F603" s="24"/>
      <c r="G603" s="109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L603" s="7"/>
      <c r="AM603" s="7"/>
      <c r="AN603" s="7"/>
      <c r="AO603" s="7"/>
      <c r="AP603" s="7"/>
      <c r="AQ603" s="7"/>
      <c r="AR603" s="7"/>
      <c r="AS603" s="35"/>
      <c r="AT603" s="35"/>
      <c r="AU603" s="35"/>
      <c r="AV603" s="35"/>
      <c r="AW603" s="35"/>
      <c r="AX603" s="35"/>
      <c r="AY603" s="42"/>
      <c r="AZ603" s="42"/>
      <c r="BA603" s="42"/>
      <c r="BB603" s="42"/>
      <c r="BC603" s="42"/>
      <c r="BD603" s="42"/>
      <c r="BE603" s="35"/>
      <c r="CD603" s="9"/>
      <c r="CF603" s="9"/>
      <c r="CG603" s="9"/>
      <c r="CH603" s="9"/>
      <c r="CI603" s="9"/>
      <c r="CJ603" s="9"/>
      <c r="CK603" s="70"/>
      <c r="CL603" s="9"/>
      <c r="CM603" s="9"/>
      <c r="CN603" s="9"/>
      <c r="CO603" s="9"/>
      <c r="CP603" s="9"/>
      <c r="CQ603" s="9"/>
      <c r="CR603" s="9"/>
      <c r="CS603" s="9"/>
      <c r="FO603" s="23"/>
      <c r="FP603" s="23"/>
      <c r="FQ603" s="23"/>
      <c r="FR603" s="23"/>
      <c r="FS603" s="23"/>
      <c r="FT603" s="23"/>
      <c r="FU603" s="23"/>
      <c r="FV603" s="23"/>
    </row>
    <row r="604" spans="2:178" ht="12" customHeight="1" x14ac:dyDescent="0.3">
      <c r="B604" s="24"/>
      <c r="C604" s="24"/>
      <c r="D604" s="24"/>
      <c r="E604" s="24"/>
      <c r="F604" s="24"/>
      <c r="G604" s="109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L604" s="7"/>
      <c r="AM604" s="7"/>
      <c r="AN604" s="7"/>
      <c r="AO604" s="7"/>
      <c r="AP604" s="7"/>
      <c r="AQ604" s="7"/>
      <c r="AR604" s="7"/>
      <c r="AS604" s="35"/>
      <c r="AT604" s="35"/>
      <c r="AU604" s="35"/>
      <c r="AV604" s="35"/>
      <c r="AW604" s="35"/>
      <c r="AX604" s="35"/>
      <c r="AY604" s="42"/>
      <c r="AZ604" s="42"/>
      <c r="BA604" s="42"/>
      <c r="BB604" s="42"/>
      <c r="BC604" s="42"/>
      <c r="BD604" s="42"/>
      <c r="BE604" s="35"/>
      <c r="CD604" s="9"/>
      <c r="CF604" s="9"/>
      <c r="CG604" s="9"/>
      <c r="CH604" s="9"/>
      <c r="CI604" s="9"/>
      <c r="CJ604" s="9"/>
      <c r="CK604" s="70"/>
      <c r="CL604" s="9"/>
      <c r="CM604" s="9"/>
      <c r="CN604" s="9"/>
      <c r="CO604" s="9"/>
      <c r="CP604" s="9"/>
      <c r="CQ604" s="9"/>
      <c r="CR604" s="9"/>
      <c r="CS604" s="9"/>
      <c r="FO604" s="23"/>
      <c r="FP604" s="23"/>
      <c r="FQ604" s="23"/>
      <c r="FR604" s="23"/>
      <c r="FS604" s="23"/>
      <c r="FT604" s="23"/>
      <c r="FU604" s="23"/>
      <c r="FV604" s="23"/>
    </row>
    <row r="605" spans="2:178" ht="12" customHeight="1" x14ac:dyDescent="0.3">
      <c r="B605" s="24"/>
      <c r="C605" s="24"/>
      <c r="D605" s="24"/>
      <c r="E605" s="24"/>
      <c r="F605" s="24"/>
      <c r="G605" s="109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L605" s="7"/>
      <c r="AM605" s="7"/>
      <c r="AN605" s="7"/>
      <c r="AO605" s="7"/>
      <c r="AP605" s="7"/>
      <c r="AQ605" s="7"/>
      <c r="AR605" s="7"/>
      <c r="AS605" s="35"/>
      <c r="AT605" s="35"/>
      <c r="AU605" s="35"/>
      <c r="AV605" s="35"/>
      <c r="AW605" s="35"/>
      <c r="AX605" s="35"/>
      <c r="AY605" s="42"/>
      <c r="AZ605" s="42"/>
      <c r="BA605" s="42"/>
      <c r="BB605" s="42"/>
      <c r="BC605" s="42"/>
      <c r="BD605" s="42"/>
      <c r="BE605" s="35"/>
      <c r="CD605" s="9"/>
      <c r="CF605" s="9"/>
      <c r="CG605" s="9"/>
      <c r="CH605" s="9"/>
      <c r="CI605" s="9"/>
      <c r="CJ605" s="9"/>
      <c r="CK605" s="70"/>
      <c r="CL605" s="9"/>
      <c r="CM605" s="9"/>
      <c r="CN605" s="9"/>
      <c r="CO605" s="9"/>
      <c r="CP605" s="9"/>
      <c r="CQ605" s="9"/>
      <c r="CR605" s="9"/>
      <c r="CS605" s="9"/>
      <c r="FO605" s="23"/>
      <c r="FP605" s="23"/>
      <c r="FQ605" s="23"/>
      <c r="FR605" s="23"/>
      <c r="FS605" s="23"/>
      <c r="FT605" s="23"/>
      <c r="FU605" s="23"/>
      <c r="FV605" s="23"/>
    </row>
    <row r="606" spans="2:178" ht="12" customHeight="1" x14ac:dyDescent="0.3">
      <c r="B606" s="24"/>
      <c r="C606" s="24"/>
      <c r="D606" s="24"/>
      <c r="E606" s="24"/>
      <c r="F606" s="24"/>
      <c r="G606" s="109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L606" s="7"/>
      <c r="AM606" s="7"/>
      <c r="AN606" s="7"/>
      <c r="AO606" s="7"/>
      <c r="AP606" s="7"/>
      <c r="AQ606" s="7"/>
      <c r="AR606" s="7"/>
      <c r="AS606" s="35"/>
      <c r="AT606" s="35"/>
      <c r="AU606" s="35"/>
      <c r="AV606" s="35"/>
      <c r="AW606" s="35"/>
      <c r="AX606" s="35"/>
      <c r="AY606" s="42"/>
      <c r="AZ606" s="42"/>
      <c r="BA606" s="42"/>
      <c r="BB606" s="42"/>
      <c r="BC606" s="42"/>
      <c r="BD606" s="42"/>
      <c r="BE606" s="35"/>
      <c r="CD606" s="9"/>
      <c r="CF606" s="9"/>
      <c r="CG606" s="9"/>
      <c r="CH606" s="9"/>
      <c r="CI606" s="9"/>
      <c r="CJ606" s="9"/>
      <c r="CK606" s="70"/>
      <c r="CL606" s="9"/>
      <c r="CM606" s="9"/>
      <c r="CN606" s="9"/>
      <c r="CO606" s="9"/>
      <c r="CP606" s="9"/>
      <c r="CQ606" s="9"/>
      <c r="CR606" s="9"/>
      <c r="CS606" s="9"/>
      <c r="FO606" s="23"/>
      <c r="FP606" s="23"/>
      <c r="FQ606" s="23"/>
      <c r="FR606" s="23"/>
      <c r="FS606" s="23"/>
      <c r="FT606" s="23"/>
      <c r="FU606" s="23"/>
      <c r="FV606" s="23"/>
    </row>
    <row r="607" spans="2:178" ht="12" customHeight="1" x14ac:dyDescent="0.3">
      <c r="B607" s="24"/>
      <c r="C607" s="24"/>
      <c r="D607" s="24"/>
      <c r="E607" s="24"/>
      <c r="F607" s="24"/>
      <c r="G607" s="109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L607" s="7"/>
      <c r="AM607" s="7"/>
      <c r="AN607" s="7"/>
      <c r="AO607" s="7"/>
      <c r="AP607" s="7"/>
      <c r="AQ607" s="7"/>
      <c r="AR607" s="7"/>
      <c r="AS607" s="35"/>
      <c r="AT607" s="35"/>
      <c r="AU607" s="35"/>
      <c r="AV607" s="35"/>
      <c r="AW607" s="35"/>
      <c r="AX607" s="35"/>
      <c r="AY607" s="42"/>
      <c r="AZ607" s="42"/>
      <c r="BA607" s="42"/>
      <c r="BB607" s="42"/>
      <c r="BC607" s="42"/>
      <c r="BD607" s="42"/>
      <c r="BE607" s="35"/>
      <c r="CD607" s="9"/>
      <c r="CF607" s="9"/>
      <c r="CG607" s="9"/>
      <c r="CH607" s="9"/>
      <c r="CI607" s="9"/>
      <c r="CJ607" s="9"/>
      <c r="CK607" s="70"/>
      <c r="CL607" s="9"/>
      <c r="CM607" s="9"/>
      <c r="CN607" s="9"/>
      <c r="CO607" s="9"/>
      <c r="CP607" s="9"/>
      <c r="CQ607" s="9"/>
      <c r="CR607" s="9"/>
      <c r="CS607" s="9"/>
      <c r="FO607" s="23"/>
      <c r="FP607" s="23"/>
      <c r="FQ607" s="23"/>
      <c r="FR607" s="23"/>
      <c r="FS607" s="23"/>
      <c r="FT607" s="23"/>
      <c r="FU607" s="23"/>
      <c r="FV607" s="23"/>
    </row>
    <row r="608" spans="2:178" ht="12" customHeight="1" x14ac:dyDescent="0.3">
      <c r="B608" s="14"/>
      <c r="C608" s="14"/>
      <c r="D608" s="14"/>
      <c r="E608" s="14"/>
      <c r="F608" s="14"/>
      <c r="G608" s="109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M608" s="7"/>
      <c r="AN608" s="7"/>
      <c r="AO608" s="7"/>
      <c r="AP608" s="7"/>
      <c r="AQ608" s="7"/>
      <c r="AR608" s="7"/>
      <c r="CD608" s="9"/>
      <c r="CF608" s="9"/>
      <c r="CG608" s="9"/>
      <c r="CH608" s="9"/>
      <c r="CI608" s="9"/>
      <c r="CJ608" s="9"/>
      <c r="CK608" s="70"/>
      <c r="CL608" s="9"/>
      <c r="CM608" s="9"/>
      <c r="CN608" s="9"/>
      <c r="CO608" s="9"/>
      <c r="CP608" s="9"/>
      <c r="CQ608" s="9"/>
      <c r="CR608" s="9"/>
      <c r="CS608" s="9"/>
      <c r="FO608" s="23"/>
      <c r="FP608" s="23"/>
      <c r="FQ608" s="23"/>
      <c r="FR608" s="23"/>
      <c r="FS608" s="23"/>
      <c r="FT608" s="23"/>
      <c r="FU608" s="23"/>
      <c r="FV608" s="23"/>
    </row>
    <row r="609" spans="2:178" ht="12" customHeight="1" x14ac:dyDescent="0.3">
      <c r="B609" s="14"/>
      <c r="C609" s="14"/>
      <c r="D609" s="14"/>
      <c r="E609" s="14"/>
      <c r="F609" s="14"/>
      <c r="G609" s="109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M609" s="7"/>
      <c r="AN609" s="7"/>
      <c r="AO609" s="7"/>
      <c r="AP609" s="7"/>
      <c r="AQ609" s="7"/>
      <c r="AR609" s="7"/>
      <c r="CD609" s="9"/>
      <c r="CF609" s="9"/>
      <c r="CG609" s="9"/>
      <c r="CH609" s="9"/>
      <c r="CI609" s="9"/>
      <c r="CJ609" s="9"/>
      <c r="CK609" s="70"/>
      <c r="CL609" s="9"/>
      <c r="CM609" s="9"/>
      <c r="CN609" s="9"/>
      <c r="CO609" s="9"/>
      <c r="CP609" s="9"/>
      <c r="CQ609" s="9"/>
      <c r="CR609" s="9"/>
      <c r="CS609" s="9"/>
      <c r="FO609" s="23"/>
      <c r="FP609" s="23"/>
      <c r="FQ609" s="23"/>
      <c r="FR609" s="23"/>
      <c r="FS609" s="23"/>
      <c r="FT609" s="23"/>
      <c r="FU609" s="23"/>
      <c r="FV609" s="23"/>
    </row>
    <row r="610" spans="2:178" ht="12" customHeight="1" x14ac:dyDescent="0.3">
      <c r="B610" s="14"/>
      <c r="C610" s="14"/>
      <c r="D610" s="14"/>
      <c r="E610" s="14"/>
      <c r="F610" s="14"/>
      <c r="G610" s="109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39"/>
      <c r="AZ610" s="39"/>
      <c r="BA610" s="39"/>
      <c r="BB610" s="39"/>
      <c r="BC610" s="39"/>
      <c r="BD610" s="39"/>
      <c r="BE610" s="7"/>
      <c r="CD610" s="9"/>
      <c r="CF610" s="9"/>
      <c r="CG610" s="9"/>
      <c r="CH610" s="9"/>
      <c r="CI610" s="9"/>
      <c r="CJ610" s="9"/>
      <c r="CK610" s="70"/>
      <c r="CL610" s="9"/>
      <c r="CM610" s="9"/>
      <c r="CN610" s="9"/>
      <c r="CO610" s="9"/>
      <c r="CP610" s="9"/>
      <c r="CQ610" s="9"/>
      <c r="CR610" s="9"/>
      <c r="CS610" s="9"/>
      <c r="FO610" s="23"/>
      <c r="FP610" s="23"/>
      <c r="FQ610" s="23"/>
      <c r="FR610" s="23"/>
      <c r="FS610" s="23"/>
      <c r="FT610" s="23"/>
      <c r="FU610" s="23"/>
      <c r="FV610" s="23"/>
    </row>
    <row r="611" spans="2:178" ht="12" customHeight="1" x14ac:dyDescent="0.3">
      <c r="B611" s="14"/>
      <c r="C611" s="14"/>
      <c r="D611" s="14"/>
      <c r="E611" s="14"/>
      <c r="F611" s="14"/>
      <c r="G611" s="109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39"/>
      <c r="AZ611" s="39"/>
      <c r="BA611" s="39"/>
      <c r="BB611" s="39"/>
      <c r="BC611" s="39"/>
      <c r="BD611" s="39"/>
      <c r="BE611" s="7"/>
      <c r="CD611" s="9"/>
      <c r="CF611" s="9"/>
      <c r="CG611" s="9"/>
      <c r="CH611" s="9"/>
      <c r="CI611" s="9"/>
      <c r="CJ611" s="9"/>
      <c r="CK611" s="70"/>
      <c r="CL611" s="9"/>
      <c r="CM611" s="9"/>
      <c r="CN611" s="9"/>
      <c r="CO611" s="9"/>
      <c r="CP611" s="9"/>
      <c r="CQ611" s="9"/>
      <c r="CR611" s="9"/>
      <c r="CS611" s="9"/>
      <c r="FO611" s="23"/>
      <c r="FP611" s="23"/>
      <c r="FQ611" s="23"/>
      <c r="FR611" s="23"/>
      <c r="FS611" s="23"/>
      <c r="FT611" s="23"/>
      <c r="FU611" s="23"/>
      <c r="FV611" s="23"/>
    </row>
    <row r="612" spans="2:178" ht="12" customHeight="1" x14ac:dyDescent="0.3">
      <c r="B612" s="14"/>
      <c r="C612" s="14"/>
      <c r="D612" s="14"/>
      <c r="E612" s="14"/>
      <c r="F612" s="14"/>
      <c r="G612" s="109"/>
      <c r="H612" s="7"/>
      <c r="I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39"/>
      <c r="AZ612" s="39"/>
      <c r="BA612" s="39"/>
      <c r="BB612" s="39"/>
      <c r="BC612" s="39"/>
      <c r="BD612" s="39"/>
      <c r="BE612" s="7"/>
      <c r="CD612" s="9"/>
      <c r="CF612" s="9"/>
      <c r="CG612" s="9"/>
      <c r="CH612" s="9"/>
      <c r="CI612" s="9"/>
      <c r="CJ612" s="9"/>
      <c r="CK612" s="70"/>
      <c r="CL612" s="9"/>
      <c r="CM612" s="9"/>
      <c r="CN612" s="9"/>
      <c r="CO612" s="9"/>
      <c r="CP612" s="9"/>
      <c r="CQ612" s="9"/>
      <c r="CR612" s="9"/>
      <c r="CS612" s="9"/>
      <c r="FO612" s="23"/>
      <c r="FP612" s="23"/>
      <c r="FQ612" s="23"/>
      <c r="FR612" s="23"/>
      <c r="FS612" s="23"/>
      <c r="FT612" s="23"/>
      <c r="FU612" s="23"/>
      <c r="FV612" s="23"/>
    </row>
    <row r="613" spans="2:178" ht="12" customHeight="1" x14ac:dyDescent="0.3">
      <c r="B613" s="14"/>
      <c r="C613" s="14"/>
      <c r="D613" s="14"/>
      <c r="E613" s="14"/>
      <c r="F613" s="14"/>
      <c r="G613" s="109"/>
      <c r="H613" s="7"/>
      <c r="I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S613" s="7"/>
      <c r="AT613" s="7"/>
      <c r="AU613" s="7"/>
      <c r="AV613" s="7"/>
      <c r="AW613" s="7"/>
      <c r="AX613" s="7"/>
      <c r="AY613" s="39"/>
      <c r="AZ613" s="39"/>
      <c r="BA613" s="39"/>
      <c r="BB613" s="39"/>
      <c r="BC613" s="39"/>
      <c r="BD613" s="39"/>
      <c r="BE613" s="7"/>
      <c r="CD613" s="9"/>
      <c r="CF613" s="9"/>
      <c r="CG613" s="9"/>
      <c r="CH613" s="9"/>
      <c r="CI613" s="9"/>
      <c r="CJ613" s="9"/>
      <c r="CK613" s="70"/>
      <c r="CL613" s="9"/>
      <c r="CM613" s="9"/>
      <c r="CN613" s="9"/>
      <c r="CO613" s="9"/>
      <c r="CP613" s="9"/>
      <c r="CQ613" s="9"/>
      <c r="CR613" s="9"/>
      <c r="CS613" s="9"/>
      <c r="FO613" s="23"/>
      <c r="FP613" s="23"/>
      <c r="FQ613" s="23"/>
      <c r="FR613" s="23"/>
      <c r="FS613" s="23"/>
      <c r="FT613" s="23"/>
      <c r="FU613" s="23"/>
      <c r="FV613" s="23"/>
    </row>
    <row r="614" spans="2:178" ht="12" customHeight="1" x14ac:dyDescent="0.3">
      <c r="B614" s="24"/>
      <c r="C614" s="24"/>
      <c r="D614" s="24"/>
      <c r="E614" s="24"/>
      <c r="F614" s="24"/>
      <c r="G614" s="109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L614" s="7"/>
      <c r="AM614" s="7"/>
      <c r="AN614" s="7"/>
      <c r="AO614" s="7"/>
      <c r="AP614" s="7"/>
      <c r="AQ614" s="7"/>
      <c r="AR614" s="7"/>
      <c r="CD614" s="9"/>
      <c r="CF614" s="9"/>
      <c r="CG614" s="9"/>
      <c r="CH614" s="9"/>
      <c r="CI614" s="9"/>
      <c r="CJ614" s="9"/>
      <c r="CK614" s="70"/>
      <c r="CL614" s="9"/>
      <c r="CM614" s="9"/>
      <c r="CN614" s="9"/>
      <c r="CO614" s="9"/>
      <c r="CP614" s="9"/>
      <c r="CQ614" s="9"/>
      <c r="CR614" s="9"/>
      <c r="CS614" s="9"/>
      <c r="FO614" s="23"/>
      <c r="FP614" s="23"/>
      <c r="FQ614" s="23"/>
      <c r="FR614" s="23"/>
      <c r="FS614" s="23"/>
      <c r="FT614" s="23"/>
      <c r="FU614" s="23"/>
      <c r="FV614" s="23"/>
    </row>
    <row r="615" spans="2:178" ht="12" customHeight="1" x14ac:dyDescent="0.3">
      <c r="B615" s="24"/>
      <c r="C615" s="24"/>
      <c r="D615" s="24"/>
      <c r="E615" s="24"/>
      <c r="F615" s="24"/>
      <c r="G615" s="109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L615" s="7"/>
      <c r="AM615" s="7"/>
      <c r="AN615" s="7"/>
      <c r="AO615" s="7"/>
      <c r="AP615" s="7"/>
      <c r="AQ615" s="7"/>
      <c r="AR615" s="7"/>
      <c r="CD615" s="9"/>
      <c r="CF615" s="9"/>
      <c r="CG615" s="9"/>
      <c r="CH615" s="9"/>
      <c r="CI615" s="9"/>
      <c r="CJ615" s="9"/>
      <c r="CK615" s="70"/>
      <c r="CL615" s="9"/>
      <c r="CM615" s="9"/>
      <c r="CN615" s="9"/>
      <c r="CO615" s="9"/>
      <c r="CP615" s="9"/>
      <c r="CQ615" s="9"/>
      <c r="CR615" s="9"/>
      <c r="CS615" s="9"/>
      <c r="FO615" s="23"/>
      <c r="FP615" s="23"/>
      <c r="FQ615" s="23"/>
      <c r="FR615" s="23"/>
      <c r="FS615" s="23"/>
      <c r="FT615" s="23"/>
      <c r="FU615" s="23"/>
      <c r="FV615" s="23"/>
    </row>
    <row r="616" spans="2:178" ht="12" customHeight="1" x14ac:dyDescent="0.3">
      <c r="B616" s="24"/>
      <c r="C616" s="24"/>
      <c r="D616" s="24"/>
      <c r="E616" s="24"/>
      <c r="F616" s="24"/>
      <c r="G616" s="109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L616" s="7"/>
      <c r="AM616" s="34"/>
      <c r="AN616" s="7"/>
      <c r="AO616" s="7"/>
      <c r="AP616" s="7"/>
      <c r="AQ616" s="7"/>
      <c r="AR616" s="7"/>
      <c r="CD616" s="9"/>
      <c r="CF616" s="9"/>
      <c r="CG616" s="9"/>
      <c r="CH616" s="9"/>
      <c r="CI616" s="9"/>
      <c r="CJ616" s="9"/>
      <c r="CK616" s="70"/>
      <c r="CL616" s="9"/>
      <c r="CM616" s="9"/>
      <c r="CN616" s="9"/>
      <c r="CO616" s="9"/>
      <c r="CP616" s="9"/>
      <c r="CQ616" s="9"/>
      <c r="CR616" s="9"/>
      <c r="CS616" s="9"/>
      <c r="FO616" s="23"/>
      <c r="FP616" s="23"/>
      <c r="FQ616" s="23"/>
      <c r="FR616" s="23"/>
      <c r="FS616" s="23"/>
      <c r="FT616" s="23"/>
      <c r="FU616" s="23"/>
      <c r="FV616" s="23"/>
    </row>
    <row r="617" spans="2:178" ht="12" customHeight="1" x14ac:dyDescent="0.3">
      <c r="B617" s="24"/>
      <c r="C617" s="24"/>
      <c r="D617" s="24"/>
      <c r="E617" s="24"/>
      <c r="F617" s="24"/>
      <c r="G617" s="109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L617" s="7"/>
      <c r="AM617" s="34"/>
      <c r="AN617" s="7"/>
      <c r="AO617" s="7"/>
      <c r="AP617" s="7"/>
      <c r="AQ617" s="7"/>
      <c r="AR617" s="7"/>
      <c r="CD617" s="9"/>
      <c r="CF617" s="9"/>
      <c r="CG617" s="9"/>
      <c r="CH617" s="9"/>
      <c r="CI617" s="9"/>
      <c r="CJ617" s="9"/>
      <c r="CK617" s="70"/>
      <c r="CL617" s="9"/>
      <c r="CM617" s="9"/>
      <c r="CN617" s="9"/>
      <c r="CO617" s="9"/>
      <c r="CP617" s="9"/>
      <c r="CQ617" s="9"/>
      <c r="CR617" s="9"/>
      <c r="CS617" s="9"/>
      <c r="FO617" s="23"/>
      <c r="FP617" s="23"/>
      <c r="FQ617" s="23"/>
      <c r="FR617" s="23"/>
      <c r="FS617" s="23"/>
      <c r="FT617" s="23"/>
      <c r="FU617" s="23"/>
      <c r="FV617" s="23"/>
    </row>
    <row r="618" spans="2:178" ht="12" customHeight="1" x14ac:dyDescent="0.3">
      <c r="B618" s="24"/>
      <c r="C618" s="24"/>
      <c r="D618" s="24"/>
      <c r="E618" s="24"/>
      <c r="F618" s="24"/>
      <c r="G618" s="109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L618" s="7"/>
      <c r="AM618" s="7"/>
      <c r="AN618" s="7"/>
      <c r="AO618" s="7"/>
      <c r="AP618" s="7"/>
      <c r="AQ618" s="7"/>
      <c r="AR618" s="7"/>
      <c r="CD618" s="9"/>
      <c r="CF618" s="9"/>
      <c r="CG618" s="9"/>
      <c r="CH618" s="9"/>
      <c r="CI618" s="9"/>
      <c r="CJ618" s="9"/>
      <c r="CK618" s="70"/>
      <c r="CL618" s="9"/>
      <c r="CM618" s="9"/>
      <c r="CN618" s="9"/>
      <c r="CO618" s="9"/>
      <c r="CP618" s="9"/>
      <c r="CQ618" s="9"/>
      <c r="CR618" s="9"/>
      <c r="CS618" s="9"/>
      <c r="FO618" s="23"/>
      <c r="FP618" s="23"/>
      <c r="FQ618" s="23"/>
      <c r="FR618" s="23"/>
      <c r="FS618" s="23"/>
      <c r="FT618" s="23"/>
      <c r="FU618" s="23"/>
      <c r="FV618" s="23"/>
    </row>
    <row r="619" spans="2:178" ht="12" customHeight="1" x14ac:dyDescent="0.3">
      <c r="B619" s="24"/>
      <c r="C619" s="24"/>
      <c r="D619" s="24"/>
      <c r="E619" s="24"/>
      <c r="F619" s="24"/>
      <c r="G619" s="109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L619" s="7"/>
      <c r="AM619" s="7"/>
      <c r="AN619" s="7"/>
      <c r="AO619" s="7"/>
      <c r="AP619" s="7"/>
      <c r="AQ619" s="7"/>
      <c r="AR619" s="7"/>
      <c r="CD619" s="9"/>
      <c r="CF619" s="9"/>
      <c r="CG619" s="9"/>
      <c r="CH619" s="9"/>
      <c r="CI619" s="9"/>
      <c r="CJ619" s="9"/>
      <c r="CK619" s="70"/>
      <c r="CL619" s="9"/>
      <c r="CM619" s="9"/>
      <c r="CN619" s="9"/>
      <c r="CO619" s="9"/>
      <c r="CP619" s="9"/>
      <c r="CQ619" s="9"/>
      <c r="CR619" s="9"/>
      <c r="CS619" s="9"/>
      <c r="FO619" s="23"/>
      <c r="FP619" s="23"/>
      <c r="FQ619" s="23"/>
      <c r="FR619" s="23"/>
      <c r="FS619" s="23"/>
      <c r="FT619" s="23"/>
      <c r="FU619" s="23"/>
      <c r="FV619" s="23"/>
    </row>
    <row r="620" spans="2:178" ht="12" customHeight="1" x14ac:dyDescent="0.3">
      <c r="B620" s="24"/>
      <c r="C620" s="24"/>
      <c r="D620" s="24"/>
      <c r="E620" s="24"/>
      <c r="F620" s="24"/>
      <c r="G620" s="109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L620" s="7"/>
      <c r="AM620" s="34"/>
      <c r="AN620" s="7"/>
      <c r="AO620" s="7"/>
      <c r="AP620" s="7"/>
      <c r="AQ620" s="7"/>
      <c r="AR620" s="7"/>
      <c r="CD620" s="9"/>
      <c r="CF620" s="9"/>
      <c r="CG620" s="9"/>
      <c r="CH620" s="9"/>
      <c r="CI620" s="9"/>
      <c r="CJ620" s="9"/>
      <c r="CK620" s="70"/>
      <c r="CL620" s="9"/>
      <c r="CM620" s="9"/>
      <c r="CN620" s="9"/>
      <c r="CO620" s="9"/>
      <c r="CP620" s="9"/>
      <c r="CQ620" s="9"/>
      <c r="CR620" s="9"/>
      <c r="CS620" s="9"/>
      <c r="FO620" s="23"/>
      <c r="FP620" s="23"/>
      <c r="FQ620" s="23"/>
      <c r="FR620" s="23"/>
      <c r="FS620" s="23"/>
      <c r="FT620" s="23"/>
      <c r="FU620" s="23"/>
      <c r="FV620" s="23"/>
    </row>
    <row r="621" spans="2:178" ht="12" customHeight="1" x14ac:dyDescent="0.3">
      <c r="B621" s="24"/>
      <c r="C621" s="24"/>
      <c r="D621" s="24"/>
      <c r="E621" s="24"/>
      <c r="F621" s="24"/>
      <c r="G621" s="109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L621" s="7"/>
      <c r="AM621" s="34"/>
      <c r="AN621" s="7"/>
      <c r="AO621" s="7"/>
      <c r="AP621" s="7"/>
      <c r="AQ621" s="7"/>
      <c r="AR621" s="7"/>
      <c r="CD621" s="9"/>
      <c r="CF621" s="9"/>
      <c r="CG621" s="9"/>
      <c r="CH621" s="9"/>
      <c r="CI621" s="9"/>
      <c r="CJ621" s="9"/>
      <c r="CK621" s="70"/>
      <c r="CL621" s="9"/>
      <c r="CM621" s="9"/>
      <c r="CN621" s="9"/>
      <c r="CO621" s="9"/>
      <c r="CP621" s="9"/>
      <c r="CQ621" s="9"/>
      <c r="CR621" s="9"/>
      <c r="CS621" s="9"/>
      <c r="FO621" s="23"/>
      <c r="FP621" s="23"/>
      <c r="FQ621" s="23"/>
      <c r="FR621" s="23"/>
      <c r="FS621" s="23"/>
      <c r="FT621" s="23"/>
      <c r="FU621" s="23"/>
      <c r="FV621" s="23"/>
    </row>
    <row r="622" spans="2:178" ht="12" customHeight="1" x14ac:dyDescent="0.3">
      <c r="B622" s="24"/>
      <c r="C622" s="24"/>
      <c r="D622" s="24"/>
      <c r="E622" s="24"/>
      <c r="F622" s="24"/>
      <c r="G622" s="109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L622" s="7"/>
      <c r="AM622" s="7"/>
      <c r="AN622" s="7"/>
      <c r="AO622" s="7"/>
      <c r="AP622" s="7"/>
      <c r="AQ622" s="7"/>
      <c r="AR622" s="7"/>
      <c r="CD622" s="9"/>
      <c r="CF622" s="9"/>
      <c r="CG622" s="9"/>
      <c r="CH622" s="9"/>
      <c r="CI622" s="9"/>
      <c r="CJ622" s="9"/>
      <c r="CK622" s="70"/>
      <c r="CL622" s="9"/>
      <c r="CM622" s="9"/>
      <c r="CN622" s="9"/>
      <c r="CO622" s="9"/>
      <c r="CP622" s="9"/>
      <c r="CQ622" s="9"/>
      <c r="CR622" s="9"/>
      <c r="CS622" s="9"/>
      <c r="FO622" s="23"/>
      <c r="FP622" s="23"/>
      <c r="FQ622" s="23"/>
      <c r="FR622" s="23"/>
      <c r="FS622" s="23"/>
      <c r="FT622" s="23"/>
      <c r="FU622" s="23"/>
      <c r="FV622" s="23"/>
    </row>
    <row r="623" spans="2:178" ht="12" customHeight="1" x14ac:dyDescent="0.3">
      <c r="B623" s="24"/>
      <c r="C623" s="24"/>
      <c r="D623" s="24"/>
      <c r="E623" s="24"/>
      <c r="F623" s="24"/>
      <c r="G623" s="109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L623" s="7"/>
      <c r="AM623" s="7"/>
      <c r="AN623" s="7"/>
      <c r="AO623" s="7"/>
      <c r="AP623" s="7"/>
      <c r="AQ623" s="7"/>
      <c r="AR623" s="7"/>
      <c r="CD623" s="9"/>
      <c r="CF623" s="9"/>
      <c r="CG623" s="9"/>
      <c r="CH623" s="9"/>
      <c r="CI623" s="9"/>
      <c r="CJ623" s="9"/>
      <c r="CK623" s="70"/>
      <c r="CL623" s="9"/>
      <c r="CM623" s="9"/>
      <c r="CN623" s="9"/>
      <c r="CO623" s="9"/>
      <c r="CP623" s="9"/>
      <c r="CQ623" s="9"/>
      <c r="CR623" s="9"/>
      <c r="CS623" s="9"/>
      <c r="FO623" s="23"/>
      <c r="FP623" s="23"/>
      <c r="FQ623" s="23"/>
      <c r="FR623" s="23"/>
      <c r="FS623" s="23"/>
      <c r="FT623" s="23"/>
      <c r="FU623" s="23"/>
      <c r="FV623" s="23"/>
    </row>
    <row r="624" spans="2:178" ht="12" customHeight="1" x14ac:dyDescent="0.3">
      <c r="B624" s="24"/>
      <c r="C624" s="24"/>
      <c r="D624" s="24"/>
      <c r="E624" s="24"/>
      <c r="F624" s="24"/>
      <c r="G624" s="109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L624" s="7"/>
      <c r="AM624" s="7"/>
      <c r="AN624" s="7"/>
      <c r="AO624" s="7"/>
      <c r="AP624" s="7"/>
      <c r="AQ624" s="7"/>
      <c r="AR624" s="7"/>
      <c r="CD624" s="9"/>
      <c r="CF624" s="9"/>
      <c r="CG624" s="9"/>
      <c r="CH624" s="9"/>
      <c r="CI624" s="9"/>
      <c r="CJ624" s="9"/>
      <c r="CK624" s="70"/>
      <c r="CL624" s="9"/>
      <c r="CM624" s="9"/>
      <c r="CN624" s="9"/>
      <c r="CO624" s="9"/>
      <c r="CP624" s="9"/>
      <c r="CQ624" s="9"/>
      <c r="CR624" s="9"/>
      <c r="CS624" s="9"/>
      <c r="FO624" s="23"/>
      <c r="FP624" s="23"/>
      <c r="FQ624" s="23"/>
      <c r="FR624" s="23"/>
      <c r="FS624" s="23"/>
      <c r="FT624" s="23"/>
      <c r="FU624" s="23"/>
      <c r="FV624" s="23"/>
    </row>
    <row r="625" spans="2:178" ht="12" customHeight="1" x14ac:dyDescent="0.3">
      <c r="B625" s="24"/>
      <c r="C625" s="24"/>
      <c r="D625" s="24"/>
      <c r="E625" s="24"/>
      <c r="F625" s="24"/>
      <c r="G625" s="109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L625" s="7"/>
      <c r="AM625" s="7"/>
      <c r="AN625" s="7"/>
      <c r="AO625" s="7"/>
      <c r="AP625" s="7"/>
      <c r="AQ625" s="7"/>
      <c r="AR625" s="7"/>
      <c r="CD625" s="9"/>
      <c r="CF625" s="9"/>
      <c r="CG625" s="9"/>
      <c r="CH625" s="9"/>
      <c r="CI625" s="9"/>
      <c r="CJ625" s="9"/>
      <c r="CK625" s="70"/>
      <c r="CL625" s="9"/>
      <c r="CM625" s="9"/>
      <c r="CN625" s="9"/>
      <c r="CO625" s="9"/>
      <c r="CP625" s="9"/>
      <c r="CQ625" s="9"/>
      <c r="CR625" s="9"/>
      <c r="CS625" s="9"/>
      <c r="FO625" s="23"/>
      <c r="FP625" s="23"/>
      <c r="FQ625" s="23"/>
      <c r="FR625" s="23"/>
      <c r="FS625" s="23"/>
      <c r="FT625" s="23"/>
      <c r="FU625" s="23"/>
      <c r="FV625" s="23"/>
    </row>
    <row r="626" spans="2:178" ht="12" customHeight="1" x14ac:dyDescent="0.3">
      <c r="B626" s="24"/>
      <c r="C626" s="24"/>
      <c r="D626" s="24"/>
      <c r="E626" s="24"/>
      <c r="F626" s="24"/>
      <c r="G626" s="109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L626" s="7"/>
      <c r="AM626" s="34"/>
      <c r="AN626" s="7"/>
      <c r="AO626" s="7"/>
      <c r="AP626" s="7"/>
      <c r="AQ626" s="7"/>
      <c r="AR626" s="7"/>
      <c r="CD626" s="9"/>
      <c r="CF626" s="9"/>
      <c r="CG626" s="9"/>
      <c r="CH626" s="9"/>
      <c r="CI626" s="9"/>
      <c r="CJ626" s="9"/>
      <c r="CK626" s="70"/>
      <c r="CL626" s="9"/>
      <c r="CM626" s="9"/>
      <c r="CN626" s="9"/>
      <c r="CO626" s="9"/>
      <c r="CP626" s="9"/>
      <c r="CQ626" s="9"/>
      <c r="CR626" s="9"/>
      <c r="CS626" s="9"/>
      <c r="FO626" s="23"/>
      <c r="FP626" s="23"/>
      <c r="FQ626" s="23"/>
      <c r="FR626" s="23"/>
      <c r="FS626" s="23"/>
      <c r="FT626" s="23"/>
      <c r="FU626" s="23"/>
      <c r="FV626" s="23"/>
    </row>
    <row r="627" spans="2:178" ht="12" customHeight="1" x14ac:dyDescent="0.3">
      <c r="B627" s="24"/>
      <c r="C627" s="24"/>
      <c r="D627" s="24"/>
      <c r="E627" s="24"/>
      <c r="F627" s="24"/>
      <c r="G627" s="109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L627" s="7"/>
      <c r="AM627" s="34"/>
      <c r="AN627" s="7"/>
      <c r="AO627" s="7"/>
      <c r="AP627" s="7"/>
      <c r="AQ627" s="7"/>
      <c r="AR627" s="7"/>
      <c r="CD627" s="9"/>
      <c r="CF627" s="9"/>
      <c r="CG627" s="9"/>
      <c r="CH627" s="9"/>
      <c r="CI627" s="9"/>
      <c r="CJ627" s="9"/>
      <c r="CK627" s="70"/>
      <c r="CL627" s="9"/>
      <c r="CM627" s="9"/>
      <c r="CN627" s="9"/>
      <c r="CO627" s="9"/>
      <c r="CP627" s="9"/>
      <c r="CQ627" s="9"/>
      <c r="CR627" s="9"/>
      <c r="CS627" s="9"/>
      <c r="FO627" s="23"/>
      <c r="FP627" s="23"/>
      <c r="FQ627" s="23"/>
      <c r="FR627" s="23"/>
      <c r="FS627" s="23"/>
      <c r="FT627" s="23"/>
      <c r="FU627" s="23"/>
      <c r="FV627" s="23"/>
    </row>
    <row r="628" spans="2:178" ht="12" customHeight="1" x14ac:dyDescent="0.3">
      <c r="FO628" s="23"/>
      <c r="FP628" s="23"/>
      <c r="FQ628" s="23"/>
      <c r="FR628" s="23"/>
      <c r="FS628" s="23"/>
      <c r="FT628" s="23"/>
    </row>
  </sheetData>
  <autoFilter ref="A19:GN456" xr:uid="{2FB3E79A-436C-4558-9A9E-2DCDC7B5B502}">
    <filterColumn colId="3">
      <filters>
        <filter val="Joint type"/>
      </filters>
    </filterColumn>
    <filterColumn colId="26">
      <customFilters>
        <customFilter operator="notEqual" val=" "/>
      </customFilters>
    </filterColumn>
    <filterColumn colId="35">
      <customFilters>
        <customFilter operator="notEqual" val=" "/>
      </customFilters>
    </filterColumn>
    <sortState xmlns:xlrd2="http://schemas.microsoft.com/office/spreadsheetml/2017/richdata2" ref="A157:GN456">
      <sortCondition descending="1" ref="K19:K456"/>
    </sortState>
  </autoFilter>
  <mergeCells count="4">
    <mergeCell ref="BS2:BX2"/>
    <mergeCell ref="BZ2:CG2"/>
    <mergeCell ref="DT9:DZ9"/>
    <mergeCell ref="EL9:EN9"/>
  </mergeCells>
  <phoneticPr fontId="4" type="noConversion"/>
  <printOptions horizontalCentered="1"/>
  <pageMargins left="0" right="0" top="0.19685039370078741" bottom="0" header="0.31496062992125984" footer="0.31496062992125984"/>
  <pageSetup paperSize="9" scale="57" fitToHeight="0" orientation="landscape" horizontalDpi="4294967293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693EA-B903-4D62-BA55-7D6CBFA1BC3E}">
  <dimension ref="A19:GM116"/>
  <sheetViews>
    <sheetView tabSelected="1" topLeftCell="A10" zoomScaleNormal="100" workbookViewId="0">
      <selection activeCell="F122" sqref="F122"/>
    </sheetView>
  </sheetViews>
  <sheetFormatPr defaultRowHeight="16.5" x14ac:dyDescent="0.3"/>
  <cols>
    <col min="1" max="1" width="6.375" customWidth="1"/>
    <col min="2" max="2" width="5.875" customWidth="1"/>
    <col min="3" max="3" width="4.75" customWidth="1"/>
    <col min="4" max="4" width="7" customWidth="1"/>
    <col min="5" max="5" width="5.375" customWidth="1"/>
    <col min="24" max="24" width="9" style="123"/>
  </cols>
  <sheetData>
    <row r="19" spans="1:195" s="4" customFormat="1" ht="80.25" customHeight="1" x14ac:dyDescent="0.3">
      <c r="A19" s="4" t="s">
        <v>685</v>
      </c>
      <c r="B19" s="4" t="s">
        <v>681</v>
      </c>
      <c r="C19" s="4" t="s">
        <v>682</v>
      </c>
      <c r="D19" s="4" t="s">
        <v>683</v>
      </c>
      <c r="E19" s="4" t="s">
        <v>684</v>
      </c>
      <c r="F19" s="107" t="s">
        <v>760</v>
      </c>
      <c r="G19" s="10" t="s">
        <v>0</v>
      </c>
      <c r="H19" s="10" t="s">
        <v>761</v>
      </c>
      <c r="I19" s="50" t="s">
        <v>686</v>
      </c>
      <c r="J19" s="50" t="s">
        <v>220</v>
      </c>
      <c r="K19" s="11" t="s">
        <v>74</v>
      </c>
      <c r="L19" s="50" t="s">
        <v>687</v>
      </c>
      <c r="M19" s="50" t="s">
        <v>688</v>
      </c>
      <c r="N19" s="11" t="s">
        <v>76</v>
      </c>
      <c r="O19" s="11" t="s">
        <v>75</v>
      </c>
      <c r="P19" s="50" t="s">
        <v>689</v>
      </c>
      <c r="Q19" s="50" t="s">
        <v>769</v>
      </c>
      <c r="R19" s="50" t="s">
        <v>690</v>
      </c>
      <c r="S19" s="50" t="s">
        <v>770</v>
      </c>
      <c r="T19" s="50" t="s">
        <v>691</v>
      </c>
      <c r="U19" s="50" t="s">
        <v>771</v>
      </c>
      <c r="V19" s="49" t="s">
        <v>692</v>
      </c>
      <c r="W19" s="49" t="s">
        <v>693</v>
      </c>
      <c r="X19" s="121" t="s">
        <v>697</v>
      </c>
      <c r="Y19" s="49" t="s">
        <v>772</v>
      </c>
      <c r="Z19" s="49" t="s">
        <v>694</v>
      </c>
      <c r="AA19" s="12" t="s">
        <v>59</v>
      </c>
      <c r="AB19" s="12" t="s">
        <v>60</v>
      </c>
      <c r="AC19" s="12" t="s">
        <v>56</v>
      </c>
      <c r="AD19" s="12" t="s">
        <v>377</v>
      </c>
      <c r="AE19" s="49" t="s">
        <v>57</v>
      </c>
      <c r="AF19" s="12" t="s">
        <v>65</v>
      </c>
      <c r="AG19" s="12" t="s">
        <v>187</v>
      </c>
      <c r="AH19" s="12" t="s">
        <v>186</v>
      </c>
      <c r="AI19" s="50" t="s">
        <v>695</v>
      </c>
      <c r="AJ19" s="13"/>
      <c r="AK19" s="13" t="s">
        <v>226</v>
      </c>
      <c r="AL19" s="49" t="s">
        <v>696</v>
      </c>
      <c r="AM19" s="49" t="s">
        <v>697</v>
      </c>
      <c r="AN19" s="49" t="s">
        <v>73</v>
      </c>
      <c r="AO19" s="49" t="s">
        <v>228</v>
      </c>
      <c r="AP19" s="49" t="s">
        <v>228</v>
      </c>
      <c r="AQ19" s="12"/>
      <c r="AR19" s="12" t="s">
        <v>125</v>
      </c>
      <c r="AS19" s="12" t="s">
        <v>126</v>
      </c>
      <c r="AT19" s="12" t="s">
        <v>124</v>
      </c>
      <c r="AW19" s="14" t="s">
        <v>652</v>
      </c>
      <c r="AX19" s="38" t="s">
        <v>229</v>
      </c>
      <c r="AY19" s="38" t="s">
        <v>603</v>
      </c>
      <c r="AZ19" s="38" t="s">
        <v>604</v>
      </c>
      <c r="BA19" s="38"/>
      <c r="BB19" s="38"/>
      <c r="BC19" s="38"/>
      <c r="BE19" s="14" t="s">
        <v>1</v>
      </c>
      <c r="BF19" s="14" t="s">
        <v>61</v>
      </c>
      <c r="BG19" s="41" t="s">
        <v>62</v>
      </c>
      <c r="BH19" s="14" t="s">
        <v>63</v>
      </c>
      <c r="BI19" s="14" t="s">
        <v>64</v>
      </c>
      <c r="BJ19" s="14" t="s">
        <v>39</v>
      </c>
      <c r="BK19" s="14"/>
      <c r="BL19" s="14" t="s">
        <v>61</v>
      </c>
      <c r="BM19" s="14" t="s">
        <v>39</v>
      </c>
      <c r="BN19" s="14"/>
      <c r="BO19" s="15" t="s">
        <v>184</v>
      </c>
      <c r="BP19" s="15" t="s">
        <v>185</v>
      </c>
      <c r="BQ19" s="15"/>
      <c r="BR19" s="14" t="s">
        <v>190</v>
      </c>
      <c r="BS19" s="14" t="s">
        <v>191</v>
      </c>
      <c r="BT19" s="14" t="s">
        <v>192</v>
      </c>
      <c r="BU19" s="14" t="s">
        <v>193</v>
      </c>
      <c r="BV19" s="14" t="s">
        <v>194</v>
      </c>
      <c r="BW19" s="14" t="s">
        <v>195</v>
      </c>
      <c r="BX19" s="14"/>
      <c r="BY19" s="14" t="s">
        <v>230</v>
      </c>
      <c r="BZ19" s="14" t="s">
        <v>8</v>
      </c>
      <c r="CA19" s="14" t="s">
        <v>9</v>
      </c>
      <c r="CB19" s="14" t="s">
        <v>231</v>
      </c>
      <c r="CC19" s="14" t="s">
        <v>13</v>
      </c>
      <c r="CD19" s="4" t="s">
        <v>10</v>
      </c>
      <c r="CE19" s="9" t="s">
        <v>11</v>
      </c>
      <c r="CF19" s="9" t="s">
        <v>12</v>
      </c>
      <c r="CG19" s="9" t="s">
        <v>14</v>
      </c>
      <c r="CH19" s="9" t="s">
        <v>15</v>
      </c>
      <c r="CI19" s="9" t="s">
        <v>16</v>
      </c>
      <c r="CJ19" s="70" t="s">
        <v>208</v>
      </c>
      <c r="CK19" s="9" t="s">
        <v>209</v>
      </c>
      <c r="CL19" s="9" t="s">
        <v>210</v>
      </c>
      <c r="CM19" s="9" t="s">
        <v>211</v>
      </c>
      <c r="CN19" s="9" t="s">
        <v>212</v>
      </c>
      <c r="CO19" s="9" t="s">
        <v>17</v>
      </c>
      <c r="CP19" s="9" t="s">
        <v>18</v>
      </c>
      <c r="CQ19" s="9" t="s">
        <v>8</v>
      </c>
      <c r="CR19" s="9" t="s">
        <v>19</v>
      </c>
      <c r="CS19" s="14"/>
      <c r="CT19" s="4" t="s">
        <v>6</v>
      </c>
      <c r="CU19" s="9" t="s">
        <v>236</v>
      </c>
      <c r="CV19" s="4" t="s">
        <v>376</v>
      </c>
      <c r="CW19" s="4" t="s">
        <v>20</v>
      </c>
      <c r="CX19" s="4" t="s">
        <v>25</v>
      </c>
      <c r="CY19" s="4" t="s">
        <v>51</v>
      </c>
      <c r="CZ19" s="4" t="s">
        <v>605</v>
      </c>
      <c r="DB19" s="14" t="s">
        <v>240</v>
      </c>
      <c r="DC19" s="14" t="s">
        <v>241</v>
      </c>
      <c r="DD19" s="14" t="s">
        <v>242</v>
      </c>
      <c r="DE19" s="14" t="s">
        <v>655</v>
      </c>
      <c r="DF19" s="14" t="s">
        <v>243</v>
      </c>
      <c r="DG19" s="14" t="s">
        <v>244</v>
      </c>
      <c r="DH19" s="14" t="s">
        <v>201</v>
      </c>
      <c r="DI19" s="14" t="s">
        <v>202</v>
      </c>
      <c r="DJ19" s="14" t="s">
        <v>366</v>
      </c>
      <c r="DK19" s="14" t="s">
        <v>656</v>
      </c>
      <c r="DL19" s="14" t="s">
        <v>203</v>
      </c>
      <c r="DM19" s="14" t="s">
        <v>204</v>
      </c>
      <c r="DN19" s="14"/>
      <c r="DO19" s="14"/>
      <c r="DP19" s="14" t="s">
        <v>7</v>
      </c>
      <c r="DQ19" s="14"/>
      <c r="DR19" s="14" t="s">
        <v>26</v>
      </c>
      <c r="DS19" s="4" t="s">
        <v>21</v>
      </c>
      <c r="DT19" s="16" t="s">
        <v>248</v>
      </c>
      <c r="DU19" s="17" t="s">
        <v>37</v>
      </c>
      <c r="DV19" s="9" t="s">
        <v>22</v>
      </c>
      <c r="DW19" s="9" t="s">
        <v>23</v>
      </c>
      <c r="DX19" s="9" t="s">
        <v>251</v>
      </c>
      <c r="DY19" s="9" t="s">
        <v>24</v>
      </c>
      <c r="DZ19" s="9"/>
      <c r="EA19" s="18" t="s">
        <v>369</v>
      </c>
      <c r="EB19" s="18" t="s">
        <v>368</v>
      </c>
      <c r="EC19" s="9" t="s">
        <v>24</v>
      </c>
      <c r="ED19" s="9" t="s">
        <v>252</v>
      </c>
      <c r="EE19" s="9"/>
      <c r="EF19" s="9" t="s">
        <v>8</v>
      </c>
      <c r="EG19" s="9" t="s">
        <v>9</v>
      </c>
      <c r="EH19" s="9" t="s">
        <v>231</v>
      </c>
      <c r="EI19" s="14" t="s">
        <v>13</v>
      </c>
      <c r="EJ19" s="14"/>
      <c r="EK19" s="9" t="s">
        <v>24</v>
      </c>
      <c r="EL19" s="9" t="s">
        <v>653</v>
      </c>
      <c r="EM19" s="9"/>
      <c r="EN19" s="14"/>
      <c r="EO19" s="16" t="s">
        <v>248</v>
      </c>
      <c r="EP19" s="16"/>
      <c r="EQ19" s="17" t="s">
        <v>30</v>
      </c>
      <c r="ER19" s="17" t="s">
        <v>31</v>
      </c>
      <c r="ES19" s="17"/>
      <c r="ET19" s="17" t="s">
        <v>34</v>
      </c>
      <c r="EU19" s="17" t="s">
        <v>35</v>
      </c>
      <c r="EV19" s="17" t="s">
        <v>36</v>
      </c>
      <c r="EW19" s="17" t="s">
        <v>261</v>
      </c>
      <c r="EX19" s="17" t="s">
        <v>37</v>
      </c>
      <c r="EY19" s="17" t="s">
        <v>262</v>
      </c>
      <c r="EZ19" s="17" t="s">
        <v>38</v>
      </c>
      <c r="FA19" s="17" t="s">
        <v>32</v>
      </c>
      <c r="FB19" s="17" t="s">
        <v>33</v>
      </c>
      <c r="FC19" s="17" t="s">
        <v>21</v>
      </c>
      <c r="FD19" s="17" t="s">
        <v>251</v>
      </c>
      <c r="FE19" s="16" t="s">
        <v>39</v>
      </c>
      <c r="FF19" s="17" t="s">
        <v>189</v>
      </c>
      <c r="FG19" s="17" t="s">
        <v>188</v>
      </c>
      <c r="FH19" s="17"/>
      <c r="FI19" s="9" t="s">
        <v>367</v>
      </c>
      <c r="FJ19" s="9" t="s">
        <v>252</v>
      </c>
      <c r="FK19" s="9" t="s">
        <v>255</v>
      </c>
      <c r="FL19" s="9"/>
      <c r="FM19" s="9"/>
      <c r="FN19" s="9" t="s">
        <v>2</v>
      </c>
      <c r="FO19" s="4" t="s">
        <v>214</v>
      </c>
      <c r="FP19" s="4" t="s">
        <v>605</v>
      </c>
      <c r="FQ19" s="4" t="s">
        <v>40</v>
      </c>
      <c r="FR19" s="4" t="s">
        <v>41</v>
      </c>
      <c r="FS19" s="4" t="s">
        <v>51</v>
      </c>
      <c r="FT19" s="9">
        <f>SUM(FT20:FT623)</f>
        <v>0</v>
      </c>
      <c r="FU19" s="9"/>
      <c r="FV19" s="9"/>
      <c r="FX19" s="1" t="s">
        <v>606</v>
      </c>
      <c r="FY19" s="1" t="s">
        <v>3</v>
      </c>
      <c r="FZ19" s="1"/>
      <c r="GA19" s="2" t="s">
        <v>5</v>
      </c>
      <c r="GE19" s="1" t="s">
        <v>606</v>
      </c>
      <c r="GF19" s="1" t="s">
        <v>3</v>
      </c>
      <c r="GG19" s="1"/>
      <c r="GH19" s="2" t="s">
        <v>757</v>
      </c>
    </row>
    <row r="20" spans="1:195" s="4" customFormat="1" ht="12" customHeight="1" x14ac:dyDescent="0.3">
      <c r="A20" s="25">
        <v>186</v>
      </c>
      <c r="B20" s="24" t="s">
        <v>128</v>
      </c>
      <c r="C20" s="24">
        <v>2017</v>
      </c>
      <c r="D20" s="24" t="s">
        <v>309</v>
      </c>
      <c r="E20" s="24"/>
      <c r="F20" s="109" t="s">
        <v>794</v>
      </c>
      <c r="G20" s="4" t="s">
        <v>312</v>
      </c>
      <c r="H20" s="5">
        <v>4</v>
      </c>
      <c r="I20" s="7">
        <v>649</v>
      </c>
      <c r="J20" s="104">
        <v>127.2</v>
      </c>
      <c r="K20" s="7">
        <v>127.2</v>
      </c>
      <c r="L20" s="10">
        <v>129.9</v>
      </c>
      <c r="M20" s="21">
        <v>31.8</v>
      </c>
      <c r="N20" s="7">
        <v>4</v>
      </c>
      <c r="O20" s="7">
        <v>4</v>
      </c>
      <c r="P20" s="7">
        <v>396</v>
      </c>
      <c r="Q20" s="32">
        <v>1</v>
      </c>
      <c r="R20" s="7">
        <v>31.8</v>
      </c>
      <c r="S20" s="32">
        <v>1.3773584905660377</v>
      </c>
      <c r="T20" s="7">
        <v>43.8</v>
      </c>
      <c r="U20" s="32">
        <v>8.4528301886792434</v>
      </c>
      <c r="V20" s="7">
        <v>268.79999999999995</v>
      </c>
      <c r="W20" s="7">
        <v>2</v>
      </c>
      <c r="X20" s="122">
        <v>0</v>
      </c>
      <c r="Y20" s="32">
        <v>2.6666666666666665</v>
      </c>
      <c r="Z20" s="10">
        <v>84.8</v>
      </c>
      <c r="AA20" s="7">
        <v>1.5</v>
      </c>
      <c r="AB20" s="7">
        <v>1.5</v>
      </c>
      <c r="AC20" s="7">
        <v>4</v>
      </c>
      <c r="AD20" s="7">
        <v>4</v>
      </c>
      <c r="AE20" s="7">
        <v>5</v>
      </c>
      <c r="AF20" s="7">
        <v>71.106961684493314</v>
      </c>
      <c r="AG20" s="7">
        <v>649</v>
      </c>
      <c r="AH20" s="7">
        <v>11</v>
      </c>
      <c r="AI20" s="7">
        <v>707</v>
      </c>
      <c r="AJ20" s="7"/>
      <c r="AK20" s="4">
        <v>1.0926922449567047</v>
      </c>
      <c r="AL20" s="7">
        <v>0</v>
      </c>
      <c r="AM20" s="7">
        <v>0</v>
      </c>
      <c r="AN20" s="7">
        <v>127.2</v>
      </c>
      <c r="AO20" s="7"/>
      <c r="AP20" s="7"/>
      <c r="AQ20" s="7">
        <v>1.2694610778443116</v>
      </c>
      <c r="AR20" s="4">
        <v>127.2</v>
      </c>
      <c r="AS20" s="4">
        <v>1.0377358490566038</v>
      </c>
      <c r="AT20" s="4">
        <v>102.93453939452981</v>
      </c>
      <c r="AU20" s="4">
        <v>0.77499999999999991</v>
      </c>
      <c r="AV20" s="4">
        <v>1.25</v>
      </c>
      <c r="AW20" s="47">
        <v>5</v>
      </c>
      <c r="AX20" s="38">
        <v>517.40386104856509</v>
      </c>
      <c r="AY20" s="38">
        <v>517.40386104856509</v>
      </c>
      <c r="AZ20" s="38">
        <v>5.7111767066521422</v>
      </c>
      <c r="BA20" s="38">
        <v>517.40386104856543</v>
      </c>
      <c r="BB20" s="38">
        <v>0.99999999999999933</v>
      </c>
      <c r="BC20" s="38">
        <v>1.5063668029466883</v>
      </c>
      <c r="BD20" s="4">
        <v>0</v>
      </c>
      <c r="BE20" s="4">
        <v>239.94459194200661</v>
      </c>
      <c r="BF20" s="4">
        <v>1</v>
      </c>
      <c r="BG20" s="38">
        <v>779.40000000000009</v>
      </c>
      <c r="BH20" s="4">
        <v>0.44000000000000006</v>
      </c>
      <c r="BI20" s="4">
        <v>55.163261687467333</v>
      </c>
      <c r="BJ20" s="4">
        <v>834.56326168746739</v>
      </c>
      <c r="BL20" s="4">
        <v>1</v>
      </c>
      <c r="BM20" s="4">
        <v>478.68946092430321</v>
      </c>
      <c r="BO20" s="4">
        <v>747.53991440910613</v>
      </c>
      <c r="BP20" s="4">
        <v>711.96329095823319</v>
      </c>
      <c r="BQ20" s="4">
        <v>0.95240839617374207</v>
      </c>
      <c r="BY20" s="4">
        <v>31.8</v>
      </c>
      <c r="CC20" s="9"/>
      <c r="CE20" s="9"/>
      <c r="CF20" s="9"/>
      <c r="CG20" s="9">
        <v>31.8</v>
      </c>
      <c r="CH20" s="9">
        <v>134.39999999999998</v>
      </c>
      <c r="CI20" s="9">
        <v>1.2413544982455165</v>
      </c>
      <c r="CJ20" s="70">
        <v>0</v>
      </c>
      <c r="CK20" s="9">
        <v>0</v>
      </c>
      <c r="CL20" s="9">
        <v>0</v>
      </c>
      <c r="CM20" s="9">
        <v>0.93036607665491811</v>
      </c>
      <c r="CN20" s="9">
        <v>0.80099999999999993</v>
      </c>
      <c r="CO20" s="9">
        <v>2.9727542082721463</v>
      </c>
      <c r="CP20" s="9">
        <v>3.6902418086169178</v>
      </c>
      <c r="CQ20" s="9">
        <v>1</v>
      </c>
      <c r="CR20" s="9">
        <v>280.45837745488575</v>
      </c>
      <c r="CT20" s="4">
        <v>2.9465135858151714</v>
      </c>
      <c r="CU20" s="4">
        <v>0.84714967990618539</v>
      </c>
      <c r="CV20" s="4">
        <v>1.476949165822141</v>
      </c>
      <c r="CW20" s="4">
        <v>2.5208731734666308</v>
      </c>
      <c r="CX20" s="44">
        <v>1.0926922449567047</v>
      </c>
      <c r="CY20" s="4">
        <v>1.1179242582161224</v>
      </c>
      <c r="CZ20" s="4">
        <v>3.6717330366569469</v>
      </c>
      <c r="DB20" s="4">
        <v>2.9465135858151714</v>
      </c>
      <c r="DC20" s="4">
        <v>0.84714967990618539</v>
      </c>
      <c r="DD20" s="4">
        <v>2.5208731734666308</v>
      </c>
      <c r="DE20" s="4">
        <v>3.6717330366569469</v>
      </c>
      <c r="DF20" s="4">
        <v>1.0926922449567047</v>
      </c>
      <c r="DG20" s="4">
        <v>1.1179242582161224</v>
      </c>
      <c r="DO20" s="4">
        <v>0</v>
      </c>
      <c r="DP20" s="4">
        <v>127.2</v>
      </c>
      <c r="DS20" s="4">
        <v>1.3307058507295954E-5</v>
      </c>
      <c r="DT20" s="4">
        <v>11.016345201186075</v>
      </c>
      <c r="DU20" s="4">
        <v>0.2755113670422118</v>
      </c>
      <c r="DV20" s="4">
        <v>6.577992059640426</v>
      </c>
      <c r="DW20" s="4">
        <v>9.0744139065227447</v>
      </c>
      <c r="DX20" s="4">
        <v>10.764395049922769</v>
      </c>
      <c r="DY20" s="38">
        <v>647.02573232595171</v>
      </c>
      <c r="DZ20" s="4">
        <v>1.0000675853676408</v>
      </c>
      <c r="EA20" s="4">
        <v>2.2360679774997898</v>
      </c>
      <c r="EB20" s="4">
        <v>517.40386104856543</v>
      </c>
      <c r="EF20" s="4">
        <v>0.85</v>
      </c>
      <c r="EG20" s="4">
        <v>1</v>
      </c>
      <c r="EH20" s="4">
        <v>1</v>
      </c>
      <c r="EI20" s="4">
        <v>1</v>
      </c>
      <c r="EK20" s="4">
        <v>632.4220937187315</v>
      </c>
      <c r="EL20" s="25">
        <v>500.22595130449861</v>
      </c>
      <c r="EO20" s="4">
        <v>11.016345201186075</v>
      </c>
      <c r="ER20" s="4">
        <v>71.106961684493314</v>
      </c>
      <c r="ES20" s="4">
        <v>2.2360679774997898</v>
      </c>
      <c r="ET20" s="4">
        <v>0.17170358488533044</v>
      </c>
      <c r="EW20" s="4">
        <v>0.17170358488533044</v>
      </c>
      <c r="EX20" s="4">
        <v>0.27505158991895695</v>
      </c>
      <c r="EY20" s="4">
        <v>6.5735988822544051</v>
      </c>
      <c r="EZ20" s="4">
        <v>9.0728292317903581</v>
      </c>
      <c r="FA20" s="4">
        <v>24.293038315506692</v>
      </c>
      <c r="FB20" s="4">
        <v>31.799999999999997</v>
      </c>
      <c r="FC20" s="4">
        <v>1.330705850729595E-5</v>
      </c>
      <c r="FD20" s="4">
        <v>10.764497447788541</v>
      </c>
      <c r="FE20" s="4">
        <v>646.98200580923208</v>
      </c>
      <c r="FN20" s="23">
        <v>2.2000000000000002</v>
      </c>
      <c r="FO20" s="23">
        <v>1</v>
      </c>
      <c r="FP20" s="23">
        <v>2.2000000000000002</v>
      </c>
      <c r="FQ20" s="23">
        <v>2.2000000000000002</v>
      </c>
      <c r="FR20" s="23">
        <v>1.2</v>
      </c>
      <c r="FS20" s="23">
        <v>1.2</v>
      </c>
      <c r="FT20" s="23">
        <v>0</v>
      </c>
      <c r="FU20" s="23"/>
      <c r="GE20" s="4">
        <v>1.25</v>
      </c>
      <c r="GF20" s="4">
        <v>0.5</v>
      </c>
      <c r="GG20" s="4">
        <v>0</v>
      </c>
      <c r="GH20" s="4">
        <v>192.55212537012548</v>
      </c>
    </row>
    <row r="21" spans="1:195" s="4" customFormat="1" ht="12" customHeight="1" x14ac:dyDescent="0.3">
      <c r="A21" s="25">
        <v>187</v>
      </c>
      <c r="B21" s="24" t="s">
        <v>128</v>
      </c>
      <c r="C21" s="24">
        <v>2017</v>
      </c>
      <c r="D21" s="24" t="s">
        <v>309</v>
      </c>
      <c r="E21" s="24"/>
      <c r="F21" s="109" t="s">
        <v>794</v>
      </c>
      <c r="G21" s="4" t="s">
        <v>154</v>
      </c>
      <c r="H21" s="5">
        <v>4</v>
      </c>
      <c r="I21" s="7">
        <v>649</v>
      </c>
      <c r="J21" s="104">
        <v>127.2</v>
      </c>
      <c r="K21" s="7">
        <v>127.2</v>
      </c>
      <c r="L21" s="10">
        <v>129.9</v>
      </c>
      <c r="M21" s="21">
        <v>31.8</v>
      </c>
      <c r="N21" s="7">
        <v>4</v>
      </c>
      <c r="O21" s="7">
        <v>4</v>
      </c>
      <c r="P21" s="7">
        <v>396</v>
      </c>
      <c r="Q21" s="32">
        <v>1</v>
      </c>
      <c r="R21" s="7">
        <v>31.8</v>
      </c>
      <c r="S21" s="32">
        <v>1.3773584905660377</v>
      </c>
      <c r="T21" s="7">
        <v>43.8</v>
      </c>
      <c r="U21" s="32">
        <v>8.4528301886792434</v>
      </c>
      <c r="V21" s="7">
        <v>268.79999999999995</v>
      </c>
      <c r="W21" s="7">
        <v>2</v>
      </c>
      <c r="X21" s="122">
        <v>0</v>
      </c>
      <c r="Y21" s="32">
        <v>2.6666666666666665</v>
      </c>
      <c r="Z21" s="10">
        <v>84.8</v>
      </c>
      <c r="AA21" s="7">
        <v>1.5</v>
      </c>
      <c r="AB21" s="7">
        <v>1.5</v>
      </c>
      <c r="AC21" s="7">
        <v>4</v>
      </c>
      <c r="AD21" s="7">
        <v>4</v>
      </c>
      <c r="AE21" s="7">
        <v>5</v>
      </c>
      <c r="AF21" s="7">
        <v>71.106961684493314</v>
      </c>
      <c r="AG21" s="7">
        <v>649</v>
      </c>
      <c r="AH21" s="7">
        <v>11</v>
      </c>
      <c r="AI21" s="7">
        <v>704</v>
      </c>
      <c r="AJ21" s="7"/>
      <c r="AK21" s="4">
        <v>1.0880556442001699</v>
      </c>
      <c r="AL21" s="7">
        <v>0</v>
      </c>
      <c r="AM21" s="7">
        <v>0</v>
      </c>
      <c r="AN21" s="7">
        <v>127.2</v>
      </c>
      <c r="AO21" s="7"/>
      <c r="AP21" s="7"/>
      <c r="AQ21" s="7">
        <v>1.2694610778443116</v>
      </c>
      <c r="AR21" s="4">
        <v>127.2</v>
      </c>
      <c r="AS21" s="4">
        <v>1.0377358490566038</v>
      </c>
      <c r="AT21" s="4">
        <v>102.93453939452981</v>
      </c>
      <c r="AU21" s="4">
        <v>0.77499999999999991</v>
      </c>
      <c r="AV21" s="4">
        <v>1.25</v>
      </c>
      <c r="AW21" s="47">
        <v>5</v>
      </c>
      <c r="AX21" s="38">
        <v>517.40386104856509</v>
      </c>
      <c r="AY21" s="38">
        <v>517.40386104856509</v>
      </c>
      <c r="AZ21" s="38">
        <v>5.7111767066521422</v>
      </c>
      <c r="BA21" s="38">
        <v>517.40386104856543</v>
      </c>
      <c r="BB21" s="38">
        <v>0.99999999999999933</v>
      </c>
      <c r="BC21" s="38">
        <v>1.5063668029466883</v>
      </c>
      <c r="BD21" s="4">
        <v>0</v>
      </c>
      <c r="BE21" s="4">
        <v>239.94459194200661</v>
      </c>
      <c r="BF21" s="4">
        <v>1</v>
      </c>
      <c r="BG21" s="38">
        <v>779.40000000000009</v>
      </c>
      <c r="BH21" s="4">
        <v>0.44000000000000006</v>
      </c>
      <c r="BI21" s="4">
        <v>55.163261687467333</v>
      </c>
      <c r="BJ21" s="4">
        <v>834.56326168746739</v>
      </c>
      <c r="BL21" s="4">
        <v>1</v>
      </c>
      <c r="BM21" s="4">
        <v>478.68946092430321</v>
      </c>
      <c r="BO21" s="4">
        <v>747.53991440910613</v>
      </c>
      <c r="BP21" s="4">
        <v>711.96329095823319</v>
      </c>
      <c r="BQ21" s="4">
        <v>0.95240839617374207</v>
      </c>
      <c r="BY21" s="4">
        <v>31.8</v>
      </c>
      <c r="CC21" s="9"/>
      <c r="CE21" s="9"/>
      <c r="CF21" s="9"/>
      <c r="CG21" s="9">
        <v>31.8</v>
      </c>
      <c r="CH21" s="9">
        <v>134.39999999999998</v>
      </c>
      <c r="CI21" s="9">
        <v>1.2413544982455165</v>
      </c>
      <c r="CJ21" s="70">
        <v>0</v>
      </c>
      <c r="CK21" s="9">
        <v>0</v>
      </c>
      <c r="CL21" s="9">
        <v>0</v>
      </c>
      <c r="CM21" s="9">
        <v>0.93036607665491811</v>
      </c>
      <c r="CN21" s="9">
        <v>0.80099999999999993</v>
      </c>
      <c r="CO21" s="9">
        <v>2.9727542082721463</v>
      </c>
      <c r="CP21" s="9">
        <v>3.6902418086169178</v>
      </c>
      <c r="CQ21" s="9">
        <v>1</v>
      </c>
      <c r="CR21" s="9">
        <v>280.45837745488575</v>
      </c>
      <c r="CT21" s="4">
        <v>2.9340106993124198</v>
      </c>
      <c r="CU21" s="4">
        <v>0.84355498536627227</v>
      </c>
      <c r="CV21" s="4">
        <v>1.4706820547931927</v>
      </c>
      <c r="CW21" s="4">
        <v>2.5101763990389081</v>
      </c>
      <c r="CX21" s="44">
        <v>1.0880556442001699</v>
      </c>
      <c r="CY21" s="4">
        <v>1.1131805909252479</v>
      </c>
      <c r="CZ21" s="4">
        <v>3.6561528398960266</v>
      </c>
      <c r="DB21" s="4">
        <v>2.9340106993124198</v>
      </c>
      <c r="DC21" s="4">
        <v>0.84355498536627227</v>
      </c>
      <c r="DD21" s="4">
        <v>2.5101763990389081</v>
      </c>
      <c r="DE21" s="4">
        <v>3.6561528398960266</v>
      </c>
      <c r="DF21" s="4">
        <v>1.0880556442001699</v>
      </c>
      <c r="DG21" s="4">
        <v>1.1131805909252479</v>
      </c>
      <c r="DO21" s="4">
        <v>0</v>
      </c>
      <c r="DP21" s="4">
        <v>127.2</v>
      </c>
      <c r="DS21" s="4">
        <v>1.3307058507295954E-5</v>
      </c>
      <c r="DT21" s="4">
        <v>11.016345201186075</v>
      </c>
      <c r="DU21" s="4">
        <v>0.2755113670422118</v>
      </c>
      <c r="DV21" s="4">
        <v>6.577992059640426</v>
      </c>
      <c r="DW21" s="4">
        <v>9.0744139065227447</v>
      </c>
      <c r="DX21" s="4">
        <v>10.764395049922769</v>
      </c>
      <c r="DY21" s="38">
        <v>647.02573232595171</v>
      </c>
      <c r="DZ21" s="4">
        <v>1.0000675853676408</v>
      </c>
      <c r="EA21" s="4">
        <v>2.2360679774997898</v>
      </c>
      <c r="EB21" s="4">
        <v>517.40386104856543</v>
      </c>
      <c r="EF21" s="4">
        <v>0.85</v>
      </c>
      <c r="EG21" s="4">
        <v>1</v>
      </c>
      <c r="EH21" s="4">
        <v>1</v>
      </c>
      <c r="EI21" s="4">
        <v>1</v>
      </c>
      <c r="EK21" s="4">
        <v>632.4220937187315</v>
      </c>
      <c r="EL21" s="25">
        <v>500.22595130449861</v>
      </c>
      <c r="EO21" s="4">
        <v>11.016345201186075</v>
      </c>
      <c r="ER21" s="4">
        <v>71.106961684493314</v>
      </c>
      <c r="ES21" s="4">
        <v>2.2360679774997898</v>
      </c>
      <c r="ET21" s="4">
        <v>0.17170358488533044</v>
      </c>
      <c r="EW21" s="4">
        <v>0.17170358488533044</v>
      </c>
      <c r="EX21" s="4">
        <v>0.27505158991895695</v>
      </c>
      <c r="EY21" s="4">
        <v>6.5735988822544051</v>
      </c>
      <c r="EZ21" s="4">
        <v>9.0728292317903581</v>
      </c>
      <c r="FA21" s="4">
        <v>24.293038315506692</v>
      </c>
      <c r="FB21" s="4">
        <v>31.799999999999997</v>
      </c>
      <c r="FC21" s="4">
        <v>1.330705850729595E-5</v>
      </c>
      <c r="FD21" s="4">
        <v>10.764497447788541</v>
      </c>
      <c r="FE21" s="4">
        <v>646.98200580923208</v>
      </c>
      <c r="FN21" s="23">
        <v>2.2000000000000002</v>
      </c>
      <c r="FO21" s="23">
        <v>1</v>
      </c>
      <c r="FP21" s="23">
        <v>2.2000000000000002</v>
      </c>
      <c r="FQ21" s="23">
        <v>2.2000000000000002</v>
      </c>
      <c r="FR21" s="23">
        <v>1.2</v>
      </c>
      <c r="FS21" s="23">
        <v>1.2</v>
      </c>
      <c r="FT21" s="23">
        <v>0</v>
      </c>
      <c r="FU21" s="23"/>
      <c r="GE21" s="4">
        <v>1.25</v>
      </c>
      <c r="GF21" s="4">
        <v>0.5</v>
      </c>
      <c r="GG21" s="4">
        <v>0</v>
      </c>
      <c r="GH21" s="4">
        <v>192.55212537012548</v>
      </c>
    </row>
    <row r="22" spans="1:195" s="4" customFormat="1" ht="12" customHeight="1" x14ac:dyDescent="0.3">
      <c r="A22" s="25">
        <v>188</v>
      </c>
      <c r="B22" s="24" t="s">
        <v>128</v>
      </c>
      <c r="C22" s="24">
        <v>2017</v>
      </c>
      <c r="D22" s="24" t="s">
        <v>309</v>
      </c>
      <c r="E22" s="24"/>
      <c r="F22" s="109" t="s">
        <v>793</v>
      </c>
      <c r="G22" s="4" t="s">
        <v>320</v>
      </c>
      <c r="H22" s="5">
        <v>4</v>
      </c>
      <c r="I22" s="7">
        <v>649</v>
      </c>
      <c r="J22" s="104">
        <v>127.2</v>
      </c>
      <c r="K22" s="7">
        <v>127.2</v>
      </c>
      <c r="L22" s="10">
        <v>129.9</v>
      </c>
      <c r="M22" s="21">
        <v>31.8</v>
      </c>
      <c r="N22" s="7">
        <v>4</v>
      </c>
      <c r="O22" s="7">
        <v>4</v>
      </c>
      <c r="P22" s="7">
        <v>428</v>
      </c>
      <c r="Q22" s="32">
        <v>1.5</v>
      </c>
      <c r="R22" s="7">
        <v>47.7</v>
      </c>
      <c r="S22" s="32">
        <v>1.3773584905660377</v>
      </c>
      <c r="T22" s="7">
        <v>43.8</v>
      </c>
      <c r="U22" s="32">
        <v>8.4591194968553456</v>
      </c>
      <c r="V22" s="7">
        <v>269</v>
      </c>
      <c r="W22" s="7">
        <v>2</v>
      </c>
      <c r="X22" s="122">
        <v>0</v>
      </c>
      <c r="Y22" s="32">
        <v>2.6666666666666665</v>
      </c>
      <c r="Z22" s="10">
        <v>84.8</v>
      </c>
      <c r="AA22" s="7">
        <v>2</v>
      </c>
      <c r="AB22" s="7">
        <v>2</v>
      </c>
      <c r="AC22" s="7">
        <v>4</v>
      </c>
      <c r="AD22" s="7">
        <v>4</v>
      </c>
      <c r="AE22" s="7">
        <v>5</v>
      </c>
      <c r="AF22" s="7">
        <v>71.106961684493314</v>
      </c>
      <c r="AG22" s="7">
        <v>649</v>
      </c>
      <c r="AH22" s="7">
        <v>11</v>
      </c>
      <c r="AI22" s="7">
        <v>725.5</v>
      </c>
      <c r="AJ22" s="7"/>
      <c r="AK22" s="4">
        <v>1.0122350649057119</v>
      </c>
      <c r="AL22" s="7">
        <v>0</v>
      </c>
      <c r="AM22" s="7">
        <v>0</v>
      </c>
      <c r="AN22" s="7">
        <v>127.2</v>
      </c>
      <c r="AO22" s="7"/>
      <c r="AP22" s="7"/>
      <c r="AQ22" s="7">
        <v>1.2686170212765957</v>
      </c>
      <c r="AR22" s="4">
        <v>127.2</v>
      </c>
      <c r="AS22" s="4">
        <v>1.1215932914046123</v>
      </c>
      <c r="AT22" s="4">
        <v>102.93453939452981</v>
      </c>
      <c r="AU22" s="4">
        <v>0.79999999999999993</v>
      </c>
      <c r="AV22" s="4">
        <v>1.25</v>
      </c>
      <c r="AW22" s="47">
        <v>5</v>
      </c>
      <c r="AX22" s="38">
        <v>577.25344419364194</v>
      </c>
      <c r="AY22" s="38">
        <v>577.25344419364194</v>
      </c>
      <c r="AZ22" s="38">
        <v>5.7111767066521422</v>
      </c>
      <c r="BA22" s="38">
        <v>577.25344419364239</v>
      </c>
      <c r="BB22" s="38">
        <v>0.99999999999999922</v>
      </c>
      <c r="BC22" s="38">
        <v>1.8002491114654926</v>
      </c>
      <c r="BD22" s="4">
        <v>0</v>
      </c>
      <c r="BE22" s="4">
        <v>239.94459194200661</v>
      </c>
      <c r="BF22" s="4">
        <v>1</v>
      </c>
      <c r="BG22" s="38">
        <v>1039.2</v>
      </c>
      <c r="BH22" s="4">
        <v>0.44000000000000006</v>
      </c>
      <c r="BI22" s="4">
        <v>55.163261687467333</v>
      </c>
      <c r="BJ22" s="4">
        <v>1094.3632616874675</v>
      </c>
      <c r="BL22" s="4">
        <v>1.125</v>
      </c>
      <c r="BM22" s="4">
        <v>538.5256435398411</v>
      </c>
      <c r="BO22" s="4">
        <v>996.71988587880821</v>
      </c>
      <c r="BP22" s="4">
        <v>711.96329095823319</v>
      </c>
      <c r="BQ22" s="4">
        <v>0.71430629713030647</v>
      </c>
      <c r="BY22" s="4">
        <v>47.7</v>
      </c>
      <c r="CC22" s="9"/>
      <c r="CE22" s="9"/>
      <c r="CF22" s="9"/>
      <c r="CG22" s="9">
        <v>43.8</v>
      </c>
      <c r="CH22" s="9">
        <v>134.5</v>
      </c>
      <c r="CI22" s="9">
        <v>1.3887073091970812</v>
      </c>
      <c r="CJ22" s="70">
        <v>0</v>
      </c>
      <c r="CK22" s="9">
        <v>0</v>
      </c>
      <c r="CL22" s="9">
        <v>0</v>
      </c>
      <c r="CM22" s="9">
        <v>0.93036607665491811</v>
      </c>
      <c r="CN22" s="9">
        <v>0.80099999999999993</v>
      </c>
      <c r="CO22" s="9">
        <v>2.9727542082721463</v>
      </c>
      <c r="CP22" s="9">
        <v>4.1282854974739118</v>
      </c>
      <c r="CQ22" s="9">
        <v>1</v>
      </c>
      <c r="CR22" s="9">
        <v>313.74969780801729</v>
      </c>
      <c r="CT22" s="4">
        <v>3.0236147192488074</v>
      </c>
      <c r="CU22" s="4">
        <v>0.66294257619842423</v>
      </c>
      <c r="CV22" s="4">
        <v>1.3471967560005826</v>
      </c>
      <c r="CW22" s="4">
        <v>2.3123528247792344</v>
      </c>
      <c r="CX22" s="44">
        <v>1.0122350649057119</v>
      </c>
      <c r="CY22" s="4">
        <v>1.0396608877230671</v>
      </c>
      <c r="CZ22" s="4">
        <v>3.7678109166826239</v>
      </c>
      <c r="DB22" s="4">
        <v>3.0236147192488074</v>
      </c>
      <c r="DC22" s="4">
        <v>0.66294257619842423</v>
      </c>
      <c r="DD22" s="4">
        <v>2.3123528247792344</v>
      </c>
      <c r="DE22" s="4">
        <v>3.7678109166826239</v>
      </c>
      <c r="DF22" s="4">
        <v>1.0122350649057119</v>
      </c>
      <c r="DG22" s="4">
        <v>1.0396608877230671</v>
      </c>
      <c r="DO22" s="4">
        <v>0</v>
      </c>
      <c r="DP22" s="4">
        <v>127.2</v>
      </c>
      <c r="DS22" s="4">
        <v>1.3307058507295954E-5</v>
      </c>
      <c r="DT22" s="4">
        <v>11.596152843353764</v>
      </c>
      <c r="DU22" s="4">
        <v>0.30738055417156512</v>
      </c>
      <c r="DV22" s="4">
        <v>7.2340996459405771</v>
      </c>
      <c r="DW22" s="4">
        <v>9.6657193846819744</v>
      </c>
      <c r="DX22" s="4">
        <v>11.309436008935599</v>
      </c>
      <c r="DY22" s="38">
        <v>716.73075272054439</v>
      </c>
      <c r="DZ22" s="4">
        <v>1.0000673124475594</v>
      </c>
      <c r="EA22" s="4">
        <v>2.2360679774997898</v>
      </c>
      <c r="EB22" s="4">
        <v>577.25344419364239</v>
      </c>
      <c r="EF22" s="4">
        <v>0.85</v>
      </c>
      <c r="EG22" s="4">
        <v>0.95</v>
      </c>
      <c r="EH22" s="4">
        <v>1</v>
      </c>
      <c r="EI22" s="4">
        <v>0.95</v>
      </c>
      <c r="EK22" s="4">
        <v>697.82369286671712</v>
      </c>
      <c r="EL22" s="25">
        <v>558.66985874647196</v>
      </c>
      <c r="EO22" s="4">
        <v>11.596152843353764</v>
      </c>
      <c r="ER22" s="4">
        <v>71.106961684493314</v>
      </c>
      <c r="ES22" s="4">
        <v>2.2360679774997898</v>
      </c>
      <c r="ET22" s="4">
        <v>0.19156502921061311</v>
      </c>
      <c r="EW22" s="4">
        <v>0.19156502921061311</v>
      </c>
      <c r="EX22" s="4">
        <v>0.30686759331460051</v>
      </c>
      <c r="EY22" s="4">
        <v>7.2292682805809623</v>
      </c>
      <c r="EZ22" s="4">
        <v>9.6639180482033353</v>
      </c>
      <c r="FA22" s="4">
        <v>24.293038315506692</v>
      </c>
      <c r="FB22" s="4">
        <v>31.799999999999997</v>
      </c>
      <c r="FC22" s="4">
        <v>1.330705850729595E-5</v>
      </c>
      <c r="FD22" s="4">
        <v>11.309554955437452</v>
      </c>
      <c r="FE22" s="4">
        <v>716.68251106660148</v>
      </c>
      <c r="FN22" s="23">
        <v>2.2000000000000002</v>
      </c>
      <c r="FO22" s="23">
        <v>0.8</v>
      </c>
      <c r="FP22" s="23">
        <v>2.2000000000000002</v>
      </c>
      <c r="FQ22" s="23">
        <v>2.2000000000000002</v>
      </c>
      <c r="FR22" s="23">
        <v>1.2</v>
      </c>
      <c r="FS22" s="23">
        <v>1.2</v>
      </c>
      <c r="FT22" s="23">
        <v>0</v>
      </c>
      <c r="FU22" s="23"/>
      <c r="GE22" s="4">
        <v>1.25</v>
      </c>
      <c r="GF22" s="4">
        <v>0.5</v>
      </c>
      <c r="GG22" s="4">
        <v>0</v>
      </c>
      <c r="GH22" s="4">
        <v>192.55212537012548</v>
      </c>
    </row>
    <row r="23" spans="1:195" s="4" customFormat="1" ht="12" customHeight="1" x14ac:dyDescent="0.3">
      <c r="A23" s="25">
        <v>189</v>
      </c>
      <c r="B23" s="24" t="s">
        <v>128</v>
      </c>
      <c r="C23" s="24">
        <v>2017</v>
      </c>
      <c r="D23" s="24" t="s">
        <v>309</v>
      </c>
      <c r="E23" s="24"/>
      <c r="F23" s="109" t="s">
        <v>793</v>
      </c>
      <c r="G23" s="4" t="s">
        <v>321</v>
      </c>
      <c r="H23" s="5">
        <v>4</v>
      </c>
      <c r="I23" s="7">
        <v>649</v>
      </c>
      <c r="J23" s="104">
        <v>127.2</v>
      </c>
      <c r="K23" s="7">
        <v>127.2</v>
      </c>
      <c r="L23" s="10">
        <v>129.9</v>
      </c>
      <c r="M23" s="21">
        <v>31.8</v>
      </c>
      <c r="N23" s="7">
        <v>4</v>
      </c>
      <c r="O23" s="7">
        <v>4</v>
      </c>
      <c r="P23" s="7">
        <v>428</v>
      </c>
      <c r="Q23" s="32">
        <v>1.5</v>
      </c>
      <c r="R23" s="7">
        <v>47.7</v>
      </c>
      <c r="S23" s="32">
        <v>1.3773584905660377</v>
      </c>
      <c r="T23" s="7">
        <v>43.8</v>
      </c>
      <c r="U23" s="32">
        <v>8.4591194968553456</v>
      </c>
      <c r="V23" s="7">
        <v>269</v>
      </c>
      <c r="W23" s="7">
        <v>2</v>
      </c>
      <c r="X23" s="122">
        <v>0</v>
      </c>
      <c r="Y23" s="32">
        <v>2.6666666666666665</v>
      </c>
      <c r="Z23" s="10">
        <v>84.8</v>
      </c>
      <c r="AA23" s="7">
        <v>2</v>
      </c>
      <c r="AB23" s="7">
        <v>2</v>
      </c>
      <c r="AC23" s="7">
        <v>4</v>
      </c>
      <c r="AD23" s="7">
        <v>4</v>
      </c>
      <c r="AE23" s="7">
        <v>5</v>
      </c>
      <c r="AF23" s="7">
        <v>71.106961684493314</v>
      </c>
      <c r="AG23" s="7">
        <v>649</v>
      </c>
      <c r="AH23" s="7">
        <v>11</v>
      </c>
      <c r="AI23" s="7">
        <v>721</v>
      </c>
      <c r="AJ23" s="7"/>
      <c r="AK23" s="4">
        <v>1.0059565565775579</v>
      </c>
      <c r="AL23" s="7">
        <v>0</v>
      </c>
      <c r="AM23" s="7">
        <v>0</v>
      </c>
      <c r="AN23" s="7">
        <v>127.2</v>
      </c>
      <c r="AO23" s="7"/>
      <c r="AP23" s="7"/>
      <c r="AQ23" s="7">
        <v>1.2686170212765957</v>
      </c>
      <c r="AR23" s="4">
        <v>127.2</v>
      </c>
      <c r="AS23" s="4">
        <v>1.1215932914046123</v>
      </c>
      <c r="AT23" s="4">
        <v>102.93453939452981</v>
      </c>
      <c r="AU23" s="4">
        <v>0.79999999999999993</v>
      </c>
      <c r="AV23" s="4">
        <v>1.25</v>
      </c>
      <c r="AW23" s="47">
        <v>5</v>
      </c>
      <c r="AX23" s="38">
        <v>577.25344419364194</v>
      </c>
      <c r="AY23" s="38">
        <v>577.25344419364194</v>
      </c>
      <c r="AZ23" s="38">
        <v>5.7111767066521422</v>
      </c>
      <c r="BA23" s="38">
        <v>577.25344419364239</v>
      </c>
      <c r="BB23" s="38">
        <v>0.99999999999999922</v>
      </c>
      <c r="BC23" s="38">
        <v>1.8002491114654926</v>
      </c>
      <c r="BD23" s="4">
        <v>0</v>
      </c>
      <c r="BE23" s="4">
        <v>239.94459194200661</v>
      </c>
      <c r="BF23" s="4">
        <v>1</v>
      </c>
      <c r="BG23" s="38">
        <v>1039.2</v>
      </c>
      <c r="BH23" s="4">
        <v>0.44000000000000006</v>
      </c>
      <c r="BI23" s="4">
        <v>55.163261687467333</v>
      </c>
      <c r="BJ23" s="4">
        <v>1094.3632616874675</v>
      </c>
      <c r="BL23" s="4">
        <v>1.125</v>
      </c>
      <c r="BM23" s="4">
        <v>538.5256435398411</v>
      </c>
      <c r="BO23" s="4">
        <v>996.71988587880821</v>
      </c>
      <c r="BP23" s="4">
        <v>711.96329095823319</v>
      </c>
      <c r="BQ23" s="4">
        <v>0.71430629713030647</v>
      </c>
      <c r="BY23" s="4">
        <v>47.7</v>
      </c>
      <c r="CC23" s="9"/>
      <c r="CE23" s="9"/>
      <c r="CF23" s="9"/>
      <c r="CG23" s="9">
        <v>43.8</v>
      </c>
      <c r="CH23" s="9">
        <v>134.5</v>
      </c>
      <c r="CI23" s="9">
        <v>1.3887073091970812</v>
      </c>
      <c r="CJ23" s="70">
        <v>0</v>
      </c>
      <c r="CK23" s="9">
        <v>0</v>
      </c>
      <c r="CL23" s="9">
        <v>0</v>
      </c>
      <c r="CM23" s="9">
        <v>0.93036607665491811</v>
      </c>
      <c r="CN23" s="9">
        <v>0.80099999999999993</v>
      </c>
      <c r="CO23" s="9">
        <v>2.9727542082721463</v>
      </c>
      <c r="CP23" s="9">
        <v>4.1282854974739118</v>
      </c>
      <c r="CQ23" s="9">
        <v>1</v>
      </c>
      <c r="CR23" s="9">
        <v>313.74969780801729</v>
      </c>
      <c r="CT23" s="4">
        <v>3.0048603894946799</v>
      </c>
      <c r="CU23" s="4">
        <v>0.65883059605660077</v>
      </c>
      <c r="CV23" s="4">
        <v>1.3388406079619848</v>
      </c>
      <c r="CW23" s="4">
        <v>2.2980101814828782</v>
      </c>
      <c r="CX23" s="44">
        <v>1.0059565565775579</v>
      </c>
      <c r="CY23" s="4">
        <v>1.0332122674684099</v>
      </c>
      <c r="CZ23" s="4">
        <v>3.7444406215412429</v>
      </c>
      <c r="DB23" s="4">
        <v>3.0048603894946799</v>
      </c>
      <c r="DC23" s="4">
        <v>0.65883059605660077</v>
      </c>
      <c r="DD23" s="4">
        <v>2.2980101814828782</v>
      </c>
      <c r="DE23" s="4">
        <v>3.7444406215412429</v>
      </c>
      <c r="DF23" s="4">
        <v>1.0059565565775579</v>
      </c>
      <c r="DG23" s="4">
        <v>1.0332122674684099</v>
      </c>
      <c r="DO23" s="4">
        <v>0</v>
      </c>
      <c r="DP23" s="4">
        <v>127.2</v>
      </c>
      <c r="DS23" s="4">
        <v>1.3307058507295954E-5</v>
      </c>
      <c r="DT23" s="4">
        <v>11.596152843353764</v>
      </c>
      <c r="DU23" s="4">
        <v>0.30738055417156512</v>
      </c>
      <c r="DV23" s="4">
        <v>7.2340996459405771</v>
      </c>
      <c r="DW23" s="4">
        <v>9.6657193846819744</v>
      </c>
      <c r="DX23" s="4">
        <v>11.309436008935599</v>
      </c>
      <c r="DY23" s="38">
        <v>716.73075272054439</v>
      </c>
      <c r="DZ23" s="4">
        <v>1.0000673124475594</v>
      </c>
      <c r="EA23" s="4">
        <v>2.2360679774997898</v>
      </c>
      <c r="EB23" s="4">
        <v>577.25344419364239</v>
      </c>
      <c r="EF23" s="4">
        <v>0.85</v>
      </c>
      <c r="EG23" s="4">
        <v>0.95</v>
      </c>
      <c r="EH23" s="4">
        <v>1</v>
      </c>
      <c r="EI23" s="4">
        <v>0.95</v>
      </c>
      <c r="EK23" s="4">
        <v>697.82369286671712</v>
      </c>
      <c r="EL23" s="25">
        <v>558.66985874647196</v>
      </c>
      <c r="EO23" s="4">
        <v>11.596152843353764</v>
      </c>
      <c r="ER23" s="4">
        <v>71.106961684493314</v>
      </c>
      <c r="ES23" s="4">
        <v>2.2360679774997898</v>
      </c>
      <c r="ET23" s="4">
        <v>0.19156502921061311</v>
      </c>
      <c r="EW23" s="4">
        <v>0.19156502921061311</v>
      </c>
      <c r="EX23" s="4">
        <v>0.30686759331460051</v>
      </c>
      <c r="EY23" s="4">
        <v>7.2292682805809623</v>
      </c>
      <c r="EZ23" s="4">
        <v>9.6639180482033353</v>
      </c>
      <c r="FA23" s="4">
        <v>24.293038315506692</v>
      </c>
      <c r="FB23" s="4">
        <v>31.799999999999997</v>
      </c>
      <c r="FC23" s="4">
        <v>1.330705850729595E-5</v>
      </c>
      <c r="FD23" s="4">
        <v>11.309554955437452</v>
      </c>
      <c r="FE23" s="4">
        <v>716.68251106660148</v>
      </c>
      <c r="FN23" s="23">
        <v>2.2000000000000002</v>
      </c>
      <c r="FO23" s="23">
        <v>0.8</v>
      </c>
      <c r="FP23" s="23">
        <v>2.2000000000000002</v>
      </c>
      <c r="FQ23" s="23">
        <v>2.2000000000000002</v>
      </c>
      <c r="FR23" s="23">
        <v>1.2</v>
      </c>
      <c r="FS23" s="23">
        <v>1.2</v>
      </c>
      <c r="FT23" s="23">
        <v>0</v>
      </c>
      <c r="FU23" s="23"/>
      <c r="GE23" s="4">
        <v>1.25</v>
      </c>
      <c r="GF23" s="4">
        <v>0.5</v>
      </c>
      <c r="GG23" s="4">
        <v>0</v>
      </c>
      <c r="GH23" s="4">
        <v>192.55212537012548</v>
      </c>
    </row>
    <row r="24" spans="1:195" s="4" customFormat="1" ht="12" customHeight="1" x14ac:dyDescent="0.3">
      <c r="A24" s="25">
        <v>190</v>
      </c>
      <c r="B24" s="24" t="s">
        <v>128</v>
      </c>
      <c r="C24" s="24">
        <v>2017</v>
      </c>
      <c r="D24" s="24" t="s">
        <v>309</v>
      </c>
      <c r="E24" s="24"/>
      <c r="F24" s="109" t="s">
        <v>793</v>
      </c>
      <c r="G24" s="4" t="s">
        <v>322</v>
      </c>
      <c r="H24" s="5">
        <v>4</v>
      </c>
      <c r="I24" s="7">
        <v>649</v>
      </c>
      <c r="J24" s="104">
        <v>127.2</v>
      </c>
      <c r="K24" s="7">
        <v>127.2</v>
      </c>
      <c r="L24" s="10">
        <v>129.9</v>
      </c>
      <c r="M24" s="21">
        <v>31.8</v>
      </c>
      <c r="N24" s="7">
        <v>4</v>
      </c>
      <c r="O24" s="7">
        <v>4</v>
      </c>
      <c r="P24" s="7">
        <v>396</v>
      </c>
      <c r="Q24" s="32">
        <v>1</v>
      </c>
      <c r="R24" s="7">
        <v>31.8</v>
      </c>
      <c r="S24" s="32">
        <v>1.3773584905660377</v>
      </c>
      <c r="T24" s="7">
        <v>43.8</v>
      </c>
      <c r="U24" s="32">
        <v>8.4528301886792434</v>
      </c>
      <c r="V24" s="7">
        <v>268.79999999999995</v>
      </c>
      <c r="W24" s="7">
        <v>2</v>
      </c>
      <c r="X24" s="122">
        <v>2</v>
      </c>
      <c r="Y24" s="32">
        <v>2.6666666666666665</v>
      </c>
      <c r="Z24" s="10">
        <v>84.8</v>
      </c>
      <c r="AA24" s="7">
        <v>1.5</v>
      </c>
      <c r="AB24" s="7">
        <v>1.5</v>
      </c>
      <c r="AC24" s="7">
        <v>4</v>
      </c>
      <c r="AD24" s="7">
        <v>4</v>
      </c>
      <c r="AE24" s="7">
        <v>5</v>
      </c>
      <c r="AF24" s="7">
        <v>71.106961684493314</v>
      </c>
      <c r="AG24" s="7">
        <v>649</v>
      </c>
      <c r="AH24" s="7">
        <v>11</v>
      </c>
      <c r="AI24" s="7">
        <v>724</v>
      </c>
      <c r="AJ24" s="7"/>
      <c r="AK24" s="4">
        <v>1.0904414032234904</v>
      </c>
      <c r="AL24" s="7">
        <v>12.7</v>
      </c>
      <c r="AM24" s="7">
        <v>2</v>
      </c>
      <c r="AN24" s="7">
        <v>64</v>
      </c>
      <c r="AO24" s="7">
        <v>4</v>
      </c>
      <c r="AP24" s="7">
        <v>2</v>
      </c>
      <c r="AQ24" s="7">
        <v>1.2694610778443116</v>
      </c>
      <c r="AR24" s="4">
        <v>127.2</v>
      </c>
      <c r="AS24" s="4">
        <v>1.0377358490566038</v>
      </c>
      <c r="AT24" s="4">
        <v>102.93453939452981</v>
      </c>
      <c r="AU24" s="4">
        <v>0.77499999999999991</v>
      </c>
      <c r="AV24" s="4">
        <v>1.25</v>
      </c>
      <c r="AW24" s="47">
        <v>5</v>
      </c>
      <c r="AX24" s="38">
        <v>517.40386104856509</v>
      </c>
      <c r="AY24" s="38">
        <v>517.40386104856509</v>
      </c>
      <c r="AZ24" s="38">
        <v>5.7111767066521422</v>
      </c>
      <c r="BA24" s="38">
        <v>517.40386104856543</v>
      </c>
      <c r="BB24" s="38">
        <v>0.99999999999999933</v>
      </c>
      <c r="BC24" s="38">
        <v>1.5063668029466883</v>
      </c>
      <c r="BD24" s="4">
        <v>0</v>
      </c>
      <c r="BE24" s="4">
        <v>239.94459194200661</v>
      </c>
      <c r="BF24" s="4">
        <v>1</v>
      </c>
      <c r="BG24" s="38">
        <v>779.40000000000009</v>
      </c>
      <c r="BH24" s="4">
        <v>0.44000000000000006</v>
      </c>
      <c r="BI24" s="4">
        <v>55.163261687467333</v>
      </c>
      <c r="BJ24" s="4">
        <v>834.56326168746739</v>
      </c>
      <c r="BL24" s="4">
        <v>1.4</v>
      </c>
      <c r="BM24" s="4">
        <v>670.16524529402443</v>
      </c>
      <c r="BO24" s="4">
        <v>747.53991440910613</v>
      </c>
      <c r="BP24" s="4">
        <v>711.96329095823319</v>
      </c>
      <c r="BQ24" s="4">
        <v>0.95240839617374207</v>
      </c>
      <c r="BY24" s="4">
        <v>31.8</v>
      </c>
      <c r="CC24" s="9"/>
      <c r="CE24" s="9"/>
      <c r="CF24" s="9"/>
      <c r="CG24" s="9">
        <v>31.8</v>
      </c>
      <c r="CH24" s="9">
        <v>134.39999999999998</v>
      </c>
      <c r="CI24" s="9">
        <v>1.2413544982455165</v>
      </c>
      <c r="CJ24" s="70">
        <v>20</v>
      </c>
      <c r="CK24" s="9">
        <v>0.05</v>
      </c>
      <c r="CL24" s="9">
        <v>0.8</v>
      </c>
      <c r="CM24" s="9">
        <v>0.93036607665491811</v>
      </c>
      <c r="CN24" s="9">
        <v>0.80099999999999993</v>
      </c>
      <c r="CO24" s="9">
        <v>2.9727542082721463</v>
      </c>
      <c r="CP24" s="9">
        <v>6.0684451752346353</v>
      </c>
      <c r="CQ24" s="9">
        <v>1</v>
      </c>
      <c r="CR24" s="9">
        <v>461.20183331783232</v>
      </c>
      <c r="CT24" s="4">
        <v>3.0173632759974316</v>
      </c>
      <c r="CU24" s="4">
        <v>0.86751961563235958</v>
      </c>
      <c r="CV24" s="4">
        <v>1.0803305678472723</v>
      </c>
      <c r="CW24" s="4">
        <v>1.5698116262713619</v>
      </c>
      <c r="CX24" s="44">
        <v>1.0904414032234904</v>
      </c>
      <c r="CY24" s="4">
        <v>1.1141268495754608</v>
      </c>
      <c r="CZ24" s="4">
        <v>3.0790396611328834</v>
      </c>
      <c r="DH24" s="4">
        <v>3.0173632759974316</v>
      </c>
      <c r="DI24" s="4">
        <v>0.86751961563235958</v>
      </c>
      <c r="DJ24" s="4">
        <v>1.5698116262713619</v>
      </c>
      <c r="DK24" s="4">
        <v>3.0790396611328834</v>
      </c>
      <c r="DL24" s="4">
        <v>1.0904414032234904</v>
      </c>
      <c r="DM24" s="4">
        <v>1.1141268495754608</v>
      </c>
      <c r="DO24" s="4">
        <v>2</v>
      </c>
      <c r="DP24" s="4">
        <v>127.2</v>
      </c>
      <c r="DS24" s="4">
        <v>1.3307058507295954E-5</v>
      </c>
      <c r="DT24" s="4">
        <v>12.467523847691927</v>
      </c>
      <c r="DU24" s="4">
        <v>0.2755113670422118</v>
      </c>
      <c r="DV24" s="4">
        <v>7.4445082625647387</v>
      </c>
      <c r="DW24" s="4">
        <v>10.269782738037188</v>
      </c>
      <c r="DX24" s="4">
        <v>12.145020230488436</v>
      </c>
      <c r="DY24" s="38">
        <v>663.95131169795957</v>
      </c>
      <c r="DZ24" s="4">
        <v>1.000074447522397</v>
      </c>
      <c r="EA24" s="4">
        <v>2.2360679774997898</v>
      </c>
      <c r="EB24" s="4">
        <v>517.40386104856543</v>
      </c>
      <c r="EF24" s="4">
        <v>0.85</v>
      </c>
      <c r="EG24" s="4">
        <v>1</v>
      </c>
      <c r="EH24" s="4">
        <v>0.88360329892013767</v>
      </c>
      <c r="EI24" s="4">
        <v>0.88360329892013767</v>
      </c>
      <c r="EK24" s="4">
        <v>649.83623747680167</v>
      </c>
      <c r="EL24" s="25">
        <v>500.22595130449861</v>
      </c>
      <c r="EO24" s="4">
        <v>12.467523847691927</v>
      </c>
      <c r="ER24" s="4">
        <v>71.106961684493314</v>
      </c>
      <c r="ES24" s="4">
        <v>2.2360679774997898</v>
      </c>
      <c r="ET24" s="4">
        <v>0.17170358488533044</v>
      </c>
      <c r="EW24" s="4">
        <v>0.17170358488533044</v>
      </c>
      <c r="EX24" s="4">
        <v>0.27505158991895695</v>
      </c>
      <c r="EY24" s="4">
        <v>7.43953637371893</v>
      </c>
      <c r="EZ24" s="4">
        <v>10.267989314750604</v>
      </c>
      <c r="FA24" s="4">
        <v>24.293038315506692</v>
      </c>
      <c r="FB24" s="4">
        <v>31.799999999999997</v>
      </c>
      <c r="FC24" s="4">
        <v>1.330705850729595E-5</v>
      </c>
      <c r="FD24" s="4">
        <v>12.145151302773725</v>
      </c>
      <c r="FE24" s="4">
        <v>663.90188584744351</v>
      </c>
      <c r="FN24" s="23">
        <v>2.2000000000000002</v>
      </c>
      <c r="FO24" s="23">
        <v>1</v>
      </c>
      <c r="FP24" s="23">
        <v>2.2000000000000002</v>
      </c>
      <c r="FQ24" s="23">
        <v>1.6</v>
      </c>
      <c r="FR24" s="23">
        <v>1.2</v>
      </c>
      <c r="FS24" s="23">
        <v>1.2</v>
      </c>
      <c r="FT24" s="23">
        <v>0</v>
      </c>
      <c r="FU24" s="23"/>
      <c r="GE24" s="4">
        <v>1.25</v>
      </c>
      <c r="GF24" s="4">
        <v>0.40944449644340308</v>
      </c>
      <c r="GG24" s="4">
        <v>0.3</v>
      </c>
      <c r="GH24" s="4">
        <v>235.13825077966541</v>
      </c>
    </row>
    <row r="25" spans="1:195" s="4" customFormat="1" ht="12" customHeight="1" x14ac:dyDescent="0.3">
      <c r="A25" s="25">
        <v>191</v>
      </c>
      <c r="B25" s="24" t="s">
        <v>128</v>
      </c>
      <c r="C25" s="24">
        <v>2017</v>
      </c>
      <c r="D25" s="24" t="s">
        <v>309</v>
      </c>
      <c r="E25" s="24"/>
      <c r="F25" s="109" t="s">
        <v>793</v>
      </c>
      <c r="G25" s="4" t="s">
        <v>323</v>
      </c>
      <c r="H25" s="5">
        <v>4</v>
      </c>
      <c r="I25" s="7">
        <v>649</v>
      </c>
      <c r="J25" s="104">
        <v>127.2</v>
      </c>
      <c r="K25" s="7">
        <v>127.2</v>
      </c>
      <c r="L25" s="10">
        <v>129.9</v>
      </c>
      <c r="M25" s="21">
        <v>31.8</v>
      </c>
      <c r="N25" s="7">
        <v>4</v>
      </c>
      <c r="O25" s="7">
        <v>4</v>
      </c>
      <c r="P25" s="7">
        <v>396</v>
      </c>
      <c r="Q25" s="32">
        <v>1</v>
      </c>
      <c r="R25" s="7">
        <v>31.8</v>
      </c>
      <c r="S25" s="32">
        <v>1.3773584905660377</v>
      </c>
      <c r="T25" s="7">
        <v>43.8</v>
      </c>
      <c r="U25" s="32">
        <v>8.4528301886792434</v>
      </c>
      <c r="V25" s="7">
        <v>268.79999999999995</v>
      </c>
      <c r="W25" s="7">
        <v>2</v>
      </c>
      <c r="X25" s="122">
        <v>2</v>
      </c>
      <c r="Y25" s="32">
        <v>2.6666666666666665</v>
      </c>
      <c r="Z25" s="10">
        <v>84.8</v>
      </c>
      <c r="AA25" s="7">
        <v>1.5</v>
      </c>
      <c r="AB25" s="7">
        <v>1.5</v>
      </c>
      <c r="AC25" s="7">
        <v>4</v>
      </c>
      <c r="AD25" s="7">
        <v>4</v>
      </c>
      <c r="AE25" s="7">
        <v>5</v>
      </c>
      <c r="AF25" s="7">
        <v>71.106961684493314</v>
      </c>
      <c r="AG25" s="7">
        <v>649</v>
      </c>
      <c r="AH25" s="7">
        <v>11</v>
      </c>
      <c r="AI25" s="7">
        <v>722.5</v>
      </c>
      <c r="AJ25" s="7"/>
      <c r="AK25" s="4">
        <v>1.0881822014212317</v>
      </c>
      <c r="AL25" s="7">
        <v>12.7</v>
      </c>
      <c r="AM25" s="7">
        <v>2</v>
      </c>
      <c r="AN25" s="7">
        <v>64</v>
      </c>
      <c r="AO25" s="7">
        <v>4</v>
      </c>
      <c r="AP25" s="7">
        <v>2</v>
      </c>
      <c r="AQ25" s="7">
        <v>1.2694610778443116</v>
      </c>
      <c r="AR25" s="4">
        <v>127.2</v>
      </c>
      <c r="AS25" s="4">
        <v>1.0377358490566038</v>
      </c>
      <c r="AT25" s="4">
        <v>102.93453939452981</v>
      </c>
      <c r="AU25" s="4">
        <v>0.77499999999999991</v>
      </c>
      <c r="AV25" s="4">
        <v>1.25</v>
      </c>
      <c r="AW25" s="47">
        <v>5</v>
      </c>
      <c r="AX25" s="38">
        <v>517.40386104856509</v>
      </c>
      <c r="AY25" s="38">
        <v>517.40386104856509</v>
      </c>
      <c r="AZ25" s="38">
        <v>5.7111767066521422</v>
      </c>
      <c r="BA25" s="38">
        <v>517.40386104856543</v>
      </c>
      <c r="BB25" s="38">
        <v>0.99999999999999933</v>
      </c>
      <c r="BC25" s="38">
        <v>1.5063668029466883</v>
      </c>
      <c r="BD25" s="4">
        <v>0</v>
      </c>
      <c r="BE25" s="4">
        <v>239.94459194200661</v>
      </c>
      <c r="BF25" s="4">
        <v>1</v>
      </c>
      <c r="BG25" s="38">
        <v>779.40000000000009</v>
      </c>
      <c r="BH25" s="4">
        <v>0.44000000000000006</v>
      </c>
      <c r="BI25" s="4">
        <v>55.163261687467333</v>
      </c>
      <c r="BJ25" s="4">
        <v>834.56326168746739</v>
      </c>
      <c r="BL25" s="4">
        <v>1.4</v>
      </c>
      <c r="BM25" s="4">
        <v>670.16524529402443</v>
      </c>
      <c r="BO25" s="4">
        <v>747.53991440910613</v>
      </c>
      <c r="BP25" s="4">
        <v>711.96329095823319</v>
      </c>
      <c r="BQ25" s="4">
        <v>0.95240839617374207</v>
      </c>
      <c r="BY25" s="4">
        <v>31.8</v>
      </c>
      <c r="CC25" s="9"/>
      <c r="CE25" s="9"/>
      <c r="CF25" s="9"/>
      <c r="CG25" s="9">
        <v>31.8</v>
      </c>
      <c r="CH25" s="9">
        <v>134.39999999999998</v>
      </c>
      <c r="CI25" s="9">
        <v>1.2413544982455165</v>
      </c>
      <c r="CJ25" s="70">
        <v>20</v>
      </c>
      <c r="CK25" s="9">
        <v>0.05</v>
      </c>
      <c r="CL25" s="9">
        <v>0.8</v>
      </c>
      <c r="CM25" s="9">
        <v>0.93036607665491811</v>
      </c>
      <c r="CN25" s="9">
        <v>0.80099999999999993</v>
      </c>
      <c r="CO25" s="9">
        <v>2.9727542082721463</v>
      </c>
      <c r="CP25" s="9">
        <v>6.0684451752346353</v>
      </c>
      <c r="CQ25" s="9">
        <v>1</v>
      </c>
      <c r="CR25" s="9">
        <v>461.20183331783232</v>
      </c>
      <c r="CT25" s="4">
        <v>3.0111118327460558</v>
      </c>
      <c r="CU25" s="4">
        <v>0.86572226836240296</v>
      </c>
      <c r="CV25" s="4">
        <v>1.0780923139083622</v>
      </c>
      <c r="CW25" s="4">
        <v>1.5665592541174849</v>
      </c>
      <c r="CX25" s="44">
        <v>1.0881822014212317</v>
      </c>
      <c r="CY25" s="4">
        <v>1.111818575715843</v>
      </c>
      <c r="CZ25" s="4">
        <v>3.0726604353156195</v>
      </c>
      <c r="DH25" s="4">
        <v>3.0111118327460558</v>
      </c>
      <c r="DI25" s="4">
        <v>0.86572226836240296</v>
      </c>
      <c r="DJ25" s="4">
        <v>1.5665592541174849</v>
      </c>
      <c r="DK25" s="4">
        <v>3.0726604353156195</v>
      </c>
      <c r="DL25" s="4">
        <v>1.0881822014212317</v>
      </c>
      <c r="DM25" s="4">
        <v>1.111818575715843</v>
      </c>
      <c r="DO25" s="4">
        <v>2</v>
      </c>
      <c r="DP25" s="4">
        <v>127.2</v>
      </c>
      <c r="DS25" s="4">
        <v>1.3307058507295954E-5</v>
      </c>
      <c r="DT25" s="4">
        <v>12.467523847691927</v>
      </c>
      <c r="DU25" s="4">
        <v>0.2755113670422118</v>
      </c>
      <c r="DV25" s="4">
        <v>7.4445082625647387</v>
      </c>
      <c r="DW25" s="4">
        <v>10.269782738037188</v>
      </c>
      <c r="DX25" s="4">
        <v>12.145020230488436</v>
      </c>
      <c r="DY25" s="38">
        <v>663.95131169795957</v>
      </c>
      <c r="DZ25" s="4">
        <v>1.000074447522397</v>
      </c>
      <c r="EA25" s="4">
        <v>2.2360679774997898</v>
      </c>
      <c r="EB25" s="4">
        <v>517.40386104856543</v>
      </c>
      <c r="EF25" s="4">
        <v>0.85</v>
      </c>
      <c r="EG25" s="4">
        <v>1</v>
      </c>
      <c r="EH25" s="4">
        <v>0.88360329892013767</v>
      </c>
      <c r="EI25" s="4">
        <v>0.88360329892013767</v>
      </c>
      <c r="EK25" s="4">
        <v>649.83623747680167</v>
      </c>
      <c r="EL25" s="25">
        <v>500.22595130449861</v>
      </c>
      <c r="EO25" s="4">
        <v>12.467523847691927</v>
      </c>
      <c r="ER25" s="4">
        <v>71.106961684493314</v>
      </c>
      <c r="ES25" s="4">
        <v>2.2360679774997898</v>
      </c>
      <c r="ET25" s="4">
        <v>0.17170358488533044</v>
      </c>
      <c r="EW25" s="4">
        <v>0.17170358488533044</v>
      </c>
      <c r="EX25" s="4">
        <v>0.27505158991895695</v>
      </c>
      <c r="EY25" s="4">
        <v>7.43953637371893</v>
      </c>
      <c r="EZ25" s="4">
        <v>10.267989314750604</v>
      </c>
      <c r="FA25" s="4">
        <v>24.293038315506692</v>
      </c>
      <c r="FB25" s="4">
        <v>31.799999999999997</v>
      </c>
      <c r="FC25" s="4">
        <v>1.330705850729595E-5</v>
      </c>
      <c r="FD25" s="4">
        <v>12.145151302773725</v>
      </c>
      <c r="FE25" s="4">
        <v>663.90188584744351</v>
      </c>
      <c r="FN25" s="23">
        <v>2.2000000000000002</v>
      </c>
      <c r="FO25" s="23">
        <v>1</v>
      </c>
      <c r="FP25" s="23">
        <v>2.2000000000000002</v>
      </c>
      <c r="FQ25" s="23">
        <v>1.6</v>
      </c>
      <c r="FR25" s="23">
        <v>1.2</v>
      </c>
      <c r="FS25" s="23">
        <v>1.2</v>
      </c>
      <c r="FT25" s="23">
        <v>0</v>
      </c>
      <c r="FU25" s="23"/>
      <c r="GE25" s="4">
        <v>1.25</v>
      </c>
      <c r="GF25" s="4">
        <v>0.40944449644340308</v>
      </c>
      <c r="GG25" s="4">
        <v>0.3</v>
      </c>
      <c r="GH25" s="4">
        <v>235.13825077966541</v>
      </c>
    </row>
    <row r="26" spans="1:195" s="54" customFormat="1" ht="13.5" customHeight="1" x14ac:dyDescent="0.3">
      <c r="A26" s="25">
        <v>184</v>
      </c>
      <c r="B26" s="24" t="s">
        <v>128</v>
      </c>
      <c r="C26" s="24">
        <v>2017</v>
      </c>
      <c r="D26" s="24" t="s">
        <v>309</v>
      </c>
      <c r="E26" s="24"/>
      <c r="F26" s="109" t="s">
        <v>793</v>
      </c>
      <c r="G26" s="4" t="s">
        <v>318</v>
      </c>
      <c r="H26" s="5">
        <f>J26/M26</f>
        <v>6</v>
      </c>
      <c r="I26" s="86">
        <v>679</v>
      </c>
      <c r="J26" s="104">
        <f>6*M26</f>
        <v>133.19999999999999</v>
      </c>
      <c r="K26" s="7">
        <f>J26</f>
        <v>133.19999999999999</v>
      </c>
      <c r="L26" s="10">
        <v>129.9</v>
      </c>
      <c r="M26" s="80">
        <v>22.2</v>
      </c>
      <c r="N26" s="7">
        <f>J26/M26</f>
        <v>6</v>
      </c>
      <c r="O26" s="7">
        <f>K26/M26</f>
        <v>6</v>
      </c>
      <c r="P26" s="7">
        <v>366</v>
      </c>
      <c r="Q26" s="32">
        <f>R26/M26</f>
        <v>1</v>
      </c>
      <c r="R26" s="7">
        <f>1*M26</f>
        <v>22.2</v>
      </c>
      <c r="S26" s="32">
        <f>T26/M26</f>
        <v>1.9279279279279284</v>
      </c>
      <c r="T26" s="7">
        <f>176-K26</f>
        <v>42.800000000000011</v>
      </c>
      <c r="U26" s="32">
        <f>V26/M26</f>
        <v>12.48648648648649</v>
      </c>
      <c r="V26" s="7">
        <f>P26-2*M26-2*R26</f>
        <v>277.20000000000005</v>
      </c>
      <c r="W26" s="7">
        <v>2</v>
      </c>
      <c r="X26" s="122">
        <f>AM26</f>
        <v>0</v>
      </c>
      <c r="Y26" s="32">
        <f>Z26/M26</f>
        <v>3.9999999999999996</v>
      </c>
      <c r="Z26" s="10">
        <f>2/3*J26</f>
        <v>88.799999999999983</v>
      </c>
      <c r="AA26" s="7">
        <f>MIN(R26/M26+0.5, V26/2/M26+0.5)</f>
        <v>1.5</v>
      </c>
      <c r="AB26" s="7">
        <f>R26/M26+0.5</f>
        <v>1.5</v>
      </c>
      <c r="AC26" s="7">
        <f>2040/510</f>
        <v>4</v>
      </c>
      <c r="AD26" s="7">
        <f>2040/510</f>
        <v>4</v>
      </c>
      <c r="AE26" s="7">
        <f>AD26+1</f>
        <v>5</v>
      </c>
      <c r="AF26" s="7">
        <f>M26*AE26^0.5</f>
        <v>49.640709100495329</v>
      </c>
      <c r="AG26" s="7">
        <f>I26</f>
        <v>679</v>
      </c>
      <c r="AH26" s="7">
        <v>8</v>
      </c>
      <c r="AI26" s="7">
        <f>(750+710)/2</f>
        <v>730</v>
      </c>
      <c r="AJ26" s="7"/>
      <c r="AK26" s="4">
        <f>CX26</f>
        <v>4.8425487415763619</v>
      </c>
      <c r="AL26" s="7">
        <v>0</v>
      </c>
      <c r="AM26" s="7">
        <v>0</v>
      </c>
      <c r="AN26" s="7">
        <f>K26</f>
        <v>133.19999999999999</v>
      </c>
      <c r="AO26" s="7"/>
      <c r="AP26" s="7"/>
      <c r="AQ26" s="7">
        <f>3*AR26/(V26+M26)</f>
        <v>1.3346693386773545</v>
      </c>
      <c r="AR26" s="4">
        <f>J26</f>
        <v>133.19999999999999</v>
      </c>
      <c r="AS26" s="4">
        <f>IF(J26*3&gt;V26+M26, P26, (R26+M26/2)*2+1.5*J26*(2*W26-2))*(3*J26)/(9*J26^2)</f>
        <v>0.91591591591591592</v>
      </c>
      <c r="AT26" s="4">
        <f>MIN(10*L26^0.5*J26^1.5,100*3.9*L26^0.5*J26^(5/3))/(PI()/4*M26^2)/W26</f>
        <v>226.32633296409878</v>
      </c>
      <c r="AU26" s="4">
        <f>MIN(0.7+0.3*(MIN(R26,Z26)+0.5*M26)/1.5/J26,1)</f>
        <v>0.75</v>
      </c>
      <c r="AV26" s="4">
        <v>1.25</v>
      </c>
      <c r="AW26" s="47">
        <f>AW25</f>
        <v>5</v>
      </c>
      <c r="AX26" s="38">
        <f>AS26*AU26*AV26*AW26*AT26</f>
        <v>971.6994869657957</v>
      </c>
      <c r="AY26" s="38">
        <f>AX26</f>
        <v>971.6994869657957</v>
      </c>
      <c r="AZ26" s="38">
        <f>IF(L26&lt;50, 0.3*L26^(2/3), 2.12*LN(1+0.1*(L26+8)))</f>
        <v>5.7111767066521422</v>
      </c>
      <c r="BA26" s="38">
        <f>AW26* (L26^0.5/AR26^0.5)/(PI()/4*M26^2)/W26/0.72 *(0.7+(MIN(R26,Z26)+0.5*M26)/5/J26) *(3*P26*J26)</f>
        <v>971.69948696579524</v>
      </c>
      <c r="BB26" s="38">
        <f>AX26/BA26</f>
        <v>1.0000000000000004</v>
      </c>
      <c r="BC26" s="38">
        <f>BG26/BA26</f>
        <v>0.80209983688859943</v>
      </c>
      <c r="BD26" s="4">
        <f>IF(BC26&lt;1,1,0)</f>
        <v>1</v>
      </c>
      <c r="BE26" s="4">
        <f>K26/M26*L26^0.5/0.19</f>
        <v>359.91688791300993</v>
      </c>
      <c r="BF26" s="4">
        <f>MIN(0.6+0.4*(AB26/AA26),2)</f>
        <v>1</v>
      </c>
      <c r="BG26" s="38">
        <f>2*L26*AA26*AC26^0.5*BF26*0.7/0.7</f>
        <v>779.40000000000009</v>
      </c>
      <c r="BH26" s="4">
        <f>MAX(1-0.7*AD26/5,0.3)</f>
        <v>0.44000000000000006</v>
      </c>
      <c r="BI26" s="4">
        <f>BH26*I26*K26/(I26*M26/2.75/L26^0.5)</f>
        <v>82.744892531200989</v>
      </c>
      <c r="BJ26" s="4">
        <f>BG26+BI26</f>
        <v>862.14489253120109</v>
      </c>
      <c r="BK26" s="4"/>
      <c r="BL26" s="4">
        <f>MIN(1.5, 0.75+0.25*MIN(3,MAX(1,R26/M26))+0.4*MIN(1,(40*2*PI()*AL26^2/4/AN26/W26)/M26))</f>
        <v>1</v>
      </c>
      <c r="BM26" s="4">
        <f>(3*O26+30)*BL26*L26^0.5</f>
        <v>547.07366962777508</v>
      </c>
      <c r="BN26" s="4"/>
      <c r="BO26" s="4">
        <f>3.4/PI()^0.5*L26*AA26*AD26^0.5*BF26</f>
        <v>747.53991440910613</v>
      </c>
      <c r="BP26" s="4">
        <f>8/3*AG26*AH26^2/(AF26-M26-22)/M26*(AF26^2-M26^2)/(AF26^2-(M26+22)^2)</f>
        <v>3704.4961984911101</v>
      </c>
      <c r="BQ26" s="4">
        <f>BP26/BO26</f>
        <v>4.9555831429005819</v>
      </c>
      <c r="BR26" s="4"/>
      <c r="BS26" s="4"/>
      <c r="BT26" s="4"/>
      <c r="BU26" s="4"/>
      <c r="BV26" s="4"/>
      <c r="BW26" s="4"/>
      <c r="BX26" s="4"/>
      <c r="BY26" s="4">
        <f>IF(V26=0,R26,MIN(V26/2,R26))</f>
        <v>22.2</v>
      </c>
      <c r="BZ26" s="4"/>
      <c r="CA26" s="4"/>
      <c r="CB26" s="4"/>
      <c r="CC26" s="9"/>
      <c r="CD26" s="4"/>
      <c r="CE26" s="9"/>
      <c r="CF26" s="9"/>
      <c r="CG26" s="9">
        <f>IF(V26=0,MIN(R26,T26),MIN(V26/2,R26,T26))</f>
        <v>22.2</v>
      </c>
      <c r="CH26" s="9">
        <f>MAX(V26/2,R26)</f>
        <v>138.60000000000002</v>
      </c>
      <c r="CI26" s="9">
        <f>(CG26/M26)^0.5*(CH26/CG26)^0.15</f>
        <v>1.3161686388047049</v>
      </c>
      <c r="CJ26" s="70">
        <v>0</v>
      </c>
      <c r="CK26" s="9">
        <f>MIN(PI()*AL26^2/4*AM26*2/W26/M26/MAX(0.01,AN26),0.05)</f>
        <v>0</v>
      </c>
      <c r="CL26" s="9">
        <f>MAX(0,CJ26*(CK26-0.5/50))</f>
        <v>0</v>
      </c>
      <c r="CM26" s="9">
        <f>MIN(1,(25/M26)^0.3)</f>
        <v>1</v>
      </c>
      <c r="CN26" s="9">
        <f>IF(I26&gt;=800,0.68,IF(I26&gt;=700,0.75-(I26-700)*0.07/100,IF(I26&gt;=600,0.85-(I26-600)*0.1/100,IF(I26&gt;=500,1-(I26-500)*0.15/100,1.2-(I26-400)*0.2/100))))</f>
        <v>0.77100000000000002</v>
      </c>
      <c r="CO26" s="9">
        <f>1.75*CM26*CN26*(L26/25)^0.5</f>
        <v>3.0755797864386483</v>
      </c>
      <c r="CP26" s="9">
        <f>MIN((CI26+CL26)*CO26,2.5*CO26,L26^0.5)</f>
        <v>4.047981661052221</v>
      </c>
      <c r="CQ26" s="9">
        <v>1</v>
      </c>
      <c r="CR26" s="9">
        <f>4*CP26*O26+60*CP26</f>
        <v>340.03045952838659</v>
      </c>
      <c r="CS26" s="4"/>
      <c r="CT26" s="4">
        <f>AI26/BE26</f>
        <v>2.0282460326686236</v>
      </c>
      <c r="CU26" s="4">
        <f>AI26/BJ26</f>
        <v>0.84672542437358489</v>
      </c>
      <c r="CV26" s="4">
        <f>AI26/BM26</f>
        <v>1.334372389913568</v>
      </c>
      <c r="CW26" s="4">
        <f>AI26/CR26</f>
        <v>2.1468664925268488</v>
      </c>
      <c r="CX26" s="44">
        <f>AI26/DY26</f>
        <v>4.8425487415763619</v>
      </c>
      <c r="CY26" s="4">
        <f>AI26/EK26</f>
        <v>1</v>
      </c>
      <c r="CZ26" s="4">
        <f>AI26/GH26</f>
        <v>2.1117680338689433</v>
      </c>
      <c r="DA26" s="4"/>
      <c r="DB26" s="4">
        <f>CT26</f>
        <v>2.0282460326686236</v>
      </c>
      <c r="DC26" s="4">
        <f>CU26</f>
        <v>0.84672542437358489</v>
      </c>
      <c r="DD26" s="4">
        <f>CW26</f>
        <v>2.1468664925268488</v>
      </c>
      <c r="DE26" s="4">
        <f>CZ26</f>
        <v>2.1117680338689433</v>
      </c>
      <c r="DF26" s="4">
        <f>CX26</f>
        <v>4.8425487415763619</v>
      </c>
      <c r="DG26" s="4">
        <f>CY26</f>
        <v>1</v>
      </c>
      <c r="DH26" s="4"/>
      <c r="DI26" s="4"/>
      <c r="DJ26" s="4"/>
      <c r="DK26" s="4"/>
      <c r="DL26" s="4"/>
      <c r="DM26" s="4"/>
      <c r="DN26" s="4"/>
      <c r="DO26" s="4">
        <f>AM26</f>
        <v>0</v>
      </c>
      <c r="DP26" s="4">
        <f>K26</f>
        <v>133.19999999999999</v>
      </c>
      <c r="DQ26" s="4"/>
      <c r="DR26" s="4"/>
      <c r="DS26" s="4">
        <f>J26/4/(1-0.3*(L26/30)^0.5)/200000/M26</f>
        <v>1.9960587760943928E-5</v>
      </c>
      <c r="DT26" s="4">
        <f>EO26</f>
        <v>12.240383556873418</v>
      </c>
      <c r="DU26" s="4">
        <f>EB26*AF26/257/L26/AC26</f>
        <v>0</v>
      </c>
      <c r="DV26" s="4">
        <f>DT26*DU26^0.4</f>
        <v>0</v>
      </c>
      <c r="DW26" s="4">
        <f>MIN(DT26, DT26/1.4*(1-DU26^1.4)/(1-DU26))</f>
        <v>8.743131112052442</v>
      </c>
      <c r="DX26" s="4">
        <f>MAX(DT26/2, (4-DS26*(8*AF26*(DV26-DW26)+6*J26*DW26))/(4+DS26*J26*DT26)*DT26)</f>
        <v>11.928607491192304</v>
      </c>
      <c r="DY26" s="38">
        <f>MIN(1/M26*(4*AF26*(DV26-DW26)+(3*DW26+DX26)*J26)+EB26 -FI26,MAX(I26,AI26))</f>
        <v>150.74706295312745</v>
      </c>
      <c r="DZ26" s="4">
        <f>DY26/FE26</f>
        <v>0.85990266032482099</v>
      </c>
      <c r="EA26" s="4">
        <f>AF26/M26</f>
        <v>2.2360679774997898</v>
      </c>
      <c r="EB26" s="4">
        <f>MIN(EA$10*BA26)</f>
        <v>0</v>
      </c>
      <c r="EC26" s="4"/>
      <c r="ED26" s="4"/>
      <c r="EE26" s="4"/>
      <c r="EF26" s="4">
        <f>IF(T26&gt;1*M26,0.85,1)</f>
        <v>0.85</v>
      </c>
      <c r="EG26" s="4">
        <f>MIN(1,MAX(0.7,(1-0.1*(BY26-1*M26)/M26)))</f>
        <v>1</v>
      </c>
      <c r="EH26" s="4">
        <f>MIN(1,MAX(0.7,1-0.3*(PI()*AL26^2/4*AP26*2-0.25*PI()/4*M26^2)/(PI()/4*M26^2)))</f>
        <v>1</v>
      </c>
      <c r="EI26" s="4">
        <f>IF(EG26*EH26&lt;0.7,0.7,EG26*EH26)</f>
        <v>1</v>
      </c>
      <c r="EJ26" s="4"/>
      <c r="EK26" s="4">
        <f>MIN(DT26/M26*3*J26+EL26-FI26,MAX(I26,AI26))</f>
        <v>730</v>
      </c>
      <c r="EL26" s="25">
        <f>26.5*P26*J26^0.5*L26^0.5/W26/M26^2*(0.7+R26/5/J26)</f>
        <v>949.1812023271998</v>
      </c>
      <c r="EM26" s="4"/>
      <c r="EN26" s="4"/>
      <c r="EO26" s="4">
        <f>IF(M26&lt;22.2,1.1*5*(L26/30)^0.5,IF(M26&gt;=31.8,0.9*5*(L26/30)^0.5,1*5*(L26/30)^0.5))/EF26/EI26</f>
        <v>12.240383556873418</v>
      </c>
      <c r="EP26" s="4"/>
      <c r="EQ26" s="4"/>
      <c r="ER26" s="4">
        <f>ES26*M26</f>
        <v>49.640709100495329</v>
      </c>
      <c r="ES26" s="4">
        <f>AE26^0.5</f>
        <v>2.2360679774997898</v>
      </c>
      <c r="ET26" s="4">
        <f>MIN(EB26)/(4700*L26^0.5)/AD26*ER26</f>
        <v>0</v>
      </c>
      <c r="EU26" s="4"/>
      <c r="EV26" s="4"/>
      <c r="EW26" s="4">
        <f>ET26</f>
        <v>0</v>
      </c>
      <c r="EX26" s="4">
        <f>MIN(0.999, EW26/(0.3*(L26/30)^0.5))</f>
        <v>0</v>
      </c>
      <c r="EY26" s="4">
        <f>EO26/1*EX26^0.4</f>
        <v>0</v>
      </c>
      <c r="EZ26" s="4">
        <f>EO26/1.4*(1-EX26^1.4)/(1-EX26)</f>
        <v>8.743131112052442</v>
      </c>
      <c r="FA26" s="4">
        <f>MAX(0,DP26*FA$9-ER26)</f>
        <v>0</v>
      </c>
      <c r="FB26" s="4">
        <f>MAX(0,DP26-ER26-FA26)</f>
        <v>83.55929089950466</v>
      </c>
      <c r="FC26" s="4">
        <f>FB26/(1-0.3*(L26/30)^0.5)/200000/M26</f>
        <v>5.0086863640895088E-5</v>
      </c>
      <c r="FD26" s="4">
        <f>MAX(0.5*EO26, (1-2*FC26*(ER26*EY26+FA26*EZ26))/(1/EO26+FC26*FB26))</f>
        <v>11.643882229397391</v>
      </c>
      <c r="FE26" s="4">
        <f>MIN(4/M26*(1*EY26*ER26+EZ26*FA26+FB26*FD26)+EB26,MAX(I26,AI26))</f>
        <v>175.30712475779993</v>
      </c>
      <c r="FF26" s="4"/>
      <c r="FG26" s="4"/>
      <c r="FH26" s="4"/>
      <c r="FI26" s="4"/>
      <c r="FJ26" s="4"/>
      <c r="FK26" s="4"/>
      <c r="FL26" s="4"/>
      <c r="FM26" s="4"/>
      <c r="FN26" s="23">
        <f>IF(CT26&lt;0.6,0.6,IF(CT26&lt;0.8,0.8,IF(CT26&lt;1,1,IF(CT26&lt;1.2,1.2,IF(CT26&lt;1.4,1.4,IF(CT26&lt;1.6,1.6,IF(CT26&lt;1.8,1.8,IF(CT26&lt;2,2,2.2))))))))</f>
        <v>2.2000000000000002</v>
      </c>
      <c r="FO26" s="23">
        <f>IF(CU26&lt;0.6,0.6,IF(CU26&lt;0.8,0.8,IF(CU26&lt;1,1,IF(CU26&lt;1.2,1.2,IF(CU26&lt;1.4,1.4,IF(CU26&lt;1.6,1.6,IF(CU26&lt;1.8,1.8,IF(CU26&lt;2,2,2.2))))))))</f>
        <v>1</v>
      </c>
      <c r="FP26" s="23">
        <f>IF(CZ26&lt;0.6,0.6,IF(CZ26&lt;0.8,0.8,IF(CZ26&lt;1,1,IF(CZ26&lt;1.2,1.2,IF(CZ26&lt;1.4,1.4,IF(CZ26&lt;1.6,1.6,IF(CZ26&lt;1.8,1.8,IF(CZ26&lt;2,2,2.2))))))))</f>
        <v>2.2000000000000002</v>
      </c>
      <c r="FQ26" s="23">
        <f>IF(CW26&lt;0.6,0.6,IF(CW26&lt;0.8,0.8,IF(CW26&lt;1,1,IF(CW26&lt;1.2,1.2,IF(CW26&lt;1.4,1.4,IF(CW26&lt;1.6,1.6,IF(CW26&lt;1.8,1.8,IF(CW26&lt;2,2,2.2))))))))</f>
        <v>2.2000000000000002</v>
      </c>
      <c r="FR26" s="23">
        <f>IF(CX26&lt;0.6,0.6,IF(CX26&lt;0.8,0.8,IF(CX26&lt;1,1,IF(CX26&lt;1.2,1.2,IF(CX26&lt;1.4,1.4,IF(CX26&lt;1.6,1.6,IF(CX26&lt;1.8,1.8,IF(CX26&lt;2,2,2.2))))))))</f>
        <v>2.2000000000000002</v>
      </c>
      <c r="FS26" s="23">
        <f>IF(CY26&lt;0.6,0.6,IF(CY26&lt;0.8,0.8,IF(CY26&lt;1,1,IF(CY26&lt;1.2,1.2,IF(CY26&lt;1.4,1.4,IF(CY26&lt;1.6,1.6,IF(CY26&lt;1.8,1.8,IF(CY26&lt;2,2,2.2))))))))</f>
        <v>1.2</v>
      </c>
      <c r="FT26" s="23">
        <f>IF(FR26&lt;1,1,0)</f>
        <v>0</v>
      </c>
      <c r="FU26" s="23"/>
      <c r="FV26" s="4"/>
      <c r="FW26" s="4"/>
      <c r="FX26" s="4"/>
      <c r="FY26" s="4"/>
      <c r="FZ26" s="4"/>
      <c r="GA26" s="4"/>
      <c r="GB26" s="4"/>
      <c r="GC26" s="4"/>
      <c r="GD26" s="4"/>
      <c r="GE26" s="4">
        <f>IF(R26&gt;=2.5*25.4,1,1.25)</f>
        <v>1.25</v>
      </c>
      <c r="GF26" s="4">
        <f>IF(AN26&gt;1, 0.05*(18-MIN(8,(V26+M26)/M26))*(1-48000/MAX(60000,(I26*145))*(M26/25.4)^0.75*GG26), 1/12*(14-MIN(8,(V26+M26)/M26)))</f>
        <v>0.5</v>
      </c>
      <c r="GG26" s="4">
        <f>MIN(0.3, AL26^2*PI()/4*2*AO26/(M26^2*PI()/4*W26))</f>
        <v>0</v>
      </c>
      <c r="GH26" s="4">
        <f>(J26/25.4)/(M26/25.4)^1.5/0.0024*(L26*145)^0.25/GE26/GF26/145</f>
        <v>345.681906484102</v>
      </c>
      <c r="GI26" s="4"/>
      <c r="GJ26" s="4"/>
      <c r="GK26" s="4"/>
      <c r="GL26" s="4"/>
      <c r="GM26" s="4"/>
    </row>
    <row r="27" spans="1:195" s="54" customFormat="1" ht="13.5" customHeight="1" x14ac:dyDescent="0.3">
      <c r="A27" s="25">
        <v>185</v>
      </c>
      <c r="B27" s="24" t="s">
        <v>128</v>
      </c>
      <c r="C27" s="24">
        <v>2017</v>
      </c>
      <c r="D27" s="24" t="s">
        <v>309</v>
      </c>
      <c r="E27" s="24"/>
      <c r="F27" s="109" t="s">
        <v>793</v>
      </c>
      <c r="G27" s="4" t="s">
        <v>319</v>
      </c>
      <c r="H27" s="5">
        <f>J27/M27</f>
        <v>6</v>
      </c>
      <c r="I27" s="86">
        <v>679</v>
      </c>
      <c r="J27" s="104">
        <f>6*M27</f>
        <v>133.19999999999999</v>
      </c>
      <c r="K27" s="7">
        <f>J27</f>
        <v>133.19999999999999</v>
      </c>
      <c r="L27" s="10">
        <v>129.9</v>
      </c>
      <c r="M27" s="80">
        <v>22.2</v>
      </c>
      <c r="N27" s="7">
        <f>J27/M27</f>
        <v>6</v>
      </c>
      <c r="O27" s="7">
        <f>K27/M27</f>
        <v>6</v>
      </c>
      <c r="P27" s="7">
        <v>366</v>
      </c>
      <c r="Q27" s="32">
        <f>R27/M27</f>
        <v>1</v>
      </c>
      <c r="R27" s="7">
        <f>1*M27</f>
        <v>22.2</v>
      </c>
      <c r="S27" s="32">
        <f>T27/M27</f>
        <v>1.9279279279279284</v>
      </c>
      <c r="T27" s="7">
        <f>176-K27</f>
        <v>42.800000000000011</v>
      </c>
      <c r="U27" s="32">
        <f>V27/M27</f>
        <v>12.48648648648649</v>
      </c>
      <c r="V27" s="7">
        <f>P27-2*M27-2*R27</f>
        <v>277.20000000000005</v>
      </c>
      <c r="W27" s="7">
        <v>2</v>
      </c>
      <c r="X27" s="122">
        <f>AM27</f>
        <v>0</v>
      </c>
      <c r="Y27" s="32">
        <f>Z27/M27</f>
        <v>3.9999999999999996</v>
      </c>
      <c r="Z27" s="10">
        <f>2/3*J27</f>
        <v>88.799999999999983</v>
      </c>
      <c r="AA27" s="7">
        <f>MIN(R27/M27+0.5, V27/2/M27+0.5)</f>
        <v>1.5</v>
      </c>
      <c r="AB27" s="7">
        <f>R27/M27+0.5</f>
        <v>1.5</v>
      </c>
      <c r="AC27" s="7">
        <f>2040/510</f>
        <v>4</v>
      </c>
      <c r="AD27" s="7">
        <f>2040/510</f>
        <v>4</v>
      </c>
      <c r="AE27" s="7">
        <f>AD27+1</f>
        <v>5</v>
      </c>
      <c r="AF27" s="7">
        <f>M27*AE27^0.5</f>
        <v>49.640709100495329</v>
      </c>
      <c r="AG27" s="7">
        <f>I27</f>
        <v>679</v>
      </c>
      <c r="AH27" s="7">
        <v>8</v>
      </c>
      <c r="AI27" s="7">
        <f>(742+721)/2</f>
        <v>731.5</v>
      </c>
      <c r="AJ27" s="7"/>
      <c r="AK27" s="4">
        <f>CX27</f>
        <v>4.8524991841960396</v>
      </c>
      <c r="AL27" s="7">
        <v>0</v>
      </c>
      <c r="AM27" s="7">
        <v>0</v>
      </c>
      <c r="AN27" s="7">
        <f>K27</f>
        <v>133.19999999999999</v>
      </c>
      <c r="AO27" s="7"/>
      <c r="AP27" s="7"/>
      <c r="AQ27" s="7">
        <f>3*AR27/(V27+M27)</f>
        <v>1.3346693386773545</v>
      </c>
      <c r="AR27" s="4">
        <f>J27</f>
        <v>133.19999999999999</v>
      </c>
      <c r="AS27" s="4">
        <f>IF(J27*3&gt;V27+M27, P27, (R27+M27/2)*2+1.5*J27*(2*W27-2))*(3*J27)/(9*J27^2)</f>
        <v>0.91591591591591592</v>
      </c>
      <c r="AT27" s="4">
        <f>MIN(10*L27^0.5*J27^1.5,100*3.9*L27^0.5*J27^(5/3))/(PI()/4*M27^2)/W27</f>
        <v>226.32633296409878</v>
      </c>
      <c r="AU27" s="4">
        <f>MIN(0.7+0.3*(MIN(R27,Z27)+0.5*M27)/1.5/J27,1)</f>
        <v>0.75</v>
      </c>
      <c r="AV27" s="4">
        <v>1.25</v>
      </c>
      <c r="AW27" s="47">
        <f>AW26</f>
        <v>5</v>
      </c>
      <c r="AX27" s="38">
        <f>AS27*AU27*AV27*AW27*AT27</f>
        <v>971.6994869657957</v>
      </c>
      <c r="AY27" s="38">
        <f>AX27</f>
        <v>971.6994869657957</v>
      </c>
      <c r="AZ27" s="38">
        <f>IF(L27&lt;50, 0.3*L27^(2/3), 2.12*LN(1+0.1*(L27+8)))</f>
        <v>5.7111767066521422</v>
      </c>
      <c r="BA27" s="38">
        <f>AW27* (L27^0.5/AR27^0.5)/(PI()/4*M27^2)/W27/0.72 *(0.7+(MIN(R27,Z27)+0.5*M27)/5/J27) *(3*P27*J27)</f>
        <v>971.69948696579524</v>
      </c>
      <c r="BB27" s="38">
        <f>AX27/BA27</f>
        <v>1.0000000000000004</v>
      </c>
      <c r="BC27" s="38">
        <f>BG27/BA27</f>
        <v>0.80209983688859943</v>
      </c>
      <c r="BD27" s="4">
        <f>IF(BC27&lt;1,1,0)</f>
        <v>1</v>
      </c>
      <c r="BE27" s="4">
        <f>K27/M27*L27^0.5/0.19</f>
        <v>359.91688791300993</v>
      </c>
      <c r="BF27" s="4">
        <f>MIN(0.6+0.4*(AB27/AA27),2)</f>
        <v>1</v>
      </c>
      <c r="BG27" s="38">
        <f>2*L27*AA27*AC27^0.5*BF27*0.7/0.7</f>
        <v>779.40000000000009</v>
      </c>
      <c r="BH27" s="4">
        <f>MAX(1-0.7*AD27/5,0.3)</f>
        <v>0.44000000000000006</v>
      </c>
      <c r="BI27" s="4">
        <f>BH27*I27*K27/(I27*M27/2.75/L27^0.5)</f>
        <v>82.744892531200989</v>
      </c>
      <c r="BJ27" s="4">
        <f>BG27+BI27</f>
        <v>862.14489253120109</v>
      </c>
      <c r="BK27" s="4"/>
      <c r="BL27" s="4">
        <f>MIN(1.5, 0.75+0.25*MIN(3,MAX(1,R27/M27))+0.4*MIN(1,(40*2*PI()*AL27^2/4/AN27/W27)/M27))</f>
        <v>1</v>
      </c>
      <c r="BM27" s="4">
        <f>(3*O27+30)*BL27*L27^0.5</f>
        <v>547.07366962777508</v>
      </c>
      <c r="BN27" s="4"/>
      <c r="BO27" s="4">
        <f>3.4/PI()^0.5*L27*AA27*AD27^0.5*BF27</f>
        <v>747.53991440910613</v>
      </c>
      <c r="BP27" s="4">
        <f>8/3*AG27*AH27^2/(AF27-M27-22)/M27*(AF27^2-M27^2)/(AF27^2-(M27+22)^2)</f>
        <v>3704.4961984911101</v>
      </c>
      <c r="BQ27" s="4">
        <f>BP27/BO27</f>
        <v>4.9555831429005819</v>
      </c>
      <c r="BR27" s="4"/>
      <c r="BS27" s="4"/>
      <c r="BT27" s="4"/>
      <c r="BU27" s="4"/>
      <c r="BV27" s="4"/>
      <c r="BW27" s="4"/>
      <c r="BX27" s="4"/>
      <c r="BY27" s="4">
        <f>IF(V27=0,R27,MIN(V27/2,R27))</f>
        <v>22.2</v>
      </c>
      <c r="BZ27" s="4"/>
      <c r="CA27" s="4"/>
      <c r="CB27" s="4"/>
      <c r="CC27" s="9"/>
      <c r="CD27" s="4"/>
      <c r="CE27" s="9"/>
      <c r="CF27" s="9"/>
      <c r="CG27" s="9">
        <f>IF(V27=0,MIN(R27,T27),MIN(V27/2,R27,T27))</f>
        <v>22.2</v>
      </c>
      <c r="CH27" s="9">
        <f>MAX(V27/2,R27)</f>
        <v>138.60000000000002</v>
      </c>
      <c r="CI27" s="9">
        <f>(CG27/M27)^0.5*(CH27/CG27)^0.15</f>
        <v>1.3161686388047049</v>
      </c>
      <c r="CJ27" s="70">
        <v>0</v>
      </c>
      <c r="CK27" s="9">
        <f>MIN(PI()*AL27^2/4*AM27*2/W27/M27/MAX(0.01,AN27),0.05)</f>
        <v>0</v>
      </c>
      <c r="CL27" s="9">
        <f>MAX(0,CJ27*(CK27-0.5/50))</f>
        <v>0</v>
      </c>
      <c r="CM27" s="9">
        <f>MIN(1,(25/M27)^0.3)</f>
        <v>1</v>
      </c>
      <c r="CN27" s="9">
        <f>IF(I27&gt;=800,0.68,IF(I27&gt;=700,0.75-(I27-700)*0.07/100,IF(I27&gt;=600,0.85-(I27-600)*0.1/100,IF(I27&gt;=500,1-(I27-500)*0.15/100,1.2-(I27-400)*0.2/100))))</f>
        <v>0.77100000000000002</v>
      </c>
      <c r="CO27" s="9">
        <f>1.75*CM27*CN27*(L27/25)^0.5</f>
        <v>3.0755797864386483</v>
      </c>
      <c r="CP27" s="9">
        <f>MIN((CI27+CL27)*CO27,2.5*CO27,L27^0.5)</f>
        <v>4.047981661052221</v>
      </c>
      <c r="CQ27" s="9">
        <v>1</v>
      </c>
      <c r="CR27" s="9">
        <f>4*CP27*O27+60*CP27</f>
        <v>340.03045952838659</v>
      </c>
      <c r="CS27" s="4"/>
      <c r="CT27" s="4">
        <f>AI27/BE27</f>
        <v>2.0324136615028738</v>
      </c>
      <c r="CU27" s="4">
        <f>AI27/BJ27</f>
        <v>0.84846527113599635</v>
      </c>
      <c r="CV27" s="4">
        <f>AI27/BM27</f>
        <v>1.3371142509887328</v>
      </c>
      <c r="CW27" s="4">
        <f>AI27/CR27</f>
        <v>2.1512778620320412</v>
      </c>
      <c r="CX27" s="44">
        <f>AI27/DY27</f>
        <v>4.8524991841960396</v>
      </c>
      <c r="CY27" s="4">
        <f>AI27/EK27</f>
        <v>1</v>
      </c>
      <c r="CZ27" s="4">
        <f>AI27/GH27</f>
        <v>2.1161072832536054</v>
      </c>
      <c r="DA27" s="4"/>
      <c r="DB27" s="4">
        <f>CT27</f>
        <v>2.0324136615028738</v>
      </c>
      <c r="DC27" s="4">
        <f>CU27</f>
        <v>0.84846527113599635</v>
      </c>
      <c r="DD27" s="4">
        <f>CW27</f>
        <v>2.1512778620320412</v>
      </c>
      <c r="DE27" s="4">
        <f>CZ27</f>
        <v>2.1161072832536054</v>
      </c>
      <c r="DF27" s="4">
        <f>CX27</f>
        <v>4.8524991841960396</v>
      </c>
      <c r="DG27" s="4">
        <f>CY27</f>
        <v>1</v>
      </c>
      <c r="DH27" s="4"/>
      <c r="DI27" s="4"/>
      <c r="DJ27" s="4"/>
      <c r="DK27" s="4"/>
      <c r="DL27" s="4"/>
      <c r="DM27" s="4"/>
      <c r="DN27" s="4"/>
      <c r="DO27" s="4">
        <f>AM27</f>
        <v>0</v>
      </c>
      <c r="DP27" s="4">
        <f>K27</f>
        <v>133.19999999999999</v>
      </c>
      <c r="DQ27" s="4"/>
      <c r="DR27" s="4"/>
      <c r="DS27" s="4">
        <f>J27/4/(1-0.3*(L27/30)^0.5)/200000/M27</f>
        <v>1.9960587760943928E-5</v>
      </c>
      <c r="DT27" s="4">
        <f>EO27</f>
        <v>12.240383556873418</v>
      </c>
      <c r="DU27" s="4">
        <f>EB27*AF27/257/L27/AC27</f>
        <v>0</v>
      </c>
      <c r="DV27" s="4">
        <f>DT27*DU27^0.4</f>
        <v>0</v>
      </c>
      <c r="DW27" s="4">
        <f>MIN(DT27, DT27/1.4*(1-DU27^1.4)/(1-DU27))</f>
        <v>8.743131112052442</v>
      </c>
      <c r="DX27" s="4">
        <f>MAX(DT27/2, (4-DS27*(8*AF27*(DV27-DW27)+6*J27*DW27))/(4+DS27*J27*DT27)*DT27)</f>
        <v>11.928607491192304</v>
      </c>
      <c r="DY27" s="38">
        <f>MIN(1/M27*(4*AF27*(DV27-DW27)+(3*DW27+DX27)*J27)+EB27 -FI27,MAX(I27,AI27))</f>
        <v>150.74706295312745</v>
      </c>
      <c r="DZ27" s="4">
        <f>DY27/FE27</f>
        <v>0.85990266032482099</v>
      </c>
      <c r="EA27" s="4">
        <f>AF27/M27</f>
        <v>2.2360679774997898</v>
      </c>
      <c r="EB27" s="4">
        <f>MIN(EA$10*BA27)</f>
        <v>0</v>
      </c>
      <c r="EC27" s="4"/>
      <c r="ED27" s="4"/>
      <c r="EE27" s="4"/>
      <c r="EF27" s="4">
        <f>IF(T27&gt;1*M27,0.85,1)</f>
        <v>0.85</v>
      </c>
      <c r="EG27" s="4">
        <f>MIN(1,MAX(0.7,(1-0.1*(BY27-1*M27)/M27)))</f>
        <v>1</v>
      </c>
      <c r="EH27" s="4">
        <f>MIN(1,MAX(0.7,1-0.3*(PI()*AL27^2/4*AP27*2-0.25*PI()/4*M27^2)/(PI()/4*M27^2)))</f>
        <v>1</v>
      </c>
      <c r="EI27" s="4">
        <f>IF(EG27*EH27&lt;0.7,0.7,EG27*EH27)</f>
        <v>1</v>
      </c>
      <c r="EJ27" s="4"/>
      <c r="EK27" s="4">
        <f>MIN(DT27/M27*3*J27+EL27-FI27,MAX(I27,AI27))</f>
        <v>731.5</v>
      </c>
      <c r="EL27" s="25">
        <f>26.5*P27*J27^0.5*L27^0.5/W27/M27^2*(0.7+R27/5/J27)</f>
        <v>949.1812023271998</v>
      </c>
      <c r="EM27" s="4"/>
      <c r="EN27" s="4"/>
      <c r="EO27" s="4">
        <f>IF(M27&lt;22.2,1.1*5*(L27/30)^0.5,IF(M27&gt;=31.8,0.9*5*(L27/30)^0.5,1*5*(L27/30)^0.5))/EF27/EI27</f>
        <v>12.240383556873418</v>
      </c>
      <c r="EP27" s="4"/>
      <c r="EQ27" s="4"/>
      <c r="ER27" s="4">
        <f>ES27*M27</f>
        <v>49.640709100495329</v>
      </c>
      <c r="ES27" s="4">
        <f>AE27^0.5</f>
        <v>2.2360679774997898</v>
      </c>
      <c r="ET27" s="4">
        <f>MIN(EB27)/(4700*L27^0.5)/AD27*ER27</f>
        <v>0</v>
      </c>
      <c r="EU27" s="4"/>
      <c r="EV27" s="4"/>
      <c r="EW27" s="4">
        <f>ET27</f>
        <v>0</v>
      </c>
      <c r="EX27" s="4">
        <f>MIN(0.999, EW27/(0.3*(L27/30)^0.5))</f>
        <v>0</v>
      </c>
      <c r="EY27" s="4">
        <f>EO27/1*EX27^0.4</f>
        <v>0</v>
      </c>
      <c r="EZ27" s="4">
        <f>EO27/1.4*(1-EX27^1.4)/(1-EX27)</f>
        <v>8.743131112052442</v>
      </c>
      <c r="FA27" s="4">
        <f>MAX(0,DP27*FA$9-ER27)</f>
        <v>0</v>
      </c>
      <c r="FB27" s="4">
        <f>MAX(0,DP27-ER27-FA27)</f>
        <v>83.55929089950466</v>
      </c>
      <c r="FC27" s="4">
        <f>FB27/(1-0.3*(L27/30)^0.5)/200000/M27</f>
        <v>5.0086863640895088E-5</v>
      </c>
      <c r="FD27" s="4">
        <f>MAX(0.5*EO27, (1-2*FC27*(ER27*EY27+FA27*EZ27))/(1/EO27+FC27*FB27))</f>
        <v>11.643882229397391</v>
      </c>
      <c r="FE27" s="4">
        <f>MIN(4/M27*(1*EY27*ER27+EZ27*FA27+FB27*FD27)+EB27,MAX(I27,AI27))</f>
        <v>175.30712475779993</v>
      </c>
      <c r="FF27" s="4"/>
      <c r="FG27" s="4"/>
      <c r="FH27" s="4"/>
      <c r="FI27" s="4"/>
      <c r="FJ27" s="4"/>
      <c r="FK27" s="4"/>
      <c r="FL27" s="4"/>
      <c r="FM27" s="4"/>
      <c r="FN27" s="23">
        <f>IF(CT27&lt;0.6,0.6,IF(CT27&lt;0.8,0.8,IF(CT27&lt;1,1,IF(CT27&lt;1.2,1.2,IF(CT27&lt;1.4,1.4,IF(CT27&lt;1.6,1.6,IF(CT27&lt;1.8,1.8,IF(CT27&lt;2,2,2.2))))))))</f>
        <v>2.2000000000000002</v>
      </c>
      <c r="FO27" s="23">
        <f>IF(CU27&lt;0.6,0.6,IF(CU27&lt;0.8,0.8,IF(CU27&lt;1,1,IF(CU27&lt;1.2,1.2,IF(CU27&lt;1.4,1.4,IF(CU27&lt;1.6,1.6,IF(CU27&lt;1.8,1.8,IF(CU27&lt;2,2,2.2))))))))</f>
        <v>1</v>
      </c>
      <c r="FP27" s="23">
        <f>IF(CZ27&lt;0.6,0.6,IF(CZ27&lt;0.8,0.8,IF(CZ27&lt;1,1,IF(CZ27&lt;1.2,1.2,IF(CZ27&lt;1.4,1.4,IF(CZ27&lt;1.6,1.6,IF(CZ27&lt;1.8,1.8,IF(CZ27&lt;2,2,2.2))))))))</f>
        <v>2.2000000000000002</v>
      </c>
      <c r="FQ27" s="23">
        <f>IF(CW27&lt;0.6,0.6,IF(CW27&lt;0.8,0.8,IF(CW27&lt;1,1,IF(CW27&lt;1.2,1.2,IF(CW27&lt;1.4,1.4,IF(CW27&lt;1.6,1.6,IF(CW27&lt;1.8,1.8,IF(CW27&lt;2,2,2.2))))))))</f>
        <v>2.2000000000000002</v>
      </c>
      <c r="FR27" s="23">
        <f>IF(CX27&lt;0.6,0.6,IF(CX27&lt;0.8,0.8,IF(CX27&lt;1,1,IF(CX27&lt;1.2,1.2,IF(CX27&lt;1.4,1.4,IF(CX27&lt;1.6,1.6,IF(CX27&lt;1.8,1.8,IF(CX27&lt;2,2,2.2))))))))</f>
        <v>2.2000000000000002</v>
      </c>
      <c r="FS27" s="23">
        <f>IF(CY27&lt;0.6,0.6,IF(CY27&lt;0.8,0.8,IF(CY27&lt;1,1,IF(CY27&lt;1.2,1.2,IF(CY27&lt;1.4,1.4,IF(CY27&lt;1.6,1.6,IF(CY27&lt;1.8,1.8,IF(CY27&lt;2,2,2.2))))))))</f>
        <v>1.2</v>
      </c>
      <c r="FT27" s="23">
        <f>IF(FR27&lt;1,1,0)</f>
        <v>0</v>
      </c>
      <c r="FU27" s="23"/>
      <c r="FV27" s="4"/>
      <c r="FW27" s="4"/>
      <c r="FX27" s="4"/>
      <c r="FY27" s="4"/>
      <c r="FZ27" s="4"/>
      <c r="GA27" s="4"/>
      <c r="GB27" s="4"/>
      <c r="GC27" s="4"/>
      <c r="GD27" s="4"/>
      <c r="GE27" s="4">
        <f>IF(R27&gt;=2.5*25.4,1,1.25)</f>
        <v>1.25</v>
      </c>
      <c r="GF27" s="4">
        <f>IF(AN27&gt;1, 0.05*(18-MIN(8,(V27+M27)/M27))*(1-48000/MAX(60000,(I27*145))*(M27/25.4)^0.75*GG27), 1/12*(14-MIN(8,(V27+M27)/M27)))</f>
        <v>0.5</v>
      </c>
      <c r="GG27" s="4">
        <f>MIN(0.3, AL27^2*PI()/4*2*AO27/(M27^2*PI()/4*W27))</f>
        <v>0</v>
      </c>
      <c r="GH27" s="4">
        <f>(J27/25.4)/(M27/25.4)^1.5/0.0024*(L27*145)^0.25/GE27/GF27/145</f>
        <v>345.681906484102</v>
      </c>
      <c r="GI27" s="4"/>
      <c r="GJ27" s="4"/>
      <c r="GK27" s="4"/>
      <c r="GL27" s="4"/>
      <c r="GM27" s="4"/>
    </row>
    <row r="28" spans="1:195" s="4" customFormat="1" ht="12" customHeight="1" x14ac:dyDescent="0.3">
      <c r="A28" s="52">
        <v>161</v>
      </c>
      <c r="B28" s="53" t="s">
        <v>128</v>
      </c>
      <c r="C28" s="53">
        <v>2017</v>
      </c>
      <c r="D28" s="53" t="s">
        <v>309</v>
      </c>
      <c r="E28" s="53"/>
      <c r="F28" s="109" t="s">
        <v>796</v>
      </c>
      <c r="G28" s="60" t="s">
        <v>168</v>
      </c>
      <c r="H28" s="5">
        <f>J28/M28</f>
        <v>7</v>
      </c>
      <c r="I28" s="101">
        <v>583</v>
      </c>
      <c r="J28" s="32">
        <f>7*M28</f>
        <v>401.09999999999997</v>
      </c>
      <c r="K28" s="32">
        <f>J28</f>
        <v>401.09999999999997</v>
      </c>
      <c r="L28" s="79">
        <v>51.4</v>
      </c>
      <c r="M28" s="55">
        <v>57.3</v>
      </c>
      <c r="N28" s="32">
        <f>J28/M28</f>
        <v>7</v>
      </c>
      <c r="O28" s="32">
        <f>K28/M28</f>
        <v>7</v>
      </c>
      <c r="P28" s="32">
        <f>V28+2*R28+2*M28</f>
        <v>584.46</v>
      </c>
      <c r="Q28" s="32">
        <f>R28/M28</f>
        <v>1</v>
      </c>
      <c r="R28" s="32">
        <f>1*M28</f>
        <v>57.3</v>
      </c>
      <c r="S28" s="32">
        <f>T28/M28</f>
        <v>0.97731239092495636</v>
      </c>
      <c r="T28" s="32">
        <f>40+16</f>
        <v>56</v>
      </c>
      <c r="U28" s="32">
        <f>V28/M28</f>
        <v>6.2</v>
      </c>
      <c r="V28" s="32">
        <f>(7.2-1)*M28</f>
        <v>355.26</v>
      </c>
      <c r="W28" s="32">
        <v>2</v>
      </c>
      <c r="X28" s="122">
        <f>AM28</f>
        <v>0</v>
      </c>
      <c r="Y28" s="32">
        <f>Z28/M28</f>
        <v>3.0436300174520068</v>
      </c>
      <c r="Z28" s="32">
        <f>2/3*J28-0.5*186</f>
        <v>174.39999999999998</v>
      </c>
      <c r="AA28" s="32">
        <f>MIN(R28/M28+0.5, V28/2/M28+0.5)</f>
        <v>1.5</v>
      </c>
      <c r="AB28" s="32">
        <f>R28/M28+0.5</f>
        <v>1.5</v>
      </c>
      <c r="AC28" s="32">
        <f>2040/510</f>
        <v>4</v>
      </c>
      <c r="AD28" s="32">
        <f>2040/510</f>
        <v>4</v>
      </c>
      <c r="AE28" s="32">
        <f>AD28+1</f>
        <v>5</v>
      </c>
      <c r="AF28" s="32">
        <f>M28*AE28^0.5</f>
        <v>128.12669511073796</v>
      </c>
      <c r="AG28" s="32">
        <f>I28</f>
        <v>583</v>
      </c>
      <c r="AH28" s="32">
        <v>25</v>
      </c>
      <c r="AI28" s="32">
        <f>(338+330)/2</f>
        <v>334</v>
      </c>
      <c r="AJ28" s="32"/>
      <c r="AK28" s="54">
        <f>CX28</f>
        <v>3.6804361834839789</v>
      </c>
      <c r="AL28" s="32">
        <v>0</v>
      </c>
      <c r="AM28" s="32">
        <v>0</v>
      </c>
      <c r="AN28" s="32">
        <f>K28</f>
        <v>401.09999999999997</v>
      </c>
      <c r="AO28" s="32"/>
      <c r="AP28" s="32"/>
      <c r="AQ28" s="32">
        <f>3*AR28/(V28+M28)</f>
        <v>2.9166666666666665</v>
      </c>
      <c r="AR28" s="54">
        <f>J28</f>
        <v>401.09999999999997</v>
      </c>
      <c r="AS28" s="54">
        <f>IF(J28*3&gt;V28+M28, P28, (R28+M28/2)*2+1.5*J28*(2*W28-2))*(3*J28)/(9*J28^2)</f>
        <v>0.48571428571428582</v>
      </c>
      <c r="AT28" s="54">
        <f>MIN(10*L28^0.5*J28^1.5,100*3.9*L28^0.5*J28^(5/3))/(PI()/4*M28^2)/W28</f>
        <v>111.66869259763561</v>
      </c>
      <c r="AU28" s="54">
        <f>MIN(0.7+0.3*(MIN(R28,Z28)+0.5*M28)/1.5/J28,1)</f>
        <v>0.74285714285714277</v>
      </c>
      <c r="AV28" s="54">
        <v>1.25</v>
      </c>
      <c r="AW28" s="54">
        <f>AW26</f>
        <v>5</v>
      </c>
      <c r="AX28" s="56">
        <f>AS28*AU28*AV28*AW28*AT28</f>
        <v>251.82429657221914</v>
      </c>
      <c r="AY28" s="56">
        <f>AX28</f>
        <v>251.82429657221914</v>
      </c>
      <c r="AZ28" s="56">
        <f>IF(L28&lt;50, 0.3*L28^(2/3), 2.12*LN(1+0.1*(L28+8)))</f>
        <v>4.107079761979672</v>
      </c>
      <c r="BA28" s="56">
        <f>AW28* (L28^0.5/AR28^0.5)/(PI()/4*M28^2)/W28/0.72 *(0.7+(MIN(R28,Z28)+0.5*M28)/5/J28) *(3*P28*J28)</f>
        <v>251.82429657221903</v>
      </c>
      <c r="BB28" s="56">
        <f>AX28/BA28</f>
        <v>1.0000000000000004</v>
      </c>
      <c r="BC28" s="56">
        <f>BG28/BA28</f>
        <v>1.2246634030070882</v>
      </c>
      <c r="BD28" s="54">
        <f>IF(BC28&lt;1,1,0)</f>
        <v>0</v>
      </c>
      <c r="BE28" s="54">
        <f>K28/M28*L28^0.5/0.19</f>
        <v>264.13502800535673</v>
      </c>
      <c r="BF28" s="54">
        <f>MIN(0.6+0.4*(AB28/AA28),2)</f>
        <v>1</v>
      </c>
      <c r="BG28" s="56">
        <f>2*L28*AA28*AC28^0.5*BF28*0.7/0.7</f>
        <v>308.39999999999998</v>
      </c>
      <c r="BH28" s="54">
        <f>MAX(1-0.7*AD28/5,0.3)</f>
        <v>0.44000000000000006</v>
      </c>
      <c r="BI28" s="54">
        <f>BH28*I28*K28/(I28*M28/2.75/L28^0.5)</f>
        <v>60.724642938431515</v>
      </c>
      <c r="BJ28" s="54">
        <f>BG28+BI28</f>
        <v>369.12464293843152</v>
      </c>
      <c r="BK28" s="54"/>
      <c r="BL28" s="54">
        <f>MIN(1.5, 0.75+0.25*MIN(3,MAX(1,R28/M28))+0.4*MIN(1,(40*2*PI()*AL28^2/4/AN28/W28)/M28))</f>
        <v>1</v>
      </c>
      <c r="BM28" s="54">
        <f>(3*O28+30)*BL28*L28^0.5</f>
        <v>365.63834591027239</v>
      </c>
      <c r="BN28" s="54"/>
      <c r="BO28" s="54">
        <f>3.4/PI()^0.5*L28*AA28*AD28^0.5*BF28</f>
        <v>295.79331486241767</v>
      </c>
      <c r="BP28" s="54">
        <f>8/3*AG28*AH28^2/(AF28-M28-22)/M28*(AF28^2-M28^2)/(AF28^2-(M28+22)^2)</f>
        <v>450.3525339151019</v>
      </c>
      <c r="BQ28" s="54">
        <f>BP28/BO28</f>
        <v>1.5225243820151051</v>
      </c>
      <c r="BR28" s="54"/>
      <c r="BS28" s="54"/>
      <c r="BT28" s="54"/>
      <c r="BU28" s="54"/>
      <c r="BV28" s="54"/>
      <c r="BW28" s="54"/>
      <c r="BX28" s="54"/>
      <c r="BY28" s="54">
        <f>IF(V28=0,R28,MIN(V28/2,R28))</f>
        <v>57.3</v>
      </c>
      <c r="BZ28" s="54"/>
      <c r="CA28" s="54"/>
      <c r="CB28" s="54"/>
      <c r="CC28" s="57"/>
      <c r="CD28" s="54"/>
      <c r="CE28" s="57"/>
      <c r="CF28" s="57"/>
      <c r="CG28" s="57">
        <f>IF(V28=0,MIN(R28,T28),MIN(V28/2,R28,T28))</f>
        <v>56</v>
      </c>
      <c r="CH28" s="57">
        <f>MAX(V28/2,R28)</f>
        <v>177.63</v>
      </c>
      <c r="CI28" s="57">
        <f>(CG28/M28)^0.5*(CH28/CG28)^0.15</f>
        <v>1.1754818988273255</v>
      </c>
      <c r="CJ28" s="71">
        <v>0</v>
      </c>
      <c r="CK28" s="57">
        <f>MIN(PI()*AL28^2/4*AM28*2/W28/M28/MAX(0.01,AN28),0.05)</f>
        <v>0</v>
      </c>
      <c r="CL28" s="57">
        <f>MAX(0,CJ28*(CK28-0.5/50))</f>
        <v>0</v>
      </c>
      <c r="CM28" s="57">
        <f>MIN(1,(25/M28)^0.3)</f>
        <v>0.77971450958075206</v>
      </c>
      <c r="CN28" s="57">
        <f>IF(I28&gt;=800,0.68,IF(I28&gt;=700,0.75-(I28-700)*0.07/100,IF(I28&gt;=600,0.85-(I28-600)*0.1/100,IF(I28&gt;=500,1-(I28-500)*0.15/100,1.2-(I28-400)*0.2/100))))</f>
        <v>0.87549999999999994</v>
      </c>
      <c r="CO28" s="57">
        <f>1.75*CM28*CN28*(L28/25)^0.5</f>
        <v>1.7129369207551171</v>
      </c>
      <c r="CP28" s="57">
        <f>MIN((CI28+CL28)*CO28,2.5*CO28,L28^0.5)</f>
        <v>2.013526344180657</v>
      </c>
      <c r="CQ28" s="57">
        <v>1</v>
      </c>
      <c r="CR28" s="57">
        <f>4*CP28*O28+60*CP28</f>
        <v>177.19031828789781</v>
      </c>
      <c r="CS28" s="54"/>
      <c r="CT28" s="54">
        <f>AI28/BE28</f>
        <v>1.2645047592598222</v>
      </c>
      <c r="CU28" s="54">
        <f>AI28/BJ28</f>
        <v>0.90484340828935073</v>
      </c>
      <c r="CV28" s="54">
        <f>AI28/BM28</f>
        <v>0.913470930321853</v>
      </c>
      <c r="CW28" s="54">
        <f>AI28/CR28</f>
        <v>1.8849788364696016</v>
      </c>
      <c r="CX28" s="54">
        <f>AI28/DY28</f>
        <v>3.6804361834839789</v>
      </c>
      <c r="CY28" s="54">
        <f>AI28/EK28</f>
        <v>1.3493245422364921</v>
      </c>
      <c r="CZ28" s="54">
        <f>AI28/GH28</f>
        <v>1.8117952467104248</v>
      </c>
      <c r="DA28" s="54"/>
      <c r="DB28" s="54">
        <f>CT28</f>
        <v>1.2645047592598222</v>
      </c>
      <c r="DC28" s="54">
        <f>CU28</f>
        <v>0.90484340828935073</v>
      </c>
      <c r="DD28" s="54">
        <f>CW28</f>
        <v>1.8849788364696016</v>
      </c>
      <c r="DE28" s="54">
        <f>CZ28</f>
        <v>1.8117952467104248</v>
      </c>
      <c r="DF28" s="54">
        <f>CX28</f>
        <v>3.6804361834839789</v>
      </c>
      <c r="DG28" s="54">
        <f>CY28</f>
        <v>1.3493245422364921</v>
      </c>
      <c r="DH28" s="54"/>
      <c r="DI28" s="54"/>
      <c r="DJ28" s="54"/>
      <c r="DK28" s="54"/>
      <c r="DL28" s="54"/>
      <c r="DM28" s="54"/>
      <c r="DN28" s="54"/>
      <c r="DO28" s="54">
        <f>AM28</f>
        <v>0</v>
      </c>
      <c r="DP28" s="54">
        <f>K28</f>
        <v>401.09999999999997</v>
      </c>
      <c r="DQ28" s="54"/>
      <c r="DR28" s="54"/>
      <c r="DS28" s="54">
        <f>J28/4/(1-0.3*(L28/30)^0.5)/200000/M28</f>
        <v>1.4407634115999734E-5</v>
      </c>
      <c r="DT28" s="54">
        <f>EO28</f>
        <v>5.8902461748215584</v>
      </c>
      <c r="DU28" s="54">
        <f>EB28*AF28/257/L28/AC28</f>
        <v>0</v>
      </c>
      <c r="DV28" s="54">
        <f>DT28*DU28^0.4</f>
        <v>0</v>
      </c>
      <c r="DW28" s="54">
        <f>MIN(DT28, DT28/1.4*(1-DU28^1.4)/(1-DU28))</f>
        <v>4.2073186963011135</v>
      </c>
      <c r="DX28" s="54">
        <f>MAX(DT28/2, (4-DS28*(8*AF28*(DV28-DW28)+6*J28*DW28))/(4+DS28*J28*DT28)*DT28)</f>
        <v>5.7182604191824584</v>
      </c>
      <c r="DY28" s="56">
        <f>MIN(1/M28*(4*AF28*(DV28-DW28)+(3*DW28+DX28)*J28)+EB28 -FI28,MAX(I28,AI28))</f>
        <v>90.750113124860249</v>
      </c>
      <c r="DZ28" s="54">
        <f>DY28/FE28</f>
        <v>0.85950248335103152</v>
      </c>
      <c r="EA28" s="54">
        <f>AF28/M28</f>
        <v>2.2360679774997898</v>
      </c>
      <c r="EB28" s="54">
        <f>MIN(EA$10*BA28)</f>
        <v>0</v>
      </c>
      <c r="EC28" s="54"/>
      <c r="ED28" s="54"/>
      <c r="EE28" s="54"/>
      <c r="EF28" s="54">
        <f>IF(T28&gt;1*M28,0.85,1)</f>
        <v>1</v>
      </c>
      <c r="EG28" s="54">
        <f>MIN(1,MAX(0.7,(1-0.1*(BY28-1*M28)/M28)))</f>
        <v>1</v>
      </c>
      <c r="EH28" s="54">
        <f>MIN(1,MAX(0.7,1-0.3*(PI()*AL28^2/4*AP28*2-0.25*PI()/4*M28^2)/(PI()/4*M28^2)))</f>
        <v>1</v>
      </c>
      <c r="EI28" s="54">
        <f>IF(EG28*EH28&lt;0.7,0.7,EG28*EH28)</f>
        <v>1</v>
      </c>
      <c r="EJ28" s="54"/>
      <c r="EK28" s="54">
        <f>MIN(DT28/M28*3*J28+EL28-FI28,MAX(I28,AI28))</f>
        <v>247.53125696980081</v>
      </c>
      <c r="EL28" s="52">
        <f>13.3*P28*J28^0.5*L28^0.5/W28/M28^2*(0.7+R28/5/J28)</f>
        <v>123.83608729854809</v>
      </c>
      <c r="EM28" s="54"/>
      <c r="EN28" s="54"/>
      <c r="EO28" s="54">
        <f>IF(M28&lt;22.2,1.1*5*(L28/30)^0.5,IF(M28&gt;=31.8,0.9*5*(L28/30)^0.5,1*5*(L28/30)^0.5))/EF28/EI28</f>
        <v>5.8902461748215584</v>
      </c>
      <c r="EP28" s="54"/>
      <c r="EQ28" s="54"/>
      <c r="ER28" s="54">
        <f>ES28*M28</f>
        <v>128.12669511073796</v>
      </c>
      <c r="ES28" s="54">
        <f>AE28^0.5</f>
        <v>2.2360679774997898</v>
      </c>
      <c r="ET28" s="54">
        <f>MIN(EB28)/(4700*L28^0.5)/AD28*ER28</f>
        <v>0</v>
      </c>
      <c r="EU28" s="54"/>
      <c r="EV28" s="54"/>
      <c r="EW28" s="54">
        <f>ET28</f>
        <v>0</v>
      </c>
      <c r="EX28" s="54">
        <f>MIN(0.999, EW28/(0.3*(L28/30)^0.5))</f>
        <v>0</v>
      </c>
      <c r="EY28" s="54">
        <f>EO28/1*EX28^0.4</f>
        <v>0</v>
      </c>
      <c r="EZ28" s="54">
        <f>EO28/1.4*(1-EX28^1.4)/(1-EX28)</f>
        <v>4.2073186963011135</v>
      </c>
      <c r="FA28" s="54">
        <f>MAX(0,DP28*FA$9-ER28)</f>
        <v>0</v>
      </c>
      <c r="FB28" s="54">
        <f>MAX(0,DP28-ER28-FA28)</f>
        <v>272.97330488926201</v>
      </c>
      <c r="FC28" s="54">
        <f>FB28/(1-0.3*(L28/30)^0.5)/200000/M28</f>
        <v>3.9221136876387221E-5</v>
      </c>
      <c r="FD28" s="54">
        <f>MAX(0.5*EO28, (1-2*FC28*(ER28*EY28+FA28*EZ28))/(1/EO28+FC28*FB28))</f>
        <v>5.5408257447479201</v>
      </c>
      <c r="FE28" s="54">
        <f>MIN(4/M28*(1*EY28*ER28+EZ28*FA28+FB28*FD28)+EB28,MAX(I28,AI28))</f>
        <v>105.58446878599275</v>
      </c>
      <c r="FF28" s="54"/>
      <c r="FG28" s="54"/>
      <c r="FH28" s="54"/>
      <c r="FI28" s="54"/>
      <c r="FJ28" s="54"/>
      <c r="FK28" s="54"/>
      <c r="FL28" s="54"/>
      <c r="FM28" s="54"/>
      <c r="FN28" s="58">
        <f>IF(CT28&lt;0.6,0.6,IF(CT28&lt;0.8,0.8,IF(CT28&lt;1,1,IF(CT28&lt;1.2,1.2,IF(CT28&lt;1.4,1.4,IF(CT28&lt;1.6,1.6,IF(CT28&lt;1.8,1.8,IF(CT28&lt;2,2,2.2))))))))</f>
        <v>1.4</v>
      </c>
      <c r="FO28" s="58">
        <f>IF(CU28&lt;0.6,0.6,IF(CU28&lt;0.8,0.8,IF(CU28&lt;1,1,IF(CU28&lt;1.2,1.2,IF(CU28&lt;1.4,1.4,IF(CU28&lt;1.6,1.6,IF(CU28&lt;1.8,1.8,IF(CU28&lt;2,2,2.2))))))))</f>
        <v>1</v>
      </c>
      <c r="FP28" s="58">
        <f>IF(CZ28&lt;0.6,0.6,IF(CZ28&lt;0.8,0.8,IF(CZ28&lt;1,1,IF(CZ28&lt;1.2,1.2,IF(CZ28&lt;1.4,1.4,IF(CZ28&lt;1.6,1.6,IF(CZ28&lt;1.8,1.8,IF(CZ28&lt;2,2,2.2))))))))</f>
        <v>2</v>
      </c>
      <c r="FQ28" s="58">
        <f>IF(CW28&lt;0.6,0.6,IF(CW28&lt;0.8,0.8,IF(CW28&lt;1,1,IF(CW28&lt;1.2,1.2,IF(CW28&lt;1.4,1.4,IF(CW28&lt;1.6,1.6,IF(CW28&lt;1.8,1.8,IF(CW28&lt;2,2,2.2))))))))</f>
        <v>2</v>
      </c>
      <c r="FR28" s="58">
        <f>IF(CX28&lt;0.6,0.6,IF(CX28&lt;0.8,0.8,IF(CX28&lt;1,1,IF(CX28&lt;1.2,1.2,IF(CX28&lt;1.4,1.4,IF(CX28&lt;1.6,1.6,IF(CX28&lt;1.8,1.8,IF(CX28&lt;2,2,2.2))))))))</f>
        <v>2.2000000000000002</v>
      </c>
      <c r="FS28" s="58">
        <f>IF(CY28&lt;0.6,0.6,IF(CY28&lt;0.8,0.8,IF(CY28&lt;1,1,IF(CY28&lt;1.2,1.2,IF(CY28&lt;1.4,1.4,IF(CY28&lt;1.6,1.6,IF(CY28&lt;1.8,1.8,IF(CY28&lt;2,2,2.2))))))))</f>
        <v>1.4</v>
      </c>
      <c r="FT28" s="58">
        <f>IF(FR28&lt;1,1,0)</f>
        <v>0</v>
      </c>
      <c r="FU28" s="58"/>
      <c r="FV28" s="54"/>
      <c r="FW28" s="54"/>
      <c r="FX28" s="54"/>
      <c r="FY28" s="54"/>
      <c r="FZ28" s="54"/>
      <c r="GA28" s="54"/>
      <c r="GB28" s="54"/>
      <c r="GC28" s="54"/>
      <c r="GD28" s="54"/>
      <c r="GE28" s="54">
        <f>IF(R28&gt;=2.5*25.4,1,1.25)</f>
        <v>1.25</v>
      </c>
      <c r="GF28" s="54">
        <f>IF(AN28&gt;1, 0.05*(18-MIN(8,(V28+M28)/M28))*(1-48000/MAX(60000,(I28*145))*(M28/25.4)^0.75*GG28), 1/12*(14-MIN(8,(V28+M28)/M28)))</f>
        <v>0.54</v>
      </c>
      <c r="GG28" s="54">
        <f>MIN(0.3, AL28^2*PI()/4*2*AO28/(M28^2*PI()/4*W28))</f>
        <v>0</v>
      </c>
      <c r="GH28" s="54">
        <f>(J28/25.4)/(M28/25.4)^1.5/0.0024*(L28*145)^0.25/GE28/GF28/145</f>
        <v>184.3475418132513</v>
      </c>
      <c r="GI28" s="54"/>
      <c r="GJ28" s="54"/>
      <c r="GK28" s="54"/>
      <c r="GL28" s="54"/>
      <c r="GM28" s="54"/>
    </row>
    <row r="29" spans="1:195" s="4" customFormat="1" ht="12" customHeight="1" x14ac:dyDescent="0.3">
      <c r="A29" s="25">
        <v>162</v>
      </c>
      <c r="B29" s="24" t="s">
        <v>128</v>
      </c>
      <c r="C29" s="24">
        <v>2017</v>
      </c>
      <c r="D29" s="24" t="s">
        <v>309</v>
      </c>
      <c r="E29" s="24"/>
      <c r="F29" s="109" t="s">
        <v>796</v>
      </c>
      <c r="G29" s="44" t="s">
        <v>169</v>
      </c>
      <c r="H29" s="5">
        <f>J29/M29</f>
        <v>7</v>
      </c>
      <c r="I29" s="100">
        <v>583</v>
      </c>
      <c r="J29" s="7">
        <f>7*M29</f>
        <v>401.09999999999997</v>
      </c>
      <c r="K29" s="7">
        <f>J29</f>
        <v>401.09999999999997</v>
      </c>
      <c r="L29" s="80">
        <v>51.4</v>
      </c>
      <c r="M29" s="37">
        <v>57.3</v>
      </c>
      <c r="N29" s="7">
        <f>J29/M29</f>
        <v>7</v>
      </c>
      <c r="O29" s="7">
        <f>K29/M29</f>
        <v>7</v>
      </c>
      <c r="P29" s="7">
        <f>V29+2*R29+2*M29</f>
        <v>584.46</v>
      </c>
      <c r="Q29" s="32">
        <f>R29/M29</f>
        <v>1</v>
      </c>
      <c r="R29" s="7">
        <f>1*M29</f>
        <v>57.3</v>
      </c>
      <c r="S29" s="32">
        <f>T29/M29</f>
        <v>0.97731239092495636</v>
      </c>
      <c r="T29" s="7">
        <f>40+16</f>
        <v>56</v>
      </c>
      <c r="U29" s="32">
        <f>V29/M29</f>
        <v>6.2</v>
      </c>
      <c r="V29" s="7">
        <f>(7.2-1)*M29</f>
        <v>355.26</v>
      </c>
      <c r="W29" s="7">
        <v>2</v>
      </c>
      <c r="X29" s="122">
        <f>AM29</f>
        <v>2</v>
      </c>
      <c r="Y29" s="32">
        <f>Z29/M29</f>
        <v>3.0436300174520068</v>
      </c>
      <c r="Z29" s="7">
        <f>2/3*J29-0.5*186</f>
        <v>174.39999999999998</v>
      </c>
      <c r="AA29" s="7">
        <f>MIN(R29/M29+0.5, V29/2/M29+0.5)</f>
        <v>1.5</v>
      </c>
      <c r="AB29" s="7">
        <f>R29/M29+0.5</f>
        <v>1.5</v>
      </c>
      <c r="AC29" s="7">
        <f>2040/510</f>
        <v>4</v>
      </c>
      <c r="AD29" s="7">
        <f>2040/510</f>
        <v>4</v>
      </c>
      <c r="AE29" s="7">
        <f>AD29+1</f>
        <v>5</v>
      </c>
      <c r="AF29" s="7">
        <f>M29*AE29^0.5</f>
        <v>128.12669511073796</v>
      </c>
      <c r="AG29" s="7">
        <f>I29</f>
        <v>583</v>
      </c>
      <c r="AH29" s="7">
        <v>25</v>
      </c>
      <c r="AI29" s="7">
        <f>(424+424)/2</f>
        <v>424</v>
      </c>
      <c r="AJ29" s="7"/>
      <c r="AK29" s="4">
        <f>CX29</f>
        <v>4.5919497966447551</v>
      </c>
      <c r="AL29" s="7">
        <v>15.9</v>
      </c>
      <c r="AM29" s="7">
        <v>2</v>
      </c>
      <c r="AN29" s="7">
        <v>275</v>
      </c>
      <c r="AO29" s="7">
        <v>4</v>
      </c>
      <c r="AP29" s="7">
        <f>AM29</f>
        <v>2</v>
      </c>
      <c r="AQ29" s="7">
        <f>3*AR29/(V29+M29)</f>
        <v>2.9166666666666665</v>
      </c>
      <c r="AR29" s="4">
        <f>J29</f>
        <v>401.09999999999997</v>
      </c>
      <c r="AS29" s="4">
        <f>IF(J29*3&gt;V29+M29, P29, (R29+M29/2)*2+1.5*J29*(2*W29-2))*(3*J29)/(9*J29^2)</f>
        <v>0.48571428571428582</v>
      </c>
      <c r="AT29" s="4">
        <f>MIN(10*L29^0.5*J29^1.5,100*3.9*L29^0.5*J29^(5/3))/(PI()/4*M29^2)/W29</f>
        <v>111.66869259763561</v>
      </c>
      <c r="AU29" s="4">
        <f>MIN(0.7+0.3*(MIN(R29,Z29)+0.5*M29)/1.5/J29,1)</f>
        <v>0.74285714285714277</v>
      </c>
      <c r="AV29" s="4">
        <v>1.25</v>
      </c>
      <c r="AW29" s="4">
        <f>AW27</f>
        <v>5</v>
      </c>
      <c r="AX29" s="38">
        <f>AS29*AU29*AV29*AW29*AT29</f>
        <v>251.82429657221914</v>
      </c>
      <c r="AY29" s="38">
        <f>AX29</f>
        <v>251.82429657221914</v>
      </c>
      <c r="AZ29" s="38">
        <f>IF(L29&lt;50, 0.3*L29^(2/3), 2.12*LN(1+0.1*(L29+8)))</f>
        <v>4.107079761979672</v>
      </c>
      <c r="BA29" s="38">
        <f>AW29* (L29^0.5/AR29^0.5)/(PI()/4*M29^2)/W29/0.72 *(0.7+(MIN(R29,Z29)+0.5*M29)/5/J29) *(3*P29*J29)</f>
        <v>251.82429657221903</v>
      </c>
      <c r="BB29" s="38">
        <f>AX29/BA29</f>
        <v>1.0000000000000004</v>
      </c>
      <c r="BC29" s="38">
        <f>BG29/BA29</f>
        <v>1.2246634030070882</v>
      </c>
      <c r="BD29" s="4">
        <f>IF(BC29&lt;1,1,0)</f>
        <v>0</v>
      </c>
      <c r="BE29" s="4">
        <f>K29/M29*L29^0.5/0.19</f>
        <v>264.13502800535673</v>
      </c>
      <c r="BF29" s="4">
        <f>MIN(0.6+0.4*(AB29/AA29),2)</f>
        <v>1</v>
      </c>
      <c r="BG29" s="38">
        <f>2*L29*AA29*AC29^0.5*BF29*0.7/0.7</f>
        <v>308.39999999999998</v>
      </c>
      <c r="BH29" s="4">
        <f>MAX(1-0.7*AD29/5,0.3)</f>
        <v>0.44000000000000006</v>
      </c>
      <c r="BI29" s="4">
        <f>BH29*I29*K29/(I29*M29/2.75/L29^0.5)</f>
        <v>60.724642938431515</v>
      </c>
      <c r="BJ29" s="4">
        <f>BG29+BI29</f>
        <v>369.12464293843152</v>
      </c>
      <c r="BL29" s="4">
        <f>MIN(1.5, 0.75+0.25*MIN(3,MAX(1,R29/M29))+0.4*MIN(1,(40*2*PI()*AL29^2/4/AN29/W29)/M29))</f>
        <v>1.201612194511575</v>
      </c>
      <c r="BM29" s="4">
        <f>(3*O29+30)*BL29*L29^0.5</f>
        <v>439.35549522682476</v>
      </c>
      <c r="BO29" s="4">
        <f>3.4/PI()^0.5*L29*AA29*AD29^0.5*BF29</f>
        <v>295.79331486241767</v>
      </c>
      <c r="BP29" s="4">
        <f>8/3*AG29*AH29^2/(AF29-M29-22)/M29*(AF29^2-M29^2)/(AF29^2-(M29+22)^2)</f>
        <v>450.3525339151019</v>
      </c>
      <c r="BQ29" s="4">
        <f>BP29/BO29</f>
        <v>1.5225243820151051</v>
      </c>
      <c r="BY29" s="4">
        <f>IF(V29=0,R29,MIN(V29/2,R29))</f>
        <v>57.3</v>
      </c>
      <c r="CC29" s="9"/>
      <c r="CE29" s="9"/>
      <c r="CF29" s="9"/>
      <c r="CG29" s="9">
        <f>IF(V29=0,MIN(R29,T29),MIN(V29/2,R29,T29))</f>
        <v>56</v>
      </c>
      <c r="CH29" s="9">
        <f>MAX(V29/2,R29)</f>
        <v>177.63</v>
      </c>
      <c r="CI29" s="9">
        <f>(CG29/M29)^0.5*(CH29/CG29)^0.15</f>
        <v>1.1754818988273255</v>
      </c>
      <c r="CJ29" s="70">
        <v>20</v>
      </c>
      <c r="CK29" s="9">
        <f>MIN(PI()*AL29^2/4*AM29*2/W29/M29/MAX(0.01,AN29),0.05)</f>
        <v>2.5201524313946871E-2</v>
      </c>
      <c r="CL29" s="9">
        <f>MAX(0,CJ29*(CK29-0.5/50))</f>
        <v>0.30403048627893742</v>
      </c>
      <c r="CM29" s="9">
        <f>MIN(1,(25/M29)^0.3)</f>
        <v>0.77971450958075206</v>
      </c>
      <c r="CN29" s="9">
        <f>IF(I29&gt;=800,0.68,IF(I29&gt;=700,0.75-(I29-700)*0.07/100,IF(I29&gt;=600,0.85-(I29-600)*0.1/100,IF(I29&gt;=500,1-(I29-500)*0.15/100,1.2-(I29-400)*0.2/100))))</f>
        <v>0.87549999999999994</v>
      </c>
      <c r="CO29" s="9">
        <f>1.75*CM29*CN29*(L29/25)^0.5</f>
        <v>1.7129369207551171</v>
      </c>
      <c r="CP29" s="9">
        <f>MIN((CI29+CL29)*CO29,2.5*CO29,L29^0.5)</f>
        <v>2.5343113891629807</v>
      </c>
      <c r="CQ29" s="9">
        <v>1</v>
      </c>
      <c r="CR29" s="9">
        <f>4*CP29*O29+60*CP29</f>
        <v>223.01940224634231</v>
      </c>
      <c r="CT29" s="4">
        <f>AI29/BE29</f>
        <v>1.6052395746292354</v>
      </c>
      <c r="CU29" s="4">
        <f>AI29/BJ29</f>
        <v>1.1486634883673195</v>
      </c>
      <c r="CV29" s="4">
        <f>AI29/BM29</f>
        <v>0.96504995295689378</v>
      </c>
      <c r="CW29" s="4">
        <f>AI29/CR29</f>
        <v>1.9011798782047624</v>
      </c>
      <c r="CX29" s="4">
        <f>AI29/DY29</f>
        <v>4.5919497966447551</v>
      </c>
      <c r="CY29" s="4">
        <f>AI29/EK29</f>
        <v>1.6978913823018422</v>
      </c>
      <c r="CZ29" s="4">
        <f>AI29/GH29</f>
        <v>1.5788211461636792</v>
      </c>
      <c r="DH29" s="4">
        <f>CT29</f>
        <v>1.6052395746292354</v>
      </c>
      <c r="DI29" s="4">
        <f>CU29</f>
        <v>1.1486634883673195</v>
      </c>
      <c r="DJ29" s="4">
        <f>CW29</f>
        <v>1.9011798782047624</v>
      </c>
      <c r="DK29" s="4">
        <f>CZ29</f>
        <v>1.5788211461636792</v>
      </c>
      <c r="DL29" s="4">
        <f>CX29</f>
        <v>4.5919497966447551</v>
      </c>
      <c r="DM29" s="4">
        <f>CY29</f>
        <v>1.6978913823018422</v>
      </c>
      <c r="DO29" s="4">
        <f>AM29</f>
        <v>2</v>
      </c>
      <c r="DP29" s="4">
        <f>K29</f>
        <v>401.09999999999997</v>
      </c>
      <c r="DS29" s="4">
        <f>J29/4/(1-0.3*(L29/30)^0.5)/200000/M29</f>
        <v>1.4407634115999734E-5</v>
      </c>
      <c r="DT29" s="4">
        <f>EO29</f>
        <v>5.99454394365008</v>
      </c>
      <c r="DU29" s="4">
        <f>EB29*AF29/257/L29/AC29</f>
        <v>0</v>
      </c>
      <c r="DV29" s="4">
        <f>DT29*DU29^0.4</f>
        <v>0</v>
      </c>
      <c r="DW29" s="4">
        <f>MIN(DT29, DT29/1.4*(1-DU29^1.4)/(1-DU29))</f>
        <v>4.2818171026072003</v>
      </c>
      <c r="DX29" s="4">
        <f>MAX(DT29/2, (4-DS29*(8*AF29*(DV29-DW29)+6*J29*DW29))/(4+DS29*J29*DT29)*DT29)</f>
        <v>5.8164402196740914</v>
      </c>
      <c r="DY29" s="38">
        <f>MIN(1/M29*(4*AF29*(DV29-DW29)+(3*DW29+DX29)*J29)+EB29 -FI29,MAX(I29,AI29))</f>
        <v>92.335504257866276</v>
      </c>
      <c r="DZ29" s="4">
        <f>DY29/FE29</f>
        <v>0.86020493355697025</v>
      </c>
      <c r="EA29" s="4">
        <f>AF29/M29</f>
        <v>2.2360679774997898</v>
      </c>
      <c r="EB29" s="4">
        <f>MIN(EA$10*BA29)</f>
        <v>0</v>
      </c>
      <c r="EF29" s="4">
        <f>IF(T29&gt;1*M29,0.85,1)</f>
        <v>1</v>
      </c>
      <c r="EG29" s="4">
        <f>MIN(1,MAX(0.7,(1-0.1*(BY29-1*M29)/M29)))</f>
        <v>1</v>
      </c>
      <c r="EH29" s="4">
        <f>MIN(1,MAX(0.7,1-0.3*(PI()*AL29^2/4*AP29*2-0.25*PI()/4*M29^2)/(PI()/4*M29^2)))</f>
        <v>0.9826012170719004</v>
      </c>
      <c r="EI29" s="4">
        <f>IF(EG29*EH29&lt;0.7,0.7,EG29*EH29)</f>
        <v>0.9826012170719004</v>
      </c>
      <c r="EK29" s="4">
        <f>MIN(DT29/M29*3*J29+EL29-FI29,MAX(I29,AI29))</f>
        <v>249.72151011519978</v>
      </c>
      <c r="EL29" s="25">
        <f>13.3*P29*J29^0.5*L29^0.5/W29/M29^2*(0.7+R29/5/J29)</f>
        <v>123.83608729854809</v>
      </c>
      <c r="EO29" s="4">
        <f>IF(M29&lt;22.2,1.1*5*(L29/30)^0.5,IF(M29&gt;=31.8,0.9*5*(L29/30)^0.5,1*5*(L29/30)^0.5))/EF29/EI29</f>
        <v>5.99454394365008</v>
      </c>
      <c r="ER29" s="4">
        <f>ES29*M29</f>
        <v>128.12669511073796</v>
      </c>
      <c r="ES29" s="4">
        <f>AE29^0.5</f>
        <v>2.2360679774997898</v>
      </c>
      <c r="ET29" s="4">
        <f>MIN(EB29)/(4700*L29^0.5)/AD29*ER29</f>
        <v>0</v>
      </c>
      <c r="EW29" s="4">
        <f>ET29</f>
        <v>0</v>
      </c>
      <c r="EX29" s="4">
        <f>MIN(0.999, EW29/(0.3*(L29/30)^0.5))</f>
        <v>0</v>
      </c>
      <c r="EY29" s="4">
        <f>EO29/1*EX29^0.4</f>
        <v>0</v>
      </c>
      <c r="EZ29" s="4">
        <f>EO29/1.4*(1-EX29^1.4)/(1-EX29)</f>
        <v>4.2818171026072003</v>
      </c>
      <c r="FA29" s="4">
        <f>MAX(0,DP29*FA$9-ER29)</f>
        <v>0</v>
      </c>
      <c r="FB29" s="4">
        <f>MAX(0,DP29-ER29-FA29)</f>
        <v>272.97330488926201</v>
      </c>
      <c r="FC29" s="4">
        <f>FB29/(1-0.3*(L29/30)^0.5)/200000/M29</f>
        <v>3.9221136876387221E-5</v>
      </c>
      <c r="FD29" s="4">
        <f>MAX(0.5*EO29, (1-2*FC29*(ER29*EY29+FA29*EZ29))/(1/EO29+FC29*FB29))</f>
        <v>5.6330194278131422</v>
      </c>
      <c r="FE29" s="4">
        <f>MIN(4/M29*(1*EY29*ER29+EZ29*FA29+FB29*FD29)+EB29,MAX(I29,AI29))</f>
        <v>107.34128654209935</v>
      </c>
      <c r="FN29" s="23">
        <f>IF(CT29&lt;0.6,0.6,IF(CT29&lt;0.8,0.8,IF(CT29&lt;1,1,IF(CT29&lt;1.2,1.2,IF(CT29&lt;1.4,1.4,IF(CT29&lt;1.6,1.6,IF(CT29&lt;1.8,1.8,IF(CT29&lt;2,2,2.2))))))))</f>
        <v>1.8</v>
      </c>
      <c r="FO29" s="23">
        <f>IF(CU29&lt;0.6,0.6,IF(CU29&lt;0.8,0.8,IF(CU29&lt;1,1,IF(CU29&lt;1.2,1.2,IF(CU29&lt;1.4,1.4,IF(CU29&lt;1.6,1.6,IF(CU29&lt;1.8,1.8,IF(CU29&lt;2,2,2.2))))))))</f>
        <v>1.2</v>
      </c>
      <c r="FP29" s="23">
        <f>IF(CZ29&lt;0.6,0.6,IF(CZ29&lt;0.8,0.8,IF(CZ29&lt;1,1,IF(CZ29&lt;1.2,1.2,IF(CZ29&lt;1.4,1.4,IF(CZ29&lt;1.6,1.6,IF(CZ29&lt;1.8,1.8,IF(CZ29&lt;2,2,2.2))))))))</f>
        <v>1.6</v>
      </c>
      <c r="FQ29" s="23">
        <f>IF(CW29&lt;0.6,0.6,IF(CW29&lt;0.8,0.8,IF(CW29&lt;1,1,IF(CW29&lt;1.2,1.2,IF(CW29&lt;1.4,1.4,IF(CW29&lt;1.6,1.6,IF(CW29&lt;1.8,1.8,IF(CW29&lt;2,2,2.2))))))))</f>
        <v>2</v>
      </c>
      <c r="FR29" s="23">
        <f>IF(CX29&lt;0.6,0.6,IF(CX29&lt;0.8,0.8,IF(CX29&lt;1,1,IF(CX29&lt;1.2,1.2,IF(CX29&lt;1.4,1.4,IF(CX29&lt;1.6,1.6,IF(CX29&lt;1.8,1.8,IF(CX29&lt;2,2,2.2))))))))</f>
        <v>2.2000000000000002</v>
      </c>
      <c r="FS29" s="23">
        <f>IF(CY29&lt;0.6,0.6,IF(CY29&lt;0.8,0.8,IF(CY29&lt;1,1,IF(CY29&lt;1.2,1.2,IF(CY29&lt;1.4,1.4,IF(CY29&lt;1.6,1.6,IF(CY29&lt;1.8,1.8,IF(CY29&lt;2,2,2.2))))))))</f>
        <v>1.8</v>
      </c>
      <c r="FT29" s="23">
        <f>IF(FR29&lt;1,1,0)</f>
        <v>0</v>
      </c>
      <c r="FU29" s="23"/>
      <c r="GE29" s="4">
        <f>IF(R29&gt;=2.5*25.4,1,1.25)</f>
        <v>1.25</v>
      </c>
      <c r="GF29" s="4">
        <f>IF(AN29&gt;1, 0.05*(18-MIN(8,(V29+M29)/M29))*(1-48000/MAX(60000,(I29*145))*(M29/25.4)^0.75*GG29), 1/12*(14-MIN(8,(V29+M29)/M29)))</f>
        <v>0.37067917575318227</v>
      </c>
      <c r="GG29" s="4">
        <f>MIN(0.3, AL29^2*PI()/4*2*AO29/(M29^2*PI()/4*W29))</f>
        <v>0.3</v>
      </c>
      <c r="GH29" s="4">
        <f>(J29/25.4)/(M29/25.4)^1.5/0.0024*(L29*145)^0.25/GE29/GF29/145</f>
        <v>268.55480180909814</v>
      </c>
    </row>
    <row r="30" spans="1:195" s="4" customFormat="1" ht="12" customHeight="1" x14ac:dyDescent="0.3">
      <c r="A30" s="25">
        <v>150</v>
      </c>
      <c r="B30" s="24" t="s">
        <v>128</v>
      </c>
      <c r="C30" s="24">
        <v>2017</v>
      </c>
      <c r="D30" s="24" t="s">
        <v>309</v>
      </c>
      <c r="E30" s="24"/>
      <c r="F30" s="109" t="s">
        <v>795</v>
      </c>
      <c r="G30" s="44" t="s">
        <v>158</v>
      </c>
      <c r="H30" s="5">
        <f>J30/M30</f>
        <v>10</v>
      </c>
      <c r="I30" s="72">
        <v>606</v>
      </c>
      <c r="J30" s="7">
        <f>10*M30</f>
        <v>430</v>
      </c>
      <c r="K30" s="7">
        <f>J30</f>
        <v>430</v>
      </c>
      <c r="L30" s="80">
        <v>52.2</v>
      </c>
      <c r="M30" s="88">
        <v>43</v>
      </c>
      <c r="N30" s="7">
        <f>J30/M30</f>
        <v>10</v>
      </c>
      <c r="O30" s="7">
        <f>K30/M30</f>
        <v>10</v>
      </c>
      <c r="P30" s="7">
        <f>V30+2*R30+2*M30</f>
        <v>541.79999999999995</v>
      </c>
      <c r="Q30" s="32">
        <f>R30/M30</f>
        <v>1</v>
      </c>
      <c r="R30" s="7">
        <f>1*M30</f>
        <v>43</v>
      </c>
      <c r="S30" s="32">
        <f>T30/M30</f>
        <v>1.3023255813953489</v>
      </c>
      <c r="T30" s="7">
        <f>40+16</f>
        <v>56</v>
      </c>
      <c r="U30" s="32">
        <f>V30/M30</f>
        <v>8.6</v>
      </c>
      <c r="V30" s="7">
        <f>(9.6-1)*M30</f>
        <v>369.8</v>
      </c>
      <c r="W30" s="7">
        <v>2</v>
      </c>
      <c r="X30" s="122">
        <f>AM30</f>
        <v>0</v>
      </c>
      <c r="Y30" s="32">
        <f>Z30/M30</f>
        <v>5.2131782945736429</v>
      </c>
      <c r="Z30" s="7">
        <f>2/3*J30-0.5*125</f>
        <v>224.16666666666663</v>
      </c>
      <c r="AA30" s="7">
        <f>MIN(R30/M30+0.5, V30/2/M30+0.5)</f>
        <v>1.5</v>
      </c>
      <c r="AB30" s="7">
        <f>R30/M30+0.5</f>
        <v>1.5</v>
      </c>
      <c r="AC30" s="7">
        <f>2040/510</f>
        <v>4</v>
      </c>
      <c r="AD30" s="7">
        <f>2040/510</f>
        <v>4</v>
      </c>
      <c r="AE30" s="7">
        <f>AD30+1</f>
        <v>5</v>
      </c>
      <c r="AF30" s="7">
        <f>M30*AE30^0.5</f>
        <v>96.150923032490965</v>
      </c>
      <c r="AG30" s="7">
        <f>I30</f>
        <v>606</v>
      </c>
      <c r="AH30" s="7">
        <v>19</v>
      </c>
      <c r="AI30" s="7">
        <f>(437+437)/2</f>
        <v>437</v>
      </c>
      <c r="AJ30" s="7"/>
      <c r="AK30" s="4">
        <f>CX30</f>
        <v>2.561796587160563</v>
      </c>
      <c r="AL30" s="7">
        <v>0</v>
      </c>
      <c r="AM30" s="7">
        <v>0</v>
      </c>
      <c r="AN30" s="7">
        <f>K30</f>
        <v>430</v>
      </c>
      <c r="AO30" s="7"/>
      <c r="AP30" s="7"/>
      <c r="AQ30" s="7">
        <f>3*AR30/(V30+M30)</f>
        <v>3.125</v>
      </c>
      <c r="AR30" s="4">
        <f>J30</f>
        <v>430</v>
      </c>
      <c r="AS30" s="4">
        <f>IF(J30*3&gt;V30+M30, P30, (R30+M30/2)*2+1.5*J30*(2*W30-2))*(3*J30)/(9*J30^2)</f>
        <v>0.41999999999999993</v>
      </c>
      <c r="AT30" s="4">
        <f>MIN(10*L30^0.5*J30^1.5,100*3.9*L30^0.5*J30^(5/3))/(PI()/4*M30^2)/W30</f>
        <v>221.8100126942922</v>
      </c>
      <c r="AU30" s="4">
        <f>MIN(0.7+0.3*(MIN(R30,Z30)+0.5*M30)/1.5/J30,1)</f>
        <v>0.73</v>
      </c>
      <c r="AV30" s="4">
        <v>1.25</v>
      </c>
      <c r="AW30" s="4">
        <f>AW28</f>
        <v>5</v>
      </c>
      <c r="AX30" s="38">
        <f>AS30*AU30*AV30*AW30*AT30</f>
        <v>425.04343682543731</v>
      </c>
      <c r="AY30" s="38">
        <f>AX30</f>
        <v>425.04343682543731</v>
      </c>
      <c r="AZ30" s="38">
        <f>IF(L30&lt;50, 0.3*L30^(2/3), 2.12*LN(1+0.1*(L30+8)))</f>
        <v>4.1313780222399661</v>
      </c>
      <c r="BA30" s="38">
        <f>AW30* (L30^0.5/AR30^0.5)/(PI()/4*M30^2)/W30/0.72 *(0.7+(MIN(R30,Z30)+0.5*M30)/5/J30) *(3*P30*J30)</f>
        <v>425.04343682543782</v>
      </c>
      <c r="BB30" s="38">
        <f>AX30/BA30</f>
        <v>0.99999999999999878</v>
      </c>
      <c r="BC30" s="38">
        <f>BG30/BA30</f>
        <v>0.73686586561417478</v>
      </c>
      <c r="BD30" s="4">
        <f>IF(BC30&lt;1,1,0)</f>
        <v>1</v>
      </c>
      <c r="BE30" s="4">
        <f>K30/M30*L30^0.5/0.19</f>
        <v>380.26088143554614</v>
      </c>
      <c r="BF30" s="4">
        <f>MIN(0.6+0.4*(AB30/AA30),2)</f>
        <v>1</v>
      </c>
      <c r="BG30" s="38">
        <f>2*L30*AA30*AC30^0.5*BF30*0.7/0.7</f>
        <v>313.20000000000005</v>
      </c>
      <c r="BH30" s="4">
        <f>MAX(1-0.7*AD30/5,0.3)</f>
        <v>0.44000000000000006</v>
      </c>
      <c r="BI30" s="4">
        <f>BH30*I30*K30/(I30*M30/2.75/L30^0.5)</f>
        <v>87.421976642032064</v>
      </c>
      <c r="BJ30" s="4">
        <f>BG30+BI30</f>
        <v>400.62197664203211</v>
      </c>
      <c r="BL30" s="4">
        <f>MIN(1.5, 0.75+0.25*MIN(3,MAX(1,R30/M30))+0.4*MIN(1,(40*2*PI()*AL30^2/4/AN30/W30)/M30))</f>
        <v>1</v>
      </c>
      <c r="BM30" s="4">
        <f>(3*O30+30)*BL30*L30^0.5</f>
        <v>433.49740483652266</v>
      </c>
      <c r="BO30" s="4">
        <f>3.4/PI()^0.5*L30*AA30*AD30^0.5*BF30</f>
        <v>300.39710186416738</v>
      </c>
      <c r="BP30" s="4">
        <f>8/3*AG30*AH30^2/(AF30-M30-22)/M30*(AF30^2-M30^2)/(AF30^2-(M30+22)^2)</f>
        <v>641.65616063635548</v>
      </c>
      <c r="BQ30" s="4">
        <f>BP30/BO30</f>
        <v>2.1360264684793715</v>
      </c>
      <c r="BY30" s="4">
        <f>IF(V30=0,R30,MIN(V30/2,R30))</f>
        <v>43</v>
      </c>
      <c r="CC30" s="9"/>
      <c r="CE30" s="9"/>
      <c r="CF30" s="9"/>
      <c r="CG30" s="9">
        <f>IF(V30=0,MIN(R30,T30),MIN(V30/2,R30,T30))</f>
        <v>43</v>
      </c>
      <c r="CH30" s="9">
        <f>MAX(V30/2,R30)</f>
        <v>184.9</v>
      </c>
      <c r="CI30" s="9">
        <f>(CG30/M30)^0.5*(CH30/CG30)^0.15</f>
        <v>1.2445726940891169</v>
      </c>
      <c r="CJ30" s="70">
        <v>0</v>
      </c>
      <c r="CK30" s="9">
        <f>MIN(PI()*AL30^2/4*AM30*2/W30/M30/MAX(0.01,AN30),0.05)</f>
        <v>0</v>
      </c>
      <c r="CL30" s="9">
        <f>MAX(0,CJ30*(CK30-0.5/50))</f>
        <v>0</v>
      </c>
      <c r="CM30" s="9">
        <f>MIN(1,(25/M30)^0.3)</f>
        <v>0.84984840943171969</v>
      </c>
      <c r="CN30" s="9">
        <f>IF(I30&gt;=800,0.68,IF(I30&gt;=700,0.75-(I30-700)*0.07/100,IF(I30&gt;=600,0.85-(I30-600)*0.1/100,IF(I30&gt;=500,1-(I30-500)*0.15/100,1.2-(I30-400)*0.2/100))))</f>
        <v>0.84399999999999997</v>
      </c>
      <c r="CO30" s="9">
        <f>1.75*CM30*CN30*(L30/25)^0.5</f>
        <v>1.8137908571660144</v>
      </c>
      <c r="CP30" s="9">
        <f>MIN((CI30+CL30)*CO30,2.5*CO30,L30^0.5)</f>
        <v>2.2573945736173151</v>
      </c>
      <c r="CQ30" s="9">
        <v>1</v>
      </c>
      <c r="CR30" s="9">
        <f>4*CP30*O30+60*CP30</f>
        <v>225.7394573617315</v>
      </c>
      <c r="CT30" s="4">
        <f>AI30/BE30</f>
        <v>1.1492110320426716</v>
      </c>
      <c r="CU30" s="4">
        <f>AI30/BJ30</f>
        <v>1.0908038636893671</v>
      </c>
      <c r="CV30" s="4">
        <f>AI30/BM30</f>
        <v>1.00807985266901</v>
      </c>
      <c r="CW30" s="4">
        <f>AI30/CR30</f>
        <v>1.9358600623361049</v>
      </c>
      <c r="CX30" s="4">
        <f>AI30/DY30</f>
        <v>2.561796587160563</v>
      </c>
      <c r="CY30" s="4">
        <f>AI30/EK30</f>
        <v>1.0412218156152346</v>
      </c>
      <c r="CZ30" s="4">
        <f>AI30/GH30</f>
        <v>1.3258623595815355</v>
      </c>
      <c r="DB30" s="4">
        <f>CT30</f>
        <v>1.1492110320426716</v>
      </c>
      <c r="DC30" s="4">
        <f>CU30</f>
        <v>1.0908038636893671</v>
      </c>
      <c r="DD30" s="4">
        <f>CW30</f>
        <v>1.9358600623361049</v>
      </c>
      <c r="DE30" s="4">
        <f>CZ30</f>
        <v>1.3258623595815355</v>
      </c>
      <c r="DF30" s="4">
        <f>CX30</f>
        <v>2.561796587160563</v>
      </c>
      <c r="DG30" s="4">
        <f>CY30</f>
        <v>1.0412218156152346</v>
      </c>
      <c r="DO30" s="4">
        <f>AM30</f>
        <v>0</v>
      </c>
      <c r="DP30" s="4">
        <f>K30</f>
        <v>430</v>
      </c>
      <c r="DS30" s="4">
        <f>J30/4/(1-0.3*(L30/30)^0.5)/200000/M30</f>
        <v>2.068602055294326E-5</v>
      </c>
      <c r="DT30" s="4">
        <f>EO30</f>
        <v>6.9834208014386041</v>
      </c>
      <c r="DU30" s="4">
        <f>EB30*AF30/257/L30/AC30</f>
        <v>0</v>
      </c>
      <c r="DV30" s="4">
        <f>DT30*DU30^0.4</f>
        <v>0</v>
      </c>
      <c r="DW30" s="4">
        <f>MIN(DT30, DT30/1.4*(1-DU30^1.4)/(1-DU30))</f>
        <v>4.9881577153132888</v>
      </c>
      <c r="DX30" s="4">
        <f>MAX(DT30/2, (4-DS30*(8*AF30*(DV30-DW30)+6*J30*DW30))/(4+DS30*J30*DT30)*DT30)</f>
        <v>6.5554118427136325</v>
      </c>
      <c r="DY30" s="38">
        <f>MIN(1/M30*(4*AF30*(DV30-DW30)+(3*DW30+DX30)*J30)+EB30 -FI30,MAX(I30,AI30))</f>
        <v>170.58341095081278</v>
      </c>
      <c r="DZ30" s="4">
        <f>DY30/FE30</f>
        <v>0.90435601666318777</v>
      </c>
      <c r="EA30" s="4">
        <f>AF30/M30</f>
        <v>2.2360679774997898</v>
      </c>
      <c r="EB30" s="4">
        <f>MIN(EA$10*BA30)</f>
        <v>0</v>
      </c>
      <c r="EF30" s="4">
        <f>IF(T30&gt;1*M30,0.85,1)</f>
        <v>0.85</v>
      </c>
      <c r="EG30" s="4">
        <f>MIN(1,MAX(0.7,(1-0.1*(BY30-1*M30)/M30)))</f>
        <v>1</v>
      </c>
      <c r="EH30" s="4">
        <f>MIN(1,MAX(0.7,1-0.3*(PI()*AL30^2/4*AP30*2-0.25*PI()/4*M30^2)/(PI()/4*M30^2)))</f>
        <v>1</v>
      </c>
      <c r="EI30" s="4">
        <f>IF(EG30*EH30&lt;0.7,0.7,EG30*EH30)</f>
        <v>1</v>
      </c>
      <c r="EK30" s="4">
        <f>MIN(DT30/M30*3*J30+EL30-FI30,MAX(I30,AI30))</f>
        <v>419.69923550034969</v>
      </c>
      <c r="EL30" s="25">
        <f>13.3*P30*J30^0.5*L30^0.5/W30/M30^2*(0.7+R30/5/J30)</f>
        <v>210.19661145719158</v>
      </c>
      <c r="EO30" s="4">
        <f>IF(M30&lt;22.2,1.1*5*(L30/30)^0.5,IF(M30&gt;=31.8,0.9*5*(L30/30)^0.5,1*5*(L30/30)^0.5))/EF30/EI30</f>
        <v>6.9834208014386041</v>
      </c>
      <c r="ER30" s="4">
        <f>ES30*M30</f>
        <v>96.150923032490965</v>
      </c>
      <c r="ES30" s="4">
        <f>AE30^0.5</f>
        <v>2.2360679774997898</v>
      </c>
      <c r="ET30" s="4">
        <f>MIN(EB30)/(4700*L30^0.5)/AD30*ER30</f>
        <v>0</v>
      </c>
      <c r="EW30" s="4">
        <f>ET30</f>
        <v>0</v>
      </c>
      <c r="EX30" s="4">
        <f>MIN(0.999, EW30/(0.3*(L30/30)^0.5))</f>
        <v>0</v>
      </c>
      <c r="EY30" s="4">
        <f>EO30/1*EX30^0.4</f>
        <v>0</v>
      </c>
      <c r="EZ30" s="4">
        <f>EO30/1.4*(1-EX30^1.4)/(1-EX30)</f>
        <v>4.9881577153132888</v>
      </c>
      <c r="FA30" s="4">
        <f>MAX(0,DP30*FA$9-ER30)</f>
        <v>0</v>
      </c>
      <c r="FB30" s="4">
        <f>MAX(0,DP30-ER30-FA30)</f>
        <v>333.84907696750906</v>
      </c>
      <c r="FC30" s="4">
        <f>FB30/(1-0.3*(L30/30)^0.5)/200000/M30</f>
        <v>6.4241942955637466E-5</v>
      </c>
      <c r="FD30" s="4">
        <f>MAX(0.5*EO30, (1-2*FC30*(ER30*EY30+FA30*EZ30))/(1/EO30+FC30*FB30))</f>
        <v>6.0737322987412998</v>
      </c>
      <c r="FE30" s="4">
        <f>MIN(4/M30*(1*EY30*ER30+EZ30*FA30+FB30*FD30)+EB30,MAX(I30,AI30))</f>
        <v>188.62417876116558</v>
      </c>
      <c r="FN30" s="23">
        <f>IF(CT30&lt;0.6,0.6,IF(CT30&lt;0.8,0.8,IF(CT30&lt;1,1,IF(CT30&lt;1.2,1.2,IF(CT30&lt;1.4,1.4,IF(CT30&lt;1.6,1.6,IF(CT30&lt;1.8,1.8,IF(CT30&lt;2,2,2.2))))))))</f>
        <v>1.2</v>
      </c>
      <c r="FO30" s="23">
        <f>IF(CU30&lt;0.6,0.6,IF(CU30&lt;0.8,0.8,IF(CU30&lt;1,1,IF(CU30&lt;1.2,1.2,IF(CU30&lt;1.4,1.4,IF(CU30&lt;1.6,1.6,IF(CU30&lt;1.8,1.8,IF(CU30&lt;2,2,2.2))))))))</f>
        <v>1.2</v>
      </c>
      <c r="FP30" s="23">
        <f>IF(CZ30&lt;0.6,0.6,IF(CZ30&lt;0.8,0.8,IF(CZ30&lt;1,1,IF(CZ30&lt;1.2,1.2,IF(CZ30&lt;1.4,1.4,IF(CZ30&lt;1.6,1.6,IF(CZ30&lt;1.8,1.8,IF(CZ30&lt;2,2,2.2))))))))</f>
        <v>1.4</v>
      </c>
      <c r="FQ30" s="23">
        <f>IF(CW30&lt;0.6,0.6,IF(CW30&lt;0.8,0.8,IF(CW30&lt;1,1,IF(CW30&lt;1.2,1.2,IF(CW30&lt;1.4,1.4,IF(CW30&lt;1.6,1.6,IF(CW30&lt;1.8,1.8,IF(CW30&lt;2,2,2.2))))))))</f>
        <v>2</v>
      </c>
      <c r="FR30" s="23">
        <f>IF(CX30&lt;0.6,0.6,IF(CX30&lt;0.8,0.8,IF(CX30&lt;1,1,IF(CX30&lt;1.2,1.2,IF(CX30&lt;1.4,1.4,IF(CX30&lt;1.6,1.6,IF(CX30&lt;1.8,1.8,IF(CX30&lt;2,2,2.2))))))))</f>
        <v>2.2000000000000002</v>
      </c>
      <c r="FS30" s="23">
        <f>IF(CY30&lt;0.6,0.6,IF(CY30&lt;0.8,0.8,IF(CY30&lt;1,1,IF(CY30&lt;1.2,1.2,IF(CY30&lt;1.4,1.4,IF(CY30&lt;1.6,1.6,IF(CY30&lt;1.8,1.8,IF(CY30&lt;2,2,2.2))))))))</f>
        <v>1.2</v>
      </c>
      <c r="FT30" s="23">
        <f>IF(FR30&lt;1,1,0)</f>
        <v>0</v>
      </c>
      <c r="FU30" s="23"/>
      <c r="GE30" s="4">
        <f>IF(R30&gt;=2.5*25.4,1,1.25)</f>
        <v>1.25</v>
      </c>
      <c r="GF30" s="4">
        <f>IF(AN30&gt;1, 0.05*(18-MIN(8,(V30+M30)/M30))*(1-48000/MAX(60000,(I30*145))*(M30/25.4)^0.75*GG30), 1/12*(14-MIN(8,(V30+M30)/M30)))</f>
        <v>0.5</v>
      </c>
      <c r="GG30" s="4">
        <f>MIN(0.3, AL30^2*PI()/4*2*AO30/(M30^2*PI()/4*W30))</f>
        <v>0</v>
      </c>
      <c r="GH30" s="4">
        <f>(J30/25.4)/(M30/25.4)^1.5/0.0024*(L30*145)^0.25/GE30/GF30/145</f>
        <v>329.59680681931764</v>
      </c>
    </row>
    <row r="31" spans="1:195" s="4" customFormat="1" ht="12" customHeight="1" x14ac:dyDescent="0.3">
      <c r="A31" s="25">
        <v>151</v>
      </c>
      <c r="B31" s="24" t="s">
        <v>128</v>
      </c>
      <c r="C31" s="24">
        <v>2017</v>
      </c>
      <c r="D31" s="24" t="s">
        <v>309</v>
      </c>
      <c r="E31" s="24"/>
      <c r="F31" s="109" t="s">
        <v>795</v>
      </c>
      <c r="G31" s="44" t="s">
        <v>181</v>
      </c>
      <c r="H31" s="5">
        <f>J31/M31</f>
        <v>10</v>
      </c>
      <c r="I31" s="72">
        <v>606</v>
      </c>
      <c r="J31" s="7">
        <f>10*M31</f>
        <v>430</v>
      </c>
      <c r="K31" s="7">
        <f>J31</f>
        <v>430</v>
      </c>
      <c r="L31" s="80">
        <v>52.2</v>
      </c>
      <c r="M31" s="88">
        <v>43</v>
      </c>
      <c r="N31" s="7">
        <f>J31/M31</f>
        <v>10</v>
      </c>
      <c r="O31" s="7">
        <f>K31/M31</f>
        <v>10</v>
      </c>
      <c r="P31" s="7">
        <f>V31+2*R31+2*M31</f>
        <v>541.79999999999995</v>
      </c>
      <c r="Q31" s="32">
        <f>R31/M31</f>
        <v>1</v>
      </c>
      <c r="R31" s="7">
        <f>1*M31</f>
        <v>43</v>
      </c>
      <c r="S31" s="32">
        <f>T31/M31</f>
        <v>1.3023255813953489</v>
      </c>
      <c r="T31" s="7">
        <f>40+16</f>
        <v>56</v>
      </c>
      <c r="U31" s="32">
        <f>V31/M31</f>
        <v>8.6</v>
      </c>
      <c r="V31" s="7">
        <f>(9.6-1)*M31</f>
        <v>369.8</v>
      </c>
      <c r="W31" s="7">
        <v>2</v>
      </c>
      <c r="X31" s="122">
        <f>AM31</f>
        <v>1</v>
      </c>
      <c r="Y31" s="32">
        <f>Z31/M31</f>
        <v>5.2131782945736429</v>
      </c>
      <c r="Z31" s="7">
        <f>2/3*J31-0.5*125</f>
        <v>224.16666666666663</v>
      </c>
      <c r="AA31" s="7">
        <f>MIN(R31/M31+0.5, V31/2/M31+0.5)</f>
        <v>1.5</v>
      </c>
      <c r="AB31" s="7">
        <f>R31/M31+0.5</f>
        <v>1.5</v>
      </c>
      <c r="AC31" s="7">
        <f>2040/510</f>
        <v>4</v>
      </c>
      <c r="AD31" s="7">
        <f>2040/510</f>
        <v>4</v>
      </c>
      <c r="AE31" s="7">
        <f>AD31+1</f>
        <v>5</v>
      </c>
      <c r="AF31" s="7">
        <f>M31*AE31^0.5</f>
        <v>96.150923032490965</v>
      </c>
      <c r="AG31" s="7">
        <f>I31</f>
        <v>606</v>
      </c>
      <c r="AH31" s="7">
        <v>19</v>
      </c>
      <c r="AI31" s="7">
        <f>(489+498)/2</f>
        <v>493.5</v>
      </c>
      <c r="AJ31" s="7"/>
      <c r="AK31" s="4">
        <f>CX31</f>
        <v>2.873158375561168</v>
      </c>
      <c r="AL31" s="7">
        <v>15.9</v>
      </c>
      <c r="AM31" s="7">
        <v>1</v>
      </c>
      <c r="AN31" s="7">
        <v>370</v>
      </c>
      <c r="AO31" s="7">
        <v>2</v>
      </c>
      <c r="AP31" s="7">
        <f>AM31</f>
        <v>1</v>
      </c>
      <c r="AQ31" s="7">
        <f>3*AR31/(V31+M31)</f>
        <v>3.125</v>
      </c>
      <c r="AR31" s="4">
        <f>J31</f>
        <v>430</v>
      </c>
      <c r="AS31" s="4">
        <f>IF(J31*3&gt;V31+M31, P31, (R31+M31/2)*2+1.5*J31*(2*W31-2))*(3*J31)/(9*J31^2)</f>
        <v>0.41999999999999993</v>
      </c>
      <c r="AT31" s="4">
        <f>MIN(10*L31^0.5*J31^1.5,100*3.9*L31^0.5*J31^(5/3))/(PI()/4*M31^2)/W31</f>
        <v>221.8100126942922</v>
      </c>
      <c r="AU31" s="4">
        <f>MIN(0.7+0.3*(MIN(R31,Z31)+0.5*M31)/1.5/J31,1)</f>
        <v>0.73</v>
      </c>
      <c r="AV31" s="4">
        <v>1.25</v>
      </c>
      <c r="AW31" s="4">
        <f>AW29</f>
        <v>5</v>
      </c>
      <c r="AX31" s="38">
        <f>AS31*AU31*AV31*AW31*AT31</f>
        <v>425.04343682543731</v>
      </c>
      <c r="AY31" s="38">
        <f>AX31</f>
        <v>425.04343682543731</v>
      </c>
      <c r="AZ31" s="38">
        <f>IF(L31&lt;50, 0.3*L31^(2/3), 2.12*LN(1+0.1*(L31+8)))</f>
        <v>4.1313780222399661</v>
      </c>
      <c r="BA31" s="38">
        <f>AW31* (L31^0.5/AR31^0.5)/(PI()/4*M31^2)/W31/0.72 *(0.7+(MIN(R31,Z31)+0.5*M31)/5/J31) *(3*P31*J31)</f>
        <v>425.04343682543782</v>
      </c>
      <c r="BB31" s="38">
        <f>AX31/BA31</f>
        <v>0.99999999999999878</v>
      </c>
      <c r="BC31" s="38">
        <f>BG31/BA31</f>
        <v>0.73686586561417478</v>
      </c>
      <c r="BD31" s="4">
        <f>IF(BC31&lt;1,1,0)</f>
        <v>1</v>
      </c>
      <c r="BE31" s="4">
        <f>K31/M31*L31^0.5/0.19</f>
        <v>380.26088143554614</v>
      </c>
      <c r="BF31" s="4">
        <f>MIN(0.6+0.4*(AB31/AA31),2)</f>
        <v>1</v>
      </c>
      <c r="BG31" s="38">
        <f>2*L31*AA31*AC31^0.5*BF31*0.7/0.7</f>
        <v>313.20000000000005</v>
      </c>
      <c r="BH31" s="4">
        <f>MAX(1-0.7*AD31/5,0.3)</f>
        <v>0.44000000000000006</v>
      </c>
      <c r="BI31" s="4">
        <f>BH31*I31*K31/(I31*M31/2.75/L31^0.5)</f>
        <v>87.421976642032064</v>
      </c>
      <c r="BJ31" s="4">
        <f>BG31+BI31</f>
        <v>400.62197664203211</v>
      </c>
      <c r="BL31" s="4">
        <f>MIN(1.5, 0.75+0.25*MIN(3,MAX(1,R31/M31))+0.4*MIN(1,(40*2*PI()*AL31^2/4/AN31/W31)/M31))</f>
        <v>1.1996797080462691</v>
      </c>
      <c r="BM31" s="4">
        <f>(3*O31+30)*BL31*L31^0.5</f>
        <v>520.05804007309484</v>
      </c>
      <c r="BO31" s="4">
        <f>3.4/PI()^0.5*L31*AA31*AD31^0.5*BF31</f>
        <v>300.39710186416738</v>
      </c>
      <c r="BP31" s="4">
        <f>8/3*AG31*AH31^2/(AF31-M31-22)/M31*(AF31^2-M31^2)/(AF31^2-(M31+22)^2)</f>
        <v>641.65616063635548</v>
      </c>
      <c r="BQ31" s="4">
        <f>BP31/BO31</f>
        <v>2.1360264684793715</v>
      </c>
      <c r="BY31" s="4">
        <f>IF(V31=0,R31,MIN(V31/2,R31))</f>
        <v>43</v>
      </c>
      <c r="CC31" s="9"/>
      <c r="CE31" s="9"/>
      <c r="CF31" s="9"/>
      <c r="CG31" s="9">
        <f>IF(V31=0,MIN(R31,T31),MIN(V31/2,R31,T31))</f>
        <v>43</v>
      </c>
      <c r="CH31" s="9">
        <f>MAX(V31/2,R31)</f>
        <v>184.9</v>
      </c>
      <c r="CI31" s="9">
        <f>(CG31/M31)^0.5*(CH31/CG31)^0.15</f>
        <v>1.2445726940891169</v>
      </c>
      <c r="CJ31" s="70">
        <v>20</v>
      </c>
      <c r="CK31" s="9">
        <f>MIN(PI()*AL31^2/4*AM31*2/W31/M31/MAX(0.01,AN31),0.05)</f>
        <v>1.2479981752891823E-2</v>
      </c>
      <c r="CL31" s="9">
        <f>MAX(0,CJ31*(CK31-0.5/50))</f>
        <v>4.9599635057836454E-2</v>
      </c>
      <c r="CM31" s="9">
        <f>MIN(1,(25/M31)^0.3)</f>
        <v>0.84984840943171969</v>
      </c>
      <c r="CN31" s="9">
        <f>IF(I31&gt;=800,0.68,IF(I31&gt;=700,0.75-(I31-700)*0.07/100,IF(I31&gt;=600,0.85-(I31-600)*0.1/100,IF(I31&gt;=500,1-(I31-500)*0.15/100,1.2-(I31-400)*0.2/100))))</f>
        <v>0.84399999999999997</v>
      </c>
      <c r="CO31" s="9">
        <f>1.75*CM31*CN31*(L31/25)^0.5</f>
        <v>1.8137908571660144</v>
      </c>
      <c r="CP31" s="9">
        <f>MIN((CI31+CL31)*CO31,2.5*CO31,L31^0.5)</f>
        <v>2.3473579382039897</v>
      </c>
      <c r="CQ31" s="9">
        <v>1</v>
      </c>
      <c r="CR31" s="9">
        <f>4*CP31*O31+60*CP31</f>
        <v>234.73579382039895</v>
      </c>
      <c r="CT31" s="4">
        <f>AI31/BE31</f>
        <v>1.2977932364143214</v>
      </c>
      <c r="CU31" s="4">
        <f>AI31/BJ31</f>
        <v>1.2318345691778092</v>
      </c>
      <c r="CV31" s="4">
        <f>AI31/BM31</f>
        <v>0.94893254593398446</v>
      </c>
      <c r="CW31" s="4">
        <f>AI31/CR31</f>
        <v>2.1023636487990696</v>
      </c>
      <c r="CX31" s="4">
        <f>AI31/DY31</f>
        <v>2.873158375561168</v>
      </c>
      <c r="CY31" s="4">
        <f>AI31/EK31</f>
        <v>1.1716971921552939</v>
      </c>
      <c r="CZ31" s="4">
        <f>AI31/GH31</f>
        <v>1.1653373728318932</v>
      </c>
      <c r="DH31" s="4">
        <f>CT31</f>
        <v>1.2977932364143214</v>
      </c>
      <c r="DI31" s="4">
        <f>CU31</f>
        <v>1.2318345691778092</v>
      </c>
      <c r="DJ31" s="4">
        <f>CW31</f>
        <v>2.1023636487990696</v>
      </c>
      <c r="DK31" s="4">
        <f>CZ31</f>
        <v>1.1653373728318932</v>
      </c>
      <c r="DL31" s="4">
        <f>CX31</f>
        <v>2.873158375561168</v>
      </c>
      <c r="DM31" s="4">
        <f>CY31</f>
        <v>1.1716971921552939</v>
      </c>
      <c r="DO31" s="4">
        <f>AM31</f>
        <v>1</v>
      </c>
      <c r="DP31" s="4">
        <f>K31</f>
        <v>430</v>
      </c>
      <c r="DS31" s="4">
        <f>J31/4/(1-0.3*(L31/30)^0.5)/200000/M31</f>
        <v>2.068602055294326E-5</v>
      </c>
      <c r="DT31" s="4">
        <f>EO31</f>
        <v>7.0329098169215492</v>
      </c>
      <c r="DU31" s="4">
        <f>EB31*AF31/257/L31/AC31</f>
        <v>0</v>
      </c>
      <c r="DV31" s="4">
        <f>DT31*DU31^0.4</f>
        <v>0</v>
      </c>
      <c r="DW31" s="4">
        <f>MIN(DT31, DT31/1.4*(1-DU31^1.4)/(1-DU31))</f>
        <v>5.0235070120868208</v>
      </c>
      <c r="DX31" s="4">
        <f>MAX(DT31/2, (4-DS31*(8*AF31*(DV31-DW31)+6*J31*DW31))/(4+DS31*J31*DT31)*DT31)</f>
        <v>6.5988601064999299</v>
      </c>
      <c r="DY31" s="38">
        <f>MIN(1/M31*(4*AF31*(DV31-DW31)+(3*DW31+DX31)*J31)+EB31 -FI31,MAX(I31,AI31))</f>
        <v>171.76219876971194</v>
      </c>
      <c r="DZ31" s="4">
        <f>DY31/FE31</f>
        <v>0.90503238539054087</v>
      </c>
      <c r="EA31" s="4">
        <f>AF31/M31</f>
        <v>2.2360679774997898</v>
      </c>
      <c r="EB31" s="4">
        <f>MIN(EA$10*BA31)</f>
        <v>0</v>
      </c>
      <c r="EF31" s="4">
        <f>IF(T31&gt;1*M31,0.85,1)</f>
        <v>0.85</v>
      </c>
      <c r="EG31" s="4">
        <f>MIN(1,MAX(0.7,(1-0.1*(BY31-1*M31)/M31)))</f>
        <v>1</v>
      </c>
      <c r="EH31" s="4">
        <f>MIN(1,MAX(0.7,1-0.3*(PI()*AL31^2/4*AP31*2-0.25*PI()/4*M31^2)/(PI()/4*M31^2)))</f>
        <v>0.99296322336398057</v>
      </c>
      <c r="EI31" s="4">
        <f>IF(EG31*EH31&lt;0.7,0.7,EG31*EH31)</f>
        <v>0.99296322336398057</v>
      </c>
      <c r="EK31" s="4">
        <f>MIN(DT31/M31*3*J31+EL31-FI31,MAX(I31,AI31))</f>
        <v>421.183905964838</v>
      </c>
      <c r="EL31" s="25">
        <f>13.3*P31*J31^0.5*L31^0.5/W31/M31^2*(0.7+R31/5/J31)</f>
        <v>210.19661145719158</v>
      </c>
      <c r="EO31" s="4">
        <f>IF(M31&lt;22.2,1.1*5*(L31/30)^0.5,IF(M31&gt;=31.8,0.9*5*(L31/30)^0.5,1*5*(L31/30)^0.5))/EF31/EI31</f>
        <v>7.0329098169215492</v>
      </c>
      <c r="ER31" s="4">
        <f>ES31*M31</f>
        <v>96.150923032490965</v>
      </c>
      <c r="ES31" s="4">
        <f>AE31^0.5</f>
        <v>2.2360679774997898</v>
      </c>
      <c r="ET31" s="4">
        <f>MIN(EB31)/(4700*L31^0.5)/AD31*ER31</f>
        <v>0</v>
      </c>
      <c r="EW31" s="4">
        <f>ET31</f>
        <v>0</v>
      </c>
      <c r="EX31" s="4">
        <f>MIN(0.999, EW31/(0.3*(L31/30)^0.5))</f>
        <v>0</v>
      </c>
      <c r="EY31" s="4">
        <f>EO31/1*EX31^0.4</f>
        <v>0</v>
      </c>
      <c r="EZ31" s="4">
        <f>EO31/1.4*(1-EX31^1.4)/(1-EX31)</f>
        <v>5.0235070120868208</v>
      </c>
      <c r="FA31" s="4">
        <f>MAX(0,DP31*FA$9-ER31)</f>
        <v>0</v>
      </c>
      <c r="FB31" s="4">
        <f>MAX(0,DP31-ER31-FA31)</f>
        <v>333.84907696750906</v>
      </c>
      <c r="FC31" s="4">
        <f>FB31/(1-0.3*(L31/30)^0.5)/200000/M31</f>
        <v>6.4241942955637466E-5</v>
      </c>
      <c r="FD31" s="4">
        <f>MAX(0.5*EO31, (1-2*FC31*(ER31*EY31+FA31*EZ31))/(1/EO31+FC31*FB31))</f>
        <v>6.111133276431115</v>
      </c>
      <c r="FE31" s="4">
        <f>MIN(4/M31*(1*EY31*ER31+EZ31*FA31+FB31*FD31)+EB31,MAX(I31,AI31))</f>
        <v>189.78569335460065</v>
      </c>
      <c r="FN31" s="23">
        <f>IF(CT31&lt;0.6,0.6,IF(CT31&lt;0.8,0.8,IF(CT31&lt;1,1,IF(CT31&lt;1.2,1.2,IF(CT31&lt;1.4,1.4,IF(CT31&lt;1.6,1.6,IF(CT31&lt;1.8,1.8,IF(CT31&lt;2,2,2.2))))))))</f>
        <v>1.4</v>
      </c>
      <c r="FO31" s="23">
        <f>IF(CU31&lt;0.6,0.6,IF(CU31&lt;0.8,0.8,IF(CU31&lt;1,1,IF(CU31&lt;1.2,1.2,IF(CU31&lt;1.4,1.4,IF(CU31&lt;1.6,1.6,IF(CU31&lt;1.8,1.8,IF(CU31&lt;2,2,2.2))))))))</f>
        <v>1.4</v>
      </c>
      <c r="FP31" s="23">
        <f>IF(CZ31&lt;0.6,0.6,IF(CZ31&lt;0.8,0.8,IF(CZ31&lt;1,1,IF(CZ31&lt;1.2,1.2,IF(CZ31&lt;1.4,1.4,IF(CZ31&lt;1.6,1.6,IF(CZ31&lt;1.8,1.8,IF(CZ31&lt;2,2,2.2))))))))</f>
        <v>1.2</v>
      </c>
      <c r="FQ31" s="23">
        <f>IF(CW31&lt;0.6,0.6,IF(CW31&lt;0.8,0.8,IF(CW31&lt;1,1,IF(CW31&lt;1.2,1.2,IF(CW31&lt;1.4,1.4,IF(CW31&lt;1.6,1.6,IF(CW31&lt;1.8,1.8,IF(CW31&lt;2,2,2.2))))))))</f>
        <v>2.2000000000000002</v>
      </c>
      <c r="FR31" s="23">
        <f>IF(CX31&lt;0.6,0.6,IF(CX31&lt;0.8,0.8,IF(CX31&lt;1,1,IF(CX31&lt;1.2,1.2,IF(CX31&lt;1.4,1.4,IF(CX31&lt;1.6,1.6,IF(CX31&lt;1.8,1.8,IF(CX31&lt;2,2,2.2))))))))</f>
        <v>2.2000000000000002</v>
      </c>
      <c r="FS31" s="23">
        <f>IF(CY31&lt;0.6,0.6,IF(CY31&lt;0.8,0.8,IF(CY31&lt;1,1,IF(CY31&lt;1.2,1.2,IF(CY31&lt;1.4,1.4,IF(CY31&lt;1.6,1.6,IF(CY31&lt;1.8,1.8,IF(CY31&lt;2,2,2.2))))))))</f>
        <v>1.2</v>
      </c>
      <c r="FT31" s="23">
        <f>IF(FR31&lt;1,1,0)</f>
        <v>0</v>
      </c>
      <c r="FU31" s="23"/>
      <c r="GE31" s="4">
        <f>IF(R31&gt;=2.5*25.4,1,1.25)</f>
        <v>1.25</v>
      </c>
      <c r="GF31" s="4">
        <f>IF(AN31&gt;1, 0.05*(18-MIN(8,(V31+M31)/M31))*(1-48000/MAX(60000,(I31*145))*(M31/25.4)^0.75*GG31), 1/12*(14-MIN(8,(V31+M31)/M31)))</f>
        <v>0.38915043257609383</v>
      </c>
      <c r="GG31" s="4">
        <f>MIN(0.3, AL31^2*PI()/4*2*AO31/(M31^2*PI()/4*W31))</f>
        <v>0.27345592212006492</v>
      </c>
      <c r="GH31" s="4">
        <f>(J31/25.4)/(M31/25.4)^1.5/0.0024*(L31*145)^0.25/GE31/GF31/145</f>
        <v>423.48251373826855</v>
      </c>
    </row>
    <row r="32" spans="1:195" s="4" customFormat="1" ht="12" customHeight="1" x14ac:dyDescent="0.3">
      <c r="A32" s="25">
        <v>163</v>
      </c>
      <c r="B32" s="24" t="s">
        <v>128</v>
      </c>
      <c r="C32" s="24">
        <v>2017</v>
      </c>
      <c r="D32" s="24" t="s">
        <v>309</v>
      </c>
      <c r="E32" s="24"/>
      <c r="F32" s="109" t="s">
        <v>797</v>
      </c>
      <c r="G32" s="4" t="s">
        <v>170</v>
      </c>
      <c r="H32" s="5">
        <f>J32/M32</f>
        <v>7</v>
      </c>
      <c r="I32" s="100">
        <v>583</v>
      </c>
      <c r="J32" s="7">
        <f>7*M32</f>
        <v>401.09999999999997</v>
      </c>
      <c r="K32" s="7">
        <f>J32</f>
        <v>401.09999999999997</v>
      </c>
      <c r="L32" s="84">
        <v>76.900000000000006</v>
      </c>
      <c r="M32" s="37">
        <v>57.3</v>
      </c>
      <c r="N32" s="7">
        <f>J32/M32</f>
        <v>7</v>
      </c>
      <c r="O32" s="7">
        <f>K32/M32</f>
        <v>7</v>
      </c>
      <c r="P32" s="7">
        <f>V32+2*R32+2*M32</f>
        <v>584.46</v>
      </c>
      <c r="Q32" s="32">
        <f>R32/M32</f>
        <v>1</v>
      </c>
      <c r="R32" s="7">
        <f>1*M32</f>
        <v>57.3</v>
      </c>
      <c r="S32" s="32">
        <f>T32/M32</f>
        <v>0.97731239092495636</v>
      </c>
      <c r="T32" s="7">
        <f>40+16</f>
        <v>56</v>
      </c>
      <c r="U32" s="32">
        <f>V32/M32</f>
        <v>6.2</v>
      </c>
      <c r="V32" s="7">
        <f>(7.2-1)*M32</f>
        <v>355.26</v>
      </c>
      <c r="W32" s="7">
        <v>2</v>
      </c>
      <c r="X32" s="122">
        <f>AM32</f>
        <v>0</v>
      </c>
      <c r="Y32" s="32">
        <f>Z32/M32</f>
        <v>3.0436300174520068</v>
      </c>
      <c r="Z32" s="7">
        <f>2/3*J32-0.5*186</f>
        <v>174.39999999999998</v>
      </c>
      <c r="AA32" s="7">
        <f>MIN(R32/M32+0.5, V32/2/M32+0.5)</f>
        <v>1.5</v>
      </c>
      <c r="AB32" s="7">
        <f>R32/M32+0.5</f>
        <v>1.5</v>
      </c>
      <c r="AC32" s="7">
        <f>2040/510</f>
        <v>4</v>
      </c>
      <c r="AD32" s="7">
        <f>2040/510</f>
        <v>4</v>
      </c>
      <c r="AE32" s="7">
        <f>AD32+1</f>
        <v>5</v>
      </c>
      <c r="AF32" s="7">
        <f>M32*AE32^0.5</f>
        <v>128.12669511073796</v>
      </c>
      <c r="AG32" s="7">
        <f>I32</f>
        <v>583</v>
      </c>
      <c r="AH32" s="7">
        <v>25</v>
      </c>
      <c r="AI32" s="7">
        <f>(405+388)/2</f>
        <v>396.5</v>
      </c>
      <c r="AJ32" s="7"/>
      <c r="AK32" s="4">
        <f>CX32</f>
        <v>3.5922416018295387</v>
      </c>
      <c r="AL32" s="7">
        <v>0</v>
      </c>
      <c r="AM32" s="7">
        <v>0</v>
      </c>
      <c r="AN32" s="7">
        <f>K32</f>
        <v>401.09999999999997</v>
      </c>
      <c r="AO32" s="7"/>
      <c r="AP32" s="7"/>
      <c r="AQ32" s="7">
        <f>3*AR32/(V32+M32)</f>
        <v>2.9166666666666665</v>
      </c>
      <c r="AR32" s="4">
        <f>J32</f>
        <v>401.09999999999997</v>
      </c>
      <c r="AS32" s="4">
        <f>IF(J32*3&gt;V32+M32, P32, (R32+M32/2)*2+1.5*J32*(2*W32-2))*(3*J32)/(9*J32^2)</f>
        <v>0.48571428571428582</v>
      </c>
      <c r="AT32" s="4">
        <f>MIN(10*L32^0.5*J32^1.5,100*3.9*L32^0.5*J32^(5/3))/(PI()/4*M32^2)/W32</f>
        <v>136.58815600212856</v>
      </c>
      <c r="AU32" s="4">
        <f>MIN(0.7+0.3*(MIN(R32,Z32)+0.5*M32)/1.5/J32,1)</f>
        <v>0.74285714285714277</v>
      </c>
      <c r="AV32" s="4">
        <v>1.25</v>
      </c>
      <c r="AW32" s="4">
        <f>AW30</f>
        <v>5</v>
      </c>
      <c r="AX32" s="38">
        <f>AS32*AU32*AV32*AW32*AT32</f>
        <v>308.02022935173898</v>
      </c>
      <c r="AY32" s="38">
        <f>AX32</f>
        <v>308.02022935173898</v>
      </c>
      <c r="AZ32" s="38">
        <f>IF(L32&lt;50, 0.3*L32^(2/3), 2.12*LN(1+0.1*(L32+8)))</f>
        <v>4.7705058587582929</v>
      </c>
      <c r="BA32" s="38">
        <f>AW32* (L32^0.5/AR32^0.5)/(PI()/4*M32^2)/W32/0.72 *(0.7+(MIN(R32,Z32)+0.5*M32)/5/J32) *(3*P32*J32)</f>
        <v>308.02022935173875</v>
      </c>
      <c r="BB32" s="38">
        <f>AX32/BA32</f>
        <v>1.0000000000000007</v>
      </c>
      <c r="BC32" s="38">
        <f>BG32/BA32</f>
        <v>1.4979535628911949</v>
      </c>
      <c r="BD32" s="4">
        <f>IF(BC32&lt;1,1,0)</f>
        <v>0</v>
      </c>
      <c r="BE32" s="4">
        <f>K32/M32*L32^0.5/0.19</f>
        <v>323.0781660605395</v>
      </c>
      <c r="BF32" s="4">
        <f>MIN(0.6+0.4*(AB32/AA32),2)</f>
        <v>1</v>
      </c>
      <c r="BG32" s="38">
        <f>2*L32*AA32*AC32^0.5*BF32*0.7/0.7</f>
        <v>461.40000000000003</v>
      </c>
      <c r="BH32" s="4">
        <f>MAX(1-0.7*AD32/5,0.3)</f>
        <v>0.44000000000000006</v>
      </c>
      <c r="BI32" s="4">
        <f>BH32*I32*K32/(I32*M32/2.75/L32^0.5)</f>
        <v>74.275670377318036</v>
      </c>
      <c r="BJ32" s="4">
        <f>BG32+BI32</f>
        <v>535.67567037731806</v>
      </c>
      <c r="BL32" s="4">
        <f>MIN(1.5, 0.75+0.25*MIN(3,MAX(1,R32/M32))+0.4*MIN(1,(40*2*PI()*AL32^2/4/AN32/W32)/M32))</f>
        <v>1</v>
      </c>
      <c r="BM32" s="4">
        <f>(3*O32+30)*BL32*L32^0.5</f>
        <v>447.2324898752326</v>
      </c>
      <c r="BO32" s="4">
        <f>3.4/PI()^0.5*L32*AA32*AD32^0.5*BF32</f>
        <v>442.53902554318915</v>
      </c>
      <c r="BP32" s="4">
        <f>8/3*AG32*AH32^2/(AF32-M32-22)/M32*(AF32^2-M32^2)/(AF32^2-(M32+22)^2)</f>
        <v>450.3525339151019</v>
      </c>
      <c r="BQ32" s="4">
        <f>BP32/BO32</f>
        <v>1.0176560888891599</v>
      </c>
      <c r="BY32" s="4">
        <f>IF(V32=0,R32,MIN(V32/2,R32))</f>
        <v>57.3</v>
      </c>
      <c r="CC32" s="9"/>
      <c r="CE32" s="9"/>
      <c r="CF32" s="9"/>
      <c r="CG32" s="9">
        <f>IF(V32=0,MIN(R32,T32),MIN(V32/2,R32,T32))</f>
        <v>56</v>
      </c>
      <c r="CH32" s="9">
        <f>MAX(V32/2,R32)</f>
        <v>177.63</v>
      </c>
      <c r="CI32" s="9">
        <f>(CG32/M32)^0.5*(CH32/CG32)^0.15</f>
        <v>1.1754818988273255</v>
      </c>
      <c r="CJ32" s="70">
        <v>0</v>
      </c>
      <c r="CK32" s="9">
        <f>MIN(PI()*AL32^2/4*AM32*2/W32/M32/MAX(0.01,AN32),0.05)</f>
        <v>0</v>
      </c>
      <c r="CL32" s="9">
        <f>MAX(0,CJ32*(CK32-0.5/50))</f>
        <v>0</v>
      </c>
      <c r="CM32" s="9">
        <f>MIN(1,(25/M32)^0.3)</f>
        <v>0.77971450958075206</v>
      </c>
      <c r="CN32" s="9">
        <f>IF(I32&gt;=800,0.68,IF(I32&gt;=700,0.75-(I32-700)*0.07/100,IF(I32&gt;=600,0.85-(I32-600)*0.1/100,IF(I32&gt;=500,1-(I32-500)*0.15/100,1.2-(I32-400)*0.2/100))))</f>
        <v>0.87549999999999994</v>
      </c>
      <c r="CO32" s="9">
        <f>1.75*CM32*CN32*(L32/25)^0.5</f>
        <v>2.0951879162491376</v>
      </c>
      <c r="CP32" s="9">
        <f>MIN((CI32+CL32)*CO32,2.5*CO32,L32^0.5)</f>
        <v>2.4628554701926038</v>
      </c>
      <c r="CQ32" s="9">
        <v>1</v>
      </c>
      <c r="CR32" s="9">
        <f>4*CP32*O32+60*CP32</f>
        <v>216.73128137694914</v>
      </c>
      <c r="CT32" s="4">
        <f>AI32/BE32</f>
        <v>1.2272571830982304</v>
      </c>
      <c r="CU32" s="4">
        <f>AI32/BJ32</f>
        <v>0.74018668744226179</v>
      </c>
      <c r="CV32" s="4">
        <f>AI32/BM32</f>
        <v>0.88656349656218902</v>
      </c>
      <c r="CW32" s="4">
        <f>AI32/CR32</f>
        <v>1.8294544169209646</v>
      </c>
      <c r="CX32" s="4">
        <f>AI32/DY32</f>
        <v>3.5922416018295387</v>
      </c>
      <c r="CY32" s="4">
        <f>AI32/EK32</f>
        <v>1.3095784928162608</v>
      </c>
      <c r="CZ32" s="4">
        <f>AI32/GH32</f>
        <v>1.9447556217215154</v>
      </c>
      <c r="DB32" s="4">
        <f>CT32</f>
        <v>1.2272571830982304</v>
      </c>
      <c r="DC32" s="4">
        <f>CU32</f>
        <v>0.74018668744226179</v>
      </c>
      <c r="DD32" s="4">
        <f>CW32</f>
        <v>1.8294544169209646</v>
      </c>
      <c r="DE32" s="4">
        <f>CZ32</f>
        <v>1.9447556217215154</v>
      </c>
      <c r="DF32" s="4">
        <f>CX32</f>
        <v>3.5922416018295387</v>
      </c>
      <c r="DG32" s="4">
        <f>CY32</f>
        <v>1.3095784928162608</v>
      </c>
      <c r="DO32" s="4">
        <f>AM32</f>
        <v>0</v>
      </c>
      <c r="DP32" s="4">
        <f>K32</f>
        <v>401.09999999999997</v>
      </c>
      <c r="DS32" s="4">
        <f>J32/4/(1-0.3*(L32/30)^0.5)/200000/M32</f>
        <v>1.6837038197690092E-5</v>
      </c>
      <c r="DT32" s="4">
        <f>EO32</f>
        <v>7.2046859751136969</v>
      </c>
      <c r="DU32" s="4">
        <f>EB32*AF32/257/L32/AC32</f>
        <v>0</v>
      </c>
      <c r="DV32" s="4">
        <f>DT32*DU32^0.4</f>
        <v>0</v>
      </c>
      <c r="DW32" s="4">
        <f>MIN(DT32, DT32/1.4*(1-DU32^1.4)/(1-DU32))</f>
        <v>5.1462042679383551</v>
      </c>
      <c r="DX32" s="4">
        <f>MAX(DT32/2, (4-DS32*(8*AF32*(DV32-DW32)+6*J32*DW32))/(4+DS32*J32*DT32)*DT32)</f>
        <v>6.9050748101890971</v>
      </c>
      <c r="DY32" s="38">
        <f>MIN(1/M32*(4*AF32*(DV32-DW32)+(3*DW32+DX32)*J32)+EB32 -FI32,MAX(I32,AI32))</f>
        <v>110.37676302119029</v>
      </c>
      <c r="DZ32" s="4">
        <f>DY32/FE32</f>
        <v>0.87643603489332544</v>
      </c>
      <c r="EA32" s="4">
        <f>AF32/M32</f>
        <v>2.2360679774997898</v>
      </c>
      <c r="EB32" s="4">
        <f>MIN(EA$10*BA32)</f>
        <v>0</v>
      </c>
      <c r="EF32" s="4">
        <f>IF(T32&gt;1*M32,0.85,1)</f>
        <v>1</v>
      </c>
      <c r="EG32" s="4">
        <f>MIN(1,MAX(0.7,(1-0.1*(BY32-1*M32)/M32)))</f>
        <v>1</v>
      </c>
      <c r="EH32" s="4">
        <f>MIN(1,MAX(0.7,1-0.3*(PI()*AL32^2/4*AP32*2-0.25*PI()/4*M32^2)/(PI()/4*M32^2)))</f>
        <v>1</v>
      </c>
      <c r="EI32" s="4">
        <f>IF(EG32*EH32&lt;0.7,0.7,EG32*EH32)</f>
        <v>1</v>
      </c>
      <c r="EK32" s="4">
        <f>MIN(DT32/M32*3*J32+EL32-FI32,MAX(I32,AI32))</f>
        <v>302.76917510100753</v>
      </c>
      <c r="EL32" s="25">
        <f>13.3*P32*J32^0.5*L32^0.5/W32/M32^2*(0.7+R32/5/J32)</f>
        <v>151.4707696236199</v>
      </c>
      <c r="EO32" s="4">
        <f>IF(M32&lt;22.2,1.1*5*(L32/30)^0.5,IF(M32&gt;=31.8,0.9*5*(L32/30)^0.5,1*5*(L32/30)^0.5))/EF32/EI32</f>
        <v>7.2046859751136969</v>
      </c>
      <c r="ER32" s="4">
        <f>ES32*M32</f>
        <v>128.12669511073796</v>
      </c>
      <c r="ES32" s="4">
        <f>AE32^0.5</f>
        <v>2.2360679774997898</v>
      </c>
      <c r="ET32" s="4">
        <f>MIN(EB32)/(4700*L32^0.5)/AD32*ER32</f>
        <v>0</v>
      </c>
      <c r="EW32" s="4">
        <f>ET32</f>
        <v>0</v>
      </c>
      <c r="EX32" s="4">
        <f>MIN(0.999, EW32/(0.3*(L32/30)^0.5))</f>
        <v>0</v>
      </c>
      <c r="EY32" s="4">
        <f>EO32/1*EX32^0.4</f>
        <v>0</v>
      </c>
      <c r="EZ32" s="4">
        <f>EO32/1.4*(1-EX32^1.4)/(1-EX32)</f>
        <v>5.1462042679383551</v>
      </c>
      <c r="FA32" s="4">
        <f>MAX(0,DP32*FA$9-ER32)</f>
        <v>0</v>
      </c>
      <c r="FB32" s="4">
        <f>MAX(0,DP32-ER32-FA32)</f>
        <v>272.97330488926201</v>
      </c>
      <c r="FC32" s="4">
        <f>FB32/(1-0.3*(L32/30)^0.5)/200000/M32</f>
        <v>4.5834574533734317E-5</v>
      </c>
      <c r="FD32" s="4">
        <f>MAX(0.5*EO32, (1-2*FC32*(ER32*EY32+FA32*EZ32))/(1/EO32+FC32*FB32))</f>
        <v>6.6089410940049875</v>
      </c>
      <c r="FE32" s="4">
        <f>MIN(4/M32*(1*EY32*ER32+EZ32*FA32+FB32*FD32)+EB32,MAX(I32,AI32))</f>
        <v>125.93818445019171</v>
      </c>
      <c r="FN32" s="23">
        <f>IF(CT32&lt;0.6,0.6,IF(CT32&lt;0.8,0.8,IF(CT32&lt;1,1,IF(CT32&lt;1.2,1.2,IF(CT32&lt;1.4,1.4,IF(CT32&lt;1.6,1.6,IF(CT32&lt;1.8,1.8,IF(CT32&lt;2,2,2.2))))))))</f>
        <v>1.4</v>
      </c>
      <c r="FO32" s="23">
        <f>IF(CU32&lt;0.6,0.6,IF(CU32&lt;0.8,0.8,IF(CU32&lt;1,1,IF(CU32&lt;1.2,1.2,IF(CU32&lt;1.4,1.4,IF(CU32&lt;1.6,1.6,IF(CU32&lt;1.8,1.8,IF(CU32&lt;2,2,2.2))))))))</f>
        <v>0.8</v>
      </c>
      <c r="FP32" s="23">
        <f>IF(CZ32&lt;0.6,0.6,IF(CZ32&lt;0.8,0.8,IF(CZ32&lt;1,1,IF(CZ32&lt;1.2,1.2,IF(CZ32&lt;1.4,1.4,IF(CZ32&lt;1.6,1.6,IF(CZ32&lt;1.8,1.8,IF(CZ32&lt;2,2,2.2))))))))</f>
        <v>2</v>
      </c>
      <c r="FQ32" s="23">
        <f>IF(CW32&lt;0.6,0.6,IF(CW32&lt;0.8,0.8,IF(CW32&lt;1,1,IF(CW32&lt;1.2,1.2,IF(CW32&lt;1.4,1.4,IF(CW32&lt;1.6,1.6,IF(CW32&lt;1.8,1.8,IF(CW32&lt;2,2,2.2))))))))</f>
        <v>2</v>
      </c>
      <c r="FR32" s="23">
        <f>IF(CX32&lt;0.6,0.6,IF(CX32&lt;0.8,0.8,IF(CX32&lt;1,1,IF(CX32&lt;1.2,1.2,IF(CX32&lt;1.4,1.4,IF(CX32&lt;1.6,1.6,IF(CX32&lt;1.8,1.8,IF(CX32&lt;2,2,2.2))))))))</f>
        <v>2.2000000000000002</v>
      </c>
      <c r="FS32" s="23">
        <f>IF(CY32&lt;0.6,0.6,IF(CY32&lt;0.8,0.8,IF(CY32&lt;1,1,IF(CY32&lt;1.2,1.2,IF(CY32&lt;1.4,1.4,IF(CY32&lt;1.6,1.6,IF(CY32&lt;1.8,1.8,IF(CY32&lt;2,2,2.2))))))))</f>
        <v>1.4</v>
      </c>
      <c r="FT32" s="23">
        <f>IF(FR32&lt;1,1,0)</f>
        <v>0</v>
      </c>
      <c r="FU32" s="23"/>
      <c r="GE32" s="4">
        <f>IF(R32&gt;=2.5*25.4,1,1.25)</f>
        <v>1.25</v>
      </c>
      <c r="GF32" s="4">
        <f>IF(AN32&gt;1, 0.05*(18-MIN(8,(V32+M32)/M32))*(1-48000/MAX(60000,(I32*145))*(M32/25.4)^0.75*GG32), 1/12*(14-MIN(8,(V32+M32)/M32)))</f>
        <v>0.54</v>
      </c>
      <c r="GG32" s="4">
        <f>MIN(0.3, AL32^2*PI()/4*2*AO32/(M32^2*PI()/4*W32))</f>
        <v>0</v>
      </c>
      <c r="GH32" s="4">
        <f>(J32/25.4)/(M32/25.4)^1.5/0.0024*(L32*145)^0.25/GE32/GF32/145</f>
        <v>203.88165771132446</v>
      </c>
    </row>
    <row r="33" spans="1:190" s="4" customFormat="1" ht="12" customHeight="1" x14ac:dyDescent="0.3">
      <c r="A33" s="25">
        <v>152</v>
      </c>
      <c r="B33" s="24" t="s">
        <v>128</v>
      </c>
      <c r="C33" s="24">
        <v>2017</v>
      </c>
      <c r="D33" s="24" t="s">
        <v>309</v>
      </c>
      <c r="E33" s="24"/>
      <c r="F33" s="109" t="s">
        <v>797</v>
      </c>
      <c r="G33" s="4" t="s">
        <v>159</v>
      </c>
      <c r="H33" s="5">
        <f>J33/M33</f>
        <v>10</v>
      </c>
      <c r="I33" s="72">
        <v>606</v>
      </c>
      <c r="J33" s="7">
        <f>10*M33</f>
        <v>430</v>
      </c>
      <c r="K33" s="7">
        <f>J33</f>
        <v>430</v>
      </c>
      <c r="L33" s="84">
        <v>81.2</v>
      </c>
      <c r="M33" s="88">
        <v>43</v>
      </c>
      <c r="N33" s="7">
        <f>J33/M33</f>
        <v>10</v>
      </c>
      <c r="O33" s="7">
        <f>K33/M33</f>
        <v>10</v>
      </c>
      <c r="P33" s="7">
        <f>V33+2*R33+2*M33</f>
        <v>541.79999999999995</v>
      </c>
      <c r="Q33" s="32">
        <f>R33/M33</f>
        <v>1</v>
      </c>
      <c r="R33" s="7">
        <f>1*M33</f>
        <v>43</v>
      </c>
      <c r="S33" s="32">
        <f>T33/M33</f>
        <v>1.3023255813953489</v>
      </c>
      <c r="T33" s="7">
        <f>40+16</f>
        <v>56</v>
      </c>
      <c r="U33" s="32">
        <f>V33/M33</f>
        <v>8.6</v>
      </c>
      <c r="V33" s="7">
        <f>(9.6-1)*M33</f>
        <v>369.8</v>
      </c>
      <c r="W33" s="7">
        <v>2</v>
      </c>
      <c r="X33" s="122">
        <f>AM33</f>
        <v>0</v>
      </c>
      <c r="Y33" s="32">
        <f>Z33/M33</f>
        <v>5.2131782945736429</v>
      </c>
      <c r="Z33" s="7">
        <f>2/3*J33-0.5*125</f>
        <v>224.16666666666663</v>
      </c>
      <c r="AA33" s="7">
        <f>MIN(R33/M33+0.5, V33/2/M33+0.5)</f>
        <v>1.5</v>
      </c>
      <c r="AB33" s="7">
        <f>R33/M33+0.5</f>
        <v>1.5</v>
      </c>
      <c r="AC33" s="7">
        <f>2040/510</f>
        <v>4</v>
      </c>
      <c r="AD33" s="7">
        <f>2040/510</f>
        <v>4</v>
      </c>
      <c r="AE33" s="7">
        <f>AD33+1</f>
        <v>5</v>
      </c>
      <c r="AF33" s="7">
        <f>M33*AE33^0.5</f>
        <v>96.150923032490965</v>
      </c>
      <c r="AG33" s="7">
        <f>I33</f>
        <v>606</v>
      </c>
      <c r="AH33" s="7">
        <v>19</v>
      </c>
      <c r="AI33" s="7">
        <f>(595+590)/2</f>
        <v>592.5</v>
      </c>
      <c r="AJ33" s="7"/>
      <c r="AK33" s="4">
        <f>CX33</f>
        <v>2.8186379853280812</v>
      </c>
      <c r="AL33" s="7">
        <v>0</v>
      </c>
      <c r="AM33" s="7">
        <v>0</v>
      </c>
      <c r="AN33" s="7">
        <f>K33</f>
        <v>430</v>
      </c>
      <c r="AO33" s="7"/>
      <c r="AP33" s="7"/>
      <c r="AQ33" s="7">
        <f>3*AR33/(V33+M33)</f>
        <v>3.125</v>
      </c>
      <c r="AR33" s="4">
        <f>J33</f>
        <v>430</v>
      </c>
      <c r="AS33" s="4">
        <f>IF(J33*3&gt;V33+M33, P33, (R33+M33/2)*2+1.5*J33*(2*W33-2))*(3*J33)/(9*J33^2)</f>
        <v>0.41999999999999993</v>
      </c>
      <c r="AT33" s="4">
        <f>MIN(10*L33^0.5*J33^1.5,100*3.9*L33^0.5*J33^(5/3))/(PI()/4*M33^2)/W33</f>
        <v>276.64569081934007</v>
      </c>
      <c r="AU33" s="4">
        <f>MIN(0.7+0.3*(MIN(R33,Z33)+0.5*M33)/1.5/J33,1)</f>
        <v>0.73</v>
      </c>
      <c r="AV33" s="4">
        <v>1.25</v>
      </c>
      <c r="AW33" s="4">
        <f>AW31</f>
        <v>5</v>
      </c>
      <c r="AX33" s="38">
        <f>AS33*AU33*AV33*AW33*AT33</f>
        <v>530.12230503256035</v>
      </c>
      <c r="AY33" s="38">
        <f>AX33</f>
        <v>530.12230503256035</v>
      </c>
      <c r="AZ33" s="38">
        <f>IF(L33&lt;50, 0.3*L33^(2/3), 2.12*LN(1+0.1*(L33+8)))</f>
        <v>4.8644521931491767</v>
      </c>
      <c r="BA33" s="38">
        <f>AW33* (L33^0.5/AR33^0.5)/(PI()/4*M33^2)/W33/0.72 *(0.7+(MIN(R33,Z33)+0.5*M33)/5/J33) *(3*P33*J33)</f>
        <v>530.1223050325608</v>
      </c>
      <c r="BB33" s="38">
        <f>AX33/BA33</f>
        <v>0.99999999999999911</v>
      </c>
      <c r="BC33" s="38">
        <f>BG33/BA33</f>
        <v>0.9190332030456172</v>
      </c>
      <c r="BD33" s="4">
        <f>IF(BC33&lt;1,1,0)</f>
        <v>1</v>
      </c>
      <c r="BE33" s="4">
        <f>K33/M33*L33^0.5/0.19</f>
        <v>474.26864530816039</v>
      </c>
      <c r="BF33" s="4">
        <f>MIN(0.6+0.4*(AB33/AA33),2)</f>
        <v>1</v>
      </c>
      <c r="BG33" s="38">
        <f>2*L33*AA33*AC33^0.5*BF33*0.7/0.7</f>
        <v>487.20000000000005</v>
      </c>
      <c r="BH33" s="4">
        <f>MAX(1-0.7*AD33/5,0.3)</f>
        <v>0.44000000000000006</v>
      </c>
      <c r="BI33" s="4">
        <f>BH33*I33*K33/(I33*M33/2.75/L33^0.5)</f>
        <v>109.03436155634607</v>
      </c>
      <c r="BJ33" s="4">
        <f>BG33+BI33</f>
        <v>596.23436155634613</v>
      </c>
      <c r="BL33" s="4">
        <f>MIN(1.5, 0.75+0.25*MIN(3,MAX(1,R33/M33))+0.4*MIN(1,(40*2*PI()*AL33^2/4/AN33/W33)/M33))</f>
        <v>1</v>
      </c>
      <c r="BM33" s="4">
        <f>(3*O33+30)*BL33*L33^0.5</f>
        <v>540.66625565130289</v>
      </c>
      <c r="BO33" s="4">
        <f>3.4/PI()^0.5*L33*AA33*AD33^0.5*BF33</f>
        <v>467.28438067759373</v>
      </c>
      <c r="BP33" s="4">
        <f>8/3*AG33*AH33^2/(AF33-M33-22)/M33*(AF33^2-M33^2)/(AF33^2-(M33+22)^2)</f>
        <v>641.65616063635548</v>
      </c>
      <c r="BQ33" s="4">
        <f>BP33/BO33</f>
        <v>1.3731598725938816</v>
      </c>
      <c r="BY33" s="4">
        <f>IF(V33=0,R33,MIN(V33/2,R33))</f>
        <v>43</v>
      </c>
      <c r="CC33" s="9"/>
      <c r="CE33" s="9"/>
      <c r="CF33" s="9"/>
      <c r="CG33" s="9">
        <f>IF(V33=0,MIN(R33,T33),MIN(V33/2,R33,T33))</f>
        <v>43</v>
      </c>
      <c r="CH33" s="9">
        <f>MAX(V33/2,R33)</f>
        <v>184.9</v>
      </c>
      <c r="CI33" s="9">
        <f>(CG33/M33)^0.5*(CH33/CG33)^0.15</f>
        <v>1.2445726940891169</v>
      </c>
      <c r="CJ33" s="70">
        <v>0</v>
      </c>
      <c r="CK33" s="9">
        <f>MIN(PI()*AL33^2/4*AM33*2/W33/M33/MAX(0.01,AN33),0.05)</f>
        <v>0</v>
      </c>
      <c r="CL33" s="9">
        <f>MAX(0,CJ33*(CK33-0.5/50))</f>
        <v>0</v>
      </c>
      <c r="CM33" s="9">
        <f>MIN(1,(25/M33)^0.3)</f>
        <v>0.84984840943171969</v>
      </c>
      <c r="CN33" s="9">
        <f>IF(I33&gt;=800,0.68,IF(I33&gt;=700,0.75-(I33-700)*0.07/100,IF(I33&gt;=600,0.85-(I33-600)*0.1/100,IF(I33&gt;=500,1-(I33-500)*0.15/100,1.2-(I33-400)*0.2/100))))</f>
        <v>0.84399999999999997</v>
      </c>
      <c r="CO33" s="9">
        <f>1.75*CM33*CN33*(L33/25)^0.5</f>
        <v>2.2621946529260857</v>
      </c>
      <c r="CP33" s="9">
        <f>MIN((CI33+CL33)*CO33,2.5*CO33,L33^0.5)</f>
        <v>2.815465693746213</v>
      </c>
      <c r="CQ33" s="9">
        <v>1</v>
      </c>
      <c r="CR33" s="9">
        <f>4*CP33*O33+60*CP33</f>
        <v>281.5465693746213</v>
      </c>
      <c r="CT33" s="4">
        <f>AI33/BE33</f>
        <v>1.2492919484799965</v>
      </c>
      <c r="CU33" s="4">
        <f>AI33/BJ33</f>
        <v>0.99373675554928043</v>
      </c>
      <c r="CV33" s="4">
        <f>AI33/BM33</f>
        <v>1.0958701302456109</v>
      </c>
      <c r="CW33" s="4">
        <f>AI33/CR33</f>
        <v>2.1044475921552754</v>
      </c>
      <c r="CX33" s="4">
        <f>AI33/DY33</f>
        <v>2.8186379853280812</v>
      </c>
      <c r="CY33" s="4">
        <f>AI33/EK33</f>
        <v>1.131898315070766</v>
      </c>
      <c r="CZ33" s="4">
        <f>AI33/GH33</f>
        <v>1.6096593536070971</v>
      </c>
      <c r="DB33" s="4">
        <f>CT33</f>
        <v>1.2492919484799965</v>
      </c>
      <c r="DC33" s="4">
        <f>CU33</f>
        <v>0.99373675554928043</v>
      </c>
      <c r="DD33" s="4">
        <f>CW33</f>
        <v>2.1044475921552754</v>
      </c>
      <c r="DE33" s="4">
        <f>CZ33</f>
        <v>1.6096593536070971</v>
      </c>
      <c r="DF33" s="4">
        <f>CX33</f>
        <v>2.8186379853280812</v>
      </c>
      <c r="DG33" s="4">
        <f>CY33</f>
        <v>1.131898315070766</v>
      </c>
      <c r="DO33" s="4">
        <f>AM33</f>
        <v>0</v>
      </c>
      <c r="DP33" s="4">
        <f>K33</f>
        <v>430</v>
      </c>
      <c r="DS33" s="4">
        <f>J33/4/(1-0.3*(L33/30)^0.5)/200000/M33</f>
        <v>2.4682021866243434E-5</v>
      </c>
      <c r="DT33" s="4">
        <f>EO33</f>
        <v>8.7098560088845165</v>
      </c>
      <c r="DU33" s="4">
        <f>EB33*AF33/257/L33/AC33</f>
        <v>0</v>
      </c>
      <c r="DV33" s="4">
        <f>DT33*DU33^0.4</f>
        <v>0</v>
      </c>
      <c r="DW33" s="4">
        <f>MIN(DT33, DT33/1.4*(1-DU33^1.4)/(1-DU33))</f>
        <v>6.221325720631798</v>
      </c>
      <c r="DX33" s="4">
        <f>MAX(DT33/2, (4-DS33*(8*AF33*(DV33-DW33)+6*J33*DW33))/(4+DS33*J33*DT33)*DT33)</f>
        <v>7.9213367287474252</v>
      </c>
      <c r="DY33" s="38">
        <f>MIN(1/M33*(4*AF33*(DV33-DW33)+(3*DW33+DX33)*J33)+EB33 -FI33,MAX(I33,AI33))</f>
        <v>210.20791002042597</v>
      </c>
      <c r="DZ33" s="4">
        <f>DY33/FE33</f>
        <v>0.95034760524073325</v>
      </c>
      <c r="EA33" s="4">
        <f>AF33/M33</f>
        <v>2.2360679774997898</v>
      </c>
      <c r="EB33" s="4">
        <f>MIN(EA$10*BA33)</f>
        <v>0</v>
      </c>
      <c r="EF33" s="4">
        <f>IF(T33&gt;1*M33,0.85,1)</f>
        <v>0.85</v>
      </c>
      <c r="EG33" s="4">
        <f>MIN(1,MAX(0.7,(1-0.1*(BY33-1*M33)/M33)))</f>
        <v>1</v>
      </c>
      <c r="EH33" s="4">
        <f>MIN(1,MAX(0.7,1-0.3*(PI()*AL33^2/4*AP33*2-0.25*PI()/4*M33^2)/(PI()/4*M33^2)))</f>
        <v>1</v>
      </c>
      <c r="EI33" s="4">
        <f>IF(EG33*EH33&lt;0.7,0.7,EG33*EH33)</f>
        <v>1</v>
      </c>
      <c r="EK33" s="4">
        <f>MIN(DT33/M33*3*J33+EL33-FI33,MAX(I33,AI33))</f>
        <v>523.45691491108641</v>
      </c>
      <c r="EL33" s="25">
        <f>13.3*P33*J33^0.5*L33^0.5/W33/M33^2*(0.7+R33/5/J33)</f>
        <v>262.16123464455097</v>
      </c>
      <c r="EO33" s="4">
        <f>IF(M33&lt;22.2,1.1*5*(L33/30)^0.5,IF(M33&gt;=31.8,0.9*5*(L33/30)^0.5,1*5*(L33/30)^0.5))/EF33/EI33</f>
        <v>8.7098560088845165</v>
      </c>
      <c r="ER33" s="4">
        <f>ES33*M33</f>
        <v>96.150923032490965</v>
      </c>
      <c r="ES33" s="4">
        <f>AE33^0.5</f>
        <v>2.2360679774997898</v>
      </c>
      <c r="ET33" s="4">
        <f>MIN(EB33)/(4700*L33^0.5)/AD33*ER33</f>
        <v>0</v>
      </c>
      <c r="EW33" s="4">
        <f>ET33</f>
        <v>0</v>
      </c>
      <c r="EX33" s="4">
        <f>MIN(0.999, EW33/(0.3*(L33/30)^0.5))</f>
        <v>0</v>
      </c>
      <c r="EY33" s="4">
        <f>EO33/1*EX33^0.4</f>
        <v>0</v>
      </c>
      <c r="EZ33" s="4">
        <f>EO33/1.4*(1-EX33^1.4)/(1-EX33)</f>
        <v>6.221325720631798</v>
      </c>
      <c r="FA33" s="4">
        <f>MAX(0,DP33*FA$9-ER33)</f>
        <v>0</v>
      </c>
      <c r="FB33" s="4">
        <f>MAX(0,DP33-ER33-FA33)</f>
        <v>333.84907696750906</v>
      </c>
      <c r="FC33" s="4">
        <f>FB33/(1-0.3*(L33/30)^0.5)/200000/M33</f>
        <v>7.6651815978951123E-5</v>
      </c>
      <c r="FD33" s="4">
        <f>MAX(0.5*EO33, (1-2*FC33*(ER33*EY33+FA33*EZ33))/(1/EO33+FC33*FB33))</f>
        <v>7.1223752961936553</v>
      </c>
      <c r="FE33" s="4">
        <f>MIN(4/M33*(1*EY33*ER33+EZ33*FA33+FB33*FD33)+EB33,MAX(I33,AI33))</f>
        <v>221.19055055352936</v>
      </c>
      <c r="FN33" s="23">
        <f>IF(CT33&lt;0.6,0.6,IF(CT33&lt;0.8,0.8,IF(CT33&lt;1,1,IF(CT33&lt;1.2,1.2,IF(CT33&lt;1.4,1.4,IF(CT33&lt;1.6,1.6,IF(CT33&lt;1.8,1.8,IF(CT33&lt;2,2,2.2))))))))</f>
        <v>1.4</v>
      </c>
      <c r="FO33" s="23">
        <f>IF(CU33&lt;0.6,0.6,IF(CU33&lt;0.8,0.8,IF(CU33&lt;1,1,IF(CU33&lt;1.2,1.2,IF(CU33&lt;1.4,1.4,IF(CU33&lt;1.6,1.6,IF(CU33&lt;1.8,1.8,IF(CU33&lt;2,2,2.2))))))))</f>
        <v>1</v>
      </c>
      <c r="FP33" s="23">
        <f>IF(CZ33&lt;0.6,0.6,IF(CZ33&lt;0.8,0.8,IF(CZ33&lt;1,1,IF(CZ33&lt;1.2,1.2,IF(CZ33&lt;1.4,1.4,IF(CZ33&lt;1.6,1.6,IF(CZ33&lt;1.8,1.8,IF(CZ33&lt;2,2,2.2))))))))</f>
        <v>1.8</v>
      </c>
      <c r="FQ33" s="23">
        <f>IF(CW33&lt;0.6,0.6,IF(CW33&lt;0.8,0.8,IF(CW33&lt;1,1,IF(CW33&lt;1.2,1.2,IF(CW33&lt;1.4,1.4,IF(CW33&lt;1.6,1.6,IF(CW33&lt;1.8,1.8,IF(CW33&lt;2,2,2.2))))))))</f>
        <v>2.2000000000000002</v>
      </c>
      <c r="FR33" s="23">
        <f>IF(CX33&lt;0.6,0.6,IF(CX33&lt;0.8,0.8,IF(CX33&lt;1,1,IF(CX33&lt;1.2,1.2,IF(CX33&lt;1.4,1.4,IF(CX33&lt;1.6,1.6,IF(CX33&lt;1.8,1.8,IF(CX33&lt;2,2,2.2))))))))</f>
        <v>2.2000000000000002</v>
      </c>
      <c r="FS33" s="23">
        <f>IF(CY33&lt;0.6,0.6,IF(CY33&lt;0.8,0.8,IF(CY33&lt;1,1,IF(CY33&lt;1.2,1.2,IF(CY33&lt;1.4,1.4,IF(CY33&lt;1.6,1.6,IF(CY33&lt;1.8,1.8,IF(CY33&lt;2,2,2.2))))))))</f>
        <v>1.2</v>
      </c>
      <c r="FT33" s="23">
        <f>IF(FR33&lt;1,1,0)</f>
        <v>0</v>
      </c>
      <c r="FU33" s="23"/>
      <c r="GE33" s="4">
        <f>IF(R33&gt;=2.5*25.4,1,1.25)</f>
        <v>1.25</v>
      </c>
      <c r="GF33" s="4">
        <f>IF(AN33&gt;1, 0.05*(18-MIN(8,(V33+M33)/M33))*(1-48000/MAX(60000,(I33*145))*(M33/25.4)^0.75*GG33), 1/12*(14-MIN(8,(V33+M33)/M33)))</f>
        <v>0.5</v>
      </c>
      <c r="GG33" s="4">
        <f>MIN(0.3, AL33^2*PI()/4*2*AO33/(M33^2*PI()/4*W33))</f>
        <v>0</v>
      </c>
      <c r="GH33" s="4">
        <f>(J33/25.4)/(M33/25.4)^1.5/0.0024*(L33*145)^0.25/GE33/GF33/145</f>
        <v>368.09030349947182</v>
      </c>
    </row>
    <row r="34" spans="1:190" s="4" customFormat="1" ht="12" customHeight="1" x14ac:dyDescent="0.3">
      <c r="A34" s="25">
        <v>205</v>
      </c>
      <c r="B34" s="24" t="s">
        <v>182</v>
      </c>
      <c r="C34" s="4">
        <v>1996</v>
      </c>
      <c r="D34" s="24" t="s">
        <v>309</v>
      </c>
      <c r="E34" s="24"/>
      <c r="F34" s="24" t="s">
        <v>798</v>
      </c>
      <c r="G34" s="4" t="s">
        <v>339</v>
      </c>
      <c r="H34" s="5">
        <f>J34/M34</f>
        <v>8.3070866141732296</v>
      </c>
      <c r="I34" s="103">
        <v>578</v>
      </c>
      <c r="J34" s="72">
        <f>305-T34-18</f>
        <v>211</v>
      </c>
      <c r="K34" s="72">
        <f>J34</f>
        <v>211</v>
      </c>
      <c r="L34" s="48">
        <v>35</v>
      </c>
      <c r="M34" s="112">
        <v>25.4</v>
      </c>
      <c r="N34" s="7">
        <f>J34/M34</f>
        <v>8.3070866141732296</v>
      </c>
      <c r="O34" s="7">
        <f>K34/M34</f>
        <v>8.3070866141732296</v>
      </c>
      <c r="P34" s="7">
        <v>305</v>
      </c>
      <c r="Q34" s="32">
        <f>R34/M34</f>
        <v>1.4960629921259843</v>
      </c>
      <c r="R34" s="7">
        <v>38</v>
      </c>
      <c r="S34" s="32">
        <f>T34/M34</f>
        <v>2.9921259842519685</v>
      </c>
      <c r="T34" s="7">
        <v>76</v>
      </c>
      <c r="U34" s="32">
        <f>V34/M34</f>
        <v>7.015748031496063</v>
      </c>
      <c r="V34" s="7">
        <f>P34-2*M34-2*R34</f>
        <v>178.2</v>
      </c>
      <c r="W34" s="7">
        <v>2</v>
      </c>
      <c r="X34" s="122">
        <f>AM34</f>
        <v>0</v>
      </c>
      <c r="Y34" s="32">
        <f>Z34/M34</f>
        <v>11.023622047244094</v>
      </c>
      <c r="Z34" s="7">
        <f>775-(343+152)</f>
        <v>280</v>
      </c>
      <c r="AA34" s="7">
        <f>MIN(R34/M34+0.5, V34/2/M34+0.5)</f>
        <v>1.9960629921259843</v>
      </c>
      <c r="AB34" s="7">
        <f>R34/M34+0.5</f>
        <v>1.9960629921259843</v>
      </c>
      <c r="AC34" s="7">
        <f>3200/(M34^2*PI()/4)-1</f>
        <v>5.3152807724479523</v>
      </c>
      <c r="AD34" s="7">
        <f>3200/(M34^2*PI()/4)-1</f>
        <v>5.3152807724479523</v>
      </c>
      <c r="AE34" s="7">
        <f>AD34+1</f>
        <v>6.3152807724479523</v>
      </c>
      <c r="AF34" s="7">
        <f>M34*AE34^0.5</f>
        <v>63.830764864229231</v>
      </c>
      <c r="AG34" s="7">
        <f>I34</f>
        <v>578</v>
      </c>
      <c r="AH34" s="7">
        <v>18</v>
      </c>
      <c r="AI34" s="7">
        <f>178*1000/(M34^2*PI()/4)</f>
        <v>351.28749296741734</v>
      </c>
      <c r="AJ34" s="7"/>
      <c r="AK34" s="4">
        <f>CX34</f>
        <v>2.7996728534435578</v>
      </c>
      <c r="AL34" s="7">
        <v>0</v>
      </c>
      <c r="AM34" s="7">
        <v>0</v>
      </c>
      <c r="AN34" s="7">
        <f>K34</f>
        <v>211</v>
      </c>
      <c r="AO34" s="7"/>
      <c r="AP34" s="7"/>
      <c r="AQ34" s="7">
        <f>3*AR34/(V34+M34)</f>
        <v>3.1090373280943027</v>
      </c>
      <c r="AR34" s="4">
        <f>J34</f>
        <v>211</v>
      </c>
      <c r="AS34" s="4">
        <f>IF(J34*3&gt;V34+M34, P34, (R34+M34/2)*2+1.5*J34*(2*W34-2))*(3*J34)/(9*J34^2)</f>
        <v>0.48183254344391785</v>
      </c>
      <c r="AT34" s="4">
        <f>MIN(10*L34^0.5*J34^1.5,100*3.9*L34^0.5*J34^(5/3))/(PI()/4*M34^2)/W34</f>
        <v>178.92474002033066</v>
      </c>
      <c r="AU34" s="4">
        <f>MIN(0.7+0.3*(MIN(R34,Z34)+0.5*M34)/1.5/J34,1)</f>
        <v>0.7480568720379146</v>
      </c>
      <c r="AV34" s="4">
        <v>1.25</v>
      </c>
      <c r="AW34" s="4">
        <f>AW33</f>
        <v>5</v>
      </c>
      <c r="AX34" s="38">
        <f>AS34*AU34*AV34*AW34*AT34</f>
        <v>403.07063400168562</v>
      </c>
      <c r="AY34" s="38">
        <f>AX34</f>
        <v>403.07063400168562</v>
      </c>
      <c r="AZ34" s="38">
        <f>IF(L34&lt;50, 0.3*L34^(2/3), 2.12*LN(1+0.1*(L34+8)))</f>
        <v>3.2099624416952368</v>
      </c>
      <c r="BA34" s="38">
        <f>AW34* (L34^0.5/AR34^0.5)/(PI()/4*M34^2)/W34/0.72 *(0.7+(MIN(R34,Z34)+0.5*M34)/5/J34) *(3*P34*J34)</f>
        <v>403.07063400168573</v>
      </c>
      <c r="BB34" s="38">
        <f>AX34/BA34</f>
        <v>0.99999999999999967</v>
      </c>
      <c r="BC34" s="38">
        <f>BG34/BA34</f>
        <v>0.79919770759181785</v>
      </c>
      <c r="BD34" s="4">
        <f>IF(BC34&lt;1,1,0)</f>
        <v>1</v>
      </c>
      <c r="BE34" s="4">
        <f>K34/M34*L34^0.5/0.19</f>
        <v>258.6599324977247</v>
      </c>
      <c r="BF34" s="4">
        <f>MIN(0.6+0.4*(AB34/AA34),2)</f>
        <v>1</v>
      </c>
      <c r="BG34" s="38">
        <f>2*L34*AA34*AC34^0.5*BF34*0.7/0.7</f>
        <v>322.13312669172785</v>
      </c>
      <c r="BH34" s="4">
        <f>MAX(1-0.7*AD34/5,0.3)</f>
        <v>0.3</v>
      </c>
      <c r="BI34" s="4">
        <f>BH34*I34*K34/(I34*M34/2.75/L34^0.5)</f>
        <v>40.544944419018336</v>
      </c>
      <c r="BJ34" s="4">
        <f>BG34+BI34</f>
        <v>362.6780711107462</v>
      </c>
      <c r="BL34" s="4">
        <f>MIN(1.5, 0.75+0.25*MIN(3,MAX(1,R34/M34))+0.4*MIN(1,(40*2*PI()*AL34^2/4/AN34/W34)/M34))</f>
        <v>1.1240157480314961</v>
      </c>
      <c r="BM34" s="4">
        <f>(3*O34+30)*BL34*L34^0.5</f>
        <v>365.21357266639933</v>
      </c>
      <c r="BO34" s="4">
        <f>3.4/PI()^0.5*L34*AA34*AD34^0.5*BF34</f>
        <v>308.96506281174231</v>
      </c>
      <c r="BP34" s="4">
        <f>8/3*AG34*AH34^2/(AF34-M34-22)/M34*(AF34^2-M34^2)/(AF34^2-(M34+22)^2)</f>
        <v>2245.2309649218914</v>
      </c>
      <c r="BQ34" s="4">
        <f>BP34/BO34</f>
        <v>7.2669412667216324</v>
      </c>
      <c r="BY34" s="4">
        <f>IF(V34=0,R34,MIN(V34/2,R34))</f>
        <v>38</v>
      </c>
      <c r="CC34" s="9"/>
      <c r="CE34" s="9"/>
      <c r="CF34" s="9"/>
      <c r="CG34" s="9">
        <f>IF(V34=0,MIN(R34,T34),MIN(V34/2,R34,T34))</f>
        <v>38</v>
      </c>
      <c r="CH34" s="9">
        <f>MAX(V34/2,R34)</f>
        <v>89.1</v>
      </c>
      <c r="CI34" s="9">
        <f>(CG34/M34)^0.5*(CH34/CG34)^0.15</f>
        <v>1.3899176059121618</v>
      </c>
      <c r="CJ34" s="70">
        <v>0</v>
      </c>
      <c r="CK34" s="9">
        <f>MIN(PI()*AL34^2/4*AM34*2/W34/M34/MAX(0.01,AN34),0.05)</f>
        <v>0</v>
      </c>
      <c r="CL34" s="9">
        <f>MAX(0,CJ34*(CK34-0.5/50))</f>
        <v>0</v>
      </c>
      <c r="CM34" s="9">
        <f>MIN(1,(25/M34)^0.3)</f>
        <v>0.99524931562137331</v>
      </c>
      <c r="CN34" s="9">
        <f>IF(I34&gt;=800,0.68,IF(I34&gt;=700,0.75-(I34-700)*0.07/100,IF(I34&gt;=600,0.85-(I34-600)*0.1/100,IF(I34&gt;=500,1-(I34-500)*0.15/100,1.2-(I34-400)*0.2/100))))</f>
        <v>0.88300000000000001</v>
      </c>
      <c r="CO34" s="9">
        <f>1.75*CM34*CN34*(L34/25)^0.5</f>
        <v>1.8196784745027872</v>
      </c>
      <c r="CP34" s="9">
        <f>MIN((CI34+CL34)*CO34,2.5*CO34,L34^0.5)</f>
        <v>2.5292031488108089</v>
      </c>
      <c r="CQ34" s="9">
        <v>1</v>
      </c>
      <c r="CR34" s="9">
        <f>4*CP34*O34+60*CP34</f>
        <v>235.79342741669274</v>
      </c>
      <c r="CT34" s="4">
        <f>AI34/BE34</f>
        <v>1.358105561906104</v>
      </c>
      <c r="CU34" s="4">
        <f>AI34/BJ34</f>
        <v>0.96859314347723358</v>
      </c>
      <c r="CV34" s="4">
        <f>AI34/BM34</f>
        <v>0.96186866879752408</v>
      </c>
      <c r="CW34" s="4">
        <f>AI34/CR34</f>
        <v>1.4898103684061734</v>
      </c>
      <c r="CX34" s="4">
        <f>AI34/DY34</f>
        <v>2.7996728534435578</v>
      </c>
      <c r="CY34" s="4">
        <f>AI34/EK34</f>
        <v>0.96123910886210173</v>
      </c>
      <c r="CZ34" s="4">
        <f>AI34/GH34</f>
        <v>1.08971818573285</v>
      </c>
      <c r="DB34" s="4">
        <f>CT34</f>
        <v>1.358105561906104</v>
      </c>
      <c r="DC34" s="4">
        <f>CU34</f>
        <v>0.96859314347723358</v>
      </c>
      <c r="DD34" s="4">
        <f>CW34</f>
        <v>1.4898103684061734</v>
      </c>
      <c r="DE34" s="4">
        <f>CZ34</f>
        <v>1.08971818573285</v>
      </c>
      <c r="DF34" s="4">
        <f>CX34</f>
        <v>2.7996728534435578</v>
      </c>
      <c r="DG34" s="4">
        <f>CY34</f>
        <v>0.96123910886210173</v>
      </c>
      <c r="DO34" s="4">
        <f>AM34</f>
        <v>0</v>
      </c>
      <c r="DP34" s="4">
        <f>K34</f>
        <v>211</v>
      </c>
      <c r="DS34" s="4">
        <f>J34/4/(1-0.3*(L34/30)^0.5)/200000/M34</f>
        <v>1.5361578672425713E-5</v>
      </c>
      <c r="DT34" s="4">
        <f>EO34</f>
        <v>6.6853003614357291</v>
      </c>
      <c r="DU34" s="4">
        <f>EB34*AF34/257/L34/AC34</f>
        <v>0</v>
      </c>
      <c r="DV34" s="4">
        <f>DT34*DU34^0.4</f>
        <v>0</v>
      </c>
      <c r="DW34" s="4">
        <f>MIN(DT34, DT34/1.4*(1-DU34^1.4)/(1-DU34))</f>
        <v>4.7752145438826643</v>
      </c>
      <c r="DX34" s="4">
        <f>MAX(DT34/2, (4-DS34*(8*AF34*(DV34-DW34)+6*J34*DW34))/(4+DS34*J34*DT34)*DT34)</f>
        <v>6.5571722751298971</v>
      </c>
      <c r="DY34" s="38">
        <f>MIN(1/M34*(4*AF34*(DV34-DW34)+(3*DW34+DX34)*J34)+EB34 -FI34,MAX(I34,AI34))</f>
        <v>125.47447911113569</v>
      </c>
      <c r="DZ34" s="4">
        <f>DY34/FE34</f>
        <v>0.84397253094673097</v>
      </c>
      <c r="EA34" s="4">
        <f>AF34/M34</f>
        <v>2.5130222387491825</v>
      </c>
      <c r="EB34" s="4">
        <f>MIN(EA$10*BA34)</f>
        <v>0</v>
      </c>
      <c r="EF34" s="4">
        <f>IF(T34&gt;1*M34,0.85,1)</f>
        <v>0.85</v>
      </c>
      <c r="EG34" s="4">
        <f>MIN(1,MAX(0.7,(1-0.1*(BY34-1*M34)/M34)))</f>
        <v>0.9503937007874016</v>
      </c>
      <c r="EH34" s="4">
        <f>MIN(1,MAX(0.7,1-0.3*(PI()*AL34^2/4*AP34*2-0.25*PI()/4*M34^2)/(PI()/4*M34^2)))</f>
        <v>1</v>
      </c>
      <c r="EI34" s="4">
        <f>IF(EG34*EH34&lt;0.7,0.7,EG34*EH34)</f>
        <v>0.9503937007874016</v>
      </c>
      <c r="EK34" s="4">
        <f>MIN(DT34/M34*3*J34+EL34-FI34,MAX(I34,AI34))</f>
        <v>365.45276792084064</v>
      </c>
      <c r="EL34" s="25">
        <f>13.3*P34*J34^0.5*L34^0.5/W34/M34^2*(0.7+R34/5/J34)</f>
        <v>198.84666048821009</v>
      </c>
      <c r="EN34" s="4">
        <f>EF34*EI34</f>
        <v>0.80783464566929131</v>
      </c>
      <c r="EO34" s="4">
        <f>IF(M34&lt;22.2,1.1*5*(L34/30)^0.5,IF(M34&gt;=31.8,0.9*5*(L34/30)^0.5,1*5*(L34/30)^0.5))/EF34/EI34</f>
        <v>6.6853003614357291</v>
      </c>
      <c r="ER34" s="4">
        <f>ES34*M34</f>
        <v>63.830764864229231</v>
      </c>
      <c r="ES34" s="4">
        <f>AE34^0.5</f>
        <v>2.5130222387491825</v>
      </c>
      <c r="ET34" s="4">
        <f>MIN(EB34)/(4700*L34^0.5)/AD34*ER34</f>
        <v>0</v>
      </c>
      <c r="EW34" s="4">
        <f>ET34</f>
        <v>0</v>
      </c>
      <c r="EX34" s="4">
        <f>MIN(0.999, EW34/(0.3*(L34/30)^0.5))</f>
        <v>0</v>
      </c>
      <c r="EY34" s="4">
        <f>EO34/1*EX34^0.4</f>
        <v>0</v>
      </c>
      <c r="EZ34" s="4">
        <f>EO34/1.4*(1-EX34^1.4)/(1-EX34)</f>
        <v>4.7752145438826643</v>
      </c>
      <c r="FA34" s="4">
        <f>MAX(0,DP34*FA$9-ER34)</f>
        <v>0</v>
      </c>
      <c r="FB34" s="4">
        <f>MAX(0,DP34-ER34-FA34)</f>
        <v>147.16923513577078</v>
      </c>
      <c r="FC34" s="4">
        <f>FB34/(1-0.3*(L34/30)^0.5)/200000/M34</f>
        <v>4.285785371940968E-5</v>
      </c>
      <c r="FD34" s="4">
        <f>MAX(0.5*EO34, (1-2*FC34*(ER34*EY34+FA34*EZ34))/(1/EO34+FC34*FB34))</f>
        <v>6.4148097737333085</v>
      </c>
      <c r="FE34" s="4">
        <f>MIN(4/M34*(1*EY34*ER34+EZ34*FA34+FB34*FD34)+EB34,MAX(I34,AI34))</f>
        <v>148.67128314044058</v>
      </c>
      <c r="FN34" s="23">
        <f>IF(CT34&lt;0.6,0.6,IF(CT34&lt;0.8,0.8,IF(CT34&lt;1,1,IF(CT34&lt;1.2,1.2,IF(CT34&lt;1.4,1.4,IF(CT34&lt;1.6,1.6,IF(CT34&lt;1.8,1.8,IF(CT34&lt;2,2,2.2))))))))</f>
        <v>1.4</v>
      </c>
      <c r="FO34" s="23">
        <f>IF(CU34&lt;0.6,0.6,IF(CU34&lt;0.8,0.8,IF(CU34&lt;1,1,IF(CU34&lt;1.2,1.2,IF(CU34&lt;1.4,1.4,IF(CU34&lt;1.6,1.6,IF(CU34&lt;1.8,1.8,IF(CU34&lt;2,2,2.2))))))))</f>
        <v>1</v>
      </c>
      <c r="FP34" s="23">
        <f>IF(CZ34&lt;0.6,0.6,IF(CZ34&lt;0.8,0.8,IF(CZ34&lt;1,1,IF(CZ34&lt;1.2,1.2,IF(CZ34&lt;1.4,1.4,IF(CZ34&lt;1.6,1.6,IF(CZ34&lt;1.8,1.8,IF(CZ34&lt;2,2,2.2))))))))</f>
        <v>1.2</v>
      </c>
      <c r="FQ34" s="23">
        <f>IF(CW34&lt;0.6,0.6,IF(CW34&lt;0.8,0.8,IF(CW34&lt;1,1,IF(CW34&lt;1.2,1.2,IF(CW34&lt;1.4,1.4,IF(CW34&lt;1.6,1.6,IF(CW34&lt;1.8,1.8,IF(CW34&lt;2,2,2.2))))))))</f>
        <v>1.6</v>
      </c>
      <c r="FR34" s="23">
        <f>IF(CX34&lt;0.6,0.6,IF(CX34&lt;0.8,0.8,IF(CX34&lt;1,1,IF(CX34&lt;1.2,1.2,IF(CX34&lt;1.4,1.4,IF(CX34&lt;1.6,1.6,IF(CX34&lt;1.8,1.8,IF(CX34&lt;2,2,2.2))))))))</f>
        <v>2.2000000000000002</v>
      </c>
      <c r="FS34" s="23">
        <f>IF(CY34&lt;0.6,0.6,IF(CY34&lt;0.8,0.8,IF(CY34&lt;1,1,IF(CY34&lt;1.2,1.2,IF(CY34&lt;1.4,1.4,IF(CY34&lt;1.6,1.6,IF(CY34&lt;1.8,1.8,IF(CY34&lt;2,2,2.2))))))))</f>
        <v>1</v>
      </c>
      <c r="FT34" s="23">
        <f>IF(FR34&lt;1,1,0)</f>
        <v>0</v>
      </c>
      <c r="FU34" s="23"/>
      <c r="GE34" s="4">
        <f>IF(R34&gt;=2.5*25.4,1,1.25)</f>
        <v>1.25</v>
      </c>
      <c r="GF34" s="4">
        <f>IF(AN34&gt;1, 0.05*(18-MIN(8,(V34+M34)/M34))*(1-48000/MAX(60000,(I34*145))*(M34/25.4)^0.75*GG34), 1/12*(14-MIN(8,(V34+M34)/M34)))</f>
        <v>0.5</v>
      </c>
      <c r="GG34" s="4">
        <f>MIN(0.3, AL34^2*PI()/4*2*AO34/(M34^2*PI()/4*W34))</f>
        <v>0</v>
      </c>
      <c r="GH34" s="4">
        <f>(J34/25.4)/(M34/25.4)^1.5/0.0024*(L34*145)^0.25/GE34/GF34/145</f>
        <v>322.36544967924146</v>
      </c>
    </row>
    <row r="35" spans="1:190" s="4" customFormat="1" ht="12" customHeight="1" x14ac:dyDescent="0.3">
      <c r="A35" s="25">
        <v>214</v>
      </c>
      <c r="B35" s="24" t="s">
        <v>182</v>
      </c>
      <c r="C35" s="4">
        <v>1996</v>
      </c>
      <c r="D35" s="24" t="s">
        <v>309</v>
      </c>
      <c r="E35" s="24">
        <v>1</v>
      </c>
      <c r="F35" s="24" t="s">
        <v>798</v>
      </c>
      <c r="G35" s="4" t="s">
        <v>348</v>
      </c>
      <c r="H35" s="5">
        <f>J35/M35</f>
        <v>8.3070866141732296</v>
      </c>
      <c r="I35" s="103">
        <v>578</v>
      </c>
      <c r="J35" s="72">
        <f>305-T35-18</f>
        <v>211</v>
      </c>
      <c r="K35" s="72">
        <f>J35</f>
        <v>211</v>
      </c>
      <c r="L35" s="48">
        <v>35.200000000000003</v>
      </c>
      <c r="M35" s="112">
        <v>25.4</v>
      </c>
      <c r="N35" s="7">
        <f>J35/M35</f>
        <v>8.3070866141732296</v>
      </c>
      <c r="O35" s="7">
        <f>K35/M35</f>
        <v>8.3070866141732296</v>
      </c>
      <c r="P35" s="7">
        <v>305</v>
      </c>
      <c r="Q35" s="32">
        <f>R35/M35</f>
        <v>2.9921259842519685</v>
      </c>
      <c r="R35" s="7">
        <v>76</v>
      </c>
      <c r="S35" s="32">
        <f>T35/M35</f>
        <v>2.9921259842519685</v>
      </c>
      <c r="T35" s="7">
        <v>76</v>
      </c>
      <c r="U35" s="32">
        <f>V35/M35</f>
        <v>4.0236220472440944</v>
      </c>
      <c r="V35" s="7">
        <f>P35-2*M35-2*R35</f>
        <v>102.19999999999999</v>
      </c>
      <c r="W35" s="7">
        <v>2</v>
      </c>
      <c r="X35" s="122">
        <f>AM35</f>
        <v>0</v>
      </c>
      <c r="Y35" s="32">
        <f>Z35/M35</f>
        <v>11.023622047244094</v>
      </c>
      <c r="Z35" s="7">
        <f>775-(343+152)</f>
        <v>280</v>
      </c>
      <c r="AA35" s="7">
        <f>MIN(R35/M35+0.5, V35/2/M35+0.5)</f>
        <v>2.5118110236220472</v>
      </c>
      <c r="AB35" s="7">
        <f>R35/M35+0.5</f>
        <v>3.4921259842519685</v>
      </c>
      <c r="AC35" s="7">
        <f>3200/(M35^2*PI()/4)-1</f>
        <v>5.3152807724479523</v>
      </c>
      <c r="AD35" s="7">
        <f>3200/(M35^2*PI()/4)-1</f>
        <v>5.3152807724479523</v>
      </c>
      <c r="AE35" s="7">
        <f>AD35+1</f>
        <v>6.3152807724479523</v>
      </c>
      <c r="AF35" s="7">
        <f>M35*AE35^0.5</f>
        <v>63.830764864229231</v>
      </c>
      <c r="AG35" s="7">
        <f>I35</f>
        <v>578</v>
      </c>
      <c r="AH35" s="7">
        <v>18</v>
      </c>
      <c r="AI35" s="7">
        <f>218*1000/(M35^2*PI()/4)</f>
        <v>430.22850262301677</v>
      </c>
      <c r="AJ35" s="7"/>
      <c r="AK35" s="4">
        <f>CX35</f>
        <v>3.2352044042901307</v>
      </c>
      <c r="AL35" s="7">
        <v>0</v>
      </c>
      <c r="AM35" s="7">
        <v>0</v>
      </c>
      <c r="AN35" s="7">
        <f>K35</f>
        <v>211</v>
      </c>
      <c r="AO35" s="7"/>
      <c r="AP35" s="7"/>
      <c r="AQ35" s="7">
        <f>3*AR35/(V35+M35)</f>
        <v>4.9608150470219439</v>
      </c>
      <c r="AR35" s="4">
        <f>J35</f>
        <v>211</v>
      </c>
      <c r="AS35" s="4">
        <f>IF(J35*3&gt;V35+M35, P35, (R35+M35/2)*2+1.5*J35*(2*W35-2))*(3*J35)/(9*J35^2)</f>
        <v>0.48183254344391785</v>
      </c>
      <c r="AT35" s="4">
        <f>MIN(10*L35^0.5*J35^1.5,100*3.9*L35^0.5*J35^(5/3))/(PI()/4*M35^2)/W35</f>
        <v>179.43522533734807</v>
      </c>
      <c r="AU35" s="4">
        <f>MIN(0.7+0.3*(MIN(R35,Z35)+0.5*M35)/1.5/J35,1)</f>
        <v>0.7840758293838862</v>
      </c>
      <c r="AV35" s="4">
        <v>1.25</v>
      </c>
      <c r="AW35" s="4">
        <f>AW34</f>
        <v>5</v>
      </c>
      <c r="AX35" s="38">
        <f>AS35*AU35*AV35*AW35*AT35</f>
        <v>423.68385716582782</v>
      </c>
      <c r="AY35" s="38">
        <f>AX35</f>
        <v>423.68385716582782</v>
      </c>
      <c r="AZ35" s="38">
        <f>IF(L35&lt;50, 0.3*L35^(2/3), 2.12*LN(1+0.1*(L35+8)))</f>
        <v>3.222179253401551</v>
      </c>
      <c r="BA35" s="38">
        <f>AW35* (L35^0.5/AR35^0.5)/(PI()/4*M35^2)/W35/0.72 *(0.7+(MIN(R35,Z35)+0.5*M35)/5/J35) *(3*P35*J35)</f>
        <v>423.68385716582799</v>
      </c>
      <c r="BB35" s="38">
        <f>AX35/BA35</f>
        <v>0.99999999999999956</v>
      </c>
      <c r="BC35" s="38">
        <f>BG35/BA35</f>
        <v>1.1124513787093893</v>
      </c>
      <c r="BD35" s="4">
        <f>IF(BC35&lt;1,1,0)</f>
        <v>0</v>
      </c>
      <c r="BE35" s="4">
        <f>K35/M35*L35^0.5/0.19</f>
        <v>259.3979081271753</v>
      </c>
      <c r="BF35" s="4">
        <f>MIN(0.6+0.4*(AB35/AA35),2)</f>
        <v>1.1561128526645768</v>
      </c>
      <c r="BG35" s="38">
        <f>2*L35*AA35*AC35^0.5*BF35*0.7/0.7</f>
        <v>471.32769104103733</v>
      </c>
      <c r="BH35" s="4">
        <f>MAX(1-0.7*AD35/5,0.3)</f>
        <v>0.3</v>
      </c>
      <c r="BI35" s="4">
        <f>BH35*I35*K35/(I35*M35/2.75/L35^0.5)</f>
        <v>40.660622098934731</v>
      </c>
      <c r="BJ35" s="4">
        <f>BG35+BI35</f>
        <v>511.98831313997204</v>
      </c>
      <c r="BL35" s="4">
        <f>MIN(1.5, 0.75+0.25*MIN(3,MAX(1,R35/M35))+0.4*MIN(1,(40*2*PI()*AL35^2/4/AN35/W35)/M35))</f>
        <v>1.4980314960629921</v>
      </c>
      <c r="BM35" s="4">
        <f>(3*O35+30)*BL35*L35^0.5</f>
        <v>488.12692869417333</v>
      </c>
      <c r="BO35" s="4">
        <f>3.4/PI()^0.5*L35*AA35*AD35^0.5*BF35</f>
        <v>452.06089532904645</v>
      </c>
      <c r="BP35" s="4">
        <f>8/3*AG35*AH35^2/(AF35-M35-22)/M35*(AF35^2-M35^2)/(AF35^2-(M35+22)^2)</f>
        <v>2245.2309649218914</v>
      </c>
      <c r="BQ35" s="4">
        <f>BP35/BO35</f>
        <v>4.9666560149769889</v>
      </c>
      <c r="BY35" s="4">
        <f>IF(V35=0,R35,MIN(V35/2,R35))</f>
        <v>51.099999999999994</v>
      </c>
      <c r="CC35" s="9"/>
      <c r="CE35" s="9"/>
      <c r="CF35" s="9"/>
      <c r="CG35" s="9">
        <f>IF(V35=0,MIN(R35,T35),MIN(V35/2,R35,T35))</f>
        <v>51.099999999999994</v>
      </c>
      <c r="CH35" s="9">
        <f>MAX(V35/2,R35)</f>
        <v>76</v>
      </c>
      <c r="CI35" s="9">
        <f>(CG35/M35)^0.5*(CH35/CG35)^0.15</f>
        <v>1.5054020239149992</v>
      </c>
      <c r="CJ35" s="70">
        <v>0</v>
      </c>
      <c r="CK35" s="9">
        <f>MIN(PI()*AL35^2/4*AM35*2/W35/M35/MAX(0.01,AN35),0.05)</f>
        <v>0</v>
      </c>
      <c r="CL35" s="9">
        <f>MAX(0,CJ35*(CK35-0.5/50))</f>
        <v>0</v>
      </c>
      <c r="CM35" s="9">
        <f>MIN(1,(25/M35)^0.3)</f>
        <v>0.99524931562137331</v>
      </c>
      <c r="CN35" s="9">
        <f>IF(I35&gt;=800,0.68,IF(I35&gt;=700,0.75-(I35-700)*0.07/100,IF(I35&gt;=600,0.85-(I35-600)*0.1/100,IF(I35&gt;=500,1-(I35-500)*0.15/100,1.2-(I35-400)*0.2/100))))</f>
        <v>0.88300000000000001</v>
      </c>
      <c r="CO35" s="9">
        <f>1.75*CM35*CN35*(L35/25)^0.5</f>
        <v>1.8248701497446835</v>
      </c>
      <c r="CP35" s="9">
        <f>MIN((CI35+CL35)*CO35,2.5*CO35,L35^0.5)</f>
        <v>2.7471632168077145</v>
      </c>
      <c r="CQ35" s="9">
        <v>1</v>
      </c>
      <c r="CR35" s="9">
        <f>4*CP35*O35+60*CP35</f>
        <v>256.1134841496326</v>
      </c>
      <c r="CT35" s="4">
        <f>AI35/BE35</f>
        <v>1.6585658139235577</v>
      </c>
      <c r="CU35" s="4">
        <f>AI35/BJ35</f>
        <v>0.84030922499865146</v>
      </c>
      <c r="CV35" s="4">
        <f>AI35/BM35</f>
        <v>0.88138653561678071</v>
      </c>
      <c r="CW35" s="4">
        <f>AI35/CR35</f>
        <v>1.6798354215963835</v>
      </c>
      <c r="CX35" s="4">
        <f>AI35/DY35</f>
        <v>3.2352044042901307</v>
      </c>
      <c r="CY35" s="4">
        <f>AI35/EK35</f>
        <v>1.1150394683014302</v>
      </c>
      <c r="CZ35" s="4">
        <f>AI35/GH35</f>
        <v>1.3834883569132823</v>
      </c>
      <c r="DB35" s="4">
        <f>CT35</f>
        <v>1.6585658139235577</v>
      </c>
      <c r="DC35" s="4">
        <f>CU35</f>
        <v>0.84030922499865146</v>
      </c>
      <c r="DD35" s="4">
        <f>CW35</f>
        <v>1.6798354215963835</v>
      </c>
      <c r="DE35" s="4">
        <f>CZ35</f>
        <v>1.3834883569132823</v>
      </c>
      <c r="DF35" s="4">
        <f>CX35</f>
        <v>3.2352044042901307</v>
      </c>
      <c r="DG35" s="4">
        <f>CY35</f>
        <v>1.1150394683014302</v>
      </c>
      <c r="DO35" s="4">
        <f>AM35</f>
        <v>0</v>
      </c>
      <c r="DP35" s="4">
        <f>K35</f>
        <v>211</v>
      </c>
      <c r="DS35" s="4">
        <f>J35/4/(1-0.3*(L35/30)^0.5)/200000/M35</f>
        <v>1.5382617175677067E-5</v>
      </c>
      <c r="DT35" s="4">
        <f>EO35</f>
        <v>7.0890752785809319</v>
      </c>
      <c r="DU35" s="4">
        <f>EB35*AF35/257/L35/AC35</f>
        <v>0</v>
      </c>
      <c r="DV35" s="4">
        <f>DT35*DU35^0.4</f>
        <v>0</v>
      </c>
      <c r="DW35" s="4">
        <f>MIN(DT35, DT35/1.4*(1-DU35^1.4)/(1-DU35))</f>
        <v>5.0636251989863803</v>
      </c>
      <c r="DX35" s="4">
        <f>MAX(DT35/2, (4-DS35*(8*AF35*(DV35-DW35)+6*J35*DW35))/(4+DS35*J35*DT35)*DT35)</f>
        <v>6.9448533345563845</v>
      </c>
      <c r="DY35" s="38">
        <f>MIN(1/M35*(4*AF35*(DV35-DW35)+(3*DW35+DX35)*J35)+EB35 -FI35,MAX(I35,AI35))</f>
        <v>132.98340656698556</v>
      </c>
      <c r="DZ35" s="4">
        <f>DY35/FE35</f>
        <v>0.84564318138831907</v>
      </c>
      <c r="EA35" s="4">
        <f>AF35/M35</f>
        <v>2.5130222387491825</v>
      </c>
      <c r="EB35" s="4">
        <f>MIN(EA$10*BA35)</f>
        <v>0</v>
      </c>
      <c r="EF35" s="4">
        <f>IF(T35&gt;1*M35,0.85,1)</f>
        <v>0.85</v>
      </c>
      <c r="EG35" s="4">
        <f>MIN(1,MAX(0.7,(1-0.1*(BY35-1*M35)/M35)))</f>
        <v>0.89881889763779532</v>
      </c>
      <c r="EH35" s="4">
        <f>MIN(1,MAX(0.7,1-0.3*(PI()*AL35^2/4*AP35*2-0.25*PI()/4*M35^2)/(PI()/4*M35^2)))</f>
        <v>1</v>
      </c>
      <c r="EI35" s="4">
        <f>IF(EG35*EH35&lt;0.7,0.7,EG35*EH35)</f>
        <v>0.89881889763779532</v>
      </c>
      <c r="EK35" s="4">
        <f>MIN(DT35/M35*3*J35+EL35-FI35,MAX(I35,AI35))</f>
        <v>385.84150144783257</v>
      </c>
      <c r="EL35" s="25">
        <f>13.3*P35*J35^0.5*L35^0.5/W35/M35^2*(0.7+R35/5/J35)</f>
        <v>209.17281438713454</v>
      </c>
      <c r="EN35" s="4">
        <f>EF35*EI35</f>
        <v>0.76399606299212597</v>
      </c>
      <c r="EO35" s="4">
        <f>IF(M35&lt;22.2,1.1*5*(L35/30)^0.5,IF(M35&gt;=31.8,0.9*5*(L35/30)^0.5,1*5*(L35/30)^0.5))/EF35/EI35</f>
        <v>7.0890752785809319</v>
      </c>
      <c r="ER35" s="4">
        <f>ES35*M35</f>
        <v>63.830764864229231</v>
      </c>
      <c r="ES35" s="4">
        <f>AE35^0.5</f>
        <v>2.5130222387491825</v>
      </c>
      <c r="ET35" s="4">
        <f>MIN(EB35)/(4700*L35^0.5)/AD35*ER35</f>
        <v>0</v>
      </c>
      <c r="EW35" s="4">
        <f>ET35</f>
        <v>0</v>
      </c>
      <c r="EX35" s="4">
        <f>MIN(0.999, EW35/(0.3*(L35/30)^0.5))</f>
        <v>0</v>
      </c>
      <c r="EY35" s="4">
        <f>EO35/1*EX35^0.4</f>
        <v>0</v>
      </c>
      <c r="EZ35" s="4">
        <f>EO35/1.4*(1-EX35^1.4)/(1-EX35)</f>
        <v>5.0636251989863803</v>
      </c>
      <c r="FA35" s="4">
        <f>MAX(0,DP35*FA$9-ER35)</f>
        <v>0</v>
      </c>
      <c r="FB35" s="4">
        <f>MAX(0,DP35-ER35-FA35)</f>
        <v>147.16923513577078</v>
      </c>
      <c r="FC35" s="4">
        <f>FB35/(1-0.3*(L35/30)^0.5)/200000/M35</f>
        <v>4.2916549841341505E-5</v>
      </c>
      <c r="FD35" s="4">
        <f>MAX(0.5*EO35, (1-2*FC35*(ER35*EY35+FA35*EZ35))/(1/EO35+FC35*FB35))</f>
        <v>6.7852678305549503</v>
      </c>
      <c r="FE35" s="4">
        <f>MIN(4/M35*(1*EY35*ER35+EZ35*FA35+FB35*FD35)+EB35,MAX(I35,AI35))</f>
        <v>157.25711445891696</v>
      </c>
      <c r="FN35" s="23">
        <f>IF(CT35&lt;0.6,0.6,IF(CT35&lt;0.8,0.8,IF(CT35&lt;1,1,IF(CT35&lt;1.2,1.2,IF(CT35&lt;1.4,1.4,IF(CT35&lt;1.6,1.6,IF(CT35&lt;1.8,1.8,IF(CT35&lt;2,2,2.2))))))))</f>
        <v>1.8</v>
      </c>
      <c r="FO35" s="23">
        <f>IF(CU35&lt;0.6,0.6,IF(CU35&lt;0.8,0.8,IF(CU35&lt;1,1,IF(CU35&lt;1.2,1.2,IF(CU35&lt;1.4,1.4,IF(CU35&lt;1.6,1.6,IF(CU35&lt;1.8,1.8,IF(CU35&lt;2,2,2.2))))))))</f>
        <v>1</v>
      </c>
      <c r="FP35" s="23">
        <f>IF(CZ35&lt;0.6,0.6,IF(CZ35&lt;0.8,0.8,IF(CZ35&lt;1,1,IF(CZ35&lt;1.2,1.2,IF(CZ35&lt;1.4,1.4,IF(CZ35&lt;1.6,1.6,IF(CZ35&lt;1.8,1.8,IF(CZ35&lt;2,2,2.2))))))))</f>
        <v>1.4</v>
      </c>
      <c r="FQ35" s="23">
        <f>IF(CW35&lt;0.6,0.6,IF(CW35&lt;0.8,0.8,IF(CW35&lt;1,1,IF(CW35&lt;1.2,1.2,IF(CW35&lt;1.4,1.4,IF(CW35&lt;1.6,1.6,IF(CW35&lt;1.8,1.8,IF(CW35&lt;2,2,2.2))))))))</f>
        <v>1.8</v>
      </c>
      <c r="FR35" s="23">
        <f>IF(CX35&lt;0.6,0.6,IF(CX35&lt;0.8,0.8,IF(CX35&lt;1,1,IF(CX35&lt;1.2,1.2,IF(CX35&lt;1.4,1.4,IF(CX35&lt;1.6,1.6,IF(CX35&lt;1.8,1.8,IF(CX35&lt;2,2,2.2))))))))</f>
        <v>2.2000000000000002</v>
      </c>
      <c r="FS35" s="23">
        <f>IF(CY35&lt;0.6,0.6,IF(CY35&lt;0.8,0.8,IF(CY35&lt;1,1,IF(CY35&lt;1.2,1.2,IF(CY35&lt;1.4,1.4,IF(CY35&lt;1.6,1.6,IF(CY35&lt;1.8,1.8,IF(CY35&lt;2,2,2.2))))))))</f>
        <v>1.2</v>
      </c>
      <c r="FT35" s="23">
        <f>IF(FR35&lt;1,1,0)</f>
        <v>0</v>
      </c>
      <c r="FU35" s="23"/>
      <c r="GE35" s="4">
        <f>IF(R35&gt;=2.5*25.4,1,1.25)</f>
        <v>1</v>
      </c>
      <c r="GF35" s="4">
        <f>IF(AN35&gt;1, 0.05*(18-MIN(8,(V35+M35)/M35))*(1-48000/MAX(60000,(I35*145))*(M35/25.4)^0.75*GG35), 1/12*(14-MIN(8,(V35+M35)/M35)))</f>
        <v>0.64881889763779532</v>
      </c>
      <c r="GG35" s="4">
        <f>MIN(0.3, AL35^2*PI()/4*2*AO35/(M35^2*PI()/4*W35))</f>
        <v>0</v>
      </c>
      <c r="GH35" s="4">
        <f>(J35/25.4)/(M35/25.4)^1.5/0.0024*(L35*145)^0.25/GE35/GF35/145</f>
        <v>310.97370677040232</v>
      </c>
    </row>
    <row r="36" spans="1:190" s="4" customFormat="1" ht="12" customHeight="1" x14ac:dyDescent="0.3">
      <c r="A36" s="25">
        <v>215</v>
      </c>
      <c r="B36" s="24" t="s">
        <v>182</v>
      </c>
      <c r="C36" s="4">
        <v>1996</v>
      </c>
      <c r="D36" s="24" t="s">
        <v>309</v>
      </c>
      <c r="E36" s="24"/>
      <c r="F36" s="24" t="s">
        <v>798</v>
      </c>
      <c r="G36" s="4" t="s">
        <v>349</v>
      </c>
      <c r="H36" s="5">
        <f>J36/M36</f>
        <v>8.3070866141732296</v>
      </c>
      <c r="I36" s="103">
        <v>578</v>
      </c>
      <c r="J36" s="72">
        <f>305-T36-18</f>
        <v>211</v>
      </c>
      <c r="K36" s="72">
        <f>J36</f>
        <v>211</v>
      </c>
      <c r="L36" s="48">
        <v>35.200000000000003</v>
      </c>
      <c r="M36" s="112">
        <v>25.4</v>
      </c>
      <c r="N36" s="7">
        <f>J36/M36</f>
        <v>8.3070866141732296</v>
      </c>
      <c r="O36" s="7">
        <f>K36/M36</f>
        <v>8.3070866141732296</v>
      </c>
      <c r="P36" s="7">
        <v>305</v>
      </c>
      <c r="Q36" s="32">
        <f>R36/M36</f>
        <v>2.9921259842519685</v>
      </c>
      <c r="R36" s="7">
        <v>76</v>
      </c>
      <c r="S36" s="32">
        <f>T36/M36</f>
        <v>2.9921259842519685</v>
      </c>
      <c r="T36" s="7">
        <v>76</v>
      </c>
      <c r="U36" s="32">
        <f>V36/M36</f>
        <v>4.0236220472440944</v>
      </c>
      <c r="V36" s="7">
        <f>P36-2*M36-2*R36</f>
        <v>102.19999999999999</v>
      </c>
      <c r="W36" s="7">
        <v>2</v>
      </c>
      <c r="X36" s="122">
        <f>AM36</f>
        <v>0</v>
      </c>
      <c r="Y36" s="32">
        <f>Z36/M36</f>
        <v>11.023622047244094</v>
      </c>
      <c r="Z36" s="7">
        <f>775-(343+152)</f>
        <v>280</v>
      </c>
      <c r="AA36" s="7">
        <f>MIN(R36/M36+0.5, V36/2/M36+0.5)</f>
        <v>2.5118110236220472</v>
      </c>
      <c r="AB36" s="7">
        <f>R36/M36+0.5</f>
        <v>3.4921259842519685</v>
      </c>
      <c r="AC36" s="7">
        <f>1624/(M36^2*PI()/4)-1</f>
        <v>2.205004992017336</v>
      </c>
      <c r="AD36" s="7">
        <f>1624/(M36^2*PI()/4)-1</f>
        <v>2.205004992017336</v>
      </c>
      <c r="AE36" s="7">
        <f>AD36+1</f>
        <v>3.205004992017336</v>
      </c>
      <c r="AF36" s="7">
        <f>M36*AE36^0.5</f>
        <v>45.472420439755616</v>
      </c>
      <c r="AG36" s="7">
        <f>I36</f>
        <v>578</v>
      </c>
      <c r="AH36" s="7">
        <v>18</v>
      </c>
      <c r="AI36" s="7">
        <f>183*1000/(M36^2*PI()/4)</f>
        <v>361.15511917436726</v>
      </c>
      <c r="AJ36" s="7"/>
      <c r="AK36" s="4">
        <f>CX36</f>
        <v>2.4492517867277264</v>
      </c>
      <c r="AL36" s="7">
        <v>0</v>
      </c>
      <c r="AM36" s="7">
        <v>0</v>
      </c>
      <c r="AN36" s="7">
        <f>K36</f>
        <v>211</v>
      </c>
      <c r="AO36" s="7"/>
      <c r="AP36" s="7"/>
      <c r="AQ36" s="7">
        <f>3*AR36/(V36+M36)</f>
        <v>4.9608150470219439</v>
      </c>
      <c r="AR36" s="4">
        <f>J36</f>
        <v>211</v>
      </c>
      <c r="AS36" s="4">
        <f>IF(J36*3&gt;V36+M36, P36, (R36+M36/2)*2+1.5*J36*(2*W36-2))*(3*J36)/(9*J36^2)</f>
        <v>0.48183254344391785</v>
      </c>
      <c r="AT36" s="4">
        <f>MIN(10*L36^0.5*J36^1.5,100*3.9*L36^0.5*J36^(5/3))/(PI()/4*M36^2)/W36</f>
        <v>179.43522533734807</v>
      </c>
      <c r="AU36" s="4">
        <f>MIN(0.7+0.3*(MIN(R36,Z36)+0.5*M36)/1.5/J36,1)</f>
        <v>0.7840758293838862</v>
      </c>
      <c r="AV36" s="4">
        <v>1.25</v>
      </c>
      <c r="AW36" s="4">
        <f>AW35</f>
        <v>5</v>
      </c>
      <c r="AX36" s="38">
        <f>AS36*AU36*AV36*AW36*AT36</f>
        <v>423.68385716582782</v>
      </c>
      <c r="AY36" s="38">
        <f>AX36</f>
        <v>423.68385716582782</v>
      </c>
      <c r="AZ36" s="38">
        <f>IF(L36&lt;50, 0.3*L36^(2/3), 2.12*LN(1+0.1*(L36+8)))</f>
        <v>3.222179253401551</v>
      </c>
      <c r="BA36" s="38">
        <f>AW36* (L36^0.5/AR36^0.5)/(PI()/4*M36^2)/W36/0.72 *(0.7+(MIN(R36,Z36)+0.5*M36)/5/J36) *(3*P36*J36)</f>
        <v>423.68385716582799</v>
      </c>
      <c r="BB36" s="38">
        <f>AX36/BA36</f>
        <v>0.99999999999999956</v>
      </c>
      <c r="BC36" s="38">
        <f>BG36/BA36</f>
        <v>0.71651076857388463</v>
      </c>
      <c r="BD36" s="4">
        <f>IF(BC36&lt;1,1,0)</f>
        <v>1</v>
      </c>
      <c r="BE36" s="4">
        <f>K36/M36*L36^0.5/0.19</f>
        <v>259.3979081271753</v>
      </c>
      <c r="BF36" s="4">
        <f>MIN(0.6+0.4*(AB36/AA36),2)</f>
        <v>1.1561128526645768</v>
      </c>
      <c r="BG36" s="38">
        <f>2*L36*AA36*AC36^0.5*BF36*0.7/0.7</f>
        <v>303.57404613023539</v>
      </c>
      <c r="BH36" s="4">
        <f>MAX(1-0.7*AD36/5,0.3)</f>
        <v>0.69129930111757298</v>
      </c>
      <c r="BI36" s="4">
        <f>BH36*I36*K36/(I36*M36/2.75/L36^0.5)</f>
        <v>93.695532133331071</v>
      </c>
      <c r="BJ36" s="4">
        <f>BG36+BI36</f>
        <v>397.26957826356647</v>
      </c>
      <c r="BL36" s="4">
        <f>MIN(1.5, 0.75+0.25*MIN(3,MAX(1,R36/M36))+0.4*MIN(1,(40*2*PI()*AL36^2/4/AN36/W36)/M36))</f>
        <v>1.4980314960629921</v>
      </c>
      <c r="BM36" s="4">
        <f>(3*O36+30)*BL36*L36^0.5</f>
        <v>488.12692869417333</v>
      </c>
      <c r="BO36" s="4">
        <f>3.4/PI()^0.5*L36*AA36*AD36^0.5*BF36</f>
        <v>291.16463492561229</v>
      </c>
      <c r="BP36" s="4">
        <f>8/3*AG36*AH36^2/(AF36-M36-22)/M36*(AF36^2-M36^2)/(AF36^2-(M36+22)^2)</f>
        <v>81053.819577985545</v>
      </c>
      <c r="BQ36" s="4">
        <f>BP36/BO36</f>
        <v>278.37796852867604</v>
      </c>
      <c r="BY36" s="4">
        <f>IF(V36=0,R36,MIN(V36/2,R36))</f>
        <v>51.099999999999994</v>
      </c>
      <c r="CC36" s="9"/>
      <c r="CE36" s="9"/>
      <c r="CF36" s="9"/>
      <c r="CG36" s="9">
        <f>IF(V36=0,MIN(R36,T36),MIN(V36/2,R36,T36))</f>
        <v>51.099999999999994</v>
      </c>
      <c r="CH36" s="9">
        <f>MAX(V36/2,R36)</f>
        <v>76</v>
      </c>
      <c r="CI36" s="9">
        <f>(CG36/M36)^0.5*(CH36/CG36)^0.15</f>
        <v>1.5054020239149992</v>
      </c>
      <c r="CJ36" s="70">
        <v>0</v>
      </c>
      <c r="CK36" s="9">
        <f>MIN(PI()*AL36^2/4*AM36*2/W36/M36/MAX(0.01,AN36),0.05)</f>
        <v>0</v>
      </c>
      <c r="CL36" s="9">
        <f>MAX(0,CJ36*(CK36-0.5/50))</f>
        <v>0</v>
      </c>
      <c r="CM36" s="9">
        <f>MIN(1,(25/M36)^0.3)</f>
        <v>0.99524931562137331</v>
      </c>
      <c r="CN36" s="9">
        <f>IF(I36&gt;=800,0.68,IF(I36&gt;=700,0.75-(I36-700)*0.07/100,IF(I36&gt;=600,0.85-(I36-600)*0.1/100,IF(I36&gt;=500,1-(I36-500)*0.15/100,1.2-(I36-400)*0.2/100))))</f>
        <v>0.88300000000000001</v>
      </c>
      <c r="CO36" s="9">
        <f>1.75*CM36*CN36*(L36/25)^0.5</f>
        <v>1.8248701497446835</v>
      </c>
      <c r="CP36" s="9">
        <f>MIN((CI36+CL36)*CO36,2.5*CO36,L36^0.5)</f>
        <v>2.7471632168077145</v>
      </c>
      <c r="CQ36" s="9">
        <v>1</v>
      </c>
      <c r="CR36" s="9">
        <f>4*CP36*O36+60*CP36</f>
        <v>256.1134841496326</v>
      </c>
      <c r="CT36" s="4">
        <f>AI36/BE36</f>
        <v>1.392282311688124</v>
      </c>
      <c r="CU36" s="4">
        <f>AI36/BJ36</f>
        <v>0.90909331832794082</v>
      </c>
      <c r="CV36" s="4">
        <f>AI36/BM36</f>
        <v>0.73987952301775617</v>
      </c>
      <c r="CW36" s="4">
        <f>AI36/CR36</f>
        <v>1.4101370740923769</v>
      </c>
      <c r="CX36" s="4">
        <f>AI36/DY36</f>
        <v>2.4492517867277264</v>
      </c>
      <c r="CY36" s="4">
        <f>AI36/EK36</f>
        <v>0.93601937017964099</v>
      </c>
      <c r="CZ36" s="4">
        <f>AI36/GH36</f>
        <v>1.1613686665831682</v>
      </c>
      <c r="DB36" s="4">
        <f>CT36</f>
        <v>1.392282311688124</v>
      </c>
      <c r="DC36" s="4">
        <f>CU36</f>
        <v>0.90909331832794082</v>
      </c>
      <c r="DD36" s="4">
        <f>CW36</f>
        <v>1.4101370740923769</v>
      </c>
      <c r="DE36" s="4">
        <f>CZ36</f>
        <v>1.1613686665831682</v>
      </c>
      <c r="DF36" s="4">
        <f>CX36</f>
        <v>2.4492517867277264</v>
      </c>
      <c r="DG36" s="4">
        <f>CY36</f>
        <v>0.93601937017964099</v>
      </c>
      <c r="DO36" s="4">
        <f>AM36</f>
        <v>0</v>
      </c>
      <c r="DP36" s="4">
        <f>K36</f>
        <v>211</v>
      </c>
      <c r="DS36" s="4">
        <f>J36/4/(1-0.3*(L36/30)^0.5)/200000/M36</f>
        <v>1.5382617175677067E-5</v>
      </c>
      <c r="DT36" s="4">
        <f>EO36</f>
        <v>7.0890752785809319</v>
      </c>
      <c r="DU36" s="4">
        <f>EB36*AF36/257/L36/AC36</f>
        <v>0</v>
      </c>
      <c r="DV36" s="4">
        <f>DT36*DU36^0.4</f>
        <v>0</v>
      </c>
      <c r="DW36" s="4">
        <f>MIN(DT36, DT36/1.4*(1-DU36^1.4)/(1-DU36))</f>
        <v>5.0636251989863803</v>
      </c>
      <c r="DX36" s="4">
        <f>MAX(DT36/2, (4-DS36*(8*AF36*(DV36-DW36)+6*J36*DW36))/(4+DS36*J36*DT36)*DT36)</f>
        <v>6.9246950373975267</v>
      </c>
      <c r="DY36" s="38">
        <f>MIN(1/M36*(4*AF36*(DV36-DW36)+(3*DW36+DX36)*J36)+EB36 -FI36,MAX(I36,AI36))</f>
        <v>147.45528456136446</v>
      </c>
      <c r="DZ36" s="4">
        <f>DY36/FE36</f>
        <v>0.84314439430859234</v>
      </c>
      <c r="EA36" s="4">
        <f>AF36/M36</f>
        <v>1.7902527732187252</v>
      </c>
      <c r="EB36" s="4">
        <f>MIN(EA$10*BA36)</f>
        <v>0</v>
      </c>
      <c r="EF36" s="4">
        <f>IF(T36&gt;1*M36,0.85,1)</f>
        <v>0.85</v>
      </c>
      <c r="EG36" s="4">
        <f>MIN(1,MAX(0.7,(1-0.1*(BY36-1*M36)/M36)))</f>
        <v>0.89881889763779532</v>
      </c>
      <c r="EH36" s="4">
        <f>MIN(1,MAX(0.7,1-0.3*(PI()*AL36^2/4*AP36*2-0.25*PI()/4*M36^2)/(PI()/4*M36^2)))</f>
        <v>1</v>
      </c>
      <c r="EI36" s="4">
        <f>IF(EG36*EH36&lt;0.7,0.7,EG36*EH36)</f>
        <v>0.89881889763779532</v>
      </c>
      <c r="EK36" s="4">
        <f>MIN(DT36/M36*3*J36+EL36-FI36,MAX(I36,AI36))</f>
        <v>385.84150144783257</v>
      </c>
      <c r="EL36" s="25">
        <f>13.3*P36*J36^0.5*L36^0.5/W36/M36^2*(0.7+R36/5/J36)</f>
        <v>209.17281438713454</v>
      </c>
      <c r="EN36" s="4">
        <f>EF36*EI36</f>
        <v>0.76399606299212597</v>
      </c>
      <c r="EO36" s="4">
        <f>IF(M36&lt;22.2,1.1*5*(L36/30)^0.5,IF(M36&gt;=31.8,0.9*5*(L36/30)^0.5,1*5*(L36/30)^0.5))/EF36/EI36</f>
        <v>7.0890752785809319</v>
      </c>
      <c r="ER36" s="4">
        <f>ES36*M36</f>
        <v>45.472420439755616</v>
      </c>
      <c r="ES36" s="4">
        <f>AE36^0.5</f>
        <v>1.7902527732187252</v>
      </c>
      <c r="ET36" s="4">
        <f>MIN(EB36)/(4700*L36^0.5)/AD36*ER36</f>
        <v>0</v>
      </c>
      <c r="EW36" s="4">
        <f>ET36</f>
        <v>0</v>
      </c>
      <c r="EX36" s="4">
        <f>MIN(0.999, EW36/(0.3*(L36/30)^0.5))</f>
        <v>0</v>
      </c>
      <c r="EY36" s="4">
        <f>EO36/1*EX36^0.4</f>
        <v>0</v>
      </c>
      <c r="EZ36" s="4">
        <f>EO36/1.4*(1-EX36^1.4)/(1-EX36)</f>
        <v>5.0636251989863803</v>
      </c>
      <c r="FA36" s="4">
        <f>MAX(0,DP36*FA$9-ER36)</f>
        <v>0</v>
      </c>
      <c r="FB36" s="4">
        <f>MAX(0,DP36-ER36-FA36)</f>
        <v>165.52757956024439</v>
      </c>
      <c r="FC36" s="4">
        <f>FB36/(1-0.3*(L36/30)^0.5)/200000/M36</f>
        <v>4.8270092670932082E-5</v>
      </c>
      <c r="FD36" s="4">
        <f>MAX(0.5*EO36, (1-2*FC36*(ER36*EY36+FA36*EZ36))/(1/EO36+FC36*FB36))</f>
        <v>6.7090610737997141</v>
      </c>
      <c r="FE36" s="4">
        <f>MIN(4/M36*(1*EY36*ER36+EZ36*FA36+FB36*FD36)+EB36,MAX(I36,AI36))</f>
        <v>174.88734498707416</v>
      </c>
      <c r="FN36" s="23">
        <f>IF(CT36&lt;0.6,0.6,IF(CT36&lt;0.8,0.8,IF(CT36&lt;1,1,IF(CT36&lt;1.2,1.2,IF(CT36&lt;1.4,1.4,IF(CT36&lt;1.6,1.6,IF(CT36&lt;1.8,1.8,IF(CT36&lt;2,2,2.2))))))))</f>
        <v>1.4</v>
      </c>
      <c r="FO36" s="23">
        <f>IF(CU36&lt;0.6,0.6,IF(CU36&lt;0.8,0.8,IF(CU36&lt;1,1,IF(CU36&lt;1.2,1.2,IF(CU36&lt;1.4,1.4,IF(CU36&lt;1.6,1.6,IF(CU36&lt;1.8,1.8,IF(CU36&lt;2,2,2.2))))))))</f>
        <v>1</v>
      </c>
      <c r="FP36" s="23">
        <f>IF(CZ36&lt;0.6,0.6,IF(CZ36&lt;0.8,0.8,IF(CZ36&lt;1,1,IF(CZ36&lt;1.2,1.2,IF(CZ36&lt;1.4,1.4,IF(CZ36&lt;1.6,1.6,IF(CZ36&lt;1.8,1.8,IF(CZ36&lt;2,2,2.2))))))))</f>
        <v>1.2</v>
      </c>
      <c r="FQ36" s="23">
        <f>IF(CW36&lt;0.6,0.6,IF(CW36&lt;0.8,0.8,IF(CW36&lt;1,1,IF(CW36&lt;1.2,1.2,IF(CW36&lt;1.4,1.4,IF(CW36&lt;1.6,1.6,IF(CW36&lt;1.8,1.8,IF(CW36&lt;2,2,2.2))))))))</f>
        <v>1.6</v>
      </c>
      <c r="FR36" s="23">
        <f>IF(CX36&lt;0.6,0.6,IF(CX36&lt;0.8,0.8,IF(CX36&lt;1,1,IF(CX36&lt;1.2,1.2,IF(CX36&lt;1.4,1.4,IF(CX36&lt;1.6,1.6,IF(CX36&lt;1.8,1.8,IF(CX36&lt;2,2,2.2))))))))</f>
        <v>2.2000000000000002</v>
      </c>
      <c r="FS36" s="23">
        <f>IF(CY36&lt;0.6,0.6,IF(CY36&lt;0.8,0.8,IF(CY36&lt;1,1,IF(CY36&lt;1.2,1.2,IF(CY36&lt;1.4,1.4,IF(CY36&lt;1.6,1.6,IF(CY36&lt;1.8,1.8,IF(CY36&lt;2,2,2.2))))))))</f>
        <v>1</v>
      </c>
      <c r="FT36" s="23">
        <f>IF(FR36&lt;1,1,0)</f>
        <v>0</v>
      </c>
      <c r="FU36" s="23"/>
      <c r="GE36" s="4">
        <f>IF(R36&gt;=2.5*25.4,1,1.25)</f>
        <v>1</v>
      </c>
      <c r="GF36" s="4">
        <f>IF(AN36&gt;1, 0.05*(18-MIN(8,(V36+M36)/M36))*(1-48000/MAX(60000,(I36*145))*(M36/25.4)^0.75*GG36), 1/12*(14-MIN(8,(V36+M36)/M36)))</f>
        <v>0.64881889763779532</v>
      </c>
      <c r="GG36" s="4">
        <f>MIN(0.3, AL36^2*PI()/4*2*AO36/(M36^2*PI()/4*W36))</f>
        <v>0</v>
      </c>
      <c r="GH36" s="4">
        <f>(J36/25.4)/(M36/25.4)^1.5/0.0024*(L36*145)^0.25/GE36/GF36/145</f>
        <v>310.97370677040232</v>
      </c>
    </row>
    <row r="37" spans="1:190" s="4" customFormat="1" ht="12" customHeight="1" x14ac:dyDescent="0.3">
      <c r="A37" s="25">
        <v>285</v>
      </c>
      <c r="B37" s="4" t="s">
        <v>605</v>
      </c>
      <c r="C37" s="4">
        <v>2016</v>
      </c>
      <c r="D37" s="4" t="s">
        <v>309</v>
      </c>
      <c r="E37" s="24" t="s">
        <v>667</v>
      </c>
      <c r="F37" s="24" t="s">
        <v>799</v>
      </c>
      <c r="G37" s="7" t="s">
        <v>444</v>
      </c>
      <c r="H37" s="5">
        <f>J37/M37</f>
        <v>14.25</v>
      </c>
      <c r="I37" s="91">
        <f>120/0.145</f>
        <v>827.58620689655174</v>
      </c>
      <c r="J37" s="38">
        <f>14.25*25.4</f>
        <v>361.95</v>
      </c>
      <c r="K37" s="4">
        <f>J37</f>
        <v>361.95</v>
      </c>
      <c r="L37" s="38">
        <f>4960/145</f>
        <v>34.206896551724135</v>
      </c>
      <c r="M37" s="96">
        <f>1*25.4</f>
        <v>25.4</v>
      </c>
      <c r="N37" s="7">
        <f>J37/M37</f>
        <v>14.25</v>
      </c>
      <c r="O37" s="7">
        <f>K37/M37</f>
        <v>14.25</v>
      </c>
      <c r="P37" s="38">
        <f>16.9*25.4</f>
        <v>429.25999999999993</v>
      </c>
      <c r="Q37" s="32">
        <f>R37/M37</f>
        <v>2.4500000000000002</v>
      </c>
      <c r="R37" s="38">
        <f>2.45*25.4</f>
        <v>62.230000000000004</v>
      </c>
      <c r="S37" s="32">
        <f>T37/M37</f>
        <v>3.4000000000000004</v>
      </c>
      <c r="T37" s="39">
        <f>3.4*25.4</f>
        <v>86.36</v>
      </c>
      <c r="U37" s="32">
        <f>V37/M37</f>
        <v>4.4999999999999991</v>
      </c>
      <c r="V37" s="7">
        <f>(P37-W37*M37-2*R37)/(W37-1)</f>
        <v>114.29999999999997</v>
      </c>
      <c r="W37" s="38">
        <v>3</v>
      </c>
      <c r="X37" s="122">
        <f>AM37</f>
        <v>0</v>
      </c>
      <c r="Y37" s="32">
        <f>Z37/M37</f>
        <v>10.25</v>
      </c>
      <c r="Z37" s="4">
        <f>10.25*25.4</f>
        <v>260.34999999999997</v>
      </c>
      <c r="AA37" s="7">
        <f>MIN(R37/M37+0.5, V37/2/M37+0.5)</f>
        <v>2.7499999999999996</v>
      </c>
      <c r="AB37" s="7">
        <f>R37/M37+0.5</f>
        <v>2.95</v>
      </c>
      <c r="AC37" s="38">
        <v>9.5</v>
      </c>
      <c r="AD37" s="4">
        <f>AC37</f>
        <v>9.5</v>
      </c>
      <c r="AE37" s="4">
        <f>AD37+1</f>
        <v>10.5</v>
      </c>
      <c r="AF37" s="7">
        <f>M37*AE37^0.5</f>
        <v>82.305406869779816</v>
      </c>
      <c r="AI37" s="38">
        <f>AJ37/0.145</f>
        <v>640.68965517241384</v>
      </c>
      <c r="AJ37" s="4">
        <v>92.9</v>
      </c>
      <c r="AK37" s="4">
        <f>CX37</f>
        <v>2.5812234453150134</v>
      </c>
      <c r="AL37" s="38">
        <v>0</v>
      </c>
      <c r="AM37" s="38">
        <v>0</v>
      </c>
      <c r="AN37" s="39">
        <f>K37</f>
        <v>361.95</v>
      </c>
      <c r="AO37" s="39"/>
      <c r="AP37" s="39"/>
      <c r="AQ37" s="7"/>
      <c r="AR37" s="4">
        <f>J37</f>
        <v>361.95</v>
      </c>
      <c r="AS37" s="4">
        <f>IF(J37*3&gt;V37+M37, P37, (R37+M37/2)*2+1.5*J37*(2*W37-2))*(3*J37)/(9*J37^2)</f>
        <v>0.39532163742690052</v>
      </c>
      <c r="AT37" s="4">
        <f>MIN(10*L37^0.5*J37^1.5,100*3.9*L37^0.5*J37^(5/3))/(PI()/4*M37^2)/W37</f>
        <v>264.94220061382879</v>
      </c>
      <c r="AU37" s="4">
        <f>MIN(0.7+0.3*(MIN(R37,Z37)+0.5*M37)/1.5/J37,1)</f>
        <v>0.74140350877192973</v>
      </c>
      <c r="AV37" s="4">
        <v>1.25</v>
      </c>
      <c r="AW37" s="4">
        <f>AW36</f>
        <v>5</v>
      </c>
      <c r="AX37" s="38">
        <f>AS37*AU37*AV37*AW37*AT37</f>
        <v>485.32915262437871</v>
      </c>
      <c r="AY37" s="38">
        <f>AX37</f>
        <v>485.32915262437871</v>
      </c>
      <c r="AZ37" s="38">
        <f>IF(L37&lt;50, 0.3*L37^(2/3), 2.12*LN(1+0.1*(L37+8)))</f>
        <v>3.1612853899839108</v>
      </c>
      <c r="BA37" s="38">
        <f>AW37* (L37^0.5/AR37^0.5)/(PI()/4*M37^2)/W37/0.72 *(0.7+(MIN(R37,Z37)+0.5*M37)/5/J37) *(3*P37*J37)</f>
        <v>485.32915262437842</v>
      </c>
      <c r="BB37" s="38">
        <f>AX37/BA37</f>
        <v>1.0000000000000007</v>
      </c>
      <c r="BC37" s="38">
        <f>BG37/BA37</f>
        <v>1.2295764283281549</v>
      </c>
      <c r="BD37" s="4">
        <f>IF(BC37&lt;1,1,0)</f>
        <v>0</v>
      </c>
      <c r="BE37" s="4">
        <f>K37/M37*L37^0.5/0.19</f>
        <v>438.64996649201771</v>
      </c>
      <c r="BF37" s="4">
        <f>MIN(0.6+0.4*(AB37/AA37),2)</f>
        <v>1.0290909090909093</v>
      </c>
      <c r="BG37" s="38">
        <f>2*L37*AA37*AC37^0.5*BF37*0.7/0.7</f>
        <v>596.74928604741319</v>
      </c>
      <c r="BH37" s="4">
        <f>MAX(1-0.7*AD37/5,0.3)</f>
        <v>0.3</v>
      </c>
      <c r="BI37" s="4">
        <f>BH37*I37*K37/(I37*M37/2.75/L37^0.5)</f>
        <v>68.758382247623786</v>
      </c>
      <c r="BJ37" s="4">
        <f>BG37+BI37</f>
        <v>665.50766829503698</v>
      </c>
      <c r="BL37" s="4">
        <f>MIN(1.5, 0.75+0.25*MIN(3,MAX(1,R37/M37))+0.4*MIN(1,(40*2*PI()*AL37^2/4/AN37/W37)/M37))</f>
        <v>1.3625</v>
      </c>
      <c r="BM37" s="4">
        <f>(3*O37+30)*BL37*L37^0.5</f>
        <v>579.7307619650129</v>
      </c>
      <c r="BO37" s="4">
        <f>3.4/PI()^0.5*L37*AA37*AD37^0.5*BF37</f>
        <v>572.35554300176852</v>
      </c>
      <c r="BP37" s="4">
        <f>8/3*AG37*AH37^2/(AF37-M37-22)/M37*(AF37^2-M37^2)/(AF37^2-(M37+22)^2)</f>
        <v>0</v>
      </c>
      <c r="BQ37" s="4">
        <f>BP37/BO37</f>
        <v>0</v>
      </c>
      <c r="BY37" s="4">
        <f>IF(V37=0,R37,MIN(V37/2,R37))</f>
        <v>57.149999999999984</v>
      </c>
      <c r="CC37" s="9"/>
      <c r="CE37" s="9"/>
      <c r="CF37" s="9"/>
      <c r="CG37" s="9">
        <f>IF(V37=0,MIN(R37,T37),MIN(V37/2,R37,T37))</f>
        <v>57.149999999999984</v>
      </c>
      <c r="CH37" s="9">
        <f>MAX(V37/2,R37)</f>
        <v>62.230000000000004</v>
      </c>
      <c r="CI37" s="9">
        <f>(CG37/M37)^0.5*(CH37/CG37)^0.15</f>
        <v>1.5192834046120851</v>
      </c>
      <c r="CJ37" s="70">
        <f>IF(AN37&gt;1,20,0)</f>
        <v>20</v>
      </c>
      <c r="CK37" s="9">
        <f>MIN(PI()*AL37^2/4*AM37*2/W37/M37/MAX(0.01,AN37),0.05)</f>
        <v>0</v>
      </c>
      <c r="CL37" s="9">
        <f>MAX(0,CJ37*(CK37-0.5/50))</f>
        <v>0</v>
      </c>
      <c r="CM37" s="9">
        <f>MIN(1,(25/M37)^0.3)</f>
        <v>0.99524931562137331</v>
      </c>
      <c r="CN37" s="9">
        <f>IF(I37&gt;=800,0.68,IF(I37&gt;=700,0.75-(I37-700)*0.07/100,IF(I37&gt;=600,0.85-(I37-600)*0.1/100,IF(I37&gt;=500,1-(I37-500)*0.15/100,1.2-(I37-400)*0.2/100))))</f>
        <v>0.68</v>
      </c>
      <c r="CO37" s="9">
        <f>1.75*CM37*CN37*(L37/25)^0.5</f>
        <v>1.3853696905299668</v>
      </c>
      <c r="CP37" s="9">
        <f>MIN((CI37+CL37)*CO37,2.5*CO37,L37^0.5)</f>
        <v>2.1047691800747588</v>
      </c>
      <c r="CQ37" s="40">
        <v>1</v>
      </c>
      <c r="CR37" s="9">
        <f>4*CP37*O37+60*CP37</f>
        <v>246.25799406874677</v>
      </c>
      <c r="CT37" s="4">
        <f>AI37/BE37</f>
        <v>1.4605943328712707</v>
      </c>
      <c r="CU37" s="4">
        <f>AI37/BJ37</f>
        <v>0.96270814852336062</v>
      </c>
      <c r="CV37" s="4">
        <f>AI37/BM37</f>
        <v>1.1051503511747058</v>
      </c>
      <c r="CW37" s="4">
        <f>AI37/CR37</f>
        <v>2.6017009421166457</v>
      </c>
      <c r="CX37" s="4">
        <f>AI37/DY37</f>
        <v>2.5812234453150134</v>
      </c>
      <c r="CY37" s="4">
        <f>AI37/EK37</f>
        <v>1.1693024959062237</v>
      </c>
      <c r="CZ37" s="4">
        <f>AI37/GH37</f>
        <v>1.4565711461993656</v>
      </c>
      <c r="DA37" s="4">
        <f>AM37</f>
        <v>0</v>
      </c>
      <c r="DB37" s="4">
        <f>CT37</f>
        <v>1.4605943328712707</v>
      </c>
      <c r="DC37" s="4">
        <f>CU37</f>
        <v>0.96270814852336062</v>
      </c>
      <c r="DD37" s="4">
        <f>CW37</f>
        <v>2.6017009421166457</v>
      </c>
      <c r="DE37" s="4">
        <f>CZ37</f>
        <v>1.4565711461993656</v>
      </c>
      <c r="DF37" s="4">
        <f>CX37</f>
        <v>2.5812234453150134</v>
      </c>
      <c r="DG37" s="4">
        <f>CY37</f>
        <v>1.1693024959062237</v>
      </c>
      <c r="DP37" s="4">
        <f>K37</f>
        <v>361.95</v>
      </c>
      <c r="DS37" s="4">
        <f>J37/4/(1-0.3*(L37/30)^0.5)/200000/M37</f>
        <v>2.6208135918027901E-5</v>
      </c>
      <c r="DT37" s="4">
        <f>EO37</f>
        <v>7.1785914172642658</v>
      </c>
      <c r="DU37" s="4">
        <f>EB37*AF37/257/L37/AC37</f>
        <v>0</v>
      </c>
      <c r="DV37" s="4">
        <f>DT37*DU37^0.4</f>
        <v>0</v>
      </c>
      <c r="DW37" s="4">
        <f>MIN(DT37, DT37/1.4*(1-DU37^1.4)/(1-DU37))</f>
        <v>5.1275652980459041</v>
      </c>
      <c r="DX37" s="4">
        <f>MAX(DT37/2, (4-DS37*(8*AF37*(DV37-DW37)+6*J37*DW37))/(4+DS37*J37*DT37)*DT37)</f>
        <v>6.6995822170934227</v>
      </c>
      <c r="DY37" s="38">
        <f>MIN(1/M37*(4*AF37*(DV37-DW37)+(3*DW37+DX37)*J37)+EB37 -FI37,MAX(I37,AI37))</f>
        <v>248.21162086346379</v>
      </c>
      <c r="DZ37" s="4">
        <f>DY37/FE37</f>
        <v>0.91280407044113299</v>
      </c>
      <c r="EA37" s="4">
        <f>AF37/M37</f>
        <v>3.2403703492039297</v>
      </c>
      <c r="EB37" s="4">
        <f>MIN(EA$10*BA37)</f>
        <v>0</v>
      </c>
      <c r="EF37" s="4">
        <f>IF(T37&gt;1*M37,0.85,1)</f>
        <v>0.85</v>
      </c>
      <c r="EG37" s="4">
        <f>MIN(1,MAX(0.7,(1-0.1*(BY37-1*M37)/M37)))</f>
        <v>0.875</v>
      </c>
      <c r="EH37" s="4">
        <f>MIN(1,MAX(0.7,1-0.3*(PI()*AL37^2/4*AP37*2-0.25*PI()/4*M37^2)/(PI()/4*M37^2)))</f>
        <v>1</v>
      </c>
      <c r="EI37" s="4">
        <f>IF(EG37*EH37&lt;0.7,0.7,EG37*EH37)</f>
        <v>0.875</v>
      </c>
      <c r="EK37" s="4">
        <f>MIN(DT37/M37*3*J37+EL37-FI37,MAX(I37,AI37))</f>
        <v>547.92464517564508</v>
      </c>
      <c r="EL37" s="25">
        <f>13.3*P37*J37^0.5*L37^0.5/W37/M37^2*(0.7+R37/5/J37)</f>
        <v>241.03986208759761</v>
      </c>
      <c r="EN37" s="4">
        <f>EF37*EI37</f>
        <v>0.74375000000000002</v>
      </c>
      <c r="EO37" s="4">
        <f>IF(M37&lt;22.2,1.1*5*(L37/30)^0.5,IF(M37&gt;=31.8,0.9*5*(L37/30)^0.5,1*5*(L37/30)^0.5))/EF37/EI37</f>
        <v>7.1785914172642658</v>
      </c>
      <c r="ER37" s="4">
        <f>ES37*M37</f>
        <v>82.305406869779816</v>
      </c>
      <c r="ES37" s="4">
        <f>AE37^0.5</f>
        <v>3.2403703492039302</v>
      </c>
      <c r="ET37" s="4">
        <f>MIN(EB37)/(4700*L37^0.5)/AD37*ER37</f>
        <v>0</v>
      </c>
      <c r="EW37" s="4">
        <f>ET37</f>
        <v>0</v>
      </c>
      <c r="EX37" s="4">
        <f>MIN(0.999, EW37/(0.3*(L37/30)^0.5))</f>
        <v>0</v>
      </c>
      <c r="EY37" s="4">
        <f>EO37/1*EX37^0.4</f>
        <v>0</v>
      </c>
      <c r="EZ37" s="4">
        <f>EO37/1.4*(1-EX37^1.4)/(1-EX37)</f>
        <v>5.1275652980459041</v>
      </c>
      <c r="FA37" s="4">
        <f>MAX(0,DP37*FA$9-ER37)</f>
        <v>0</v>
      </c>
      <c r="FB37" s="4">
        <f>MAX(0,DP37-ER37-FA37)</f>
        <v>279.64459313022019</v>
      </c>
      <c r="FC37" s="4">
        <f>FB37/(1-0.3*(L37/30)^0.5)/200000/M37</f>
        <v>8.0994209205673947E-5</v>
      </c>
      <c r="FD37" s="4">
        <f>MAX(0.5*EO37, (1-2*FC37*(ER37*EY37+FA37*EZ37))/(1/EO37+FC37*FB37))</f>
        <v>6.1746428305233891</v>
      </c>
      <c r="FE37" s="4">
        <f>MIN(4/M37*(1*EY37*ER37+EZ37*FA37+FB37*FD37)+EB37,MAX(I37,AI37))</f>
        <v>271.92212316002269</v>
      </c>
      <c r="FN37" s="23">
        <f>IF(CT37&lt;0.6,0.6,IF(CT37&lt;0.8,0.8,IF(CT37&lt;1,1,IF(CT37&lt;1.2,1.2,IF(CT37&lt;1.4,1.4,IF(CT37&lt;1.6,1.6,IF(CT37&lt;1.8,1.8,IF(CT37&lt;2,2,2.2))))))))</f>
        <v>1.6</v>
      </c>
      <c r="FO37" s="23">
        <f>IF(CU37&lt;0.6,0.6,IF(CU37&lt;0.8,0.8,IF(CU37&lt;1,1,IF(CU37&lt;1.2,1.2,IF(CU37&lt;1.4,1.4,IF(CU37&lt;1.6,1.6,IF(CU37&lt;1.8,1.8,IF(CU37&lt;2,2,2.2))))))))</f>
        <v>1</v>
      </c>
      <c r="FP37" s="23">
        <f>IF(CZ37&lt;0.6,0.6,IF(CZ37&lt;0.8,0.8,IF(CZ37&lt;1,1,IF(CZ37&lt;1.2,1.2,IF(CZ37&lt;1.4,1.4,IF(CZ37&lt;1.6,1.6,IF(CZ37&lt;1.8,1.8,IF(CZ37&lt;2,2,2.2))))))))</f>
        <v>1.6</v>
      </c>
      <c r="FQ37" s="23">
        <f>IF(CW37&lt;0.6,0.6,IF(CW37&lt;0.8,0.8,IF(CW37&lt;1,1,IF(CW37&lt;1.2,1.2,IF(CW37&lt;1.4,1.4,IF(CW37&lt;1.6,1.6,IF(CW37&lt;1.8,1.8,IF(CW37&lt;2,2,2.2))))))))</f>
        <v>2.2000000000000002</v>
      </c>
      <c r="FR37" s="23">
        <f>IF(CX37&lt;0.6,0.6,IF(CX37&lt;0.8,0.8,IF(CX37&lt;1,1,IF(CX37&lt;1.2,1.2,IF(CX37&lt;1.4,1.4,IF(CX37&lt;1.6,1.6,IF(CX37&lt;1.8,1.8,IF(CX37&lt;2,2,2.2))))))))</f>
        <v>2.2000000000000002</v>
      </c>
      <c r="FS37" s="23">
        <f>IF(CY37&lt;0.6,0.6,IF(CY37&lt;0.8,0.8,IF(CY37&lt;1,1,IF(CY37&lt;1.2,1.2,IF(CY37&lt;1.4,1.4,IF(CY37&lt;1.6,1.6,IF(CY37&lt;1.8,1.8,IF(CY37&lt;2,2,2.2))))))))</f>
        <v>1.2</v>
      </c>
      <c r="FT37" s="23">
        <f>IF(FR37&lt;1,1,0)</f>
        <v>0</v>
      </c>
      <c r="FU37" s="23"/>
      <c r="GE37" s="4">
        <f>IF(R37&gt;=2.5*25.4,1,1.25)</f>
        <v>1.25</v>
      </c>
      <c r="GF37" s="4">
        <f>IF(AN37&gt;1, 0.05*(18-MIN(8,(V37+M37)/M37))*(1-48000/MAX(60000,(I37*145))*(M37/25.4)^0.75*GG37), 1/12*(14-MIN(8,(V37+M37)/M37)))</f>
        <v>0.625</v>
      </c>
      <c r="GG37" s="4">
        <f>MIN(0.3, AL37^2*PI()/4*2*AO37/(M37^2*PI()/4*W37))</f>
        <v>0</v>
      </c>
      <c r="GH37" s="4">
        <f>(J37/25.4)/(M37/25.4)^1.5/0.0024*(L37*145)^0.25/GE37/GF37/145</f>
        <v>439.86155900737623</v>
      </c>
    </row>
    <row r="38" spans="1:190" s="4" customFormat="1" ht="12" customHeight="1" x14ac:dyDescent="0.3">
      <c r="A38" s="25">
        <v>281</v>
      </c>
      <c r="B38" s="4" t="s">
        <v>605</v>
      </c>
      <c r="C38" s="4">
        <v>2016</v>
      </c>
      <c r="D38" s="4" t="s">
        <v>309</v>
      </c>
      <c r="E38" s="24" t="s">
        <v>439</v>
      </c>
      <c r="F38" s="24" t="s">
        <v>799</v>
      </c>
      <c r="G38" s="7" t="s">
        <v>440</v>
      </c>
      <c r="H38" s="5">
        <f>J38/M38</f>
        <v>14.38</v>
      </c>
      <c r="I38" s="91">
        <f>120/0.145</f>
        <v>827.58620689655174</v>
      </c>
      <c r="J38" s="38">
        <f>14.38*25.4</f>
        <v>365.25200000000001</v>
      </c>
      <c r="K38" s="4">
        <f>J38</f>
        <v>365.25200000000001</v>
      </c>
      <c r="L38" s="38">
        <f>4970/145</f>
        <v>34.275862068965516</v>
      </c>
      <c r="M38" s="96">
        <f>1*25.4</f>
        <v>25.4</v>
      </c>
      <c r="N38" s="7">
        <f>J38/M38</f>
        <v>14.38</v>
      </c>
      <c r="O38" s="7">
        <f>K38/M38</f>
        <v>14.38</v>
      </c>
      <c r="P38" s="38">
        <f>17*25.4</f>
        <v>431.79999999999995</v>
      </c>
      <c r="Q38" s="32">
        <f>R38/M38</f>
        <v>2.5499999999999998</v>
      </c>
      <c r="R38" s="38">
        <f>2.55*25.4</f>
        <v>64.77</v>
      </c>
      <c r="S38" s="32">
        <f>T38/M38</f>
        <v>3.25</v>
      </c>
      <c r="T38" s="39">
        <f>3.25*25.4</f>
        <v>82.55</v>
      </c>
      <c r="U38" s="32">
        <f>V38/M38</f>
        <v>9.8999999999999986</v>
      </c>
      <c r="V38" s="7">
        <f>(P38-W38*M38-2*R38)/(W38-1)</f>
        <v>251.45999999999995</v>
      </c>
      <c r="W38" s="38">
        <v>2</v>
      </c>
      <c r="X38" s="122">
        <f>AM38</f>
        <v>0</v>
      </c>
      <c r="Y38" s="32">
        <f>Z38/M38</f>
        <v>10.25</v>
      </c>
      <c r="Z38" s="4">
        <f>10.25*25.4</f>
        <v>260.34999999999997</v>
      </c>
      <c r="AA38" s="7">
        <f>MIN(R38/M38+0.5, V38/2/M38+0.5)</f>
        <v>3.05</v>
      </c>
      <c r="AB38" s="7">
        <f>R38/M38+0.5</f>
        <v>3.05</v>
      </c>
      <c r="AC38" s="38">
        <v>9.5</v>
      </c>
      <c r="AD38" s="4">
        <f>AC38</f>
        <v>9.5</v>
      </c>
      <c r="AE38" s="4">
        <f>AD38+1</f>
        <v>10.5</v>
      </c>
      <c r="AF38" s="7">
        <f>M38*AE38^0.5</f>
        <v>82.305406869779816</v>
      </c>
      <c r="AI38" s="38">
        <f>AJ38/0.145</f>
        <v>800</v>
      </c>
      <c r="AJ38" s="4">
        <v>116</v>
      </c>
      <c r="AK38" s="4">
        <f>CX38</f>
        <v>3.0787804518367707</v>
      </c>
      <c r="AL38" s="38">
        <v>0</v>
      </c>
      <c r="AM38" s="38">
        <v>0</v>
      </c>
      <c r="AN38" s="39">
        <f>K38</f>
        <v>365.25200000000001</v>
      </c>
      <c r="AO38" s="39"/>
      <c r="AP38" s="39"/>
      <c r="AQ38" s="7"/>
      <c r="AR38" s="4">
        <f>J38</f>
        <v>365.25200000000001</v>
      </c>
      <c r="AS38" s="4">
        <f>IF(J38*3&gt;V38+M38, P38, (R38+M38/2)*2+1.5*J38*(2*W38-2))*(3*J38)/(9*J38^2)</f>
        <v>0.39406583217431618</v>
      </c>
      <c r="AT38" s="4">
        <f>MIN(10*L38^0.5*J38^1.5,100*3.9*L38^0.5*J38^(5/3))/(PI()/4*M38^2)/W38</f>
        <v>403.26988090113554</v>
      </c>
      <c r="AU38" s="4">
        <f>MIN(0.7+0.3*(MIN(R38,Z38)+0.5*M38)/1.5/J38,1)</f>
        <v>0.74242002781641159</v>
      </c>
      <c r="AV38" s="4">
        <v>1.25</v>
      </c>
      <c r="AW38" s="4">
        <f>AW37</f>
        <v>5</v>
      </c>
      <c r="AX38" s="38">
        <f>AS38*AU38*AV38*AW38*AT38</f>
        <v>737.38494079369718</v>
      </c>
      <c r="AY38" s="38">
        <f>AX38</f>
        <v>737.38494079369718</v>
      </c>
      <c r="AZ38" s="38">
        <f>IF(L38&lt;50, 0.3*L38^(2/3), 2.12*LN(1+0.1*(L38+8)))</f>
        <v>3.1655330029957871</v>
      </c>
      <c r="BA38" s="38">
        <f>AW38* (L38^0.5/AR38^0.5)/(PI()/4*M38^2)/W38/0.72 *(0.7+(MIN(R38,Z38)+0.5*M38)/5/J38) *(3*P38*J38)</f>
        <v>737.38494079369752</v>
      </c>
      <c r="BB38" s="38">
        <f>AX38/BA38</f>
        <v>0.99999999999999956</v>
      </c>
      <c r="BC38" s="38">
        <f>BG38/BA38</f>
        <v>0.87394833669471217</v>
      </c>
      <c r="BD38" s="4">
        <f>IF(BC38&lt;1,1,0)</f>
        <v>1</v>
      </c>
      <c r="BE38" s="4">
        <f>K38/M38*L38^0.5/0.19</f>
        <v>443.0976822581481</v>
      </c>
      <c r="BF38" s="4">
        <f>MIN(0.6+0.4*(AB38/AA38),2)</f>
        <v>1</v>
      </c>
      <c r="BG38" s="38">
        <f>2*L38*AA38*AC38^0.5*BF38*0.7/0.7</f>
        <v>644.43634251038077</v>
      </c>
      <c r="BH38" s="4">
        <f>MAX(1-0.7*AD38/5,0.3)</f>
        <v>0.3</v>
      </c>
      <c r="BI38" s="4">
        <f>BH38*I38*K38/(I38*M38/2.75/L38^0.5)</f>
        <v>69.455561693964725</v>
      </c>
      <c r="BJ38" s="4">
        <f>BG38+BI38</f>
        <v>713.89190420434545</v>
      </c>
      <c r="BL38" s="4">
        <f>MIN(1.5, 0.75+0.25*MIN(3,MAX(1,R38/M38))+0.4*MIN(1,(40*2*PI()*AL38^2/4/AN38/W38)/M38))</f>
        <v>1.3875</v>
      </c>
      <c r="BM38" s="4">
        <f>(3*O38+30)*BL38*L38^0.5</f>
        <v>594.1309013306784</v>
      </c>
      <c r="BO38" s="4">
        <f>3.4/PI()^0.5*L38*AA38*AD38^0.5*BF38</f>
        <v>618.09326189675073</v>
      </c>
      <c r="BP38" s="4">
        <f>8/3*AG38*AH38^2/(AF38-M38-22)/M38*(AF38^2-M38^2)/(AF38^2-(M38+22)^2)</f>
        <v>0</v>
      </c>
      <c r="BQ38" s="4">
        <f>BP38/BO38</f>
        <v>0</v>
      </c>
      <c r="BY38" s="4">
        <f>IF(V38=0,R38,MIN(V38/2,R38))</f>
        <v>64.77</v>
      </c>
      <c r="CC38" s="9"/>
      <c r="CE38" s="9"/>
      <c r="CF38" s="9"/>
      <c r="CG38" s="9">
        <f>IF(V38=0,MIN(R38,T38),MIN(V38/2,R38,T38))</f>
        <v>64.77</v>
      </c>
      <c r="CH38" s="9">
        <f>MAX(V38/2,R38)</f>
        <v>125.72999999999998</v>
      </c>
      <c r="CI38" s="9">
        <f>(CG38/M38)^0.5*(CH38/CG38)^0.15</f>
        <v>1.7639238931775985</v>
      </c>
      <c r="CJ38" s="70">
        <f>IF(AN38&gt;1,20,0)</f>
        <v>20</v>
      </c>
      <c r="CK38" s="9">
        <f>MIN(PI()*AL38^2/4*AM38*2/W38/M38/MAX(0.01,AN38),0.05)</f>
        <v>0</v>
      </c>
      <c r="CL38" s="9">
        <f>MAX(0,CJ38*(CK38-0.5/50))</f>
        <v>0</v>
      </c>
      <c r="CM38" s="9">
        <f>MIN(1,(25/M38)^0.3)</f>
        <v>0.99524931562137331</v>
      </c>
      <c r="CN38" s="9">
        <f>IF(I38&gt;=800,0.68,IF(I38&gt;=700,0.75-(I38-700)*0.07/100,IF(I38&gt;=600,0.85-(I38-600)*0.1/100,IF(I38&gt;=500,1-(I38-500)*0.15/100,1.2-(I38-400)*0.2/100))))</f>
        <v>0.68</v>
      </c>
      <c r="CO38" s="9">
        <f>1.75*CM38*CN38*(L38/25)^0.5</f>
        <v>1.3867655293631655</v>
      </c>
      <c r="CP38" s="9">
        <f>MIN((CI38+CL38)*CO38,2.5*CO38,L38^0.5)</f>
        <v>2.4461488514787684</v>
      </c>
      <c r="CQ38" s="40">
        <v>1</v>
      </c>
      <c r="CR38" s="9">
        <f>4*CP38*O38+60*CP38</f>
        <v>287.47141302578484</v>
      </c>
      <c r="CT38" s="4">
        <f>AI38/BE38</f>
        <v>1.8054709650544303</v>
      </c>
      <c r="CU38" s="4">
        <f>AI38/BJ38</f>
        <v>1.120617834841011</v>
      </c>
      <c r="CV38" s="4">
        <f>AI38/BM38</f>
        <v>1.3465046140644013</v>
      </c>
      <c r="CW38" s="4">
        <f>AI38/CR38</f>
        <v>2.7828854061681736</v>
      </c>
      <c r="CX38" s="4">
        <f>AI38/DY38</f>
        <v>3.0787804518367707</v>
      </c>
      <c r="CY38" s="4">
        <f>AI38/EK38</f>
        <v>1.164038324517964</v>
      </c>
      <c r="CZ38" s="4">
        <f>AI38/GH38</f>
        <v>1.15289897228001</v>
      </c>
      <c r="DA38" s="4">
        <f>AM38</f>
        <v>0</v>
      </c>
      <c r="DB38" s="4">
        <f>CT38</f>
        <v>1.8054709650544303</v>
      </c>
      <c r="DC38" s="4">
        <f>CU38</f>
        <v>1.120617834841011</v>
      </c>
      <c r="DD38" s="4">
        <f>CW38</f>
        <v>2.7828854061681736</v>
      </c>
      <c r="DE38" s="4">
        <f>CZ38</f>
        <v>1.15289897228001</v>
      </c>
      <c r="DF38" s="4">
        <f>CX38</f>
        <v>3.0787804518367707</v>
      </c>
      <c r="DG38" s="4">
        <f>CY38</f>
        <v>1.164038324517964</v>
      </c>
      <c r="DP38" s="4">
        <f>K38</f>
        <v>365.25200000000001</v>
      </c>
      <c r="DS38" s="4">
        <f>J38/4/(1-0.3*(L38/30)^0.5)/200000/M38</f>
        <v>2.6459793328600653E-5</v>
      </c>
      <c r="DT38" s="4">
        <f>EO38</f>
        <v>7.4409422777504419</v>
      </c>
      <c r="DU38" s="4">
        <f>EB38*AF38/257/L38/AC38</f>
        <v>0</v>
      </c>
      <c r="DV38" s="4">
        <f>DT38*DU38^0.4</f>
        <v>0</v>
      </c>
      <c r="DW38" s="4">
        <f>MIN(DT38, DT38/1.4*(1-DU38^1.4)/(1-DU38))</f>
        <v>5.3149587698217449</v>
      </c>
      <c r="DX38" s="4">
        <f>MAX(DT38/2, (4-DS38*(8*AF38*(DV38-DW38)+6*J38*DW38))/(4+DS38*J38*DT38)*DT38)</f>
        <v>6.915546898031173</v>
      </c>
      <c r="DY38" s="38">
        <f>MIN(1/M38*(4*AF38*(DV38-DW38)+(3*DW38+DX38)*J38)+EB38 -FI38,MAX(I38,AI38))</f>
        <v>259.84314650391121</v>
      </c>
      <c r="DZ38" s="4">
        <f>DY38/FE38</f>
        <v>0.91898796759497003</v>
      </c>
      <c r="EA38" s="4">
        <f>AF38/M38</f>
        <v>3.2403703492039297</v>
      </c>
      <c r="EB38" s="4">
        <f>MIN(EA$10*BA38)</f>
        <v>0</v>
      </c>
      <c r="EF38" s="4">
        <f>IF(T38&gt;1*M38,0.85,1)</f>
        <v>0.85</v>
      </c>
      <c r="EG38" s="4">
        <f>MIN(1,MAX(0.7,(1-0.1*(BY38-1*M38)/M38)))</f>
        <v>0.84499999999999997</v>
      </c>
      <c r="EH38" s="4">
        <f>MIN(1,MAX(0.7,1-0.3*(PI()*AL38^2/4*AP38*2-0.25*PI()/4*M38^2)/(PI()/4*M38^2)))</f>
        <v>1</v>
      </c>
      <c r="EI38" s="4">
        <f>IF(EG38*EH38&lt;0.7,0.7,EG38*EH38)</f>
        <v>0.84499999999999997</v>
      </c>
      <c r="EK38" s="4">
        <f>MIN(DT38/M38*3*J38+EL38-FI38,MAX(I38,AI38))</f>
        <v>687.26259535422537</v>
      </c>
      <c r="EL38" s="25">
        <f>13.3*P38*J38^0.5*L38^0.5/W38/M38^2*(0.7+R38/5/J38)</f>
        <v>366.26034549207128</v>
      </c>
      <c r="EN38" s="4">
        <f>EF38*EI38</f>
        <v>0.71824999999999994</v>
      </c>
      <c r="EO38" s="4">
        <f>IF(M38&lt;22.2,1.1*5*(L38/30)^0.5,IF(M38&gt;=31.8,0.9*5*(L38/30)^0.5,1*5*(L38/30)^0.5))/EF38/EI38</f>
        <v>7.4409422777504419</v>
      </c>
      <c r="ER38" s="4">
        <f>ES38*M38</f>
        <v>82.305406869779816</v>
      </c>
      <c r="ES38" s="4">
        <f>AE38^0.5</f>
        <v>3.2403703492039302</v>
      </c>
      <c r="ET38" s="4">
        <f>MIN(EB38)/(4700*L38^0.5)/AD38*ER38</f>
        <v>0</v>
      </c>
      <c r="EW38" s="4">
        <f>ET38</f>
        <v>0</v>
      </c>
      <c r="EX38" s="4">
        <f>MIN(0.999, EW38/(0.3*(L38/30)^0.5))</f>
        <v>0</v>
      </c>
      <c r="EY38" s="4">
        <f>EO38/1*EX38^0.4</f>
        <v>0</v>
      </c>
      <c r="EZ38" s="4">
        <f>EO38/1.4*(1-EX38^1.4)/(1-EX38)</f>
        <v>5.3149587698217449</v>
      </c>
      <c r="FA38" s="4">
        <f>MAX(0,DP38*FA$9-ER38)</f>
        <v>0</v>
      </c>
      <c r="FB38" s="4">
        <f>MAX(0,DP38-ER38-FA38)</f>
        <v>282.94659313022021</v>
      </c>
      <c r="FC38" s="4">
        <f>FB38/(1-0.3*(L38/30)^0.5)/200000/M38</f>
        <v>8.1989512744705395E-5</v>
      </c>
      <c r="FD38" s="4">
        <f>MAX(0.5*EO38, (1-2*FC38*(ER38*EY38+FA38*EZ38))/(1/EO38+FC38*FB38))</f>
        <v>6.3455708516574987</v>
      </c>
      <c r="FE38" s="4">
        <f>MIN(4/M38*(1*EY38*ER38+EZ38*FA38+FB38*FD38)+EB38,MAX(I38,AI38))</f>
        <v>282.74923684140458</v>
      </c>
      <c r="FN38" s="23">
        <f>IF(CT38&lt;0.6,0.6,IF(CT38&lt;0.8,0.8,IF(CT38&lt;1,1,IF(CT38&lt;1.2,1.2,IF(CT38&lt;1.4,1.4,IF(CT38&lt;1.6,1.6,IF(CT38&lt;1.8,1.8,IF(CT38&lt;2,2,2.2))))))))</f>
        <v>2</v>
      </c>
      <c r="FO38" s="23">
        <f>IF(CU38&lt;0.6,0.6,IF(CU38&lt;0.8,0.8,IF(CU38&lt;1,1,IF(CU38&lt;1.2,1.2,IF(CU38&lt;1.4,1.4,IF(CU38&lt;1.6,1.6,IF(CU38&lt;1.8,1.8,IF(CU38&lt;2,2,2.2))))))))</f>
        <v>1.2</v>
      </c>
      <c r="FP38" s="23">
        <f>IF(CZ38&lt;0.6,0.6,IF(CZ38&lt;0.8,0.8,IF(CZ38&lt;1,1,IF(CZ38&lt;1.2,1.2,IF(CZ38&lt;1.4,1.4,IF(CZ38&lt;1.6,1.6,IF(CZ38&lt;1.8,1.8,IF(CZ38&lt;2,2,2.2))))))))</f>
        <v>1.2</v>
      </c>
      <c r="FQ38" s="23">
        <f>IF(CW38&lt;0.6,0.6,IF(CW38&lt;0.8,0.8,IF(CW38&lt;1,1,IF(CW38&lt;1.2,1.2,IF(CW38&lt;1.4,1.4,IF(CW38&lt;1.6,1.6,IF(CW38&lt;1.8,1.8,IF(CW38&lt;2,2,2.2))))))))</f>
        <v>2.2000000000000002</v>
      </c>
      <c r="FR38" s="23">
        <f>IF(CX38&lt;0.6,0.6,IF(CX38&lt;0.8,0.8,IF(CX38&lt;1,1,IF(CX38&lt;1.2,1.2,IF(CX38&lt;1.4,1.4,IF(CX38&lt;1.6,1.6,IF(CX38&lt;1.8,1.8,IF(CX38&lt;2,2,2.2))))))))</f>
        <v>2.2000000000000002</v>
      </c>
      <c r="FS38" s="23">
        <f>IF(CY38&lt;0.6,0.6,IF(CY38&lt;0.8,0.8,IF(CY38&lt;1,1,IF(CY38&lt;1.2,1.2,IF(CY38&lt;1.4,1.4,IF(CY38&lt;1.6,1.6,IF(CY38&lt;1.8,1.8,IF(CY38&lt;2,2,2.2))))))))</f>
        <v>1.2</v>
      </c>
      <c r="FT38" s="23">
        <f>IF(FR38&lt;1,1,0)</f>
        <v>0</v>
      </c>
      <c r="FU38" s="23"/>
      <c r="GE38" s="4">
        <f>IF(R38&gt;=2.5*25.4,1,1.25)</f>
        <v>1</v>
      </c>
      <c r="GF38" s="4">
        <f>IF(AN38&gt;1, 0.05*(18-MIN(8,(V38+M38)/M38))*(1-48000/MAX(60000,(I38*145))*(M38/25.4)^0.75*GG38), 1/12*(14-MIN(8,(V38+M38)/M38)))</f>
        <v>0.5</v>
      </c>
      <c r="GG38" s="4">
        <f>MIN(0.3, AL38^2*PI()/4*2*AO38/(M38^2*PI()/4*W38))</f>
        <v>0</v>
      </c>
      <c r="GH38" s="4">
        <f>(J38/25.4)/(M38/25.4)^1.5/0.0024*(L38*145)^0.25/GE38/GF38/145</f>
        <v>693.90295180669159</v>
      </c>
    </row>
    <row r="39" spans="1:190" s="4" customFormat="1" ht="12" customHeight="1" x14ac:dyDescent="0.3">
      <c r="A39" s="25">
        <v>231</v>
      </c>
      <c r="B39" s="4" t="s">
        <v>605</v>
      </c>
      <c r="C39" s="4">
        <v>2016</v>
      </c>
      <c r="D39" s="4" t="s">
        <v>309</v>
      </c>
      <c r="E39" s="24" t="s">
        <v>661</v>
      </c>
      <c r="F39" s="24" t="s">
        <v>799</v>
      </c>
      <c r="G39" s="4" t="s">
        <v>384</v>
      </c>
      <c r="H39" s="5">
        <f>J39/M39</f>
        <v>15.28</v>
      </c>
      <c r="I39" s="91">
        <f>120/0.145</f>
        <v>827.58620689655174</v>
      </c>
      <c r="J39" s="38">
        <f>15.28*25.4</f>
        <v>388.11199999999997</v>
      </c>
      <c r="K39" s="4">
        <f>J39</f>
        <v>388.11199999999997</v>
      </c>
      <c r="L39" s="89">
        <f>5070/145</f>
        <v>34.96551724137931</v>
      </c>
      <c r="M39" s="96">
        <f>1*25.4</f>
        <v>25.4</v>
      </c>
      <c r="N39" s="7">
        <f>J39/M39</f>
        <v>15.28</v>
      </c>
      <c r="O39" s="7">
        <f>K39/M39</f>
        <v>15.28</v>
      </c>
      <c r="P39" s="38">
        <f>19.6*25.4</f>
        <v>497.84000000000003</v>
      </c>
      <c r="Q39" s="32">
        <f>R39/M39</f>
        <v>3.85</v>
      </c>
      <c r="R39" s="38">
        <f>3.85*25.4</f>
        <v>97.789999999999992</v>
      </c>
      <c r="S39" s="32">
        <f>T39/M39</f>
        <v>3.5</v>
      </c>
      <c r="T39" s="39">
        <f>3.5*25.4</f>
        <v>88.899999999999991</v>
      </c>
      <c r="U39" s="32">
        <f>V39/M39</f>
        <v>9.9000000000000021</v>
      </c>
      <c r="V39" s="7">
        <f>(P39-W39*M39-2*R39)/(W39-1)</f>
        <v>251.46000000000004</v>
      </c>
      <c r="W39" s="38">
        <v>2</v>
      </c>
      <c r="X39" s="122">
        <f>AM39</f>
        <v>0</v>
      </c>
      <c r="Y39" s="32">
        <f>Z39/M39</f>
        <v>10.25</v>
      </c>
      <c r="Z39" s="4">
        <f>10.25*25.4</f>
        <v>260.34999999999997</v>
      </c>
      <c r="AA39" s="7">
        <f>MIN(R39/M39+0.5, V39/2/M39+0.5)</f>
        <v>4.3499999999999996</v>
      </c>
      <c r="AB39" s="7">
        <f>R39/M39+0.5</f>
        <v>4.3499999999999996</v>
      </c>
      <c r="AC39" s="38">
        <v>4</v>
      </c>
      <c r="AD39" s="4">
        <f>AC39</f>
        <v>4</v>
      </c>
      <c r="AE39" s="4">
        <f>AD39+1</f>
        <v>5</v>
      </c>
      <c r="AF39" s="7">
        <f>M39*AE39^0.5</f>
        <v>56.796126628494655</v>
      </c>
      <c r="AI39" s="38">
        <f>120.8/0.145</f>
        <v>833.10344827586209</v>
      </c>
      <c r="AK39" s="4">
        <f>CX39</f>
        <v>2.3438853373202839</v>
      </c>
      <c r="AL39" s="38">
        <v>0</v>
      </c>
      <c r="AM39" s="38">
        <v>0</v>
      </c>
      <c r="AN39" s="39">
        <f>K39</f>
        <v>388.11199999999997</v>
      </c>
      <c r="AO39" s="39"/>
      <c r="AP39" s="39"/>
      <c r="AR39" s="4">
        <f>J39</f>
        <v>388.11199999999997</v>
      </c>
      <c r="AS39" s="4">
        <f>IF(J39*3&gt;V39+M39, P39, (R39+M39/2)*2+1.5*J39*(2*W39-2))*(3*J39)/(9*J39^2)</f>
        <v>0.42757417102966838</v>
      </c>
      <c r="AT39" s="4">
        <f>MIN(10*L39^0.5*J39^1.5,100*3.9*L39^0.5*J39^(5/3))/(PI()/4*M39^2)/W39</f>
        <v>446.1370328547896</v>
      </c>
      <c r="AU39" s="4">
        <f>MIN(0.7+0.3*(MIN(R39,Z39)+0.5*M39)/1.5/J39,1)</f>
        <v>0.75693717277486905</v>
      </c>
      <c r="AV39" s="4">
        <v>1.25</v>
      </c>
      <c r="AW39" s="4">
        <f>AW38</f>
        <v>5</v>
      </c>
      <c r="AX39" s="38">
        <f>AS39*AU39*AV39*AW39*AT39</f>
        <v>902.44259989334591</v>
      </c>
      <c r="AY39" s="38">
        <f>AX39</f>
        <v>902.44259989334591</v>
      </c>
      <c r="AZ39" s="38">
        <f>IF(L39&lt;50, 0.3*L39^(2/3), 2.12*LN(1+0.1*(L39+8)))</f>
        <v>3.2078537456295186</v>
      </c>
      <c r="BA39" s="38">
        <f>AW39* (L39^0.5/AR39^0.5)/(PI()/4*M39^2)/W39/0.72 *(0.7+(MIN(R39,Z39)+0.5*M39)/5/J39) *(3*P39*J39)</f>
        <v>902.44259989334705</v>
      </c>
      <c r="BB39" s="38">
        <f>AX39/BA39</f>
        <v>0.99999999999999878</v>
      </c>
      <c r="BC39" s="38">
        <f>BG39/BA39</f>
        <v>0.67417030188058746</v>
      </c>
      <c r="BD39" s="4">
        <f>IF(BC39&lt;1,1,0)</f>
        <v>1</v>
      </c>
      <c r="BE39" s="4">
        <f>K39/M39*L39^0.5/0.19</f>
        <v>475.54293276793692</v>
      </c>
      <c r="BF39" s="4">
        <f>MIN(0.6+0.4*(AB39/AA39),2)</f>
        <v>1</v>
      </c>
      <c r="BG39" s="38">
        <f>2*L39*AA39*AC39^0.5*BF39*0.7/0.7</f>
        <v>608.4</v>
      </c>
      <c r="BH39" s="4">
        <f>MAX(1-0.7*AD39/5,0.3)</f>
        <v>0.44000000000000006</v>
      </c>
      <c r="BI39" s="4">
        <f>BH39*I39*K39/(I39*M39/2.75/L39^0.5)</f>
        <v>109.32732024334872</v>
      </c>
      <c r="BJ39" s="4">
        <f>BG39+BI39</f>
        <v>717.72732024334869</v>
      </c>
      <c r="BL39" s="4">
        <f>MIN(1.5, 0.75+0.25*MIN(3,MAX(1,R39/M39))+0.4*MIN(1,(40*2*PI()*AL39^2/4/AN39/W39)/M39))</f>
        <v>1.5</v>
      </c>
      <c r="BM39" s="4">
        <f>(3*O39+30)*BL39*L39^0.5</f>
        <v>672.68162081278126</v>
      </c>
      <c r="BO39" s="4">
        <f>3.4/PI()^0.5*L39*AA39*AD39^0.5*BF39</f>
        <v>583.53000247177329</v>
      </c>
      <c r="BP39" s="4">
        <f>8/3*AG39*AH39^2/(AF39-M39-22)/M39*(AF39^2-M39^2)/(AF39^2-(M39+22)^2)</f>
        <v>0</v>
      </c>
      <c r="BQ39" s="4">
        <f>BP39/BO39</f>
        <v>0</v>
      </c>
      <c r="BY39" s="4">
        <f>IF(V39=0,R39,MIN(V39/2,R39))</f>
        <v>97.789999999999992</v>
      </c>
      <c r="CG39" s="9">
        <f>IF(V39=0,MIN(R39,T39),MIN(V39/2,R39,T39))</f>
        <v>88.899999999999991</v>
      </c>
      <c r="CH39" s="9">
        <f>MAX(V39/2,R39)</f>
        <v>125.73000000000002</v>
      </c>
      <c r="CI39" s="9">
        <f>(CG39/M39)^0.5*(CH39/CG39)^0.15</f>
        <v>1.9706731314151338</v>
      </c>
      <c r="CJ39" s="70">
        <f>IF(AN39&gt;1,20,0)</f>
        <v>20</v>
      </c>
      <c r="CK39" s="9">
        <f>MIN(PI()*AL39^2/4*AM39*2/W39/M39/MAX(0.01,AN39),0.05)</f>
        <v>0</v>
      </c>
      <c r="CL39" s="9">
        <f>MAX(0,CJ39*(CK39-0.5/50))</f>
        <v>0</v>
      </c>
      <c r="CM39" s="9">
        <f>MIN(1,(25/M39)^0.3)</f>
        <v>0.99524931562137331</v>
      </c>
      <c r="CN39" s="9">
        <f>IF(I39&gt;=800,0.68,IF(I39&gt;=700,0.75-(I39-700)*0.07/100,IF(I39&gt;=600,0.85-(I39-600)*0.1/100,IF(I39&gt;=500,1-(I39-500)*0.15/100,1.2-(I39-400)*0.2/100))))</f>
        <v>0.68</v>
      </c>
      <c r="CO39" s="9">
        <f>1.75*CM39*CN39*(L39/25)^0.5</f>
        <v>1.4006474122126336</v>
      </c>
      <c r="CP39" s="9">
        <f>MIN((CI39+CL39)*CO39,2.5*CO39,L39^0.5)</f>
        <v>2.7602182218335742</v>
      </c>
      <c r="CQ39" s="40">
        <v>1</v>
      </c>
      <c r="CR39" s="9">
        <f>4*CP39*O39+60*CP39</f>
        <v>334.31763102848254</v>
      </c>
      <c r="CT39" s="4">
        <f>AI39/BE39</f>
        <v>1.7518995465387628</v>
      </c>
      <c r="CU39" s="4">
        <f>AI39/BJ39</f>
        <v>1.1607520360147285</v>
      </c>
      <c r="CV39" s="4">
        <f>AI39/BM39</f>
        <v>1.2384810622137228</v>
      </c>
      <c r="CW39" s="4">
        <f>AI39/CR39</f>
        <v>2.4919518773596629</v>
      </c>
      <c r="CX39" s="4">
        <f>AI39/DY39</f>
        <v>2.3438853373202839</v>
      </c>
      <c r="CY39" s="4">
        <f>AI39/EK39</f>
        <v>1</v>
      </c>
      <c r="CZ39" s="4">
        <f>AI39/GH39</f>
        <v>1.1242757318376362</v>
      </c>
      <c r="DA39" s="4">
        <f>AM39</f>
        <v>0</v>
      </c>
      <c r="DB39" s="4">
        <f>CT39</f>
        <v>1.7518995465387628</v>
      </c>
      <c r="DC39" s="4">
        <f>CU39</f>
        <v>1.1607520360147285</v>
      </c>
      <c r="DD39" s="4">
        <f>CW39</f>
        <v>2.4919518773596629</v>
      </c>
      <c r="DE39" s="4">
        <f>CZ39</f>
        <v>1.1242757318376362</v>
      </c>
      <c r="DF39" s="4">
        <f>CX39</f>
        <v>2.3438853373202839</v>
      </c>
      <c r="DG39" s="4">
        <f>CY39</f>
        <v>1</v>
      </c>
      <c r="DP39" s="4">
        <f>K39</f>
        <v>388.11199999999997</v>
      </c>
      <c r="DS39" s="4">
        <f>J39/4/(1-0.3*(L39/30)^0.5)/200000/M39</f>
        <v>2.824931335368085E-5</v>
      </c>
      <c r="DT39" s="4">
        <f>EO39</f>
        <v>8.8818695030737906</v>
      </c>
      <c r="DU39" s="4">
        <f>EB39*AF39/257/L39/AC39</f>
        <v>0</v>
      </c>
      <c r="DV39" s="4">
        <f>DT39*DU39^0.4</f>
        <v>0</v>
      </c>
      <c r="DW39" s="4">
        <f>MIN(DT39, DT39/1.4*(1-DU39^1.4)/(1-DU39))</f>
        <v>6.3441925021955647</v>
      </c>
      <c r="DX39" s="4">
        <f>MAX(DT39/2, (4-DS39*(8*AF39*(DV39-DW39)+6*J39*DW39))/(4+DS39*J39*DT39)*DT39)</f>
        <v>7.9426273186471574</v>
      </c>
      <c r="DY39" s="38">
        <f>MIN(1/M39*(4*AF39*(DV39-DW39)+(3*DW39+DX39)*J39)+EB39 -FI39,MAX(I39,AI39))</f>
        <v>355.43694694055819</v>
      </c>
      <c r="DZ39" s="4">
        <f>DY39/FE39</f>
        <v>0.98470543581130421</v>
      </c>
      <c r="EA39" s="4">
        <f>AF39/M39</f>
        <v>2.2360679774997898</v>
      </c>
      <c r="EB39" s="4">
        <f>MIN(EA$10*BA39)</f>
        <v>0</v>
      </c>
      <c r="EF39" s="4">
        <f>IF(T39&gt;1*M39,0.85,1)</f>
        <v>0.85</v>
      </c>
      <c r="EG39" s="4">
        <f>MIN(1,MAX(0.7,(1-0.1*(BY39-1*M39)/M39)))</f>
        <v>0.71500000000000008</v>
      </c>
      <c r="EH39" s="4">
        <f>MIN(1,MAX(0.7,1-0.3*(PI()*AL39^2/4*AP39*2-0.25*PI()/4*M39^2)/(PI()/4*M39^2)))</f>
        <v>1</v>
      </c>
      <c r="EI39" s="4">
        <f>IF(EG39*EH39&lt;0.7,0.7,EG39*EH39)</f>
        <v>0.71500000000000008</v>
      </c>
      <c r="EK39" s="4">
        <f>MIN(DT39/M39*3*J39+EL39-FI39,MAX(I39,AI39))</f>
        <v>833.10344827586209</v>
      </c>
      <c r="EL39" s="25">
        <f>13.3*P39*J39^0.5*L39^0.5/W39/M39^2*(0.7+R39/5/J39)</f>
        <v>448.57090093705455</v>
      </c>
      <c r="EN39" s="4">
        <f>EF39*EI39</f>
        <v>0.60775000000000001</v>
      </c>
      <c r="EO39" s="4">
        <f>IF(M39&lt;22.2,1.1*5*(L39/30)^0.5,IF(M39&gt;=31.8,0.9*5*(L39/30)^0.5,1*5*(L39/30)^0.5))/EF39/EI39</f>
        <v>8.8818695030737906</v>
      </c>
      <c r="ER39" s="4">
        <f>ES39*M39</f>
        <v>56.796126628494655</v>
      </c>
      <c r="ES39" s="4">
        <f>AE39^0.5</f>
        <v>2.2360679774997898</v>
      </c>
      <c r="ET39" s="4">
        <f>MIN(EB39)/(4700*L39^0.5)/AD39*ER39</f>
        <v>0</v>
      </c>
      <c r="EW39" s="4">
        <f>ET39</f>
        <v>0</v>
      </c>
      <c r="EX39" s="4">
        <f>MIN(0.999, EW39/(0.3*(L39/30)^0.5))</f>
        <v>0</v>
      </c>
      <c r="EY39" s="4">
        <f>EO39/1*EX39^0.4</f>
        <v>0</v>
      </c>
      <c r="EZ39" s="4">
        <f>EO39/1.4*(1-EX39^1.4)/(1-EX39)</f>
        <v>6.3441925021955647</v>
      </c>
      <c r="FA39" s="4">
        <f>MAX(0,DP39*FA$9-ER39)</f>
        <v>0</v>
      </c>
      <c r="FB39" s="4">
        <f>MAX(0,DP39-ER39-FA39)</f>
        <v>331.31587337150529</v>
      </c>
      <c r="FC39" s="4">
        <f>FB39/(1-0.3*(L39/30)^0.5)/200000/M39</f>
        <v>9.6461288761183364E-5</v>
      </c>
      <c r="FD39" s="4">
        <f>MAX(0.5*EO39, (1-2*FC39*(ER39*EY39+FA39*EZ39))/(1/EO39+FC39*FB39))</f>
        <v>6.9181140330536248</v>
      </c>
      <c r="FE39" s="4">
        <f>MIN(4/M39*(1*EY39*ER39+EZ39*FA39+FB39*FD39)+EB39,MAX(I39,AI39))</f>
        <v>360.95763668422501</v>
      </c>
      <c r="FN39" s="23">
        <f>IF(CT39&lt;0.6,0.6,IF(CT39&lt;0.8,0.8,IF(CT39&lt;1,1,IF(CT39&lt;1.2,1.2,IF(CT39&lt;1.4,1.4,IF(CT39&lt;1.6,1.6,IF(CT39&lt;1.8,1.8,IF(CT39&lt;2,2,2.2))))))))</f>
        <v>1.8</v>
      </c>
      <c r="FO39" s="23">
        <f>IF(CU39&lt;0.6,0.6,IF(CU39&lt;0.8,0.8,IF(CU39&lt;1,1,IF(CU39&lt;1.2,1.2,IF(CU39&lt;1.4,1.4,IF(CU39&lt;1.6,1.6,IF(CU39&lt;1.8,1.8,IF(CU39&lt;2,2,2.2))))))))</f>
        <v>1.2</v>
      </c>
      <c r="FP39" s="23">
        <f>IF(CZ39&lt;0.6,0.6,IF(CZ39&lt;0.8,0.8,IF(CZ39&lt;1,1,IF(CZ39&lt;1.2,1.2,IF(CZ39&lt;1.4,1.4,IF(CZ39&lt;1.6,1.6,IF(CZ39&lt;1.8,1.8,IF(CZ39&lt;2,2,2.2))))))))</f>
        <v>1.2</v>
      </c>
      <c r="FQ39" s="23">
        <f>IF(CW39&lt;0.6,0.6,IF(CW39&lt;0.8,0.8,IF(CW39&lt;1,1,IF(CW39&lt;1.2,1.2,IF(CW39&lt;1.4,1.4,IF(CW39&lt;1.6,1.6,IF(CW39&lt;1.8,1.8,IF(CW39&lt;2,2,2.2))))))))</f>
        <v>2.2000000000000002</v>
      </c>
      <c r="FR39" s="23">
        <f>IF(CX39&lt;0.6,0.6,IF(CX39&lt;0.8,0.8,IF(CX39&lt;1,1,IF(CX39&lt;1.2,1.2,IF(CX39&lt;1.4,1.4,IF(CX39&lt;1.6,1.6,IF(CX39&lt;1.8,1.8,IF(CX39&lt;2,2,2.2))))))))</f>
        <v>2.2000000000000002</v>
      </c>
      <c r="FS39" s="23">
        <f>IF(CY39&lt;0.6,0.6,IF(CY39&lt;0.8,0.8,IF(CY39&lt;1,1,IF(CY39&lt;1.2,1.2,IF(CY39&lt;1.4,1.4,IF(CY39&lt;1.6,1.6,IF(CY39&lt;1.8,1.8,IF(CY39&lt;2,2,2.2))))))))</f>
        <v>1.2</v>
      </c>
      <c r="FT39" s="23">
        <f>IF(FR39&lt;1,1,0)</f>
        <v>0</v>
      </c>
      <c r="GE39" s="4">
        <f>IF(R39&gt;=2.5*25.4,1,1.25)</f>
        <v>1</v>
      </c>
      <c r="GF39" s="4">
        <f>IF(AN39&gt;1, 0.05*(18-MIN(8,(V39+M39)/M39))*(1-48000/MAX(60000,(I39*145))*(M39/25.4)^0.75*GG39), 1/12*(14-MIN(8,(V39+M39)/M39)))</f>
        <v>0.5</v>
      </c>
      <c r="GG39" s="4">
        <f>MIN(0.3, AL39^2*PI()/4*2*AO39/(M39^2*PI()/4*W39))</f>
        <v>0</v>
      </c>
      <c r="GH39" s="4">
        <f>(J39/25.4)/(M39/25.4)^1.5/0.0024*(L39*145)^0.25/GE39/GF39/145</f>
        <v>741.0134584281642</v>
      </c>
    </row>
    <row r="40" spans="1:190" s="4" customFormat="1" ht="12" customHeight="1" x14ac:dyDescent="0.3">
      <c r="A40" s="25">
        <v>230</v>
      </c>
      <c r="B40" s="4" t="s">
        <v>605</v>
      </c>
      <c r="C40" s="4">
        <v>2016</v>
      </c>
      <c r="D40" s="4" t="s">
        <v>309</v>
      </c>
      <c r="E40" s="24" t="s">
        <v>661</v>
      </c>
      <c r="F40" s="24" t="s">
        <v>799</v>
      </c>
      <c r="G40" s="4" t="s">
        <v>753</v>
      </c>
      <c r="H40" s="5">
        <f>J40/M40</f>
        <v>15.749999999999998</v>
      </c>
      <c r="I40" s="91">
        <f>120/0.145</f>
        <v>827.58620689655174</v>
      </c>
      <c r="J40" s="38">
        <f>15.75*25.4</f>
        <v>400.04999999999995</v>
      </c>
      <c r="K40" s="4">
        <f>J40</f>
        <v>400.04999999999995</v>
      </c>
      <c r="L40" s="89">
        <f>4850/145</f>
        <v>33.448275862068968</v>
      </c>
      <c r="M40" s="96">
        <f>1*25.4</f>
        <v>25.4</v>
      </c>
      <c r="N40" s="7">
        <f>J40/M40</f>
        <v>15.749999999999998</v>
      </c>
      <c r="O40" s="7">
        <f>K40/M40</f>
        <v>15.749999999999998</v>
      </c>
      <c r="P40" s="38">
        <f>17.9*25.4</f>
        <v>454.65999999999991</v>
      </c>
      <c r="Q40" s="32">
        <f>R40/M40</f>
        <v>2.9500000000000006</v>
      </c>
      <c r="R40" s="38">
        <f>2.95*25.4</f>
        <v>74.930000000000007</v>
      </c>
      <c r="S40" s="32">
        <f>T40/M40</f>
        <v>3.0499999999999994</v>
      </c>
      <c r="T40" s="39">
        <f>3.05*25.4</f>
        <v>77.469999999999985</v>
      </c>
      <c r="U40" s="32">
        <f>V40/M40</f>
        <v>9.9999999999999964</v>
      </c>
      <c r="V40" s="7">
        <f>(P40-W40*M40-2*R40)/(W40-1)</f>
        <v>253.99999999999989</v>
      </c>
      <c r="W40" s="38">
        <v>2</v>
      </c>
      <c r="X40" s="122">
        <f>AM40</f>
        <v>0</v>
      </c>
      <c r="Y40" s="32">
        <f>Z40/M40</f>
        <v>10.25</v>
      </c>
      <c r="Z40" s="4">
        <f>10.25*25.4</f>
        <v>260.34999999999997</v>
      </c>
      <c r="AA40" s="7">
        <f>MIN(R40/M40+0.5, V40/2/M40+0.5)</f>
        <v>3.4500000000000006</v>
      </c>
      <c r="AB40" s="7">
        <f>R40/M40+0.5</f>
        <v>3.4500000000000006</v>
      </c>
      <c r="AC40" s="38">
        <v>4</v>
      </c>
      <c r="AD40" s="4">
        <f>AC40</f>
        <v>4</v>
      </c>
      <c r="AE40" s="4">
        <f>AD40+1</f>
        <v>5</v>
      </c>
      <c r="AF40" s="7">
        <f>M40*AE40^0.5</f>
        <v>56.796126628494655</v>
      </c>
      <c r="AI40" s="38">
        <f>101.8/0.145</f>
        <v>702.06896551724139</v>
      </c>
      <c r="AK40" s="4">
        <f>CX40</f>
        <v>2.1884257477532221</v>
      </c>
      <c r="AL40" s="38">
        <v>0</v>
      </c>
      <c r="AM40" s="38">
        <v>0</v>
      </c>
      <c r="AN40" s="39">
        <f>K40</f>
        <v>400.04999999999995</v>
      </c>
      <c r="AO40" s="39"/>
      <c r="AP40" s="39"/>
      <c r="AR40" s="4">
        <f>J40</f>
        <v>400.04999999999995</v>
      </c>
      <c r="AS40" s="4">
        <f>IF(J40*3&gt;V40+M40, P40, (R40+M40/2)*2+1.5*J40*(2*W40-2))*(3*J40)/(9*J40^2)</f>
        <v>0.37883597883597875</v>
      </c>
      <c r="AT40" s="4">
        <f>MIN(10*L40^0.5*J40^1.5,100*3.9*L40^0.5*J40^(5/3))/(PI()/4*M40^2)/W40</f>
        <v>456.63686520766981</v>
      </c>
      <c r="AU40" s="4">
        <f>MIN(0.7+0.3*(MIN(R40,Z40)+0.5*M40)/1.5/J40,1)</f>
        <v>0.74380952380952381</v>
      </c>
      <c r="AV40" s="4">
        <v>1.25</v>
      </c>
      <c r="AW40" s="4">
        <f>AW39</f>
        <v>5</v>
      </c>
      <c r="AX40" s="38">
        <f>AS40*AU40*AV40*AW40*AT40</f>
        <v>804.19976214622091</v>
      </c>
      <c r="AY40" s="38">
        <f>AX40</f>
        <v>804.19976214622091</v>
      </c>
      <c r="AZ40" s="38">
        <f>IF(L40&lt;50, 0.3*L40^(2/3), 2.12*LN(1+0.1*(L40+8)))</f>
        <v>3.1143714702560636</v>
      </c>
      <c r="BA40" s="38">
        <f>AW40* (L40^0.5/AR40^0.5)/(PI()/4*M40^2)/W40/0.72 *(0.7+(MIN(R40,Z40)+0.5*M40)/5/J40) *(3*P40*J40)</f>
        <v>804.19976214622181</v>
      </c>
      <c r="BB40" s="38">
        <f>AX40/BA40</f>
        <v>0.99999999999999889</v>
      </c>
      <c r="BC40" s="38">
        <f>BG40/BA40</f>
        <v>0.57396958892985217</v>
      </c>
      <c r="BD40" s="4">
        <f>IF(BC40&lt;1,1,0)</f>
        <v>1</v>
      </c>
      <c r="BE40" s="4">
        <f>K40/M40*L40^0.5/0.19</f>
        <v>479.41743650185254</v>
      </c>
      <c r="BF40" s="4">
        <f>MIN(0.6+0.4*(AB40/AA40),2)</f>
        <v>1</v>
      </c>
      <c r="BG40" s="38">
        <f>2*L40*AA40*AC40^0.5*BF40*0.7/0.7</f>
        <v>461.58620689655186</v>
      </c>
      <c r="BH40" s="4">
        <f>MAX(1-0.7*AD40/5,0.3)</f>
        <v>0.44000000000000006</v>
      </c>
      <c r="BI40" s="4">
        <f>BH40*I40*K40/(I40*M40/2.75/L40^0.5)</f>
        <v>110.21806865177589</v>
      </c>
      <c r="BJ40" s="4">
        <f>BG40+BI40</f>
        <v>571.80427554832772</v>
      </c>
      <c r="BL40" s="4">
        <f>MIN(1.5, 0.75+0.25*MIN(3,MAX(1,R40/M40))+0.4*MIN(1,(40*2*PI()*AL40^2/4/AN40/W40)/M40))</f>
        <v>1.4875000000000003</v>
      </c>
      <c r="BM40" s="4">
        <f>(3*O40+30)*BL40*L40^0.5</f>
        <v>664.57244562417236</v>
      </c>
      <c r="BO40" s="4">
        <f>3.4/PI()^0.5*L40*AA40*AD40^0.5*BF40</f>
        <v>442.7176207286019</v>
      </c>
      <c r="BP40" s="4">
        <f>8/3*AG40*AH40^2/(AF40-M40-22)/M40*(AF40^2-M40^2)/(AF40^2-(M40+22)^2)</f>
        <v>0</v>
      </c>
      <c r="BQ40" s="4">
        <f>BP40/BO40</f>
        <v>0</v>
      </c>
      <c r="BY40" s="4">
        <f>IF(V40=0,R40,MIN(V40/2,R40))</f>
        <v>74.930000000000007</v>
      </c>
      <c r="CG40" s="9">
        <f>IF(V40=0,MIN(R40,T40),MIN(V40/2,R40,T40))</f>
        <v>74.930000000000007</v>
      </c>
      <c r="CH40" s="9">
        <f>MAX(V40/2,R40)</f>
        <v>126.99999999999994</v>
      </c>
      <c r="CI40" s="9">
        <f>(CG40/M40)^0.5*(CH40/CG40)^0.15</f>
        <v>1.8590163364970096</v>
      </c>
      <c r="CJ40" s="70">
        <f>IF(AN40&gt;1,20,0)</f>
        <v>20</v>
      </c>
      <c r="CK40" s="9">
        <f>MIN(PI()*AL40^2/4*AM40*2/W40/M40/MAX(0.01,AN40),0.05)</f>
        <v>0</v>
      </c>
      <c r="CL40" s="9">
        <f>MAX(0,CJ40*(CK40-0.5/50))</f>
        <v>0</v>
      </c>
      <c r="CM40" s="9">
        <f>MIN(1,(25/M40)^0.3)</f>
        <v>0.99524931562137331</v>
      </c>
      <c r="CN40" s="9">
        <f>IF(I40&gt;=800,0.68,IF(I40&gt;=700,0.75-(I40-700)*0.07/100,IF(I40&gt;=600,0.85-(I40-600)*0.1/100,IF(I40&gt;=500,1-(I40-500)*0.15/100,1.2-(I40-400)*0.2/100))))</f>
        <v>0.68</v>
      </c>
      <c r="CO40" s="9">
        <f>1.75*CM40*CN40*(L40/25)^0.5</f>
        <v>1.3699215983187671</v>
      </c>
      <c r="CP40" s="9">
        <f>MIN((CI40+CL40)*CO40,2.5*CO40,L40^0.5)</f>
        <v>2.5467066309946826</v>
      </c>
      <c r="CQ40" s="40">
        <v>1</v>
      </c>
      <c r="CR40" s="9">
        <f>4*CP40*O40+60*CP40</f>
        <v>313.24491561234595</v>
      </c>
      <c r="CT40" s="4">
        <f>AI40/BE40</f>
        <v>1.4644210077964666</v>
      </c>
      <c r="CU40" s="4">
        <f>AI40/BJ40</f>
        <v>1.2278134241721037</v>
      </c>
      <c r="CV40" s="4">
        <f>AI40/BM40</f>
        <v>1.0564220201122723</v>
      </c>
      <c r="CW40" s="4">
        <f>AI40/CR40</f>
        <v>2.2412780879293885</v>
      </c>
      <c r="CX40" s="4">
        <f>AI40/DY40</f>
        <v>2.1884257477532221</v>
      </c>
      <c r="CY40" s="4">
        <f>AI40/EK40</f>
        <v>0.91851247644247092</v>
      </c>
      <c r="CZ40" s="4">
        <f>AI40/GH40</f>
        <v>0.92942217759542134</v>
      </c>
      <c r="DA40" s="4">
        <f>AM40</f>
        <v>0</v>
      </c>
      <c r="DB40" s="4">
        <f>CT40</f>
        <v>1.4644210077964666</v>
      </c>
      <c r="DC40" s="4">
        <f>CU40</f>
        <v>1.2278134241721037</v>
      </c>
      <c r="DD40" s="4">
        <f>CW40</f>
        <v>2.2412780879293885</v>
      </c>
      <c r="DE40" s="4">
        <f>CZ40</f>
        <v>0.92942217759542134</v>
      </c>
      <c r="DF40" s="4">
        <f>CX40</f>
        <v>2.1884257477532221</v>
      </c>
      <c r="DG40" s="4">
        <f>CY40</f>
        <v>0.91851247644247092</v>
      </c>
      <c r="DP40" s="4">
        <f>K40</f>
        <v>400.04999999999995</v>
      </c>
      <c r="DS40" s="4">
        <f>J40/4/(1-0.3*(L40/30)^0.5)/200000/M40</f>
        <v>2.8815439209600622E-5</v>
      </c>
      <c r="DT40" s="4">
        <f>EO40</f>
        <v>7.7158084787289836</v>
      </c>
      <c r="DU40" s="4">
        <f>EB40*AF40/257/L40/AC40</f>
        <v>0</v>
      </c>
      <c r="DV40" s="4">
        <f>DT40*DU40^0.4</f>
        <v>0</v>
      </c>
      <c r="DW40" s="4">
        <f>MIN(DT40, DT40/1.4*(1-DU40^1.4)/(1-DU40))</f>
        <v>5.5112917705207032</v>
      </c>
      <c r="DX40" s="4">
        <f>MAX(DT40/2, (4-DS40*(8*AF40*(DV40-DW40)+6*J40*DW40))/(4+DS40*J40*DT40)*DT40)</f>
        <v>6.9648255453685612</v>
      </c>
      <c r="DY40" s="38">
        <f>MIN(1/M40*(4*AF40*(DV40-DW40)+(3*DW40+DX40)*J40)+EB40 -FI40,MAX(I40,AI40))</f>
        <v>320.81004632578021</v>
      </c>
      <c r="DZ40" s="4">
        <f>DY40/FE40</f>
        <v>0.97064329688257345</v>
      </c>
      <c r="EA40" s="4">
        <f>AF40/M40</f>
        <v>2.2360679774997898</v>
      </c>
      <c r="EB40" s="4">
        <f>MIN(EA$10*BA40)</f>
        <v>0</v>
      </c>
      <c r="EF40" s="4">
        <f>IF(T40&gt;1*M40,0.85,1)</f>
        <v>0.85</v>
      </c>
      <c r="EG40" s="4">
        <f>MIN(1,MAX(0.7,(1-0.1*(BY40-1*M40)/M40)))</f>
        <v>0.80499999999999994</v>
      </c>
      <c r="EH40" s="4">
        <f>MIN(1,MAX(0.7,1-0.3*(PI()*AL40^2/4*AP40*2-0.25*PI()/4*M40^2)/(PI()/4*M40^2)))</f>
        <v>1</v>
      </c>
      <c r="EI40" s="4">
        <f>IF(EG40*EH40&lt;0.7,0.7,EG40*EH40)</f>
        <v>0.80499999999999994</v>
      </c>
      <c r="EK40" s="4">
        <f>MIN(DT40/M40*3*J40+EL40-FI40,MAX(I40,AI40))</f>
        <v>764.35430494798948</v>
      </c>
      <c r="EL40" s="25">
        <f>13.3*P40*J40^0.5*L40^0.5/W40/M40^2*(0.7+R40/5/J40)</f>
        <v>399.78235432804496</v>
      </c>
      <c r="EN40" s="4">
        <f>EF40*EI40</f>
        <v>0.68424999999999991</v>
      </c>
      <c r="EO40" s="4">
        <f>IF(M40&lt;22.2,1.1*5*(L40/30)^0.5,IF(M40&gt;=31.8,0.9*5*(L40/30)^0.5,1*5*(L40/30)^0.5))/EF40/EI40</f>
        <v>7.7158084787289836</v>
      </c>
      <c r="ER40" s="4">
        <f>ES40*M40</f>
        <v>56.796126628494655</v>
      </c>
      <c r="ES40" s="4">
        <f>AE40^0.5</f>
        <v>2.2360679774997898</v>
      </c>
      <c r="ET40" s="4">
        <f>MIN(EB40)/(4700*L40^0.5)/AD40*ER40</f>
        <v>0</v>
      </c>
      <c r="EW40" s="4">
        <f>ET40</f>
        <v>0</v>
      </c>
      <c r="EX40" s="4">
        <f>MIN(0.999, EW40/(0.3*(L40/30)^0.5))</f>
        <v>0</v>
      </c>
      <c r="EY40" s="4">
        <f>EO40/1*EX40^0.4</f>
        <v>0</v>
      </c>
      <c r="EZ40" s="4">
        <f>EO40/1.4*(1-EX40^1.4)/(1-EX40)</f>
        <v>5.5112917705207032</v>
      </c>
      <c r="FA40" s="4">
        <f>MAX(0,DP40*FA$9-ER40)</f>
        <v>0</v>
      </c>
      <c r="FB40" s="4">
        <f>MAX(0,DP40-ER40-FA40)</f>
        <v>343.25387337150528</v>
      </c>
      <c r="FC40" s="4">
        <f>FB40/(1-0.3*(L40/30)^0.5)/200000/M40</f>
        <v>9.8897748997340941E-5</v>
      </c>
      <c r="FD40" s="4">
        <f>MAX(0.5*EO40, (1-2*FC40*(ER40*EY40+FA40*EZ40))/(1/EO40+FC40*FB40))</f>
        <v>6.1142976799573363</v>
      </c>
      <c r="FE40" s="4">
        <f>MIN(4/M40*(1*EY40*ER40+EZ40*FA40+FB40*FD40)+EB40,MAX(I40,AI40))</f>
        <v>330.51281284909669</v>
      </c>
      <c r="FN40" s="23">
        <f>IF(CT40&lt;0.6,0.6,IF(CT40&lt;0.8,0.8,IF(CT40&lt;1,1,IF(CT40&lt;1.2,1.2,IF(CT40&lt;1.4,1.4,IF(CT40&lt;1.6,1.6,IF(CT40&lt;1.8,1.8,IF(CT40&lt;2,2,2.2))))))))</f>
        <v>1.6</v>
      </c>
      <c r="FO40" s="23">
        <f>IF(CU40&lt;0.6,0.6,IF(CU40&lt;0.8,0.8,IF(CU40&lt;1,1,IF(CU40&lt;1.2,1.2,IF(CU40&lt;1.4,1.4,IF(CU40&lt;1.6,1.6,IF(CU40&lt;1.8,1.8,IF(CU40&lt;2,2,2.2))))))))</f>
        <v>1.4</v>
      </c>
      <c r="FP40" s="23">
        <f>IF(CZ40&lt;0.6,0.6,IF(CZ40&lt;0.8,0.8,IF(CZ40&lt;1,1,IF(CZ40&lt;1.2,1.2,IF(CZ40&lt;1.4,1.4,IF(CZ40&lt;1.6,1.6,IF(CZ40&lt;1.8,1.8,IF(CZ40&lt;2,2,2.2))))))))</f>
        <v>1</v>
      </c>
      <c r="FQ40" s="23">
        <f>IF(CW40&lt;0.6,0.6,IF(CW40&lt;0.8,0.8,IF(CW40&lt;1,1,IF(CW40&lt;1.2,1.2,IF(CW40&lt;1.4,1.4,IF(CW40&lt;1.6,1.6,IF(CW40&lt;1.8,1.8,IF(CW40&lt;2,2,2.2))))))))</f>
        <v>2.2000000000000002</v>
      </c>
      <c r="FR40" s="23">
        <f>IF(CX40&lt;0.6,0.6,IF(CX40&lt;0.8,0.8,IF(CX40&lt;1,1,IF(CX40&lt;1.2,1.2,IF(CX40&lt;1.4,1.4,IF(CX40&lt;1.6,1.6,IF(CX40&lt;1.8,1.8,IF(CX40&lt;2,2,2.2))))))))</f>
        <v>2.2000000000000002</v>
      </c>
      <c r="FS40" s="23">
        <f>IF(CY40&lt;0.6,0.6,IF(CY40&lt;0.8,0.8,IF(CY40&lt;1,1,IF(CY40&lt;1.2,1.2,IF(CY40&lt;1.4,1.4,IF(CY40&lt;1.6,1.6,IF(CY40&lt;1.8,1.8,IF(CY40&lt;2,2,2.2))))))))</f>
        <v>1</v>
      </c>
      <c r="FT40" s="23">
        <f>IF(FR40&lt;1,1,0)</f>
        <v>0</v>
      </c>
      <c r="GE40" s="4">
        <f>IF(R40&gt;=2.5*25.4,1,1.25)</f>
        <v>1</v>
      </c>
      <c r="GF40" s="4">
        <f>IF(AN40&gt;1, 0.05*(18-MIN(8,(V40+M40)/M40))*(1-48000/MAX(60000,(I40*145))*(M40/25.4)^0.75*GG40), 1/12*(14-MIN(8,(V40+M40)/M40)))</f>
        <v>0.5</v>
      </c>
      <c r="GG40" s="4">
        <f>MIN(0.3, AL40^2*PI()/4*2*AO40/(M40^2*PI()/4*W40))</f>
        <v>0</v>
      </c>
      <c r="GH40" s="4">
        <f>(J40/25.4)/(M40/25.4)^1.5/0.0024*(L40*145)^0.25/GE40/GF40/145</f>
        <v>755.38219599366278</v>
      </c>
    </row>
    <row r="41" spans="1:190" s="4" customFormat="1" ht="12" customHeight="1" x14ac:dyDescent="0.3">
      <c r="A41" s="25">
        <v>186</v>
      </c>
      <c r="B41" s="24" t="s">
        <v>128</v>
      </c>
      <c r="C41" s="24">
        <v>2017</v>
      </c>
      <c r="D41" s="24" t="s">
        <v>309</v>
      </c>
      <c r="E41" s="24"/>
      <c r="F41" s="109" t="s">
        <v>801</v>
      </c>
      <c r="G41" s="4" t="s">
        <v>312</v>
      </c>
      <c r="H41" s="5">
        <f>J41/M41</f>
        <v>4</v>
      </c>
      <c r="I41" s="7">
        <v>649</v>
      </c>
      <c r="J41" s="104">
        <f>4*M41</f>
        <v>127.2</v>
      </c>
      <c r="K41" s="7">
        <f>J41</f>
        <v>127.2</v>
      </c>
      <c r="L41" s="10">
        <v>129.9</v>
      </c>
      <c r="M41" s="21">
        <v>31.8</v>
      </c>
      <c r="N41" s="7">
        <f>J41/M41</f>
        <v>4</v>
      </c>
      <c r="O41" s="7">
        <f>K41/M41</f>
        <v>4</v>
      </c>
      <c r="P41" s="7">
        <v>396</v>
      </c>
      <c r="Q41" s="32">
        <f>R41/M41</f>
        <v>1</v>
      </c>
      <c r="R41" s="7">
        <f>1*M41</f>
        <v>31.8</v>
      </c>
      <c r="S41" s="32">
        <f>T41/M41</f>
        <v>1.3773584905660377</v>
      </c>
      <c r="T41" s="7">
        <f>171-K41</f>
        <v>43.8</v>
      </c>
      <c r="U41" s="32">
        <f>V41/M41</f>
        <v>8.4528301886792434</v>
      </c>
      <c r="V41" s="7">
        <f>P41-2*M41-2*R41</f>
        <v>268.79999999999995</v>
      </c>
      <c r="W41" s="7">
        <v>2</v>
      </c>
      <c r="X41" s="122">
        <f>AM41</f>
        <v>0</v>
      </c>
      <c r="Y41" s="32">
        <f>Z41/M41</f>
        <v>2.6666666666666665</v>
      </c>
      <c r="Z41" s="10">
        <f>2/3*J41</f>
        <v>84.8</v>
      </c>
      <c r="AA41" s="7">
        <f>MIN(R41/M41+0.5, V41/2/M41+0.5)</f>
        <v>1.5</v>
      </c>
      <c r="AB41" s="7">
        <f>R41/M41+0.5</f>
        <v>1.5</v>
      </c>
      <c r="AC41" s="7">
        <f>2040/510</f>
        <v>4</v>
      </c>
      <c r="AD41" s="7">
        <f>2040/510</f>
        <v>4</v>
      </c>
      <c r="AE41" s="7">
        <f>AD41+1</f>
        <v>5</v>
      </c>
      <c r="AF41" s="7">
        <f>M41*AE41^0.5</f>
        <v>71.106961684493314</v>
      </c>
      <c r="AG41" s="7">
        <f>I41</f>
        <v>649</v>
      </c>
      <c r="AH41" s="7">
        <v>11</v>
      </c>
      <c r="AI41" s="7">
        <f>(714+700)/2</f>
        <v>707</v>
      </c>
      <c r="AJ41" s="7"/>
      <c r="AK41" s="4">
        <f>CX41</f>
        <v>10.445794663901953</v>
      </c>
      <c r="AL41" s="7">
        <v>0</v>
      </c>
      <c r="AM41" s="7">
        <v>0</v>
      </c>
      <c r="AN41" s="7">
        <f>K41</f>
        <v>127.2</v>
      </c>
      <c r="AO41" s="7"/>
      <c r="AP41" s="7"/>
      <c r="AQ41" s="7">
        <f>3*AR41/(V41+M41)</f>
        <v>1.2694610778443116</v>
      </c>
      <c r="AR41" s="4">
        <f>J41</f>
        <v>127.2</v>
      </c>
      <c r="AS41" s="4">
        <f>IF(J41*3&gt;V41+M41, P41, (R41+M41/2)*2+1.5*J41*(2*W41-2))*(3*J41)/(9*J41^2)</f>
        <v>1.0377358490566038</v>
      </c>
      <c r="AT41" s="4">
        <f>MIN(10*L41^0.5*J41^1.5,100*3.9*L41^0.5*J41^(5/3))/(PI()/4*M41^2)/W41</f>
        <v>102.93453939452981</v>
      </c>
      <c r="AU41" s="4">
        <f>MIN(0.7+0.3*(MIN(R41,Z41)+0.5*M41)/1.5/J41,1)</f>
        <v>0.77499999999999991</v>
      </c>
      <c r="AV41" s="4">
        <v>1.25</v>
      </c>
      <c r="AW41" s="47">
        <f>AW40</f>
        <v>5</v>
      </c>
      <c r="AX41" s="38">
        <f>AS41*AU41*AV41*AW41*AT41</f>
        <v>517.40386104856509</v>
      </c>
      <c r="AY41" s="38">
        <f>AX41</f>
        <v>517.40386104856509</v>
      </c>
      <c r="AZ41" s="38">
        <f>IF(L41&lt;50, 0.3*L41^(2/3), 2.12*LN(1+0.1*(L41+8)))</f>
        <v>5.7111767066521422</v>
      </c>
      <c r="BA41" s="38">
        <f>AW41* (L41^0.5/AR41^0.5)/(PI()/4*M41^2)/W41/0.72 *(0.7+(MIN(R41,Z41)+0.5*M41)/5/J41) *(3*P41*J41)</f>
        <v>517.40386104856543</v>
      </c>
      <c r="BB41" s="38">
        <f>AX41/BA41</f>
        <v>0.99999999999999933</v>
      </c>
      <c r="BC41" s="38">
        <f>BG41/BA41</f>
        <v>1.5063668029466883</v>
      </c>
      <c r="BD41" s="4">
        <f>IF(BC41&lt;1,1,0)</f>
        <v>0</v>
      </c>
      <c r="BE41" s="4">
        <f>K41/M41*L41^0.5/0.19</f>
        <v>239.94459194200661</v>
      </c>
      <c r="BF41" s="4">
        <f>MIN(0.6+0.4*(AB41/AA41),2)</f>
        <v>1</v>
      </c>
      <c r="BG41" s="38">
        <f>2*L41*AA41*AC41^0.5*BF41*0.7/0.7</f>
        <v>779.40000000000009</v>
      </c>
      <c r="BH41" s="4">
        <f>MAX(1-0.7*AD41/5,0.3)</f>
        <v>0.44000000000000006</v>
      </c>
      <c r="BI41" s="4">
        <f>BH41*I41*K41/(I41*M41/2.75/L41^0.5)</f>
        <v>55.163261687467333</v>
      </c>
      <c r="BJ41" s="4">
        <f>BG41+BI41</f>
        <v>834.56326168746739</v>
      </c>
      <c r="BL41" s="4">
        <f>MIN(1.5, 0.75+0.25*MIN(3,MAX(1,R41/M41))+0.4*MIN(1,(40*2*PI()*AL41^2/4/AN41/W41)/M41))</f>
        <v>1</v>
      </c>
      <c r="BM41" s="4">
        <f>(3*O41+30)*BL41*L41^0.5</f>
        <v>478.68946092430321</v>
      </c>
      <c r="BO41" s="4">
        <f>3.4/PI()^0.5*L41*AA41*AD41^0.5*BF41</f>
        <v>747.53991440910613</v>
      </c>
      <c r="BP41" s="4">
        <f>8/3*AG41*AH41^2/(AF41-M41-22)/M41*(AF41^2-M41^2)/(AF41^2-(M41+22)^2)</f>
        <v>711.96329095823319</v>
      </c>
      <c r="BQ41" s="4">
        <f>BP41/BO41</f>
        <v>0.95240839617374207</v>
      </c>
      <c r="BY41" s="4">
        <f>IF(V41=0,R41,MIN(V41/2,R41))</f>
        <v>31.8</v>
      </c>
      <c r="CC41" s="9"/>
      <c r="CE41" s="9"/>
      <c r="CF41" s="9"/>
      <c r="CG41" s="9">
        <f>IF(V41=0,MIN(R41,T41),MIN(V41/2,R41,T41))</f>
        <v>31.8</v>
      </c>
      <c r="CH41" s="9">
        <f>MAX(V41/2,R41)</f>
        <v>134.39999999999998</v>
      </c>
      <c r="CI41" s="9">
        <f>(CG41/M41)^0.5*(CH41/CG41)^0.15</f>
        <v>1.2413544982455165</v>
      </c>
      <c r="CJ41" s="70">
        <v>0</v>
      </c>
      <c r="CK41" s="9">
        <f>MIN(PI()*AL41^2/4*AM41*2/W41/M41/MAX(0.01,AN41),0.05)</f>
        <v>0</v>
      </c>
      <c r="CL41" s="9">
        <f>MAX(0,CJ41*(CK41-0.5/50))</f>
        <v>0</v>
      </c>
      <c r="CM41" s="9">
        <f>MIN(1,(25/M41)^0.3)</f>
        <v>0.93036607665491811</v>
      </c>
      <c r="CN41" s="9">
        <f>IF(I41&gt;=800,0.68,IF(I41&gt;=700,0.75-(I41-700)*0.07/100,IF(I41&gt;=600,0.85-(I41-600)*0.1/100,IF(I41&gt;=500,1-(I41-500)*0.15/100,1.2-(I41-400)*0.2/100))))</f>
        <v>0.80099999999999993</v>
      </c>
      <c r="CO41" s="9">
        <f>1.75*CM41*CN41*(L41/25)^0.5</f>
        <v>2.9727542082721463</v>
      </c>
      <c r="CP41" s="9">
        <f>MIN((CI41+CL41)*CO41,2.5*CO41,L41^0.5)</f>
        <v>3.6902418086169178</v>
      </c>
      <c r="CQ41" s="9">
        <v>1</v>
      </c>
      <c r="CR41" s="9">
        <f>4*CP41*O41+60*CP41</f>
        <v>280.45837745488575</v>
      </c>
      <c r="CT41" s="4">
        <f>AI41/BE41</f>
        <v>2.9465135858151714</v>
      </c>
      <c r="CU41" s="4">
        <f>AI41/BJ41</f>
        <v>0.84714967990618539</v>
      </c>
      <c r="CV41" s="4">
        <f>AI41/BM41</f>
        <v>1.476949165822141</v>
      </c>
      <c r="CW41" s="4">
        <f>AI41/CR41</f>
        <v>2.5208731734666308</v>
      </c>
      <c r="CX41" s="44">
        <f>AI41/DY41</f>
        <v>10.445794663901953</v>
      </c>
      <c r="CY41" s="4">
        <f>AI41/EK41</f>
        <v>1.1179242582161224</v>
      </c>
      <c r="CZ41" s="4">
        <f>AI41/GH41</f>
        <v>3.6717330366569469</v>
      </c>
      <c r="DB41" s="4">
        <f>CT41</f>
        <v>2.9465135858151714</v>
      </c>
      <c r="DC41" s="4">
        <f>CU41</f>
        <v>0.84714967990618539</v>
      </c>
      <c r="DD41" s="4">
        <f>CW41</f>
        <v>2.5208731734666308</v>
      </c>
      <c r="DE41" s="4">
        <f>CZ41</f>
        <v>3.6717330366569469</v>
      </c>
      <c r="DF41" s="4">
        <f>CX41</f>
        <v>10.445794663901953</v>
      </c>
      <c r="DG41" s="4">
        <f>CY41</f>
        <v>1.1179242582161224</v>
      </c>
      <c r="DO41" s="4">
        <f>AM41</f>
        <v>0</v>
      </c>
      <c r="DP41" s="4">
        <f>K41</f>
        <v>127.2</v>
      </c>
      <c r="DS41" s="4">
        <f>J41/4/(1-0.3*(L41/30)^0.5)/200000/M41</f>
        <v>1.3307058507295954E-5</v>
      </c>
      <c r="DT41" s="4">
        <f>EO41</f>
        <v>11.016345201186075</v>
      </c>
      <c r="DU41" s="4">
        <f>EB41*AF41/257/L41/AC41</f>
        <v>0</v>
      </c>
      <c r="DV41" s="4">
        <f>DT41*DU41^0.4</f>
        <v>0</v>
      </c>
      <c r="DW41" s="4">
        <f>MIN(DT41, DT41/1.4*(1-DU41^1.4)/(1-DU41))</f>
        <v>7.8688180008471971</v>
      </c>
      <c r="DX41" s="4">
        <f>MAX(DT41/2, (4-DS41*(8*AF41*(DV41-DW41)+6*J41*DW41))/(4+DS41*J41*DT41)*DT41)</f>
        <v>10.90944284629022</v>
      </c>
      <c r="DY41" s="38">
        <f>MIN(1/M41*(4*AF41*(DV41-DW41)+(3*DW41+DX41)*J41)+EB41 -FI41,MAX(I41,AI41))</f>
        <v>67.682739585453916</v>
      </c>
      <c r="DZ41" s="4">
        <f>DY41/FE41</f>
        <v>0.88339033683583601</v>
      </c>
      <c r="EA41" s="4">
        <f>AF41/M41</f>
        <v>2.2360679774997898</v>
      </c>
      <c r="EB41" s="4">
        <f>MIN(EA$10*BA41)</f>
        <v>0</v>
      </c>
      <c r="EF41" s="4">
        <f>IF(T41&gt;1*M41,0.85,1)</f>
        <v>0.85</v>
      </c>
      <c r="EG41" s="4">
        <f>MIN(1,MAX(0.7,(1-0.1*(BY41-1*M41)/M41)))</f>
        <v>1</v>
      </c>
      <c r="EH41" s="4">
        <f>MIN(1,MAX(0.7,1-0.3*(PI()*AL41^2/4*AP41*2-0.25*PI()/4*M41^2)/(PI()/4*M41^2)))</f>
        <v>1</v>
      </c>
      <c r="EI41" s="4">
        <f>IF(EG41*EH41&lt;0.7,0.7,EG41*EH41)</f>
        <v>1</v>
      </c>
      <c r="EK41" s="4">
        <f>MIN(DT41/M41*3*J41+EL41-FI41,MAX(I41,AI41))</f>
        <v>632.4220937187315</v>
      </c>
      <c r="EL41" s="25">
        <f>26.5*P41*J41^0.5*L41^0.5/W41/M41^2*(0.7+R41/5/J41)</f>
        <v>500.22595130449861</v>
      </c>
      <c r="EO41" s="4">
        <f>IF(M41&lt;22.2,1.1*5*(L41/30)^0.5,IF(M41&gt;=31.8,0.9*5*(L41/30)^0.5,1*5*(L41/30)^0.5))/EF41/EI41</f>
        <v>11.016345201186075</v>
      </c>
      <c r="ER41" s="4">
        <f>ES41*M41</f>
        <v>71.106961684493314</v>
      </c>
      <c r="ES41" s="4">
        <f>AE41^0.5</f>
        <v>2.2360679774997898</v>
      </c>
      <c r="ET41" s="4">
        <f>MIN(EB41)/(4700*L41^0.5)/AD41*ER41</f>
        <v>0</v>
      </c>
      <c r="EW41" s="4">
        <f>ET41</f>
        <v>0</v>
      </c>
      <c r="EX41" s="4">
        <f>MIN(0.999, EW41/(0.3*(L41/30)^0.5))</f>
        <v>0</v>
      </c>
      <c r="EY41" s="4">
        <f>EO41/1*EX41^0.4</f>
        <v>0</v>
      </c>
      <c r="EZ41" s="4">
        <f>EO41/1.4*(1-EX41^1.4)/(1-EX41)</f>
        <v>7.8688180008471971</v>
      </c>
      <c r="FA41" s="4">
        <f>MAX(0,DP41*FA$9-ER41)</f>
        <v>0</v>
      </c>
      <c r="FB41" s="4">
        <f>MAX(0,DP41-ER41-FA41)</f>
        <v>56.093038315506689</v>
      </c>
      <c r="FC41" s="4">
        <f>FB41/(1-0.3*(L41/30)^0.5)/200000/M41</f>
        <v>2.347274662630318E-5</v>
      </c>
      <c r="FD41" s="4">
        <f>MAX(0.5*EO41, (1-2*FC41*(ER41*EY41+FA41*EZ41))/(1/EO41+FC41*FB41))</f>
        <v>10.858840376840076</v>
      </c>
      <c r="FE41" s="4">
        <f>MIN(4/M41*(1*EY41*ER41+EZ41*FA41+FB41*FD41)+EB41,MAX(I41,AI41))</f>
        <v>76.617025071705839</v>
      </c>
      <c r="FN41" s="23">
        <f>IF(CT41&lt;0.6,0.6,IF(CT41&lt;0.8,0.8,IF(CT41&lt;1,1,IF(CT41&lt;1.2,1.2,IF(CT41&lt;1.4,1.4,IF(CT41&lt;1.6,1.6,IF(CT41&lt;1.8,1.8,IF(CT41&lt;2,2,2.2))))))))</f>
        <v>2.2000000000000002</v>
      </c>
      <c r="FO41" s="23">
        <f>IF(CU41&lt;0.6,0.6,IF(CU41&lt;0.8,0.8,IF(CU41&lt;1,1,IF(CU41&lt;1.2,1.2,IF(CU41&lt;1.4,1.4,IF(CU41&lt;1.6,1.6,IF(CU41&lt;1.8,1.8,IF(CU41&lt;2,2,2.2))))))))</f>
        <v>1</v>
      </c>
      <c r="FP41" s="23">
        <f>IF(CZ41&lt;0.6,0.6,IF(CZ41&lt;0.8,0.8,IF(CZ41&lt;1,1,IF(CZ41&lt;1.2,1.2,IF(CZ41&lt;1.4,1.4,IF(CZ41&lt;1.6,1.6,IF(CZ41&lt;1.8,1.8,IF(CZ41&lt;2,2,2.2))))))))</f>
        <v>2.2000000000000002</v>
      </c>
      <c r="FQ41" s="23">
        <f>IF(CW41&lt;0.6,0.6,IF(CW41&lt;0.8,0.8,IF(CW41&lt;1,1,IF(CW41&lt;1.2,1.2,IF(CW41&lt;1.4,1.4,IF(CW41&lt;1.6,1.6,IF(CW41&lt;1.8,1.8,IF(CW41&lt;2,2,2.2))))))))</f>
        <v>2.2000000000000002</v>
      </c>
      <c r="FR41" s="23">
        <f>IF(CX41&lt;0.6,0.6,IF(CX41&lt;0.8,0.8,IF(CX41&lt;1,1,IF(CX41&lt;1.2,1.2,IF(CX41&lt;1.4,1.4,IF(CX41&lt;1.6,1.6,IF(CX41&lt;1.8,1.8,IF(CX41&lt;2,2,2.2))))))))</f>
        <v>2.2000000000000002</v>
      </c>
      <c r="FS41" s="23">
        <f>IF(CY41&lt;0.6,0.6,IF(CY41&lt;0.8,0.8,IF(CY41&lt;1,1,IF(CY41&lt;1.2,1.2,IF(CY41&lt;1.4,1.4,IF(CY41&lt;1.6,1.6,IF(CY41&lt;1.8,1.8,IF(CY41&lt;2,2,2.2))))))))</f>
        <v>1.2</v>
      </c>
      <c r="FT41" s="23">
        <f>IF(FR41&lt;1,1,0)</f>
        <v>0</v>
      </c>
      <c r="FU41" s="23"/>
      <c r="GE41" s="4">
        <f>IF(R41&gt;=2.5*25.4,1,1.25)</f>
        <v>1.25</v>
      </c>
      <c r="GF41" s="4">
        <f>IF(AN41&gt;1, 0.05*(18-MIN(8,(V41+M41)/M41))*(1-48000/MAX(60000,(I41*145))*(M41/25.4)^0.75*GG41), 1/12*(14-MIN(8,(V41+M41)/M41)))</f>
        <v>0.5</v>
      </c>
      <c r="GG41" s="4">
        <f>MIN(0.3, AL41^2*PI()/4*2*AO41/(M41^2*PI()/4*W41))</f>
        <v>0</v>
      </c>
      <c r="GH41" s="4">
        <f>(J41/25.4)/(M41/25.4)^1.5/0.0024*(L41*145)^0.25/GE41/GF41/145</f>
        <v>192.55212537012548</v>
      </c>
    </row>
    <row r="42" spans="1:190" s="4" customFormat="1" ht="12" customHeight="1" x14ac:dyDescent="0.3">
      <c r="A42" s="25">
        <v>187</v>
      </c>
      <c r="B42" s="24" t="s">
        <v>128</v>
      </c>
      <c r="C42" s="24">
        <v>2017</v>
      </c>
      <c r="D42" s="24" t="s">
        <v>309</v>
      </c>
      <c r="E42" s="24"/>
      <c r="F42" s="109" t="s">
        <v>801</v>
      </c>
      <c r="G42" s="4" t="s">
        <v>154</v>
      </c>
      <c r="H42" s="5">
        <f>J42/M42</f>
        <v>4</v>
      </c>
      <c r="I42" s="7">
        <v>649</v>
      </c>
      <c r="J42" s="104">
        <f>4*M42</f>
        <v>127.2</v>
      </c>
      <c r="K42" s="7">
        <f>J42</f>
        <v>127.2</v>
      </c>
      <c r="L42" s="10">
        <v>129.9</v>
      </c>
      <c r="M42" s="21">
        <v>31.8</v>
      </c>
      <c r="N42" s="7">
        <f>J42/M42</f>
        <v>4</v>
      </c>
      <c r="O42" s="7">
        <f>K42/M42</f>
        <v>4</v>
      </c>
      <c r="P42" s="7">
        <v>396</v>
      </c>
      <c r="Q42" s="32">
        <f>R42/M42</f>
        <v>1</v>
      </c>
      <c r="R42" s="7">
        <f>1*M42</f>
        <v>31.8</v>
      </c>
      <c r="S42" s="32">
        <f>T42/M42</f>
        <v>1.3773584905660377</v>
      </c>
      <c r="T42" s="7">
        <f>171-K42</f>
        <v>43.8</v>
      </c>
      <c r="U42" s="32">
        <f>V42/M42</f>
        <v>8.4528301886792434</v>
      </c>
      <c r="V42" s="7">
        <f>P42-2*M42-2*R42</f>
        <v>268.79999999999995</v>
      </c>
      <c r="W42" s="7">
        <v>2</v>
      </c>
      <c r="X42" s="122">
        <f>AM42</f>
        <v>0</v>
      </c>
      <c r="Y42" s="32">
        <f>Z42/M42</f>
        <v>2.6666666666666665</v>
      </c>
      <c r="Z42" s="10">
        <f>2/3*J42</f>
        <v>84.8</v>
      </c>
      <c r="AA42" s="7">
        <f>MIN(R42/M42+0.5, V42/2/M42+0.5)</f>
        <v>1.5</v>
      </c>
      <c r="AB42" s="7">
        <f>R42/M42+0.5</f>
        <v>1.5</v>
      </c>
      <c r="AC42" s="7">
        <f>2040/510</f>
        <v>4</v>
      </c>
      <c r="AD42" s="7">
        <f>2040/510</f>
        <v>4</v>
      </c>
      <c r="AE42" s="7">
        <f>AD42+1</f>
        <v>5</v>
      </c>
      <c r="AF42" s="7">
        <f>M42*AE42^0.5</f>
        <v>71.106961684493314</v>
      </c>
      <c r="AG42" s="7">
        <f>I42</f>
        <v>649</v>
      </c>
      <c r="AH42" s="7">
        <v>11</v>
      </c>
      <c r="AI42" s="7">
        <f>(720+688)/2</f>
        <v>704</v>
      </c>
      <c r="AJ42" s="7"/>
      <c r="AK42" s="4">
        <f>CX42</f>
        <v>10.401470216954703</v>
      </c>
      <c r="AL42" s="7">
        <v>0</v>
      </c>
      <c r="AM42" s="7">
        <v>0</v>
      </c>
      <c r="AN42" s="7">
        <f>K42</f>
        <v>127.2</v>
      </c>
      <c r="AO42" s="7"/>
      <c r="AP42" s="7"/>
      <c r="AQ42" s="7">
        <f>3*AR42/(V42+M42)</f>
        <v>1.2694610778443116</v>
      </c>
      <c r="AR42" s="4">
        <f>J42</f>
        <v>127.2</v>
      </c>
      <c r="AS42" s="4">
        <f>IF(J42*3&gt;V42+M42, P42, (R42+M42/2)*2+1.5*J42*(2*W42-2))*(3*J42)/(9*J42^2)</f>
        <v>1.0377358490566038</v>
      </c>
      <c r="AT42" s="4">
        <f>MIN(10*L42^0.5*J42^1.5,100*3.9*L42^0.5*J42^(5/3))/(PI()/4*M42^2)/W42</f>
        <v>102.93453939452981</v>
      </c>
      <c r="AU42" s="4">
        <f>MIN(0.7+0.3*(MIN(R42,Z42)+0.5*M42)/1.5/J42,1)</f>
        <v>0.77499999999999991</v>
      </c>
      <c r="AV42" s="4">
        <v>1.25</v>
      </c>
      <c r="AW42" s="47">
        <f>AW41</f>
        <v>5</v>
      </c>
      <c r="AX42" s="38">
        <f>AS42*AU42*AV42*AW42*AT42</f>
        <v>517.40386104856509</v>
      </c>
      <c r="AY42" s="38">
        <f>AX42</f>
        <v>517.40386104856509</v>
      </c>
      <c r="AZ42" s="38">
        <f>IF(L42&lt;50, 0.3*L42^(2/3), 2.12*LN(1+0.1*(L42+8)))</f>
        <v>5.7111767066521422</v>
      </c>
      <c r="BA42" s="38">
        <f>AW42* (L42^0.5/AR42^0.5)/(PI()/4*M42^2)/W42/0.72 *(0.7+(MIN(R42,Z42)+0.5*M42)/5/J42) *(3*P42*J42)</f>
        <v>517.40386104856543</v>
      </c>
      <c r="BB42" s="38">
        <f>AX42/BA42</f>
        <v>0.99999999999999933</v>
      </c>
      <c r="BC42" s="38">
        <f>BG42/BA42</f>
        <v>1.5063668029466883</v>
      </c>
      <c r="BD42" s="4">
        <f>IF(BC42&lt;1,1,0)</f>
        <v>0</v>
      </c>
      <c r="BE42" s="4">
        <f>K42/M42*L42^0.5/0.19</f>
        <v>239.94459194200661</v>
      </c>
      <c r="BF42" s="4">
        <f>MIN(0.6+0.4*(AB42/AA42),2)</f>
        <v>1</v>
      </c>
      <c r="BG42" s="38">
        <f>2*L42*AA42*AC42^0.5*BF42*0.7/0.7</f>
        <v>779.40000000000009</v>
      </c>
      <c r="BH42" s="4">
        <f>MAX(1-0.7*AD42/5,0.3)</f>
        <v>0.44000000000000006</v>
      </c>
      <c r="BI42" s="4">
        <f>BH42*I42*K42/(I42*M42/2.75/L42^0.5)</f>
        <v>55.163261687467333</v>
      </c>
      <c r="BJ42" s="4">
        <f>BG42+BI42</f>
        <v>834.56326168746739</v>
      </c>
      <c r="BL42" s="4">
        <f>MIN(1.5, 0.75+0.25*MIN(3,MAX(1,R42/M42))+0.4*MIN(1,(40*2*PI()*AL42^2/4/AN42/W42)/M42))</f>
        <v>1</v>
      </c>
      <c r="BM42" s="4">
        <f>(3*O42+30)*BL42*L42^0.5</f>
        <v>478.68946092430321</v>
      </c>
      <c r="BO42" s="4">
        <f>3.4/PI()^0.5*L42*AA42*AD42^0.5*BF42</f>
        <v>747.53991440910613</v>
      </c>
      <c r="BP42" s="4">
        <f>8/3*AG42*AH42^2/(AF42-M42-22)/M42*(AF42^2-M42^2)/(AF42^2-(M42+22)^2)</f>
        <v>711.96329095823319</v>
      </c>
      <c r="BQ42" s="4">
        <f>BP42/BO42</f>
        <v>0.95240839617374207</v>
      </c>
      <c r="BY42" s="4">
        <f>IF(V42=0,R42,MIN(V42/2,R42))</f>
        <v>31.8</v>
      </c>
      <c r="CC42" s="9"/>
      <c r="CE42" s="9"/>
      <c r="CF42" s="9"/>
      <c r="CG42" s="9">
        <f>IF(V42=0,MIN(R42,T42),MIN(V42/2,R42,T42))</f>
        <v>31.8</v>
      </c>
      <c r="CH42" s="9">
        <f>MAX(V42/2,R42)</f>
        <v>134.39999999999998</v>
      </c>
      <c r="CI42" s="9">
        <f>(CG42/M42)^0.5*(CH42/CG42)^0.15</f>
        <v>1.2413544982455165</v>
      </c>
      <c r="CJ42" s="70">
        <v>0</v>
      </c>
      <c r="CK42" s="9">
        <f>MIN(PI()*AL42^2/4*AM42*2/W42/M42/MAX(0.01,AN42),0.05)</f>
        <v>0</v>
      </c>
      <c r="CL42" s="9">
        <f>MAX(0,CJ42*(CK42-0.5/50))</f>
        <v>0</v>
      </c>
      <c r="CM42" s="9">
        <f>MIN(1,(25/M42)^0.3)</f>
        <v>0.93036607665491811</v>
      </c>
      <c r="CN42" s="9">
        <f>IF(I42&gt;=800,0.68,IF(I42&gt;=700,0.75-(I42-700)*0.07/100,IF(I42&gt;=600,0.85-(I42-600)*0.1/100,IF(I42&gt;=500,1-(I42-500)*0.15/100,1.2-(I42-400)*0.2/100))))</f>
        <v>0.80099999999999993</v>
      </c>
      <c r="CO42" s="9">
        <f>1.75*CM42*CN42*(L42/25)^0.5</f>
        <v>2.9727542082721463</v>
      </c>
      <c r="CP42" s="9">
        <f>MIN((CI42+CL42)*CO42,2.5*CO42,L42^0.5)</f>
        <v>3.6902418086169178</v>
      </c>
      <c r="CQ42" s="9">
        <v>1</v>
      </c>
      <c r="CR42" s="9">
        <f>4*CP42*O42+60*CP42</f>
        <v>280.45837745488575</v>
      </c>
      <c r="CT42" s="4">
        <f>AI42/BE42</f>
        <v>2.9340106993124198</v>
      </c>
      <c r="CU42" s="4">
        <f>AI42/BJ42</f>
        <v>0.84355498536627227</v>
      </c>
      <c r="CV42" s="4">
        <f>AI42/BM42</f>
        <v>1.4706820547931927</v>
      </c>
      <c r="CW42" s="4">
        <f>AI42/CR42</f>
        <v>2.5101763990389081</v>
      </c>
      <c r="CX42" s="44">
        <f>AI42/DY42</f>
        <v>10.401470216954703</v>
      </c>
      <c r="CY42" s="4">
        <f>AI42/EK42</f>
        <v>1.1131805909252479</v>
      </c>
      <c r="CZ42" s="4">
        <f>AI42/GH42</f>
        <v>3.6561528398960266</v>
      </c>
      <c r="DB42" s="4">
        <f>CT42</f>
        <v>2.9340106993124198</v>
      </c>
      <c r="DC42" s="4">
        <f>CU42</f>
        <v>0.84355498536627227</v>
      </c>
      <c r="DD42" s="4">
        <f>CW42</f>
        <v>2.5101763990389081</v>
      </c>
      <c r="DE42" s="4">
        <f>CZ42</f>
        <v>3.6561528398960266</v>
      </c>
      <c r="DF42" s="4">
        <f>CX42</f>
        <v>10.401470216954703</v>
      </c>
      <c r="DG42" s="4">
        <f>CY42</f>
        <v>1.1131805909252479</v>
      </c>
      <c r="DO42" s="4">
        <f>AM42</f>
        <v>0</v>
      </c>
      <c r="DP42" s="4">
        <f>K42</f>
        <v>127.2</v>
      </c>
      <c r="DS42" s="4">
        <f>J42/4/(1-0.3*(L42/30)^0.5)/200000/M42</f>
        <v>1.3307058507295954E-5</v>
      </c>
      <c r="DT42" s="4">
        <f>EO42</f>
        <v>11.016345201186075</v>
      </c>
      <c r="DU42" s="4">
        <f>EB42*AF42/257/L42/AC42</f>
        <v>0</v>
      </c>
      <c r="DV42" s="4">
        <f>DT42*DU42^0.4</f>
        <v>0</v>
      </c>
      <c r="DW42" s="4">
        <f>MIN(DT42, DT42/1.4*(1-DU42^1.4)/(1-DU42))</f>
        <v>7.8688180008471971</v>
      </c>
      <c r="DX42" s="4">
        <f>MAX(DT42/2, (4-DS42*(8*AF42*(DV42-DW42)+6*J42*DW42))/(4+DS42*J42*DT42)*DT42)</f>
        <v>10.90944284629022</v>
      </c>
      <c r="DY42" s="38">
        <f>MIN(1/M42*(4*AF42*(DV42-DW42)+(3*DW42+DX42)*J42)+EB42 -FI42,MAX(I42,AI42))</f>
        <v>67.682739585453916</v>
      </c>
      <c r="DZ42" s="4">
        <f>DY42/FE42</f>
        <v>0.88339033683583601</v>
      </c>
      <c r="EA42" s="4">
        <f>AF42/M42</f>
        <v>2.2360679774997898</v>
      </c>
      <c r="EB42" s="4">
        <f>MIN(EA$10*BA42)</f>
        <v>0</v>
      </c>
      <c r="EF42" s="4">
        <f>IF(T42&gt;1*M42,0.85,1)</f>
        <v>0.85</v>
      </c>
      <c r="EG42" s="4">
        <f>MIN(1,MAX(0.7,(1-0.1*(BY42-1*M42)/M42)))</f>
        <v>1</v>
      </c>
      <c r="EH42" s="4">
        <f>MIN(1,MAX(0.7,1-0.3*(PI()*AL42^2/4*AP42*2-0.25*PI()/4*M42^2)/(PI()/4*M42^2)))</f>
        <v>1</v>
      </c>
      <c r="EI42" s="4">
        <f>IF(EG42*EH42&lt;0.7,0.7,EG42*EH42)</f>
        <v>1</v>
      </c>
      <c r="EK42" s="4">
        <f>MIN(DT42/M42*3*J42+EL42-FI42,MAX(I42,AI42))</f>
        <v>632.4220937187315</v>
      </c>
      <c r="EL42" s="25">
        <f>26.5*P42*J42^0.5*L42^0.5/W42/M42^2*(0.7+R42/5/J42)</f>
        <v>500.22595130449861</v>
      </c>
      <c r="EO42" s="4">
        <f>IF(M42&lt;22.2,1.1*5*(L42/30)^0.5,IF(M42&gt;=31.8,0.9*5*(L42/30)^0.5,1*5*(L42/30)^0.5))/EF42/EI42</f>
        <v>11.016345201186075</v>
      </c>
      <c r="ER42" s="4">
        <f>ES42*M42</f>
        <v>71.106961684493314</v>
      </c>
      <c r="ES42" s="4">
        <f>AE42^0.5</f>
        <v>2.2360679774997898</v>
      </c>
      <c r="ET42" s="4">
        <f>MIN(EB42)/(4700*L42^0.5)/AD42*ER42</f>
        <v>0</v>
      </c>
      <c r="EW42" s="4">
        <f>ET42</f>
        <v>0</v>
      </c>
      <c r="EX42" s="4">
        <f>MIN(0.999, EW42/(0.3*(L42/30)^0.5))</f>
        <v>0</v>
      </c>
      <c r="EY42" s="4">
        <f>EO42/1*EX42^0.4</f>
        <v>0</v>
      </c>
      <c r="EZ42" s="4">
        <f>EO42/1.4*(1-EX42^1.4)/(1-EX42)</f>
        <v>7.8688180008471971</v>
      </c>
      <c r="FA42" s="4">
        <f>MAX(0,DP42*FA$9-ER42)</f>
        <v>0</v>
      </c>
      <c r="FB42" s="4">
        <f>MAX(0,DP42-ER42-FA42)</f>
        <v>56.093038315506689</v>
      </c>
      <c r="FC42" s="4">
        <f>FB42/(1-0.3*(L42/30)^0.5)/200000/M42</f>
        <v>2.347274662630318E-5</v>
      </c>
      <c r="FD42" s="4">
        <f>MAX(0.5*EO42, (1-2*FC42*(ER42*EY42+FA42*EZ42))/(1/EO42+FC42*FB42))</f>
        <v>10.858840376840076</v>
      </c>
      <c r="FE42" s="4">
        <f>MIN(4/M42*(1*EY42*ER42+EZ42*FA42+FB42*FD42)+EB42,MAX(I42,AI42))</f>
        <v>76.617025071705839</v>
      </c>
      <c r="FN42" s="23">
        <f>IF(CT42&lt;0.6,0.6,IF(CT42&lt;0.8,0.8,IF(CT42&lt;1,1,IF(CT42&lt;1.2,1.2,IF(CT42&lt;1.4,1.4,IF(CT42&lt;1.6,1.6,IF(CT42&lt;1.8,1.8,IF(CT42&lt;2,2,2.2))))))))</f>
        <v>2.2000000000000002</v>
      </c>
      <c r="FO42" s="23">
        <f>IF(CU42&lt;0.6,0.6,IF(CU42&lt;0.8,0.8,IF(CU42&lt;1,1,IF(CU42&lt;1.2,1.2,IF(CU42&lt;1.4,1.4,IF(CU42&lt;1.6,1.6,IF(CU42&lt;1.8,1.8,IF(CU42&lt;2,2,2.2))))))))</f>
        <v>1</v>
      </c>
      <c r="FP42" s="23">
        <f>IF(CZ42&lt;0.6,0.6,IF(CZ42&lt;0.8,0.8,IF(CZ42&lt;1,1,IF(CZ42&lt;1.2,1.2,IF(CZ42&lt;1.4,1.4,IF(CZ42&lt;1.6,1.6,IF(CZ42&lt;1.8,1.8,IF(CZ42&lt;2,2,2.2))))))))</f>
        <v>2.2000000000000002</v>
      </c>
      <c r="FQ42" s="23">
        <f>IF(CW42&lt;0.6,0.6,IF(CW42&lt;0.8,0.8,IF(CW42&lt;1,1,IF(CW42&lt;1.2,1.2,IF(CW42&lt;1.4,1.4,IF(CW42&lt;1.6,1.6,IF(CW42&lt;1.8,1.8,IF(CW42&lt;2,2,2.2))))))))</f>
        <v>2.2000000000000002</v>
      </c>
      <c r="FR42" s="23">
        <f>IF(CX42&lt;0.6,0.6,IF(CX42&lt;0.8,0.8,IF(CX42&lt;1,1,IF(CX42&lt;1.2,1.2,IF(CX42&lt;1.4,1.4,IF(CX42&lt;1.6,1.6,IF(CX42&lt;1.8,1.8,IF(CX42&lt;2,2,2.2))))))))</f>
        <v>2.2000000000000002</v>
      </c>
      <c r="FS42" s="23">
        <f>IF(CY42&lt;0.6,0.6,IF(CY42&lt;0.8,0.8,IF(CY42&lt;1,1,IF(CY42&lt;1.2,1.2,IF(CY42&lt;1.4,1.4,IF(CY42&lt;1.6,1.6,IF(CY42&lt;1.8,1.8,IF(CY42&lt;2,2,2.2))))))))</f>
        <v>1.2</v>
      </c>
      <c r="FT42" s="23">
        <f>IF(FR42&lt;1,1,0)</f>
        <v>0</v>
      </c>
      <c r="FU42" s="23"/>
      <c r="GE42" s="4">
        <f>IF(R42&gt;=2.5*25.4,1,1.25)</f>
        <v>1.25</v>
      </c>
      <c r="GF42" s="4">
        <f>IF(AN42&gt;1, 0.05*(18-MIN(8,(V42+M42)/M42))*(1-48000/MAX(60000,(I42*145))*(M42/25.4)^0.75*GG42), 1/12*(14-MIN(8,(V42+M42)/M42)))</f>
        <v>0.5</v>
      </c>
      <c r="GG42" s="4">
        <f>MIN(0.3, AL42^2*PI()/4*2*AO42/(M42^2*PI()/4*W42))</f>
        <v>0</v>
      </c>
      <c r="GH42" s="4">
        <f>(J42/25.4)/(M42/25.4)^1.5/0.0024*(L42*145)^0.25/GE42/GF42/145</f>
        <v>192.55212537012548</v>
      </c>
    </row>
    <row r="43" spans="1:190" s="4" customFormat="1" ht="12" customHeight="1" x14ac:dyDescent="0.3">
      <c r="A43" s="25">
        <v>188</v>
      </c>
      <c r="B43" s="24" t="s">
        <v>128</v>
      </c>
      <c r="C43" s="24">
        <v>2017</v>
      </c>
      <c r="D43" s="24" t="s">
        <v>309</v>
      </c>
      <c r="E43" s="24"/>
      <c r="F43" s="109" t="s">
        <v>800</v>
      </c>
      <c r="G43" s="4" t="s">
        <v>320</v>
      </c>
      <c r="H43" s="5">
        <f>J43/M43</f>
        <v>4</v>
      </c>
      <c r="I43" s="7">
        <v>649</v>
      </c>
      <c r="J43" s="104">
        <f>4*M43</f>
        <v>127.2</v>
      </c>
      <c r="K43" s="7">
        <f>J43</f>
        <v>127.2</v>
      </c>
      <c r="L43" s="10">
        <v>129.9</v>
      </c>
      <c r="M43" s="21">
        <v>31.8</v>
      </c>
      <c r="N43" s="7">
        <f>J43/M43</f>
        <v>4</v>
      </c>
      <c r="O43" s="7">
        <f>K43/M43</f>
        <v>4</v>
      </c>
      <c r="P43" s="7">
        <v>428</v>
      </c>
      <c r="Q43" s="32">
        <f>R43/M43</f>
        <v>1.5</v>
      </c>
      <c r="R43" s="7">
        <f>1.5*M43</f>
        <v>47.7</v>
      </c>
      <c r="S43" s="32">
        <f>T43/M43</f>
        <v>1.3773584905660377</v>
      </c>
      <c r="T43" s="7">
        <f>171-K43</f>
        <v>43.8</v>
      </c>
      <c r="U43" s="32">
        <f>V43/M43</f>
        <v>8.4591194968553456</v>
      </c>
      <c r="V43" s="7">
        <f>P43-2*M43-2*R43</f>
        <v>269</v>
      </c>
      <c r="W43" s="7">
        <v>2</v>
      </c>
      <c r="X43" s="122">
        <f>AM43</f>
        <v>0</v>
      </c>
      <c r="Y43" s="32">
        <f>Z43/M43</f>
        <v>2.6666666666666665</v>
      </c>
      <c r="Z43" s="10">
        <f>2/3*J43</f>
        <v>84.8</v>
      </c>
      <c r="AA43" s="7">
        <f>MIN(R43/M43+0.5, V43/2/M43+0.5)</f>
        <v>2</v>
      </c>
      <c r="AB43" s="7">
        <f>R43/M43+0.5</f>
        <v>2</v>
      </c>
      <c r="AC43" s="7">
        <f>2040/510</f>
        <v>4</v>
      </c>
      <c r="AD43" s="7">
        <f>2040/510</f>
        <v>4</v>
      </c>
      <c r="AE43" s="7">
        <f>AD43+1</f>
        <v>5</v>
      </c>
      <c r="AF43" s="7">
        <f>M43*AE43^0.5</f>
        <v>71.106961684493314</v>
      </c>
      <c r="AG43" s="7">
        <f>I43</f>
        <v>649</v>
      </c>
      <c r="AH43" s="7">
        <v>11</v>
      </c>
      <c r="AI43" s="7">
        <f>(741+710)/2</f>
        <v>725.5</v>
      </c>
      <c r="AJ43" s="7"/>
      <c r="AK43" s="4">
        <f>CX43</f>
        <v>10.18654298895237</v>
      </c>
      <c r="AL43" s="7">
        <v>0</v>
      </c>
      <c r="AM43" s="7">
        <v>0</v>
      </c>
      <c r="AN43" s="7">
        <f>K43</f>
        <v>127.2</v>
      </c>
      <c r="AO43" s="7"/>
      <c r="AP43" s="7"/>
      <c r="AQ43" s="7">
        <f>3*AR43/(V43+M43)</f>
        <v>1.2686170212765957</v>
      </c>
      <c r="AR43" s="4">
        <f>J43</f>
        <v>127.2</v>
      </c>
      <c r="AS43" s="4">
        <f>IF(J43*3&gt;V43+M43, P43, (R43+M43/2)*2+1.5*J43*(2*W43-2))*(3*J43)/(9*J43^2)</f>
        <v>1.1215932914046123</v>
      </c>
      <c r="AT43" s="4">
        <f>MIN(10*L43^0.5*J43^1.5,100*3.9*L43^0.5*J43^(5/3))/(PI()/4*M43^2)/W43</f>
        <v>102.93453939452981</v>
      </c>
      <c r="AU43" s="4">
        <f>MIN(0.7+0.3*(MIN(R43,Z43)+0.5*M43)/1.5/J43,1)</f>
        <v>0.79999999999999993</v>
      </c>
      <c r="AV43" s="4">
        <v>1.25</v>
      </c>
      <c r="AW43" s="47">
        <f>AW42</f>
        <v>5</v>
      </c>
      <c r="AX43" s="38">
        <f>AS43*AU43*AV43*AW43*AT43</f>
        <v>577.25344419364194</v>
      </c>
      <c r="AY43" s="38">
        <f>AX43</f>
        <v>577.25344419364194</v>
      </c>
      <c r="AZ43" s="38">
        <f>IF(L43&lt;50, 0.3*L43^(2/3), 2.12*LN(1+0.1*(L43+8)))</f>
        <v>5.7111767066521422</v>
      </c>
      <c r="BA43" s="38">
        <f>AW43* (L43^0.5/AR43^0.5)/(PI()/4*M43^2)/W43/0.72 *(0.7+(MIN(R43,Z43)+0.5*M43)/5/J43) *(3*P43*J43)</f>
        <v>577.25344419364239</v>
      </c>
      <c r="BB43" s="38">
        <f>AX43/BA43</f>
        <v>0.99999999999999922</v>
      </c>
      <c r="BC43" s="38">
        <f>BG43/BA43</f>
        <v>1.8002491114654926</v>
      </c>
      <c r="BD43" s="4">
        <f>IF(BC43&lt;1,1,0)</f>
        <v>0</v>
      </c>
      <c r="BE43" s="4">
        <f>K43/M43*L43^0.5/0.19</f>
        <v>239.94459194200661</v>
      </c>
      <c r="BF43" s="4">
        <f>MIN(0.6+0.4*(AB43/AA43),2)</f>
        <v>1</v>
      </c>
      <c r="BG43" s="38">
        <f>2*L43*AA43*AC43^0.5*BF43*0.7/0.7</f>
        <v>1039.2</v>
      </c>
      <c r="BH43" s="4">
        <f>MAX(1-0.7*AD43/5,0.3)</f>
        <v>0.44000000000000006</v>
      </c>
      <c r="BI43" s="4">
        <f>BH43*I43*K43/(I43*M43/2.75/L43^0.5)</f>
        <v>55.163261687467333</v>
      </c>
      <c r="BJ43" s="4">
        <f>BG43+BI43</f>
        <v>1094.3632616874675</v>
      </c>
      <c r="BL43" s="4">
        <f>MIN(1.5, 0.75+0.25*MIN(3,MAX(1,R43/M43))+0.4*MIN(1,(40*2*PI()*AL43^2/4/AN43/W43)/M43))</f>
        <v>1.125</v>
      </c>
      <c r="BM43" s="4">
        <f>(3*O43+30)*BL43*L43^0.5</f>
        <v>538.5256435398411</v>
      </c>
      <c r="BO43" s="4">
        <f>3.4/PI()^0.5*L43*AA43*AD43^0.5*BF43</f>
        <v>996.71988587880821</v>
      </c>
      <c r="BP43" s="4">
        <f>8/3*AG43*AH43^2/(AF43-M43-22)/M43*(AF43^2-M43^2)/(AF43^2-(M43+22)^2)</f>
        <v>711.96329095823319</v>
      </c>
      <c r="BQ43" s="4">
        <f>BP43/BO43</f>
        <v>0.71430629713030647</v>
      </c>
      <c r="BY43" s="4">
        <f>IF(V43=0,R43,MIN(V43/2,R43))</f>
        <v>47.7</v>
      </c>
      <c r="CC43" s="9"/>
      <c r="CE43" s="9"/>
      <c r="CF43" s="9"/>
      <c r="CG43" s="9">
        <f>IF(V43=0,MIN(R43,T43),MIN(V43/2,R43,T43))</f>
        <v>43.8</v>
      </c>
      <c r="CH43" s="9">
        <f>MAX(V43/2,R43)</f>
        <v>134.5</v>
      </c>
      <c r="CI43" s="9">
        <f>(CG43/M43)^0.5*(CH43/CG43)^0.15</f>
        <v>1.3887073091970812</v>
      </c>
      <c r="CJ43" s="70">
        <v>0</v>
      </c>
      <c r="CK43" s="9">
        <f>MIN(PI()*AL43^2/4*AM43*2/W43/M43/MAX(0.01,AN43),0.05)</f>
        <v>0</v>
      </c>
      <c r="CL43" s="9">
        <f>MAX(0,CJ43*(CK43-0.5/50))</f>
        <v>0</v>
      </c>
      <c r="CM43" s="9">
        <f>MIN(1,(25/M43)^0.3)</f>
        <v>0.93036607665491811</v>
      </c>
      <c r="CN43" s="9">
        <f>IF(I43&gt;=800,0.68,IF(I43&gt;=700,0.75-(I43-700)*0.07/100,IF(I43&gt;=600,0.85-(I43-600)*0.1/100,IF(I43&gt;=500,1-(I43-500)*0.15/100,1.2-(I43-400)*0.2/100))))</f>
        <v>0.80099999999999993</v>
      </c>
      <c r="CO43" s="9">
        <f>1.75*CM43*CN43*(L43/25)^0.5</f>
        <v>2.9727542082721463</v>
      </c>
      <c r="CP43" s="9">
        <f>MIN((CI43+CL43)*CO43,2.5*CO43,L43^0.5)</f>
        <v>4.1282854974739118</v>
      </c>
      <c r="CQ43" s="9">
        <v>1</v>
      </c>
      <c r="CR43" s="9">
        <f>4*CP43*O43+60*CP43</f>
        <v>313.74969780801729</v>
      </c>
      <c r="CT43" s="4">
        <f>AI43/BE43</f>
        <v>3.0236147192488074</v>
      </c>
      <c r="CU43" s="4">
        <f>AI43/BJ43</f>
        <v>0.66294257619842423</v>
      </c>
      <c r="CV43" s="4">
        <f>AI43/BM43</f>
        <v>1.3471967560005826</v>
      </c>
      <c r="CW43" s="4">
        <f>AI43/CR43</f>
        <v>2.3123528247792344</v>
      </c>
      <c r="CX43" s="44">
        <f>AI43/DY43</f>
        <v>10.18654298895237</v>
      </c>
      <c r="CY43" s="4">
        <f>AI43/EK43</f>
        <v>1.0396608877230671</v>
      </c>
      <c r="CZ43" s="4">
        <f>AI43/GH43</f>
        <v>3.7678109166826239</v>
      </c>
      <c r="DB43" s="4">
        <f>CT43</f>
        <v>3.0236147192488074</v>
      </c>
      <c r="DC43" s="4">
        <f>CU43</f>
        <v>0.66294257619842423</v>
      </c>
      <c r="DD43" s="4">
        <f>CW43</f>
        <v>2.3123528247792344</v>
      </c>
      <c r="DE43" s="4">
        <f>CZ43</f>
        <v>3.7678109166826239</v>
      </c>
      <c r="DF43" s="4">
        <f>CX43</f>
        <v>10.18654298895237</v>
      </c>
      <c r="DG43" s="4">
        <f>CY43</f>
        <v>1.0396608877230671</v>
      </c>
      <c r="DO43" s="4">
        <f>AM43</f>
        <v>0</v>
      </c>
      <c r="DP43" s="4">
        <f>K43</f>
        <v>127.2</v>
      </c>
      <c r="DS43" s="4">
        <f>J43/4/(1-0.3*(L43/30)^0.5)/200000/M43</f>
        <v>1.3307058507295954E-5</v>
      </c>
      <c r="DT43" s="4">
        <f>EO43</f>
        <v>11.596152843353764</v>
      </c>
      <c r="DU43" s="4">
        <f>EB43*AF43/257/L43/AC43</f>
        <v>0</v>
      </c>
      <c r="DV43" s="4">
        <f>DT43*DU43^0.4</f>
        <v>0</v>
      </c>
      <c r="DW43" s="4">
        <f>MIN(DT43, DT43/1.4*(1-DU43^1.4)/(1-DU43))</f>
        <v>8.2829663166812608</v>
      </c>
      <c r="DX43" s="4">
        <f>MAX(DT43/2, (4-DS43*(8*AF43*(DV43-DW43)+6*J43*DW43))/(4+DS43*J43*DT43)*DT43)</f>
        <v>11.477730401186843</v>
      </c>
      <c r="DY43" s="38">
        <f>MIN(1/M43*(4*AF43*(DV43-DW43)+(3*DW43+DX43)*J43)+EB43 -FI43,MAX(I43,AI43))</f>
        <v>71.221414447161109</v>
      </c>
      <c r="DZ43" s="4">
        <f>DY43/FE43</f>
        <v>0.88376255312510954</v>
      </c>
      <c r="EA43" s="4">
        <f>AF43/M43</f>
        <v>2.2360679774997898</v>
      </c>
      <c r="EB43" s="4">
        <f>MIN(EA$10*BA43)</f>
        <v>0</v>
      </c>
      <c r="EF43" s="4">
        <f>IF(T43&gt;1*M43,0.85,1)</f>
        <v>0.85</v>
      </c>
      <c r="EG43" s="4">
        <f>MIN(1,MAX(0.7,(1-0.1*(BY43-1*M43)/M43)))</f>
        <v>0.95</v>
      </c>
      <c r="EH43" s="4">
        <f>MIN(1,MAX(0.7,1-0.3*(PI()*AL43^2/4*AP43*2-0.25*PI()/4*M43^2)/(PI()/4*M43^2)))</f>
        <v>1</v>
      </c>
      <c r="EI43" s="4">
        <f>IF(EG43*EH43&lt;0.7,0.7,EG43*EH43)</f>
        <v>0.95</v>
      </c>
      <c r="EK43" s="4">
        <f>MIN(DT43/M43*3*J43+EL43-FI43,MAX(I43,AI43))</f>
        <v>697.82369286671712</v>
      </c>
      <c r="EL43" s="25">
        <f>26.5*P43*J43^0.5*L43^0.5/W43/M43^2*(0.7+R43/5/J43)</f>
        <v>558.66985874647196</v>
      </c>
      <c r="EO43" s="4">
        <f>IF(M43&lt;22.2,1.1*5*(L43/30)^0.5,IF(M43&gt;=31.8,0.9*5*(L43/30)^0.5,1*5*(L43/30)^0.5))/EF43/EI43</f>
        <v>11.596152843353764</v>
      </c>
      <c r="ER43" s="4">
        <f>ES43*M43</f>
        <v>71.106961684493314</v>
      </c>
      <c r="ES43" s="4">
        <f>AE43^0.5</f>
        <v>2.2360679774997898</v>
      </c>
      <c r="ET43" s="4">
        <f>MIN(EB43)/(4700*L43^0.5)/AD43*ER43</f>
        <v>0</v>
      </c>
      <c r="EW43" s="4">
        <f>ET43</f>
        <v>0</v>
      </c>
      <c r="EX43" s="4">
        <f>MIN(0.999, EW43/(0.3*(L43/30)^0.5))</f>
        <v>0</v>
      </c>
      <c r="EY43" s="4">
        <f>EO43/1*EX43^0.4</f>
        <v>0</v>
      </c>
      <c r="EZ43" s="4">
        <f>EO43/1.4*(1-EX43^1.4)/(1-EX43)</f>
        <v>8.2829663166812608</v>
      </c>
      <c r="FA43" s="4">
        <f>MAX(0,DP43*FA$9-ER43)</f>
        <v>0</v>
      </c>
      <c r="FB43" s="4">
        <f>MAX(0,DP43-ER43-FA43)</f>
        <v>56.093038315506689</v>
      </c>
      <c r="FC43" s="4">
        <f>FB43/(1-0.3*(L43/30)^0.5)/200000/M43</f>
        <v>2.347274662630318E-5</v>
      </c>
      <c r="FD43" s="4">
        <f>MAX(0.5*EO43, (1-2*FC43*(ER43*EY43+FA43*EZ43))/(1/EO43+FC43*FB43))</f>
        <v>11.42176348920756</v>
      </c>
      <c r="FE43" s="4">
        <f>MIN(4/M43*(1*EY43*ER43+EZ43*FA43+FB43*FD43)+EB43,MAX(I43,AI43))</f>
        <v>80.588857488147809</v>
      </c>
      <c r="FN43" s="23">
        <f>IF(CT43&lt;0.6,0.6,IF(CT43&lt;0.8,0.8,IF(CT43&lt;1,1,IF(CT43&lt;1.2,1.2,IF(CT43&lt;1.4,1.4,IF(CT43&lt;1.6,1.6,IF(CT43&lt;1.8,1.8,IF(CT43&lt;2,2,2.2))))))))</f>
        <v>2.2000000000000002</v>
      </c>
      <c r="FO43" s="23">
        <f>IF(CU43&lt;0.6,0.6,IF(CU43&lt;0.8,0.8,IF(CU43&lt;1,1,IF(CU43&lt;1.2,1.2,IF(CU43&lt;1.4,1.4,IF(CU43&lt;1.6,1.6,IF(CU43&lt;1.8,1.8,IF(CU43&lt;2,2,2.2))))))))</f>
        <v>0.8</v>
      </c>
      <c r="FP43" s="23">
        <f>IF(CZ43&lt;0.6,0.6,IF(CZ43&lt;0.8,0.8,IF(CZ43&lt;1,1,IF(CZ43&lt;1.2,1.2,IF(CZ43&lt;1.4,1.4,IF(CZ43&lt;1.6,1.6,IF(CZ43&lt;1.8,1.8,IF(CZ43&lt;2,2,2.2))))))))</f>
        <v>2.2000000000000002</v>
      </c>
      <c r="FQ43" s="23">
        <f>IF(CW43&lt;0.6,0.6,IF(CW43&lt;0.8,0.8,IF(CW43&lt;1,1,IF(CW43&lt;1.2,1.2,IF(CW43&lt;1.4,1.4,IF(CW43&lt;1.6,1.6,IF(CW43&lt;1.8,1.8,IF(CW43&lt;2,2,2.2))))))))</f>
        <v>2.2000000000000002</v>
      </c>
      <c r="FR43" s="23">
        <f>IF(CX43&lt;0.6,0.6,IF(CX43&lt;0.8,0.8,IF(CX43&lt;1,1,IF(CX43&lt;1.2,1.2,IF(CX43&lt;1.4,1.4,IF(CX43&lt;1.6,1.6,IF(CX43&lt;1.8,1.8,IF(CX43&lt;2,2,2.2))))))))</f>
        <v>2.2000000000000002</v>
      </c>
      <c r="FS43" s="23">
        <f>IF(CY43&lt;0.6,0.6,IF(CY43&lt;0.8,0.8,IF(CY43&lt;1,1,IF(CY43&lt;1.2,1.2,IF(CY43&lt;1.4,1.4,IF(CY43&lt;1.6,1.6,IF(CY43&lt;1.8,1.8,IF(CY43&lt;2,2,2.2))))))))</f>
        <v>1.2</v>
      </c>
      <c r="FT43" s="23">
        <f>IF(FR43&lt;1,1,0)</f>
        <v>0</v>
      </c>
      <c r="FU43" s="23"/>
      <c r="GE43" s="4">
        <f>IF(R43&gt;=2.5*25.4,1,1.25)</f>
        <v>1.25</v>
      </c>
      <c r="GF43" s="4">
        <f>IF(AN43&gt;1, 0.05*(18-MIN(8,(V43+M43)/M43))*(1-48000/MAX(60000,(I43*145))*(M43/25.4)^0.75*GG43), 1/12*(14-MIN(8,(V43+M43)/M43)))</f>
        <v>0.5</v>
      </c>
      <c r="GG43" s="4">
        <f>MIN(0.3, AL43^2*PI()/4*2*AO43/(M43^2*PI()/4*W43))</f>
        <v>0</v>
      </c>
      <c r="GH43" s="4">
        <f>(J43/25.4)/(M43/25.4)^1.5/0.0024*(L43*145)^0.25/GE43/GF43/145</f>
        <v>192.55212537012548</v>
      </c>
    </row>
    <row r="44" spans="1:190" s="4" customFormat="1" ht="12" customHeight="1" x14ac:dyDescent="0.3">
      <c r="A44" s="25">
        <v>189</v>
      </c>
      <c r="B44" s="24" t="s">
        <v>128</v>
      </c>
      <c r="C44" s="24">
        <v>2017</v>
      </c>
      <c r="D44" s="24" t="s">
        <v>309</v>
      </c>
      <c r="E44" s="24"/>
      <c r="F44" s="109" t="s">
        <v>800</v>
      </c>
      <c r="G44" s="4" t="s">
        <v>321</v>
      </c>
      <c r="H44" s="5">
        <f>J44/M44</f>
        <v>4</v>
      </c>
      <c r="I44" s="7">
        <v>649</v>
      </c>
      <c r="J44" s="104">
        <f>4*M44</f>
        <v>127.2</v>
      </c>
      <c r="K44" s="7">
        <f>J44</f>
        <v>127.2</v>
      </c>
      <c r="L44" s="10">
        <v>129.9</v>
      </c>
      <c r="M44" s="21">
        <v>31.8</v>
      </c>
      <c r="N44" s="7">
        <f>J44/M44</f>
        <v>4</v>
      </c>
      <c r="O44" s="7">
        <f>K44/M44</f>
        <v>4</v>
      </c>
      <c r="P44" s="7">
        <v>428</v>
      </c>
      <c r="Q44" s="32">
        <f>R44/M44</f>
        <v>1.5</v>
      </c>
      <c r="R44" s="7">
        <f>1.5*M44</f>
        <v>47.7</v>
      </c>
      <c r="S44" s="32">
        <f>T44/M44</f>
        <v>1.3773584905660377</v>
      </c>
      <c r="T44" s="7">
        <f>171-K44</f>
        <v>43.8</v>
      </c>
      <c r="U44" s="32">
        <f>V44/M44</f>
        <v>8.4591194968553456</v>
      </c>
      <c r="V44" s="7">
        <f>P44-2*M44-2*R44</f>
        <v>269</v>
      </c>
      <c r="W44" s="7">
        <v>2</v>
      </c>
      <c r="X44" s="122">
        <f>AM44</f>
        <v>0</v>
      </c>
      <c r="Y44" s="32">
        <f>Z44/M44</f>
        <v>2.6666666666666665</v>
      </c>
      <c r="Z44" s="10">
        <f>2/3*J44</f>
        <v>84.8</v>
      </c>
      <c r="AA44" s="7">
        <f>MIN(R44/M44+0.5, V44/2/M44+0.5)</f>
        <v>2</v>
      </c>
      <c r="AB44" s="7">
        <f>R44/M44+0.5</f>
        <v>2</v>
      </c>
      <c r="AC44" s="7">
        <f>2040/510</f>
        <v>4</v>
      </c>
      <c r="AD44" s="7">
        <f>2040/510</f>
        <v>4</v>
      </c>
      <c r="AE44" s="7">
        <f>AD44+1</f>
        <v>5</v>
      </c>
      <c r="AF44" s="7">
        <f>M44*AE44^0.5</f>
        <v>71.106961684493314</v>
      </c>
      <c r="AG44" s="7">
        <f>I44</f>
        <v>649</v>
      </c>
      <c r="AH44" s="7">
        <v>11</v>
      </c>
      <c r="AI44" s="7">
        <f>(728+714)/2</f>
        <v>721</v>
      </c>
      <c r="AJ44" s="7"/>
      <c r="AK44" s="4">
        <f>CX44</f>
        <v>10.123359745051218</v>
      </c>
      <c r="AL44" s="7">
        <v>0</v>
      </c>
      <c r="AM44" s="7">
        <v>0</v>
      </c>
      <c r="AN44" s="7">
        <f>K44</f>
        <v>127.2</v>
      </c>
      <c r="AO44" s="7"/>
      <c r="AP44" s="7"/>
      <c r="AQ44" s="7">
        <f>3*AR44/(V44+M44)</f>
        <v>1.2686170212765957</v>
      </c>
      <c r="AR44" s="4">
        <f>J44</f>
        <v>127.2</v>
      </c>
      <c r="AS44" s="4">
        <f>IF(J44*3&gt;V44+M44, P44, (R44+M44/2)*2+1.5*J44*(2*W44-2))*(3*J44)/(9*J44^2)</f>
        <v>1.1215932914046123</v>
      </c>
      <c r="AT44" s="4">
        <f>MIN(10*L44^0.5*J44^1.5,100*3.9*L44^0.5*J44^(5/3))/(PI()/4*M44^2)/W44</f>
        <v>102.93453939452981</v>
      </c>
      <c r="AU44" s="4">
        <f>MIN(0.7+0.3*(MIN(R44,Z44)+0.5*M44)/1.5/J44,1)</f>
        <v>0.79999999999999993</v>
      </c>
      <c r="AV44" s="4">
        <v>1.25</v>
      </c>
      <c r="AW44" s="47">
        <f>AW43</f>
        <v>5</v>
      </c>
      <c r="AX44" s="38">
        <f>AS44*AU44*AV44*AW44*AT44</f>
        <v>577.25344419364194</v>
      </c>
      <c r="AY44" s="38">
        <f>AX44</f>
        <v>577.25344419364194</v>
      </c>
      <c r="AZ44" s="38">
        <f>IF(L44&lt;50, 0.3*L44^(2/3), 2.12*LN(1+0.1*(L44+8)))</f>
        <v>5.7111767066521422</v>
      </c>
      <c r="BA44" s="38">
        <f>AW44* (L44^0.5/AR44^0.5)/(PI()/4*M44^2)/W44/0.72 *(0.7+(MIN(R44,Z44)+0.5*M44)/5/J44) *(3*P44*J44)</f>
        <v>577.25344419364239</v>
      </c>
      <c r="BB44" s="38">
        <f>AX44/BA44</f>
        <v>0.99999999999999922</v>
      </c>
      <c r="BC44" s="38">
        <f>BG44/BA44</f>
        <v>1.8002491114654926</v>
      </c>
      <c r="BD44" s="4">
        <f>IF(BC44&lt;1,1,0)</f>
        <v>0</v>
      </c>
      <c r="BE44" s="4">
        <f>K44/M44*L44^0.5/0.19</f>
        <v>239.94459194200661</v>
      </c>
      <c r="BF44" s="4">
        <f>MIN(0.6+0.4*(AB44/AA44),2)</f>
        <v>1</v>
      </c>
      <c r="BG44" s="38">
        <f>2*L44*AA44*AC44^0.5*BF44*0.7/0.7</f>
        <v>1039.2</v>
      </c>
      <c r="BH44" s="4">
        <f>MAX(1-0.7*AD44/5,0.3)</f>
        <v>0.44000000000000006</v>
      </c>
      <c r="BI44" s="4">
        <f>BH44*I44*K44/(I44*M44/2.75/L44^0.5)</f>
        <v>55.163261687467333</v>
      </c>
      <c r="BJ44" s="4">
        <f>BG44+BI44</f>
        <v>1094.3632616874675</v>
      </c>
      <c r="BL44" s="4">
        <f>MIN(1.5, 0.75+0.25*MIN(3,MAX(1,R44/M44))+0.4*MIN(1,(40*2*PI()*AL44^2/4/AN44/W44)/M44))</f>
        <v>1.125</v>
      </c>
      <c r="BM44" s="4">
        <f>(3*O44+30)*BL44*L44^0.5</f>
        <v>538.5256435398411</v>
      </c>
      <c r="BO44" s="4">
        <f>3.4/PI()^0.5*L44*AA44*AD44^0.5*BF44</f>
        <v>996.71988587880821</v>
      </c>
      <c r="BP44" s="4">
        <f>8/3*AG44*AH44^2/(AF44-M44-22)/M44*(AF44^2-M44^2)/(AF44^2-(M44+22)^2)</f>
        <v>711.96329095823319</v>
      </c>
      <c r="BQ44" s="4">
        <f>BP44/BO44</f>
        <v>0.71430629713030647</v>
      </c>
      <c r="BY44" s="4">
        <f>IF(V44=0,R44,MIN(V44/2,R44))</f>
        <v>47.7</v>
      </c>
      <c r="CC44" s="9"/>
      <c r="CE44" s="9"/>
      <c r="CF44" s="9"/>
      <c r="CG44" s="9">
        <f>IF(V44=0,MIN(R44,T44),MIN(V44/2,R44,T44))</f>
        <v>43.8</v>
      </c>
      <c r="CH44" s="9">
        <f>MAX(V44/2,R44)</f>
        <v>134.5</v>
      </c>
      <c r="CI44" s="9">
        <f>(CG44/M44)^0.5*(CH44/CG44)^0.15</f>
        <v>1.3887073091970812</v>
      </c>
      <c r="CJ44" s="70">
        <v>0</v>
      </c>
      <c r="CK44" s="9">
        <f>MIN(PI()*AL44^2/4*AM44*2/W44/M44/MAX(0.01,AN44),0.05)</f>
        <v>0</v>
      </c>
      <c r="CL44" s="9">
        <f>MAX(0,CJ44*(CK44-0.5/50))</f>
        <v>0</v>
      </c>
      <c r="CM44" s="9">
        <f>MIN(1,(25/M44)^0.3)</f>
        <v>0.93036607665491811</v>
      </c>
      <c r="CN44" s="9">
        <f>IF(I44&gt;=800,0.68,IF(I44&gt;=700,0.75-(I44-700)*0.07/100,IF(I44&gt;=600,0.85-(I44-600)*0.1/100,IF(I44&gt;=500,1-(I44-500)*0.15/100,1.2-(I44-400)*0.2/100))))</f>
        <v>0.80099999999999993</v>
      </c>
      <c r="CO44" s="9">
        <f>1.75*CM44*CN44*(L44/25)^0.5</f>
        <v>2.9727542082721463</v>
      </c>
      <c r="CP44" s="9">
        <f>MIN((CI44+CL44)*CO44,2.5*CO44,L44^0.5)</f>
        <v>4.1282854974739118</v>
      </c>
      <c r="CQ44" s="9">
        <v>1</v>
      </c>
      <c r="CR44" s="9">
        <f>4*CP44*O44+60*CP44</f>
        <v>313.74969780801729</v>
      </c>
      <c r="CT44" s="4">
        <f>AI44/BE44</f>
        <v>3.0048603894946799</v>
      </c>
      <c r="CU44" s="4">
        <f>AI44/BJ44</f>
        <v>0.65883059605660077</v>
      </c>
      <c r="CV44" s="4">
        <f>AI44/BM44</f>
        <v>1.3388406079619848</v>
      </c>
      <c r="CW44" s="4">
        <f>AI44/CR44</f>
        <v>2.2980101814828782</v>
      </c>
      <c r="CX44" s="44">
        <f>AI44/DY44</f>
        <v>10.123359745051218</v>
      </c>
      <c r="CY44" s="4">
        <f>AI44/EK44</f>
        <v>1.0332122674684099</v>
      </c>
      <c r="CZ44" s="4">
        <f>AI44/GH44</f>
        <v>3.7444406215412429</v>
      </c>
      <c r="DB44" s="4">
        <f>CT44</f>
        <v>3.0048603894946799</v>
      </c>
      <c r="DC44" s="4">
        <f>CU44</f>
        <v>0.65883059605660077</v>
      </c>
      <c r="DD44" s="4">
        <f>CW44</f>
        <v>2.2980101814828782</v>
      </c>
      <c r="DE44" s="4">
        <f>CZ44</f>
        <v>3.7444406215412429</v>
      </c>
      <c r="DF44" s="4">
        <f>CX44</f>
        <v>10.123359745051218</v>
      </c>
      <c r="DG44" s="4">
        <f>CY44</f>
        <v>1.0332122674684099</v>
      </c>
      <c r="DO44" s="4">
        <f>AM44</f>
        <v>0</v>
      </c>
      <c r="DP44" s="4">
        <f>K44</f>
        <v>127.2</v>
      </c>
      <c r="DS44" s="4">
        <f>J44/4/(1-0.3*(L44/30)^0.5)/200000/M44</f>
        <v>1.3307058507295954E-5</v>
      </c>
      <c r="DT44" s="4">
        <f>EO44</f>
        <v>11.596152843353764</v>
      </c>
      <c r="DU44" s="4">
        <f>EB44*AF44/257/L44/AC44</f>
        <v>0</v>
      </c>
      <c r="DV44" s="4">
        <f>DT44*DU44^0.4</f>
        <v>0</v>
      </c>
      <c r="DW44" s="4">
        <f>MIN(DT44, DT44/1.4*(1-DU44^1.4)/(1-DU44))</f>
        <v>8.2829663166812608</v>
      </c>
      <c r="DX44" s="4">
        <f>MAX(DT44/2, (4-DS44*(8*AF44*(DV44-DW44)+6*J44*DW44))/(4+DS44*J44*DT44)*DT44)</f>
        <v>11.477730401186843</v>
      </c>
      <c r="DY44" s="38">
        <f>MIN(1/M44*(4*AF44*(DV44-DW44)+(3*DW44+DX44)*J44)+EB44 -FI44,MAX(I44,AI44))</f>
        <v>71.221414447161109</v>
      </c>
      <c r="DZ44" s="4">
        <f>DY44/FE44</f>
        <v>0.88376255312510954</v>
      </c>
      <c r="EA44" s="4">
        <f>AF44/M44</f>
        <v>2.2360679774997898</v>
      </c>
      <c r="EB44" s="4">
        <f>MIN(EA$10*BA44)</f>
        <v>0</v>
      </c>
      <c r="EF44" s="4">
        <f>IF(T44&gt;1*M44,0.85,1)</f>
        <v>0.85</v>
      </c>
      <c r="EG44" s="4">
        <f>MIN(1,MAX(0.7,(1-0.1*(BY44-1*M44)/M44)))</f>
        <v>0.95</v>
      </c>
      <c r="EH44" s="4">
        <f>MIN(1,MAX(0.7,1-0.3*(PI()*AL44^2/4*AP44*2-0.25*PI()/4*M44^2)/(PI()/4*M44^2)))</f>
        <v>1</v>
      </c>
      <c r="EI44" s="4">
        <f>IF(EG44*EH44&lt;0.7,0.7,EG44*EH44)</f>
        <v>0.95</v>
      </c>
      <c r="EK44" s="4">
        <f>MIN(DT44/M44*3*J44+EL44-FI44,MAX(I44,AI44))</f>
        <v>697.82369286671712</v>
      </c>
      <c r="EL44" s="25">
        <f>26.5*P44*J44^0.5*L44^0.5/W44/M44^2*(0.7+R44/5/J44)</f>
        <v>558.66985874647196</v>
      </c>
      <c r="EO44" s="4">
        <f>IF(M44&lt;22.2,1.1*5*(L44/30)^0.5,IF(M44&gt;=31.8,0.9*5*(L44/30)^0.5,1*5*(L44/30)^0.5))/EF44/EI44</f>
        <v>11.596152843353764</v>
      </c>
      <c r="ER44" s="4">
        <f>ES44*M44</f>
        <v>71.106961684493314</v>
      </c>
      <c r="ES44" s="4">
        <f>AE44^0.5</f>
        <v>2.2360679774997898</v>
      </c>
      <c r="ET44" s="4">
        <f>MIN(EB44)/(4700*L44^0.5)/AD44*ER44</f>
        <v>0</v>
      </c>
      <c r="EW44" s="4">
        <f>ET44</f>
        <v>0</v>
      </c>
      <c r="EX44" s="4">
        <f>MIN(0.999, EW44/(0.3*(L44/30)^0.5))</f>
        <v>0</v>
      </c>
      <c r="EY44" s="4">
        <f>EO44/1*EX44^0.4</f>
        <v>0</v>
      </c>
      <c r="EZ44" s="4">
        <f>EO44/1.4*(1-EX44^1.4)/(1-EX44)</f>
        <v>8.2829663166812608</v>
      </c>
      <c r="FA44" s="4">
        <f>MAX(0,DP44*FA$9-ER44)</f>
        <v>0</v>
      </c>
      <c r="FB44" s="4">
        <f>MAX(0,DP44-ER44-FA44)</f>
        <v>56.093038315506689</v>
      </c>
      <c r="FC44" s="4">
        <f>FB44/(1-0.3*(L44/30)^0.5)/200000/M44</f>
        <v>2.347274662630318E-5</v>
      </c>
      <c r="FD44" s="4">
        <f>MAX(0.5*EO44, (1-2*FC44*(ER44*EY44+FA44*EZ44))/(1/EO44+FC44*FB44))</f>
        <v>11.42176348920756</v>
      </c>
      <c r="FE44" s="4">
        <f>MIN(4/M44*(1*EY44*ER44+EZ44*FA44+FB44*FD44)+EB44,MAX(I44,AI44))</f>
        <v>80.588857488147809</v>
      </c>
      <c r="FN44" s="23">
        <f>IF(CT44&lt;0.6,0.6,IF(CT44&lt;0.8,0.8,IF(CT44&lt;1,1,IF(CT44&lt;1.2,1.2,IF(CT44&lt;1.4,1.4,IF(CT44&lt;1.6,1.6,IF(CT44&lt;1.8,1.8,IF(CT44&lt;2,2,2.2))))))))</f>
        <v>2.2000000000000002</v>
      </c>
      <c r="FO44" s="23">
        <f>IF(CU44&lt;0.6,0.6,IF(CU44&lt;0.8,0.8,IF(CU44&lt;1,1,IF(CU44&lt;1.2,1.2,IF(CU44&lt;1.4,1.4,IF(CU44&lt;1.6,1.6,IF(CU44&lt;1.8,1.8,IF(CU44&lt;2,2,2.2))))))))</f>
        <v>0.8</v>
      </c>
      <c r="FP44" s="23">
        <f>IF(CZ44&lt;0.6,0.6,IF(CZ44&lt;0.8,0.8,IF(CZ44&lt;1,1,IF(CZ44&lt;1.2,1.2,IF(CZ44&lt;1.4,1.4,IF(CZ44&lt;1.6,1.6,IF(CZ44&lt;1.8,1.8,IF(CZ44&lt;2,2,2.2))))))))</f>
        <v>2.2000000000000002</v>
      </c>
      <c r="FQ44" s="23">
        <f>IF(CW44&lt;0.6,0.6,IF(CW44&lt;0.8,0.8,IF(CW44&lt;1,1,IF(CW44&lt;1.2,1.2,IF(CW44&lt;1.4,1.4,IF(CW44&lt;1.6,1.6,IF(CW44&lt;1.8,1.8,IF(CW44&lt;2,2,2.2))))))))</f>
        <v>2.2000000000000002</v>
      </c>
      <c r="FR44" s="23">
        <f>IF(CX44&lt;0.6,0.6,IF(CX44&lt;0.8,0.8,IF(CX44&lt;1,1,IF(CX44&lt;1.2,1.2,IF(CX44&lt;1.4,1.4,IF(CX44&lt;1.6,1.6,IF(CX44&lt;1.8,1.8,IF(CX44&lt;2,2,2.2))))))))</f>
        <v>2.2000000000000002</v>
      </c>
      <c r="FS44" s="23">
        <f>IF(CY44&lt;0.6,0.6,IF(CY44&lt;0.8,0.8,IF(CY44&lt;1,1,IF(CY44&lt;1.2,1.2,IF(CY44&lt;1.4,1.4,IF(CY44&lt;1.6,1.6,IF(CY44&lt;1.8,1.8,IF(CY44&lt;2,2,2.2))))))))</f>
        <v>1.2</v>
      </c>
      <c r="FT44" s="23">
        <f>IF(FR44&lt;1,1,0)</f>
        <v>0</v>
      </c>
      <c r="FU44" s="23"/>
      <c r="GE44" s="4">
        <f>IF(R44&gt;=2.5*25.4,1,1.25)</f>
        <v>1.25</v>
      </c>
      <c r="GF44" s="4">
        <f>IF(AN44&gt;1, 0.05*(18-MIN(8,(V44+M44)/M44))*(1-48000/MAX(60000,(I44*145))*(M44/25.4)^0.75*GG44), 1/12*(14-MIN(8,(V44+M44)/M44)))</f>
        <v>0.5</v>
      </c>
      <c r="GG44" s="4">
        <f>MIN(0.3, AL44^2*PI()/4*2*AO44/(M44^2*PI()/4*W44))</f>
        <v>0</v>
      </c>
      <c r="GH44" s="4">
        <f>(J44/25.4)/(M44/25.4)^1.5/0.0024*(L44*145)^0.25/GE44/GF44/145</f>
        <v>192.55212537012548</v>
      </c>
    </row>
    <row r="45" spans="1:190" s="4" customFormat="1" ht="12" customHeight="1" x14ac:dyDescent="0.3">
      <c r="A45" s="25">
        <v>192</v>
      </c>
      <c r="B45" s="24" t="s">
        <v>128</v>
      </c>
      <c r="C45" s="24">
        <v>2017</v>
      </c>
      <c r="D45" s="24" t="s">
        <v>309</v>
      </c>
      <c r="E45" s="24"/>
      <c r="F45" s="109" t="s">
        <v>800</v>
      </c>
      <c r="G45" s="4" t="s">
        <v>324</v>
      </c>
      <c r="H45" s="5">
        <f>J45/M45</f>
        <v>6</v>
      </c>
      <c r="I45" s="7">
        <v>649</v>
      </c>
      <c r="J45" s="106">
        <f>6*M45</f>
        <v>190.8</v>
      </c>
      <c r="K45" s="7">
        <f>J45</f>
        <v>190.8</v>
      </c>
      <c r="L45" s="10">
        <v>129.9</v>
      </c>
      <c r="M45" s="21">
        <v>31.8</v>
      </c>
      <c r="N45" s="7">
        <f>J45/M45</f>
        <v>6</v>
      </c>
      <c r="O45" s="7">
        <f>K45/M45</f>
        <v>6</v>
      </c>
      <c r="P45" s="7">
        <v>396</v>
      </c>
      <c r="Q45" s="32">
        <f>R45/M45</f>
        <v>1</v>
      </c>
      <c r="R45" s="7">
        <f>1*M45</f>
        <v>31.8</v>
      </c>
      <c r="S45" s="32">
        <f>T45/M45</f>
        <v>2.0503144654088046</v>
      </c>
      <c r="T45" s="7">
        <f>256-K45</f>
        <v>65.199999999999989</v>
      </c>
      <c r="U45" s="32">
        <f>V45/M45</f>
        <v>8.4528301886792434</v>
      </c>
      <c r="V45" s="7">
        <f>P45-2*M45-2*R45</f>
        <v>268.79999999999995</v>
      </c>
      <c r="W45" s="7">
        <v>2</v>
      </c>
      <c r="X45" s="122">
        <f>AM45</f>
        <v>0</v>
      </c>
      <c r="Y45" s="32">
        <f>Z45/M45</f>
        <v>4</v>
      </c>
      <c r="Z45" s="10">
        <f>2/3*J45</f>
        <v>127.2</v>
      </c>
      <c r="AA45" s="7">
        <f>MIN(R45/M45+0.5, V45/2/M45+0.5)</f>
        <v>1.5</v>
      </c>
      <c r="AB45" s="7">
        <f>R45/M45+0.5</f>
        <v>1.5</v>
      </c>
      <c r="AC45" s="7">
        <f>2040/510</f>
        <v>4</v>
      </c>
      <c r="AD45" s="7">
        <f>2040/510</f>
        <v>4</v>
      </c>
      <c r="AE45" s="7">
        <f>AD45+1</f>
        <v>5</v>
      </c>
      <c r="AF45" s="7">
        <f>M45*AE45^0.5</f>
        <v>71.106961684493314</v>
      </c>
      <c r="AG45" s="7">
        <f>I45</f>
        <v>649</v>
      </c>
      <c r="AH45" s="7">
        <v>11</v>
      </c>
      <c r="AI45" s="7">
        <f>(723+708)/2</f>
        <v>715.5</v>
      </c>
      <c r="AJ45" s="7"/>
      <c r="AK45" s="4">
        <f>CX45</f>
        <v>5.2925303112108706</v>
      </c>
      <c r="AL45" s="7">
        <v>0</v>
      </c>
      <c r="AM45" s="7">
        <v>0</v>
      </c>
      <c r="AN45" s="7">
        <f>K45</f>
        <v>190.8</v>
      </c>
      <c r="AO45" s="7"/>
      <c r="AP45" s="7"/>
      <c r="AQ45" s="7">
        <f>3*AR45/(V45+M45)</f>
        <v>1.9041916167664676</v>
      </c>
      <c r="AR45" s="4">
        <f>J45</f>
        <v>190.8</v>
      </c>
      <c r="AS45" s="4">
        <f>IF(J45*3&gt;V45+M45, P45, (R45+M45/2)*2+1.5*J45*(2*W45-2))*(3*J45)/(9*J45^2)</f>
        <v>0.69182389937106914</v>
      </c>
      <c r="AT45" s="4">
        <f>MIN(10*L45^0.5*J45^1.5,100*3.9*L45^0.5*J45^(5/3))/(PI()/4*M45^2)/W45</f>
        <v>189.10282381875894</v>
      </c>
      <c r="AU45" s="4">
        <f>MIN(0.7+0.3*(MIN(R45,Z45)+0.5*M45)/1.5/J45,1)</f>
        <v>0.75</v>
      </c>
      <c r="AV45" s="4">
        <v>1.25</v>
      </c>
      <c r="AW45" s="47">
        <f>AW44</f>
        <v>5</v>
      </c>
      <c r="AX45" s="38">
        <f>AS45*AU45*AV45*AW45*AT45</f>
        <v>613.2461857330037</v>
      </c>
      <c r="AY45" s="38">
        <f>AX45</f>
        <v>613.2461857330037</v>
      </c>
      <c r="AZ45" s="38">
        <f>IF(L45&lt;50, 0.3*L45^(2/3), 2.12*LN(1+0.1*(L45+8)))</f>
        <v>5.7111767066521422</v>
      </c>
      <c r="BA45" s="38">
        <f>AW45* (L45^0.5/AR45^0.5)/(PI()/4*M45^2)/W45/0.72 *(0.7+(MIN(R45,Z45)+0.5*M45)/5/J45) *(3*P45*J45)</f>
        <v>613.24618573300347</v>
      </c>
      <c r="BB45" s="38">
        <f>AX45/BA45</f>
        <v>1.0000000000000004</v>
      </c>
      <c r="BC45" s="38">
        <f>BG45/BA45</f>
        <v>1.2709414557033005</v>
      </c>
      <c r="BD45" s="4">
        <f>IF(BC45&lt;1,1,0)</f>
        <v>0</v>
      </c>
      <c r="BE45" s="4">
        <f>K45/M45*L45^0.5/0.19</f>
        <v>359.91688791300993</v>
      </c>
      <c r="BF45" s="4">
        <f>MIN(0.6+0.4*(AB45/AA45),2)</f>
        <v>1</v>
      </c>
      <c r="BG45" s="38">
        <f>2*L45*AA45*AC45^0.5*BF45*0.7/0.7</f>
        <v>779.40000000000009</v>
      </c>
      <c r="BH45" s="4">
        <f>MAX(1-0.7*AD45/5,0.3)</f>
        <v>0.44000000000000006</v>
      </c>
      <c r="BI45" s="4">
        <f>BH45*I45*K45/(I45*M45/2.75/L45^0.5)</f>
        <v>82.744892531200989</v>
      </c>
      <c r="BJ45" s="4">
        <f>BG45+BI45</f>
        <v>862.14489253120109</v>
      </c>
      <c r="BL45" s="4">
        <f>MIN(1.5, 0.75+0.25*MIN(3,MAX(1,R45/M45))+0.4*MIN(1,(40*2*PI()*AL45^2/4/AN45/W45)/M45))</f>
        <v>1</v>
      </c>
      <c r="BM45" s="4">
        <f>(3*O45+30)*BL45*L45^0.5</f>
        <v>547.07366962777508</v>
      </c>
      <c r="BO45" s="4">
        <f>3.4/PI()^0.5*L45*AA45*AD45^0.5*BF45</f>
        <v>747.53991440910613</v>
      </c>
      <c r="BP45" s="4">
        <f>8/3*AG45*AH45^2/(AF45-M45-22)/M45*(AF45^2-M45^2)/(AF45^2-(M45+22)^2)</f>
        <v>711.96329095823319</v>
      </c>
      <c r="BQ45" s="4">
        <f>BP45/BO45</f>
        <v>0.95240839617374207</v>
      </c>
      <c r="BY45" s="4">
        <f>IF(V45=0,R45,MIN(V45/2,R45))</f>
        <v>31.8</v>
      </c>
      <c r="CC45" s="9"/>
      <c r="CE45" s="9"/>
      <c r="CF45" s="9"/>
      <c r="CG45" s="9">
        <f>IF(V45=0,MIN(R45,T45),MIN(V45/2,R45,T45))</f>
        <v>31.8</v>
      </c>
      <c r="CH45" s="9">
        <f>MAX(V45/2,R45)</f>
        <v>134.39999999999998</v>
      </c>
      <c r="CI45" s="9">
        <f>(CG45/M45)^0.5*(CH45/CG45)^0.15</f>
        <v>1.2413544982455165</v>
      </c>
      <c r="CJ45" s="70">
        <v>0</v>
      </c>
      <c r="CK45" s="9">
        <f>MIN(PI()*AL45^2/4*AM45*2/W45/M45/MAX(0.01,AN45),0.05)</f>
        <v>0</v>
      </c>
      <c r="CL45" s="9">
        <f>MAX(0,CJ45*(CK45-0.5/50))</f>
        <v>0</v>
      </c>
      <c r="CM45" s="9">
        <f>MIN(1,(25/M45)^0.3)</f>
        <v>0.93036607665491811</v>
      </c>
      <c r="CN45" s="9">
        <f>IF(I45&gt;=800,0.68,IF(I45&gt;=700,0.75-(I45-700)*0.07/100,IF(I45&gt;=600,0.85-(I45-600)*0.1/100,IF(I45&gt;=500,1-(I45-500)*0.15/100,1.2-(I45-400)*0.2/100))))</f>
        <v>0.80099999999999993</v>
      </c>
      <c r="CO45" s="9">
        <f>1.75*CM45*CN45*(L45/25)^0.5</f>
        <v>2.9727542082721463</v>
      </c>
      <c r="CP45" s="9">
        <f>MIN((CI45+CL45)*CO45,2.5*CO45,L45^0.5)</f>
        <v>3.6902418086169178</v>
      </c>
      <c r="CQ45" s="9">
        <v>1</v>
      </c>
      <c r="CR45" s="9">
        <f>4*CP45*O45+60*CP45</f>
        <v>309.98031192382109</v>
      </c>
      <c r="CT45" s="4">
        <f>AI45/BE45</f>
        <v>1.9879589539375342</v>
      </c>
      <c r="CU45" s="4">
        <f>AI45/BJ45</f>
        <v>0.82990690567027392</v>
      </c>
      <c r="CV45" s="4">
        <f>AI45/BM45</f>
        <v>1.307867732853641</v>
      </c>
      <c r="CW45" s="4">
        <f>AI45/CR45</f>
        <v>2.3082111104392879</v>
      </c>
      <c r="CX45" s="44">
        <f>AI45/DY45</f>
        <v>5.2925303112108706</v>
      </c>
      <c r="CY45" s="4">
        <f>AI45/EK45</f>
        <v>1</v>
      </c>
      <c r="CZ45" s="4">
        <f>AI45/GH45</f>
        <v>2.4772512849863699</v>
      </c>
      <c r="DB45" s="4">
        <f>CT45</f>
        <v>1.9879589539375342</v>
      </c>
      <c r="DC45" s="4">
        <f>CU45</f>
        <v>0.82990690567027392</v>
      </c>
      <c r="DD45" s="4">
        <f>CW45</f>
        <v>2.3082111104392879</v>
      </c>
      <c r="DE45" s="4">
        <f>CZ45</f>
        <v>2.4772512849863699</v>
      </c>
      <c r="DF45" s="4">
        <f>CX45</f>
        <v>5.2925303112108706</v>
      </c>
      <c r="DG45" s="4">
        <f>CY45</f>
        <v>1</v>
      </c>
      <c r="DO45" s="4">
        <f>AM45</f>
        <v>0</v>
      </c>
      <c r="DP45" s="4">
        <f>K45</f>
        <v>190.8</v>
      </c>
      <c r="DS45" s="4">
        <f>J45/4/(1-0.3*(L45/30)^0.5)/200000/M45</f>
        <v>1.9960587760943931E-5</v>
      </c>
      <c r="DT45" s="4">
        <f>EO45</f>
        <v>11.016345201186075</v>
      </c>
      <c r="DU45" s="4">
        <f>EB45*AF45/257/L45/AC45</f>
        <v>0</v>
      </c>
      <c r="DV45" s="4">
        <f>DT45*DU45^0.4</f>
        <v>0</v>
      </c>
      <c r="DW45" s="4">
        <f>MIN(DT45, DT45/1.4*(1-DU45^1.4)/(1-DU45))</f>
        <v>7.8688180008471971</v>
      </c>
      <c r="DX45" s="4">
        <f>MAX(DT45/2, (4-DS45*(8*AF45*(DV45-DW45)+6*J45*DW45))/(4+DS45*J45*DT45)*DT45)</f>
        <v>10.655442997772214</v>
      </c>
      <c r="DY45" s="38">
        <f>MIN(1/M45*(4*AF45*(DV45-DW45)+(3*DW45+DX45)*J45)+EB45 -FI45,MAX(I45,AI45))</f>
        <v>135.19053419200952</v>
      </c>
      <c r="DZ45" s="4">
        <f>DY45/FE45</f>
        <v>0.86892426076993079</v>
      </c>
      <c r="EA45" s="4">
        <f>AF45/M45</f>
        <v>2.2360679774997898</v>
      </c>
      <c r="EB45" s="4">
        <f>MIN(EA$10*BA45)</f>
        <v>0</v>
      </c>
      <c r="EF45" s="4">
        <f>IF(T45&gt;1*M45,0.85,1)</f>
        <v>0.85</v>
      </c>
      <c r="EG45" s="4">
        <f>MIN(1,MAX(0.7,(1-0.1*(BY45-1*M45)/M45)))</f>
        <v>1</v>
      </c>
      <c r="EH45" s="4">
        <f>MIN(1,MAX(0.7,1-0.3*(PI()*AL45^2/4*AP45*2-0.25*PI()/4*M45^2)/(PI()/4*M45^2)))</f>
        <v>1</v>
      </c>
      <c r="EI45" s="4">
        <f>IF(EG45*EH45&lt;0.7,0.7,EG45*EH45)</f>
        <v>1</v>
      </c>
      <c r="EK45" s="4">
        <f>MIN(DT45/M45*3*J45+EL45-FI45,MAX(I45,AI45))</f>
        <v>715.5</v>
      </c>
      <c r="EL45" s="25">
        <f>26.5*P45*J45^0.5*L45^0.5/W45/M45^2*(0.7+R45/5/J45)</f>
        <v>599.03474243278185</v>
      </c>
      <c r="EO45" s="4">
        <f>IF(M45&lt;22.2,1.1*5*(L45/30)^0.5,IF(M45&gt;=31.8,0.9*5*(L45/30)^0.5,1*5*(L45/30)^0.5))/EF45/EI45</f>
        <v>11.016345201186075</v>
      </c>
      <c r="ER45" s="4">
        <f>ES45*M45</f>
        <v>71.106961684493314</v>
      </c>
      <c r="ES45" s="4">
        <f>AE45^0.5</f>
        <v>2.2360679774997898</v>
      </c>
      <c r="ET45" s="4">
        <f>MIN(EB45)/(4700*L45^0.5)/AD45*ER45</f>
        <v>0</v>
      </c>
      <c r="EW45" s="4">
        <f>ET45</f>
        <v>0</v>
      </c>
      <c r="EX45" s="4">
        <f>MIN(0.999, EW45/(0.3*(L45/30)^0.5))</f>
        <v>0</v>
      </c>
      <c r="EY45" s="4">
        <f>EO45/1*EX45^0.4</f>
        <v>0</v>
      </c>
      <c r="EZ45" s="4">
        <f>EO45/1.4*(1-EX45^1.4)/(1-EX45)</f>
        <v>7.8688180008471971</v>
      </c>
      <c r="FA45" s="4">
        <f>MAX(0,DP45*FA$9-ER45)</f>
        <v>0</v>
      </c>
      <c r="FB45" s="4">
        <f>MAX(0,DP45-ER45-FA45)</f>
        <v>119.6930383155067</v>
      </c>
      <c r="FC45" s="4">
        <f>FB45/(1-0.3*(L45/30)^0.5)/200000/M45</f>
        <v>5.0086863640895095E-5</v>
      </c>
      <c r="FD45" s="4">
        <f>MAX(0.5*EO45, (1-2*FC45*(ER45*EY45+FA45*EZ45))/(1/EO45+FC45*FB45))</f>
        <v>10.333860589404216</v>
      </c>
      <c r="FE45" s="4">
        <f>MIN(4/M45*(1*EY45*ER45+EZ45*FA45+FB45*FD45)+EB45,MAX(I45,AI45))</f>
        <v>155.58379515404573</v>
      </c>
      <c r="FN45" s="23">
        <f>IF(CT45&lt;0.6,0.6,IF(CT45&lt;0.8,0.8,IF(CT45&lt;1,1,IF(CT45&lt;1.2,1.2,IF(CT45&lt;1.4,1.4,IF(CT45&lt;1.6,1.6,IF(CT45&lt;1.8,1.8,IF(CT45&lt;2,2,2.2))))))))</f>
        <v>2</v>
      </c>
      <c r="FO45" s="23">
        <f>IF(CU45&lt;0.6,0.6,IF(CU45&lt;0.8,0.8,IF(CU45&lt;1,1,IF(CU45&lt;1.2,1.2,IF(CU45&lt;1.4,1.4,IF(CU45&lt;1.6,1.6,IF(CU45&lt;1.8,1.8,IF(CU45&lt;2,2,2.2))))))))</f>
        <v>1</v>
      </c>
      <c r="FP45" s="23">
        <f>IF(CZ45&lt;0.6,0.6,IF(CZ45&lt;0.8,0.8,IF(CZ45&lt;1,1,IF(CZ45&lt;1.2,1.2,IF(CZ45&lt;1.4,1.4,IF(CZ45&lt;1.6,1.6,IF(CZ45&lt;1.8,1.8,IF(CZ45&lt;2,2,2.2))))))))</f>
        <v>2.2000000000000002</v>
      </c>
      <c r="FQ45" s="23">
        <f>IF(CW45&lt;0.6,0.6,IF(CW45&lt;0.8,0.8,IF(CW45&lt;1,1,IF(CW45&lt;1.2,1.2,IF(CW45&lt;1.4,1.4,IF(CW45&lt;1.6,1.6,IF(CW45&lt;1.8,1.8,IF(CW45&lt;2,2,2.2))))))))</f>
        <v>2.2000000000000002</v>
      </c>
      <c r="FR45" s="23">
        <f>IF(CX45&lt;0.6,0.6,IF(CX45&lt;0.8,0.8,IF(CX45&lt;1,1,IF(CX45&lt;1.2,1.2,IF(CX45&lt;1.4,1.4,IF(CX45&lt;1.6,1.6,IF(CX45&lt;1.8,1.8,IF(CX45&lt;2,2,2.2))))))))</f>
        <v>2.2000000000000002</v>
      </c>
      <c r="FS45" s="23">
        <f>IF(CY45&lt;0.6,0.6,IF(CY45&lt;0.8,0.8,IF(CY45&lt;1,1,IF(CY45&lt;1.2,1.2,IF(CY45&lt;1.4,1.4,IF(CY45&lt;1.6,1.6,IF(CY45&lt;1.8,1.8,IF(CY45&lt;2,2,2.2))))))))</f>
        <v>1.2</v>
      </c>
      <c r="FT45" s="23">
        <f>IF(FR45&lt;1,1,0)</f>
        <v>0</v>
      </c>
      <c r="FU45" s="23"/>
      <c r="GE45" s="4">
        <f>IF(R45&gt;=2.5*25.4,1,1.25)</f>
        <v>1.25</v>
      </c>
      <c r="GF45" s="4">
        <f>IF(AN45&gt;1, 0.05*(18-MIN(8,(V45+M45)/M45))*(1-48000/MAX(60000,(I45*145))*(M45/25.4)^0.75*GG45), 1/12*(14-MIN(8,(V45+M45)/M45)))</f>
        <v>0.5</v>
      </c>
      <c r="GG45" s="4">
        <f>MIN(0.3, AL45^2*PI()/4*2*AO45/(M45^2*PI()/4*W45))</f>
        <v>0</v>
      </c>
      <c r="GH45" s="4">
        <f>(J45/25.4)/(M45/25.4)^1.5/0.0024*(L45*145)^0.25/GE45/GF45/145</f>
        <v>288.82818805518826</v>
      </c>
    </row>
    <row r="46" spans="1:190" s="4" customFormat="1" ht="12" customHeight="1" x14ac:dyDescent="0.3">
      <c r="A46" s="25">
        <v>193</v>
      </c>
      <c r="B46" s="24" t="s">
        <v>128</v>
      </c>
      <c r="C46" s="24">
        <v>2017</v>
      </c>
      <c r="D46" s="24" t="s">
        <v>309</v>
      </c>
      <c r="E46" s="24"/>
      <c r="F46" s="109" t="s">
        <v>800</v>
      </c>
      <c r="G46" s="4" t="s">
        <v>325</v>
      </c>
      <c r="H46" s="5">
        <f>J46/M46</f>
        <v>6</v>
      </c>
      <c r="I46" s="7">
        <v>649</v>
      </c>
      <c r="J46" s="106">
        <f>6*M46</f>
        <v>190.8</v>
      </c>
      <c r="K46" s="7">
        <f>J46</f>
        <v>190.8</v>
      </c>
      <c r="L46" s="10">
        <v>129.9</v>
      </c>
      <c r="M46" s="21">
        <v>31.8</v>
      </c>
      <c r="N46" s="7">
        <f>J46/M46</f>
        <v>6</v>
      </c>
      <c r="O46" s="7">
        <f>K46/M46</f>
        <v>6</v>
      </c>
      <c r="P46" s="7">
        <v>396</v>
      </c>
      <c r="Q46" s="32">
        <f>R46/M46</f>
        <v>1</v>
      </c>
      <c r="R46" s="7">
        <f>1*M46</f>
        <v>31.8</v>
      </c>
      <c r="S46" s="32">
        <f>T46/M46</f>
        <v>2.0503144654088046</v>
      </c>
      <c r="T46" s="7">
        <f>256-K46</f>
        <v>65.199999999999989</v>
      </c>
      <c r="U46" s="32">
        <f>V46/M46</f>
        <v>8.4528301886792434</v>
      </c>
      <c r="V46" s="7">
        <f>P46-2*M46-2*R46</f>
        <v>268.79999999999995</v>
      </c>
      <c r="W46" s="7">
        <v>2</v>
      </c>
      <c r="X46" s="122">
        <f>AM46</f>
        <v>0</v>
      </c>
      <c r="Y46" s="32">
        <f>Z46/M46</f>
        <v>4</v>
      </c>
      <c r="Z46" s="10">
        <f>2/3*J46</f>
        <v>127.2</v>
      </c>
      <c r="AA46" s="7">
        <f>MIN(R46/M46+0.5, V46/2/M46+0.5)</f>
        <v>1.5</v>
      </c>
      <c r="AB46" s="7">
        <f>R46/M46+0.5</f>
        <v>1.5</v>
      </c>
      <c r="AC46" s="7">
        <f>2040/510</f>
        <v>4</v>
      </c>
      <c r="AD46" s="7">
        <f>2040/510</f>
        <v>4</v>
      </c>
      <c r="AE46" s="7">
        <f>AD46+1</f>
        <v>5</v>
      </c>
      <c r="AF46" s="7">
        <f>M46*AE46^0.5</f>
        <v>71.106961684493314</v>
      </c>
      <c r="AG46" s="7">
        <f>I46</f>
        <v>649</v>
      </c>
      <c r="AH46" s="7">
        <v>11</v>
      </c>
      <c r="AI46" s="7">
        <f>(736+710)/2</f>
        <v>723</v>
      </c>
      <c r="AJ46" s="7"/>
      <c r="AK46" s="4">
        <f>CX46</f>
        <v>5.348007568141802</v>
      </c>
      <c r="AL46" s="7">
        <v>0</v>
      </c>
      <c r="AM46" s="7">
        <v>0</v>
      </c>
      <c r="AN46" s="7">
        <f>K46</f>
        <v>190.8</v>
      </c>
      <c r="AO46" s="7"/>
      <c r="AP46" s="7"/>
      <c r="AQ46" s="7">
        <f>3*AR46/(V46+M46)</f>
        <v>1.9041916167664676</v>
      </c>
      <c r="AR46" s="4">
        <f>J46</f>
        <v>190.8</v>
      </c>
      <c r="AS46" s="4">
        <f>IF(J46*3&gt;V46+M46, P46, (R46+M46/2)*2+1.5*J46*(2*W46-2))*(3*J46)/(9*J46^2)</f>
        <v>0.69182389937106914</v>
      </c>
      <c r="AT46" s="4">
        <f>MIN(10*L46^0.5*J46^1.5,100*3.9*L46^0.5*J46^(5/3))/(PI()/4*M46^2)/W46</f>
        <v>189.10282381875894</v>
      </c>
      <c r="AU46" s="4">
        <f>MIN(0.7+0.3*(MIN(R46,Z46)+0.5*M46)/1.5/J46,1)</f>
        <v>0.75</v>
      </c>
      <c r="AV46" s="4">
        <v>1.25</v>
      </c>
      <c r="AW46" s="47">
        <f>AW45</f>
        <v>5</v>
      </c>
      <c r="AX46" s="38">
        <f>AS46*AU46*AV46*AW46*AT46</f>
        <v>613.2461857330037</v>
      </c>
      <c r="AY46" s="38">
        <f>AX46</f>
        <v>613.2461857330037</v>
      </c>
      <c r="AZ46" s="38">
        <f>IF(L46&lt;50, 0.3*L46^(2/3), 2.12*LN(1+0.1*(L46+8)))</f>
        <v>5.7111767066521422</v>
      </c>
      <c r="BA46" s="38">
        <f>AW46* (L46^0.5/AR46^0.5)/(PI()/4*M46^2)/W46/0.72 *(0.7+(MIN(R46,Z46)+0.5*M46)/5/J46) *(3*P46*J46)</f>
        <v>613.24618573300347</v>
      </c>
      <c r="BB46" s="38">
        <f>AX46/BA46</f>
        <v>1.0000000000000004</v>
      </c>
      <c r="BC46" s="38">
        <f>BG46/BA46</f>
        <v>1.2709414557033005</v>
      </c>
      <c r="BD46" s="4">
        <f>IF(BC46&lt;1,1,0)</f>
        <v>0</v>
      </c>
      <c r="BE46" s="4">
        <f>K46/M46*L46^0.5/0.19</f>
        <v>359.91688791300993</v>
      </c>
      <c r="BF46" s="4">
        <f>MIN(0.6+0.4*(AB46/AA46),2)</f>
        <v>1</v>
      </c>
      <c r="BG46" s="38">
        <f>2*L46*AA46*AC46^0.5*BF46*0.7/0.7</f>
        <v>779.40000000000009</v>
      </c>
      <c r="BH46" s="4">
        <f>MAX(1-0.7*AD46/5,0.3)</f>
        <v>0.44000000000000006</v>
      </c>
      <c r="BI46" s="4">
        <f>BH46*I46*K46/(I46*M46/2.75/L46^0.5)</f>
        <v>82.744892531200989</v>
      </c>
      <c r="BJ46" s="4">
        <f>BG46+BI46</f>
        <v>862.14489253120109</v>
      </c>
      <c r="BL46" s="4">
        <f>MIN(1.5, 0.75+0.25*MIN(3,MAX(1,R46/M46))+0.4*MIN(1,(40*2*PI()*AL46^2/4/AN46/W46)/M46))</f>
        <v>1</v>
      </c>
      <c r="BM46" s="4">
        <f>(3*O46+30)*BL46*L46^0.5</f>
        <v>547.07366962777508</v>
      </c>
      <c r="BO46" s="4">
        <f>3.4/PI()^0.5*L46*AA46*AD46^0.5*BF46</f>
        <v>747.53991440910613</v>
      </c>
      <c r="BP46" s="4">
        <f>8/3*AG46*AH46^2/(AF46-M46-22)/M46*(AF46^2-M46^2)/(AF46^2-(M46+22)^2)</f>
        <v>711.96329095823319</v>
      </c>
      <c r="BQ46" s="4">
        <f>BP46/BO46</f>
        <v>0.95240839617374207</v>
      </c>
      <c r="BY46" s="4">
        <f>IF(V46=0,R46,MIN(V46/2,R46))</f>
        <v>31.8</v>
      </c>
      <c r="CC46" s="9"/>
      <c r="CE46" s="9"/>
      <c r="CF46" s="9"/>
      <c r="CG46" s="9">
        <f>IF(V46=0,MIN(R46,T46),MIN(V46/2,R46,T46))</f>
        <v>31.8</v>
      </c>
      <c r="CH46" s="9">
        <f>MAX(V46/2,R46)</f>
        <v>134.39999999999998</v>
      </c>
      <c r="CI46" s="9">
        <f>(CG46/M46)^0.5*(CH46/CG46)^0.15</f>
        <v>1.2413544982455165</v>
      </c>
      <c r="CJ46" s="70">
        <v>0</v>
      </c>
      <c r="CK46" s="9">
        <f>MIN(PI()*AL46^2/4*AM46*2/W46/M46/MAX(0.01,AN46),0.05)</f>
        <v>0</v>
      </c>
      <c r="CL46" s="9">
        <f>MAX(0,CJ46*(CK46-0.5/50))</f>
        <v>0</v>
      </c>
      <c r="CM46" s="9">
        <f>MIN(1,(25/M46)^0.3)</f>
        <v>0.93036607665491811</v>
      </c>
      <c r="CN46" s="9">
        <f>IF(I46&gt;=800,0.68,IF(I46&gt;=700,0.75-(I46-700)*0.07/100,IF(I46&gt;=600,0.85-(I46-600)*0.1/100,IF(I46&gt;=500,1-(I46-500)*0.15/100,1.2-(I46-400)*0.2/100))))</f>
        <v>0.80099999999999993</v>
      </c>
      <c r="CO46" s="9">
        <f>1.75*CM46*CN46*(L46/25)^0.5</f>
        <v>2.9727542082721463</v>
      </c>
      <c r="CP46" s="9">
        <f>MIN((CI46+CL46)*CO46,2.5*CO46,L46^0.5)</f>
        <v>3.6902418086169178</v>
      </c>
      <c r="CQ46" s="9">
        <v>1</v>
      </c>
      <c r="CR46" s="9">
        <f>4*CP46*O46+60*CP46</f>
        <v>309.98031192382109</v>
      </c>
      <c r="CT46" s="4">
        <f>AI46/BE46</f>
        <v>2.0087970981087873</v>
      </c>
      <c r="CU46" s="4">
        <f>AI46/BJ46</f>
        <v>0.83860613948233131</v>
      </c>
      <c r="CV46" s="4">
        <f>AI46/BM46</f>
        <v>1.3215770382294654</v>
      </c>
      <c r="CW46" s="4">
        <f>AI46/CR46</f>
        <v>2.3324061954543751</v>
      </c>
      <c r="CX46" s="44">
        <f>AI46/DY46</f>
        <v>5.348007568141802</v>
      </c>
      <c r="CY46" s="4">
        <f>AI46/EK46</f>
        <v>1</v>
      </c>
      <c r="CZ46" s="4">
        <f>AI46/GH46</f>
        <v>2.5032182795879043</v>
      </c>
      <c r="DB46" s="4">
        <f>CT46</f>
        <v>2.0087970981087873</v>
      </c>
      <c r="DC46" s="4">
        <f>CU46</f>
        <v>0.83860613948233131</v>
      </c>
      <c r="DD46" s="4">
        <f>CW46</f>
        <v>2.3324061954543751</v>
      </c>
      <c r="DE46" s="4">
        <f>CZ46</f>
        <v>2.5032182795879043</v>
      </c>
      <c r="DF46" s="4">
        <f>CX46</f>
        <v>5.348007568141802</v>
      </c>
      <c r="DG46" s="4">
        <f>CY46</f>
        <v>1</v>
      </c>
      <c r="DO46" s="4">
        <f>AM46</f>
        <v>0</v>
      </c>
      <c r="DP46" s="4">
        <f>K46</f>
        <v>190.8</v>
      </c>
      <c r="DS46" s="4">
        <f>J46/4/(1-0.3*(L46/30)^0.5)/200000/M46</f>
        <v>1.9960587760943931E-5</v>
      </c>
      <c r="DT46" s="4">
        <f>EO46</f>
        <v>11.016345201186075</v>
      </c>
      <c r="DU46" s="4">
        <f>EB46*AF46/257/L46/AC46</f>
        <v>0</v>
      </c>
      <c r="DV46" s="4">
        <f>DT46*DU46^0.4</f>
        <v>0</v>
      </c>
      <c r="DW46" s="4">
        <f>MIN(DT46, DT46/1.4*(1-DU46^1.4)/(1-DU46))</f>
        <v>7.8688180008471971</v>
      </c>
      <c r="DX46" s="4">
        <f>MAX(DT46/2, (4-DS46*(8*AF46*(DV46-DW46)+6*J46*DW46))/(4+DS46*J46*DT46)*DT46)</f>
        <v>10.655442997772214</v>
      </c>
      <c r="DY46" s="38">
        <f>MIN(1/M46*(4*AF46*(DV46-DW46)+(3*DW46+DX46)*J46)+EB46 -FI46,MAX(I46,AI46))</f>
        <v>135.19053419200952</v>
      </c>
      <c r="DZ46" s="4">
        <f>DY46/FE46</f>
        <v>0.86892426076993079</v>
      </c>
      <c r="EA46" s="4">
        <f>AF46/M46</f>
        <v>2.2360679774997898</v>
      </c>
      <c r="EB46" s="4">
        <f>MIN(EA$10*BA46)</f>
        <v>0</v>
      </c>
      <c r="EF46" s="4">
        <f>IF(T46&gt;1*M46,0.85,1)</f>
        <v>0.85</v>
      </c>
      <c r="EG46" s="4">
        <f>MIN(1,MAX(0.7,(1-0.1*(BY46-1*M46)/M46)))</f>
        <v>1</v>
      </c>
      <c r="EH46" s="4">
        <f>MIN(1,MAX(0.7,1-0.3*(PI()*AL46^2/4*AP46*2-0.25*PI()/4*M46^2)/(PI()/4*M46^2)))</f>
        <v>1</v>
      </c>
      <c r="EI46" s="4">
        <f>IF(EG46*EH46&lt;0.7,0.7,EG46*EH46)</f>
        <v>1</v>
      </c>
      <c r="EK46" s="4">
        <f>MIN(DT46/M46*3*J46+EL46-FI46,MAX(I46,AI46))</f>
        <v>723</v>
      </c>
      <c r="EL46" s="25">
        <f>26.5*P46*J46^0.5*L46^0.5/W46/M46^2*(0.7+R46/5/J46)</f>
        <v>599.03474243278185</v>
      </c>
      <c r="EO46" s="4">
        <f>IF(M46&lt;22.2,1.1*5*(L46/30)^0.5,IF(M46&gt;=31.8,0.9*5*(L46/30)^0.5,1*5*(L46/30)^0.5))/EF46/EI46</f>
        <v>11.016345201186075</v>
      </c>
      <c r="ER46" s="4">
        <f>ES46*M46</f>
        <v>71.106961684493314</v>
      </c>
      <c r="ES46" s="4">
        <f>AE46^0.5</f>
        <v>2.2360679774997898</v>
      </c>
      <c r="ET46" s="4">
        <f>MIN(EB46)/(4700*L46^0.5)/AD46*ER46</f>
        <v>0</v>
      </c>
      <c r="EW46" s="4">
        <f>ET46</f>
        <v>0</v>
      </c>
      <c r="EX46" s="4">
        <f>MIN(0.999, EW46/(0.3*(L46/30)^0.5))</f>
        <v>0</v>
      </c>
      <c r="EY46" s="4">
        <f>EO46/1*EX46^0.4</f>
        <v>0</v>
      </c>
      <c r="EZ46" s="4">
        <f>EO46/1.4*(1-EX46^1.4)/(1-EX46)</f>
        <v>7.8688180008471971</v>
      </c>
      <c r="FA46" s="4">
        <f>MAX(0,DP46*FA$9-ER46)</f>
        <v>0</v>
      </c>
      <c r="FB46" s="4">
        <f>MAX(0,DP46-ER46-FA46)</f>
        <v>119.6930383155067</v>
      </c>
      <c r="FC46" s="4">
        <f>FB46/(1-0.3*(L46/30)^0.5)/200000/M46</f>
        <v>5.0086863640895095E-5</v>
      </c>
      <c r="FD46" s="4">
        <f>MAX(0.5*EO46, (1-2*FC46*(ER46*EY46+FA46*EZ46))/(1/EO46+FC46*FB46))</f>
        <v>10.333860589404216</v>
      </c>
      <c r="FE46" s="4">
        <f>MIN(4/M46*(1*EY46*ER46+EZ46*FA46+FB46*FD46)+EB46,MAX(I46,AI46))</f>
        <v>155.58379515404573</v>
      </c>
      <c r="FN46" s="23">
        <f>IF(CT46&lt;0.6,0.6,IF(CT46&lt;0.8,0.8,IF(CT46&lt;1,1,IF(CT46&lt;1.2,1.2,IF(CT46&lt;1.4,1.4,IF(CT46&lt;1.6,1.6,IF(CT46&lt;1.8,1.8,IF(CT46&lt;2,2,2.2))))))))</f>
        <v>2.2000000000000002</v>
      </c>
      <c r="FO46" s="23">
        <f>IF(CU46&lt;0.6,0.6,IF(CU46&lt;0.8,0.8,IF(CU46&lt;1,1,IF(CU46&lt;1.2,1.2,IF(CU46&lt;1.4,1.4,IF(CU46&lt;1.6,1.6,IF(CU46&lt;1.8,1.8,IF(CU46&lt;2,2,2.2))))))))</f>
        <v>1</v>
      </c>
      <c r="FP46" s="23">
        <f>IF(CZ46&lt;0.6,0.6,IF(CZ46&lt;0.8,0.8,IF(CZ46&lt;1,1,IF(CZ46&lt;1.2,1.2,IF(CZ46&lt;1.4,1.4,IF(CZ46&lt;1.6,1.6,IF(CZ46&lt;1.8,1.8,IF(CZ46&lt;2,2,2.2))))))))</f>
        <v>2.2000000000000002</v>
      </c>
      <c r="FQ46" s="23">
        <f>IF(CW46&lt;0.6,0.6,IF(CW46&lt;0.8,0.8,IF(CW46&lt;1,1,IF(CW46&lt;1.2,1.2,IF(CW46&lt;1.4,1.4,IF(CW46&lt;1.6,1.6,IF(CW46&lt;1.8,1.8,IF(CW46&lt;2,2,2.2))))))))</f>
        <v>2.2000000000000002</v>
      </c>
      <c r="FR46" s="23">
        <f>IF(CX46&lt;0.6,0.6,IF(CX46&lt;0.8,0.8,IF(CX46&lt;1,1,IF(CX46&lt;1.2,1.2,IF(CX46&lt;1.4,1.4,IF(CX46&lt;1.6,1.6,IF(CX46&lt;1.8,1.8,IF(CX46&lt;2,2,2.2))))))))</f>
        <v>2.2000000000000002</v>
      </c>
      <c r="FS46" s="23">
        <f>IF(CY46&lt;0.6,0.6,IF(CY46&lt;0.8,0.8,IF(CY46&lt;1,1,IF(CY46&lt;1.2,1.2,IF(CY46&lt;1.4,1.4,IF(CY46&lt;1.6,1.6,IF(CY46&lt;1.8,1.8,IF(CY46&lt;2,2,2.2))))))))</f>
        <v>1.2</v>
      </c>
      <c r="FT46" s="23">
        <f>IF(FR46&lt;1,1,0)</f>
        <v>0</v>
      </c>
      <c r="FU46" s="23"/>
      <c r="GE46" s="4">
        <f>IF(R46&gt;=2.5*25.4,1,1.25)</f>
        <v>1.25</v>
      </c>
      <c r="GF46" s="4">
        <f>IF(AN46&gt;1, 0.05*(18-MIN(8,(V46+M46)/M46))*(1-48000/MAX(60000,(I46*145))*(M46/25.4)^0.75*GG46), 1/12*(14-MIN(8,(V46+M46)/M46)))</f>
        <v>0.5</v>
      </c>
      <c r="GG46" s="4">
        <f>MIN(0.3, AL46^2*PI()/4*2*AO46/(M46^2*PI()/4*W46))</f>
        <v>0</v>
      </c>
      <c r="GH46" s="4">
        <f>(J46/25.4)/(M46/25.4)^1.5/0.0024*(L46*145)^0.25/GE46/GF46/145</f>
        <v>288.82818805518826</v>
      </c>
    </row>
    <row r="47" spans="1:190" s="4" customFormat="1" ht="12" customHeight="1" x14ac:dyDescent="0.3">
      <c r="A47" s="25">
        <v>178</v>
      </c>
      <c r="B47" s="24" t="s">
        <v>128</v>
      </c>
      <c r="C47" s="24">
        <v>2017</v>
      </c>
      <c r="D47" s="24" t="s">
        <v>309</v>
      </c>
      <c r="E47" s="24"/>
      <c r="F47" s="109" t="s">
        <v>803</v>
      </c>
      <c r="G47" s="4" t="s">
        <v>153</v>
      </c>
      <c r="H47" s="5">
        <f>J47/M47</f>
        <v>4</v>
      </c>
      <c r="I47" s="86">
        <v>679</v>
      </c>
      <c r="J47" s="84">
        <f>4*M47</f>
        <v>88.8</v>
      </c>
      <c r="K47" s="7">
        <f>J47</f>
        <v>88.8</v>
      </c>
      <c r="L47" s="10">
        <v>129.9</v>
      </c>
      <c r="M47" s="80">
        <v>22.2</v>
      </c>
      <c r="N47" s="7">
        <f>J47/M47</f>
        <v>4</v>
      </c>
      <c r="O47" s="7">
        <f>K47/M47</f>
        <v>4</v>
      </c>
      <c r="P47" s="7">
        <v>366</v>
      </c>
      <c r="Q47" s="32">
        <f>R47/M47</f>
        <v>1</v>
      </c>
      <c r="R47" s="7">
        <f>1*M47</f>
        <v>22.2</v>
      </c>
      <c r="S47" s="32">
        <f>T47/M47</f>
        <v>1.3153153153153154</v>
      </c>
      <c r="T47" s="7">
        <f>118-K47</f>
        <v>29.200000000000003</v>
      </c>
      <c r="U47" s="32">
        <f>V47/M47</f>
        <v>12.48648648648649</v>
      </c>
      <c r="V47" s="7">
        <f>P47-2*M47-2*R47</f>
        <v>277.20000000000005</v>
      </c>
      <c r="W47" s="7">
        <v>2</v>
      </c>
      <c r="X47" s="122">
        <f>AM47</f>
        <v>0</v>
      </c>
      <c r="Y47" s="32">
        <f>Z47/M47</f>
        <v>2.6666666666666665</v>
      </c>
      <c r="Z47" s="10">
        <f>2/3*J47</f>
        <v>59.199999999999996</v>
      </c>
      <c r="AA47" s="7">
        <f>MIN(R47/M47+0.5, V47/2/M47+0.5)</f>
        <v>1.5</v>
      </c>
      <c r="AB47" s="7">
        <f>R47/M47+0.5</f>
        <v>1.5</v>
      </c>
      <c r="AC47" s="7">
        <f>2040/510</f>
        <v>4</v>
      </c>
      <c r="AD47" s="7">
        <f>2040/510</f>
        <v>4</v>
      </c>
      <c r="AE47" s="7">
        <f>AD47+1</f>
        <v>5</v>
      </c>
      <c r="AF47" s="7">
        <f>M47*AE47^0.5</f>
        <v>49.640709100495329</v>
      </c>
      <c r="AG47" s="7">
        <f>I47</f>
        <v>679</v>
      </c>
      <c r="AH47" s="7">
        <v>8</v>
      </c>
      <c r="AI47" s="7">
        <f>(678+662)/2</f>
        <v>670</v>
      </c>
      <c r="AJ47" s="7"/>
      <c r="AK47" s="4">
        <f>CX47</f>
        <v>8.8966508266597799</v>
      </c>
      <c r="AL47" s="7">
        <v>0</v>
      </c>
      <c r="AM47" s="7">
        <v>0</v>
      </c>
      <c r="AN47" s="7">
        <f>K47</f>
        <v>88.8</v>
      </c>
      <c r="AO47" s="7"/>
      <c r="AP47" s="7"/>
      <c r="AQ47" s="7">
        <f>3*AR47/(V47+M47)</f>
        <v>0.88977955911823625</v>
      </c>
      <c r="AR47" s="4">
        <f>J47</f>
        <v>88.8</v>
      </c>
      <c r="AS47" s="4">
        <f>IF(J47*3&gt;V47+M47, P47, (R47+M47/2)*2+1.5*J47*(2*W47-2))*(3*J47)/(9*J47^2)</f>
        <v>1.25</v>
      </c>
      <c r="AT47" s="4">
        <f>MIN(10*L47^0.5*J47^1.5,100*3.9*L47^0.5*J47^(5/3))/(PI()/4*M47^2)/W47</f>
        <v>123.19645135939774</v>
      </c>
      <c r="AU47" s="4">
        <f>MIN(0.7+0.3*(MIN(R47,Z47)+0.5*M47)/1.5/J47,1)</f>
        <v>0.77499999999999991</v>
      </c>
      <c r="AV47" s="4">
        <v>1.25</v>
      </c>
      <c r="AW47" s="47">
        <f>AW46</f>
        <v>5</v>
      </c>
      <c r="AX47" s="38">
        <f>AS47*AU47*AV47*AW47*AT47</f>
        <v>745.91601409010343</v>
      </c>
      <c r="AY47" s="38">
        <f>AX47</f>
        <v>745.91601409010343</v>
      </c>
      <c r="AZ47" s="38">
        <f>IF(L47&lt;50, 0.3*L47^(2/3), 2.12*LN(1+0.1*(L47+8)))</f>
        <v>5.7111767066521422</v>
      </c>
      <c r="BA47" s="38">
        <f>AW47* (L47^0.5/AR47^0.5)/(PI()/4*M47^2)/W47/0.72 *(0.7+(MIN(R47,Z47)+0.5*M47)/5/J47) *(3*P47*J47)</f>
        <v>819.83561909002367</v>
      </c>
      <c r="BB47" s="38">
        <f>AX47/BA47</f>
        <v>0.90983606557377039</v>
      </c>
      <c r="BC47" s="38">
        <f>BG47/BA47</f>
        <v>0.9506783821677508</v>
      </c>
      <c r="BD47" s="4">
        <f>IF(BC47&lt;1,1,0)</f>
        <v>1</v>
      </c>
      <c r="BE47" s="4">
        <f>K47/M47*L47^0.5/0.19</f>
        <v>239.94459194200661</v>
      </c>
      <c r="BF47" s="4">
        <f>MIN(0.6+0.4*(AB47/AA47),2)</f>
        <v>1</v>
      </c>
      <c r="BG47" s="38">
        <f>2*L47*AA47*AC47^0.5*BF47*0.7/0.7</f>
        <v>779.40000000000009</v>
      </c>
      <c r="BH47" s="4">
        <f>MAX(1-0.7*AD47/5,0.3)</f>
        <v>0.44000000000000006</v>
      </c>
      <c r="BI47" s="4">
        <f>BH47*I47*K47/(I47*M47/2.75/L47^0.5)</f>
        <v>55.163261687467326</v>
      </c>
      <c r="BJ47" s="4">
        <f>BG47+BI47</f>
        <v>834.56326168746739</v>
      </c>
      <c r="BL47" s="4">
        <f>MIN(1.5, 0.75+0.25*MIN(3,MAX(1,R47/M47))+0.4*MIN(1,(40*2*PI()*AL47^2/4/AN47/W47)/M47))</f>
        <v>1</v>
      </c>
      <c r="BM47" s="4">
        <f>(3*O47+30)*BL47*L47^0.5</f>
        <v>478.68946092430321</v>
      </c>
      <c r="BO47" s="4">
        <f>3.4/PI()^0.5*L47*AA47*AD47^0.5*BF47</f>
        <v>747.53991440910613</v>
      </c>
      <c r="BP47" s="4">
        <f>8/3*AG47*AH47^2/(AF47-M47-22)/M47*(AF47^2-M47^2)/(AF47^2-(M47+22)^2)</f>
        <v>3704.4961984911101</v>
      </c>
      <c r="BQ47" s="4">
        <f>BP47/BO47</f>
        <v>4.9555831429005819</v>
      </c>
      <c r="BY47" s="4">
        <f>IF(V47=0,R47,MIN(V47/2,R47))</f>
        <v>22.2</v>
      </c>
      <c r="CC47" s="9"/>
      <c r="CE47" s="9"/>
      <c r="CF47" s="9"/>
      <c r="CG47" s="9">
        <f>IF(V47=0,MIN(R47,T47),MIN(V47/2,R47,T47))</f>
        <v>22.2</v>
      </c>
      <c r="CH47" s="9">
        <f>MAX(V47/2,R47)</f>
        <v>138.60000000000002</v>
      </c>
      <c r="CI47" s="9">
        <f>(CG47/M47)^0.5*(CH47/CG47)^0.15</f>
        <v>1.3161686388047049</v>
      </c>
      <c r="CJ47" s="70">
        <v>0</v>
      </c>
      <c r="CK47" s="9">
        <f>MIN(PI()*AL47^2/4*AM47*2/W47/M47/MAX(0.01,AN47),0.05)</f>
        <v>0</v>
      </c>
      <c r="CL47" s="9">
        <f>MAX(0,CJ47*(CK47-0.5/50))</f>
        <v>0</v>
      </c>
      <c r="CM47" s="9">
        <f>MIN(1,(25/M47)^0.3)</f>
        <v>1</v>
      </c>
      <c r="CN47" s="9">
        <f>IF(I47&gt;=800,0.68,IF(I47&gt;=700,0.75-(I47-700)*0.07/100,IF(I47&gt;=600,0.85-(I47-600)*0.1/100,IF(I47&gt;=500,1-(I47-500)*0.15/100,1.2-(I47-400)*0.2/100))))</f>
        <v>0.77100000000000002</v>
      </c>
      <c r="CO47" s="9">
        <f>1.75*CM47*CN47*(L47/25)^0.5</f>
        <v>3.0755797864386483</v>
      </c>
      <c r="CP47" s="9">
        <f>MIN((CI47+CL47)*CO47,2.5*CO47,L47^0.5)</f>
        <v>4.047981661052221</v>
      </c>
      <c r="CQ47" s="9">
        <v>1</v>
      </c>
      <c r="CR47" s="9">
        <f>4*CP47*O47+60*CP47</f>
        <v>307.64660623996883</v>
      </c>
      <c r="CT47" s="4">
        <f>AI47/BE47</f>
        <v>2.7923113189478994</v>
      </c>
      <c r="CU47" s="4">
        <f>AI47/BJ47</f>
        <v>0.80281511391392391</v>
      </c>
      <c r="CV47" s="4">
        <f>AI47/BM47</f>
        <v>1.3996547964651125</v>
      </c>
      <c r="CW47" s="4">
        <f>AI47/CR47</f>
        <v>2.1778234715106537</v>
      </c>
      <c r="CX47" s="44">
        <f>AI47/DY47</f>
        <v>8.8966508266597799</v>
      </c>
      <c r="CY47" s="4">
        <f>AI47/EK47</f>
        <v>0.98674521354933731</v>
      </c>
      <c r="CZ47" s="4">
        <f>AI47/GH47</f>
        <v>2.9072970877236819</v>
      </c>
      <c r="DB47" s="4">
        <f>CT47</f>
        <v>2.7923113189478994</v>
      </c>
      <c r="DC47" s="4">
        <f>CU47</f>
        <v>0.80281511391392391</v>
      </c>
      <c r="DD47" s="4">
        <f>CW47</f>
        <v>2.1778234715106537</v>
      </c>
      <c r="DE47" s="4">
        <f>CZ47</f>
        <v>2.9072970877236819</v>
      </c>
      <c r="DF47" s="4">
        <f>CX47</f>
        <v>8.8966508266597799</v>
      </c>
      <c r="DG47" s="4">
        <f>CY47</f>
        <v>0.98674521354933731</v>
      </c>
      <c r="DO47" s="4">
        <f>AM47</f>
        <v>0</v>
      </c>
      <c r="DP47" s="4">
        <f>K47</f>
        <v>88.8</v>
      </c>
      <c r="DS47" s="4">
        <f>J47/4/(1-0.3*(L47/30)^0.5)/200000/M47</f>
        <v>1.3307058507295954E-5</v>
      </c>
      <c r="DT47" s="4">
        <f>EO47</f>
        <v>12.240383556873418</v>
      </c>
      <c r="DU47" s="4">
        <f>EB47*AF47/257/L47/AC47</f>
        <v>0</v>
      </c>
      <c r="DV47" s="4">
        <f>DT47*DU47^0.4</f>
        <v>0</v>
      </c>
      <c r="DW47" s="4">
        <f>MIN(DT47, DT47/1.4*(1-DU47^1.4)/(1-DU47))</f>
        <v>8.743131112052442</v>
      </c>
      <c r="DX47" s="4">
        <f>MAX(DT47/2, (4-DS47*(8*AF47*(DV47-DW47)+6*J47*DW47))/(4+DS47*J47*DT47)*DT47)</f>
        <v>12.148151820918111</v>
      </c>
      <c r="DY47" s="38">
        <f>MIN(1/M47*(4*AF47*(DV47-DW47)+(3*DW47+DX47)*J47)+EB47 -FI47,MAX(I47,AI47))</f>
        <v>75.309238617331403</v>
      </c>
      <c r="DZ47" s="4">
        <f>DY47/FE47</f>
        <v>0.88180059515028708</v>
      </c>
      <c r="EA47" s="4">
        <f>AF47/M47</f>
        <v>2.2360679774997898</v>
      </c>
      <c r="EB47" s="4">
        <f>MIN(EA$10*BA47)</f>
        <v>0</v>
      </c>
      <c r="EF47" s="4">
        <f>IF(T47&gt;1*M47,0.85,1)</f>
        <v>0.85</v>
      </c>
      <c r="EG47" s="4">
        <f>MIN(1,MAX(0.7,(1-0.1*(BY47-1*M47)/M47)))</f>
        <v>1</v>
      </c>
      <c r="EH47" s="4">
        <f>MIN(1,MAX(0.7,1-0.3*(PI()*AL47^2/4*AP47*2-0.25*PI()/4*M47^2)/(PI()/4*M47^2)))</f>
        <v>1</v>
      </c>
      <c r="EI47" s="4">
        <f>IF(EG47*EH47&lt;0.7,0.7,EG47*EH47)</f>
        <v>1</v>
      </c>
      <c r="EK47" s="4">
        <f>MIN(DT47/M47*3*J47+EL47-FI47,MAX(I47,AI47))</f>
        <v>679</v>
      </c>
      <c r="EL47" s="25">
        <f>26.5*P47*J47^0.5*L47^0.5/W47/M47^2*(0.7+R47/5/J47)</f>
        <v>792.6169156169592</v>
      </c>
      <c r="EO47" s="4">
        <f>IF(M47&lt;22.2,1.1*5*(L47/30)^0.5,IF(M47&gt;=31.8,0.9*5*(L47/30)^0.5,1*5*(L47/30)^0.5))/EF47/EI47</f>
        <v>12.240383556873418</v>
      </c>
      <c r="ER47" s="4">
        <f>ES47*M47</f>
        <v>49.640709100495329</v>
      </c>
      <c r="ES47" s="4">
        <f>AE47^0.5</f>
        <v>2.2360679774997898</v>
      </c>
      <c r="ET47" s="4">
        <f>MIN(EB47)/(4700*L47^0.5)/AD47*ER47</f>
        <v>0</v>
      </c>
      <c r="EW47" s="4">
        <f>ET47</f>
        <v>0</v>
      </c>
      <c r="EX47" s="4">
        <f>MIN(0.999, EW47/(0.3*(L47/30)^0.5))</f>
        <v>0</v>
      </c>
      <c r="EY47" s="4">
        <f>EO47/1*EX47^0.4</f>
        <v>0</v>
      </c>
      <c r="EZ47" s="4">
        <f>EO47/1.4*(1-EX47^1.4)/(1-EX47)</f>
        <v>8.743131112052442</v>
      </c>
      <c r="FA47" s="4">
        <f>MAX(0,DP47*FA$9-ER47)</f>
        <v>0</v>
      </c>
      <c r="FB47" s="4">
        <f>MAX(0,DP47-ER47-FA47)</f>
        <v>39.159290899504668</v>
      </c>
      <c r="FC47" s="4">
        <f>FB47/(1-0.3*(L47/30)^0.5)/200000/M47</f>
        <v>2.347274662630318E-5</v>
      </c>
      <c r="FD47" s="4">
        <f>MAX(0.5*EO47, (1-2*FC47*(ER47*EY47+FA47*EZ47))/(1/EO47+FC47*FB47))</f>
        <v>12.104198395417335</v>
      </c>
      <c r="FE47" s="4">
        <f>MIN(4/M47*(1*EY47*ER47+EZ47*FA47+FB47*FD47)+EB47,MAX(I47,AI47))</f>
        <v>85.403932625489205</v>
      </c>
      <c r="FN47" s="23">
        <f>IF(CT47&lt;0.6,0.6,IF(CT47&lt;0.8,0.8,IF(CT47&lt;1,1,IF(CT47&lt;1.2,1.2,IF(CT47&lt;1.4,1.4,IF(CT47&lt;1.6,1.6,IF(CT47&lt;1.8,1.8,IF(CT47&lt;2,2,2.2))))))))</f>
        <v>2.2000000000000002</v>
      </c>
      <c r="FO47" s="23">
        <f>IF(CU47&lt;0.6,0.6,IF(CU47&lt;0.8,0.8,IF(CU47&lt;1,1,IF(CU47&lt;1.2,1.2,IF(CU47&lt;1.4,1.4,IF(CU47&lt;1.6,1.6,IF(CU47&lt;1.8,1.8,IF(CU47&lt;2,2,2.2))))))))</f>
        <v>1</v>
      </c>
      <c r="FP47" s="23">
        <f>IF(CZ47&lt;0.6,0.6,IF(CZ47&lt;0.8,0.8,IF(CZ47&lt;1,1,IF(CZ47&lt;1.2,1.2,IF(CZ47&lt;1.4,1.4,IF(CZ47&lt;1.6,1.6,IF(CZ47&lt;1.8,1.8,IF(CZ47&lt;2,2,2.2))))))))</f>
        <v>2.2000000000000002</v>
      </c>
      <c r="FQ47" s="23">
        <f>IF(CW47&lt;0.6,0.6,IF(CW47&lt;0.8,0.8,IF(CW47&lt;1,1,IF(CW47&lt;1.2,1.2,IF(CW47&lt;1.4,1.4,IF(CW47&lt;1.6,1.6,IF(CW47&lt;1.8,1.8,IF(CW47&lt;2,2,2.2))))))))</f>
        <v>2.2000000000000002</v>
      </c>
      <c r="FR47" s="23">
        <f>IF(CX47&lt;0.6,0.6,IF(CX47&lt;0.8,0.8,IF(CX47&lt;1,1,IF(CX47&lt;1.2,1.2,IF(CX47&lt;1.4,1.4,IF(CX47&lt;1.6,1.6,IF(CX47&lt;1.8,1.8,IF(CX47&lt;2,2,2.2))))))))</f>
        <v>2.2000000000000002</v>
      </c>
      <c r="FS47" s="23">
        <f>IF(CY47&lt;0.6,0.6,IF(CY47&lt;0.8,0.8,IF(CY47&lt;1,1,IF(CY47&lt;1.2,1.2,IF(CY47&lt;1.4,1.4,IF(CY47&lt;1.6,1.6,IF(CY47&lt;1.8,1.8,IF(CY47&lt;2,2,2.2))))))))</f>
        <v>1</v>
      </c>
      <c r="FT47" s="23">
        <f>IF(FR47&lt;1,1,0)</f>
        <v>0</v>
      </c>
      <c r="FU47" s="23"/>
      <c r="GE47" s="4">
        <f>IF(R47&gt;=2.5*25.4,1,1.25)</f>
        <v>1.25</v>
      </c>
      <c r="GF47" s="4">
        <f>IF(AN47&gt;1, 0.05*(18-MIN(8,(V47+M47)/M47))*(1-48000/MAX(60000,(I47*145))*(M47/25.4)^0.75*GG47), 1/12*(14-MIN(8,(V47+M47)/M47)))</f>
        <v>0.5</v>
      </c>
      <c r="GG47" s="4">
        <f>MIN(0.3, AL47^2*PI()/4*2*AO47/(M47^2*PI()/4*W47))</f>
        <v>0</v>
      </c>
      <c r="GH47" s="4">
        <f>(J47/25.4)/(M47/25.4)^1.5/0.0024*(L47*145)^0.25/GE47/GF47/145</f>
        <v>230.4546043227347</v>
      </c>
    </row>
    <row r="48" spans="1:190" s="4" customFormat="1" ht="12" customHeight="1" x14ac:dyDescent="0.3">
      <c r="A48" s="25">
        <v>179</v>
      </c>
      <c r="B48" s="24" t="s">
        <v>128</v>
      </c>
      <c r="C48" s="24">
        <v>2017</v>
      </c>
      <c r="D48" s="24" t="s">
        <v>309</v>
      </c>
      <c r="E48" s="24"/>
      <c r="F48" s="109" t="s">
        <v>803</v>
      </c>
      <c r="G48" s="4" t="s">
        <v>311</v>
      </c>
      <c r="H48" s="5">
        <f>J48/M48</f>
        <v>4</v>
      </c>
      <c r="I48" s="86">
        <v>679</v>
      </c>
      <c r="J48" s="84">
        <f>4*M48</f>
        <v>88.8</v>
      </c>
      <c r="K48" s="7">
        <f>J48</f>
        <v>88.8</v>
      </c>
      <c r="L48" s="10">
        <v>129.9</v>
      </c>
      <c r="M48" s="80">
        <v>22.2</v>
      </c>
      <c r="N48" s="7">
        <f>J48/M48</f>
        <v>4</v>
      </c>
      <c r="O48" s="7">
        <f>K48/M48</f>
        <v>4</v>
      </c>
      <c r="P48" s="7">
        <v>366</v>
      </c>
      <c r="Q48" s="32">
        <f>R48/M48</f>
        <v>1</v>
      </c>
      <c r="R48" s="7">
        <f>1*M48</f>
        <v>22.2</v>
      </c>
      <c r="S48" s="32">
        <f>T48/M48</f>
        <v>1.3153153153153154</v>
      </c>
      <c r="T48" s="7">
        <f>118-K48</f>
        <v>29.200000000000003</v>
      </c>
      <c r="U48" s="32">
        <f>V48/M48</f>
        <v>12.48648648648649</v>
      </c>
      <c r="V48" s="7">
        <f>P48-2*M48-2*R48</f>
        <v>277.20000000000005</v>
      </c>
      <c r="W48" s="7">
        <v>2</v>
      </c>
      <c r="X48" s="122">
        <f>AM48</f>
        <v>0</v>
      </c>
      <c r="Y48" s="32">
        <f>Z48/M48</f>
        <v>2.6666666666666665</v>
      </c>
      <c r="Z48" s="10">
        <f>2/3*J48</f>
        <v>59.199999999999996</v>
      </c>
      <c r="AA48" s="7">
        <f>MIN(R48/M48+0.5, V48/2/M48+0.5)</f>
        <v>1.5</v>
      </c>
      <c r="AB48" s="7">
        <f>R48/M48+0.5</f>
        <v>1.5</v>
      </c>
      <c r="AC48" s="7">
        <f>2040/510</f>
        <v>4</v>
      </c>
      <c r="AD48" s="7">
        <f>2040/510</f>
        <v>4</v>
      </c>
      <c r="AE48" s="7">
        <f>AD48+1</f>
        <v>5</v>
      </c>
      <c r="AF48" s="7">
        <f>M48*AE48^0.5</f>
        <v>49.640709100495329</v>
      </c>
      <c r="AG48" s="7">
        <f>I48</f>
        <v>679</v>
      </c>
      <c r="AH48" s="7">
        <v>8</v>
      </c>
      <c r="AI48" s="7">
        <f>(711+686)/2</f>
        <v>698.5</v>
      </c>
      <c r="AJ48" s="7"/>
      <c r="AK48" s="4">
        <f>CX48</f>
        <v>9.2750904513759043</v>
      </c>
      <c r="AL48" s="7">
        <v>0</v>
      </c>
      <c r="AM48" s="7">
        <v>0</v>
      </c>
      <c r="AN48" s="7">
        <f>K48</f>
        <v>88.8</v>
      </c>
      <c r="AO48" s="7"/>
      <c r="AP48" s="7"/>
      <c r="AQ48" s="7">
        <f>3*AR48/(V48+M48)</f>
        <v>0.88977955911823625</v>
      </c>
      <c r="AR48" s="4">
        <f>J48</f>
        <v>88.8</v>
      </c>
      <c r="AS48" s="4">
        <f>IF(J48*3&gt;V48+M48, P48, (R48+M48/2)*2+1.5*J48*(2*W48-2))*(3*J48)/(9*J48^2)</f>
        <v>1.25</v>
      </c>
      <c r="AT48" s="4">
        <f>MIN(10*L48^0.5*J48^1.5,100*3.9*L48^0.5*J48^(5/3))/(PI()/4*M48^2)/W48</f>
        <v>123.19645135939774</v>
      </c>
      <c r="AU48" s="4">
        <f>MIN(0.7+0.3*(MIN(R48,Z48)+0.5*M48)/1.5/J48,1)</f>
        <v>0.77499999999999991</v>
      </c>
      <c r="AV48" s="4">
        <v>1.25</v>
      </c>
      <c r="AW48" s="47">
        <f>AW47</f>
        <v>5</v>
      </c>
      <c r="AX48" s="38">
        <f>AS48*AU48*AV48*AW48*AT48</f>
        <v>745.91601409010343</v>
      </c>
      <c r="AY48" s="38">
        <f>AX48</f>
        <v>745.91601409010343</v>
      </c>
      <c r="AZ48" s="38">
        <f>IF(L48&lt;50, 0.3*L48^(2/3), 2.12*LN(1+0.1*(L48+8)))</f>
        <v>5.7111767066521422</v>
      </c>
      <c r="BA48" s="38">
        <f>AW48* (L48^0.5/AR48^0.5)/(PI()/4*M48^2)/W48/0.72 *(0.7+(MIN(R48,Z48)+0.5*M48)/5/J48) *(3*P48*J48)</f>
        <v>819.83561909002367</v>
      </c>
      <c r="BB48" s="38">
        <f>AX48/BA48</f>
        <v>0.90983606557377039</v>
      </c>
      <c r="BC48" s="38">
        <f>BG48/BA48</f>
        <v>0.9506783821677508</v>
      </c>
      <c r="BD48" s="4">
        <f>IF(BC48&lt;1,1,0)</f>
        <v>1</v>
      </c>
      <c r="BE48" s="4">
        <f>K48/M48*L48^0.5/0.19</f>
        <v>239.94459194200661</v>
      </c>
      <c r="BF48" s="4">
        <f>MIN(0.6+0.4*(AB48/AA48),2)</f>
        <v>1</v>
      </c>
      <c r="BG48" s="38">
        <f>2*L48*AA48*AC48^0.5*BF48*0.7/0.7</f>
        <v>779.40000000000009</v>
      </c>
      <c r="BH48" s="4">
        <f>MAX(1-0.7*AD48/5,0.3)</f>
        <v>0.44000000000000006</v>
      </c>
      <c r="BI48" s="4">
        <f>BH48*I48*K48/(I48*M48/2.75/L48^0.5)</f>
        <v>55.163261687467326</v>
      </c>
      <c r="BJ48" s="4">
        <f>BG48+BI48</f>
        <v>834.56326168746739</v>
      </c>
      <c r="BL48" s="4">
        <f>MIN(1.5, 0.75+0.25*MIN(3,MAX(1,R48/M48))+0.4*MIN(1,(40*2*PI()*AL48^2/4/AN48/W48)/M48))</f>
        <v>1</v>
      </c>
      <c r="BM48" s="4">
        <f>(3*O48+30)*BL48*L48^0.5</f>
        <v>478.68946092430321</v>
      </c>
      <c r="BO48" s="4">
        <f>3.4/PI()^0.5*L48*AA48*AD48^0.5*BF48</f>
        <v>747.53991440910613</v>
      </c>
      <c r="BP48" s="4">
        <f>8/3*AG48*AH48^2/(AF48-M48-22)/M48*(AF48^2-M48^2)/(AF48^2-(M48+22)^2)</f>
        <v>3704.4961984911101</v>
      </c>
      <c r="BQ48" s="4">
        <f>BP48/BO48</f>
        <v>4.9555831429005819</v>
      </c>
      <c r="BY48" s="4">
        <f>IF(V48=0,R48,MIN(V48/2,R48))</f>
        <v>22.2</v>
      </c>
      <c r="CC48" s="9"/>
      <c r="CE48" s="9"/>
      <c r="CF48" s="9"/>
      <c r="CG48" s="9">
        <f>IF(V48=0,MIN(R48,T48),MIN(V48/2,R48,T48))</f>
        <v>22.2</v>
      </c>
      <c r="CH48" s="9">
        <f>MAX(V48/2,R48)</f>
        <v>138.60000000000002</v>
      </c>
      <c r="CI48" s="9">
        <f>(CG48/M48)^0.5*(CH48/CG48)^0.15</f>
        <v>1.3161686388047049</v>
      </c>
      <c r="CJ48" s="70">
        <v>0</v>
      </c>
      <c r="CK48" s="9">
        <f>MIN(PI()*AL48^2/4*AM48*2/W48/M48/MAX(0.01,AN48),0.05)</f>
        <v>0</v>
      </c>
      <c r="CL48" s="9">
        <f>MAX(0,CJ48*(CK48-0.5/50))</f>
        <v>0</v>
      </c>
      <c r="CM48" s="9">
        <f>MIN(1,(25/M48)^0.3)</f>
        <v>1</v>
      </c>
      <c r="CN48" s="9">
        <f>IF(I48&gt;=800,0.68,IF(I48&gt;=700,0.75-(I48-700)*0.07/100,IF(I48&gt;=600,0.85-(I48-600)*0.1/100,IF(I48&gt;=500,1-(I48-500)*0.15/100,1.2-(I48-400)*0.2/100))))</f>
        <v>0.77100000000000002</v>
      </c>
      <c r="CO48" s="9">
        <f>1.75*CM48*CN48*(L48/25)^0.5</f>
        <v>3.0755797864386483</v>
      </c>
      <c r="CP48" s="9">
        <f>MIN((CI48+CL48)*CO48,2.5*CO48,L48^0.5)</f>
        <v>4.047981661052221</v>
      </c>
      <c r="CQ48" s="9">
        <v>1</v>
      </c>
      <c r="CR48" s="9">
        <f>4*CP48*O48+60*CP48</f>
        <v>307.64660623996883</v>
      </c>
      <c r="CT48" s="4">
        <f>AI48/BE48</f>
        <v>2.9110887407240416</v>
      </c>
      <c r="CU48" s="4">
        <f>AI48/BJ48</f>
        <v>0.8369647120430983</v>
      </c>
      <c r="CV48" s="4">
        <f>AI48/BM48</f>
        <v>1.459192351240121</v>
      </c>
      <c r="CW48" s="4">
        <f>AI48/CR48</f>
        <v>2.2704622311196889</v>
      </c>
      <c r="CX48" s="44">
        <f>AI48/DY48</f>
        <v>9.2750904513759043</v>
      </c>
      <c r="CY48" s="4">
        <f>AI48/EK48</f>
        <v>1</v>
      </c>
      <c r="CZ48" s="4">
        <f>AI48/GH48</f>
        <v>3.0309656951865547</v>
      </c>
      <c r="DB48" s="4">
        <f>CT48</f>
        <v>2.9110887407240416</v>
      </c>
      <c r="DC48" s="4">
        <f>CU48</f>
        <v>0.8369647120430983</v>
      </c>
      <c r="DD48" s="4">
        <f>CW48</f>
        <v>2.2704622311196889</v>
      </c>
      <c r="DE48" s="4">
        <f>CZ48</f>
        <v>3.0309656951865547</v>
      </c>
      <c r="DF48" s="4">
        <f>CX48</f>
        <v>9.2750904513759043</v>
      </c>
      <c r="DG48" s="4">
        <f>CY48</f>
        <v>1</v>
      </c>
      <c r="DO48" s="4">
        <f>AM48</f>
        <v>0</v>
      </c>
      <c r="DP48" s="4">
        <f>K48</f>
        <v>88.8</v>
      </c>
      <c r="DS48" s="4">
        <f>J48/4/(1-0.3*(L48/30)^0.5)/200000/M48</f>
        <v>1.3307058507295954E-5</v>
      </c>
      <c r="DT48" s="4">
        <f>EO48</f>
        <v>12.240383556873418</v>
      </c>
      <c r="DU48" s="4">
        <f>EB48*AF48/257/L48/AC48</f>
        <v>0</v>
      </c>
      <c r="DV48" s="4">
        <f>DT48*DU48^0.4</f>
        <v>0</v>
      </c>
      <c r="DW48" s="4">
        <f>MIN(DT48, DT48/1.4*(1-DU48^1.4)/(1-DU48))</f>
        <v>8.743131112052442</v>
      </c>
      <c r="DX48" s="4">
        <f>MAX(DT48/2, (4-DS48*(8*AF48*(DV48-DW48)+6*J48*DW48))/(4+DS48*J48*DT48)*DT48)</f>
        <v>12.148151820918111</v>
      </c>
      <c r="DY48" s="38">
        <f>MIN(1/M48*(4*AF48*(DV48-DW48)+(3*DW48+DX48)*J48)+EB48 -FI48,MAX(I48,AI48))</f>
        <v>75.309238617331403</v>
      </c>
      <c r="DZ48" s="4">
        <f>DY48/FE48</f>
        <v>0.88180059515028708</v>
      </c>
      <c r="EA48" s="4">
        <f>AF48/M48</f>
        <v>2.2360679774997898</v>
      </c>
      <c r="EB48" s="4">
        <f>MIN(EA$10*BA48)</f>
        <v>0</v>
      </c>
      <c r="EF48" s="4">
        <f>IF(T48&gt;1*M48,0.85,1)</f>
        <v>0.85</v>
      </c>
      <c r="EG48" s="4">
        <f>MIN(1,MAX(0.7,(1-0.1*(BY48-1*M48)/M48)))</f>
        <v>1</v>
      </c>
      <c r="EH48" s="4">
        <f>MIN(1,MAX(0.7,1-0.3*(PI()*AL48^2/4*AP48*2-0.25*PI()/4*M48^2)/(PI()/4*M48^2)))</f>
        <v>1</v>
      </c>
      <c r="EI48" s="4">
        <f>IF(EG48*EH48&lt;0.7,0.7,EG48*EH48)</f>
        <v>1</v>
      </c>
      <c r="EK48" s="4">
        <f>MIN(DT48/M48*3*J48+EL48-FI48,MAX(I48,AI48))</f>
        <v>698.5</v>
      </c>
      <c r="EL48" s="25">
        <f>26.5*P48*J48^0.5*L48^0.5/W48/M48^2*(0.7+R48/5/J48)</f>
        <v>792.6169156169592</v>
      </c>
      <c r="EO48" s="4">
        <f>IF(M48&lt;22.2,1.1*5*(L48/30)^0.5,IF(M48&gt;=31.8,0.9*5*(L48/30)^0.5,1*5*(L48/30)^0.5))/EF48/EI48</f>
        <v>12.240383556873418</v>
      </c>
      <c r="ER48" s="4">
        <f>ES48*M48</f>
        <v>49.640709100495329</v>
      </c>
      <c r="ES48" s="4">
        <f>AE48^0.5</f>
        <v>2.2360679774997898</v>
      </c>
      <c r="ET48" s="4">
        <f>MIN(EB48)/(4700*L48^0.5)/AD48*ER48</f>
        <v>0</v>
      </c>
      <c r="EW48" s="4">
        <f>ET48</f>
        <v>0</v>
      </c>
      <c r="EX48" s="4">
        <f>MIN(0.999, EW48/(0.3*(L48/30)^0.5))</f>
        <v>0</v>
      </c>
      <c r="EY48" s="4">
        <f>EO48/1*EX48^0.4</f>
        <v>0</v>
      </c>
      <c r="EZ48" s="4">
        <f>EO48/1.4*(1-EX48^1.4)/(1-EX48)</f>
        <v>8.743131112052442</v>
      </c>
      <c r="FA48" s="4">
        <f>MAX(0,DP48*FA$9-ER48)</f>
        <v>0</v>
      </c>
      <c r="FB48" s="4">
        <f>MAX(0,DP48-ER48-FA48)</f>
        <v>39.159290899504668</v>
      </c>
      <c r="FC48" s="4">
        <f>FB48/(1-0.3*(L48/30)^0.5)/200000/M48</f>
        <v>2.347274662630318E-5</v>
      </c>
      <c r="FD48" s="4">
        <f>MAX(0.5*EO48, (1-2*FC48*(ER48*EY48+FA48*EZ48))/(1/EO48+FC48*FB48))</f>
        <v>12.104198395417335</v>
      </c>
      <c r="FE48" s="4">
        <f>MIN(4/M48*(1*EY48*ER48+EZ48*FA48+FB48*FD48)+EB48,MAX(I48,AI48))</f>
        <v>85.403932625489205</v>
      </c>
      <c r="FN48" s="23">
        <f>IF(CT48&lt;0.6,0.6,IF(CT48&lt;0.8,0.8,IF(CT48&lt;1,1,IF(CT48&lt;1.2,1.2,IF(CT48&lt;1.4,1.4,IF(CT48&lt;1.6,1.6,IF(CT48&lt;1.8,1.8,IF(CT48&lt;2,2,2.2))))))))</f>
        <v>2.2000000000000002</v>
      </c>
      <c r="FO48" s="23">
        <f>IF(CU48&lt;0.6,0.6,IF(CU48&lt;0.8,0.8,IF(CU48&lt;1,1,IF(CU48&lt;1.2,1.2,IF(CU48&lt;1.4,1.4,IF(CU48&lt;1.6,1.6,IF(CU48&lt;1.8,1.8,IF(CU48&lt;2,2,2.2))))))))</f>
        <v>1</v>
      </c>
      <c r="FP48" s="23">
        <f>IF(CZ48&lt;0.6,0.6,IF(CZ48&lt;0.8,0.8,IF(CZ48&lt;1,1,IF(CZ48&lt;1.2,1.2,IF(CZ48&lt;1.4,1.4,IF(CZ48&lt;1.6,1.6,IF(CZ48&lt;1.8,1.8,IF(CZ48&lt;2,2,2.2))))))))</f>
        <v>2.2000000000000002</v>
      </c>
      <c r="FQ48" s="23">
        <f>IF(CW48&lt;0.6,0.6,IF(CW48&lt;0.8,0.8,IF(CW48&lt;1,1,IF(CW48&lt;1.2,1.2,IF(CW48&lt;1.4,1.4,IF(CW48&lt;1.6,1.6,IF(CW48&lt;1.8,1.8,IF(CW48&lt;2,2,2.2))))))))</f>
        <v>2.2000000000000002</v>
      </c>
      <c r="FR48" s="23">
        <f>IF(CX48&lt;0.6,0.6,IF(CX48&lt;0.8,0.8,IF(CX48&lt;1,1,IF(CX48&lt;1.2,1.2,IF(CX48&lt;1.4,1.4,IF(CX48&lt;1.6,1.6,IF(CX48&lt;1.8,1.8,IF(CX48&lt;2,2,2.2))))))))</f>
        <v>2.2000000000000002</v>
      </c>
      <c r="FS48" s="23">
        <f>IF(CY48&lt;0.6,0.6,IF(CY48&lt;0.8,0.8,IF(CY48&lt;1,1,IF(CY48&lt;1.2,1.2,IF(CY48&lt;1.4,1.4,IF(CY48&lt;1.6,1.6,IF(CY48&lt;1.8,1.8,IF(CY48&lt;2,2,2.2))))))))</f>
        <v>1.2</v>
      </c>
      <c r="FT48" s="23">
        <f>IF(FR48&lt;1,1,0)</f>
        <v>0</v>
      </c>
      <c r="FU48" s="23"/>
      <c r="GE48" s="4">
        <f>IF(R48&gt;=2.5*25.4,1,1.25)</f>
        <v>1.25</v>
      </c>
      <c r="GF48" s="4">
        <f>IF(AN48&gt;1, 0.05*(18-MIN(8,(V48+M48)/M48))*(1-48000/MAX(60000,(I48*145))*(M48/25.4)^0.75*GG48), 1/12*(14-MIN(8,(V48+M48)/M48)))</f>
        <v>0.5</v>
      </c>
      <c r="GG48" s="4">
        <f>MIN(0.3, AL48^2*PI()/4*2*AO48/(M48^2*PI()/4*W48))</f>
        <v>0</v>
      </c>
      <c r="GH48" s="4">
        <f>(J48/25.4)/(M48/25.4)^1.5/0.0024*(L48*145)^0.25/GE48/GF48/145</f>
        <v>230.4546043227347</v>
      </c>
    </row>
    <row r="49" spans="1:195" s="4" customFormat="1" ht="12" customHeight="1" x14ac:dyDescent="0.3">
      <c r="A49" s="25">
        <v>180</v>
      </c>
      <c r="B49" s="24" t="s">
        <v>128</v>
      </c>
      <c r="C49" s="24">
        <v>2017</v>
      </c>
      <c r="D49" s="24" t="s">
        <v>309</v>
      </c>
      <c r="E49" s="24"/>
      <c r="F49" s="109" t="s">
        <v>802</v>
      </c>
      <c r="G49" s="4" t="s">
        <v>314</v>
      </c>
      <c r="H49" s="5">
        <f>J49/M49</f>
        <v>4</v>
      </c>
      <c r="I49" s="86">
        <v>679</v>
      </c>
      <c r="J49" s="84">
        <f>4*M49</f>
        <v>88.8</v>
      </c>
      <c r="K49" s="7">
        <f>J49</f>
        <v>88.8</v>
      </c>
      <c r="L49" s="10">
        <v>129.9</v>
      </c>
      <c r="M49" s="80">
        <v>22.2</v>
      </c>
      <c r="N49" s="7">
        <f>J49/M49</f>
        <v>4</v>
      </c>
      <c r="O49" s="7">
        <f>K49/M49</f>
        <v>4</v>
      </c>
      <c r="P49" s="7">
        <v>388</v>
      </c>
      <c r="Q49" s="32">
        <f>R49/M49</f>
        <v>1.5</v>
      </c>
      <c r="R49" s="7">
        <f>1.5*M49</f>
        <v>33.299999999999997</v>
      </c>
      <c r="S49" s="32">
        <f>T49/M49</f>
        <v>1.3153153153153154</v>
      </c>
      <c r="T49" s="7">
        <f>118-K49</f>
        <v>29.200000000000003</v>
      </c>
      <c r="U49" s="32">
        <f>V49/M49</f>
        <v>12.477477477477478</v>
      </c>
      <c r="V49" s="7">
        <f>P49-2*M49-2*R49</f>
        <v>277</v>
      </c>
      <c r="W49" s="7">
        <v>2</v>
      </c>
      <c r="X49" s="122">
        <f>AM49</f>
        <v>0</v>
      </c>
      <c r="Y49" s="32">
        <f>Z49/M49</f>
        <v>2.6666666666666665</v>
      </c>
      <c r="Z49" s="10">
        <f>2/3*J49</f>
        <v>59.199999999999996</v>
      </c>
      <c r="AA49" s="7">
        <f>MIN(R49/M49+0.5, V49/2/M49+0.5)</f>
        <v>2</v>
      </c>
      <c r="AB49" s="7">
        <f>R49/M49+0.5</f>
        <v>2</v>
      </c>
      <c r="AC49" s="7">
        <f>2040/510</f>
        <v>4</v>
      </c>
      <c r="AD49" s="7">
        <f>2040/510</f>
        <v>4</v>
      </c>
      <c r="AE49" s="7">
        <f>AD49+1</f>
        <v>5</v>
      </c>
      <c r="AF49" s="7">
        <f>M49*AE49^0.5</f>
        <v>49.640709100495329</v>
      </c>
      <c r="AG49" s="7">
        <f>I49</f>
        <v>679</v>
      </c>
      <c r="AH49" s="7">
        <v>8</v>
      </c>
      <c r="AI49" s="7">
        <f>(751+699)/2</f>
        <v>725</v>
      </c>
      <c r="AJ49" s="7"/>
      <c r="AK49" s="4">
        <f>CX49</f>
        <v>9.1479739698679001</v>
      </c>
      <c r="AL49" s="7">
        <v>0</v>
      </c>
      <c r="AM49" s="7">
        <v>0</v>
      </c>
      <c r="AN49" s="7">
        <f>K49</f>
        <v>88.8</v>
      </c>
      <c r="AO49" s="7"/>
      <c r="AP49" s="7"/>
      <c r="AQ49" s="7">
        <f>3*AR49/(V49+M49)</f>
        <v>0.89037433155080214</v>
      </c>
      <c r="AR49" s="4">
        <f>J49</f>
        <v>88.8</v>
      </c>
      <c r="AS49" s="4">
        <f>IF(J49*3&gt;V49+M49, P49, (R49+M49/2)*2+1.5*J49*(2*W49-2))*(3*J49)/(9*J49^2)</f>
        <v>1.3333333333333333</v>
      </c>
      <c r="AT49" s="4">
        <f>MIN(10*L49^0.5*J49^1.5,100*3.9*L49^0.5*J49^(5/3))/(PI()/4*M49^2)/W49</f>
        <v>123.19645135939774</v>
      </c>
      <c r="AU49" s="4">
        <f>MIN(0.7+0.3*(MIN(R49,Z49)+0.5*M49)/1.5/J49,1)</f>
        <v>0.79999999999999993</v>
      </c>
      <c r="AV49" s="4">
        <v>1.25</v>
      </c>
      <c r="AW49" s="47">
        <f>AW48</f>
        <v>5</v>
      </c>
      <c r="AX49" s="38">
        <f>AS49*AU49*AV49*AW49*AT49</f>
        <v>821.30967572931809</v>
      </c>
      <c r="AY49" s="38">
        <f>AX49</f>
        <v>821.30967572931809</v>
      </c>
      <c r="AZ49" s="38">
        <f>IF(L49&lt;50, 0.3*L49^(2/3), 2.12*LN(1+0.1*(L49+8)))</f>
        <v>5.7111767066521422</v>
      </c>
      <c r="BA49" s="38">
        <f>AW49* (L49^0.5/AR49^0.5)/(PI()/4*M49^2)/W49/0.72 *(0.7+(MIN(R49,Z49)+0.5*M49)/5/J49) *(3*P49*J49)</f>
        <v>897.15133497459317</v>
      </c>
      <c r="BB49" s="38">
        <f>AX49/BA49</f>
        <v>0.91546391752577294</v>
      </c>
      <c r="BC49" s="38">
        <f>BG49/BA49</f>
        <v>1.1583330030149592</v>
      </c>
      <c r="BD49" s="4">
        <f>IF(BC49&lt;1,1,0)</f>
        <v>0</v>
      </c>
      <c r="BE49" s="4">
        <f>K49/M49*L49^0.5/0.19</f>
        <v>239.94459194200661</v>
      </c>
      <c r="BF49" s="4">
        <f>MIN(0.6+0.4*(AB49/AA49),2)</f>
        <v>1</v>
      </c>
      <c r="BG49" s="38">
        <f>2*L49*AA49*AC49^0.5*BF49*0.7/0.7</f>
        <v>1039.2</v>
      </c>
      <c r="BH49" s="4">
        <f>MAX(1-0.7*AD49/5,0.3)</f>
        <v>0.44000000000000006</v>
      </c>
      <c r="BI49" s="4">
        <f>BH49*I49*K49/(I49*M49/2.75/L49^0.5)</f>
        <v>55.163261687467326</v>
      </c>
      <c r="BJ49" s="4">
        <f>BG49+BI49</f>
        <v>1094.3632616874675</v>
      </c>
      <c r="BL49" s="4">
        <f>MIN(1.5, 0.75+0.25*MIN(3,MAX(1,R49/M49))+0.4*MIN(1,(40*2*PI()*AL49^2/4/AN49/W49)/M49))</f>
        <v>1.125</v>
      </c>
      <c r="BM49" s="4">
        <f>(3*O49+30)*BL49*L49^0.5</f>
        <v>538.5256435398411</v>
      </c>
      <c r="BO49" s="4">
        <f>3.4/PI()^0.5*L49*AA49*AD49^0.5*BF49</f>
        <v>996.71988587880821</v>
      </c>
      <c r="BP49" s="4">
        <f>8/3*AG49*AH49^2/(AF49-M49-22)/M49*(AF49^2-M49^2)/(AF49^2-(M49+22)^2)</f>
        <v>3704.4961984911101</v>
      </c>
      <c r="BQ49" s="4">
        <f>BP49/BO49</f>
        <v>3.7166873571754362</v>
      </c>
      <c r="BY49" s="4">
        <f>IF(V49=0,R49,MIN(V49/2,R49))</f>
        <v>33.299999999999997</v>
      </c>
      <c r="CC49" s="9"/>
      <c r="CE49" s="9"/>
      <c r="CF49" s="9"/>
      <c r="CG49" s="9">
        <f>IF(V49=0,MIN(R49,T49),MIN(V49/2,R49,T49))</f>
        <v>29.200000000000003</v>
      </c>
      <c r="CH49" s="9">
        <f>MAX(V49/2,R49)</f>
        <v>138.5</v>
      </c>
      <c r="CI49" s="9">
        <f>(CG49/M49)^0.5*(CH49/CG49)^0.15</f>
        <v>1.4485216037038422</v>
      </c>
      <c r="CJ49" s="70">
        <v>0</v>
      </c>
      <c r="CK49" s="9">
        <f>MIN(PI()*AL49^2/4*AM49*2/W49/M49/MAX(0.01,AN49),0.05)</f>
        <v>0</v>
      </c>
      <c r="CL49" s="9">
        <f>MAX(0,CJ49*(CK49-0.5/50))</f>
        <v>0</v>
      </c>
      <c r="CM49" s="9">
        <f>MIN(1,(25/M49)^0.3)</f>
        <v>1</v>
      </c>
      <c r="CN49" s="9">
        <f>IF(I49&gt;=800,0.68,IF(I49&gt;=700,0.75-(I49-700)*0.07/100,IF(I49&gt;=600,0.85-(I49-600)*0.1/100,IF(I49&gt;=500,1-(I49-500)*0.15/100,1.2-(I49-400)*0.2/100))))</f>
        <v>0.77100000000000002</v>
      </c>
      <c r="CO49" s="9">
        <f>1.75*CM49*CN49*(L49/25)^0.5</f>
        <v>3.0755797864386483</v>
      </c>
      <c r="CP49" s="9">
        <f>MIN((CI49+CL49)*CO49,2.5*CO49,L49^0.5)</f>
        <v>4.4550437645712311</v>
      </c>
      <c r="CQ49" s="9">
        <v>1</v>
      </c>
      <c r="CR49" s="9">
        <f>4*CP49*O49+60*CP49</f>
        <v>338.58332610741354</v>
      </c>
      <c r="CT49" s="4">
        <f>AI49/BE49</f>
        <v>3.0215309048316823</v>
      </c>
      <c r="CU49" s="4">
        <f>AI49/BJ49</f>
        <v>0.6624856895159994</v>
      </c>
      <c r="CV49" s="4">
        <f>AI49/BM49</f>
        <v>1.346268295107405</v>
      </c>
      <c r="CW49" s="4">
        <f>AI49/CR49</f>
        <v>2.1412749657081402</v>
      </c>
      <c r="CX49" s="44">
        <f>AI49/DY49</f>
        <v>9.1479739698679001</v>
      </c>
      <c r="CY49" s="4">
        <f>AI49/EK49</f>
        <v>1</v>
      </c>
      <c r="CZ49" s="4">
        <f>AI49/GH49</f>
        <v>3.1459558038801037</v>
      </c>
      <c r="DB49" s="4">
        <f>CT49</f>
        <v>3.0215309048316823</v>
      </c>
      <c r="DC49" s="4">
        <f>CU49</f>
        <v>0.6624856895159994</v>
      </c>
      <c r="DD49" s="4">
        <f>CW49</f>
        <v>2.1412749657081402</v>
      </c>
      <c r="DE49" s="4">
        <f>CZ49</f>
        <v>3.1459558038801037</v>
      </c>
      <c r="DF49" s="4">
        <f>CX49</f>
        <v>9.1479739698679001</v>
      </c>
      <c r="DG49" s="4">
        <f>CY49</f>
        <v>1</v>
      </c>
      <c r="DO49" s="4">
        <f>AM49</f>
        <v>0</v>
      </c>
      <c r="DP49" s="4">
        <f>K49</f>
        <v>88.8</v>
      </c>
      <c r="DS49" s="4">
        <f>J49/4/(1-0.3*(L49/30)^0.5)/200000/M49</f>
        <v>1.3307058507295954E-5</v>
      </c>
      <c r="DT49" s="4">
        <f>EO49</f>
        <v>12.884614270393072</v>
      </c>
      <c r="DU49" s="4">
        <f>EB49*AF49/257/L49/AC49</f>
        <v>0</v>
      </c>
      <c r="DV49" s="4">
        <f>DT49*DU49^0.4</f>
        <v>0</v>
      </c>
      <c r="DW49" s="4">
        <f>MIN(DT49, DT49/1.4*(1-DU49^1.4)/(1-DU49))</f>
        <v>9.2032959074236231</v>
      </c>
      <c r="DX49" s="4">
        <f>MAX(DT49/2, (4-DS49*(8*AF49*(DV49-DW49)+6*J49*DW49))/(4+DS49*J49*DT49)*DT49)</f>
        <v>12.782437816882654</v>
      </c>
      <c r="DY49" s="38">
        <f>MIN(1/M49*(4*AF49*(DV49-DW49)+(3*DW49+DX49)*J49)+EB49 -FI49,MAX(I49,AI49))</f>
        <v>79.252521092434776</v>
      </c>
      <c r="DZ49" s="4">
        <f>DY49/FE49</f>
        <v>0.88209032609662286</v>
      </c>
      <c r="EA49" s="4">
        <f>AF49/M49</f>
        <v>2.2360679774997898</v>
      </c>
      <c r="EB49" s="4">
        <f>MIN(EA$10*BA49)</f>
        <v>0</v>
      </c>
      <c r="EF49" s="4">
        <f>IF(T49&gt;1*M49,0.85,1)</f>
        <v>0.85</v>
      </c>
      <c r="EG49" s="4">
        <f>MIN(1,MAX(0.7,(1-0.1*(BY49-1*M49)/M49)))</f>
        <v>0.95</v>
      </c>
      <c r="EH49" s="4">
        <f>MIN(1,MAX(0.7,1-0.3*(PI()*AL49^2/4*AP49*2-0.25*PI()/4*M49^2)/(PI()/4*M49^2)))</f>
        <v>1</v>
      </c>
      <c r="EI49" s="4">
        <f>IF(EG49*EH49&lt;0.7,0.7,EG49*EH49)</f>
        <v>0.95</v>
      </c>
      <c r="EK49" s="4">
        <f>MIN(DT49/M49*3*J49+EL49-FI49,MAX(I49,AI49))</f>
        <v>725</v>
      </c>
      <c r="EL49" s="25">
        <f>26.5*P49*J49^0.5*L49^0.5/W49/M49^2*(0.7+R49/5/J49)</f>
        <v>868.2692405319475</v>
      </c>
      <c r="EO49" s="4">
        <f>IF(M49&lt;22.2,1.1*5*(L49/30)^0.5,IF(M49&gt;=31.8,0.9*5*(L49/30)^0.5,1*5*(L49/30)^0.5))/EF49/EI49</f>
        <v>12.884614270393072</v>
      </c>
      <c r="ER49" s="4">
        <f>ES49*M49</f>
        <v>49.640709100495329</v>
      </c>
      <c r="ES49" s="4">
        <f>AE49^0.5</f>
        <v>2.2360679774997898</v>
      </c>
      <c r="ET49" s="4">
        <f>MIN(EB49)/(4700*L49^0.5)/AD49*ER49</f>
        <v>0</v>
      </c>
      <c r="EW49" s="4">
        <f>ET49</f>
        <v>0</v>
      </c>
      <c r="EX49" s="4">
        <f>MIN(0.999, EW49/(0.3*(L49/30)^0.5))</f>
        <v>0</v>
      </c>
      <c r="EY49" s="4">
        <f>EO49/1*EX49^0.4</f>
        <v>0</v>
      </c>
      <c r="EZ49" s="4">
        <f>EO49/1.4*(1-EX49^1.4)/(1-EX49)</f>
        <v>9.2032959074236231</v>
      </c>
      <c r="FA49" s="4">
        <f>MAX(0,DP49*FA$9-ER49)</f>
        <v>0</v>
      </c>
      <c r="FB49" s="4">
        <f>MAX(0,DP49-ER49-FA49)</f>
        <v>39.159290899504668</v>
      </c>
      <c r="FC49" s="4">
        <f>FB49/(1-0.3*(L49/30)^0.5)/200000/M49</f>
        <v>2.347274662630318E-5</v>
      </c>
      <c r="FD49" s="4">
        <f>MAX(0.5*EO49, (1-2*FC49*(ER49*EY49+FA49*EZ49))/(1/EO49+FC49*FB49))</f>
        <v>12.733804894491934</v>
      </c>
      <c r="FE49" s="4">
        <f>MIN(4/M49*(1*EY49*ER49+EZ49*FA49+FB49*FD49)+EB49,MAX(I49,AI49))</f>
        <v>89.84626488665694</v>
      </c>
      <c r="FN49" s="23">
        <f>IF(CT49&lt;0.6,0.6,IF(CT49&lt;0.8,0.8,IF(CT49&lt;1,1,IF(CT49&lt;1.2,1.2,IF(CT49&lt;1.4,1.4,IF(CT49&lt;1.6,1.6,IF(CT49&lt;1.8,1.8,IF(CT49&lt;2,2,2.2))))))))</f>
        <v>2.2000000000000002</v>
      </c>
      <c r="FO49" s="23">
        <f>IF(CU49&lt;0.6,0.6,IF(CU49&lt;0.8,0.8,IF(CU49&lt;1,1,IF(CU49&lt;1.2,1.2,IF(CU49&lt;1.4,1.4,IF(CU49&lt;1.6,1.6,IF(CU49&lt;1.8,1.8,IF(CU49&lt;2,2,2.2))))))))</f>
        <v>0.8</v>
      </c>
      <c r="FP49" s="23">
        <f>IF(CZ49&lt;0.6,0.6,IF(CZ49&lt;0.8,0.8,IF(CZ49&lt;1,1,IF(CZ49&lt;1.2,1.2,IF(CZ49&lt;1.4,1.4,IF(CZ49&lt;1.6,1.6,IF(CZ49&lt;1.8,1.8,IF(CZ49&lt;2,2,2.2))))))))</f>
        <v>2.2000000000000002</v>
      </c>
      <c r="FQ49" s="23">
        <f>IF(CW49&lt;0.6,0.6,IF(CW49&lt;0.8,0.8,IF(CW49&lt;1,1,IF(CW49&lt;1.2,1.2,IF(CW49&lt;1.4,1.4,IF(CW49&lt;1.6,1.6,IF(CW49&lt;1.8,1.8,IF(CW49&lt;2,2,2.2))))))))</f>
        <v>2.2000000000000002</v>
      </c>
      <c r="FR49" s="23">
        <f>IF(CX49&lt;0.6,0.6,IF(CX49&lt;0.8,0.8,IF(CX49&lt;1,1,IF(CX49&lt;1.2,1.2,IF(CX49&lt;1.4,1.4,IF(CX49&lt;1.6,1.6,IF(CX49&lt;1.8,1.8,IF(CX49&lt;2,2,2.2))))))))</f>
        <v>2.2000000000000002</v>
      </c>
      <c r="FS49" s="23">
        <f>IF(CY49&lt;0.6,0.6,IF(CY49&lt;0.8,0.8,IF(CY49&lt;1,1,IF(CY49&lt;1.2,1.2,IF(CY49&lt;1.4,1.4,IF(CY49&lt;1.6,1.6,IF(CY49&lt;1.8,1.8,IF(CY49&lt;2,2,2.2))))))))</f>
        <v>1.2</v>
      </c>
      <c r="FT49" s="23">
        <f>IF(FR49&lt;1,1,0)</f>
        <v>0</v>
      </c>
      <c r="FU49" s="23"/>
      <c r="GE49" s="4">
        <f>IF(R49&gt;=2.5*25.4,1,1.25)</f>
        <v>1.25</v>
      </c>
      <c r="GF49" s="4">
        <f>IF(AN49&gt;1, 0.05*(18-MIN(8,(V49+M49)/M49))*(1-48000/MAX(60000,(I49*145))*(M49/25.4)^0.75*GG49), 1/12*(14-MIN(8,(V49+M49)/M49)))</f>
        <v>0.5</v>
      </c>
      <c r="GG49" s="4">
        <f>MIN(0.3, AL49^2*PI()/4*2*AO49/(M49^2*PI()/4*W49))</f>
        <v>0</v>
      </c>
      <c r="GH49" s="4">
        <f>(J49/25.4)/(M49/25.4)^1.5/0.0024*(L49*145)^0.25/GE49/GF49/145</f>
        <v>230.4546043227347</v>
      </c>
    </row>
    <row r="50" spans="1:195" s="4" customFormat="1" ht="12" customHeight="1" x14ac:dyDescent="0.3">
      <c r="A50" s="25">
        <v>181</v>
      </c>
      <c r="B50" s="24" t="s">
        <v>128</v>
      </c>
      <c r="C50" s="24">
        <v>2017</v>
      </c>
      <c r="D50" s="24" t="s">
        <v>309</v>
      </c>
      <c r="E50" s="24"/>
      <c r="F50" s="109" t="s">
        <v>802</v>
      </c>
      <c r="G50" s="4" t="s">
        <v>315</v>
      </c>
      <c r="H50" s="5">
        <f>J50/M50</f>
        <v>4</v>
      </c>
      <c r="I50" s="86">
        <v>679</v>
      </c>
      <c r="J50" s="84">
        <f>4*M50</f>
        <v>88.8</v>
      </c>
      <c r="K50" s="7">
        <f>J50</f>
        <v>88.8</v>
      </c>
      <c r="L50" s="10">
        <v>129.9</v>
      </c>
      <c r="M50" s="80">
        <v>22.2</v>
      </c>
      <c r="N50" s="7">
        <f>J50/M50</f>
        <v>4</v>
      </c>
      <c r="O50" s="7">
        <f>K50/M50</f>
        <v>4</v>
      </c>
      <c r="P50" s="7">
        <v>388</v>
      </c>
      <c r="Q50" s="32">
        <f>R50/M50</f>
        <v>1.5</v>
      </c>
      <c r="R50" s="7">
        <f>1.5*M50</f>
        <v>33.299999999999997</v>
      </c>
      <c r="S50" s="32">
        <f>T50/M50</f>
        <v>1.3153153153153154</v>
      </c>
      <c r="T50" s="7">
        <f>118-K50</f>
        <v>29.200000000000003</v>
      </c>
      <c r="U50" s="32">
        <f>V50/M50</f>
        <v>12.477477477477478</v>
      </c>
      <c r="V50" s="7">
        <f>P50-2*M50-2*R50</f>
        <v>277</v>
      </c>
      <c r="W50" s="7">
        <v>2</v>
      </c>
      <c r="X50" s="122">
        <f>AM50</f>
        <v>0</v>
      </c>
      <c r="Y50" s="32">
        <f>Z50/M50</f>
        <v>2.6666666666666665</v>
      </c>
      <c r="Z50" s="10">
        <f>2/3*J50</f>
        <v>59.199999999999996</v>
      </c>
      <c r="AA50" s="7">
        <f>MIN(R50/M50+0.5, V50/2/M50+0.5)</f>
        <v>2</v>
      </c>
      <c r="AB50" s="7">
        <f>R50/M50+0.5</f>
        <v>2</v>
      </c>
      <c r="AC50" s="7">
        <f>2040/510</f>
        <v>4</v>
      </c>
      <c r="AD50" s="7">
        <f>2040/510</f>
        <v>4</v>
      </c>
      <c r="AE50" s="7">
        <f>AD50+1</f>
        <v>5</v>
      </c>
      <c r="AF50" s="7">
        <f>M50*AE50^0.5</f>
        <v>49.640709100495329</v>
      </c>
      <c r="AG50" s="7">
        <f>I50</f>
        <v>679</v>
      </c>
      <c r="AH50" s="7">
        <v>8</v>
      </c>
      <c r="AI50" s="7">
        <f>(731+693)/2</f>
        <v>712</v>
      </c>
      <c r="AJ50" s="7"/>
      <c r="AK50" s="4">
        <f>CX50</f>
        <v>8.9839413331668201</v>
      </c>
      <c r="AL50" s="7">
        <v>0</v>
      </c>
      <c r="AM50" s="7">
        <v>0</v>
      </c>
      <c r="AN50" s="7">
        <f>K50</f>
        <v>88.8</v>
      </c>
      <c r="AO50" s="7"/>
      <c r="AP50" s="7"/>
      <c r="AQ50" s="7">
        <f>3*AR50/(V50+M50)</f>
        <v>0.89037433155080214</v>
      </c>
      <c r="AR50" s="4">
        <f>J50</f>
        <v>88.8</v>
      </c>
      <c r="AS50" s="4">
        <f>IF(J50*3&gt;V50+M50, P50, (R50+M50/2)*2+1.5*J50*(2*W50-2))*(3*J50)/(9*J50^2)</f>
        <v>1.3333333333333333</v>
      </c>
      <c r="AT50" s="4">
        <f>MIN(10*L50^0.5*J50^1.5,100*3.9*L50^0.5*J50^(5/3))/(PI()/4*M50^2)/W50</f>
        <v>123.19645135939774</v>
      </c>
      <c r="AU50" s="4">
        <f>MIN(0.7+0.3*(MIN(R50,Z50)+0.5*M50)/1.5/J50,1)</f>
        <v>0.79999999999999993</v>
      </c>
      <c r="AV50" s="4">
        <v>1.25</v>
      </c>
      <c r="AW50" s="47">
        <f>AW49</f>
        <v>5</v>
      </c>
      <c r="AX50" s="38">
        <f>AS50*AU50*AV50*AW50*AT50</f>
        <v>821.30967572931809</v>
      </c>
      <c r="AY50" s="38">
        <f>AX50</f>
        <v>821.30967572931809</v>
      </c>
      <c r="AZ50" s="38">
        <f>IF(L50&lt;50, 0.3*L50^(2/3), 2.12*LN(1+0.1*(L50+8)))</f>
        <v>5.7111767066521422</v>
      </c>
      <c r="BA50" s="38">
        <f>AW50* (L50^0.5/AR50^0.5)/(PI()/4*M50^2)/W50/0.72 *(0.7+(MIN(R50,Z50)+0.5*M50)/5/J50) *(3*P50*J50)</f>
        <v>897.15133497459317</v>
      </c>
      <c r="BB50" s="38">
        <f>AX50/BA50</f>
        <v>0.91546391752577294</v>
      </c>
      <c r="BC50" s="38">
        <f>BG50/BA50</f>
        <v>1.1583330030149592</v>
      </c>
      <c r="BD50" s="4">
        <f>IF(BC50&lt;1,1,0)</f>
        <v>0</v>
      </c>
      <c r="BE50" s="4">
        <f>K50/M50*L50^0.5/0.19</f>
        <v>239.94459194200661</v>
      </c>
      <c r="BF50" s="4">
        <f>MIN(0.6+0.4*(AB50/AA50),2)</f>
        <v>1</v>
      </c>
      <c r="BG50" s="38">
        <f>2*L50*AA50*AC50^0.5*BF50*0.7/0.7</f>
        <v>1039.2</v>
      </c>
      <c r="BH50" s="4">
        <f>MAX(1-0.7*AD50/5,0.3)</f>
        <v>0.44000000000000006</v>
      </c>
      <c r="BI50" s="4">
        <f>BH50*I50*K50/(I50*M50/2.75/L50^0.5)</f>
        <v>55.163261687467326</v>
      </c>
      <c r="BJ50" s="4">
        <f>BG50+BI50</f>
        <v>1094.3632616874675</v>
      </c>
      <c r="BL50" s="4">
        <f>MIN(1.5, 0.75+0.25*MIN(3,MAX(1,R50/M50))+0.4*MIN(1,(40*2*PI()*AL50^2/4/AN50/W50)/M50))</f>
        <v>1.125</v>
      </c>
      <c r="BM50" s="4">
        <f>(3*O50+30)*BL50*L50^0.5</f>
        <v>538.5256435398411</v>
      </c>
      <c r="BO50" s="4">
        <f>3.4/PI()^0.5*L50*AA50*AD50^0.5*BF50</f>
        <v>996.71988587880821</v>
      </c>
      <c r="BP50" s="4">
        <f>8/3*AG50*AH50^2/(AF50-M50-22)/M50*(AF50^2-M50^2)/(AF50^2-(M50+22)^2)</f>
        <v>3704.4961984911101</v>
      </c>
      <c r="BQ50" s="4">
        <f>BP50/BO50</f>
        <v>3.7166873571754362</v>
      </c>
      <c r="BY50" s="4">
        <f>IF(V50=0,R50,MIN(V50/2,R50))</f>
        <v>33.299999999999997</v>
      </c>
      <c r="CC50" s="9"/>
      <c r="CE50" s="9"/>
      <c r="CF50" s="9"/>
      <c r="CG50" s="9">
        <f>IF(V50=0,MIN(R50,T50),MIN(V50/2,R50,T50))</f>
        <v>29.200000000000003</v>
      </c>
      <c r="CH50" s="9">
        <f>MAX(V50/2,R50)</f>
        <v>138.5</v>
      </c>
      <c r="CI50" s="9">
        <f>(CG50/M50)^0.5*(CH50/CG50)^0.15</f>
        <v>1.4485216037038422</v>
      </c>
      <c r="CJ50" s="70">
        <v>0</v>
      </c>
      <c r="CK50" s="9">
        <f>MIN(PI()*AL50^2/4*AM50*2/W50/M50/MAX(0.01,AN50),0.05)</f>
        <v>0</v>
      </c>
      <c r="CL50" s="9">
        <f>MAX(0,CJ50*(CK50-0.5/50))</f>
        <v>0</v>
      </c>
      <c r="CM50" s="9">
        <f>MIN(1,(25/M50)^0.3)</f>
        <v>1</v>
      </c>
      <c r="CN50" s="9">
        <f>IF(I50&gt;=800,0.68,IF(I50&gt;=700,0.75-(I50-700)*0.07/100,IF(I50&gt;=600,0.85-(I50-600)*0.1/100,IF(I50&gt;=500,1-(I50-500)*0.15/100,1.2-(I50-400)*0.2/100))))</f>
        <v>0.77100000000000002</v>
      </c>
      <c r="CO50" s="9">
        <f>1.75*CM50*CN50*(L50/25)^0.5</f>
        <v>3.0755797864386483</v>
      </c>
      <c r="CP50" s="9">
        <f>MIN((CI50+CL50)*CO50,2.5*CO50,L50^0.5)</f>
        <v>4.4550437645712311</v>
      </c>
      <c r="CQ50" s="9">
        <v>1</v>
      </c>
      <c r="CR50" s="9">
        <f>4*CP50*O50+60*CP50</f>
        <v>338.58332610741354</v>
      </c>
      <c r="CT50" s="4">
        <f>AI50/BE50</f>
        <v>2.9673517299864245</v>
      </c>
      <c r="CU50" s="4">
        <f>AI50/BJ50</f>
        <v>0.65060663577295397</v>
      </c>
      <c r="CV50" s="4">
        <f>AI50/BM50</f>
        <v>1.3221283118847895</v>
      </c>
      <c r="CW50" s="4">
        <f>AI50/CR50</f>
        <v>2.1028796904609597</v>
      </c>
      <c r="CX50" s="44">
        <f>AI50/DY50</f>
        <v>8.9839413331668201</v>
      </c>
      <c r="CY50" s="4">
        <f>AI50/EK50</f>
        <v>1</v>
      </c>
      <c r="CZ50" s="4">
        <f>AI50/GH50</f>
        <v>3.0895455618794947</v>
      </c>
      <c r="DB50" s="4">
        <f>CT50</f>
        <v>2.9673517299864245</v>
      </c>
      <c r="DC50" s="4">
        <f>CU50</f>
        <v>0.65060663577295397</v>
      </c>
      <c r="DD50" s="4">
        <f>CW50</f>
        <v>2.1028796904609597</v>
      </c>
      <c r="DE50" s="4">
        <f>CZ50</f>
        <v>3.0895455618794947</v>
      </c>
      <c r="DF50" s="4">
        <f>CX50</f>
        <v>8.9839413331668201</v>
      </c>
      <c r="DG50" s="4">
        <f>CY50</f>
        <v>1</v>
      </c>
      <c r="DO50" s="4">
        <f>AM50</f>
        <v>0</v>
      </c>
      <c r="DP50" s="4">
        <f>K50</f>
        <v>88.8</v>
      </c>
      <c r="DS50" s="4">
        <f>J50/4/(1-0.3*(L50/30)^0.5)/200000/M50</f>
        <v>1.3307058507295954E-5</v>
      </c>
      <c r="DT50" s="4">
        <f>EO50</f>
        <v>12.884614270393072</v>
      </c>
      <c r="DU50" s="4">
        <f>EB50*AF50/257/L50/AC50</f>
        <v>0</v>
      </c>
      <c r="DV50" s="4">
        <f>DT50*DU50^0.4</f>
        <v>0</v>
      </c>
      <c r="DW50" s="4">
        <f>MIN(DT50, DT50/1.4*(1-DU50^1.4)/(1-DU50))</f>
        <v>9.2032959074236231</v>
      </c>
      <c r="DX50" s="4">
        <f>MAX(DT50/2, (4-DS50*(8*AF50*(DV50-DW50)+6*J50*DW50))/(4+DS50*J50*DT50)*DT50)</f>
        <v>12.782437816882654</v>
      </c>
      <c r="DY50" s="38">
        <f>MIN(1/M50*(4*AF50*(DV50-DW50)+(3*DW50+DX50)*J50)+EB50 -FI50,MAX(I50,AI50))</f>
        <v>79.252521092434776</v>
      </c>
      <c r="DZ50" s="4">
        <f>DY50/FE50</f>
        <v>0.88209032609662286</v>
      </c>
      <c r="EA50" s="4">
        <f>AF50/M50</f>
        <v>2.2360679774997898</v>
      </c>
      <c r="EB50" s="4">
        <f>MIN(EA$10*BA50)</f>
        <v>0</v>
      </c>
      <c r="EF50" s="4">
        <f>IF(T50&gt;1*M50,0.85,1)</f>
        <v>0.85</v>
      </c>
      <c r="EG50" s="4">
        <f>MIN(1,MAX(0.7,(1-0.1*(BY50-1*M50)/M50)))</f>
        <v>0.95</v>
      </c>
      <c r="EH50" s="4">
        <f>MIN(1,MAX(0.7,1-0.3*(PI()*AL50^2/4*AP50*2-0.25*PI()/4*M50^2)/(PI()/4*M50^2)))</f>
        <v>1</v>
      </c>
      <c r="EI50" s="4">
        <f>IF(EG50*EH50&lt;0.7,0.7,EG50*EH50)</f>
        <v>0.95</v>
      </c>
      <c r="EK50" s="4">
        <f>MIN(DT50/M50*3*J50+EL50-FI50,MAX(I50,AI50))</f>
        <v>712</v>
      </c>
      <c r="EL50" s="25">
        <f>26.5*P50*J50^0.5*L50^0.5/W50/M50^2*(0.7+R50/5/J50)</f>
        <v>868.2692405319475</v>
      </c>
      <c r="EO50" s="4">
        <f>IF(M50&lt;22.2,1.1*5*(L50/30)^0.5,IF(M50&gt;=31.8,0.9*5*(L50/30)^0.5,1*5*(L50/30)^0.5))/EF50/EI50</f>
        <v>12.884614270393072</v>
      </c>
      <c r="ER50" s="4">
        <f>ES50*M50</f>
        <v>49.640709100495329</v>
      </c>
      <c r="ES50" s="4">
        <f>AE50^0.5</f>
        <v>2.2360679774997898</v>
      </c>
      <c r="ET50" s="4">
        <f>MIN(EB50)/(4700*L50^0.5)/AD50*ER50</f>
        <v>0</v>
      </c>
      <c r="EW50" s="4">
        <f>ET50</f>
        <v>0</v>
      </c>
      <c r="EX50" s="4">
        <f>MIN(0.999, EW50/(0.3*(L50/30)^0.5))</f>
        <v>0</v>
      </c>
      <c r="EY50" s="4">
        <f>EO50/1*EX50^0.4</f>
        <v>0</v>
      </c>
      <c r="EZ50" s="4">
        <f>EO50/1.4*(1-EX50^1.4)/(1-EX50)</f>
        <v>9.2032959074236231</v>
      </c>
      <c r="FA50" s="4">
        <f>MAX(0,DP50*FA$9-ER50)</f>
        <v>0</v>
      </c>
      <c r="FB50" s="4">
        <f>MAX(0,DP50-ER50-FA50)</f>
        <v>39.159290899504668</v>
      </c>
      <c r="FC50" s="4">
        <f>FB50/(1-0.3*(L50/30)^0.5)/200000/M50</f>
        <v>2.347274662630318E-5</v>
      </c>
      <c r="FD50" s="4">
        <f>MAX(0.5*EO50, (1-2*FC50*(ER50*EY50+FA50*EZ50))/(1/EO50+FC50*FB50))</f>
        <v>12.733804894491934</v>
      </c>
      <c r="FE50" s="4">
        <f>MIN(4/M50*(1*EY50*ER50+EZ50*FA50+FB50*FD50)+EB50,MAX(I50,AI50))</f>
        <v>89.84626488665694</v>
      </c>
      <c r="FN50" s="23">
        <f>IF(CT50&lt;0.6,0.6,IF(CT50&lt;0.8,0.8,IF(CT50&lt;1,1,IF(CT50&lt;1.2,1.2,IF(CT50&lt;1.4,1.4,IF(CT50&lt;1.6,1.6,IF(CT50&lt;1.8,1.8,IF(CT50&lt;2,2,2.2))))))))</f>
        <v>2.2000000000000002</v>
      </c>
      <c r="FO50" s="23">
        <f>IF(CU50&lt;0.6,0.6,IF(CU50&lt;0.8,0.8,IF(CU50&lt;1,1,IF(CU50&lt;1.2,1.2,IF(CU50&lt;1.4,1.4,IF(CU50&lt;1.6,1.6,IF(CU50&lt;1.8,1.8,IF(CU50&lt;2,2,2.2))))))))</f>
        <v>0.8</v>
      </c>
      <c r="FP50" s="23">
        <f>IF(CZ50&lt;0.6,0.6,IF(CZ50&lt;0.8,0.8,IF(CZ50&lt;1,1,IF(CZ50&lt;1.2,1.2,IF(CZ50&lt;1.4,1.4,IF(CZ50&lt;1.6,1.6,IF(CZ50&lt;1.8,1.8,IF(CZ50&lt;2,2,2.2))))))))</f>
        <v>2.2000000000000002</v>
      </c>
      <c r="FQ50" s="23">
        <f>IF(CW50&lt;0.6,0.6,IF(CW50&lt;0.8,0.8,IF(CW50&lt;1,1,IF(CW50&lt;1.2,1.2,IF(CW50&lt;1.4,1.4,IF(CW50&lt;1.6,1.6,IF(CW50&lt;1.8,1.8,IF(CW50&lt;2,2,2.2))))))))</f>
        <v>2.2000000000000002</v>
      </c>
      <c r="FR50" s="23">
        <f>IF(CX50&lt;0.6,0.6,IF(CX50&lt;0.8,0.8,IF(CX50&lt;1,1,IF(CX50&lt;1.2,1.2,IF(CX50&lt;1.4,1.4,IF(CX50&lt;1.6,1.6,IF(CX50&lt;1.8,1.8,IF(CX50&lt;2,2,2.2))))))))</f>
        <v>2.2000000000000002</v>
      </c>
      <c r="FS50" s="23">
        <f>IF(CY50&lt;0.6,0.6,IF(CY50&lt;0.8,0.8,IF(CY50&lt;1,1,IF(CY50&lt;1.2,1.2,IF(CY50&lt;1.4,1.4,IF(CY50&lt;1.6,1.6,IF(CY50&lt;1.8,1.8,IF(CY50&lt;2,2,2.2))))))))</f>
        <v>1.2</v>
      </c>
      <c r="FT50" s="23">
        <f>IF(FR50&lt;1,1,0)</f>
        <v>0</v>
      </c>
      <c r="FU50" s="23"/>
      <c r="GE50" s="4">
        <f>IF(R50&gt;=2.5*25.4,1,1.25)</f>
        <v>1.25</v>
      </c>
      <c r="GF50" s="4">
        <f>IF(AN50&gt;1, 0.05*(18-MIN(8,(V50+M50)/M50))*(1-48000/MAX(60000,(I50*145))*(M50/25.4)^0.75*GG50), 1/12*(14-MIN(8,(V50+M50)/M50)))</f>
        <v>0.5</v>
      </c>
      <c r="GG50" s="4">
        <f>MIN(0.3, AL50^2*PI()/4*2*AO50/(M50^2*PI()/4*W50))</f>
        <v>0</v>
      </c>
      <c r="GH50" s="4">
        <f>(J50/25.4)/(M50/25.4)^1.5/0.0024*(L50*145)^0.25/GE50/GF50/145</f>
        <v>230.4546043227347</v>
      </c>
    </row>
    <row r="51" spans="1:195" s="4" customFormat="1" ht="12" customHeight="1" x14ac:dyDescent="0.3">
      <c r="A51" s="25">
        <v>184</v>
      </c>
      <c r="B51" s="24" t="s">
        <v>128</v>
      </c>
      <c r="C51" s="24">
        <v>2017</v>
      </c>
      <c r="D51" s="24" t="s">
        <v>309</v>
      </c>
      <c r="E51" s="24"/>
      <c r="F51" s="109" t="s">
        <v>802</v>
      </c>
      <c r="G51" s="4" t="s">
        <v>318</v>
      </c>
      <c r="H51" s="5">
        <f>J51/M51</f>
        <v>6</v>
      </c>
      <c r="I51" s="86">
        <v>679</v>
      </c>
      <c r="J51" s="104">
        <f>6*M51</f>
        <v>133.19999999999999</v>
      </c>
      <c r="K51" s="7">
        <f>J51</f>
        <v>133.19999999999999</v>
      </c>
      <c r="L51" s="10">
        <v>129.9</v>
      </c>
      <c r="M51" s="80">
        <v>22.2</v>
      </c>
      <c r="N51" s="7">
        <f>J51/M51</f>
        <v>6</v>
      </c>
      <c r="O51" s="7">
        <f>K51/M51</f>
        <v>6</v>
      </c>
      <c r="P51" s="7">
        <v>366</v>
      </c>
      <c r="Q51" s="32">
        <f>R51/M51</f>
        <v>1</v>
      </c>
      <c r="R51" s="7">
        <f>1*M51</f>
        <v>22.2</v>
      </c>
      <c r="S51" s="32">
        <f>T51/M51</f>
        <v>1.9279279279279284</v>
      </c>
      <c r="T51" s="7">
        <f>176-K51</f>
        <v>42.800000000000011</v>
      </c>
      <c r="U51" s="32">
        <f>V51/M51</f>
        <v>12.48648648648649</v>
      </c>
      <c r="V51" s="7">
        <f>P51-2*M51-2*R51</f>
        <v>277.20000000000005</v>
      </c>
      <c r="W51" s="7">
        <v>2</v>
      </c>
      <c r="X51" s="122">
        <f>AM51</f>
        <v>0</v>
      </c>
      <c r="Y51" s="32">
        <f>Z51/M51</f>
        <v>3.9999999999999996</v>
      </c>
      <c r="Z51" s="10">
        <f>2/3*J51</f>
        <v>88.799999999999983</v>
      </c>
      <c r="AA51" s="7">
        <f>MIN(R51/M51+0.5, V51/2/M51+0.5)</f>
        <v>1.5</v>
      </c>
      <c r="AB51" s="7">
        <f>R51/M51+0.5</f>
        <v>1.5</v>
      </c>
      <c r="AC51" s="7">
        <f>2040/510</f>
        <v>4</v>
      </c>
      <c r="AD51" s="7">
        <f>2040/510</f>
        <v>4</v>
      </c>
      <c r="AE51" s="7">
        <f>AD51+1</f>
        <v>5</v>
      </c>
      <c r="AF51" s="7">
        <f>M51*AE51^0.5</f>
        <v>49.640709100495329</v>
      </c>
      <c r="AG51" s="7">
        <f>I51</f>
        <v>679</v>
      </c>
      <c r="AH51" s="7">
        <v>8</v>
      </c>
      <c r="AI51" s="7">
        <f>(750+710)/2</f>
        <v>730</v>
      </c>
      <c r="AJ51" s="7"/>
      <c r="AK51" s="4">
        <f>CX51</f>
        <v>4.8425487415763619</v>
      </c>
      <c r="AL51" s="7">
        <v>0</v>
      </c>
      <c r="AM51" s="7">
        <v>0</v>
      </c>
      <c r="AN51" s="7">
        <f>K51</f>
        <v>133.19999999999999</v>
      </c>
      <c r="AO51" s="7"/>
      <c r="AP51" s="7"/>
      <c r="AQ51" s="7">
        <f>3*AR51/(V51+M51)</f>
        <v>1.3346693386773545</v>
      </c>
      <c r="AR51" s="4">
        <f>J51</f>
        <v>133.19999999999999</v>
      </c>
      <c r="AS51" s="4">
        <f>IF(J51*3&gt;V51+M51, P51, (R51+M51/2)*2+1.5*J51*(2*W51-2))*(3*J51)/(9*J51^2)</f>
        <v>0.91591591591591592</v>
      </c>
      <c r="AT51" s="4">
        <f>MIN(10*L51^0.5*J51^1.5,100*3.9*L51^0.5*J51^(5/3))/(PI()/4*M51^2)/W51</f>
        <v>226.32633296409878</v>
      </c>
      <c r="AU51" s="4">
        <f>MIN(0.7+0.3*(MIN(R51,Z51)+0.5*M51)/1.5/J51,1)</f>
        <v>0.75</v>
      </c>
      <c r="AV51" s="4">
        <v>1.25</v>
      </c>
      <c r="AW51" s="47">
        <f>AW50</f>
        <v>5</v>
      </c>
      <c r="AX51" s="38">
        <f>AS51*AU51*AV51*AW51*AT51</f>
        <v>971.6994869657957</v>
      </c>
      <c r="AY51" s="38">
        <f>AX51</f>
        <v>971.6994869657957</v>
      </c>
      <c r="AZ51" s="38">
        <f>IF(L51&lt;50, 0.3*L51^(2/3), 2.12*LN(1+0.1*(L51+8)))</f>
        <v>5.7111767066521422</v>
      </c>
      <c r="BA51" s="38">
        <f>AW51* (L51^0.5/AR51^0.5)/(PI()/4*M51^2)/W51/0.72 *(0.7+(MIN(R51,Z51)+0.5*M51)/5/J51) *(3*P51*J51)</f>
        <v>971.69948696579524</v>
      </c>
      <c r="BB51" s="38">
        <f>AX51/BA51</f>
        <v>1.0000000000000004</v>
      </c>
      <c r="BC51" s="38">
        <f>BG51/BA51</f>
        <v>0.80209983688859943</v>
      </c>
      <c r="BD51" s="4">
        <f>IF(BC51&lt;1,1,0)</f>
        <v>1</v>
      </c>
      <c r="BE51" s="4">
        <f>K51/M51*L51^0.5/0.19</f>
        <v>359.91688791300993</v>
      </c>
      <c r="BF51" s="4">
        <f>MIN(0.6+0.4*(AB51/AA51),2)</f>
        <v>1</v>
      </c>
      <c r="BG51" s="38">
        <f>2*L51*AA51*AC51^0.5*BF51*0.7/0.7</f>
        <v>779.40000000000009</v>
      </c>
      <c r="BH51" s="4">
        <f>MAX(1-0.7*AD51/5,0.3)</f>
        <v>0.44000000000000006</v>
      </c>
      <c r="BI51" s="4">
        <f>BH51*I51*K51/(I51*M51/2.75/L51^0.5)</f>
        <v>82.744892531200989</v>
      </c>
      <c r="BJ51" s="4">
        <f>BG51+BI51</f>
        <v>862.14489253120109</v>
      </c>
      <c r="BL51" s="4">
        <f>MIN(1.5, 0.75+0.25*MIN(3,MAX(1,R51/M51))+0.4*MIN(1,(40*2*PI()*AL51^2/4/AN51/W51)/M51))</f>
        <v>1</v>
      </c>
      <c r="BM51" s="4">
        <f>(3*O51+30)*BL51*L51^0.5</f>
        <v>547.07366962777508</v>
      </c>
      <c r="BO51" s="4">
        <f>3.4/PI()^0.5*L51*AA51*AD51^0.5*BF51</f>
        <v>747.53991440910613</v>
      </c>
      <c r="BP51" s="4">
        <f>8/3*AG51*AH51^2/(AF51-M51-22)/M51*(AF51^2-M51^2)/(AF51^2-(M51+22)^2)</f>
        <v>3704.4961984911101</v>
      </c>
      <c r="BQ51" s="4">
        <f>BP51/BO51</f>
        <v>4.9555831429005819</v>
      </c>
      <c r="BY51" s="4">
        <f>IF(V51=0,R51,MIN(V51/2,R51))</f>
        <v>22.2</v>
      </c>
      <c r="CC51" s="9"/>
      <c r="CE51" s="9"/>
      <c r="CF51" s="9"/>
      <c r="CG51" s="9">
        <f>IF(V51=0,MIN(R51,T51),MIN(V51/2,R51,T51))</f>
        <v>22.2</v>
      </c>
      <c r="CH51" s="9">
        <f>MAX(V51/2,R51)</f>
        <v>138.60000000000002</v>
      </c>
      <c r="CI51" s="9">
        <f>(CG51/M51)^0.5*(CH51/CG51)^0.15</f>
        <v>1.3161686388047049</v>
      </c>
      <c r="CJ51" s="70">
        <v>0</v>
      </c>
      <c r="CK51" s="9">
        <f>MIN(PI()*AL51^2/4*AM51*2/W51/M51/MAX(0.01,AN51),0.05)</f>
        <v>0</v>
      </c>
      <c r="CL51" s="9">
        <f>MAX(0,CJ51*(CK51-0.5/50))</f>
        <v>0</v>
      </c>
      <c r="CM51" s="9">
        <f>MIN(1,(25/M51)^0.3)</f>
        <v>1</v>
      </c>
      <c r="CN51" s="9">
        <f>IF(I51&gt;=800,0.68,IF(I51&gt;=700,0.75-(I51-700)*0.07/100,IF(I51&gt;=600,0.85-(I51-600)*0.1/100,IF(I51&gt;=500,1-(I51-500)*0.15/100,1.2-(I51-400)*0.2/100))))</f>
        <v>0.77100000000000002</v>
      </c>
      <c r="CO51" s="9">
        <f>1.75*CM51*CN51*(L51/25)^0.5</f>
        <v>3.0755797864386483</v>
      </c>
      <c r="CP51" s="9">
        <f>MIN((CI51+CL51)*CO51,2.5*CO51,L51^0.5)</f>
        <v>4.047981661052221</v>
      </c>
      <c r="CQ51" s="9">
        <v>1</v>
      </c>
      <c r="CR51" s="9">
        <f>4*CP51*O51+60*CP51</f>
        <v>340.03045952838659</v>
      </c>
      <c r="CT51" s="4">
        <f>AI51/BE51</f>
        <v>2.0282460326686236</v>
      </c>
      <c r="CU51" s="4">
        <f>AI51/BJ51</f>
        <v>0.84672542437358489</v>
      </c>
      <c r="CV51" s="4">
        <f>AI51/BM51</f>
        <v>1.334372389913568</v>
      </c>
      <c r="CW51" s="4">
        <f>AI51/CR51</f>
        <v>2.1468664925268488</v>
      </c>
      <c r="CX51" s="44">
        <f>AI51/DY51</f>
        <v>4.8425487415763619</v>
      </c>
      <c r="CY51" s="4">
        <f>AI51/EK51</f>
        <v>1</v>
      </c>
      <c r="CZ51" s="4">
        <f>AI51/GH51</f>
        <v>2.1117680338689433</v>
      </c>
      <c r="DB51" s="4">
        <f>CT51</f>
        <v>2.0282460326686236</v>
      </c>
      <c r="DC51" s="4">
        <f>CU51</f>
        <v>0.84672542437358489</v>
      </c>
      <c r="DD51" s="4">
        <f>CW51</f>
        <v>2.1468664925268488</v>
      </c>
      <c r="DE51" s="4">
        <f>CZ51</f>
        <v>2.1117680338689433</v>
      </c>
      <c r="DF51" s="4">
        <f>CX51</f>
        <v>4.8425487415763619</v>
      </c>
      <c r="DG51" s="4">
        <f>CY51</f>
        <v>1</v>
      </c>
      <c r="DO51" s="4">
        <f>AM51</f>
        <v>0</v>
      </c>
      <c r="DP51" s="4">
        <f>K51</f>
        <v>133.19999999999999</v>
      </c>
      <c r="DS51" s="4">
        <f>J51/4/(1-0.3*(L51/30)^0.5)/200000/M51</f>
        <v>1.9960587760943928E-5</v>
      </c>
      <c r="DT51" s="4">
        <f>EO51</f>
        <v>12.240383556873418</v>
      </c>
      <c r="DU51" s="4">
        <f>EB51*AF51/257/L51/AC51</f>
        <v>0</v>
      </c>
      <c r="DV51" s="4">
        <f>DT51*DU51^0.4</f>
        <v>0</v>
      </c>
      <c r="DW51" s="4">
        <f>MIN(DT51, DT51/1.4*(1-DU51^1.4)/(1-DU51))</f>
        <v>8.743131112052442</v>
      </c>
      <c r="DX51" s="4">
        <f>MAX(DT51/2, (4-DS51*(8*AF51*(DV51-DW51)+6*J51*DW51))/(4+DS51*J51*DT51)*DT51)</f>
        <v>11.928607491192304</v>
      </c>
      <c r="DY51" s="38">
        <f>MIN(1/M51*(4*AF51*(DV51-DW51)+(3*DW51+DX51)*J51)+EB51 -FI51,MAX(I51,AI51))</f>
        <v>150.74706295312745</v>
      </c>
      <c r="DZ51" s="4">
        <f>DY51/FE51</f>
        <v>0.85990266032482099</v>
      </c>
      <c r="EA51" s="4">
        <f>AF51/M51</f>
        <v>2.2360679774997898</v>
      </c>
      <c r="EB51" s="4">
        <f>MIN(EA$10*BA51)</f>
        <v>0</v>
      </c>
      <c r="EF51" s="4">
        <f>IF(T51&gt;1*M51,0.85,1)</f>
        <v>0.85</v>
      </c>
      <c r="EG51" s="4">
        <f>MIN(1,MAX(0.7,(1-0.1*(BY51-1*M51)/M51)))</f>
        <v>1</v>
      </c>
      <c r="EH51" s="4">
        <f>MIN(1,MAX(0.7,1-0.3*(PI()*AL51^2/4*AP51*2-0.25*PI()/4*M51^2)/(PI()/4*M51^2)))</f>
        <v>1</v>
      </c>
      <c r="EI51" s="4">
        <f>IF(EG51*EH51&lt;0.7,0.7,EG51*EH51)</f>
        <v>1</v>
      </c>
      <c r="EK51" s="4">
        <f>MIN(DT51/M51*3*J51+EL51-FI51,MAX(I51,AI51))</f>
        <v>730</v>
      </c>
      <c r="EL51" s="25">
        <f>26.5*P51*J51^0.5*L51^0.5/W51/M51^2*(0.7+R51/5/J51)</f>
        <v>949.1812023271998</v>
      </c>
      <c r="EO51" s="4">
        <f>IF(M51&lt;22.2,1.1*5*(L51/30)^0.5,IF(M51&gt;=31.8,0.9*5*(L51/30)^0.5,1*5*(L51/30)^0.5))/EF51/EI51</f>
        <v>12.240383556873418</v>
      </c>
      <c r="ER51" s="4">
        <f>ES51*M51</f>
        <v>49.640709100495329</v>
      </c>
      <c r="ES51" s="4">
        <f>AE51^0.5</f>
        <v>2.2360679774997898</v>
      </c>
      <c r="ET51" s="4">
        <f>MIN(EB51)/(4700*L51^0.5)/AD51*ER51</f>
        <v>0</v>
      </c>
      <c r="EW51" s="4">
        <f>ET51</f>
        <v>0</v>
      </c>
      <c r="EX51" s="4">
        <f>MIN(0.999, EW51/(0.3*(L51/30)^0.5))</f>
        <v>0</v>
      </c>
      <c r="EY51" s="4">
        <f>EO51/1*EX51^0.4</f>
        <v>0</v>
      </c>
      <c r="EZ51" s="4">
        <f>EO51/1.4*(1-EX51^1.4)/(1-EX51)</f>
        <v>8.743131112052442</v>
      </c>
      <c r="FA51" s="4">
        <f>MAX(0,DP51*FA$9-ER51)</f>
        <v>0</v>
      </c>
      <c r="FB51" s="4">
        <f>MAX(0,DP51-ER51-FA51)</f>
        <v>83.55929089950466</v>
      </c>
      <c r="FC51" s="4">
        <f>FB51/(1-0.3*(L51/30)^0.5)/200000/M51</f>
        <v>5.0086863640895088E-5</v>
      </c>
      <c r="FD51" s="4">
        <f>MAX(0.5*EO51, (1-2*FC51*(ER51*EY51+FA51*EZ51))/(1/EO51+FC51*FB51))</f>
        <v>11.643882229397391</v>
      </c>
      <c r="FE51" s="4">
        <f>MIN(4/M51*(1*EY51*ER51+EZ51*FA51+FB51*FD51)+EB51,MAX(I51,AI51))</f>
        <v>175.30712475779993</v>
      </c>
      <c r="FN51" s="23">
        <f>IF(CT51&lt;0.6,0.6,IF(CT51&lt;0.8,0.8,IF(CT51&lt;1,1,IF(CT51&lt;1.2,1.2,IF(CT51&lt;1.4,1.4,IF(CT51&lt;1.6,1.6,IF(CT51&lt;1.8,1.8,IF(CT51&lt;2,2,2.2))))))))</f>
        <v>2.2000000000000002</v>
      </c>
      <c r="FO51" s="23">
        <f>IF(CU51&lt;0.6,0.6,IF(CU51&lt;0.8,0.8,IF(CU51&lt;1,1,IF(CU51&lt;1.2,1.2,IF(CU51&lt;1.4,1.4,IF(CU51&lt;1.6,1.6,IF(CU51&lt;1.8,1.8,IF(CU51&lt;2,2,2.2))))))))</f>
        <v>1</v>
      </c>
      <c r="FP51" s="23">
        <f>IF(CZ51&lt;0.6,0.6,IF(CZ51&lt;0.8,0.8,IF(CZ51&lt;1,1,IF(CZ51&lt;1.2,1.2,IF(CZ51&lt;1.4,1.4,IF(CZ51&lt;1.6,1.6,IF(CZ51&lt;1.8,1.8,IF(CZ51&lt;2,2,2.2))))))))</f>
        <v>2.2000000000000002</v>
      </c>
      <c r="FQ51" s="23">
        <f>IF(CW51&lt;0.6,0.6,IF(CW51&lt;0.8,0.8,IF(CW51&lt;1,1,IF(CW51&lt;1.2,1.2,IF(CW51&lt;1.4,1.4,IF(CW51&lt;1.6,1.6,IF(CW51&lt;1.8,1.8,IF(CW51&lt;2,2,2.2))))))))</f>
        <v>2.2000000000000002</v>
      </c>
      <c r="FR51" s="23">
        <f>IF(CX51&lt;0.6,0.6,IF(CX51&lt;0.8,0.8,IF(CX51&lt;1,1,IF(CX51&lt;1.2,1.2,IF(CX51&lt;1.4,1.4,IF(CX51&lt;1.6,1.6,IF(CX51&lt;1.8,1.8,IF(CX51&lt;2,2,2.2))))))))</f>
        <v>2.2000000000000002</v>
      </c>
      <c r="FS51" s="23">
        <f>IF(CY51&lt;0.6,0.6,IF(CY51&lt;0.8,0.8,IF(CY51&lt;1,1,IF(CY51&lt;1.2,1.2,IF(CY51&lt;1.4,1.4,IF(CY51&lt;1.6,1.6,IF(CY51&lt;1.8,1.8,IF(CY51&lt;2,2,2.2))))))))</f>
        <v>1.2</v>
      </c>
      <c r="FT51" s="23">
        <f>IF(FR51&lt;1,1,0)</f>
        <v>0</v>
      </c>
      <c r="FU51" s="23"/>
      <c r="GE51" s="4">
        <f>IF(R51&gt;=2.5*25.4,1,1.25)</f>
        <v>1.25</v>
      </c>
      <c r="GF51" s="4">
        <f>IF(AN51&gt;1, 0.05*(18-MIN(8,(V51+M51)/M51))*(1-48000/MAX(60000,(I51*145))*(M51/25.4)^0.75*GG51), 1/12*(14-MIN(8,(V51+M51)/M51)))</f>
        <v>0.5</v>
      </c>
      <c r="GG51" s="4">
        <f>MIN(0.3, AL51^2*PI()/4*2*AO51/(M51^2*PI()/4*W51))</f>
        <v>0</v>
      </c>
      <c r="GH51" s="4">
        <f>(J51/25.4)/(M51/25.4)^1.5/0.0024*(L51*145)^0.25/GE51/GF51/145</f>
        <v>345.681906484102</v>
      </c>
    </row>
    <row r="52" spans="1:195" s="4" customFormat="1" ht="12" customHeight="1" x14ac:dyDescent="0.3">
      <c r="A52" s="25">
        <v>185</v>
      </c>
      <c r="B52" s="24" t="s">
        <v>128</v>
      </c>
      <c r="C52" s="24">
        <v>2017</v>
      </c>
      <c r="D52" s="24" t="s">
        <v>309</v>
      </c>
      <c r="E52" s="24"/>
      <c r="F52" s="109" t="s">
        <v>802</v>
      </c>
      <c r="G52" s="4" t="s">
        <v>319</v>
      </c>
      <c r="H52" s="5">
        <f>J52/M52</f>
        <v>6</v>
      </c>
      <c r="I52" s="86">
        <v>679</v>
      </c>
      <c r="J52" s="104">
        <f>6*M52</f>
        <v>133.19999999999999</v>
      </c>
      <c r="K52" s="7">
        <f>J52</f>
        <v>133.19999999999999</v>
      </c>
      <c r="L52" s="10">
        <v>129.9</v>
      </c>
      <c r="M52" s="80">
        <v>22.2</v>
      </c>
      <c r="N52" s="7">
        <f>J52/M52</f>
        <v>6</v>
      </c>
      <c r="O52" s="7">
        <f>K52/M52</f>
        <v>6</v>
      </c>
      <c r="P52" s="7">
        <v>366</v>
      </c>
      <c r="Q52" s="32">
        <f>R52/M52</f>
        <v>1</v>
      </c>
      <c r="R52" s="7">
        <f>1*M52</f>
        <v>22.2</v>
      </c>
      <c r="S52" s="32">
        <f>T52/M52</f>
        <v>1.9279279279279284</v>
      </c>
      <c r="T52" s="7">
        <f>176-K52</f>
        <v>42.800000000000011</v>
      </c>
      <c r="U52" s="32">
        <f>V52/M52</f>
        <v>12.48648648648649</v>
      </c>
      <c r="V52" s="7">
        <f>P52-2*M52-2*R52</f>
        <v>277.20000000000005</v>
      </c>
      <c r="W52" s="7">
        <v>2</v>
      </c>
      <c r="X52" s="122">
        <f>AM52</f>
        <v>0</v>
      </c>
      <c r="Y52" s="32">
        <f>Z52/M52</f>
        <v>3.9999999999999996</v>
      </c>
      <c r="Z52" s="10">
        <f>2/3*J52</f>
        <v>88.799999999999983</v>
      </c>
      <c r="AA52" s="7">
        <f>MIN(R52/M52+0.5, V52/2/M52+0.5)</f>
        <v>1.5</v>
      </c>
      <c r="AB52" s="7">
        <f>R52/M52+0.5</f>
        <v>1.5</v>
      </c>
      <c r="AC52" s="7">
        <f>2040/510</f>
        <v>4</v>
      </c>
      <c r="AD52" s="7">
        <f>2040/510</f>
        <v>4</v>
      </c>
      <c r="AE52" s="7">
        <f>AD52+1</f>
        <v>5</v>
      </c>
      <c r="AF52" s="7">
        <f>M52*AE52^0.5</f>
        <v>49.640709100495329</v>
      </c>
      <c r="AG52" s="7">
        <f>I52</f>
        <v>679</v>
      </c>
      <c r="AH52" s="7">
        <v>8</v>
      </c>
      <c r="AI52" s="7">
        <f>(742+721)/2</f>
        <v>731.5</v>
      </c>
      <c r="AJ52" s="7"/>
      <c r="AK52" s="4">
        <f>CX52</f>
        <v>4.8524991841960396</v>
      </c>
      <c r="AL52" s="7">
        <v>0</v>
      </c>
      <c r="AM52" s="7">
        <v>0</v>
      </c>
      <c r="AN52" s="7">
        <f>K52</f>
        <v>133.19999999999999</v>
      </c>
      <c r="AO52" s="7"/>
      <c r="AP52" s="7"/>
      <c r="AQ52" s="7">
        <f>3*AR52/(V52+M52)</f>
        <v>1.3346693386773545</v>
      </c>
      <c r="AR52" s="4">
        <f>J52</f>
        <v>133.19999999999999</v>
      </c>
      <c r="AS52" s="4">
        <f>IF(J52*3&gt;V52+M52, P52, (R52+M52/2)*2+1.5*J52*(2*W52-2))*(3*J52)/(9*J52^2)</f>
        <v>0.91591591591591592</v>
      </c>
      <c r="AT52" s="4">
        <f>MIN(10*L52^0.5*J52^1.5,100*3.9*L52^0.5*J52^(5/3))/(PI()/4*M52^2)/W52</f>
        <v>226.32633296409878</v>
      </c>
      <c r="AU52" s="4">
        <f>MIN(0.7+0.3*(MIN(R52,Z52)+0.5*M52)/1.5/J52,1)</f>
        <v>0.75</v>
      </c>
      <c r="AV52" s="4">
        <v>1.25</v>
      </c>
      <c r="AW52" s="47">
        <f>AW51</f>
        <v>5</v>
      </c>
      <c r="AX52" s="38">
        <f>AS52*AU52*AV52*AW52*AT52</f>
        <v>971.6994869657957</v>
      </c>
      <c r="AY52" s="38">
        <f>AX52</f>
        <v>971.6994869657957</v>
      </c>
      <c r="AZ52" s="38">
        <f>IF(L52&lt;50, 0.3*L52^(2/3), 2.12*LN(1+0.1*(L52+8)))</f>
        <v>5.7111767066521422</v>
      </c>
      <c r="BA52" s="38">
        <f>AW52* (L52^0.5/AR52^0.5)/(PI()/4*M52^2)/W52/0.72 *(0.7+(MIN(R52,Z52)+0.5*M52)/5/J52) *(3*P52*J52)</f>
        <v>971.69948696579524</v>
      </c>
      <c r="BB52" s="38">
        <f>AX52/BA52</f>
        <v>1.0000000000000004</v>
      </c>
      <c r="BC52" s="38">
        <f>BG52/BA52</f>
        <v>0.80209983688859943</v>
      </c>
      <c r="BD52" s="4">
        <f>IF(BC52&lt;1,1,0)</f>
        <v>1</v>
      </c>
      <c r="BE52" s="4">
        <f>K52/M52*L52^0.5/0.19</f>
        <v>359.91688791300993</v>
      </c>
      <c r="BF52" s="4">
        <f>MIN(0.6+0.4*(AB52/AA52),2)</f>
        <v>1</v>
      </c>
      <c r="BG52" s="38">
        <f>2*L52*AA52*AC52^0.5*BF52*0.7/0.7</f>
        <v>779.40000000000009</v>
      </c>
      <c r="BH52" s="4">
        <f>MAX(1-0.7*AD52/5,0.3)</f>
        <v>0.44000000000000006</v>
      </c>
      <c r="BI52" s="4">
        <f>BH52*I52*K52/(I52*M52/2.75/L52^0.5)</f>
        <v>82.744892531200989</v>
      </c>
      <c r="BJ52" s="4">
        <f>BG52+BI52</f>
        <v>862.14489253120109</v>
      </c>
      <c r="BL52" s="4">
        <f>MIN(1.5, 0.75+0.25*MIN(3,MAX(1,R52/M52))+0.4*MIN(1,(40*2*PI()*AL52^2/4/AN52/W52)/M52))</f>
        <v>1</v>
      </c>
      <c r="BM52" s="4">
        <f>(3*O52+30)*BL52*L52^0.5</f>
        <v>547.07366962777508</v>
      </c>
      <c r="BO52" s="4">
        <f>3.4/PI()^0.5*L52*AA52*AD52^0.5*BF52</f>
        <v>747.53991440910613</v>
      </c>
      <c r="BP52" s="4">
        <f>8/3*AG52*AH52^2/(AF52-M52-22)/M52*(AF52^2-M52^2)/(AF52^2-(M52+22)^2)</f>
        <v>3704.4961984911101</v>
      </c>
      <c r="BQ52" s="4">
        <f>BP52/BO52</f>
        <v>4.9555831429005819</v>
      </c>
      <c r="BY52" s="4">
        <f>IF(V52=0,R52,MIN(V52/2,R52))</f>
        <v>22.2</v>
      </c>
      <c r="CC52" s="9"/>
      <c r="CE52" s="9"/>
      <c r="CF52" s="9"/>
      <c r="CG52" s="9">
        <f>IF(V52=0,MIN(R52,T52),MIN(V52/2,R52,T52))</f>
        <v>22.2</v>
      </c>
      <c r="CH52" s="9">
        <f>MAX(V52/2,R52)</f>
        <v>138.60000000000002</v>
      </c>
      <c r="CI52" s="9">
        <f>(CG52/M52)^0.5*(CH52/CG52)^0.15</f>
        <v>1.3161686388047049</v>
      </c>
      <c r="CJ52" s="70">
        <v>0</v>
      </c>
      <c r="CK52" s="9">
        <f>MIN(PI()*AL52^2/4*AM52*2/W52/M52/MAX(0.01,AN52),0.05)</f>
        <v>0</v>
      </c>
      <c r="CL52" s="9">
        <f>MAX(0,CJ52*(CK52-0.5/50))</f>
        <v>0</v>
      </c>
      <c r="CM52" s="9">
        <f>MIN(1,(25/M52)^0.3)</f>
        <v>1</v>
      </c>
      <c r="CN52" s="9">
        <f>IF(I52&gt;=800,0.68,IF(I52&gt;=700,0.75-(I52-700)*0.07/100,IF(I52&gt;=600,0.85-(I52-600)*0.1/100,IF(I52&gt;=500,1-(I52-500)*0.15/100,1.2-(I52-400)*0.2/100))))</f>
        <v>0.77100000000000002</v>
      </c>
      <c r="CO52" s="9">
        <f>1.75*CM52*CN52*(L52/25)^0.5</f>
        <v>3.0755797864386483</v>
      </c>
      <c r="CP52" s="9">
        <f>MIN((CI52+CL52)*CO52,2.5*CO52,L52^0.5)</f>
        <v>4.047981661052221</v>
      </c>
      <c r="CQ52" s="9">
        <v>1</v>
      </c>
      <c r="CR52" s="9">
        <f>4*CP52*O52+60*CP52</f>
        <v>340.03045952838659</v>
      </c>
      <c r="CT52" s="4">
        <f>AI52/BE52</f>
        <v>2.0324136615028738</v>
      </c>
      <c r="CU52" s="4">
        <f>AI52/BJ52</f>
        <v>0.84846527113599635</v>
      </c>
      <c r="CV52" s="4">
        <f>AI52/BM52</f>
        <v>1.3371142509887328</v>
      </c>
      <c r="CW52" s="4">
        <f>AI52/CR52</f>
        <v>2.1512778620320412</v>
      </c>
      <c r="CX52" s="44">
        <f>AI52/DY52</f>
        <v>4.8524991841960396</v>
      </c>
      <c r="CY52" s="4">
        <f>AI52/EK52</f>
        <v>1</v>
      </c>
      <c r="CZ52" s="4">
        <f>AI52/GH52</f>
        <v>2.1161072832536054</v>
      </c>
      <c r="DB52" s="4">
        <f>CT52</f>
        <v>2.0324136615028738</v>
      </c>
      <c r="DC52" s="4">
        <f>CU52</f>
        <v>0.84846527113599635</v>
      </c>
      <c r="DD52" s="4">
        <f>CW52</f>
        <v>2.1512778620320412</v>
      </c>
      <c r="DE52" s="4">
        <f>CZ52</f>
        <v>2.1161072832536054</v>
      </c>
      <c r="DF52" s="4">
        <f>CX52</f>
        <v>4.8524991841960396</v>
      </c>
      <c r="DG52" s="4">
        <f>CY52</f>
        <v>1</v>
      </c>
      <c r="DO52" s="4">
        <f>AM52</f>
        <v>0</v>
      </c>
      <c r="DP52" s="4">
        <f>K52</f>
        <v>133.19999999999999</v>
      </c>
      <c r="DS52" s="4">
        <f>J52/4/(1-0.3*(L52/30)^0.5)/200000/M52</f>
        <v>1.9960587760943928E-5</v>
      </c>
      <c r="DT52" s="4">
        <f>EO52</f>
        <v>12.240383556873418</v>
      </c>
      <c r="DU52" s="4">
        <f>EB52*AF52/257/L52/AC52</f>
        <v>0</v>
      </c>
      <c r="DV52" s="4">
        <f>DT52*DU52^0.4</f>
        <v>0</v>
      </c>
      <c r="DW52" s="4">
        <f>MIN(DT52, DT52/1.4*(1-DU52^1.4)/(1-DU52))</f>
        <v>8.743131112052442</v>
      </c>
      <c r="DX52" s="4">
        <f>MAX(DT52/2, (4-DS52*(8*AF52*(DV52-DW52)+6*J52*DW52))/(4+DS52*J52*DT52)*DT52)</f>
        <v>11.928607491192304</v>
      </c>
      <c r="DY52" s="38">
        <f>MIN(1/M52*(4*AF52*(DV52-DW52)+(3*DW52+DX52)*J52)+EB52 -FI52,MAX(I52,AI52))</f>
        <v>150.74706295312745</v>
      </c>
      <c r="DZ52" s="4">
        <f>DY52/FE52</f>
        <v>0.85990266032482099</v>
      </c>
      <c r="EA52" s="4">
        <f>AF52/M52</f>
        <v>2.2360679774997898</v>
      </c>
      <c r="EB52" s="4">
        <f>MIN(EA$10*BA52)</f>
        <v>0</v>
      </c>
      <c r="EF52" s="4">
        <f>IF(T52&gt;1*M52,0.85,1)</f>
        <v>0.85</v>
      </c>
      <c r="EG52" s="4">
        <f>MIN(1,MAX(0.7,(1-0.1*(BY52-1*M52)/M52)))</f>
        <v>1</v>
      </c>
      <c r="EH52" s="4">
        <f>MIN(1,MAX(0.7,1-0.3*(PI()*AL52^2/4*AP52*2-0.25*PI()/4*M52^2)/(PI()/4*M52^2)))</f>
        <v>1</v>
      </c>
      <c r="EI52" s="4">
        <f>IF(EG52*EH52&lt;0.7,0.7,EG52*EH52)</f>
        <v>1</v>
      </c>
      <c r="EK52" s="4">
        <f>MIN(DT52/M52*3*J52+EL52-FI52,MAX(I52,AI52))</f>
        <v>731.5</v>
      </c>
      <c r="EL52" s="25">
        <f>26.5*P52*J52^0.5*L52^0.5/W52/M52^2*(0.7+R52/5/J52)</f>
        <v>949.1812023271998</v>
      </c>
      <c r="EO52" s="4">
        <f>IF(M52&lt;22.2,1.1*5*(L52/30)^0.5,IF(M52&gt;=31.8,0.9*5*(L52/30)^0.5,1*5*(L52/30)^0.5))/EF52/EI52</f>
        <v>12.240383556873418</v>
      </c>
      <c r="ER52" s="4">
        <f>ES52*M52</f>
        <v>49.640709100495329</v>
      </c>
      <c r="ES52" s="4">
        <f>AE52^0.5</f>
        <v>2.2360679774997898</v>
      </c>
      <c r="ET52" s="4">
        <f>MIN(EB52)/(4700*L52^0.5)/AD52*ER52</f>
        <v>0</v>
      </c>
      <c r="EW52" s="4">
        <f>ET52</f>
        <v>0</v>
      </c>
      <c r="EX52" s="4">
        <f>MIN(0.999, EW52/(0.3*(L52/30)^0.5))</f>
        <v>0</v>
      </c>
      <c r="EY52" s="4">
        <f>EO52/1*EX52^0.4</f>
        <v>0</v>
      </c>
      <c r="EZ52" s="4">
        <f>EO52/1.4*(1-EX52^1.4)/(1-EX52)</f>
        <v>8.743131112052442</v>
      </c>
      <c r="FA52" s="4">
        <f>MAX(0,DP52*FA$9-ER52)</f>
        <v>0</v>
      </c>
      <c r="FB52" s="4">
        <f>MAX(0,DP52-ER52-FA52)</f>
        <v>83.55929089950466</v>
      </c>
      <c r="FC52" s="4">
        <f>FB52/(1-0.3*(L52/30)^0.5)/200000/M52</f>
        <v>5.0086863640895088E-5</v>
      </c>
      <c r="FD52" s="4">
        <f>MAX(0.5*EO52, (1-2*FC52*(ER52*EY52+FA52*EZ52))/(1/EO52+FC52*FB52))</f>
        <v>11.643882229397391</v>
      </c>
      <c r="FE52" s="4">
        <f>MIN(4/M52*(1*EY52*ER52+EZ52*FA52+FB52*FD52)+EB52,MAX(I52,AI52))</f>
        <v>175.30712475779993</v>
      </c>
      <c r="FN52" s="23">
        <f>IF(CT52&lt;0.6,0.6,IF(CT52&lt;0.8,0.8,IF(CT52&lt;1,1,IF(CT52&lt;1.2,1.2,IF(CT52&lt;1.4,1.4,IF(CT52&lt;1.6,1.6,IF(CT52&lt;1.8,1.8,IF(CT52&lt;2,2,2.2))))))))</f>
        <v>2.2000000000000002</v>
      </c>
      <c r="FO52" s="23">
        <f>IF(CU52&lt;0.6,0.6,IF(CU52&lt;0.8,0.8,IF(CU52&lt;1,1,IF(CU52&lt;1.2,1.2,IF(CU52&lt;1.4,1.4,IF(CU52&lt;1.6,1.6,IF(CU52&lt;1.8,1.8,IF(CU52&lt;2,2,2.2))))))))</f>
        <v>1</v>
      </c>
      <c r="FP52" s="23">
        <f>IF(CZ52&lt;0.6,0.6,IF(CZ52&lt;0.8,0.8,IF(CZ52&lt;1,1,IF(CZ52&lt;1.2,1.2,IF(CZ52&lt;1.4,1.4,IF(CZ52&lt;1.6,1.6,IF(CZ52&lt;1.8,1.8,IF(CZ52&lt;2,2,2.2))))))))</f>
        <v>2.2000000000000002</v>
      </c>
      <c r="FQ52" s="23">
        <f>IF(CW52&lt;0.6,0.6,IF(CW52&lt;0.8,0.8,IF(CW52&lt;1,1,IF(CW52&lt;1.2,1.2,IF(CW52&lt;1.4,1.4,IF(CW52&lt;1.6,1.6,IF(CW52&lt;1.8,1.8,IF(CW52&lt;2,2,2.2))))))))</f>
        <v>2.2000000000000002</v>
      </c>
      <c r="FR52" s="23">
        <f>IF(CX52&lt;0.6,0.6,IF(CX52&lt;0.8,0.8,IF(CX52&lt;1,1,IF(CX52&lt;1.2,1.2,IF(CX52&lt;1.4,1.4,IF(CX52&lt;1.6,1.6,IF(CX52&lt;1.8,1.8,IF(CX52&lt;2,2,2.2))))))))</f>
        <v>2.2000000000000002</v>
      </c>
      <c r="FS52" s="23">
        <f>IF(CY52&lt;0.6,0.6,IF(CY52&lt;0.8,0.8,IF(CY52&lt;1,1,IF(CY52&lt;1.2,1.2,IF(CY52&lt;1.4,1.4,IF(CY52&lt;1.6,1.6,IF(CY52&lt;1.8,1.8,IF(CY52&lt;2,2,2.2))))))))</f>
        <v>1.2</v>
      </c>
      <c r="FT52" s="23">
        <f>IF(FR52&lt;1,1,0)</f>
        <v>0</v>
      </c>
      <c r="FU52" s="23"/>
      <c r="GE52" s="4">
        <f>IF(R52&gt;=2.5*25.4,1,1.25)</f>
        <v>1.25</v>
      </c>
      <c r="GF52" s="4">
        <f>IF(AN52&gt;1, 0.05*(18-MIN(8,(V52+M52)/M52))*(1-48000/MAX(60000,(I52*145))*(M52/25.4)^0.75*GG52), 1/12*(14-MIN(8,(V52+M52)/M52)))</f>
        <v>0.5</v>
      </c>
      <c r="GG52" s="4">
        <f>MIN(0.3, AL52^2*PI()/4*2*AO52/(M52^2*PI()/4*W52))</f>
        <v>0</v>
      </c>
      <c r="GH52" s="4">
        <f>(J52/25.4)/(M52/25.4)^1.5/0.0024*(L52*145)^0.25/GE52/GF52/145</f>
        <v>345.681906484102</v>
      </c>
    </row>
    <row r="53" spans="1:195" s="4" customFormat="1" ht="12" customHeight="1" x14ac:dyDescent="0.3">
      <c r="A53" s="25">
        <v>190</v>
      </c>
      <c r="B53" s="24" t="s">
        <v>128</v>
      </c>
      <c r="C53" s="24">
        <v>2017</v>
      </c>
      <c r="D53" s="24" t="s">
        <v>309</v>
      </c>
      <c r="E53" s="24"/>
      <c r="F53" s="109" t="s">
        <v>804</v>
      </c>
      <c r="G53" s="4" t="s">
        <v>322</v>
      </c>
      <c r="H53" s="5">
        <f>J53/M53</f>
        <v>4</v>
      </c>
      <c r="I53" s="7">
        <v>649</v>
      </c>
      <c r="J53" s="104">
        <f>4*M53</f>
        <v>127.2</v>
      </c>
      <c r="K53" s="7">
        <f>J53</f>
        <v>127.2</v>
      </c>
      <c r="L53" s="10">
        <v>129.9</v>
      </c>
      <c r="M53" s="21">
        <v>31.8</v>
      </c>
      <c r="N53" s="7">
        <f>J53/M53</f>
        <v>4</v>
      </c>
      <c r="O53" s="7">
        <f>K53/M53</f>
        <v>4</v>
      </c>
      <c r="P53" s="7">
        <v>396</v>
      </c>
      <c r="Q53" s="32">
        <f>R53/M53</f>
        <v>1</v>
      </c>
      <c r="R53" s="7">
        <f>1*M53</f>
        <v>31.8</v>
      </c>
      <c r="S53" s="32">
        <f>T53/M53</f>
        <v>1.3773584905660377</v>
      </c>
      <c r="T53" s="7">
        <f>171-K53</f>
        <v>43.8</v>
      </c>
      <c r="U53" s="32">
        <f>V53/M53</f>
        <v>8.4528301886792434</v>
      </c>
      <c r="V53" s="7">
        <f>P53-2*M53-2*R53</f>
        <v>268.79999999999995</v>
      </c>
      <c r="W53" s="7">
        <v>2</v>
      </c>
      <c r="X53" s="122">
        <f>AM53</f>
        <v>2</v>
      </c>
      <c r="Y53" s="32">
        <f>Z53/M53</f>
        <v>2.6666666666666665</v>
      </c>
      <c r="Z53" s="10">
        <f>2/3*J53</f>
        <v>84.8</v>
      </c>
      <c r="AA53" s="7">
        <f>MIN(R53/M53+0.5, V53/2/M53+0.5)</f>
        <v>1.5</v>
      </c>
      <c r="AB53" s="7">
        <f>R53/M53+0.5</f>
        <v>1.5</v>
      </c>
      <c r="AC53" s="7">
        <f>2040/510</f>
        <v>4</v>
      </c>
      <c r="AD53" s="7">
        <f>2040/510</f>
        <v>4</v>
      </c>
      <c r="AE53" s="7">
        <f>AD53+1</f>
        <v>5</v>
      </c>
      <c r="AF53" s="7">
        <f>M53*AE53^0.5</f>
        <v>71.106961684493314</v>
      </c>
      <c r="AG53" s="7">
        <f>I53</f>
        <v>649</v>
      </c>
      <c r="AH53" s="7">
        <v>11</v>
      </c>
      <c r="AI53" s="7">
        <f>(738+710)/2</f>
        <v>724</v>
      </c>
      <c r="AJ53" s="7"/>
      <c r="AK53" s="4">
        <f>CX53</f>
        <v>9.4597064169899241</v>
      </c>
      <c r="AL53" s="7">
        <v>12.7</v>
      </c>
      <c r="AM53" s="7">
        <v>2</v>
      </c>
      <c r="AN53" s="7">
        <v>64</v>
      </c>
      <c r="AO53" s="7">
        <v>4</v>
      </c>
      <c r="AP53" s="7">
        <f>AM53</f>
        <v>2</v>
      </c>
      <c r="AQ53" s="7">
        <f>3*AR53/(V53+M53)</f>
        <v>1.2694610778443116</v>
      </c>
      <c r="AR53" s="4">
        <f>J53</f>
        <v>127.2</v>
      </c>
      <c r="AS53" s="4">
        <f>IF(J53*3&gt;V53+M53, P53, (R53+M53/2)*2+1.5*J53*(2*W53-2))*(3*J53)/(9*J53^2)</f>
        <v>1.0377358490566038</v>
      </c>
      <c r="AT53" s="4">
        <f>MIN(10*L53^0.5*J53^1.5,100*3.9*L53^0.5*J53^(5/3))/(PI()/4*M53^2)/W53</f>
        <v>102.93453939452981</v>
      </c>
      <c r="AU53" s="4">
        <f>MIN(0.7+0.3*(MIN(R53,Z53)+0.5*M53)/1.5/J53,1)</f>
        <v>0.77499999999999991</v>
      </c>
      <c r="AV53" s="4">
        <v>1.25</v>
      </c>
      <c r="AW53" s="47">
        <f>AW52</f>
        <v>5</v>
      </c>
      <c r="AX53" s="38">
        <f>AS53*AU53*AV53*AW53*AT53</f>
        <v>517.40386104856509</v>
      </c>
      <c r="AY53" s="38">
        <f>AX53</f>
        <v>517.40386104856509</v>
      </c>
      <c r="AZ53" s="38">
        <f>IF(L53&lt;50, 0.3*L53^(2/3), 2.12*LN(1+0.1*(L53+8)))</f>
        <v>5.7111767066521422</v>
      </c>
      <c r="BA53" s="38">
        <f>AW53* (L53^0.5/AR53^0.5)/(PI()/4*M53^2)/W53/0.72 *(0.7+(MIN(R53,Z53)+0.5*M53)/5/J53) *(3*P53*J53)</f>
        <v>517.40386104856543</v>
      </c>
      <c r="BB53" s="38">
        <f>AX53/BA53</f>
        <v>0.99999999999999933</v>
      </c>
      <c r="BC53" s="38">
        <f>BG53/BA53</f>
        <v>1.5063668029466883</v>
      </c>
      <c r="BD53" s="4">
        <f>IF(BC53&lt;1,1,0)</f>
        <v>0</v>
      </c>
      <c r="BE53" s="4">
        <f>K53/M53*L53^0.5/0.19</f>
        <v>239.94459194200661</v>
      </c>
      <c r="BF53" s="4">
        <f>MIN(0.6+0.4*(AB53/AA53),2)</f>
        <v>1</v>
      </c>
      <c r="BG53" s="38">
        <f>2*L53*AA53*AC53^0.5*BF53*0.7/0.7</f>
        <v>779.40000000000009</v>
      </c>
      <c r="BH53" s="4">
        <f>MAX(1-0.7*AD53/5,0.3)</f>
        <v>0.44000000000000006</v>
      </c>
      <c r="BI53" s="4">
        <f>BH53*I53*K53/(I53*M53/2.75/L53^0.5)</f>
        <v>55.163261687467333</v>
      </c>
      <c r="BJ53" s="4">
        <f>BG53+BI53</f>
        <v>834.56326168746739</v>
      </c>
      <c r="BL53" s="4">
        <f>MIN(1.5, 0.75+0.25*MIN(3,MAX(1,R53/M53))+0.4*MIN(1,(40*2*PI()*AL53^2/4/AN53/W53)/M53))</f>
        <v>1.4</v>
      </c>
      <c r="BM53" s="4">
        <f>(3*O53+30)*BL53*L53^0.5</f>
        <v>670.16524529402443</v>
      </c>
      <c r="BO53" s="4">
        <f>3.4/PI()^0.5*L53*AA53*AD53^0.5*BF53</f>
        <v>747.53991440910613</v>
      </c>
      <c r="BP53" s="4">
        <f>8/3*AG53*AH53^2/(AF53-M53-22)/M53*(AF53^2-M53^2)/(AF53^2-(M53+22)^2)</f>
        <v>711.96329095823319</v>
      </c>
      <c r="BQ53" s="4">
        <f>BP53/BO53</f>
        <v>0.95240839617374207</v>
      </c>
      <c r="BY53" s="4">
        <f>IF(V53=0,R53,MIN(V53/2,R53))</f>
        <v>31.8</v>
      </c>
      <c r="CC53" s="9"/>
      <c r="CE53" s="9"/>
      <c r="CF53" s="9"/>
      <c r="CG53" s="9">
        <f>IF(V53=0,MIN(R53,T53),MIN(V53/2,R53,T53))</f>
        <v>31.8</v>
      </c>
      <c r="CH53" s="9">
        <f>MAX(V53/2,R53)</f>
        <v>134.39999999999998</v>
      </c>
      <c r="CI53" s="9">
        <f>(CG53/M53)^0.5*(CH53/CG53)^0.15</f>
        <v>1.2413544982455165</v>
      </c>
      <c r="CJ53" s="70">
        <v>20</v>
      </c>
      <c r="CK53" s="9">
        <f>MIN(PI()*AL53^2/4*AM53*2/W53/M53/MAX(0.01,AN53),0.05)</f>
        <v>0.05</v>
      </c>
      <c r="CL53" s="9">
        <f>MAX(0,CJ53*(CK53-0.5/50))</f>
        <v>0.8</v>
      </c>
      <c r="CM53" s="9">
        <f>MIN(1,(25/M53)^0.3)</f>
        <v>0.93036607665491811</v>
      </c>
      <c r="CN53" s="9">
        <f>IF(I53&gt;=800,0.68,IF(I53&gt;=700,0.75-(I53-700)*0.07/100,IF(I53&gt;=600,0.85-(I53-600)*0.1/100,IF(I53&gt;=500,1-(I53-500)*0.15/100,1.2-(I53-400)*0.2/100))))</f>
        <v>0.80099999999999993</v>
      </c>
      <c r="CO53" s="9">
        <f>1.75*CM53*CN53*(L53/25)^0.5</f>
        <v>2.9727542082721463</v>
      </c>
      <c r="CP53" s="9">
        <f>MIN((CI53+CL53)*CO53,2.5*CO53,L53^0.5)</f>
        <v>6.0684451752346353</v>
      </c>
      <c r="CQ53" s="9">
        <v>1</v>
      </c>
      <c r="CR53" s="9">
        <f>4*CP53*O53+60*CP53</f>
        <v>461.20183331783232</v>
      </c>
      <c r="CT53" s="4">
        <f>AI53/BE53</f>
        <v>3.0173632759974316</v>
      </c>
      <c r="CU53" s="4">
        <f>AI53/BJ53</f>
        <v>0.86751961563235958</v>
      </c>
      <c r="CV53" s="4">
        <f>AI53/BM53</f>
        <v>1.0803305678472723</v>
      </c>
      <c r="CW53" s="4">
        <f>AI53/CR53</f>
        <v>1.5698116262713619</v>
      </c>
      <c r="CX53" s="44">
        <f>AI53/DY53</f>
        <v>9.4597064169899241</v>
      </c>
      <c r="CY53" s="4">
        <f>AI53/EK53</f>
        <v>1.1141268495754608</v>
      </c>
      <c r="CZ53" s="4">
        <f>AI53/GH53</f>
        <v>3.0790396611328834</v>
      </c>
      <c r="DH53" s="4">
        <f>CT53</f>
        <v>3.0173632759974316</v>
      </c>
      <c r="DI53" s="4">
        <f>CU53</f>
        <v>0.86751961563235958</v>
      </c>
      <c r="DJ53" s="4">
        <f>CW53</f>
        <v>1.5698116262713619</v>
      </c>
      <c r="DK53" s="4">
        <f>CZ53</f>
        <v>3.0790396611328834</v>
      </c>
      <c r="DL53" s="4">
        <f>CX53</f>
        <v>9.4597064169899241</v>
      </c>
      <c r="DM53" s="4">
        <f>CY53</f>
        <v>1.1141268495754608</v>
      </c>
      <c r="DO53" s="4">
        <f>AM53</f>
        <v>2</v>
      </c>
      <c r="DP53" s="4">
        <f>K53</f>
        <v>127.2</v>
      </c>
      <c r="DS53" s="4">
        <f>J53/4/(1-0.3*(L53/30)^0.5)/200000/M53</f>
        <v>1.3307058507295954E-5</v>
      </c>
      <c r="DT53" s="4">
        <f>EO53</f>
        <v>12.467523847691927</v>
      </c>
      <c r="DU53" s="4">
        <f>EB53*AF53/257/L53/AC53</f>
        <v>0</v>
      </c>
      <c r="DV53" s="4">
        <f>DT53*DU53^0.4</f>
        <v>0</v>
      </c>
      <c r="DW53" s="4">
        <f>MIN(DT53, DT53/1.4*(1-DU53^1.4)/(1-DU53))</f>
        <v>8.9053741769228054</v>
      </c>
      <c r="DX53" s="4">
        <f>MAX(DT53/2, (4-DS53*(8*AF53*(DV53-DW53)+6*J53*DW53))/(4+DS53*J53*DT53)*DT53)</f>
        <v>12.330685683600279</v>
      </c>
      <c r="DY53" s="38">
        <f>MIN(1/M53*(4*AF53*(DV53-DW53)+(3*DW53+DX53)*J53)+EB53 -FI53,MAX(I53,AI53))</f>
        <v>76.535144758792271</v>
      </c>
      <c r="DZ53" s="4">
        <f>DY53/FE53</f>
        <v>0.88432138441202446</v>
      </c>
      <c r="EA53" s="4">
        <f>AF53/M53</f>
        <v>2.2360679774997898</v>
      </c>
      <c r="EB53" s="4">
        <f>MIN(EA$10*BA53)</f>
        <v>0</v>
      </c>
      <c r="EF53" s="4">
        <f>IF(T53&gt;1*M53,0.85,1)</f>
        <v>0.85</v>
      </c>
      <c r="EG53" s="4">
        <f>MIN(1,MAX(0.7,(1-0.1*(BY53-1*M53)/M53)))</f>
        <v>1</v>
      </c>
      <c r="EH53" s="4">
        <f>MIN(1,MAX(0.7,1-0.3*(PI()*AL53^2/4*AP53*2-0.25*PI()/4*M53^2)/(PI()/4*M53^2)))</f>
        <v>0.88360329892013767</v>
      </c>
      <c r="EI53" s="4">
        <f>IF(EG53*EH53&lt;0.7,0.7,EG53*EH53)</f>
        <v>0.88360329892013767</v>
      </c>
      <c r="EK53" s="4">
        <f>MIN(DT53/M53*3*J53+EL53-FI53,MAX(I53,AI53))</f>
        <v>649.83623747680167</v>
      </c>
      <c r="EL53" s="25">
        <f>26.5*P53*J53^0.5*L53^0.5/W53/M53^2*(0.7+R53/5/J53)</f>
        <v>500.22595130449861</v>
      </c>
      <c r="EO53" s="4">
        <f>IF(M53&lt;22.2,1.1*5*(L53/30)^0.5,IF(M53&gt;=31.8,0.9*5*(L53/30)^0.5,1*5*(L53/30)^0.5))/EF53/EI53</f>
        <v>12.467523847691927</v>
      </c>
      <c r="ER53" s="4">
        <f>ES53*M53</f>
        <v>71.106961684493314</v>
      </c>
      <c r="ES53" s="4">
        <f>AE53^0.5</f>
        <v>2.2360679774997898</v>
      </c>
      <c r="ET53" s="4">
        <f>MIN(EB53)/(4700*L53^0.5)/AD53*ER53</f>
        <v>0</v>
      </c>
      <c r="EW53" s="4">
        <f>ET53</f>
        <v>0</v>
      </c>
      <c r="EX53" s="4">
        <f>MIN(0.999, EW53/(0.3*(L53/30)^0.5))</f>
        <v>0</v>
      </c>
      <c r="EY53" s="4">
        <f>EO53/1*EX53^0.4</f>
        <v>0</v>
      </c>
      <c r="EZ53" s="4">
        <f>EO53/1.4*(1-EX53^1.4)/(1-EX53)</f>
        <v>8.9053741769228054</v>
      </c>
      <c r="FA53" s="4">
        <f>MAX(0,DP53*FA$9-ER53)</f>
        <v>0</v>
      </c>
      <c r="FB53" s="4">
        <f>MAX(0,DP53-ER53-FA53)</f>
        <v>56.093038315506689</v>
      </c>
      <c r="FC53" s="4">
        <f>FB53/(1-0.3*(L53/30)^0.5)/200000/M53</f>
        <v>2.347274662630318E-5</v>
      </c>
      <c r="FD53" s="4">
        <f>MAX(0.5*EO53, (1-2*FC53*(ER53*EY53+FA53*EZ53))/(1/EO53+FC53*FB53))</f>
        <v>12.266169028709573</v>
      </c>
      <c r="FE53" s="4">
        <f>MIN(4/M53*(1*EY53*ER53+EZ53*FA53+FB53*FD53)+EB53,MAX(I53,AI53))</f>
        <v>86.546753372564481</v>
      </c>
      <c r="FN53" s="23">
        <f>IF(CT53&lt;0.6,0.6,IF(CT53&lt;0.8,0.8,IF(CT53&lt;1,1,IF(CT53&lt;1.2,1.2,IF(CT53&lt;1.4,1.4,IF(CT53&lt;1.6,1.6,IF(CT53&lt;1.8,1.8,IF(CT53&lt;2,2,2.2))))))))</f>
        <v>2.2000000000000002</v>
      </c>
      <c r="FO53" s="23">
        <f>IF(CU53&lt;0.6,0.6,IF(CU53&lt;0.8,0.8,IF(CU53&lt;1,1,IF(CU53&lt;1.2,1.2,IF(CU53&lt;1.4,1.4,IF(CU53&lt;1.6,1.6,IF(CU53&lt;1.8,1.8,IF(CU53&lt;2,2,2.2))))))))</f>
        <v>1</v>
      </c>
      <c r="FP53" s="23">
        <f>IF(CZ53&lt;0.6,0.6,IF(CZ53&lt;0.8,0.8,IF(CZ53&lt;1,1,IF(CZ53&lt;1.2,1.2,IF(CZ53&lt;1.4,1.4,IF(CZ53&lt;1.6,1.6,IF(CZ53&lt;1.8,1.8,IF(CZ53&lt;2,2,2.2))))))))</f>
        <v>2.2000000000000002</v>
      </c>
      <c r="FQ53" s="23">
        <f>IF(CW53&lt;0.6,0.6,IF(CW53&lt;0.8,0.8,IF(CW53&lt;1,1,IF(CW53&lt;1.2,1.2,IF(CW53&lt;1.4,1.4,IF(CW53&lt;1.6,1.6,IF(CW53&lt;1.8,1.8,IF(CW53&lt;2,2,2.2))))))))</f>
        <v>1.6</v>
      </c>
      <c r="FR53" s="23">
        <f>IF(CX53&lt;0.6,0.6,IF(CX53&lt;0.8,0.8,IF(CX53&lt;1,1,IF(CX53&lt;1.2,1.2,IF(CX53&lt;1.4,1.4,IF(CX53&lt;1.6,1.6,IF(CX53&lt;1.8,1.8,IF(CX53&lt;2,2,2.2))))))))</f>
        <v>2.2000000000000002</v>
      </c>
      <c r="FS53" s="23">
        <f>IF(CY53&lt;0.6,0.6,IF(CY53&lt;0.8,0.8,IF(CY53&lt;1,1,IF(CY53&lt;1.2,1.2,IF(CY53&lt;1.4,1.4,IF(CY53&lt;1.6,1.6,IF(CY53&lt;1.8,1.8,IF(CY53&lt;2,2,2.2))))))))</f>
        <v>1.2</v>
      </c>
      <c r="FT53" s="23">
        <f>IF(FR53&lt;1,1,0)</f>
        <v>0</v>
      </c>
      <c r="FU53" s="23"/>
      <c r="GE53" s="4">
        <f>IF(R53&gt;=2.5*25.4,1,1.25)</f>
        <v>1.25</v>
      </c>
      <c r="GF53" s="4">
        <f>IF(AN53&gt;1, 0.05*(18-MIN(8,(V53+M53)/M53))*(1-48000/MAX(60000,(I53*145))*(M53/25.4)^0.75*GG53), 1/12*(14-MIN(8,(V53+M53)/M53)))</f>
        <v>0.40944449644340308</v>
      </c>
      <c r="GG53" s="4">
        <f>MIN(0.3, AL53^2*PI()/4*2*AO53/(M53^2*PI()/4*W53))</f>
        <v>0.3</v>
      </c>
      <c r="GH53" s="4">
        <f>(J53/25.4)/(M53/25.4)^1.5/0.0024*(L53*145)^0.25/GE53/GF53/145</f>
        <v>235.13825077966541</v>
      </c>
    </row>
    <row r="54" spans="1:195" s="4" customFormat="1" ht="12" customHeight="1" x14ac:dyDescent="0.3">
      <c r="A54" s="25">
        <v>191</v>
      </c>
      <c r="B54" s="24" t="s">
        <v>128</v>
      </c>
      <c r="C54" s="24">
        <v>2017</v>
      </c>
      <c r="D54" s="24" t="s">
        <v>309</v>
      </c>
      <c r="E54" s="24"/>
      <c r="F54" s="109" t="s">
        <v>804</v>
      </c>
      <c r="G54" s="4" t="s">
        <v>323</v>
      </c>
      <c r="H54" s="5">
        <f>J54/M54</f>
        <v>4</v>
      </c>
      <c r="I54" s="7">
        <v>649</v>
      </c>
      <c r="J54" s="104">
        <f>4*M54</f>
        <v>127.2</v>
      </c>
      <c r="K54" s="7">
        <f>J54</f>
        <v>127.2</v>
      </c>
      <c r="L54" s="10">
        <v>129.9</v>
      </c>
      <c r="M54" s="21">
        <v>31.8</v>
      </c>
      <c r="N54" s="7">
        <f>J54/M54</f>
        <v>4</v>
      </c>
      <c r="O54" s="7">
        <f>K54/M54</f>
        <v>4</v>
      </c>
      <c r="P54" s="7">
        <v>396</v>
      </c>
      <c r="Q54" s="32">
        <f>R54/M54</f>
        <v>1</v>
      </c>
      <c r="R54" s="7">
        <f>1*M54</f>
        <v>31.8</v>
      </c>
      <c r="S54" s="32">
        <f>T54/M54</f>
        <v>1.3773584905660377</v>
      </c>
      <c r="T54" s="7">
        <f>171-K54</f>
        <v>43.8</v>
      </c>
      <c r="U54" s="32">
        <f>V54/M54</f>
        <v>8.4528301886792434</v>
      </c>
      <c r="V54" s="7">
        <f>P54-2*M54-2*R54</f>
        <v>268.79999999999995</v>
      </c>
      <c r="W54" s="7">
        <v>2</v>
      </c>
      <c r="X54" s="122">
        <f>AM54</f>
        <v>2</v>
      </c>
      <c r="Y54" s="32">
        <f>Z54/M54</f>
        <v>2.6666666666666665</v>
      </c>
      <c r="Z54" s="10">
        <f>2/3*J54</f>
        <v>84.8</v>
      </c>
      <c r="AA54" s="7">
        <f>MIN(R54/M54+0.5, V54/2/M54+0.5)</f>
        <v>1.5</v>
      </c>
      <c r="AB54" s="7">
        <f>R54/M54+0.5</f>
        <v>1.5</v>
      </c>
      <c r="AC54" s="7">
        <f>2040/510</f>
        <v>4</v>
      </c>
      <c r="AD54" s="7">
        <f>2040/510</f>
        <v>4</v>
      </c>
      <c r="AE54" s="7">
        <f>AD54+1</f>
        <v>5</v>
      </c>
      <c r="AF54" s="7">
        <f>M54*AE54^0.5</f>
        <v>71.106961684493314</v>
      </c>
      <c r="AG54" s="7">
        <f>I54</f>
        <v>649</v>
      </c>
      <c r="AH54" s="7">
        <v>11</v>
      </c>
      <c r="AI54" s="7">
        <f>(732+713)/2</f>
        <v>722.5</v>
      </c>
      <c r="AJ54" s="7"/>
      <c r="AK54" s="4">
        <f>CX54</f>
        <v>9.4401075777282042</v>
      </c>
      <c r="AL54" s="7">
        <v>12.7</v>
      </c>
      <c r="AM54" s="7">
        <v>2</v>
      </c>
      <c r="AN54" s="7">
        <v>64</v>
      </c>
      <c r="AO54" s="7">
        <v>4</v>
      </c>
      <c r="AP54" s="7">
        <f>AM54</f>
        <v>2</v>
      </c>
      <c r="AQ54" s="7">
        <f>3*AR54/(V54+M54)</f>
        <v>1.2694610778443116</v>
      </c>
      <c r="AR54" s="4">
        <f>J54</f>
        <v>127.2</v>
      </c>
      <c r="AS54" s="4">
        <f>IF(J54*3&gt;V54+M54, P54, (R54+M54/2)*2+1.5*J54*(2*W54-2))*(3*J54)/(9*J54^2)</f>
        <v>1.0377358490566038</v>
      </c>
      <c r="AT54" s="4">
        <f>MIN(10*L54^0.5*J54^1.5,100*3.9*L54^0.5*J54^(5/3))/(PI()/4*M54^2)/W54</f>
        <v>102.93453939452981</v>
      </c>
      <c r="AU54" s="4">
        <f>MIN(0.7+0.3*(MIN(R54,Z54)+0.5*M54)/1.5/J54,1)</f>
        <v>0.77499999999999991</v>
      </c>
      <c r="AV54" s="4">
        <v>1.25</v>
      </c>
      <c r="AW54" s="47">
        <f>AW53</f>
        <v>5</v>
      </c>
      <c r="AX54" s="38">
        <f>AS54*AU54*AV54*AW54*AT54</f>
        <v>517.40386104856509</v>
      </c>
      <c r="AY54" s="38">
        <f>AX54</f>
        <v>517.40386104856509</v>
      </c>
      <c r="AZ54" s="38">
        <f>IF(L54&lt;50, 0.3*L54^(2/3), 2.12*LN(1+0.1*(L54+8)))</f>
        <v>5.7111767066521422</v>
      </c>
      <c r="BA54" s="38">
        <f>AW54* (L54^0.5/AR54^0.5)/(PI()/4*M54^2)/W54/0.72 *(0.7+(MIN(R54,Z54)+0.5*M54)/5/J54) *(3*P54*J54)</f>
        <v>517.40386104856543</v>
      </c>
      <c r="BB54" s="38">
        <f>AX54/BA54</f>
        <v>0.99999999999999933</v>
      </c>
      <c r="BC54" s="38">
        <f>BG54/BA54</f>
        <v>1.5063668029466883</v>
      </c>
      <c r="BD54" s="4">
        <f>IF(BC54&lt;1,1,0)</f>
        <v>0</v>
      </c>
      <c r="BE54" s="4">
        <f>K54/M54*L54^0.5/0.19</f>
        <v>239.94459194200661</v>
      </c>
      <c r="BF54" s="4">
        <f>MIN(0.6+0.4*(AB54/AA54),2)</f>
        <v>1</v>
      </c>
      <c r="BG54" s="38">
        <f>2*L54*AA54*AC54^0.5*BF54*0.7/0.7</f>
        <v>779.40000000000009</v>
      </c>
      <c r="BH54" s="4">
        <f>MAX(1-0.7*AD54/5,0.3)</f>
        <v>0.44000000000000006</v>
      </c>
      <c r="BI54" s="4">
        <f>BH54*I54*K54/(I54*M54/2.75/L54^0.5)</f>
        <v>55.163261687467333</v>
      </c>
      <c r="BJ54" s="4">
        <f>BG54+BI54</f>
        <v>834.56326168746739</v>
      </c>
      <c r="BL54" s="4">
        <f>MIN(1.5, 0.75+0.25*MIN(3,MAX(1,R54/M54))+0.4*MIN(1,(40*2*PI()*AL54^2/4/AN54/W54)/M54))</f>
        <v>1.4</v>
      </c>
      <c r="BM54" s="4">
        <f>(3*O54+30)*BL54*L54^0.5</f>
        <v>670.16524529402443</v>
      </c>
      <c r="BO54" s="4">
        <f>3.4/PI()^0.5*L54*AA54*AD54^0.5*BF54</f>
        <v>747.53991440910613</v>
      </c>
      <c r="BP54" s="4">
        <f>8/3*AG54*AH54^2/(AF54-M54-22)/M54*(AF54^2-M54^2)/(AF54^2-(M54+22)^2)</f>
        <v>711.96329095823319</v>
      </c>
      <c r="BQ54" s="4">
        <f>BP54/BO54</f>
        <v>0.95240839617374207</v>
      </c>
      <c r="BY54" s="4">
        <f>IF(V54=0,R54,MIN(V54/2,R54))</f>
        <v>31.8</v>
      </c>
      <c r="CC54" s="9"/>
      <c r="CE54" s="9"/>
      <c r="CF54" s="9"/>
      <c r="CG54" s="9">
        <f>IF(V54=0,MIN(R54,T54),MIN(V54/2,R54,T54))</f>
        <v>31.8</v>
      </c>
      <c r="CH54" s="9">
        <f>MAX(V54/2,R54)</f>
        <v>134.39999999999998</v>
      </c>
      <c r="CI54" s="9">
        <f>(CG54/M54)^0.5*(CH54/CG54)^0.15</f>
        <v>1.2413544982455165</v>
      </c>
      <c r="CJ54" s="70">
        <v>20</v>
      </c>
      <c r="CK54" s="9">
        <f>MIN(PI()*AL54^2/4*AM54*2/W54/M54/MAX(0.01,AN54),0.05)</f>
        <v>0.05</v>
      </c>
      <c r="CL54" s="9">
        <f>MAX(0,CJ54*(CK54-0.5/50))</f>
        <v>0.8</v>
      </c>
      <c r="CM54" s="9">
        <f>MIN(1,(25/M54)^0.3)</f>
        <v>0.93036607665491811</v>
      </c>
      <c r="CN54" s="9">
        <f>IF(I54&gt;=800,0.68,IF(I54&gt;=700,0.75-(I54-700)*0.07/100,IF(I54&gt;=600,0.85-(I54-600)*0.1/100,IF(I54&gt;=500,1-(I54-500)*0.15/100,1.2-(I54-400)*0.2/100))))</f>
        <v>0.80099999999999993</v>
      </c>
      <c r="CO54" s="9">
        <f>1.75*CM54*CN54*(L54/25)^0.5</f>
        <v>2.9727542082721463</v>
      </c>
      <c r="CP54" s="9">
        <f>MIN((CI54+CL54)*CO54,2.5*CO54,L54^0.5)</f>
        <v>6.0684451752346353</v>
      </c>
      <c r="CQ54" s="9">
        <v>1</v>
      </c>
      <c r="CR54" s="9">
        <f>4*CP54*O54+60*CP54</f>
        <v>461.20183331783232</v>
      </c>
      <c r="CT54" s="4">
        <f>AI54/BE54</f>
        <v>3.0111118327460558</v>
      </c>
      <c r="CU54" s="4">
        <f>AI54/BJ54</f>
        <v>0.86572226836240296</v>
      </c>
      <c r="CV54" s="4">
        <f>AI54/BM54</f>
        <v>1.0780923139083622</v>
      </c>
      <c r="CW54" s="4">
        <f>AI54/CR54</f>
        <v>1.5665592541174849</v>
      </c>
      <c r="CX54" s="44">
        <f>AI54/DY54</f>
        <v>9.4401075777282042</v>
      </c>
      <c r="CY54" s="4">
        <f>AI54/EK54</f>
        <v>1.111818575715843</v>
      </c>
      <c r="CZ54" s="4">
        <f>AI54/GH54</f>
        <v>3.0726604353156195</v>
      </c>
      <c r="DH54" s="4">
        <f>CT54</f>
        <v>3.0111118327460558</v>
      </c>
      <c r="DI54" s="4">
        <f>CU54</f>
        <v>0.86572226836240296</v>
      </c>
      <c r="DJ54" s="4">
        <f>CW54</f>
        <v>1.5665592541174849</v>
      </c>
      <c r="DK54" s="4">
        <f>CZ54</f>
        <v>3.0726604353156195</v>
      </c>
      <c r="DL54" s="4">
        <f>CX54</f>
        <v>9.4401075777282042</v>
      </c>
      <c r="DM54" s="4">
        <f>CY54</f>
        <v>1.111818575715843</v>
      </c>
      <c r="DO54" s="4">
        <f>AM54</f>
        <v>2</v>
      </c>
      <c r="DP54" s="4">
        <f>K54</f>
        <v>127.2</v>
      </c>
      <c r="DS54" s="4">
        <f>J54/4/(1-0.3*(L54/30)^0.5)/200000/M54</f>
        <v>1.3307058507295954E-5</v>
      </c>
      <c r="DT54" s="4">
        <f>EO54</f>
        <v>12.467523847691927</v>
      </c>
      <c r="DU54" s="4">
        <f>EB54*AF54/257/L54/AC54</f>
        <v>0</v>
      </c>
      <c r="DV54" s="4">
        <f>DT54*DU54^0.4</f>
        <v>0</v>
      </c>
      <c r="DW54" s="4">
        <f>MIN(DT54, DT54/1.4*(1-DU54^1.4)/(1-DU54))</f>
        <v>8.9053741769228054</v>
      </c>
      <c r="DX54" s="4">
        <f>MAX(DT54/2, (4-DS54*(8*AF54*(DV54-DW54)+6*J54*DW54))/(4+DS54*J54*DT54)*DT54)</f>
        <v>12.330685683600279</v>
      </c>
      <c r="DY54" s="38">
        <f>MIN(1/M54*(4*AF54*(DV54-DW54)+(3*DW54+DX54)*J54)+EB54 -FI54,MAX(I54,AI54))</f>
        <v>76.535144758792271</v>
      </c>
      <c r="DZ54" s="4">
        <f>DY54/FE54</f>
        <v>0.88432138441202446</v>
      </c>
      <c r="EA54" s="4">
        <f>AF54/M54</f>
        <v>2.2360679774997898</v>
      </c>
      <c r="EB54" s="4">
        <f>MIN(EA$10*BA54)</f>
        <v>0</v>
      </c>
      <c r="EF54" s="4">
        <f>IF(T54&gt;1*M54,0.85,1)</f>
        <v>0.85</v>
      </c>
      <c r="EG54" s="4">
        <f>MIN(1,MAX(0.7,(1-0.1*(BY54-1*M54)/M54)))</f>
        <v>1</v>
      </c>
      <c r="EH54" s="4">
        <f>MIN(1,MAX(0.7,1-0.3*(PI()*AL54^2/4*AP54*2-0.25*PI()/4*M54^2)/(PI()/4*M54^2)))</f>
        <v>0.88360329892013767</v>
      </c>
      <c r="EI54" s="4">
        <f>IF(EG54*EH54&lt;0.7,0.7,EG54*EH54)</f>
        <v>0.88360329892013767</v>
      </c>
      <c r="EK54" s="4">
        <f>MIN(DT54/M54*3*J54+EL54-FI54,MAX(I54,AI54))</f>
        <v>649.83623747680167</v>
      </c>
      <c r="EL54" s="25">
        <f>26.5*P54*J54^0.5*L54^0.5/W54/M54^2*(0.7+R54/5/J54)</f>
        <v>500.22595130449861</v>
      </c>
      <c r="EO54" s="4">
        <f>IF(M54&lt;22.2,1.1*5*(L54/30)^0.5,IF(M54&gt;=31.8,0.9*5*(L54/30)^0.5,1*5*(L54/30)^0.5))/EF54/EI54</f>
        <v>12.467523847691927</v>
      </c>
      <c r="ER54" s="4">
        <f>ES54*M54</f>
        <v>71.106961684493314</v>
      </c>
      <c r="ES54" s="4">
        <f>AE54^0.5</f>
        <v>2.2360679774997898</v>
      </c>
      <c r="ET54" s="4">
        <f>MIN(EB54)/(4700*L54^0.5)/AD54*ER54</f>
        <v>0</v>
      </c>
      <c r="EW54" s="4">
        <f>ET54</f>
        <v>0</v>
      </c>
      <c r="EX54" s="4">
        <f>MIN(0.999, EW54/(0.3*(L54/30)^0.5))</f>
        <v>0</v>
      </c>
      <c r="EY54" s="4">
        <f>EO54/1*EX54^0.4</f>
        <v>0</v>
      </c>
      <c r="EZ54" s="4">
        <f>EO54/1.4*(1-EX54^1.4)/(1-EX54)</f>
        <v>8.9053741769228054</v>
      </c>
      <c r="FA54" s="4">
        <f>MAX(0,DP54*FA$9-ER54)</f>
        <v>0</v>
      </c>
      <c r="FB54" s="4">
        <f>MAX(0,DP54-ER54-FA54)</f>
        <v>56.093038315506689</v>
      </c>
      <c r="FC54" s="4">
        <f>FB54/(1-0.3*(L54/30)^0.5)/200000/M54</f>
        <v>2.347274662630318E-5</v>
      </c>
      <c r="FD54" s="4">
        <f>MAX(0.5*EO54, (1-2*FC54*(ER54*EY54+FA54*EZ54))/(1/EO54+FC54*FB54))</f>
        <v>12.266169028709573</v>
      </c>
      <c r="FE54" s="4">
        <f>MIN(4/M54*(1*EY54*ER54+EZ54*FA54+FB54*FD54)+EB54,MAX(I54,AI54))</f>
        <v>86.546753372564481</v>
      </c>
      <c r="FN54" s="23">
        <f>IF(CT54&lt;0.6,0.6,IF(CT54&lt;0.8,0.8,IF(CT54&lt;1,1,IF(CT54&lt;1.2,1.2,IF(CT54&lt;1.4,1.4,IF(CT54&lt;1.6,1.6,IF(CT54&lt;1.8,1.8,IF(CT54&lt;2,2,2.2))))))))</f>
        <v>2.2000000000000002</v>
      </c>
      <c r="FO54" s="23">
        <f>IF(CU54&lt;0.6,0.6,IF(CU54&lt;0.8,0.8,IF(CU54&lt;1,1,IF(CU54&lt;1.2,1.2,IF(CU54&lt;1.4,1.4,IF(CU54&lt;1.6,1.6,IF(CU54&lt;1.8,1.8,IF(CU54&lt;2,2,2.2))))))))</f>
        <v>1</v>
      </c>
      <c r="FP54" s="23">
        <f>IF(CZ54&lt;0.6,0.6,IF(CZ54&lt;0.8,0.8,IF(CZ54&lt;1,1,IF(CZ54&lt;1.2,1.2,IF(CZ54&lt;1.4,1.4,IF(CZ54&lt;1.6,1.6,IF(CZ54&lt;1.8,1.8,IF(CZ54&lt;2,2,2.2))))))))</f>
        <v>2.2000000000000002</v>
      </c>
      <c r="FQ54" s="23">
        <f>IF(CW54&lt;0.6,0.6,IF(CW54&lt;0.8,0.8,IF(CW54&lt;1,1,IF(CW54&lt;1.2,1.2,IF(CW54&lt;1.4,1.4,IF(CW54&lt;1.6,1.6,IF(CW54&lt;1.8,1.8,IF(CW54&lt;2,2,2.2))))))))</f>
        <v>1.6</v>
      </c>
      <c r="FR54" s="23">
        <f>IF(CX54&lt;0.6,0.6,IF(CX54&lt;0.8,0.8,IF(CX54&lt;1,1,IF(CX54&lt;1.2,1.2,IF(CX54&lt;1.4,1.4,IF(CX54&lt;1.6,1.6,IF(CX54&lt;1.8,1.8,IF(CX54&lt;2,2,2.2))))))))</f>
        <v>2.2000000000000002</v>
      </c>
      <c r="FS54" s="23">
        <f>IF(CY54&lt;0.6,0.6,IF(CY54&lt;0.8,0.8,IF(CY54&lt;1,1,IF(CY54&lt;1.2,1.2,IF(CY54&lt;1.4,1.4,IF(CY54&lt;1.6,1.6,IF(CY54&lt;1.8,1.8,IF(CY54&lt;2,2,2.2))))))))</f>
        <v>1.2</v>
      </c>
      <c r="FT54" s="23">
        <f>IF(FR54&lt;1,1,0)</f>
        <v>0</v>
      </c>
      <c r="FU54" s="23"/>
      <c r="GE54" s="4">
        <f>IF(R54&gt;=2.5*25.4,1,1.25)</f>
        <v>1.25</v>
      </c>
      <c r="GF54" s="4">
        <f>IF(AN54&gt;1, 0.05*(18-MIN(8,(V54+M54)/M54))*(1-48000/MAX(60000,(I54*145))*(M54/25.4)^0.75*GG54), 1/12*(14-MIN(8,(V54+M54)/M54)))</f>
        <v>0.40944449644340308</v>
      </c>
      <c r="GG54" s="4">
        <f>MIN(0.3, AL54^2*PI()/4*2*AO54/(M54^2*PI()/4*W54))</f>
        <v>0.3</v>
      </c>
      <c r="GH54" s="4">
        <f>(J54/25.4)/(M54/25.4)^1.5/0.0024*(L54*145)^0.25/GE54/GF54/145</f>
        <v>235.13825077966541</v>
      </c>
    </row>
    <row r="55" spans="1:195" s="4" customFormat="1" ht="12" customHeight="1" x14ac:dyDescent="0.3">
      <c r="A55" s="52">
        <v>182</v>
      </c>
      <c r="B55" s="53" t="s">
        <v>128</v>
      </c>
      <c r="C55" s="53">
        <v>2017</v>
      </c>
      <c r="D55" s="53" t="s">
        <v>309</v>
      </c>
      <c r="E55" s="53"/>
      <c r="F55" s="109" t="s">
        <v>805</v>
      </c>
      <c r="G55" s="54" t="s">
        <v>316</v>
      </c>
      <c r="H55" s="5">
        <f>J55/M55</f>
        <v>4</v>
      </c>
      <c r="I55" s="87">
        <v>679</v>
      </c>
      <c r="J55" s="83">
        <f>4*M55</f>
        <v>88.8</v>
      </c>
      <c r="K55" s="32">
        <f>J55</f>
        <v>88.8</v>
      </c>
      <c r="L55" s="102">
        <v>129.9</v>
      </c>
      <c r="M55" s="79">
        <v>22.2</v>
      </c>
      <c r="N55" s="32">
        <f>J55/M55</f>
        <v>4</v>
      </c>
      <c r="O55" s="32">
        <f>K55/M55</f>
        <v>4</v>
      </c>
      <c r="P55" s="32">
        <v>366</v>
      </c>
      <c r="Q55" s="32">
        <f>R55/M55</f>
        <v>1</v>
      </c>
      <c r="R55" s="32">
        <f>1*M55</f>
        <v>22.2</v>
      </c>
      <c r="S55" s="32">
        <f>T55/M55</f>
        <v>1.3153153153153154</v>
      </c>
      <c r="T55" s="32">
        <f>118-K55</f>
        <v>29.200000000000003</v>
      </c>
      <c r="U55" s="32">
        <f>V55/M55</f>
        <v>12.48648648648649</v>
      </c>
      <c r="V55" s="32">
        <f>P55-2*M55-2*R55</f>
        <v>277.20000000000005</v>
      </c>
      <c r="W55" s="32">
        <v>2</v>
      </c>
      <c r="X55" s="122">
        <f>AM55</f>
        <v>2</v>
      </c>
      <c r="Y55" s="32">
        <f>Z55/M55</f>
        <v>2.6666666666666665</v>
      </c>
      <c r="Z55" s="102">
        <f>2/3*J55</f>
        <v>59.199999999999996</v>
      </c>
      <c r="AA55" s="32">
        <f>MIN(R55/M55+0.5, V55/2/M55+0.5)</f>
        <v>1.5</v>
      </c>
      <c r="AB55" s="32">
        <f>R55/M55+0.5</f>
        <v>1.5</v>
      </c>
      <c r="AC55" s="32">
        <f>2040/510</f>
        <v>4</v>
      </c>
      <c r="AD55" s="32">
        <f>2040/510</f>
        <v>4</v>
      </c>
      <c r="AE55" s="32">
        <f>AD55+1</f>
        <v>5</v>
      </c>
      <c r="AF55" s="32">
        <f>M55*AE55^0.5</f>
        <v>49.640709100495329</v>
      </c>
      <c r="AG55" s="32">
        <f>I55</f>
        <v>679</v>
      </c>
      <c r="AH55" s="32">
        <v>8</v>
      </c>
      <c r="AI55" s="32">
        <f>(735+707)/2</f>
        <v>721</v>
      </c>
      <c r="AJ55" s="32"/>
      <c r="AK55" s="54">
        <f>CX55</f>
        <v>8.1948391602659871</v>
      </c>
      <c r="AL55" s="32">
        <v>9.5</v>
      </c>
      <c r="AM55" s="32">
        <v>2</v>
      </c>
      <c r="AN55" s="32">
        <v>52</v>
      </c>
      <c r="AO55" s="32">
        <v>4</v>
      </c>
      <c r="AP55" s="32">
        <f>AM55</f>
        <v>2</v>
      </c>
      <c r="AQ55" s="32">
        <f>3*AR55/(V55+M55)</f>
        <v>0.88977955911823625</v>
      </c>
      <c r="AR55" s="54">
        <f>J55</f>
        <v>88.8</v>
      </c>
      <c r="AS55" s="54">
        <f>IF(J55*3&gt;V55+M55, P55, (R55+M55/2)*2+1.5*J55*(2*W55-2))*(3*J55)/(9*J55^2)</f>
        <v>1.25</v>
      </c>
      <c r="AT55" s="54">
        <f>MIN(10*L55^0.5*J55^1.5,100*3.9*L55^0.5*J55^(5/3))/(PI()/4*M55^2)/W55</f>
        <v>123.19645135939774</v>
      </c>
      <c r="AU55" s="54">
        <f>MIN(0.7+0.3*(MIN(R55,Z55)+0.5*M55)/1.5/J55,1)</f>
        <v>0.77499999999999991</v>
      </c>
      <c r="AV55" s="54">
        <v>1.25</v>
      </c>
      <c r="AW55" s="59">
        <f>AW54</f>
        <v>5</v>
      </c>
      <c r="AX55" s="56">
        <f>AS55*AU55*AV55*AW55*AT55</f>
        <v>745.91601409010343</v>
      </c>
      <c r="AY55" s="56">
        <f>AX55</f>
        <v>745.91601409010343</v>
      </c>
      <c r="AZ55" s="56">
        <f>IF(L55&lt;50, 0.3*L55^(2/3), 2.12*LN(1+0.1*(L55+8)))</f>
        <v>5.7111767066521422</v>
      </c>
      <c r="BA55" s="56">
        <f>AW55* (L55^0.5/AR55^0.5)/(PI()/4*M55^2)/W55/0.72 *(0.7+(MIN(R55,Z55)+0.5*M55)/5/J55) *(3*P55*J55)</f>
        <v>819.83561909002367</v>
      </c>
      <c r="BB55" s="56">
        <f>AX55/BA55</f>
        <v>0.90983606557377039</v>
      </c>
      <c r="BC55" s="56">
        <f>BG55/BA55</f>
        <v>0.9506783821677508</v>
      </c>
      <c r="BD55" s="54">
        <f>IF(BC55&lt;1,1,0)</f>
        <v>1</v>
      </c>
      <c r="BE55" s="54">
        <f>K55/M55*L55^0.5/0.19</f>
        <v>239.94459194200661</v>
      </c>
      <c r="BF55" s="54">
        <f>MIN(0.6+0.4*(AB55/AA55),2)</f>
        <v>1</v>
      </c>
      <c r="BG55" s="56">
        <f>2*L55*AA55*AC55^0.5*BF55*0.7/0.7</f>
        <v>779.40000000000009</v>
      </c>
      <c r="BH55" s="54">
        <f>MAX(1-0.7*AD55/5,0.3)</f>
        <v>0.44000000000000006</v>
      </c>
      <c r="BI55" s="54">
        <f>BH55*I55*K55/(I55*M55/2.75/L55^0.5)</f>
        <v>55.163261687467326</v>
      </c>
      <c r="BJ55" s="54">
        <f>BG55+BI55</f>
        <v>834.56326168746739</v>
      </c>
      <c r="BK55" s="54"/>
      <c r="BL55" s="54">
        <f>MIN(1.5, 0.75+0.25*MIN(3,MAX(1,R55/M55))+0.4*MIN(1,(40*2*PI()*AL55^2/4/AN55/W55)/M55))</f>
        <v>1.4</v>
      </c>
      <c r="BM55" s="54">
        <f>(3*O55+30)*BL55*L55^0.5</f>
        <v>670.16524529402443</v>
      </c>
      <c r="BN55" s="54"/>
      <c r="BO55" s="54">
        <f>3.4/PI()^0.5*L55*AA55*AD55^0.5*BF55</f>
        <v>747.53991440910613</v>
      </c>
      <c r="BP55" s="54">
        <f>8/3*AG55*AH55^2/(AF55-M55-22)/M55*(AF55^2-M55^2)/(AF55^2-(M55+22)^2)</f>
        <v>3704.4961984911101</v>
      </c>
      <c r="BQ55" s="54">
        <f>BP55/BO55</f>
        <v>4.9555831429005819</v>
      </c>
      <c r="BR55" s="54"/>
      <c r="BS55" s="54"/>
      <c r="BT55" s="54"/>
      <c r="BU55" s="54"/>
      <c r="BV55" s="54"/>
      <c r="BW55" s="54"/>
      <c r="BX55" s="54"/>
      <c r="BY55" s="54">
        <f>IF(V55=0,R55,MIN(V55/2,R55))</f>
        <v>22.2</v>
      </c>
      <c r="BZ55" s="54"/>
      <c r="CA55" s="54"/>
      <c r="CB55" s="54"/>
      <c r="CC55" s="57"/>
      <c r="CD55" s="54"/>
      <c r="CE55" s="57"/>
      <c r="CF55" s="57"/>
      <c r="CG55" s="57">
        <f>IF(V55=0,MIN(R55,T55),MIN(V55/2,R55,T55))</f>
        <v>22.2</v>
      </c>
      <c r="CH55" s="57">
        <f>MAX(V55/2,R55)</f>
        <v>138.60000000000002</v>
      </c>
      <c r="CI55" s="57">
        <f>(CG55/M55)^0.5*(CH55/CG55)^0.15</f>
        <v>1.3161686388047049</v>
      </c>
      <c r="CJ55" s="71">
        <v>20</v>
      </c>
      <c r="CK55" s="57">
        <f>MIN(PI()*AL55^2/4*AM55*2/W55/M55/MAX(0.01,AN55),0.05)</f>
        <v>0.05</v>
      </c>
      <c r="CL55" s="57">
        <f>MAX(0,CJ55*(CK55-0.5/50))</f>
        <v>0.8</v>
      </c>
      <c r="CM55" s="57">
        <f>MIN(1,(25/M55)^0.3)</f>
        <v>1</v>
      </c>
      <c r="CN55" s="57">
        <f>IF(I55&gt;=800,0.68,IF(I55&gt;=700,0.75-(I55-700)*0.07/100,IF(I55&gt;=600,0.85-(I55-600)*0.1/100,IF(I55&gt;=500,1-(I55-500)*0.15/100,1.2-(I55-400)*0.2/100))))</f>
        <v>0.77100000000000002</v>
      </c>
      <c r="CO55" s="57">
        <f>1.75*CM55*CN55*(L55/25)^0.5</f>
        <v>3.0755797864386483</v>
      </c>
      <c r="CP55" s="57">
        <f>MIN((CI55+CL55)*CO55,2.5*CO55,L55^0.5)</f>
        <v>6.5084454902031403</v>
      </c>
      <c r="CQ55" s="57">
        <v>1</v>
      </c>
      <c r="CR55" s="57">
        <f>4*CP55*O55+60*CP55</f>
        <v>494.64185725543865</v>
      </c>
      <c r="CS55" s="54"/>
      <c r="CT55" s="54">
        <f>AI55/BE55</f>
        <v>3.0048603894946799</v>
      </c>
      <c r="CU55" s="54">
        <f>AI55/BJ55</f>
        <v>0.86392492109244645</v>
      </c>
      <c r="CV55" s="54">
        <f>AI55/BM55</f>
        <v>1.0758540599694522</v>
      </c>
      <c r="CW55" s="54">
        <f>AI55/CR55</f>
        <v>1.4576202750016511</v>
      </c>
      <c r="CX55" s="60">
        <f>AI55/DY55</f>
        <v>8.1948391602659871</v>
      </c>
      <c r="CY55" s="54">
        <f>AI55/EK55</f>
        <v>1</v>
      </c>
      <c r="CZ55" s="54">
        <f>AI55/GH55</f>
        <v>2.7149668974723982</v>
      </c>
      <c r="DA55" s="54"/>
      <c r="DB55" s="54"/>
      <c r="DC55" s="54"/>
      <c r="DD55" s="54"/>
      <c r="DE55" s="54"/>
      <c r="DF55" s="54"/>
      <c r="DG55" s="54"/>
      <c r="DH55" s="54">
        <f>CT55</f>
        <v>3.0048603894946799</v>
      </c>
      <c r="DI55" s="54">
        <f>CU55</f>
        <v>0.86392492109244645</v>
      </c>
      <c r="DJ55" s="54">
        <f>CW55</f>
        <v>1.4576202750016511</v>
      </c>
      <c r="DK55" s="54">
        <f>CZ55</f>
        <v>2.7149668974723982</v>
      </c>
      <c r="DL55" s="54">
        <f>CX55</f>
        <v>8.1948391602659871</v>
      </c>
      <c r="DM55" s="54">
        <f>CY55</f>
        <v>1</v>
      </c>
      <c r="DN55" s="54"/>
      <c r="DO55" s="54">
        <f>AM55</f>
        <v>2</v>
      </c>
      <c r="DP55" s="54">
        <f>K55</f>
        <v>88.8</v>
      </c>
      <c r="DQ55" s="54"/>
      <c r="DR55" s="54"/>
      <c r="DS55" s="54">
        <f>J55/4/(1-0.3*(L55/30)^0.5)/200000/M55</f>
        <v>1.3307058507295954E-5</v>
      </c>
      <c r="DT55" s="54">
        <f>EO55</f>
        <v>14.311999279173566</v>
      </c>
      <c r="DU55" s="54">
        <f>EB55*AF55/257/L55/AC55</f>
        <v>0</v>
      </c>
      <c r="DV55" s="54">
        <f>DT55*DU55^0.4</f>
        <v>0</v>
      </c>
      <c r="DW55" s="54">
        <f>MIN(DT55, DT55/1.4*(1-DU55^1.4)/(1-DU55))</f>
        <v>10.22285662798112</v>
      </c>
      <c r="DX55" s="54">
        <f>MAX(DT55/2, (4-DS55*(8*AF55*(DV55-DW55)+6*J55*DW55))/(4+DS55*J55*DT55)*DT55)</f>
        <v>14.185983132637253</v>
      </c>
      <c r="DY55" s="56">
        <f>MIN(1/M55*(4*AF55*(DV55-DW55)+(3*DW55+DX55)*J55)+EB55 -FI55,MAX(I55,AI55))</f>
        <v>87.982202688722182</v>
      </c>
      <c r="DZ55" s="54">
        <f>DY55/FE55</f>
        <v>0.88273162777374081</v>
      </c>
      <c r="EA55" s="54">
        <f>AF55/M55</f>
        <v>2.2360679774997898</v>
      </c>
      <c r="EB55" s="54">
        <f>MIN(EA$10*BA55)</f>
        <v>0</v>
      </c>
      <c r="EC55" s="54"/>
      <c r="ED55" s="54"/>
      <c r="EE55" s="54"/>
      <c r="EF55" s="54">
        <f>IF(T55&gt;1*M55,0.85,1)</f>
        <v>0.85</v>
      </c>
      <c r="EG55" s="54">
        <f>MIN(1,MAX(0.7,(1-0.1*(BY55-1*M55)/M55)))</f>
        <v>1</v>
      </c>
      <c r="EH55" s="54">
        <f>MIN(1,MAX(0.7,1-0.3*(PI()*AL55^2/4*AP55*2-0.25*PI()/4*M55^2)/(PI()/4*M55^2)))</f>
        <v>0.8552532261991721</v>
      </c>
      <c r="EI55" s="54">
        <f>IF(EG55*EH55&lt;0.7,0.7,EG55*EH55)</f>
        <v>0.8552532261991721</v>
      </c>
      <c r="EJ55" s="54"/>
      <c r="EK55" s="54">
        <f>MIN(DT55/M55*3*J55+EL55-FI55,MAX(I55,AI55))</f>
        <v>721</v>
      </c>
      <c r="EL55" s="52">
        <f>26.5*P55*J55^0.5*L55^0.5/W55/M55^2*(0.7+R55/5/J55)</f>
        <v>792.6169156169592</v>
      </c>
      <c r="EM55" s="54"/>
      <c r="EN55" s="54"/>
      <c r="EO55" s="54">
        <f>IF(M55&lt;22.2,1.1*5*(L55/30)^0.5,IF(M55&gt;=31.8,0.9*5*(L55/30)^0.5,1*5*(L55/30)^0.5))/EF55/EI55</f>
        <v>14.311999279173566</v>
      </c>
      <c r="EP55" s="54"/>
      <c r="EQ55" s="54"/>
      <c r="ER55" s="54">
        <f>ES55*M55</f>
        <v>49.640709100495329</v>
      </c>
      <c r="ES55" s="54">
        <f>AE55^0.5</f>
        <v>2.2360679774997898</v>
      </c>
      <c r="ET55" s="54">
        <f>MIN(EB55)/(4700*L55^0.5)/AD55*ER55</f>
        <v>0</v>
      </c>
      <c r="EU55" s="54"/>
      <c r="EV55" s="54"/>
      <c r="EW55" s="54">
        <f>ET55</f>
        <v>0</v>
      </c>
      <c r="EX55" s="54">
        <f>MIN(0.999, EW55/(0.3*(L55/30)^0.5))</f>
        <v>0</v>
      </c>
      <c r="EY55" s="54">
        <f>EO55/1*EX55^0.4</f>
        <v>0</v>
      </c>
      <c r="EZ55" s="54">
        <f>EO55/1.4*(1-EX55^1.4)/(1-EX55)</f>
        <v>10.22285662798112</v>
      </c>
      <c r="FA55" s="54">
        <f>MAX(0,DP55*FA$9-ER55)</f>
        <v>0</v>
      </c>
      <c r="FB55" s="54">
        <f>MAX(0,DP55-ER55-FA55)</f>
        <v>39.159290899504668</v>
      </c>
      <c r="FC55" s="54">
        <f>FB55/(1-0.3*(L55/30)^0.5)/200000/M55</f>
        <v>2.347274662630318E-5</v>
      </c>
      <c r="FD55" s="54">
        <f>MAX(0.5*EO55, (1-2*FC55*(ER55*EY55+FA55*EZ55))/(1/EO55+FC55*FB55))</f>
        <v>14.126166063136274</v>
      </c>
      <c r="FE55" s="54">
        <f>MIN(4/M55*(1*EY55*ER55+EZ55*FA55+FB55*FD55)+EB55,MAX(I55,AI55))</f>
        <v>99.670386695687228</v>
      </c>
      <c r="FF55" s="54"/>
      <c r="FG55" s="54"/>
      <c r="FH55" s="54"/>
      <c r="FI55" s="54"/>
      <c r="FJ55" s="54"/>
      <c r="FK55" s="54"/>
      <c r="FL55" s="54"/>
      <c r="FM55" s="54"/>
      <c r="FN55" s="58">
        <f>IF(CT55&lt;0.6,0.6,IF(CT55&lt;0.8,0.8,IF(CT55&lt;1,1,IF(CT55&lt;1.2,1.2,IF(CT55&lt;1.4,1.4,IF(CT55&lt;1.6,1.6,IF(CT55&lt;1.8,1.8,IF(CT55&lt;2,2,2.2))))))))</f>
        <v>2.2000000000000002</v>
      </c>
      <c r="FO55" s="58">
        <f>IF(CU55&lt;0.6,0.6,IF(CU55&lt;0.8,0.8,IF(CU55&lt;1,1,IF(CU55&lt;1.2,1.2,IF(CU55&lt;1.4,1.4,IF(CU55&lt;1.6,1.6,IF(CU55&lt;1.8,1.8,IF(CU55&lt;2,2,2.2))))))))</f>
        <v>1</v>
      </c>
      <c r="FP55" s="58">
        <f>IF(CZ55&lt;0.6,0.6,IF(CZ55&lt;0.8,0.8,IF(CZ55&lt;1,1,IF(CZ55&lt;1.2,1.2,IF(CZ55&lt;1.4,1.4,IF(CZ55&lt;1.6,1.6,IF(CZ55&lt;1.8,1.8,IF(CZ55&lt;2,2,2.2))))))))</f>
        <v>2.2000000000000002</v>
      </c>
      <c r="FQ55" s="58">
        <f>IF(CW55&lt;0.6,0.6,IF(CW55&lt;0.8,0.8,IF(CW55&lt;1,1,IF(CW55&lt;1.2,1.2,IF(CW55&lt;1.4,1.4,IF(CW55&lt;1.6,1.6,IF(CW55&lt;1.8,1.8,IF(CW55&lt;2,2,2.2))))))))</f>
        <v>1.6</v>
      </c>
      <c r="FR55" s="58">
        <f>IF(CX55&lt;0.6,0.6,IF(CX55&lt;0.8,0.8,IF(CX55&lt;1,1,IF(CX55&lt;1.2,1.2,IF(CX55&lt;1.4,1.4,IF(CX55&lt;1.6,1.6,IF(CX55&lt;1.8,1.8,IF(CX55&lt;2,2,2.2))))))))</f>
        <v>2.2000000000000002</v>
      </c>
      <c r="FS55" s="58">
        <f>IF(CY55&lt;0.6,0.6,IF(CY55&lt;0.8,0.8,IF(CY55&lt;1,1,IF(CY55&lt;1.2,1.2,IF(CY55&lt;1.4,1.4,IF(CY55&lt;1.6,1.6,IF(CY55&lt;1.8,1.8,IF(CY55&lt;2,2,2.2))))))))</f>
        <v>1.2</v>
      </c>
      <c r="FT55" s="58">
        <f>IF(FR55&lt;1,1,0)</f>
        <v>0</v>
      </c>
      <c r="FU55" s="58"/>
      <c r="FV55" s="54"/>
      <c r="FW55" s="54"/>
      <c r="FX55" s="54"/>
      <c r="FY55" s="54"/>
      <c r="FZ55" s="54"/>
      <c r="GA55" s="54"/>
      <c r="GB55" s="54"/>
      <c r="GC55" s="54"/>
      <c r="GD55" s="54"/>
      <c r="GE55" s="54">
        <f>IF(R55&gt;=2.5*25.4,1,1.25)</f>
        <v>1.25</v>
      </c>
      <c r="GF55" s="54">
        <f>IF(AN55&gt;1, 0.05*(18-MIN(8,(V55+M55)/M55))*(1-48000/MAX(60000,(I55*145))*(M55/25.4)^0.75*GG55), 1/12*(14-MIN(8,(V55+M55)/M55)))</f>
        <v>0.4338950222651346</v>
      </c>
      <c r="GG55" s="54">
        <f>MIN(0.3, AL55^2*PI()/4*2*AO55/(M55^2*PI()/4*W55))</f>
        <v>0.3</v>
      </c>
      <c r="GH55" s="54">
        <f>(J55/25.4)/(M55/25.4)^1.5/0.0024*(L55*145)^0.25/GE55/GF55/145</f>
        <v>265.56493218066208</v>
      </c>
      <c r="GI55" s="54"/>
      <c r="GJ55" s="54"/>
      <c r="GK55" s="54"/>
      <c r="GL55" s="54"/>
      <c r="GM55" s="54"/>
    </row>
    <row r="56" spans="1:195" s="4" customFormat="1" ht="12" customHeight="1" x14ac:dyDescent="0.3">
      <c r="A56" s="25">
        <v>183</v>
      </c>
      <c r="B56" s="24" t="s">
        <v>128</v>
      </c>
      <c r="C56" s="24">
        <v>2017</v>
      </c>
      <c r="D56" s="24" t="s">
        <v>309</v>
      </c>
      <c r="E56" s="24"/>
      <c r="F56" s="109" t="s">
        <v>805</v>
      </c>
      <c r="G56" s="4" t="s">
        <v>317</v>
      </c>
      <c r="H56" s="5">
        <f>J56/M56</f>
        <v>4</v>
      </c>
      <c r="I56" s="86">
        <v>679</v>
      </c>
      <c r="J56" s="84">
        <f>4*M56</f>
        <v>88.8</v>
      </c>
      <c r="K56" s="7">
        <f>J56</f>
        <v>88.8</v>
      </c>
      <c r="L56" s="10">
        <v>129.9</v>
      </c>
      <c r="M56" s="80">
        <v>22.2</v>
      </c>
      <c r="N56" s="7">
        <f>J56/M56</f>
        <v>4</v>
      </c>
      <c r="O56" s="7">
        <f>K56/M56</f>
        <v>4</v>
      </c>
      <c r="P56" s="7">
        <v>366</v>
      </c>
      <c r="Q56" s="32">
        <f>R56/M56</f>
        <v>1</v>
      </c>
      <c r="R56" s="7">
        <f>1*M56</f>
        <v>22.2</v>
      </c>
      <c r="S56" s="32">
        <f>T56/M56</f>
        <v>1.3153153153153154</v>
      </c>
      <c r="T56" s="7">
        <f>118-K56</f>
        <v>29.200000000000003</v>
      </c>
      <c r="U56" s="32">
        <f>V56/M56</f>
        <v>12.48648648648649</v>
      </c>
      <c r="V56" s="7">
        <f>P56-2*M56-2*R56</f>
        <v>277.20000000000005</v>
      </c>
      <c r="W56" s="7">
        <v>2</v>
      </c>
      <c r="X56" s="122">
        <f>AM56</f>
        <v>2</v>
      </c>
      <c r="Y56" s="32">
        <f>Z56/M56</f>
        <v>2.6666666666666665</v>
      </c>
      <c r="Z56" s="10">
        <f>2/3*J56</f>
        <v>59.199999999999996</v>
      </c>
      <c r="AA56" s="7">
        <f>MIN(R56/M56+0.5, V56/2/M56+0.5)</f>
        <v>1.5</v>
      </c>
      <c r="AB56" s="7">
        <f>R56/M56+0.5</f>
        <v>1.5</v>
      </c>
      <c r="AC56" s="7">
        <f>2040/510</f>
        <v>4</v>
      </c>
      <c r="AD56" s="7">
        <f>2040/510</f>
        <v>4</v>
      </c>
      <c r="AE56" s="7">
        <f>AD56+1</f>
        <v>5</v>
      </c>
      <c r="AF56" s="7">
        <f>M56*AE56^0.5</f>
        <v>49.640709100495329</v>
      </c>
      <c r="AG56" s="7">
        <f>I56</f>
        <v>679</v>
      </c>
      <c r="AH56" s="7">
        <v>8</v>
      </c>
      <c r="AI56" s="7">
        <f>(735+703)/2</f>
        <v>719</v>
      </c>
      <c r="AJ56" s="7"/>
      <c r="AK56" s="4">
        <f>CX56</f>
        <v>8.1721072901959015</v>
      </c>
      <c r="AL56" s="7">
        <v>9.5</v>
      </c>
      <c r="AM56" s="7">
        <v>2</v>
      </c>
      <c r="AN56" s="7">
        <v>52</v>
      </c>
      <c r="AO56" s="7">
        <v>4</v>
      </c>
      <c r="AP56" s="7">
        <f>AM56</f>
        <v>2</v>
      </c>
      <c r="AQ56" s="7">
        <f>3*AR56/(V56+M56)</f>
        <v>0.88977955911823625</v>
      </c>
      <c r="AR56" s="4">
        <f>J56</f>
        <v>88.8</v>
      </c>
      <c r="AS56" s="4">
        <f>IF(J56*3&gt;V56+M56, P56, (R56+M56/2)*2+1.5*J56*(2*W56-2))*(3*J56)/(9*J56^2)</f>
        <v>1.25</v>
      </c>
      <c r="AT56" s="4">
        <f>MIN(10*L56^0.5*J56^1.5,100*3.9*L56^0.5*J56^(5/3))/(PI()/4*M56^2)/W56</f>
        <v>123.19645135939774</v>
      </c>
      <c r="AU56" s="4">
        <f>MIN(0.7+0.3*(MIN(R56,Z56)+0.5*M56)/1.5/J56,1)</f>
        <v>0.77499999999999991</v>
      </c>
      <c r="AV56" s="4">
        <v>1.25</v>
      </c>
      <c r="AW56" s="47">
        <f>AW55</f>
        <v>5</v>
      </c>
      <c r="AX56" s="38">
        <f>AS56*AU56*AV56*AW56*AT56</f>
        <v>745.91601409010343</v>
      </c>
      <c r="AY56" s="38">
        <f>AX56</f>
        <v>745.91601409010343</v>
      </c>
      <c r="AZ56" s="38">
        <f>IF(L56&lt;50, 0.3*L56^(2/3), 2.12*LN(1+0.1*(L56+8)))</f>
        <v>5.7111767066521422</v>
      </c>
      <c r="BA56" s="38">
        <f>AW56* (L56^0.5/AR56^0.5)/(PI()/4*M56^2)/W56/0.72 *(0.7+(MIN(R56,Z56)+0.5*M56)/5/J56) *(3*P56*J56)</f>
        <v>819.83561909002367</v>
      </c>
      <c r="BB56" s="38">
        <f>AX56/BA56</f>
        <v>0.90983606557377039</v>
      </c>
      <c r="BC56" s="38">
        <f>BG56/BA56</f>
        <v>0.9506783821677508</v>
      </c>
      <c r="BD56" s="4">
        <f>IF(BC56&lt;1,1,0)</f>
        <v>1</v>
      </c>
      <c r="BE56" s="4">
        <f>K56/M56*L56^0.5/0.19</f>
        <v>239.94459194200661</v>
      </c>
      <c r="BF56" s="4">
        <f>MIN(0.6+0.4*(AB56/AA56),2)</f>
        <v>1</v>
      </c>
      <c r="BG56" s="38">
        <f>2*L56*AA56*AC56^0.5*BF56*0.7/0.7</f>
        <v>779.40000000000009</v>
      </c>
      <c r="BH56" s="4">
        <f>MAX(1-0.7*AD56/5,0.3)</f>
        <v>0.44000000000000006</v>
      </c>
      <c r="BI56" s="4">
        <f>BH56*I56*K56/(I56*M56/2.75/L56^0.5)</f>
        <v>55.163261687467326</v>
      </c>
      <c r="BJ56" s="4">
        <f>BG56+BI56</f>
        <v>834.56326168746739</v>
      </c>
      <c r="BL56" s="4">
        <f>MIN(1.5, 0.75+0.25*MIN(3,MAX(1,R56/M56))+0.4*MIN(1,(40*2*PI()*AL56^2/4/AN56/W56)/M56))</f>
        <v>1.4</v>
      </c>
      <c r="BM56" s="4">
        <f>(3*O56+30)*BL56*L56^0.5</f>
        <v>670.16524529402443</v>
      </c>
      <c r="BO56" s="4">
        <f>3.4/PI()^0.5*L56*AA56*AD56^0.5*BF56</f>
        <v>747.53991440910613</v>
      </c>
      <c r="BP56" s="4">
        <f>8/3*AG56*AH56^2/(AF56-M56-22)/M56*(AF56^2-M56^2)/(AF56^2-(M56+22)^2)</f>
        <v>3704.4961984911101</v>
      </c>
      <c r="BQ56" s="4">
        <f>BP56/BO56</f>
        <v>4.9555831429005819</v>
      </c>
      <c r="BY56" s="4">
        <f>IF(V56=0,R56,MIN(V56/2,R56))</f>
        <v>22.2</v>
      </c>
      <c r="CC56" s="9"/>
      <c r="CE56" s="9"/>
      <c r="CF56" s="9"/>
      <c r="CG56" s="9">
        <f>IF(V56=0,MIN(R56,T56),MIN(V56/2,R56,T56))</f>
        <v>22.2</v>
      </c>
      <c r="CH56" s="9">
        <f>MAX(V56/2,R56)</f>
        <v>138.60000000000002</v>
      </c>
      <c r="CI56" s="9">
        <f>(CG56/M56)^0.5*(CH56/CG56)^0.15</f>
        <v>1.3161686388047049</v>
      </c>
      <c r="CJ56" s="70">
        <v>20</v>
      </c>
      <c r="CK56" s="9">
        <f>MIN(PI()*AL56^2/4*AM56*2/W56/M56/MAX(0.01,AN56),0.05)</f>
        <v>0.05</v>
      </c>
      <c r="CL56" s="9">
        <f>MAX(0,CJ56*(CK56-0.5/50))</f>
        <v>0.8</v>
      </c>
      <c r="CM56" s="9">
        <f>MIN(1,(25/M56)^0.3)</f>
        <v>1</v>
      </c>
      <c r="CN56" s="9">
        <f>IF(I56&gt;=800,0.68,IF(I56&gt;=700,0.75-(I56-700)*0.07/100,IF(I56&gt;=600,0.85-(I56-600)*0.1/100,IF(I56&gt;=500,1-(I56-500)*0.15/100,1.2-(I56-400)*0.2/100))))</f>
        <v>0.77100000000000002</v>
      </c>
      <c r="CO56" s="9">
        <f>1.75*CM56*CN56*(L56/25)^0.5</f>
        <v>3.0755797864386483</v>
      </c>
      <c r="CP56" s="9">
        <f>MIN((CI56+CL56)*CO56,2.5*CO56,L56^0.5)</f>
        <v>6.5084454902031403</v>
      </c>
      <c r="CQ56" s="9">
        <v>1</v>
      </c>
      <c r="CR56" s="9">
        <f>4*CP56*O56+60*CP56</f>
        <v>494.64185725543865</v>
      </c>
      <c r="CT56" s="4">
        <f>AI56/BE56</f>
        <v>2.9965251318261785</v>
      </c>
      <c r="CU56" s="4">
        <f>AI56/BJ56</f>
        <v>0.86152845806583767</v>
      </c>
      <c r="CV56" s="4">
        <f>AI56/BM56</f>
        <v>1.0728697213842386</v>
      </c>
      <c r="CW56" s="4">
        <f>AI56/CR56</f>
        <v>1.4535769455286924</v>
      </c>
      <c r="CX56" s="44">
        <f>AI56/DY56</f>
        <v>8.1721072901959015</v>
      </c>
      <c r="CY56" s="4">
        <f>AI56/EK56</f>
        <v>1</v>
      </c>
      <c r="CZ56" s="4">
        <f>AI56/GH56</f>
        <v>2.7074357826389104</v>
      </c>
      <c r="DH56" s="4">
        <f>CT56</f>
        <v>2.9965251318261785</v>
      </c>
      <c r="DI56" s="4">
        <f>CU56</f>
        <v>0.86152845806583767</v>
      </c>
      <c r="DJ56" s="4">
        <f>CW56</f>
        <v>1.4535769455286924</v>
      </c>
      <c r="DK56" s="4">
        <f>CZ56</f>
        <v>2.7074357826389104</v>
      </c>
      <c r="DL56" s="4">
        <f>CX56</f>
        <v>8.1721072901959015</v>
      </c>
      <c r="DM56" s="4">
        <f>CY56</f>
        <v>1</v>
      </c>
      <c r="DO56" s="4">
        <f>AM56</f>
        <v>2</v>
      </c>
      <c r="DP56" s="4">
        <f>K56</f>
        <v>88.8</v>
      </c>
      <c r="DS56" s="4">
        <f>J56/4/(1-0.3*(L56/30)^0.5)/200000/M56</f>
        <v>1.3307058507295954E-5</v>
      </c>
      <c r="DT56" s="4">
        <f>EO56</f>
        <v>14.311999279173566</v>
      </c>
      <c r="DU56" s="4">
        <f>EB56*AF56/257/L56/AC56</f>
        <v>0</v>
      </c>
      <c r="DV56" s="4">
        <f>DT56*DU56^0.4</f>
        <v>0</v>
      </c>
      <c r="DW56" s="4">
        <f>MIN(DT56, DT56/1.4*(1-DU56^1.4)/(1-DU56))</f>
        <v>10.22285662798112</v>
      </c>
      <c r="DX56" s="4">
        <f>MAX(DT56/2, (4-DS56*(8*AF56*(DV56-DW56)+6*J56*DW56))/(4+DS56*J56*DT56)*DT56)</f>
        <v>14.185983132637253</v>
      </c>
      <c r="DY56" s="38">
        <f>MIN(1/M56*(4*AF56*(DV56-DW56)+(3*DW56+DX56)*J56)+EB56 -FI56,MAX(I56,AI56))</f>
        <v>87.982202688722182</v>
      </c>
      <c r="DZ56" s="4">
        <f>DY56/FE56</f>
        <v>0.88273162777374081</v>
      </c>
      <c r="EA56" s="4">
        <f>AF56/M56</f>
        <v>2.2360679774997898</v>
      </c>
      <c r="EB56" s="4">
        <f>MIN(EA$10*BA56)</f>
        <v>0</v>
      </c>
      <c r="EF56" s="4">
        <f>IF(T56&gt;1*M56,0.85,1)</f>
        <v>0.85</v>
      </c>
      <c r="EG56" s="4">
        <f>MIN(1,MAX(0.7,(1-0.1*(BY56-1*M56)/M56)))</f>
        <v>1</v>
      </c>
      <c r="EH56" s="4">
        <f>MIN(1,MAX(0.7,1-0.3*(PI()*AL56^2/4*AP56*2-0.25*PI()/4*M56^2)/(PI()/4*M56^2)))</f>
        <v>0.8552532261991721</v>
      </c>
      <c r="EI56" s="4">
        <f>IF(EG56*EH56&lt;0.7,0.7,EG56*EH56)</f>
        <v>0.8552532261991721</v>
      </c>
      <c r="EK56" s="4">
        <f>MIN(DT56/M56*3*J56+EL56-FI56,MAX(I56,AI56))</f>
        <v>719</v>
      </c>
      <c r="EL56" s="25">
        <f>26.5*P56*J56^0.5*L56^0.5/W56/M56^2*(0.7+R56/5/J56)</f>
        <v>792.6169156169592</v>
      </c>
      <c r="EO56" s="4">
        <f>IF(M56&lt;22.2,1.1*5*(L56/30)^0.5,IF(M56&gt;=31.8,0.9*5*(L56/30)^0.5,1*5*(L56/30)^0.5))/EF56/EI56</f>
        <v>14.311999279173566</v>
      </c>
      <c r="ER56" s="4">
        <f>ES56*M56</f>
        <v>49.640709100495329</v>
      </c>
      <c r="ES56" s="4">
        <f>AE56^0.5</f>
        <v>2.2360679774997898</v>
      </c>
      <c r="ET56" s="4">
        <f>MIN(EB56)/(4700*L56^0.5)/AD56*ER56</f>
        <v>0</v>
      </c>
      <c r="EW56" s="4">
        <f>ET56</f>
        <v>0</v>
      </c>
      <c r="EX56" s="4">
        <f>MIN(0.999, EW56/(0.3*(L56/30)^0.5))</f>
        <v>0</v>
      </c>
      <c r="EY56" s="4">
        <f>EO56/1*EX56^0.4</f>
        <v>0</v>
      </c>
      <c r="EZ56" s="4">
        <f>EO56/1.4*(1-EX56^1.4)/(1-EX56)</f>
        <v>10.22285662798112</v>
      </c>
      <c r="FA56" s="4">
        <f>MAX(0,DP56*FA$9-ER56)</f>
        <v>0</v>
      </c>
      <c r="FB56" s="4">
        <f>MAX(0,DP56-ER56-FA56)</f>
        <v>39.159290899504668</v>
      </c>
      <c r="FC56" s="4">
        <f>FB56/(1-0.3*(L56/30)^0.5)/200000/M56</f>
        <v>2.347274662630318E-5</v>
      </c>
      <c r="FD56" s="4">
        <f>MAX(0.5*EO56, (1-2*FC56*(ER56*EY56+FA56*EZ56))/(1/EO56+FC56*FB56))</f>
        <v>14.126166063136274</v>
      </c>
      <c r="FE56" s="4">
        <f>MIN(4/M56*(1*EY56*ER56+EZ56*FA56+FB56*FD56)+EB56,MAX(I56,AI56))</f>
        <v>99.670386695687228</v>
      </c>
      <c r="FN56" s="23">
        <f>IF(CT56&lt;0.6,0.6,IF(CT56&lt;0.8,0.8,IF(CT56&lt;1,1,IF(CT56&lt;1.2,1.2,IF(CT56&lt;1.4,1.4,IF(CT56&lt;1.6,1.6,IF(CT56&lt;1.8,1.8,IF(CT56&lt;2,2,2.2))))))))</f>
        <v>2.2000000000000002</v>
      </c>
      <c r="FO56" s="23">
        <f>IF(CU56&lt;0.6,0.6,IF(CU56&lt;0.8,0.8,IF(CU56&lt;1,1,IF(CU56&lt;1.2,1.2,IF(CU56&lt;1.4,1.4,IF(CU56&lt;1.6,1.6,IF(CU56&lt;1.8,1.8,IF(CU56&lt;2,2,2.2))))))))</f>
        <v>1</v>
      </c>
      <c r="FP56" s="23">
        <f>IF(CZ56&lt;0.6,0.6,IF(CZ56&lt;0.8,0.8,IF(CZ56&lt;1,1,IF(CZ56&lt;1.2,1.2,IF(CZ56&lt;1.4,1.4,IF(CZ56&lt;1.6,1.6,IF(CZ56&lt;1.8,1.8,IF(CZ56&lt;2,2,2.2))))))))</f>
        <v>2.2000000000000002</v>
      </c>
      <c r="FQ56" s="23">
        <f>IF(CW56&lt;0.6,0.6,IF(CW56&lt;0.8,0.8,IF(CW56&lt;1,1,IF(CW56&lt;1.2,1.2,IF(CW56&lt;1.4,1.4,IF(CW56&lt;1.6,1.6,IF(CW56&lt;1.8,1.8,IF(CW56&lt;2,2,2.2))))))))</f>
        <v>1.6</v>
      </c>
      <c r="FR56" s="23">
        <f>IF(CX56&lt;0.6,0.6,IF(CX56&lt;0.8,0.8,IF(CX56&lt;1,1,IF(CX56&lt;1.2,1.2,IF(CX56&lt;1.4,1.4,IF(CX56&lt;1.6,1.6,IF(CX56&lt;1.8,1.8,IF(CX56&lt;2,2,2.2))))))))</f>
        <v>2.2000000000000002</v>
      </c>
      <c r="FS56" s="23">
        <f>IF(CY56&lt;0.6,0.6,IF(CY56&lt;0.8,0.8,IF(CY56&lt;1,1,IF(CY56&lt;1.2,1.2,IF(CY56&lt;1.4,1.4,IF(CY56&lt;1.6,1.6,IF(CY56&lt;1.8,1.8,IF(CY56&lt;2,2,2.2))))))))</f>
        <v>1.2</v>
      </c>
      <c r="FT56" s="23">
        <f>IF(FR56&lt;1,1,0)</f>
        <v>0</v>
      </c>
      <c r="FU56" s="23"/>
      <c r="GE56" s="4">
        <f>IF(R56&gt;=2.5*25.4,1,1.25)</f>
        <v>1.25</v>
      </c>
      <c r="GF56" s="4">
        <f>IF(AN56&gt;1, 0.05*(18-MIN(8,(V56+M56)/M56))*(1-48000/MAX(60000,(I56*145))*(M56/25.4)^0.75*GG56), 1/12*(14-MIN(8,(V56+M56)/M56)))</f>
        <v>0.4338950222651346</v>
      </c>
      <c r="GG56" s="4">
        <f>MIN(0.3, AL56^2*PI()/4*2*AO56/(M56^2*PI()/4*W56))</f>
        <v>0.3</v>
      </c>
      <c r="GH56" s="4">
        <f>(J56/25.4)/(M56/25.4)^1.5/0.0024*(L56*145)^0.25/GE56/GF56/145</f>
        <v>265.56493218066208</v>
      </c>
    </row>
    <row r="57" spans="1:195" s="4" customFormat="1" ht="12" customHeight="1" x14ac:dyDescent="0.3">
      <c r="A57" s="25">
        <v>423</v>
      </c>
      <c r="B57" s="4" t="s">
        <v>605</v>
      </c>
      <c r="C57" s="4">
        <v>2016</v>
      </c>
      <c r="D57" s="4" t="s">
        <v>309</v>
      </c>
      <c r="E57" s="14" t="s">
        <v>679</v>
      </c>
      <c r="F57" s="14" t="s">
        <v>807</v>
      </c>
      <c r="G57" s="7" t="s">
        <v>594</v>
      </c>
      <c r="H57" s="5">
        <f t="shared" ref="H57:H96" si="0">SQRT(L57)/(0.19*M57)</f>
        <v>1.2277213970489347</v>
      </c>
      <c r="I57" s="90">
        <f>135/0.145</f>
        <v>931.0344827586207</v>
      </c>
      <c r="J57" s="90">
        <f>16.75*25.4</f>
        <v>425.45</v>
      </c>
      <c r="K57" s="4">
        <f>J57</f>
        <v>425.45</v>
      </c>
      <c r="L57" s="90">
        <f>10120/145</f>
        <v>69.793103448275858</v>
      </c>
      <c r="M57" s="38">
        <f>1.41*25.4</f>
        <v>35.813999999999993</v>
      </c>
      <c r="N57" s="7">
        <f>J57/M57</f>
        <v>11.879432624113477</v>
      </c>
      <c r="O57" s="7">
        <f>K57/M57</f>
        <v>11.879432624113477</v>
      </c>
      <c r="P57" s="38">
        <f>21.9*25.4</f>
        <v>556.25999999999988</v>
      </c>
      <c r="Q57" s="32">
        <f>R57/M57</f>
        <v>1.9858156028368796</v>
      </c>
      <c r="R57" s="38">
        <f>2.8*25.4</f>
        <v>71.11999999999999</v>
      </c>
      <c r="S57" s="32">
        <f>T57/M57</f>
        <v>2.3404255319148941</v>
      </c>
      <c r="T57" s="39">
        <f>3.3*25.4</f>
        <v>83.82</v>
      </c>
      <c r="U57" s="32">
        <f>V57/M57</f>
        <v>4.2801418439716299</v>
      </c>
      <c r="V57" s="7">
        <f>(P57-W57*M57-2*R57)/(W57-1)</f>
        <v>153.28899999999993</v>
      </c>
      <c r="W57" s="38">
        <v>3</v>
      </c>
      <c r="X57" s="122">
        <f>AM57</f>
        <v>12</v>
      </c>
      <c r="Y57" s="32">
        <f>Z57/M57</f>
        <v>14.18439716312057</v>
      </c>
      <c r="Z57" s="4">
        <f>20*25.4</f>
        <v>508</v>
      </c>
      <c r="AA57" s="7">
        <f>MIN(R57/M57+0.5, V57/2/M57+0.5)</f>
        <v>2.4858156028368796</v>
      </c>
      <c r="AB57" s="7">
        <f>R57/M57+0.5</f>
        <v>2.4858156028368796</v>
      </c>
      <c r="AC57" s="38">
        <v>5.5</v>
      </c>
      <c r="AD57" s="4">
        <f>AC57</f>
        <v>5.5</v>
      </c>
      <c r="AE57" s="4">
        <f>AD57+1</f>
        <v>6.5</v>
      </c>
      <c r="AF57" s="7">
        <f>M57*AE57^0.5</f>
        <v>91.308142429905971</v>
      </c>
      <c r="AI57" s="38">
        <f>AJ57/0.145</f>
        <v>680</v>
      </c>
      <c r="AJ57" s="4">
        <v>98.6</v>
      </c>
      <c r="AK57" s="4">
        <f>CX57</f>
        <v>2.6323100027589978</v>
      </c>
      <c r="AL57" s="38">
        <f>0.5*25.4</f>
        <v>12.7</v>
      </c>
      <c r="AM57" s="38">
        <v>12</v>
      </c>
      <c r="AN57" s="39">
        <f>4*25.4</f>
        <v>101.6</v>
      </c>
      <c r="AO57" s="39">
        <v>2</v>
      </c>
      <c r="AP57" s="39">
        <f>AO57-1</f>
        <v>1</v>
      </c>
      <c r="AQ57" s="7"/>
      <c r="AR57" s="4">
        <f>J57</f>
        <v>425.45</v>
      </c>
      <c r="AS57" s="4">
        <f>IF(J57*3&gt;V57+M57, P57, (R57+M57/2)*2+1.5*J57*(2*W57-2))*(3*J57)/(9*J57^2)</f>
        <v>0.43582089552238795</v>
      </c>
      <c r="AT57" s="4">
        <f>MIN(10*L57^0.5*J57^1.5,100*3.9*L57^0.5*J57^(5/3))/(PI()/4*M57^2)/W57</f>
        <v>242.58405561741927</v>
      </c>
      <c r="AU57" s="4">
        <f>MIN(0.7+0.3*(MIN(R57,Z57)+0.5*M57)/1.5/J57,1)</f>
        <v>0.74185074626865666</v>
      </c>
      <c r="AV57" s="4">
        <v>1.25</v>
      </c>
      <c r="AW57" s="4">
        <f>AW56</f>
        <v>5</v>
      </c>
      <c r="AX57" s="38">
        <f>AS57*AU57*AV57*AW57*AT57</f>
        <v>490.19271927478206</v>
      </c>
      <c r="AY57" s="38">
        <f>AX57</f>
        <v>490.19271927478206</v>
      </c>
      <c r="AZ57" s="38">
        <f>IF(L57&lt;50, 0.3*L57^(2/3), 2.12*LN(1+0.1*(L57+8)))</f>
        <v>4.6054834550100843</v>
      </c>
      <c r="BA57" s="38">
        <f>AW57* (L57^0.5/AR57^0.5)/(PI()/4*M57^2)/W57/0.72 *(0.7+(MIN(R57,Z57)+0.5*M57)/5/J57) *(3*P57*J57)</f>
        <v>490.19271927478241</v>
      </c>
      <c r="BB57" s="38">
        <f>AX57/BA57</f>
        <v>0.99999999999999933</v>
      </c>
      <c r="BC57" s="38">
        <f>BG57/BA57</f>
        <v>1.660068098589035</v>
      </c>
      <c r="BD57" s="4">
        <f>IF(BC57&lt;1,1,0)</f>
        <v>0</v>
      </c>
      <c r="BE57" s="4">
        <f>K57/M57*L57^0.5/0.19</f>
        <v>522.33406837446921</v>
      </c>
      <c r="BF57" s="4">
        <f>MIN(0.6+0.4*(AB57/AA57),2)</f>
        <v>1</v>
      </c>
      <c r="BG57" s="38">
        <f>2*L57*AA57*AC57^0.5*BF57*0.7/0.7</f>
        <v>813.75329542867667</v>
      </c>
      <c r="BH57" s="4">
        <f>MAX(1-0.7*AD57/5,0.3)</f>
        <v>0.3</v>
      </c>
      <c r="BI57" s="4">
        <f>BH57*I57*K57/(I57*M57/2.75/L57^0.5)</f>
        <v>81.875865217698063</v>
      </c>
      <c r="BJ57" s="4">
        <f>BG57+BI57</f>
        <v>895.62916064637477</v>
      </c>
      <c r="BL57" s="4">
        <f>MIN(1.5, 0.75+0.25*MIN(3,MAX(1,R57/M57))+0.4*MIN(1,(40*2*PI()*AL57^2/4/AN57/W57)/M57))</f>
        <v>1.5</v>
      </c>
      <c r="BM57" s="4">
        <f>(3*O57+30)*BL57*L57^0.5</f>
        <v>822.53582913410628</v>
      </c>
      <c r="BO57" s="4">
        <f>3.4/PI()^0.5*L57*AA57*AD57^0.5*BF57</f>
        <v>780.48892585948306</v>
      </c>
      <c r="BP57" s="4">
        <f>8/3*AG57*AH57^2/(AF57-M57-22)/M57*(AF57^2-M57^2)/(AF57^2-(M57+22)^2)</f>
        <v>0</v>
      </c>
      <c r="BQ57" s="4">
        <f>BP57/BO57</f>
        <v>0</v>
      </c>
      <c r="BY57" s="4">
        <f>IF(V57=0,R57,MIN(V57/2,R57))</f>
        <v>71.11999999999999</v>
      </c>
      <c r="CC57" s="9"/>
      <c r="CE57" s="9"/>
      <c r="CF57" s="9"/>
      <c r="CG57" s="9">
        <f>IF(V57=0,MIN(R57,T57),MIN(V57/2,R57,T57))</f>
        <v>71.11999999999999</v>
      </c>
      <c r="CH57" s="9">
        <f>MAX(V57/2,R57)</f>
        <v>76.644499999999965</v>
      </c>
      <c r="CI57" s="9">
        <f>(CG57/M57)^0.5*(CH57/CG57)^0.15</f>
        <v>1.4250918174124854</v>
      </c>
      <c r="CJ57" s="70">
        <f>IF(AN57&gt;1,20,0)</f>
        <v>20</v>
      </c>
      <c r="CK57" s="9">
        <f>MIN(PI()*AL57^2/4*AM57*2/W57/M57/MAX(0.01,AN57),0.05)</f>
        <v>0.05</v>
      </c>
      <c r="CL57" s="9">
        <f>MAX(0,CJ57*(CK57-0.5/50))</f>
        <v>0.8</v>
      </c>
      <c r="CM57" s="9">
        <f>MIN(1,(25/M57)^0.3)</f>
        <v>0.89777220146327208</v>
      </c>
      <c r="CN57" s="9">
        <f>IF(I57&gt;=800,0.68,IF(I57&gt;=700,0.75-(I57-700)*0.07/100,IF(I57&gt;=600,0.85-(I57-600)*0.1/100,IF(I57&gt;=500,1-(I57-500)*0.15/100,1.2-(I57-400)*0.2/100))))</f>
        <v>0.68</v>
      </c>
      <c r="CO57" s="9">
        <f>1.75*CM57*CN57*(L57/25)^0.5</f>
        <v>1.7850458101214393</v>
      </c>
      <c r="CP57" s="9">
        <f>MIN((CI57+CL57)*CO57,2.5*CO57,L57^0.5)</f>
        <v>3.9718908258076553</v>
      </c>
      <c r="CQ57" s="40">
        <v>1</v>
      </c>
      <c r="CR57" s="9">
        <f>4*CP57*O57+60*CP57</f>
        <v>427.04868737052527</v>
      </c>
      <c r="CT57" s="4">
        <f>AI57/BE57</f>
        <v>1.3018488380744442</v>
      </c>
      <c r="CU57" s="4">
        <f>AI57/BJ57</f>
        <v>0.75924280927749677</v>
      </c>
      <c r="CV57" s="4">
        <f>AI57/BM57</f>
        <v>0.8267117077633499</v>
      </c>
      <c r="CW57" s="4">
        <f>AI57/CR57</f>
        <v>1.5923242948877245</v>
      </c>
      <c r="CX57" s="4">
        <f>AI57/DY57</f>
        <v>2.6323100027589978</v>
      </c>
      <c r="CY57" s="4">
        <f>AI57/EK57</f>
        <v>1.2091353781823571</v>
      </c>
      <c r="CZ57" s="4">
        <f>AI57/GH57</f>
        <v>1.3841922978836163</v>
      </c>
      <c r="DA57" s="4">
        <f>AM57</f>
        <v>12</v>
      </c>
      <c r="DH57" s="4">
        <f>CT57</f>
        <v>1.3018488380744442</v>
      </c>
      <c r="DI57" s="4">
        <f>CU57</f>
        <v>0.75924280927749677</v>
      </c>
      <c r="DJ57" s="4">
        <f>CW57</f>
        <v>1.5923242948877245</v>
      </c>
      <c r="DK57" s="4">
        <f>CZ57</f>
        <v>1.3841922978836163</v>
      </c>
      <c r="DL57" s="4">
        <f>CX57</f>
        <v>2.6323100027589978</v>
      </c>
      <c r="DM57" s="4">
        <f>CY57</f>
        <v>1.2091353781823571</v>
      </c>
      <c r="DP57" s="4">
        <f>K57</f>
        <v>425.45</v>
      </c>
      <c r="DS57" s="4">
        <f>J57/4/(1-0.3*(L57/30)^0.5)/200000/M57</f>
        <v>2.737599353095949E-5</v>
      </c>
      <c r="DT57" s="4">
        <f>EO57</f>
        <v>8.9620587312961906</v>
      </c>
      <c r="DU57" s="4">
        <f>EB57*AF57/257/L57/AC57</f>
        <v>0</v>
      </c>
      <c r="DV57" s="4">
        <f>DT57*DU57^0.4</f>
        <v>0</v>
      </c>
      <c r="DW57" s="4">
        <f>MIN(DT57, DT57/1.4*(1-DU57^1.4)/(1-DU57))</f>
        <v>6.4014705223544226</v>
      </c>
      <c r="DX57" s="4">
        <f>MAX(DT57/2, (4-DS57*(8*AF57*(DV57-DW57)+6*J57*DW57))/(4+DS57*J57*DT57)*DT57)</f>
        <v>8.0368458736860084</v>
      </c>
      <c r="DY57" s="38">
        <f>MIN(1/M57*(4*AF57*(DV57-DW57)+(3*DW57+DX57)*J57)+EB57 -FI57,MAX(I57,AI57))</f>
        <v>258.32823614516258</v>
      </c>
      <c r="DZ57" s="4">
        <f>DY57/FE57</f>
        <v>0.97129047229999033</v>
      </c>
      <c r="EA57" s="4">
        <f>AF57/M57</f>
        <v>2.5495097567963922</v>
      </c>
      <c r="EB57" s="4">
        <f>MIN(EA$10*BA57)</f>
        <v>0</v>
      </c>
      <c r="EF57" s="4">
        <f>IF(T57&gt;1*M57,0.85,1)</f>
        <v>0.85</v>
      </c>
      <c r="EG57" s="4">
        <f>MIN(1,MAX(0.7,(1-0.1*(BY57-1*M57)/M57)))</f>
        <v>0.90141843971631208</v>
      </c>
      <c r="EH57" s="4">
        <f>MIN(1,MAX(0.7,1-0.3*(PI()*AL57^2/4*AP57*2-0.25*PI()/4*M57^2)/(PI()/4*M57^2)))</f>
        <v>0.9995510789195714</v>
      </c>
      <c r="EI57" s="4">
        <f>IF(EG57*EH57&lt;0.7,0.7,EG57*EH57)</f>
        <v>0.90101377397643634</v>
      </c>
      <c r="EK57" s="4">
        <f>MIN(DT57/M57*3*J57+EL57-FI57,MAX(I57,AI57))</f>
        <v>562.38533109685011</v>
      </c>
      <c r="EL57" s="25">
        <f>13.3*P57*J57^0.5*L57^0.5/W57/M57^2*(0.7+R57/5/J57)</f>
        <v>242.99281248150706</v>
      </c>
      <c r="EN57" s="4">
        <f>EF57*EI57</f>
        <v>0.76586170787997088</v>
      </c>
      <c r="EO57" s="4">
        <f>IF(M57&lt;22.2,1.1*5*(L57/30)^0.5,IF(M57&gt;=31.8,0.9*5*(L57/30)^0.5,1*5*(L57/30)^0.5))/EF57/EI57</f>
        <v>8.9620587312961906</v>
      </c>
      <c r="ER57" s="4">
        <f>ES57*M57</f>
        <v>91.308142429905971</v>
      </c>
      <c r="ES57" s="4">
        <f>AE57^0.5</f>
        <v>2.5495097567963922</v>
      </c>
      <c r="ET57" s="4">
        <f>MIN(EB57)/(4700*L57^0.5)/AD57*ER57</f>
        <v>0</v>
      </c>
      <c r="EW57" s="4">
        <f>ET57</f>
        <v>0</v>
      </c>
      <c r="EX57" s="4">
        <f>MIN(0.999, EW57/(0.3*(L57/30)^0.5))</f>
        <v>0</v>
      </c>
      <c r="EY57" s="4">
        <f>EO57/1*EX57^0.4</f>
        <v>0</v>
      </c>
      <c r="EZ57" s="4">
        <f>EO57/1.4*(1-EX57^1.4)/(1-EX57)</f>
        <v>6.4014705223544226</v>
      </c>
      <c r="FA57" s="4">
        <f>MAX(0,DP57*FA$9-ER57)</f>
        <v>0</v>
      </c>
      <c r="FB57" s="4">
        <f>MAX(0,DP57-ER57-FA57)</f>
        <v>334.14185757009403</v>
      </c>
      <c r="FC57" s="4">
        <f>FB57/(1-0.3*(L57/30)^0.5)/200000/M57</f>
        <v>8.6002729639315378E-5</v>
      </c>
      <c r="FD57" s="4">
        <f>MAX(0.5*EO57, (1-2*FC57*(ER57*EY57+FA57*EZ57))/(1/EO57+FC57*FB57))</f>
        <v>7.1266381000588783</v>
      </c>
      <c r="FE57" s="4">
        <f>MIN(4/M57*(1*EY57*ER57+EZ57*FA57+FB57*FD57)+EB57,MAX(I57,AI57))</f>
        <v>265.96393510733003</v>
      </c>
      <c r="FN57" s="23">
        <f>IF(CT57&lt;0.6,0.6,IF(CT57&lt;0.8,0.8,IF(CT57&lt;1,1,IF(CT57&lt;1.2,1.2,IF(CT57&lt;1.4,1.4,IF(CT57&lt;1.6,1.6,IF(CT57&lt;1.8,1.8,IF(CT57&lt;2,2,2.2))))))))</f>
        <v>1.4</v>
      </c>
      <c r="FO57" s="23">
        <f>IF(CU57&lt;0.6,0.6,IF(CU57&lt;0.8,0.8,IF(CU57&lt;1,1,IF(CU57&lt;1.2,1.2,IF(CU57&lt;1.4,1.4,IF(CU57&lt;1.6,1.6,IF(CU57&lt;1.8,1.8,IF(CU57&lt;2,2,2.2))))))))</f>
        <v>0.8</v>
      </c>
      <c r="FP57" s="23">
        <f>IF(CZ57&lt;0.6,0.6,IF(CZ57&lt;0.8,0.8,IF(CZ57&lt;1,1,IF(CZ57&lt;1.2,1.2,IF(CZ57&lt;1.4,1.4,IF(CZ57&lt;1.6,1.6,IF(CZ57&lt;1.8,1.8,IF(CZ57&lt;2,2,2.2))))))))</f>
        <v>1.4</v>
      </c>
      <c r="FQ57" s="23">
        <f>IF(CW57&lt;0.6,0.6,IF(CW57&lt;0.8,0.8,IF(CW57&lt;1,1,IF(CW57&lt;1.2,1.2,IF(CW57&lt;1.4,1.4,IF(CW57&lt;1.6,1.6,IF(CW57&lt;1.8,1.8,IF(CW57&lt;2,2,2.2))))))))</f>
        <v>1.6</v>
      </c>
      <c r="FR57" s="23">
        <f>IF(CX57&lt;0.6,0.6,IF(CX57&lt;0.8,0.8,IF(CX57&lt;1,1,IF(CX57&lt;1.2,1.2,IF(CX57&lt;1.4,1.4,IF(CX57&lt;1.6,1.6,IF(CX57&lt;1.8,1.8,IF(CX57&lt;2,2,2.2))))))))</f>
        <v>2.2000000000000002</v>
      </c>
      <c r="FS57" s="23">
        <f>IF(CY57&lt;0.6,0.6,IF(CY57&lt;0.8,0.8,IF(CY57&lt;1,1,IF(CY57&lt;1.2,1.2,IF(CY57&lt;1.4,1.4,IF(CY57&lt;1.6,1.6,IF(CY57&lt;1.8,1.8,IF(CY57&lt;2,2,2.2))))))))</f>
        <v>1.4</v>
      </c>
      <c r="FT57" s="23">
        <f>IF(FR57&lt;1,1,0)</f>
        <v>0</v>
      </c>
      <c r="FU57" s="23"/>
      <c r="GE57" s="4">
        <f>IF(R57&gt;=2.5*25.4,1,1.25)</f>
        <v>1</v>
      </c>
      <c r="GF57" s="4">
        <f>IF(AN57&gt;1, 0.05*(18-MIN(8,(V57+M57)/M57))*(1-48000/MAX(60000,(I57*145))*(M57/25.4)^0.75*GG57), 1/12*(14-MIN(8,(V57+M57)/M57)))</f>
        <v>0.58693437042964436</v>
      </c>
      <c r="GG57" s="4">
        <f>MIN(0.3, AL57^2*PI()/4*2*AO57/(M57^2*PI()/4*W57))</f>
        <v>0.16766426906761905</v>
      </c>
      <c r="GH57" s="4">
        <f>(J57/25.4)/(M57/25.4)^1.5/0.0024*(L57*145)^0.25/GE57/GF57/145</f>
        <v>491.2612221869008</v>
      </c>
    </row>
    <row r="58" spans="1:195" s="4" customFormat="1" ht="12" customHeight="1" x14ac:dyDescent="0.3">
      <c r="A58" s="25">
        <v>419</v>
      </c>
      <c r="B58" s="4" t="s">
        <v>605</v>
      </c>
      <c r="C58" s="4">
        <v>2016</v>
      </c>
      <c r="D58" s="4" t="s">
        <v>309</v>
      </c>
      <c r="E58" s="14" t="s">
        <v>679</v>
      </c>
      <c r="F58" s="14" t="s">
        <v>807</v>
      </c>
      <c r="G58" s="7" t="s">
        <v>590</v>
      </c>
      <c r="H58" s="5">
        <f t="shared" si="0"/>
        <v>1.2277213970489347</v>
      </c>
      <c r="I58" s="90">
        <f>135/0.145</f>
        <v>931.0344827586207</v>
      </c>
      <c r="J58" s="90">
        <f>16.81*25.4</f>
        <v>426.97399999999993</v>
      </c>
      <c r="K58" s="4">
        <f>J58</f>
        <v>426.97399999999993</v>
      </c>
      <c r="L58" s="90">
        <f>10120/145</f>
        <v>69.793103448275858</v>
      </c>
      <c r="M58" s="38">
        <f>1.41*25.4</f>
        <v>35.813999999999993</v>
      </c>
      <c r="N58" s="7">
        <f>J58/M58</f>
        <v>11.921985815602838</v>
      </c>
      <c r="O58" s="7">
        <f>K58/M58</f>
        <v>11.921985815602838</v>
      </c>
      <c r="P58" s="38">
        <f>22.4*25.4</f>
        <v>568.95999999999992</v>
      </c>
      <c r="Q58" s="32">
        <f>R58/M58</f>
        <v>1.9858156028368796</v>
      </c>
      <c r="R58" s="38">
        <f>2.8*25.4</f>
        <v>71.11999999999999</v>
      </c>
      <c r="S58" s="32">
        <f>T58/M58</f>
        <v>2.1985815602836882</v>
      </c>
      <c r="T58" s="39">
        <f>3.1*25.4</f>
        <v>78.739999999999995</v>
      </c>
      <c r="U58" s="32">
        <f>V58/M58</f>
        <v>9.9148936170212778</v>
      </c>
      <c r="V58" s="7">
        <f>(P58-W58*M58-2*R58)/(W58-1)</f>
        <v>355.09199999999998</v>
      </c>
      <c r="W58" s="38">
        <v>2</v>
      </c>
      <c r="X58" s="122">
        <f>AM58</f>
        <v>12</v>
      </c>
      <c r="Y58" s="32">
        <f>Z58/M58</f>
        <v>14.18439716312057</v>
      </c>
      <c r="Z58" s="4">
        <f>20*25.4</f>
        <v>508</v>
      </c>
      <c r="AA58" s="7">
        <f>MIN(R58/M58+0.5, V58/2/M58+0.5)</f>
        <v>2.4858156028368796</v>
      </c>
      <c r="AB58" s="7">
        <f>R58/M58+0.5</f>
        <v>2.4858156028368796</v>
      </c>
      <c r="AC58" s="38">
        <v>5.5</v>
      </c>
      <c r="AD58" s="4">
        <f>AC58</f>
        <v>5.5</v>
      </c>
      <c r="AE58" s="4">
        <f>AD58+1</f>
        <v>6.5</v>
      </c>
      <c r="AF58" s="7">
        <f>M58*AE58^0.5</f>
        <v>91.308142429905971</v>
      </c>
      <c r="AI58" s="38">
        <f>AJ58/0.145</f>
        <v>872.41379310344837</v>
      </c>
      <c r="AJ58" s="4">
        <v>126.5</v>
      </c>
      <c r="AK58" s="4">
        <f>CX58</f>
        <v>3.3632206326994725</v>
      </c>
      <c r="AL58" s="38">
        <f>0.5*25.4</f>
        <v>12.7</v>
      </c>
      <c r="AM58" s="38">
        <v>12</v>
      </c>
      <c r="AN58" s="39">
        <f>4*25.4</f>
        <v>101.6</v>
      </c>
      <c r="AO58" s="39">
        <v>2</v>
      </c>
      <c r="AP58" s="39">
        <f>AO58-1</f>
        <v>1</v>
      </c>
      <c r="AQ58" s="7"/>
      <c r="AR58" s="4">
        <f>J58</f>
        <v>426.97399999999993</v>
      </c>
      <c r="AS58" s="4">
        <f>IF(J58*3&gt;V58+M58, P58, (R58+M58/2)*2+1.5*J58*(2*W58-2))*(3*J58)/(9*J58^2)</f>
        <v>0.44418005155661316</v>
      </c>
      <c r="AT58" s="4">
        <f>MIN(10*L58^0.5*J58^1.5,100*3.9*L58^0.5*J58^(5/3))/(PI()/4*M58^2)/W58</f>
        <v>365.83298834249337</v>
      </c>
      <c r="AU58" s="4">
        <f>MIN(0.7+0.3*(MIN(R58,Z58)+0.5*M58)/1.5/J58,1)</f>
        <v>0.74170136823319444</v>
      </c>
      <c r="AV58" s="4">
        <v>1.25</v>
      </c>
      <c r="AW58" s="4">
        <f>AW57</f>
        <v>5</v>
      </c>
      <c r="AX58" s="38">
        <f>AS58*AU58*AV58*AW58*AT58</f>
        <v>753.27059131043393</v>
      </c>
      <c r="AY58" s="38">
        <f>AX58</f>
        <v>753.27059131043393</v>
      </c>
      <c r="AZ58" s="38">
        <f>IF(L58&lt;50, 0.3*L58^(2/3), 2.12*LN(1+0.1*(L58+8)))</f>
        <v>4.6054834550100843</v>
      </c>
      <c r="BA58" s="38">
        <f>AW58* (L58^0.5/AR58^0.5)/(PI()/4*M58^2)/W58/0.72 *(0.7+(MIN(R58,Z58)+0.5*M58)/5/J58) *(3*P58*J58)</f>
        <v>753.27059131043393</v>
      </c>
      <c r="BB58" s="38">
        <f>AX58/BA58</f>
        <v>1</v>
      </c>
      <c r="BC58" s="38">
        <f>BG58/BA58</f>
        <v>1.0802934626891825</v>
      </c>
      <c r="BD58" s="4">
        <f>IF(BC58&lt;1,1,0)</f>
        <v>0</v>
      </c>
      <c r="BE58" s="4">
        <f>K58/M58*L58^0.5/0.19</f>
        <v>524.20511578357173</v>
      </c>
      <c r="BF58" s="4">
        <f>MIN(0.6+0.4*(AB58/AA58),2)</f>
        <v>1</v>
      </c>
      <c r="BG58" s="38">
        <f>2*L58*AA58*AC58^0.5*BF58*0.7/0.7</f>
        <v>813.75329542867667</v>
      </c>
      <c r="BH58" s="4">
        <f>MAX(1-0.7*AD58/5,0.3)</f>
        <v>0.3</v>
      </c>
      <c r="BI58" s="4">
        <f>BH58*I58*K58/(I58*M58/2.75/L58^0.5)</f>
        <v>82.16915189907489</v>
      </c>
      <c r="BJ58" s="4">
        <f>BG58+BI58</f>
        <v>895.92244732775157</v>
      </c>
      <c r="BL58" s="4">
        <f>MIN(1.5, 0.75+0.25*MIN(3,MAX(1,R58/M58))+0.4*MIN(1,(40*2*PI()*AL58^2/4/AN58/W58)/M58))</f>
        <v>1.5</v>
      </c>
      <c r="BM58" s="4">
        <f>(3*O58+30)*BL58*L58^0.5</f>
        <v>824.13557466888903</v>
      </c>
      <c r="BO58" s="4">
        <f>3.4/PI()^0.5*L58*AA58*AD58^0.5*BF58</f>
        <v>780.48892585948306</v>
      </c>
      <c r="BP58" s="4">
        <f>8/3*AG58*AH58^2/(AF58-M58-22)/M58*(AF58^2-M58^2)/(AF58^2-(M58+22)^2)</f>
        <v>0</v>
      </c>
      <c r="BQ58" s="4">
        <f>BP58/BO58</f>
        <v>0</v>
      </c>
      <c r="BY58" s="4">
        <f>IF(V58=0,R58,MIN(V58/2,R58))</f>
        <v>71.11999999999999</v>
      </c>
      <c r="CC58" s="9"/>
      <c r="CE58" s="9"/>
      <c r="CF58" s="9"/>
      <c r="CG58" s="9">
        <f>IF(V58=0,MIN(R58,T58),MIN(V58/2,R58,T58))</f>
        <v>71.11999999999999</v>
      </c>
      <c r="CH58" s="9">
        <f>MAX(V58/2,R58)</f>
        <v>177.54599999999999</v>
      </c>
      <c r="CI58" s="9">
        <f>(CG58/M58)^0.5*(CH58/CG58)^0.15</f>
        <v>1.6164688165154646</v>
      </c>
      <c r="CJ58" s="70">
        <f>IF(AN58&gt;1,20,0)</f>
        <v>20</v>
      </c>
      <c r="CK58" s="9">
        <f>MIN(PI()*AL58^2/4*AM58*2/W58/M58/MAX(0.01,AN58),0.05)</f>
        <v>0.05</v>
      </c>
      <c r="CL58" s="9">
        <f>MAX(0,CJ58*(CK58-0.5/50))</f>
        <v>0.8</v>
      </c>
      <c r="CM58" s="9">
        <f>MIN(1,(25/M58)^0.3)</f>
        <v>0.89777220146327208</v>
      </c>
      <c r="CN58" s="9">
        <f>IF(I58&gt;=800,0.68,IF(I58&gt;=700,0.75-(I58-700)*0.07/100,IF(I58&gt;=600,0.85-(I58-600)*0.1/100,IF(I58&gt;=500,1-(I58-500)*0.15/100,1.2-(I58-400)*0.2/100))))</f>
        <v>0.68</v>
      </c>
      <c r="CO58" s="9">
        <f>1.75*CM58*CN58*(L58/25)^0.5</f>
        <v>1.7850458101214393</v>
      </c>
      <c r="CP58" s="9">
        <f>MIN((CI58+CL58)*CO58,2.5*CO58,L58^0.5)</f>
        <v>4.313507536210043</v>
      </c>
      <c r="CQ58" s="40">
        <v>1</v>
      </c>
      <c r="CR58" s="9">
        <f>4*CP58*O58+60*CP58</f>
        <v>464.51275482137089</v>
      </c>
      <c r="CT58" s="4">
        <f>AI58/BE58</f>
        <v>1.6642603569394416</v>
      </c>
      <c r="CU58" s="4">
        <f>AI58/BJ58</f>
        <v>0.9737603915445785</v>
      </c>
      <c r="CV58" s="4">
        <f>AI58/BM58</f>
        <v>1.0585804325386099</v>
      </c>
      <c r="CW58" s="4">
        <f>AI58/CR58</f>
        <v>1.8781266693934733</v>
      </c>
      <c r="CX58" s="4">
        <f>AI58/DY58</f>
        <v>3.3632206326994725</v>
      </c>
      <c r="CY58" s="4">
        <f>AI58/EK58</f>
        <v>1.2571639757274684</v>
      </c>
      <c r="CZ58" s="4">
        <f>AI58/GH58</f>
        <v>1.3330135927123574</v>
      </c>
      <c r="DA58" s="4">
        <f>AM58</f>
        <v>12</v>
      </c>
      <c r="DH58" s="4">
        <f>CT58</f>
        <v>1.6642603569394416</v>
      </c>
      <c r="DI58" s="4">
        <f>CU58</f>
        <v>0.9737603915445785</v>
      </c>
      <c r="DJ58" s="4">
        <f>CW58</f>
        <v>1.8781266693934733</v>
      </c>
      <c r="DK58" s="4">
        <f>CZ58</f>
        <v>1.3330135927123574</v>
      </c>
      <c r="DL58" s="4">
        <f>CX58</f>
        <v>3.3632206326994725</v>
      </c>
      <c r="DM58" s="4">
        <f>CY58</f>
        <v>1.2571639757274684</v>
      </c>
      <c r="DP58" s="4">
        <f>K58</f>
        <v>426.97399999999993</v>
      </c>
      <c r="DS58" s="4">
        <f>J58/4/(1-0.3*(L58/30)^0.5)/200000/M58</f>
        <v>2.7474056791368898E-5</v>
      </c>
      <c r="DT58" s="4">
        <f>EO58</f>
        <v>8.9620587312961906</v>
      </c>
      <c r="DU58" s="4">
        <f>EB58*AF58/257/L58/AC58</f>
        <v>0</v>
      </c>
      <c r="DV58" s="4">
        <f>DT58*DU58^0.4</f>
        <v>0</v>
      </c>
      <c r="DW58" s="4">
        <f>MIN(DT58, DT58/1.4*(1-DU58^1.4)/(1-DU58))</f>
        <v>6.4014705223544226</v>
      </c>
      <c r="DX58" s="4">
        <f>MAX(DT58/2, (4-DS58*(8*AF58*(DV58-DW58)+6*J58*DW58))/(4+DS58*J58*DT58)*DT58)</f>
        <v>8.0293710064026058</v>
      </c>
      <c r="DY58" s="38">
        <f>MIN(1/M58*(4*AF58*(DV58-DW58)+(3*DW58+DX58)*J58)+EB58 -FI58,MAX(I58,AI58))</f>
        <v>259.39832332772346</v>
      </c>
      <c r="DZ58" s="4">
        <f>DY58/FE58</f>
        <v>0.97270365019420446</v>
      </c>
      <c r="EA58" s="4">
        <f>AF58/M58</f>
        <v>2.5495097567963922</v>
      </c>
      <c r="EB58" s="4">
        <f>MIN(EA$10*BA58)</f>
        <v>0</v>
      </c>
      <c r="EF58" s="4">
        <f>IF(T58&gt;1*M58,0.85,1)</f>
        <v>0.85</v>
      </c>
      <c r="EG58" s="4">
        <f>MIN(1,MAX(0.7,(1-0.1*(BY58-1*M58)/M58)))</f>
        <v>0.90141843971631208</v>
      </c>
      <c r="EH58" s="4">
        <f>MIN(1,MAX(0.7,1-0.3*(PI()*AL58^2/4*AP58*2-0.25*PI()/4*M58^2)/(PI()/4*M58^2)))</f>
        <v>0.9995510789195714</v>
      </c>
      <c r="EI58" s="4">
        <f>IF(EG58*EH58&lt;0.7,0.7,EG58*EH58)</f>
        <v>0.90101377397643634</v>
      </c>
      <c r="EK58" s="4">
        <f>MIN(DT58/M58*3*J58+EL58-FI58,MAX(I58,AI58))</f>
        <v>693.95385959784517</v>
      </c>
      <c r="EL58" s="25">
        <f>13.3*P58*J58^0.5*L58^0.5/W58/M58^2*(0.7+R58/5/J58)</f>
        <v>373.417248378507</v>
      </c>
      <c r="EN58" s="4">
        <f>EF58*EI58</f>
        <v>0.76586170787997088</v>
      </c>
      <c r="EO58" s="4">
        <f>IF(M58&lt;22.2,1.1*5*(L58/30)^0.5,IF(M58&gt;=31.8,0.9*5*(L58/30)^0.5,1*5*(L58/30)^0.5))/EF58/EI58</f>
        <v>8.9620587312961906</v>
      </c>
      <c r="ER58" s="4">
        <f>ES58*M58</f>
        <v>91.308142429905971</v>
      </c>
      <c r="ES58" s="4">
        <f>AE58^0.5</f>
        <v>2.5495097567963922</v>
      </c>
      <c r="ET58" s="4">
        <f>MIN(EB58)/(4700*L58^0.5)/AD58*ER58</f>
        <v>0</v>
      </c>
      <c r="EW58" s="4">
        <f>ET58</f>
        <v>0</v>
      </c>
      <c r="EX58" s="4">
        <f>MIN(0.999, EW58/(0.3*(L58/30)^0.5))</f>
        <v>0</v>
      </c>
      <c r="EY58" s="4">
        <f>EO58/1*EX58^0.4</f>
        <v>0</v>
      </c>
      <c r="EZ58" s="4">
        <f>EO58/1.4*(1-EX58^1.4)/(1-EX58)</f>
        <v>6.4014705223544226</v>
      </c>
      <c r="FA58" s="4">
        <f>MAX(0,DP58*FA$9-ER58)</f>
        <v>0</v>
      </c>
      <c r="FB58" s="4">
        <f>MAX(0,DP58-ER58-FA58)</f>
        <v>335.66585757009398</v>
      </c>
      <c r="FC58" s="4">
        <f>FB58/(1-0.3*(L58/30)^0.5)/200000/M58</f>
        <v>8.6394982680952994E-5</v>
      </c>
      <c r="FD58" s="4">
        <f>MAX(0.5*EO58, (1-2*FC58*(ER58*EY58+FA58*EZ58))/(1/EO58+FC58*FB58))</f>
        <v>7.1133190436334406</v>
      </c>
      <c r="FE58" s="4">
        <f>MIN(4/M58*(1*EY58*ER58+EZ58*FA58+FB58*FD58)+EB58,MAX(I58,AI58))</f>
        <v>266.67764974042552</v>
      </c>
      <c r="FN58" s="23">
        <f>IF(CT58&lt;0.6,0.6,IF(CT58&lt;0.8,0.8,IF(CT58&lt;1,1,IF(CT58&lt;1.2,1.2,IF(CT58&lt;1.4,1.4,IF(CT58&lt;1.6,1.6,IF(CT58&lt;1.8,1.8,IF(CT58&lt;2,2,2.2))))))))</f>
        <v>1.8</v>
      </c>
      <c r="FO58" s="23">
        <f>IF(CU58&lt;0.6,0.6,IF(CU58&lt;0.8,0.8,IF(CU58&lt;1,1,IF(CU58&lt;1.2,1.2,IF(CU58&lt;1.4,1.4,IF(CU58&lt;1.6,1.6,IF(CU58&lt;1.8,1.8,IF(CU58&lt;2,2,2.2))))))))</f>
        <v>1</v>
      </c>
      <c r="FP58" s="23">
        <f>IF(CZ58&lt;0.6,0.6,IF(CZ58&lt;0.8,0.8,IF(CZ58&lt;1,1,IF(CZ58&lt;1.2,1.2,IF(CZ58&lt;1.4,1.4,IF(CZ58&lt;1.6,1.6,IF(CZ58&lt;1.8,1.8,IF(CZ58&lt;2,2,2.2))))))))</f>
        <v>1.4</v>
      </c>
      <c r="FQ58" s="23">
        <f>IF(CW58&lt;0.6,0.6,IF(CW58&lt;0.8,0.8,IF(CW58&lt;1,1,IF(CW58&lt;1.2,1.2,IF(CW58&lt;1.4,1.4,IF(CW58&lt;1.6,1.6,IF(CW58&lt;1.8,1.8,IF(CW58&lt;2,2,2.2))))))))</f>
        <v>2</v>
      </c>
      <c r="FR58" s="23">
        <f>IF(CX58&lt;0.6,0.6,IF(CX58&lt;0.8,0.8,IF(CX58&lt;1,1,IF(CX58&lt;1.2,1.2,IF(CX58&lt;1.4,1.4,IF(CX58&lt;1.6,1.6,IF(CX58&lt;1.8,1.8,IF(CX58&lt;2,2,2.2))))))))</f>
        <v>2.2000000000000002</v>
      </c>
      <c r="FS58" s="23">
        <f>IF(CY58&lt;0.6,0.6,IF(CY58&lt;0.8,0.8,IF(CY58&lt;1,1,IF(CY58&lt;1.2,1.2,IF(CY58&lt;1.4,1.4,IF(CY58&lt;1.6,1.6,IF(CY58&lt;1.8,1.8,IF(CY58&lt;2,2,2.2))))))))</f>
        <v>1.4</v>
      </c>
      <c r="FT58" s="23">
        <f>IF(FR58&lt;1,1,0)</f>
        <v>0</v>
      </c>
      <c r="FU58" s="23"/>
      <c r="GE58" s="4">
        <f>IF(R58&gt;=2.5*25.4,1,1.25)</f>
        <v>1</v>
      </c>
      <c r="GF58" s="4">
        <f>IF(AN58&gt;1, 0.05*(18-MIN(8,(V58+M58)/M58))*(1-48000/MAX(60000,(I58*145))*(M58/25.4)^0.75*GG58), 1/12*(14-MIN(8,(V58+M58)/M58)))</f>
        <v>0.44214730608235164</v>
      </c>
      <c r="GG58" s="4">
        <f>MIN(0.3, AL58^2*PI()/4*2*AO58/(M58^2*PI()/4*W58))</f>
        <v>0.25149640360142855</v>
      </c>
      <c r="GH58" s="4">
        <f>(J58/25.4)/(M58/25.4)^1.5/0.0024*(L58*145)^0.25/GE58/GF58/145</f>
        <v>654.46728966078967</v>
      </c>
    </row>
    <row r="59" spans="1:195" s="4" customFormat="1" ht="12" customHeight="1" x14ac:dyDescent="0.3">
      <c r="A59" s="25">
        <v>421</v>
      </c>
      <c r="B59" s="4" t="s">
        <v>605</v>
      </c>
      <c r="C59" s="4">
        <v>2016</v>
      </c>
      <c r="D59" s="4" t="s">
        <v>309</v>
      </c>
      <c r="E59" s="14" t="s">
        <v>679</v>
      </c>
      <c r="F59" s="14" t="s">
        <v>806</v>
      </c>
      <c r="G59" s="7" t="s">
        <v>592</v>
      </c>
      <c r="H59" s="5">
        <f t="shared" si="0"/>
        <v>1.2277213970489347</v>
      </c>
      <c r="I59" s="90">
        <f>135/0.145</f>
        <v>931.0344827586207</v>
      </c>
      <c r="J59" s="90">
        <f>16.92*25.4</f>
        <v>429.76800000000003</v>
      </c>
      <c r="K59" s="4">
        <f>J59</f>
        <v>429.76800000000003</v>
      </c>
      <c r="L59" s="90">
        <f>10120/145</f>
        <v>69.793103448275858</v>
      </c>
      <c r="M59" s="38">
        <f>1.41*25.4</f>
        <v>35.813999999999993</v>
      </c>
      <c r="N59" s="7">
        <f>J59/M59</f>
        <v>12.000000000000004</v>
      </c>
      <c r="O59" s="7">
        <f>K59/M59</f>
        <v>12.000000000000004</v>
      </c>
      <c r="P59" s="38">
        <f>21.9*25.4</f>
        <v>556.25999999999988</v>
      </c>
      <c r="Q59" s="32">
        <f>R59/M59</f>
        <v>1.9858156028368796</v>
      </c>
      <c r="R59" s="38">
        <f>2.8*25.4</f>
        <v>71.11999999999999</v>
      </c>
      <c r="S59" s="32">
        <f>T59/M59</f>
        <v>2.4822695035460995</v>
      </c>
      <c r="T59" s="39">
        <f>3.5*25.4</f>
        <v>88.899999999999991</v>
      </c>
      <c r="U59" s="32">
        <f>V59/M59</f>
        <v>4.2801418439716299</v>
      </c>
      <c r="V59" s="7">
        <f>(P59-W59*M59-2*R59)/(W59-1)</f>
        <v>153.28899999999993</v>
      </c>
      <c r="W59" s="38">
        <v>3</v>
      </c>
      <c r="X59" s="122">
        <f>AM59</f>
        <v>0</v>
      </c>
      <c r="Y59" s="32">
        <f>Z59/M59</f>
        <v>14.18439716312057</v>
      </c>
      <c r="Z59" s="4">
        <f>20*25.4</f>
        <v>508</v>
      </c>
      <c r="AA59" s="7">
        <f>MIN(R59/M59+0.5, V59/2/M59+0.5)</f>
        <v>2.4858156028368796</v>
      </c>
      <c r="AB59" s="7">
        <f>R59/M59+0.5</f>
        <v>2.4858156028368796</v>
      </c>
      <c r="AC59" s="38">
        <v>5.5</v>
      </c>
      <c r="AD59" s="4">
        <f>AC59</f>
        <v>5.5</v>
      </c>
      <c r="AE59" s="4">
        <f>AD59+1</f>
        <v>6.5</v>
      </c>
      <c r="AF59" s="7">
        <f>M59*AE59^0.5</f>
        <v>91.308142429905971</v>
      </c>
      <c r="AI59" s="38">
        <f>AJ59/0.145</f>
        <v>482.06896551724145</v>
      </c>
      <c r="AJ59" s="4">
        <v>69.900000000000006</v>
      </c>
      <c r="AK59" s="4">
        <f>CX59</f>
        <v>1.845273440084656</v>
      </c>
      <c r="AL59" s="38">
        <v>0</v>
      </c>
      <c r="AM59" s="38">
        <v>0</v>
      </c>
      <c r="AN59" s="39">
        <f>K59</f>
        <v>429.76800000000003</v>
      </c>
      <c r="AO59" s="39"/>
      <c r="AP59" s="39"/>
      <c r="AQ59" s="7"/>
      <c r="AR59" s="4">
        <f>J59</f>
        <v>429.76800000000003</v>
      </c>
      <c r="AS59" s="4">
        <f>IF(J59*3&gt;V59+M59, P59, (R59+M59/2)*2+1.5*J59*(2*W59-2))*(3*J59)/(9*J59^2)</f>
        <v>0.43144208037825049</v>
      </c>
      <c r="AT59" s="4">
        <f>MIN(10*L59^0.5*J59^1.5,100*3.9*L59^0.5*J59^(5/3))/(PI()/4*M59^2)/W59</f>
        <v>246.2864810022304</v>
      </c>
      <c r="AU59" s="4">
        <f>MIN(0.7+0.3*(MIN(R59,Z59)+0.5*M59)/1.5/J59,1)</f>
        <v>0.7414302600472813</v>
      </c>
      <c r="AV59" s="4">
        <v>1.25</v>
      </c>
      <c r="AW59" s="4">
        <f>AW58</f>
        <v>5</v>
      </c>
      <c r="AX59" s="38">
        <f>AS59*AU59*AV59*AW59*AT59</f>
        <v>492.39473348329574</v>
      </c>
      <c r="AY59" s="38">
        <f>AX59</f>
        <v>492.39473348329574</v>
      </c>
      <c r="AZ59" s="38">
        <f>IF(L59&lt;50, 0.3*L59^(2/3), 2.12*LN(1+0.1*(L59+8)))</f>
        <v>4.6054834550100843</v>
      </c>
      <c r="BA59" s="38">
        <f>AW59* (L59^0.5/AR59^0.5)/(PI()/4*M59^2)/W59/0.72 *(0.7+(MIN(R59,Z59)+0.5*M59)/5/J59) *(3*P59*J59)</f>
        <v>492.39473348329597</v>
      </c>
      <c r="BB59" s="38">
        <f>AX59/BA59</f>
        <v>0.99999999999999956</v>
      </c>
      <c r="BC59" s="38">
        <f>BG59/BA59</f>
        <v>1.6526441899003017</v>
      </c>
      <c r="BD59" s="4">
        <f>IF(BC59&lt;1,1,0)</f>
        <v>0</v>
      </c>
      <c r="BE59" s="4">
        <f>K59/M59*L59^0.5/0.19</f>
        <v>527.63536936692662</v>
      </c>
      <c r="BF59" s="4">
        <f>MIN(0.6+0.4*(AB59/AA59),2)</f>
        <v>1</v>
      </c>
      <c r="BG59" s="38">
        <f>2*L59*AA59*AC59^0.5*BF59*0.7/0.7</f>
        <v>813.75329542867667</v>
      </c>
      <c r="BH59" s="4">
        <f>MAX(1-0.7*AD59/5,0.3)</f>
        <v>0.3</v>
      </c>
      <c r="BI59" s="4">
        <f>BH59*I59*K59/(I59*M59/2.75/L59^0.5)</f>
        <v>82.706844148265759</v>
      </c>
      <c r="BJ59" s="4">
        <f>BG59+BI59</f>
        <v>896.46013957694242</v>
      </c>
      <c r="BL59" s="4">
        <f>MIN(1.5, 0.75+0.25*MIN(3,MAX(1,R59/M59))+0.4*MIN(1,(40*2*PI()*AL59^2/4/AN59/W59)/M59))</f>
        <v>1.2464539007092199</v>
      </c>
      <c r="BM59" s="4">
        <f>(3*O59+30)*BL59*L59^0.5</f>
        <v>687.26845669303566</v>
      </c>
      <c r="BO59" s="4">
        <f>3.4/PI()^0.5*L59*AA59*AD59^0.5*BF59</f>
        <v>780.48892585948306</v>
      </c>
      <c r="BP59" s="4">
        <f>8/3*AG59*AH59^2/(AF59-M59-22)/M59*(AF59^2-M59^2)/(AF59^2-(M59+22)^2)</f>
        <v>0</v>
      </c>
      <c r="BQ59" s="4">
        <f>BP59/BO59</f>
        <v>0</v>
      </c>
      <c r="BY59" s="4">
        <f>IF(V59=0,R59,MIN(V59/2,R59))</f>
        <v>71.11999999999999</v>
      </c>
      <c r="CC59" s="9"/>
      <c r="CE59" s="9"/>
      <c r="CF59" s="9"/>
      <c r="CG59" s="9">
        <f>IF(V59=0,MIN(R59,T59),MIN(V59/2,R59,T59))</f>
        <v>71.11999999999999</v>
      </c>
      <c r="CH59" s="9">
        <f>MAX(V59/2,R59)</f>
        <v>76.644499999999965</v>
      </c>
      <c r="CI59" s="9">
        <f>(CG59/M59)^0.5*(CH59/CG59)^0.15</f>
        <v>1.4250918174124854</v>
      </c>
      <c r="CJ59" s="70">
        <f>IF(AN59&gt;1,20,0)</f>
        <v>20</v>
      </c>
      <c r="CK59" s="9">
        <f>MIN(PI()*AL59^2/4*AM59*2/W59/M59/MAX(0.01,AN59),0.05)</f>
        <v>0</v>
      </c>
      <c r="CL59" s="9">
        <f>MAX(0,CJ59*(CK59-0.5/50))</f>
        <v>0</v>
      </c>
      <c r="CM59" s="9">
        <f>MIN(1,(25/M59)^0.3)</f>
        <v>0.89777220146327208</v>
      </c>
      <c r="CN59" s="9">
        <f>IF(I59&gt;=800,0.68,IF(I59&gt;=700,0.75-(I59-700)*0.07/100,IF(I59&gt;=600,0.85-(I59-600)*0.1/100,IF(I59&gt;=500,1-(I59-500)*0.15/100,1.2-(I59-400)*0.2/100))))</f>
        <v>0.68</v>
      </c>
      <c r="CO59" s="9">
        <f>1.75*CM59*CN59*(L59/25)^0.5</f>
        <v>1.7850458101214393</v>
      </c>
      <c r="CP59" s="9">
        <f>MIN((CI59+CL59)*CO59,2.5*CO59,L59^0.5)</f>
        <v>2.5438541777105041</v>
      </c>
      <c r="CQ59" s="40">
        <v>1</v>
      </c>
      <c r="CR59" s="9">
        <f>4*CP59*O59+60*CP59</f>
        <v>274.73625119273447</v>
      </c>
      <c r="CT59" s="4">
        <f>AI59/BE59</f>
        <v>0.91364035374588859</v>
      </c>
      <c r="CU59" s="4">
        <f>AI59/BJ59</f>
        <v>0.53774723965388971</v>
      </c>
      <c r="CV59" s="4">
        <f>AI59/BM59</f>
        <v>0.70142745650926142</v>
      </c>
      <c r="CW59" s="4">
        <f>AI59/CR59</f>
        <v>1.7546609281607246</v>
      </c>
      <c r="CX59" s="4">
        <f>AI59/DY59</f>
        <v>1.845273440084656</v>
      </c>
      <c r="CY59" s="4">
        <f>AI59/EK59</f>
        <v>0.85080970194489203</v>
      </c>
      <c r="CZ59" s="4">
        <f>AI59/GH59</f>
        <v>1.0526254652208762</v>
      </c>
      <c r="DA59" s="4">
        <f>AM59</f>
        <v>0</v>
      </c>
      <c r="DB59" s="4">
        <f>CT59</f>
        <v>0.91364035374588859</v>
      </c>
      <c r="DC59" s="4">
        <f>CU59</f>
        <v>0.53774723965388971</v>
      </c>
      <c r="DD59" s="4">
        <f>CW59</f>
        <v>1.7546609281607246</v>
      </c>
      <c r="DE59" s="4">
        <f>CZ59</f>
        <v>1.0526254652208762</v>
      </c>
      <c r="DF59" s="4">
        <f>CX59</f>
        <v>1.845273440084656</v>
      </c>
      <c r="DG59" s="4">
        <f>CY59</f>
        <v>0.85080970194489203</v>
      </c>
      <c r="DP59" s="4">
        <f>K59</f>
        <v>429.76800000000003</v>
      </c>
      <c r="DS59" s="4">
        <f>J59/4/(1-0.3*(L59/30)^0.5)/200000/M59</f>
        <v>2.7653839435452814E-5</v>
      </c>
      <c r="DT59" s="4">
        <f>EO59</f>
        <v>8.9580354742076711</v>
      </c>
      <c r="DU59" s="4">
        <f>EB59*AF59/257/L59/AC59</f>
        <v>0</v>
      </c>
      <c r="DV59" s="4">
        <f>DT59*DU59^0.4</f>
        <v>0</v>
      </c>
      <c r="DW59" s="4">
        <f>MIN(DT59, DT59/1.4*(1-DU59^1.4)/(1-DU59))</f>
        <v>6.3985967672911936</v>
      </c>
      <c r="DX59" s="4">
        <f>MAX(DT59/2, (4-DS59*(8*AF59*(DV59-DW59)+6*J59*DW59))/(4+DS59*J59*DT59)*DT59)</f>
        <v>8.0124108300570089</v>
      </c>
      <c r="DY59" s="38">
        <f>MIN(1/M59*(4*AF59*(DV59-DW59)+(3*DW59+DX59)*J59)+EB59 -FI59,MAX(I59,AI59))</f>
        <v>261.24527403110807</v>
      </c>
      <c r="DZ59" s="4">
        <f>DY59/FE59</f>
        <v>0.97523917273528327</v>
      </c>
      <c r="EA59" s="4">
        <f>AF59/M59</f>
        <v>2.5495097567963922</v>
      </c>
      <c r="EB59" s="4">
        <f>MIN(EA$10*BA59)</f>
        <v>0</v>
      </c>
      <c r="EF59" s="4">
        <f>IF(T59&gt;1*M59,0.85,1)</f>
        <v>0.85</v>
      </c>
      <c r="EG59" s="4">
        <f>MIN(1,MAX(0.7,(1-0.1*(BY59-1*M59)/M59)))</f>
        <v>0.90141843971631208</v>
      </c>
      <c r="EH59" s="4">
        <f>MIN(1,MAX(0.7,1-0.3*(PI()*AL59^2/4*AP59*2-0.25*PI()/4*M59^2)/(PI()/4*M59^2)))</f>
        <v>1</v>
      </c>
      <c r="EI59" s="4">
        <f>IF(EG59*EH59&lt;0.7,0.7,EG59*EH59)</f>
        <v>0.90141843971631208</v>
      </c>
      <c r="EK59" s="4">
        <f>MIN(DT59/M59*3*J59+EL59-FI59,MAX(I59,AI59))</f>
        <v>566.6002214305563</v>
      </c>
      <c r="EL59" s="25">
        <f>13.3*P59*J59^0.5*L59^0.5/W59/M59^2*(0.7+R59/5/J59)</f>
        <v>244.11094435908009</v>
      </c>
      <c r="EN59" s="4">
        <f>EF59*EI59</f>
        <v>0.76620567375886528</v>
      </c>
      <c r="EO59" s="4">
        <f>IF(M59&lt;22.2,1.1*5*(L59/30)^0.5,IF(M59&gt;=31.8,0.9*5*(L59/30)^0.5,1*5*(L59/30)^0.5))/EF59/EI59</f>
        <v>8.9580354742076711</v>
      </c>
      <c r="ER59" s="4">
        <f>ES59*M59</f>
        <v>91.308142429905971</v>
      </c>
      <c r="ES59" s="4">
        <f>AE59^0.5</f>
        <v>2.5495097567963922</v>
      </c>
      <c r="ET59" s="4">
        <f>MIN(EB59)/(4700*L59^0.5)/AD59*ER59</f>
        <v>0</v>
      </c>
      <c r="EW59" s="4">
        <f>ET59</f>
        <v>0</v>
      </c>
      <c r="EX59" s="4">
        <f>MIN(0.999, EW59/(0.3*(L59/30)^0.5))</f>
        <v>0</v>
      </c>
      <c r="EY59" s="4">
        <f>EO59/1*EX59^0.4</f>
        <v>0</v>
      </c>
      <c r="EZ59" s="4">
        <f>EO59/1.4*(1-EX59^1.4)/(1-EX59)</f>
        <v>6.3985967672911936</v>
      </c>
      <c r="FA59" s="4">
        <f>MAX(0,DP59*FA$9-ER59)</f>
        <v>0</v>
      </c>
      <c r="FB59" s="4">
        <f>MAX(0,DP59-ER59-FA59)</f>
        <v>338.45985757009407</v>
      </c>
      <c r="FC59" s="4">
        <f>FB59/(1-0.3*(L59/30)^0.5)/200000/M59</f>
        <v>8.7114113257288672E-5</v>
      </c>
      <c r="FD59" s="4">
        <f>MAX(0.5*EO59, (1-2*FC59*(ER59*EY59+FA59*EZ59))/(1/EO59+FC59*FB59))</f>
        <v>7.0863561560480823</v>
      </c>
      <c r="FE59" s="4">
        <f>MIN(4/M59*(1*EY59*ER59+EZ59*FA59+FB59*FD59)+EB59,MAX(I59,AI59))</f>
        <v>267.87815885039299</v>
      </c>
      <c r="FN59" s="23">
        <f>IF(CT59&lt;0.6,0.6,IF(CT59&lt;0.8,0.8,IF(CT59&lt;1,1,IF(CT59&lt;1.2,1.2,IF(CT59&lt;1.4,1.4,IF(CT59&lt;1.6,1.6,IF(CT59&lt;1.8,1.8,IF(CT59&lt;2,2,2.2))))))))</f>
        <v>1</v>
      </c>
      <c r="FO59" s="23">
        <f>IF(CU59&lt;0.6,0.6,IF(CU59&lt;0.8,0.8,IF(CU59&lt;1,1,IF(CU59&lt;1.2,1.2,IF(CU59&lt;1.4,1.4,IF(CU59&lt;1.6,1.6,IF(CU59&lt;1.8,1.8,IF(CU59&lt;2,2,2.2))))))))</f>
        <v>0.6</v>
      </c>
      <c r="FP59" s="23">
        <f>IF(CZ59&lt;0.6,0.6,IF(CZ59&lt;0.8,0.8,IF(CZ59&lt;1,1,IF(CZ59&lt;1.2,1.2,IF(CZ59&lt;1.4,1.4,IF(CZ59&lt;1.6,1.6,IF(CZ59&lt;1.8,1.8,IF(CZ59&lt;2,2,2.2))))))))</f>
        <v>1.2</v>
      </c>
      <c r="FQ59" s="23">
        <f>IF(CW59&lt;0.6,0.6,IF(CW59&lt;0.8,0.8,IF(CW59&lt;1,1,IF(CW59&lt;1.2,1.2,IF(CW59&lt;1.4,1.4,IF(CW59&lt;1.6,1.6,IF(CW59&lt;1.8,1.8,IF(CW59&lt;2,2,2.2))))))))</f>
        <v>1.8</v>
      </c>
      <c r="FR59" s="23">
        <f>IF(CX59&lt;0.6,0.6,IF(CX59&lt;0.8,0.8,IF(CX59&lt;1,1,IF(CX59&lt;1.2,1.2,IF(CX59&lt;1.4,1.4,IF(CX59&lt;1.6,1.6,IF(CX59&lt;1.8,1.8,IF(CX59&lt;2,2,2.2))))))))</f>
        <v>2</v>
      </c>
      <c r="FS59" s="23">
        <f>IF(CY59&lt;0.6,0.6,IF(CY59&lt;0.8,0.8,IF(CY59&lt;1,1,IF(CY59&lt;1.2,1.2,IF(CY59&lt;1.4,1.4,IF(CY59&lt;1.6,1.6,IF(CY59&lt;1.8,1.8,IF(CY59&lt;2,2,2.2))))))))</f>
        <v>1</v>
      </c>
      <c r="FT59" s="23">
        <f>IF(FR59&lt;1,1,0)</f>
        <v>0</v>
      </c>
      <c r="FU59" s="23"/>
      <c r="GE59" s="4">
        <f>IF(R59&gt;=2.5*25.4,1,1.25)</f>
        <v>1</v>
      </c>
      <c r="GF59" s="4">
        <f>IF(AN59&gt;1, 0.05*(18-MIN(8,(V59+M59)/M59))*(1-48000/MAX(60000,(I59*145))*(M59/25.4)^0.75*GG59), 1/12*(14-MIN(8,(V59+M59)/M59)))</f>
        <v>0.63599290780141848</v>
      </c>
      <c r="GG59" s="4">
        <f>MIN(0.3, AL59^2*PI()/4*2*AO59/(M59^2*PI()/4*W59))</f>
        <v>0</v>
      </c>
      <c r="GH59" s="4">
        <f>(J59/25.4)/(M59/25.4)^1.5/0.0024*(L59*145)^0.25/GE59/GF59/145</f>
        <v>457.96817713894768</v>
      </c>
    </row>
    <row r="60" spans="1:195" s="4" customFormat="1" ht="12" customHeight="1" x14ac:dyDescent="0.3">
      <c r="A60" s="25">
        <v>417</v>
      </c>
      <c r="B60" s="4" t="s">
        <v>605</v>
      </c>
      <c r="C60" s="4">
        <v>2016</v>
      </c>
      <c r="D60" s="4" t="s">
        <v>309</v>
      </c>
      <c r="E60" s="14" t="s">
        <v>586</v>
      </c>
      <c r="F60" s="14" t="s">
        <v>806</v>
      </c>
      <c r="G60" s="7" t="s">
        <v>588</v>
      </c>
      <c r="H60" s="5">
        <f t="shared" si="0"/>
        <v>1.2277213970489347</v>
      </c>
      <c r="I60" s="90">
        <f>135/0.145</f>
        <v>931.0344827586207</v>
      </c>
      <c r="J60" s="90">
        <f>16.94*25.4</f>
        <v>430.27600000000001</v>
      </c>
      <c r="K60" s="4">
        <f>J60</f>
        <v>430.27600000000001</v>
      </c>
      <c r="L60" s="90">
        <f>10120/145</f>
        <v>69.793103448275858</v>
      </c>
      <c r="M60" s="38">
        <f>1.41*25.4</f>
        <v>35.813999999999993</v>
      </c>
      <c r="N60" s="7">
        <f>J60/M60</f>
        <v>12.014184397163124</v>
      </c>
      <c r="O60" s="7">
        <f>K60/M60</f>
        <v>12.014184397163124</v>
      </c>
      <c r="P60" s="38">
        <f>22.3*25.4</f>
        <v>566.41999999999996</v>
      </c>
      <c r="Q60" s="32">
        <f>R60/M60</f>
        <v>2.0212765957446814</v>
      </c>
      <c r="R60" s="38">
        <f>2.85*25.4</f>
        <v>72.39</v>
      </c>
      <c r="S60" s="32">
        <f>T60/M60</f>
        <v>2.4113475177304968</v>
      </c>
      <c r="T60" s="39">
        <f>3.4*25.4</f>
        <v>86.36</v>
      </c>
      <c r="U60" s="32">
        <f>V60/M60</f>
        <v>9.7730496453900706</v>
      </c>
      <c r="V60" s="7">
        <f>(P60-W60*M60-2*R60)/(W60-1)</f>
        <v>350.01199999999994</v>
      </c>
      <c r="W60" s="38">
        <v>2</v>
      </c>
      <c r="X60" s="122">
        <f>AM60</f>
        <v>0</v>
      </c>
      <c r="Y60" s="32">
        <f>Z60/M60</f>
        <v>14.18439716312057</v>
      </c>
      <c r="Z60" s="4">
        <f>20*25.4</f>
        <v>508</v>
      </c>
      <c r="AA60" s="7">
        <f>MIN(R60/M60+0.5, V60/2/M60+0.5)</f>
        <v>2.5212765957446814</v>
      </c>
      <c r="AB60" s="7">
        <f>R60/M60+0.5</f>
        <v>2.5212765957446814</v>
      </c>
      <c r="AC60" s="38">
        <v>5.5</v>
      </c>
      <c r="AD60" s="4">
        <f>AC60</f>
        <v>5.5</v>
      </c>
      <c r="AE60" s="4">
        <f>AD60+1</f>
        <v>6.5</v>
      </c>
      <c r="AF60" s="7">
        <f>M60*AE60^0.5</f>
        <v>91.308142429905971</v>
      </c>
      <c r="AI60" s="38">
        <f>AJ60/0.145</f>
        <v>777.93103448275861</v>
      </c>
      <c r="AJ60" s="4">
        <v>112.8</v>
      </c>
      <c r="AK60" s="4">
        <f>CX60</f>
        <v>2.9625286672879541</v>
      </c>
      <c r="AL60" s="38">
        <v>0</v>
      </c>
      <c r="AM60" s="38">
        <v>0</v>
      </c>
      <c r="AN60" s="39">
        <f>K60</f>
        <v>430.27600000000001</v>
      </c>
      <c r="AO60" s="39"/>
      <c r="AP60" s="39"/>
      <c r="AQ60" s="7"/>
      <c r="AR60" s="4">
        <f>J60</f>
        <v>430.27600000000001</v>
      </c>
      <c r="AS60" s="4">
        <f>IF(J60*3&gt;V60+M60, P60, (R60+M60/2)*2+1.5*J60*(2*W60-2))*(3*J60)/(9*J60^2)</f>
        <v>0.43880362062180234</v>
      </c>
      <c r="AT60" s="4">
        <f>MIN(10*L60^0.5*J60^1.5,100*3.9*L60^0.5*J60^(5/3))/(PI()/4*M60^2)/W60</f>
        <v>370.08493226495057</v>
      </c>
      <c r="AU60" s="4">
        <f>MIN(0.7+0.3*(MIN(R60,Z60)+0.5*M60)/1.5/J60,1)</f>
        <v>0.74197166469893738</v>
      </c>
      <c r="AV60" s="4">
        <v>1.25</v>
      </c>
      <c r="AW60" s="4">
        <f>AW59</f>
        <v>5</v>
      </c>
      <c r="AX60" s="38">
        <f>AS60*AU60*AV60*AW60*AT60</f>
        <v>753.07623622336166</v>
      </c>
      <c r="AY60" s="38">
        <f>AX60</f>
        <v>753.07623622336166</v>
      </c>
      <c r="AZ60" s="38">
        <f>IF(L60&lt;50, 0.3*L60^(2/3), 2.12*LN(1+0.1*(L60+8)))</f>
        <v>4.6054834550100843</v>
      </c>
      <c r="BA60" s="38">
        <f>AW60* (L60^0.5/AR60^0.5)/(PI()/4*M60^2)/W60/0.72 *(0.7+(MIN(R60,Z60)+0.5*M60)/5/J60) *(3*P60*J60)</f>
        <v>753.07623622336246</v>
      </c>
      <c r="BB60" s="38">
        <f>AX60/BA60</f>
        <v>0.99999999999999889</v>
      </c>
      <c r="BC60" s="38">
        <f>BG60/BA60</f>
        <v>1.095986992135094</v>
      </c>
      <c r="BD60" s="4">
        <f>IF(BC60&lt;1,1,0)</f>
        <v>0</v>
      </c>
      <c r="BE60" s="4">
        <f>K60/M60*L60^0.5/0.19</f>
        <v>528.25905183662746</v>
      </c>
      <c r="BF60" s="4">
        <f>MIN(0.6+0.4*(AB60/AA60),2)</f>
        <v>1</v>
      </c>
      <c r="BG60" s="38">
        <f>2*L60*AA60*AC60^0.5*BF60*0.7/0.7</f>
        <v>825.36175898686054</v>
      </c>
      <c r="BH60" s="4">
        <f>MAX(1-0.7*AD60/5,0.3)</f>
        <v>0.3</v>
      </c>
      <c r="BI60" s="4">
        <f>BH60*I60*K60/(I60*M60/2.75/L60^0.5)</f>
        <v>82.804606375391359</v>
      </c>
      <c r="BJ60" s="4">
        <f>BG60+BI60</f>
        <v>908.1663653622519</v>
      </c>
      <c r="BL60" s="4">
        <f>MIN(1.5, 0.75+0.25*MIN(3,MAX(1,R60/M60))+0.4*MIN(1,(40*2*PI()*AL60^2/4/AN60/W60)/M60))</f>
        <v>1.2553191489361704</v>
      </c>
      <c r="BM60" s="4">
        <f>(3*O60+30)*BL60*L60^0.5</f>
        <v>692.60283276114683</v>
      </c>
      <c r="BO60" s="4">
        <f>3.4/PI()^0.5*L60*AA60*AD60^0.5*BF60</f>
        <v>791.62286203436884</v>
      </c>
      <c r="BP60" s="4">
        <f>8/3*AG60*AH60^2/(AF60-M60-22)/M60*(AF60^2-M60^2)/(AF60^2-(M60+22)^2)</f>
        <v>0</v>
      </c>
      <c r="BQ60" s="4">
        <f>BP60/BO60</f>
        <v>0</v>
      </c>
      <c r="BY60" s="4">
        <f>IF(V60=0,R60,MIN(V60/2,R60))</f>
        <v>72.39</v>
      </c>
      <c r="CC60" s="9"/>
      <c r="CE60" s="9"/>
      <c r="CF60" s="9"/>
      <c r="CG60" s="9">
        <f>IF(V60=0,MIN(R60,T60),MIN(V60/2,R60,T60))</f>
        <v>72.39</v>
      </c>
      <c r="CH60" s="9">
        <f>MAX(V60/2,R60)</f>
        <v>175.00599999999997</v>
      </c>
      <c r="CI60" s="9">
        <f>(CG60/M60)^0.5*(CH60/CG60)^0.15</f>
        <v>1.6230018989509365</v>
      </c>
      <c r="CJ60" s="70">
        <f>IF(AN60&gt;1,20,0)</f>
        <v>20</v>
      </c>
      <c r="CK60" s="9">
        <f>MIN(PI()*AL60^2/4*AM60*2/W60/M60/MAX(0.01,AN60),0.05)</f>
        <v>0</v>
      </c>
      <c r="CL60" s="9">
        <f>MAX(0,CJ60*(CK60-0.5/50))</f>
        <v>0</v>
      </c>
      <c r="CM60" s="9">
        <f>MIN(1,(25/M60)^0.3)</f>
        <v>0.89777220146327208</v>
      </c>
      <c r="CN60" s="9">
        <f>IF(I60&gt;=800,0.68,IF(I60&gt;=700,0.75-(I60-700)*0.07/100,IF(I60&gt;=600,0.85-(I60-600)*0.1/100,IF(I60&gt;=500,1-(I60-500)*0.15/100,1.2-(I60-400)*0.2/100))))</f>
        <v>0.68</v>
      </c>
      <c r="CO60" s="9">
        <f>1.75*CM60*CN60*(L60/25)^0.5</f>
        <v>1.7850458101214393</v>
      </c>
      <c r="CP60" s="9">
        <f>MIN((CI60+CL60)*CO60,2.5*CO60,L60^0.5)</f>
        <v>2.8971327395415085</v>
      </c>
      <c r="CQ60" s="40">
        <v>1</v>
      </c>
      <c r="CR60" s="9">
        <f>4*CP60*O60+60*CP60</f>
        <v>313.05471219613071</v>
      </c>
      <c r="CT60" s="4">
        <f>AI60/BE60</f>
        <v>1.4726317169163174</v>
      </c>
      <c r="CU60" s="4">
        <f>AI60/BJ60</f>
        <v>0.85659529371851961</v>
      </c>
      <c r="CV60" s="4">
        <f>AI60/BM60</f>
        <v>1.1231993253354746</v>
      </c>
      <c r="CW60" s="4">
        <f>AI60/CR60</f>
        <v>2.4849682952396512</v>
      </c>
      <c r="CX60" s="4">
        <f>AI60/DY60</f>
        <v>2.9625286672879541</v>
      </c>
      <c r="CY60" s="4">
        <f>AI60/EK60</f>
        <v>1.1153119606929831</v>
      </c>
      <c r="CZ60" s="4">
        <f>AI60/GH60</f>
        <v>1.3338607110128451</v>
      </c>
      <c r="DA60" s="4">
        <f>AM60</f>
        <v>0</v>
      </c>
      <c r="DB60" s="4">
        <f>CT60</f>
        <v>1.4726317169163174</v>
      </c>
      <c r="DC60" s="4">
        <f>CU60</f>
        <v>0.85659529371851961</v>
      </c>
      <c r="DD60" s="4">
        <f>CW60</f>
        <v>2.4849682952396512</v>
      </c>
      <c r="DE60" s="4">
        <f>CZ60</f>
        <v>1.3338607110128451</v>
      </c>
      <c r="DF60" s="4">
        <f>CX60</f>
        <v>2.9625286672879541</v>
      </c>
      <c r="DG60" s="4">
        <f>CY60</f>
        <v>1.1153119606929831</v>
      </c>
      <c r="DP60" s="4">
        <f>K60</f>
        <v>430.27600000000001</v>
      </c>
      <c r="DS60" s="4">
        <f>J60/4/(1-0.3*(L60/30)^0.5)/200000/M60</f>
        <v>2.7686527188922619E-5</v>
      </c>
      <c r="DT60" s="4">
        <f>EO60</f>
        <v>8.9934147612306088</v>
      </c>
      <c r="DU60" s="4">
        <f>EB60*AF60/257/L60/AC60</f>
        <v>0</v>
      </c>
      <c r="DV60" s="4">
        <f>DT60*DU60^0.4</f>
        <v>0</v>
      </c>
      <c r="DW60" s="4">
        <f>MIN(DT60, DT60/1.4*(1-DU60^1.4)/(1-DU60))</f>
        <v>6.423867686593292</v>
      </c>
      <c r="DX60" s="4">
        <f>MAX(DT60/2, (4-DS60*(8*AF60*(DV60-DW60)+6*J60*DW60))/(4+DS60*J60*DT60)*DT60)</f>
        <v>8.0378717884840079</v>
      </c>
      <c r="DY60" s="38">
        <f>MIN(1/M60*(4*AF60*(DV60-DW60)+(3*DW60+DX60)*J60)+EB60 -FI60,MAX(I60,AI60))</f>
        <v>262.59021324337607</v>
      </c>
      <c r="DZ60" s="4">
        <f>DY60/FE60</f>
        <v>0.97635919664253168</v>
      </c>
      <c r="EA60" s="4">
        <f>AF60/M60</f>
        <v>2.5495097567963922</v>
      </c>
      <c r="EB60" s="4">
        <f>MIN(EA$10*BA60)</f>
        <v>0</v>
      </c>
      <c r="EF60" s="4">
        <f>IF(T60&gt;1*M60,0.85,1)</f>
        <v>0.85</v>
      </c>
      <c r="EG60" s="4">
        <f>MIN(1,MAX(0.7,(1-0.1*(BY60-1*M60)/M60)))</f>
        <v>0.89787234042553188</v>
      </c>
      <c r="EH60" s="4">
        <f>MIN(1,MAX(0.7,1-0.3*(PI()*AL60^2/4*AP60*2-0.25*PI()/4*M60^2)/(PI()/4*M60^2)))</f>
        <v>1</v>
      </c>
      <c r="EI60" s="4">
        <f>IF(EG60*EH60&lt;0.7,0.7,EG60*EH60)</f>
        <v>0.89787234042553188</v>
      </c>
      <c r="EK60" s="4">
        <f>MIN(DT60/M60*3*J60+EL60-FI60,MAX(I60,AI60))</f>
        <v>697.50084451654436</v>
      </c>
      <c r="EL60" s="25">
        <f>13.3*P60*J60^0.5*L60^0.5/W60/M60^2*(0.7+R60/5/J60)</f>
        <v>373.3552146117645</v>
      </c>
      <c r="EN60" s="4">
        <f>EF60*EI60</f>
        <v>0.76319148936170211</v>
      </c>
      <c r="EO60" s="4">
        <f>IF(M60&lt;22.2,1.1*5*(L60/30)^0.5,IF(M60&gt;=31.8,0.9*5*(L60/30)^0.5,1*5*(L60/30)^0.5))/EF60/EI60</f>
        <v>8.9934147612306088</v>
      </c>
      <c r="ER60" s="4">
        <f>ES60*M60</f>
        <v>91.308142429905971</v>
      </c>
      <c r="ES60" s="4">
        <f>AE60^0.5</f>
        <v>2.5495097567963922</v>
      </c>
      <c r="ET60" s="4">
        <f>MIN(EB60)/(4700*L60^0.5)/AD60*ER60</f>
        <v>0</v>
      </c>
      <c r="EW60" s="4">
        <f>ET60</f>
        <v>0</v>
      </c>
      <c r="EX60" s="4">
        <f>MIN(0.999, EW60/(0.3*(L60/30)^0.5))</f>
        <v>0</v>
      </c>
      <c r="EY60" s="4">
        <f>EO60/1*EX60^0.4</f>
        <v>0</v>
      </c>
      <c r="EZ60" s="4">
        <f>EO60/1.4*(1-EX60^1.4)/(1-EX60)</f>
        <v>6.423867686593292</v>
      </c>
      <c r="FA60" s="4">
        <f>MAX(0,DP60*FA$9-ER60)</f>
        <v>0</v>
      </c>
      <c r="FB60" s="4">
        <f>MAX(0,DP60-ER60-FA60)</f>
        <v>338.96785757009405</v>
      </c>
      <c r="FC60" s="4">
        <f>FB60/(1-0.3*(L60/30)^0.5)/200000/M60</f>
        <v>8.7244864271167864E-5</v>
      </c>
      <c r="FD60" s="4">
        <f>MAX(0.5*EO60, (1-2*FC60*(ER60*EY60+FA60*EZ60))/(1/EO60+FC60*FB60))</f>
        <v>7.1040046003023338</v>
      </c>
      <c r="FE60" s="4">
        <f>MIN(4/M60*(1*EY60*ER60+EZ60*FA60+FB60*FD60)+EB60,MAX(I60,AI60))</f>
        <v>268.94836874212041</v>
      </c>
      <c r="FN60" s="23">
        <f>IF(CT60&lt;0.6,0.6,IF(CT60&lt;0.8,0.8,IF(CT60&lt;1,1,IF(CT60&lt;1.2,1.2,IF(CT60&lt;1.4,1.4,IF(CT60&lt;1.6,1.6,IF(CT60&lt;1.8,1.8,IF(CT60&lt;2,2,2.2))))))))</f>
        <v>1.6</v>
      </c>
      <c r="FO60" s="23">
        <f>IF(CU60&lt;0.6,0.6,IF(CU60&lt;0.8,0.8,IF(CU60&lt;1,1,IF(CU60&lt;1.2,1.2,IF(CU60&lt;1.4,1.4,IF(CU60&lt;1.6,1.6,IF(CU60&lt;1.8,1.8,IF(CU60&lt;2,2,2.2))))))))</f>
        <v>1</v>
      </c>
      <c r="FP60" s="23">
        <f>IF(CZ60&lt;0.6,0.6,IF(CZ60&lt;0.8,0.8,IF(CZ60&lt;1,1,IF(CZ60&lt;1.2,1.2,IF(CZ60&lt;1.4,1.4,IF(CZ60&lt;1.6,1.6,IF(CZ60&lt;1.8,1.8,IF(CZ60&lt;2,2,2.2))))))))</f>
        <v>1.4</v>
      </c>
      <c r="FQ60" s="23">
        <f>IF(CW60&lt;0.6,0.6,IF(CW60&lt;0.8,0.8,IF(CW60&lt;1,1,IF(CW60&lt;1.2,1.2,IF(CW60&lt;1.4,1.4,IF(CW60&lt;1.6,1.6,IF(CW60&lt;1.8,1.8,IF(CW60&lt;2,2,2.2))))))))</f>
        <v>2.2000000000000002</v>
      </c>
      <c r="FR60" s="23">
        <f>IF(CX60&lt;0.6,0.6,IF(CX60&lt;0.8,0.8,IF(CX60&lt;1,1,IF(CX60&lt;1.2,1.2,IF(CX60&lt;1.4,1.4,IF(CX60&lt;1.6,1.6,IF(CX60&lt;1.8,1.8,IF(CX60&lt;2,2,2.2))))))))</f>
        <v>2.2000000000000002</v>
      </c>
      <c r="FS60" s="23">
        <f>IF(CY60&lt;0.6,0.6,IF(CY60&lt;0.8,0.8,IF(CY60&lt;1,1,IF(CY60&lt;1.2,1.2,IF(CY60&lt;1.4,1.4,IF(CY60&lt;1.6,1.6,IF(CY60&lt;1.8,1.8,IF(CY60&lt;2,2,2.2))))))))</f>
        <v>1.2</v>
      </c>
      <c r="FT60" s="23">
        <f>IF(FR60&lt;1,1,0)</f>
        <v>0</v>
      </c>
      <c r="FU60" s="23"/>
      <c r="GE60" s="4">
        <f>IF(R60&gt;=2.5*25.4,1,1.25)</f>
        <v>1</v>
      </c>
      <c r="GF60" s="4">
        <f>IF(AN60&gt;1, 0.05*(18-MIN(8,(V60+M60)/M60))*(1-48000/MAX(60000,(I60*145))*(M60/25.4)^0.75*GG60), 1/12*(14-MIN(8,(V60+M60)/M60)))</f>
        <v>0.5</v>
      </c>
      <c r="GG60" s="4">
        <f>MIN(0.3, AL60^2*PI()/4*2*AO60/(M60^2*PI()/4*W60))</f>
        <v>0</v>
      </c>
      <c r="GH60" s="4">
        <f>(J60/25.4)/(M60/25.4)^1.5/0.0024*(L60*145)^0.25/GE60/GF60/145</f>
        <v>583.21759390607554</v>
      </c>
    </row>
    <row r="61" spans="1:195" s="4" customFormat="1" ht="12" customHeight="1" x14ac:dyDescent="0.3">
      <c r="A61" s="25">
        <v>381</v>
      </c>
      <c r="B61" s="4" t="s">
        <v>605</v>
      </c>
      <c r="C61" s="4">
        <v>2016</v>
      </c>
      <c r="D61" s="4" t="s">
        <v>309</v>
      </c>
      <c r="E61" s="14" t="s">
        <v>547</v>
      </c>
      <c r="F61" s="14" t="s">
        <v>808</v>
      </c>
      <c r="G61" s="7" t="s">
        <v>548</v>
      </c>
      <c r="H61" s="5">
        <f t="shared" si="0"/>
        <v>0.77667098365419185</v>
      </c>
      <c r="I61" s="90">
        <f>135/0.145</f>
        <v>931.0344827586207</v>
      </c>
      <c r="J61" s="95">
        <f>16.56*25.4</f>
        <v>420.62399999999997</v>
      </c>
      <c r="K61" s="4">
        <f>J61</f>
        <v>420.62399999999997</v>
      </c>
      <c r="L61" s="44">
        <f>4050/145</f>
        <v>27.931034482758619</v>
      </c>
      <c r="M61" s="38">
        <f>1.41*25.4</f>
        <v>35.813999999999993</v>
      </c>
      <c r="N61" s="7">
        <f>J61/M61</f>
        <v>11.744680851063832</v>
      </c>
      <c r="O61" s="7">
        <f>K61/M61</f>
        <v>11.744680851063832</v>
      </c>
      <c r="P61" s="38">
        <f>21.9*25.4</f>
        <v>556.25999999999988</v>
      </c>
      <c r="Q61" s="32">
        <f>R61/M61</f>
        <v>1.7730496453900713</v>
      </c>
      <c r="R61" s="38">
        <f>2.5*25.4</f>
        <v>63.5</v>
      </c>
      <c r="S61" s="32">
        <f>T61/M61</f>
        <v>2.836879432624114</v>
      </c>
      <c r="T61" s="39">
        <f>4*25.4</f>
        <v>101.6</v>
      </c>
      <c r="U61" s="32">
        <f>V61/M61</f>
        <v>9.9858156028368779</v>
      </c>
      <c r="V61" s="7">
        <f>(P61-W61*M61-2*R61)/(W61-1)</f>
        <v>357.63199999999989</v>
      </c>
      <c r="W61" s="38">
        <v>2</v>
      </c>
      <c r="X61" s="122">
        <f>AM61</f>
        <v>0</v>
      </c>
      <c r="Y61" s="32">
        <f>Z61/M61</f>
        <v>14.18439716312057</v>
      </c>
      <c r="Z61" s="4">
        <f>20*25.4</f>
        <v>508</v>
      </c>
      <c r="AA61" s="7">
        <f>MIN(R61/M61+0.5, V61/2/M61+0.5)</f>
        <v>2.2730496453900715</v>
      </c>
      <c r="AB61" s="7">
        <f>R61/M61+0.5</f>
        <v>2.2730496453900715</v>
      </c>
      <c r="AC61" s="38">
        <v>3.8</v>
      </c>
      <c r="AD61" s="4">
        <f>AC61</f>
        <v>3.8</v>
      </c>
      <c r="AE61" s="4">
        <f>AD61+1</f>
        <v>4.8</v>
      </c>
      <c r="AF61" s="7">
        <f>M61*AE61^0.5</f>
        <v>78.464542697960056</v>
      </c>
      <c r="AI61" s="38">
        <f>AJ61/0.145</f>
        <v>431.0344827586207</v>
      </c>
      <c r="AJ61" s="4">
        <v>62.5</v>
      </c>
      <c r="AK61" s="4">
        <f>CX61</f>
        <v>2.5897616844173488</v>
      </c>
      <c r="AL61" s="38">
        <v>0</v>
      </c>
      <c r="AM61" s="38">
        <v>0</v>
      </c>
      <c r="AN61" s="39">
        <f>K61</f>
        <v>420.62399999999997</v>
      </c>
      <c r="AO61" s="39"/>
      <c r="AP61" s="39"/>
      <c r="AQ61" s="7"/>
      <c r="AR61" s="4">
        <f>J61</f>
        <v>420.62399999999997</v>
      </c>
      <c r="AS61" s="4">
        <f>IF(J61*3&gt;V61+M61, P61, (R61+M61/2)*2+1.5*J61*(2*W61-2))*(3*J61)/(9*J61^2)</f>
        <v>0.44082125603864725</v>
      </c>
      <c r="AT61" s="4">
        <f>MIN(10*L61^0.5*J61^1.5,100*3.9*L61^0.5*J61^(5/3))/(PI()/4*M61^2)/W61</f>
        <v>226.28671014164769</v>
      </c>
      <c r="AU61" s="4">
        <f>MIN(0.7+0.3*(MIN(R61,Z61)+0.5*M61)/1.5/J61,1)</f>
        <v>0.73870772946859897</v>
      </c>
      <c r="AV61" s="4">
        <v>1.25</v>
      </c>
      <c r="AW61" s="4">
        <f>AW60</f>
        <v>5</v>
      </c>
      <c r="AX61" s="38">
        <f>AS61*AU61*AV61*AW61*AT61</f>
        <v>460.54729602992347</v>
      </c>
      <c r="AY61" s="38">
        <f>AX61</f>
        <v>460.54729602992347</v>
      </c>
      <c r="AZ61" s="38">
        <f>IF(L61&lt;50, 0.3*L61^(2/3), 2.12*LN(1+0.1*(L61+8)))</f>
        <v>2.761717606769436</v>
      </c>
      <c r="BA61" s="38">
        <f>AW61* (L61^0.5/AR61^0.5)/(PI()/4*M61^2)/W61/0.72 *(0.7+(MIN(R61,Z61)+0.5*M61)/5/J61) *(3*P61*J61)</f>
        <v>460.54729602992359</v>
      </c>
      <c r="BB61" s="38">
        <f>AX61/BA61</f>
        <v>0.99999999999999978</v>
      </c>
      <c r="BC61" s="38">
        <f>BG61/BA61</f>
        <v>0.53745672241863207</v>
      </c>
      <c r="BD61" s="4">
        <f>IF(BC61&lt;1,1,0)</f>
        <v>1</v>
      </c>
      <c r="BE61" s="4">
        <f>K61/M61*L61^0.5/0.19</f>
        <v>326.68645582856072</v>
      </c>
      <c r="BF61" s="4">
        <f>MIN(0.6+0.4*(AB61/AA61),2)</f>
        <v>1</v>
      </c>
      <c r="BG61" s="38">
        <f>2*L61*AA61*AC61^0.5*BF61*0.7/0.7</f>
        <v>247.52424024300623</v>
      </c>
      <c r="BH61" s="4">
        <f>MAX(1-0.7*AD61/5,0.3)</f>
        <v>0.46800000000000008</v>
      </c>
      <c r="BI61" s="4">
        <f>BH61*I61*K61/(I61*M61/2.75/L61^0.5)</f>
        <v>79.884639043757986</v>
      </c>
      <c r="BJ61" s="4">
        <f>BG61+BI61</f>
        <v>327.4088792867642</v>
      </c>
      <c r="BL61" s="4">
        <f>MIN(1.5, 0.75+0.25*MIN(3,MAX(1,R61/M61))+0.4*MIN(1,(40*2*PI()*AL61^2/4/AN61/W61)/M61))</f>
        <v>1.1932624113475179</v>
      </c>
      <c r="BM61" s="4">
        <f>(3*O61+30)*BL61*L61^0.5</f>
        <v>411.390030865977</v>
      </c>
      <c r="BO61" s="4">
        <f>3.4/PI()^0.5*L61*AA61*AD61^0.5*BF61</f>
        <v>237.40601663515</v>
      </c>
      <c r="BP61" s="4">
        <f>8/3*AG61*AH61^2/(AF61-M61-22)/M61*(AF61^2-M61^2)/(AF61^2-(M61+22)^2)</f>
        <v>0</v>
      </c>
      <c r="BQ61" s="4">
        <f>BP61/BO61</f>
        <v>0</v>
      </c>
      <c r="BY61" s="4">
        <f>IF(V61=0,R61,MIN(V61/2,R61))</f>
        <v>63.5</v>
      </c>
      <c r="CC61" s="9"/>
      <c r="CE61" s="9"/>
      <c r="CF61" s="9"/>
      <c r="CG61" s="9">
        <f>IF(V61=0,MIN(R61,T61),MIN(V61/2,R61,T61))</f>
        <v>63.5</v>
      </c>
      <c r="CH61" s="9">
        <f>MAX(V61/2,R61)</f>
        <v>178.81599999999995</v>
      </c>
      <c r="CI61" s="9">
        <f>(CG61/M61)^0.5*(CH61/CG61)^0.15</f>
        <v>1.5552683910541685</v>
      </c>
      <c r="CJ61" s="70">
        <f>IF(AN61&gt;1,20,0)</f>
        <v>20</v>
      </c>
      <c r="CK61" s="9">
        <f>MIN(PI()*AL61^2/4*AM61*2/W61/M61/MAX(0.01,AN61),0.05)</f>
        <v>0</v>
      </c>
      <c r="CL61" s="9">
        <f>MAX(0,CJ61*(CK61-0.5/50))</f>
        <v>0</v>
      </c>
      <c r="CM61" s="9">
        <f>MIN(1,(25/M61)^0.3)</f>
        <v>0.89777220146327208</v>
      </c>
      <c r="CN61" s="9">
        <f>IF(I61&gt;=800,0.68,IF(I61&gt;=700,0.75-(I61-700)*0.07/100,IF(I61&gt;=600,0.85-(I61-600)*0.1/100,IF(I61&gt;=500,1-(I61-500)*0.15/100,1.2-(I61-400)*0.2/100))))</f>
        <v>0.68</v>
      </c>
      <c r="CO61" s="9">
        <f>1.75*CM61*CN61*(L61/25)^0.5</f>
        <v>1.129240956903802</v>
      </c>
      <c r="CP61" s="9">
        <f>MIN((CI61+CL61)*CO61,2.5*CO61,L61^0.5)</f>
        <v>1.7562727661562458</v>
      </c>
      <c r="CQ61" s="40">
        <v>1</v>
      </c>
      <c r="CR61" s="9">
        <f>4*CP61*O61+60*CP61</f>
        <v>187.88381847305541</v>
      </c>
      <c r="CT61" s="4">
        <f>AI61/BE61</f>
        <v>1.3194133857352812</v>
      </c>
      <c r="CU61" s="4">
        <f>AI61/BJ61</f>
        <v>1.3165021171618716</v>
      </c>
      <c r="CV61" s="4">
        <f>AI61/BM61</f>
        <v>1.0477514047953278</v>
      </c>
      <c r="CW61" s="4">
        <f>AI61/CR61</f>
        <v>2.2941543676388276</v>
      </c>
      <c r="CX61" s="4">
        <f>AI61/DY61</f>
        <v>2.5897616844173488</v>
      </c>
      <c r="CY61" s="4">
        <f>AI61/EK61</f>
        <v>1.0182198876788391</v>
      </c>
      <c r="CZ61" s="4">
        <f>AI61/GH61</f>
        <v>0.95053003455679075</v>
      </c>
      <c r="DA61" s="4">
        <f>AM61</f>
        <v>0</v>
      </c>
      <c r="DB61" s="4">
        <f>CT61</f>
        <v>1.3194133857352812</v>
      </c>
      <c r="DC61" s="4">
        <f>CU61</f>
        <v>1.3165021171618716</v>
      </c>
      <c r="DD61" s="4">
        <f>CW61</f>
        <v>2.2941543676388276</v>
      </c>
      <c r="DE61" s="4">
        <f>CZ61</f>
        <v>0.95053003455679075</v>
      </c>
      <c r="DF61" s="4">
        <f>CX61</f>
        <v>2.5897616844173488</v>
      </c>
      <c r="DG61" s="4">
        <f>CY61</f>
        <v>1.0182198876788391</v>
      </c>
      <c r="DP61" s="4">
        <f>K61</f>
        <v>420.62399999999997</v>
      </c>
      <c r="DS61" s="4">
        <f>J61/4/(1-0.3*(L61/30)^0.5)/200000/M61</f>
        <v>2.0661842577189241E-5</v>
      </c>
      <c r="DT61" s="4">
        <f>EO61</f>
        <v>5.5362830674967025</v>
      </c>
      <c r="DU61" s="4">
        <f>EB61*AF61/257/L61/AC61</f>
        <v>0</v>
      </c>
      <c r="DV61" s="4">
        <f>DT61*DU61^0.4</f>
        <v>0</v>
      </c>
      <c r="DW61" s="4">
        <f>MIN(DT61, DT61/1.4*(1-DU61^1.4)/(1-DU61))</f>
        <v>3.9544879053547879</v>
      </c>
      <c r="DX61" s="4">
        <f>MAX(DT61/2, (4-DS61*(8*AF61*(DV61-DW61)+6*J61*DW61))/(4+DS61*J61*DT61)*DT61)</f>
        <v>5.2586099277417091</v>
      </c>
      <c r="DY61" s="38">
        <f>MIN(1/M61*(4*AF61*(DV61-DW61)+(3*DW61+DX61)*J61)+EB61 -FI61,MAX(I61,AI61))</f>
        <v>166.43789478860714</v>
      </c>
      <c r="DZ61" s="4">
        <f>DY61/FE61</f>
        <v>0.88686655228964506</v>
      </c>
      <c r="EA61" s="4">
        <f>AF61/M61</f>
        <v>2.1908902300206643</v>
      </c>
      <c r="EB61" s="4">
        <f>MIN(EA$10*BA61)</f>
        <v>0</v>
      </c>
      <c r="EF61" s="4">
        <f>IF(T61&gt;1*M61,0.85,1)</f>
        <v>0.85</v>
      </c>
      <c r="EG61" s="4">
        <f>MIN(1,MAX(0.7,(1-0.1*(BY61-1*M61)/M61)))</f>
        <v>0.92269503546099285</v>
      </c>
      <c r="EH61" s="4">
        <f>MIN(1,MAX(0.7,1-0.3*(PI()*AL61^2/4*AP61*2-0.25*PI()/4*M61^2)/(PI()/4*M61^2)))</f>
        <v>1</v>
      </c>
      <c r="EI61" s="4">
        <f>IF(EG61*EH61&lt;0.7,0.7,EG61*EH61)</f>
        <v>0.92269503546099285</v>
      </c>
      <c r="EK61" s="4">
        <f>MIN(DT61/M61*3*J61+EL61-FI61,MAX(I61,AI61))</f>
        <v>423.32161056215301</v>
      </c>
      <c r="EL61" s="25">
        <f>13.3*P61*J61^0.5*L61^0.5/W61/M61^2*(0.7+R61/5/J61)</f>
        <v>228.25597737546067</v>
      </c>
      <c r="EN61" s="4">
        <f>EF61*EI61</f>
        <v>0.78429078014184395</v>
      </c>
      <c r="EO61" s="4">
        <f>IF(M61&lt;22.2,1.1*5*(L61/30)^0.5,IF(M61&gt;=31.8,0.9*5*(L61/30)^0.5,1*5*(L61/30)^0.5))/EF61/EI61</f>
        <v>5.5362830674967025</v>
      </c>
      <c r="ER61" s="4">
        <f>ES61*M61</f>
        <v>78.464542697960056</v>
      </c>
      <c r="ES61" s="4">
        <f>AE61^0.5</f>
        <v>2.1908902300206643</v>
      </c>
      <c r="ET61" s="4">
        <f>MIN(EB61)/(4700*L61^0.5)/AD61*ER61</f>
        <v>0</v>
      </c>
      <c r="EW61" s="4">
        <f>ET61</f>
        <v>0</v>
      </c>
      <c r="EX61" s="4">
        <f>MIN(0.999, EW61/(0.3*(L61/30)^0.5))</f>
        <v>0</v>
      </c>
      <c r="EY61" s="4">
        <f>EO61/1*EX61^0.4</f>
        <v>0</v>
      </c>
      <c r="EZ61" s="4">
        <f>EO61/1.4*(1-EX61^1.4)/(1-EX61)</f>
        <v>3.9544879053547879</v>
      </c>
      <c r="FA61" s="4">
        <f>MAX(0,DP61*FA$9-ER61)</f>
        <v>0</v>
      </c>
      <c r="FB61" s="4">
        <f>MAX(0,DP61-ER61-FA61)</f>
        <v>342.15945730203993</v>
      </c>
      <c r="FC61" s="4">
        <f>FB61/(1-0.3*(L61/30)^0.5)/200000/M61</f>
        <v>6.7230066216585402E-5</v>
      </c>
      <c r="FD61" s="4">
        <f>MAX(0.5*EO61, (1-2*FC61*(ER61*EY61+FA61*EZ61))/(1/EO61+FC61*FB61))</f>
        <v>4.9108676225710761</v>
      </c>
      <c r="FE61" s="4">
        <f>MIN(4/M61*(1*EY61*ER61+EZ61*FA61+FB61*FD61)+EB61,MAX(I61,AI61))</f>
        <v>187.66960413481641</v>
      </c>
      <c r="FN61" s="23">
        <f>IF(CT61&lt;0.6,0.6,IF(CT61&lt;0.8,0.8,IF(CT61&lt;1,1,IF(CT61&lt;1.2,1.2,IF(CT61&lt;1.4,1.4,IF(CT61&lt;1.6,1.6,IF(CT61&lt;1.8,1.8,IF(CT61&lt;2,2,2.2))))))))</f>
        <v>1.4</v>
      </c>
      <c r="FO61" s="23">
        <f>IF(CU61&lt;0.6,0.6,IF(CU61&lt;0.8,0.8,IF(CU61&lt;1,1,IF(CU61&lt;1.2,1.2,IF(CU61&lt;1.4,1.4,IF(CU61&lt;1.6,1.6,IF(CU61&lt;1.8,1.8,IF(CU61&lt;2,2,2.2))))))))</f>
        <v>1.4</v>
      </c>
      <c r="FP61" s="23">
        <f>IF(CZ61&lt;0.6,0.6,IF(CZ61&lt;0.8,0.8,IF(CZ61&lt;1,1,IF(CZ61&lt;1.2,1.2,IF(CZ61&lt;1.4,1.4,IF(CZ61&lt;1.6,1.6,IF(CZ61&lt;1.8,1.8,IF(CZ61&lt;2,2,2.2))))))))</f>
        <v>1</v>
      </c>
      <c r="FQ61" s="23">
        <f>IF(CW61&lt;0.6,0.6,IF(CW61&lt;0.8,0.8,IF(CW61&lt;1,1,IF(CW61&lt;1.2,1.2,IF(CW61&lt;1.4,1.4,IF(CW61&lt;1.6,1.6,IF(CW61&lt;1.8,1.8,IF(CW61&lt;2,2,2.2))))))))</f>
        <v>2.2000000000000002</v>
      </c>
      <c r="FR61" s="23">
        <f>IF(CX61&lt;0.6,0.6,IF(CX61&lt;0.8,0.8,IF(CX61&lt;1,1,IF(CX61&lt;1.2,1.2,IF(CX61&lt;1.4,1.4,IF(CX61&lt;1.6,1.6,IF(CX61&lt;1.8,1.8,IF(CX61&lt;2,2,2.2))))))))</f>
        <v>2.2000000000000002</v>
      </c>
      <c r="FS61" s="23">
        <f>IF(CY61&lt;0.6,0.6,IF(CY61&lt;0.8,0.8,IF(CY61&lt;1,1,IF(CY61&lt;1.2,1.2,IF(CY61&lt;1.4,1.4,IF(CY61&lt;1.6,1.6,IF(CY61&lt;1.8,1.8,IF(CY61&lt;2,2,2.2))))))))</f>
        <v>1.2</v>
      </c>
      <c r="FT61" s="23">
        <f>IF(FR61&lt;1,1,0)</f>
        <v>0</v>
      </c>
      <c r="FU61" s="23"/>
      <c r="GE61" s="4">
        <f>IF(R61&gt;=2.5*25.4,1,1.25)</f>
        <v>1</v>
      </c>
      <c r="GF61" s="4">
        <f>IF(AN61&gt;1, 0.05*(18-MIN(8,(V61+M61)/M61))*(1-48000/MAX(60000,(I61*145))*(M61/25.4)^0.75*GG61), 1/12*(14-MIN(8,(V61+M61)/M61)))</f>
        <v>0.5</v>
      </c>
      <c r="GG61" s="4">
        <f>MIN(0.3, AL61^2*PI()/4*2*AO61/(M61^2*PI()/4*W61))</f>
        <v>0</v>
      </c>
      <c r="GH61" s="4">
        <f>(J61/25.4)/(M61/25.4)^1.5/0.0024*(L61*145)^0.25/GE61/GF61/145</f>
        <v>453.46750453772006</v>
      </c>
    </row>
    <row r="62" spans="1:195" s="4" customFormat="1" ht="12" customHeight="1" x14ac:dyDescent="0.3">
      <c r="A62" s="25">
        <v>383</v>
      </c>
      <c r="B62" s="4" t="s">
        <v>605</v>
      </c>
      <c r="C62" s="4">
        <v>2016</v>
      </c>
      <c r="D62" s="4" t="s">
        <v>309</v>
      </c>
      <c r="E62" s="14" t="s">
        <v>675</v>
      </c>
      <c r="F62" s="14" t="s">
        <v>808</v>
      </c>
      <c r="G62" s="7" t="s">
        <v>550</v>
      </c>
      <c r="H62" s="5">
        <f t="shared" si="0"/>
        <v>0.77667098365419185</v>
      </c>
      <c r="I62" s="90">
        <f>135/0.145</f>
        <v>931.0344827586207</v>
      </c>
      <c r="J62" s="95">
        <f>16.72*25.4</f>
        <v>424.68799999999993</v>
      </c>
      <c r="K62" s="4">
        <f>J62</f>
        <v>424.68799999999993</v>
      </c>
      <c r="L62" s="44">
        <f>4050/145</f>
        <v>27.931034482758619</v>
      </c>
      <c r="M62" s="38">
        <f>1.41*25.4</f>
        <v>35.813999999999993</v>
      </c>
      <c r="N62" s="7">
        <f>J62/M62</f>
        <v>11.858156028368795</v>
      </c>
      <c r="O62" s="7">
        <f>K62/M62</f>
        <v>11.858156028368795</v>
      </c>
      <c r="P62" s="38">
        <f>21.4*25.4</f>
        <v>543.55999999999995</v>
      </c>
      <c r="Q62" s="32">
        <f>R62/M62</f>
        <v>1.7730496453900713</v>
      </c>
      <c r="R62" s="38">
        <f>2.5*25.4</f>
        <v>63.5</v>
      </c>
      <c r="S62" s="32">
        <f>T62/M62</f>
        <v>2.6950354609929081</v>
      </c>
      <c r="T62" s="39">
        <f>3.8*25.4</f>
        <v>96.52</v>
      </c>
      <c r="U62" s="32">
        <f>V62/M62</f>
        <v>9.6312056737588652</v>
      </c>
      <c r="V62" s="7">
        <f>(P62-W62*M62-2*R62)/(W62-1)</f>
        <v>344.93199999999996</v>
      </c>
      <c r="W62" s="38">
        <v>2</v>
      </c>
      <c r="X62" s="122">
        <f>AM62</f>
        <v>12</v>
      </c>
      <c r="Y62" s="32">
        <f>Z62/M62</f>
        <v>14.18439716312057</v>
      </c>
      <c r="Z62" s="4">
        <f>20*25.4</f>
        <v>508</v>
      </c>
      <c r="AA62" s="7">
        <f>MIN(R62/M62+0.5, V62/2/M62+0.5)</f>
        <v>2.2730496453900715</v>
      </c>
      <c r="AB62" s="7">
        <f>R62/M62+0.5</f>
        <v>2.2730496453900715</v>
      </c>
      <c r="AC62" s="38">
        <v>3.8</v>
      </c>
      <c r="AD62" s="4">
        <f>AC62</f>
        <v>3.8</v>
      </c>
      <c r="AE62" s="4">
        <f>AD62+1</f>
        <v>4.8</v>
      </c>
      <c r="AF62" s="7">
        <f>M62*AE62^0.5</f>
        <v>78.464542697960056</v>
      </c>
      <c r="AI62" s="38">
        <f>AJ62/0.145</f>
        <v>513.79310344827593</v>
      </c>
      <c r="AJ62" s="4">
        <v>74.5</v>
      </c>
      <c r="AK62" s="4">
        <f>CX62</f>
        <v>2.8255541517711986</v>
      </c>
      <c r="AL62" s="38">
        <f>0.5*25.4</f>
        <v>12.7</v>
      </c>
      <c r="AM62" s="38">
        <v>12</v>
      </c>
      <c r="AN62" s="39">
        <f>4*25.4</f>
        <v>101.6</v>
      </c>
      <c r="AO62" s="39">
        <v>4</v>
      </c>
      <c r="AP62" s="39">
        <v>2</v>
      </c>
      <c r="AQ62" s="7"/>
      <c r="AR62" s="4">
        <f>J62</f>
        <v>424.68799999999993</v>
      </c>
      <c r="AS62" s="4">
        <f>IF(J62*3&gt;V62+M62, P62, (R62+M62/2)*2+1.5*J62*(2*W62-2))*(3*J62)/(9*J62^2)</f>
        <v>0.42663476874003192</v>
      </c>
      <c r="AT62" s="4">
        <f>MIN(10*L62^0.5*J62^1.5,100*3.9*L62^0.5*J62^(5/3))/(PI()/4*M62^2)/W62</f>
        <v>229.5741365097727</v>
      </c>
      <c r="AU62" s="4">
        <f>MIN(0.7+0.3*(MIN(R62,Z62)+0.5*M62)/1.5/J62,1)</f>
        <v>0.73833732057416268</v>
      </c>
      <c r="AV62" s="4">
        <v>1.25</v>
      </c>
      <c r="AW62" s="4">
        <f>AW61</f>
        <v>5</v>
      </c>
      <c r="AX62" s="38">
        <f>AS62*AU62*AV62*AW62*AT62</f>
        <v>451.97461503542496</v>
      </c>
      <c r="AY62" s="38">
        <f>AX62</f>
        <v>451.97461503542496</v>
      </c>
      <c r="AZ62" s="38">
        <f>IF(L62&lt;50, 0.3*L62^(2/3), 2.12*LN(1+0.1*(L62+8)))</f>
        <v>2.761717606769436</v>
      </c>
      <c r="BA62" s="38">
        <f>AW62* (L62^0.5/AR62^0.5)/(PI()/4*M62^2)/W62/0.72 *(0.7+(MIN(R62,Z62)+0.5*M62)/5/J62) *(3*P62*J62)</f>
        <v>451.97461503542496</v>
      </c>
      <c r="BB62" s="38">
        <f>AX62/BA62</f>
        <v>1</v>
      </c>
      <c r="BC62" s="38">
        <f>BG62/BA62</f>
        <v>0.54765075738513702</v>
      </c>
      <c r="BD62" s="4">
        <f>IF(BC62&lt;1,1,0)</f>
        <v>1</v>
      </c>
      <c r="BE62" s="4">
        <f>K62/M62*L62^0.5/0.19</f>
        <v>329.84284670613135</v>
      </c>
      <c r="BF62" s="4">
        <f>MIN(0.6+0.4*(AB62/AA62),2)</f>
        <v>1</v>
      </c>
      <c r="BG62" s="38">
        <f>2*L62*AA62*AC62^0.5*BF62*0.7/0.7</f>
        <v>247.52424024300623</v>
      </c>
      <c r="BH62" s="4">
        <f>MAX(1-0.7*AD62/5,0.3)</f>
        <v>0.46800000000000008</v>
      </c>
      <c r="BI62" s="4">
        <f>BH62*I62*K62/(I62*M62/2.75/L62^0.5)</f>
        <v>80.656471305050331</v>
      </c>
      <c r="BJ62" s="4">
        <f>BG62+BI62</f>
        <v>328.18071154805659</v>
      </c>
      <c r="BL62" s="4">
        <f>MIN(1.5, 0.75+0.25*MIN(3,MAX(1,R62/M62))+0.4*MIN(1,(40*2*PI()*AL62^2/4/AN62/W62)/M62))</f>
        <v>1.5</v>
      </c>
      <c r="BM62" s="4">
        <f>(3*O62+30)*BL62*L62^0.5</f>
        <v>519.83982283719729</v>
      </c>
      <c r="BO62" s="4">
        <f>3.4/PI()^0.5*L62*AA62*AD62^0.5*BF62</f>
        <v>237.40601663515</v>
      </c>
      <c r="BP62" s="4">
        <f>8/3*AG62*AH62^2/(AF62-M62-22)/M62*(AF62^2-M62^2)/(AF62^2-(M62+22)^2)</f>
        <v>0</v>
      </c>
      <c r="BQ62" s="4">
        <f>BP62/BO62</f>
        <v>0</v>
      </c>
      <c r="BY62" s="4">
        <f>IF(V62=0,R62,MIN(V62/2,R62))</f>
        <v>63.5</v>
      </c>
      <c r="CC62" s="9"/>
      <c r="CE62" s="9"/>
      <c r="CF62" s="9"/>
      <c r="CG62" s="9">
        <f>IF(V62=0,MIN(R62,T62),MIN(V62/2,R62,T62))</f>
        <v>63.5</v>
      </c>
      <c r="CH62" s="9">
        <f>MAX(V62/2,R62)</f>
        <v>172.46599999999998</v>
      </c>
      <c r="CI62" s="9">
        <f>(CG62/M62)^0.5*(CH62/CG62)^0.15</f>
        <v>1.5468560948614203</v>
      </c>
      <c r="CJ62" s="70">
        <f>IF(AN62&gt;1,20,0)</f>
        <v>20</v>
      </c>
      <c r="CK62" s="9">
        <f>MIN(PI()*AL62^2/4*AM62*2/W62/M62/MAX(0.01,AN62),0.05)</f>
        <v>0.05</v>
      </c>
      <c r="CL62" s="9">
        <f>MAX(0,CJ62*(CK62-0.5/50))</f>
        <v>0.8</v>
      </c>
      <c r="CM62" s="9">
        <f>MIN(1,(25/M62)^0.3)</f>
        <v>0.89777220146327208</v>
      </c>
      <c r="CN62" s="9">
        <f>IF(I62&gt;=800,0.68,IF(I62&gt;=700,0.75-(I62-700)*0.07/100,IF(I62&gt;=600,0.85-(I62-600)*0.1/100,IF(I62&gt;=500,1-(I62-500)*0.15/100,1.2-(I62-400)*0.2/100))))</f>
        <v>0.68</v>
      </c>
      <c r="CO62" s="9">
        <f>1.75*CM62*CN62*(L62/25)^0.5</f>
        <v>1.129240956903802</v>
      </c>
      <c r="CP62" s="9">
        <f>MIN((CI62+CL62)*CO62,2.5*CO62,L62^0.5)</f>
        <v>2.6501660222768302</v>
      </c>
      <c r="CQ62" s="40">
        <v>1</v>
      </c>
      <c r="CR62" s="9">
        <f>4*CP62*O62+60*CP62</f>
        <v>284.71429010957036</v>
      </c>
      <c r="CT62" s="4">
        <f>AI62/BE62</f>
        <v>1.5576906050232835</v>
      </c>
      <c r="CU62" s="4">
        <f>AI62/BJ62</f>
        <v>1.5655798326009769</v>
      </c>
      <c r="CV62" s="4">
        <f>AI62/BM62</f>
        <v>0.98836811047695539</v>
      </c>
      <c r="CW62" s="4">
        <f>AI62/CR62</f>
        <v>1.8045919059789592</v>
      </c>
      <c r="CX62" s="4">
        <f>AI62/DY62</f>
        <v>2.8255541517711986</v>
      </c>
      <c r="CY62" s="4">
        <f>AI62/EK62</f>
        <v>1.1753055919076683</v>
      </c>
      <c r="CZ62" s="4">
        <f>AI62/GH62</f>
        <v>0.9673044426554136</v>
      </c>
      <c r="DA62" s="4">
        <f>AM62</f>
        <v>12</v>
      </c>
      <c r="DH62" s="4">
        <f>CT62</f>
        <v>1.5576906050232835</v>
      </c>
      <c r="DI62" s="4">
        <f>CU62</f>
        <v>1.5655798326009769</v>
      </c>
      <c r="DJ62" s="4">
        <f>CW62</f>
        <v>1.8045919059789592</v>
      </c>
      <c r="DK62" s="4">
        <f>CZ62</f>
        <v>0.9673044426554136</v>
      </c>
      <c r="DL62" s="4">
        <f>CX62</f>
        <v>2.8255541517711986</v>
      </c>
      <c r="DM62" s="4">
        <f>CY62</f>
        <v>1.1753055919076683</v>
      </c>
      <c r="DP62" s="4">
        <f>K62</f>
        <v>424.68799999999993</v>
      </c>
      <c r="DS62" s="4">
        <f>J62/4/(1-0.3*(L62/30)^0.5)/200000/M62</f>
        <v>2.0861473906437448E-5</v>
      </c>
      <c r="DT62" s="4">
        <f>EO62</f>
        <v>5.9909859754492585</v>
      </c>
      <c r="DU62" s="4">
        <f>EB62*AF62/257/L62/AC62</f>
        <v>0</v>
      </c>
      <c r="DV62" s="4">
        <f>DT62*DU62^0.4</f>
        <v>0</v>
      </c>
      <c r="DW62" s="4">
        <f>MIN(DT62, DT62/1.4*(1-DU62^1.4)/(1-DU62))</f>
        <v>4.2792756967494707</v>
      </c>
      <c r="DX62" s="4">
        <f>MAX(DT62/2, (4-DS62*(8*AF62*(DV62-DW62)+6*J62*DW62))/(4+DS62*J62*DT62)*DT62)</f>
        <v>5.6591203565981445</v>
      </c>
      <c r="DY62" s="38">
        <f>MIN(1/M62*(4*AF62*(DV62-DW62)+(3*DW62+DX62)*J62)+EB62 -FI62,MAX(I62,AI62))</f>
        <v>181.83799561095111</v>
      </c>
      <c r="DZ62" s="4">
        <f>DY62/FE62</f>
        <v>0.89567152694989882</v>
      </c>
      <c r="EA62" s="4">
        <f>AF62/M62</f>
        <v>2.1908902300206643</v>
      </c>
      <c r="EB62" s="4">
        <f>MIN(EA$10*BA62)</f>
        <v>0</v>
      </c>
      <c r="EF62" s="4">
        <f>IF(T62&gt;1*M62,0.85,1)</f>
        <v>0.85</v>
      </c>
      <c r="EG62" s="4">
        <f>MIN(1,MAX(0.7,(1-0.1*(BY62-1*M62)/M62)))</f>
        <v>0.92269503546099285</v>
      </c>
      <c r="EH62" s="4">
        <f>MIN(1,MAX(0.7,1-0.3*(PI()*AL62^2/4*AP62*2-0.25*PI()/4*M62^2)/(PI()/4*M62^2)))</f>
        <v>0.92410215783914285</v>
      </c>
      <c r="EI62" s="4">
        <f>IF(EG62*EH62&lt;0.7,0.7,EG62*EH62)</f>
        <v>0.85266447329696793</v>
      </c>
      <c r="EK62" s="4">
        <f>MIN(DT62/M62*3*J62+EL62-FI62,MAX(I62,AI62))</f>
        <v>437.15703131670239</v>
      </c>
      <c r="EL62" s="25">
        <f>13.3*P62*J62^0.5*L62^0.5/W62/M62^2*(0.7+R62/5/J62)</f>
        <v>224.03089193476285</v>
      </c>
      <c r="EN62" s="4">
        <f>EF62*EI62</f>
        <v>0.72476480230242268</v>
      </c>
      <c r="EO62" s="4">
        <f>IF(M62&lt;22.2,1.1*5*(L62/30)^0.5,IF(M62&gt;=31.8,0.9*5*(L62/30)^0.5,1*5*(L62/30)^0.5))/EF62/EI62</f>
        <v>5.9909859754492585</v>
      </c>
      <c r="ER62" s="4">
        <f>ES62*M62</f>
        <v>78.464542697960056</v>
      </c>
      <c r="ES62" s="4">
        <f>AE62^0.5</f>
        <v>2.1908902300206643</v>
      </c>
      <c r="ET62" s="4">
        <f>MIN(EB62)/(4700*L62^0.5)/AD62*ER62</f>
        <v>0</v>
      </c>
      <c r="EW62" s="4">
        <f>ET62</f>
        <v>0</v>
      </c>
      <c r="EX62" s="4">
        <f>MIN(0.999, EW62/(0.3*(L62/30)^0.5))</f>
        <v>0</v>
      </c>
      <c r="EY62" s="4">
        <f>EO62/1*EX62^0.4</f>
        <v>0</v>
      </c>
      <c r="EZ62" s="4">
        <f>EO62/1.4*(1-EX62^1.4)/(1-EX62)</f>
        <v>4.2792756967494707</v>
      </c>
      <c r="FA62" s="4">
        <f>MAX(0,DP62*FA$9-ER62)</f>
        <v>0</v>
      </c>
      <c r="FB62" s="4">
        <f>MAX(0,DP62-ER62-FA62)</f>
        <v>346.22345730203989</v>
      </c>
      <c r="FC62" s="4">
        <f>FB62/(1-0.3*(L62/30)^0.5)/200000/M62</f>
        <v>6.8028591533578203E-5</v>
      </c>
      <c r="FD62" s="4">
        <f>MAX(0.5*EO62, (1-2*FC62*(ER62*EY62+FA62*EZ62))/(1/EO62+FC62*FB62))</f>
        <v>5.2501561006407282</v>
      </c>
      <c r="FE62" s="4">
        <f>MIN(4/M62*(1*EY62*ER62+EZ62*FA62+FB62*FD62)+EB62,MAX(I62,AI62))</f>
        <v>203.0186180308516</v>
      </c>
      <c r="FN62" s="23">
        <f>IF(CT62&lt;0.6,0.6,IF(CT62&lt;0.8,0.8,IF(CT62&lt;1,1,IF(CT62&lt;1.2,1.2,IF(CT62&lt;1.4,1.4,IF(CT62&lt;1.6,1.6,IF(CT62&lt;1.8,1.8,IF(CT62&lt;2,2,2.2))))))))</f>
        <v>1.6</v>
      </c>
      <c r="FO62" s="23">
        <f>IF(CU62&lt;0.6,0.6,IF(CU62&lt;0.8,0.8,IF(CU62&lt;1,1,IF(CU62&lt;1.2,1.2,IF(CU62&lt;1.4,1.4,IF(CU62&lt;1.6,1.6,IF(CU62&lt;1.8,1.8,IF(CU62&lt;2,2,2.2))))))))</f>
        <v>1.6</v>
      </c>
      <c r="FP62" s="23">
        <f>IF(CZ62&lt;0.6,0.6,IF(CZ62&lt;0.8,0.8,IF(CZ62&lt;1,1,IF(CZ62&lt;1.2,1.2,IF(CZ62&lt;1.4,1.4,IF(CZ62&lt;1.6,1.6,IF(CZ62&lt;1.8,1.8,IF(CZ62&lt;2,2,2.2))))))))</f>
        <v>1</v>
      </c>
      <c r="FQ62" s="23">
        <f>IF(CW62&lt;0.6,0.6,IF(CW62&lt;0.8,0.8,IF(CW62&lt;1,1,IF(CW62&lt;1.2,1.2,IF(CW62&lt;1.4,1.4,IF(CW62&lt;1.6,1.6,IF(CW62&lt;1.8,1.8,IF(CW62&lt;2,2,2.2))))))))</f>
        <v>2</v>
      </c>
      <c r="FR62" s="23">
        <f>IF(CX62&lt;0.6,0.6,IF(CX62&lt;0.8,0.8,IF(CX62&lt;1,1,IF(CX62&lt;1.2,1.2,IF(CX62&lt;1.4,1.4,IF(CX62&lt;1.6,1.6,IF(CX62&lt;1.8,1.8,IF(CX62&lt;2,2,2.2))))))))</f>
        <v>2.2000000000000002</v>
      </c>
      <c r="FS62" s="23">
        <f>IF(CY62&lt;0.6,0.6,IF(CY62&lt;0.8,0.8,IF(CY62&lt;1,1,IF(CY62&lt;1.2,1.2,IF(CY62&lt;1.4,1.4,IF(CY62&lt;1.6,1.6,IF(CY62&lt;1.8,1.8,IF(CY62&lt;2,2,2.2))))))))</f>
        <v>1.2</v>
      </c>
      <c r="FT62" s="23">
        <f>IF(FR62&lt;1,1,0)</f>
        <v>0</v>
      </c>
      <c r="FU62" s="23"/>
      <c r="GE62" s="4">
        <f>IF(R62&gt;=2.5*25.4,1,1.25)</f>
        <v>1</v>
      </c>
      <c r="GF62" s="4">
        <f>IF(AN62&gt;1, 0.05*(18-MIN(8,(V62+M62)/M62))*(1-48000/MAX(60000,(I62*145))*(M62/25.4)^0.75*GG62), 1/12*(14-MIN(8,(V62+M62)/M62)))</f>
        <v>0.43098983553339404</v>
      </c>
      <c r="GG62" s="4">
        <f>MIN(0.3, AL62^2*PI()/4*2*AO62/(M62^2*PI()/4*W62))</f>
        <v>0.3</v>
      </c>
      <c r="GH62" s="4">
        <f>(J62/25.4)/(M62/25.4)^1.5/0.0024*(L62*145)^0.25/GE62/GF62/145</f>
        <v>531.15966472543778</v>
      </c>
    </row>
    <row r="63" spans="1:195" s="4" customFormat="1" ht="12" customHeight="1" x14ac:dyDescent="0.3">
      <c r="A63" s="25">
        <v>382</v>
      </c>
      <c r="B63" s="4" t="s">
        <v>605</v>
      </c>
      <c r="C63" s="4">
        <v>2016</v>
      </c>
      <c r="D63" s="4" t="s">
        <v>309</v>
      </c>
      <c r="E63" s="14" t="s">
        <v>547</v>
      </c>
      <c r="F63" s="14" t="s">
        <v>808</v>
      </c>
      <c r="G63" s="7" t="s">
        <v>549</v>
      </c>
      <c r="H63" s="5">
        <f t="shared" si="0"/>
        <v>0.77667098365419185</v>
      </c>
      <c r="I63" s="90">
        <f>135/0.145</f>
        <v>931.0344827586207</v>
      </c>
      <c r="J63" s="95">
        <f>17.44*25.4</f>
        <v>442.976</v>
      </c>
      <c r="K63" s="4">
        <f>J63</f>
        <v>442.976</v>
      </c>
      <c r="L63" s="44">
        <f>4050/145</f>
        <v>27.931034482758619</v>
      </c>
      <c r="M63" s="38">
        <f>1.41*25.4</f>
        <v>35.813999999999993</v>
      </c>
      <c r="N63" s="7">
        <f>J63/M63</f>
        <v>12.368794326241137</v>
      </c>
      <c r="O63" s="7">
        <f>K63/M63</f>
        <v>12.368794326241137</v>
      </c>
      <c r="P63" s="38">
        <f>21.7*25.4</f>
        <v>551.17999999999995</v>
      </c>
      <c r="Q63" s="32">
        <f>R63/M63</f>
        <v>1.843971631205674</v>
      </c>
      <c r="R63" s="38">
        <f>2.6*25.4</f>
        <v>66.039999999999992</v>
      </c>
      <c r="S63" s="32">
        <f>T63/M63</f>
        <v>2.1276595744680851</v>
      </c>
      <c r="T63" s="39">
        <f>3*25.4</f>
        <v>76.199999999999989</v>
      </c>
      <c r="U63" s="32">
        <f>V63/M63</f>
        <v>9.7021276595744688</v>
      </c>
      <c r="V63" s="7">
        <f>(P63-W63*M63-2*R63)/(W63-1)</f>
        <v>347.47199999999998</v>
      </c>
      <c r="W63" s="38">
        <v>2</v>
      </c>
      <c r="X63" s="122">
        <f>AM63</f>
        <v>4</v>
      </c>
      <c r="Y63" s="32">
        <f>Z63/M63</f>
        <v>14.18439716312057</v>
      </c>
      <c r="Z63" s="4">
        <f>20*25.4</f>
        <v>508</v>
      </c>
      <c r="AA63" s="7">
        <f>MIN(R63/M63+0.5, V63/2/M63+0.5)</f>
        <v>2.3439716312056742</v>
      </c>
      <c r="AB63" s="7">
        <f>R63/M63+0.5</f>
        <v>2.3439716312056742</v>
      </c>
      <c r="AC63" s="38">
        <v>3.8</v>
      </c>
      <c r="AD63" s="4">
        <f>AC63</f>
        <v>3.8</v>
      </c>
      <c r="AE63" s="4">
        <f>AD63+1</f>
        <v>4.8</v>
      </c>
      <c r="AF63" s="7">
        <f>M63*AE63^0.5</f>
        <v>78.464542697960056</v>
      </c>
      <c r="AI63" s="38">
        <f>AJ63/0.145</f>
        <v>522.75862068965523</v>
      </c>
      <c r="AJ63" s="4">
        <v>75.8</v>
      </c>
      <c r="AK63" s="4">
        <f>CX63</f>
        <v>2.9348174832676466</v>
      </c>
      <c r="AL63" s="38">
        <f>0.5*25.4</f>
        <v>12.7</v>
      </c>
      <c r="AM63" s="38">
        <v>4</v>
      </c>
      <c r="AN63" s="39">
        <f>8*25.4</f>
        <v>203.2</v>
      </c>
      <c r="AO63" s="39">
        <v>2</v>
      </c>
      <c r="AP63" s="39">
        <f>AO63-1</f>
        <v>1</v>
      </c>
      <c r="AQ63" s="7"/>
      <c r="AR63" s="4">
        <f>J63</f>
        <v>442.976</v>
      </c>
      <c r="AS63" s="4">
        <f>IF(J63*3&gt;V63+M63, P63, (R63+M63/2)*2+1.5*J63*(2*W63-2))*(3*J63)/(9*J63^2)</f>
        <v>0.4147553516819571</v>
      </c>
      <c r="AT63" s="4">
        <f>MIN(10*L63^0.5*J63^1.5,100*3.9*L63^0.5*J63^(5/3))/(PI()/4*M63^2)/W63</f>
        <v>244.56160209111823</v>
      </c>
      <c r="AU63" s="4">
        <f>MIN(0.7+0.3*(MIN(R63,Z63)+0.5*M63)/1.5/J63,1)</f>
        <v>0.73790137614678897</v>
      </c>
      <c r="AV63" s="4">
        <v>1.25</v>
      </c>
      <c r="AW63" s="4">
        <f>AW62</f>
        <v>5</v>
      </c>
      <c r="AX63" s="38">
        <f>AS63*AU63*AV63*AW63*AT63</f>
        <v>467.79826516684346</v>
      </c>
      <c r="AY63" s="38">
        <f>AX63</f>
        <v>467.79826516684346</v>
      </c>
      <c r="AZ63" s="38">
        <f>IF(L63&lt;50, 0.3*L63^(2/3), 2.12*LN(1+0.1*(L63+8)))</f>
        <v>2.761717606769436</v>
      </c>
      <c r="BA63" s="38">
        <f>AW63* (L63^0.5/AR63^0.5)/(PI()/4*M63^2)/W63/0.72 *(0.7+(MIN(R63,Z63)+0.5*M63)/5/J63) *(3*P63*J63)</f>
        <v>467.79826516684369</v>
      </c>
      <c r="BB63" s="38">
        <f>AX63/BA63</f>
        <v>0.99999999999999956</v>
      </c>
      <c r="BC63" s="38">
        <f>BG63/BA63</f>
        <v>0.54563542549727262</v>
      </c>
      <c r="BD63" s="4">
        <f>IF(BC63&lt;1,1,0)</f>
        <v>1</v>
      </c>
      <c r="BE63" s="4">
        <f>K63/M63*L63^0.5/0.19</f>
        <v>344.04660565519924</v>
      </c>
      <c r="BF63" s="4">
        <f>MIN(0.6+0.4*(AB63/AA63),2)</f>
        <v>1</v>
      </c>
      <c r="BG63" s="38">
        <f>2*L63*AA63*AC63^0.5*BF63*0.7/0.7</f>
        <v>255.24730546119673</v>
      </c>
      <c r="BH63" s="4">
        <f>MAX(1-0.7*AD63/5,0.3)</f>
        <v>0.46800000000000008</v>
      </c>
      <c r="BI63" s="4">
        <f>BH63*I63*K63/(I63*M63/2.75/L63^0.5)</f>
        <v>84.129716480865909</v>
      </c>
      <c r="BJ63" s="4">
        <f>BG63+BI63</f>
        <v>339.37702194206264</v>
      </c>
      <c r="BL63" s="4">
        <f>MIN(1.5, 0.75+0.25*MIN(3,MAX(1,R63/M63))+0.4*MIN(1,(40*2*PI()*AL63^2/4/AN63/W63)/M63))</f>
        <v>1.4895028948217903</v>
      </c>
      <c r="BM63" s="4">
        <f>(3*O63+30)*BL63*L63^0.5</f>
        <v>528.26117514746761</v>
      </c>
      <c r="BO63" s="4">
        <f>3.4/PI()^0.5*L63*AA63*AD63^0.5*BF63</f>
        <v>244.81338064872722</v>
      </c>
      <c r="BP63" s="4">
        <f>8/3*AG63*AH63^2/(AF63-M63-22)/M63*(AF63^2-M63^2)/(AF63^2-(M63+22)^2)</f>
        <v>0</v>
      </c>
      <c r="BQ63" s="4">
        <f>BP63/BO63</f>
        <v>0</v>
      </c>
      <c r="BY63" s="4">
        <f>IF(V63=0,R63,MIN(V63/2,R63))</f>
        <v>66.039999999999992</v>
      </c>
      <c r="CC63" s="9"/>
      <c r="CE63" s="9"/>
      <c r="CF63" s="9"/>
      <c r="CG63" s="9">
        <f>IF(V63=0,MIN(R63,T63),MIN(V63/2,R63,T63))</f>
        <v>66.039999999999992</v>
      </c>
      <c r="CH63" s="9">
        <f>MAX(V63/2,R63)</f>
        <v>173.73599999999999</v>
      </c>
      <c r="CI63" s="9">
        <f>(CG63/M63)^0.5*(CH63/CG63)^0.15</f>
        <v>1.5699634099271278</v>
      </c>
      <c r="CJ63" s="70">
        <f>IF(AN63&gt;1,20,0)</f>
        <v>20</v>
      </c>
      <c r="CK63" s="9">
        <f>MIN(PI()*AL63^2/4*AM63*2/W63/M63/MAX(0.01,AN63),0.05)</f>
        <v>0.05</v>
      </c>
      <c r="CL63" s="9">
        <f>MAX(0,CJ63*(CK63-0.5/50))</f>
        <v>0.8</v>
      </c>
      <c r="CM63" s="9">
        <f>MIN(1,(25/M63)^0.3)</f>
        <v>0.89777220146327208</v>
      </c>
      <c r="CN63" s="9">
        <f>IF(I63&gt;=800,0.68,IF(I63&gt;=700,0.75-(I63-700)*0.07/100,IF(I63&gt;=600,0.85-(I63-600)*0.1/100,IF(I63&gt;=500,1-(I63-500)*0.15/100,1.2-(I63-400)*0.2/100))))</f>
        <v>0.68</v>
      </c>
      <c r="CO63" s="9">
        <f>1.75*CM63*CN63*(L63/25)^0.5</f>
        <v>1.129240956903802</v>
      </c>
      <c r="CP63" s="9">
        <f>MIN((CI63+CL63)*CO63,2.5*CO63,L63^0.5)</f>
        <v>2.6762597488531075</v>
      </c>
      <c r="CQ63" s="40">
        <v>1</v>
      </c>
      <c r="CR63" s="9">
        <f>4*CP63*O63+60*CP63</f>
        <v>292.98401051983387</v>
      </c>
      <c r="CT63" s="4">
        <f>AI63/BE63</f>
        <v>1.5194412968967341</v>
      </c>
      <c r="CU63" s="4">
        <f>AI63/BJ63</f>
        <v>1.5403477162307675</v>
      </c>
      <c r="CV63" s="4">
        <f>AI63/BM63</f>
        <v>0.9895836477926353</v>
      </c>
      <c r="CW63" s="4">
        <f>AI63/CR63</f>
        <v>1.7842564847212592</v>
      </c>
      <c r="CX63" s="4">
        <f>AI63/DY63</f>
        <v>2.9348174832676466</v>
      </c>
      <c r="CY63" s="4">
        <f>AI63/EK63</f>
        <v>1.1905256945812908</v>
      </c>
      <c r="CZ63" s="4">
        <f>AI63/GH63</f>
        <v>0.96797883882138447</v>
      </c>
      <c r="DA63" s="4">
        <f>AM63</f>
        <v>4</v>
      </c>
      <c r="DH63" s="4">
        <f>CT63</f>
        <v>1.5194412968967341</v>
      </c>
      <c r="DI63" s="4">
        <f>CU63</f>
        <v>1.5403477162307675</v>
      </c>
      <c r="DJ63" s="4">
        <f>CW63</f>
        <v>1.7842564847212592</v>
      </c>
      <c r="DK63" s="4">
        <f>CZ63</f>
        <v>0.96797883882138447</v>
      </c>
      <c r="DL63" s="4">
        <f>CX63</f>
        <v>2.9348174832676466</v>
      </c>
      <c r="DM63" s="4">
        <f>CY63</f>
        <v>1.1905256945812908</v>
      </c>
      <c r="DP63" s="4">
        <f>K63</f>
        <v>442.976</v>
      </c>
      <c r="DS63" s="4">
        <f>J63/4/(1-0.3*(L63/30)^0.5)/200000/M63</f>
        <v>2.1759814888054373E-5</v>
      </c>
      <c r="DT63" s="4">
        <f>EO63</f>
        <v>5.5816724777772073</v>
      </c>
      <c r="DU63" s="4">
        <f>EB63*AF63/257/L63/AC63</f>
        <v>0</v>
      </c>
      <c r="DV63" s="4">
        <f>DT63*DU63^0.4</f>
        <v>0</v>
      </c>
      <c r="DW63" s="4">
        <f>MIN(DT63, DT63/1.4*(1-DU63^1.4)/(1-DU63))</f>
        <v>3.9869089126980053</v>
      </c>
      <c r="DX63" s="4">
        <f>MAX(DT63/2, (4-DS63*(8*AF63*(DV63-DW63)+6*J63*DW63))/(4+DS63*J63*DT63)*DT63)</f>
        <v>5.2650882033112971</v>
      </c>
      <c r="DY63" s="38">
        <f>MIN(1/M63*(4*AF63*(DV63-DW63)+(3*DW63+DX63)*J63)+EB63 -FI63,MAX(I63,AI63))</f>
        <v>178.12304297288432</v>
      </c>
      <c r="DZ63" s="4">
        <f>DY63/FE63</f>
        <v>0.89808248964068982</v>
      </c>
      <c r="EA63" s="4">
        <f>AF63/M63</f>
        <v>2.1908902300206643</v>
      </c>
      <c r="EB63" s="4">
        <f>MIN(EA$10*BA63)</f>
        <v>0</v>
      </c>
      <c r="EF63" s="4">
        <f>IF(T63&gt;1*M63,0.85,1)</f>
        <v>0.85</v>
      </c>
      <c r="EG63" s="4">
        <f>MIN(1,MAX(0.7,(1-0.1*(BY63-1*M63)/M63)))</f>
        <v>0.91560283687943256</v>
      </c>
      <c r="EH63" s="4">
        <f>MIN(1,MAX(0.7,1-0.3*(PI()*AL63^2/4*AP63*2-0.25*PI()/4*M63^2)/(PI()/4*M63^2)))</f>
        <v>0.9995510789195714</v>
      </c>
      <c r="EI63" s="4">
        <f>IF(EG63*EH63&lt;0.7,0.7,EG63*EH63)</f>
        <v>0.91519180346465712</v>
      </c>
      <c r="EK63" s="4">
        <f>MIN(DT63/M63*3*J63+EL63-FI63,MAX(I63,AI63))</f>
        <v>439.09898212949531</v>
      </c>
      <c r="EL63" s="25">
        <f>13.3*P63*J63^0.5*L63^0.5/W63/M63^2*(0.7+R63/5/J63)</f>
        <v>231.98330550729423</v>
      </c>
      <c r="EN63" s="4">
        <f>EF63*EI63</f>
        <v>0.7779130329449585</v>
      </c>
      <c r="EO63" s="4">
        <f>IF(M63&lt;22.2,1.1*5*(L63/30)^0.5,IF(M63&gt;=31.8,0.9*5*(L63/30)^0.5,1*5*(L63/30)^0.5))/EF63/EI63</f>
        <v>5.5816724777772073</v>
      </c>
      <c r="ER63" s="4">
        <f>ES63*M63</f>
        <v>78.464542697960056</v>
      </c>
      <c r="ES63" s="4">
        <f>AE63^0.5</f>
        <v>2.1908902300206643</v>
      </c>
      <c r="ET63" s="4">
        <f>MIN(EB63)/(4700*L63^0.5)/AD63*ER63</f>
        <v>0</v>
      </c>
      <c r="EW63" s="4">
        <f>ET63</f>
        <v>0</v>
      </c>
      <c r="EX63" s="4">
        <f>MIN(0.999, EW63/(0.3*(L63/30)^0.5))</f>
        <v>0</v>
      </c>
      <c r="EY63" s="4">
        <f>EO63/1*EX63^0.4</f>
        <v>0</v>
      </c>
      <c r="EZ63" s="4">
        <f>EO63/1.4*(1-EX63^1.4)/(1-EX63)</f>
        <v>3.9869089126980053</v>
      </c>
      <c r="FA63" s="4">
        <f>MAX(0,DP63*FA$9-ER63)</f>
        <v>0</v>
      </c>
      <c r="FB63" s="4">
        <f>MAX(0,DP63-ER63-FA63)</f>
        <v>364.51145730203996</v>
      </c>
      <c r="FC63" s="4">
        <f>FB63/(1-0.3*(L63/30)^0.5)/200000/M63</f>
        <v>7.1621955460045918E-5</v>
      </c>
      <c r="FD63" s="4">
        <f>MAX(0.5*EO63, (1-2*FC63*(ER63*EY63+FA63*EZ63))/(1/EO63+FC63*FB63))</f>
        <v>4.8717560297920368</v>
      </c>
      <c r="FE63" s="4">
        <f>MIN(4/M63*(1*EY63*ER63+EZ63*FA63+FB63*FD63)+EB63,MAX(I63,AI63))</f>
        <v>198.33706260562863</v>
      </c>
      <c r="FN63" s="23">
        <f>IF(CT63&lt;0.6,0.6,IF(CT63&lt;0.8,0.8,IF(CT63&lt;1,1,IF(CT63&lt;1.2,1.2,IF(CT63&lt;1.4,1.4,IF(CT63&lt;1.6,1.6,IF(CT63&lt;1.8,1.8,IF(CT63&lt;2,2,2.2))))))))</f>
        <v>1.6</v>
      </c>
      <c r="FO63" s="23">
        <f>IF(CU63&lt;0.6,0.6,IF(CU63&lt;0.8,0.8,IF(CU63&lt;1,1,IF(CU63&lt;1.2,1.2,IF(CU63&lt;1.4,1.4,IF(CU63&lt;1.6,1.6,IF(CU63&lt;1.8,1.8,IF(CU63&lt;2,2,2.2))))))))</f>
        <v>1.6</v>
      </c>
      <c r="FP63" s="23">
        <f>IF(CZ63&lt;0.6,0.6,IF(CZ63&lt;0.8,0.8,IF(CZ63&lt;1,1,IF(CZ63&lt;1.2,1.2,IF(CZ63&lt;1.4,1.4,IF(CZ63&lt;1.6,1.6,IF(CZ63&lt;1.8,1.8,IF(CZ63&lt;2,2,2.2))))))))</f>
        <v>1</v>
      </c>
      <c r="FQ63" s="23">
        <f>IF(CW63&lt;0.6,0.6,IF(CW63&lt;0.8,0.8,IF(CW63&lt;1,1,IF(CW63&lt;1.2,1.2,IF(CW63&lt;1.4,1.4,IF(CW63&lt;1.6,1.6,IF(CW63&lt;1.8,1.8,IF(CW63&lt;2,2,2.2))))))))</f>
        <v>1.8</v>
      </c>
      <c r="FR63" s="23">
        <f>IF(CX63&lt;0.6,0.6,IF(CX63&lt;0.8,0.8,IF(CX63&lt;1,1,IF(CX63&lt;1.2,1.2,IF(CX63&lt;1.4,1.4,IF(CX63&lt;1.6,1.6,IF(CX63&lt;1.8,1.8,IF(CX63&lt;2,2,2.2))))))))</f>
        <v>2.2000000000000002</v>
      </c>
      <c r="FS63" s="23">
        <f>IF(CY63&lt;0.6,0.6,IF(CY63&lt;0.8,0.8,IF(CY63&lt;1,1,IF(CY63&lt;1.2,1.2,IF(CY63&lt;1.4,1.4,IF(CY63&lt;1.6,1.6,IF(CY63&lt;1.8,1.8,IF(CY63&lt;2,2,2.2))))))))</f>
        <v>1.2</v>
      </c>
      <c r="FT63" s="23">
        <f>IF(FR63&lt;1,1,0)</f>
        <v>0</v>
      </c>
      <c r="FU63" s="23"/>
      <c r="GE63" s="4">
        <f>IF(R63&gt;=2.5*25.4,1,1.25)</f>
        <v>1</v>
      </c>
      <c r="GF63" s="4">
        <f>IF(AN63&gt;1, 0.05*(18-MIN(8,(V63+M63)/M63))*(1-48000/MAX(60000,(I63*145))*(M63/25.4)^0.75*GG63), 1/12*(14-MIN(8,(V63+M63)/M63)))</f>
        <v>0.44214730608235164</v>
      </c>
      <c r="GG63" s="4">
        <f>MIN(0.3, AL63^2*PI()/4*2*AO63/(M63^2*PI()/4*W63))</f>
        <v>0.25149640360142855</v>
      </c>
      <c r="GH63" s="4">
        <f>(J63/25.4)/(M63/25.4)^1.5/0.0024*(L63*145)^0.25/GE63/GF63/145</f>
        <v>540.05170332666421</v>
      </c>
    </row>
    <row r="64" spans="1:195" s="4" customFormat="1" ht="12" customHeight="1" x14ac:dyDescent="0.3">
      <c r="A64" s="25">
        <v>384</v>
      </c>
      <c r="B64" s="4" t="s">
        <v>605</v>
      </c>
      <c r="C64" s="4">
        <v>2016</v>
      </c>
      <c r="D64" s="4" t="s">
        <v>309</v>
      </c>
      <c r="E64" s="14" t="s">
        <v>675</v>
      </c>
      <c r="F64" s="14" t="s">
        <v>810</v>
      </c>
      <c r="G64" s="7" t="s">
        <v>551</v>
      </c>
      <c r="H64" s="5">
        <f t="shared" si="0"/>
        <v>0.76799282319297568</v>
      </c>
      <c r="I64" s="90">
        <f>135/0.145</f>
        <v>931.0344827586207</v>
      </c>
      <c r="J64" s="89">
        <f>12*25.4</f>
        <v>304.79999999999995</v>
      </c>
      <c r="K64" s="4">
        <f>J64</f>
        <v>304.79999999999995</v>
      </c>
      <c r="L64" s="44">
        <f>3960/145</f>
        <v>27.310344827586206</v>
      </c>
      <c r="M64" s="38">
        <f>1.41*25.4</f>
        <v>35.813999999999993</v>
      </c>
      <c r="N64" s="7">
        <f>J64/M64</f>
        <v>8.5106382978723403</v>
      </c>
      <c r="O64" s="7">
        <f>K64/M64</f>
        <v>8.5106382978723403</v>
      </c>
      <c r="P64" s="38">
        <f>21.7*25.4</f>
        <v>551.17999999999995</v>
      </c>
      <c r="Q64" s="32">
        <f>R64/M64</f>
        <v>1.9148936170212769</v>
      </c>
      <c r="R64" s="38">
        <f>2.7*25.4</f>
        <v>68.58</v>
      </c>
      <c r="S64" s="32">
        <f>T64/M64</f>
        <v>2.1985815602836882</v>
      </c>
      <c r="T64" s="39">
        <f>3.1*25.4</f>
        <v>78.739999999999995</v>
      </c>
      <c r="U64" s="32">
        <f>V64/M64</f>
        <v>9.5602836879432633</v>
      </c>
      <c r="V64" s="7">
        <f>(P64-W64*M64-2*R64)/(W64-1)</f>
        <v>342.39199999999994</v>
      </c>
      <c r="W64" s="38">
        <v>2</v>
      </c>
      <c r="X64" s="122">
        <f>AM64</f>
        <v>0</v>
      </c>
      <c r="Y64" s="32">
        <f>Z64/M64</f>
        <v>14.18439716312057</v>
      </c>
      <c r="Z64" s="4">
        <f>20*25.4</f>
        <v>508</v>
      </c>
      <c r="AA64" s="7">
        <f>MIN(R64/M64+0.5, V64/2/M64+0.5)</f>
        <v>2.4148936170212769</v>
      </c>
      <c r="AB64" s="7">
        <f>R64/M64+0.5</f>
        <v>2.4148936170212769</v>
      </c>
      <c r="AC64" s="38">
        <v>3.8</v>
      </c>
      <c r="AD64" s="4">
        <f>AC64</f>
        <v>3.8</v>
      </c>
      <c r="AE64" s="4">
        <f>AD64+1</f>
        <v>4.8</v>
      </c>
      <c r="AF64" s="7">
        <f>M64*AE64^0.5</f>
        <v>78.464542697960056</v>
      </c>
      <c r="AI64" s="38">
        <f>AJ64/0.145</f>
        <v>251.0344827586207</v>
      </c>
      <c r="AJ64" s="4">
        <v>36.4</v>
      </c>
      <c r="AK64" s="4">
        <f>CX64</f>
        <v>2.2259040956325076</v>
      </c>
      <c r="AL64" s="38">
        <v>0</v>
      </c>
      <c r="AM64" s="38">
        <v>0</v>
      </c>
      <c r="AN64" s="39">
        <f>K64</f>
        <v>304.79999999999995</v>
      </c>
      <c r="AO64" s="39"/>
      <c r="AP64" s="39"/>
      <c r="AQ64" s="7"/>
      <c r="AR64" s="4">
        <f>J64</f>
        <v>304.79999999999995</v>
      </c>
      <c r="AS64" s="4">
        <f>IF(J64*3&gt;V64+M64, P64, (R64+M64/2)*2+1.5*J64*(2*W64-2))*(3*J64)/(9*J64^2)</f>
        <v>0.60277777777777775</v>
      </c>
      <c r="AT64" s="4">
        <f>MIN(10*L64^0.5*J64^1.5,100*3.9*L64^0.5*J64^(5/3))/(PI()/4*M64^2)/W64</f>
        <v>138.02587222939175</v>
      </c>
      <c r="AU64" s="4">
        <f>MIN(0.7+0.3*(MIN(R64,Z64)+0.5*M64)/1.5/J64,1)</f>
        <v>0.75674999999999992</v>
      </c>
      <c r="AV64" s="4">
        <v>1.25</v>
      </c>
      <c r="AW64" s="4">
        <f>AW63</f>
        <v>5</v>
      </c>
      <c r="AX64" s="38">
        <f>AS64*AU64*AV64*AW64*AT64</f>
        <v>393.5049323208595</v>
      </c>
      <c r="AY64" s="38">
        <f>AX64</f>
        <v>393.5049323208595</v>
      </c>
      <c r="AZ64" s="38">
        <f>IF(L64&lt;50, 0.3*L64^(2/3), 2.12*LN(1+0.1*(L64+8)))</f>
        <v>2.7206502209498358</v>
      </c>
      <c r="BA64" s="38">
        <f>AW64* (L64^0.5/AR64^0.5)/(PI()/4*M64^2)/W64/0.72 *(0.7+(MIN(R64,Z64)+0.5*M64)/5/J64) *(3*P64*J64)</f>
        <v>393.50493232085938</v>
      </c>
      <c r="BB64" s="38">
        <f>AX64/BA64</f>
        <v>1.0000000000000002</v>
      </c>
      <c r="BC64" s="38">
        <f>BG64/BA64</f>
        <v>0.65342658641602935</v>
      </c>
      <c r="BD64" s="4">
        <f>IF(BC64&lt;1,1,0)</f>
        <v>1</v>
      </c>
      <c r="BE64" s="4">
        <f>K64/M64*L64^0.5/0.19</f>
        <v>234.0842125092189</v>
      </c>
      <c r="BF64" s="4">
        <f>MIN(0.6+0.4*(AB64/AA64),2)</f>
        <v>1</v>
      </c>
      <c r="BG64" s="38">
        <f>2*L64*AA64*AC64^0.5*BF64*0.7/0.7</f>
        <v>257.12658466428979</v>
      </c>
      <c r="BH64" s="4">
        <f>MAX(1-0.7*AD64/5,0.3)</f>
        <v>0.46800000000000008</v>
      </c>
      <c r="BI64" s="4">
        <f>BH64*I64*K64/(I64*M64/2.75/L64^0.5)</f>
        <v>57.240612484879328</v>
      </c>
      <c r="BJ64" s="4">
        <f>BG64+BI64</f>
        <v>314.3671971491691</v>
      </c>
      <c r="BL64" s="4">
        <f>MIN(1.5, 0.75+0.25*MIN(3,MAX(1,R64/M64))+0.4*MIN(1,(40*2*PI()*AL64^2/4/AN64/W64)/M64))</f>
        <v>1.2287234042553192</v>
      </c>
      <c r="BM64" s="4">
        <f>(3*O64+30)*BL64*L64^0.5</f>
        <v>356.58278440355463</v>
      </c>
      <c r="BO64" s="4">
        <f>3.4/PI()^0.5*L64*AA64*AD64^0.5*BF64</f>
        <v>246.61583922536434</v>
      </c>
      <c r="BP64" s="4">
        <f>8/3*AG64*AH64^2/(AF64-M64-22)/M64*(AF64^2-M64^2)/(AF64^2-(M64+22)^2)</f>
        <v>0</v>
      </c>
      <c r="BQ64" s="4">
        <f>BP64/BO64</f>
        <v>0</v>
      </c>
      <c r="BY64" s="4">
        <f>IF(V64=0,R64,MIN(V64/2,R64))</f>
        <v>68.58</v>
      </c>
      <c r="CC64" s="9"/>
      <c r="CE64" s="9"/>
      <c r="CF64" s="9"/>
      <c r="CG64" s="9">
        <f>IF(V64=0,MIN(R64,T64),MIN(V64/2,R64,T64))</f>
        <v>68.58</v>
      </c>
      <c r="CH64" s="9">
        <f>MAX(V64/2,R64)</f>
        <v>171.19599999999997</v>
      </c>
      <c r="CI64" s="9">
        <f>(CG64/M64)^0.5*(CH64/CG64)^0.15</f>
        <v>1.5873282502249415</v>
      </c>
      <c r="CJ64" s="70">
        <f>IF(AN64&gt;1,20,0)</f>
        <v>20</v>
      </c>
      <c r="CK64" s="9">
        <f>MIN(PI()*AL64^2/4*AM64*2/W64/M64/MAX(0.01,AN64),0.05)</f>
        <v>0</v>
      </c>
      <c r="CL64" s="9">
        <f>MAX(0,CJ64*(CK64-0.5/50))</f>
        <v>0</v>
      </c>
      <c r="CM64" s="9">
        <f>MIN(1,(25/M64)^0.3)</f>
        <v>0.89777220146327208</v>
      </c>
      <c r="CN64" s="9">
        <f>IF(I64&gt;=800,0.68,IF(I64&gt;=700,0.75-(I64-700)*0.07/100,IF(I64&gt;=600,0.85-(I64-600)*0.1/100,IF(I64&gt;=500,1-(I64-500)*0.15/100,1.2-(I64-400)*0.2/100))))</f>
        <v>0.68</v>
      </c>
      <c r="CO64" s="9">
        <f>1.75*CM64*CN64*(L64/25)^0.5</f>
        <v>1.1166233434875248</v>
      </c>
      <c r="CP64" s="9">
        <f>MIN((CI64+CL64)*CO64,2.5*CO64,L64^0.5)</f>
        <v>1.7724477779783765</v>
      </c>
      <c r="CQ64" s="40">
        <v>1</v>
      </c>
      <c r="CR64" s="9">
        <f>4*CP64*O64+60*CP64</f>
        <v>166.68551443966859</v>
      </c>
      <c r="CT64" s="4">
        <f>AI64/BE64</f>
        <v>1.0724109928974139</v>
      </c>
      <c r="CU64" s="4">
        <f>AI64/BJ64</f>
        <v>0.79853904935095166</v>
      </c>
      <c r="CV64" s="4">
        <f>AI64/BM64</f>
        <v>0.70400056799858857</v>
      </c>
      <c r="CW64" s="4">
        <f>AI64/CR64</f>
        <v>1.5060365839377243</v>
      </c>
      <c r="CX64" s="4">
        <f>AI64/DY64</f>
        <v>2.2259040956325076</v>
      </c>
      <c r="CY64" s="4">
        <f>AI64/EK64</f>
        <v>0.74669552116938287</v>
      </c>
      <c r="CZ64" s="4">
        <f>AI64/GH64</f>
        <v>0.76825652258018351</v>
      </c>
      <c r="DA64" s="4">
        <f>AM64</f>
        <v>0</v>
      </c>
      <c r="DB64" s="4">
        <f>CT64</f>
        <v>1.0724109928974139</v>
      </c>
      <c r="DC64" s="4">
        <f>CU64</f>
        <v>0.79853904935095166</v>
      </c>
      <c r="DD64" s="4">
        <f>CW64</f>
        <v>1.5060365839377243</v>
      </c>
      <c r="DE64" s="4">
        <f>CZ64</f>
        <v>0.76825652258018351</v>
      </c>
      <c r="DF64" s="4">
        <f>CX64</f>
        <v>2.2259040956325076</v>
      </c>
      <c r="DG64" s="4">
        <f>CY64</f>
        <v>0.74669552116938287</v>
      </c>
      <c r="DP64" s="4">
        <f>K64</f>
        <v>304.79999999999995</v>
      </c>
      <c r="DS64" s="4">
        <f>J64/4/(1-0.3*(L64/30)^0.5)/200000/M64</f>
        <v>1.4904502788497585E-5</v>
      </c>
      <c r="DT64" s="4">
        <f>EO64</f>
        <v>5.5598943030135199</v>
      </c>
      <c r="DU64" s="4">
        <f>EB64*AF64/257/L64/AC64</f>
        <v>0</v>
      </c>
      <c r="DV64" s="4">
        <f>DT64*DU64^0.4</f>
        <v>0</v>
      </c>
      <c r="DW64" s="4">
        <f>MIN(DT64, DT64/1.4*(1-DU64^1.4)/(1-DU64))</f>
        <v>3.9713530735810858</v>
      </c>
      <c r="DX64" s="4">
        <f>MAX(DT64/2, (4-DS64*(8*AF64*(DV64-DW64)+6*J64*DW64))/(4+DS64*J64*DT64)*DT64)</f>
        <v>5.4268087768215958</v>
      </c>
      <c r="DY64" s="38">
        <f>MIN(1/M64*(4*AF64*(DV64-DW64)+(3*DW64+DX64)*J64)+EB64 -FI64,MAX(I64,AI64))</f>
        <v>112.77866070293892</v>
      </c>
      <c r="DZ64" s="4">
        <f>DY64/FE64</f>
        <v>0.84712077582327161</v>
      </c>
      <c r="EA64" s="4">
        <f>AF64/M64</f>
        <v>2.1908902300206643</v>
      </c>
      <c r="EB64" s="4">
        <f>MIN(EA$10*BA64)</f>
        <v>0</v>
      </c>
      <c r="EF64" s="4">
        <f>IF(T64&gt;1*M64,0.85,1)</f>
        <v>0.85</v>
      </c>
      <c r="EG64" s="4">
        <f>MIN(1,MAX(0.7,(1-0.1*(BY64-1*M64)/M64)))</f>
        <v>0.90851063829787226</v>
      </c>
      <c r="EH64" s="4">
        <f>MIN(1,MAX(0.7,1-0.3*(PI()*AL64^2/4*AP64*2-0.25*PI()/4*M64^2)/(PI()/4*M64^2)))</f>
        <v>1</v>
      </c>
      <c r="EI64" s="4">
        <f>IF(EG64*EH64&lt;0.7,0.7,EG64*EH64)</f>
        <v>0.90851063829787226</v>
      </c>
      <c r="EK64" s="4">
        <f>MIN(DT64/M64*3*J64+EL64-FI64,MAX(I64,AI64))</f>
        <v>336.19390453217306</v>
      </c>
      <c r="EL64" s="25">
        <f>13.3*P64*J64^0.5*L64^0.5/W64/M64^2*(0.7+R64/5/J64)</f>
        <v>194.23915637012578</v>
      </c>
      <c r="EN64" s="4">
        <f>EF64*EI64</f>
        <v>0.77223404255319139</v>
      </c>
      <c r="EO64" s="4">
        <f>IF(M64&lt;22.2,1.1*5*(L64/30)^0.5,IF(M64&gt;=31.8,0.9*5*(L64/30)^0.5,1*5*(L64/30)^0.5))/EF64/EI64</f>
        <v>5.5598943030135199</v>
      </c>
      <c r="ER64" s="4">
        <f>ES64*M64</f>
        <v>78.464542697960056</v>
      </c>
      <c r="ES64" s="4">
        <f>AE64^0.5</f>
        <v>2.1908902300206643</v>
      </c>
      <c r="ET64" s="4">
        <f>MIN(EB64)/(4700*L64^0.5)/AD64*ER64</f>
        <v>0</v>
      </c>
      <c r="EW64" s="4">
        <f>ET64</f>
        <v>0</v>
      </c>
      <c r="EX64" s="4">
        <f>MIN(0.999, EW64/(0.3*(L64/30)^0.5))</f>
        <v>0</v>
      </c>
      <c r="EY64" s="4">
        <f>EO64/1*EX64^0.4</f>
        <v>0</v>
      </c>
      <c r="EZ64" s="4">
        <f>EO64/1.4*(1-EX64^1.4)/(1-EX64)</f>
        <v>3.9713530735810858</v>
      </c>
      <c r="FA64" s="4">
        <f>MAX(0,DP64*FA$9-ER64)</f>
        <v>0</v>
      </c>
      <c r="FB64" s="4">
        <f>MAX(0,DP64-ER64-FA64)</f>
        <v>226.33545730203991</v>
      </c>
      <c r="FC64" s="4">
        <f>FB64/(1-0.3*(L64/30)^0.5)/200000/M64</f>
        <v>4.427057026895184E-5</v>
      </c>
      <c r="FD64" s="4">
        <f>MAX(0.5*EO64, (1-2*FC64*(ER64*EY64+FA64*EZ64))/(1/EO64+FC64*FB64))</f>
        <v>5.2664970187890976</v>
      </c>
      <c r="FE64" s="4">
        <f>MIN(4/M64*(1*EY64*ER64+EZ64*FA64+FB64*FD64)+EB64,MAX(I64,AI64))</f>
        <v>133.13173743535606</v>
      </c>
      <c r="FN64" s="23">
        <f>IF(CT64&lt;0.6,0.6,IF(CT64&lt;0.8,0.8,IF(CT64&lt;1,1,IF(CT64&lt;1.2,1.2,IF(CT64&lt;1.4,1.4,IF(CT64&lt;1.6,1.6,IF(CT64&lt;1.8,1.8,IF(CT64&lt;2,2,2.2))))))))</f>
        <v>1.2</v>
      </c>
      <c r="FO64" s="23">
        <f>IF(CU64&lt;0.6,0.6,IF(CU64&lt;0.8,0.8,IF(CU64&lt;1,1,IF(CU64&lt;1.2,1.2,IF(CU64&lt;1.4,1.4,IF(CU64&lt;1.6,1.6,IF(CU64&lt;1.8,1.8,IF(CU64&lt;2,2,2.2))))))))</f>
        <v>0.8</v>
      </c>
      <c r="FP64" s="23">
        <f>IF(CZ64&lt;0.6,0.6,IF(CZ64&lt;0.8,0.8,IF(CZ64&lt;1,1,IF(CZ64&lt;1.2,1.2,IF(CZ64&lt;1.4,1.4,IF(CZ64&lt;1.6,1.6,IF(CZ64&lt;1.8,1.8,IF(CZ64&lt;2,2,2.2))))))))</f>
        <v>0.8</v>
      </c>
      <c r="FQ64" s="23">
        <f>IF(CW64&lt;0.6,0.6,IF(CW64&lt;0.8,0.8,IF(CW64&lt;1,1,IF(CW64&lt;1.2,1.2,IF(CW64&lt;1.4,1.4,IF(CW64&lt;1.6,1.6,IF(CW64&lt;1.8,1.8,IF(CW64&lt;2,2,2.2))))))))</f>
        <v>1.6</v>
      </c>
      <c r="FR64" s="23">
        <f>IF(CX64&lt;0.6,0.6,IF(CX64&lt;0.8,0.8,IF(CX64&lt;1,1,IF(CX64&lt;1.2,1.2,IF(CX64&lt;1.4,1.4,IF(CX64&lt;1.6,1.6,IF(CX64&lt;1.8,1.8,IF(CX64&lt;2,2,2.2))))))))</f>
        <v>2.2000000000000002</v>
      </c>
      <c r="FS64" s="23">
        <f>IF(CY64&lt;0.6,0.6,IF(CY64&lt;0.8,0.8,IF(CY64&lt;1,1,IF(CY64&lt;1.2,1.2,IF(CY64&lt;1.4,1.4,IF(CY64&lt;1.6,1.6,IF(CY64&lt;1.8,1.8,IF(CY64&lt;2,2,2.2))))))))</f>
        <v>0.8</v>
      </c>
      <c r="FT64" s="23">
        <f>IF(FR64&lt;1,1,0)</f>
        <v>0</v>
      </c>
      <c r="FU64" s="23"/>
      <c r="GE64" s="4">
        <f>IF(R64&gt;=2.5*25.4,1,1.25)</f>
        <v>1</v>
      </c>
      <c r="GF64" s="4">
        <f>IF(AN64&gt;1, 0.05*(18-MIN(8,(V64+M64)/M64))*(1-48000/MAX(60000,(I64*145))*(M64/25.4)^0.75*GG64), 1/12*(14-MIN(8,(V64+M64)/M64)))</f>
        <v>0.5</v>
      </c>
      <c r="GG64" s="4">
        <f>MIN(0.3, AL64^2*PI()/4*2*AO64/(M64^2*PI()/4*W64))</f>
        <v>0</v>
      </c>
      <c r="GH64" s="4">
        <f>(J64/25.4)/(M64/25.4)^1.5/0.0024*(L64*145)^0.25/GE64/GF64/145</f>
        <v>326.75867419325431</v>
      </c>
    </row>
    <row r="65" spans="1:190" s="4" customFormat="1" ht="12" customHeight="1" x14ac:dyDescent="0.3">
      <c r="A65" s="25">
        <v>385</v>
      </c>
      <c r="B65" s="4" t="s">
        <v>605</v>
      </c>
      <c r="C65" s="4">
        <v>2016</v>
      </c>
      <c r="D65" s="4" t="s">
        <v>309</v>
      </c>
      <c r="E65" s="14" t="s">
        <v>675</v>
      </c>
      <c r="F65" s="14" t="s">
        <v>810</v>
      </c>
      <c r="G65" s="7" t="s">
        <v>552</v>
      </c>
      <c r="H65" s="5">
        <f t="shared" si="0"/>
        <v>0.76799282319297568</v>
      </c>
      <c r="I65" s="90">
        <f>135/0.145</f>
        <v>931.0344827586207</v>
      </c>
      <c r="J65" s="89">
        <f>12*25.4</f>
        <v>304.79999999999995</v>
      </c>
      <c r="K65" s="4">
        <f>J65</f>
        <v>304.79999999999995</v>
      </c>
      <c r="L65" s="44">
        <f>3960/145</f>
        <v>27.310344827586206</v>
      </c>
      <c r="M65" s="38">
        <f>1.41*25.4</f>
        <v>35.813999999999993</v>
      </c>
      <c r="N65" s="7">
        <f>J65/M65</f>
        <v>8.5106382978723403</v>
      </c>
      <c r="O65" s="7">
        <f>K65/M65</f>
        <v>8.5106382978723403</v>
      </c>
      <c r="P65" s="38">
        <f>21.4*25.4</f>
        <v>543.55999999999995</v>
      </c>
      <c r="Q65" s="32">
        <f>R65/M65</f>
        <v>1.7021276595744683</v>
      </c>
      <c r="R65" s="38">
        <f>2.4*25.4</f>
        <v>60.959999999999994</v>
      </c>
      <c r="S65" s="32">
        <f>T65/M65</f>
        <v>2.6241134751773054</v>
      </c>
      <c r="T65" s="39">
        <f>3.7*25.4</f>
        <v>93.98</v>
      </c>
      <c r="U65" s="32">
        <f>V65/M65</f>
        <v>9.7730496453900706</v>
      </c>
      <c r="V65" s="7">
        <f>(P65-W65*M65-2*R65)/(W65-1)</f>
        <v>350.01199999999994</v>
      </c>
      <c r="W65" s="38">
        <v>2</v>
      </c>
      <c r="X65" s="122">
        <f>AM65</f>
        <v>4</v>
      </c>
      <c r="Y65" s="32">
        <f>Z65/M65</f>
        <v>14.18439716312057</v>
      </c>
      <c r="Z65" s="4">
        <f>20*25.4</f>
        <v>508</v>
      </c>
      <c r="AA65" s="7">
        <f>MIN(R65/M65+0.5, V65/2/M65+0.5)</f>
        <v>2.2021276595744683</v>
      </c>
      <c r="AB65" s="7">
        <f>R65/M65+0.5</f>
        <v>2.2021276595744683</v>
      </c>
      <c r="AC65" s="38">
        <v>3.8</v>
      </c>
      <c r="AD65" s="4">
        <f>AC65</f>
        <v>3.8</v>
      </c>
      <c r="AE65" s="4">
        <f>AD65+1</f>
        <v>4.8</v>
      </c>
      <c r="AF65" s="7">
        <f>M65*AE65^0.5</f>
        <v>78.464542697960056</v>
      </c>
      <c r="AI65" s="38">
        <f>AJ65/0.145</f>
        <v>297.24137931034488</v>
      </c>
      <c r="AJ65" s="4">
        <v>43.1</v>
      </c>
      <c r="AK65" s="4">
        <f>CX65</f>
        <v>2.6955265016803183</v>
      </c>
      <c r="AL65" s="38">
        <f>0.5*25.4</f>
        <v>12.7</v>
      </c>
      <c r="AM65" s="38">
        <v>4</v>
      </c>
      <c r="AN65" s="39">
        <f>8*25.4</f>
        <v>203.2</v>
      </c>
      <c r="AO65" s="39">
        <v>2</v>
      </c>
      <c r="AP65" s="39">
        <f>AO65-1</f>
        <v>1</v>
      </c>
      <c r="AQ65" s="7"/>
      <c r="AR65" s="4">
        <f>J65</f>
        <v>304.79999999999995</v>
      </c>
      <c r="AS65" s="4">
        <f>IF(J65*3&gt;V65+M65, P65, (R65+M65/2)*2+1.5*J65*(2*W65-2))*(3*J65)/(9*J65^2)</f>
        <v>0.59444444444444433</v>
      </c>
      <c r="AT65" s="4">
        <f>MIN(10*L65^0.5*J65^1.5,100*3.9*L65^0.5*J65^(5/3))/(PI()/4*M65^2)/W65</f>
        <v>138.02587222939175</v>
      </c>
      <c r="AU65" s="4">
        <f>MIN(0.7+0.3*(MIN(R65,Z65)+0.5*M65)/1.5/J65,1)</f>
        <v>0.75174999999999992</v>
      </c>
      <c r="AV65" s="4">
        <v>1.25</v>
      </c>
      <c r="AW65" s="4">
        <f>AW64</f>
        <v>5</v>
      </c>
      <c r="AX65" s="38">
        <f>AS65*AU65*AV65*AW65*AT65</f>
        <v>385.50074968693184</v>
      </c>
      <c r="AY65" s="38">
        <f>AX65</f>
        <v>385.50074968693184</v>
      </c>
      <c r="AZ65" s="38">
        <f>IF(L65&lt;50, 0.3*L65^(2/3), 2.12*LN(1+0.1*(L65+8)))</f>
        <v>2.7206502209498358</v>
      </c>
      <c r="BA65" s="38">
        <f>AW65* (L65^0.5/AR65^0.5)/(PI()/4*M65^2)/W65/0.72 *(0.7+(MIN(R65,Z65)+0.5*M65)/5/J65) *(3*P65*J65)</f>
        <v>385.50074968693178</v>
      </c>
      <c r="BB65" s="38">
        <f>AX65/BA65</f>
        <v>1.0000000000000002</v>
      </c>
      <c r="BC65" s="38">
        <f>BG65/BA65</f>
        <v>0.60822776665072897</v>
      </c>
      <c r="BD65" s="4">
        <f>IF(BC65&lt;1,1,0)</f>
        <v>1</v>
      </c>
      <c r="BE65" s="4">
        <f>K65/M65*L65^0.5/0.19</f>
        <v>234.0842125092189</v>
      </c>
      <c r="BF65" s="4">
        <f>MIN(0.6+0.4*(AB65/AA65),2)</f>
        <v>1</v>
      </c>
      <c r="BG65" s="38">
        <f>2*L65*AA65*AC65^0.5*BF65*0.7/0.7</f>
        <v>234.47226002426424</v>
      </c>
      <c r="BH65" s="4">
        <f>MAX(1-0.7*AD65/5,0.3)</f>
        <v>0.46800000000000008</v>
      </c>
      <c r="BI65" s="4">
        <f>BH65*I65*K65/(I65*M65/2.75/L65^0.5)</f>
        <v>57.240612484879328</v>
      </c>
      <c r="BJ65" s="4">
        <f>BG65+BI65</f>
        <v>291.71287250914355</v>
      </c>
      <c r="BL65" s="4">
        <f>MIN(1.5, 0.75+0.25*MIN(3,MAX(1,R65/M65))+0.4*MIN(1,(40*2*PI()*AL65^2/4/AN65/W65)/M65))</f>
        <v>1.454041901913989</v>
      </c>
      <c r="BM65" s="4">
        <f>(3*O65+30)*BL65*L65^0.5</f>
        <v>421.97154235713816</v>
      </c>
      <c r="BO65" s="4">
        <f>3.4/PI()^0.5*L65*AA65*AD65^0.5*BF65</f>
        <v>224.8875714522045</v>
      </c>
      <c r="BP65" s="4">
        <f>8/3*AG65*AH65^2/(AF65-M65-22)/M65*(AF65^2-M65^2)/(AF65^2-(M65+22)^2)</f>
        <v>0</v>
      </c>
      <c r="BQ65" s="4">
        <f>BP65/BO65</f>
        <v>0</v>
      </c>
      <c r="BY65" s="4">
        <f>IF(V65=0,R65,MIN(V65/2,R65))</f>
        <v>60.959999999999994</v>
      </c>
      <c r="CC65" s="9"/>
      <c r="CE65" s="9"/>
      <c r="CF65" s="9"/>
      <c r="CG65" s="9">
        <f>IF(V65=0,MIN(R65,T65),MIN(V65/2,R65,T65))</f>
        <v>60.959999999999994</v>
      </c>
      <c r="CH65" s="9">
        <f>MAX(V65/2,R65)</f>
        <v>175.00599999999997</v>
      </c>
      <c r="CI65" s="9">
        <f>(CG65/M65)^0.5*(CH65/CG65)^0.15</f>
        <v>1.5282600539404603</v>
      </c>
      <c r="CJ65" s="70">
        <f>IF(AN65&gt;1,20,0)</f>
        <v>20</v>
      </c>
      <c r="CK65" s="9">
        <f>MIN(PI()*AL65^2/4*AM65*2/W65/M65/MAX(0.01,AN65),0.05)</f>
        <v>0.05</v>
      </c>
      <c r="CL65" s="9">
        <f>MAX(0,CJ65*(CK65-0.5/50))</f>
        <v>0.8</v>
      </c>
      <c r="CM65" s="9">
        <f>MIN(1,(25/M65)^0.3)</f>
        <v>0.89777220146327208</v>
      </c>
      <c r="CN65" s="9">
        <f>IF(I65&gt;=800,0.68,IF(I65&gt;=700,0.75-(I65-700)*0.07/100,IF(I65&gt;=600,0.85-(I65-600)*0.1/100,IF(I65&gt;=500,1-(I65-500)*0.15/100,1.2-(I65-400)*0.2/100))))</f>
        <v>0.68</v>
      </c>
      <c r="CO65" s="9">
        <f>1.75*CM65*CN65*(L65/25)^0.5</f>
        <v>1.1166233434875248</v>
      </c>
      <c r="CP65" s="9">
        <f>MIN((CI65+CL65)*CO65,2.5*CO65,L65^0.5)</f>
        <v>2.5997895259394417</v>
      </c>
      <c r="CQ65" s="40">
        <v>1</v>
      </c>
      <c r="CR65" s="9">
        <f>4*CP65*O65+60*CP65</f>
        <v>244.49084477983683</v>
      </c>
      <c r="CT65" s="4">
        <f>AI65/BE65</f>
        <v>1.2698053240076526</v>
      </c>
      <c r="CU65" s="4">
        <f>AI65/BJ65</f>
        <v>1.0189518781041382</v>
      </c>
      <c r="CV65" s="4">
        <f>AI65/BM65</f>
        <v>0.7044109601561066</v>
      </c>
      <c r="CW65" s="4">
        <f>AI65/CR65</f>
        <v>1.2157566864232063</v>
      </c>
      <c r="CX65" s="4">
        <f>AI65/DY65</f>
        <v>2.6955265016803183</v>
      </c>
      <c r="CY65" s="4">
        <f>AI65/EK65</f>
        <v>0.90336797784402101</v>
      </c>
      <c r="CZ65" s="4">
        <f>AI65/GH65</f>
        <v>1.0055163450729336</v>
      </c>
      <c r="DA65" s="4">
        <f>AM65</f>
        <v>4</v>
      </c>
      <c r="DH65" s="4">
        <f>CT65</f>
        <v>1.2698053240076526</v>
      </c>
      <c r="DI65" s="4">
        <f>CU65</f>
        <v>1.0189518781041382</v>
      </c>
      <c r="DJ65" s="4">
        <f>CW65</f>
        <v>1.2157566864232063</v>
      </c>
      <c r="DK65" s="4">
        <f>CZ65</f>
        <v>1.0055163450729336</v>
      </c>
      <c r="DL65" s="4">
        <f>CX65</f>
        <v>2.6955265016803183</v>
      </c>
      <c r="DM65" s="4">
        <f>CY65</f>
        <v>0.90336797784402101</v>
      </c>
      <c r="DP65" s="4">
        <f>K65</f>
        <v>304.79999999999995</v>
      </c>
      <c r="DS65" s="4">
        <f>J65/4/(1-0.3*(L65/30)^0.5)/200000/M65</f>
        <v>1.4904502788497585E-5</v>
      </c>
      <c r="DT65" s="4">
        <f>EO65</f>
        <v>5.4351055338759089</v>
      </c>
      <c r="DU65" s="4">
        <f>EB65*AF65/257/L65/AC65</f>
        <v>0</v>
      </c>
      <c r="DV65" s="4">
        <f>DT65*DU65^0.4</f>
        <v>0</v>
      </c>
      <c r="DW65" s="4">
        <f>MIN(DT65, DT65/1.4*(1-DU65^1.4)/(1-DU65))</f>
        <v>3.8822182384827921</v>
      </c>
      <c r="DX65" s="4">
        <f>MAX(DT65/2, (4-DS65*(8*AF65*(DV65-DW65)+6*J65*DW65))/(4+DS65*J65*DT65)*DT65)</f>
        <v>5.3079091143993553</v>
      </c>
      <c r="DY65" s="38">
        <f>MIN(1/M65*(4*AF65*(DV65-DW65)+(3*DW65+DX65)*J65)+EB65 -FI65,MAX(I65,AI65))</f>
        <v>110.27210421602334</v>
      </c>
      <c r="DZ65" s="4">
        <f>DY65/FE65</f>
        <v>0.84630699975208379</v>
      </c>
      <c r="EA65" s="4">
        <f>AF65/M65</f>
        <v>2.1908902300206643</v>
      </c>
      <c r="EB65" s="4">
        <f>MIN(EA$10*BA65)</f>
        <v>0</v>
      </c>
      <c r="EF65" s="4">
        <f>IF(T65&gt;1*M65,0.85,1)</f>
        <v>0.85</v>
      </c>
      <c r="EG65" s="4">
        <f>MIN(1,MAX(0.7,(1-0.1*(BY65-1*M65)/M65)))</f>
        <v>0.92978723404255315</v>
      </c>
      <c r="EH65" s="4">
        <f>MIN(1,MAX(0.7,1-0.3*(PI()*AL65^2/4*AP65*2-0.25*PI()/4*M65^2)/(PI()/4*M65^2)))</f>
        <v>0.9995510789195714</v>
      </c>
      <c r="EI65" s="4">
        <f>IF(EG65*EH65&lt;0.7,0.7,EG65*EH65)</f>
        <v>0.92936983295287801</v>
      </c>
      <c r="EK65" s="4">
        <f>MIN(DT65/M65*3*J65+EL65-FI65,MAX(I65,AI65))</f>
        <v>329.03687821627403</v>
      </c>
      <c r="EL65" s="25">
        <f>13.3*P65*J65^0.5*L65^0.5/W65/M65^2*(0.7+R65/5/J65)</f>
        <v>190.2682262875274</v>
      </c>
      <c r="EN65" s="4">
        <f>EF65*EI65</f>
        <v>0.78996435800994624</v>
      </c>
      <c r="EO65" s="4">
        <f>IF(M65&lt;22.2,1.1*5*(L65/30)^0.5,IF(M65&gt;=31.8,0.9*5*(L65/30)^0.5,1*5*(L65/30)^0.5))/EF65/EI65</f>
        <v>5.4351055338759089</v>
      </c>
      <c r="ER65" s="4">
        <f>ES65*M65</f>
        <v>78.464542697960056</v>
      </c>
      <c r="ES65" s="4">
        <f>AE65^0.5</f>
        <v>2.1908902300206643</v>
      </c>
      <c r="ET65" s="4">
        <f>MIN(EB65)/(4700*L65^0.5)/AD65*ER65</f>
        <v>0</v>
      </c>
      <c r="EW65" s="4">
        <f>ET65</f>
        <v>0</v>
      </c>
      <c r="EX65" s="4">
        <f>MIN(0.999, EW65/(0.3*(L65/30)^0.5))</f>
        <v>0</v>
      </c>
      <c r="EY65" s="4">
        <f>EO65/1*EX65^0.4</f>
        <v>0</v>
      </c>
      <c r="EZ65" s="4">
        <f>EO65/1.4*(1-EX65^1.4)/(1-EX65)</f>
        <v>3.8822182384827921</v>
      </c>
      <c r="FA65" s="4">
        <f>MAX(0,DP65*FA$9-ER65)</f>
        <v>0</v>
      </c>
      <c r="FB65" s="4">
        <f>MAX(0,DP65-ER65-FA65)</f>
        <v>226.33545730203991</v>
      </c>
      <c r="FC65" s="4">
        <f>FB65/(1-0.3*(L65/30)^0.5)/200000/M65</f>
        <v>4.427057026895184E-5</v>
      </c>
      <c r="FD65" s="4">
        <f>MAX(0.5*EO65, (1-2*FC65*(ER65*EY65+FA65*EZ65))/(1/EO65+FC65*FB65))</f>
        <v>5.154398261299499</v>
      </c>
      <c r="FE65" s="4">
        <f>MIN(4/M65*(1*EY65*ER65+EZ65*FA65+FB65*FD65)+EB65,MAX(I65,AI65))</f>
        <v>130.29799381114219</v>
      </c>
      <c r="FN65" s="23">
        <f>IF(CT65&lt;0.6,0.6,IF(CT65&lt;0.8,0.8,IF(CT65&lt;1,1,IF(CT65&lt;1.2,1.2,IF(CT65&lt;1.4,1.4,IF(CT65&lt;1.6,1.6,IF(CT65&lt;1.8,1.8,IF(CT65&lt;2,2,2.2))))))))</f>
        <v>1.4</v>
      </c>
      <c r="FO65" s="23">
        <f>IF(CU65&lt;0.6,0.6,IF(CU65&lt;0.8,0.8,IF(CU65&lt;1,1,IF(CU65&lt;1.2,1.2,IF(CU65&lt;1.4,1.4,IF(CU65&lt;1.6,1.6,IF(CU65&lt;1.8,1.8,IF(CU65&lt;2,2,2.2))))))))</f>
        <v>1.2</v>
      </c>
      <c r="FP65" s="23">
        <f>IF(CZ65&lt;0.6,0.6,IF(CZ65&lt;0.8,0.8,IF(CZ65&lt;1,1,IF(CZ65&lt;1.2,1.2,IF(CZ65&lt;1.4,1.4,IF(CZ65&lt;1.6,1.6,IF(CZ65&lt;1.8,1.8,IF(CZ65&lt;2,2,2.2))))))))</f>
        <v>1.2</v>
      </c>
      <c r="FQ65" s="23">
        <f>IF(CW65&lt;0.6,0.6,IF(CW65&lt;0.8,0.8,IF(CW65&lt;1,1,IF(CW65&lt;1.2,1.2,IF(CW65&lt;1.4,1.4,IF(CW65&lt;1.6,1.6,IF(CW65&lt;1.8,1.8,IF(CW65&lt;2,2,2.2))))))))</f>
        <v>1.4</v>
      </c>
      <c r="FR65" s="23">
        <f>IF(CX65&lt;0.6,0.6,IF(CX65&lt;0.8,0.8,IF(CX65&lt;1,1,IF(CX65&lt;1.2,1.2,IF(CX65&lt;1.4,1.4,IF(CX65&lt;1.6,1.6,IF(CX65&lt;1.8,1.8,IF(CX65&lt;2,2,2.2))))))))</f>
        <v>2.2000000000000002</v>
      </c>
      <c r="FS65" s="23">
        <f>IF(CY65&lt;0.6,0.6,IF(CY65&lt;0.8,0.8,IF(CY65&lt;1,1,IF(CY65&lt;1.2,1.2,IF(CY65&lt;1.4,1.4,IF(CY65&lt;1.6,1.6,IF(CY65&lt;1.8,1.8,IF(CY65&lt;2,2,2.2))))))))</f>
        <v>1</v>
      </c>
      <c r="FT65" s="23">
        <f>IF(FR65&lt;1,1,0)</f>
        <v>0</v>
      </c>
      <c r="FU65" s="23"/>
      <c r="GE65" s="4">
        <f>IF(R65&gt;=2.5*25.4,1,1.25)</f>
        <v>1.25</v>
      </c>
      <c r="GF65" s="4">
        <f>IF(AN65&gt;1, 0.05*(18-MIN(8,(V65+M65)/M65))*(1-48000/MAX(60000,(I65*145))*(M65/25.4)^0.75*GG65), 1/12*(14-MIN(8,(V65+M65)/M65)))</f>
        <v>0.44214730608235164</v>
      </c>
      <c r="GG65" s="4">
        <f>MIN(0.3, AL65^2*PI()/4*2*AO65/(M65^2*PI()/4*W65))</f>
        <v>0.25149640360142855</v>
      </c>
      <c r="GH65" s="4">
        <f>(J65/25.4)/(M65/25.4)^1.5/0.0024*(L65*145)^0.25/GE65/GF65/145</f>
        <v>295.61068874398546</v>
      </c>
    </row>
    <row r="66" spans="1:190" s="4" customFormat="1" ht="12" customHeight="1" x14ac:dyDescent="0.3">
      <c r="A66" s="25">
        <v>386</v>
      </c>
      <c r="B66" s="4" t="s">
        <v>605</v>
      </c>
      <c r="C66" s="4">
        <v>2016</v>
      </c>
      <c r="D66" s="4" t="s">
        <v>309</v>
      </c>
      <c r="E66" s="14" t="s">
        <v>675</v>
      </c>
      <c r="F66" s="14" t="s">
        <v>809</v>
      </c>
      <c r="G66" s="7" t="s">
        <v>553</v>
      </c>
      <c r="H66" s="5">
        <f t="shared" si="0"/>
        <v>0.76799282319297568</v>
      </c>
      <c r="I66" s="90">
        <f>135/0.145</f>
        <v>931.0344827586207</v>
      </c>
      <c r="J66" s="89">
        <f>12.09*25.4</f>
        <v>307.08599999999996</v>
      </c>
      <c r="K66" s="4">
        <f>J66</f>
        <v>307.08599999999996</v>
      </c>
      <c r="L66" s="44">
        <f>3960/145</f>
        <v>27.310344827586206</v>
      </c>
      <c r="M66" s="38">
        <f>1.41*25.4</f>
        <v>35.813999999999993</v>
      </c>
      <c r="N66" s="7">
        <f>J66/M66</f>
        <v>8.5744680851063837</v>
      </c>
      <c r="O66" s="7">
        <f>K66/M66</f>
        <v>8.5744680851063837</v>
      </c>
      <c r="P66" s="38">
        <f>21.6*25.4</f>
        <v>548.64</v>
      </c>
      <c r="Q66" s="32">
        <f>R66/M66</f>
        <v>1.8794326241134751</v>
      </c>
      <c r="R66" s="38">
        <f>2.65*25.4</f>
        <v>67.309999999999988</v>
      </c>
      <c r="S66" s="32">
        <f>T66/M66</f>
        <v>2.5177304964539009</v>
      </c>
      <c r="T66" s="39">
        <f>3.55*25.4</f>
        <v>90.169999999999987</v>
      </c>
      <c r="U66" s="32">
        <f>V66/M66</f>
        <v>9.5602836879432651</v>
      </c>
      <c r="V66" s="7">
        <f>(P66-W66*M66-2*R66)/(W66-1)</f>
        <v>342.39200000000005</v>
      </c>
      <c r="W66" s="38">
        <v>2</v>
      </c>
      <c r="X66" s="122">
        <f>AM66</f>
        <v>12</v>
      </c>
      <c r="Y66" s="32">
        <f>Z66/M66</f>
        <v>14.18439716312057</v>
      </c>
      <c r="Z66" s="4">
        <f>20*25.4</f>
        <v>508</v>
      </c>
      <c r="AA66" s="7">
        <f>MIN(R66/M66+0.5, V66/2/M66+0.5)</f>
        <v>2.3794326241134751</v>
      </c>
      <c r="AB66" s="7">
        <f>R66/M66+0.5</f>
        <v>2.3794326241134751</v>
      </c>
      <c r="AC66" s="38">
        <v>3.8</v>
      </c>
      <c r="AD66" s="4">
        <f>AC66</f>
        <v>3.8</v>
      </c>
      <c r="AE66" s="4">
        <f>AD66+1</f>
        <v>4.8</v>
      </c>
      <c r="AF66" s="7">
        <f>M66*AE66^0.5</f>
        <v>78.464542697960056</v>
      </c>
      <c r="AI66" s="38">
        <f>AJ66/0.145</f>
        <v>344.82758620689657</v>
      </c>
      <c r="AJ66" s="4">
        <v>50</v>
      </c>
      <c r="AK66" s="4">
        <f>CX66</f>
        <v>2.8116811824808883</v>
      </c>
      <c r="AL66" s="38">
        <f>0.5*25.4</f>
        <v>12.7</v>
      </c>
      <c r="AM66" s="38">
        <v>12</v>
      </c>
      <c r="AN66" s="39">
        <f>4*25.4</f>
        <v>101.6</v>
      </c>
      <c r="AO66" s="39">
        <v>4</v>
      </c>
      <c r="AP66" s="39">
        <v>2</v>
      </c>
      <c r="AQ66" s="7"/>
      <c r="AR66" s="4">
        <f>J66</f>
        <v>307.08599999999996</v>
      </c>
      <c r="AS66" s="4">
        <f>IF(J66*3&gt;V66+M66, P66, (R66+M66/2)*2+1.5*J66*(2*W66-2))*(3*J66)/(9*J66^2)</f>
        <v>0.59553349875930517</v>
      </c>
      <c r="AT66" s="4">
        <f>MIN(10*L66^0.5*J66^1.5,100*3.9*L66^0.5*J66^(5/3))/(PI()/4*M66^2)/W66</f>
        <v>139.58157114605814</v>
      </c>
      <c r="AU66" s="4">
        <f>MIN(0.7+0.3*(MIN(R66,Z66)+0.5*M66)/1.5/J66,1)</f>
        <v>0.7555004135649297</v>
      </c>
      <c r="AV66" s="4">
        <v>1.25</v>
      </c>
      <c r="AW66" s="4">
        <f>AW65</f>
        <v>5</v>
      </c>
      <c r="AX66" s="38">
        <f>AS66*AU66*AV66*AW66*AT66</f>
        <v>392.50844191149969</v>
      </c>
      <c r="AY66" s="38">
        <f>AX66</f>
        <v>392.50844191149969</v>
      </c>
      <c r="AZ66" s="38">
        <f>IF(L66&lt;50, 0.3*L66^(2/3), 2.12*LN(1+0.1*(L66+8)))</f>
        <v>2.7206502209498358</v>
      </c>
      <c r="BA66" s="38">
        <f>AW66* (L66^0.5/AR66^0.5)/(PI()/4*M66^2)/W66/0.72 *(0.7+(MIN(R66,Z66)+0.5*M66)/5/J66) *(3*P66*J66)</f>
        <v>392.50844191149957</v>
      </c>
      <c r="BB66" s="38">
        <f>AX66/BA66</f>
        <v>1.0000000000000002</v>
      </c>
      <c r="BC66" s="38">
        <f>BG66/BA66</f>
        <v>0.64546602528379804</v>
      </c>
      <c r="BD66" s="4">
        <f>IF(BC66&lt;1,1,0)</f>
        <v>1</v>
      </c>
      <c r="BE66" s="4">
        <f>K66/M66*L66^0.5/0.19</f>
        <v>235.8398441030381</v>
      </c>
      <c r="BF66" s="4">
        <f>MIN(0.6+0.4*(AB66/AA66),2)</f>
        <v>1</v>
      </c>
      <c r="BG66" s="38">
        <f>2*L66*AA66*AC66^0.5*BF66*0.7/0.7</f>
        <v>253.35086389095216</v>
      </c>
      <c r="BH66" s="4">
        <f>MAX(1-0.7*AD66/5,0.3)</f>
        <v>0.46800000000000008</v>
      </c>
      <c r="BI66" s="4">
        <f>BH66*I66*K66/(I66*M66/2.75/L66^0.5)</f>
        <v>57.669917078515923</v>
      </c>
      <c r="BJ66" s="4">
        <f>BG66+BI66</f>
        <v>311.02078096946809</v>
      </c>
      <c r="BL66" s="4">
        <f>MIN(1.5, 0.75+0.25*MIN(3,MAX(1,R66/M66))+0.4*MIN(1,(40*2*PI()*AL66^2/4/AN66/W66)/M66))</f>
        <v>1.5</v>
      </c>
      <c r="BM66" s="4">
        <f>(3*O66+30)*BL66*L66^0.5</f>
        <v>436.80991870017158</v>
      </c>
      <c r="BO66" s="4">
        <f>3.4/PI()^0.5*L66*AA66*AD66^0.5*BF66</f>
        <v>242.99446126317099</v>
      </c>
      <c r="BP66" s="4">
        <f>8/3*AG66*AH66^2/(AF66-M66-22)/M66*(AF66^2-M66^2)/(AF66^2-(M66+22)^2)</f>
        <v>0</v>
      </c>
      <c r="BQ66" s="4">
        <f>BP66/BO66</f>
        <v>0</v>
      </c>
      <c r="BY66" s="4">
        <f>IF(V66=0,R66,MIN(V66/2,R66))</f>
        <v>67.309999999999988</v>
      </c>
      <c r="CC66" s="9"/>
      <c r="CE66" s="9"/>
      <c r="CF66" s="9"/>
      <c r="CG66" s="9">
        <f>IF(V66=0,MIN(R66,T66),MIN(V66/2,R66,T66))</f>
        <v>67.309999999999988</v>
      </c>
      <c r="CH66" s="9">
        <f>MAX(V66/2,R66)</f>
        <v>171.19600000000003</v>
      </c>
      <c r="CI66" s="9">
        <f>(CG66/M66)^0.5*(CH66/CG66)^0.15</f>
        <v>1.5769774531015164</v>
      </c>
      <c r="CJ66" s="70">
        <f>IF(AN66&gt;1,20,0)</f>
        <v>20</v>
      </c>
      <c r="CK66" s="9">
        <f>MIN(PI()*AL66^2/4*AM66*2/W66/M66/MAX(0.01,AN66),0.05)</f>
        <v>0.05</v>
      </c>
      <c r="CL66" s="9">
        <f>MAX(0,CJ66*(CK66-0.5/50))</f>
        <v>0.8</v>
      </c>
      <c r="CM66" s="9">
        <f>MIN(1,(25/M66)^0.3)</f>
        <v>0.89777220146327208</v>
      </c>
      <c r="CN66" s="9">
        <f>IF(I66&gt;=800,0.68,IF(I66&gt;=700,0.75-(I66-700)*0.07/100,IF(I66&gt;=600,0.85-(I66-600)*0.1/100,IF(I66&gt;=500,1-(I66-500)*0.15/100,1.2-(I66-400)*0.2/100))))</f>
        <v>0.68</v>
      </c>
      <c r="CO66" s="9">
        <f>1.75*CM66*CN66*(L66/25)^0.5</f>
        <v>1.1166233434875248</v>
      </c>
      <c r="CP66" s="9">
        <f>MIN((CI66+CL66)*CO66,2.5*CO66,L66^0.5)</f>
        <v>2.6541885110766765</v>
      </c>
      <c r="CQ66" s="40">
        <v>1</v>
      </c>
      <c r="CR66" s="9">
        <f>4*CP66*O66+60*CP66</f>
        <v>250.28432938493256</v>
      </c>
      <c r="CT66" s="4">
        <f>AI66/BE66</f>
        <v>1.4621260776285192</v>
      </c>
      <c r="CU66" s="4">
        <f>AI66/BJ66</f>
        <v>1.1086962907496114</v>
      </c>
      <c r="CV66" s="4">
        <f>AI66/BM66</f>
        <v>0.78942251868503899</v>
      </c>
      <c r="CW66" s="4">
        <f>AI66/CR66</f>
        <v>1.3777434130786441</v>
      </c>
      <c r="CX66" s="4">
        <f>AI66/DY66</f>
        <v>2.8116811824808883</v>
      </c>
      <c r="CY66" s="4">
        <f>AI66/EK66</f>
        <v>0.99108586662496612</v>
      </c>
      <c r="CZ66" s="4">
        <f>AI66/GH66</f>
        <v>0.90287337363807318</v>
      </c>
      <c r="DA66" s="4">
        <f>AM66</f>
        <v>12</v>
      </c>
      <c r="DH66" s="4">
        <f>CT66</f>
        <v>1.4621260776285192</v>
      </c>
      <c r="DI66" s="4">
        <f>CU66</f>
        <v>1.1086962907496114</v>
      </c>
      <c r="DJ66" s="4">
        <f>CW66</f>
        <v>1.3777434130786441</v>
      </c>
      <c r="DK66" s="4">
        <f>CZ66</f>
        <v>0.90287337363807318</v>
      </c>
      <c r="DL66" s="4">
        <f>CX66</f>
        <v>2.8116811824808883</v>
      </c>
      <c r="DM66" s="4">
        <f>CY66</f>
        <v>0.99108586662496612</v>
      </c>
      <c r="DP66" s="4">
        <f>K66</f>
        <v>307.08599999999996</v>
      </c>
      <c r="DS66" s="4">
        <f>J66/4/(1-0.3*(L66/30)^0.5)/200000/M66</f>
        <v>1.5016286559411316E-5</v>
      </c>
      <c r="DT66" s="4">
        <f>EO66</f>
        <v>5.9931439923967753</v>
      </c>
      <c r="DU66" s="4">
        <f>EB66*AF66/257/L66/AC66</f>
        <v>0</v>
      </c>
      <c r="DV66" s="4">
        <f>DT66*DU66^0.4</f>
        <v>0</v>
      </c>
      <c r="DW66" s="4">
        <f>MIN(DT66, DT66/1.4*(1-DU66^1.4)/(1-DU66))</f>
        <v>4.2808171374262685</v>
      </c>
      <c r="DX66" s="4">
        <f>MAX(DT66/2, (4-DS66*(8*AF66*(DV66-DW66)+6*J66*DW66))/(4+DS66*J66*DT66)*DT66)</f>
        <v>5.8358233551723577</v>
      </c>
      <c r="DY66" s="38">
        <f>MIN(1/M66*(4*AF66*(DV66-DW66)+(3*DW66+DX66)*J66)+EB66 -FI66,MAX(I66,AI66))</f>
        <v>122.6410691067889</v>
      </c>
      <c r="DZ66" s="4">
        <f>DY66/FE66</f>
        <v>0.85051728613745803</v>
      </c>
      <c r="EA66" s="4">
        <f>AF66/M66</f>
        <v>2.1908902300206643</v>
      </c>
      <c r="EB66" s="4">
        <f>MIN(EA$10*BA66)</f>
        <v>0</v>
      </c>
      <c r="EF66" s="4">
        <f>IF(T66&gt;1*M66,0.85,1)</f>
        <v>0.85</v>
      </c>
      <c r="EG66" s="4">
        <f>MIN(1,MAX(0.7,(1-0.1*(BY66-1*M66)/M66)))</f>
        <v>0.91205673758865247</v>
      </c>
      <c r="EH66" s="4">
        <f>MIN(1,MAX(0.7,1-0.3*(PI()*AL66^2/4*AP66*2-0.25*PI()/4*M66^2)/(PI()/4*M66^2)))</f>
        <v>0.92410215783914285</v>
      </c>
      <c r="EI66" s="4">
        <f>IF(EG66*EH66&lt;0.7,0.7,EG66*EH66)</f>
        <v>0.84283359927740265</v>
      </c>
      <c r="EK66" s="4">
        <f>MIN(DT66/M66*3*J66+EL66-FI66,MAX(I66,AI66))</f>
        <v>347.92907236299209</v>
      </c>
      <c r="EL66" s="25">
        <f>13.3*P66*J66^0.5*L66^0.5/W66/M66^2*(0.7+R66/5/J66)</f>
        <v>193.76500668623251</v>
      </c>
      <c r="EN66" s="4">
        <f>EF66*EI66</f>
        <v>0.71640855938579218</v>
      </c>
      <c r="EO66" s="4">
        <f>IF(M66&lt;22.2,1.1*5*(L66/30)^0.5,IF(M66&gt;=31.8,0.9*5*(L66/30)^0.5,1*5*(L66/30)^0.5))/EF66/EI66</f>
        <v>5.9931439923967753</v>
      </c>
      <c r="ER66" s="4">
        <f>ES66*M66</f>
        <v>78.464542697960056</v>
      </c>
      <c r="ES66" s="4">
        <f>AE66^0.5</f>
        <v>2.1908902300206643</v>
      </c>
      <c r="ET66" s="4">
        <f>MIN(EB66)/(4700*L66^0.5)/AD66*ER66</f>
        <v>0</v>
      </c>
      <c r="EW66" s="4">
        <f>ET66</f>
        <v>0</v>
      </c>
      <c r="EX66" s="4">
        <f>MIN(0.999, EW66/(0.3*(L66/30)^0.5))</f>
        <v>0</v>
      </c>
      <c r="EY66" s="4">
        <f>EO66/1*EX66^0.4</f>
        <v>0</v>
      </c>
      <c r="EZ66" s="4">
        <f>EO66/1.4*(1-EX66^1.4)/(1-EX66)</f>
        <v>4.2808171374262685</v>
      </c>
      <c r="FA66" s="4">
        <f>MAX(0,DP66*FA$9-ER66)</f>
        <v>0</v>
      </c>
      <c r="FB66" s="4">
        <f>MAX(0,DP66-ER66-FA66)</f>
        <v>228.62145730203991</v>
      </c>
      <c r="FC66" s="4">
        <f>FB66/(1-0.3*(L66/30)^0.5)/200000/M66</f>
        <v>4.4717705352606759E-5</v>
      </c>
      <c r="FD66" s="4">
        <f>MAX(0.5*EO66, (1-2*FC66*(ER66*EY66+FA66*EZ66))/(1/EO66+FC66*FB66))</f>
        <v>5.6471410091918273</v>
      </c>
      <c r="FE66" s="4">
        <f>MIN(4/M66*(1*EY66*ER66+EZ66*FA66+FB66*FD66)+EB66,MAX(I66,AI66))</f>
        <v>144.19585716329348</v>
      </c>
      <c r="FN66" s="23">
        <f>IF(CT66&lt;0.6,0.6,IF(CT66&lt;0.8,0.8,IF(CT66&lt;1,1,IF(CT66&lt;1.2,1.2,IF(CT66&lt;1.4,1.4,IF(CT66&lt;1.6,1.6,IF(CT66&lt;1.8,1.8,IF(CT66&lt;2,2,2.2))))))))</f>
        <v>1.6</v>
      </c>
      <c r="FO66" s="23">
        <f>IF(CU66&lt;0.6,0.6,IF(CU66&lt;0.8,0.8,IF(CU66&lt;1,1,IF(CU66&lt;1.2,1.2,IF(CU66&lt;1.4,1.4,IF(CU66&lt;1.6,1.6,IF(CU66&lt;1.8,1.8,IF(CU66&lt;2,2,2.2))))))))</f>
        <v>1.2</v>
      </c>
      <c r="FP66" s="23">
        <f>IF(CZ66&lt;0.6,0.6,IF(CZ66&lt;0.8,0.8,IF(CZ66&lt;1,1,IF(CZ66&lt;1.2,1.2,IF(CZ66&lt;1.4,1.4,IF(CZ66&lt;1.6,1.6,IF(CZ66&lt;1.8,1.8,IF(CZ66&lt;2,2,2.2))))))))</f>
        <v>1</v>
      </c>
      <c r="FQ66" s="23">
        <f>IF(CW66&lt;0.6,0.6,IF(CW66&lt;0.8,0.8,IF(CW66&lt;1,1,IF(CW66&lt;1.2,1.2,IF(CW66&lt;1.4,1.4,IF(CW66&lt;1.6,1.6,IF(CW66&lt;1.8,1.8,IF(CW66&lt;2,2,2.2))))))))</f>
        <v>1.4</v>
      </c>
      <c r="FR66" s="23">
        <f>IF(CX66&lt;0.6,0.6,IF(CX66&lt;0.8,0.8,IF(CX66&lt;1,1,IF(CX66&lt;1.2,1.2,IF(CX66&lt;1.4,1.4,IF(CX66&lt;1.6,1.6,IF(CX66&lt;1.8,1.8,IF(CX66&lt;2,2,2.2))))))))</f>
        <v>2.2000000000000002</v>
      </c>
      <c r="FS66" s="23">
        <f>IF(CY66&lt;0.6,0.6,IF(CY66&lt;0.8,0.8,IF(CY66&lt;1,1,IF(CY66&lt;1.2,1.2,IF(CY66&lt;1.4,1.4,IF(CY66&lt;1.6,1.6,IF(CY66&lt;1.8,1.8,IF(CY66&lt;2,2,2.2))))))))</f>
        <v>1</v>
      </c>
      <c r="FT66" s="23">
        <f>IF(FR66&lt;1,1,0)</f>
        <v>0</v>
      </c>
      <c r="FU66" s="23"/>
      <c r="GE66" s="4">
        <f>IF(R66&gt;=2.5*25.4,1,1.25)</f>
        <v>1</v>
      </c>
      <c r="GF66" s="4">
        <f>IF(AN66&gt;1, 0.05*(18-MIN(8,(V66+M66)/M66))*(1-48000/MAX(60000,(I66*145))*(M66/25.4)^0.75*GG66), 1/12*(14-MIN(8,(V66+M66)/M66)))</f>
        <v>0.43098983553339404</v>
      </c>
      <c r="GG66" s="4">
        <f>MIN(0.3, AL66^2*PI()/4*2*AO66/(M66^2*PI()/4*W66))</f>
        <v>0.3</v>
      </c>
      <c r="GH66" s="4">
        <f>(J66/25.4)/(M66/25.4)^1.5/0.0024*(L66*145)^0.25/GE66/GF66/145</f>
        <v>381.92242265095808</v>
      </c>
    </row>
    <row r="67" spans="1:190" s="4" customFormat="1" ht="12" customHeight="1" x14ac:dyDescent="0.3">
      <c r="A67" s="25">
        <v>387</v>
      </c>
      <c r="B67" s="4" t="s">
        <v>605</v>
      </c>
      <c r="C67" s="4">
        <v>2016</v>
      </c>
      <c r="D67" s="4" t="s">
        <v>309</v>
      </c>
      <c r="E67" s="14" t="s">
        <v>675</v>
      </c>
      <c r="F67" s="14" t="s">
        <v>809</v>
      </c>
      <c r="G67" s="7" t="s">
        <v>554</v>
      </c>
      <c r="H67" s="5">
        <f t="shared" si="0"/>
        <v>0.76799282319297568</v>
      </c>
      <c r="I67" s="90">
        <f>135/0.145</f>
        <v>931.0344827586207</v>
      </c>
      <c r="J67" s="89">
        <f>12.13*25.4</f>
        <v>308.10199999999998</v>
      </c>
      <c r="K67" s="4">
        <f>J67</f>
        <v>308.10199999999998</v>
      </c>
      <c r="L67" s="44">
        <f>3960/145</f>
        <v>27.310344827586206</v>
      </c>
      <c r="M67" s="38">
        <f>1.41*25.4</f>
        <v>35.813999999999993</v>
      </c>
      <c r="N67" s="7">
        <f>J67/M67</f>
        <v>8.6028368794326244</v>
      </c>
      <c r="O67" s="7">
        <f>K67/M67</f>
        <v>8.6028368794326244</v>
      </c>
      <c r="P67" s="38">
        <f>21.7*25.4</f>
        <v>551.17999999999995</v>
      </c>
      <c r="Q67" s="32">
        <f>R67/M67</f>
        <v>1.8794326241134751</v>
      </c>
      <c r="R67" s="38">
        <f>2.65*25.4</f>
        <v>67.309999999999988</v>
      </c>
      <c r="S67" s="32">
        <f>T67/M67</f>
        <v>2.3404255319148941</v>
      </c>
      <c r="T67" s="39">
        <f>3.3*25.4</f>
        <v>83.82</v>
      </c>
      <c r="U67" s="32">
        <f>V67/M67</f>
        <v>9.6312056737588669</v>
      </c>
      <c r="V67" s="7">
        <f>(P67-W67*M67-2*R67)/(W67-1)</f>
        <v>344.93200000000002</v>
      </c>
      <c r="W67" s="38">
        <v>2</v>
      </c>
      <c r="X67" s="122">
        <f>AM67</f>
        <v>0</v>
      </c>
      <c r="Y67" s="32">
        <f>Z67/M67</f>
        <v>14.18439716312057</v>
      </c>
      <c r="Z67" s="4">
        <f>20*25.4</f>
        <v>508</v>
      </c>
      <c r="AA67" s="7">
        <f>MIN(R67/M67+0.5, V67/2/M67+0.5)</f>
        <v>2.3794326241134751</v>
      </c>
      <c r="AB67" s="7">
        <f>R67/M67+0.5</f>
        <v>2.3794326241134751</v>
      </c>
      <c r="AC67" s="38">
        <v>8.6</v>
      </c>
      <c r="AD67" s="4">
        <f>AC67</f>
        <v>8.6</v>
      </c>
      <c r="AE67" s="4">
        <f>AD67+1</f>
        <v>9.6</v>
      </c>
      <c r="AF67" s="7">
        <f>M67*AE67^0.5</f>
        <v>110.96562044885792</v>
      </c>
      <c r="AI67" s="38">
        <f>AJ67/0.145</f>
        <v>282.06896551724139</v>
      </c>
      <c r="AJ67" s="4">
        <v>40.9</v>
      </c>
      <c r="AK67" s="4">
        <f>CX67</f>
        <v>2.8282898746155274</v>
      </c>
      <c r="AL67" s="38">
        <v>0</v>
      </c>
      <c r="AM67" s="38">
        <v>0</v>
      </c>
      <c r="AN67" s="39">
        <f>K67</f>
        <v>308.10199999999998</v>
      </c>
      <c r="AO67" s="39"/>
      <c r="AP67" s="39"/>
      <c r="AQ67" s="7"/>
      <c r="AR67" s="4">
        <f>J67</f>
        <v>308.10199999999998</v>
      </c>
      <c r="AS67" s="4">
        <f>IF(J67*3&gt;V67+M67, P67, (R67+M67/2)*2+1.5*J67*(2*W67-2))*(3*J67)/(9*J67^2)</f>
        <v>0.59631766968947519</v>
      </c>
      <c r="AT67" s="4">
        <f>MIN(10*L67^0.5*J67^1.5,100*3.9*L67^0.5*J67^(5/3))/(PI()/4*M67^2)/W67</f>
        <v>140.27485630559957</v>
      </c>
      <c r="AU67" s="4">
        <f>MIN(0.7+0.3*(MIN(R67,Z67)+0.5*M67)/1.5/J67,1)</f>
        <v>0.75531739488870564</v>
      </c>
      <c r="AV67" s="4">
        <v>1.25</v>
      </c>
      <c r="AW67" s="4">
        <f>AW66</f>
        <v>5</v>
      </c>
      <c r="AX67" s="38">
        <f>AS67*AU67*AV67*AW67*AT67</f>
        <v>394.8817063442886</v>
      </c>
      <c r="AY67" s="38">
        <f>AX67</f>
        <v>394.8817063442886</v>
      </c>
      <c r="AZ67" s="38">
        <f>IF(L67&lt;50, 0.3*L67^(2/3), 2.12*LN(1+0.1*(L67+8)))</f>
        <v>2.7206502209498358</v>
      </c>
      <c r="BA67" s="38">
        <f>AW67* (L67^0.5/AR67^0.5)/(PI()/4*M67^2)/W67/0.72 *(0.7+(MIN(R67,Z67)+0.5*M67)/5/J67) *(3*P67*J67)</f>
        <v>394.88170634428917</v>
      </c>
      <c r="BB67" s="38">
        <f>AX67/BA67</f>
        <v>0.99999999999999856</v>
      </c>
      <c r="BC67" s="38">
        <f>BG67/BA67</f>
        <v>0.96518997436823262</v>
      </c>
      <c r="BD67" s="4">
        <f>IF(BC67&lt;1,1,0)</f>
        <v>1</v>
      </c>
      <c r="BE67" s="4">
        <f>K67/M67*L67^0.5/0.19</f>
        <v>236.62012481140215</v>
      </c>
      <c r="BF67" s="4">
        <f>MIN(0.6+0.4*(AB67/AA67),2)</f>
        <v>1</v>
      </c>
      <c r="BG67" s="38">
        <f>2*L67*AA67*AC67^0.5*BF67*0.7/0.7</f>
        <v>381.13586402492842</v>
      </c>
      <c r="BH67" s="4">
        <f>MAX(1-0.7*AD67/5,0.3)</f>
        <v>0.3</v>
      </c>
      <c r="BI67" s="4">
        <f>BH67*I67*K67/(I67*M67/2.75/L67^0.5)</f>
        <v>37.090204564187296</v>
      </c>
      <c r="BJ67" s="4">
        <f>BG67+BI67</f>
        <v>418.2260685891157</v>
      </c>
      <c r="BL67" s="4">
        <f>MIN(1.5, 0.75+0.25*MIN(3,MAX(1,R67/M67))+0.4*MIN(1,(40*2*PI()*AL67^2/4/AN67/W67)/M67))</f>
        <v>1.2198581560283688</v>
      </c>
      <c r="BM67" s="4">
        <f>(3*O67+30)*BL67*L67^0.5</f>
        <v>355.77330542506638</v>
      </c>
      <c r="BO67" s="4">
        <f>3.4/PI()^0.5*L67*AA67*AD67^0.5*BF67</f>
        <v>365.55590347887568</v>
      </c>
      <c r="BP67" s="4">
        <f>8/3*AG67*AH67^2/(AF67-M67-22)/M67*(AF67^2-M67^2)/(AF67^2-(M67+22)^2)</f>
        <v>0</v>
      </c>
      <c r="BQ67" s="4">
        <f>BP67/BO67</f>
        <v>0</v>
      </c>
      <c r="BY67" s="4">
        <f>IF(V67=0,R67,MIN(V67/2,R67))</f>
        <v>67.309999999999988</v>
      </c>
      <c r="CC67" s="9"/>
      <c r="CE67" s="9"/>
      <c r="CF67" s="9"/>
      <c r="CG67" s="9">
        <f>IF(V67=0,MIN(R67,T67),MIN(V67/2,R67,T67))</f>
        <v>67.309999999999988</v>
      </c>
      <c r="CH67" s="9">
        <f>MAX(V67/2,R67)</f>
        <v>172.46600000000001</v>
      </c>
      <c r="CI67" s="9">
        <f>(CG67/M67)^0.5*(CH67/CG67)^0.15</f>
        <v>1.5787267425904519</v>
      </c>
      <c r="CJ67" s="70">
        <f>IF(AN67&gt;1,20,0)</f>
        <v>20</v>
      </c>
      <c r="CK67" s="9">
        <f>MIN(PI()*AL67^2/4*AM67*2/W67/M67/MAX(0.01,AN67),0.05)</f>
        <v>0</v>
      </c>
      <c r="CL67" s="9">
        <f>MAX(0,CJ67*(CK67-0.5/50))</f>
        <v>0</v>
      </c>
      <c r="CM67" s="9">
        <f>MIN(1,(25/M67)^0.3)</f>
        <v>0.89777220146327208</v>
      </c>
      <c r="CN67" s="9">
        <f>IF(I67&gt;=800,0.68,IF(I67&gt;=700,0.75-(I67-700)*0.07/100,IF(I67&gt;=600,0.85-(I67-600)*0.1/100,IF(I67&gt;=500,1-(I67-500)*0.15/100,1.2-(I67-400)*0.2/100))))</f>
        <v>0.68</v>
      </c>
      <c r="CO67" s="9">
        <f>1.75*CM67*CN67*(L67/25)^0.5</f>
        <v>1.1166233434875248</v>
      </c>
      <c r="CP67" s="9">
        <f>MIN((CI67+CL67)*CO67,2.5*CO67,L67^0.5)</f>
        <v>1.7628431337645192</v>
      </c>
      <c r="CQ67" s="40">
        <v>1</v>
      </c>
      <c r="CR67" s="9">
        <f>4*CP67*O67+60*CP67</f>
        <v>166.43239572108709</v>
      </c>
      <c r="CT67" s="4">
        <f>AI67/BE67</f>
        <v>1.1920751277688835</v>
      </c>
      <c r="CU67" s="4">
        <f>AI67/BJ67</f>
        <v>0.67444137681039384</v>
      </c>
      <c r="CV67" s="4">
        <f>AI67/BM67</f>
        <v>0.79283341728023848</v>
      </c>
      <c r="CW67" s="4">
        <f>AI67/CR67</f>
        <v>1.6947960419312951</v>
      </c>
      <c r="CX67" s="4">
        <f>AI67/DY67</f>
        <v>2.8282898746155274</v>
      </c>
      <c r="CY67" s="4">
        <f>AI67/EK67</f>
        <v>0.8348184273807373</v>
      </c>
      <c r="CZ67" s="4">
        <f>AI67/GH67</f>
        <v>0.85398182075671547</v>
      </c>
      <c r="DA67" s="4">
        <f>AM67</f>
        <v>0</v>
      </c>
      <c r="DB67" s="4">
        <f>CT67</f>
        <v>1.1920751277688835</v>
      </c>
      <c r="DC67" s="4">
        <f>CU67</f>
        <v>0.67444137681039384</v>
      </c>
      <c r="DD67" s="4">
        <f>CW67</f>
        <v>1.6947960419312951</v>
      </c>
      <c r="DE67" s="4">
        <f>CZ67</f>
        <v>0.85398182075671547</v>
      </c>
      <c r="DF67" s="4">
        <f>CX67</f>
        <v>2.8282898746155274</v>
      </c>
      <c r="DG67" s="4">
        <f>CY67</f>
        <v>0.8348184273807373</v>
      </c>
      <c r="DP67" s="4">
        <f>K67</f>
        <v>308.10199999999998</v>
      </c>
      <c r="DS67" s="4">
        <f>J67/4/(1-0.3*(L67/30)^0.5)/200000/M67</f>
        <v>1.5065968235372974E-5</v>
      </c>
      <c r="DT67" s="4">
        <f>EO67</f>
        <v>5.5382772956145558</v>
      </c>
      <c r="DU67" s="4">
        <f>EB67*AF67/257/L67/AC67</f>
        <v>0</v>
      </c>
      <c r="DV67" s="4">
        <f>DT67*DU67^0.4</f>
        <v>0</v>
      </c>
      <c r="DW67" s="4">
        <f>MIN(DT67, DT67/1.4*(1-DU67^1.4)/(1-DU67))</f>
        <v>3.9559123540103971</v>
      </c>
      <c r="DX67" s="4">
        <f>MAX(DT67/2, (4-DS67*(8*AF67*(DV67-DW67)+6*J67*DW67))/(4+DS67*J67*DT67)*DT67)</f>
        <v>5.4241243601216595</v>
      </c>
      <c r="DY67" s="38">
        <f>MIN(1/M67*(4*AF67*(DV67-DW67)+(3*DW67+DX67)*J67)+EB67 -FI67,MAX(I67,AI67))</f>
        <v>99.731278624891786</v>
      </c>
      <c r="DZ67" s="4">
        <f>DY67/FE67</f>
        <v>0.85229843376431003</v>
      </c>
      <c r="EA67" s="4">
        <f>AF67/M67</f>
        <v>3.0983866769659336</v>
      </c>
      <c r="EB67" s="4">
        <f>MIN(EA$10*BA67)</f>
        <v>0</v>
      </c>
      <c r="EF67" s="4">
        <f>IF(T67&gt;1*M67,0.85,1)</f>
        <v>0.85</v>
      </c>
      <c r="EG67" s="4">
        <f>MIN(1,MAX(0.7,(1-0.1*(BY67-1*M67)/M67)))</f>
        <v>0.91205673758865247</v>
      </c>
      <c r="EH67" s="4">
        <f>MIN(1,MAX(0.7,1-0.3*(PI()*AL67^2/4*AP67*2-0.25*PI()/4*M67^2)/(PI()/4*M67^2)))</f>
        <v>1</v>
      </c>
      <c r="EI67" s="4">
        <f>IF(EG67*EH67&lt;0.7,0.7,EG67*EH67)</f>
        <v>0.91205673758865247</v>
      </c>
      <c r="EK67" s="4">
        <f>MIN(DT67/M67*3*J67+EL67-FI67,MAX(I67,AI67))</f>
        <v>337.88061722863438</v>
      </c>
      <c r="EL67" s="25">
        <f>13.3*P67*J67^0.5*L67^0.5/W67/M67^2*(0.7+R67/5/J67)</f>
        <v>194.94592872692252</v>
      </c>
      <c r="EN67" s="4">
        <f>EF67*EI67</f>
        <v>0.77524822695035456</v>
      </c>
      <c r="EO67" s="4">
        <f>IF(M67&lt;22.2,1.1*5*(L67/30)^0.5,IF(M67&gt;=31.8,0.9*5*(L67/30)^0.5,1*5*(L67/30)^0.5))/EF67/EI67</f>
        <v>5.5382772956145558</v>
      </c>
      <c r="ER67" s="4">
        <f>ES67*M67</f>
        <v>110.96562044885792</v>
      </c>
      <c r="ES67" s="4">
        <f>AE67^0.5</f>
        <v>3.0983866769659336</v>
      </c>
      <c r="ET67" s="4">
        <f>MIN(EB67)/(4700*L67^0.5)/AD67*ER67</f>
        <v>0</v>
      </c>
      <c r="EW67" s="4">
        <f>ET67</f>
        <v>0</v>
      </c>
      <c r="EX67" s="4">
        <f>MIN(0.999, EW67/(0.3*(L67/30)^0.5))</f>
        <v>0</v>
      </c>
      <c r="EY67" s="4">
        <f>EO67/1*EX67^0.4</f>
        <v>0</v>
      </c>
      <c r="EZ67" s="4">
        <f>EO67/1.4*(1-EX67^1.4)/(1-EX67)</f>
        <v>3.9559123540103971</v>
      </c>
      <c r="FA67" s="4">
        <f>MAX(0,DP67*FA$9-ER67)</f>
        <v>0</v>
      </c>
      <c r="FB67" s="4">
        <f>MAX(0,DP67-ER67-FA67)</f>
        <v>197.13637955114206</v>
      </c>
      <c r="FC67" s="4">
        <f>FB67/(1-0.3*(L67/30)^0.5)/200000/M67</f>
        <v>3.8559313894151118E-5</v>
      </c>
      <c r="FD67" s="4">
        <f>MAX(0.5*EO67, (1-2*FC67*(ER67*EY67+FA67*EZ67))/(1/EO67+FC67*FB67))</f>
        <v>5.3145409558551018</v>
      </c>
      <c r="FE67" s="4">
        <f>MIN(4/M67*(1*EY67*ER67+EZ67*FA67+FB67*FD67)+EB67,MAX(I67,AI67))</f>
        <v>117.01450416189657</v>
      </c>
      <c r="FN67" s="23">
        <f>IF(CT67&lt;0.6,0.6,IF(CT67&lt;0.8,0.8,IF(CT67&lt;1,1,IF(CT67&lt;1.2,1.2,IF(CT67&lt;1.4,1.4,IF(CT67&lt;1.6,1.6,IF(CT67&lt;1.8,1.8,IF(CT67&lt;2,2,2.2))))))))</f>
        <v>1.2</v>
      </c>
      <c r="FO67" s="23">
        <f>IF(CU67&lt;0.6,0.6,IF(CU67&lt;0.8,0.8,IF(CU67&lt;1,1,IF(CU67&lt;1.2,1.2,IF(CU67&lt;1.4,1.4,IF(CU67&lt;1.6,1.6,IF(CU67&lt;1.8,1.8,IF(CU67&lt;2,2,2.2))))))))</f>
        <v>0.8</v>
      </c>
      <c r="FP67" s="23">
        <f>IF(CZ67&lt;0.6,0.6,IF(CZ67&lt;0.8,0.8,IF(CZ67&lt;1,1,IF(CZ67&lt;1.2,1.2,IF(CZ67&lt;1.4,1.4,IF(CZ67&lt;1.6,1.6,IF(CZ67&lt;1.8,1.8,IF(CZ67&lt;2,2,2.2))))))))</f>
        <v>1</v>
      </c>
      <c r="FQ67" s="23">
        <f>IF(CW67&lt;0.6,0.6,IF(CW67&lt;0.8,0.8,IF(CW67&lt;1,1,IF(CW67&lt;1.2,1.2,IF(CW67&lt;1.4,1.4,IF(CW67&lt;1.6,1.6,IF(CW67&lt;1.8,1.8,IF(CW67&lt;2,2,2.2))))))))</f>
        <v>1.8</v>
      </c>
      <c r="FR67" s="23">
        <f>IF(CX67&lt;0.6,0.6,IF(CX67&lt;0.8,0.8,IF(CX67&lt;1,1,IF(CX67&lt;1.2,1.2,IF(CX67&lt;1.4,1.4,IF(CX67&lt;1.6,1.6,IF(CX67&lt;1.8,1.8,IF(CX67&lt;2,2,2.2))))))))</f>
        <v>2.2000000000000002</v>
      </c>
      <c r="FS67" s="23">
        <f>IF(CY67&lt;0.6,0.6,IF(CY67&lt;0.8,0.8,IF(CY67&lt;1,1,IF(CY67&lt;1.2,1.2,IF(CY67&lt;1.4,1.4,IF(CY67&lt;1.6,1.6,IF(CY67&lt;1.8,1.8,IF(CY67&lt;2,2,2.2))))))))</f>
        <v>1</v>
      </c>
      <c r="FT67" s="23">
        <f>IF(FR67&lt;1,1,0)</f>
        <v>0</v>
      </c>
      <c r="FU67" s="23"/>
      <c r="GE67" s="4">
        <f>IF(R67&gt;=2.5*25.4,1,1.25)</f>
        <v>1</v>
      </c>
      <c r="GF67" s="4">
        <f>IF(AN67&gt;1, 0.05*(18-MIN(8,(V67+M67)/M67))*(1-48000/MAX(60000,(I67*145))*(M67/25.4)^0.75*GG67), 1/12*(14-MIN(8,(V67+M67)/M67)))</f>
        <v>0.5</v>
      </c>
      <c r="GG67" s="4">
        <f>MIN(0.3, AL67^2*PI()/4*2*AO67/(M67^2*PI()/4*W67))</f>
        <v>0</v>
      </c>
      <c r="GH67" s="4">
        <f>(J67/25.4)/(M67/25.4)^1.5/0.0024*(L67*145)^0.25/GE67/GF67/145</f>
        <v>330.29855983034787</v>
      </c>
    </row>
    <row r="68" spans="1:190" s="4" customFormat="1" ht="12" customHeight="1" x14ac:dyDescent="0.3">
      <c r="A68" s="25">
        <v>388</v>
      </c>
      <c r="B68" s="4" t="s">
        <v>605</v>
      </c>
      <c r="C68" s="4">
        <v>2016</v>
      </c>
      <c r="D68" s="4" t="s">
        <v>309</v>
      </c>
      <c r="E68" s="14" t="s">
        <v>675</v>
      </c>
      <c r="F68" s="14" t="s">
        <v>809</v>
      </c>
      <c r="G68" s="7" t="s">
        <v>555</v>
      </c>
      <c r="H68" s="5">
        <f t="shared" si="0"/>
        <v>0.77667098365419185</v>
      </c>
      <c r="I68" s="90">
        <f>135/0.145</f>
        <v>931.0344827586207</v>
      </c>
      <c r="J68" s="38">
        <f>12.56*25.4</f>
        <v>319.024</v>
      </c>
      <c r="K68" s="4">
        <f>J68</f>
        <v>319.024</v>
      </c>
      <c r="L68" s="44">
        <f>4050/145</f>
        <v>27.931034482758619</v>
      </c>
      <c r="M68" s="38">
        <f>1.41*25.4</f>
        <v>35.813999999999993</v>
      </c>
      <c r="N68" s="7">
        <f>J68/M68</f>
        <v>8.9078014184397176</v>
      </c>
      <c r="O68" s="7">
        <f>K68/M68</f>
        <v>8.9078014184397176</v>
      </c>
      <c r="P68" s="38">
        <f>22*25.4</f>
        <v>558.79999999999995</v>
      </c>
      <c r="Q68" s="32">
        <f>R68/M68</f>
        <v>1.9503546099290783</v>
      </c>
      <c r="R68" s="38">
        <f>2.75*25.4</f>
        <v>69.849999999999994</v>
      </c>
      <c r="S68" s="32">
        <f>T68/M68</f>
        <v>2.4113475177304968</v>
      </c>
      <c r="T68" s="39">
        <f>3.4*25.4</f>
        <v>86.36</v>
      </c>
      <c r="U68" s="32">
        <f>V68/M68</f>
        <v>9.7021276595744688</v>
      </c>
      <c r="V68" s="7">
        <f>(P68-W68*M68-2*R68)/(W68-1)</f>
        <v>347.47199999999998</v>
      </c>
      <c r="W68" s="38">
        <v>2</v>
      </c>
      <c r="X68" s="122">
        <f>AM68</f>
        <v>12</v>
      </c>
      <c r="Y68" s="32">
        <f>Z68/M68</f>
        <v>14.18439716312057</v>
      </c>
      <c r="Z68" s="4">
        <f>20*25.4</f>
        <v>508</v>
      </c>
      <c r="AA68" s="7">
        <f>MIN(R68/M68+0.5, V68/2/M68+0.5)</f>
        <v>2.4503546099290783</v>
      </c>
      <c r="AB68" s="7">
        <f>R68/M68+0.5</f>
        <v>2.4503546099290783</v>
      </c>
      <c r="AC68" s="38">
        <v>8.6</v>
      </c>
      <c r="AD68" s="4">
        <f>AC68</f>
        <v>8.6</v>
      </c>
      <c r="AE68" s="4">
        <f>AD68+1</f>
        <v>9.6</v>
      </c>
      <c r="AF68" s="7">
        <f>M68*AE68^0.5</f>
        <v>110.96562044885792</v>
      </c>
      <c r="AI68" s="38">
        <f>AJ68/0.145</f>
        <v>350.34482758620692</v>
      </c>
      <c r="AJ68" s="4">
        <v>50.8</v>
      </c>
      <c r="AK68" s="4">
        <f>CX68</f>
        <v>3.0313139654100776</v>
      </c>
      <c r="AL68" s="38">
        <f>0.5*25.4</f>
        <v>12.7</v>
      </c>
      <c r="AM68" s="38">
        <v>12</v>
      </c>
      <c r="AN68" s="39">
        <f>4*25.4</f>
        <v>101.6</v>
      </c>
      <c r="AO68" s="39">
        <v>4</v>
      </c>
      <c r="AP68" s="39">
        <v>2</v>
      </c>
      <c r="AQ68" s="7"/>
      <c r="AR68" s="4">
        <f>J68</f>
        <v>319.024</v>
      </c>
      <c r="AS68" s="4">
        <f>IF(J68*3&gt;V68+M68, P68, (R68+M68/2)*2+1.5*J68*(2*W68-2))*(3*J68)/(9*J68^2)</f>
        <v>0.58386411889596601</v>
      </c>
      <c r="AT68" s="4">
        <f>MIN(10*L68^0.5*J68^1.5,100*3.9*L68^0.5*J68^(5/3))/(PI()/4*M68^2)/W68</f>
        <v>149.46964702918689</v>
      </c>
      <c r="AU68" s="4">
        <f>MIN(0.7+0.3*(MIN(R68,Z68)+0.5*M68)/1.5/J68,1)</f>
        <v>0.75501592356687897</v>
      </c>
      <c r="AV68" s="4">
        <v>1.25</v>
      </c>
      <c r="AW68" s="4">
        <f>AW67</f>
        <v>5</v>
      </c>
      <c r="AX68" s="38">
        <f>AS68*AU68*AV68*AW68*AT68</f>
        <v>411.81382682010565</v>
      </c>
      <c r="AY68" s="38">
        <f>AX68</f>
        <v>411.81382682010565</v>
      </c>
      <c r="AZ68" s="38">
        <f>IF(L68&lt;50, 0.3*L68^(2/3), 2.12*LN(1+0.1*(L68+8)))</f>
        <v>2.761717606769436</v>
      </c>
      <c r="BA68" s="38">
        <f>AW68* (L68^0.5/AR68^0.5)/(PI()/4*M68^2)/W68/0.72 *(0.7+(MIN(R68,Z68)+0.5*M68)/5/J68) *(3*P68*J68)</f>
        <v>411.81382682010599</v>
      </c>
      <c r="BB68" s="38">
        <f>AX68/BA68</f>
        <v>0.99999999999999922</v>
      </c>
      <c r="BC68" s="38">
        <f>BG68/BA68</f>
        <v>0.97475227433457767</v>
      </c>
      <c r="BD68" s="4">
        <f>IF(BC68&lt;1,1,0)</f>
        <v>1</v>
      </c>
      <c r="BE68" s="4">
        <f>K68/M68*L68^0.5/0.19</f>
        <v>247.77668388929484</v>
      </c>
      <c r="BF68" s="4">
        <f>MIN(0.6+0.4*(AB68/AA68),2)</f>
        <v>1</v>
      </c>
      <c r="BG68" s="38">
        <f>2*L68*AA68*AC68^0.5*BF68*0.7/0.7</f>
        <v>401.4164642953242</v>
      </c>
      <c r="BH68" s="4">
        <f>MAX(1-0.7*AD68/5,0.3)</f>
        <v>0.3</v>
      </c>
      <c r="BI68" s="4">
        <f>BH68*I68*K68/(I68*M68/2.75/L68^0.5)</f>
        <v>38.838995199646973</v>
      </c>
      <c r="BJ68" s="4">
        <f>BG68+BI68</f>
        <v>440.25545949497121</v>
      </c>
      <c r="BL68" s="4">
        <f>MIN(1.5, 0.75+0.25*MIN(3,MAX(1,R68/M68))+0.4*MIN(1,(40*2*PI()*AL68^2/4/AN68/W68)/M68))</f>
        <v>1.5</v>
      </c>
      <c r="BM68" s="4">
        <f>(3*O68+30)*BL68*L68^0.5</f>
        <v>449.673253628802</v>
      </c>
      <c r="BO68" s="4">
        <f>3.4/PI()^0.5*L68*AA68*AD68^0.5*BF68</f>
        <v>385.00747929398597</v>
      </c>
      <c r="BP68" s="4">
        <f>8/3*AG68*AH68^2/(AF68-M68-22)/M68*(AF68^2-M68^2)/(AF68^2-(M68+22)^2)</f>
        <v>0</v>
      </c>
      <c r="BQ68" s="4">
        <f>BP68/BO68</f>
        <v>0</v>
      </c>
      <c r="BY68" s="4">
        <f>IF(V68=0,R68,MIN(V68/2,R68))</f>
        <v>69.849999999999994</v>
      </c>
      <c r="CC68" s="9"/>
      <c r="CE68" s="9"/>
      <c r="CF68" s="9"/>
      <c r="CG68" s="9">
        <f>IF(V68=0,MIN(R68,T68),MIN(V68/2,R68,T68))</f>
        <v>69.849999999999994</v>
      </c>
      <c r="CH68" s="9">
        <f>MAX(V68/2,R68)</f>
        <v>173.73599999999999</v>
      </c>
      <c r="CI68" s="9">
        <f>(CG68/M68)^0.5*(CH68/CG68)^0.15</f>
        <v>1.6010883658280048</v>
      </c>
      <c r="CJ68" s="70">
        <f>IF(AN68&gt;1,20,0)</f>
        <v>20</v>
      </c>
      <c r="CK68" s="9">
        <f>MIN(PI()*AL68^2/4*AM68*2/W68/M68/MAX(0.01,AN68),0.05)</f>
        <v>0.05</v>
      </c>
      <c r="CL68" s="9">
        <f>MAX(0,CJ68*(CK68-0.5/50))</f>
        <v>0.8</v>
      </c>
      <c r="CM68" s="9">
        <f>MIN(1,(25/M68)^0.3)</f>
        <v>0.89777220146327208</v>
      </c>
      <c r="CN68" s="9">
        <f>IF(I68&gt;=800,0.68,IF(I68&gt;=700,0.75-(I68-700)*0.07/100,IF(I68&gt;=600,0.85-(I68-600)*0.1/100,IF(I68&gt;=500,1-(I68-500)*0.15/100,1.2-(I68-400)*0.2/100))))</f>
        <v>0.68</v>
      </c>
      <c r="CO68" s="9">
        <f>1.75*CM68*CN68*(L68/25)^0.5</f>
        <v>1.129240956903802</v>
      </c>
      <c r="CP68" s="9">
        <f>MIN((CI68+CL68)*CO68,2.5*CO68,L68^0.5)</f>
        <v>2.7114073238382024</v>
      </c>
      <c r="CQ68" s="40">
        <v>1</v>
      </c>
      <c r="CR68" s="9">
        <f>4*CP68*O68+60*CP68</f>
        <v>259.29515145130728</v>
      </c>
      <c r="CT68" s="4">
        <f>AI68/BE68</f>
        <v>1.4139539769720177</v>
      </c>
      <c r="CU68" s="4">
        <f>AI68/BJ68</f>
        <v>0.79577622498559542</v>
      </c>
      <c r="CV68" s="4">
        <f>AI68/BM68</f>
        <v>0.77910977528454672</v>
      </c>
      <c r="CW68" s="4">
        <f>AI68/CR68</f>
        <v>1.3511429952518712</v>
      </c>
      <c r="CX68" s="4">
        <f>AI68/DY68</f>
        <v>3.0313139654100776</v>
      </c>
      <c r="CY68" s="4">
        <f>AI68/EK68</f>
        <v>0.95553229503146886</v>
      </c>
      <c r="CZ68" s="4">
        <f>AI68/GH68</f>
        <v>0.87804597345881741</v>
      </c>
      <c r="DA68" s="4">
        <f>AM68</f>
        <v>12</v>
      </c>
      <c r="DH68" s="4">
        <f>CT68</f>
        <v>1.4139539769720177</v>
      </c>
      <c r="DI68" s="4">
        <f>CU68</f>
        <v>0.79577622498559542</v>
      </c>
      <c r="DJ68" s="4">
        <f>CW68</f>
        <v>1.3511429952518712</v>
      </c>
      <c r="DK68" s="4">
        <f>CZ68</f>
        <v>0.87804597345881741</v>
      </c>
      <c r="DL68" s="4">
        <f>CX68</f>
        <v>3.0313139654100776</v>
      </c>
      <c r="DM68" s="4">
        <f>CY68</f>
        <v>0.95553229503146886</v>
      </c>
      <c r="DP68" s="4">
        <f>K68</f>
        <v>319.024</v>
      </c>
      <c r="DS68" s="4">
        <f>J68/4/(1-0.3*(L68/30)^0.5)/200000/M68</f>
        <v>1.5671059345984113E-5</v>
      </c>
      <c r="DT68" s="4">
        <f>EO68</f>
        <v>6.1083642273193455</v>
      </c>
      <c r="DU68" s="4">
        <f>EB68*AF68/257/L68/AC68</f>
        <v>0</v>
      </c>
      <c r="DV68" s="4">
        <f>DT68*DU68^0.4</f>
        <v>0</v>
      </c>
      <c r="DW68" s="4">
        <f>MIN(DT68, DT68/1.4*(1-DU68^1.4)/(1-DU68))</f>
        <v>4.363117305228104</v>
      </c>
      <c r="DX68" s="4">
        <f>MAX(DT68/2, (4-DS68*(8*AF68*(DV68-DW68)+6*J68*DW68))/(4+DS68*J68*DT68)*DT68)</f>
        <v>5.9557217627032735</v>
      </c>
      <c r="DY68" s="38">
        <f>MIN(1/M68*(4*AF68*(DV68-DW68)+(3*DW68+DX68)*J68)+EB68 -FI68,MAX(I68,AI68))</f>
        <v>115.57523621239679</v>
      </c>
      <c r="DZ68" s="4">
        <f>DY68/FE68</f>
        <v>0.85653438225651635</v>
      </c>
      <c r="EA68" s="4">
        <f>AF68/M68</f>
        <v>3.0983866769659336</v>
      </c>
      <c r="EB68" s="4">
        <f>MIN(EA$10*BA68)</f>
        <v>0</v>
      </c>
      <c r="EF68" s="4">
        <f>IF(T68&gt;1*M68,0.85,1)</f>
        <v>0.85</v>
      </c>
      <c r="EG68" s="4">
        <f>MIN(1,MAX(0.7,(1-0.1*(BY68-1*M68)/M68)))</f>
        <v>0.90496453900709217</v>
      </c>
      <c r="EH68" s="4">
        <f>MIN(1,MAX(0.7,1-0.3*(PI()*AL68^2/4*AP68*2-0.25*PI()/4*M68^2)/(PI()/4*M68^2)))</f>
        <v>0.92410215783914285</v>
      </c>
      <c r="EI68" s="4">
        <f>IF(EG68*EH68&lt;0.7,0.7,EG68*EH68)</f>
        <v>0.83627968326435909</v>
      </c>
      <c r="EK68" s="4">
        <f>MIN(DT68/M68*3*J68+EL68-FI68,MAX(I68,AI68))</f>
        <v>366.64886096253701</v>
      </c>
      <c r="EL68" s="25">
        <f>13.3*P68*J68^0.5*L68^0.5/W68/M68^2*(0.7+R68/5/J68)</f>
        <v>203.41257437715191</v>
      </c>
      <c r="EN68" s="4">
        <f>EF68*EI68</f>
        <v>0.71083773077470525</v>
      </c>
      <c r="EO68" s="4">
        <f>IF(M68&lt;22.2,1.1*5*(L68/30)^0.5,IF(M68&gt;=31.8,0.9*5*(L68/30)^0.5,1*5*(L68/30)^0.5))/EF68/EI68</f>
        <v>6.1083642273193455</v>
      </c>
      <c r="ER68" s="4">
        <f>ES68*M68</f>
        <v>110.96562044885792</v>
      </c>
      <c r="ES68" s="4">
        <f>AE68^0.5</f>
        <v>3.0983866769659336</v>
      </c>
      <c r="ET68" s="4">
        <f>MIN(EB68)/(4700*L68^0.5)/AD68*ER68</f>
        <v>0</v>
      </c>
      <c r="EW68" s="4">
        <f>ET68</f>
        <v>0</v>
      </c>
      <c r="EX68" s="4">
        <f>MIN(0.999, EW68/(0.3*(L68/30)^0.5))</f>
        <v>0</v>
      </c>
      <c r="EY68" s="4">
        <f>EO68/1*EX68^0.4</f>
        <v>0</v>
      </c>
      <c r="EZ68" s="4">
        <f>EO68/1.4*(1-EX68^1.4)/(1-EX68)</f>
        <v>4.363117305228104</v>
      </c>
      <c r="FA68" s="4">
        <f>MAX(0,DP68*FA$9-ER68)</f>
        <v>0</v>
      </c>
      <c r="FB68" s="4">
        <f>MAX(0,DP68-ER68-FA68)</f>
        <v>208.05837955114208</v>
      </c>
      <c r="FC68" s="4">
        <f>FB68/(1-0.3*(L68/30)^0.5)/200000/M68</f>
        <v>4.0880876841557189E-5</v>
      </c>
      <c r="FD68" s="4">
        <f>MAX(0.5*EO68, (1-2*FC68*(ER68*EY68+FA68*EZ68))/(1/EO68+FC68*FB68))</f>
        <v>5.8066762840064223</v>
      </c>
      <c r="FE68" s="4">
        <f>MIN(4/M68*(1*EY68*ER68+EZ68*FA68+FB68*FD68)+EB68,MAX(I68,AI68))</f>
        <v>134.9335632130925</v>
      </c>
      <c r="FN68" s="23">
        <f>IF(CT68&lt;0.6,0.6,IF(CT68&lt;0.8,0.8,IF(CT68&lt;1,1,IF(CT68&lt;1.2,1.2,IF(CT68&lt;1.4,1.4,IF(CT68&lt;1.6,1.6,IF(CT68&lt;1.8,1.8,IF(CT68&lt;2,2,2.2))))))))</f>
        <v>1.6</v>
      </c>
      <c r="FO68" s="23">
        <f>IF(CU68&lt;0.6,0.6,IF(CU68&lt;0.8,0.8,IF(CU68&lt;1,1,IF(CU68&lt;1.2,1.2,IF(CU68&lt;1.4,1.4,IF(CU68&lt;1.6,1.6,IF(CU68&lt;1.8,1.8,IF(CU68&lt;2,2,2.2))))))))</f>
        <v>0.8</v>
      </c>
      <c r="FP68" s="23">
        <f>IF(CZ68&lt;0.6,0.6,IF(CZ68&lt;0.8,0.8,IF(CZ68&lt;1,1,IF(CZ68&lt;1.2,1.2,IF(CZ68&lt;1.4,1.4,IF(CZ68&lt;1.6,1.6,IF(CZ68&lt;1.8,1.8,IF(CZ68&lt;2,2,2.2))))))))</f>
        <v>1</v>
      </c>
      <c r="FQ68" s="23">
        <f>IF(CW68&lt;0.6,0.6,IF(CW68&lt;0.8,0.8,IF(CW68&lt;1,1,IF(CW68&lt;1.2,1.2,IF(CW68&lt;1.4,1.4,IF(CW68&lt;1.6,1.6,IF(CW68&lt;1.8,1.8,IF(CW68&lt;2,2,2.2))))))))</f>
        <v>1.4</v>
      </c>
      <c r="FR68" s="23">
        <f>IF(CX68&lt;0.6,0.6,IF(CX68&lt;0.8,0.8,IF(CX68&lt;1,1,IF(CX68&lt;1.2,1.2,IF(CX68&lt;1.4,1.4,IF(CX68&lt;1.6,1.6,IF(CX68&lt;1.8,1.8,IF(CX68&lt;2,2,2.2))))))))</f>
        <v>2.2000000000000002</v>
      </c>
      <c r="FS68" s="23">
        <f>IF(CY68&lt;0.6,0.6,IF(CY68&lt;0.8,0.8,IF(CY68&lt;1,1,IF(CY68&lt;1.2,1.2,IF(CY68&lt;1.4,1.4,IF(CY68&lt;1.6,1.6,IF(CY68&lt;1.8,1.8,IF(CY68&lt;2,2,2.2))))))))</f>
        <v>1</v>
      </c>
      <c r="FT68" s="23">
        <f>IF(FR68&lt;1,1,0)</f>
        <v>0</v>
      </c>
      <c r="FU68" s="23"/>
      <c r="GE68" s="4">
        <f>IF(R68&gt;=2.5*25.4,1,1.25)</f>
        <v>1</v>
      </c>
      <c r="GF68" s="4">
        <f>IF(AN68&gt;1, 0.05*(18-MIN(8,(V68+M68)/M68))*(1-48000/MAX(60000,(I68*145))*(M68/25.4)^0.75*GG68), 1/12*(14-MIN(8,(V68+M68)/M68)))</f>
        <v>0.43098983553339404</v>
      </c>
      <c r="GG68" s="4">
        <f>MIN(0.3, AL68^2*PI()/4*2*AO68/(M68^2*PI()/4*W68))</f>
        <v>0.3</v>
      </c>
      <c r="GH68" s="4">
        <f>(J68/25.4)/(M68/25.4)^1.5/0.0024*(L68*145)^0.25/GE68/GF68/145</f>
        <v>399.00510699470681</v>
      </c>
    </row>
    <row r="69" spans="1:190" s="4" customFormat="1" ht="12" customHeight="1" x14ac:dyDescent="0.3">
      <c r="A69" s="25">
        <v>430</v>
      </c>
      <c r="B69" s="4" t="s">
        <v>605</v>
      </c>
      <c r="C69" s="4">
        <v>2016</v>
      </c>
      <c r="D69" s="4" t="s">
        <v>309</v>
      </c>
      <c r="E69" s="14" t="s">
        <v>680</v>
      </c>
      <c r="F69" s="14" t="s">
        <v>811</v>
      </c>
      <c r="G69" s="48" t="s">
        <v>602</v>
      </c>
      <c r="H69" s="5">
        <f t="shared" si="0"/>
        <v>0.89931012592541038</v>
      </c>
      <c r="I69" s="78">
        <f>115.9/0.145</f>
        <v>799.31034482758628</v>
      </c>
      <c r="J69" s="91">
        <f>19.38*25.4</f>
        <v>492.25199999999995</v>
      </c>
      <c r="K69" s="4">
        <f>J69</f>
        <v>492.25199999999995</v>
      </c>
      <c r="L69" s="38">
        <f>5430/145</f>
        <v>37.448275862068968</v>
      </c>
      <c r="M69" s="38">
        <f>1.41*25.4</f>
        <v>35.813999999999993</v>
      </c>
      <c r="N69" s="7">
        <f>J69/M69</f>
        <v>13.744680851063832</v>
      </c>
      <c r="O69" s="7">
        <f>K69/M69</f>
        <v>13.744680851063832</v>
      </c>
      <c r="P69" s="38">
        <f>21.8*25.4</f>
        <v>553.72</v>
      </c>
      <c r="Q69" s="32">
        <f>R69/M69</f>
        <v>1.8085106382978726</v>
      </c>
      <c r="R69" s="38">
        <f>2.55*25.4</f>
        <v>64.77</v>
      </c>
      <c r="S69" s="32">
        <f>T69/M69</f>
        <v>2.6950354609929081</v>
      </c>
      <c r="T69" s="39">
        <f>3.8*25.4</f>
        <v>96.52</v>
      </c>
      <c r="U69" s="32">
        <f>V69/M69</f>
        <v>4.4219858156028389</v>
      </c>
      <c r="V69" s="7">
        <f>(P69-W69*M69-2*R69)/(W69-1)</f>
        <v>158.36900000000003</v>
      </c>
      <c r="W69" s="38">
        <v>3</v>
      </c>
      <c r="X69" s="122">
        <f>AM69</f>
        <v>12</v>
      </c>
      <c r="Y69" s="32">
        <f>Z69/M69</f>
        <v>14.18439716312057</v>
      </c>
      <c r="Z69" s="4">
        <f>20*25.4</f>
        <v>508</v>
      </c>
      <c r="AA69" s="7">
        <f>MIN(R69/M69+0.5, V69/2/M69+0.5)</f>
        <v>2.3085106382978724</v>
      </c>
      <c r="AB69" s="7">
        <f>R69/M69+0.5</f>
        <v>2.3085106382978724</v>
      </c>
      <c r="AC69" s="38">
        <v>4.5</v>
      </c>
      <c r="AD69" s="4">
        <f>AC69</f>
        <v>4.5</v>
      </c>
      <c r="AE69" s="4">
        <f>AD69+1</f>
        <v>5.5</v>
      </c>
      <c r="AF69" s="7">
        <f>M69*AE69^0.5</f>
        <v>83.991275011158137</v>
      </c>
      <c r="AI69" s="38">
        <f>AJ69/0.145</f>
        <v>626.20689655172418</v>
      </c>
      <c r="AJ69" s="4">
        <v>90.8</v>
      </c>
      <c r="AK69" s="4">
        <f>CX69</f>
        <v>2.7547645892846306</v>
      </c>
      <c r="AL69" s="38">
        <f>0.5*25.4</f>
        <v>12.7</v>
      </c>
      <c r="AM69" s="38">
        <v>12</v>
      </c>
      <c r="AN69" s="39">
        <f>4*25.4</f>
        <v>101.6</v>
      </c>
      <c r="AO69" s="39">
        <v>2</v>
      </c>
      <c r="AP69" s="39">
        <f>AO69-1</f>
        <v>1</v>
      </c>
      <c r="AR69" s="4">
        <f>J69</f>
        <v>492.25199999999995</v>
      </c>
      <c r="AS69" s="4">
        <f>IF(J69*3&gt;V69+M69, P69, (R69+M69/2)*2+1.5*J69*(2*W69-2))*(3*J69)/(9*J69^2)</f>
        <v>0.37495700034399726</v>
      </c>
      <c r="AT69" s="4">
        <f>MIN(10*L69^0.5*J69^1.5,100*3.9*L69^0.5*J69^(5/3))/(PI()/4*M69^2)/W69</f>
        <v>221.14664394977936</v>
      </c>
      <c r="AU69" s="4">
        <f>MIN(0.7+0.3*(MIN(R69,Z69)+0.5*M69)/1.5/J69,1)</f>
        <v>0.73359133126934983</v>
      </c>
      <c r="AV69" s="4">
        <v>1.25</v>
      </c>
      <c r="AW69" s="4">
        <f>AW68</f>
        <v>5</v>
      </c>
      <c r="AX69" s="38">
        <f>AS69*AU69*AV69*AW69*AT69</f>
        <v>380.18591852757493</v>
      </c>
      <c r="AY69" s="38">
        <f>AX69</f>
        <v>380.18591852757493</v>
      </c>
      <c r="AZ69" s="38">
        <f>IF(L69&lt;50, 0.3*L69^(2/3), 2.12*LN(1+0.1*(L69+8)))</f>
        <v>3.3579622250305636</v>
      </c>
      <c r="BA69" s="38">
        <f>AW69* (L69^0.5/AR69^0.5)/(PI()/4*M69^2)/W69/0.72 *(0.7+(MIN(R69,Z69)+0.5*M69)/5/J69) *(3*P69*J69)</f>
        <v>380.18591852757515</v>
      </c>
      <c r="BB69" s="38">
        <f>AX69/BA69</f>
        <v>0.99999999999999944</v>
      </c>
      <c r="BC69" s="38">
        <f>BG69/BA69</f>
        <v>0.96472588824197969</v>
      </c>
      <c r="BD69" s="4">
        <f>IF(BC69&lt;1,1,0)</f>
        <v>1</v>
      </c>
      <c r="BE69" s="4">
        <f>K69/M69*L69^0.5/0.19</f>
        <v>442.68720810703502</v>
      </c>
      <c r="BF69" s="4">
        <f>MIN(0.6+0.4*(AB69/AA69),2)</f>
        <v>1</v>
      </c>
      <c r="BG69" s="38">
        <f>2*L69*AA69*AC69^0.5*BF69*0.7/0.7</f>
        <v>366.77519794860785</v>
      </c>
      <c r="BH69" s="4">
        <f>MAX(1-0.7*AD69/5,0.3)</f>
        <v>0.37</v>
      </c>
      <c r="BI69" s="4">
        <f>BH69*I69*K69/(I69*M69/2.75/L69^0.5)</f>
        <v>85.582504507292555</v>
      </c>
      <c r="BJ69" s="4">
        <f>BG69+BI69</f>
        <v>452.35770245590038</v>
      </c>
      <c r="BL69" s="4">
        <f>MIN(1.5, 0.75+0.25*MIN(3,MAX(1,R69/M69))+0.4*MIN(1,(40*2*PI()*AL69^2/4/AN69/W69)/M69))</f>
        <v>1.5</v>
      </c>
      <c r="BM69" s="4">
        <f>(3*O69+30)*BL69*L69^0.5</f>
        <v>653.87504679809706</v>
      </c>
      <c r="BO69" s="4">
        <f>3.4/PI()^0.5*L69*AA69*AD69^0.5*BF69</f>
        <v>351.78226851666062</v>
      </c>
      <c r="BP69" s="4">
        <f>8/3*AG69*AH69^2/(AF69-M69-22)/M69*(AF69^2-M69^2)/(AF69^2-(M69+22)^2)</f>
        <v>0</v>
      </c>
      <c r="BQ69" s="4">
        <f>BP69/BO69</f>
        <v>0</v>
      </c>
      <c r="BY69" s="4">
        <f>IF(V69=0,R69,MIN(V69/2,R69))</f>
        <v>64.77</v>
      </c>
      <c r="CC69" s="9"/>
      <c r="CE69" s="9"/>
      <c r="CF69" s="9"/>
      <c r="CG69" s="9">
        <f>IF(V69=0,MIN(R69,T69),MIN(V69/2,R69,T69))</f>
        <v>64.77</v>
      </c>
      <c r="CH69" s="9">
        <f>MAX(V69/2,R69)</f>
        <v>79.184500000000014</v>
      </c>
      <c r="CI69" s="9">
        <f>(CG69/M69)^0.5*(CH69/CG69)^0.15</f>
        <v>1.3859592972879591</v>
      </c>
      <c r="CJ69" s="70">
        <f>IF(AN69&gt;1,20,0)</f>
        <v>20</v>
      </c>
      <c r="CK69" s="9">
        <f>MIN(PI()*AL69^2/4*AM69*2/W69/M69/MAX(0.01,AN69),0.05)</f>
        <v>0.05</v>
      </c>
      <c r="CL69" s="9">
        <f>MAX(0,CJ69*(CK69-0.5/50))</f>
        <v>0.8</v>
      </c>
      <c r="CM69" s="9">
        <f>MIN(1,(25/M69)^0.3)</f>
        <v>0.89777220146327208</v>
      </c>
      <c r="CN69" s="9">
        <f>IF(I69&gt;=800,0.68,IF(I69&gt;=700,0.75-(I69-700)*0.07/100,IF(I69&gt;=600,0.85-(I69-600)*0.1/100,IF(I69&gt;=500,1-(I69-500)*0.15/100,1.2-(I69-400)*0.2/100))))</f>
        <v>0.68048275862068963</v>
      </c>
      <c r="CO69" s="9">
        <f>1.75*CM69*CN69*(L69/25)^0.5</f>
        <v>1.3084804487373733</v>
      </c>
      <c r="CP69" s="9">
        <f>MIN((CI69+CL69)*CO69,2.5*CO69,L69^0.5)</f>
        <v>2.8602850022369819</v>
      </c>
      <c r="CQ69" s="40">
        <v>1</v>
      </c>
      <c r="CR69" s="9">
        <f>4*CP69*O69+60*CP69</f>
        <v>328.87191812954575</v>
      </c>
      <c r="CT69" s="4">
        <f>AI69/BE69</f>
        <v>1.4145583723311854</v>
      </c>
      <c r="CU69" s="4">
        <f>AI69/BJ69</f>
        <v>1.3843179703848905</v>
      </c>
      <c r="CV69" s="4">
        <f>AI69/BM69</f>
        <v>0.9576858753337375</v>
      </c>
      <c r="CW69" s="4">
        <f>AI69/CR69</f>
        <v>1.9041057081226844</v>
      </c>
      <c r="CX69" s="4">
        <f>AI69/DY69</f>
        <v>2.7547645892846306</v>
      </c>
      <c r="CY69" s="4">
        <f>AI69/EK69</f>
        <v>1.3786937883911297</v>
      </c>
      <c r="CZ69" s="4">
        <f>AI69/GH69</f>
        <v>1.255358081169357</v>
      </c>
      <c r="DA69" s="4">
        <f>AM69</f>
        <v>12</v>
      </c>
      <c r="DH69" s="4">
        <f>CT69</f>
        <v>1.4145583723311854</v>
      </c>
      <c r="DI69" s="4">
        <f>CU69</f>
        <v>1.3843179703848905</v>
      </c>
      <c r="DJ69" s="4">
        <f>CW69</f>
        <v>1.9041057081226844</v>
      </c>
      <c r="DK69" s="4">
        <f>CZ69</f>
        <v>1.255358081169357</v>
      </c>
      <c r="DL69" s="4">
        <f>CX69</f>
        <v>2.7547645892846306</v>
      </c>
      <c r="DM69" s="4">
        <f>CY69</f>
        <v>1.3786937883911297</v>
      </c>
      <c r="DP69" s="4">
        <f>K69</f>
        <v>492.25199999999995</v>
      </c>
      <c r="DS69" s="4">
        <f>J69/4/(1-0.3*(L69/30)^0.5)/200000/M69</f>
        <v>2.584281465310651E-5</v>
      </c>
      <c r="DT69" s="4">
        <f>EO69</f>
        <v>6.438104078551774</v>
      </c>
      <c r="DU69" s="4">
        <f>EB69*AF69/257/L69/AC69</f>
        <v>0</v>
      </c>
      <c r="DV69" s="4">
        <f>DT69*DU69^0.4</f>
        <v>0</v>
      </c>
      <c r="DW69" s="4">
        <f>MIN(DT69, DT69/1.4*(1-DU69^1.4)/(1-DU69))</f>
        <v>4.5986457703941248</v>
      </c>
      <c r="DX69" s="4">
        <f>MAX(DT69/2, (4-DS69*(8*AF69*(DV69-DW69)+6*J69*DW69))/(4+DS69*J69*DT69)*DT69)</f>
        <v>5.881265611696163</v>
      </c>
      <c r="DY69" s="38">
        <f>MIN(1/M69*(4*AF69*(DV69-DW69)+(3*DW69+DX69)*J69)+EB69 -FI69,MAX(I69,AI69))</f>
        <v>227.31775302598192</v>
      </c>
      <c r="DZ69" s="4">
        <f>DY69/FE69</f>
        <v>0.94883028015624116</v>
      </c>
      <c r="EA69" s="4">
        <f>AF69/M69</f>
        <v>2.3452078799117149</v>
      </c>
      <c r="EB69" s="4">
        <f>MIN(EA$10*BA69)</f>
        <v>0</v>
      </c>
      <c r="EF69" s="4">
        <f>IF(T69&gt;1*M69,0.85,1)</f>
        <v>0.85</v>
      </c>
      <c r="EG69" s="4">
        <f>MIN(1,MAX(0.7,(1-0.1*(BY69-1*M69)/M69)))</f>
        <v>0.91914893617021276</v>
      </c>
      <c r="EH69" s="4">
        <f>MIN(1,MAX(0.7,1-0.3*(PI()*AL69^2/4*AP69*2-0.25*PI()/4*M69^2)/(PI()/4*M69^2)))</f>
        <v>0.9995510789195714</v>
      </c>
      <c r="EI69" s="4">
        <f>IF(EG69*EH69&lt;0.7,0.7,EG69*EH69)</f>
        <v>0.91873631083671248</v>
      </c>
      <c r="EK69" s="4">
        <f>MIN(DT69/M69*3*J69+EL69-FI69,MAX(I69,AI69))</f>
        <v>454.20303030630026</v>
      </c>
      <c r="EL69" s="25">
        <f>13.3*P69*J69^0.5*L69^0.5/W69/M69^2*(0.7+R69/5/J69)</f>
        <v>188.73397276942069</v>
      </c>
      <c r="EN69" s="4">
        <f>EF69*EI69</f>
        <v>0.78092586421120558</v>
      </c>
      <c r="EO69" s="4">
        <f>IF(M69&lt;22.2,1.1*5*(L69/30)^0.5,IF(M69&gt;=31.8,0.9*5*(L69/30)^0.5,1*5*(L69/30)^0.5))/EF69/EI69</f>
        <v>6.438104078551774</v>
      </c>
      <c r="ER69" s="4">
        <f>ES69*M69</f>
        <v>83.991275011158137</v>
      </c>
      <c r="ES69" s="4">
        <f>AE69^0.5</f>
        <v>2.3452078799117149</v>
      </c>
      <c r="ET69" s="4">
        <f>MIN(EB69)/(4700*L69^0.5)/AD69*ER69</f>
        <v>0</v>
      </c>
      <c r="EW69" s="4">
        <f>ET69</f>
        <v>0</v>
      </c>
      <c r="EX69" s="4">
        <f>MIN(0.999, EW69/(0.3*(L69/30)^0.5))</f>
        <v>0</v>
      </c>
      <c r="EY69" s="4">
        <f>EO69/1*EX69^0.4</f>
        <v>0</v>
      </c>
      <c r="EZ69" s="4">
        <f>EO69/1.4*(1-EX69^1.4)/(1-EX69)</f>
        <v>4.5986457703941248</v>
      </c>
      <c r="FA69" s="4">
        <f>MAX(0,DP69*FA$9-ER69)</f>
        <v>0</v>
      </c>
      <c r="FB69" s="4">
        <f>MAX(0,DP69-ER69-FA69)</f>
        <v>408.26072498884184</v>
      </c>
      <c r="FC69" s="4">
        <f>FB69/(1-0.3*(L69/30)^0.5)/200000/M69</f>
        <v>8.5733374336961792E-5</v>
      </c>
      <c r="FD69" s="4">
        <f>MAX(0.5*EO69, (1-2*FC69*(ER69*EY69+FA69*EZ69))/(1/EO69+FC69*FB69))</f>
        <v>5.2541208051537929</v>
      </c>
      <c r="FE69" s="4">
        <f>MIN(4/M69*(1*EY69*ER69+EZ69*FA69+FB69*FD69)+EB69,MAX(I69,AI69))</f>
        <v>239.57683242207463</v>
      </c>
      <c r="FH69" s="4">
        <f>6.75*25.4</f>
        <v>171.45</v>
      </c>
      <c r="FN69" s="23">
        <f>IF(CT69&lt;0.6,0.6,IF(CT69&lt;0.8,0.8,IF(CT69&lt;1,1,IF(CT69&lt;1.2,1.2,IF(CT69&lt;1.4,1.4,IF(CT69&lt;1.6,1.6,IF(CT69&lt;1.8,1.8,IF(CT69&lt;2,2,2.2))))))))</f>
        <v>1.6</v>
      </c>
      <c r="FO69" s="23">
        <f>IF(CU69&lt;0.6,0.6,IF(CU69&lt;0.8,0.8,IF(CU69&lt;1,1,IF(CU69&lt;1.2,1.2,IF(CU69&lt;1.4,1.4,IF(CU69&lt;1.6,1.6,IF(CU69&lt;1.8,1.8,IF(CU69&lt;2,2,2.2))))))))</f>
        <v>1.4</v>
      </c>
      <c r="FP69" s="23">
        <f>IF(CZ69&lt;0.6,0.6,IF(CZ69&lt;0.8,0.8,IF(CZ69&lt;1,1,IF(CZ69&lt;1.2,1.2,IF(CZ69&lt;1.4,1.4,IF(CZ69&lt;1.6,1.6,IF(CZ69&lt;1.8,1.8,IF(CZ69&lt;2,2,2.2))))))))</f>
        <v>1.4</v>
      </c>
      <c r="FQ69" s="23">
        <f>IF(CW69&lt;0.6,0.6,IF(CW69&lt;0.8,0.8,IF(CW69&lt;1,1,IF(CW69&lt;1.2,1.2,IF(CW69&lt;1.4,1.4,IF(CW69&lt;1.6,1.6,IF(CW69&lt;1.8,1.8,IF(CW69&lt;2,2,2.2))))))))</f>
        <v>2</v>
      </c>
      <c r="FR69" s="23">
        <f>IF(CX69&lt;0.6,0.6,IF(CX69&lt;0.8,0.8,IF(CX69&lt;1,1,IF(CX69&lt;1.2,1.2,IF(CX69&lt;1.4,1.4,IF(CX69&lt;1.6,1.6,IF(CX69&lt;1.8,1.8,IF(CX69&lt;2,2,2.2))))))))</f>
        <v>2.2000000000000002</v>
      </c>
      <c r="FS69" s="23">
        <f>IF(CY69&lt;0.6,0.6,IF(CY69&lt;0.8,0.8,IF(CY69&lt;1,1,IF(CY69&lt;1.2,1.2,IF(CY69&lt;1.4,1.4,IF(CY69&lt;1.6,1.6,IF(CY69&lt;1.8,1.8,IF(CY69&lt;2,2,2.2))))))))</f>
        <v>1.4</v>
      </c>
      <c r="FT69" s="23">
        <f>IF(FR69&lt;1,1,0)</f>
        <v>0</v>
      </c>
      <c r="FU69" s="23"/>
      <c r="GE69" s="4">
        <f>IF(R69&gt;=2.5*25.4,1,1.25)</f>
        <v>1</v>
      </c>
      <c r="GF69" s="4">
        <f>IF(AN69&gt;1, 0.05*(18-MIN(8,(V69+M69)/M69))*(1-48000/MAX(60000,(I69*145))*(M69/25.4)^0.75*GG69), 1/12*(14-MIN(8,(V69+M69)/M69)))</f>
        <v>0.57239468642161906</v>
      </c>
      <c r="GG69" s="4">
        <f>MIN(0.3, AL69^2*PI()/4*2*AO69/(M69^2*PI()/4*W69))</f>
        <v>0.16766426906761905</v>
      </c>
      <c r="GH69" s="4">
        <f>(J69/25.4)/(M69/25.4)^1.5/0.0024*(L69*145)^0.25/GE69/GF69/145</f>
        <v>498.82731146193521</v>
      </c>
    </row>
    <row r="70" spans="1:190" s="4" customFormat="1" ht="12" customHeight="1" x14ac:dyDescent="0.3">
      <c r="A70" s="25">
        <v>424</v>
      </c>
      <c r="B70" s="4" t="s">
        <v>605</v>
      </c>
      <c r="C70" s="4">
        <v>2016</v>
      </c>
      <c r="D70" s="4" t="s">
        <v>309</v>
      </c>
      <c r="E70" s="14" t="s">
        <v>595</v>
      </c>
      <c r="F70" s="14" t="s">
        <v>811</v>
      </c>
      <c r="G70" s="48" t="s">
        <v>596</v>
      </c>
      <c r="H70" s="5">
        <f t="shared" si="0"/>
        <v>0.89931012592541038</v>
      </c>
      <c r="I70" s="78">
        <f>115.9/0.145</f>
        <v>799.31034482758628</v>
      </c>
      <c r="J70" s="91">
        <f>19.44*25.4</f>
        <v>493.77600000000001</v>
      </c>
      <c r="K70" s="4">
        <f>J70</f>
        <v>493.77600000000001</v>
      </c>
      <c r="L70" s="38">
        <f>5430/145</f>
        <v>37.448275862068968</v>
      </c>
      <c r="M70" s="38">
        <f>1.41*25.4</f>
        <v>35.813999999999993</v>
      </c>
      <c r="N70" s="7">
        <f>J70/M70</f>
        <v>13.787234042553195</v>
      </c>
      <c r="O70" s="7">
        <f>K70/M70</f>
        <v>13.787234042553195</v>
      </c>
      <c r="P70" s="38">
        <f>21.9*25.4</f>
        <v>556.25999999999988</v>
      </c>
      <c r="Q70" s="32">
        <f>R70/M70</f>
        <v>1.9148936170212769</v>
      </c>
      <c r="R70" s="38">
        <f>2.7*25.4</f>
        <v>68.58</v>
      </c>
      <c r="S70" s="32">
        <f>T70/M70</f>
        <v>2.9078014184397163</v>
      </c>
      <c r="T70" s="39">
        <f>4.1*25.4</f>
        <v>104.13999999999999</v>
      </c>
      <c r="U70" s="32">
        <f>V70/M70</f>
        <v>9.702127659574467</v>
      </c>
      <c r="V70" s="7">
        <f>(P70-W70*M70-2*R70)/(W70-1)</f>
        <v>347.47199999999987</v>
      </c>
      <c r="W70" s="38">
        <v>2</v>
      </c>
      <c r="X70" s="122">
        <f>AM70</f>
        <v>0</v>
      </c>
      <c r="Y70" s="32">
        <f>Z70/M70</f>
        <v>14.18439716312057</v>
      </c>
      <c r="Z70" s="4">
        <f>20*25.4</f>
        <v>508</v>
      </c>
      <c r="AA70" s="7">
        <f>MIN(R70/M70+0.5, V70/2/M70+0.5)</f>
        <v>2.4148936170212769</v>
      </c>
      <c r="AB70" s="7">
        <f>R70/M70+0.5</f>
        <v>2.4148936170212769</v>
      </c>
      <c r="AC70" s="38">
        <v>4.5</v>
      </c>
      <c r="AD70" s="4">
        <f>AC70</f>
        <v>4.5</v>
      </c>
      <c r="AE70" s="4">
        <f>AD70+1</f>
        <v>5.5</v>
      </c>
      <c r="AF70" s="7">
        <f>M70*AE70^0.5</f>
        <v>83.991275011158137</v>
      </c>
      <c r="AI70" s="38">
        <f>AJ70/0.145</f>
        <v>697.93103448275872</v>
      </c>
      <c r="AJ70" s="4">
        <v>101.2</v>
      </c>
      <c r="AK70" s="4">
        <f>CX70</f>
        <v>3.0267939757404898</v>
      </c>
      <c r="AL70" s="38">
        <v>0</v>
      </c>
      <c r="AM70" s="38">
        <v>0</v>
      </c>
      <c r="AN70" s="39">
        <f>K70</f>
        <v>493.77600000000001</v>
      </c>
      <c r="AO70" s="39"/>
      <c r="AP70" s="39"/>
      <c r="AQ70" s="7"/>
      <c r="AR70" s="4">
        <f>J70</f>
        <v>493.77600000000001</v>
      </c>
      <c r="AS70" s="4">
        <f>IF(J70*3&gt;V70+M70, P70, (R70+M70/2)*2+1.5*J70*(2*W70-2))*(3*J70)/(9*J70^2)</f>
        <v>0.375514403292181</v>
      </c>
      <c r="AT70" s="4">
        <f>MIN(10*L70^0.5*J70^1.5,100*3.9*L70^0.5*J70^(5/3))/(PI()/4*M70^2)/W70</f>
        <v>333.26165284168025</v>
      </c>
      <c r="AU70" s="4">
        <f>MIN(0.7+0.3*(MIN(R70,Z70)+0.5*M70)/1.5/J70,1)</f>
        <v>0.73503086419753083</v>
      </c>
      <c r="AV70" s="4">
        <v>1.25</v>
      </c>
      <c r="AW70" s="4">
        <f>AW69</f>
        <v>5</v>
      </c>
      <c r="AX70" s="38">
        <f>AS70*AU70*AV70*AW70*AT70</f>
        <v>574.90692034865572</v>
      </c>
      <c r="AY70" s="38">
        <f>AX70</f>
        <v>574.90692034865572</v>
      </c>
      <c r="AZ70" s="38">
        <f>IF(L70&lt;50, 0.3*L70^(2/3), 2.12*LN(1+0.1*(L70+8)))</f>
        <v>3.3579622250305636</v>
      </c>
      <c r="BA70" s="38">
        <f>AW70* (L70^0.5/AR70^0.5)/(PI()/4*M70^2)/W70/0.72 *(0.7+(MIN(R70,Z70)+0.5*M70)/5/J70) *(3*P70*J70)</f>
        <v>574.90692034865572</v>
      </c>
      <c r="BB70" s="38">
        <f>AX70/BA70</f>
        <v>1</v>
      </c>
      <c r="BC70" s="38">
        <f>BG70/BA70</f>
        <v>0.66737286893450343</v>
      </c>
      <c r="BD70" s="4">
        <f>IF(BC70&lt;1,1,0)</f>
        <v>1</v>
      </c>
      <c r="BE70" s="4">
        <f>K70/M70*L70^0.5/0.19</f>
        <v>444.05775673894539</v>
      </c>
      <c r="BF70" s="4">
        <f>MIN(0.6+0.4*(AB70/AA70),2)</f>
        <v>1</v>
      </c>
      <c r="BG70" s="38">
        <f>2*L70*AA70*AC70^0.5*BF70*0.7/0.7</f>
        <v>383.67728080338242</v>
      </c>
      <c r="BH70" s="4">
        <f>MAX(1-0.7*AD70/5,0.3)</f>
        <v>0.37</v>
      </c>
      <c r="BI70" s="4">
        <f>BH70*I70*K70/(I70*M70/2.75/L70^0.5)</f>
        <v>85.847465821556639</v>
      </c>
      <c r="BJ70" s="4">
        <f>BG70+BI70</f>
        <v>469.52474662493904</v>
      </c>
      <c r="BL70" s="4">
        <f>MIN(1.5, 0.75+0.25*MIN(3,MAX(1,R70/M70))+0.4*MIN(1,(40*2*PI()*AL70^2/4/AN70/W70)/M70))</f>
        <v>1.2287234042553192</v>
      </c>
      <c r="BM70" s="4">
        <f>(3*O70+30)*BL70*L70^0.5</f>
        <v>536.58094332590736</v>
      </c>
      <c r="BO70" s="4">
        <f>3.4/PI()^0.5*L70*AA70*AD70^0.5*BF70</f>
        <v>367.993432964433</v>
      </c>
      <c r="BP70" s="4">
        <f>8/3*AG70*AH70^2/(AF70-M70-22)/M70*(AF70^2-M70^2)/(AF70^2-(M70+22)^2)</f>
        <v>0</v>
      </c>
      <c r="BQ70" s="4">
        <f>BP70/BO70</f>
        <v>0</v>
      </c>
      <c r="BY70" s="4">
        <f>IF(V70=0,R70,MIN(V70/2,R70))</f>
        <v>68.58</v>
      </c>
      <c r="CC70" s="9"/>
      <c r="CE70" s="9"/>
      <c r="CF70" s="9"/>
      <c r="CG70" s="9">
        <f>IF(V70=0,MIN(R70,T70),MIN(V70/2,R70,T70))</f>
        <v>68.58</v>
      </c>
      <c r="CH70" s="9">
        <f>MAX(V70/2,R70)</f>
        <v>173.73599999999993</v>
      </c>
      <c r="CI70" s="9">
        <f>(CG70/M70)^0.5*(CH70/CG70)^0.15</f>
        <v>1.5908388060545191</v>
      </c>
      <c r="CJ70" s="70">
        <f>IF(AN70&gt;1,20,0)</f>
        <v>20</v>
      </c>
      <c r="CK70" s="9">
        <f>MIN(PI()*AL70^2/4*AM70*2/W70/M70/MAX(0.01,AN70),0.05)</f>
        <v>0</v>
      </c>
      <c r="CL70" s="9">
        <f>MAX(0,CJ70*(CK70-0.5/50))</f>
        <v>0</v>
      </c>
      <c r="CM70" s="9">
        <f>MIN(1,(25/M70)^0.3)</f>
        <v>0.89777220146327208</v>
      </c>
      <c r="CN70" s="9">
        <f>IF(I70&gt;=800,0.68,IF(I70&gt;=700,0.75-(I70-700)*0.07/100,IF(I70&gt;=600,0.85-(I70-600)*0.1/100,IF(I70&gt;=500,1-(I70-500)*0.15/100,1.2-(I70-400)*0.2/100))))</f>
        <v>0.68048275862068963</v>
      </c>
      <c r="CO70" s="9">
        <f>1.75*CM70*CN70*(L70/25)^0.5</f>
        <v>1.3084804487373733</v>
      </c>
      <c r="CP70" s="9">
        <f>MIN((CI70+CL70)*CO70,2.5*CO70,L70^0.5)</f>
        <v>2.0815814748150445</v>
      </c>
      <c r="CQ70" s="40">
        <v>1</v>
      </c>
      <c r="CR70" s="9">
        <f>4*CP70*O70+60*CP70</f>
        <v>239.69189237657491</v>
      </c>
      <c r="CT70" s="4">
        <f>AI70/BE70</f>
        <v>1.5717122916807</v>
      </c>
      <c r="CU70" s="4">
        <f>AI70/BJ70</f>
        <v>1.4864627253401679</v>
      </c>
      <c r="CV70" s="4">
        <f>AI70/BM70</f>
        <v>1.3007003755234947</v>
      </c>
      <c r="CW70" s="4">
        <f>AI70/CR70</f>
        <v>2.9117840723050152</v>
      </c>
      <c r="CX70" s="4">
        <f>AI70/DY70</f>
        <v>3.0267939757404898</v>
      </c>
      <c r="CY70" s="4">
        <f>AI70/EK70</f>
        <v>1.2582112350998493</v>
      </c>
      <c r="CZ70" s="4">
        <f>AI70/GH70</f>
        <v>1.2184121174982501</v>
      </c>
      <c r="DA70" s="4">
        <f>AM70</f>
        <v>0</v>
      </c>
      <c r="DB70" s="4">
        <f>CT70</f>
        <v>1.5717122916807</v>
      </c>
      <c r="DC70" s="4">
        <f>CU70</f>
        <v>1.4864627253401679</v>
      </c>
      <c r="DD70" s="4">
        <f>CW70</f>
        <v>2.9117840723050152</v>
      </c>
      <c r="DE70" s="4">
        <f>CZ70</f>
        <v>1.2184121174982501</v>
      </c>
      <c r="DF70" s="4">
        <f>CX70</f>
        <v>3.0267939757404898</v>
      </c>
      <c r="DG70" s="4">
        <f>CY70</f>
        <v>1.2582112350998493</v>
      </c>
      <c r="DP70" s="4">
        <f>K70</f>
        <v>493.77600000000001</v>
      </c>
      <c r="DS70" s="4">
        <f>J70/4/(1-0.3*(L70/30)^0.5)/200000/M70</f>
        <v>2.5922823367202814E-5</v>
      </c>
      <c r="DT70" s="4">
        <f>EO70</f>
        <v>6.5105676703943356</v>
      </c>
      <c r="DU70" s="4">
        <f>EB70*AF70/257/L70/AC70</f>
        <v>0</v>
      </c>
      <c r="DV70" s="4">
        <f>DT70*DU70^0.4</f>
        <v>0</v>
      </c>
      <c r="DW70" s="4">
        <f>MIN(DT70, DT70/1.4*(1-DU70^1.4)/(1-DU70))</f>
        <v>4.6504054788530969</v>
      </c>
      <c r="DX70" s="4">
        <f>MAX(DT70/2, (4-DS70*(8*AF70*(DV70-DW70)+6*J70*DW70))/(4+DS70*J70*DT70)*DT70)</f>
        <v>5.9373938989103765</v>
      </c>
      <c r="DY70" s="38">
        <f>MIN(1/M70*(4*AF70*(DV70-DW70)+(3*DW70+DX70)*J70)+EB70 -FI70,MAX(I70,AI70))</f>
        <v>230.58425518109914</v>
      </c>
      <c r="DZ70" s="4">
        <f>DY70/FE70</f>
        <v>0.95149447356515482</v>
      </c>
      <c r="EA70" s="4">
        <f>AF70/M70</f>
        <v>2.3452078799117149</v>
      </c>
      <c r="EB70" s="4">
        <f>MIN(EA$10*BA70)</f>
        <v>0</v>
      </c>
      <c r="EF70" s="4">
        <f>IF(T70&gt;1*M70,0.85,1)</f>
        <v>0.85</v>
      </c>
      <c r="EG70" s="4">
        <f>MIN(1,MAX(0.7,(1-0.1*(BY70-1*M70)/M70)))</f>
        <v>0.90851063829787226</v>
      </c>
      <c r="EH70" s="4">
        <f>MIN(1,MAX(0.7,1-0.3*(PI()*AL70^2/4*AP70*2-0.25*PI()/4*M70^2)/(PI()/4*M70^2)))</f>
        <v>1</v>
      </c>
      <c r="EI70" s="4">
        <f>IF(EG70*EH70&lt;0.7,0.7,EG70*EH70)</f>
        <v>0.90851063829787226</v>
      </c>
      <c r="EK70" s="4">
        <f>MIN(DT70/M70*3*J70+EL70-FI70,MAX(I70,AI70))</f>
        <v>554.70100330758225</v>
      </c>
      <c r="EL70" s="25">
        <f>13.3*P70*J70^0.5*L70^0.5/W70/M70^2*(0.7+R70/5/J70)</f>
        <v>285.41284264276118</v>
      </c>
      <c r="EN70" s="4">
        <f>EF70*EI70</f>
        <v>0.77223404255319139</v>
      </c>
      <c r="EO70" s="4">
        <f>IF(M70&lt;22.2,1.1*5*(L70/30)^0.5,IF(M70&gt;=31.8,0.9*5*(L70/30)^0.5,1*5*(L70/30)^0.5))/EF70/EI70</f>
        <v>6.5105676703943356</v>
      </c>
      <c r="ER70" s="4">
        <f>ES70*M70</f>
        <v>83.991275011158137</v>
      </c>
      <c r="ES70" s="4">
        <f>AE70^0.5</f>
        <v>2.3452078799117149</v>
      </c>
      <c r="ET70" s="4">
        <f>MIN(EB70)/(4700*L70^0.5)/AD70*ER70</f>
        <v>0</v>
      </c>
      <c r="EW70" s="4">
        <f>ET70</f>
        <v>0</v>
      </c>
      <c r="EX70" s="4">
        <f>MIN(0.999, EW70/(0.3*(L70/30)^0.5))</f>
        <v>0</v>
      </c>
      <c r="EY70" s="4">
        <f>EO70/1*EX70^0.4</f>
        <v>0</v>
      </c>
      <c r="EZ70" s="4">
        <f>EO70/1.4*(1-EX70^1.4)/(1-EX70)</f>
        <v>4.6504054788530969</v>
      </c>
      <c r="FA70" s="4">
        <f>MAX(0,DP70*FA$9-ER70)</f>
        <v>0</v>
      </c>
      <c r="FB70" s="4">
        <f>MAX(0,DP70-ER70-FA70)</f>
        <v>409.78472498884184</v>
      </c>
      <c r="FC70" s="4">
        <f>FB70/(1-0.3*(L70/30)^0.5)/200000/M70</f>
        <v>8.6053409193347023E-5</v>
      </c>
      <c r="FD70" s="4">
        <f>MAX(0.5*EO70, (1-2*FC70*(ER70*EY70+FA70*EZ70))/(1/EO70+FC70*FB70))</f>
        <v>5.294932784190709</v>
      </c>
      <c r="FE70" s="4">
        <f>MIN(4/M70*(1*EY70*ER70+EZ70*FA70+FB70*FD70)+EB70,MAX(I70,AI70))</f>
        <v>242.33903778455272</v>
      </c>
      <c r="FH70" s="4">
        <f>6.75*25.4</f>
        <v>171.45</v>
      </c>
      <c r="FN70" s="23">
        <f>IF(CT70&lt;0.6,0.6,IF(CT70&lt;0.8,0.8,IF(CT70&lt;1,1,IF(CT70&lt;1.2,1.2,IF(CT70&lt;1.4,1.4,IF(CT70&lt;1.6,1.6,IF(CT70&lt;1.8,1.8,IF(CT70&lt;2,2,2.2))))))))</f>
        <v>1.6</v>
      </c>
      <c r="FO70" s="23">
        <f>IF(CU70&lt;0.6,0.6,IF(CU70&lt;0.8,0.8,IF(CU70&lt;1,1,IF(CU70&lt;1.2,1.2,IF(CU70&lt;1.4,1.4,IF(CU70&lt;1.6,1.6,IF(CU70&lt;1.8,1.8,IF(CU70&lt;2,2,2.2))))))))</f>
        <v>1.6</v>
      </c>
      <c r="FP70" s="23">
        <f>IF(CZ70&lt;0.6,0.6,IF(CZ70&lt;0.8,0.8,IF(CZ70&lt;1,1,IF(CZ70&lt;1.2,1.2,IF(CZ70&lt;1.4,1.4,IF(CZ70&lt;1.6,1.6,IF(CZ70&lt;1.8,1.8,IF(CZ70&lt;2,2,2.2))))))))</f>
        <v>1.4</v>
      </c>
      <c r="FQ70" s="23">
        <f>IF(CW70&lt;0.6,0.6,IF(CW70&lt;0.8,0.8,IF(CW70&lt;1,1,IF(CW70&lt;1.2,1.2,IF(CW70&lt;1.4,1.4,IF(CW70&lt;1.6,1.6,IF(CW70&lt;1.8,1.8,IF(CW70&lt;2,2,2.2))))))))</f>
        <v>2.2000000000000002</v>
      </c>
      <c r="FR70" s="23">
        <f>IF(CX70&lt;0.6,0.6,IF(CX70&lt;0.8,0.8,IF(CX70&lt;1,1,IF(CX70&lt;1.2,1.2,IF(CX70&lt;1.4,1.4,IF(CX70&lt;1.6,1.6,IF(CX70&lt;1.8,1.8,IF(CX70&lt;2,2,2.2))))))))</f>
        <v>2.2000000000000002</v>
      </c>
      <c r="FS70" s="23">
        <f>IF(CY70&lt;0.6,0.6,IF(CY70&lt;0.8,0.8,IF(CY70&lt;1,1,IF(CY70&lt;1.2,1.2,IF(CY70&lt;1.4,1.4,IF(CY70&lt;1.6,1.6,IF(CY70&lt;1.8,1.8,IF(CY70&lt;2,2,2.2))))))))</f>
        <v>1.4</v>
      </c>
      <c r="FT70" s="23">
        <f>IF(FR70&lt;1,1,0)</f>
        <v>0</v>
      </c>
      <c r="FU70" s="23"/>
      <c r="GE70" s="4">
        <f>IF(R70&gt;=2.5*25.4,1,1.25)</f>
        <v>1</v>
      </c>
      <c r="GF70" s="4">
        <f>IF(AN70&gt;1, 0.05*(18-MIN(8,(V70+M70)/M70))*(1-48000/MAX(60000,(I70*145))*(M70/25.4)^0.75*GG70), 1/12*(14-MIN(8,(V70+M70)/M70)))</f>
        <v>0.5</v>
      </c>
      <c r="GG70" s="4">
        <f>MIN(0.3, AL70^2*PI()/4*2*AO70/(M70^2*PI()/4*W70))</f>
        <v>0</v>
      </c>
      <c r="GH70" s="4">
        <f>(J70/25.4)/(M70/25.4)^1.5/0.0024*(L70*145)^0.25/GE70/GF70/145</f>
        <v>572.82016852870072</v>
      </c>
    </row>
    <row r="71" spans="1:190" s="4" customFormat="1" ht="12" customHeight="1" x14ac:dyDescent="0.3">
      <c r="A71" s="25">
        <v>428</v>
      </c>
      <c r="B71" s="4" t="s">
        <v>605</v>
      </c>
      <c r="C71" s="4">
        <v>2016</v>
      </c>
      <c r="D71" s="4" t="s">
        <v>309</v>
      </c>
      <c r="E71" s="14" t="s">
        <v>680</v>
      </c>
      <c r="F71" s="14" t="s">
        <v>811</v>
      </c>
      <c r="G71" s="48" t="s">
        <v>600</v>
      </c>
      <c r="H71" s="5">
        <f t="shared" si="0"/>
        <v>0.89931012592541038</v>
      </c>
      <c r="I71" s="78">
        <f>115.9/0.145</f>
        <v>799.31034482758628</v>
      </c>
      <c r="J71" s="91">
        <f>19.5*25.4</f>
        <v>495.29999999999995</v>
      </c>
      <c r="K71" s="4">
        <f>J71</f>
        <v>495.29999999999995</v>
      </c>
      <c r="L71" s="38">
        <f>5430/145</f>
        <v>37.448275862068968</v>
      </c>
      <c r="M71" s="38">
        <f>1.41*25.4</f>
        <v>35.813999999999993</v>
      </c>
      <c r="N71" s="7">
        <f>J71/M71</f>
        <v>13.829787234042554</v>
      </c>
      <c r="O71" s="7">
        <f>K71/M71</f>
        <v>13.829787234042554</v>
      </c>
      <c r="P71" s="38">
        <f>22*25.4</f>
        <v>558.79999999999995</v>
      </c>
      <c r="Q71" s="32">
        <f>R71/M71</f>
        <v>1.9858156028368796</v>
      </c>
      <c r="R71" s="38">
        <f>2.8*25.4</f>
        <v>71.11999999999999</v>
      </c>
      <c r="S71" s="32">
        <f>T71/M71</f>
        <v>2.6241134751773054</v>
      </c>
      <c r="T71" s="39">
        <f>3.7*25.4</f>
        <v>93.98</v>
      </c>
      <c r="U71" s="32">
        <f>V71/M71</f>
        <v>4.3156028368794326</v>
      </c>
      <c r="V71" s="7">
        <f>(P71-W71*M71-2*R71)/(W71-1)</f>
        <v>154.55899999999997</v>
      </c>
      <c r="W71" s="38">
        <v>3</v>
      </c>
      <c r="X71" s="122">
        <f>AM71</f>
        <v>0</v>
      </c>
      <c r="Y71" s="32">
        <f>Z71/M71</f>
        <v>14.18439716312057</v>
      </c>
      <c r="Z71" s="4">
        <f>20*25.4</f>
        <v>508</v>
      </c>
      <c r="AA71" s="7">
        <f>MIN(R71/M71+0.5, V71/2/M71+0.5)</f>
        <v>2.4858156028368796</v>
      </c>
      <c r="AB71" s="7">
        <f>R71/M71+0.5</f>
        <v>2.4858156028368796</v>
      </c>
      <c r="AC71" s="38">
        <v>4.5</v>
      </c>
      <c r="AD71" s="4">
        <f>AC71</f>
        <v>4.5</v>
      </c>
      <c r="AE71" s="4">
        <f>AD71+1</f>
        <v>5.5</v>
      </c>
      <c r="AF71" s="7">
        <f>M71*AE71^0.5</f>
        <v>83.991275011158137</v>
      </c>
      <c r="AI71" s="38">
        <f>AJ71/0.145</f>
        <v>568.9655172413793</v>
      </c>
      <c r="AJ71" s="4">
        <v>82.5</v>
      </c>
      <c r="AK71" s="4">
        <f>CX71</f>
        <v>2.4404927360256581</v>
      </c>
      <c r="AL71" s="38">
        <v>0</v>
      </c>
      <c r="AM71" s="38">
        <v>0</v>
      </c>
      <c r="AN71" s="39">
        <f>K71</f>
        <v>495.29999999999995</v>
      </c>
      <c r="AO71" s="39"/>
      <c r="AP71" s="39"/>
      <c r="AQ71" s="7"/>
      <c r="AR71" s="4">
        <f>J71</f>
        <v>495.29999999999995</v>
      </c>
      <c r="AS71" s="4">
        <f>IF(J71*3&gt;V71+M71, P71, (R71+M71/2)*2+1.5*J71*(2*W71-2))*(3*J71)/(9*J71^2)</f>
        <v>0.37606837606837606</v>
      </c>
      <c r="AT71" s="4">
        <f>MIN(10*L71^0.5*J71^1.5,100*3.9*L71^0.5*J71^(5/3))/(PI()/4*M71^2)/W71</f>
        <v>223.2038138298075</v>
      </c>
      <c r="AU71" s="4">
        <f>MIN(0.7+0.3*(MIN(R71,Z71)+0.5*M71)/1.5/J71,1)</f>
        <v>0.73594871794871786</v>
      </c>
      <c r="AV71" s="4">
        <v>1.25</v>
      </c>
      <c r="AW71" s="4">
        <f>AW70</f>
        <v>5</v>
      </c>
      <c r="AX71" s="38">
        <f>AS71*AU71*AV71*AW71*AT71</f>
        <v>386.09661686376546</v>
      </c>
      <c r="AY71" s="38">
        <f>AX71</f>
        <v>386.09661686376546</v>
      </c>
      <c r="AZ71" s="38">
        <f>IF(L71&lt;50, 0.3*L71^(2/3), 2.12*LN(1+0.1*(L71+8)))</f>
        <v>3.3579622250305636</v>
      </c>
      <c r="BA71" s="38">
        <f>AW71* (L71^0.5/AR71^0.5)/(PI()/4*M71^2)/W71/0.72 *(0.7+(MIN(R71,Z71)+0.5*M71)/5/J71) *(3*P71*J71)</f>
        <v>386.09661686376541</v>
      </c>
      <c r="BB71" s="38">
        <f>AX71/BA71</f>
        <v>1.0000000000000002</v>
      </c>
      <c r="BC71" s="38">
        <f>BG71/BA71</f>
        <v>1.0229184064030679</v>
      </c>
      <c r="BD71" s="4">
        <f>IF(BC71&lt;1,1,0)</f>
        <v>0</v>
      </c>
      <c r="BE71" s="4">
        <f>K71/M71*L71^0.5/0.19</f>
        <v>445.42830537085564</v>
      </c>
      <c r="BF71" s="4">
        <f>MIN(0.6+0.4*(AB71/AA71),2)</f>
        <v>1</v>
      </c>
      <c r="BG71" s="38">
        <f>2*L71*AA71*AC71^0.5*BF71*0.7/0.7</f>
        <v>394.94533603989879</v>
      </c>
      <c r="BH71" s="4">
        <f>MAX(1-0.7*AD71/5,0.3)</f>
        <v>0.37</v>
      </c>
      <c r="BI71" s="4">
        <f>BH71*I71*K71/(I71*M71/2.75/L71^0.5)</f>
        <v>86.112427135820681</v>
      </c>
      <c r="BJ71" s="4">
        <f>BG71+BI71</f>
        <v>481.05776317571946</v>
      </c>
      <c r="BL71" s="4">
        <f>MIN(1.5, 0.75+0.25*MIN(3,MAX(1,R71/M71))+0.4*MIN(1,(40*2*PI()*AL71^2/4/AN71/W71)/M71))</f>
        <v>1.2464539007092199</v>
      </c>
      <c r="BM71" s="4">
        <f>(3*O71+30)*BL71*L71^0.5</f>
        <v>545.29755972333407</v>
      </c>
      <c r="BO71" s="4">
        <f>3.4/PI()^0.5*L71*AA71*AD71^0.5*BF71</f>
        <v>378.80087592961462</v>
      </c>
      <c r="BP71" s="4">
        <f>8/3*AG71*AH71^2/(AF71-M71-22)/M71*(AF71^2-M71^2)/(AF71^2-(M71+22)^2)</f>
        <v>0</v>
      </c>
      <c r="BQ71" s="4">
        <f>BP71/BO71</f>
        <v>0</v>
      </c>
      <c r="BY71" s="4">
        <f>IF(V71=0,R71,MIN(V71/2,R71))</f>
        <v>71.11999999999999</v>
      </c>
      <c r="CC71" s="9"/>
      <c r="CE71" s="9"/>
      <c r="CF71" s="9"/>
      <c r="CG71" s="9">
        <f>IF(V71=0,MIN(R71,T71),MIN(V71/2,R71,T71))</f>
        <v>71.11999999999999</v>
      </c>
      <c r="CH71" s="9">
        <f>MAX(V71/2,R71)</f>
        <v>77.279499999999985</v>
      </c>
      <c r="CI71" s="9">
        <f>(CG71/M71)^0.5*(CH71/CG71)^0.15</f>
        <v>1.4268566467933428</v>
      </c>
      <c r="CJ71" s="70">
        <f>IF(AN71&gt;1,20,0)</f>
        <v>20</v>
      </c>
      <c r="CK71" s="9">
        <f>MIN(PI()*AL71^2/4*AM71*2/W71/M71/MAX(0.01,AN71),0.05)</f>
        <v>0</v>
      </c>
      <c r="CL71" s="9">
        <f>MAX(0,CJ71*(CK71-0.5/50))</f>
        <v>0</v>
      </c>
      <c r="CM71" s="9">
        <f>MIN(1,(25/M71)^0.3)</f>
        <v>0.89777220146327208</v>
      </c>
      <c r="CN71" s="9">
        <f>IF(I71&gt;=800,0.68,IF(I71&gt;=700,0.75-(I71-700)*0.07/100,IF(I71&gt;=600,0.85-(I71-600)*0.1/100,IF(I71&gt;=500,1-(I71-500)*0.15/100,1.2-(I71-400)*0.2/100))))</f>
        <v>0.68048275862068963</v>
      </c>
      <c r="CO71" s="9">
        <f>1.75*CM71*CN71*(L71/25)^0.5</f>
        <v>1.3084804487373733</v>
      </c>
      <c r="CP71" s="9">
        <f>MIN((CI71+CL71)*CO71,2.5*CO71,L71^0.5)</f>
        <v>1.8670140254800569</v>
      </c>
      <c r="CQ71" s="40">
        <v>1</v>
      </c>
      <c r="CR71" s="9">
        <f>4*CP71*O71+60*CP71</f>
        <v>215.30246847025336</v>
      </c>
      <c r="CT71" s="4">
        <f>AI71/BE71</f>
        <v>1.2773447721685958</v>
      </c>
      <c r="CU71" s="4">
        <f>AI71/BJ71</f>
        <v>1.1827384584448524</v>
      </c>
      <c r="CV71" s="4">
        <f>AI71/BM71</f>
        <v>1.0434037473596134</v>
      </c>
      <c r="CW71" s="4">
        <f>AI71/CR71</f>
        <v>2.6426335066380755</v>
      </c>
      <c r="CX71" s="4">
        <f>AI71/DY71</f>
        <v>2.4404927360256581</v>
      </c>
      <c r="CY71" s="4">
        <f>AI71/EK71</f>
        <v>1.2264020383181997</v>
      </c>
      <c r="CZ71" s="4">
        <f>AI71/GH71</f>
        <v>1.2560274378694603</v>
      </c>
      <c r="DA71" s="4">
        <f>AM71</f>
        <v>0</v>
      </c>
      <c r="DB71" s="4">
        <f>CT71</f>
        <v>1.2773447721685958</v>
      </c>
      <c r="DC71" s="4">
        <f>CU71</f>
        <v>1.1827384584448524</v>
      </c>
      <c r="DD71" s="4">
        <f>CW71</f>
        <v>2.6426335066380755</v>
      </c>
      <c r="DE71" s="4">
        <f>CZ71</f>
        <v>1.2560274378694603</v>
      </c>
      <c r="DF71" s="4">
        <f>CX71</f>
        <v>2.4404927360256581</v>
      </c>
      <c r="DG71" s="4">
        <f>CY71</f>
        <v>1.2264020383181997</v>
      </c>
      <c r="DP71" s="4">
        <f>K71</f>
        <v>495.29999999999995</v>
      </c>
      <c r="DS71" s="4">
        <f>J71/4/(1-0.3*(L71/30)^0.5)/200000/M71</f>
        <v>2.6002832081299119E-5</v>
      </c>
      <c r="DT71" s="4">
        <f>EO71</f>
        <v>6.5617916489182875</v>
      </c>
      <c r="DU71" s="4">
        <f>EB71*AF71/257/L71/AC71</f>
        <v>0</v>
      </c>
      <c r="DV71" s="4">
        <f>DT71*DU71^0.4</f>
        <v>0</v>
      </c>
      <c r="DW71" s="4">
        <f>MIN(DT71, DT71/1.4*(1-DU71^1.4)/(1-DU71))</f>
        <v>4.6869940349416339</v>
      </c>
      <c r="DX71" s="4">
        <f>MAX(DT71/2, (4-DS71*(8*AF71*(DV71-DW71)+6*J71*DW71))/(4+DS71*J71*DT71)*DT71)</f>
        <v>5.9757260601490305</v>
      </c>
      <c r="DY71" s="38">
        <f>MIN(1/M71*(4*AF71*(DV71-DW71)+(3*DW71+DX71)*J71)+EB71 -FI71,MAX(I71,AI71))</f>
        <v>233.13550941681538</v>
      </c>
      <c r="DZ71" s="4">
        <f>DY71/FE71</f>
        <v>0.95370609474321255</v>
      </c>
      <c r="EA71" s="4">
        <f>AF71/M71</f>
        <v>2.3452078799117149</v>
      </c>
      <c r="EB71" s="4">
        <f>MIN(EA$10*BA71)</f>
        <v>0</v>
      </c>
      <c r="EF71" s="4">
        <f>IF(T71&gt;1*M71,0.85,1)</f>
        <v>0.85</v>
      </c>
      <c r="EG71" s="4">
        <f>MIN(1,MAX(0.7,(1-0.1*(BY71-1*M71)/M71)))</f>
        <v>0.90141843971631208</v>
      </c>
      <c r="EH71" s="4">
        <f>MIN(1,MAX(0.7,1-0.3*(PI()*AL71^2/4*AP71*2-0.25*PI()/4*M71^2)/(PI()/4*M71^2)))</f>
        <v>1</v>
      </c>
      <c r="EI71" s="4">
        <f>IF(EG71*EH71&lt;0.7,0.7,EG71*EH71)</f>
        <v>0.90141843971631208</v>
      </c>
      <c r="EK71" s="4">
        <f>MIN(DT71/M71*3*J71+EL71-FI71,MAX(I71,AI71))</f>
        <v>463.93066829994672</v>
      </c>
      <c r="EL71" s="25">
        <f>13.3*P71*J71^0.5*L71^0.5/W71/M71^2*(0.7+R71/5/J71)</f>
        <v>191.6861211639752</v>
      </c>
      <c r="EN71" s="4">
        <f>EF71*EI71</f>
        <v>0.76620567375886528</v>
      </c>
      <c r="EO71" s="4">
        <f>IF(M71&lt;22.2,1.1*5*(L71/30)^0.5,IF(M71&gt;=31.8,0.9*5*(L71/30)^0.5,1*5*(L71/30)^0.5))/EF71/EI71</f>
        <v>6.5617916489182875</v>
      </c>
      <c r="ER71" s="4">
        <f>ES71*M71</f>
        <v>83.991275011158137</v>
      </c>
      <c r="ES71" s="4">
        <f>AE71^0.5</f>
        <v>2.3452078799117149</v>
      </c>
      <c r="ET71" s="4">
        <f>MIN(EB71)/(4700*L71^0.5)/AD71*ER71</f>
        <v>0</v>
      </c>
      <c r="EW71" s="4">
        <f>ET71</f>
        <v>0</v>
      </c>
      <c r="EX71" s="4">
        <f>MIN(0.999, EW71/(0.3*(L71/30)^0.5))</f>
        <v>0</v>
      </c>
      <c r="EY71" s="4">
        <f>EO71/1*EX71^0.4</f>
        <v>0</v>
      </c>
      <c r="EZ71" s="4">
        <f>EO71/1.4*(1-EX71^1.4)/(1-EX71)</f>
        <v>4.6869940349416339</v>
      </c>
      <c r="FA71" s="4">
        <f>MAX(0,DP71*FA$9-ER71)</f>
        <v>0</v>
      </c>
      <c r="FB71" s="4">
        <f>MAX(0,DP71-ER71-FA71)</f>
        <v>411.30872498884185</v>
      </c>
      <c r="FC71" s="4">
        <f>FB71/(1-0.3*(L71/30)^0.5)/200000/M71</f>
        <v>8.6373444049732241E-5</v>
      </c>
      <c r="FD71" s="4">
        <f>MAX(0.5*EO71, (1-2*FC71*(ER71*EY71+FA71*EZ71))/(1/EO71+FC71*FB71))</f>
        <v>5.3213127522881116</v>
      </c>
      <c r="FE71" s="4">
        <f>MIN(4/M71*(1*EY71*ER71+EZ71*FA71+FB71*FD71)+EB71,MAX(I71,AI71))</f>
        <v>244.45215428720482</v>
      </c>
      <c r="FH71" s="4">
        <f>6.75*25.4</f>
        <v>171.45</v>
      </c>
      <c r="FN71" s="23">
        <f>IF(CT71&lt;0.6,0.6,IF(CT71&lt;0.8,0.8,IF(CT71&lt;1,1,IF(CT71&lt;1.2,1.2,IF(CT71&lt;1.4,1.4,IF(CT71&lt;1.6,1.6,IF(CT71&lt;1.8,1.8,IF(CT71&lt;2,2,2.2))))))))</f>
        <v>1.4</v>
      </c>
      <c r="FO71" s="23">
        <f>IF(CU71&lt;0.6,0.6,IF(CU71&lt;0.8,0.8,IF(CU71&lt;1,1,IF(CU71&lt;1.2,1.2,IF(CU71&lt;1.4,1.4,IF(CU71&lt;1.6,1.6,IF(CU71&lt;1.8,1.8,IF(CU71&lt;2,2,2.2))))))))</f>
        <v>1.2</v>
      </c>
      <c r="FP71" s="23">
        <f>IF(CZ71&lt;0.6,0.6,IF(CZ71&lt;0.8,0.8,IF(CZ71&lt;1,1,IF(CZ71&lt;1.2,1.2,IF(CZ71&lt;1.4,1.4,IF(CZ71&lt;1.6,1.6,IF(CZ71&lt;1.8,1.8,IF(CZ71&lt;2,2,2.2))))))))</f>
        <v>1.4</v>
      </c>
      <c r="FQ71" s="23">
        <f>IF(CW71&lt;0.6,0.6,IF(CW71&lt;0.8,0.8,IF(CW71&lt;1,1,IF(CW71&lt;1.2,1.2,IF(CW71&lt;1.4,1.4,IF(CW71&lt;1.6,1.6,IF(CW71&lt;1.8,1.8,IF(CW71&lt;2,2,2.2))))))))</f>
        <v>2.2000000000000002</v>
      </c>
      <c r="FR71" s="23">
        <f>IF(CX71&lt;0.6,0.6,IF(CX71&lt;0.8,0.8,IF(CX71&lt;1,1,IF(CX71&lt;1.2,1.2,IF(CX71&lt;1.4,1.4,IF(CX71&lt;1.6,1.6,IF(CX71&lt;1.8,1.8,IF(CX71&lt;2,2,2.2))))))))</f>
        <v>2.2000000000000002</v>
      </c>
      <c r="FS71" s="23">
        <f>IF(CY71&lt;0.6,0.6,IF(CY71&lt;0.8,0.8,IF(CY71&lt;1,1,IF(CY71&lt;1.2,1.2,IF(CY71&lt;1.4,1.4,IF(CY71&lt;1.6,1.6,IF(CY71&lt;1.8,1.8,IF(CY71&lt;2,2,2.2))))))))</f>
        <v>1.4</v>
      </c>
      <c r="FT71" s="23">
        <f>IF(FR71&lt;1,1,0)</f>
        <v>0</v>
      </c>
      <c r="FU71" s="23"/>
      <c r="GE71" s="4">
        <f>IF(R71&gt;=2.5*25.4,1,1.25)</f>
        <v>1</v>
      </c>
      <c r="GF71" s="4">
        <f>IF(AN71&gt;1, 0.05*(18-MIN(8,(V71+M71)/M71))*(1-48000/MAX(60000,(I71*145))*(M71/25.4)^0.75*GG71), 1/12*(14-MIN(8,(V71+M71)/M71)))</f>
        <v>0.63421985815602844</v>
      </c>
      <c r="GG71" s="4">
        <f>MIN(0.3, AL71^2*PI()/4*2*AO71/(M71^2*PI()/4*W71))</f>
        <v>0</v>
      </c>
      <c r="GH71" s="4">
        <f>(J71/25.4)/(M71/25.4)^1.5/0.0024*(L71*145)^0.25/GE71/GF71/145</f>
        <v>452.98812755753852</v>
      </c>
    </row>
    <row r="72" spans="1:190" s="4" customFormat="1" ht="12" customHeight="1" x14ac:dyDescent="0.3">
      <c r="A72" s="25">
        <v>426</v>
      </c>
      <c r="B72" s="4" t="s">
        <v>605</v>
      </c>
      <c r="C72" s="4">
        <v>2016</v>
      </c>
      <c r="D72" s="4" t="s">
        <v>309</v>
      </c>
      <c r="E72" s="14" t="s">
        <v>680</v>
      </c>
      <c r="F72" s="14" t="s">
        <v>811</v>
      </c>
      <c r="G72" s="48" t="s">
        <v>598</v>
      </c>
      <c r="H72" s="5">
        <f t="shared" si="0"/>
        <v>0.89931012592541038</v>
      </c>
      <c r="I72" s="78">
        <f>115.9/0.145</f>
        <v>799.31034482758628</v>
      </c>
      <c r="J72" s="91">
        <f>19.63*25.4</f>
        <v>498.60199999999992</v>
      </c>
      <c r="K72" s="4">
        <f>J72</f>
        <v>498.60199999999992</v>
      </c>
      <c r="L72" s="38">
        <f>5430/145</f>
        <v>37.448275862068968</v>
      </c>
      <c r="M72" s="38">
        <f>1.41*25.4</f>
        <v>35.813999999999993</v>
      </c>
      <c r="N72" s="7">
        <f>J72/M72</f>
        <v>13.921985815602838</v>
      </c>
      <c r="O72" s="7">
        <f>K72/M72</f>
        <v>13.921985815602838</v>
      </c>
      <c r="P72" s="38">
        <f>21.7*25.4</f>
        <v>551.17999999999995</v>
      </c>
      <c r="Q72" s="32">
        <f>R72/M72</f>
        <v>1.8794326241134751</v>
      </c>
      <c r="R72" s="38">
        <f>2.65*25.4</f>
        <v>67.309999999999988</v>
      </c>
      <c r="S72" s="32">
        <f>T72/M72</f>
        <v>2.6950354609929081</v>
      </c>
      <c r="T72" s="39">
        <f>3.8*25.4</f>
        <v>96.52</v>
      </c>
      <c r="U72" s="32">
        <f>V72/M72</f>
        <v>9.6312056737588669</v>
      </c>
      <c r="V72" s="7">
        <f>(P72-W72*M72-2*R72)/(W72-1)</f>
        <v>344.93200000000002</v>
      </c>
      <c r="W72" s="38">
        <v>2</v>
      </c>
      <c r="X72" s="122">
        <f>AM72</f>
        <v>12</v>
      </c>
      <c r="Y72" s="32">
        <f>Z72/M72</f>
        <v>14.18439716312057</v>
      </c>
      <c r="Z72" s="4">
        <f>20*25.4</f>
        <v>508</v>
      </c>
      <c r="AA72" s="7">
        <f>MIN(R72/M72+0.5, V72/2/M72+0.5)</f>
        <v>2.3794326241134751</v>
      </c>
      <c r="AB72" s="7">
        <f>R72/M72+0.5</f>
        <v>2.3794326241134751</v>
      </c>
      <c r="AC72" s="38">
        <v>4.5</v>
      </c>
      <c r="AD72" s="4">
        <f>AC72</f>
        <v>4.5</v>
      </c>
      <c r="AE72" s="4">
        <f>AD72+1</f>
        <v>5.5</v>
      </c>
      <c r="AF72" s="7">
        <f>M72*AE72^0.5</f>
        <v>83.991275011158137</v>
      </c>
      <c r="AI72" s="38">
        <f>AJ72/0.145</f>
        <v>802.06896551724139</v>
      </c>
      <c r="AJ72" s="4">
        <v>116.3</v>
      </c>
      <c r="AK72" s="4">
        <f>CX72</f>
        <v>3.4524550847544333</v>
      </c>
      <c r="AL72" s="38">
        <f>0.5*25.4</f>
        <v>12.7</v>
      </c>
      <c r="AM72" s="38">
        <v>12</v>
      </c>
      <c r="AN72" s="39">
        <f>4*25.4</f>
        <v>101.6</v>
      </c>
      <c r="AO72" s="39">
        <v>2</v>
      </c>
      <c r="AP72" s="39">
        <f>AO72-1</f>
        <v>1</v>
      </c>
      <c r="AQ72" s="7"/>
      <c r="AR72" s="4">
        <f>J72</f>
        <v>498.60199999999992</v>
      </c>
      <c r="AS72" s="4">
        <f>IF(J72*3&gt;V72+M72, P72, (R72+M72/2)*2+1.5*J72*(2*W72-2))*(3*J72)/(9*J72^2)</f>
        <v>0.36848361351672609</v>
      </c>
      <c r="AT72" s="4">
        <f>MIN(10*L72^0.5*J72^1.5,100*3.9*L72^0.5*J72^(5/3))/(PI()/4*M72^2)/W72</f>
        <v>338.15935186284662</v>
      </c>
      <c r="AU72" s="4">
        <f>MIN(0.7+0.3*(MIN(R72,Z72)+0.5*M72)/1.5/J72,1)</f>
        <v>0.73418237391747321</v>
      </c>
      <c r="AV72" s="4">
        <v>1.25</v>
      </c>
      <c r="AW72" s="4">
        <f>AW71</f>
        <v>5</v>
      </c>
      <c r="AX72" s="38">
        <f>AS72*AU72*AV72*AW72*AT72</f>
        <v>571.77288111026667</v>
      </c>
      <c r="AY72" s="38">
        <f>AX72</f>
        <v>571.77288111026667</v>
      </c>
      <c r="AZ72" s="38">
        <f>IF(L72&lt;50, 0.3*L72^(2/3), 2.12*LN(1+0.1*(L72+8)))</f>
        <v>3.3579622250305636</v>
      </c>
      <c r="BA72" s="38">
        <f>AW72* (L72^0.5/AR72^0.5)/(PI()/4*M72^2)/W72/0.72 *(0.7+(MIN(R72,Z72)+0.5*M72)/5/J72) *(3*P72*J72)</f>
        <v>571.77288111026724</v>
      </c>
      <c r="BB72" s="38">
        <f>AX72/BA72</f>
        <v>0.999999999999999</v>
      </c>
      <c r="BC72" s="38">
        <f>BG72/BA72</f>
        <v>0.66117730601535485</v>
      </c>
      <c r="BD72" s="4">
        <f>IF(BC72&lt;1,1,0)</f>
        <v>1</v>
      </c>
      <c r="BE72" s="4">
        <f>K72/M72*L72^0.5/0.19</f>
        <v>448.39782740666135</v>
      </c>
      <c r="BF72" s="4">
        <f>MIN(0.6+0.4*(AB72/AA72),2)</f>
        <v>1</v>
      </c>
      <c r="BG72" s="38">
        <f>2*L72*AA72*AC72^0.5*BF72*0.7/0.7</f>
        <v>378.04325318512429</v>
      </c>
      <c r="BH72" s="4">
        <f>MAX(1-0.7*AD72/5,0.3)</f>
        <v>0.37</v>
      </c>
      <c r="BI72" s="4">
        <f>BH72*I72*K72/(I72*M72/2.75/L72^0.5)</f>
        <v>86.68650998339281</v>
      </c>
      <c r="BJ72" s="4">
        <f>BG72+BI72</f>
        <v>464.72976316851708</v>
      </c>
      <c r="BL72" s="4">
        <f>MIN(1.5, 0.75+0.25*MIN(3,MAX(1,R72/M72))+0.4*MIN(1,(40*2*PI()*AL72^2/4/AN72/W72)/M72))</f>
        <v>1.5</v>
      </c>
      <c r="BM72" s="4">
        <f>(3*O72+30)*BL72*L72^0.5</f>
        <v>658.7576262992776</v>
      </c>
      <c r="BO72" s="4">
        <f>3.4/PI()^0.5*L72*AA72*AD72^0.5*BF72</f>
        <v>362.58971148184219</v>
      </c>
      <c r="BP72" s="4">
        <f>8/3*AG72*AH72^2/(AF72-M72-22)/M72*(AF72^2-M72^2)/(AF72^2-(M72+22)^2)</f>
        <v>0</v>
      </c>
      <c r="BQ72" s="4">
        <f>BP72/BO72</f>
        <v>0</v>
      </c>
      <c r="BY72" s="4">
        <f>IF(V72=0,R72,MIN(V72/2,R72))</f>
        <v>67.309999999999988</v>
      </c>
      <c r="CC72" s="9"/>
      <c r="CE72" s="9"/>
      <c r="CF72" s="9"/>
      <c r="CG72" s="9">
        <f>IF(V72=0,MIN(R72,T72),MIN(V72/2,R72,T72))</f>
        <v>67.309999999999988</v>
      </c>
      <c r="CH72" s="9">
        <f>MAX(V72/2,R72)</f>
        <v>172.46600000000001</v>
      </c>
      <c r="CI72" s="9">
        <f>(CG72/M72)^0.5*(CH72/CG72)^0.15</f>
        <v>1.5787267425904519</v>
      </c>
      <c r="CJ72" s="70">
        <f>IF(AN72&gt;1,20,0)</f>
        <v>20</v>
      </c>
      <c r="CK72" s="9">
        <f>MIN(PI()*AL72^2/4*AM72*2/W72/M72/MAX(0.01,AN72),0.05)</f>
        <v>0.05</v>
      </c>
      <c r="CL72" s="9">
        <f>MAX(0,CJ72*(CK72-0.5/50))</f>
        <v>0.8</v>
      </c>
      <c r="CM72" s="9">
        <f>MIN(1,(25/M72)^0.3)</f>
        <v>0.89777220146327208</v>
      </c>
      <c r="CN72" s="9">
        <f>IF(I72&gt;=800,0.68,IF(I72&gt;=700,0.75-(I72-700)*0.07/100,IF(I72&gt;=600,0.85-(I72-600)*0.1/100,IF(I72&gt;=500,1-(I72-500)*0.15/100,1.2-(I72-400)*0.2/100))))</f>
        <v>0.68048275862068963</v>
      </c>
      <c r="CO72" s="9">
        <f>1.75*CM72*CN72*(L72/25)^0.5</f>
        <v>1.3084804487373733</v>
      </c>
      <c r="CP72" s="9">
        <f>MIN((CI72+CL72)*CO72,2.5*CO72,L72^0.5)</f>
        <v>3.1125174355683445</v>
      </c>
      <c r="CQ72" s="40">
        <v>1</v>
      </c>
      <c r="CR72" s="9">
        <f>4*CP72*O72+60*CP72</f>
        <v>360.08074048929672</v>
      </c>
      <c r="CT72" s="4">
        <f>AI72/BE72</f>
        <v>1.7887440939579493</v>
      </c>
      <c r="CU72" s="4">
        <f>AI72/BJ72</f>
        <v>1.725882500076503</v>
      </c>
      <c r="CV72" s="4">
        <f>AI72/BM72</f>
        <v>1.2175479015295021</v>
      </c>
      <c r="CW72" s="4">
        <f>AI72/CR72</f>
        <v>2.2274697736606179</v>
      </c>
      <c r="CX72" s="4">
        <f>AI72/DY72</f>
        <v>3.4524550847544333</v>
      </c>
      <c r="CY72" s="4">
        <f>AI72/EK72</f>
        <v>1.4455193526381414</v>
      </c>
      <c r="CZ72" s="4">
        <f>AI72/GH72</f>
        <v>1.1997735337343924</v>
      </c>
      <c r="DA72" s="4">
        <f>AM72</f>
        <v>12</v>
      </c>
      <c r="DH72" s="4">
        <f>CT72</f>
        <v>1.7887440939579493</v>
      </c>
      <c r="DI72" s="4">
        <f>CU72</f>
        <v>1.725882500076503</v>
      </c>
      <c r="DJ72" s="4">
        <f>CW72</f>
        <v>2.2274697736606179</v>
      </c>
      <c r="DK72" s="4">
        <f>CZ72</f>
        <v>1.1997735337343924</v>
      </c>
      <c r="DL72" s="4">
        <f>CX72</f>
        <v>3.4524550847544333</v>
      </c>
      <c r="DM72" s="4">
        <f>CY72</f>
        <v>1.4455193526381414</v>
      </c>
      <c r="DP72" s="4">
        <f>K72</f>
        <v>498.60199999999992</v>
      </c>
      <c r="DS72" s="4">
        <f>J72/4/(1-0.3*(L72/30)^0.5)/200000/M72</f>
        <v>2.6176184295174446E-5</v>
      </c>
      <c r="DT72" s="4">
        <f>EO72</f>
        <v>6.4881670962699065</v>
      </c>
      <c r="DU72" s="4">
        <f>EB72*AF72/257/L72/AC72</f>
        <v>0</v>
      </c>
      <c r="DV72" s="4">
        <f>DT72*DU72^0.4</f>
        <v>0</v>
      </c>
      <c r="DW72" s="4">
        <f>MIN(DT72, DT72/1.4*(1-DU72^1.4)/(1-DU72))</f>
        <v>4.6344050687642193</v>
      </c>
      <c r="DX72" s="4">
        <f>MAX(DT72/2, (4-DS72*(8*AF72*(DV72-DW72)+6*J72*DW72))/(4+DS72*J72*DT72)*DT72)</f>
        <v>5.9066749026467997</v>
      </c>
      <c r="DY72" s="38">
        <f>MIN(1/M72*(4*AF72*(DV72-DW72)+(3*DW72+DX72)*J72)+EB72 -FI72,MAX(I72,AI72))</f>
        <v>232.3184359614315</v>
      </c>
      <c r="DZ72" s="4">
        <f>DY72/FE72</f>
        <v>0.95434391338507196</v>
      </c>
      <c r="EA72" s="4">
        <f>AF72/M72</f>
        <v>2.3452078799117149</v>
      </c>
      <c r="EB72" s="4">
        <f>MIN(EA$10*BA72)</f>
        <v>0</v>
      </c>
      <c r="EF72" s="4">
        <f>IF(T72&gt;1*M72,0.85,1)</f>
        <v>0.85</v>
      </c>
      <c r="EG72" s="4">
        <f>MIN(1,MAX(0.7,(1-0.1*(BY72-1*M72)/M72)))</f>
        <v>0.91205673758865247</v>
      </c>
      <c r="EH72" s="4">
        <f>MIN(1,MAX(0.7,1-0.3*(PI()*AL72^2/4*AP72*2-0.25*PI()/4*M72^2)/(PI()/4*M72^2)))</f>
        <v>0.9995510789195714</v>
      </c>
      <c r="EI72" s="4">
        <f>IF(EG72*EH72&lt;0.7,0.7,EG72*EH72)</f>
        <v>0.91164729609260198</v>
      </c>
      <c r="EK72" s="4">
        <f>MIN(DT72/M72*3*J72+EL72-FI72,MAX(I72,AI72))</f>
        <v>554.86560180147535</v>
      </c>
      <c r="EL72" s="25">
        <f>13.3*P72*J72^0.5*L72^0.5/W72/M72^2*(0.7+R72/5/J72)</f>
        <v>283.88109095088328</v>
      </c>
      <c r="EN72" s="4">
        <f>EF72*EI72</f>
        <v>0.77490020167871165</v>
      </c>
      <c r="EO72" s="4">
        <f>IF(M72&lt;22.2,1.1*5*(L72/30)^0.5,IF(M72&gt;=31.8,0.9*5*(L72/30)^0.5,1*5*(L72/30)^0.5))/EF72/EI72</f>
        <v>6.4881670962699065</v>
      </c>
      <c r="ER72" s="4">
        <f>ES72*M72</f>
        <v>83.991275011158137</v>
      </c>
      <c r="ES72" s="4">
        <f>AE72^0.5</f>
        <v>2.3452078799117149</v>
      </c>
      <c r="ET72" s="4">
        <f>MIN(EB72)/(4700*L72^0.5)/AD72*ER72</f>
        <v>0</v>
      </c>
      <c r="EW72" s="4">
        <f>ET72</f>
        <v>0</v>
      </c>
      <c r="EX72" s="4">
        <f>MIN(0.999, EW72/(0.3*(L72/30)^0.5))</f>
        <v>0</v>
      </c>
      <c r="EY72" s="4">
        <f>EO72/1*EX72^0.4</f>
        <v>0</v>
      </c>
      <c r="EZ72" s="4">
        <f>EO72/1.4*(1-EX72^1.4)/(1-EX72)</f>
        <v>4.6344050687642193</v>
      </c>
      <c r="FA72" s="4">
        <f>MAX(0,DP72*FA$9-ER72)</f>
        <v>0</v>
      </c>
      <c r="FB72" s="4">
        <f>MAX(0,DP72-ER72-FA72)</f>
        <v>414.61072498884175</v>
      </c>
      <c r="FC72" s="4">
        <f>FB72/(1-0.3*(L72/30)^0.5)/200000/M72</f>
        <v>8.7066852905233523E-5</v>
      </c>
      <c r="FD72" s="4">
        <f>MAX(0.5*EO72, (1-2*FC72*(ER72*EY72+FA72*EZ72))/(1/EO72+FC72*FB72))</f>
        <v>5.2569164309274621</v>
      </c>
      <c r="FE72" s="4">
        <f>MIN(4/M72*(1*EY72*ER72+EZ72*FA72+FB72*FD72)+EB72,MAX(I72,AI72))</f>
        <v>243.43261658933264</v>
      </c>
      <c r="FH72" s="4">
        <f>6.75*25.4</f>
        <v>171.45</v>
      </c>
      <c r="FN72" s="23">
        <f>IF(CT72&lt;0.6,0.6,IF(CT72&lt;0.8,0.8,IF(CT72&lt;1,1,IF(CT72&lt;1.2,1.2,IF(CT72&lt;1.4,1.4,IF(CT72&lt;1.6,1.6,IF(CT72&lt;1.8,1.8,IF(CT72&lt;2,2,2.2))))))))</f>
        <v>1.8</v>
      </c>
      <c r="FO72" s="23">
        <f>IF(CU72&lt;0.6,0.6,IF(CU72&lt;0.8,0.8,IF(CU72&lt;1,1,IF(CU72&lt;1.2,1.2,IF(CU72&lt;1.4,1.4,IF(CU72&lt;1.6,1.6,IF(CU72&lt;1.8,1.8,IF(CU72&lt;2,2,2.2))))))))</f>
        <v>1.8</v>
      </c>
      <c r="FP72" s="23">
        <f>IF(CZ72&lt;0.6,0.6,IF(CZ72&lt;0.8,0.8,IF(CZ72&lt;1,1,IF(CZ72&lt;1.2,1.2,IF(CZ72&lt;1.4,1.4,IF(CZ72&lt;1.6,1.6,IF(CZ72&lt;1.8,1.8,IF(CZ72&lt;2,2,2.2))))))))</f>
        <v>1.2</v>
      </c>
      <c r="FQ72" s="23">
        <f>IF(CW72&lt;0.6,0.6,IF(CW72&lt;0.8,0.8,IF(CW72&lt;1,1,IF(CW72&lt;1.2,1.2,IF(CW72&lt;1.4,1.4,IF(CW72&lt;1.6,1.6,IF(CW72&lt;1.8,1.8,IF(CW72&lt;2,2,2.2))))))))</f>
        <v>2.2000000000000002</v>
      </c>
      <c r="FR72" s="23">
        <f>IF(CX72&lt;0.6,0.6,IF(CX72&lt;0.8,0.8,IF(CX72&lt;1,1,IF(CX72&lt;1.2,1.2,IF(CX72&lt;1.4,1.4,IF(CX72&lt;1.6,1.6,IF(CX72&lt;1.8,1.8,IF(CX72&lt;2,2,2.2))))))))</f>
        <v>2.2000000000000002</v>
      </c>
      <c r="FS72" s="23">
        <f>IF(CY72&lt;0.6,0.6,IF(CY72&lt;0.8,0.8,IF(CY72&lt;1,1,IF(CY72&lt;1.2,1.2,IF(CY72&lt;1.4,1.4,IF(CY72&lt;1.6,1.6,IF(CY72&lt;1.8,1.8,IF(CY72&lt;2,2,2.2))))))))</f>
        <v>1.6</v>
      </c>
      <c r="FT72" s="23">
        <f>IF(FR72&lt;1,1,0)</f>
        <v>0</v>
      </c>
      <c r="FU72" s="23"/>
      <c r="GE72" s="4">
        <f>IF(R72&gt;=2.5*25.4,1,1.25)</f>
        <v>1</v>
      </c>
      <c r="GF72" s="4">
        <f>IF(AN72&gt;1, 0.05*(18-MIN(8,(V72+M72)/M72))*(1-48000/MAX(60000,(I72*145))*(M72/25.4)^0.75*GG72), 1/12*(14-MIN(8,(V72+M72)/M72)))</f>
        <v>0.43261334185606104</v>
      </c>
      <c r="GG72" s="4">
        <f>MIN(0.3, AL72^2*PI()/4*2*AO72/(M72^2*PI()/4*W72))</f>
        <v>0.25149640360142855</v>
      </c>
      <c r="GH72" s="4">
        <f>(J72/25.4)/(M72/25.4)^1.5/0.0024*(L72*145)^0.25/GE72/GF72/145</f>
        <v>668.51696838213854</v>
      </c>
    </row>
    <row r="73" spans="1:190" s="4" customFormat="1" ht="12" customHeight="1" x14ac:dyDescent="0.3">
      <c r="A73" s="25">
        <v>157</v>
      </c>
      <c r="B73" s="24" t="s">
        <v>128</v>
      </c>
      <c r="C73" s="24">
        <v>2017</v>
      </c>
      <c r="D73" s="24" t="s">
        <v>309</v>
      </c>
      <c r="E73" s="24"/>
      <c r="F73" s="109" t="s">
        <v>812</v>
      </c>
      <c r="G73" s="4" t="s">
        <v>164</v>
      </c>
      <c r="H73" s="5">
        <f t="shared" si="0"/>
        <v>0.82834390774485345</v>
      </c>
      <c r="I73" s="72">
        <v>606</v>
      </c>
      <c r="J73" s="7">
        <f>16*M73</f>
        <v>688</v>
      </c>
      <c r="K73" s="7">
        <f>J73</f>
        <v>688</v>
      </c>
      <c r="L73" s="103">
        <v>45.8</v>
      </c>
      <c r="M73" s="88">
        <v>43</v>
      </c>
      <c r="N73" s="7">
        <f>J73/M73</f>
        <v>16</v>
      </c>
      <c r="O73" s="7">
        <f>K73/M73</f>
        <v>16</v>
      </c>
      <c r="P73" s="7">
        <f>V73+2*R73+2*M73</f>
        <v>344</v>
      </c>
      <c r="Q73" s="32">
        <f>R73/M73</f>
        <v>1</v>
      </c>
      <c r="R73" s="7">
        <f>1*M73</f>
        <v>43</v>
      </c>
      <c r="S73" s="32">
        <f>T73/M73</f>
        <v>1.3023255813953489</v>
      </c>
      <c r="T73" s="7">
        <f>40+16</f>
        <v>56</v>
      </c>
      <c r="U73" s="32">
        <f>V73/M73</f>
        <v>4</v>
      </c>
      <c r="V73" s="7">
        <f>(5-1)*M73</f>
        <v>172</v>
      </c>
      <c r="W73" s="7">
        <v>2</v>
      </c>
      <c r="X73" s="122">
        <f>AM73</f>
        <v>0</v>
      </c>
      <c r="Y73" s="32">
        <f>Z73/M73</f>
        <v>8.3410852713178283</v>
      </c>
      <c r="Z73" s="7">
        <f>2/3*J73-0.5*200</f>
        <v>358.66666666666663</v>
      </c>
      <c r="AA73" s="7">
        <f>MIN(R73/M73+0.5, V73/2/M73+0.5)</f>
        <v>1.5</v>
      </c>
      <c r="AB73" s="7">
        <f>R73/M73+0.5</f>
        <v>1.5</v>
      </c>
      <c r="AC73" s="7">
        <f>2040/510</f>
        <v>4</v>
      </c>
      <c r="AD73" s="7">
        <f>2040/510</f>
        <v>4</v>
      </c>
      <c r="AE73" s="7">
        <f>AD73+1</f>
        <v>5</v>
      </c>
      <c r="AF73" s="7">
        <f>M73*AE73^0.5</f>
        <v>96.150923032490965</v>
      </c>
      <c r="AG73" s="7">
        <f>I73</f>
        <v>606</v>
      </c>
      <c r="AH73" s="7">
        <v>19</v>
      </c>
      <c r="AI73" s="7">
        <f>(572+572)/2</f>
        <v>572</v>
      </c>
      <c r="AJ73" s="7"/>
      <c r="AK73" s="4">
        <f>CX73</f>
        <v>2.111231820434265</v>
      </c>
      <c r="AL73" s="7">
        <v>0</v>
      </c>
      <c r="AM73" s="7">
        <v>0</v>
      </c>
      <c r="AN73" s="7">
        <f>K73</f>
        <v>688</v>
      </c>
      <c r="AO73" s="7"/>
      <c r="AP73" s="7"/>
      <c r="AQ73" s="7">
        <f>3*AR73/(V73+M73)</f>
        <v>9.6</v>
      </c>
      <c r="AR73" s="4">
        <f>J73</f>
        <v>688</v>
      </c>
      <c r="AS73" s="4">
        <f>IF(J73*3&gt;V73+M73, P73, (R73+M73/2)*2+1.5*J73*(2*W73-2))*(3*J73)/(9*J73^2)</f>
        <v>0.16666666666666666</v>
      </c>
      <c r="AT73" s="4">
        <f>MIN(10*L73^0.5*J73^1.5,100*3.9*L73^0.5*J73^(5/3))/(PI()/4*M73^2)/W73</f>
        <v>420.49284288370211</v>
      </c>
      <c r="AU73" s="4">
        <f>MIN(0.7+0.3*(MIN(R73,Z73)+0.5*M73)/1.5/J73,1)</f>
        <v>0.71875</v>
      </c>
      <c r="AV73" s="4">
        <v>1.25</v>
      </c>
      <c r="AW73" s="4">
        <f>AW72</f>
        <v>5</v>
      </c>
      <c r="AX73" s="38">
        <f>AS73*AU73*AV73*AW73*AT73</f>
        <v>314.82211544027172</v>
      </c>
      <c r="AY73" s="38">
        <f>AX73</f>
        <v>314.82211544027172</v>
      </c>
      <c r="AZ73" s="38">
        <f>IF(L73&lt;50, 0.3*L73^(2/3), 2.12*LN(1+0.1*(L73+8)))</f>
        <v>3.8402978284624769</v>
      </c>
      <c r="BA73" s="38">
        <f>AW73* (L73^0.5/AR73^0.5)/(PI()/4*M73^2)/W73/0.72 *(0.7+(MIN(R73,Z73)+0.5*M73)/5/J73) *(3*P73*J73)</f>
        <v>314.82211544027177</v>
      </c>
      <c r="BB73" s="38">
        <f>AX73/BA73</f>
        <v>0.99999999999999978</v>
      </c>
      <c r="BC73" s="38">
        <f>BG73/BA73</f>
        <v>0.87287387550807294</v>
      </c>
      <c r="BD73" s="4">
        <f>IF(BC73&lt;1,1,0)</f>
        <v>1</v>
      </c>
      <c r="BE73" s="4">
        <f>K73/M73*L73^0.5/0.19</f>
        <v>569.90060852845909</v>
      </c>
      <c r="BF73" s="4">
        <f>MIN(0.6+0.4*(AB73/AA73),2)</f>
        <v>1</v>
      </c>
      <c r="BG73" s="38">
        <f>2*L73*AA73*AC73^0.5*BF73*0.7/0.7</f>
        <v>274.79999999999995</v>
      </c>
      <c r="BH73" s="4">
        <f>MAX(1-0.7*AD73/5,0.3)</f>
        <v>0.44000000000000006</v>
      </c>
      <c r="BI73" s="4">
        <f>BH73*I73*K73/(I73*M73/2.75/L73^0.5)</f>
        <v>131.02014990069279</v>
      </c>
      <c r="BJ73" s="4">
        <f>BG73+BI73</f>
        <v>405.82014990069274</v>
      </c>
      <c r="BL73" s="4">
        <f>MIN(1.5, 0.75+0.25*MIN(3,MAX(1,R73/M73))+0.4*MIN(1,(40*2*PI()*AL73^2/4/AN73/W73)/M73))</f>
        <v>1</v>
      </c>
      <c r="BM73" s="4">
        <f>(3*O73+30)*BL73*L73^0.5</f>
        <v>527.87043864948532</v>
      </c>
      <c r="BO73" s="4">
        <f>3.4/PI()^0.5*L73*AA73*AD73^0.5*BF73</f>
        <v>263.56680585016983</v>
      </c>
      <c r="BP73" s="4">
        <f>8/3*AG73*AH73^2/(AF73-M73-22)/M73*(AF73^2-M73^2)/(AF73^2-(M73+22)^2)</f>
        <v>641.65616063635548</v>
      </c>
      <c r="BQ73" s="4">
        <f>BP73/BO73</f>
        <v>2.4345105164764891</v>
      </c>
      <c r="BY73" s="4">
        <f>IF(V73=0,R73,MIN(V73/2,R73))</f>
        <v>43</v>
      </c>
      <c r="CC73" s="9"/>
      <c r="CE73" s="9"/>
      <c r="CF73" s="9"/>
      <c r="CG73" s="9">
        <f>IF(V73=0,MIN(R73,T73),MIN(V73/2,R73,T73))</f>
        <v>43</v>
      </c>
      <c r="CH73" s="9">
        <f>MAX(V73/2,R73)</f>
        <v>86</v>
      </c>
      <c r="CI73" s="9">
        <f>(CG73/M73)^0.5*(CH73/CG73)^0.15</f>
        <v>1.1095694720678451</v>
      </c>
      <c r="CJ73" s="70">
        <v>0</v>
      </c>
      <c r="CK73" s="9">
        <f>MIN(PI()*AL73^2/4*AM73*2/W73/M73/MAX(0.01,AN73),0.05)</f>
        <v>0</v>
      </c>
      <c r="CL73" s="9">
        <f>MAX(0,CJ73*(CK73-0.5/50))</f>
        <v>0</v>
      </c>
      <c r="CM73" s="9">
        <f>MIN(1,(25/M73)^0.3)</f>
        <v>0.84984840943171969</v>
      </c>
      <c r="CN73" s="9">
        <f>IF(I73&gt;=800,0.68,IF(I73&gt;=700,0.75-(I73-700)*0.07/100,IF(I73&gt;=600,0.85-(I73-600)*0.1/100,IF(I73&gt;=500,1-(I73-500)*0.15/100,1.2-(I73-400)*0.2/100))))</f>
        <v>0.84399999999999997</v>
      </c>
      <c r="CO73" s="9">
        <f>1.75*CM73*CN73*(L73/25)^0.5</f>
        <v>1.6989660317871056</v>
      </c>
      <c r="CP73" s="9">
        <f>MIN((CI73+CL73)*CO73,2.5*CO73,L73^0.5)</f>
        <v>1.8851208429512205</v>
      </c>
      <c r="CQ73" s="9">
        <v>1</v>
      </c>
      <c r="CR73" s="9">
        <f>4*CP73*O73+60*CP73</f>
        <v>233.75498452595133</v>
      </c>
      <c r="CT73" s="4">
        <f>AI73/BE73</f>
        <v>1.0036837852778606</v>
      </c>
      <c r="CU73" s="4">
        <f>AI73/BJ73</f>
        <v>1.4094913723233622</v>
      </c>
      <c r="CV73" s="4">
        <f>AI73/BM73</f>
        <v>1.0835992283701597</v>
      </c>
      <c r="CW73" s="4">
        <f>AI73/CR73</f>
        <v>2.4470066431310555</v>
      </c>
      <c r="CX73" s="4">
        <f>AI73/DY73</f>
        <v>2.111231820434265</v>
      </c>
      <c r="CY73" s="4">
        <f>AI73/EK73</f>
        <v>1.2158256317980205</v>
      </c>
      <c r="CZ73" s="4">
        <f>AI73/GH73</f>
        <v>1.4569265550499924</v>
      </c>
      <c r="DB73" s="4">
        <f>CT73</f>
        <v>1.0036837852778606</v>
      </c>
      <c r="DC73" s="4">
        <f>CU73</f>
        <v>1.4094913723233622</v>
      </c>
      <c r="DD73" s="4">
        <f>CW73</f>
        <v>2.4470066431310555</v>
      </c>
      <c r="DE73" s="4">
        <f>CZ73</f>
        <v>1.4569265550499924</v>
      </c>
      <c r="DF73" s="4">
        <f>CX73</f>
        <v>2.111231820434265</v>
      </c>
      <c r="DG73" s="4">
        <f>CY73</f>
        <v>1.2158256317980205</v>
      </c>
      <c r="DO73" s="4">
        <f>AM73</f>
        <v>0</v>
      </c>
      <c r="DP73" s="4">
        <f>K73</f>
        <v>688</v>
      </c>
      <c r="DS73" s="4">
        <f>J73/4/(1-0.3*(L73/30)^0.5)/200000/M73</f>
        <v>3.1780084856411147E-5</v>
      </c>
      <c r="DT73" s="4">
        <f>EO73</f>
        <v>6.5413245857119913</v>
      </c>
      <c r="DU73" s="4">
        <f>EB73*AF73/257/L73/AC73</f>
        <v>0</v>
      </c>
      <c r="DV73" s="4">
        <f>DT73*DU73^0.4</f>
        <v>0</v>
      </c>
      <c r="DW73" s="4">
        <f>MIN(DT73, DT73/1.4*(1-DU73^1.4)/(1-DU73))</f>
        <v>4.6723747040799939</v>
      </c>
      <c r="DX73" s="4">
        <f>MAX(DT73/2, (4-DS73*(8*AF73*(DV73-DW73)+6*J73*DW73))/(4+DS73*J73*DT73)*DT73)</f>
        <v>5.5280550671142148</v>
      </c>
      <c r="DY73" s="38">
        <f>MIN(1/M73*(4*AF73*(DV73-DW73)+(3*DW73+DX73)*J73)+EB73 -FI73,MAX(I73,AI73))</f>
        <v>270.93187705097387</v>
      </c>
      <c r="DZ73" s="4">
        <f>DY73/FE73</f>
        <v>1.0707990344886946</v>
      </c>
      <c r="EA73" s="4">
        <f>AF73/M73</f>
        <v>2.2360679774997898</v>
      </c>
      <c r="EB73" s="4">
        <f>MIN(EA$10*BA73)</f>
        <v>0</v>
      </c>
      <c r="EF73" s="4">
        <f>IF(T73&gt;1*M73,0.85,1)</f>
        <v>0.85</v>
      </c>
      <c r="EG73" s="4">
        <f>MIN(1,MAX(0.7,(1-0.1*(BY73-1*M73)/M73)))</f>
        <v>1</v>
      </c>
      <c r="EH73" s="4">
        <f>MIN(1,MAX(0.7,1-0.3*(PI()*AL73^2/4*AP73*2-0.25*PI()/4*M73^2)/(PI()/4*M73^2)))</f>
        <v>1</v>
      </c>
      <c r="EI73" s="4">
        <f>IF(EG73*EH73&lt;0.7,0.7,EG73*EH73)</f>
        <v>1</v>
      </c>
      <c r="EK73" s="4">
        <f>MIN(DT73/M73*3*J73+EL73-FI73,MAX(I73,AI73))</f>
        <v>470.46219872342988</v>
      </c>
      <c r="EL73" s="25">
        <f>13.3*P73*J73^0.5*L73^0.5/W73/M73^2*(0.7+R73/5/J73)</f>
        <v>156.47861860925426</v>
      </c>
      <c r="EO73" s="4">
        <f>IF(M73&lt;22.2,1.1*5*(L73/30)^0.5,IF(M73&gt;=31.8,0.9*5*(L73/30)^0.5,1*5*(L73/30)^0.5))/EF73/EI73</f>
        <v>6.5413245857119913</v>
      </c>
      <c r="ER73" s="4">
        <f>ES73*M73</f>
        <v>96.150923032490965</v>
      </c>
      <c r="ES73" s="4">
        <f>AE73^0.5</f>
        <v>2.2360679774997898</v>
      </c>
      <c r="ET73" s="4">
        <f>MIN(EB73)/(4700*L73^0.5)/AD73*ER73</f>
        <v>0</v>
      </c>
      <c r="EW73" s="4">
        <f>ET73</f>
        <v>0</v>
      </c>
      <c r="EX73" s="4">
        <f>MIN(0.999, EW73/(0.3*(L73/30)^0.5))</f>
        <v>0</v>
      </c>
      <c r="EY73" s="4">
        <f>EO73/1*EX73^0.4</f>
        <v>0</v>
      </c>
      <c r="EZ73" s="4">
        <f>EO73/1.4*(1-EX73^1.4)/(1-EX73)</f>
        <v>4.6723747040799939</v>
      </c>
      <c r="FA73" s="4">
        <f>MAX(0,DP73*FA$9-ER73)</f>
        <v>0</v>
      </c>
      <c r="FB73" s="4">
        <f>MAX(0,DP73-ER73-FA73)</f>
        <v>591.84907696750906</v>
      </c>
      <c r="FC73" s="4">
        <f>FB73/(1-0.3*(L73/30)^0.5)/200000/M73</f>
        <v>1.0935473190823284E-4</v>
      </c>
      <c r="FD73" s="4">
        <f>MAX(0.5*EO73, (1-2*FC73*(ER73*EY73+FA73*EZ73))/(1/EO73+FC73*FB73))</f>
        <v>4.5956783457329546</v>
      </c>
      <c r="FE73" s="4">
        <f>MIN(4/M73*(1*EY73*ER73+EZ73*FA73+FB73*FD73)+EB73,MAX(I73,AI73))</f>
        <v>253.0184173917784</v>
      </c>
      <c r="FN73" s="23">
        <f>IF(CT73&lt;0.6,0.6,IF(CT73&lt;0.8,0.8,IF(CT73&lt;1,1,IF(CT73&lt;1.2,1.2,IF(CT73&lt;1.4,1.4,IF(CT73&lt;1.6,1.6,IF(CT73&lt;1.8,1.8,IF(CT73&lt;2,2,2.2))))))))</f>
        <v>1.2</v>
      </c>
      <c r="FO73" s="23">
        <f>IF(CU73&lt;0.6,0.6,IF(CU73&lt;0.8,0.8,IF(CU73&lt;1,1,IF(CU73&lt;1.2,1.2,IF(CU73&lt;1.4,1.4,IF(CU73&lt;1.6,1.6,IF(CU73&lt;1.8,1.8,IF(CU73&lt;2,2,2.2))))))))</f>
        <v>1.6</v>
      </c>
      <c r="FP73" s="23">
        <f>IF(CZ73&lt;0.6,0.6,IF(CZ73&lt;0.8,0.8,IF(CZ73&lt;1,1,IF(CZ73&lt;1.2,1.2,IF(CZ73&lt;1.4,1.4,IF(CZ73&lt;1.6,1.6,IF(CZ73&lt;1.8,1.8,IF(CZ73&lt;2,2,2.2))))))))</f>
        <v>1.6</v>
      </c>
      <c r="FQ73" s="23">
        <f>IF(CW73&lt;0.6,0.6,IF(CW73&lt;0.8,0.8,IF(CW73&lt;1,1,IF(CW73&lt;1.2,1.2,IF(CW73&lt;1.4,1.4,IF(CW73&lt;1.6,1.6,IF(CW73&lt;1.8,1.8,IF(CW73&lt;2,2,2.2))))))))</f>
        <v>2.2000000000000002</v>
      </c>
      <c r="FR73" s="23">
        <f>IF(CX73&lt;0.6,0.6,IF(CX73&lt;0.8,0.8,IF(CX73&lt;1,1,IF(CX73&lt;1.2,1.2,IF(CX73&lt;1.4,1.4,IF(CX73&lt;1.6,1.6,IF(CX73&lt;1.8,1.8,IF(CX73&lt;2,2,2.2))))))))</f>
        <v>2.2000000000000002</v>
      </c>
      <c r="FS73" s="23">
        <f>IF(CY73&lt;0.6,0.6,IF(CY73&lt;0.8,0.8,IF(CY73&lt;1,1,IF(CY73&lt;1.2,1.2,IF(CY73&lt;1.4,1.4,IF(CY73&lt;1.6,1.6,IF(CY73&lt;1.8,1.8,IF(CY73&lt;2,2,2.2))))))))</f>
        <v>1.4</v>
      </c>
      <c r="FT73" s="23">
        <f>IF(FR73&lt;1,1,0)</f>
        <v>0</v>
      </c>
      <c r="FU73" s="23"/>
      <c r="GE73" s="4">
        <f>IF(R73&gt;=2.5*25.4,1,1.25)</f>
        <v>1.25</v>
      </c>
      <c r="GF73" s="4">
        <f>IF(AN73&gt;1, 0.05*(18-MIN(8,(V73+M73)/M73))*(1-48000/MAX(60000,(I73*145))*(M73/25.4)^0.75*GG73), 1/12*(14-MIN(8,(V73+M73)/M73)))</f>
        <v>0.65</v>
      </c>
      <c r="GG73" s="4">
        <f>MIN(0.3, AL73^2*PI()/4*2*AO73/(M73^2*PI()/4*W73))</f>
        <v>0</v>
      </c>
      <c r="GH73" s="4">
        <f>(J73/25.4)/(M73/25.4)^1.5/0.0024*(L73*145)^0.25/GE73/GF73/145</f>
        <v>392.60729926113032</v>
      </c>
    </row>
    <row r="74" spans="1:190" s="4" customFormat="1" ht="12" customHeight="1" x14ac:dyDescent="0.3">
      <c r="A74" s="25">
        <v>158</v>
      </c>
      <c r="B74" s="24" t="s">
        <v>128</v>
      </c>
      <c r="C74" s="24">
        <v>2017</v>
      </c>
      <c r="D74" s="24" t="s">
        <v>309</v>
      </c>
      <c r="E74" s="24"/>
      <c r="F74" s="109" t="s">
        <v>812</v>
      </c>
      <c r="G74" s="4" t="s">
        <v>165</v>
      </c>
      <c r="H74" s="5">
        <f t="shared" si="0"/>
        <v>0.82834390774485345</v>
      </c>
      <c r="I74" s="72">
        <v>606</v>
      </c>
      <c r="J74" s="7">
        <f>16*M74</f>
        <v>688</v>
      </c>
      <c r="K74" s="7">
        <f>J74</f>
        <v>688</v>
      </c>
      <c r="L74" s="103">
        <v>45.8</v>
      </c>
      <c r="M74" s="88">
        <v>43</v>
      </c>
      <c r="N74" s="7">
        <f>J74/M74</f>
        <v>16</v>
      </c>
      <c r="O74" s="7">
        <f>K74/M74</f>
        <v>16</v>
      </c>
      <c r="P74" s="7">
        <f>V74+2*R74+2*M74</f>
        <v>430</v>
      </c>
      <c r="Q74" s="32">
        <f>R74/M74</f>
        <v>2</v>
      </c>
      <c r="R74" s="7">
        <f>2*M74</f>
        <v>86</v>
      </c>
      <c r="S74" s="32">
        <f>T74/M74</f>
        <v>1.3023255813953489</v>
      </c>
      <c r="T74" s="7">
        <f>40+16</f>
        <v>56</v>
      </c>
      <c r="U74" s="32">
        <f>V74/M74</f>
        <v>4</v>
      </c>
      <c r="V74" s="7">
        <f>(5-1)*M74</f>
        <v>172</v>
      </c>
      <c r="W74" s="7">
        <v>2</v>
      </c>
      <c r="X74" s="122">
        <f>AM74</f>
        <v>0</v>
      </c>
      <c r="Y74" s="32">
        <f>Z74/M74</f>
        <v>8.3410852713178283</v>
      </c>
      <c r="Z74" s="7">
        <f>2/3*J74-0.5*200</f>
        <v>358.66666666666663</v>
      </c>
      <c r="AA74" s="7">
        <f>MIN(R74/M74+0.5, V74/2/M74+0.5)</f>
        <v>2.5</v>
      </c>
      <c r="AB74" s="7">
        <f>R74/M74+0.5</f>
        <v>2.5</v>
      </c>
      <c r="AC74" s="7">
        <f>2040/510</f>
        <v>4</v>
      </c>
      <c r="AD74" s="7">
        <f>2040/510</f>
        <v>4</v>
      </c>
      <c r="AE74" s="7">
        <f>AD74+1</f>
        <v>5</v>
      </c>
      <c r="AF74" s="7">
        <f>M74*AE74^0.5</f>
        <v>96.150923032490965</v>
      </c>
      <c r="AG74" s="7">
        <f>I74</f>
        <v>606</v>
      </c>
      <c r="AH74" s="7">
        <v>19</v>
      </c>
      <c r="AI74" s="7">
        <f>(607+607)/2</f>
        <v>607</v>
      </c>
      <c r="AJ74" s="7"/>
      <c r="AK74" s="4">
        <f>CX74</f>
        <v>2.0293511803356634</v>
      </c>
      <c r="AL74" s="7">
        <v>0</v>
      </c>
      <c r="AM74" s="7">
        <v>0</v>
      </c>
      <c r="AN74" s="7">
        <f>K74</f>
        <v>688</v>
      </c>
      <c r="AO74" s="7"/>
      <c r="AP74" s="7"/>
      <c r="AQ74" s="7">
        <f>3*AR74/(V74+M74)</f>
        <v>9.6</v>
      </c>
      <c r="AR74" s="4">
        <f>J74</f>
        <v>688</v>
      </c>
      <c r="AS74" s="4">
        <f>IF(J74*3&gt;V74+M74, P74, (R74+M74/2)*2+1.5*J74*(2*W74-2))*(3*J74)/(9*J74^2)</f>
        <v>0.20833333333333334</v>
      </c>
      <c r="AT74" s="4">
        <f>MIN(10*L74^0.5*J74^1.5,100*3.9*L74^0.5*J74^(5/3))/(PI()/4*M74^2)/W74</f>
        <v>420.49284288370211</v>
      </c>
      <c r="AU74" s="4">
        <f>MIN(0.7+0.3*(MIN(R74,Z74)+0.5*M74)/1.5/J74,1)</f>
        <v>0.73124999999999996</v>
      </c>
      <c r="AV74" s="4">
        <v>1.25</v>
      </c>
      <c r="AW74" s="4">
        <f>AW73</f>
        <v>5</v>
      </c>
      <c r="AX74" s="38">
        <f>AS74*AU74*AV74*AW74*AT74</f>
        <v>400.37160333164996</v>
      </c>
      <c r="AY74" s="38">
        <f>AX74</f>
        <v>400.37160333164996</v>
      </c>
      <c r="AZ74" s="38">
        <f>IF(L74&lt;50, 0.3*L74^(2/3), 2.12*LN(1+0.1*(L74+8)))</f>
        <v>3.8402978284624769</v>
      </c>
      <c r="BA74" s="38">
        <f>AW74* (L74^0.5/AR74^0.5)/(PI()/4*M74^2)/W74/0.72 *(0.7+(MIN(R74,Z74)+0.5*M74)/5/J74) *(3*P74*J74)</f>
        <v>400.37160333164991</v>
      </c>
      <c r="BB74" s="38">
        <f>AX74/BA74</f>
        <v>1.0000000000000002</v>
      </c>
      <c r="BC74" s="38">
        <f>BG74/BA74</f>
        <v>1.143937272745623</v>
      </c>
      <c r="BD74" s="4">
        <f>IF(BC74&lt;1,1,0)</f>
        <v>0</v>
      </c>
      <c r="BE74" s="4">
        <f>K74/M74*L74^0.5/0.19</f>
        <v>569.90060852845909</v>
      </c>
      <c r="BF74" s="4">
        <f>MIN(0.6+0.4*(AB74/AA74),2)</f>
        <v>1</v>
      </c>
      <c r="BG74" s="38">
        <f>2*L74*AA74*AC74^0.5*BF74*0.7/0.7</f>
        <v>458</v>
      </c>
      <c r="BH74" s="4">
        <f>MAX(1-0.7*AD74/5,0.3)</f>
        <v>0.44000000000000006</v>
      </c>
      <c r="BI74" s="4">
        <f>BH74*I74*K74/(I74*M74/2.75/L74^0.5)</f>
        <v>131.02014990069279</v>
      </c>
      <c r="BJ74" s="4">
        <f>BG74+BI74</f>
        <v>589.02014990069279</v>
      </c>
      <c r="BL74" s="4">
        <f>MIN(1.5, 0.75+0.25*MIN(3,MAX(1,R74/M74))+0.4*MIN(1,(40*2*PI()*AL74^2/4/AN74/W74)/M74))</f>
        <v>1.25</v>
      </c>
      <c r="BM74" s="4">
        <f>(3*O74+30)*BL74*L74^0.5</f>
        <v>659.8380483118566</v>
      </c>
      <c r="BO74" s="4">
        <f>3.4/PI()^0.5*L74*AA74*AD74^0.5*BF74</f>
        <v>439.27800975028305</v>
      </c>
      <c r="BP74" s="4">
        <f>8/3*AG74*AH74^2/(AF74-M74-22)/M74*(AF74^2-M74^2)/(AF74^2-(M74+22)^2)</f>
        <v>641.65616063635548</v>
      </c>
      <c r="BQ74" s="4">
        <f>BP74/BO74</f>
        <v>1.4607063098858935</v>
      </c>
      <c r="BY74" s="4">
        <f>IF(V74=0,R74,MIN(V74/2,R74))</f>
        <v>86</v>
      </c>
      <c r="CC74" s="9"/>
      <c r="CE74" s="9"/>
      <c r="CF74" s="9"/>
      <c r="CG74" s="9">
        <f>IF(V74=0,MIN(R74,T74),MIN(V74/2,R74,T74))</f>
        <v>56</v>
      </c>
      <c r="CH74" s="9">
        <f>MAX(V74/2,R74)</f>
        <v>86</v>
      </c>
      <c r="CI74" s="9">
        <f>(CG74/M74)^0.5*(CH74/CG74)^0.15</f>
        <v>1.2170441953580799</v>
      </c>
      <c r="CJ74" s="70">
        <v>0</v>
      </c>
      <c r="CK74" s="9">
        <f>MIN(PI()*AL74^2/4*AM74*2/W74/M74/MAX(0.01,AN74),0.05)</f>
        <v>0</v>
      </c>
      <c r="CL74" s="9">
        <f>MAX(0,CJ74*(CK74-0.5/50))</f>
        <v>0</v>
      </c>
      <c r="CM74" s="9">
        <f>MIN(1,(25/M74)^0.3)</f>
        <v>0.84984840943171969</v>
      </c>
      <c r="CN74" s="9">
        <f>IF(I74&gt;=800,0.68,IF(I74&gt;=700,0.75-(I74-700)*0.07/100,IF(I74&gt;=600,0.85-(I74-600)*0.1/100,IF(I74&gt;=500,1-(I74-500)*0.15/100,1.2-(I74-400)*0.2/100))))</f>
        <v>0.84399999999999997</v>
      </c>
      <c r="CO74" s="9">
        <f>1.75*CM74*CN74*(L74/25)^0.5</f>
        <v>1.6989660317871056</v>
      </c>
      <c r="CP74" s="9">
        <f>MIN((CI74+CL74)*CO74,2.5*CO74,L74^0.5)</f>
        <v>2.0677167470970481</v>
      </c>
      <c r="CQ74" s="9">
        <v>1</v>
      </c>
      <c r="CR74" s="9">
        <f>4*CP74*O74+60*CP74</f>
        <v>256.39687664003395</v>
      </c>
      <c r="CT74" s="4">
        <f>AI74/BE74</f>
        <v>1.0650980029084989</v>
      </c>
      <c r="CU74" s="4">
        <f>AI74/BJ74</f>
        <v>1.030525017017395</v>
      </c>
      <c r="CV74" s="4">
        <f>AI74/BM74</f>
        <v>0.91992270156739442</v>
      </c>
      <c r="CW74" s="4">
        <f>AI74/CR74</f>
        <v>2.3674235347733665</v>
      </c>
      <c r="CX74" s="4">
        <f>AI74/DY74</f>
        <v>2.0293511803356634</v>
      </c>
      <c r="CY74" s="4">
        <f>AI74/EK74</f>
        <v>1.1078654557321155</v>
      </c>
      <c r="CZ74" s="4">
        <f>AI74/GH74</f>
        <v>1.2368593271543291</v>
      </c>
      <c r="DB74" s="4">
        <f>CT74</f>
        <v>1.0650980029084989</v>
      </c>
      <c r="DC74" s="4">
        <f>CU74</f>
        <v>1.030525017017395</v>
      </c>
      <c r="DD74" s="4">
        <f>CW74</f>
        <v>2.3674235347733665</v>
      </c>
      <c r="DE74" s="4">
        <f>CZ74</f>
        <v>1.2368593271543291</v>
      </c>
      <c r="DF74" s="4">
        <f>CX74</f>
        <v>2.0293511803356634</v>
      </c>
      <c r="DG74" s="4">
        <f>CY74</f>
        <v>1.1078654557321155</v>
      </c>
      <c r="DO74" s="4">
        <f>AM74</f>
        <v>0</v>
      </c>
      <c r="DP74" s="4">
        <f>K74</f>
        <v>688</v>
      </c>
      <c r="DS74" s="4">
        <f>J74/4/(1-0.3*(L74/30)^0.5)/200000/M74</f>
        <v>3.1780084856411147E-5</v>
      </c>
      <c r="DT74" s="4">
        <f>EO74</f>
        <v>7.2681384285688786</v>
      </c>
      <c r="DU74" s="4">
        <f>EB74*AF74/257/L74/AC74</f>
        <v>0</v>
      </c>
      <c r="DV74" s="4">
        <f>DT74*DU74^0.4</f>
        <v>0</v>
      </c>
      <c r="DW74" s="4">
        <f>MIN(DT74, DT74/1.4*(1-DU74^1.4)/(1-DU74))</f>
        <v>5.1915274489777712</v>
      </c>
      <c r="DX74" s="4">
        <f>MAX(DT74/2, (4-DS74*(8*AF74*(DV74-DW74)+6*J74*DW74))/(4+DS74*J74*DT74)*DT74)</f>
        <v>6.0219683905422503</v>
      </c>
      <c r="DY74" s="38">
        <f>MIN(1/M74*(4*AF74*(DV74-DW74)+(3*DW74+DX74)*J74)+EB74 -FI74,MAX(I74,AI74))</f>
        <v>299.1103786677275</v>
      </c>
      <c r="DZ74" s="4">
        <f>DY74/FE74</f>
        <v>1.0991138840050667</v>
      </c>
      <c r="EA74" s="4">
        <f>AF74/M74</f>
        <v>2.2360679774997898</v>
      </c>
      <c r="EB74" s="4">
        <f>MIN(EA$10*BA74)</f>
        <v>0</v>
      </c>
      <c r="EF74" s="4">
        <f>IF(T74&gt;1*M74,0.85,1)</f>
        <v>0.85</v>
      </c>
      <c r="EG74" s="4">
        <f>MIN(1,MAX(0.7,(1-0.1*(BY74-1*M74)/M74)))</f>
        <v>0.9</v>
      </c>
      <c r="EH74" s="4">
        <f>MIN(1,MAX(0.7,1-0.3*(PI()*AL74^2/4*AP74*2-0.25*PI()/4*M74^2)/(PI()/4*M74^2)))</f>
        <v>1</v>
      </c>
      <c r="EI74" s="4">
        <f>IF(EG74*EH74&lt;0.7,0.7,EG74*EH74)</f>
        <v>0.9</v>
      </c>
      <c r="EK74" s="4">
        <f>MIN(DT74/M74*3*J74+EL74-FI74,MAX(I74,AI74))</f>
        <v>547.90046648658574</v>
      </c>
      <c r="EL74" s="25">
        <f>13.3*P74*J74^0.5*L74^0.5/W74/M74^2*(0.7+R74/5/J74)</f>
        <v>199.02982191527957</v>
      </c>
      <c r="EO74" s="4">
        <f>IF(M74&lt;22.2,1.1*5*(L74/30)^0.5,IF(M74&gt;=31.8,0.9*5*(L74/30)^0.5,1*5*(L74/30)^0.5))/EF74/EI74</f>
        <v>7.2681384285688786</v>
      </c>
      <c r="ER74" s="4">
        <f>ES74*M74</f>
        <v>96.150923032490965</v>
      </c>
      <c r="ES74" s="4">
        <f>AE74^0.5</f>
        <v>2.2360679774997898</v>
      </c>
      <c r="ET74" s="4">
        <f>MIN(EB74)/(4700*L74^0.5)/AD74*ER74</f>
        <v>0</v>
      </c>
      <c r="EW74" s="4">
        <f>ET74</f>
        <v>0</v>
      </c>
      <c r="EX74" s="4">
        <f>MIN(0.999, EW74/(0.3*(L74/30)^0.5))</f>
        <v>0</v>
      </c>
      <c r="EY74" s="4">
        <f>EO74/1*EX74^0.4</f>
        <v>0</v>
      </c>
      <c r="EZ74" s="4">
        <f>EO74/1.4*(1-EX74^1.4)/(1-EX74)</f>
        <v>5.1915274489777712</v>
      </c>
      <c r="FA74" s="4">
        <f>MAX(0,DP74*FA$9-ER74)</f>
        <v>0</v>
      </c>
      <c r="FB74" s="4">
        <f>MAX(0,DP74-ER74-FA74)</f>
        <v>591.84907696750906</v>
      </c>
      <c r="FC74" s="4">
        <f>FB74/(1-0.3*(L74/30)^0.5)/200000/M74</f>
        <v>1.0935473190823284E-4</v>
      </c>
      <c r="FD74" s="4">
        <f>MAX(0.5*EO74, (1-2*FC74*(ER74*EY74+FA74*EZ74))/(1/EO74+FC74*FB74))</f>
        <v>4.9429506935374672</v>
      </c>
      <c r="FE74" s="4">
        <f>MIN(4/M74*(1*EY74*ER74+EZ74*FA74+FB74*FD74)+EB74,MAX(I74,AI74))</f>
        <v>272.13774934567988</v>
      </c>
      <c r="FN74" s="23">
        <f>IF(CT74&lt;0.6,0.6,IF(CT74&lt;0.8,0.8,IF(CT74&lt;1,1,IF(CT74&lt;1.2,1.2,IF(CT74&lt;1.4,1.4,IF(CT74&lt;1.6,1.6,IF(CT74&lt;1.8,1.8,IF(CT74&lt;2,2,2.2))))))))</f>
        <v>1.2</v>
      </c>
      <c r="FO74" s="23">
        <f>IF(CU74&lt;0.6,0.6,IF(CU74&lt;0.8,0.8,IF(CU74&lt;1,1,IF(CU74&lt;1.2,1.2,IF(CU74&lt;1.4,1.4,IF(CU74&lt;1.6,1.6,IF(CU74&lt;1.8,1.8,IF(CU74&lt;2,2,2.2))))))))</f>
        <v>1.2</v>
      </c>
      <c r="FP74" s="23">
        <f>IF(CZ74&lt;0.6,0.6,IF(CZ74&lt;0.8,0.8,IF(CZ74&lt;1,1,IF(CZ74&lt;1.2,1.2,IF(CZ74&lt;1.4,1.4,IF(CZ74&lt;1.6,1.6,IF(CZ74&lt;1.8,1.8,IF(CZ74&lt;2,2,2.2))))))))</f>
        <v>1.4</v>
      </c>
      <c r="FQ74" s="23">
        <f>IF(CW74&lt;0.6,0.6,IF(CW74&lt;0.8,0.8,IF(CW74&lt;1,1,IF(CW74&lt;1.2,1.2,IF(CW74&lt;1.4,1.4,IF(CW74&lt;1.6,1.6,IF(CW74&lt;1.8,1.8,IF(CW74&lt;2,2,2.2))))))))</f>
        <v>2.2000000000000002</v>
      </c>
      <c r="FR74" s="23">
        <f>IF(CX74&lt;0.6,0.6,IF(CX74&lt;0.8,0.8,IF(CX74&lt;1,1,IF(CX74&lt;1.2,1.2,IF(CX74&lt;1.4,1.4,IF(CX74&lt;1.6,1.6,IF(CX74&lt;1.8,1.8,IF(CX74&lt;2,2,2.2))))))))</f>
        <v>2.2000000000000002</v>
      </c>
      <c r="FS74" s="23">
        <f>IF(CY74&lt;0.6,0.6,IF(CY74&lt;0.8,0.8,IF(CY74&lt;1,1,IF(CY74&lt;1.2,1.2,IF(CY74&lt;1.4,1.4,IF(CY74&lt;1.6,1.6,IF(CY74&lt;1.8,1.8,IF(CY74&lt;2,2,2.2))))))))</f>
        <v>1.2</v>
      </c>
      <c r="FT74" s="23">
        <f>IF(FR74&lt;1,1,0)</f>
        <v>0</v>
      </c>
      <c r="FU74" s="23"/>
      <c r="GE74" s="4">
        <f>IF(R74&gt;=2.5*25.4,1,1.25)</f>
        <v>1</v>
      </c>
      <c r="GF74" s="4">
        <f>IF(AN74&gt;1, 0.05*(18-MIN(8,(V74+M74)/M74))*(1-48000/MAX(60000,(I74*145))*(M74/25.4)^0.75*GG74), 1/12*(14-MIN(8,(V74+M74)/M74)))</f>
        <v>0.65</v>
      </c>
      <c r="GG74" s="4">
        <f>MIN(0.3, AL74^2*PI()/4*2*AO74/(M74^2*PI()/4*W74))</f>
        <v>0</v>
      </c>
      <c r="GH74" s="4">
        <f>(J74/25.4)/(M74/25.4)^1.5/0.0024*(L74*145)^0.25/GE74/GF74/145</f>
        <v>490.75912407641289</v>
      </c>
    </row>
    <row r="75" spans="1:190" s="4" customFormat="1" ht="12" customHeight="1" x14ac:dyDescent="0.3">
      <c r="A75" s="25">
        <v>159</v>
      </c>
      <c r="B75" s="24" t="s">
        <v>128</v>
      </c>
      <c r="C75" s="24">
        <v>2017</v>
      </c>
      <c r="D75" s="24" t="s">
        <v>309</v>
      </c>
      <c r="E75" s="24"/>
      <c r="F75" s="109" t="s">
        <v>812</v>
      </c>
      <c r="G75" s="4" t="s">
        <v>166</v>
      </c>
      <c r="H75" s="5">
        <f t="shared" si="0"/>
        <v>0.79134540392874486</v>
      </c>
      <c r="I75" s="72">
        <v>606</v>
      </c>
      <c r="J75" s="7">
        <f>16*M75</f>
        <v>688</v>
      </c>
      <c r="K75" s="7">
        <f>J75</f>
        <v>688</v>
      </c>
      <c r="L75" s="21">
        <v>41.8</v>
      </c>
      <c r="M75" s="88">
        <v>43</v>
      </c>
      <c r="N75" s="7">
        <f>J75/M75</f>
        <v>16</v>
      </c>
      <c r="O75" s="7">
        <f>K75/M75</f>
        <v>16</v>
      </c>
      <c r="P75" s="7">
        <f>V75+2*R75+2*M75</f>
        <v>344</v>
      </c>
      <c r="Q75" s="32">
        <f>R75/M75</f>
        <v>1</v>
      </c>
      <c r="R75" s="7">
        <f>1*M75</f>
        <v>43</v>
      </c>
      <c r="S75" s="32">
        <f>T75/M75</f>
        <v>1.3023255813953489</v>
      </c>
      <c r="T75" s="7">
        <f>40+16</f>
        <v>56</v>
      </c>
      <c r="U75" s="32">
        <f>V75/M75</f>
        <v>4</v>
      </c>
      <c r="V75" s="7">
        <f>(5-1)*M75</f>
        <v>172</v>
      </c>
      <c r="W75" s="7">
        <v>2</v>
      </c>
      <c r="X75" s="122">
        <f>AM75</f>
        <v>2</v>
      </c>
      <c r="Y75" s="32">
        <f>Z75/M75</f>
        <v>8.3410852713178283</v>
      </c>
      <c r="Z75" s="7">
        <f>2/3*J75-0.5*200</f>
        <v>358.66666666666663</v>
      </c>
      <c r="AA75" s="7">
        <f>MIN(R75/M75+0.5, V75/2/M75+0.5)</f>
        <v>1.5</v>
      </c>
      <c r="AB75" s="7">
        <f>R75/M75+0.5</f>
        <v>1.5</v>
      </c>
      <c r="AC75" s="7">
        <f>2040/510</f>
        <v>4</v>
      </c>
      <c r="AD75" s="7">
        <f>2040/510</f>
        <v>4</v>
      </c>
      <c r="AE75" s="7">
        <f>AD75+1</f>
        <v>5</v>
      </c>
      <c r="AF75" s="7">
        <f>M75*AE75^0.5</f>
        <v>96.150923032490965</v>
      </c>
      <c r="AG75" s="7">
        <f>I75</f>
        <v>606</v>
      </c>
      <c r="AH75" s="7">
        <v>19</v>
      </c>
      <c r="AI75" s="7">
        <f>(424+424)/2</f>
        <v>424</v>
      </c>
      <c r="AJ75" s="7"/>
      <c r="AK75" s="4">
        <f>CX75</f>
        <v>1.4941088676038208</v>
      </c>
      <c r="AL75" s="7">
        <v>15.9</v>
      </c>
      <c r="AM75" s="10">
        <v>2</v>
      </c>
      <c r="AN75" s="7">
        <v>120</v>
      </c>
      <c r="AO75" s="7">
        <v>4</v>
      </c>
      <c r="AP75" s="7">
        <f>AM75</f>
        <v>2</v>
      </c>
      <c r="AQ75" s="7">
        <f>3*AR75/(V75+M75)</f>
        <v>9.6</v>
      </c>
      <c r="AR75" s="4">
        <f>J75</f>
        <v>688</v>
      </c>
      <c r="AS75" s="4">
        <f>IF(J75*3&gt;V75+M75, P75, (R75+M75/2)*2+1.5*J75*(2*W75-2))*(3*J75)/(9*J75^2)</f>
        <v>0.16666666666666666</v>
      </c>
      <c r="AT75" s="4">
        <f>MIN(10*L75^0.5*J75^1.5,100*3.9*L75^0.5*J75^(5/3))/(PI()/4*M75^2)/W75</f>
        <v>401.7112644757263</v>
      </c>
      <c r="AU75" s="4">
        <f>MIN(0.7+0.3*(MIN(R75,Z75)+0.5*M75)/1.5/J75,1)</f>
        <v>0.71875</v>
      </c>
      <c r="AV75" s="4">
        <v>1.25</v>
      </c>
      <c r="AW75" s="4">
        <f>AW74</f>
        <v>5</v>
      </c>
      <c r="AX75" s="38">
        <f>AS75*AU75*AV75*AW75*AT75</f>
        <v>300.76038681450854</v>
      </c>
      <c r="AY75" s="38">
        <f>AX75</f>
        <v>300.76038681450854</v>
      </c>
      <c r="AZ75" s="38">
        <f>IF(L75&lt;50, 0.3*L75^(2/3), 2.12*LN(1+0.1*(L75+8)))</f>
        <v>3.613311826901703</v>
      </c>
      <c r="BA75" s="38">
        <f>AW75* (L75^0.5/AR75^0.5)/(PI()/4*M75^2)/W75/0.72 *(0.7+(MIN(R75,Z75)+0.5*M75)/5/J75) *(3*P75*J75)</f>
        <v>300.76038681450871</v>
      </c>
      <c r="BB75" s="38">
        <f>AX75/BA75</f>
        <v>0.99999999999999944</v>
      </c>
      <c r="BC75" s="38">
        <f>BG75/BA75</f>
        <v>0.83388641255697893</v>
      </c>
      <c r="BD75" s="4">
        <f>IF(BC75&lt;1,1,0)</f>
        <v>1</v>
      </c>
      <c r="BE75" s="4">
        <f>K75/M75*L75^0.5/0.19</f>
        <v>544.4456379029765</v>
      </c>
      <c r="BF75" s="4">
        <f>MIN(0.6+0.4*(AB75/AA75),2)</f>
        <v>1</v>
      </c>
      <c r="BG75" s="38">
        <f>2*L75*AA75*AC75^0.5*BF75*0.7/0.7</f>
        <v>250.79999999999998</v>
      </c>
      <c r="BH75" s="4">
        <f>MAX(1-0.7*AD75/5,0.3)</f>
        <v>0.44000000000000006</v>
      </c>
      <c r="BI75" s="4">
        <f>BH75*I75*K75/(I75*M75/2.75/L75^0.5)</f>
        <v>125.16805215389431</v>
      </c>
      <c r="BJ75" s="4">
        <f>BG75+BI75</f>
        <v>375.96805215389429</v>
      </c>
      <c r="BL75" s="4">
        <f>MIN(1.5, 0.75+0.25*MIN(3,MAX(1,R75/M75))+0.4*MIN(1,(40*2*PI()*AL75^2/4/AN75/W75)/M75))</f>
        <v>1.4</v>
      </c>
      <c r="BM75" s="4">
        <f>(3*O75+30)*BL75*L75^0.5</f>
        <v>706.00988095068465</v>
      </c>
      <c r="BO75" s="4">
        <f>3.4/PI()^0.5*L75*AA75*AD75^0.5*BF75</f>
        <v>240.54787084142137</v>
      </c>
      <c r="BP75" s="4">
        <f>8/3*AG75*AH75^2/(AF75-M75-22)/M75*(AF75^2-M75^2)/(AF75^2-(M75+22)^2)</f>
        <v>641.65616063635548</v>
      </c>
      <c r="BQ75" s="4">
        <f>BP75/BO75</f>
        <v>2.6674780300149092</v>
      </c>
      <c r="BY75" s="4">
        <f>IF(V75=0,R75,MIN(V75/2,R75))</f>
        <v>43</v>
      </c>
      <c r="CC75" s="9"/>
      <c r="CE75" s="9"/>
      <c r="CF75" s="9"/>
      <c r="CG75" s="9">
        <f>IF(V75=0,MIN(R75,T75),MIN(V75/2,R75,T75))</f>
        <v>43</v>
      </c>
      <c r="CH75" s="9">
        <f>MAX(V75/2,R75)</f>
        <v>86</v>
      </c>
      <c r="CI75" s="9">
        <f>(CG75/M75)^0.5*(CH75/CG75)^0.15</f>
        <v>1.1095694720678451</v>
      </c>
      <c r="CJ75" s="70">
        <v>20</v>
      </c>
      <c r="CK75" s="9">
        <f>MIN(PI()*AL75^2/4*AM75*2/W75/M75/MAX(0.01,AN75),0.05)</f>
        <v>0.05</v>
      </c>
      <c r="CL75" s="9">
        <f>MAX(0,CJ75*(CK75-0.5/50))</f>
        <v>0.8</v>
      </c>
      <c r="CM75" s="9">
        <f>MIN(1,(25/M75)^0.3)</f>
        <v>0.84984840943171969</v>
      </c>
      <c r="CN75" s="9">
        <f>IF(I75&gt;=800,0.68,IF(I75&gt;=700,0.75-(I75-700)*0.07/100,IF(I75&gt;=600,0.85-(I75-600)*0.1/100,IF(I75&gt;=500,1-(I75-500)*0.15/100,1.2-(I75-400)*0.2/100))))</f>
        <v>0.84399999999999997</v>
      </c>
      <c r="CO75" s="9">
        <f>1.75*CM75*CN75*(L75/25)^0.5</f>
        <v>1.6230806409213159</v>
      </c>
      <c r="CP75" s="9">
        <f>MIN((CI75+CL75)*CO75,2.5*CO75,L75^0.5)</f>
        <v>3.0993852426076569</v>
      </c>
      <c r="CQ75" s="9">
        <v>1</v>
      </c>
      <c r="CR75" s="9">
        <f>4*CP75*O75+60*CP75</f>
        <v>384.32377008334947</v>
      </c>
      <c r="CT75" s="4">
        <f>AI75/BE75</f>
        <v>0.77877380307996769</v>
      </c>
      <c r="CU75" s="4">
        <f>AI75/BJ75</f>
        <v>1.1277553972230727</v>
      </c>
      <c r="CV75" s="4">
        <f>AI75/BM75</f>
        <v>0.60055816701751907</v>
      </c>
      <c r="CW75" s="4">
        <f>AI75/CR75</f>
        <v>1.1032364714470975</v>
      </c>
      <c r="CX75" s="4">
        <f>AI75/DY75</f>
        <v>1.4941088676038208</v>
      </c>
      <c r="CY75" s="4">
        <f>AI75/EK75</f>
        <v>0.88558461738800009</v>
      </c>
      <c r="CZ75" s="4">
        <f>AI75/GH75</f>
        <v>0.83618018255731019</v>
      </c>
      <c r="DH75" s="4">
        <f>CT75</f>
        <v>0.77877380307996769</v>
      </c>
      <c r="DI75" s="4">
        <f>CU75</f>
        <v>1.1277553972230727</v>
      </c>
      <c r="DJ75" s="4">
        <f>CW75</f>
        <v>1.1032364714470975</v>
      </c>
      <c r="DK75" s="4">
        <f>CZ75</f>
        <v>0.83618018255731019</v>
      </c>
      <c r="DL75" s="4">
        <f>CX75</f>
        <v>1.4941088676038208</v>
      </c>
      <c r="DM75" s="4">
        <f>CY75</f>
        <v>0.88558461738800009</v>
      </c>
      <c r="DO75" s="4">
        <f>AM75</f>
        <v>2</v>
      </c>
      <c r="DP75" s="4">
        <f>K75</f>
        <v>688</v>
      </c>
      <c r="DS75" s="4">
        <f>J75/4/(1-0.3*(L75/30)^0.5)/200000/M75</f>
        <v>3.0965438467699878E-5</v>
      </c>
      <c r="DT75" s="4">
        <f>EO75</f>
        <v>6.8602160076475114</v>
      </c>
      <c r="DU75" s="4">
        <f>EB75*AF75/257/L75/AC75</f>
        <v>0</v>
      </c>
      <c r="DV75" s="4">
        <f>DT75*DU75^0.4</f>
        <v>0</v>
      </c>
      <c r="DW75" s="4">
        <f>MIN(DT75, DT75/1.4*(1-DU75^1.4)/(1-DU75))</f>
        <v>4.9001542911767944</v>
      </c>
      <c r="DX75" s="4">
        <f>MAX(DT75/2, (4-DS75*(8*AF75*(DV75-DW75)+6*J75*DW75))/(4+DS75*J75*DT75)*DT75)</f>
        <v>5.7751313416155554</v>
      </c>
      <c r="DY75" s="38">
        <f>MIN(1/M75*(4*AF75*(DV75-DW75)+(3*DW75+DX75)*J75)+EB75 -FI75,MAX(I75,AI75))</f>
        <v>283.78119506110062</v>
      </c>
      <c r="DZ75" s="4">
        <f>DY75/FE75</f>
        <v>1.0764030164672944</v>
      </c>
      <c r="EA75" s="4">
        <f>AF75/M75</f>
        <v>2.2360679774997898</v>
      </c>
      <c r="EB75" s="4">
        <f>MIN(EA$10*BA75)</f>
        <v>0</v>
      </c>
      <c r="EF75" s="4">
        <f>IF(T75&gt;1*M75,0.85,1)</f>
        <v>0.85</v>
      </c>
      <c r="EG75" s="4">
        <f>MIN(1,MAX(0.7,(1-0.1*(BY75-1*M75)/M75)))</f>
        <v>1</v>
      </c>
      <c r="EH75" s="4">
        <f>MIN(1,MAX(0.7,1-0.3*(PI()*AL75^2/4*AP75*2-0.25*PI()/4*M75^2)/(PI()/4*M75^2)))</f>
        <v>0.91092644672796108</v>
      </c>
      <c r="EI75" s="4">
        <f>IF(EG75*EH75&lt;0.7,0.7,EG75*EH75)</f>
        <v>0.91092644672796108</v>
      </c>
      <c r="EK75" s="4">
        <f>MIN(DT75/M75*3*J75+EL75-FI75,MAX(I75,AI75))</f>
        <v>478.77977064526334</v>
      </c>
      <c r="EL75" s="25">
        <f>13.3*P75*J75^0.5*L75^0.5/W75/M75^2*(0.7+R75/5/J75)</f>
        <v>149.48940227818281</v>
      </c>
      <c r="EO75" s="4">
        <f>IF(M75&lt;22.2,1.1*5*(L75/30)^0.5,IF(M75&gt;=31.8,0.9*5*(L75/30)^0.5,1*5*(L75/30)^0.5))/EF75/EI75</f>
        <v>6.8602160076475114</v>
      </c>
      <c r="ER75" s="4">
        <f>ES75*M75</f>
        <v>96.150923032490965</v>
      </c>
      <c r="ES75" s="4">
        <f>AE75^0.5</f>
        <v>2.2360679774997898</v>
      </c>
      <c r="ET75" s="4">
        <f>MIN(EB75)/(4700*L75^0.5)/AD75*ER75</f>
        <v>0</v>
      </c>
      <c r="EW75" s="4">
        <f>ET75</f>
        <v>0</v>
      </c>
      <c r="EX75" s="4">
        <f>MIN(0.999, EW75/(0.3*(L75/30)^0.5))</f>
        <v>0</v>
      </c>
      <c r="EY75" s="4">
        <f>EO75/1*EX75^0.4</f>
        <v>0</v>
      </c>
      <c r="EZ75" s="4">
        <f>EO75/1.4*(1-EX75^1.4)/(1-EX75)</f>
        <v>4.9001542911767944</v>
      </c>
      <c r="FA75" s="4">
        <f>MAX(0,DP75*FA$9-ER75)</f>
        <v>0</v>
      </c>
      <c r="FB75" s="4">
        <f>MAX(0,DP75-ER75-FA75)</f>
        <v>591.84907696750906</v>
      </c>
      <c r="FC75" s="4">
        <f>FB75/(1-0.3*(L75/30)^0.5)/200000/M75</f>
        <v>1.0655154752908356E-4</v>
      </c>
      <c r="FD75" s="4">
        <f>MAX(0.5*EO75, (1-2*FC75*(ER75*EY75+FA75*EZ75))/(1/EO75+FC75*FB75))</f>
        <v>4.7885739293989102</v>
      </c>
      <c r="FE75" s="4">
        <f>MIN(4/M75*(1*EY75*ER75+EZ75*FA75+FB75*FD75)+EB75,MAX(I75,AI75))</f>
        <v>263.6384241958533</v>
      </c>
      <c r="FN75" s="23">
        <f>IF(CT75&lt;0.6,0.6,IF(CT75&lt;0.8,0.8,IF(CT75&lt;1,1,IF(CT75&lt;1.2,1.2,IF(CT75&lt;1.4,1.4,IF(CT75&lt;1.6,1.6,IF(CT75&lt;1.8,1.8,IF(CT75&lt;2,2,2.2))))))))</f>
        <v>0.8</v>
      </c>
      <c r="FO75" s="23">
        <f>IF(CU75&lt;0.6,0.6,IF(CU75&lt;0.8,0.8,IF(CU75&lt;1,1,IF(CU75&lt;1.2,1.2,IF(CU75&lt;1.4,1.4,IF(CU75&lt;1.6,1.6,IF(CU75&lt;1.8,1.8,IF(CU75&lt;2,2,2.2))))))))</f>
        <v>1.2</v>
      </c>
      <c r="FP75" s="23">
        <f>IF(CZ75&lt;0.6,0.6,IF(CZ75&lt;0.8,0.8,IF(CZ75&lt;1,1,IF(CZ75&lt;1.2,1.2,IF(CZ75&lt;1.4,1.4,IF(CZ75&lt;1.6,1.6,IF(CZ75&lt;1.8,1.8,IF(CZ75&lt;2,2,2.2))))))))</f>
        <v>1</v>
      </c>
      <c r="FQ75" s="23">
        <f>IF(CW75&lt;0.6,0.6,IF(CW75&lt;0.8,0.8,IF(CW75&lt;1,1,IF(CW75&lt;1.2,1.2,IF(CW75&lt;1.4,1.4,IF(CW75&lt;1.6,1.6,IF(CW75&lt;1.8,1.8,IF(CW75&lt;2,2,2.2))))))))</f>
        <v>1.2</v>
      </c>
      <c r="FR75" s="23">
        <f>IF(CX75&lt;0.6,0.6,IF(CX75&lt;0.8,0.8,IF(CX75&lt;1,1,IF(CX75&lt;1.2,1.2,IF(CX75&lt;1.4,1.4,IF(CX75&lt;1.6,1.6,IF(CX75&lt;1.8,1.8,IF(CX75&lt;2,2,2.2))))))))</f>
        <v>1.6</v>
      </c>
      <c r="FS75" s="23">
        <f>IF(CY75&lt;0.6,0.6,IF(CY75&lt;0.8,0.8,IF(CY75&lt;1,1,IF(CY75&lt;1.2,1.2,IF(CY75&lt;1.4,1.4,IF(CY75&lt;1.6,1.6,IF(CY75&lt;1.8,1.8,IF(CY75&lt;2,2,2.2))))))))</f>
        <v>1</v>
      </c>
      <c r="FT75" s="23">
        <f>IF(FR75&lt;1,1,0)</f>
        <v>0</v>
      </c>
      <c r="FU75" s="23"/>
      <c r="GE75" s="4">
        <f>IF(R75&gt;=2.5*25.4,1,1.25)</f>
        <v>1.25</v>
      </c>
      <c r="GF75" s="4">
        <f>IF(AN75&gt;1, 0.05*(18-MIN(8,(V75+M75)/M75))*(1-48000/MAX(60000,(I75*145))*(M75/25.4)^0.75*GG75), 1/12*(14-MIN(8,(V75+M75)/M75)))</f>
        <v>0.49190749660801991</v>
      </c>
      <c r="GG75" s="4">
        <f>MIN(0.3, AL75^2*PI()/4*2*AO75/(M75^2*PI()/4*W75))</f>
        <v>0.3</v>
      </c>
      <c r="GH75" s="4">
        <f>(J75/25.4)/(M75/25.4)^1.5/0.0024*(L75*145)^0.25/GE75/GF75/145</f>
        <v>507.0677454986681</v>
      </c>
    </row>
    <row r="76" spans="1:190" s="4" customFormat="1" ht="12" customHeight="1" x14ac:dyDescent="0.3">
      <c r="A76" s="25">
        <v>160</v>
      </c>
      <c r="B76" s="24" t="s">
        <v>128</v>
      </c>
      <c r="C76" s="24">
        <v>2017</v>
      </c>
      <c r="D76" s="24" t="s">
        <v>309</v>
      </c>
      <c r="E76" s="24"/>
      <c r="F76" s="109" t="s">
        <v>812</v>
      </c>
      <c r="G76" s="4" t="s">
        <v>167</v>
      </c>
      <c r="H76" s="5">
        <f t="shared" si="0"/>
        <v>0.81466640353947306</v>
      </c>
      <c r="I76" s="72">
        <v>606</v>
      </c>
      <c r="J76" s="7">
        <f>16*M76</f>
        <v>688</v>
      </c>
      <c r="K76" s="7">
        <f>J76</f>
        <v>688</v>
      </c>
      <c r="L76" s="103">
        <v>44.3</v>
      </c>
      <c r="M76" s="88">
        <v>43</v>
      </c>
      <c r="N76" s="7">
        <f>J76/M76</f>
        <v>16</v>
      </c>
      <c r="O76" s="7">
        <f>K76/M76</f>
        <v>16</v>
      </c>
      <c r="P76" s="7">
        <f>V76+2*R76+2*M76</f>
        <v>430</v>
      </c>
      <c r="Q76" s="32">
        <f>R76/M76</f>
        <v>2</v>
      </c>
      <c r="R76" s="7">
        <f>2*M76</f>
        <v>86</v>
      </c>
      <c r="S76" s="32">
        <f>T76/M76</f>
        <v>1.3023255813953489</v>
      </c>
      <c r="T76" s="7">
        <f>40+16</f>
        <v>56</v>
      </c>
      <c r="U76" s="32">
        <f>V76/M76</f>
        <v>4</v>
      </c>
      <c r="V76" s="7">
        <f>(5-1)*M76</f>
        <v>172</v>
      </c>
      <c r="W76" s="7">
        <v>2</v>
      </c>
      <c r="X76" s="122">
        <f>AM76</f>
        <v>2</v>
      </c>
      <c r="Y76" s="32">
        <f>Z76/M76</f>
        <v>8.3410852713178283</v>
      </c>
      <c r="Z76" s="7">
        <f>2/3*J76-0.5*200</f>
        <v>358.66666666666663</v>
      </c>
      <c r="AA76" s="7">
        <f>MIN(R76/M76+0.5, V76/2/M76+0.5)</f>
        <v>2.5</v>
      </c>
      <c r="AB76" s="7">
        <f>R76/M76+0.5</f>
        <v>2.5</v>
      </c>
      <c r="AC76" s="7">
        <f>2040/510</f>
        <v>4</v>
      </c>
      <c r="AD76" s="7">
        <f>2040/510</f>
        <v>4</v>
      </c>
      <c r="AE76" s="7">
        <f>AD76+1</f>
        <v>5</v>
      </c>
      <c r="AF76" s="7">
        <f>M76*AE76^0.5</f>
        <v>96.150923032490965</v>
      </c>
      <c r="AG76" s="7">
        <f>I76</f>
        <v>606</v>
      </c>
      <c r="AH76" s="7">
        <v>19</v>
      </c>
      <c r="AI76" s="7">
        <f>(628+628)/2</f>
        <v>628</v>
      </c>
      <c r="AJ76" s="7"/>
      <c r="AK76" s="4">
        <f>CX76</f>
        <v>1.9533044478782371</v>
      </c>
      <c r="AL76" s="7">
        <v>15.9</v>
      </c>
      <c r="AM76" s="10">
        <v>2</v>
      </c>
      <c r="AN76" s="7">
        <v>120</v>
      </c>
      <c r="AO76" s="7">
        <v>4</v>
      </c>
      <c r="AP76" s="7">
        <f>AM76</f>
        <v>2</v>
      </c>
      <c r="AQ76" s="7">
        <f>3*AR76/(V76+M76)</f>
        <v>9.6</v>
      </c>
      <c r="AR76" s="4">
        <f>J76</f>
        <v>688</v>
      </c>
      <c r="AS76" s="4">
        <f>IF(J76*3&gt;V76+M76, P76, (R76+M76/2)*2+1.5*J76*(2*W76-2))*(3*J76)/(9*J76^2)</f>
        <v>0.20833333333333334</v>
      </c>
      <c r="AT76" s="4">
        <f>MIN(10*L76^0.5*J76^1.5,100*3.9*L76^0.5*J76^(5/3))/(PI()/4*M76^2)/W76</f>
        <v>413.54972110408767</v>
      </c>
      <c r="AU76" s="4">
        <f>MIN(0.7+0.3*(MIN(R76,Z76)+0.5*M76)/1.5/J76,1)</f>
        <v>0.73124999999999996</v>
      </c>
      <c r="AV76" s="4">
        <v>1.25</v>
      </c>
      <c r="AW76" s="4">
        <f>AW75</f>
        <v>5</v>
      </c>
      <c r="AX76" s="38">
        <f>AS76*AU76*AV76*AW76*AT76</f>
        <v>393.76072077781782</v>
      </c>
      <c r="AY76" s="38">
        <f>AX76</f>
        <v>393.76072077781782</v>
      </c>
      <c r="AZ76" s="38">
        <f>IF(L76&lt;50, 0.3*L76^(2/3), 2.12*LN(1+0.1*(L76+8)))</f>
        <v>3.7559840459059588</v>
      </c>
      <c r="BA76" s="38">
        <f>AW76* (L76^0.5/AR76^0.5)/(PI()/4*M76^2)/W76/0.72 *(0.7+(MIN(R76,Z76)+0.5*M76)/5/J76) *(3*P76*J76)</f>
        <v>393.76072077781782</v>
      </c>
      <c r="BB76" s="38">
        <f>AX76/BA76</f>
        <v>1</v>
      </c>
      <c r="BC76" s="38">
        <f>BG76/BA76</f>
        <v>1.1250487329587295</v>
      </c>
      <c r="BD76" s="4">
        <f>IF(BC76&lt;1,1,0)</f>
        <v>0</v>
      </c>
      <c r="BE76" s="4">
        <f>K76/M76*L76^0.5/0.19</f>
        <v>560.49048563515748</v>
      </c>
      <c r="BF76" s="4">
        <f>MIN(0.6+0.4*(AB76/AA76),2)</f>
        <v>1</v>
      </c>
      <c r="BG76" s="38">
        <f>2*L76*AA76*AC76^0.5*BF76*0.7/0.7</f>
        <v>443</v>
      </c>
      <c r="BH76" s="4">
        <f>MAX(1-0.7*AD76/5,0.3)</f>
        <v>0.44000000000000006</v>
      </c>
      <c r="BI76" s="4">
        <f>BH76*I76*K76/(I76*M76/2.75/L76^0.5)</f>
        <v>128.85676264752271</v>
      </c>
      <c r="BJ76" s="4">
        <f>BG76+BI76</f>
        <v>571.85676264752271</v>
      </c>
      <c r="BL76" s="4">
        <f>MIN(1.5, 0.75+0.25*MIN(3,MAX(1,R76/M76))+0.4*MIN(1,(40*2*PI()*AL76^2/4/AN76/W76)/M76))</f>
        <v>1.5</v>
      </c>
      <c r="BM76" s="4">
        <f>(3*O76+30)*BL76*L76^0.5</f>
        <v>778.73146847934686</v>
      </c>
      <c r="BO76" s="4">
        <f>3.4/PI()^0.5*L76*AA76*AD76^0.5*BF76</f>
        <v>424.89117536981524</v>
      </c>
      <c r="BP76" s="4">
        <f>8/3*AG76*AH76^2/(AF76-M76-22)/M76*(AF76^2-M76^2)/(AF76^2-(M76+22)^2)</f>
        <v>641.65616063635548</v>
      </c>
      <c r="BQ76" s="4">
        <f>BP76/BO76</f>
        <v>1.5101658914847387</v>
      </c>
      <c r="BY76" s="4">
        <f>IF(V76=0,R76,MIN(V76/2,R76))</f>
        <v>86</v>
      </c>
      <c r="CC76" s="9"/>
      <c r="CE76" s="9"/>
      <c r="CF76" s="9"/>
      <c r="CG76" s="9">
        <f>IF(V76=0,MIN(R76,T76),MIN(V76/2,R76,T76))</f>
        <v>56</v>
      </c>
      <c r="CH76" s="9">
        <f>MAX(V76/2,R76)</f>
        <v>86</v>
      </c>
      <c r="CI76" s="9">
        <f>(CG76/M76)^0.5*(CH76/CG76)^0.15</f>
        <v>1.2170441953580799</v>
      </c>
      <c r="CJ76" s="70">
        <v>20</v>
      </c>
      <c r="CK76" s="9">
        <f>MIN(PI()*AL76^2/4*AM76*2/W76/M76/MAX(0.01,AN76),0.05)</f>
        <v>0.05</v>
      </c>
      <c r="CL76" s="9">
        <f>MAX(0,CJ76*(CK76-0.5/50))</f>
        <v>0.8</v>
      </c>
      <c r="CM76" s="9">
        <f>MIN(1,(25/M76)^0.3)</f>
        <v>0.84984840943171969</v>
      </c>
      <c r="CN76" s="9">
        <f>IF(I76&gt;=800,0.68,IF(I76&gt;=700,0.75-(I76-700)*0.07/100,IF(I76&gt;=600,0.85-(I76-600)*0.1/100,IF(I76&gt;=500,1-(I76-500)*0.15/100,1.2-(I76-400)*0.2/100))))</f>
        <v>0.84399999999999997</v>
      </c>
      <c r="CO76" s="9">
        <f>1.75*CM76*CN76*(L76/25)^0.5</f>
        <v>1.6709129311035618</v>
      </c>
      <c r="CP76" s="9">
        <f>MIN((CI76+CL76)*CO76,2.5*CO76,L76^0.5)</f>
        <v>3.370305228631195</v>
      </c>
      <c r="CQ76" s="9">
        <v>1</v>
      </c>
      <c r="CR76" s="9">
        <f>4*CP76*O76+60*CP76</f>
        <v>417.91784835026817</v>
      </c>
      <c r="CT76" s="4">
        <f>AI76/BE76</f>
        <v>1.1204472084630297</v>
      </c>
      <c r="CU76" s="4">
        <f>AI76/BJ76</f>
        <v>1.0981770978672198</v>
      </c>
      <c r="CV76" s="4">
        <f>AI76/BM76</f>
        <v>0.8064397361857164</v>
      </c>
      <c r="CW76" s="4">
        <f>AI76/CR76</f>
        <v>1.5026876752908058</v>
      </c>
      <c r="CX76" s="4">
        <f>AI76/DY76</f>
        <v>1.9533044478782371</v>
      </c>
      <c r="CY76" s="4">
        <f>AI76/EK76</f>
        <v>1.0971269956239666</v>
      </c>
      <c r="CZ76" s="4">
        <f>AI76/GH76</f>
        <v>0.97651019906997372</v>
      </c>
      <c r="DH76" s="4">
        <f>CT76</f>
        <v>1.1204472084630297</v>
      </c>
      <c r="DI76" s="4">
        <f>CU76</f>
        <v>1.0981770978672198</v>
      </c>
      <c r="DJ76" s="4">
        <f>CW76</f>
        <v>1.5026876752908058</v>
      </c>
      <c r="DK76" s="4">
        <f>CZ76</f>
        <v>0.97651019906997372</v>
      </c>
      <c r="DL76" s="4">
        <f>CX76</f>
        <v>1.9533044478782371</v>
      </c>
      <c r="DM76" s="4">
        <f>CY76</f>
        <v>1.0971269956239666</v>
      </c>
      <c r="DO76" s="4">
        <f>AM76</f>
        <v>2</v>
      </c>
      <c r="DP76" s="4">
        <f>K76</f>
        <v>688</v>
      </c>
      <c r="DS76" s="4">
        <f>J76/4/(1-0.3*(L76/30)^0.5)/200000/M76</f>
        <v>3.1473982762568646E-5</v>
      </c>
      <c r="DT76" s="4">
        <f>EO76</f>
        <v>7.8470966796375476</v>
      </c>
      <c r="DU76" s="4">
        <f>EB76*AF76/257/L76/AC76</f>
        <v>0</v>
      </c>
      <c r="DV76" s="4">
        <f>DT76*DU76^0.4</f>
        <v>0</v>
      </c>
      <c r="DW76" s="4">
        <f>MIN(DT76, DT76/1.4*(1-DU76^1.4)/(1-DU76))</f>
        <v>5.6050690568839627</v>
      </c>
      <c r="DX76" s="4">
        <f>MAX(DT76/2, (4-DS76*(8*AF76*(DV76-DW76)+6*J76*DW76))/(4+DS76*J76*DT76)*DT76)</f>
        <v>6.4122754899197592</v>
      </c>
      <c r="DY76" s="38">
        <f>MIN(1/M76*(4*AF76*(DV76-DW76)+(3*DW76+DX76)*J76)+EB76 -FI76,MAX(I76,AI76))</f>
        <v>321.5064608500536</v>
      </c>
      <c r="DZ76" s="4">
        <f>DY76/FE76</f>
        <v>1.1184911730792599</v>
      </c>
      <c r="EA76" s="4">
        <f>AF76/M76</f>
        <v>2.2360679774997898</v>
      </c>
      <c r="EB76" s="4">
        <f>MIN(EA$10*BA76)</f>
        <v>0</v>
      </c>
      <c r="EF76" s="4">
        <f>IF(T76&gt;1*M76,0.85,1)</f>
        <v>0.85</v>
      </c>
      <c r="EG76" s="4">
        <f>MIN(1,MAX(0.7,(1-0.1*(BY76-1*M76)/M76)))</f>
        <v>0.9</v>
      </c>
      <c r="EH76" s="4">
        <f>MIN(1,MAX(0.7,1-0.3*(PI()*AL76^2/4*AP76*2-0.25*PI()/4*M76^2)/(PI()/4*M76^2)))</f>
        <v>0.91092644672796108</v>
      </c>
      <c r="EI76" s="4">
        <f>IF(EG76*EH76&lt;0.7,0.7,EG76*EH76)</f>
        <v>0.81983380205516498</v>
      </c>
      <c r="EK76" s="4">
        <f>MIN(DT76/M76*3*J76+EL76-FI76,MAX(I76,AI76))</f>
        <v>572.40410864454111</v>
      </c>
      <c r="EL76" s="25">
        <f>13.3*P76*J76^0.5*L76^0.5/W76/M76^2*(0.7+R76/5/J76)</f>
        <v>195.7434680219389</v>
      </c>
      <c r="EO76" s="4">
        <f>IF(M76&lt;22.2,1.1*5*(L76/30)^0.5,IF(M76&gt;=31.8,0.9*5*(L76/30)^0.5,1*5*(L76/30)^0.5))/EF76/EI76</f>
        <v>7.8470966796375476</v>
      </c>
      <c r="ER76" s="4">
        <f>ES76*M76</f>
        <v>96.150923032490965</v>
      </c>
      <c r="ES76" s="4">
        <f>AE76^0.5</f>
        <v>2.2360679774997898</v>
      </c>
      <c r="ET76" s="4">
        <f>MIN(EB76)/(4700*L76^0.5)/AD76*ER76</f>
        <v>0</v>
      </c>
      <c r="EW76" s="4">
        <f>ET76</f>
        <v>0</v>
      </c>
      <c r="EX76" s="4">
        <f>MIN(0.999, EW76/(0.3*(L76/30)^0.5))</f>
        <v>0</v>
      </c>
      <c r="EY76" s="4">
        <f>EO76/1*EX76^0.4</f>
        <v>0</v>
      </c>
      <c r="EZ76" s="4">
        <f>EO76/1.4*(1-EX76^1.4)/(1-EX76)</f>
        <v>5.6050690568839627</v>
      </c>
      <c r="FA76" s="4">
        <f>MAX(0,DP76*FA$9-ER76)</f>
        <v>0</v>
      </c>
      <c r="FB76" s="4">
        <f>MAX(0,DP76-ER76-FA76)</f>
        <v>591.84907696750906</v>
      </c>
      <c r="FC76" s="4">
        <f>FB76/(1-0.3*(L76/30)^0.5)/200000/M76</f>
        <v>1.0830143980533457E-4</v>
      </c>
      <c r="FD76" s="4">
        <f>MAX(0.5*EO76, (1-2*FC76*(ER76*EY76+FA76*EZ76))/(1/EO76+FC76*FB76))</f>
        <v>5.221011301296115</v>
      </c>
      <c r="FE76" s="4">
        <f>MIN(4/M76*(1*EY76*ER76+EZ76*FA76+FB76*FD76)+EB76,MAX(I76,AI76))</f>
        <v>287.44657855898038</v>
      </c>
      <c r="FN76" s="23">
        <f>IF(CT76&lt;0.6,0.6,IF(CT76&lt;0.8,0.8,IF(CT76&lt;1,1,IF(CT76&lt;1.2,1.2,IF(CT76&lt;1.4,1.4,IF(CT76&lt;1.6,1.6,IF(CT76&lt;1.8,1.8,IF(CT76&lt;2,2,2.2))))))))</f>
        <v>1.2</v>
      </c>
      <c r="FO76" s="23">
        <f>IF(CU76&lt;0.6,0.6,IF(CU76&lt;0.8,0.8,IF(CU76&lt;1,1,IF(CU76&lt;1.2,1.2,IF(CU76&lt;1.4,1.4,IF(CU76&lt;1.6,1.6,IF(CU76&lt;1.8,1.8,IF(CU76&lt;2,2,2.2))))))))</f>
        <v>1.2</v>
      </c>
      <c r="FP76" s="23">
        <f>IF(CZ76&lt;0.6,0.6,IF(CZ76&lt;0.8,0.8,IF(CZ76&lt;1,1,IF(CZ76&lt;1.2,1.2,IF(CZ76&lt;1.4,1.4,IF(CZ76&lt;1.6,1.6,IF(CZ76&lt;1.8,1.8,IF(CZ76&lt;2,2,2.2))))))))</f>
        <v>1</v>
      </c>
      <c r="FQ76" s="23">
        <f>IF(CW76&lt;0.6,0.6,IF(CW76&lt;0.8,0.8,IF(CW76&lt;1,1,IF(CW76&lt;1.2,1.2,IF(CW76&lt;1.4,1.4,IF(CW76&lt;1.6,1.6,IF(CW76&lt;1.8,1.8,IF(CW76&lt;2,2,2.2))))))))</f>
        <v>1.6</v>
      </c>
      <c r="FR76" s="23">
        <f>IF(CX76&lt;0.6,0.6,IF(CX76&lt;0.8,0.8,IF(CX76&lt;1,1,IF(CX76&lt;1.2,1.2,IF(CX76&lt;1.4,1.4,IF(CX76&lt;1.6,1.6,IF(CX76&lt;1.8,1.8,IF(CX76&lt;2,2,2.2))))))))</f>
        <v>2</v>
      </c>
      <c r="FS76" s="23">
        <f>IF(CY76&lt;0.6,0.6,IF(CY76&lt;0.8,0.8,IF(CY76&lt;1,1,IF(CY76&lt;1.2,1.2,IF(CY76&lt;1.4,1.4,IF(CY76&lt;1.6,1.6,IF(CY76&lt;1.8,1.8,IF(CY76&lt;2,2,2.2))))))))</f>
        <v>1.2</v>
      </c>
      <c r="FT76" s="23">
        <f>IF(FR76&lt;1,1,0)</f>
        <v>0</v>
      </c>
      <c r="FU76" s="23"/>
      <c r="GE76" s="4">
        <f>IF(R76&gt;=2.5*25.4,1,1.25)</f>
        <v>1</v>
      </c>
      <c r="GF76" s="4">
        <f>IF(AN76&gt;1, 0.05*(18-MIN(8,(V76+M76)/M76))*(1-48000/MAX(60000,(I76*145))*(M76/25.4)^0.75*GG76), 1/12*(14-MIN(8,(V76+M76)/M76)))</f>
        <v>0.49190749660801991</v>
      </c>
      <c r="GG76" s="4">
        <f>MIN(0.3, AL76^2*PI()/4*2*AO76/(M76^2*PI()/4*W76))</f>
        <v>0.3</v>
      </c>
      <c r="GH76" s="4">
        <f>(J76/25.4)/(M76/25.4)^1.5/0.0024*(L76*145)^0.25/GE76/GF76/145</f>
        <v>643.10644230659943</v>
      </c>
    </row>
    <row r="77" spans="1:190" s="4" customFormat="1" ht="12" customHeight="1" x14ac:dyDescent="0.3">
      <c r="A77" s="25">
        <v>164</v>
      </c>
      <c r="B77" s="24" t="s">
        <v>128</v>
      </c>
      <c r="C77" s="24">
        <v>2017</v>
      </c>
      <c r="D77" s="24" t="s">
        <v>309</v>
      </c>
      <c r="E77" s="24"/>
      <c r="F77" s="109" t="s">
        <v>813</v>
      </c>
      <c r="G77" s="4" t="s">
        <v>171</v>
      </c>
      <c r="H77" s="5">
        <f t="shared" si="0"/>
        <v>0.65852662180343235</v>
      </c>
      <c r="I77" s="100">
        <v>583</v>
      </c>
      <c r="J77" s="7">
        <f>10*M77</f>
        <v>573</v>
      </c>
      <c r="K77" s="7">
        <f>J77</f>
        <v>573</v>
      </c>
      <c r="L77" s="80">
        <v>51.4</v>
      </c>
      <c r="M77" s="37">
        <v>57.3</v>
      </c>
      <c r="N77" s="7">
        <f>J77/M77</f>
        <v>10</v>
      </c>
      <c r="O77" s="7">
        <f>K77/M77</f>
        <v>10</v>
      </c>
      <c r="P77" s="7">
        <f>V77+2*R77+2*M77</f>
        <v>584.46</v>
      </c>
      <c r="Q77" s="32">
        <f>R77/M77</f>
        <v>1</v>
      </c>
      <c r="R77" s="7">
        <f>1*M77</f>
        <v>57.3</v>
      </c>
      <c r="S77" s="32">
        <f>T77/M77</f>
        <v>0.97731239092495636</v>
      </c>
      <c r="T77" s="7">
        <f>40+16</f>
        <v>56</v>
      </c>
      <c r="U77" s="32">
        <f>V77/M77</f>
        <v>6.2</v>
      </c>
      <c r="V77" s="7">
        <f>(7.2-1)*M77</f>
        <v>355.26</v>
      </c>
      <c r="W77" s="7">
        <v>2</v>
      </c>
      <c r="X77" s="122">
        <f>AM77</f>
        <v>0</v>
      </c>
      <c r="Y77" s="32">
        <f>Z77/M77</f>
        <v>5.0436300174520072</v>
      </c>
      <c r="Z77" s="7">
        <f>2/3*J77-0.5*186</f>
        <v>289</v>
      </c>
      <c r="AA77" s="7">
        <f>MIN(R77/M77+0.5, V77/2/M77+0.5)</f>
        <v>1.5</v>
      </c>
      <c r="AB77" s="7">
        <f>R77/M77+0.5</f>
        <v>1.5</v>
      </c>
      <c r="AC77" s="7">
        <f>2040/510</f>
        <v>4</v>
      </c>
      <c r="AD77" s="7">
        <f>2040/510</f>
        <v>4</v>
      </c>
      <c r="AE77" s="7">
        <f>AD77+1</f>
        <v>5</v>
      </c>
      <c r="AF77" s="7">
        <f>M77*AE77^0.5</f>
        <v>128.12669511073796</v>
      </c>
      <c r="AG77" s="7">
        <f>I77</f>
        <v>583</v>
      </c>
      <c r="AH77" s="7">
        <v>25</v>
      </c>
      <c r="AI77" s="7">
        <f>(354+380)/2</f>
        <v>367</v>
      </c>
      <c r="AJ77" s="7"/>
      <c r="AK77" s="4">
        <f>CX77</f>
        <v>2.5581928216176952</v>
      </c>
      <c r="AL77" s="7">
        <v>0</v>
      </c>
      <c r="AM77" s="7">
        <v>0</v>
      </c>
      <c r="AN77" s="7">
        <f>K77</f>
        <v>573</v>
      </c>
      <c r="AO77" s="7"/>
      <c r="AP77" s="7"/>
      <c r="AQ77" s="7">
        <f>3*AR77/(V77+M77)</f>
        <v>4.166666666666667</v>
      </c>
      <c r="AR77" s="4">
        <f>J77</f>
        <v>573</v>
      </c>
      <c r="AS77" s="4">
        <f>IF(J77*3&gt;V77+M77, P77, (R77+M77/2)*2+1.5*J77*(2*W77-2))*(3*J77)/(9*J77^2)</f>
        <v>0.34</v>
      </c>
      <c r="AT77" s="4">
        <f>MIN(10*L77^0.5*J77^1.5,100*3.9*L77^0.5*J77^(5/3))/(PI()/4*M77^2)/W77</f>
        <v>190.67088022808852</v>
      </c>
      <c r="AU77" s="4">
        <f>MIN(0.7+0.3*(MIN(R77,Z77)+0.5*M77)/1.5/J77,1)</f>
        <v>0.73</v>
      </c>
      <c r="AV77" s="4">
        <v>1.25</v>
      </c>
      <c r="AW77" s="4">
        <f>AW76</f>
        <v>5</v>
      </c>
      <c r="AX77" s="38">
        <f>AS77*AU77*AV77*AW77*AT77</f>
        <v>295.7782029538223</v>
      </c>
      <c r="AY77" s="38">
        <f>AX77</f>
        <v>295.7782029538223</v>
      </c>
      <c r="AZ77" s="38">
        <f>IF(L77&lt;50, 0.3*L77^(2/3), 2.12*LN(1+0.1*(L77+8)))</f>
        <v>4.107079761979672</v>
      </c>
      <c r="BA77" s="38">
        <f>AW77* (L77^0.5/AR77^0.5)/(PI()/4*M77^2)/W77/0.72 *(0.7+(MIN(R77,Z77)+0.5*M77)/5/J77) *(3*P77*J77)</f>
        <v>295.77820295382207</v>
      </c>
      <c r="BB77" s="38">
        <f>AX77/BA77</f>
        <v>1.0000000000000007</v>
      </c>
      <c r="BC77" s="38">
        <f>BG77/BA77</f>
        <v>1.0426731818644137</v>
      </c>
      <c r="BD77" s="4">
        <f>IF(BC77&lt;1,1,0)</f>
        <v>0</v>
      </c>
      <c r="BE77" s="4">
        <f>K77/M77*L77^0.5/0.19</f>
        <v>377.33575429336673</v>
      </c>
      <c r="BF77" s="4">
        <f>MIN(0.6+0.4*(AB77/AA77),2)</f>
        <v>1</v>
      </c>
      <c r="BG77" s="38">
        <f>2*L77*AA77*AC77^0.5*BF77*0.7/0.7</f>
        <v>308.39999999999998</v>
      </c>
      <c r="BH77" s="4">
        <f>MAX(1-0.7*AD77/5,0.3)</f>
        <v>0.44000000000000006</v>
      </c>
      <c r="BI77" s="4">
        <f>BH77*I77*K77/(I77*M77/2.75/L77^0.5)</f>
        <v>86.749489912045021</v>
      </c>
      <c r="BJ77" s="4">
        <f>BG77+BI77</f>
        <v>395.149489912045</v>
      </c>
      <c r="BL77" s="4">
        <f>MIN(1.5, 0.75+0.25*MIN(3,MAX(1,R77/M77))+0.4*MIN(1,(40*2*PI()*AL77^2/4/AN77/W77)/M77))</f>
        <v>1</v>
      </c>
      <c r="BM77" s="4">
        <f>(3*O77+30)*BL77*L77^0.5</f>
        <v>430.16275989443812</v>
      </c>
      <c r="BO77" s="4">
        <f>3.4/PI()^0.5*L77*AA77*AD77^0.5*BF77</f>
        <v>295.79331486241767</v>
      </c>
      <c r="BP77" s="4">
        <f>8/3*AG77*AH77^2/(AF77-M77-22)/M77*(AF77^2-M77^2)/(AF77^2-(M77+22)^2)</f>
        <v>450.3525339151019</v>
      </c>
      <c r="BQ77" s="4">
        <f>BP77/BO77</f>
        <v>1.5225243820151051</v>
      </c>
      <c r="BY77" s="4">
        <f>IF(V77=0,R77,MIN(V77/2,R77))</f>
        <v>57.3</v>
      </c>
      <c r="CC77" s="9"/>
      <c r="CE77" s="9"/>
      <c r="CF77" s="9"/>
      <c r="CG77" s="9">
        <f>IF(V77=0,MIN(R77,T77),MIN(V77/2,R77,T77))</f>
        <v>56</v>
      </c>
      <c r="CH77" s="9">
        <f>MAX(V77/2,R77)</f>
        <v>177.63</v>
      </c>
      <c r="CI77" s="9">
        <f>(CG77/M77)^0.5*(CH77/CG77)^0.15</f>
        <v>1.1754818988273255</v>
      </c>
      <c r="CJ77" s="70">
        <v>0</v>
      </c>
      <c r="CK77" s="9">
        <f>MIN(PI()*AL77^2/4*AM77*2/W77/M77/MAX(0.01,AN77),0.05)</f>
        <v>0</v>
      </c>
      <c r="CL77" s="9">
        <f>MAX(0,CJ77*(CK77-0.5/50))</f>
        <v>0</v>
      </c>
      <c r="CM77" s="9">
        <f>MIN(1,(25/M77)^0.3)</f>
        <v>0.77971450958075206</v>
      </c>
      <c r="CN77" s="9">
        <f>IF(I77&gt;=800,0.68,IF(I77&gt;=700,0.75-(I77-700)*0.07/100,IF(I77&gt;=600,0.85-(I77-600)*0.1/100,IF(I77&gt;=500,1-(I77-500)*0.15/100,1.2-(I77-400)*0.2/100))))</f>
        <v>0.87549999999999994</v>
      </c>
      <c r="CO77" s="9">
        <f>1.75*CM77*CN77*(L77/25)^0.5</f>
        <v>1.7129369207551171</v>
      </c>
      <c r="CP77" s="9">
        <f>MIN((CI77+CL77)*CO77,2.5*CO77,L77^0.5)</f>
        <v>2.013526344180657</v>
      </c>
      <c r="CQ77" s="9">
        <v>1</v>
      </c>
      <c r="CR77" s="9">
        <f>4*CP77*O77+60*CP77</f>
        <v>201.35263441806569</v>
      </c>
      <c r="CT77" s="4">
        <f>AI77/BE77</f>
        <v>0.97260860076002498</v>
      </c>
      <c r="CU77" s="4">
        <f>AI77/BJ77</f>
        <v>0.92876242882583326</v>
      </c>
      <c r="CV77" s="4">
        <f>AI77/BM77</f>
        <v>0.85316543926317967</v>
      </c>
      <c r="CW77" s="4">
        <f>AI77/CR77</f>
        <v>1.8226729491803071</v>
      </c>
      <c r="CX77" s="4">
        <f>AI77/DY77</f>
        <v>2.5581928216176952</v>
      </c>
      <c r="CY77" s="4">
        <f>AI77/EK77</f>
        <v>1.1362985571149462</v>
      </c>
      <c r="CZ77" s="4">
        <f>AI77/GH77</f>
        <v>1.3935634697003241</v>
      </c>
      <c r="DB77" s="4">
        <f>CT77</f>
        <v>0.97260860076002498</v>
      </c>
      <c r="DC77" s="4">
        <f>CU77</f>
        <v>0.92876242882583326</v>
      </c>
      <c r="DD77" s="4">
        <f>CW77</f>
        <v>1.8226729491803071</v>
      </c>
      <c r="DE77" s="4">
        <f>CZ77</f>
        <v>1.3935634697003241</v>
      </c>
      <c r="DF77" s="4">
        <f>CX77</f>
        <v>2.5581928216176952</v>
      </c>
      <c r="DG77" s="4">
        <f>CY77</f>
        <v>1.1362985571149462</v>
      </c>
      <c r="DO77" s="4">
        <f>AM77</f>
        <v>0</v>
      </c>
      <c r="DP77" s="4">
        <f>K77</f>
        <v>573</v>
      </c>
      <c r="DS77" s="4">
        <f>J77/4/(1-0.3*(L77/30)^0.5)/200000/M77</f>
        <v>2.0582334451428195E-5</v>
      </c>
      <c r="DT77" s="4">
        <f>EO77</f>
        <v>5.8902461748215584</v>
      </c>
      <c r="DU77" s="4">
        <f>EB77*AF77/257/L77/AC77</f>
        <v>0</v>
      </c>
      <c r="DV77" s="4">
        <f>DT77*DU77^0.4</f>
        <v>0</v>
      </c>
      <c r="DW77" s="4">
        <f>MIN(DT77, DT77/1.4*(1-DU77^1.4)/(1-DU77))</f>
        <v>4.2073186963011135</v>
      </c>
      <c r="DX77" s="4">
        <f>MAX(DT77/2, (4-DS77*(8*AF77*(DV77-DW77)+6*J77*DW77))/(4+DS77*J77*DT77)*DT77)</f>
        <v>5.4872489582491673</v>
      </c>
      <c r="DY77" s="38">
        <f>MIN(1/M77*(4*AF77*(DV77-DW77)+(3*DW77+DX77)*J77)+EB77 -FI77,MAX(I77,AI77))</f>
        <v>143.46064803978473</v>
      </c>
      <c r="DZ77" s="4">
        <f>DY77/FE77</f>
        <v>0.91561578625053275</v>
      </c>
      <c r="EA77" s="4">
        <f>AF77/M77</f>
        <v>2.2360679774997898</v>
      </c>
      <c r="EB77" s="4">
        <f>MIN(EA$10*BA77)</f>
        <v>0</v>
      </c>
      <c r="EF77" s="4">
        <f>IF(T77&gt;1*M77,0.85,1)</f>
        <v>1</v>
      </c>
      <c r="EG77" s="4">
        <f>MIN(1,MAX(0.7,(1-0.1*(BY77-1*M77)/M77)))</f>
        <v>1</v>
      </c>
      <c r="EH77" s="4">
        <f>MIN(1,MAX(0.7,1-0.3*(PI()*AL77^2/4*AP77*2-0.25*PI()/4*M77^2)/(PI()/4*M77^2)))</f>
        <v>1</v>
      </c>
      <c r="EI77" s="4">
        <f>IF(EG77*EH77&lt;0.7,0.7,EG77*EH77)</f>
        <v>1</v>
      </c>
      <c r="EK77" s="4">
        <f>MIN(DT77/M77*3*J77+EL77-FI77,MAX(I77,AI77))</f>
        <v>322.97849689417046</v>
      </c>
      <c r="EL77" s="25">
        <f>13.3*P77*J77^0.5*L77^0.5/W77/M77^2*(0.7+R77/5/J77)</f>
        <v>146.27111164952376</v>
      </c>
      <c r="EO77" s="4">
        <f>IF(M77&lt;22.2,1.1*5*(L77/30)^0.5,IF(M77&gt;=31.8,0.9*5*(L77/30)^0.5,1*5*(L77/30)^0.5))/EF77/EI77</f>
        <v>5.8902461748215584</v>
      </c>
      <c r="ER77" s="4">
        <f>ES77*M77</f>
        <v>128.12669511073796</v>
      </c>
      <c r="ES77" s="4">
        <f>AE77^0.5</f>
        <v>2.2360679774997898</v>
      </c>
      <c r="ET77" s="4">
        <f>MIN(EB77)/(4700*L77^0.5)/AD77*ER77</f>
        <v>0</v>
      </c>
      <c r="EW77" s="4">
        <f>ET77</f>
        <v>0</v>
      </c>
      <c r="EX77" s="4">
        <f>MIN(0.999, EW77/(0.3*(L77/30)^0.5))</f>
        <v>0</v>
      </c>
      <c r="EY77" s="4">
        <f>EO77/1*EX77^0.4</f>
        <v>0</v>
      </c>
      <c r="EZ77" s="4">
        <f>EO77/1.4*(1-EX77^1.4)/(1-EX77)</f>
        <v>4.2073186963011135</v>
      </c>
      <c r="FA77" s="4">
        <f>MAX(0,DP77*FA$9-ER77)</f>
        <v>0</v>
      </c>
      <c r="FB77" s="4">
        <f>MAX(0,DP77-ER77-FA77)</f>
        <v>444.87330488926204</v>
      </c>
      <c r="FC77" s="4">
        <f>FB77/(1-0.3*(L77/30)^0.5)/200000/M77</f>
        <v>6.3919938218101065E-5</v>
      </c>
      <c r="FD77" s="4">
        <f>MAX(0.5*EO77, (1-2*FC77*(ER77*EY77+FA77*EZ77))/(1/EO77+FC77*FB77))</f>
        <v>5.0451931909221814</v>
      </c>
      <c r="FE77" s="4">
        <f>MIN(4/M77*(1*EY77*ER77+EZ77*FA77+FB77*FD77)+EB77,MAX(I77,AI77))</f>
        <v>156.68214789880295</v>
      </c>
      <c r="FN77" s="23">
        <f>IF(CT77&lt;0.6,0.6,IF(CT77&lt;0.8,0.8,IF(CT77&lt;1,1,IF(CT77&lt;1.2,1.2,IF(CT77&lt;1.4,1.4,IF(CT77&lt;1.6,1.6,IF(CT77&lt;1.8,1.8,IF(CT77&lt;2,2,2.2))))))))</f>
        <v>1</v>
      </c>
      <c r="FO77" s="23">
        <f>IF(CU77&lt;0.6,0.6,IF(CU77&lt;0.8,0.8,IF(CU77&lt;1,1,IF(CU77&lt;1.2,1.2,IF(CU77&lt;1.4,1.4,IF(CU77&lt;1.6,1.6,IF(CU77&lt;1.8,1.8,IF(CU77&lt;2,2,2.2))))))))</f>
        <v>1</v>
      </c>
      <c r="FP77" s="23">
        <f>IF(CZ77&lt;0.6,0.6,IF(CZ77&lt;0.8,0.8,IF(CZ77&lt;1,1,IF(CZ77&lt;1.2,1.2,IF(CZ77&lt;1.4,1.4,IF(CZ77&lt;1.6,1.6,IF(CZ77&lt;1.8,1.8,IF(CZ77&lt;2,2,2.2))))))))</f>
        <v>1.4</v>
      </c>
      <c r="FQ77" s="23">
        <f>IF(CW77&lt;0.6,0.6,IF(CW77&lt;0.8,0.8,IF(CW77&lt;1,1,IF(CW77&lt;1.2,1.2,IF(CW77&lt;1.4,1.4,IF(CW77&lt;1.6,1.6,IF(CW77&lt;1.8,1.8,IF(CW77&lt;2,2,2.2))))))))</f>
        <v>2</v>
      </c>
      <c r="FR77" s="23">
        <f>IF(CX77&lt;0.6,0.6,IF(CX77&lt;0.8,0.8,IF(CX77&lt;1,1,IF(CX77&lt;1.2,1.2,IF(CX77&lt;1.4,1.4,IF(CX77&lt;1.6,1.6,IF(CX77&lt;1.8,1.8,IF(CX77&lt;2,2,2.2))))))))</f>
        <v>2.2000000000000002</v>
      </c>
      <c r="FS77" s="23">
        <f>IF(CY77&lt;0.6,0.6,IF(CY77&lt;0.8,0.8,IF(CY77&lt;1,1,IF(CY77&lt;1.2,1.2,IF(CY77&lt;1.4,1.4,IF(CY77&lt;1.6,1.6,IF(CY77&lt;1.8,1.8,IF(CY77&lt;2,2,2.2))))))))</f>
        <v>1.2</v>
      </c>
      <c r="FT77" s="23">
        <f>IF(FR77&lt;1,1,0)</f>
        <v>0</v>
      </c>
      <c r="FU77" s="23"/>
      <c r="GE77" s="4">
        <f>IF(R77&gt;=2.5*25.4,1,1.25)</f>
        <v>1.25</v>
      </c>
      <c r="GF77" s="4">
        <f>IF(AN77&gt;1, 0.05*(18-MIN(8,(V77+M77)/M77))*(1-48000/MAX(60000,(I77*145))*(M77/25.4)^0.75*GG77), 1/12*(14-MIN(8,(V77+M77)/M77)))</f>
        <v>0.54</v>
      </c>
      <c r="GG77" s="4">
        <f>MIN(0.3, AL77^2*PI()/4*2*AO77/(M77^2*PI()/4*W77))</f>
        <v>0</v>
      </c>
      <c r="GH77" s="4">
        <f>(J77/25.4)/(M77/25.4)^1.5/0.0024*(L77*145)^0.25/GE77/GF77/145</f>
        <v>263.35363116178752</v>
      </c>
    </row>
    <row r="78" spans="1:190" s="4" customFormat="1" ht="12" customHeight="1" x14ac:dyDescent="0.3">
      <c r="A78" s="25">
        <v>165</v>
      </c>
      <c r="B78" s="24" t="s">
        <v>128</v>
      </c>
      <c r="C78" s="24">
        <v>2017</v>
      </c>
      <c r="D78" s="24" t="s">
        <v>309</v>
      </c>
      <c r="E78" s="24"/>
      <c r="F78" s="109" t="s">
        <v>813</v>
      </c>
      <c r="G78" s="4" t="s">
        <v>172</v>
      </c>
      <c r="H78" s="5">
        <f t="shared" si="0"/>
        <v>0.65852662180343235</v>
      </c>
      <c r="I78" s="100">
        <v>583</v>
      </c>
      <c r="J78" s="7">
        <f>10*M78</f>
        <v>573</v>
      </c>
      <c r="K78" s="7">
        <f>J78</f>
        <v>573</v>
      </c>
      <c r="L78" s="80">
        <v>51.4</v>
      </c>
      <c r="M78" s="37">
        <v>57.3</v>
      </c>
      <c r="N78" s="7">
        <f>J78/M78</f>
        <v>10</v>
      </c>
      <c r="O78" s="7">
        <f>K78/M78</f>
        <v>10</v>
      </c>
      <c r="P78" s="7">
        <f>V78+2*R78+2*M78</f>
        <v>584.46</v>
      </c>
      <c r="Q78" s="32">
        <f>R78/M78</f>
        <v>1</v>
      </c>
      <c r="R78" s="7">
        <f>1*M78</f>
        <v>57.3</v>
      </c>
      <c r="S78" s="32">
        <f>T78/M78</f>
        <v>0.97731239092495636</v>
      </c>
      <c r="T78" s="7">
        <f>40+16</f>
        <v>56</v>
      </c>
      <c r="U78" s="32">
        <f>V78/M78</f>
        <v>6.2</v>
      </c>
      <c r="V78" s="7">
        <f>(7.2-1)*M78</f>
        <v>355.26</v>
      </c>
      <c r="W78" s="7">
        <v>2</v>
      </c>
      <c r="X78" s="122">
        <f>AM78</f>
        <v>2</v>
      </c>
      <c r="Y78" s="32">
        <f>Z78/M78</f>
        <v>5.0436300174520072</v>
      </c>
      <c r="Z78" s="7">
        <f>2/3*J78-0.5*186</f>
        <v>289</v>
      </c>
      <c r="AA78" s="7">
        <f>MIN(R78/M78+0.5, V78/2/M78+0.5)</f>
        <v>1.5</v>
      </c>
      <c r="AB78" s="7">
        <f>R78/M78+0.5</f>
        <v>1.5</v>
      </c>
      <c r="AC78" s="7">
        <f>2040/510</f>
        <v>4</v>
      </c>
      <c r="AD78" s="7">
        <f>2040/510</f>
        <v>4</v>
      </c>
      <c r="AE78" s="7">
        <f>AD78+1</f>
        <v>5</v>
      </c>
      <c r="AF78" s="7">
        <f>M78*AE78^0.5</f>
        <v>128.12669511073796</v>
      </c>
      <c r="AG78" s="7">
        <f>I78</f>
        <v>583</v>
      </c>
      <c r="AH78" s="7">
        <v>25</v>
      </c>
      <c r="AI78" s="7">
        <f>(470+475)/2</f>
        <v>472.5</v>
      </c>
      <c r="AJ78" s="7"/>
      <c r="AK78" s="4">
        <f>CX78</f>
        <v>3.2378642974182359</v>
      </c>
      <c r="AL78" s="7">
        <v>15.9</v>
      </c>
      <c r="AM78" s="7">
        <v>2</v>
      </c>
      <c r="AN78" s="7">
        <v>275</v>
      </c>
      <c r="AO78" s="7">
        <v>4</v>
      </c>
      <c r="AP78" s="7">
        <f>AM78</f>
        <v>2</v>
      </c>
      <c r="AQ78" s="7">
        <f>3*AR78/(V78+M78)</f>
        <v>4.166666666666667</v>
      </c>
      <c r="AR78" s="4">
        <f>J78</f>
        <v>573</v>
      </c>
      <c r="AS78" s="4">
        <f>IF(J78*3&gt;V78+M78, P78, (R78+M78/2)*2+1.5*J78*(2*W78-2))*(3*J78)/(9*J78^2)</f>
        <v>0.34</v>
      </c>
      <c r="AT78" s="4">
        <f>MIN(10*L78^0.5*J78^1.5,100*3.9*L78^0.5*J78^(5/3))/(PI()/4*M78^2)/W78</f>
        <v>190.67088022808852</v>
      </c>
      <c r="AU78" s="4">
        <f>MIN(0.7+0.3*(MIN(R78,Z78)+0.5*M78)/1.5/J78,1)</f>
        <v>0.73</v>
      </c>
      <c r="AV78" s="4">
        <v>1.25</v>
      </c>
      <c r="AW78" s="4">
        <f>AW77</f>
        <v>5</v>
      </c>
      <c r="AX78" s="38">
        <f>AS78*AU78*AV78*AW78*AT78</f>
        <v>295.7782029538223</v>
      </c>
      <c r="AY78" s="38">
        <f>AX78</f>
        <v>295.7782029538223</v>
      </c>
      <c r="AZ78" s="38">
        <f>IF(L78&lt;50, 0.3*L78^(2/3), 2.12*LN(1+0.1*(L78+8)))</f>
        <v>4.107079761979672</v>
      </c>
      <c r="BA78" s="38">
        <f>AW78* (L78^0.5/AR78^0.5)/(PI()/4*M78^2)/W78/0.72 *(0.7+(MIN(R78,Z78)+0.5*M78)/5/J78) *(3*P78*J78)</f>
        <v>295.77820295382207</v>
      </c>
      <c r="BB78" s="38">
        <f>AX78/BA78</f>
        <v>1.0000000000000007</v>
      </c>
      <c r="BC78" s="38">
        <f>BG78/BA78</f>
        <v>1.0426731818644137</v>
      </c>
      <c r="BD78" s="4">
        <f>IF(BC78&lt;1,1,0)</f>
        <v>0</v>
      </c>
      <c r="BE78" s="4">
        <f>K78/M78*L78^0.5/0.19</f>
        <v>377.33575429336673</v>
      </c>
      <c r="BF78" s="4">
        <f>MIN(0.6+0.4*(AB78/AA78),2)</f>
        <v>1</v>
      </c>
      <c r="BG78" s="38">
        <f>2*L78*AA78*AC78^0.5*BF78*0.7/0.7</f>
        <v>308.39999999999998</v>
      </c>
      <c r="BH78" s="4">
        <f>MAX(1-0.7*AD78/5,0.3)</f>
        <v>0.44000000000000006</v>
      </c>
      <c r="BI78" s="4">
        <f>BH78*I78*K78/(I78*M78/2.75/L78^0.5)</f>
        <v>86.749489912045021</v>
      </c>
      <c r="BJ78" s="4">
        <f>BG78+BI78</f>
        <v>395.149489912045</v>
      </c>
      <c r="BL78" s="4">
        <f>MIN(1.5, 0.75+0.25*MIN(3,MAX(1,R78/M78))+0.4*MIN(1,(40*2*PI()*AL78^2/4/AN78/W78)/M78))</f>
        <v>1.201612194511575</v>
      </c>
      <c r="BM78" s="4">
        <f>(3*O78+30)*BL78*L78^0.5</f>
        <v>516.88881791391145</v>
      </c>
      <c r="BO78" s="4">
        <f>3.4/PI()^0.5*L78*AA78*AD78^0.5*BF78</f>
        <v>295.79331486241767</v>
      </c>
      <c r="BP78" s="4">
        <f>8/3*AG78*AH78^2/(AF78-M78-22)/M78*(AF78^2-M78^2)/(AF78^2-(M78+22)^2)</f>
        <v>450.3525339151019</v>
      </c>
      <c r="BQ78" s="4">
        <f>BP78/BO78</f>
        <v>1.5225243820151051</v>
      </c>
      <c r="BY78" s="4">
        <f>IF(V78=0,R78,MIN(V78/2,R78))</f>
        <v>57.3</v>
      </c>
      <c r="CC78" s="9"/>
      <c r="CE78" s="9"/>
      <c r="CF78" s="9"/>
      <c r="CG78" s="9">
        <f>IF(V78=0,MIN(R78,T78),MIN(V78/2,R78,T78))</f>
        <v>56</v>
      </c>
      <c r="CH78" s="9">
        <f>MAX(V78/2,R78)</f>
        <v>177.63</v>
      </c>
      <c r="CI78" s="9">
        <f>(CG78/M78)^0.5*(CH78/CG78)^0.15</f>
        <v>1.1754818988273255</v>
      </c>
      <c r="CJ78" s="70">
        <v>20</v>
      </c>
      <c r="CK78" s="9">
        <f>MIN(PI()*AL78^2/4*AM78*2/W78/M78/MAX(0.01,AN78),0.05)</f>
        <v>2.5201524313946871E-2</v>
      </c>
      <c r="CL78" s="9">
        <f>MAX(0,CJ78*(CK78-0.5/50))</f>
        <v>0.30403048627893742</v>
      </c>
      <c r="CM78" s="9">
        <f>MIN(1,(25/M78)^0.3)</f>
        <v>0.77971450958075206</v>
      </c>
      <c r="CN78" s="9">
        <f>IF(I78&gt;=800,0.68,IF(I78&gt;=700,0.75-(I78-700)*0.07/100,IF(I78&gt;=600,0.85-(I78-600)*0.1/100,IF(I78&gt;=500,1-(I78-500)*0.15/100,1.2-(I78-400)*0.2/100))))</f>
        <v>0.87549999999999994</v>
      </c>
      <c r="CO78" s="9">
        <f>1.75*CM78*CN78*(L78/25)^0.5</f>
        <v>1.7129369207551171</v>
      </c>
      <c r="CP78" s="9">
        <f>MIN((CI78+CL78)*CO78,2.5*CO78,L78^0.5)</f>
        <v>2.5343113891629807</v>
      </c>
      <c r="CQ78" s="9">
        <v>1</v>
      </c>
      <c r="CR78" s="9">
        <f>4*CP78*O78+60*CP78</f>
        <v>253.43113891629807</v>
      </c>
      <c r="CT78" s="4">
        <f>AI78/BE78</f>
        <v>1.2522004464825935</v>
      </c>
      <c r="CU78" s="4">
        <f>AI78/BJ78</f>
        <v>1.1957499935155482</v>
      </c>
      <c r="CV78" s="4">
        <f>AI78/BM78</f>
        <v>0.91412308338752946</v>
      </c>
      <c r="CW78" s="4">
        <f>AI78/CR78</f>
        <v>1.8644117767866515</v>
      </c>
      <c r="CX78" s="4">
        <f>AI78/DY78</f>
        <v>3.2378642974182359</v>
      </c>
      <c r="CY78" s="4">
        <f>AI78/EK78</f>
        <v>1.4489090299456451</v>
      </c>
      <c r="CZ78" s="4">
        <f>AI78/GH78</f>
        <v>1.2315922030510305</v>
      </c>
      <c r="DH78" s="4">
        <f>CT78</f>
        <v>1.2522004464825935</v>
      </c>
      <c r="DI78" s="4">
        <f>CU78</f>
        <v>1.1957499935155482</v>
      </c>
      <c r="DJ78" s="4">
        <f>CW78</f>
        <v>1.8644117767866515</v>
      </c>
      <c r="DK78" s="4">
        <f>CZ78</f>
        <v>1.2315922030510305</v>
      </c>
      <c r="DL78" s="4">
        <f>CX78</f>
        <v>3.2378642974182359</v>
      </c>
      <c r="DM78" s="4">
        <f>CY78</f>
        <v>1.4489090299456451</v>
      </c>
      <c r="DO78" s="4">
        <f>AM78</f>
        <v>2</v>
      </c>
      <c r="DP78" s="4">
        <f>K78</f>
        <v>573</v>
      </c>
      <c r="DS78" s="4">
        <f>J78/4/(1-0.3*(L78/30)^0.5)/200000/M78</f>
        <v>2.0582334451428195E-5</v>
      </c>
      <c r="DT78" s="4">
        <f>EO78</f>
        <v>5.99454394365008</v>
      </c>
      <c r="DU78" s="4">
        <f>EB78*AF78/257/L78/AC78</f>
        <v>0</v>
      </c>
      <c r="DV78" s="4">
        <f>DT78*DU78^0.4</f>
        <v>0</v>
      </c>
      <c r="DW78" s="4">
        <f>MIN(DT78, DT78/1.4*(1-DU78^1.4)/(1-DU78))</f>
        <v>4.2818171026072003</v>
      </c>
      <c r="DX78" s="4">
        <f>MAX(DT78/2, (4-DS78*(8*AF78*(DV78-DW78)+6*J78*DW78))/(4+DS78*J78*DT78)*DT78)</f>
        <v>5.5772748684782432</v>
      </c>
      <c r="DY78" s="38">
        <f>MIN(1/M78*(4*AF78*(DV78-DW78)+(3*DW78+DX78)*J78)+EB78 -FI78,MAX(I78,AI78))</f>
        <v>145.9295253283949</v>
      </c>
      <c r="DZ78" s="4">
        <f>DY78/FE78</f>
        <v>0.91749310309395138</v>
      </c>
      <c r="EA78" s="4">
        <f>AF78/M78</f>
        <v>2.2360679774997898</v>
      </c>
      <c r="EB78" s="4">
        <f>MIN(EA$10*BA78)</f>
        <v>0</v>
      </c>
      <c r="EF78" s="4">
        <f>IF(T78&gt;1*M78,0.85,1)</f>
        <v>1</v>
      </c>
      <c r="EG78" s="4">
        <f>MIN(1,MAX(0.7,(1-0.1*(BY78-1*M78)/M78)))</f>
        <v>1</v>
      </c>
      <c r="EH78" s="4">
        <f>MIN(1,MAX(0.7,1-0.3*(PI()*AL78^2/4*AP78*2-0.25*PI()/4*M78^2)/(PI()/4*M78^2)))</f>
        <v>0.9826012170719004</v>
      </c>
      <c r="EI78" s="4">
        <f>IF(EG78*EH78&lt;0.7,0.7,EG78*EH78)</f>
        <v>0.9826012170719004</v>
      </c>
      <c r="EK78" s="4">
        <f>MIN(DT78/M78*3*J78+EL78-FI78,MAX(I78,AI78))</f>
        <v>326.10742995902615</v>
      </c>
      <c r="EL78" s="25">
        <f>13.3*P78*J78^0.5*L78^0.5/W78/M78^2*(0.7+R78/5/J78)</f>
        <v>146.27111164952376</v>
      </c>
      <c r="EO78" s="4">
        <f>IF(M78&lt;22.2,1.1*5*(L78/30)^0.5,IF(M78&gt;=31.8,0.9*5*(L78/30)^0.5,1*5*(L78/30)^0.5))/EF78/EI78</f>
        <v>5.99454394365008</v>
      </c>
      <c r="ER78" s="4">
        <f>ES78*M78</f>
        <v>128.12669511073796</v>
      </c>
      <c r="ES78" s="4">
        <f>AE78^0.5</f>
        <v>2.2360679774997898</v>
      </c>
      <c r="ET78" s="4">
        <f>MIN(EB78)/(4700*L78^0.5)/AD78*ER78</f>
        <v>0</v>
      </c>
      <c r="EW78" s="4">
        <f>ET78</f>
        <v>0</v>
      </c>
      <c r="EX78" s="4">
        <f>MIN(0.999, EW78/(0.3*(L78/30)^0.5))</f>
        <v>0</v>
      </c>
      <c r="EY78" s="4">
        <f>EO78/1*EX78^0.4</f>
        <v>0</v>
      </c>
      <c r="EZ78" s="4">
        <f>EO78/1.4*(1-EX78^1.4)/(1-EX78)</f>
        <v>4.2818171026072003</v>
      </c>
      <c r="FA78" s="4">
        <f>MAX(0,DP78*FA$9-ER78)</f>
        <v>0</v>
      </c>
      <c r="FB78" s="4">
        <f>MAX(0,DP78-ER78-FA78)</f>
        <v>444.87330488926204</v>
      </c>
      <c r="FC78" s="4">
        <f>FB78/(1-0.3*(L78/30)^0.5)/200000/M78</f>
        <v>6.3919938218101065E-5</v>
      </c>
      <c r="FD78" s="4">
        <f>MAX(0.5*EO78, (1-2*FC78*(ER78*EY78+FA78*EZ78))/(1/EO78+FC78*FB78))</f>
        <v>5.1215173223564063</v>
      </c>
      <c r="FE78" s="4">
        <f>MIN(4/M78*(1*EY78*ER78+EZ78*FA78+FB78*FD78)+EB78,MAX(I78,AI78))</f>
        <v>159.05244937132971</v>
      </c>
      <c r="FN78" s="23">
        <f>IF(CT78&lt;0.6,0.6,IF(CT78&lt;0.8,0.8,IF(CT78&lt;1,1,IF(CT78&lt;1.2,1.2,IF(CT78&lt;1.4,1.4,IF(CT78&lt;1.6,1.6,IF(CT78&lt;1.8,1.8,IF(CT78&lt;2,2,2.2))))))))</f>
        <v>1.4</v>
      </c>
      <c r="FO78" s="23">
        <f>IF(CU78&lt;0.6,0.6,IF(CU78&lt;0.8,0.8,IF(CU78&lt;1,1,IF(CU78&lt;1.2,1.2,IF(CU78&lt;1.4,1.4,IF(CU78&lt;1.6,1.6,IF(CU78&lt;1.8,1.8,IF(CU78&lt;2,2,2.2))))))))</f>
        <v>1.2</v>
      </c>
      <c r="FP78" s="23">
        <f>IF(CZ78&lt;0.6,0.6,IF(CZ78&lt;0.8,0.8,IF(CZ78&lt;1,1,IF(CZ78&lt;1.2,1.2,IF(CZ78&lt;1.4,1.4,IF(CZ78&lt;1.6,1.6,IF(CZ78&lt;1.8,1.8,IF(CZ78&lt;2,2,2.2))))))))</f>
        <v>1.4</v>
      </c>
      <c r="FQ78" s="23">
        <f>IF(CW78&lt;0.6,0.6,IF(CW78&lt;0.8,0.8,IF(CW78&lt;1,1,IF(CW78&lt;1.2,1.2,IF(CW78&lt;1.4,1.4,IF(CW78&lt;1.6,1.6,IF(CW78&lt;1.8,1.8,IF(CW78&lt;2,2,2.2))))))))</f>
        <v>2</v>
      </c>
      <c r="FR78" s="23">
        <f>IF(CX78&lt;0.6,0.6,IF(CX78&lt;0.8,0.8,IF(CX78&lt;1,1,IF(CX78&lt;1.2,1.2,IF(CX78&lt;1.4,1.4,IF(CX78&lt;1.6,1.6,IF(CX78&lt;1.8,1.8,IF(CX78&lt;2,2,2.2))))))))</f>
        <v>2.2000000000000002</v>
      </c>
      <c r="FS78" s="23">
        <f>IF(CY78&lt;0.6,0.6,IF(CY78&lt;0.8,0.8,IF(CY78&lt;1,1,IF(CY78&lt;1.2,1.2,IF(CY78&lt;1.4,1.4,IF(CY78&lt;1.6,1.6,IF(CY78&lt;1.8,1.8,IF(CY78&lt;2,2,2.2))))))))</f>
        <v>1.6</v>
      </c>
      <c r="FT78" s="23">
        <f>IF(FR78&lt;1,1,0)</f>
        <v>0</v>
      </c>
      <c r="FU78" s="23"/>
      <c r="GE78" s="4">
        <f>IF(R78&gt;=2.5*25.4,1,1.25)</f>
        <v>1.25</v>
      </c>
      <c r="GF78" s="4">
        <f>IF(AN78&gt;1, 0.05*(18-MIN(8,(V78+M78)/M78))*(1-48000/MAX(60000,(I78*145))*(M78/25.4)^0.75*GG78), 1/12*(14-MIN(8,(V78+M78)/M78)))</f>
        <v>0.37067917575318227</v>
      </c>
      <c r="GG78" s="4">
        <f>MIN(0.3, AL78^2*PI()/4*2*AO78/(M78^2*PI()/4*W78))</f>
        <v>0.3</v>
      </c>
      <c r="GH78" s="4">
        <f>(J78/25.4)/(M78/25.4)^1.5/0.0024*(L78*145)^0.25/GE78/GF78/145</f>
        <v>383.64971687014014</v>
      </c>
    </row>
    <row r="79" spans="1:190" s="4" customFormat="1" ht="12" customHeight="1" x14ac:dyDescent="0.3">
      <c r="A79" s="25">
        <v>166</v>
      </c>
      <c r="B79" s="24" t="s">
        <v>128</v>
      </c>
      <c r="C79" s="24">
        <v>2017</v>
      </c>
      <c r="D79" s="24" t="s">
        <v>309</v>
      </c>
      <c r="E79" s="24"/>
      <c r="F79" s="109" t="s">
        <v>813</v>
      </c>
      <c r="G79" s="4" t="s">
        <v>173</v>
      </c>
      <c r="H79" s="5">
        <f t="shared" si="0"/>
        <v>0.80548034420478565</v>
      </c>
      <c r="I79" s="100">
        <v>583</v>
      </c>
      <c r="J79" s="7">
        <f>10*M79</f>
        <v>573</v>
      </c>
      <c r="K79" s="7">
        <f>J79</f>
        <v>573</v>
      </c>
      <c r="L79" s="84">
        <v>76.900000000000006</v>
      </c>
      <c r="M79" s="37">
        <v>57.3</v>
      </c>
      <c r="N79" s="7">
        <f>J79/M79</f>
        <v>10</v>
      </c>
      <c r="O79" s="7">
        <f>K79/M79</f>
        <v>10</v>
      </c>
      <c r="P79" s="7">
        <f>V79+2*R79+2*M79</f>
        <v>584.46</v>
      </c>
      <c r="Q79" s="32">
        <f>R79/M79</f>
        <v>1</v>
      </c>
      <c r="R79" s="7">
        <f>1*M79</f>
        <v>57.3</v>
      </c>
      <c r="S79" s="32">
        <f>T79/M79</f>
        <v>0.97731239092495636</v>
      </c>
      <c r="T79" s="7">
        <f>40+16</f>
        <v>56</v>
      </c>
      <c r="U79" s="32">
        <f>V79/M79</f>
        <v>6.2</v>
      </c>
      <c r="V79" s="7">
        <f>(7.2-1)*M79</f>
        <v>355.26</v>
      </c>
      <c r="W79" s="7">
        <v>2</v>
      </c>
      <c r="X79" s="122">
        <f>AM79</f>
        <v>0</v>
      </c>
      <c r="Y79" s="32">
        <f>Z79/M79</f>
        <v>5.0436300174520072</v>
      </c>
      <c r="Z79" s="7">
        <f>2/3*J79-0.5*186</f>
        <v>289</v>
      </c>
      <c r="AA79" s="7">
        <f>MIN(R79/M79+0.5, V79/2/M79+0.5)</f>
        <v>1.5</v>
      </c>
      <c r="AB79" s="7">
        <f>R79/M79+0.5</f>
        <v>1.5</v>
      </c>
      <c r="AC79" s="7">
        <f>2040/510</f>
        <v>4</v>
      </c>
      <c r="AD79" s="7">
        <f>2040/510</f>
        <v>4</v>
      </c>
      <c r="AE79" s="7">
        <f>AD79+1</f>
        <v>5</v>
      </c>
      <c r="AF79" s="7">
        <f>M79*AE79^0.5</f>
        <v>128.12669511073796</v>
      </c>
      <c r="AG79" s="7">
        <f>I79</f>
        <v>583</v>
      </c>
      <c r="AH79" s="7">
        <v>25</v>
      </c>
      <c r="AI79" s="7">
        <f>(445+445)/2</f>
        <v>445</v>
      </c>
      <c r="AJ79" s="7"/>
      <c r="AK79" s="4">
        <f>CX79</f>
        <v>2.5661833156764882</v>
      </c>
      <c r="AL79" s="7">
        <v>0</v>
      </c>
      <c r="AM79" s="7">
        <v>0</v>
      </c>
      <c r="AN79" s="7">
        <f>K79</f>
        <v>573</v>
      </c>
      <c r="AO79" s="7"/>
      <c r="AP79" s="7"/>
      <c r="AQ79" s="7">
        <f>3*AR79/(V79+M79)</f>
        <v>4.166666666666667</v>
      </c>
      <c r="AR79" s="4">
        <f>J79</f>
        <v>573</v>
      </c>
      <c r="AS79" s="4">
        <f>IF(J79*3&gt;V79+M79, P79, (R79+M79/2)*2+1.5*J79*(2*W79-2))*(3*J79)/(9*J79^2)</f>
        <v>0.34</v>
      </c>
      <c r="AT79" s="4">
        <f>MIN(10*L79^0.5*J79^1.5,100*3.9*L79^0.5*J79^(5/3))/(PI()/4*M79^2)/W79</f>
        <v>233.220102499962</v>
      </c>
      <c r="AU79" s="4">
        <f>MIN(0.7+0.3*(MIN(R79,Z79)+0.5*M79)/1.5/J79,1)</f>
        <v>0.73</v>
      </c>
      <c r="AV79" s="4">
        <v>1.25</v>
      </c>
      <c r="AW79" s="4">
        <f>AW78</f>
        <v>5</v>
      </c>
      <c r="AX79" s="38">
        <f>AS79*AU79*AV79*AW79*AT79</f>
        <v>361.78268400306604</v>
      </c>
      <c r="AY79" s="38">
        <f>AX79</f>
        <v>361.78268400306604</v>
      </c>
      <c r="AZ79" s="38">
        <f>IF(L79&lt;50, 0.3*L79^(2/3), 2.12*LN(1+0.1*(L79+8)))</f>
        <v>4.7705058587582929</v>
      </c>
      <c r="BA79" s="38">
        <f>AW79* (L79^0.5/AR79^0.5)/(PI()/4*M79^2)/W79/0.72 *(0.7+(MIN(R79,Z79)+0.5*M79)/5/J79) *(3*P79*J79)</f>
        <v>361.7826840030657</v>
      </c>
      <c r="BB79" s="38">
        <f>AX79/BA79</f>
        <v>1.0000000000000009</v>
      </c>
      <c r="BC79" s="38">
        <f>BG79/BA79</f>
        <v>1.2753512547772745</v>
      </c>
      <c r="BD79" s="4">
        <f>IF(BC79&lt;1,1,0)</f>
        <v>0</v>
      </c>
      <c r="BE79" s="4">
        <f>K79/M79*L79^0.5/0.19</f>
        <v>461.54023722934221</v>
      </c>
      <c r="BF79" s="4">
        <f>MIN(0.6+0.4*(AB79/AA79),2)</f>
        <v>1</v>
      </c>
      <c r="BG79" s="38">
        <f>2*L79*AA79*AC79^0.5*BF79*0.7/0.7</f>
        <v>461.40000000000003</v>
      </c>
      <c r="BH79" s="4">
        <f>MAX(1-0.7*AD79/5,0.3)</f>
        <v>0.44000000000000006</v>
      </c>
      <c r="BI79" s="4">
        <f>BH79*I79*K79/(I79*M79/2.75/L79^0.5)</f>
        <v>106.10810053902577</v>
      </c>
      <c r="BJ79" s="4">
        <f>BG79+BI79</f>
        <v>567.5081005390258</v>
      </c>
      <c r="BL79" s="4">
        <f>MIN(1.5, 0.75+0.25*MIN(3,MAX(1,R79/M79))+0.4*MIN(1,(40*2*PI()*AL79^2/4/AN79/W79)/M79))</f>
        <v>1</v>
      </c>
      <c r="BM79" s="4">
        <f>(3*O79+30)*BL79*L79^0.5</f>
        <v>526.15587044145013</v>
      </c>
      <c r="BO79" s="4">
        <f>3.4/PI()^0.5*L79*AA79*AD79^0.5*BF79</f>
        <v>442.53902554318915</v>
      </c>
      <c r="BP79" s="4">
        <f>8/3*AG79*AH79^2/(AF79-M79-22)/M79*(AF79^2-M79^2)/(AF79^2-(M79+22)^2)</f>
        <v>450.3525339151019</v>
      </c>
      <c r="BQ79" s="4">
        <f>BP79/BO79</f>
        <v>1.0176560888891599</v>
      </c>
      <c r="BY79" s="4">
        <f>IF(V79=0,R79,MIN(V79/2,R79))</f>
        <v>57.3</v>
      </c>
      <c r="CC79" s="9"/>
      <c r="CE79" s="9"/>
      <c r="CF79" s="9"/>
      <c r="CG79" s="9">
        <f>IF(V79=0,MIN(R79,T79),MIN(V79/2,R79,T79))</f>
        <v>56</v>
      </c>
      <c r="CH79" s="9">
        <f>MAX(V79/2,R79)</f>
        <v>177.63</v>
      </c>
      <c r="CI79" s="9">
        <f>(CG79/M79)^0.5*(CH79/CG79)^0.15</f>
        <v>1.1754818988273255</v>
      </c>
      <c r="CJ79" s="70">
        <v>0</v>
      </c>
      <c r="CK79" s="9">
        <f>MIN(PI()*AL79^2/4*AM79*2/W79/M79/MAX(0.01,AN79),0.05)</f>
        <v>0</v>
      </c>
      <c r="CL79" s="9">
        <f>MAX(0,CJ79*(CK79-0.5/50))</f>
        <v>0</v>
      </c>
      <c r="CM79" s="9">
        <f>MIN(1,(25/M79)^0.3)</f>
        <v>0.77971450958075206</v>
      </c>
      <c r="CN79" s="9">
        <f>IF(I79&gt;=800,0.68,IF(I79&gt;=700,0.75-(I79-700)*0.07/100,IF(I79&gt;=600,0.85-(I79-600)*0.1/100,IF(I79&gt;=500,1-(I79-500)*0.15/100,1.2-(I79-400)*0.2/100))))</f>
        <v>0.87549999999999994</v>
      </c>
      <c r="CO79" s="9">
        <f>1.75*CM79*CN79*(L79/25)^0.5</f>
        <v>2.0951879162491376</v>
      </c>
      <c r="CP79" s="9">
        <f>MIN((CI79+CL79)*CO79,2.5*CO79,L79^0.5)</f>
        <v>2.4628554701926038</v>
      </c>
      <c r="CQ79" s="9">
        <v>1</v>
      </c>
      <c r="CR79" s="9">
        <f>4*CP79*O79+60*CP79</f>
        <v>246.28554701926038</v>
      </c>
      <c r="CT79" s="4">
        <f>AI79/BE79</f>
        <v>0.96416295721336365</v>
      </c>
      <c r="CU79" s="4">
        <f>AI79/BJ79</f>
        <v>0.78412977643373516</v>
      </c>
      <c r="CV79" s="4">
        <f>AI79/BM79</f>
        <v>0.8457569800117225</v>
      </c>
      <c r="CW79" s="4">
        <f>AI79/CR79</f>
        <v>1.8068457746941986</v>
      </c>
      <c r="CX79" s="4">
        <f>AI79/DY79</f>
        <v>2.5661833156764882</v>
      </c>
      <c r="CY79" s="4">
        <f>AI79/EK79</f>
        <v>1.1264315123772384</v>
      </c>
      <c r="CZ79" s="4">
        <f>AI79/GH79</f>
        <v>1.5278471025630567</v>
      </c>
      <c r="DB79" s="4">
        <f>CT79</f>
        <v>0.96416295721336365</v>
      </c>
      <c r="DC79" s="4">
        <f>CU79</f>
        <v>0.78412977643373516</v>
      </c>
      <c r="DD79" s="4">
        <f>CW79</f>
        <v>1.8068457746941986</v>
      </c>
      <c r="DE79" s="4">
        <f>CZ79</f>
        <v>1.5278471025630567</v>
      </c>
      <c r="DF79" s="4">
        <f>CX79</f>
        <v>2.5661833156764882</v>
      </c>
      <c r="DG79" s="4">
        <f>CY79</f>
        <v>1.1264315123772384</v>
      </c>
      <c r="DO79" s="4">
        <f>AM79</f>
        <v>0</v>
      </c>
      <c r="DP79" s="4">
        <f>K79</f>
        <v>573</v>
      </c>
      <c r="DS79" s="4">
        <f>J79/4/(1-0.3*(L79/30)^0.5)/200000/M79</f>
        <v>2.4052911710985851E-5</v>
      </c>
      <c r="DT79" s="4">
        <f>EO79</f>
        <v>7.2046859751136969</v>
      </c>
      <c r="DU79" s="4">
        <f>EB79*AF79/257/L79/AC79</f>
        <v>0</v>
      </c>
      <c r="DV79" s="4">
        <f>DT79*DU79^0.4</f>
        <v>0</v>
      </c>
      <c r="DW79" s="4">
        <f>MIN(DT79, DT79/1.4*(1-DU79^1.4)/(1-DU79))</f>
        <v>5.1462042679383551</v>
      </c>
      <c r="DX79" s="4">
        <f>MAX(DT79/2, (4-DS79*(8*AF79*(DV79-DW79)+6*J79*DW79))/(4+DS79*J79*DT79)*DT79)</f>
        <v>6.505220180244792</v>
      </c>
      <c r="DY79" s="38">
        <f>MIN(1/M79*(4*AF79*(DV79-DW79)+(3*DW79+DX79)*J79)+EB79 -FI79,MAX(I79,AI79))</f>
        <v>173.40927956375972</v>
      </c>
      <c r="DZ79" s="4">
        <f>DY79/FE79</f>
        <v>0.96058130335928493</v>
      </c>
      <c r="EA79" s="4">
        <f>AF79/M79</f>
        <v>2.2360679774997898</v>
      </c>
      <c r="EB79" s="4">
        <f>MIN(EA$10*BA79)</f>
        <v>0</v>
      </c>
      <c r="EF79" s="4">
        <f>IF(T79&gt;1*M79,0.85,1)</f>
        <v>1</v>
      </c>
      <c r="EG79" s="4">
        <f>MIN(1,MAX(0.7,(1-0.1*(BY79-1*M79)/M79)))</f>
        <v>1</v>
      </c>
      <c r="EH79" s="4">
        <f>MIN(1,MAX(0.7,1-0.3*(PI()*AL79^2/4*AP79*2-0.25*PI()/4*M79^2)/(PI()/4*M79^2)))</f>
        <v>1</v>
      </c>
      <c r="EI79" s="4">
        <f>IF(EG79*EH79&lt;0.7,0.7,EG79*EH79)</f>
        <v>1</v>
      </c>
      <c r="EK79" s="4">
        <f>MIN(DT79/M79*3*J79+EL79-FI79,MAX(I79,AI79))</f>
        <v>395.05286838155405</v>
      </c>
      <c r="EL79" s="25">
        <f>13.3*P79*J79^0.5*L79^0.5/W79/M79^2*(0.7+R79/5/J79)</f>
        <v>178.9122891281431</v>
      </c>
      <c r="EO79" s="4">
        <f>IF(M79&lt;22.2,1.1*5*(L79/30)^0.5,IF(M79&gt;=31.8,0.9*5*(L79/30)^0.5,1*5*(L79/30)^0.5))/EF79/EI79</f>
        <v>7.2046859751136969</v>
      </c>
      <c r="ER79" s="4">
        <f>ES79*M79</f>
        <v>128.12669511073796</v>
      </c>
      <c r="ES79" s="4">
        <f>AE79^0.5</f>
        <v>2.2360679774997898</v>
      </c>
      <c r="ET79" s="4">
        <f>MIN(EB79)/(4700*L79^0.5)/AD79*ER79</f>
        <v>0</v>
      </c>
      <c r="EW79" s="4">
        <f>ET79</f>
        <v>0</v>
      </c>
      <c r="EX79" s="4">
        <f>MIN(0.999, EW79/(0.3*(L79/30)^0.5))</f>
        <v>0</v>
      </c>
      <c r="EY79" s="4">
        <f>EO79/1*EX79^0.4</f>
        <v>0</v>
      </c>
      <c r="EZ79" s="4">
        <f>EO79/1.4*(1-EX79^1.4)/(1-EX79)</f>
        <v>5.1462042679383551</v>
      </c>
      <c r="FA79" s="4">
        <f>MAX(0,DP79*FA$9-ER79)</f>
        <v>0</v>
      </c>
      <c r="FB79" s="4">
        <f>MAX(0,DP79-ER79-FA79)</f>
        <v>444.87330488926204</v>
      </c>
      <c r="FC79" s="4">
        <f>FB79/(1-0.3*(L79/30)^0.5)/200000/M79</f>
        <v>7.4698068586917337E-5</v>
      </c>
      <c r="FD79" s="4">
        <f>MAX(0.5*EO79, (1-2*FC79*(ER79*EY79+FA79*EZ79))/(1/EO79+FC79*FB79))</f>
        <v>5.812948683565045</v>
      </c>
      <c r="FE79" s="4">
        <f>MIN(4/M79*(1*EY79*ER79+EZ79*FA79+FB79*FD79)+EB79,MAX(I79,AI79))</f>
        <v>180.52535371792436</v>
      </c>
      <c r="FN79" s="23">
        <f>IF(CT79&lt;0.6,0.6,IF(CT79&lt;0.8,0.8,IF(CT79&lt;1,1,IF(CT79&lt;1.2,1.2,IF(CT79&lt;1.4,1.4,IF(CT79&lt;1.6,1.6,IF(CT79&lt;1.8,1.8,IF(CT79&lt;2,2,2.2))))))))</f>
        <v>1</v>
      </c>
      <c r="FO79" s="23">
        <f>IF(CU79&lt;0.6,0.6,IF(CU79&lt;0.8,0.8,IF(CU79&lt;1,1,IF(CU79&lt;1.2,1.2,IF(CU79&lt;1.4,1.4,IF(CU79&lt;1.6,1.6,IF(CU79&lt;1.8,1.8,IF(CU79&lt;2,2,2.2))))))))</f>
        <v>0.8</v>
      </c>
      <c r="FP79" s="23">
        <f>IF(CZ79&lt;0.6,0.6,IF(CZ79&lt;0.8,0.8,IF(CZ79&lt;1,1,IF(CZ79&lt;1.2,1.2,IF(CZ79&lt;1.4,1.4,IF(CZ79&lt;1.6,1.6,IF(CZ79&lt;1.8,1.8,IF(CZ79&lt;2,2,2.2))))))))</f>
        <v>1.6</v>
      </c>
      <c r="FQ79" s="23">
        <f>IF(CW79&lt;0.6,0.6,IF(CW79&lt;0.8,0.8,IF(CW79&lt;1,1,IF(CW79&lt;1.2,1.2,IF(CW79&lt;1.4,1.4,IF(CW79&lt;1.6,1.6,IF(CW79&lt;1.8,1.8,IF(CW79&lt;2,2,2.2))))))))</f>
        <v>2</v>
      </c>
      <c r="FR79" s="23">
        <f>IF(CX79&lt;0.6,0.6,IF(CX79&lt;0.8,0.8,IF(CX79&lt;1,1,IF(CX79&lt;1.2,1.2,IF(CX79&lt;1.4,1.4,IF(CX79&lt;1.6,1.6,IF(CX79&lt;1.8,1.8,IF(CX79&lt;2,2,2.2))))))))</f>
        <v>2.2000000000000002</v>
      </c>
      <c r="FS79" s="23">
        <f>IF(CY79&lt;0.6,0.6,IF(CY79&lt;0.8,0.8,IF(CY79&lt;1,1,IF(CY79&lt;1.2,1.2,IF(CY79&lt;1.4,1.4,IF(CY79&lt;1.6,1.6,IF(CY79&lt;1.8,1.8,IF(CY79&lt;2,2,2.2))))))))</f>
        <v>1.2</v>
      </c>
      <c r="FT79" s="23">
        <f>IF(FR79&lt;1,1,0)</f>
        <v>0</v>
      </c>
      <c r="FU79" s="23"/>
      <c r="GE79" s="4">
        <f>IF(R79&gt;=2.5*25.4,1,1.25)</f>
        <v>1.25</v>
      </c>
      <c r="GF79" s="4">
        <f>IF(AN79&gt;1, 0.05*(18-MIN(8,(V79+M79)/M79))*(1-48000/MAX(60000,(I79*145))*(M79/25.4)^0.75*GG79), 1/12*(14-MIN(8,(V79+M79)/M79)))</f>
        <v>0.54</v>
      </c>
      <c r="GG79" s="4">
        <f>MIN(0.3, AL79^2*PI()/4*2*AO79/(M79^2*PI()/4*W79))</f>
        <v>0</v>
      </c>
      <c r="GH79" s="4">
        <f>(J79/25.4)/(M79/25.4)^1.5/0.0024*(L79*145)^0.25/GE79/GF79/145</f>
        <v>291.25951101617784</v>
      </c>
    </row>
    <row r="80" spans="1:190" s="4" customFormat="1" ht="12" customHeight="1" x14ac:dyDescent="0.3">
      <c r="A80" s="25">
        <v>151</v>
      </c>
      <c r="B80" s="24" t="s">
        <v>128</v>
      </c>
      <c r="C80" s="24">
        <v>2017</v>
      </c>
      <c r="D80" s="24" t="s">
        <v>309</v>
      </c>
      <c r="E80" s="24"/>
      <c r="F80" s="109" t="s">
        <v>814</v>
      </c>
      <c r="G80" s="44" t="s">
        <v>181</v>
      </c>
      <c r="H80" s="5">
        <f t="shared" si="0"/>
        <v>0.88432763124545621</v>
      </c>
      <c r="I80" s="72">
        <v>606</v>
      </c>
      <c r="J80" s="7">
        <f>10*M80</f>
        <v>430</v>
      </c>
      <c r="K80" s="7">
        <f>J80</f>
        <v>430</v>
      </c>
      <c r="L80" s="80">
        <v>52.2</v>
      </c>
      <c r="M80" s="88">
        <v>43</v>
      </c>
      <c r="N80" s="7">
        <f>J80/M80</f>
        <v>10</v>
      </c>
      <c r="O80" s="7">
        <f>K80/M80</f>
        <v>10</v>
      </c>
      <c r="P80" s="7">
        <f>V80+2*R80+2*M80</f>
        <v>541.79999999999995</v>
      </c>
      <c r="Q80" s="32">
        <f>R80/M80</f>
        <v>1</v>
      </c>
      <c r="R80" s="7">
        <f>1*M80</f>
        <v>43</v>
      </c>
      <c r="S80" s="32">
        <f>T80/M80</f>
        <v>1.3023255813953489</v>
      </c>
      <c r="T80" s="7">
        <f>40+16</f>
        <v>56</v>
      </c>
      <c r="U80" s="32">
        <f>V80/M80</f>
        <v>8.6</v>
      </c>
      <c r="V80" s="7">
        <f>(9.6-1)*M80</f>
        <v>369.8</v>
      </c>
      <c r="W80" s="7">
        <v>2</v>
      </c>
      <c r="X80" s="122">
        <f>AM80</f>
        <v>1</v>
      </c>
      <c r="Y80" s="32">
        <f>Z80/M80</f>
        <v>5.2131782945736429</v>
      </c>
      <c r="Z80" s="7">
        <f>2/3*J80-0.5*125</f>
        <v>224.16666666666663</v>
      </c>
      <c r="AA80" s="7">
        <f>MIN(R80/M80+0.5, V80/2/M80+0.5)</f>
        <v>1.5</v>
      </c>
      <c r="AB80" s="7">
        <f>R80/M80+0.5</f>
        <v>1.5</v>
      </c>
      <c r="AC80" s="7">
        <f>2040/510</f>
        <v>4</v>
      </c>
      <c r="AD80" s="7">
        <f>2040/510</f>
        <v>4</v>
      </c>
      <c r="AE80" s="7">
        <f>AD80+1</f>
        <v>5</v>
      </c>
      <c r="AF80" s="7">
        <f>M80*AE80^0.5</f>
        <v>96.150923032490965</v>
      </c>
      <c r="AG80" s="7">
        <f>I80</f>
        <v>606</v>
      </c>
      <c r="AH80" s="7">
        <v>19</v>
      </c>
      <c r="AI80" s="7">
        <f>(489+498)/2</f>
        <v>493.5</v>
      </c>
      <c r="AJ80" s="7"/>
      <c r="AK80" s="4">
        <f>CX80</f>
        <v>2.873158375561168</v>
      </c>
      <c r="AL80" s="7">
        <v>15.9</v>
      </c>
      <c r="AM80" s="7">
        <v>1</v>
      </c>
      <c r="AN80" s="7">
        <v>370</v>
      </c>
      <c r="AO80" s="7">
        <v>2</v>
      </c>
      <c r="AP80" s="7">
        <f>AM80</f>
        <v>1</v>
      </c>
      <c r="AQ80" s="7">
        <f>3*AR80/(V80+M80)</f>
        <v>3.125</v>
      </c>
      <c r="AR80" s="4">
        <f>J80</f>
        <v>430</v>
      </c>
      <c r="AS80" s="4">
        <f>IF(J80*3&gt;V80+M80, P80, (R80+M80/2)*2+1.5*J80*(2*W80-2))*(3*J80)/(9*J80^2)</f>
        <v>0.41999999999999993</v>
      </c>
      <c r="AT80" s="4">
        <f>MIN(10*L80^0.5*J80^1.5,100*3.9*L80^0.5*J80^(5/3))/(PI()/4*M80^2)/W80</f>
        <v>221.8100126942922</v>
      </c>
      <c r="AU80" s="4">
        <f>MIN(0.7+0.3*(MIN(R80,Z80)+0.5*M80)/1.5/J80,1)</f>
        <v>0.73</v>
      </c>
      <c r="AV80" s="4">
        <v>1.25</v>
      </c>
      <c r="AW80" s="4">
        <f>AW78</f>
        <v>5</v>
      </c>
      <c r="AX80" s="38">
        <f>AS80*AU80*AV80*AW80*AT80</f>
        <v>425.04343682543731</v>
      </c>
      <c r="AY80" s="38">
        <f>AX80</f>
        <v>425.04343682543731</v>
      </c>
      <c r="AZ80" s="38">
        <f>IF(L80&lt;50, 0.3*L80^(2/3), 2.12*LN(1+0.1*(L80+8)))</f>
        <v>4.1313780222399661</v>
      </c>
      <c r="BA80" s="38">
        <f>AW80* (L80^0.5/AR80^0.5)/(PI()/4*M80^2)/W80/0.72 *(0.7+(MIN(R80,Z80)+0.5*M80)/5/J80) *(3*P80*J80)</f>
        <v>425.04343682543782</v>
      </c>
      <c r="BB80" s="38">
        <f>AX80/BA80</f>
        <v>0.99999999999999878</v>
      </c>
      <c r="BC80" s="38">
        <f>BG80/BA80</f>
        <v>0.73686586561417478</v>
      </c>
      <c r="BD80" s="4">
        <f>IF(BC80&lt;1,1,0)</f>
        <v>1</v>
      </c>
      <c r="BE80" s="4">
        <f>K80/M80*L80^0.5/0.19</f>
        <v>380.26088143554614</v>
      </c>
      <c r="BF80" s="4">
        <f>MIN(0.6+0.4*(AB80/AA80),2)</f>
        <v>1</v>
      </c>
      <c r="BG80" s="38">
        <f>2*L80*AA80*AC80^0.5*BF80*0.7/0.7</f>
        <v>313.20000000000005</v>
      </c>
      <c r="BH80" s="4">
        <f>MAX(1-0.7*AD80/5,0.3)</f>
        <v>0.44000000000000006</v>
      </c>
      <c r="BI80" s="4">
        <f>BH80*I80*K80/(I80*M80/2.75/L80^0.5)</f>
        <v>87.421976642032064</v>
      </c>
      <c r="BJ80" s="4">
        <f>BG80+BI80</f>
        <v>400.62197664203211</v>
      </c>
      <c r="BL80" s="4">
        <f>MIN(1.5, 0.75+0.25*MIN(3,MAX(1,R80/M80))+0.4*MIN(1,(40*2*PI()*AL80^2/4/AN80/W80)/M80))</f>
        <v>1.1996797080462691</v>
      </c>
      <c r="BM80" s="4">
        <f>(3*O80+30)*BL80*L80^0.5</f>
        <v>520.05804007309484</v>
      </c>
      <c r="BO80" s="4">
        <f>3.4/PI()^0.5*L80*AA80*AD80^0.5*BF80</f>
        <v>300.39710186416738</v>
      </c>
      <c r="BP80" s="4">
        <f>8/3*AG80*AH80^2/(AF80-M80-22)/M80*(AF80^2-M80^2)/(AF80^2-(M80+22)^2)</f>
        <v>641.65616063635548</v>
      </c>
      <c r="BQ80" s="4">
        <f>BP80/BO80</f>
        <v>2.1360264684793715</v>
      </c>
      <c r="BY80" s="4">
        <f>IF(V80=0,R80,MIN(V80/2,R80))</f>
        <v>43</v>
      </c>
      <c r="CC80" s="9"/>
      <c r="CE80" s="9"/>
      <c r="CF80" s="9"/>
      <c r="CG80" s="9">
        <f>IF(V80=0,MIN(R80,T80),MIN(V80/2,R80,T80))</f>
        <v>43</v>
      </c>
      <c r="CH80" s="9">
        <f>MAX(V80/2,R80)</f>
        <v>184.9</v>
      </c>
      <c r="CI80" s="9">
        <f>(CG80/M80)^0.5*(CH80/CG80)^0.15</f>
        <v>1.2445726940891169</v>
      </c>
      <c r="CJ80" s="70">
        <v>20</v>
      </c>
      <c r="CK80" s="9">
        <f>MIN(PI()*AL80^2/4*AM80*2/W80/M80/MAX(0.01,AN80),0.05)</f>
        <v>1.2479981752891823E-2</v>
      </c>
      <c r="CL80" s="9">
        <f>MAX(0,CJ80*(CK80-0.5/50))</f>
        <v>4.9599635057836454E-2</v>
      </c>
      <c r="CM80" s="9">
        <f>MIN(1,(25/M80)^0.3)</f>
        <v>0.84984840943171969</v>
      </c>
      <c r="CN80" s="9">
        <f>IF(I80&gt;=800,0.68,IF(I80&gt;=700,0.75-(I80-700)*0.07/100,IF(I80&gt;=600,0.85-(I80-600)*0.1/100,IF(I80&gt;=500,1-(I80-500)*0.15/100,1.2-(I80-400)*0.2/100))))</f>
        <v>0.84399999999999997</v>
      </c>
      <c r="CO80" s="9">
        <f>1.75*CM80*CN80*(L80/25)^0.5</f>
        <v>1.8137908571660144</v>
      </c>
      <c r="CP80" s="9">
        <f>MIN((CI80+CL80)*CO80,2.5*CO80,L80^0.5)</f>
        <v>2.3473579382039897</v>
      </c>
      <c r="CQ80" s="9">
        <v>1</v>
      </c>
      <c r="CR80" s="9">
        <f>4*CP80*O80+60*CP80</f>
        <v>234.73579382039895</v>
      </c>
      <c r="CT80" s="4">
        <f>AI80/BE80</f>
        <v>1.2977932364143214</v>
      </c>
      <c r="CU80" s="4">
        <f>AI80/BJ80</f>
        <v>1.2318345691778092</v>
      </c>
      <c r="CV80" s="4">
        <f>AI80/BM80</f>
        <v>0.94893254593398446</v>
      </c>
      <c r="CW80" s="4">
        <f>AI80/CR80</f>
        <v>2.1023636487990696</v>
      </c>
      <c r="CX80" s="4">
        <f>AI80/DY80</f>
        <v>2.873158375561168</v>
      </c>
      <c r="CY80" s="4">
        <f>AI80/EK80</f>
        <v>1.1716971921552939</v>
      </c>
      <c r="CZ80" s="4">
        <f>AI80/GH80</f>
        <v>1.1653373728318932</v>
      </c>
      <c r="DH80" s="4">
        <f>CT80</f>
        <v>1.2977932364143214</v>
      </c>
      <c r="DI80" s="4">
        <f>CU80</f>
        <v>1.2318345691778092</v>
      </c>
      <c r="DJ80" s="4">
        <f>CW80</f>
        <v>2.1023636487990696</v>
      </c>
      <c r="DK80" s="4">
        <f>CZ80</f>
        <v>1.1653373728318932</v>
      </c>
      <c r="DL80" s="4">
        <f>CX80</f>
        <v>2.873158375561168</v>
      </c>
      <c r="DM80" s="4">
        <f>CY80</f>
        <v>1.1716971921552939</v>
      </c>
      <c r="DO80" s="4">
        <f>AM80</f>
        <v>1</v>
      </c>
      <c r="DP80" s="4">
        <f>K80</f>
        <v>430</v>
      </c>
      <c r="DS80" s="4">
        <f>J80/4/(1-0.3*(L80/30)^0.5)/200000/M80</f>
        <v>2.068602055294326E-5</v>
      </c>
      <c r="DT80" s="4">
        <f>EO80</f>
        <v>7.0329098169215492</v>
      </c>
      <c r="DU80" s="4">
        <f>EB80*AF80/257/L80/AC80</f>
        <v>0</v>
      </c>
      <c r="DV80" s="4">
        <f>DT80*DU80^0.4</f>
        <v>0</v>
      </c>
      <c r="DW80" s="4">
        <f>MIN(DT80, DT80/1.4*(1-DU80^1.4)/(1-DU80))</f>
        <v>5.0235070120868208</v>
      </c>
      <c r="DX80" s="4">
        <f>MAX(DT80/2, (4-DS80*(8*AF80*(DV80-DW80)+6*J80*DW80))/(4+DS80*J80*DT80)*DT80)</f>
        <v>6.5988601064999299</v>
      </c>
      <c r="DY80" s="38">
        <f>MIN(1/M80*(4*AF80*(DV80-DW80)+(3*DW80+DX80)*J80)+EB80 -FI80,MAX(I80,AI80))</f>
        <v>171.76219876971194</v>
      </c>
      <c r="DZ80" s="4">
        <f>DY80/FE80</f>
        <v>0.90503238539054087</v>
      </c>
      <c r="EA80" s="4">
        <f>AF80/M80</f>
        <v>2.2360679774997898</v>
      </c>
      <c r="EB80" s="4">
        <f>MIN(EA$10*BA80)</f>
        <v>0</v>
      </c>
      <c r="EF80" s="4">
        <f>IF(T80&gt;1*M80,0.85,1)</f>
        <v>0.85</v>
      </c>
      <c r="EG80" s="4">
        <f>MIN(1,MAX(0.7,(1-0.1*(BY80-1*M80)/M80)))</f>
        <v>1</v>
      </c>
      <c r="EH80" s="4">
        <f>MIN(1,MAX(0.7,1-0.3*(PI()*AL80^2/4*AP80*2-0.25*PI()/4*M80^2)/(PI()/4*M80^2)))</f>
        <v>0.99296322336398057</v>
      </c>
      <c r="EI80" s="4">
        <f>IF(EG80*EH80&lt;0.7,0.7,EG80*EH80)</f>
        <v>0.99296322336398057</v>
      </c>
      <c r="EK80" s="4">
        <f>MIN(DT80/M80*3*J80+EL80-FI80,MAX(I80,AI80))</f>
        <v>421.183905964838</v>
      </c>
      <c r="EL80" s="25">
        <f>13.3*P80*J80^0.5*L80^0.5/W80/M80^2*(0.7+R80/5/J80)</f>
        <v>210.19661145719158</v>
      </c>
      <c r="EO80" s="4">
        <f>IF(M80&lt;22.2,1.1*5*(L80/30)^0.5,IF(M80&gt;=31.8,0.9*5*(L80/30)^0.5,1*5*(L80/30)^0.5))/EF80/EI80</f>
        <v>7.0329098169215492</v>
      </c>
      <c r="ER80" s="4">
        <f>ES80*M80</f>
        <v>96.150923032490965</v>
      </c>
      <c r="ES80" s="4">
        <f>AE80^0.5</f>
        <v>2.2360679774997898</v>
      </c>
      <c r="ET80" s="4">
        <f>MIN(EB80)/(4700*L80^0.5)/AD80*ER80</f>
        <v>0</v>
      </c>
      <c r="EW80" s="4">
        <f>ET80</f>
        <v>0</v>
      </c>
      <c r="EX80" s="4">
        <f>MIN(0.999, EW80/(0.3*(L80/30)^0.5))</f>
        <v>0</v>
      </c>
      <c r="EY80" s="4">
        <f>EO80/1*EX80^0.4</f>
        <v>0</v>
      </c>
      <c r="EZ80" s="4">
        <f>EO80/1.4*(1-EX80^1.4)/(1-EX80)</f>
        <v>5.0235070120868208</v>
      </c>
      <c r="FA80" s="4">
        <f>MAX(0,DP80*FA$9-ER80)</f>
        <v>0</v>
      </c>
      <c r="FB80" s="4">
        <f>MAX(0,DP80-ER80-FA80)</f>
        <v>333.84907696750906</v>
      </c>
      <c r="FC80" s="4">
        <f>FB80/(1-0.3*(L80/30)^0.5)/200000/M80</f>
        <v>6.4241942955637466E-5</v>
      </c>
      <c r="FD80" s="4">
        <f>MAX(0.5*EO80, (1-2*FC80*(ER80*EY80+FA80*EZ80))/(1/EO80+FC80*FB80))</f>
        <v>6.111133276431115</v>
      </c>
      <c r="FE80" s="4">
        <f>MIN(4/M80*(1*EY80*ER80+EZ80*FA80+FB80*FD80)+EB80,MAX(I80,AI80))</f>
        <v>189.78569335460065</v>
      </c>
      <c r="FN80" s="23">
        <f>IF(CT80&lt;0.6,0.6,IF(CT80&lt;0.8,0.8,IF(CT80&lt;1,1,IF(CT80&lt;1.2,1.2,IF(CT80&lt;1.4,1.4,IF(CT80&lt;1.6,1.6,IF(CT80&lt;1.8,1.8,IF(CT80&lt;2,2,2.2))))))))</f>
        <v>1.4</v>
      </c>
      <c r="FO80" s="23">
        <f>IF(CU80&lt;0.6,0.6,IF(CU80&lt;0.8,0.8,IF(CU80&lt;1,1,IF(CU80&lt;1.2,1.2,IF(CU80&lt;1.4,1.4,IF(CU80&lt;1.6,1.6,IF(CU80&lt;1.8,1.8,IF(CU80&lt;2,2,2.2))))))))</f>
        <v>1.4</v>
      </c>
      <c r="FP80" s="23">
        <f>IF(CZ80&lt;0.6,0.6,IF(CZ80&lt;0.8,0.8,IF(CZ80&lt;1,1,IF(CZ80&lt;1.2,1.2,IF(CZ80&lt;1.4,1.4,IF(CZ80&lt;1.6,1.6,IF(CZ80&lt;1.8,1.8,IF(CZ80&lt;2,2,2.2))))))))</f>
        <v>1.2</v>
      </c>
      <c r="FQ80" s="23">
        <f>IF(CW80&lt;0.6,0.6,IF(CW80&lt;0.8,0.8,IF(CW80&lt;1,1,IF(CW80&lt;1.2,1.2,IF(CW80&lt;1.4,1.4,IF(CW80&lt;1.6,1.6,IF(CW80&lt;1.8,1.8,IF(CW80&lt;2,2,2.2))))))))</f>
        <v>2.2000000000000002</v>
      </c>
      <c r="FR80" s="23">
        <f>IF(CX80&lt;0.6,0.6,IF(CX80&lt;0.8,0.8,IF(CX80&lt;1,1,IF(CX80&lt;1.2,1.2,IF(CX80&lt;1.4,1.4,IF(CX80&lt;1.6,1.6,IF(CX80&lt;1.8,1.8,IF(CX80&lt;2,2,2.2))))))))</f>
        <v>2.2000000000000002</v>
      </c>
      <c r="FS80" s="23">
        <f>IF(CY80&lt;0.6,0.6,IF(CY80&lt;0.8,0.8,IF(CY80&lt;1,1,IF(CY80&lt;1.2,1.2,IF(CY80&lt;1.4,1.4,IF(CY80&lt;1.6,1.6,IF(CY80&lt;1.8,1.8,IF(CY80&lt;2,2,2.2))))))))</f>
        <v>1.2</v>
      </c>
      <c r="FT80" s="23">
        <f>IF(FR80&lt;1,1,0)</f>
        <v>0</v>
      </c>
      <c r="FU80" s="23"/>
      <c r="GE80" s="4">
        <f>IF(R80&gt;=2.5*25.4,1,1.25)</f>
        <v>1.25</v>
      </c>
      <c r="GF80" s="4">
        <f>IF(AN80&gt;1, 0.05*(18-MIN(8,(V80+M80)/M80))*(1-48000/MAX(60000,(I80*145))*(M80/25.4)^0.75*GG80), 1/12*(14-MIN(8,(V80+M80)/M80)))</f>
        <v>0.38915043257609383</v>
      </c>
      <c r="GG80" s="4">
        <f>MIN(0.3, AL80^2*PI()/4*2*AO80/(M80^2*PI()/4*W80))</f>
        <v>0.27345592212006492</v>
      </c>
      <c r="GH80" s="4">
        <f>(J80/25.4)/(M80/25.4)^1.5/0.0024*(L80*145)^0.25/GE80/GF80/145</f>
        <v>423.48251373826855</v>
      </c>
    </row>
    <row r="81" spans="1:195" s="4" customFormat="1" ht="12" customHeight="1" x14ac:dyDescent="0.3">
      <c r="A81" s="25">
        <v>150</v>
      </c>
      <c r="B81" s="24" t="s">
        <v>128</v>
      </c>
      <c r="C81" s="24">
        <v>2017</v>
      </c>
      <c r="D81" s="24" t="s">
        <v>309</v>
      </c>
      <c r="E81" s="24"/>
      <c r="F81" s="109" t="s">
        <v>814</v>
      </c>
      <c r="G81" s="44" t="s">
        <v>158</v>
      </c>
      <c r="H81" s="5">
        <f t="shared" si="0"/>
        <v>0.88432763124545621</v>
      </c>
      <c r="I81" s="72">
        <v>606</v>
      </c>
      <c r="J81" s="7">
        <f>10*M81</f>
        <v>430</v>
      </c>
      <c r="K81" s="7">
        <f>J81</f>
        <v>430</v>
      </c>
      <c r="L81" s="80">
        <v>52.2</v>
      </c>
      <c r="M81" s="88">
        <v>43</v>
      </c>
      <c r="N81" s="7">
        <f>J81/M81</f>
        <v>10</v>
      </c>
      <c r="O81" s="7">
        <f>K81/M81</f>
        <v>10</v>
      </c>
      <c r="P81" s="7">
        <f>V81+2*R81+2*M81</f>
        <v>541.79999999999995</v>
      </c>
      <c r="Q81" s="32">
        <f>R81/M81</f>
        <v>1</v>
      </c>
      <c r="R81" s="7">
        <f>1*M81</f>
        <v>43</v>
      </c>
      <c r="S81" s="32">
        <f>T81/M81</f>
        <v>1.3023255813953489</v>
      </c>
      <c r="T81" s="7">
        <f>40+16</f>
        <v>56</v>
      </c>
      <c r="U81" s="32">
        <f>V81/M81</f>
        <v>8.6</v>
      </c>
      <c r="V81" s="7">
        <f>(9.6-1)*M81</f>
        <v>369.8</v>
      </c>
      <c r="W81" s="7">
        <v>2</v>
      </c>
      <c r="X81" s="122">
        <f>AM81</f>
        <v>0</v>
      </c>
      <c r="Y81" s="32">
        <f>Z81/M81</f>
        <v>5.2131782945736429</v>
      </c>
      <c r="Z81" s="7">
        <f>2/3*J81-0.5*125</f>
        <v>224.16666666666663</v>
      </c>
      <c r="AA81" s="7">
        <f>MIN(R81/M81+0.5, V81/2/M81+0.5)</f>
        <v>1.5</v>
      </c>
      <c r="AB81" s="7">
        <f>R81/M81+0.5</f>
        <v>1.5</v>
      </c>
      <c r="AC81" s="7">
        <f>2040/510</f>
        <v>4</v>
      </c>
      <c r="AD81" s="7">
        <f>2040/510</f>
        <v>4</v>
      </c>
      <c r="AE81" s="7">
        <f>AD81+1</f>
        <v>5</v>
      </c>
      <c r="AF81" s="7">
        <f>M81*AE81^0.5</f>
        <v>96.150923032490965</v>
      </c>
      <c r="AG81" s="7">
        <f>I81</f>
        <v>606</v>
      </c>
      <c r="AH81" s="7">
        <v>19</v>
      </c>
      <c r="AI81" s="7">
        <f>(437+437)/2</f>
        <v>437</v>
      </c>
      <c r="AJ81" s="7"/>
      <c r="AK81" s="4">
        <f>CX81</f>
        <v>2.561796587160563</v>
      </c>
      <c r="AL81" s="7">
        <v>0</v>
      </c>
      <c r="AM81" s="7">
        <v>0</v>
      </c>
      <c r="AN81" s="7">
        <f>K81</f>
        <v>430</v>
      </c>
      <c r="AO81" s="7"/>
      <c r="AP81" s="7"/>
      <c r="AQ81" s="7">
        <f>3*AR81/(V81+M81)</f>
        <v>3.125</v>
      </c>
      <c r="AR81" s="4">
        <f>J81</f>
        <v>430</v>
      </c>
      <c r="AS81" s="4">
        <f>IF(J81*3&gt;V81+M81, P81, (R81+M81/2)*2+1.5*J81*(2*W81-2))*(3*J81)/(9*J81^2)</f>
        <v>0.41999999999999993</v>
      </c>
      <c r="AT81" s="4">
        <f>MIN(10*L81^0.5*J81^1.5,100*3.9*L81^0.5*J81^(5/3))/(PI()/4*M81^2)/W81</f>
        <v>221.8100126942922</v>
      </c>
      <c r="AU81" s="4">
        <f>MIN(0.7+0.3*(MIN(R81,Z81)+0.5*M81)/1.5/J81,1)</f>
        <v>0.73</v>
      </c>
      <c r="AV81" s="4">
        <v>1.25</v>
      </c>
      <c r="AW81" s="4">
        <f>AW79</f>
        <v>5</v>
      </c>
      <c r="AX81" s="38">
        <f>AS81*AU81*AV81*AW81*AT81</f>
        <v>425.04343682543731</v>
      </c>
      <c r="AY81" s="38">
        <f>AX81</f>
        <v>425.04343682543731</v>
      </c>
      <c r="AZ81" s="38">
        <f>IF(L81&lt;50, 0.3*L81^(2/3), 2.12*LN(1+0.1*(L81+8)))</f>
        <v>4.1313780222399661</v>
      </c>
      <c r="BA81" s="38">
        <f>AW81* (L81^0.5/AR81^0.5)/(PI()/4*M81^2)/W81/0.72 *(0.7+(MIN(R81,Z81)+0.5*M81)/5/J81) *(3*P81*J81)</f>
        <v>425.04343682543782</v>
      </c>
      <c r="BB81" s="38">
        <f>AX81/BA81</f>
        <v>0.99999999999999878</v>
      </c>
      <c r="BC81" s="38">
        <f>BG81/BA81</f>
        <v>0.73686586561417478</v>
      </c>
      <c r="BD81" s="4">
        <f>IF(BC81&lt;1,1,0)</f>
        <v>1</v>
      </c>
      <c r="BE81" s="4">
        <f>K81/M81*L81^0.5/0.19</f>
        <v>380.26088143554614</v>
      </c>
      <c r="BF81" s="4">
        <f>MIN(0.6+0.4*(AB81/AA81),2)</f>
        <v>1</v>
      </c>
      <c r="BG81" s="38">
        <f>2*L81*AA81*AC81^0.5*BF81*0.7/0.7</f>
        <v>313.20000000000005</v>
      </c>
      <c r="BH81" s="4">
        <f>MAX(1-0.7*AD81/5,0.3)</f>
        <v>0.44000000000000006</v>
      </c>
      <c r="BI81" s="4">
        <f>BH81*I81*K81/(I81*M81/2.75/L81^0.5)</f>
        <v>87.421976642032064</v>
      </c>
      <c r="BJ81" s="4">
        <f>BG81+BI81</f>
        <v>400.62197664203211</v>
      </c>
      <c r="BL81" s="4">
        <f>MIN(1.5, 0.75+0.25*MIN(3,MAX(1,R81/M81))+0.4*MIN(1,(40*2*PI()*AL81^2/4/AN81/W81)/M81))</f>
        <v>1</v>
      </c>
      <c r="BM81" s="4">
        <f>(3*O81+30)*BL81*L81^0.5</f>
        <v>433.49740483652266</v>
      </c>
      <c r="BO81" s="4">
        <f>3.4/PI()^0.5*L81*AA81*AD81^0.5*BF81</f>
        <v>300.39710186416738</v>
      </c>
      <c r="BP81" s="4">
        <f>8/3*AG81*AH81^2/(AF81-M81-22)/M81*(AF81^2-M81^2)/(AF81^2-(M81+22)^2)</f>
        <v>641.65616063635548</v>
      </c>
      <c r="BQ81" s="4">
        <f>BP81/BO81</f>
        <v>2.1360264684793715</v>
      </c>
      <c r="BY81" s="4">
        <f>IF(V81=0,R81,MIN(V81/2,R81))</f>
        <v>43</v>
      </c>
      <c r="CC81" s="9"/>
      <c r="CE81" s="9"/>
      <c r="CF81" s="9"/>
      <c r="CG81" s="9">
        <f>IF(V81=0,MIN(R81,T81),MIN(V81/2,R81,T81))</f>
        <v>43</v>
      </c>
      <c r="CH81" s="9">
        <f>MAX(V81/2,R81)</f>
        <v>184.9</v>
      </c>
      <c r="CI81" s="9">
        <f>(CG81/M81)^0.5*(CH81/CG81)^0.15</f>
        <v>1.2445726940891169</v>
      </c>
      <c r="CJ81" s="70">
        <v>0</v>
      </c>
      <c r="CK81" s="9">
        <f>MIN(PI()*AL81^2/4*AM81*2/W81/M81/MAX(0.01,AN81),0.05)</f>
        <v>0</v>
      </c>
      <c r="CL81" s="9">
        <f>MAX(0,CJ81*(CK81-0.5/50))</f>
        <v>0</v>
      </c>
      <c r="CM81" s="9">
        <f>MIN(1,(25/M81)^0.3)</f>
        <v>0.84984840943171969</v>
      </c>
      <c r="CN81" s="9">
        <f>IF(I81&gt;=800,0.68,IF(I81&gt;=700,0.75-(I81-700)*0.07/100,IF(I81&gt;=600,0.85-(I81-600)*0.1/100,IF(I81&gt;=500,1-(I81-500)*0.15/100,1.2-(I81-400)*0.2/100))))</f>
        <v>0.84399999999999997</v>
      </c>
      <c r="CO81" s="9">
        <f>1.75*CM81*CN81*(L81/25)^0.5</f>
        <v>1.8137908571660144</v>
      </c>
      <c r="CP81" s="9">
        <f>MIN((CI81+CL81)*CO81,2.5*CO81,L81^0.5)</f>
        <v>2.2573945736173151</v>
      </c>
      <c r="CQ81" s="9">
        <v>1</v>
      </c>
      <c r="CR81" s="9">
        <f>4*CP81*O81+60*CP81</f>
        <v>225.7394573617315</v>
      </c>
      <c r="CT81" s="4">
        <f>AI81/BE81</f>
        <v>1.1492110320426716</v>
      </c>
      <c r="CU81" s="4">
        <f>AI81/BJ81</f>
        <v>1.0908038636893671</v>
      </c>
      <c r="CV81" s="4">
        <f>AI81/BM81</f>
        <v>1.00807985266901</v>
      </c>
      <c r="CW81" s="4">
        <f>AI81/CR81</f>
        <v>1.9358600623361049</v>
      </c>
      <c r="CX81" s="4">
        <f>AI81/DY81</f>
        <v>2.561796587160563</v>
      </c>
      <c r="CY81" s="4">
        <f>AI81/EK81</f>
        <v>1.0412218156152346</v>
      </c>
      <c r="CZ81" s="4">
        <f>AI81/GH81</f>
        <v>1.3258623595815355</v>
      </c>
      <c r="DB81" s="4">
        <f>CT81</f>
        <v>1.1492110320426716</v>
      </c>
      <c r="DC81" s="4">
        <f>CU81</f>
        <v>1.0908038636893671</v>
      </c>
      <c r="DD81" s="4">
        <f>CW81</f>
        <v>1.9358600623361049</v>
      </c>
      <c r="DE81" s="4">
        <f>CZ81</f>
        <v>1.3258623595815355</v>
      </c>
      <c r="DF81" s="4">
        <f>CX81</f>
        <v>2.561796587160563</v>
      </c>
      <c r="DG81" s="4">
        <f>CY81</f>
        <v>1.0412218156152346</v>
      </c>
      <c r="DO81" s="4">
        <f>AM81</f>
        <v>0</v>
      </c>
      <c r="DP81" s="4">
        <f>K81</f>
        <v>430</v>
      </c>
      <c r="DS81" s="4">
        <f>J81/4/(1-0.3*(L81/30)^0.5)/200000/M81</f>
        <v>2.068602055294326E-5</v>
      </c>
      <c r="DT81" s="4">
        <f>EO81</f>
        <v>6.9834208014386041</v>
      </c>
      <c r="DU81" s="4">
        <f>EB81*AF81/257/L81/AC81</f>
        <v>0</v>
      </c>
      <c r="DV81" s="4">
        <f>DT81*DU81^0.4</f>
        <v>0</v>
      </c>
      <c r="DW81" s="4">
        <f>MIN(DT81, DT81/1.4*(1-DU81^1.4)/(1-DU81))</f>
        <v>4.9881577153132888</v>
      </c>
      <c r="DX81" s="4">
        <f>MAX(DT81/2, (4-DS81*(8*AF81*(DV81-DW81)+6*J81*DW81))/(4+DS81*J81*DT81)*DT81)</f>
        <v>6.5554118427136325</v>
      </c>
      <c r="DY81" s="38">
        <f>MIN(1/M81*(4*AF81*(DV81-DW81)+(3*DW81+DX81)*J81)+EB81 -FI81,MAX(I81,AI81))</f>
        <v>170.58341095081278</v>
      </c>
      <c r="DZ81" s="4">
        <f>DY81/FE81</f>
        <v>0.90435601666318777</v>
      </c>
      <c r="EA81" s="4">
        <f>AF81/M81</f>
        <v>2.2360679774997898</v>
      </c>
      <c r="EB81" s="4">
        <f>MIN(EA$10*BA81)</f>
        <v>0</v>
      </c>
      <c r="EF81" s="4">
        <f>IF(T81&gt;1*M81,0.85,1)</f>
        <v>0.85</v>
      </c>
      <c r="EG81" s="4">
        <f>MIN(1,MAX(0.7,(1-0.1*(BY81-1*M81)/M81)))</f>
        <v>1</v>
      </c>
      <c r="EH81" s="4">
        <f>MIN(1,MAX(0.7,1-0.3*(PI()*AL81^2/4*AP81*2-0.25*PI()/4*M81^2)/(PI()/4*M81^2)))</f>
        <v>1</v>
      </c>
      <c r="EI81" s="4">
        <f>IF(EG81*EH81&lt;0.7,0.7,EG81*EH81)</f>
        <v>1</v>
      </c>
      <c r="EK81" s="4">
        <f>MIN(DT81/M81*3*J81+EL81-FI81,MAX(I81,AI81))</f>
        <v>419.69923550034969</v>
      </c>
      <c r="EL81" s="25">
        <f>13.3*P81*J81^0.5*L81^0.5/W81/M81^2*(0.7+R81/5/J81)</f>
        <v>210.19661145719158</v>
      </c>
      <c r="EO81" s="4">
        <f>IF(M81&lt;22.2,1.1*5*(L81/30)^0.5,IF(M81&gt;=31.8,0.9*5*(L81/30)^0.5,1*5*(L81/30)^0.5))/EF81/EI81</f>
        <v>6.9834208014386041</v>
      </c>
      <c r="ER81" s="4">
        <f>ES81*M81</f>
        <v>96.150923032490965</v>
      </c>
      <c r="ES81" s="4">
        <f>AE81^0.5</f>
        <v>2.2360679774997898</v>
      </c>
      <c r="ET81" s="4">
        <f>MIN(EB81)/(4700*L81^0.5)/AD81*ER81</f>
        <v>0</v>
      </c>
      <c r="EW81" s="4">
        <f>ET81</f>
        <v>0</v>
      </c>
      <c r="EX81" s="4">
        <f>MIN(0.999, EW81/(0.3*(L81/30)^0.5))</f>
        <v>0</v>
      </c>
      <c r="EY81" s="4">
        <f>EO81/1*EX81^0.4</f>
        <v>0</v>
      </c>
      <c r="EZ81" s="4">
        <f>EO81/1.4*(1-EX81^1.4)/(1-EX81)</f>
        <v>4.9881577153132888</v>
      </c>
      <c r="FA81" s="4">
        <f>MAX(0,DP81*FA$9-ER81)</f>
        <v>0</v>
      </c>
      <c r="FB81" s="4">
        <f>MAX(0,DP81-ER81-FA81)</f>
        <v>333.84907696750906</v>
      </c>
      <c r="FC81" s="4">
        <f>FB81/(1-0.3*(L81/30)^0.5)/200000/M81</f>
        <v>6.4241942955637466E-5</v>
      </c>
      <c r="FD81" s="4">
        <f>MAX(0.5*EO81, (1-2*FC81*(ER81*EY81+FA81*EZ81))/(1/EO81+FC81*FB81))</f>
        <v>6.0737322987412998</v>
      </c>
      <c r="FE81" s="4">
        <f>MIN(4/M81*(1*EY81*ER81+EZ81*FA81+FB81*FD81)+EB81,MAX(I81,AI81))</f>
        <v>188.62417876116558</v>
      </c>
      <c r="FN81" s="23">
        <f>IF(CT81&lt;0.6,0.6,IF(CT81&lt;0.8,0.8,IF(CT81&lt;1,1,IF(CT81&lt;1.2,1.2,IF(CT81&lt;1.4,1.4,IF(CT81&lt;1.6,1.6,IF(CT81&lt;1.8,1.8,IF(CT81&lt;2,2,2.2))))))))</f>
        <v>1.2</v>
      </c>
      <c r="FO81" s="23">
        <f>IF(CU81&lt;0.6,0.6,IF(CU81&lt;0.8,0.8,IF(CU81&lt;1,1,IF(CU81&lt;1.2,1.2,IF(CU81&lt;1.4,1.4,IF(CU81&lt;1.6,1.6,IF(CU81&lt;1.8,1.8,IF(CU81&lt;2,2,2.2))))))))</f>
        <v>1.2</v>
      </c>
      <c r="FP81" s="23">
        <f>IF(CZ81&lt;0.6,0.6,IF(CZ81&lt;0.8,0.8,IF(CZ81&lt;1,1,IF(CZ81&lt;1.2,1.2,IF(CZ81&lt;1.4,1.4,IF(CZ81&lt;1.6,1.6,IF(CZ81&lt;1.8,1.8,IF(CZ81&lt;2,2,2.2))))))))</f>
        <v>1.4</v>
      </c>
      <c r="FQ81" s="23">
        <f>IF(CW81&lt;0.6,0.6,IF(CW81&lt;0.8,0.8,IF(CW81&lt;1,1,IF(CW81&lt;1.2,1.2,IF(CW81&lt;1.4,1.4,IF(CW81&lt;1.6,1.6,IF(CW81&lt;1.8,1.8,IF(CW81&lt;2,2,2.2))))))))</f>
        <v>2</v>
      </c>
      <c r="FR81" s="23">
        <f>IF(CX81&lt;0.6,0.6,IF(CX81&lt;0.8,0.8,IF(CX81&lt;1,1,IF(CX81&lt;1.2,1.2,IF(CX81&lt;1.4,1.4,IF(CX81&lt;1.6,1.6,IF(CX81&lt;1.8,1.8,IF(CX81&lt;2,2,2.2))))))))</f>
        <v>2.2000000000000002</v>
      </c>
      <c r="FS81" s="23">
        <f>IF(CY81&lt;0.6,0.6,IF(CY81&lt;0.8,0.8,IF(CY81&lt;1,1,IF(CY81&lt;1.2,1.2,IF(CY81&lt;1.4,1.4,IF(CY81&lt;1.6,1.6,IF(CY81&lt;1.8,1.8,IF(CY81&lt;2,2,2.2))))))))</f>
        <v>1.2</v>
      </c>
      <c r="FT81" s="23">
        <f>IF(FR81&lt;1,1,0)</f>
        <v>0</v>
      </c>
      <c r="FU81" s="23"/>
      <c r="GE81" s="4">
        <f>IF(R81&gt;=2.5*25.4,1,1.25)</f>
        <v>1.25</v>
      </c>
      <c r="GF81" s="4">
        <f>IF(AN81&gt;1, 0.05*(18-MIN(8,(V81+M81)/M81))*(1-48000/MAX(60000,(I81*145))*(M81/25.4)^0.75*GG81), 1/12*(14-MIN(8,(V81+M81)/M81)))</f>
        <v>0.5</v>
      </c>
      <c r="GG81" s="4">
        <f>MIN(0.3, AL81^2*PI()/4*2*AO81/(M81^2*PI()/4*W81))</f>
        <v>0</v>
      </c>
      <c r="GH81" s="4">
        <f>(J81/25.4)/(M81/25.4)^1.5/0.0024*(L81*145)^0.25/GE81/GF81/145</f>
        <v>329.59680681931764</v>
      </c>
    </row>
    <row r="82" spans="1:195" s="4" customFormat="1" ht="12" customHeight="1" x14ac:dyDescent="0.3">
      <c r="A82" s="25">
        <v>152</v>
      </c>
      <c r="B82" s="24" t="s">
        <v>128</v>
      </c>
      <c r="C82" s="24">
        <v>2017</v>
      </c>
      <c r="D82" s="24" t="s">
        <v>309</v>
      </c>
      <c r="E82" s="24"/>
      <c r="F82" s="109" t="s">
        <v>814</v>
      </c>
      <c r="G82" s="4" t="s">
        <v>159</v>
      </c>
      <c r="H82" s="5">
        <f t="shared" si="0"/>
        <v>1.1029503379259544</v>
      </c>
      <c r="I82" s="72">
        <v>606</v>
      </c>
      <c r="J82" s="7">
        <f>10*M82</f>
        <v>430</v>
      </c>
      <c r="K82" s="7">
        <f>J82</f>
        <v>430</v>
      </c>
      <c r="L82" s="84">
        <v>81.2</v>
      </c>
      <c r="M82" s="88">
        <v>43</v>
      </c>
      <c r="N82" s="7">
        <f>J82/M82</f>
        <v>10</v>
      </c>
      <c r="O82" s="7">
        <f>K82/M82</f>
        <v>10</v>
      </c>
      <c r="P82" s="7">
        <f>V82+2*R82+2*M82</f>
        <v>541.79999999999995</v>
      </c>
      <c r="Q82" s="32">
        <f>R82/M82</f>
        <v>1</v>
      </c>
      <c r="R82" s="7">
        <f>1*M82</f>
        <v>43</v>
      </c>
      <c r="S82" s="32">
        <f>T82/M82</f>
        <v>1.3023255813953489</v>
      </c>
      <c r="T82" s="7">
        <f>40+16</f>
        <v>56</v>
      </c>
      <c r="U82" s="32">
        <f>V82/M82</f>
        <v>8.6</v>
      </c>
      <c r="V82" s="7">
        <f>(9.6-1)*M82</f>
        <v>369.8</v>
      </c>
      <c r="W82" s="7">
        <v>2</v>
      </c>
      <c r="X82" s="122">
        <f>AM82</f>
        <v>0</v>
      </c>
      <c r="Y82" s="32">
        <f>Z82/M82</f>
        <v>5.2131782945736429</v>
      </c>
      <c r="Z82" s="7">
        <f>2/3*J82-0.5*125</f>
        <v>224.16666666666663</v>
      </c>
      <c r="AA82" s="7">
        <f>MIN(R82/M82+0.5, V82/2/M82+0.5)</f>
        <v>1.5</v>
      </c>
      <c r="AB82" s="7">
        <f>R82/M82+0.5</f>
        <v>1.5</v>
      </c>
      <c r="AC82" s="7">
        <f>2040/510</f>
        <v>4</v>
      </c>
      <c r="AD82" s="7">
        <f>2040/510</f>
        <v>4</v>
      </c>
      <c r="AE82" s="7">
        <f>AD82+1</f>
        <v>5</v>
      </c>
      <c r="AF82" s="7">
        <f>M82*AE82^0.5</f>
        <v>96.150923032490965</v>
      </c>
      <c r="AG82" s="7">
        <f>I82</f>
        <v>606</v>
      </c>
      <c r="AH82" s="7">
        <v>19</v>
      </c>
      <c r="AI82" s="7">
        <f>(595+590)/2</f>
        <v>592.5</v>
      </c>
      <c r="AJ82" s="7"/>
      <c r="AK82" s="4">
        <f>CX82</f>
        <v>2.8186379853280812</v>
      </c>
      <c r="AL82" s="7">
        <v>0</v>
      </c>
      <c r="AM82" s="7">
        <v>0</v>
      </c>
      <c r="AN82" s="7">
        <f>K82</f>
        <v>430</v>
      </c>
      <c r="AO82" s="7"/>
      <c r="AP82" s="7"/>
      <c r="AQ82" s="7">
        <f>3*AR82/(V82+M82)</f>
        <v>3.125</v>
      </c>
      <c r="AR82" s="4">
        <f>J82</f>
        <v>430</v>
      </c>
      <c r="AS82" s="4">
        <f>IF(J82*3&gt;V82+M82, P82, (R82+M82/2)*2+1.5*J82*(2*W82-2))*(3*J82)/(9*J82^2)</f>
        <v>0.41999999999999993</v>
      </c>
      <c r="AT82" s="4">
        <f>MIN(10*L82^0.5*J82^1.5,100*3.9*L82^0.5*J82^(5/3))/(PI()/4*M82^2)/W82</f>
        <v>276.64569081934007</v>
      </c>
      <c r="AU82" s="4">
        <f>MIN(0.7+0.3*(MIN(R82,Z82)+0.5*M82)/1.5/J82,1)</f>
        <v>0.73</v>
      </c>
      <c r="AV82" s="4">
        <v>1.25</v>
      </c>
      <c r="AW82" s="4">
        <f>AW80</f>
        <v>5</v>
      </c>
      <c r="AX82" s="38">
        <f>AS82*AU82*AV82*AW82*AT82</f>
        <v>530.12230503256035</v>
      </c>
      <c r="AY82" s="38">
        <f>AX82</f>
        <v>530.12230503256035</v>
      </c>
      <c r="AZ82" s="38">
        <f>IF(L82&lt;50, 0.3*L82^(2/3), 2.12*LN(1+0.1*(L82+8)))</f>
        <v>4.8644521931491767</v>
      </c>
      <c r="BA82" s="38">
        <f>AW82* (L82^0.5/AR82^0.5)/(PI()/4*M82^2)/W82/0.72 *(0.7+(MIN(R82,Z82)+0.5*M82)/5/J82) *(3*P82*J82)</f>
        <v>530.1223050325608</v>
      </c>
      <c r="BB82" s="38">
        <f>AX82/BA82</f>
        <v>0.99999999999999911</v>
      </c>
      <c r="BC82" s="38">
        <f>BG82/BA82</f>
        <v>0.9190332030456172</v>
      </c>
      <c r="BD82" s="4">
        <f>IF(BC82&lt;1,1,0)</f>
        <v>1</v>
      </c>
      <c r="BE82" s="4">
        <f>K82/M82*L82^0.5/0.19</f>
        <v>474.26864530816039</v>
      </c>
      <c r="BF82" s="4">
        <f>MIN(0.6+0.4*(AB82/AA82),2)</f>
        <v>1</v>
      </c>
      <c r="BG82" s="38">
        <f>2*L82*AA82*AC82^0.5*BF82*0.7/0.7</f>
        <v>487.20000000000005</v>
      </c>
      <c r="BH82" s="4">
        <f>MAX(1-0.7*AD82/5,0.3)</f>
        <v>0.44000000000000006</v>
      </c>
      <c r="BI82" s="4">
        <f>BH82*I82*K82/(I82*M82/2.75/L82^0.5)</f>
        <v>109.03436155634607</v>
      </c>
      <c r="BJ82" s="4">
        <f>BG82+BI82</f>
        <v>596.23436155634613</v>
      </c>
      <c r="BL82" s="4">
        <f>MIN(1.5, 0.75+0.25*MIN(3,MAX(1,R82/M82))+0.4*MIN(1,(40*2*PI()*AL82^2/4/AN82/W82)/M82))</f>
        <v>1</v>
      </c>
      <c r="BM82" s="4">
        <f>(3*O82+30)*BL82*L82^0.5</f>
        <v>540.66625565130289</v>
      </c>
      <c r="BO82" s="4">
        <f>3.4/PI()^0.5*L82*AA82*AD82^0.5*BF82</f>
        <v>467.28438067759373</v>
      </c>
      <c r="BP82" s="4">
        <f>8/3*AG82*AH82^2/(AF82-M82-22)/M82*(AF82^2-M82^2)/(AF82^2-(M82+22)^2)</f>
        <v>641.65616063635548</v>
      </c>
      <c r="BQ82" s="4">
        <f>BP82/BO82</f>
        <v>1.3731598725938816</v>
      </c>
      <c r="BY82" s="4">
        <f>IF(V82=0,R82,MIN(V82/2,R82))</f>
        <v>43</v>
      </c>
      <c r="CC82" s="9"/>
      <c r="CE82" s="9"/>
      <c r="CF82" s="9"/>
      <c r="CG82" s="9">
        <f>IF(V82=0,MIN(R82,T82),MIN(V82/2,R82,T82))</f>
        <v>43</v>
      </c>
      <c r="CH82" s="9">
        <f>MAX(V82/2,R82)</f>
        <v>184.9</v>
      </c>
      <c r="CI82" s="9">
        <f>(CG82/M82)^0.5*(CH82/CG82)^0.15</f>
        <v>1.2445726940891169</v>
      </c>
      <c r="CJ82" s="70">
        <v>0</v>
      </c>
      <c r="CK82" s="9">
        <f>MIN(PI()*AL82^2/4*AM82*2/W82/M82/MAX(0.01,AN82),0.05)</f>
        <v>0</v>
      </c>
      <c r="CL82" s="9">
        <f>MAX(0,CJ82*(CK82-0.5/50))</f>
        <v>0</v>
      </c>
      <c r="CM82" s="9">
        <f>MIN(1,(25/M82)^0.3)</f>
        <v>0.84984840943171969</v>
      </c>
      <c r="CN82" s="9">
        <f>IF(I82&gt;=800,0.68,IF(I82&gt;=700,0.75-(I82-700)*0.07/100,IF(I82&gt;=600,0.85-(I82-600)*0.1/100,IF(I82&gt;=500,1-(I82-500)*0.15/100,1.2-(I82-400)*0.2/100))))</f>
        <v>0.84399999999999997</v>
      </c>
      <c r="CO82" s="9">
        <f>1.75*CM82*CN82*(L82/25)^0.5</f>
        <v>2.2621946529260857</v>
      </c>
      <c r="CP82" s="9">
        <f>MIN((CI82+CL82)*CO82,2.5*CO82,L82^0.5)</f>
        <v>2.815465693746213</v>
      </c>
      <c r="CQ82" s="9">
        <v>1</v>
      </c>
      <c r="CR82" s="9">
        <f>4*CP82*O82+60*CP82</f>
        <v>281.5465693746213</v>
      </c>
      <c r="CT82" s="4">
        <f>AI82/BE82</f>
        <v>1.2492919484799965</v>
      </c>
      <c r="CU82" s="4">
        <f>AI82/BJ82</f>
        <v>0.99373675554928043</v>
      </c>
      <c r="CV82" s="4">
        <f>AI82/BM82</f>
        <v>1.0958701302456109</v>
      </c>
      <c r="CW82" s="4">
        <f>AI82/CR82</f>
        <v>2.1044475921552754</v>
      </c>
      <c r="CX82" s="4">
        <f>AI82/DY82</f>
        <v>2.8186379853280812</v>
      </c>
      <c r="CY82" s="4">
        <f>AI82/EK82</f>
        <v>1.131898315070766</v>
      </c>
      <c r="CZ82" s="4">
        <f>AI82/GH82</f>
        <v>1.6096593536070971</v>
      </c>
      <c r="DB82" s="4">
        <f>CT82</f>
        <v>1.2492919484799965</v>
      </c>
      <c r="DC82" s="4">
        <f>CU82</f>
        <v>0.99373675554928043</v>
      </c>
      <c r="DD82" s="4">
        <f>CW82</f>
        <v>2.1044475921552754</v>
      </c>
      <c r="DE82" s="4">
        <f>CZ82</f>
        <v>1.6096593536070971</v>
      </c>
      <c r="DF82" s="4">
        <f>CX82</f>
        <v>2.8186379853280812</v>
      </c>
      <c r="DG82" s="4">
        <f>CY82</f>
        <v>1.131898315070766</v>
      </c>
      <c r="DO82" s="4">
        <f>AM82</f>
        <v>0</v>
      </c>
      <c r="DP82" s="4">
        <f>K82</f>
        <v>430</v>
      </c>
      <c r="DS82" s="4">
        <f>J82/4/(1-0.3*(L82/30)^0.5)/200000/M82</f>
        <v>2.4682021866243434E-5</v>
      </c>
      <c r="DT82" s="4">
        <f>EO82</f>
        <v>8.7098560088845165</v>
      </c>
      <c r="DU82" s="4">
        <f>EB82*AF82/257/L82/AC82</f>
        <v>0</v>
      </c>
      <c r="DV82" s="4">
        <f>DT82*DU82^0.4</f>
        <v>0</v>
      </c>
      <c r="DW82" s="4">
        <f>MIN(DT82, DT82/1.4*(1-DU82^1.4)/(1-DU82))</f>
        <v>6.221325720631798</v>
      </c>
      <c r="DX82" s="4">
        <f>MAX(DT82/2, (4-DS82*(8*AF82*(DV82-DW82)+6*J82*DW82))/(4+DS82*J82*DT82)*DT82)</f>
        <v>7.9213367287474252</v>
      </c>
      <c r="DY82" s="38">
        <f>MIN(1/M82*(4*AF82*(DV82-DW82)+(3*DW82+DX82)*J82)+EB82 -FI82,MAX(I82,AI82))</f>
        <v>210.20791002042597</v>
      </c>
      <c r="DZ82" s="4">
        <f>DY82/FE82</f>
        <v>0.95034760524073325</v>
      </c>
      <c r="EA82" s="4">
        <f>AF82/M82</f>
        <v>2.2360679774997898</v>
      </c>
      <c r="EB82" s="4">
        <f>MIN(EA$10*BA82)</f>
        <v>0</v>
      </c>
      <c r="EF82" s="4">
        <f>IF(T82&gt;1*M82,0.85,1)</f>
        <v>0.85</v>
      </c>
      <c r="EG82" s="4">
        <f>MIN(1,MAX(0.7,(1-0.1*(BY82-1*M82)/M82)))</f>
        <v>1</v>
      </c>
      <c r="EH82" s="4">
        <f>MIN(1,MAX(0.7,1-0.3*(PI()*AL82^2/4*AP82*2-0.25*PI()/4*M82^2)/(PI()/4*M82^2)))</f>
        <v>1</v>
      </c>
      <c r="EI82" s="4">
        <f>IF(EG82*EH82&lt;0.7,0.7,EG82*EH82)</f>
        <v>1</v>
      </c>
      <c r="EK82" s="4">
        <f>MIN(DT82/M82*3*J82+EL82-FI82,MAX(I82,AI82))</f>
        <v>523.45691491108641</v>
      </c>
      <c r="EL82" s="25">
        <f>13.3*P82*J82^0.5*L82^0.5/W82/M82^2*(0.7+R82/5/J82)</f>
        <v>262.16123464455097</v>
      </c>
      <c r="EO82" s="4">
        <f>IF(M82&lt;22.2,1.1*5*(L82/30)^0.5,IF(M82&gt;=31.8,0.9*5*(L82/30)^0.5,1*5*(L82/30)^0.5))/EF82/EI82</f>
        <v>8.7098560088845165</v>
      </c>
      <c r="ER82" s="4">
        <f>ES82*M82</f>
        <v>96.150923032490965</v>
      </c>
      <c r="ES82" s="4">
        <f>AE82^0.5</f>
        <v>2.2360679774997898</v>
      </c>
      <c r="ET82" s="4">
        <f>MIN(EB82)/(4700*L82^0.5)/AD82*ER82</f>
        <v>0</v>
      </c>
      <c r="EW82" s="4">
        <f>ET82</f>
        <v>0</v>
      </c>
      <c r="EX82" s="4">
        <f>MIN(0.999, EW82/(0.3*(L82/30)^0.5))</f>
        <v>0</v>
      </c>
      <c r="EY82" s="4">
        <f>EO82/1*EX82^0.4</f>
        <v>0</v>
      </c>
      <c r="EZ82" s="4">
        <f>EO82/1.4*(1-EX82^1.4)/(1-EX82)</f>
        <v>6.221325720631798</v>
      </c>
      <c r="FA82" s="4">
        <f>MAX(0,DP82*FA$9-ER82)</f>
        <v>0</v>
      </c>
      <c r="FB82" s="4">
        <f>MAX(0,DP82-ER82-FA82)</f>
        <v>333.84907696750906</v>
      </c>
      <c r="FC82" s="4">
        <f>FB82/(1-0.3*(L82/30)^0.5)/200000/M82</f>
        <v>7.6651815978951123E-5</v>
      </c>
      <c r="FD82" s="4">
        <f>MAX(0.5*EO82, (1-2*FC82*(ER82*EY82+FA82*EZ82))/(1/EO82+FC82*FB82))</f>
        <v>7.1223752961936553</v>
      </c>
      <c r="FE82" s="4">
        <f>MIN(4/M82*(1*EY82*ER82+EZ82*FA82+FB82*FD82)+EB82,MAX(I82,AI82))</f>
        <v>221.19055055352936</v>
      </c>
      <c r="FN82" s="23">
        <f>IF(CT82&lt;0.6,0.6,IF(CT82&lt;0.8,0.8,IF(CT82&lt;1,1,IF(CT82&lt;1.2,1.2,IF(CT82&lt;1.4,1.4,IF(CT82&lt;1.6,1.6,IF(CT82&lt;1.8,1.8,IF(CT82&lt;2,2,2.2))))))))</f>
        <v>1.4</v>
      </c>
      <c r="FO82" s="23">
        <f>IF(CU82&lt;0.6,0.6,IF(CU82&lt;0.8,0.8,IF(CU82&lt;1,1,IF(CU82&lt;1.2,1.2,IF(CU82&lt;1.4,1.4,IF(CU82&lt;1.6,1.6,IF(CU82&lt;1.8,1.8,IF(CU82&lt;2,2,2.2))))))))</f>
        <v>1</v>
      </c>
      <c r="FP82" s="23">
        <f>IF(CZ82&lt;0.6,0.6,IF(CZ82&lt;0.8,0.8,IF(CZ82&lt;1,1,IF(CZ82&lt;1.2,1.2,IF(CZ82&lt;1.4,1.4,IF(CZ82&lt;1.6,1.6,IF(CZ82&lt;1.8,1.8,IF(CZ82&lt;2,2,2.2))))))))</f>
        <v>1.8</v>
      </c>
      <c r="FQ82" s="23">
        <f>IF(CW82&lt;0.6,0.6,IF(CW82&lt;0.8,0.8,IF(CW82&lt;1,1,IF(CW82&lt;1.2,1.2,IF(CW82&lt;1.4,1.4,IF(CW82&lt;1.6,1.6,IF(CW82&lt;1.8,1.8,IF(CW82&lt;2,2,2.2))))))))</f>
        <v>2.2000000000000002</v>
      </c>
      <c r="FR82" s="23">
        <f>IF(CX82&lt;0.6,0.6,IF(CX82&lt;0.8,0.8,IF(CX82&lt;1,1,IF(CX82&lt;1.2,1.2,IF(CX82&lt;1.4,1.4,IF(CX82&lt;1.6,1.6,IF(CX82&lt;1.8,1.8,IF(CX82&lt;2,2,2.2))))))))</f>
        <v>2.2000000000000002</v>
      </c>
      <c r="FS82" s="23">
        <f>IF(CY82&lt;0.6,0.6,IF(CY82&lt;0.8,0.8,IF(CY82&lt;1,1,IF(CY82&lt;1.2,1.2,IF(CY82&lt;1.4,1.4,IF(CY82&lt;1.6,1.6,IF(CY82&lt;1.8,1.8,IF(CY82&lt;2,2,2.2))))))))</f>
        <v>1.2</v>
      </c>
      <c r="FT82" s="23">
        <f>IF(FR82&lt;1,1,0)</f>
        <v>0</v>
      </c>
      <c r="FU82" s="23"/>
      <c r="GE82" s="4">
        <f>IF(R82&gt;=2.5*25.4,1,1.25)</f>
        <v>1.25</v>
      </c>
      <c r="GF82" s="4">
        <f>IF(AN82&gt;1, 0.05*(18-MIN(8,(V82+M82)/M82))*(1-48000/MAX(60000,(I82*145))*(M82/25.4)^0.75*GG82), 1/12*(14-MIN(8,(V82+M82)/M82)))</f>
        <v>0.5</v>
      </c>
      <c r="GG82" s="4">
        <f>MIN(0.3, AL82^2*PI()/4*2*AO82/(M82^2*PI()/4*W82))</f>
        <v>0</v>
      </c>
      <c r="GH82" s="4">
        <f>(J82/25.4)/(M82/25.4)^1.5/0.0024*(L82*145)^0.25/GE82/GF82/145</f>
        <v>368.09030349947182</v>
      </c>
    </row>
    <row r="83" spans="1:195" s="4" customFormat="1" ht="12" customHeight="1" x14ac:dyDescent="0.3">
      <c r="A83" s="25">
        <v>148</v>
      </c>
      <c r="B83" s="24" t="s">
        <v>128</v>
      </c>
      <c r="C83" s="24">
        <v>2017</v>
      </c>
      <c r="D83" s="24" t="s">
        <v>309</v>
      </c>
      <c r="E83" s="24"/>
      <c r="F83" s="109" t="s">
        <v>815</v>
      </c>
      <c r="G83" s="4" t="s">
        <v>156</v>
      </c>
      <c r="H83" s="5">
        <f t="shared" si="0"/>
        <v>0.84712149194606012</v>
      </c>
      <c r="I83" s="72">
        <v>606</v>
      </c>
      <c r="J83" s="103">
        <f>7*M83</f>
        <v>301</v>
      </c>
      <c r="K83" s="7">
        <f>J83</f>
        <v>301</v>
      </c>
      <c r="L83" s="103">
        <v>47.9</v>
      </c>
      <c r="M83" s="88">
        <v>43</v>
      </c>
      <c r="N83" s="7">
        <f>J83/M83</f>
        <v>7</v>
      </c>
      <c r="O83" s="7">
        <f>K83/M83</f>
        <v>7</v>
      </c>
      <c r="P83" s="7">
        <f>V83+2*R83+2*M83</f>
        <v>541.79999999999995</v>
      </c>
      <c r="Q83" s="32">
        <f>R83/M83</f>
        <v>1</v>
      </c>
      <c r="R83" s="7">
        <f>1*M83</f>
        <v>43</v>
      </c>
      <c r="S83" s="32">
        <f>T83/M83</f>
        <v>1.3023255813953489</v>
      </c>
      <c r="T83" s="7">
        <f>40+16</f>
        <v>56</v>
      </c>
      <c r="U83" s="32">
        <f>V83/M83</f>
        <v>8.6</v>
      </c>
      <c r="V83" s="7">
        <f>(9.6-1)*M83</f>
        <v>369.8</v>
      </c>
      <c r="W83" s="7">
        <v>2</v>
      </c>
      <c r="X83" s="122">
        <f>AM83</f>
        <v>1</v>
      </c>
      <c r="Y83" s="32">
        <f>Z83/M83</f>
        <v>3.2131782945736433</v>
      </c>
      <c r="Z83" s="7">
        <f>2/3*J83-0.5*125</f>
        <v>138.16666666666666</v>
      </c>
      <c r="AA83" s="7">
        <f>MIN(R83/M83+0.5, V83/2/M83+0.5)</f>
        <v>1.5</v>
      </c>
      <c r="AB83" s="7">
        <f>R83/M83+0.5</f>
        <v>1.5</v>
      </c>
      <c r="AC83" s="7">
        <f>2040/510</f>
        <v>4</v>
      </c>
      <c r="AD83" s="7">
        <f>2040/510</f>
        <v>4</v>
      </c>
      <c r="AE83" s="7">
        <f>AD83+1</f>
        <v>5</v>
      </c>
      <c r="AF83" s="7">
        <f>M83*AE83^0.5</f>
        <v>96.150923032490965</v>
      </c>
      <c r="AG83" s="7">
        <f>I83</f>
        <v>606</v>
      </c>
      <c r="AH83" s="7">
        <v>19</v>
      </c>
      <c r="AI83" s="7">
        <f>(449+385)/2</f>
        <v>417</v>
      </c>
      <c r="AJ83" s="7"/>
      <c r="AK83" s="4">
        <f>CX83</f>
        <v>4.0090147752272518</v>
      </c>
      <c r="AL83" s="7">
        <v>15.9</v>
      </c>
      <c r="AM83" s="7">
        <v>1</v>
      </c>
      <c r="AN83" s="7">
        <v>370</v>
      </c>
      <c r="AO83" s="7">
        <v>2</v>
      </c>
      <c r="AP83" s="7">
        <f>AM83</f>
        <v>1</v>
      </c>
      <c r="AQ83" s="7">
        <f>3*AR83/(V83+M83)</f>
        <v>2.1875</v>
      </c>
      <c r="AR83" s="4">
        <f>J83</f>
        <v>301</v>
      </c>
      <c r="AS83" s="4">
        <f>IF(J83*3&gt;V83+M83, P83, (R83+M83/2)*2+1.5*J83*(2*W83-2))*(3*J83)/(9*J83^2)</f>
        <v>0.6</v>
      </c>
      <c r="AT83" s="4">
        <f>MIN(10*L83^0.5*J83^1.5,100*3.9*L83^0.5*J83^(5/3))/(PI()/4*M83^2)/W83</f>
        <v>124.44020328781106</v>
      </c>
      <c r="AU83" s="4">
        <f>MIN(0.7+0.3*(MIN(R83,Z83)+0.5*M83)/1.5/J83,1)</f>
        <v>0.74285714285714277</v>
      </c>
      <c r="AV83" s="4">
        <v>1.25</v>
      </c>
      <c r="AW83" s="4">
        <f>AW82</f>
        <v>5</v>
      </c>
      <c r="AX83" s="38">
        <f>AS83*AU83*AV83*AW83*AT83</f>
        <v>346.65485201604503</v>
      </c>
      <c r="AY83" s="38">
        <f>AX83</f>
        <v>346.65485201604503</v>
      </c>
      <c r="AZ83" s="38">
        <f>IF(L83&lt;50, 0.3*L83^(2/3), 2.12*LN(1+0.1*(L83+8)))</f>
        <v>3.9568075739830846</v>
      </c>
      <c r="BA83" s="38">
        <f>AW83* (L83^0.5/AR83^0.5)/(PI()/4*M83^2)/W83/0.72 *(0.7+(MIN(R83,Z83)+0.5*M83)/5/J83) *(3*P83*J83)</f>
        <v>346.65485201604554</v>
      </c>
      <c r="BB83" s="38">
        <f>AX83/BA83</f>
        <v>0.99999999999999856</v>
      </c>
      <c r="BC83" s="38">
        <f>BG83/BA83</f>
        <v>0.82906671673153776</v>
      </c>
      <c r="BD83" s="4">
        <f>IF(BC83&lt;1,1,0)</f>
        <v>1</v>
      </c>
      <c r="BE83" s="4">
        <f>K83/M83*L83^0.5/0.19</f>
        <v>254.98356907576408</v>
      </c>
      <c r="BF83" s="4">
        <f>MIN(0.6+0.4*(AB83/AA83),2)</f>
        <v>1</v>
      </c>
      <c r="BG83" s="38">
        <f>2*L83*AA83*AC83^0.5*BF83*0.7/0.7</f>
        <v>287.39999999999998</v>
      </c>
      <c r="BH83" s="4">
        <f>MAX(1-0.7*AD83/5,0.3)</f>
        <v>0.44000000000000006</v>
      </c>
      <c r="BI83" s="4">
        <f>BH83*I83*K83/(I83*M83/2.75/L83^0.5)</f>
        <v>58.620722530518172</v>
      </c>
      <c r="BJ83" s="4">
        <f>BG83+BI83</f>
        <v>346.02072253051813</v>
      </c>
      <c r="BL83" s="4">
        <f>MIN(1.5, 0.75+0.25*MIN(3,MAX(1,R83/M83))+0.4*MIN(1,(40*2*PI()*AL83^2/4/AN83/W83)/M83))</f>
        <v>1.1996797080462691</v>
      </c>
      <c r="BM83" s="4">
        <f>(3*O83+30)*BL83*L83^0.5</f>
        <v>423.451080972201</v>
      </c>
      <c r="BO83" s="4">
        <f>3.4/PI()^0.5*L83*AA83*AD83^0.5*BF83</f>
        <v>275.65174672976275</v>
      </c>
      <c r="BP83" s="4">
        <f>8/3*AG83*AH83^2/(AF83-M83-22)/M83*(AF83^2-M83^2)/(AF83^2-(M83+22)^2)</f>
        <v>641.65616063635548</v>
      </c>
      <c r="BQ83" s="4">
        <f>BP83/BO83</f>
        <v>2.3277783226434909</v>
      </c>
      <c r="BY83" s="4">
        <f>IF(V83=0,R83,MIN(V83/2,R83))</f>
        <v>43</v>
      </c>
      <c r="CC83" s="9"/>
      <c r="CE83" s="9"/>
      <c r="CF83" s="9"/>
      <c r="CG83" s="9">
        <f>IF(V83=0,MIN(R83,T83),MIN(V83/2,R83,T83))</f>
        <v>43</v>
      </c>
      <c r="CH83" s="9">
        <f>MAX(V83/2,R83)</f>
        <v>184.9</v>
      </c>
      <c r="CI83" s="9">
        <f>(CG83/M83)^0.5*(CH83/CG83)^0.15</f>
        <v>1.2445726940891169</v>
      </c>
      <c r="CJ83" s="70">
        <v>20</v>
      </c>
      <c r="CK83" s="9">
        <f>MIN(PI()*AL83^2/4*AM83*2/W83/M83/MAX(0.01,AN83),0.05)</f>
        <v>1.2479981752891823E-2</v>
      </c>
      <c r="CL83" s="9">
        <f>MAX(0,CJ83*(CK83-0.5/50))</f>
        <v>4.9599635057836454E-2</v>
      </c>
      <c r="CM83" s="9">
        <f>MIN(1,(25/M83)^0.3)</f>
        <v>0.84984840943171969</v>
      </c>
      <c r="CN83" s="9">
        <f>IF(I83&gt;=800,0.68,IF(I83&gt;=700,0.75-(I83-700)*0.07/100,IF(I83&gt;=600,0.85-(I83-600)*0.1/100,IF(I83&gt;=500,1-(I83-500)*0.15/100,1.2-(I83-400)*0.2/100))))</f>
        <v>0.84399999999999997</v>
      </c>
      <c r="CO83" s="9">
        <f>1.75*CM83*CN83*(L83/25)^0.5</f>
        <v>1.7374795977330737</v>
      </c>
      <c r="CP83" s="9">
        <f>MIN((CI83+CL83)*CO83,2.5*CO83,L83^0.5)</f>
        <v>2.2485980178435234</v>
      </c>
      <c r="CQ83" s="9">
        <v>1</v>
      </c>
      <c r="CR83" s="9">
        <f>4*CP83*O83+60*CP83</f>
        <v>197.87662557023009</v>
      </c>
      <c r="CT83" s="4">
        <f>AI83/BE83</f>
        <v>1.6353994946085937</v>
      </c>
      <c r="CU83" s="4">
        <f>AI83/BJ83</f>
        <v>1.2051301348381576</v>
      </c>
      <c r="CV83" s="4">
        <f>AI83/BM83</f>
        <v>0.98476546344529348</v>
      </c>
      <c r="CW83" s="4">
        <f>AI83/CR83</f>
        <v>2.1073737173267033</v>
      </c>
      <c r="CX83" s="4">
        <f>AI83/DY83</f>
        <v>4.0090147752272518</v>
      </c>
      <c r="CY83" s="4">
        <f>AI83/EK83</f>
        <v>1.336765961716297</v>
      </c>
      <c r="CZ83" s="4">
        <f>AI83/GH83</f>
        <v>1.4372631142025567</v>
      </c>
      <c r="DH83" s="4">
        <f>CT83</f>
        <v>1.6353994946085937</v>
      </c>
      <c r="DI83" s="4">
        <f>CU83</f>
        <v>1.2051301348381576</v>
      </c>
      <c r="DJ83" s="4">
        <f>CW83</f>
        <v>2.1073737173267033</v>
      </c>
      <c r="DK83" s="4">
        <f>CZ83</f>
        <v>1.4372631142025567</v>
      </c>
      <c r="DL83" s="4">
        <f>CX83</f>
        <v>4.0090147752272518</v>
      </c>
      <c r="DM83" s="4">
        <f>CY83</f>
        <v>1.336765961716297</v>
      </c>
      <c r="DO83" s="4">
        <f>AM83</f>
        <v>1</v>
      </c>
      <c r="DP83" s="4">
        <f>K83</f>
        <v>301</v>
      </c>
      <c r="DS83" s="4">
        <f>J83/4/(1-0.3*(L83/30)^0.5)/200000/M83</f>
        <v>1.4091943242647847E-5</v>
      </c>
      <c r="DT83" s="4">
        <f>EO83</f>
        <v>6.7370156108794408</v>
      </c>
      <c r="DU83" s="4">
        <f>EB83*AF83/257/L83/AC83</f>
        <v>0</v>
      </c>
      <c r="DV83" s="4">
        <f>DT83*DU83^0.4</f>
        <v>0</v>
      </c>
      <c r="DW83" s="4">
        <f>MIN(DT83, DT83/1.4*(1-DU83^1.4)/(1-DU83))</f>
        <v>4.8121540077710296</v>
      </c>
      <c r="DX83" s="4">
        <f>MAX(DT83/2, (4-DS83*(8*AF83*(DV83-DW83)+6*J83*DW83))/(4+DS83*J83*DT83)*DT83)</f>
        <v>6.5716514978573848</v>
      </c>
      <c r="DY83" s="38">
        <f>MIN(1/M83*(4*AF83*(DV83-DW83)+(3*DW83+DX83)*J83)+EB83 -FI83,MAX(I83,AI83))</f>
        <v>104.01558072989698</v>
      </c>
      <c r="DZ83" s="4">
        <f>DY83/FE83</f>
        <v>0.85311922160858966</v>
      </c>
      <c r="EA83" s="4">
        <f>AF83/M83</f>
        <v>2.2360679774997898</v>
      </c>
      <c r="EB83" s="4">
        <f>MIN(EA$10*BA83)</f>
        <v>0</v>
      </c>
      <c r="EF83" s="4">
        <f>IF(T83&gt;1*M83,0.85,1)</f>
        <v>0.85</v>
      </c>
      <c r="EG83" s="4">
        <f>MIN(1,MAX(0.7,(1-0.1*(BY83-1*M83)/M83)))</f>
        <v>1</v>
      </c>
      <c r="EH83" s="4">
        <f>MIN(1,MAX(0.7,1-0.3*(PI()*AL83^2/4*AP83*2-0.25*PI()/4*M83^2)/(PI()/4*M83^2)))</f>
        <v>0.99296322336398057</v>
      </c>
      <c r="EI83" s="4">
        <f>IF(EG83*EH83&lt;0.7,0.7,EG83*EH83)</f>
        <v>0.99296322336398057</v>
      </c>
      <c r="EK83" s="4">
        <f>MIN(DT83/M83*3*J83+EL83-FI83,MAX(I83,AI83))</f>
        <v>311.946901658542</v>
      </c>
      <c r="EL83" s="25">
        <f>13.3*P83*J83^0.5*L83^0.5/W83/M83^2*(0.7+R83/5/J83)</f>
        <v>170.46957383007376</v>
      </c>
      <c r="EO83" s="4">
        <f>IF(M83&lt;22.2,1.1*5*(L83/30)^0.5,IF(M83&gt;=31.8,0.9*5*(L83/30)^0.5,1*5*(L83/30)^0.5))/EF83/EI83</f>
        <v>6.7370156108794408</v>
      </c>
      <c r="ER83" s="4">
        <f>ES83*M83</f>
        <v>96.150923032490965</v>
      </c>
      <c r="ES83" s="4">
        <f>AE83^0.5</f>
        <v>2.2360679774997898</v>
      </c>
      <c r="ET83" s="4">
        <f>MIN(EB83)/(4700*L83^0.5)/AD83*ER83</f>
        <v>0</v>
      </c>
      <c r="EW83" s="4">
        <f>ET83</f>
        <v>0</v>
      </c>
      <c r="EX83" s="4">
        <f>MIN(0.999, EW83/(0.3*(L83/30)^0.5))</f>
        <v>0</v>
      </c>
      <c r="EY83" s="4">
        <f>EO83/1*EX83^0.4</f>
        <v>0</v>
      </c>
      <c r="EZ83" s="4">
        <f>EO83/1.4*(1-EX83^1.4)/(1-EX83)</f>
        <v>4.8121540077710296</v>
      </c>
      <c r="FA83" s="4">
        <f>MAX(0,DP83*FA$9-ER83)</f>
        <v>0</v>
      </c>
      <c r="FB83" s="4">
        <f>MAX(0,DP83-ER83-FA83)</f>
        <v>204.84907696750903</v>
      </c>
      <c r="FC83" s="4">
        <f>FB83/(1-0.3*(L83/30)^0.5)/200000/M83</f>
        <v>3.8361748384517444E-5</v>
      </c>
      <c r="FD83" s="4">
        <f>MAX(0.5*EO83, (1-2*FC83*(ER83*EY83+FA83*EZ83))/(1/EO83+FC83*FB83))</f>
        <v>6.3982782641993374</v>
      </c>
      <c r="FE83" s="4">
        <f>MIN(4/M83*(1*EY83*ER83+EZ83*FA83+FB83*FD83)+EB83,MAX(I83,AI83))</f>
        <v>121.92385084674513</v>
      </c>
      <c r="FN83" s="23">
        <f>IF(CT83&lt;0.6,0.6,IF(CT83&lt;0.8,0.8,IF(CT83&lt;1,1,IF(CT83&lt;1.2,1.2,IF(CT83&lt;1.4,1.4,IF(CT83&lt;1.6,1.6,IF(CT83&lt;1.8,1.8,IF(CT83&lt;2,2,2.2))))))))</f>
        <v>1.8</v>
      </c>
      <c r="FO83" s="23">
        <f>IF(CU83&lt;0.6,0.6,IF(CU83&lt;0.8,0.8,IF(CU83&lt;1,1,IF(CU83&lt;1.2,1.2,IF(CU83&lt;1.4,1.4,IF(CU83&lt;1.6,1.6,IF(CU83&lt;1.8,1.8,IF(CU83&lt;2,2,2.2))))))))</f>
        <v>1.4</v>
      </c>
      <c r="FP83" s="23">
        <f>IF(CZ83&lt;0.6,0.6,IF(CZ83&lt;0.8,0.8,IF(CZ83&lt;1,1,IF(CZ83&lt;1.2,1.2,IF(CZ83&lt;1.4,1.4,IF(CZ83&lt;1.6,1.6,IF(CZ83&lt;1.8,1.8,IF(CZ83&lt;2,2,2.2))))))))</f>
        <v>1.6</v>
      </c>
      <c r="FQ83" s="23">
        <f>IF(CW83&lt;0.6,0.6,IF(CW83&lt;0.8,0.8,IF(CW83&lt;1,1,IF(CW83&lt;1.2,1.2,IF(CW83&lt;1.4,1.4,IF(CW83&lt;1.6,1.6,IF(CW83&lt;1.8,1.8,IF(CW83&lt;2,2,2.2))))))))</f>
        <v>2.2000000000000002</v>
      </c>
      <c r="FR83" s="23">
        <f>IF(CX83&lt;0.6,0.6,IF(CX83&lt;0.8,0.8,IF(CX83&lt;1,1,IF(CX83&lt;1.2,1.2,IF(CX83&lt;1.4,1.4,IF(CX83&lt;1.6,1.6,IF(CX83&lt;1.8,1.8,IF(CX83&lt;2,2,2.2))))))))</f>
        <v>2.2000000000000002</v>
      </c>
      <c r="FS83" s="23">
        <f>IF(CY83&lt;0.6,0.6,IF(CY83&lt;0.8,0.8,IF(CY83&lt;1,1,IF(CY83&lt;1.2,1.2,IF(CY83&lt;1.4,1.4,IF(CY83&lt;1.6,1.6,IF(CY83&lt;1.8,1.8,IF(CY83&lt;2,2,2.2))))))))</f>
        <v>1.4</v>
      </c>
      <c r="FT83" s="23">
        <f>IF(FR83&lt;1,1,0)</f>
        <v>0</v>
      </c>
      <c r="FU83" s="23"/>
      <c r="GE83" s="4">
        <f>IF(R83&gt;=2.5*25.4,1,1.25)</f>
        <v>1.25</v>
      </c>
      <c r="GF83" s="4">
        <f>IF(AN83&gt;1, 0.05*(18-MIN(8,(V83+M83)/M83))*(1-48000/MAX(60000,(I83*145))*(M83/25.4)^0.75*GG83), 1/12*(14-MIN(8,(V83+M83)/M83)))</f>
        <v>0.38915043257609383</v>
      </c>
      <c r="GG83" s="4">
        <f>MIN(0.3, AL83^2*PI()/4*2*AO83/(M83^2*PI()/4*W83))</f>
        <v>0.27345592212006492</v>
      </c>
      <c r="GH83" s="4">
        <f>(J83/25.4)/(M83/25.4)^1.5/0.0024*(L83*145)^0.25/GE83/GF83/145</f>
        <v>290.13476786494033</v>
      </c>
    </row>
    <row r="84" spans="1:195" s="4" customFormat="1" ht="12" customHeight="1" x14ac:dyDescent="0.3">
      <c r="A84" s="25">
        <v>147</v>
      </c>
      <c r="B84" s="24" t="s">
        <v>128</v>
      </c>
      <c r="C84" s="24">
        <v>2017</v>
      </c>
      <c r="D84" s="24" t="s">
        <v>309</v>
      </c>
      <c r="E84" s="24"/>
      <c r="F84" s="109" t="s">
        <v>815</v>
      </c>
      <c r="G84" s="4" t="s">
        <v>759</v>
      </c>
      <c r="H84" s="5">
        <f t="shared" si="0"/>
        <v>0.84712149194606012</v>
      </c>
      <c r="I84" s="72">
        <v>606</v>
      </c>
      <c r="J84" s="103">
        <f>7*M84</f>
        <v>301</v>
      </c>
      <c r="K84" s="7">
        <f>J84</f>
        <v>301</v>
      </c>
      <c r="L84" s="103">
        <v>47.9</v>
      </c>
      <c r="M84" s="88">
        <v>43</v>
      </c>
      <c r="N84" s="7">
        <f>J84/M84</f>
        <v>7</v>
      </c>
      <c r="O84" s="7">
        <f>K84/M84</f>
        <v>7</v>
      </c>
      <c r="P84" s="7">
        <f>V84+2*R84+2*M84</f>
        <v>541.79999999999995</v>
      </c>
      <c r="Q84" s="32">
        <f>R84/M84</f>
        <v>1</v>
      </c>
      <c r="R84" s="7">
        <f>1*M84</f>
        <v>43</v>
      </c>
      <c r="S84" s="32">
        <f>T84/M84</f>
        <v>1.3023255813953489</v>
      </c>
      <c r="T84" s="7">
        <f>40+16</f>
        <v>56</v>
      </c>
      <c r="U84" s="32">
        <f>V84/M84</f>
        <v>8.6</v>
      </c>
      <c r="V84" s="7">
        <f>(9.6-1)*M84</f>
        <v>369.8</v>
      </c>
      <c r="W84" s="7">
        <v>2</v>
      </c>
      <c r="X84" s="122">
        <f>AM84</f>
        <v>0</v>
      </c>
      <c r="Y84" s="32">
        <f>Z84/M84</f>
        <v>3.2131782945736433</v>
      </c>
      <c r="Z84" s="7">
        <f>2/3*J84-0.5*125</f>
        <v>138.16666666666666</v>
      </c>
      <c r="AA84" s="7">
        <f>MIN(R84/M84+0.5, V84/2/M84+0.5)</f>
        <v>1.5</v>
      </c>
      <c r="AB84" s="7">
        <f>R84/M84+0.5</f>
        <v>1.5</v>
      </c>
      <c r="AC84" s="7">
        <f>2040/510</f>
        <v>4</v>
      </c>
      <c r="AD84" s="7">
        <f>2040/510</f>
        <v>4</v>
      </c>
      <c r="AE84" s="7">
        <f>AD84+1</f>
        <v>5</v>
      </c>
      <c r="AF84" s="7">
        <f>M84*AE84^0.5</f>
        <v>96.150923032490965</v>
      </c>
      <c r="AG84" s="7">
        <f>I84</f>
        <v>606</v>
      </c>
      <c r="AH84" s="7">
        <v>19</v>
      </c>
      <c r="AI84" s="7">
        <f>(297+328)/2</f>
        <v>312.5</v>
      </c>
      <c r="AJ84" s="7"/>
      <c r="AK84" s="4">
        <f>CX84</f>
        <v>3.0254131574655383</v>
      </c>
      <c r="AL84" s="7">
        <v>0</v>
      </c>
      <c r="AM84" s="7">
        <v>0</v>
      </c>
      <c r="AN84" s="7">
        <f>K84</f>
        <v>301</v>
      </c>
      <c r="AO84" s="7"/>
      <c r="AP84" s="7"/>
      <c r="AQ84" s="7">
        <f>3*AR84/(V84+M84)</f>
        <v>2.1875</v>
      </c>
      <c r="AR84" s="4">
        <f>J84</f>
        <v>301</v>
      </c>
      <c r="AS84" s="4">
        <f>IF(J84*3&gt;V84+M84, P84, (R84+M84/2)*2+1.5*J84*(2*W84-2))*(3*J84)/(9*J84^2)</f>
        <v>0.6</v>
      </c>
      <c r="AT84" s="4">
        <f>MIN(10*L84^0.5*J84^1.5,100*3.9*L84^0.5*J84^(5/3))/(PI()/4*M84^2)/W84</f>
        <v>124.44020328781106</v>
      </c>
      <c r="AU84" s="4">
        <f>MIN(0.7+0.3*(MIN(R84,Z84)+0.5*M84)/1.5/J84,1)</f>
        <v>0.74285714285714277</v>
      </c>
      <c r="AV84" s="4">
        <v>1.25</v>
      </c>
      <c r="AW84" s="4">
        <v>2.5</v>
      </c>
      <c r="AX84" s="38">
        <f>AS84*AU84*AV84*AW84*AT84</f>
        <v>173.32742600802251</v>
      </c>
      <c r="AY84" s="38">
        <f>AX84</f>
        <v>173.32742600802251</v>
      </c>
      <c r="AZ84" s="38">
        <f>IF(L84&lt;50, 0.3*L84^(2/3), 2.12*LN(1+0.1*(L84+8)))</f>
        <v>3.9568075739830846</v>
      </c>
      <c r="BA84" s="38">
        <f>AW84* (L84^0.5/AR84^0.5)/(PI()/4*M84^2)/W84/0.72 *(0.7+(MIN(R84,Z84)+0.5*M84)/5/J84) *(3*P84*J84)</f>
        <v>173.32742600802277</v>
      </c>
      <c r="BB84" s="38">
        <f>AX84/BA84</f>
        <v>0.99999999999999856</v>
      </c>
      <c r="BC84" s="38">
        <f>BG84/BA84</f>
        <v>1.6581334334630755</v>
      </c>
      <c r="BD84" s="4">
        <f>IF(BC84&lt;1,1,0)</f>
        <v>0</v>
      </c>
      <c r="BE84" s="4">
        <f>K84/M84*L84^0.5/0.19</f>
        <v>254.98356907576408</v>
      </c>
      <c r="BF84" s="4">
        <f>MIN(0.6+0.4*(AB84/AA84),2)</f>
        <v>1</v>
      </c>
      <c r="BG84" s="38">
        <f>2*L84*AA84*AC84^0.5*BF84*0.7/0.7</f>
        <v>287.39999999999998</v>
      </c>
      <c r="BH84" s="4">
        <f>MAX(1-0.7*AD84/5,0.3)</f>
        <v>0.44000000000000006</v>
      </c>
      <c r="BI84" s="4">
        <f>BH84*I84*K84/(I84*M84/2.75/L84^0.5)</f>
        <v>58.620722530518172</v>
      </c>
      <c r="BJ84" s="4">
        <f>BG84+BI84</f>
        <v>346.02072253051813</v>
      </c>
      <c r="BL84" s="4">
        <f>MIN(1.5, 0.75+0.25*MIN(3,MAX(1,R84/M84))+0.4*MIN(1,(40*2*PI()*AL84^2/4/AN84/W84)/M84))</f>
        <v>1</v>
      </c>
      <c r="BM84" s="4">
        <f>(3*O84+30)*BL84*L84^0.5</f>
        <v>352.97011204916487</v>
      </c>
      <c r="BO84" s="4">
        <f>3.4/PI()^0.5*L84*AA84*AD84^0.5*BF84</f>
        <v>275.65174672976275</v>
      </c>
      <c r="BP84" s="4">
        <f>8/3*AG84*AH84^2/(AF84-M84-22)/M84*(AF84^2-M84^2)/(AF84^2-(M84+22)^2)</f>
        <v>641.65616063635548</v>
      </c>
      <c r="BQ84" s="4">
        <f>BP84/BO84</f>
        <v>2.3277783226434909</v>
      </c>
      <c r="BY84" s="4">
        <f>IF(V84=0,R84,MIN(V84/2,R84))</f>
        <v>43</v>
      </c>
      <c r="CC84" s="9"/>
      <c r="CE84" s="9"/>
      <c r="CF84" s="9"/>
      <c r="CG84" s="9">
        <f>IF(V84=0,MIN(R84,T84),MIN(V84/2,R84,T84))</f>
        <v>43</v>
      </c>
      <c r="CH84" s="9">
        <f>MAX(V84/2,R84)</f>
        <v>184.9</v>
      </c>
      <c r="CI84" s="9">
        <f>(CG84/M84)^0.5*(CH84/CG84)^0.15</f>
        <v>1.2445726940891169</v>
      </c>
      <c r="CJ84" s="70">
        <v>0</v>
      </c>
      <c r="CK84" s="9">
        <f>MIN(PI()*AL84^2/4*AM84*2/W84/M84/MAX(0.01,AN84),0.05)</f>
        <v>0</v>
      </c>
      <c r="CL84" s="9">
        <f>MAX(0,CJ84*(CK84-0.5/50))</f>
        <v>0</v>
      </c>
      <c r="CM84" s="9">
        <f>MIN(1,(25/M84)^0.3)</f>
        <v>0.84984840943171969</v>
      </c>
      <c r="CN84" s="9">
        <f>IF(I84&gt;=800,0.68,IF(I84&gt;=700,0.75-(I84-700)*0.07/100,IF(I84&gt;=600,0.85-(I84-600)*0.1/100,IF(I84&gt;=500,1-(I84-500)*0.15/100,1.2-(I84-400)*0.2/100))))</f>
        <v>0.84399999999999997</v>
      </c>
      <c r="CO84" s="9">
        <f>1.75*CM84*CN84*(L84/25)^0.5</f>
        <v>1.7374795977330737</v>
      </c>
      <c r="CP84" s="9">
        <f>MIN((CI84+CL84)*CO84,2.5*CO84,L84^0.5)</f>
        <v>2.1624196638755264</v>
      </c>
      <c r="CQ84" s="9">
        <v>1</v>
      </c>
      <c r="CR84" s="9">
        <f>4*CP84*O84+60*CP84</f>
        <v>190.29293042104632</v>
      </c>
      <c r="CT84" s="4">
        <f>AI84/BE84</f>
        <v>1.225569165623946</v>
      </c>
      <c r="CU84" s="4">
        <f>AI84/BJ84</f>
        <v>0.90312510104777988</v>
      </c>
      <c r="CV84" s="4">
        <f>AI84/BM84</f>
        <v>0.88534408249407859</v>
      </c>
      <c r="CW84" s="4">
        <f>AI84/CR84</f>
        <v>1.6422049905298932</v>
      </c>
      <c r="CX84" s="4">
        <f>AI84/DY84</f>
        <v>3.0254131574655383</v>
      </c>
      <c r="CY84" s="4">
        <f>AI84/EK84</f>
        <v>1.0049803374710342</v>
      </c>
      <c r="CZ84" s="4">
        <f>AI84/GH84</f>
        <v>1.3838937040210169</v>
      </c>
      <c r="DB84" s="4">
        <f>CT84</f>
        <v>1.225569165623946</v>
      </c>
      <c r="DC84" s="4">
        <f>CU84</f>
        <v>0.90312510104777988</v>
      </c>
      <c r="DD84" s="4">
        <f>CW84</f>
        <v>1.6422049905298932</v>
      </c>
      <c r="DE84" s="4">
        <f>CZ84</f>
        <v>1.3838937040210169</v>
      </c>
      <c r="DF84" s="4">
        <f>CX84</f>
        <v>3.0254131574655383</v>
      </c>
      <c r="DG84" s="4">
        <f>CY84</f>
        <v>1.0049803374710342</v>
      </c>
      <c r="DO84" s="4">
        <f>AM84</f>
        <v>0</v>
      </c>
      <c r="DP84" s="4">
        <f>K84</f>
        <v>301</v>
      </c>
      <c r="DS84" s="4">
        <f>J84/4/(1-0.3*(L84/30)^0.5)/200000/M84</f>
        <v>1.4091943242647847E-5</v>
      </c>
      <c r="DT84" s="4">
        <f>EO84</f>
        <v>6.6896087368323061</v>
      </c>
      <c r="DU84" s="4">
        <f>EB84*AF84/257/L84/AC84</f>
        <v>0</v>
      </c>
      <c r="DV84" s="4">
        <f>DT84*DU84^0.4</f>
        <v>0</v>
      </c>
      <c r="DW84" s="4">
        <f>MIN(DT84, DT84/1.4*(1-DU84^1.4)/(1-DU84))</f>
        <v>4.7782919548802187</v>
      </c>
      <c r="DX84" s="4">
        <f>MAX(DT84/2, (4-DS84*(8*AF84*(DV84-DW84)+6*J84*DW84))/(4+DS84*J84*DT84)*DT84)</f>
        <v>6.5265555575322383</v>
      </c>
      <c r="DY84" s="38">
        <f>MIN(1/M84*(4*AF84*(DV84-DW84)+(3*DW84+DX84)*J84)+EB84 -FI84,MAX(I84,AI84))</f>
        <v>103.29167744540015</v>
      </c>
      <c r="DZ84" s="4">
        <f>DY84/FE84</f>
        <v>0.85288369338410164</v>
      </c>
      <c r="EA84" s="4">
        <f>AF84/M84</f>
        <v>2.2360679774997898</v>
      </c>
      <c r="EB84" s="4">
        <f>MIN(EA$10*BA84)</f>
        <v>0</v>
      </c>
      <c r="EF84" s="4">
        <f>IF(T84&gt;1*M84,0.85,1)</f>
        <v>0.85</v>
      </c>
      <c r="EG84" s="4">
        <f>MIN(1,MAX(0.7,(1-0.1*(BY84-1*M84)/M84)))</f>
        <v>1</v>
      </c>
      <c r="EH84" s="4">
        <f>MIN(1,MAX(0.7,1-0.3*(PI()*AL84^2/4*AP84*2-0.25*PI()/4*M84^2)/(PI()/4*M84^2)))</f>
        <v>1</v>
      </c>
      <c r="EI84" s="4">
        <f>IF(EG84*EH84&lt;0.7,0.7,EG84*EH84)</f>
        <v>1</v>
      </c>
      <c r="EK84" s="4">
        <f>MIN(DT84/M84*3*J84+EL84-FI84,MAX(I84,AI84))</f>
        <v>310.95135730355219</v>
      </c>
      <c r="EL84" s="25">
        <f>13.3*P84*J84^0.5*L84^0.5/W84/M84^2*(0.7+R84/5/J84)</f>
        <v>170.46957383007376</v>
      </c>
      <c r="EO84" s="4">
        <f>IF(M84&lt;22.2,1.1*5*(L84/30)^0.5,IF(M84&gt;=31.8,0.9*5*(L84/30)^0.5,1*5*(L84/30)^0.5))/EF84/EI84</f>
        <v>6.6896087368323061</v>
      </c>
      <c r="ER84" s="4">
        <f>ES84*M84</f>
        <v>96.150923032490965</v>
      </c>
      <c r="ES84" s="4">
        <f>AE84^0.5</f>
        <v>2.2360679774997898</v>
      </c>
      <c r="ET84" s="4">
        <f>MIN(EB84)/(4700*L84^0.5)/AD84*ER84</f>
        <v>0</v>
      </c>
      <c r="EW84" s="4">
        <f>ET84</f>
        <v>0</v>
      </c>
      <c r="EX84" s="4">
        <f>MIN(0.999, EW84/(0.3*(L84/30)^0.5))</f>
        <v>0</v>
      </c>
      <c r="EY84" s="4">
        <f>EO84/1*EX84^0.4</f>
        <v>0</v>
      </c>
      <c r="EZ84" s="4">
        <f>EO84/1.4*(1-EX84^1.4)/(1-EX84)</f>
        <v>4.7782919548802187</v>
      </c>
      <c r="FA84" s="4">
        <f>MAX(0,DP84*FA$9-ER84)</f>
        <v>0</v>
      </c>
      <c r="FB84" s="4">
        <f>MAX(0,DP84-ER84-FA84)</f>
        <v>204.84907696750903</v>
      </c>
      <c r="FC84" s="4">
        <f>FB84/(1-0.3*(L84/30)^0.5)/200000/M84</f>
        <v>3.8361748384517444E-5</v>
      </c>
      <c r="FD84" s="4">
        <f>MAX(0.5*EO84, (1-2*FC84*(ER84*EY84+FA84*EZ84))/(1/EO84+FC84*FB84))</f>
        <v>6.3555036457493497</v>
      </c>
      <c r="FE84" s="4">
        <f>MIN(4/M84*(1*EY84*ER84+EZ84*FA84+FB84*FD84)+EB84,MAX(I84,AI84))</f>
        <v>121.10874934840862</v>
      </c>
      <c r="FN84" s="23">
        <f>IF(CT84&lt;0.6,0.6,IF(CT84&lt;0.8,0.8,IF(CT84&lt;1,1,IF(CT84&lt;1.2,1.2,IF(CT84&lt;1.4,1.4,IF(CT84&lt;1.6,1.6,IF(CT84&lt;1.8,1.8,IF(CT84&lt;2,2,2.2))))))))</f>
        <v>1.4</v>
      </c>
      <c r="FO84" s="23">
        <f>IF(CU84&lt;0.6,0.6,IF(CU84&lt;0.8,0.8,IF(CU84&lt;1,1,IF(CU84&lt;1.2,1.2,IF(CU84&lt;1.4,1.4,IF(CU84&lt;1.6,1.6,IF(CU84&lt;1.8,1.8,IF(CU84&lt;2,2,2.2))))))))</f>
        <v>1</v>
      </c>
      <c r="FP84" s="23">
        <f>IF(CZ84&lt;0.6,0.6,IF(CZ84&lt;0.8,0.8,IF(CZ84&lt;1,1,IF(CZ84&lt;1.2,1.2,IF(CZ84&lt;1.4,1.4,IF(CZ84&lt;1.6,1.6,IF(CZ84&lt;1.8,1.8,IF(CZ84&lt;2,2,2.2))))))))</f>
        <v>1.4</v>
      </c>
      <c r="FQ84" s="23">
        <f>IF(CW84&lt;0.6,0.6,IF(CW84&lt;0.8,0.8,IF(CW84&lt;1,1,IF(CW84&lt;1.2,1.2,IF(CW84&lt;1.4,1.4,IF(CW84&lt;1.6,1.6,IF(CW84&lt;1.8,1.8,IF(CW84&lt;2,2,2.2))))))))</f>
        <v>1.8</v>
      </c>
      <c r="FR84" s="23">
        <f>IF(CX84&lt;0.6,0.6,IF(CX84&lt;0.8,0.8,IF(CX84&lt;1,1,IF(CX84&lt;1.2,1.2,IF(CX84&lt;1.4,1.4,IF(CX84&lt;1.6,1.6,IF(CX84&lt;1.8,1.8,IF(CX84&lt;2,2,2.2))))))))</f>
        <v>2.2000000000000002</v>
      </c>
      <c r="FS84" s="23">
        <f>IF(CY84&lt;0.6,0.6,IF(CY84&lt;0.8,0.8,IF(CY84&lt;1,1,IF(CY84&lt;1.2,1.2,IF(CY84&lt;1.4,1.4,IF(CY84&lt;1.6,1.6,IF(CY84&lt;1.8,1.8,IF(CY84&lt;2,2,2.2))))))))</f>
        <v>1.2</v>
      </c>
      <c r="FT84" s="23">
        <f>IF(FR84&lt;1,1,0)</f>
        <v>0</v>
      </c>
      <c r="FU84" s="23"/>
      <c r="GE84" s="4">
        <f>IF(R84&gt;=2.5*25.4,1,1.25)</f>
        <v>1.25</v>
      </c>
      <c r="GF84" s="4">
        <f>IF(AN84&gt;1, 0.05*(18-MIN(8,(V84+M84)/M84))*(1-48000/MAX(60000,(I84*145))*(M84/25.4)^0.75*GG84), 1/12*(14-MIN(8,(V84+M84)/M84)))</f>
        <v>0.5</v>
      </c>
      <c r="GG84" s="4">
        <f>MIN(0.3, AL84^2*PI()/4*2*AO84/(M84^2*PI()/4*W84))</f>
        <v>0</v>
      </c>
      <c r="GH84" s="4">
        <f>(J84/25.4)/(M84/25.4)^1.5/0.0024*(L84*145)^0.25/GE84/GF84/145</f>
        <v>225.81214084001218</v>
      </c>
    </row>
    <row r="85" spans="1:195" s="4" customFormat="1" ht="12" customHeight="1" x14ac:dyDescent="0.3">
      <c r="A85" s="25">
        <v>149</v>
      </c>
      <c r="B85" s="24" t="s">
        <v>128</v>
      </c>
      <c r="C85" s="24">
        <v>2017</v>
      </c>
      <c r="D85" s="24" t="s">
        <v>309</v>
      </c>
      <c r="E85" s="24"/>
      <c r="F85" s="109" t="s">
        <v>815</v>
      </c>
      <c r="G85" s="4" t="s">
        <v>157</v>
      </c>
      <c r="H85" s="5">
        <f t="shared" si="0"/>
        <v>1.0108113988769929</v>
      </c>
      <c r="I85" s="72">
        <v>606</v>
      </c>
      <c r="J85" s="103">
        <f>7*M85</f>
        <v>301</v>
      </c>
      <c r="K85" s="7">
        <f>J85</f>
        <v>301</v>
      </c>
      <c r="L85" s="84">
        <v>68.2</v>
      </c>
      <c r="M85" s="88">
        <v>43</v>
      </c>
      <c r="N85" s="7">
        <f>J85/M85</f>
        <v>7</v>
      </c>
      <c r="O85" s="7">
        <f>K85/M85</f>
        <v>7</v>
      </c>
      <c r="P85" s="7">
        <f>V85+2*R85+2*M85</f>
        <v>541.79999999999995</v>
      </c>
      <c r="Q85" s="32">
        <f>R85/M85</f>
        <v>1</v>
      </c>
      <c r="R85" s="7">
        <f>1*M85</f>
        <v>43</v>
      </c>
      <c r="S85" s="32">
        <f>T85/M85</f>
        <v>1.3023255813953489</v>
      </c>
      <c r="T85" s="7">
        <f>40+16</f>
        <v>56</v>
      </c>
      <c r="U85" s="32">
        <f>V85/M85</f>
        <v>8.6</v>
      </c>
      <c r="V85" s="7">
        <f>(9.6-1)*M85</f>
        <v>369.8</v>
      </c>
      <c r="W85" s="7">
        <v>2</v>
      </c>
      <c r="X85" s="122">
        <f>AM85</f>
        <v>0</v>
      </c>
      <c r="Y85" s="32">
        <f>Z85/M85</f>
        <v>3.2131782945736433</v>
      </c>
      <c r="Z85" s="7">
        <f>2/3*J85-0.5*125</f>
        <v>138.16666666666666</v>
      </c>
      <c r="AA85" s="7">
        <f>MIN(R85/M85+0.5, V85/2/M85+0.5)</f>
        <v>1.5</v>
      </c>
      <c r="AB85" s="7">
        <f>R85/M85+0.5</f>
        <v>1.5</v>
      </c>
      <c r="AC85" s="7">
        <f>2040/510</f>
        <v>4</v>
      </c>
      <c r="AD85" s="7">
        <f>2040/510</f>
        <v>4</v>
      </c>
      <c r="AE85" s="7">
        <f>AD85+1</f>
        <v>5</v>
      </c>
      <c r="AF85" s="7">
        <f>M85*AE85^0.5</f>
        <v>96.150923032490965</v>
      </c>
      <c r="AG85" s="7">
        <f>I85</f>
        <v>606</v>
      </c>
      <c r="AH85" s="7">
        <v>19</v>
      </c>
      <c r="AI85" s="7">
        <f>(501+501)/2</f>
        <v>501</v>
      </c>
      <c r="AJ85" s="7"/>
      <c r="AK85" s="4">
        <f>CX85</f>
        <v>4.0806400749892848</v>
      </c>
      <c r="AL85" s="7">
        <v>0</v>
      </c>
      <c r="AM85" s="7">
        <v>0</v>
      </c>
      <c r="AN85" s="7">
        <f>K85</f>
        <v>301</v>
      </c>
      <c r="AO85" s="7"/>
      <c r="AP85" s="7"/>
      <c r="AQ85" s="7">
        <f>3*AR85/(V85+M85)</f>
        <v>2.1875</v>
      </c>
      <c r="AR85" s="4">
        <f>J85</f>
        <v>301</v>
      </c>
      <c r="AS85" s="4">
        <f>IF(J85*3&gt;V85+M85, P85, (R85+M85/2)*2+1.5*J85*(2*W85-2))*(3*J85)/(9*J85^2)</f>
        <v>0.6</v>
      </c>
      <c r="AT85" s="4">
        <f>MIN(10*L85^0.5*J85^1.5,100*3.9*L85^0.5*J85^(5/3))/(PI()/4*M85^2)/W85</f>
        <v>148.48587499878823</v>
      </c>
      <c r="AU85" s="4">
        <f>MIN(0.7+0.3*(MIN(R85,Z85)+0.5*M85)/1.5/J85,1)</f>
        <v>0.74285714285714277</v>
      </c>
      <c r="AV85" s="4">
        <v>1.25</v>
      </c>
      <c r="AW85" s="4">
        <f>AW84</f>
        <v>2.5</v>
      </c>
      <c r="AX85" s="38">
        <f>AS85*AU85*AV85*AW85*AT85</f>
        <v>206.81961160545501</v>
      </c>
      <c r="AY85" s="38">
        <f>AX85</f>
        <v>206.81961160545501</v>
      </c>
      <c r="AZ85" s="38">
        <f>IF(L85&lt;50, 0.3*L85^(2/3), 2.12*LN(1+0.1*(L85+8)))</f>
        <v>4.5666603795122764</v>
      </c>
      <c r="BA85" s="38">
        <f>AW85* (L85^0.5/AR85^0.5)/(PI()/4*M85^2)/W85/0.72 *(0.7+(MIN(R85,Z85)+0.5*M85)/5/J85) *(3*P85*J85)</f>
        <v>206.81961160545529</v>
      </c>
      <c r="BB85" s="38">
        <f>AX85/BA85</f>
        <v>0.99999999999999867</v>
      </c>
      <c r="BC85" s="38">
        <f>BG85/BA85</f>
        <v>1.9785357724228825</v>
      </c>
      <c r="BD85" s="4">
        <f>IF(BC85&lt;1,1,0)</f>
        <v>0</v>
      </c>
      <c r="BE85" s="4">
        <f>K85/M85*L85^0.5/0.19</f>
        <v>304.25423106197485</v>
      </c>
      <c r="BF85" s="4">
        <f>MIN(0.6+0.4*(AB85/AA85),2)</f>
        <v>1</v>
      </c>
      <c r="BG85" s="38">
        <f>2*L85*AA85*AC85^0.5*BF85*0.7/0.7</f>
        <v>409.20000000000005</v>
      </c>
      <c r="BH85" s="4">
        <f>MAX(1-0.7*AD85/5,0.3)</f>
        <v>0.44000000000000006</v>
      </c>
      <c r="BI85" s="4">
        <f>BH85*I85*K85/(I85*M85/2.75/L85^0.5)</f>
        <v>69.948047721148029</v>
      </c>
      <c r="BJ85" s="4">
        <f>BG85+BI85</f>
        <v>479.14804772114809</v>
      </c>
      <c r="BL85" s="4">
        <f>MIN(1.5, 0.75+0.25*MIN(3,MAX(1,R85/M85))+0.4*MIN(1,(40*2*PI()*AL85^2/4/AN85/W85)/M85))</f>
        <v>1</v>
      </c>
      <c r="BM85" s="4">
        <f>(3*O85+30)*BL85*L85^0.5</f>
        <v>421.17478557007666</v>
      </c>
      <c r="BO85" s="4">
        <f>3.4/PI()^0.5*L85*AA85*AD85^0.5*BF85</f>
        <v>392.47284189916127</v>
      </c>
      <c r="BP85" s="4">
        <f>8/3*AG85*AH85^2/(AF85-M85-22)/M85*(AF85^2-M85^2)/(AF85^2-(M85+22)^2)</f>
        <v>641.65616063635548</v>
      </c>
      <c r="BQ85" s="4">
        <f>BP85/BO85</f>
        <v>1.6349058893639763</v>
      </c>
      <c r="BY85" s="4">
        <f>IF(V85=0,R85,MIN(V85/2,R85))</f>
        <v>43</v>
      </c>
      <c r="CC85" s="9"/>
      <c r="CE85" s="9"/>
      <c r="CF85" s="9"/>
      <c r="CG85" s="9">
        <f>IF(V85=0,MIN(R85,T85),MIN(V85/2,R85,T85))</f>
        <v>43</v>
      </c>
      <c r="CH85" s="9">
        <f>MAX(V85/2,R85)</f>
        <v>184.9</v>
      </c>
      <c r="CI85" s="9">
        <f>(CG85/M85)^0.5*(CH85/CG85)^0.15</f>
        <v>1.2445726940891169</v>
      </c>
      <c r="CJ85" s="70">
        <v>0</v>
      </c>
      <c r="CK85" s="9">
        <f>MIN(PI()*AL85^2/4*AM85*2/W85/M85/MAX(0.01,AN85),0.05)</f>
        <v>0</v>
      </c>
      <c r="CL85" s="9">
        <f>MAX(0,CJ85*(CK85-0.5/50))</f>
        <v>0</v>
      </c>
      <c r="CM85" s="9">
        <f>MIN(1,(25/M85)^0.3)</f>
        <v>0.84984840943171969</v>
      </c>
      <c r="CN85" s="9">
        <f>IF(I85&gt;=800,0.68,IF(I85&gt;=700,0.75-(I85-700)*0.07/100,IF(I85&gt;=600,0.85-(I85-600)*0.1/100,IF(I85&gt;=500,1-(I85-500)*0.15/100,1.2-(I85-400)*0.2/100))))</f>
        <v>0.84399999999999997</v>
      </c>
      <c r="CO85" s="9">
        <f>1.75*CM85*CN85*(L85/25)^0.5</f>
        <v>2.0732140541850779</v>
      </c>
      <c r="CP85" s="9">
        <f>MIN((CI85+CL85)*CO85,2.5*CO85,L85^0.5)</f>
        <v>2.5802656008405425</v>
      </c>
      <c r="CQ85" s="9">
        <v>1</v>
      </c>
      <c r="CR85" s="9">
        <f>4*CP85*O85+60*CP85</f>
        <v>227.06337287396775</v>
      </c>
      <c r="CT85" s="4">
        <f>AI85/BE85</f>
        <v>1.6466492454395782</v>
      </c>
      <c r="CU85" s="4">
        <f>AI85/BJ85</f>
        <v>1.0456058464242541</v>
      </c>
      <c r="CV85" s="4">
        <f>AI85/BM85</f>
        <v>1.1895298986663618</v>
      </c>
      <c r="CW85" s="4">
        <f>AI85/CR85</f>
        <v>2.2064324759153546</v>
      </c>
      <c r="CX85" s="4">
        <f>AI85/DY85</f>
        <v>4.0806400749892848</v>
      </c>
      <c r="CY85" s="4">
        <f>AI85/EK85</f>
        <v>1.3502706830387621</v>
      </c>
      <c r="CZ85" s="4">
        <f>AI85/GH85</f>
        <v>2.0310855779776316</v>
      </c>
      <c r="DB85" s="4">
        <f>CT85</f>
        <v>1.6466492454395782</v>
      </c>
      <c r="DC85" s="4">
        <f>CU85</f>
        <v>1.0456058464242541</v>
      </c>
      <c r="DD85" s="4">
        <f>CW85</f>
        <v>2.2064324759153546</v>
      </c>
      <c r="DE85" s="4">
        <f>CZ85</f>
        <v>2.0310855779776316</v>
      </c>
      <c r="DF85" s="4">
        <f>CX85</f>
        <v>4.0806400749892848</v>
      </c>
      <c r="DG85" s="4">
        <f>CY85</f>
        <v>1.3502706830387621</v>
      </c>
      <c r="DO85" s="4">
        <f>AM85</f>
        <v>0</v>
      </c>
      <c r="DP85" s="4">
        <f>K85</f>
        <v>301</v>
      </c>
      <c r="DS85" s="4">
        <f>J85/4/(1-0.3*(L85/30)^0.5)/200000/M85</f>
        <v>1.5976696011144739E-5</v>
      </c>
      <c r="DT85" s="4">
        <f>EO85</f>
        <v>7.9822467373402182</v>
      </c>
      <c r="DU85" s="4">
        <f>EB85*AF85/257/L85/AC85</f>
        <v>0</v>
      </c>
      <c r="DV85" s="4">
        <f>DT85*DU85^0.4</f>
        <v>0</v>
      </c>
      <c r="DW85" s="4">
        <f>MIN(DT85, DT85/1.4*(1-DU85^1.4)/(1-DU85))</f>
        <v>5.7016048123858702</v>
      </c>
      <c r="DX85" s="4">
        <f>MAX(DT85/2, (4-DS85*(8*AF85*(DV85-DW85)+6*J85*DW85))/(4+DS85*J85*DT85)*DT85)</f>
        <v>7.7196941849560829</v>
      </c>
      <c r="DY85" s="38">
        <f>MIN(1/M85*(4*AF85*(DV85-DW85)+(3*DW85+DX85)*J85)+EB85 -FI85,MAX(I85,AI85))</f>
        <v>122.77485658945689</v>
      </c>
      <c r="DZ85" s="4">
        <f>DY85/FE85</f>
        <v>0.86456105115174597</v>
      </c>
      <c r="EA85" s="4">
        <f>AF85/M85</f>
        <v>2.2360679774997898</v>
      </c>
      <c r="EB85" s="4">
        <f>MIN(EA$10*BA85)</f>
        <v>0</v>
      </c>
      <c r="EF85" s="4">
        <f>IF(T85&gt;1*M85,0.85,1)</f>
        <v>0.85</v>
      </c>
      <c r="EG85" s="4">
        <f>MIN(1,MAX(0.7,(1-0.1*(BY85-1*M85)/M85)))</f>
        <v>1</v>
      </c>
      <c r="EH85" s="4">
        <f>MIN(1,MAX(0.7,1-0.3*(PI()*AL85^2/4*AP85*2-0.25*PI()/4*M85^2)/(PI()/4*M85^2)))</f>
        <v>1</v>
      </c>
      <c r="EI85" s="4">
        <f>IF(EG85*EH85&lt;0.7,0.7,EG85*EH85)</f>
        <v>1</v>
      </c>
      <c r="EK85" s="4">
        <f>MIN(DT85/M85*3*J85+EL85-FI85,MAX(I85,AI85))</f>
        <v>371.03671604015551</v>
      </c>
      <c r="EL85" s="25">
        <f>13.3*P85*J85^0.5*L85^0.5/W85/M85^2*(0.7+R85/5/J85)</f>
        <v>203.40953455601098</v>
      </c>
      <c r="EO85" s="4">
        <f>IF(M85&lt;22.2,1.1*5*(L85/30)^0.5,IF(M85&gt;=31.8,0.9*5*(L85/30)^0.5,1*5*(L85/30)^0.5))/EF85/EI85</f>
        <v>7.9822467373402182</v>
      </c>
      <c r="ER85" s="4">
        <f>ES85*M85</f>
        <v>96.150923032490965</v>
      </c>
      <c r="ES85" s="4">
        <f>AE85^0.5</f>
        <v>2.2360679774997898</v>
      </c>
      <c r="ET85" s="4">
        <f>MIN(EB85)/(4700*L85^0.5)/AD85*ER85</f>
        <v>0</v>
      </c>
      <c r="EW85" s="4">
        <f>ET85</f>
        <v>0</v>
      </c>
      <c r="EX85" s="4">
        <f>MIN(0.999, EW85/(0.3*(L85/30)^0.5))</f>
        <v>0</v>
      </c>
      <c r="EY85" s="4">
        <f>EO85/1*EX85^0.4</f>
        <v>0</v>
      </c>
      <c r="EZ85" s="4">
        <f>EO85/1.4*(1-EX85^1.4)/(1-EX85)</f>
        <v>5.7016048123858702</v>
      </c>
      <c r="FA85" s="4">
        <f>MAX(0,DP85*FA$9-ER85)</f>
        <v>0</v>
      </c>
      <c r="FB85" s="4">
        <f>MAX(0,DP85-ER85-FA85)</f>
        <v>204.84907696750903</v>
      </c>
      <c r="FC85" s="4">
        <f>FB85/(1-0.3*(L85/30)^0.5)/200000/M85</f>
        <v>4.3492510709282173E-5</v>
      </c>
      <c r="FD85" s="4">
        <f>MAX(0.5*EO85, (1-2*FC85*(ER85*EY85+FA85*EZ85))/(1/EO85+FC85*FB85))</f>
        <v>7.4522638334885221</v>
      </c>
      <c r="FE85" s="4">
        <f>MIN(4/M85*(1*EY85*ER85+EZ85*FA85+FB85*FD85)+EB85,MAX(I85,AI85))</f>
        <v>142.00831326590458</v>
      </c>
      <c r="FN85" s="23">
        <f>IF(CT85&lt;0.6,0.6,IF(CT85&lt;0.8,0.8,IF(CT85&lt;1,1,IF(CT85&lt;1.2,1.2,IF(CT85&lt;1.4,1.4,IF(CT85&lt;1.6,1.6,IF(CT85&lt;1.8,1.8,IF(CT85&lt;2,2,2.2))))))))</f>
        <v>1.8</v>
      </c>
      <c r="FO85" s="23">
        <f>IF(CU85&lt;0.6,0.6,IF(CU85&lt;0.8,0.8,IF(CU85&lt;1,1,IF(CU85&lt;1.2,1.2,IF(CU85&lt;1.4,1.4,IF(CU85&lt;1.6,1.6,IF(CU85&lt;1.8,1.8,IF(CU85&lt;2,2,2.2))))))))</f>
        <v>1.2</v>
      </c>
      <c r="FP85" s="23">
        <f>IF(CZ85&lt;0.6,0.6,IF(CZ85&lt;0.8,0.8,IF(CZ85&lt;1,1,IF(CZ85&lt;1.2,1.2,IF(CZ85&lt;1.4,1.4,IF(CZ85&lt;1.6,1.6,IF(CZ85&lt;1.8,1.8,IF(CZ85&lt;2,2,2.2))))))))</f>
        <v>2.2000000000000002</v>
      </c>
      <c r="FQ85" s="23">
        <f>IF(CW85&lt;0.6,0.6,IF(CW85&lt;0.8,0.8,IF(CW85&lt;1,1,IF(CW85&lt;1.2,1.2,IF(CW85&lt;1.4,1.4,IF(CW85&lt;1.6,1.6,IF(CW85&lt;1.8,1.8,IF(CW85&lt;2,2,2.2))))))))</f>
        <v>2.2000000000000002</v>
      </c>
      <c r="FR85" s="23">
        <f>IF(CX85&lt;0.6,0.6,IF(CX85&lt;0.8,0.8,IF(CX85&lt;1,1,IF(CX85&lt;1.2,1.2,IF(CX85&lt;1.4,1.4,IF(CX85&lt;1.6,1.6,IF(CX85&lt;1.8,1.8,IF(CX85&lt;2,2,2.2))))))))</f>
        <v>2.2000000000000002</v>
      </c>
      <c r="FS85" s="23">
        <f>IF(CY85&lt;0.6,0.6,IF(CY85&lt;0.8,0.8,IF(CY85&lt;1,1,IF(CY85&lt;1.2,1.2,IF(CY85&lt;1.4,1.4,IF(CY85&lt;1.6,1.6,IF(CY85&lt;1.8,1.8,IF(CY85&lt;2,2,2.2))))))))</f>
        <v>1.4</v>
      </c>
      <c r="FT85" s="23">
        <f>IF(FR85&lt;1,1,0)</f>
        <v>0</v>
      </c>
      <c r="FU85" s="23"/>
      <c r="GE85" s="4">
        <f>IF(R85&gt;=2.5*25.4,1,1.25)</f>
        <v>1.25</v>
      </c>
      <c r="GF85" s="4">
        <f>IF(AN85&gt;1, 0.05*(18-MIN(8,(V85+M85)/M85))*(1-48000/MAX(60000,(I85*145))*(M85/25.4)^0.75*GG85), 1/12*(14-MIN(8,(V85+M85)/M85)))</f>
        <v>0.5</v>
      </c>
      <c r="GG85" s="4">
        <f>MIN(0.3, AL85^2*PI()/4*2*AO85/(M85^2*PI()/4*W85))</f>
        <v>0</v>
      </c>
      <c r="GH85" s="4">
        <f>(J85/25.4)/(M85/25.4)^1.5/0.0024*(L85*145)^0.25/GE85/GF85/145</f>
        <v>246.6661205377913</v>
      </c>
    </row>
    <row r="86" spans="1:195" s="4" customFormat="1" ht="12" customHeight="1" x14ac:dyDescent="0.3">
      <c r="A86" s="52">
        <v>182</v>
      </c>
      <c r="B86" s="53" t="s">
        <v>128</v>
      </c>
      <c r="C86" s="53">
        <v>2017</v>
      </c>
      <c r="D86" s="53" t="s">
        <v>309</v>
      </c>
      <c r="E86" s="53"/>
      <c r="F86" s="109" t="s">
        <v>816</v>
      </c>
      <c r="G86" s="54" t="s">
        <v>316</v>
      </c>
      <c r="H86" s="5">
        <f t="shared" si="0"/>
        <v>2.7020787380856599</v>
      </c>
      <c r="I86" s="87">
        <v>679</v>
      </c>
      <c r="J86" s="83">
        <f>4*M86</f>
        <v>88.8</v>
      </c>
      <c r="K86" s="32">
        <f>J86</f>
        <v>88.8</v>
      </c>
      <c r="L86" s="102">
        <v>129.9</v>
      </c>
      <c r="M86" s="79">
        <v>22.2</v>
      </c>
      <c r="N86" s="32">
        <f>J86/M86</f>
        <v>4</v>
      </c>
      <c r="O86" s="32">
        <f>K86/M86</f>
        <v>4</v>
      </c>
      <c r="P86" s="32">
        <v>366</v>
      </c>
      <c r="Q86" s="32">
        <f>R86/M86</f>
        <v>1</v>
      </c>
      <c r="R86" s="32">
        <f>1*M86</f>
        <v>22.2</v>
      </c>
      <c r="S86" s="32">
        <f>T86/M86</f>
        <v>1.3153153153153154</v>
      </c>
      <c r="T86" s="32">
        <f>118-K86</f>
        <v>29.200000000000003</v>
      </c>
      <c r="U86" s="32">
        <f>V86/M86</f>
        <v>12.48648648648649</v>
      </c>
      <c r="V86" s="32">
        <f>P86-2*M86-2*R86</f>
        <v>277.20000000000005</v>
      </c>
      <c r="W86" s="32">
        <v>2</v>
      </c>
      <c r="X86" s="122">
        <f>AM86</f>
        <v>2</v>
      </c>
      <c r="Y86" s="32">
        <f>Z86/M86</f>
        <v>2.6666666666666665</v>
      </c>
      <c r="Z86" s="102">
        <f>2/3*J86</f>
        <v>59.199999999999996</v>
      </c>
      <c r="AA86" s="32">
        <f>MIN(R86/M86+0.5, V86/2/M86+0.5)</f>
        <v>1.5</v>
      </c>
      <c r="AB86" s="32">
        <f>R86/M86+0.5</f>
        <v>1.5</v>
      </c>
      <c r="AC86" s="32">
        <f>2040/510</f>
        <v>4</v>
      </c>
      <c r="AD86" s="32">
        <f>2040/510</f>
        <v>4</v>
      </c>
      <c r="AE86" s="32">
        <f>AD86+1</f>
        <v>5</v>
      </c>
      <c r="AF86" s="32">
        <f>M86*AE86^0.5</f>
        <v>49.640709100495329</v>
      </c>
      <c r="AG86" s="32">
        <f>I86</f>
        <v>679</v>
      </c>
      <c r="AH86" s="32">
        <v>8</v>
      </c>
      <c r="AI86" s="32">
        <f>(735+707)/2</f>
        <v>721</v>
      </c>
      <c r="AJ86" s="32"/>
      <c r="AK86" s="54">
        <f>CX86</f>
        <v>8.1948391602659871</v>
      </c>
      <c r="AL86" s="32">
        <v>9.5</v>
      </c>
      <c r="AM86" s="32">
        <v>2</v>
      </c>
      <c r="AN86" s="32">
        <v>52</v>
      </c>
      <c r="AO86" s="32">
        <v>4</v>
      </c>
      <c r="AP86" s="32">
        <f>AM86</f>
        <v>2</v>
      </c>
      <c r="AQ86" s="32">
        <f>3*AR86/(V86+M86)</f>
        <v>0.88977955911823625</v>
      </c>
      <c r="AR86" s="54">
        <f>J86</f>
        <v>88.8</v>
      </c>
      <c r="AS86" s="54">
        <f>IF(J86*3&gt;V86+M86, P86, (R86+M86/2)*2+1.5*J86*(2*W86-2))*(3*J86)/(9*J86^2)</f>
        <v>1.25</v>
      </c>
      <c r="AT86" s="54">
        <f>MIN(10*L86^0.5*J86^1.5,100*3.9*L86^0.5*J86^(5/3))/(PI()/4*M86^2)/W86</f>
        <v>123.19645135939774</v>
      </c>
      <c r="AU86" s="54">
        <f>MIN(0.7+0.3*(MIN(R86,Z86)+0.5*M86)/1.5/J86,1)</f>
        <v>0.77499999999999991</v>
      </c>
      <c r="AV86" s="54">
        <v>1.25</v>
      </c>
      <c r="AW86" s="59">
        <f>AW85</f>
        <v>2.5</v>
      </c>
      <c r="AX86" s="56">
        <f>AS86*AU86*AV86*AW86*AT86</f>
        <v>372.95800704505172</v>
      </c>
      <c r="AY86" s="56">
        <f>AX86</f>
        <v>372.95800704505172</v>
      </c>
      <c r="AZ86" s="56">
        <f>IF(L86&lt;50, 0.3*L86^(2/3), 2.12*LN(1+0.1*(L86+8)))</f>
        <v>5.7111767066521422</v>
      </c>
      <c r="BA86" s="56">
        <f>AW86* (L86^0.5/AR86^0.5)/(PI()/4*M86^2)/W86/0.72 *(0.7+(MIN(R86,Z86)+0.5*M86)/5/J86) *(3*P86*J86)</f>
        <v>409.91780954501183</v>
      </c>
      <c r="BB86" s="56">
        <f>AX86/BA86</f>
        <v>0.90983606557377039</v>
      </c>
      <c r="BC86" s="56">
        <f>BG86/BA86</f>
        <v>1.9013567643355016</v>
      </c>
      <c r="BD86" s="54">
        <f>IF(BC86&lt;1,1,0)</f>
        <v>0</v>
      </c>
      <c r="BE86" s="54">
        <f>K86/M86*L86^0.5/0.19</f>
        <v>239.94459194200661</v>
      </c>
      <c r="BF86" s="54">
        <f>MIN(0.6+0.4*(AB86/AA86),2)</f>
        <v>1</v>
      </c>
      <c r="BG86" s="56">
        <f>2*L86*AA86*AC86^0.5*BF86*0.7/0.7</f>
        <v>779.40000000000009</v>
      </c>
      <c r="BH86" s="54">
        <f>MAX(1-0.7*AD86/5,0.3)</f>
        <v>0.44000000000000006</v>
      </c>
      <c r="BI86" s="54">
        <f>BH86*I86*K86/(I86*M86/2.75/L86^0.5)</f>
        <v>55.163261687467326</v>
      </c>
      <c r="BJ86" s="54">
        <f>BG86+BI86</f>
        <v>834.56326168746739</v>
      </c>
      <c r="BK86" s="54"/>
      <c r="BL86" s="54">
        <f>MIN(1.5, 0.75+0.25*MIN(3,MAX(1,R86/M86))+0.4*MIN(1,(40*2*PI()*AL86^2/4/AN86/W86)/M86))</f>
        <v>1.4</v>
      </c>
      <c r="BM86" s="54">
        <f>(3*O86+30)*BL86*L86^0.5</f>
        <v>670.16524529402443</v>
      </c>
      <c r="BN86" s="54"/>
      <c r="BO86" s="54">
        <f>3.4/PI()^0.5*L86*AA86*AD86^0.5*BF86</f>
        <v>747.53991440910613</v>
      </c>
      <c r="BP86" s="54">
        <f>8/3*AG86*AH86^2/(AF86-M86-22)/M86*(AF86^2-M86^2)/(AF86^2-(M86+22)^2)</f>
        <v>3704.4961984911101</v>
      </c>
      <c r="BQ86" s="54">
        <f>BP86/BO86</f>
        <v>4.9555831429005819</v>
      </c>
      <c r="BR86" s="54"/>
      <c r="BS86" s="54"/>
      <c r="BT86" s="54"/>
      <c r="BU86" s="54"/>
      <c r="BV86" s="54"/>
      <c r="BW86" s="54"/>
      <c r="BX86" s="54"/>
      <c r="BY86" s="54">
        <f>IF(V86=0,R86,MIN(V86/2,R86))</f>
        <v>22.2</v>
      </c>
      <c r="BZ86" s="54"/>
      <c r="CA86" s="54"/>
      <c r="CB86" s="54"/>
      <c r="CC86" s="57"/>
      <c r="CD86" s="54"/>
      <c r="CE86" s="57"/>
      <c r="CF86" s="57"/>
      <c r="CG86" s="57">
        <f>IF(V86=0,MIN(R86,T86),MIN(V86/2,R86,T86))</f>
        <v>22.2</v>
      </c>
      <c r="CH86" s="57">
        <f>MAX(V86/2,R86)</f>
        <v>138.60000000000002</v>
      </c>
      <c r="CI86" s="57">
        <f>(CG86/M86)^0.5*(CH86/CG86)^0.15</f>
        <v>1.3161686388047049</v>
      </c>
      <c r="CJ86" s="71">
        <v>20</v>
      </c>
      <c r="CK86" s="57">
        <f>MIN(PI()*AL86^2/4*AM86*2/W86/M86/MAX(0.01,AN86),0.05)</f>
        <v>0.05</v>
      </c>
      <c r="CL86" s="57">
        <f>MAX(0,CJ86*(CK86-0.5/50))</f>
        <v>0.8</v>
      </c>
      <c r="CM86" s="57">
        <f>MIN(1,(25/M86)^0.3)</f>
        <v>1</v>
      </c>
      <c r="CN86" s="57">
        <f>IF(I86&gt;=800,0.68,IF(I86&gt;=700,0.75-(I86-700)*0.07/100,IF(I86&gt;=600,0.85-(I86-600)*0.1/100,IF(I86&gt;=500,1-(I86-500)*0.15/100,1.2-(I86-400)*0.2/100))))</f>
        <v>0.77100000000000002</v>
      </c>
      <c r="CO86" s="57">
        <f>1.75*CM86*CN86*(L86/25)^0.5</f>
        <v>3.0755797864386483</v>
      </c>
      <c r="CP86" s="57">
        <f>MIN((CI86+CL86)*CO86,2.5*CO86,L86^0.5)</f>
        <v>6.5084454902031403</v>
      </c>
      <c r="CQ86" s="57">
        <v>1</v>
      </c>
      <c r="CR86" s="57">
        <f>4*CP86*O86+60*CP86</f>
        <v>494.64185725543865</v>
      </c>
      <c r="CS86" s="54"/>
      <c r="CT86" s="54">
        <f>AI86/BE86</f>
        <v>3.0048603894946799</v>
      </c>
      <c r="CU86" s="54">
        <f>AI86/BJ86</f>
        <v>0.86392492109244645</v>
      </c>
      <c r="CV86" s="54">
        <f>AI86/BM86</f>
        <v>1.0758540599694522</v>
      </c>
      <c r="CW86" s="54">
        <f>AI86/CR86</f>
        <v>1.4576202750016511</v>
      </c>
      <c r="CX86" s="60">
        <f>AI86/DY86</f>
        <v>8.1948391602659871</v>
      </c>
      <c r="CY86" s="54">
        <f>AI86/EK86</f>
        <v>1</v>
      </c>
      <c r="CZ86" s="54">
        <f>AI86/GH86</f>
        <v>2.7149668974723982</v>
      </c>
      <c r="DA86" s="54"/>
      <c r="DB86" s="54"/>
      <c r="DC86" s="54"/>
      <c r="DD86" s="54"/>
      <c r="DE86" s="54"/>
      <c r="DF86" s="54"/>
      <c r="DG86" s="54"/>
      <c r="DH86" s="54">
        <f>CT86</f>
        <v>3.0048603894946799</v>
      </c>
      <c r="DI86" s="54">
        <f>CU86</f>
        <v>0.86392492109244645</v>
      </c>
      <c r="DJ86" s="54">
        <f>CW86</f>
        <v>1.4576202750016511</v>
      </c>
      <c r="DK86" s="54">
        <f>CZ86</f>
        <v>2.7149668974723982</v>
      </c>
      <c r="DL86" s="54">
        <f>CX86</f>
        <v>8.1948391602659871</v>
      </c>
      <c r="DM86" s="54">
        <f>CY86</f>
        <v>1</v>
      </c>
      <c r="DN86" s="54"/>
      <c r="DO86" s="54">
        <f>AM86</f>
        <v>2</v>
      </c>
      <c r="DP86" s="54">
        <f>K86</f>
        <v>88.8</v>
      </c>
      <c r="DQ86" s="54"/>
      <c r="DR86" s="54"/>
      <c r="DS86" s="54">
        <f>J86/4/(1-0.3*(L86/30)^0.5)/200000/M86</f>
        <v>1.3307058507295954E-5</v>
      </c>
      <c r="DT86" s="54">
        <f>EO86</f>
        <v>14.311999279173566</v>
      </c>
      <c r="DU86" s="54">
        <f>EB86*AF86/257/L86/AC86</f>
        <v>0</v>
      </c>
      <c r="DV86" s="54">
        <f>DT86*DU86^0.4</f>
        <v>0</v>
      </c>
      <c r="DW86" s="54">
        <f>MIN(DT86, DT86/1.4*(1-DU86^1.4)/(1-DU86))</f>
        <v>10.22285662798112</v>
      </c>
      <c r="DX86" s="54">
        <f>MAX(DT86/2, (4-DS86*(8*AF86*(DV86-DW86)+6*J86*DW86))/(4+DS86*J86*DT86)*DT86)</f>
        <v>14.185983132637253</v>
      </c>
      <c r="DY86" s="56">
        <f>MIN(1/M86*(4*AF86*(DV86-DW86)+(3*DW86+DX86)*J86)+EB86 -FI86,MAX(I86,AI86))</f>
        <v>87.982202688722182</v>
      </c>
      <c r="DZ86" s="54">
        <f>DY86/FE86</f>
        <v>0.88273162777374081</v>
      </c>
      <c r="EA86" s="54">
        <f>AF86/M86</f>
        <v>2.2360679774997898</v>
      </c>
      <c r="EB86" s="54">
        <f>MIN(EA$10*BA86)</f>
        <v>0</v>
      </c>
      <c r="EC86" s="54"/>
      <c r="ED86" s="54"/>
      <c r="EE86" s="54"/>
      <c r="EF86" s="54">
        <f>IF(T86&gt;1*M86,0.85,1)</f>
        <v>0.85</v>
      </c>
      <c r="EG86" s="54">
        <f>MIN(1,MAX(0.7,(1-0.1*(BY86-1*M86)/M86)))</f>
        <v>1</v>
      </c>
      <c r="EH86" s="54">
        <f>MIN(1,MAX(0.7,1-0.3*(PI()*AL86^2/4*AP86*2-0.25*PI()/4*M86^2)/(PI()/4*M86^2)))</f>
        <v>0.8552532261991721</v>
      </c>
      <c r="EI86" s="54">
        <f>IF(EG86*EH86&lt;0.7,0.7,EG86*EH86)</f>
        <v>0.8552532261991721</v>
      </c>
      <c r="EJ86" s="54"/>
      <c r="EK86" s="54">
        <f>MIN(DT86/M86*3*J86+EL86-FI86,MAX(I86,AI86))</f>
        <v>721</v>
      </c>
      <c r="EL86" s="52">
        <f>26.5*P86*J86^0.5*L86^0.5/W86/M86^2*(0.7+R86/5/J86)</f>
        <v>792.6169156169592</v>
      </c>
      <c r="EM86" s="54"/>
      <c r="EN86" s="54"/>
      <c r="EO86" s="54">
        <f>IF(M86&lt;22.2,1.1*5*(L86/30)^0.5,IF(M86&gt;=31.8,0.9*5*(L86/30)^0.5,1*5*(L86/30)^0.5))/EF86/EI86</f>
        <v>14.311999279173566</v>
      </c>
      <c r="EP86" s="54"/>
      <c r="EQ86" s="54"/>
      <c r="ER86" s="54">
        <f>ES86*M86</f>
        <v>49.640709100495329</v>
      </c>
      <c r="ES86" s="54">
        <f>AE86^0.5</f>
        <v>2.2360679774997898</v>
      </c>
      <c r="ET86" s="54">
        <f>MIN(EB86)/(4700*L86^0.5)/AD86*ER86</f>
        <v>0</v>
      </c>
      <c r="EU86" s="54"/>
      <c r="EV86" s="54"/>
      <c r="EW86" s="54">
        <f>ET86</f>
        <v>0</v>
      </c>
      <c r="EX86" s="54">
        <f>MIN(0.999, EW86/(0.3*(L86/30)^0.5))</f>
        <v>0</v>
      </c>
      <c r="EY86" s="54">
        <f>EO86/1*EX86^0.4</f>
        <v>0</v>
      </c>
      <c r="EZ86" s="54">
        <f>EO86/1.4*(1-EX86^1.4)/(1-EX86)</f>
        <v>10.22285662798112</v>
      </c>
      <c r="FA86" s="54">
        <f>MAX(0,DP86*FA$9-ER86)</f>
        <v>0</v>
      </c>
      <c r="FB86" s="54">
        <f>MAX(0,DP86-ER86-FA86)</f>
        <v>39.159290899504668</v>
      </c>
      <c r="FC86" s="54">
        <f>FB86/(1-0.3*(L86/30)^0.5)/200000/M86</f>
        <v>2.347274662630318E-5</v>
      </c>
      <c r="FD86" s="54">
        <f>MAX(0.5*EO86, (1-2*FC86*(ER86*EY86+FA86*EZ86))/(1/EO86+FC86*FB86))</f>
        <v>14.126166063136274</v>
      </c>
      <c r="FE86" s="54">
        <f>MIN(4/M86*(1*EY86*ER86+EZ86*FA86+FB86*FD86)+EB86,MAX(I86,AI86))</f>
        <v>99.670386695687228</v>
      </c>
      <c r="FF86" s="54"/>
      <c r="FG86" s="54"/>
      <c r="FH86" s="54"/>
      <c r="FI86" s="54"/>
      <c r="FJ86" s="54"/>
      <c r="FK86" s="54"/>
      <c r="FL86" s="54"/>
      <c r="FM86" s="54"/>
      <c r="FN86" s="58">
        <f>IF(CT86&lt;0.6,0.6,IF(CT86&lt;0.8,0.8,IF(CT86&lt;1,1,IF(CT86&lt;1.2,1.2,IF(CT86&lt;1.4,1.4,IF(CT86&lt;1.6,1.6,IF(CT86&lt;1.8,1.8,IF(CT86&lt;2,2,2.2))))))))</f>
        <v>2.2000000000000002</v>
      </c>
      <c r="FO86" s="58">
        <f>IF(CU86&lt;0.6,0.6,IF(CU86&lt;0.8,0.8,IF(CU86&lt;1,1,IF(CU86&lt;1.2,1.2,IF(CU86&lt;1.4,1.4,IF(CU86&lt;1.6,1.6,IF(CU86&lt;1.8,1.8,IF(CU86&lt;2,2,2.2))))))))</f>
        <v>1</v>
      </c>
      <c r="FP86" s="58">
        <f>IF(CZ86&lt;0.6,0.6,IF(CZ86&lt;0.8,0.8,IF(CZ86&lt;1,1,IF(CZ86&lt;1.2,1.2,IF(CZ86&lt;1.4,1.4,IF(CZ86&lt;1.6,1.6,IF(CZ86&lt;1.8,1.8,IF(CZ86&lt;2,2,2.2))))))))</f>
        <v>2.2000000000000002</v>
      </c>
      <c r="FQ86" s="58">
        <f>IF(CW86&lt;0.6,0.6,IF(CW86&lt;0.8,0.8,IF(CW86&lt;1,1,IF(CW86&lt;1.2,1.2,IF(CW86&lt;1.4,1.4,IF(CW86&lt;1.6,1.6,IF(CW86&lt;1.8,1.8,IF(CW86&lt;2,2,2.2))))))))</f>
        <v>1.6</v>
      </c>
      <c r="FR86" s="58">
        <f>IF(CX86&lt;0.6,0.6,IF(CX86&lt;0.8,0.8,IF(CX86&lt;1,1,IF(CX86&lt;1.2,1.2,IF(CX86&lt;1.4,1.4,IF(CX86&lt;1.6,1.6,IF(CX86&lt;1.8,1.8,IF(CX86&lt;2,2,2.2))))))))</f>
        <v>2.2000000000000002</v>
      </c>
      <c r="FS86" s="58">
        <f>IF(CY86&lt;0.6,0.6,IF(CY86&lt;0.8,0.8,IF(CY86&lt;1,1,IF(CY86&lt;1.2,1.2,IF(CY86&lt;1.4,1.4,IF(CY86&lt;1.6,1.6,IF(CY86&lt;1.8,1.8,IF(CY86&lt;2,2,2.2))))))))</f>
        <v>1.2</v>
      </c>
      <c r="FT86" s="58">
        <f>IF(FR86&lt;1,1,0)</f>
        <v>0</v>
      </c>
      <c r="FU86" s="58"/>
      <c r="FV86" s="54"/>
      <c r="FW86" s="54"/>
      <c r="FX86" s="54"/>
      <c r="FY86" s="54"/>
      <c r="FZ86" s="54"/>
      <c r="GA86" s="54"/>
      <c r="GB86" s="54"/>
      <c r="GC86" s="54"/>
      <c r="GD86" s="54"/>
      <c r="GE86" s="54">
        <f>IF(R86&gt;=2.5*25.4,1,1.25)</f>
        <v>1.25</v>
      </c>
      <c r="GF86" s="54">
        <f>IF(AN86&gt;1, 0.05*(18-MIN(8,(V86+M86)/M86))*(1-48000/MAX(60000,(I86*145))*(M86/25.4)^0.75*GG86), 1/12*(14-MIN(8,(V86+M86)/M86)))</f>
        <v>0.4338950222651346</v>
      </c>
      <c r="GG86" s="54">
        <f>MIN(0.3, AL86^2*PI()/4*2*AO86/(M86^2*PI()/4*W86))</f>
        <v>0.3</v>
      </c>
      <c r="GH86" s="54">
        <f>(J86/25.4)/(M86/25.4)^1.5/0.0024*(L86*145)^0.25/GE86/GF86/145</f>
        <v>265.56493218066208</v>
      </c>
      <c r="GI86" s="54"/>
      <c r="GJ86" s="54"/>
      <c r="GK86" s="54"/>
      <c r="GL86" s="54"/>
      <c r="GM86" s="54"/>
    </row>
    <row r="87" spans="1:195" s="4" customFormat="1" ht="12" customHeight="1" x14ac:dyDescent="0.3">
      <c r="A87" s="25">
        <v>183</v>
      </c>
      <c r="B87" s="24" t="s">
        <v>128</v>
      </c>
      <c r="C87" s="24">
        <v>2017</v>
      </c>
      <c r="D87" s="24" t="s">
        <v>309</v>
      </c>
      <c r="E87" s="24"/>
      <c r="F87" s="109" t="s">
        <v>816</v>
      </c>
      <c r="G87" s="4" t="s">
        <v>317</v>
      </c>
      <c r="H87" s="5">
        <f t="shared" si="0"/>
        <v>2.7020787380856599</v>
      </c>
      <c r="I87" s="86">
        <v>679</v>
      </c>
      <c r="J87" s="84">
        <f>4*M87</f>
        <v>88.8</v>
      </c>
      <c r="K87" s="7">
        <f>J87</f>
        <v>88.8</v>
      </c>
      <c r="L87" s="10">
        <v>129.9</v>
      </c>
      <c r="M87" s="80">
        <v>22.2</v>
      </c>
      <c r="N87" s="7">
        <f>J87/M87</f>
        <v>4</v>
      </c>
      <c r="O87" s="7">
        <f>K87/M87</f>
        <v>4</v>
      </c>
      <c r="P87" s="7">
        <v>366</v>
      </c>
      <c r="Q87" s="32">
        <f>R87/M87</f>
        <v>1</v>
      </c>
      <c r="R87" s="7">
        <f>1*M87</f>
        <v>22.2</v>
      </c>
      <c r="S87" s="32">
        <f>T87/M87</f>
        <v>1.3153153153153154</v>
      </c>
      <c r="T87" s="7">
        <f>118-K87</f>
        <v>29.200000000000003</v>
      </c>
      <c r="U87" s="32">
        <f>V87/M87</f>
        <v>12.48648648648649</v>
      </c>
      <c r="V87" s="7">
        <f>P87-2*M87-2*R87</f>
        <v>277.20000000000005</v>
      </c>
      <c r="W87" s="7">
        <v>2</v>
      </c>
      <c r="X87" s="122">
        <f>AM87</f>
        <v>2</v>
      </c>
      <c r="Y87" s="32">
        <f>Z87/M87</f>
        <v>2.6666666666666665</v>
      </c>
      <c r="Z87" s="10">
        <f>2/3*J87</f>
        <v>59.199999999999996</v>
      </c>
      <c r="AA87" s="7">
        <f>MIN(R87/M87+0.5, V87/2/M87+0.5)</f>
        <v>1.5</v>
      </c>
      <c r="AB87" s="7">
        <f>R87/M87+0.5</f>
        <v>1.5</v>
      </c>
      <c r="AC87" s="7">
        <f>2040/510</f>
        <v>4</v>
      </c>
      <c r="AD87" s="7">
        <f>2040/510</f>
        <v>4</v>
      </c>
      <c r="AE87" s="7">
        <f>AD87+1</f>
        <v>5</v>
      </c>
      <c r="AF87" s="7">
        <f>M87*AE87^0.5</f>
        <v>49.640709100495329</v>
      </c>
      <c r="AG87" s="7">
        <f>I87</f>
        <v>679</v>
      </c>
      <c r="AH87" s="7">
        <v>8</v>
      </c>
      <c r="AI87" s="7">
        <f>(735+703)/2</f>
        <v>719</v>
      </c>
      <c r="AJ87" s="7"/>
      <c r="AK87" s="4">
        <f>CX87</f>
        <v>8.1721072901959015</v>
      </c>
      <c r="AL87" s="7">
        <v>9.5</v>
      </c>
      <c r="AM87" s="7">
        <v>2</v>
      </c>
      <c r="AN87" s="7">
        <v>52</v>
      </c>
      <c r="AO87" s="7">
        <v>4</v>
      </c>
      <c r="AP87" s="7">
        <f>AM87</f>
        <v>2</v>
      </c>
      <c r="AQ87" s="7">
        <f>3*AR87/(V87+M87)</f>
        <v>0.88977955911823625</v>
      </c>
      <c r="AR87" s="4">
        <f>J87</f>
        <v>88.8</v>
      </c>
      <c r="AS87" s="4">
        <f>IF(J87*3&gt;V87+M87, P87, (R87+M87/2)*2+1.5*J87*(2*W87-2))*(3*J87)/(9*J87^2)</f>
        <v>1.25</v>
      </c>
      <c r="AT87" s="4">
        <f>MIN(10*L87^0.5*J87^1.5,100*3.9*L87^0.5*J87^(5/3))/(PI()/4*M87^2)/W87</f>
        <v>123.19645135939774</v>
      </c>
      <c r="AU87" s="4">
        <f>MIN(0.7+0.3*(MIN(R87,Z87)+0.5*M87)/1.5/J87,1)</f>
        <v>0.77499999999999991</v>
      </c>
      <c r="AV87" s="4">
        <v>1.25</v>
      </c>
      <c r="AW87" s="47">
        <f>AW86</f>
        <v>2.5</v>
      </c>
      <c r="AX87" s="38">
        <f>AS87*AU87*AV87*AW87*AT87</f>
        <v>372.95800704505172</v>
      </c>
      <c r="AY87" s="38">
        <f>AX87</f>
        <v>372.95800704505172</v>
      </c>
      <c r="AZ87" s="38">
        <f>IF(L87&lt;50, 0.3*L87^(2/3), 2.12*LN(1+0.1*(L87+8)))</f>
        <v>5.7111767066521422</v>
      </c>
      <c r="BA87" s="38">
        <f>AW87* (L87^0.5/AR87^0.5)/(PI()/4*M87^2)/W87/0.72 *(0.7+(MIN(R87,Z87)+0.5*M87)/5/J87) *(3*P87*J87)</f>
        <v>409.91780954501183</v>
      </c>
      <c r="BB87" s="38">
        <f>AX87/BA87</f>
        <v>0.90983606557377039</v>
      </c>
      <c r="BC87" s="38">
        <f>BG87/BA87</f>
        <v>1.9013567643355016</v>
      </c>
      <c r="BD87" s="4">
        <f>IF(BC87&lt;1,1,0)</f>
        <v>0</v>
      </c>
      <c r="BE87" s="4">
        <f>K87/M87*L87^0.5/0.19</f>
        <v>239.94459194200661</v>
      </c>
      <c r="BF87" s="4">
        <f>MIN(0.6+0.4*(AB87/AA87),2)</f>
        <v>1</v>
      </c>
      <c r="BG87" s="38">
        <f>2*L87*AA87*AC87^0.5*BF87*0.7/0.7</f>
        <v>779.40000000000009</v>
      </c>
      <c r="BH87" s="4">
        <f>MAX(1-0.7*AD87/5,0.3)</f>
        <v>0.44000000000000006</v>
      </c>
      <c r="BI87" s="4">
        <f>BH87*I87*K87/(I87*M87/2.75/L87^0.5)</f>
        <v>55.163261687467326</v>
      </c>
      <c r="BJ87" s="4">
        <f>BG87+BI87</f>
        <v>834.56326168746739</v>
      </c>
      <c r="BL87" s="4">
        <f>MIN(1.5, 0.75+0.25*MIN(3,MAX(1,R87/M87))+0.4*MIN(1,(40*2*PI()*AL87^2/4/AN87/W87)/M87))</f>
        <v>1.4</v>
      </c>
      <c r="BM87" s="4">
        <f>(3*O87+30)*BL87*L87^0.5</f>
        <v>670.16524529402443</v>
      </c>
      <c r="BO87" s="4">
        <f>3.4/PI()^0.5*L87*AA87*AD87^0.5*BF87</f>
        <v>747.53991440910613</v>
      </c>
      <c r="BP87" s="4">
        <f>8/3*AG87*AH87^2/(AF87-M87-22)/M87*(AF87^2-M87^2)/(AF87^2-(M87+22)^2)</f>
        <v>3704.4961984911101</v>
      </c>
      <c r="BQ87" s="4">
        <f>BP87/BO87</f>
        <v>4.9555831429005819</v>
      </c>
      <c r="BY87" s="4">
        <f>IF(V87=0,R87,MIN(V87/2,R87))</f>
        <v>22.2</v>
      </c>
      <c r="CC87" s="9"/>
      <c r="CE87" s="9"/>
      <c r="CF87" s="9"/>
      <c r="CG87" s="9">
        <f>IF(V87=0,MIN(R87,T87),MIN(V87/2,R87,T87))</f>
        <v>22.2</v>
      </c>
      <c r="CH87" s="9">
        <f>MAX(V87/2,R87)</f>
        <v>138.60000000000002</v>
      </c>
      <c r="CI87" s="9">
        <f>(CG87/M87)^0.5*(CH87/CG87)^0.15</f>
        <v>1.3161686388047049</v>
      </c>
      <c r="CJ87" s="70">
        <v>20</v>
      </c>
      <c r="CK87" s="9">
        <f>MIN(PI()*AL87^2/4*AM87*2/W87/M87/MAX(0.01,AN87),0.05)</f>
        <v>0.05</v>
      </c>
      <c r="CL87" s="9">
        <f>MAX(0,CJ87*(CK87-0.5/50))</f>
        <v>0.8</v>
      </c>
      <c r="CM87" s="9">
        <f>MIN(1,(25/M87)^0.3)</f>
        <v>1</v>
      </c>
      <c r="CN87" s="9">
        <f>IF(I87&gt;=800,0.68,IF(I87&gt;=700,0.75-(I87-700)*0.07/100,IF(I87&gt;=600,0.85-(I87-600)*0.1/100,IF(I87&gt;=500,1-(I87-500)*0.15/100,1.2-(I87-400)*0.2/100))))</f>
        <v>0.77100000000000002</v>
      </c>
      <c r="CO87" s="9">
        <f>1.75*CM87*CN87*(L87/25)^0.5</f>
        <v>3.0755797864386483</v>
      </c>
      <c r="CP87" s="9">
        <f>MIN((CI87+CL87)*CO87,2.5*CO87,L87^0.5)</f>
        <v>6.5084454902031403</v>
      </c>
      <c r="CQ87" s="9">
        <v>1</v>
      </c>
      <c r="CR87" s="9">
        <f>4*CP87*O87+60*CP87</f>
        <v>494.64185725543865</v>
      </c>
      <c r="CT87" s="4">
        <f>AI87/BE87</f>
        <v>2.9965251318261785</v>
      </c>
      <c r="CU87" s="4">
        <f>AI87/BJ87</f>
        <v>0.86152845806583767</v>
      </c>
      <c r="CV87" s="4">
        <f>AI87/BM87</f>
        <v>1.0728697213842386</v>
      </c>
      <c r="CW87" s="4">
        <f>AI87/CR87</f>
        <v>1.4535769455286924</v>
      </c>
      <c r="CX87" s="44">
        <f>AI87/DY87</f>
        <v>8.1721072901959015</v>
      </c>
      <c r="CY87" s="4">
        <f>AI87/EK87</f>
        <v>1</v>
      </c>
      <c r="CZ87" s="4">
        <f>AI87/GH87</f>
        <v>2.7074357826389104</v>
      </c>
      <c r="DH87" s="4">
        <f>CT87</f>
        <v>2.9965251318261785</v>
      </c>
      <c r="DI87" s="4">
        <f>CU87</f>
        <v>0.86152845806583767</v>
      </c>
      <c r="DJ87" s="4">
        <f>CW87</f>
        <v>1.4535769455286924</v>
      </c>
      <c r="DK87" s="4">
        <f>CZ87</f>
        <v>2.7074357826389104</v>
      </c>
      <c r="DL87" s="4">
        <f>CX87</f>
        <v>8.1721072901959015</v>
      </c>
      <c r="DM87" s="4">
        <f>CY87</f>
        <v>1</v>
      </c>
      <c r="DO87" s="4">
        <f>AM87</f>
        <v>2</v>
      </c>
      <c r="DP87" s="4">
        <f>K87</f>
        <v>88.8</v>
      </c>
      <c r="DS87" s="4">
        <f>J87/4/(1-0.3*(L87/30)^0.5)/200000/M87</f>
        <v>1.3307058507295954E-5</v>
      </c>
      <c r="DT87" s="4">
        <f>EO87</f>
        <v>14.311999279173566</v>
      </c>
      <c r="DU87" s="4">
        <f>EB87*AF87/257/L87/AC87</f>
        <v>0</v>
      </c>
      <c r="DV87" s="4">
        <f>DT87*DU87^0.4</f>
        <v>0</v>
      </c>
      <c r="DW87" s="4">
        <f>MIN(DT87, DT87/1.4*(1-DU87^1.4)/(1-DU87))</f>
        <v>10.22285662798112</v>
      </c>
      <c r="DX87" s="4">
        <f>MAX(DT87/2, (4-DS87*(8*AF87*(DV87-DW87)+6*J87*DW87))/(4+DS87*J87*DT87)*DT87)</f>
        <v>14.185983132637253</v>
      </c>
      <c r="DY87" s="38">
        <f>MIN(1/M87*(4*AF87*(DV87-DW87)+(3*DW87+DX87)*J87)+EB87 -FI87,MAX(I87,AI87))</f>
        <v>87.982202688722182</v>
      </c>
      <c r="DZ87" s="4">
        <f>DY87/FE87</f>
        <v>0.88273162777374081</v>
      </c>
      <c r="EA87" s="4">
        <f>AF87/M87</f>
        <v>2.2360679774997898</v>
      </c>
      <c r="EB87" s="4">
        <f>MIN(EA$10*BA87)</f>
        <v>0</v>
      </c>
      <c r="EF87" s="4">
        <f>IF(T87&gt;1*M87,0.85,1)</f>
        <v>0.85</v>
      </c>
      <c r="EG87" s="4">
        <f>MIN(1,MAX(0.7,(1-0.1*(BY87-1*M87)/M87)))</f>
        <v>1</v>
      </c>
      <c r="EH87" s="4">
        <f>MIN(1,MAX(0.7,1-0.3*(PI()*AL87^2/4*AP87*2-0.25*PI()/4*M87^2)/(PI()/4*M87^2)))</f>
        <v>0.8552532261991721</v>
      </c>
      <c r="EI87" s="4">
        <f>IF(EG87*EH87&lt;0.7,0.7,EG87*EH87)</f>
        <v>0.8552532261991721</v>
      </c>
      <c r="EK87" s="4">
        <f>MIN(DT87/M87*3*J87+EL87-FI87,MAX(I87,AI87))</f>
        <v>719</v>
      </c>
      <c r="EL87" s="25">
        <f>26.5*P87*J87^0.5*L87^0.5/W87/M87^2*(0.7+R87/5/J87)</f>
        <v>792.6169156169592</v>
      </c>
      <c r="EO87" s="4">
        <f>IF(M87&lt;22.2,1.1*5*(L87/30)^0.5,IF(M87&gt;=31.8,0.9*5*(L87/30)^0.5,1*5*(L87/30)^0.5))/EF87/EI87</f>
        <v>14.311999279173566</v>
      </c>
      <c r="ER87" s="4">
        <f>ES87*M87</f>
        <v>49.640709100495329</v>
      </c>
      <c r="ES87" s="4">
        <f>AE87^0.5</f>
        <v>2.2360679774997898</v>
      </c>
      <c r="ET87" s="4">
        <f>MIN(EB87)/(4700*L87^0.5)/AD87*ER87</f>
        <v>0</v>
      </c>
      <c r="EW87" s="4">
        <f>ET87</f>
        <v>0</v>
      </c>
      <c r="EX87" s="4">
        <f>MIN(0.999, EW87/(0.3*(L87/30)^0.5))</f>
        <v>0</v>
      </c>
      <c r="EY87" s="4">
        <f>EO87/1*EX87^0.4</f>
        <v>0</v>
      </c>
      <c r="EZ87" s="4">
        <f>EO87/1.4*(1-EX87^1.4)/(1-EX87)</f>
        <v>10.22285662798112</v>
      </c>
      <c r="FA87" s="4">
        <f>MAX(0,DP87*FA$9-ER87)</f>
        <v>0</v>
      </c>
      <c r="FB87" s="4">
        <f>MAX(0,DP87-ER87-FA87)</f>
        <v>39.159290899504668</v>
      </c>
      <c r="FC87" s="4">
        <f>FB87/(1-0.3*(L87/30)^0.5)/200000/M87</f>
        <v>2.347274662630318E-5</v>
      </c>
      <c r="FD87" s="4">
        <f>MAX(0.5*EO87, (1-2*FC87*(ER87*EY87+FA87*EZ87))/(1/EO87+FC87*FB87))</f>
        <v>14.126166063136274</v>
      </c>
      <c r="FE87" s="4">
        <f>MIN(4/M87*(1*EY87*ER87+EZ87*FA87+FB87*FD87)+EB87,MAX(I87,AI87))</f>
        <v>99.670386695687228</v>
      </c>
      <c r="FN87" s="23">
        <f>IF(CT87&lt;0.6,0.6,IF(CT87&lt;0.8,0.8,IF(CT87&lt;1,1,IF(CT87&lt;1.2,1.2,IF(CT87&lt;1.4,1.4,IF(CT87&lt;1.6,1.6,IF(CT87&lt;1.8,1.8,IF(CT87&lt;2,2,2.2))))))))</f>
        <v>2.2000000000000002</v>
      </c>
      <c r="FO87" s="23">
        <f>IF(CU87&lt;0.6,0.6,IF(CU87&lt;0.8,0.8,IF(CU87&lt;1,1,IF(CU87&lt;1.2,1.2,IF(CU87&lt;1.4,1.4,IF(CU87&lt;1.6,1.6,IF(CU87&lt;1.8,1.8,IF(CU87&lt;2,2,2.2))))))))</f>
        <v>1</v>
      </c>
      <c r="FP87" s="23">
        <f>IF(CZ87&lt;0.6,0.6,IF(CZ87&lt;0.8,0.8,IF(CZ87&lt;1,1,IF(CZ87&lt;1.2,1.2,IF(CZ87&lt;1.4,1.4,IF(CZ87&lt;1.6,1.6,IF(CZ87&lt;1.8,1.8,IF(CZ87&lt;2,2,2.2))))))))</f>
        <v>2.2000000000000002</v>
      </c>
      <c r="FQ87" s="23">
        <f>IF(CW87&lt;0.6,0.6,IF(CW87&lt;0.8,0.8,IF(CW87&lt;1,1,IF(CW87&lt;1.2,1.2,IF(CW87&lt;1.4,1.4,IF(CW87&lt;1.6,1.6,IF(CW87&lt;1.8,1.8,IF(CW87&lt;2,2,2.2))))))))</f>
        <v>1.6</v>
      </c>
      <c r="FR87" s="23">
        <f>IF(CX87&lt;0.6,0.6,IF(CX87&lt;0.8,0.8,IF(CX87&lt;1,1,IF(CX87&lt;1.2,1.2,IF(CX87&lt;1.4,1.4,IF(CX87&lt;1.6,1.6,IF(CX87&lt;1.8,1.8,IF(CX87&lt;2,2,2.2))))))))</f>
        <v>2.2000000000000002</v>
      </c>
      <c r="FS87" s="23">
        <f>IF(CY87&lt;0.6,0.6,IF(CY87&lt;0.8,0.8,IF(CY87&lt;1,1,IF(CY87&lt;1.2,1.2,IF(CY87&lt;1.4,1.4,IF(CY87&lt;1.6,1.6,IF(CY87&lt;1.8,1.8,IF(CY87&lt;2,2,2.2))))))))</f>
        <v>1.2</v>
      </c>
      <c r="FT87" s="23">
        <f>IF(FR87&lt;1,1,0)</f>
        <v>0</v>
      </c>
      <c r="FU87" s="23"/>
      <c r="GE87" s="4">
        <f>IF(R87&gt;=2.5*25.4,1,1.25)</f>
        <v>1.25</v>
      </c>
      <c r="GF87" s="4">
        <f>IF(AN87&gt;1, 0.05*(18-MIN(8,(V87+M87)/M87))*(1-48000/MAX(60000,(I87*145))*(M87/25.4)^0.75*GG87), 1/12*(14-MIN(8,(V87+M87)/M87)))</f>
        <v>0.4338950222651346</v>
      </c>
      <c r="GG87" s="4">
        <f>MIN(0.3, AL87^2*PI()/4*2*AO87/(M87^2*PI()/4*W87))</f>
        <v>0.3</v>
      </c>
      <c r="GH87" s="4">
        <f>(J87/25.4)/(M87/25.4)^1.5/0.0024*(L87*145)^0.25/GE87/GF87/145</f>
        <v>265.56493218066208</v>
      </c>
    </row>
    <row r="88" spans="1:195" s="4" customFormat="1" ht="12" customHeight="1" x14ac:dyDescent="0.3">
      <c r="A88" s="25">
        <v>178</v>
      </c>
      <c r="B88" s="24" t="s">
        <v>128</v>
      </c>
      <c r="C88" s="24">
        <v>2017</v>
      </c>
      <c r="D88" s="24" t="s">
        <v>309</v>
      </c>
      <c r="E88" s="24"/>
      <c r="F88" s="109" t="s">
        <v>816</v>
      </c>
      <c r="G88" s="4" t="s">
        <v>153</v>
      </c>
      <c r="H88" s="5">
        <f t="shared" si="0"/>
        <v>2.7020787380856599</v>
      </c>
      <c r="I88" s="86">
        <v>679</v>
      </c>
      <c r="J88" s="84">
        <f>4*M88</f>
        <v>88.8</v>
      </c>
      <c r="K88" s="7">
        <f>J88</f>
        <v>88.8</v>
      </c>
      <c r="L88" s="10">
        <v>129.9</v>
      </c>
      <c r="M88" s="80">
        <v>22.2</v>
      </c>
      <c r="N88" s="7">
        <f>J88/M88</f>
        <v>4</v>
      </c>
      <c r="O88" s="7">
        <f>K88/M88</f>
        <v>4</v>
      </c>
      <c r="P88" s="7">
        <v>366</v>
      </c>
      <c r="Q88" s="32">
        <f>R88/M88</f>
        <v>1</v>
      </c>
      <c r="R88" s="7">
        <f>1*M88</f>
        <v>22.2</v>
      </c>
      <c r="S88" s="32">
        <f>T88/M88</f>
        <v>1.3153153153153154</v>
      </c>
      <c r="T88" s="7">
        <f>118-K88</f>
        <v>29.200000000000003</v>
      </c>
      <c r="U88" s="32">
        <f>V88/M88</f>
        <v>12.48648648648649</v>
      </c>
      <c r="V88" s="7">
        <f>P88-2*M88-2*R88</f>
        <v>277.20000000000005</v>
      </c>
      <c r="W88" s="7">
        <v>2</v>
      </c>
      <c r="X88" s="122">
        <f>AM88</f>
        <v>0</v>
      </c>
      <c r="Y88" s="32">
        <f>Z88/M88</f>
        <v>2.6666666666666665</v>
      </c>
      <c r="Z88" s="10">
        <f>2/3*J88</f>
        <v>59.199999999999996</v>
      </c>
      <c r="AA88" s="7">
        <f>MIN(R88/M88+0.5, V88/2/M88+0.5)</f>
        <v>1.5</v>
      </c>
      <c r="AB88" s="7">
        <f>R88/M88+0.5</f>
        <v>1.5</v>
      </c>
      <c r="AC88" s="7">
        <f>2040/510</f>
        <v>4</v>
      </c>
      <c r="AD88" s="7">
        <f>2040/510</f>
        <v>4</v>
      </c>
      <c r="AE88" s="7">
        <f>AD88+1</f>
        <v>5</v>
      </c>
      <c r="AF88" s="7">
        <f>M88*AE88^0.5</f>
        <v>49.640709100495329</v>
      </c>
      <c r="AG88" s="7">
        <f>I88</f>
        <v>679</v>
      </c>
      <c r="AH88" s="7">
        <v>8</v>
      </c>
      <c r="AI88" s="7">
        <f>(678+662)/2</f>
        <v>670</v>
      </c>
      <c r="AJ88" s="7"/>
      <c r="AK88" s="4">
        <f>CX88</f>
        <v>8.8966508266597799</v>
      </c>
      <c r="AL88" s="7">
        <v>0</v>
      </c>
      <c r="AM88" s="7">
        <v>0</v>
      </c>
      <c r="AN88" s="7">
        <f>K88</f>
        <v>88.8</v>
      </c>
      <c r="AO88" s="7"/>
      <c r="AP88" s="7"/>
      <c r="AQ88" s="7">
        <f>3*AR88/(V88+M88)</f>
        <v>0.88977955911823625</v>
      </c>
      <c r="AR88" s="4">
        <f>J88</f>
        <v>88.8</v>
      </c>
      <c r="AS88" s="4">
        <f>IF(J88*3&gt;V88+M88, P88, (R88+M88/2)*2+1.5*J88*(2*W88-2))*(3*J88)/(9*J88^2)</f>
        <v>1.25</v>
      </c>
      <c r="AT88" s="4">
        <f>MIN(10*L88^0.5*J88^1.5,100*3.9*L88^0.5*J88^(5/3))/(PI()/4*M88^2)/W88</f>
        <v>123.19645135939774</v>
      </c>
      <c r="AU88" s="4">
        <f>MIN(0.7+0.3*(MIN(R88,Z88)+0.5*M88)/1.5/J88,1)</f>
        <v>0.77499999999999991</v>
      </c>
      <c r="AV88" s="4">
        <v>1.25</v>
      </c>
      <c r="AW88" s="47">
        <f>AW87</f>
        <v>2.5</v>
      </c>
      <c r="AX88" s="38">
        <f>AS88*AU88*AV88*AW88*AT88</f>
        <v>372.95800704505172</v>
      </c>
      <c r="AY88" s="38">
        <f>AX88</f>
        <v>372.95800704505172</v>
      </c>
      <c r="AZ88" s="38">
        <f>IF(L88&lt;50, 0.3*L88^(2/3), 2.12*LN(1+0.1*(L88+8)))</f>
        <v>5.7111767066521422</v>
      </c>
      <c r="BA88" s="38">
        <f>AW88* (L88^0.5/AR88^0.5)/(PI()/4*M88^2)/W88/0.72 *(0.7+(MIN(R88,Z88)+0.5*M88)/5/J88) *(3*P88*J88)</f>
        <v>409.91780954501183</v>
      </c>
      <c r="BB88" s="38">
        <f>AX88/BA88</f>
        <v>0.90983606557377039</v>
      </c>
      <c r="BC88" s="38">
        <f>BG88/BA88</f>
        <v>1.9013567643355016</v>
      </c>
      <c r="BD88" s="4">
        <f>IF(BC88&lt;1,1,0)</f>
        <v>0</v>
      </c>
      <c r="BE88" s="4">
        <f>K88/M88*L88^0.5/0.19</f>
        <v>239.94459194200661</v>
      </c>
      <c r="BF88" s="4">
        <f>MIN(0.6+0.4*(AB88/AA88),2)</f>
        <v>1</v>
      </c>
      <c r="BG88" s="38">
        <f>2*L88*AA88*AC88^0.5*BF88*0.7/0.7</f>
        <v>779.40000000000009</v>
      </c>
      <c r="BH88" s="4">
        <f>MAX(1-0.7*AD88/5,0.3)</f>
        <v>0.44000000000000006</v>
      </c>
      <c r="BI88" s="4">
        <f>BH88*I88*K88/(I88*M88/2.75/L88^0.5)</f>
        <v>55.163261687467326</v>
      </c>
      <c r="BJ88" s="4">
        <f>BG88+BI88</f>
        <v>834.56326168746739</v>
      </c>
      <c r="BL88" s="4">
        <f>MIN(1.5, 0.75+0.25*MIN(3,MAX(1,R88/M88))+0.4*MIN(1,(40*2*PI()*AL88^2/4/AN88/W88)/M88))</f>
        <v>1</v>
      </c>
      <c r="BM88" s="4">
        <f>(3*O88+30)*BL88*L88^0.5</f>
        <v>478.68946092430321</v>
      </c>
      <c r="BO88" s="4">
        <f>3.4/PI()^0.5*L88*AA88*AD88^0.5*BF88</f>
        <v>747.53991440910613</v>
      </c>
      <c r="BP88" s="4">
        <f>8/3*AG88*AH88^2/(AF88-M88-22)/M88*(AF88^2-M88^2)/(AF88^2-(M88+22)^2)</f>
        <v>3704.4961984911101</v>
      </c>
      <c r="BQ88" s="4">
        <f>BP88/BO88</f>
        <v>4.9555831429005819</v>
      </c>
      <c r="BY88" s="4">
        <f>IF(V88=0,R88,MIN(V88/2,R88))</f>
        <v>22.2</v>
      </c>
      <c r="CC88" s="9"/>
      <c r="CE88" s="9"/>
      <c r="CF88" s="9"/>
      <c r="CG88" s="9">
        <f>IF(V88=0,MIN(R88,T88),MIN(V88/2,R88,T88))</f>
        <v>22.2</v>
      </c>
      <c r="CH88" s="9">
        <f>MAX(V88/2,R88)</f>
        <v>138.60000000000002</v>
      </c>
      <c r="CI88" s="9">
        <f>(CG88/M88)^0.5*(CH88/CG88)^0.15</f>
        <v>1.3161686388047049</v>
      </c>
      <c r="CJ88" s="70">
        <v>0</v>
      </c>
      <c r="CK88" s="9">
        <f>MIN(PI()*AL88^2/4*AM88*2/W88/M88/MAX(0.01,AN88),0.05)</f>
        <v>0</v>
      </c>
      <c r="CL88" s="9">
        <f>MAX(0,CJ88*(CK88-0.5/50))</f>
        <v>0</v>
      </c>
      <c r="CM88" s="9">
        <f>MIN(1,(25/M88)^0.3)</f>
        <v>1</v>
      </c>
      <c r="CN88" s="9">
        <f>IF(I88&gt;=800,0.68,IF(I88&gt;=700,0.75-(I88-700)*0.07/100,IF(I88&gt;=600,0.85-(I88-600)*0.1/100,IF(I88&gt;=500,1-(I88-500)*0.15/100,1.2-(I88-400)*0.2/100))))</f>
        <v>0.77100000000000002</v>
      </c>
      <c r="CO88" s="9">
        <f>1.75*CM88*CN88*(L88/25)^0.5</f>
        <v>3.0755797864386483</v>
      </c>
      <c r="CP88" s="9">
        <f>MIN((CI88+CL88)*CO88,2.5*CO88,L88^0.5)</f>
        <v>4.047981661052221</v>
      </c>
      <c r="CQ88" s="9">
        <v>1</v>
      </c>
      <c r="CR88" s="9">
        <f>4*CP88*O88+60*CP88</f>
        <v>307.64660623996883</v>
      </c>
      <c r="CT88" s="4">
        <f>AI88/BE88</f>
        <v>2.7923113189478994</v>
      </c>
      <c r="CU88" s="4">
        <f>AI88/BJ88</f>
        <v>0.80281511391392391</v>
      </c>
      <c r="CV88" s="4">
        <f>AI88/BM88</f>
        <v>1.3996547964651125</v>
      </c>
      <c r="CW88" s="4">
        <f>AI88/CR88</f>
        <v>2.1778234715106537</v>
      </c>
      <c r="CX88" s="44">
        <f>AI88/DY88</f>
        <v>8.8966508266597799</v>
      </c>
      <c r="CY88" s="4">
        <f>AI88/EK88</f>
        <v>0.98674521354933731</v>
      </c>
      <c r="CZ88" s="4">
        <f>AI88/GH88</f>
        <v>2.9072970877236819</v>
      </c>
      <c r="DB88" s="4">
        <f>CT88</f>
        <v>2.7923113189478994</v>
      </c>
      <c r="DC88" s="4">
        <f>CU88</f>
        <v>0.80281511391392391</v>
      </c>
      <c r="DD88" s="4">
        <f>CW88</f>
        <v>2.1778234715106537</v>
      </c>
      <c r="DE88" s="4">
        <f>CZ88</f>
        <v>2.9072970877236819</v>
      </c>
      <c r="DF88" s="4">
        <f>CX88</f>
        <v>8.8966508266597799</v>
      </c>
      <c r="DG88" s="4">
        <f>CY88</f>
        <v>0.98674521354933731</v>
      </c>
      <c r="DO88" s="4">
        <f>AM88</f>
        <v>0</v>
      </c>
      <c r="DP88" s="4">
        <f>K88</f>
        <v>88.8</v>
      </c>
      <c r="DS88" s="4">
        <f>J88/4/(1-0.3*(L88/30)^0.5)/200000/M88</f>
        <v>1.3307058507295954E-5</v>
      </c>
      <c r="DT88" s="4">
        <f>EO88</f>
        <v>12.240383556873418</v>
      </c>
      <c r="DU88" s="4">
        <f>EB88*AF88/257/L88/AC88</f>
        <v>0</v>
      </c>
      <c r="DV88" s="4">
        <f>DT88*DU88^0.4</f>
        <v>0</v>
      </c>
      <c r="DW88" s="4">
        <f>MIN(DT88, DT88/1.4*(1-DU88^1.4)/(1-DU88))</f>
        <v>8.743131112052442</v>
      </c>
      <c r="DX88" s="4">
        <f>MAX(DT88/2, (4-DS88*(8*AF88*(DV88-DW88)+6*J88*DW88))/(4+DS88*J88*DT88)*DT88)</f>
        <v>12.148151820918111</v>
      </c>
      <c r="DY88" s="38">
        <f>MIN(1/M88*(4*AF88*(DV88-DW88)+(3*DW88+DX88)*J88)+EB88 -FI88,MAX(I88,AI88))</f>
        <v>75.309238617331403</v>
      </c>
      <c r="DZ88" s="4">
        <f>DY88/FE88</f>
        <v>0.88180059515028708</v>
      </c>
      <c r="EA88" s="4">
        <f>AF88/M88</f>
        <v>2.2360679774997898</v>
      </c>
      <c r="EB88" s="4">
        <f>MIN(EA$10*BA88)</f>
        <v>0</v>
      </c>
      <c r="EF88" s="4">
        <f>IF(T88&gt;1*M88,0.85,1)</f>
        <v>0.85</v>
      </c>
      <c r="EG88" s="4">
        <f>MIN(1,MAX(0.7,(1-0.1*(BY88-1*M88)/M88)))</f>
        <v>1</v>
      </c>
      <c r="EH88" s="4">
        <f>MIN(1,MAX(0.7,1-0.3*(PI()*AL88^2/4*AP88*2-0.25*PI()/4*M88^2)/(PI()/4*M88^2)))</f>
        <v>1</v>
      </c>
      <c r="EI88" s="4">
        <f>IF(EG88*EH88&lt;0.7,0.7,EG88*EH88)</f>
        <v>1</v>
      </c>
      <c r="EK88" s="4">
        <f>MIN(DT88/M88*3*J88+EL88-FI88,MAX(I88,AI88))</f>
        <v>679</v>
      </c>
      <c r="EL88" s="25">
        <f>26.5*P88*J88^0.5*L88^0.5/W88/M88^2*(0.7+R88/5/J88)</f>
        <v>792.6169156169592</v>
      </c>
      <c r="EO88" s="4">
        <f>IF(M88&lt;22.2,1.1*5*(L88/30)^0.5,IF(M88&gt;=31.8,0.9*5*(L88/30)^0.5,1*5*(L88/30)^0.5))/EF88/EI88</f>
        <v>12.240383556873418</v>
      </c>
      <c r="ER88" s="4">
        <f>ES88*M88</f>
        <v>49.640709100495329</v>
      </c>
      <c r="ES88" s="4">
        <f>AE88^0.5</f>
        <v>2.2360679774997898</v>
      </c>
      <c r="ET88" s="4">
        <f>MIN(EB88)/(4700*L88^0.5)/AD88*ER88</f>
        <v>0</v>
      </c>
      <c r="EW88" s="4">
        <f>ET88</f>
        <v>0</v>
      </c>
      <c r="EX88" s="4">
        <f>MIN(0.999, EW88/(0.3*(L88/30)^0.5))</f>
        <v>0</v>
      </c>
      <c r="EY88" s="4">
        <f>EO88/1*EX88^0.4</f>
        <v>0</v>
      </c>
      <c r="EZ88" s="4">
        <f>EO88/1.4*(1-EX88^1.4)/(1-EX88)</f>
        <v>8.743131112052442</v>
      </c>
      <c r="FA88" s="4">
        <f>MAX(0,DP88*FA$9-ER88)</f>
        <v>0</v>
      </c>
      <c r="FB88" s="4">
        <f>MAX(0,DP88-ER88-FA88)</f>
        <v>39.159290899504668</v>
      </c>
      <c r="FC88" s="4">
        <f>FB88/(1-0.3*(L88/30)^0.5)/200000/M88</f>
        <v>2.347274662630318E-5</v>
      </c>
      <c r="FD88" s="4">
        <f>MAX(0.5*EO88, (1-2*FC88*(ER88*EY88+FA88*EZ88))/(1/EO88+FC88*FB88))</f>
        <v>12.104198395417335</v>
      </c>
      <c r="FE88" s="4">
        <f>MIN(4/M88*(1*EY88*ER88+EZ88*FA88+FB88*FD88)+EB88,MAX(I88,AI88))</f>
        <v>85.403932625489205</v>
      </c>
      <c r="FN88" s="23">
        <f>IF(CT88&lt;0.6,0.6,IF(CT88&lt;0.8,0.8,IF(CT88&lt;1,1,IF(CT88&lt;1.2,1.2,IF(CT88&lt;1.4,1.4,IF(CT88&lt;1.6,1.6,IF(CT88&lt;1.8,1.8,IF(CT88&lt;2,2,2.2))))))))</f>
        <v>2.2000000000000002</v>
      </c>
      <c r="FO88" s="23">
        <f>IF(CU88&lt;0.6,0.6,IF(CU88&lt;0.8,0.8,IF(CU88&lt;1,1,IF(CU88&lt;1.2,1.2,IF(CU88&lt;1.4,1.4,IF(CU88&lt;1.6,1.6,IF(CU88&lt;1.8,1.8,IF(CU88&lt;2,2,2.2))))))))</f>
        <v>1</v>
      </c>
      <c r="FP88" s="23">
        <f>IF(CZ88&lt;0.6,0.6,IF(CZ88&lt;0.8,0.8,IF(CZ88&lt;1,1,IF(CZ88&lt;1.2,1.2,IF(CZ88&lt;1.4,1.4,IF(CZ88&lt;1.6,1.6,IF(CZ88&lt;1.8,1.8,IF(CZ88&lt;2,2,2.2))))))))</f>
        <v>2.2000000000000002</v>
      </c>
      <c r="FQ88" s="23">
        <f>IF(CW88&lt;0.6,0.6,IF(CW88&lt;0.8,0.8,IF(CW88&lt;1,1,IF(CW88&lt;1.2,1.2,IF(CW88&lt;1.4,1.4,IF(CW88&lt;1.6,1.6,IF(CW88&lt;1.8,1.8,IF(CW88&lt;2,2,2.2))))))))</f>
        <v>2.2000000000000002</v>
      </c>
      <c r="FR88" s="23">
        <f>IF(CX88&lt;0.6,0.6,IF(CX88&lt;0.8,0.8,IF(CX88&lt;1,1,IF(CX88&lt;1.2,1.2,IF(CX88&lt;1.4,1.4,IF(CX88&lt;1.6,1.6,IF(CX88&lt;1.8,1.8,IF(CX88&lt;2,2,2.2))))))))</f>
        <v>2.2000000000000002</v>
      </c>
      <c r="FS88" s="23">
        <f>IF(CY88&lt;0.6,0.6,IF(CY88&lt;0.8,0.8,IF(CY88&lt;1,1,IF(CY88&lt;1.2,1.2,IF(CY88&lt;1.4,1.4,IF(CY88&lt;1.6,1.6,IF(CY88&lt;1.8,1.8,IF(CY88&lt;2,2,2.2))))))))</f>
        <v>1</v>
      </c>
      <c r="FT88" s="23">
        <f>IF(FR88&lt;1,1,0)</f>
        <v>0</v>
      </c>
      <c r="FU88" s="23"/>
      <c r="GE88" s="4">
        <f>IF(R88&gt;=2.5*25.4,1,1.25)</f>
        <v>1.25</v>
      </c>
      <c r="GF88" s="4">
        <f>IF(AN88&gt;1, 0.05*(18-MIN(8,(V88+M88)/M88))*(1-48000/MAX(60000,(I88*145))*(M88/25.4)^0.75*GG88), 1/12*(14-MIN(8,(V88+M88)/M88)))</f>
        <v>0.5</v>
      </c>
      <c r="GG88" s="4">
        <f>MIN(0.3, AL88^2*PI()/4*2*AO88/(M88^2*PI()/4*W88))</f>
        <v>0</v>
      </c>
      <c r="GH88" s="4">
        <f>(J88/25.4)/(M88/25.4)^1.5/0.0024*(L88*145)^0.25/GE88/GF88/145</f>
        <v>230.4546043227347</v>
      </c>
    </row>
    <row r="89" spans="1:195" s="4" customFormat="1" ht="12" customHeight="1" x14ac:dyDescent="0.3">
      <c r="A89" s="25">
        <v>179</v>
      </c>
      <c r="B89" s="24" t="s">
        <v>128</v>
      </c>
      <c r="C89" s="24">
        <v>2017</v>
      </c>
      <c r="D89" s="24" t="s">
        <v>309</v>
      </c>
      <c r="E89" s="24"/>
      <c r="F89" s="109" t="s">
        <v>816</v>
      </c>
      <c r="G89" s="4" t="s">
        <v>311</v>
      </c>
      <c r="H89" s="5">
        <f t="shared" si="0"/>
        <v>2.7020787380856599</v>
      </c>
      <c r="I89" s="86">
        <v>679</v>
      </c>
      <c r="J89" s="84">
        <f>4*M89</f>
        <v>88.8</v>
      </c>
      <c r="K89" s="7">
        <f>J89</f>
        <v>88.8</v>
      </c>
      <c r="L89" s="10">
        <v>129.9</v>
      </c>
      <c r="M89" s="80">
        <v>22.2</v>
      </c>
      <c r="N89" s="7">
        <f>J89/M89</f>
        <v>4</v>
      </c>
      <c r="O89" s="7">
        <f>K89/M89</f>
        <v>4</v>
      </c>
      <c r="P89" s="7">
        <v>366</v>
      </c>
      <c r="Q89" s="32">
        <f>R89/M89</f>
        <v>1</v>
      </c>
      <c r="R89" s="7">
        <f>1*M89</f>
        <v>22.2</v>
      </c>
      <c r="S89" s="32">
        <f>T89/M89</f>
        <v>1.3153153153153154</v>
      </c>
      <c r="T89" s="7">
        <f>118-K89</f>
        <v>29.200000000000003</v>
      </c>
      <c r="U89" s="32">
        <f>V89/M89</f>
        <v>12.48648648648649</v>
      </c>
      <c r="V89" s="7">
        <f>P89-2*M89-2*R89</f>
        <v>277.20000000000005</v>
      </c>
      <c r="W89" s="7">
        <v>2</v>
      </c>
      <c r="X89" s="122">
        <f>AM89</f>
        <v>0</v>
      </c>
      <c r="Y89" s="32">
        <f>Z89/M89</f>
        <v>2.6666666666666665</v>
      </c>
      <c r="Z89" s="10">
        <f>2/3*J89</f>
        <v>59.199999999999996</v>
      </c>
      <c r="AA89" s="7">
        <f>MIN(R89/M89+0.5, V89/2/M89+0.5)</f>
        <v>1.5</v>
      </c>
      <c r="AB89" s="7">
        <f>R89/M89+0.5</f>
        <v>1.5</v>
      </c>
      <c r="AC89" s="7">
        <f>2040/510</f>
        <v>4</v>
      </c>
      <c r="AD89" s="7">
        <f>2040/510</f>
        <v>4</v>
      </c>
      <c r="AE89" s="7">
        <f>AD89+1</f>
        <v>5</v>
      </c>
      <c r="AF89" s="7">
        <f>M89*AE89^0.5</f>
        <v>49.640709100495329</v>
      </c>
      <c r="AG89" s="7">
        <f>I89</f>
        <v>679</v>
      </c>
      <c r="AH89" s="7">
        <v>8</v>
      </c>
      <c r="AI89" s="7">
        <f>(711+686)/2</f>
        <v>698.5</v>
      </c>
      <c r="AJ89" s="7"/>
      <c r="AK89" s="4">
        <f>CX89</f>
        <v>9.2750904513759043</v>
      </c>
      <c r="AL89" s="7">
        <v>0</v>
      </c>
      <c r="AM89" s="7">
        <v>0</v>
      </c>
      <c r="AN89" s="7">
        <f>K89</f>
        <v>88.8</v>
      </c>
      <c r="AO89" s="7"/>
      <c r="AP89" s="7"/>
      <c r="AQ89" s="7">
        <f>3*AR89/(V89+M89)</f>
        <v>0.88977955911823625</v>
      </c>
      <c r="AR89" s="4">
        <f>J89</f>
        <v>88.8</v>
      </c>
      <c r="AS89" s="4">
        <f>IF(J89*3&gt;V89+M89, P89, (R89+M89/2)*2+1.5*J89*(2*W89-2))*(3*J89)/(9*J89^2)</f>
        <v>1.25</v>
      </c>
      <c r="AT89" s="4">
        <f>MIN(10*L89^0.5*J89^1.5,100*3.9*L89^0.5*J89^(5/3))/(PI()/4*M89^2)/W89</f>
        <v>123.19645135939774</v>
      </c>
      <c r="AU89" s="4">
        <f>MIN(0.7+0.3*(MIN(R89,Z89)+0.5*M89)/1.5/J89,1)</f>
        <v>0.77499999999999991</v>
      </c>
      <c r="AV89" s="4">
        <v>1.25</v>
      </c>
      <c r="AW89" s="47">
        <f>AW88</f>
        <v>2.5</v>
      </c>
      <c r="AX89" s="38">
        <f>AS89*AU89*AV89*AW89*AT89</f>
        <v>372.95800704505172</v>
      </c>
      <c r="AY89" s="38">
        <f>AX89</f>
        <v>372.95800704505172</v>
      </c>
      <c r="AZ89" s="38">
        <f>IF(L89&lt;50, 0.3*L89^(2/3), 2.12*LN(1+0.1*(L89+8)))</f>
        <v>5.7111767066521422</v>
      </c>
      <c r="BA89" s="38">
        <f>AW89* (L89^0.5/AR89^0.5)/(PI()/4*M89^2)/W89/0.72 *(0.7+(MIN(R89,Z89)+0.5*M89)/5/J89) *(3*P89*J89)</f>
        <v>409.91780954501183</v>
      </c>
      <c r="BB89" s="38">
        <f>AX89/BA89</f>
        <v>0.90983606557377039</v>
      </c>
      <c r="BC89" s="38">
        <f>BG89/BA89</f>
        <v>1.9013567643355016</v>
      </c>
      <c r="BD89" s="4">
        <f>IF(BC89&lt;1,1,0)</f>
        <v>0</v>
      </c>
      <c r="BE89" s="4">
        <f>K89/M89*L89^0.5/0.19</f>
        <v>239.94459194200661</v>
      </c>
      <c r="BF89" s="4">
        <f>MIN(0.6+0.4*(AB89/AA89),2)</f>
        <v>1</v>
      </c>
      <c r="BG89" s="38">
        <f>2*L89*AA89*AC89^0.5*BF89*0.7/0.7</f>
        <v>779.40000000000009</v>
      </c>
      <c r="BH89" s="4">
        <f>MAX(1-0.7*AD89/5,0.3)</f>
        <v>0.44000000000000006</v>
      </c>
      <c r="BI89" s="4">
        <f>BH89*I89*K89/(I89*M89/2.75/L89^0.5)</f>
        <v>55.163261687467326</v>
      </c>
      <c r="BJ89" s="4">
        <f>BG89+BI89</f>
        <v>834.56326168746739</v>
      </c>
      <c r="BL89" s="4">
        <f>MIN(1.5, 0.75+0.25*MIN(3,MAX(1,R89/M89))+0.4*MIN(1,(40*2*PI()*AL89^2/4/AN89/W89)/M89))</f>
        <v>1</v>
      </c>
      <c r="BM89" s="4">
        <f>(3*O89+30)*BL89*L89^0.5</f>
        <v>478.68946092430321</v>
      </c>
      <c r="BO89" s="4">
        <f>3.4/PI()^0.5*L89*AA89*AD89^0.5*BF89</f>
        <v>747.53991440910613</v>
      </c>
      <c r="BP89" s="4">
        <f>8/3*AG89*AH89^2/(AF89-M89-22)/M89*(AF89^2-M89^2)/(AF89^2-(M89+22)^2)</f>
        <v>3704.4961984911101</v>
      </c>
      <c r="BQ89" s="4">
        <f>BP89/BO89</f>
        <v>4.9555831429005819</v>
      </c>
      <c r="BY89" s="4">
        <f>IF(V89=0,R89,MIN(V89/2,R89))</f>
        <v>22.2</v>
      </c>
      <c r="CC89" s="9"/>
      <c r="CE89" s="9"/>
      <c r="CF89" s="9"/>
      <c r="CG89" s="9">
        <f>IF(V89=0,MIN(R89,T89),MIN(V89/2,R89,T89))</f>
        <v>22.2</v>
      </c>
      <c r="CH89" s="9">
        <f>MAX(V89/2,R89)</f>
        <v>138.60000000000002</v>
      </c>
      <c r="CI89" s="9">
        <f>(CG89/M89)^0.5*(CH89/CG89)^0.15</f>
        <v>1.3161686388047049</v>
      </c>
      <c r="CJ89" s="70">
        <v>0</v>
      </c>
      <c r="CK89" s="9">
        <f>MIN(PI()*AL89^2/4*AM89*2/W89/M89/MAX(0.01,AN89),0.05)</f>
        <v>0</v>
      </c>
      <c r="CL89" s="9">
        <f>MAX(0,CJ89*(CK89-0.5/50))</f>
        <v>0</v>
      </c>
      <c r="CM89" s="9">
        <f>MIN(1,(25/M89)^0.3)</f>
        <v>1</v>
      </c>
      <c r="CN89" s="9">
        <f>IF(I89&gt;=800,0.68,IF(I89&gt;=700,0.75-(I89-700)*0.07/100,IF(I89&gt;=600,0.85-(I89-600)*0.1/100,IF(I89&gt;=500,1-(I89-500)*0.15/100,1.2-(I89-400)*0.2/100))))</f>
        <v>0.77100000000000002</v>
      </c>
      <c r="CO89" s="9">
        <f>1.75*CM89*CN89*(L89/25)^0.5</f>
        <v>3.0755797864386483</v>
      </c>
      <c r="CP89" s="9">
        <f>MIN((CI89+CL89)*CO89,2.5*CO89,L89^0.5)</f>
        <v>4.047981661052221</v>
      </c>
      <c r="CQ89" s="9">
        <v>1</v>
      </c>
      <c r="CR89" s="9">
        <f>4*CP89*O89+60*CP89</f>
        <v>307.64660623996883</v>
      </c>
      <c r="CT89" s="4">
        <f>AI89/BE89</f>
        <v>2.9110887407240416</v>
      </c>
      <c r="CU89" s="4">
        <f>AI89/BJ89</f>
        <v>0.8369647120430983</v>
      </c>
      <c r="CV89" s="4">
        <f>AI89/BM89</f>
        <v>1.459192351240121</v>
      </c>
      <c r="CW89" s="4">
        <f>AI89/CR89</f>
        <v>2.2704622311196889</v>
      </c>
      <c r="CX89" s="44">
        <f>AI89/DY89</f>
        <v>9.2750904513759043</v>
      </c>
      <c r="CY89" s="4">
        <f>AI89/EK89</f>
        <v>1</v>
      </c>
      <c r="CZ89" s="4">
        <f>AI89/GH89</f>
        <v>3.0309656951865547</v>
      </c>
      <c r="DB89" s="4">
        <f>CT89</f>
        <v>2.9110887407240416</v>
      </c>
      <c r="DC89" s="4">
        <f>CU89</f>
        <v>0.8369647120430983</v>
      </c>
      <c r="DD89" s="4">
        <f>CW89</f>
        <v>2.2704622311196889</v>
      </c>
      <c r="DE89" s="4">
        <f>CZ89</f>
        <v>3.0309656951865547</v>
      </c>
      <c r="DF89" s="4">
        <f>CX89</f>
        <v>9.2750904513759043</v>
      </c>
      <c r="DG89" s="4">
        <f>CY89</f>
        <v>1</v>
      </c>
      <c r="DO89" s="4">
        <f>AM89</f>
        <v>0</v>
      </c>
      <c r="DP89" s="4">
        <f>K89</f>
        <v>88.8</v>
      </c>
      <c r="DS89" s="4">
        <f>J89/4/(1-0.3*(L89/30)^0.5)/200000/M89</f>
        <v>1.3307058507295954E-5</v>
      </c>
      <c r="DT89" s="4">
        <f>EO89</f>
        <v>12.240383556873418</v>
      </c>
      <c r="DU89" s="4">
        <f>EB89*AF89/257/L89/AC89</f>
        <v>0</v>
      </c>
      <c r="DV89" s="4">
        <f>DT89*DU89^0.4</f>
        <v>0</v>
      </c>
      <c r="DW89" s="4">
        <f>MIN(DT89, DT89/1.4*(1-DU89^1.4)/(1-DU89))</f>
        <v>8.743131112052442</v>
      </c>
      <c r="DX89" s="4">
        <f>MAX(DT89/2, (4-DS89*(8*AF89*(DV89-DW89)+6*J89*DW89))/(4+DS89*J89*DT89)*DT89)</f>
        <v>12.148151820918111</v>
      </c>
      <c r="DY89" s="38">
        <f>MIN(1/M89*(4*AF89*(DV89-DW89)+(3*DW89+DX89)*J89)+EB89 -FI89,MAX(I89,AI89))</f>
        <v>75.309238617331403</v>
      </c>
      <c r="DZ89" s="4">
        <f>DY89/FE89</f>
        <v>0.88180059515028708</v>
      </c>
      <c r="EA89" s="4">
        <f>AF89/M89</f>
        <v>2.2360679774997898</v>
      </c>
      <c r="EB89" s="4">
        <f>MIN(EA$10*BA89)</f>
        <v>0</v>
      </c>
      <c r="EF89" s="4">
        <f>IF(T89&gt;1*M89,0.85,1)</f>
        <v>0.85</v>
      </c>
      <c r="EG89" s="4">
        <f>MIN(1,MAX(0.7,(1-0.1*(BY89-1*M89)/M89)))</f>
        <v>1</v>
      </c>
      <c r="EH89" s="4">
        <f>MIN(1,MAX(0.7,1-0.3*(PI()*AL89^2/4*AP89*2-0.25*PI()/4*M89^2)/(PI()/4*M89^2)))</f>
        <v>1</v>
      </c>
      <c r="EI89" s="4">
        <f>IF(EG89*EH89&lt;0.7,0.7,EG89*EH89)</f>
        <v>1</v>
      </c>
      <c r="EK89" s="4">
        <f>MIN(DT89/M89*3*J89+EL89-FI89,MAX(I89,AI89))</f>
        <v>698.5</v>
      </c>
      <c r="EL89" s="25">
        <f>26.5*P89*J89^0.5*L89^0.5/W89/M89^2*(0.7+R89/5/J89)</f>
        <v>792.6169156169592</v>
      </c>
      <c r="EO89" s="4">
        <f>IF(M89&lt;22.2,1.1*5*(L89/30)^0.5,IF(M89&gt;=31.8,0.9*5*(L89/30)^0.5,1*5*(L89/30)^0.5))/EF89/EI89</f>
        <v>12.240383556873418</v>
      </c>
      <c r="ER89" s="4">
        <f>ES89*M89</f>
        <v>49.640709100495329</v>
      </c>
      <c r="ES89" s="4">
        <f>AE89^0.5</f>
        <v>2.2360679774997898</v>
      </c>
      <c r="ET89" s="4">
        <f>MIN(EB89)/(4700*L89^0.5)/AD89*ER89</f>
        <v>0</v>
      </c>
      <c r="EW89" s="4">
        <f>ET89</f>
        <v>0</v>
      </c>
      <c r="EX89" s="4">
        <f>MIN(0.999, EW89/(0.3*(L89/30)^0.5))</f>
        <v>0</v>
      </c>
      <c r="EY89" s="4">
        <f>EO89/1*EX89^0.4</f>
        <v>0</v>
      </c>
      <c r="EZ89" s="4">
        <f>EO89/1.4*(1-EX89^1.4)/(1-EX89)</f>
        <v>8.743131112052442</v>
      </c>
      <c r="FA89" s="4">
        <f>MAX(0,DP89*FA$9-ER89)</f>
        <v>0</v>
      </c>
      <c r="FB89" s="4">
        <f>MAX(0,DP89-ER89-FA89)</f>
        <v>39.159290899504668</v>
      </c>
      <c r="FC89" s="4">
        <f>FB89/(1-0.3*(L89/30)^0.5)/200000/M89</f>
        <v>2.347274662630318E-5</v>
      </c>
      <c r="FD89" s="4">
        <f>MAX(0.5*EO89, (1-2*FC89*(ER89*EY89+FA89*EZ89))/(1/EO89+FC89*FB89))</f>
        <v>12.104198395417335</v>
      </c>
      <c r="FE89" s="4">
        <f>MIN(4/M89*(1*EY89*ER89+EZ89*FA89+FB89*FD89)+EB89,MAX(I89,AI89))</f>
        <v>85.403932625489205</v>
      </c>
      <c r="FN89" s="23">
        <f>IF(CT89&lt;0.6,0.6,IF(CT89&lt;0.8,0.8,IF(CT89&lt;1,1,IF(CT89&lt;1.2,1.2,IF(CT89&lt;1.4,1.4,IF(CT89&lt;1.6,1.6,IF(CT89&lt;1.8,1.8,IF(CT89&lt;2,2,2.2))))))))</f>
        <v>2.2000000000000002</v>
      </c>
      <c r="FO89" s="23">
        <f>IF(CU89&lt;0.6,0.6,IF(CU89&lt;0.8,0.8,IF(CU89&lt;1,1,IF(CU89&lt;1.2,1.2,IF(CU89&lt;1.4,1.4,IF(CU89&lt;1.6,1.6,IF(CU89&lt;1.8,1.8,IF(CU89&lt;2,2,2.2))))))))</f>
        <v>1</v>
      </c>
      <c r="FP89" s="23">
        <f>IF(CZ89&lt;0.6,0.6,IF(CZ89&lt;0.8,0.8,IF(CZ89&lt;1,1,IF(CZ89&lt;1.2,1.2,IF(CZ89&lt;1.4,1.4,IF(CZ89&lt;1.6,1.6,IF(CZ89&lt;1.8,1.8,IF(CZ89&lt;2,2,2.2))))))))</f>
        <v>2.2000000000000002</v>
      </c>
      <c r="FQ89" s="23">
        <f>IF(CW89&lt;0.6,0.6,IF(CW89&lt;0.8,0.8,IF(CW89&lt;1,1,IF(CW89&lt;1.2,1.2,IF(CW89&lt;1.4,1.4,IF(CW89&lt;1.6,1.6,IF(CW89&lt;1.8,1.8,IF(CW89&lt;2,2,2.2))))))))</f>
        <v>2.2000000000000002</v>
      </c>
      <c r="FR89" s="23">
        <f>IF(CX89&lt;0.6,0.6,IF(CX89&lt;0.8,0.8,IF(CX89&lt;1,1,IF(CX89&lt;1.2,1.2,IF(CX89&lt;1.4,1.4,IF(CX89&lt;1.6,1.6,IF(CX89&lt;1.8,1.8,IF(CX89&lt;2,2,2.2))))))))</f>
        <v>2.2000000000000002</v>
      </c>
      <c r="FS89" s="23">
        <f>IF(CY89&lt;0.6,0.6,IF(CY89&lt;0.8,0.8,IF(CY89&lt;1,1,IF(CY89&lt;1.2,1.2,IF(CY89&lt;1.4,1.4,IF(CY89&lt;1.6,1.6,IF(CY89&lt;1.8,1.8,IF(CY89&lt;2,2,2.2))))))))</f>
        <v>1.2</v>
      </c>
      <c r="FT89" s="23">
        <f>IF(FR89&lt;1,1,0)</f>
        <v>0</v>
      </c>
      <c r="FU89" s="23"/>
      <c r="GE89" s="4">
        <f>IF(R89&gt;=2.5*25.4,1,1.25)</f>
        <v>1.25</v>
      </c>
      <c r="GF89" s="4">
        <f>IF(AN89&gt;1, 0.05*(18-MIN(8,(V89+M89)/M89))*(1-48000/MAX(60000,(I89*145))*(M89/25.4)^0.75*GG89), 1/12*(14-MIN(8,(V89+M89)/M89)))</f>
        <v>0.5</v>
      </c>
      <c r="GG89" s="4">
        <f>MIN(0.3, AL89^2*PI()/4*2*AO89/(M89^2*PI()/4*W89))</f>
        <v>0</v>
      </c>
      <c r="GH89" s="4">
        <f>(J89/25.4)/(M89/25.4)^1.5/0.0024*(L89*145)^0.25/GE89/GF89/145</f>
        <v>230.4546043227347</v>
      </c>
    </row>
    <row r="90" spans="1:195" s="4" customFormat="1" ht="12" customHeight="1" x14ac:dyDescent="0.3">
      <c r="A90" s="25">
        <v>180</v>
      </c>
      <c r="B90" s="24" t="s">
        <v>128</v>
      </c>
      <c r="C90" s="24">
        <v>2017</v>
      </c>
      <c r="D90" s="24" t="s">
        <v>309</v>
      </c>
      <c r="E90" s="24"/>
      <c r="F90" s="109" t="s">
        <v>816</v>
      </c>
      <c r="G90" s="4" t="s">
        <v>314</v>
      </c>
      <c r="H90" s="5">
        <f t="shared" si="0"/>
        <v>2.7020787380856599</v>
      </c>
      <c r="I90" s="86">
        <v>679</v>
      </c>
      <c r="J90" s="84">
        <f>4*M90</f>
        <v>88.8</v>
      </c>
      <c r="K90" s="7">
        <f>J90</f>
        <v>88.8</v>
      </c>
      <c r="L90" s="10">
        <v>129.9</v>
      </c>
      <c r="M90" s="80">
        <v>22.2</v>
      </c>
      <c r="N90" s="7">
        <f>J90/M90</f>
        <v>4</v>
      </c>
      <c r="O90" s="7">
        <f>K90/M90</f>
        <v>4</v>
      </c>
      <c r="P90" s="7">
        <v>388</v>
      </c>
      <c r="Q90" s="32">
        <f>R90/M90</f>
        <v>1.5</v>
      </c>
      <c r="R90" s="7">
        <f>1.5*M90</f>
        <v>33.299999999999997</v>
      </c>
      <c r="S90" s="32">
        <f>T90/M90</f>
        <v>1.3153153153153154</v>
      </c>
      <c r="T90" s="7">
        <f>118-K90</f>
        <v>29.200000000000003</v>
      </c>
      <c r="U90" s="32">
        <f>V90/M90</f>
        <v>12.477477477477478</v>
      </c>
      <c r="V90" s="7">
        <f>P90-2*M90-2*R90</f>
        <v>277</v>
      </c>
      <c r="W90" s="7">
        <v>2</v>
      </c>
      <c r="X90" s="122">
        <f>AM90</f>
        <v>0</v>
      </c>
      <c r="Y90" s="32">
        <f>Z90/M90</f>
        <v>2.6666666666666665</v>
      </c>
      <c r="Z90" s="10">
        <f>2/3*J90</f>
        <v>59.199999999999996</v>
      </c>
      <c r="AA90" s="7">
        <f>MIN(R90/M90+0.5, V90/2/M90+0.5)</f>
        <v>2</v>
      </c>
      <c r="AB90" s="7">
        <f>R90/M90+0.5</f>
        <v>2</v>
      </c>
      <c r="AC90" s="7">
        <f>2040/510</f>
        <v>4</v>
      </c>
      <c r="AD90" s="7">
        <f>2040/510</f>
        <v>4</v>
      </c>
      <c r="AE90" s="7">
        <f>AD90+1</f>
        <v>5</v>
      </c>
      <c r="AF90" s="7">
        <f>M90*AE90^0.5</f>
        <v>49.640709100495329</v>
      </c>
      <c r="AG90" s="7">
        <f>I90</f>
        <v>679</v>
      </c>
      <c r="AH90" s="7">
        <v>8</v>
      </c>
      <c r="AI90" s="7">
        <f>(751+699)/2</f>
        <v>725</v>
      </c>
      <c r="AJ90" s="7"/>
      <c r="AK90" s="4">
        <f>CX90</f>
        <v>9.1479739698679001</v>
      </c>
      <c r="AL90" s="7">
        <v>0</v>
      </c>
      <c r="AM90" s="7">
        <v>0</v>
      </c>
      <c r="AN90" s="7">
        <f>K90</f>
        <v>88.8</v>
      </c>
      <c r="AO90" s="7"/>
      <c r="AP90" s="7"/>
      <c r="AQ90" s="7">
        <f>3*AR90/(V90+M90)</f>
        <v>0.89037433155080214</v>
      </c>
      <c r="AR90" s="4">
        <f>J90</f>
        <v>88.8</v>
      </c>
      <c r="AS90" s="4">
        <f>IF(J90*3&gt;V90+M90, P90, (R90+M90/2)*2+1.5*J90*(2*W90-2))*(3*J90)/(9*J90^2)</f>
        <v>1.3333333333333333</v>
      </c>
      <c r="AT90" s="4">
        <f>MIN(10*L90^0.5*J90^1.5,100*3.9*L90^0.5*J90^(5/3))/(PI()/4*M90^2)/W90</f>
        <v>123.19645135939774</v>
      </c>
      <c r="AU90" s="4">
        <f>MIN(0.7+0.3*(MIN(R90,Z90)+0.5*M90)/1.5/J90,1)</f>
        <v>0.79999999999999993</v>
      </c>
      <c r="AV90" s="4">
        <v>1.25</v>
      </c>
      <c r="AW90" s="47">
        <f>AW89</f>
        <v>2.5</v>
      </c>
      <c r="AX90" s="38">
        <f>AS90*AU90*AV90*AW90*AT90</f>
        <v>410.65483786465904</v>
      </c>
      <c r="AY90" s="38">
        <f>AX90</f>
        <v>410.65483786465904</v>
      </c>
      <c r="AZ90" s="38">
        <f>IF(L90&lt;50, 0.3*L90^(2/3), 2.12*LN(1+0.1*(L90+8)))</f>
        <v>5.7111767066521422</v>
      </c>
      <c r="BA90" s="38">
        <f>AW90* (L90^0.5/AR90^0.5)/(PI()/4*M90^2)/W90/0.72 *(0.7+(MIN(R90,Z90)+0.5*M90)/5/J90) *(3*P90*J90)</f>
        <v>448.57566748729658</v>
      </c>
      <c r="BB90" s="38">
        <f>AX90/BA90</f>
        <v>0.91546391752577294</v>
      </c>
      <c r="BC90" s="38">
        <f>BG90/BA90</f>
        <v>2.3166660060299185</v>
      </c>
      <c r="BD90" s="4">
        <f>IF(BC90&lt;1,1,0)</f>
        <v>0</v>
      </c>
      <c r="BE90" s="4">
        <f>K90/M90*L90^0.5/0.19</f>
        <v>239.94459194200661</v>
      </c>
      <c r="BF90" s="4">
        <f>MIN(0.6+0.4*(AB90/AA90),2)</f>
        <v>1</v>
      </c>
      <c r="BG90" s="38">
        <f>2*L90*AA90*AC90^0.5*BF90*0.7/0.7</f>
        <v>1039.2</v>
      </c>
      <c r="BH90" s="4">
        <f>MAX(1-0.7*AD90/5,0.3)</f>
        <v>0.44000000000000006</v>
      </c>
      <c r="BI90" s="4">
        <f>BH90*I90*K90/(I90*M90/2.75/L90^0.5)</f>
        <v>55.163261687467326</v>
      </c>
      <c r="BJ90" s="4">
        <f>BG90+BI90</f>
        <v>1094.3632616874675</v>
      </c>
      <c r="BL90" s="4">
        <f>MIN(1.5, 0.75+0.25*MIN(3,MAX(1,R90/M90))+0.4*MIN(1,(40*2*PI()*AL90^2/4/AN90/W90)/M90))</f>
        <v>1.125</v>
      </c>
      <c r="BM90" s="4">
        <f>(3*O90+30)*BL90*L90^0.5</f>
        <v>538.5256435398411</v>
      </c>
      <c r="BO90" s="4">
        <f>3.4/PI()^0.5*L90*AA90*AD90^0.5*BF90</f>
        <v>996.71988587880821</v>
      </c>
      <c r="BP90" s="4">
        <f>8/3*AG90*AH90^2/(AF90-M90-22)/M90*(AF90^2-M90^2)/(AF90^2-(M90+22)^2)</f>
        <v>3704.4961984911101</v>
      </c>
      <c r="BQ90" s="4">
        <f>BP90/BO90</f>
        <v>3.7166873571754362</v>
      </c>
      <c r="BY90" s="4">
        <f>IF(V90=0,R90,MIN(V90/2,R90))</f>
        <v>33.299999999999997</v>
      </c>
      <c r="CC90" s="9"/>
      <c r="CE90" s="9"/>
      <c r="CF90" s="9"/>
      <c r="CG90" s="9">
        <f>IF(V90=0,MIN(R90,T90),MIN(V90/2,R90,T90))</f>
        <v>29.200000000000003</v>
      </c>
      <c r="CH90" s="9">
        <f>MAX(V90/2,R90)</f>
        <v>138.5</v>
      </c>
      <c r="CI90" s="9">
        <f>(CG90/M90)^0.5*(CH90/CG90)^0.15</f>
        <v>1.4485216037038422</v>
      </c>
      <c r="CJ90" s="70">
        <v>0</v>
      </c>
      <c r="CK90" s="9">
        <f>MIN(PI()*AL90^2/4*AM90*2/W90/M90/MAX(0.01,AN90),0.05)</f>
        <v>0</v>
      </c>
      <c r="CL90" s="9">
        <f>MAX(0,CJ90*(CK90-0.5/50))</f>
        <v>0</v>
      </c>
      <c r="CM90" s="9">
        <f>MIN(1,(25/M90)^0.3)</f>
        <v>1</v>
      </c>
      <c r="CN90" s="9">
        <f>IF(I90&gt;=800,0.68,IF(I90&gt;=700,0.75-(I90-700)*0.07/100,IF(I90&gt;=600,0.85-(I90-600)*0.1/100,IF(I90&gt;=500,1-(I90-500)*0.15/100,1.2-(I90-400)*0.2/100))))</f>
        <v>0.77100000000000002</v>
      </c>
      <c r="CO90" s="9">
        <f>1.75*CM90*CN90*(L90/25)^0.5</f>
        <v>3.0755797864386483</v>
      </c>
      <c r="CP90" s="9">
        <f>MIN((CI90+CL90)*CO90,2.5*CO90,L90^0.5)</f>
        <v>4.4550437645712311</v>
      </c>
      <c r="CQ90" s="9">
        <v>1</v>
      </c>
      <c r="CR90" s="9">
        <f>4*CP90*O90+60*CP90</f>
        <v>338.58332610741354</v>
      </c>
      <c r="CT90" s="4">
        <f>AI90/BE90</f>
        <v>3.0215309048316823</v>
      </c>
      <c r="CU90" s="4">
        <f>AI90/BJ90</f>
        <v>0.6624856895159994</v>
      </c>
      <c r="CV90" s="4">
        <f>AI90/BM90</f>
        <v>1.346268295107405</v>
      </c>
      <c r="CW90" s="4">
        <f>AI90/CR90</f>
        <v>2.1412749657081402</v>
      </c>
      <c r="CX90" s="44">
        <f>AI90/DY90</f>
        <v>9.1479739698679001</v>
      </c>
      <c r="CY90" s="4">
        <f>AI90/EK90</f>
        <v>1</v>
      </c>
      <c r="CZ90" s="4">
        <f>AI90/GH90</f>
        <v>3.1459558038801037</v>
      </c>
      <c r="DB90" s="4">
        <f>CT90</f>
        <v>3.0215309048316823</v>
      </c>
      <c r="DC90" s="4">
        <f>CU90</f>
        <v>0.6624856895159994</v>
      </c>
      <c r="DD90" s="4">
        <f>CW90</f>
        <v>2.1412749657081402</v>
      </c>
      <c r="DE90" s="4">
        <f>CZ90</f>
        <v>3.1459558038801037</v>
      </c>
      <c r="DF90" s="4">
        <f>CX90</f>
        <v>9.1479739698679001</v>
      </c>
      <c r="DG90" s="4">
        <f>CY90</f>
        <v>1</v>
      </c>
      <c r="DO90" s="4">
        <f>AM90</f>
        <v>0</v>
      </c>
      <c r="DP90" s="4">
        <f>K90</f>
        <v>88.8</v>
      </c>
      <c r="DS90" s="4">
        <f>J90/4/(1-0.3*(L90/30)^0.5)/200000/M90</f>
        <v>1.3307058507295954E-5</v>
      </c>
      <c r="DT90" s="4">
        <f>EO90</f>
        <v>12.884614270393072</v>
      </c>
      <c r="DU90" s="4">
        <f>EB90*AF90/257/L90/AC90</f>
        <v>0</v>
      </c>
      <c r="DV90" s="4">
        <f>DT90*DU90^0.4</f>
        <v>0</v>
      </c>
      <c r="DW90" s="4">
        <f>MIN(DT90, DT90/1.4*(1-DU90^1.4)/(1-DU90))</f>
        <v>9.2032959074236231</v>
      </c>
      <c r="DX90" s="4">
        <f>MAX(DT90/2, (4-DS90*(8*AF90*(DV90-DW90)+6*J90*DW90))/(4+DS90*J90*DT90)*DT90)</f>
        <v>12.782437816882654</v>
      </c>
      <c r="DY90" s="38">
        <f>MIN(1/M90*(4*AF90*(DV90-DW90)+(3*DW90+DX90)*J90)+EB90 -FI90,MAX(I90,AI90))</f>
        <v>79.252521092434776</v>
      </c>
      <c r="DZ90" s="4">
        <f>DY90/FE90</f>
        <v>0.88209032609662286</v>
      </c>
      <c r="EA90" s="4">
        <f>AF90/M90</f>
        <v>2.2360679774997898</v>
      </c>
      <c r="EB90" s="4">
        <f>MIN(EA$10*BA90)</f>
        <v>0</v>
      </c>
      <c r="EF90" s="4">
        <f>IF(T90&gt;1*M90,0.85,1)</f>
        <v>0.85</v>
      </c>
      <c r="EG90" s="4">
        <f>MIN(1,MAX(0.7,(1-0.1*(BY90-1*M90)/M90)))</f>
        <v>0.95</v>
      </c>
      <c r="EH90" s="4">
        <f>MIN(1,MAX(0.7,1-0.3*(PI()*AL90^2/4*AP90*2-0.25*PI()/4*M90^2)/(PI()/4*M90^2)))</f>
        <v>1</v>
      </c>
      <c r="EI90" s="4">
        <f>IF(EG90*EH90&lt;0.7,0.7,EG90*EH90)</f>
        <v>0.95</v>
      </c>
      <c r="EK90" s="4">
        <f>MIN(DT90/M90*3*J90+EL90-FI90,MAX(I90,AI90))</f>
        <v>725</v>
      </c>
      <c r="EL90" s="25">
        <f>26.5*P90*J90^0.5*L90^0.5/W90/M90^2*(0.7+R90/5/J90)</f>
        <v>868.2692405319475</v>
      </c>
      <c r="EO90" s="4">
        <f>IF(M90&lt;22.2,1.1*5*(L90/30)^0.5,IF(M90&gt;=31.8,0.9*5*(L90/30)^0.5,1*5*(L90/30)^0.5))/EF90/EI90</f>
        <v>12.884614270393072</v>
      </c>
      <c r="ER90" s="4">
        <f>ES90*M90</f>
        <v>49.640709100495329</v>
      </c>
      <c r="ES90" s="4">
        <f>AE90^0.5</f>
        <v>2.2360679774997898</v>
      </c>
      <c r="ET90" s="4">
        <f>MIN(EB90)/(4700*L90^0.5)/AD90*ER90</f>
        <v>0</v>
      </c>
      <c r="EW90" s="4">
        <f>ET90</f>
        <v>0</v>
      </c>
      <c r="EX90" s="4">
        <f>MIN(0.999, EW90/(0.3*(L90/30)^0.5))</f>
        <v>0</v>
      </c>
      <c r="EY90" s="4">
        <f>EO90/1*EX90^0.4</f>
        <v>0</v>
      </c>
      <c r="EZ90" s="4">
        <f>EO90/1.4*(1-EX90^1.4)/(1-EX90)</f>
        <v>9.2032959074236231</v>
      </c>
      <c r="FA90" s="4">
        <f>MAX(0,DP90*FA$9-ER90)</f>
        <v>0</v>
      </c>
      <c r="FB90" s="4">
        <f>MAX(0,DP90-ER90-FA90)</f>
        <v>39.159290899504668</v>
      </c>
      <c r="FC90" s="4">
        <f>FB90/(1-0.3*(L90/30)^0.5)/200000/M90</f>
        <v>2.347274662630318E-5</v>
      </c>
      <c r="FD90" s="4">
        <f>MAX(0.5*EO90, (1-2*FC90*(ER90*EY90+FA90*EZ90))/(1/EO90+FC90*FB90))</f>
        <v>12.733804894491934</v>
      </c>
      <c r="FE90" s="4">
        <f>MIN(4/M90*(1*EY90*ER90+EZ90*FA90+FB90*FD90)+EB90,MAX(I90,AI90))</f>
        <v>89.84626488665694</v>
      </c>
      <c r="FN90" s="23">
        <f>IF(CT90&lt;0.6,0.6,IF(CT90&lt;0.8,0.8,IF(CT90&lt;1,1,IF(CT90&lt;1.2,1.2,IF(CT90&lt;1.4,1.4,IF(CT90&lt;1.6,1.6,IF(CT90&lt;1.8,1.8,IF(CT90&lt;2,2,2.2))))))))</f>
        <v>2.2000000000000002</v>
      </c>
      <c r="FO90" s="23">
        <f>IF(CU90&lt;0.6,0.6,IF(CU90&lt;0.8,0.8,IF(CU90&lt;1,1,IF(CU90&lt;1.2,1.2,IF(CU90&lt;1.4,1.4,IF(CU90&lt;1.6,1.6,IF(CU90&lt;1.8,1.8,IF(CU90&lt;2,2,2.2))))))))</f>
        <v>0.8</v>
      </c>
      <c r="FP90" s="23">
        <f>IF(CZ90&lt;0.6,0.6,IF(CZ90&lt;0.8,0.8,IF(CZ90&lt;1,1,IF(CZ90&lt;1.2,1.2,IF(CZ90&lt;1.4,1.4,IF(CZ90&lt;1.6,1.6,IF(CZ90&lt;1.8,1.8,IF(CZ90&lt;2,2,2.2))))))))</f>
        <v>2.2000000000000002</v>
      </c>
      <c r="FQ90" s="23">
        <f>IF(CW90&lt;0.6,0.6,IF(CW90&lt;0.8,0.8,IF(CW90&lt;1,1,IF(CW90&lt;1.2,1.2,IF(CW90&lt;1.4,1.4,IF(CW90&lt;1.6,1.6,IF(CW90&lt;1.8,1.8,IF(CW90&lt;2,2,2.2))))))))</f>
        <v>2.2000000000000002</v>
      </c>
      <c r="FR90" s="23">
        <f>IF(CX90&lt;0.6,0.6,IF(CX90&lt;0.8,0.8,IF(CX90&lt;1,1,IF(CX90&lt;1.2,1.2,IF(CX90&lt;1.4,1.4,IF(CX90&lt;1.6,1.6,IF(CX90&lt;1.8,1.8,IF(CX90&lt;2,2,2.2))))))))</f>
        <v>2.2000000000000002</v>
      </c>
      <c r="FS90" s="23">
        <f>IF(CY90&lt;0.6,0.6,IF(CY90&lt;0.8,0.8,IF(CY90&lt;1,1,IF(CY90&lt;1.2,1.2,IF(CY90&lt;1.4,1.4,IF(CY90&lt;1.6,1.6,IF(CY90&lt;1.8,1.8,IF(CY90&lt;2,2,2.2))))))))</f>
        <v>1.2</v>
      </c>
      <c r="FT90" s="23">
        <f>IF(FR90&lt;1,1,0)</f>
        <v>0</v>
      </c>
      <c r="FU90" s="23"/>
      <c r="GE90" s="4">
        <f>IF(R90&gt;=2.5*25.4,1,1.25)</f>
        <v>1.25</v>
      </c>
      <c r="GF90" s="4">
        <f>IF(AN90&gt;1, 0.05*(18-MIN(8,(V90+M90)/M90))*(1-48000/MAX(60000,(I90*145))*(M90/25.4)^0.75*GG90), 1/12*(14-MIN(8,(V90+M90)/M90)))</f>
        <v>0.5</v>
      </c>
      <c r="GG90" s="4">
        <f>MIN(0.3, AL90^2*PI()/4*2*AO90/(M90^2*PI()/4*W90))</f>
        <v>0</v>
      </c>
      <c r="GH90" s="4">
        <f>(J90/25.4)/(M90/25.4)^1.5/0.0024*(L90*145)^0.25/GE90/GF90/145</f>
        <v>230.4546043227347</v>
      </c>
    </row>
    <row r="91" spans="1:195" s="4" customFormat="1" ht="12" customHeight="1" x14ac:dyDescent="0.3">
      <c r="A91" s="25">
        <v>181</v>
      </c>
      <c r="B91" s="24" t="s">
        <v>128</v>
      </c>
      <c r="C91" s="24">
        <v>2017</v>
      </c>
      <c r="D91" s="24" t="s">
        <v>309</v>
      </c>
      <c r="E91" s="24"/>
      <c r="F91" s="109" t="s">
        <v>816</v>
      </c>
      <c r="G91" s="4" t="s">
        <v>315</v>
      </c>
      <c r="H91" s="5">
        <f t="shared" si="0"/>
        <v>2.7020787380856599</v>
      </c>
      <c r="I91" s="86">
        <v>679</v>
      </c>
      <c r="J91" s="84">
        <f>4*M91</f>
        <v>88.8</v>
      </c>
      <c r="K91" s="7">
        <f>J91</f>
        <v>88.8</v>
      </c>
      <c r="L91" s="10">
        <v>129.9</v>
      </c>
      <c r="M91" s="80">
        <v>22.2</v>
      </c>
      <c r="N91" s="7">
        <f>J91/M91</f>
        <v>4</v>
      </c>
      <c r="O91" s="7">
        <f>K91/M91</f>
        <v>4</v>
      </c>
      <c r="P91" s="7">
        <v>388</v>
      </c>
      <c r="Q91" s="32">
        <f>R91/M91</f>
        <v>1.5</v>
      </c>
      <c r="R91" s="7">
        <f>1.5*M91</f>
        <v>33.299999999999997</v>
      </c>
      <c r="S91" s="32">
        <f>T91/M91</f>
        <v>1.3153153153153154</v>
      </c>
      <c r="T91" s="7">
        <f>118-K91</f>
        <v>29.200000000000003</v>
      </c>
      <c r="U91" s="32">
        <f>V91/M91</f>
        <v>12.477477477477478</v>
      </c>
      <c r="V91" s="7">
        <f>P91-2*M91-2*R91</f>
        <v>277</v>
      </c>
      <c r="W91" s="7">
        <v>2</v>
      </c>
      <c r="X91" s="122">
        <f>AM91</f>
        <v>0</v>
      </c>
      <c r="Y91" s="32">
        <f>Z91/M91</f>
        <v>2.6666666666666665</v>
      </c>
      <c r="Z91" s="10">
        <f>2/3*J91</f>
        <v>59.199999999999996</v>
      </c>
      <c r="AA91" s="7">
        <f>MIN(R91/M91+0.5, V91/2/M91+0.5)</f>
        <v>2</v>
      </c>
      <c r="AB91" s="7">
        <f>R91/M91+0.5</f>
        <v>2</v>
      </c>
      <c r="AC91" s="7">
        <f>2040/510</f>
        <v>4</v>
      </c>
      <c r="AD91" s="7">
        <f>2040/510</f>
        <v>4</v>
      </c>
      <c r="AE91" s="7">
        <f>AD91+1</f>
        <v>5</v>
      </c>
      <c r="AF91" s="7">
        <f>M91*AE91^0.5</f>
        <v>49.640709100495329</v>
      </c>
      <c r="AG91" s="7">
        <f>I91</f>
        <v>679</v>
      </c>
      <c r="AH91" s="7">
        <v>8</v>
      </c>
      <c r="AI91" s="7">
        <f>(731+693)/2</f>
        <v>712</v>
      </c>
      <c r="AJ91" s="7"/>
      <c r="AK91" s="4">
        <f>CX91</f>
        <v>8.9839413331668201</v>
      </c>
      <c r="AL91" s="7">
        <v>0</v>
      </c>
      <c r="AM91" s="7">
        <v>0</v>
      </c>
      <c r="AN91" s="7">
        <f>K91</f>
        <v>88.8</v>
      </c>
      <c r="AO91" s="7"/>
      <c r="AP91" s="7"/>
      <c r="AQ91" s="7">
        <f>3*AR91/(V91+M91)</f>
        <v>0.89037433155080214</v>
      </c>
      <c r="AR91" s="4">
        <f>J91</f>
        <v>88.8</v>
      </c>
      <c r="AS91" s="4">
        <f>IF(J91*3&gt;V91+M91, P91, (R91+M91/2)*2+1.5*J91*(2*W91-2))*(3*J91)/(9*J91^2)</f>
        <v>1.3333333333333333</v>
      </c>
      <c r="AT91" s="4">
        <f>MIN(10*L91^0.5*J91^1.5,100*3.9*L91^0.5*J91^(5/3))/(PI()/4*M91^2)/W91</f>
        <v>123.19645135939774</v>
      </c>
      <c r="AU91" s="4">
        <f>MIN(0.7+0.3*(MIN(R91,Z91)+0.5*M91)/1.5/J91,1)</f>
        <v>0.79999999999999993</v>
      </c>
      <c r="AV91" s="4">
        <v>1.25</v>
      </c>
      <c r="AW91" s="47">
        <f>AW90</f>
        <v>2.5</v>
      </c>
      <c r="AX91" s="38">
        <f>AS91*AU91*AV91*AW91*AT91</f>
        <v>410.65483786465904</v>
      </c>
      <c r="AY91" s="38">
        <f>AX91</f>
        <v>410.65483786465904</v>
      </c>
      <c r="AZ91" s="38">
        <f>IF(L91&lt;50, 0.3*L91^(2/3), 2.12*LN(1+0.1*(L91+8)))</f>
        <v>5.7111767066521422</v>
      </c>
      <c r="BA91" s="38">
        <f>AW91* (L91^0.5/AR91^0.5)/(PI()/4*M91^2)/W91/0.72 *(0.7+(MIN(R91,Z91)+0.5*M91)/5/J91) *(3*P91*J91)</f>
        <v>448.57566748729658</v>
      </c>
      <c r="BB91" s="38">
        <f>AX91/BA91</f>
        <v>0.91546391752577294</v>
      </c>
      <c r="BC91" s="38">
        <f>BG91/BA91</f>
        <v>2.3166660060299185</v>
      </c>
      <c r="BD91" s="4">
        <f>IF(BC91&lt;1,1,0)</f>
        <v>0</v>
      </c>
      <c r="BE91" s="4">
        <f>K91/M91*L91^0.5/0.19</f>
        <v>239.94459194200661</v>
      </c>
      <c r="BF91" s="4">
        <f>MIN(0.6+0.4*(AB91/AA91),2)</f>
        <v>1</v>
      </c>
      <c r="BG91" s="38">
        <f>2*L91*AA91*AC91^0.5*BF91*0.7/0.7</f>
        <v>1039.2</v>
      </c>
      <c r="BH91" s="4">
        <f>MAX(1-0.7*AD91/5,0.3)</f>
        <v>0.44000000000000006</v>
      </c>
      <c r="BI91" s="4">
        <f>BH91*I91*K91/(I91*M91/2.75/L91^0.5)</f>
        <v>55.163261687467326</v>
      </c>
      <c r="BJ91" s="4">
        <f>BG91+BI91</f>
        <v>1094.3632616874675</v>
      </c>
      <c r="BL91" s="4">
        <f>MIN(1.5, 0.75+0.25*MIN(3,MAX(1,R91/M91))+0.4*MIN(1,(40*2*PI()*AL91^2/4/AN91/W91)/M91))</f>
        <v>1.125</v>
      </c>
      <c r="BM91" s="4">
        <f>(3*O91+30)*BL91*L91^0.5</f>
        <v>538.5256435398411</v>
      </c>
      <c r="BO91" s="4">
        <f>3.4/PI()^0.5*L91*AA91*AD91^0.5*BF91</f>
        <v>996.71988587880821</v>
      </c>
      <c r="BP91" s="4">
        <f>8/3*AG91*AH91^2/(AF91-M91-22)/M91*(AF91^2-M91^2)/(AF91^2-(M91+22)^2)</f>
        <v>3704.4961984911101</v>
      </c>
      <c r="BQ91" s="4">
        <f>BP91/BO91</f>
        <v>3.7166873571754362</v>
      </c>
      <c r="BY91" s="4">
        <f>IF(V91=0,R91,MIN(V91/2,R91))</f>
        <v>33.299999999999997</v>
      </c>
      <c r="CC91" s="9"/>
      <c r="CE91" s="9"/>
      <c r="CF91" s="9"/>
      <c r="CG91" s="9">
        <f>IF(V91=0,MIN(R91,T91),MIN(V91/2,R91,T91))</f>
        <v>29.200000000000003</v>
      </c>
      <c r="CH91" s="9">
        <f>MAX(V91/2,R91)</f>
        <v>138.5</v>
      </c>
      <c r="CI91" s="9">
        <f>(CG91/M91)^0.5*(CH91/CG91)^0.15</f>
        <v>1.4485216037038422</v>
      </c>
      <c r="CJ91" s="70">
        <v>0</v>
      </c>
      <c r="CK91" s="9">
        <f>MIN(PI()*AL91^2/4*AM91*2/W91/M91/MAX(0.01,AN91),0.05)</f>
        <v>0</v>
      </c>
      <c r="CL91" s="9">
        <f>MAX(0,CJ91*(CK91-0.5/50))</f>
        <v>0</v>
      </c>
      <c r="CM91" s="9">
        <f>MIN(1,(25/M91)^0.3)</f>
        <v>1</v>
      </c>
      <c r="CN91" s="9">
        <f>IF(I91&gt;=800,0.68,IF(I91&gt;=700,0.75-(I91-700)*0.07/100,IF(I91&gt;=600,0.85-(I91-600)*0.1/100,IF(I91&gt;=500,1-(I91-500)*0.15/100,1.2-(I91-400)*0.2/100))))</f>
        <v>0.77100000000000002</v>
      </c>
      <c r="CO91" s="9">
        <f>1.75*CM91*CN91*(L91/25)^0.5</f>
        <v>3.0755797864386483</v>
      </c>
      <c r="CP91" s="9">
        <f>MIN((CI91+CL91)*CO91,2.5*CO91,L91^0.5)</f>
        <v>4.4550437645712311</v>
      </c>
      <c r="CQ91" s="9">
        <v>1</v>
      </c>
      <c r="CR91" s="9">
        <f>4*CP91*O91+60*CP91</f>
        <v>338.58332610741354</v>
      </c>
      <c r="CT91" s="4">
        <f>AI91/BE91</f>
        <v>2.9673517299864245</v>
      </c>
      <c r="CU91" s="4">
        <f>AI91/BJ91</f>
        <v>0.65060663577295397</v>
      </c>
      <c r="CV91" s="4">
        <f>AI91/BM91</f>
        <v>1.3221283118847895</v>
      </c>
      <c r="CW91" s="4">
        <f>AI91/CR91</f>
        <v>2.1028796904609597</v>
      </c>
      <c r="CX91" s="44">
        <f>AI91/DY91</f>
        <v>8.9839413331668201</v>
      </c>
      <c r="CY91" s="4">
        <f>AI91/EK91</f>
        <v>1</v>
      </c>
      <c r="CZ91" s="4">
        <f>AI91/GH91</f>
        <v>3.0895455618794947</v>
      </c>
      <c r="DB91" s="4">
        <f>CT91</f>
        <v>2.9673517299864245</v>
      </c>
      <c r="DC91" s="4">
        <f>CU91</f>
        <v>0.65060663577295397</v>
      </c>
      <c r="DD91" s="4">
        <f>CW91</f>
        <v>2.1028796904609597</v>
      </c>
      <c r="DE91" s="4">
        <f>CZ91</f>
        <v>3.0895455618794947</v>
      </c>
      <c r="DF91" s="4">
        <f>CX91</f>
        <v>8.9839413331668201</v>
      </c>
      <c r="DG91" s="4">
        <f>CY91</f>
        <v>1</v>
      </c>
      <c r="DO91" s="4">
        <f>AM91</f>
        <v>0</v>
      </c>
      <c r="DP91" s="4">
        <f>K91</f>
        <v>88.8</v>
      </c>
      <c r="DS91" s="4">
        <f>J91/4/(1-0.3*(L91/30)^0.5)/200000/M91</f>
        <v>1.3307058507295954E-5</v>
      </c>
      <c r="DT91" s="4">
        <f>EO91</f>
        <v>12.884614270393072</v>
      </c>
      <c r="DU91" s="4">
        <f>EB91*AF91/257/L91/AC91</f>
        <v>0</v>
      </c>
      <c r="DV91" s="4">
        <f>DT91*DU91^0.4</f>
        <v>0</v>
      </c>
      <c r="DW91" s="4">
        <f>MIN(DT91, DT91/1.4*(1-DU91^1.4)/(1-DU91))</f>
        <v>9.2032959074236231</v>
      </c>
      <c r="DX91" s="4">
        <f>MAX(DT91/2, (4-DS91*(8*AF91*(DV91-DW91)+6*J91*DW91))/(4+DS91*J91*DT91)*DT91)</f>
        <v>12.782437816882654</v>
      </c>
      <c r="DY91" s="38">
        <f>MIN(1/M91*(4*AF91*(DV91-DW91)+(3*DW91+DX91)*J91)+EB91 -FI91,MAX(I91,AI91))</f>
        <v>79.252521092434776</v>
      </c>
      <c r="DZ91" s="4">
        <f>DY91/FE91</f>
        <v>0.88209032609662286</v>
      </c>
      <c r="EA91" s="4">
        <f>AF91/M91</f>
        <v>2.2360679774997898</v>
      </c>
      <c r="EB91" s="4">
        <f>MIN(EA$10*BA91)</f>
        <v>0</v>
      </c>
      <c r="EF91" s="4">
        <f>IF(T91&gt;1*M91,0.85,1)</f>
        <v>0.85</v>
      </c>
      <c r="EG91" s="4">
        <f>MIN(1,MAX(0.7,(1-0.1*(BY91-1*M91)/M91)))</f>
        <v>0.95</v>
      </c>
      <c r="EH91" s="4">
        <f>MIN(1,MAX(0.7,1-0.3*(PI()*AL91^2/4*AP91*2-0.25*PI()/4*M91^2)/(PI()/4*M91^2)))</f>
        <v>1</v>
      </c>
      <c r="EI91" s="4">
        <f>IF(EG91*EH91&lt;0.7,0.7,EG91*EH91)</f>
        <v>0.95</v>
      </c>
      <c r="EK91" s="4">
        <f>MIN(DT91/M91*3*J91+EL91-FI91,MAX(I91,AI91))</f>
        <v>712</v>
      </c>
      <c r="EL91" s="25">
        <f>26.5*P91*J91^0.5*L91^0.5/W91/M91^2*(0.7+R91/5/J91)</f>
        <v>868.2692405319475</v>
      </c>
      <c r="EO91" s="4">
        <f>IF(M91&lt;22.2,1.1*5*(L91/30)^0.5,IF(M91&gt;=31.8,0.9*5*(L91/30)^0.5,1*5*(L91/30)^0.5))/EF91/EI91</f>
        <v>12.884614270393072</v>
      </c>
      <c r="ER91" s="4">
        <f>ES91*M91</f>
        <v>49.640709100495329</v>
      </c>
      <c r="ES91" s="4">
        <f>AE91^0.5</f>
        <v>2.2360679774997898</v>
      </c>
      <c r="ET91" s="4">
        <f>MIN(EB91)/(4700*L91^0.5)/AD91*ER91</f>
        <v>0</v>
      </c>
      <c r="EW91" s="4">
        <f>ET91</f>
        <v>0</v>
      </c>
      <c r="EX91" s="4">
        <f>MIN(0.999, EW91/(0.3*(L91/30)^0.5))</f>
        <v>0</v>
      </c>
      <c r="EY91" s="4">
        <f>EO91/1*EX91^0.4</f>
        <v>0</v>
      </c>
      <c r="EZ91" s="4">
        <f>EO91/1.4*(1-EX91^1.4)/(1-EX91)</f>
        <v>9.2032959074236231</v>
      </c>
      <c r="FA91" s="4">
        <f>MAX(0,DP91*FA$9-ER91)</f>
        <v>0</v>
      </c>
      <c r="FB91" s="4">
        <f>MAX(0,DP91-ER91-FA91)</f>
        <v>39.159290899504668</v>
      </c>
      <c r="FC91" s="4">
        <f>FB91/(1-0.3*(L91/30)^0.5)/200000/M91</f>
        <v>2.347274662630318E-5</v>
      </c>
      <c r="FD91" s="4">
        <f>MAX(0.5*EO91, (1-2*FC91*(ER91*EY91+FA91*EZ91))/(1/EO91+FC91*FB91))</f>
        <v>12.733804894491934</v>
      </c>
      <c r="FE91" s="4">
        <f>MIN(4/M91*(1*EY91*ER91+EZ91*FA91+FB91*FD91)+EB91,MAX(I91,AI91))</f>
        <v>89.84626488665694</v>
      </c>
      <c r="FN91" s="23">
        <f>IF(CT91&lt;0.6,0.6,IF(CT91&lt;0.8,0.8,IF(CT91&lt;1,1,IF(CT91&lt;1.2,1.2,IF(CT91&lt;1.4,1.4,IF(CT91&lt;1.6,1.6,IF(CT91&lt;1.8,1.8,IF(CT91&lt;2,2,2.2))))))))</f>
        <v>2.2000000000000002</v>
      </c>
      <c r="FO91" s="23">
        <f>IF(CU91&lt;0.6,0.6,IF(CU91&lt;0.8,0.8,IF(CU91&lt;1,1,IF(CU91&lt;1.2,1.2,IF(CU91&lt;1.4,1.4,IF(CU91&lt;1.6,1.6,IF(CU91&lt;1.8,1.8,IF(CU91&lt;2,2,2.2))))))))</f>
        <v>0.8</v>
      </c>
      <c r="FP91" s="23">
        <f>IF(CZ91&lt;0.6,0.6,IF(CZ91&lt;0.8,0.8,IF(CZ91&lt;1,1,IF(CZ91&lt;1.2,1.2,IF(CZ91&lt;1.4,1.4,IF(CZ91&lt;1.6,1.6,IF(CZ91&lt;1.8,1.8,IF(CZ91&lt;2,2,2.2))))))))</f>
        <v>2.2000000000000002</v>
      </c>
      <c r="FQ91" s="23">
        <f>IF(CW91&lt;0.6,0.6,IF(CW91&lt;0.8,0.8,IF(CW91&lt;1,1,IF(CW91&lt;1.2,1.2,IF(CW91&lt;1.4,1.4,IF(CW91&lt;1.6,1.6,IF(CW91&lt;1.8,1.8,IF(CW91&lt;2,2,2.2))))))))</f>
        <v>2.2000000000000002</v>
      </c>
      <c r="FR91" s="23">
        <f>IF(CX91&lt;0.6,0.6,IF(CX91&lt;0.8,0.8,IF(CX91&lt;1,1,IF(CX91&lt;1.2,1.2,IF(CX91&lt;1.4,1.4,IF(CX91&lt;1.6,1.6,IF(CX91&lt;1.8,1.8,IF(CX91&lt;2,2,2.2))))))))</f>
        <v>2.2000000000000002</v>
      </c>
      <c r="FS91" s="23">
        <f>IF(CY91&lt;0.6,0.6,IF(CY91&lt;0.8,0.8,IF(CY91&lt;1,1,IF(CY91&lt;1.2,1.2,IF(CY91&lt;1.4,1.4,IF(CY91&lt;1.6,1.6,IF(CY91&lt;1.8,1.8,IF(CY91&lt;2,2,2.2))))))))</f>
        <v>1.2</v>
      </c>
      <c r="FT91" s="23">
        <f>IF(FR91&lt;1,1,0)</f>
        <v>0</v>
      </c>
      <c r="FU91" s="23"/>
      <c r="GE91" s="4">
        <f>IF(R91&gt;=2.5*25.4,1,1.25)</f>
        <v>1.25</v>
      </c>
      <c r="GF91" s="4">
        <f>IF(AN91&gt;1, 0.05*(18-MIN(8,(V91+M91)/M91))*(1-48000/MAX(60000,(I91*145))*(M91/25.4)^0.75*GG91), 1/12*(14-MIN(8,(V91+M91)/M91)))</f>
        <v>0.5</v>
      </c>
      <c r="GG91" s="4">
        <f>MIN(0.3, AL91^2*PI()/4*2*AO91/(M91^2*PI()/4*W91))</f>
        <v>0</v>
      </c>
      <c r="GH91" s="4">
        <f>(J91/25.4)/(M91/25.4)^1.5/0.0024*(L91*145)^0.25/GE91/GF91/145</f>
        <v>230.4546043227347</v>
      </c>
    </row>
    <row r="92" spans="1:195" s="4" customFormat="1" ht="12" customHeight="1" x14ac:dyDescent="0.3">
      <c r="A92" s="52">
        <v>174</v>
      </c>
      <c r="B92" s="53" t="s">
        <v>128</v>
      </c>
      <c r="C92" s="53">
        <v>2017</v>
      </c>
      <c r="D92" s="53" t="s">
        <v>309</v>
      </c>
      <c r="E92" s="53"/>
      <c r="F92" s="109" t="s">
        <v>816</v>
      </c>
      <c r="G92" s="54" t="s">
        <v>703</v>
      </c>
      <c r="H92" s="5">
        <f t="shared" si="0"/>
        <v>3.5601368937129463</v>
      </c>
      <c r="I92" s="85">
        <v>661</v>
      </c>
      <c r="J92" s="83">
        <f>4*M92</f>
        <v>88.8</v>
      </c>
      <c r="K92" s="32">
        <f>J92</f>
        <v>88.8</v>
      </c>
      <c r="L92" s="81">
        <v>225.5</v>
      </c>
      <c r="M92" s="79">
        <v>22.2</v>
      </c>
      <c r="N92" s="32">
        <f>J92/M92</f>
        <v>4</v>
      </c>
      <c r="O92" s="32">
        <f>K92/M92</f>
        <v>4</v>
      </c>
      <c r="P92" s="32">
        <v>366</v>
      </c>
      <c r="Q92" s="32">
        <f>R92/M92</f>
        <v>1</v>
      </c>
      <c r="R92" s="32">
        <f>1*M92</f>
        <v>22.2</v>
      </c>
      <c r="S92" s="32">
        <f>T92/M92</f>
        <v>1.3153153153153154</v>
      </c>
      <c r="T92" s="32">
        <f>118-K92</f>
        <v>29.200000000000003</v>
      </c>
      <c r="U92" s="32">
        <f>V92/M92</f>
        <v>12.48648648648649</v>
      </c>
      <c r="V92" s="61">
        <f>P92-2*M92-2*R92</f>
        <v>277.20000000000005</v>
      </c>
      <c r="W92" s="32">
        <v>2</v>
      </c>
      <c r="X92" s="122">
        <f>AM92</f>
        <v>0</v>
      </c>
      <c r="Y92" s="32">
        <f>Z92/M92</f>
        <v>2.6666666666666665</v>
      </c>
      <c r="Z92" s="102">
        <f>2/3*J92</f>
        <v>59.199999999999996</v>
      </c>
      <c r="AA92" s="32">
        <f>MIN(R92/M92+0.5, V92/2/M92+0.5)</f>
        <v>1.5</v>
      </c>
      <c r="AB92" s="32">
        <f>R92/M92+0.5</f>
        <v>1.5</v>
      </c>
      <c r="AC92" s="32">
        <f>2040/510</f>
        <v>4</v>
      </c>
      <c r="AD92" s="32">
        <f>2040/510</f>
        <v>4</v>
      </c>
      <c r="AE92" s="32">
        <f>AD92+1</f>
        <v>5</v>
      </c>
      <c r="AF92" s="32">
        <f>M92*AE92^0.5</f>
        <v>49.640709100495329</v>
      </c>
      <c r="AG92" s="32">
        <f>I92</f>
        <v>661</v>
      </c>
      <c r="AH92" s="32">
        <v>8</v>
      </c>
      <c r="AI92" s="32">
        <f>(853+842)/2</f>
        <v>847.5</v>
      </c>
      <c r="AJ92" s="32"/>
      <c r="AK92" s="54">
        <f>CX92</f>
        <v>8.6160330598942885</v>
      </c>
      <c r="AL92" s="32">
        <v>0</v>
      </c>
      <c r="AM92" s="32">
        <v>0</v>
      </c>
      <c r="AN92" s="32">
        <f>K92</f>
        <v>88.8</v>
      </c>
      <c r="AO92" s="32"/>
      <c r="AP92" s="32"/>
      <c r="AQ92" s="32">
        <f>3*AR92/(V92+M92)</f>
        <v>0.88977955911823625</v>
      </c>
      <c r="AR92" s="54">
        <f>J92</f>
        <v>88.8</v>
      </c>
      <c r="AS92" s="54">
        <f>IF(J92*3&gt;V92+M92, P92, (R92+M92/2)*2+1.5*J92*(2*W92-2))*(3*J92)/(9*J92^2)</f>
        <v>1.25</v>
      </c>
      <c r="AT92" s="54">
        <f>MIN(10*L92^0.5*J92^1.5,100*3.9*L92^0.5*J92^(5/3))/(PI()/4*M92^2)/W92</f>
        <v>162.318079587065</v>
      </c>
      <c r="AU92" s="54">
        <f>MIN(0.7+0.3*(MIN(R92,Z92)+0.5*M92)/1.5/J92,1)</f>
        <v>0.77499999999999991</v>
      </c>
      <c r="AV92" s="54">
        <v>1.25</v>
      </c>
      <c r="AW92" s="59">
        <v>5</v>
      </c>
      <c r="AX92" s="56">
        <f>AS92*AU92*AV92*AW92*AT92</f>
        <v>982.7852474998075</v>
      </c>
      <c r="AY92" s="56">
        <f>AX92</f>
        <v>982.7852474998075</v>
      </c>
      <c r="AZ92" s="56">
        <f>IF(L92&lt;50, 0.3*L92^(2/3), 2.12*LN(1+0.1*(L92+8)))</f>
        <v>6.7681675210006302</v>
      </c>
      <c r="BA92" s="56">
        <f>AW92* (L92^0.5/AR92^0.5)/(PI()/4*M92^2)/W92/0.72 *(0.7+(MIN(R92,Z92)+0.5*M92)/5/J92) *(3*P92*J92)</f>
        <v>1080.1783801349238</v>
      </c>
      <c r="BB92" s="56">
        <f>AX92/BA92</f>
        <v>0.90983606557377028</v>
      </c>
      <c r="BC92" s="56">
        <f>BG92/BA92</f>
        <v>1.2525708946618597</v>
      </c>
      <c r="BD92" s="54">
        <f>IF(BC92&lt;1,1,0)</f>
        <v>0</v>
      </c>
      <c r="BE92" s="54">
        <f>K92/M92*L92^0.5/0.19</f>
        <v>316.14015616170963</v>
      </c>
      <c r="BF92" s="54">
        <f>MIN(0.6+0.4*(AB92/AA92),2)</f>
        <v>1</v>
      </c>
      <c r="BG92" s="56">
        <f>2*L92*AA92*AC92^0.5*BF92*0.7/0.7</f>
        <v>1353</v>
      </c>
      <c r="BH92" s="54">
        <f>MAX(1-0.7*AD92/5,0.3)</f>
        <v>0.44000000000000006</v>
      </c>
      <c r="BI92" s="54">
        <f>BH92*I92*K92/(I92*M92/2.75/L92^0.5)</f>
        <v>72.680621901577041</v>
      </c>
      <c r="BJ92" s="54">
        <f>BG92+BI92</f>
        <v>1425.6806219015771</v>
      </c>
      <c r="BK92" s="54"/>
      <c r="BL92" s="54">
        <f>MIN(1.5, 0.75+0.25*MIN(3,MAX(1,R92/M92))+0.4*MIN(1,(40*2*PI()*AL92^2/4/AN92/W92)/M92))</f>
        <v>1</v>
      </c>
      <c r="BM92" s="54">
        <f>(3*O92+30)*BL92*L92^0.5</f>
        <v>630.69961154261068</v>
      </c>
      <c r="BN92" s="54"/>
      <c r="BO92" s="54">
        <f>3.4/PI()^0.5*L92*AA92*AD92^0.5*BF92</f>
        <v>1297.6924611181944</v>
      </c>
      <c r="BP92" s="54">
        <f>8/3*AG92*AH92^2/(AF92-M92-22)/M92*(AF92^2-M92^2)/(AF92^2-(M92+22)^2)</f>
        <v>3606.2915864545262</v>
      </c>
      <c r="BQ92" s="54">
        <f>BP92/BO92</f>
        <v>2.779003265031732</v>
      </c>
      <c r="BR92" s="54"/>
      <c r="BS92" s="54"/>
      <c r="BT92" s="54"/>
      <c r="BU92" s="54"/>
      <c r="BV92" s="54"/>
      <c r="BW92" s="54"/>
      <c r="BX92" s="54"/>
      <c r="BY92" s="54">
        <f>IF(V92=0,R92,MIN(V92/2,R92))</f>
        <v>22.2</v>
      </c>
      <c r="BZ92" s="54"/>
      <c r="CA92" s="54"/>
      <c r="CB92" s="54"/>
      <c r="CC92" s="57"/>
      <c r="CD92" s="54"/>
      <c r="CE92" s="57"/>
      <c r="CF92" s="57"/>
      <c r="CG92" s="57">
        <f>IF(V92=0,MIN(R92,T92),MIN(V92/2,R92,T92))</f>
        <v>22.2</v>
      </c>
      <c r="CH92" s="57">
        <f>MAX(V92/2,R92)</f>
        <v>138.60000000000002</v>
      </c>
      <c r="CI92" s="57">
        <f>(CG92/M92)^0.5*(CH92/CG92)^0.15</f>
        <v>1.3161686388047049</v>
      </c>
      <c r="CJ92" s="71">
        <v>0</v>
      </c>
      <c r="CK92" s="57">
        <f>MIN(PI()*AL92^2/4*AM92*2/W92/M92/MAX(0.01,AN92),0.05)</f>
        <v>0</v>
      </c>
      <c r="CL92" s="57">
        <f>MAX(0,CJ92*(CK92-0.5/50))</f>
        <v>0</v>
      </c>
      <c r="CM92" s="57">
        <f>MIN(1,(25/M92)^0.3)</f>
        <v>1</v>
      </c>
      <c r="CN92" s="57">
        <f>IF(I92&gt;=800,0.68,IF(I92&gt;=700,0.75-(I92-700)*0.07/100,IF(I92&gt;=600,0.85-(I92-600)*0.1/100,IF(I92&gt;=500,1-(I92-500)*0.15/100,1.2-(I92-400)*0.2/100))))</f>
        <v>0.78899999999999992</v>
      </c>
      <c r="CO92" s="57">
        <f>1.75*CM92*CN92*(L92/25)^0.5</f>
        <v>4.1468499458926642</v>
      </c>
      <c r="CP92" s="57">
        <f>MIN((CI92+CL92)*CO92,2.5*CO92,L92^0.5)</f>
        <v>5.4579538486129122</v>
      </c>
      <c r="CQ92" s="57">
        <v>1</v>
      </c>
      <c r="CR92" s="57">
        <f>4*CP92*O92+60*CP92</f>
        <v>414.80449249458132</v>
      </c>
      <c r="CS92" s="54"/>
      <c r="CT92" s="54">
        <f>AI92/BE92</f>
        <v>2.6807730162772905</v>
      </c>
      <c r="CU92" s="54">
        <f>AI92/BJ92</f>
        <v>0.59445291391391852</v>
      </c>
      <c r="CV92" s="54">
        <f>AI92/BM92</f>
        <v>1.343745872820697</v>
      </c>
      <c r="CW92" s="54">
        <f>AI92/CR92</f>
        <v>2.0431311987564142</v>
      </c>
      <c r="CX92" s="60">
        <f>AI92/DY92</f>
        <v>8.6160330598942885</v>
      </c>
      <c r="CY92" s="54">
        <f>AI92/EK92</f>
        <v>1</v>
      </c>
      <c r="CZ92" s="54">
        <f>AI92/GH92</f>
        <v>3.203833724920901</v>
      </c>
      <c r="DA92" s="54"/>
      <c r="DB92" s="54">
        <f>CT92</f>
        <v>2.6807730162772905</v>
      </c>
      <c r="DC92" s="54">
        <f>CU92</f>
        <v>0.59445291391391852</v>
      </c>
      <c r="DD92" s="54">
        <f>CW92</f>
        <v>2.0431311987564142</v>
      </c>
      <c r="DE92" s="54">
        <f>CZ92</f>
        <v>3.203833724920901</v>
      </c>
      <c r="DF92" s="54">
        <f>CX92</f>
        <v>8.6160330598942885</v>
      </c>
      <c r="DG92" s="54">
        <f>CY92</f>
        <v>1</v>
      </c>
      <c r="DH92" s="54"/>
      <c r="DI92" s="54"/>
      <c r="DJ92" s="54"/>
      <c r="DK92" s="54"/>
      <c r="DL92" s="54"/>
      <c r="DM92" s="54"/>
      <c r="DN92" s="54"/>
      <c r="DO92" s="54">
        <f>AM92</f>
        <v>0</v>
      </c>
      <c r="DP92" s="54">
        <f>K92</f>
        <v>88.8</v>
      </c>
      <c r="DQ92" s="54"/>
      <c r="DR92" s="54"/>
      <c r="DS92" s="54">
        <f>J92/4/(1-0.3*(L92/30)^0.5)/200000/M92</f>
        <v>2.8168411137544479E-5</v>
      </c>
      <c r="DT92" s="54">
        <f>EO92</f>
        <v>16.127376482335833</v>
      </c>
      <c r="DU92" s="54">
        <f>EB92*AF92/257/L92/AC92</f>
        <v>0</v>
      </c>
      <c r="DV92" s="54">
        <f>DT92*DU92^0.4</f>
        <v>0</v>
      </c>
      <c r="DW92" s="54">
        <f>MIN(DT92, DT92/1.4*(1-DU92^1.4)/(1-DU92))</f>
        <v>11.519554630239881</v>
      </c>
      <c r="DX92" s="54">
        <f>MAX(DT92/2, (4-DS92*(8*AF92*(DV92-DW92)+6*J92*DW92))/(4+DS92*J92*DT92)*DT92)</f>
        <v>15.790626414647646</v>
      </c>
      <c r="DY92" s="56">
        <f>MIN(1/M92*(4*AF92*(DV92-DW92)+(3*DW92+DX92)*J92)+EB92 -FI92,MAX(I92,AI92))</f>
        <v>98.363132326513863</v>
      </c>
      <c r="DZ92" s="54">
        <f>DY92/FE92</f>
        <v>0.89154893420732184</v>
      </c>
      <c r="EA92" s="54">
        <f>AF92/M92</f>
        <v>2.2360679774997898</v>
      </c>
      <c r="EB92" s="54">
        <f>MIN(EA$10*BA92)</f>
        <v>0</v>
      </c>
      <c r="EC92" s="54"/>
      <c r="ED92" s="54"/>
      <c r="EE92" s="54"/>
      <c r="EF92" s="54">
        <f>IF(T92&gt;1*M92,0.85,1)</f>
        <v>0.85</v>
      </c>
      <c r="EG92" s="54">
        <f>MIN(1,MAX(0.7,(1-0.1*(BY92-1*M92)/M92)))</f>
        <v>1</v>
      </c>
      <c r="EH92" s="54">
        <f>MIN(1,MAX(0.7,1-0.3*(PI()*AL92^2/4*AP92*2-0.25*PI()/4*M92^2)/(PI()/4*M92^2)))</f>
        <v>1</v>
      </c>
      <c r="EI92" s="54">
        <f>IF(EG92*EH92&lt;0.7,0.7,EG92*EH92)</f>
        <v>1</v>
      </c>
      <c r="EJ92" s="54"/>
      <c r="EK92" s="54">
        <f>MIN(DT92/M92*3*J92+EL92-FI92,MAX(I92,AI92))</f>
        <v>847.5</v>
      </c>
      <c r="EL92" s="52">
        <f>26.5*P92*J92^0.5*L92^0.5/W92/M92^2*(0.7+R92/5/J92)</f>
        <v>1044.3162458944753</v>
      </c>
      <c r="EM92" s="54"/>
      <c r="EN92" s="54"/>
      <c r="EO92" s="54">
        <f>IF(M92&lt;22.2,1.1*5*(L92/30)^0.5,IF(M92&gt;=31.8,0.9*5*(L92/30)^0.5,1*5*(L92/30)^0.5))/EF92/EI92</f>
        <v>16.127376482335833</v>
      </c>
      <c r="EP92" s="54"/>
      <c r="EQ92" s="54"/>
      <c r="ER92" s="54">
        <f>ES92*M92</f>
        <v>49.640709100495329</v>
      </c>
      <c r="ES92" s="54">
        <f>AE92^0.5</f>
        <v>2.2360679774997898</v>
      </c>
      <c r="ET92" s="54">
        <f>MIN(EB92)/(4700*L92^0.5)/AD92*ER92</f>
        <v>0</v>
      </c>
      <c r="EU92" s="54"/>
      <c r="EV92" s="54"/>
      <c r="EW92" s="54">
        <f>ET92</f>
        <v>0</v>
      </c>
      <c r="EX92" s="54">
        <f>MIN(0.999, EW92/(0.3*(L92/30)^0.5))</f>
        <v>0</v>
      </c>
      <c r="EY92" s="54">
        <f>EO92/1*EX92^0.4</f>
        <v>0</v>
      </c>
      <c r="EZ92" s="54">
        <f>EO92/1.4*(1-EX92^1.4)/(1-EX92)</f>
        <v>11.519554630239881</v>
      </c>
      <c r="FA92" s="54">
        <f>MAX(0,DP92*FA$9-ER92)</f>
        <v>0</v>
      </c>
      <c r="FB92" s="54">
        <f>MAX(0,DP92-ER92-FA92)</f>
        <v>39.159290899504668</v>
      </c>
      <c r="FC92" s="54">
        <f>FB92/(1-0.3*(L92/30)^0.5)/200000/M92</f>
        <v>4.968716242846628E-5</v>
      </c>
      <c r="FD92" s="54">
        <f>MAX(0.5*EO92, (1-2*FC92*(ER92*EY92+FA92*EZ92))/(1/EO92+FC92*FB92))</f>
        <v>15.636708106654494</v>
      </c>
      <c r="FE92" s="54">
        <f>MIN(4/M92*(1*EY92*ER92+EZ92*FA92+FB92*FD92)+EB92,MAX(I92,AI92))</f>
        <v>110.32836062326601</v>
      </c>
      <c r="FF92" s="54"/>
      <c r="FG92" s="54"/>
      <c r="FH92" s="54"/>
      <c r="FI92" s="54"/>
      <c r="FJ92" s="54"/>
      <c r="FK92" s="54"/>
      <c r="FL92" s="54"/>
      <c r="FM92" s="54"/>
      <c r="FN92" s="58">
        <f>IF(CT92&lt;0.6,0.6,IF(CT92&lt;0.8,0.8,IF(CT92&lt;1,1,IF(CT92&lt;1.2,1.2,IF(CT92&lt;1.4,1.4,IF(CT92&lt;1.6,1.6,IF(CT92&lt;1.8,1.8,IF(CT92&lt;2,2,2.2))))))))</f>
        <v>2.2000000000000002</v>
      </c>
      <c r="FO92" s="58">
        <f>IF(CU92&lt;0.6,0.6,IF(CU92&lt;0.8,0.8,IF(CU92&lt;1,1,IF(CU92&lt;1.2,1.2,IF(CU92&lt;1.4,1.4,IF(CU92&lt;1.6,1.6,IF(CU92&lt;1.8,1.8,IF(CU92&lt;2,2,2.2))))))))</f>
        <v>0.6</v>
      </c>
      <c r="FP92" s="58">
        <f>IF(CZ92&lt;0.6,0.6,IF(CZ92&lt;0.8,0.8,IF(CZ92&lt;1,1,IF(CZ92&lt;1.2,1.2,IF(CZ92&lt;1.4,1.4,IF(CZ92&lt;1.6,1.6,IF(CZ92&lt;1.8,1.8,IF(CZ92&lt;2,2,2.2))))))))</f>
        <v>2.2000000000000002</v>
      </c>
      <c r="FQ92" s="58">
        <f>IF(CW92&lt;0.6,0.6,IF(CW92&lt;0.8,0.8,IF(CW92&lt;1,1,IF(CW92&lt;1.2,1.2,IF(CW92&lt;1.4,1.4,IF(CW92&lt;1.6,1.6,IF(CW92&lt;1.8,1.8,IF(CW92&lt;2,2,2.2))))))))</f>
        <v>2.2000000000000002</v>
      </c>
      <c r="FR92" s="58">
        <f>IF(CX92&lt;0.6,0.6,IF(CX92&lt;0.8,0.8,IF(CX92&lt;1,1,IF(CX92&lt;1.2,1.2,IF(CX92&lt;1.4,1.4,IF(CX92&lt;1.6,1.6,IF(CX92&lt;1.8,1.8,IF(CX92&lt;2,2,2.2))))))))</f>
        <v>2.2000000000000002</v>
      </c>
      <c r="FS92" s="58">
        <f>IF(CY92&lt;0.6,0.6,IF(CY92&lt;0.8,0.8,IF(CY92&lt;1,1,IF(CY92&lt;1.2,1.2,IF(CY92&lt;1.4,1.4,IF(CY92&lt;1.6,1.6,IF(CY92&lt;1.8,1.8,IF(CY92&lt;2,2,2.2))))))))</f>
        <v>1.2</v>
      </c>
      <c r="FT92" s="58">
        <f>IF(FR92&lt;1,1,0)</f>
        <v>0</v>
      </c>
      <c r="FU92" s="58"/>
      <c r="FV92" s="54"/>
      <c r="FW92" s="54"/>
      <c r="FX92" s="54"/>
      <c r="FY92" s="54"/>
      <c r="FZ92" s="54"/>
      <c r="GA92" s="54"/>
      <c r="GB92" s="54"/>
      <c r="GC92" s="54"/>
      <c r="GD92" s="54"/>
      <c r="GE92" s="54">
        <f>IF(R92&gt;=2.5*25.4,1,1.25)</f>
        <v>1.25</v>
      </c>
      <c r="GF92" s="54">
        <f>IF(AN92&gt;1, 0.05*(18-MIN(8,(V92+M92)/M92))*(1-48000/MAX(60000,(I92*145))*(M92/25.4)^0.75*GG92), 1/12*(14-MIN(8,(V92+M92)/M92)))</f>
        <v>0.5</v>
      </c>
      <c r="GG92" s="54">
        <f>MIN(0.3, AL92^2*PI()/4*2*AO92/(M92^2*PI()/4*W92))</f>
        <v>0</v>
      </c>
      <c r="GH92" s="54">
        <f>(J92/25.4)/(M92/25.4)^1.5/0.0024*(L92*145)^0.25/GE92/GF92/145</f>
        <v>264.52683652330421</v>
      </c>
      <c r="GI92" s="54"/>
      <c r="GJ92" s="54"/>
      <c r="GK92" s="54"/>
      <c r="GL92" s="54"/>
      <c r="GM92" s="54"/>
    </row>
    <row r="93" spans="1:195" s="4" customFormat="1" ht="12" customHeight="1" x14ac:dyDescent="0.3">
      <c r="A93" s="25">
        <v>175</v>
      </c>
      <c r="B93" s="24" t="s">
        <v>128</v>
      </c>
      <c r="C93" s="24">
        <v>2017</v>
      </c>
      <c r="D93" s="24" t="s">
        <v>309</v>
      </c>
      <c r="E93" s="24"/>
      <c r="F93" s="109" t="s">
        <v>816</v>
      </c>
      <c r="G93" s="4" t="s">
        <v>311</v>
      </c>
      <c r="H93" s="5">
        <f t="shared" si="0"/>
        <v>3.5601368937129463</v>
      </c>
      <c r="I93" s="48">
        <v>661</v>
      </c>
      <c r="J93" s="84">
        <f>4*M93</f>
        <v>88.8</v>
      </c>
      <c r="K93" s="7">
        <f>J93</f>
        <v>88.8</v>
      </c>
      <c r="L93" s="82">
        <v>225.5</v>
      </c>
      <c r="M93" s="80">
        <v>22.2</v>
      </c>
      <c r="N93" s="7">
        <f>J93/M93</f>
        <v>4</v>
      </c>
      <c r="O93" s="7">
        <f>K93/M93</f>
        <v>4</v>
      </c>
      <c r="P93" s="7">
        <v>366</v>
      </c>
      <c r="Q93" s="32">
        <f>R93/M93</f>
        <v>1</v>
      </c>
      <c r="R93" s="7">
        <f>1*M93</f>
        <v>22.2</v>
      </c>
      <c r="S93" s="32">
        <f>T93/M93</f>
        <v>1.3153153153153154</v>
      </c>
      <c r="T93" s="7">
        <f>118-K93</f>
        <v>29.200000000000003</v>
      </c>
      <c r="U93" s="32">
        <f>V93/M93</f>
        <v>12.48648648648649</v>
      </c>
      <c r="V93" s="7">
        <f>P93-2*M93-2*R93</f>
        <v>277.20000000000005</v>
      </c>
      <c r="W93" s="7">
        <v>2</v>
      </c>
      <c r="X93" s="122">
        <f>AM93</f>
        <v>0</v>
      </c>
      <c r="Y93" s="32">
        <f>Z93/M93</f>
        <v>2.6666666666666665</v>
      </c>
      <c r="Z93" s="10">
        <f>2/3*J93</f>
        <v>59.199999999999996</v>
      </c>
      <c r="AA93" s="7">
        <f>MIN(R93/M93+0.5, V93/2/M93+0.5)</f>
        <v>1.5</v>
      </c>
      <c r="AB93" s="7">
        <f>R93/M93+0.5</f>
        <v>1.5</v>
      </c>
      <c r="AC93" s="7">
        <f>2040/510</f>
        <v>4</v>
      </c>
      <c r="AD93" s="7">
        <f>2040/510</f>
        <v>4</v>
      </c>
      <c r="AE93" s="7">
        <f>AD93+1</f>
        <v>5</v>
      </c>
      <c r="AF93" s="7">
        <f>M93*AE93^0.5</f>
        <v>49.640709100495329</v>
      </c>
      <c r="AG93" s="7">
        <f>I93</f>
        <v>661</v>
      </c>
      <c r="AH93" s="7">
        <v>8</v>
      </c>
      <c r="AI93" s="7">
        <f>(847+826)/2</f>
        <v>836.5</v>
      </c>
      <c r="AJ93" s="7"/>
      <c r="AK93" s="4">
        <f>CX93</f>
        <v>8.504202542302739</v>
      </c>
      <c r="AL93" s="7">
        <v>0</v>
      </c>
      <c r="AM93" s="7">
        <v>0</v>
      </c>
      <c r="AN93" s="7">
        <f>K93</f>
        <v>88.8</v>
      </c>
      <c r="AO93" s="7"/>
      <c r="AP93" s="7"/>
      <c r="AQ93" s="7">
        <f>3*AR93/(V93+M93)</f>
        <v>0.88977955911823625</v>
      </c>
      <c r="AR93" s="4">
        <f>J93</f>
        <v>88.8</v>
      </c>
      <c r="AS93" s="4">
        <f>IF(J93*3&gt;V93+M93, P93, (R93+M93/2)*2+1.5*J93*(2*W93-2))*(3*J93)/(9*J93^2)</f>
        <v>1.25</v>
      </c>
      <c r="AT93" s="4">
        <f>MIN(10*L93^0.5*J93^1.5,100*3.9*L93^0.5*J93^(5/3))/(PI()/4*M93^2)/W93</f>
        <v>162.318079587065</v>
      </c>
      <c r="AU93" s="4">
        <f>MIN(0.7+0.3*(MIN(R93,Z93)+0.5*M93)/1.5/J93,1)</f>
        <v>0.77499999999999991</v>
      </c>
      <c r="AV93" s="4">
        <v>1.25</v>
      </c>
      <c r="AW93" s="47">
        <f>AW92</f>
        <v>5</v>
      </c>
      <c r="AX93" s="38">
        <f>AS93*AU93*AV93*AW93*AT93</f>
        <v>982.7852474998075</v>
      </c>
      <c r="AY93" s="38">
        <f>AX93</f>
        <v>982.7852474998075</v>
      </c>
      <c r="AZ93" s="38">
        <f>IF(L93&lt;50, 0.3*L93^(2/3), 2.12*LN(1+0.1*(L93+8)))</f>
        <v>6.7681675210006302</v>
      </c>
      <c r="BA93" s="38">
        <f>AW93* (L93^0.5/AR93^0.5)/(PI()/4*M93^2)/W93/0.72 *(0.7+(MIN(R93,Z93)+0.5*M93)/5/J93) *(3*P93*J93)</f>
        <v>1080.1783801349238</v>
      </c>
      <c r="BB93" s="38">
        <f>AX93/BA93</f>
        <v>0.90983606557377028</v>
      </c>
      <c r="BC93" s="38">
        <f>BG93/BA93</f>
        <v>1.2525708946618597</v>
      </c>
      <c r="BD93" s="4">
        <f>IF(BC93&lt;1,1,0)</f>
        <v>0</v>
      </c>
      <c r="BE93" s="4">
        <f>K93/M93*L93^0.5/0.19</f>
        <v>316.14015616170963</v>
      </c>
      <c r="BF93" s="4">
        <f>MIN(0.6+0.4*(AB93/AA93),2)</f>
        <v>1</v>
      </c>
      <c r="BG93" s="38">
        <f>2*L93*AA93*AC93^0.5*BF93*0.7/0.7</f>
        <v>1353</v>
      </c>
      <c r="BH93" s="4">
        <f>MAX(1-0.7*AD93/5,0.3)</f>
        <v>0.44000000000000006</v>
      </c>
      <c r="BI93" s="4">
        <f>BH93*I93*K93/(I93*M93/2.75/L93^0.5)</f>
        <v>72.680621901577041</v>
      </c>
      <c r="BJ93" s="4">
        <f>BG93+BI93</f>
        <v>1425.6806219015771</v>
      </c>
      <c r="BL93" s="4">
        <f>MIN(1.5, 0.75+0.25*MIN(3,MAX(1,R93/M93))+0.4*MIN(1,(40*2*PI()*AL93^2/4/AN93/W93)/M93))</f>
        <v>1</v>
      </c>
      <c r="BM93" s="4">
        <f>(3*O93+30)*BL93*L93^0.5</f>
        <v>630.69961154261068</v>
      </c>
      <c r="BO93" s="4">
        <f>3.4/PI()^0.5*L93*AA93*AD93^0.5*BF93</f>
        <v>1297.6924611181944</v>
      </c>
      <c r="BP93" s="4">
        <f>8/3*AG93*AH93^2/(AF93-M93-22)/M93*(AF93^2-M93^2)/(AF93^2-(M93+22)^2)</f>
        <v>3606.2915864545262</v>
      </c>
      <c r="BQ93" s="4">
        <f>BP93/BO93</f>
        <v>2.779003265031732</v>
      </c>
      <c r="BY93" s="4">
        <f>IF(V93=0,R93,MIN(V93/2,R93))</f>
        <v>22.2</v>
      </c>
      <c r="CC93" s="9"/>
      <c r="CE93" s="9"/>
      <c r="CF93" s="9"/>
      <c r="CG93" s="9">
        <f>IF(V93=0,MIN(R93,T93),MIN(V93/2,R93,T93))</f>
        <v>22.2</v>
      </c>
      <c r="CH93" s="9">
        <f>MAX(V93/2,R93)</f>
        <v>138.60000000000002</v>
      </c>
      <c r="CI93" s="9">
        <f>(CG93/M93)^0.5*(CH93/CG93)^0.15</f>
        <v>1.3161686388047049</v>
      </c>
      <c r="CJ93" s="70">
        <v>0</v>
      </c>
      <c r="CK93" s="9">
        <f>MIN(PI()*AL93^2/4*AM93*2/W93/M93/MAX(0.01,AN93),0.05)</f>
        <v>0</v>
      </c>
      <c r="CL93" s="9">
        <f>MAX(0,CJ93*(CK93-0.5/50))</f>
        <v>0</v>
      </c>
      <c r="CM93" s="9">
        <f>MIN(1,(25/M93)^0.3)</f>
        <v>1</v>
      </c>
      <c r="CN93" s="9">
        <f>IF(I93&gt;=800,0.68,IF(I93&gt;=700,0.75-(I93-700)*0.07/100,IF(I93&gt;=600,0.85-(I93-600)*0.1/100,IF(I93&gt;=500,1-(I93-500)*0.15/100,1.2-(I93-400)*0.2/100))))</f>
        <v>0.78899999999999992</v>
      </c>
      <c r="CO93" s="9">
        <f>1.75*CM93*CN93*(L93/25)^0.5</f>
        <v>4.1468499458926642</v>
      </c>
      <c r="CP93" s="9">
        <f>MIN((CI93+CL93)*CO93,2.5*CO93,L93^0.5)</f>
        <v>5.4579538486129122</v>
      </c>
      <c r="CQ93" s="9">
        <v>1</v>
      </c>
      <c r="CR93" s="9">
        <f>4*CP93*O93+60*CP93</f>
        <v>414.80449249458132</v>
      </c>
      <c r="CT93" s="4">
        <f>AI93/BE93</f>
        <v>2.6459783222607123</v>
      </c>
      <c r="CU93" s="4">
        <f>AI93/BJ93</f>
        <v>0.58673730087196796</v>
      </c>
      <c r="CV93" s="4">
        <f>AI93/BM93</f>
        <v>1.3263049234389535</v>
      </c>
      <c r="CW93" s="4">
        <f>AI93/CR93</f>
        <v>2.0166126817224077</v>
      </c>
      <c r="CX93" s="44">
        <f>AI93/DY93</f>
        <v>8.504202542302739</v>
      </c>
      <c r="CY93" s="4">
        <f>AI93/EK93</f>
        <v>1</v>
      </c>
      <c r="CZ93" s="4">
        <f>AI93/GH93</f>
        <v>3.1622500423555562</v>
      </c>
      <c r="DB93" s="4">
        <f>CT93</f>
        <v>2.6459783222607123</v>
      </c>
      <c r="DC93" s="4">
        <f>CU93</f>
        <v>0.58673730087196796</v>
      </c>
      <c r="DD93" s="4">
        <f>CW93</f>
        <v>2.0166126817224077</v>
      </c>
      <c r="DE93" s="4">
        <f>CZ93</f>
        <v>3.1622500423555562</v>
      </c>
      <c r="DF93" s="4">
        <f>CX93</f>
        <v>8.504202542302739</v>
      </c>
      <c r="DG93" s="4">
        <f>CY93</f>
        <v>1</v>
      </c>
      <c r="DO93" s="4">
        <f>AM93</f>
        <v>0</v>
      </c>
      <c r="DP93" s="4">
        <f>K93</f>
        <v>88.8</v>
      </c>
      <c r="DS93" s="4">
        <f>J93/4/(1-0.3*(L93/30)^0.5)/200000/M93</f>
        <v>2.8168411137544479E-5</v>
      </c>
      <c r="DT93" s="4">
        <f>EO93</f>
        <v>16.127376482335833</v>
      </c>
      <c r="DU93" s="4">
        <f>EB93*AF93/257/L93/AC93</f>
        <v>0</v>
      </c>
      <c r="DV93" s="4">
        <f>DT93*DU93^0.4</f>
        <v>0</v>
      </c>
      <c r="DW93" s="4">
        <f>MIN(DT93, DT93/1.4*(1-DU93^1.4)/(1-DU93))</f>
        <v>11.519554630239881</v>
      </c>
      <c r="DX93" s="4">
        <f>MAX(DT93/2, (4-DS93*(8*AF93*(DV93-DW93)+6*J93*DW93))/(4+DS93*J93*DT93)*DT93)</f>
        <v>15.790626414647646</v>
      </c>
      <c r="DY93" s="38">
        <f>MIN(1/M93*(4*AF93*(DV93-DW93)+(3*DW93+DX93)*J93)+EB93 -FI93,MAX(I93,AI93))</f>
        <v>98.363132326513863</v>
      </c>
      <c r="DZ93" s="4">
        <f>DY93/FE93</f>
        <v>0.89154893420732184</v>
      </c>
      <c r="EA93" s="4">
        <f>AF93/M93</f>
        <v>2.2360679774997898</v>
      </c>
      <c r="EB93" s="4">
        <f>MIN(EA$10*BA93)</f>
        <v>0</v>
      </c>
      <c r="EF93" s="4">
        <f>IF(T93&gt;1*M93,0.85,1)</f>
        <v>0.85</v>
      </c>
      <c r="EG93" s="4">
        <f>MIN(1,MAX(0.7,(1-0.1*(BY93-1*M93)/M93)))</f>
        <v>1</v>
      </c>
      <c r="EH93" s="4">
        <f>MIN(1,MAX(0.7,1-0.3*(PI()*AL93^2/4*AP93*2-0.25*PI()/4*M93^2)/(PI()/4*M93^2)))</f>
        <v>1</v>
      </c>
      <c r="EI93" s="4">
        <f>IF(EG93*EH93&lt;0.7,0.7,EG93*EH93)</f>
        <v>1</v>
      </c>
      <c r="EK93" s="4">
        <f>MIN(DT93/M93*3*J93+EL93-FI93,MAX(I93,AI93))</f>
        <v>836.5</v>
      </c>
      <c r="EL93" s="25">
        <f>26.5*P93*J93^0.5*L93^0.5/W93/M93^2*(0.7+R93/5/J93)</f>
        <v>1044.3162458944753</v>
      </c>
      <c r="EO93" s="4">
        <f>IF(M93&lt;22.2,1.1*5*(L93/30)^0.5,IF(M93&gt;=31.8,0.9*5*(L93/30)^0.5,1*5*(L93/30)^0.5))/EF93/EI93</f>
        <v>16.127376482335833</v>
      </c>
      <c r="ER93" s="4">
        <f>ES93*M93</f>
        <v>49.640709100495329</v>
      </c>
      <c r="ES93" s="4">
        <f>AE93^0.5</f>
        <v>2.2360679774997898</v>
      </c>
      <c r="ET93" s="4">
        <f>MIN(EB93)/(4700*L93^0.5)/AD93*ER93</f>
        <v>0</v>
      </c>
      <c r="EW93" s="4">
        <f>ET93</f>
        <v>0</v>
      </c>
      <c r="EX93" s="4">
        <f>MIN(0.999, EW93/(0.3*(L93/30)^0.5))</f>
        <v>0</v>
      </c>
      <c r="EY93" s="4">
        <f>EO93/1*EX93^0.4</f>
        <v>0</v>
      </c>
      <c r="EZ93" s="4">
        <f>EO93/1.4*(1-EX93^1.4)/(1-EX93)</f>
        <v>11.519554630239881</v>
      </c>
      <c r="FA93" s="4">
        <f>MAX(0,DP93*FA$9-ER93)</f>
        <v>0</v>
      </c>
      <c r="FB93" s="4">
        <f>MAX(0,DP93-ER93-FA93)</f>
        <v>39.159290899504668</v>
      </c>
      <c r="FC93" s="4">
        <f>FB93/(1-0.3*(L93/30)^0.5)/200000/M93</f>
        <v>4.968716242846628E-5</v>
      </c>
      <c r="FD93" s="4">
        <f>MAX(0.5*EO93, (1-2*FC93*(ER93*EY93+FA93*EZ93))/(1/EO93+FC93*FB93))</f>
        <v>15.636708106654494</v>
      </c>
      <c r="FE93" s="4">
        <f>MIN(4/M93*(1*EY93*ER93+EZ93*FA93+FB93*FD93)+EB93,MAX(I93,AI93))</f>
        <v>110.32836062326601</v>
      </c>
      <c r="FN93" s="23">
        <f>IF(CT93&lt;0.6,0.6,IF(CT93&lt;0.8,0.8,IF(CT93&lt;1,1,IF(CT93&lt;1.2,1.2,IF(CT93&lt;1.4,1.4,IF(CT93&lt;1.6,1.6,IF(CT93&lt;1.8,1.8,IF(CT93&lt;2,2,2.2))))))))</f>
        <v>2.2000000000000002</v>
      </c>
      <c r="FO93" s="23">
        <f>IF(CU93&lt;0.6,0.6,IF(CU93&lt;0.8,0.8,IF(CU93&lt;1,1,IF(CU93&lt;1.2,1.2,IF(CU93&lt;1.4,1.4,IF(CU93&lt;1.6,1.6,IF(CU93&lt;1.8,1.8,IF(CU93&lt;2,2,2.2))))))))</f>
        <v>0.6</v>
      </c>
      <c r="FP93" s="23">
        <f>IF(CZ93&lt;0.6,0.6,IF(CZ93&lt;0.8,0.8,IF(CZ93&lt;1,1,IF(CZ93&lt;1.2,1.2,IF(CZ93&lt;1.4,1.4,IF(CZ93&lt;1.6,1.6,IF(CZ93&lt;1.8,1.8,IF(CZ93&lt;2,2,2.2))))))))</f>
        <v>2.2000000000000002</v>
      </c>
      <c r="FQ93" s="23">
        <f>IF(CW93&lt;0.6,0.6,IF(CW93&lt;0.8,0.8,IF(CW93&lt;1,1,IF(CW93&lt;1.2,1.2,IF(CW93&lt;1.4,1.4,IF(CW93&lt;1.6,1.6,IF(CW93&lt;1.8,1.8,IF(CW93&lt;2,2,2.2))))))))</f>
        <v>2.2000000000000002</v>
      </c>
      <c r="FR93" s="23">
        <f>IF(CX93&lt;0.6,0.6,IF(CX93&lt;0.8,0.8,IF(CX93&lt;1,1,IF(CX93&lt;1.2,1.2,IF(CX93&lt;1.4,1.4,IF(CX93&lt;1.6,1.6,IF(CX93&lt;1.8,1.8,IF(CX93&lt;2,2,2.2))))))))</f>
        <v>2.2000000000000002</v>
      </c>
      <c r="FS93" s="23">
        <f>IF(CY93&lt;0.6,0.6,IF(CY93&lt;0.8,0.8,IF(CY93&lt;1,1,IF(CY93&lt;1.2,1.2,IF(CY93&lt;1.4,1.4,IF(CY93&lt;1.6,1.6,IF(CY93&lt;1.8,1.8,IF(CY93&lt;2,2,2.2))))))))</f>
        <v>1.2</v>
      </c>
      <c r="FT93" s="23">
        <f>IF(FR93&lt;1,1,0)</f>
        <v>0</v>
      </c>
      <c r="FU93" s="23"/>
      <c r="GE93" s="4">
        <f>IF(R93&gt;=2.5*25.4,1,1.25)</f>
        <v>1.25</v>
      </c>
      <c r="GF93" s="4">
        <f>IF(AN93&gt;1, 0.05*(18-MIN(8,(V93+M93)/M93))*(1-48000/MAX(60000,(I93*145))*(M93/25.4)^0.75*GG93), 1/12*(14-MIN(8,(V93+M93)/M93)))</f>
        <v>0.5</v>
      </c>
      <c r="GG93" s="4">
        <f>MIN(0.3, AL93^2*PI()/4*2*AO93/(M93^2*PI()/4*W93))</f>
        <v>0</v>
      </c>
      <c r="GH93" s="4">
        <f>(J93/25.4)/(M93/25.4)^1.5/0.0024*(L93*145)^0.25/GE93/GF93/145</f>
        <v>264.52683652330421</v>
      </c>
    </row>
    <row r="94" spans="1:195" s="4" customFormat="1" ht="12" customHeight="1" x14ac:dyDescent="0.3">
      <c r="A94" s="52">
        <v>161</v>
      </c>
      <c r="B94" s="53" t="s">
        <v>128</v>
      </c>
      <c r="C94" s="53">
        <v>2017</v>
      </c>
      <c r="D94" s="53" t="s">
        <v>309</v>
      </c>
      <c r="E94" s="53"/>
      <c r="F94" s="109" t="s">
        <v>818</v>
      </c>
      <c r="G94" s="60" t="s">
        <v>168</v>
      </c>
      <c r="H94" s="5">
        <f t="shared" si="0"/>
        <v>0.65852662180343235</v>
      </c>
      <c r="I94" s="101">
        <v>583</v>
      </c>
      <c r="J94" s="32">
        <f>7*M94</f>
        <v>401.09999999999997</v>
      </c>
      <c r="K94" s="32">
        <f>J94</f>
        <v>401.09999999999997</v>
      </c>
      <c r="L94" s="79">
        <v>51.4</v>
      </c>
      <c r="M94" s="55">
        <v>57.3</v>
      </c>
      <c r="N94" s="32">
        <f>J94/M94</f>
        <v>7</v>
      </c>
      <c r="O94" s="32">
        <f>K94/M94</f>
        <v>7</v>
      </c>
      <c r="P94" s="32">
        <f>V94+2*R94+2*M94</f>
        <v>584.46</v>
      </c>
      <c r="Q94" s="32">
        <f>R94/M94</f>
        <v>1</v>
      </c>
      <c r="R94" s="32">
        <f>1*M94</f>
        <v>57.3</v>
      </c>
      <c r="S94" s="32">
        <f>T94/M94</f>
        <v>0.97731239092495636</v>
      </c>
      <c r="T94" s="32">
        <f>40+16</f>
        <v>56</v>
      </c>
      <c r="U94" s="32">
        <f>V94/M94</f>
        <v>6.2</v>
      </c>
      <c r="V94" s="32">
        <f>(7.2-1)*M94</f>
        <v>355.26</v>
      </c>
      <c r="W94" s="32">
        <v>2</v>
      </c>
      <c r="X94" s="122">
        <f>AM94</f>
        <v>0</v>
      </c>
      <c r="Y94" s="32">
        <f>Z94/M94</f>
        <v>3.0436300174520068</v>
      </c>
      <c r="Z94" s="32">
        <f>2/3*J94-0.5*186</f>
        <v>174.39999999999998</v>
      </c>
      <c r="AA94" s="32">
        <f>MIN(R94/M94+0.5, V94/2/M94+0.5)</f>
        <v>1.5</v>
      </c>
      <c r="AB94" s="32">
        <f>R94/M94+0.5</f>
        <v>1.5</v>
      </c>
      <c r="AC94" s="32">
        <f>2040/510</f>
        <v>4</v>
      </c>
      <c r="AD94" s="32">
        <f>2040/510</f>
        <v>4</v>
      </c>
      <c r="AE94" s="32">
        <f>AD94+1</f>
        <v>5</v>
      </c>
      <c r="AF94" s="32">
        <f>M94*AE94^0.5</f>
        <v>128.12669511073796</v>
      </c>
      <c r="AG94" s="32">
        <f>I94</f>
        <v>583</v>
      </c>
      <c r="AH94" s="32">
        <v>25</v>
      </c>
      <c r="AI94" s="32">
        <f>(338+330)/2</f>
        <v>334</v>
      </c>
      <c r="AJ94" s="32"/>
      <c r="AK94" s="54">
        <f>CX94</f>
        <v>3.6804361834839789</v>
      </c>
      <c r="AL94" s="32">
        <v>0</v>
      </c>
      <c r="AM94" s="32">
        <v>0</v>
      </c>
      <c r="AN94" s="32">
        <f>K94</f>
        <v>401.09999999999997</v>
      </c>
      <c r="AO94" s="32"/>
      <c r="AP94" s="32"/>
      <c r="AQ94" s="32">
        <f>3*AR94/(V94+M94)</f>
        <v>2.9166666666666665</v>
      </c>
      <c r="AR94" s="54">
        <f>J94</f>
        <v>401.09999999999997</v>
      </c>
      <c r="AS94" s="54">
        <f>IF(J94*3&gt;V94+M94, P94, (R94+M94/2)*2+1.5*J94*(2*W94-2))*(3*J94)/(9*J94^2)</f>
        <v>0.48571428571428582</v>
      </c>
      <c r="AT94" s="54">
        <f>MIN(10*L94^0.5*J94^1.5,100*3.9*L94^0.5*J94^(5/3))/(PI()/4*M94^2)/W94</f>
        <v>111.66869259763561</v>
      </c>
      <c r="AU94" s="54">
        <f>MIN(0.7+0.3*(MIN(R94,Z94)+0.5*M94)/1.5/J94,1)</f>
        <v>0.74285714285714277</v>
      </c>
      <c r="AV94" s="54">
        <v>1.25</v>
      </c>
      <c r="AW94" s="54">
        <f>AW92</f>
        <v>5</v>
      </c>
      <c r="AX94" s="56">
        <f>AS94*AU94*AV94*AW94*AT94</f>
        <v>251.82429657221914</v>
      </c>
      <c r="AY94" s="56">
        <f>AX94</f>
        <v>251.82429657221914</v>
      </c>
      <c r="AZ94" s="56">
        <f>IF(L94&lt;50, 0.3*L94^(2/3), 2.12*LN(1+0.1*(L94+8)))</f>
        <v>4.107079761979672</v>
      </c>
      <c r="BA94" s="56">
        <f>AW94* (L94^0.5/AR94^0.5)/(PI()/4*M94^2)/W94/0.72 *(0.7+(MIN(R94,Z94)+0.5*M94)/5/J94) *(3*P94*J94)</f>
        <v>251.82429657221903</v>
      </c>
      <c r="BB94" s="56">
        <f>AX94/BA94</f>
        <v>1.0000000000000004</v>
      </c>
      <c r="BC94" s="56">
        <f>BG94/BA94</f>
        <v>1.2246634030070882</v>
      </c>
      <c r="BD94" s="54">
        <f>IF(BC94&lt;1,1,0)</f>
        <v>0</v>
      </c>
      <c r="BE94" s="54">
        <f>K94/M94*L94^0.5/0.19</f>
        <v>264.13502800535673</v>
      </c>
      <c r="BF94" s="54">
        <f>MIN(0.6+0.4*(AB94/AA94),2)</f>
        <v>1</v>
      </c>
      <c r="BG94" s="56">
        <f>2*L94*AA94*AC94^0.5*BF94*0.7/0.7</f>
        <v>308.39999999999998</v>
      </c>
      <c r="BH94" s="54">
        <f>MAX(1-0.7*AD94/5,0.3)</f>
        <v>0.44000000000000006</v>
      </c>
      <c r="BI94" s="54">
        <f>BH94*I94*K94/(I94*M94/2.75/L94^0.5)</f>
        <v>60.724642938431515</v>
      </c>
      <c r="BJ94" s="54">
        <f>BG94+BI94</f>
        <v>369.12464293843152</v>
      </c>
      <c r="BK94" s="54"/>
      <c r="BL94" s="54">
        <f>MIN(1.5, 0.75+0.25*MIN(3,MAX(1,R94/M94))+0.4*MIN(1,(40*2*PI()*AL94^2/4/AN94/W94)/M94))</f>
        <v>1</v>
      </c>
      <c r="BM94" s="54">
        <f>(3*O94+30)*BL94*L94^0.5</f>
        <v>365.63834591027239</v>
      </c>
      <c r="BN94" s="54"/>
      <c r="BO94" s="54">
        <f>3.4/PI()^0.5*L94*AA94*AD94^0.5*BF94</f>
        <v>295.79331486241767</v>
      </c>
      <c r="BP94" s="54">
        <f>8/3*AG94*AH94^2/(AF94-M94-22)/M94*(AF94^2-M94^2)/(AF94^2-(M94+22)^2)</f>
        <v>450.3525339151019</v>
      </c>
      <c r="BQ94" s="54">
        <f>BP94/BO94</f>
        <v>1.5225243820151051</v>
      </c>
      <c r="BR94" s="54"/>
      <c r="BS94" s="54"/>
      <c r="BT94" s="54"/>
      <c r="BU94" s="54"/>
      <c r="BV94" s="54"/>
      <c r="BW94" s="54"/>
      <c r="BX94" s="54"/>
      <c r="BY94" s="54">
        <f>IF(V94=0,R94,MIN(V94/2,R94))</f>
        <v>57.3</v>
      </c>
      <c r="BZ94" s="54"/>
      <c r="CA94" s="54"/>
      <c r="CB94" s="54"/>
      <c r="CC94" s="57"/>
      <c r="CD94" s="54"/>
      <c r="CE94" s="57"/>
      <c r="CF94" s="57"/>
      <c r="CG94" s="57">
        <f>IF(V94=0,MIN(R94,T94),MIN(V94/2,R94,T94))</f>
        <v>56</v>
      </c>
      <c r="CH94" s="57">
        <f>MAX(V94/2,R94)</f>
        <v>177.63</v>
      </c>
      <c r="CI94" s="57">
        <f>(CG94/M94)^0.5*(CH94/CG94)^0.15</f>
        <v>1.1754818988273255</v>
      </c>
      <c r="CJ94" s="71">
        <v>0</v>
      </c>
      <c r="CK94" s="57">
        <f>MIN(PI()*AL94^2/4*AM94*2/W94/M94/MAX(0.01,AN94),0.05)</f>
        <v>0</v>
      </c>
      <c r="CL94" s="57">
        <f>MAX(0,CJ94*(CK94-0.5/50))</f>
        <v>0</v>
      </c>
      <c r="CM94" s="57">
        <f>MIN(1,(25/M94)^0.3)</f>
        <v>0.77971450958075206</v>
      </c>
      <c r="CN94" s="57">
        <f>IF(I94&gt;=800,0.68,IF(I94&gt;=700,0.75-(I94-700)*0.07/100,IF(I94&gt;=600,0.85-(I94-600)*0.1/100,IF(I94&gt;=500,1-(I94-500)*0.15/100,1.2-(I94-400)*0.2/100))))</f>
        <v>0.87549999999999994</v>
      </c>
      <c r="CO94" s="57">
        <f>1.75*CM94*CN94*(L94/25)^0.5</f>
        <v>1.7129369207551171</v>
      </c>
      <c r="CP94" s="57">
        <f>MIN((CI94+CL94)*CO94,2.5*CO94,L94^0.5)</f>
        <v>2.013526344180657</v>
      </c>
      <c r="CQ94" s="57">
        <v>1</v>
      </c>
      <c r="CR94" s="57">
        <f>4*CP94*O94+60*CP94</f>
        <v>177.19031828789781</v>
      </c>
      <c r="CS94" s="54"/>
      <c r="CT94" s="54">
        <f>AI94/BE94</f>
        <v>1.2645047592598222</v>
      </c>
      <c r="CU94" s="54">
        <f>AI94/BJ94</f>
        <v>0.90484340828935073</v>
      </c>
      <c r="CV94" s="54">
        <f>AI94/BM94</f>
        <v>0.913470930321853</v>
      </c>
      <c r="CW94" s="54">
        <f>AI94/CR94</f>
        <v>1.8849788364696016</v>
      </c>
      <c r="CX94" s="54">
        <f>AI94/DY94</f>
        <v>3.6804361834839789</v>
      </c>
      <c r="CY94" s="54">
        <f>AI94/EK94</f>
        <v>1.3493245422364921</v>
      </c>
      <c r="CZ94" s="54">
        <f>AI94/GH94</f>
        <v>1.8117952467104248</v>
      </c>
      <c r="DA94" s="54"/>
      <c r="DB94" s="54">
        <f>CT94</f>
        <v>1.2645047592598222</v>
      </c>
      <c r="DC94" s="54">
        <f>CU94</f>
        <v>0.90484340828935073</v>
      </c>
      <c r="DD94" s="54">
        <f>CW94</f>
        <v>1.8849788364696016</v>
      </c>
      <c r="DE94" s="54">
        <f>CZ94</f>
        <v>1.8117952467104248</v>
      </c>
      <c r="DF94" s="54">
        <f>CX94</f>
        <v>3.6804361834839789</v>
      </c>
      <c r="DG94" s="54">
        <f>CY94</f>
        <v>1.3493245422364921</v>
      </c>
      <c r="DH94" s="54"/>
      <c r="DI94" s="54"/>
      <c r="DJ94" s="54"/>
      <c r="DK94" s="54"/>
      <c r="DL94" s="54"/>
      <c r="DM94" s="54"/>
      <c r="DN94" s="54"/>
      <c r="DO94" s="54">
        <f>AM94</f>
        <v>0</v>
      </c>
      <c r="DP94" s="54">
        <f>K94</f>
        <v>401.09999999999997</v>
      </c>
      <c r="DQ94" s="54"/>
      <c r="DR94" s="54"/>
      <c r="DS94" s="54">
        <f>J94/4/(1-0.3*(L94/30)^0.5)/200000/M94</f>
        <v>1.4407634115999734E-5</v>
      </c>
      <c r="DT94" s="54">
        <f>EO94</f>
        <v>5.8902461748215584</v>
      </c>
      <c r="DU94" s="54">
        <f>EB94*AF94/257/L94/AC94</f>
        <v>0</v>
      </c>
      <c r="DV94" s="54">
        <f>DT94*DU94^0.4</f>
        <v>0</v>
      </c>
      <c r="DW94" s="54">
        <f>MIN(DT94, DT94/1.4*(1-DU94^1.4)/(1-DU94))</f>
        <v>4.2073186963011135</v>
      </c>
      <c r="DX94" s="54">
        <f>MAX(DT94/2, (4-DS94*(8*AF94*(DV94-DW94)+6*J94*DW94))/(4+DS94*J94*DT94)*DT94)</f>
        <v>5.7182604191824584</v>
      </c>
      <c r="DY94" s="56">
        <f>MIN(1/M94*(4*AF94*(DV94-DW94)+(3*DW94+DX94)*J94)+EB94 -FI94,MAX(I94,AI94))</f>
        <v>90.750113124860249</v>
      </c>
      <c r="DZ94" s="54">
        <f>DY94/FE94</f>
        <v>0.85950248335103152</v>
      </c>
      <c r="EA94" s="54">
        <f>AF94/M94</f>
        <v>2.2360679774997898</v>
      </c>
      <c r="EB94" s="54">
        <f>MIN(EA$10*BA94)</f>
        <v>0</v>
      </c>
      <c r="EC94" s="54"/>
      <c r="ED94" s="54"/>
      <c r="EE94" s="54"/>
      <c r="EF94" s="54">
        <f>IF(T94&gt;1*M94,0.85,1)</f>
        <v>1</v>
      </c>
      <c r="EG94" s="54">
        <f>MIN(1,MAX(0.7,(1-0.1*(BY94-1*M94)/M94)))</f>
        <v>1</v>
      </c>
      <c r="EH94" s="54">
        <f>MIN(1,MAX(0.7,1-0.3*(PI()*AL94^2/4*AP94*2-0.25*PI()/4*M94^2)/(PI()/4*M94^2)))</f>
        <v>1</v>
      </c>
      <c r="EI94" s="54">
        <f>IF(EG94*EH94&lt;0.7,0.7,EG94*EH94)</f>
        <v>1</v>
      </c>
      <c r="EJ94" s="54"/>
      <c r="EK94" s="54">
        <f>MIN(DT94/M94*3*J94+EL94-FI94,MAX(I94,AI94))</f>
        <v>247.53125696980081</v>
      </c>
      <c r="EL94" s="52">
        <f>13.3*P94*J94^0.5*L94^0.5/W94/M94^2*(0.7+R94/5/J94)</f>
        <v>123.83608729854809</v>
      </c>
      <c r="EM94" s="54"/>
      <c r="EN94" s="54"/>
      <c r="EO94" s="54">
        <f>IF(M94&lt;22.2,1.1*5*(L94/30)^0.5,IF(M94&gt;=31.8,0.9*5*(L94/30)^0.5,1*5*(L94/30)^0.5))/EF94/EI94</f>
        <v>5.8902461748215584</v>
      </c>
      <c r="EP94" s="54"/>
      <c r="EQ94" s="54"/>
      <c r="ER94" s="54">
        <f>ES94*M94</f>
        <v>128.12669511073796</v>
      </c>
      <c r="ES94" s="54">
        <f>AE94^0.5</f>
        <v>2.2360679774997898</v>
      </c>
      <c r="ET94" s="54">
        <f>MIN(EB94)/(4700*L94^0.5)/AD94*ER94</f>
        <v>0</v>
      </c>
      <c r="EU94" s="54"/>
      <c r="EV94" s="54"/>
      <c r="EW94" s="54">
        <f>ET94</f>
        <v>0</v>
      </c>
      <c r="EX94" s="54">
        <f>MIN(0.999, EW94/(0.3*(L94/30)^0.5))</f>
        <v>0</v>
      </c>
      <c r="EY94" s="54">
        <f>EO94/1*EX94^0.4</f>
        <v>0</v>
      </c>
      <c r="EZ94" s="54">
        <f>EO94/1.4*(1-EX94^1.4)/(1-EX94)</f>
        <v>4.2073186963011135</v>
      </c>
      <c r="FA94" s="54">
        <f>MAX(0,DP94*FA$9-ER94)</f>
        <v>0</v>
      </c>
      <c r="FB94" s="54">
        <f>MAX(0,DP94-ER94-FA94)</f>
        <v>272.97330488926201</v>
      </c>
      <c r="FC94" s="54">
        <f>FB94/(1-0.3*(L94/30)^0.5)/200000/M94</f>
        <v>3.9221136876387221E-5</v>
      </c>
      <c r="FD94" s="54">
        <f>MAX(0.5*EO94, (1-2*FC94*(ER94*EY94+FA94*EZ94))/(1/EO94+FC94*FB94))</f>
        <v>5.5408257447479201</v>
      </c>
      <c r="FE94" s="54">
        <f>MIN(4/M94*(1*EY94*ER94+EZ94*FA94+FB94*FD94)+EB94,MAX(I94,AI94))</f>
        <v>105.58446878599275</v>
      </c>
      <c r="FF94" s="54"/>
      <c r="FG94" s="54"/>
      <c r="FH94" s="54"/>
      <c r="FI94" s="54"/>
      <c r="FJ94" s="54"/>
      <c r="FK94" s="54"/>
      <c r="FL94" s="54"/>
      <c r="FM94" s="54"/>
      <c r="FN94" s="58">
        <f>IF(CT94&lt;0.6,0.6,IF(CT94&lt;0.8,0.8,IF(CT94&lt;1,1,IF(CT94&lt;1.2,1.2,IF(CT94&lt;1.4,1.4,IF(CT94&lt;1.6,1.6,IF(CT94&lt;1.8,1.8,IF(CT94&lt;2,2,2.2))))))))</f>
        <v>1.4</v>
      </c>
      <c r="FO94" s="58">
        <f>IF(CU94&lt;0.6,0.6,IF(CU94&lt;0.8,0.8,IF(CU94&lt;1,1,IF(CU94&lt;1.2,1.2,IF(CU94&lt;1.4,1.4,IF(CU94&lt;1.6,1.6,IF(CU94&lt;1.8,1.8,IF(CU94&lt;2,2,2.2))))))))</f>
        <v>1</v>
      </c>
      <c r="FP94" s="58">
        <f>IF(CZ94&lt;0.6,0.6,IF(CZ94&lt;0.8,0.8,IF(CZ94&lt;1,1,IF(CZ94&lt;1.2,1.2,IF(CZ94&lt;1.4,1.4,IF(CZ94&lt;1.6,1.6,IF(CZ94&lt;1.8,1.8,IF(CZ94&lt;2,2,2.2))))))))</f>
        <v>2</v>
      </c>
      <c r="FQ94" s="58">
        <f>IF(CW94&lt;0.6,0.6,IF(CW94&lt;0.8,0.8,IF(CW94&lt;1,1,IF(CW94&lt;1.2,1.2,IF(CW94&lt;1.4,1.4,IF(CW94&lt;1.6,1.6,IF(CW94&lt;1.8,1.8,IF(CW94&lt;2,2,2.2))))))))</f>
        <v>2</v>
      </c>
      <c r="FR94" s="58">
        <f>IF(CX94&lt;0.6,0.6,IF(CX94&lt;0.8,0.8,IF(CX94&lt;1,1,IF(CX94&lt;1.2,1.2,IF(CX94&lt;1.4,1.4,IF(CX94&lt;1.6,1.6,IF(CX94&lt;1.8,1.8,IF(CX94&lt;2,2,2.2))))))))</f>
        <v>2.2000000000000002</v>
      </c>
      <c r="FS94" s="58">
        <f>IF(CY94&lt;0.6,0.6,IF(CY94&lt;0.8,0.8,IF(CY94&lt;1,1,IF(CY94&lt;1.2,1.2,IF(CY94&lt;1.4,1.4,IF(CY94&lt;1.6,1.6,IF(CY94&lt;1.8,1.8,IF(CY94&lt;2,2,2.2))))))))</f>
        <v>1.4</v>
      </c>
      <c r="FT94" s="58">
        <f>IF(FR94&lt;1,1,0)</f>
        <v>0</v>
      </c>
      <c r="FU94" s="58"/>
      <c r="FV94" s="54"/>
      <c r="FW94" s="54"/>
      <c r="FX94" s="54"/>
      <c r="FY94" s="54"/>
      <c r="FZ94" s="54"/>
      <c r="GA94" s="54"/>
      <c r="GB94" s="54"/>
      <c r="GC94" s="54"/>
      <c r="GD94" s="54"/>
      <c r="GE94" s="54">
        <f>IF(R94&gt;=2.5*25.4,1,1.25)</f>
        <v>1.25</v>
      </c>
      <c r="GF94" s="54">
        <f>IF(AN94&gt;1, 0.05*(18-MIN(8,(V94+M94)/M94))*(1-48000/MAX(60000,(I94*145))*(M94/25.4)^0.75*GG94), 1/12*(14-MIN(8,(V94+M94)/M94)))</f>
        <v>0.54</v>
      </c>
      <c r="GG94" s="54">
        <f>MIN(0.3, AL94^2*PI()/4*2*AO94/(M94^2*PI()/4*W94))</f>
        <v>0</v>
      </c>
      <c r="GH94" s="54">
        <f>(J94/25.4)/(M94/25.4)^1.5/0.0024*(L94*145)^0.25/GE94/GF94/145</f>
        <v>184.3475418132513</v>
      </c>
      <c r="GI94" s="54"/>
      <c r="GJ94" s="54"/>
      <c r="GK94" s="54"/>
      <c r="GL94" s="54"/>
      <c r="GM94" s="54"/>
    </row>
    <row r="95" spans="1:195" s="4" customFormat="1" ht="12" customHeight="1" x14ac:dyDescent="0.3">
      <c r="A95" s="25">
        <v>162</v>
      </c>
      <c r="B95" s="24" t="s">
        <v>128</v>
      </c>
      <c r="C95" s="24">
        <v>2017</v>
      </c>
      <c r="D95" s="24" t="s">
        <v>309</v>
      </c>
      <c r="E95" s="24"/>
      <c r="F95" s="109" t="s">
        <v>817</v>
      </c>
      <c r="G95" s="44" t="s">
        <v>169</v>
      </c>
      <c r="H95" s="5">
        <f t="shared" si="0"/>
        <v>0.65852662180343235</v>
      </c>
      <c r="I95" s="100">
        <v>583</v>
      </c>
      <c r="J95" s="7">
        <f>7*M95</f>
        <v>401.09999999999997</v>
      </c>
      <c r="K95" s="7">
        <f>J95</f>
        <v>401.09999999999997</v>
      </c>
      <c r="L95" s="80">
        <v>51.4</v>
      </c>
      <c r="M95" s="37">
        <v>57.3</v>
      </c>
      <c r="N95" s="7">
        <f>J95/M95</f>
        <v>7</v>
      </c>
      <c r="O95" s="7">
        <f>K95/M95</f>
        <v>7</v>
      </c>
      <c r="P95" s="7">
        <f>V95+2*R95+2*M95</f>
        <v>584.46</v>
      </c>
      <c r="Q95" s="32">
        <f>R95/M95</f>
        <v>1</v>
      </c>
      <c r="R95" s="7">
        <f>1*M95</f>
        <v>57.3</v>
      </c>
      <c r="S95" s="32">
        <f>T95/M95</f>
        <v>0.97731239092495636</v>
      </c>
      <c r="T95" s="7">
        <f>40+16</f>
        <v>56</v>
      </c>
      <c r="U95" s="32">
        <f>V95/M95</f>
        <v>6.2</v>
      </c>
      <c r="V95" s="7">
        <f>(7.2-1)*M95</f>
        <v>355.26</v>
      </c>
      <c r="W95" s="7">
        <v>2</v>
      </c>
      <c r="X95" s="122">
        <f>AM95</f>
        <v>2</v>
      </c>
      <c r="Y95" s="32">
        <f>Z95/M95</f>
        <v>3.0436300174520068</v>
      </c>
      <c r="Z95" s="7">
        <f>2/3*J95-0.5*186</f>
        <v>174.39999999999998</v>
      </c>
      <c r="AA95" s="7">
        <f>MIN(R95/M95+0.5, V95/2/M95+0.5)</f>
        <v>1.5</v>
      </c>
      <c r="AB95" s="7">
        <f>R95/M95+0.5</f>
        <v>1.5</v>
      </c>
      <c r="AC95" s="7">
        <f>2040/510</f>
        <v>4</v>
      </c>
      <c r="AD95" s="7">
        <f>2040/510</f>
        <v>4</v>
      </c>
      <c r="AE95" s="7">
        <f>AD95+1</f>
        <v>5</v>
      </c>
      <c r="AF95" s="7">
        <f>M95*AE95^0.5</f>
        <v>128.12669511073796</v>
      </c>
      <c r="AG95" s="7">
        <f>I95</f>
        <v>583</v>
      </c>
      <c r="AH95" s="7">
        <v>25</v>
      </c>
      <c r="AI95" s="7">
        <f>(424+424)/2</f>
        <v>424</v>
      </c>
      <c r="AJ95" s="7"/>
      <c r="AK95" s="4">
        <f>CX95</f>
        <v>4.5919497966447551</v>
      </c>
      <c r="AL95" s="7">
        <v>15.9</v>
      </c>
      <c r="AM95" s="7">
        <v>2</v>
      </c>
      <c r="AN95" s="7">
        <v>275</v>
      </c>
      <c r="AO95" s="7">
        <v>4</v>
      </c>
      <c r="AP95" s="7">
        <f>AM95</f>
        <v>2</v>
      </c>
      <c r="AQ95" s="7">
        <f>3*AR95/(V95+M95)</f>
        <v>2.9166666666666665</v>
      </c>
      <c r="AR95" s="4">
        <f>J95</f>
        <v>401.09999999999997</v>
      </c>
      <c r="AS95" s="4">
        <f>IF(J95*3&gt;V95+M95, P95, (R95+M95/2)*2+1.5*J95*(2*W95-2))*(3*J95)/(9*J95^2)</f>
        <v>0.48571428571428582</v>
      </c>
      <c r="AT95" s="4">
        <f>MIN(10*L95^0.5*J95^1.5,100*3.9*L95^0.5*J95^(5/3))/(PI()/4*M95^2)/W95</f>
        <v>111.66869259763561</v>
      </c>
      <c r="AU95" s="4">
        <f>MIN(0.7+0.3*(MIN(R95,Z95)+0.5*M95)/1.5/J95,1)</f>
        <v>0.74285714285714277</v>
      </c>
      <c r="AV95" s="4">
        <v>1.25</v>
      </c>
      <c r="AW95" s="4">
        <f>AW93</f>
        <v>5</v>
      </c>
      <c r="AX95" s="38">
        <f>AS95*AU95*AV95*AW95*AT95</f>
        <v>251.82429657221914</v>
      </c>
      <c r="AY95" s="38">
        <f>AX95</f>
        <v>251.82429657221914</v>
      </c>
      <c r="AZ95" s="38">
        <f>IF(L95&lt;50, 0.3*L95^(2/3), 2.12*LN(1+0.1*(L95+8)))</f>
        <v>4.107079761979672</v>
      </c>
      <c r="BA95" s="38">
        <f>AW95* (L95^0.5/AR95^0.5)/(PI()/4*M95^2)/W95/0.72 *(0.7+(MIN(R95,Z95)+0.5*M95)/5/J95) *(3*P95*J95)</f>
        <v>251.82429657221903</v>
      </c>
      <c r="BB95" s="38">
        <f>AX95/BA95</f>
        <v>1.0000000000000004</v>
      </c>
      <c r="BC95" s="38">
        <f>BG95/BA95</f>
        <v>1.2246634030070882</v>
      </c>
      <c r="BD95" s="4">
        <f>IF(BC95&lt;1,1,0)</f>
        <v>0</v>
      </c>
      <c r="BE95" s="4">
        <f>K95/M95*L95^0.5/0.19</f>
        <v>264.13502800535673</v>
      </c>
      <c r="BF95" s="4">
        <f>MIN(0.6+0.4*(AB95/AA95),2)</f>
        <v>1</v>
      </c>
      <c r="BG95" s="38">
        <f>2*L95*AA95*AC95^0.5*BF95*0.7/0.7</f>
        <v>308.39999999999998</v>
      </c>
      <c r="BH95" s="4">
        <f>MAX(1-0.7*AD95/5,0.3)</f>
        <v>0.44000000000000006</v>
      </c>
      <c r="BI95" s="4">
        <f>BH95*I95*K95/(I95*M95/2.75/L95^0.5)</f>
        <v>60.724642938431515</v>
      </c>
      <c r="BJ95" s="4">
        <f>BG95+BI95</f>
        <v>369.12464293843152</v>
      </c>
      <c r="BL95" s="4">
        <f>MIN(1.5, 0.75+0.25*MIN(3,MAX(1,R95/M95))+0.4*MIN(1,(40*2*PI()*AL95^2/4/AN95/W95)/M95))</f>
        <v>1.201612194511575</v>
      </c>
      <c r="BM95" s="4">
        <f>(3*O95+30)*BL95*L95^0.5</f>
        <v>439.35549522682476</v>
      </c>
      <c r="BO95" s="4">
        <f>3.4/PI()^0.5*L95*AA95*AD95^0.5*BF95</f>
        <v>295.79331486241767</v>
      </c>
      <c r="BP95" s="4">
        <f>8/3*AG95*AH95^2/(AF95-M95-22)/M95*(AF95^2-M95^2)/(AF95^2-(M95+22)^2)</f>
        <v>450.3525339151019</v>
      </c>
      <c r="BQ95" s="4">
        <f>BP95/BO95</f>
        <v>1.5225243820151051</v>
      </c>
      <c r="BY95" s="4">
        <f>IF(V95=0,R95,MIN(V95/2,R95))</f>
        <v>57.3</v>
      </c>
      <c r="CC95" s="9"/>
      <c r="CE95" s="9"/>
      <c r="CF95" s="9"/>
      <c r="CG95" s="9">
        <f>IF(V95=0,MIN(R95,T95),MIN(V95/2,R95,T95))</f>
        <v>56</v>
      </c>
      <c r="CH95" s="9">
        <f>MAX(V95/2,R95)</f>
        <v>177.63</v>
      </c>
      <c r="CI95" s="9">
        <f>(CG95/M95)^0.5*(CH95/CG95)^0.15</f>
        <v>1.1754818988273255</v>
      </c>
      <c r="CJ95" s="70">
        <v>20</v>
      </c>
      <c r="CK95" s="9">
        <f>MIN(PI()*AL95^2/4*AM95*2/W95/M95/MAX(0.01,AN95),0.05)</f>
        <v>2.5201524313946871E-2</v>
      </c>
      <c r="CL95" s="9">
        <f>MAX(0,CJ95*(CK95-0.5/50))</f>
        <v>0.30403048627893742</v>
      </c>
      <c r="CM95" s="9">
        <f>MIN(1,(25/M95)^0.3)</f>
        <v>0.77971450958075206</v>
      </c>
      <c r="CN95" s="9">
        <f>IF(I95&gt;=800,0.68,IF(I95&gt;=700,0.75-(I95-700)*0.07/100,IF(I95&gt;=600,0.85-(I95-600)*0.1/100,IF(I95&gt;=500,1-(I95-500)*0.15/100,1.2-(I95-400)*0.2/100))))</f>
        <v>0.87549999999999994</v>
      </c>
      <c r="CO95" s="9">
        <f>1.75*CM95*CN95*(L95/25)^0.5</f>
        <v>1.7129369207551171</v>
      </c>
      <c r="CP95" s="9">
        <f>MIN((CI95+CL95)*CO95,2.5*CO95,L95^0.5)</f>
        <v>2.5343113891629807</v>
      </c>
      <c r="CQ95" s="9">
        <v>1</v>
      </c>
      <c r="CR95" s="9">
        <f>4*CP95*O95+60*CP95</f>
        <v>223.01940224634231</v>
      </c>
      <c r="CT95" s="4">
        <f>AI95/BE95</f>
        <v>1.6052395746292354</v>
      </c>
      <c r="CU95" s="4">
        <f>AI95/BJ95</f>
        <v>1.1486634883673195</v>
      </c>
      <c r="CV95" s="4">
        <f>AI95/BM95</f>
        <v>0.96504995295689378</v>
      </c>
      <c r="CW95" s="4">
        <f>AI95/CR95</f>
        <v>1.9011798782047624</v>
      </c>
      <c r="CX95" s="4">
        <f>AI95/DY95</f>
        <v>4.5919497966447551</v>
      </c>
      <c r="CY95" s="4">
        <f>AI95/EK95</f>
        <v>1.6978913823018422</v>
      </c>
      <c r="CZ95" s="4">
        <f>AI95/GH95</f>
        <v>1.5788211461636792</v>
      </c>
      <c r="DH95" s="4">
        <f>CT95</f>
        <v>1.6052395746292354</v>
      </c>
      <c r="DI95" s="4">
        <f>CU95</f>
        <v>1.1486634883673195</v>
      </c>
      <c r="DJ95" s="4">
        <f>CW95</f>
        <v>1.9011798782047624</v>
      </c>
      <c r="DK95" s="4">
        <f>CZ95</f>
        <v>1.5788211461636792</v>
      </c>
      <c r="DL95" s="4">
        <f>CX95</f>
        <v>4.5919497966447551</v>
      </c>
      <c r="DM95" s="4">
        <f>CY95</f>
        <v>1.6978913823018422</v>
      </c>
      <c r="DO95" s="4">
        <f>AM95</f>
        <v>2</v>
      </c>
      <c r="DP95" s="4">
        <f>K95</f>
        <v>401.09999999999997</v>
      </c>
      <c r="DS95" s="4">
        <f>J95/4/(1-0.3*(L95/30)^0.5)/200000/M95</f>
        <v>1.4407634115999734E-5</v>
      </c>
      <c r="DT95" s="4">
        <f>EO95</f>
        <v>5.99454394365008</v>
      </c>
      <c r="DU95" s="4">
        <f>EB95*AF95/257/L95/AC95</f>
        <v>0</v>
      </c>
      <c r="DV95" s="4">
        <f>DT95*DU95^0.4</f>
        <v>0</v>
      </c>
      <c r="DW95" s="4">
        <f>MIN(DT95, DT95/1.4*(1-DU95^1.4)/(1-DU95))</f>
        <v>4.2818171026072003</v>
      </c>
      <c r="DX95" s="4">
        <f>MAX(DT95/2, (4-DS95*(8*AF95*(DV95-DW95)+6*J95*DW95))/(4+DS95*J95*DT95)*DT95)</f>
        <v>5.8164402196740914</v>
      </c>
      <c r="DY95" s="38">
        <f>MIN(1/M95*(4*AF95*(DV95-DW95)+(3*DW95+DX95)*J95)+EB95 -FI95,MAX(I95,AI95))</f>
        <v>92.335504257866276</v>
      </c>
      <c r="DZ95" s="4">
        <f>DY95/FE95</f>
        <v>0.86020493355697025</v>
      </c>
      <c r="EA95" s="4">
        <f>AF95/M95</f>
        <v>2.2360679774997898</v>
      </c>
      <c r="EB95" s="4">
        <f>MIN(EA$10*BA95)</f>
        <v>0</v>
      </c>
      <c r="EF95" s="4">
        <f>IF(T95&gt;1*M95,0.85,1)</f>
        <v>1</v>
      </c>
      <c r="EG95" s="4">
        <f>MIN(1,MAX(0.7,(1-0.1*(BY95-1*M95)/M95)))</f>
        <v>1</v>
      </c>
      <c r="EH95" s="4">
        <f>MIN(1,MAX(0.7,1-0.3*(PI()*AL95^2/4*AP95*2-0.25*PI()/4*M95^2)/(PI()/4*M95^2)))</f>
        <v>0.9826012170719004</v>
      </c>
      <c r="EI95" s="4">
        <f>IF(EG95*EH95&lt;0.7,0.7,EG95*EH95)</f>
        <v>0.9826012170719004</v>
      </c>
      <c r="EK95" s="4">
        <f>MIN(DT95/M95*3*J95+EL95-FI95,MAX(I95,AI95))</f>
        <v>249.72151011519978</v>
      </c>
      <c r="EL95" s="25">
        <f>13.3*P95*J95^0.5*L95^0.5/W95/M95^2*(0.7+R95/5/J95)</f>
        <v>123.83608729854809</v>
      </c>
      <c r="EO95" s="4">
        <f>IF(M95&lt;22.2,1.1*5*(L95/30)^0.5,IF(M95&gt;=31.8,0.9*5*(L95/30)^0.5,1*5*(L95/30)^0.5))/EF95/EI95</f>
        <v>5.99454394365008</v>
      </c>
      <c r="ER95" s="4">
        <f>ES95*M95</f>
        <v>128.12669511073796</v>
      </c>
      <c r="ES95" s="4">
        <f>AE95^0.5</f>
        <v>2.2360679774997898</v>
      </c>
      <c r="ET95" s="4">
        <f>MIN(EB95)/(4700*L95^0.5)/AD95*ER95</f>
        <v>0</v>
      </c>
      <c r="EW95" s="4">
        <f>ET95</f>
        <v>0</v>
      </c>
      <c r="EX95" s="4">
        <f>MIN(0.999, EW95/(0.3*(L95/30)^0.5))</f>
        <v>0</v>
      </c>
      <c r="EY95" s="4">
        <f>EO95/1*EX95^0.4</f>
        <v>0</v>
      </c>
      <c r="EZ95" s="4">
        <f>EO95/1.4*(1-EX95^1.4)/(1-EX95)</f>
        <v>4.2818171026072003</v>
      </c>
      <c r="FA95" s="4">
        <f>MAX(0,DP95*FA$9-ER95)</f>
        <v>0</v>
      </c>
      <c r="FB95" s="4">
        <f>MAX(0,DP95-ER95-FA95)</f>
        <v>272.97330488926201</v>
      </c>
      <c r="FC95" s="4">
        <f>FB95/(1-0.3*(L95/30)^0.5)/200000/M95</f>
        <v>3.9221136876387221E-5</v>
      </c>
      <c r="FD95" s="4">
        <f>MAX(0.5*EO95, (1-2*FC95*(ER95*EY95+FA95*EZ95))/(1/EO95+FC95*FB95))</f>
        <v>5.6330194278131422</v>
      </c>
      <c r="FE95" s="4">
        <f>MIN(4/M95*(1*EY95*ER95+EZ95*FA95+FB95*FD95)+EB95,MAX(I95,AI95))</f>
        <v>107.34128654209935</v>
      </c>
      <c r="FN95" s="23">
        <f>IF(CT95&lt;0.6,0.6,IF(CT95&lt;0.8,0.8,IF(CT95&lt;1,1,IF(CT95&lt;1.2,1.2,IF(CT95&lt;1.4,1.4,IF(CT95&lt;1.6,1.6,IF(CT95&lt;1.8,1.8,IF(CT95&lt;2,2,2.2))))))))</f>
        <v>1.8</v>
      </c>
      <c r="FO95" s="23">
        <f>IF(CU95&lt;0.6,0.6,IF(CU95&lt;0.8,0.8,IF(CU95&lt;1,1,IF(CU95&lt;1.2,1.2,IF(CU95&lt;1.4,1.4,IF(CU95&lt;1.6,1.6,IF(CU95&lt;1.8,1.8,IF(CU95&lt;2,2,2.2))))))))</f>
        <v>1.2</v>
      </c>
      <c r="FP95" s="23">
        <f>IF(CZ95&lt;0.6,0.6,IF(CZ95&lt;0.8,0.8,IF(CZ95&lt;1,1,IF(CZ95&lt;1.2,1.2,IF(CZ95&lt;1.4,1.4,IF(CZ95&lt;1.6,1.6,IF(CZ95&lt;1.8,1.8,IF(CZ95&lt;2,2,2.2))))))))</f>
        <v>1.6</v>
      </c>
      <c r="FQ95" s="23">
        <f>IF(CW95&lt;0.6,0.6,IF(CW95&lt;0.8,0.8,IF(CW95&lt;1,1,IF(CW95&lt;1.2,1.2,IF(CW95&lt;1.4,1.4,IF(CW95&lt;1.6,1.6,IF(CW95&lt;1.8,1.8,IF(CW95&lt;2,2,2.2))))))))</f>
        <v>2</v>
      </c>
      <c r="FR95" s="23">
        <f>IF(CX95&lt;0.6,0.6,IF(CX95&lt;0.8,0.8,IF(CX95&lt;1,1,IF(CX95&lt;1.2,1.2,IF(CX95&lt;1.4,1.4,IF(CX95&lt;1.6,1.6,IF(CX95&lt;1.8,1.8,IF(CX95&lt;2,2,2.2))))))))</f>
        <v>2.2000000000000002</v>
      </c>
      <c r="FS95" s="23">
        <f>IF(CY95&lt;0.6,0.6,IF(CY95&lt;0.8,0.8,IF(CY95&lt;1,1,IF(CY95&lt;1.2,1.2,IF(CY95&lt;1.4,1.4,IF(CY95&lt;1.6,1.6,IF(CY95&lt;1.8,1.8,IF(CY95&lt;2,2,2.2))))))))</f>
        <v>1.8</v>
      </c>
      <c r="FT95" s="23">
        <f>IF(FR95&lt;1,1,0)</f>
        <v>0</v>
      </c>
      <c r="FU95" s="23"/>
      <c r="GE95" s="4">
        <f>IF(R95&gt;=2.5*25.4,1,1.25)</f>
        <v>1.25</v>
      </c>
      <c r="GF95" s="4">
        <f>IF(AN95&gt;1, 0.05*(18-MIN(8,(V95+M95)/M95))*(1-48000/MAX(60000,(I95*145))*(M95/25.4)^0.75*GG95), 1/12*(14-MIN(8,(V95+M95)/M95)))</f>
        <v>0.37067917575318227</v>
      </c>
      <c r="GG95" s="4">
        <f>MIN(0.3, AL95^2*PI()/4*2*AO95/(M95^2*PI()/4*W95))</f>
        <v>0.3</v>
      </c>
      <c r="GH95" s="4">
        <f>(J95/25.4)/(M95/25.4)^1.5/0.0024*(L95*145)^0.25/GE95/GF95/145</f>
        <v>268.55480180909814</v>
      </c>
    </row>
    <row r="96" spans="1:195" s="4" customFormat="1" ht="12" customHeight="1" x14ac:dyDescent="0.3">
      <c r="A96" s="25">
        <v>163</v>
      </c>
      <c r="B96" s="24" t="s">
        <v>128</v>
      </c>
      <c r="C96" s="24">
        <v>2017</v>
      </c>
      <c r="D96" s="24" t="s">
        <v>309</v>
      </c>
      <c r="E96" s="24"/>
      <c r="F96" s="109" t="s">
        <v>817</v>
      </c>
      <c r="G96" s="4" t="s">
        <v>170</v>
      </c>
      <c r="H96" s="5">
        <f t="shared" si="0"/>
        <v>0.80548034420478565</v>
      </c>
      <c r="I96" s="100">
        <v>583</v>
      </c>
      <c r="J96" s="7">
        <f>7*M96</f>
        <v>401.09999999999997</v>
      </c>
      <c r="K96" s="7">
        <f>J96</f>
        <v>401.09999999999997</v>
      </c>
      <c r="L96" s="84">
        <v>76.900000000000006</v>
      </c>
      <c r="M96" s="37">
        <v>57.3</v>
      </c>
      <c r="N96" s="7">
        <f>J96/M96</f>
        <v>7</v>
      </c>
      <c r="O96" s="7">
        <f>K96/M96</f>
        <v>7</v>
      </c>
      <c r="P96" s="7">
        <f>V96+2*R96+2*M96</f>
        <v>584.46</v>
      </c>
      <c r="Q96" s="32">
        <f>R96/M96</f>
        <v>1</v>
      </c>
      <c r="R96" s="7">
        <f>1*M96</f>
        <v>57.3</v>
      </c>
      <c r="S96" s="32">
        <f>T96/M96</f>
        <v>0.97731239092495636</v>
      </c>
      <c r="T96" s="7">
        <f>40+16</f>
        <v>56</v>
      </c>
      <c r="U96" s="32">
        <f>V96/M96</f>
        <v>6.2</v>
      </c>
      <c r="V96" s="7">
        <f>(7.2-1)*M96</f>
        <v>355.26</v>
      </c>
      <c r="W96" s="7">
        <v>2</v>
      </c>
      <c r="X96" s="122">
        <f>AM96</f>
        <v>0</v>
      </c>
      <c r="Y96" s="32">
        <f>Z96/M96</f>
        <v>3.0436300174520068</v>
      </c>
      <c r="Z96" s="7">
        <f>2/3*J96-0.5*186</f>
        <v>174.39999999999998</v>
      </c>
      <c r="AA96" s="7">
        <f>MIN(R96/M96+0.5, V96/2/M96+0.5)</f>
        <v>1.5</v>
      </c>
      <c r="AB96" s="7">
        <f>R96/M96+0.5</f>
        <v>1.5</v>
      </c>
      <c r="AC96" s="7">
        <f>2040/510</f>
        <v>4</v>
      </c>
      <c r="AD96" s="7">
        <f>2040/510</f>
        <v>4</v>
      </c>
      <c r="AE96" s="7">
        <f>AD96+1</f>
        <v>5</v>
      </c>
      <c r="AF96" s="7">
        <f>M96*AE96^0.5</f>
        <v>128.12669511073796</v>
      </c>
      <c r="AG96" s="7">
        <f>I96</f>
        <v>583</v>
      </c>
      <c r="AH96" s="7">
        <v>25</v>
      </c>
      <c r="AI96" s="7">
        <f>(405+388)/2</f>
        <v>396.5</v>
      </c>
      <c r="AJ96" s="7"/>
      <c r="AK96" s="4">
        <f>CX96</f>
        <v>3.5922416018295387</v>
      </c>
      <c r="AL96" s="7">
        <v>0</v>
      </c>
      <c r="AM96" s="7">
        <v>0</v>
      </c>
      <c r="AN96" s="7">
        <f>K96</f>
        <v>401.09999999999997</v>
      </c>
      <c r="AO96" s="7"/>
      <c r="AP96" s="7"/>
      <c r="AQ96" s="7">
        <f>3*AR96/(V96+M96)</f>
        <v>2.9166666666666665</v>
      </c>
      <c r="AR96" s="4">
        <f>J96</f>
        <v>401.09999999999997</v>
      </c>
      <c r="AS96" s="4">
        <f>IF(J96*3&gt;V96+M96, P96, (R96+M96/2)*2+1.5*J96*(2*W96-2))*(3*J96)/(9*J96^2)</f>
        <v>0.48571428571428582</v>
      </c>
      <c r="AT96" s="4">
        <f>MIN(10*L96^0.5*J96^1.5,100*3.9*L96^0.5*J96^(5/3))/(PI()/4*M96^2)/W96</f>
        <v>136.58815600212856</v>
      </c>
      <c r="AU96" s="4">
        <f>MIN(0.7+0.3*(MIN(R96,Z96)+0.5*M96)/1.5/J96,1)</f>
        <v>0.74285714285714277</v>
      </c>
      <c r="AV96" s="4">
        <v>1.25</v>
      </c>
      <c r="AW96" s="4">
        <f>AW94</f>
        <v>5</v>
      </c>
      <c r="AX96" s="38">
        <f>AS96*AU96*AV96*AW96*AT96</f>
        <v>308.02022935173898</v>
      </c>
      <c r="AY96" s="38">
        <f>AX96</f>
        <v>308.02022935173898</v>
      </c>
      <c r="AZ96" s="38">
        <f>IF(L96&lt;50, 0.3*L96^(2/3), 2.12*LN(1+0.1*(L96+8)))</f>
        <v>4.7705058587582929</v>
      </c>
      <c r="BA96" s="38">
        <f>AW96* (L96^0.5/AR96^0.5)/(PI()/4*M96^2)/W96/0.72 *(0.7+(MIN(R96,Z96)+0.5*M96)/5/J96) *(3*P96*J96)</f>
        <v>308.02022935173875</v>
      </c>
      <c r="BB96" s="38">
        <f>AX96/BA96</f>
        <v>1.0000000000000007</v>
      </c>
      <c r="BC96" s="38">
        <f>BG96/BA96</f>
        <v>1.4979535628911949</v>
      </c>
      <c r="BD96" s="4">
        <f>IF(BC96&lt;1,1,0)</f>
        <v>0</v>
      </c>
      <c r="BE96" s="4">
        <f>K96/M96*L96^0.5/0.19</f>
        <v>323.0781660605395</v>
      </c>
      <c r="BF96" s="4">
        <f>MIN(0.6+0.4*(AB96/AA96),2)</f>
        <v>1</v>
      </c>
      <c r="BG96" s="38">
        <f>2*L96*AA96*AC96^0.5*BF96*0.7/0.7</f>
        <v>461.40000000000003</v>
      </c>
      <c r="BH96" s="4">
        <f>MAX(1-0.7*AD96/5,0.3)</f>
        <v>0.44000000000000006</v>
      </c>
      <c r="BI96" s="4">
        <f>BH96*I96*K96/(I96*M96/2.75/L96^0.5)</f>
        <v>74.275670377318036</v>
      </c>
      <c r="BJ96" s="4">
        <f>BG96+BI96</f>
        <v>535.67567037731806</v>
      </c>
      <c r="BL96" s="4">
        <f>MIN(1.5, 0.75+0.25*MIN(3,MAX(1,R96/M96))+0.4*MIN(1,(40*2*PI()*AL96^2/4/AN96/W96)/M96))</f>
        <v>1</v>
      </c>
      <c r="BM96" s="4">
        <f>(3*O96+30)*BL96*L96^0.5</f>
        <v>447.2324898752326</v>
      </c>
      <c r="BO96" s="4">
        <f>3.4/PI()^0.5*L96*AA96*AD96^0.5*BF96</f>
        <v>442.53902554318915</v>
      </c>
      <c r="BP96" s="4">
        <f>8/3*AG96*AH96^2/(AF96-M96-22)/M96*(AF96^2-M96^2)/(AF96^2-(M96+22)^2)</f>
        <v>450.3525339151019</v>
      </c>
      <c r="BQ96" s="4">
        <f>BP96/BO96</f>
        <v>1.0176560888891599</v>
      </c>
      <c r="BY96" s="4">
        <f>IF(V96=0,R96,MIN(V96/2,R96))</f>
        <v>57.3</v>
      </c>
      <c r="CC96" s="9"/>
      <c r="CE96" s="9"/>
      <c r="CF96" s="9"/>
      <c r="CG96" s="9">
        <f>IF(V96=0,MIN(R96,T96),MIN(V96/2,R96,T96))</f>
        <v>56</v>
      </c>
      <c r="CH96" s="9">
        <f>MAX(V96/2,R96)</f>
        <v>177.63</v>
      </c>
      <c r="CI96" s="9">
        <f>(CG96/M96)^0.5*(CH96/CG96)^0.15</f>
        <v>1.1754818988273255</v>
      </c>
      <c r="CJ96" s="70">
        <v>0</v>
      </c>
      <c r="CK96" s="9">
        <f>MIN(PI()*AL96^2/4*AM96*2/W96/M96/MAX(0.01,AN96),0.05)</f>
        <v>0</v>
      </c>
      <c r="CL96" s="9">
        <f>MAX(0,CJ96*(CK96-0.5/50))</f>
        <v>0</v>
      </c>
      <c r="CM96" s="9">
        <f>MIN(1,(25/M96)^0.3)</f>
        <v>0.77971450958075206</v>
      </c>
      <c r="CN96" s="9">
        <f>IF(I96&gt;=800,0.68,IF(I96&gt;=700,0.75-(I96-700)*0.07/100,IF(I96&gt;=600,0.85-(I96-600)*0.1/100,IF(I96&gt;=500,1-(I96-500)*0.15/100,1.2-(I96-400)*0.2/100))))</f>
        <v>0.87549999999999994</v>
      </c>
      <c r="CO96" s="9">
        <f>1.75*CM96*CN96*(L96/25)^0.5</f>
        <v>2.0951879162491376</v>
      </c>
      <c r="CP96" s="9">
        <f>MIN((CI96+CL96)*CO96,2.5*CO96,L96^0.5)</f>
        <v>2.4628554701926038</v>
      </c>
      <c r="CQ96" s="9">
        <v>1</v>
      </c>
      <c r="CR96" s="9">
        <f>4*CP96*O96+60*CP96</f>
        <v>216.73128137694914</v>
      </c>
      <c r="CT96" s="4">
        <f>AI96/BE96</f>
        <v>1.2272571830982304</v>
      </c>
      <c r="CU96" s="4">
        <f>AI96/BJ96</f>
        <v>0.74018668744226179</v>
      </c>
      <c r="CV96" s="4">
        <f>AI96/BM96</f>
        <v>0.88656349656218902</v>
      </c>
      <c r="CW96" s="4">
        <f>AI96/CR96</f>
        <v>1.8294544169209646</v>
      </c>
      <c r="CX96" s="4">
        <f>AI96/DY96</f>
        <v>3.5922416018295387</v>
      </c>
      <c r="CY96" s="4">
        <f>AI96/EK96</f>
        <v>1.3095784928162608</v>
      </c>
      <c r="CZ96" s="4">
        <f>AI96/GH96</f>
        <v>1.9447556217215154</v>
      </c>
      <c r="DB96" s="4">
        <f>CT96</f>
        <v>1.2272571830982304</v>
      </c>
      <c r="DC96" s="4">
        <f>CU96</f>
        <v>0.74018668744226179</v>
      </c>
      <c r="DD96" s="4">
        <f>CW96</f>
        <v>1.8294544169209646</v>
      </c>
      <c r="DE96" s="4">
        <f>CZ96</f>
        <v>1.9447556217215154</v>
      </c>
      <c r="DF96" s="4">
        <f>CX96</f>
        <v>3.5922416018295387</v>
      </c>
      <c r="DG96" s="4">
        <f>CY96</f>
        <v>1.3095784928162608</v>
      </c>
      <c r="DO96" s="4">
        <f>AM96</f>
        <v>0</v>
      </c>
      <c r="DP96" s="4">
        <f>K96</f>
        <v>401.09999999999997</v>
      </c>
      <c r="DS96" s="4">
        <f>J96/4/(1-0.3*(L96/30)^0.5)/200000/M96</f>
        <v>1.6837038197690092E-5</v>
      </c>
      <c r="DT96" s="4">
        <f>EO96</f>
        <v>7.2046859751136969</v>
      </c>
      <c r="DU96" s="4">
        <f>EB96*AF96/257/L96/AC96</f>
        <v>0</v>
      </c>
      <c r="DV96" s="4">
        <f>DT96*DU96^0.4</f>
        <v>0</v>
      </c>
      <c r="DW96" s="4">
        <f>MIN(DT96, DT96/1.4*(1-DU96^1.4)/(1-DU96))</f>
        <v>5.1462042679383551</v>
      </c>
      <c r="DX96" s="4">
        <f>MAX(DT96/2, (4-DS96*(8*AF96*(DV96-DW96)+6*J96*DW96))/(4+DS96*J96*DT96)*DT96)</f>
        <v>6.9050748101890971</v>
      </c>
      <c r="DY96" s="38">
        <f>MIN(1/M96*(4*AF96*(DV96-DW96)+(3*DW96+DX96)*J96)+EB96 -FI96,MAX(I96,AI96))</f>
        <v>110.37676302119029</v>
      </c>
      <c r="DZ96" s="4">
        <f>DY96/FE96</f>
        <v>0.87643603489332544</v>
      </c>
      <c r="EA96" s="4">
        <f>AF96/M96</f>
        <v>2.2360679774997898</v>
      </c>
      <c r="EB96" s="4">
        <f>MIN(EA$10*BA96)</f>
        <v>0</v>
      </c>
      <c r="EF96" s="4">
        <f>IF(T96&gt;1*M96,0.85,1)</f>
        <v>1</v>
      </c>
      <c r="EG96" s="4">
        <f>MIN(1,MAX(0.7,(1-0.1*(BY96-1*M96)/M96)))</f>
        <v>1</v>
      </c>
      <c r="EH96" s="4">
        <f>MIN(1,MAX(0.7,1-0.3*(PI()*AL96^2/4*AP96*2-0.25*PI()/4*M96^2)/(PI()/4*M96^2)))</f>
        <v>1</v>
      </c>
      <c r="EI96" s="4">
        <f>IF(EG96*EH96&lt;0.7,0.7,EG96*EH96)</f>
        <v>1</v>
      </c>
      <c r="EK96" s="4">
        <f>MIN(DT96/M96*3*J96+EL96-FI96,MAX(I96,AI96))</f>
        <v>302.76917510100753</v>
      </c>
      <c r="EL96" s="25">
        <f>13.3*P96*J96^0.5*L96^0.5/W96/M96^2*(0.7+R96/5/J96)</f>
        <v>151.4707696236199</v>
      </c>
      <c r="EO96" s="4">
        <f>IF(M96&lt;22.2,1.1*5*(L96/30)^0.5,IF(M96&gt;=31.8,0.9*5*(L96/30)^0.5,1*5*(L96/30)^0.5))/EF96/EI96</f>
        <v>7.2046859751136969</v>
      </c>
      <c r="ER96" s="4">
        <f>ES96*M96</f>
        <v>128.12669511073796</v>
      </c>
      <c r="ES96" s="4">
        <f>AE96^0.5</f>
        <v>2.2360679774997898</v>
      </c>
      <c r="ET96" s="4">
        <f>MIN(EB96)/(4700*L96^0.5)/AD96*ER96</f>
        <v>0</v>
      </c>
      <c r="EW96" s="4">
        <f>ET96</f>
        <v>0</v>
      </c>
      <c r="EX96" s="4">
        <f>MIN(0.999, EW96/(0.3*(L96/30)^0.5))</f>
        <v>0</v>
      </c>
      <c r="EY96" s="4">
        <f>EO96/1*EX96^0.4</f>
        <v>0</v>
      </c>
      <c r="EZ96" s="4">
        <f>EO96/1.4*(1-EX96^1.4)/(1-EX96)</f>
        <v>5.1462042679383551</v>
      </c>
      <c r="FA96" s="4">
        <f>MAX(0,DP96*FA$9-ER96)</f>
        <v>0</v>
      </c>
      <c r="FB96" s="4">
        <f>MAX(0,DP96-ER96-FA96)</f>
        <v>272.97330488926201</v>
      </c>
      <c r="FC96" s="4">
        <f>FB96/(1-0.3*(L96/30)^0.5)/200000/M96</f>
        <v>4.5834574533734317E-5</v>
      </c>
      <c r="FD96" s="4">
        <f>MAX(0.5*EO96, (1-2*FC96*(ER96*EY96+FA96*EZ96))/(1/EO96+FC96*FB96))</f>
        <v>6.6089410940049875</v>
      </c>
      <c r="FE96" s="4">
        <f>MIN(4/M96*(1*EY96*ER96+EZ96*FA96+FB96*FD96)+EB96,MAX(I96,AI96))</f>
        <v>125.93818445019171</v>
      </c>
      <c r="FN96" s="23">
        <f>IF(CT96&lt;0.6,0.6,IF(CT96&lt;0.8,0.8,IF(CT96&lt;1,1,IF(CT96&lt;1.2,1.2,IF(CT96&lt;1.4,1.4,IF(CT96&lt;1.6,1.6,IF(CT96&lt;1.8,1.8,IF(CT96&lt;2,2,2.2))))))))</f>
        <v>1.4</v>
      </c>
      <c r="FO96" s="23">
        <f>IF(CU96&lt;0.6,0.6,IF(CU96&lt;0.8,0.8,IF(CU96&lt;1,1,IF(CU96&lt;1.2,1.2,IF(CU96&lt;1.4,1.4,IF(CU96&lt;1.6,1.6,IF(CU96&lt;1.8,1.8,IF(CU96&lt;2,2,2.2))))))))</f>
        <v>0.8</v>
      </c>
      <c r="FP96" s="23">
        <f>IF(CZ96&lt;0.6,0.6,IF(CZ96&lt;0.8,0.8,IF(CZ96&lt;1,1,IF(CZ96&lt;1.2,1.2,IF(CZ96&lt;1.4,1.4,IF(CZ96&lt;1.6,1.6,IF(CZ96&lt;1.8,1.8,IF(CZ96&lt;2,2,2.2))))))))</f>
        <v>2</v>
      </c>
      <c r="FQ96" s="23">
        <f>IF(CW96&lt;0.6,0.6,IF(CW96&lt;0.8,0.8,IF(CW96&lt;1,1,IF(CW96&lt;1.2,1.2,IF(CW96&lt;1.4,1.4,IF(CW96&lt;1.6,1.6,IF(CW96&lt;1.8,1.8,IF(CW96&lt;2,2,2.2))))))))</f>
        <v>2</v>
      </c>
      <c r="FR96" s="23">
        <f>IF(CX96&lt;0.6,0.6,IF(CX96&lt;0.8,0.8,IF(CX96&lt;1,1,IF(CX96&lt;1.2,1.2,IF(CX96&lt;1.4,1.4,IF(CX96&lt;1.6,1.6,IF(CX96&lt;1.8,1.8,IF(CX96&lt;2,2,2.2))))))))</f>
        <v>2.2000000000000002</v>
      </c>
      <c r="FS96" s="23">
        <f>IF(CY96&lt;0.6,0.6,IF(CY96&lt;0.8,0.8,IF(CY96&lt;1,1,IF(CY96&lt;1.2,1.2,IF(CY96&lt;1.4,1.4,IF(CY96&lt;1.6,1.6,IF(CY96&lt;1.8,1.8,IF(CY96&lt;2,2,2.2))))))))</f>
        <v>1.4</v>
      </c>
      <c r="FT96" s="23">
        <f>IF(FR96&lt;1,1,0)</f>
        <v>0</v>
      </c>
      <c r="FU96" s="23"/>
      <c r="GE96" s="4">
        <f>IF(R96&gt;=2.5*25.4,1,1.25)</f>
        <v>1.25</v>
      </c>
      <c r="GF96" s="4">
        <f>IF(AN96&gt;1, 0.05*(18-MIN(8,(V96+M96)/M96))*(1-48000/MAX(60000,(I96*145))*(M96/25.4)^0.75*GG96), 1/12*(14-MIN(8,(V96+M96)/M96)))</f>
        <v>0.54</v>
      </c>
      <c r="GG96" s="4">
        <f>MIN(0.3, AL96^2*PI()/4*2*AO96/(M96^2*PI()/4*W96))</f>
        <v>0</v>
      </c>
      <c r="GH96" s="4">
        <f>(J96/25.4)/(M96/25.4)^1.5/0.0024*(L96*145)^0.25/GE96/GF96/145</f>
        <v>203.88165771132446</v>
      </c>
    </row>
    <row r="97" spans="1:195" s="4" customFormat="1" ht="12" customHeight="1" x14ac:dyDescent="0.3">
      <c r="A97" s="25">
        <v>155</v>
      </c>
      <c r="B97" s="24" t="s">
        <v>128</v>
      </c>
      <c r="C97" s="24">
        <v>2017</v>
      </c>
      <c r="D97" s="24" t="s">
        <v>309</v>
      </c>
      <c r="E97" s="24"/>
      <c r="F97" s="109" t="s">
        <v>820</v>
      </c>
      <c r="G97" s="4" t="s">
        <v>162</v>
      </c>
      <c r="H97" s="5">
        <f>SQRT(L97)/(0.19*M97)</f>
        <v>0.77894259861431181</v>
      </c>
      <c r="I97" s="72">
        <v>606</v>
      </c>
      <c r="J97" s="7">
        <f>13*M97</f>
        <v>559</v>
      </c>
      <c r="K97" s="7">
        <f>J97</f>
        <v>559</v>
      </c>
      <c r="L97" s="21">
        <v>40.5</v>
      </c>
      <c r="M97" s="88">
        <v>43</v>
      </c>
      <c r="N97" s="7">
        <f>J97/M97</f>
        <v>13</v>
      </c>
      <c r="O97" s="7">
        <f>K97/M97</f>
        <v>13</v>
      </c>
      <c r="P97" s="7">
        <f>V97+2*R97+2*M97</f>
        <v>344</v>
      </c>
      <c r="Q97" s="32">
        <f>R97/M97</f>
        <v>1</v>
      </c>
      <c r="R97" s="7">
        <f>1*M97</f>
        <v>43</v>
      </c>
      <c r="S97" s="32">
        <f>T97/M97</f>
        <v>1.3023255813953489</v>
      </c>
      <c r="T97" s="7">
        <f>40+16</f>
        <v>56</v>
      </c>
      <c r="U97" s="32">
        <f>V97/M97</f>
        <v>4</v>
      </c>
      <c r="V97" s="7">
        <f>(5-1)*M97</f>
        <v>172</v>
      </c>
      <c r="W97" s="7">
        <v>2</v>
      </c>
      <c r="X97" s="122">
        <f>AM97</f>
        <v>2</v>
      </c>
      <c r="Y97" s="32">
        <f>Z97/M97</f>
        <v>6.3410852713178283</v>
      </c>
      <c r="Z97" s="7">
        <f>2/3*J97-0.5*200</f>
        <v>272.66666666666663</v>
      </c>
      <c r="AA97" s="7">
        <f>MIN(R97/M97+0.5, V97/2/M97+0.5)</f>
        <v>1.5</v>
      </c>
      <c r="AB97" s="7">
        <f>R97/M97+0.5</f>
        <v>1.5</v>
      </c>
      <c r="AC97" s="7">
        <f>2040/510</f>
        <v>4</v>
      </c>
      <c r="AD97" s="7">
        <f>2040/510</f>
        <v>4</v>
      </c>
      <c r="AE97" s="7">
        <f>AD97+1</f>
        <v>5</v>
      </c>
      <c r="AF97" s="7">
        <f>M97*AE97^0.5</f>
        <v>96.150923032490965</v>
      </c>
      <c r="AG97" s="7">
        <f>I97</f>
        <v>606</v>
      </c>
      <c r="AH97" s="7">
        <v>19</v>
      </c>
      <c r="AI97" s="7">
        <f>(468+468)/2</f>
        <v>468</v>
      </c>
      <c r="AJ97" s="7"/>
      <c r="AK97" s="4">
        <f>CX97</f>
        <v>2.0886592223173071</v>
      </c>
      <c r="AL97" s="7">
        <v>15.9</v>
      </c>
      <c r="AM97" s="10">
        <v>2</v>
      </c>
      <c r="AN97" s="7">
        <v>120</v>
      </c>
      <c r="AO97" s="7">
        <v>4</v>
      </c>
      <c r="AP97" s="7">
        <f>AM97</f>
        <v>2</v>
      </c>
      <c r="AQ97" s="7">
        <f>3*AR97/(V97+M97)</f>
        <v>7.8</v>
      </c>
      <c r="AR97" s="4">
        <f>J97</f>
        <v>559</v>
      </c>
      <c r="AS97" s="4">
        <f>IF(J97*3&gt;V97+M97, P97, (R97+M97/2)*2+1.5*J97*(2*W97-2))*(3*J97)/(9*J97^2)</f>
        <v>0.20512820512820512</v>
      </c>
      <c r="AT97" s="4">
        <f>MIN(10*L97^0.5*J97^1.5,100*3.9*L97^0.5*J97^(5/3))/(PI()/4*M97^2)/W97</f>
        <v>289.59325025411408</v>
      </c>
      <c r="AU97" s="4">
        <f>MIN(0.7+0.3*(MIN(R97,Z97)+0.5*M97)/1.5/J97,1)</f>
        <v>0.72307692307692306</v>
      </c>
      <c r="AV97" s="4">
        <v>1.25</v>
      </c>
      <c r="AW97" s="4">
        <f>AW96</f>
        <v>5</v>
      </c>
      <c r="AX97" s="38">
        <f>AS97*AU97*AV97*AW97*AT97</f>
        <v>268.45922607383358</v>
      </c>
      <c r="AY97" s="38">
        <f>AX97</f>
        <v>268.45922607383358</v>
      </c>
      <c r="AZ97" s="38">
        <f>IF(L97&lt;50, 0.3*L97^(2/3), 2.12*LN(1+0.1*(L97+8)))</f>
        <v>3.538000882182009</v>
      </c>
      <c r="BA97" s="38">
        <f>AW97* (L97^0.5/AR97^0.5)/(PI()/4*M97^2)/W97/0.72 *(0.7+(MIN(R97,Z97)+0.5*M97)/5/J97) *(3*P97*J97)</f>
        <v>268.45922607383346</v>
      </c>
      <c r="BB97" s="38">
        <f>AX97/BA97</f>
        <v>1.0000000000000004</v>
      </c>
      <c r="BC97" s="38">
        <f>BG97/BA97</f>
        <v>0.90516538974588456</v>
      </c>
      <c r="BD97" s="4">
        <f>IF(BC97&lt;1,1,0)</f>
        <v>1</v>
      </c>
      <c r="BE97" s="4">
        <f>K97/M97*L97^0.5/0.19</f>
        <v>435.4289126254003</v>
      </c>
      <c r="BF97" s="4">
        <f>MIN(0.6+0.4*(AB97/AA97),2)</f>
        <v>1</v>
      </c>
      <c r="BG97" s="38">
        <f>2*L97*AA97*AC97^0.5*BF97*0.7/0.7</f>
        <v>243</v>
      </c>
      <c r="BH97" s="4">
        <f>MAX(1-0.7*AD97/5,0.3)</f>
        <v>0.44000000000000006</v>
      </c>
      <c r="BI97" s="4">
        <f>BH97*I97*K97/(I97*M97/2.75/L97^0.5)</f>
        <v>100.10510701257955</v>
      </c>
      <c r="BJ97" s="4">
        <f>BG97+BI97</f>
        <v>343.10510701257954</v>
      </c>
      <c r="BL97" s="4">
        <f>MIN(1.5, 0.75+0.25*MIN(3,MAX(1,R97/M97))+0.4*MIN(1,(40*2*PI()*AL97^2/4/AN97/W97)/M97))</f>
        <v>1.4</v>
      </c>
      <c r="BM97" s="4">
        <f>(3*O97+30)*BL97*L97^0.5</f>
        <v>614.75863556358433</v>
      </c>
      <c r="BO97" s="4">
        <f>3.4/PI()^0.5*L97*AA97*AD97^0.5*BF97</f>
        <v>233.06671696357813</v>
      </c>
      <c r="BP97" s="4">
        <f>8/3*AG97*AH97^2/(AF97-M97-22)/M97*(AF97^2-M97^2)/(AF97^2-(M97+22)^2)</f>
        <v>641.65616063635548</v>
      </c>
      <c r="BQ97" s="4">
        <f>BP97/BO97</f>
        <v>2.7531007815956343</v>
      </c>
      <c r="BY97" s="4">
        <f>IF(V97=0,R97,MIN(V97/2,R97))</f>
        <v>43</v>
      </c>
      <c r="CC97" s="9"/>
      <c r="CE97" s="9"/>
      <c r="CF97" s="9"/>
      <c r="CG97" s="9">
        <f>IF(V97=0,MIN(R97,T97),MIN(V97/2,R97,T97))</f>
        <v>43</v>
      </c>
      <c r="CH97" s="9">
        <f>MAX(V97/2,R97)</f>
        <v>86</v>
      </c>
      <c r="CI97" s="9">
        <f>(CG97/M97)^0.5*(CH97/CG97)^0.15</f>
        <v>1.1095694720678451</v>
      </c>
      <c r="CJ97" s="70">
        <v>20</v>
      </c>
      <c r="CK97" s="9">
        <f>MIN(PI()*AL97^2/4*AM97*2/W97/M97/MAX(0.01,AN97),0.05)</f>
        <v>0.05</v>
      </c>
      <c r="CL97" s="9">
        <f>MAX(0,CJ97*(CK97-0.5/50))</f>
        <v>0.8</v>
      </c>
      <c r="CM97" s="9">
        <f>MIN(1,(25/M97)^0.3)</f>
        <v>0.84984840943171969</v>
      </c>
      <c r="CN97" s="9">
        <f>IF(I97&gt;=800,0.68,IF(I97&gt;=700,0.75-(I97-700)*0.07/100,IF(I97&gt;=600,0.85-(I97-600)*0.1/100,IF(I97&gt;=500,1-(I97-500)*0.15/100,1.2-(I97-400)*0.2/100))))</f>
        <v>0.84399999999999997</v>
      </c>
      <c r="CO97" s="9">
        <f>1.75*CM97*CN97*(L97/25)^0.5</f>
        <v>1.5976419979481837</v>
      </c>
      <c r="CP97" s="9">
        <f>MIN((CI97+CL97)*CO97,2.5*CO97,L97^0.5)</f>
        <v>3.0508083865753304</v>
      </c>
      <c r="CQ97" s="9">
        <v>1</v>
      </c>
      <c r="CR97" s="9">
        <f>4*CP97*O97+60*CP97</f>
        <v>341.69053929643701</v>
      </c>
      <c r="CT97" s="4">
        <f>AI97/BE97</f>
        <v>1.0748023074035522</v>
      </c>
      <c r="CU97" s="4">
        <f>AI97/BJ97</f>
        <v>1.3640135061669056</v>
      </c>
      <c r="CV97" s="4">
        <f>AI97/BM97</f>
        <v>0.76127438140166614</v>
      </c>
      <c r="CW97" s="4">
        <f>AI97/CR97</f>
        <v>1.3696603978665678</v>
      </c>
      <c r="CX97" s="4">
        <f>AI97/DY97</f>
        <v>2.0886592223173071</v>
      </c>
      <c r="CY97" s="4">
        <f>AI97/EK97</f>
        <v>1.1802441564682067</v>
      </c>
      <c r="CZ97" s="4">
        <f>AI97/GH97</f>
        <v>1.1449507661346809</v>
      </c>
      <c r="DH97" s="4">
        <f>CT97</f>
        <v>1.0748023074035522</v>
      </c>
      <c r="DI97" s="4">
        <f>CU97</f>
        <v>1.3640135061669056</v>
      </c>
      <c r="DJ97" s="4">
        <f>CW97</f>
        <v>1.3696603978665678</v>
      </c>
      <c r="DK97" s="4">
        <f>CZ97</f>
        <v>1.1449507661346809</v>
      </c>
      <c r="DL97" s="4">
        <f>CX97</f>
        <v>2.0886592223173071</v>
      </c>
      <c r="DM97" s="4">
        <f>CY97</f>
        <v>1.1802441564682067</v>
      </c>
      <c r="DO97" s="4">
        <f>AM97</f>
        <v>2</v>
      </c>
      <c r="DP97" s="4">
        <f>K97</f>
        <v>559</v>
      </c>
      <c r="DS97" s="4">
        <f>J97/4/(1-0.3*(L97/30)^0.5)/200000/M97</f>
        <v>2.4945063339588327E-5</v>
      </c>
      <c r="DT97" s="4">
        <f>EO97</f>
        <v>6.7526954191214541</v>
      </c>
      <c r="DU97" s="4">
        <f>EB97*AF97/257/L97/AC97</f>
        <v>0</v>
      </c>
      <c r="DV97" s="4">
        <f>DT97*DU97^0.4</f>
        <v>0</v>
      </c>
      <c r="DW97" s="4">
        <f>MIN(DT97, DT97/1.4*(1-DU97^1.4)/(1-DU97))</f>
        <v>4.8233538708010393</v>
      </c>
      <c r="DX97" s="4">
        <f>MAX(DT97/2, (4-DS97*(8*AF97*(DV97-DW97)+6*J97*DW97))/(4+DS97*J97*DT97)*DT97)</f>
        <v>6.0844443254557925</v>
      </c>
      <c r="DY97" s="38">
        <f>MIN(1/M97*(4*AF97*(DV97-DW97)+(3*DW97+DX97)*J97)+EB97 -FI97,MAX(I97,AI97))</f>
        <v>224.06718865357436</v>
      </c>
      <c r="DZ97" s="4">
        <f>DY97/FE97</f>
        <v>0.9696757195350677</v>
      </c>
      <c r="EA97" s="4">
        <f>AF97/M97</f>
        <v>2.2360679774997898</v>
      </c>
      <c r="EB97" s="4">
        <f>MIN(EA$10*BA97)</f>
        <v>0</v>
      </c>
      <c r="EF97" s="4">
        <f>IF(T97&gt;1*M97,0.85,1)</f>
        <v>0.85</v>
      </c>
      <c r="EG97" s="4">
        <f>MIN(1,MAX(0.7,(1-0.1*(BY97-1*M97)/M97)))</f>
        <v>1</v>
      </c>
      <c r="EH97" s="4">
        <f>MIN(1,MAX(0.7,1-0.3*(PI()*AL97^2/4*AP97*2-0.25*PI()/4*M97^2)/(PI()/4*M97^2)))</f>
        <v>0.91092644672796108</v>
      </c>
      <c r="EI97" s="4">
        <f>IF(EG97*EH97&lt;0.7,0.7,EG97*EH97)</f>
        <v>0.91092644672796108</v>
      </c>
      <c r="EK97" s="4">
        <f>MIN(DT97/M97*3*J97+EL97-FI97,MAX(I97,AI97))</f>
        <v>396.52812296097733</v>
      </c>
      <c r="EL97" s="25">
        <f>13.3*P97*J97^0.5*L97^0.5/W97/M97^2*(0.7+R97/5/J97)</f>
        <v>133.17300161524059</v>
      </c>
      <c r="EO97" s="4">
        <f>IF(M97&lt;22.2,1.1*5*(L97/30)^0.5,IF(M97&gt;=31.8,0.9*5*(L97/30)^0.5,1*5*(L97/30)^0.5))/EF97/EI97</f>
        <v>6.7526954191214541</v>
      </c>
      <c r="ER97" s="4">
        <f>ES97*M97</f>
        <v>96.150923032490965</v>
      </c>
      <c r="ES97" s="4">
        <f>AE97^0.5</f>
        <v>2.2360679774997898</v>
      </c>
      <c r="ET97" s="4">
        <f>MIN(EB97)/(4700*L97^0.5)/AD97*ER97</f>
        <v>0</v>
      </c>
      <c r="EW97" s="4">
        <f>ET97</f>
        <v>0</v>
      </c>
      <c r="EX97" s="4">
        <f>MIN(0.999, EW97/(0.3*(L97/30)^0.5))</f>
        <v>0</v>
      </c>
      <c r="EY97" s="4">
        <f>EO97/1*EX97^0.4</f>
        <v>0</v>
      </c>
      <c r="EZ97" s="4">
        <f>EO97/1.4*(1-EX97^1.4)/(1-EX97)</f>
        <v>4.8233538708010393</v>
      </c>
      <c r="FA97" s="4">
        <f>MAX(0,DP97*FA$9-ER97)</f>
        <v>0</v>
      </c>
      <c r="FB97" s="4">
        <f>MAX(0,DP97-ER97-FA97)</f>
        <v>462.84907696750906</v>
      </c>
      <c r="FC97" s="4">
        <f>FB97/(1-0.3*(L97/30)^0.5)/200000/M97</f>
        <v>8.2617528025935637E-5</v>
      </c>
      <c r="FD97" s="4">
        <f>MAX(0.5*EO97, (1-2*FC97*(ER97*EY97+FA97*EZ97))/(1/EO97+FC97*FB97))</f>
        <v>5.3668666717782809</v>
      </c>
      <c r="FE97" s="4">
        <f>MIN(4/M97*(1*EY97*ER97+EZ97*FA97+FB97*FD97)+EB97,MAX(I97,AI97))</f>
        <v>231.07435211537347</v>
      </c>
      <c r="FN97" s="23">
        <f>IF(CT97&lt;0.6,0.6,IF(CT97&lt;0.8,0.8,IF(CT97&lt;1,1,IF(CT97&lt;1.2,1.2,IF(CT97&lt;1.4,1.4,IF(CT97&lt;1.6,1.6,IF(CT97&lt;1.8,1.8,IF(CT97&lt;2,2,2.2))))))))</f>
        <v>1.2</v>
      </c>
      <c r="FO97" s="23">
        <f>IF(CU97&lt;0.6,0.6,IF(CU97&lt;0.8,0.8,IF(CU97&lt;1,1,IF(CU97&lt;1.2,1.2,IF(CU97&lt;1.4,1.4,IF(CU97&lt;1.6,1.6,IF(CU97&lt;1.8,1.8,IF(CU97&lt;2,2,2.2))))))))</f>
        <v>1.4</v>
      </c>
      <c r="FP97" s="23">
        <f>IF(CZ97&lt;0.6,0.6,IF(CZ97&lt;0.8,0.8,IF(CZ97&lt;1,1,IF(CZ97&lt;1.2,1.2,IF(CZ97&lt;1.4,1.4,IF(CZ97&lt;1.6,1.6,IF(CZ97&lt;1.8,1.8,IF(CZ97&lt;2,2,2.2))))))))</f>
        <v>1.2</v>
      </c>
      <c r="FQ97" s="23">
        <f>IF(CW97&lt;0.6,0.6,IF(CW97&lt;0.8,0.8,IF(CW97&lt;1,1,IF(CW97&lt;1.2,1.2,IF(CW97&lt;1.4,1.4,IF(CW97&lt;1.6,1.6,IF(CW97&lt;1.8,1.8,IF(CW97&lt;2,2,2.2))))))))</f>
        <v>1.4</v>
      </c>
      <c r="FR97" s="23">
        <f>IF(CX97&lt;0.6,0.6,IF(CX97&lt;0.8,0.8,IF(CX97&lt;1,1,IF(CX97&lt;1.2,1.2,IF(CX97&lt;1.4,1.4,IF(CX97&lt;1.6,1.6,IF(CX97&lt;1.8,1.8,IF(CX97&lt;2,2,2.2))))))))</f>
        <v>2.2000000000000002</v>
      </c>
      <c r="FS97" s="23">
        <f>IF(CY97&lt;0.6,0.6,IF(CY97&lt;0.8,0.8,IF(CY97&lt;1,1,IF(CY97&lt;1.2,1.2,IF(CY97&lt;1.4,1.4,IF(CY97&lt;1.6,1.6,IF(CY97&lt;1.8,1.8,IF(CY97&lt;2,2,2.2))))))))</f>
        <v>1.2</v>
      </c>
      <c r="FT97" s="23">
        <f>IF(FR97&lt;1,1,0)</f>
        <v>0</v>
      </c>
      <c r="FU97" s="23"/>
      <c r="GE97" s="4">
        <f>IF(R97&gt;=2.5*25.4,1,1.25)</f>
        <v>1.25</v>
      </c>
      <c r="GF97" s="4">
        <f>IF(AN97&gt;1, 0.05*(18-MIN(8,(V97+M97)/M97))*(1-48000/MAX(60000,(I97*145))*(M97/25.4)^0.75*GG97), 1/12*(14-MIN(8,(V97+M97)/M97)))</f>
        <v>0.49190749660801991</v>
      </c>
      <c r="GG97" s="4">
        <f>MIN(0.3, AL97^2*PI()/4*2*AO97/(M97^2*PI()/4*W97))</f>
        <v>0.3</v>
      </c>
      <c r="GH97" s="4">
        <f>(J97/25.4)/(M97/25.4)^1.5/0.0024*(L97*145)^0.25/GE97/GF97/145</f>
        <v>408.75120035069614</v>
      </c>
    </row>
    <row r="98" spans="1:195" s="4" customFormat="1" ht="12" customHeight="1" x14ac:dyDescent="0.3">
      <c r="A98" s="25">
        <v>153</v>
      </c>
      <c r="B98" s="24" t="s">
        <v>128</v>
      </c>
      <c r="C98" s="24">
        <v>2017</v>
      </c>
      <c r="D98" s="24" t="s">
        <v>309</v>
      </c>
      <c r="E98" s="24"/>
      <c r="F98" s="109" t="s">
        <v>819</v>
      </c>
      <c r="G98" s="4" t="s">
        <v>160</v>
      </c>
      <c r="H98" s="5">
        <f>SQRT(L98)/(0.19*M98)</f>
        <v>0.82834390774485345</v>
      </c>
      <c r="I98" s="72">
        <v>606</v>
      </c>
      <c r="J98" s="7">
        <f>13*M98</f>
        <v>559</v>
      </c>
      <c r="K98" s="7">
        <f>J98</f>
        <v>559</v>
      </c>
      <c r="L98" s="103">
        <v>45.8</v>
      </c>
      <c r="M98" s="88">
        <v>43</v>
      </c>
      <c r="N98" s="7">
        <f>J98/M98</f>
        <v>13</v>
      </c>
      <c r="O98" s="7">
        <f>K98/M98</f>
        <v>13</v>
      </c>
      <c r="P98" s="7">
        <f>V98+2*R98+2*M98</f>
        <v>344</v>
      </c>
      <c r="Q98" s="32">
        <f>R98/M98</f>
        <v>1</v>
      </c>
      <c r="R98" s="7">
        <f>1*M98</f>
        <v>43</v>
      </c>
      <c r="S98" s="32">
        <f>T98/M98</f>
        <v>1.3023255813953489</v>
      </c>
      <c r="T98" s="7">
        <f>40+16</f>
        <v>56</v>
      </c>
      <c r="U98" s="32">
        <f>V98/M98</f>
        <v>4</v>
      </c>
      <c r="V98" s="7">
        <f>(5-1)*M98</f>
        <v>172</v>
      </c>
      <c r="W98" s="7">
        <v>2</v>
      </c>
      <c r="X98" s="122">
        <f>AM98</f>
        <v>0</v>
      </c>
      <c r="Y98" s="32">
        <f>Z98/M98</f>
        <v>6.3410852713178283</v>
      </c>
      <c r="Z98" s="7">
        <f>2/3*J98-0.5*200</f>
        <v>272.66666666666663</v>
      </c>
      <c r="AA98" s="7">
        <f>MIN(R98/M98+0.5, V98/2/M98+0.5)</f>
        <v>1.5</v>
      </c>
      <c r="AB98" s="7">
        <f>R98/M98+0.5</f>
        <v>1.5</v>
      </c>
      <c r="AC98" s="7">
        <f>2040/510</f>
        <v>4</v>
      </c>
      <c r="AD98" s="7">
        <f>2040/510</f>
        <v>4</v>
      </c>
      <c r="AE98" s="7">
        <f>AD98+1</f>
        <v>5</v>
      </c>
      <c r="AF98" s="7">
        <f>M98*AE98^0.5</f>
        <v>96.150923032490965</v>
      </c>
      <c r="AG98" s="7">
        <f>I98</f>
        <v>606</v>
      </c>
      <c r="AH98" s="7">
        <v>19</v>
      </c>
      <c r="AI98" s="7">
        <f>(475+475)/2</f>
        <v>475</v>
      </c>
      <c r="AJ98" s="7"/>
      <c r="AK98" s="4">
        <f>CX98</f>
        <v>2.1886264977049468</v>
      </c>
      <c r="AL98" s="7">
        <v>0</v>
      </c>
      <c r="AM98" s="7">
        <v>0</v>
      </c>
      <c r="AN98" s="7">
        <f>K98</f>
        <v>559</v>
      </c>
      <c r="AO98" s="7"/>
      <c r="AP98" s="7"/>
      <c r="AQ98" s="7">
        <f>3*AR98/(V98+M98)</f>
        <v>7.8</v>
      </c>
      <c r="AR98" s="4">
        <f>J98</f>
        <v>559</v>
      </c>
      <c r="AS98" s="4">
        <f>IF(J98*3&gt;V98+M98, P98, (R98+M98/2)*2+1.5*J98*(2*W98-2))*(3*J98)/(9*J98^2)</f>
        <v>0.20512820512820512</v>
      </c>
      <c r="AT98" s="4">
        <f>MIN(10*L98^0.5*J98^1.5,100*3.9*L98^0.5*J98^(5/3))/(PI()/4*M98^2)/W98</f>
        <v>307.95954027775866</v>
      </c>
      <c r="AU98" s="4">
        <f>MIN(0.7+0.3*(MIN(R98,Z98)+0.5*M98)/1.5/J98,1)</f>
        <v>0.72307692307692306</v>
      </c>
      <c r="AV98" s="4">
        <v>1.25</v>
      </c>
      <c r="AW98" s="4">
        <f>AW97</f>
        <v>5</v>
      </c>
      <c r="AX98" s="38">
        <f>AS98*AU98*AV98*AW98*AT98</f>
        <v>285.48517540541735</v>
      </c>
      <c r="AY98" s="38">
        <f>AX98</f>
        <v>285.48517540541735</v>
      </c>
      <c r="AZ98" s="38">
        <f>IF(L98&lt;50, 0.3*L98^(2/3), 2.12*LN(1+0.1*(L98+8)))</f>
        <v>3.8402978284624769</v>
      </c>
      <c r="BA98" s="38">
        <f>AW98* (L98^0.5/AR98^0.5)/(PI()/4*M98^2)/W98/0.72 *(0.7+(MIN(R98,Z98)+0.5*M98)/5/J98) *(3*P98*J98)</f>
        <v>285.48517540541712</v>
      </c>
      <c r="BB98" s="38">
        <f>AX98/BA98</f>
        <v>1.0000000000000009</v>
      </c>
      <c r="BC98" s="38">
        <f>BG98/BA98</f>
        <v>0.9625718729869488</v>
      </c>
      <c r="BD98" s="4">
        <f>IF(BC98&lt;1,1,0)</f>
        <v>1</v>
      </c>
      <c r="BE98" s="4">
        <f>K98/M98*L98^0.5/0.19</f>
        <v>463.04424442937301</v>
      </c>
      <c r="BF98" s="4">
        <f>MIN(0.6+0.4*(AB98/AA98),2)</f>
        <v>1</v>
      </c>
      <c r="BG98" s="38">
        <f>2*L98*AA98*AC98^0.5*BF98*0.7/0.7</f>
        <v>274.79999999999995</v>
      </c>
      <c r="BH98" s="4">
        <f>MAX(1-0.7*AD98/5,0.3)</f>
        <v>0.44000000000000006</v>
      </c>
      <c r="BI98" s="4">
        <f>BH98*I98*K98/(I98*M98/2.75/L98^0.5)</f>
        <v>106.45387179431289</v>
      </c>
      <c r="BJ98" s="4">
        <f>BG98+BI98</f>
        <v>381.25387179431283</v>
      </c>
      <c r="BL98" s="4">
        <f>MIN(1.5, 0.75+0.25*MIN(3,MAX(1,R98/M98))+0.4*MIN(1,(40*2*PI()*AL98^2/4/AN98/W98)/M98))</f>
        <v>1</v>
      </c>
      <c r="BM98" s="4">
        <f>(3*O98+30)*BL98*L98^0.5</f>
        <v>466.96231111300619</v>
      </c>
      <c r="BO98" s="4">
        <f>3.4/PI()^0.5*L98*AA98*AD98^0.5*BF98</f>
        <v>263.56680585016983</v>
      </c>
      <c r="BP98" s="4">
        <f>8/3*AG98*AH98^2/(AF98-M98-22)/M98*(AF98^2-M98^2)/(AF98^2-(M98+22)^2)</f>
        <v>641.65616063635548</v>
      </c>
      <c r="BQ98" s="4">
        <f>BP98/BO98</f>
        <v>2.4345105164764891</v>
      </c>
      <c r="BY98" s="4">
        <f>IF(V98=0,R98,MIN(V98/2,R98))</f>
        <v>43</v>
      </c>
      <c r="CC98" s="9"/>
      <c r="CE98" s="9"/>
      <c r="CF98" s="9"/>
      <c r="CG98" s="9">
        <f>IF(V98=0,MIN(R98,T98),MIN(V98/2,R98,T98))</f>
        <v>43</v>
      </c>
      <c r="CH98" s="9">
        <f>MAX(V98/2,R98)</f>
        <v>86</v>
      </c>
      <c r="CI98" s="9">
        <f>(CG98/M98)^0.5*(CH98/CG98)^0.15</f>
        <v>1.1095694720678451</v>
      </c>
      <c r="CJ98" s="70">
        <v>0</v>
      </c>
      <c r="CK98" s="9">
        <f>MIN(PI()*AL98^2/4*AM98*2/W98/M98/MAX(0.01,AN98),0.05)</f>
        <v>0</v>
      </c>
      <c r="CL98" s="9">
        <f>MAX(0,CJ98*(CK98-0.5/50))</f>
        <v>0</v>
      </c>
      <c r="CM98" s="9">
        <f>MIN(1,(25/M98)^0.3)</f>
        <v>0.84984840943171969</v>
      </c>
      <c r="CN98" s="9">
        <f>IF(I98&gt;=800,0.68,IF(I98&gt;=700,0.75-(I98-700)*0.07/100,IF(I98&gt;=600,0.85-(I98-600)*0.1/100,IF(I98&gt;=500,1-(I98-500)*0.15/100,1.2-(I98-400)*0.2/100))))</f>
        <v>0.84399999999999997</v>
      </c>
      <c r="CO98" s="9">
        <f>1.75*CM98*CN98*(L98/25)^0.5</f>
        <v>1.6989660317871056</v>
      </c>
      <c r="CP98" s="9">
        <f>MIN((CI98+CL98)*CO98,2.5*CO98,L98^0.5)</f>
        <v>1.8851208429512205</v>
      </c>
      <c r="CQ98" s="9">
        <v>1</v>
      </c>
      <c r="CR98" s="9">
        <f>4*CP98*O98+60*CP98</f>
        <v>211.1335344105367</v>
      </c>
      <c r="CT98" s="4">
        <f>AI98/BE98</f>
        <v>1.0258198988853873</v>
      </c>
      <c r="CU98" s="4">
        <f>AI98/BJ98</f>
        <v>1.2458889866861822</v>
      </c>
      <c r="CV98" s="4">
        <f>AI98/BM98</f>
        <v>1.0172127143791025</v>
      </c>
      <c r="CW98" s="4">
        <f>AI98/CR98</f>
        <v>2.2497610402163333</v>
      </c>
      <c r="CX98" s="4">
        <f>AI98/DY98</f>
        <v>2.1886264977049468</v>
      </c>
      <c r="CY98" s="4">
        <f>AI98/EK98</f>
        <v>1.1972859454860088</v>
      </c>
      <c r="CZ98" s="4">
        <f>AI98/GH98</f>
        <v>1.489058878211396</v>
      </c>
      <c r="DB98" s="4">
        <f>CT98</f>
        <v>1.0258198988853873</v>
      </c>
      <c r="DC98" s="4">
        <f>CU98</f>
        <v>1.2458889866861822</v>
      </c>
      <c r="DD98" s="4">
        <f>CW98</f>
        <v>2.2497610402163333</v>
      </c>
      <c r="DE98" s="4">
        <f>CZ98</f>
        <v>1.489058878211396</v>
      </c>
      <c r="DF98" s="4">
        <f>CX98</f>
        <v>2.1886264977049468</v>
      </c>
      <c r="DG98" s="4">
        <f>CY98</f>
        <v>1.1972859454860088</v>
      </c>
      <c r="DO98" s="4">
        <f>AM98</f>
        <v>0</v>
      </c>
      <c r="DP98" s="4">
        <f>K98</f>
        <v>559</v>
      </c>
      <c r="DS98" s="4">
        <f>J98/4/(1-0.3*(L98/30)^0.5)/200000/M98</f>
        <v>2.5821318945834057E-5</v>
      </c>
      <c r="DT98" s="4">
        <f>EO98</f>
        <v>6.5413245857119913</v>
      </c>
      <c r="DU98" s="4">
        <f>EB98*AF98/257/L98/AC98</f>
        <v>0</v>
      </c>
      <c r="DV98" s="4">
        <f>DT98*DU98^0.4</f>
        <v>0</v>
      </c>
      <c r="DW98" s="4">
        <f>MIN(DT98, DT98/1.4*(1-DU98^1.4)/(1-DU98))</f>
        <v>4.6723747040799939</v>
      </c>
      <c r="DX98" s="4">
        <f>MAX(DT98/2, (4-DS98*(8*AF98*(DV98-DW98)+6*J98*DW98))/(4+DS98*J98*DT98)*DT98)</f>
        <v>5.8922668398733258</v>
      </c>
      <c r="DY98" s="38">
        <f>MIN(1/M98*(4*AF98*(DV98-DW98)+(3*DW98+DX98)*J98)+EB98 -FI98,MAX(I98,AI98))</f>
        <v>217.03109255877965</v>
      </c>
      <c r="DZ98" s="4">
        <f>DY98/FE98</f>
        <v>0.97011805141918639</v>
      </c>
      <c r="EA98" s="4">
        <f>AF98/M98</f>
        <v>2.2360679774997898</v>
      </c>
      <c r="EB98" s="4">
        <f>MIN(EA$10*BA98)</f>
        <v>0</v>
      </c>
      <c r="EF98" s="4">
        <f>IF(T98&gt;1*M98,0.85,1)</f>
        <v>0.85</v>
      </c>
      <c r="EG98" s="4">
        <f>MIN(1,MAX(0.7,(1-0.1*(BY98-1*M98)/M98)))</f>
        <v>1</v>
      </c>
      <c r="EH98" s="4">
        <f>MIN(1,MAX(0.7,1-0.3*(PI()*AL98^2/4*AP98*2-0.25*PI()/4*M98^2)/(PI()/4*M98^2)))</f>
        <v>1</v>
      </c>
      <c r="EI98" s="4">
        <f>IF(EG98*EH98&lt;0.7,0.7,EG98*EH98)</f>
        <v>1</v>
      </c>
      <c r="EK98" s="4">
        <f>MIN(DT98/M98*3*J98+EL98-FI98,MAX(I98,AI98))</f>
        <v>396.73062378359873</v>
      </c>
      <c r="EL98" s="25">
        <f>13.3*P98*J98^0.5*L98^0.5/W98/M98^2*(0.7+R98/5/J98)</f>
        <v>141.61896494083106</v>
      </c>
      <c r="EO98" s="4">
        <f>IF(M98&lt;22.2,1.1*5*(L98/30)^0.5,IF(M98&gt;=31.8,0.9*5*(L98/30)^0.5,1*5*(L98/30)^0.5))/EF98/EI98</f>
        <v>6.5413245857119913</v>
      </c>
      <c r="ER98" s="4">
        <f>ES98*M98</f>
        <v>96.150923032490965</v>
      </c>
      <c r="ES98" s="4">
        <f>AE98^0.5</f>
        <v>2.2360679774997898</v>
      </c>
      <c r="ET98" s="4">
        <f>MIN(EB98)/(4700*L98^0.5)/AD98*ER98</f>
        <v>0</v>
      </c>
      <c r="EW98" s="4">
        <f>ET98</f>
        <v>0</v>
      </c>
      <c r="EX98" s="4">
        <f>MIN(0.999, EW98/(0.3*(L98/30)^0.5))</f>
        <v>0</v>
      </c>
      <c r="EY98" s="4">
        <f>EO98/1*EX98^0.4</f>
        <v>0</v>
      </c>
      <c r="EZ98" s="4">
        <f>EO98/1.4*(1-EX98^1.4)/(1-EX98)</f>
        <v>4.6723747040799939</v>
      </c>
      <c r="FA98" s="4">
        <f>MAX(0,DP98*FA$9-ER98)</f>
        <v>0</v>
      </c>
      <c r="FB98" s="4">
        <f>MAX(0,DP98-ER98-FA98)</f>
        <v>462.84907696750906</v>
      </c>
      <c r="FC98" s="4">
        <f>FB98/(1-0.3*(L98/30)^0.5)/200000/M98</f>
        <v>8.5519668265924482E-5</v>
      </c>
      <c r="FD98" s="4">
        <f>MAX(0.5*EO98, (1-2*FC98*(ER98*EY98+FA98*EZ98))/(1/EO98+FC98*FB98))</f>
        <v>5.1959675866428174</v>
      </c>
      <c r="FE98" s="4">
        <f>MIN(4/M98*(1*EY98*ER98+EZ98*FA98+FB98*FD98)+EB98,MAX(I98,AI98))</f>
        <v>223.71616757495102</v>
      </c>
      <c r="FN98" s="23">
        <f>IF(CT98&lt;0.6,0.6,IF(CT98&lt;0.8,0.8,IF(CT98&lt;1,1,IF(CT98&lt;1.2,1.2,IF(CT98&lt;1.4,1.4,IF(CT98&lt;1.6,1.6,IF(CT98&lt;1.8,1.8,IF(CT98&lt;2,2,2.2))))))))</f>
        <v>1.2</v>
      </c>
      <c r="FO98" s="23">
        <f>IF(CU98&lt;0.6,0.6,IF(CU98&lt;0.8,0.8,IF(CU98&lt;1,1,IF(CU98&lt;1.2,1.2,IF(CU98&lt;1.4,1.4,IF(CU98&lt;1.6,1.6,IF(CU98&lt;1.8,1.8,IF(CU98&lt;2,2,2.2))))))))</f>
        <v>1.4</v>
      </c>
      <c r="FP98" s="23">
        <f>IF(CZ98&lt;0.6,0.6,IF(CZ98&lt;0.8,0.8,IF(CZ98&lt;1,1,IF(CZ98&lt;1.2,1.2,IF(CZ98&lt;1.4,1.4,IF(CZ98&lt;1.6,1.6,IF(CZ98&lt;1.8,1.8,IF(CZ98&lt;2,2,2.2))))))))</f>
        <v>1.6</v>
      </c>
      <c r="FQ98" s="23">
        <f>IF(CW98&lt;0.6,0.6,IF(CW98&lt;0.8,0.8,IF(CW98&lt;1,1,IF(CW98&lt;1.2,1.2,IF(CW98&lt;1.4,1.4,IF(CW98&lt;1.6,1.6,IF(CW98&lt;1.8,1.8,IF(CW98&lt;2,2,2.2))))))))</f>
        <v>2.2000000000000002</v>
      </c>
      <c r="FR98" s="23">
        <f>IF(CX98&lt;0.6,0.6,IF(CX98&lt;0.8,0.8,IF(CX98&lt;1,1,IF(CX98&lt;1.2,1.2,IF(CX98&lt;1.4,1.4,IF(CX98&lt;1.6,1.6,IF(CX98&lt;1.8,1.8,IF(CX98&lt;2,2,2.2))))))))</f>
        <v>2.2000000000000002</v>
      </c>
      <c r="FS98" s="23">
        <f>IF(CY98&lt;0.6,0.6,IF(CY98&lt;0.8,0.8,IF(CY98&lt;1,1,IF(CY98&lt;1.2,1.2,IF(CY98&lt;1.4,1.4,IF(CY98&lt;1.6,1.6,IF(CY98&lt;1.8,1.8,IF(CY98&lt;2,2,2.2))))))))</f>
        <v>1.2</v>
      </c>
      <c r="FT98" s="23">
        <f>IF(FR98&lt;1,1,0)</f>
        <v>0</v>
      </c>
      <c r="FU98" s="23"/>
      <c r="GE98" s="4">
        <f>IF(R98&gt;=2.5*25.4,1,1.25)</f>
        <v>1.25</v>
      </c>
      <c r="GF98" s="4">
        <f>IF(AN98&gt;1, 0.05*(18-MIN(8,(V98+M98)/M98))*(1-48000/MAX(60000,(I98*145))*(M98/25.4)^0.75*GG98), 1/12*(14-MIN(8,(V98+M98)/M98)))</f>
        <v>0.65</v>
      </c>
      <c r="GG98" s="4">
        <f>MIN(0.3, AL98^2*PI()/4*2*AO98/(M98^2*PI()/4*W98))</f>
        <v>0</v>
      </c>
      <c r="GH98" s="4">
        <f>(J98/25.4)/(M98/25.4)^1.5/0.0024*(L98*145)^0.25/GE98/GF98/145</f>
        <v>318.99343064966843</v>
      </c>
    </row>
    <row r="99" spans="1:195" s="4" customFormat="1" ht="12" customHeight="1" x14ac:dyDescent="0.3">
      <c r="A99" s="25">
        <v>164</v>
      </c>
      <c r="B99" s="24" t="s">
        <v>128</v>
      </c>
      <c r="C99" s="24">
        <v>2017</v>
      </c>
      <c r="D99" s="24" t="s">
        <v>309</v>
      </c>
      <c r="E99" s="24"/>
      <c r="F99" s="109" t="s">
        <v>819</v>
      </c>
      <c r="G99" s="4" t="s">
        <v>171</v>
      </c>
      <c r="H99" s="5">
        <f>SQRT(L99)/(0.19*M99)</f>
        <v>0.65852662180343235</v>
      </c>
      <c r="I99" s="100">
        <v>583</v>
      </c>
      <c r="J99" s="7">
        <f>10*M99</f>
        <v>573</v>
      </c>
      <c r="K99" s="7">
        <f>J99</f>
        <v>573</v>
      </c>
      <c r="L99" s="80">
        <v>51.4</v>
      </c>
      <c r="M99" s="37">
        <v>57.3</v>
      </c>
      <c r="N99" s="7">
        <f>J99/M99</f>
        <v>10</v>
      </c>
      <c r="O99" s="7">
        <f>K99/M99</f>
        <v>10</v>
      </c>
      <c r="P99" s="7">
        <f>V99+2*R99+2*M99</f>
        <v>584.46</v>
      </c>
      <c r="Q99" s="32">
        <f>R99/M99</f>
        <v>1</v>
      </c>
      <c r="R99" s="7">
        <f>1*M99</f>
        <v>57.3</v>
      </c>
      <c r="S99" s="32">
        <f>T99/M99</f>
        <v>0.97731239092495636</v>
      </c>
      <c r="T99" s="7">
        <f>40+16</f>
        <v>56</v>
      </c>
      <c r="U99" s="32">
        <f>V99/M99</f>
        <v>6.2</v>
      </c>
      <c r="V99" s="7">
        <f>(7.2-1)*M99</f>
        <v>355.26</v>
      </c>
      <c r="W99" s="7">
        <v>2</v>
      </c>
      <c r="X99" s="122">
        <f>AM99</f>
        <v>0</v>
      </c>
      <c r="Y99" s="32">
        <f>Z99/M99</f>
        <v>5.0436300174520072</v>
      </c>
      <c r="Z99" s="7">
        <f>2/3*J99-0.5*186</f>
        <v>289</v>
      </c>
      <c r="AA99" s="7">
        <f>MIN(R99/M99+0.5, V99/2/M99+0.5)</f>
        <v>1.5</v>
      </c>
      <c r="AB99" s="7">
        <f>R99/M99+0.5</f>
        <v>1.5</v>
      </c>
      <c r="AC99" s="7">
        <f>2040/510</f>
        <v>4</v>
      </c>
      <c r="AD99" s="7">
        <f>2040/510</f>
        <v>4</v>
      </c>
      <c r="AE99" s="7">
        <f>AD99+1</f>
        <v>5</v>
      </c>
      <c r="AF99" s="7">
        <f>M99*AE99^0.5</f>
        <v>128.12669511073796</v>
      </c>
      <c r="AG99" s="7">
        <f>I99</f>
        <v>583</v>
      </c>
      <c r="AH99" s="7">
        <v>25</v>
      </c>
      <c r="AI99" s="7">
        <f>(354+380)/2</f>
        <v>367</v>
      </c>
      <c r="AJ99" s="7"/>
      <c r="AK99" s="4">
        <f>CX99</f>
        <v>2.5581928216176952</v>
      </c>
      <c r="AL99" s="7">
        <v>0</v>
      </c>
      <c r="AM99" s="7">
        <v>0</v>
      </c>
      <c r="AN99" s="7">
        <f>K99</f>
        <v>573</v>
      </c>
      <c r="AO99" s="7"/>
      <c r="AP99" s="7"/>
      <c r="AQ99" s="7">
        <f>3*AR99/(V99+M99)</f>
        <v>4.166666666666667</v>
      </c>
      <c r="AR99" s="4">
        <f>J99</f>
        <v>573</v>
      </c>
      <c r="AS99" s="4">
        <f>IF(J99*3&gt;V99+M99, P99, (R99+M99/2)*2+1.5*J99*(2*W99-2))*(3*J99)/(9*J99^2)</f>
        <v>0.34</v>
      </c>
      <c r="AT99" s="4">
        <f>MIN(10*L99^0.5*J99^1.5,100*3.9*L99^0.5*J99^(5/3))/(PI()/4*M99^2)/W99</f>
        <v>190.67088022808852</v>
      </c>
      <c r="AU99" s="4">
        <f>MIN(0.7+0.3*(MIN(R99,Z99)+0.5*M99)/1.5/J99,1)</f>
        <v>0.73</v>
      </c>
      <c r="AV99" s="4">
        <v>1.25</v>
      </c>
      <c r="AW99" s="4">
        <f>AW98</f>
        <v>5</v>
      </c>
      <c r="AX99" s="38">
        <f>AS99*AU99*AV99*AW99*AT99</f>
        <v>295.7782029538223</v>
      </c>
      <c r="AY99" s="38">
        <f>AX99</f>
        <v>295.7782029538223</v>
      </c>
      <c r="AZ99" s="38">
        <f>IF(L99&lt;50, 0.3*L99^(2/3), 2.12*LN(1+0.1*(L99+8)))</f>
        <v>4.107079761979672</v>
      </c>
      <c r="BA99" s="38">
        <f>AW99* (L99^0.5/AR99^0.5)/(PI()/4*M99^2)/W99/0.72 *(0.7+(MIN(R99,Z99)+0.5*M99)/5/J99) *(3*P99*J99)</f>
        <v>295.77820295382207</v>
      </c>
      <c r="BB99" s="38">
        <f>AX99/BA99</f>
        <v>1.0000000000000007</v>
      </c>
      <c r="BC99" s="38">
        <f>BG99/BA99</f>
        <v>1.0426731818644137</v>
      </c>
      <c r="BD99" s="4">
        <f>IF(BC99&lt;1,1,0)</f>
        <v>0</v>
      </c>
      <c r="BE99" s="4">
        <f>K99/M99*L99^0.5/0.19</f>
        <v>377.33575429336673</v>
      </c>
      <c r="BF99" s="4">
        <f>MIN(0.6+0.4*(AB99/AA99),2)</f>
        <v>1</v>
      </c>
      <c r="BG99" s="38">
        <f>2*L99*AA99*AC99^0.5*BF99*0.7/0.7</f>
        <v>308.39999999999998</v>
      </c>
      <c r="BH99" s="4">
        <f>MAX(1-0.7*AD99/5,0.3)</f>
        <v>0.44000000000000006</v>
      </c>
      <c r="BI99" s="4">
        <f>BH99*I99*K99/(I99*M99/2.75/L99^0.5)</f>
        <v>86.749489912045021</v>
      </c>
      <c r="BJ99" s="4">
        <f>BG99+BI99</f>
        <v>395.149489912045</v>
      </c>
      <c r="BL99" s="4">
        <f>MIN(1.5, 0.75+0.25*MIN(3,MAX(1,R99/M99))+0.4*MIN(1,(40*2*PI()*AL99^2/4/AN99/W99)/M99))</f>
        <v>1</v>
      </c>
      <c r="BM99" s="4">
        <f>(3*O99+30)*BL99*L99^0.5</f>
        <v>430.16275989443812</v>
      </c>
      <c r="BO99" s="4">
        <f>3.4/PI()^0.5*L99*AA99*AD99^0.5*BF99</f>
        <v>295.79331486241767</v>
      </c>
      <c r="BP99" s="4">
        <f>8/3*AG99*AH99^2/(AF99-M99-22)/M99*(AF99^2-M99^2)/(AF99^2-(M99+22)^2)</f>
        <v>450.3525339151019</v>
      </c>
      <c r="BQ99" s="4">
        <f>BP99/BO99</f>
        <v>1.5225243820151051</v>
      </c>
      <c r="BY99" s="4">
        <f>IF(V99=0,R99,MIN(V99/2,R99))</f>
        <v>57.3</v>
      </c>
      <c r="CC99" s="9"/>
      <c r="CE99" s="9"/>
      <c r="CF99" s="9"/>
      <c r="CG99" s="9">
        <f>IF(V99=0,MIN(R99,T99),MIN(V99/2,R99,T99))</f>
        <v>56</v>
      </c>
      <c r="CH99" s="9">
        <f>MAX(V99/2,R99)</f>
        <v>177.63</v>
      </c>
      <c r="CI99" s="9">
        <f>(CG99/M99)^0.5*(CH99/CG99)^0.15</f>
        <v>1.1754818988273255</v>
      </c>
      <c r="CJ99" s="70">
        <v>0</v>
      </c>
      <c r="CK99" s="9">
        <f>MIN(PI()*AL99^2/4*AM99*2/W99/M99/MAX(0.01,AN99),0.05)</f>
        <v>0</v>
      </c>
      <c r="CL99" s="9">
        <f>MAX(0,CJ99*(CK99-0.5/50))</f>
        <v>0</v>
      </c>
      <c r="CM99" s="9">
        <f>MIN(1,(25/M99)^0.3)</f>
        <v>0.77971450958075206</v>
      </c>
      <c r="CN99" s="9">
        <f>IF(I99&gt;=800,0.68,IF(I99&gt;=700,0.75-(I99-700)*0.07/100,IF(I99&gt;=600,0.85-(I99-600)*0.1/100,IF(I99&gt;=500,1-(I99-500)*0.15/100,1.2-(I99-400)*0.2/100))))</f>
        <v>0.87549999999999994</v>
      </c>
      <c r="CO99" s="9">
        <f>1.75*CM99*CN99*(L99/25)^0.5</f>
        <v>1.7129369207551171</v>
      </c>
      <c r="CP99" s="9">
        <f>MIN((CI99+CL99)*CO99,2.5*CO99,L99^0.5)</f>
        <v>2.013526344180657</v>
      </c>
      <c r="CQ99" s="9">
        <v>1</v>
      </c>
      <c r="CR99" s="9">
        <f>4*CP99*O99+60*CP99</f>
        <v>201.35263441806569</v>
      </c>
      <c r="CT99" s="4">
        <f>AI99/BE99</f>
        <v>0.97260860076002498</v>
      </c>
      <c r="CU99" s="4">
        <f>AI99/BJ99</f>
        <v>0.92876242882583326</v>
      </c>
      <c r="CV99" s="4">
        <f>AI99/BM99</f>
        <v>0.85316543926317967</v>
      </c>
      <c r="CW99" s="4">
        <f>AI99/CR99</f>
        <v>1.8226729491803071</v>
      </c>
      <c r="CX99" s="4">
        <f>AI99/DY99</f>
        <v>2.5581928216176952</v>
      </c>
      <c r="CY99" s="4">
        <f>AI99/EK99</f>
        <v>1.1362985571149462</v>
      </c>
      <c r="CZ99" s="4">
        <f>AI99/GH99</f>
        <v>1.3935634697003241</v>
      </c>
      <c r="DB99" s="4">
        <f>CT99</f>
        <v>0.97260860076002498</v>
      </c>
      <c r="DC99" s="4">
        <f>CU99</f>
        <v>0.92876242882583326</v>
      </c>
      <c r="DD99" s="4">
        <f>CW99</f>
        <v>1.8226729491803071</v>
      </c>
      <c r="DE99" s="4">
        <f>CZ99</f>
        <v>1.3935634697003241</v>
      </c>
      <c r="DF99" s="4">
        <f>CX99</f>
        <v>2.5581928216176952</v>
      </c>
      <c r="DG99" s="4">
        <f>CY99</f>
        <v>1.1362985571149462</v>
      </c>
      <c r="DO99" s="4">
        <f>AM99</f>
        <v>0</v>
      </c>
      <c r="DP99" s="4">
        <f>K99</f>
        <v>573</v>
      </c>
      <c r="DS99" s="4">
        <f>J99/4/(1-0.3*(L99/30)^0.5)/200000/M99</f>
        <v>2.0582334451428195E-5</v>
      </c>
      <c r="DT99" s="4">
        <f>EO99</f>
        <v>5.8902461748215584</v>
      </c>
      <c r="DU99" s="4">
        <f>EB99*AF99/257/L99/AC99</f>
        <v>0</v>
      </c>
      <c r="DV99" s="4">
        <f>DT99*DU99^0.4</f>
        <v>0</v>
      </c>
      <c r="DW99" s="4">
        <f>MIN(DT99, DT99/1.4*(1-DU99^1.4)/(1-DU99))</f>
        <v>4.2073186963011135</v>
      </c>
      <c r="DX99" s="4">
        <f>MAX(DT99/2, (4-DS99*(8*AF99*(DV99-DW99)+6*J99*DW99))/(4+DS99*J99*DT99)*DT99)</f>
        <v>5.4872489582491673</v>
      </c>
      <c r="DY99" s="38">
        <f>MIN(1/M99*(4*AF99*(DV99-DW99)+(3*DW99+DX99)*J99)+EB99 -FI99,MAX(I99,AI99))</f>
        <v>143.46064803978473</v>
      </c>
      <c r="DZ99" s="4">
        <f>DY99/FE99</f>
        <v>0.91561578625053275</v>
      </c>
      <c r="EA99" s="4">
        <f>AF99/M99</f>
        <v>2.2360679774997898</v>
      </c>
      <c r="EB99" s="4">
        <f>MIN(EA$10*BA99)</f>
        <v>0</v>
      </c>
      <c r="EF99" s="4">
        <f>IF(T99&gt;1*M99,0.85,1)</f>
        <v>1</v>
      </c>
      <c r="EG99" s="4">
        <f>MIN(1,MAX(0.7,(1-0.1*(BY99-1*M99)/M99)))</f>
        <v>1</v>
      </c>
      <c r="EH99" s="4">
        <f>MIN(1,MAX(0.7,1-0.3*(PI()*AL99^2/4*AP99*2-0.25*PI()/4*M99^2)/(PI()/4*M99^2)))</f>
        <v>1</v>
      </c>
      <c r="EI99" s="4">
        <f>IF(EG99*EH99&lt;0.7,0.7,EG99*EH99)</f>
        <v>1</v>
      </c>
      <c r="EK99" s="4">
        <f>MIN(DT99/M99*3*J99+EL99-FI99,MAX(I99,AI99))</f>
        <v>322.97849689417046</v>
      </c>
      <c r="EL99" s="25">
        <f>13.3*P99*J99^0.5*L99^0.5/W99/M99^2*(0.7+R99/5/J99)</f>
        <v>146.27111164952376</v>
      </c>
      <c r="EO99" s="4">
        <f>IF(M99&lt;22.2,1.1*5*(L99/30)^0.5,IF(M99&gt;=31.8,0.9*5*(L99/30)^0.5,1*5*(L99/30)^0.5))/EF99/EI99</f>
        <v>5.8902461748215584</v>
      </c>
      <c r="ER99" s="4">
        <f>ES99*M99</f>
        <v>128.12669511073796</v>
      </c>
      <c r="ES99" s="4">
        <f>AE99^0.5</f>
        <v>2.2360679774997898</v>
      </c>
      <c r="ET99" s="4">
        <f>MIN(EB99)/(4700*L99^0.5)/AD99*ER99</f>
        <v>0</v>
      </c>
      <c r="EW99" s="4">
        <f>ET99</f>
        <v>0</v>
      </c>
      <c r="EX99" s="4">
        <f>MIN(0.999, EW99/(0.3*(L99/30)^0.5))</f>
        <v>0</v>
      </c>
      <c r="EY99" s="4">
        <f>EO99/1*EX99^0.4</f>
        <v>0</v>
      </c>
      <c r="EZ99" s="4">
        <f>EO99/1.4*(1-EX99^1.4)/(1-EX99)</f>
        <v>4.2073186963011135</v>
      </c>
      <c r="FA99" s="4">
        <f>MAX(0,DP99*FA$9-ER99)</f>
        <v>0</v>
      </c>
      <c r="FB99" s="4">
        <f>MAX(0,DP99-ER99-FA99)</f>
        <v>444.87330488926204</v>
      </c>
      <c r="FC99" s="4">
        <f>FB99/(1-0.3*(L99/30)^0.5)/200000/M99</f>
        <v>6.3919938218101065E-5</v>
      </c>
      <c r="FD99" s="4">
        <f>MAX(0.5*EO99, (1-2*FC99*(ER99*EY99+FA99*EZ99))/(1/EO99+FC99*FB99))</f>
        <v>5.0451931909221814</v>
      </c>
      <c r="FE99" s="4">
        <f>MIN(4/M99*(1*EY99*ER99+EZ99*FA99+FB99*FD99)+EB99,MAX(I99,AI99))</f>
        <v>156.68214789880295</v>
      </c>
      <c r="FN99" s="23">
        <f>IF(CT99&lt;0.6,0.6,IF(CT99&lt;0.8,0.8,IF(CT99&lt;1,1,IF(CT99&lt;1.2,1.2,IF(CT99&lt;1.4,1.4,IF(CT99&lt;1.6,1.6,IF(CT99&lt;1.8,1.8,IF(CT99&lt;2,2,2.2))))))))</f>
        <v>1</v>
      </c>
      <c r="FO99" s="23">
        <f>IF(CU99&lt;0.6,0.6,IF(CU99&lt;0.8,0.8,IF(CU99&lt;1,1,IF(CU99&lt;1.2,1.2,IF(CU99&lt;1.4,1.4,IF(CU99&lt;1.6,1.6,IF(CU99&lt;1.8,1.8,IF(CU99&lt;2,2,2.2))))))))</f>
        <v>1</v>
      </c>
      <c r="FP99" s="23">
        <f>IF(CZ99&lt;0.6,0.6,IF(CZ99&lt;0.8,0.8,IF(CZ99&lt;1,1,IF(CZ99&lt;1.2,1.2,IF(CZ99&lt;1.4,1.4,IF(CZ99&lt;1.6,1.6,IF(CZ99&lt;1.8,1.8,IF(CZ99&lt;2,2,2.2))))))))</f>
        <v>1.4</v>
      </c>
      <c r="FQ99" s="23">
        <f>IF(CW99&lt;0.6,0.6,IF(CW99&lt;0.8,0.8,IF(CW99&lt;1,1,IF(CW99&lt;1.2,1.2,IF(CW99&lt;1.4,1.4,IF(CW99&lt;1.6,1.6,IF(CW99&lt;1.8,1.8,IF(CW99&lt;2,2,2.2))))))))</f>
        <v>2</v>
      </c>
      <c r="FR99" s="23">
        <f>IF(CX99&lt;0.6,0.6,IF(CX99&lt;0.8,0.8,IF(CX99&lt;1,1,IF(CX99&lt;1.2,1.2,IF(CX99&lt;1.4,1.4,IF(CX99&lt;1.6,1.6,IF(CX99&lt;1.8,1.8,IF(CX99&lt;2,2,2.2))))))))</f>
        <v>2.2000000000000002</v>
      </c>
      <c r="FS99" s="23">
        <f>IF(CY99&lt;0.6,0.6,IF(CY99&lt;0.8,0.8,IF(CY99&lt;1,1,IF(CY99&lt;1.2,1.2,IF(CY99&lt;1.4,1.4,IF(CY99&lt;1.6,1.6,IF(CY99&lt;1.8,1.8,IF(CY99&lt;2,2,2.2))))))))</f>
        <v>1.2</v>
      </c>
      <c r="FT99" s="23">
        <f>IF(FR99&lt;1,1,0)</f>
        <v>0</v>
      </c>
      <c r="FU99" s="23"/>
      <c r="GE99" s="4">
        <f>IF(R99&gt;=2.5*25.4,1,1.25)</f>
        <v>1.25</v>
      </c>
      <c r="GF99" s="4">
        <f>IF(AN99&gt;1, 0.05*(18-MIN(8,(V99+M99)/M99))*(1-48000/MAX(60000,(I99*145))*(M99/25.4)^0.75*GG99), 1/12*(14-MIN(8,(V99+M99)/M99)))</f>
        <v>0.54</v>
      </c>
      <c r="GG99" s="4">
        <f>MIN(0.3, AL99^2*PI()/4*2*AO99/(M99^2*PI()/4*W99))</f>
        <v>0</v>
      </c>
      <c r="GH99" s="4">
        <f>(J99/25.4)/(M99/25.4)^1.5/0.0024*(L99*145)^0.25/GE99/GF99/145</f>
        <v>263.35363116178752</v>
      </c>
    </row>
    <row r="100" spans="1:195" s="4" customFormat="1" ht="12" customHeight="1" x14ac:dyDescent="0.3">
      <c r="A100" s="25">
        <v>165</v>
      </c>
      <c r="B100" s="24" t="s">
        <v>128</v>
      </c>
      <c r="C100" s="24">
        <v>2017</v>
      </c>
      <c r="D100" s="24" t="s">
        <v>309</v>
      </c>
      <c r="E100" s="24"/>
      <c r="F100" s="109" t="s">
        <v>820</v>
      </c>
      <c r="G100" s="4" t="s">
        <v>172</v>
      </c>
      <c r="H100" s="5">
        <f>SQRT(L100)/(0.19*M100)</f>
        <v>0.65852662180343235</v>
      </c>
      <c r="I100" s="100">
        <v>583</v>
      </c>
      <c r="J100" s="7">
        <f>10*M100</f>
        <v>573</v>
      </c>
      <c r="K100" s="7">
        <f>J100</f>
        <v>573</v>
      </c>
      <c r="L100" s="80">
        <v>51.4</v>
      </c>
      <c r="M100" s="37">
        <v>57.3</v>
      </c>
      <c r="N100" s="7">
        <f>J100/M100</f>
        <v>10</v>
      </c>
      <c r="O100" s="7">
        <f>K100/M100</f>
        <v>10</v>
      </c>
      <c r="P100" s="7">
        <f>V100+2*R100+2*M100</f>
        <v>584.46</v>
      </c>
      <c r="Q100" s="32">
        <f>R100/M100</f>
        <v>1</v>
      </c>
      <c r="R100" s="7">
        <f>1*M100</f>
        <v>57.3</v>
      </c>
      <c r="S100" s="32">
        <f>T100/M100</f>
        <v>0.97731239092495636</v>
      </c>
      <c r="T100" s="7">
        <f>40+16</f>
        <v>56</v>
      </c>
      <c r="U100" s="32">
        <f>V100/M100</f>
        <v>6.2</v>
      </c>
      <c r="V100" s="7">
        <f>(7.2-1)*M100</f>
        <v>355.26</v>
      </c>
      <c r="W100" s="7">
        <v>2</v>
      </c>
      <c r="X100" s="122">
        <f>AM100</f>
        <v>2</v>
      </c>
      <c r="Y100" s="32">
        <f>Z100/M100</f>
        <v>5.0436300174520072</v>
      </c>
      <c r="Z100" s="7">
        <f>2/3*J100-0.5*186</f>
        <v>289</v>
      </c>
      <c r="AA100" s="7">
        <f>MIN(R100/M100+0.5, V100/2/M100+0.5)</f>
        <v>1.5</v>
      </c>
      <c r="AB100" s="7">
        <f>R100/M100+0.5</f>
        <v>1.5</v>
      </c>
      <c r="AC100" s="7">
        <f>2040/510</f>
        <v>4</v>
      </c>
      <c r="AD100" s="7">
        <f>2040/510</f>
        <v>4</v>
      </c>
      <c r="AE100" s="7">
        <f>AD100+1</f>
        <v>5</v>
      </c>
      <c r="AF100" s="7">
        <f>M100*AE100^0.5</f>
        <v>128.12669511073796</v>
      </c>
      <c r="AG100" s="7">
        <f>I100</f>
        <v>583</v>
      </c>
      <c r="AH100" s="7">
        <v>25</v>
      </c>
      <c r="AI100" s="7">
        <f>(470+475)/2</f>
        <v>472.5</v>
      </c>
      <c r="AJ100" s="7"/>
      <c r="AK100" s="4">
        <f>CX100</f>
        <v>3.2378642974182359</v>
      </c>
      <c r="AL100" s="7">
        <v>15.9</v>
      </c>
      <c r="AM100" s="7">
        <v>2</v>
      </c>
      <c r="AN100" s="7">
        <v>275</v>
      </c>
      <c r="AO100" s="7">
        <v>4</v>
      </c>
      <c r="AP100" s="7">
        <f>AM100</f>
        <v>2</v>
      </c>
      <c r="AQ100" s="7">
        <f>3*AR100/(V100+M100)</f>
        <v>4.166666666666667</v>
      </c>
      <c r="AR100" s="4">
        <f>J100</f>
        <v>573</v>
      </c>
      <c r="AS100" s="4">
        <f>IF(J100*3&gt;V100+M100, P100, (R100+M100/2)*2+1.5*J100*(2*W100-2))*(3*J100)/(9*J100^2)</f>
        <v>0.34</v>
      </c>
      <c r="AT100" s="4">
        <f>MIN(10*L100^0.5*J100^1.5,100*3.9*L100^0.5*J100^(5/3))/(PI()/4*M100^2)/W100</f>
        <v>190.67088022808852</v>
      </c>
      <c r="AU100" s="4">
        <f>MIN(0.7+0.3*(MIN(R100,Z100)+0.5*M100)/1.5/J100,1)</f>
        <v>0.73</v>
      </c>
      <c r="AV100" s="4">
        <v>1.25</v>
      </c>
      <c r="AW100" s="4">
        <f>AW99</f>
        <v>5</v>
      </c>
      <c r="AX100" s="38">
        <f>AS100*AU100*AV100*AW100*AT100</f>
        <v>295.7782029538223</v>
      </c>
      <c r="AY100" s="38">
        <f>AX100</f>
        <v>295.7782029538223</v>
      </c>
      <c r="AZ100" s="38">
        <f>IF(L100&lt;50, 0.3*L100^(2/3), 2.12*LN(1+0.1*(L100+8)))</f>
        <v>4.107079761979672</v>
      </c>
      <c r="BA100" s="38">
        <f>AW100* (L100^0.5/AR100^0.5)/(PI()/4*M100^2)/W100/0.72 *(0.7+(MIN(R100,Z100)+0.5*M100)/5/J100) *(3*P100*J100)</f>
        <v>295.77820295382207</v>
      </c>
      <c r="BB100" s="38">
        <f>AX100/BA100</f>
        <v>1.0000000000000007</v>
      </c>
      <c r="BC100" s="38">
        <f>BG100/BA100</f>
        <v>1.0426731818644137</v>
      </c>
      <c r="BD100" s="4">
        <f>IF(BC100&lt;1,1,0)</f>
        <v>0</v>
      </c>
      <c r="BE100" s="4">
        <f>K100/M100*L100^0.5/0.19</f>
        <v>377.33575429336673</v>
      </c>
      <c r="BF100" s="4">
        <f>MIN(0.6+0.4*(AB100/AA100),2)</f>
        <v>1</v>
      </c>
      <c r="BG100" s="38">
        <f>2*L100*AA100*AC100^0.5*BF100*0.7/0.7</f>
        <v>308.39999999999998</v>
      </c>
      <c r="BH100" s="4">
        <f>MAX(1-0.7*AD100/5,0.3)</f>
        <v>0.44000000000000006</v>
      </c>
      <c r="BI100" s="4">
        <f>BH100*I100*K100/(I100*M100/2.75/L100^0.5)</f>
        <v>86.749489912045021</v>
      </c>
      <c r="BJ100" s="4">
        <f>BG100+BI100</f>
        <v>395.149489912045</v>
      </c>
      <c r="BL100" s="4">
        <f>MIN(1.5, 0.75+0.25*MIN(3,MAX(1,R100/M100))+0.4*MIN(1,(40*2*PI()*AL100^2/4/AN100/W100)/M100))</f>
        <v>1.201612194511575</v>
      </c>
      <c r="BM100" s="4">
        <f>(3*O100+30)*BL100*L100^0.5</f>
        <v>516.88881791391145</v>
      </c>
      <c r="BO100" s="4">
        <f>3.4/PI()^0.5*L100*AA100*AD100^0.5*BF100</f>
        <v>295.79331486241767</v>
      </c>
      <c r="BP100" s="4">
        <f>8/3*AG100*AH100^2/(AF100-M100-22)/M100*(AF100^2-M100^2)/(AF100^2-(M100+22)^2)</f>
        <v>450.3525339151019</v>
      </c>
      <c r="BQ100" s="4">
        <f>BP100/BO100</f>
        <v>1.5225243820151051</v>
      </c>
      <c r="BY100" s="4">
        <f>IF(V100=0,R100,MIN(V100/2,R100))</f>
        <v>57.3</v>
      </c>
      <c r="CC100" s="9"/>
      <c r="CE100" s="9"/>
      <c r="CF100" s="9"/>
      <c r="CG100" s="9">
        <f>IF(V100=0,MIN(R100,T100),MIN(V100/2,R100,T100))</f>
        <v>56</v>
      </c>
      <c r="CH100" s="9">
        <f>MAX(V100/2,R100)</f>
        <v>177.63</v>
      </c>
      <c r="CI100" s="9">
        <f>(CG100/M100)^0.5*(CH100/CG100)^0.15</f>
        <v>1.1754818988273255</v>
      </c>
      <c r="CJ100" s="70">
        <v>20</v>
      </c>
      <c r="CK100" s="9">
        <f>MIN(PI()*AL100^2/4*AM100*2/W100/M100/MAX(0.01,AN100),0.05)</f>
        <v>2.5201524313946871E-2</v>
      </c>
      <c r="CL100" s="9">
        <f>MAX(0,CJ100*(CK100-0.5/50))</f>
        <v>0.30403048627893742</v>
      </c>
      <c r="CM100" s="9">
        <f>MIN(1,(25/M100)^0.3)</f>
        <v>0.77971450958075206</v>
      </c>
      <c r="CN100" s="9">
        <f>IF(I100&gt;=800,0.68,IF(I100&gt;=700,0.75-(I100-700)*0.07/100,IF(I100&gt;=600,0.85-(I100-600)*0.1/100,IF(I100&gt;=500,1-(I100-500)*0.15/100,1.2-(I100-400)*0.2/100))))</f>
        <v>0.87549999999999994</v>
      </c>
      <c r="CO100" s="9">
        <f>1.75*CM100*CN100*(L100/25)^0.5</f>
        <v>1.7129369207551171</v>
      </c>
      <c r="CP100" s="9">
        <f>MIN((CI100+CL100)*CO100,2.5*CO100,L100^0.5)</f>
        <v>2.5343113891629807</v>
      </c>
      <c r="CQ100" s="9">
        <v>1</v>
      </c>
      <c r="CR100" s="9">
        <f>4*CP100*O100+60*CP100</f>
        <v>253.43113891629807</v>
      </c>
      <c r="CT100" s="4">
        <f>AI100/BE100</f>
        <v>1.2522004464825935</v>
      </c>
      <c r="CU100" s="4">
        <f>AI100/BJ100</f>
        <v>1.1957499935155482</v>
      </c>
      <c r="CV100" s="4">
        <f>AI100/BM100</f>
        <v>0.91412308338752946</v>
      </c>
      <c r="CW100" s="4">
        <f>AI100/CR100</f>
        <v>1.8644117767866515</v>
      </c>
      <c r="CX100" s="4">
        <f>AI100/DY100</f>
        <v>3.2378642974182359</v>
      </c>
      <c r="CY100" s="4">
        <f>AI100/EK100</f>
        <v>1.4489090299456451</v>
      </c>
      <c r="CZ100" s="4">
        <f>AI100/GH100</f>
        <v>1.2315922030510305</v>
      </c>
      <c r="DH100" s="4">
        <f>CT100</f>
        <v>1.2522004464825935</v>
      </c>
      <c r="DI100" s="4">
        <f>CU100</f>
        <v>1.1957499935155482</v>
      </c>
      <c r="DJ100" s="4">
        <f>CW100</f>
        <v>1.8644117767866515</v>
      </c>
      <c r="DK100" s="4">
        <f>CZ100</f>
        <v>1.2315922030510305</v>
      </c>
      <c r="DL100" s="4">
        <f>CX100</f>
        <v>3.2378642974182359</v>
      </c>
      <c r="DM100" s="4">
        <f>CY100</f>
        <v>1.4489090299456451</v>
      </c>
      <c r="DO100" s="4">
        <f>AM100</f>
        <v>2</v>
      </c>
      <c r="DP100" s="4">
        <f>K100</f>
        <v>573</v>
      </c>
      <c r="DS100" s="4">
        <f>J100/4/(1-0.3*(L100/30)^0.5)/200000/M100</f>
        <v>2.0582334451428195E-5</v>
      </c>
      <c r="DT100" s="4">
        <f>EO100</f>
        <v>5.99454394365008</v>
      </c>
      <c r="DU100" s="4">
        <f>EB100*AF100/257/L100/AC100</f>
        <v>0</v>
      </c>
      <c r="DV100" s="4">
        <f>DT100*DU100^0.4</f>
        <v>0</v>
      </c>
      <c r="DW100" s="4">
        <f>MIN(DT100, DT100/1.4*(1-DU100^1.4)/(1-DU100))</f>
        <v>4.2818171026072003</v>
      </c>
      <c r="DX100" s="4">
        <f>MAX(DT100/2, (4-DS100*(8*AF100*(DV100-DW100)+6*J100*DW100))/(4+DS100*J100*DT100)*DT100)</f>
        <v>5.5772748684782432</v>
      </c>
      <c r="DY100" s="38">
        <f>MIN(1/M100*(4*AF100*(DV100-DW100)+(3*DW100+DX100)*J100)+EB100 -FI100,MAX(I100,AI100))</f>
        <v>145.9295253283949</v>
      </c>
      <c r="DZ100" s="4">
        <f>DY100/FE100</f>
        <v>0.91749310309395138</v>
      </c>
      <c r="EA100" s="4">
        <f>AF100/M100</f>
        <v>2.2360679774997898</v>
      </c>
      <c r="EB100" s="4">
        <f>MIN(EA$10*BA100)</f>
        <v>0</v>
      </c>
      <c r="EF100" s="4">
        <f>IF(T100&gt;1*M100,0.85,1)</f>
        <v>1</v>
      </c>
      <c r="EG100" s="4">
        <f>MIN(1,MAX(0.7,(1-0.1*(BY100-1*M100)/M100)))</f>
        <v>1</v>
      </c>
      <c r="EH100" s="4">
        <f>MIN(1,MAX(0.7,1-0.3*(PI()*AL100^2/4*AP100*2-0.25*PI()/4*M100^2)/(PI()/4*M100^2)))</f>
        <v>0.9826012170719004</v>
      </c>
      <c r="EI100" s="4">
        <f>IF(EG100*EH100&lt;0.7,0.7,EG100*EH100)</f>
        <v>0.9826012170719004</v>
      </c>
      <c r="EK100" s="4">
        <f>MIN(DT100/M100*3*J100+EL100-FI100,MAX(I100,AI100))</f>
        <v>326.10742995902615</v>
      </c>
      <c r="EL100" s="25">
        <f>13.3*P100*J100^0.5*L100^0.5/W100/M100^2*(0.7+R100/5/J100)</f>
        <v>146.27111164952376</v>
      </c>
      <c r="EO100" s="4">
        <f>IF(M100&lt;22.2,1.1*5*(L100/30)^0.5,IF(M100&gt;=31.8,0.9*5*(L100/30)^0.5,1*5*(L100/30)^0.5))/EF100/EI100</f>
        <v>5.99454394365008</v>
      </c>
      <c r="ER100" s="4">
        <f>ES100*M100</f>
        <v>128.12669511073796</v>
      </c>
      <c r="ES100" s="4">
        <f>AE100^0.5</f>
        <v>2.2360679774997898</v>
      </c>
      <c r="ET100" s="4">
        <f>MIN(EB100)/(4700*L100^0.5)/AD100*ER100</f>
        <v>0</v>
      </c>
      <c r="EW100" s="4">
        <f>ET100</f>
        <v>0</v>
      </c>
      <c r="EX100" s="4">
        <f>MIN(0.999, EW100/(0.3*(L100/30)^0.5))</f>
        <v>0</v>
      </c>
      <c r="EY100" s="4">
        <f>EO100/1*EX100^0.4</f>
        <v>0</v>
      </c>
      <c r="EZ100" s="4">
        <f>EO100/1.4*(1-EX100^1.4)/(1-EX100)</f>
        <v>4.2818171026072003</v>
      </c>
      <c r="FA100" s="4">
        <f>MAX(0,DP100*FA$9-ER100)</f>
        <v>0</v>
      </c>
      <c r="FB100" s="4">
        <f>MAX(0,DP100-ER100-FA100)</f>
        <v>444.87330488926204</v>
      </c>
      <c r="FC100" s="4">
        <f>FB100/(1-0.3*(L100/30)^0.5)/200000/M100</f>
        <v>6.3919938218101065E-5</v>
      </c>
      <c r="FD100" s="4">
        <f>MAX(0.5*EO100, (1-2*FC100*(ER100*EY100+FA100*EZ100))/(1/EO100+FC100*FB100))</f>
        <v>5.1215173223564063</v>
      </c>
      <c r="FE100" s="4">
        <f>MIN(4/M100*(1*EY100*ER100+EZ100*FA100+FB100*FD100)+EB100,MAX(I100,AI100))</f>
        <v>159.05244937132971</v>
      </c>
      <c r="FN100" s="23">
        <f>IF(CT100&lt;0.6,0.6,IF(CT100&lt;0.8,0.8,IF(CT100&lt;1,1,IF(CT100&lt;1.2,1.2,IF(CT100&lt;1.4,1.4,IF(CT100&lt;1.6,1.6,IF(CT100&lt;1.8,1.8,IF(CT100&lt;2,2,2.2))))))))</f>
        <v>1.4</v>
      </c>
      <c r="FO100" s="23">
        <f>IF(CU100&lt;0.6,0.6,IF(CU100&lt;0.8,0.8,IF(CU100&lt;1,1,IF(CU100&lt;1.2,1.2,IF(CU100&lt;1.4,1.4,IF(CU100&lt;1.6,1.6,IF(CU100&lt;1.8,1.8,IF(CU100&lt;2,2,2.2))))))))</f>
        <v>1.2</v>
      </c>
      <c r="FP100" s="23">
        <f>IF(CZ100&lt;0.6,0.6,IF(CZ100&lt;0.8,0.8,IF(CZ100&lt;1,1,IF(CZ100&lt;1.2,1.2,IF(CZ100&lt;1.4,1.4,IF(CZ100&lt;1.6,1.6,IF(CZ100&lt;1.8,1.8,IF(CZ100&lt;2,2,2.2))))))))</f>
        <v>1.4</v>
      </c>
      <c r="FQ100" s="23">
        <f>IF(CW100&lt;0.6,0.6,IF(CW100&lt;0.8,0.8,IF(CW100&lt;1,1,IF(CW100&lt;1.2,1.2,IF(CW100&lt;1.4,1.4,IF(CW100&lt;1.6,1.6,IF(CW100&lt;1.8,1.8,IF(CW100&lt;2,2,2.2))))))))</f>
        <v>2</v>
      </c>
      <c r="FR100" s="23">
        <f>IF(CX100&lt;0.6,0.6,IF(CX100&lt;0.8,0.8,IF(CX100&lt;1,1,IF(CX100&lt;1.2,1.2,IF(CX100&lt;1.4,1.4,IF(CX100&lt;1.6,1.6,IF(CX100&lt;1.8,1.8,IF(CX100&lt;2,2,2.2))))))))</f>
        <v>2.2000000000000002</v>
      </c>
      <c r="FS100" s="23">
        <f>IF(CY100&lt;0.6,0.6,IF(CY100&lt;0.8,0.8,IF(CY100&lt;1,1,IF(CY100&lt;1.2,1.2,IF(CY100&lt;1.4,1.4,IF(CY100&lt;1.6,1.6,IF(CY100&lt;1.8,1.8,IF(CY100&lt;2,2,2.2))))))))</f>
        <v>1.6</v>
      </c>
      <c r="FT100" s="23">
        <f>IF(FR100&lt;1,1,0)</f>
        <v>0</v>
      </c>
      <c r="FU100" s="23"/>
      <c r="GE100" s="4">
        <f>IF(R100&gt;=2.5*25.4,1,1.25)</f>
        <v>1.25</v>
      </c>
      <c r="GF100" s="4">
        <f>IF(AN100&gt;1, 0.05*(18-MIN(8,(V100+M100)/M100))*(1-48000/MAX(60000,(I100*145))*(M100/25.4)^0.75*GG100), 1/12*(14-MIN(8,(V100+M100)/M100)))</f>
        <v>0.37067917575318227</v>
      </c>
      <c r="GG100" s="4">
        <f>MIN(0.3, AL100^2*PI()/4*2*AO100/(M100^2*PI()/4*W100))</f>
        <v>0.3</v>
      </c>
      <c r="GH100" s="4">
        <f>(J100/25.4)/(M100/25.4)^1.5/0.0024*(L100*145)^0.25/GE100/GF100/145</f>
        <v>383.64971687014014</v>
      </c>
    </row>
    <row r="101" spans="1:195" s="4" customFormat="1" ht="12" customHeight="1" x14ac:dyDescent="0.3">
      <c r="A101" s="25">
        <v>180</v>
      </c>
      <c r="B101" s="24" t="s">
        <v>128</v>
      </c>
      <c r="C101" s="24">
        <v>2017</v>
      </c>
      <c r="D101" s="24" t="s">
        <v>309</v>
      </c>
      <c r="E101" s="24"/>
      <c r="F101" s="109" t="s">
        <v>821</v>
      </c>
      <c r="G101" s="4" t="s">
        <v>314</v>
      </c>
      <c r="H101" s="5">
        <f>SQRT(L101)/(0.19*M101)</f>
        <v>2.7020787380856599</v>
      </c>
      <c r="I101" s="86">
        <v>679</v>
      </c>
      <c r="J101" s="84">
        <f>4*M101</f>
        <v>88.8</v>
      </c>
      <c r="K101" s="7">
        <f>J101</f>
        <v>88.8</v>
      </c>
      <c r="L101" s="10">
        <v>129.9</v>
      </c>
      <c r="M101" s="80">
        <v>22.2</v>
      </c>
      <c r="N101" s="7">
        <f>J101/M101</f>
        <v>4</v>
      </c>
      <c r="O101" s="7">
        <f>K101/M101</f>
        <v>4</v>
      </c>
      <c r="P101" s="7">
        <v>388</v>
      </c>
      <c r="Q101" s="32">
        <f>R101/M101</f>
        <v>1.5</v>
      </c>
      <c r="R101" s="7">
        <f>1.5*M101</f>
        <v>33.299999999999997</v>
      </c>
      <c r="S101" s="32">
        <f>T101/M101</f>
        <v>1.3153153153153154</v>
      </c>
      <c r="T101" s="7">
        <f>118-K101</f>
        <v>29.200000000000003</v>
      </c>
      <c r="U101" s="32">
        <f>V101/M101</f>
        <v>12.477477477477478</v>
      </c>
      <c r="V101" s="7">
        <f>P101-2*M101-2*R101</f>
        <v>277</v>
      </c>
      <c r="W101" s="7">
        <v>2</v>
      </c>
      <c r="X101" s="7">
        <f>AM101</f>
        <v>0</v>
      </c>
      <c r="Y101" s="32">
        <f>Z101/M101</f>
        <v>2.6666666666666665</v>
      </c>
      <c r="Z101" s="10">
        <f>2/3*J101</f>
        <v>59.199999999999996</v>
      </c>
      <c r="AA101" s="7">
        <f>MIN(R101/M101+0.5, V101/2/M101+0.5)</f>
        <v>2</v>
      </c>
      <c r="AB101" s="7">
        <f>R101/M101+0.5</f>
        <v>2</v>
      </c>
      <c r="AC101" s="7">
        <f>2040/510</f>
        <v>4</v>
      </c>
      <c r="AD101" s="7">
        <f>2040/510</f>
        <v>4</v>
      </c>
      <c r="AE101" s="7">
        <f>AD101+1</f>
        <v>5</v>
      </c>
      <c r="AF101" s="7">
        <f>M101*AE101^0.5</f>
        <v>49.640709100495329</v>
      </c>
      <c r="AG101" s="7">
        <f>I101</f>
        <v>679</v>
      </c>
      <c r="AH101" s="7">
        <v>8</v>
      </c>
      <c r="AI101" s="7">
        <f>(751+699)/2</f>
        <v>725</v>
      </c>
      <c r="AJ101" s="7"/>
      <c r="AK101" s="4">
        <f>CX101</f>
        <v>9.1479739698679001</v>
      </c>
      <c r="AL101" s="7">
        <v>0</v>
      </c>
      <c r="AM101" s="7">
        <v>0</v>
      </c>
      <c r="AN101" s="7">
        <f>K101</f>
        <v>88.8</v>
      </c>
      <c r="AO101" s="7"/>
      <c r="AP101" s="7"/>
      <c r="AQ101" s="7">
        <f>3*AR101/(V101+M101)</f>
        <v>0.89037433155080214</v>
      </c>
      <c r="AR101" s="4">
        <f>J101</f>
        <v>88.8</v>
      </c>
      <c r="AS101" s="4">
        <f>IF(J101*3&gt;V101+M101, P101, (R101+M101/2)*2+1.5*J101*(2*W101-2))*(3*J101)/(9*J101^2)</f>
        <v>1.3333333333333333</v>
      </c>
      <c r="AT101" s="4">
        <f>MIN(10*L101^0.5*J101^1.5,100*3.9*L101^0.5*J101^(5/3))/(PI()/4*M101^2)/W101</f>
        <v>123.19645135939774</v>
      </c>
      <c r="AU101" s="4">
        <f>MIN(0.7+0.3*(MIN(R101,Z101)+0.5*M101)/1.5/J101,1)</f>
        <v>0.79999999999999993</v>
      </c>
      <c r="AV101" s="4">
        <v>1.25</v>
      </c>
      <c r="AW101" s="47">
        <f>AW100</f>
        <v>5</v>
      </c>
      <c r="AX101" s="38">
        <f>AS101*AU101*AV101*AW101*AT101</f>
        <v>821.30967572931809</v>
      </c>
      <c r="AY101" s="38">
        <f>AX101</f>
        <v>821.30967572931809</v>
      </c>
      <c r="AZ101" s="38">
        <f>IF(L101&lt;50, 0.3*L101^(2/3), 2.12*LN(1+0.1*(L101+8)))</f>
        <v>5.7111767066521422</v>
      </c>
      <c r="BA101" s="38">
        <f>AW101* (L101^0.5/AR101^0.5)/(PI()/4*M101^2)/W101/0.72 *(0.7+(MIN(R101,Z101)+0.5*M101)/5/J101) *(3*P101*J101)</f>
        <v>897.15133497459317</v>
      </c>
      <c r="BB101" s="38">
        <f>AX101/BA101</f>
        <v>0.91546391752577294</v>
      </c>
      <c r="BC101" s="38">
        <f>BG101/BA101</f>
        <v>1.1583330030149592</v>
      </c>
      <c r="BD101" s="4">
        <f>IF(BC101&lt;1,1,0)</f>
        <v>0</v>
      </c>
      <c r="BE101" s="4">
        <f>K101/M101*L101^0.5/0.19</f>
        <v>239.94459194200661</v>
      </c>
      <c r="BF101" s="4">
        <f>MIN(0.6+0.4*(AB101/AA101),2)</f>
        <v>1</v>
      </c>
      <c r="BG101" s="38">
        <f>2*L101*AA101*AC101^0.5*BF101*0.7/0.7</f>
        <v>1039.2</v>
      </c>
      <c r="BH101" s="4">
        <f>MAX(1-0.7*AD101/5,0.3)</f>
        <v>0.44000000000000006</v>
      </c>
      <c r="BI101" s="4">
        <f>BH101*I101*K101/(I101*M101/2.75/L101^0.5)</f>
        <v>55.163261687467326</v>
      </c>
      <c r="BJ101" s="4">
        <f>BG101+BI101</f>
        <v>1094.3632616874675</v>
      </c>
      <c r="BL101" s="4">
        <f>MIN(1.5, 0.75+0.25*MIN(3,MAX(1,R101/M101))+0.4*MIN(1,(40*2*PI()*AL101^2/4/AN101/W101)/M101))</f>
        <v>1.125</v>
      </c>
      <c r="BM101" s="4">
        <f>(3*O101+30)*BL101*L101^0.5</f>
        <v>538.5256435398411</v>
      </c>
      <c r="BO101" s="4">
        <f>3.4/PI()^0.5*L101*AA101*AD101^0.5*BF101</f>
        <v>996.71988587880821</v>
      </c>
      <c r="BP101" s="4">
        <f>8/3*AG101*AH101^2/(AF101-M101-22)/M101*(AF101^2-M101^2)/(AF101^2-(M101+22)^2)</f>
        <v>3704.4961984911101</v>
      </c>
      <c r="BQ101" s="4">
        <f>BP101/BO101</f>
        <v>3.7166873571754362</v>
      </c>
      <c r="BY101" s="4">
        <f>IF(V101=0,R101,MIN(V101/2,R101))</f>
        <v>33.299999999999997</v>
      </c>
      <c r="CC101" s="9"/>
      <c r="CE101" s="9"/>
      <c r="CF101" s="9"/>
      <c r="CG101" s="9">
        <f>IF(V101=0,MIN(R101,T101),MIN(V101/2,R101,T101))</f>
        <v>29.200000000000003</v>
      </c>
      <c r="CH101" s="9">
        <f>MAX(V101/2,R101)</f>
        <v>138.5</v>
      </c>
      <c r="CI101" s="9">
        <f>(CG101/M101)^0.5*(CH101/CG101)^0.15</f>
        <v>1.4485216037038422</v>
      </c>
      <c r="CJ101" s="70">
        <v>0</v>
      </c>
      <c r="CK101" s="9">
        <f>MIN(PI()*AL101^2/4*AM101*2/W101/M101/MAX(0.01,AN101),0.05)</f>
        <v>0</v>
      </c>
      <c r="CL101" s="9">
        <f>MAX(0,CJ101*(CK101-0.5/50))</f>
        <v>0</v>
      </c>
      <c r="CM101" s="9">
        <f>MIN(1,(25/M101)^0.3)</f>
        <v>1</v>
      </c>
      <c r="CN101" s="9">
        <f>IF(I101&gt;=800,0.68,IF(I101&gt;=700,0.75-(I101-700)*0.07/100,IF(I101&gt;=600,0.85-(I101-600)*0.1/100,IF(I101&gt;=500,1-(I101-500)*0.15/100,1.2-(I101-400)*0.2/100))))</f>
        <v>0.77100000000000002</v>
      </c>
      <c r="CO101" s="9">
        <f>1.75*CM101*CN101*(L101/25)^0.5</f>
        <v>3.0755797864386483</v>
      </c>
      <c r="CP101" s="9">
        <f>MIN((CI101+CL101)*CO101,2.5*CO101,L101^0.5)</f>
        <v>4.4550437645712311</v>
      </c>
      <c r="CQ101" s="9">
        <v>1</v>
      </c>
      <c r="CR101" s="9">
        <f>4*CP101*O101+60*CP101</f>
        <v>338.58332610741354</v>
      </c>
      <c r="CT101" s="4">
        <f>AI101/BE101</f>
        <v>3.0215309048316823</v>
      </c>
      <c r="CU101" s="4">
        <f>AI101/BJ101</f>
        <v>0.6624856895159994</v>
      </c>
      <c r="CV101" s="4">
        <f>AI101/BM101</f>
        <v>1.346268295107405</v>
      </c>
      <c r="CW101" s="4">
        <f>AI101/CR101</f>
        <v>2.1412749657081402</v>
      </c>
      <c r="CX101" s="44">
        <f>AI101/DY101</f>
        <v>9.1479739698679001</v>
      </c>
      <c r="CY101" s="4">
        <f>AI101/EK101</f>
        <v>1</v>
      </c>
      <c r="CZ101" s="4">
        <f>AI101/GH101</f>
        <v>3.1459558038801037</v>
      </c>
      <c r="DB101" s="4">
        <f>CT101</f>
        <v>3.0215309048316823</v>
      </c>
      <c r="DC101" s="4">
        <f>CU101</f>
        <v>0.6624856895159994</v>
      </c>
      <c r="DD101" s="4">
        <f>CW101</f>
        <v>2.1412749657081402</v>
      </c>
      <c r="DE101" s="4">
        <f>CZ101</f>
        <v>3.1459558038801037</v>
      </c>
      <c r="DF101" s="4">
        <f>CX101</f>
        <v>9.1479739698679001</v>
      </c>
      <c r="DG101" s="4">
        <f>CY101</f>
        <v>1</v>
      </c>
      <c r="DO101" s="4">
        <f>AM101</f>
        <v>0</v>
      </c>
      <c r="DP101" s="4">
        <f>K101</f>
        <v>88.8</v>
      </c>
      <c r="DS101" s="4">
        <f>J101/4/(1-0.3*(L101/30)^0.5)/200000/M101</f>
        <v>1.3307058507295954E-5</v>
      </c>
      <c r="DT101" s="4">
        <f>EO101</f>
        <v>12.884614270393072</v>
      </c>
      <c r="DU101" s="4">
        <f>EB101*AF101/257/L101/AC101</f>
        <v>0</v>
      </c>
      <c r="DV101" s="4">
        <f>DT101*DU101^0.4</f>
        <v>0</v>
      </c>
      <c r="DW101" s="4">
        <f>MIN(DT101, DT101/1.4*(1-DU101^1.4)/(1-DU101))</f>
        <v>9.2032959074236231</v>
      </c>
      <c r="DX101" s="4">
        <f>MAX(DT101/2, (4-DS101*(8*AF101*(DV101-DW101)+6*J101*DW101))/(4+DS101*J101*DT101)*DT101)</f>
        <v>12.782437816882654</v>
      </c>
      <c r="DY101" s="38">
        <f>MIN(1/M101*(4*AF101*(DV101-DW101)+(3*DW101+DX101)*J101)+EB101 -FI101,MAX(I101,AI101))</f>
        <v>79.252521092434776</v>
      </c>
      <c r="DZ101" s="4">
        <f>DY101/FE101</f>
        <v>0.88209032609662286</v>
      </c>
      <c r="EA101" s="4">
        <f>AF101/M101</f>
        <v>2.2360679774997898</v>
      </c>
      <c r="EB101" s="4">
        <f>MIN(EA$10*BA101)</f>
        <v>0</v>
      </c>
      <c r="EF101" s="4">
        <f>IF(T101&gt;1*M101,0.85,1)</f>
        <v>0.85</v>
      </c>
      <c r="EG101" s="4">
        <f>MIN(1,MAX(0.7,(1-0.1*(BY101-1*M101)/M101)))</f>
        <v>0.95</v>
      </c>
      <c r="EH101" s="4">
        <f>MIN(1,MAX(0.7,1-0.3*(PI()*AL101^2/4*AP101*2-0.25*PI()/4*M101^2)/(PI()/4*M101^2)))</f>
        <v>1</v>
      </c>
      <c r="EI101" s="4">
        <f>IF(EG101*EH101&lt;0.7,0.7,EG101*EH101)</f>
        <v>0.95</v>
      </c>
      <c r="EK101" s="4">
        <f>MIN(DT101/M101*3*J101+EL101-FI101,MAX(I101,AI101))</f>
        <v>725</v>
      </c>
      <c r="EL101" s="25">
        <f>26.5*P101*J101^0.5*L101^0.5/W101/M101^2*(0.7+R101/5/J101)</f>
        <v>868.2692405319475</v>
      </c>
      <c r="EO101" s="4">
        <f>IF(M101&lt;22.2,1.1*5*(L101/30)^0.5,IF(M101&gt;=31.8,0.9*5*(L101/30)^0.5,1*5*(L101/30)^0.5))/EF101/EI101</f>
        <v>12.884614270393072</v>
      </c>
      <c r="ER101" s="4">
        <f>ES101*M101</f>
        <v>49.640709100495329</v>
      </c>
      <c r="ES101" s="4">
        <f>AE101^0.5</f>
        <v>2.2360679774997898</v>
      </c>
      <c r="ET101" s="4">
        <f>MIN(EB101)/(4700*L101^0.5)/AD101*ER101</f>
        <v>0</v>
      </c>
      <c r="EW101" s="4">
        <f>ET101</f>
        <v>0</v>
      </c>
      <c r="EX101" s="4">
        <f>MIN(0.999, EW101/(0.3*(L101/30)^0.5))</f>
        <v>0</v>
      </c>
      <c r="EY101" s="4">
        <f>EO101/1*EX101^0.4</f>
        <v>0</v>
      </c>
      <c r="EZ101" s="4">
        <f>EO101/1.4*(1-EX101^1.4)/(1-EX101)</f>
        <v>9.2032959074236231</v>
      </c>
      <c r="FA101" s="4">
        <f>MAX(0,DP101*FA$9-ER101)</f>
        <v>0</v>
      </c>
      <c r="FB101" s="4">
        <f>MAX(0,DP101-ER101-FA101)</f>
        <v>39.159290899504668</v>
      </c>
      <c r="FC101" s="4">
        <f>FB101/(1-0.3*(L101/30)^0.5)/200000/M101</f>
        <v>2.347274662630318E-5</v>
      </c>
      <c r="FD101" s="4">
        <f>MAX(0.5*EO101, (1-2*FC101*(ER101*EY101+FA101*EZ101))/(1/EO101+FC101*FB101))</f>
        <v>12.733804894491934</v>
      </c>
      <c r="FE101" s="4">
        <f>MIN(4/M101*(1*EY101*ER101+EZ101*FA101+FB101*FD101)+EB101,MAX(I101,AI101))</f>
        <v>89.84626488665694</v>
      </c>
      <c r="FN101" s="23">
        <f>IF(CT101&lt;0.6,0.6,IF(CT101&lt;0.8,0.8,IF(CT101&lt;1,1,IF(CT101&lt;1.2,1.2,IF(CT101&lt;1.4,1.4,IF(CT101&lt;1.6,1.6,IF(CT101&lt;1.8,1.8,IF(CT101&lt;2,2,2.2))))))))</f>
        <v>2.2000000000000002</v>
      </c>
      <c r="FO101" s="23">
        <f>IF(CU101&lt;0.6,0.6,IF(CU101&lt;0.8,0.8,IF(CU101&lt;1,1,IF(CU101&lt;1.2,1.2,IF(CU101&lt;1.4,1.4,IF(CU101&lt;1.6,1.6,IF(CU101&lt;1.8,1.8,IF(CU101&lt;2,2,2.2))))))))</f>
        <v>0.8</v>
      </c>
      <c r="FP101" s="23">
        <f>IF(CZ101&lt;0.6,0.6,IF(CZ101&lt;0.8,0.8,IF(CZ101&lt;1,1,IF(CZ101&lt;1.2,1.2,IF(CZ101&lt;1.4,1.4,IF(CZ101&lt;1.6,1.6,IF(CZ101&lt;1.8,1.8,IF(CZ101&lt;2,2,2.2))))))))</f>
        <v>2.2000000000000002</v>
      </c>
      <c r="FQ101" s="23">
        <f>IF(CW101&lt;0.6,0.6,IF(CW101&lt;0.8,0.8,IF(CW101&lt;1,1,IF(CW101&lt;1.2,1.2,IF(CW101&lt;1.4,1.4,IF(CW101&lt;1.6,1.6,IF(CW101&lt;1.8,1.8,IF(CW101&lt;2,2,2.2))))))))</f>
        <v>2.2000000000000002</v>
      </c>
      <c r="FR101" s="23">
        <f>IF(CX101&lt;0.6,0.6,IF(CX101&lt;0.8,0.8,IF(CX101&lt;1,1,IF(CX101&lt;1.2,1.2,IF(CX101&lt;1.4,1.4,IF(CX101&lt;1.6,1.6,IF(CX101&lt;1.8,1.8,IF(CX101&lt;2,2,2.2))))))))</f>
        <v>2.2000000000000002</v>
      </c>
      <c r="FS101" s="23">
        <f>IF(CY101&lt;0.6,0.6,IF(CY101&lt;0.8,0.8,IF(CY101&lt;1,1,IF(CY101&lt;1.2,1.2,IF(CY101&lt;1.4,1.4,IF(CY101&lt;1.6,1.6,IF(CY101&lt;1.8,1.8,IF(CY101&lt;2,2,2.2))))))))</f>
        <v>1.2</v>
      </c>
      <c r="FT101" s="23">
        <f>IF(FR101&lt;1,1,0)</f>
        <v>0</v>
      </c>
      <c r="FU101" s="23"/>
      <c r="GE101" s="4">
        <f>IF(R101&gt;=2.5*25.4,1,1.25)</f>
        <v>1.25</v>
      </c>
      <c r="GF101" s="4">
        <f>IF(AN101&gt;1, 0.05*(18-MIN(8,(V101+M101)/M101))*(1-48000/MAX(60000,(I101*145))*(M101/25.4)^0.75*GG101), 1/12*(14-MIN(8,(V101+M101)/M101)))</f>
        <v>0.5</v>
      </c>
      <c r="GG101" s="4">
        <f>MIN(0.3, AL101^2*PI()/4*2*AO101/(M101^2*PI()/4*W101))</f>
        <v>0</v>
      </c>
      <c r="GH101" s="4">
        <f>(J101/25.4)/(M101/25.4)^1.5/0.0024*(L101*145)^0.25/GE101/GF101/145</f>
        <v>230.4546043227347</v>
      </c>
    </row>
    <row r="102" spans="1:195" s="4" customFormat="1" ht="12" customHeight="1" x14ac:dyDescent="0.3">
      <c r="A102" s="25">
        <v>181</v>
      </c>
      <c r="B102" s="24" t="s">
        <v>128</v>
      </c>
      <c r="C102" s="24">
        <v>2017</v>
      </c>
      <c r="D102" s="24" t="s">
        <v>309</v>
      </c>
      <c r="E102" s="24"/>
      <c r="F102" s="109" t="s">
        <v>821</v>
      </c>
      <c r="G102" s="4" t="s">
        <v>315</v>
      </c>
      <c r="H102" s="5">
        <f>SQRT(L102)/(0.19*M102)</f>
        <v>2.7020787380856599</v>
      </c>
      <c r="I102" s="86">
        <v>679</v>
      </c>
      <c r="J102" s="84">
        <f>4*M102</f>
        <v>88.8</v>
      </c>
      <c r="K102" s="7">
        <f>J102</f>
        <v>88.8</v>
      </c>
      <c r="L102" s="10">
        <v>129.9</v>
      </c>
      <c r="M102" s="80">
        <v>22.2</v>
      </c>
      <c r="N102" s="7">
        <f>J102/M102</f>
        <v>4</v>
      </c>
      <c r="O102" s="7">
        <f>K102/M102</f>
        <v>4</v>
      </c>
      <c r="P102" s="7">
        <v>388</v>
      </c>
      <c r="Q102" s="32">
        <f>R102/M102</f>
        <v>1.5</v>
      </c>
      <c r="R102" s="7">
        <f>1.5*M102</f>
        <v>33.299999999999997</v>
      </c>
      <c r="S102" s="32">
        <f>T102/M102</f>
        <v>1.3153153153153154</v>
      </c>
      <c r="T102" s="7">
        <f>118-K102</f>
        <v>29.200000000000003</v>
      </c>
      <c r="U102" s="32">
        <f>V102/M102</f>
        <v>12.477477477477478</v>
      </c>
      <c r="V102" s="7">
        <f>P102-2*M102-2*R102</f>
        <v>277</v>
      </c>
      <c r="W102" s="7">
        <v>2</v>
      </c>
      <c r="X102" s="7">
        <f>AM102</f>
        <v>0</v>
      </c>
      <c r="Y102" s="32">
        <f>Z102/M102</f>
        <v>2.6666666666666665</v>
      </c>
      <c r="Z102" s="10">
        <f>2/3*J102</f>
        <v>59.199999999999996</v>
      </c>
      <c r="AA102" s="7">
        <f>MIN(R102/M102+0.5, V102/2/M102+0.5)</f>
        <v>2</v>
      </c>
      <c r="AB102" s="7">
        <f>R102/M102+0.5</f>
        <v>2</v>
      </c>
      <c r="AC102" s="7">
        <f>2040/510</f>
        <v>4</v>
      </c>
      <c r="AD102" s="7">
        <f>2040/510</f>
        <v>4</v>
      </c>
      <c r="AE102" s="7">
        <f>AD102+1</f>
        <v>5</v>
      </c>
      <c r="AF102" s="7">
        <f>M102*AE102^0.5</f>
        <v>49.640709100495329</v>
      </c>
      <c r="AG102" s="7">
        <f>I102</f>
        <v>679</v>
      </c>
      <c r="AH102" s="7">
        <v>8</v>
      </c>
      <c r="AI102" s="7">
        <f>(731+693)/2</f>
        <v>712</v>
      </c>
      <c r="AJ102" s="7"/>
      <c r="AK102" s="4">
        <f>CX102</f>
        <v>8.9839413331668201</v>
      </c>
      <c r="AL102" s="7">
        <v>0</v>
      </c>
      <c r="AM102" s="7">
        <v>0</v>
      </c>
      <c r="AN102" s="7">
        <f>K102</f>
        <v>88.8</v>
      </c>
      <c r="AO102" s="7"/>
      <c r="AP102" s="7"/>
      <c r="AQ102" s="7">
        <f>3*AR102/(V102+M102)</f>
        <v>0.89037433155080214</v>
      </c>
      <c r="AR102" s="4">
        <f>J102</f>
        <v>88.8</v>
      </c>
      <c r="AS102" s="4">
        <f>IF(J102*3&gt;V102+M102, P102, (R102+M102/2)*2+1.5*J102*(2*W102-2))*(3*J102)/(9*J102^2)</f>
        <v>1.3333333333333333</v>
      </c>
      <c r="AT102" s="4">
        <f>MIN(10*L102^0.5*J102^1.5,100*3.9*L102^0.5*J102^(5/3))/(PI()/4*M102^2)/W102</f>
        <v>123.19645135939774</v>
      </c>
      <c r="AU102" s="4">
        <f>MIN(0.7+0.3*(MIN(R102,Z102)+0.5*M102)/1.5/J102,1)</f>
        <v>0.79999999999999993</v>
      </c>
      <c r="AV102" s="4">
        <v>1.25</v>
      </c>
      <c r="AW102" s="47">
        <f>AW101</f>
        <v>5</v>
      </c>
      <c r="AX102" s="38">
        <f>AS102*AU102*AV102*AW102*AT102</f>
        <v>821.30967572931809</v>
      </c>
      <c r="AY102" s="38">
        <f>AX102</f>
        <v>821.30967572931809</v>
      </c>
      <c r="AZ102" s="38">
        <f>IF(L102&lt;50, 0.3*L102^(2/3), 2.12*LN(1+0.1*(L102+8)))</f>
        <v>5.7111767066521422</v>
      </c>
      <c r="BA102" s="38">
        <f>AW102* (L102^0.5/AR102^0.5)/(PI()/4*M102^2)/W102/0.72 *(0.7+(MIN(R102,Z102)+0.5*M102)/5/J102) *(3*P102*J102)</f>
        <v>897.15133497459317</v>
      </c>
      <c r="BB102" s="38">
        <f>AX102/BA102</f>
        <v>0.91546391752577294</v>
      </c>
      <c r="BC102" s="38">
        <f>BG102/BA102</f>
        <v>1.1583330030149592</v>
      </c>
      <c r="BD102" s="4">
        <f>IF(BC102&lt;1,1,0)</f>
        <v>0</v>
      </c>
      <c r="BE102" s="4">
        <f>K102/M102*L102^0.5/0.19</f>
        <v>239.94459194200661</v>
      </c>
      <c r="BF102" s="4">
        <f>MIN(0.6+0.4*(AB102/AA102),2)</f>
        <v>1</v>
      </c>
      <c r="BG102" s="38">
        <f>2*L102*AA102*AC102^0.5*BF102*0.7/0.7</f>
        <v>1039.2</v>
      </c>
      <c r="BH102" s="4">
        <f>MAX(1-0.7*AD102/5,0.3)</f>
        <v>0.44000000000000006</v>
      </c>
      <c r="BI102" s="4">
        <f>BH102*I102*K102/(I102*M102/2.75/L102^0.5)</f>
        <v>55.163261687467326</v>
      </c>
      <c r="BJ102" s="4">
        <f>BG102+BI102</f>
        <v>1094.3632616874675</v>
      </c>
      <c r="BL102" s="4">
        <f>MIN(1.5, 0.75+0.25*MIN(3,MAX(1,R102/M102))+0.4*MIN(1,(40*2*PI()*AL102^2/4/AN102/W102)/M102))</f>
        <v>1.125</v>
      </c>
      <c r="BM102" s="4">
        <f>(3*O102+30)*BL102*L102^0.5</f>
        <v>538.5256435398411</v>
      </c>
      <c r="BO102" s="4">
        <f>3.4/PI()^0.5*L102*AA102*AD102^0.5*BF102</f>
        <v>996.71988587880821</v>
      </c>
      <c r="BP102" s="4">
        <f>8/3*AG102*AH102^2/(AF102-M102-22)/M102*(AF102^2-M102^2)/(AF102^2-(M102+22)^2)</f>
        <v>3704.4961984911101</v>
      </c>
      <c r="BQ102" s="4">
        <f>BP102/BO102</f>
        <v>3.7166873571754362</v>
      </c>
      <c r="BY102" s="4">
        <f>IF(V102=0,R102,MIN(V102/2,R102))</f>
        <v>33.299999999999997</v>
      </c>
      <c r="CC102" s="9"/>
      <c r="CE102" s="9"/>
      <c r="CF102" s="9"/>
      <c r="CG102" s="9">
        <f>IF(V102=0,MIN(R102,T102),MIN(V102/2,R102,T102))</f>
        <v>29.200000000000003</v>
      </c>
      <c r="CH102" s="9">
        <f>MAX(V102/2,R102)</f>
        <v>138.5</v>
      </c>
      <c r="CI102" s="9">
        <f>(CG102/M102)^0.5*(CH102/CG102)^0.15</f>
        <v>1.4485216037038422</v>
      </c>
      <c r="CJ102" s="70">
        <v>0</v>
      </c>
      <c r="CK102" s="9">
        <f>MIN(PI()*AL102^2/4*AM102*2/W102/M102/MAX(0.01,AN102),0.05)</f>
        <v>0</v>
      </c>
      <c r="CL102" s="9">
        <f>MAX(0,CJ102*(CK102-0.5/50))</f>
        <v>0</v>
      </c>
      <c r="CM102" s="9">
        <f>MIN(1,(25/M102)^0.3)</f>
        <v>1</v>
      </c>
      <c r="CN102" s="9">
        <f>IF(I102&gt;=800,0.68,IF(I102&gt;=700,0.75-(I102-700)*0.07/100,IF(I102&gt;=600,0.85-(I102-600)*0.1/100,IF(I102&gt;=500,1-(I102-500)*0.15/100,1.2-(I102-400)*0.2/100))))</f>
        <v>0.77100000000000002</v>
      </c>
      <c r="CO102" s="9">
        <f>1.75*CM102*CN102*(L102/25)^0.5</f>
        <v>3.0755797864386483</v>
      </c>
      <c r="CP102" s="9">
        <f>MIN((CI102+CL102)*CO102,2.5*CO102,L102^0.5)</f>
        <v>4.4550437645712311</v>
      </c>
      <c r="CQ102" s="9">
        <v>1</v>
      </c>
      <c r="CR102" s="9">
        <f>4*CP102*O102+60*CP102</f>
        <v>338.58332610741354</v>
      </c>
      <c r="CT102" s="4">
        <f>AI102/BE102</f>
        <v>2.9673517299864245</v>
      </c>
      <c r="CU102" s="4">
        <f>AI102/BJ102</f>
        <v>0.65060663577295397</v>
      </c>
      <c r="CV102" s="4">
        <f>AI102/BM102</f>
        <v>1.3221283118847895</v>
      </c>
      <c r="CW102" s="4">
        <f>AI102/CR102</f>
        <v>2.1028796904609597</v>
      </c>
      <c r="CX102" s="44">
        <f>AI102/DY102</f>
        <v>8.9839413331668201</v>
      </c>
      <c r="CY102" s="4">
        <f>AI102/EK102</f>
        <v>1</v>
      </c>
      <c r="CZ102" s="4">
        <f>AI102/GH102</f>
        <v>3.0895455618794947</v>
      </c>
      <c r="DB102" s="4">
        <f>CT102</f>
        <v>2.9673517299864245</v>
      </c>
      <c r="DC102" s="4">
        <f>CU102</f>
        <v>0.65060663577295397</v>
      </c>
      <c r="DD102" s="4">
        <f>CW102</f>
        <v>2.1028796904609597</v>
      </c>
      <c r="DE102" s="4">
        <f>CZ102</f>
        <v>3.0895455618794947</v>
      </c>
      <c r="DF102" s="4">
        <f>CX102</f>
        <v>8.9839413331668201</v>
      </c>
      <c r="DG102" s="4">
        <f>CY102</f>
        <v>1</v>
      </c>
      <c r="DO102" s="4">
        <f>AM102</f>
        <v>0</v>
      </c>
      <c r="DP102" s="4">
        <f>K102</f>
        <v>88.8</v>
      </c>
      <c r="DS102" s="4">
        <f>J102/4/(1-0.3*(L102/30)^0.5)/200000/M102</f>
        <v>1.3307058507295954E-5</v>
      </c>
      <c r="DT102" s="4">
        <f>EO102</f>
        <v>12.884614270393072</v>
      </c>
      <c r="DU102" s="4">
        <f>EB102*AF102/257/L102/AC102</f>
        <v>0</v>
      </c>
      <c r="DV102" s="4">
        <f>DT102*DU102^0.4</f>
        <v>0</v>
      </c>
      <c r="DW102" s="4">
        <f>MIN(DT102, DT102/1.4*(1-DU102^1.4)/(1-DU102))</f>
        <v>9.2032959074236231</v>
      </c>
      <c r="DX102" s="4">
        <f>MAX(DT102/2, (4-DS102*(8*AF102*(DV102-DW102)+6*J102*DW102))/(4+DS102*J102*DT102)*DT102)</f>
        <v>12.782437816882654</v>
      </c>
      <c r="DY102" s="38">
        <f>MIN(1/M102*(4*AF102*(DV102-DW102)+(3*DW102+DX102)*J102)+EB102 -FI102,MAX(I102,AI102))</f>
        <v>79.252521092434776</v>
      </c>
      <c r="DZ102" s="4">
        <f>DY102/FE102</f>
        <v>0.88209032609662286</v>
      </c>
      <c r="EA102" s="4">
        <f>AF102/M102</f>
        <v>2.2360679774997898</v>
      </c>
      <c r="EB102" s="4">
        <f>MIN(EA$10*BA102)</f>
        <v>0</v>
      </c>
      <c r="EF102" s="4">
        <f>IF(T102&gt;1*M102,0.85,1)</f>
        <v>0.85</v>
      </c>
      <c r="EG102" s="4">
        <f>MIN(1,MAX(0.7,(1-0.1*(BY102-1*M102)/M102)))</f>
        <v>0.95</v>
      </c>
      <c r="EH102" s="4">
        <f>MIN(1,MAX(0.7,1-0.3*(PI()*AL102^2/4*AP102*2-0.25*PI()/4*M102^2)/(PI()/4*M102^2)))</f>
        <v>1</v>
      </c>
      <c r="EI102" s="4">
        <f>IF(EG102*EH102&lt;0.7,0.7,EG102*EH102)</f>
        <v>0.95</v>
      </c>
      <c r="EK102" s="4">
        <f>MIN(DT102/M102*3*J102+EL102-FI102,MAX(I102,AI102))</f>
        <v>712</v>
      </c>
      <c r="EL102" s="25">
        <f>26.5*P102*J102^0.5*L102^0.5/W102/M102^2*(0.7+R102/5/J102)</f>
        <v>868.2692405319475</v>
      </c>
      <c r="EO102" s="4">
        <f>IF(M102&lt;22.2,1.1*5*(L102/30)^0.5,IF(M102&gt;=31.8,0.9*5*(L102/30)^0.5,1*5*(L102/30)^0.5))/EF102/EI102</f>
        <v>12.884614270393072</v>
      </c>
      <c r="ER102" s="4">
        <f>ES102*M102</f>
        <v>49.640709100495329</v>
      </c>
      <c r="ES102" s="4">
        <f>AE102^0.5</f>
        <v>2.2360679774997898</v>
      </c>
      <c r="ET102" s="4">
        <f>MIN(EB102)/(4700*L102^0.5)/AD102*ER102</f>
        <v>0</v>
      </c>
      <c r="EW102" s="4">
        <f>ET102</f>
        <v>0</v>
      </c>
      <c r="EX102" s="4">
        <f>MIN(0.999, EW102/(0.3*(L102/30)^0.5))</f>
        <v>0</v>
      </c>
      <c r="EY102" s="4">
        <f>EO102/1*EX102^0.4</f>
        <v>0</v>
      </c>
      <c r="EZ102" s="4">
        <f>EO102/1.4*(1-EX102^1.4)/(1-EX102)</f>
        <v>9.2032959074236231</v>
      </c>
      <c r="FA102" s="4">
        <f>MAX(0,DP102*FA$9-ER102)</f>
        <v>0</v>
      </c>
      <c r="FB102" s="4">
        <f>MAX(0,DP102-ER102-FA102)</f>
        <v>39.159290899504668</v>
      </c>
      <c r="FC102" s="4">
        <f>FB102/(1-0.3*(L102/30)^0.5)/200000/M102</f>
        <v>2.347274662630318E-5</v>
      </c>
      <c r="FD102" s="4">
        <f>MAX(0.5*EO102, (1-2*FC102*(ER102*EY102+FA102*EZ102))/(1/EO102+FC102*FB102))</f>
        <v>12.733804894491934</v>
      </c>
      <c r="FE102" s="4">
        <f>MIN(4/M102*(1*EY102*ER102+EZ102*FA102+FB102*FD102)+EB102,MAX(I102,AI102))</f>
        <v>89.84626488665694</v>
      </c>
      <c r="FN102" s="23">
        <f>IF(CT102&lt;0.6,0.6,IF(CT102&lt;0.8,0.8,IF(CT102&lt;1,1,IF(CT102&lt;1.2,1.2,IF(CT102&lt;1.4,1.4,IF(CT102&lt;1.6,1.6,IF(CT102&lt;1.8,1.8,IF(CT102&lt;2,2,2.2))))))))</f>
        <v>2.2000000000000002</v>
      </c>
      <c r="FO102" s="23">
        <f>IF(CU102&lt;0.6,0.6,IF(CU102&lt;0.8,0.8,IF(CU102&lt;1,1,IF(CU102&lt;1.2,1.2,IF(CU102&lt;1.4,1.4,IF(CU102&lt;1.6,1.6,IF(CU102&lt;1.8,1.8,IF(CU102&lt;2,2,2.2))))))))</f>
        <v>0.8</v>
      </c>
      <c r="FP102" s="23">
        <f>IF(CZ102&lt;0.6,0.6,IF(CZ102&lt;0.8,0.8,IF(CZ102&lt;1,1,IF(CZ102&lt;1.2,1.2,IF(CZ102&lt;1.4,1.4,IF(CZ102&lt;1.6,1.6,IF(CZ102&lt;1.8,1.8,IF(CZ102&lt;2,2,2.2))))))))</f>
        <v>2.2000000000000002</v>
      </c>
      <c r="FQ102" s="23">
        <f>IF(CW102&lt;0.6,0.6,IF(CW102&lt;0.8,0.8,IF(CW102&lt;1,1,IF(CW102&lt;1.2,1.2,IF(CW102&lt;1.4,1.4,IF(CW102&lt;1.6,1.6,IF(CW102&lt;1.8,1.8,IF(CW102&lt;2,2,2.2))))))))</f>
        <v>2.2000000000000002</v>
      </c>
      <c r="FR102" s="23">
        <f>IF(CX102&lt;0.6,0.6,IF(CX102&lt;0.8,0.8,IF(CX102&lt;1,1,IF(CX102&lt;1.2,1.2,IF(CX102&lt;1.4,1.4,IF(CX102&lt;1.6,1.6,IF(CX102&lt;1.8,1.8,IF(CX102&lt;2,2,2.2))))))))</f>
        <v>2.2000000000000002</v>
      </c>
      <c r="FS102" s="23">
        <f>IF(CY102&lt;0.6,0.6,IF(CY102&lt;0.8,0.8,IF(CY102&lt;1,1,IF(CY102&lt;1.2,1.2,IF(CY102&lt;1.4,1.4,IF(CY102&lt;1.6,1.6,IF(CY102&lt;1.8,1.8,IF(CY102&lt;2,2,2.2))))))))</f>
        <v>1.2</v>
      </c>
      <c r="FT102" s="23">
        <f>IF(FR102&lt;1,1,0)</f>
        <v>0</v>
      </c>
      <c r="FU102" s="23"/>
      <c r="GE102" s="4">
        <f>IF(R102&gt;=2.5*25.4,1,1.25)</f>
        <v>1.25</v>
      </c>
      <c r="GF102" s="4">
        <f>IF(AN102&gt;1, 0.05*(18-MIN(8,(V102+M102)/M102))*(1-48000/MAX(60000,(I102*145))*(M102/25.4)^0.75*GG102), 1/12*(14-MIN(8,(V102+M102)/M102)))</f>
        <v>0.5</v>
      </c>
      <c r="GG102" s="4">
        <f>MIN(0.3, AL102^2*PI()/4*2*AO102/(M102^2*PI()/4*W102))</f>
        <v>0</v>
      </c>
      <c r="GH102" s="4">
        <f>(J102/25.4)/(M102/25.4)^1.5/0.0024*(L102*145)^0.25/GE102/GF102/145</f>
        <v>230.4546043227347</v>
      </c>
    </row>
    <row r="103" spans="1:195" s="4" customFormat="1" ht="12" customHeight="1" x14ac:dyDescent="0.3">
      <c r="A103" s="25">
        <v>188</v>
      </c>
      <c r="B103" s="24" t="s">
        <v>128</v>
      </c>
      <c r="C103" s="24">
        <v>2017</v>
      </c>
      <c r="D103" s="24" t="s">
        <v>309</v>
      </c>
      <c r="E103" s="24"/>
      <c r="F103" s="109" t="s">
        <v>821</v>
      </c>
      <c r="G103" s="4" t="s">
        <v>320</v>
      </c>
      <c r="H103" s="5">
        <f>SQRT(L103)/(0.19*M103)</f>
        <v>1.8863568548899892</v>
      </c>
      <c r="I103" s="7">
        <v>649</v>
      </c>
      <c r="J103" s="104">
        <f>4*M103</f>
        <v>127.2</v>
      </c>
      <c r="K103" s="7">
        <f>J103</f>
        <v>127.2</v>
      </c>
      <c r="L103" s="10">
        <v>129.9</v>
      </c>
      <c r="M103" s="21">
        <v>31.8</v>
      </c>
      <c r="N103" s="7">
        <f>J103/M103</f>
        <v>4</v>
      </c>
      <c r="O103" s="7">
        <f>K103/M103</f>
        <v>4</v>
      </c>
      <c r="P103" s="7">
        <v>428</v>
      </c>
      <c r="Q103" s="32">
        <f>R103/M103</f>
        <v>1.5</v>
      </c>
      <c r="R103" s="7">
        <f>1.5*M103</f>
        <v>47.7</v>
      </c>
      <c r="S103" s="32">
        <f>T103/M103</f>
        <v>1.3773584905660377</v>
      </c>
      <c r="T103" s="7">
        <f>171-K103</f>
        <v>43.8</v>
      </c>
      <c r="U103" s="32">
        <f>V103/M103</f>
        <v>8.4591194968553456</v>
      </c>
      <c r="V103" s="7">
        <f>P103-2*M103-2*R103</f>
        <v>269</v>
      </c>
      <c r="W103" s="7">
        <v>2</v>
      </c>
      <c r="X103" s="7">
        <f>AM103</f>
        <v>0</v>
      </c>
      <c r="Y103" s="32">
        <f>Z103/M103</f>
        <v>2.6666666666666665</v>
      </c>
      <c r="Z103" s="10">
        <f>2/3*J103</f>
        <v>84.8</v>
      </c>
      <c r="AA103" s="7">
        <f>MIN(R103/M103+0.5, V103/2/M103+0.5)</f>
        <v>2</v>
      </c>
      <c r="AB103" s="7">
        <f>R103/M103+0.5</f>
        <v>2</v>
      </c>
      <c r="AC103" s="7">
        <f>2040/510</f>
        <v>4</v>
      </c>
      <c r="AD103" s="7">
        <f>2040/510</f>
        <v>4</v>
      </c>
      <c r="AE103" s="7">
        <f>AD103+1</f>
        <v>5</v>
      </c>
      <c r="AF103" s="7">
        <f>M103*AE103^0.5</f>
        <v>71.106961684493314</v>
      </c>
      <c r="AG103" s="7">
        <f>I103</f>
        <v>649</v>
      </c>
      <c r="AH103" s="7">
        <v>11</v>
      </c>
      <c r="AI103" s="7">
        <f>(741+710)/2</f>
        <v>725.5</v>
      </c>
      <c r="AJ103" s="7"/>
      <c r="AK103" s="4">
        <f>CX103</f>
        <v>10.18654298895237</v>
      </c>
      <c r="AL103" s="7">
        <v>0</v>
      </c>
      <c r="AM103" s="7">
        <v>0</v>
      </c>
      <c r="AN103" s="7">
        <f>K103</f>
        <v>127.2</v>
      </c>
      <c r="AO103" s="7"/>
      <c r="AP103" s="7"/>
      <c r="AQ103" s="7">
        <f>3*AR103/(V103+M103)</f>
        <v>1.2686170212765957</v>
      </c>
      <c r="AR103" s="4">
        <f>J103</f>
        <v>127.2</v>
      </c>
      <c r="AS103" s="4">
        <f>IF(J103*3&gt;V103+M103, P103, (R103+M103/2)*2+1.5*J103*(2*W103-2))*(3*J103)/(9*J103^2)</f>
        <v>1.1215932914046123</v>
      </c>
      <c r="AT103" s="4">
        <f>MIN(10*L103^0.5*J103^1.5,100*3.9*L103^0.5*J103^(5/3))/(PI()/4*M103^2)/W103</f>
        <v>102.93453939452981</v>
      </c>
      <c r="AU103" s="4">
        <f>MIN(0.7+0.3*(MIN(R103,Z103)+0.5*M103)/1.5/J103,1)</f>
        <v>0.79999999999999993</v>
      </c>
      <c r="AV103" s="4">
        <v>1.25</v>
      </c>
      <c r="AW103" s="47">
        <f>AW102</f>
        <v>5</v>
      </c>
      <c r="AX103" s="38">
        <f>AS103*AU103*AV103*AW103*AT103</f>
        <v>577.25344419364194</v>
      </c>
      <c r="AY103" s="38">
        <f>AX103</f>
        <v>577.25344419364194</v>
      </c>
      <c r="AZ103" s="38">
        <f>IF(L103&lt;50, 0.3*L103^(2/3), 2.12*LN(1+0.1*(L103+8)))</f>
        <v>5.7111767066521422</v>
      </c>
      <c r="BA103" s="38">
        <f>AW103* (L103^0.5/AR103^0.5)/(PI()/4*M103^2)/W103/0.72 *(0.7+(MIN(R103,Z103)+0.5*M103)/5/J103) *(3*P103*J103)</f>
        <v>577.25344419364239</v>
      </c>
      <c r="BB103" s="38">
        <f>AX103/BA103</f>
        <v>0.99999999999999922</v>
      </c>
      <c r="BC103" s="38">
        <f>BG103/BA103</f>
        <v>1.8002491114654926</v>
      </c>
      <c r="BD103" s="4">
        <f>IF(BC103&lt;1,1,0)</f>
        <v>0</v>
      </c>
      <c r="BE103" s="4">
        <f>K103/M103*L103^0.5/0.19</f>
        <v>239.94459194200661</v>
      </c>
      <c r="BF103" s="4">
        <f>MIN(0.6+0.4*(AB103/AA103),2)</f>
        <v>1</v>
      </c>
      <c r="BG103" s="38">
        <f>2*L103*AA103*AC103^0.5*BF103*0.7/0.7</f>
        <v>1039.2</v>
      </c>
      <c r="BH103" s="4">
        <f>MAX(1-0.7*AD103/5,0.3)</f>
        <v>0.44000000000000006</v>
      </c>
      <c r="BI103" s="4">
        <f>BH103*I103*K103/(I103*M103/2.75/L103^0.5)</f>
        <v>55.163261687467333</v>
      </c>
      <c r="BJ103" s="4">
        <f>BG103+BI103</f>
        <v>1094.3632616874675</v>
      </c>
      <c r="BL103" s="4">
        <f>MIN(1.5, 0.75+0.25*MIN(3,MAX(1,R103/M103))+0.4*MIN(1,(40*2*PI()*AL103^2/4/AN103/W103)/M103))</f>
        <v>1.125</v>
      </c>
      <c r="BM103" s="4">
        <f>(3*O103+30)*BL103*L103^0.5</f>
        <v>538.5256435398411</v>
      </c>
      <c r="BO103" s="4">
        <f>3.4/PI()^0.5*L103*AA103*AD103^0.5*BF103</f>
        <v>996.71988587880821</v>
      </c>
      <c r="BP103" s="4">
        <f>8/3*AG103*AH103^2/(AF103-M103-22)/M103*(AF103^2-M103^2)/(AF103^2-(M103+22)^2)</f>
        <v>711.96329095823319</v>
      </c>
      <c r="BQ103" s="4">
        <f>BP103/BO103</f>
        <v>0.71430629713030647</v>
      </c>
      <c r="BY103" s="4">
        <f>IF(V103=0,R103,MIN(V103/2,R103))</f>
        <v>47.7</v>
      </c>
      <c r="CC103" s="9"/>
      <c r="CE103" s="9"/>
      <c r="CF103" s="9"/>
      <c r="CG103" s="9">
        <f>IF(V103=0,MIN(R103,T103),MIN(V103/2,R103,T103))</f>
        <v>43.8</v>
      </c>
      <c r="CH103" s="9">
        <f>MAX(V103/2,R103)</f>
        <v>134.5</v>
      </c>
      <c r="CI103" s="9">
        <f>(CG103/M103)^0.5*(CH103/CG103)^0.15</f>
        <v>1.3887073091970812</v>
      </c>
      <c r="CJ103" s="70">
        <v>0</v>
      </c>
      <c r="CK103" s="9">
        <f>MIN(PI()*AL103^2/4*AM103*2/W103/M103/MAX(0.01,AN103),0.05)</f>
        <v>0</v>
      </c>
      <c r="CL103" s="9">
        <f>MAX(0,CJ103*(CK103-0.5/50))</f>
        <v>0</v>
      </c>
      <c r="CM103" s="9">
        <f>MIN(1,(25/M103)^0.3)</f>
        <v>0.93036607665491811</v>
      </c>
      <c r="CN103" s="9">
        <f>IF(I103&gt;=800,0.68,IF(I103&gt;=700,0.75-(I103-700)*0.07/100,IF(I103&gt;=600,0.85-(I103-600)*0.1/100,IF(I103&gt;=500,1-(I103-500)*0.15/100,1.2-(I103-400)*0.2/100))))</f>
        <v>0.80099999999999993</v>
      </c>
      <c r="CO103" s="9">
        <f>1.75*CM103*CN103*(L103/25)^0.5</f>
        <v>2.9727542082721463</v>
      </c>
      <c r="CP103" s="9">
        <f>MIN((CI103+CL103)*CO103,2.5*CO103,L103^0.5)</f>
        <v>4.1282854974739118</v>
      </c>
      <c r="CQ103" s="9">
        <v>1</v>
      </c>
      <c r="CR103" s="9">
        <f>4*CP103*O103+60*CP103</f>
        <v>313.74969780801729</v>
      </c>
      <c r="CT103" s="4">
        <f>AI103/BE103</f>
        <v>3.0236147192488074</v>
      </c>
      <c r="CU103" s="4">
        <f>AI103/BJ103</f>
        <v>0.66294257619842423</v>
      </c>
      <c r="CV103" s="4">
        <f>AI103/BM103</f>
        <v>1.3471967560005826</v>
      </c>
      <c r="CW103" s="4">
        <f>AI103/CR103</f>
        <v>2.3123528247792344</v>
      </c>
      <c r="CX103" s="44">
        <f>AI103/DY103</f>
        <v>10.18654298895237</v>
      </c>
      <c r="CY103" s="4">
        <f>AI103/EK103</f>
        <v>1.0396608877230671</v>
      </c>
      <c r="CZ103" s="4">
        <f>AI103/GH103</f>
        <v>3.7678109166826239</v>
      </c>
      <c r="DB103" s="4">
        <f>CT103</f>
        <v>3.0236147192488074</v>
      </c>
      <c r="DC103" s="4">
        <f>CU103</f>
        <v>0.66294257619842423</v>
      </c>
      <c r="DD103" s="4">
        <f>CW103</f>
        <v>2.3123528247792344</v>
      </c>
      <c r="DE103" s="4">
        <f>CZ103</f>
        <v>3.7678109166826239</v>
      </c>
      <c r="DF103" s="4">
        <f>CX103</f>
        <v>10.18654298895237</v>
      </c>
      <c r="DG103" s="4">
        <f>CY103</f>
        <v>1.0396608877230671</v>
      </c>
      <c r="DO103" s="4">
        <f>AM103</f>
        <v>0</v>
      </c>
      <c r="DP103" s="4">
        <f>K103</f>
        <v>127.2</v>
      </c>
      <c r="DS103" s="4">
        <f>J103/4/(1-0.3*(L103/30)^0.5)/200000/M103</f>
        <v>1.3307058507295954E-5</v>
      </c>
      <c r="DT103" s="4">
        <f>EO103</f>
        <v>11.596152843353764</v>
      </c>
      <c r="DU103" s="4">
        <f>EB103*AF103/257/L103/AC103</f>
        <v>0</v>
      </c>
      <c r="DV103" s="4">
        <f>DT103*DU103^0.4</f>
        <v>0</v>
      </c>
      <c r="DW103" s="4">
        <f>MIN(DT103, DT103/1.4*(1-DU103^1.4)/(1-DU103))</f>
        <v>8.2829663166812608</v>
      </c>
      <c r="DX103" s="4">
        <f>MAX(DT103/2, (4-DS103*(8*AF103*(DV103-DW103)+6*J103*DW103))/(4+DS103*J103*DT103)*DT103)</f>
        <v>11.477730401186843</v>
      </c>
      <c r="DY103" s="38">
        <f>MIN(1/M103*(4*AF103*(DV103-DW103)+(3*DW103+DX103)*J103)+EB103 -FI103,MAX(I103,AI103))</f>
        <v>71.221414447161109</v>
      </c>
      <c r="DZ103" s="4">
        <f>DY103/FE103</f>
        <v>0.88376255312510954</v>
      </c>
      <c r="EA103" s="4">
        <f>AF103/M103</f>
        <v>2.2360679774997898</v>
      </c>
      <c r="EB103" s="4">
        <f>MIN(EA$10*BA103)</f>
        <v>0</v>
      </c>
      <c r="EF103" s="4">
        <f>IF(T103&gt;1*M103,0.85,1)</f>
        <v>0.85</v>
      </c>
      <c r="EG103" s="4">
        <f>MIN(1,MAX(0.7,(1-0.1*(BY103-1*M103)/M103)))</f>
        <v>0.95</v>
      </c>
      <c r="EH103" s="4">
        <f>MIN(1,MAX(0.7,1-0.3*(PI()*AL103^2/4*AP103*2-0.25*PI()/4*M103^2)/(PI()/4*M103^2)))</f>
        <v>1</v>
      </c>
      <c r="EI103" s="4">
        <f>IF(EG103*EH103&lt;0.7,0.7,EG103*EH103)</f>
        <v>0.95</v>
      </c>
      <c r="EK103" s="4">
        <f>MIN(DT103/M103*3*J103+EL103-FI103,MAX(I103,AI103))</f>
        <v>697.82369286671712</v>
      </c>
      <c r="EL103" s="25">
        <f>26.5*P103*J103^0.5*L103^0.5/W103/M103^2*(0.7+R103/5/J103)</f>
        <v>558.66985874647196</v>
      </c>
      <c r="EO103" s="4">
        <f>IF(M103&lt;22.2,1.1*5*(L103/30)^0.5,IF(M103&gt;=31.8,0.9*5*(L103/30)^0.5,1*5*(L103/30)^0.5))/EF103/EI103</f>
        <v>11.596152843353764</v>
      </c>
      <c r="ER103" s="4">
        <f>ES103*M103</f>
        <v>71.106961684493314</v>
      </c>
      <c r="ES103" s="4">
        <f>AE103^0.5</f>
        <v>2.2360679774997898</v>
      </c>
      <c r="ET103" s="4">
        <f>MIN(EB103)/(4700*L103^0.5)/AD103*ER103</f>
        <v>0</v>
      </c>
      <c r="EW103" s="4">
        <f>ET103</f>
        <v>0</v>
      </c>
      <c r="EX103" s="4">
        <f>MIN(0.999, EW103/(0.3*(L103/30)^0.5))</f>
        <v>0</v>
      </c>
      <c r="EY103" s="4">
        <f>EO103/1*EX103^0.4</f>
        <v>0</v>
      </c>
      <c r="EZ103" s="4">
        <f>EO103/1.4*(1-EX103^1.4)/(1-EX103)</f>
        <v>8.2829663166812608</v>
      </c>
      <c r="FA103" s="4">
        <f>MAX(0,DP103*FA$9-ER103)</f>
        <v>0</v>
      </c>
      <c r="FB103" s="4">
        <f>MAX(0,DP103-ER103-FA103)</f>
        <v>56.093038315506689</v>
      </c>
      <c r="FC103" s="4">
        <f>FB103/(1-0.3*(L103/30)^0.5)/200000/M103</f>
        <v>2.347274662630318E-5</v>
      </c>
      <c r="FD103" s="4">
        <f>MAX(0.5*EO103, (1-2*FC103*(ER103*EY103+FA103*EZ103))/(1/EO103+FC103*FB103))</f>
        <v>11.42176348920756</v>
      </c>
      <c r="FE103" s="4">
        <f>MIN(4/M103*(1*EY103*ER103+EZ103*FA103+FB103*FD103)+EB103,MAX(I103,AI103))</f>
        <v>80.588857488147809</v>
      </c>
      <c r="FN103" s="23">
        <f>IF(CT103&lt;0.6,0.6,IF(CT103&lt;0.8,0.8,IF(CT103&lt;1,1,IF(CT103&lt;1.2,1.2,IF(CT103&lt;1.4,1.4,IF(CT103&lt;1.6,1.6,IF(CT103&lt;1.8,1.8,IF(CT103&lt;2,2,2.2))))))))</f>
        <v>2.2000000000000002</v>
      </c>
      <c r="FO103" s="23">
        <f>IF(CU103&lt;0.6,0.6,IF(CU103&lt;0.8,0.8,IF(CU103&lt;1,1,IF(CU103&lt;1.2,1.2,IF(CU103&lt;1.4,1.4,IF(CU103&lt;1.6,1.6,IF(CU103&lt;1.8,1.8,IF(CU103&lt;2,2,2.2))))))))</f>
        <v>0.8</v>
      </c>
      <c r="FP103" s="23">
        <f>IF(CZ103&lt;0.6,0.6,IF(CZ103&lt;0.8,0.8,IF(CZ103&lt;1,1,IF(CZ103&lt;1.2,1.2,IF(CZ103&lt;1.4,1.4,IF(CZ103&lt;1.6,1.6,IF(CZ103&lt;1.8,1.8,IF(CZ103&lt;2,2,2.2))))))))</f>
        <v>2.2000000000000002</v>
      </c>
      <c r="FQ103" s="23">
        <f>IF(CW103&lt;0.6,0.6,IF(CW103&lt;0.8,0.8,IF(CW103&lt;1,1,IF(CW103&lt;1.2,1.2,IF(CW103&lt;1.4,1.4,IF(CW103&lt;1.6,1.6,IF(CW103&lt;1.8,1.8,IF(CW103&lt;2,2,2.2))))))))</f>
        <v>2.2000000000000002</v>
      </c>
      <c r="FR103" s="23">
        <f>IF(CX103&lt;0.6,0.6,IF(CX103&lt;0.8,0.8,IF(CX103&lt;1,1,IF(CX103&lt;1.2,1.2,IF(CX103&lt;1.4,1.4,IF(CX103&lt;1.6,1.6,IF(CX103&lt;1.8,1.8,IF(CX103&lt;2,2,2.2))))))))</f>
        <v>2.2000000000000002</v>
      </c>
      <c r="FS103" s="23">
        <f>IF(CY103&lt;0.6,0.6,IF(CY103&lt;0.8,0.8,IF(CY103&lt;1,1,IF(CY103&lt;1.2,1.2,IF(CY103&lt;1.4,1.4,IF(CY103&lt;1.6,1.6,IF(CY103&lt;1.8,1.8,IF(CY103&lt;2,2,2.2))))))))</f>
        <v>1.2</v>
      </c>
      <c r="FT103" s="23">
        <f>IF(FR103&lt;1,1,0)</f>
        <v>0</v>
      </c>
      <c r="FU103" s="23"/>
      <c r="GE103" s="4">
        <f>IF(R103&gt;=2.5*25.4,1,1.25)</f>
        <v>1.25</v>
      </c>
      <c r="GF103" s="4">
        <f>IF(AN103&gt;1, 0.05*(18-MIN(8,(V103+M103)/M103))*(1-48000/MAX(60000,(I103*145))*(M103/25.4)^0.75*GG103), 1/12*(14-MIN(8,(V103+M103)/M103)))</f>
        <v>0.5</v>
      </c>
      <c r="GG103" s="4">
        <f>MIN(0.3, AL103^2*PI()/4*2*AO103/(M103^2*PI()/4*W103))</f>
        <v>0</v>
      </c>
      <c r="GH103" s="4">
        <f>(J103/25.4)/(M103/25.4)^1.5/0.0024*(L103*145)^0.25/GE103/GF103/145</f>
        <v>192.55212537012548</v>
      </c>
    </row>
    <row r="104" spans="1:195" s="4" customFormat="1" ht="12" customHeight="1" x14ac:dyDescent="0.3">
      <c r="A104" s="25">
        <v>189</v>
      </c>
      <c r="B104" s="24" t="s">
        <v>128</v>
      </c>
      <c r="C104" s="24">
        <v>2017</v>
      </c>
      <c r="D104" s="24" t="s">
        <v>309</v>
      </c>
      <c r="E104" s="24"/>
      <c r="F104" s="109" t="s">
        <v>821</v>
      </c>
      <c r="G104" s="4" t="s">
        <v>321</v>
      </c>
      <c r="H104" s="5">
        <f>SQRT(L104)/(0.19*M104)</f>
        <v>1.8863568548899892</v>
      </c>
      <c r="I104" s="7">
        <v>649</v>
      </c>
      <c r="J104" s="104">
        <f>4*M104</f>
        <v>127.2</v>
      </c>
      <c r="K104" s="7">
        <f>J104</f>
        <v>127.2</v>
      </c>
      <c r="L104" s="10">
        <v>129.9</v>
      </c>
      <c r="M104" s="21">
        <v>31.8</v>
      </c>
      <c r="N104" s="7">
        <f>J104/M104</f>
        <v>4</v>
      </c>
      <c r="O104" s="7">
        <f>K104/M104</f>
        <v>4</v>
      </c>
      <c r="P104" s="7">
        <v>428</v>
      </c>
      <c r="Q104" s="32">
        <f>R104/M104</f>
        <v>1.5</v>
      </c>
      <c r="R104" s="7">
        <f>1.5*M104</f>
        <v>47.7</v>
      </c>
      <c r="S104" s="32">
        <f>T104/M104</f>
        <v>1.3773584905660377</v>
      </c>
      <c r="T104" s="7">
        <f>171-K104</f>
        <v>43.8</v>
      </c>
      <c r="U104" s="32">
        <f>V104/M104</f>
        <v>8.4591194968553456</v>
      </c>
      <c r="V104" s="7">
        <f>P104-2*M104-2*R104</f>
        <v>269</v>
      </c>
      <c r="W104" s="7">
        <v>2</v>
      </c>
      <c r="X104" s="7">
        <f>AM104</f>
        <v>0</v>
      </c>
      <c r="Y104" s="32">
        <f>Z104/M104</f>
        <v>2.6666666666666665</v>
      </c>
      <c r="Z104" s="10">
        <f>2/3*J104</f>
        <v>84.8</v>
      </c>
      <c r="AA104" s="7">
        <f>MIN(R104/M104+0.5, V104/2/M104+0.5)</f>
        <v>2</v>
      </c>
      <c r="AB104" s="7">
        <f>R104/M104+0.5</f>
        <v>2</v>
      </c>
      <c r="AC104" s="7">
        <f>2040/510</f>
        <v>4</v>
      </c>
      <c r="AD104" s="7">
        <f>2040/510</f>
        <v>4</v>
      </c>
      <c r="AE104" s="7">
        <f>AD104+1</f>
        <v>5</v>
      </c>
      <c r="AF104" s="7">
        <f>M104*AE104^0.5</f>
        <v>71.106961684493314</v>
      </c>
      <c r="AG104" s="7">
        <f>I104</f>
        <v>649</v>
      </c>
      <c r="AH104" s="7">
        <v>11</v>
      </c>
      <c r="AI104" s="7">
        <f>(728+714)/2</f>
        <v>721</v>
      </c>
      <c r="AJ104" s="7"/>
      <c r="AK104" s="4">
        <f>CX104</f>
        <v>10.123359745051218</v>
      </c>
      <c r="AL104" s="7">
        <v>0</v>
      </c>
      <c r="AM104" s="7">
        <v>0</v>
      </c>
      <c r="AN104" s="7">
        <f>K104</f>
        <v>127.2</v>
      </c>
      <c r="AO104" s="7"/>
      <c r="AP104" s="7"/>
      <c r="AQ104" s="7">
        <f>3*AR104/(V104+M104)</f>
        <v>1.2686170212765957</v>
      </c>
      <c r="AR104" s="4">
        <f>J104</f>
        <v>127.2</v>
      </c>
      <c r="AS104" s="4">
        <f>IF(J104*3&gt;V104+M104, P104, (R104+M104/2)*2+1.5*J104*(2*W104-2))*(3*J104)/(9*J104^2)</f>
        <v>1.1215932914046123</v>
      </c>
      <c r="AT104" s="4">
        <f>MIN(10*L104^0.5*J104^1.5,100*3.9*L104^0.5*J104^(5/3))/(PI()/4*M104^2)/W104</f>
        <v>102.93453939452981</v>
      </c>
      <c r="AU104" s="4">
        <f>MIN(0.7+0.3*(MIN(R104,Z104)+0.5*M104)/1.5/J104,1)</f>
        <v>0.79999999999999993</v>
      </c>
      <c r="AV104" s="4">
        <v>1.25</v>
      </c>
      <c r="AW104" s="47">
        <f>AW103</f>
        <v>5</v>
      </c>
      <c r="AX104" s="38">
        <f>AS104*AU104*AV104*AW104*AT104</f>
        <v>577.25344419364194</v>
      </c>
      <c r="AY104" s="38">
        <f>AX104</f>
        <v>577.25344419364194</v>
      </c>
      <c r="AZ104" s="38">
        <f>IF(L104&lt;50, 0.3*L104^(2/3), 2.12*LN(1+0.1*(L104+8)))</f>
        <v>5.7111767066521422</v>
      </c>
      <c r="BA104" s="38">
        <f>AW104* (L104^0.5/AR104^0.5)/(PI()/4*M104^2)/W104/0.72 *(0.7+(MIN(R104,Z104)+0.5*M104)/5/J104) *(3*P104*J104)</f>
        <v>577.25344419364239</v>
      </c>
      <c r="BB104" s="38">
        <f>AX104/BA104</f>
        <v>0.99999999999999922</v>
      </c>
      <c r="BC104" s="38">
        <f>BG104/BA104</f>
        <v>1.8002491114654926</v>
      </c>
      <c r="BD104" s="4">
        <f>IF(BC104&lt;1,1,0)</f>
        <v>0</v>
      </c>
      <c r="BE104" s="4">
        <f>K104/M104*L104^0.5/0.19</f>
        <v>239.94459194200661</v>
      </c>
      <c r="BF104" s="4">
        <f>MIN(0.6+0.4*(AB104/AA104),2)</f>
        <v>1</v>
      </c>
      <c r="BG104" s="38">
        <f>2*L104*AA104*AC104^0.5*BF104*0.7/0.7</f>
        <v>1039.2</v>
      </c>
      <c r="BH104" s="4">
        <f>MAX(1-0.7*AD104/5,0.3)</f>
        <v>0.44000000000000006</v>
      </c>
      <c r="BI104" s="4">
        <f>BH104*I104*K104/(I104*M104/2.75/L104^0.5)</f>
        <v>55.163261687467333</v>
      </c>
      <c r="BJ104" s="4">
        <f>BG104+BI104</f>
        <v>1094.3632616874675</v>
      </c>
      <c r="BL104" s="4">
        <f>MIN(1.5, 0.75+0.25*MIN(3,MAX(1,R104/M104))+0.4*MIN(1,(40*2*PI()*AL104^2/4/AN104/W104)/M104))</f>
        <v>1.125</v>
      </c>
      <c r="BM104" s="4">
        <f>(3*O104+30)*BL104*L104^0.5</f>
        <v>538.5256435398411</v>
      </c>
      <c r="BO104" s="4">
        <f>3.4/PI()^0.5*L104*AA104*AD104^0.5*BF104</f>
        <v>996.71988587880821</v>
      </c>
      <c r="BP104" s="4">
        <f>8/3*AG104*AH104^2/(AF104-M104-22)/M104*(AF104^2-M104^2)/(AF104^2-(M104+22)^2)</f>
        <v>711.96329095823319</v>
      </c>
      <c r="BQ104" s="4">
        <f>BP104/BO104</f>
        <v>0.71430629713030647</v>
      </c>
      <c r="BY104" s="4">
        <f>IF(V104=0,R104,MIN(V104/2,R104))</f>
        <v>47.7</v>
      </c>
      <c r="CC104" s="9"/>
      <c r="CE104" s="9"/>
      <c r="CF104" s="9"/>
      <c r="CG104" s="9">
        <f>IF(V104=0,MIN(R104,T104),MIN(V104/2,R104,T104))</f>
        <v>43.8</v>
      </c>
      <c r="CH104" s="9">
        <f>MAX(V104/2,R104)</f>
        <v>134.5</v>
      </c>
      <c r="CI104" s="9">
        <f>(CG104/M104)^0.5*(CH104/CG104)^0.15</f>
        <v>1.3887073091970812</v>
      </c>
      <c r="CJ104" s="70">
        <v>0</v>
      </c>
      <c r="CK104" s="9">
        <f>MIN(PI()*AL104^2/4*AM104*2/W104/M104/MAX(0.01,AN104),0.05)</f>
        <v>0</v>
      </c>
      <c r="CL104" s="9">
        <f>MAX(0,CJ104*(CK104-0.5/50))</f>
        <v>0</v>
      </c>
      <c r="CM104" s="9">
        <f>MIN(1,(25/M104)^0.3)</f>
        <v>0.93036607665491811</v>
      </c>
      <c r="CN104" s="9">
        <f>IF(I104&gt;=800,0.68,IF(I104&gt;=700,0.75-(I104-700)*0.07/100,IF(I104&gt;=600,0.85-(I104-600)*0.1/100,IF(I104&gt;=500,1-(I104-500)*0.15/100,1.2-(I104-400)*0.2/100))))</f>
        <v>0.80099999999999993</v>
      </c>
      <c r="CO104" s="9">
        <f>1.75*CM104*CN104*(L104/25)^0.5</f>
        <v>2.9727542082721463</v>
      </c>
      <c r="CP104" s="9">
        <f>MIN((CI104+CL104)*CO104,2.5*CO104,L104^0.5)</f>
        <v>4.1282854974739118</v>
      </c>
      <c r="CQ104" s="9">
        <v>1</v>
      </c>
      <c r="CR104" s="9">
        <f>4*CP104*O104+60*CP104</f>
        <v>313.74969780801729</v>
      </c>
      <c r="CT104" s="4">
        <f>AI104/BE104</f>
        <v>3.0048603894946799</v>
      </c>
      <c r="CU104" s="4">
        <f>AI104/BJ104</f>
        <v>0.65883059605660077</v>
      </c>
      <c r="CV104" s="4">
        <f>AI104/BM104</f>
        <v>1.3388406079619848</v>
      </c>
      <c r="CW104" s="4">
        <f>AI104/CR104</f>
        <v>2.2980101814828782</v>
      </c>
      <c r="CX104" s="44">
        <f>AI104/DY104</f>
        <v>10.123359745051218</v>
      </c>
      <c r="CY104" s="4">
        <f>AI104/EK104</f>
        <v>1.0332122674684099</v>
      </c>
      <c r="CZ104" s="4">
        <f>AI104/GH104</f>
        <v>3.7444406215412429</v>
      </c>
      <c r="DB104" s="4">
        <f>CT104</f>
        <v>3.0048603894946799</v>
      </c>
      <c r="DC104" s="4">
        <f>CU104</f>
        <v>0.65883059605660077</v>
      </c>
      <c r="DD104" s="4">
        <f>CW104</f>
        <v>2.2980101814828782</v>
      </c>
      <c r="DE104" s="4">
        <f>CZ104</f>
        <v>3.7444406215412429</v>
      </c>
      <c r="DF104" s="4">
        <f>CX104</f>
        <v>10.123359745051218</v>
      </c>
      <c r="DG104" s="4">
        <f>CY104</f>
        <v>1.0332122674684099</v>
      </c>
      <c r="DO104" s="4">
        <f>AM104</f>
        <v>0</v>
      </c>
      <c r="DP104" s="4">
        <f>K104</f>
        <v>127.2</v>
      </c>
      <c r="DS104" s="4">
        <f>J104/4/(1-0.3*(L104/30)^0.5)/200000/M104</f>
        <v>1.3307058507295954E-5</v>
      </c>
      <c r="DT104" s="4">
        <f>EO104</f>
        <v>11.596152843353764</v>
      </c>
      <c r="DU104" s="4">
        <f>EB104*AF104/257/L104/AC104</f>
        <v>0</v>
      </c>
      <c r="DV104" s="4">
        <f>DT104*DU104^0.4</f>
        <v>0</v>
      </c>
      <c r="DW104" s="4">
        <f>MIN(DT104, DT104/1.4*(1-DU104^1.4)/(1-DU104))</f>
        <v>8.2829663166812608</v>
      </c>
      <c r="DX104" s="4">
        <f>MAX(DT104/2, (4-DS104*(8*AF104*(DV104-DW104)+6*J104*DW104))/(4+DS104*J104*DT104)*DT104)</f>
        <v>11.477730401186843</v>
      </c>
      <c r="DY104" s="38">
        <f>MIN(1/M104*(4*AF104*(DV104-DW104)+(3*DW104+DX104)*J104)+EB104 -FI104,MAX(I104,AI104))</f>
        <v>71.221414447161109</v>
      </c>
      <c r="DZ104" s="4">
        <f>DY104/FE104</f>
        <v>0.88376255312510954</v>
      </c>
      <c r="EA104" s="4">
        <f>AF104/M104</f>
        <v>2.2360679774997898</v>
      </c>
      <c r="EB104" s="4">
        <f>MIN(EA$10*BA104)</f>
        <v>0</v>
      </c>
      <c r="EF104" s="4">
        <f>IF(T104&gt;1*M104,0.85,1)</f>
        <v>0.85</v>
      </c>
      <c r="EG104" s="4">
        <f>MIN(1,MAX(0.7,(1-0.1*(BY104-1*M104)/M104)))</f>
        <v>0.95</v>
      </c>
      <c r="EH104" s="4">
        <f>MIN(1,MAX(0.7,1-0.3*(PI()*AL104^2/4*AP104*2-0.25*PI()/4*M104^2)/(PI()/4*M104^2)))</f>
        <v>1</v>
      </c>
      <c r="EI104" s="4">
        <f>IF(EG104*EH104&lt;0.7,0.7,EG104*EH104)</f>
        <v>0.95</v>
      </c>
      <c r="EK104" s="4">
        <f>MIN(DT104/M104*3*J104+EL104-FI104,MAX(I104,AI104))</f>
        <v>697.82369286671712</v>
      </c>
      <c r="EL104" s="25">
        <f>26.5*P104*J104^0.5*L104^0.5/W104/M104^2*(0.7+R104/5/J104)</f>
        <v>558.66985874647196</v>
      </c>
      <c r="EO104" s="4">
        <f>IF(M104&lt;22.2,1.1*5*(L104/30)^0.5,IF(M104&gt;=31.8,0.9*5*(L104/30)^0.5,1*5*(L104/30)^0.5))/EF104/EI104</f>
        <v>11.596152843353764</v>
      </c>
      <c r="ER104" s="4">
        <f>ES104*M104</f>
        <v>71.106961684493314</v>
      </c>
      <c r="ES104" s="4">
        <f>AE104^0.5</f>
        <v>2.2360679774997898</v>
      </c>
      <c r="ET104" s="4">
        <f>MIN(EB104)/(4700*L104^0.5)/AD104*ER104</f>
        <v>0</v>
      </c>
      <c r="EW104" s="4">
        <f>ET104</f>
        <v>0</v>
      </c>
      <c r="EX104" s="4">
        <f>MIN(0.999, EW104/(0.3*(L104/30)^0.5))</f>
        <v>0</v>
      </c>
      <c r="EY104" s="4">
        <f>EO104/1*EX104^0.4</f>
        <v>0</v>
      </c>
      <c r="EZ104" s="4">
        <f>EO104/1.4*(1-EX104^1.4)/(1-EX104)</f>
        <v>8.2829663166812608</v>
      </c>
      <c r="FA104" s="4">
        <f>MAX(0,DP104*FA$9-ER104)</f>
        <v>0</v>
      </c>
      <c r="FB104" s="4">
        <f>MAX(0,DP104-ER104-FA104)</f>
        <v>56.093038315506689</v>
      </c>
      <c r="FC104" s="4">
        <f>FB104/(1-0.3*(L104/30)^0.5)/200000/M104</f>
        <v>2.347274662630318E-5</v>
      </c>
      <c r="FD104" s="4">
        <f>MAX(0.5*EO104, (1-2*FC104*(ER104*EY104+FA104*EZ104))/(1/EO104+FC104*FB104))</f>
        <v>11.42176348920756</v>
      </c>
      <c r="FE104" s="4">
        <f>MIN(4/M104*(1*EY104*ER104+EZ104*FA104+FB104*FD104)+EB104,MAX(I104,AI104))</f>
        <v>80.588857488147809</v>
      </c>
      <c r="FN104" s="23">
        <f>IF(CT104&lt;0.6,0.6,IF(CT104&lt;0.8,0.8,IF(CT104&lt;1,1,IF(CT104&lt;1.2,1.2,IF(CT104&lt;1.4,1.4,IF(CT104&lt;1.6,1.6,IF(CT104&lt;1.8,1.8,IF(CT104&lt;2,2,2.2))))))))</f>
        <v>2.2000000000000002</v>
      </c>
      <c r="FO104" s="23">
        <f>IF(CU104&lt;0.6,0.6,IF(CU104&lt;0.8,0.8,IF(CU104&lt;1,1,IF(CU104&lt;1.2,1.2,IF(CU104&lt;1.4,1.4,IF(CU104&lt;1.6,1.6,IF(CU104&lt;1.8,1.8,IF(CU104&lt;2,2,2.2))))))))</f>
        <v>0.8</v>
      </c>
      <c r="FP104" s="23">
        <f>IF(CZ104&lt;0.6,0.6,IF(CZ104&lt;0.8,0.8,IF(CZ104&lt;1,1,IF(CZ104&lt;1.2,1.2,IF(CZ104&lt;1.4,1.4,IF(CZ104&lt;1.6,1.6,IF(CZ104&lt;1.8,1.8,IF(CZ104&lt;2,2,2.2))))))))</f>
        <v>2.2000000000000002</v>
      </c>
      <c r="FQ104" s="23">
        <f>IF(CW104&lt;0.6,0.6,IF(CW104&lt;0.8,0.8,IF(CW104&lt;1,1,IF(CW104&lt;1.2,1.2,IF(CW104&lt;1.4,1.4,IF(CW104&lt;1.6,1.6,IF(CW104&lt;1.8,1.8,IF(CW104&lt;2,2,2.2))))))))</f>
        <v>2.2000000000000002</v>
      </c>
      <c r="FR104" s="23">
        <f>IF(CX104&lt;0.6,0.6,IF(CX104&lt;0.8,0.8,IF(CX104&lt;1,1,IF(CX104&lt;1.2,1.2,IF(CX104&lt;1.4,1.4,IF(CX104&lt;1.6,1.6,IF(CX104&lt;1.8,1.8,IF(CX104&lt;2,2,2.2))))))))</f>
        <v>2.2000000000000002</v>
      </c>
      <c r="FS104" s="23">
        <f>IF(CY104&lt;0.6,0.6,IF(CY104&lt;0.8,0.8,IF(CY104&lt;1,1,IF(CY104&lt;1.2,1.2,IF(CY104&lt;1.4,1.4,IF(CY104&lt;1.6,1.6,IF(CY104&lt;1.8,1.8,IF(CY104&lt;2,2,2.2))))))))</f>
        <v>1.2</v>
      </c>
      <c r="FT104" s="23">
        <f>IF(FR104&lt;1,1,0)</f>
        <v>0</v>
      </c>
      <c r="FU104" s="23"/>
      <c r="GE104" s="4">
        <f>IF(R104&gt;=2.5*25.4,1,1.25)</f>
        <v>1.25</v>
      </c>
      <c r="GF104" s="4">
        <f>IF(AN104&gt;1, 0.05*(18-MIN(8,(V104+M104)/M104))*(1-48000/MAX(60000,(I104*145))*(M104/25.4)^0.75*GG104), 1/12*(14-MIN(8,(V104+M104)/M104)))</f>
        <v>0.5</v>
      </c>
      <c r="GG104" s="4">
        <f>MIN(0.3, AL104^2*PI()/4*2*AO104/(M104^2*PI()/4*W104))</f>
        <v>0</v>
      </c>
      <c r="GH104" s="4">
        <f>(J104/25.4)/(M104/25.4)^1.5/0.0024*(L104*145)^0.25/GE104/GF104/145</f>
        <v>192.55212537012548</v>
      </c>
    </row>
    <row r="105" spans="1:195" s="4" customFormat="1" ht="12" customHeight="1" x14ac:dyDescent="0.3">
      <c r="A105" s="52">
        <v>182</v>
      </c>
      <c r="B105" s="53" t="s">
        <v>128</v>
      </c>
      <c r="C105" s="53">
        <v>2017</v>
      </c>
      <c r="D105" s="53" t="s">
        <v>309</v>
      </c>
      <c r="E105" s="53"/>
      <c r="F105" s="109" t="s">
        <v>822</v>
      </c>
      <c r="G105" s="54" t="s">
        <v>316</v>
      </c>
      <c r="H105" s="5">
        <v>2.7020787380856599</v>
      </c>
      <c r="I105" s="87">
        <v>679</v>
      </c>
      <c r="J105" s="83">
        <v>88.8</v>
      </c>
      <c r="K105" s="32">
        <v>88.8</v>
      </c>
      <c r="L105" s="102">
        <v>129.9</v>
      </c>
      <c r="M105" s="79">
        <v>22.2</v>
      </c>
      <c r="N105" s="32">
        <v>4</v>
      </c>
      <c r="O105" s="32">
        <v>4</v>
      </c>
      <c r="P105" s="32">
        <v>366</v>
      </c>
      <c r="Q105" s="32">
        <v>1</v>
      </c>
      <c r="R105" s="32">
        <v>22.2</v>
      </c>
      <c r="S105" s="32">
        <v>1.3153153153153154</v>
      </c>
      <c r="T105" s="32">
        <v>29.200000000000003</v>
      </c>
      <c r="U105" s="32">
        <v>12.48648648648649</v>
      </c>
      <c r="V105" s="32">
        <v>277.20000000000005</v>
      </c>
      <c r="W105" s="32">
        <v>2</v>
      </c>
      <c r="X105" s="7">
        <v>2</v>
      </c>
      <c r="Y105" s="32">
        <v>2.6666666666666665</v>
      </c>
      <c r="Z105" s="102">
        <v>59.199999999999996</v>
      </c>
      <c r="AA105" s="32">
        <v>1.5</v>
      </c>
      <c r="AB105" s="32">
        <v>1.5</v>
      </c>
      <c r="AC105" s="32">
        <v>4</v>
      </c>
      <c r="AD105" s="32">
        <v>4</v>
      </c>
      <c r="AE105" s="32">
        <v>5</v>
      </c>
      <c r="AF105" s="32">
        <v>49.640709100495329</v>
      </c>
      <c r="AG105" s="32">
        <v>679</v>
      </c>
      <c r="AH105" s="32">
        <v>8</v>
      </c>
      <c r="AI105" s="32">
        <v>721</v>
      </c>
      <c r="AJ105" s="32"/>
      <c r="AK105" s="54">
        <v>2.4460777087109391</v>
      </c>
      <c r="AL105" s="32">
        <v>9.5</v>
      </c>
      <c r="AM105" s="32">
        <v>2</v>
      </c>
      <c r="AN105" s="32">
        <v>52</v>
      </c>
      <c r="AO105" s="32">
        <v>4</v>
      </c>
      <c r="AP105" s="32">
        <v>2</v>
      </c>
      <c r="AQ105" s="32">
        <v>0.88977955911823625</v>
      </c>
      <c r="AR105" s="54">
        <v>88.8</v>
      </c>
      <c r="AS105" s="54">
        <v>1.25</v>
      </c>
      <c r="AT105" s="54">
        <v>123.19645135939774</v>
      </c>
      <c r="AU105" s="54">
        <v>0.77499999999999991</v>
      </c>
      <c r="AV105" s="54">
        <v>1.25</v>
      </c>
      <c r="AW105" s="59">
        <v>1</v>
      </c>
      <c r="AX105" s="56">
        <v>149.18320281802067</v>
      </c>
      <c r="AY105" s="56">
        <v>149.18320281802067</v>
      </c>
      <c r="AZ105" s="56">
        <v>5.7111767066521422</v>
      </c>
      <c r="BA105" s="56">
        <v>163.96712381800475</v>
      </c>
      <c r="BB105" s="56">
        <v>0.90983606557377028</v>
      </c>
      <c r="BC105" s="56">
        <v>4.7533919108387535</v>
      </c>
      <c r="BD105" s="54">
        <v>0</v>
      </c>
      <c r="BE105" s="54">
        <v>239.94459194200661</v>
      </c>
      <c r="BF105" s="54">
        <v>1</v>
      </c>
      <c r="BG105" s="56">
        <v>779.40000000000009</v>
      </c>
      <c r="BH105" s="54">
        <v>0.44000000000000006</v>
      </c>
      <c r="BI105" s="54">
        <v>55.163261687467326</v>
      </c>
      <c r="BJ105" s="54">
        <v>834.56326168746739</v>
      </c>
      <c r="BK105" s="54"/>
      <c r="BL105" s="54">
        <v>1.4</v>
      </c>
      <c r="BM105" s="54">
        <v>670.16524529402443</v>
      </c>
      <c r="BN105" s="54"/>
      <c r="BO105" s="54">
        <v>747.53991440910613</v>
      </c>
      <c r="BP105" s="54">
        <v>3704.4961984911101</v>
      </c>
      <c r="BQ105" s="54">
        <v>4.9555831429005819</v>
      </c>
      <c r="BR105" s="54"/>
      <c r="BS105" s="54"/>
      <c r="BT105" s="54"/>
      <c r="BU105" s="54"/>
      <c r="BV105" s="54"/>
      <c r="BW105" s="54"/>
      <c r="BX105" s="54"/>
      <c r="BY105" s="54">
        <v>22.2</v>
      </c>
      <c r="BZ105" s="54"/>
      <c r="CA105" s="54"/>
      <c r="CB105" s="54"/>
      <c r="CC105" s="57"/>
      <c r="CD105" s="54"/>
      <c r="CE105" s="57"/>
      <c r="CF105" s="57"/>
      <c r="CG105" s="57">
        <v>22.2</v>
      </c>
      <c r="CH105" s="57">
        <v>138.60000000000002</v>
      </c>
      <c r="CI105" s="57">
        <v>1.3161686388047049</v>
      </c>
      <c r="CJ105" s="71">
        <v>20</v>
      </c>
      <c r="CK105" s="57">
        <v>0.05</v>
      </c>
      <c r="CL105" s="57">
        <v>0.8</v>
      </c>
      <c r="CM105" s="57">
        <v>1</v>
      </c>
      <c r="CN105" s="57">
        <v>0.77100000000000002</v>
      </c>
      <c r="CO105" s="57">
        <v>3.0755797864386483</v>
      </c>
      <c r="CP105" s="57">
        <v>6.5084454902031403</v>
      </c>
      <c r="CQ105" s="57">
        <v>1</v>
      </c>
      <c r="CR105" s="57">
        <v>494.64185725543865</v>
      </c>
      <c r="CS105" s="54"/>
      <c r="CT105" s="54">
        <v>3.0048603894946799</v>
      </c>
      <c r="CU105" s="54">
        <v>0.86392492109244645</v>
      </c>
      <c r="CV105" s="54">
        <v>1.0758540599694522</v>
      </c>
      <c r="CW105" s="54">
        <v>1.4576202750016511</v>
      </c>
      <c r="CX105" s="60">
        <v>2.4460777087109391</v>
      </c>
      <c r="CY105" s="54">
        <v>1</v>
      </c>
      <c r="CZ105" s="54">
        <v>2.7149668974723982</v>
      </c>
      <c r="DA105" s="54"/>
      <c r="DB105" s="54"/>
      <c r="DC105" s="54"/>
      <c r="DD105" s="54"/>
      <c r="DE105" s="54"/>
      <c r="DF105" s="54"/>
      <c r="DG105" s="54"/>
      <c r="DH105" s="54">
        <v>3.0048603894946799</v>
      </c>
      <c r="DI105" s="54">
        <v>0.86392492109244645</v>
      </c>
      <c r="DJ105" s="54">
        <v>1.4576202750016511</v>
      </c>
      <c r="DK105" s="54">
        <v>2.7149668974723982</v>
      </c>
      <c r="DL105" s="54">
        <v>2.4460777087109391</v>
      </c>
      <c r="DM105" s="54">
        <v>1</v>
      </c>
      <c r="DN105" s="54"/>
      <c r="DO105" s="54">
        <v>2</v>
      </c>
      <c r="DP105" s="54">
        <v>88.8</v>
      </c>
      <c r="DQ105" s="54"/>
      <c r="DR105" s="54"/>
      <c r="DS105" s="54">
        <v>1.3307058507295954E-5</v>
      </c>
      <c r="DT105" s="54">
        <v>14.311999279173566</v>
      </c>
      <c r="DU105" s="54">
        <v>6.0952635636320612E-2</v>
      </c>
      <c r="DV105" s="54">
        <v>4.6740924861367308</v>
      </c>
      <c r="DW105" s="54">
        <v>10.669704483239553</v>
      </c>
      <c r="DX105" s="54">
        <v>14.095102116091823</v>
      </c>
      <c r="DY105" s="56">
        <v>294.75760211230596</v>
      </c>
      <c r="DZ105" s="54">
        <v>1.0001006142063733</v>
      </c>
      <c r="EA105" s="54">
        <v>2.2360679774997898</v>
      </c>
      <c r="EB105" s="54">
        <v>163.96712381800475</v>
      </c>
      <c r="EC105" s="54"/>
      <c r="ED105" s="54"/>
      <c r="EE105" s="54"/>
      <c r="EF105" s="54">
        <v>0.85</v>
      </c>
      <c r="EG105" s="54">
        <v>1</v>
      </c>
      <c r="EH105" s="54">
        <v>0.8552532261991721</v>
      </c>
      <c r="EI105" s="54">
        <v>0.8552532261991721</v>
      </c>
      <c r="EJ105" s="54"/>
      <c r="EK105" s="54">
        <v>721</v>
      </c>
      <c r="EL105" s="52">
        <v>792.6169156169592</v>
      </c>
      <c r="EM105" s="54"/>
      <c r="EN105" s="54"/>
      <c r="EO105" s="54">
        <v>14.311999279173566</v>
      </c>
      <c r="EP105" s="54"/>
      <c r="EQ105" s="54"/>
      <c r="ER105" s="54">
        <v>49.640709100495329</v>
      </c>
      <c r="ES105" s="54">
        <v>2.2360679774997898</v>
      </c>
      <c r="ET105" s="54">
        <v>3.7986766786874911E-2</v>
      </c>
      <c r="EU105" s="54"/>
      <c r="EV105" s="54"/>
      <c r="EW105" s="54">
        <v>3.7986766786874911E-2</v>
      </c>
      <c r="EX105" s="54">
        <v>6.0850917047470615E-2</v>
      </c>
      <c r="EY105" s="54">
        <v>4.6709708470067213</v>
      </c>
      <c r="EZ105" s="54">
        <v>10.669054933620055</v>
      </c>
      <c r="FA105" s="54">
        <v>16.959290899504666</v>
      </c>
      <c r="FB105" s="54">
        <v>22.200000000000003</v>
      </c>
      <c r="FC105" s="54">
        <v>1.3307058507295955E-5</v>
      </c>
      <c r="FD105" s="54">
        <v>14.095165070488884</v>
      </c>
      <c r="FE105" s="54">
        <v>294.72794829369235</v>
      </c>
      <c r="FF105" s="54"/>
      <c r="FG105" s="54"/>
      <c r="FH105" s="54"/>
      <c r="FI105" s="54"/>
      <c r="FJ105" s="54"/>
      <c r="FK105" s="54"/>
      <c r="FL105" s="54"/>
      <c r="FM105" s="54"/>
      <c r="FN105" s="58">
        <v>2.2000000000000002</v>
      </c>
      <c r="FO105" s="58">
        <v>1</v>
      </c>
      <c r="FP105" s="58">
        <v>2.2000000000000002</v>
      </c>
      <c r="FQ105" s="58">
        <v>1.6</v>
      </c>
      <c r="FR105" s="58">
        <v>2.2000000000000002</v>
      </c>
      <c r="FS105" s="58">
        <v>1.2</v>
      </c>
      <c r="FT105" s="58">
        <v>0</v>
      </c>
      <c r="FU105" s="58"/>
      <c r="FV105" s="54"/>
      <c r="FW105" s="54"/>
      <c r="FX105" s="54"/>
      <c r="FY105" s="54"/>
      <c r="FZ105" s="54"/>
      <c r="GA105" s="54"/>
      <c r="GB105" s="54"/>
      <c r="GC105" s="54"/>
      <c r="GD105" s="54"/>
      <c r="GE105" s="54">
        <v>1.25</v>
      </c>
      <c r="GF105" s="54">
        <v>0.4338950222651346</v>
      </c>
      <c r="GG105" s="54">
        <v>0.3</v>
      </c>
      <c r="GH105" s="54">
        <v>265.56493218066208</v>
      </c>
      <c r="GI105" s="54"/>
      <c r="GJ105" s="54"/>
      <c r="GK105" s="54"/>
      <c r="GL105" s="54"/>
      <c r="GM105" s="54"/>
    </row>
    <row r="106" spans="1:195" s="4" customFormat="1" ht="12" customHeight="1" x14ac:dyDescent="0.3">
      <c r="A106" s="25">
        <v>183</v>
      </c>
      <c r="B106" s="24" t="s">
        <v>128</v>
      </c>
      <c r="C106" s="24">
        <v>2017</v>
      </c>
      <c r="D106" s="24" t="s">
        <v>309</v>
      </c>
      <c r="E106" s="24"/>
      <c r="F106" s="109" t="s">
        <v>822</v>
      </c>
      <c r="G106" s="4" t="s">
        <v>317</v>
      </c>
      <c r="H106" s="5">
        <v>2.7020787380856599</v>
      </c>
      <c r="I106" s="86">
        <v>679</v>
      </c>
      <c r="J106" s="84">
        <v>88.8</v>
      </c>
      <c r="K106" s="7">
        <v>88.8</v>
      </c>
      <c r="L106" s="10">
        <v>129.9</v>
      </c>
      <c r="M106" s="80">
        <v>22.2</v>
      </c>
      <c r="N106" s="7">
        <v>4</v>
      </c>
      <c r="O106" s="7">
        <v>4</v>
      </c>
      <c r="P106" s="7">
        <v>366</v>
      </c>
      <c r="Q106" s="32">
        <v>1</v>
      </c>
      <c r="R106" s="7">
        <v>22.2</v>
      </c>
      <c r="S106" s="32">
        <v>1.3153153153153154</v>
      </c>
      <c r="T106" s="7">
        <v>29.200000000000003</v>
      </c>
      <c r="U106" s="32">
        <v>12.48648648648649</v>
      </c>
      <c r="V106" s="7">
        <v>277.20000000000005</v>
      </c>
      <c r="W106" s="7">
        <v>2</v>
      </c>
      <c r="X106" s="7">
        <v>2</v>
      </c>
      <c r="Y106" s="32">
        <v>2.6666666666666665</v>
      </c>
      <c r="Z106" s="10">
        <v>59.199999999999996</v>
      </c>
      <c r="AA106" s="7">
        <v>1.5</v>
      </c>
      <c r="AB106" s="7">
        <v>1.5</v>
      </c>
      <c r="AC106" s="7">
        <v>4</v>
      </c>
      <c r="AD106" s="7">
        <v>4</v>
      </c>
      <c r="AE106" s="7">
        <v>5</v>
      </c>
      <c r="AF106" s="7">
        <v>49.640709100495329</v>
      </c>
      <c r="AG106" s="7">
        <v>679</v>
      </c>
      <c r="AH106" s="7">
        <v>8</v>
      </c>
      <c r="AI106" s="7">
        <v>719</v>
      </c>
      <c r="AJ106" s="7"/>
      <c r="AK106" s="4">
        <v>2.4392924723483564</v>
      </c>
      <c r="AL106" s="7">
        <v>9.5</v>
      </c>
      <c r="AM106" s="7">
        <v>2</v>
      </c>
      <c r="AN106" s="7">
        <v>52</v>
      </c>
      <c r="AO106" s="7">
        <v>4</v>
      </c>
      <c r="AP106" s="7">
        <v>2</v>
      </c>
      <c r="AQ106" s="7">
        <v>0.88977955911823625</v>
      </c>
      <c r="AR106" s="4">
        <v>88.8</v>
      </c>
      <c r="AS106" s="4">
        <v>1.25</v>
      </c>
      <c r="AT106" s="4">
        <v>123.19645135939774</v>
      </c>
      <c r="AU106" s="4">
        <v>0.77499999999999991</v>
      </c>
      <c r="AV106" s="4">
        <v>1.25</v>
      </c>
      <c r="AW106" s="47">
        <v>1</v>
      </c>
      <c r="AX106" s="38">
        <v>149.18320281802067</v>
      </c>
      <c r="AY106" s="38">
        <v>149.18320281802067</v>
      </c>
      <c r="AZ106" s="38">
        <v>5.7111767066521422</v>
      </c>
      <c r="BA106" s="38">
        <v>163.96712381800475</v>
      </c>
      <c r="BB106" s="38">
        <v>0.90983606557377028</v>
      </c>
      <c r="BC106" s="38">
        <v>4.7533919108387535</v>
      </c>
      <c r="BD106" s="4">
        <v>0</v>
      </c>
      <c r="BE106" s="4">
        <v>239.94459194200661</v>
      </c>
      <c r="BF106" s="4">
        <v>1</v>
      </c>
      <c r="BG106" s="38">
        <v>779.40000000000009</v>
      </c>
      <c r="BH106" s="4">
        <v>0.44000000000000006</v>
      </c>
      <c r="BI106" s="4">
        <v>55.163261687467326</v>
      </c>
      <c r="BJ106" s="4">
        <v>834.56326168746739</v>
      </c>
      <c r="BL106" s="4">
        <v>1.4</v>
      </c>
      <c r="BM106" s="4">
        <v>670.16524529402443</v>
      </c>
      <c r="BO106" s="4">
        <v>747.53991440910613</v>
      </c>
      <c r="BP106" s="4">
        <v>3704.4961984911101</v>
      </c>
      <c r="BQ106" s="4">
        <v>4.9555831429005819</v>
      </c>
      <c r="BY106" s="4">
        <v>22.2</v>
      </c>
      <c r="CC106" s="9"/>
      <c r="CE106" s="9"/>
      <c r="CF106" s="9"/>
      <c r="CG106" s="9">
        <v>22.2</v>
      </c>
      <c r="CH106" s="9">
        <v>138.60000000000002</v>
      </c>
      <c r="CI106" s="9">
        <v>1.3161686388047049</v>
      </c>
      <c r="CJ106" s="70">
        <v>20</v>
      </c>
      <c r="CK106" s="9">
        <v>0.05</v>
      </c>
      <c r="CL106" s="9">
        <v>0.8</v>
      </c>
      <c r="CM106" s="9">
        <v>1</v>
      </c>
      <c r="CN106" s="9">
        <v>0.77100000000000002</v>
      </c>
      <c r="CO106" s="9">
        <v>3.0755797864386483</v>
      </c>
      <c r="CP106" s="9">
        <v>6.5084454902031403</v>
      </c>
      <c r="CQ106" s="9">
        <v>1</v>
      </c>
      <c r="CR106" s="9">
        <v>494.64185725543865</v>
      </c>
      <c r="CT106" s="4">
        <v>2.9965251318261785</v>
      </c>
      <c r="CU106" s="4">
        <v>0.86152845806583767</v>
      </c>
      <c r="CV106" s="4">
        <v>1.0728697213842386</v>
      </c>
      <c r="CW106" s="4">
        <v>1.4535769455286924</v>
      </c>
      <c r="CX106" s="44">
        <v>2.4392924723483564</v>
      </c>
      <c r="CY106" s="4">
        <v>1</v>
      </c>
      <c r="CZ106" s="4">
        <v>2.7074357826389104</v>
      </c>
      <c r="DH106" s="4">
        <v>2.9965251318261785</v>
      </c>
      <c r="DI106" s="4">
        <v>0.86152845806583767</v>
      </c>
      <c r="DJ106" s="4">
        <v>1.4535769455286924</v>
      </c>
      <c r="DK106" s="4">
        <v>2.7074357826389104</v>
      </c>
      <c r="DL106" s="4">
        <v>2.4392924723483564</v>
      </c>
      <c r="DM106" s="4">
        <v>1</v>
      </c>
      <c r="DO106" s="4">
        <v>2</v>
      </c>
      <c r="DP106" s="4">
        <v>88.8</v>
      </c>
      <c r="DS106" s="4">
        <v>1.3307058507295954E-5</v>
      </c>
      <c r="DT106" s="4">
        <v>14.311999279173566</v>
      </c>
      <c r="DU106" s="4">
        <v>6.0952635636320612E-2</v>
      </c>
      <c r="DV106" s="4">
        <v>4.6740924861367308</v>
      </c>
      <c r="DW106" s="4">
        <v>10.669704483239553</v>
      </c>
      <c r="DX106" s="4">
        <v>14.095102116091823</v>
      </c>
      <c r="DY106" s="38">
        <v>294.75760211230596</v>
      </c>
      <c r="DZ106" s="4">
        <v>1.0001006142063733</v>
      </c>
      <c r="EA106" s="4">
        <v>2.2360679774997898</v>
      </c>
      <c r="EB106" s="4">
        <v>163.96712381800475</v>
      </c>
      <c r="EF106" s="4">
        <v>0.85</v>
      </c>
      <c r="EG106" s="4">
        <v>1</v>
      </c>
      <c r="EH106" s="4">
        <v>0.8552532261991721</v>
      </c>
      <c r="EI106" s="4">
        <v>0.8552532261991721</v>
      </c>
      <c r="EK106" s="4">
        <v>719</v>
      </c>
      <c r="EL106" s="25">
        <v>792.6169156169592</v>
      </c>
      <c r="EO106" s="4">
        <v>14.311999279173566</v>
      </c>
      <c r="ER106" s="4">
        <v>49.640709100495329</v>
      </c>
      <c r="ES106" s="4">
        <v>2.2360679774997898</v>
      </c>
      <c r="ET106" s="4">
        <v>3.7986766786874911E-2</v>
      </c>
      <c r="EW106" s="4">
        <v>3.7986766786874911E-2</v>
      </c>
      <c r="EX106" s="4">
        <v>6.0850917047470615E-2</v>
      </c>
      <c r="EY106" s="4">
        <v>4.6709708470067213</v>
      </c>
      <c r="EZ106" s="4">
        <v>10.669054933620055</v>
      </c>
      <c r="FA106" s="4">
        <v>16.959290899504666</v>
      </c>
      <c r="FB106" s="4">
        <v>22.200000000000003</v>
      </c>
      <c r="FC106" s="4">
        <v>1.3307058507295955E-5</v>
      </c>
      <c r="FD106" s="4">
        <v>14.095165070488884</v>
      </c>
      <c r="FE106" s="4">
        <v>294.72794829369235</v>
      </c>
      <c r="FN106" s="23">
        <v>2.2000000000000002</v>
      </c>
      <c r="FO106" s="23">
        <v>1</v>
      </c>
      <c r="FP106" s="23">
        <v>2.2000000000000002</v>
      </c>
      <c r="FQ106" s="23">
        <v>1.6</v>
      </c>
      <c r="FR106" s="23">
        <v>2.2000000000000002</v>
      </c>
      <c r="FS106" s="23">
        <v>1.2</v>
      </c>
      <c r="FT106" s="23">
        <v>0</v>
      </c>
      <c r="FU106" s="23"/>
      <c r="GE106" s="4">
        <v>1.25</v>
      </c>
      <c r="GF106" s="4">
        <v>0.4338950222651346</v>
      </c>
      <c r="GG106" s="4">
        <v>0.3</v>
      </c>
      <c r="GH106" s="4">
        <v>265.56493218066208</v>
      </c>
    </row>
    <row r="107" spans="1:195" s="4" customFormat="1" ht="12" customHeight="1" x14ac:dyDescent="0.3">
      <c r="A107" s="25">
        <v>190</v>
      </c>
      <c r="B107" s="24" t="s">
        <v>128</v>
      </c>
      <c r="C107" s="24">
        <v>2017</v>
      </c>
      <c r="D107" s="24" t="s">
        <v>309</v>
      </c>
      <c r="E107" s="24"/>
      <c r="F107" s="109" t="s">
        <v>822</v>
      </c>
      <c r="G107" s="4" t="s">
        <v>322</v>
      </c>
      <c r="H107" s="5">
        <v>1.8863568548899892</v>
      </c>
      <c r="I107" s="7">
        <v>649</v>
      </c>
      <c r="J107" s="104">
        <v>127.2</v>
      </c>
      <c r="K107" s="7">
        <v>127.2</v>
      </c>
      <c r="L107" s="10">
        <v>129.9</v>
      </c>
      <c r="M107" s="21">
        <v>31.8</v>
      </c>
      <c r="N107" s="7">
        <v>4</v>
      </c>
      <c r="O107" s="7">
        <v>4</v>
      </c>
      <c r="P107" s="7">
        <v>396</v>
      </c>
      <c r="Q107" s="32">
        <v>1</v>
      </c>
      <c r="R107" s="7">
        <v>31.8</v>
      </c>
      <c r="S107" s="32">
        <v>1.3773584905660377</v>
      </c>
      <c r="T107" s="7">
        <v>43.8</v>
      </c>
      <c r="U107" s="32">
        <v>8.4528301886792434</v>
      </c>
      <c r="V107" s="7">
        <v>268.79999999999995</v>
      </c>
      <c r="W107" s="7">
        <v>2</v>
      </c>
      <c r="X107" s="7">
        <v>2</v>
      </c>
      <c r="Y107" s="32">
        <v>2.6666666666666665</v>
      </c>
      <c r="Z107" s="10">
        <v>84.8</v>
      </c>
      <c r="AA107" s="7">
        <v>1.5</v>
      </c>
      <c r="AB107" s="7">
        <v>1.5</v>
      </c>
      <c r="AC107" s="7">
        <v>4</v>
      </c>
      <c r="AD107" s="7">
        <v>4</v>
      </c>
      <c r="AE107" s="7">
        <v>5</v>
      </c>
      <c r="AF107" s="7">
        <v>71.106961684493314</v>
      </c>
      <c r="AG107" s="7">
        <v>649</v>
      </c>
      <c r="AH107" s="7">
        <v>11</v>
      </c>
      <c r="AI107" s="7">
        <v>724</v>
      </c>
      <c r="AJ107" s="7"/>
      <c r="AK107" s="4">
        <v>1.0904414032234904</v>
      </c>
      <c r="AL107" s="7">
        <v>12.7</v>
      </c>
      <c r="AM107" s="7">
        <v>2</v>
      </c>
      <c r="AN107" s="7">
        <v>64</v>
      </c>
      <c r="AO107" s="7">
        <v>4</v>
      </c>
      <c r="AP107" s="7">
        <v>2</v>
      </c>
      <c r="AQ107" s="7">
        <v>1.2694610778443116</v>
      </c>
      <c r="AR107" s="4">
        <v>127.2</v>
      </c>
      <c r="AS107" s="4">
        <v>1.0377358490566038</v>
      </c>
      <c r="AT107" s="4">
        <v>102.93453939452981</v>
      </c>
      <c r="AU107" s="4">
        <v>0.77499999999999991</v>
      </c>
      <c r="AV107" s="4">
        <v>1.25</v>
      </c>
      <c r="AW107" s="47">
        <v>5</v>
      </c>
      <c r="AX107" s="38">
        <v>517.40386104856509</v>
      </c>
      <c r="AY107" s="38">
        <v>517.40386104856509</v>
      </c>
      <c r="AZ107" s="38">
        <v>5.7111767066521422</v>
      </c>
      <c r="BA107" s="38">
        <v>517.40386104856543</v>
      </c>
      <c r="BB107" s="38">
        <v>0.99999999999999933</v>
      </c>
      <c r="BC107" s="38">
        <v>1.5063668029466883</v>
      </c>
      <c r="BD107" s="4">
        <v>0</v>
      </c>
      <c r="BE107" s="4">
        <v>239.94459194200661</v>
      </c>
      <c r="BF107" s="4">
        <v>1</v>
      </c>
      <c r="BG107" s="38">
        <v>779.40000000000009</v>
      </c>
      <c r="BH107" s="4">
        <v>0.44000000000000006</v>
      </c>
      <c r="BI107" s="4">
        <v>55.163261687467333</v>
      </c>
      <c r="BJ107" s="4">
        <v>834.56326168746739</v>
      </c>
      <c r="BL107" s="4">
        <v>1.4</v>
      </c>
      <c r="BM107" s="4">
        <v>670.16524529402443</v>
      </c>
      <c r="BO107" s="4">
        <v>747.53991440910613</v>
      </c>
      <c r="BP107" s="4">
        <v>711.96329095823319</v>
      </c>
      <c r="BQ107" s="4">
        <v>0.95240839617374207</v>
      </c>
      <c r="BY107" s="4">
        <v>31.8</v>
      </c>
      <c r="CC107" s="9"/>
      <c r="CE107" s="9"/>
      <c r="CF107" s="9"/>
      <c r="CG107" s="9">
        <v>31.8</v>
      </c>
      <c r="CH107" s="9">
        <v>134.39999999999998</v>
      </c>
      <c r="CI107" s="9">
        <v>1.2413544982455165</v>
      </c>
      <c r="CJ107" s="70">
        <v>20</v>
      </c>
      <c r="CK107" s="9">
        <v>0.05</v>
      </c>
      <c r="CL107" s="9">
        <v>0.8</v>
      </c>
      <c r="CM107" s="9">
        <v>0.93036607665491811</v>
      </c>
      <c r="CN107" s="9">
        <v>0.80099999999999993</v>
      </c>
      <c r="CO107" s="9">
        <v>2.9727542082721463</v>
      </c>
      <c r="CP107" s="9">
        <v>6.0684451752346353</v>
      </c>
      <c r="CQ107" s="9">
        <v>1</v>
      </c>
      <c r="CR107" s="9">
        <v>461.20183331783232</v>
      </c>
      <c r="CT107" s="4">
        <v>3.0173632759974316</v>
      </c>
      <c r="CU107" s="4">
        <v>0.86751961563235958</v>
      </c>
      <c r="CV107" s="4">
        <v>1.0803305678472723</v>
      </c>
      <c r="CW107" s="4">
        <v>1.5698116262713619</v>
      </c>
      <c r="CX107" s="44">
        <v>1.0904414032234904</v>
      </c>
      <c r="CY107" s="4">
        <v>1.1141268495754608</v>
      </c>
      <c r="CZ107" s="4">
        <v>3.0790396611328834</v>
      </c>
      <c r="DH107" s="4">
        <v>3.0173632759974316</v>
      </c>
      <c r="DI107" s="4">
        <v>0.86751961563235958</v>
      </c>
      <c r="DJ107" s="4">
        <v>1.5698116262713619</v>
      </c>
      <c r="DK107" s="4">
        <v>3.0790396611328834</v>
      </c>
      <c r="DL107" s="4">
        <v>1.0904414032234904</v>
      </c>
      <c r="DM107" s="4">
        <v>1.1141268495754608</v>
      </c>
      <c r="DO107" s="4">
        <v>2</v>
      </c>
      <c r="DP107" s="4">
        <v>127.2</v>
      </c>
      <c r="DS107" s="4">
        <v>1.3307058507295954E-5</v>
      </c>
      <c r="DT107" s="4">
        <v>12.467523847691927</v>
      </c>
      <c r="DU107" s="4">
        <v>0.2755113670422118</v>
      </c>
      <c r="DV107" s="4">
        <v>7.4445082625647387</v>
      </c>
      <c r="DW107" s="4">
        <v>10.269782738037188</v>
      </c>
      <c r="DX107" s="4">
        <v>12.145020230488436</v>
      </c>
      <c r="DY107" s="38">
        <v>663.95131169795957</v>
      </c>
      <c r="DZ107" s="4">
        <v>1.000074447522397</v>
      </c>
      <c r="EA107" s="4">
        <v>2.2360679774997898</v>
      </c>
      <c r="EB107" s="4">
        <v>517.40386104856543</v>
      </c>
      <c r="EF107" s="4">
        <v>0.85</v>
      </c>
      <c r="EG107" s="4">
        <v>1</v>
      </c>
      <c r="EH107" s="4">
        <v>0.88360329892013767</v>
      </c>
      <c r="EI107" s="4">
        <v>0.88360329892013767</v>
      </c>
      <c r="EK107" s="4">
        <v>649.83623747680167</v>
      </c>
      <c r="EL107" s="25">
        <v>500.22595130449861</v>
      </c>
      <c r="EO107" s="4">
        <v>12.467523847691927</v>
      </c>
      <c r="ER107" s="4">
        <v>71.106961684493314</v>
      </c>
      <c r="ES107" s="4">
        <v>2.2360679774997898</v>
      </c>
      <c r="ET107" s="4">
        <v>0.17170358488533044</v>
      </c>
      <c r="EW107" s="4">
        <v>0.17170358488533044</v>
      </c>
      <c r="EX107" s="4">
        <v>0.27505158991895695</v>
      </c>
      <c r="EY107" s="4">
        <v>7.43953637371893</v>
      </c>
      <c r="EZ107" s="4">
        <v>10.267989314750604</v>
      </c>
      <c r="FA107" s="4">
        <v>24.293038315506692</v>
      </c>
      <c r="FB107" s="4">
        <v>31.799999999999997</v>
      </c>
      <c r="FC107" s="4">
        <v>1.330705850729595E-5</v>
      </c>
      <c r="FD107" s="4">
        <v>12.145151302773725</v>
      </c>
      <c r="FE107" s="4">
        <v>663.90188584744351</v>
      </c>
      <c r="FN107" s="23">
        <v>2.2000000000000002</v>
      </c>
      <c r="FO107" s="23">
        <v>1</v>
      </c>
      <c r="FP107" s="23">
        <v>2.2000000000000002</v>
      </c>
      <c r="FQ107" s="23">
        <v>1.6</v>
      </c>
      <c r="FR107" s="23">
        <v>1.2</v>
      </c>
      <c r="FS107" s="23">
        <v>1.2</v>
      </c>
      <c r="FT107" s="23">
        <v>0</v>
      </c>
      <c r="FU107" s="23"/>
      <c r="GE107" s="4">
        <v>1.25</v>
      </c>
      <c r="GF107" s="4">
        <v>0.40944449644340308</v>
      </c>
      <c r="GG107" s="4">
        <v>0.3</v>
      </c>
      <c r="GH107" s="4">
        <v>235.13825077966541</v>
      </c>
    </row>
    <row r="108" spans="1:195" s="4" customFormat="1" ht="12" customHeight="1" x14ac:dyDescent="0.3">
      <c r="A108" s="25">
        <v>191</v>
      </c>
      <c r="B108" s="24" t="s">
        <v>128</v>
      </c>
      <c r="C108" s="24">
        <v>2017</v>
      </c>
      <c r="D108" s="24" t="s">
        <v>309</v>
      </c>
      <c r="E108" s="24"/>
      <c r="F108" s="109" t="s">
        <v>822</v>
      </c>
      <c r="G108" s="4" t="s">
        <v>323</v>
      </c>
      <c r="H108" s="5">
        <v>1.8863568548899892</v>
      </c>
      <c r="I108" s="7">
        <v>649</v>
      </c>
      <c r="J108" s="104">
        <v>127.2</v>
      </c>
      <c r="K108" s="7">
        <v>127.2</v>
      </c>
      <c r="L108" s="10">
        <v>129.9</v>
      </c>
      <c r="M108" s="21">
        <v>31.8</v>
      </c>
      <c r="N108" s="7">
        <v>4</v>
      </c>
      <c r="O108" s="7">
        <v>4</v>
      </c>
      <c r="P108" s="7">
        <v>396</v>
      </c>
      <c r="Q108" s="32">
        <v>1</v>
      </c>
      <c r="R108" s="7">
        <v>31.8</v>
      </c>
      <c r="S108" s="32">
        <v>1.3773584905660377</v>
      </c>
      <c r="T108" s="7">
        <v>43.8</v>
      </c>
      <c r="U108" s="32">
        <v>8.4528301886792434</v>
      </c>
      <c r="V108" s="7">
        <v>268.79999999999995</v>
      </c>
      <c r="W108" s="7">
        <v>2</v>
      </c>
      <c r="X108" s="7">
        <v>2</v>
      </c>
      <c r="Y108" s="32">
        <v>2.6666666666666665</v>
      </c>
      <c r="Z108" s="10">
        <v>84.8</v>
      </c>
      <c r="AA108" s="7">
        <v>1.5</v>
      </c>
      <c r="AB108" s="7">
        <v>1.5</v>
      </c>
      <c r="AC108" s="7">
        <v>4</v>
      </c>
      <c r="AD108" s="7">
        <v>4</v>
      </c>
      <c r="AE108" s="7">
        <v>5</v>
      </c>
      <c r="AF108" s="7">
        <v>71.106961684493314</v>
      </c>
      <c r="AG108" s="7">
        <v>649</v>
      </c>
      <c r="AH108" s="7">
        <v>11</v>
      </c>
      <c r="AI108" s="7">
        <v>722.5</v>
      </c>
      <c r="AJ108" s="7"/>
      <c r="AK108" s="4">
        <v>1.0881822014212317</v>
      </c>
      <c r="AL108" s="7">
        <v>12.7</v>
      </c>
      <c r="AM108" s="7">
        <v>2</v>
      </c>
      <c r="AN108" s="7">
        <v>64</v>
      </c>
      <c r="AO108" s="7">
        <v>4</v>
      </c>
      <c r="AP108" s="7">
        <v>2</v>
      </c>
      <c r="AQ108" s="7">
        <v>1.2694610778443116</v>
      </c>
      <c r="AR108" s="4">
        <v>127.2</v>
      </c>
      <c r="AS108" s="4">
        <v>1.0377358490566038</v>
      </c>
      <c r="AT108" s="4">
        <v>102.93453939452981</v>
      </c>
      <c r="AU108" s="4">
        <v>0.77499999999999991</v>
      </c>
      <c r="AV108" s="4">
        <v>1.25</v>
      </c>
      <c r="AW108" s="47">
        <v>5</v>
      </c>
      <c r="AX108" s="38">
        <v>517.40386104856509</v>
      </c>
      <c r="AY108" s="38">
        <v>517.40386104856509</v>
      </c>
      <c r="AZ108" s="38">
        <v>5.7111767066521422</v>
      </c>
      <c r="BA108" s="38">
        <v>517.40386104856543</v>
      </c>
      <c r="BB108" s="38">
        <v>0.99999999999999933</v>
      </c>
      <c r="BC108" s="38">
        <v>1.5063668029466883</v>
      </c>
      <c r="BD108" s="4">
        <v>0</v>
      </c>
      <c r="BE108" s="4">
        <v>239.94459194200661</v>
      </c>
      <c r="BF108" s="4">
        <v>1</v>
      </c>
      <c r="BG108" s="38">
        <v>779.40000000000009</v>
      </c>
      <c r="BH108" s="4">
        <v>0.44000000000000006</v>
      </c>
      <c r="BI108" s="4">
        <v>55.163261687467333</v>
      </c>
      <c r="BJ108" s="4">
        <v>834.56326168746739</v>
      </c>
      <c r="BL108" s="4">
        <v>1.4</v>
      </c>
      <c r="BM108" s="4">
        <v>670.16524529402443</v>
      </c>
      <c r="BO108" s="4">
        <v>747.53991440910613</v>
      </c>
      <c r="BP108" s="4">
        <v>711.96329095823319</v>
      </c>
      <c r="BQ108" s="4">
        <v>0.95240839617374207</v>
      </c>
      <c r="BY108" s="4">
        <v>31.8</v>
      </c>
      <c r="CC108" s="9"/>
      <c r="CE108" s="9"/>
      <c r="CF108" s="9"/>
      <c r="CG108" s="9">
        <v>31.8</v>
      </c>
      <c r="CH108" s="9">
        <v>134.39999999999998</v>
      </c>
      <c r="CI108" s="9">
        <v>1.2413544982455165</v>
      </c>
      <c r="CJ108" s="70">
        <v>20</v>
      </c>
      <c r="CK108" s="9">
        <v>0.05</v>
      </c>
      <c r="CL108" s="9">
        <v>0.8</v>
      </c>
      <c r="CM108" s="9">
        <v>0.93036607665491811</v>
      </c>
      <c r="CN108" s="9">
        <v>0.80099999999999993</v>
      </c>
      <c r="CO108" s="9">
        <v>2.9727542082721463</v>
      </c>
      <c r="CP108" s="9">
        <v>6.0684451752346353</v>
      </c>
      <c r="CQ108" s="9">
        <v>1</v>
      </c>
      <c r="CR108" s="9">
        <v>461.20183331783232</v>
      </c>
      <c r="CT108" s="4">
        <v>3.0111118327460558</v>
      </c>
      <c r="CU108" s="4">
        <v>0.86572226836240296</v>
      </c>
      <c r="CV108" s="4">
        <v>1.0780923139083622</v>
      </c>
      <c r="CW108" s="4">
        <v>1.5665592541174849</v>
      </c>
      <c r="CX108" s="44">
        <v>1.0881822014212317</v>
      </c>
      <c r="CY108" s="4">
        <v>1.111818575715843</v>
      </c>
      <c r="CZ108" s="4">
        <v>3.0726604353156195</v>
      </c>
      <c r="DH108" s="4">
        <v>3.0111118327460558</v>
      </c>
      <c r="DI108" s="4">
        <v>0.86572226836240296</v>
      </c>
      <c r="DJ108" s="4">
        <v>1.5665592541174849</v>
      </c>
      <c r="DK108" s="4">
        <v>3.0726604353156195</v>
      </c>
      <c r="DL108" s="4">
        <v>1.0881822014212317</v>
      </c>
      <c r="DM108" s="4">
        <v>1.111818575715843</v>
      </c>
      <c r="DO108" s="4">
        <v>2</v>
      </c>
      <c r="DP108" s="4">
        <v>127.2</v>
      </c>
      <c r="DS108" s="4">
        <v>1.3307058507295954E-5</v>
      </c>
      <c r="DT108" s="4">
        <v>12.467523847691927</v>
      </c>
      <c r="DU108" s="4">
        <v>0.2755113670422118</v>
      </c>
      <c r="DV108" s="4">
        <v>7.4445082625647387</v>
      </c>
      <c r="DW108" s="4">
        <v>10.269782738037188</v>
      </c>
      <c r="DX108" s="4">
        <v>12.145020230488436</v>
      </c>
      <c r="DY108" s="38">
        <v>663.95131169795957</v>
      </c>
      <c r="DZ108" s="4">
        <v>1.000074447522397</v>
      </c>
      <c r="EA108" s="4">
        <v>2.2360679774997898</v>
      </c>
      <c r="EB108" s="4">
        <v>517.40386104856543</v>
      </c>
      <c r="EF108" s="4">
        <v>0.85</v>
      </c>
      <c r="EG108" s="4">
        <v>1</v>
      </c>
      <c r="EH108" s="4">
        <v>0.88360329892013767</v>
      </c>
      <c r="EI108" s="4">
        <v>0.88360329892013767</v>
      </c>
      <c r="EK108" s="4">
        <v>649.83623747680167</v>
      </c>
      <c r="EL108" s="25">
        <v>500.22595130449861</v>
      </c>
      <c r="EO108" s="4">
        <v>12.467523847691927</v>
      </c>
      <c r="ER108" s="4">
        <v>71.106961684493314</v>
      </c>
      <c r="ES108" s="4">
        <v>2.2360679774997898</v>
      </c>
      <c r="ET108" s="4">
        <v>0.17170358488533044</v>
      </c>
      <c r="EW108" s="4">
        <v>0.17170358488533044</v>
      </c>
      <c r="EX108" s="4">
        <v>0.27505158991895695</v>
      </c>
      <c r="EY108" s="4">
        <v>7.43953637371893</v>
      </c>
      <c r="EZ108" s="4">
        <v>10.267989314750604</v>
      </c>
      <c r="FA108" s="4">
        <v>24.293038315506692</v>
      </c>
      <c r="FB108" s="4">
        <v>31.799999999999997</v>
      </c>
      <c r="FC108" s="4">
        <v>1.330705850729595E-5</v>
      </c>
      <c r="FD108" s="4">
        <v>12.145151302773725</v>
      </c>
      <c r="FE108" s="4">
        <v>663.90188584744351</v>
      </c>
      <c r="FN108" s="23">
        <v>2.2000000000000002</v>
      </c>
      <c r="FO108" s="23">
        <v>1</v>
      </c>
      <c r="FP108" s="23">
        <v>2.2000000000000002</v>
      </c>
      <c r="FQ108" s="23">
        <v>1.6</v>
      </c>
      <c r="FR108" s="23">
        <v>1.2</v>
      </c>
      <c r="FS108" s="23">
        <v>1.2</v>
      </c>
      <c r="FT108" s="23">
        <v>0</v>
      </c>
      <c r="FU108" s="23"/>
      <c r="GE108" s="4">
        <v>1.25</v>
      </c>
      <c r="GF108" s="4">
        <v>0.40944449644340308</v>
      </c>
      <c r="GG108" s="4">
        <v>0.3</v>
      </c>
      <c r="GH108" s="4">
        <v>235.13825077966541</v>
      </c>
    </row>
    <row r="109" spans="1:195" s="4" customFormat="1" ht="12" customHeight="1" x14ac:dyDescent="0.3">
      <c r="A109" s="25">
        <v>172</v>
      </c>
      <c r="B109" s="24" t="s">
        <v>128</v>
      </c>
      <c r="C109" s="24">
        <v>2017</v>
      </c>
      <c r="D109" s="24" t="s">
        <v>309</v>
      </c>
      <c r="E109" s="24"/>
      <c r="F109" s="109" t="s">
        <v>823</v>
      </c>
      <c r="G109" s="4" t="s">
        <v>179</v>
      </c>
      <c r="H109" s="5">
        <f>SQRT(L109)/(0.19*M109)</f>
        <v>0.5938543170843984</v>
      </c>
      <c r="I109" s="100">
        <v>583</v>
      </c>
      <c r="J109" s="7">
        <f>16*M109</f>
        <v>916.8</v>
      </c>
      <c r="K109" s="7">
        <f>J109</f>
        <v>916.8</v>
      </c>
      <c r="L109" s="21">
        <v>41.8</v>
      </c>
      <c r="M109" s="37">
        <v>57.3</v>
      </c>
      <c r="N109" s="7">
        <f>J109/M109</f>
        <v>16</v>
      </c>
      <c r="O109" s="7">
        <f>K109/M109</f>
        <v>16</v>
      </c>
      <c r="P109" s="7">
        <f>V109+2*R109+2*M109</f>
        <v>584.46</v>
      </c>
      <c r="Q109" s="32">
        <f>R109/M109</f>
        <v>1</v>
      </c>
      <c r="R109" s="7">
        <f>1*M109</f>
        <v>57.3</v>
      </c>
      <c r="S109" s="32">
        <f>T109/M109</f>
        <v>0.97731239092495636</v>
      </c>
      <c r="T109" s="7">
        <f>40+16</f>
        <v>56</v>
      </c>
      <c r="U109" s="32">
        <f>V109/M109</f>
        <v>6.2</v>
      </c>
      <c r="V109" s="122">
        <f>(7.2-1)*M109</f>
        <v>355.26</v>
      </c>
      <c r="W109" s="7">
        <v>2</v>
      </c>
      <c r="X109" s="7">
        <f>AM109</f>
        <v>0</v>
      </c>
      <c r="Y109" s="32">
        <f>Z109/M109</f>
        <v>8.5724258289703315</v>
      </c>
      <c r="Z109" s="7">
        <f>2/3*J109-0.5*240</f>
        <v>491.19999999999993</v>
      </c>
      <c r="AA109" s="7">
        <f>MIN(R109/M109+0.5, V109/2/M109+0.5)</f>
        <v>1.5</v>
      </c>
      <c r="AB109" s="7">
        <f>R109/M109+0.5</f>
        <v>1.5</v>
      </c>
      <c r="AC109" s="7">
        <f>2040/510</f>
        <v>4</v>
      </c>
      <c r="AD109" s="7">
        <f>2040/510</f>
        <v>4</v>
      </c>
      <c r="AE109" s="7">
        <f>AD109+1</f>
        <v>5</v>
      </c>
      <c r="AF109" s="7">
        <f>M109*AE109^0.5</f>
        <v>128.12669511073796</v>
      </c>
      <c r="AG109" s="7">
        <f>I109</f>
        <v>583</v>
      </c>
      <c r="AH109" s="7">
        <v>25</v>
      </c>
      <c r="AI109" s="7">
        <f>(510+510)/2</f>
        <v>510</v>
      </c>
      <c r="AJ109" s="7"/>
      <c r="AK109" s="4">
        <f>CX109</f>
        <v>2.325406451015338</v>
      </c>
      <c r="AL109" s="7">
        <v>0</v>
      </c>
      <c r="AM109" s="7">
        <v>0</v>
      </c>
      <c r="AN109" s="7">
        <f>K109</f>
        <v>916.8</v>
      </c>
      <c r="AO109" s="7"/>
      <c r="AP109" s="7"/>
      <c r="AQ109" s="7">
        <f>3*AR109/(V109+M109)</f>
        <v>6.6666666666666661</v>
      </c>
      <c r="AR109" s="4">
        <f>J109</f>
        <v>916.8</v>
      </c>
      <c r="AS109" s="4">
        <f>IF(J109*3&gt;V109+M109, P109, (R109+M109/2)*2+1.5*J109*(2*W109-2))*(3*J109)/(9*J109^2)</f>
        <v>0.21250000000000002</v>
      </c>
      <c r="AT109" s="4">
        <f>MIN(10*L109^0.5*J109^1.5,100*3.9*L109^0.5*J109^(5/3))/(PI()/4*M109^2)/W109</f>
        <v>347.99333558360394</v>
      </c>
      <c r="AU109" s="4">
        <f>MIN(0.7+0.3*(MIN(R109,Z109)+0.5*M109)/1.5/J109,1)</f>
        <v>0.71875</v>
      </c>
      <c r="AV109" s="4">
        <v>1.25</v>
      </c>
      <c r="AW109" s="4">
        <f>AW108</f>
        <v>5</v>
      </c>
      <c r="AX109" s="38">
        <f>AS109*AU109*AV109*AW109*AT109</f>
        <v>332.19090384079379</v>
      </c>
      <c r="AY109" s="38">
        <f>AX109</f>
        <v>332.19090384079379</v>
      </c>
      <c r="AZ109" s="38">
        <f>IF(L109&lt;50, 0.3*L109^(2/3), 2.12*LN(1+0.1*(L109+8)))</f>
        <v>3.613311826901703</v>
      </c>
      <c r="BA109" s="38">
        <f>AW109* (L109^0.5/AR109^0.5)/(PI()/4*M109^2)/W109/0.72 *(0.7+(MIN(R109,Z109)+0.5*M109)/5/J109) *(3*P109*J109)</f>
        <v>332.19090384079385</v>
      </c>
      <c r="BB109" s="38">
        <f>AX109/BA109</f>
        <v>0.99999999999999978</v>
      </c>
      <c r="BC109" s="38">
        <f>BG109/BA109</f>
        <v>0.75498756016570112</v>
      </c>
      <c r="BD109" s="4">
        <f>IF(BC109&lt;1,1,0)</f>
        <v>1</v>
      </c>
      <c r="BE109" s="4">
        <f>K109/M109*L109^0.5/0.19</f>
        <v>544.4456379029765</v>
      </c>
      <c r="BF109" s="4">
        <f>MIN(0.6+0.4*(AB109/AA109),2)</f>
        <v>1</v>
      </c>
      <c r="BG109" s="38">
        <f>2*L109*AA109*AC109^0.5*BF109*0.7/0.7</f>
        <v>250.79999999999998</v>
      </c>
      <c r="BH109" s="4">
        <f>MAX(1-0.7*AD109/5,0.3)</f>
        <v>0.44000000000000006</v>
      </c>
      <c r="BI109" s="4">
        <f>BH109*I109*K109/(I109*M109/2.75/L109^0.5)</f>
        <v>125.16805215389429</v>
      </c>
      <c r="BJ109" s="4">
        <f>BG109+BI109</f>
        <v>375.96805215389429</v>
      </c>
      <c r="BL109" s="4">
        <f>MIN(1.5, 0.75+0.25*MIN(3,MAX(1,R109/M109))+0.4*MIN(1,(40*2*PI()*AL109^2/4/AN109/W109)/M109))</f>
        <v>1</v>
      </c>
      <c r="BM109" s="4">
        <f>(3*O109+30)*BL109*L109^0.5</f>
        <v>504.29277210763195</v>
      </c>
      <c r="BO109" s="4">
        <f>3.4/PI()^0.5*L109*AA109*AD109^0.5*BF109</f>
        <v>240.54787084142137</v>
      </c>
      <c r="BP109" s="4">
        <f>8/3*AG109*AH109^2/(AF109-M109-22)/M109*(AF109^2-M109^2)/(AF109^2-(M109+22)^2)</f>
        <v>450.3525339151019</v>
      </c>
      <c r="BQ109" s="4">
        <f>BP109/BO109</f>
        <v>1.8721950534826892</v>
      </c>
      <c r="BY109" s="4">
        <f>IF(V109=0,R109,MIN(V109/2,R109))</f>
        <v>57.3</v>
      </c>
      <c r="CC109" s="9"/>
      <c r="CE109" s="9"/>
      <c r="CF109" s="9"/>
      <c r="CG109" s="9">
        <f>IF(V109=0,MIN(R109,T109),MIN(V109/2,R109,T109))</f>
        <v>56</v>
      </c>
      <c r="CH109" s="9">
        <f>MAX(V109/2,R109)</f>
        <v>177.63</v>
      </c>
      <c r="CI109" s="9">
        <f>(CG109/M109)^0.5*(CH109/CG109)^0.15</f>
        <v>1.1754818988273255</v>
      </c>
      <c r="CJ109" s="70">
        <v>0</v>
      </c>
      <c r="CK109" s="9">
        <f>MIN(PI()*AL109^2/4*AM109*2/W109/M109/MAX(0.01,AN109),0.05)</f>
        <v>0</v>
      </c>
      <c r="CL109" s="9">
        <f>MAX(0,CJ109*(CK109-0.5/50))</f>
        <v>0</v>
      </c>
      <c r="CM109" s="9">
        <f>MIN(1,(25/M109)^0.3)</f>
        <v>0.77971450958075206</v>
      </c>
      <c r="CN109" s="9">
        <f>IF(I109&gt;=800,0.68,IF(I109&gt;=700,0.75-(I109-700)*0.07/100,IF(I109&gt;=600,0.85-(I109-600)*0.1/100,IF(I109&gt;=500,1-(I109-500)*0.15/100,1.2-(I109-400)*0.2/100))))</f>
        <v>0.87549999999999994</v>
      </c>
      <c r="CO109" s="9">
        <f>1.75*CM109*CN109*(L109/25)^0.5</f>
        <v>1.5447135341285001</v>
      </c>
      <c r="CP109" s="9">
        <f>MIN((CI109+CL109)*CO109,2.5*CO109,L109^0.5)</f>
        <v>1.8157827982416379</v>
      </c>
      <c r="CQ109" s="9">
        <v>1</v>
      </c>
      <c r="CR109" s="9">
        <f>4*CP109*O109+60*CP109</f>
        <v>225.15706698196311</v>
      </c>
      <c r="CT109" s="4">
        <f>AI109/BE109</f>
        <v>0.9367326404971309</v>
      </c>
      <c r="CU109" s="4">
        <f>AI109/BJ109</f>
        <v>1.3564982372258658</v>
      </c>
      <c r="CV109" s="4">
        <f>AI109/BM109</f>
        <v>1.0113172906851617</v>
      </c>
      <c r="CW109" s="4">
        <f>AI109/CR109</f>
        <v>2.265085466053149</v>
      </c>
      <c r="CX109" s="4">
        <f>AI109/DY109</f>
        <v>2.325406451015338</v>
      </c>
      <c r="CY109" s="4">
        <f>AI109/EK109</f>
        <v>1.2140631955584191</v>
      </c>
      <c r="CZ109" s="4">
        <f>AI109/GH109</f>
        <v>1.27455209712855</v>
      </c>
      <c r="DB109" s="4">
        <f>CT109</f>
        <v>0.9367326404971309</v>
      </c>
      <c r="DC109" s="4">
        <f>CU109</f>
        <v>1.3564982372258658</v>
      </c>
      <c r="DD109" s="4">
        <f>CW109</f>
        <v>2.265085466053149</v>
      </c>
      <c r="DE109" s="4">
        <f>CZ109</f>
        <v>1.27455209712855</v>
      </c>
      <c r="DF109" s="4">
        <f>CX109</f>
        <v>2.325406451015338</v>
      </c>
      <c r="DG109" s="4">
        <f>CY109</f>
        <v>1.2140631955584191</v>
      </c>
      <c r="DO109" s="4">
        <f>AM109</f>
        <v>0</v>
      </c>
      <c r="DP109" s="4">
        <f>K109</f>
        <v>916.8</v>
      </c>
      <c r="DS109" s="4">
        <f>J109/4/(1-0.3*(L109/30)^0.5)/200000/M109</f>
        <v>3.0965438467699871E-5</v>
      </c>
      <c r="DT109" s="4">
        <f>EO109</f>
        <v>5.3117793628877328</v>
      </c>
      <c r="DU109" s="4">
        <f>EB109*AF109/257/L109/AC109</f>
        <v>0</v>
      </c>
      <c r="DV109" s="4">
        <f>DT109*DU109^0.4</f>
        <v>0</v>
      </c>
      <c r="DW109" s="4">
        <f>MIN(DT109, DT109/1.4*(1-DU109^1.4)/(1-DU109))</f>
        <v>3.7941281163483809</v>
      </c>
      <c r="DX109" s="4">
        <f>MAX(DT109/2, (4-DS109*(8*AF109*(DV109-DW109)+6*J109*DW109))/(4+DS109*J109*DT109)*DT109)</f>
        <v>4.4458788916299135</v>
      </c>
      <c r="DY109" s="38">
        <f>MIN(1/M109*(4*AF109*(DV109-DW109)+(3*DW109+DX109)*J109)+EB109 -FI109,MAX(I109,AI109))</f>
        <v>219.31649831680807</v>
      </c>
      <c r="DZ109" s="4">
        <f>DY109/FE109</f>
        <v>1.0846978188193588</v>
      </c>
      <c r="EA109" s="4">
        <f>AF109/M109</f>
        <v>2.2360679774997898</v>
      </c>
      <c r="EB109" s="4">
        <f>MIN(EA$10*BA109)</f>
        <v>0</v>
      </c>
      <c r="EF109" s="4">
        <f>IF(T109&gt;1*M109,0.85,1)</f>
        <v>1</v>
      </c>
      <c r="EG109" s="4">
        <f>MIN(1,MAX(0.7,(1-0.1*(BY109-1*M109)/M109)))</f>
        <v>1</v>
      </c>
      <c r="EH109" s="4">
        <f>MIN(1,MAX(0.7,1-0.3*(PI()*AL109^2/4*AP109*2-0.25*PI()/4*M109^2)/(PI()/4*M109^2)))</f>
        <v>1</v>
      </c>
      <c r="EI109" s="4">
        <f>IF(EG109*EH109&lt;0.7,0.7,EG109*EH109)</f>
        <v>1</v>
      </c>
      <c r="EK109" s="4">
        <f>MIN(DT109/M109*3*J109+EL109-FI109,MAX(I109,AI109))</f>
        <v>420.07697940750188</v>
      </c>
      <c r="EL109" s="25">
        <f>13.3*P109*J109^0.5*L109^0.5/W109/M109^2*(0.7+R109/5/J109)</f>
        <v>165.11156998889066</v>
      </c>
      <c r="EO109" s="4">
        <f>IF(M109&lt;22.2,1.1*5*(L109/30)^0.5,IF(M109&gt;=31.8,0.9*5*(L109/30)^0.5,1*5*(L109/30)^0.5))/EF109/EI109</f>
        <v>5.3117793628877328</v>
      </c>
      <c r="ER109" s="4">
        <f>ES109*M109</f>
        <v>128.12669511073796</v>
      </c>
      <c r="ES109" s="4">
        <f>AE109^0.5</f>
        <v>2.2360679774997898</v>
      </c>
      <c r="ET109" s="4">
        <f>MIN(EB109)/(4700*L109^0.5)/AD109*ER109</f>
        <v>0</v>
      </c>
      <c r="EW109" s="4">
        <f>ET109</f>
        <v>0</v>
      </c>
      <c r="EX109" s="4">
        <f>MIN(0.999, EW109/(0.3*(L109/30)^0.5))</f>
        <v>0</v>
      </c>
      <c r="EY109" s="4">
        <f>EO109/1*EX109^0.4</f>
        <v>0</v>
      </c>
      <c r="EZ109" s="4">
        <f>EO109/1.4*(1-EX109^1.4)/(1-EX109)</f>
        <v>3.7941281163483809</v>
      </c>
      <c r="FA109" s="4">
        <f>MAX(0,DP109*FA$9-ER109)</f>
        <v>0</v>
      </c>
      <c r="FB109" s="4">
        <f>MAX(0,DP109-ER109-FA109)</f>
        <v>788.673304889262</v>
      </c>
      <c r="FC109" s="4">
        <f>FB109/(1-0.3*(L109/30)^0.5)/200000/M109</f>
        <v>1.0655154752908353E-4</v>
      </c>
      <c r="FD109" s="4">
        <f>MAX(0.5*EO109, (1-2*FC109*(ER109*EY109+FA109*EZ109))/(1/EO109+FC109*FB109))</f>
        <v>3.6724849603953902</v>
      </c>
      <c r="FE109" s="4">
        <f>MIN(4/M109*(1*EY109*ER109+EZ109*FA109+FB109*FD109)+EB109,MAX(I109,AI109))</f>
        <v>202.19133339414611</v>
      </c>
      <c r="FN109" s="23">
        <f>IF(CT109&lt;0.6,0.6,IF(CT109&lt;0.8,0.8,IF(CT109&lt;1,1,IF(CT109&lt;1.2,1.2,IF(CT109&lt;1.4,1.4,IF(CT109&lt;1.6,1.6,IF(CT109&lt;1.8,1.8,IF(CT109&lt;2,2,2.2))))))))</f>
        <v>1</v>
      </c>
      <c r="FO109" s="23">
        <f>IF(CU109&lt;0.6,0.6,IF(CU109&lt;0.8,0.8,IF(CU109&lt;1,1,IF(CU109&lt;1.2,1.2,IF(CU109&lt;1.4,1.4,IF(CU109&lt;1.6,1.6,IF(CU109&lt;1.8,1.8,IF(CU109&lt;2,2,2.2))))))))</f>
        <v>1.4</v>
      </c>
      <c r="FP109" s="23">
        <f>IF(CZ109&lt;0.6,0.6,IF(CZ109&lt;0.8,0.8,IF(CZ109&lt;1,1,IF(CZ109&lt;1.2,1.2,IF(CZ109&lt;1.4,1.4,IF(CZ109&lt;1.6,1.6,IF(CZ109&lt;1.8,1.8,IF(CZ109&lt;2,2,2.2))))))))</f>
        <v>1.4</v>
      </c>
      <c r="FQ109" s="23">
        <f>IF(CW109&lt;0.6,0.6,IF(CW109&lt;0.8,0.8,IF(CW109&lt;1,1,IF(CW109&lt;1.2,1.2,IF(CW109&lt;1.4,1.4,IF(CW109&lt;1.6,1.6,IF(CW109&lt;1.8,1.8,IF(CW109&lt;2,2,2.2))))))))</f>
        <v>2.2000000000000002</v>
      </c>
      <c r="FR109" s="23">
        <f>IF(CX109&lt;0.6,0.6,IF(CX109&lt;0.8,0.8,IF(CX109&lt;1,1,IF(CX109&lt;1.2,1.2,IF(CX109&lt;1.4,1.4,IF(CX109&lt;1.6,1.6,IF(CX109&lt;1.8,1.8,IF(CX109&lt;2,2,2.2))))))))</f>
        <v>2.2000000000000002</v>
      </c>
      <c r="FS109" s="23">
        <f>IF(CY109&lt;0.6,0.6,IF(CY109&lt;0.8,0.8,IF(CY109&lt;1,1,IF(CY109&lt;1.2,1.2,IF(CY109&lt;1.4,1.4,IF(CY109&lt;1.6,1.6,IF(CY109&lt;1.8,1.8,IF(CY109&lt;2,2,2.2))))))))</f>
        <v>1.4</v>
      </c>
      <c r="FT109" s="23">
        <f>IF(FR109&lt;1,1,0)</f>
        <v>0</v>
      </c>
      <c r="FU109" s="23"/>
      <c r="GE109" s="4">
        <f>IF(R109&gt;=2.5*25.4,1,1.25)</f>
        <v>1.25</v>
      </c>
      <c r="GF109" s="4">
        <f>IF(AN109&gt;1, 0.05*(18-MIN(8,(V109+M109)/M109))*(1-48000/MAX(60000,(I109*145))*(M109/25.4)^0.75*GG109), 1/12*(14-MIN(8,(V109+M109)/M109)))</f>
        <v>0.54</v>
      </c>
      <c r="GG109" s="4">
        <f>MIN(0.3, AL109^2*PI()/4*2*AO109/(M109^2*PI()/4*W109))</f>
        <v>0</v>
      </c>
      <c r="GH109" s="4">
        <f>(J109/25.4)/(M109/25.4)^1.5/0.0024*(L109*145)^0.25/GE109/GF109/145</f>
        <v>400.14056792890898</v>
      </c>
    </row>
    <row r="110" spans="1:195" s="4" customFormat="1" ht="12" customHeight="1" x14ac:dyDescent="0.3">
      <c r="A110" s="25">
        <v>173</v>
      </c>
      <c r="B110" s="24" t="s">
        <v>128</v>
      </c>
      <c r="C110" s="24">
        <v>2017</v>
      </c>
      <c r="D110" s="24" t="s">
        <v>309</v>
      </c>
      <c r="E110" s="24"/>
      <c r="F110" s="109" t="s">
        <v>823</v>
      </c>
      <c r="G110" s="4" t="s">
        <v>180</v>
      </c>
      <c r="H110" s="5">
        <f>SQRT(L110)/(0.19*M110)</f>
        <v>0.5938543170843984</v>
      </c>
      <c r="I110" s="100">
        <v>583</v>
      </c>
      <c r="J110" s="7">
        <f>16*M110</f>
        <v>916.8</v>
      </c>
      <c r="K110" s="7">
        <f>J110</f>
        <v>916.8</v>
      </c>
      <c r="L110" s="21">
        <v>41.8</v>
      </c>
      <c r="M110" s="37">
        <v>57.3</v>
      </c>
      <c r="N110" s="7">
        <f>J110/M110</f>
        <v>16</v>
      </c>
      <c r="O110" s="7">
        <f>K110/M110</f>
        <v>16</v>
      </c>
      <c r="P110" s="7">
        <f>V110+2*R110+2*M110</f>
        <v>699.06000000000006</v>
      </c>
      <c r="Q110" s="32">
        <f>R110/M110</f>
        <v>2</v>
      </c>
      <c r="R110" s="7">
        <f>2*M110</f>
        <v>114.6</v>
      </c>
      <c r="S110" s="32">
        <f>T110/M110</f>
        <v>0.97731239092495636</v>
      </c>
      <c r="T110" s="7">
        <f>40+16</f>
        <v>56</v>
      </c>
      <c r="U110" s="32">
        <f>V110/M110</f>
        <v>6.2</v>
      </c>
      <c r="V110" s="122">
        <f>(7.2-1)*M110</f>
        <v>355.26</v>
      </c>
      <c r="W110" s="7">
        <v>2</v>
      </c>
      <c r="X110" s="7">
        <f>AM110</f>
        <v>0</v>
      </c>
      <c r="Y110" s="32">
        <f>Z110/M110</f>
        <v>8.5724258289703315</v>
      </c>
      <c r="Z110" s="7">
        <f>2/3*J110-0.5*240</f>
        <v>491.19999999999993</v>
      </c>
      <c r="AA110" s="7">
        <f>MIN(R110/M110+0.5, V110/2/M110+0.5)</f>
        <v>2.5</v>
      </c>
      <c r="AB110" s="7">
        <f>R110/M110+0.5</f>
        <v>2.5</v>
      </c>
      <c r="AC110" s="7">
        <f>2040/510</f>
        <v>4</v>
      </c>
      <c r="AD110" s="7">
        <f>2040/510</f>
        <v>4</v>
      </c>
      <c r="AE110" s="7">
        <f>AD110+1</f>
        <v>5</v>
      </c>
      <c r="AF110" s="7">
        <f>M110*AE110^0.5</f>
        <v>128.12669511073796</v>
      </c>
      <c r="AG110" s="7">
        <f>I110</f>
        <v>583</v>
      </c>
      <c r="AH110" s="7">
        <v>25</v>
      </c>
      <c r="AI110" s="7">
        <f>(588+588)/2</f>
        <v>588</v>
      </c>
      <c r="AJ110" s="7"/>
      <c r="AK110" s="4">
        <f>CX110</f>
        <v>2.4293169668884462</v>
      </c>
      <c r="AL110" s="7">
        <v>0</v>
      </c>
      <c r="AM110" s="7">
        <v>0</v>
      </c>
      <c r="AN110" s="7">
        <f>K110</f>
        <v>916.8</v>
      </c>
      <c r="AO110" s="7"/>
      <c r="AP110" s="7"/>
      <c r="AQ110" s="7">
        <f>3*AR110/(V110+M110)</f>
        <v>6.6666666666666661</v>
      </c>
      <c r="AR110" s="4">
        <f>J110</f>
        <v>916.8</v>
      </c>
      <c r="AS110" s="4">
        <f>IF(J110*3&gt;V110+M110, P110, (R110+M110/2)*2+1.5*J110*(2*W110-2))*(3*J110)/(9*J110^2)</f>
        <v>0.25416666666666665</v>
      </c>
      <c r="AT110" s="4">
        <f>MIN(10*L110^0.5*J110^1.5,100*3.9*L110^0.5*J110^(5/3))/(PI()/4*M110^2)/W110</f>
        <v>347.99333558360394</v>
      </c>
      <c r="AU110" s="4">
        <f>MIN(0.7+0.3*(MIN(R110,Z110)+0.5*M110)/1.5/J110,1)</f>
        <v>0.73124999999999996</v>
      </c>
      <c r="AV110" s="4">
        <v>1.25</v>
      </c>
      <c r="AW110" s="4">
        <f>AW109</f>
        <v>5</v>
      </c>
      <c r="AX110" s="38">
        <f>AS110*AU110*AV110*AW110*AT110</f>
        <v>404.23639909833673</v>
      </c>
      <c r="AY110" s="38">
        <f>AX110</f>
        <v>404.23639909833673</v>
      </c>
      <c r="AZ110" s="38">
        <f>IF(L110&lt;50, 0.3*L110^(2/3), 2.12*LN(1+0.1*(L110+8)))</f>
        <v>3.613311826901703</v>
      </c>
      <c r="BA110" s="38">
        <f>AW110* (L110^0.5/AR110^0.5)/(PI()/4*M110^2)/W110/0.72 *(0.7+(MIN(R110,Z110)+0.5*M110)/5/J110) *(3*P110*J110)</f>
        <v>404.23639909833685</v>
      </c>
      <c r="BB110" s="38">
        <f>AX110/BA110</f>
        <v>0.99999999999999967</v>
      </c>
      <c r="BC110" s="38">
        <f>BG110/BA110</f>
        <v>1.0340483957712945</v>
      </c>
      <c r="BD110" s="4">
        <f>IF(BC110&lt;1,1,0)</f>
        <v>0</v>
      </c>
      <c r="BE110" s="4">
        <f>K110/M110*L110^0.5/0.19</f>
        <v>544.4456379029765</v>
      </c>
      <c r="BF110" s="4">
        <f>MIN(0.6+0.4*(AB110/AA110),2)</f>
        <v>1</v>
      </c>
      <c r="BG110" s="38">
        <f>2*L110*AA110*AC110^0.5*BF110*0.7/0.7</f>
        <v>418</v>
      </c>
      <c r="BH110" s="4">
        <f>MAX(1-0.7*AD110/5,0.3)</f>
        <v>0.44000000000000006</v>
      </c>
      <c r="BI110" s="4">
        <f>BH110*I110*K110/(I110*M110/2.75/L110^0.5)</f>
        <v>125.16805215389429</v>
      </c>
      <c r="BJ110" s="4">
        <f>BG110+BI110</f>
        <v>543.16805215389434</v>
      </c>
      <c r="BL110" s="4">
        <f>MIN(1.5, 0.75+0.25*MIN(3,MAX(1,R110/M110))+0.4*MIN(1,(40*2*PI()*AL110^2/4/AN110/W110)/M110))</f>
        <v>1.25</v>
      </c>
      <c r="BM110" s="4">
        <f>(3*O110+30)*BL110*L110^0.5</f>
        <v>630.36596513453992</v>
      </c>
      <c r="BO110" s="4">
        <f>3.4/PI()^0.5*L110*AA110*AD110^0.5*BF110</f>
        <v>400.91311806903559</v>
      </c>
      <c r="BP110" s="4">
        <f>8/3*AG110*AH110^2/(AF110-M110-22)/M110*(AF110^2-M110^2)/(AF110^2-(M110+22)^2)</f>
        <v>450.3525339151019</v>
      </c>
      <c r="BQ110" s="4">
        <f>BP110/BO110</f>
        <v>1.1233170320896135</v>
      </c>
      <c r="BY110" s="4">
        <f>IF(V110=0,R110,MIN(V110/2,R110))</f>
        <v>114.6</v>
      </c>
      <c r="CC110" s="9"/>
      <c r="CE110" s="9"/>
      <c r="CF110" s="9"/>
      <c r="CG110" s="9">
        <f>IF(V110=0,MIN(R110,T110),MIN(V110/2,R110,T110))</f>
        <v>56</v>
      </c>
      <c r="CH110" s="9">
        <f>MAX(V110/2,R110)</f>
        <v>177.63</v>
      </c>
      <c r="CI110" s="9">
        <f>(CG110/M110)^0.5*(CH110/CG110)^0.15</f>
        <v>1.1754818988273255</v>
      </c>
      <c r="CJ110" s="70">
        <v>0</v>
      </c>
      <c r="CK110" s="9">
        <f>MIN(PI()*AL110^2/4*AM110*2/W110/M110/MAX(0.01,AN110),0.05)</f>
        <v>0</v>
      </c>
      <c r="CL110" s="9">
        <f>MAX(0,CJ110*(CK110-0.5/50))</f>
        <v>0</v>
      </c>
      <c r="CM110" s="9">
        <f>MIN(1,(25/M110)^0.3)</f>
        <v>0.77971450958075206</v>
      </c>
      <c r="CN110" s="9">
        <f>IF(I110&gt;=800,0.68,IF(I110&gt;=700,0.75-(I110-700)*0.07/100,IF(I110&gt;=600,0.85-(I110-600)*0.1/100,IF(I110&gt;=500,1-(I110-500)*0.15/100,1.2-(I110-400)*0.2/100))))</f>
        <v>0.87549999999999994</v>
      </c>
      <c r="CO110" s="9">
        <f>1.75*CM110*CN110*(L110/25)^0.5</f>
        <v>1.5447135341285001</v>
      </c>
      <c r="CP110" s="9">
        <f>MIN((CI110+CL110)*CO110,2.5*CO110,L110^0.5)</f>
        <v>1.8157827982416379</v>
      </c>
      <c r="CQ110" s="9">
        <v>1</v>
      </c>
      <c r="CR110" s="9">
        <f>4*CP110*O110+60*CP110</f>
        <v>225.15706698196311</v>
      </c>
      <c r="CT110" s="4">
        <f>AI110/BE110</f>
        <v>1.0799976325731626</v>
      </c>
      <c r="CU110" s="4">
        <f>AI110/BJ110</f>
        <v>1.0825378953499341</v>
      </c>
      <c r="CV110" s="4">
        <f>AI110/BM110</f>
        <v>0.93279147752607849</v>
      </c>
      <c r="CW110" s="4">
        <f>AI110/CR110</f>
        <v>2.6115103020377481</v>
      </c>
      <c r="CX110" s="4">
        <f>AI110/DY110</f>
        <v>2.4293169668884462</v>
      </c>
      <c r="CY110" s="4">
        <f>AI110/EK110</f>
        <v>1.2142589675863487</v>
      </c>
      <c r="CZ110" s="4">
        <f>AI110/GH110</f>
        <v>1.1755868754691567</v>
      </c>
      <c r="DB110" s="4">
        <f>CT110</f>
        <v>1.0799976325731626</v>
      </c>
      <c r="DC110" s="4">
        <f>CU110</f>
        <v>1.0825378953499341</v>
      </c>
      <c r="DD110" s="4">
        <f>CW110</f>
        <v>2.6115103020377481</v>
      </c>
      <c r="DE110" s="4">
        <f>CZ110</f>
        <v>1.1755868754691567</v>
      </c>
      <c r="DF110" s="4">
        <f>CX110</f>
        <v>2.4293169668884462</v>
      </c>
      <c r="DG110" s="4">
        <f>CY110</f>
        <v>1.2142589675863487</v>
      </c>
      <c r="DO110" s="4">
        <f>AM110</f>
        <v>0</v>
      </c>
      <c r="DP110" s="4">
        <f>K110</f>
        <v>916.8</v>
      </c>
      <c r="DS110" s="4">
        <f>J110/4/(1-0.3*(L110/30)^0.5)/200000/M110</f>
        <v>3.0965438467699871E-5</v>
      </c>
      <c r="DT110" s="4">
        <f>EO110</f>
        <v>5.9019770698752589</v>
      </c>
      <c r="DU110" s="4">
        <f>EB110*AF110/257/L110/AC110</f>
        <v>0</v>
      </c>
      <c r="DV110" s="4">
        <f>DT110*DU110^0.4</f>
        <v>0</v>
      </c>
      <c r="DW110" s="4">
        <f>MIN(DT110, DT110/1.4*(1-DU110^1.4)/(1-DU110))</f>
        <v>4.215697907053757</v>
      </c>
      <c r="DX110" s="4">
        <f>MAX(DT110/2, (4-DS110*(8*AF110*(DV110-DW110)+6*J110*DW110))/(4+DS110*J110*DT110)*DT110)</f>
        <v>4.8372619928180685</v>
      </c>
      <c r="DY110" s="38">
        <f>MIN(1/M110*(4*AF110*(DV110-DW110)+(3*DW110+DX110)*J110)+EB110 -FI110,MAX(I110,AI110))</f>
        <v>242.04334305256629</v>
      </c>
      <c r="DZ110" s="4">
        <f>DY110/FE110</f>
        <v>1.1143347434318984</v>
      </c>
      <c r="EA110" s="4">
        <f>AF110/M110</f>
        <v>2.2360679774997898</v>
      </c>
      <c r="EB110" s="4">
        <f>MIN(EA$10*BA110)</f>
        <v>0</v>
      </c>
      <c r="EF110" s="4">
        <f>IF(T110&gt;1*M110,0.85,1)</f>
        <v>1</v>
      </c>
      <c r="EG110" s="4">
        <f>MIN(1,MAX(0.7,(1-0.1*(BY110-1*M110)/M110)))</f>
        <v>0.9</v>
      </c>
      <c r="EH110" s="4">
        <f>MIN(1,MAX(0.7,1-0.3*(PI()*AL110^2/4*AP110*2-0.25*PI()/4*M110^2)/(PI()/4*M110^2)))</f>
        <v>1</v>
      </c>
      <c r="EI110" s="4">
        <f>IF(EG110*EH110&lt;0.7,0.7,EG110*EH110)</f>
        <v>0.9</v>
      </c>
      <c r="EK110" s="4">
        <f>MIN(DT110/M110*3*J110+EL110-FI110,MAX(I110,AI110))</f>
        <v>484.24596045504273</v>
      </c>
      <c r="EL110" s="25">
        <f>13.3*P110*J110^0.5*L110^0.5/W110/M110^2*(0.7+R110/5/J110)</f>
        <v>200.95106110103035</v>
      </c>
      <c r="EO110" s="4">
        <f>IF(M110&lt;22.2,1.1*5*(L110/30)^0.5,IF(M110&gt;=31.8,0.9*5*(L110/30)^0.5,1*5*(L110/30)^0.5))/EF110/EI110</f>
        <v>5.9019770698752589</v>
      </c>
      <c r="ER110" s="4">
        <f>ES110*M110</f>
        <v>128.12669511073796</v>
      </c>
      <c r="ES110" s="4">
        <f>AE110^0.5</f>
        <v>2.2360679774997898</v>
      </c>
      <c r="ET110" s="4">
        <f>MIN(EB110)/(4700*L110^0.5)/AD110*ER110</f>
        <v>0</v>
      </c>
      <c r="EW110" s="4">
        <f>ET110</f>
        <v>0</v>
      </c>
      <c r="EX110" s="4">
        <f>MIN(0.999, EW110/(0.3*(L110/30)^0.5))</f>
        <v>0</v>
      </c>
      <c r="EY110" s="4">
        <f>EO110/1*EX110^0.4</f>
        <v>0</v>
      </c>
      <c r="EZ110" s="4">
        <f>EO110/1.4*(1-EX110^1.4)/(1-EX110)</f>
        <v>4.215697907053757</v>
      </c>
      <c r="FA110" s="4">
        <f>MAX(0,DP110*FA$9-ER110)</f>
        <v>0</v>
      </c>
      <c r="FB110" s="4">
        <f>MAX(0,DP110-ER110-FA110)</f>
        <v>788.673304889262</v>
      </c>
      <c r="FC110" s="4">
        <f>FB110/(1-0.3*(L110/30)^0.5)/200000/M110</f>
        <v>1.0655154752908353E-4</v>
      </c>
      <c r="FD110" s="4">
        <f>MAX(0.5*EO110, (1-2*FC110*(ER110*EY110+FA110*EZ110))/(1/EO110+FC110*FB110))</f>
        <v>3.9452539277155902</v>
      </c>
      <c r="FE110" s="4">
        <f>MIN(4/M110*(1*EY110*ER110+EZ110*FA110+FB110*FD110)+EB110,MAX(I110,AI110))</f>
        <v>217.20882749031736</v>
      </c>
      <c r="FN110" s="23">
        <f>IF(CT110&lt;0.6,0.6,IF(CT110&lt;0.8,0.8,IF(CT110&lt;1,1,IF(CT110&lt;1.2,1.2,IF(CT110&lt;1.4,1.4,IF(CT110&lt;1.6,1.6,IF(CT110&lt;1.8,1.8,IF(CT110&lt;2,2,2.2))))))))</f>
        <v>1.2</v>
      </c>
      <c r="FO110" s="23">
        <f>IF(CU110&lt;0.6,0.6,IF(CU110&lt;0.8,0.8,IF(CU110&lt;1,1,IF(CU110&lt;1.2,1.2,IF(CU110&lt;1.4,1.4,IF(CU110&lt;1.6,1.6,IF(CU110&lt;1.8,1.8,IF(CU110&lt;2,2,2.2))))))))</f>
        <v>1.2</v>
      </c>
      <c r="FP110" s="23">
        <f>IF(CZ110&lt;0.6,0.6,IF(CZ110&lt;0.8,0.8,IF(CZ110&lt;1,1,IF(CZ110&lt;1.2,1.2,IF(CZ110&lt;1.4,1.4,IF(CZ110&lt;1.6,1.6,IF(CZ110&lt;1.8,1.8,IF(CZ110&lt;2,2,2.2))))))))</f>
        <v>1.2</v>
      </c>
      <c r="FQ110" s="23">
        <f>IF(CW110&lt;0.6,0.6,IF(CW110&lt;0.8,0.8,IF(CW110&lt;1,1,IF(CW110&lt;1.2,1.2,IF(CW110&lt;1.4,1.4,IF(CW110&lt;1.6,1.6,IF(CW110&lt;1.8,1.8,IF(CW110&lt;2,2,2.2))))))))</f>
        <v>2.2000000000000002</v>
      </c>
      <c r="FR110" s="23">
        <f>IF(CX110&lt;0.6,0.6,IF(CX110&lt;0.8,0.8,IF(CX110&lt;1,1,IF(CX110&lt;1.2,1.2,IF(CX110&lt;1.4,1.4,IF(CX110&lt;1.6,1.6,IF(CX110&lt;1.8,1.8,IF(CX110&lt;2,2,2.2))))))))</f>
        <v>2.2000000000000002</v>
      </c>
      <c r="FS110" s="23">
        <f>IF(CY110&lt;0.6,0.6,IF(CY110&lt;0.8,0.8,IF(CY110&lt;1,1,IF(CY110&lt;1.2,1.2,IF(CY110&lt;1.4,1.4,IF(CY110&lt;1.6,1.6,IF(CY110&lt;1.8,1.8,IF(CY110&lt;2,2,2.2))))))))</f>
        <v>1.4</v>
      </c>
      <c r="FT110" s="23">
        <f>IF(FR110&lt;1,1,0)</f>
        <v>0</v>
      </c>
      <c r="FU110" s="23"/>
      <c r="GE110" s="4">
        <f>IF(R110&gt;=2.5*25.4,1,1.25)</f>
        <v>1</v>
      </c>
      <c r="GF110" s="4">
        <f>IF(AN110&gt;1, 0.05*(18-MIN(8,(V110+M110)/M110))*(1-48000/MAX(60000,(I110*145))*(M110/25.4)^0.75*GG110), 1/12*(14-MIN(8,(V110+M110)/M110)))</f>
        <v>0.54</v>
      </c>
      <c r="GG110" s="4">
        <f>MIN(0.3, AL110^2*PI()/4*2*AO110/(M110^2*PI()/4*W110))</f>
        <v>0</v>
      </c>
      <c r="GH110" s="4">
        <f>(J110/25.4)/(M110/25.4)^1.5/0.0024*(L110*145)^0.25/GE110/GF110/145</f>
        <v>500.17570991113627</v>
      </c>
    </row>
    <row r="111" spans="1:195" s="4" customFormat="1" ht="12" customHeight="1" x14ac:dyDescent="0.3">
      <c r="A111" s="25">
        <v>157</v>
      </c>
      <c r="B111" s="24" t="s">
        <v>128</v>
      </c>
      <c r="C111" s="24">
        <v>2017</v>
      </c>
      <c r="D111" s="24" t="s">
        <v>309</v>
      </c>
      <c r="E111" s="24"/>
      <c r="F111" s="109" t="s">
        <v>824</v>
      </c>
      <c r="G111" s="4" t="s">
        <v>164</v>
      </c>
      <c r="H111" s="5">
        <f>SQRT(L111)/(0.19*M111)</f>
        <v>0.82834390774485345</v>
      </c>
      <c r="I111" s="72">
        <v>606</v>
      </c>
      <c r="J111" s="7">
        <f>16*M111</f>
        <v>688</v>
      </c>
      <c r="K111" s="7">
        <f>J111</f>
        <v>688</v>
      </c>
      <c r="L111" s="103">
        <v>45.8</v>
      </c>
      <c r="M111" s="88">
        <v>43</v>
      </c>
      <c r="N111" s="7">
        <f>J111/M111</f>
        <v>16</v>
      </c>
      <c r="O111" s="7">
        <f>K111/M111</f>
        <v>16</v>
      </c>
      <c r="P111" s="7">
        <f>V111+2*R111+2*M111</f>
        <v>344</v>
      </c>
      <c r="Q111" s="32">
        <f>R111/M111</f>
        <v>1</v>
      </c>
      <c r="R111" s="7">
        <f>1*M111</f>
        <v>43</v>
      </c>
      <c r="S111" s="32">
        <f>T111/M111</f>
        <v>1.3023255813953489</v>
      </c>
      <c r="T111" s="7">
        <f>40+16</f>
        <v>56</v>
      </c>
      <c r="U111" s="32">
        <f>V111/M111</f>
        <v>4</v>
      </c>
      <c r="V111" s="122">
        <f>(5-1)*M111</f>
        <v>172</v>
      </c>
      <c r="W111" s="7">
        <v>2</v>
      </c>
      <c r="X111" s="7">
        <f>AM111</f>
        <v>0</v>
      </c>
      <c r="Y111" s="32">
        <f>Z111/M111</f>
        <v>8.3410852713178283</v>
      </c>
      <c r="Z111" s="7">
        <f>2/3*J111-0.5*200</f>
        <v>358.66666666666663</v>
      </c>
      <c r="AA111" s="7">
        <f>MIN(R111/M111+0.5, V111/2/M111+0.5)</f>
        <v>1.5</v>
      </c>
      <c r="AB111" s="7">
        <f>R111/M111+0.5</f>
        <v>1.5</v>
      </c>
      <c r="AC111" s="7">
        <f>2040/510</f>
        <v>4</v>
      </c>
      <c r="AD111" s="7">
        <f>2040/510</f>
        <v>4</v>
      </c>
      <c r="AE111" s="7">
        <f>AD111+1</f>
        <v>5</v>
      </c>
      <c r="AF111" s="7">
        <f>M111*AE111^0.5</f>
        <v>96.150923032490965</v>
      </c>
      <c r="AG111" s="7">
        <f>I111</f>
        <v>606</v>
      </c>
      <c r="AH111" s="7">
        <v>19</v>
      </c>
      <c r="AI111" s="7">
        <f>(572+572)/2</f>
        <v>572</v>
      </c>
      <c r="AJ111" s="7"/>
      <c r="AK111" s="4">
        <f>CX111</f>
        <v>2.111231820434265</v>
      </c>
      <c r="AL111" s="7">
        <v>0</v>
      </c>
      <c r="AM111" s="7">
        <v>0</v>
      </c>
      <c r="AN111" s="7">
        <f>K111</f>
        <v>688</v>
      </c>
      <c r="AO111" s="7"/>
      <c r="AP111" s="7"/>
      <c r="AQ111" s="7">
        <f>3*AR111/(V111+M111)</f>
        <v>9.6</v>
      </c>
      <c r="AR111" s="4">
        <f>J111</f>
        <v>688</v>
      </c>
      <c r="AS111" s="4">
        <f>IF(J111*3&gt;V111+M111, P111, (R111+M111/2)*2+1.5*J111*(2*W111-2))*(3*J111)/(9*J111^2)</f>
        <v>0.16666666666666666</v>
      </c>
      <c r="AT111" s="4">
        <f>MIN(10*L111^0.5*J111^1.5,100*3.9*L111^0.5*J111^(5/3))/(PI()/4*M111^2)/W111</f>
        <v>420.49284288370211</v>
      </c>
      <c r="AU111" s="4">
        <f>MIN(0.7+0.3*(MIN(R111,Z111)+0.5*M111)/1.5/J111,1)</f>
        <v>0.71875</v>
      </c>
      <c r="AV111" s="4">
        <v>1.25</v>
      </c>
      <c r="AW111" s="4">
        <f>AW110</f>
        <v>5</v>
      </c>
      <c r="AX111" s="38">
        <f>AS111*AU111*AV111*AW111*AT111</f>
        <v>314.82211544027172</v>
      </c>
      <c r="AY111" s="38">
        <f>AX111</f>
        <v>314.82211544027172</v>
      </c>
      <c r="AZ111" s="38">
        <f>IF(L111&lt;50, 0.3*L111^(2/3), 2.12*LN(1+0.1*(L111+8)))</f>
        <v>3.8402978284624769</v>
      </c>
      <c r="BA111" s="38">
        <f>AW111* (L111^0.5/AR111^0.5)/(PI()/4*M111^2)/W111/0.72 *(0.7+(MIN(R111,Z111)+0.5*M111)/5/J111) *(3*P111*J111)</f>
        <v>314.82211544027177</v>
      </c>
      <c r="BB111" s="38">
        <f>AX111/BA111</f>
        <v>0.99999999999999978</v>
      </c>
      <c r="BC111" s="38">
        <f>BG111/BA111</f>
        <v>0.87287387550807294</v>
      </c>
      <c r="BD111" s="4">
        <f>IF(BC111&lt;1,1,0)</f>
        <v>1</v>
      </c>
      <c r="BE111" s="4">
        <f>K111/M111*L111^0.5/0.19</f>
        <v>569.90060852845909</v>
      </c>
      <c r="BF111" s="4">
        <f>MIN(0.6+0.4*(AB111/AA111),2)</f>
        <v>1</v>
      </c>
      <c r="BG111" s="38">
        <f>2*L111*AA111*AC111^0.5*BF111*0.7/0.7</f>
        <v>274.79999999999995</v>
      </c>
      <c r="BH111" s="4">
        <f>MAX(1-0.7*AD111/5,0.3)</f>
        <v>0.44000000000000006</v>
      </c>
      <c r="BI111" s="4">
        <f>BH111*I111*K111/(I111*M111/2.75/L111^0.5)</f>
        <v>131.02014990069279</v>
      </c>
      <c r="BJ111" s="4">
        <f>BG111+BI111</f>
        <v>405.82014990069274</v>
      </c>
      <c r="BL111" s="4">
        <f>MIN(1.5, 0.75+0.25*MIN(3,MAX(1,R111/M111))+0.4*MIN(1,(40*2*PI()*AL111^2/4/AN111/W111)/M111))</f>
        <v>1</v>
      </c>
      <c r="BM111" s="4">
        <f>(3*O111+30)*BL111*L111^0.5</f>
        <v>527.87043864948532</v>
      </c>
      <c r="BO111" s="4">
        <f>3.4/PI()^0.5*L111*AA111*AD111^0.5*BF111</f>
        <v>263.56680585016983</v>
      </c>
      <c r="BP111" s="4">
        <f>8/3*AG111*AH111^2/(AF111-M111-22)/M111*(AF111^2-M111^2)/(AF111^2-(M111+22)^2)</f>
        <v>641.65616063635548</v>
      </c>
      <c r="BQ111" s="4">
        <f>BP111/BO111</f>
        <v>2.4345105164764891</v>
      </c>
      <c r="BY111" s="4">
        <f>IF(V111=0,R111,MIN(V111/2,R111))</f>
        <v>43</v>
      </c>
      <c r="CC111" s="9"/>
      <c r="CE111" s="9"/>
      <c r="CF111" s="9"/>
      <c r="CG111" s="9">
        <f>IF(V111=0,MIN(R111,T111),MIN(V111/2,R111,T111))</f>
        <v>43</v>
      </c>
      <c r="CH111" s="9">
        <f>MAX(V111/2,R111)</f>
        <v>86</v>
      </c>
      <c r="CI111" s="9">
        <f>(CG111/M111)^0.5*(CH111/CG111)^0.15</f>
        <v>1.1095694720678451</v>
      </c>
      <c r="CJ111" s="70">
        <v>0</v>
      </c>
      <c r="CK111" s="9">
        <f>MIN(PI()*AL111^2/4*AM111*2/W111/M111/MAX(0.01,AN111),0.05)</f>
        <v>0</v>
      </c>
      <c r="CL111" s="9">
        <f>MAX(0,CJ111*(CK111-0.5/50))</f>
        <v>0</v>
      </c>
      <c r="CM111" s="9">
        <f>MIN(1,(25/M111)^0.3)</f>
        <v>0.84984840943171969</v>
      </c>
      <c r="CN111" s="9">
        <f>IF(I111&gt;=800,0.68,IF(I111&gt;=700,0.75-(I111-700)*0.07/100,IF(I111&gt;=600,0.85-(I111-600)*0.1/100,IF(I111&gt;=500,1-(I111-500)*0.15/100,1.2-(I111-400)*0.2/100))))</f>
        <v>0.84399999999999997</v>
      </c>
      <c r="CO111" s="9">
        <f>1.75*CM111*CN111*(L111/25)^0.5</f>
        <v>1.6989660317871056</v>
      </c>
      <c r="CP111" s="9">
        <f>MIN((CI111+CL111)*CO111,2.5*CO111,L111^0.5)</f>
        <v>1.8851208429512205</v>
      </c>
      <c r="CQ111" s="9">
        <v>1</v>
      </c>
      <c r="CR111" s="9">
        <f>4*CP111*O111+60*CP111</f>
        <v>233.75498452595133</v>
      </c>
      <c r="CT111" s="4">
        <f>AI111/BE111</f>
        <v>1.0036837852778606</v>
      </c>
      <c r="CU111" s="4">
        <f>AI111/BJ111</f>
        <v>1.4094913723233622</v>
      </c>
      <c r="CV111" s="4">
        <f>AI111/BM111</f>
        <v>1.0835992283701597</v>
      </c>
      <c r="CW111" s="4">
        <f>AI111/CR111</f>
        <v>2.4470066431310555</v>
      </c>
      <c r="CX111" s="4">
        <f>AI111/DY111</f>
        <v>2.111231820434265</v>
      </c>
      <c r="CY111" s="4">
        <f>AI111/EK111</f>
        <v>1.2158256317980205</v>
      </c>
      <c r="CZ111" s="4">
        <f>AI111/GH111</f>
        <v>1.4569265550499924</v>
      </c>
      <c r="DB111" s="4">
        <f>CT111</f>
        <v>1.0036837852778606</v>
      </c>
      <c r="DC111" s="4">
        <f>CU111</f>
        <v>1.4094913723233622</v>
      </c>
      <c r="DD111" s="4">
        <f>CW111</f>
        <v>2.4470066431310555</v>
      </c>
      <c r="DE111" s="4">
        <f>CZ111</f>
        <v>1.4569265550499924</v>
      </c>
      <c r="DF111" s="4">
        <f>CX111</f>
        <v>2.111231820434265</v>
      </c>
      <c r="DG111" s="4">
        <f>CY111</f>
        <v>1.2158256317980205</v>
      </c>
      <c r="DO111" s="4">
        <f>AM111</f>
        <v>0</v>
      </c>
      <c r="DP111" s="4">
        <f>K111</f>
        <v>688</v>
      </c>
      <c r="DS111" s="4">
        <f>J111/4/(1-0.3*(L111/30)^0.5)/200000/M111</f>
        <v>3.1780084856411147E-5</v>
      </c>
      <c r="DT111" s="4">
        <f>EO111</f>
        <v>6.5413245857119913</v>
      </c>
      <c r="DU111" s="4">
        <f>EB111*AF111/257/L111/AC111</f>
        <v>0</v>
      </c>
      <c r="DV111" s="4">
        <f>DT111*DU111^0.4</f>
        <v>0</v>
      </c>
      <c r="DW111" s="4">
        <f>MIN(DT111, DT111/1.4*(1-DU111^1.4)/(1-DU111))</f>
        <v>4.6723747040799939</v>
      </c>
      <c r="DX111" s="4">
        <f>MAX(DT111/2, (4-DS111*(8*AF111*(DV111-DW111)+6*J111*DW111))/(4+DS111*J111*DT111)*DT111)</f>
        <v>5.5280550671142148</v>
      </c>
      <c r="DY111" s="38">
        <f>MIN(1/M111*(4*AF111*(DV111-DW111)+(3*DW111+DX111)*J111)+EB111 -FI111,MAX(I111,AI111))</f>
        <v>270.93187705097387</v>
      </c>
      <c r="DZ111" s="4">
        <f>DY111/FE111</f>
        <v>1.0707990344886946</v>
      </c>
      <c r="EA111" s="4">
        <f>AF111/M111</f>
        <v>2.2360679774997898</v>
      </c>
      <c r="EB111" s="4">
        <f>MIN(EA$10*BA111)</f>
        <v>0</v>
      </c>
      <c r="EF111" s="4">
        <f>IF(T111&gt;1*M111,0.85,1)</f>
        <v>0.85</v>
      </c>
      <c r="EG111" s="4">
        <f>MIN(1,MAX(0.7,(1-0.1*(BY111-1*M111)/M111)))</f>
        <v>1</v>
      </c>
      <c r="EH111" s="4">
        <f>MIN(1,MAX(0.7,1-0.3*(PI()*AL111^2/4*AP111*2-0.25*PI()/4*M111^2)/(PI()/4*M111^2)))</f>
        <v>1</v>
      </c>
      <c r="EI111" s="4">
        <f>IF(EG111*EH111&lt;0.7,0.7,EG111*EH111)</f>
        <v>1</v>
      </c>
      <c r="EK111" s="4">
        <f>MIN(DT111/M111*3*J111+EL111-FI111,MAX(I111,AI111))</f>
        <v>470.46219872342988</v>
      </c>
      <c r="EL111" s="25">
        <f>13.3*P111*J111^0.5*L111^0.5/W111/M111^2*(0.7+R111/5/J111)</f>
        <v>156.47861860925426</v>
      </c>
      <c r="EO111" s="4">
        <f>IF(M111&lt;22.2,1.1*5*(L111/30)^0.5,IF(M111&gt;=31.8,0.9*5*(L111/30)^0.5,1*5*(L111/30)^0.5))/EF111/EI111</f>
        <v>6.5413245857119913</v>
      </c>
      <c r="ER111" s="4">
        <f>ES111*M111</f>
        <v>96.150923032490965</v>
      </c>
      <c r="ES111" s="4">
        <f>AE111^0.5</f>
        <v>2.2360679774997898</v>
      </c>
      <c r="ET111" s="4">
        <f>MIN(EB111)/(4700*L111^0.5)/AD111*ER111</f>
        <v>0</v>
      </c>
      <c r="EW111" s="4">
        <f>ET111</f>
        <v>0</v>
      </c>
      <c r="EX111" s="4">
        <f>MIN(0.999, EW111/(0.3*(L111/30)^0.5))</f>
        <v>0</v>
      </c>
      <c r="EY111" s="4">
        <f>EO111/1*EX111^0.4</f>
        <v>0</v>
      </c>
      <c r="EZ111" s="4">
        <f>EO111/1.4*(1-EX111^1.4)/(1-EX111)</f>
        <v>4.6723747040799939</v>
      </c>
      <c r="FA111" s="4">
        <f>MAX(0,DP111*FA$9-ER111)</f>
        <v>0</v>
      </c>
      <c r="FB111" s="4">
        <f>MAX(0,DP111-ER111-FA111)</f>
        <v>591.84907696750906</v>
      </c>
      <c r="FC111" s="4">
        <f>FB111/(1-0.3*(L111/30)^0.5)/200000/M111</f>
        <v>1.0935473190823284E-4</v>
      </c>
      <c r="FD111" s="4">
        <f>MAX(0.5*EO111, (1-2*FC111*(ER111*EY111+FA111*EZ111))/(1/EO111+FC111*FB111))</f>
        <v>4.5956783457329546</v>
      </c>
      <c r="FE111" s="4">
        <f>MIN(4/M111*(1*EY111*ER111+EZ111*FA111+FB111*FD111)+EB111,MAX(I111,AI111))</f>
        <v>253.0184173917784</v>
      </c>
      <c r="FN111" s="23">
        <f>IF(CT111&lt;0.6,0.6,IF(CT111&lt;0.8,0.8,IF(CT111&lt;1,1,IF(CT111&lt;1.2,1.2,IF(CT111&lt;1.4,1.4,IF(CT111&lt;1.6,1.6,IF(CT111&lt;1.8,1.8,IF(CT111&lt;2,2,2.2))))))))</f>
        <v>1.2</v>
      </c>
      <c r="FO111" s="23">
        <f>IF(CU111&lt;0.6,0.6,IF(CU111&lt;0.8,0.8,IF(CU111&lt;1,1,IF(CU111&lt;1.2,1.2,IF(CU111&lt;1.4,1.4,IF(CU111&lt;1.6,1.6,IF(CU111&lt;1.8,1.8,IF(CU111&lt;2,2,2.2))))))))</f>
        <v>1.6</v>
      </c>
      <c r="FP111" s="23">
        <f>IF(CZ111&lt;0.6,0.6,IF(CZ111&lt;0.8,0.8,IF(CZ111&lt;1,1,IF(CZ111&lt;1.2,1.2,IF(CZ111&lt;1.4,1.4,IF(CZ111&lt;1.6,1.6,IF(CZ111&lt;1.8,1.8,IF(CZ111&lt;2,2,2.2))))))))</f>
        <v>1.6</v>
      </c>
      <c r="FQ111" s="23">
        <f>IF(CW111&lt;0.6,0.6,IF(CW111&lt;0.8,0.8,IF(CW111&lt;1,1,IF(CW111&lt;1.2,1.2,IF(CW111&lt;1.4,1.4,IF(CW111&lt;1.6,1.6,IF(CW111&lt;1.8,1.8,IF(CW111&lt;2,2,2.2))))))))</f>
        <v>2.2000000000000002</v>
      </c>
      <c r="FR111" s="23">
        <f>IF(CX111&lt;0.6,0.6,IF(CX111&lt;0.8,0.8,IF(CX111&lt;1,1,IF(CX111&lt;1.2,1.2,IF(CX111&lt;1.4,1.4,IF(CX111&lt;1.6,1.6,IF(CX111&lt;1.8,1.8,IF(CX111&lt;2,2,2.2))))))))</f>
        <v>2.2000000000000002</v>
      </c>
      <c r="FS111" s="23">
        <f>IF(CY111&lt;0.6,0.6,IF(CY111&lt;0.8,0.8,IF(CY111&lt;1,1,IF(CY111&lt;1.2,1.2,IF(CY111&lt;1.4,1.4,IF(CY111&lt;1.6,1.6,IF(CY111&lt;1.8,1.8,IF(CY111&lt;2,2,2.2))))))))</f>
        <v>1.4</v>
      </c>
      <c r="FT111" s="23">
        <f>IF(FR111&lt;1,1,0)</f>
        <v>0</v>
      </c>
      <c r="FU111" s="23"/>
      <c r="GE111" s="4">
        <f>IF(R111&gt;=2.5*25.4,1,1.25)</f>
        <v>1.25</v>
      </c>
      <c r="GF111" s="4">
        <f>IF(AN111&gt;1, 0.05*(18-MIN(8,(V111+M111)/M111))*(1-48000/MAX(60000,(I111*145))*(M111/25.4)^0.75*GG111), 1/12*(14-MIN(8,(V111+M111)/M111)))</f>
        <v>0.65</v>
      </c>
      <c r="GG111" s="4">
        <f>MIN(0.3, AL111^2*PI()/4*2*AO111/(M111^2*PI()/4*W111))</f>
        <v>0</v>
      </c>
      <c r="GH111" s="4">
        <f>(J111/25.4)/(M111/25.4)^1.5/0.0024*(L111*145)^0.25/GE111/GF111/145</f>
        <v>392.60729926113032</v>
      </c>
    </row>
    <row r="112" spans="1:195" s="4" customFormat="1" ht="12" customHeight="1" x14ac:dyDescent="0.3">
      <c r="A112" s="25">
        <v>158</v>
      </c>
      <c r="B112" s="24" t="s">
        <v>128</v>
      </c>
      <c r="C112" s="24">
        <v>2017</v>
      </c>
      <c r="D112" s="24" t="s">
        <v>309</v>
      </c>
      <c r="E112" s="24"/>
      <c r="F112" s="109" t="s">
        <v>824</v>
      </c>
      <c r="G112" s="4" t="s">
        <v>165</v>
      </c>
      <c r="H112" s="5">
        <f>SQRT(L112)/(0.19*M112)</f>
        <v>0.82834390774485345</v>
      </c>
      <c r="I112" s="72">
        <v>606</v>
      </c>
      <c r="J112" s="7">
        <f>16*M112</f>
        <v>688</v>
      </c>
      <c r="K112" s="7">
        <f>J112</f>
        <v>688</v>
      </c>
      <c r="L112" s="103">
        <v>45.8</v>
      </c>
      <c r="M112" s="88">
        <v>43</v>
      </c>
      <c r="N112" s="7">
        <f>J112/M112</f>
        <v>16</v>
      </c>
      <c r="O112" s="7">
        <f>K112/M112</f>
        <v>16</v>
      </c>
      <c r="P112" s="7">
        <f>V112+2*R112+2*M112</f>
        <v>430</v>
      </c>
      <c r="Q112" s="32">
        <f>R112/M112</f>
        <v>2</v>
      </c>
      <c r="R112" s="7">
        <f>2*M112</f>
        <v>86</v>
      </c>
      <c r="S112" s="32">
        <f>T112/M112</f>
        <v>1.3023255813953489</v>
      </c>
      <c r="T112" s="7">
        <f>40+16</f>
        <v>56</v>
      </c>
      <c r="U112" s="32">
        <f>V112/M112</f>
        <v>4</v>
      </c>
      <c r="V112" s="122">
        <f>(5-1)*M112</f>
        <v>172</v>
      </c>
      <c r="W112" s="7">
        <v>2</v>
      </c>
      <c r="X112" s="7">
        <f>AM112</f>
        <v>0</v>
      </c>
      <c r="Y112" s="32">
        <f>Z112/M112</f>
        <v>8.3410852713178283</v>
      </c>
      <c r="Z112" s="7">
        <f>2/3*J112-0.5*200</f>
        <v>358.66666666666663</v>
      </c>
      <c r="AA112" s="7">
        <f>MIN(R112/M112+0.5, V112/2/M112+0.5)</f>
        <v>2.5</v>
      </c>
      <c r="AB112" s="7">
        <f>R112/M112+0.5</f>
        <v>2.5</v>
      </c>
      <c r="AC112" s="7">
        <f>2040/510</f>
        <v>4</v>
      </c>
      <c r="AD112" s="7">
        <f>2040/510</f>
        <v>4</v>
      </c>
      <c r="AE112" s="7">
        <f>AD112+1</f>
        <v>5</v>
      </c>
      <c r="AF112" s="7">
        <f>M112*AE112^0.5</f>
        <v>96.150923032490965</v>
      </c>
      <c r="AG112" s="7">
        <f>I112</f>
        <v>606</v>
      </c>
      <c r="AH112" s="7">
        <v>19</v>
      </c>
      <c r="AI112" s="7">
        <f>(607+607)/2</f>
        <v>607</v>
      </c>
      <c r="AJ112" s="7"/>
      <c r="AK112" s="4">
        <f>CX112</f>
        <v>2.0293511803356634</v>
      </c>
      <c r="AL112" s="7">
        <v>0</v>
      </c>
      <c r="AM112" s="7">
        <v>0</v>
      </c>
      <c r="AN112" s="7">
        <f>K112</f>
        <v>688</v>
      </c>
      <c r="AO112" s="7"/>
      <c r="AP112" s="7"/>
      <c r="AQ112" s="7">
        <f>3*AR112/(V112+M112)</f>
        <v>9.6</v>
      </c>
      <c r="AR112" s="4">
        <f>J112</f>
        <v>688</v>
      </c>
      <c r="AS112" s="4">
        <f>IF(J112*3&gt;V112+M112, P112, (R112+M112/2)*2+1.5*J112*(2*W112-2))*(3*J112)/(9*J112^2)</f>
        <v>0.20833333333333334</v>
      </c>
      <c r="AT112" s="4">
        <f>MIN(10*L112^0.5*J112^1.5,100*3.9*L112^0.5*J112^(5/3))/(PI()/4*M112^2)/W112</f>
        <v>420.49284288370211</v>
      </c>
      <c r="AU112" s="4">
        <f>MIN(0.7+0.3*(MIN(R112,Z112)+0.5*M112)/1.5/J112,1)</f>
        <v>0.73124999999999996</v>
      </c>
      <c r="AV112" s="4">
        <v>1.25</v>
      </c>
      <c r="AW112" s="4">
        <f>AW111</f>
        <v>5</v>
      </c>
      <c r="AX112" s="38">
        <f>AS112*AU112*AV112*AW112*AT112</f>
        <v>400.37160333164996</v>
      </c>
      <c r="AY112" s="38">
        <f>AX112</f>
        <v>400.37160333164996</v>
      </c>
      <c r="AZ112" s="38">
        <f>IF(L112&lt;50, 0.3*L112^(2/3), 2.12*LN(1+0.1*(L112+8)))</f>
        <v>3.8402978284624769</v>
      </c>
      <c r="BA112" s="38">
        <f>AW112* (L112^0.5/AR112^0.5)/(PI()/4*M112^2)/W112/0.72 *(0.7+(MIN(R112,Z112)+0.5*M112)/5/J112) *(3*P112*J112)</f>
        <v>400.37160333164991</v>
      </c>
      <c r="BB112" s="38">
        <f>AX112/BA112</f>
        <v>1.0000000000000002</v>
      </c>
      <c r="BC112" s="38">
        <f>BG112/BA112</f>
        <v>1.143937272745623</v>
      </c>
      <c r="BD112" s="4">
        <f>IF(BC112&lt;1,1,0)</f>
        <v>0</v>
      </c>
      <c r="BE112" s="4">
        <f>K112/M112*L112^0.5/0.19</f>
        <v>569.90060852845909</v>
      </c>
      <c r="BF112" s="4">
        <f>MIN(0.6+0.4*(AB112/AA112),2)</f>
        <v>1</v>
      </c>
      <c r="BG112" s="38">
        <f>2*L112*AA112*AC112^0.5*BF112*0.7/0.7</f>
        <v>458</v>
      </c>
      <c r="BH112" s="4">
        <f>MAX(1-0.7*AD112/5,0.3)</f>
        <v>0.44000000000000006</v>
      </c>
      <c r="BI112" s="4">
        <f>BH112*I112*K112/(I112*M112/2.75/L112^0.5)</f>
        <v>131.02014990069279</v>
      </c>
      <c r="BJ112" s="4">
        <f>BG112+BI112</f>
        <v>589.02014990069279</v>
      </c>
      <c r="BL112" s="4">
        <f>MIN(1.5, 0.75+0.25*MIN(3,MAX(1,R112/M112))+0.4*MIN(1,(40*2*PI()*AL112^2/4/AN112/W112)/M112))</f>
        <v>1.25</v>
      </c>
      <c r="BM112" s="4">
        <f>(3*O112+30)*BL112*L112^0.5</f>
        <v>659.8380483118566</v>
      </c>
      <c r="BO112" s="4">
        <f>3.4/PI()^0.5*L112*AA112*AD112^0.5*BF112</f>
        <v>439.27800975028305</v>
      </c>
      <c r="BP112" s="4">
        <f>8/3*AG112*AH112^2/(AF112-M112-22)/M112*(AF112^2-M112^2)/(AF112^2-(M112+22)^2)</f>
        <v>641.65616063635548</v>
      </c>
      <c r="BQ112" s="4">
        <f>BP112/BO112</f>
        <v>1.4607063098858935</v>
      </c>
      <c r="BY112" s="4">
        <f>IF(V112=0,R112,MIN(V112/2,R112))</f>
        <v>86</v>
      </c>
      <c r="CC112" s="9"/>
      <c r="CE112" s="9"/>
      <c r="CF112" s="9"/>
      <c r="CG112" s="9">
        <f>IF(V112=0,MIN(R112,T112),MIN(V112/2,R112,T112))</f>
        <v>56</v>
      </c>
      <c r="CH112" s="9">
        <f>MAX(V112/2,R112)</f>
        <v>86</v>
      </c>
      <c r="CI112" s="9">
        <f>(CG112/M112)^0.5*(CH112/CG112)^0.15</f>
        <v>1.2170441953580799</v>
      </c>
      <c r="CJ112" s="70">
        <v>0</v>
      </c>
      <c r="CK112" s="9">
        <f>MIN(PI()*AL112^2/4*AM112*2/W112/M112/MAX(0.01,AN112),0.05)</f>
        <v>0</v>
      </c>
      <c r="CL112" s="9">
        <f>MAX(0,CJ112*(CK112-0.5/50))</f>
        <v>0</v>
      </c>
      <c r="CM112" s="9">
        <f>MIN(1,(25/M112)^0.3)</f>
        <v>0.84984840943171969</v>
      </c>
      <c r="CN112" s="9">
        <f>IF(I112&gt;=800,0.68,IF(I112&gt;=700,0.75-(I112-700)*0.07/100,IF(I112&gt;=600,0.85-(I112-600)*0.1/100,IF(I112&gt;=500,1-(I112-500)*0.15/100,1.2-(I112-400)*0.2/100))))</f>
        <v>0.84399999999999997</v>
      </c>
      <c r="CO112" s="9">
        <f>1.75*CM112*CN112*(L112/25)^0.5</f>
        <v>1.6989660317871056</v>
      </c>
      <c r="CP112" s="9">
        <f>MIN((CI112+CL112)*CO112,2.5*CO112,L112^0.5)</f>
        <v>2.0677167470970481</v>
      </c>
      <c r="CQ112" s="9">
        <v>1</v>
      </c>
      <c r="CR112" s="9">
        <f>4*CP112*O112+60*CP112</f>
        <v>256.39687664003395</v>
      </c>
      <c r="CT112" s="4">
        <f>AI112/BE112</f>
        <v>1.0650980029084989</v>
      </c>
      <c r="CU112" s="4">
        <f>AI112/BJ112</f>
        <v>1.030525017017395</v>
      </c>
      <c r="CV112" s="4">
        <f>AI112/BM112</f>
        <v>0.91992270156739442</v>
      </c>
      <c r="CW112" s="4">
        <f>AI112/CR112</f>
        <v>2.3674235347733665</v>
      </c>
      <c r="CX112" s="4">
        <f>AI112/DY112</f>
        <v>2.0293511803356634</v>
      </c>
      <c r="CY112" s="4">
        <f>AI112/EK112</f>
        <v>1.1078654557321155</v>
      </c>
      <c r="CZ112" s="4">
        <f>AI112/GH112</f>
        <v>1.2368593271543291</v>
      </c>
      <c r="DB112" s="4">
        <f>CT112</f>
        <v>1.0650980029084989</v>
      </c>
      <c r="DC112" s="4">
        <f>CU112</f>
        <v>1.030525017017395</v>
      </c>
      <c r="DD112" s="4">
        <f>CW112</f>
        <v>2.3674235347733665</v>
      </c>
      <c r="DE112" s="4">
        <f>CZ112</f>
        <v>1.2368593271543291</v>
      </c>
      <c r="DF112" s="4">
        <f>CX112</f>
        <v>2.0293511803356634</v>
      </c>
      <c r="DG112" s="4">
        <f>CY112</f>
        <v>1.1078654557321155</v>
      </c>
      <c r="DO112" s="4">
        <f>AM112</f>
        <v>0</v>
      </c>
      <c r="DP112" s="4">
        <f>K112</f>
        <v>688</v>
      </c>
      <c r="DS112" s="4">
        <f>J112/4/(1-0.3*(L112/30)^0.5)/200000/M112</f>
        <v>3.1780084856411147E-5</v>
      </c>
      <c r="DT112" s="4">
        <f>EO112</f>
        <v>7.2681384285688786</v>
      </c>
      <c r="DU112" s="4">
        <f>EB112*AF112/257/L112/AC112</f>
        <v>0</v>
      </c>
      <c r="DV112" s="4">
        <f>DT112*DU112^0.4</f>
        <v>0</v>
      </c>
      <c r="DW112" s="4">
        <f>MIN(DT112, DT112/1.4*(1-DU112^1.4)/(1-DU112))</f>
        <v>5.1915274489777712</v>
      </c>
      <c r="DX112" s="4">
        <f>MAX(DT112/2, (4-DS112*(8*AF112*(DV112-DW112)+6*J112*DW112))/(4+DS112*J112*DT112)*DT112)</f>
        <v>6.0219683905422503</v>
      </c>
      <c r="DY112" s="38">
        <f>MIN(1/M112*(4*AF112*(DV112-DW112)+(3*DW112+DX112)*J112)+EB112 -FI112,MAX(I112,AI112))</f>
        <v>299.1103786677275</v>
      </c>
      <c r="DZ112" s="4">
        <f>DY112/FE112</f>
        <v>1.0991138840050667</v>
      </c>
      <c r="EA112" s="4">
        <f>AF112/M112</f>
        <v>2.2360679774997898</v>
      </c>
      <c r="EB112" s="4">
        <f>MIN(EA$10*BA112)</f>
        <v>0</v>
      </c>
      <c r="EF112" s="4">
        <f>IF(T112&gt;1*M112,0.85,1)</f>
        <v>0.85</v>
      </c>
      <c r="EG112" s="4">
        <f>MIN(1,MAX(0.7,(1-0.1*(BY112-1*M112)/M112)))</f>
        <v>0.9</v>
      </c>
      <c r="EH112" s="4">
        <f>MIN(1,MAX(0.7,1-0.3*(PI()*AL112^2/4*AP112*2-0.25*PI()/4*M112^2)/(PI()/4*M112^2)))</f>
        <v>1</v>
      </c>
      <c r="EI112" s="4">
        <f>IF(EG112*EH112&lt;0.7,0.7,EG112*EH112)</f>
        <v>0.9</v>
      </c>
      <c r="EK112" s="4">
        <f>MIN(DT112/M112*3*J112+EL112-FI112,MAX(I112,AI112))</f>
        <v>547.90046648658574</v>
      </c>
      <c r="EL112" s="25">
        <f>13.3*P112*J112^0.5*L112^0.5/W112/M112^2*(0.7+R112/5/J112)</f>
        <v>199.02982191527957</v>
      </c>
      <c r="EO112" s="4">
        <f>IF(M112&lt;22.2,1.1*5*(L112/30)^0.5,IF(M112&gt;=31.8,0.9*5*(L112/30)^0.5,1*5*(L112/30)^0.5))/EF112/EI112</f>
        <v>7.2681384285688786</v>
      </c>
      <c r="ER112" s="4">
        <f>ES112*M112</f>
        <v>96.150923032490965</v>
      </c>
      <c r="ES112" s="4">
        <f>AE112^0.5</f>
        <v>2.2360679774997898</v>
      </c>
      <c r="ET112" s="4">
        <f>MIN(EB112)/(4700*L112^0.5)/AD112*ER112</f>
        <v>0</v>
      </c>
      <c r="EW112" s="4">
        <f>ET112</f>
        <v>0</v>
      </c>
      <c r="EX112" s="4">
        <f>MIN(0.999, EW112/(0.3*(L112/30)^0.5))</f>
        <v>0</v>
      </c>
      <c r="EY112" s="4">
        <f>EO112/1*EX112^0.4</f>
        <v>0</v>
      </c>
      <c r="EZ112" s="4">
        <f>EO112/1.4*(1-EX112^1.4)/(1-EX112)</f>
        <v>5.1915274489777712</v>
      </c>
      <c r="FA112" s="4">
        <f>MAX(0,DP112*FA$9-ER112)</f>
        <v>0</v>
      </c>
      <c r="FB112" s="4">
        <f>MAX(0,DP112-ER112-FA112)</f>
        <v>591.84907696750906</v>
      </c>
      <c r="FC112" s="4">
        <f>FB112/(1-0.3*(L112/30)^0.5)/200000/M112</f>
        <v>1.0935473190823284E-4</v>
      </c>
      <c r="FD112" s="4">
        <f>MAX(0.5*EO112, (1-2*FC112*(ER112*EY112+FA112*EZ112))/(1/EO112+FC112*FB112))</f>
        <v>4.9429506935374672</v>
      </c>
      <c r="FE112" s="4">
        <f>MIN(4/M112*(1*EY112*ER112+EZ112*FA112+FB112*FD112)+EB112,MAX(I112,AI112))</f>
        <v>272.13774934567988</v>
      </c>
      <c r="FN112" s="23">
        <f>IF(CT112&lt;0.6,0.6,IF(CT112&lt;0.8,0.8,IF(CT112&lt;1,1,IF(CT112&lt;1.2,1.2,IF(CT112&lt;1.4,1.4,IF(CT112&lt;1.6,1.6,IF(CT112&lt;1.8,1.8,IF(CT112&lt;2,2,2.2))))))))</f>
        <v>1.2</v>
      </c>
      <c r="FO112" s="23">
        <f>IF(CU112&lt;0.6,0.6,IF(CU112&lt;0.8,0.8,IF(CU112&lt;1,1,IF(CU112&lt;1.2,1.2,IF(CU112&lt;1.4,1.4,IF(CU112&lt;1.6,1.6,IF(CU112&lt;1.8,1.8,IF(CU112&lt;2,2,2.2))))))))</f>
        <v>1.2</v>
      </c>
      <c r="FP112" s="23">
        <f>IF(CZ112&lt;0.6,0.6,IF(CZ112&lt;0.8,0.8,IF(CZ112&lt;1,1,IF(CZ112&lt;1.2,1.2,IF(CZ112&lt;1.4,1.4,IF(CZ112&lt;1.6,1.6,IF(CZ112&lt;1.8,1.8,IF(CZ112&lt;2,2,2.2))))))))</f>
        <v>1.4</v>
      </c>
      <c r="FQ112" s="23">
        <f>IF(CW112&lt;0.6,0.6,IF(CW112&lt;0.8,0.8,IF(CW112&lt;1,1,IF(CW112&lt;1.2,1.2,IF(CW112&lt;1.4,1.4,IF(CW112&lt;1.6,1.6,IF(CW112&lt;1.8,1.8,IF(CW112&lt;2,2,2.2))))))))</f>
        <v>2.2000000000000002</v>
      </c>
      <c r="FR112" s="23">
        <f>IF(CX112&lt;0.6,0.6,IF(CX112&lt;0.8,0.8,IF(CX112&lt;1,1,IF(CX112&lt;1.2,1.2,IF(CX112&lt;1.4,1.4,IF(CX112&lt;1.6,1.6,IF(CX112&lt;1.8,1.8,IF(CX112&lt;2,2,2.2))))))))</f>
        <v>2.2000000000000002</v>
      </c>
      <c r="FS112" s="23">
        <f>IF(CY112&lt;0.6,0.6,IF(CY112&lt;0.8,0.8,IF(CY112&lt;1,1,IF(CY112&lt;1.2,1.2,IF(CY112&lt;1.4,1.4,IF(CY112&lt;1.6,1.6,IF(CY112&lt;1.8,1.8,IF(CY112&lt;2,2,2.2))))))))</f>
        <v>1.2</v>
      </c>
      <c r="FT112" s="23">
        <f>IF(FR112&lt;1,1,0)</f>
        <v>0</v>
      </c>
      <c r="FU112" s="23"/>
      <c r="GE112" s="4">
        <f>IF(R112&gt;=2.5*25.4,1,1.25)</f>
        <v>1</v>
      </c>
      <c r="GF112" s="4">
        <f>IF(AN112&gt;1, 0.05*(18-MIN(8,(V112+M112)/M112))*(1-48000/MAX(60000,(I112*145))*(M112/25.4)^0.75*GG112), 1/12*(14-MIN(8,(V112+M112)/M112)))</f>
        <v>0.65</v>
      </c>
      <c r="GG112" s="4">
        <f>MIN(0.3, AL112^2*PI()/4*2*AO112/(M112^2*PI()/4*W112))</f>
        <v>0</v>
      </c>
      <c r="GH112" s="4">
        <f>(J112/25.4)/(M112/25.4)^1.5/0.0024*(L112*145)^0.25/GE112/GF112/145</f>
        <v>490.75912407641289</v>
      </c>
    </row>
    <row r="113" spans="1:190" s="4" customFormat="1" ht="12" customHeight="1" x14ac:dyDescent="0.3">
      <c r="A113" s="25">
        <v>155</v>
      </c>
      <c r="B113" s="24" t="s">
        <v>128</v>
      </c>
      <c r="C113" s="24">
        <v>2017</v>
      </c>
      <c r="D113" s="24" t="s">
        <v>309</v>
      </c>
      <c r="E113" s="24"/>
      <c r="F113" s="109" t="s">
        <v>826</v>
      </c>
      <c r="G113" s="4" t="s">
        <v>162</v>
      </c>
      <c r="H113" s="5">
        <f>SQRT(L113)/(0.19*M113)</f>
        <v>0.77894259861431181</v>
      </c>
      <c r="I113" s="72">
        <v>606</v>
      </c>
      <c r="J113" s="7">
        <f>13*M113</f>
        <v>559</v>
      </c>
      <c r="K113" s="7">
        <f>J113</f>
        <v>559</v>
      </c>
      <c r="L113" s="21">
        <v>40.5</v>
      </c>
      <c r="M113" s="88">
        <v>43</v>
      </c>
      <c r="N113" s="7">
        <f>J113/M113</f>
        <v>13</v>
      </c>
      <c r="O113" s="7">
        <f>K113/M113</f>
        <v>13</v>
      </c>
      <c r="P113" s="7">
        <f>V113+2*R113+2*M113</f>
        <v>344</v>
      </c>
      <c r="Q113" s="32">
        <f>R113/M113</f>
        <v>1</v>
      </c>
      <c r="R113" s="7">
        <f>1*M113</f>
        <v>43</v>
      </c>
      <c r="S113" s="32">
        <f>T113/M113</f>
        <v>1.3023255813953489</v>
      </c>
      <c r="T113" s="7">
        <f>40+16</f>
        <v>56</v>
      </c>
      <c r="U113" s="32">
        <f>V113/M113</f>
        <v>4</v>
      </c>
      <c r="V113" s="122">
        <f>(5-1)*M113</f>
        <v>172</v>
      </c>
      <c r="W113" s="7">
        <v>2</v>
      </c>
      <c r="X113" s="7">
        <f>AM113</f>
        <v>2</v>
      </c>
      <c r="Y113" s="32">
        <f>Z113/M113</f>
        <v>6.3410852713178283</v>
      </c>
      <c r="Z113" s="7">
        <f>2/3*J113-0.5*200</f>
        <v>272.66666666666663</v>
      </c>
      <c r="AA113" s="7">
        <f>MIN(R113/M113+0.5, V113/2/M113+0.5)</f>
        <v>1.5</v>
      </c>
      <c r="AB113" s="7">
        <f>R113/M113+0.5</f>
        <v>1.5</v>
      </c>
      <c r="AC113" s="7">
        <f>2040/510</f>
        <v>4</v>
      </c>
      <c r="AD113" s="7">
        <f>2040/510</f>
        <v>4</v>
      </c>
      <c r="AE113" s="7">
        <f>AD113+1</f>
        <v>5</v>
      </c>
      <c r="AF113" s="7">
        <f>M113*AE113^0.5</f>
        <v>96.150923032490965</v>
      </c>
      <c r="AG113" s="7">
        <f>I113</f>
        <v>606</v>
      </c>
      <c r="AH113" s="7">
        <v>19</v>
      </c>
      <c r="AI113" s="7">
        <f>(468+468)/2</f>
        <v>468</v>
      </c>
      <c r="AJ113" s="7"/>
      <c r="AK113" s="4">
        <f>CX113</f>
        <v>2.0886592223173071</v>
      </c>
      <c r="AL113" s="7">
        <v>15.9</v>
      </c>
      <c r="AM113" s="10">
        <v>2</v>
      </c>
      <c r="AN113" s="7">
        <v>120</v>
      </c>
      <c r="AO113" s="7">
        <v>4</v>
      </c>
      <c r="AP113" s="7">
        <f>AM113</f>
        <v>2</v>
      </c>
      <c r="AQ113" s="7">
        <f>3*AR113/(V113+M113)</f>
        <v>7.8</v>
      </c>
      <c r="AR113" s="4">
        <f>J113</f>
        <v>559</v>
      </c>
      <c r="AS113" s="4">
        <f>IF(J113*3&gt;V113+M113, P113, (R113+M113/2)*2+1.5*J113*(2*W113-2))*(3*J113)/(9*J113^2)</f>
        <v>0.20512820512820512</v>
      </c>
      <c r="AT113" s="4">
        <f>MIN(10*L113^0.5*J113^1.5,100*3.9*L113^0.5*J113^(5/3))/(PI()/4*M113^2)/W113</f>
        <v>289.59325025411408</v>
      </c>
      <c r="AU113" s="4">
        <f>MIN(0.7+0.3*(MIN(R113,Z113)+0.5*M113)/1.5/J113,1)</f>
        <v>0.72307692307692306</v>
      </c>
      <c r="AV113" s="4">
        <v>1.25</v>
      </c>
      <c r="AW113" s="4">
        <f>AW112</f>
        <v>5</v>
      </c>
      <c r="AX113" s="38">
        <f>AS113*AU113*AV113*AW113*AT113</f>
        <v>268.45922607383358</v>
      </c>
      <c r="AY113" s="38">
        <f>AX113</f>
        <v>268.45922607383358</v>
      </c>
      <c r="AZ113" s="38">
        <f>IF(L113&lt;50, 0.3*L113^(2/3), 2.12*LN(1+0.1*(L113+8)))</f>
        <v>3.538000882182009</v>
      </c>
      <c r="BA113" s="38">
        <f>AW113* (L113^0.5/AR113^0.5)/(PI()/4*M113^2)/W113/0.72 *(0.7+(MIN(R113,Z113)+0.5*M113)/5/J113) *(3*P113*J113)</f>
        <v>268.45922607383346</v>
      </c>
      <c r="BB113" s="38">
        <f>AX113/BA113</f>
        <v>1.0000000000000004</v>
      </c>
      <c r="BC113" s="38">
        <f>BG113/BA113</f>
        <v>0.90516538974588456</v>
      </c>
      <c r="BD113" s="4">
        <f>IF(BC113&lt;1,1,0)</f>
        <v>1</v>
      </c>
      <c r="BE113" s="4">
        <f>K113/M113*L113^0.5/0.19</f>
        <v>435.4289126254003</v>
      </c>
      <c r="BF113" s="4">
        <f>MIN(0.6+0.4*(AB113/AA113),2)</f>
        <v>1</v>
      </c>
      <c r="BG113" s="38">
        <f>2*L113*AA113*AC113^0.5*BF113*0.7/0.7</f>
        <v>243</v>
      </c>
      <c r="BH113" s="4">
        <f>MAX(1-0.7*AD113/5,0.3)</f>
        <v>0.44000000000000006</v>
      </c>
      <c r="BI113" s="4">
        <f>BH113*I113*K113/(I113*M113/2.75/L113^0.5)</f>
        <v>100.10510701257955</v>
      </c>
      <c r="BJ113" s="4">
        <f>BG113+BI113</f>
        <v>343.10510701257954</v>
      </c>
      <c r="BL113" s="4">
        <f>MIN(1.5, 0.75+0.25*MIN(3,MAX(1,R113/M113))+0.4*MIN(1,(40*2*PI()*AL113^2/4/AN113/W113)/M113))</f>
        <v>1.4</v>
      </c>
      <c r="BM113" s="4">
        <f>(3*O113+30)*BL113*L113^0.5</f>
        <v>614.75863556358433</v>
      </c>
      <c r="BO113" s="4">
        <f>3.4/PI()^0.5*L113*AA113*AD113^0.5*BF113</f>
        <v>233.06671696357813</v>
      </c>
      <c r="BP113" s="4">
        <f>8/3*AG113*AH113^2/(AF113-M113-22)/M113*(AF113^2-M113^2)/(AF113^2-(M113+22)^2)</f>
        <v>641.65616063635548</v>
      </c>
      <c r="BQ113" s="4">
        <f>BP113/BO113</f>
        <v>2.7531007815956343</v>
      </c>
      <c r="BY113" s="4">
        <f>IF(V113=0,R113,MIN(V113/2,R113))</f>
        <v>43</v>
      </c>
      <c r="CC113" s="9"/>
      <c r="CE113" s="9"/>
      <c r="CF113" s="9"/>
      <c r="CG113" s="9">
        <f>IF(V113=0,MIN(R113,T113),MIN(V113/2,R113,T113))</f>
        <v>43</v>
      </c>
      <c r="CH113" s="9">
        <f>MAX(V113/2,R113)</f>
        <v>86</v>
      </c>
      <c r="CI113" s="9">
        <f>(CG113/M113)^0.5*(CH113/CG113)^0.15</f>
        <v>1.1095694720678451</v>
      </c>
      <c r="CJ113" s="70">
        <v>20</v>
      </c>
      <c r="CK113" s="9">
        <f>MIN(PI()*AL113^2/4*AM113*2/W113/M113/MAX(0.01,AN113),0.05)</f>
        <v>0.05</v>
      </c>
      <c r="CL113" s="9">
        <f>MAX(0,CJ113*(CK113-0.5/50))</f>
        <v>0.8</v>
      </c>
      <c r="CM113" s="9">
        <f>MIN(1,(25/M113)^0.3)</f>
        <v>0.84984840943171969</v>
      </c>
      <c r="CN113" s="9">
        <f>IF(I113&gt;=800,0.68,IF(I113&gt;=700,0.75-(I113-700)*0.07/100,IF(I113&gt;=600,0.85-(I113-600)*0.1/100,IF(I113&gt;=500,1-(I113-500)*0.15/100,1.2-(I113-400)*0.2/100))))</f>
        <v>0.84399999999999997</v>
      </c>
      <c r="CO113" s="9">
        <f>1.75*CM113*CN113*(L113/25)^0.5</f>
        <v>1.5976419979481837</v>
      </c>
      <c r="CP113" s="9">
        <f>MIN((CI113+CL113)*CO113,2.5*CO113,L113^0.5)</f>
        <v>3.0508083865753304</v>
      </c>
      <c r="CQ113" s="9">
        <v>1</v>
      </c>
      <c r="CR113" s="9">
        <f>4*CP113*O113+60*CP113</f>
        <v>341.69053929643701</v>
      </c>
      <c r="CT113" s="4">
        <f>AI113/BE113</f>
        <v>1.0748023074035522</v>
      </c>
      <c r="CU113" s="4">
        <f>AI113/BJ113</f>
        <v>1.3640135061669056</v>
      </c>
      <c r="CV113" s="4">
        <f>AI113/BM113</f>
        <v>0.76127438140166614</v>
      </c>
      <c r="CW113" s="4">
        <f>AI113/CR113</f>
        <v>1.3696603978665678</v>
      </c>
      <c r="CX113" s="4">
        <f>AI113/DY113</f>
        <v>2.0886592223173071</v>
      </c>
      <c r="CY113" s="4">
        <f>AI113/EK113</f>
        <v>1.1802441564682067</v>
      </c>
      <c r="CZ113" s="4">
        <f>AI113/GH113</f>
        <v>1.1449507661346809</v>
      </c>
      <c r="DH113" s="4">
        <f>CT113</f>
        <v>1.0748023074035522</v>
      </c>
      <c r="DI113" s="4">
        <f>CU113</f>
        <v>1.3640135061669056</v>
      </c>
      <c r="DJ113" s="4">
        <f>CW113</f>
        <v>1.3696603978665678</v>
      </c>
      <c r="DK113" s="4">
        <f>CZ113</f>
        <v>1.1449507661346809</v>
      </c>
      <c r="DL113" s="4">
        <f>CX113</f>
        <v>2.0886592223173071</v>
      </c>
      <c r="DM113" s="4">
        <f>CY113</f>
        <v>1.1802441564682067</v>
      </c>
      <c r="DO113" s="4">
        <f>AM113</f>
        <v>2</v>
      </c>
      <c r="DP113" s="4">
        <f>K113</f>
        <v>559</v>
      </c>
      <c r="DS113" s="4">
        <f>J113/4/(1-0.3*(L113/30)^0.5)/200000/M113</f>
        <v>2.4945063339588327E-5</v>
      </c>
      <c r="DT113" s="4">
        <f>EO113</f>
        <v>6.7526954191214541</v>
      </c>
      <c r="DU113" s="4">
        <f>EB113*AF113/257/L113/AC113</f>
        <v>0</v>
      </c>
      <c r="DV113" s="4">
        <f>DT113*DU113^0.4</f>
        <v>0</v>
      </c>
      <c r="DW113" s="4">
        <f>MIN(DT113, DT113/1.4*(1-DU113^1.4)/(1-DU113))</f>
        <v>4.8233538708010393</v>
      </c>
      <c r="DX113" s="4">
        <f>MAX(DT113/2, (4-DS113*(8*AF113*(DV113-DW113)+6*J113*DW113))/(4+DS113*J113*DT113)*DT113)</f>
        <v>6.0844443254557925</v>
      </c>
      <c r="DY113" s="38">
        <f>MIN(1/M113*(4*AF113*(DV113-DW113)+(3*DW113+DX113)*J113)+EB113 -FI113,MAX(I113,AI113))</f>
        <v>224.06718865357436</v>
      </c>
      <c r="DZ113" s="4">
        <f>DY113/FE113</f>
        <v>0.9696757195350677</v>
      </c>
      <c r="EA113" s="4">
        <f>AF113/M113</f>
        <v>2.2360679774997898</v>
      </c>
      <c r="EB113" s="4">
        <f>MIN(EA$10*BA113)</f>
        <v>0</v>
      </c>
      <c r="EF113" s="4">
        <f>IF(T113&gt;1*M113,0.85,1)</f>
        <v>0.85</v>
      </c>
      <c r="EG113" s="4">
        <f>MIN(1,MAX(0.7,(1-0.1*(BY113-1*M113)/M113)))</f>
        <v>1</v>
      </c>
      <c r="EH113" s="4">
        <f>MIN(1,MAX(0.7,1-0.3*(PI()*AL113^2/4*AP113*2-0.25*PI()/4*M113^2)/(PI()/4*M113^2)))</f>
        <v>0.91092644672796108</v>
      </c>
      <c r="EI113" s="4">
        <f>IF(EG113*EH113&lt;0.7,0.7,EG113*EH113)</f>
        <v>0.91092644672796108</v>
      </c>
      <c r="EK113" s="4">
        <f>MIN(DT113/M113*3*J113+EL113-FI113,MAX(I113,AI113))</f>
        <v>396.52812296097733</v>
      </c>
      <c r="EL113" s="25">
        <f>13.3*P113*J113^0.5*L113^0.5/W113/M113^2*(0.7+R113/5/J113)</f>
        <v>133.17300161524059</v>
      </c>
      <c r="EO113" s="4">
        <f>IF(M113&lt;22.2,1.1*5*(L113/30)^0.5,IF(M113&gt;=31.8,0.9*5*(L113/30)^0.5,1*5*(L113/30)^0.5))/EF113/EI113</f>
        <v>6.7526954191214541</v>
      </c>
      <c r="ER113" s="4">
        <f>ES113*M113</f>
        <v>96.150923032490965</v>
      </c>
      <c r="ES113" s="4">
        <f>AE113^0.5</f>
        <v>2.2360679774997898</v>
      </c>
      <c r="ET113" s="4">
        <f>MIN(EB113)/(4700*L113^0.5)/AD113*ER113</f>
        <v>0</v>
      </c>
      <c r="EW113" s="4">
        <f>ET113</f>
        <v>0</v>
      </c>
      <c r="EX113" s="4">
        <f>MIN(0.999, EW113/(0.3*(L113/30)^0.5))</f>
        <v>0</v>
      </c>
      <c r="EY113" s="4">
        <f>EO113/1*EX113^0.4</f>
        <v>0</v>
      </c>
      <c r="EZ113" s="4">
        <f>EO113/1.4*(1-EX113^1.4)/(1-EX113)</f>
        <v>4.8233538708010393</v>
      </c>
      <c r="FA113" s="4">
        <f>MAX(0,DP113*FA$9-ER113)</f>
        <v>0</v>
      </c>
      <c r="FB113" s="4">
        <f>MAX(0,DP113-ER113-FA113)</f>
        <v>462.84907696750906</v>
      </c>
      <c r="FC113" s="4">
        <f>FB113/(1-0.3*(L113/30)^0.5)/200000/M113</f>
        <v>8.2617528025935637E-5</v>
      </c>
      <c r="FD113" s="4">
        <f>MAX(0.5*EO113, (1-2*FC113*(ER113*EY113+FA113*EZ113))/(1/EO113+FC113*FB113))</f>
        <v>5.3668666717782809</v>
      </c>
      <c r="FE113" s="4">
        <f>MIN(4/M113*(1*EY113*ER113+EZ113*FA113+FB113*FD113)+EB113,MAX(I113,AI113))</f>
        <v>231.07435211537347</v>
      </c>
      <c r="FN113" s="23">
        <f>IF(CT113&lt;0.6,0.6,IF(CT113&lt;0.8,0.8,IF(CT113&lt;1,1,IF(CT113&lt;1.2,1.2,IF(CT113&lt;1.4,1.4,IF(CT113&lt;1.6,1.6,IF(CT113&lt;1.8,1.8,IF(CT113&lt;2,2,2.2))))))))</f>
        <v>1.2</v>
      </c>
      <c r="FO113" s="23">
        <f>IF(CU113&lt;0.6,0.6,IF(CU113&lt;0.8,0.8,IF(CU113&lt;1,1,IF(CU113&lt;1.2,1.2,IF(CU113&lt;1.4,1.4,IF(CU113&lt;1.6,1.6,IF(CU113&lt;1.8,1.8,IF(CU113&lt;2,2,2.2))))))))</f>
        <v>1.4</v>
      </c>
      <c r="FP113" s="23">
        <f>IF(CZ113&lt;0.6,0.6,IF(CZ113&lt;0.8,0.8,IF(CZ113&lt;1,1,IF(CZ113&lt;1.2,1.2,IF(CZ113&lt;1.4,1.4,IF(CZ113&lt;1.6,1.6,IF(CZ113&lt;1.8,1.8,IF(CZ113&lt;2,2,2.2))))))))</f>
        <v>1.2</v>
      </c>
      <c r="FQ113" s="23">
        <f>IF(CW113&lt;0.6,0.6,IF(CW113&lt;0.8,0.8,IF(CW113&lt;1,1,IF(CW113&lt;1.2,1.2,IF(CW113&lt;1.4,1.4,IF(CW113&lt;1.6,1.6,IF(CW113&lt;1.8,1.8,IF(CW113&lt;2,2,2.2))))))))</f>
        <v>1.4</v>
      </c>
      <c r="FR113" s="23">
        <f>IF(CX113&lt;0.6,0.6,IF(CX113&lt;0.8,0.8,IF(CX113&lt;1,1,IF(CX113&lt;1.2,1.2,IF(CX113&lt;1.4,1.4,IF(CX113&lt;1.6,1.6,IF(CX113&lt;1.8,1.8,IF(CX113&lt;2,2,2.2))))))))</f>
        <v>2.2000000000000002</v>
      </c>
      <c r="FS113" s="23">
        <f>IF(CY113&lt;0.6,0.6,IF(CY113&lt;0.8,0.8,IF(CY113&lt;1,1,IF(CY113&lt;1.2,1.2,IF(CY113&lt;1.4,1.4,IF(CY113&lt;1.6,1.6,IF(CY113&lt;1.8,1.8,IF(CY113&lt;2,2,2.2))))))))</f>
        <v>1.2</v>
      </c>
      <c r="FT113" s="23">
        <f>IF(FR113&lt;1,1,0)</f>
        <v>0</v>
      </c>
      <c r="FU113" s="23"/>
      <c r="GE113" s="4">
        <f>IF(R113&gt;=2.5*25.4,1,1.25)</f>
        <v>1.25</v>
      </c>
      <c r="GF113" s="4">
        <f>IF(AN113&gt;1, 0.05*(18-MIN(8,(V113+M113)/M113))*(1-48000/MAX(60000,(I113*145))*(M113/25.4)^0.75*GG113), 1/12*(14-MIN(8,(V113+M113)/M113)))</f>
        <v>0.49190749660801991</v>
      </c>
      <c r="GG113" s="4">
        <f>MIN(0.3, AL113^2*PI()/4*2*AO113/(M113^2*PI()/4*W113))</f>
        <v>0.3</v>
      </c>
      <c r="GH113" s="4">
        <f>(J113/25.4)/(M113/25.4)^1.5/0.0024*(L113*145)^0.25/GE113/GF113/145</f>
        <v>408.75120035069614</v>
      </c>
    </row>
    <row r="114" spans="1:190" s="4" customFormat="1" ht="12" customHeight="1" x14ac:dyDescent="0.3">
      <c r="A114" s="25">
        <v>156</v>
      </c>
      <c r="B114" s="24" t="s">
        <v>128</v>
      </c>
      <c r="C114" s="24">
        <v>2017</v>
      </c>
      <c r="D114" s="24" t="s">
        <v>309</v>
      </c>
      <c r="E114" s="24"/>
      <c r="F114" s="109" t="s">
        <v>826</v>
      </c>
      <c r="G114" s="4" t="s">
        <v>163</v>
      </c>
      <c r="H114" s="5">
        <f>SQRT(L114)/(0.19*M114)</f>
        <v>0.79134540392874486</v>
      </c>
      <c r="I114" s="72">
        <v>606</v>
      </c>
      <c r="J114" s="7">
        <f>13*M114</f>
        <v>559</v>
      </c>
      <c r="K114" s="7">
        <f>J114</f>
        <v>559</v>
      </c>
      <c r="L114" s="21">
        <v>41.8</v>
      </c>
      <c r="M114" s="88">
        <v>43</v>
      </c>
      <c r="N114" s="7">
        <f>J114/M114</f>
        <v>13</v>
      </c>
      <c r="O114" s="7">
        <f>K114/M114</f>
        <v>13</v>
      </c>
      <c r="P114" s="7">
        <f>V114+2*R114+2*M114</f>
        <v>430</v>
      </c>
      <c r="Q114" s="32">
        <f>R114/M114</f>
        <v>2</v>
      </c>
      <c r="R114" s="7">
        <f>2*M114</f>
        <v>86</v>
      </c>
      <c r="S114" s="32">
        <f>T114/M114</f>
        <v>1.3023255813953489</v>
      </c>
      <c r="T114" s="7">
        <f>40+16</f>
        <v>56</v>
      </c>
      <c r="U114" s="32">
        <f>V114/M114</f>
        <v>4</v>
      </c>
      <c r="V114" s="122">
        <f>(5-1)*M114</f>
        <v>172</v>
      </c>
      <c r="W114" s="7">
        <v>2</v>
      </c>
      <c r="X114" s="7">
        <f>AM114</f>
        <v>2</v>
      </c>
      <c r="Y114" s="32">
        <f>Z114/M114</f>
        <v>6.3410852713178283</v>
      </c>
      <c r="Z114" s="7">
        <f>2/3*J114-0.5*200</f>
        <v>272.66666666666663</v>
      </c>
      <c r="AA114" s="7">
        <f>MIN(R114/M114+0.5, V114/2/M114+0.5)</f>
        <v>2.5</v>
      </c>
      <c r="AB114" s="7">
        <f>R114/M114+0.5</f>
        <v>2.5</v>
      </c>
      <c r="AC114" s="7">
        <f>2040/510</f>
        <v>4</v>
      </c>
      <c r="AD114" s="7">
        <f>2040/510</f>
        <v>4</v>
      </c>
      <c r="AE114" s="7">
        <f>AD114+1</f>
        <v>5</v>
      </c>
      <c r="AF114" s="7">
        <f>M114*AE114^0.5</f>
        <v>96.150923032490965</v>
      </c>
      <c r="AG114" s="7">
        <f>I114</f>
        <v>606</v>
      </c>
      <c r="AH114" s="7">
        <v>19</v>
      </c>
      <c r="AI114" s="7">
        <f>(644+644)/2</f>
        <v>644</v>
      </c>
      <c r="AJ114" s="7"/>
      <c r="AK114" s="4">
        <f>CX114</f>
        <v>2.559568013105364</v>
      </c>
      <c r="AL114" s="7">
        <v>15.9</v>
      </c>
      <c r="AM114" s="10">
        <v>2</v>
      </c>
      <c r="AN114" s="7">
        <v>120</v>
      </c>
      <c r="AO114" s="7">
        <v>4</v>
      </c>
      <c r="AP114" s="7">
        <f>AM114</f>
        <v>2</v>
      </c>
      <c r="AQ114" s="7">
        <f>3*AR114/(V114+M114)</f>
        <v>7.8</v>
      </c>
      <c r="AR114" s="4">
        <f>J114</f>
        <v>559</v>
      </c>
      <c r="AS114" s="4">
        <f>IF(J114*3&gt;V114+M114, P114, (R114+M114/2)*2+1.5*J114*(2*W114-2))*(3*J114)/(9*J114^2)</f>
        <v>0.25641025641025639</v>
      </c>
      <c r="AT114" s="4">
        <f>MIN(10*L114^0.5*J114^1.5,100*3.9*L114^0.5*J114^(5/3))/(PI()/4*M114^2)/W114</f>
        <v>294.20433290598754</v>
      </c>
      <c r="AU114" s="4">
        <f>MIN(0.7+0.3*(MIN(R114,Z114)+0.5*M114)/1.5/J114,1)</f>
        <v>0.73846153846153839</v>
      </c>
      <c r="AV114" s="4">
        <v>1.25</v>
      </c>
      <c r="AW114" s="4">
        <f>AW113</f>
        <v>5</v>
      </c>
      <c r="AX114" s="38">
        <f>AS114*AU114*AV114*AW114*AT114</f>
        <v>348.17080817276627</v>
      </c>
      <c r="AY114" s="38">
        <f>AX114</f>
        <v>348.17080817276627</v>
      </c>
      <c r="AZ114" s="38">
        <f>IF(L114&lt;50, 0.3*L114^(2/3), 2.12*LN(1+0.1*(L114+8)))</f>
        <v>3.613311826901703</v>
      </c>
      <c r="BA114" s="38">
        <f>AW114* (L114^0.5/AR114^0.5)/(PI()/4*M114^2)/W114/0.72 *(0.7+(MIN(R114,Z114)+0.5*M114)/5/J114) *(3*P114*J114)</f>
        <v>348.17080817276616</v>
      </c>
      <c r="BB114" s="38">
        <f>AX114/BA114</f>
        <v>1.0000000000000002</v>
      </c>
      <c r="BC114" s="38">
        <f>BG114/BA114</f>
        <v>1.2005601566475494</v>
      </c>
      <c r="BD114" s="4">
        <f>IF(BC114&lt;1,1,0)</f>
        <v>0</v>
      </c>
      <c r="BE114" s="4">
        <f>K114/M114*L114^0.5/0.19</f>
        <v>442.36208079616836</v>
      </c>
      <c r="BF114" s="4">
        <f>MIN(0.6+0.4*(AB114/AA114),2)</f>
        <v>1</v>
      </c>
      <c r="BG114" s="38">
        <f>2*L114*AA114*AC114^0.5*BF114*0.7/0.7</f>
        <v>418</v>
      </c>
      <c r="BH114" s="4">
        <f>MAX(1-0.7*AD114/5,0.3)</f>
        <v>0.44000000000000006</v>
      </c>
      <c r="BI114" s="4">
        <f>BH114*I114*K114/(I114*M114/2.75/L114^0.5)</f>
        <v>101.69904237503914</v>
      </c>
      <c r="BJ114" s="4">
        <f>BG114+BI114</f>
        <v>519.6990423750392</v>
      </c>
      <c r="BL114" s="4">
        <f>MIN(1.5, 0.75+0.25*MIN(3,MAX(1,R114/M114))+0.4*MIN(1,(40*2*PI()*AL114^2/4/AN114/W114)/M114))</f>
        <v>1.5</v>
      </c>
      <c r="BM114" s="4">
        <f>(3*O114+30)*BL114*L114^0.5</f>
        <v>669.15771683512696</v>
      </c>
      <c r="BO114" s="4">
        <f>3.4/PI()^0.5*L114*AA114*AD114^0.5*BF114</f>
        <v>400.91311806903559</v>
      </c>
      <c r="BP114" s="4">
        <f>8/3*AG114*AH114^2/(AF114-M114-22)/M114*(AF114^2-M114^2)/(AF114^2-(M114+22)^2)</f>
        <v>641.65616063635548</v>
      </c>
      <c r="BQ114" s="4">
        <f>BP114/BO114</f>
        <v>1.6004868180089455</v>
      </c>
      <c r="BY114" s="4">
        <f>IF(V114=0,R114,MIN(V114/2,R114))</f>
        <v>86</v>
      </c>
      <c r="CC114" s="9"/>
      <c r="CE114" s="9"/>
      <c r="CF114" s="9"/>
      <c r="CG114" s="9">
        <f>IF(V114=0,MIN(R114,T114),MIN(V114/2,R114,T114))</f>
        <v>56</v>
      </c>
      <c r="CH114" s="9">
        <f>MAX(V114/2,R114)</f>
        <v>86</v>
      </c>
      <c r="CI114" s="9">
        <f>(CG114/M114)^0.5*(CH114/CG114)^0.15</f>
        <v>1.2170441953580799</v>
      </c>
      <c r="CJ114" s="70">
        <v>20</v>
      </c>
      <c r="CK114" s="9">
        <f>MIN(PI()*AL114^2/4*AM114*2/W114/M114/MAX(0.01,AN114),0.05)</f>
        <v>0.05</v>
      </c>
      <c r="CL114" s="9">
        <f>MAX(0,CJ114*(CK114-0.5/50))</f>
        <v>0.8</v>
      </c>
      <c r="CM114" s="9">
        <f>MIN(1,(25/M114)^0.3)</f>
        <v>0.84984840943171969</v>
      </c>
      <c r="CN114" s="9">
        <f>IF(I114&gt;=800,0.68,IF(I114&gt;=700,0.75-(I114-700)*0.07/100,IF(I114&gt;=600,0.85-(I114-600)*0.1/100,IF(I114&gt;=500,1-(I114-500)*0.15/100,1.2-(I114-400)*0.2/100))))</f>
        <v>0.84399999999999997</v>
      </c>
      <c r="CO114" s="9">
        <f>1.75*CM114*CN114*(L114/25)^0.5</f>
        <v>1.6230806409213159</v>
      </c>
      <c r="CP114" s="9">
        <f>MIN((CI114+CL114)*CO114,2.5*CO114,L114^0.5)</f>
        <v>3.2738253853684127</v>
      </c>
      <c r="CQ114" s="9">
        <v>1</v>
      </c>
      <c r="CR114" s="9">
        <f>4*CP114*O114+60*CP114</f>
        <v>366.66844316126219</v>
      </c>
      <c r="CT114" s="4">
        <f>AI114/BE114</f>
        <v>1.455820984567487</v>
      </c>
      <c r="CU114" s="4">
        <f>AI114/BJ114</f>
        <v>1.2391787313228477</v>
      </c>
      <c r="CV114" s="4">
        <f>AI114/BM114</f>
        <v>0.9624039053840493</v>
      </c>
      <c r="CW114" s="4">
        <f>AI114/CR114</f>
        <v>1.7563551268489346</v>
      </c>
      <c r="CX114" s="4">
        <f>AI114/DY114</f>
        <v>2.559568013105364</v>
      </c>
      <c r="CY114" s="4">
        <f>AI114/EK114</f>
        <v>1.3701259564751176</v>
      </c>
      <c r="CZ114" s="4">
        <f>AI114/GH114</f>
        <v>1.2505080698215565</v>
      </c>
      <c r="DH114" s="4">
        <f>CT114</f>
        <v>1.455820984567487</v>
      </c>
      <c r="DI114" s="4">
        <f>CU114</f>
        <v>1.2391787313228477</v>
      </c>
      <c r="DJ114" s="4">
        <f>CW114</f>
        <v>1.7563551268489346</v>
      </c>
      <c r="DK114" s="4">
        <f>CZ114</f>
        <v>1.2505080698215565</v>
      </c>
      <c r="DL114" s="4">
        <f>CX114</f>
        <v>2.559568013105364</v>
      </c>
      <c r="DM114" s="4">
        <f>CY114</f>
        <v>1.3701259564751176</v>
      </c>
      <c r="DO114" s="4">
        <f>AM114</f>
        <v>2</v>
      </c>
      <c r="DP114" s="4">
        <f>K114</f>
        <v>559</v>
      </c>
      <c r="DS114" s="4">
        <f>J114/4/(1-0.3*(L114/30)^0.5)/200000/M114</f>
        <v>2.5159418755006149E-5</v>
      </c>
      <c r="DT114" s="4">
        <f>EO114</f>
        <v>7.6224622307194574</v>
      </c>
      <c r="DU114" s="4">
        <f>EB114*AF114/257/L114/AC114</f>
        <v>0</v>
      </c>
      <c r="DV114" s="4">
        <f>DT114*DU114^0.4</f>
        <v>0</v>
      </c>
      <c r="DW114" s="4">
        <f>MIN(DT114, DT114/1.4*(1-DU114^1.4)/(1-DU114))</f>
        <v>5.444615879085327</v>
      </c>
      <c r="DX114" s="4">
        <f>MAX(DT114/2, (4-DS114*(8*AF114*(DV114-DW114)+6*J114*DW114))/(4+DS114*J114*DT114)*DT114)</f>
        <v>6.7663894332442709</v>
      </c>
      <c r="DY114" s="38">
        <f>MIN(1/M114*(4*AF114*(DV114-DW114)+(3*DW114+DX114)*J114)+EB114 -FI114,MAX(I114,AI114))</f>
        <v>251.604957048465</v>
      </c>
      <c r="DZ114" s="4">
        <f>DY114/FE114</f>
        <v>0.99202289142067501</v>
      </c>
      <c r="EA114" s="4">
        <f>AF114/M114</f>
        <v>2.2360679774997898</v>
      </c>
      <c r="EB114" s="4">
        <f>MIN(EA$10*BA114)</f>
        <v>0</v>
      </c>
      <c r="EF114" s="4">
        <f>IF(T114&gt;1*M114,0.85,1)</f>
        <v>0.85</v>
      </c>
      <c r="EG114" s="4">
        <f>MIN(1,MAX(0.7,(1-0.1*(BY114-1*M114)/M114)))</f>
        <v>0.9</v>
      </c>
      <c r="EH114" s="4">
        <f>MIN(1,MAX(0.7,1-0.3*(PI()*AL114^2/4*AP114*2-0.25*PI()/4*M114^2)/(PI()/4*M114^2)))</f>
        <v>0.91092644672796108</v>
      </c>
      <c r="EI114" s="4">
        <f>IF(EG114*EH114&lt;0.7,0.7,EG114*EH114)</f>
        <v>0.81983380205516498</v>
      </c>
      <c r="EK114" s="4">
        <f>MIN(DT114/M114*3*J114+EL114-FI114,MAX(I114,AI114))</f>
        <v>470.02977861743432</v>
      </c>
      <c r="EL114" s="25">
        <f>13.3*P114*J114^0.5*L114^0.5/W114/M114^2*(0.7+R114/5/J114)</f>
        <v>172.75375161937544</v>
      </c>
      <c r="EO114" s="4">
        <f>IF(M114&lt;22.2,1.1*5*(L114/30)^0.5,IF(M114&gt;=31.8,0.9*5*(L114/30)^0.5,1*5*(L114/30)^0.5))/EF114/EI114</f>
        <v>7.6224622307194574</v>
      </c>
      <c r="ER114" s="4">
        <f>ES114*M114</f>
        <v>96.150923032490965</v>
      </c>
      <c r="ES114" s="4">
        <f>AE114^0.5</f>
        <v>2.2360679774997898</v>
      </c>
      <c r="ET114" s="4">
        <f>MIN(EB114)/(4700*L114^0.5)/AD114*ER114</f>
        <v>0</v>
      </c>
      <c r="EW114" s="4">
        <f>ET114</f>
        <v>0</v>
      </c>
      <c r="EX114" s="4">
        <f>MIN(0.999, EW114/(0.3*(L114/30)^0.5))</f>
        <v>0</v>
      </c>
      <c r="EY114" s="4">
        <f>EO114/1*EX114^0.4</f>
        <v>0</v>
      </c>
      <c r="EZ114" s="4">
        <f>EO114/1.4*(1-EX114^1.4)/(1-EX114)</f>
        <v>5.444615879085327</v>
      </c>
      <c r="FA114" s="4">
        <f>MAX(0,DP114*FA$9-ER114)</f>
        <v>0</v>
      </c>
      <c r="FB114" s="4">
        <f>MAX(0,DP114-ER114-FA114)</f>
        <v>462.84907696750906</v>
      </c>
      <c r="FC114" s="4">
        <f>FB114/(1-0.3*(L114/30)^0.5)/200000/M114</f>
        <v>8.3327468678308643E-5</v>
      </c>
      <c r="FD114" s="4">
        <f>MAX(0.5*EO114, (1-2*FC114*(ER114*EY114+FA114*EZ114))/(1/EO114+FC114*FB114))</f>
        <v>5.8906953337643184</v>
      </c>
      <c r="FE114" s="4">
        <f>MIN(4/M114*(1*EY114*ER114+EZ114*FA114+FB114*FD114)+EB114,MAX(I114,AI114))</f>
        <v>253.62817655159327</v>
      </c>
      <c r="FN114" s="23">
        <f>IF(CT114&lt;0.6,0.6,IF(CT114&lt;0.8,0.8,IF(CT114&lt;1,1,IF(CT114&lt;1.2,1.2,IF(CT114&lt;1.4,1.4,IF(CT114&lt;1.6,1.6,IF(CT114&lt;1.8,1.8,IF(CT114&lt;2,2,2.2))))))))</f>
        <v>1.6</v>
      </c>
      <c r="FO114" s="23">
        <f>IF(CU114&lt;0.6,0.6,IF(CU114&lt;0.8,0.8,IF(CU114&lt;1,1,IF(CU114&lt;1.2,1.2,IF(CU114&lt;1.4,1.4,IF(CU114&lt;1.6,1.6,IF(CU114&lt;1.8,1.8,IF(CU114&lt;2,2,2.2))))))))</f>
        <v>1.4</v>
      </c>
      <c r="FP114" s="23">
        <f>IF(CZ114&lt;0.6,0.6,IF(CZ114&lt;0.8,0.8,IF(CZ114&lt;1,1,IF(CZ114&lt;1.2,1.2,IF(CZ114&lt;1.4,1.4,IF(CZ114&lt;1.6,1.6,IF(CZ114&lt;1.8,1.8,IF(CZ114&lt;2,2,2.2))))))))</f>
        <v>1.4</v>
      </c>
      <c r="FQ114" s="23">
        <f>IF(CW114&lt;0.6,0.6,IF(CW114&lt;0.8,0.8,IF(CW114&lt;1,1,IF(CW114&lt;1.2,1.2,IF(CW114&lt;1.4,1.4,IF(CW114&lt;1.6,1.6,IF(CW114&lt;1.8,1.8,IF(CW114&lt;2,2,2.2))))))))</f>
        <v>1.8</v>
      </c>
      <c r="FR114" s="23">
        <f>IF(CX114&lt;0.6,0.6,IF(CX114&lt;0.8,0.8,IF(CX114&lt;1,1,IF(CX114&lt;1.2,1.2,IF(CX114&lt;1.4,1.4,IF(CX114&lt;1.6,1.6,IF(CX114&lt;1.8,1.8,IF(CX114&lt;2,2,2.2))))))))</f>
        <v>2.2000000000000002</v>
      </c>
      <c r="FS114" s="23">
        <f>IF(CY114&lt;0.6,0.6,IF(CY114&lt;0.8,0.8,IF(CY114&lt;1,1,IF(CY114&lt;1.2,1.2,IF(CY114&lt;1.4,1.4,IF(CY114&lt;1.6,1.6,IF(CY114&lt;1.8,1.8,IF(CY114&lt;2,2,2.2))))))))</f>
        <v>1.4</v>
      </c>
      <c r="FT114" s="23">
        <f>IF(FR114&lt;1,1,0)</f>
        <v>0</v>
      </c>
      <c r="FU114" s="23"/>
      <c r="GE114" s="4">
        <f>IF(R114&gt;=2.5*25.4,1,1.25)</f>
        <v>1</v>
      </c>
      <c r="GF114" s="4">
        <f>IF(AN114&gt;1, 0.05*(18-MIN(8,(V114+M114)/M114))*(1-48000/MAX(60000,(I114*145))*(M114/25.4)^0.75*GG114), 1/12*(14-MIN(8,(V114+M114)/M114)))</f>
        <v>0.49190749660801991</v>
      </c>
      <c r="GG114" s="4">
        <f>MIN(0.3, AL114^2*PI()/4*2*AO114/(M114^2*PI()/4*W114))</f>
        <v>0.3</v>
      </c>
      <c r="GH114" s="4">
        <f>(J114/25.4)/(M114/25.4)^1.5/0.0024*(L114*145)^0.25/GE114/GF114/145</f>
        <v>514.99067902208481</v>
      </c>
    </row>
    <row r="115" spans="1:190" s="4" customFormat="1" ht="12" customHeight="1" x14ac:dyDescent="0.3">
      <c r="A115" s="25">
        <v>151</v>
      </c>
      <c r="B115" s="24" t="s">
        <v>128</v>
      </c>
      <c r="C115" s="24">
        <v>2017</v>
      </c>
      <c r="D115" s="24" t="s">
        <v>309</v>
      </c>
      <c r="E115" s="24"/>
      <c r="F115" s="109" t="s">
        <v>825</v>
      </c>
      <c r="G115" s="44" t="s">
        <v>181</v>
      </c>
      <c r="H115" s="5">
        <f>SQRT(L115)/(0.19*M115)</f>
        <v>0.88432763124545621</v>
      </c>
      <c r="I115" s="72">
        <v>606</v>
      </c>
      <c r="J115" s="7">
        <f>10*M115</f>
        <v>430</v>
      </c>
      <c r="K115" s="7">
        <f>J115</f>
        <v>430</v>
      </c>
      <c r="L115" s="80">
        <v>52.2</v>
      </c>
      <c r="M115" s="88">
        <v>43</v>
      </c>
      <c r="N115" s="7">
        <f>J115/M115</f>
        <v>10</v>
      </c>
      <c r="O115" s="7">
        <f>K115/M115</f>
        <v>10</v>
      </c>
      <c r="P115" s="7">
        <f>V115+2*R115+2*M115</f>
        <v>541.79999999999995</v>
      </c>
      <c r="Q115" s="32">
        <f>R115/M115</f>
        <v>1</v>
      </c>
      <c r="R115" s="7">
        <f>1*M115</f>
        <v>43</v>
      </c>
      <c r="S115" s="32">
        <f>T115/M115</f>
        <v>1.3023255813953489</v>
      </c>
      <c r="T115" s="7">
        <f>40+16</f>
        <v>56</v>
      </c>
      <c r="U115" s="32">
        <f>V115/M115</f>
        <v>8.6</v>
      </c>
      <c r="V115" s="122">
        <f>(9.6-1)*M115</f>
        <v>369.8</v>
      </c>
      <c r="W115" s="7">
        <v>2</v>
      </c>
      <c r="X115" s="7">
        <f>AM115</f>
        <v>1</v>
      </c>
      <c r="Y115" s="32">
        <f>Z115/M115</f>
        <v>5.2131782945736429</v>
      </c>
      <c r="Z115" s="7">
        <f>2/3*J115-0.5*125</f>
        <v>224.16666666666663</v>
      </c>
      <c r="AA115" s="7">
        <f>MIN(R115/M115+0.5, V115/2/M115+0.5)</f>
        <v>1.5</v>
      </c>
      <c r="AB115" s="7">
        <f>R115/M115+0.5</f>
        <v>1.5</v>
      </c>
      <c r="AC115" s="7">
        <f>2040/510</f>
        <v>4</v>
      </c>
      <c r="AD115" s="7">
        <f>2040/510</f>
        <v>4</v>
      </c>
      <c r="AE115" s="7">
        <f>AD115+1</f>
        <v>5</v>
      </c>
      <c r="AF115" s="7">
        <f>M115*AE115^0.5</f>
        <v>96.150923032490965</v>
      </c>
      <c r="AG115" s="7">
        <f>I115</f>
        <v>606</v>
      </c>
      <c r="AH115" s="7">
        <v>19</v>
      </c>
      <c r="AI115" s="7">
        <f>(489+498)/2</f>
        <v>493.5</v>
      </c>
      <c r="AJ115" s="7"/>
      <c r="AK115" s="4">
        <f>CX115</f>
        <v>2.873158375561168</v>
      </c>
      <c r="AL115" s="7">
        <v>15.9</v>
      </c>
      <c r="AM115" s="7">
        <v>1</v>
      </c>
      <c r="AN115" s="7">
        <v>370</v>
      </c>
      <c r="AO115" s="7">
        <v>2</v>
      </c>
      <c r="AP115" s="7">
        <f>AM115</f>
        <v>1</v>
      </c>
      <c r="AQ115" s="7">
        <f>3*AR115/(V115+M115)</f>
        <v>3.125</v>
      </c>
      <c r="AR115" s="4">
        <f>J115</f>
        <v>430</v>
      </c>
      <c r="AS115" s="4">
        <f>IF(J115*3&gt;V115+M115, P115, (R115+M115/2)*2+1.5*J115*(2*W115-2))*(3*J115)/(9*J115^2)</f>
        <v>0.41999999999999993</v>
      </c>
      <c r="AT115" s="4">
        <f>MIN(10*L115^0.5*J115^1.5,100*3.9*L115^0.5*J115^(5/3))/(PI()/4*M115^2)/W115</f>
        <v>221.8100126942922</v>
      </c>
      <c r="AU115" s="4">
        <f>MIN(0.7+0.3*(MIN(R115,Z115)+0.5*M115)/1.5/J115,1)</f>
        <v>0.73</v>
      </c>
      <c r="AV115" s="4">
        <v>1.25</v>
      </c>
      <c r="AW115" s="4">
        <f>AW113</f>
        <v>5</v>
      </c>
      <c r="AX115" s="38">
        <f>AS115*AU115*AV115*AW115*AT115</f>
        <v>425.04343682543731</v>
      </c>
      <c r="AY115" s="38">
        <f>AX115</f>
        <v>425.04343682543731</v>
      </c>
      <c r="AZ115" s="38">
        <f>IF(L115&lt;50, 0.3*L115^(2/3), 2.12*LN(1+0.1*(L115+8)))</f>
        <v>4.1313780222399661</v>
      </c>
      <c r="BA115" s="38">
        <f>AW115* (L115^0.5/AR115^0.5)/(PI()/4*M115^2)/W115/0.72 *(0.7+(MIN(R115,Z115)+0.5*M115)/5/J115) *(3*P115*J115)</f>
        <v>425.04343682543782</v>
      </c>
      <c r="BB115" s="38">
        <f>AX115/BA115</f>
        <v>0.99999999999999878</v>
      </c>
      <c r="BC115" s="38">
        <f>BG115/BA115</f>
        <v>0.73686586561417478</v>
      </c>
      <c r="BD115" s="4">
        <f>IF(BC115&lt;1,1,0)</f>
        <v>1</v>
      </c>
      <c r="BE115" s="4">
        <f>K115/M115*L115^0.5/0.19</f>
        <v>380.26088143554614</v>
      </c>
      <c r="BF115" s="4">
        <f>MIN(0.6+0.4*(AB115/AA115),2)</f>
        <v>1</v>
      </c>
      <c r="BG115" s="38">
        <f>2*L115*AA115*AC115^0.5*BF115*0.7/0.7</f>
        <v>313.20000000000005</v>
      </c>
      <c r="BH115" s="4">
        <f>MAX(1-0.7*AD115/5,0.3)</f>
        <v>0.44000000000000006</v>
      </c>
      <c r="BI115" s="4">
        <f>BH115*I115*K115/(I115*M115/2.75/L115^0.5)</f>
        <v>87.421976642032064</v>
      </c>
      <c r="BJ115" s="4">
        <f>BG115+BI115</f>
        <v>400.62197664203211</v>
      </c>
      <c r="BL115" s="4">
        <f>MIN(1.5, 0.75+0.25*MIN(3,MAX(1,R115/M115))+0.4*MIN(1,(40*2*PI()*AL115^2/4/AN115/W115)/M115))</f>
        <v>1.1996797080462691</v>
      </c>
      <c r="BM115" s="4">
        <f>(3*O115+30)*BL115*L115^0.5</f>
        <v>520.05804007309484</v>
      </c>
      <c r="BO115" s="4">
        <f>3.4/PI()^0.5*L115*AA115*AD115^0.5*BF115</f>
        <v>300.39710186416738</v>
      </c>
      <c r="BP115" s="4">
        <f>8/3*AG115*AH115^2/(AF115-M115-22)/M115*(AF115^2-M115^2)/(AF115^2-(M115+22)^2)</f>
        <v>641.65616063635548</v>
      </c>
      <c r="BQ115" s="4">
        <f>BP115/BO115</f>
        <v>2.1360264684793715</v>
      </c>
      <c r="BY115" s="4">
        <f>IF(V115=0,R115,MIN(V115/2,R115))</f>
        <v>43</v>
      </c>
      <c r="CC115" s="9"/>
      <c r="CE115" s="9"/>
      <c r="CF115" s="9"/>
      <c r="CG115" s="9">
        <f>IF(V115=0,MIN(R115,T115),MIN(V115/2,R115,T115))</f>
        <v>43</v>
      </c>
      <c r="CH115" s="9">
        <f>MAX(V115/2,R115)</f>
        <v>184.9</v>
      </c>
      <c r="CI115" s="9">
        <f>(CG115/M115)^0.5*(CH115/CG115)^0.15</f>
        <v>1.2445726940891169</v>
      </c>
      <c r="CJ115" s="70">
        <v>20</v>
      </c>
      <c r="CK115" s="9">
        <f>MIN(PI()*AL115^2/4*AM115*2/W115/M115/MAX(0.01,AN115),0.05)</f>
        <v>1.2479981752891823E-2</v>
      </c>
      <c r="CL115" s="9">
        <f>MAX(0,CJ115*(CK115-0.5/50))</f>
        <v>4.9599635057836454E-2</v>
      </c>
      <c r="CM115" s="9">
        <f>MIN(1,(25/M115)^0.3)</f>
        <v>0.84984840943171969</v>
      </c>
      <c r="CN115" s="9">
        <f>IF(I115&gt;=800,0.68,IF(I115&gt;=700,0.75-(I115-700)*0.07/100,IF(I115&gt;=600,0.85-(I115-600)*0.1/100,IF(I115&gt;=500,1-(I115-500)*0.15/100,1.2-(I115-400)*0.2/100))))</f>
        <v>0.84399999999999997</v>
      </c>
      <c r="CO115" s="9">
        <f>1.75*CM115*CN115*(L115/25)^0.5</f>
        <v>1.8137908571660144</v>
      </c>
      <c r="CP115" s="9">
        <f>MIN((CI115+CL115)*CO115,2.5*CO115,L115^0.5)</f>
        <v>2.3473579382039897</v>
      </c>
      <c r="CQ115" s="9">
        <v>1</v>
      </c>
      <c r="CR115" s="9">
        <f>4*CP115*O115+60*CP115</f>
        <v>234.73579382039895</v>
      </c>
      <c r="CT115" s="4">
        <f>AI115/BE115</f>
        <v>1.2977932364143214</v>
      </c>
      <c r="CU115" s="4">
        <f>AI115/BJ115</f>
        <v>1.2318345691778092</v>
      </c>
      <c r="CV115" s="4">
        <f>AI115/BM115</f>
        <v>0.94893254593398446</v>
      </c>
      <c r="CW115" s="4">
        <f>AI115/CR115</f>
        <v>2.1023636487990696</v>
      </c>
      <c r="CX115" s="4">
        <f>AI115/DY115</f>
        <v>2.873158375561168</v>
      </c>
      <c r="CY115" s="4">
        <f>AI115/EK115</f>
        <v>1.1716971921552939</v>
      </c>
      <c r="CZ115" s="4">
        <f>AI115/GH115</f>
        <v>1.1653373728318932</v>
      </c>
      <c r="DH115" s="4">
        <f>CT115</f>
        <v>1.2977932364143214</v>
      </c>
      <c r="DI115" s="4">
        <f>CU115</f>
        <v>1.2318345691778092</v>
      </c>
      <c r="DJ115" s="4">
        <f>CW115</f>
        <v>2.1023636487990696</v>
      </c>
      <c r="DK115" s="4">
        <f>CZ115</f>
        <v>1.1653373728318932</v>
      </c>
      <c r="DL115" s="4">
        <f>CX115</f>
        <v>2.873158375561168</v>
      </c>
      <c r="DM115" s="4">
        <f>CY115</f>
        <v>1.1716971921552939</v>
      </c>
      <c r="DO115" s="4">
        <f>AM115</f>
        <v>1</v>
      </c>
      <c r="DP115" s="4">
        <f>K115</f>
        <v>430</v>
      </c>
      <c r="DS115" s="4">
        <f>J115/4/(1-0.3*(L115/30)^0.5)/200000/M115</f>
        <v>2.068602055294326E-5</v>
      </c>
      <c r="DT115" s="4">
        <f>EO115</f>
        <v>7.0329098169215492</v>
      </c>
      <c r="DU115" s="4">
        <f>EB115*AF115/257/L115/AC115</f>
        <v>0</v>
      </c>
      <c r="DV115" s="4">
        <f>DT115*DU115^0.4</f>
        <v>0</v>
      </c>
      <c r="DW115" s="4">
        <f>MIN(DT115, DT115/1.4*(1-DU115^1.4)/(1-DU115))</f>
        <v>5.0235070120868208</v>
      </c>
      <c r="DX115" s="4">
        <f>MAX(DT115/2, (4-DS115*(8*AF115*(DV115-DW115)+6*J115*DW115))/(4+DS115*J115*DT115)*DT115)</f>
        <v>6.5988601064999299</v>
      </c>
      <c r="DY115" s="38">
        <f>MIN(1/M115*(4*AF115*(DV115-DW115)+(3*DW115+DX115)*J115)+EB115 -FI115,MAX(I115,AI115))</f>
        <v>171.76219876971194</v>
      </c>
      <c r="DZ115" s="4">
        <f>DY115/FE115</f>
        <v>0.90503238539054087</v>
      </c>
      <c r="EA115" s="4">
        <f>AF115/M115</f>
        <v>2.2360679774997898</v>
      </c>
      <c r="EB115" s="4">
        <f>MIN(EA$10*BA115)</f>
        <v>0</v>
      </c>
      <c r="EF115" s="4">
        <f>IF(T115&gt;1*M115,0.85,1)</f>
        <v>0.85</v>
      </c>
      <c r="EG115" s="4">
        <f>MIN(1,MAX(0.7,(1-0.1*(BY115-1*M115)/M115)))</f>
        <v>1</v>
      </c>
      <c r="EH115" s="4">
        <f>MIN(1,MAX(0.7,1-0.3*(PI()*AL115^2/4*AP115*2-0.25*PI()/4*M115^2)/(PI()/4*M115^2)))</f>
        <v>0.99296322336398057</v>
      </c>
      <c r="EI115" s="4">
        <f>IF(EG115*EH115&lt;0.7,0.7,EG115*EH115)</f>
        <v>0.99296322336398057</v>
      </c>
      <c r="EK115" s="4">
        <f>MIN(DT115/M115*3*J115+EL115-FI115,MAX(I115,AI115))</f>
        <v>421.183905964838</v>
      </c>
      <c r="EL115" s="25">
        <f>13.3*P115*J115^0.5*L115^0.5/W115/M115^2*(0.7+R115/5/J115)</f>
        <v>210.19661145719158</v>
      </c>
      <c r="EO115" s="4">
        <f>IF(M115&lt;22.2,1.1*5*(L115/30)^0.5,IF(M115&gt;=31.8,0.9*5*(L115/30)^0.5,1*5*(L115/30)^0.5))/EF115/EI115</f>
        <v>7.0329098169215492</v>
      </c>
      <c r="ER115" s="4">
        <f>ES115*M115</f>
        <v>96.150923032490965</v>
      </c>
      <c r="ES115" s="4">
        <f>AE115^0.5</f>
        <v>2.2360679774997898</v>
      </c>
      <c r="ET115" s="4">
        <f>MIN(EB115)/(4700*L115^0.5)/AD115*ER115</f>
        <v>0</v>
      </c>
      <c r="EW115" s="4">
        <f>ET115</f>
        <v>0</v>
      </c>
      <c r="EX115" s="4">
        <f>MIN(0.999, EW115/(0.3*(L115/30)^0.5))</f>
        <v>0</v>
      </c>
      <c r="EY115" s="4">
        <f>EO115/1*EX115^0.4</f>
        <v>0</v>
      </c>
      <c r="EZ115" s="4">
        <f>EO115/1.4*(1-EX115^1.4)/(1-EX115)</f>
        <v>5.0235070120868208</v>
      </c>
      <c r="FA115" s="4">
        <f>MAX(0,DP115*FA$9-ER115)</f>
        <v>0</v>
      </c>
      <c r="FB115" s="4">
        <f>MAX(0,DP115-ER115-FA115)</f>
        <v>333.84907696750906</v>
      </c>
      <c r="FC115" s="4">
        <f>FB115/(1-0.3*(L115/30)^0.5)/200000/M115</f>
        <v>6.4241942955637466E-5</v>
      </c>
      <c r="FD115" s="4">
        <f>MAX(0.5*EO115, (1-2*FC115*(ER115*EY115+FA115*EZ115))/(1/EO115+FC115*FB115))</f>
        <v>6.111133276431115</v>
      </c>
      <c r="FE115" s="4">
        <f>MIN(4/M115*(1*EY115*ER115+EZ115*FA115+FB115*FD115)+EB115,MAX(I115,AI115))</f>
        <v>189.78569335460065</v>
      </c>
      <c r="FN115" s="23">
        <f>IF(CT115&lt;0.6,0.6,IF(CT115&lt;0.8,0.8,IF(CT115&lt;1,1,IF(CT115&lt;1.2,1.2,IF(CT115&lt;1.4,1.4,IF(CT115&lt;1.6,1.6,IF(CT115&lt;1.8,1.8,IF(CT115&lt;2,2,2.2))))))))</f>
        <v>1.4</v>
      </c>
      <c r="FO115" s="23">
        <f>IF(CU115&lt;0.6,0.6,IF(CU115&lt;0.8,0.8,IF(CU115&lt;1,1,IF(CU115&lt;1.2,1.2,IF(CU115&lt;1.4,1.4,IF(CU115&lt;1.6,1.6,IF(CU115&lt;1.8,1.8,IF(CU115&lt;2,2,2.2))))))))</f>
        <v>1.4</v>
      </c>
      <c r="FP115" s="23">
        <f>IF(CZ115&lt;0.6,0.6,IF(CZ115&lt;0.8,0.8,IF(CZ115&lt;1,1,IF(CZ115&lt;1.2,1.2,IF(CZ115&lt;1.4,1.4,IF(CZ115&lt;1.6,1.6,IF(CZ115&lt;1.8,1.8,IF(CZ115&lt;2,2,2.2))))))))</f>
        <v>1.2</v>
      </c>
      <c r="FQ115" s="23">
        <f>IF(CW115&lt;0.6,0.6,IF(CW115&lt;0.8,0.8,IF(CW115&lt;1,1,IF(CW115&lt;1.2,1.2,IF(CW115&lt;1.4,1.4,IF(CW115&lt;1.6,1.6,IF(CW115&lt;1.8,1.8,IF(CW115&lt;2,2,2.2))))))))</f>
        <v>2.2000000000000002</v>
      </c>
      <c r="FR115" s="23">
        <f>IF(CX115&lt;0.6,0.6,IF(CX115&lt;0.8,0.8,IF(CX115&lt;1,1,IF(CX115&lt;1.2,1.2,IF(CX115&lt;1.4,1.4,IF(CX115&lt;1.6,1.6,IF(CX115&lt;1.8,1.8,IF(CX115&lt;2,2,2.2))))))))</f>
        <v>2.2000000000000002</v>
      </c>
      <c r="FS115" s="23">
        <f>IF(CY115&lt;0.6,0.6,IF(CY115&lt;0.8,0.8,IF(CY115&lt;1,1,IF(CY115&lt;1.2,1.2,IF(CY115&lt;1.4,1.4,IF(CY115&lt;1.6,1.6,IF(CY115&lt;1.8,1.8,IF(CY115&lt;2,2,2.2))))))))</f>
        <v>1.2</v>
      </c>
      <c r="FT115" s="23">
        <f>IF(FR115&lt;1,1,0)</f>
        <v>0</v>
      </c>
      <c r="FU115" s="23"/>
      <c r="GE115" s="4">
        <f>IF(R115&gt;=2.5*25.4,1,1.25)</f>
        <v>1.25</v>
      </c>
      <c r="GF115" s="4">
        <f>IF(AN115&gt;1, 0.05*(18-MIN(8,(V115+M115)/M115))*(1-48000/MAX(60000,(I115*145))*(M115/25.4)^0.75*GG115), 1/12*(14-MIN(8,(V115+M115)/M115)))</f>
        <v>0.38915043257609383</v>
      </c>
      <c r="GG115" s="4">
        <f>MIN(0.3, AL115^2*PI()/4*2*AO115/(M115^2*PI()/4*W115))</f>
        <v>0.27345592212006492</v>
      </c>
      <c r="GH115" s="4">
        <f>(J115/25.4)/(M115/25.4)^1.5/0.0024*(L115*145)^0.25/GE115/GF115/145</f>
        <v>423.48251373826855</v>
      </c>
    </row>
    <row r="116" spans="1:190" s="4" customFormat="1" ht="12" customHeight="1" x14ac:dyDescent="0.3">
      <c r="A116" s="25">
        <v>151</v>
      </c>
      <c r="B116" s="24" t="s">
        <v>128</v>
      </c>
      <c r="C116" s="24">
        <v>2017</v>
      </c>
      <c r="D116" s="24" t="s">
        <v>309</v>
      </c>
      <c r="E116" s="24"/>
      <c r="F116" s="109" t="s">
        <v>825</v>
      </c>
      <c r="G116" s="44" t="s">
        <v>181</v>
      </c>
      <c r="H116" s="5">
        <f>SQRT(L116)/(0.19*M116)</f>
        <v>0.88432763124545621</v>
      </c>
      <c r="I116" s="72">
        <v>606</v>
      </c>
      <c r="J116" s="7">
        <f>10*M116</f>
        <v>430</v>
      </c>
      <c r="K116" s="7">
        <f>J116</f>
        <v>430</v>
      </c>
      <c r="L116" s="80">
        <v>52.2</v>
      </c>
      <c r="M116" s="88">
        <v>43</v>
      </c>
      <c r="N116" s="7">
        <f>J116/M116</f>
        <v>10</v>
      </c>
      <c r="O116" s="7">
        <f>K116/M116</f>
        <v>10</v>
      </c>
      <c r="P116" s="7">
        <f>V116+2*R116+2*M116</f>
        <v>541.79999999999995</v>
      </c>
      <c r="Q116" s="32">
        <f>R116/M116</f>
        <v>1</v>
      </c>
      <c r="R116" s="7">
        <f>1*M116</f>
        <v>43</v>
      </c>
      <c r="S116" s="32">
        <f>T116/M116</f>
        <v>1.3023255813953489</v>
      </c>
      <c r="T116" s="7">
        <f>40+16</f>
        <v>56</v>
      </c>
      <c r="U116" s="32">
        <f>V116/M116</f>
        <v>8.6</v>
      </c>
      <c r="V116" s="122">
        <f>(9.6-1)*M116</f>
        <v>369.8</v>
      </c>
      <c r="W116" s="7">
        <v>2</v>
      </c>
      <c r="X116" s="7">
        <f>AM116</f>
        <v>1</v>
      </c>
      <c r="Y116" s="32">
        <f>Z116/M116</f>
        <v>5.2131782945736429</v>
      </c>
      <c r="Z116" s="7">
        <f>2/3*J116-0.5*125</f>
        <v>224.16666666666663</v>
      </c>
      <c r="AA116" s="7">
        <f>MIN(R116/M116+0.5, V116/2/M116+0.5)</f>
        <v>1.5</v>
      </c>
      <c r="AB116" s="7">
        <f>R116/M116+0.5</f>
        <v>1.5</v>
      </c>
      <c r="AC116" s="7">
        <f>2040/510</f>
        <v>4</v>
      </c>
      <c r="AD116" s="7">
        <f>2040/510</f>
        <v>4</v>
      </c>
      <c r="AE116" s="7">
        <f>AD116+1</f>
        <v>5</v>
      </c>
      <c r="AF116" s="7">
        <f>M116*AE116^0.5</f>
        <v>96.150923032490965</v>
      </c>
      <c r="AG116" s="7">
        <f>I116</f>
        <v>606</v>
      </c>
      <c r="AH116" s="7">
        <v>19</v>
      </c>
      <c r="AI116" s="7">
        <f>(489+498)/2</f>
        <v>493.5</v>
      </c>
      <c r="AJ116" s="7"/>
      <c r="AK116" s="4">
        <f>CX116</f>
        <v>2.873158375561168</v>
      </c>
      <c r="AL116" s="7">
        <v>15.9</v>
      </c>
      <c r="AM116" s="7">
        <v>1</v>
      </c>
      <c r="AN116" s="7">
        <v>370</v>
      </c>
      <c r="AO116" s="7">
        <v>2</v>
      </c>
      <c r="AP116" s="7">
        <f>AM116</f>
        <v>1</v>
      </c>
      <c r="AQ116" s="7">
        <f>3*AR116/(V116+M116)</f>
        <v>3.125</v>
      </c>
      <c r="AR116" s="4">
        <f>J116</f>
        <v>430</v>
      </c>
      <c r="AS116" s="4">
        <f>IF(J116*3&gt;V116+M116, P116, (R116+M116/2)*2+1.5*J116*(2*W116-2))*(3*J116)/(9*J116^2)</f>
        <v>0.41999999999999993</v>
      </c>
      <c r="AT116" s="4">
        <f>MIN(10*L116^0.5*J116^1.5,100*3.9*L116^0.5*J116^(5/3))/(PI()/4*M116^2)/W116</f>
        <v>221.8100126942922</v>
      </c>
      <c r="AU116" s="4">
        <f>MIN(0.7+0.3*(MIN(R116,Z116)+0.5*M116)/1.5/J116,1)</f>
        <v>0.73</v>
      </c>
      <c r="AV116" s="4">
        <v>1.25</v>
      </c>
      <c r="AW116" s="4">
        <f>AW114</f>
        <v>5</v>
      </c>
      <c r="AX116" s="38">
        <f>AS116*AU116*AV116*AW116*AT116</f>
        <v>425.04343682543731</v>
      </c>
      <c r="AY116" s="38">
        <f>AX116</f>
        <v>425.04343682543731</v>
      </c>
      <c r="AZ116" s="38">
        <f>IF(L116&lt;50, 0.3*L116^(2/3), 2.12*LN(1+0.1*(L116+8)))</f>
        <v>4.1313780222399661</v>
      </c>
      <c r="BA116" s="38">
        <f>AW116* (L116^0.5/AR116^0.5)/(PI()/4*M116^2)/W116/0.72 *(0.7+(MIN(R116,Z116)+0.5*M116)/5/J116) *(3*P116*J116)</f>
        <v>425.04343682543782</v>
      </c>
      <c r="BB116" s="38">
        <f>AX116/BA116</f>
        <v>0.99999999999999878</v>
      </c>
      <c r="BC116" s="38">
        <f>BG116/BA116</f>
        <v>0.73686586561417478</v>
      </c>
      <c r="BD116" s="4">
        <f>IF(BC116&lt;1,1,0)</f>
        <v>1</v>
      </c>
      <c r="BE116" s="4">
        <f>K116/M116*L116^0.5/0.19</f>
        <v>380.26088143554614</v>
      </c>
      <c r="BF116" s="4">
        <f>MIN(0.6+0.4*(AB116/AA116),2)</f>
        <v>1</v>
      </c>
      <c r="BG116" s="38">
        <f>2*L116*AA116*AC116^0.5*BF116*0.7/0.7</f>
        <v>313.20000000000005</v>
      </c>
      <c r="BH116" s="4">
        <f>MAX(1-0.7*AD116/5,0.3)</f>
        <v>0.44000000000000006</v>
      </c>
      <c r="BI116" s="4">
        <f>BH116*I116*K116/(I116*M116/2.75/L116^0.5)</f>
        <v>87.421976642032064</v>
      </c>
      <c r="BJ116" s="4">
        <f>BG116+BI116</f>
        <v>400.62197664203211</v>
      </c>
      <c r="BL116" s="4">
        <f>MIN(1.5, 0.75+0.25*MIN(3,MAX(1,R116/M116))+0.4*MIN(1,(40*2*PI()*AL116^2/4/AN116/W116)/M116))</f>
        <v>1.1996797080462691</v>
      </c>
      <c r="BM116" s="4">
        <f>(3*O116+30)*BL116*L116^0.5</f>
        <v>520.05804007309484</v>
      </c>
      <c r="BO116" s="4">
        <f>3.4/PI()^0.5*L116*AA116*AD116^0.5*BF116</f>
        <v>300.39710186416738</v>
      </c>
      <c r="BP116" s="4">
        <f>8/3*AG116*AH116^2/(AF116-M116-22)/M116*(AF116^2-M116^2)/(AF116^2-(M116+22)^2)</f>
        <v>641.65616063635548</v>
      </c>
      <c r="BQ116" s="4">
        <f>BP116/BO116</f>
        <v>2.1360264684793715</v>
      </c>
      <c r="BY116" s="4">
        <f>IF(V116=0,R116,MIN(V116/2,R116))</f>
        <v>43</v>
      </c>
      <c r="CC116" s="9"/>
      <c r="CE116" s="9"/>
      <c r="CF116" s="9"/>
      <c r="CG116" s="9">
        <f>IF(V116=0,MIN(R116,T116),MIN(V116/2,R116,T116))</f>
        <v>43</v>
      </c>
      <c r="CH116" s="9">
        <f>MAX(V116/2,R116)</f>
        <v>184.9</v>
      </c>
      <c r="CI116" s="9">
        <f>(CG116/M116)^0.5*(CH116/CG116)^0.15</f>
        <v>1.2445726940891169</v>
      </c>
      <c r="CJ116" s="70">
        <v>20</v>
      </c>
      <c r="CK116" s="9">
        <f>MIN(PI()*AL116^2/4*AM116*2/W116/M116/MAX(0.01,AN116),0.05)</f>
        <v>1.2479981752891823E-2</v>
      </c>
      <c r="CL116" s="9">
        <f>MAX(0,CJ116*(CK116-0.5/50))</f>
        <v>4.9599635057836454E-2</v>
      </c>
      <c r="CM116" s="9">
        <f>MIN(1,(25/M116)^0.3)</f>
        <v>0.84984840943171969</v>
      </c>
      <c r="CN116" s="9">
        <f>IF(I116&gt;=800,0.68,IF(I116&gt;=700,0.75-(I116-700)*0.07/100,IF(I116&gt;=600,0.85-(I116-600)*0.1/100,IF(I116&gt;=500,1-(I116-500)*0.15/100,1.2-(I116-400)*0.2/100))))</f>
        <v>0.84399999999999997</v>
      </c>
      <c r="CO116" s="9">
        <f>1.75*CM116*CN116*(L116/25)^0.5</f>
        <v>1.8137908571660144</v>
      </c>
      <c r="CP116" s="9">
        <f>MIN((CI116+CL116)*CO116,2.5*CO116,L116^0.5)</f>
        <v>2.3473579382039897</v>
      </c>
      <c r="CQ116" s="9">
        <v>1</v>
      </c>
      <c r="CR116" s="9">
        <f>4*CP116*O116+60*CP116</f>
        <v>234.73579382039895</v>
      </c>
      <c r="CT116" s="4">
        <f>AI116/BE116</f>
        <v>1.2977932364143214</v>
      </c>
      <c r="CU116" s="4">
        <f>AI116/BJ116</f>
        <v>1.2318345691778092</v>
      </c>
      <c r="CV116" s="4">
        <f>AI116/BM116</f>
        <v>0.94893254593398446</v>
      </c>
      <c r="CW116" s="4">
        <f>AI116/CR116</f>
        <v>2.1023636487990696</v>
      </c>
      <c r="CX116" s="4">
        <f>AI116/DY116</f>
        <v>2.873158375561168</v>
      </c>
      <c r="CY116" s="4">
        <f>AI116/EK116</f>
        <v>1.1716971921552939</v>
      </c>
      <c r="CZ116" s="4">
        <f>AI116/GH116</f>
        <v>1.1653373728318932</v>
      </c>
      <c r="DH116" s="4">
        <f>CT116</f>
        <v>1.2977932364143214</v>
      </c>
      <c r="DI116" s="4">
        <f>CU116</f>
        <v>1.2318345691778092</v>
      </c>
      <c r="DJ116" s="4">
        <f>CW116</f>
        <v>2.1023636487990696</v>
      </c>
      <c r="DK116" s="4">
        <f>CZ116</f>
        <v>1.1653373728318932</v>
      </c>
      <c r="DL116" s="4">
        <f>CX116</f>
        <v>2.873158375561168</v>
      </c>
      <c r="DM116" s="4">
        <f>CY116</f>
        <v>1.1716971921552939</v>
      </c>
      <c r="DO116" s="4">
        <f>AM116</f>
        <v>1</v>
      </c>
      <c r="DP116" s="4">
        <f>K116</f>
        <v>430</v>
      </c>
      <c r="DS116" s="4">
        <f>J116/4/(1-0.3*(L116/30)^0.5)/200000/M116</f>
        <v>2.068602055294326E-5</v>
      </c>
      <c r="DT116" s="4">
        <f>EO116</f>
        <v>7.0329098169215492</v>
      </c>
      <c r="DU116" s="4">
        <f>EB116*AF116/257/L116/AC116</f>
        <v>0</v>
      </c>
      <c r="DV116" s="4">
        <f>DT116*DU116^0.4</f>
        <v>0</v>
      </c>
      <c r="DW116" s="4">
        <f>MIN(DT116, DT116/1.4*(1-DU116^1.4)/(1-DU116))</f>
        <v>5.0235070120868208</v>
      </c>
      <c r="DX116" s="4">
        <f>MAX(DT116/2, (4-DS116*(8*AF116*(DV116-DW116)+6*J116*DW116))/(4+DS116*J116*DT116)*DT116)</f>
        <v>6.5988601064999299</v>
      </c>
      <c r="DY116" s="38">
        <f>MIN(1/M116*(4*AF116*(DV116-DW116)+(3*DW116+DX116)*J116)+EB116 -FI116,MAX(I116,AI116))</f>
        <v>171.76219876971194</v>
      </c>
      <c r="DZ116" s="4">
        <f>DY116/FE116</f>
        <v>0.90503238539054087</v>
      </c>
      <c r="EA116" s="4">
        <f>AF116/M116</f>
        <v>2.2360679774997898</v>
      </c>
      <c r="EB116" s="4">
        <f>MIN(EA$10*BA116)</f>
        <v>0</v>
      </c>
      <c r="EF116" s="4">
        <f>IF(T116&gt;1*M116,0.85,1)</f>
        <v>0.85</v>
      </c>
      <c r="EG116" s="4">
        <f>MIN(1,MAX(0.7,(1-0.1*(BY116-1*M116)/M116)))</f>
        <v>1</v>
      </c>
      <c r="EH116" s="4">
        <f>MIN(1,MAX(0.7,1-0.3*(PI()*AL116^2/4*AP116*2-0.25*PI()/4*M116^2)/(PI()/4*M116^2)))</f>
        <v>0.99296322336398057</v>
      </c>
      <c r="EI116" s="4">
        <f>IF(EG116*EH116&lt;0.7,0.7,EG116*EH116)</f>
        <v>0.99296322336398057</v>
      </c>
      <c r="EK116" s="4">
        <f>MIN(DT116/M116*3*J116+EL116-FI116,MAX(I116,AI116))</f>
        <v>421.183905964838</v>
      </c>
      <c r="EL116" s="25">
        <f>13.3*P116*J116^0.5*L116^0.5/W116/M116^2*(0.7+R116/5/J116)</f>
        <v>210.19661145719158</v>
      </c>
      <c r="EO116" s="4">
        <f>IF(M116&lt;22.2,1.1*5*(L116/30)^0.5,IF(M116&gt;=31.8,0.9*5*(L116/30)^0.5,1*5*(L116/30)^0.5))/EF116/EI116</f>
        <v>7.0329098169215492</v>
      </c>
      <c r="ER116" s="4">
        <f>ES116*M116</f>
        <v>96.150923032490965</v>
      </c>
      <c r="ES116" s="4">
        <f>AE116^0.5</f>
        <v>2.2360679774997898</v>
      </c>
      <c r="ET116" s="4">
        <f>MIN(EB116)/(4700*L116^0.5)/AD116*ER116</f>
        <v>0</v>
      </c>
      <c r="EW116" s="4">
        <f>ET116</f>
        <v>0</v>
      </c>
      <c r="EX116" s="4">
        <f>MIN(0.999, EW116/(0.3*(L116/30)^0.5))</f>
        <v>0</v>
      </c>
      <c r="EY116" s="4">
        <f>EO116/1*EX116^0.4</f>
        <v>0</v>
      </c>
      <c r="EZ116" s="4">
        <f>EO116/1.4*(1-EX116^1.4)/(1-EX116)</f>
        <v>5.0235070120868208</v>
      </c>
      <c r="FA116" s="4">
        <f>MAX(0,DP116*FA$9-ER116)</f>
        <v>0</v>
      </c>
      <c r="FB116" s="4">
        <f>MAX(0,DP116-ER116-FA116)</f>
        <v>333.84907696750906</v>
      </c>
      <c r="FC116" s="4">
        <f>FB116/(1-0.3*(L116/30)^0.5)/200000/M116</f>
        <v>6.4241942955637466E-5</v>
      </c>
      <c r="FD116" s="4">
        <f>MAX(0.5*EO116, (1-2*FC116*(ER116*EY116+FA116*EZ116))/(1/EO116+FC116*FB116))</f>
        <v>6.111133276431115</v>
      </c>
      <c r="FE116" s="4">
        <f>MIN(4/M116*(1*EY116*ER116+EZ116*FA116+FB116*FD116)+EB116,MAX(I116,AI116))</f>
        <v>189.78569335460065</v>
      </c>
      <c r="FN116" s="23">
        <f>IF(CT116&lt;0.6,0.6,IF(CT116&lt;0.8,0.8,IF(CT116&lt;1,1,IF(CT116&lt;1.2,1.2,IF(CT116&lt;1.4,1.4,IF(CT116&lt;1.6,1.6,IF(CT116&lt;1.8,1.8,IF(CT116&lt;2,2,2.2))))))))</f>
        <v>1.4</v>
      </c>
      <c r="FO116" s="23">
        <f>IF(CU116&lt;0.6,0.6,IF(CU116&lt;0.8,0.8,IF(CU116&lt;1,1,IF(CU116&lt;1.2,1.2,IF(CU116&lt;1.4,1.4,IF(CU116&lt;1.6,1.6,IF(CU116&lt;1.8,1.8,IF(CU116&lt;2,2,2.2))))))))</f>
        <v>1.4</v>
      </c>
      <c r="FP116" s="23">
        <f>IF(CZ116&lt;0.6,0.6,IF(CZ116&lt;0.8,0.8,IF(CZ116&lt;1,1,IF(CZ116&lt;1.2,1.2,IF(CZ116&lt;1.4,1.4,IF(CZ116&lt;1.6,1.6,IF(CZ116&lt;1.8,1.8,IF(CZ116&lt;2,2,2.2))))))))</f>
        <v>1.2</v>
      </c>
      <c r="FQ116" s="23">
        <f>IF(CW116&lt;0.6,0.6,IF(CW116&lt;0.8,0.8,IF(CW116&lt;1,1,IF(CW116&lt;1.2,1.2,IF(CW116&lt;1.4,1.4,IF(CW116&lt;1.6,1.6,IF(CW116&lt;1.8,1.8,IF(CW116&lt;2,2,2.2))))))))</f>
        <v>2.2000000000000002</v>
      </c>
      <c r="FR116" s="23">
        <f>IF(CX116&lt;0.6,0.6,IF(CX116&lt;0.8,0.8,IF(CX116&lt;1,1,IF(CX116&lt;1.2,1.2,IF(CX116&lt;1.4,1.4,IF(CX116&lt;1.6,1.6,IF(CX116&lt;1.8,1.8,IF(CX116&lt;2,2,2.2))))))))</f>
        <v>2.2000000000000002</v>
      </c>
      <c r="FS116" s="23">
        <f>IF(CY116&lt;0.6,0.6,IF(CY116&lt;0.8,0.8,IF(CY116&lt;1,1,IF(CY116&lt;1.2,1.2,IF(CY116&lt;1.4,1.4,IF(CY116&lt;1.6,1.6,IF(CY116&lt;1.8,1.8,IF(CY116&lt;2,2,2.2))))))))</f>
        <v>1.2</v>
      </c>
      <c r="FT116" s="23">
        <f>IF(FR116&lt;1,1,0)</f>
        <v>0</v>
      </c>
      <c r="FU116" s="23"/>
      <c r="GE116" s="4">
        <f>IF(R116&gt;=2.5*25.4,1,1.25)</f>
        <v>1.25</v>
      </c>
      <c r="GF116" s="4">
        <f>IF(AN116&gt;1, 0.05*(18-MIN(8,(V116+M116)/M116))*(1-48000/MAX(60000,(I116*145))*(M116/25.4)^0.75*GG116), 1/12*(14-MIN(8,(V116+M116)/M116)))</f>
        <v>0.38915043257609383</v>
      </c>
      <c r="GG116" s="4">
        <f>MIN(0.3, AL116^2*PI()/4*2*AO116/(M116^2*PI()/4*W116))</f>
        <v>0.27345592212006492</v>
      </c>
      <c r="GH116" s="4">
        <f>(J116/25.4)/(M116/25.4)^1.5/0.0024*(L116*145)^0.25/GE116/GF116/145</f>
        <v>423.48251373826855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autoPageBreaks="0"/>
  </sheetPr>
  <dimension ref="A1:FZ624"/>
  <sheetViews>
    <sheetView zoomScale="80" zoomScaleNormal="80" workbookViewId="0">
      <pane xSplit="3" ySplit="18" topLeftCell="D175" activePane="bottomRight" state="frozen"/>
      <selection pane="topRight" activeCell="E1" sqref="E1"/>
      <selection pane="bottomLeft" activeCell="A3" sqref="A3"/>
      <selection pane="bottomRight" activeCell="C32" sqref="C32"/>
    </sheetView>
  </sheetViews>
  <sheetFormatPr defaultColWidth="9" defaultRowHeight="12" customHeight="1" x14ac:dyDescent="0.3"/>
  <cols>
    <col min="1" max="1" width="2.375" style="4" customWidth="1"/>
    <col min="2" max="2" width="7.875" style="4" customWidth="1"/>
    <col min="3" max="3" width="31.375" style="4" bestFit="1" customWidth="1"/>
    <col min="4" max="13" width="5" style="4" customWidth="1"/>
    <col min="14" max="14" width="5.25" style="4" customWidth="1"/>
    <col min="15" max="22" width="5" style="4" customWidth="1"/>
    <col min="23" max="23" width="4" style="4" customWidth="1"/>
    <col min="24" max="24" width="5.375" style="4" customWidth="1"/>
    <col min="25" max="25" width="4.75" style="4" customWidth="1"/>
    <col min="26" max="26" width="4.75" style="4" bestFit="1" customWidth="1"/>
    <col min="27" max="30" width="4.75" style="4" customWidth="1"/>
    <col min="31" max="36" width="4.125" style="4" customWidth="1"/>
    <col min="37" max="38" width="6.25" style="38" customWidth="1"/>
    <col min="39" max="41" width="4.25" style="38" customWidth="1"/>
    <col min="42" max="42" width="4.75" style="38" customWidth="1"/>
    <col min="43" max="43" width="2.875" style="4" customWidth="1"/>
    <col min="44" max="45" width="5.625" style="4" customWidth="1"/>
    <col min="46" max="46" width="5.625" style="38" customWidth="1"/>
    <col min="47" max="56" width="5.625" style="4" customWidth="1"/>
    <col min="57" max="61" width="4.625" style="4" customWidth="1"/>
    <col min="62" max="62" width="7.25" style="4" customWidth="1"/>
    <col min="63" max="63" width="4.625" style="4" customWidth="1"/>
    <col min="64" max="91" width="6.5" style="4" customWidth="1"/>
    <col min="92" max="92" width="2.625" style="4" customWidth="1"/>
    <col min="93" max="104" width="4.375" style="4" customWidth="1"/>
    <col min="105" max="105" width="9" style="4"/>
    <col min="106" max="106" width="6.125" style="4" customWidth="1"/>
    <col min="107" max="109" width="9" style="4"/>
    <col min="110" max="110" width="6.5" style="4" customWidth="1"/>
    <col min="111" max="117" width="7" style="4" customWidth="1"/>
    <col min="118" max="118" width="9" style="4"/>
    <col min="119" max="119" width="7" style="4" customWidth="1"/>
    <col min="120" max="122" width="9" style="4"/>
    <col min="123" max="131" width="5.625" style="4" customWidth="1"/>
    <col min="132" max="133" width="9" style="4"/>
    <col min="134" max="134" width="4.125" style="4" customWidth="1"/>
    <col min="135" max="171" width="6.25" style="4" customWidth="1"/>
    <col min="172" max="173" width="9" style="4"/>
    <col min="174" max="177" width="4.875" style="4" customWidth="1"/>
    <col min="178" max="16384" width="9" style="4"/>
  </cols>
  <sheetData>
    <row r="1" spans="4:167" ht="12" customHeight="1" x14ac:dyDescent="0.3">
      <c r="L1" s="4" t="str">
        <f>CE1</f>
        <v>Total</v>
      </c>
      <c r="M1" s="4" t="str">
        <f>CF1</f>
        <v>avg</v>
      </c>
      <c r="N1" s="4" t="e">
        <f>CK1</f>
        <v>#REF!</v>
      </c>
      <c r="AY1" s="4" t="s">
        <v>374</v>
      </c>
      <c r="BX1" s="4" t="e">
        <f t="shared" ref="BX1:CC1" si="0">AVERAGE(CG19:CG637)</f>
        <v>#REF!</v>
      </c>
      <c r="BY1" s="4" t="e">
        <f t="shared" si="0"/>
        <v>#REF!</v>
      </c>
      <c r="BZ1" s="4" t="e">
        <f t="shared" si="0"/>
        <v>#REF!</v>
      </c>
      <c r="CA1" s="4" t="e">
        <f t="shared" si="0"/>
        <v>#REF!</v>
      </c>
      <c r="CB1" s="4" t="e">
        <f t="shared" si="0"/>
        <v>#REF!</v>
      </c>
      <c r="CC1" s="4" t="e">
        <f t="shared" si="0"/>
        <v>#REF!</v>
      </c>
      <c r="CE1" s="4" t="s">
        <v>198</v>
      </c>
      <c r="CF1" s="5" t="s">
        <v>27</v>
      </c>
      <c r="CG1" s="5" t="e">
        <f t="shared" ref="CG1:CK1" si="1">AVERAGE(CG20:CG1251)</f>
        <v>#REF!</v>
      </c>
      <c r="CH1" s="5" t="e">
        <f t="shared" si="1"/>
        <v>#REF!</v>
      </c>
      <c r="CI1" s="5" t="e">
        <f t="shared" si="1"/>
        <v>#REF!</v>
      </c>
      <c r="CJ1" s="5" t="e">
        <f t="shared" si="1"/>
        <v>#REF!</v>
      </c>
      <c r="CK1" s="5" t="e">
        <f t="shared" si="1"/>
        <v>#REF!</v>
      </c>
      <c r="CL1" s="5" t="e">
        <f>AVERAGE(CL20:CL1251)</f>
        <v>#REF!</v>
      </c>
      <c r="CM1" s="5" t="e">
        <f>AVERAGE(CM20:CM1251)</f>
        <v>#REF!</v>
      </c>
      <c r="CN1" s="5"/>
      <c r="CO1" s="5" t="e">
        <f t="shared" ref="CO1:CZ1" si="2">AVERAGE(CO20:CO1251)</f>
        <v>#REF!</v>
      </c>
      <c r="CP1" s="5" t="e">
        <f t="shared" si="2"/>
        <v>#REF!</v>
      </c>
      <c r="CQ1" s="5" t="e">
        <f t="shared" si="2"/>
        <v>#REF!</v>
      </c>
      <c r="CR1" s="5" t="e">
        <f t="shared" si="2"/>
        <v>#REF!</v>
      </c>
      <c r="CS1" s="5" t="e">
        <f t="shared" si="2"/>
        <v>#REF!</v>
      </c>
      <c r="CT1" s="5" t="e">
        <f t="shared" si="2"/>
        <v>#REF!</v>
      </c>
      <c r="CU1" s="5" t="e">
        <f t="shared" si="2"/>
        <v>#REF!</v>
      </c>
      <c r="CV1" s="5" t="e">
        <f t="shared" si="2"/>
        <v>#REF!</v>
      </c>
      <c r="CW1" s="5" t="e">
        <f t="shared" si="2"/>
        <v>#REF!</v>
      </c>
      <c r="CX1" s="5" t="e">
        <f t="shared" si="2"/>
        <v>#REF!</v>
      </c>
      <c r="CY1" s="5" t="e">
        <f t="shared" si="2"/>
        <v>#REF!</v>
      </c>
      <c r="CZ1" s="5" t="e">
        <f t="shared" si="2"/>
        <v>#REF!</v>
      </c>
      <c r="DC1" s="4" t="e">
        <f>EW1</f>
        <v>#DIV/0!</v>
      </c>
      <c r="DH1" s="6" t="e">
        <f>AVERAGE(DH19:DH1537)</f>
        <v>#REF!</v>
      </c>
      <c r="DJ1" s="4">
        <f>3*PI()/8</f>
        <v>1.1780972450961724</v>
      </c>
      <c r="DK1" s="4">
        <f>3*3.141592/8/(3*3.141592-4)/12.7/0.3^0.5</f>
        <v>3.122014327313467E-2</v>
      </c>
      <c r="DL1" s="4">
        <f>1/DK1</f>
        <v>32.030602526430833</v>
      </c>
      <c r="DN1" s="4">
        <f>0.24*PI()/4</f>
        <v>0.18849555921538758</v>
      </c>
      <c r="DO1" s="4">
        <f>1/DN1</f>
        <v>5.3051647697298447</v>
      </c>
      <c r="DP1" s="4">
        <f>DO1*2.5</f>
        <v>13.262911924324612</v>
      </c>
      <c r="DQ1" s="4" t="e">
        <f>AVERAGE(DQ19:DQ564)</f>
        <v>#DIV/0!</v>
      </c>
      <c r="DS1" s="4" t="e">
        <f>CB1</f>
        <v>#REF!</v>
      </c>
      <c r="DT1" s="4">
        <f>1-1/22.45</f>
        <v>0.95545657015590202</v>
      </c>
      <c r="DU1" s="4">
        <f>1-1/17.8</f>
        <v>0.9438202247191011</v>
      </c>
      <c r="DV1" s="4">
        <f>3.1/3.5</f>
        <v>0.88571428571428579</v>
      </c>
      <c r="DY1" s="4" t="e">
        <f>AVERAGE(DY19:DY674)</f>
        <v>#REF!</v>
      </c>
      <c r="DZ1" s="4" t="e">
        <f>AVERAGE(DZ19:DZ674)</f>
        <v>#DIV/0!</v>
      </c>
      <c r="EB1" s="4" t="e">
        <f>CK6</f>
        <v>#REF!</v>
      </c>
      <c r="EE1" s="4">
        <v>1.0780224324532159</v>
      </c>
      <c r="EH1" s="4">
        <f>AVERAGE(EH19:EH564)</f>
        <v>269.875</v>
      </c>
      <c r="EJ1" s="4">
        <f>4700*0.003^0.5</f>
        <v>257.42960202742807</v>
      </c>
      <c r="EW1" s="4" t="e">
        <f>AVERAGE(EW19:EW674)</f>
        <v>#DIV/0!</v>
      </c>
      <c r="EX1" s="4" t="e">
        <f>AVERAGE(EX19:EX674)</f>
        <v>#DIV/0!</v>
      </c>
      <c r="FK1" s="4" t="s">
        <v>605</v>
      </c>
    </row>
    <row r="2" spans="4:167" ht="12" customHeight="1" x14ac:dyDescent="0.3">
      <c r="M2" s="4" t="str">
        <f>CF2</f>
        <v>cov</v>
      </c>
      <c r="N2" s="4" t="e">
        <f>CK2</f>
        <v>#REF!</v>
      </c>
      <c r="AS2" s="4" t="s">
        <v>214</v>
      </c>
      <c r="BE2" s="113" t="s">
        <v>215</v>
      </c>
      <c r="BF2" s="113"/>
      <c r="BG2" s="113"/>
      <c r="BH2" s="113"/>
      <c r="BI2" s="113"/>
      <c r="BJ2" s="113"/>
      <c r="BL2" s="113" t="s">
        <v>216</v>
      </c>
      <c r="BM2" s="113"/>
      <c r="BN2" s="113"/>
      <c r="BO2" s="113"/>
      <c r="BP2" s="113"/>
      <c r="BQ2" s="113"/>
      <c r="BR2" s="113"/>
      <c r="BS2" s="113"/>
      <c r="BT2" s="7" t="s">
        <v>40</v>
      </c>
      <c r="BU2" s="7"/>
      <c r="BV2" s="7"/>
      <c r="BW2" s="7"/>
      <c r="BX2" s="7" t="e">
        <f t="shared" ref="BX2:CC2" si="3">STDEVP(CG19:CG637)/CG1</f>
        <v>#REF!</v>
      </c>
      <c r="BY2" s="7" t="e">
        <f t="shared" si="3"/>
        <v>#REF!</v>
      </c>
      <c r="BZ2" s="7" t="e">
        <f t="shared" si="3"/>
        <v>#REF!</v>
      </c>
      <c r="CA2" s="7" t="e">
        <f t="shared" si="3"/>
        <v>#REF!</v>
      </c>
      <c r="CB2" s="7" t="e">
        <f t="shared" si="3"/>
        <v>#REF!</v>
      </c>
      <c r="CC2" s="7" t="e">
        <f t="shared" si="3"/>
        <v>#REF!</v>
      </c>
      <c r="CD2" s="7"/>
      <c r="CE2" s="7"/>
      <c r="CF2" s="8" t="s">
        <v>217</v>
      </c>
      <c r="CG2" s="5" t="e">
        <f t="shared" ref="CG2:CM2" si="4">STDEVP(CG20:CG1251)/CG1</f>
        <v>#REF!</v>
      </c>
      <c r="CH2" s="5" t="e">
        <f t="shared" si="4"/>
        <v>#REF!</v>
      </c>
      <c r="CI2" s="5" t="e">
        <f t="shared" si="4"/>
        <v>#REF!</v>
      </c>
      <c r="CJ2" s="5" t="e">
        <f t="shared" si="4"/>
        <v>#REF!</v>
      </c>
      <c r="CK2" s="5" t="e">
        <f t="shared" si="4"/>
        <v>#REF!</v>
      </c>
      <c r="CL2" s="5" t="e">
        <f t="shared" si="4"/>
        <v>#REF!</v>
      </c>
      <c r="CM2" s="5" t="e">
        <f t="shared" si="4"/>
        <v>#REF!</v>
      </c>
      <c r="CN2" s="5"/>
      <c r="CO2" s="5" t="e">
        <f t="shared" ref="CO2:CZ2" si="5">STDEVP(CO20:CO1251)/CO1</f>
        <v>#REF!</v>
      </c>
      <c r="CP2" s="5" t="e">
        <f t="shared" si="5"/>
        <v>#REF!</v>
      </c>
      <c r="CQ2" s="5" t="e">
        <f t="shared" si="5"/>
        <v>#REF!</v>
      </c>
      <c r="CR2" s="5" t="e">
        <f t="shared" si="5"/>
        <v>#REF!</v>
      </c>
      <c r="CS2" s="5" t="e">
        <f t="shared" si="5"/>
        <v>#REF!</v>
      </c>
      <c r="CT2" s="5" t="e">
        <f t="shared" si="5"/>
        <v>#REF!</v>
      </c>
      <c r="CU2" s="5" t="e">
        <f t="shared" si="5"/>
        <v>#REF!</v>
      </c>
      <c r="CV2" s="5" t="e">
        <f t="shared" si="5"/>
        <v>#REF!</v>
      </c>
      <c r="CW2" s="5" t="e">
        <f t="shared" si="5"/>
        <v>#REF!</v>
      </c>
      <c r="CX2" s="5" t="e">
        <f t="shared" si="5"/>
        <v>#REF!</v>
      </c>
      <c r="CY2" s="5" t="e">
        <f t="shared" si="5"/>
        <v>#REF!</v>
      </c>
      <c r="CZ2" s="5" t="e">
        <f t="shared" si="5"/>
        <v>#REF!</v>
      </c>
      <c r="DC2" s="4" t="e">
        <f t="shared" ref="DC2:DC4" si="6">EW2</f>
        <v>#DIV/0!</v>
      </c>
      <c r="DI2" s="4">
        <v>0.75</v>
      </c>
      <c r="DJ2" s="4">
        <f>1/DJ1</f>
        <v>0.84882636315677518</v>
      </c>
      <c r="DK2" s="4">
        <f>3*3.141592/8/12.7/0.3^0.5</f>
        <v>0.16936228394466243</v>
      </c>
      <c r="DL2" s="4">
        <f>1/DK2</f>
        <v>5.9045023290235079</v>
      </c>
      <c r="DN2" s="4">
        <f>0.72*PI()/4</f>
        <v>0.56548667764616278</v>
      </c>
      <c r="DO2" s="4">
        <f>1/DN2</f>
        <v>1.7683882565766149</v>
      </c>
      <c r="DP2" s="4">
        <f>5*DO2</f>
        <v>8.8419412828830737</v>
      </c>
      <c r="DQ2" s="4" t="e">
        <f>STDEVP(DQ19:DQ564)/DQ1</f>
        <v>#DIV/0!</v>
      </c>
      <c r="DS2" s="4" t="e">
        <f>CB2</f>
        <v>#REF!</v>
      </c>
      <c r="DT2" s="4">
        <f>3.45/DT1</f>
        <v>3.610839160839161</v>
      </c>
      <c r="DU2" s="4">
        <f>3.5/DU1</f>
        <v>3.7083333333333335</v>
      </c>
      <c r="DY2" s="4" t="e">
        <f>STDEVP(DY19:DY674)/DY1</f>
        <v>#REF!</v>
      </c>
      <c r="DZ2" s="4" t="e">
        <f>STDEVP(DZ19:DZ674)/DZ1</f>
        <v>#DIV/0!</v>
      </c>
      <c r="EB2" s="4" t="e">
        <f t="shared" ref="EB2:EB3" si="7">CK7</f>
        <v>#REF!</v>
      </c>
      <c r="EE2" s="4">
        <v>0.17292711593762511</v>
      </c>
      <c r="EW2" s="4" t="e">
        <f>STDEVP(EW19:EW674)/EW1</f>
        <v>#DIV/0!</v>
      </c>
      <c r="EX2" s="4" t="e">
        <f>STDEVP(EX19:EX674)/EX1</f>
        <v>#DIV/0!</v>
      </c>
    </row>
    <row r="3" spans="4:167" ht="12" customHeight="1" x14ac:dyDescent="0.3">
      <c r="N3" s="4" t="e">
        <f>CK3</f>
        <v>#REF!</v>
      </c>
      <c r="AR3" s="7"/>
      <c r="AS3" s="7"/>
      <c r="AT3" s="39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 t="e">
        <f t="shared" ref="BX3:CC3" si="8">MAX(CG19:CG637)</f>
        <v>#REF!</v>
      </c>
      <c r="BY3" s="7" t="e">
        <f t="shared" si="8"/>
        <v>#REF!</v>
      </c>
      <c r="BZ3" s="7" t="e">
        <f t="shared" si="8"/>
        <v>#REF!</v>
      </c>
      <c r="CA3" s="7" t="e">
        <f t="shared" si="8"/>
        <v>#REF!</v>
      </c>
      <c r="CB3" s="7" t="e">
        <f t="shared" si="8"/>
        <v>#REF!</v>
      </c>
      <c r="CC3" s="7" t="e">
        <f t="shared" si="8"/>
        <v>#REF!</v>
      </c>
      <c r="CD3" s="7"/>
      <c r="CE3" s="7"/>
      <c r="CF3" s="7" t="s">
        <v>28</v>
      </c>
      <c r="CG3" s="4" t="e">
        <f t="shared" ref="CG3:CK3" si="9">MAX(CG20:CG1251)</f>
        <v>#REF!</v>
      </c>
      <c r="CH3" s="4" t="e">
        <f t="shared" si="9"/>
        <v>#REF!</v>
      </c>
      <c r="CI3" s="4" t="e">
        <f t="shared" si="9"/>
        <v>#REF!</v>
      </c>
      <c r="CJ3" s="4" t="e">
        <f t="shared" si="9"/>
        <v>#REF!</v>
      </c>
      <c r="CK3" s="4" t="e">
        <f t="shared" si="9"/>
        <v>#REF!</v>
      </c>
      <c r="CL3" s="4" t="e">
        <f>MAX(CL20:CL1251)</f>
        <v>#REF!</v>
      </c>
      <c r="CM3" s="4" t="e">
        <f>MAX(CM20:CM1251)</f>
        <v>#REF!</v>
      </c>
      <c r="CO3" s="4" t="e">
        <f t="shared" ref="CO3:CZ3" si="10">MAX(CO20:CO1251)</f>
        <v>#REF!</v>
      </c>
      <c r="CP3" s="4" t="e">
        <f t="shared" si="10"/>
        <v>#REF!</v>
      </c>
      <c r="CQ3" s="4" t="e">
        <f t="shared" si="10"/>
        <v>#REF!</v>
      </c>
      <c r="CR3" s="4" t="e">
        <f t="shared" si="10"/>
        <v>#REF!</v>
      </c>
      <c r="CS3" s="4" t="e">
        <f t="shared" si="10"/>
        <v>#REF!</v>
      </c>
      <c r="CT3" s="4" t="e">
        <f t="shared" si="10"/>
        <v>#REF!</v>
      </c>
      <c r="CU3" s="4" t="e">
        <f t="shared" si="10"/>
        <v>#REF!</v>
      </c>
      <c r="CV3" s="4" t="e">
        <f t="shared" si="10"/>
        <v>#REF!</v>
      </c>
      <c r="CW3" s="4" t="e">
        <f t="shared" si="10"/>
        <v>#REF!</v>
      </c>
      <c r="CX3" s="4" t="e">
        <f t="shared" si="10"/>
        <v>#REF!</v>
      </c>
      <c r="CY3" s="4" t="e">
        <f t="shared" si="10"/>
        <v>#REF!</v>
      </c>
      <c r="CZ3" s="4" t="e">
        <f t="shared" si="10"/>
        <v>#REF!</v>
      </c>
      <c r="DC3" s="4">
        <f t="shared" si="6"/>
        <v>0</v>
      </c>
      <c r="DD3" s="4" t="e">
        <f>CL3*CL4</f>
        <v>#REF!</v>
      </c>
      <c r="DF3" s="4">
        <f>2*PI()*0.689</f>
        <v>4.3291146766467348</v>
      </c>
      <c r="DH3" s="4" t="e">
        <f>DH1^0.4/1.4</f>
        <v>#REF!</v>
      </c>
      <c r="DJ3" s="4">
        <f>2*0.696*PI()</f>
        <v>4.3730969737969918</v>
      </c>
      <c r="DM3" s="4">
        <f>2*0.696*PI()</f>
        <v>4.3730969737969918</v>
      </c>
      <c r="DP3" s="4">
        <f>DO1*5</f>
        <v>26.525823848649225</v>
      </c>
      <c r="DT3" s="4">
        <f>3.96/3.45</f>
        <v>1.1478260869565218</v>
      </c>
      <c r="DY3" s="4" t="e">
        <f>MAX(DY19:DY667)</f>
        <v>#REF!</v>
      </c>
      <c r="DZ3" s="4">
        <f>MAX(DZ19:DZ667)</f>
        <v>0</v>
      </c>
      <c r="EB3" s="4" t="e">
        <f t="shared" si="7"/>
        <v>#REF!</v>
      </c>
      <c r="EE3" s="4">
        <v>1.634314671293621</v>
      </c>
      <c r="EH3" s="4">
        <f>MAX(EH19:EH537)</f>
        <v>285.75</v>
      </c>
      <c r="EW3" s="4">
        <f>MAX(EW19:EW667)</f>
        <v>0</v>
      </c>
      <c r="EX3" s="4">
        <f>MAX(EX19:EX667)</f>
        <v>0</v>
      </c>
    </row>
    <row r="4" spans="4:167" ht="12" customHeight="1" x14ac:dyDescent="0.3">
      <c r="F4" s="4">
        <f>500*0.145</f>
        <v>72.5</v>
      </c>
      <c r="N4" s="4" t="e">
        <f>CK4</f>
        <v>#REF!</v>
      </c>
      <c r="AR4" s="7"/>
      <c r="AS4" s="7"/>
      <c r="AT4" s="39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 t="e">
        <f t="shared" ref="BX4:CC4" si="11">MIN(CG19:CG637)</f>
        <v>#REF!</v>
      </c>
      <c r="BY4" s="7" t="e">
        <f t="shared" si="11"/>
        <v>#REF!</v>
      </c>
      <c r="BZ4" s="7" t="e">
        <f t="shared" si="11"/>
        <v>#REF!</v>
      </c>
      <c r="CA4" s="7" t="e">
        <f t="shared" si="11"/>
        <v>#REF!</v>
      </c>
      <c r="CB4" s="7" t="e">
        <f t="shared" si="11"/>
        <v>#REF!</v>
      </c>
      <c r="CC4" s="7" t="e">
        <f t="shared" si="11"/>
        <v>#REF!</v>
      </c>
      <c r="CD4" s="7"/>
      <c r="CE4" s="7"/>
      <c r="CF4" s="7" t="s">
        <v>29</v>
      </c>
      <c r="CG4" s="4" t="e">
        <f t="shared" ref="CG4:CK4" si="12">MIN(CG20:CG1251)</f>
        <v>#REF!</v>
      </c>
      <c r="CH4" s="4" t="e">
        <f t="shared" si="12"/>
        <v>#REF!</v>
      </c>
      <c r="CI4" s="4" t="e">
        <f t="shared" si="12"/>
        <v>#REF!</v>
      </c>
      <c r="CJ4" s="4" t="e">
        <f t="shared" si="12"/>
        <v>#REF!</v>
      </c>
      <c r="CK4" s="4" t="e">
        <f t="shared" si="12"/>
        <v>#REF!</v>
      </c>
      <c r="CL4" s="4" t="e">
        <f>MIN(CL20:CL1251)</f>
        <v>#REF!</v>
      </c>
      <c r="CM4" s="4" t="e">
        <f>MIN(CM20:CM1251)</f>
        <v>#REF!</v>
      </c>
      <c r="CO4" s="4" t="e">
        <f t="shared" ref="CO4:CZ4" si="13">MIN(CO20:CO1251)</f>
        <v>#REF!</v>
      </c>
      <c r="CP4" s="4" t="e">
        <f t="shared" si="13"/>
        <v>#REF!</v>
      </c>
      <c r="CQ4" s="4" t="e">
        <f t="shared" si="13"/>
        <v>#REF!</v>
      </c>
      <c r="CR4" s="4" t="e">
        <f t="shared" si="13"/>
        <v>#REF!</v>
      </c>
      <c r="CS4" s="4" t="e">
        <f t="shared" si="13"/>
        <v>#REF!</v>
      </c>
      <c r="CT4" s="4" t="e">
        <f t="shared" si="13"/>
        <v>#REF!</v>
      </c>
      <c r="CU4" s="4" t="e">
        <f t="shared" si="13"/>
        <v>#REF!</v>
      </c>
      <c r="CV4" s="4" t="e">
        <f t="shared" si="13"/>
        <v>#REF!</v>
      </c>
      <c r="CW4" s="4" t="e">
        <f t="shared" si="13"/>
        <v>#REF!</v>
      </c>
      <c r="CX4" s="4" t="e">
        <f t="shared" si="13"/>
        <v>#REF!</v>
      </c>
      <c r="CY4" s="4" t="e">
        <f t="shared" si="13"/>
        <v>#REF!</v>
      </c>
      <c r="CZ4" s="4" t="e">
        <f t="shared" si="13"/>
        <v>#REF!</v>
      </c>
      <c r="DC4" s="4">
        <f t="shared" si="6"/>
        <v>0</v>
      </c>
      <c r="DD4" s="4">
        <f>DA3*DA4</f>
        <v>0</v>
      </c>
      <c r="DF4" s="4">
        <f>3*0.982+0.5</f>
        <v>3.4459999999999997</v>
      </c>
      <c r="DH4" s="4" t="e">
        <f>1/1.4*(1-DH1^1.4)/(1-DH1)</f>
        <v>#REF!</v>
      </c>
      <c r="DJ4" s="4">
        <f>3*0.988+0.5</f>
        <v>3.464</v>
      </c>
      <c r="DK4" s="4">
        <f>(1-1/13.8)/3.46</f>
        <v>0.2680740554578202</v>
      </c>
      <c r="DL4" s="4">
        <f>1/DK4</f>
        <v>3.7303125000000001</v>
      </c>
      <c r="DM4" s="4">
        <f>3*0.988+0.5</f>
        <v>3.464</v>
      </c>
      <c r="DN4" s="4">
        <f>(1-1/18.4)/3.46</f>
        <v>0.27330987685348079</v>
      </c>
      <c r="DO4" s="4">
        <f>1/DN4</f>
        <v>3.6588505747126434</v>
      </c>
      <c r="DY4" s="4" t="e">
        <f>MIN(DY19:DY667)</f>
        <v>#REF!</v>
      </c>
      <c r="DZ4" s="4">
        <f>MIN(DZ19:DZ667)</f>
        <v>0</v>
      </c>
      <c r="EB4" s="4" t="e">
        <f>CK9</f>
        <v>#REF!</v>
      </c>
      <c r="EE4" s="4">
        <v>0.66282847381341337</v>
      </c>
      <c r="EH4" s="4">
        <f>MIN(EH19:EH537)</f>
        <v>254</v>
      </c>
      <c r="EW4" s="4">
        <f>MIN(EW19:EW667)</f>
        <v>0</v>
      </c>
      <c r="EX4" s="4">
        <f>MIN(EX19:EX667)</f>
        <v>0</v>
      </c>
    </row>
    <row r="5" spans="4:167" ht="12" customHeight="1" x14ac:dyDescent="0.3">
      <c r="F5" s="4">
        <f>28.7/25.4</f>
        <v>1.1299212598425197</v>
      </c>
      <c r="AR5" s="7"/>
      <c r="AS5" s="7"/>
      <c r="AT5" s="39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DF5" s="4">
        <f>4.33-3.45</f>
        <v>0.87999999999999989</v>
      </c>
      <c r="DJ5" s="4">
        <f>4.37-3.46</f>
        <v>0.91000000000000014</v>
      </c>
      <c r="DK5" s="4">
        <f>3.19/3.46</f>
        <v>0.9219653179190751</v>
      </c>
      <c r="DL5" s="4">
        <f>1/DK5</f>
        <v>1.084639498432602</v>
      </c>
      <c r="DM5" s="4">
        <f>4.37-3.46</f>
        <v>0.91000000000000014</v>
      </c>
      <c r="DN5" s="4">
        <f>4.1/3.46</f>
        <v>1.1849710982658959</v>
      </c>
      <c r="DO5" s="4">
        <f>1/DN5</f>
        <v>0.84390243902439033</v>
      </c>
      <c r="DP5" s="4">
        <f>1/3.1</f>
        <v>0.32258064516129031</v>
      </c>
    </row>
    <row r="6" spans="4:167" ht="12" customHeight="1" x14ac:dyDescent="0.3">
      <c r="D6" s="9"/>
      <c r="E6" s="9"/>
      <c r="F6" s="4">
        <f>130*0.145</f>
        <v>18.849999999999998</v>
      </c>
      <c r="L6" s="4" t="str">
        <f>CE6</f>
        <v>CCT</v>
      </c>
      <c r="M6" s="4" t="str">
        <f>CF6</f>
        <v>avg</v>
      </c>
      <c r="N6" s="4" t="e">
        <f t="shared" ref="N6:N17" si="14">CK6</f>
        <v>#REF!</v>
      </c>
      <c r="AR6" s="7"/>
      <c r="AS6" s="7"/>
      <c r="AT6" s="39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 t="s">
        <v>218</v>
      </c>
      <c r="CF6" s="5" t="s">
        <v>27</v>
      </c>
      <c r="CG6" s="5" t="e">
        <f t="shared" ref="CG6:CM6" si="15">AVERAGE(CG20:CG104)</f>
        <v>#REF!</v>
      </c>
      <c r="CH6" s="5" t="e">
        <f t="shared" si="15"/>
        <v>#REF!</v>
      </c>
      <c r="CI6" s="5" t="e">
        <f t="shared" si="15"/>
        <v>#REF!</v>
      </c>
      <c r="CJ6" s="5" t="e">
        <f t="shared" si="15"/>
        <v>#REF!</v>
      </c>
      <c r="CK6" s="5" t="e">
        <f t="shared" si="15"/>
        <v>#REF!</v>
      </c>
      <c r="CL6" s="5" t="e">
        <f t="shared" si="15"/>
        <v>#REF!</v>
      </c>
      <c r="CM6" s="5">
        <f t="shared" si="15"/>
        <v>1.7000387287419887</v>
      </c>
      <c r="CN6" s="5"/>
      <c r="CO6" s="5" t="e">
        <f t="shared" ref="CO6:CZ6" si="16">AVERAGE(CO20:CO104)</f>
        <v>#REF!</v>
      </c>
      <c r="CP6" s="5" t="e">
        <f t="shared" si="16"/>
        <v>#REF!</v>
      </c>
      <c r="CQ6" s="5" t="e">
        <f t="shared" si="16"/>
        <v>#REF!</v>
      </c>
      <c r="CR6" s="5">
        <f t="shared" si="16"/>
        <v>1.7335735354059274</v>
      </c>
      <c r="CS6" s="5" t="e">
        <f t="shared" si="16"/>
        <v>#REF!</v>
      </c>
      <c r="CT6" s="5" t="e">
        <f t="shared" si="16"/>
        <v>#REF!</v>
      </c>
      <c r="CU6" s="5" t="e">
        <f t="shared" si="16"/>
        <v>#REF!</v>
      </c>
      <c r="CV6" s="5" t="e">
        <f t="shared" si="16"/>
        <v>#REF!</v>
      </c>
      <c r="CW6" s="5" t="e">
        <f t="shared" si="16"/>
        <v>#REF!</v>
      </c>
      <c r="CX6" s="5">
        <f t="shared" si="16"/>
        <v>0.89520336880745377</v>
      </c>
      <c r="CY6" s="5" t="e">
        <f t="shared" si="16"/>
        <v>#REF!</v>
      </c>
      <c r="CZ6" s="5" t="e">
        <f t="shared" si="16"/>
        <v>#REF!</v>
      </c>
      <c r="DF6" s="4">
        <f>0.88*4.5</f>
        <v>3.96</v>
      </c>
      <c r="DJ6" s="4">
        <f>0.91*3.5</f>
        <v>3.1850000000000001</v>
      </c>
      <c r="DK6" s="4">
        <f>4.6*3</f>
        <v>13.799999999999999</v>
      </c>
      <c r="DM6" s="4">
        <f>0.91*4.5</f>
        <v>4.0949999999999998</v>
      </c>
      <c r="DN6" s="4">
        <f>4.6*4</f>
        <v>18.399999999999999</v>
      </c>
    </row>
    <row r="7" spans="4:167" ht="12" customHeight="1" x14ac:dyDescent="0.3">
      <c r="D7" s="9"/>
      <c r="E7" s="9"/>
      <c r="F7" s="4">
        <f>226*0.145</f>
        <v>32.769999999999996</v>
      </c>
      <c r="M7" s="4" t="str">
        <f>CF7</f>
        <v>cov</v>
      </c>
      <c r="N7" s="4" t="e">
        <f t="shared" si="14"/>
        <v>#REF!</v>
      </c>
      <c r="AR7" s="7"/>
      <c r="AS7" s="7"/>
      <c r="AT7" s="39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8" t="s">
        <v>217</v>
      </c>
      <c r="CG7" s="5" t="e">
        <f t="shared" ref="CG7:CM7" si="17">STDEVP(CG20:CG104)/CG6</f>
        <v>#REF!</v>
      </c>
      <c r="CH7" s="5" t="e">
        <f t="shared" si="17"/>
        <v>#REF!</v>
      </c>
      <c r="CI7" s="5" t="e">
        <f t="shared" si="17"/>
        <v>#REF!</v>
      </c>
      <c r="CJ7" s="5" t="e">
        <f t="shared" si="17"/>
        <v>#REF!</v>
      </c>
      <c r="CK7" s="5" t="e">
        <f t="shared" si="17"/>
        <v>#REF!</v>
      </c>
      <c r="CL7" s="5" t="e">
        <f t="shared" si="17"/>
        <v>#REF!</v>
      </c>
      <c r="CM7" s="5">
        <f t="shared" si="17"/>
        <v>0.2785268190443011</v>
      </c>
      <c r="CN7" s="5"/>
      <c r="CO7" s="5" t="e">
        <f t="shared" ref="CO7" si="18">STDEVP(CO20:CO104)/CO6</f>
        <v>#REF!</v>
      </c>
      <c r="CP7" s="5" t="e">
        <f t="shared" ref="CP7" si="19">STDEVP(CP20:CP104)/CP6</f>
        <v>#REF!</v>
      </c>
      <c r="CQ7" s="5" t="e">
        <f t="shared" ref="CQ7" si="20">STDEVP(CQ20:CQ104)/CQ6</f>
        <v>#REF!</v>
      </c>
      <c r="CR7" s="5">
        <f t="shared" ref="CR7" si="21">STDEVP(CR20:CR104)/CR6</f>
        <v>0.26144668984660624</v>
      </c>
      <c r="CS7" s="5" t="e">
        <f t="shared" ref="CS7" si="22">STDEVP(CS20:CS104)/CS6</f>
        <v>#REF!</v>
      </c>
      <c r="CT7" s="5" t="e">
        <f t="shared" ref="CT7" si="23">STDEVP(CT20:CT104)/CT6</f>
        <v>#REF!</v>
      </c>
      <c r="CU7" s="5" t="e">
        <f t="shared" ref="CU7" si="24">STDEVP(CU20:CU104)/CU6</f>
        <v>#REF!</v>
      </c>
      <c r="CV7" s="5" t="e">
        <f t="shared" ref="CV7" si="25">STDEVP(CV20:CV104)/CV6</f>
        <v>#REF!</v>
      </c>
      <c r="CW7" s="5" t="e">
        <f t="shared" ref="CW7" si="26">STDEVP(CW20:CW104)/CW6</f>
        <v>#REF!</v>
      </c>
      <c r="CX7" s="5">
        <f t="shared" ref="CX7" si="27">STDEVP(CX20:CX104)/CX6</f>
        <v>1.88679245283019E-2</v>
      </c>
      <c r="CY7" s="5" t="e">
        <f t="shared" ref="CY7" si="28">STDEVP(CY20:CY104)/CY6</f>
        <v>#REF!</v>
      </c>
      <c r="CZ7" s="5" t="e">
        <f t="shared" ref="CZ7" si="29">STDEVP(CZ20:CZ104)/CZ6</f>
        <v>#REF!</v>
      </c>
      <c r="DF7" s="4">
        <f>0.85*4.5*(3*PI()-4+2/4.5)</f>
        <v>22.449775699942876</v>
      </c>
      <c r="EF7" s="4">
        <f>SQRT(EF8-1)*1.4</f>
        <v>2.7854122361862532</v>
      </c>
    </row>
    <row r="8" spans="4:167" ht="12" customHeight="1" x14ac:dyDescent="0.3">
      <c r="N8" s="4" t="e">
        <f t="shared" si="14"/>
        <v>#REF!</v>
      </c>
      <c r="AR8" s="7"/>
      <c r="AS8" s="7"/>
      <c r="AT8" s="39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>
        <f>500*0.154</f>
        <v>77</v>
      </c>
      <c r="CE8" s="7"/>
      <c r="CF8" s="7" t="s">
        <v>28</v>
      </c>
      <c r="CG8" s="4" t="e">
        <f t="shared" ref="CG8:CM8" si="30">MAX(CG20:CG104)</f>
        <v>#REF!</v>
      </c>
      <c r="CH8" s="4" t="e">
        <f t="shared" si="30"/>
        <v>#REF!</v>
      </c>
      <c r="CI8" s="4" t="e">
        <f t="shared" si="30"/>
        <v>#REF!</v>
      </c>
      <c r="CJ8" s="4" t="e">
        <f t="shared" si="30"/>
        <v>#REF!</v>
      </c>
      <c r="CK8" s="4" t="e">
        <f t="shared" si="30"/>
        <v>#REF!</v>
      </c>
      <c r="CL8" s="4" t="e">
        <f t="shared" si="30"/>
        <v>#REF!</v>
      </c>
      <c r="CM8" s="4">
        <f t="shared" si="30"/>
        <v>2.3452641252972923</v>
      </c>
      <c r="CO8" s="4" t="e">
        <f t="shared" ref="CO8:CZ8" si="31">MAX(CO20:CO104)</f>
        <v>#REF!</v>
      </c>
      <c r="CP8" s="4" t="e">
        <f t="shared" si="31"/>
        <v>#REF!</v>
      </c>
      <c r="CQ8" s="4" t="e">
        <f t="shared" si="31"/>
        <v>#REF!</v>
      </c>
      <c r="CR8" s="4">
        <f t="shared" si="31"/>
        <v>2.3452641252972923</v>
      </c>
      <c r="CS8" s="4" t="e">
        <f t="shared" si="31"/>
        <v>#REF!</v>
      </c>
      <c r="CT8" s="4" t="e">
        <f t="shared" si="31"/>
        <v>#REF!</v>
      </c>
      <c r="CU8" s="4" t="e">
        <f t="shared" si="31"/>
        <v>#REF!</v>
      </c>
      <c r="CV8" s="4" t="e">
        <f t="shared" si="31"/>
        <v>#REF!</v>
      </c>
      <c r="CW8" s="4" t="e">
        <f t="shared" si="31"/>
        <v>#REF!</v>
      </c>
      <c r="CX8" s="4">
        <f t="shared" si="31"/>
        <v>0.91209399840759442</v>
      </c>
      <c r="CY8" s="4" t="e">
        <f t="shared" si="31"/>
        <v>#REF!</v>
      </c>
      <c r="CZ8" s="4" t="e">
        <f t="shared" si="31"/>
        <v>#REF!</v>
      </c>
      <c r="DC8" s="4">
        <f>1.4/3.1</f>
        <v>0.45161290322580638</v>
      </c>
      <c r="EF8" s="4">
        <f>EF9^2</f>
        <v>4.9584292477020941</v>
      </c>
      <c r="EL8" s="4" t="e">
        <f>(EL9-EM9)*4*EF9</f>
        <v>#REF!</v>
      </c>
      <c r="EM8" s="4" t="e">
        <f>3*EM9+0.5</f>
        <v>#REF!</v>
      </c>
      <c r="EN8" s="4" t="s">
        <v>30</v>
      </c>
    </row>
    <row r="9" spans="4:167" ht="12" customHeight="1" x14ac:dyDescent="0.3">
      <c r="N9" s="4" t="e">
        <f t="shared" si="14"/>
        <v>#REF!</v>
      </c>
      <c r="AR9" s="7"/>
      <c r="AS9" s="7"/>
      <c r="AT9" s="39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 t="s">
        <v>29</v>
      </c>
      <c r="CG9" s="4" t="e">
        <f t="shared" ref="CG9:CM9" si="32">MIN(CG20:CG104)</f>
        <v>#REF!</v>
      </c>
      <c r="CH9" s="4" t="e">
        <f t="shared" si="32"/>
        <v>#REF!</v>
      </c>
      <c r="CI9" s="4" t="e">
        <f t="shared" si="32"/>
        <v>#REF!</v>
      </c>
      <c r="CJ9" s="4" t="e">
        <f t="shared" si="32"/>
        <v>#REF!</v>
      </c>
      <c r="CK9" s="4" t="e">
        <f t="shared" si="32"/>
        <v>#REF!</v>
      </c>
      <c r="CL9" s="4" t="e">
        <f t="shared" si="32"/>
        <v>#REF!</v>
      </c>
      <c r="CM9" s="4">
        <f t="shared" si="32"/>
        <v>0.778335876421405</v>
      </c>
      <c r="CO9" s="4" t="e">
        <f t="shared" ref="CO9:CZ9" si="33">MIN(CO20:CO104)</f>
        <v>#REF!</v>
      </c>
      <c r="CP9" s="4" t="e">
        <f t="shared" si="33"/>
        <v>#REF!</v>
      </c>
      <c r="CQ9" s="4" t="e">
        <f t="shared" si="33"/>
        <v>#REF!</v>
      </c>
      <c r="CR9" s="4">
        <f t="shared" si="33"/>
        <v>0.778335876421405</v>
      </c>
      <c r="CS9" s="4" t="e">
        <f t="shared" si="33"/>
        <v>#REF!</v>
      </c>
      <c r="CT9" s="4" t="e">
        <f t="shared" si="33"/>
        <v>#REF!</v>
      </c>
      <c r="CU9" s="4" t="e">
        <f t="shared" si="33"/>
        <v>#REF!</v>
      </c>
      <c r="CV9" s="4" t="e">
        <f t="shared" si="33"/>
        <v>#REF!</v>
      </c>
      <c r="CW9" s="4" t="e">
        <f t="shared" si="33"/>
        <v>#REF!</v>
      </c>
      <c r="CX9" s="4">
        <f t="shared" si="33"/>
        <v>0.87831273920731312</v>
      </c>
      <c r="CY9" s="4" t="e">
        <f t="shared" si="33"/>
        <v>#REF!</v>
      </c>
      <c r="CZ9" s="4" t="e">
        <f t="shared" si="33"/>
        <v>#REF!</v>
      </c>
      <c r="DF9" s="114" t="s">
        <v>219</v>
      </c>
      <c r="DG9" s="114"/>
      <c r="DH9" s="114"/>
      <c r="DI9" s="114"/>
      <c r="DJ9" s="114"/>
      <c r="DK9" s="114"/>
      <c r="DL9" s="114"/>
      <c r="DT9" s="4" t="e">
        <f>MIN(1,MAX(0.85,(1-0.2*(BL9-2*#REF!)/#REF!)*IF(J9&gt;=2,0.7,1)))</f>
        <v>#REF!</v>
      </c>
      <c r="DX9" s="114" t="s">
        <v>51</v>
      </c>
      <c r="DY9" s="114"/>
      <c r="DZ9" s="114"/>
      <c r="EB9" s="4" t="s">
        <v>196</v>
      </c>
      <c r="EC9" s="4" t="s">
        <v>197</v>
      </c>
      <c r="EF9" s="4">
        <f>AVERAGE(EF53:EF302)</f>
        <v>2.226753072907298</v>
      </c>
      <c r="EI9" s="4">
        <f>0.00045*EE9</f>
        <v>0</v>
      </c>
      <c r="EK9" s="4" t="e">
        <f>AVERAGE(EK53:EK302)</f>
        <v>#REF!</v>
      </c>
      <c r="EL9" s="4" t="e">
        <f>EK9^0.4</f>
        <v>#REF!</v>
      </c>
      <c r="EM9" s="4" t="e">
        <f>1/1.4*(1-EK9^1.4)/(1-EK9)</f>
        <v>#REF!</v>
      </c>
      <c r="EN9" s="4">
        <v>0.75</v>
      </c>
      <c r="EW9" s="4" t="s">
        <v>41</v>
      </c>
    </row>
    <row r="10" spans="4:167" ht="12" customHeight="1" x14ac:dyDescent="0.3">
      <c r="L10" s="4" t="str">
        <f>CE10</f>
        <v>Splice</v>
      </c>
      <c r="M10" s="4" t="str">
        <f>CF10</f>
        <v>avg</v>
      </c>
      <c r="N10" s="4" t="e">
        <f t="shared" si="14"/>
        <v>#REF!</v>
      </c>
      <c r="AR10" s="7"/>
      <c r="AS10" s="7"/>
      <c r="AT10" s="39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 t="s">
        <v>199</v>
      </c>
      <c r="CF10" s="5" t="s">
        <v>27</v>
      </c>
      <c r="CG10" s="5" t="e">
        <f t="shared" ref="CG10:CM10" si="34">AVERAGE(CG105:CG153)</f>
        <v>#REF!</v>
      </c>
      <c r="CH10" s="5" t="e">
        <f t="shared" si="34"/>
        <v>#REF!</v>
      </c>
      <c r="CI10" s="5" t="e">
        <f t="shared" si="34"/>
        <v>#REF!</v>
      </c>
      <c r="CJ10" s="5" t="e">
        <f t="shared" si="34"/>
        <v>#REF!</v>
      </c>
      <c r="CK10" s="5" t="e">
        <f t="shared" si="34"/>
        <v>#REF!</v>
      </c>
      <c r="CL10" s="5" t="e">
        <f t="shared" si="34"/>
        <v>#REF!</v>
      </c>
      <c r="CM10" s="5" t="e">
        <f t="shared" si="34"/>
        <v>#REF!</v>
      </c>
      <c r="CN10" s="5"/>
      <c r="CO10" s="5" t="e">
        <f t="shared" ref="CO10:CZ10" si="35">AVERAGE(CO105:CO153)</f>
        <v>#REF!</v>
      </c>
      <c r="CP10" s="5" t="e">
        <f t="shared" si="35"/>
        <v>#REF!</v>
      </c>
      <c r="CQ10" s="5" t="e">
        <f t="shared" si="35"/>
        <v>#REF!</v>
      </c>
      <c r="CR10" s="5" t="e">
        <f t="shared" si="35"/>
        <v>#REF!</v>
      </c>
      <c r="CS10" s="5" t="e">
        <f t="shared" si="35"/>
        <v>#REF!</v>
      </c>
      <c r="CT10" s="5" t="e">
        <f t="shared" si="35"/>
        <v>#REF!</v>
      </c>
      <c r="CU10" s="5" t="e">
        <f t="shared" si="35"/>
        <v>#REF!</v>
      </c>
      <c r="CV10" s="5" t="e">
        <f t="shared" si="35"/>
        <v>#REF!</v>
      </c>
      <c r="CW10" s="5" t="e">
        <f t="shared" si="35"/>
        <v>#REF!</v>
      </c>
      <c r="CX10" s="5" t="e">
        <f t="shared" si="35"/>
        <v>#REF!</v>
      </c>
      <c r="CY10" s="5" t="e">
        <f t="shared" si="35"/>
        <v>#REF!</v>
      </c>
      <c r="CZ10" s="5" t="e">
        <f t="shared" si="35"/>
        <v>#REF!</v>
      </c>
      <c r="DC10" s="4">
        <f>1/3.1</f>
        <v>0.32258064516129031</v>
      </c>
      <c r="DF10" s="10"/>
      <c r="DG10" s="10"/>
      <c r="DH10" s="10"/>
      <c r="DI10" s="10"/>
      <c r="DJ10" s="10"/>
      <c r="DK10" s="10"/>
      <c r="DL10" s="10"/>
      <c r="DN10" s="4">
        <v>1</v>
      </c>
      <c r="DX10" s="10"/>
      <c r="DY10" s="10"/>
      <c r="DZ10" s="10"/>
    </row>
    <row r="11" spans="4:167" ht="12" customHeight="1" x14ac:dyDescent="0.3">
      <c r="M11" s="4" t="str">
        <f>CF11</f>
        <v>cov</v>
      </c>
      <c r="N11" s="4" t="e">
        <f t="shared" si="14"/>
        <v>#REF!</v>
      </c>
      <c r="AR11" s="7"/>
      <c r="AS11" s="7"/>
      <c r="AT11" s="39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8" t="s">
        <v>217</v>
      </c>
      <c r="CG11" s="5" t="e">
        <f t="shared" ref="CG11:CM11" si="36">STDEVP(CG105:CG153)/CG10</f>
        <v>#REF!</v>
      </c>
      <c r="CH11" s="5" t="e">
        <f t="shared" si="36"/>
        <v>#REF!</v>
      </c>
      <c r="CI11" s="5" t="e">
        <f t="shared" si="36"/>
        <v>#REF!</v>
      </c>
      <c r="CJ11" s="5" t="e">
        <f t="shared" si="36"/>
        <v>#REF!</v>
      </c>
      <c r="CK11" s="5" t="e">
        <f t="shared" si="36"/>
        <v>#REF!</v>
      </c>
      <c r="CL11" s="5" t="e">
        <f t="shared" si="36"/>
        <v>#REF!</v>
      </c>
      <c r="CM11" s="5" t="e">
        <f t="shared" si="36"/>
        <v>#REF!</v>
      </c>
      <c r="CN11" s="5"/>
      <c r="CO11" s="5" t="e">
        <f t="shared" ref="CO11" si="37">STDEVP(CO105:CO153)/CO10</f>
        <v>#REF!</v>
      </c>
      <c r="CP11" s="5" t="e">
        <f t="shared" ref="CP11" si="38">STDEVP(CP105:CP153)/CP10</f>
        <v>#REF!</v>
      </c>
      <c r="CQ11" s="5" t="e">
        <f t="shared" ref="CQ11" si="39">STDEVP(CQ105:CQ153)/CQ10</f>
        <v>#REF!</v>
      </c>
      <c r="CR11" s="5" t="e">
        <f t="shared" ref="CR11" si="40">STDEVP(CR105:CR153)/CR10</f>
        <v>#REF!</v>
      </c>
      <c r="CS11" s="5" t="e">
        <f t="shared" ref="CS11" si="41">STDEVP(CS105:CS153)/CS10</f>
        <v>#REF!</v>
      </c>
      <c r="CT11" s="5" t="e">
        <f t="shared" ref="CT11" si="42">STDEVP(CT105:CT153)/CT10</f>
        <v>#REF!</v>
      </c>
      <c r="CU11" s="5" t="e">
        <f t="shared" ref="CU11" si="43">STDEVP(CU105:CU153)/CU10</f>
        <v>#REF!</v>
      </c>
      <c r="CV11" s="5" t="e">
        <f t="shared" ref="CV11" si="44">STDEVP(CV105:CV153)/CV10</f>
        <v>#REF!</v>
      </c>
      <c r="CW11" s="5" t="e">
        <f t="shared" ref="CW11" si="45">STDEVP(CW105:CW153)/CW10</f>
        <v>#REF!</v>
      </c>
      <c r="CX11" s="5" t="e">
        <f t="shared" ref="CX11" si="46">STDEVP(CX105:CX153)/CX10</f>
        <v>#REF!</v>
      </c>
      <c r="CY11" s="5" t="e">
        <f t="shared" ref="CY11" si="47">STDEVP(CY105:CY153)/CY10</f>
        <v>#REF!</v>
      </c>
      <c r="CZ11" s="5" t="e">
        <f t="shared" ref="CZ11" si="48">STDEVP(CZ105:CZ153)/CZ10</f>
        <v>#REF!</v>
      </c>
      <c r="DC11" s="4">
        <f>2.8/3.1</f>
        <v>0.90322580645161277</v>
      </c>
      <c r="DF11" s="10"/>
      <c r="DG11" s="10"/>
      <c r="DH11" s="10"/>
      <c r="DI11" s="10"/>
      <c r="DJ11" s="10"/>
      <c r="DK11" s="10"/>
      <c r="DL11" s="10"/>
      <c r="DN11" s="4">
        <v>1</v>
      </c>
      <c r="DX11" s="10"/>
      <c r="DY11" s="10"/>
      <c r="DZ11" s="10"/>
    </row>
    <row r="12" spans="4:167" ht="12" customHeight="1" x14ac:dyDescent="0.3">
      <c r="N12" s="4" t="e">
        <f t="shared" si="14"/>
        <v>#REF!</v>
      </c>
      <c r="AR12" s="7"/>
      <c r="AS12" s="7"/>
      <c r="AT12" s="39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 t="s">
        <v>28</v>
      </c>
      <c r="CG12" s="4" t="e">
        <f t="shared" ref="CG12" si="49">MAX(CG105:CG153)</f>
        <v>#REF!</v>
      </c>
      <c r="CH12" s="4" t="e">
        <f t="shared" ref="CH12:CM12" si="50">MAX(CH105:CH153)</f>
        <v>#REF!</v>
      </c>
      <c r="CI12" s="4" t="e">
        <f t="shared" si="50"/>
        <v>#REF!</v>
      </c>
      <c r="CJ12" s="4" t="e">
        <f t="shared" si="50"/>
        <v>#REF!</v>
      </c>
      <c r="CK12" s="4" t="e">
        <f t="shared" si="50"/>
        <v>#REF!</v>
      </c>
      <c r="CL12" s="4" t="e">
        <f t="shared" si="50"/>
        <v>#REF!</v>
      </c>
      <c r="CM12" s="4" t="e">
        <f t="shared" si="50"/>
        <v>#REF!</v>
      </c>
      <c r="CO12" s="4" t="e">
        <f t="shared" ref="CO12:CZ12" si="51">MAX(CO105:CO153)</f>
        <v>#REF!</v>
      </c>
      <c r="CP12" s="4" t="e">
        <f t="shared" si="51"/>
        <v>#REF!</v>
      </c>
      <c r="CQ12" s="4" t="e">
        <f t="shared" si="51"/>
        <v>#REF!</v>
      </c>
      <c r="CR12" s="4" t="e">
        <f t="shared" si="51"/>
        <v>#REF!</v>
      </c>
      <c r="CS12" s="4" t="e">
        <f t="shared" si="51"/>
        <v>#REF!</v>
      </c>
      <c r="CT12" s="4" t="e">
        <f t="shared" si="51"/>
        <v>#REF!</v>
      </c>
      <c r="CU12" s="4" t="e">
        <f t="shared" si="51"/>
        <v>#REF!</v>
      </c>
      <c r="CV12" s="4" t="e">
        <f t="shared" si="51"/>
        <v>#REF!</v>
      </c>
      <c r="CW12" s="4" t="e">
        <f t="shared" si="51"/>
        <v>#REF!</v>
      </c>
      <c r="CX12" s="4" t="e">
        <f t="shared" si="51"/>
        <v>#REF!</v>
      </c>
      <c r="CY12" s="4" t="e">
        <f t="shared" si="51"/>
        <v>#REF!</v>
      </c>
      <c r="CZ12" s="4" t="e">
        <f t="shared" si="51"/>
        <v>#REF!</v>
      </c>
      <c r="DF12" s="10"/>
      <c r="DG12" s="10"/>
      <c r="DH12" s="10"/>
      <c r="DI12" s="10"/>
      <c r="DJ12" s="10"/>
      <c r="DK12" s="10"/>
      <c r="DL12" s="10"/>
      <c r="DX12" s="10"/>
      <c r="DY12" s="10"/>
      <c r="DZ12" s="10"/>
      <c r="EA12" s="4">
        <f>MIN(EA252:EA453)</f>
        <v>0.59499999999999997</v>
      </c>
    </row>
    <row r="13" spans="4:167" ht="12" customHeight="1" x14ac:dyDescent="0.3">
      <c r="N13" s="4" t="e">
        <f t="shared" si="14"/>
        <v>#REF!</v>
      </c>
      <c r="AR13" s="7"/>
      <c r="AS13" s="7"/>
      <c r="AT13" s="39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 t="s">
        <v>29</v>
      </c>
      <c r="CG13" s="4" t="e">
        <f t="shared" ref="CG13" si="52">MIN(CG105:CG153)</f>
        <v>#REF!</v>
      </c>
      <c r="CH13" s="4" t="e">
        <f t="shared" ref="CH13:CM13" si="53">MIN(CH105:CH153)</f>
        <v>#REF!</v>
      </c>
      <c r="CI13" s="4" t="e">
        <f t="shared" si="53"/>
        <v>#REF!</v>
      </c>
      <c r="CJ13" s="4" t="e">
        <f t="shared" si="53"/>
        <v>#REF!</v>
      </c>
      <c r="CK13" s="4" t="e">
        <f t="shared" si="53"/>
        <v>#REF!</v>
      </c>
      <c r="CL13" s="4" t="e">
        <f t="shared" si="53"/>
        <v>#REF!</v>
      </c>
      <c r="CM13" s="4" t="e">
        <f t="shared" si="53"/>
        <v>#REF!</v>
      </c>
      <c r="CO13" s="4" t="e">
        <f t="shared" ref="CO13:CZ13" si="54">MIN(CO105:CO153)</f>
        <v>#REF!</v>
      </c>
      <c r="CP13" s="4" t="e">
        <f t="shared" si="54"/>
        <v>#REF!</v>
      </c>
      <c r="CQ13" s="4" t="e">
        <f t="shared" si="54"/>
        <v>#REF!</v>
      </c>
      <c r="CR13" s="4" t="e">
        <f t="shared" si="54"/>
        <v>#REF!</v>
      </c>
      <c r="CS13" s="4" t="e">
        <f t="shared" si="54"/>
        <v>#REF!</v>
      </c>
      <c r="CT13" s="4" t="e">
        <f t="shared" si="54"/>
        <v>#REF!</v>
      </c>
      <c r="CU13" s="4" t="e">
        <f t="shared" si="54"/>
        <v>#REF!</v>
      </c>
      <c r="CV13" s="4" t="e">
        <f t="shared" si="54"/>
        <v>#REF!</v>
      </c>
      <c r="CW13" s="4" t="e">
        <f t="shared" si="54"/>
        <v>#REF!</v>
      </c>
      <c r="CX13" s="4" t="e">
        <f t="shared" si="54"/>
        <v>#REF!</v>
      </c>
      <c r="CY13" s="4" t="e">
        <f t="shared" si="54"/>
        <v>#REF!</v>
      </c>
      <c r="CZ13" s="4" t="e">
        <f t="shared" si="54"/>
        <v>#REF!</v>
      </c>
      <c r="DF13" s="10"/>
      <c r="DG13" s="10"/>
      <c r="DH13" s="10"/>
      <c r="DI13" s="10"/>
      <c r="DJ13" s="10"/>
      <c r="DK13" s="10"/>
      <c r="DL13" s="10"/>
      <c r="DN13" s="4">
        <f>DN14/2</f>
        <v>4.4708269225635169</v>
      </c>
      <c r="DX13" s="10"/>
      <c r="DY13" s="10"/>
      <c r="DZ13" s="10"/>
      <c r="EA13" s="4">
        <f>MAX(EA252:EA453)</f>
        <v>0.85</v>
      </c>
    </row>
    <row r="14" spans="4:167" ht="12" customHeight="1" x14ac:dyDescent="0.3">
      <c r="L14" s="4" t="str">
        <f>CE14</f>
        <v>Joint</v>
      </c>
      <c r="M14" s="4" t="str">
        <f>CF14</f>
        <v>avg</v>
      </c>
      <c r="N14" s="4" t="e">
        <f t="shared" si="14"/>
        <v>#REF!</v>
      </c>
      <c r="P14" s="4">
        <f>MIN(P53:P453)</f>
        <v>1.1000000000000001</v>
      </c>
      <c r="AR14" s="7"/>
      <c r="AS14" s="7"/>
      <c r="AT14" s="39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 t="s">
        <v>200</v>
      </c>
      <c r="CF14" s="5" t="s">
        <v>27</v>
      </c>
      <c r="CG14" s="5" t="e">
        <f>AVERAGE(CG156:CG1254)</f>
        <v>#REF!</v>
      </c>
      <c r="CH14" s="5" t="e">
        <f t="shared" ref="CH14:CJ14" si="55">AVERAGE(CH156:CH1254)</f>
        <v>#REF!</v>
      </c>
      <c r="CI14" s="5" t="e">
        <f t="shared" si="55"/>
        <v>#REF!</v>
      </c>
      <c r="CJ14" s="5" t="e">
        <f t="shared" si="55"/>
        <v>#REF!</v>
      </c>
      <c r="CK14" s="5" t="e">
        <f t="shared" ref="CK14:CM14" si="56">AVERAGE(CK156:CK1254)</f>
        <v>#REF!</v>
      </c>
      <c r="CL14" s="5" t="e">
        <f t="shared" si="56"/>
        <v>#REF!</v>
      </c>
      <c r="CM14" s="5">
        <f t="shared" si="56"/>
        <v>1.4389569226467425</v>
      </c>
      <c r="CN14" s="5"/>
      <c r="CO14" s="5" t="e">
        <f t="shared" ref="CO14:CZ14" si="57">AVERAGE(CO156:CO254)</f>
        <v>#REF!</v>
      </c>
      <c r="CP14" s="5" t="e">
        <f t="shared" si="57"/>
        <v>#REF!</v>
      </c>
      <c r="CQ14" s="5" t="e">
        <f t="shared" si="57"/>
        <v>#REF!</v>
      </c>
      <c r="CR14" s="5">
        <f t="shared" ref="CR14" si="58">AVERAGE(CR156:CR254)</f>
        <v>2.0679009828844626</v>
      </c>
      <c r="CS14" s="5" t="e">
        <f t="shared" si="57"/>
        <v>#REF!</v>
      </c>
      <c r="CT14" s="5" t="e">
        <f t="shared" si="57"/>
        <v>#REF!</v>
      </c>
      <c r="CU14" s="5" t="e">
        <f t="shared" si="57"/>
        <v>#REF!</v>
      </c>
      <c r="CV14" s="5" t="e">
        <f t="shared" si="57"/>
        <v>#REF!</v>
      </c>
      <c r="CW14" s="5" t="e">
        <f t="shared" si="57"/>
        <v>#REF!</v>
      </c>
      <c r="CX14" s="5">
        <f t="shared" ref="CX14" si="59">AVERAGE(CX156:CX254)</f>
        <v>1.5458349786497587</v>
      </c>
      <c r="CY14" s="5" t="e">
        <f t="shared" si="57"/>
        <v>#REF!</v>
      </c>
      <c r="CZ14" s="5" t="e">
        <f t="shared" si="57"/>
        <v>#REF!</v>
      </c>
      <c r="DF14" s="10"/>
      <c r="DG14" s="10"/>
      <c r="DH14" s="10"/>
      <c r="DI14" s="10"/>
      <c r="DJ14" s="10"/>
      <c r="DK14" s="10"/>
      <c r="DL14" s="10"/>
      <c r="DN14" s="4">
        <f>4*SQRT(DN16-1)</f>
        <v>8.9416538451270338</v>
      </c>
      <c r="DX14" s="10"/>
      <c r="DY14" s="10"/>
      <c r="DZ14" s="10"/>
      <c r="EU14" s="4" t="e">
        <f>CK14</f>
        <v>#REF!</v>
      </c>
    </row>
    <row r="15" spans="4:167" ht="12" customHeight="1" x14ac:dyDescent="0.3">
      <c r="D15" s="4">
        <f>MIN(D252:D453)</f>
        <v>799.31034482758628</v>
      </c>
      <c r="E15" s="4">
        <f>MIN(E252:E453)</f>
        <v>96.774000000000001</v>
      </c>
      <c r="F15" s="4">
        <f t="shared" ref="F15:G15" si="60">MIN(F252:F453)</f>
        <v>27.310344827586206</v>
      </c>
      <c r="G15" s="4">
        <f t="shared" si="60"/>
        <v>15.875</v>
      </c>
      <c r="M15" s="4" t="str">
        <f>CF15</f>
        <v>cov</v>
      </c>
      <c r="N15" s="4" t="e">
        <f t="shared" si="14"/>
        <v>#REF!</v>
      </c>
      <c r="P15" s="4">
        <f>MAX(P53:P453)</f>
        <v>14.9</v>
      </c>
      <c r="AR15" s="7"/>
      <c r="AS15" s="7"/>
      <c r="AT15" s="39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8" t="s">
        <v>217</v>
      </c>
      <c r="CG15" s="5" t="e">
        <f>STDEVP(CG156:CG1254)/CG14</f>
        <v>#REF!</v>
      </c>
      <c r="CH15" s="5" t="e">
        <f>STDEVP(CH156:CH1254)/CH14</f>
        <v>#REF!</v>
      </c>
      <c r="CI15" s="5" t="e">
        <f>STDEVP(CI156:CI1254)/CI14</f>
        <v>#REF!</v>
      </c>
      <c r="CJ15" s="5" t="e">
        <f>STDEVP(CJ156:CJ1254)/CJ14</f>
        <v>#REF!</v>
      </c>
      <c r="CK15" s="5" t="e">
        <f t="shared" ref="CK15:CM15" si="61">STDEVP(CK156:CK1254)/CK14</f>
        <v>#REF!</v>
      </c>
      <c r="CL15" s="5" t="e">
        <f t="shared" si="61"/>
        <v>#REF!</v>
      </c>
      <c r="CM15" s="5">
        <f t="shared" si="61"/>
        <v>0.37188573220880466</v>
      </c>
      <c r="CN15" s="5"/>
      <c r="CO15" s="5" t="e">
        <f t="shared" ref="CO15:CZ15" si="62">STDEVP(CO156:CO254)/CO14</f>
        <v>#REF!</v>
      </c>
      <c r="CP15" s="5" t="e">
        <f t="shared" si="62"/>
        <v>#REF!</v>
      </c>
      <c r="CQ15" s="5" t="e">
        <f t="shared" si="62"/>
        <v>#REF!</v>
      </c>
      <c r="CR15" s="5">
        <f t="shared" si="62"/>
        <v>0.36758877623706776</v>
      </c>
      <c r="CS15" s="5" t="e">
        <f t="shared" si="62"/>
        <v>#REF!</v>
      </c>
      <c r="CT15" s="5" t="e">
        <f t="shared" si="62"/>
        <v>#REF!</v>
      </c>
      <c r="CU15" s="5" t="e">
        <f t="shared" si="62"/>
        <v>#REF!</v>
      </c>
      <c r="CV15" s="5" t="e">
        <f t="shared" si="62"/>
        <v>#REF!</v>
      </c>
      <c r="CW15" s="5" t="e">
        <f t="shared" si="62"/>
        <v>#REF!</v>
      </c>
      <c r="CX15" s="5">
        <f t="shared" si="62"/>
        <v>0.42698748516502844</v>
      </c>
      <c r="CY15" s="5" t="e">
        <f t="shared" si="62"/>
        <v>#REF!</v>
      </c>
      <c r="CZ15" s="5" t="e">
        <f t="shared" si="62"/>
        <v>#REF!</v>
      </c>
      <c r="DF15" s="10"/>
      <c r="DG15" s="10"/>
      <c r="DH15" s="10"/>
      <c r="DI15" s="10"/>
      <c r="DJ15" s="10"/>
      <c r="DK15" s="10"/>
      <c r="DL15" s="10"/>
      <c r="DX15" s="10"/>
      <c r="DY15" s="10"/>
      <c r="DZ15" s="10"/>
      <c r="EU15" s="4" t="e">
        <f t="shared" ref="EU15:EU17" si="63">CK15</f>
        <v>#REF!</v>
      </c>
    </row>
    <row r="16" spans="4:167" ht="12" customHeight="1" x14ac:dyDescent="0.3">
      <c r="D16" s="4">
        <f>MAX(D252:D453)</f>
        <v>958.62068965517244</v>
      </c>
      <c r="E16" s="4">
        <f>MAX(E252:E453)</f>
        <v>498.60199999999992</v>
      </c>
      <c r="F16" s="4">
        <f t="shared" ref="F16:G16" si="64">MAX(F252:F453)</f>
        <v>110.55172413793103</v>
      </c>
      <c r="G16" s="4">
        <f t="shared" si="64"/>
        <v>35.813999999999993</v>
      </c>
      <c r="N16" s="4" t="e">
        <f t="shared" si="14"/>
        <v>#REF!</v>
      </c>
      <c r="AO16" s="4"/>
      <c r="AP16" s="4" t="e">
        <f>MIN(AP20:AP453)</f>
        <v>#REF!</v>
      </c>
      <c r="AR16" s="7"/>
      <c r="AS16" s="7"/>
      <c r="AT16" s="39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 t="s">
        <v>378</v>
      </c>
      <c r="CC16" s="7"/>
      <c r="CD16" s="7"/>
      <c r="CE16" s="7"/>
      <c r="CF16" s="7" t="s">
        <v>28</v>
      </c>
      <c r="CG16" s="4" t="e">
        <f>MAX(CG156:CG1254)</f>
        <v>#REF!</v>
      </c>
      <c r="CH16" s="4" t="e">
        <f t="shared" ref="CH16:CJ16" si="65">MAX(CH156:CH1254)</f>
        <v>#REF!</v>
      </c>
      <c r="CI16" s="4" t="e">
        <f t="shared" si="65"/>
        <v>#REF!</v>
      </c>
      <c r="CJ16" s="4" t="e">
        <f t="shared" si="65"/>
        <v>#REF!</v>
      </c>
      <c r="CK16" s="4" t="e">
        <f t="shared" ref="CK16:CM16" si="66">MAX(CK156:CK1254)</f>
        <v>#REF!</v>
      </c>
      <c r="CL16" s="4" t="e">
        <f t="shared" si="66"/>
        <v>#REF!</v>
      </c>
      <c r="CM16" s="4">
        <f t="shared" si="66"/>
        <v>3.7678109166826239</v>
      </c>
      <c r="CO16" s="4" t="e">
        <f t="shared" ref="CO16:CZ16" si="67">MAX(CO156:CO254)</f>
        <v>#REF!</v>
      </c>
      <c r="CP16" s="4" t="e">
        <f t="shared" si="67"/>
        <v>#REF!</v>
      </c>
      <c r="CQ16" s="4" t="e">
        <f t="shared" si="67"/>
        <v>#REF!</v>
      </c>
      <c r="CR16" s="4">
        <f t="shared" ref="CR16" si="68">MAX(CR156:CR254)</f>
        <v>3.7678109166826239</v>
      </c>
      <c r="CS16" s="4" t="e">
        <f t="shared" si="67"/>
        <v>#REF!</v>
      </c>
      <c r="CT16" s="4" t="e">
        <f t="shared" si="67"/>
        <v>#REF!</v>
      </c>
      <c r="CU16" s="4" t="e">
        <f t="shared" si="67"/>
        <v>#REF!</v>
      </c>
      <c r="CV16" s="4" t="e">
        <f t="shared" si="67"/>
        <v>#REF!</v>
      </c>
      <c r="CW16" s="4" t="e">
        <f t="shared" si="67"/>
        <v>#REF!</v>
      </c>
      <c r="CX16" s="4">
        <f t="shared" ref="CX16" si="69">MAX(CX156:CX254)</f>
        <v>3.0790396611328834</v>
      </c>
      <c r="CY16" s="4" t="e">
        <f t="shared" si="67"/>
        <v>#REF!</v>
      </c>
      <c r="CZ16" s="4" t="e">
        <f t="shared" si="67"/>
        <v>#REF!</v>
      </c>
      <c r="DF16" s="10"/>
      <c r="DG16" s="10"/>
      <c r="DI16" s="4" t="e">
        <f>(DI17-DJ17)*4*DN17</f>
        <v>#REF!</v>
      </c>
      <c r="DJ16" s="4" t="e">
        <f>3*DJ17+0.5</f>
        <v>#REF!</v>
      </c>
      <c r="DK16" s="10"/>
      <c r="DL16" s="10"/>
      <c r="DN16" s="4">
        <f>DN17^2</f>
        <v>5.9970733428796921</v>
      </c>
      <c r="DX16" s="10"/>
      <c r="DY16" s="10"/>
      <c r="DZ16" s="10"/>
      <c r="EU16" s="4" t="e">
        <f t="shared" si="63"/>
        <v>#REF!</v>
      </c>
    </row>
    <row r="17" spans="1:178" ht="12" customHeight="1" x14ac:dyDescent="0.3">
      <c r="N17" s="4" t="e">
        <f t="shared" si="14"/>
        <v>#REF!</v>
      </c>
      <c r="AB17" s="4" t="s">
        <v>607</v>
      </c>
      <c r="AC17" s="4" t="s">
        <v>608</v>
      </c>
      <c r="AO17" s="4"/>
      <c r="AP17" s="4" t="e">
        <f>MAX(AP20:AP453)</f>
        <v>#REF!</v>
      </c>
      <c r="AQ17" s="4" t="e">
        <f>SUM(AQ53:AQ453)</f>
        <v>#REF!</v>
      </c>
      <c r="AR17" s="7"/>
      <c r="AS17" s="7"/>
      <c r="AT17" s="39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 t="s">
        <v>29</v>
      </c>
      <c r="CG17" s="4" t="e">
        <f>MIN(CG156:CG1254)</f>
        <v>#REF!</v>
      </c>
      <c r="CH17" s="4" t="e">
        <f t="shared" ref="CH17:CJ17" si="70">MIN(CH156:CH1254)</f>
        <v>#REF!</v>
      </c>
      <c r="CI17" s="4" t="e">
        <f t="shared" si="70"/>
        <v>#REF!</v>
      </c>
      <c r="CJ17" s="4" t="e">
        <f t="shared" si="70"/>
        <v>#REF!</v>
      </c>
      <c r="CK17" s="4" t="e">
        <f t="shared" ref="CK17:CM17" si="71">MIN(CK156:CK1254)</f>
        <v>#REF!</v>
      </c>
      <c r="CL17" s="4" t="e">
        <f t="shared" si="71"/>
        <v>#REF!</v>
      </c>
      <c r="CM17" s="4">
        <f t="shared" si="71"/>
        <v>0.69730791094744238</v>
      </c>
      <c r="CO17" s="4" t="e">
        <f t="shared" ref="CO17:CZ17" si="72">MIN(CO156:CO254)</f>
        <v>#REF!</v>
      </c>
      <c r="CP17" s="4" t="e">
        <f t="shared" si="72"/>
        <v>#REF!</v>
      </c>
      <c r="CQ17" s="4" t="e">
        <f t="shared" si="72"/>
        <v>#REF!</v>
      </c>
      <c r="CR17" s="4">
        <f t="shared" ref="CR17" si="73">MIN(CR156:CR254)</f>
        <v>0.92942217759542134</v>
      </c>
      <c r="CS17" s="4" t="e">
        <f t="shared" si="72"/>
        <v>#REF!</v>
      </c>
      <c r="CT17" s="4" t="e">
        <f t="shared" si="72"/>
        <v>#REF!</v>
      </c>
      <c r="CU17" s="4" t="e">
        <f t="shared" si="72"/>
        <v>#REF!</v>
      </c>
      <c r="CV17" s="4" t="e">
        <f t="shared" si="72"/>
        <v>#REF!</v>
      </c>
      <c r="CW17" s="4" t="e">
        <f t="shared" si="72"/>
        <v>#REF!</v>
      </c>
      <c r="CX17" s="4">
        <f t="shared" ref="CX17" si="74">MIN(CX156:CX254)</f>
        <v>0.83618018255731019</v>
      </c>
      <c r="CY17" s="4" t="e">
        <f t="shared" si="72"/>
        <v>#REF!</v>
      </c>
      <c r="CZ17" s="4" t="e">
        <f t="shared" si="72"/>
        <v>#REF!</v>
      </c>
      <c r="DF17" s="10"/>
      <c r="DG17" s="10"/>
      <c r="DH17" s="4" t="e">
        <f>AVERAGE(DH20:DH453)</f>
        <v>#REF!</v>
      </c>
      <c r="DI17" s="4" t="e">
        <f>DH17^0.4</f>
        <v>#REF!</v>
      </c>
      <c r="DJ17" s="4" t="e">
        <f>1/1.4*(1-DH17^1.4)/(1-DH17)</f>
        <v>#REF!</v>
      </c>
      <c r="DK17" s="10"/>
      <c r="DL17" s="10"/>
      <c r="DN17" s="4">
        <f>AVERAGE(DN53:DN453)</f>
        <v>2.4488922685327936</v>
      </c>
      <c r="DX17" s="10"/>
      <c r="DY17" s="10"/>
      <c r="DZ17" s="10"/>
      <c r="EU17" s="4" t="e">
        <f t="shared" si="63"/>
        <v>#REF!</v>
      </c>
    </row>
    <row r="18" spans="1:178" ht="80.25" customHeight="1" x14ac:dyDescent="0.3">
      <c r="C18" s="10" t="s">
        <v>0</v>
      </c>
      <c r="D18" s="50" t="s">
        <v>4</v>
      </c>
      <c r="E18" s="50" t="s">
        <v>220</v>
      </c>
      <c r="F18" s="50" t="s">
        <v>221</v>
      </c>
      <c r="G18" s="50" t="s">
        <v>52</v>
      </c>
      <c r="H18" s="50" t="s">
        <v>222</v>
      </c>
      <c r="I18" s="50" t="s">
        <v>223</v>
      </c>
      <c r="J18" s="50" t="s">
        <v>224</v>
      </c>
      <c r="K18" s="49" t="s">
        <v>53</v>
      </c>
      <c r="L18" s="49" t="s">
        <v>225</v>
      </c>
      <c r="M18" s="49" t="s">
        <v>58</v>
      </c>
      <c r="N18" s="12" t="s">
        <v>59</v>
      </c>
      <c r="O18" s="12" t="s">
        <v>60</v>
      </c>
      <c r="P18" s="12" t="s">
        <v>56</v>
      </c>
      <c r="Q18" s="12" t="s">
        <v>377</v>
      </c>
      <c r="R18" s="49" t="s">
        <v>57</v>
      </c>
      <c r="S18" s="12" t="s">
        <v>65</v>
      </c>
      <c r="T18" s="12" t="s">
        <v>187</v>
      </c>
      <c r="U18" s="12" t="s">
        <v>186</v>
      </c>
      <c r="V18" s="50" t="s">
        <v>78</v>
      </c>
      <c r="W18" s="13"/>
      <c r="X18" s="13" t="s">
        <v>226</v>
      </c>
      <c r="Y18" s="49" t="s">
        <v>227</v>
      </c>
      <c r="Z18" s="49" t="s">
        <v>228</v>
      </c>
      <c r="AA18" s="49" t="s">
        <v>73</v>
      </c>
      <c r="AB18" s="49" t="s">
        <v>228</v>
      </c>
      <c r="AC18" s="49" t="s">
        <v>228</v>
      </c>
      <c r="AD18" s="12"/>
      <c r="AE18" s="12" t="s">
        <v>125</v>
      </c>
      <c r="AF18" s="12" t="s">
        <v>126</v>
      </c>
      <c r="AG18" s="12" t="s">
        <v>124</v>
      </c>
      <c r="AJ18" s="14" t="s">
        <v>652</v>
      </c>
      <c r="AK18" s="38" t="s">
        <v>229</v>
      </c>
      <c r="AL18" s="38" t="s">
        <v>603</v>
      </c>
      <c r="AM18" s="38" t="s">
        <v>604</v>
      </c>
      <c r="AR18" s="14" t="s">
        <v>1</v>
      </c>
      <c r="AS18" s="14" t="s">
        <v>61</v>
      </c>
      <c r="AT18" s="41" t="s">
        <v>62</v>
      </c>
      <c r="AU18" s="14" t="s">
        <v>63</v>
      </c>
      <c r="AV18" s="14" t="s">
        <v>64</v>
      </c>
      <c r="AW18" s="14" t="s">
        <v>39</v>
      </c>
      <c r="AX18" s="14"/>
      <c r="AY18" s="14" t="s">
        <v>375</v>
      </c>
      <c r="AZ18" s="14" t="s">
        <v>39</v>
      </c>
      <c r="BA18" s="14"/>
      <c r="BB18" s="15" t="s">
        <v>184</v>
      </c>
      <c r="BC18" s="15" t="s">
        <v>185</v>
      </c>
      <c r="BD18" s="15"/>
      <c r="BE18" s="14" t="s">
        <v>190</v>
      </c>
      <c r="BF18" s="14" t="s">
        <v>191</v>
      </c>
      <c r="BG18" s="14" t="s">
        <v>192</v>
      </c>
      <c r="BH18" s="14" t="s">
        <v>193</v>
      </c>
      <c r="BI18" s="14" t="s">
        <v>194</v>
      </c>
      <c r="BJ18" s="14" t="s">
        <v>195</v>
      </c>
      <c r="BK18" s="14"/>
      <c r="BL18" s="14" t="s">
        <v>230</v>
      </c>
      <c r="BM18" s="14" t="s">
        <v>8</v>
      </c>
      <c r="BN18" s="14" t="s">
        <v>9</v>
      </c>
      <c r="BO18" s="14" t="s">
        <v>231</v>
      </c>
      <c r="BP18" s="14" t="s">
        <v>13</v>
      </c>
      <c r="BQ18" s="4" t="s">
        <v>10</v>
      </c>
      <c r="BR18" s="9" t="s">
        <v>11</v>
      </c>
      <c r="BS18" s="9" t="s">
        <v>12</v>
      </c>
      <c r="BT18" s="9" t="s">
        <v>205</v>
      </c>
      <c r="BU18" s="9" t="s">
        <v>206</v>
      </c>
      <c r="BV18" s="9" t="s">
        <v>207</v>
      </c>
      <c r="BW18" s="9" t="s">
        <v>208</v>
      </c>
      <c r="BX18" s="9" t="s">
        <v>209</v>
      </c>
      <c r="BY18" s="9" t="s">
        <v>210</v>
      </c>
      <c r="BZ18" s="9" t="s">
        <v>211</v>
      </c>
      <c r="CA18" s="9" t="s">
        <v>212</v>
      </c>
      <c r="CB18" s="9" t="s">
        <v>213</v>
      </c>
      <c r="CC18" s="9" t="s">
        <v>232</v>
      </c>
      <c r="CD18" s="9" t="s">
        <v>233</v>
      </c>
      <c r="CE18" s="9" t="s">
        <v>234</v>
      </c>
      <c r="CF18" s="14"/>
      <c r="CG18" s="4" t="s">
        <v>235</v>
      </c>
      <c r="CH18" s="9" t="s">
        <v>236</v>
      </c>
      <c r="CI18" s="4" t="s">
        <v>376</v>
      </c>
      <c r="CJ18" s="4" t="s">
        <v>237</v>
      </c>
      <c r="CK18" s="4" t="s">
        <v>238</v>
      </c>
      <c r="CL18" s="4" t="s">
        <v>239</v>
      </c>
      <c r="CM18" s="4" t="s">
        <v>605</v>
      </c>
      <c r="CO18" s="14" t="s">
        <v>240</v>
      </c>
      <c r="CP18" s="14" t="s">
        <v>241</v>
      </c>
      <c r="CQ18" s="14" t="s">
        <v>242</v>
      </c>
      <c r="CR18" s="14" t="s">
        <v>655</v>
      </c>
      <c r="CS18" s="14" t="s">
        <v>243</v>
      </c>
      <c r="CT18" s="14" t="s">
        <v>244</v>
      </c>
      <c r="CU18" s="14" t="s">
        <v>201</v>
      </c>
      <c r="CV18" s="14" t="s">
        <v>202</v>
      </c>
      <c r="CW18" s="14" t="s">
        <v>366</v>
      </c>
      <c r="CX18" s="14" t="s">
        <v>656</v>
      </c>
      <c r="CY18" s="14" t="s">
        <v>203</v>
      </c>
      <c r="CZ18" s="14" t="s">
        <v>204</v>
      </c>
      <c r="DA18" s="14"/>
      <c r="DB18" s="14"/>
      <c r="DC18" s="14" t="s">
        <v>245</v>
      </c>
      <c r="DD18" s="14"/>
      <c r="DE18" s="14" t="s">
        <v>246</v>
      </c>
      <c r="DF18" s="4" t="s">
        <v>247</v>
      </c>
      <c r="DG18" s="16" t="s">
        <v>248</v>
      </c>
      <c r="DH18" s="17" t="s">
        <v>249</v>
      </c>
      <c r="DI18" s="9" t="s">
        <v>250</v>
      </c>
      <c r="DJ18" s="9" t="s">
        <v>23</v>
      </c>
      <c r="DK18" s="9" t="s">
        <v>251</v>
      </c>
      <c r="DL18" s="9" t="s">
        <v>24</v>
      </c>
      <c r="DM18" s="9"/>
      <c r="DN18" s="18" t="s">
        <v>369</v>
      </c>
      <c r="DO18" s="18" t="s">
        <v>368</v>
      </c>
      <c r="DP18" s="9" t="s">
        <v>24</v>
      </c>
      <c r="DQ18" s="9" t="s">
        <v>252</v>
      </c>
      <c r="DR18" s="9"/>
      <c r="DS18" s="9" t="s">
        <v>233</v>
      </c>
      <c r="DT18" s="9" t="s">
        <v>253</v>
      </c>
      <c r="DU18" s="9" t="s">
        <v>254</v>
      </c>
      <c r="DV18" s="14" t="s">
        <v>13</v>
      </c>
      <c r="DW18" s="14"/>
      <c r="DX18" s="9" t="s">
        <v>24</v>
      </c>
      <c r="DY18" s="9" t="s">
        <v>653</v>
      </c>
      <c r="DZ18" s="9"/>
      <c r="EA18" s="14"/>
      <c r="EB18" s="16" t="s">
        <v>248</v>
      </c>
      <c r="EC18" s="16"/>
      <c r="ED18" s="17" t="s">
        <v>256</v>
      </c>
      <c r="EE18" s="17" t="s">
        <v>257</v>
      </c>
      <c r="EF18" s="17"/>
      <c r="EG18" s="17" t="s">
        <v>258</v>
      </c>
      <c r="EH18" s="17" t="s">
        <v>259</v>
      </c>
      <c r="EI18" s="17" t="s">
        <v>260</v>
      </c>
      <c r="EJ18" s="17" t="s">
        <v>261</v>
      </c>
      <c r="EK18" s="17" t="s">
        <v>249</v>
      </c>
      <c r="EL18" s="17" t="s">
        <v>262</v>
      </c>
      <c r="EM18" s="17" t="s">
        <v>263</v>
      </c>
      <c r="EN18" s="17" t="s">
        <v>264</v>
      </c>
      <c r="EO18" s="17" t="s">
        <v>265</v>
      </c>
      <c r="EP18" s="17" t="s">
        <v>247</v>
      </c>
      <c r="EQ18" s="17" t="s">
        <v>251</v>
      </c>
      <c r="ER18" s="16" t="s">
        <v>266</v>
      </c>
      <c r="ES18" s="17" t="s">
        <v>267</v>
      </c>
      <c r="ET18" s="17" t="s">
        <v>268</v>
      </c>
      <c r="EU18" s="17"/>
      <c r="EV18" s="9" t="s">
        <v>367</v>
      </c>
      <c r="EW18" s="9" t="s">
        <v>252</v>
      </c>
      <c r="EX18" s="9" t="s">
        <v>255</v>
      </c>
      <c r="EY18" s="9"/>
      <c r="EZ18" s="9"/>
      <c r="FA18" s="9" t="s">
        <v>269</v>
      </c>
      <c r="FB18" s="4" t="s">
        <v>370</v>
      </c>
      <c r="FC18" s="4" t="s">
        <v>605</v>
      </c>
      <c r="FD18" s="4" t="s">
        <v>270</v>
      </c>
      <c r="FE18" s="4" t="s">
        <v>271</v>
      </c>
      <c r="FF18" s="4" t="s">
        <v>239</v>
      </c>
      <c r="FG18" s="9" t="e">
        <f>SUM(FG19:FG623)</f>
        <v>#REF!</v>
      </c>
      <c r="FH18" s="9"/>
      <c r="FI18" s="9"/>
      <c r="FK18" s="1" t="s">
        <v>606</v>
      </c>
      <c r="FL18" s="1" t="s">
        <v>3</v>
      </c>
      <c r="FM18" s="1"/>
      <c r="FN18" s="2" t="s">
        <v>5</v>
      </c>
      <c r="FR18" s="1" t="s">
        <v>606</v>
      </c>
      <c r="FS18" s="1" t="s">
        <v>3</v>
      </c>
      <c r="FT18" s="1"/>
      <c r="FU18" s="2" t="s">
        <v>5</v>
      </c>
    </row>
    <row r="19" spans="1:178" s="19" customFormat="1" ht="12" customHeight="1" x14ac:dyDescent="0.3">
      <c r="B19" s="20"/>
      <c r="C19" s="21"/>
      <c r="D19" s="21"/>
      <c r="E19" s="7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7"/>
      <c r="S19" s="7"/>
      <c r="T19" s="7"/>
      <c r="U19" s="7"/>
      <c r="V19" s="21"/>
      <c r="W19" s="21"/>
      <c r="X19" s="21"/>
      <c r="Y19" s="21"/>
      <c r="Z19" s="21"/>
      <c r="AA19" s="21"/>
      <c r="AB19" s="21"/>
      <c r="AC19" s="21"/>
      <c r="AD19" s="21"/>
      <c r="AE19" s="21">
        <v>0</v>
      </c>
      <c r="AF19" s="4"/>
      <c r="AG19" s="4"/>
      <c r="AH19" s="4"/>
      <c r="AI19" s="4"/>
      <c r="AJ19" s="4"/>
      <c r="AK19" s="38"/>
      <c r="AL19" s="38"/>
      <c r="AM19" s="38"/>
      <c r="AN19" s="38"/>
      <c r="AO19" s="38"/>
      <c r="AP19" s="38"/>
      <c r="AQ19" s="4"/>
      <c r="AT19" s="38"/>
      <c r="BE19" s="4"/>
      <c r="BF19" s="4"/>
      <c r="BG19" s="4"/>
      <c r="BH19" s="4"/>
      <c r="BI19" s="4"/>
      <c r="BJ19" s="4"/>
      <c r="BK19" s="4"/>
      <c r="BP19" s="18"/>
      <c r="BR19" s="18"/>
      <c r="BS19" s="18"/>
      <c r="BT19" s="18"/>
      <c r="BU19" s="18"/>
      <c r="BV19" s="18"/>
      <c r="BW19" s="18"/>
      <c r="BX19" s="9"/>
      <c r="BY19" s="9"/>
      <c r="BZ19" s="9"/>
      <c r="CA19" s="9"/>
      <c r="CB19" s="9"/>
      <c r="CC19" s="9"/>
      <c r="CD19" s="9"/>
      <c r="CE19" s="9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 t="e">
        <f t="shared" ref="EB19:EB50" si="75">IF(G19&lt;22.2,1.1*5*(F19/30)^0.5,IF(G19&gt;=31.8,0.9*5*(F19/30)^0.5,1*5*(F19/30)^0.5))/DS19/DV19</f>
        <v>#DIV/0!</v>
      </c>
      <c r="EC19" s="4"/>
      <c r="ED19" s="4"/>
      <c r="EE19" s="4"/>
      <c r="EF19" s="4"/>
      <c r="EG19" s="4"/>
      <c r="EH19" s="4"/>
      <c r="EI19" s="4"/>
      <c r="EJ19" s="4"/>
      <c r="EK19" s="4"/>
      <c r="EL19" s="4" t="e">
        <f>EB19/1.4*EK19^0.4</f>
        <v>#DIV/0!</v>
      </c>
      <c r="EM19" s="4"/>
      <c r="EN19" s="4">
        <f>MAX(0,DC19-EE19)*EN$9</f>
        <v>0</v>
      </c>
      <c r="EO19" s="4">
        <f t="shared" ref="EO19" si="76">MAX(0,DC19-EE19)*(1-EN$9)</f>
        <v>0</v>
      </c>
      <c r="EP19" s="4"/>
      <c r="EQ19" s="4"/>
      <c r="ER19" s="4"/>
      <c r="ES19" s="4">
        <f>IF(DD19&lt;=EN$9, MAX(0,DC19*DD19-EE19), MAX(0,DC19-EE19)*EN$9)</f>
        <v>0</v>
      </c>
      <c r="ET19" s="4">
        <f>MAX(0, DC19*DD19-ES19-EE19)</f>
        <v>0</v>
      </c>
      <c r="EU19" s="4"/>
      <c r="EV19" s="4"/>
      <c r="EW19" s="4"/>
      <c r="EX19" s="4"/>
      <c r="EY19" s="4"/>
      <c r="FA19" s="22"/>
      <c r="FB19" s="22"/>
      <c r="FC19" s="22"/>
      <c r="FD19" s="22"/>
      <c r="FE19" s="22"/>
      <c r="FF19" s="22"/>
      <c r="FG19" s="22"/>
      <c r="FH19" s="22"/>
    </row>
    <row r="20" spans="1:178" s="25" customFormat="1" ht="12" customHeight="1" x14ac:dyDescent="0.3">
      <c r="A20" s="25">
        <v>3</v>
      </c>
      <c r="B20" s="26" t="s">
        <v>298</v>
      </c>
      <c r="C20" s="27" t="s">
        <v>299</v>
      </c>
      <c r="D20" s="28">
        <f>75*6.9</f>
        <v>517.5</v>
      </c>
      <c r="E20" s="28">
        <f>0.5*25.4</f>
        <v>12.7</v>
      </c>
      <c r="F20" s="28">
        <v>28.46</v>
      </c>
      <c r="G20" s="28">
        <v>25.4</v>
      </c>
      <c r="H20" s="28">
        <v>229</v>
      </c>
      <c r="I20" s="28">
        <f t="shared" ref="I20:I51" si="77">(H20-G20)/2</f>
        <v>101.8</v>
      </c>
      <c r="J20" s="28">
        <v>305</v>
      </c>
      <c r="K20" s="28">
        <v>0</v>
      </c>
      <c r="L20" s="28">
        <v>1</v>
      </c>
      <c r="M20" s="28">
        <v>45.47</v>
      </c>
      <c r="N20" s="7">
        <f t="shared" ref="N20:N51" si="78">MIN(H20/2/G20, (M20+G20/2)/G20)</f>
        <v>2.2901574803149609</v>
      </c>
      <c r="O20" s="28">
        <f>N20</f>
        <v>2.2901574803149609</v>
      </c>
      <c r="P20" s="28">
        <f t="shared" ref="P20:P52" si="79">(44+25)^2/(PI()/4*G20^2)-1</f>
        <v>8.3959536742577185</v>
      </c>
      <c r="Q20" s="7">
        <f t="shared" ref="Q20:Q52" si="80">MIN(Q$16,P20)</f>
        <v>8.3959536742577185</v>
      </c>
      <c r="R20" s="28">
        <f t="shared" ref="R20:R51" si="81">Q20+1</f>
        <v>9.3959536742577185</v>
      </c>
      <c r="S20" s="28">
        <f t="shared" ref="S20:S51" si="82">G20*R20^0.5</f>
        <v>77.858162529590359</v>
      </c>
      <c r="T20" s="28"/>
      <c r="U20" s="28"/>
      <c r="V20" s="28">
        <f>190.6/(PI()/4*G20^2)*1000</f>
        <v>376.15391100893112</v>
      </c>
      <c r="W20" s="28"/>
      <c r="X20" s="28"/>
      <c r="Y20" s="28"/>
      <c r="Z20" s="28"/>
      <c r="AA20" s="28">
        <v>1</v>
      </c>
      <c r="AB20" s="28"/>
      <c r="AC20" s="28"/>
      <c r="AD20" s="28"/>
      <c r="AE20" s="4">
        <v>35</v>
      </c>
      <c r="AF20" s="25">
        <f t="shared" ref="AF20:AF52" si="83">MIN(9*AE20^2,H20*(1.5*AE20+M20+G20/2))/(9*AE20^2)</f>
        <v>1</v>
      </c>
      <c r="AG20" s="25">
        <f t="shared" ref="AG20:AG51" si="84">MIN(10*F20^0.5*AE20^1.5,100*3.9*F20^0.5*AE20^(5/3))/(PI()/4*G20^2)/L20</f>
        <v>21.800286431765276</v>
      </c>
      <c r="AH20" s="4">
        <f t="shared" ref="AH20:AH51" si="85">MIN(0.7+0.3*(MIN(I20,M20)+0.5*G20)/1.5/E20,1)</f>
        <v>1</v>
      </c>
      <c r="AI20" s="25">
        <v>1.25</v>
      </c>
      <c r="AJ20" s="25">
        <v>5</v>
      </c>
      <c r="AK20" s="38">
        <f>AF20*AH20*AI20*AJ20*AG20</f>
        <v>136.25179019853297</v>
      </c>
      <c r="AL20" s="38">
        <f>AK20</f>
        <v>136.25179019853297</v>
      </c>
      <c r="AM20" s="38"/>
      <c r="AN20" s="38">
        <f t="shared" ref="AN20:AN50" si="86">AJ20* (F20^0.5/AE20^0.5)/(PI()/4*G20^2)/L20/0.72 *(0.7+(MIN(I20,M20)+0.5*G20)/5/E20) *(H20*MIN(M20+0.5*G20+1.5*E20,1000))</f>
        <v>353.17274725274638</v>
      </c>
      <c r="AO20" s="38">
        <f t="shared" ref="AO20:AO83" si="87">AK20/AN20</f>
        <v>0.38579361306444476</v>
      </c>
      <c r="AP20" s="38"/>
      <c r="AR20" s="25" t="e">
        <f>#REF!/G20*F20^0.5/0.19</f>
        <v>#REF!</v>
      </c>
      <c r="AS20" s="25">
        <f t="shared" ref="AS20:AS51" si="88">MIN(0.6+0.4*(O20/N20),2)</f>
        <v>1</v>
      </c>
      <c r="AT20" s="38">
        <f t="shared" ref="AT20:AT51" si="89">2*F20*N20*P20^0.5*AS20*0.7/0.7</f>
        <v>377.71589001257809</v>
      </c>
      <c r="AU20" s="25">
        <f t="shared" ref="AU20:AU51" si="90">MAX(1-0.7*Q20/5,0.3)</f>
        <v>0.3</v>
      </c>
      <c r="AV20" s="25" t="e">
        <f>AU20*D20*#REF!/(D20*G20/2.75/F20^0.5)</f>
        <v>#REF!</v>
      </c>
      <c r="AW20" s="25" t="e">
        <f t="shared" ref="AW20:AW52" si="91">AT20+AV20</f>
        <v>#REF!</v>
      </c>
      <c r="AY20" s="36">
        <f t="shared" ref="AY20:AY51" si="92">MAX(1, (0.9+0.1*MIN(2,N20-0.5))*(0.9+0.1*MIN(3.5,I20/I20))+0.45*MIN(2.5,(40*2*PI()*Y20^2/4/AA20/L20)/G20))</f>
        <v>1.0790157480314961</v>
      </c>
      <c r="AZ20" s="36" t="e">
        <f>(1.6*#REF!+22)*AY20*F20^0.5</f>
        <v>#REF!</v>
      </c>
      <c r="BE20" s="25">
        <f t="shared" ref="BE20:BE51" si="93">IF(L20=1,I20,MIN(I20,K20/2+6.4))</f>
        <v>101.8</v>
      </c>
      <c r="BF20" s="25">
        <f t="shared" ref="BF20:BF51" si="94">MIN(M20,BE20)</f>
        <v>45.47</v>
      </c>
      <c r="BG20" s="25">
        <f t="shared" ref="BG20:BG51" si="95">MAX(M20,BE20)</f>
        <v>101.8</v>
      </c>
      <c r="BH20" s="25">
        <f t="shared" ref="BH20:BH51" si="96">BF20+G20/2</f>
        <v>58.17</v>
      </c>
      <c r="BI20" s="25">
        <f t="shared" ref="BI20:BI52" si="97">MIN(1.25, 0.1*BG20/BF20+0.9)</f>
        <v>1.1238838794809765</v>
      </c>
      <c r="BJ20" s="25">
        <f t="shared" ref="BJ20:BJ51" si="98">MIN(4, (BH20*BI20+(6*F20^0.5*(0.03*G20+0.22)*(Y20^2/4*PI())*2/AA20/L20))/G20)</f>
        <v>2.573871073598756</v>
      </c>
      <c r="BL20" s="25">
        <f t="shared" ref="BL20:BL51" si="99">IF(K20=0,I20,MIN(K20/2,I20))</f>
        <v>101.8</v>
      </c>
      <c r="BP20" s="29"/>
      <c r="BR20" s="29"/>
      <c r="BS20" s="29"/>
      <c r="BT20" s="29">
        <f t="shared" ref="BT20:BT51" si="100">IF(K20=0,MIN(I20,J20),MIN(K20/2,I20,J20))</f>
        <v>101.8</v>
      </c>
      <c r="BU20" s="29">
        <f t="shared" ref="BU20:BU51" si="101">MAX(K20/2,I20)</f>
        <v>101.8</v>
      </c>
      <c r="BV20" s="29">
        <f t="shared" ref="BV20:BV51" si="102">(BT20/G20)^0.5*(BU20/BT20)^0.15</f>
        <v>2.001967536137395</v>
      </c>
      <c r="BW20" s="29">
        <v>0</v>
      </c>
      <c r="BX20" s="29">
        <f t="shared" ref="BX20:BX51" si="103">MIN(PI()*Y20^2/4*Z20*2/L20/G20/MAX(0.01,AA20),0.05)</f>
        <v>0</v>
      </c>
      <c r="BY20" s="29">
        <f t="shared" ref="BY20:BY52" si="104">MAX(0,BW20*(BX20-0.5/50))</f>
        <v>0</v>
      </c>
      <c r="BZ20" s="29">
        <f t="shared" ref="BZ20:BZ51" si="105">MIN(1,(25/G20)^0.3)</f>
        <v>0.99524931562137331</v>
      </c>
      <c r="CA20" s="29">
        <f t="shared" ref="CA20:CA51" si="106">IF(D20&gt;=800,0.68,IF(D20&gt;=700,0.75-(D20-700)*0.07/100,IF(D20&gt;=600,0.85-(D20-600)*0.1/100,IF(D20&gt;=500,1-(D20-500)*0.15/100,1.2-(D20-400)*0.2/100))))</f>
        <v>0.97375</v>
      </c>
      <c r="CB20" s="29">
        <f t="shared" ref="CB20:CB51" si="107">1.75*BZ20*CA20*(F20/25)^0.5</f>
        <v>1.8095260954698043</v>
      </c>
      <c r="CC20" s="29">
        <f t="shared" ref="CC20:CC51" si="108">MIN((BV20+BY20)*CB20,2.5*CB20,F20^0.5)</f>
        <v>3.6226124989240045</v>
      </c>
      <c r="CD20" s="29">
        <v>1</v>
      </c>
      <c r="CE20" s="29" t="e">
        <f>4*CC20*#REF!+60*CC20</f>
        <v>#REF!</v>
      </c>
      <c r="CG20" s="4"/>
      <c r="CH20" s="4"/>
      <c r="CI20" s="4"/>
      <c r="CJ20" s="4"/>
      <c r="CK20" s="4"/>
      <c r="CL20" s="4"/>
      <c r="CM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B20" s="4">
        <f t="shared" ref="DB20:DB52" si="109">Z20</f>
        <v>0</v>
      </c>
      <c r="DC20" s="25">
        <f t="shared" ref="DC20:DC51" si="110">E20</f>
        <v>12.7</v>
      </c>
      <c r="DD20" s="25" t="e">
        <f>#REF!/E20</f>
        <v>#REF!</v>
      </c>
      <c r="DF20" s="4">
        <f t="shared" ref="DF20:DF51" si="111">E20/4/(1-0.3*(F20/30)^0.5)/200000/G20</f>
        <v>8.8301600844121163E-7</v>
      </c>
      <c r="DG20" s="4">
        <f t="shared" ref="DG20:DG52" si="112">EB20</f>
        <v>8.1848336869692275</v>
      </c>
      <c r="DH20" s="4"/>
      <c r="DI20" s="4">
        <f t="shared" ref="DI20" si="113">DG20*DH20^0.4</f>
        <v>0</v>
      </c>
      <c r="DJ20" s="4">
        <f t="shared" ref="DJ20" si="114">MIN(DG20, DG20/1.4*(1-DH20^1.4)/(1-DH20))</f>
        <v>5.8463097764065912</v>
      </c>
      <c r="DK20" s="4">
        <f t="shared" ref="DK20:DK51" si="115">MAX(DG20/2, (4-DF20*(8*S20*(DI20-DJ20)+6*E20*DJ20))/(4+DF20*E20*DG20)*DG20)</f>
        <v>8.1904203412824206</v>
      </c>
      <c r="DL20" s="38" t="e">
        <f t="shared" ref="DL20:DL51" si="116">MIN(1/G20*(4*S20*(DI20-DJ20)+(3*DJ20+DK20)*E20)+DO20 -EV20,MAX(D20,V20))</f>
        <v>#REF!</v>
      </c>
      <c r="DM20" s="4" t="e">
        <f t="shared" ref="DM20" si="117">DL20/ER20</f>
        <v>#REF!</v>
      </c>
      <c r="DN20" s="4"/>
      <c r="DO20" s="4">
        <f>MIN(DN$10*AN20)</f>
        <v>353.17274725274638</v>
      </c>
      <c r="DS20" s="25">
        <f t="shared" ref="DS20:DS51" si="118">IF(J20&gt;1*G20,0.85,1)</f>
        <v>0.85</v>
      </c>
      <c r="DT20" s="25">
        <f t="shared" ref="DT20:DT51" si="119">MIN(1,MAX(0.7,(1-0.1*(BL20-1*G20)/G20)))</f>
        <v>0.7</v>
      </c>
      <c r="DU20" s="25">
        <f t="shared" ref="DU20:DU51" si="120">MIN(1,MAX(0.7,1-0.3*(PI()*Y20^2/4*Z20*2-0.25*PI()/4*G20^2)/(PI()/4*G20^2)))</f>
        <v>1</v>
      </c>
      <c r="DV20" s="25">
        <f t="shared" ref="DV20:DV52" si="121">IF(DT20*DU20&lt;0.7,0.7,DT20*DU20)</f>
        <v>0.7</v>
      </c>
      <c r="DX20" s="4" t="e">
        <f t="shared" ref="DX20:DX51" si="122">MIN(DG20/G20*3*E20+DY20-EV20,MAX(D20,V20))</f>
        <v>#REF!</v>
      </c>
      <c r="DY20" s="25">
        <f t="shared" ref="DY20:DY51" si="123">8.8*H20*508*F20^0.5/L20/G20^2/E20^0.5*(0.7+MIN(M20,I20)/5/E20)</f>
        <v>3363.6638970811728</v>
      </c>
      <c r="EB20" s="4">
        <f t="shared" si="75"/>
        <v>8.1848336869692275</v>
      </c>
      <c r="EC20" s="25">
        <f t="shared" ref="EC20:EC51" si="124">IF(G20&lt;22.2,1.1*5*(F20/30)^0.5,IF(G20&gt;=31.8,0.9*5*(F20/30)^0.5,1*5*(F20/30)^0.5))*BJ20/2.5</f>
        <v>5.0138761872474067</v>
      </c>
      <c r="EE20" s="4">
        <f t="shared" ref="EE20:EE51" si="125">EF20*G20</f>
        <v>77.858162529590359</v>
      </c>
      <c r="EF20" s="4">
        <f t="shared" ref="EF20:EF52" si="126">R20^0.5</f>
        <v>3.0652819893539514</v>
      </c>
      <c r="EG20" s="4">
        <f t="shared" ref="EG20:EG51" si="127">MIN(DO20)/(4700*F20^0.5)/Q20*EE20</f>
        <v>0.130618891639665</v>
      </c>
      <c r="EJ20" s="25">
        <f t="shared" ref="EJ20:EJ52" si="128">EG20</f>
        <v>0.130618891639665</v>
      </c>
      <c r="EK20" s="25">
        <f t="shared" ref="EK20:EK51" si="129">MIN(0.999, EJ20/(0.3*(F20/30)^0.5))</f>
        <v>0.44702099307513243</v>
      </c>
      <c r="EL20" s="4">
        <f t="shared" ref="EL20:EL52" si="130">EB20/1*EK20^0.4</f>
        <v>5.9311789414130152</v>
      </c>
      <c r="EM20" s="25">
        <f t="shared" ref="EM20:EM52" si="131">EB20/1.4*(1-EK20^1.4)/(1-EK20)</f>
        <v>7.1476133518602776</v>
      </c>
      <c r="EN20" s="4">
        <f t="shared" ref="EN20:EN52" si="132">MAX(0,DC20*EN$9-EE20)</f>
        <v>0</v>
      </c>
      <c r="EO20" s="4">
        <f t="shared" ref="EO20:EO52" si="133">MAX(0,DC20-EE20-EN20)</f>
        <v>0</v>
      </c>
      <c r="EP20" s="25">
        <f t="shared" ref="EP20:EP51" si="134">EO20/(1-0.3*(F20/30)^0.5)/200000/G20</f>
        <v>0</v>
      </c>
      <c r="EQ20" s="25">
        <f t="shared" ref="EQ20:EQ52" si="135">MAX(0.5*EB20, (1-2*EP20*(EE20*EL20+EN20*EM20))/(1/EB20+EP20*EO20))</f>
        <v>8.1848336869692275</v>
      </c>
      <c r="ER20" s="4" t="e">
        <f t="shared" ref="ER20:ER51" si="136">MIN(4/G20*(1*EL20*EE20+EM20*ES20+ET20*EQ20)+DO20,MAX(D20,V20))</f>
        <v>#REF!</v>
      </c>
      <c r="ES20" s="4" t="e">
        <f t="shared" ref="ES20:ES52" si="137">IF(DD20&lt;=EN$9, MAX(0,DC20*DD20-EE20), MAX(0,DC20*EN$9-EE20))</f>
        <v>#REF!</v>
      </c>
      <c r="ET20" s="4" t="e">
        <f t="shared" ref="ET20:ET52" si="138">MAX(0, DC20*DD20-ES20-EE20)</f>
        <v>#REF!</v>
      </c>
      <c r="EV20" s="4" t="e">
        <f t="shared" ref="EV20:EV51" si="139">4/G20*(1*EL20*EE20+EM20*EN20+EO20*EQ20)+DO20 - (4/G20*(1*EL20*EE20+EM20*ES20+ET20*EQ20)+DO20)</f>
        <v>#REF!</v>
      </c>
      <c r="FA20" s="23"/>
      <c r="FB20" s="23"/>
      <c r="FC20" s="23"/>
      <c r="FD20" s="23"/>
      <c r="FE20" s="23"/>
      <c r="FF20" s="23"/>
      <c r="FG20" s="30"/>
      <c r="FH20" s="30"/>
      <c r="FR20" s="4">
        <f t="shared" ref="FR20:FR83" si="140">IF(I20&gt;=2.5*25.4,1,1.25)</f>
        <v>1</v>
      </c>
      <c r="FS20" s="4">
        <f t="shared" ref="FS20:FS83" si="141">IF(AA20&gt;1, 0.05*(18-MIN(8,(K20+G20)/G20))*(1-48000/MAX(60000,(D20*145))*(G20/25.4)^0.75*FT20), 1/12*(14-MIN(8,(K20+G20)/G20)))</f>
        <v>1.0833333333333333</v>
      </c>
      <c r="FT20" s="4">
        <f t="shared" ref="FT20:FT83" si="142">MIN(0.3, Y20^2*PI()/4*2*AB20/(G20^2*PI()/4*L20))</f>
        <v>0</v>
      </c>
      <c r="FU20" s="4">
        <f t="shared" ref="FU20:FU83" si="143">(E20/25.4)/(G20/25.4)^1.5/0.0024*(F20*145)^0.25/FR20/FS20/145</f>
        <v>10.629904887340729</v>
      </c>
      <c r="FV20" s="4"/>
    </row>
    <row r="21" spans="1:178" s="25" customFormat="1" ht="12" customHeight="1" x14ac:dyDescent="0.3">
      <c r="B21" s="26" t="s">
        <v>82</v>
      </c>
      <c r="C21" s="28" t="s">
        <v>300</v>
      </c>
      <c r="D21" s="28">
        <f t="shared" ref="D21:D52" si="144">75*6.9</f>
        <v>517.5</v>
      </c>
      <c r="E21" s="28">
        <f>0.5*25.4</f>
        <v>12.7</v>
      </c>
      <c r="F21" s="28">
        <v>28.46</v>
      </c>
      <c r="G21" s="28">
        <v>25.4</v>
      </c>
      <c r="H21" s="28">
        <v>229</v>
      </c>
      <c r="I21" s="28">
        <f t="shared" si="77"/>
        <v>101.8</v>
      </c>
      <c r="J21" s="28">
        <v>305</v>
      </c>
      <c r="K21" s="28">
        <v>0</v>
      </c>
      <c r="L21" s="28">
        <v>1</v>
      </c>
      <c r="M21" s="28">
        <v>45.39</v>
      </c>
      <c r="N21" s="7">
        <f t="shared" si="78"/>
        <v>2.2870078740157482</v>
      </c>
      <c r="O21" s="28">
        <f t="shared" ref="O21:O52" si="145">N21</f>
        <v>2.2870078740157482</v>
      </c>
      <c r="P21" s="28">
        <f t="shared" si="79"/>
        <v>8.3959536742577185</v>
      </c>
      <c r="Q21" s="7">
        <f t="shared" si="80"/>
        <v>8.3959536742577185</v>
      </c>
      <c r="R21" s="28">
        <f t="shared" si="81"/>
        <v>9.3959536742577185</v>
      </c>
      <c r="S21" s="28">
        <f t="shared" si="82"/>
        <v>77.858162529590359</v>
      </c>
      <c r="T21" s="28"/>
      <c r="U21" s="28"/>
      <c r="V21" s="28">
        <f>196.74/(PI()/4*G21^2)*1000</f>
        <v>388.27135599106572</v>
      </c>
      <c r="W21" s="28"/>
      <c r="X21" s="28"/>
      <c r="Y21" s="28"/>
      <c r="Z21" s="28"/>
      <c r="AA21" s="28">
        <v>1</v>
      </c>
      <c r="AB21" s="28"/>
      <c r="AC21" s="28"/>
      <c r="AD21" s="28"/>
      <c r="AE21" s="4">
        <v>1</v>
      </c>
      <c r="AF21" s="25">
        <f t="shared" si="83"/>
        <v>1</v>
      </c>
      <c r="AG21" s="25">
        <f t="shared" si="84"/>
        <v>0.10528345618346728</v>
      </c>
      <c r="AH21" s="4">
        <f t="shared" si="85"/>
        <v>1</v>
      </c>
      <c r="AI21" s="25">
        <v>1.25</v>
      </c>
      <c r="AJ21" s="25">
        <f t="shared" ref="AJ21:AJ84" si="146">AJ20</f>
        <v>5</v>
      </c>
      <c r="AK21" s="38">
        <f t="shared" ref="AK21:AK52" si="147">AF21*AH21*AI21*AJ21*AG21</f>
        <v>0.65802160114667052</v>
      </c>
      <c r="AL21" s="38">
        <f t="shared" ref="AL21:AL84" si="148">AK21</f>
        <v>0.65802160114667052</v>
      </c>
      <c r="AM21" s="38"/>
      <c r="AN21" s="38">
        <f t="shared" si="86"/>
        <v>2085.6063759609842</v>
      </c>
      <c r="AO21" s="38">
        <f t="shared" si="87"/>
        <v>3.155061322841776E-4</v>
      </c>
      <c r="AP21" s="38"/>
      <c r="AR21" s="25" t="e">
        <f>#REF!/G21*F21^0.5/0.19</f>
        <v>#REF!</v>
      </c>
      <c r="AS21" s="25">
        <f t="shared" si="88"/>
        <v>1</v>
      </c>
      <c r="AT21" s="38">
        <f t="shared" si="89"/>
        <v>377.19642514751001</v>
      </c>
      <c r="AU21" s="25">
        <f t="shared" si="90"/>
        <v>0.3</v>
      </c>
      <c r="AV21" s="25" t="e">
        <f>AU21*D21*#REF!/(D21*G21/2.75/F21^0.5)</f>
        <v>#REF!</v>
      </c>
      <c r="AW21" s="25" t="e">
        <f t="shared" si="91"/>
        <v>#REF!</v>
      </c>
      <c r="AY21" s="36">
        <f t="shared" si="92"/>
        <v>1.0787007874015748</v>
      </c>
      <c r="AZ21" s="36" t="e">
        <f>(1.6*#REF!+22)*AY21*F21^0.5</f>
        <v>#REF!</v>
      </c>
      <c r="BE21" s="25">
        <f t="shared" si="93"/>
        <v>101.8</v>
      </c>
      <c r="BF21" s="25">
        <f t="shared" si="94"/>
        <v>45.39</v>
      </c>
      <c r="BG21" s="25">
        <f t="shared" si="95"/>
        <v>101.8</v>
      </c>
      <c r="BH21" s="25">
        <f t="shared" si="96"/>
        <v>58.09</v>
      </c>
      <c r="BI21" s="25">
        <f t="shared" si="97"/>
        <v>1.1242784754351178</v>
      </c>
      <c r="BJ21" s="25">
        <f t="shared" si="98"/>
        <v>2.5712337259065356</v>
      </c>
      <c r="BL21" s="25">
        <f t="shared" si="99"/>
        <v>101.8</v>
      </c>
      <c r="BP21" s="29"/>
      <c r="BR21" s="29"/>
      <c r="BS21" s="29"/>
      <c r="BT21" s="29">
        <f t="shared" si="100"/>
        <v>101.8</v>
      </c>
      <c r="BU21" s="29">
        <f t="shared" si="101"/>
        <v>101.8</v>
      </c>
      <c r="BV21" s="29">
        <f t="shared" si="102"/>
        <v>2.001967536137395</v>
      </c>
      <c r="BW21" s="29">
        <v>0</v>
      </c>
      <c r="BX21" s="29">
        <f t="shared" si="103"/>
        <v>0</v>
      </c>
      <c r="BY21" s="29">
        <f t="shared" si="104"/>
        <v>0</v>
      </c>
      <c r="BZ21" s="29">
        <f t="shared" si="105"/>
        <v>0.99524931562137331</v>
      </c>
      <c r="CA21" s="29">
        <f t="shared" si="106"/>
        <v>0.97375</v>
      </c>
      <c r="CB21" s="29">
        <f t="shared" si="107"/>
        <v>1.8095260954698043</v>
      </c>
      <c r="CC21" s="29">
        <f t="shared" si="108"/>
        <v>3.6226124989240045</v>
      </c>
      <c r="CD21" s="29">
        <v>1</v>
      </c>
      <c r="CE21" s="29" t="e">
        <f>4*CC21*#REF!+60*CC21</f>
        <v>#REF!</v>
      </c>
      <c r="CG21" s="4"/>
      <c r="CH21" s="4"/>
      <c r="CI21" s="4"/>
      <c r="CJ21" s="4"/>
      <c r="CK21" s="4"/>
      <c r="CL21" s="4"/>
      <c r="CM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B21" s="4">
        <f t="shared" si="109"/>
        <v>0</v>
      </c>
      <c r="DC21" s="25">
        <f t="shared" si="110"/>
        <v>12.7</v>
      </c>
      <c r="DD21" s="25" t="e">
        <f>#REF!/E21</f>
        <v>#REF!</v>
      </c>
      <c r="DF21" s="4">
        <f t="shared" si="111"/>
        <v>8.8301600844121163E-7</v>
      </c>
      <c r="DG21" s="4">
        <f t="shared" si="112"/>
        <v>8.1848336869692275</v>
      </c>
      <c r="DH21" s="4"/>
      <c r="DI21" s="4">
        <f t="shared" ref="DI21:DI84" si="149">DG21*DH21^0.4</f>
        <v>0</v>
      </c>
      <c r="DJ21" s="4">
        <f t="shared" ref="DJ21:DJ84" si="150">MIN(DG21, DG21/1.4*(1-DH21^1.4)/(1-DH21))</f>
        <v>5.8463097764065912</v>
      </c>
      <c r="DK21" s="4">
        <f t="shared" si="115"/>
        <v>8.1904203412824206</v>
      </c>
      <c r="DL21" s="38" t="e">
        <f t="shared" si="116"/>
        <v>#REF!</v>
      </c>
      <c r="DM21" s="4" t="e">
        <f t="shared" ref="DM21:DM84" si="151">DL21/ER21</f>
        <v>#REF!</v>
      </c>
      <c r="DN21" s="4"/>
      <c r="DO21" s="4">
        <f t="shared" ref="DO21:DO84" si="152">MIN(DN$10*AN21)</f>
        <v>2085.6063759609842</v>
      </c>
      <c r="DS21" s="25">
        <f t="shared" si="118"/>
        <v>0.85</v>
      </c>
      <c r="DT21" s="25">
        <f t="shared" si="119"/>
        <v>0.7</v>
      </c>
      <c r="DU21" s="25">
        <f t="shared" si="120"/>
        <v>1</v>
      </c>
      <c r="DV21" s="25">
        <f t="shared" si="121"/>
        <v>0.7</v>
      </c>
      <c r="DX21" s="4" t="e">
        <f t="shared" si="122"/>
        <v>#REF!</v>
      </c>
      <c r="DY21" s="25">
        <f t="shared" si="123"/>
        <v>3360.6713135428445</v>
      </c>
      <c r="EB21" s="4">
        <f t="shared" si="75"/>
        <v>8.1848336869692275</v>
      </c>
      <c r="EC21" s="25">
        <f t="shared" si="124"/>
        <v>5.0087386592153482</v>
      </c>
      <c r="EE21" s="4">
        <f t="shared" si="125"/>
        <v>77.858162529590359</v>
      </c>
      <c r="EF21" s="4">
        <f t="shared" si="126"/>
        <v>3.0652819893539514</v>
      </c>
      <c r="EG21" s="4">
        <f t="shared" si="127"/>
        <v>0.77134941850336602</v>
      </c>
      <c r="EJ21" s="25">
        <f t="shared" si="128"/>
        <v>0.77134941850336602</v>
      </c>
      <c r="EK21" s="25">
        <f t="shared" si="129"/>
        <v>0.999</v>
      </c>
      <c r="EL21" s="4">
        <f t="shared" si="130"/>
        <v>8.1815587707902271</v>
      </c>
      <c r="EM21" s="25">
        <f t="shared" si="131"/>
        <v>8.1831963927074298</v>
      </c>
      <c r="EN21" s="4">
        <f t="shared" si="132"/>
        <v>0</v>
      </c>
      <c r="EO21" s="4">
        <f t="shared" si="133"/>
        <v>0</v>
      </c>
      <c r="EP21" s="25">
        <f t="shared" si="134"/>
        <v>0</v>
      </c>
      <c r="EQ21" s="25">
        <f t="shared" si="135"/>
        <v>8.1848336869692275</v>
      </c>
      <c r="ER21" s="4" t="e">
        <f t="shared" si="136"/>
        <v>#REF!</v>
      </c>
      <c r="ES21" s="4" t="e">
        <f t="shared" si="137"/>
        <v>#REF!</v>
      </c>
      <c r="ET21" s="4" t="e">
        <f t="shared" si="138"/>
        <v>#REF!</v>
      </c>
      <c r="EV21" s="4" t="e">
        <f t="shared" si="139"/>
        <v>#REF!</v>
      </c>
      <c r="FA21" s="23"/>
      <c r="FB21" s="23"/>
      <c r="FC21" s="23"/>
      <c r="FD21" s="23"/>
      <c r="FE21" s="23"/>
      <c r="FF21" s="23"/>
      <c r="FG21" s="30"/>
      <c r="FH21" s="30"/>
      <c r="FR21" s="4">
        <f t="shared" si="140"/>
        <v>1</v>
      </c>
      <c r="FS21" s="4">
        <f t="shared" si="141"/>
        <v>1.0833333333333333</v>
      </c>
      <c r="FT21" s="4">
        <f t="shared" si="142"/>
        <v>0</v>
      </c>
      <c r="FU21" s="4">
        <f t="shared" si="143"/>
        <v>10.629904887340729</v>
      </c>
      <c r="FV21" s="4"/>
    </row>
    <row r="22" spans="1:178" s="25" customFormat="1" ht="12" customHeight="1" x14ac:dyDescent="0.3">
      <c r="B22" s="26"/>
      <c r="C22" s="28" t="s">
        <v>301</v>
      </c>
      <c r="D22" s="28">
        <f t="shared" si="144"/>
        <v>517.5</v>
      </c>
      <c r="E22" s="28">
        <f>0.5*25.4</f>
        <v>12.7</v>
      </c>
      <c r="F22" s="28">
        <v>28.46</v>
      </c>
      <c r="G22" s="28">
        <v>25.4</v>
      </c>
      <c r="H22" s="28">
        <v>229</v>
      </c>
      <c r="I22" s="28">
        <f t="shared" si="77"/>
        <v>101.8</v>
      </c>
      <c r="J22" s="28">
        <v>305</v>
      </c>
      <c r="K22" s="28">
        <v>0</v>
      </c>
      <c r="L22" s="28">
        <v>1</v>
      </c>
      <c r="M22" s="28">
        <v>47.12</v>
      </c>
      <c r="N22" s="7">
        <f t="shared" si="78"/>
        <v>2.3551181102362202</v>
      </c>
      <c r="O22" s="28">
        <f t="shared" si="145"/>
        <v>2.3551181102362202</v>
      </c>
      <c r="P22" s="28">
        <f t="shared" si="79"/>
        <v>8.3959536742577185</v>
      </c>
      <c r="Q22" s="7">
        <f t="shared" si="80"/>
        <v>8.3959536742577185</v>
      </c>
      <c r="R22" s="28">
        <f t="shared" si="81"/>
        <v>9.3959536742577185</v>
      </c>
      <c r="S22" s="28">
        <f t="shared" si="82"/>
        <v>77.858162529590359</v>
      </c>
      <c r="T22" s="28"/>
      <c r="U22" s="28"/>
      <c r="V22" s="28">
        <f>184.68/(PI()/4*G22^2)*1000</f>
        <v>364.47064157990252</v>
      </c>
      <c r="W22" s="28"/>
      <c r="X22" s="28"/>
      <c r="Y22" s="28"/>
      <c r="Z22" s="28"/>
      <c r="AA22" s="28">
        <v>1</v>
      </c>
      <c r="AB22" s="28"/>
      <c r="AC22" s="28"/>
      <c r="AD22" s="28"/>
      <c r="AE22" s="4">
        <v>1</v>
      </c>
      <c r="AF22" s="25">
        <f t="shared" si="83"/>
        <v>1</v>
      </c>
      <c r="AG22" s="25">
        <f t="shared" si="84"/>
        <v>0.10528345618346728</v>
      </c>
      <c r="AH22" s="4">
        <f t="shared" si="85"/>
        <v>1</v>
      </c>
      <c r="AI22" s="25">
        <v>1.25</v>
      </c>
      <c r="AJ22" s="25">
        <f t="shared" si="146"/>
        <v>5</v>
      </c>
      <c r="AK22" s="38">
        <f t="shared" si="147"/>
        <v>0.65802160114667052</v>
      </c>
      <c r="AL22" s="38">
        <f t="shared" si="148"/>
        <v>0.65802160114667052</v>
      </c>
      <c r="AM22" s="38"/>
      <c r="AN22" s="38">
        <f t="shared" si="86"/>
        <v>2168.3561324959337</v>
      </c>
      <c r="AO22" s="38">
        <f t="shared" si="87"/>
        <v>3.0346564906256443E-4</v>
      </c>
      <c r="AP22" s="38"/>
      <c r="AR22" s="25" t="e">
        <f>#REF!/G22*F22^0.5/0.19</f>
        <v>#REF!</v>
      </c>
      <c r="AS22" s="25">
        <f t="shared" si="88"/>
        <v>1</v>
      </c>
      <c r="AT22" s="38">
        <f t="shared" si="89"/>
        <v>388.42985285460571</v>
      </c>
      <c r="AU22" s="25">
        <f t="shared" si="90"/>
        <v>0.3</v>
      </c>
      <c r="AV22" s="25" t="e">
        <f>AU22*D22*#REF!/(D22*G22/2.75/F22^0.5)</f>
        <v>#REF!</v>
      </c>
      <c r="AW22" s="25" t="e">
        <f t="shared" si="91"/>
        <v>#REF!</v>
      </c>
      <c r="AY22" s="36">
        <f t="shared" si="92"/>
        <v>1.0855118110236219</v>
      </c>
      <c r="AZ22" s="36" t="e">
        <f>(1.6*#REF!+22)*AY22*F22^0.5</f>
        <v>#REF!</v>
      </c>
      <c r="BE22" s="25">
        <f t="shared" si="93"/>
        <v>101.8</v>
      </c>
      <c r="BF22" s="25">
        <f t="shared" si="94"/>
        <v>47.12</v>
      </c>
      <c r="BG22" s="25">
        <f t="shared" si="95"/>
        <v>101.8</v>
      </c>
      <c r="BH22" s="25">
        <f t="shared" si="96"/>
        <v>59.819999999999993</v>
      </c>
      <c r="BI22" s="25">
        <f t="shared" si="97"/>
        <v>1.1160441426146011</v>
      </c>
      <c r="BJ22" s="25">
        <f t="shared" si="98"/>
        <v>2.6284157720947023</v>
      </c>
      <c r="BL22" s="25">
        <f t="shared" si="99"/>
        <v>101.8</v>
      </c>
      <c r="BP22" s="29"/>
      <c r="BR22" s="29"/>
      <c r="BS22" s="29"/>
      <c r="BT22" s="29">
        <f t="shared" si="100"/>
        <v>101.8</v>
      </c>
      <c r="BU22" s="29">
        <f t="shared" si="101"/>
        <v>101.8</v>
      </c>
      <c r="BV22" s="29">
        <f t="shared" si="102"/>
        <v>2.001967536137395</v>
      </c>
      <c r="BW22" s="29">
        <v>0</v>
      </c>
      <c r="BX22" s="29">
        <f t="shared" si="103"/>
        <v>0</v>
      </c>
      <c r="BY22" s="29">
        <f t="shared" si="104"/>
        <v>0</v>
      </c>
      <c r="BZ22" s="29">
        <f t="shared" si="105"/>
        <v>0.99524931562137331</v>
      </c>
      <c r="CA22" s="29">
        <f t="shared" si="106"/>
        <v>0.97375</v>
      </c>
      <c r="CB22" s="29">
        <f t="shared" si="107"/>
        <v>1.8095260954698043</v>
      </c>
      <c r="CC22" s="29">
        <f t="shared" si="108"/>
        <v>3.6226124989240045</v>
      </c>
      <c r="CD22" s="29">
        <v>1</v>
      </c>
      <c r="CE22" s="29" t="e">
        <f>4*CC22*#REF!+60*CC22</f>
        <v>#REF!</v>
      </c>
      <c r="CG22" s="4"/>
      <c r="CH22" s="4"/>
      <c r="CI22" s="4"/>
      <c r="CJ22" s="4"/>
      <c r="CK22" s="4"/>
      <c r="CL22" s="4"/>
      <c r="CM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B22" s="4">
        <f t="shared" si="109"/>
        <v>0</v>
      </c>
      <c r="DC22" s="25">
        <f t="shared" si="110"/>
        <v>12.7</v>
      </c>
      <c r="DD22" s="25" t="e">
        <f>#REF!/E22</f>
        <v>#REF!</v>
      </c>
      <c r="DF22" s="4">
        <f t="shared" si="111"/>
        <v>8.8301600844121163E-7</v>
      </c>
      <c r="DG22" s="4">
        <f t="shared" si="112"/>
        <v>8.1848336869692275</v>
      </c>
      <c r="DH22" s="4"/>
      <c r="DI22" s="4">
        <f t="shared" si="149"/>
        <v>0</v>
      </c>
      <c r="DJ22" s="4">
        <f t="shared" si="150"/>
        <v>5.8463097764065912</v>
      </c>
      <c r="DK22" s="4">
        <f t="shared" si="115"/>
        <v>8.1904203412824206</v>
      </c>
      <c r="DL22" s="38" t="e">
        <f t="shared" si="116"/>
        <v>#REF!</v>
      </c>
      <c r="DM22" s="4" t="e">
        <f t="shared" si="151"/>
        <v>#REF!</v>
      </c>
      <c r="DN22" s="4"/>
      <c r="DO22" s="4">
        <f t="shared" si="152"/>
        <v>2168.3561324959337</v>
      </c>
      <c r="DS22" s="25">
        <f t="shared" si="118"/>
        <v>0.85</v>
      </c>
      <c r="DT22" s="25">
        <f t="shared" si="119"/>
        <v>0.7</v>
      </c>
      <c r="DU22" s="25">
        <f t="shared" si="120"/>
        <v>1</v>
      </c>
      <c r="DV22" s="25">
        <f t="shared" si="121"/>
        <v>0.7</v>
      </c>
      <c r="DX22" s="4" t="e">
        <f t="shared" si="122"/>
        <v>#REF!</v>
      </c>
      <c r="DY22" s="25">
        <f t="shared" si="123"/>
        <v>3425.3859325591975</v>
      </c>
      <c r="EB22" s="4">
        <f t="shared" si="75"/>
        <v>8.1848336869692275</v>
      </c>
      <c r="EC22" s="25">
        <f t="shared" si="124"/>
        <v>5.1201287372428643</v>
      </c>
      <c r="EE22" s="4">
        <f t="shared" si="125"/>
        <v>77.858162529590359</v>
      </c>
      <c r="EF22" s="4">
        <f t="shared" si="126"/>
        <v>3.0652819893539514</v>
      </c>
      <c r="EG22" s="4">
        <f t="shared" si="127"/>
        <v>0.80195393588508823</v>
      </c>
      <c r="EJ22" s="25">
        <f t="shared" si="128"/>
        <v>0.80195393588508823</v>
      </c>
      <c r="EK22" s="25">
        <f t="shared" si="129"/>
        <v>0.999</v>
      </c>
      <c r="EL22" s="4">
        <f t="shared" si="130"/>
        <v>8.1815587707902271</v>
      </c>
      <c r="EM22" s="25">
        <f t="shared" si="131"/>
        <v>8.1831963927074298</v>
      </c>
      <c r="EN22" s="4">
        <f t="shared" si="132"/>
        <v>0</v>
      </c>
      <c r="EO22" s="4">
        <f t="shared" si="133"/>
        <v>0</v>
      </c>
      <c r="EP22" s="25">
        <f t="shared" si="134"/>
        <v>0</v>
      </c>
      <c r="EQ22" s="25">
        <f t="shared" si="135"/>
        <v>8.1848336869692275</v>
      </c>
      <c r="ER22" s="4" t="e">
        <f t="shared" si="136"/>
        <v>#REF!</v>
      </c>
      <c r="ES22" s="4" t="e">
        <f t="shared" si="137"/>
        <v>#REF!</v>
      </c>
      <c r="ET22" s="4" t="e">
        <f t="shared" si="138"/>
        <v>#REF!</v>
      </c>
      <c r="EV22" s="4" t="e">
        <f t="shared" si="139"/>
        <v>#REF!</v>
      </c>
      <c r="FA22" s="23"/>
      <c r="FB22" s="23"/>
      <c r="FC22" s="23"/>
      <c r="FD22" s="23"/>
      <c r="FE22" s="23"/>
      <c r="FF22" s="23"/>
      <c r="FG22" s="30"/>
      <c r="FH22" s="30"/>
      <c r="FR22" s="4">
        <f t="shared" si="140"/>
        <v>1</v>
      </c>
      <c r="FS22" s="4">
        <f t="shared" si="141"/>
        <v>1.0833333333333333</v>
      </c>
      <c r="FT22" s="4">
        <f t="shared" si="142"/>
        <v>0</v>
      </c>
      <c r="FU22" s="4">
        <f t="shared" si="143"/>
        <v>10.629904887340729</v>
      </c>
      <c r="FV22" s="4"/>
    </row>
    <row r="23" spans="1:178" ht="12" customHeight="1" x14ac:dyDescent="0.3">
      <c r="B23" s="24"/>
      <c r="C23" s="7" t="s">
        <v>302</v>
      </c>
      <c r="D23" s="28">
        <f t="shared" si="144"/>
        <v>517.5</v>
      </c>
      <c r="E23" s="7">
        <f t="shared" ref="E23:E24" si="153">11.25*25.4</f>
        <v>285.75</v>
      </c>
      <c r="F23" s="7">
        <v>33.630000000000003</v>
      </c>
      <c r="G23" s="7">
        <v>25.4</v>
      </c>
      <c r="H23" s="7">
        <v>229</v>
      </c>
      <c r="I23" s="7">
        <f t="shared" si="77"/>
        <v>101.8</v>
      </c>
      <c r="J23" s="7">
        <v>305</v>
      </c>
      <c r="K23" s="7">
        <v>0</v>
      </c>
      <c r="L23" s="7">
        <v>1</v>
      </c>
      <c r="M23" s="7">
        <v>47.96</v>
      </c>
      <c r="N23" s="7">
        <f t="shared" si="78"/>
        <v>2.3881889763779527</v>
      </c>
      <c r="O23" s="28">
        <f t="shared" si="145"/>
        <v>2.3881889763779527</v>
      </c>
      <c r="P23" s="28">
        <f t="shared" si="79"/>
        <v>8.3959536742577185</v>
      </c>
      <c r="Q23" s="7">
        <f t="shared" si="80"/>
        <v>8.3959536742577185</v>
      </c>
      <c r="R23" s="7">
        <f t="shared" si="81"/>
        <v>9.3959536742577185</v>
      </c>
      <c r="S23" s="7">
        <f t="shared" si="82"/>
        <v>77.858162529590359</v>
      </c>
      <c r="T23" s="7"/>
      <c r="U23" s="7"/>
      <c r="V23" s="7">
        <f>244.28/(PI()/4*G23^2)*1000</f>
        <v>482.09274596674555</v>
      </c>
      <c r="W23" s="7"/>
      <c r="X23" s="7"/>
      <c r="Y23" s="7">
        <v>9.5</v>
      </c>
      <c r="Z23" s="7">
        <v>3</v>
      </c>
      <c r="AA23" s="7">
        <v>127</v>
      </c>
      <c r="AB23" s="7">
        <v>3</v>
      </c>
      <c r="AC23" s="7"/>
      <c r="AD23" s="7"/>
      <c r="AE23" s="4">
        <f t="shared" ref="AE23:AE54" si="154">E23</f>
        <v>285.75</v>
      </c>
      <c r="AF23" s="4">
        <f t="shared" si="83"/>
        <v>0.15246929654353136</v>
      </c>
      <c r="AG23" s="25">
        <f t="shared" si="84"/>
        <v>552.82220346472604</v>
      </c>
      <c r="AH23" s="4">
        <f t="shared" si="85"/>
        <v>0.74245669291338579</v>
      </c>
      <c r="AI23" s="4">
        <v>1.25</v>
      </c>
      <c r="AJ23" s="25">
        <f t="shared" si="146"/>
        <v>5</v>
      </c>
      <c r="AK23" s="38">
        <f t="shared" si="147"/>
        <v>391.12809986115502</v>
      </c>
      <c r="AL23" s="38">
        <f t="shared" si="148"/>
        <v>391.12809986115502</v>
      </c>
      <c r="AN23" s="38">
        <f t="shared" si="86"/>
        <v>391.12809986115491</v>
      </c>
      <c r="AO23" s="38">
        <f t="shared" si="87"/>
        <v>1.0000000000000002</v>
      </c>
      <c r="AR23" s="4" t="e">
        <f>#REF!/G23*F23^0.5/0.19</f>
        <v>#REF!</v>
      </c>
      <c r="AS23" s="4">
        <f t="shared" si="88"/>
        <v>1</v>
      </c>
      <c r="AT23" s="38">
        <f t="shared" si="89"/>
        <v>465.43664045428261</v>
      </c>
      <c r="AU23" s="4">
        <f t="shared" si="90"/>
        <v>0.3</v>
      </c>
      <c r="AV23" s="4" t="e">
        <f>AU23*D23*#REF!/(D23*G23/2.75/F23^0.5)</f>
        <v>#REF!</v>
      </c>
      <c r="AW23" s="4" t="e">
        <f t="shared" si="91"/>
        <v>#REF!</v>
      </c>
      <c r="AY23" s="36">
        <f t="shared" si="92"/>
        <v>1.8798656559235878</v>
      </c>
      <c r="AZ23" s="36" t="e">
        <f>(1.6*#REF!+22)*AY23*F23^0.5</f>
        <v>#REF!</v>
      </c>
      <c r="BE23" s="4">
        <f t="shared" si="93"/>
        <v>101.8</v>
      </c>
      <c r="BF23" s="4">
        <f t="shared" si="94"/>
        <v>47.96</v>
      </c>
      <c r="BG23" s="4">
        <f t="shared" si="95"/>
        <v>101.8</v>
      </c>
      <c r="BH23" s="4">
        <f t="shared" si="96"/>
        <v>60.66</v>
      </c>
      <c r="BI23" s="4">
        <f t="shared" si="97"/>
        <v>1.1122602168473728</v>
      </c>
      <c r="BJ23" s="25">
        <f t="shared" si="98"/>
        <v>4</v>
      </c>
      <c r="BL23" s="4">
        <f t="shared" si="99"/>
        <v>101.8</v>
      </c>
      <c r="BP23" s="9"/>
      <c r="BR23" s="9"/>
      <c r="BS23" s="9"/>
      <c r="BT23" s="9">
        <f t="shared" si="100"/>
        <v>101.8</v>
      </c>
      <c r="BU23" s="9">
        <f t="shared" si="101"/>
        <v>101.8</v>
      </c>
      <c r="BV23" s="9">
        <f t="shared" si="102"/>
        <v>2.001967536137395</v>
      </c>
      <c r="BW23" s="9">
        <v>20</v>
      </c>
      <c r="BX23" s="9">
        <f t="shared" si="103"/>
        <v>0.05</v>
      </c>
      <c r="BY23" s="9">
        <f t="shared" si="104"/>
        <v>0.8</v>
      </c>
      <c r="BZ23" s="9">
        <f t="shared" si="105"/>
        <v>0.99524931562137331</v>
      </c>
      <c r="CA23" s="9">
        <f t="shared" si="106"/>
        <v>0.97375</v>
      </c>
      <c r="CB23" s="9">
        <f t="shared" si="107"/>
        <v>1.9670293329614872</v>
      </c>
      <c r="CC23" s="9">
        <f t="shared" si="108"/>
        <v>4.9175733324037179</v>
      </c>
      <c r="CD23" s="9">
        <v>1</v>
      </c>
      <c r="CE23" s="9" t="e">
        <f>4*CC23*#REF!+60*CC23</f>
        <v>#REF!</v>
      </c>
      <c r="DB23" s="4">
        <f t="shared" si="109"/>
        <v>3</v>
      </c>
      <c r="DC23" s="4">
        <f t="shared" si="110"/>
        <v>285.75</v>
      </c>
      <c r="DD23" s="4" t="e">
        <f>#REF!/E23</f>
        <v>#REF!</v>
      </c>
      <c r="DF23" s="4">
        <f t="shared" si="111"/>
        <v>2.0608377244988005E-5</v>
      </c>
      <c r="DG23" s="4">
        <f t="shared" si="112"/>
        <v>8.8972510471034791</v>
      </c>
      <c r="DI23" s="4">
        <f t="shared" si="149"/>
        <v>0</v>
      </c>
      <c r="DJ23" s="4">
        <f t="shared" si="150"/>
        <v>6.3551793193596282</v>
      </c>
      <c r="DK23" s="4">
        <f t="shared" si="115"/>
        <v>8.4683147824653329</v>
      </c>
      <c r="DL23" s="38" t="e">
        <f t="shared" si="116"/>
        <v>#REF!</v>
      </c>
      <c r="DM23" s="4" t="e">
        <f t="shared" si="151"/>
        <v>#REF!</v>
      </c>
      <c r="DO23" s="4">
        <f t="shared" si="152"/>
        <v>391.12809986115491</v>
      </c>
      <c r="DS23" s="4">
        <f t="shared" si="118"/>
        <v>0.85</v>
      </c>
      <c r="DT23" s="4">
        <f t="shared" si="119"/>
        <v>0.7</v>
      </c>
      <c r="DU23" s="4">
        <f t="shared" si="120"/>
        <v>0.82320199640399283</v>
      </c>
      <c r="DV23" s="4">
        <f t="shared" si="121"/>
        <v>0.7</v>
      </c>
      <c r="DX23" s="4" t="e">
        <f t="shared" si="122"/>
        <v>#REF!</v>
      </c>
      <c r="DY23" s="25">
        <f t="shared" si="123"/>
        <v>399.32362943258647</v>
      </c>
      <c r="EB23" s="4">
        <f t="shared" si="75"/>
        <v>8.8972510471034791</v>
      </c>
      <c r="EC23" s="4">
        <f t="shared" si="124"/>
        <v>8.470182996842512</v>
      </c>
      <c r="EE23" s="4">
        <f t="shared" si="125"/>
        <v>77.858162529590359</v>
      </c>
      <c r="EF23" s="4">
        <f t="shared" si="126"/>
        <v>3.0652819893539514</v>
      </c>
      <c r="EG23" s="4">
        <f t="shared" si="127"/>
        <v>0.13307358072180214</v>
      </c>
      <c r="EJ23" s="4">
        <f t="shared" si="128"/>
        <v>0.13307358072180214</v>
      </c>
      <c r="EK23" s="4">
        <f t="shared" si="129"/>
        <v>0.41895538981517921</v>
      </c>
      <c r="EL23" s="4">
        <f t="shared" si="130"/>
        <v>6.2823620020062467</v>
      </c>
      <c r="EM23" s="4">
        <f t="shared" si="131"/>
        <v>7.7019186230321308</v>
      </c>
      <c r="EN23" s="4">
        <f t="shared" si="132"/>
        <v>136.45433747040965</v>
      </c>
      <c r="EO23" s="4">
        <f t="shared" si="133"/>
        <v>71.4375</v>
      </c>
      <c r="EP23" s="4">
        <f t="shared" si="134"/>
        <v>2.0608377244988005E-5</v>
      </c>
      <c r="EQ23" s="4">
        <f t="shared" si="135"/>
        <v>8.2247416076663136</v>
      </c>
      <c r="ER23" s="4" t="e">
        <f t="shared" si="136"/>
        <v>#REF!</v>
      </c>
      <c r="ES23" s="4" t="e">
        <f t="shared" si="137"/>
        <v>#REF!</v>
      </c>
      <c r="ET23" s="4" t="e">
        <f t="shared" si="138"/>
        <v>#REF!</v>
      </c>
      <c r="EV23" s="4" t="e">
        <f t="shared" si="139"/>
        <v>#REF!</v>
      </c>
      <c r="FA23" s="23"/>
      <c r="FB23" s="23"/>
      <c r="FC23" s="23"/>
      <c r="FD23" s="23"/>
      <c r="FE23" s="23"/>
      <c r="FF23" s="23"/>
      <c r="FG23" s="23"/>
      <c r="FH23" s="23"/>
      <c r="FR23" s="4">
        <f t="shared" si="140"/>
        <v>1</v>
      </c>
      <c r="FS23" s="4">
        <f t="shared" si="141"/>
        <v>0.68688155922038985</v>
      </c>
      <c r="FT23" s="4">
        <f t="shared" si="142"/>
        <v>0.3</v>
      </c>
      <c r="FU23" s="4">
        <f t="shared" si="143"/>
        <v>393.29202394425954</v>
      </c>
    </row>
    <row r="24" spans="1:178" ht="12" customHeight="1" x14ac:dyDescent="0.3">
      <c r="B24" s="24"/>
      <c r="C24" s="7" t="s">
        <v>303</v>
      </c>
      <c r="D24" s="28">
        <f t="shared" si="144"/>
        <v>517.5</v>
      </c>
      <c r="E24" s="7">
        <f t="shared" si="153"/>
        <v>285.75</v>
      </c>
      <c r="F24" s="7">
        <v>33.630000000000003</v>
      </c>
      <c r="G24" s="7">
        <v>25.4</v>
      </c>
      <c r="H24" s="7">
        <v>229</v>
      </c>
      <c r="I24" s="7">
        <f t="shared" si="77"/>
        <v>101.8</v>
      </c>
      <c r="J24" s="7">
        <v>305</v>
      </c>
      <c r="K24" s="7">
        <v>0</v>
      </c>
      <c r="L24" s="7">
        <v>1</v>
      </c>
      <c r="M24" s="7">
        <v>50.8</v>
      </c>
      <c r="N24" s="7">
        <f t="shared" si="78"/>
        <v>2.5</v>
      </c>
      <c r="O24" s="28">
        <f t="shared" si="145"/>
        <v>2.5</v>
      </c>
      <c r="P24" s="28">
        <f t="shared" si="79"/>
        <v>8.3959536742577185</v>
      </c>
      <c r="Q24" s="7">
        <f t="shared" si="80"/>
        <v>8.3959536742577185</v>
      </c>
      <c r="R24" s="7">
        <f t="shared" si="81"/>
        <v>9.3959536742577185</v>
      </c>
      <c r="S24" s="7">
        <f t="shared" si="82"/>
        <v>77.858162529590359</v>
      </c>
      <c r="T24" s="7"/>
      <c r="U24" s="7"/>
      <c r="V24" s="7">
        <f>234.45/(PI()/4*G24^2)*1000</f>
        <v>462.692992843882</v>
      </c>
      <c r="W24" s="7"/>
      <c r="X24" s="7"/>
      <c r="Y24" s="7">
        <v>9.5</v>
      </c>
      <c r="Z24" s="7">
        <v>3</v>
      </c>
      <c r="AA24" s="7">
        <v>127</v>
      </c>
      <c r="AB24" s="7">
        <v>3</v>
      </c>
      <c r="AC24" s="7"/>
      <c r="AD24" s="7"/>
      <c r="AE24" s="4">
        <f t="shared" si="154"/>
        <v>285.75</v>
      </c>
      <c r="AF24" s="4">
        <f t="shared" si="83"/>
        <v>0.15335428750418542</v>
      </c>
      <c r="AG24" s="25">
        <f t="shared" si="84"/>
        <v>552.82220346472604</v>
      </c>
      <c r="AH24" s="4">
        <f t="shared" si="85"/>
        <v>0.74444444444444435</v>
      </c>
      <c r="AI24" s="4">
        <v>1.25</v>
      </c>
      <c r="AJ24" s="25">
        <f t="shared" si="146"/>
        <v>5</v>
      </c>
      <c r="AK24" s="38">
        <f t="shared" si="147"/>
        <v>394.45158983551403</v>
      </c>
      <c r="AL24" s="38">
        <f t="shared" si="148"/>
        <v>394.45158983551403</v>
      </c>
      <c r="AN24" s="38">
        <f t="shared" si="86"/>
        <v>394.45158983551386</v>
      </c>
      <c r="AO24" s="38">
        <f t="shared" si="87"/>
        <v>1.0000000000000004</v>
      </c>
      <c r="AR24" s="4" t="e">
        <f>#REF!/G24*F24^0.5/0.19</f>
        <v>#REF!</v>
      </c>
      <c r="AS24" s="4">
        <f t="shared" si="88"/>
        <v>1</v>
      </c>
      <c r="AT24" s="38">
        <f t="shared" si="89"/>
        <v>487.22760746533044</v>
      </c>
      <c r="AU24" s="4">
        <f t="shared" si="90"/>
        <v>0.3</v>
      </c>
      <c r="AV24" s="4" t="e">
        <f>AU24*D24*#REF!/(D24*G24/2.75/F24^0.5)</f>
        <v>#REF!</v>
      </c>
      <c r="AW24" s="4" t="e">
        <f t="shared" si="91"/>
        <v>#REF!</v>
      </c>
      <c r="AY24" s="36">
        <f t="shared" si="92"/>
        <v>1.8910467582857926</v>
      </c>
      <c r="AZ24" s="36" t="e">
        <f>(1.6*#REF!+22)*AY24*F24^0.5</f>
        <v>#REF!</v>
      </c>
      <c r="BE24" s="4">
        <f t="shared" si="93"/>
        <v>101.8</v>
      </c>
      <c r="BF24" s="4">
        <f t="shared" si="94"/>
        <v>50.8</v>
      </c>
      <c r="BG24" s="4">
        <f t="shared" si="95"/>
        <v>101.8</v>
      </c>
      <c r="BH24" s="4">
        <f t="shared" si="96"/>
        <v>63.5</v>
      </c>
      <c r="BI24" s="4">
        <f t="shared" si="97"/>
        <v>1.1003937007874016</v>
      </c>
      <c r="BJ24" s="25">
        <f t="shared" si="98"/>
        <v>4</v>
      </c>
      <c r="BL24" s="4">
        <f t="shared" si="99"/>
        <v>101.8</v>
      </c>
      <c r="BP24" s="9"/>
      <c r="BR24" s="9"/>
      <c r="BS24" s="9"/>
      <c r="BT24" s="9">
        <f t="shared" si="100"/>
        <v>101.8</v>
      </c>
      <c r="BU24" s="9">
        <f t="shared" si="101"/>
        <v>101.8</v>
      </c>
      <c r="BV24" s="9">
        <f t="shared" si="102"/>
        <v>2.001967536137395</v>
      </c>
      <c r="BW24" s="9">
        <v>20</v>
      </c>
      <c r="BX24" s="9">
        <f t="shared" si="103"/>
        <v>0.05</v>
      </c>
      <c r="BY24" s="9">
        <f t="shared" si="104"/>
        <v>0.8</v>
      </c>
      <c r="BZ24" s="9">
        <f t="shared" si="105"/>
        <v>0.99524931562137331</v>
      </c>
      <c r="CA24" s="9">
        <f t="shared" si="106"/>
        <v>0.97375</v>
      </c>
      <c r="CB24" s="9">
        <f t="shared" si="107"/>
        <v>1.9670293329614872</v>
      </c>
      <c r="CC24" s="9">
        <f t="shared" si="108"/>
        <v>4.9175733324037179</v>
      </c>
      <c r="CD24" s="9">
        <v>1</v>
      </c>
      <c r="CE24" s="9" t="e">
        <f>4*CC24*#REF!+60*CC24</f>
        <v>#REF!</v>
      </c>
      <c r="DB24" s="4">
        <f t="shared" si="109"/>
        <v>3</v>
      </c>
      <c r="DC24" s="4">
        <f t="shared" si="110"/>
        <v>285.75</v>
      </c>
      <c r="DD24" s="4" t="e">
        <f>#REF!/E24</f>
        <v>#REF!</v>
      </c>
      <c r="DF24" s="4">
        <f t="shared" si="111"/>
        <v>2.0608377244988005E-5</v>
      </c>
      <c r="DG24" s="4">
        <f t="shared" si="112"/>
        <v>8.8972510471034791</v>
      </c>
      <c r="DI24" s="4">
        <f t="shared" si="149"/>
        <v>0</v>
      </c>
      <c r="DJ24" s="4">
        <f t="shared" si="150"/>
        <v>6.3551793193596282</v>
      </c>
      <c r="DK24" s="4">
        <f t="shared" si="115"/>
        <v>8.4683147824653329</v>
      </c>
      <c r="DL24" s="38" t="e">
        <f t="shared" si="116"/>
        <v>#REF!</v>
      </c>
      <c r="DM24" s="4" t="e">
        <f t="shared" si="151"/>
        <v>#REF!</v>
      </c>
      <c r="DO24" s="4">
        <f t="shared" si="152"/>
        <v>394.45158983551386</v>
      </c>
      <c r="DS24" s="4">
        <f t="shared" si="118"/>
        <v>0.85</v>
      </c>
      <c r="DT24" s="4">
        <f t="shared" si="119"/>
        <v>0.7</v>
      </c>
      <c r="DU24" s="4">
        <f t="shared" si="120"/>
        <v>0.82320199640399283</v>
      </c>
      <c r="DV24" s="4">
        <f t="shared" si="121"/>
        <v>0.7</v>
      </c>
      <c r="DX24" s="4" t="e">
        <f t="shared" si="122"/>
        <v>#REF!</v>
      </c>
      <c r="DY24" s="25">
        <f t="shared" si="123"/>
        <v>400.40567822403813</v>
      </c>
      <c r="EB24" s="4">
        <f t="shared" si="75"/>
        <v>8.8972510471034791</v>
      </c>
      <c r="EC24" s="4">
        <f t="shared" si="124"/>
        <v>8.470182996842512</v>
      </c>
      <c r="EE24" s="4">
        <f t="shared" si="125"/>
        <v>77.858162529590359</v>
      </c>
      <c r="EF24" s="4">
        <f t="shared" si="126"/>
        <v>3.0652819893539514</v>
      </c>
      <c r="EG24" s="4">
        <f t="shared" si="127"/>
        <v>0.13420433228769058</v>
      </c>
      <c r="EJ24" s="4">
        <f t="shared" si="128"/>
        <v>0.13420433228769058</v>
      </c>
      <c r="EK24" s="4">
        <f t="shared" si="129"/>
        <v>0.42251533357337173</v>
      </c>
      <c r="EL24" s="4">
        <f t="shared" si="130"/>
        <v>6.3036607859393676</v>
      </c>
      <c r="EM24" s="4">
        <f t="shared" si="131"/>
        <v>7.7106038725457431</v>
      </c>
      <c r="EN24" s="4">
        <f t="shared" si="132"/>
        <v>136.45433747040965</v>
      </c>
      <c r="EO24" s="4">
        <f t="shared" si="133"/>
        <v>71.4375</v>
      </c>
      <c r="EP24" s="4">
        <f t="shared" si="134"/>
        <v>2.0608377244988005E-5</v>
      </c>
      <c r="EQ24" s="4">
        <f t="shared" si="135"/>
        <v>8.2237123607947922</v>
      </c>
      <c r="ER24" s="4" t="e">
        <f t="shared" si="136"/>
        <v>#REF!</v>
      </c>
      <c r="ES24" s="4" t="e">
        <f t="shared" si="137"/>
        <v>#REF!</v>
      </c>
      <c r="ET24" s="4" t="e">
        <f t="shared" si="138"/>
        <v>#REF!</v>
      </c>
      <c r="EV24" s="4" t="e">
        <f t="shared" si="139"/>
        <v>#REF!</v>
      </c>
      <c r="FA24" s="23"/>
      <c r="FB24" s="23"/>
      <c r="FC24" s="23"/>
      <c r="FD24" s="23"/>
      <c r="FE24" s="23"/>
      <c r="FF24" s="23"/>
      <c r="FG24" s="23"/>
      <c r="FH24" s="23"/>
      <c r="FR24" s="4">
        <f t="shared" si="140"/>
        <v>1</v>
      </c>
      <c r="FS24" s="4">
        <f t="shared" si="141"/>
        <v>0.68688155922038985</v>
      </c>
      <c r="FT24" s="4">
        <f t="shared" si="142"/>
        <v>0.3</v>
      </c>
      <c r="FU24" s="4">
        <f t="shared" si="143"/>
        <v>393.29202394425954</v>
      </c>
    </row>
    <row r="25" spans="1:178" ht="12" customHeight="1" x14ac:dyDescent="0.3">
      <c r="B25" s="24"/>
      <c r="C25" s="7" t="s">
        <v>83</v>
      </c>
      <c r="D25" s="28">
        <f t="shared" si="144"/>
        <v>517.5</v>
      </c>
      <c r="E25" s="7">
        <f>11.5*25.4</f>
        <v>292.09999999999997</v>
      </c>
      <c r="F25" s="7">
        <v>33.630000000000003</v>
      </c>
      <c r="G25" s="7">
        <v>25.4</v>
      </c>
      <c r="H25" s="7">
        <v>229</v>
      </c>
      <c r="I25" s="7">
        <f t="shared" si="77"/>
        <v>101.8</v>
      </c>
      <c r="J25" s="7">
        <v>305</v>
      </c>
      <c r="K25" s="7">
        <v>0</v>
      </c>
      <c r="L25" s="7">
        <v>1</v>
      </c>
      <c r="M25" s="7">
        <v>47.73</v>
      </c>
      <c r="N25" s="7">
        <f t="shared" si="78"/>
        <v>2.3791338582677164</v>
      </c>
      <c r="O25" s="28">
        <f t="shared" si="145"/>
        <v>2.3791338582677164</v>
      </c>
      <c r="P25" s="28">
        <f t="shared" si="79"/>
        <v>8.3959536742577185</v>
      </c>
      <c r="Q25" s="7">
        <f t="shared" si="80"/>
        <v>8.3959536742577185</v>
      </c>
      <c r="R25" s="7">
        <f t="shared" si="81"/>
        <v>9.3959536742577185</v>
      </c>
      <c r="S25" s="7">
        <f t="shared" si="82"/>
        <v>77.858162529590359</v>
      </c>
      <c r="T25" s="7"/>
      <c r="U25" s="7"/>
      <c r="V25" s="7">
        <f>229.78/(PI()/4*G25^2)*1000</f>
        <v>453.47662996659079</v>
      </c>
      <c r="W25" s="7"/>
      <c r="X25" s="7"/>
      <c r="Y25" s="7">
        <v>9.5</v>
      </c>
      <c r="Z25" s="7">
        <v>3</v>
      </c>
      <c r="AA25" s="7">
        <v>127</v>
      </c>
      <c r="AB25" s="7">
        <v>3</v>
      </c>
      <c r="AC25" s="7"/>
      <c r="AD25" s="7"/>
      <c r="AE25" s="4">
        <f t="shared" si="154"/>
        <v>292.09999999999997</v>
      </c>
      <c r="AF25" s="4">
        <f t="shared" si="83"/>
        <v>0.14868416294278508</v>
      </c>
      <c r="AG25" s="25">
        <f t="shared" si="84"/>
        <v>571.35160868930427</v>
      </c>
      <c r="AH25" s="4">
        <f t="shared" si="85"/>
        <v>0.74137624101335153</v>
      </c>
      <c r="AI25" s="4">
        <v>1.25</v>
      </c>
      <c r="AJ25" s="25">
        <f t="shared" si="146"/>
        <v>5</v>
      </c>
      <c r="AK25" s="38">
        <f t="shared" si="147"/>
        <v>393.62878354973896</v>
      </c>
      <c r="AL25" s="38">
        <f t="shared" si="148"/>
        <v>393.62878354973896</v>
      </c>
      <c r="AN25" s="38">
        <f t="shared" si="86"/>
        <v>393.62878354973918</v>
      </c>
      <c r="AO25" s="38">
        <f t="shared" si="87"/>
        <v>0.99999999999999944</v>
      </c>
      <c r="AR25" s="4" t="e">
        <f>#REF!/G25*F25^0.5/0.19</f>
        <v>#REF!</v>
      </c>
      <c r="AS25" s="4">
        <f t="shared" si="88"/>
        <v>1</v>
      </c>
      <c r="AT25" s="38">
        <f t="shared" si="89"/>
        <v>463.67187904141605</v>
      </c>
      <c r="AU25" s="4">
        <f t="shared" si="90"/>
        <v>0.3</v>
      </c>
      <c r="AV25" s="4" t="e">
        <f>AU25*D25*#REF!/(D25*G25/2.75/F25^0.5)</f>
        <v>#REF!</v>
      </c>
      <c r="AW25" s="4" t="e">
        <f t="shared" si="91"/>
        <v>#REF!</v>
      </c>
      <c r="AY25" s="36">
        <f t="shared" si="92"/>
        <v>1.8789601441125643</v>
      </c>
      <c r="AZ25" s="36" t="e">
        <f>(1.6*#REF!+22)*AY25*F25^0.5</f>
        <v>#REF!</v>
      </c>
      <c r="BE25" s="4">
        <f t="shared" si="93"/>
        <v>101.8</v>
      </c>
      <c r="BF25" s="4">
        <f t="shared" si="94"/>
        <v>47.73</v>
      </c>
      <c r="BG25" s="4">
        <f t="shared" si="95"/>
        <v>101.8</v>
      </c>
      <c r="BH25" s="4">
        <f t="shared" si="96"/>
        <v>60.429999999999993</v>
      </c>
      <c r="BI25" s="4">
        <f t="shared" si="97"/>
        <v>1.1132830504923528</v>
      </c>
      <c r="BJ25" s="25">
        <f t="shared" si="98"/>
        <v>4</v>
      </c>
      <c r="BL25" s="4">
        <f t="shared" si="99"/>
        <v>101.8</v>
      </c>
      <c r="BP25" s="9"/>
      <c r="BR25" s="9"/>
      <c r="BS25" s="9"/>
      <c r="BT25" s="9">
        <f t="shared" si="100"/>
        <v>101.8</v>
      </c>
      <c r="BU25" s="9">
        <f t="shared" si="101"/>
        <v>101.8</v>
      </c>
      <c r="BV25" s="9">
        <f t="shared" si="102"/>
        <v>2.001967536137395</v>
      </c>
      <c r="BW25" s="9">
        <v>20</v>
      </c>
      <c r="BX25" s="9">
        <f t="shared" si="103"/>
        <v>0.05</v>
      </c>
      <c r="BY25" s="9">
        <f t="shared" si="104"/>
        <v>0.8</v>
      </c>
      <c r="BZ25" s="9">
        <f t="shared" si="105"/>
        <v>0.99524931562137331</v>
      </c>
      <c r="CA25" s="9">
        <f t="shared" si="106"/>
        <v>0.97375</v>
      </c>
      <c r="CB25" s="9">
        <f t="shared" si="107"/>
        <v>1.9670293329614872</v>
      </c>
      <c r="CC25" s="9">
        <f t="shared" si="108"/>
        <v>4.9175733324037179</v>
      </c>
      <c r="CD25" s="9">
        <v>1</v>
      </c>
      <c r="CE25" s="9" t="e">
        <f>4*CC25*#REF!+60*CC25</f>
        <v>#REF!</v>
      </c>
      <c r="DB25" s="4">
        <f t="shared" si="109"/>
        <v>3</v>
      </c>
      <c r="DC25" s="4">
        <f t="shared" si="110"/>
        <v>292.09999999999997</v>
      </c>
      <c r="DD25" s="4" t="e">
        <f>#REF!/E25</f>
        <v>#REF!</v>
      </c>
      <c r="DF25" s="4">
        <f t="shared" si="111"/>
        <v>2.1066341183765516E-5</v>
      </c>
      <c r="DG25" s="4">
        <f t="shared" si="112"/>
        <v>8.8972510471034791</v>
      </c>
      <c r="DI25" s="4">
        <f t="shared" si="149"/>
        <v>0</v>
      </c>
      <c r="DJ25" s="4">
        <f t="shared" si="150"/>
        <v>6.3551793193596282</v>
      </c>
      <c r="DK25" s="4">
        <f t="shared" si="115"/>
        <v>8.445233180953025</v>
      </c>
      <c r="DL25" s="38" t="e">
        <f t="shared" si="116"/>
        <v>#REF!</v>
      </c>
      <c r="DM25" s="4" t="e">
        <f t="shared" si="151"/>
        <v>#REF!</v>
      </c>
      <c r="DO25" s="4">
        <f t="shared" si="152"/>
        <v>393.62878354973918</v>
      </c>
      <c r="DS25" s="4">
        <f t="shared" si="118"/>
        <v>0.85</v>
      </c>
      <c r="DT25" s="4">
        <f t="shared" si="119"/>
        <v>0.7</v>
      </c>
      <c r="DU25" s="4">
        <f t="shared" si="120"/>
        <v>0.82320199640399283</v>
      </c>
      <c r="DV25" s="4">
        <f t="shared" si="121"/>
        <v>0.7</v>
      </c>
      <c r="DX25" s="4" t="e">
        <f t="shared" si="122"/>
        <v>#REF!</v>
      </c>
      <c r="DY25" s="25">
        <f t="shared" si="123"/>
        <v>394.48162132390439</v>
      </c>
      <c r="EB25" s="4">
        <f t="shared" si="75"/>
        <v>8.8972510471034791</v>
      </c>
      <c r="EC25" s="4">
        <f t="shared" si="124"/>
        <v>8.470182996842512</v>
      </c>
      <c r="EE25" s="4">
        <f t="shared" si="125"/>
        <v>77.858162529590359</v>
      </c>
      <c r="EF25" s="4">
        <f t="shared" si="126"/>
        <v>3.0652819893539514</v>
      </c>
      <c r="EG25" s="4">
        <f t="shared" si="127"/>
        <v>0.13392438876349141</v>
      </c>
      <c r="EJ25" s="4">
        <f t="shared" si="128"/>
        <v>0.13392438876349141</v>
      </c>
      <c r="EK25" s="4">
        <f t="shared" si="129"/>
        <v>0.42163398772191918</v>
      </c>
      <c r="EL25" s="4">
        <f t="shared" si="130"/>
        <v>6.2983978424284564</v>
      </c>
      <c r="EM25" s="4">
        <f t="shared" si="131"/>
        <v>7.7084558863593733</v>
      </c>
      <c r="EN25" s="4">
        <f t="shared" si="132"/>
        <v>141.21683747040964</v>
      </c>
      <c r="EO25" s="4">
        <f t="shared" si="133"/>
        <v>73.024999999999977</v>
      </c>
      <c r="EP25" s="4">
        <f t="shared" si="134"/>
        <v>2.1066341183765513E-5</v>
      </c>
      <c r="EQ25" s="4">
        <f t="shared" si="135"/>
        <v>8.1932168886722874</v>
      </c>
      <c r="ER25" s="4" t="e">
        <f t="shared" si="136"/>
        <v>#REF!</v>
      </c>
      <c r="ES25" s="4" t="e">
        <f t="shared" si="137"/>
        <v>#REF!</v>
      </c>
      <c r="ET25" s="4" t="e">
        <f t="shared" si="138"/>
        <v>#REF!</v>
      </c>
      <c r="EV25" s="4" t="e">
        <f t="shared" si="139"/>
        <v>#REF!</v>
      </c>
      <c r="FA25" s="23"/>
      <c r="FB25" s="23"/>
      <c r="FC25" s="23"/>
      <c r="FD25" s="23"/>
      <c r="FE25" s="23"/>
      <c r="FF25" s="23"/>
      <c r="FG25" s="23"/>
      <c r="FH25" s="23"/>
      <c r="FR25" s="4">
        <f t="shared" si="140"/>
        <v>1</v>
      </c>
      <c r="FS25" s="4">
        <f t="shared" si="141"/>
        <v>0.68688155922038985</v>
      </c>
      <c r="FT25" s="4">
        <f t="shared" si="142"/>
        <v>0.3</v>
      </c>
      <c r="FU25" s="4">
        <f t="shared" si="143"/>
        <v>402.03184669857649</v>
      </c>
    </row>
    <row r="26" spans="1:178" s="25" customFormat="1" ht="12" customHeight="1" x14ac:dyDescent="0.3">
      <c r="B26" s="26"/>
      <c r="C26" s="28" t="s">
        <v>85</v>
      </c>
      <c r="D26" s="28">
        <f t="shared" si="144"/>
        <v>517.5</v>
      </c>
      <c r="E26" s="28">
        <f>11.38*25.4</f>
        <v>289.05200000000002</v>
      </c>
      <c r="F26" s="28">
        <v>33.630000000000003</v>
      </c>
      <c r="G26" s="28">
        <v>25.4</v>
      </c>
      <c r="H26" s="28">
        <v>229</v>
      </c>
      <c r="I26" s="28">
        <f t="shared" si="77"/>
        <v>101.8</v>
      </c>
      <c r="J26" s="28">
        <v>305</v>
      </c>
      <c r="K26" s="28">
        <v>0</v>
      </c>
      <c r="L26" s="28">
        <v>1</v>
      </c>
      <c r="M26" s="28">
        <v>47.68</v>
      </c>
      <c r="N26" s="7">
        <f t="shared" si="78"/>
        <v>2.3771653543307085</v>
      </c>
      <c r="O26" s="28">
        <f t="shared" si="145"/>
        <v>2.3771653543307085</v>
      </c>
      <c r="P26" s="28">
        <f t="shared" si="79"/>
        <v>8.3959536742577185</v>
      </c>
      <c r="Q26" s="7">
        <f t="shared" si="80"/>
        <v>8.3959536742577185</v>
      </c>
      <c r="R26" s="28">
        <f t="shared" si="81"/>
        <v>9.3959536742577185</v>
      </c>
      <c r="S26" s="28">
        <f t="shared" si="82"/>
        <v>77.858162529590359</v>
      </c>
      <c r="T26" s="28"/>
      <c r="U26" s="28"/>
      <c r="V26" s="28">
        <f>148.74/(PI()/4*G26^2)*1000</f>
        <v>293.5421444043464</v>
      </c>
      <c r="W26" s="28"/>
      <c r="X26" s="28"/>
      <c r="Y26" s="28"/>
      <c r="Z26" s="28"/>
      <c r="AA26" s="28">
        <v>1</v>
      </c>
      <c r="AB26" s="28"/>
      <c r="AC26" s="28"/>
      <c r="AD26" s="28"/>
      <c r="AE26" s="4">
        <f t="shared" si="154"/>
        <v>289.05200000000002</v>
      </c>
      <c r="AF26" s="25">
        <f t="shared" si="83"/>
        <v>0.15042881662835439</v>
      </c>
      <c r="AG26" s="25">
        <f t="shared" si="84"/>
        <v>562.43208396751641</v>
      </c>
      <c r="AH26" s="4">
        <f t="shared" si="85"/>
        <v>0.74177794998823732</v>
      </c>
      <c r="AI26" s="25">
        <v>1.25</v>
      </c>
      <c r="AJ26" s="25">
        <f t="shared" si="146"/>
        <v>5</v>
      </c>
      <c r="AK26" s="38">
        <f t="shared" si="147"/>
        <v>392.24287446554456</v>
      </c>
      <c r="AL26" s="38">
        <f t="shared" si="148"/>
        <v>392.24287446554456</v>
      </c>
      <c r="AM26" s="38"/>
      <c r="AN26" s="38">
        <f t="shared" si="86"/>
        <v>392.24287446554479</v>
      </c>
      <c r="AO26" s="38">
        <f t="shared" si="87"/>
        <v>0.99999999999999944</v>
      </c>
      <c r="AP26" s="38"/>
      <c r="AR26" s="25" t="e">
        <f>#REF!/G26*F26^0.5/0.19</f>
        <v>#REF!</v>
      </c>
      <c r="AS26" s="25">
        <f t="shared" si="88"/>
        <v>1</v>
      </c>
      <c r="AT26" s="38">
        <f t="shared" si="89"/>
        <v>463.2882352560103</v>
      </c>
      <c r="AU26" s="25">
        <f t="shared" si="90"/>
        <v>0.3</v>
      </c>
      <c r="AV26" s="25" t="e">
        <f>AU26*D26*#REF!/(D26*G26/2.75/F26^0.5)</f>
        <v>#REF!</v>
      </c>
      <c r="AW26" s="25" t="e">
        <f t="shared" si="91"/>
        <v>#REF!</v>
      </c>
      <c r="AY26" s="36">
        <f t="shared" si="92"/>
        <v>1.0877165354330709</v>
      </c>
      <c r="AZ26" s="36" t="e">
        <f>(1.6*#REF!+22)*AY26*F26^0.5</f>
        <v>#REF!</v>
      </c>
      <c r="BE26" s="25">
        <f t="shared" si="93"/>
        <v>101.8</v>
      </c>
      <c r="BF26" s="25">
        <f t="shared" si="94"/>
        <v>47.68</v>
      </c>
      <c r="BG26" s="25">
        <f t="shared" si="95"/>
        <v>101.8</v>
      </c>
      <c r="BH26" s="25">
        <f t="shared" si="96"/>
        <v>60.379999999999995</v>
      </c>
      <c r="BI26" s="25">
        <f t="shared" si="97"/>
        <v>1.1135067114093959</v>
      </c>
      <c r="BJ26" s="25">
        <f t="shared" si="98"/>
        <v>2.6469895761771389</v>
      </c>
      <c r="BL26" s="25">
        <f t="shared" si="99"/>
        <v>101.8</v>
      </c>
      <c r="BP26" s="29"/>
      <c r="BR26" s="29"/>
      <c r="BS26" s="29"/>
      <c r="BT26" s="29">
        <f t="shared" si="100"/>
        <v>101.8</v>
      </c>
      <c r="BU26" s="29">
        <f t="shared" si="101"/>
        <v>101.8</v>
      </c>
      <c r="BV26" s="29">
        <f t="shared" si="102"/>
        <v>2.001967536137395</v>
      </c>
      <c r="BW26" s="29">
        <v>0</v>
      </c>
      <c r="BX26" s="29">
        <f t="shared" si="103"/>
        <v>0</v>
      </c>
      <c r="BY26" s="29">
        <f t="shared" si="104"/>
        <v>0</v>
      </c>
      <c r="BZ26" s="29">
        <f t="shared" si="105"/>
        <v>0.99524931562137331</v>
      </c>
      <c r="CA26" s="29">
        <f t="shared" si="106"/>
        <v>0.97375</v>
      </c>
      <c r="CB26" s="29">
        <f t="shared" si="107"/>
        <v>1.9670293329614872</v>
      </c>
      <c r="CC26" s="29">
        <f t="shared" si="108"/>
        <v>3.9379288672188921</v>
      </c>
      <c r="CD26" s="29">
        <v>1</v>
      </c>
      <c r="CE26" s="29" t="e">
        <f>4*CC26*#REF!+60*CC26</f>
        <v>#REF!</v>
      </c>
      <c r="CG26" s="4"/>
      <c r="CH26" s="4"/>
      <c r="CI26" s="4"/>
      <c r="CJ26" s="4"/>
      <c r="CK26" s="4"/>
      <c r="CL26" s="4"/>
      <c r="CM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B26" s="4">
        <f t="shared" si="109"/>
        <v>0</v>
      </c>
      <c r="DC26" s="25">
        <f t="shared" si="110"/>
        <v>289.05200000000002</v>
      </c>
      <c r="DD26" s="25" t="e">
        <f>#REF!/E26</f>
        <v>#REF!</v>
      </c>
      <c r="DF26" s="4">
        <f t="shared" si="111"/>
        <v>2.0846518493152316E-5</v>
      </c>
      <c r="DG26" s="4">
        <f t="shared" si="112"/>
        <v>8.8972510471034791</v>
      </c>
      <c r="DH26" s="4"/>
      <c r="DI26" s="4">
        <f t="shared" si="149"/>
        <v>0</v>
      </c>
      <c r="DJ26" s="4">
        <f t="shared" si="150"/>
        <v>6.3551793193596282</v>
      </c>
      <c r="DK26" s="4">
        <f t="shared" si="115"/>
        <v>8.4563832251512334</v>
      </c>
      <c r="DL26" s="38" t="e">
        <f t="shared" si="116"/>
        <v>#REF!</v>
      </c>
      <c r="DM26" s="4" t="e">
        <f t="shared" si="151"/>
        <v>#REF!</v>
      </c>
      <c r="DN26" s="4"/>
      <c r="DO26" s="4">
        <f t="shared" si="152"/>
        <v>392.24287446554479</v>
      </c>
      <c r="DS26" s="25">
        <f t="shared" si="118"/>
        <v>0.85</v>
      </c>
      <c r="DT26" s="25">
        <f t="shared" si="119"/>
        <v>0.7</v>
      </c>
      <c r="DU26" s="25">
        <f t="shared" si="120"/>
        <v>1</v>
      </c>
      <c r="DV26" s="25">
        <f t="shared" si="121"/>
        <v>0.7</v>
      </c>
      <c r="DX26" s="4" t="e">
        <f t="shared" si="122"/>
        <v>#REF!</v>
      </c>
      <c r="DY26" s="25">
        <f t="shared" si="123"/>
        <v>396.72382751434384</v>
      </c>
      <c r="EB26" s="4">
        <f t="shared" si="75"/>
        <v>8.8972510471034791</v>
      </c>
      <c r="EC26" s="25">
        <f t="shared" si="124"/>
        <v>5.6051215252387419</v>
      </c>
      <c r="EE26" s="4">
        <f t="shared" si="125"/>
        <v>77.858162529590359</v>
      </c>
      <c r="EF26" s="4">
        <f t="shared" si="126"/>
        <v>3.0652819893539514</v>
      </c>
      <c r="EG26" s="4">
        <f t="shared" si="127"/>
        <v>0.13345286067728618</v>
      </c>
      <c r="EJ26" s="25">
        <f t="shared" si="128"/>
        <v>0.13345286067728618</v>
      </c>
      <c r="EK26" s="25">
        <f t="shared" si="129"/>
        <v>0.42014947643054645</v>
      </c>
      <c r="EL26" s="4">
        <f t="shared" si="130"/>
        <v>6.2895181623147547</v>
      </c>
      <c r="EM26" s="25">
        <f t="shared" si="131"/>
        <v>7.7048345465996162</v>
      </c>
      <c r="EN26" s="4">
        <f t="shared" si="132"/>
        <v>138.93083747040964</v>
      </c>
      <c r="EO26" s="4">
        <f t="shared" si="133"/>
        <v>72.263000000000034</v>
      </c>
      <c r="EP26" s="25">
        <f t="shared" si="134"/>
        <v>2.0846518493152323E-5</v>
      </c>
      <c r="EQ26" s="25">
        <f t="shared" si="135"/>
        <v>8.2084963735849374</v>
      </c>
      <c r="ER26" s="4" t="e">
        <f t="shared" si="136"/>
        <v>#REF!</v>
      </c>
      <c r="ES26" s="4" t="e">
        <f t="shared" si="137"/>
        <v>#REF!</v>
      </c>
      <c r="ET26" s="4" t="e">
        <f t="shared" si="138"/>
        <v>#REF!</v>
      </c>
      <c r="EV26" s="4" t="e">
        <f t="shared" si="139"/>
        <v>#REF!</v>
      </c>
      <c r="FA26" s="23"/>
      <c r="FB26" s="23"/>
      <c r="FC26" s="23"/>
      <c r="FD26" s="23"/>
      <c r="FE26" s="23"/>
      <c r="FF26" s="23"/>
      <c r="FG26" s="30"/>
      <c r="FH26" s="30"/>
      <c r="FR26" s="4">
        <f t="shared" si="140"/>
        <v>1</v>
      </c>
      <c r="FS26" s="4">
        <f t="shared" si="141"/>
        <v>1.0833333333333333</v>
      </c>
      <c r="FT26" s="4">
        <f t="shared" si="142"/>
        <v>0</v>
      </c>
      <c r="FU26" s="4">
        <f t="shared" si="143"/>
        <v>252.24619812719015</v>
      </c>
      <c r="FV26" s="4"/>
    </row>
    <row r="27" spans="1:178" s="25" customFormat="1" ht="12" customHeight="1" x14ac:dyDescent="0.3">
      <c r="B27" s="26"/>
      <c r="C27" s="28" t="s">
        <v>86</v>
      </c>
      <c r="D27" s="28">
        <f t="shared" si="144"/>
        <v>517.5</v>
      </c>
      <c r="E27" s="28">
        <f>11.38*25.4</f>
        <v>289.05200000000002</v>
      </c>
      <c r="F27" s="28">
        <v>33.630000000000003</v>
      </c>
      <c r="G27" s="28">
        <v>25.4</v>
      </c>
      <c r="H27" s="28">
        <v>229</v>
      </c>
      <c r="I27" s="28">
        <f t="shared" si="77"/>
        <v>101.8</v>
      </c>
      <c r="J27" s="28">
        <v>305</v>
      </c>
      <c r="K27" s="28">
        <v>0</v>
      </c>
      <c r="L27" s="28">
        <v>1</v>
      </c>
      <c r="M27" s="28">
        <v>47.68</v>
      </c>
      <c r="N27" s="7">
        <f t="shared" si="78"/>
        <v>2.3771653543307085</v>
      </c>
      <c r="O27" s="28">
        <f t="shared" si="145"/>
        <v>2.3771653543307085</v>
      </c>
      <c r="P27" s="28">
        <f t="shared" si="79"/>
        <v>8.3959536742577185</v>
      </c>
      <c r="Q27" s="7">
        <f t="shared" si="80"/>
        <v>8.3959536742577185</v>
      </c>
      <c r="R27" s="28">
        <f t="shared" si="81"/>
        <v>9.3959536742577185</v>
      </c>
      <c r="S27" s="28">
        <f t="shared" si="82"/>
        <v>77.858162529590359</v>
      </c>
      <c r="T27" s="28"/>
      <c r="U27" s="28"/>
      <c r="V27" s="28">
        <f>155.72/(PI()/4*G27^2)*1000</f>
        <v>307.31735058924846</v>
      </c>
      <c r="W27" s="28"/>
      <c r="X27" s="28"/>
      <c r="Y27" s="28"/>
      <c r="Z27" s="28"/>
      <c r="AA27" s="28">
        <v>1</v>
      </c>
      <c r="AB27" s="28"/>
      <c r="AC27" s="28"/>
      <c r="AD27" s="28"/>
      <c r="AE27" s="4">
        <f t="shared" si="154"/>
        <v>289.05200000000002</v>
      </c>
      <c r="AF27" s="25">
        <f t="shared" si="83"/>
        <v>0.15042881662835439</v>
      </c>
      <c r="AG27" s="25">
        <f t="shared" si="84"/>
        <v>562.43208396751641</v>
      </c>
      <c r="AH27" s="4">
        <f t="shared" si="85"/>
        <v>0.74177794998823732</v>
      </c>
      <c r="AI27" s="25">
        <v>1.25</v>
      </c>
      <c r="AJ27" s="25">
        <f t="shared" si="146"/>
        <v>5</v>
      </c>
      <c r="AK27" s="38">
        <f t="shared" si="147"/>
        <v>392.24287446554456</v>
      </c>
      <c r="AL27" s="38">
        <f t="shared" si="148"/>
        <v>392.24287446554456</v>
      </c>
      <c r="AM27" s="38"/>
      <c r="AN27" s="38">
        <f t="shared" si="86"/>
        <v>392.24287446554479</v>
      </c>
      <c r="AO27" s="38">
        <f t="shared" si="87"/>
        <v>0.99999999999999944</v>
      </c>
      <c r="AP27" s="38"/>
      <c r="AR27" s="25" t="e">
        <f>#REF!/G27*F27^0.5/0.19</f>
        <v>#REF!</v>
      </c>
      <c r="AS27" s="25">
        <f t="shared" si="88"/>
        <v>1</v>
      </c>
      <c r="AT27" s="38">
        <f t="shared" si="89"/>
        <v>463.2882352560103</v>
      </c>
      <c r="AU27" s="25">
        <f t="shared" si="90"/>
        <v>0.3</v>
      </c>
      <c r="AV27" s="25" t="e">
        <f>AU27*D27*#REF!/(D27*G27/2.75/F27^0.5)</f>
        <v>#REF!</v>
      </c>
      <c r="AW27" s="25" t="e">
        <f t="shared" si="91"/>
        <v>#REF!</v>
      </c>
      <c r="AY27" s="36">
        <f t="shared" si="92"/>
        <v>1.0877165354330709</v>
      </c>
      <c r="AZ27" s="36" t="e">
        <f>(1.6*#REF!+22)*AY27*F27^0.5</f>
        <v>#REF!</v>
      </c>
      <c r="BE27" s="25">
        <f t="shared" si="93"/>
        <v>101.8</v>
      </c>
      <c r="BF27" s="25">
        <f t="shared" si="94"/>
        <v>47.68</v>
      </c>
      <c r="BG27" s="25">
        <f t="shared" si="95"/>
        <v>101.8</v>
      </c>
      <c r="BH27" s="25">
        <f t="shared" si="96"/>
        <v>60.379999999999995</v>
      </c>
      <c r="BI27" s="25">
        <f t="shared" si="97"/>
        <v>1.1135067114093959</v>
      </c>
      <c r="BJ27" s="25">
        <f t="shared" si="98"/>
        <v>2.6469895761771389</v>
      </c>
      <c r="BL27" s="25">
        <f t="shared" si="99"/>
        <v>101.8</v>
      </c>
      <c r="BP27" s="29"/>
      <c r="BR27" s="29"/>
      <c r="BS27" s="29"/>
      <c r="BT27" s="29">
        <f t="shared" si="100"/>
        <v>101.8</v>
      </c>
      <c r="BU27" s="29">
        <f t="shared" si="101"/>
        <v>101.8</v>
      </c>
      <c r="BV27" s="29">
        <f t="shared" si="102"/>
        <v>2.001967536137395</v>
      </c>
      <c r="BW27" s="29">
        <v>0</v>
      </c>
      <c r="BX27" s="29">
        <f t="shared" si="103"/>
        <v>0</v>
      </c>
      <c r="BY27" s="29">
        <f t="shared" si="104"/>
        <v>0</v>
      </c>
      <c r="BZ27" s="29">
        <f t="shared" si="105"/>
        <v>0.99524931562137331</v>
      </c>
      <c r="CA27" s="29">
        <f t="shared" si="106"/>
        <v>0.97375</v>
      </c>
      <c r="CB27" s="29">
        <f t="shared" si="107"/>
        <v>1.9670293329614872</v>
      </c>
      <c r="CC27" s="29">
        <f t="shared" si="108"/>
        <v>3.9379288672188921</v>
      </c>
      <c r="CD27" s="29">
        <v>1</v>
      </c>
      <c r="CE27" s="29" t="e">
        <f>4*CC27*#REF!+60*CC27</f>
        <v>#REF!</v>
      </c>
      <c r="CG27" s="4"/>
      <c r="CH27" s="4"/>
      <c r="CI27" s="4"/>
      <c r="CJ27" s="4"/>
      <c r="CK27" s="4"/>
      <c r="CL27" s="4"/>
      <c r="CM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B27" s="4">
        <f t="shared" si="109"/>
        <v>0</v>
      </c>
      <c r="DC27" s="25">
        <f t="shared" si="110"/>
        <v>289.05200000000002</v>
      </c>
      <c r="DD27" s="25" t="e">
        <f>#REF!/E27</f>
        <v>#REF!</v>
      </c>
      <c r="DF27" s="4">
        <f t="shared" si="111"/>
        <v>2.0846518493152316E-5</v>
      </c>
      <c r="DG27" s="4">
        <f t="shared" si="112"/>
        <v>8.8972510471034791</v>
      </c>
      <c r="DH27" s="4"/>
      <c r="DI27" s="4">
        <f t="shared" si="149"/>
        <v>0</v>
      </c>
      <c r="DJ27" s="4">
        <f t="shared" si="150"/>
        <v>6.3551793193596282</v>
      </c>
      <c r="DK27" s="4">
        <f t="shared" si="115"/>
        <v>8.4563832251512334</v>
      </c>
      <c r="DL27" s="38" t="e">
        <f t="shared" si="116"/>
        <v>#REF!</v>
      </c>
      <c r="DM27" s="4" t="e">
        <f t="shared" si="151"/>
        <v>#REF!</v>
      </c>
      <c r="DN27" s="4"/>
      <c r="DO27" s="4">
        <f t="shared" si="152"/>
        <v>392.24287446554479</v>
      </c>
      <c r="DS27" s="25">
        <f t="shared" si="118"/>
        <v>0.85</v>
      </c>
      <c r="DT27" s="25">
        <f t="shared" si="119"/>
        <v>0.7</v>
      </c>
      <c r="DU27" s="25">
        <f t="shared" si="120"/>
        <v>1</v>
      </c>
      <c r="DV27" s="25">
        <f t="shared" si="121"/>
        <v>0.7</v>
      </c>
      <c r="DX27" s="4" t="e">
        <f t="shared" si="122"/>
        <v>#REF!</v>
      </c>
      <c r="DY27" s="25">
        <f t="shared" si="123"/>
        <v>396.72382751434384</v>
      </c>
      <c r="EB27" s="4">
        <f t="shared" si="75"/>
        <v>8.8972510471034791</v>
      </c>
      <c r="EC27" s="25">
        <f t="shared" si="124"/>
        <v>5.6051215252387419</v>
      </c>
      <c r="EE27" s="4">
        <f t="shared" si="125"/>
        <v>77.858162529590359</v>
      </c>
      <c r="EF27" s="4">
        <f t="shared" si="126"/>
        <v>3.0652819893539514</v>
      </c>
      <c r="EG27" s="4">
        <f t="shared" si="127"/>
        <v>0.13345286067728618</v>
      </c>
      <c r="EJ27" s="25">
        <f t="shared" si="128"/>
        <v>0.13345286067728618</v>
      </c>
      <c r="EK27" s="25">
        <f t="shared" si="129"/>
        <v>0.42014947643054645</v>
      </c>
      <c r="EL27" s="4">
        <f t="shared" si="130"/>
        <v>6.2895181623147547</v>
      </c>
      <c r="EM27" s="25">
        <f t="shared" si="131"/>
        <v>7.7048345465996162</v>
      </c>
      <c r="EN27" s="4">
        <f t="shared" si="132"/>
        <v>138.93083747040964</v>
      </c>
      <c r="EO27" s="4">
        <f t="shared" si="133"/>
        <v>72.263000000000034</v>
      </c>
      <c r="EP27" s="25">
        <f t="shared" si="134"/>
        <v>2.0846518493152323E-5</v>
      </c>
      <c r="EQ27" s="25">
        <f t="shared" si="135"/>
        <v>8.2084963735849374</v>
      </c>
      <c r="ER27" s="4" t="e">
        <f t="shared" si="136"/>
        <v>#REF!</v>
      </c>
      <c r="ES27" s="4" t="e">
        <f t="shared" si="137"/>
        <v>#REF!</v>
      </c>
      <c r="ET27" s="4" t="e">
        <f t="shared" si="138"/>
        <v>#REF!</v>
      </c>
      <c r="EV27" s="4" t="e">
        <f t="shared" si="139"/>
        <v>#REF!</v>
      </c>
      <c r="FA27" s="23"/>
      <c r="FB27" s="23"/>
      <c r="FC27" s="23"/>
      <c r="FD27" s="23"/>
      <c r="FE27" s="23"/>
      <c r="FF27" s="23"/>
      <c r="FG27" s="30"/>
      <c r="FH27" s="30"/>
      <c r="FR27" s="4">
        <f t="shared" si="140"/>
        <v>1</v>
      </c>
      <c r="FS27" s="4">
        <f t="shared" si="141"/>
        <v>1.0833333333333333</v>
      </c>
      <c r="FT27" s="4">
        <f t="shared" si="142"/>
        <v>0</v>
      </c>
      <c r="FU27" s="4">
        <f t="shared" si="143"/>
        <v>252.24619812719015</v>
      </c>
      <c r="FV27" s="4"/>
    </row>
    <row r="28" spans="1:178" s="25" customFormat="1" ht="12" customHeight="1" x14ac:dyDescent="0.3">
      <c r="B28" s="26"/>
      <c r="C28" s="28" t="s">
        <v>87</v>
      </c>
      <c r="D28" s="28">
        <f t="shared" si="144"/>
        <v>517.5</v>
      </c>
      <c r="E28" s="28">
        <f>11.38*25.4</f>
        <v>289.05200000000002</v>
      </c>
      <c r="F28" s="28">
        <v>33.630000000000003</v>
      </c>
      <c r="G28" s="28">
        <v>25.4</v>
      </c>
      <c r="H28" s="28">
        <v>229</v>
      </c>
      <c r="I28" s="28">
        <f t="shared" si="77"/>
        <v>101.8</v>
      </c>
      <c r="J28" s="28">
        <v>305</v>
      </c>
      <c r="K28" s="28">
        <v>0</v>
      </c>
      <c r="L28" s="28">
        <v>1</v>
      </c>
      <c r="M28" s="28">
        <v>49.48</v>
      </c>
      <c r="N28" s="7">
        <f t="shared" si="78"/>
        <v>2.4480314960629919</v>
      </c>
      <c r="O28" s="28">
        <f t="shared" si="145"/>
        <v>2.4480314960629919</v>
      </c>
      <c r="P28" s="28">
        <f t="shared" si="79"/>
        <v>8.3959536742577185</v>
      </c>
      <c r="Q28" s="7">
        <f t="shared" si="80"/>
        <v>8.3959536742577185</v>
      </c>
      <c r="R28" s="28">
        <f t="shared" si="81"/>
        <v>9.3959536742577185</v>
      </c>
      <c r="S28" s="28">
        <f t="shared" si="82"/>
        <v>77.858162529590359</v>
      </c>
      <c r="T28" s="28"/>
      <c r="U28" s="28"/>
      <c r="V28" s="28">
        <f>167.51/(PI()/4*G28^2)*1000</f>
        <v>330.5852131852364</v>
      </c>
      <c r="W28" s="28"/>
      <c r="X28" s="28"/>
      <c r="Y28" s="28"/>
      <c r="Z28" s="28"/>
      <c r="AA28" s="28">
        <v>1</v>
      </c>
      <c r="AB28" s="28"/>
      <c r="AC28" s="28"/>
      <c r="AD28" s="28"/>
      <c r="AE28" s="4">
        <f t="shared" si="154"/>
        <v>289.05200000000002</v>
      </c>
      <c r="AF28" s="25">
        <f t="shared" si="83"/>
        <v>0.15097698442790625</v>
      </c>
      <c r="AG28" s="25">
        <f t="shared" si="84"/>
        <v>562.43208396751641</v>
      </c>
      <c r="AH28" s="4">
        <f t="shared" si="85"/>
        <v>0.74302340063379591</v>
      </c>
      <c r="AI28" s="25">
        <v>1.25</v>
      </c>
      <c r="AJ28" s="25">
        <f t="shared" si="146"/>
        <v>5</v>
      </c>
      <c r="AK28" s="38">
        <f t="shared" si="147"/>
        <v>394.33319959841521</v>
      </c>
      <c r="AL28" s="38">
        <f t="shared" si="148"/>
        <v>394.33319959841521</v>
      </c>
      <c r="AM28" s="38"/>
      <c r="AN28" s="38">
        <f t="shared" si="86"/>
        <v>394.33319959841538</v>
      </c>
      <c r="AO28" s="38">
        <f t="shared" si="87"/>
        <v>0.99999999999999956</v>
      </c>
      <c r="AP28" s="38"/>
      <c r="AR28" s="25" t="e">
        <f>#REF!/G28*F28^0.5/0.19</f>
        <v>#REF!</v>
      </c>
      <c r="AS28" s="25">
        <f t="shared" si="88"/>
        <v>1</v>
      </c>
      <c r="AT28" s="38">
        <f t="shared" si="89"/>
        <v>477.09941153061794</v>
      </c>
      <c r="AU28" s="25">
        <f t="shared" si="90"/>
        <v>0.3</v>
      </c>
      <c r="AV28" s="25" t="e">
        <f>AU28*D28*#REF!/(D28*G28/2.75/F28^0.5)</f>
        <v>#REF!</v>
      </c>
      <c r="AW28" s="25" t="e">
        <f t="shared" si="91"/>
        <v>#REF!</v>
      </c>
      <c r="AY28" s="36">
        <f t="shared" si="92"/>
        <v>1.0948031496062991</v>
      </c>
      <c r="AZ28" s="36" t="e">
        <f>(1.6*#REF!+22)*AY28*F28^0.5</f>
        <v>#REF!</v>
      </c>
      <c r="BE28" s="25">
        <f t="shared" si="93"/>
        <v>101.8</v>
      </c>
      <c r="BF28" s="25">
        <f t="shared" si="94"/>
        <v>49.48</v>
      </c>
      <c r="BG28" s="25">
        <f t="shared" si="95"/>
        <v>101.8</v>
      </c>
      <c r="BH28" s="25">
        <f t="shared" si="96"/>
        <v>62.179999999999993</v>
      </c>
      <c r="BI28" s="25">
        <f t="shared" si="97"/>
        <v>1.1057396928051739</v>
      </c>
      <c r="BJ28" s="25">
        <f t="shared" si="98"/>
        <v>2.7068855944340835</v>
      </c>
      <c r="BL28" s="25">
        <f t="shared" si="99"/>
        <v>101.8</v>
      </c>
      <c r="BP28" s="29"/>
      <c r="BR28" s="29"/>
      <c r="BS28" s="29"/>
      <c r="BT28" s="29">
        <f t="shared" si="100"/>
        <v>101.8</v>
      </c>
      <c r="BU28" s="29">
        <f t="shared" si="101"/>
        <v>101.8</v>
      </c>
      <c r="BV28" s="29">
        <f t="shared" si="102"/>
        <v>2.001967536137395</v>
      </c>
      <c r="BW28" s="29">
        <v>0</v>
      </c>
      <c r="BX28" s="29">
        <f t="shared" si="103"/>
        <v>0</v>
      </c>
      <c r="BY28" s="29">
        <f t="shared" si="104"/>
        <v>0</v>
      </c>
      <c r="BZ28" s="29">
        <f t="shared" si="105"/>
        <v>0.99524931562137331</v>
      </c>
      <c r="CA28" s="29">
        <f t="shared" si="106"/>
        <v>0.97375</v>
      </c>
      <c r="CB28" s="29">
        <f t="shared" si="107"/>
        <v>1.9670293329614872</v>
      </c>
      <c r="CC28" s="29">
        <f t="shared" si="108"/>
        <v>3.9379288672188921</v>
      </c>
      <c r="CD28" s="29">
        <v>1</v>
      </c>
      <c r="CE28" s="29" t="e">
        <f>4*CC28*#REF!+60*CC28</f>
        <v>#REF!</v>
      </c>
      <c r="CG28" s="4"/>
      <c r="CH28" s="4"/>
      <c r="CI28" s="4"/>
      <c r="CJ28" s="4"/>
      <c r="CK28" s="4"/>
      <c r="CL28" s="4"/>
      <c r="CM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B28" s="4">
        <f t="shared" si="109"/>
        <v>0</v>
      </c>
      <c r="DC28" s="25">
        <f t="shared" si="110"/>
        <v>289.05200000000002</v>
      </c>
      <c r="DD28" s="25" t="e">
        <f>#REF!/E28</f>
        <v>#REF!</v>
      </c>
      <c r="DF28" s="4">
        <f t="shared" si="111"/>
        <v>2.0846518493152316E-5</v>
      </c>
      <c r="DG28" s="4">
        <f t="shared" si="112"/>
        <v>8.8972510471034791</v>
      </c>
      <c r="DH28" s="4"/>
      <c r="DI28" s="4">
        <f t="shared" si="149"/>
        <v>0</v>
      </c>
      <c r="DJ28" s="4">
        <f t="shared" si="150"/>
        <v>6.3551793193596282</v>
      </c>
      <c r="DK28" s="4">
        <f t="shared" si="115"/>
        <v>8.4563832251512334</v>
      </c>
      <c r="DL28" s="38" t="e">
        <f t="shared" si="116"/>
        <v>#REF!</v>
      </c>
      <c r="DM28" s="4" t="e">
        <f t="shared" si="151"/>
        <v>#REF!</v>
      </c>
      <c r="DN28" s="4"/>
      <c r="DO28" s="4">
        <f t="shared" si="152"/>
        <v>394.33319959841538</v>
      </c>
      <c r="DS28" s="25">
        <f t="shared" si="118"/>
        <v>0.85</v>
      </c>
      <c r="DT28" s="25">
        <f t="shared" si="119"/>
        <v>0.7</v>
      </c>
      <c r="DU28" s="25">
        <f t="shared" si="120"/>
        <v>1</v>
      </c>
      <c r="DV28" s="25">
        <f t="shared" si="121"/>
        <v>0.7</v>
      </c>
      <c r="DX28" s="4" t="e">
        <f t="shared" si="122"/>
        <v>#REF!</v>
      </c>
      <c r="DY28" s="25">
        <f t="shared" si="123"/>
        <v>397.39791521007561</v>
      </c>
      <c r="EB28" s="4">
        <f t="shared" si="75"/>
        <v>8.8972510471034791</v>
      </c>
      <c r="EC28" s="25">
        <f t="shared" si="124"/>
        <v>5.7319540840933767</v>
      </c>
      <c r="EE28" s="4">
        <f t="shared" si="125"/>
        <v>77.858162529590359</v>
      </c>
      <c r="EF28" s="4">
        <f t="shared" si="126"/>
        <v>3.0652819893539514</v>
      </c>
      <c r="EG28" s="4">
        <f t="shared" si="127"/>
        <v>0.13416405235694975</v>
      </c>
      <c r="EJ28" s="25">
        <f t="shared" si="128"/>
        <v>0.13416405235694975</v>
      </c>
      <c r="EK28" s="25">
        <f t="shared" si="129"/>
        <v>0.42238852031717383</v>
      </c>
      <c r="EL28" s="4">
        <f t="shared" si="130"/>
        <v>6.3029039284467085</v>
      </c>
      <c r="EM28" s="25">
        <f t="shared" si="131"/>
        <v>7.7102948983845332</v>
      </c>
      <c r="EN28" s="4">
        <f t="shared" si="132"/>
        <v>138.93083747040964</v>
      </c>
      <c r="EO28" s="4">
        <f t="shared" si="133"/>
        <v>72.263000000000034</v>
      </c>
      <c r="EP28" s="25">
        <f t="shared" si="134"/>
        <v>2.0846518493152323E-5</v>
      </c>
      <c r="EQ28" s="25">
        <f t="shared" si="135"/>
        <v>8.20783719482192</v>
      </c>
      <c r="ER28" s="4" t="e">
        <f t="shared" si="136"/>
        <v>#REF!</v>
      </c>
      <c r="ES28" s="4" t="e">
        <f t="shared" si="137"/>
        <v>#REF!</v>
      </c>
      <c r="ET28" s="4" t="e">
        <f t="shared" si="138"/>
        <v>#REF!</v>
      </c>
      <c r="EV28" s="4" t="e">
        <f t="shared" si="139"/>
        <v>#REF!</v>
      </c>
      <c r="FA28" s="23"/>
      <c r="FB28" s="23"/>
      <c r="FC28" s="23"/>
      <c r="FD28" s="23"/>
      <c r="FE28" s="23"/>
      <c r="FF28" s="23"/>
      <c r="FG28" s="30"/>
      <c r="FH28" s="30"/>
      <c r="FR28" s="4">
        <f t="shared" si="140"/>
        <v>1</v>
      </c>
      <c r="FS28" s="4">
        <f t="shared" si="141"/>
        <v>1.0833333333333333</v>
      </c>
      <c r="FT28" s="4">
        <f t="shared" si="142"/>
        <v>0</v>
      </c>
      <c r="FU28" s="4">
        <f t="shared" si="143"/>
        <v>252.24619812719015</v>
      </c>
      <c r="FV28" s="4"/>
    </row>
    <row r="29" spans="1:178" ht="12" customHeight="1" x14ac:dyDescent="0.3">
      <c r="B29" s="24"/>
      <c r="C29" s="7" t="s">
        <v>88</v>
      </c>
      <c r="D29" s="28">
        <f t="shared" si="144"/>
        <v>517.5</v>
      </c>
      <c r="E29" s="7">
        <f t="shared" ref="E29:E34" si="155">11.25*25.4</f>
        <v>285.75</v>
      </c>
      <c r="F29" s="7">
        <v>33.44</v>
      </c>
      <c r="G29" s="7">
        <v>25.4</v>
      </c>
      <c r="H29" s="7">
        <v>229</v>
      </c>
      <c r="I29" s="7">
        <f t="shared" si="77"/>
        <v>101.8</v>
      </c>
      <c r="J29" s="7">
        <v>305</v>
      </c>
      <c r="K29" s="7">
        <v>0</v>
      </c>
      <c r="L29" s="7">
        <v>1</v>
      </c>
      <c r="M29" s="7">
        <v>82.19</v>
      </c>
      <c r="N29" s="7">
        <f t="shared" si="78"/>
        <v>3.7358267716535436</v>
      </c>
      <c r="O29" s="28">
        <f t="shared" si="145"/>
        <v>3.7358267716535436</v>
      </c>
      <c r="P29" s="28">
        <f t="shared" si="79"/>
        <v>8.3959536742577185</v>
      </c>
      <c r="Q29" s="7">
        <f t="shared" si="80"/>
        <v>8.3959536742577185</v>
      </c>
      <c r="R29" s="7">
        <f t="shared" si="81"/>
        <v>9.3959536742577185</v>
      </c>
      <c r="S29" s="7">
        <f t="shared" si="82"/>
        <v>77.858162529590359</v>
      </c>
      <c r="T29" s="7"/>
      <c r="U29" s="7"/>
      <c r="V29" s="7">
        <f>243.35/(PI()/4*G29^2)*1000</f>
        <v>480.25736749225291</v>
      </c>
      <c r="W29" s="7"/>
      <c r="X29" s="7"/>
      <c r="Y29" s="7">
        <v>9.5</v>
      </c>
      <c r="Z29" s="7">
        <v>3</v>
      </c>
      <c r="AA29" s="7">
        <v>76</v>
      </c>
      <c r="AB29" s="7">
        <v>3</v>
      </c>
      <c r="AC29" s="7"/>
      <c r="AD29" s="7"/>
      <c r="AE29" s="4">
        <f t="shared" si="154"/>
        <v>285.75</v>
      </c>
      <c r="AF29" s="4">
        <f t="shared" si="83"/>
        <v>0.16313593055169648</v>
      </c>
      <c r="AG29" s="25">
        <f t="shared" si="84"/>
        <v>551.25834685648249</v>
      </c>
      <c r="AH29" s="4">
        <f t="shared" si="85"/>
        <v>0.76641469816272956</v>
      </c>
      <c r="AI29" s="4">
        <v>1.25</v>
      </c>
      <c r="AJ29" s="25">
        <f t="shared" si="146"/>
        <v>5</v>
      </c>
      <c r="AK29" s="38">
        <f t="shared" si="147"/>
        <v>430.77316912253309</v>
      </c>
      <c r="AL29" s="38">
        <f t="shared" si="148"/>
        <v>430.77316912253309</v>
      </c>
      <c r="AN29" s="38">
        <f t="shared" si="86"/>
        <v>430.77316912253286</v>
      </c>
      <c r="AO29" s="38">
        <f t="shared" si="87"/>
        <v>1.0000000000000004</v>
      </c>
      <c r="AR29" s="4" t="e">
        <f>#REF!/G29*F29^0.5/0.19</f>
        <v>#REF!</v>
      </c>
      <c r="AS29" s="4">
        <f t="shared" si="88"/>
        <v>1</v>
      </c>
      <c r="AT29" s="38">
        <f t="shared" si="89"/>
        <v>723.96573427107933</v>
      </c>
      <c r="AU29" s="4">
        <f t="shared" si="90"/>
        <v>0.3</v>
      </c>
      <c r="AV29" s="4" t="e">
        <f>AU29*D29*#REF!/(D29*G29/2.75/F29^0.5)</f>
        <v>#REF!</v>
      </c>
      <c r="AW29" s="4" t="e">
        <f t="shared" si="91"/>
        <v>#REF!</v>
      </c>
      <c r="AY29" s="36">
        <f t="shared" si="92"/>
        <v>2.2250000000000001</v>
      </c>
      <c r="AZ29" s="36" t="e">
        <f>(1.6*#REF!+22)*AY29*F29^0.5</f>
        <v>#REF!</v>
      </c>
      <c r="BE29" s="4">
        <f t="shared" si="93"/>
        <v>101.8</v>
      </c>
      <c r="BF29" s="4">
        <f t="shared" si="94"/>
        <v>82.19</v>
      </c>
      <c r="BG29" s="4">
        <f t="shared" si="95"/>
        <v>101.8</v>
      </c>
      <c r="BH29" s="4">
        <f t="shared" si="96"/>
        <v>94.89</v>
      </c>
      <c r="BI29" s="4">
        <f t="shared" si="97"/>
        <v>1.0238593502859228</v>
      </c>
      <c r="BJ29" s="25">
        <f t="shared" si="98"/>
        <v>4</v>
      </c>
      <c r="BL29" s="4">
        <f t="shared" si="99"/>
        <v>101.8</v>
      </c>
      <c r="BP29" s="9"/>
      <c r="BR29" s="9"/>
      <c r="BS29" s="9"/>
      <c r="BT29" s="9">
        <f t="shared" si="100"/>
        <v>101.8</v>
      </c>
      <c r="BU29" s="9">
        <f t="shared" si="101"/>
        <v>101.8</v>
      </c>
      <c r="BV29" s="9">
        <f t="shared" si="102"/>
        <v>2.001967536137395</v>
      </c>
      <c r="BW29" s="9">
        <v>20</v>
      </c>
      <c r="BX29" s="9">
        <f t="shared" si="103"/>
        <v>0.05</v>
      </c>
      <c r="BY29" s="9">
        <f t="shared" si="104"/>
        <v>0.8</v>
      </c>
      <c r="BZ29" s="9">
        <f t="shared" si="105"/>
        <v>0.99524931562137331</v>
      </c>
      <c r="CA29" s="9">
        <f t="shared" si="106"/>
        <v>0.97375</v>
      </c>
      <c r="CB29" s="9">
        <f t="shared" si="107"/>
        <v>1.961464882399115</v>
      </c>
      <c r="CC29" s="9">
        <f t="shared" si="108"/>
        <v>4.9036622059977875</v>
      </c>
      <c r="CD29" s="9">
        <v>1</v>
      </c>
      <c r="CE29" s="9" t="e">
        <f>4*CC29*#REF!+60*CC29</f>
        <v>#REF!</v>
      </c>
      <c r="DB29" s="4">
        <f t="shared" si="109"/>
        <v>3</v>
      </c>
      <c r="DC29" s="4">
        <f t="shared" si="110"/>
        <v>285.75</v>
      </c>
      <c r="DD29" s="4" t="e">
        <f>#REF!/E29</f>
        <v>#REF!</v>
      </c>
      <c r="DF29" s="4">
        <f t="shared" si="111"/>
        <v>2.058127601073333E-5</v>
      </c>
      <c r="DG29" s="4">
        <f t="shared" si="112"/>
        <v>8.8720819696713296</v>
      </c>
      <c r="DI29" s="4">
        <f t="shared" si="149"/>
        <v>0</v>
      </c>
      <c r="DJ29" s="4">
        <f t="shared" si="150"/>
        <v>6.3372014069080933</v>
      </c>
      <c r="DK29" s="4">
        <f t="shared" si="115"/>
        <v>8.446107161096263</v>
      </c>
      <c r="DL29" s="38" t="e">
        <f t="shared" si="116"/>
        <v>#REF!</v>
      </c>
      <c r="DM29" s="4" t="e">
        <f t="shared" si="151"/>
        <v>#REF!</v>
      </c>
      <c r="DO29" s="4">
        <f t="shared" si="152"/>
        <v>430.77316912253286</v>
      </c>
      <c r="DS29" s="4">
        <f t="shared" si="118"/>
        <v>0.85</v>
      </c>
      <c r="DT29" s="4">
        <f t="shared" si="119"/>
        <v>0.7</v>
      </c>
      <c r="DU29" s="4">
        <f t="shared" si="120"/>
        <v>0.82320199640399283</v>
      </c>
      <c r="DV29" s="4">
        <f t="shared" si="121"/>
        <v>0.7</v>
      </c>
      <c r="DX29" s="4" t="e">
        <f t="shared" si="122"/>
        <v>#REF!</v>
      </c>
      <c r="DY29" s="25">
        <f t="shared" si="123"/>
        <v>411.19884151443893</v>
      </c>
      <c r="EB29" s="4">
        <f t="shared" si="75"/>
        <v>8.8720819696713296</v>
      </c>
      <c r="EC29" s="4">
        <f t="shared" si="124"/>
        <v>8.4462220351271053</v>
      </c>
      <c r="EE29" s="4">
        <f t="shared" si="125"/>
        <v>77.858162529590359</v>
      </c>
      <c r="EF29" s="4">
        <f t="shared" si="126"/>
        <v>3.0652819893539514</v>
      </c>
      <c r="EG29" s="4">
        <f t="shared" si="127"/>
        <v>0.14697780910112584</v>
      </c>
      <c r="EJ29" s="4">
        <f t="shared" si="128"/>
        <v>0.14697780910112584</v>
      </c>
      <c r="EK29" s="4">
        <f t="shared" si="129"/>
        <v>0.46404276686028506</v>
      </c>
      <c r="EL29" s="4">
        <f t="shared" si="130"/>
        <v>6.526025233208558</v>
      </c>
      <c r="EM29" s="4">
        <f t="shared" si="131"/>
        <v>7.7881042986793609</v>
      </c>
      <c r="EN29" s="4">
        <f t="shared" si="132"/>
        <v>136.45433747040965</v>
      </c>
      <c r="EO29" s="4">
        <f t="shared" si="133"/>
        <v>71.4375</v>
      </c>
      <c r="EP29" s="4">
        <f t="shared" si="134"/>
        <v>2.058127601073333E-5</v>
      </c>
      <c r="EQ29" s="4">
        <f t="shared" si="135"/>
        <v>8.1915665048717425</v>
      </c>
      <c r="ER29" s="4" t="e">
        <f t="shared" si="136"/>
        <v>#REF!</v>
      </c>
      <c r="ES29" s="4" t="e">
        <f t="shared" si="137"/>
        <v>#REF!</v>
      </c>
      <c r="ET29" s="4" t="e">
        <f t="shared" si="138"/>
        <v>#REF!</v>
      </c>
      <c r="EV29" s="4" t="e">
        <f t="shared" si="139"/>
        <v>#REF!</v>
      </c>
      <c r="FA29" s="23"/>
      <c r="FB29" s="23"/>
      <c r="FC29" s="23"/>
      <c r="FD29" s="23"/>
      <c r="FE29" s="23"/>
      <c r="FF29" s="23"/>
      <c r="FG29" s="23"/>
      <c r="FH29" s="23"/>
      <c r="FR29" s="4">
        <f t="shared" si="140"/>
        <v>1</v>
      </c>
      <c r="FS29" s="4">
        <f t="shared" si="141"/>
        <v>0.68688155922038985</v>
      </c>
      <c r="FT29" s="4">
        <f t="shared" si="142"/>
        <v>0.3</v>
      </c>
      <c r="FU29" s="4">
        <f t="shared" si="143"/>
        <v>392.73534594062755</v>
      </c>
    </row>
    <row r="30" spans="1:178" ht="12" customHeight="1" x14ac:dyDescent="0.3">
      <c r="B30" s="24"/>
      <c r="C30" s="7" t="s">
        <v>89</v>
      </c>
      <c r="D30" s="28">
        <f t="shared" si="144"/>
        <v>517.5</v>
      </c>
      <c r="E30" s="7">
        <f t="shared" si="155"/>
        <v>285.75</v>
      </c>
      <c r="F30" s="7">
        <v>33.44</v>
      </c>
      <c r="G30" s="7">
        <v>25.4</v>
      </c>
      <c r="H30" s="7">
        <v>229</v>
      </c>
      <c r="I30" s="7">
        <f t="shared" si="77"/>
        <v>101.8</v>
      </c>
      <c r="J30" s="7">
        <v>305</v>
      </c>
      <c r="K30" s="7">
        <v>0</v>
      </c>
      <c r="L30" s="7">
        <v>1</v>
      </c>
      <c r="M30" s="7">
        <v>83.24</v>
      </c>
      <c r="N30" s="7">
        <f t="shared" si="78"/>
        <v>3.7771653543307089</v>
      </c>
      <c r="O30" s="28">
        <f t="shared" si="145"/>
        <v>3.7771653543307089</v>
      </c>
      <c r="P30" s="28">
        <f t="shared" si="79"/>
        <v>8.3959536742577185</v>
      </c>
      <c r="Q30" s="7">
        <f t="shared" si="80"/>
        <v>8.3959536742577185</v>
      </c>
      <c r="R30" s="7">
        <f t="shared" si="81"/>
        <v>9.3959536742577185</v>
      </c>
      <c r="S30" s="7">
        <f t="shared" si="82"/>
        <v>77.858162529590359</v>
      </c>
      <c r="T30" s="7"/>
      <c r="U30" s="7"/>
      <c r="V30" s="7">
        <f>246.33/(PI()/4*G30^2)*1000</f>
        <v>486.13847271159506</v>
      </c>
      <c r="W30" s="7"/>
      <c r="X30" s="7"/>
      <c r="Y30" s="7">
        <v>9.5</v>
      </c>
      <c r="Z30" s="7">
        <v>3</v>
      </c>
      <c r="AA30" s="7">
        <v>76</v>
      </c>
      <c r="AB30" s="7">
        <v>3</v>
      </c>
      <c r="AC30" s="7"/>
      <c r="AD30" s="7"/>
      <c r="AE30" s="4">
        <f t="shared" si="154"/>
        <v>285.75</v>
      </c>
      <c r="AF30" s="4">
        <f t="shared" si="83"/>
        <v>0.16346312791391016</v>
      </c>
      <c r="AG30" s="25">
        <f t="shared" si="84"/>
        <v>551.25834685648249</v>
      </c>
      <c r="AH30" s="4">
        <f t="shared" si="85"/>
        <v>0.76714960629921258</v>
      </c>
      <c r="AI30" s="4">
        <v>1.25</v>
      </c>
      <c r="AJ30" s="25">
        <f t="shared" si="146"/>
        <v>5</v>
      </c>
      <c r="AK30" s="38">
        <f t="shared" si="147"/>
        <v>432.05105229491716</v>
      </c>
      <c r="AL30" s="38">
        <f t="shared" si="148"/>
        <v>432.05105229491716</v>
      </c>
      <c r="AN30" s="38">
        <f t="shared" si="86"/>
        <v>432.05105229491693</v>
      </c>
      <c r="AO30" s="38">
        <f t="shared" si="87"/>
        <v>1.0000000000000004</v>
      </c>
      <c r="AR30" s="4" t="e">
        <f>#REF!/G30*F30^0.5/0.19</f>
        <v>#REF!</v>
      </c>
      <c r="AS30" s="4">
        <f t="shared" si="88"/>
        <v>1</v>
      </c>
      <c r="AT30" s="38">
        <f t="shared" si="89"/>
        <v>731.97673670531515</v>
      </c>
      <c r="AU30" s="4">
        <f t="shared" si="90"/>
        <v>0.3</v>
      </c>
      <c r="AV30" s="4" t="e">
        <f>AU30*D30*#REF!/(D30*G30/2.75/F30^0.5)</f>
        <v>#REF!</v>
      </c>
      <c r="AW30" s="4" t="e">
        <f t="shared" si="91"/>
        <v>#REF!</v>
      </c>
      <c r="AY30" s="36">
        <f t="shared" si="92"/>
        <v>2.2250000000000001</v>
      </c>
      <c r="AZ30" s="36" t="e">
        <f>(1.6*#REF!+22)*AY30*F30^0.5</f>
        <v>#REF!</v>
      </c>
      <c r="BE30" s="4">
        <f t="shared" si="93"/>
        <v>101.8</v>
      </c>
      <c r="BF30" s="4">
        <f t="shared" si="94"/>
        <v>83.24</v>
      </c>
      <c r="BG30" s="4">
        <f t="shared" si="95"/>
        <v>101.8</v>
      </c>
      <c r="BH30" s="4">
        <f t="shared" si="96"/>
        <v>95.94</v>
      </c>
      <c r="BI30" s="4">
        <f t="shared" si="97"/>
        <v>1.0222969726093225</v>
      </c>
      <c r="BJ30" s="25">
        <f t="shared" si="98"/>
        <v>4</v>
      </c>
      <c r="BL30" s="4">
        <f t="shared" si="99"/>
        <v>101.8</v>
      </c>
      <c r="BP30" s="9"/>
      <c r="BR30" s="9"/>
      <c r="BS30" s="9"/>
      <c r="BT30" s="9">
        <f t="shared" si="100"/>
        <v>101.8</v>
      </c>
      <c r="BU30" s="9">
        <f t="shared" si="101"/>
        <v>101.8</v>
      </c>
      <c r="BV30" s="9">
        <f t="shared" si="102"/>
        <v>2.001967536137395</v>
      </c>
      <c r="BW30" s="9">
        <v>20</v>
      </c>
      <c r="BX30" s="9">
        <f t="shared" si="103"/>
        <v>0.05</v>
      </c>
      <c r="BY30" s="9">
        <f t="shared" si="104"/>
        <v>0.8</v>
      </c>
      <c r="BZ30" s="9">
        <f t="shared" si="105"/>
        <v>0.99524931562137331</v>
      </c>
      <c r="CA30" s="9">
        <f t="shared" si="106"/>
        <v>0.97375</v>
      </c>
      <c r="CB30" s="9">
        <f t="shared" si="107"/>
        <v>1.961464882399115</v>
      </c>
      <c r="CC30" s="9">
        <f t="shared" si="108"/>
        <v>4.9036622059977875</v>
      </c>
      <c r="CD30" s="9">
        <v>1</v>
      </c>
      <c r="CE30" s="9" t="e">
        <f>4*CC30*#REF!+60*CC30</f>
        <v>#REF!</v>
      </c>
      <c r="DB30" s="4">
        <f t="shared" si="109"/>
        <v>3</v>
      </c>
      <c r="DC30" s="4">
        <f t="shared" si="110"/>
        <v>285.75</v>
      </c>
      <c r="DD30" s="4" t="e">
        <f>#REF!/E30</f>
        <v>#REF!</v>
      </c>
      <c r="DF30" s="4">
        <f t="shared" si="111"/>
        <v>2.058127601073333E-5</v>
      </c>
      <c r="DG30" s="4">
        <f t="shared" si="112"/>
        <v>8.8720819696713296</v>
      </c>
      <c r="DI30" s="4">
        <f t="shared" si="149"/>
        <v>0</v>
      </c>
      <c r="DJ30" s="4">
        <f t="shared" si="150"/>
        <v>6.3372014069080933</v>
      </c>
      <c r="DK30" s="4">
        <f t="shared" si="115"/>
        <v>8.446107161096263</v>
      </c>
      <c r="DL30" s="38" t="e">
        <f t="shared" si="116"/>
        <v>#REF!</v>
      </c>
      <c r="DM30" s="4" t="e">
        <f t="shared" si="151"/>
        <v>#REF!</v>
      </c>
      <c r="DO30" s="4">
        <f t="shared" si="152"/>
        <v>432.05105229491693</v>
      </c>
      <c r="DS30" s="4">
        <f t="shared" si="118"/>
        <v>0.85</v>
      </c>
      <c r="DT30" s="4">
        <f t="shared" si="119"/>
        <v>0.7</v>
      </c>
      <c r="DU30" s="4">
        <f t="shared" si="120"/>
        <v>0.82320199640399283</v>
      </c>
      <c r="DV30" s="4">
        <f t="shared" si="121"/>
        <v>0.7</v>
      </c>
      <c r="DX30" s="4" t="e">
        <f t="shared" si="122"/>
        <v>#REF!</v>
      </c>
      <c r="DY30" s="25">
        <f t="shared" si="123"/>
        <v>411.59776307016909</v>
      </c>
      <c r="EB30" s="4">
        <f t="shared" si="75"/>
        <v>8.8720819696713296</v>
      </c>
      <c r="EC30" s="4">
        <f t="shared" si="124"/>
        <v>8.4462220351271053</v>
      </c>
      <c r="EE30" s="4">
        <f t="shared" si="125"/>
        <v>77.858162529590359</v>
      </c>
      <c r="EF30" s="4">
        <f t="shared" si="126"/>
        <v>3.0652819893539514</v>
      </c>
      <c r="EG30" s="4">
        <f t="shared" si="127"/>
        <v>0.14741381691783081</v>
      </c>
      <c r="EJ30" s="4">
        <f t="shared" si="128"/>
        <v>0.14741381691783081</v>
      </c>
      <c r="EK30" s="4">
        <f t="shared" si="129"/>
        <v>0.46541934387469186</v>
      </c>
      <c r="EL30" s="4">
        <f t="shared" si="130"/>
        <v>6.5337621011847986</v>
      </c>
      <c r="EM30" s="4">
        <f t="shared" si="131"/>
        <v>7.7913442630090861</v>
      </c>
      <c r="EN30" s="4">
        <f t="shared" si="132"/>
        <v>136.45433747040965</v>
      </c>
      <c r="EO30" s="4">
        <f t="shared" si="133"/>
        <v>71.4375</v>
      </c>
      <c r="EP30" s="4">
        <f t="shared" si="134"/>
        <v>2.058127601073333E-5</v>
      </c>
      <c r="EQ30" s="4">
        <f t="shared" si="135"/>
        <v>8.1911899729698998</v>
      </c>
      <c r="ER30" s="4" t="e">
        <f t="shared" si="136"/>
        <v>#REF!</v>
      </c>
      <c r="ES30" s="4" t="e">
        <f t="shared" si="137"/>
        <v>#REF!</v>
      </c>
      <c r="ET30" s="4" t="e">
        <f t="shared" si="138"/>
        <v>#REF!</v>
      </c>
      <c r="EV30" s="4" t="e">
        <f t="shared" si="139"/>
        <v>#REF!</v>
      </c>
      <c r="FA30" s="23"/>
      <c r="FB30" s="23"/>
      <c r="FC30" s="23"/>
      <c r="FD30" s="23"/>
      <c r="FE30" s="23"/>
      <c r="FF30" s="23"/>
      <c r="FG30" s="23"/>
      <c r="FH30" s="23"/>
      <c r="FR30" s="4">
        <f t="shared" si="140"/>
        <v>1</v>
      </c>
      <c r="FS30" s="4">
        <f t="shared" si="141"/>
        <v>0.68688155922038985</v>
      </c>
      <c r="FT30" s="4">
        <f t="shared" si="142"/>
        <v>0.3</v>
      </c>
      <c r="FU30" s="4">
        <f t="shared" si="143"/>
        <v>392.73534594062755</v>
      </c>
    </row>
    <row r="31" spans="1:178" ht="12" customHeight="1" x14ac:dyDescent="0.3">
      <c r="B31" s="24"/>
      <c r="C31" s="7" t="s">
        <v>90</v>
      </c>
      <c r="D31" s="28">
        <f t="shared" si="144"/>
        <v>517.5</v>
      </c>
      <c r="E31" s="7">
        <f t="shared" si="155"/>
        <v>285.75</v>
      </c>
      <c r="F31" s="7">
        <v>33.44</v>
      </c>
      <c r="G31" s="7">
        <v>25.4</v>
      </c>
      <c r="H31" s="7">
        <v>229</v>
      </c>
      <c r="I31" s="7">
        <f t="shared" si="77"/>
        <v>101.8</v>
      </c>
      <c r="J31" s="7">
        <v>305</v>
      </c>
      <c r="K31" s="7">
        <v>0</v>
      </c>
      <c r="L31" s="7">
        <v>1</v>
      </c>
      <c r="M31" s="7">
        <v>81.69</v>
      </c>
      <c r="N31" s="7">
        <f t="shared" si="78"/>
        <v>3.7161417322834649</v>
      </c>
      <c r="O31" s="28">
        <f t="shared" si="145"/>
        <v>3.7161417322834649</v>
      </c>
      <c r="P31" s="28">
        <f t="shared" si="79"/>
        <v>8.3959536742577185</v>
      </c>
      <c r="Q31" s="7">
        <f t="shared" si="80"/>
        <v>8.3959536742577185</v>
      </c>
      <c r="R31" s="7">
        <f t="shared" si="81"/>
        <v>9.3959536742577185</v>
      </c>
      <c r="S31" s="7">
        <f t="shared" si="82"/>
        <v>77.858162529590359</v>
      </c>
      <c r="T31" s="7"/>
      <c r="U31" s="7"/>
      <c r="V31" s="7">
        <f>225.65/(PI()/4*G31^2)*1000</f>
        <v>445.32597071965017</v>
      </c>
      <c r="W31" s="7"/>
      <c r="X31" s="7"/>
      <c r="Y31" s="7">
        <v>9.5</v>
      </c>
      <c r="Z31" s="7">
        <v>3</v>
      </c>
      <c r="AA31" s="7">
        <v>76</v>
      </c>
      <c r="AB31" s="7">
        <v>3</v>
      </c>
      <c r="AC31" s="7"/>
      <c r="AD31" s="7"/>
      <c r="AE31" s="4">
        <f t="shared" si="154"/>
        <v>285.75</v>
      </c>
      <c r="AF31" s="4">
        <f t="shared" si="83"/>
        <v>0.16298012228397571</v>
      </c>
      <c r="AG31" s="25">
        <f t="shared" si="84"/>
        <v>551.25834685648249</v>
      </c>
      <c r="AH31" s="4">
        <f t="shared" si="85"/>
        <v>0.76606474190726159</v>
      </c>
      <c r="AI31" s="4">
        <v>1.25</v>
      </c>
      <c r="AJ31" s="25">
        <f t="shared" si="146"/>
        <v>5</v>
      </c>
      <c r="AK31" s="38">
        <f t="shared" si="147"/>
        <v>430.16523569904933</v>
      </c>
      <c r="AL31" s="38">
        <f t="shared" si="148"/>
        <v>430.16523569904933</v>
      </c>
      <c r="AN31" s="38">
        <f t="shared" si="86"/>
        <v>430.16523569904911</v>
      </c>
      <c r="AO31" s="38">
        <f t="shared" si="87"/>
        <v>1.0000000000000004</v>
      </c>
      <c r="AR31" s="4" t="e">
        <f>#REF!/G31*F31^0.5/0.19</f>
        <v>#REF!</v>
      </c>
      <c r="AS31" s="4">
        <f t="shared" si="88"/>
        <v>1</v>
      </c>
      <c r="AT31" s="38">
        <f t="shared" si="89"/>
        <v>720.15097120715757</v>
      </c>
      <c r="AU31" s="4">
        <f t="shared" si="90"/>
        <v>0.3</v>
      </c>
      <c r="AV31" s="4" t="e">
        <f>AU31*D31*#REF!/(D31*G31/2.75/F31^0.5)</f>
        <v>#REF!</v>
      </c>
      <c r="AW31" s="4" t="e">
        <f t="shared" si="91"/>
        <v>#REF!</v>
      </c>
      <c r="AY31" s="36">
        <f t="shared" si="92"/>
        <v>2.2250000000000001</v>
      </c>
      <c r="AZ31" s="36" t="e">
        <f>(1.6*#REF!+22)*AY31*F31^0.5</f>
        <v>#REF!</v>
      </c>
      <c r="BE31" s="4">
        <f t="shared" si="93"/>
        <v>101.8</v>
      </c>
      <c r="BF31" s="4">
        <f t="shared" si="94"/>
        <v>81.69</v>
      </c>
      <c r="BG31" s="4">
        <f t="shared" si="95"/>
        <v>101.8</v>
      </c>
      <c r="BH31" s="4">
        <f t="shared" si="96"/>
        <v>94.39</v>
      </c>
      <c r="BI31" s="4">
        <f t="shared" si="97"/>
        <v>1.0246174562369936</v>
      </c>
      <c r="BJ31" s="25">
        <f t="shared" si="98"/>
        <v>4</v>
      </c>
      <c r="BL31" s="4">
        <f t="shared" si="99"/>
        <v>101.8</v>
      </c>
      <c r="BP31" s="9"/>
      <c r="BR31" s="9"/>
      <c r="BS31" s="9"/>
      <c r="BT31" s="9">
        <f t="shared" si="100"/>
        <v>101.8</v>
      </c>
      <c r="BU31" s="9">
        <f t="shared" si="101"/>
        <v>101.8</v>
      </c>
      <c r="BV31" s="9">
        <f t="shared" si="102"/>
        <v>2.001967536137395</v>
      </c>
      <c r="BW31" s="9">
        <v>20</v>
      </c>
      <c r="BX31" s="9">
        <f t="shared" si="103"/>
        <v>0.05</v>
      </c>
      <c r="BY31" s="9">
        <f t="shared" si="104"/>
        <v>0.8</v>
      </c>
      <c r="BZ31" s="9">
        <f t="shared" si="105"/>
        <v>0.99524931562137331</v>
      </c>
      <c r="CA31" s="9">
        <f t="shared" si="106"/>
        <v>0.97375</v>
      </c>
      <c r="CB31" s="9">
        <f t="shared" si="107"/>
        <v>1.961464882399115</v>
      </c>
      <c r="CC31" s="9">
        <f t="shared" si="108"/>
        <v>4.9036622059977875</v>
      </c>
      <c r="CD31" s="9">
        <v>1</v>
      </c>
      <c r="CE31" s="9" t="e">
        <f>4*CC31*#REF!+60*CC31</f>
        <v>#REF!</v>
      </c>
      <c r="DB31" s="4">
        <f t="shared" si="109"/>
        <v>3</v>
      </c>
      <c r="DC31" s="4">
        <f t="shared" si="110"/>
        <v>285.75</v>
      </c>
      <c r="DD31" s="4" t="e">
        <f>#REF!/E31</f>
        <v>#REF!</v>
      </c>
      <c r="DF31" s="4">
        <f t="shared" si="111"/>
        <v>2.058127601073333E-5</v>
      </c>
      <c r="DG31" s="4">
        <f t="shared" si="112"/>
        <v>8.8720819696713296</v>
      </c>
      <c r="DI31" s="4">
        <f t="shared" si="149"/>
        <v>0</v>
      </c>
      <c r="DJ31" s="4">
        <f t="shared" si="150"/>
        <v>6.3372014069080933</v>
      </c>
      <c r="DK31" s="4">
        <f t="shared" si="115"/>
        <v>8.446107161096263</v>
      </c>
      <c r="DL31" s="38" t="e">
        <f t="shared" si="116"/>
        <v>#REF!</v>
      </c>
      <c r="DM31" s="4" t="e">
        <f t="shared" si="151"/>
        <v>#REF!</v>
      </c>
      <c r="DO31" s="4">
        <f t="shared" si="152"/>
        <v>430.16523569904911</v>
      </c>
      <c r="DS31" s="4">
        <f t="shared" si="118"/>
        <v>0.85</v>
      </c>
      <c r="DT31" s="4">
        <f t="shared" si="119"/>
        <v>0.7</v>
      </c>
      <c r="DU31" s="4">
        <f t="shared" si="120"/>
        <v>0.82320199640399283</v>
      </c>
      <c r="DV31" s="4">
        <f t="shared" si="121"/>
        <v>0.7</v>
      </c>
      <c r="DX31" s="4" t="e">
        <f t="shared" si="122"/>
        <v>#REF!</v>
      </c>
      <c r="DY31" s="25">
        <f t="shared" si="123"/>
        <v>411.00887886885306</v>
      </c>
      <c r="EB31" s="4">
        <f t="shared" si="75"/>
        <v>8.8720819696713296</v>
      </c>
      <c r="EC31" s="4">
        <f t="shared" si="124"/>
        <v>8.4462220351271053</v>
      </c>
      <c r="EE31" s="4">
        <f t="shared" si="125"/>
        <v>77.858162529590359</v>
      </c>
      <c r="EF31" s="4">
        <f t="shared" si="126"/>
        <v>3.0652819893539514</v>
      </c>
      <c r="EG31" s="4">
        <f t="shared" si="127"/>
        <v>0.14677038503419751</v>
      </c>
      <c r="EJ31" s="4">
        <f t="shared" si="128"/>
        <v>0.14677038503419751</v>
      </c>
      <c r="EK31" s="4">
        <f t="shared" si="129"/>
        <v>0.46338788134716236</v>
      </c>
      <c r="EL31" s="4">
        <f t="shared" si="130"/>
        <v>6.5223397020583498</v>
      </c>
      <c r="EM31" s="4">
        <f t="shared" si="131"/>
        <v>7.7865617991761473</v>
      </c>
      <c r="EN31" s="4">
        <f t="shared" si="132"/>
        <v>136.45433747040965</v>
      </c>
      <c r="EO31" s="4">
        <f t="shared" si="133"/>
        <v>71.4375</v>
      </c>
      <c r="EP31" s="4">
        <f t="shared" si="134"/>
        <v>2.058127601073333E-5</v>
      </c>
      <c r="EQ31" s="4">
        <f t="shared" si="135"/>
        <v>8.1917458257410534</v>
      </c>
      <c r="ER31" s="4" t="e">
        <f t="shared" si="136"/>
        <v>#REF!</v>
      </c>
      <c r="ES31" s="4" t="e">
        <f t="shared" si="137"/>
        <v>#REF!</v>
      </c>
      <c r="ET31" s="4" t="e">
        <f t="shared" si="138"/>
        <v>#REF!</v>
      </c>
      <c r="EV31" s="4" t="e">
        <f t="shared" si="139"/>
        <v>#REF!</v>
      </c>
      <c r="FA31" s="23"/>
      <c r="FB31" s="23"/>
      <c r="FC31" s="23"/>
      <c r="FD31" s="23"/>
      <c r="FE31" s="23"/>
      <c r="FF31" s="23"/>
      <c r="FG31" s="23"/>
      <c r="FH31" s="23"/>
      <c r="FR31" s="4">
        <f t="shared" si="140"/>
        <v>1</v>
      </c>
      <c r="FS31" s="4">
        <f t="shared" si="141"/>
        <v>0.68688155922038985</v>
      </c>
      <c r="FT31" s="4">
        <f t="shared" si="142"/>
        <v>0.3</v>
      </c>
      <c r="FU31" s="4">
        <f t="shared" si="143"/>
        <v>392.73534594062755</v>
      </c>
    </row>
    <row r="32" spans="1:178" ht="12" customHeight="1" x14ac:dyDescent="0.3">
      <c r="B32" s="24"/>
      <c r="C32" s="7" t="s">
        <v>91</v>
      </c>
      <c r="D32" s="28">
        <f t="shared" si="144"/>
        <v>517.5</v>
      </c>
      <c r="E32" s="7">
        <f t="shared" si="155"/>
        <v>285.75</v>
      </c>
      <c r="F32" s="7">
        <v>33.44</v>
      </c>
      <c r="G32" s="7">
        <v>25.4</v>
      </c>
      <c r="H32" s="7">
        <v>229</v>
      </c>
      <c r="I32" s="7">
        <f t="shared" si="77"/>
        <v>101.8</v>
      </c>
      <c r="J32" s="7">
        <v>305</v>
      </c>
      <c r="K32" s="7">
        <v>0</v>
      </c>
      <c r="L32" s="7">
        <v>1</v>
      </c>
      <c r="M32" s="7">
        <v>53.72</v>
      </c>
      <c r="N32" s="7">
        <f t="shared" si="78"/>
        <v>2.61496062992126</v>
      </c>
      <c r="O32" s="28">
        <f t="shared" si="145"/>
        <v>2.61496062992126</v>
      </c>
      <c r="P32" s="28">
        <f t="shared" si="79"/>
        <v>8.3959536742577185</v>
      </c>
      <c r="Q32" s="7">
        <f t="shared" si="80"/>
        <v>8.3959536742577185</v>
      </c>
      <c r="R32" s="7">
        <f t="shared" si="81"/>
        <v>9.3959536742577185</v>
      </c>
      <c r="S32" s="7">
        <f t="shared" si="82"/>
        <v>77.858162529590359</v>
      </c>
      <c r="T32" s="7"/>
      <c r="U32" s="7"/>
      <c r="V32" s="7">
        <f>228.81/(PI()/4*G32^2)*1000</f>
        <v>451.56231048244251</v>
      </c>
      <c r="W32" s="7"/>
      <c r="X32" s="7"/>
      <c r="Y32" s="7">
        <v>9.5</v>
      </c>
      <c r="Z32" s="7">
        <v>3</v>
      </c>
      <c r="AA32" s="7">
        <v>76</v>
      </c>
      <c r="AB32" s="7">
        <v>3</v>
      </c>
      <c r="AC32" s="7"/>
      <c r="AD32" s="7"/>
      <c r="AE32" s="4">
        <f t="shared" si="154"/>
        <v>285.75</v>
      </c>
      <c r="AF32" s="4">
        <f t="shared" si="83"/>
        <v>0.15426420778767486</v>
      </c>
      <c r="AG32" s="25">
        <f t="shared" si="84"/>
        <v>551.25834685648249</v>
      </c>
      <c r="AH32" s="4">
        <f t="shared" si="85"/>
        <v>0.74648818897637792</v>
      </c>
      <c r="AI32" s="4">
        <v>1.25</v>
      </c>
      <c r="AJ32" s="25">
        <f t="shared" si="146"/>
        <v>5</v>
      </c>
      <c r="AK32" s="38">
        <f t="shared" si="147"/>
        <v>396.7558231737641</v>
      </c>
      <c r="AL32" s="38">
        <f t="shared" si="148"/>
        <v>396.7558231737641</v>
      </c>
      <c r="AN32" s="38">
        <f t="shared" si="86"/>
        <v>396.75582317376393</v>
      </c>
      <c r="AO32" s="38">
        <f t="shared" si="87"/>
        <v>1.0000000000000004</v>
      </c>
      <c r="AR32" s="4" t="e">
        <f>#REF!/G32*F32^0.5/0.19</f>
        <v>#REF!</v>
      </c>
      <c r="AS32" s="4">
        <f t="shared" si="88"/>
        <v>1</v>
      </c>
      <c r="AT32" s="38">
        <f t="shared" si="89"/>
        <v>506.75312541137197</v>
      </c>
      <c r="AU32" s="4">
        <f t="shared" si="90"/>
        <v>0.3</v>
      </c>
      <c r="AV32" s="4" t="e">
        <f>AU32*D32*#REF!/(D32*G32/2.75/F32^0.5)</f>
        <v>#REF!</v>
      </c>
      <c r="AW32" s="4" t="e">
        <f t="shared" si="91"/>
        <v>#REF!</v>
      </c>
      <c r="AY32" s="36">
        <f t="shared" si="92"/>
        <v>2.2250000000000001</v>
      </c>
      <c r="AZ32" s="36" t="e">
        <f>(1.6*#REF!+22)*AY32*F32^0.5</f>
        <v>#REF!</v>
      </c>
      <c r="BE32" s="4">
        <f t="shared" si="93"/>
        <v>101.8</v>
      </c>
      <c r="BF32" s="4">
        <f t="shared" si="94"/>
        <v>53.72</v>
      </c>
      <c r="BG32" s="4">
        <f t="shared" si="95"/>
        <v>101.8</v>
      </c>
      <c r="BH32" s="4">
        <f t="shared" si="96"/>
        <v>66.42</v>
      </c>
      <c r="BI32" s="4">
        <f t="shared" si="97"/>
        <v>1.0895011169024573</v>
      </c>
      <c r="BJ32" s="25">
        <f t="shared" si="98"/>
        <v>4</v>
      </c>
      <c r="BL32" s="4">
        <f t="shared" si="99"/>
        <v>101.8</v>
      </c>
      <c r="BP32" s="9"/>
      <c r="BR32" s="9"/>
      <c r="BS32" s="9"/>
      <c r="BT32" s="9">
        <f t="shared" si="100"/>
        <v>101.8</v>
      </c>
      <c r="BU32" s="9">
        <f t="shared" si="101"/>
        <v>101.8</v>
      </c>
      <c r="BV32" s="9">
        <f t="shared" si="102"/>
        <v>2.001967536137395</v>
      </c>
      <c r="BW32" s="9">
        <v>20</v>
      </c>
      <c r="BX32" s="9">
        <f t="shared" si="103"/>
        <v>0.05</v>
      </c>
      <c r="BY32" s="9">
        <f t="shared" si="104"/>
        <v>0.8</v>
      </c>
      <c r="BZ32" s="9">
        <f t="shared" si="105"/>
        <v>0.99524931562137331</v>
      </c>
      <c r="CA32" s="9">
        <f t="shared" si="106"/>
        <v>0.97375</v>
      </c>
      <c r="CB32" s="9">
        <f t="shared" si="107"/>
        <v>1.961464882399115</v>
      </c>
      <c r="CC32" s="9">
        <f t="shared" si="108"/>
        <v>4.9036622059977875</v>
      </c>
      <c r="CD32" s="9">
        <v>1</v>
      </c>
      <c r="CE32" s="9" t="e">
        <f>4*CC32*#REF!+60*CC32</f>
        <v>#REF!</v>
      </c>
      <c r="DB32" s="4">
        <f t="shared" si="109"/>
        <v>3</v>
      </c>
      <c r="DC32" s="4">
        <f t="shared" si="110"/>
        <v>285.75</v>
      </c>
      <c r="DD32" s="4" t="e">
        <f>#REF!/E32</f>
        <v>#REF!</v>
      </c>
      <c r="DF32" s="4">
        <f t="shared" si="111"/>
        <v>2.058127601073333E-5</v>
      </c>
      <c r="DG32" s="4">
        <f t="shared" si="112"/>
        <v>8.8720819696713296</v>
      </c>
      <c r="DI32" s="4">
        <f t="shared" si="149"/>
        <v>0</v>
      </c>
      <c r="DJ32" s="4">
        <f t="shared" si="150"/>
        <v>6.3372014069080933</v>
      </c>
      <c r="DK32" s="4">
        <f t="shared" si="115"/>
        <v>8.446107161096263</v>
      </c>
      <c r="DL32" s="38" t="e">
        <f t="shared" si="116"/>
        <v>#REF!</v>
      </c>
      <c r="DM32" s="4" t="e">
        <f t="shared" si="151"/>
        <v>#REF!</v>
      </c>
      <c r="DO32" s="4">
        <f t="shared" si="152"/>
        <v>396.75582317376393</v>
      </c>
      <c r="DS32" s="4">
        <f t="shared" si="118"/>
        <v>0.85</v>
      </c>
      <c r="DT32" s="4">
        <f t="shared" si="119"/>
        <v>0.7</v>
      </c>
      <c r="DU32" s="4">
        <f t="shared" si="120"/>
        <v>0.82320199640399283</v>
      </c>
      <c r="DV32" s="4">
        <f t="shared" si="121"/>
        <v>0.7</v>
      </c>
      <c r="DX32" s="4" t="e">
        <f t="shared" si="122"/>
        <v>#REF!</v>
      </c>
      <c r="DY32" s="25">
        <f t="shared" si="123"/>
        <v>400.38236847478214</v>
      </c>
      <c r="EB32" s="4">
        <f t="shared" si="75"/>
        <v>8.8720819696713296</v>
      </c>
      <c r="EC32" s="4">
        <f t="shared" si="124"/>
        <v>8.4462220351271053</v>
      </c>
      <c r="EE32" s="4">
        <f t="shared" si="125"/>
        <v>77.858162529590359</v>
      </c>
      <c r="EF32" s="4">
        <f t="shared" si="126"/>
        <v>3.0652819893539514</v>
      </c>
      <c r="EG32" s="4">
        <f t="shared" si="127"/>
        <v>0.13537124829983568</v>
      </c>
      <c r="EJ32" s="4">
        <f t="shared" si="128"/>
        <v>0.13537124829983568</v>
      </c>
      <c r="EK32" s="4">
        <f t="shared" si="129"/>
        <v>0.42739818343029867</v>
      </c>
      <c r="EL32" s="4">
        <f t="shared" si="130"/>
        <v>6.3147856649016321</v>
      </c>
      <c r="EM32" s="4">
        <f t="shared" si="131"/>
        <v>7.7006317842330088</v>
      </c>
      <c r="EN32" s="4">
        <f t="shared" si="132"/>
        <v>136.45433747040965</v>
      </c>
      <c r="EO32" s="4">
        <f t="shared" si="133"/>
        <v>71.4375</v>
      </c>
      <c r="EP32" s="4">
        <f t="shared" si="134"/>
        <v>2.058127601073333E-5</v>
      </c>
      <c r="EQ32" s="4">
        <f t="shared" si="135"/>
        <v>8.2017983392923259</v>
      </c>
      <c r="ER32" s="4" t="e">
        <f t="shared" si="136"/>
        <v>#REF!</v>
      </c>
      <c r="ES32" s="4" t="e">
        <f t="shared" si="137"/>
        <v>#REF!</v>
      </c>
      <c r="ET32" s="4" t="e">
        <f t="shared" si="138"/>
        <v>#REF!</v>
      </c>
      <c r="EV32" s="4" t="e">
        <f t="shared" si="139"/>
        <v>#REF!</v>
      </c>
      <c r="FA32" s="23"/>
      <c r="FB32" s="23"/>
      <c r="FC32" s="23"/>
      <c r="FD32" s="23"/>
      <c r="FE32" s="23"/>
      <c r="FF32" s="23"/>
      <c r="FG32" s="23"/>
      <c r="FH32" s="23"/>
      <c r="FR32" s="4">
        <f t="shared" si="140"/>
        <v>1</v>
      </c>
      <c r="FS32" s="4">
        <f t="shared" si="141"/>
        <v>0.68688155922038985</v>
      </c>
      <c r="FT32" s="4">
        <f t="shared" si="142"/>
        <v>0.3</v>
      </c>
      <c r="FU32" s="4">
        <f t="shared" si="143"/>
        <v>392.73534594062755</v>
      </c>
    </row>
    <row r="33" spans="2:178" ht="12" customHeight="1" x14ac:dyDescent="0.3">
      <c r="B33" s="24"/>
      <c r="C33" s="7" t="s">
        <v>92</v>
      </c>
      <c r="D33" s="28">
        <f t="shared" si="144"/>
        <v>517.5</v>
      </c>
      <c r="E33" s="7">
        <f t="shared" si="155"/>
        <v>285.75</v>
      </c>
      <c r="F33" s="7">
        <v>33.44</v>
      </c>
      <c r="G33" s="7">
        <v>25.4</v>
      </c>
      <c r="H33" s="7">
        <v>229</v>
      </c>
      <c r="I33" s="7">
        <f t="shared" si="77"/>
        <v>101.8</v>
      </c>
      <c r="J33" s="7">
        <v>305</v>
      </c>
      <c r="K33" s="7">
        <v>0</v>
      </c>
      <c r="L33" s="7">
        <v>1</v>
      </c>
      <c r="M33" s="7">
        <v>51.33</v>
      </c>
      <c r="N33" s="7">
        <f t="shared" si="78"/>
        <v>2.5208661417322835</v>
      </c>
      <c r="O33" s="28">
        <f t="shared" si="145"/>
        <v>2.5208661417322835</v>
      </c>
      <c r="P33" s="28">
        <f t="shared" si="79"/>
        <v>8.3959536742577185</v>
      </c>
      <c r="Q33" s="7">
        <f t="shared" si="80"/>
        <v>8.3959536742577185</v>
      </c>
      <c r="R33" s="7">
        <f t="shared" si="81"/>
        <v>9.3959536742577185</v>
      </c>
      <c r="S33" s="7">
        <f t="shared" si="82"/>
        <v>77.858162529590359</v>
      </c>
      <c r="T33" s="7"/>
      <c r="U33" s="7"/>
      <c r="V33" s="7">
        <f>226.27/(PI()/4*G33^2)*1000</f>
        <v>446.54955636931197</v>
      </c>
      <c r="W33" s="7"/>
      <c r="X33" s="7"/>
      <c r="Y33" s="7">
        <v>9.5</v>
      </c>
      <c r="Z33" s="7">
        <v>3</v>
      </c>
      <c r="AA33" s="7">
        <v>76</v>
      </c>
      <c r="AB33" s="7">
        <v>3</v>
      </c>
      <c r="AC33" s="7"/>
      <c r="AD33" s="7"/>
      <c r="AE33" s="4">
        <f t="shared" si="154"/>
        <v>285.75</v>
      </c>
      <c r="AF33" s="4">
        <f t="shared" si="83"/>
        <v>0.15351944426796946</v>
      </c>
      <c r="AG33" s="25">
        <f t="shared" si="84"/>
        <v>551.25834685648249</v>
      </c>
      <c r="AH33" s="4">
        <f t="shared" si="85"/>
        <v>0.74481539807524055</v>
      </c>
      <c r="AI33" s="4">
        <v>1.25</v>
      </c>
      <c r="AJ33" s="25">
        <f t="shared" si="146"/>
        <v>5</v>
      </c>
      <c r="AK33" s="38">
        <f t="shared" si="147"/>
        <v>393.95555790376119</v>
      </c>
      <c r="AL33" s="38">
        <f t="shared" si="148"/>
        <v>393.95555790376119</v>
      </c>
      <c r="AN33" s="38">
        <f t="shared" si="86"/>
        <v>393.95555790376096</v>
      </c>
      <c r="AO33" s="38">
        <f t="shared" si="87"/>
        <v>1.0000000000000007</v>
      </c>
      <c r="AR33" s="4" t="e">
        <f>#REF!/G33*F33^0.5/0.19</f>
        <v>#REF!</v>
      </c>
      <c r="AS33" s="4">
        <f t="shared" si="88"/>
        <v>1</v>
      </c>
      <c r="AT33" s="38">
        <f t="shared" si="89"/>
        <v>488.51855796582578</v>
      </c>
      <c r="AU33" s="4">
        <f t="shared" si="90"/>
        <v>0.3</v>
      </c>
      <c r="AV33" s="4" t="e">
        <f>AU33*D33*#REF!/(D33*G33/2.75/F33^0.5)</f>
        <v>#REF!</v>
      </c>
      <c r="AW33" s="4" t="e">
        <f t="shared" si="91"/>
        <v>#REF!</v>
      </c>
      <c r="AY33" s="36">
        <f t="shared" si="92"/>
        <v>2.2250000000000001</v>
      </c>
      <c r="AZ33" s="36" t="e">
        <f>(1.6*#REF!+22)*AY33*F33^0.5</f>
        <v>#REF!</v>
      </c>
      <c r="BE33" s="4">
        <f t="shared" si="93"/>
        <v>101.8</v>
      </c>
      <c r="BF33" s="4">
        <f t="shared" si="94"/>
        <v>51.33</v>
      </c>
      <c r="BG33" s="4">
        <f t="shared" si="95"/>
        <v>101.8</v>
      </c>
      <c r="BH33" s="4">
        <f t="shared" si="96"/>
        <v>64.03</v>
      </c>
      <c r="BI33" s="4">
        <f t="shared" si="97"/>
        <v>1.0983245665302941</v>
      </c>
      <c r="BJ33" s="25">
        <f t="shared" si="98"/>
        <v>4</v>
      </c>
      <c r="BL33" s="4">
        <f t="shared" si="99"/>
        <v>101.8</v>
      </c>
      <c r="BP33" s="9"/>
      <c r="BR33" s="9"/>
      <c r="BS33" s="9"/>
      <c r="BT33" s="9">
        <f t="shared" si="100"/>
        <v>101.8</v>
      </c>
      <c r="BU33" s="9">
        <f t="shared" si="101"/>
        <v>101.8</v>
      </c>
      <c r="BV33" s="9">
        <f t="shared" si="102"/>
        <v>2.001967536137395</v>
      </c>
      <c r="BW33" s="9">
        <v>20</v>
      </c>
      <c r="BX33" s="9">
        <f t="shared" si="103"/>
        <v>0.05</v>
      </c>
      <c r="BY33" s="9">
        <f t="shared" si="104"/>
        <v>0.8</v>
      </c>
      <c r="BZ33" s="9">
        <f t="shared" si="105"/>
        <v>0.99524931562137331</v>
      </c>
      <c r="CA33" s="9">
        <f t="shared" si="106"/>
        <v>0.97375</v>
      </c>
      <c r="CB33" s="9">
        <f t="shared" si="107"/>
        <v>1.961464882399115</v>
      </c>
      <c r="CC33" s="9">
        <f t="shared" si="108"/>
        <v>4.9036622059977875</v>
      </c>
      <c r="CD33" s="9">
        <v>1</v>
      </c>
      <c r="CE33" s="9" t="e">
        <f>4*CC33*#REF!+60*CC33</f>
        <v>#REF!</v>
      </c>
      <c r="DB33" s="4">
        <f t="shared" si="109"/>
        <v>3</v>
      </c>
      <c r="DC33" s="4">
        <f t="shared" si="110"/>
        <v>285.75</v>
      </c>
      <c r="DD33" s="4" t="e">
        <f>#REF!/E33</f>
        <v>#REF!</v>
      </c>
      <c r="DF33" s="4">
        <f t="shared" si="111"/>
        <v>2.058127601073333E-5</v>
      </c>
      <c r="DG33" s="4">
        <f t="shared" si="112"/>
        <v>8.8720819696713296</v>
      </c>
      <c r="DI33" s="4">
        <f t="shared" si="149"/>
        <v>0</v>
      </c>
      <c r="DJ33" s="4">
        <f t="shared" si="150"/>
        <v>6.3372014069080933</v>
      </c>
      <c r="DK33" s="4">
        <f t="shared" si="115"/>
        <v>8.446107161096263</v>
      </c>
      <c r="DL33" s="38" t="e">
        <f t="shared" si="116"/>
        <v>#REF!</v>
      </c>
      <c r="DM33" s="4" t="e">
        <f t="shared" si="151"/>
        <v>#REF!</v>
      </c>
      <c r="DO33" s="4">
        <f t="shared" si="152"/>
        <v>393.95555790376096</v>
      </c>
      <c r="DS33" s="4">
        <f t="shared" si="118"/>
        <v>0.85</v>
      </c>
      <c r="DT33" s="4">
        <f t="shared" si="119"/>
        <v>0.7</v>
      </c>
      <c r="DU33" s="4">
        <f t="shared" si="120"/>
        <v>0.82320199640399283</v>
      </c>
      <c r="DV33" s="4">
        <f t="shared" si="121"/>
        <v>0.7</v>
      </c>
      <c r="DX33" s="4" t="e">
        <f t="shared" si="122"/>
        <v>#REF!</v>
      </c>
      <c r="DY33" s="25">
        <f t="shared" si="123"/>
        <v>399.47434702888194</v>
      </c>
      <c r="EB33" s="4">
        <f t="shared" si="75"/>
        <v>8.8720819696713296</v>
      </c>
      <c r="EC33" s="4">
        <f t="shared" si="124"/>
        <v>8.4462220351271053</v>
      </c>
      <c r="EE33" s="4">
        <f t="shared" si="125"/>
        <v>77.858162529590359</v>
      </c>
      <c r="EF33" s="4">
        <f t="shared" si="126"/>
        <v>3.0652819893539514</v>
      </c>
      <c r="EG33" s="4">
        <f t="shared" si="127"/>
        <v>0.13441581076614395</v>
      </c>
      <c r="EJ33" s="4">
        <f t="shared" si="128"/>
        <v>0.13441581076614395</v>
      </c>
      <c r="EK33" s="4">
        <f t="shared" si="129"/>
        <v>0.42438164726468319</v>
      </c>
      <c r="EL33" s="4">
        <f t="shared" si="130"/>
        <v>6.2969201091294611</v>
      </c>
      <c r="EM33" s="4">
        <f t="shared" si="131"/>
        <v>7.6933224587384004</v>
      </c>
      <c r="EN33" s="4">
        <f t="shared" si="132"/>
        <v>136.45433747040965</v>
      </c>
      <c r="EO33" s="4">
        <f t="shared" si="133"/>
        <v>71.4375</v>
      </c>
      <c r="EP33" s="4">
        <f t="shared" si="134"/>
        <v>2.058127601073333E-5</v>
      </c>
      <c r="EQ33" s="4">
        <f t="shared" si="135"/>
        <v>8.2026593344228811</v>
      </c>
      <c r="ER33" s="4" t="e">
        <f t="shared" si="136"/>
        <v>#REF!</v>
      </c>
      <c r="ES33" s="4" t="e">
        <f t="shared" si="137"/>
        <v>#REF!</v>
      </c>
      <c r="ET33" s="4" t="e">
        <f t="shared" si="138"/>
        <v>#REF!</v>
      </c>
      <c r="EV33" s="4" t="e">
        <f t="shared" si="139"/>
        <v>#REF!</v>
      </c>
      <c r="FA33" s="23"/>
      <c r="FB33" s="23"/>
      <c r="FC33" s="23"/>
      <c r="FD33" s="23"/>
      <c r="FE33" s="23"/>
      <c r="FF33" s="23"/>
      <c r="FG33" s="23"/>
      <c r="FH33" s="23"/>
      <c r="FR33" s="4">
        <f t="shared" si="140"/>
        <v>1</v>
      </c>
      <c r="FS33" s="4">
        <f t="shared" si="141"/>
        <v>0.68688155922038985</v>
      </c>
      <c r="FT33" s="4">
        <f t="shared" si="142"/>
        <v>0.3</v>
      </c>
      <c r="FU33" s="4">
        <f t="shared" si="143"/>
        <v>392.73534594062755</v>
      </c>
    </row>
    <row r="34" spans="2:178" ht="12" customHeight="1" x14ac:dyDescent="0.3">
      <c r="B34" s="24"/>
      <c r="C34" s="7" t="s">
        <v>93</v>
      </c>
      <c r="D34" s="28">
        <f t="shared" si="144"/>
        <v>517.5</v>
      </c>
      <c r="E34" s="7">
        <f t="shared" si="155"/>
        <v>285.75</v>
      </c>
      <c r="F34" s="7">
        <v>33.44</v>
      </c>
      <c r="G34" s="7">
        <v>25.4</v>
      </c>
      <c r="H34" s="7">
        <v>229</v>
      </c>
      <c r="I34" s="7">
        <f t="shared" si="77"/>
        <v>101.8</v>
      </c>
      <c r="J34" s="7">
        <v>305</v>
      </c>
      <c r="K34" s="7">
        <v>0</v>
      </c>
      <c r="L34" s="7">
        <v>1</v>
      </c>
      <c r="M34" s="7">
        <v>52.65</v>
      </c>
      <c r="N34" s="7">
        <f t="shared" si="78"/>
        <v>2.5728346456692912</v>
      </c>
      <c r="O34" s="28">
        <f t="shared" si="145"/>
        <v>2.5728346456692912</v>
      </c>
      <c r="P34" s="28">
        <f t="shared" si="79"/>
        <v>8.3959536742577185</v>
      </c>
      <c r="Q34" s="7">
        <f t="shared" si="80"/>
        <v>8.3959536742577185</v>
      </c>
      <c r="R34" s="7">
        <f t="shared" si="81"/>
        <v>9.3959536742577185</v>
      </c>
      <c r="S34" s="7">
        <f t="shared" si="82"/>
        <v>77.858162529590359</v>
      </c>
      <c r="T34" s="7"/>
      <c r="U34" s="7"/>
      <c r="V34" s="7">
        <f>226.71/(PI()/4*G34^2)*1000</f>
        <v>447.41790747552358</v>
      </c>
      <c r="W34" s="7"/>
      <c r="X34" s="7"/>
      <c r="Y34" s="7">
        <v>9.5</v>
      </c>
      <c r="Z34" s="7">
        <v>3</v>
      </c>
      <c r="AA34" s="7">
        <v>76</v>
      </c>
      <c r="AB34" s="7">
        <v>3</v>
      </c>
      <c r="AC34" s="7"/>
      <c r="AD34" s="7"/>
      <c r="AE34" s="4">
        <f t="shared" si="154"/>
        <v>285.75</v>
      </c>
      <c r="AF34" s="4">
        <f t="shared" si="83"/>
        <v>0.15393077809475234</v>
      </c>
      <c r="AG34" s="25">
        <f t="shared" si="84"/>
        <v>551.25834685648249</v>
      </c>
      <c r="AH34" s="4">
        <f t="shared" si="85"/>
        <v>0.74573928258967626</v>
      </c>
      <c r="AI34" s="4">
        <v>1.25</v>
      </c>
      <c r="AJ34" s="25">
        <f t="shared" si="146"/>
        <v>5</v>
      </c>
      <c r="AK34" s="38">
        <f t="shared" si="147"/>
        <v>395.50108658094928</v>
      </c>
      <c r="AL34" s="38">
        <f t="shared" si="148"/>
        <v>395.50108658094928</v>
      </c>
      <c r="AN34" s="38">
        <f t="shared" si="86"/>
        <v>395.50108658094916</v>
      </c>
      <c r="AO34" s="38">
        <f t="shared" si="87"/>
        <v>1.0000000000000002</v>
      </c>
      <c r="AR34" s="4" t="e">
        <f>#REF!/G34*F34^0.5/0.19</f>
        <v>#REF!</v>
      </c>
      <c r="AS34" s="4">
        <f t="shared" si="88"/>
        <v>1</v>
      </c>
      <c r="AT34" s="38">
        <f t="shared" si="89"/>
        <v>498.58953245457928</v>
      </c>
      <c r="AU34" s="4">
        <f t="shared" si="90"/>
        <v>0.3</v>
      </c>
      <c r="AV34" s="4" t="e">
        <f>AU34*D34*#REF!/(D34*G34/2.75/F34^0.5)</f>
        <v>#REF!</v>
      </c>
      <c r="AW34" s="4" t="e">
        <f t="shared" si="91"/>
        <v>#REF!</v>
      </c>
      <c r="AY34" s="36">
        <f t="shared" si="92"/>
        <v>2.2250000000000001</v>
      </c>
      <c r="AZ34" s="36" t="e">
        <f>(1.6*#REF!+22)*AY34*F34^0.5</f>
        <v>#REF!</v>
      </c>
      <c r="BE34" s="4">
        <f t="shared" si="93"/>
        <v>101.8</v>
      </c>
      <c r="BF34" s="4">
        <f t="shared" si="94"/>
        <v>52.65</v>
      </c>
      <c r="BG34" s="4">
        <f t="shared" si="95"/>
        <v>101.8</v>
      </c>
      <c r="BH34" s="4">
        <f t="shared" si="96"/>
        <v>65.349999999999994</v>
      </c>
      <c r="BI34" s="4">
        <f t="shared" si="97"/>
        <v>1.09335232668566</v>
      </c>
      <c r="BJ34" s="25">
        <f t="shared" si="98"/>
        <v>4</v>
      </c>
      <c r="BL34" s="4">
        <f t="shared" si="99"/>
        <v>101.8</v>
      </c>
      <c r="BP34" s="9"/>
      <c r="BR34" s="9"/>
      <c r="BS34" s="9"/>
      <c r="BT34" s="9">
        <f t="shared" si="100"/>
        <v>101.8</v>
      </c>
      <c r="BU34" s="9">
        <f t="shared" si="101"/>
        <v>101.8</v>
      </c>
      <c r="BV34" s="9">
        <f t="shared" si="102"/>
        <v>2.001967536137395</v>
      </c>
      <c r="BW34" s="9">
        <v>20</v>
      </c>
      <c r="BX34" s="9">
        <f t="shared" si="103"/>
        <v>0.05</v>
      </c>
      <c r="BY34" s="9">
        <f t="shared" si="104"/>
        <v>0.8</v>
      </c>
      <c r="BZ34" s="9">
        <f t="shared" si="105"/>
        <v>0.99524931562137331</v>
      </c>
      <c r="CA34" s="9">
        <f t="shared" si="106"/>
        <v>0.97375</v>
      </c>
      <c r="CB34" s="9">
        <f t="shared" si="107"/>
        <v>1.961464882399115</v>
      </c>
      <c r="CC34" s="9">
        <f t="shared" si="108"/>
        <v>4.9036622059977875</v>
      </c>
      <c r="CD34" s="9">
        <v>1</v>
      </c>
      <c r="CE34" s="9" t="e">
        <f>4*CC34*#REF!+60*CC34</f>
        <v>#REF!</v>
      </c>
      <c r="DB34" s="4">
        <f t="shared" si="109"/>
        <v>3</v>
      </c>
      <c r="DC34" s="4">
        <f t="shared" si="110"/>
        <v>285.75</v>
      </c>
      <c r="DD34" s="4" t="e">
        <f>#REF!/E34</f>
        <v>#REF!</v>
      </c>
      <c r="DF34" s="4">
        <f t="shared" si="111"/>
        <v>2.058127601073333E-5</v>
      </c>
      <c r="DG34" s="4">
        <f t="shared" si="112"/>
        <v>8.8720819696713296</v>
      </c>
      <c r="DI34" s="4">
        <f t="shared" si="149"/>
        <v>0</v>
      </c>
      <c r="DJ34" s="4">
        <f t="shared" si="150"/>
        <v>6.3372014069080933</v>
      </c>
      <c r="DK34" s="4">
        <f t="shared" si="115"/>
        <v>8.446107161096263</v>
      </c>
      <c r="DL34" s="38" t="e">
        <f t="shared" si="116"/>
        <v>#REF!</v>
      </c>
      <c r="DM34" s="4" t="e">
        <f t="shared" si="151"/>
        <v>#REF!</v>
      </c>
      <c r="DO34" s="4">
        <f t="shared" si="152"/>
        <v>395.50108658094916</v>
      </c>
      <c r="DS34" s="4">
        <f t="shared" si="118"/>
        <v>0.85</v>
      </c>
      <c r="DT34" s="4">
        <f t="shared" si="119"/>
        <v>0.7</v>
      </c>
      <c r="DU34" s="4">
        <f t="shared" si="120"/>
        <v>0.82320199640399283</v>
      </c>
      <c r="DV34" s="4">
        <f t="shared" si="121"/>
        <v>0.7</v>
      </c>
      <c r="DX34" s="4" t="e">
        <f t="shared" si="122"/>
        <v>#REF!</v>
      </c>
      <c r="DY34" s="25">
        <f t="shared" si="123"/>
        <v>399.9758484132285</v>
      </c>
      <c r="EB34" s="4">
        <f t="shared" si="75"/>
        <v>8.8720819696713296</v>
      </c>
      <c r="EC34" s="4">
        <f t="shared" si="124"/>
        <v>8.4462220351271053</v>
      </c>
      <c r="EE34" s="4">
        <f t="shared" si="125"/>
        <v>77.858162529590359</v>
      </c>
      <c r="EF34" s="4">
        <f t="shared" si="126"/>
        <v>3.0652819893539514</v>
      </c>
      <c r="EG34" s="4">
        <f t="shared" si="127"/>
        <v>0.13494313798881846</v>
      </c>
      <c r="EJ34" s="4">
        <f t="shared" si="128"/>
        <v>0.13494313798881846</v>
      </c>
      <c r="EK34" s="4">
        <f t="shared" si="129"/>
        <v>0.42604654065877551</v>
      </c>
      <c r="EL34" s="4">
        <f t="shared" si="130"/>
        <v>6.3067898930054849</v>
      </c>
      <c r="EM34" s="4">
        <f t="shared" si="131"/>
        <v>7.6973587472627116</v>
      </c>
      <c r="EN34" s="4">
        <f t="shared" si="132"/>
        <v>136.45433747040965</v>
      </c>
      <c r="EO34" s="4">
        <f t="shared" si="133"/>
        <v>71.4375</v>
      </c>
      <c r="EP34" s="4">
        <f t="shared" si="134"/>
        <v>2.058127601073333E-5</v>
      </c>
      <c r="EQ34" s="4">
        <f t="shared" si="135"/>
        <v>8.2021837648564127</v>
      </c>
      <c r="ER34" s="4" t="e">
        <f t="shared" si="136"/>
        <v>#REF!</v>
      </c>
      <c r="ES34" s="4" t="e">
        <f t="shared" si="137"/>
        <v>#REF!</v>
      </c>
      <c r="ET34" s="4" t="e">
        <f t="shared" si="138"/>
        <v>#REF!</v>
      </c>
      <c r="EV34" s="4" t="e">
        <f t="shared" si="139"/>
        <v>#REF!</v>
      </c>
      <c r="FA34" s="23"/>
      <c r="FB34" s="23"/>
      <c r="FC34" s="23"/>
      <c r="FD34" s="23"/>
      <c r="FE34" s="23"/>
      <c r="FF34" s="23"/>
      <c r="FG34" s="23"/>
      <c r="FH34" s="23"/>
      <c r="FR34" s="4">
        <f t="shared" si="140"/>
        <v>1</v>
      </c>
      <c r="FS34" s="4">
        <f t="shared" si="141"/>
        <v>0.68688155922038985</v>
      </c>
      <c r="FT34" s="4">
        <f t="shared" si="142"/>
        <v>0.3</v>
      </c>
      <c r="FU34" s="4">
        <f t="shared" si="143"/>
        <v>392.73534594062755</v>
      </c>
    </row>
    <row r="35" spans="2:178" s="25" customFormat="1" ht="12" customHeight="1" x14ac:dyDescent="0.3">
      <c r="B35" s="26"/>
      <c r="C35" s="28" t="s">
        <v>94</v>
      </c>
      <c r="D35" s="28">
        <f t="shared" si="144"/>
        <v>517.5</v>
      </c>
      <c r="E35" s="28">
        <f t="shared" ref="E35:E37" si="156">0.5*25.4</f>
        <v>12.7</v>
      </c>
      <c r="F35" s="28">
        <v>34.659999999999997</v>
      </c>
      <c r="G35" s="28">
        <v>25.4</v>
      </c>
      <c r="H35" s="28">
        <v>229</v>
      </c>
      <c r="I35" s="28">
        <f t="shared" si="77"/>
        <v>101.8</v>
      </c>
      <c r="J35" s="28">
        <v>305</v>
      </c>
      <c r="K35" s="28">
        <v>0</v>
      </c>
      <c r="L35" s="28">
        <v>1</v>
      </c>
      <c r="M35" s="28">
        <v>73.459999999999994</v>
      </c>
      <c r="N35" s="7">
        <f t="shared" si="78"/>
        <v>3.3921259842519684</v>
      </c>
      <c r="O35" s="28">
        <f t="shared" si="145"/>
        <v>3.3921259842519684</v>
      </c>
      <c r="P35" s="28">
        <f t="shared" si="79"/>
        <v>8.3959536742577185</v>
      </c>
      <c r="Q35" s="7">
        <f t="shared" si="80"/>
        <v>8.3959536742577185</v>
      </c>
      <c r="R35" s="28">
        <f t="shared" si="81"/>
        <v>9.3959536742577185</v>
      </c>
      <c r="S35" s="28">
        <f t="shared" si="82"/>
        <v>77.858162529590359</v>
      </c>
      <c r="T35" s="28"/>
      <c r="U35" s="28"/>
      <c r="V35" s="28">
        <f>270.13/(PI()/4*G35^2)*1000</f>
        <v>533.10837345667676</v>
      </c>
      <c r="W35" s="28"/>
      <c r="X35" s="28"/>
      <c r="Y35" s="28"/>
      <c r="Z35" s="28"/>
      <c r="AA35" s="28">
        <v>1</v>
      </c>
      <c r="AB35" s="28"/>
      <c r="AC35" s="28"/>
      <c r="AD35" s="28"/>
      <c r="AE35" s="4">
        <f t="shared" si="154"/>
        <v>12.7</v>
      </c>
      <c r="AF35" s="25">
        <f t="shared" si="83"/>
        <v>1</v>
      </c>
      <c r="AG35" s="25">
        <f t="shared" si="84"/>
        <v>5.2585080853609538</v>
      </c>
      <c r="AH35" s="4">
        <f t="shared" si="85"/>
        <v>1</v>
      </c>
      <c r="AI35" s="25">
        <v>1.25</v>
      </c>
      <c r="AJ35" s="25">
        <f t="shared" si="146"/>
        <v>5</v>
      </c>
      <c r="AK35" s="38">
        <f t="shared" si="147"/>
        <v>32.865675533505964</v>
      </c>
      <c r="AL35" s="38">
        <f t="shared" si="148"/>
        <v>32.865675533505964</v>
      </c>
      <c r="AM35" s="38"/>
      <c r="AN35" s="38">
        <f t="shared" si="86"/>
        <v>1121.9869848998135</v>
      </c>
      <c r="AO35" s="38">
        <f t="shared" si="87"/>
        <v>2.929238571910945E-2</v>
      </c>
      <c r="AP35" s="38"/>
      <c r="AR35" s="25" t="e">
        <f>#REF!/G35*F35^0.5/0.19</f>
        <v>#REF!</v>
      </c>
      <c r="AS35" s="25">
        <f t="shared" si="88"/>
        <v>1</v>
      </c>
      <c r="AT35" s="38">
        <f t="shared" si="89"/>
        <v>681.34260170232233</v>
      </c>
      <c r="AU35" s="25">
        <f t="shared" si="90"/>
        <v>0.3</v>
      </c>
      <c r="AV35" s="25" t="e">
        <f>AU35*D35*#REF!/(D35*G35/2.75/F35^0.5)</f>
        <v>#REF!</v>
      </c>
      <c r="AW35" s="25" t="e">
        <f t="shared" si="91"/>
        <v>#REF!</v>
      </c>
      <c r="AY35" s="36">
        <f t="shared" si="92"/>
        <v>1.1000000000000001</v>
      </c>
      <c r="AZ35" s="36" t="e">
        <f>(1.6*#REF!+22)*AY35*F35^0.5</f>
        <v>#REF!</v>
      </c>
      <c r="BE35" s="25">
        <f t="shared" si="93"/>
        <v>101.8</v>
      </c>
      <c r="BF35" s="25">
        <f t="shared" si="94"/>
        <v>73.459999999999994</v>
      </c>
      <c r="BG35" s="25">
        <f t="shared" si="95"/>
        <v>101.8</v>
      </c>
      <c r="BH35" s="25">
        <f t="shared" si="96"/>
        <v>86.16</v>
      </c>
      <c r="BI35" s="25">
        <f t="shared" si="97"/>
        <v>1.0385788184045739</v>
      </c>
      <c r="BJ35" s="25">
        <f t="shared" si="98"/>
        <v>3.5229901966038617</v>
      </c>
      <c r="BL35" s="25">
        <f t="shared" si="99"/>
        <v>101.8</v>
      </c>
      <c r="BP35" s="29"/>
      <c r="BR35" s="29"/>
      <c r="BS35" s="29"/>
      <c r="BT35" s="29">
        <f t="shared" si="100"/>
        <v>101.8</v>
      </c>
      <c r="BU35" s="29">
        <f t="shared" si="101"/>
        <v>101.8</v>
      </c>
      <c r="BV35" s="29">
        <f t="shared" si="102"/>
        <v>2.001967536137395</v>
      </c>
      <c r="BW35" s="29">
        <v>0</v>
      </c>
      <c r="BX35" s="29">
        <f t="shared" si="103"/>
        <v>0</v>
      </c>
      <c r="BY35" s="29">
        <f t="shared" si="104"/>
        <v>0</v>
      </c>
      <c r="BZ35" s="29">
        <f t="shared" si="105"/>
        <v>0.99524931562137331</v>
      </c>
      <c r="CA35" s="29">
        <f t="shared" si="106"/>
        <v>0.97375</v>
      </c>
      <c r="CB35" s="29">
        <f t="shared" si="107"/>
        <v>1.9969246679255115</v>
      </c>
      <c r="CC35" s="29">
        <f t="shared" si="108"/>
        <v>3.9977783572988219</v>
      </c>
      <c r="CD35" s="29">
        <v>1</v>
      </c>
      <c r="CE35" s="29" t="e">
        <f>4*CC35*#REF!+60*CC35</f>
        <v>#REF!</v>
      </c>
      <c r="CG35" s="4"/>
      <c r="CH35" s="4"/>
      <c r="CI35" s="4"/>
      <c r="CJ35" s="4"/>
      <c r="CK35" s="4"/>
      <c r="CL35" s="4"/>
      <c r="CM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B35" s="4">
        <f t="shared" si="109"/>
        <v>0</v>
      </c>
      <c r="DC35" s="25">
        <f t="shared" si="110"/>
        <v>12.7</v>
      </c>
      <c r="DD35" s="25" t="e">
        <f>#REF!/E35</f>
        <v>#REF!</v>
      </c>
      <c r="DF35" s="4">
        <f t="shared" si="111"/>
        <v>9.2245380945552914E-7</v>
      </c>
      <c r="DG35" s="4">
        <f t="shared" si="112"/>
        <v>9.0324733825588019</v>
      </c>
      <c r="DH35" s="4"/>
      <c r="DI35" s="4">
        <f t="shared" si="149"/>
        <v>0</v>
      </c>
      <c r="DJ35" s="4">
        <f t="shared" si="150"/>
        <v>6.4517667018277161</v>
      </c>
      <c r="DK35" s="4">
        <f t="shared" si="115"/>
        <v>9.0395809336509103</v>
      </c>
      <c r="DL35" s="38" t="e">
        <f t="shared" si="116"/>
        <v>#REF!</v>
      </c>
      <c r="DM35" s="4" t="e">
        <f t="shared" si="151"/>
        <v>#REF!</v>
      </c>
      <c r="DN35" s="4"/>
      <c r="DO35" s="4">
        <f t="shared" si="152"/>
        <v>1121.9869848998135</v>
      </c>
      <c r="DS35" s="25">
        <f t="shared" si="118"/>
        <v>0.85</v>
      </c>
      <c r="DT35" s="25">
        <f t="shared" si="119"/>
        <v>0.7</v>
      </c>
      <c r="DU35" s="25">
        <f t="shared" si="120"/>
        <v>1</v>
      </c>
      <c r="DV35" s="25">
        <f t="shared" si="121"/>
        <v>0.7</v>
      </c>
      <c r="DX35" s="4" t="e">
        <f t="shared" si="122"/>
        <v>#REF!</v>
      </c>
      <c r="DY35" s="25">
        <f t="shared" si="123"/>
        <v>4867.4754115107617</v>
      </c>
      <c r="EB35" s="4">
        <f t="shared" si="75"/>
        <v>9.0324733825588019</v>
      </c>
      <c r="EC35" s="25">
        <f t="shared" si="124"/>
        <v>7.5734730123259153</v>
      </c>
      <c r="EE35" s="4">
        <f t="shared" si="125"/>
        <v>77.858162529590359</v>
      </c>
      <c r="EF35" s="4">
        <f t="shared" si="126"/>
        <v>3.0652819893539514</v>
      </c>
      <c r="EG35" s="4">
        <f t="shared" si="127"/>
        <v>0.37601900718293008</v>
      </c>
      <c r="EJ35" s="25">
        <f t="shared" si="128"/>
        <v>0.37601900718293008</v>
      </c>
      <c r="EK35" s="25">
        <f t="shared" si="129"/>
        <v>0.999</v>
      </c>
      <c r="EL35" s="4">
        <f t="shared" si="130"/>
        <v>9.0288593087305173</v>
      </c>
      <c r="EM35" s="25">
        <f t="shared" si="131"/>
        <v>9.0306665264387256</v>
      </c>
      <c r="EN35" s="4">
        <f t="shared" si="132"/>
        <v>0</v>
      </c>
      <c r="EO35" s="4">
        <f t="shared" si="133"/>
        <v>0</v>
      </c>
      <c r="EP35" s="25">
        <f t="shared" si="134"/>
        <v>0</v>
      </c>
      <c r="EQ35" s="25">
        <f t="shared" si="135"/>
        <v>9.0324733825588019</v>
      </c>
      <c r="ER35" s="4" t="e">
        <f t="shared" si="136"/>
        <v>#REF!</v>
      </c>
      <c r="ES35" s="4" t="e">
        <f t="shared" si="137"/>
        <v>#REF!</v>
      </c>
      <c r="ET35" s="4" t="e">
        <f t="shared" si="138"/>
        <v>#REF!</v>
      </c>
      <c r="EV35" s="4" t="e">
        <f t="shared" si="139"/>
        <v>#REF!</v>
      </c>
      <c r="FA35" s="23"/>
      <c r="FB35" s="23"/>
      <c r="FC35" s="23"/>
      <c r="FD35" s="23"/>
      <c r="FE35" s="23"/>
      <c r="FF35" s="23"/>
      <c r="FG35" s="30"/>
      <c r="FH35" s="30"/>
      <c r="FR35" s="4">
        <f t="shared" si="140"/>
        <v>1</v>
      </c>
      <c r="FS35" s="4">
        <f t="shared" si="141"/>
        <v>1.0833333333333333</v>
      </c>
      <c r="FT35" s="4">
        <f t="shared" si="142"/>
        <v>0</v>
      </c>
      <c r="FU35" s="4">
        <f t="shared" si="143"/>
        <v>11.166775737485116</v>
      </c>
      <c r="FV35" s="4"/>
    </row>
    <row r="36" spans="2:178" s="25" customFormat="1" ht="12" customHeight="1" x14ac:dyDescent="0.3">
      <c r="B36" s="26"/>
      <c r="C36" s="28" t="s">
        <v>95</v>
      </c>
      <c r="D36" s="28">
        <f t="shared" si="144"/>
        <v>517.5</v>
      </c>
      <c r="E36" s="28">
        <f t="shared" si="156"/>
        <v>12.7</v>
      </c>
      <c r="F36" s="28">
        <v>34.659999999999997</v>
      </c>
      <c r="G36" s="28">
        <v>25.4</v>
      </c>
      <c r="H36" s="28">
        <v>229</v>
      </c>
      <c r="I36" s="28">
        <f t="shared" si="77"/>
        <v>101.8</v>
      </c>
      <c r="J36" s="28">
        <v>305</v>
      </c>
      <c r="K36" s="28">
        <v>0</v>
      </c>
      <c r="L36" s="28">
        <v>1</v>
      </c>
      <c r="M36" s="28">
        <v>68.86</v>
      </c>
      <c r="N36" s="7">
        <f t="shared" si="78"/>
        <v>3.2110236220472443</v>
      </c>
      <c r="O36" s="28">
        <f t="shared" si="145"/>
        <v>3.2110236220472443</v>
      </c>
      <c r="P36" s="28">
        <f t="shared" si="79"/>
        <v>8.3959536742577185</v>
      </c>
      <c r="Q36" s="7">
        <f t="shared" si="80"/>
        <v>8.3959536742577185</v>
      </c>
      <c r="R36" s="28">
        <f t="shared" si="81"/>
        <v>9.3959536742577185</v>
      </c>
      <c r="S36" s="28">
        <f t="shared" si="82"/>
        <v>77.858162529590359</v>
      </c>
      <c r="T36" s="28"/>
      <c r="U36" s="28"/>
      <c r="V36" s="28">
        <f>262.79/(PI()/4*G36^2)*1000</f>
        <v>518.62269818487425</v>
      </c>
      <c r="W36" s="28"/>
      <c r="X36" s="28"/>
      <c r="Y36" s="28"/>
      <c r="Z36" s="28"/>
      <c r="AA36" s="28">
        <v>1</v>
      </c>
      <c r="AB36" s="28"/>
      <c r="AC36" s="28"/>
      <c r="AD36" s="28"/>
      <c r="AE36" s="4">
        <f t="shared" si="154"/>
        <v>12.7</v>
      </c>
      <c r="AF36" s="25">
        <f t="shared" si="83"/>
        <v>1</v>
      </c>
      <c r="AG36" s="25">
        <f t="shared" si="84"/>
        <v>5.2585080853609538</v>
      </c>
      <c r="AH36" s="4">
        <f t="shared" si="85"/>
        <v>1</v>
      </c>
      <c r="AI36" s="25">
        <v>1.25</v>
      </c>
      <c r="AJ36" s="25">
        <f t="shared" si="146"/>
        <v>5</v>
      </c>
      <c r="AK36" s="38">
        <f t="shared" si="147"/>
        <v>32.865675533505964</v>
      </c>
      <c r="AL36" s="38">
        <f t="shared" si="148"/>
        <v>32.865675533505964</v>
      </c>
      <c r="AM36" s="38"/>
      <c r="AN36" s="38">
        <f t="shared" si="86"/>
        <v>1035.1434290393081</v>
      </c>
      <c r="AO36" s="38">
        <f t="shared" si="87"/>
        <v>3.1749876018638122E-2</v>
      </c>
      <c r="AP36" s="38"/>
      <c r="AR36" s="25" t="e">
        <f>#REF!/G36*F36^0.5/0.19</f>
        <v>#REF!</v>
      </c>
      <c r="AS36" s="25">
        <f t="shared" si="88"/>
        <v>1</v>
      </c>
      <c r="AT36" s="38">
        <f t="shared" si="89"/>
        <v>644.96637180642313</v>
      </c>
      <c r="AU36" s="25">
        <f t="shared" si="90"/>
        <v>0.3</v>
      </c>
      <c r="AV36" s="25" t="e">
        <f>AU36*D36*#REF!/(D36*G36/2.75/F36^0.5)</f>
        <v>#REF!</v>
      </c>
      <c r="AW36" s="25" t="e">
        <f t="shared" si="91"/>
        <v>#REF!</v>
      </c>
      <c r="AY36" s="36">
        <f t="shared" si="92"/>
        <v>1.1000000000000001</v>
      </c>
      <c r="AZ36" s="36" t="e">
        <f>(1.6*#REF!+22)*AY36*F36^0.5</f>
        <v>#REF!</v>
      </c>
      <c r="BE36" s="25">
        <f t="shared" si="93"/>
        <v>101.8</v>
      </c>
      <c r="BF36" s="25">
        <f t="shared" si="94"/>
        <v>68.86</v>
      </c>
      <c r="BG36" s="25">
        <f t="shared" si="95"/>
        <v>101.8</v>
      </c>
      <c r="BH36" s="25">
        <f t="shared" si="96"/>
        <v>81.56</v>
      </c>
      <c r="BI36" s="25">
        <f t="shared" si="97"/>
        <v>1.0478361893697357</v>
      </c>
      <c r="BJ36" s="25">
        <f t="shared" si="98"/>
        <v>3.364626756102191</v>
      </c>
      <c r="BL36" s="25">
        <f t="shared" si="99"/>
        <v>101.8</v>
      </c>
      <c r="BP36" s="29"/>
      <c r="BR36" s="29"/>
      <c r="BS36" s="29"/>
      <c r="BT36" s="29">
        <f t="shared" si="100"/>
        <v>101.8</v>
      </c>
      <c r="BU36" s="29">
        <f t="shared" si="101"/>
        <v>101.8</v>
      </c>
      <c r="BV36" s="29">
        <f t="shared" si="102"/>
        <v>2.001967536137395</v>
      </c>
      <c r="BW36" s="29">
        <v>0</v>
      </c>
      <c r="BX36" s="29">
        <f t="shared" si="103"/>
        <v>0</v>
      </c>
      <c r="BY36" s="29">
        <f t="shared" si="104"/>
        <v>0</v>
      </c>
      <c r="BZ36" s="29">
        <f t="shared" si="105"/>
        <v>0.99524931562137331</v>
      </c>
      <c r="CA36" s="29">
        <f t="shared" si="106"/>
        <v>0.97375</v>
      </c>
      <c r="CB36" s="29">
        <f t="shared" si="107"/>
        <v>1.9969246679255115</v>
      </c>
      <c r="CC36" s="29">
        <f t="shared" si="108"/>
        <v>3.9977783572988219</v>
      </c>
      <c r="CD36" s="29">
        <v>1</v>
      </c>
      <c r="CE36" s="29" t="e">
        <f>4*CC36*#REF!+60*CC36</f>
        <v>#REF!</v>
      </c>
      <c r="CG36" s="4"/>
      <c r="CH36" s="4"/>
      <c r="CI36" s="4"/>
      <c r="CJ36" s="4"/>
      <c r="CK36" s="4"/>
      <c r="CL36" s="4"/>
      <c r="CM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B36" s="4">
        <f t="shared" si="109"/>
        <v>0</v>
      </c>
      <c r="DC36" s="25">
        <f t="shared" si="110"/>
        <v>12.7</v>
      </c>
      <c r="DD36" s="25" t="e">
        <f>#REF!/E36</f>
        <v>#REF!</v>
      </c>
      <c r="DF36" s="4">
        <f t="shared" si="111"/>
        <v>9.2245380945552914E-7</v>
      </c>
      <c r="DG36" s="4">
        <f t="shared" si="112"/>
        <v>9.0324733825588019</v>
      </c>
      <c r="DH36" s="4"/>
      <c r="DI36" s="4">
        <f t="shared" si="149"/>
        <v>0</v>
      </c>
      <c r="DJ36" s="4">
        <f t="shared" si="150"/>
        <v>6.4517667018277161</v>
      </c>
      <c r="DK36" s="4">
        <f t="shared" si="115"/>
        <v>9.0395809336509103</v>
      </c>
      <c r="DL36" s="38" t="e">
        <f t="shared" si="116"/>
        <v>#REF!</v>
      </c>
      <c r="DM36" s="4" t="e">
        <f t="shared" si="151"/>
        <v>#REF!</v>
      </c>
      <c r="DN36" s="4"/>
      <c r="DO36" s="4">
        <f t="shared" si="152"/>
        <v>1035.1434290393081</v>
      </c>
      <c r="DS36" s="25">
        <f t="shared" si="118"/>
        <v>0.85</v>
      </c>
      <c r="DT36" s="25">
        <f t="shared" si="119"/>
        <v>0.7</v>
      </c>
      <c r="DU36" s="25">
        <f t="shared" si="120"/>
        <v>1</v>
      </c>
      <c r="DV36" s="25">
        <f t="shared" si="121"/>
        <v>0.7</v>
      </c>
      <c r="DX36" s="4" t="e">
        <f t="shared" si="122"/>
        <v>#REF!</v>
      </c>
      <c r="DY36" s="25">
        <f t="shared" si="123"/>
        <v>4677.5815357330548</v>
      </c>
      <c r="EB36" s="4">
        <f t="shared" si="75"/>
        <v>9.0324733825588019</v>
      </c>
      <c r="EC36" s="25">
        <f t="shared" si="124"/>
        <v>7.2330345847836925</v>
      </c>
      <c r="EE36" s="4">
        <f t="shared" si="125"/>
        <v>77.858162529590359</v>
      </c>
      <c r="EF36" s="4">
        <f t="shared" si="126"/>
        <v>3.0652819893539514</v>
      </c>
      <c r="EG36" s="4">
        <f t="shared" si="127"/>
        <v>0.34691454510414893</v>
      </c>
      <c r="EJ36" s="25">
        <f t="shared" si="128"/>
        <v>0.34691454510414893</v>
      </c>
      <c r="EK36" s="25">
        <f t="shared" si="129"/>
        <v>0.999</v>
      </c>
      <c r="EL36" s="4">
        <f t="shared" si="130"/>
        <v>9.0288593087305173</v>
      </c>
      <c r="EM36" s="25">
        <f t="shared" si="131"/>
        <v>9.0306665264387256</v>
      </c>
      <c r="EN36" s="4">
        <f t="shared" si="132"/>
        <v>0</v>
      </c>
      <c r="EO36" s="4">
        <f t="shared" si="133"/>
        <v>0</v>
      </c>
      <c r="EP36" s="25">
        <f t="shared" si="134"/>
        <v>0</v>
      </c>
      <c r="EQ36" s="25">
        <f t="shared" si="135"/>
        <v>9.0324733825588019</v>
      </c>
      <c r="ER36" s="4" t="e">
        <f t="shared" si="136"/>
        <v>#REF!</v>
      </c>
      <c r="ES36" s="4" t="e">
        <f t="shared" si="137"/>
        <v>#REF!</v>
      </c>
      <c r="ET36" s="4" t="e">
        <f t="shared" si="138"/>
        <v>#REF!</v>
      </c>
      <c r="EV36" s="4" t="e">
        <f t="shared" si="139"/>
        <v>#REF!</v>
      </c>
      <c r="FA36" s="23"/>
      <c r="FB36" s="23"/>
      <c r="FC36" s="23"/>
      <c r="FD36" s="23"/>
      <c r="FE36" s="23"/>
      <c r="FF36" s="23"/>
      <c r="FG36" s="30"/>
      <c r="FH36" s="30"/>
      <c r="FR36" s="4">
        <f t="shared" si="140"/>
        <v>1</v>
      </c>
      <c r="FS36" s="4">
        <f t="shared" si="141"/>
        <v>1.0833333333333333</v>
      </c>
      <c r="FT36" s="4">
        <f t="shared" si="142"/>
        <v>0</v>
      </c>
      <c r="FU36" s="4">
        <f t="shared" si="143"/>
        <v>11.166775737485116</v>
      </c>
      <c r="FV36" s="4"/>
    </row>
    <row r="37" spans="2:178" s="25" customFormat="1" ht="12" customHeight="1" x14ac:dyDescent="0.3">
      <c r="B37" s="26"/>
      <c r="C37" s="27" t="s">
        <v>304</v>
      </c>
      <c r="D37" s="28">
        <f t="shared" si="144"/>
        <v>517.5</v>
      </c>
      <c r="E37" s="28">
        <f t="shared" si="156"/>
        <v>12.7</v>
      </c>
      <c r="F37" s="28">
        <v>34.659999999999997</v>
      </c>
      <c r="G37" s="28">
        <v>25.4</v>
      </c>
      <c r="H37" s="28">
        <v>229</v>
      </c>
      <c r="I37" s="28">
        <f t="shared" si="77"/>
        <v>101.8</v>
      </c>
      <c r="J37" s="28">
        <v>305</v>
      </c>
      <c r="K37" s="28">
        <v>0</v>
      </c>
      <c r="L37" s="28">
        <v>1</v>
      </c>
      <c r="M37" s="28">
        <v>69.16</v>
      </c>
      <c r="N37" s="7">
        <f t="shared" si="78"/>
        <v>3.2228346456692916</v>
      </c>
      <c r="O37" s="28">
        <f t="shared" si="145"/>
        <v>3.2228346456692916</v>
      </c>
      <c r="P37" s="28">
        <f t="shared" si="79"/>
        <v>8.3959536742577185</v>
      </c>
      <c r="Q37" s="7">
        <f t="shared" si="80"/>
        <v>8.3959536742577185</v>
      </c>
      <c r="R37" s="28">
        <f t="shared" si="81"/>
        <v>9.3959536742577185</v>
      </c>
      <c r="S37" s="28">
        <f t="shared" si="82"/>
        <v>77.858162529590359</v>
      </c>
      <c r="T37" s="28"/>
      <c r="U37" s="28"/>
      <c r="V37" s="28">
        <f>262.08/(PI()/4*G37^2)*1000</f>
        <v>517.22149526348721</v>
      </c>
      <c r="W37" s="28"/>
      <c r="X37" s="28"/>
      <c r="Y37" s="28"/>
      <c r="Z37" s="28"/>
      <c r="AA37" s="28">
        <v>1</v>
      </c>
      <c r="AB37" s="28"/>
      <c r="AC37" s="28"/>
      <c r="AD37" s="28"/>
      <c r="AE37" s="4">
        <f t="shared" si="154"/>
        <v>12.7</v>
      </c>
      <c r="AF37" s="25">
        <f t="shared" si="83"/>
        <v>1</v>
      </c>
      <c r="AG37" s="25">
        <f t="shared" si="84"/>
        <v>5.2585080853609538</v>
      </c>
      <c r="AH37" s="4">
        <f t="shared" si="85"/>
        <v>1</v>
      </c>
      <c r="AI37" s="25">
        <v>1.25</v>
      </c>
      <c r="AJ37" s="25">
        <f t="shared" si="146"/>
        <v>5</v>
      </c>
      <c r="AK37" s="38">
        <f t="shared" si="147"/>
        <v>32.865675533505964</v>
      </c>
      <c r="AL37" s="38">
        <f t="shared" si="148"/>
        <v>32.865675533505964</v>
      </c>
      <c r="AM37" s="38"/>
      <c r="AN37" s="38">
        <f t="shared" si="86"/>
        <v>1040.7018111455272</v>
      </c>
      <c r="AO37" s="38">
        <f t="shared" si="87"/>
        <v>3.158030012202042E-2</v>
      </c>
      <c r="AP37" s="38"/>
      <c r="AR37" s="25" t="e">
        <f>#REF!/G37*F37^0.5/0.19</f>
        <v>#REF!</v>
      </c>
      <c r="AS37" s="25">
        <f t="shared" si="88"/>
        <v>1</v>
      </c>
      <c r="AT37" s="38">
        <f t="shared" si="89"/>
        <v>647.33873462572092</v>
      </c>
      <c r="AU37" s="25">
        <f t="shared" si="90"/>
        <v>0.3</v>
      </c>
      <c r="AV37" s="25" t="e">
        <f>AU37*D37*#REF!/(D37*G37/2.75/F37^0.5)</f>
        <v>#REF!</v>
      </c>
      <c r="AW37" s="25" t="e">
        <f t="shared" si="91"/>
        <v>#REF!</v>
      </c>
      <c r="AY37" s="36">
        <f t="shared" si="92"/>
        <v>1.1000000000000001</v>
      </c>
      <c r="AZ37" s="36" t="e">
        <f>(1.6*#REF!+22)*AY37*F37^0.5</f>
        <v>#REF!</v>
      </c>
      <c r="BE37" s="25">
        <f t="shared" si="93"/>
        <v>101.8</v>
      </c>
      <c r="BF37" s="25">
        <f t="shared" si="94"/>
        <v>69.16</v>
      </c>
      <c r="BG37" s="25">
        <f t="shared" si="95"/>
        <v>101.8</v>
      </c>
      <c r="BH37" s="25">
        <f t="shared" si="96"/>
        <v>81.86</v>
      </c>
      <c r="BI37" s="25">
        <f t="shared" si="97"/>
        <v>1.0471949103528051</v>
      </c>
      <c r="BJ37" s="25">
        <f t="shared" si="98"/>
        <v>3.3749360378535678</v>
      </c>
      <c r="BL37" s="25">
        <f t="shared" si="99"/>
        <v>101.8</v>
      </c>
      <c r="BP37" s="29"/>
      <c r="BR37" s="29"/>
      <c r="BS37" s="29"/>
      <c r="BT37" s="29">
        <f t="shared" si="100"/>
        <v>101.8</v>
      </c>
      <c r="BU37" s="29">
        <f t="shared" si="101"/>
        <v>101.8</v>
      </c>
      <c r="BV37" s="29">
        <f t="shared" si="102"/>
        <v>2.001967536137395</v>
      </c>
      <c r="BW37" s="29">
        <v>0</v>
      </c>
      <c r="BX37" s="29">
        <f t="shared" si="103"/>
        <v>0</v>
      </c>
      <c r="BY37" s="29">
        <f t="shared" si="104"/>
        <v>0</v>
      </c>
      <c r="BZ37" s="29">
        <f t="shared" si="105"/>
        <v>0.99524931562137331</v>
      </c>
      <c r="CA37" s="29">
        <f t="shared" si="106"/>
        <v>0.97375</v>
      </c>
      <c r="CB37" s="29">
        <f t="shared" si="107"/>
        <v>1.9969246679255115</v>
      </c>
      <c r="CC37" s="29">
        <f t="shared" si="108"/>
        <v>3.9977783572988219</v>
      </c>
      <c r="CD37" s="29">
        <v>1</v>
      </c>
      <c r="CE37" s="29" t="e">
        <f>4*CC37*#REF!+60*CC37</f>
        <v>#REF!</v>
      </c>
      <c r="CG37" s="4"/>
      <c r="CH37" s="4"/>
      <c r="CI37" s="4"/>
      <c r="CJ37" s="4"/>
      <c r="CK37" s="4"/>
      <c r="CL37" s="4"/>
      <c r="CM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B37" s="4">
        <f t="shared" si="109"/>
        <v>0</v>
      </c>
      <c r="DC37" s="25">
        <f t="shared" si="110"/>
        <v>12.7</v>
      </c>
      <c r="DD37" s="25" t="e">
        <f>#REF!/E37</f>
        <v>#REF!</v>
      </c>
      <c r="DF37" s="4">
        <f t="shared" si="111"/>
        <v>9.2245380945552914E-7</v>
      </c>
      <c r="DG37" s="4">
        <f t="shared" si="112"/>
        <v>9.0324733825588019</v>
      </c>
      <c r="DH37" s="4"/>
      <c r="DI37" s="4">
        <f t="shared" si="149"/>
        <v>0</v>
      </c>
      <c r="DJ37" s="4">
        <f t="shared" si="150"/>
        <v>6.4517667018277161</v>
      </c>
      <c r="DK37" s="4">
        <f t="shared" si="115"/>
        <v>9.0395809336509103</v>
      </c>
      <c r="DL37" s="38" t="e">
        <f t="shared" si="116"/>
        <v>#REF!</v>
      </c>
      <c r="DM37" s="4" t="e">
        <f t="shared" si="151"/>
        <v>#REF!</v>
      </c>
      <c r="DN37" s="4"/>
      <c r="DO37" s="4">
        <f t="shared" si="152"/>
        <v>1040.7018111455272</v>
      </c>
      <c r="DS37" s="25">
        <f t="shared" si="118"/>
        <v>0.85</v>
      </c>
      <c r="DT37" s="25">
        <f t="shared" si="119"/>
        <v>0.7</v>
      </c>
      <c r="DU37" s="25">
        <f t="shared" si="120"/>
        <v>1</v>
      </c>
      <c r="DV37" s="25">
        <f t="shared" si="121"/>
        <v>0.7</v>
      </c>
      <c r="DX37" s="4" t="e">
        <f t="shared" si="122"/>
        <v>#REF!</v>
      </c>
      <c r="DY37" s="25">
        <f t="shared" si="123"/>
        <v>4689.9659189359481</v>
      </c>
      <c r="EB37" s="4">
        <f t="shared" si="75"/>
        <v>9.0324733825588019</v>
      </c>
      <c r="EC37" s="25">
        <f t="shared" si="124"/>
        <v>7.2551967432806936</v>
      </c>
      <c r="EE37" s="4">
        <f t="shared" si="125"/>
        <v>77.858162529590359</v>
      </c>
      <c r="EF37" s="4">
        <f t="shared" si="126"/>
        <v>3.0652819893539514</v>
      </c>
      <c r="EG37" s="4">
        <f t="shared" si="127"/>
        <v>0.34877736289905453</v>
      </c>
      <c r="EJ37" s="25">
        <f t="shared" si="128"/>
        <v>0.34877736289905453</v>
      </c>
      <c r="EK37" s="25">
        <f t="shared" si="129"/>
        <v>0.999</v>
      </c>
      <c r="EL37" s="4">
        <f t="shared" si="130"/>
        <v>9.0288593087305173</v>
      </c>
      <c r="EM37" s="25">
        <f t="shared" si="131"/>
        <v>9.0306665264387256</v>
      </c>
      <c r="EN37" s="4">
        <f t="shared" si="132"/>
        <v>0</v>
      </c>
      <c r="EO37" s="4">
        <f t="shared" si="133"/>
        <v>0</v>
      </c>
      <c r="EP37" s="25">
        <f t="shared" si="134"/>
        <v>0</v>
      </c>
      <c r="EQ37" s="25">
        <f t="shared" si="135"/>
        <v>9.0324733825588019</v>
      </c>
      <c r="ER37" s="4" t="e">
        <f t="shared" si="136"/>
        <v>#REF!</v>
      </c>
      <c r="ES37" s="4" t="e">
        <f t="shared" si="137"/>
        <v>#REF!</v>
      </c>
      <c r="ET37" s="4" t="e">
        <f t="shared" si="138"/>
        <v>#REF!</v>
      </c>
      <c r="EV37" s="4" t="e">
        <f t="shared" si="139"/>
        <v>#REF!</v>
      </c>
      <c r="FA37" s="23"/>
      <c r="FB37" s="23"/>
      <c r="FC37" s="23"/>
      <c r="FD37" s="23"/>
      <c r="FE37" s="23"/>
      <c r="FF37" s="23"/>
      <c r="FG37" s="30"/>
      <c r="FH37" s="30"/>
      <c r="FR37" s="4">
        <f t="shared" si="140"/>
        <v>1</v>
      </c>
      <c r="FS37" s="4">
        <f t="shared" si="141"/>
        <v>1.0833333333333333</v>
      </c>
      <c r="FT37" s="4">
        <f t="shared" si="142"/>
        <v>0</v>
      </c>
      <c r="FU37" s="4">
        <f t="shared" si="143"/>
        <v>11.166775737485116</v>
      </c>
      <c r="FV37" s="4"/>
    </row>
    <row r="38" spans="2:178" ht="12" customHeight="1" x14ac:dyDescent="0.3">
      <c r="B38" s="24"/>
      <c r="C38" s="7" t="s">
        <v>97</v>
      </c>
      <c r="D38" s="28">
        <f t="shared" si="144"/>
        <v>517.5</v>
      </c>
      <c r="E38" s="7">
        <f t="shared" ref="E38:E52" si="157">11.25*25.4</f>
        <v>285.75</v>
      </c>
      <c r="F38" s="7">
        <v>34.49</v>
      </c>
      <c r="G38" s="7">
        <v>25.4</v>
      </c>
      <c r="H38" s="7">
        <v>229</v>
      </c>
      <c r="I38" s="7">
        <f t="shared" si="77"/>
        <v>101.8</v>
      </c>
      <c r="J38" s="7">
        <v>305</v>
      </c>
      <c r="K38" s="7">
        <v>0</v>
      </c>
      <c r="L38" s="7">
        <v>1</v>
      </c>
      <c r="M38" s="7">
        <v>81.97</v>
      </c>
      <c r="N38" s="7">
        <f t="shared" si="78"/>
        <v>3.7271653543307091</v>
      </c>
      <c r="O38" s="28">
        <f t="shared" si="145"/>
        <v>3.7271653543307091</v>
      </c>
      <c r="P38" s="28">
        <f t="shared" si="79"/>
        <v>8.3959536742577185</v>
      </c>
      <c r="Q38" s="7">
        <f t="shared" si="80"/>
        <v>8.3959536742577185</v>
      </c>
      <c r="R38" s="7">
        <f t="shared" si="81"/>
        <v>9.3959536742577185</v>
      </c>
      <c r="S38" s="7">
        <f t="shared" si="82"/>
        <v>77.858162529590359</v>
      </c>
      <c r="T38" s="7"/>
      <c r="U38" s="7"/>
      <c r="V38" s="7">
        <f>265.95/(PI()/4*G38^2)*1000</f>
        <v>524.85903794766648</v>
      </c>
      <c r="W38" s="7"/>
      <c r="X38" s="7"/>
      <c r="Y38" s="7">
        <v>9.5</v>
      </c>
      <c r="Z38" s="7">
        <v>3</v>
      </c>
      <c r="AA38" s="7">
        <v>127</v>
      </c>
      <c r="AB38" s="7">
        <v>3</v>
      </c>
      <c r="AC38" s="7"/>
      <c r="AD38" s="7"/>
      <c r="AE38" s="4">
        <f t="shared" si="154"/>
        <v>285.75</v>
      </c>
      <c r="AF38" s="4">
        <f t="shared" si="83"/>
        <v>0.16306737491389939</v>
      </c>
      <c r="AG38" s="25">
        <f t="shared" si="84"/>
        <v>559.8460793819969</v>
      </c>
      <c r="AH38" s="4">
        <f t="shared" si="85"/>
        <v>0.76626071741032364</v>
      </c>
      <c r="AI38" s="4">
        <v>1.25</v>
      </c>
      <c r="AJ38" s="25">
        <f t="shared" si="146"/>
        <v>5</v>
      </c>
      <c r="AK38" s="38">
        <f t="shared" si="147"/>
        <v>437.21222848148204</v>
      </c>
      <c r="AL38" s="38">
        <f t="shared" si="148"/>
        <v>437.21222848148204</v>
      </c>
      <c r="AN38" s="38">
        <f t="shared" si="86"/>
        <v>437.2122284814817</v>
      </c>
      <c r="AO38" s="38">
        <f t="shared" si="87"/>
        <v>1.0000000000000009</v>
      </c>
      <c r="AR38" s="4" t="e">
        <f>#REF!/G38*F38^0.5/0.19</f>
        <v>#REF!</v>
      </c>
      <c r="AS38" s="4">
        <f t="shared" si="88"/>
        <v>1</v>
      </c>
      <c r="AT38" s="38">
        <f t="shared" si="89"/>
        <v>744.96671222059445</v>
      </c>
      <c r="AU38" s="4">
        <f t="shared" si="90"/>
        <v>0.3</v>
      </c>
      <c r="AV38" s="4" t="e">
        <f>AU38*D38*#REF!/(D38*G38/2.75/F38^0.5)</f>
        <v>#REF!</v>
      </c>
      <c r="AW38" s="4" t="e">
        <f t="shared" si="91"/>
        <v>#REF!</v>
      </c>
      <c r="AY38" s="36">
        <f t="shared" si="92"/>
        <v>1.8910467582857926</v>
      </c>
      <c r="AZ38" s="36" t="e">
        <f>(1.6*#REF!+22)*AY38*F38^0.5</f>
        <v>#REF!</v>
      </c>
      <c r="BE38" s="4">
        <f t="shared" si="93"/>
        <v>101.8</v>
      </c>
      <c r="BF38" s="4">
        <f t="shared" si="94"/>
        <v>81.97</v>
      </c>
      <c r="BG38" s="4">
        <f t="shared" si="95"/>
        <v>101.8</v>
      </c>
      <c r="BH38" s="4">
        <f t="shared" si="96"/>
        <v>94.67</v>
      </c>
      <c r="BI38" s="4">
        <f t="shared" si="97"/>
        <v>1.0241917774795657</v>
      </c>
      <c r="BJ38" s="25">
        <f t="shared" si="98"/>
        <v>4</v>
      </c>
      <c r="BL38" s="4">
        <f t="shared" si="99"/>
        <v>101.8</v>
      </c>
      <c r="BP38" s="9"/>
      <c r="BR38" s="9"/>
      <c r="BS38" s="9"/>
      <c r="BT38" s="9">
        <f t="shared" si="100"/>
        <v>101.8</v>
      </c>
      <c r="BU38" s="9">
        <f t="shared" si="101"/>
        <v>101.8</v>
      </c>
      <c r="BV38" s="9">
        <f t="shared" si="102"/>
        <v>2.001967536137395</v>
      </c>
      <c r="BW38" s="9">
        <v>20</v>
      </c>
      <c r="BX38" s="9">
        <f t="shared" si="103"/>
        <v>0.05</v>
      </c>
      <c r="BY38" s="9">
        <f t="shared" si="104"/>
        <v>0.8</v>
      </c>
      <c r="BZ38" s="9">
        <f t="shared" si="105"/>
        <v>0.99524931562137331</v>
      </c>
      <c r="CA38" s="9">
        <f t="shared" si="106"/>
        <v>0.97375</v>
      </c>
      <c r="CB38" s="9">
        <f t="shared" si="107"/>
        <v>1.9920214007072519</v>
      </c>
      <c r="CC38" s="9">
        <f t="shared" si="108"/>
        <v>4.98005350176813</v>
      </c>
      <c r="CD38" s="9">
        <v>1</v>
      </c>
      <c r="CE38" s="9" t="e">
        <f>4*CC38*#REF!+60*CC38</f>
        <v>#REF!</v>
      </c>
      <c r="DB38" s="4">
        <f t="shared" si="109"/>
        <v>3</v>
      </c>
      <c r="DC38" s="4">
        <f t="shared" si="110"/>
        <v>285.75</v>
      </c>
      <c r="DD38" s="4" t="e">
        <f>#REF!/E38</f>
        <v>#REF!</v>
      </c>
      <c r="DF38" s="4">
        <f t="shared" si="111"/>
        <v>2.0730984622674179E-5</v>
      </c>
      <c r="DG38" s="4">
        <f t="shared" si="112"/>
        <v>9.0102949642399413</v>
      </c>
      <c r="DI38" s="4">
        <f t="shared" si="149"/>
        <v>0</v>
      </c>
      <c r="DJ38" s="4">
        <f t="shared" si="150"/>
        <v>6.4359249744571017</v>
      </c>
      <c r="DK38" s="4">
        <f t="shared" si="115"/>
        <v>8.5678797379957317</v>
      </c>
      <c r="DL38" s="38" t="e">
        <f t="shared" si="116"/>
        <v>#REF!</v>
      </c>
      <c r="DM38" s="4" t="e">
        <f t="shared" si="151"/>
        <v>#REF!</v>
      </c>
      <c r="DO38" s="4">
        <f t="shared" si="152"/>
        <v>437.2122284814817</v>
      </c>
      <c r="DS38" s="4">
        <f t="shared" si="118"/>
        <v>0.85</v>
      </c>
      <c r="DT38" s="4">
        <f t="shared" si="119"/>
        <v>0.7</v>
      </c>
      <c r="DU38" s="4">
        <f t="shared" si="120"/>
        <v>0.82320199640399283</v>
      </c>
      <c r="DV38" s="4">
        <f t="shared" si="121"/>
        <v>0.7</v>
      </c>
      <c r="DX38" s="4" t="e">
        <f t="shared" si="122"/>
        <v>#REF!</v>
      </c>
      <c r="DY38" s="25">
        <f t="shared" si="123"/>
        <v>417.51978296586339</v>
      </c>
      <c r="EB38" s="4">
        <f t="shared" si="75"/>
        <v>9.0102949642399413</v>
      </c>
      <c r="EC38" s="4">
        <f t="shared" si="124"/>
        <v>8.5778008059564232</v>
      </c>
      <c r="EE38" s="4">
        <f t="shared" si="125"/>
        <v>77.858162529590359</v>
      </c>
      <c r="EF38" s="4">
        <f t="shared" si="126"/>
        <v>3.0652819893539514</v>
      </c>
      <c r="EG38" s="4">
        <f t="shared" si="127"/>
        <v>0.14688652671799926</v>
      </c>
      <c r="EH38" s="4">
        <f>DC38</f>
        <v>285.75</v>
      </c>
      <c r="EI38" s="4" t="e">
        <f>EE38+ES38+ET38</f>
        <v>#REF!</v>
      </c>
      <c r="EJ38" s="4">
        <f t="shared" si="128"/>
        <v>0.14688652671799926</v>
      </c>
      <c r="EK38" s="4">
        <f t="shared" si="129"/>
        <v>0.45664082606037759</v>
      </c>
      <c r="EL38" s="4">
        <f t="shared" si="130"/>
        <v>6.58519899538069</v>
      </c>
      <c r="EM38" s="4">
        <f t="shared" si="131"/>
        <v>7.8916811030629992</v>
      </c>
      <c r="EN38" s="4">
        <f t="shared" si="132"/>
        <v>136.45433747040965</v>
      </c>
      <c r="EO38" s="4">
        <f t="shared" si="133"/>
        <v>71.4375</v>
      </c>
      <c r="EP38" s="4">
        <f t="shared" si="134"/>
        <v>2.0730984622674179E-5</v>
      </c>
      <c r="EQ38" s="4">
        <f t="shared" si="135"/>
        <v>8.305627695351431</v>
      </c>
      <c r="ER38" s="4" t="e">
        <f t="shared" si="136"/>
        <v>#REF!</v>
      </c>
      <c r="ES38" s="4" t="e">
        <f t="shared" si="137"/>
        <v>#REF!</v>
      </c>
      <c r="ET38" s="4" t="e">
        <f t="shared" si="138"/>
        <v>#REF!</v>
      </c>
      <c r="EV38" s="4" t="e">
        <f t="shared" si="139"/>
        <v>#REF!</v>
      </c>
      <c r="FA38" s="23"/>
      <c r="FB38" s="23"/>
      <c r="FC38" s="23"/>
      <c r="FD38" s="23"/>
      <c r="FE38" s="23"/>
      <c r="FF38" s="23"/>
      <c r="FG38" s="23"/>
      <c r="FH38" s="23"/>
      <c r="FR38" s="4">
        <f t="shared" si="140"/>
        <v>1</v>
      </c>
      <c r="FS38" s="4">
        <f t="shared" si="141"/>
        <v>0.68688155922038985</v>
      </c>
      <c r="FT38" s="4">
        <f t="shared" si="142"/>
        <v>0.3</v>
      </c>
      <c r="FU38" s="4">
        <f t="shared" si="143"/>
        <v>395.78262141162713</v>
      </c>
    </row>
    <row r="39" spans="2:178" ht="12" customHeight="1" x14ac:dyDescent="0.3">
      <c r="B39" s="24"/>
      <c r="C39" s="7" t="s">
        <v>98</v>
      </c>
      <c r="D39" s="28">
        <f t="shared" si="144"/>
        <v>517.5</v>
      </c>
      <c r="E39" s="7">
        <f t="shared" si="157"/>
        <v>285.75</v>
      </c>
      <c r="F39" s="7">
        <v>34.49</v>
      </c>
      <c r="G39" s="7">
        <v>25.4</v>
      </c>
      <c r="H39" s="7">
        <v>229</v>
      </c>
      <c r="I39" s="7">
        <f t="shared" si="77"/>
        <v>101.8</v>
      </c>
      <c r="J39" s="7">
        <v>305</v>
      </c>
      <c r="K39" s="7">
        <v>0</v>
      </c>
      <c r="L39" s="7">
        <v>1</v>
      </c>
      <c r="M39" s="7">
        <v>80.06</v>
      </c>
      <c r="N39" s="7">
        <f t="shared" si="78"/>
        <v>3.6519685039370082</v>
      </c>
      <c r="O39" s="28">
        <f t="shared" si="145"/>
        <v>3.6519685039370082</v>
      </c>
      <c r="P39" s="28">
        <f t="shared" si="79"/>
        <v>8.3959536742577185</v>
      </c>
      <c r="Q39" s="7">
        <f t="shared" si="80"/>
        <v>8.3959536742577185</v>
      </c>
      <c r="R39" s="7">
        <f t="shared" si="81"/>
        <v>9.3959536742577185</v>
      </c>
      <c r="S39" s="7">
        <f t="shared" si="82"/>
        <v>77.858162529590359</v>
      </c>
      <c r="T39" s="7"/>
      <c r="U39" s="7"/>
      <c r="V39" s="7">
        <f>255.8/(PI()/4*G39^2)*1000</f>
        <v>504.82775674755823</v>
      </c>
      <c r="W39" s="7"/>
      <c r="X39" s="7"/>
      <c r="Y39" s="7">
        <v>9.5</v>
      </c>
      <c r="Z39" s="7">
        <v>3</v>
      </c>
      <c r="AA39" s="7">
        <v>127</v>
      </c>
      <c r="AB39" s="7">
        <v>3</v>
      </c>
      <c r="AC39" s="7"/>
      <c r="AD39" s="7"/>
      <c r="AE39" s="4">
        <f t="shared" si="154"/>
        <v>285.75</v>
      </c>
      <c r="AF39" s="4">
        <f t="shared" si="83"/>
        <v>0.16247218733120594</v>
      </c>
      <c r="AG39" s="25">
        <f t="shared" si="84"/>
        <v>559.8460793819969</v>
      </c>
      <c r="AH39" s="4">
        <f t="shared" si="85"/>
        <v>0.7649238845144356</v>
      </c>
      <c r="AI39" s="4">
        <v>1.25</v>
      </c>
      <c r="AJ39" s="25">
        <f t="shared" si="146"/>
        <v>5</v>
      </c>
      <c r="AK39" s="38">
        <f t="shared" si="147"/>
        <v>434.85644156616553</v>
      </c>
      <c r="AL39" s="38">
        <f t="shared" si="148"/>
        <v>434.85644156616553</v>
      </c>
      <c r="AN39" s="38">
        <f t="shared" si="86"/>
        <v>434.85644156616524</v>
      </c>
      <c r="AO39" s="38">
        <f t="shared" si="87"/>
        <v>1.0000000000000007</v>
      </c>
      <c r="AR39" s="4" t="e">
        <f>#REF!/G39*F39^0.5/0.19</f>
        <v>#REF!</v>
      </c>
      <c r="AS39" s="4">
        <f t="shared" si="88"/>
        <v>1</v>
      </c>
      <c r="AT39" s="38">
        <f t="shared" si="89"/>
        <v>729.93675108885964</v>
      </c>
      <c r="AU39" s="4">
        <f t="shared" si="90"/>
        <v>0.3</v>
      </c>
      <c r="AV39" s="4" t="e">
        <f>AU39*D39*#REF!/(D39*G39/2.75/F39^0.5)</f>
        <v>#REF!</v>
      </c>
      <c r="AW39" s="4" t="e">
        <f t="shared" si="91"/>
        <v>#REF!</v>
      </c>
      <c r="AY39" s="36">
        <f t="shared" si="92"/>
        <v>1.8910467582857926</v>
      </c>
      <c r="AZ39" s="36" t="e">
        <f>(1.6*#REF!+22)*AY39*F39^0.5</f>
        <v>#REF!</v>
      </c>
      <c r="BE39" s="4">
        <f t="shared" si="93"/>
        <v>101.8</v>
      </c>
      <c r="BF39" s="4">
        <f t="shared" si="94"/>
        <v>80.06</v>
      </c>
      <c r="BG39" s="4">
        <f t="shared" si="95"/>
        <v>101.8</v>
      </c>
      <c r="BH39" s="4">
        <f t="shared" si="96"/>
        <v>92.76</v>
      </c>
      <c r="BI39" s="4">
        <f t="shared" si="97"/>
        <v>1.0271546340244817</v>
      </c>
      <c r="BJ39" s="25">
        <f t="shared" si="98"/>
        <v>4</v>
      </c>
      <c r="BL39" s="4">
        <f t="shared" si="99"/>
        <v>101.8</v>
      </c>
      <c r="BP39" s="9"/>
      <c r="BR39" s="9"/>
      <c r="BS39" s="9"/>
      <c r="BT39" s="9">
        <f t="shared" si="100"/>
        <v>101.8</v>
      </c>
      <c r="BU39" s="9">
        <f t="shared" si="101"/>
        <v>101.8</v>
      </c>
      <c r="BV39" s="9">
        <f t="shared" si="102"/>
        <v>2.001967536137395</v>
      </c>
      <c r="BW39" s="9">
        <v>20</v>
      </c>
      <c r="BX39" s="9">
        <f t="shared" si="103"/>
        <v>0.05</v>
      </c>
      <c r="BY39" s="9">
        <f t="shared" si="104"/>
        <v>0.8</v>
      </c>
      <c r="BZ39" s="9">
        <f t="shared" si="105"/>
        <v>0.99524931562137331</v>
      </c>
      <c r="CA39" s="9">
        <f t="shared" si="106"/>
        <v>0.97375</v>
      </c>
      <c r="CB39" s="9">
        <f t="shared" si="107"/>
        <v>1.9920214007072519</v>
      </c>
      <c r="CC39" s="9">
        <f t="shared" si="108"/>
        <v>4.98005350176813</v>
      </c>
      <c r="CD39" s="9">
        <v>1</v>
      </c>
      <c r="CE39" s="9" t="e">
        <f>4*CC39*#REF!+60*CC39</f>
        <v>#REF!</v>
      </c>
      <c r="DB39" s="4">
        <f t="shared" si="109"/>
        <v>3</v>
      </c>
      <c r="DC39" s="4">
        <f t="shared" si="110"/>
        <v>285.75</v>
      </c>
      <c r="DD39" s="4" t="e">
        <f>#REF!/E39</f>
        <v>#REF!</v>
      </c>
      <c r="DF39" s="4">
        <f t="shared" si="111"/>
        <v>2.0730984622674179E-5</v>
      </c>
      <c r="DG39" s="4">
        <f t="shared" si="112"/>
        <v>9.0102949642399413</v>
      </c>
      <c r="DI39" s="4">
        <f t="shared" si="149"/>
        <v>0</v>
      </c>
      <c r="DJ39" s="4">
        <f t="shared" si="150"/>
        <v>6.4359249744571017</v>
      </c>
      <c r="DK39" s="4">
        <f t="shared" si="115"/>
        <v>8.5678797379957317</v>
      </c>
      <c r="DL39" s="38" t="e">
        <f t="shared" si="116"/>
        <v>#REF!</v>
      </c>
      <c r="DM39" s="4" t="e">
        <f t="shared" si="151"/>
        <v>#REF!</v>
      </c>
      <c r="DO39" s="4">
        <f t="shared" si="152"/>
        <v>434.85644156616524</v>
      </c>
      <c r="DS39" s="4">
        <f t="shared" si="118"/>
        <v>0.85</v>
      </c>
      <c r="DT39" s="4">
        <f t="shared" si="119"/>
        <v>0.7</v>
      </c>
      <c r="DU39" s="4">
        <f t="shared" si="120"/>
        <v>0.82320199640399283</v>
      </c>
      <c r="DV39" s="4">
        <f t="shared" si="121"/>
        <v>0.7</v>
      </c>
      <c r="DX39" s="4" t="e">
        <f t="shared" si="122"/>
        <v>#REF!</v>
      </c>
      <c r="DY39" s="25">
        <f t="shared" si="123"/>
        <v>416.78282106744894</v>
      </c>
      <c r="EB39" s="4">
        <f t="shared" si="75"/>
        <v>9.0102949642399413</v>
      </c>
      <c r="EC39" s="4">
        <f t="shared" si="124"/>
        <v>8.5778008059564232</v>
      </c>
      <c r="EE39" s="4">
        <f t="shared" si="125"/>
        <v>77.858162529590359</v>
      </c>
      <c r="EF39" s="4">
        <f t="shared" si="126"/>
        <v>3.0652819893539514</v>
      </c>
      <c r="EG39" s="4">
        <f t="shared" si="127"/>
        <v>0.14609507273950373</v>
      </c>
      <c r="EJ39" s="4">
        <f t="shared" si="128"/>
        <v>0.14609507273950373</v>
      </c>
      <c r="EK39" s="4">
        <f t="shared" si="129"/>
        <v>0.45418035397621681</v>
      </c>
      <c r="EL39" s="4">
        <f t="shared" si="130"/>
        <v>6.5709830392821145</v>
      </c>
      <c r="EM39" s="4">
        <f t="shared" si="131"/>
        <v>7.8857596557302916</v>
      </c>
      <c r="EN39" s="4">
        <f t="shared" si="132"/>
        <v>136.45433747040965</v>
      </c>
      <c r="EO39" s="4">
        <f t="shared" si="133"/>
        <v>71.4375</v>
      </c>
      <c r="EP39" s="4">
        <f t="shared" si="134"/>
        <v>2.0730984622674179E-5</v>
      </c>
      <c r="EQ39" s="4">
        <f t="shared" si="135"/>
        <v>8.3063336283618412</v>
      </c>
      <c r="ER39" s="4" t="e">
        <f t="shared" si="136"/>
        <v>#REF!</v>
      </c>
      <c r="ES39" s="4" t="e">
        <f t="shared" si="137"/>
        <v>#REF!</v>
      </c>
      <c r="ET39" s="4" t="e">
        <f t="shared" si="138"/>
        <v>#REF!</v>
      </c>
      <c r="EV39" s="4" t="e">
        <f t="shared" si="139"/>
        <v>#REF!</v>
      </c>
      <c r="FA39" s="23"/>
      <c r="FB39" s="23"/>
      <c r="FC39" s="23"/>
      <c r="FD39" s="23"/>
      <c r="FE39" s="23"/>
      <c r="FF39" s="23"/>
      <c r="FG39" s="23"/>
      <c r="FH39" s="23"/>
      <c r="FR39" s="4">
        <f t="shared" si="140"/>
        <v>1</v>
      </c>
      <c r="FS39" s="4">
        <f t="shared" si="141"/>
        <v>0.68688155922038985</v>
      </c>
      <c r="FT39" s="4">
        <f t="shared" si="142"/>
        <v>0.3</v>
      </c>
      <c r="FU39" s="4">
        <f t="shared" si="143"/>
        <v>395.78262141162713</v>
      </c>
    </row>
    <row r="40" spans="2:178" ht="12" customHeight="1" x14ac:dyDescent="0.3">
      <c r="B40" s="24"/>
      <c r="C40" s="7" t="s">
        <v>99</v>
      </c>
      <c r="D40" s="28">
        <f t="shared" si="144"/>
        <v>517.5</v>
      </c>
      <c r="E40" s="7">
        <f t="shared" si="157"/>
        <v>285.75</v>
      </c>
      <c r="F40" s="7">
        <v>34.49</v>
      </c>
      <c r="G40" s="7">
        <v>25.4</v>
      </c>
      <c r="H40" s="7">
        <v>229</v>
      </c>
      <c r="I40" s="7">
        <f t="shared" si="77"/>
        <v>101.8</v>
      </c>
      <c r="J40" s="7">
        <v>305</v>
      </c>
      <c r="K40" s="7">
        <v>0</v>
      </c>
      <c r="L40" s="7">
        <v>1</v>
      </c>
      <c r="M40" s="7">
        <v>82.4</v>
      </c>
      <c r="N40" s="7">
        <f t="shared" si="78"/>
        <v>3.7440944881889768</v>
      </c>
      <c r="O40" s="28">
        <f t="shared" si="145"/>
        <v>3.7440944881889768</v>
      </c>
      <c r="P40" s="28">
        <f t="shared" si="79"/>
        <v>8.3959536742577185</v>
      </c>
      <c r="Q40" s="7">
        <f t="shared" si="80"/>
        <v>8.3959536742577185</v>
      </c>
      <c r="R40" s="7">
        <f t="shared" si="81"/>
        <v>9.3959536742577185</v>
      </c>
      <c r="S40" s="7">
        <f t="shared" si="82"/>
        <v>77.858162529590359</v>
      </c>
      <c r="T40" s="7"/>
      <c r="U40" s="7"/>
      <c r="V40" s="7">
        <f>246.02/(PI()/4*G40^2)*1000</f>
        <v>485.52667988676416</v>
      </c>
      <c r="W40" s="7"/>
      <c r="X40" s="7"/>
      <c r="Y40" s="7">
        <v>9.5</v>
      </c>
      <c r="Z40" s="7">
        <v>3</v>
      </c>
      <c r="AA40" s="7">
        <v>127</v>
      </c>
      <c r="AB40" s="7">
        <v>3</v>
      </c>
      <c r="AC40" s="7"/>
      <c r="AD40" s="7"/>
      <c r="AE40" s="4">
        <f t="shared" si="154"/>
        <v>285.75</v>
      </c>
      <c r="AF40" s="4">
        <f t="shared" si="83"/>
        <v>0.16320137002413923</v>
      </c>
      <c r="AG40" s="25">
        <f t="shared" si="84"/>
        <v>559.8460793819969</v>
      </c>
      <c r="AH40" s="4">
        <f t="shared" si="85"/>
        <v>0.76656167979002621</v>
      </c>
      <c r="AI40" s="4">
        <v>1.25</v>
      </c>
      <c r="AJ40" s="25">
        <f t="shared" si="146"/>
        <v>5</v>
      </c>
      <c r="AK40" s="38">
        <f t="shared" si="147"/>
        <v>437.74335677333755</v>
      </c>
      <c r="AL40" s="38">
        <f t="shared" si="148"/>
        <v>437.74335677333755</v>
      </c>
      <c r="AN40" s="38">
        <f t="shared" si="86"/>
        <v>437.74335677333738</v>
      </c>
      <c r="AO40" s="38">
        <f t="shared" si="87"/>
        <v>1.0000000000000004</v>
      </c>
      <c r="AR40" s="4" t="e">
        <f>#REF!/G40*F40^0.5/0.19</f>
        <v>#REF!</v>
      </c>
      <c r="AS40" s="4">
        <f t="shared" si="88"/>
        <v>1</v>
      </c>
      <c r="AT40" s="38">
        <f t="shared" si="89"/>
        <v>748.35042074763419</v>
      </c>
      <c r="AU40" s="4">
        <f t="shared" si="90"/>
        <v>0.3</v>
      </c>
      <c r="AV40" s="4" t="e">
        <f>AU40*D40*#REF!/(D40*G40/2.75/F40^0.5)</f>
        <v>#REF!</v>
      </c>
      <c r="AW40" s="4" t="e">
        <f t="shared" si="91"/>
        <v>#REF!</v>
      </c>
      <c r="AY40" s="36">
        <f t="shared" si="92"/>
        <v>1.8910467582857926</v>
      </c>
      <c r="AZ40" s="36" t="e">
        <f>(1.6*#REF!+22)*AY40*F40^0.5</f>
        <v>#REF!</v>
      </c>
      <c r="BE40" s="4">
        <f t="shared" si="93"/>
        <v>101.8</v>
      </c>
      <c r="BF40" s="4">
        <f t="shared" si="94"/>
        <v>82.4</v>
      </c>
      <c r="BG40" s="4">
        <f t="shared" si="95"/>
        <v>101.8</v>
      </c>
      <c r="BH40" s="4">
        <f t="shared" si="96"/>
        <v>95.100000000000009</v>
      </c>
      <c r="BI40" s="4">
        <f t="shared" si="97"/>
        <v>1.0235436893203884</v>
      </c>
      <c r="BJ40" s="25">
        <f t="shared" si="98"/>
        <v>4</v>
      </c>
      <c r="BL40" s="4">
        <f t="shared" si="99"/>
        <v>101.8</v>
      </c>
      <c r="BP40" s="9"/>
      <c r="BR40" s="9"/>
      <c r="BS40" s="9"/>
      <c r="BT40" s="9">
        <f t="shared" si="100"/>
        <v>101.8</v>
      </c>
      <c r="BU40" s="9">
        <f t="shared" si="101"/>
        <v>101.8</v>
      </c>
      <c r="BV40" s="9">
        <f t="shared" si="102"/>
        <v>2.001967536137395</v>
      </c>
      <c r="BW40" s="9">
        <v>20</v>
      </c>
      <c r="BX40" s="9">
        <f t="shared" si="103"/>
        <v>0.05</v>
      </c>
      <c r="BY40" s="9">
        <f t="shared" si="104"/>
        <v>0.8</v>
      </c>
      <c r="BZ40" s="9">
        <f t="shared" si="105"/>
        <v>0.99524931562137331</v>
      </c>
      <c r="CA40" s="9">
        <f t="shared" si="106"/>
        <v>0.97375</v>
      </c>
      <c r="CB40" s="9">
        <f t="shared" si="107"/>
        <v>1.9920214007072519</v>
      </c>
      <c r="CC40" s="9">
        <f t="shared" si="108"/>
        <v>4.98005350176813</v>
      </c>
      <c r="CD40" s="9">
        <v>1</v>
      </c>
      <c r="CE40" s="9" t="e">
        <f>4*CC40*#REF!+60*CC40</f>
        <v>#REF!</v>
      </c>
      <c r="DB40" s="4">
        <f t="shared" si="109"/>
        <v>3</v>
      </c>
      <c r="DC40" s="4">
        <f t="shared" si="110"/>
        <v>285.75</v>
      </c>
      <c r="DD40" s="4" t="e">
        <f>#REF!/E40</f>
        <v>#REF!</v>
      </c>
      <c r="DF40" s="4">
        <f t="shared" si="111"/>
        <v>2.0730984622674179E-5</v>
      </c>
      <c r="DG40" s="4">
        <f t="shared" si="112"/>
        <v>9.0102949642399413</v>
      </c>
      <c r="DI40" s="4">
        <f t="shared" si="149"/>
        <v>0</v>
      </c>
      <c r="DJ40" s="4">
        <f t="shared" si="150"/>
        <v>6.4359249744571017</v>
      </c>
      <c r="DK40" s="4">
        <f t="shared" si="115"/>
        <v>8.5678797379957317</v>
      </c>
      <c r="DL40" s="38" t="e">
        <f t="shared" si="116"/>
        <v>#REF!</v>
      </c>
      <c r="DM40" s="4" t="e">
        <f t="shared" si="151"/>
        <v>#REF!</v>
      </c>
      <c r="DO40" s="4">
        <f t="shared" si="152"/>
        <v>437.74335677333738</v>
      </c>
      <c r="DS40" s="4">
        <f t="shared" si="118"/>
        <v>0.85</v>
      </c>
      <c r="DT40" s="4">
        <f t="shared" si="119"/>
        <v>0.7</v>
      </c>
      <c r="DU40" s="4">
        <f t="shared" si="120"/>
        <v>0.82320199640399283</v>
      </c>
      <c r="DV40" s="4">
        <f t="shared" si="121"/>
        <v>0.7</v>
      </c>
      <c r="DX40" s="4" t="e">
        <f t="shared" si="122"/>
        <v>#REF!</v>
      </c>
      <c r="DY40" s="25">
        <f t="shared" si="123"/>
        <v>417.68569585398814</v>
      </c>
      <c r="EB40" s="4">
        <f t="shared" si="75"/>
        <v>9.0102949642399413</v>
      </c>
      <c r="EC40" s="4">
        <f t="shared" si="124"/>
        <v>8.5778008059564232</v>
      </c>
      <c r="EE40" s="4">
        <f t="shared" si="125"/>
        <v>77.858162529590359</v>
      </c>
      <c r="EF40" s="4">
        <f t="shared" si="126"/>
        <v>3.0652819893539514</v>
      </c>
      <c r="EG40" s="4">
        <f t="shared" si="127"/>
        <v>0.14706496543711581</v>
      </c>
      <c r="EJ40" s="4">
        <f t="shared" si="128"/>
        <v>0.14706496543711581</v>
      </c>
      <c r="EK40" s="4">
        <f t="shared" si="129"/>
        <v>0.45719555634040504</v>
      </c>
      <c r="EL40" s="4">
        <f t="shared" si="130"/>
        <v>6.5883977271859084</v>
      </c>
      <c r="EM40" s="4">
        <f t="shared" si="131"/>
        <v>7.8930146548964295</v>
      </c>
      <c r="EN40" s="4">
        <f t="shared" si="132"/>
        <v>136.45433747040965</v>
      </c>
      <c r="EO40" s="4">
        <f t="shared" si="133"/>
        <v>71.4375</v>
      </c>
      <c r="EP40" s="4">
        <f t="shared" si="134"/>
        <v>2.0730984622674179E-5</v>
      </c>
      <c r="EQ40" s="4">
        <f t="shared" si="135"/>
        <v>8.3054687946729437</v>
      </c>
      <c r="ER40" s="4" t="e">
        <f t="shared" si="136"/>
        <v>#REF!</v>
      </c>
      <c r="ES40" s="4" t="e">
        <f t="shared" si="137"/>
        <v>#REF!</v>
      </c>
      <c r="ET40" s="4" t="e">
        <f t="shared" si="138"/>
        <v>#REF!</v>
      </c>
      <c r="EV40" s="4" t="e">
        <f t="shared" si="139"/>
        <v>#REF!</v>
      </c>
      <c r="FA40" s="23"/>
      <c r="FB40" s="23"/>
      <c r="FC40" s="23"/>
      <c r="FD40" s="23"/>
      <c r="FE40" s="23"/>
      <c r="FF40" s="23"/>
      <c r="FG40" s="23"/>
      <c r="FH40" s="23"/>
      <c r="FR40" s="4">
        <f t="shared" si="140"/>
        <v>1</v>
      </c>
      <c r="FS40" s="4">
        <f t="shared" si="141"/>
        <v>0.68688155922038985</v>
      </c>
      <c r="FT40" s="4">
        <f t="shared" si="142"/>
        <v>0.3</v>
      </c>
      <c r="FU40" s="4">
        <f t="shared" si="143"/>
        <v>395.78262141162713</v>
      </c>
    </row>
    <row r="41" spans="2:178" ht="12" customHeight="1" x14ac:dyDescent="0.3">
      <c r="B41" s="24"/>
      <c r="C41" s="7" t="s">
        <v>100</v>
      </c>
      <c r="D41" s="28">
        <f t="shared" si="144"/>
        <v>517.5</v>
      </c>
      <c r="E41" s="7">
        <f t="shared" si="157"/>
        <v>285.75</v>
      </c>
      <c r="F41" s="7">
        <v>34.659999999999997</v>
      </c>
      <c r="G41" s="7">
        <v>25.4</v>
      </c>
      <c r="H41" s="7">
        <v>229</v>
      </c>
      <c r="I41" s="7">
        <f t="shared" si="77"/>
        <v>101.8</v>
      </c>
      <c r="J41" s="7">
        <v>305</v>
      </c>
      <c r="K41" s="7">
        <v>0</v>
      </c>
      <c r="L41" s="7">
        <v>1</v>
      </c>
      <c r="M41" s="7">
        <v>76.86</v>
      </c>
      <c r="N41" s="7">
        <f t="shared" si="78"/>
        <v>3.5259842519685041</v>
      </c>
      <c r="O41" s="28">
        <f t="shared" si="145"/>
        <v>3.5259842519685041</v>
      </c>
      <c r="P41" s="28">
        <f t="shared" si="79"/>
        <v>8.3959536742577185</v>
      </c>
      <c r="Q41" s="7">
        <f t="shared" si="80"/>
        <v>8.3959536742577185</v>
      </c>
      <c r="R41" s="7">
        <f t="shared" si="81"/>
        <v>9.3959536742577185</v>
      </c>
      <c r="S41" s="7">
        <f t="shared" si="82"/>
        <v>77.858162529590359</v>
      </c>
      <c r="T41" s="7"/>
      <c r="U41" s="7"/>
      <c r="V41" s="7">
        <f>258.56/(PI()/4*G41^2)*1000</f>
        <v>510.2746864137946</v>
      </c>
      <c r="W41" s="7"/>
      <c r="X41" s="7"/>
      <c r="Y41" s="7">
        <v>9.5</v>
      </c>
      <c r="Z41" s="7">
        <v>4</v>
      </c>
      <c r="AA41" s="7">
        <v>76</v>
      </c>
      <c r="AB41" s="7">
        <v>4</v>
      </c>
      <c r="AC41" s="7"/>
      <c r="AD41" s="7"/>
      <c r="AE41" s="4">
        <f t="shared" si="154"/>
        <v>285.75</v>
      </c>
      <c r="AF41" s="4">
        <f t="shared" si="83"/>
        <v>0.16147501441779291</v>
      </c>
      <c r="AG41" s="25">
        <f t="shared" si="84"/>
        <v>561.22411424012159</v>
      </c>
      <c r="AH41" s="4">
        <f t="shared" si="85"/>
        <v>0.76268416447943999</v>
      </c>
      <c r="AI41" s="4">
        <v>1.25</v>
      </c>
      <c r="AJ41" s="25">
        <f t="shared" si="146"/>
        <v>5</v>
      </c>
      <c r="AK41" s="38">
        <f t="shared" si="147"/>
        <v>431.98274696563578</v>
      </c>
      <c r="AL41" s="38">
        <f t="shared" si="148"/>
        <v>431.98274696563578</v>
      </c>
      <c r="AN41" s="38">
        <f t="shared" si="86"/>
        <v>431.9827469656355</v>
      </c>
      <c r="AO41" s="38">
        <f t="shared" si="87"/>
        <v>1.0000000000000007</v>
      </c>
      <c r="AR41" s="4" t="e">
        <f>#REF!/G41*F41^0.5/0.19</f>
        <v>#REF!</v>
      </c>
      <c r="AS41" s="4">
        <f t="shared" si="88"/>
        <v>1</v>
      </c>
      <c r="AT41" s="38">
        <f t="shared" si="89"/>
        <v>708.22938032103059</v>
      </c>
      <c r="AU41" s="4">
        <f t="shared" si="90"/>
        <v>0.3</v>
      </c>
      <c r="AV41" s="4" t="e">
        <f>AU41*D41*#REF!/(D41*G41/2.75/F41^0.5)</f>
        <v>#REF!</v>
      </c>
      <c r="AW41" s="4" t="e">
        <f t="shared" si="91"/>
        <v>#REF!</v>
      </c>
      <c r="AY41" s="36">
        <f t="shared" si="92"/>
        <v>2.2250000000000001</v>
      </c>
      <c r="AZ41" s="36" t="e">
        <f>(1.6*#REF!+22)*AY41*F41^0.5</f>
        <v>#REF!</v>
      </c>
      <c r="BE41" s="4">
        <f t="shared" si="93"/>
        <v>101.8</v>
      </c>
      <c r="BF41" s="4">
        <f t="shared" si="94"/>
        <v>76.86</v>
      </c>
      <c r="BG41" s="4">
        <f t="shared" si="95"/>
        <v>101.8</v>
      </c>
      <c r="BH41" s="4">
        <f t="shared" si="96"/>
        <v>89.56</v>
      </c>
      <c r="BI41" s="4">
        <f t="shared" si="97"/>
        <v>1.0324486078584441</v>
      </c>
      <c r="BJ41" s="25">
        <f t="shared" si="98"/>
        <v>4</v>
      </c>
      <c r="BL41" s="4">
        <f t="shared" si="99"/>
        <v>101.8</v>
      </c>
      <c r="BP41" s="9"/>
      <c r="BR41" s="9"/>
      <c r="BS41" s="9"/>
      <c r="BT41" s="9">
        <f t="shared" si="100"/>
        <v>101.8</v>
      </c>
      <c r="BU41" s="9">
        <f t="shared" si="101"/>
        <v>101.8</v>
      </c>
      <c r="BV41" s="9">
        <f t="shared" si="102"/>
        <v>2.001967536137395</v>
      </c>
      <c r="BW41" s="9">
        <v>20</v>
      </c>
      <c r="BX41" s="9">
        <f t="shared" si="103"/>
        <v>0.05</v>
      </c>
      <c r="BY41" s="9">
        <f t="shared" si="104"/>
        <v>0.8</v>
      </c>
      <c r="BZ41" s="9">
        <f t="shared" si="105"/>
        <v>0.99524931562137331</v>
      </c>
      <c r="CA41" s="9">
        <f t="shared" si="106"/>
        <v>0.97375</v>
      </c>
      <c r="CB41" s="9">
        <f t="shared" si="107"/>
        <v>1.9969246679255115</v>
      </c>
      <c r="CC41" s="9">
        <f t="shared" si="108"/>
        <v>4.9923116698137786</v>
      </c>
      <c r="CD41" s="9">
        <v>1</v>
      </c>
      <c r="CE41" s="9" t="e">
        <f>4*CC41*#REF!+60*CC41</f>
        <v>#REF!</v>
      </c>
      <c r="DB41" s="4">
        <f t="shared" si="109"/>
        <v>4</v>
      </c>
      <c r="DC41" s="4">
        <f t="shared" si="110"/>
        <v>285.75</v>
      </c>
      <c r="DD41" s="4" t="e">
        <f>#REF!/E41</f>
        <v>#REF!</v>
      </c>
      <c r="DF41" s="4">
        <f t="shared" si="111"/>
        <v>2.0755210712749404E-5</v>
      </c>
      <c r="DG41" s="4">
        <f t="shared" si="112"/>
        <v>9.0324733825588019</v>
      </c>
      <c r="DI41" s="4">
        <f t="shared" si="149"/>
        <v>0</v>
      </c>
      <c r="DJ41" s="4">
        <f t="shared" si="150"/>
        <v>6.4517667018277161</v>
      </c>
      <c r="DK41" s="4">
        <f t="shared" si="115"/>
        <v>8.5873792483918443</v>
      </c>
      <c r="DL41" s="38" t="e">
        <f t="shared" si="116"/>
        <v>#REF!</v>
      </c>
      <c r="DM41" s="4" t="e">
        <f t="shared" si="151"/>
        <v>#REF!</v>
      </c>
      <c r="DO41" s="4">
        <f t="shared" si="152"/>
        <v>431.9827469656355</v>
      </c>
      <c r="DS41" s="4">
        <f t="shared" si="118"/>
        <v>0.85</v>
      </c>
      <c r="DT41" s="4">
        <f t="shared" si="119"/>
        <v>0.7</v>
      </c>
      <c r="DU41" s="4">
        <f t="shared" si="120"/>
        <v>0.73926932853865712</v>
      </c>
      <c r="DV41" s="4">
        <f t="shared" si="121"/>
        <v>0.7</v>
      </c>
      <c r="DX41" s="4" t="e">
        <f t="shared" si="122"/>
        <v>#REF!</v>
      </c>
      <c r="DY41" s="25">
        <f t="shared" si="123"/>
        <v>416.57097270702945</v>
      </c>
      <c r="EB41" s="4">
        <f t="shared" si="75"/>
        <v>9.0324733825588019</v>
      </c>
      <c r="EC41" s="4">
        <f t="shared" si="124"/>
        <v>8.5989146601959785</v>
      </c>
      <c r="EE41" s="4">
        <f t="shared" si="125"/>
        <v>77.858162529590359</v>
      </c>
      <c r="EF41" s="4">
        <f t="shared" si="126"/>
        <v>3.0652819893539514</v>
      </c>
      <c r="EG41" s="4">
        <f t="shared" si="127"/>
        <v>0.14477326904881829</v>
      </c>
      <c r="EJ41" s="4">
        <f t="shared" si="128"/>
        <v>0.14477326904881829</v>
      </c>
      <c r="EK41" s="4">
        <f t="shared" si="129"/>
        <v>0.4489660219375291</v>
      </c>
      <c r="EL41" s="4">
        <f t="shared" si="130"/>
        <v>6.556802166961301</v>
      </c>
      <c r="EM41" s="4">
        <f t="shared" si="131"/>
        <v>7.8925545162461042</v>
      </c>
      <c r="EN41" s="4">
        <f t="shared" si="132"/>
        <v>136.45433747040965</v>
      </c>
      <c r="EO41" s="4">
        <f t="shared" si="133"/>
        <v>71.4375</v>
      </c>
      <c r="EP41" s="4">
        <f t="shared" si="134"/>
        <v>2.0755210712749404E-5</v>
      </c>
      <c r="EQ41" s="4">
        <f t="shared" si="135"/>
        <v>8.3257607628853858</v>
      </c>
      <c r="ER41" s="4" t="e">
        <f t="shared" si="136"/>
        <v>#REF!</v>
      </c>
      <c r="ES41" s="4" t="e">
        <f t="shared" si="137"/>
        <v>#REF!</v>
      </c>
      <c r="ET41" s="4" t="e">
        <f t="shared" si="138"/>
        <v>#REF!</v>
      </c>
      <c r="EV41" s="4" t="e">
        <f t="shared" si="139"/>
        <v>#REF!</v>
      </c>
      <c r="FA41" s="23"/>
      <c r="FB41" s="23"/>
      <c r="FC41" s="23"/>
      <c r="FD41" s="23"/>
      <c r="FE41" s="23"/>
      <c r="FF41" s="23"/>
      <c r="FG41" s="23"/>
      <c r="FH41" s="23"/>
      <c r="FR41" s="4">
        <f t="shared" si="140"/>
        <v>1</v>
      </c>
      <c r="FS41" s="4">
        <f t="shared" si="141"/>
        <v>0.68688155922038985</v>
      </c>
      <c r="FT41" s="4">
        <f t="shared" si="142"/>
        <v>0.3</v>
      </c>
      <c r="FU41" s="4">
        <f t="shared" si="143"/>
        <v>396.26942221324936</v>
      </c>
    </row>
    <row r="42" spans="2:178" ht="12" customHeight="1" x14ac:dyDescent="0.3">
      <c r="B42" s="24"/>
      <c r="C42" s="7" t="s">
        <v>101</v>
      </c>
      <c r="D42" s="28">
        <f t="shared" si="144"/>
        <v>517.5</v>
      </c>
      <c r="E42" s="7">
        <f t="shared" si="157"/>
        <v>285.75</v>
      </c>
      <c r="F42" s="7">
        <v>34.659999999999997</v>
      </c>
      <c r="G42" s="7">
        <v>25.4</v>
      </c>
      <c r="H42" s="7">
        <v>229</v>
      </c>
      <c r="I42" s="7">
        <f t="shared" si="77"/>
        <v>101.8</v>
      </c>
      <c r="J42" s="7">
        <v>305</v>
      </c>
      <c r="K42" s="7">
        <v>0</v>
      </c>
      <c r="L42" s="7">
        <v>1</v>
      </c>
      <c r="M42" s="7">
        <v>80.19</v>
      </c>
      <c r="N42" s="7">
        <f t="shared" si="78"/>
        <v>3.6570866141732288</v>
      </c>
      <c r="O42" s="28">
        <f t="shared" si="145"/>
        <v>3.6570866141732288</v>
      </c>
      <c r="P42" s="28">
        <f t="shared" si="79"/>
        <v>8.3959536742577185</v>
      </c>
      <c r="Q42" s="7">
        <f t="shared" si="80"/>
        <v>8.3959536742577185</v>
      </c>
      <c r="R42" s="7">
        <f t="shared" si="81"/>
        <v>9.3959536742577185</v>
      </c>
      <c r="S42" s="7">
        <f t="shared" si="82"/>
        <v>77.858162529590359</v>
      </c>
      <c r="T42" s="7"/>
      <c r="U42" s="7"/>
      <c r="V42" s="7">
        <f>253.27/(PI()/4*G42^2)*1000</f>
        <v>499.83473788684159</v>
      </c>
      <c r="W42" s="7"/>
      <c r="X42" s="7"/>
      <c r="Y42" s="7">
        <v>9.5</v>
      </c>
      <c r="Z42" s="7">
        <v>4</v>
      </c>
      <c r="AA42" s="7">
        <v>76</v>
      </c>
      <c r="AB42" s="7">
        <v>4</v>
      </c>
      <c r="AC42" s="7"/>
      <c r="AD42" s="7"/>
      <c r="AE42" s="4">
        <f t="shared" si="154"/>
        <v>285.75</v>
      </c>
      <c r="AF42" s="4">
        <f t="shared" si="83"/>
        <v>0.16251269748081335</v>
      </c>
      <c r="AG42" s="25">
        <f t="shared" si="84"/>
        <v>561.22411424012159</v>
      </c>
      <c r="AH42" s="4">
        <f t="shared" si="85"/>
        <v>0.76501487314085737</v>
      </c>
      <c r="AI42" s="4">
        <v>1.25</v>
      </c>
      <c r="AJ42" s="25">
        <f t="shared" si="146"/>
        <v>5</v>
      </c>
      <c r="AK42" s="38">
        <f t="shared" si="147"/>
        <v>436.0873794570511</v>
      </c>
      <c r="AL42" s="38">
        <f t="shared" si="148"/>
        <v>436.0873794570511</v>
      </c>
      <c r="AN42" s="38">
        <f t="shared" si="86"/>
        <v>436.08737945705087</v>
      </c>
      <c r="AO42" s="38">
        <f t="shared" si="87"/>
        <v>1.0000000000000004</v>
      </c>
      <c r="AR42" s="4" t="e">
        <f>#REF!/G42*F42^0.5/0.19</f>
        <v>#REF!</v>
      </c>
      <c r="AS42" s="4">
        <f t="shared" si="88"/>
        <v>1</v>
      </c>
      <c r="AT42" s="38">
        <f t="shared" si="89"/>
        <v>734.56260761523595</v>
      </c>
      <c r="AU42" s="4">
        <f t="shared" si="90"/>
        <v>0.3</v>
      </c>
      <c r="AV42" s="4" t="e">
        <f>AU42*D42*#REF!/(D42*G42/2.75/F42^0.5)</f>
        <v>#REF!</v>
      </c>
      <c r="AW42" s="4" t="e">
        <f t="shared" si="91"/>
        <v>#REF!</v>
      </c>
      <c r="AY42" s="36">
        <f t="shared" si="92"/>
        <v>2.2250000000000001</v>
      </c>
      <c r="AZ42" s="36" t="e">
        <f>(1.6*#REF!+22)*AY42*F42^0.5</f>
        <v>#REF!</v>
      </c>
      <c r="BE42" s="4">
        <f t="shared" si="93"/>
        <v>101.8</v>
      </c>
      <c r="BF42" s="4">
        <f t="shared" si="94"/>
        <v>80.19</v>
      </c>
      <c r="BG42" s="4">
        <f t="shared" si="95"/>
        <v>101.8</v>
      </c>
      <c r="BH42" s="4">
        <f t="shared" si="96"/>
        <v>92.89</v>
      </c>
      <c r="BI42" s="4">
        <f t="shared" si="97"/>
        <v>1.0269484973188676</v>
      </c>
      <c r="BJ42" s="25">
        <f t="shared" si="98"/>
        <v>4</v>
      </c>
      <c r="BL42" s="4">
        <f t="shared" si="99"/>
        <v>101.8</v>
      </c>
      <c r="BP42" s="9"/>
      <c r="BR42" s="9"/>
      <c r="BS42" s="9"/>
      <c r="BT42" s="9">
        <f t="shared" si="100"/>
        <v>101.8</v>
      </c>
      <c r="BU42" s="9">
        <f t="shared" si="101"/>
        <v>101.8</v>
      </c>
      <c r="BV42" s="9">
        <f t="shared" si="102"/>
        <v>2.001967536137395</v>
      </c>
      <c r="BW42" s="9">
        <v>20</v>
      </c>
      <c r="BX42" s="9">
        <f t="shared" si="103"/>
        <v>0.05</v>
      </c>
      <c r="BY42" s="9">
        <f t="shared" si="104"/>
        <v>0.8</v>
      </c>
      <c r="BZ42" s="9">
        <f t="shared" si="105"/>
        <v>0.99524931562137331</v>
      </c>
      <c r="CA42" s="9">
        <f t="shared" si="106"/>
        <v>0.97375</v>
      </c>
      <c r="CB42" s="9">
        <f t="shared" si="107"/>
        <v>1.9969246679255115</v>
      </c>
      <c r="CC42" s="9">
        <f t="shared" si="108"/>
        <v>4.9923116698137786</v>
      </c>
      <c r="CD42" s="9">
        <v>1</v>
      </c>
      <c r="CE42" s="9" t="e">
        <f>4*CC42*#REF!+60*CC42</f>
        <v>#REF!</v>
      </c>
      <c r="DB42" s="4">
        <f t="shared" si="109"/>
        <v>4</v>
      </c>
      <c r="DC42" s="4">
        <f t="shared" si="110"/>
        <v>285.75</v>
      </c>
      <c r="DD42" s="4" t="e">
        <f>#REF!/E42</f>
        <v>#REF!</v>
      </c>
      <c r="DF42" s="4">
        <f t="shared" si="111"/>
        <v>2.0755210712749404E-5</v>
      </c>
      <c r="DG42" s="4">
        <f t="shared" si="112"/>
        <v>9.0324733825588019</v>
      </c>
      <c r="DI42" s="4">
        <f t="shared" si="149"/>
        <v>0</v>
      </c>
      <c r="DJ42" s="4">
        <f t="shared" si="150"/>
        <v>6.4517667018277161</v>
      </c>
      <c r="DK42" s="4">
        <f t="shared" si="115"/>
        <v>8.5873792483918443</v>
      </c>
      <c r="DL42" s="38" t="e">
        <f t="shared" si="116"/>
        <v>#REF!</v>
      </c>
      <c r="DM42" s="4" t="e">
        <f t="shared" si="151"/>
        <v>#REF!</v>
      </c>
      <c r="DO42" s="4">
        <f t="shared" si="152"/>
        <v>436.08737945705087</v>
      </c>
      <c r="DS42" s="4">
        <f t="shared" si="118"/>
        <v>0.85</v>
      </c>
      <c r="DT42" s="4">
        <f t="shared" si="119"/>
        <v>0.7</v>
      </c>
      <c r="DU42" s="4">
        <f t="shared" si="120"/>
        <v>0.73926932853865712</v>
      </c>
      <c r="DV42" s="4">
        <f t="shared" si="121"/>
        <v>0.7</v>
      </c>
      <c r="DX42" s="4" t="e">
        <f t="shared" si="122"/>
        <v>#REF!</v>
      </c>
      <c r="DY42" s="25">
        <f t="shared" si="123"/>
        <v>417.85899560346201</v>
      </c>
      <c r="EB42" s="4">
        <f t="shared" si="75"/>
        <v>9.0324733825588019</v>
      </c>
      <c r="EC42" s="4">
        <f t="shared" si="124"/>
        <v>8.5989146601959785</v>
      </c>
      <c r="EE42" s="4">
        <f t="shared" si="125"/>
        <v>77.858162529590359</v>
      </c>
      <c r="EF42" s="4">
        <f t="shared" si="126"/>
        <v>3.0652819893539514</v>
      </c>
      <c r="EG42" s="4">
        <f t="shared" si="127"/>
        <v>0.14614888200604936</v>
      </c>
      <c r="EJ42" s="4">
        <f t="shared" si="128"/>
        <v>0.14614888200604936</v>
      </c>
      <c r="EK42" s="4">
        <f t="shared" si="129"/>
        <v>0.45323202685122277</v>
      </c>
      <c r="EL42" s="4">
        <f t="shared" si="130"/>
        <v>6.5816521704497388</v>
      </c>
      <c r="EM42" s="4">
        <f t="shared" si="131"/>
        <v>7.9028793178392709</v>
      </c>
      <c r="EN42" s="4">
        <f t="shared" si="132"/>
        <v>136.45433747040965</v>
      </c>
      <c r="EO42" s="4">
        <f t="shared" si="133"/>
        <v>71.4375</v>
      </c>
      <c r="EP42" s="4">
        <f t="shared" si="134"/>
        <v>2.0755210712749404E-5</v>
      </c>
      <c r="EQ42" s="4">
        <f t="shared" si="135"/>
        <v>8.3245236605571389</v>
      </c>
      <c r="ER42" s="4" t="e">
        <f t="shared" si="136"/>
        <v>#REF!</v>
      </c>
      <c r="ES42" s="4" t="e">
        <f t="shared" si="137"/>
        <v>#REF!</v>
      </c>
      <c r="ET42" s="4" t="e">
        <f t="shared" si="138"/>
        <v>#REF!</v>
      </c>
      <c r="EV42" s="4" t="e">
        <f t="shared" si="139"/>
        <v>#REF!</v>
      </c>
      <c r="FA42" s="23"/>
      <c r="FB42" s="23"/>
      <c r="FC42" s="23"/>
      <c r="FD42" s="23"/>
      <c r="FE42" s="23"/>
      <c r="FF42" s="23"/>
      <c r="FG42" s="23"/>
      <c r="FH42" s="23"/>
      <c r="FR42" s="4">
        <f t="shared" si="140"/>
        <v>1</v>
      </c>
      <c r="FS42" s="4">
        <f t="shared" si="141"/>
        <v>0.68688155922038985</v>
      </c>
      <c r="FT42" s="4">
        <f t="shared" si="142"/>
        <v>0.3</v>
      </c>
      <c r="FU42" s="4">
        <f t="shared" si="143"/>
        <v>396.26942221324936</v>
      </c>
    </row>
    <row r="43" spans="2:178" ht="12" customHeight="1" x14ac:dyDescent="0.3">
      <c r="B43" s="24"/>
      <c r="C43" s="7" t="s">
        <v>102</v>
      </c>
      <c r="D43" s="28">
        <f t="shared" si="144"/>
        <v>517.5</v>
      </c>
      <c r="E43" s="7">
        <f t="shared" si="157"/>
        <v>285.75</v>
      </c>
      <c r="F43" s="7">
        <v>34.659999999999997</v>
      </c>
      <c r="G43" s="7">
        <v>25.4</v>
      </c>
      <c r="H43" s="7">
        <v>229</v>
      </c>
      <c r="I43" s="7">
        <f t="shared" si="77"/>
        <v>101.8</v>
      </c>
      <c r="J43" s="7">
        <v>305</v>
      </c>
      <c r="K43" s="7">
        <v>0</v>
      </c>
      <c r="L43" s="7">
        <v>1</v>
      </c>
      <c r="M43" s="7">
        <v>82.22</v>
      </c>
      <c r="N43" s="7">
        <f t="shared" si="78"/>
        <v>3.7370078740157484</v>
      </c>
      <c r="O43" s="28">
        <f t="shared" si="145"/>
        <v>3.7370078740157484</v>
      </c>
      <c r="P43" s="28">
        <f t="shared" si="79"/>
        <v>8.3959536742577185</v>
      </c>
      <c r="Q43" s="7">
        <f t="shared" si="80"/>
        <v>8.3959536742577185</v>
      </c>
      <c r="R43" s="7">
        <f t="shared" si="81"/>
        <v>9.3959536742577185</v>
      </c>
      <c r="S43" s="7">
        <f t="shared" si="82"/>
        <v>77.858162529590359</v>
      </c>
      <c r="T43" s="7"/>
      <c r="U43" s="7"/>
      <c r="V43" s="7">
        <f>248.6/(PI()/4*G43^2)*1000</f>
        <v>490.61837500955028</v>
      </c>
      <c r="W43" s="7"/>
      <c r="X43" s="7"/>
      <c r="Y43" s="7">
        <v>9.5</v>
      </c>
      <c r="Z43" s="7">
        <v>4</v>
      </c>
      <c r="AA43" s="7">
        <v>76</v>
      </c>
      <c r="AB43" s="7">
        <v>4</v>
      </c>
      <c r="AC43" s="7"/>
      <c r="AD43" s="7"/>
      <c r="AE43" s="4">
        <f t="shared" si="154"/>
        <v>285.75</v>
      </c>
      <c r="AF43" s="4">
        <f t="shared" si="83"/>
        <v>0.16314527904775977</v>
      </c>
      <c r="AG43" s="25">
        <f t="shared" si="84"/>
        <v>561.22411424012159</v>
      </c>
      <c r="AH43" s="4">
        <f t="shared" si="85"/>
        <v>0.76643569553805768</v>
      </c>
      <c r="AI43" s="4">
        <v>1.25</v>
      </c>
      <c r="AJ43" s="25">
        <f t="shared" si="146"/>
        <v>5</v>
      </c>
      <c r="AK43" s="38">
        <f t="shared" si="147"/>
        <v>438.5979270469054</v>
      </c>
      <c r="AL43" s="38">
        <f t="shared" si="148"/>
        <v>438.5979270469054</v>
      </c>
      <c r="AN43" s="38">
        <f t="shared" si="86"/>
        <v>438.59792704690506</v>
      </c>
      <c r="AO43" s="38">
        <f t="shared" si="87"/>
        <v>1.0000000000000009</v>
      </c>
      <c r="AR43" s="4" t="e">
        <f>#REF!/G43*F43^0.5/0.19</f>
        <v>#REF!</v>
      </c>
      <c r="AS43" s="4">
        <f t="shared" si="88"/>
        <v>1</v>
      </c>
      <c r="AT43" s="38">
        <f t="shared" si="89"/>
        <v>750.61559602581758</v>
      </c>
      <c r="AU43" s="4">
        <f t="shared" si="90"/>
        <v>0.3</v>
      </c>
      <c r="AV43" s="4" t="e">
        <f>AU43*D43*#REF!/(D43*G43/2.75/F43^0.5)</f>
        <v>#REF!</v>
      </c>
      <c r="AW43" s="4" t="e">
        <f t="shared" si="91"/>
        <v>#REF!</v>
      </c>
      <c r="AY43" s="36">
        <f t="shared" si="92"/>
        <v>2.2250000000000001</v>
      </c>
      <c r="AZ43" s="36" t="e">
        <f>(1.6*#REF!+22)*AY43*F43^0.5</f>
        <v>#REF!</v>
      </c>
      <c r="BE43" s="4">
        <f t="shared" si="93"/>
        <v>101.8</v>
      </c>
      <c r="BF43" s="4">
        <f t="shared" si="94"/>
        <v>82.22</v>
      </c>
      <c r="BG43" s="4">
        <f t="shared" si="95"/>
        <v>101.8</v>
      </c>
      <c r="BH43" s="4">
        <f t="shared" si="96"/>
        <v>94.92</v>
      </c>
      <c r="BI43" s="4">
        <f t="shared" si="97"/>
        <v>1.0238141571393822</v>
      </c>
      <c r="BJ43" s="25">
        <f t="shared" si="98"/>
        <v>4</v>
      </c>
      <c r="BL43" s="4">
        <f t="shared" si="99"/>
        <v>101.8</v>
      </c>
      <c r="BP43" s="9"/>
      <c r="BR43" s="9"/>
      <c r="BS43" s="9"/>
      <c r="BT43" s="9">
        <f t="shared" si="100"/>
        <v>101.8</v>
      </c>
      <c r="BU43" s="9">
        <f t="shared" si="101"/>
        <v>101.8</v>
      </c>
      <c r="BV43" s="9">
        <f t="shared" si="102"/>
        <v>2.001967536137395</v>
      </c>
      <c r="BW43" s="9">
        <v>20</v>
      </c>
      <c r="BX43" s="9">
        <f t="shared" si="103"/>
        <v>0.05</v>
      </c>
      <c r="BY43" s="9">
        <f t="shared" si="104"/>
        <v>0.8</v>
      </c>
      <c r="BZ43" s="9">
        <f t="shared" si="105"/>
        <v>0.99524931562137331</v>
      </c>
      <c r="CA43" s="9">
        <f t="shared" si="106"/>
        <v>0.97375</v>
      </c>
      <c r="CB43" s="9">
        <f t="shared" si="107"/>
        <v>1.9969246679255115</v>
      </c>
      <c r="CC43" s="9">
        <f t="shared" si="108"/>
        <v>4.9923116698137786</v>
      </c>
      <c r="CD43" s="9">
        <v>1</v>
      </c>
      <c r="CE43" s="9" t="e">
        <f>4*CC43*#REF!+60*CC43</f>
        <v>#REF!</v>
      </c>
      <c r="DB43" s="4">
        <f t="shared" si="109"/>
        <v>4</v>
      </c>
      <c r="DC43" s="4">
        <f t="shared" si="110"/>
        <v>285.75</v>
      </c>
      <c r="DD43" s="4" t="e">
        <f>#REF!/E43</f>
        <v>#REF!</v>
      </c>
      <c r="DF43" s="4">
        <f t="shared" si="111"/>
        <v>2.0755210712749404E-5</v>
      </c>
      <c r="DG43" s="4">
        <f t="shared" si="112"/>
        <v>9.0324733825588019</v>
      </c>
      <c r="DI43" s="4">
        <f t="shared" si="149"/>
        <v>0</v>
      </c>
      <c r="DJ43" s="4">
        <f t="shared" si="150"/>
        <v>6.4517667018277161</v>
      </c>
      <c r="DK43" s="4">
        <f t="shared" si="115"/>
        <v>8.5873792483918443</v>
      </c>
      <c r="DL43" s="38" t="e">
        <f t="shared" si="116"/>
        <v>#REF!</v>
      </c>
      <c r="DM43" s="4" t="e">
        <f t="shared" si="151"/>
        <v>#REF!</v>
      </c>
      <c r="DO43" s="4">
        <f t="shared" si="152"/>
        <v>438.59792704690506</v>
      </c>
      <c r="DS43" s="4">
        <f t="shared" si="118"/>
        <v>0.85</v>
      </c>
      <c r="DT43" s="4">
        <f t="shared" si="119"/>
        <v>0.7</v>
      </c>
      <c r="DU43" s="4">
        <f t="shared" si="120"/>
        <v>0.73926932853865712</v>
      </c>
      <c r="DV43" s="4">
        <f t="shared" si="121"/>
        <v>0.7</v>
      </c>
      <c r="DX43" s="4" t="e">
        <f t="shared" si="122"/>
        <v>#REF!</v>
      </c>
      <c r="DY43" s="25">
        <f t="shared" si="123"/>
        <v>418.64418673852452</v>
      </c>
      <c r="EB43" s="4">
        <f t="shared" si="75"/>
        <v>9.0324733825588019</v>
      </c>
      <c r="EC43" s="4">
        <f t="shared" si="124"/>
        <v>8.5989146601959785</v>
      </c>
      <c r="EE43" s="4">
        <f t="shared" si="125"/>
        <v>77.858162529590359</v>
      </c>
      <c r="EF43" s="4">
        <f t="shared" si="126"/>
        <v>3.0652819893539514</v>
      </c>
      <c r="EG43" s="4">
        <f t="shared" si="127"/>
        <v>0.14699025862175652</v>
      </c>
      <c r="EJ43" s="4">
        <f t="shared" si="128"/>
        <v>0.14699025862175652</v>
      </c>
      <c r="EK43" s="4">
        <f t="shared" si="129"/>
        <v>0.45584127588308598</v>
      </c>
      <c r="EL43" s="4">
        <f t="shared" si="130"/>
        <v>6.5967822579745006</v>
      </c>
      <c r="EM43" s="4">
        <f t="shared" si="131"/>
        <v>7.9091783259944446</v>
      </c>
      <c r="EN43" s="4">
        <f t="shared" si="132"/>
        <v>136.45433747040965</v>
      </c>
      <c r="EO43" s="4">
        <f t="shared" si="133"/>
        <v>71.4375</v>
      </c>
      <c r="EP43" s="4">
        <f t="shared" si="134"/>
        <v>2.0755210712749404E-5</v>
      </c>
      <c r="EQ43" s="4">
        <f t="shared" si="135"/>
        <v>8.3237698022751303</v>
      </c>
      <c r="ER43" s="4" t="e">
        <f t="shared" si="136"/>
        <v>#REF!</v>
      </c>
      <c r="ES43" s="4" t="e">
        <f t="shared" si="137"/>
        <v>#REF!</v>
      </c>
      <c r="ET43" s="4" t="e">
        <f t="shared" si="138"/>
        <v>#REF!</v>
      </c>
      <c r="EV43" s="4" t="e">
        <f t="shared" si="139"/>
        <v>#REF!</v>
      </c>
      <c r="FA43" s="23"/>
      <c r="FB43" s="23"/>
      <c r="FC43" s="23"/>
      <c r="FD43" s="23"/>
      <c r="FE43" s="23"/>
      <c r="FF43" s="23"/>
      <c r="FG43" s="23"/>
      <c r="FH43" s="23"/>
      <c r="FR43" s="4">
        <f t="shared" si="140"/>
        <v>1</v>
      </c>
      <c r="FS43" s="4">
        <f t="shared" si="141"/>
        <v>0.68688155922038985</v>
      </c>
      <c r="FT43" s="4">
        <f t="shared" si="142"/>
        <v>0.3</v>
      </c>
      <c r="FU43" s="4">
        <f t="shared" si="143"/>
        <v>396.26942221324936</v>
      </c>
    </row>
    <row r="44" spans="2:178" ht="12" customHeight="1" x14ac:dyDescent="0.3">
      <c r="B44" s="24"/>
      <c r="C44" s="7" t="s">
        <v>103</v>
      </c>
      <c r="D44" s="28">
        <f t="shared" si="144"/>
        <v>517.5</v>
      </c>
      <c r="E44" s="7">
        <f t="shared" si="157"/>
        <v>285.75</v>
      </c>
      <c r="F44" s="7">
        <v>34.659999999999997</v>
      </c>
      <c r="G44" s="7">
        <v>25.4</v>
      </c>
      <c r="H44" s="7">
        <v>229</v>
      </c>
      <c r="I44" s="7">
        <f t="shared" si="77"/>
        <v>101.8</v>
      </c>
      <c r="J44" s="7">
        <v>305</v>
      </c>
      <c r="K44" s="7">
        <v>0</v>
      </c>
      <c r="L44" s="7">
        <v>1</v>
      </c>
      <c r="M44" s="7">
        <v>55.45</v>
      </c>
      <c r="N44" s="7">
        <f t="shared" si="78"/>
        <v>2.6830708661417328</v>
      </c>
      <c r="O44" s="28">
        <f t="shared" si="145"/>
        <v>2.6830708661417328</v>
      </c>
      <c r="P44" s="28">
        <f t="shared" si="79"/>
        <v>8.3959536742577185</v>
      </c>
      <c r="Q44" s="7">
        <f t="shared" si="80"/>
        <v>8.3959536742577185</v>
      </c>
      <c r="R44" s="7">
        <f t="shared" si="81"/>
        <v>9.3959536742577185</v>
      </c>
      <c r="S44" s="7">
        <f t="shared" si="82"/>
        <v>77.858162529590359</v>
      </c>
      <c r="T44" s="7"/>
      <c r="U44" s="7"/>
      <c r="V44" s="7">
        <f>249.62/(PI()/4*G44^2)*1000</f>
        <v>492.6313707557681</v>
      </c>
      <c r="W44" s="7"/>
      <c r="X44" s="7"/>
      <c r="Y44" s="7">
        <v>9.5</v>
      </c>
      <c r="Z44" s="7">
        <v>4</v>
      </c>
      <c r="AA44" s="7">
        <v>76</v>
      </c>
      <c r="AB44" s="7">
        <v>4</v>
      </c>
      <c r="AC44" s="7"/>
      <c r="AD44" s="7"/>
      <c r="AE44" s="4">
        <f t="shared" si="154"/>
        <v>285.75</v>
      </c>
      <c r="AF44" s="4">
        <f t="shared" si="83"/>
        <v>0.15480330439398876</v>
      </c>
      <c r="AG44" s="25">
        <f t="shared" si="84"/>
        <v>561.22411424012159</v>
      </c>
      <c r="AH44" s="4">
        <f t="shared" si="85"/>
        <v>0.74769903762029744</v>
      </c>
      <c r="AI44" s="4">
        <v>1.25</v>
      </c>
      <c r="AJ44" s="25">
        <f t="shared" si="146"/>
        <v>5</v>
      </c>
      <c r="AK44" s="38">
        <f t="shared" si="147"/>
        <v>405.99752770345503</v>
      </c>
      <c r="AL44" s="38">
        <f t="shared" si="148"/>
        <v>405.99752770345503</v>
      </c>
      <c r="AN44" s="38">
        <f t="shared" si="86"/>
        <v>405.99752770345469</v>
      </c>
      <c r="AO44" s="38">
        <f t="shared" si="87"/>
        <v>1.0000000000000009</v>
      </c>
      <c r="AR44" s="4" t="e">
        <f>#REF!/G44*F44^0.5/0.19</f>
        <v>#REF!</v>
      </c>
      <c r="AS44" s="4">
        <f t="shared" si="88"/>
        <v>1</v>
      </c>
      <c r="AT44" s="38">
        <f t="shared" si="89"/>
        <v>538.92175378381239</v>
      </c>
      <c r="AU44" s="4">
        <f t="shared" si="90"/>
        <v>0.3</v>
      </c>
      <c r="AV44" s="4" t="e">
        <f>AU44*D44*#REF!/(D44*G44/2.75/F44^0.5)</f>
        <v>#REF!</v>
      </c>
      <c r="AW44" s="4" t="e">
        <f t="shared" si="91"/>
        <v>#REF!</v>
      </c>
      <c r="AY44" s="36">
        <f t="shared" si="92"/>
        <v>2.2250000000000001</v>
      </c>
      <c r="AZ44" s="36" t="e">
        <f>(1.6*#REF!+22)*AY44*F44^0.5</f>
        <v>#REF!</v>
      </c>
      <c r="BE44" s="4">
        <f t="shared" si="93"/>
        <v>101.8</v>
      </c>
      <c r="BF44" s="4">
        <f t="shared" si="94"/>
        <v>55.45</v>
      </c>
      <c r="BG44" s="4">
        <f t="shared" si="95"/>
        <v>101.8</v>
      </c>
      <c r="BH44" s="4">
        <f t="shared" si="96"/>
        <v>68.150000000000006</v>
      </c>
      <c r="BI44" s="4">
        <f t="shared" si="97"/>
        <v>1.0835888187556357</v>
      </c>
      <c r="BJ44" s="25">
        <f t="shared" si="98"/>
        <v>4</v>
      </c>
      <c r="BL44" s="4">
        <f t="shared" si="99"/>
        <v>101.8</v>
      </c>
      <c r="BP44" s="9"/>
      <c r="BR44" s="9"/>
      <c r="BS44" s="9"/>
      <c r="BT44" s="9">
        <f t="shared" si="100"/>
        <v>101.8</v>
      </c>
      <c r="BU44" s="9">
        <f t="shared" si="101"/>
        <v>101.8</v>
      </c>
      <c r="BV44" s="9">
        <f t="shared" si="102"/>
        <v>2.001967536137395</v>
      </c>
      <c r="BW44" s="9">
        <v>20</v>
      </c>
      <c r="BX44" s="9">
        <f t="shared" si="103"/>
        <v>0.05</v>
      </c>
      <c r="BY44" s="9">
        <f t="shared" si="104"/>
        <v>0.8</v>
      </c>
      <c r="BZ44" s="9">
        <f t="shared" si="105"/>
        <v>0.99524931562137331</v>
      </c>
      <c r="CA44" s="9">
        <f t="shared" si="106"/>
        <v>0.97375</v>
      </c>
      <c r="CB44" s="9">
        <f t="shared" si="107"/>
        <v>1.9969246679255115</v>
      </c>
      <c r="CC44" s="9">
        <f t="shared" si="108"/>
        <v>4.9923116698137786</v>
      </c>
      <c r="CD44" s="9">
        <v>1</v>
      </c>
      <c r="CE44" s="9" t="e">
        <f>4*CC44*#REF!+60*CC44</f>
        <v>#REF!</v>
      </c>
      <c r="DB44" s="4">
        <f t="shared" si="109"/>
        <v>4</v>
      </c>
      <c r="DC44" s="4">
        <f t="shared" si="110"/>
        <v>285.75</v>
      </c>
      <c r="DD44" s="4" t="e">
        <f>#REF!/E44</f>
        <v>#REF!</v>
      </c>
      <c r="DF44" s="4">
        <f t="shared" si="111"/>
        <v>2.0755210712749404E-5</v>
      </c>
      <c r="DG44" s="4">
        <f t="shared" si="112"/>
        <v>9.0324733825588019</v>
      </c>
      <c r="DI44" s="4">
        <f t="shared" si="149"/>
        <v>0</v>
      </c>
      <c r="DJ44" s="4">
        <f t="shared" si="150"/>
        <v>6.4517667018277161</v>
      </c>
      <c r="DK44" s="4">
        <f t="shared" si="115"/>
        <v>8.5873792483918443</v>
      </c>
      <c r="DL44" s="38" t="e">
        <f t="shared" si="116"/>
        <v>#REF!</v>
      </c>
      <c r="DM44" s="4" t="e">
        <f t="shared" si="151"/>
        <v>#REF!</v>
      </c>
      <c r="DO44" s="4">
        <f t="shared" si="152"/>
        <v>405.99752770345469</v>
      </c>
      <c r="DS44" s="4">
        <f t="shared" si="118"/>
        <v>0.85</v>
      </c>
      <c r="DT44" s="4">
        <f t="shared" si="119"/>
        <v>0.7</v>
      </c>
      <c r="DU44" s="4">
        <f t="shared" si="120"/>
        <v>0.73926932853865712</v>
      </c>
      <c r="DV44" s="4">
        <f t="shared" si="121"/>
        <v>0.7</v>
      </c>
      <c r="DX44" s="4" t="e">
        <f t="shared" si="122"/>
        <v>#REF!</v>
      </c>
      <c r="DY44" s="25">
        <f t="shared" si="123"/>
        <v>408.28972039092707</v>
      </c>
      <c r="EB44" s="4">
        <f t="shared" si="75"/>
        <v>9.0324733825588019</v>
      </c>
      <c r="EC44" s="4">
        <f t="shared" si="124"/>
        <v>8.5989146601959785</v>
      </c>
      <c r="EE44" s="4">
        <f t="shared" si="125"/>
        <v>77.858162529590359</v>
      </c>
      <c r="EF44" s="4">
        <f t="shared" si="126"/>
        <v>3.0652819893539514</v>
      </c>
      <c r="EG44" s="4">
        <f t="shared" si="127"/>
        <v>0.13606466861058017</v>
      </c>
      <c r="EJ44" s="4">
        <f t="shared" si="128"/>
        <v>0.13606466861058017</v>
      </c>
      <c r="EK44" s="4">
        <f t="shared" si="129"/>
        <v>0.42195920140299542</v>
      </c>
      <c r="EL44" s="4">
        <f t="shared" si="130"/>
        <v>6.3960945508971907</v>
      </c>
      <c r="EM44" s="4">
        <f t="shared" si="131"/>
        <v>7.8264154773661634</v>
      </c>
      <c r="EN44" s="4">
        <f t="shared" si="132"/>
        <v>136.45433747040965</v>
      </c>
      <c r="EO44" s="4">
        <f t="shared" si="133"/>
        <v>71.4375</v>
      </c>
      <c r="EP44" s="4">
        <f t="shared" si="134"/>
        <v>2.0755210712749404E-5</v>
      </c>
      <c r="EQ44" s="4">
        <f t="shared" si="135"/>
        <v>8.3337293000677306</v>
      </c>
      <c r="ER44" s="4" t="e">
        <f t="shared" si="136"/>
        <v>#REF!</v>
      </c>
      <c r="ES44" s="4" t="e">
        <f t="shared" si="137"/>
        <v>#REF!</v>
      </c>
      <c r="ET44" s="4" t="e">
        <f t="shared" si="138"/>
        <v>#REF!</v>
      </c>
      <c r="EV44" s="4" t="e">
        <f t="shared" si="139"/>
        <v>#REF!</v>
      </c>
      <c r="FA44" s="23"/>
      <c r="FB44" s="23"/>
      <c r="FC44" s="23"/>
      <c r="FD44" s="23"/>
      <c r="FE44" s="23"/>
      <c r="FF44" s="23"/>
      <c r="FG44" s="23"/>
      <c r="FH44" s="23"/>
      <c r="FR44" s="4">
        <f t="shared" si="140"/>
        <v>1</v>
      </c>
      <c r="FS44" s="4">
        <f t="shared" si="141"/>
        <v>0.68688155922038985</v>
      </c>
      <c r="FT44" s="4">
        <f t="shared" si="142"/>
        <v>0.3</v>
      </c>
      <c r="FU44" s="4">
        <f t="shared" si="143"/>
        <v>396.26942221324936</v>
      </c>
    </row>
    <row r="45" spans="2:178" ht="12" customHeight="1" x14ac:dyDescent="0.3">
      <c r="B45" s="24"/>
      <c r="C45" s="7" t="s">
        <v>104</v>
      </c>
      <c r="D45" s="28">
        <f t="shared" si="144"/>
        <v>517.5</v>
      </c>
      <c r="E45" s="7">
        <f t="shared" si="157"/>
        <v>285.75</v>
      </c>
      <c r="F45" s="7">
        <v>34.659999999999997</v>
      </c>
      <c r="G45" s="7">
        <v>25.4</v>
      </c>
      <c r="H45" s="7">
        <v>229</v>
      </c>
      <c r="I45" s="7">
        <f t="shared" si="77"/>
        <v>101.8</v>
      </c>
      <c r="J45" s="7">
        <v>305</v>
      </c>
      <c r="K45" s="7">
        <v>0</v>
      </c>
      <c r="L45" s="7">
        <v>1</v>
      </c>
      <c r="M45" s="7">
        <v>55.7</v>
      </c>
      <c r="N45" s="7">
        <f t="shared" si="78"/>
        <v>2.6929133858267722</v>
      </c>
      <c r="O45" s="28">
        <f t="shared" si="145"/>
        <v>2.6929133858267722</v>
      </c>
      <c r="P45" s="28">
        <f t="shared" si="79"/>
        <v>8.3959536742577185</v>
      </c>
      <c r="Q45" s="7">
        <f t="shared" si="80"/>
        <v>8.3959536742577185</v>
      </c>
      <c r="R45" s="7">
        <f t="shared" si="81"/>
        <v>9.3959536742577185</v>
      </c>
      <c r="S45" s="7">
        <f t="shared" si="82"/>
        <v>77.858162529590359</v>
      </c>
      <c r="T45" s="7"/>
      <c r="U45" s="7"/>
      <c r="V45" s="7">
        <f>231.87/(PI()/4*G45^2)*1000</f>
        <v>457.60129772109588</v>
      </c>
      <c r="W45" s="7"/>
      <c r="X45" s="7"/>
      <c r="Y45" s="7">
        <v>9.5</v>
      </c>
      <c r="Z45" s="7">
        <v>4</v>
      </c>
      <c r="AA45" s="7">
        <v>76</v>
      </c>
      <c r="AB45" s="7">
        <v>4</v>
      </c>
      <c r="AC45" s="7"/>
      <c r="AD45" s="7"/>
      <c r="AE45" s="4">
        <f t="shared" si="154"/>
        <v>285.75</v>
      </c>
      <c r="AF45" s="4">
        <f t="shared" si="83"/>
        <v>0.15488120852784915</v>
      </c>
      <c r="AG45" s="25">
        <f t="shared" si="84"/>
        <v>561.22411424012159</v>
      </c>
      <c r="AH45" s="4">
        <f t="shared" si="85"/>
        <v>0.74787401574803147</v>
      </c>
      <c r="AI45" s="4">
        <v>1.25</v>
      </c>
      <c r="AJ45" s="25">
        <f t="shared" si="146"/>
        <v>5</v>
      </c>
      <c r="AK45" s="38">
        <f t="shared" si="147"/>
        <v>406.29690453368073</v>
      </c>
      <c r="AL45" s="38">
        <f t="shared" si="148"/>
        <v>406.29690453368073</v>
      </c>
      <c r="AN45" s="38">
        <f t="shared" si="86"/>
        <v>406.29690453368045</v>
      </c>
      <c r="AO45" s="38">
        <f t="shared" si="87"/>
        <v>1.0000000000000007</v>
      </c>
      <c r="AR45" s="4" t="e">
        <f>#REF!/G45*F45^0.5/0.19</f>
        <v>#REF!</v>
      </c>
      <c r="AS45" s="4">
        <f t="shared" si="88"/>
        <v>1</v>
      </c>
      <c r="AT45" s="38">
        <f t="shared" si="89"/>
        <v>540.8987227998939</v>
      </c>
      <c r="AU45" s="4">
        <f t="shared" si="90"/>
        <v>0.3</v>
      </c>
      <c r="AV45" s="4" t="e">
        <f>AU45*D45*#REF!/(D45*G45/2.75/F45^0.5)</f>
        <v>#REF!</v>
      </c>
      <c r="AW45" s="4" t="e">
        <f t="shared" si="91"/>
        <v>#REF!</v>
      </c>
      <c r="AY45" s="36">
        <f t="shared" si="92"/>
        <v>2.2250000000000001</v>
      </c>
      <c r="AZ45" s="36" t="e">
        <f>(1.6*#REF!+22)*AY45*F45^0.5</f>
        <v>#REF!</v>
      </c>
      <c r="BE45" s="4">
        <f t="shared" si="93"/>
        <v>101.8</v>
      </c>
      <c r="BF45" s="4">
        <f t="shared" si="94"/>
        <v>55.7</v>
      </c>
      <c r="BG45" s="4">
        <f t="shared" si="95"/>
        <v>101.8</v>
      </c>
      <c r="BH45" s="4">
        <f t="shared" si="96"/>
        <v>68.400000000000006</v>
      </c>
      <c r="BI45" s="4">
        <f t="shared" si="97"/>
        <v>1.0827648114901256</v>
      </c>
      <c r="BJ45" s="25">
        <f t="shared" si="98"/>
        <v>4</v>
      </c>
      <c r="BL45" s="4">
        <f t="shared" si="99"/>
        <v>101.8</v>
      </c>
      <c r="BP45" s="9"/>
      <c r="BR45" s="9"/>
      <c r="BS45" s="9"/>
      <c r="BT45" s="9">
        <f t="shared" si="100"/>
        <v>101.8</v>
      </c>
      <c r="BU45" s="9">
        <f t="shared" si="101"/>
        <v>101.8</v>
      </c>
      <c r="BV45" s="9">
        <f t="shared" si="102"/>
        <v>2.001967536137395</v>
      </c>
      <c r="BW45" s="9">
        <v>20</v>
      </c>
      <c r="BX45" s="9">
        <f t="shared" si="103"/>
        <v>0.05</v>
      </c>
      <c r="BY45" s="9">
        <f t="shared" si="104"/>
        <v>0.8</v>
      </c>
      <c r="BZ45" s="9">
        <f t="shared" si="105"/>
        <v>0.99524931562137331</v>
      </c>
      <c r="CA45" s="9">
        <f t="shared" si="106"/>
        <v>0.97375</v>
      </c>
      <c r="CB45" s="9">
        <f t="shared" si="107"/>
        <v>1.9969246679255115</v>
      </c>
      <c r="CC45" s="9">
        <f t="shared" si="108"/>
        <v>4.9923116698137786</v>
      </c>
      <c r="CD45" s="9">
        <v>1</v>
      </c>
      <c r="CE45" s="9" t="e">
        <f>4*CC45*#REF!+60*CC45</f>
        <v>#REF!</v>
      </c>
      <c r="DB45" s="4">
        <f t="shared" si="109"/>
        <v>4</v>
      </c>
      <c r="DC45" s="4">
        <f t="shared" si="110"/>
        <v>285.75</v>
      </c>
      <c r="DD45" s="4" t="e">
        <f>#REF!/E45</f>
        <v>#REF!</v>
      </c>
      <c r="DF45" s="4">
        <f t="shared" si="111"/>
        <v>2.0755210712749404E-5</v>
      </c>
      <c r="DG45" s="4">
        <f t="shared" si="112"/>
        <v>9.0324733825588019</v>
      </c>
      <c r="DI45" s="4">
        <f t="shared" si="149"/>
        <v>0</v>
      </c>
      <c r="DJ45" s="4">
        <f t="shared" si="150"/>
        <v>6.4517667018277161</v>
      </c>
      <c r="DK45" s="4">
        <f t="shared" si="115"/>
        <v>8.5873792483918443</v>
      </c>
      <c r="DL45" s="38" t="e">
        <f t="shared" si="116"/>
        <v>#REF!</v>
      </c>
      <c r="DM45" s="4" t="e">
        <f t="shared" si="151"/>
        <v>#REF!</v>
      </c>
      <c r="DO45" s="4">
        <f t="shared" si="152"/>
        <v>406.29690453368045</v>
      </c>
      <c r="DS45" s="4">
        <f t="shared" si="118"/>
        <v>0.85</v>
      </c>
      <c r="DT45" s="4">
        <f t="shared" si="119"/>
        <v>0.7</v>
      </c>
      <c r="DU45" s="4">
        <f t="shared" si="120"/>
        <v>0.73926932853865712</v>
      </c>
      <c r="DV45" s="4">
        <f t="shared" si="121"/>
        <v>0.7</v>
      </c>
      <c r="DX45" s="4" t="e">
        <f t="shared" si="122"/>
        <v>#REF!</v>
      </c>
      <c r="DY45" s="25">
        <f t="shared" si="123"/>
        <v>408.38641880657519</v>
      </c>
      <c r="EB45" s="4">
        <f t="shared" si="75"/>
        <v>9.0324733825588019</v>
      </c>
      <c r="EC45" s="4">
        <f t="shared" si="124"/>
        <v>8.5989146601959785</v>
      </c>
      <c r="EE45" s="4">
        <f t="shared" si="125"/>
        <v>77.858162529590359</v>
      </c>
      <c r="EF45" s="4">
        <f t="shared" si="126"/>
        <v>3.0652819893539514</v>
      </c>
      <c r="EG45" s="4">
        <f t="shared" si="127"/>
        <v>0.13616500077128266</v>
      </c>
      <c r="EJ45" s="4">
        <f t="shared" si="128"/>
        <v>0.13616500077128266</v>
      </c>
      <c r="EK45" s="4">
        <f t="shared" si="129"/>
        <v>0.42227034814547731</v>
      </c>
      <c r="EL45" s="4">
        <f t="shared" si="130"/>
        <v>6.3979806895606242</v>
      </c>
      <c r="EM45" s="4">
        <f t="shared" si="131"/>
        <v>7.8271852945998246</v>
      </c>
      <c r="EN45" s="4">
        <f t="shared" si="132"/>
        <v>136.45433747040965</v>
      </c>
      <c r="EO45" s="4">
        <f t="shared" si="133"/>
        <v>71.4375</v>
      </c>
      <c r="EP45" s="4">
        <f t="shared" si="134"/>
        <v>2.0755210712749404E-5</v>
      </c>
      <c r="EQ45" s="4">
        <f t="shared" si="135"/>
        <v>8.3336361018153582</v>
      </c>
      <c r="ER45" s="4" t="e">
        <f t="shared" si="136"/>
        <v>#REF!</v>
      </c>
      <c r="ES45" s="4" t="e">
        <f t="shared" si="137"/>
        <v>#REF!</v>
      </c>
      <c r="ET45" s="4" t="e">
        <f t="shared" si="138"/>
        <v>#REF!</v>
      </c>
      <c r="EV45" s="4" t="e">
        <f t="shared" si="139"/>
        <v>#REF!</v>
      </c>
      <c r="FA45" s="23"/>
      <c r="FB45" s="23"/>
      <c r="FC45" s="23"/>
      <c r="FD45" s="23"/>
      <c r="FE45" s="23"/>
      <c r="FF45" s="23"/>
      <c r="FG45" s="23"/>
      <c r="FH45" s="23"/>
      <c r="FR45" s="4">
        <f t="shared" si="140"/>
        <v>1</v>
      </c>
      <c r="FS45" s="4">
        <f t="shared" si="141"/>
        <v>0.68688155922038985</v>
      </c>
      <c r="FT45" s="4">
        <f t="shared" si="142"/>
        <v>0.3</v>
      </c>
      <c r="FU45" s="4">
        <f t="shared" si="143"/>
        <v>396.26942221324936</v>
      </c>
    </row>
    <row r="46" spans="2:178" ht="12" customHeight="1" x14ac:dyDescent="0.3">
      <c r="B46" s="24"/>
      <c r="C46" s="7" t="s">
        <v>105</v>
      </c>
      <c r="D46" s="28">
        <f t="shared" si="144"/>
        <v>517.5</v>
      </c>
      <c r="E46" s="7">
        <f t="shared" si="157"/>
        <v>285.75</v>
      </c>
      <c r="F46" s="7">
        <v>34.659999999999997</v>
      </c>
      <c r="G46" s="7">
        <v>25.4</v>
      </c>
      <c r="H46" s="7">
        <v>229</v>
      </c>
      <c r="I46" s="7">
        <f t="shared" si="77"/>
        <v>101.8</v>
      </c>
      <c r="J46" s="7">
        <v>305</v>
      </c>
      <c r="K46" s="7">
        <v>0</v>
      </c>
      <c r="L46" s="7">
        <v>1</v>
      </c>
      <c r="M46" s="7">
        <v>56.57</v>
      </c>
      <c r="N46" s="7">
        <f t="shared" si="78"/>
        <v>2.7271653543307086</v>
      </c>
      <c r="O46" s="28">
        <f t="shared" si="145"/>
        <v>2.7271653543307086</v>
      </c>
      <c r="P46" s="28">
        <f t="shared" si="79"/>
        <v>8.3959536742577185</v>
      </c>
      <c r="Q46" s="7">
        <f t="shared" si="80"/>
        <v>8.3959536742577185</v>
      </c>
      <c r="R46" s="7">
        <f t="shared" si="81"/>
        <v>9.3959536742577185</v>
      </c>
      <c r="S46" s="7">
        <f t="shared" si="82"/>
        <v>77.858162529590359</v>
      </c>
      <c r="T46" s="7"/>
      <c r="U46" s="7"/>
      <c r="V46" s="7">
        <f>257.14/(PI()/4*G46^2)*1000</f>
        <v>507.4722805710208</v>
      </c>
      <c r="W46" s="7"/>
      <c r="X46" s="7"/>
      <c r="Y46" s="7">
        <v>9.5</v>
      </c>
      <c r="Z46" s="7">
        <v>4</v>
      </c>
      <c r="AA46" s="7">
        <v>76</v>
      </c>
      <c r="AB46" s="7">
        <v>4</v>
      </c>
      <c r="AC46" s="7"/>
      <c r="AD46" s="7"/>
      <c r="AE46" s="4">
        <f t="shared" si="154"/>
        <v>285.75</v>
      </c>
      <c r="AF46" s="4">
        <f t="shared" si="83"/>
        <v>0.15515231491368334</v>
      </c>
      <c r="AG46" s="25">
        <f t="shared" si="84"/>
        <v>561.22411424012159</v>
      </c>
      <c r="AH46" s="4">
        <f t="shared" si="85"/>
        <v>0.74848293963254586</v>
      </c>
      <c r="AI46" s="4">
        <v>1.25</v>
      </c>
      <c r="AJ46" s="25">
        <f t="shared" si="146"/>
        <v>5</v>
      </c>
      <c r="AK46" s="38">
        <f t="shared" si="147"/>
        <v>407.33948135174751</v>
      </c>
      <c r="AL46" s="38">
        <f t="shared" si="148"/>
        <v>407.33948135174751</v>
      </c>
      <c r="AN46" s="38">
        <f t="shared" si="86"/>
        <v>407.33948135174728</v>
      </c>
      <c r="AO46" s="38">
        <f t="shared" si="87"/>
        <v>1.0000000000000007</v>
      </c>
      <c r="AR46" s="4" t="e">
        <f>#REF!/G46*F46^0.5/0.19</f>
        <v>#REF!</v>
      </c>
      <c r="AS46" s="4">
        <f t="shared" si="88"/>
        <v>1</v>
      </c>
      <c r="AT46" s="38">
        <f t="shared" si="89"/>
        <v>547.7785749758574</v>
      </c>
      <c r="AU46" s="4">
        <f t="shared" si="90"/>
        <v>0.3</v>
      </c>
      <c r="AV46" s="4" t="e">
        <f>AU46*D46*#REF!/(D46*G46/2.75/F46^0.5)</f>
        <v>#REF!</v>
      </c>
      <c r="AW46" s="4" t="e">
        <f t="shared" si="91"/>
        <v>#REF!</v>
      </c>
      <c r="AY46" s="36">
        <f t="shared" si="92"/>
        <v>2.2250000000000001</v>
      </c>
      <c r="AZ46" s="36" t="e">
        <f>(1.6*#REF!+22)*AY46*F46^0.5</f>
        <v>#REF!</v>
      </c>
      <c r="BE46" s="4">
        <f t="shared" si="93"/>
        <v>101.8</v>
      </c>
      <c r="BF46" s="4">
        <f t="shared" si="94"/>
        <v>56.57</v>
      </c>
      <c r="BG46" s="4">
        <f t="shared" si="95"/>
        <v>101.8</v>
      </c>
      <c r="BH46" s="4">
        <f t="shared" si="96"/>
        <v>69.27</v>
      </c>
      <c r="BI46" s="4">
        <f t="shared" si="97"/>
        <v>1.0799540392434153</v>
      </c>
      <c r="BJ46" s="25">
        <f t="shared" si="98"/>
        <v>4</v>
      </c>
      <c r="BL46" s="4">
        <f t="shared" si="99"/>
        <v>101.8</v>
      </c>
      <c r="BP46" s="9"/>
      <c r="BR46" s="9"/>
      <c r="BS46" s="9"/>
      <c r="BT46" s="9">
        <f t="shared" si="100"/>
        <v>101.8</v>
      </c>
      <c r="BU46" s="9">
        <f t="shared" si="101"/>
        <v>101.8</v>
      </c>
      <c r="BV46" s="9">
        <f t="shared" si="102"/>
        <v>2.001967536137395</v>
      </c>
      <c r="BW46" s="9">
        <v>20</v>
      </c>
      <c r="BX46" s="9">
        <f t="shared" si="103"/>
        <v>0.05</v>
      </c>
      <c r="BY46" s="9">
        <f t="shared" si="104"/>
        <v>0.8</v>
      </c>
      <c r="BZ46" s="9">
        <f t="shared" si="105"/>
        <v>0.99524931562137331</v>
      </c>
      <c r="CA46" s="9">
        <f t="shared" si="106"/>
        <v>0.97375</v>
      </c>
      <c r="CB46" s="9">
        <f t="shared" si="107"/>
        <v>1.9969246679255115</v>
      </c>
      <c r="CC46" s="9">
        <f t="shared" si="108"/>
        <v>4.9923116698137786</v>
      </c>
      <c r="CD46" s="9">
        <v>1</v>
      </c>
      <c r="CE46" s="9" t="e">
        <f>4*CC46*#REF!+60*CC46</f>
        <v>#REF!</v>
      </c>
      <c r="DB46" s="4">
        <f t="shared" si="109"/>
        <v>4</v>
      </c>
      <c r="DC46" s="4">
        <f t="shared" si="110"/>
        <v>285.75</v>
      </c>
      <c r="DD46" s="4" t="e">
        <f>#REF!/E46</f>
        <v>#REF!</v>
      </c>
      <c r="DF46" s="4">
        <f t="shared" si="111"/>
        <v>2.0755210712749404E-5</v>
      </c>
      <c r="DG46" s="4">
        <f t="shared" si="112"/>
        <v>9.0324733825588019</v>
      </c>
      <c r="DI46" s="4">
        <f t="shared" si="149"/>
        <v>0</v>
      </c>
      <c r="DJ46" s="4">
        <f t="shared" si="150"/>
        <v>6.4517667018277161</v>
      </c>
      <c r="DK46" s="4">
        <f t="shared" si="115"/>
        <v>8.5873792483918443</v>
      </c>
      <c r="DL46" s="38" t="e">
        <f t="shared" si="116"/>
        <v>#REF!</v>
      </c>
      <c r="DM46" s="4" t="e">
        <f t="shared" si="151"/>
        <v>#REF!</v>
      </c>
      <c r="DO46" s="4">
        <f t="shared" si="152"/>
        <v>407.33948135174728</v>
      </c>
      <c r="DS46" s="4">
        <f t="shared" si="118"/>
        <v>0.85</v>
      </c>
      <c r="DT46" s="4">
        <f t="shared" si="119"/>
        <v>0.7</v>
      </c>
      <c r="DU46" s="4">
        <f t="shared" si="120"/>
        <v>0.73926932853865712</v>
      </c>
      <c r="DV46" s="4">
        <f t="shared" si="121"/>
        <v>0.7</v>
      </c>
      <c r="DX46" s="4" t="e">
        <f t="shared" si="122"/>
        <v>#REF!</v>
      </c>
      <c r="DY46" s="25">
        <f t="shared" si="123"/>
        <v>408.72292929303057</v>
      </c>
      <c r="EB46" s="4">
        <f t="shared" si="75"/>
        <v>9.0324733825588019</v>
      </c>
      <c r="EC46" s="4">
        <f t="shared" si="124"/>
        <v>8.5989146601959785</v>
      </c>
      <c r="EE46" s="4">
        <f t="shared" si="125"/>
        <v>77.858162529590359</v>
      </c>
      <c r="EF46" s="4">
        <f t="shared" si="126"/>
        <v>3.0652819893539514</v>
      </c>
      <c r="EG46" s="4">
        <f t="shared" si="127"/>
        <v>0.13651440651779981</v>
      </c>
      <c r="EJ46" s="4">
        <f t="shared" si="128"/>
        <v>0.13651440651779981</v>
      </c>
      <c r="EK46" s="4">
        <f t="shared" si="129"/>
        <v>0.42335391356529956</v>
      </c>
      <c r="EL46" s="4">
        <f t="shared" si="130"/>
        <v>6.4045426479058536</v>
      </c>
      <c r="EM46" s="4">
        <f t="shared" si="131"/>
        <v>7.8298647207808791</v>
      </c>
      <c r="EN46" s="4">
        <f t="shared" si="132"/>
        <v>136.45433747040965</v>
      </c>
      <c r="EO46" s="4">
        <f t="shared" si="133"/>
        <v>71.4375</v>
      </c>
      <c r="EP46" s="4">
        <f t="shared" si="134"/>
        <v>2.0755210712749404E-5</v>
      </c>
      <c r="EQ46" s="4">
        <f t="shared" si="135"/>
        <v>8.3333118005347053</v>
      </c>
      <c r="ER46" s="4" t="e">
        <f t="shared" si="136"/>
        <v>#REF!</v>
      </c>
      <c r="ES46" s="4" t="e">
        <f t="shared" si="137"/>
        <v>#REF!</v>
      </c>
      <c r="ET46" s="4" t="e">
        <f t="shared" si="138"/>
        <v>#REF!</v>
      </c>
      <c r="EV46" s="4" t="e">
        <f t="shared" si="139"/>
        <v>#REF!</v>
      </c>
      <c r="FA46" s="23"/>
      <c r="FB46" s="23"/>
      <c r="FC46" s="23"/>
      <c r="FD46" s="23"/>
      <c r="FE46" s="23"/>
      <c r="FF46" s="23"/>
      <c r="FG46" s="23"/>
      <c r="FH46" s="23"/>
      <c r="FR46" s="4">
        <f t="shared" si="140"/>
        <v>1</v>
      </c>
      <c r="FS46" s="4">
        <f t="shared" si="141"/>
        <v>0.68688155922038985</v>
      </c>
      <c r="FT46" s="4">
        <f t="shared" si="142"/>
        <v>0.3</v>
      </c>
      <c r="FU46" s="4">
        <f t="shared" si="143"/>
        <v>396.26942221324936</v>
      </c>
    </row>
    <row r="47" spans="2:178" ht="12" customHeight="1" x14ac:dyDescent="0.3">
      <c r="B47" s="24"/>
      <c r="C47" s="7" t="s">
        <v>106</v>
      </c>
      <c r="D47" s="28">
        <f t="shared" si="144"/>
        <v>517.5</v>
      </c>
      <c r="E47" s="7">
        <f t="shared" si="157"/>
        <v>285.75</v>
      </c>
      <c r="F47" s="7">
        <v>34.659999999999997</v>
      </c>
      <c r="G47" s="7">
        <v>25.4</v>
      </c>
      <c r="H47" s="7">
        <v>229</v>
      </c>
      <c r="I47" s="7">
        <f t="shared" si="77"/>
        <v>101.8</v>
      </c>
      <c r="J47" s="7">
        <v>305</v>
      </c>
      <c r="K47" s="7">
        <v>0</v>
      </c>
      <c r="L47" s="7">
        <v>1</v>
      </c>
      <c r="M47" s="7">
        <v>78.97</v>
      </c>
      <c r="N47" s="7">
        <f t="shared" si="78"/>
        <v>3.6090551181102364</v>
      </c>
      <c r="O47" s="28">
        <f t="shared" si="145"/>
        <v>3.6090551181102364</v>
      </c>
      <c r="P47" s="28">
        <f t="shared" si="79"/>
        <v>8.3959536742577185</v>
      </c>
      <c r="Q47" s="7">
        <f t="shared" si="80"/>
        <v>8.3959536742577185</v>
      </c>
      <c r="R47" s="7">
        <f t="shared" si="81"/>
        <v>9.3959536742577185</v>
      </c>
      <c r="S47" s="7">
        <f t="shared" si="82"/>
        <v>77.858162529590359</v>
      </c>
      <c r="T47" s="7"/>
      <c r="U47" s="7"/>
      <c r="V47" s="7">
        <f>261.45/(PI()/4*G47^2)*1000</f>
        <v>515.97817436141156</v>
      </c>
      <c r="W47" s="7"/>
      <c r="X47" s="7"/>
      <c r="Y47" s="7">
        <v>9.5</v>
      </c>
      <c r="Z47" s="7">
        <v>5</v>
      </c>
      <c r="AA47" s="7">
        <v>64</v>
      </c>
      <c r="AB47" s="7">
        <v>5</v>
      </c>
      <c r="AC47" s="7"/>
      <c r="AD47" s="7"/>
      <c r="AE47" s="4">
        <f t="shared" si="154"/>
        <v>285.75</v>
      </c>
      <c r="AF47" s="4">
        <f t="shared" si="83"/>
        <v>0.16213252530757466</v>
      </c>
      <c r="AG47" s="25">
        <f t="shared" si="84"/>
        <v>561.22411424012159</v>
      </c>
      <c r="AH47" s="4">
        <f t="shared" si="85"/>
        <v>0.7641609798775153</v>
      </c>
      <c r="AI47" s="4">
        <v>1.25</v>
      </c>
      <c r="AJ47" s="25">
        <f t="shared" si="146"/>
        <v>5</v>
      </c>
      <c r="AK47" s="38">
        <f t="shared" si="147"/>
        <v>434.58161081603589</v>
      </c>
      <c r="AL47" s="38">
        <f t="shared" si="148"/>
        <v>434.58161081603589</v>
      </c>
      <c r="AN47" s="38">
        <f t="shared" si="86"/>
        <v>434.58161081603555</v>
      </c>
      <c r="AO47" s="38">
        <f t="shared" si="87"/>
        <v>1.0000000000000009</v>
      </c>
      <c r="AR47" s="4" t="e">
        <f>#REF!/G47*F47^0.5/0.19</f>
        <v>#REF!</v>
      </c>
      <c r="AS47" s="4">
        <f t="shared" si="88"/>
        <v>1</v>
      </c>
      <c r="AT47" s="38">
        <f t="shared" si="89"/>
        <v>724.91499881675827</v>
      </c>
      <c r="AU47" s="4">
        <f t="shared" si="90"/>
        <v>0.3</v>
      </c>
      <c r="AV47" s="4" t="e">
        <f>AU47*D47*#REF!/(D47*G47/2.75/F47^0.5)</f>
        <v>#REF!</v>
      </c>
      <c r="AW47" s="4" t="e">
        <f t="shared" si="91"/>
        <v>#REF!</v>
      </c>
      <c r="AY47" s="36">
        <f t="shared" si="92"/>
        <v>2.2250000000000001</v>
      </c>
      <c r="AZ47" s="36" t="e">
        <f>(1.6*#REF!+22)*AY47*F47^0.5</f>
        <v>#REF!</v>
      </c>
      <c r="BE47" s="4">
        <f t="shared" si="93"/>
        <v>101.8</v>
      </c>
      <c r="BF47" s="4">
        <f t="shared" si="94"/>
        <v>78.97</v>
      </c>
      <c r="BG47" s="4">
        <f t="shared" si="95"/>
        <v>101.8</v>
      </c>
      <c r="BH47" s="4">
        <f t="shared" si="96"/>
        <v>91.67</v>
      </c>
      <c r="BI47" s="4">
        <f t="shared" si="97"/>
        <v>1.0289097125490694</v>
      </c>
      <c r="BJ47" s="25">
        <f t="shared" si="98"/>
        <v>4</v>
      </c>
      <c r="BL47" s="4">
        <f t="shared" si="99"/>
        <v>101.8</v>
      </c>
      <c r="BP47" s="9"/>
      <c r="BR47" s="9"/>
      <c r="BS47" s="9"/>
      <c r="BT47" s="9">
        <f t="shared" si="100"/>
        <v>101.8</v>
      </c>
      <c r="BU47" s="9">
        <f t="shared" si="101"/>
        <v>101.8</v>
      </c>
      <c r="BV47" s="9">
        <f t="shared" si="102"/>
        <v>2.001967536137395</v>
      </c>
      <c r="BW47" s="9">
        <v>20</v>
      </c>
      <c r="BX47" s="9">
        <f t="shared" si="103"/>
        <v>0.05</v>
      </c>
      <c r="BY47" s="9">
        <f t="shared" si="104"/>
        <v>0.8</v>
      </c>
      <c r="BZ47" s="9">
        <f t="shared" si="105"/>
        <v>0.99524931562137331</v>
      </c>
      <c r="CA47" s="9">
        <f t="shared" si="106"/>
        <v>0.97375</v>
      </c>
      <c r="CB47" s="9">
        <f t="shared" si="107"/>
        <v>1.9969246679255115</v>
      </c>
      <c r="CC47" s="9">
        <f t="shared" si="108"/>
        <v>4.9923116698137786</v>
      </c>
      <c r="CD47" s="9">
        <v>1</v>
      </c>
      <c r="CE47" s="9" t="e">
        <f>4*CC47*#REF!+60*CC47</f>
        <v>#REF!</v>
      </c>
      <c r="DB47" s="4">
        <f t="shared" si="109"/>
        <v>5</v>
      </c>
      <c r="DC47" s="4">
        <f t="shared" si="110"/>
        <v>285.75</v>
      </c>
      <c r="DD47" s="4" t="e">
        <f>#REF!/E47</f>
        <v>#REF!</v>
      </c>
      <c r="DF47" s="4">
        <f t="shared" si="111"/>
        <v>2.0755210712749404E-5</v>
      </c>
      <c r="DG47" s="4">
        <f t="shared" si="112"/>
        <v>9.0324733825588019</v>
      </c>
      <c r="DI47" s="4">
        <f t="shared" si="149"/>
        <v>0</v>
      </c>
      <c r="DJ47" s="4">
        <f t="shared" si="150"/>
        <v>6.4517667018277161</v>
      </c>
      <c r="DK47" s="4">
        <f t="shared" si="115"/>
        <v>8.5873792483918443</v>
      </c>
      <c r="DL47" s="38" t="e">
        <f t="shared" si="116"/>
        <v>#REF!</v>
      </c>
      <c r="DM47" s="4" t="e">
        <f t="shared" si="151"/>
        <v>#REF!</v>
      </c>
      <c r="DO47" s="4">
        <f t="shared" si="152"/>
        <v>434.58161081603555</v>
      </c>
      <c r="DS47" s="4">
        <f t="shared" si="118"/>
        <v>0.85</v>
      </c>
      <c r="DT47" s="4">
        <f t="shared" si="119"/>
        <v>0.7</v>
      </c>
      <c r="DU47" s="4">
        <f t="shared" si="120"/>
        <v>0.7</v>
      </c>
      <c r="DV47" s="4">
        <f t="shared" si="121"/>
        <v>0.7</v>
      </c>
      <c r="DX47" s="4" t="e">
        <f t="shared" si="122"/>
        <v>#REF!</v>
      </c>
      <c r="DY47" s="25">
        <f t="shared" si="123"/>
        <v>417.38710733509936</v>
      </c>
      <c r="EB47" s="4">
        <f t="shared" si="75"/>
        <v>9.0324733825588019</v>
      </c>
      <c r="EC47" s="4">
        <f t="shared" si="124"/>
        <v>8.5989146601959785</v>
      </c>
      <c r="EE47" s="4">
        <f t="shared" si="125"/>
        <v>77.858162529590359</v>
      </c>
      <c r="EF47" s="4">
        <f t="shared" si="126"/>
        <v>3.0652819893539514</v>
      </c>
      <c r="EG47" s="4">
        <f t="shared" si="127"/>
        <v>0.14564424368398154</v>
      </c>
      <c r="EJ47" s="4">
        <f t="shared" si="128"/>
        <v>0.14564424368398154</v>
      </c>
      <c r="EK47" s="4">
        <f t="shared" si="129"/>
        <v>0.45166705935781332</v>
      </c>
      <c r="EL47" s="4">
        <f t="shared" si="130"/>
        <v>6.5725524066777705</v>
      </c>
      <c r="EM47" s="4">
        <f t="shared" si="131"/>
        <v>7.8990954935645004</v>
      </c>
      <c r="EN47" s="4">
        <f t="shared" si="132"/>
        <v>136.45433747040965</v>
      </c>
      <c r="EO47" s="4">
        <f t="shared" si="133"/>
        <v>71.4375</v>
      </c>
      <c r="EP47" s="4">
        <f t="shared" si="134"/>
        <v>2.0755210712749404E-5</v>
      </c>
      <c r="EQ47" s="4">
        <f t="shared" si="135"/>
        <v>8.324976824069628</v>
      </c>
      <c r="ER47" s="4" t="e">
        <f t="shared" si="136"/>
        <v>#REF!</v>
      </c>
      <c r="ES47" s="4" t="e">
        <f t="shared" si="137"/>
        <v>#REF!</v>
      </c>
      <c r="ET47" s="4" t="e">
        <f t="shared" si="138"/>
        <v>#REF!</v>
      </c>
      <c r="EV47" s="4" t="e">
        <f t="shared" si="139"/>
        <v>#REF!</v>
      </c>
      <c r="FA47" s="23"/>
      <c r="FB47" s="23"/>
      <c r="FC47" s="23"/>
      <c r="FD47" s="23"/>
      <c r="FE47" s="23"/>
      <c r="FF47" s="23"/>
      <c r="FG47" s="23"/>
      <c r="FH47" s="23"/>
      <c r="FR47" s="4">
        <f t="shared" si="140"/>
        <v>1</v>
      </c>
      <c r="FS47" s="4">
        <f t="shared" si="141"/>
        <v>0.68688155922038985</v>
      </c>
      <c r="FT47" s="4">
        <f t="shared" si="142"/>
        <v>0.3</v>
      </c>
      <c r="FU47" s="4">
        <f t="shared" si="143"/>
        <v>396.26942221324936</v>
      </c>
    </row>
    <row r="48" spans="2:178" ht="12" customHeight="1" x14ac:dyDescent="0.3">
      <c r="B48" s="24"/>
      <c r="C48" s="31" t="s">
        <v>305</v>
      </c>
      <c r="D48" s="28">
        <f t="shared" si="144"/>
        <v>517.5</v>
      </c>
      <c r="E48" s="7">
        <f t="shared" si="157"/>
        <v>285.75</v>
      </c>
      <c r="F48" s="7">
        <v>34.659999999999997</v>
      </c>
      <c r="G48" s="7">
        <v>25.4</v>
      </c>
      <c r="H48" s="7">
        <v>229</v>
      </c>
      <c r="I48" s="7">
        <f t="shared" si="77"/>
        <v>101.8</v>
      </c>
      <c r="J48" s="7">
        <v>305</v>
      </c>
      <c r="K48" s="7">
        <v>0</v>
      </c>
      <c r="L48" s="7">
        <v>1</v>
      </c>
      <c r="M48" s="7">
        <v>78.790000000000006</v>
      </c>
      <c r="N48" s="7">
        <f t="shared" si="78"/>
        <v>3.6019685039370084</v>
      </c>
      <c r="O48" s="28">
        <f t="shared" si="145"/>
        <v>3.6019685039370084</v>
      </c>
      <c r="P48" s="28">
        <f t="shared" si="79"/>
        <v>8.3959536742577185</v>
      </c>
      <c r="Q48" s="7">
        <f t="shared" si="80"/>
        <v>8.3959536742577185</v>
      </c>
      <c r="R48" s="7">
        <f t="shared" si="81"/>
        <v>9.3959536742577185</v>
      </c>
      <c r="S48" s="7">
        <f t="shared" si="82"/>
        <v>77.858162529590359</v>
      </c>
      <c r="T48" s="7"/>
      <c r="U48" s="7"/>
      <c r="V48" s="7">
        <f>263.9/(PI()/4*G48^2)*1000</f>
        <v>520.81331120281709</v>
      </c>
      <c r="W48" s="7"/>
      <c r="X48" s="7"/>
      <c r="Y48" s="7">
        <v>9.5</v>
      </c>
      <c r="Z48" s="7">
        <v>5</v>
      </c>
      <c r="AA48" s="7">
        <v>64</v>
      </c>
      <c r="AB48" s="7">
        <v>5</v>
      </c>
      <c r="AC48" s="7"/>
      <c r="AD48" s="7"/>
      <c r="AE48" s="4">
        <f t="shared" si="154"/>
        <v>285.75</v>
      </c>
      <c r="AF48" s="4">
        <f t="shared" si="83"/>
        <v>0.16207643433119515</v>
      </c>
      <c r="AG48" s="25">
        <f t="shared" si="84"/>
        <v>561.22411424012159</v>
      </c>
      <c r="AH48" s="4">
        <f t="shared" si="85"/>
        <v>0.76403499562554678</v>
      </c>
      <c r="AI48" s="4">
        <v>1.25</v>
      </c>
      <c r="AJ48" s="25">
        <f t="shared" si="146"/>
        <v>5</v>
      </c>
      <c r="AK48" s="38">
        <f t="shared" si="147"/>
        <v>434.35964101816023</v>
      </c>
      <c r="AL48" s="38">
        <f t="shared" si="148"/>
        <v>434.35964101816023</v>
      </c>
      <c r="AN48" s="38">
        <f t="shared" si="86"/>
        <v>434.35964101816</v>
      </c>
      <c r="AO48" s="38">
        <f t="shared" si="87"/>
        <v>1.0000000000000004</v>
      </c>
      <c r="AR48" s="4" t="e">
        <f>#REF!/G48*F48^0.5/0.19</f>
        <v>#REF!</v>
      </c>
      <c r="AS48" s="4">
        <f t="shared" si="88"/>
        <v>1</v>
      </c>
      <c r="AT48" s="38">
        <f t="shared" si="89"/>
        <v>723.49158112517978</v>
      </c>
      <c r="AU48" s="4">
        <f t="shared" si="90"/>
        <v>0.3</v>
      </c>
      <c r="AV48" s="4" t="e">
        <f>AU48*D48*#REF!/(D48*G48/2.75/F48^0.5)</f>
        <v>#REF!</v>
      </c>
      <c r="AW48" s="4" t="e">
        <f t="shared" si="91"/>
        <v>#REF!</v>
      </c>
      <c r="AY48" s="36">
        <f t="shared" si="92"/>
        <v>2.2250000000000001</v>
      </c>
      <c r="AZ48" s="36" t="e">
        <f>(1.6*#REF!+22)*AY48*F48^0.5</f>
        <v>#REF!</v>
      </c>
      <c r="BE48" s="4">
        <f t="shared" si="93"/>
        <v>101.8</v>
      </c>
      <c r="BF48" s="4">
        <f t="shared" si="94"/>
        <v>78.790000000000006</v>
      </c>
      <c r="BG48" s="4">
        <f t="shared" si="95"/>
        <v>101.8</v>
      </c>
      <c r="BH48" s="4">
        <f t="shared" si="96"/>
        <v>91.490000000000009</v>
      </c>
      <c r="BI48" s="4">
        <f t="shared" si="97"/>
        <v>1.0292042137327071</v>
      </c>
      <c r="BJ48" s="25">
        <f t="shared" si="98"/>
        <v>4</v>
      </c>
      <c r="BL48" s="4">
        <f t="shared" si="99"/>
        <v>101.8</v>
      </c>
      <c r="BP48" s="9"/>
      <c r="BR48" s="9"/>
      <c r="BS48" s="9"/>
      <c r="BT48" s="9">
        <f t="shared" si="100"/>
        <v>101.8</v>
      </c>
      <c r="BU48" s="9">
        <f t="shared" si="101"/>
        <v>101.8</v>
      </c>
      <c r="BV48" s="9">
        <f t="shared" si="102"/>
        <v>2.001967536137395</v>
      </c>
      <c r="BW48" s="9">
        <v>20</v>
      </c>
      <c r="BX48" s="9">
        <f t="shared" si="103"/>
        <v>0.05</v>
      </c>
      <c r="BY48" s="9">
        <f t="shared" si="104"/>
        <v>0.8</v>
      </c>
      <c r="BZ48" s="9">
        <f t="shared" si="105"/>
        <v>0.99524931562137331</v>
      </c>
      <c r="CA48" s="9">
        <f t="shared" si="106"/>
        <v>0.97375</v>
      </c>
      <c r="CB48" s="9">
        <f t="shared" si="107"/>
        <v>1.9969246679255115</v>
      </c>
      <c r="CC48" s="9">
        <f t="shared" si="108"/>
        <v>4.9923116698137786</v>
      </c>
      <c r="CD48" s="9">
        <v>1</v>
      </c>
      <c r="CE48" s="9" t="e">
        <f>4*CC48*#REF!+60*CC48</f>
        <v>#REF!</v>
      </c>
      <c r="DB48" s="4">
        <f t="shared" si="109"/>
        <v>5</v>
      </c>
      <c r="DC48" s="4">
        <f t="shared" si="110"/>
        <v>285.75</v>
      </c>
      <c r="DD48" s="4" t="e">
        <f>#REF!/E48</f>
        <v>#REF!</v>
      </c>
      <c r="DF48" s="4">
        <f t="shared" si="111"/>
        <v>2.0755210712749404E-5</v>
      </c>
      <c r="DG48" s="4">
        <f t="shared" si="112"/>
        <v>9.0324733825588019</v>
      </c>
      <c r="DI48" s="4">
        <f t="shared" si="149"/>
        <v>0</v>
      </c>
      <c r="DJ48" s="4">
        <f t="shared" si="150"/>
        <v>6.4517667018277161</v>
      </c>
      <c r="DK48" s="4">
        <f t="shared" si="115"/>
        <v>8.5873792483918443</v>
      </c>
      <c r="DL48" s="38" t="e">
        <f t="shared" si="116"/>
        <v>#REF!</v>
      </c>
      <c r="DM48" s="4" t="e">
        <f t="shared" si="151"/>
        <v>#REF!</v>
      </c>
      <c r="DO48" s="4">
        <f t="shared" si="152"/>
        <v>434.35964101816</v>
      </c>
      <c r="DS48" s="4">
        <f t="shared" si="118"/>
        <v>0.85</v>
      </c>
      <c r="DT48" s="4">
        <f t="shared" si="119"/>
        <v>0.7</v>
      </c>
      <c r="DU48" s="4">
        <f t="shared" si="120"/>
        <v>0.7</v>
      </c>
      <c r="DV48" s="4">
        <f t="shared" si="121"/>
        <v>0.7</v>
      </c>
      <c r="DX48" s="4" t="e">
        <f t="shared" si="122"/>
        <v>#REF!</v>
      </c>
      <c r="DY48" s="25">
        <f t="shared" si="123"/>
        <v>417.31748447583271</v>
      </c>
      <c r="EB48" s="4">
        <f t="shared" si="75"/>
        <v>9.0324733825588019</v>
      </c>
      <c r="EC48" s="4">
        <f t="shared" si="124"/>
        <v>8.5989146601959785</v>
      </c>
      <c r="EE48" s="4">
        <f t="shared" si="125"/>
        <v>77.858162529590359</v>
      </c>
      <c r="EF48" s="4">
        <f t="shared" si="126"/>
        <v>3.0652819893539514</v>
      </c>
      <c r="EG48" s="4">
        <f t="shared" si="127"/>
        <v>0.14556985346007961</v>
      </c>
      <c r="EJ48" s="4">
        <f t="shared" si="128"/>
        <v>0.14556985346007961</v>
      </c>
      <c r="EK48" s="4">
        <f t="shared" si="129"/>
        <v>0.45143636288245065</v>
      </c>
      <c r="EL48" s="4">
        <f t="shared" si="130"/>
        <v>6.5712093846056652</v>
      </c>
      <c r="EM48" s="4">
        <f t="shared" si="131"/>
        <v>7.8985373382272543</v>
      </c>
      <c r="EN48" s="4">
        <f t="shared" si="132"/>
        <v>136.45433747040965</v>
      </c>
      <c r="EO48" s="4">
        <f t="shared" si="133"/>
        <v>71.4375</v>
      </c>
      <c r="EP48" s="4">
        <f t="shared" si="134"/>
        <v>2.0755210712749404E-5</v>
      </c>
      <c r="EQ48" s="4">
        <f t="shared" si="135"/>
        <v>8.3250436910150292</v>
      </c>
      <c r="ER48" s="4" t="e">
        <f t="shared" si="136"/>
        <v>#REF!</v>
      </c>
      <c r="ES48" s="4" t="e">
        <f t="shared" si="137"/>
        <v>#REF!</v>
      </c>
      <c r="ET48" s="4" t="e">
        <f t="shared" si="138"/>
        <v>#REF!</v>
      </c>
      <c r="EV48" s="4" t="e">
        <f t="shared" si="139"/>
        <v>#REF!</v>
      </c>
      <c r="FA48" s="23"/>
      <c r="FB48" s="23"/>
      <c r="FC48" s="23"/>
      <c r="FD48" s="23"/>
      <c r="FE48" s="23"/>
      <c r="FF48" s="23"/>
      <c r="FG48" s="23"/>
      <c r="FH48" s="23"/>
      <c r="FR48" s="4">
        <f t="shared" si="140"/>
        <v>1</v>
      </c>
      <c r="FS48" s="4">
        <f t="shared" si="141"/>
        <v>0.68688155922038985</v>
      </c>
      <c r="FT48" s="4">
        <f t="shared" si="142"/>
        <v>0.3</v>
      </c>
      <c r="FU48" s="4">
        <f t="shared" si="143"/>
        <v>396.26942221324936</v>
      </c>
    </row>
    <row r="49" spans="1:177" ht="12" customHeight="1" x14ac:dyDescent="0.3">
      <c r="B49" s="24"/>
      <c r="C49" s="7" t="s">
        <v>107</v>
      </c>
      <c r="D49" s="28">
        <f t="shared" si="144"/>
        <v>517.5</v>
      </c>
      <c r="E49" s="7">
        <f t="shared" si="157"/>
        <v>285.75</v>
      </c>
      <c r="F49" s="7">
        <v>34.659999999999997</v>
      </c>
      <c r="G49" s="7">
        <v>25.4</v>
      </c>
      <c r="H49" s="7">
        <v>229</v>
      </c>
      <c r="I49" s="7">
        <f t="shared" si="77"/>
        <v>101.8</v>
      </c>
      <c r="J49" s="7">
        <v>305</v>
      </c>
      <c r="K49" s="7">
        <v>0</v>
      </c>
      <c r="L49" s="7">
        <v>1</v>
      </c>
      <c r="M49" s="7">
        <v>79.319999999999993</v>
      </c>
      <c r="N49" s="7">
        <f t="shared" si="78"/>
        <v>3.6228346456692915</v>
      </c>
      <c r="O49" s="28">
        <f t="shared" si="145"/>
        <v>3.6228346456692915</v>
      </c>
      <c r="P49" s="28">
        <f t="shared" si="79"/>
        <v>8.3959536742577185</v>
      </c>
      <c r="Q49" s="7">
        <f t="shared" si="80"/>
        <v>8.3959536742577185</v>
      </c>
      <c r="R49" s="7">
        <f t="shared" si="81"/>
        <v>9.3959536742577185</v>
      </c>
      <c r="S49" s="7">
        <f t="shared" si="82"/>
        <v>77.858162529590359</v>
      </c>
      <c r="T49" s="7"/>
      <c r="U49" s="7"/>
      <c r="V49" s="7">
        <f>267.24/(PI()/4*G49^2)*1000</f>
        <v>527.40488550905957</v>
      </c>
      <c r="W49" s="7"/>
      <c r="X49" s="7"/>
      <c r="Y49" s="7">
        <v>9.5</v>
      </c>
      <c r="Z49" s="7">
        <v>5</v>
      </c>
      <c r="AA49" s="7">
        <v>64</v>
      </c>
      <c r="AB49" s="7">
        <v>5</v>
      </c>
      <c r="AC49" s="7"/>
      <c r="AD49" s="7"/>
      <c r="AE49" s="4">
        <f t="shared" si="154"/>
        <v>285.75</v>
      </c>
      <c r="AF49" s="4">
        <f t="shared" si="83"/>
        <v>0.16224159109497918</v>
      </c>
      <c r="AG49" s="25">
        <f t="shared" si="84"/>
        <v>561.22411424012159</v>
      </c>
      <c r="AH49" s="4">
        <f t="shared" si="85"/>
        <v>0.76440594925634286</v>
      </c>
      <c r="AI49" s="4">
        <v>1.25</v>
      </c>
      <c r="AJ49" s="25">
        <f t="shared" si="146"/>
        <v>5</v>
      </c>
      <c r="AK49" s="38">
        <f t="shared" si="147"/>
        <v>435.01336067010908</v>
      </c>
      <c r="AL49" s="38">
        <f t="shared" si="148"/>
        <v>435.01336067010908</v>
      </c>
      <c r="AN49" s="38">
        <f t="shared" si="86"/>
        <v>435.01336067010885</v>
      </c>
      <c r="AO49" s="38">
        <f t="shared" si="87"/>
        <v>1.0000000000000004</v>
      </c>
      <c r="AR49" s="4" t="e">
        <f>#REF!/G49*F49^0.5/0.19</f>
        <v>#REF!</v>
      </c>
      <c r="AS49" s="4">
        <f t="shared" si="88"/>
        <v>1</v>
      </c>
      <c r="AT49" s="38">
        <f t="shared" si="89"/>
        <v>727.68275543927234</v>
      </c>
      <c r="AU49" s="4">
        <f t="shared" si="90"/>
        <v>0.3</v>
      </c>
      <c r="AV49" s="4" t="e">
        <f>AU49*D49*#REF!/(D49*G49/2.75/F49^0.5)</f>
        <v>#REF!</v>
      </c>
      <c r="AW49" s="4" t="e">
        <f t="shared" si="91"/>
        <v>#REF!</v>
      </c>
      <c r="AY49" s="36">
        <f t="shared" si="92"/>
        <v>2.2250000000000001</v>
      </c>
      <c r="AZ49" s="36" t="e">
        <f>(1.6*#REF!+22)*AY49*F49^0.5</f>
        <v>#REF!</v>
      </c>
      <c r="BE49" s="4">
        <f t="shared" si="93"/>
        <v>101.8</v>
      </c>
      <c r="BF49" s="4">
        <f t="shared" si="94"/>
        <v>79.319999999999993</v>
      </c>
      <c r="BG49" s="4">
        <f t="shared" si="95"/>
        <v>101.8</v>
      </c>
      <c r="BH49" s="4">
        <f t="shared" si="96"/>
        <v>92.02</v>
      </c>
      <c r="BI49" s="4">
        <f t="shared" si="97"/>
        <v>1.0283408976298538</v>
      </c>
      <c r="BJ49" s="25">
        <f t="shared" si="98"/>
        <v>4</v>
      </c>
      <c r="BL49" s="4">
        <f t="shared" si="99"/>
        <v>101.8</v>
      </c>
      <c r="BP49" s="9"/>
      <c r="BR49" s="9"/>
      <c r="BS49" s="9"/>
      <c r="BT49" s="9">
        <f t="shared" si="100"/>
        <v>101.8</v>
      </c>
      <c r="BU49" s="9">
        <f t="shared" si="101"/>
        <v>101.8</v>
      </c>
      <c r="BV49" s="9">
        <f t="shared" si="102"/>
        <v>2.001967536137395</v>
      </c>
      <c r="BW49" s="9">
        <v>20</v>
      </c>
      <c r="BX49" s="9">
        <f t="shared" si="103"/>
        <v>0.05</v>
      </c>
      <c r="BY49" s="9">
        <f t="shared" si="104"/>
        <v>0.8</v>
      </c>
      <c r="BZ49" s="9">
        <f t="shared" si="105"/>
        <v>0.99524931562137331</v>
      </c>
      <c r="CA49" s="9">
        <f t="shared" si="106"/>
        <v>0.97375</v>
      </c>
      <c r="CB49" s="9">
        <f t="shared" si="107"/>
        <v>1.9969246679255115</v>
      </c>
      <c r="CC49" s="9">
        <f t="shared" si="108"/>
        <v>4.9923116698137786</v>
      </c>
      <c r="CD49" s="9">
        <v>1</v>
      </c>
      <c r="CE49" s="9" t="e">
        <f>4*CC49*#REF!+60*CC49</f>
        <v>#REF!</v>
      </c>
      <c r="DB49" s="4">
        <f t="shared" si="109"/>
        <v>5</v>
      </c>
      <c r="DC49" s="4">
        <f t="shared" si="110"/>
        <v>285.75</v>
      </c>
      <c r="DD49" s="4" t="e">
        <f>#REF!/E49</f>
        <v>#REF!</v>
      </c>
      <c r="DF49" s="4">
        <f t="shared" si="111"/>
        <v>2.0755210712749404E-5</v>
      </c>
      <c r="DG49" s="4">
        <f t="shared" si="112"/>
        <v>9.0324733825588019</v>
      </c>
      <c r="DI49" s="4">
        <f t="shared" si="149"/>
        <v>0</v>
      </c>
      <c r="DJ49" s="4">
        <f t="shared" si="150"/>
        <v>6.4517667018277161</v>
      </c>
      <c r="DK49" s="4">
        <f t="shared" si="115"/>
        <v>8.5873792483918443</v>
      </c>
      <c r="DL49" s="38" t="e">
        <f t="shared" si="116"/>
        <v>#REF!</v>
      </c>
      <c r="DM49" s="4" t="e">
        <f t="shared" si="151"/>
        <v>#REF!</v>
      </c>
      <c r="DO49" s="4">
        <f t="shared" si="152"/>
        <v>435.01336067010885</v>
      </c>
      <c r="DS49" s="4">
        <f t="shared" si="118"/>
        <v>0.85</v>
      </c>
      <c r="DT49" s="4">
        <f t="shared" si="119"/>
        <v>0.7</v>
      </c>
      <c r="DU49" s="4">
        <f t="shared" si="120"/>
        <v>0.7</v>
      </c>
      <c r="DV49" s="4">
        <f t="shared" si="121"/>
        <v>0.7</v>
      </c>
      <c r="DX49" s="4" t="e">
        <f t="shared" si="122"/>
        <v>#REF!</v>
      </c>
      <c r="DY49" s="25">
        <f t="shared" si="123"/>
        <v>417.52248511700668</v>
      </c>
      <c r="EB49" s="4">
        <f t="shared" si="75"/>
        <v>9.0324733825588019</v>
      </c>
      <c r="EC49" s="4">
        <f t="shared" si="124"/>
        <v>8.5989146601959785</v>
      </c>
      <c r="EE49" s="4">
        <f t="shared" si="125"/>
        <v>77.858162529590359</v>
      </c>
      <c r="EF49" s="4">
        <f t="shared" si="126"/>
        <v>3.0652819893539514</v>
      </c>
      <c r="EG49" s="4">
        <f t="shared" si="127"/>
        <v>0.14578893890207673</v>
      </c>
      <c r="EJ49" s="4">
        <f t="shared" si="128"/>
        <v>0.14578893890207673</v>
      </c>
      <c r="EK49" s="4">
        <f t="shared" si="129"/>
        <v>0.45211578333074282</v>
      </c>
      <c r="EL49" s="4">
        <f t="shared" si="130"/>
        <v>6.5751635187518467</v>
      </c>
      <c r="EM49" s="4">
        <f t="shared" si="131"/>
        <v>7.9001808794428525</v>
      </c>
      <c r="EN49" s="4">
        <f t="shared" si="132"/>
        <v>136.45433747040965</v>
      </c>
      <c r="EO49" s="4">
        <f t="shared" si="133"/>
        <v>71.4375</v>
      </c>
      <c r="EP49" s="4">
        <f t="shared" si="134"/>
        <v>2.0755210712749404E-5</v>
      </c>
      <c r="EQ49" s="4">
        <f t="shared" si="135"/>
        <v>8.3248468099870543</v>
      </c>
      <c r="ER49" s="4" t="e">
        <f t="shared" si="136"/>
        <v>#REF!</v>
      </c>
      <c r="ES49" s="4" t="e">
        <f t="shared" si="137"/>
        <v>#REF!</v>
      </c>
      <c r="ET49" s="4" t="e">
        <f t="shared" si="138"/>
        <v>#REF!</v>
      </c>
      <c r="EV49" s="4" t="e">
        <f t="shared" si="139"/>
        <v>#REF!</v>
      </c>
      <c r="FA49" s="23"/>
      <c r="FB49" s="23"/>
      <c r="FC49" s="23"/>
      <c r="FD49" s="23"/>
      <c r="FE49" s="23"/>
      <c r="FF49" s="23"/>
      <c r="FG49" s="23"/>
      <c r="FH49" s="23"/>
      <c r="FR49" s="4">
        <f t="shared" si="140"/>
        <v>1</v>
      </c>
      <c r="FS49" s="4">
        <f t="shared" si="141"/>
        <v>0.68688155922038985</v>
      </c>
      <c r="FT49" s="4">
        <f t="shared" si="142"/>
        <v>0.3</v>
      </c>
      <c r="FU49" s="4">
        <f t="shared" si="143"/>
        <v>396.26942221324936</v>
      </c>
    </row>
    <row r="50" spans="1:177" ht="12" customHeight="1" x14ac:dyDescent="0.3">
      <c r="B50" s="24"/>
      <c r="C50" s="31" t="s">
        <v>306</v>
      </c>
      <c r="D50" s="28">
        <f t="shared" si="144"/>
        <v>517.5</v>
      </c>
      <c r="E50" s="7">
        <f t="shared" si="157"/>
        <v>285.75</v>
      </c>
      <c r="F50" s="7">
        <v>34.659999999999997</v>
      </c>
      <c r="G50" s="7">
        <v>25.4</v>
      </c>
      <c r="H50" s="7">
        <v>229</v>
      </c>
      <c r="I50" s="7">
        <f t="shared" si="77"/>
        <v>101.8</v>
      </c>
      <c r="J50" s="7">
        <v>305</v>
      </c>
      <c r="K50" s="7">
        <v>0</v>
      </c>
      <c r="L50" s="7">
        <v>1</v>
      </c>
      <c r="M50" s="7">
        <v>49.56</v>
      </c>
      <c r="N50" s="7">
        <f t="shared" si="78"/>
        <v>2.451181102362205</v>
      </c>
      <c r="O50" s="28">
        <f t="shared" si="145"/>
        <v>2.451181102362205</v>
      </c>
      <c r="P50" s="28">
        <f t="shared" si="79"/>
        <v>8.3959536742577185</v>
      </c>
      <c r="Q50" s="7">
        <f t="shared" si="80"/>
        <v>8.3959536742577185</v>
      </c>
      <c r="R50" s="7">
        <f t="shared" si="81"/>
        <v>9.3959536742577185</v>
      </c>
      <c r="S50" s="7">
        <f t="shared" si="82"/>
        <v>77.858162529590359</v>
      </c>
      <c r="T50" s="7"/>
      <c r="U50" s="7"/>
      <c r="V50" s="7">
        <f>248.64/(PI()/4*G50^2)*1000</f>
        <v>490.69731601920591</v>
      </c>
      <c r="W50" s="7"/>
      <c r="X50" s="7"/>
      <c r="Y50" s="7">
        <v>9.5</v>
      </c>
      <c r="Z50" s="7">
        <v>5</v>
      </c>
      <c r="AA50" s="7">
        <v>64</v>
      </c>
      <c r="AB50" s="7">
        <v>5</v>
      </c>
      <c r="AC50" s="7"/>
      <c r="AD50" s="7"/>
      <c r="AE50" s="4">
        <f t="shared" si="154"/>
        <v>285.75</v>
      </c>
      <c r="AF50" s="4">
        <f t="shared" si="83"/>
        <v>0.15296788300023786</v>
      </c>
      <c r="AG50" s="25">
        <f t="shared" si="84"/>
        <v>561.22411424012159</v>
      </c>
      <c r="AH50" s="4">
        <f t="shared" si="85"/>
        <v>0.74357655293088354</v>
      </c>
      <c r="AI50" s="4">
        <v>1.25</v>
      </c>
      <c r="AJ50" s="25">
        <f t="shared" si="146"/>
        <v>5</v>
      </c>
      <c r="AK50" s="38">
        <f t="shared" si="147"/>
        <v>398.97187672270633</v>
      </c>
      <c r="AL50" s="38">
        <f t="shared" si="148"/>
        <v>398.97187672270633</v>
      </c>
      <c r="AN50" s="38">
        <f t="shared" si="86"/>
        <v>398.97187672270616</v>
      </c>
      <c r="AO50" s="38">
        <f t="shared" si="87"/>
        <v>1.0000000000000004</v>
      </c>
      <c r="AR50" s="4" t="e">
        <f>#REF!/G50*F50^0.5/0.19</f>
        <v>#REF!</v>
      </c>
      <c r="AS50" s="4">
        <f t="shared" si="88"/>
        <v>1</v>
      </c>
      <c r="AT50" s="38">
        <f t="shared" si="89"/>
        <v>492.34436376493267</v>
      </c>
      <c r="AU50" s="4">
        <f t="shared" si="90"/>
        <v>0.3</v>
      </c>
      <c r="AV50" s="4" t="e">
        <f>AU50*D50*#REF!/(D50*G50/2.75/F50^0.5)</f>
        <v>#REF!</v>
      </c>
      <c r="AW50" s="4" t="e">
        <f t="shared" si="91"/>
        <v>#REF!</v>
      </c>
      <c r="AY50" s="36">
        <f t="shared" si="92"/>
        <v>2.2201181102362204</v>
      </c>
      <c r="AZ50" s="36" t="e">
        <f>(1.6*#REF!+22)*AY50*F50^0.5</f>
        <v>#REF!</v>
      </c>
      <c r="BE50" s="4">
        <f t="shared" si="93"/>
        <v>101.8</v>
      </c>
      <c r="BF50" s="4">
        <f t="shared" si="94"/>
        <v>49.56</v>
      </c>
      <c r="BG50" s="4">
        <f t="shared" si="95"/>
        <v>101.8</v>
      </c>
      <c r="BH50" s="4">
        <f t="shared" si="96"/>
        <v>62.260000000000005</v>
      </c>
      <c r="BI50" s="4">
        <f t="shared" si="97"/>
        <v>1.1054075867635189</v>
      </c>
      <c r="BJ50" s="25">
        <f t="shared" si="98"/>
        <v>4</v>
      </c>
      <c r="BL50" s="4">
        <f t="shared" si="99"/>
        <v>101.8</v>
      </c>
      <c r="BP50" s="9"/>
      <c r="BR50" s="9"/>
      <c r="BS50" s="9"/>
      <c r="BT50" s="9">
        <f t="shared" si="100"/>
        <v>101.8</v>
      </c>
      <c r="BU50" s="9">
        <f t="shared" si="101"/>
        <v>101.8</v>
      </c>
      <c r="BV50" s="9">
        <f t="shared" si="102"/>
        <v>2.001967536137395</v>
      </c>
      <c r="BW50" s="9">
        <v>20</v>
      </c>
      <c r="BX50" s="9">
        <f t="shared" si="103"/>
        <v>0.05</v>
      </c>
      <c r="BY50" s="9">
        <f t="shared" si="104"/>
        <v>0.8</v>
      </c>
      <c r="BZ50" s="9">
        <f t="shared" si="105"/>
        <v>0.99524931562137331</v>
      </c>
      <c r="CA50" s="9">
        <f t="shared" si="106"/>
        <v>0.97375</v>
      </c>
      <c r="CB50" s="9">
        <f t="shared" si="107"/>
        <v>1.9969246679255115</v>
      </c>
      <c r="CC50" s="9">
        <f t="shared" si="108"/>
        <v>4.9923116698137786</v>
      </c>
      <c r="CD50" s="9">
        <v>1</v>
      </c>
      <c r="CE50" s="9" t="e">
        <f>4*CC50*#REF!+60*CC50</f>
        <v>#REF!</v>
      </c>
      <c r="DB50" s="4">
        <f t="shared" si="109"/>
        <v>5</v>
      </c>
      <c r="DC50" s="4">
        <f t="shared" si="110"/>
        <v>285.75</v>
      </c>
      <c r="DD50" s="4" t="e">
        <f>#REF!/E50</f>
        <v>#REF!</v>
      </c>
      <c r="DF50" s="4">
        <f t="shared" si="111"/>
        <v>2.0755210712749404E-5</v>
      </c>
      <c r="DG50" s="4">
        <f t="shared" si="112"/>
        <v>9.0324733825588019</v>
      </c>
      <c r="DI50" s="4">
        <f t="shared" si="149"/>
        <v>0</v>
      </c>
      <c r="DJ50" s="4">
        <f t="shared" si="150"/>
        <v>6.4517667018277161</v>
      </c>
      <c r="DK50" s="4">
        <f t="shared" si="115"/>
        <v>8.5873792483918443</v>
      </c>
      <c r="DL50" s="38" t="e">
        <f t="shared" si="116"/>
        <v>#REF!</v>
      </c>
      <c r="DM50" s="4" t="e">
        <f t="shared" si="151"/>
        <v>#REF!</v>
      </c>
      <c r="DO50" s="4">
        <f t="shared" si="152"/>
        <v>398.97187672270616</v>
      </c>
      <c r="DS50" s="4">
        <f t="shared" si="118"/>
        <v>0.85</v>
      </c>
      <c r="DT50" s="4">
        <f t="shared" si="119"/>
        <v>0.7</v>
      </c>
      <c r="DU50" s="4">
        <f t="shared" si="120"/>
        <v>0.7</v>
      </c>
      <c r="DV50" s="4">
        <f t="shared" si="121"/>
        <v>0.7</v>
      </c>
      <c r="DX50" s="4" t="e">
        <f t="shared" si="122"/>
        <v>#REF!</v>
      </c>
      <c r="DY50" s="25">
        <f t="shared" si="123"/>
        <v>406.01150571825815</v>
      </c>
      <c r="EB50" s="4">
        <f t="shared" si="75"/>
        <v>9.0324733825588019</v>
      </c>
      <c r="EC50" s="4">
        <f t="shared" si="124"/>
        <v>8.5989146601959785</v>
      </c>
      <c r="EE50" s="4">
        <f t="shared" si="125"/>
        <v>77.858162529590359</v>
      </c>
      <c r="EF50" s="4">
        <f t="shared" si="126"/>
        <v>3.0652819893539514</v>
      </c>
      <c r="EG50" s="4">
        <f t="shared" si="127"/>
        <v>0.1337101151780101</v>
      </c>
      <c r="EJ50" s="4">
        <f t="shared" si="128"/>
        <v>0.1337101151780101</v>
      </c>
      <c r="EK50" s="4">
        <f t="shared" si="129"/>
        <v>0.4146573390149611</v>
      </c>
      <c r="EL50" s="4">
        <f t="shared" si="130"/>
        <v>6.3515896592037286</v>
      </c>
      <c r="EM50" s="4">
        <f t="shared" si="131"/>
        <v>7.8082958220823215</v>
      </c>
      <c r="EN50" s="4">
        <f t="shared" si="132"/>
        <v>136.45433747040965</v>
      </c>
      <c r="EO50" s="4">
        <f t="shared" si="133"/>
        <v>71.4375</v>
      </c>
      <c r="EP50" s="4">
        <f t="shared" si="134"/>
        <v>2.0755210712749404E-5</v>
      </c>
      <c r="EQ50" s="4">
        <f t="shared" si="135"/>
        <v>8.3359261239969022</v>
      </c>
      <c r="ER50" s="4" t="e">
        <f t="shared" si="136"/>
        <v>#REF!</v>
      </c>
      <c r="ES50" s="4" t="e">
        <f t="shared" si="137"/>
        <v>#REF!</v>
      </c>
      <c r="ET50" s="4" t="e">
        <f t="shared" si="138"/>
        <v>#REF!</v>
      </c>
      <c r="EV50" s="4" t="e">
        <f t="shared" si="139"/>
        <v>#REF!</v>
      </c>
      <c r="FA50" s="23"/>
      <c r="FB50" s="23"/>
      <c r="FC50" s="23"/>
      <c r="FD50" s="23"/>
      <c r="FE50" s="23"/>
      <c r="FF50" s="23"/>
      <c r="FG50" s="23"/>
      <c r="FH50" s="23"/>
      <c r="FR50" s="4">
        <f t="shared" si="140"/>
        <v>1</v>
      </c>
      <c r="FS50" s="4">
        <f t="shared" si="141"/>
        <v>0.68688155922038985</v>
      </c>
      <c r="FT50" s="4">
        <f t="shared" si="142"/>
        <v>0.3</v>
      </c>
      <c r="FU50" s="4">
        <f t="shared" si="143"/>
        <v>396.26942221324936</v>
      </c>
    </row>
    <row r="51" spans="1:177" ht="12" customHeight="1" x14ac:dyDescent="0.3">
      <c r="B51" s="24"/>
      <c r="C51" s="7" t="s">
        <v>108</v>
      </c>
      <c r="D51" s="28">
        <f t="shared" si="144"/>
        <v>517.5</v>
      </c>
      <c r="E51" s="7">
        <f t="shared" si="157"/>
        <v>285.75</v>
      </c>
      <c r="F51" s="7">
        <v>34.659999999999997</v>
      </c>
      <c r="G51" s="7">
        <v>25.4</v>
      </c>
      <c r="H51" s="7">
        <v>229</v>
      </c>
      <c r="I51" s="7">
        <f t="shared" si="77"/>
        <v>101.8</v>
      </c>
      <c r="J51" s="7">
        <v>305</v>
      </c>
      <c r="K51" s="7">
        <v>0</v>
      </c>
      <c r="L51" s="7">
        <v>1</v>
      </c>
      <c r="M51" s="7">
        <v>55.37</v>
      </c>
      <c r="N51" s="7">
        <f t="shared" si="78"/>
        <v>2.6799212598425197</v>
      </c>
      <c r="O51" s="28">
        <f t="shared" si="145"/>
        <v>2.6799212598425197</v>
      </c>
      <c r="P51" s="28">
        <f t="shared" si="79"/>
        <v>8.3959536742577185</v>
      </c>
      <c r="Q51" s="7">
        <f t="shared" si="80"/>
        <v>8.3959536742577185</v>
      </c>
      <c r="R51" s="7">
        <f t="shared" si="81"/>
        <v>9.3959536742577185</v>
      </c>
      <c r="S51" s="7">
        <f t="shared" si="82"/>
        <v>77.858162529590359</v>
      </c>
      <c r="T51" s="7"/>
      <c r="U51" s="7"/>
      <c r="V51" s="7">
        <f>254.51/(PI()/4*G51^2)*1000</f>
        <v>502.28190918616514</v>
      </c>
      <c r="W51" s="7"/>
      <c r="X51" s="7"/>
      <c r="Y51" s="7">
        <v>9.5</v>
      </c>
      <c r="Z51" s="7">
        <v>5</v>
      </c>
      <c r="AA51" s="7">
        <v>64</v>
      </c>
      <c r="AB51" s="7">
        <v>5</v>
      </c>
      <c r="AC51" s="7"/>
      <c r="AD51" s="7"/>
      <c r="AE51" s="4">
        <f t="shared" si="154"/>
        <v>285.75</v>
      </c>
      <c r="AF51" s="4">
        <f t="shared" si="83"/>
        <v>0.15477837507115344</v>
      </c>
      <c r="AG51" s="25">
        <f t="shared" si="84"/>
        <v>561.22411424012159</v>
      </c>
      <c r="AH51" s="4">
        <f t="shared" si="85"/>
        <v>0.74764304461942255</v>
      </c>
      <c r="AI51" s="4">
        <v>1.25</v>
      </c>
      <c r="AJ51" s="25">
        <f t="shared" si="146"/>
        <v>5</v>
      </c>
      <c r="AK51" s="38">
        <f t="shared" si="147"/>
        <v>405.90174731467357</v>
      </c>
      <c r="AL51" s="38">
        <f t="shared" si="148"/>
        <v>405.90174731467357</v>
      </c>
      <c r="AN51" s="38">
        <f t="shared" ref="AN51:AN94" si="158">AJ51* (F51^0.5/AE51^0.5)/(PI()/4*G51^2)/L51/0.72 *(0.7+(MIN(I51,M51)+0.5*G51)/5/E51) *(H51*MIN(M51+0.5*G51+1.5*E51,508))</f>
        <v>405.90174731467334</v>
      </c>
      <c r="AO51" s="38">
        <f t="shared" si="87"/>
        <v>1.0000000000000007</v>
      </c>
      <c r="AR51" s="4" t="e">
        <f>#REF!/G51*F51^0.5/0.19</f>
        <v>#REF!</v>
      </c>
      <c r="AS51" s="4">
        <f t="shared" si="88"/>
        <v>1</v>
      </c>
      <c r="AT51" s="38">
        <f t="shared" si="89"/>
        <v>538.28912369866623</v>
      </c>
      <c r="AU51" s="4">
        <f t="shared" si="90"/>
        <v>0.3</v>
      </c>
      <c r="AV51" s="4" t="e">
        <f>AU51*D51*#REF!/(D51*G51/2.75/F51^0.5)</f>
        <v>#REF!</v>
      </c>
      <c r="AW51" s="4" t="e">
        <f t="shared" si="91"/>
        <v>#REF!</v>
      </c>
      <c r="AY51" s="36">
        <f t="shared" si="92"/>
        <v>2.2250000000000001</v>
      </c>
      <c r="AZ51" s="36" t="e">
        <f>(1.6*#REF!+22)*AY51*F51^0.5</f>
        <v>#REF!</v>
      </c>
      <c r="BE51" s="4">
        <f t="shared" si="93"/>
        <v>101.8</v>
      </c>
      <c r="BF51" s="4">
        <f t="shared" si="94"/>
        <v>55.37</v>
      </c>
      <c r="BG51" s="4">
        <f t="shared" si="95"/>
        <v>101.8</v>
      </c>
      <c r="BH51" s="4">
        <f t="shared" si="96"/>
        <v>68.069999999999993</v>
      </c>
      <c r="BI51" s="4">
        <f t="shared" si="97"/>
        <v>1.0838540726024923</v>
      </c>
      <c r="BJ51" s="25">
        <f t="shared" si="98"/>
        <v>4</v>
      </c>
      <c r="BL51" s="4">
        <f t="shared" si="99"/>
        <v>101.8</v>
      </c>
      <c r="BP51" s="9"/>
      <c r="BR51" s="9"/>
      <c r="BS51" s="9"/>
      <c r="BT51" s="9">
        <f t="shared" si="100"/>
        <v>101.8</v>
      </c>
      <c r="BU51" s="9">
        <f t="shared" si="101"/>
        <v>101.8</v>
      </c>
      <c r="BV51" s="9">
        <f t="shared" si="102"/>
        <v>2.001967536137395</v>
      </c>
      <c r="BW51" s="9">
        <v>20</v>
      </c>
      <c r="BX51" s="9">
        <f t="shared" si="103"/>
        <v>0.05</v>
      </c>
      <c r="BY51" s="9">
        <f t="shared" si="104"/>
        <v>0.8</v>
      </c>
      <c r="BZ51" s="9">
        <f t="shared" si="105"/>
        <v>0.99524931562137331</v>
      </c>
      <c r="CA51" s="9">
        <f t="shared" si="106"/>
        <v>0.97375</v>
      </c>
      <c r="CB51" s="9">
        <f t="shared" si="107"/>
        <v>1.9969246679255115</v>
      </c>
      <c r="CC51" s="9">
        <f t="shared" si="108"/>
        <v>4.9923116698137786</v>
      </c>
      <c r="CD51" s="9">
        <v>1</v>
      </c>
      <c r="CE51" s="9" t="e">
        <f>4*CC51*#REF!+60*CC51</f>
        <v>#REF!</v>
      </c>
      <c r="DB51" s="4">
        <f t="shared" si="109"/>
        <v>5</v>
      </c>
      <c r="DC51" s="4">
        <f t="shared" si="110"/>
        <v>285.75</v>
      </c>
      <c r="DD51" s="4" t="e">
        <f>#REF!/E51</f>
        <v>#REF!</v>
      </c>
      <c r="DF51" s="4">
        <f t="shared" si="111"/>
        <v>2.0755210712749404E-5</v>
      </c>
      <c r="DG51" s="4">
        <f t="shared" si="112"/>
        <v>9.0324733825588019</v>
      </c>
      <c r="DI51" s="4">
        <f t="shared" si="149"/>
        <v>0</v>
      </c>
      <c r="DJ51" s="4">
        <f t="shared" si="150"/>
        <v>6.4517667018277161</v>
      </c>
      <c r="DK51" s="4">
        <f t="shared" si="115"/>
        <v>8.5873792483918443</v>
      </c>
      <c r="DL51" s="38" t="e">
        <f t="shared" si="116"/>
        <v>#REF!</v>
      </c>
      <c r="DM51" s="4" t="e">
        <f t="shared" si="151"/>
        <v>#REF!</v>
      </c>
      <c r="DO51" s="4">
        <f t="shared" si="152"/>
        <v>405.90174731467334</v>
      </c>
      <c r="DS51" s="4">
        <f t="shared" si="118"/>
        <v>0.85</v>
      </c>
      <c r="DT51" s="4">
        <f t="shared" si="119"/>
        <v>0.7</v>
      </c>
      <c r="DU51" s="4">
        <f t="shared" si="120"/>
        <v>0.7</v>
      </c>
      <c r="DV51" s="4">
        <f t="shared" si="121"/>
        <v>0.7</v>
      </c>
      <c r="DX51" s="4" t="e">
        <f t="shared" si="122"/>
        <v>#REF!</v>
      </c>
      <c r="DY51" s="25">
        <f t="shared" si="123"/>
        <v>408.25877689791969</v>
      </c>
      <c r="EB51" s="4">
        <f t="shared" ref="EB51:EB82" si="159">IF(G51&lt;22.2,1.1*5*(F51/30)^0.5,IF(G51&gt;=31.8,0.9*5*(F51/30)^0.5,1*5*(F51/30)^0.5))/DS51/DV51</f>
        <v>9.0324733825588019</v>
      </c>
      <c r="EC51" s="4">
        <f t="shared" si="124"/>
        <v>8.5989146601959785</v>
      </c>
      <c r="EE51" s="4">
        <f t="shared" si="125"/>
        <v>77.858162529590359</v>
      </c>
      <c r="EF51" s="4">
        <f t="shared" si="126"/>
        <v>3.0652819893539514</v>
      </c>
      <c r="EG51" s="4">
        <f t="shared" si="127"/>
        <v>0.13603256908787462</v>
      </c>
      <c r="EJ51" s="4">
        <f t="shared" si="128"/>
        <v>0.13603256908787462</v>
      </c>
      <c r="EK51" s="4">
        <f t="shared" si="129"/>
        <v>0.42185965543632703</v>
      </c>
      <c r="EL51" s="4">
        <f t="shared" si="130"/>
        <v>6.3954909375802735</v>
      </c>
      <c r="EM51" s="4">
        <f t="shared" si="131"/>
        <v>7.8261691483847384</v>
      </c>
      <c r="EN51" s="4">
        <f t="shared" si="132"/>
        <v>136.45433747040965</v>
      </c>
      <c r="EO51" s="4">
        <f t="shared" si="133"/>
        <v>71.4375</v>
      </c>
      <c r="EP51" s="4">
        <f t="shared" si="134"/>
        <v>2.0755210712749404E-5</v>
      </c>
      <c r="EQ51" s="4">
        <f t="shared" si="135"/>
        <v>8.3337591242856508</v>
      </c>
      <c r="ER51" s="4" t="e">
        <f t="shared" si="136"/>
        <v>#REF!</v>
      </c>
      <c r="ES51" s="4" t="e">
        <f t="shared" si="137"/>
        <v>#REF!</v>
      </c>
      <c r="ET51" s="4" t="e">
        <f t="shared" si="138"/>
        <v>#REF!</v>
      </c>
      <c r="EV51" s="4" t="e">
        <f t="shared" si="139"/>
        <v>#REF!</v>
      </c>
      <c r="FA51" s="23"/>
      <c r="FB51" s="23"/>
      <c r="FC51" s="23"/>
      <c r="FD51" s="23"/>
      <c r="FE51" s="23"/>
      <c r="FF51" s="23"/>
      <c r="FG51" s="23"/>
      <c r="FH51" s="23"/>
      <c r="FR51" s="4">
        <f t="shared" si="140"/>
        <v>1</v>
      </c>
      <c r="FS51" s="4">
        <f t="shared" si="141"/>
        <v>0.68688155922038985</v>
      </c>
      <c r="FT51" s="4">
        <f t="shared" si="142"/>
        <v>0.3</v>
      </c>
      <c r="FU51" s="4">
        <f t="shared" si="143"/>
        <v>396.26942221324936</v>
      </c>
    </row>
    <row r="52" spans="1:177" ht="12" customHeight="1" x14ac:dyDescent="0.3">
      <c r="B52" s="24"/>
      <c r="C52" s="7" t="s">
        <v>109</v>
      </c>
      <c r="D52" s="28">
        <f t="shared" si="144"/>
        <v>517.5</v>
      </c>
      <c r="E52" s="7">
        <f t="shared" si="157"/>
        <v>285.75</v>
      </c>
      <c r="F52" s="7">
        <v>34.659999999999997</v>
      </c>
      <c r="G52" s="7">
        <v>25.4</v>
      </c>
      <c r="H52" s="7">
        <v>229</v>
      </c>
      <c r="I52" s="7">
        <f t="shared" ref="I52:I83" si="160">(H52-G52)/2</f>
        <v>101.8</v>
      </c>
      <c r="J52" s="7">
        <v>305</v>
      </c>
      <c r="K52" s="7">
        <v>0</v>
      </c>
      <c r="L52" s="7">
        <v>1</v>
      </c>
      <c r="M52" s="7">
        <v>51.69</v>
      </c>
      <c r="N52" s="7">
        <f t="shared" ref="N52:N83" si="161">MIN(H52/2/G52, (M52+G52/2)/G52)</f>
        <v>2.5350393700787404</v>
      </c>
      <c r="O52" s="28">
        <f t="shared" si="145"/>
        <v>2.5350393700787404</v>
      </c>
      <c r="P52" s="28">
        <f t="shared" si="79"/>
        <v>8.3959536742577185</v>
      </c>
      <c r="Q52" s="7">
        <f t="shared" si="80"/>
        <v>8.3959536742577185</v>
      </c>
      <c r="R52" s="7">
        <f t="shared" ref="R52:R83" si="162">Q52+1</f>
        <v>9.3959536742577185</v>
      </c>
      <c r="S52" s="7">
        <f t="shared" ref="S52:S83" si="163">G52*R52^0.5</f>
        <v>77.858162529590359</v>
      </c>
      <c r="T52" s="7"/>
      <c r="U52" s="7"/>
      <c r="V52" s="7">
        <f>265.15/(PI()/4*G52^2)*1000</f>
        <v>523.28021775455443</v>
      </c>
      <c r="W52" s="7"/>
      <c r="X52" s="7"/>
      <c r="Y52" s="7">
        <v>9.5</v>
      </c>
      <c r="Z52" s="7">
        <v>5</v>
      </c>
      <c r="AA52" s="7">
        <v>64</v>
      </c>
      <c r="AB52" s="7">
        <v>5</v>
      </c>
      <c r="AC52" s="7"/>
      <c r="AD52" s="7"/>
      <c r="AE52" s="4">
        <f t="shared" si="154"/>
        <v>285.75</v>
      </c>
      <c r="AF52" s="4">
        <f t="shared" si="83"/>
        <v>0.15363162622072843</v>
      </c>
      <c r="AG52" s="25">
        <f t="shared" ref="AG52:AG83" si="164">MIN(10*F52^0.5*AE52^1.5,100*3.9*F52^0.5*AE52^(5/3))/(PI()/4*G52^2)/L52</f>
        <v>561.22411424012159</v>
      </c>
      <c r="AH52" s="4">
        <f t="shared" ref="AH52:AH83" si="165">MIN(0.7+0.3*(MIN(I52,M52)+0.5*G52)/1.5/E52,1)</f>
        <v>0.7450673665791776</v>
      </c>
      <c r="AI52" s="4">
        <v>1.25</v>
      </c>
      <c r="AJ52" s="25">
        <f t="shared" si="146"/>
        <v>5</v>
      </c>
      <c r="AK52" s="38">
        <f t="shared" si="147"/>
        <v>401.50643504965132</v>
      </c>
      <c r="AL52" s="38">
        <f t="shared" si="148"/>
        <v>401.50643504965132</v>
      </c>
      <c r="AN52" s="38">
        <f t="shared" si="158"/>
        <v>401.50643504965109</v>
      </c>
      <c r="AO52" s="38">
        <f t="shared" si="87"/>
        <v>1.0000000000000007</v>
      </c>
      <c r="AR52" s="4" t="e">
        <f>#REF!/G52*F52^0.5/0.19</f>
        <v>#REF!</v>
      </c>
      <c r="AS52" s="4">
        <f t="shared" ref="AS52:AS83" si="166">MIN(0.6+0.4*(O52/N52),2)</f>
        <v>1</v>
      </c>
      <c r="AT52" s="38">
        <f t="shared" ref="AT52:AT83" si="167">2*F52*N52*P52^0.5*AS52*0.7/0.7</f>
        <v>509.18813978194686</v>
      </c>
      <c r="AU52" s="4">
        <f t="shared" ref="AU52:AU83" si="168">MAX(1-0.7*Q52/5,0.3)</f>
        <v>0.3</v>
      </c>
      <c r="AV52" s="4" t="e">
        <f>AU52*D52*#REF!/(D52*G52/2.75/F52^0.5)</f>
        <v>#REF!</v>
      </c>
      <c r="AW52" s="4" t="e">
        <f t="shared" si="91"/>
        <v>#REF!</v>
      </c>
      <c r="AY52" s="36">
        <f t="shared" ref="AY52:AY83" si="169">MAX(1, (0.9+0.1*MIN(2,N52-0.5))*(0.9+0.1*MIN(3.5,I52/I52))+0.45*MIN(2.5,(40*2*PI()*Y52^2/4/AA52/L52)/G52))</f>
        <v>2.2250000000000001</v>
      </c>
      <c r="AZ52" s="36" t="e">
        <f>(1.6*#REF!+22)*AY52*F52^0.5</f>
        <v>#REF!</v>
      </c>
      <c r="BE52" s="4">
        <f t="shared" ref="BE52:BE83" si="170">IF(L52=1,I52,MIN(I52,K52/2+6.4))</f>
        <v>101.8</v>
      </c>
      <c r="BF52" s="4">
        <f t="shared" ref="BF52:BF83" si="171">MIN(M52,BE52)</f>
        <v>51.69</v>
      </c>
      <c r="BG52" s="4">
        <f t="shared" ref="BG52:BG83" si="172">MAX(M52,BE52)</f>
        <v>101.8</v>
      </c>
      <c r="BH52" s="4">
        <f t="shared" ref="BH52:BH83" si="173">BF52+G52/2</f>
        <v>64.39</v>
      </c>
      <c r="BI52" s="4">
        <f t="shared" si="97"/>
        <v>1.0969433159218418</v>
      </c>
      <c r="BJ52" s="25">
        <f t="shared" ref="BJ52:BJ83" si="174">MIN(4, (BH52*BI52+(6*F52^0.5*(0.03*G52+0.22)*(Y52^2/4*PI())*2/AA52/L52))/G52)</f>
        <v>4</v>
      </c>
      <c r="BL52" s="4">
        <f t="shared" ref="BL52:BL83" si="175">IF(K52=0,I52,MIN(K52/2,I52))</f>
        <v>101.8</v>
      </c>
      <c r="BP52" s="9"/>
      <c r="BR52" s="9"/>
      <c r="BS52" s="9"/>
      <c r="BT52" s="9">
        <f t="shared" ref="BT52:BT83" si="176">IF(K52=0,MIN(I52,J52),MIN(K52/2,I52,J52))</f>
        <v>101.8</v>
      </c>
      <c r="BU52" s="9">
        <f t="shared" ref="BU52:BU83" si="177">MAX(K52/2,I52)</f>
        <v>101.8</v>
      </c>
      <c r="BV52" s="9">
        <f t="shared" ref="BV52:BV83" si="178">(BT52/G52)^0.5*(BU52/BT52)^0.15</f>
        <v>2.001967536137395</v>
      </c>
      <c r="BW52" s="9">
        <v>20</v>
      </c>
      <c r="BX52" s="9">
        <f t="shared" ref="BX52:BX83" si="179">MIN(PI()*Y52^2/4*Z52*2/L52/G52/MAX(0.01,AA52),0.05)</f>
        <v>0.05</v>
      </c>
      <c r="BY52" s="9">
        <f t="shared" si="104"/>
        <v>0.8</v>
      </c>
      <c r="BZ52" s="9">
        <f t="shared" ref="BZ52:BZ83" si="180">MIN(1,(25/G52)^0.3)</f>
        <v>0.99524931562137331</v>
      </c>
      <c r="CA52" s="9">
        <f t="shared" ref="CA52:CA83" si="181">IF(D52&gt;=800,0.68,IF(D52&gt;=700,0.75-(D52-700)*0.07/100,IF(D52&gt;=600,0.85-(D52-600)*0.1/100,IF(D52&gt;=500,1-(D52-500)*0.15/100,1.2-(D52-400)*0.2/100))))</f>
        <v>0.97375</v>
      </c>
      <c r="CB52" s="9">
        <f t="shared" ref="CB52:CB83" si="182">1.75*BZ52*CA52*(F52/25)^0.5</f>
        <v>1.9969246679255115</v>
      </c>
      <c r="CC52" s="9">
        <f t="shared" ref="CC52:CC83" si="183">MIN((BV52+BY52)*CB52,2.5*CB52,F52^0.5)</f>
        <v>4.9923116698137786</v>
      </c>
      <c r="CD52" s="9">
        <v>1</v>
      </c>
      <c r="CE52" s="9" t="e">
        <f>4*CC52*#REF!+60*CC52</f>
        <v>#REF!</v>
      </c>
      <c r="DB52" s="4">
        <f t="shared" si="109"/>
        <v>5</v>
      </c>
      <c r="DC52" s="4">
        <f t="shared" ref="DC52:DC83" si="184">E52</f>
        <v>285.75</v>
      </c>
      <c r="DD52" s="4" t="e">
        <f>#REF!/E52</f>
        <v>#REF!</v>
      </c>
      <c r="DF52" s="4">
        <f t="shared" ref="DF52:DF83" si="185">E52/4/(1-0.3*(F52/30)^0.5)/200000/G52</f>
        <v>2.0755210712749404E-5</v>
      </c>
      <c r="DG52" s="4">
        <f t="shared" si="112"/>
        <v>9.0324733825588019</v>
      </c>
      <c r="DI52" s="4">
        <f t="shared" si="149"/>
        <v>0</v>
      </c>
      <c r="DJ52" s="4">
        <f t="shared" si="150"/>
        <v>6.4517667018277161</v>
      </c>
      <c r="DK52" s="4">
        <f t="shared" ref="DK52:DK83" si="186">MAX(DG52/2, (4-DF52*(8*S52*(DI52-DJ52)+6*E52*DJ52))/(4+DF52*E52*DG52)*DG52)</f>
        <v>8.5873792483918443</v>
      </c>
      <c r="DL52" s="38" t="e">
        <f t="shared" ref="DL52:DL83" si="187">MIN(1/G52*(4*S52*(DI52-DJ52)+(3*DJ52+DK52)*E52)+DO52 -EV52,MAX(D52,V52))</f>
        <v>#REF!</v>
      </c>
      <c r="DM52" s="4" t="e">
        <f t="shared" si="151"/>
        <v>#REF!</v>
      </c>
      <c r="DO52" s="4">
        <f t="shared" si="152"/>
        <v>401.50643504965109</v>
      </c>
      <c r="DS52" s="4">
        <f t="shared" ref="DS52:DS83" si="188">IF(J52&gt;1*G52,0.85,1)</f>
        <v>0.85</v>
      </c>
      <c r="DT52" s="4">
        <f t="shared" ref="DT52:DT83" si="189">MIN(1,MAX(0.7,(1-0.1*(BL52-1*G52)/G52)))</f>
        <v>0.7</v>
      </c>
      <c r="DU52" s="4">
        <f t="shared" ref="DU52:DU83" si="190">MIN(1,MAX(0.7,1-0.3*(PI()*Y52^2/4*Z52*2-0.25*PI()/4*G52^2)/(PI()/4*G52^2)))</f>
        <v>0.7</v>
      </c>
      <c r="DV52" s="4">
        <f t="shared" si="121"/>
        <v>0.7</v>
      </c>
      <c r="DX52" s="4" t="e">
        <f t="shared" ref="DX52:DX83" si="191">MIN(DG52/G52*3*E52+DY52-EV52,MAX(D52,V52))</f>
        <v>#REF!</v>
      </c>
      <c r="DY52" s="25">
        <f t="shared" ref="DY52:DY83" si="192">8.8*H52*508*F52^0.5/L52/G52^2/E52^0.5*(0.7+MIN(M52,I52)/5/E52)</f>
        <v>406.83537621957981</v>
      </c>
      <c r="EB52" s="4">
        <f t="shared" si="159"/>
        <v>9.0324733825588019</v>
      </c>
      <c r="EC52" s="4">
        <f t="shared" ref="EC52:EC83" si="193">IF(G52&lt;22.2,1.1*5*(F52/30)^0.5,IF(G52&gt;=31.8,0.9*5*(F52/30)^0.5,1*5*(F52/30)^0.5))*BJ52/2.5</f>
        <v>8.5989146601959785</v>
      </c>
      <c r="EE52" s="4">
        <f t="shared" ref="EE52:EE83" si="194">EF52*G52</f>
        <v>77.858162529590359</v>
      </c>
      <c r="EF52" s="4">
        <f t="shared" si="126"/>
        <v>3.0652819893539514</v>
      </c>
      <c r="EG52" s="4">
        <f t="shared" ref="EG52:EG83" si="195">MIN(DO52)/(4700*F52^0.5)/Q52*EE52</f>
        <v>0.13455953867273107</v>
      </c>
      <c r="EJ52" s="4">
        <f t="shared" si="128"/>
        <v>0.13455953867273107</v>
      </c>
      <c r="EK52" s="4">
        <f t="shared" ref="EK52:EK83" si="196">MIN(0.999, EJ52/(0.3*(F52/30)^0.5))</f>
        <v>0.41729154275900004</v>
      </c>
      <c r="EL52" s="4">
        <f t="shared" si="130"/>
        <v>6.3676989623094746</v>
      </c>
      <c r="EM52" s="4">
        <f t="shared" si="131"/>
        <v>7.8148446026109291</v>
      </c>
      <c r="EN52" s="4">
        <f t="shared" si="132"/>
        <v>136.45433747040965</v>
      </c>
      <c r="EO52" s="4">
        <f t="shared" si="133"/>
        <v>71.4375</v>
      </c>
      <c r="EP52" s="4">
        <f t="shared" ref="EP52:EP83" si="197">EO52/(1-0.3*(F52/30)^0.5)/200000/G52</f>
        <v>2.0755210712749404E-5</v>
      </c>
      <c r="EQ52" s="4">
        <f t="shared" si="135"/>
        <v>8.3351314478706442</v>
      </c>
      <c r="ER52" s="4" t="e">
        <f t="shared" ref="ER52:ER83" si="198">MIN(4/G52*(1*EL52*EE52+EM52*ES52+ET52*EQ52)+DO52,MAX(D52,V52))</f>
        <v>#REF!</v>
      </c>
      <c r="ES52" s="4" t="e">
        <f t="shared" si="137"/>
        <v>#REF!</v>
      </c>
      <c r="ET52" s="4" t="e">
        <f t="shared" si="138"/>
        <v>#REF!</v>
      </c>
      <c r="EV52" s="4" t="e">
        <f t="shared" ref="EV52:EV83" si="199">4/G52*(1*EL52*EE52+EM52*EN52+EO52*EQ52)+DO52 - (4/G52*(1*EL52*EE52+EM52*ES52+ET52*EQ52)+DO52)</f>
        <v>#REF!</v>
      </c>
      <c r="FA52" s="23"/>
      <c r="FB52" s="23"/>
      <c r="FC52" s="23"/>
      <c r="FD52" s="23"/>
      <c r="FE52" s="23"/>
      <c r="FF52" s="23"/>
      <c r="FG52" s="23"/>
      <c r="FH52" s="23"/>
      <c r="FR52" s="4">
        <f t="shared" si="140"/>
        <v>1</v>
      </c>
      <c r="FS52" s="4">
        <f t="shared" si="141"/>
        <v>0.68688155922038985</v>
      </c>
      <c r="FT52" s="4">
        <f t="shared" si="142"/>
        <v>0.3</v>
      </c>
      <c r="FU52" s="4">
        <f t="shared" si="143"/>
        <v>396.26942221324936</v>
      </c>
    </row>
    <row r="53" spans="1:177" ht="12" customHeight="1" x14ac:dyDescent="0.3">
      <c r="A53" s="19">
        <v>1</v>
      </c>
      <c r="B53" s="20" t="s">
        <v>272</v>
      </c>
      <c r="C53" s="7" t="s">
        <v>273</v>
      </c>
      <c r="D53" s="7">
        <v>472</v>
      </c>
      <c r="E53" s="7">
        <f>10*25.4</f>
        <v>254</v>
      </c>
      <c r="F53" s="7">
        <v>27</v>
      </c>
      <c r="G53" s="7">
        <v>25.4</v>
      </c>
      <c r="H53" s="7">
        <f t="shared" ref="H53:H79" si="200">6*25.4</f>
        <v>152.39999999999998</v>
      </c>
      <c r="I53" s="7">
        <f t="shared" si="160"/>
        <v>63.499999999999986</v>
      </c>
      <c r="J53" s="7">
        <f t="shared" ref="J53:J104" si="201">2*25.4</f>
        <v>50.8</v>
      </c>
      <c r="K53" s="7">
        <v>0</v>
      </c>
      <c r="L53" s="7">
        <v>1</v>
      </c>
      <c r="M53" s="7">
        <f t="shared" ref="M53:M94" si="202">4*25.4-G53/2</f>
        <v>88.899999999999991</v>
      </c>
      <c r="N53" s="7">
        <f t="shared" si="161"/>
        <v>2.9999999999999996</v>
      </c>
      <c r="O53" s="7">
        <f t="shared" ref="O53:O94" si="203">MAX(H53/2/G53, (M53+G53/2)/G53)</f>
        <v>4</v>
      </c>
      <c r="P53" s="7">
        <v>1.18</v>
      </c>
      <c r="Q53" s="7">
        <f>MIN(Q$16,P53)</f>
        <v>1.18</v>
      </c>
      <c r="R53" s="7">
        <f t="shared" si="162"/>
        <v>2.1799999999999997</v>
      </c>
      <c r="S53" s="7">
        <f t="shared" si="163"/>
        <v>37.502650572992827</v>
      </c>
      <c r="T53" s="7"/>
      <c r="U53" s="7"/>
      <c r="V53" s="7">
        <v>426</v>
      </c>
      <c r="W53" s="7"/>
      <c r="X53" s="7"/>
      <c r="Y53" s="7"/>
      <c r="Z53" s="7"/>
      <c r="AA53" s="7">
        <v>1</v>
      </c>
      <c r="AB53" s="7"/>
      <c r="AC53" s="7"/>
      <c r="AD53" s="7"/>
      <c r="AE53" s="4">
        <f t="shared" si="154"/>
        <v>254</v>
      </c>
      <c r="AF53" s="44">
        <f t="shared" ref="AF53:AF94" si="204">MIN(H53)*(MIN(508-M53-0.5*G53,1.5*AE53)+M53+G53/2)/(3*E53)^2</f>
        <v>0.12666666666666665</v>
      </c>
      <c r="AG53" s="25">
        <f t="shared" si="164"/>
        <v>415.1214191673746</v>
      </c>
      <c r="AH53" s="4">
        <f t="shared" si="165"/>
        <v>0.7599999999999999</v>
      </c>
      <c r="AI53" s="4">
        <v>1.25</v>
      </c>
      <c r="AJ53" s="25">
        <f t="shared" si="146"/>
        <v>5</v>
      </c>
      <c r="AK53" s="38">
        <f t="shared" ref="AK53:AK116" si="205">AF53*AH53*AI53*AJ53*AG53</f>
        <v>249.76472053237029</v>
      </c>
      <c r="AL53" s="38">
        <f t="shared" si="148"/>
        <v>249.76472053237029</v>
      </c>
      <c r="AN53" s="38">
        <f t="shared" si="158"/>
        <v>249.76472053237032</v>
      </c>
      <c r="AO53" s="38">
        <f t="shared" si="87"/>
        <v>0.99999999999999989</v>
      </c>
      <c r="AP53" s="38">
        <f t="shared" ref="AP53:AP84" si="206">AT53/AN53</f>
        <v>0.79851409515855842</v>
      </c>
      <c r="AQ53" s="4">
        <f>IF(AP53&lt;1,1,0)</f>
        <v>1</v>
      </c>
      <c r="AR53" s="4" t="e">
        <f>#REF!/G53*F53^0.5/0.19</f>
        <v>#REF!</v>
      </c>
      <c r="AS53" s="4">
        <f t="shared" si="166"/>
        <v>1.1333333333333333</v>
      </c>
      <c r="AT53" s="38">
        <f t="shared" si="167"/>
        <v>199.4406498184359</v>
      </c>
      <c r="AU53" s="4">
        <f t="shared" si="168"/>
        <v>0.83479999999999999</v>
      </c>
      <c r="AV53" s="4" t="e">
        <f>AU53*D53*#REF!/(D53*G53/2.75/F53^0.5)</f>
        <v>#REF!</v>
      </c>
      <c r="AW53" s="4" t="e">
        <f t="shared" ref="AW53:AW87" si="207">AT53+AV53</f>
        <v>#REF!</v>
      </c>
      <c r="AY53" s="36">
        <f t="shared" si="169"/>
        <v>1.1000000000000001</v>
      </c>
      <c r="AZ53" s="36" t="e">
        <f>(1.6*#REF!+22)*AY53*F53^0.5</f>
        <v>#REF!</v>
      </c>
      <c r="BE53" s="4">
        <f t="shared" si="170"/>
        <v>63.499999999999986</v>
      </c>
      <c r="BF53" s="4">
        <f t="shared" si="171"/>
        <v>63.499999999999986</v>
      </c>
      <c r="BG53" s="4">
        <f t="shared" si="172"/>
        <v>88.899999999999991</v>
      </c>
      <c r="BH53" s="4">
        <f t="shared" si="173"/>
        <v>76.199999999999989</v>
      </c>
      <c r="BI53" s="4">
        <f>MIN(1.25, 0.1*BG53/BF53+0.9)</f>
        <v>1.04</v>
      </c>
      <c r="BJ53" s="25">
        <f t="shared" si="174"/>
        <v>3.1199999999999997</v>
      </c>
      <c r="BL53" s="4">
        <f t="shared" si="175"/>
        <v>63.499999999999986</v>
      </c>
      <c r="BP53" s="9"/>
      <c r="BR53" s="9"/>
      <c r="BS53" s="9"/>
      <c r="BT53" s="9">
        <f t="shared" si="176"/>
        <v>50.8</v>
      </c>
      <c r="BU53" s="9">
        <f t="shared" si="177"/>
        <v>63.499999999999986</v>
      </c>
      <c r="BV53" s="9">
        <f t="shared" si="178"/>
        <v>1.4623505735569622</v>
      </c>
      <c r="BW53" s="9">
        <v>0</v>
      </c>
      <c r="BX53" s="9">
        <f t="shared" si="179"/>
        <v>0</v>
      </c>
      <c r="BY53" s="9">
        <f t="shared" ref="BY53:BY87" si="208">MAX(0,BW53*(BX53-0.5/50))</f>
        <v>0</v>
      </c>
      <c r="BZ53" s="9">
        <f t="shared" si="180"/>
        <v>0.99524931562137331</v>
      </c>
      <c r="CA53" s="9">
        <f t="shared" si="181"/>
        <v>1.056</v>
      </c>
      <c r="CB53" s="9">
        <f t="shared" si="182"/>
        <v>1.911374255891328</v>
      </c>
      <c r="CC53" s="9">
        <f t="shared" si="183"/>
        <v>2.7950992393846952</v>
      </c>
      <c r="CD53" s="9">
        <v>1</v>
      </c>
      <c r="CE53" s="9" t="e">
        <f>4*CC53*#REF!+60*CC53</f>
        <v>#REF!</v>
      </c>
      <c r="CG53" s="4" t="e">
        <f t="shared" ref="CG53:CG62" si="209">V53/AR53</f>
        <v>#REF!</v>
      </c>
      <c r="CH53" s="4" t="e">
        <f t="shared" ref="CH53:CH62" si="210">V53/AW53</f>
        <v>#REF!</v>
      </c>
      <c r="CI53" s="4" t="e">
        <f t="shared" ref="CI53:CI62" si="211">V53/AZ53</f>
        <v>#REF!</v>
      </c>
      <c r="CJ53" s="4" t="e">
        <f t="shared" ref="CJ53:CJ62" si="212">V53/CE53</f>
        <v>#REF!</v>
      </c>
      <c r="CK53" s="4" t="e">
        <f t="shared" ref="CK53:CK62" si="213">V53/DL53</f>
        <v>#REF!</v>
      </c>
      <c r="CL53" s="4" t="e">
        <f t="shared" ref="CL53:CL62" si="214">V53/DX53</f>
        <v>#REF!</v>
      </c>
      <c r="CM53" s="4">
        <f t="shared" ref="CM53:CM116" si="215">V53/FU53</f>
        <v>2.0303364325354463</v>
      </c>
      <c r="CO53" s="4" t="e">
        <f t="shared" ref="CO53:CO62" si="216">CG53</f>
        <v>#REF!</v>
      </c>
      <c r="CP53" s="4" t="e">
        <f t="shared" ref="CP53:CP62" si="217">CH53</f>
        <v>#REF!</v>
      </c>
      <c r="CQ53" s="4" t="e">
        <f t="shared" ref="CQ53:CQ62" si="218">CJ53</f>
        <v>#REF!</v>
      </c>
      <c r="CR53" s="4">
        <f>CM53</f>
        <v>2.0303364325354463</v>
      </c>
      <c r="CS53" s="4" t="e">
        <f t="shared" ref="CS53:CS62" si="219">CK53</f>
        <v>#REF!</v>
      </c>
      <c r="CT53" s="4" t="e">
        <f t="shared" ref="CT53:CT62" si="220">CL53</f>
        <v>#REF!</v>
      </c>
      <c r="DB53" s="4">
        <f>Z53</f>
        <v>0</v>
      </c>
      <c r="DC53" s="4">
        <f t="shared" si="184"/>
        <v>254</v>
      </c>
      <c r="DD53" s="4" t="e">
        <f>#REF!/E53</f>
        <v>#REF!</v>
      </c>
      <c r="DF53" s="4">
        <f t="shared" si="185"/>
        <v>1.7472864382687078E-5</v>
      </c>
      <c r="DG53" s="4">
        <f>EB53</f>
        <v>6.5652823394499222</v>
      </c>
      <c r="DH53" s="4">
        <f t="shared" ref="DH53:DH84" si="221">DO53*S53/257/F53/P53</f>
        <v>1.1439687543003914</v>
      </c>
      <c r="DI53" s="4">
        <f t="shared" si="149"/>
        <v>6.928178566683842</v>
      </c>
      <c r="DJ53" s="4">
        <f t="shared" si="150"/>
        <v>6.5652823394499222</v>
      </c>
      <c r="DK53" s="4">
        <f t="shared" si="186"/>
        <v>6.2298363875986897</v>
      </c>
      <c r="DL53" s="38" t="e">
        <f t="shared" si="187"/>
        <v>#REF!</v>
      </c>
      <c r="DM53" s="4" t="e">
        <f t="shared" si="151"/>
        <v>#REF!</v>
      </c>
      <c r="DN53" s="4">
        <f t="shared" ref="DN53:DN84" si="222">S53/G53</f>
        <v>1.4764823060233399</v>
      </c>
      <c r="DO53" s="4">
        <f t="shared" si="152"/>
        <v>249.76472053237032</v>
      </c>
      <c r="DS53" s="4">
        <f t="shared" si="188"/>
        <v>0.85</v>
      </c>
      <c r="DT53" s="4">
        <f t="shared" si="189"/>
        <v>0.85000000000000009</v>
      </c>
      <c r="DU53" s="4">
        <f t="shared" si="190"/>
        <v>1</v>
      </c>
      <c r="DV53" s="4">
        <f t="shared" ref="DV53:DV87" si="223">IF(DT53*DU53&lt;0.7,0.7,DT53*DU53)</f>
        <v>0.85000000000000009</v>
      </c>
      <c r="DX53" s="4" t="e">
        <f t="shared" si="191"/>
        <v>#REF!</v>
      </c>
      <c r="DY53" s="25">
        <f t="shared" si="192"/>
        <v>258.22019535919065</v>
      </c>
      <c r="EA53" s="4">
        <f t="shared" ref="EA53:EA93" si="224">DS53*DV53</f>
        <v>0.72250000000000003</v>
      </c>
      <c r="EB53" s="4">
        <f t="shared" si="159"/>
        <v>6.5652823394499222</v>
      </c>
      <c r="EC53" s="4">
        <f t="shared" si="193"/>
        <v>5.9197837798352051</v>
      </c>
      <c r="EE53" s="4">
        <f t="shared" si="194"/>
        <v>37.502650572992827</v>
      </c>
      <c r="EF53" s="4">
        <f>R53^0.5</f>
        <v>1.4764823060233399</v>
      </c>
      <c r="EG53" s="4">
        <f t="shared" si="195"/>
        <v>0.32503588417846324</v>
      </c>
      <c r="EH53" s="4">
        <f>DC53</f>
        <v>254</v>
      </c>
      <c r="EI53" s="4">
        <f>EE53+EN53+EO53</f>
        <v>254</v>
      </c>
      <c r="EJ53" s="4">
        <f>EG53</f>
        <v>0.32503588417846324</v>
      </c>
      <c r="EK53" s="4">
        <f t="shared" si="196"/>
        <v>0.999</v>
      </c>
      <c r="EL53" s="4">
        <f>EB53/1*EK53^0.4</f>
        <v>6.5626554382598101</v>
      </c>
      <c r="EM53" s="4">
        <f>EB53/1.4*(1-EK53^1.4)/(1-EK53)</f>
        <v>6.5639690202656151</v>
      </c>
      <c r="EN53" s="4">
        <f>MAX(0,DC53*EN$9-EE53)</f>
        <v>152.99734942700718</v>
      </c>
      <c r="EO53" s="4">
        <f>MAX(0,DC53-EE53-EN53)</f>
        <v>63.5</v>
      </c>
      <c r="EP53" s="4">
        <f t="shared" si="197"/>
        <v>1.7472864382687078E-5</v>
      </c>
      <c r="EQ53" s="4">
        <f>MAX(0.5*EB53, (1-2*EP53*(EE53*EL53+EN53*EM53))/(1/EB53+EP53*EO53))</f>
        <v>6.2330044371629034</v>
      </c>
      <c r="ER53" s="4" t="e">
        <f t="shared" si="198"/>
        <v>#REF!</v>
      </c>
      <c r="ES53" s="4" t="e">
        <f>IF(DD53&lt;=EN$9, MAX(0,DC53*DD53-EE53), MAX(0,DC53*EN$9-EE53))</f>
        <v>#REF!</v>
      </c>
      <c r="ET53" s="4" t="e">
        <f>MAX(0, DC53*DD53-ES53-EE53)</f>
        <v>#REF!</v>
      </c>
      <c r="EV53" s="4" t="e">
        <f t="shared" si="199"/>
        <v>#REF!</v>
      </c>
      <c r="FA53" s="23" t="e">
        <f>IF(CG53&lt;0.6,0.6,IF(CG53&lt;0.8,0.8,IF(CG53&lt;1,1,IF(CG53&lt;1.2,1.2,IF(CG53&lt;1.4,1.4,IF(CG53&lt;1.6,1.6,IF(CG53&lt;1.8,1.8,IF(CG53&lt;2,2,2.2))))))))</f>
        <v>#REF!</v>
      </c>
      <c r="FB53" s="23" t="e">
        <f>IF(CH53&lt;0.6,0.6,IF(CH53&lt;0.8,0.8,IF(CH53&lt;1,1,IF(CH53&lt;1.2,1.2,IF(CH53&lt;1.4,1.4,IF(CH53&lt;1.6,1.6,IF(CH53&lt;1.8,1.8,IF(CH53&lt;2,2,2.2))))))))</f>
        <v>#REF!</v>
      </c>
      <c r="FC53" s="23">
        <f>IF(CM53&lt;0.6,0.6,IF(CM53&lt;0.8,0.8,IF(CM53&lt;1,1,IF(CM53&lt;1.2,1.2,IF(CM53&lt;1.4,1.4,IF(CM53&lt;1.6,1.6,IF(CM53&lt;1.8,1.8,IF(CM53&lt;2,2,2.2))))))))</f>
        <v>2.2000000000000002</v>
      </c>
      <c r="FD53" s="23" t="e">
        <f>IF(CJ53&lt;0.6,0.6,IF(CJ53&lt;0.8,0.8,IF(CJ53&lt;1,1,IF(CJ53&lt;1.2,1.2,IF(CJ53&lt;1.4,1.4,IF(CJ53&lt;1.6,1.6,IF(CJ53&lt;1.8,1.8,IF(CJ53&lt;2,2,2.2))))))))</f>
        <v>#REF!</v>
      </c>
      <c r="FE53" s="23" t="e">
        <f t="shared" ref="FE53:FF53" si="225">IF(CK53&lt;0.6,0.6,IF(CK53&lt;0.8,0.8,IF(CK53&lt;1,1,IF(CK53&lt;1.2,1.2,IF(CK53&lt;1.4,1.4,IF(CK53&lt;1.6,1.6,IF(CK53&lt;1.8,1.8,IF(CK53&lt;2,2,2.2))))))))</f>
        <v>#REF!</v>
      </c>
      <c r="FF53" s="23" t="e">
        <f t="shared" si="225"/>
        <v>#REF!</v>
      </c>
      <c r="FG53" s="23" t="e">
        <f>IF(FE53&lt;1,1,0)</f>
        <v>#REF!</v>
      </c>
      <c r="FH53" s="23"/>
      <c r="FI53"/>
      <c r="FJ53" s="3" t="s">
        <v>371</v>
      </c>
      <c r="FK53" s="1" t="s">
        <v>372</v>
      </c>
      <c r="FL53" s="1" t="s">
        <v>658</v>
      </c>
      <c r="FM53" s="1" t="s">
        <v>373</v>
      </c>
      <c r="FN53" s="1" t="s">
        <v>379</v>
      </c>
      <c r="FO53" s="1" t="s">
        <v>380</v>
      </c>
      <c r="FR53" s="4">
        <f t="shared" si="140"/>
        <v>1</v>
      </c>
      <c r="FS53" s="4">
        <f t="shared" si="141"/>
        <v>1.0833333333333333</v>
      </c>
      <c r="FT53" s="4">
        <f t="shared" si="142"/>
        <v>0</v>
      </c>
      <c r="FU53" s="4">
        <f t="shared" si="143"/>
        <v>209.81744363815565</v>
      </c>
    </row>
    <row r="54" spans="1:177" ht="12" customHeight="1" x14ac:dyDescent="0.3">
      <c r="B54" s="24">
        <v>2006</v>
      </c>
      <c r="C54" s="7" t="s">
        <v>274</v>
      </c>
      <c r="D54" s="7">
        <v>472</v>
      </c>
      <c r="E54" s="7">
        <f t="shared" ref="E54:E62" si="226">10*25.4</f>
        <v>254</v>
      </c>
      <c r="F54" s="7">
        <v>27</v>
      </c>
      <c r="G54" s="7">
        <v>25.4</v>
      </c>
      <c r="H54" s="7">
        <f t="shared" si="200"/>
        <v>152.39999999999998</v>
      </c>
      <c r="I54" s="7">
        <f t="shared" si="160"/>
        <v>63.499999999999986</v>
      </c>
      <c r="J54" s="7">
        <f t="shared" si="201"/>
        <v>50.8</v>
      </c>
      <c r="K54" s="7">
        <v>0</v>
      </c>
      <c r="L54" s="7">
        <v>1</v>
      </c>
      <c r="M54" s="7">
        <f t="shared" si="202"/>
        <v>88.899999999999991</v>
      </c>
      <c r="N54" s="7">
        <f t="shared" si="161"/>
        <v>2.9999999999999996</v>
      </c>
      <c r="O54" s="7">
        <f t="shared" si="203"/>
        <v>4</v>
      </c>
      <c r="P54" s="7">
        <v>1.85</v>
      </c>
      <c r="Q54" s="7">
        <f t="shared" ref="Q54:Q127" si="227">MIN(Q$16,P54)</f>
        <v>1.85</v>
      </c>
      <c r="R54" s="7">
        <f t="shared" si="162"/>
        <v>2.85</v>
      </c>
      <c r="S54" s="7">
        <f t="shared" si="163"/>
        <v>42.880135260980694</v>
      </c>
      <c r="T54" s="7"/>
      <c r="U54" s="7"/>
      <c r="V54" s="7">
        <v>456</v>
      </c>
      <c r="W54" s="7"/>
      <c r="X54" s="7"/>
      <c r="Y54" s="7"/>
      <c r="Z54" s="7"/>
      <c r="AA54" s="7">
        <v>1</v>
      </c>
      <c r="AB54" s="7"/>
      <c r="AC54" s="7"/>
      <c r="AD54" s="7"/>
      <c r="AE54" s="4">
        <f t="shared" si="154"/>
        <v>254</v>
      </c>
      <c r="AF54" s="44">
        <f t="shared" si="204"/>
        <v>0.12666666666666665</v>
      </c>
      <c r="AG54" s="25">
        <f t="shared" si="164"/>
        <v>415.1214191673746</v>
      </c>
      <c r="AH54" s="4">
        <f t="shared" si="165"/>
        <v>0.7599999999999999</v>
      </c>
      <c r="AI54" s="4">
        <v>1.25</v>
      </c>
      <c r="AJ54" s="25">
        <f t="shared" si="146"/>
        <v>5</v>
      </c>
      <c r="AK54" s="38">
        <f t="shared" si="205"/>
        <v>249.76472053237029</v>
      </c>
      <c r="AL54" s="38">
        <f t="shared" si="148"/>
        <v>249.76472053237029</v>
      </c>
      <c r="AN54" s="38">
        <f t="shared" si="158"/>
        <v>249.76472053237032</v>
      </c>
      <c r="AO54" s="38">
        <f t="shared" si="87"/>
        <v>0.99999999999999989</v>
      </c>
      <c r="AP54" s="38">
        <f t="shared" si="206"/>
        <v>0.99983295482284784</v>
      </c>
      <c r="AQ54" s="4">
        <f t="shared" ref="AQ54:AQ104" si="228">IF(AP54&lt;1,1,0)</f>
        <v>1</v>
      </c>
      <c r="AR54" s="4" t="e">
        <f>#REF!/G54*F54^0.5/0.19</f>
        <v>#REF!</v>
      </c>
      <c r="AS54" s="4">
        <f t="shared" si="166"/>
        <v>1.1333333333333333</v>
      </c>
      <c r="AT54" s="38">
        <f t="shared" si="167"/>
        <v>249.72299854038263</v>
      </c>
      <c r="AU54" s="4">
        <f t="shared" si="168"/>
        <v>0.74099999999999999</v>
      </c>
      <c r="AV54" s="4" t="e">
        <f>AU54*D54*#REF!/(D54*G54/2.75/F54^0.5)</f>
        <v>#REF!</v>
      </c>
      <c r="AW54" s="4" t="e">
        <f t="shared" si="207"/>
        <v>#REF!</v>
      </c>
      <c r="AY54" s="36">
        <f t="shared" si="169"/>
        <v>1.1000000000000001</v>
      </c>
      <c r="AZ54" s="36" t="e">
        <f>(1.6*#REF!+22)*AY54*F54^0.5</f>
        <v>#REF!</v>
      </c>
      <c r="BE54" s="4">
        <f t="shared" si="170"/>
        <v>63.499999999999986</v>
      </c>
      <c r="BF54" s="4">
        <f t="shared" si="171"/>
        <v>63.499999999999986</v>
      </c>
      <c r="BG54" s="4">
        <f t="shared" si="172"/>
        <v>88.899999999999991</v>
      </c>
      <c r="BH54" s="4">
        <f t="shared" si="173"/>
        <v>76.199999999999989</v>
      </c>
      <c r="BI54" s="4">
        <f t="shared" ref="BI54:BI127" si="229">MIN(1.25, 0.1*BG54/BF54+0.9)</f>
        <v>1.04</v>
      </c>
      <c r="BJ54" s="25">
        <f t="shared" si="174"/>
        <v>3.1199999999999997</v>
      </c>
      <c r="BL54" s="4">
        <f t="shared" si="175"/>
        <v>63.499999999999986</v>
      </c>
      <c r="BP54" s="9"/>
      <c r="BR54" s="9"/>
      <c r="BS54" s="9"/>
      <c r="BT54" s="9">
        <f t="shared" si="176"/>
        <v>50.8</v>
      </c>
      <c r="BU54" s="9">
        <f t="shared" si="177"/>
        <v>63.499999999999986</v>
      </c>
      <c r="BV54" s="9">
        <f t="shared" si="178"/>
        <v>1.4623505735569622</v>
      </c>
      <c r="BW54" s="9">
        <v>0</v>
      </c>
      <c r="BX54" s="9">
        <f t="shared" si="179"/>
        <v>0</v>
      </c>
      <c r="BY54" s="9">
        <f t="shared" ref="BY54:BY62" si="230">MAX(0,BW54*(BX54-0.5/50))</f>
        <v>0</v>
      </c>
      <c r="BZ54" s="9">
        <f t="shared" si="180"/>
        <v>0.99524931562137331</v>
      </c>
      <c r="CA54" s="9">
        <f t="shared" si="181"/>
        <v>1.056</v>
      </c>
      <c r="CB54" s="9">
        <f t="shared" si="182"/>
        <v>1.911374255891328</v>
      </c>
      <c r="CC54" s="9">
        <f t="shared" si="183"/>
        <v>2.7950992393846952</v>
      </c>
      <c r="CD54" s="9">
        <v>1</v>
      </c>
      <c r="CE54" s="9" t="e">
        <f>4*CC54*#REF!+60*CC54</f>
        <v>#REF!</v>
      </c>
      <c r="CG54" s="4" t="e">
        <f t="shared" si="209"/>
        <v>#REF!</v>
      </c>
      <c r="CH54" s="4" t="e">
        <f t="shared" si="210"/>
        <v>#REF!</v>
      </c>
      <c r="CI54" s="4" t="e">
        <f t="shared" si="211"/>
        <v>#REF!</v>
      </c>
      <c r="CJ54" s="4" t="e">
        <f t="shared" si="212"/>
        <v>#REF!</v>
      </c>
      <c r="CK54" s="4" t="e">
        <f t="shared" si="213"/>
        <v>#REF!</v>
      </c>
      <c r="CL54" s="4" t="e">
        <f t="shared" si="214"/>
        <v>#REF!</v>
      </c>
      <c r="CM54" s="4">
        <f t="shared" si="215"/>
        <v>2.1733178714463932</v>
      </c>
      <c r="CO54" s="4" t="e">
        <f t="shared" si="216"/>
        <v>#REF!</v>
      </c>
      <c r="CP54" s="4" t="e">
        <f t="shared" si="217"/>
        <v>#REF!</v>
      </c>
      <c r="CQ54" s="4" t="e">
        <f t="shared" si="218"/>
        <v>#REF!</v>
      </c>
      <c r="CR54" s="4">
        <f t="shared" ref="CR54:CR62" si="231">CM54</f>
        <v>2.1733178714463932</v>
      </c>
      <c r="CS54" s="4" t="e">
        <f t="shared" si="219"/>
        <v>#REF!</v>
      </c>
      <c r="CT54" s="4" t="e">
        <f t="shared" si="220"/>
        <v>#REF!</v>
      </c>
      <c r="DB54" s="4">
        <f t="shared" ref="DB54:DB127" si="232">Z54</f>
        <v>0</v>
      </c>
      <c r="DC54" s="4">
        <f t="shared" si="184"/>
        <v>254</v>
      </c>
      <c r="DD54" s="4" t="e">
        <f>#REF!/E54</f>
        <v>#REF!</v>
      </c>
      <c r="DF54" s="4">
        <f t="shared" si="185"/>
        <v>1.7472864382687078E-5</v>
      </c>
      <c r="DG54" s="4">
        <f t="shared" ref="DG54:DG127" si="233">EB54</f>
        <v>6.5652823394499222</v>
      </c>
      <c r="DH54" s="4">
        <f t="shared" si="221"/>
        <v>0.83429304789996861</v>
      </c>
      <c r="DI54" s="4">
        <f t="shared" si="149"/>
        <v>6.1063382482034685</v>
      </c>
      <c r="DJ54" s="4">
        <f t="shared" si="150"/>
        <v>6.3399650157285841</v>
      </c>
      <c r="DK54" s="4">
        <f t="shared" si="186"/>
        <v>6.2449945492245247</v>
      </c>
      <c r="DL54" s="38" t="e">
        <f t="shared" si="187"/>
        <v>#REF!</v>
      </c>
      <c r="DM54" s="4" t="e">
        <f t="shared" si="151"/>
        <v>#REF!</v>
      </c>
      <c r="DN54" s="4">
        <f t="shared" si="222"/>
        <v>1.6881943016134133</v>
      </c>
      <c r="DO54" s="4">
        <f t="shared" si="152"/>
        <v>249.76472053237032</v>
      </c>
      <c r="DS54" s="4">
        <f t="shared" si="188"/>
        <v>0.85</v>
      </c>
      <c r="DT54" s="4">
        <f t="shared" si="189"/>
        <v>0.85000000000000009</v>
      </c>
      <c r="DU54" s="4">
        <f t="shared" si="190"/>
        <v>1</v>
      </c>
      <c r="DV54" s="4">
        <f t="shared" ref="DV54:DV62" si="234">IF(DT54*DU54&lt;0.7,0.7,DT54*DU54)</f>
        <v>0.85000000000000009</v>
      </c>
      <c r="DX54" s="4" t="e">
        <f t="shared" si="191"/>
        <v>#REF!</v>
      </c>
      <c r="DY54" s="25">
        <f t="shared" si="192"/>
        <v>258.22019535919065</v>
      </c>
      <c r="EA54" s="4">
        <f t="shared" si="224"/>
        <v>0.72250000000000003</v>
      </c>
      <c r="EB54" s="4">
        <f t="shared" si="159"/>
        <v>6.5652823394499222</v>
      </c>
      <c r="EC54" s="4">
        <f t="shared" si="193"/>
        <v>5.9197837798352051</v>
      </c>
      <c r="EE54" s="4">
        <f t="shared" si="194"/>
        <v>42.880135260980694</v>
      </c>
      <c r="EF54" s="4">
        <f t="shared" ref="EF54:EF127" si="235">R54^0.5</f>
        <v>1.6881943016134133</v>
      </c>
      <c r="EG54" s="4">
        <f t="shared" si="195"/>
        <v>0.23704771434421898</v>
      </c>
      <c r="EJ54" s="4">
        <f t="shared" ref="EJ54:EJ62" si="236">EG54</f>
        <v>0.23704771434421898</v>
      </c>
      <c r="EK54" s="4">
        <f t="shared" si="196"/>
        <v>0.83290076829411031</v>
      </c>
      <c r="EL54" s="4">
        <f t="shared" ref="EL54:EL127" si="237">EB54/1*EK54^0.4</f>
        <v>6.102260069503922</v>
      </c>
      <c r="EM54" s="4">
        <f t="shared" ref="EM54:EM62" si="238">EB54/1.4*(1-EK54^1.4)/(1-EK54)</f>
        <v>6.3380014382255325</v>
      </c>
      <c r="EN54" s="4">
        <f t="shared" ref="EN54:EN127" si="239">MAX(0,DC54*EN$9-EE54)</f>
        <v>147.61986473901931</v>
      </c>
      <c r="EO54" s="4">
        <f t="shared" ref="EO54:EO127" si="240">MAX(0,DC54-EE54-EN54)</f>
        <v>63.5</v>
      </c>
      <c r="EP54" s="4">
        <f t="shared" si="197"/>
        <v>1.7472864382687078E-5</v>
      </c>
      <c r="EQ54" s="4">
        <f t="shared" ref="EQ54:EQ62" si="241">MAX(0.5*EB54, (1-2*EP54*(EE54*EL54+EN54*EM54))/(1/EB54+EP54*EO54))</f>
        <v>6.2451004018517979</v>
      </c>
      <c r="ER54" s="4" t="e">
        <f t="shared" si="198"/>
        <v>#REF!</v>
      </c>
      <c r="ES54" s="4" t="e">
        <f t="shared" ref="ES54:ES127" si="242">IF(DD54&lt;=EN$9, MAX(0,DC54*DD54-EE54), MAX(0,DC54*EN$9-EE54))</f>
        <v>#REF!</v>
      </c>
      <c r="ET54" s="4" t="e">
        <f t="shared" ref="ET54:ET127" si="243">MAX(0, DC54*DD54-ES54-EE54)</f>
        <v>#REF!</v>
      </c>
      <c r="EV54" s="4" t="e">
        <f t="shared" si="199"/>
        <v>#REF!</v>
      </c>
      <c r="FA54" s="23" t="e">
        <f t="shared" ref="FA54:FA62" si="244">IF(CG54&lt;0.6,0.6,IF(CG54&lt;0.8,0.8,IF(CG54&lt;1,1,IF(CG54&lt;1.2,1.2,IF(CG54&lt;1.4,1.4,IF(CG54&lt;1.6,1.6,IF(CG54&lt;1.8,1.8,IF(CG54&lt;2,2,2.2))))))))</f>
        <v>#REF!</v>
      </c>
      <c r="FB54" s="23" t="e">
        <f t="shared" ref="FB54:FB62" si="245">IF(CH54&lt;0.6,0.6,IF(CH54&lt;0.8,0.8,IF(CH54&lt;1,1,IF(CH54&lt;1.2,1.2,IF(CH54&lt;1.4,1.4,IF(CH54&lt;1.6,1.6,IF(CH54&lt;1.8,1.8,IF(CH54&lt;2,2,2.2))))))))</f>
        <v>#REF!</v>
      </c>
      <c r="FC54" s="23">
        <f t="shared" ref="FC54:FC62" si="246">IF(CM54&lt;0.6,0.6,IF(CM54&lt;0.8,0.8,IF(CM54&lt;1,1,IF(CM54&lt;1.2,1.2,IF(CM54&lt;1.4,1.4,IF(CM54&lt;1.6,1.6,IF(CM54&lt;1.8,1.8,IF(CM54&lt;2,2,2.2))))))))</f>
        <v>2.2000000000000002</v>
      </c>
      <c r="FD54" s="23" t="e">
        <f t="shared" ref="FD54:FD62" si="247">IF(CJ54&lt;0.6,0.6,IF(CJ54&lt;0.8,0.8,IF(CJ54&lt;1,1,IF(CJ54&lt;1.2,1.2,IF(CJ54&lt;1.4,1.4,IF(CJ54&lt;1.6,1.6,IF(CJ54&lt;1.8,1.8,IF(CJ54&lt;2,2,2.2))))))))</f>
        <v>#REF!</v>
      </c>
      <c r="FE54" s="23" t="e">
        <f t="shared" ref="FE54:FE62" si="248">IF(CK54&lt;0.6,0.6,IF(CK54&lt;0.8,0.8,IF(CK54&lt;1,1,IF(CK54&lt;1.2,1.2,IF(CK54&lt;1.4,1.4,IF(CK54&lt;1.6,1.6,IF(CK54&lt;1.8,1.8,IF(CK54&lt;2,2,2.2))))))))</f>
        <v>#REF!</v>
      </c>
      <c r="FF54" s="23" t="e">
        <f t="shared" ref="FF54:FF62" si="249">IF(CL54&lt;0.6,0.6,IF(CL54&lt;0.8,0.8,IF(CL54&lt;1,1,IF(CL54&lt;1.2,1.2,IF(CL54&lt;1.4,1.4,IF(CL54&lt;1.6,1.6,IF(CL54&lt;1.8,1.8,IF(CL54&lt;2,2,2.2))))))))</f>
        <v>#REF!</v>
      </c>
      <c r="FG54" s="23" t="e">
        <f t="shared" ref="FG54:FG62" si="250">IF(FE54&lt;1,1,0)</f>
        <v>#REF!</v>
      </c>
      <c r="FH54" s="23"/>
      <c r="FI54" s="1" t="s">
        <v>42</v>
      </c>
      <c r="FJ54">
        <f>COUNTIF(FA19:FA574,0.6)</f>
        <v>0</v>
      </c>
      <c r="FK54">
        <f t="shared" ref="FK54:FO54" si="251">COUNTIF(FB19:FB574,0.6)</f>
        <v>0</v>
      </c>
      <c r="FL54">
        <f t="shared" si="251"/>
        <v>0</v>
      </c>
      <c r="FM54">
        <f t="shared" si="251"/>
        <v>0</v>
      </c>
      <c r="FN54">
        <f t="shared" si="251"/>
        <v>2</v>
      </c>
      <c r="FO54">
        <f t="shared" si="251"/>
        <v>1</v>
      </c>
      <c r="FR54" s="4">
        <f t="shared" si="140"/>
        <v>1</v>
      </c>
      <c r="FS54" s="4">
        <f t="shared" si="141"/>
        <v>1.0833333333333333</v>
      </c>
      <c r="FT54" s="4">
        <f t="shared" si="142"/>
        <v>0</v>
      </c>
      <c r="FU54" s="4">
        <f t="shared" si="143"/>
        <v>209.81744363815565</v>
      </c>
    </row>
    <row r="55" spans="1:177" ht="12" customHeight="1" x14ac:dyDescent="0.3">
      <c r="B55" s="24" t="s">
        <v>275</v>
      </c>
      <c r="C55" s="7" t="s">
        <v>276</v>
      </c>
      <c r="D55" s="7">
        <v>472</v>
      </c>
      <c r="E55" s="7">
        <f t="shared" si="226"/>
        <v>254</v>
      </c>
      <c r="F55" s="7">
        <v>27</v>
      </c>
      <c r="G55" s="7">
        <v>25.4</v>
      </c>
      <c r="H55" s="7">
        <f t="shared" si="200"/>
        <v>152.39999999999998</v>
      </c>
      <c r="I55" s="7">
        <f t="shared" si="160"/>
        <v>63.499999999999986</v>
      </c>
      <c r="J55" s="7">
        <f t="shared" si="201"/>
        <v>50.8</v>
      </c>
      <c r="K55" s="7">
        <v>0</v>
      </c>
      <c r="L55" s="7">
        <v>1</v>
      </c>
      <c r="M55" s="7">
        <f t="shared" si="202"/>
        <v>88.899999999999991</v>
      </c>
      <c r="N55" s="7">
        <f t="shared" si="161"/>
        <v>2.9999999999999996</v>
      </c>
      <c r="O55" s="7">
        <f t="shared" si="203"/>
        <v>4</v>
      </c>
      <c r="P55" s="7">
        <v>2.8</v>
      </c>
      <c r="Q55" s="7">
        <f t="shared" si="227"/>
        <v>2.8</v>
      </c>
      <c r="R55" s="7">
        <f t="shared" si="162"/>
        <v>3.8</v>
      </c>
      <c r="S55" s="7">
        <f t="shared" si="163"/>
        <v>49.513715271629529</v>
      </c>
      <c r="T55" s="7"/>
      <c r="U55" s="7"/>
      <c r="V55" s="7">
        <v>471</v>
      </c>
      <c r="W55" s="7"/>
      <c r="X55" s="7"/>
      <c r="Y55" s="7"/>
      <c r="Z55" s="7"/>
      <c r="AA55" s="7">
        <v>1</v>
      </c>
      <c r="AB55" s="7"/>
      <c r="AC55" s="7"/>
      <c r="AD55" s="7"/>
      <c r="AE55" s="4">
        <f t="shared" ref="AE55:AE86" si="252">E55</f>
        <v>254</v>
      </c>
      <c r="AF55" s="44">
        <f t="shared" si="204"/>
        <v>0.12666666666666665</v>
      </c>
      <c r="AG55" s="25">
        <f t="shared" si="164"/>
        <v>415.1214191673746</v>
      </c>
      <c r="AH55" s="4">
        <f t="shared" si="165"/>
        <v>0.7599999999999999</v>
      </c>
      <c r="AI55" s="4">
        <v>1.25</v>
      </c>
      <c r="AJ55" s="25">
        <f t="shared" si="146"/>
        <v>5</v>
      </c>
      <c r="AK55" s="38">
        <f t="shared" si="205"/>
        <v>249.76472053237029</v>
      </c>
      <c r="AL55" s="38">
        <f t="shared" si="148"/>
        <v>249.76472053237029</v>
      </c>
      <c r="AN55" s="38">
        <f t="shared" si="158"/>
        <v>249.76472053237032</v>
      </c>
      <c r="AO55" s="38">
        <f t="shared" si="87"/>
        <v>0.99999999999999989</v>
      </c>
      <c r="AP55" s="38">
        <f t="shared" si="206"/>
        <v>1.2300438632344617</v>
      </c>
      <c r="AQ55" s="4">
        <f t="shared" si="228"/>
        <v>0</v>
      </c>
      <c r="AR55" s="4" t="e">
        <f>#REF!/G55*F55^0.5/0.19</f>
        <v>#REF!</v>
      </c>
      <c r="AS55" s="4">
        <f t="shared" si="166"/>
        <v>1.1333333333333333</v>
      </c>
      <c r="AT55" s="38">
        <f t="shared" si="167"/>
        <v>307.22156174331246</v>
      </c>
      <c r="AU55" s="4">
        <f t="shared" si="168"/>
        <v>0.6080000000000001</v>
      </c>
      <c r="AV55" s="4" t="e">
        <f>AU55*D55*#REF!/(D55*G55/2.75/F55^0.5)</f>
        <v>#REF!</v>
      </c>
      <c r="AW55" s="4" t="e">
        <f t="shared" si="207"/>
        <v>#REF!</v>
      </c>
      <c r="AY55" s="36">
        <f t="shared" si="169"/>
        <v>1.1000000000000001</v>
      </c>
      <c r="AZ55" s="36" t="e">
        <f>(1.6*#REF!+22)*AY55*F55^0.5</f>
        <v>#REF!</v>
      </c>
      <c r="BE55" s="4">
        <f t="shared" si="170"/>
        <v>63.499999999999986</v>
      </c>
      <c r="BF55" s="4">
        <f t="shared" si="171"/>
        <v>63.499999999999986</v>
      </c>
      <c r="BG55" s="4">
        <f t="shared" si="172"/>
        <v>88.899999999999991</v>
      </c>
      <c r="BH55" s="4">
        <f t="shared" si="173"/>
        <v>76.199999999999989</v>
      </c>
      <c r="BI55" s="4">
        <f t="shared" si="229"/>
        <v>1.04</v>
      </c>
      <c r="BJ55" s="25">
        <f t="shared" si="174"/>
        <v>3.1199999999999997</v>
      </c>
      <c r="BL55" s="4">
        <f t="shared" si="175"/>
        <v>63.499999999999986</v>
      </c>
      <c r="BP55" s="9"/>
      <c r="BR55" s="9"/>
      <c r="BS55" s="9"/>
      <c r="BT55" s="9">
        <f t="shared" si="176"/>
        <v>50.8</v>
      </c>
      <c r="BU55" s="9">
        <f t="shared" si="177"/>
        <v>63.499999999999986</v>
      </c>
      <c r="BV55" s="9">
        <f t="shared" si="178"/>
        <v>1.4623505735569622</v>
      </c>
      <c r="BW55" s="9">
        <v>0</v>
      </c>
      <c r="BX55" s="9">
        <f t="shared" si="179"/>
        <v>0</v>
      </c>
      <c r="BY55" s="9">
        <f t="shared" si="230"/>
        <v>0</v>
      </c>
      <c r="BZ55" s="9">
        <f t="shared" si="180"/>
        <v>0.99524931562137331</v>
      </c>
      <c r="CA55" s="9">
        <f t="shared" si="181"/>
        <v>1.056</v>
      </c>
      <c r="CB55" s="9">
        <f t="shared" si="182"/>
        <v>1.911374255891328</v>
      </c>
      <c r="CC55" s="9">
        <f t="shared" si="183"/>
        <v>2.7950992393846952</v>
      </c>
      <c r="CD55" s="9">
        <v>1</v>
      </c>
      <c r="CE55" s="9" t="e">
        <f>4*CC55*#REF!+60*CC55</f>
        <v>#REF!</v>
      </c>
      <c r="CG55" s="4" t="e">
        <f t="shared" si="209"/>
        <v>#REF!</v>
      </c>
      <c r="CH55" s="4" t="e">
        <f t="shared" si="210"/>
        <v>#REF!</v>
      </c>
      <c r="CI55" s="4" t="e">
        <f t="shared" si="211"/>
        <v>#REF!</v>
      </c>
      <c r="CJ55" s="4" t="e">
        <f t="shared" si="212"/>
        <v>#REF!</v>
      </c>
      <c r="CK55" s="4" t="e">
        <f t="shared" si="213"/>
        <v>#REF!</v>
      </c>
      <c r="CL55" s="4" t="e">
        <f t="shared" si="214"/>
        <v>#REF!</v>
      </c>
      <c r="CM55" s="4">
        <f t="shared" si="215"/>
        <v>2.2448085909018665</v>
      </c>
      <c r="CO55" s="4" t="e">
        <f t="shared" si="216"/>
        <v>#REF!</v>
      </c>
      <c r="CP55" s="4" t="e">
        <f t="shared" si="217"/>
        <v>#REF!</v>
      </c>
      <c r="CQ55" s="4" t="e">
        <f t="shared" si="218"/>
        <v>#REF!</v>
      </c>
      <c r="CR55" s="4">
        <f t="shared" si="231"/>
        <v>2.2448085909018665</v>
      </c>
      <c r="CS55" s="4" t="e">
        <f t="shared" si="219"/>
        <v>#REF!</v>
      </c>
      <c r="CT55" s="4" t="e">
        <f t="shared" si="220"/>
        <v>#REF!</v>
      </c>
      <c r="DB55" s="4">
        <f t="shared" si="232"/>
        <v>0</v>
      </c>
      <c r="DC55" s="4">
        <f t="shared" si="184"/>
        <v>254</v>
      </c>
      <c r="DD55" s="4" t="e">
        <f>#REF!/E55</f>
        <v>#REF!</v>
      </c>
      <c r="DF55" s="4">
        <f t="shared" si="185"/>
        <v>1.7472864382687078E-5</v>
      </c>
      <c r="DG55" s="4">
        <f t="shared" si="233"/>
        <v>6.5652823394499222</v>
      </c>
      <c r="DH55" s="4">
        <f t="shared" si="221"/>
        <v>0.63650481014853455</v>
      </c>
      <c r="DI55" s="4">
        <f t="shared" si="149"/>
        <v>5.4799182998901728</v>
      </c>
      <c r="DJ55" s="4">
        <f t="shared" si="150"/>
        <v>6.0470204445706219</v>
      </c>
      <c r="DK55" s="4">
        <f t="shared" si="186"/>
        <v>6.2618192677258611</v>
      </c>
      <c r="DL55" s="38" t="e">
        <f t="shared" si="187"/>
        <v>#REF!</v>
      </c>
      <c r="DM55" s="4" t="e">
        <f t="shared" si="151"/>
        <v>#REF!</v>
      </c>
      <c r="DN55" s="4">
        <f t="shared" si="222"/>
        <v>1.9493588689617927</v>
      </c>
      <c r="DO55" s="4">
        <f t="shared" si="152"/>
        <v>249.76472053237032</v>
      </c>
      <c r="DS55" s="4">
        <f t="shared" si="188"/>
        <v>0.85</v>
      </c>
      <c r="DT55" s="4">
        <f t="shared" si="189"/>
        <v>0.85000000000000009</v>
      </c>
      <c r="DU55" s="4">
        <f t="shared" si="190"/>
        <v>1</v>
      </c>
      <c r="DV55" s="4">
        <f t="shared" si="234"/>
        <v>0.85000000000000009</v>
      </c>
      <c r="DX55" s="4" t="e">
        <f t="shared" si="191"/>
        <v>#REF!</v>
      </c>
      <c r="DY55" s="25">
        <f t="shared" si="192"/>
        <v>258.22019535919065</v>
      </c>
      <c r="EA55" s="4">
        <f t="shared" si="224"/>
        <v>0.72250000000000003</v>
      </c>
      <c r="EB55" s="4">
        <f t="shared" si="159"/>
        <v>6.5652823394499222</v>
      </c>
      <c r="EC55" s="4">
        <f t="shared" si="193"/>
        <v>5.9197837798352051</v>
      </c>
      <c r="EE55" s="4">
        <f t="shared" si="194"/>
        <v>49.513715271629529</v>
      </c>
      <c r="EF55" s="4">
        <f t="shared" si="235"/>
        <v>1.9493588689617927</v>
      </c>
      <c r="EG55" s="4">
        <f t="shared" si="195"/>
        <v>0.18085013508694833</v>
      </c>
      <c r="EJ55" s="4">
        <f t="shared" si="236"/>
        <v>0.18085013508694833</v>
      </c>
      <c r="EK55" s="4">
        <f t="shared" si="196"/>
        <v>0.63544260224876703</v>
      </c>
      <c r="EL55" s="4">
        <f t="shared" si="237"/>
        <v>5.4762584819800804</v>
      </c>
      <c r="EM55" s="4">
        <f t="shared" si="238"/>
        <v>6.0453627528027827</v>
      </c>
      <c r="EN55" s="4">
        <f t="shared" si="239"/>
        <v>140.98628472837046</v>
      </c>
      <c r="EO55" s="4">
        <f t="shared" si="240"/>
        <v>63.5</v>
      </c>
      <c r="EP55" s="4">
        <f t="shared" si="197"/>
        <v>1.7472864382687078E-5</v>
      </c>
      <c r="EQ55" s="4">
        <f t="shared" si="241"/>
        <v>6.2619137744944693</v>
      </c>
      <c r="ER55" s="4" t="e">
        <f t="shared" si="198"/>
        <v>#REF!</v>
      </c>
      <c r="ES55" s="4" t="e">
        <f t="shared" si="242"/>
        <v>#REF!</v>
      </c>
      <c r="ET55" s="4" t="e">
        <f t="shared" si="243"/>
        <v>#REF!</v>
      </c>
      <c r="EV55" s="4" t="e">
        <f t="shared" si="199"/>
        <v>#REF!</v>
      </c>
      <c r="FA55" s="23" t="e">
        <f t="shared" si="244"/>
        <v>#REF!</v>
      </c>
      <c r="FB55" s="23" t="e">
        <f t="shared" si="245"/>
        <v>#REF!</v>
      </c>
      <c r="FC55" s="23">
        <f t="shared" si="246"/>
        <v>2.2000000000000002</v>
      </c>
      <c r="FD55" s="23" t="e">
        <f t="shared" si="247"/>
        <v>#REF!</v>
      </c>
      <c r="FE55" s="23" t="e">
        <f t="shared" si="248"/>
        <v>#REF!</v>
      </c>
      <c r="FF55" s="23" t="e">
        <f t="shared" si="249"/>
        <v>#REF!</v>
      </c>
      <c r="FG55" s="23" t="e">
        <f t="shared" si="250"/>
        <v>#REF!</v>
      </c>
      <c r="FH55" s="23"/>
      <c r="FI55" s="1" t="s">
        <v>43</v>
      </c>
      <c r="FJ55">
        <f>COUNTIF(FA19:FA574,0.8)</f>
        <v>0</v>
      </c>
      <c r="FK55">
        <f t="shared" ref="FK55:FO55" si="253">COUNTIF(FB19:FB574,0.8)</f>
        <v>0</v>
      </c>
      <c r="FL55">
        <f t="shared" si="253"/>
        <v>9</v>
      </c>
      <c r="FM55">
        <f t="shared" si="253"/>
        <v>0</v>
      </c>
      <c r="FN55">
        <f t="shared" si="253"/>
        <v>39</v>
      </c>
      <c r="FO55">
        <f t="shared" si="253"/>
        <v>38</v>
      </c>
      <c r="FR55" s="4">
        <f t="shared" si="140"/>
        <v>1</v>
      </c>
      <c r="FS55" s="4">
        <f t="shared" si="141"/>
        <v>1.0833333333333333</v>
      </c>
      <c r="FT55" s="4">
        <f t="shared" si="142"/>
        <v>0</v>
      </c>
      <c r="FU55" s="4">
        <f t="shared" si="143"/>
        <v>209.81744363815565</v>
      </c>
    </row>
    <row r="56" spans="1:177" ht="12" customHeight="1" x14ac:dyDescent="0.3">
      <c r="B56" s="24"/>
      <c r="C56" s="7" t="s">
        <v>277</v>
      </c>
      <c r="D56" s="7">
        <v>472</v>
      </c>
      <c r="E56" s="7">
        <f t="shared" si="226"/>
        <v>254</v>
      </c>
      <c r="F56" s="7">
        <v>27</v>
      </c>
      <c r="G56" s="7">
        <v>25.4</v>
      </c>
      <c r="H56" s="7">
        <f t="shared" si="200"/>
        <v>152.39999999999998</v>
      </c>
      <c r="I56" s="7">
        <f t="shared" si="160"/>
        <v>63.499999999999986</v>
      </c>
      <c r="J56" s="7">
        <f t="shared" si="201"/>
        <v>50.8</v>
      </c>
      <c r="K56" s="7">
        <v>0</v>
      </c>
      <c r="L56" s="7">
        <v>1</v>
      </c>
      <c r="M56" s="7">
        <f t="shared" si="202"/>
        <v>88.899999999999991</v>
      </c>
      <c r="N56" s="7">
        <f t="shared" si="161"/>
        <v>2.9999999999999996</v>
      </c>
      <c r="O56" s="7">
        <f t="shared" si="203"/>
        <v>4</v>
      </c>
      <c r="P56" s="7">
        <v>2.8</v>
      </c>
      <c r="Q56" s="7">
        <f t="shared" si="227"/>
        <v>2.8</v>
      </c>
      <c r="R56" s="7">
        <f t="shared" si="162"/>
        <v>3.8</v>
      </c>
      <c r="S56" s="7">
        <f t="shared" si="163"/>
        <v>49.513715271629529</v>
      </c>
      <c r="T56" s="7"/>
      <c r="U56" s="7"/>
      <c r="V56" s="7">
        <v>451</v>
      </c>
      <c r="W56" s="7"/>
      <c r="X56" s="7"/>
      <c r="Y56" s="7"/>
      <c r="Z56" s="7"/>
      <c r="AA56" s="7">
        <v>1</v>
      </c>
      <c r="AB56" s="7"/>
      <c r="AC56" s="7"/>
      <c r="AD56" s="7"/>
      <c r="AE56" s="4">
        <f t="shared" si="252"/>
        <v>254</v>
      </c>
      <c r="AF56" s="44">
        <f t="shared" si="204"/>
        <v>0.12666666666666665</v>
      </c>
      <c r="AG56" s="25">
        <f t="shared" si="164"/>
        <v>415.1214191673746</v>
      </c>
      <c r="AH56" s="4">
        <f t="shared" si="165"/>
        <v>0.7599999999999999</v>
      </c>
      <c r="AI56" s="4">
        <v>1.25</v>
      </c>
      <c r="AJ56" s="25">
        <f t="shared" si="146"/>
        <v>5</v>
      </c>
      <c r="AK56" s="38">
        <f t="shared" si="205"/>
        <v>249.76472053237029</v>
      </c>
      <c r="AL56" s="38">
        <f t="shared" si="148"/>
        <v>249.76472053237029</v>
      </c>
      <c r="AN56" s="38">
        <f t="shared" si="158"/>
        <v>249.76472053237032</v>
      </c>
      <c r="AO56" s="38">
        <f t="shared" si="87"/>
        <v>0.99999999999999989</v>
      </c>
      <c r="AP56" s="38">
        <f t="shared" si="206"/>
        <v>1.2300438632344617</v>
      </c>
      <c r="AQ56" s="4">
        <f t="shared" si="228"/>
        <v>0</v>
      </c>
      <c r="AR56" s="4" t="e">
        <f>#REF!/G56*F56^0.5/0.19</f>
        <v>#REF!</v>
      </c>
      <c r="AS56" s="4">
        <f t="shared" si="166"/>
        <v>1.1333333333333333</v>
      </c>
      <c r="AT56" s="38">
        <f t="shared" si="167"/>
        <v>307.22156174331246</v>
      </c>
      <c r="AU56" s="4">
        <f t="shared" si="168"/>
        <v>0.6080000000000001</v>
      </c>
      <c r="AV56" s="4" t="e">
        <f>AU56*D56*#REF!/(D56*G56/2.75/F56^0.5)</f>
        <v>#REF!</v>
      </c>
      <c r="AW56" s="4" t="e">
        <f t="shared" si="207"/>
        <v>#REF!</v>
      </c>
      <c r="AY56" s="36">
        <f t="shared" si="169"/>
        <v>1.1000000000000001</v>
      </c>
      <c r="AZ56" s="36" t="e">
        <f>(1.6*#REF!+22)*AY56*F56^0.5</f>
        <v>#REF!</v>
      </c>
      <c r="BE56" s="4">
        <f t="shared" si="170"/>
        <v>63.499999999999986</v>
      </c>
      <c r="BF56" s="4">
        <f t="shared" si="171"/>
        <v>63.499999999999986</v>
      </c>
      <c r="BG56" s="4">
        <f t="shared" si="172"/>
        <v>88.899999999999991</v>
      </c>
      <c r="BH56" s="4">
        <f t="shared" si="173"/>
        <v>76.199999999999989</v>
      </c>
      <c r="BI56" s="4">
        <f t="shared" si="229"/>
        <v>1.04</v>
      </c>
      <c r="BJ56" s="25">
        <f t="shared" si="174"/>
        <v>3.1199999999999997</v>
      </c>
      <c r="BL56" s="4">
        <f t="shared" si="175"/>
        <v>63.499999999999986</v>
      </c>
      <c r="BP56" s="9"/>
      <c r="BR56" s="9"/>
      <c r="BS56" s="9"/>
      <c r="BT56" s="9">
        <f t="shared" si="176"/>
        <v>50.8</v>
      </c>
      <c r="BU56" s="9">
        <f t="shared" si="177"/>
        <v>63.499999999999986</v>
      </c>
      <c r="BV56" s="9">
        <f t="shared" si="178"/>
        <v>1.4623505735569622</v>
      </c>
      <c r="BW56" s="9">
        <v>0</v>
      </c>
      <c r="BX56" s="9">
        <f t="shared" si="179"/>
        <v>0</v>
      </c>
      <c r="BY56" s="9">
        <f t="shared" si="230"/>
        <v>0</v>
      </c>
      <c r="BZ56" s="9">
        <f t="shared" si="180"/>
        <v>0.99524931562137331</v>
      </c>
      <c r="CA56" s="9">
        <f t="shared" si="181"/>
        <v>1.056</v>
      </c>
      <c r="CB56" s="9">
        <f t="shared" si="182"/>
        <v>1.911374255891328</v>
      </c>
      <c r="CC56" s="9">
        <f t="shared" si="183"/>
        <v>2.7950992393846952</v>
      </c>
      <c r="CD56" s="9">
        <v>1</v>
      </c>
      <c r="CE56" s="9" t="e">
        <f>4*CC56*#REF!+60*CC56</f>
        <v>#REF!</v>
      </c>
      <c r="CG56" s="4" t="e">
        <f t="shared" si="209"/>
        <v>#REF!</v>
      </c>
      <c r="CH56" s="4" t="e">
        <f t="shared" si="210"/>
        <v>#REF!</v>
      </c>
      <c r="CI56" s="4" t="e">
        <f t="shared" si="211"/>
        <v>#REF!</v>
      </c>
      <c r="CJ56" s="4" t="e">
        <f t="shared" si="212"/>
        <v>#REF!</v>
      </c>
      <c r="CK56" s="4" t="e">
        <f t="shared" si="213"/>
        <v>#REF!</v>
      </c>
      <c r="CL56" s="4" t="e">
        <f t="shared" si="214"/>
        <v>#REF!</v>
      </c>
      <c r="CM56" s="4">
        <f t="shared" si="215"/>
        <v>2.1494876316279021</v>
      </c>
      <c r="CO56" s="4" t="e">
        <f t="shared" si="216"/>
        <v>#REF!</v>
      </c>
      <c r="CP56" s="4" t="e">
        <f t="shared" si="217"/>
        <v>#REF!</v>
      </c>
      <c r="CQ56" s="4" t="e">
        <f t="shared" si="218"/>
        <v>#REF!</v>
      </c>
      <c r="CR56" s="4">
        <f t="shared" si="231"/>
        <v>2.1494876316279021</v>
      </c>
      <c r="CS56" s="4" t="e">
        <f t="shared" si="219"/>
        <v>#REF!</v>
      </c>
      <c r="CT56" s="4" t="e">
        <f t="shared" si="220"/>
        <v>#REF!</v>
      </c>
      <c r="DB56" s="4">
        <f t="shared" si="232"/>
        <v>0</v>
      </c>
      <c r="DC56" s="4">
        <f t="shared" si="184"/>
        <v>254</v>
      </c>
      <c r="DD56" s="4" t="e">
        <f>#REF!/E56</f>
        <v>#REF!</v>
      </c>
      <c r="DF56" s="4">
        <f t="shared" si="185"/>
        <v>1.7472864382687078E-5</v>
      </c>
      <c r="DG56" s="4">
        <f t="shared" si="233"/>
        <v>6.5652823394499222</v>
      </c>
      <c r="DH56" s="4">
        <f t="shared" si="221"/>
        <v>0.63650481014853455</v>
      </c>
      <c r="DI56" s="4">
        <f t="shared" si="149"/>
        <v>5.4799182998901728</v>
      </c>
      <c r="DJ56" s="4">
        <f t="shared" si="150"/>
        <v>6.0470204445706219</v>
      </c>
      <c r="DK56" s="4">
        <f t="shared" si="186"/>
        <v>6.2618192677258611</v>
      </c>
      <c r="DL56" s="38" t="e">
        <f t="shared" si="187"/>
        <v>#REF!</v>
      </c>
      <c r="DM56" s="4" t="e">
        <f t="shared" si="151"/>
        <v>#REF!</v>
      </c>
      <c r="DN56" s="4">
        <f t="shared" si="222"/>
        <v>1.9493588689617927</v>
      </c>
      <c r="DO56" s="4">
        <f t="shared" si="152"/>
        <v>249.76472053237032</v>
      </c>
      <c r="DS56" s="4">
        <f t="shared" si="188"/>
        <v>0.85</v>
      </c>
      <c r="DT56" s="4">
        <f t="shared" si="189"/>
        <v>0.85000000000000009</v>
      </c>
      <c r="DU56" s="4">
        <f t="shared" si="190"/>
        <v>1</v>
      </c>
      <c r="DV56" s="4">
        <f t="shared" si="234"/>
        <v>0.85000000000000009</v>
      </c>
      <c r="DX56" s="4" t="e">
        <f t="shared" si="191"/>
        <v>#REF!</v>
      </c>
      <c r="DY56" s="25">
        <f t="shared" si="192"/>
        <v>258.22019535919065</v>
      </c>
      <c r="EA56" s="4">
        <f t="shared" si="224"/>
        <v>0.72250000000000003</v>
      </c>
      <c r="EB56" s="4">
        <f t="shared" si="159"/>
        <v>6.5652823394499222</v>
      </c>
      <c r="EC56" s="4">
        <f t="shared" si="193"/>
        <v>5.9197837798352051</v>
      </c>
      <c r="EE56" s="4">
        <f t="shared" si="194"/>
        <v>49.513715271629529</v>
      </c>
      <c r="EF56" s="4">
        <f t="shared" si="235"/>
        <v>1.9493588689617927</v>
      </c>
      <c r="EG56" s="4">
        <f t="shared" si="195"/>
        <v>0.18085013508694833</v>
      </c>
      <c r="EJ56" s="4">
        <f t="shared" si="236"/>
        <v>0.18085013508694833</v>
      </c>
      <c r="EK56" s="4">
        <f t="shared" si="196"/>
        <v>0.63544260224876703</v>
      </c>
      <c r="EL56" s="4">
        <f t="shared" si="237"/>
        <v>5.4762584819800804</v>
      </c>
      <c r="EM56" s="4">
        <f t="shared" si="238"/>
        <v>6.0453627528027827</v>
      </c>
      <c r="EN56" s="4">
        <f t="shared" si="239"/>
        <v>140.98628472837046</v>
      </c>
      <c r="EO56" s="4">
        <f t="shared" si="240"/>
        <v>63.5</v>
      </c>
      <c r="EP56" s="4">
        <f t="shared" si="197"/>
        <v>1.7472864382687078E-5</v>
      </c>
      <c r="EQ56" s="4">
        <f t="shared" si="241"/>
        <v>6.2619137744944693</v>
      </c>
      <c r="ER56" s="4" t="e">
        <f t="shared" si="198"/>
        <v>#REF!</v>
      </c>
      <c r="ES56" s="4" t="e">
        <f t="shared" si="242"/>
        <v>#REF!</v>
      </c>
      <c r="ET56" s="4" t="e">
        <f t="shared" si="243"/>
        <v>#REF!</v>
      </c>
      <c r="EV56" s="4" t="e">
        <f t="shared" si="199"/>
        <v>#REF!</v>
      </c>
      <c r="FA56" s="23" t="e">
        <f t="shared" si="244"/>
        <v>#REF!</v>
      </c>
      <c r="FB56" s="23" t="e">
        <f t="shared" si="245"/>
        <v>#REF!</v>
      </c>
      <c r="FC56" s="23">
        <f t="shared" si="246"/>
        <v>2.2000000000000002</v>
      </c>
      <c r="FD56" s="23" t="e">
        <f t="shared" si="247"/>
        <v>#REF!</v>
      </c>
      <c r="FE56" s="23" t="e">
        <f t="shared" si="248"/>
        <v>#REF!</v>
      </c>
      <c r="FF56" s="23" t="e">
        <f t="shared" si="249"/>
        <v>#REF!</v>
      </c>
      <c r="FG56" s="23" t="e">
        <f t="shared" si="250"/>
        <v>#REF!</v>
      </c>
      <c r="FH56" s="23"/>
      <c r="FI56" s="1" t="s">
        <v>44</v>
      </c>
      <c r="FJ56">
        <f>COUNTIF(FA19:FA573,1)</f>
        <v>0</v>
      </c>
      <c r="FK56">
        <f t="shared" ref="FK56:FN56" si="254">COUNTIF(FB19:FB573,1)</f>
        <v>0</v>
      </c>
      <c r="FL56">
        <f t="shared" si="254"/>
        <v>30</v>
      </c>
      <c r="FM56">
        <f t="shared" si="254"/>
        <v>0</v>
      </c>
      <c r="FN56">
        <f t="shared" si="254"/>
        <v>77</v>
      </c>
      <c r="FO56">
        <f>COUNTIF(FF19:FF573,1)</f>
        <v>63</v>
      </c>
      <c r="FR56" s="4">
        <f t="shared" si="140"/>
        <v>1</v>
      </c>
      <c r="FS56" s="4">
        <f t="shared" si="141"/>
        <v>1.0833333333333333</v>
      </c>
      <c r="FT56" s="4">
        <f t="shared" si="142"/>
        <v>0</v>
      </c>
      <c r="FU56" s="4">
        <f t="shared" si="143"/>
        <v>209.81744363815565</v>
      </c>
    </row>
    <row r="57" spans="1:177" ht="12" customHeight="1" x14ac:dyDescent="0.3">
      <c r="B57" s="24"/>
      <c r="C57" s="7" t="s">
        <v>278</v>
      </c>
      <c r="D57" s="7">
        <v>472</v>
      </c>
      <c r="E57" s="7">
        <f t="shared" si="226"/>
        <v>254</v>
      </c>
      <c r="F57" s="7">
        <v>21</v>
      </c>
      <c r="G57" s="7">
        <v>25.4</v>
      </c>
      <c r="H57" s="7">
        <f t="shared" si="200"/>
        <v>152.39999999999998</v>
      </c>
      <c r="I57" s="7">
        <f t="shared" si="160"/>
        <v>63.499999999999986</v>
      </c>
      <c r="J57" s="7">
        <f t="shared" si="201"/>
        <v>50.8</v>
      </c>
      <c r="K57" s="7">
        <v>0</v>
      </c>
      <c r="L57" s="7">
        <v>1</v>
      </c>
      <c r="M57" s="7">
        <f t="shared" si="202"/>
        <v>88.899999999999991</v>
      </c>
      <c r="N57" s="7">
        <f t="shared" si="161"/>
        <v>2.9999999999999996</v>
      </c>
      <c r="O57" s="7">
        <f t="shared" si="203"/>
        <v>4</v>
      </c>
      <c r="P57" s="7">
        <v>4.04</v>
      </c>
      <c r="Q57" s="7">
        <f t="shared" si="227"/>
        <v>4.04</v>
      </c>
      <c r="R57" s="7">
        <f t="shared" si="162"/>
        <v>5.04</v>
      </c>
      <c r="S57" s="7">
        <f t="shared" si="163"/>
        <v>57.022858574434863</v>
      </c>
      <c r="T57" s="7"/>
      <c r="U57" s="7"/>
      <c r="V57" s="7">
        <v>319</v>
      </c>
      <c r="W57" s="7"/>
      <c r="X57" s="7"/>
      <c r="Y57" s="7"/>
      <c r="Z57" s="7"/>
      <c r="AA57" s="7">
        <v>1</v>
      </c>
      <c r="AB57" s="7"/>
      <c r="AC57" s="7"/>
      <c r="AD57" s="7"/>
      <c r="AE57" s="4">
        <f t="shared" si="252"/>
        <v>254</v>
      </c>
      <c r="AF57" s="44">
        <f t="shared" si="204"/>
        <v>0.12666666666666665</v>
      </c>
      <c r="AG57" s="25">
        <f t="shared" si="164"/>
        <v>366.10267967102493</v>
      </c>
      <c r="AH57" s="4">
        <f t="shared" si="165"/>
        <v>0.7599999999999999</v>
      </c>
      <c r="AI57" s="4">
        <v>1.25</v>
      </c>
      <c r="AJ57" s="25">
        <f t="shared" si="146"/>
        <v>5</v>
      </c>
      <c r="AK57" s="38">
        <f t="shared" si="205"/>
        <v>220.27177893539994</v>
      </c>
      <c r="AL57" s="38">
        <f t="shared" si="148"/>
        <v>220.27177893539994</v>
      </c>
      <c r="AN57" s="38">
        <f t="shared" si="158"/>
        <v>220.27177893539994</v>
      </c>
      <c r="AO57" s="38">
        <f t="shared" si="87"/>
        <v>1</v>
      </c>
      <c r="AP57" s="38">
        <f t="shared" si="206"/>
        <v>1.3030468502430785</v>
      </c>
      <c r="AQ57" s="4">
        <f t="shared" si="228"/>
        <v>0</v>
      </c>
      <c r="AR57" s="4" t="e">
        <f>#REF!/G57*F57^0.5/0.19</f>
        <v>#REF!</v>
      </c>
      <c r="AS57" s="4">
        <f t="shared" si="166"/>
        <v>1.1333333333333333</v>
      </c>
      <c r="AT57" s="38">
        <f t="shared" si="167"/>
        <v>287.02444773921258</v>
      </c>
      <c r="AU57" s="4">
        <f t="shared" si="168"/>
        <v>0.43440000000000001</v>
      </c>
      <c r="AV57" s="4" t="e">
        <f>AU57*D57*#REF!/(D57*G57/2.75/F57^0.5)</f>
        <v>#REF!</v>
      </c>
      <c r="AW57" s="4" t="e">
        <f t="shared" si="207"/>
        <v>#REF!</v>
      </c>
      <c r="AY57" s="36">
        <f t="shared" si="169"/>
        <v>1.1000000000000001</v>
      </c>
      <c r="AZ57" s="36" t="e">
        <f>(1.6*#REF!+22)*AY57*F57^0.5</f>
        <v>#REF!</v>
      </c>
      <c r="BE57" s="4">
        <f t="shared" si="170"/>
        <v>63.499999999999986</v>
      </c>
      <c r="BF57" s="4">
        <f t="shared" si="171"/>
        <v>63.499999999999986</v>
      </c>
      <c r="BG57" s="4">
        <f t="shared" si="172"/>
        <v>88.899999999999991</v>
      </c>
      <c r="BH57" s="4">
        <f t="shared" si="173"/>
        <v>76.199999999999989</v>
      </c>
      <c r="BI57" s="4">
        <f t="shared" si="229"/>
        <v>1.04</v>
      </c>
      <c r="BJ57" s="25">
        <f t="shared" si="174"/>
        <v>3.1199999999999997</v>
      </c>
      <c r="BL57" s="4">
        <f t="shared" si="175"/>
        <v>63.499999999999986</v>
      </c>
      <c r="BP57" s="9"/>
      <c r="BR57" s="9"/>
      <c r="BS57" s="9"/>
      <c r="BT57" s="9">
        <f t="shared" si="176"/>
        <v>50.8</v>
      </c>
      <c r="BU57" s="9">
        <f t="shared" si="177"/>
        <v>63.499999999999986</v>
      </c>
      <c r="BV57" s="9">
        <f t="shared" si="178"/>
        <v>1.4623505735569622</v>
      </c>
      <c r="BW57" s="9">
        <v>0</v>
      </c>
      <c r="BX57" s="9">
        <f t="shared" si="179"/>
        <v>0</v>
      </c>
      <c r="BY57" s="9">
        <f t="shared" si="230"/>
        <v>0</v>
      </c>
      <c r="BZ57" s="9">
        <f t="shared" si="180"/>
        <v>0.99524931562137331</v>
      </c>
      <c r="CA57" s="9">
        <f t="shared" si="181"/>
        <v>1.056</v>
      </c>
      <c r="CB57" s="9">
        <f t="shared" si="182"/>
        <v>1.6856736478198622</v>
      </c>
      <c r="CC57" s="9">
        <f t="shared" si="183"/>
        <v>2.465045825719232</v>
      </c>
      <c r="CD57" s="9">
        <v>1</v>
      </c>
      <c r="CE57" s="9" t="e">
        <f>4*CC57*#REF!+60*CC57</f>
        <v>#REF!</v>
      </c>
      <c r="CG57" s="4" t="e">
        <f t="shared" si="209"/>
        <v>#REF!</v>
      </c>
      <c r="CH57" s="4" t="e">
        <f t="shared" si="210"/>
        <v>#REF!</v>
      </c>
      <c r="CI57" s="4" t="e">
        <f t="shared" si="211"/>
        <v>#REF!</v>
      </c>
      <c r="CJ57" s="4" t="e">
        <f t="shared" si="212"/>
        <v>#REF!</v>
      </c>
      <c r="CK57" s="4" t="e">
        <f t="shared" si="213"/>
        <v>#REF!</v>
      </c>
      <c r="CL57" s="4" t="e">
        <f t="shared" si="214"/>
        <v>#REF!</v>
      </c>
      <c r="CM57" s="4">
        <f t="shared" si="215"/>
        <v>1.6189566089937328</v>
      </c>
      <c r="CO57" s="4" t="e">
        <f t="shared" si="216"/>
        <v>#REF!</v>
      </c>
      <c r="CP57" s="4" t="e">
        <f t="shared" si="217"/>
        <v>#REF!</v>
      </c>
      <c r="CQ57" s="4" t="e">
        <f t="shared" si="218"/>
        <v>#REF!</v>
      </c>
      <c r="CR57" s="4">
        <f t="shared" si="231"/>
        <v>1.6189566089937328</v>
      </c>
      <c r="CS57" s="4" t="e">
        <f t="shared" si="219"/>
        <v>#REF!</v>
      </c>
      <c r="CT57" s="4" t="e">
        <f t="shared" si="220"/>
        <v>#REF!</v>
      </c>
      <c r="DB57" s="4">
        <f t="shared" si="232"/>
        <v>0</v>
      </c>
      <c r="DC57" s="4">
        <f t="shared" si="184"/>
        <v>254</v>
      </c>
      <c r="DD57" s="4" t="e">
        <f>#REF!/E57</f>
        <v>#REF!</v>
      </c>
      <c r="DF57" s="4">
        <f t="shared" si="185"/>
        <v>1.668887417236156E-5</v>
      </c>
      <c r="DG57" s="4">
        <f t="shared" si="233"/>
        <v>5.7900347857029448</v>
      </c>
      <c r="DH57" s="4">
        <f t="shared" si="221"/>
        <v>0.57606841067610404</v>
      </c>
      <c r="DI57" s="4">
        <f t="shared" si="149"/>
        <v>4.6437710234872753</v>
      </c>
      <c r="DJ57" s="4">
        <f t="shared" si="150"/>
        <v>5.248328253060607</v>
      </c>
      <c r="DK57" s="4">
        <f t="shared" si="186"/>
        <v>5.5693031817357328</v>
      </c>
      <c r="DL57" s="38" t="e">
        <f t="shared" si="187"/>
        <v>#REF!</v>
      </c>
      <c r="DM57" s="4" t="e">
        <f t="shared" si="151"/>
        <v>#REF!</v>
      </c>
      <c r="DN57" s="4">
        <f t="shared" si="222"/>
        <v>2.2449944320643649</v>
      </c>
      <c r="DO57" s="4">
        <f t="shared" si="152"/>
        <v>220.27177893539994</v>
      </c>
      <c r="DS57" s="4">
        <f t="shared" si="188"/>
        <v>0.85</v>
      </c>
      <c r="DT57" s="4">
        <f t="shared" si="189"/>
        <v>0.85000000000000009</v>
      </c>
      <c r="DU57" s="4">
        <f t="shared" si="190"/>
        <v>1</v>
      </c>
      <c r="DV57" s="4">
        <f t="shared" si="234"/>
        <v>0.85000000000000009</v>
      </c>
      <c r="DX57" s="4" t="e">
        <f t="shared" si="191"/>
        <v>#REF!</v>
      </c>
      <c r="DY57" s="25">
        <f t="shared" si="192"/>
        <v>227.72880680497778</v>
      </c>
      <c r="EA57" s="4">
        <f t="shared" si="224"/>
        <v>0.72250000000000003</v>
      </c>
      <c r="EB57" s="4">
        <f t="shared" si="159"/>
        <v>5.7900347857029448</v>
      </c>
      <c r="EC57" s="4">
        <f t="shared" si="193"/>
        <v>5.2207585655726314</v>
      </c>
      <c r="EE57" s="4">
        <f t="shared" si="194"/>
        <v>57.022858574434863</v>
      </c>
      <c r="EF57" s="4">
        <f t="shared" si="235"/>
        <v>2.2449944320643649</v>
      </c>
      <c r="EG57" s="4">
        <f t="shared" si="195"/>
        <v>0.14435072638953436</v>
      </c>
      <c r="EJ57" s="4">
        <f t="shared" si="236"/>
        <v>0.14435072638953436</v>
      </c>
      <c r="EK57" s="4">
        <f t="shared" si="196"/>
        <v>0.5751070598632424</v>
      </c>
      <c r="EL57" s="4">
        <f t="shared" si="237"/>
        <v>4.6406696348475087</v>
      </c>
      <c r="EM57" s="4">
        <f t="shared" si="238"/>
        <v>5.2469568909096118</v>
      </c>
      <c r="EN57" s="4">
        <f t="shared" si="239"/>
        <v>133.47714142556515</v>
      </c>
      <c r="EO57" s="4">
        <f t="shared" si="240"/>
        <v>63.5</v>
      </c>
      <c r="EP57" s="4">
        <f t="shared" si="197"/>
        <v>1.668887417236156E-5</v>
      </c>
      <c r="EQ57" s="4">
        <f t="shared" si="241"/>
        <v>5.5693723103756767</v>
      </c>
      <c r="ER57" s="4" t="e">
        <f t="shared" si="198"/>
        <v>#REF!</v>
      </c>
      <c r="ES57" s="4" t="e">
        <f t="shared" si="242"/>
        <v>#REF!</v>
      </c>
      <c r="ET57" s="4" t="e">
        <f t="shared" si="243"/>
        <v>#REF!</v>
      </c>
      <c r="EV57" s="4" t="e">
        <f t="shared" si="199"/>
        <v>#REF!</v>
      </c>
      <c r="FA57" s="23" t="e">
        <f t="shared" si="244"/>
        <v>#REF!</v>
      </c>
      <c r="FB57" s="23" t="e">
        <f t="shared" si="245"/>
        <v>#REF!</v>
      </c>
      <c r="FC57" s="23">
        <f t="shared" si="246"/>
        <v>1.8</v>
      </c>
      <c r="FD57" s="23" t="e">
        <f t="shared" si="247"/>
        <v>#REF!</v>
      </c>
      <c r="FE57" s="23" t="e">
        <f t="shared" si="248"/>
        <v>#REF!</v>
      </c>
      <c r="FF57" s="23" t="e">
        <f t="shared" si="249"/>
        <v>#REF!</v>
      </c>
      <c r="FG57" s="23" t="e">
        <f t="shared" si="250"/>
        <v>#REF!</v>
      </c>
      <c r="FH57" s="23"/>
      <c r="FI57" s="1" t="s">
        <v>45</v>
      </c>
      <c r="FJ57">
        <f>COUNTIF(FA19:FA576,1.2)</f>
        <v>0</v>
      </c>
      <c r="FK57">
        <f t="shared" ref="FK57:FO57" si="255">COUNTIF(FB19:FB576,1.2)</f>
        <v>0</v>
      </c>
      <c r="FL57">
        <f t="shared" si="255"/>
        <v>52</v>
      </c>
      <c r="FM57">
        <f t="shared" si="255"/>
        <v>0</v>
      </c>
      <c r="FN57">
        <f t="shared" si="255"/>
        <v>84</v>
      </c>
      <c r="FO57">
        <f t="shared" si="255"/>
        <v>86</v>
      </c>
      <c r="FR57" s="4">
        <f t="shared" si="140"/>
        <v>1</v>
      </c>
      <c r="FS57" s="4">
        <f t="shared" si="141"/>
        <v>1.0833333333333333</v>
      </c>
      <c r="FT57" s="4">
        <f t="shared" si="142"/>
        <v>0</v>
      </c>
      <c r="FU57" s="4">
        <f t="shared" si="143"/>
        <v>197.04048782275603</v>
      </c>
    </row>
    <row r="58" spans="1:177" ht="12" customHeight="1" x14ac:dyDescent="0.3">
      <c r="B58" s="24"/>
      <c r="C58" s="7" t="s">
        <v>279</v>
      </c>
      <c r="D58" s="7">
        <v>472</v>
      </c>
      <c r="E58" s="7">
        <f t="shared" si="226"/>
        <v>254</v>
      </c>
      <c r="F58" s="7">
        <v>21</v>
      </c>
      <c r="G58" s="7">
        <v>25.4</v>
      </c>
      <c r="H58" s="7">
        <f t="shared" si="200"/>
        <v>152.39999999999998</v>
      </c>
      <c r="I58" s="7">
        <f t="shared" si="160"/>
        <v>63.499999999999986</v>
      </c>
      <c r="J58" s="7">
        <f t="shared" si="201"/>
        <v>50.8</v>
      </c>
      <c r="K58" s="7">
        <v>0</v>
      </c>
      <c r="L58" s="7">
        <v>1</v>
      </c>
      <c r="M58" s="7">
        <f t="shared" si="202"/>
        <v>88.899999999999991</v>
      </c>
      <c r="N58" s="7">
        <f t="shared" si="161"/>
        <v>2.9999999999999996</v>
      </c>
      <c r="O58" s="7">
        <f t="shared" si="203"/>
        <v>4</v>
      </c>
      <c r="P58" s="7">
        <v>4.0599999999999996</v>
      </c>
      <c r="Q58" s="7">
        <f t="shared" si="227"/>
        <v>4.0599999999999996</v>
      </c>
      <c r="R58" s="7">
        <f t="shared" si="162"/>
        <v>5.0599999999999996</v>
      </c>
      <c r="S58" s="7">
        <f t="shared" si="163"/>
        <v>57.135887146346114</v>
      </c>
      <c r="T58" s="7"/>
      <c r="U58" s="7"/>
      <c r="V58" s="7">
        <v>386</v>
      </c>
      <c r="W58" s="7"/>
      <c r="X58" s="7"/>
      <c r="Y58" s="7"/>
      <c r="Z58" s="7"/>
      <c r="AA58" s="7">
        <v>1</v>
      </c>
      <c r="AB58" s="7"/>
      <c r="AC58" s="7"/>
      <c r="AD58" s="7"/>
      <c r="AE58" s="4">
        <f t="shared" si="252"/>
        <v>254</v>
      </c>
      <c r="AF58" s="44">
        <f t="shared" si="204"/>
        <v>0.12666666666666665</v>
      </c>
      <c r="AG58" s="25">
        <f t="shared" si="164"/>
        <v>366.10267967102493</v>
      </c>
      <c r="AH58" s="4">
        <f t="shared" si="165"/>
        <v>0.7599999999999999</v>
      </c>
      <c r="AI58" s="4">
        <v>1.25</v>
      </c>
      <c r="AJ58" s="25">
        <f t="shared" si="146"/>
        <v>5</v>
      </c>
      <c r="AK58" s="38">
        <f t="shared" si="205"/>
        <v>220.27177893539994</v>
      </c>
      <c r="AL58" s="38">
        <f t="shared" si="148"/>
        <v>220.27177893539994</v>
      </c>
      <c r="AN58" s="38">
        <f t="shared" si="158"/>
        <v>220.27177893539994</v>
      </c>
      <c r="AO58" s="38">
        <f t="shared" si="87"/>
        <v>1</v>
      </c>
      <c r="AP58" s="38">
        <f t="shared" si="206"/>
        <v>1.3062682317974748</v>
      </c>
      <c r="AQ58" s="4">
        <f t="shared" si="228"/>
        <v>0</v>
      </c>
      <c r="AR58" s="4" t="e">
        <f>#REF!/G58*F58^0.5/0.19</f>
        <v>#REF!</v>
      </c>
      <c r="AS58" s="4">
        <f t="shared" si="166"/>
        <v>1.1333333333333333</v>
      </c>
      <c r="AT58" s="38">
        <f t="shared" si="167"/>
        <v>287.73402718482913</v>
      </c>
      <c r="AU58" s="4">
        <f t="shared" si="168"/>
        <v>0.43160000000000009</v>
      </c>
      <c r="AV58" s="4" t="e">
        <f>AU58*D58*#REF!/(D58*G58/2.75/F58^0.5)</f>
        <v>#REF!</v>
      </c>
      <c r="AW58" s="4" t="e">
        <f t="shared" si="207"/>
        <v>#REF!</v>
      </c>
      <c r="AY58" s="36">
        <f t="shared" si="169"/>
        <v>1.1000000000000001</v>
      </c>
      <c r="AZ58" s="36" t="e">
        <f>(1.6*#REF!+22)*AY58*F58^0.5</f>
        <v>#REF!</v>
      </c>
      <c r="BE58" s="4">
        <f t="shared" si="170"/>
        <v>63.499999999999986</v>
      </c>
      <c r="BF58" s="4">
        <f t="shared" si="171"/>
        <v>63.499999999999986</v>
      </c>
      <c r="BG58" s="4">
        <f t="shared" si="172"/>
        <v>88.899999999999991</v>
      </c>
      <c r="BH58" s="4">
        <f t="shared" si="173"/>
        <v>76.199999999999989</v>
      </c>
      <c r="BI58" s="4">
        <f t="shared" si="229"/>
        <v>1.04</v>
      </c>
      <c r="BJ58" s="25">
        <f t="shared" si="174"/>
        <v>3.1199999999999997</v>
      </c>
      <c r="BL58" s="4">
        <f t="shared" si="175"/>
        <v>63.499999999999986</v>
      </c>
      <c r="BP58" s="9"/>
      <c r="BR58" s="9"/>
      <c r="BS58" s="9"/>
      <c r="BT58" s="9">
        <f t="shared" si="176"/>
        <v>50.8</v>
      </c>
      <c r="BU58" s="9">
        <f t="shared" si="177"/>
        <v>63.499999999999986</v>
      </c>
      <c r="BV58" s="9">
        <f t="shared" si="178"/>
        <v>1.4623505735569622</v>
      </c>
      <c r="BW58" s="9">
        <v>0</v>
      </c>
      <c r="BX58" s="9">
        <f t="shared" si="179"/>
        <v>0</v>
      </c>
      <c r="BY58" s="9">
        <f t="shared" si="230"/>
        <v>0</v>
      </c>
      <c r="BZ58" s="9">
        <f t="shared" si="180"/>
        <v>0.99524931562137331</v>
      </c>
      <c r="CA58" s="9">
        <f t="shared" si="181"/>
        <v>1.056</v>
      </c>
      <c r="CB58" s="9">
        <f t="shared" si="182"/>
        <v>1.6856736478198622</v>
      </c>
      <c r="CC58" s="9">
        <f t="shared" si="183"/>
        <v>2.465045825719232</v>
      </c>
      <c r="CD58" s="9">
        <v>1</v>
      </c>
      <c r="CE58" s="9" t="e">
        <f>4*CC58*#REF!+60*CC58</f>
        <v>#REF!</v>
      </c>
      <c r="CG58" s="4" t="e">
        <f t="shared" si="209"/>
        <v>#REF!</v>
      </c>
      <c r="CH58" s="4" t="e">
        <f t="shared" si="210"/>
        <v>#REF!</v>
      </c>
      <c r="CI58" s="4" t="e">
        <f t="shared" si="211"/>
        <v>#REF!</v>
      </c>
      <c r="CJ58" s="4" t="e">
        <f t="shared" si="212"/>
        <v>#REF!</v>
      </c>
      <c r="CK58" s="4" t="e">
        <f t="shared" si="213"/>
        <v>#REF!</v>
      </c>
      <c r="CL58" s="4" t="e">
        <f t="shared" si="214"/>
        <v>#REF!</v>
      </c>
      <c r="CM58" s="4">
        <f t="shared" si="215"/>
        <v>1.9589882478732941</v>
      </c>
      <c r="CO58" s="4" t="e">
        <f t="shared" si="216"/>
        <v>#REF!</v>
      </c>
      <c r="CP58" s="4" t="e">
        <f t="shared" si="217"/>
        <v>#REF!</v>
      </c>
      <c r="CQ58" s="4" t="e">
        <f t="shared" si="218"/>
        <v>#REF!</v>
      </c>
      <c r="CR58" s="4">
        <f t="shared" si="231"/>
        <v>1.9589882478732941</v>
      </c>
      <c r="CS58" s="4" t="e">
        <f t="shared" si="219"/>
        <v>#REF!</v>
      </c>
      <c r="CT58" s="4" t="e">
        <f t="shared" si="220"/>
        <v>#REF!</v>
      </c>
      <c r="DB58" s="4">
        <f t="shared" si="232"/>
        <v>0</v>
      </c>
      <c r="DC58" s="4">
        <f t="shared" si="184"/>
        <v>254</v>
      </c>
      <c r="DD58" s="4" t="e">
        <f>#REF!/E58</f>
        <v>#REF!</v>
      </c>
      <c r="DF58" s="4">
        <f t="shared" si="185"/>
        <v>1.668887417236156E-5</v>
      </c>
      <c r="DG58" s="4">
        <f t="shared" si="233"/>
        <v>5.7900347857029448</v>
      </c>
      <c r="DH58" s="4">
        <f t="shared" si="221"/>
        <v>0.57436687152312826</v>
      </c>
      <c r="DI58" s="4">
        <f t="shared" si="149"/>
        <v>4.6382796125420667</v>
      </c>
      <c r="DJ58" s="4">
        <f t="shared" si="150"/>
        <v>5.2459004619170866</v>
      </c>
      <c r="DK58" s="4">
        <f t="shared" si="186"/>
        <v>5.5694387648810642</v>
      </c>
      <c r="DL58" s="38" t="e">
        <f t="shared" si="187"/>
        <v>#REF!</v>
      </c>
      <c r="DM58" s="4" t="e">
        <f t="shared" si="151"/>
        <v>#REF!</v>
      </c>
      <c r="DN58" s="4">
        <f t="shared" si="222"/>
        <v>2.2494443758403984</v>
      </c>
      <c r="DO58" s="4">
        <f t="shared" si="152"/>
        <v>220.27177893539994</v>
      </c>
      <c r="DS58" s="4">
        <f t="shared" si="188"/>
        <v>0.85</v>
      </c>
      <c r="DT58" s="4">
        <f t="shared" si="189"/>
        <v>0.85000000000000009</v>
      </c>
      <c r="DU58" s="4">
        <f t="shared" si="190"/>
        <v>1</v>
      </c>
      <c r="DV58" s="4">
        <f t="shared" si="234"/>
        <v>0.85000000000000009</v>
      </c>
      <c r="DX58" s="4" t="e">
        <f t="shared" si="191"/>
        <v>#REF!</v>
      </c>
      <c r="DY58" s="25">
        <f t="shared" si="192"/>
        <v>227.72880680497778</v>
      </c>
      <c r="EA58" s="4">
        <f t="shared" si="224"/>
        <v>0.72250000000000003</v>
      </c>
      <c r="EB58" s="4">
        <f t="shared" si="159"/>
        <v>5.7900347857029448</v>
      </c>
      <c r="EC58" s="4">
        <f t="shared" si="193"/>
        <v>5.2207585655726314</v>
      </c>
      <c r="EE58" s="4">
        <f t="shared" si="194"/>
        <v>57.135887146346114</v>
      </c>
      <c r="EF58" s="4">
        <f t="shared" si="235"/>
        <v>2.2494443758403984</v>
      </c>
      <c r="EG58" s="4">
        <f t="shared" si="195"/>
        <v>0.14392435617349697</v>
      </c>
      <c r="EJ58" s="4">
        <f t="shared" si="236"/>
        <v>0.14392435617349697</v>
      </c>
      <c r="EK58" s="4">
        <f t="shared" si="196"/>
        <v>0.57340836026198916</v>
      </c>
      <c r="EL58" s="4">
        <f t="shared" si="237"/>
        <v>4.6351818913956864</v>
      </c>
      <c r="EM58" s="4">
        <f t="shared" si="238"/>
        <v>5.2445317154987805</v>
      </c>
      <c r="EN58" s="4">
        <f t="shared" si="239"/>
        <v>133.36411285365389</v>
      </c>
      <c r="EO58" s="4">
        <f t="shared" si="240"/>
        <v>63.5</v>
      </c>
      <c r="EP58" s="4">
        <f t="shared" si="197"/>
        <v>1.668887417236156E-5</v>
      </c>
      <c r="EQ58" s="4">
        <f t="shared" si="241"/>
        <v>5.5695078238252744</v>
      </c>
      <c r="ER58" s="4" t="e">
        <f t="shared" si="198"/>
        <v>#REF!</v>
      </c>
      <c r="ES58" s="4" t="e">
        <f t="shared" si="242"/>
        <v>#REF!</v>
      </c>
      <c r="ET58" s="4" t="e">
        <f t="shared" si="243"/>
        <v>#REF!</v>
      </c>
      <c r="EV58" s="4" t="e">
        <f t="shared" si="199"/>
        <v>#REF!</v>
      </c>
      <c r="FA58" s="23" t="e">
        <f t="shared" si="244"/>
        <v>#REF!</v>
      </c>
      <c r="FB58" s="23" t="e">
        <f t="shared" si="245"/>
        <v>#REF!</v>
      </c>
      <c r="FC58" s="23">
        <f t="shared" si="246"/>
        <v>2</v>
      </c>
      <c r="FD58" s="23" t="e">
        <f t="shared" si="247"/>
        <v>#REF!</v>
      </c>
      <c r="FE58" s="23" t="e">
        <f t="shared" si="248"/>
        <v>#REF!</v>
      </c>
      <c r="FF58" s="23" t="e">
        <f t="shared" si="249"/>
        <v>#REF!</v>
      </c>
      <c r="FG58" s="23" t="e">
        <f t="shared" si="250"/>
        <v>#REF!</v>
      </c>
      <c r="FH58" s="23"/>
      <c r="FI58" s="1" t="s">
        <v>46</v>
      </c>
      <c r="FJ58">
        <f>COUNTIF(FA19:FA574,1.4)</f>
        <v>0</v>
      </c>
      <c r="FK58">
        <f t="shared" ref="FK58:FO58" si="256">COUNTIF(FB19:FB574,1.4)</f>
        <v>0</v>
      </c>
      <c r="FL58">
        <f t="shared" si="256"/>
        <v>92</v>
      </c>
      <c r="FM58">
        <f t="shared" si="256"/>
        <v>0</v>
      </c>
      <c r="FN58">
        <f t="shared" si="256"/>
        <v>32</v>
      </c>
      <c r="FO58">
        <f t="shared" si="256"/>
        <v>38</v>
      </c>
      <c r="FR58" s="4">
        <f t="shared" si="140"/>
        <v>1</v>
      </c>
      <c r="FS58" s="4">
        <f t="shared" si="141"/>
        <v>1.0833333333333333</v>
      </c>
      <c r="FT58" s="4">
        <f t="shared" si="142"/>
        <v>0</v>
      </c>
      <c r="FU58" s="4">
        <f t="shared" si="143"/>
        <v>197.04048782275603</v>
      </c>
    </row>
    <row r="59" spans="1:177" ht="12" customHeight="1" x14ac:dyDescent="0.3">
      <c r="B59" s="24"/>
      <c r="C59" s="7" t="s">
        <v>280</v>
      </c>
      <c r="D59" s="7">
        <v>472</v>
      </c>
      <c r="E59" s="7">
        <f t="shared" si="226"/>
        <v>254</v>
      </c>
      <c r="F59" s="7">
        <v>28</v>
      </c>
      <c r="G59" s="7">
        <v>25.4</v>
      </c>
      <c r="H59" s="7">
        <f t="shared" si="200"/>
        <v>152.39999999999998</v>
      </c>
      <c r="I59" s="7">
        <f t="shared" si="160"/>
        <v>63.499999999999986</v>
      </c>
      <c r="J59" s="7">
        <f t="shared" si="201"/>
        <v>50.8</v>
      </c>
      <c r="K59" s="7">
        <v>0</v>
      </c>
      <c r="L59" s="7">
        <v>1</v>
      </c>
      <c r="M59" s="7">
        <f t="shared" si="202"/>
        <v>88.899999999999991</v>
      </c>
      <c r="N59" s="7">
        <f t="shared" si="161"/>
        <v>2.9999999999999996</v>
      </c>
      <c r="O59" s="7">
        <f t="shared" si="203"/>
        <v>4</v>
      </c>
      <c r="P59" s="7">
        <v>4.7</v>
      </c>
      <c r="Q59" s="7">
        <f t="shared" si="227"/>
        <v>4.7</v>
      </c>
      <c r="R59" s="7">
        <f t="shared" si="162"/>
        <v>5.7</v>
      </c>
      <c r="S59" s="7">
        <f t="shared" si="163"/>
        <v>60.641668842471674</v>
      </c>
      <c r="T59" s="7"/>
      <c r="U59" s="7"/>
      <c r="V59" s="7">
        <v>458</v>
      </c>
      <c r="W59" s="7"/>
      <c r="X59" s="7"/>
      <c r="Y59" s="7"/>
      <c r="Z59" s="7"/>
      <c r="AA59" s="7">
        <v>1</v>
      </c>
      <c r="AB59" s="7"/>
      <c r="AC59" s="7"/>
      <c r="AD59" s="7"/>
      <c r="AE59" s="4">
        <f t="shared" si="252"/>
        <v>254</v>
      </c>
      <c r="AF59" s="44">
        <f t="shared" si="204"/>
        <v>0.12666666666666665</v>
      </c>
      <c r="AG59" s="25">
        <f t="shared" si="164"/>
        <v>422.7389613182192</v>
      </c>
      <c r="AH59" s="4">
        <f t="shared" si="165"/>
        <v>0.7599999999999999</v>
      </c>
      <c r="AI59" s="4">
        <v>1.25</v>
      </c>
      <c r="AJ59" s="25">
        <f t="shared" si="146"/>
        <v>5</v>
      </c>
      <c r="AK59" s="38">
        <f t="shared" si="205"/>
        <v>254.34794172646178</v>
      </c>
      <c r="AL59" s="38">
        <f t="shared" si="148"/>
        <v>254.34794172646178</v>
      </c>
      <c r="AN59" s="38">
        <f t="shared" si="158"/>
        <v>254.34794172646181</v>
      </c>
      <c r="AO59" s="38">
        <f t="shared" si="87"/>
        <v>0.99999999999999989</v>
      </c>
      <c r="AP59" s="38">
        <f t="shared" si="206"/>
        <v>1.6228846237897425</v>
      </c>
      <c r="AQ59" s="4">
        <f t="shared" si="228"/>
        <v>0</v>
      </c>
      <c r="AR59" s="4" t="e">
        <f>#REF!/G59*F59^0.5/0.19</f>
        <v>#REF!</v>
      </c>
      <c r="AS59" s="4">
        <f t="shared" si="166"/>
        <v>1.1333333333333333</v>
      </c>
      <c r="AT59" s="38">
        <f t="shared" si="167"/>
        <v>412.77736372044433</v>
      </c>
      <c r="AU59" s="4">
        <f t="shared" si="168"/>
        <v>0.34199999999999997</v>
      </c>
      <c r="AV59" s="4" t="e">
        <f>AU59*D59*#REF!/(D59*G59/2.75/F59^0.5)</f>
        <v>#REF!</v>
      </c>
      <c r="AW59" s="4" t="e">
        <f t="shared" si="207"/>
        <v>#REF!</v>
      </c>
      <c r="AY59" s="36">
        <f t="shared" si="169"/>
        <v>1.1000000000000001</v>
      </c>
      <c r="AZ59" s="36" t="e">
        <f>(1.6*#REF!+22)*AY59*F59^0.5</f>
        <v>#REF!</v>
      </c>
      <c r="BE59" s="4">
        <f t="shared" si="170"/>
        <v>63.499999999999986</v>
      </c>
      <c r="BF59" s="4">
        <f t="shared" si="171"/>
        <v>63.499999999999986</v>
      </c>
      <c r="BG59" s="4">
        <f t="shared" si="172"/>
        <v>88.899999999999991</v>
      </c>
      <c r="BH59" s="4">
        <f t="shared" si="173"/>
        <v>76.199999999999989</v>
      </c>
      <c r="BI59" s="4">
        <f t="shared" si="229"/>
        <v>1.04</v>
      </c>
      <c r="BJ59" s="25">
        <f t="shared" si="174"/>
        <v>3.1199999999999997</v>
      </c>
      <c r="BL59" s="4">
        <f t="shared" si="175"/>
        <v>63.499999999999986</v>
      </c>
      <c r="BP59" s="9"/>
      <c r="BR59" s="9"/>
      <c r="BS59" s="9"/>
      <c r="BT59" s="9">
        <f t="shared" si="176"/>
        <v>50.8</v>
      </c>
      <c r="BU59" s="9">
        <f t="shared" si="177"/>
        <v>63.499999999999986</v>
      </c>
      <c r="BV59" s="9">
        <f t="shared" si="178"/>
        <v>1.4623505735569622</v>
      </c>
      <c r="BW59" s="9">
        <v>0</v>
      </c>
      <c r="BX59" s="9">
        <f t="shared" si="179"/>
        <v>0</v>
      </c>
      <c r="BY59" s="9">
        <f t="shared" si="230"/>
        <v>0</v>
      </c>
      <c r="BZ59" s="9">
        <f t="shared" si="180"/>
        <v>0.99524931562137331</v>
      </c>
      <c r="CA59" s="9">
        <f t="shared" si="181"/>
        <v>1.056</v>
      </c>
      <c r="CB59" s="9">
        <f t="shared" si="182"/>
        <v>1.9464482686693119</v>
      </c>
      <c r="CC59" s="9">
        <f t="shared" si="183"/>
        <v>2.8463897420875242</v>
      </c>
      <c r="CD59" s="9">
        <v>1</v>
      </c>
      <c r="CE59" s="9" t="e">
        <f>4*CC59*#REF!+60*CC59</f>
        <v>#REF!</v>
      </c>
      <c r="CG59" s="4" t="e">
        <f t="shared" si="209"/>
        <v>#REF!</v>
      </c>
      <c r="CH59" s="4" t="e">
        <f t="shared" si="210"/>
        <v>#REF!</v>
      </c>
      <c r="CI59" s="4" t="e">
        <f t="shared" si="211"/>
        <v>#REF!</v>
      </c>
      <c r="CJ59" s="4" t="e">
        <f t="shared" si="212"/>
        <v>#REF!</v>
      </c>
      <c r="CK59" s="4" t="e">
        <f t="shared" si="213"/>
        <v>#REF!</v>
      </c>
      <c r="CL59" s="4" t="e">
        <f t="shared" si="214"/>
        <v>#REF!</v>
      </c>
      <c r="CM59" s="4">
        <f t="shared" si="215"/>
        <v>2.1630936371420115</v>
      </c>
      <c r="CO59" s="4" t="e">
        <f t="shared" si="216"/>
        <v>#REF!</v>
      </c>
      <c r="CP59" s="4" t="e">
        <f t="shared" si="217"/>
        <v>#REF!</v>
      </c>
      <c r="CQ59" s="4" t="e">
        <f t="shared" si="218"/>
        <v>#REF!</v>
      </c>
      <c r="CR59" s="4">
        <f t="shared" si="231"/>
        <v>2.1630936371420115</v>
      </c>
      <c r="CS59" s="4" t="e">
        <f t="shared" si="219"/>
        <v>#REF!</v>
      </c>
      <c r="CT59" s="4" t="e">
        <f t="shared" si="220"/>
        <v>#REF!</v>
      </c>
      <c r="DB59" s="4">
        <f t="shared" si="232"/>
        <v>0</v>
      </c>
      <c r="DC59" s="4">
        <f t="shared" si="184"/>
        <v>254</v>
      </c>
      <c r="DD59" s="4" t="e">
        <f>#REF!/E59</f>
        <v>#REF!</v>
      </c>
      <c r="DF59" s="4">
        <f t="shared" si="185"/>
        <v>1.7601358282256944E-5</v>
      </c>
      <c r="DG59" s="4">
        <f t="shared" si="233"/>
        <v>6.6857562842857838</v>
      </c>
      <c r="DH59" s="4">
        <f t="shared" si="221"/>
        <v>0.45604779407414225</v>
      </c>
      <c r="DI59" s="4">
        <f t="shared" si="149"/>
        <v>4.8837641772607956</v>
      </c>
      <c r="DJ59" s="4">
        <f t="shared" si="150"/>
        <v>5.8546719413635264</v>
      </c>
      <c r="DK59" s="4">
        <f t="shared" si="186"/>
        <v>6.3893714675739641</v>
      </c>
      <c r="DL59" s="38" t="e">
        <f t="shared" si="187"/>
        <v>#REF!</v>
      </c>
      <c r="DM59" s="4" t="e">
        <f t="shared" si="151"/>
        <v>#REF!</v>
      </c>
      <c r="DN59" s="4">
        <f t="shared" si="222"/>
        <v>2.3874672772626644</v>
      </c>
      <c r="DO59" s="4">
        <f t="shared" si="152"/>
        <v>254.34794172646181</v>
      </c>
      <c r="DS59" s="4">
        <f t="shared" si="188"/>
        <v>0.85</v>
      </c>
      <c r="DT59" s="4">
        <f t="shared" si="189"/>
        <v>0.85000000000000009</v>
      </c>
      <c r="DU59" s="4">
        <f t="shared" si="190"/>
        <v>1</v>
      </c>
      <c r="DV59" s="4">
        <f t="shared" si="234"/>
        <v>0.85000000000000009</v>
      </c>
      <c r="DX59" s="4" t="e">
        <f t="shared" si="191"/>
        <v>#REF!</v>
      </c>
      <c r="DY59" s="25">
        <f t="shared" si="192"/>
        <v>262.95857582217241</v>
      </c>
      <c r="EA59" s="4">
        <f t="shared" si="224"/>
        <v>0.72250000000000003</v>
      </c>
      <c r="EB59" s="4">
        <f t="shared" si="159"/>
        <v>6.6857562842857838</v>
      </c>
      <c r="EC59" s="4">
        <f t="shared" si="193"/>
        <v>6.028412726414806</v>
      </c>
      <c r="EE59" s="4">
        <f t="shared" si="194"/>
        <v>60.641668842471674</v>
      </c>
      <c r="EF59" s="4">
        <f t="shared" si="235"/>
        <v>2.3874672772626644</v>
      </c>
      <c r="EG59" s="4">
        <f t="shared" si="195"/>
        <v>0.13195463217595851</v>
      </c>
      <c r="EJ59" s="4">
        <f t="shared" si="236"/>
        <v>0.13195463217595851</v>
      </c>
      <c r="EK59" s="4">
        <f t="shared" si="196"/>
        <v>0.45528673530158714</v>
      </c>
      <c r="EL59" s="4">
        <f t="shared" si="237"/>
        <v>4.8805025068076127</v>
      </c>
      <c r="EM59" s="4">
        <f t="shared" si="238"/>
        <v>5.8533131368817264</v>
      </c>
      <c r="EN59" s="4">
        <f t="shared" si="239"/>
        <v>129.85833115752831</v>
      </c>
      <c r="EO59" s="4">
        <f t="shared" si="240"/>
        <v>63.5</v>
      </c>
      <c r="EP59" s="4">
        <f t="shared" si="197"/>
        <v>1.7601358282256944E-5</v>
      </c>
      <c r="EQ59" s="4">
        <f t="shared" si="241"/>
        <v>6.3894588954142764</v>
      </c>
      <c r="ER59" s="4" t="e">
        <f t="shared" si="198"/>
        <v>#REF!</v>
      </c>
      <c r="ES59" s="4" t="e">
        <f t="shared" si="242"/>
        <v>#REF!</v>
      </c>
      <c r="ET59" s="4" t="e">
        <f t="shared" si="243"/>
        <v>#REF!</v>
      </c>
      <c r="EV59" s="4" t="e">
        <f t="shared" si="199"/>
        <v>#REF!</v>
      </c>
      <c r="FA59" s="23" t="e">
        <f t="shared" si="244"/>
        <v>#REF!</v>
      </c>
      <c r="FB59" s="23" t="e">
        <f t="shared" si="245"/>
        <v>#REF!</v>
      </c>
      <c r="FC59" s="23">
        <f t="shared" si="246"/>
        <v>2.2000000000000002</v>
      </c>
      <c r="FD59" s="23" t="e">
        <f t="shared" si="247"/>
        <v>#REF!</v>
      </c>
      <c r="FE59" s="23" t="e">
        <f t="shared" si="248"/>
        <v>#REF!</v>
      </c>
      <c r="FF59" s="23" t="e">
        <f t="shared" si="249"/>
        <v>#REF!</v>
      </c>
      <c r="FG59" s="23" t="e">
        <f t="shared" si="250"/>
        <v>#REF!</v>
      </c>
      <c r="FH59" s="23"/>
      <c r="FI59" s="1" t="s">
        <v>47</v>
      </c>
      <c r="FJ59">
        <f>COUNTIF(FA19:FA574,1.6)</f>
        <v>0</v>
      </c>
      <c r="FK59">
        <f t="shared" ref="FK59:FO59" si="257">COUNTIF(FB19:FB574,1.6)</f>
        <v>0</v>
      </c>
      <c r="FL59">
        <f t="shared" si="257"/>
        <v>58</v>
      </c>
      <c r="FM59">
        <f t="shared" si="257"/>
        <v>0</v>
      </c>
      <c r="FN59">
        <f t="shared" si="257"/>
        <v>10</v>
      </c>
      <c r="FO59">
        <f t="shared" si="257"/>
        <v>15</v>
      </c>
      <c r="FR59" s="4">
        <f t="shared" si="140"/>
        <v>1</v>
      </c>
      <c r="FS59" s="4">
        <f t="shared" si="141"/>
        <v>1.0833333333333333</v>
      </c>
      <c r="FT59" s="4">
        <f t="shared" si="142"/>
        <v>0</v>
      </c>
      <c r="FU59" s="4">
        <f t="shared" si="143"/>
        <v>211.73378356617641</v>
      </c>
    </row>
    <row r="60" spans="1:177" ht="12" customHeight="1" x14ac:dyDescent="0.3">
      <c r="B60" s="24"/>
      <c r="C60" s="7" t="s">
        <v>280</v>
      </c>
      <c r="D60" s="7">
        <v>472</v>
      </c>
      <c r="E60" s="7">
        <f t="shared" si="226"/>
        <v>254</v>
      </c>
      <c r="F60" s="7">
        <v>21</v>
      </c>
      <c r="G60" s="7">
        <v>25.4</v>
      </c>
      <c r="H60" s="7">
        <f t="shared" si="200"/>
        <v>152.39999999999998</v>
      </c>
      <c r="I60" s="7">
        <f t="shared" si="160"/>
        <v>63.499999999999986</v>
      </c>
      <c r="J60" s="7">
        <f t="shared" si="201"/>
        <v>50.8</v>
      </c>
      <c r="K60" s="7">
        <v>0</v>
      </c>
      <c r="L60" s="7">
        <v>1</v>
      </c>
      <c r="M60" s="7">
        <f t="shared" si="202"/>
        <v>88.899999999999991</v>
      </c>
      <c r="N60" s="7">
        <f t="shared" si="161"/>
        <v>2.9999999999999996</v>
      </c>
      <c r="O60" s="7">
        <f t="shared" si="203"/>
        <v>4</v>
      </c>
      <c r="P60" s="7">
        <v>4.7</v>
      </c>
      <c r="Q60" s="7">
        <f t="shared" si="227"/>
        <v>4.7</v>
      </c>
      <c r="R60" s="7">
        <f t="shared" si="162"/>
        <v>5.7</v>
      </c>
      <c r="S60" s="7">
        <f t="shared" si="163"/>
        <v>60.641668842471674</v>
      </c>
      <c r="T60" s="7"/>
      <c r="U60" s="7"/>
      <c r="V60" s="7">
        <v>458</v>
      </c>
      <c r="W60" s="7"/>
      <c r="X60" s="7"/>
      <c r="Y60" s="7"/>
      <c r="Z60" s="7"/>
      <c r="AA60" s="7">
        <v>1</v>
      </c>
      <c r="AB60" s="7"/>
      <c r="AC60" s="7"/>
      <c r="AD60" s="7"/>
      <c r="AE60" s="4">
        <f t="shared" si="252"/>
        <v>254</v>
      </c>
      <c r="AF60" s="44">
        <f t="shared" si="204"/>
        <v>0.12666666666666665</v>
      </c>
      <c r="AG60" s="25">
        <f t="shared" si="164"/>
        <v>366.10267967102493</v>
      </c>
      <c r="AH60" s="4">
        <f t="shared" si="165"/>
        <v>0.7599999999999999</v>
      </c>
      <c r="AI60" s="4">
        <v>1.25</v>
      </c>
      <c r="AJ60" s="25">
        <f t="shared" si="146"/>
        <v>5</v>
      </c>
      <c r="AK60" s="38">
        <f t="shared" si="205"/>
        <v>220.27177893539994</v>
      </c>
      <c r="AL60" s="38">
        <f t="shared" si="148"/>
        <v>220.27177893539994</v>
      </c>
      <c r="AN60" s="38">
        <f t="shared" si="158"/>
        <v>220.27177893539994</v>
      </c>
      <c r="AO60" s="38">
        <f t="shared" si="87"/>
        <v>1</v>
      </c>
      <c r="AP60" s="38">
        <f t="shared" si="206"/>
        <v>1.4054593116130687</v>
      </c>
      <c r="AQ60" s="4">
        <f t="shared" si="228"/>
        <v>0</v>
      </c>
      <c r="AR60" s="4" t="e">
        <f>#REF!/G60*F60^0.5/0.19</f>
        <v>#REF!</v>
      </c>
      <c r="AS60" s="4">
        <f t="shared" si="166"/>
        <v>1.1333333333333333</v>
      </c>
      <c r="AT60" s="38">
        <f t="shared" si="167"/>
        <v>309.58302279033325</v>
      </c>
      <c r="AU60" s="4">
        <f t="shared" si="168"/>
        <v>0.34199999999999997</v>
      </c>
      <c r="AV60" s="4" t="e">
        <f>AU60*D60*#REF!/(D60*G60/2.75/F60^0.5)</f>
        <v>#REF!</v>
      </c>
      <c r="AW60" s="4" t="e">
        <f t="shared" ref="AW60" si="258">AT60+AV60</f>
        <v>#REF!</v>
      </c>
      <c r="AY60" s="36">
        <f t="shared" si="169"/>
        <v>1.1000000000000001</v>
      </c>
      <c r="AZ60" s="36" t="e">
        <f>(1.6*#REF!+22)*AY60*F60^0.5</f>
        <v>#REF!</v>
      </c>
      <c r="BE60" s="4">
        <f t="shared" si="170"/>
        <v>63.499999999999986</v>
      </c>
      <c r="BF60" s="4">
        <f t="shared" si="171"/>
        <v>63.499999999999986</v>
      </c>
      <c r="BG60" s="4">
        <f t="shared" si="172"/>
        <v>88.899999999999991</v>
      </c>
      <c r="BH60" s="4">
        <f t="shared" si="173"/>
        <v>76.199999999999989</v>
      </c>
      <c r="BI60" s="4">
        <f t="shared" si="229"/>
        <v>1.04</v>
      </c>
      <c r="BJ60" s="25">
        <f t="shared" si="174"/>
        <v>3.1199999999999997</v>
      </c>
      <c r="BL60" s="4">
        <f t="shared" si="175"/>
        <v>63.499999999999986</v>
      </c>
      <c r="BP60" s="9"/>
      <c r="BR60" s="9"/>
      <c r="BS60" s="9"/>
      <c r="BT60" s="9">
        <f t="shared" si="176"/>
        <v>50.8</v>
      </c>
      <c r="BU60" s="9">
        <f t="shared" si="177"/>
        <v>63.499999999999986</v>
      </c>
      <c r="BV60" s="9">
        <f t="shared" si="178"/>
        <v>1.4623505735569622</v>
      </c>
      <c r="BW60" s="9">
        <v>0</v>
      </c>
      <c r="BX60" s="9">
        <f t="shared" si="179"/>
        <v>0</v>
      </c>
      <c r="BY60" s="9">
        <f t="shared" si="230"/>
        <v>0</v>
      </c>
      <c r="BZ60" s="9">
        <f t="shared" si="180"/>
        <v>0.99524931562137331</v>
      </c>
      <c r="CA60" s="9">
        <f t="shared" si="181"/>
        <v>1.056</v>
      </c>
      <c r="CB60" s="9">
        <f t="shared" si="182"/>
        <v>1.6856736478198622</v>
      </c>
      <c r="CC60" s="9">
        <f t="shared" si="183"/>
        <v>2.465045825719232</v>
      </c>
      <c r="CD60" s="9">
        <v>1</v>
      </c>
      <c r="CE60" s="9" t="e">
        <f>4*CC60*#REF!+60*CC60</f>
        <v>#REF!</v>
      </c>
      <c r="CG60" s="4" t="e">
        <f t="shared" si="209"/>
        <v>#REF!</v>
      </c>
      <c r="CH60" s="4" t="e">
        <f t="shared" si="210"/>
        <v>#REF!</v>
      </c>
      <c r="CI60" s="4" t="e">
        <f t="shared" si="211"/>
        <v>#REF!</v>
      </c>
      <c r="CJ60" s="4" t="e">
        <f t="shared" si="212"/>
        <v>#REF!</v>
      </c>
      <c r="CK60" s="4" t="e">
        <f t="shared" si="213"/>
        <v>#REF!</v>
      </c>
      <c r="CL60" s="4" t="e">
        <f t="shared" si="214"/>
        <v>#REF!</v>
      </c>
      <c r="CM60" s="4">
        <f t="shared" si="215"/>
        <v>2.324395382191629</v>
      </c>
      <c r="CO60" s="4" t="e">
        <f t="shared" si="216"/>
        <v>#REF!</v>
      </c>
      <c r="CP60" s="4" t="e">
        <f t="shared" si="217"/>
        <v>#REF!</v>
      </c>
      <c r="CQ60" s="4" t="e">
        <f t="shared" si="218"/>
        <v>#REF!</v>
      </c>
      <c r="CR60" s="4">
        <f t="shared" si="231"/>
        <v>2.324395382191629</v>
      </c>
      <c r="CS60" s="4" t="e">
        <f t="shared" si="219"/>
        <v>#REF!</v>
      </c>
      <c r="CT60" s="4" t="e">
        <f t="shared" si="220"/>
        <v>#REF!</v>
      </c>
      <c r="DB60" s="4">
        <f t="shared" si="232"/>
        <v>0</v>
      </c>
      <c r="DC60" s="4">
        <f t="shared" si="184"/>
        <v>254</v>
      </c>
      <c r="DD60" s="4" t="e">
        <f>#REF!/E60</f>
        <v>#REF!</v>
      </c>
      <c r="DF60" s="4">
        <f t="shared" si="185"/>
        <v>1.668887417236156E-5</v>
      </c>
      <c r="DG60" s="4">
        <f t="shared" si="233"/>
        <v>5.7900347857029448</v>
      </c>
      <c r="DH60" s="4">
        <f t="shared" si="221"/>
        <v>0.52659863334408208</v>
      </c>
      <c r="DI60" s="4">
        <f t="shared" si="149"/>
        <v>4.4799489379953377</v>
      </c>
      <c r="DJ60" s="4">
        <f t="shared" si="150"/>
        <v>5.1766701262685118</v>
      </c>
      <c r="DK60" s="4">
        <f t="shared" si="186"/>
        <v>5.5734189946502246</v>
      </c>
      <c r="DL60" s="38" t="e">
        <f t="shared" si="187"/>
        <v>#REF!</v>
      </c>
      <c r="DM60" s="4" t="e">
        <f t="shared" si="151"/>
        <v>#REF!</v>
      </c>
      <c r="DN60" s="4">
        <f t="shared" si="222"/>
        <v>2.3874672772626644</v>
      </c>
      <c r="DO60" s="4">
        <f t="shared" si="152"/>
        <v>220.27177893539994</v>
      </c>
      <c r="DS60" s="4">
        <f t="shared" si="188"/>
        <v>0.85</v>
      </c>
      <c r="DT60" s="4">
        <f t="shared" si="189"/>
        <v>0.85000000000000009</v>
      </c>
      <c r="DU60" s="4">
        <f t="shared" si="190"/>
        <v>1</v>
      </c>
      <c r="DV60" s="4">
        <f t="shared" si="234"/>
        <v>0.85000000000000009</v>
      </c>
      <c r="DX60" s="4" t="e">
        <f t="shared" si="191"/>
        <v>#REF!</v>
      </c>
      <c r="DY60" s="25">
        <f t="shared" si="192"/>
        <v>227.72880680497778</v>
      </c>
      <c r="EA60" s="4">
        <f t="shared" si="224"/>
        <v>0.72250000000000003</v>
      </c>
      <c r="EB60" s="4">
        <f t="shared" si="159"/>
        <v>5.7900347857029448</v>
      </c>
      <c r="EC60" s="4">
        <f t="shared" si="193"/>
        <v>5.2207585655726314</v>
      </c>
      <c r="EE60" s="4">
        <f t="shared" si="194"/>
        <v>60.641668842471674</v>
      </c>
      <c r="EF60" s="4">
        <f t="shared" si="235"/>
        <v>2.3874672772626644</v>
      </c>
      <c r="EG60" s="4">
        <f t="shared" si="195"/>
        <v>0.13195463217595851</v>
      </c>
      <c r="EJ60" s="4">
        <f t="shared" si="236"/>
        <v>0.13195463217595851</v>
      </c>
      <c r="EK60" s="4">
        <f t="shared" si="196"/>
        <v>0.52571983836967451</v>
      </c>
      <c r="EL60" s="4">
        <f t="shared" si="237"/>
        <v>4.4769569595638528</v>
      </c>
      <c r="EM60" s="4">
        <f t="shared" si="238"/>
        <v>5.1753763982640848</v>
      </c>
      <c r="EN60" s="4">
        <f t="shared" si="239"/>
        <v>129.85833115752831</v>
      </c>
      <c r="EO60" s="4">
        <f t="shared" si="240"/>
        <v>63.5</v>
      </c>
      <c r="EP60" s="4">
        <f t="shared" si="197"/>
        <v>1.668887417236156E-5</v>
      </c>
      <c r="EQ60" s="4">
        <f t="shared" si="241"/>
        <v>5.5734861149773431</v>
      </c>
      <c r="ER60" s="4" t="e">
        <f t="shared" si="198"/>
        <v>#REF!</v>
      </c>
      <c r="ES60" s="4" t="e">
        <f t="shared" si="242"/>
        <v>#REF!</v>
      </c>
      <c r="ET60" s="4" t="e">
        <f t="shared" si="243"/>
        <v>#REF!</v>
      </c>
      <c r="EV60" s="4" t="e">
        <f t="shared" si="199"/>
        <v>#REF!</v>
      </c>
      <c r="FA60" s="23" t="e">
        <f t="shared" si="244"/>
        <v>#REF!</v>
      </c>
      <c r="FB60" s="23" t="e">
        <f t="shared" si="245"/>
        <v>#REF!</v>
      </c>
      <c r="FC60" s="23">
        <f t="shared" si="246"/>
        <v>2.2000000000000002</v>
      </c>
      <c r="FD60" s="23" t="e">
        <f t="shared" si="247"/>
        <v>#REF!</v>
      </c>
      <c r="FE60" s="23" t="e">
        <f t="shared" si="248"/>
        <v>#REF!</v>
      </c>
      <c r="FF60" s="23" t="e">
        <f t="shared" si="249"/>
        <v>#REF!</v>
      </c>
      <c r="FG60" s="23" t="e">
        <f t="shared" si="250"/>
        <v>#REF!</v>
      </c>
      <c r="FH60" s="23"/>
      <c r="FI60" s="1" t="s">
        <v>48</v>
      </c>
      <c r="FJ60">
        <f>COUNTIF(FA19:FA574,1.8)</f>
        <v>0</v>
      </c>
      <c r="FK60">
        <f t="shared" ref="FK60:FO60" si="259">COUNTIF(FB19:FB574,1.8)</f>
        <v>0</v>
      </c>
      <c r="FL60">
        <f t="shared" si="259"/>
        <v>26</v>
      </c>
      <c r="FM60">
        <f t="shared" si="259"/>
        <v>0</v>
      </c>
      <c r="FN60">
        <f t="shared" si="259"/>
        <v>3</v>
      </c>
      <c r="FO60">
        <f t="shared" si="259"/>
        <v>6</v>
      </c>
      <c r="FR60" s="4">
        <f t="shared" si="140"/>
        <v>1</v>
      </c>
      <c r="FS60" s="4">
        <f t="shared" si="141"/>
        <v>1.0833333333333333</v>
      </c>
      <c r="FT60" s="4">
        <f t="shared" si="142"/>
        <v>0</v>
      </c>
      <c r="FU60" s="4">
        <f t="shared" si="143"/>
        <v>197.04048782275603</v>
      </c>
    </row>
    <row r="61" spans="1:177" ht="12" customHeight="1" x14ac:dyDescent="0.3">
      <c r="B61" s="24"/>
      <c r="C61" s="7" t="s">
        <v>281</v>
      </c>
      <c r="D61" s="7">
        <v>472</v>
      </c>
      <c r="E61" s="7">
        <f t="shared" si="226"/>
        <v>254</v>
      </c>
      <c r="F61" s="7">
        <v>27</v>
      </c>
      <c r="G61" s="7">
        <v>25.4</v>
      </c>
      <c r="H61" s="7">
        <f t="shared" si="200"/>
        <v>152.39999999999998</v>
      </c>
      <c r="I61" s="7">
        <f t="shared" si="160"/>
        <v>63.499999999999986</v>
      </c>
      <c r="J61" s="7">
        <f t="shared" si="201"/>
        <v>50.8</v>
      </c>
      <c r="K61" s="7">
        <v>0</v>
      </c>
      <c r="L61" s="7">
        <v>1</v>
      </c>
      <c r="M61" s="7">
        <f t="shared" si="202"/>
        <v>88.899999999999991</v>
      </c>
      <c r="N61" s="7">
        <f t="shared" si="161"/>
        <v>2.9999999999999996</v>
      </c>
      <c r="O61" s="7">
        <f t="shared" si="203"/>
        <v>4</v>
      </c>
      <c r="P61" s="7">
        <v>4.7</v>
      </c>
      <c r="Q61" s="7">
        <f t="shared" si="227"/>
        <v>4.7</v>
      </c>
      <c r="R61" s="7">
        <f t="shared" si="162"/>
        <v>5.7</v>
      </c>
      <c r="S61" s="7">
        <f t="shared" si="163"/>
        <v>60.641668842471674</v>
      </c>
      <c r="T61" s="7"/>
      <c r="U61" s="7"/>
      <c r="V61" s="7">
        <v>472</v>
      </c>
      <c r="W61" s="7"/>
      <c r="X61" s="7"/>
      <c r="Y61" s="7"/>
      <c r="Z61" s="7"/>
      <c r="AA61" s="7">
        <v>1</v>
      </c>
      <c r="AB61" s="7"/>
      <c r="AC61" s="7"/>
      <c r="AD61" s="7"/>
      <c r="AE61" s="4">
        <f t="shared" si="252"/>
        <v>254</v>
      </c>
      <c r="AF61" s="44">
        <f t="shared" si="204"/>
        <v>0.12666666666666665</v>
      </c>
      <c r="AG61" s="25">
        <f t="shared" si="164"/>
        <v>415.1214191673746</v>
      </c>
      <c r="AH61" s="4">
        <f t="shared" si="165"/>
        <v>0.7599999999999999</v>
      </c>
      <c r="AI61" s="4">
        <v>1.25</v>
      </c>
      <c r="AJ61" s="25">
        <f t="shared" si="146"/>
        <v>5</v>
      </c>
      <c r="AK61" s="38">
        <f t="shared" si="205"/>
        <v>249.76472053237029</v>
      </c>
      <c r="AL61" s="38">
        <f t="shared" si="148"/>
        <v>249.76472053237029</v>
      </c>
      <c r="AN61" s="38">
        <f t="shared" si="158"/>
        <v>249.76472053237032</v>
      </c>
      <c r="AO61" s="38">
        <f t="shared" si="87"/>
        <v>0.99999999999999989</v>
      </c>
      <c r="AP61" s="38">
        <f t="shared" si="206"/>
        <v>1.5936410641492338</v>
      </c>
      <c r="AQ61" s="4">
        <f t="shared" si="228"/>
        <v>0</v>
      </c>
      <c r="AR61" s="4" t="e">
        <f>#REF!/G61*F61^0.5/0.19</f>
        <v>#REF!</v>
      </c>
      <c r="AS61" s="4">
        <f t="shared" si="166"/>
        <v>1.1333333333333333</v>
      </c>
      <c r="AT61" s="38">
        <f t="shared" si="167"/>
        <v>398.03531501614259</v>
      </c>
      <c r="AU61" s="4">
        <f t="shared" si="168"/>
        <v>0.34199999999999997</v>
      </c>
      <c r="AV61" s="4" t="e">
        <f>AU61*D61*#REF!/(D61*G61/2.75/F61^0.5)</f>
        <v>#REF!</v>
      </c>
      <c r="AW61" s="4" t="e">
        <f t="shared" si="207"/>
        <v>#REF!</v>
      </c>
      <c r="AY61" s="36">
        <f t="shared" si="169"/>
        <v>1.1000000000000001</v>
      </c>
      <c r="AZ61" s="36" t="e">
        <f>(1.6*#REF!+22)*AY61*F61^0.5</f>
        <v>#REF!</v>
      </c>
      <c r="BE61" s="4">
        <f t="shared" si="170"/>
        <v>63.499999999999986</v>
      </c>
      <c r="BF61" s="4">
        <f t="shared" si="171"/>
        <v>63.499999999999986</v>
      </c>
      <c r="BG61" s="4">
        <f t="shared" si="172"/>
        <v>88.899999999999991</v>
      </c>
      <c r="BH61" s="4">
        <f t="shared" si="173"/>
        <v>76.199999999999989</v>
      </c>
      <c r="BI61" s="4">
        <f t="shared" si="229"/>
        <v>1.04</v>
      </c>
      <c r="BJ61" s="25">
        <f t="shared" si="174"/>
        <v>3.1199999999999997</v>
      </c>
      <c r="BL61" s="4">
        <f t="shared" si="175"/>
        <v>63.499999999999986</v>
      </c>
      <c r="BP61" s="9"/>
      <c r="BR61" s="9"/>
      <c r="BS61" s="9"/>
      <c r="BT61" s="9">
        <f t="shared" si="176"/>
        <v>50.8</v>
      </c>
      <c r="BU61" s="9">
        <f t="shared" si="177"/>
        <v>63.499999999999986</v>
      </c>
      <c r="BV61" s="9">
        <f t="shared" si="178"/>
        <v>1.4623505735569622</v>
      </c>
      <c r="BW61" s="9">
        <v>0</v>
      </c>
      <c r="BX61" s="9">
        <f t="shared" si="179"/>
        <v>0</v>
      </c>
      <c r="BY61" s="9">
        <f t="shared" si="230"/>
        <v>0</v>
      </c>
      <c r="BZ61" s="9">
        <f t="shared" si="180"/>
        <v>0.99524931562137331</v>
      </c>
      <c r="CA61" s="9">
        <f t="shared" si="181"/>
        <v>1.056</v>
      </c>
      <c r="CB61" s="9">
        <f t="shared" si="182"/>
        <v>1.911374255891328</v>
      </c>
      <c r="CC61" s="9">
        <f t="shared" si="183"/>
        <v>2.7950992393846952</v>
      </c>
      <c r="CD61" s="9">
        <v>1</v>
      </c>
      <c r="CE61" s="9" t="e">
        <f>4*CC61*#REF!+60*CC61</f>
        <v>#REF!</v>
      </c>
      <c r="CG61" s="4" t="e">
        <f t="shared" si="209"/>
        <v>#REF!</v>
      </c>
      <c r="CH61" s="4" t="e">
        <f t="shared" si="210"/>
        <v>#REF!</v>
      </c>
      <c r="CI61" s="4" t="e">
        <f t="shared" si="211"/>
        <v>#REF!</v>
      </c>
      <c r="CJ61" s="4" t="e">
        <f t="shared" si="212"/>
        <v>#REF!</v>
      </c>
      <c r="CK61" s="4" t="e">
        <f t="shared" si="213"/>
        <v>#REF!</v>
      </c>
      <c r="CL61" s="4" t="e">
        <f t="shared" si="214"/>
        <v>#REF!</v>
      </c>
      <c r="CM61" s="4">
        <f t="shared" si="215"/>
        <v>2.2495746388655649</v>
      </c>
      <c r="CO61" s="4" t="e">
        <f t="shared" si="216"/>
        <v>#REF!</v>
      </c>
      <c r="CP61" s="4" t="e">
        <f t="shared" si="217"/>
        <v>#REF!</v>
      </c>
      <c r="CQ61" s="4" t="e">
        <f t="shared" si="218"/>
        <v>#REF!</v>
      </c>
      <c r="CR61" s="4">
        <f t="shared" si="231"/>
        <v>2.2495746388655649</v>
      </c>
      <c r="CS61" s="4" t="e">
        <f t="shared" si="219"/>
        <v>#REF!</v>
      </c>
      <c r="CT61" s="4" t="e">
        <f t="shared" si="220"/>
        <v>#REF!</v>
      </c>
      <c r="DB61" s="4">
        <f t="shared" si="232"/>
        <v>0</v>
      </c>
      <c r="DC61" s="4">
        <f t="shared" si="184"/>
        <v>254</v>
      </c>
      <c r="DD61" s="4" t="e">
        <f>#REF!/E61</f>
        <v>#REF!</v>
      </c>
      <c r="DF61" s="4">
        <f t="shared" si="185"/>
        <v>1.7472864382687078E-5</v>
      </c>
      <c r="DG61" s="4">
        <f t="shared" si="233"/>
        <v>6.5652823394499222</v>
      </c>
      <c r="DH61" s="4">
        <f t="shared" si="221"/>
        <v>0.46441634152497552</v>
      </c>
      <c r="DI61" s="4">
        <f t="shared" si="149"/>
        <v>4.8307704919126984</v>
      </c>
      <c r="DJ61" s="4">
        <f t="shared" si="150"/>
        <v>5.7637968710281546</v>
      </c>
      <c r="DK61" s="4">
        <f t="shared" si="186"/>
        <v>6.2806000030155449</v>
      </c>
      <c r="DL61" s="38" t="e">
        <f t="shared" si="187"/>
        <v>#REF!</v>
      </c>
      <c r="DM61" s="4" t="e">
        <f t="shared" si="151"/>
        <v>#REF!</v>
      </c>
      <c r="DN61" s="4">
        <f t="shared" si="222"/>
        <v>2.3874672772626644</v>
      </c>
      <c r="DO61" s="4">
        <f t="shared" si="152"/>
        <v>249.76472053237032</v>
      </c>
      <c r="DS61" s="4">
        <f t="shared" si="188"/>
        <v>0.85</v>
      </c>
      <c r="DT61" s="4">
        <f t="shared" si="189"/>
        <v>0.85000000000000009</v>
      </c>
      <c r="DU61" s="4">
        <f t="shared" si="190"/>
        <v>1</v>
      </c>
      <c r="DV61" s="4">
        <f t="shared" si="234"/>
        <v>0.85000000000000009</v>
      </c>
      <c r="DX61" s="4" t="e">
        <f t="shared" si="191"/>
        <v>#REF!</v>
      </c>
      <c r="DY61" s="25">
        <f t="shared" si="192"/>
        <v>258.22019535919065</v>
      </c>
      <c r="EA61" s="4">
        <f t="shared" si="224"/>
        <v>0.72250000000000003</v>
      </c>
      <c r="EB61" s="4">
        <f t="shared" si="159"/>
        <v>6.5652823394499222</v>
      </c>
      <c r="EC61" s="4">
        <f t="shared" si="193"/>
        <v>5.9197837798352051</v>
      </c>
      <c r="EE61" s="4">
        <f t="shared" si="194"/>
        <v>60.641668842471674</v>
      </c>
      <c r="EF61" s="4">
        <f t="shared" si="235"/>
        <v>2.3874672772626644</v>
      </c>
      <c r="EG61" s="4">
        <f t="shared" si="195"/>
        <v>0.13195463217595849</v>
      </c>
      <c r="EJ61" s="4">
        <f t="shared" si="236"/>
        <v>0.13195463217595849</v>
      </c>
      <c r="EK61" s="4">
        <f t="shared" si="196"/>
        <v>0.46364131720641022</v>
      </c>
      <c r="EL61" s="4">
        <f t="shared" si="237"/>
        <v>4.8275442138190625</v>
      </c>
      <c r="EM61" s="4">
        <f t="shared" si="238"/>
        <v>5.7624463416714153</v>
      </c>
      <c r="EN61" s="4">
        <f t="shared" si="239"/>
        <v>129.85833115752831</v>
      </c>
      <c r="EO61" s="4">
        <f t="shared" si="240"/>
        <v>63.5</v>
      </c>
      <c r="EP61" s="4">
        <f t="shared" si="197"/>
        <v>1.7472864382687078E-5</v>
      </c>
      <c r="EQ61" s="4">
        <f t="shared" si="241"/>
        <v>6.2806845110232778</v>
      </c>
      <c r="ER61" s="4" t="e">
        <f t="shared" si="198"/>
        <v>#REF!</v>
      </c>
      <c r="ES61" s="4" t="e">
        <f t="shared" si="242"/>
        <v>#REF!</v>
      </c>
      <c r="ET61" s="4" t="e">
        <f t="shared" si="243"/>
        <v>#REF!</v>
      </c>
      <c r="EV61" s="4" t="e">
        <f t="shared" si="199"/>
        <v>#REF!</v>
      </c>
      <c r="FA61" s="23" t="e">
        <f t="shared" si="244"/>
        <v>#REF!</v>
      </c>
      <c r="FB61" s="23" t="e">
        <f t="shared" si="245"/>
        <v>#REF!</v>
      </c>
      <c r="FC61" s="23">
        <f t="shared" si="246"/>
        <v>2.2000000000000002</v>
      </c>
      <c r="FD61" s="23" t="e">
        <f t="shared" si="247"/>
        <v>#REF!</v>
      </c>
      <c r="FE61" s="23" t="e">
        <f t="shared" si="248"/>
        <v>#REF!</v>
      </c>
      <c r="FF61" s="23" t="e">
        <f t="shared" si="249"/>
        <v>#REF!</v>
      </c>
      <c r="FG61" s="23" t="e">
        <f t="shared" si="250"/>
        <v>#REF!</v>
      </c>
      <c r="FH61" s="23"/>
      <c r="FI61" s="1" t="s">
        <v>49</v>
      </c>
      <c r="FJ61">
        <f>COUNTIF(FA19:FA574,2)</f>
        <v>0</v>
      </c>
      <c r="FK61">
        <f t="shared" ref="FK61:FO61" si="260">COUNTIF(FB19:FB574,2)</f>
        <v>0</v>
      </c>
      <c r="FL61">
        <f t="shared" si="260"/>
        <v>17</v>
      </c>
      <c r="FM61">
        <f t="shared" si="260"/>
        <v>0</v>
      </c>
      <c r="FN61">
        <f t="shared" si="260"/>
        <v>0</v>
      </c>
      <c r="FO61">
        <f t="shared" si="260"/>
        <v>0</v>
      </c>
      <c r="FR61" s="4">
        <f t="shared" si="140"/>
        <v>1</v>
      </c>
      <c r="FS61" s="4">
        <f t="shared" si="141"/>
        <v>1.0833333333333333</v>
      </c>
      <c r="FT61" s="4">
        <f t="shared" si="142"/>
        <v>0</v>
      </c>
      <c r="FU61" s="4">
        <f t="shared" si="143"/>
        <v>209.81744363815565</v>
      </c>
    </row>
    <row r="62" spans="1:177" ht="12" customHeight="1" x14ac:dyDescent="0.3">
      <c r="B62" s="24"/>
      <c r="C62" s="7" t="s">
        <v>282</v>
      </c>
      <c r="D62" s="7">
        <v>472</v>
      </c>
      <c r="E62" s="7">
        <f t="shared" si="226"/>
        <v>254</v>
      </c>
      <c r="F62" s="7">
        <v>28</v>
      </c>
      <c r="G62" s="7">
        <v>25.4</v>
      </c>
      <c r="H62" s="7">
        <f t="shared" si="200"/>
        <v>152.39999999999998</v>
      </c>
      <c r="I62" s="7">
        <f t="shared" si="160"/>
        <v>63.499999999999986</v>
      </c>
      <c r="J62" s="7">
        <f t="shared" si="201"/>
        <v>50.8</v>
      </c>
      <c r="K62" s="7">
        <v>0</v>
      </c>
      <c r="L62" s="7">
        <v>1</v>
      </c>
      <c r="M62" s="7">
        <f t="shared" si="202"/>
        <v>88.899999999999991</v>
      </c>
      <c r="N62" s="7">
        <f t="shared" si="161"/>
        <v>2.9999999999999996</v>
      </c>
      <c r="O62" s="7">
        <f t="shared" si="203"/>
        <v>4</v>
      </c>
      <c r="P62" s="7">
        <v>10.39</v>
      </c>
      <c r="Q62" s="7">
        <f t="shared" si="227"/>
        <v>10.39</v>
      </c>
      <c r="R62" s="7">
        <f t="shared" si="162"/>
        <v>11.39</v>
      </c>
      <c r="S62" s="7">
        <f t="shared" si="163"/>
        <v>85.722648115885917</v>
      </c>
      <c r="T62" s="7"/>
      <c r="U62" s="7"/>
      <c r="V62" s="7">
        <v>472</v>
      </c>
      <c r="W62" s="7"/>
      <c r="X62" s="7"/>
      <c r="Y62" s="7"/>
      <c r="Z62" s="7"/>
      <c r="AA62" s="7">
        <v>1</v>
      </c>
      <c r="AB62" s="7"/>
      <c r="AC62" s="7"/>
      <c r="AD62" s="7"/>
      <c r="AE62" s="4">
        <f t="shared" si="252"/>
        <v>254</v>
      </c>
      <c r="AF62" s="44">
        <f t="shared" si="204"/>
        <v>0.12666666666666665</v>
      </c>
      <c r="AG62" s="25">
        <f t="shared" si="164"/>
        <v>422.7389613182192</v>
      </c>
      <c r="AH62" s="4">
        <f t="shared" si="165"/>
        <v>0.7599999999999999</v>
      </c>
      <c r="AI62" s="4">
        <v>1.25</v>
      </c>
      <c r="AJ62" s="25">
        <f t="shared" si="146"/>
        <v>5</v>
      </c>
      <c r="AK62" s="38">
        <f t="shared" si="205"/>
        <v>254.34794172646178</v>
      </c>
      <c r="AL62" s="38">
        <f t="shared" si="148"/>
        <v>254.34794172646178</v>
      </c>
      <c r="AN62" s="38">
        <f t="shared" si="158"/>
        <v>254.34794172646181</v>
      </c>
      <c r="AO62" s="38">
        <f t="shared" si="87"/>
        <v>0.99999999999999989</v>
      </c>
      <c r="AP62" s="38">
        <f t="shared" si="206"/>
        <v>2.4129398188950528</v>
      </c>
      <c r="AQ62" s="4">
        <f t="shared" si="228"/>
        <v>0</v>
      </c>
      <c r="AR62" s="4" t="e">
        <f>#REF!/G62*F62^0.5/0.19</f>
        <v>#REF!</v>
      </c>
      <c r="AS62" s="4">
        <f t="shared" si="166"/>
        <v>1.1333333333333333</v>
      </c>
      <c r="AT62" s="38">
        <f t="shared" si="167"/>
        <v>613.72627644577824</v>
      </c>
      <c r="AU62" s="4">
        <f t="shared" si="168"/>
        <v>0.3</v>
      </c>
      <c r="AV62" s="4" t="e">
        <f>AU62*D62*#REF!/(D62*G62/2.75/F62^0.5)</f>
        <v>#REF!</v>
      </c>
      <c r="AW62" s="4" t="e">
        <f t="shared" ref="AW62" si="261">AT62+AV62</f>
        <v>#REF!</v>
      </c>
      <c r="AY62" s="36">
        <f t="shared" si="169"/>
        <v>1.1000000000000001</v>
      </c>
      <c r="AZ62" s="36" t="e">
        <f>(1.6*#REF!+22)*AY62*F62^0.5</f>
        <v>#REF!</v>
      </c>
      <c r="BE62" s="4">
        <f t="shared" si="170"/>
        <v>63.499999999999986</v>
      </c>
      <c r="BF62" s="4">
        <f t="shared" si="171"/>
        <v>63.499999999999986</v>
      </c>
      <c r="BG62" s="4">
        <f t="shared" si="172"/>
        <v>88.899999999999991</v>
      </c>
      <c r="BH62" s="4">
        <f t="shared" si="173"/>
        <v>76.199999999999989</v>
      </c>
      <c r="BI62" s="4">
        <f t="shared" si="229"/>
        <v>1.04</v>
      </c>
      <c r="BJ62" s="25">
        <f t="shared" si="174"/>
        <v>3.1199999999999997</v>
      </c>
      <c r="BL62" s="4">
        <f t="shared" si="175"/>
        <v>63.499999999999986</v>
      </c>
      <c r="BP62" s="9"/>
      <c r="BR62" s="9"/>
      <c r="BS62" s="9"/>
      <c r="BT62" s="9">
        <f t="shared" si="176"/>
        <v>50.8</v>
      </c>
      <c r="BU62" s="9">
        <f t="shared" si="177"/>
        <v>63.499999999999986</v>
      </c>
      <c r="BV62" s="9">
        <f t="shared" si="178"/>
        <v>1.4623505735569622</v>
      </c>
      <c r="BW62" s="9">
        <v>0</v>
      </c>
      <c r="BX62" s="9">
        <f t="shared" si="179"/>
        <v>0</v>
      </c>
      <c r="BY62" s="9">
        <f t="shared" si="230"/>
        <v>0</v>
      </c>
      <c r="BZ62" s="9">
        <f t="shared" si="180"/>
        <v>0.99524931562137331</v>
      </c>
      <c r="CA62" s="9">
        <f t="shared" si="181"/>
        <v>1.056</v>
      </c>
      <c r="CB62" s="9">
        <f t="shared" si="182"/>
        <v>1.9464482686693119</v>
      </c>
      <c r="CC62" s="9">
        <f t="shared" si="183"/>
        <v>2.8463897420875242</v>
      </c>
      <c r="CD62" s="9">
        <v>1</v>
      </c>
      <c r="CE62" s="9" t="e">
        <f>4*CC62*#REF!+60*CC62</f>
        <v>#REF!</v>
      </c>
      <c r="CG62" s="4" t="e">
        <f t="shared" si="209"/>
        <v>#REF!</v>
      </c>
      <c r="CH62" s="4" t="e">
        <f t="shared" si="210"/>
        <v>#REF!</v>
      </c>
      <c r="CI62" s="4" t="e">
        <f t="shared" si="211"/>
        <v>#REF!</v>
      </c>
      <c r="CJ62" s="4" t="e">
        <f t="shared" si="212"/>
        <v>#REF!</v>
      </c>
      <c r="CK62" s="4" t="e">
        <f t="shared" si="213"/>
        <v>#REF!</v>
      </c>
      <c r="CL62" s="4" t="e">
        <f t="shared" si="214"/>
        <v>#REF!</v>
      </c>
      <c r="CM62" s="4">
        <f t="shared" si="215"/>
        <v>2.2292144033428589</v>
      </c>
      <c r="CO62" s="4" t="e">
        <f t="shared" si="216"/>
        <v>#REF!</v>
      </c>
      <c r="CP62" s="4" t="e">
        <f t="shared" si="217"/>
        <v>#REF!</v>
      </c>
      <c r="CQ62" s="4" t="e">
        <f t="shared" si="218"/>
        <v>#REF!</v>
      </c>
      <c r="CR62" s="4">
        <f t="shared" si="231"/>
        <v>2.2292144033428589</v>
      </c>
      <c r="CS62" s="4" t="e">
        <f t="shared" si="219"/>
        <v>#REF!</v>
      </c>
      <c r="CT62" s="4" t="e">
        <f t="shared" si="220"/>
        <v>#REF!</v>
      </c>
      <c r="DB62" s="4">
        <f t="shared" si="232"/>
        <v>0</v>
      </c>
      <c r="DC62" s="4">
        <f t="shared" si="184"/>
        <v>254</v>
      </c>
      <c r="DD62" s="4" t="e">
        <f>#REF!/E62</f>
        <v>#REF!</v>
      </c>
      <c r="DF62" s="4">
        <f t="shared" si="185"/>
        <v>1.7601358282256944E-5</v>
      </c>
      <c r="DG62" s="4">
        <f t="shared" si="233"/>
        <v>6.6857562842857838</v>
      </c>
      <c r="DH62" s="4">
        <f t="shared" si="221"/>
        <v>0.29161986457583566</v>
      </c>
      <c r="DI62" s="4">
        <f t="shared" si="149"/>
        <v>4.083921473569565</v>
      </c>
      <c r="DJ62" s="4">
        <f t="shared" si="150"/>
        <v>5.5406123899996746</v>
      </c>
      <c r="DK62" s="4">
        <f t="shared" si="186"/>
        <v>6.4187649496664125</v>
      </c>
      <c r="DL62" s="38" t="e">
        <f t="shared" si="187"/>
        <v>#REF!</v>
      </c>
      <c r="DM62" s="4" t="e">
        <f t="shared" si="151"/>
        <v>#REF!</v>
      </c>
      <c r="DN62" s="4">
        <f t="shared" si="222"/>
        <v>3.3749074061372411</v>
      </c>
      <c r="DO62" s="4">
        <f t="shared" si="152"/>
        <v>254.34794172646181</v>
      </c>
      <c r="DS62" s="4">
        <f t="shared" si="188"/>
        <v>0.85</v>
      </c>
      <c r="DT62" s="4">
        <f t="shared" si="189"/>
        <v>0.85000000000000009</v>
      </c>
      <c r="DU62" s="4">
        <f t="shared" si="190"/>
        <v>1</v>
      </c>
      <c r="DV62" s="4">
        <f t="shared" si="234"/>
        <v>0.85000000000000009</v>
      </c>
      <c r="DX62" s="4" t="e">
        <f t="shared" si="191"/>
        <v>#REF!</v>
      </c>
      <c r="DY62" s="25">
        <f t="shared" si="192"/>
        <v>262.95857582217241</v>
      </c>
      <c r="EA62" s="4">
        <f t="shared" si="224"/>
        <v>0.72250000000000003</v>
      </c>
      <c r="EB62" s="4">
        <f t="shared" si="159"/>
        <v>6.6857562842857838</v>
      </c>
      <c r="EC62" s="4">
        <f t="shared" si="193"/>
        <v>6.028412726414806</v>
      </c>
      <c r="EE62" s="4">
        <f t="shared" si="194"/>
        <v>85.722648115885917</v>
      </c>
      <c r="EF62" s="4">
        <f t="shared" si="235"/>
        <v>3.3749074061372411</v>
      </c>
      <c r="EG62" s="4">
        <f t="shared" si="195"/>
        <v>8.437841924754759E-2</v>
      </c>
      <c r="EJ62" s="4">
        <f t="shared" si="236"/>
        <v>8.437841924754759E-2</v>
      </c>
      <c r="EK62" s="4">
        <f t="shared" si="196"/>
        <v>0.291133205372413</v>
      </c>
      <c r="EL62" s="4">
        <f t="shared" si="237"/>
        <v>4.0811939860169337</v>
      </c>
      <c r="EM62" s="4">
        <f t="shared" si="238"/>
        <v>5.5396113900741408</v>
      </c>
      <c r="EN62" s="4">
        <f t="shared" si="239"/>
        <v>104.77735188411408</v>
      </c>
      <c r="EO62" s="4">
        <f t="shared" si="240"/>
        <v>63.499999999999986</v>
      </c>
      <c r="EP62" s="4">
        <f t="shared" si="197"/>
        <v>1.760135828225694E-5</v>
      </c>
      <c r="EQ62" s="4">
        <f t="shared" si="241"/>
        <v>6.4188440713132247</v>
      </c>
      <c r="ER62" s="4" t="e">
        <f t="shared" si="198"/>
        <v>#REF!</v>
      </c>
      <c r="ES62" s="4" t="e">
        <f t="shared" si="242"/>
        <v>#REF!</v>
      </c>
      <c r="ET62" s="4" t="e">
        <f t="shared" si="243"/>
        <v>#REF!</v>
      </c>
      <c r="EV62" s="4" t="e">
        <f t="shared" si="199"/>
        <v>#REF!</v>
      </c>
      <c r="FA62" s="23" t="e">
        <f t="shared" si="244"/>
        <v>#REF!</v>
      </c>
      <c r="FB62" s="23" t="e">
        <f t="shared" si="245"/>
        <v>#REF!</v>
      </c>
      <c r="FC62" s="23">
        <f t="shared" si="246"/>
        <v>2.2000000000000002</v>
      </c>
      <c r="FD62" s="23" t="e">
        <f t="shared" si="247"/>
        <v>#REF!</v>
      </c>
      <c r="FE62" s="23" t="e">
        <f t="shared" si="248"/>
        <v>#REF!</v>
      </c>
      <c r="FF62" s="23" t="e">
        <f t="shared" si="249"/>
        <v>#REF!</v>
      </c>
      <c r="FG62" s="23" t="e">
        <f t="shared" si="250"/>
        <v>#REF!</v>
      </c>
      <c r="FH62" s="23"/>
      <c r="FI62" s="1" t="s">
        <v>50</v>
      </c>
      <c r="FJ62">
        <f>COUNTIF(FA19:FA574,2.2)</f>
        <v>0</v>
      </c>
      <c r="FK62">
        <f t="shared" ref="FK62:FO62" si="262">COUNTIF(FB19:FB574,2.2)</f>
        <v>0</v>
      </c>
      <c r="FL62">
        <f t="shared" si="262"/>
        <v>43</v>
      </c>
      <c r="FM62">
        <f t="shared" si="262"/>
        <v>0</v>
      </c>
      <c r="FN62">
        <f t="shared" si="262"/>
        <v>0</v>
      </c>
      <c r="FO62">
        <f t="shared" si="262"/>
        <v>0</v>
      </c>
      <c r="FR62" s="4">
        <f t="shared" si="140"/>
        <v>1</v>
      </c>
      <c r="FS62" s="4">
        <f t="shared" si="141"/>
        <v>1.0833333333333333</v>
      </c>
      <c r="FT62" s="4">
        <f t="shared" si="142"/>
        <v>0</v>
      </c>
      <c r="FU62" s="4">
        <f t="shared" si="143"/>
        <v>211.73378356617641</v>
      </c>
    </row>
    <row r="63" spans="1:177" ht="12" customHeight="1" x14ac:dyDescent="0.3">
      <c r="B63" s="24"/>
      <c r="C63" s="7" t="s">
        <v>273</v>
      </c>
      <c r="D63" s="7">
        <v>472</v>
      </c>
      <c r="E63" s="7">
        <f>15*25.4</f>
        <v>381</v>
      </c>
      <c r="F63" s="7">
        <v>28</v>
      </c>
      <c r="G63" s="7">
        <v>25.4</v>
      </c>
      <c r="H63" s="7">
        <f t="shared" si="200"/>
        <v>152.39999999999998</v>
      </c>
      <c r="I63" s="7">
        <f t="shared" si="160"/>
        <v>63.499999999999986</v>
      </c>
      <c r="J63" s="7">
        <f t="shared" si="201"/>
        <v>50.8</v>
      </c>
      <c r="K63" s="7">
        <v>0</v>
      </c>
      <c r="L63" s="7">
        <v>1</v>
      </c>
      <c r="M63" s="7">
        <f t="shared" si="202"/>
        <v>88.899999999999991</v>
      </c>
      <c r="N63" s="7">
        <f t="shared" si="161"/>
        <v>2.9999999999999996</v>
      </c>
      <c r="O63" s="7">
        <f t="shared" si="203"/>
        <v>4</v>
      </c>
      <c r="P63" s="7">
        <v>1.18</v>
      </c>
      <c r="Q63" s="7">
        <f t="shared" si="227"/>
        <v>1.18</v>
      </c>
      <c r="R63" s="7">
        <f t="shared" si="162"/>
        <v>2.1799999999999997</v>
      </c>
      <c r="S63" s="7">
        <f t="shared" si="163"/>
        <v>37.502650572992827</v>
      </c>
      <c r="T63" s="7"/>
      <c r="U63" s="7"/>
      <c r="V63" s="7">
        <v>0</v>
      </c>
      <c r="W63" s="7"/>
      <c r="X63" s="7"/>
      <c r="Y63" s="7"/>
      <c r="Z63" s="7"/>
      <c r="AA63" s="7">
        <v>1</v>
      </c>
      <c r="AB63" s="7"/>
      <c r="AC63" s="7"/>
      <c r="AD63" s="7"/>
      <c r="AE63" s="4">
        <f t="shared" si="252"/>
        <v>381</v>
      </c>
      <c r="AF63" s="44">
        <f t="shared" si="204"/>
        <v>5.9259259259259248E-2</v>
      </c>
      <c r="AG63" s="25">
        <f t="shared" si="164"/>
        <v>776.62106221784506</v>
      </c>
      <c r="AH63" s="4">
        <f t="shared" si="165"/>
        <v>0.74</v>
      </c>
      <c r="AI63" s="4">
        <v>1.25</v>
      </c>
      <c r="AJ63" s="25">
        <f t="shared" si="146"/>
        <v>5</v>
      </c>
      <c r="AK63" s="38">
        <f t="shared" si="205"/>
        <v>212.85169853377971</v>
      </c>
      <c r="AL63" s="38">
        <f t="shared" si="148"/>
        <v>212.85169853377971</v>
      </c>
      <c r="AN63" s="38">
        <f t="shared" si="158"/>
        <v>212.85169853377948</v>
      </c>
      <c r="AO63" s="38">
        <f t="shared" si="87"/>
        <v>1.0000000000000011</v>
      </c>
      <c r="AP63" s="38">
        <f t="shared" si="206"/>
        <v>0.9716969231496575</v>
      </c>
      <c r="AQ63" s="4">
        <f t="shared" si="228"/>
        <v>1</v>
      </c>
      <c r="AR63" s="4" t="e">
        <f>#REF!/G63*F63^0.5/0.19</f>
        <v>#REF!</v>
      </c>
      <c r="AS63" s="4">
        <f t="shared" si="166"/>
        <v>1.1333333333333333</v>
      </c>
      <c r="AT63" s="38">
        <f t="shared" si="167"/>
        <v>206.827340552452</v>
      </c>
      <c r="AU63" s="4">
        <f t="shared" si="168"/>
        <v>0.83479999999999999</v>
      </c>
      <c r="AV63" s="4" t="e">
        <f>AU63*D63*#REF!/(D63*G63/2.75/F63^0.5)</f>
        <v>#REF!</v>
      </c>
      <c r="AW63" s="4" t="e">
        <f t="shared" si="207"/>
        <v>#REF!</v>
      </c>
      <c r="AY63" s="36">
        <f t="shared" si="169"/>
        <v>1.1000000000000001</v>
      </c>
      <c r="AZ63" s="36" t="e">
        <f>(1.6*#REF!+22)*AY63*F63^0.5</f>
        <v>#REF!</v>
      </c>
      <c r="BE63" s="4">
        <f t="shared" si="170"/>
        <v>63.499999999999986</v>
      </c>
      <c r="BF63" s="4">
        <f t="shared" si="171"/>
        <v>63.499999999999986</v>
      </c>
      <c r="BG63" s="4">
        <f t="shared" si="172"/>
        <v>88.899999999999991</v>
      </c>
      <c r="BH63" s="4">
        <f t="shared" si="173"/>
        <v>76.199999999999989</v>
      </c>
      <c r="BI63" s="4">
        <f t="shared" si="229"/>
        <v>1.04</v>
      </c>
      <c r="BJ63" s="25">
        <f t="shared" si="174"/>
        <v>3.1199999999999997</v>
      </c>
      <c r="BL63" s="4">
        <f t="shared" si="175"/>
        <v>63.499999999999986</v>
      </c>
      <c r="BP63" s="9"/>
      <c r="BR63" s="9"/>
      <c r="BS63" s="9"/>
      <c r="BT63" s="9">
        <f t="shared" si="176"/>
        <v>50.8</v>
      </c>
      <c r="BU63" s="9">
        <f t="shared" si="177"/>
        <v>63.499999999999986</v>
      </c>
      <c r="BV63" s="9">
        <f t="shared" si="178"/>
        <v>1.4623505735569622</v>
      </c>
      <c r="BW63" s="9">
        <v>0</v>
      </c>
      <c r="BX63" s="9">
        <f t="shared" si="179"/>
        <v>0</v>
      </c>
      <c r="BY63" s="9">
        <f t="shared" si="208"/>
        <v>0</v>
      </c>
      <c r="BZ63" s="9">
        <f t="shared" si="180"/>
        <v>0.99524931562137331</v>
      </c>
      <c r="CA63" s="9">
        <f t="shared" si="181"/>
        <v>1.056</v>
      </c>
      <c r="CB63" s="9">
        <f t="shared" si="182"/>
        <v>1.9464482686693119</v>
      </c>
      <c r="CC63" s="9">
        <f t="shared" si="183"/>
        <v>2.8463897420875242</v>
      </c>
      <c r="CD63" s="9">
        <v>1</v>
      </c>
      <c r="CE63" s="9" t="e">
        <f>4*CC63*#REF!+60*CC63</f>
        <v>#REF!</v>
      </c>
      <c r="DB63" s="4">
        <f t="shared" si="232"/>
        <v>0</v>
      </c>
      <c r="DC63" s="4">
        <f t="shared" si="184"/>
        <v>381</v>
      </c>
      <c r="DD63" s="4" t="e">
        <f>#REF!/E63</f>
        <v>#REF!</v>
      </c>
      <c r="DF63" s="4">
        <f t="shared" si="185"/>
        <v>2.6402037423385414E-5</v>
      </c>
      <c r="DG63" s="4">
        <f t="shared" si="233"/>
        <v>6.6857562842857838</v>
      </c>
      <c r="DH63" s="4">
        <f t="shared" si="221"/>
        <v>0.9400823991177234</v>
      </c>
      <c r="DI63" s="4">
        <f t="shared" si="149"/>
        <v>6.5225423839155505</v>
      </c>
      <c r="DJ63" s="4">
        <f t="shared" si="150"/>
        <v>6.6046535278620073</v>
      </c>
      <c r="DK63" s="4">
        <f t="shared" si="186"/>
        <v>5.9210154692863419</v>
      </c>
      <c r="DL63" s="38" t="e">
        <f t="shared" si="187"/>
        <v>#REF!</v>
      </c>
      <c r="DM63" s="4" t="e">
        <f t="shared" si="151"/>
        <v>#REF!</v>
      </c>
      <c r="DN63" s="4">
        <f t="shared" si="222"/>
        <v>1.4764823060233399</v>
      </c>
      <c r="DO63" s="4">
        <f t="shared" si="152"/>
        <v>212.85169853377948</v>
      </c>
      <c r="DS63" s="4">
        <f t="shared" si="188"/>
        <v>0.85</v>
      </c>
      <c r="DT63" s="4">
        <f t="shared" si="189"/>
        <v>0.85000000000000009</v>
      </c>
      <c r="DU63" s="4">
        <f t="shared" si="190"/>
        <v>1</v>
      </c>
      <c r="DV63" s="4">
        <f t="shared" si="223"/>
        <v>0.85000000000000009</v>
      </c>
      <c r="DX63" s="4" t="e">
        <f t="shared" si="191"/>
        <v>#REF!</v>
      </c>
      <c r="DY63" s="25">
        <f t="shared" si="192"/>
        <v>209.93356079366291</v>
      </c>
      <c r="EA63" s="4">
        <f t="shared" si="224"/>
        <v>0.72250000000000003</v>
      </c>
      <c r="EB63" s="4">
        <f t="shared" si="159"/>
        <v>6.6857562842857838</v>
      </c>
      <c r="EC63" s="4">
        <f t="shared" si="193"/>
        <v>6.028412726414806</v>
      </c>
      <c r="EE63" s="4">
        <f t="shared" si="194"/>
        <v>37.502650572992827</v>
      </c>
      <c r="EF63" s="4">
        <f t="shared" si="235"/>
        <v>1.4764823060233399</v>
      </c>
      <c r="EG63" s="4">
        <f t="shared" si="195"/>
        <v>0.27200707645678157</v>
      </c>
      <c r="EJ63" s="4">
        <f t="shared" ref="EJ63:EJ87" si="263">EG63</f>
        <v>0.27200707645678157</v>
      </c>
      <c r="EK63" s="4">
        <f t="shared" si="196"/>
        <v>0.93851357680113745</v>
      </c>
      <c r="EL63" s="4">
        <f t="shared" si="237"/>
        <v>6.5181862391466634</v>
      </c>
      <c r="EM63" s="4">
        <f>EB63/1.4*(1-EK63^1.4)/(1-EK63)</f>
        <v>6.602502902959194</v>
      </c>
      <c r="EN63" s="4">
        <f t="shared" si="239"/>
        <v>248.24734942700718</v>
      </c>
      <c r="EO63" s="4">
        <f t="shared" si="240"/>
        <v>95.25</v>
      </c>
      <c r="EP63" s="4">
        <f t="shared" si="197"/>
        <v>2.6402037423385414E-5</v>
      </c>
      <c r="EQ63" s="4">
        <f>MAX(0.5*EB63, (1-2*EP63*(EE63*EL63+EN63*EM63))/(1/EB63+EP63*EO63))</f>
        <v>5.9212575541952805</v>
      </c>
      <c r="ER63" s="4" t="e">
        <f t="shared" si="198"/>
        <v>#REF!</v>
      </c>
      <c r="ES63" s="4" t="e">
        <f t="shared" si="242"/>
        <v>#REF!</v>
      </c>
      <c r="ET63" s="4" t="e">
        <f t="shared" si="243"/>
        <v>#REF!</v>
      </c>
      <c r="EV63" s="4" t="e">
        <f t="shared" si="199"/>
        <v>#REF!</v>
      </c>
      <c r="FA63" s="23"/>
      <c r="FB63" s="23"/>
      <c r="FC63" s="23"/>
      <c r="FD63" s="23"/>
      <c r="FE63" s="23"/>
      <c r="FF63" s="23"/>
      <c r="FG63" s="23"/>
      <c r="FH63" s="23"/>
      <c r="FI63"/>
      <c r="FJ63"/>
      <c r="FK63"/>
      <c r="FL63"/>
      <c r="FM63"/>
      <c r="FN63"/>
      <c r="FO63"/>
      <c r="FR63" s="4">
        <f t="shared" si="140"/>
        <v>1</v>
      </c>
      <c r="FS63" s="4">
        <f t="shared" si="141"/>
        <v>1.0833333333333333</v>
      </c>
      <c r="FT63" s="4">
        <f t="shared" si="142"/>
        <v>0</v>
      </c>
      <c r="FU63" s="4">
        <f t="shared" si="143"/>
        <v>317.60067534926469</v>
      </c>
    </row>
    <row r="64" spans="1:177" ht="12" customHeight="1" x14ac:dyDescent="0.3">
      <c r="B64" s="24"/>
      <c r="C64" s="7" t="s">
        <v>274</v>
      </c>
      <c r="D64" s="7">
        <v>472</v>
      </c>
      <c r="E64" s="7">
        <f t="shared" ref="E64:E74" si="264">15*25.4</f>
        <v>381</v>
      </c>
      <c r="F64" s="7">
        <v>28</v>
      </c>
      <c r="G64" s="7">
        <v>25.4</v>
      </c>
      <c r="H64" s="7">
        <f t="shared" si="200"/>
        <v>152.39999999999998</v>
      </c>
      <c r="I64" s="7">
        <f t="shared" si="160"/>
        <v>63.499999999999986</v>
      </c>
      <c r="J64" s="7">
        <f t="shared" si="201"/>
        <v>50.8</v>
      </c>
      <c r="K64" s="7">
        <v>0</v>
      </c>
      <c r="L64" s="7">
        <v>1</v>
      </c>
      <c r="M64" s="7">
        <f t="shared" si="202"/>
        <v>88.899999999999991</v>
      </c>
      <c r="N64" s="7">
        <f t="shared" si="161"/>
        <v>2.9999999999999996</v>
      </c>
      <c r="O64" s="7">
        <f t="shared" si="203"/>
        <v>4</v>
      </c>
      <c r="P64" s="7">
        <v>1.85</v>
      </c>
      <c r="Q64" s="7">
        <f t="shared" si="227"/>
        <v>1.85</v>
      </c>
      <c r="R64" s="7">
        <f t="shared" si="162"/>
        <v>2.85</v>
      </c>
      <c r="S64" s="7">
        <f t="shared" si="163"/>
        <v>42.880135260980694</v>
      </c>
      <c r="T64" s="7"/>
      <c r="U64" s="7"/>
      <c r="V64" s="7">
        <v>0</v>
      </c>
      <c r="W64" s="7"/>
      <c r="X64" s="7"/>
      <c r="Y64" s="7"/>
      <c r="Z64" s="7"/>
      <c r="AA64" s="7">
        <v>1</v>
      </c>
      <c r="AB64" s="7"/>
      <c r="AC64" s="7"/>
      <c r="AD64" s="7"/>
      <c r="AE64" s="4">
        <f t="shared" si="252"/>
        <v>381</v>
      </c>
      <c r="AF64" s="44">
        <f t="shared" si="204"/>
        <v>5.9259259259259248E-2</v>
      </c>
      <c r="AG64" s="25">
        <f t="shared" si="164"/>
        <v>776.62106221784506</v>
      </c>
      <c r="AH64" s="4">
        <f t="shared" si="165"/>
        <v>0.74</v>
      </c>
      <c r="AI64" s="4">
        <v>1.25</v>
      </c>
      <c r="AJ64" s="25">
        <f t="shared" si="146"/>
        <v>5</v>
      </c>
      <c r="AK64" s="38">
        <f t="shared" si="205"/>
        <v>212.85169853377971</v>
      </c>
      <c r="AL64" s="38">
        <f t="shared" si="148"/>
        <v>212.85169853377971</v>
      </c>
      <c r="AN64" s="38">
        <f t="shared" si="158"/>
        <v>212.85169853377948</v>
      </c>
      <c r="AO64" s="38">
        <f t="shared" si="87"/>
        <v>1.0000000000000011</v>
      </c>
      <c r="AP64" s="38">
        <f t="shared" si="206"/>
        <v>1.2166780921657716</v>
      </c>
      <c r="AQ64" s="4">
        <f t="shared" si="228"/>
        <v>0</v>
      </c>
      <c r="AR64" s="4" t="e">
        <f>#REF!/G64*F64^0.5/0.19</f>
        <v>#REF!</v>
      </c>
      <c r="AS64" s="4">
        <f t="shared" si="166"/>
        <v>1.1333333333333333</v>
      </c>
      <c r="AT64" s="38">
        <f t="shared" si="167"/>
        <v>258.97199848632278</v>
      </c>
      <c r="AU64" s="4">
        <f t="shared" si="168"/>
        <v>0.74099999999999999</v>
      </c>
      <c r="AV64" s="4" t="e">
        <f>AU64*D64*#REF!/(D64*G64/2.75/F64^0.5)</f>
        <v>#REF!</v>
      </c>
      <c r="AW64" s="4" t="e">
        <f t="shared" si="207"/>
        <v>#REF!</v>
      </c>
      <c r="AY64" s="36">
        <f t="shared" si="169"/>
        <v>1.1000000000000001</v>
      </c>
      <c r="AZ64" s="36" t="e">
        <f>(1.6*#REF!+22)*AY64*F64^0.5</f>
        <v>#REF!</v>
      </c>
      <c r="BE64" s="4">
        <f t="shared" si="170"/>
        <v>63.499999999999986</v>
      </c>
      <c r="BF64" s="4">
        <f t="shared" si="171"/>
        <v>63.499999999999986</v>
      </c>
      <c r="BG64" s="4">
        <f t="shared" si="172"/>
        <v>88.899999999999991</v>
      </c>
      <c r="BH64" s="4">
        <f t="shared" si="173"/>
        <v>76.199999999999989</v>
      </c>
      <c r="BI64" s="4">
        <f t="shared" si="229"/>
        <v>1.04</v>
      </c>
      <c r="BJ64" s="25">
        <f t="shared" si="174"/>
        <v>3.1199999999999997</v>
      </c>
      <c r="BL64" s="4">
        <f t="shared" si="175"/>
        <v>63.499999999999986</v>
      </c>
      <c r="BP64" s="9"/>
      <c r="BR64" s="9"/>
      <c r="BS64" s="9"/>
      <c r="BT64" s="9">
        <f t="shared" si="176"/>
        <v>50.8</v>
      </c>
      <c r="BU64" s="9">
        <f t="shared" si="177"/>
        <v>63.499999999999986</v>
      </c>
      <c r="BV64" s="9">
        <f t="shared" si="178"/>
        <v>1.4623505735569622</v>
      </c>
      <c r="BW64" s="9">
        <v>0</v>
      </c>
      <c r="BX64" s="9">
        <f t="shared" si="179"/>
        <v>0</v>
      </c>
      <c r="BY64" s="9">
        <f t="shared" si="208"/>
        <v>0</v>
      </c>
      <c r="BZ64" s="9">
        <f t="shared" si="180"/>
        <v>0.99524931562137331</v>
      </c>
      <c r="CA64" s="9">
        <f t="shared" si="181"/>
        <v>1.056</v>
      </c>
      <c r="CB64" s="9">
        <f t="shared" si="182"/>
        <v>1.9464482686693119</v>
      </c>
      <c r="CC64" s="9">
        <f t="shared" si="183"/>
        <v>2.8463897420875242</v>
      </c>
      <c r="CD64" s="9">
        <v>1</v>
      </c>
      <c r="CE64" s="9" t="e">
        <f>4*CC64*#REF!+60*CC64</f>
        <v>#REF!</v>
      </c>
      <c r="DB64" s="4">
        <f t="shared" si="232"/>
        <v>0</v>
      </c>
      <c r="DC64" s="4">
        <f t="shared" si="184"/>
        <v>381</v>
      </c>
      <c r="DD64" s="4" t="e">
        <f>#REF!/E64</f>
        <v>#REF!</v>
      </c>
      <c r="DF64" s="4">
        <f t="shared" si="185"/>
        <v>2.6402037423385414E-5</v>
      </c>
      <c r="DG64" s="4">
        <f t="shared" si="233"/>
        <v>6.6857562842857838</v>
      </c>
      <c r="DH64" s="4">
        <f t="shared" si="221"/>
        <v>0.68559932873052221</v>
      </c>
      <c r="DI64" s="4">
        <f t="shared" si="149"/>
        <v>5.7488197873479097</v>
      </c>
      <c r="DJ64" s="4">
        <f t="shared" si="150"/>
        <v>6.2349223865162244</v>
      </c>
      <c r="DK64" s="4">
        <f t="shared" si="186"/>
        <v>5.9638650161149709</v>
      </c>
      <c r="DL64" s="38" t="e">
        <f t="shared" si="187"/>
        <v>#REF!</v>
      </c>
      <c r="DM64" s="4" t="e">
        <f t="shared" si="151"/>
        <v>#REF!</v>
      </c>
      <c r="DN64" s="4">
        <f t="shared" si="222"/>
        <v>1.6881943016134133</v>
      </c>
      <c r="DO64" s="4">
        <f t="shared" si="152"/>
        <v>212.85169853377948</v>
      </c>
      <c r="DS64" s="4">
        <f t="shared" si="188"/>
        <v>0.85</v>
      </c>
      <c r="DT64" s="4">
        <f t="shared" si="189"/>
        <v>0.85000000000000009</v>
      </c>
      <c r="DU64" s="4">
        <f t="shared" si="190"/>
        <v>1</v>
      </c>
      <c r="DV64" s="4">
        <f t="shared" si="223"/>
        <v>0.85000000000000009</v>
      </c>
      <c r="DX64" s="4" t="e">
        <f t="shared" si="191"/>
        <v>#REF!</v>
      </c>
      <c r="DY64" s="25">
        <f t="shared" si="192"/>
        <v>209.93356079366291</v>
      </c>
      <c r="EA64" s="4">
        <f t="shared" si="224"/>
        <v>0.72250000000000003</v>
      </c>
      <c r="EB64" s="4">
        <f t="shared" si="159"/>
        <v>6.6857562842857838</v>
      </c>
      <c r="EC64" s="4">
        <f t="shared" si="193"/>
        <v>6.028412726414806</v>
      </c>
      <c r="EE64" s="4">
        <f t="shared" si="194"/>
        <v>42.880135260980694</v>
      </c>
      <c r="EF64" s="4">
        <f t="shared" si="235"/>
        <v>1.6881943016134133</v>
      </c>
      <c r="EG64" s="4">
        <f t="shared" si="195"/>
        <v>0.19837396083975403</v>
      </c>
      <c r="EJ64" s="4">
        <f t="shared" si="263"/>
        <v>0.19837396083975403</v>
      </c>
      <c r="EK64" s="4">
        <f t="shared" si="196"/>
        <v>0.68445519122921572</v>
      </c>
      <c r="EL64" s="4">
        <f t="shared" si="237"/>
        <v>5.7449803809063837</v>
      </c>
      <c r="EM64" s="4">
        <f>EB64/1.4*(1-EK64^1.4)/(1-EK64)</f>
        <v>6.2331528620769934</v>
      </c>
      <c r="EN64" s="4">
        <f t="shared" si="239"/>
        <v>242.86986473901931</v>
      </c>
      <c r="EO64" s="4">
        <f t="shared" si="240"/>
        <v>95.25</v>
      </c>
      <c r="EP64" s="4">
        <f t="shared" si="197"/>
        <v>2.6402037423385414E-5</v>
      </c>
      <c r="EQ64" s="4">
        <f>MAX(0.5*EB64, (1-2*EP64*(EE64*EL64+EN64*EM64))/(1/EB64+EP64*EO64))</f>
        <v>5.9640713898449462</v>
      </c>
      <c r="ER64" s="4" t="e">
        <f t="shared" si="198"/>
        <v>#REF!</v>
      </c>
      <c r="ES64" s="4" t="e">
        <f t="shared" si="242"/>
        <v>#REF!</v>
      </c>
      <c r="ET64" s="4" t="e">
        <f t="shared" si="243"/>
        <v>#REF!</v>
      </c>
      <c r="EV64" s="4" t="e">
        <f t="shared" si="199"/>
        <v>#REF!</v>
      </c>
      <c r="FA64" s="23"/>
      <c r="FB64" s="23"/>
      <c r="FC64" s="23"/>
      <c r="FD64" s="23"/>
      <c r="FE64" s="23"/>
      <c r="FF64" s="23"/>
      <c r="FG64" s="23"/>
      <c r="FH64" s="23"/>
      <c r="FI64"/>
      <c r="FJ64"/>
      <c r="FK64"/>
      <c r="FL64"/>
      <c r="FM64"/>
      <c r="FN64"/>
      <c r="FO64"/>
      <c r="FR64" s="4">
        <f t="shared" si="140"/>
        <v>1</v>
      </c>
      <c r="FS64" s="4">
        <f t="shared" si="141"/>
        <v>1.0833333333333333</v>
      </c>
      <c r="FT64" s="4">
        <f t="shared" si="142"/>
        <v>0</v>
      </c>
      <c r="FU64" s="4">
        <f t="shared" si="143"/>
        <v>317.60067534926469</v>
      </c>
    </row>
    <row r="65" spans="2:179" ht="12" customHeight="1" x14ac:dyDescent="0.3">
      <c r="B65" s="24"/>
      <c r="C65" s="7" t="s">
        <v>274</v>
      </c>
      <c r="D65" s="7">
        <v>472</v>
      </c>
      <c r="E65" s="7">
        <f t="shared" si="264"/>
        <v>381</v>
      </c>
      <c r="F65" s="7">
        <v>21</v>
      </c>
      <c r="G65" s="7">
        <v>25.4</v>
      </c>
      <c r="H65" s="7">
        <f t="shared" si="200"/>
        <v>152.39999999999998</v>
      </c>
      <c r="I65" s="7">
        <f t="shared" si="160"/>
        <v>63.499999999999986</v>
      </c>
      <c r="J65" s="7">
        <f t="shared" si="201"/>
        <v>50.8</v>
      </c>
      <c r="K65" s="7">
        <v>0</v>
      </c>
      <c r="L65" s="7">
        <v>1</v>
      </c>
      <c r="M65" s="7">
        <f t="shared" si="202"/>
        <v>88.899999999999991</v>
      </c>
      <c r="N65" s="7">
        <f t="shared" si="161"/>
        <v>2.9999999999999996</v>
      </c>
      <c r="O65" s="7">
        <f t="shared" si="203"/>
        <v>4</v>
      </c>
      <c r="P65" s="7">
        <v>1.85</v>
      </c>
      <c r="Q65" s="7">
        <f t="shared" si="227"/>
        <v>1.85</v>
      </c>
      <c r="R65" s="7">
        <f t="shared" si="162"/>
        <v>2.85</v>
      </c>
      <c r="S65" s="7">
        <f t="shared" si="163"/>
        <v>42.880135260980694</v>
      </c>
      <c r="T65" s="7"/>
      <c r="U65" s="7"/>
      <c r="V65" s="7">
        <v>420</v>
      </c>
      <c r="W65" s="7"/>
      <c r="X65" s="7"/>
      <c r="Y65" s="7"/>
      <c r="Z65" s="7"/>
      <c r="AA65" s="7">
        <v>1</v>
      </c>
      <c r="AB65" s="7"/>
      <c r="AC65" s="7"/>
      <c r="AD65" s="7"/>
      <c r="AE65" s="4">
        <f t="shared" si="252"/>
        <v>381</v>
      </c>
      <c r="AF65" s="44">
        <f t="shared" si="204"/>
        <v>5.9259259259259248E-2</v>
      </c>
      <c r="AG65" s="25">
        <f t="shared" si="164"/>
        <v>672.57356899470892</v>
      </c>
      <c r="AH65" s="4">
        <f t="shared" si="165"/>
        <v>0.74</v>
      </c>
      <c r="AI65" s="4">
        <v>1.25</v>
      </c>
      <c r="AJ65" s="25">
        <f t="shared" si="146"/>
        <v>5</v>
      </c>
      <c r="AK65" s="38">
        <f t="shared" si="205"/>
        <v>184.3349781689202</v>
      </c>
      <c r="AL65" s="38">
        <f t="shared" si="148"/>
        <v>184.3349781689202</v>
      </c>
      <c r="AN65" s="38">
        <f t="shared" si="158"/>
        <v>184.33497816892</v>
      </c>
      <c r="AO65" s="38">
        <f t="shared" si="87"/>
        <v>1.0000000000000011</v>
      </c>
      <c r="AP65" s="38">
        <f t="shared" si="206"/>
        <v>1.0536741360435427</v>
      </c>
      <c r="AQ65" s="4">
        <f t="shared" si="228"/>
        <v>0</v>
      </c>
      <c r="AR65" s="4" t="e">
        <f>#REF!/G65*F65^0.5/0.19</f>
        <v>#REF!</v>
      </c>
      <c r="AS65" s="4">
        <f t="shared" si="166"/>
        <v>1.1333333333333333</v>
      </c>
      <c r="AT65" s="38">
        <f t="shared" si="167"/>
        <v>194.22899886474207</v>
      </c>
      <c r="AU65" s="4">
        <f t="shared" si="168"/>
        <v>0.74099999999999999</v>
      </c>
      <c r="AV65" s="4" t="e">
        <f>AU65*D65*#REF!/(D65*G65/2.75/F65^0.5)</f>
        <v>#REF!</v>
      </c>
      <c r="AW65" s="4" t="e">
        <f t="shared" si="207"/>
        <v>#REF!</v>
      </c>
      <c r="AY65" s="36">
        <f t="shared" si="169"/>
        <v>1.1000000000000001</v>
      </c>
      <c r="AZ65" s="36" t="e">
        <f>(1.6*#REF!+22)*AY65*F65^0.5</f>
        <v>#REF!</v>
      </c>
      <c r="BE65" s="4">
        <f t="shared" si="170"/>
        <v>63.499999999999986</v>
      </c>
      <c r="BF65" s="4">
        <f t="shared" si="171"/>
        <v>63.499999999999986</v>
      </c>
      <c r="BG65" s="4">
        <f t="shared" si="172"/>
        <v>88.899999999999991</v>
      </c>
      <c r="BH65" s="4">
        <f t="shared" si="173"/>
        <v>76.199999999999989</v>
      </c>
      <c r="BI65" s="4">
        <f t="shared" si="229"/>
        <v>1.04</v>
      </c>
      <c r="BJ65" s="25">
        <f t="shared" si="174"/>
        <v>3.1199999999999997</v>
      </c>
      <c r="BL65" s="4">
        <f t="shared" si="175"/>
        <v>63.499999999999986</v>
      </c>
      <c r="BP65" s="9"/>
      <c r="BR65" s="9"/>
      <c r="BS65" s="9"/>
      <c r="BT65" s="9">
        <f t="shared" si="176"/>
        <v>50.8</v>
      </c>
      <c r="BU65" s="9">
        <f t="shared" si="177"/>
        <v>63.499999999999986</v>
      </c>
      <c r="BV65" s="9">
        <f t="shared" si="178"/>
        <v>1.4623505735569622</v>
      </c>
      <c r="BW65" s="9">
        <v>0</v>
      </c>
      <c r="BX65" s="9">
        <f t="shared" si="179"/>
        <v>0</v>
      </c>
      <c r="BY65" s="9">
        <f t="shared" si="208"/>
        <v>0</v>
      </c>
      <c r="BZ65" s="9">
        <f t="shared" si="180"/>
        <v>0.99524931562137331</v>
      </c>
      <c r="CA65" s="9">
        <f t="shared" si="181"/>
        <v>1.056</v>
      </c>
      <c r="CB65" s="9">
        <f t="shared" si="182"/>
        <v>1.6856736478198622</v>
      </c>
      <c r="CC65" s="9">
        <f t="shared" si="183"/>
        <v>2.465045825719232</v>
      </c>
      <c r="CD65" s="9">
        <v>1</v>
      </c>
      <c r="CE65" s="9" t="e">
        <f>4*CC65*#REF!+60*CC65</f>
        <v>#REF!</v>
      </c>
      <c r="CG65" s="4" t="e">
        <f t="shared" ref="CG65:CG117" si="265">V65/AR65</f>
        <v>#REF!</v>
      </c>
      <c r="CH65" s="4" t="e">
        <f t="shared" ref="CH65:CH94" si="266">V65/AW65</f>
        <v>#REF!</v>
      </c>
      <c r="CI65" s="4" t="e">
        <f t="shared" ref="CI65:CI138" si="267">V65/AZ65</f>
        <v>#REF!</v>
      </c>
      <c r="CJ65" s="4" t="e">
        <f t="shared" ref="CJ65:CJ117" si="268">V65/CE65</f>
        <v>#REF!</v>
      </c>
      <c r="CK65" s="4" t="e">
        <f t="shared" ref="CK65:CK138" si="269">V65/DL65</f>
        <v>#REF!</v>
      </c>
      <c r="CL65" s="4" t="e">
        <f t="shared" ref="CL65:CL138" si="270">V65/DX65</f>
        <v>#REF!</v>
      </c>
      <c r="CM65" s="4">
        <f t="shared" si="215"/>
        <v>1.4210277445713013</v>
      </c>
      <c r="CO65" s="4" t="e">
        <f t="shared" ref="CO65:CO127" si="271">CG65</f>
        <v>#REF!</v>
      </c>
      <c r="CP65" s="4" t="e">
        <f t="shared" ref="CP65:CP127" si="272">CH65</f>
        <v>#REF!</v>
      </c>
      <c r="CQ65" s="4" t="e">
        <f t="shared" ref="CQ65:CQ127" si="273">CJ65</f>
        <v>#REF!</v>
      </c>
      <c r="CR65" s="4">
        <f t="shared" ref="CR65:CR89" si="274">CM65</f>
        <v>1.4210277445713013</v>
      </c>
      <c r="CS65" s="4" t="e">
        <f t="shared" ref="CS65:CS127" si="275">CK65</f>
        <v>#REF!</v>
      </c>
      <c r="CT65" s="4" t="e">
        <f t="shared" ref="CT65:CT127" si="276">CL65</f>
        <v>#REF!</v>
      </c>
      <c r="DB65" s="4">
        <f t="shared" si="232"/>
        <v>0</v>
      </c>
      <c r="DC65" s="4">
        <f t="shared" si="184"/>
        <v>381</v>
      </c>
      <c r="DD65" s="4" t="e">
        <f>#REF!/E65</f>
        <v>#REF!</v>
      </c>
      <c r="DF65" s="4">
        <f t="shared" si="185"/>
        <v>2.5033311258542346E-5</v>
      </c>
      <c r="DG65" s="4">
        <f t="shared" si="233"/>
        <v>5.7900347857029448</v>
      </c>
      <c r="DH65" s="4">
        <f t="shared" si="221"/>
        <v>0.79166191399758756</v>
      </c>
      <c r="DI65" s="4">
        <f t="shared" si="149"/>
        <v>5.2734772127144325</v>
      </c>
      <c r="DJ65" s="4">
        <f t="shared" si="150"/>
        <v>5.5377835718020325</v>
      </c>
      <c r="DK65" s="4">
        <f t="shared" si="186"/>
        <v>5.2619500758916633</v>
      </c>
      <c r="DL65" s="38" t="e">
        <f t="shared" si="187"/>
        <v>#REF!</v>
      </c>
      <c r="DM65" s="4" t="e">
        <f t="shared" si="151"/>
        <v>#REF!</v>
      </c>
      <c r="DN65" s="4">
        <f t="shared" si="222"/>
        <v>1.6881943016134133</v>
      </c>
      <c r="DO65" s="4">
        <f t="shared" si="152"/>
        <v>184.33497816892</v>
      </c>
      <c r="DS65" s="4">
        <f t="shared" si="188"/>
        <v>0.85</v>
      </c>
      <c r="DT65" s="4">
        <f t="shared" si="189"/>
        <v>0.85000000000000009</v>
      </c>
      <c r="DU65" s="4">
        <f t="shared" si="190"/>
        <v>1</v>
      </c>
      <c r="DV65" s="4">
        <f t="shared" si="223"/>
        <v>0.85000000000000009</v>
      </c>
      <c r="DX65" s="4" t="e">
        <f t="shared" si="191"/>
        <v>#REF!</v>
      </c>
      <c r="DY65" s="25">
        <f t="shared" si="192"/>
        <v>181.80779675423688</v>
      </c>
      <c r="EA65" s="4">
        <f t="shared" si="224"/>
        <v>0.72250000000000003</v>
      </c>
      <c r="EB65" s="4">
        <f t="shared" si="159"/>
        <v>5.7900347857029448</v>
      </c>
      <c r="EC65" s="4">
        <f t="shared" si="193"/>
        <v>5.2207585655726314</v>
      </c>
      <c r="EE65" s="4">
        <f t="shared" si="194"/>
        <v>42.880135260980694</v>
      </c>
      <c r="EF65" s="4">
        <f t="shared" si="235"/>
        <v>1.6881943016134133</v>
      </c>
      <c r="EG65" s="4">
        <f t="shared" si="195"/>
        <v>0.19837396083975409</v>
      </c>
      <c r="EJ65" s="4">
        <f t="shared" si="263"/>
        <v>0.19837396083975409</v>
      </c>
      <c r="EK65" s="4">
        <f t="shared" si="196"/>
        <v>0.79034077780884915</v>
      </c>
      <c r="EL65" s="4">
        <f t="shared" si="237"/>
        <v>5.2699552685365516</v>
      </c>
      <c r="EM65" s="4">
        <f>EB65/1.4*(1-EK65^1.4)/(1-EK65)</f>
        <v>5.5361069902159068</v>
      </c>
      <c r="EN65" s="4">
        <f t="shared" si="239"/>
        <v>242.86986473901931</v>
      </c>
      <c r="EO65" s="4">
        <f t="shared" si="240"/>
        <v>95.25</v>
      </c>
      <c r="EP65" s="4">
        <f t="shared" si="197"/>
        <v>2.5033311258542346E-5</v>
      </c>
      <c r="EQ65" s="4">
        <f>MAX(0.5*EB65, (1-2*EP65*(EE65*EL65+EN65*EM65))/(1/EB65+EP65*EO65))</f>
        <v>5.2621096911044809</v>
      </c>
      <c r="ER65" s="4" t="e">
        <f t="shared" si="198"/>
        <v>#REF!</v>
      </c>
      <c r="ES65" s="4" t="e">
        <f t="shared" si="242"/>
        <v>#REF!</v>
      </c>
      <c r="ET65" s="4" t="e">
        <f t="shared" si="243"/>
        <v>#REF!</v>
      </c>
      <c r="EV65" s="4" t="e">
        <f t="shared" si="199"/>
        <v>#REF!</v>
      </c>
      <c r="FA65" s="23" t="e">
        <f t="shared" ref="FA65:FA117" si="277">IF(CG65&lt;0.6,0.6,IF(CG65&lt;0.8,0.8,IF(CG65&lt;1,1,IF(CG65&lt;1.2,1.2,IF(CG65&lt;1.4,1.4,IF(CG65&lt;1.6,1.6,IF(CG65&lt;1.8,1.8,IF(CG65&lt;2,2,2.2))))))))</f>
        <v>#REF!</v>
      </c>
      <c r="FB65" s="23" t="e">
        <f t="shared" ref="FB65:FB117" si="278">IF(CH65&lt;0.6,0.6,IF(CH65&lt;0.8,0.8,IF(CH65&lt;1,1,IF(CH65&lt;1.2,1.2,IF(CH65&lt;1.4,1.4,IF(CH65&lt;1.6,1.6,IF(CH65&lt;1.8,1.8,IF(CH65&lt;2,2,2.2))))))))</f>
        <v>#REF!</v>
      </c>
      <c r="FC65" s="23">
        <f>IF(CM65&lt;0.6,0.6,IF(CM65&lt;0.8,0.8,IF(CM65&lt;1,1,IF(CM65&lt;1.2,1.2,IF(CM65&lt;1.4,1.4,IF(CM65&lt;1.6,1.6,IF(CM65&lt;1.8,1.8,IF(CM65&lt;2,2,2.2))))))))</f>
        <v>1.6</v>
      </c>
      <c r="FD65" s="23" t="e">
        <f t="shared" ref="FD65:FD117" si="279">IF(CJ65&lt;0.6,0.6,IF(CJ65&lt;0.8,0.8,IF(CJ65&lt;1,1,IF(CJ65&lt;1.2,1.2,IF(CJ65&lt;1.4,1.4,IF(CJ65&lt;1.6,1.6,IF(CJ65&lt;1.8,1.8,IF(CJ65&lt;2,2,2.2))))))))</f>
        <v>#REF!</v>
      </c>
      <c r="FE65" s="23" t="e">
        <f t="shared" ref="FE65:FE117" si="280">IF(CK65&lt;0.6,0.6,IF(CK65&lt;0.8,0.8,IF(CK65&lt;1,1,IF(CK65&lt;1.2,1.2,IF(CK65&lt;1.4,1.4,IF(CK65&lt;1.6,1.6,IF(CK65&lt;1.8,1.8,IF(CK65&lt;2,2,2.2))))))))</f>
        <v>#REF!</v>
      </c>
      <c r="FF65" s="23" t="e">
        <f t="shared" ref="FF65:FF117" si="281">IF(CL65&lt;0.6,0.6,IF(CL65&lt;0.8,0.8,IF(CL65&lt;1,1,IF(CL65&lt;1.2,1.2,IF(CL65&lt;1.4,1.4,IF(CL65&lt;1.6,1.6,IF(CL65&lt;1.8,1.8,IF(CL65&lt;2,2,2.2))))))))</f>
        <v>#REF!</v>
      </c>
      <c r="FG65" s="23" t="e">
        <f t="shared" ref="FG65:FG138" si="282">IF(FE65&lt;1,1,0)</f>
        <v>#REF!</v>
      </c>
      <c r="FH65" s="23"/>
      <c r="FI65"/>
      <c r="FJ65">
        <f t="shared" ref="FJ65:FO65" si="283">SUM(FJ54:FJ64)</f>
        <v>0</v>
      </c>
      <c r="FK65">
        <f t="shared" si="283"/>
        <v>0</v>
      </c>
      <c r="FL65">
        <f t="shared" si="283"/>
        <v>327</v>
      </c>
      <c r="FM65">
        <f t="shared" si="283"/>
        <v>0</v>
      </c>
      <c r="FN65">
        <f t="shared" si="283"/>
        <v>247</v>
      </c>
      <c r="FO65">
        <f t="shared" si="283"/>
        <v>247</v>
      </c>
      <c r="FP65" s="4">
        <f>40+42+69</f>
        <v>151</v>
      </c>
      <c r="FR65" s="4">
        <f t="shared" si="140"/>
        <v>1</v>
      </c>
      <c r="FS65" s="4">
        <f t="shared" si="141"/>
        <v>1.0833333333333333</v>
      </c>
      <c r="FT65" s="4">
        <f t="shared" si="142"/>
        <v>0</v>
      </c>
      <c r="FU65" s="4">
        <f t="shared" si="143"/>
        <v>295.56073173413409</v>
      </c>
    </row>
    <row r="66" spans="2:179" ht="12" customHeight="1" x14ac:dyDescent="0.3">
      <c r="B66" s="24"/>
      <c r="C66" s="7" t="s">
        <v>276</v>
      </c>
      <c r="D66" s="7">
        <v>472</v>
      </c>
      <c r="E66" s="7">
        <f t="shared" si="264"/>
        <v>381</v>
      </c>
      <c r="F66" s="7">
        <v>28</v>
      </c>
      <c r="G66" s="7">
        <v>25.4</v>
      </c>
      <c r="H66" s="7">
        <f t="shared" si="200"/>
        <v>152.39999999999998</v>
      </c>
      <c r="I66" s="7">
        <f t="shared" si="160"/>
        <v>63.499999999999986</v>
      </c>
      <c r="J66" s="7">
        <f t="shared" si="201"/>
        <v>50.8</v>
      </c>
      <c r="K66" s="7">
        <v>0</v>
      </c>
      <c r="L66" s="7">
        <v>1</v>
      </c>
      <c r="M66" s="7">
        <f t="shared" si="202"/>
        <v>88.899999999999991</v>
      </c>
      <c r="N66" s="7">
        <f t="shared" si="161"/>
        <v>2.9999999999999996</v>
      </c>
      <c r="O66" s="7">
        <f t="shared" si="203"/>
        <v>4</v>
      </c>
      <c r="P66" s="7">
        <v>2.8</v>
      </c>
      <c r="Q66" s="7">
        <f t="shared" si="227"/>
        <v>2.8</v>
      </c>
      <c r="R66" s="7">
        <f t="shared" si="162"/>
        <v>3.8</v>
      </c>
      <c r="S66" s="7">
        <f t="shared" si="163"/>
        <v>49.513715271629529</v>
      </c>
      <c r="T66" s="7"/>
      <c r="U66" s="7"/>
      <c r="V66" s="7">
        <v>472</v>
      </c>
      <c r="W66" s="7"/>
      <c r="X66" s="7"/>
      <c r="Y66" s="7"/>
      <c r="Z66" s="7"/>
      <c r="AA66" s="7">
        <v>1</v>
      </c>
      <c r="AB66" s="7"/>
      <c r="AC66" s="7"/>
      <c r="AD66" s="7"/>
      <c r="AE66" s="4">
        <f t="shared" si="252"/>
        <v>381</v>
      </c>
      <c r="AF66" s="44">
        <f t="shared" si="204"/>
        <v>5.9259259259259248E-2</v>
      </c>
      <c r="AG66" s="25">
        <f t="shared" si="164"/>
        <v>776.62106221784506</v>
      </c>
      <c r="AH66" s="4">
        <f t="shared" si="165"/>
        <v>0.74</v>
      </c>
      <c r="AI66" s="4">
        <v>1.25</v>
      </c>
      <c r="AJ66" s="25">
        <f t="shared" si="146"/>
        <v>5</v>
      </c>
      <c r="AK66" s="38">
        <f t="shared" si="205"/>
        <v>212.85169853377971</v>
      </c>
      <c r="AL66" s="38">
        <f t="shared" si="148"/>
        <v>212.85169853377971</v>
      </c>
      <c r="AN66" s="38">
        <f t="shared" si="158"/>
        <v>212.85169853377948</v>
      </c>
      <c r="AO66" s="38">
        <f t="shared" si="87"/>
        <v>1.0000000000000011</v>
      </c>
      <c r="AP66" s="38">
        <f t="shared" si="206"/>
        <v>1.4968174569375785</v>
      </c>
      <c r="AQ66" s="4">
        <f t="shared" si="228"/>
        <v>0</v>
      </c>
      <c r="AR66" s="4" t="e">
        <f>#REF!/G66*F66^0.5/0.19</f>
        <v>#REF!</v>
      </c>
      <c r="AS66" s="4">
        <f t="shared" si="166"/>
        <v>1.1333333333333333</v>
      </c>
      <c r="AT66" s="38">
        <f t="shared" si="167"/>
        <v>318.60013810417593</v>
      </c>
      <c r="AU66" s="4">
        <f t="shared" si="168"/>
        <v>0.6080000000000001</v>
      </c>
      <c r="AV66" s="4" t="e">
        <f>AU66*D66*#REF!/(D66*G66/2.75/F66^0.5)</f>
        <v>#REF!</v>
      </c>
      <c r="AW66" s="4" t="e">
        <f t="shared" ref="AW66:AW69" si="284">AT66+AV66</f>
        <v>#REF!</v>
      </c>
      <c r="AY66" s="36">
        <f t="shared" si="169"/>
        <v>1.1000000000000001</v>
      </c>
      <c r="AZ66" s="36" t="e">
        <f>(1.6*#REF!+22)*AY66*F66^0.5</f>
        <v>#REF!</v>
      </c>
      <c r="BE66" s="4">
        <f t="shared" si="170"/>
        <v>63.499999999999986</v>
      </c>
      <c r="BF66" s="4">
        <f t="shared" si="171"/>
        <v>63.499999999999986</v>
      </c>
      <c r="BG66" s="4">
        <f t="shared" si="172"/>
        <v>88.899999999999991</v>
      </c>
      <c r="BH66" s="4">
        <f t="shared" si="173"/>
        <v>76.199999999999989</v>
      </c>
      <c r="BI66" s="4">
        <f t="shared" si="229"/>
        <v>1.04</v>
      </c>
      <c r="BJ66" s="25">
        <f t="shared" si="174"/>
        <v>3.1199999999999997</v>
      </c>
      <c r="BL66" s="4">
        <f t="shared" si="175"/>
        <v>63.499999999999986</v>
      </c>
      <c r="BP66" s="9"/>
      <c r="BR66" s="9"/>
      <c r="BS66" s="9"/>
      <c r="BT66" s="9">
        <f t="shared" si="176"/>
        <v>50.8</v>
      </c>
      <c r="BU66" s="9">
        <f t="shared" si="177"/>
        <v>63.499999999999986</v>
      </c>
      <c r="BV66" s="9">
        <f t="shared" si="178"/>
        <v>1.4623505735569622</v>
      </c>
      <c r="BW66" s="9">
        <v>0</v>
      </c>
      <c r="BX66" s="9">
        <f t="shared" si="179"/>
        <v>0</v>
      </c>
      <c r="BY66" s="9">
        <f t="shared" ref="BY66" si="285">MAX(0,BW66*(BX66-0.5/50))</f>
        <v>0</v>
      </c>
      <c r="BZ66" s="9">
        <f t="shared" si="180"/>
        <v>0.99524931562137331</v>
      </c>
      <c r="CA66" s="9">
        <f t="shared" si="181"/>
        <v>1.056</v>
      </c>
      <c r="CB66" s="9">
        <f t="shared" si="182"/>
        <v>1.9464482686693119</v>
      </c>
      <c r="CC66" s="9">
        <f t="shared" si="183"/>
        <v>2.8463897420875242</v>
      </c>
      <c r="CD66" s="9">
        <v>1</v>
      </c>
      <c r="CE66" s="9" t="e">
        <f>4*CC66*#REF!+60*CC66</f>
        <v>#REF!</v>
      </c>
      <c r="CG66" s="4" t="e">
        <f t="shared" si="265"/>
        <v>#REF!</v>
      </c>
      <c r="CH66" s="4" t="e">
        <f t="shared" si="266"/>
        <v>#REF!</v>
      </c>
      <c r="CI66" s="4" t="e">
        <f t="shared" si="267"/>
        <v>#REF!</v>
      </c>
      <c r="CJ66" s="4" t="e">
        <f t="shared" si="268"/>
        <v>#REF!</v>
      </c>
      <c r="CK66" s="4" t="e">
        <f t="shared" si="269"/>
        <v>#REF!</v>
      </c>
      <c r="CL66" s="4" t="e">
        <f t="shared" si="270"/>
        <v>#REF!</v>
      </c>
      <c r="CM66" s="4">
        <f t="shared" si="215"/>
        <v>1.4861429355619056</v>
      </c>
      <c r="CO66" s="4" t="e">
        <f t="shared" si="271"/>
        <v>#REF!</v>
      </c>
      <c r="CP66" s="4" t="e">
        <f t="shared" si="272"/>
        <v>#REF!</v>
      </c>
      <c r="CQ66" s="4" t="e">
        <f t="shared" si="273"/>
        <v>#REF!</v>
      </c>
      <c r="CR66" s="4">
        <f t="shared" si="274"/>
        <v>1.4861429355619056</v>
      </c>
      <c r="CS66" s="4" t="e">
        <f t="shared" si="275"/>
        <v>#REF!</v>
      </c>
      <c r="CT66" s="4" t="e">
        <f t="shared" si="276"/>
        <v>#REF!</v>
      </c>
      <c r="DB66" s="4">
        <f t="shared" si="232"/>
        <v>0</v>
      </c>
      <c r="DC66" s="4">
        <f t="shared" si="184"/>
        <v>381</v>
      </c>
      <c r="DD66" s="4" t="e">
        <f>#REF!/E66</f>
        <v>#REF!</v>
      </c>
      <c r="DF66" s="4">
        <f t="shared" si="185"/>
        <v>2.6402037423385414E-5</v>
      </c>
      <c r="DG66" s="4">
        <f t="shared" si="233"/>
        <v>6.6857562842857838</v>
      </c>
      <c r="DH66" s="4">
        <f t="shared" si="221"/>
        <v>0.52306233603412022</v>
      </c>
      <c r="DI66" s="4">
        <f t="shared" si="149"/>
        <v>5.1590759428904853</v>
      </c>
      <c r="DJ66" s="4">
        <f t="shared" si="150"/>
        <v>5.97148712814551</v>
      </c>
      <c r="DK66" s="4">
        <f t="shared" si="186"/>
        <v>5.9967300417133593</v>
      </c>
      <c r="DL66" s="38" t="e">
        <f t="shared" si="187"/>
        <v>#REF!</v>
      </c>
      <c r="DM66" s="4" t="e">
        <f t="shared" si="151"/>
        <v>#REF!</v>
      </c>
      <c r="DN66" s="4">
        <f t="shared" si="222"/>
        <v>1.9493588689617927</v>
      </c>
      <c r="DO66" s="4">
        <f t="shared" si="152"/>
        <v>212.85169853377948</v>
      </c>
      <c r="DS66" s="4">
        <f t="shared" si="188"/>
        <v>0.85</v>
      </c>
      <c r="DT66" s="4">
        <f t="shared" si="189"/>
        <v>0.85000000000000009</v>
      </c>
      <c r="DU66" s="4">
        <f t="shared" si="190"/>
        <v>1</v>
      </c>
      <c r="DV66" s="4">
        <f t="shared" ref="DV66" si="286">IF(DT66*DU66&lt;0.7,0.7,DT66*DU66)</f>
        <v>0.85000000000000009</v>
      </c>
      <c r="DX66" s="4" t="e">
        <f t="shared" si="191"/>
        <v>#REF!</v>
      </c>
      <c r="DY66" s="25">
        <f t="shared" si="192"/>
        <v>209.93356079366291</v>
      </c>
      <c r="EA66" s="4">
        <f t="shared" si="224"/>
        <v>0.72250000000000003</v>
      </c>
      <c r="EB66" s="4">
        <f t="shared" si="159"/>
        <v>6.6857562842857838</v>
      </c>
      <c r="EC66" s="4">
        <f t="shared" si="193"/>
        <v>6.028412726414806</v>
      </c>
      <c r="EE66" s="4">
        <f t="shared" si="194"/>
        <v>49.513715271629529</v>
      </c>
      <c r="EF66" s="4">
        <f t="shared" si="235"/>
        <v>1.9493588689617927</v>
      </c>
      <c r="EG66" s="4">
        <f t="shared" si="195"/>
        <v>0.15134487887745135</v>
      </c>
      <c r="EJ66" s="4">
        <f t="shared" ref="EJ66" si="287">EG66</f>
        <v>0.15134487887745135</v>
      </c>
      <c r="EK66" s="4">
        <f t="shared" si="196"/>
        <v>0.52218944248084664</v>
      </c>
      <c r="EL66" s="4">
        <f t="shared" si="237"/>
        <v>5.1556304027378701</v>
      </c>
      <c r="EM66" s="4">
        <f t="shared" ref="EM66" si="288">EB66/1.4*(1-EK66^1.4)/(1-EK66)</f>
        <v>5.9699998189624841</v>
      </c>
      <c r="EN66" s="4">
        <f t="shared" si="239"/>
        <v>236.23628472837046</v>
      </c>
      <c r="EO66" s="4">
        <f t="shared" si="240"/>
        <v>95.250000000000028</v>
      </c>
      <c r="EP66" s="4">
        <f t="shared" si="197"/>
        <v>2.6402037423385424E-5</v>
      </c>
      <c r="EQ66" s="4">
        <f t="shared" ref="EQ66" si="289">MAX(0.5*EB66, (1-2*EP66*(EE66*EL66+EN66*EM66))/(1/EB66+EP66*EO66))</f>
        <v>5.9969112642593512</v>
      </c>
      <c r="ER66" s="4" t="e">
        <f t="shared" si="198"/>
        <v>#REF!</v>
      </c>
      <c r="ES66" s="4" t="e">
        <f t="shared" si="242"/>
        <v>#REF!</v>
      </c>
      <c r="ET66" s="4" t="e">
        <f t="shared" si="243"/>
        <v>#REF!</v>
      </c>
      <c r="EV66" s="4" t="e">
        <f t="shared" si="199"/>
        <v>#REF!</v>
      </c>
      <c r="FA66" s="23" t="e">
        <f t="shared" si="277"/>
        <v>#REF!</v>
      </c>
      <c r="FB66" s="23" t="e">
        <f t="shared" si="278"/>
        <v>#REF!</v>
      </c>
      <c r="FC66" s="23">
        <f t="shared" ref="FC66:FC129" si="290">IF(CM66&lt;0.6,0.6,IF(CM66&lt;0.8,0.8,IF(CM66&lt;1,1,IF(CM66&lt;1.2,1.2,IF(CM66&lt;1.4,1.4,IF(CM66&lt;1.6,1.6,IF(CM66&lt;1.8,1.8,IF(CM66&lt;2,2,2.2))))))))</f>
        <v>1.6</v>
      </c>
      <c r="FD66" s="23" t="e">
        <f t="shared" si="279"/>
        <v>#REF!</v>
      </c>
      <c r="FE66" s="23" t="e">
        <f t="shared" si="280"/>
        <v>#REF!</v>
      </c>
      <c r="FF66" s="23" t="e">
        <f t="shared" si="281"/>
        <v>#REF!</v>
      </c>
      <c r="FG66" s="23" t="e">
        <f t="shared" si="282"/>
        <v>#REF!</v>
      </c>
      <c r="FH66" s="23"/>
      <c r="FR66" s="4">
        <f t="shared" si="140"/>
        <v>1</v>
      </c>
      <c r="FS66" s="4">
        <f t="shared" si="141"/>
        <v>1.0833333333333333</v>
      </c>
      <c r="FT66" s="4">
        <f t="shared" si="142"/>
        <v>0</v>
      </c>
      <c r="FU66" s="4">
        <f t="shared" si="143"/>
        <v>317.60067534926469</v>
      </c>
    </row>
    <row r="67" spans="2:179" ht="12" customHeight="1" x14ac:dyDescent="0.3">
      <c r="B67" s="24"/>
      <c r="C67" s="7" t="s">
        <v>276</v>
      </c>
      <c r="D67" s="7">
        <v>472</v>
      </c>
      <c r="E67" s="7">
        <f t="shared" si="264"/>
        <v>381</v>
      </c>
      <c r="F67" s="7">
        <v>21</v>
      </c>
      <c r="G67" s="7">
        <v>25.4</v>
      </c>
      <c r="H67" s="7">
        <f t="shared" si="200"/>
        <v>152.39999999999998</v>
      </c>
      <c r="I67" s="7">
        <f t="shared" si="160"/>
        <v>63.499999999999986</v>
      </c>
      <c r="J67" s="7">
        <f t="shared" si="201"/>
        <v>50.8</v>
      </c>
      <c r="K67" s="7">
        <v>0</v>
      </c>
      <c r="L67" s="7">
        <v>1</v>
      </c>
      <c r="M67" s="7">
        <f t="shared" si="202"/>
        <v>88.899999999999991</v>
      </c>
      <c r="N67" s="7">
        <f t="shared" si="161"/>
        <v>2.9999999999999996</v>
      </c>
      <c r="O67" s="7">
        <f t="shared" si="203"/>
        <v>4</v>
      </c>
      <c r="P67" s="7">
        <v>2.8</v>
      </c>
      <c r="Q67" s="7">
        <f t="shared" si="227"/>
        <v>2.8</v>
      </c>
      <c r="R67" s="7">
        <f t="shared" si="162"/>
        <v>3.8</v>
      </c>
      <c r="S67" s="7">
        <f t="shared" si="163"/>
        <v>49.513715271629529</v>
      </c>
      <c r="T67" s="7"/>
      <c r="U67" s="7"/>
      <c r="V67" s="7">
        <v>413</v>
      </c>
      <c r="W67" s="7"/>
      <c r="X67" s="7"/>
      <c r="Y67" s="7"/>
      <c r="Z67" s="7"/>
      <c r="AA67" s="7">
        <v>1</v>
      </c>
      <c r="AB67" s="7"/>
      <c r="AC67" s="7"/>
      <c r="AD67" s="7"/>
      <c r="AE67" s="4">
        <f t="shared" si="252"/>
        <v>381</v>
      </c>
      <c r="AF67" s="44">
        <f t="shared" si="204"/>
        <v>5.9259259259259248E-2</v>
      </c>
      <c r="AG67" s="25">
        <f t="shared" si="164"/>
        <v>672.57356899470892</v>
      </c>
      <c r="AH67" s="4">
        <f t="shared" si="165"/>
        <v>0.74</v>
      </c>
      <c r="AI67" s="4">
        <v>1.25</v>
      </c>
      <c r="AJ67" s="25">
        <f t="shared" si="146"/>
        <v>5</v>
      </c>
      <c r="AK67" s="38">
        <f t="shared" si="205"/>
        <v>184.3349781689202</v>
      </c>
      <c r="AL67" s="38">
        <f t="shared" si="148"/>
        <v>184.3349781689202</v>
      </c>
      <c r="AN67" s="38">
        <f t="shared" si="158"/>
        <v>184.33497816892</v>
      </c>
      <c r="AO67" s="38">
        <f t="shared" si="87"/>
        <v>1.0000000000000011</v>
      </c>
      <c r="AP67" s="38">
        <f t="shared" si="206"/>
        <v>1.2962819425359629</v>
      </c>
      <c r="AQ67" s="4">
        <f t="shared" si="228"/>
        <v>0</v>
      </c>
      <c r="AR67" s="4" t="e">
        <f>#REF!/G67*F67^0.5/0.19</f>
        <v>#REF!</v>
      </c>
      <c r="AS67" s="4">
        <f t="shared" si="166"/>
        <v>1.1333333333333333</v>
      </c>
      <c r="AT67" s="38">
        <f t="shared" si="167"/>
        <v>238.95010357813194</v>
      </c>
      <c r="AU67" s="4">
        <f t="shared" si="168"/>
        <v>0.6080000000000001</v>
      </c>
      <c r="AV67" s="4" t="e">
        <f>AU67*D67*#REF!/(D67*G67/2.75/F67^0.5)</f>
        <v>#REF!</v>
      </c>
      <c r="AW67" s="4" t="e">
        <f t="shared" si="284"/>
        <v>#REF!</v>
      </c>
      <c r="AY67" s="36">
        <f t="shared" si="169"/>
        <v>1.1000000000000001</v>
      </c>
      <c r="AZ67" s="36" t="e">
        <f>(1.6*#REF!+22)*AY67*F67^0.5</f>
        <v>#REF!</v>
      </c>
      <c r="BE67" s="4">
        <f t="shared" si="170"/>
        <v>63.499999999999986</v>
      </c>
      <c r="BF67" s="4">
        <f t="shared" si="171"/>
        <v>63.499999999999986</v>
      </c>
      <c r="BG67" s="4">
        <f t="shared" si="172"/>
        <v>88.899999999999991</v>
      </c>
      <c r="BH67" s="4">
        <f t="shared" si="173"/>
        <v>76.199999999999989</v>
      </c>
      <c r="BI67" s="4">
        <f t="shared" si="229"/>
        <v>1.04</v>
      </c>
      <c r="BJ67" s="25">
        <f t="shared" si="174"/>
        <v>3.1199999999999997</v>
      </c>
      <c r="BL67" s="4">
        <f t="shared" si="175"/>
        <v>63.499999999999986</v>
      </c>
      <c r="BP67" s="9"/>
      <c r="BR67" s="9"/>
      <c r="BS67" s="9"/>
      <c r="BT67" s="9">
        <f t="shared" si="176"/>
        <v>50.8</v>
      </c>
      <c r="BU67" s="9">
        <f t="shared" si="177"/>
        <v>63.499999999999986</v>
      </c>
      <c r="BV67" s="9">
        <f t="shared" si="178"/>
        <v>1.4623505735569622</v>
      </c>
      <c r="BW67" s="9">
        <v>0</v>
      </c>
      <c r="BX67" s="9">
        <f t="shared" si="179"/>
        <v>0</v>
      </c>
      <c r="BY67" s="9">
        <f t="shared" si="208"/>
        <v>0</v>
      </c>
      <c r="BZ67" s="9">
        <f t="shared" si="180"/>
        <v>0.99524931562137331</v>
      </c>
      <c r="CA67" s="9">
        <f t="shared" si="181"/>
        <v>1.056</v>
      </c>
      <c r="CB67" s="9">
        <f t="shared" si="182"/>
        <v>1.6856736478198622</v>
      </c>
      <c r="CC67" s="9">
        <f t="shared" si="183"/>
        <v>2.465045825719232</v>
      </c>
      <c r="CD67" s="9">
        <v>1</v>
      </c>
      <c r="CE67" s="9" t="e">
        <f>4*CC67*#REF!+60*CC67</f>
        <v>#REF!</v>
      </c>
      <c r="CG67" s="4" t="e">
        <f t="shared" si="265"/>
        <v>#REF!</v>
      </c>
      <c r="CH67" s="4" t="e">
        <f t="shared" si="266"/>
        <v>#REF!</v>
      </c>
      <c r="CI67" s="4" t="e">
        <f t="shared" si="267"/>
        <v>#REF!</v>
      </c>
      <c r="CJ67" s="4" t="e">
        <f t="shared" si="268"/>
        <v>#REF!</v>
      </c>
      <c r="CK67" s="4" t="e">
        <f t="shared" si="269"/>
        <v>#REF!</v>
      </c>
      <c r="CL67" s="4" t="e">
        <f t="shared" si="270"/>
        <v>#REF!</v>
      </c>
      <c r="CM67" s="4">
        <f t="shared" si="215"/>
        <v>1.3973439488284463</v>
      </c>
      <c r="CO67" s="4" t="e">
        <f t="shared" si="271"/>
        <v>#REF!</v>
      </c>
      <c r="CP67" s="4" t="e">
        <f t="shared" si="272"/>
        <v>#REF!</v>
      </c>
      <c r="CQ67" s="4" t="e">
        <f t="shared" si="273"/>
        <v>#REF!</v>
      </c>
      <c r="CR67" s="4">
        <f t="shared" si="274"/>
        <v>1.3973439488284463</v>
      </c>
      <c r="CS67" s="4" t="e">
        <f t="shared" si="275"/>
        <v>#REF!</v>
      </c>
      <c r="CT67" s="4" t="e">
        <f t="shared" si="276"/>
        <v>#REF!</v>
      </c>
      <c r="DB67" s="4">
        <f t="shared" si="232"/>
        <v>0</v>
      </c>
      <c r="DC67" s="4">
        <f t="shared" si="184"/>
        <v>381</v>
      </c>
      <c r="DD67" s="4" t="e">
        <f>#REF!/E67</f>
        <v>#REF!</v>
      </c>
      <c r="DF67" s="4">
        <f t="shared" si="185"/>
        <v>2.5033311258542346E-5</v>
      </c>
      <c r="DG67" s="4">
        <f t="shared" si="233"/>
        <v>5.7900347857029448</v>
      </c>
      <c r="DH67" s="4">
        <f t="shared" si="221"/>
        <v>0.60398036102450769</v>
      </c>
      <c r="DI67" s="4">
        <f t="shared" si="149"/>
        <v>4.7324964827341036</v>
      </c>
      <c r="DJ67" s="4">
        <f t="shared" si="150"/>
        <v>5.2877966555582434</v>
      </c>
      <c r="DK67" s="4">
        <f t="shared" si="186"/>
        <v>5.2869970450842949</v>
      </c>
      <c r="DL67" s="38" t="e">
        <f t="shared" si="187"/>
        <v>#REF!</v>
      </c>
      <c r="DM67" s="4" t="e">
        <f t="shared" si="151"/>
        <v>#REF!</v>
      </c>
      <c r="DN67" s="4">
        <f t="shared" si="222"/>
        <v>1.9493588689617927</v>
      </c>
      <c r="DO67" s="4">
        <f t="shared" si="152"/>
        <v>184.33497816892</v>
      </c>
      <c r="DS67" s="4">
        <f t="shared" si="188"/>
        <v>0.85</v>
      </c>
      <c r="DT67" s="4">
        <f t="shared" si="189"/>
        <v>0.85000000000000009</v>
      </c>
      <c r="DU67" s="4">
        <f t="shared" si="190"/>
        <v>1</v>
      </c>
      <c r="DV67" s="4">
        <f t="shared" si="223"/>
        <v>0.85000000000000009</v>
      </c>
      <c r="DX67" s="4" t="e">
        <f t="shared" si="191"/>
        <v>#REF!</v>
      </c>
      <c r="DY67" s="25">
        <f t="shared" si="192"/>
        <v>181.80779675423688</v>
      </c>
      <c r="EA67" s="4">
        <f t="shared" si="224"/>
        <v>0.72250000000000003</v>
      </c>
      <c r="EB67" s="4">
        <f t="shared" si="159"/>
        <v>5.7900347857029448</v>
      </c>
      <c r="EC67" s="4">
        <f t="shared" si="193"/>
        <v>5.2207585655726314</v>
      </c>
      <c r="EE67" s="4">
        <f t="shared" si="194"/>
        <v>49.513715271629529</v>
      </c>
      <c r="EF67" s="4">
        <f t="shared" si="235"/>
        <v>1.9493588689617927</v>
      </c>
      <c r="EG67" s="4">
        <f t="shared" si="195"/>
        <v>0.15134487887745141</v>
      </c>
      <c r="EJ67" s="4">
        <f t="shared" si="263"/>
        <v>0.15134487887745141</v>
      </c>
      <c r="EK67" s="4">
        <f t="shared" si="196"/>
        <v>0.60297243036859505</v>
      </c>
      <c r="EL67" s="4">
        <f t="shared" si="237"/>
        <v>4.7293358379143973</v>
      </c>
      <c r="EM67" s="4">
        <f>EB67/1.4*(1-EK67^1.4)/(1-EK67)</f>
        <v>5.2863829082527172</v>
      </c>
      <c r="EN67" s="4">
        <f t="shared" si="239"/>
        <v>236.23628472837046</v>
      </c>
      <c r="EO67" s="4">
        <f t="shared" si="240"/>
        <v>95.250000000000028</v>
      </c>
      <c r="EP67" s="4">
        <f t="shared" si="197"/>
        <v>2.503331125854235E-5</v>
      </c>
      <c r="EQ67" s="4">
        <f>MAX(0.5*EB67, (1-2*EP67*(EE67*EL67+EN67*EM67))/(1/EB67+EP67*EO67))</f>
        <v>5.2871372910454193</v>
      </c>
      <c r="ER67" s="4" t="e">
        <f t="shared" si="198"/>
        <v>#REF!</v>
      </c>
      <c r="ES67" s="4" t="e">
        <f t="shared" si="242"/>
        <v>#REF!</v>
      </c>
      <c r="ET67" s="4" t="e">
        <f t="shared" si="243"/>
        <v>#REF!</v>
      </c>
      <c r="EV67" s="4" t="e">
        <f t="shared" si="199"/>
        <v>#REF!</v>
      </c>
      <c r="FA67" s="23" t="e">
        <f t="shared" si="277"/>
        <v>#REF!</v>
      </c>
      <c r="FB67" s="23" t="e">
        <f t="shared" si="278"/>
        <v>#REF!</v>
      </c>
      <c r="FC67" s="23">
        <f t="shared" si="290"/>
        <v>1.4</v>
      </c>
      <c r="FD67" s="23" t="e">
        <f t="shared" si="279"/>
        <v>#REF!</v>
      </c>
      <c r="FE67" s="23" t="e">
        <f t="shared" si="280"/>
        <v>#REF!</v>
      </c>
      <c r="FF67" s="23" t="e">
        <f t="shared" si="281"/>
        <v>#REF!</v>
      </c>
      <c r="FG67" s="23" t="e">
        <f t="shared" si="282"/>
        <v>#REF!</v>
      </c>
      <c r="FH67" s="23"/>
      <c r="FR67" s="4">
        <f t="shared" si="140"/>
        <v>1</v>
      </c>
      <c r="FS67" s="4">
        <f t="shared" si="141"/>
        <v>1.0833333333333333</v>
      </c>
      <c r="FT67" s="4">
        <f t="shared" si="142"/>
        <v>0</v>
      </c>
      <c r="FU67" s="4">
        <f t="shared" si="143"/>
        <v>295.56073173413409</v>
      </c>
    </row>
    <row r="68" spans="2:179" ht="12" customHeight="1" x14ac:dyDescent="0.3">
      <c r="B68" s="24"/>
      <c r="C68" s="7" t="s">
        <v>277</v>
      </c>
      <c r="D68" s="7">
        <v>472</v>
      </c>
      <c r="E68" s="7">
        <f t="shared" si="264"/>
        <v>381</v>
      </c>
      <c r="F68" s="7">
        <v>27</v>
      </c>
      <c r="G68" s="7">
        <v>25.4</v>
      </c>
      <c r="H68" s="7">
        <f t="shared" si="200"/>
        <v>152.39999999999998</v>
      </c>
      <c r="I68" s="7">
        <f t="shared" si="160"/>
        <v>63.499999999999986</v>
      </c>
      <c r="J68" s="7">
        <f t="shared" si="201"/>
        <v>50.8</v>
      </c>
      <c r="K68" s="7">
        <v>0</v>
      </c>
      <c r="L68" s="7">
        <v>1</v>
      </c>
      <c r="M68" s="7">
        <f t="shared" si="202"/>
        <v>88.899999999999991</v>
      </c>
      <c r="N68" s="7">
        <f t="shared" si="161"/>
        <v>2.9999999999999996</v>
      </c>
      <c r="O68" s="7">
        <f t="shared" si="203"/>
        <v>4</v>
      </c>
      <c r="P68" s="7">
        <v>2.8</v>
      </c>
      <c r="Q68" s="7">
        <f t="shared" si="227"/>
        <v>2.8</v>
      </c>
      <c r="R68" s="7">
        <f t="shared" si="162"/>
        <v>3.8</v>
      </c>
      <c r="S68" s="7">
        <f t="shared" si="163"/>
        <v>49.513715271629529</v>
      </c>
      <c r="T68" s="7"/>
      <c r="U68" s="7"/>
      <c r="V68" s="7">
        <v>458</v>
      </c>
      <c r="W68" s="7"/>
      <c r="X68" s="7"/>
      <c r="Y68" s="7"/>
      <c r="Z68" s="7"/>
      <c r="AA68" s="7">
        <v>1</v>
      </c>
      <c r="AB68" s="7"/>
      <c r="AC68" s="7"/>
      <c r="AD68" s="7"/>
      <c r="AE68" s="4">
        <f t="shared" si="252"/>
        <v>381</v>
      </c>
      <c r="AF68" s="44">
        <f t="shared" si="204"/>
        <v>5.9259259259259248E-2</v>
      </c>
      <c r="AG68" s="25">
        <f t="shared" si="164"/>
        <v>762.62674369506078</v>
      </c>
      <c r="AH68" s="4">
        <f t="shared" si="165"/>
        <v>0.74</v>
      </c>
      <c r="AI68" s="4">
        <v>1.25</v>
      </c>
      <c r="AJ68" s="25">
        <f t="shared" si="146"/>
        <v>5</v>
      </c>
      <c r="AK68" s="38">
        <f t="shared" si="205"/>
        <v>209.01621864234997</v>
      </c>
      <c r="AL68" s="38">
        <f t="shared" si="148"/>
        <v>209.01621864234997</v>
      </c>
      <c r="AN68" s="38">
        <f t="shared" si="158"/>
        <v>209.0162186423498</v>
      </c>
      <c r="AO68" s="38">
        <f t="shared" si="87"/>
        <v>1.0000000000000009</v>
      </c>
      <c r="AP68" s="38">
        <f t="shared" si="206"/>
        <v>1.4698455638459473</v>
      </c>
      <c r="AQ68" s="4">
        <f t="shared" si="228"/>
        <v>0</v>
      </c>
      <c r="AR68" s="4" t="e">
        <f>#REF!/G68*F68^0.5/0.19</f>
        <v>#REF!</v>
      </c>
      <c r="AS68" s="4">
        <f t="shared" si="166"/>
        <v>1.1333333333333333</v>
      </c>
      <c r="AT68" s="38">
        <f t="shared" si="167"/>
        <v>307.22156174331246</v>
      </c>
      <c r="AU68" s="4">
        <f t="shared" si="168"/>
        <v>0.6080000000000001</v>
      </c>
      <c r="AV68" s="4" t="e">
        <f>AU68*D68*#REF!/(D68*G68/2.75/F68^0.5)</f>
        <v>#REF!</v>
      </c>
      <c r="AW68" s="4" t="e">
        <f t="shared" si="284"/>
        <v>#REF!</v>
      </c>
      <c r="AY68" s="36">
        <f t="shared" si="169"/>
        <v>1.1000000000000001</v>
      </c>
      <c r="AZ68" s="36" t="e">
        <f>(1.6*#REF!+22)*AY68*F68^0.5</f>
        <v>#REF!</v>
      </c>
      <c r="BE68" s="4">
        <f t="shared" si="170"/>
        <v>63.499999999999986</v>
      </c>
      <c r="BF68" s="4">
        <f t="shared" si="171"/>
        <v>63.499999999999986</v>
      </c>
      <c r="BG68" s="4">
        <f t="shared" si="172"/>
        <v>88.899999999999991</v>
      </c>
      <c r="BH68" s="4">
        <f t="shared" si="173"/>
        <v>76.199999999999989</v>
      </c>
      <c r="BI68" s="4">
        <f t="shared" si="229"/>
        <v>1.04</v>
      </c>
      <c r="BJ68" s="25">
        <f t="shared" si="174"/>
        <v>3.1199999999999997</v>
      </c>
      <c r="BL68" s="4">
        <f t="shared" si="175"/>
        <v>63.499999999999986</v>
      </c>
      <c r="BP68" s="9"/>
      <c r="BR68" s="9"/>
      <c r="BS68" s="9"/>
      <c r="BT68" s="9">
        <f t="shared" si="176"/>
        <v>50.8</v>
      </c>
      <c r="BU68" s="9">
        <f t="shared" si="177"/>
        <v>63.499999999999986</v>
      </c>
      <c r="BV68" s="9">
        <f t="shared" si="178"/>
        <v>1.4623505735569622</v>
      </c>
      <c r="BW68" s="9">
        <v>0</v>
      </c>
      <c r="BX68" s="9">
        <f t="shared" si="179"/>
        <v>0</v>
      </c>
      <c r="BY68" s="9">
        <f t="shared" si="208"/>
        <v>0</v>
      </c>
      <c r="BZ68" s="9">
        <f t="shared" si="180"/>
        <v>0.99524931562137331</v>
      </c>
      <c r="CA68" s="9">
        <f t="shared" si="181"/>
        <v>1.056</v>
      </c>
      <c r="CB68" s="9">
        <f t="shared" si="182"/>
        <v>1.911374255891328</v>
      </c>
      <c r="CC68" s="9">
        <f t="shared" si="183"/>
        <v>2.7950992393846952</v>
      </c>
      <c r="CD68" s="9">
        <v>1</v>
      </c>
      <c r="CE68" s="9" t="e">
        <f>4*CC68*#REF!+60*CC68</f>
        <v>#REF!</v>
      </c>
      <c r="CG68" s="4" t="e">
        <f t="shared" si="265"/>
        <v>#REF!</v>
      </c>
      <c r="CH68" s="4" t="e">
        <f t="shared" si="266"/>
        <v>#REF!</v>
      </c>
      <c r="CI68" s="4" t="e">
        <f t="shared" si="267"/>
        <v>#REF!</v>
      </c>
      <c r="CJ68" s="4" t="e">
        <f t="shared" si="268"/>
        <v>#REF!</v>
      </c>
      <c r="CK68" s="4" t="e">
        <f t="shared" si="269"/>
        <v>#REF!</v>
      </c>
      <c r="CL68" s="4" t="e">
        <f t="shared" si="270"/>
        <v>#REF!</v>
      </c>
      <c r="CM68" s="4">
        <f t="shared" si="215"/>
        <v>1.4552333115825267</v>
      </c>
      <c r="CO68" s="4" t="e">
        <f t="shared" si="271"/>
        <v>#REF!</v>
      </c>
      <c r="CP68" s="4" t="e">
        <f t="shared" si="272"/>
        <v>#REF!</v>
      </c>
      <c r="CQ68" s="4" t="e">
        <f t="shared" si="273"/>
        <v>#REF!</v>
      </c>
      <c r="CR68" s="4">
        <f t="shared" si="274"/>
        <v>1.4552333115825267</v>
      </c>
      <c r="CS68" s="4" t="e">
        <f t="shared" si="275"/>
        <v>#REF!</v>
      </c>
      <c r="CT68" s="4" t="e">
        <f t="shared" si="276"/>
        <v>#REF!</v>
      </c>
      <c r="DB68" s="4">
        <f t="shared" si="232"/>
        <v>0</v>
      </c>
      <c r="DC68" s="4">
        <f t="shared" si="184"/>
        <v>381</v>
      </c>
      <c r="DD68" s="4" t="e">
        <f>#REF!/E68</f>
        <v>#REF!</v>
      </c>
      <c r="DF68" s="4">
        <f t="shared" si="185"/>
        <v>2.6209296574030622E-5</v>
      </c>
      <c r="DG68" s="4">
        <f t="shared" si="233"/>
        <v>6.5652823394499222</v>
      </c>
      <c r="DH68" s="4">
        <f t="shared" si="221"/>
        <v>0.5326606106792855</v>
      </c>
      <c r="DI68" s="4">
        <f t="shared" si="149"/>
        <v>5.103094851813764</v>
      </c>
      <c r="DJ68" s="4">
        <f t="shared" si="150"/>
        <v>5.8798882220115054</v>
      </c>
      <c r="DK68" s="4">
        <f t="shared" si="186"/>
        <v>5.9035395914032618</v>
      </c>
      <c r="DL68" s="38" t="e">
        <f t="shared" si="187"/>
        <v>#REF!</v>
      </c>
      <c r="DM68" s="4" t="e">
        <f t="shared" si="151"/>
        <v>#REF!</v>
      </c>
      <c r="DN68" s="4">
        <f t="shared" si="222"/>
        <v>1.9493588689617927</v>
      </c>
      <c r="DO68" s="4">
        <f t="shared" si="152"/>
        <v>209.0162186423498</v>
      </c>
      <c r="DS68" s="4">
        <f t="shared" si="188"/>
        <v>0.85</v>
      </c>
      <c r="DT68" s="4">
        <f t="shared" si="189"/>
        <v>0.85000000000000009</v>
      </c>
      <c r="DU68" s="4">
        <f t="shared" si="190"/>
        <v>1</v>
      </c>
      <c r="DV68" s="4">
        <f t="shared" si="223"/>
        <v>0.85000000000000009</v>
      </c>
      <c r="DX68" s="4" t="e">
        <f t="shared" si="191"/>
        <v>#REF!</v>
      </c>
      <c r="DY68" s="25">
        <f t="shared" si="192"/>
        <v>206.15066426755152</v>
      </c>
      <c r="EA68" s="4">
        <f t="shared" si="224"/>
        <v>0.72250000000000003</v>
      </c>
      <c r="EB68" s="4">
        <f t="shared" si="159"/>
        <v>6.5652823394499222</v>
      </c>
      <c r="EC68" s="4">
        <f t="shared" si="193"/>
        <v>5.9197837798352051</v>
      </c>
      <c r="EE68" s="4">
        <f t="shared" si="194"/>
        <v>49.513715271629529</v>
      </c>
      <c r="EF68" s="4">
        <f t="shared" si="235"/>
        <v>1.9493588689617927</v>
      </c>
      <c r="EG68" s="4">
        <f t="shared" si="195"/>
        <v>0.15134487887745141</v>
      </c>
      <c r="EJ68" s="4">
        <f t="shared" si="263"/>
        <v>0.15134487887745141</v>
      </c>
      <c r="EK68" s="4">
        <f t="shared" si="196"/>
        <v>0.5317716993945043</v>
      </c>
      <c r="EL68" s="4">
        <f t="shared" si="237"/>
        <v>5.0996866991893075</v>
      </c>
      <c r="EM68" s="4">
        <f>EB68/1.4*(1-EK68^1.4)/(1-EK68)</f>
        <v>5.8784102786418222</v>
      </c>
      <c r="EN68" s="4">
        <f t="shared" si="239"/>
        <v>236.23628472837046</v>
      </c>
      <c r="EO68" s="4">
        <f t="shared" si="240"/>
        <v>95.250000000000028</v>
      </c>
      <c r="EP68" s="4">
        <f t="shared" si="197"/>
        <v>2.6209296574030629E-5</v>
      </c>
      <c r="EQ68" s="4">
        <f>MAX(0.5*EB68, (1-2*EP68*(EE68*EL68+EN68*EM68))/(1/EB68+EP68*EO68))</f>
        <v>5.9037149469361943</v>
      </c>
      <c r="ER68" s="4" t="e">
        <f t="shared" si="198"/>
        <v>#REF!</v>
      </c>
      <c r="ES68" s="4" t="e">
        <f t="shared" si="242"/>
        <v>#REF!</v>
      </c>
      <c r="ET68" s="4" t="e">
        <f t="shared" si="243"/>
        <v>#REF!</v>
      </c>
      <c r="EV68" s="4" t="e">
        <f t="shared" si="199"/>
        <v>#REF!</v>
      </c>
      <c r="FA68" s="23" t="e">
        <f t="shared" si="277"/>
        <v>#REF!</v>
      </c>
      <c r="FB68" s="23" t="e">
        <f t="shared" si="278"/>
        <v>#REF!</v>
      </c>
      <c r="FC68" s="23">
        <f t="shared" si="290"/>
        <v>1.6</v>
      </c>
      <c r="FD68" s="23" t="e">
        <f t="shared" si="279"/>
        <v>#REF!</v>
      </c>
      <c r="FE68" s="23" t="e">
        <f t="shared" si="280"/>
        <v>#REF!</v>
      </c>
      <c r="FF68" s="23" t="e">
        <f t="shared" si="281"/>
        <v>#REF!</v>
      </c>
      <c r="FG68" s="23" t="e">
        <f t="shared" si="282"/>
        <v>#REF!</v>
      </c>
      <c r="FH68" s="23"/>
      <c r="FR68" s="4">
        <f t="shared" si="140"/>
        <v>1</v>
      </c>
      <c r="FS68" s="4">
        <f t="shared" si="141"/>
        <v>1.0833333333333333</v>
      </c>
      <c r="FT68" s="4">
        <f t="shared" si="142"/>
        <v>0</v>
      </c>
      <c r="FU68" s="4">
        <f t="shared" si="143"/>
        <v>314.72616545723344</v>
      </c>
    </row>
    <row r="69" spans="2:179" ht="12" customHeight="1" x14ac:dyDescent="0.3">
      <c r="B69" s="24"/>
      <c r="C69" s="7" t="s">
        <v>278</v>
      </c>
      <c r="D69" s="7">
        <v>472</v>
      </c>
      <c r="E69" s="7">
        <f t="shared" si="264"/>
        <v>381</v>
      </c>
      <c r="F69" s="7">
        <v>28</v>
      </c>
      <c r="G69" s="7">
        <v>25.4</v>
      </c>
      <c r="H69" s="7">
        <f t="shared" si="200"/>
        <v>152.39999999999998</v>
      </c>
      <c r="I69" s="7">
        <f t="shared" si="160"/>
        <v>63.499999999999986</v>
      </c>
      <c r="J69" s="7">
        <f t="shared" si="201"/>
        <v>50.8</v>
      </c>
      <c r="K69" s="7">
        <v>0</v>
      </c>
      <c r="L69" s="7">
        <v>1</v>
      </c>
      <c r="M69" s="7">
        <f t="shared" si="202"/>
        <v>88.899999999999991</v>
      </c>
      <c r="N69" s="7">
        <f t="shared" si="161"/>
        <v>2.9999999999999996</v>
      </c>
      <c r="O69" s="7">
        <f t="shared" si="203"/>
        <v>4</v>
      </c>
      <c r="P69" s="7">
        <v>4.04</v>
      </c>
      <c r="Q69" s="7">
        <f t="shared" si="227"/>
        <v>4.04</v>
      </c>
      <c r="R69" s="7">
        <f t="shared" si="162"/>
        <v>5.04</v>
      </c>
      <c r="S69" s="7">
        <f t="shared" si="163"/>
        <v>57.022858574434863</v>
      </c>
      <c r="T69" s="7"/>
      <c r="U69" s="7"/>
      <c r="V69" s="7">
        <v>421</v>
      </c>
      <c r="W69" s="7"/>
      <c r="X69" s="7"/>
      <c r="Y69" s="7"/>
      <c r="Z69" s="7"/>
      <c r="AA69" s="7">
        <v>1</v>
      </c>
      <c r="AB69" s="7"/>
      <c r="AC69" s="7"/>
      <c r="AD69" s="7"/>
      <c r="AE69" s="4">
        <f t="shared" si="252"/>
        <v>381</v>
      </c>
      <c r="AF69" s="44">
        <f t="shared" si="204"/>
        <v>5.9259259259259248E-2</v>
      </c>
      <c r="AG69" s="25">
        <f t="shared" si="164"/>
        <v>776.62106221784506</v>
      </c>
      <c r="AH69" s="4">
        <f t="shared" si="165"/>
        <v>0.74</v>
      </c>
      <c r="AI69" s="4">
        <v>1.25</v>
      </c>
      <c r="AJ69" s="25">
        <f t="shared" si="146"/>
        <v>5</v>
      </c>
      <c r="AK69" s="38">
        <f t="shared" si="205"/>
        <v>212.85169853377971</v>
      </c>
      <c r="AL69" s="38">
        <f t="shared" si="148"/>
        <v>212.85169853377971</v>
      </c>
      <c r="AN69" s="38">
        <f t="shared" si="158"/>
        <v>212.85169853377948</v>
      </c>
      <c r="AO69" s="38">
        <f t="shared" si="87"/>
        <v>1.0000000000000011</v>
      </c>
      <c r="AP69" s="38">
        <f t="shared" si="206"/>
        <v>1.7979619908532192</v>
      </c>
      <c r="AQ69" s="4">
        <f t="shared" si="228"/>
        <v>0</v>
      </c>
      <c r="AR69" s="4" t="e">
        <f>#REF!/G69*F69^0.5/0.19</f>
        <v>#REF!</v>
      </c>
      <c r="AS69" s="4">
        <f t="shared" si="166"/>
        <v>1.1333333333333333</v>
      </c>
      <c r="AT69" s="38">
        <f t="shared" si="167"/>
        <v>382.69926365228338</v>
      </c>
      <c r="AU69" s="4">
        <f t="shared" si="168"/>
        <v>0.43440000000000001</v>
      </c>
      <c r="AV69" s="4" t="e">
        <f>AU69*D69*#REF!/(D69*G69/2.75/F69^0.5)</f>
        <v>#REF!</v>
      </c>
      <c r="AW69" s="4" t="e">
        <f t="shared" si="284"/>
        <v>#REF!</v>
      </c>
      <c r="AY69" s="36">
        <f t="shared" si="169"/>
        <v>1.1000000000000001</v>
      </c>
      <c r="AZ69" s="36" t="e">
        <f>(1.6*#REF!+22)*AY69*F69^0.5</f>
        <v>#REF!</v>
      </c>
      <c r="BE69" s="4">
        <f t="shared" si="170"/>
        <v>63.499999999999986</v>
      </c>
      <c r="BF69" s="4">
        <f t="shared" si="171"/>
        <v>63.499999999999986</v>
      </c>
      <c r="BG69" s="4">
        <f t="shared" si="172"/>
        <v>88.899999999999991</v>
      </c>
      <c r="BH69" s="4">
        <f t="shared" si="173"/>
        <v>76.199999999999989</v>
      </c>
      <c r="BI69" s="4">
        <f t="shared" si="229"/>
        <v>1.04</v>
      </c>
      <c r="BJ69" s="25">
        <f t="shared" si="174"/>
        <v>3.1199999999999997</v>
      </c>
      <c r="BL69" s="4">
        <f t="shared" si="175"/>
        <v>63.499999999999986</v>
      </c>
      <c r="BP69" s="9"/>
      <c r="BR69" s="9"/>
      <c r="BS69" s="9"/>
      <c r="BT69" s="9">
        <f t="shared" si="176"/>
        <v>50.8</v>
      </c>
      <c r="BU69" s="9">
        <f t="shared" si="177"/>
        <v>63.499999999999986</v>
      </c>
      <c r="BV69" s="9">
        <f t="shared" si="178"/>
        <v>1.4623505735569622</v>
      </c>
      <c r="BW69" s="9">
        <v>0</v>
      </c>
      <c r="BX69" s="9">
        <f t="shared" si="179"/>
        <v>0</v>
      </c>
      <c r="BY69" s="9">
        <f t="shared" ref="BY69" si="291">MAX(0,BW69*(BX69-0.5/50))</f>
        <v>0</v>
      </c>
      <c r="BZ69" s="9">
        <f t="shared" si="180"/>
        <v>0.99524931562137331</v>
      </c>
      <c r="CA69" s="9">
        <f t="shared" si="181"/>
        <v>1.056</v>
      </c>
      <c r="CB69" s="9">
        <f t="shared" si="182"/>
        <v>1.9464482686693119</v>
      </c>
      <c r="CC69" s="9">
        <f t="shared" si="183"/>
        <v>2.8463897420875242</v>
      </c>
      <c r="CD69" s="9">
        <v>1</v>
      </c>
      <c r="CE69" s="9" t="e">
        <f>4*CC69*#REF!+60*CC69</f>
        <v>#REF!</v>
      </c>
      <c r="CG69" s="4" t="e">
        <f t="shared" si="265"/>
        <v>#REF!</v>
      </c>
      <c r="CH69" s="4" t="e">
        <f t="shared" si="266"/>
        <v>#REF!</v>
      </c>
      <c r="CI69" s="4" t="e">
        <f t="shared" si="267"/>
        <v>#REF!</v>
      </c>
      <c r="CJ69" s="4" t="e">
        <f t="shared" si="268"/>
        <v>#REF!</v>
      </c>
      <c r="CK69" s="4" t="e">
        <f t="shared" si="269"/>
        <v>#REF!</v>
      </c>
      <c r="CL69" s="4" t="e">
        <f t="shared" si="270"/>
        <v>#REF!</v>
      </c>
      <c r="CM69" s="4">
        <f t="shared" si="215"/>
        <v>1.325563931931276</v>
      </c>
      <c r="CO69" s="4" t="e">
        <f t="shared" si="271"/>
        <v>#REF!</v>
      </c>
      <c r="CP69" s="4" t="e">
        <f t="shared" si="272"/>
        <v>#REF!</v>
      </c>
      <c r="CQ69" s="4" t="e">
        <f t="shared" si="273"/>
        <v>#REF!</v>
      </c>
      <c r="CR69" s="4">
        <f t="shared" si="274"/>
        <v>1.325563931931276</v>
      </c>
      <c r="CS69" s="4" t="e">
        <f t="shared" si="275"/>
        <v>#REF!</v>
      </c>
      <c r="CT69" s="4" t="e">
        <f t="shared" si="276"/>
        <v>#REF!</v>
      </c>
      <c r="DB69" s="4">
        <f t="shared" si="232"/>
        <v>0</v>
      </c>
      <c r="DC69" s="4">
        <f t="shared" si="184"/>
        <v>381</v>
      </c>
      <c r="DD69" s="4" t="e">
        <f>#REF!/E69</f>
        <v>#REF!</v>
      </c>
      <c r="DF69" s="4">
        <f t="shared" si="185"/>
        <v>2.6402037423385414E-5</v>
      </c>
      <c r="DG69" s="4">
        <f t="shared" si="233"/>
        <v>6.6857562842857838</v>
      </c>
      <c r="DH69" s="4">
        <f t="shared" si="221"/>
        <v>0.41749721733539918</v>
      </c>
      <c r="DI69" s="4">
        <f t="shared" si="149"/>
        <v>4.7142431131926301</v>
      </c>
      <c r="DJ69" s="4">
        <f t="shared" si="150"/>
        <v>5.7848563659647452</v>
      </c>
      <c r="DK69" s="4">
        <f t="shared" si="186"/>
        <v>6.0224760215150344</v>
      </c>
      <c r="DL69" s="38" t="e">
        <f t="shared" si="187"/>
        <v>#REF!</v>
      </c>
      <c r="DM69" s="4" t="e">
        <f t="shared" si="151"/>
        <v>#REF!</v>
      </c>
      <c r="DN69" s="4">
        <f t="shared" si="222"/>
        <v>2.2449944320643649</v>
      </c>
      <c r="DO69" s="4">
        <f t="shared" si="152"/>
        <v>212.85169853377948</v>
      </c>
      <c r="DS69" s="4">
        <f t="shared" si="188"/>
        <v>0.85</v>
      </c>
      <c r="DT69" s="4">
        <f t="shared" si="189"/>
        <v>0.85000000000000009</v>
      </c>
      <c r="DU69" s="4">
        <f t="shared" si="190"/>
        <v>1</v>
      </c>
      <c r="DV69" s="4">
        <f t="shared" ref="DV69" si="292">IF(DT69*DU69&lt;0.7,0.7,DT69*DU69)</f>
        <v>0.85000000000000009</v>
      </c>
      <c r="DX69" s="4" t="e">
        <f t="shared" si="191"/>
        <v>#REF!</v>
      </c>
      <c r="DY69" s="25">
        <f t="shared" si="192"/>
        <v>209.93356079366291</v>
      </c>
      <c r="EA69" s="4">
        <f t="shared" si="224"/>
        <v>0.72250000000000003</v>
      </c>
      <c r="EB69" s="4">
        <f t="shared" si="159"/>
        <v>6.6857562842857838</v>
      </c>
      <c r="EC69" s="4">
        <f t="shared" si="193"/>
        <v>6.028412726414806</v>
      </c>
      <c r="EE69" s="4">
        <f t="shared" si="194"/>
        <v>57.022858574434863</v>
      </c>
      <c r="EF69" s="4">
        <f t="shared" si="235"/>
        <v>2.2449944320643649</v>
      </c>
      <c r="EG69" s="4">
        <f t="shared" si="195"/>
        <v>0.12080025923559758</v>
      </c>
      <c r="EJ69" s="4">
        <f t="shared" ref="EJ69" si="293">EG69</f>
        <v>0.12080025923559758</v>
      </c>
      <c r="EK69" s="4">
        <f t="shared" si="196"/>
        <v>0.41680049229057015</v>
      </c>
      <c r="EL69" s="4">
        <f t="shared" si="237"/>
        <v>4.7110946590672214</v>
      </c>
      <c r="EM69" s="4">
        <f t="shared" ref="EM69" si="294">EB69/1.4*(1-EK69^1.4)/(1-EK69)</f>
        <v>5.7835754669295278</v>
      </c>
      <c r="EN69" s="4">
        <f t="shared" si="239"/>
        <v>228.72714142556515</v>
      </c>
      <c r="EO69" s="4">
        <f t="shared" si="240"/>
        <v>95.25</v>
      </c>
      <c r="EP69" s="4">
        <f t="shared" si="197"/>
        <v>2.6402037423385414E-5</v>
      </c>
      <c r="EQ69" s="4">
        <f t="shared" ref="EQ69" si="295">MAX(0.5*EB69, (1-2*EP69*(EE69*EL69+EN69*EM69))/(1/EB69+EP69*EO69))</f>
        <v>6.0226400759500986</v>
      </c>
      <c r="ER69" s="4" t="e">
        <f t="shared" si="198"/>
        <v>#REF!</v>
      </c>
      <c r="ES69" s="4" t="e">
        <f t="shared" si="242"/>
        <v>#REF!</v>
      </c>
      <c r="ET69" s="4" t="e">
        <f t="shared" si="243"/>
        <v>#REF!</v>
      </c>
      <c r="EV69" s="4" t="e">
        <f t="shared" si="199"/>
        <v>#REF!</v>
      </c>
      <c r="FA69" s="23" t="e">
        <f t="shared" si="277"/>
        <v>#REF!</v>
      </c>
      <c r="FB69" s="23" t="e">
        <f t="shared" si="278"/>
        <v>#REF!</v>
      </c>
      <c r="FC69" s="23">
        <f t="shared" si="290"/>
        <v>1.4</v>
      </c>
      <c r="FD69" s="23" t="e">
        <f t="shared" si="279"/>
        <v>#REF!</v>
      </c>
      <c r="FE69" s="23" t="e">
        <f t="shared" si="280"/>
        <v>#REF!</v>
      </c>
      <c r="FF69" s="23" t="e">
        <f t="shared" si="281"/>
        <v>#REF!</v>
      </c>
      <c r="FG69" s="23" t="e">
        <f t="shared" si="282"/>
        <v>#REF!</v>
      </c>
      <c r="FH69" s="23"/>
      <c r="FR69" s="4">
        <f t="shared" si="140"/>
        <v>1</v>
      </c>
      <c r="FS69" s="4">
        <f t="shared" si="141"/>
        <v>1.0833333333333333</v>
      </c>
      <c r="FT69" s="4">
        <f t="shared" si="142"/>
        <v>0</v>
      </c>
      <c r="FU69" s="4">
        <f t="shared" si="143"/>
        <v>317.60067534926469</v>
      </c>
    </row>
    <row r="70" spans="2:179" ht="12" customHeight="1" x14ac:dyDescent="0.3">
      <c r="B70" s="24"/>
      <c r="C70" s="7" t="s">
        <v>279</v>
      </c>
      <c r="D70" s="7">
        <v>472</v>
      </c>
      <c r="E70" s="7">
        <f t="shared" si="264"/>
        <v>381</v>
      </c>
      <c r="F70" s="7">
        <v>21</v>
      </c>
      <c r="G70" s="7">
        <v>25.4</v>
      </c>
      <c r="H70" s="7">
        <f t="shared" si="200"/>
        <v>152.39999999999998</v>
      </c>
      <c r="I70" s="7">
        <f t="shared" si="160"/>
        <v>63.499999999999986</v>
      </c>
      <c r="J70" s="7">
        <f t="shared" si="201"/>
        <v>50.8</v>
      </c>
      <c r="K70" s="7">
        <v>0</v>
      </c>
      <c r="L70" s="7">
        <v>1</v>
      </c>
      <c r="M70" s="7">
        <f t="shared" si="202"/>
        <v>88.899999999999991</v>
      </c>
      <c r="N70" s="7">
        <f t="shared" si="161"/>
        <v>2.9999999999999996</v>
      </c>
      <c r="O70" s="7">
        <f t="shared" si="203"/>
        <v>4</v>
      </c>
      <c r="P70" s="7">
        <v>4.0599999999999996</v>
      </c>
      <c r="Q70" s="7">
        <f t="shared" si="227"/>
        <v>4.0599999999999996</v>
      </c>
      <c r="R70" s="7">
        <f t="shared" si="162"/>
        <v>5.0599999999999996</v>
      </c>
      <c r="S70" s="7">
        <f t="shared" si="163"/>
        <v>57.135887146346114</v>
      </c>
      <c r="T70" s="7"/>
      <c r="U70" s="7"/>
      <c r="V70" s="7">
        <v>459</v>
      </c>
      <c r="W70" s="7"/>
      <c r="X70" s="7"/>
      <c r="Y70" s="7"/>
      <c r="Z70" s="7"/>
      <c r="AA70" s="7">
        <v>1</v>
      </c>
      <c r="AB70" s="7"/>
      <c r="AC70" s="7"/>
      <c r="AD70" s="7"/>
      <c r="AE70" s="4">
        <f t="shared" si="252"/>
        <v>381</v>
      </c>
      <c r="AF70" s="44">
        <f t="shared" si="204"/>
        <v>5.9259259259259248E-2</v>
      </c>
      <c r="AG70" s="25">
        <f t="shared" si="164"/>
        <v>672.57356899470892</v>
      </c>
      <c r="AH70" s="4">
        <f t="shared" si="165"/>
        <v>0.74</v>
      </c>
      <c r="AI70" s="4">
        <v>1.25</v>
      </c>
      <c r="AJ70" s="25">
        <f t="shared" si="146"/>
        <v>5</v>
      </c>
      <c r="AK70" s="38">
        <f t="shared" si="205"/>
        <v>184.3349781689202</v>
      </c>
      <c r="AL70" s="38">
        <f t="shared" si="148"/>
        <v>184.3349781689202</v>
      </c>
      <c r="AN70" s="38">
        <f t="shared" si="158"/>
        <v>184.33497816892</v>
      </c>
      <c r="AO70" s="38">
        <f t="shared" si="87"/>
        <v>1.0000000000000011</v>
      </c>
      <c r="AP70" s="38">
        <f t="shared" si="206"/>
        <v>1.5609301611827398</v>
      </c>
      <c r="AQ70" s="4">
        <f t="shared" si="228"/>
        <v>0</v>
      </c>
      <c r="AR70" s="4" t="e">
        <f>#REF!/G70*F70^0.5/0.19</f>
        <v>#REF!</v>
      </c>
      <c r="AS70" s="4">
        <f t="shared" si="166"/>
        <v>1.1333333333333333</v>
      </c>
      <c r="AT70" s="38">
        <f t="shared" si="167"/>
        <v>287.73402718482913</v>
      </c>
      <c r="AU70" s="4">
        <f t="shared" si="168"/>
        <v>0.43160000000000009</v>
      </c>
      <c r="AV70" s="4" t="e">
        <f>AU70*D70*#REF!/(D70*G70/2.75/F70^0.5)</f>
        <v>#REF!</v>
      </c>
      <c r="AW70" s="4" t="e">
        <f t="shared" si="207"/>
        <v>#REF!</v>
      </c>
      <c r="AY70" s="36">
        <f t="shared" si="169"/>
        <v>1.1000000000000001</v>
      </c>
      <c r="AZ70" s="36" t="e">
        <f>(1.6*#REF!+22)*AY70*F70^0.5</f>
        <v>#REF!</v>
      </c>
      <c r="BE70" s="4">
        <f t="shared" si="170"/>
        <v>63.499999999999986</v>
      </c>
      <c r="BF70" s="4">
        <f t="shared" si="171"/>
        <v>63.499999999999986</v>
      </c>
      <c r="BG70" s="4">
        <f t="shared" si="172"/>
        <v>88.899999999999991</v>
      </c>
      <c r="BH70" s="4">
        <f t="shared" si="173"/>
        <v>76.199999999999989</v>
      </c>
      <c r="BI70" s="4">
        <f t="shared" si="229"/>
        <v>1.04</v>
      </c>
      <c r="BJ70" s="25">
        <f t="shared" si="174"/>
        <v>3.1199999999999997</v>
      </c>
      <c r="BL70" s="4">
        <f t="shared" si="175"/>
        <v>63.499999999999986</v>
      </c>
      <c r="BP70" s="9"/>
      <c r="BR70" s="9"/>
      <c r="BS70" s="9"/>
      <c r="BT70" s="9">
        <f t="shared" si="176"/>
        <v>50.8</v>
      </c>
      <c r="BU70" s="9">
        <f t="shared" si="177"/>
        <v>63.499999999999986</v>
      </c>
      <c r="BV70" s="9">
        <f t="shared" si="178"/>
        <v>1.4623505735569622</v>
      </c>
      <c r="BW70" s="9">
        <v>0</v>
      </c>
      <c r="BX70" s="9">
        <f t="shared" si="179"/>
        <v>0</v>
      </c>
      <c r="BY70" s="9">
        <f t="shared" si="208"/>
        <v>0</v>
      </c>
      <c r="BZ70" s="9">
        <f t="shared" si="180"/>
        <v>0.99524931562137331</v>
      </c>
      <c r="CA70" s="9">
        <f t="shared" si="181"/>
        <v>1.056</v>
      </c>
      <c r="CB70" s="9">
        <f t="shared" si="182"/>
        <v>1.6856736478198622</v>
      </c>
      <c r="CC70" s="9">
        <f t="shared" si="183"/>
        <v>2.465045825719232</v>
      </c>
      <c r="CD70" s="9">
        <v>1</v>
      </c>
      <c r="CE70" s="9" t="e">
        <f>4*CC70*#REF!+60*CC70</f>
        <v>#REF!</v>
      </c>
      <c r="CG70" s="4" t="e">
        <f t="shared" si="265"/>
        <v>#REF!</v>
      </c>
      <c r="CH70" s="4" t="e">
        <f t="shared" si="266"/>
        <v>#REF!</v>
      </c>
      <c r="CI70" s="4" t="e">
        <f t="shared" si="267"/>
        <v>#REF!</v>
      </c>
      <c r="CJ70" s="4" t="e">
        <f t="shared" si="268"/>
        <v>#REF!</v>
      </c>
      <c r="CK70" s="4" t="e">
        <f t="shared" si="269"/>
        <v>#REF!</v>
      </c>
      <c r="CL70" s="4" t="e">
        <f t="shared" si="270"/>
        <v>#REF!</v>
      </c>
      <c r="CM70" s="4">
        <f t="shared" si="215"/>
        <v>1.552980320852922</v>
      </c>
      <c r="CO70" s="4" t="e">
        <f t="shared" si="271"/>
        <v>#REF!</v>
      </c>
      <c r="CP70" s="4" t="e">
        <f t="shared" si="272"/>
        <v>#REF!</v>
      </c>
      <c r="CQ70" s="4" t="e">
        <f t="shared" si="273"/>
        <v>#REF!</v>
      </c>
      <c r="CR70" s="4">
        <f t="shared" si="274"/>
        <v>1.552980320852922</v>
      </c>
      <c r="CS70" s="4" t="e">
        <f t="shared" si="275"/>
        <v>#REF!</v>
      </c>
      <c r="CT70" s="4" t="e">
        <f t="shared" si="276"/>
        <v>#REF!</v>
      </c>
      <c r="DB70" s="4">
        <f t="shared" si="232"/>
        <v>0</v>
      </c>
      <c r="DC70" s="4">
        <f t="shared" si="184"/>
        <v>381</v>
      </c>
      <c r="DD70" s="4" t="e">
        <f>#REF!/E70</f>
        <v>#REF!</v>
      </c>
      <c r="DF70" s="4">
        <f t="shared" si="185"/>
        <v>2.5033311258542346E-5</v>
      </c>
      <c r="DG70" s="4">
        <f t="shared" si="233"/>
        <v>5.7900347857029448</v>
      </c>
      <c r="DH70" s="4">
        <f t="shared" si="221"/>
        <v>0.48066032441776124</v>
      </c>
      <c r="DI70" s="4">
        <f t="shared" si="149"/>
        <v>4.3193309674909806</v>
      </c>
      <c r="DJ70" s="4">
        <f t="shared" si="150"/>
        <v>5.1080025768674968</v>
      </c>
      <c r="DK70" s="4">
        <f t="shared" si="186"/>
        <v>5.3067104906481672</v>
      </c>
      <c r="DL70" s="38" t="e">
        <f t="shared" si="187"/>
        <v>#REF!</v>
      </c>
      <c r="DM70" s="4" t="e">
        <f t="shared" si="151"/>
        <v>#REF!</v>
      </c>
      <c r="DN70" s="4">
        <f t="shared" si="222"/>
        <v>2.2494443758403984</v>
      </c>
      <c r="DO70" s="4">
        <f t="shared" si="152"/>
        <v>184.33497816892</v>
      </c>
      <c r="DS70" s="4">
        <f t="shared" si="188"/>
        <v>0.85</v>
      </c>
      <c r="DT70" s="4">
        <f t="shared" si="189"/>
        <v>0.85000000000000009</v>
      </c>
      <c r="DU70" s="4">
        <f t="shared" si="190"/>
        <v>1</v>
      </c>
      <c r="DV70" s="4">
        <f t="shared" si="223"/>
        <v>0.85000000000000009</v>
      </c>
      <c r="DX70" s="4" t="e">
        <f t="shared" si="191"/>
        <v>#REF!</v>
      </c>
      <c r="DY70" s="25">
        <f t="shared" si="192"/>
        <v>181.80779675423688</v>
      </c>
      <c r="EA70" s="4">
        <f t="shared" si="224"/>
        <v>0.72250000000000003</v>
      </c>
      <c r="EB70" s="4">
        <f t="shared" si="159"/>
        <v>5.7900347857029448</v>
      </c>
      <c r="EC70" s="4">
        <f t="shared" si="193"/>
        <v>5.2207585655726314</v>
      </c>
      <c r="EE70" s="4">
        <f t="shared" si="194"/>
        <v>57.135887146346114</v>
      </c>
      <c r="EF70" s="4">
        <f t="shared" si="235"/>
        <v>2.2494443758403984</v>
      </c>
      <c r="EG70" s="4">
        <f t="shared" si="195"/>
        <v>0.1204434502751171</v>
      </c>
      <c r="EJ70" s="4">
        <f t="shared" si="263"/>
        <v>0.1204434502751171</v>
      </c>
      <c r="EK70" s="4">
        <f t="shared" si="196"/>
        <v>0.47985819191921475</v>
      </c>
      <c r="EL70" s="4">
        <f t="shared" si="237"/>
        <v>4.3164462593677309</v>
      </c>
      <c r="EM70" s="4">
        <f t="shared" ref="EM70:EM75" si="296">EB70/1.4*(1-EK70^1.4)/(1-EK70)</f>
        <v>5.1067841093562398</v>
      </c>
      <c r="EN70" s="4">
        <f t="shared" si="239"/>
        <v>228.61411285365389</v>
      </c>
      <c r="EO70" s="4">
        <f t="shared" si="240"/>
        <v>95.249999999999972</v>
      </c>
      <c r="EP70" s="4">
        <f t="shared" si="197"/>
        <v>2.5033311258542336E-5</v>
      </c>
      <c r="EQ70" s="4">
        <f t="shared" ref="EQ70:EQ75" si="297">MAX(0.5*EB70, (1-2*EP70*(EE70*EL70+EN70*EM70))/(1/EB70+EP70*EO70))</f>
        <v>5.3068372704296802</v>
      </c>
      <c r="ER70" s="4" t="e">
        <f t="shared" si="198"/>
        <v>#REF!</v>
      </c>
      <c r="ES70" s="4" t="e">
        <f t="shared" si="242"/>
        <v>#REF!</v>
      </c>
      <c r="ET70" s="4" t="e">
        <f t="shared" si="243"/>
        <v>#REF!</v>
      </c>
      <c r="EV70" s="4" t="e">
        <f t="shared" si="199"/>
        <v>#REF!</v>
      </c>
      <c r="FA70" s="23" t="e">
        <f t="shared" si="277"/>
        <v>#REF!</v>
      </c>
      <c r="FB70" s="23" t="e">
        <f t="shared" si="278"/>
        <v>#REF!</v>
      </c>
      <c r="FC70" s="23">
        <f t="shared" si="290"/>
        <v>1.6</v>
      </c>
      <c r="FD70" s="23" t="e">
        <f t="shared" si="279"/>
        <v>#REF!</v>
      </c>
      <c r="FE70" s="23" t="e">
        <f t="shared" si="280"/>
        <v>#REF!</v>
      </c>
      <c r="FF70" s="23" t="e">
        <f t="shared" si="281"/>
        <v>#REF!</v>
      </c>
      <c r="FG70" s="23" t="e">
        <f t="shared" si="282"/>
        <v>#REF!</v>
      </c>
      <c r="FH70" s="23"/>
      <c r="FR70" s="4">
        <f t="shared" si="140"/>
        <v>1</v>
      </c>
      <c r="FS70" s="4">
        <f t="shared" si="141"/>
        <v>1.0833333333333333</v>
      </c>
      <c r="FT70" s="4">
        <f t="shared" si="142"/>
        <v>0</v>
      </c>
      <c r="FU70" s="4">
        <f t="shared" si="143"/>
        <v>295.56073173413409</v>
      </c>
    </row>
    <row r="71" spans="2:179" ht="12" customHeight="1" x14ac:dyDescent="0.3">
      <c r="B71" s="24"/>
      <c r="C71" s="7" t="s">
        <v>280</v>
      </c>
      <c r="D71" s="7">
        <v>472</v>
      </c>
      <c r="E71" s="7">
        <f t="shared" si="264"/>
        <v>381</v>
      </c>
      <c r="F71" s="7">
        <v>21</v>
      </c>
      <c r="G71" s="7">
        <v>25.4</v>
      </c>
      <c r="H71" s="7">
        <f t="shared" si="200"/>
        <v>152.39999999999998</v>
      </c>
      <c r="I71" s="7">
        <f t="shared" si="160"/>
        <v>63.499999999999986</v>
      </c>
      <c r="J71" s="7">
        <f t="shared" si="201"/>
        <v>50.8</v>
      </c>
      <c r="K71" s="7">
        <v>0</v>
      </c>
      <c r="L71" s="7">
        <v>1</v>
      </c>
      <c r="M71" s="7">
        <f t="shared" si="202"/>
        <v>88.899999999999991</v>
      </c>
      <c r="N71" s="7">
        <f t="shared" si="161"/>
        <v>2.9999999999999996</v>
      </c>
      <c r="O71" s="7">
        <f t="shared" si="203"/>
        <v>4</v>
      </c>
      <c r="P71" s="7">
        <v>4.7</v>
      </c>
      <c r="Q71" s="7">
        <f t="shared" si="227"/>
        <v>4.7</v>
      </c>
      <c r="R71" s="7">
        <f t="shared" si="162"/>
        <v>5.7</v>
      </c>
      <c r="S71" s="7">
        <f t="shared" si="163"/>
        <v>60.641668842471674</v>
      </c>
      <c r="T71" s="7"/>
      <c r="U71" s="7"/>
      <c r="V71" s="7">
        <v>413</v>
      </c>
      <c r="W71" s="7"/>
      <c r="X71" s="7"/>
      <c r="Y71" s="7"/>
      <c r="Z71" s="7"/>
      <c r="AA71" s="7">
        <v>1</v>
      </c>
      <c r="AB71" s="7"/>
      <c r="AC71" s="7"/>
      <c r="AD71" s="7"/>
      <c r="AE71" s="4">
        <f t="shared" si="252"/>
        <v>381</v>
      </c>
      <c r="AF71" s="44">
        <f t="shared" si="204"/>
        <v>5.9259259259259248E-2</v>
      </c>
      <c r="AG71" s="25">
        <f t="shared" si="164"/>
        <v>672.57356899470892</v>
      </c>
      <c r="AH71" s="4">
        <f t="shared" si="165"/>
        <v>0.74</v>
      </c>
      <c r="AI71" s="4">
        <v>1.25</v>
      </c>
      <c r="AJ71" s="25">
        <f t="shared" si="146"/>
        <v>5</v>
      </c>
      <c r="AK71" s="38">
        <f t="shared" si="205"/>
        <v>184.3349781689202</v>
      </c>
      <c r="AL71" s="38">
        <f t="shared" si="148"/>
        <v>184.3349781689202</v>
      </c>
      <c r="AN71" s="38">
        <f t="shared" si="158"/>
        <v>184.33497816892</v>
      </c>
      <c r="AO71" s="38">
        <f t="shared" si="87"/>
        <v>1.0000000000000011</v>
      </c>
      <c r="AP71" s="38">
        <f t="shared" si="206"/>
        <v>1.6794589169432566</v>
      </c>
      <c r="AQ71" s="4">
        <f t="shared" si="228"/>
        <v>0</v>
      </c>
      <c r="AR71" s="4" t="e">
        <f>#REF!/G71*F71^0.5/0.19</f>
        <v>#REF!</v>
      </c>
      <c r="AS71" s="4">
        <f t="shared" si="166"/>
        <v>1.1333333333333333</v>
      </c>
      <c r="AT71" s="38">
        <f t="shared" si="167"/>
        <v>309.58302279033325</v>
      </c>
      <c r="AU71" s="4">
        <f t="shared" si="168"/>
        <v>0.34199999999999997</v>
      </c>
      <c r="AV71" s="4" t="e">
        <f>AU71*D71*#REF!/(D71*G71/2.75/F71^0.5)</f>
        <v>#REF!</v>
      </c>
      <c r="AW71" s="4" t="e">
        <f t="shared" si="207"/>
        <v>#REF!</v>
      </c>
      <c r="AY71" s="36">
        <f t="shared" si="169"/>
        <v>1.1000000000000001</v>
      </c>
      <c r="AZ71" s="36" t="e">
        <f>(1.6*#REF!+22)*AY71*F71^0.5</f>
        <v>#REF!</v>
      </c>
      <c r="BE71" s="4">
        <f t="shared" si="170"/>
        <v>63.499999999999986</v>
      </c>
      <c r="BF71" s="4">
        <f t="shared" si="171"/>
        <v>63.499999999999986</v>
      </c>
      <c r="BG71" s="4">
        <f t="shared" si="172"/>
        <v>88.899999999999991</v>
      </c>
      <c r="BH71" s="4">
        <f t="shared" si="173"/>
        <v>76.199999999999989</v>
      </c>
      <c r="BI71" s="4">
        <f t="shared" si="229"/>
        <v>1.04</v>
      </c>
      <c r="BJ71" s="25">
        <f t="shared" si="174"/>
        <v>3.1199999999999997</v>
      </c>
      <c r="BL71" s="4">
        <f t="shared" si="175"/>
        <v>63.499999999999986</v>
      </c>
      <c r="BP71" s="9"/>
      <c r="BR71" s="9"/>
      <c r="BS71" s="9"/>
      <c r="BT71" s="9">
        <f t="shared" si="176"/>
        <v>50.8</v>
      </c>
      <c r="BU71" s="9">
        <f t="shared" si="177"/>
        <v>63.499999999999986</v>
      </c>
      <c r="BV71" s="9">
        <f t="shared" si="178"/>
        <v>1.4623505735569622</v>
      </c>
      <c r="BW71" s="9">
        <v>0</v>
      </c>
      <c r="BX71" s="9">
        <f t="shared" si="179"/>
        <v>0</v>
      </c>
      <c r="BY71" s="9">
        <f t="shared" si="208"/>
        <v>0</v>
      </c>
      <c r="BZ71" s="9">
        <f t="shared" si="180"/>
        <v>0.99524931562137331</v>
      </c>
      <c r="CA71" s="9">
        <f t="shared" si="181"/>
        <v>1.056</v>
      </c>
      <c r="CB71" s="9">
        <f t="shared" si="182"/>
        <v>1.6856736478198622</v>
      </c>
      <c r="CC71" s="9">
        <f t="shared" si="183"/>
        <v>2.465045825719232</v>
      </c>
      <c r="CD71" s="9">
        <v>1</v>
      </c>
      <c r="CE71" s="9" t="e">
        <f>4*CC71*#REF!+60*CC71</f>
        <v>#REF!</v>
      </c>
      <c r="CG71" s="4" t="e">
        <f t="shared" si="265"/>
        <v>#REF!</v>
      </c>
      <c r="CH71" s="4" t="e">
        <f t="shared" si="266"/>
        <v>#REF!</v>
      </c>
      <c r="CI71" s="4" t="e">
        <f t="shared" si="267"/>
        <v>#REF!</v>
      </c>
      <c r="CJ71" s="4" t="e">
        <f t="shared" si="268"/>
        <v>#REF!</v>
      </c>
      <c r="CK71" s="4" t="e">
        <f t="shared" si="269"/>
        <v>#REF!</v>
      </c>
      <c r="CL71" s="4" t="e">
        <f t="shared" si="270"/>
        <v>#REF!</v>
      </c>
      <c r="CM71" s="4">
        <f t="shared" si="215"/>
        <v>1.3973439488284463</v>
      </c>
      <c r="CO71" s="4" t="e">
        <f t="shared" si="271"/>
        <v>#REF!</v>
      </c>
      <c r="CP71" s="4" t="e">
        <f t="shared" si="272"/>
        <v>#REF!</v>
      </c>
      <c r="CQ71" s="4" t="e">
        <f t="shared" si="273"/>
        <v>#REF!</v>
      </c>
      <c r="CR71" s="4">
        <f t="shared" si="274"/>
        <v>1.3973439488284463</v>
      </c>
      <c r="CS71" s="4" t="e">
        <f t="shared" si="275"/>
        <v>#REF!</v>
      </c>
      <c r="CT71" s="4" t="e">
        <f t="shared" si="276"/>
        <v>#REF!</v>
      </c>
      <c r="DB71" s="4">
        <f t="shared" si="232"/>
        <v>0</v>
      </c>
      <c r="DC71" s="4">
        <f t="shared" si="184"/>
        <v>381</v>
      </c>
      <c r="DD71" s="4" t="e">
        <f>#REF!/E71</f>
        <v>#REF!</v>
      </c>
      <c r="DF71" s="4">
        <f t="shared" si="185"/>
        <v>2.5033311258542346E-5</v>
      </c>
      <c r="DG71" s="4">
        <f t="shared" si="233"/>
        <v>5.7900347857029448</v>
      </c>
      <c r="DH71" s="4">
        <f t="shared" si="221"/>
        <v>0.44068535720017393</v>
      </c>
      <c r="DI71" s="4">
        <f t="shared" si="149"/>
        <v>4.1718878112344715</v>
      </c>
      <c r="DJ71" s="4">
        <f t="shared" si="150"/>
        <v>5.0464119235403171</v>
      </c>
      <c r="DK71" s="4">
        <f t="shared" si="186"/>
        <v>5.3140221662208873</v>
      </c>
      <c r="DL71" s="38" t="e">
        <f t="shared" si="187"/>
        <v>#REF!</v>
      </c>
      <c r="DM71" s="4" t="e">
        <f t="shared" si="151"/>
        <v>#REF!</v>
      </c>
      <c r="DN71" s="4">
        <f t="shared" si="222"/>
        <v>2.3874672772626644</v>
      </c>
      <c r="DO71" s="4">
        <f t="shared" si="152"/>
        <v>184.33497816892</v>
      </c>
      <c r="DS71" s="4">
        <f t="shared" si="188"/>
        <v>0.85</v>
      </c>
      <c r="DT71" s="4">
        <f t="shared" si="189"/>
        <v>0.85000000000000009</v>
      </c>
      <c r="DU71" s="4">
        <f t="shared" si="190"/>
        <v>1</v>
      </c>
      <c r="DV71" s="4">
        <f t="shared" si="223"/>
        <v>0.85000000000000009</v>
      </c>
      <c r="DX71" s="4" t="e">
        <f t="shared" si="191"/>
        <v>#REF!</v>
      </c>
      <c r="DY71" s="25">
        <f t="shared" si="192"/>
        <v>181.80779675423688</v>
      </c>
      <c r="EA71" s="4">
        <f t="shared" si="224"/>
        <v>0.72250000000000003</v>
      </c>
      <c r="EB71" s="4">
        <f t="shared" si="159"/>
        <v>5.7900347857029448</v>
      </c>
      <c r="EC71" s="4">
        <f t="shared" si="193"/>
        <v>5.2207585655726314</v>
      </c>
      <c r="EE71" s="4">
        <f t="shared" si="194"/>
        <v>60.641668842471674</v>
      </c>
      <c r="EF71" s="4">
        <f t="shared" si="235"/>
        <v>2.3874672772626644</v>
      </c>
      <c r="EG71" s="4">
        <f t="shared" si="195"/>
        <v>0.11042655740559822</v>
      </c>
      <c r="EJ71" s="4">
        <f t="shared" si="263"/>
        <v>0.11042655740559822</v>
      </c>
      <c r="EK71" s="4">
        <f t="shared" si="196"/>
        <v>0.4399499354715925</v>
      </c>
      <c r="EL71" s="4">
        <f t="shared" si="237"/>
        <v>4.1691015744887965</v>
      </c>
      <c r="EM71" s="4">
        <f t="shared" si="296"/>
        <v>5.0452617256677321</v>
      </c>
      <c r="EN71" s="4">
        <f t="shared" si="239"/>
        <v>225.10833115752831</v>
      </c>
      <c r="EO71" s="4">
        <f t="shared" si="240"/>
        <v>95.25</v>
      </c>
      <c r="EP71" s="4">
        <f t="shared" si="197"/>
        <v>2.5033311258542346E-5</v>
      </c>
      <c r="EQ71" s="4">
        <f t="shared" si="297"/>
        <v>5.3141445144905157</v>
      </c>
      <c r="ER71" s="4" t="e">
        <f t="shared" si="198"/>
        <v>#REF!</v>
      </c>
      <c r="ES71" s="4" t="e">
        <f t="shared" si="242"/>
        <v>#REF!</v>
      </c>
      <c r="ET71" s="4" t="e">
        <f t="shared" si="243"/>
        <v>#REF!</v>
      </c>
      <c r="EV71" s="4" t="e">
        <f t="shared" si="199"/>
        <v>#REF!</v>
      </c>
      <c r="FA71" s="23" t="e">
        <f t="shared" si="277"/>
        <v>#REF!</v>
      </c>
      <c r="FB71" s="23" t="e">
        <f t="shared" si="278"/>
        <v>#REF!</v>
      </c>
      <c r="FC71" s="23">
        <f t="shared" si="290"/>
        <v>1.4</v>
      </c>
      <c r="FD71" s="23" t="e">
        <f t="shared" si="279"/>
        <v>#REF!</v>
      </c>
      <c r="FE71" s="23" t="e">
        <f t="shared" si="280"/>
        <v>#REF!</v>
      </c>
      <c r="FF71" s="23" t="e">
        <f t="shared" si="281"/>
        <v>#REF!</v>
      </c>
      <c r="FG71" s="23" t="e">
        <f t="shared" si="282"/>
        <v>#REF!</v>
      </c>
      <c r="FH71" s="23"/>
      <c r="FR71" s="4">
        <f t="shared" si="140"/>
        <v>1</v>
      </c>
      <c r="FS71" s="4">
        <f t="shared" si="141"/>
        <v>1.0833333333333333</v>
      </c>
      <c r="FT71" s="4">
        <f t="shared" si="142"/>
        <v>0</v>
      </c>
      <c r="FU71" s="4">
        <f t="shared" si="143"/>
        <v>295.56073173413409</v>
      </c>
    </row>
    <row r="72" spans="2:179" ht="12" customHeight="1" x14ac:dyDescent="0.3">
      <c r="B72" s="24"/>
      <c r="C72" s="7" t="s">
        <v>281</v>
      </c>
      <c r="D72" s="7">
        <v>472</v>
      </c>
      <c r="E72" s="7">
        <f t="shared" si="264"/>
        <v>381</v>
      </c>
      <c r="F72" s="7">
        <v>27</v>
      </c>
      <c r="G72" s="7">
        <v>25.4</v>
      </c>
      <c r="H72" s="7">
        <f t="shared" si="200"/>
        <v>152.39999999999998</v>
      </c>
      <c r="I72" s="7">
        <f t="shared" si="160"/>
        <v>63.499999999999986</v>
      </c>
      <c r="J72" s="7">
        <f t="shared" si="201"/>
        <v>50.8</v>
      </c>
      <c r="K72" s="7">
        <v>0</v>
      </c>
      <c r="L72" s="7">
        <v>1</v>
      </c>
      <c r="M72" s="7">
        <f t="shared" si="202"/>
        <v>88.899999999999991</v>
      </c>
      <c r="N72" s="7">
        <f t="shared" si="161"/>
        <v>2.9999999999999996</v>
      </c>
      <c r="O72" s="7">
        <f t="shared" si="203"/>
        <v>4</v>
      </c>
      <c r="P72" s="7">
        <v>4.7</v>
      </c>
      <c r="Q72" s="7">
        <f t="shared" si="227"/>
        <v>4.7</v>
      </c>
      <c r="R72" s="7">
        <f t="shared" si="162"/>
        <v>5.7</v>
      </c>
      <c r="S72" s="7">
        <f t="shared" si="163"/>
        <v>60.641668842471674</v>
      </c>
      <c r="T72" s="7"/>
      <c r="U72" s="7"/>
      <c r="V72" s="7">
        <v>471</v>
      </c>
      <c r="W72" s="7"/>
      <c r="X72" s="7"/>
      <c r="Y72" s="7"/>
      <c r="Z72" s="7"/>
      <c r="AA72" s="7">
        <v>1</v>
      </c>
      <c r="AB72" s="7"/>
      <c r="AC72" s="7"/>
      <c r="AD72" s="7"/>
      <c r="AE72" s="4">
        <f t="shared" si="252"/>
        <v>381</v>
      </c>
      <c r="AF72" s="44">
        <f t="shared" si="204"/>
        <v>5.9259259259259248E-2</v>
      </c>
      <c r="AG72" s="25">
        <f t="shared" si="164"/>
        <v>762.62674369506078</v>
      </c>
      <c r="AH72" s="4">
        <f t="shared" si="165"/>
        <v>0.74</v>
      </c>
      <c r="AI72" s="4">
        <v>1.25</v>
      </c>
      <c r="AJ72" s="25">
        <f t="shared" si="146"/>
        <v>5</v>
      </c>
      <c r="AK72" s="38">
        <f t="shared" si="205"/>
        <v>209.01621864234997</v>
      </c>
      <c r="AL72" s="38">
        <f t="shared" si="148"/>
        <v>209.01621864234997</v>
      </c>
      <c r="AN72" s="38">
        <f t="shared" si="158"/>
        <v>209.0162186423498</v>
      </c>
      <c r="AO72" s="38">
        <f t="shared" si="87"/>
        <v>1.0000000000000009</v>
      </c>
      <c r="AP72" s="38">
        <f t="shared" si="206"/>
        <v>1.9043274134493156</v>
      </c>
      <c r="AQ72" s="4">
        <f t="shared" si="228"/>
        <v>0</v>
      </c>
      <c r="AR72" s="4" t="e">
        <f>#REF!/G72*F72^0.5/0.19</f>
        <v>#REF!</v>
      </c>
      <c r="AS72" s="4">
        <f t="shared" si="166"/>
        <v>1.1333333333333333</v>
      </c>
      <c r="AT72" s="38">
        <f t="shared" si="167"/>
        <v>398.03531501614259</v>
      </c>
      <c r="AU72" s="4">
        <f t="shared" si="168"/>
        <v>0.34199999999999997</v>
      </c>
      <c r="AV72" s="4" t="e">
        <f>AU72*D72*#REF!/(D72*G72/2.75/F72^0.5)</f>
        <v>#REF!</v>
      </c>
      <c r="AW72" s="4" t="e">
        <f t="shared" si="207"/>
        <v>#REF!</v>
      </c>
      <c r="AY72" s="36">
        <f t="shared" si="169"/>
        <v>1.1000000000000001</v>
      </c>
      <c r="AZ72" s="36" t="e">
        <f>(1.6*#REF!+22)*AY72*F72^0.5</f>
        <v>#REF!</v>
      </c>
      <c r="BE72" s="4">
        <f t="shared" si="170"/>
        <v>63.499999999999986</v>
      </c>
      <c r="BF72" s="4">
        <f t="shared" si="171"/>
        <v>63.499999999999986</v>
      </c>
      <c r="BG72" s="4">
        <f t="shared" si="172"/>
        <v>88.899999999999991</v>
      </c>
      <c r="BH72" s="4">
        <f t="shared" si="173"/>
        <v>76.199999999999989</v>
      </c>
      <c r="BI72" s="4">
        <f t="shared" si="229"/>
        <v>1.04</v>
      </c>
      <c r="BJ72" s="25">
        <f t="shared" si="174"/>
        <v>3.1199999999999997</v>
      </c>
      <c r="BL72" s="4">
        <f t="shared" si="175"/>
        <v>63.499999999999986</v>
      </c>
      <c r="BP72" s="9"/>
      <c r="BR72" s="9"/>
      <c r="BS72" s="9"/>
      <c r="BT72" s="9">
        <f t="shared" si="176"/>
        <v>50.8</v>
      </c>
      <c r="BU72" s="9">
        <f t="shared" si="177"/>
        <v>63.499999999999986</v>
      </c>
      <c r="BV72" s="9">
        <f t="shared" si="178"/>
        <v>1.4623505735569622</v>
      </c>
      <c r="BW72" s="9">
        <v>0</v>
      </c>
      <c r="BX72" s="9">
        <f t="shared" si="179"/>
        <v>0</v>
      </c>
      <c r="BY72" s="9">
        <f t="shared" si="208"/>
        <v>0</v>
      </c>
      <c r="BZ72" s="9">
        <f t="shared" si="180"/>
        <v>0.99524931562137331</v>
      </c>
      <c r="CA72" s="9">
        <f t="shared" si="181"/>
        <v>1.056</v>
      </c>
      <c r="CB72" s="9">
        <f t="shared" si="182"/>
        <v>1.911374255891328</v>
      </c>
      <c r="CC72" s="9">
        <f t="shared" si="183"/>
        <v>2.7950992393846952</v>
      </c>
      <c r="CD72" s="9">
        <v>1</v>
      </c>
      <c r="CE72" s="9" t="e">
        <f>4*CC72*#REF!+60*CC72</f>
        <v>#REF!</v>
      </c>
      <c r="CG72" s="4" t="e">
        <f t="shared" si="265"/>
        <v>#REF!</v>
      </c>
      <c r="CH72" s="4" t="e">
        <f t="shared" si="266"/>
        <v>#REF!</v>
      </c>
      <c r="CI72" s="4" t="e">
        <f t="shared" si="267"/>
        <v>#REF!</v>
      </c>
      <c r="CJ72" s="4" t="e">
        <f t="shared" si="268"/>
        <v>#REF!</v>
      </c>
      <c r="CK72" s="4" t="e">
        <f t="shared" si="269"/>
        <v>#REF!</v>
      </c>
      <c r="CL72" s="4" t="e">
        <f t="shared" si="270"/>
        <v>#REF!</v>
      </c>
      <c r="CM72" s="4">
        <f t="shared" si="215"/>
        <v>1.4965390606012445</v>
      </c>
      <c r="CO72" s="4" t="e">
        <f t="shared" si="271"/>
        <v>#REF!</v>
      </c>
      <c r="CP72" s="4" t="e">
        <f t="shared" si="272"/>
        <v>#REF!</v>
      </c>
      <c r="CQ72" s="4" t="e">
        <f t="shared" si="273"/>
        <v>#REF!</v>
      </c>
      <c r="CR72" s="4">
        <f t="shared" si="274"/>
        <v>1.4965390606012445</v>
      </c>
      <c r="CS72" s="4" t="e">
        <f t="shared" si="275"/>
        <v>#REF!</v>
      </c>
      <c r="CT72" s="4" t="e">
        <f t="shared" si="276"/>
        <v>#REF!</v>
      </c>
      <c r="DB72" s="4">
        <f t="shared" si="232"/>
        <v>0</v>
      </c>
      <c r="DC72" s="4">
        <f t="shared" si="184"/>
        <v>381</v>
      </c>
      <c r="DD72" s="4" t="e">
        <f>#REF!/E72</f>
        <v>#REF!</v>
      </c>
      <c r="DF72" s="4">
        <f t="shared" si="185"/>
        <v>2.6209296574030622E-5</v>
      </c>
      <c r="DG72" s="4">
        <f t="shared" si="233"/>
        <v>6.5652823394499222</v>
      </c>
      <c r="DH72" s="4">
        <f t="shared" si="221"/>
        <v>0.38864795385977591</v>
      </c>
      <c r="DI72" s="4">
        <f t="shared" si="149"/>
        <v>4.4985853216219667</v>
      </c>
      <c r="DJ72" s="4">
        <f t="shared" si="150"/>
        <v>5.6279431202056429</v>
      </c>
      <c r="DK72" s="4">
        <f t="shared" si="186"/>
        <v>5.9380820517460586</v>
      </c>
      <c r="DL72" s="38" t="e">
        <f t="shared" si="187"/>
        <v>#REF!</v>
      </c>
      <c r="DM72" s="4" t="e">
        <f t="shared" si="151"/>
        <v>#REF!</v>
      </c>
      <c r="DN72" s="4">
        <f t="shared" si="222"/>
        <v>2.3874672772626644</v>
      </c>
      <c r="DO72" s="4">
        <f t="shared" si="152"/>
        <v>209.0162186423498</v>
      </c>
      <c r="DS72" s="4">
        <f t="shared" si="188"/>
        <v>0.85</v>
      </c>
      <c r="DT72" s="4">
        <f t="shared" si="189"/>
        <v>0.85000000000000009</v>
      </c>
      <c r="DU72" s="4">
        <f t="shared" si="190"/>
        <v>1</v>
      </c>
      <c r="DV72" s="4">
        <f t="shared" si="223"/>
        <v>0.85000000000000009</v>
      </c>
      <c r="DX72" s="4" t="e">
        <f t="shared" si="191"/>
        <v>#REF!</v>
      </c>
      <c r="DY72" s="25">
        <f t="shared" si="192"/>
        <v>206.15066426755152</v>
      </c>
      <c r="EA72" s="4">
        <f t="shared" si="224"/>
        <v>0.72250000000000003</v>
      </c>
      <c r="EB72" s="4">
        <f t="shared" si="159"/>
        <v>6.5652823394499222</v>
      </c>
      <c r="EC72" s="4">
        <f t="shared" si="193"/>
        <v>5.9197837798352051</v>
      </c>
      <c r="EE72" s="4">
        <f t="shared" si="194"/>
        <v>60.641668842471674</v>
      </c>
      <c r="EF72" s="4">
        <f t="shared" si="235"/>
        <v>2.3874672772626644</v>
      </c>
      <c r="EG72" s="4">
        <f t="shared" si="195"/>
        <v>0.11042655740559822</v>
      </c>
      <c r="EJ72" s="4">
        <f t="shared" si="263"/>
        <v>0.11042655740559822</v>
      </c>
      <c r="EK72" s="4">
        <f t="shared" si="196"/>
        <v>0.387999372858916</v>
      </c>
      <c r="EL72" s="4">
        <f t="shared" si="237"/>
        <v>4.4955808966964188</v>
      </c>
      <c r="EM72" s="4">
        <f t="shared" si="296"/>
        <v>5.6267446669320007</v>
      </c>
      <c r="EN72" s="4">
        <f t="shared" si="239"/>
        <v>225.10833115752831</v>
      </c>
      <c r="EO72" s="4">
        <f t="shared" si="240"/>
        <v>95.25</v>
      </c>
      <c r="EP72" s="4">
        <f t="shared" si="197"/>
        <v>2.6209296574030622E-5</v>
      </c>
      <c r="EQ72" s="4">
        <f t="shared" si="297"/>
        <v>5.9382350875445296</v>
      </c>
      <c r="ER72" s="4" t="e">
        <f t="shared" si="198"/>
        <v>#REF!</v>
      </c>
      <c r="ES72" s="4" t="e">
        <f t="shared" si="242"/>
        <v>#REF!</v>
      </c>
      <c r="ET72" s="4" t="e">
        <f t="shared" si="243"/>
        <v>#REF!</v>
      </c>
      <c r="EV72" s="4" t="e">
        <f t="shared" si="199"/>
        <v>#REF!</v>
      </c>
      <c r="FA72" s="23" t="e">
        <f t="shared" si="277"/>
        <v>#REF!</v>
      </c>
      <c r="FB72" s="23" t="e">
        <f t="shared" si="278"/>
        <v>#REF!</v>
      </c>
      <c r="FC72" s="23">
        <f t="shared" si="290"/>
        <v>1.6</v>
      </c>
      <c r="FD72" s="23" t="e">
        <f t="shared" si="279"/>
        <v>#REF!</v>
      </c>
      <c r="FE72" s="23" t="e">
        <f t="shared" si="280"/>
        <v>#REF!</v>
      </c>
      <c r="FF72" s="23" t="e">
        <f t="shared" si="281"/>
        <v>#REF!</v>
      </c>
      <c r="FG72" s="23" t="e">
        <f t="shared" si="282"/>
        <v>#REF!</v>
      </c>
      <c r="FH72" s="23"/>
      <c r="FR72" s="4">
        <f t="shared" si="140"/>
        <v>1</v>
      </c>
      <c r="FS72" s="4">
        <f t="shared" si="141"/>
        <v>1.0833333333333333</v>
      </c>
      <c r="FT72" s="4">
        <f t="shared" si="142"/>
        <v>0</v>
      </c>
      <c r="FU72" s="4">
        <f t="shared" si="143"/>
        <v>314.72616545723344</v>
      </c>
    </row>
    <row r="73" spans="2:179" ht="12" customHeight="1" x14ac:dyDescent="0.3">
      <c r="B73" s="24"/>
      <c r="C73" s="7" t="s">
        <v>282</v>
      </c>
      <c r="D73" s="7">
        <v>472</v>
      </c>
      <c r="E73" s="7">
        <f t="shared" si="264"/>
        <v>381</v>
      </c>
      <c r="F73" s="7">
        <v>21</v>
      </c>
      <c r="G73" s="7">
        <v>25.4</v>
      </c>
      <c r="H73" s="7">
        <f t="shared" si="200"/>
        <v>152.39999999999998</v>
      </c>
      <c r="I73" s="7">
        <f t="shared" si="160"/>
        <v>63.499999999999986</v>
      </c>
      <c r="J73" s="7">
        <f t="shared" si="201"/>
        <v>50.8</v>
      </c>
      <c r="K73" s="7">
        <v>0</v>
      </c>
      <c r="L73" s="7">
        <v>1</v>
      </c>
      <c r="M73" s="7">
        <f t="shared" si="202"/>
        <v>88.899999999999991</v>
      </c>
      <c r="N73" s="7">
        <f t="shared" si="161"/>
        <v>2.9999999999999996</v>
      </c>
      <c r="O73" s="7">
        <f t="shared" si="203"/>
        <v>4</v>
      </c>
      <c r="P73" s="7">
        <v>10.39</v>
      </c>
      <c r="Q73" s="7">
        <f t="shared" si="227"/>
        <v>10.39</v>
      </c>
      <c r="R73" s="7">
        <f t="shared" si="162"/>
        <v>11.39</v>
      </c>
      <c r="S73" s="7">
        <f t="shared" si="163"/>
        <v>85.722648115885917</v>
      </c>
      <c r="T73" s="7"/>
      <c r="U73" s="7"/>
      <c r="V73" s="7">
        <v>376</v>
      </c>
      <c r="W73" s="7"/>
      <c r="X73" s="7"/>
      <c r="Y73" s="7"/>
      <c r="Z73" s="7"/>
      <c r="AA73" s="7">
        <v>1</v>
      </c>
      <c r="AB73" s="7"/>
      <c r="AC73" s="7"/>
      <c r="AD73" s="7"/>
      <c r="AE73" s="4">
        <f t="shared" si="252"/>
        <v>381</v>
      </c>
      <c r="AF73" s="44">
        <f t="shared" si="204"/>
        <v>5.9259259259259248E-2</v>
      </c>
      <c r="AG73" s="25">
        <f t="shared" si="164"/>
        <v>672.57356899470892</v>
      </c>
      <c r="AH73" s="4">
        <f t="shared" si="165"/>
        <v>0.74</v>
      </c>
      <c r="AI73" s="4">
        <v>1.25</v>
      </c>
      <c r="AJ73" s="25">
        <f t="shared" si="146"/>
        <v>5</v>
      </c>
      <c r="AK73" s="38">
        <f t="shared" si="205"/>
        <v>184.3349781689202</v>
      </c>
      <c r="AL73" s="38">
        <f t="shared" si="148"/>
        <v>184.3349781689202</v>
      </c>
      <c r="AN73" s="38">
        <f t="shared" si="158"/>
        <v>184.33497816892</v>
      </c>
      <c r="AO73" s="38">
        <f t="shared" si="87"/>
        <v>1.0000000000000011</v>
      </c>
      <c r="AP73" s="38">
        <f t="shared" si="206"/>
        <v>2.4970556966813486</v>
      </c>
      <c r="AQ73" s="4">
        <f t="shared" si="228"/>
        <v>0</v>
      </c>
      <c r="AR73" s="4" t="e">
        <f>#REF!/G73*F73^0.5/0.19</f>
        <v>#REF!</v>
      </c>
      <c r="AS73" s="4">
        <f t="shared" si="166"/>
        <v>1.1333333333333333</v>
      </c>
      <c r="AT73" s="38">
        <f t="shared" si="167"/>
        <v>460.29470733433374</v>
      </c>
      <c r="AU73" s="4">
        <f t="shared" si="168"/>
        <v>0.3</v>
      </c>
      <c r="AV73" s="4" t="e">
        <f>AU73*D73*#REF!/(D73*G73/2.75/F73^0.5)</f>
        <v>#REF!</v>
      </c>
      <c r="AW73" s="4" t="e">
        <f t="shared" si="207"/>
        <v>#REF!</v>
      </c>
      <c r="AY73" s="36">
        <f t="shared" si="169"/>
        <v>1.1000000000000001</v>
      </c>
      <c r="AZ73" s="36" t="e">
        <f>(1.6*#REF!+22)*AY73*F73^0.5</f>
        <v>#REF!</v>
      </c>
      <c r="BE73" s="4">
        <f t="shared" si="170"/>
        <v>63.499999999999986</v>
      </c>
      <c r="BF73" s="4">
        <f t="shared" si="171"/>
        <v>63.499999999999986</v>
      </c>
      <c r="BG73" s="4">
        <f t="shared" si="172"/>
        <v>88.899999999999991</v>
      </c>
      <c r="BH73" s="4">
        <f t="shared" si="173"/>
        <v>76.199999999999989</v>
      </c>
      <c r="BI73" s="4">
        <f t="shared" si="229"/>
        <v>1.04</v>
      </c>
      <c r="BJ73" s="25">
        <f t="shared" si="174"/>
        <v>3.1199999999999997</v>
      </c>
      <c r="BL73" s="4">
        <f t="shared" si="175"/>
        <v>63.499999999999986</v>
      </c>
      <c r="BP73" s="9"/>
      <c r="BR73" s="9"/>
      <c r="BS73" s="9"/>
      <c r="BT73" s="9">
        <f t="shared" si="176"/>
        <v>50.8</v>
      </c>
      <c r="BU73" s="9">
        <f t="shared" si="177"/>
        <v>63.499999999999986</v>
      </c>
      <c r="BV73" s="9">
        <f t="shared" si="178"/>
        <v>1.4623505735569622</v>
      </c>
      <c r="BW73" s="9">
        <v>0</v>
      </c>
      <c r="BX73" s="9">
        <f t="shared" si="179"/>
        <v>0</v>
      </c>
      <c r="BY73" s="9">
        <f t="shared" si="208"/>
        <v>0</v>
      </c>
      <c r="BZ73" s="9">
        <f t="shared" si="180"/>
        <v>0.99524931562137331</v>
      </c>
      <c r="CA73" s="9">
        <f t="shared" si="181"/>
        <v>1.056</v>
      </c>
      <c r="CB73" s="9">
        <f t="shared" si="182"/>
        <v>1.6856736478198622</v>
      </c>
      <c r="CC73" s="9">
        <f t="shared" si="183"/>
        <v>2.465045825719232</v>
      </c>
      <c r="CD73" s="9">
        <v>1</v>
      </c>
      <c r="CE73" s="9" t="e">
        <f>4*CC73*#REF!+60*CC73</f>
        <v>#REF!</v>
      </c>
      <c r="CG73" s="4" t="e">
        <f t="shared" si="265"/>
        <v>#REF!</v>
      </c>
      <c r="CH73" s="4" t="e">
        <f t="shared" si="266"/>
        <v>#REF!</v>
      </c>
      <c r="CI73" s="4" t="e">
        <f t="shared" si="267"/>
        <v>#REF!</v>
      </c>
      <c r="CJ73" s="4" t="e">
        <f t="shared" si="268"/>
        <v>#REF!</v>
      </c>
      <c r="CK73" s="4" t="e">
        <f t="shared" si="269"/>
        <v>#REF!</v>
      </c>
      <c r="CL73" s="4" t="e">
        <f t="shared" si="270"/>
        <v>#REF!</v>
      </c>
      <c r="CM73" s="4">
        <f t="shared" si="215"/>
        <v>1.2721581713304984</v>
      </c>
      <c r="CO73" s="4" t="e">
        <f t="shared" si="271"/>
        <v>#REF!</v>
      </c>
      <c r="CP73" s="4" t="e">
        <f t="shared" si="272"/>
        <v>#REF!</v>
      </c>
      <c r="CQ73" s="4" t="e">
        <f t="shared" si="273"/>
        <v>#REF!</v>
      </c>
      <c r="CR73" s="4">
        <f t="shared" si="274"/>
        <v>1.2721581713304984</v>
      </c>
      <c r="CS73" s="4" t="e">
        <f t="shared" si="275"/>
        <v>#REF!</v>
      </c>
      <c r="CT73" s="4" t="e">
        <f t="shared" si="276"/>
        <v>#REF!</v>
      </c>
      <c r="DB73" s="4">
        <f t="shared" si="232"/>
        <v>0</v>
      </c>
      <c r="DC73" s="4">
        <f t="shared" si="184"/>
        <v>381</v>
      </c>
      <c r="DD73" s="4" t="e">
        <f>#REF!/E73</f>
        <v>#REF!</v>
      </c>
      <c r="DF73" s="4">
        <f t="shared" si="185"/>
        <v>2.5033311258542346E-5</v>
      </c>
      <c r="DG73" s="4">
        <f t="shared" si="233"/>
        <v>5.7900347857029448</v>
      </c>
      <c r="DH73" s="4">
        <f t="shared" si="221"/>
        <v>0.28179635085873361</v>
      </c>
      <c r="DI73" s="4">
        <f t="shared" si="149"/>
        <v>3.4886332753232305</v>
      </c>
      <c r="DJ73" s="4">
        <f t="shared" si="150"/>
        <v>4.7807278468599366</v>
      </c>
      <c r="DK73" s="4">
        <f t="shared" si="186"/>
        <v>5.3522375648153364</v>
      </c>
      <c r="DL73" s="38" t="e">
        <f t="shared" si="187"/>
        <v>#REF!</v>
      </c>
      <c r="DM73" s="4" t="e">
        <f t="shared" si="151"/>
        <v>#REF!</v>
      </c>
      <c r="DN73" s="4">
        <f t="shared" si="222"/>
        <v>3.3749074061372411</v>
      </c>
      <c r="DO73" s="4">
        <f t="shared" si="152"/>
        <v>184.33497816892</v>
      </c>
      <c r="DS73" s="4">
        <f t="shared" si="188"/>
        <v>0.85</v>
      </c>
      <c r="DT73" s="4">
        <f t="shared" si="189"/>
        <v>0.85000000000000009</v>
      </c>
      <c r="DU73" s="4">
        <f t="shared" si="190"/>
        <v>1</v>
      </c>
      <c r="DV73" s="4">
        <f t="shared" si="223"/>
        <v>0.85000000000000009</v>
      </c>
      <c r="DX73" s="4" t="e">
        <f t="shared" si="191"/>
        <v>#REF!</v>
      </c>
      <c r="DY73" s="25">
        <f t="shared" si="192"/>
        <v>181.80779675423688</v>
      </c>
      <c r="EA73" s="4">
        <f t="shared" si="224"/>
        <v>0.72250000000000003</v>
      </c>
      <c r="EB73" s="4">
        <f t="shared" si="159"/>
        <v>5.7900347857029448</v>
      </c>
      <c r="EC73" s="4">
        <f t="shared" si="193"/>
        <v>5.2207585655726314</v>
      </c>
      <c r="EE73" s="4">
        <f t="shared" si="194"/>
        <v>85.722648115885917</v>
      </c>
      <c r="EF73" s="4">
        <f t="shared" si="235"/>
        <v>3.3749074061372411</v>
      </c>
      <c r="EG73" s="4">
        <f t="shared" si="195"/>
        <v>7.0612286989729281E-2</v>
      </c>
      <c r="EJ73" s="4">
        <f t="shared" si="263"/>
        <v>7.0612286989729281E-2</v>
      </c>
      <c r="EK73" s="4">
        <f t="shared" si="196"/>
        <v>0.28132608526885078</v>
      </c>
      <c r="EL73" s="4">
        <f t="shared" si="237"/>
        <v>3.4863033569113027</v>
      </c>
      <c r="EM73" s="4">
        <f t="shared" si="296"/>
        <v>4.7798816002491602</v>
      </c>
      <c r="EN73" s="4">
        <f t="shared" si="239"/>
        <v>200.02735188411407</v>
      </c>
      <c r="EO73" s="4">
        <f t="shared" si="240"/>
        <v>95.25</v>
      </c>
      <c r="EP73" s="4">
        <f t="shared" si="197"/>
        <v>2.5033311258542346E-5</v>
      </c>
      <c r="EQ73" s="4">
        <f t="shared" si="297"/>
        <v>5.3523430763972728</v>
      </c>
      <c r="ER73" s="4" t="e">
        <f t="shared" si="198"/>
        <v>#REF!</v>
      </c>
      <c r="ES73" s="4" t="e">
        <f t="shared" si="242"/>
        <v>#REF!</v>
      </c>
      <c r="ET73" s="4" t="e">
        <f t="shared" si="243"/>
        <v>#REF!</v>
      </c>
      <c r="EV73" s="4" t="e">
        <f t="shared" si="199"/>
        <v>#REF!</v>
      </c>
      <c r="FA73" s="23" t="e">
        <f t="shared" si="277"/>
        <v>#REF!</v>
      </c>
      <c r="FB73" s="23" t="e">
        <f t="shared" si="278"/>
        <v>#REF!</v>
      </c>
      <c r="FC73" s="23">
        <f t="shared" si="290"/>
        <v>1.4</v>
      </c>
      <c r="FD73" s="23" t="e">
        <f t="shared" si="279"/>
        <v>#REF!</v>
      </c>
      <c r="FE73" s="23" t="e">
        <f t="shared" si="280"/>
        <v>#REF!</v>
      </c>
      <c r="FF73" s="23" t="e">
        <f t="shared" si="281"/>
        <v>#REF!</v>
      </c>
      <c r="FG73" s="23" t="e">
        <f t="shared" si="282"/>
        <v>#REF!</v>
      </c>
      <c r="FH73" s="23"/>
      <c r="FR73" s="4">
        <f t="shared" si="140"/>
        <v>1</v>
      </c>
      <c r="FS73" s="4">
        <f t="shared" si="141"/>
        <v>1.0833333333333333</v>
      </c>
      <c r="FT73" s="4">
        <f t="shared" si="142"/>
        <v>0</v>
      </c>
      <c r="FU73" s="4">
        <f t="shared" si="143"/>
        <v>295.56073173413409</v>
      </c>
    </row>
    <row r="74" spans="2:179" ht="12" customHeight="1" x14ac:dyDescent="0.3">
      <c r="B74" s="24"/>
      <c r="C74" s="7" t="s">
        <v>282</v>
      </c>
      <c r="D74" s="7">
        <v>472</v>
      </c>
      <c r="E74" s="7">
        <f t="shared" si="264"/>
        <v>381</v>
      </c>
      <c r="F74" s="7">
        <v>26</v>
      </c>
      <c r="G74" s="7">
        <v>25.4</v>
      </c>
      <c r="H74" s="7">
        <f t="shared" si="200"/>
        <v>152.39999999999998</v>
      </c>
      <c r="I74" s="7">
        <f t="shared" si="160"/>
        <v>63.499999999999986</v>
      </c>
      <c r="J74" s="7">
        <f t="shared" si="201"/>
        <v>50.8</v>
      </c>
      <c r="K74" s="7">
        <v>0</v>
      </c>
      <c r="L74" s="7">
        <v>1</v>
      </c>
      <c r="M74" s="7">
        <f t="shared" si="202"/>
        <v>88.899999999999991</v>
      </c>
      <c r="N74" s="7">
        <f t="shared" si="161"/>
        <v>2.9999999999999996</v>
      </c>
      <c r="O74" s="7">
        <f t="shared" si="203"/>
        <v>4</v>
      </c>
      <c r="P74" s="7">
        <v>10.39</v>
      </c>
      <c r="Q74" s="7">
        <f t="shared" si="227"/>
        <v>10.39</v>
      </c>
      <c r="R74" s="7">
        <f t="shared" si="162"/>
        <v>11.39</v>
      </c>
      <c r="S74" s="7">
        <f t="shared" si="163"/>
        <v>85.722648115885917</v>
      </c>
      <c r="T74" s="7"/>
      <c r="U74" s="7"/>
      <c r="V74" s="7">
        <v>460</v>
      </c>
      <c r="W74" s="7"/>
      <c r="X74" s="7"/>
      <c r="Y74" s="7"/>
      <c r="Z74" s="7"/>
      <c r="AA74" s="7">
        <v>1</v>
      </c>
      <c r="AB74" s="7"/>
      <c r="AC74" s="7"/>
      <c r="AD74" s="7"/>
      <c r="AE74" s="4">
        <f t="shared" si="252"/>
        <v>381</v>
      </c>
      <c r="AF74" s="44">
        <f t="shared" si="204"/>
        <v>5.9259259259259248E-2</v>
      </c>
      <c r="AG74" s="25">
        <f t="shared" si="164"/>
        <v>748.37078117567501</v>
      </c>
      <c r="AH74" s="4">
        <f t="shared" si="165"/>
        <v>0.74</v>
      </c>
      <c r="AI74" s="4">
        <v>1.25</v>
      </c>
      <c r="AJ74" s="25">
        <f t="shared" si="146"/>
        <v>5</v>
      </c>
      <c r="AK74" s="38">
        <f t="shared" si="205"/>
        <v>205.10902891481459</v>
      </c>
      <c r="AL74" s="38">
        <f t="shared" si="148"/>
        <v>205.10902891481459</v>
      </c>
      <c r="AN74" s="38">
        <f t="shared" si="158"/>
        <v>205.10902891481439</v>
      </c>
      <c r="AO74" s="38">
        <f t="shared" si="87"/>
        <v>1.0000000000000009</v>
      </c>
      <c r="AP74" s="38">
        <f t="shared" si="206"/>
        <v>2.7784670830252196</v>
      </c>
      <c r="AQ74" s="4">
        <f t="shared" si="228"/>
        <v>0</v>
      </c>
      <c r="AR74" s="4" t="e">
        <f>#REF!/G74*F74^0.5/0.19</f>
        <v>#REF!</v>
      </c>
      <c r="AS74" s="4">
        <f t="shared" si="166"/>
        <v>1.1333333333333333</v>
      </c>
      <c r="AT74" s="38">
        <f t="shared" si="167"/>
        <v>569.88868527107979</v>
      </c>
      <c r="AU74" s="4">
        <f t="shared" si="168"/>
        <v>0.3</v>
      </c>
      <c r="AV74" s="4" t="e">
        <f>AU74*D74*#REF!/(D74*G74/2.75/F74^0.5)</f>
        <v>#REF!</v>
      </c>
      <c r="AW74" s="4" t="e">
        <f t="shared" si="207"/>
        <v>#REF!</v>
      </c>
      <c r="AY74" s="36">
        <f t="shared" si="169"/>
        <v>1.1000000000000001</v>
      </c>
      <c r="AZ74" s="36" t="e">
        <f>(1.6*#REF!+22)*AY74*F74^0.5</f>
        <v>#REF!</v>
      </c>
      <c r="BE74" s="4">
        <f t="shared" si="170"/>
        <v>63.499999999999986</v>
      </c>
      <c r="BF74" s="4">
        <f t="shared" si="171"/>
        <v>63.499999999999986</v>
      </c>
      <c r="BG74" s="4">
        <f t="shared" si="172"/>
        <v>88.899999999999991</v>
      </c>
      <c r="BH74" s="4">
        <f t="shared" si="173"/>
        <v>76.199999999999989</v>
      </c>
      <c r="BI74" s="4">
        <f t="shared" si="229"/>
        <v>1.04</v>
      </c>
      <c r="BJ74" s="25">
        <f t="shared" si="174"/>
        <v>3.1199999999999997</v>
      </c>
      <c r="BL74" s="4">
        <f t="shared" si="175"/>
        <v>63.499999999999986</v>
      </c>
      <c r="BP74" s="9"/>
      <c r="BR74" s="9"/>
      <c r="BS74" s="9"/>
      <c r="BT74" s="9">
        <f t="shared" si="176"/>
        <v>50.8</v>
      </c>
      <c r="BU74" s="9">
        <f t="shared" si="177"/>
        <v>63.499999999999986</v>
      </c>
      <c r="BV74" s="9">
        <f t="shared" si="178"/>
        <v>1.4623505735569622</v>
      </c>
      <c r="BW74" s="9">
        <v>0</v>
      </c>
      <c r="BX74" s="9">
        <f t="shared" si="179"/>
        <v>0</v>
      </c>
      <c r="BY74" s="9">
        <f t="shared" si="208"/>
        <v>0</v>
      </c>
      <c r="BZ74" s="9">
        <f t="shared" si="180"/>
        <v>0.99524931562137331</v>
      </c>
      <c r="CA74" s="9">
        <f t="shared" si="181"/>
        <v>1.056</v>
      </c>
      <c r="CB74" s="9">
        <f t="shared" si="182"/>
        <v>1.8756444837875041</v>
      </c>
      <c r="CC74" s="9">
        <f t="shared" si="183"/>
        <v>2.7428497866556087</v>
      </c>
      <c r="CD74" s="9">
        <v>1</v>
      </c>
      <c r="CE74" s="9" t="e">
        <f>4*CC74*#REF!+60*CC74</f>
        <v>#REF!</v>
      </c>
      <c r="CG74" s="4" t="e">
        <f t="shared" si="265"/>
        <v>#REF!</v>
      </c>
      <c r="CH74" s="4" t="e">
        <f t="shared" si="266"/>
        <v>#REF!</v>
      </c>
      <c r="CI74" s="4" t="e">
        <f t="shared" si="267"/>
        <v>#REF!</v>
      </c>
      <c r="CJ74" s="4" t="e">
        <f t="shared" si="268"/>
        <v>#REF!</v>
      </c>
      <c r="CK74" s="4" t="e">
        <f t="shared" si="269"/>
        <v>#REF!</v>
      </c>
      <c r="CL74" s="4" t="e">
        <f t="shared" si="270"/>
        <v>#REF!</v>
      </c>
      <c r="CM74" s="4">
        <f t="shared" si="215"/>
        <v>1.4754435061569753</v>
      </c>
      <c r="CO74" s="4" t="e">
        <f t="shared" si="271"/>
        <v>#REF!</v>
      </c>
      <c r="CP74" s="4" t="e">
        <f t="shared" si="272"/>
        <v>#REF!</v>
      </c>
      <c r="CQ74" s="4" t="e">
        <f t="shared" si="273"/>
        <v>#REF!</v>
      </c>
      <c r="CR74" s="4">
        <f t="shared" si="274"/>
        <v>1.4754435061569753</v>
      </c>
      <c r="CS74" s="4" t="e">
        <f t="shared" si="275"/>
        <v>#REF!</v>
      </c>
      <c r="CT74" s="4" t="e">
        <f t="shared" si="276"/>
        <v>#REF!</v>
      </c>
      <c r="DB74" s="4">
        <f t="shared" si="232"/>
        <v>0</v>
      </c>
      <c r="DC74" s="4">
        <f t="shared" si="184"/>
        <v>381</v>
      </c>
      <c r="DD74" s="4" t="e">
        <f>#REF!/E74</f>
        <v>#REF!</v>
      </c>
      <c r="DF74" s="4">
        <f t="shared" si="185"/>
        <v>2.6015824312812745E-5</v>
      </c>
      <c r="DG74" s="4">
        <f t="shared" si="233"/>
        <v>6.4425559602163514</v>
      </c>
      <c r="DH74" s="4">
        <f t="shared" si="221"/>
        <v>0.25325518071269149</v>
      </c>
      <c r="DI74" s="4">
        <f t="shared" si="149"/>
        <v>3.7194740651305009</v>
      </c>
      <c r="DJ74" s="4">
        <f t="shared" si="150"/>
        <v>5.2614836149260835</v>
      </c>
      <c r="DK74" s="4">
        <f t="shared" si="186"/>
        <v>5.8888646217889873</v>
      </c>
      <c r="DL74" s="38" t="e">
        <f t="shared" si="187"/>
        <v>#REF!</v>
      </c>
      <c r="DM74" s="4" t="e">
        <f t="shared" si="151"/>
        <v>#REF!</v>
      </c>
      <c r="DN74" s="4">
        <f t="shared" si="222"/>
        <v>3.3749074061372411</v>
      </c>
      <c r="DO74" s="4">
        <f t="shared" si="152"/>
        <v>205.10902891481439</v>
      </c>
      <c r="DS74" s="4">
        <f t="shared" si="188"/>
        <v>0.85</v>
      </c>
      <c r="DT74" s="4">
        <f t="shared" si="189"/>
        <v>0.85000000000000009</v>
      </c>
      <c r="DU74" s="4">
        <f t="shared" si="190"/>
        <v>1</v>
      </c>
      <c r="DV74" s="4">
        <f t="shared" si="223"/>
        <v>0.85000000000000009</v>
      </c>
      <c r="DX74" s="4" t="e">
        <f t="shared" si="191"/>
        <v>#REF!</v>
      </c>
      <c r="DY74" s="25">
        <f t="shared" si="192"/>
        <v>202.29704102729465</v>
      </c>
      <c r="EA74" s="4">
        <f t="shared" si="224"/>
        <v>0.72250000000000003</v>
      </c>
      <c r="EB74" s="4">
        <f t="shared" si="159"/>
        <v>6.4425559602163514</v>
      </c>
      <c r="EC74" s="4">
        <f t="shared" si="193"/>
        <v>5.8091238582078786</v>
      </c>
      <c r="EE74" s="4">
        <f t="shared" si="194"/>
        <v>85.722648115885917</v>
      </c>
      <c r="EF74" s="4">
        <f t="shared" si="235"/>
        <v>3.3749074061372411</v>
      </c>
      <c r="EG74" s="4">
        <f t="shared" si="195"/>
        <v>7.0612286989729267E-2</v>
      </c>
      <c r="EJ74" s="4">
        <f t="shared" si="263"/>
        <v>7.0612286989729267E-2</v>
      </c>
      <c r="EK74" s="4">
        <f t="shared" si="196"/>
        <v>0.25283254501643132</v>
      </c>
      <c r="EL74" s="4">
        <f t="shared" si="237"/>
        <v>3.7169899774024113</v>
      </c>
      <c r="EM74" s="4">
        <f t="shared" si="296"/>
        <v>5.2606106739009268</v>
      </c>
      <c r="EN74" s="4">
        <f t="shared" si="239"/>
        <v>200.02735188411407</v>
      </c>
      <c r="EO74" s="4">
        <f t="shared" si="240"/>
        <v>95.25</v>
      </c>
      <c r="EP74" s="4">
        <f t="shared" si="197"/>
        <v>2.6015824312812745E-5</v>
      </c>
      <c r="EQ74" s="4">
        <f t="shared" si="297"/>
        <v>5.8889924951648212</v>
      </c>
      <c r="ER74" s="4" t="e">
        <f t="shared" si="198"/>
        <v>#REF!</v>
      </c>
      <c r="ES74" s="4" t="e">
        <f t="shared" si="242"/>
        <v>#REF!</v>
      </c>
      <c r="ET74" s="4" t="e">
        <f t="shared" si="243"/>
        <v>#REF!</v>
      </c>
      <c r="EV74" s="4" t="e">
        <f t="shared" si="199"/>
        <v>#REF!</v>
      </c>
      <c r="FA74" s="23" t="e">
        <f t="shared" si="277"/>
        <v>#REF!</v>
      </c>
      <c r="FB74" s="23" t="e">
        <f t="shared" si="278"/>
        <v>#REF!</v>
      </c>
      <c r="FC74" s="23">
        <f t="shared" si="290"/>
        <v>1.6</v>
      </c>
      <c r="FD74" s="23" t="e">
        <f t="shared" si="279"/>
        <v>#REF!</v>
      </c>
      <c r="FE74" s="23" t="e">
        <f t="shared" si="280"/>
        <v>#REF!</v>
      </c>
      <c r="FF74" s="23" t="e">
        <f t="shared" si="281"/>
        <v>#REF!</v>
      </c>
      <c r="FG74" s="23" t="e">
        <f t="shared" si="282"/>
        <v>#REF!</v>
      </c>
      <c r="FH74" s="23"/>
      <c r="FR74" s="4">
        <f t="shared" si="140"/>
        <v>1</v>
      </c>
      <c r="FS74" s="4">
        <f t="shared" si="141"/>
        <v>1.0833333333333333</v>
      </c>
      <c r="FT74" s="4">
        <f t="shared" si="142"/>
        <v>0</v>
      </c>
      <c r="FU74" s="4">
        <f t="shared" si="143"/>
        <v>311.77066290944771</v>
      </c>
      <c r="FW74" s="4">
        <f>60000/145</f>
        <v>413.79310344827587</v>
      </c>
    </row>
    <row r="75" spans="2:179" ht="12" customHeight="1" x14ac:dyDescent="0.3">
      <c r="B75" s="24"/>
      <c r="C75" s="7" t="s">
        <v>273</v>
      </c>
      <c r="D75" s="7">
        <v>472</v>
      </c>
      <c r="E75" s="7">
        <f>25*25.4</f>
        <v>635</v>
      </c>
      <c r="F75" s="7">
        <v>28</v>
      </c>
      <c r="G75" s="7">
        <v>25.4</v>
      </c>
      <c r="H75" s="7">
        <f t="shared" si="200"/>
        <v>152.39999999999998</v>
      </c>
      <c r="I75" s="7">
        <f t="shared" si="160"/>
        <v>63.499999999999986</v>
      </c>
      <c r="J75" s="7">
        <f t="shared" si="201"/>
        <v>50.8</v>
      </c>
      <c r="K75" s="7">
        <v>0</v>
      </c>
      <c r="L75" s="7">
        <v>1</v>
      </c>
      <c r="M75" s="7">
        <f t="shared" si="202"/>
        <v>88.899999999999991</v>
      </c>
      <c r="N75" s="7">
        <f t="shared" si="161"/>
        <v>2.9999999999999996</v>
      </c>
      <c r="O75" s="7">
        <f t="shared" si="203"/>
        <v>4</v>
      </c>
      <c r="P75" s="7">
        <v>1.18</v>
      </c>
      <c r="Q75" s="7">
        <f t="shared" si="227"/>
        <v>1.18</v>
      </c>
      <c r="R75" s="7">
        <f t="shared" si="162"/>
        <v>2.1799999999999997</v>
      </c>
      <c r="S75" s="7">
        <f t="shared" si="163"/>
        <v>37.502650572992827</v>
      </c>
      <c r="T75" s="7"/>
      <c r="U75" s="7"/>
      <c r="V75" s="7">
        <v>412</v>
      </c>
      <c r="W75" s="7"/>
      <c r="X75" s="7"/>
      <c r="Y75" s="7"/>
      <c r="Z75" s="7"/>
      <c r="AA75" s="7">
        <v>1</v>
      </c>
      <c r="AB75" s="7"/>
      <c r="AC75" s="7"/>
      <c r="AD75" s="7"/>
      <c r="AE75" s="4">
        <f t="shared" si="252"/>
        <v>635</v>
      </c>
      <c r="AF75" s="44">
        <f t="shared" si="204"/>
        <v>2.1333333333333329E-2</v>
      </c>
      <c r="AG75" s="25">
        <f t="shared" si="164"/>
        <v>1671.0224668242358</v>
      </c>
      <c r="AH75" s="4">
        <f t="shared" si="165"/>
        <v>0.72399999999999998</v>
      </c>
      <c r="AI75" s="4">
        <v>1.25</v>
      </c>
      <c r="AJ75" s="25">
        <f t="shared" si="146"/>
        <v>5</v>
      </c>
      <c r="AK75" s="38">
        <f t="shared" si="205"/>
        <v>161.30936879743288</v>
      </c>
      <c r="AL75" s="38">
        <f t="shared" si="148"/>
        <v>161.30936879743288</v>
      </c>
      <c r="AN75" s="38">
        <f t="shared" si="158"/>
        <v>161.30936879743294</v>
      </c>
      <c r="AO75" s="38">
        <f t="shared" si="87"/>
        <v>0.99999999999999967</v>
      </c>
      <c r="AP75" s="38">
        <f t="shared" si="206"/>
        <v>1.2821781034440662</v>
      </c>
      <c r="AQ75" s="4">
        <f t="shared" si="228"/>
        <v>0</v>
      </c>
      <c r="AR75" s="4" t="e">
        <f>#REF!/G75*F75^0.5/0.19</f>
        <v>#REF!</v>
      </c>
      <c r="AS75" s="4">
        <f t="shared" si="166"/>
        <v>1.1333333333333333</v>
      </c>
      <c r="AT75" s="38">
        <f t="shared" si="167"/>
        <v>206.827340552452</v>
      </c>
      <c r="AU75" s="4">
        <f t="shared" si="168"/>
        <v>0.83479999999999999</v>
      </c>
      <c r="AV75" s="4" t="e">
        <f>AU75*D75*#REF!/(D75*G75/2.75/F75^0.5)</f>
        <v>#REF!</v>
      </c>
      <c r="AW75" s="4" t="e">
        <f t="shared" si="207"/>
        <v>#REF!</v>
      </c>
      <c r="AY75" s="36">
        <f t="shared" si="169"/>
        <v>1.1000000000000001</v>
      </c>
      <c r="AZ75" s="36" t="e">
        <f>(1.6*#REF!+22)*AY75*F75^0.5</f>
        <v>#REF!</v>
      </c>
      <c r="BE75" s="4">
        <f t="shared" si="170"/>
        <v>63.499999999999986</v>
      </c>
      <c r="BF75" s="4">
        <f t="shared" si="171"/>
        <v>63.499999999999986</v>
      </c>
      <c r="BG75" s="4">
        <f t="shared" si="172"/>
        <v>88.899999999999991</v>
      </c>
      <c r="BH75" s="4">
        <f t="shared" si="173"/>
        <v>76.199999999999989</v>
      </c>
      <c r="BI75" s="4">
        <f t="shared" si="229"/>
        <v>1.04</v>
      </c>
      <c r="BJ75" s="25">
        <f t="shared" si="174"/>
        <v>3.1199999999999997</v>
      </c>
      <c r="BL75" s="4">
        <f t="shared" si="175"/>
        <v>63.499999999999986</v>
      </c>
      <c r="BP75" s="9"/>
      <c r="BR75" s="9"/>
      <c r="BS75" s="9"/>
      <c r="BT75" s="9">
        <f t="shared" si="176"/>
        <v>50.8</v>
      </c>
      <c r="BU75" s="9">
        <f t="shared" si="177"/>
        <v>63.499999999999986</v>
      </c>
      <c r="BV75" s="9">
        <f t="shared" si="178"/>
        <v>1.4623505735569622</v>
      </c>
      <c r="BW75" s="9">
        <v>0</v>
      </c>
      <c r="BX75" s="9">
        <f t="shared" si="179"/>
        <v>0</v>
      </c>
      <c r="BY75" s="9">
        <f t="shared" si="208"/>
        <v>0</v>
      </c>
      <c r="BZ75" s="9">
        <f t="shared" si="180"/>
        <v>0.99524931562137331</v>
      </c>
      <c r="CA75" s="9">
        <f t="shared" si="181"/>
        <v>1.056</v>
      </c>
      <c r="CB75" s="9">
        <f t="shared" si="182"/>
        <v>1.9464482686693119</v>
      </c>
      <c r="CC75" s="9">
        <f t="shared" si="183"/>
        <v>2.8463897420875242</v>
      </c>
      <c r="CD75" s="9">
        <v>1</v>
      </c>
      <c r="CE75" s="9" t="e">
        <f>4*CC75*#REF!+60*CC75</f>
        <v>#REF!</v>
      </c>
      <c r="CG75" s="4" t="e">
        <f t="shared" si="265"/>
        <v>#REF!</v>
      </c>
      <c r="CH75" s="4" t="e">
        <f t="shared" si="266"/>
        <v>#REF!</v>
      </c>
      <c r="CI75" s="4" t="e">
        <f t="shared" si="267"/>
        <v>#REF!</v>
      </c>
      <c r="CJ75" s="4" t="e">
        <f t="shared" si="268"/>
        <v>#REF!</v>
      </c>
      <c r="CK75" s="4" t="e">
        <f t="shared" si="269"/>
        <v>#REF!</v>
      </c>
      <c r="CL75" s="4" t="e">
        <f t="shared" si="270"/>
        <v>#REF!</v>
      </c>
      <c r="CM75" s="4">
        <f t="shared" si="215"/>
        <v>0.778335876421405</v>
      </c>
      <c r="CO75" s="4" t="e">
        <f t="shared" si="271"/>
        <v>#REF!</v>
      </c>
      <c r="CP75" s="4" t="e">
        <f t="shared" si="272"/>
        <v>#REF!</v>
      </c>
      <c r="CQ75" s="4" t="e">
        <f t="shared" si="273"/>
        <v>#REF!</v>
      </c>
      <c r="CR75" s="4">
        <f t="shared" si="274"/>
        <v>0.778335876421405</v>
      </c>
      <c r="CS75" s="4" t="e">
        <f t="shared" si="275"/>
        <v>#REF!</v>
      </c>
      <c r="CT75" s="4" t="e">
        <f t="shared" si="276"/>
        <v>#REF!</v>
      </c>
      <c r="DB75" s="4">
        <f t="shared" si="232"/>
        <v>0</v>
      </c>
      <c r="DC75" s="4">
        <f t="shared" si="184"/>
        <v>635</v>
      </c>
      <c r="DD75" s="4" t="e">
        <f>#REF!/E75</f>
        <v>#REF!</v>
      </c>
      <c r="DF75" s="4">
        <f t="shared" si="185"/>
        <v>4.4003395705642358E-5</v>
      </c>
      <c r="DG75" s="4">
        <f t="shared" si="233"/>
        <v>6.6857562842857838</v>
      </c>
      <c r="DH75" s="4">
        <f t="shared" si="221"/>
        <v>0.71244016121952869</v>
      </c>
      <c r="DI75" s="4">
        <f t="shared" si="149"/>
        <v>5.8378092254880025</v>
      </c>
      <c r="DJ75" s="4">
        <f t="shared" si="150"/>
        <v>6.2761261130049659</v>
      </c>
      <c r="DK75" s="4">
        <f t="shared" si="186"/>
        <v>4.7164466615171561</v>
      </c>
      <c r="DL75" s="38" t="e">
        <f t="shared" si="187"/>
        <v>#REF!</v>
      </c>
      <c r="DM75" s="4" t="e">
        <f t="shared" si="151"/>
        <v>#REF!</v>
      </c>
      <c r="DN75" s="4">
        <f t="shared" si="222"/>
        <v>1.4764823060233399</v>
      </c>
      <c r="DO75" s="4">
        <f t="shared" si="152"/>
        <v>161.30936879743294</v>
      </c>
      <c r="DS75" s="4">
        <f t="shared" si="188"/>
        <v>0.85</v>
      </c>
      <c r="DT75" s="4">
        <f t="shared" si="189"/>
        <v>0.85000000000000009</v>
      </c>
      <c r="DU75" s="4">
        <f t="shared" si="190"/>
        <v>1</v>
      </c>
      <c r="DV75" s="4">
        <f t="shared" si="223"/>
        <v>0.85000000000000009</v>
      </c>
      <c r="DX75" s="4" t="e">
        <f t="shared" si="191"/>
        <v>#REF!</v>
      </c>
      <c r="DY75" s="25">
        <f t="shared" si="192"/>
        <v>159.65722173545257</v>
      </c>
      <c r="EA75" s="4">
        <f t="shared" si="224"/>
        <v>0.72250000000000003</v>
      </c>
      <c r="EB75" s="4">
        <f t="shared" si="159"/>
        <v>6.6857562842857838</v>
      </c>
      <c r="EC75" s="4">
        <f t="shared" si="193"/>
        <v>6.028412726414806</v>
      </c>
      <c r="EE75" s="4">
        <f t="shared" si="194"/>
        <v>37.502650572992827</v>
      </c>
      <c r="EF75" s="4">
        <f t="shared" si="235"/>
        <v>1.4764823060233399</v>
      </c>
      <c r="EG75" s="4">
        <f t="shared" si="195"/>
        <v>0.20614019109983853</v>
      </c>
      <c r="EJ75" s="4">
        <f t="shared" si="263"/>
        <v>0.20614019109983853</v>
      </c>
      <c r="EK75" s="4">
        <f t="shared" si="196"/>
        <v>0.71125123137124935</v>
      </c>
      <c r="EL75" s="4">
        <f t="shared" si="237"/>
        <v>5.8339103865656092</v>
      </c>
      <c r="EM75" s="4">
        <f t="shared" si="296"/>
        <v>6.2743133074683879</v>
      </c>
      <c r="EN75" s="4">
        <f t="shared" si="239"/>
        <v>438.74734942700718</v>
      </c>
      <c r="EO75" s="4">
        <f t="shared" si="240"/>
        <v>158.75</v>
      </c>
      <c r="EP75" s="4">
        <f t="shared" si="197"/>
        <v>4.4003395705642358E-5</v>
      </c>
      <c r="EQ75" s="4">
        <f t="shared" si="297"/>
        <v>4.7169759597255663</v>
      </c>
      <c r="ER75" s="4" t="e">
        <f t="shared" si="198"/>
        <v>#REF!</v>
      </c>
      <c r="ES75" s="4" t="e">
        <f t="shared" si="242"/>
        <v>#REF!</v>
      </c>
      <c r="ET75" s="4" t="e">
        <f t="shared" si="243"/>
        <v>#REF!</v>
      </c>
      <c r="EV75" s="4" t="e">
        <f t="shared" si="199"/>
        <v>#REF!</v>
      </c>
      <c r="FA75" s="23" t="e">
        <f t="shared" si="277"/>
        <v>#REF!</v>
      </c>
      <c r="FB75" s="23" t="e">
        <f t="shared" si="278"/>
        <v>#REF!</v>
      </c>
      <c r="FC75" s="23">
        <f t="shared" si="290"/>
        <v>0.8</v>
      </c>
      <c r="FD75" s="23" t="e">
        <f t="shared" si="279"/>
        <v>#REF!</v>
      </c>
      <c r="FE75" s="23" t="e">
        <f t="shared" si="280"/>
        <v>#REF!</v>
      </c>
      <c r="FF75" s="23" t="e">
        <f t="shared" si="281"/>
        <v>#REF!</v>
      </c>
      <c r="FG75" s="23" t="e">
        <f t="shared" si="282"/>
        <v>#REF!</v>
      </c>
      <c r="FH75" s="23"/>
      <c r="FR75" s="4">
        <f t="shared" si="140"/>
        <v>1</v>
      </c>
      <c r="FS75" s="4">
        <f t="shared" si="141"/>
        <v>1.0833333333333333</v>
      </c>
      <c r="FT75" s="4">
        <f t="shared" si="142"/>
        <v>0</v>
      </c>
      <c r="FU75" s="4">
        <f t="shared" si="143"/>
        <v>529.33445891544102</v>
      </c>
    </row>
    <row r="76" spans="2:179" ht="12" customHeight="1" x14ac:dyDescent="0.3">
      <c r="B76" s="24"/>
      <c r="C76" s="7" t="s">
        <v>274</v>
      </c>
      <c r="D76" s="7">
        <v>472</v>
      </c>
      <c r="E76" s="7">
        <f t="shared" ref="E76:E79" si="298">25*25.4</f>
        <v>635</v>
      </c>
      <c r="F76" s="7">
        <v>28</v>
      </c>
      <c r="G76" s="7">
        <v>25.4</v>
      </c>
      <c r="H76" s="7">
        <f t="shared" si="200"/>
        <v>152.39999999999998</v>
      </c>
      <c r="I76" s="7">
        <f t="shared" si="160"/>
        <v>63.499999999999986</v>
      </c>
      <c r="J76" s="7">
        <f t="shared" si="201"/>
        <v>50.8</v>
      </c>
      <c r="K76" s="7">
        <v>0</v>
      </c>
      <c r="L76" s="7">
        <v>1</v>
      </c>
      <c r="M76" s="7">
        <f t="shared" si="202"/>
        <v>88.899999999999991</v>
      </c>
      <c r="N76" s="7">
        <f t="shared" si="161"/>
        <v>2.9999999999999996</v>
      </c>
      <c r="O76" s="7">
        <f t="shared" si="203"/>
        <v>4</v>
      </c>
      <c r="P76" s="7">
        <v>1.85</v>
      </c>
      <c r="Q76" s="7">
        <f t="shared" si="227"/>
        <v>1.85</v>
      </c>
      <c r="R76" s="7">
        <f t="shared" si="162"/>
        <v>2.85</v>
      </c>
      <c r="S76" s="7">
        <f t="shared" si="163"/>
        <v>42.880135260980694</v>
      </c>
      <c r="T76" s="7"/>
      <c r="U76" s="7"/>
      <c r="V76" s="7">
        <v>472</v>
      </c>
      <c r="W76" s="7"/>
      <c r="X76" s="7"/>
      <c r="Y76" s="7"/>
      <c r="Z76" s="7"/>
      <c r="AA76" s="7">
        <v>1</v>
      </c>
      <c r="AB76" s="7"/>
      <c r="AC76" s="7"/>
      <c r="AD76" s="7"/>
      <c r="AE76" s="4">
        <f t="shared" si="252"/>
        <v>635</v>
      </c>
      <c r="AF76" s="44">
        <f t="shared" si="204"/>
        <v>2.1333333333333329E-2</v>
      </c>
      <c r="AG76" s="25">
        <f t="shared" si="164"/>
        <v>1671.0224668242358</v>
      </c>
      <c r="AH76" s="4">
        <f t="shared" si="165"/>
        <v>0.72399999999999998</v>
      </c>
      <c r="AI76" s="4">
        <v>1.25</v>
      </c>
      <c r="AJ76" s="25">
        <f t="shared" si="146"/>
        <v>5</v>
      </c>
      <c r="AK76" s="38">
        <f t="shared" si="205"/>
        <v>161.30936879743288</v>
      </c>
      <c r="AL76" s="38">
        <f t="shared" si="148"/>
        <v>161.30936879743288</v>
      </c>
      <c r="AN76" s="38">
        <f t="shared" si="158"/>
        <v>161.30936879743294</v>
      </c>
      <c r="AO76" s="38">
        <f t="shared" si="87"/>
        <v>0.99999999999999967</v>
      </c>
      <c r="AP76" s="38">
        <f t="shared" si="206"/>
        <v>1.6054368101305474</v>
      </c>
      <c r="AQ76" s="4">
        <f t="shared" si="228"/>
        <v>0</v>
      </c>
      <c r="AR76" s="4" t="e">
        <f>#REF!/G76*F76^0.5/0.19</f>
        <v>#REF!</v>
      </c>
      <c r="AS76" s="4">
        <f t="shared" si="166"/>
        <v>1.1333333333333333</v>
      </c>
      <c r="AT76" s="38">
        <f t="shared" si="167"/>
        <v>258.97199848632278</v>
      </c>
      <c r="AU76" s="4">
        <f t="shared" si="168"/>
        <v>0.74099999999999999</v>
      </c>
      <c r="AV76" s="4" t="e">
        <f>AU76*D76*#REF!/(D76*G76/2.75/F76^0.5)</f>
        <v>#REF!</v>
      </c>
      <c r="AW76" s="4" t="e">
        <f t="shared" ref="AW76:AW79" si="299">AT76+AV76</f>
        <v>#REF!</v>
      </c>
      <c r="AY76" s="36">
        <f t="shared" si="169"/>
        <v>1.1000000000000001</v>
      </c>
      <c r="AZ76" s="36" t="e">
        <f>(1.6*#REF!+22)*AY76*F76^0.5</f>
        <v>#REF!</v>
      </c>
      <c r="BE76" s="4">
        <f t="shared" si="170"/>
        <v>63.499999999999986</v>
      </c>
      <c r="BF76" s="4">
        <f t="shared" si="171"/>
        <v>63.499999999999986</v>
      </c>
      <c r="BG76" s="4">
        <f t="shared" si="172"/>
        <v>88.899999999999991</v>
      </c>
      <c r="BH76" s="4">
        <f t="shared" si="173"/>
        <v>76.199999999999989</v>
      </c>
      <c r="BI76" s="4">
        <f t="shared" si="229"/>
        <v>1.04</v>
      </c>
      <c r="BJ76" s="25">
        <f t="shared" si="174"/>
        <v>3.1199999999999997</v>
      </c>
      <c r="BL76" s="4">
        <f t="shared" si="175"/>
        <v>63.499999999999986</v>
      </c>
      <c r="BP76" s="9"/>
      <c r="BR76" s="9"/>
      <c r="BS76" s="9"/>
      <c r="BT76" s="9">
        <f t="shared" si="176"/>
        <v>50.8</v>
      </c>
      <c r="BU76" s="9">
        <f t="shared" si="177"/>
        <v>63.499999999999986</v>
      </c>
      <c r="BV76" s="9">
        <f t="shared" si="178"/>
        <v>1.4623505735569622</v>
      </c>
      <c r="BW76" s="9">
        <v>0</v>
      </c>
      <c r="BX76" s="9">
        <f t="shared" si="179"/>
        <v>0</v>
      </c>
      <c r="BY76" s="9">
        <f t="shared" ref="BY76:BY79" si="300">MAX(0,BW76*(BX76-0.5/50))</f>
        <v>0</v>
      </c>
      <c r="BZ76" s="9">
        <f t="shared" si="180"/>
        <v>0.99524931562137331</v>
      </c>
      <c r="CA76" s="9">
        <f t="shared" si="181"/>
        <v>1.056</v>
      </c>
      <c r="CB76" s="9">
        <f t="shared" si="182"/>
        <v>1.9464482686693119</v>
      </c>
      <c r="CC76" s="9">
        <f t="shared" si="183"/>
        <v>2.8463897420875242</v>
      </c>
      <c r="CD76" s="9">
        <v>1</v>
      </c>
      <c r="CE76" s="9" t="e">
        <f>4*CC76*#REF!+60*CC76</f>
        <v>#REF!</v>
      </c>
      <c r="CG76" s="4" t="e">
        <f t="shared" si="265"/>
        <v>#REF!</v>
      </c>
      <c r="CH76" s="4" t="e">
        <f t="shared" si="266"/>
        <v>#REF!</v>
      </c>
      <c r="CI76" s="4" t="e">
        <f t="shared" si="267"/>
        <v>#REF!</v>
      </c>
      <c r="CJ76" s="4" t="e">
        <f t="shared" si="268"/>
        <v>#REF!</v>
      </c>
      <c r="CK76" s="4" t="e">
        <f t="shared" si="269"/>
        <v>#REF!</v>
      </c>
      <c r="CL76" s="4" t="e">
        <f t="shared" si="270"/>
        <v>#REF!</v>
      </c>
      <c r="CM76" s="4">
        <f t="shared" si="215"/>
        <v>0.89168576133714361</v>
      </c>
      <c r="CO76" s="4" t="e">
        <f t="shared" si="271"/>
        <v>#REF!</v>
      </c>
      <c r="CP76" s="4" t="e">
        <f t="shared" si="272"/>
        <v>#REF!</v>
      </c>
      <c r="CQ76" s="4" t="e">
        <f t="shared" si="273"/>
        <v>#REF!</v>
      </c>
      <c r="CR76" s="4">
        <f t="shared" si="274"/>
        <v>0.89168576133714361</v>
      </c>
      <c r="CS76" s="4" t="e">
        <f t="shared" si="275"/>
        <v>#REF!</v>
      </c>
      <c r="CT76" s="4" t="e">
        <f t="shared" si="276"/>
        <v>#REF!</v>
      </c>
      <c r="DB76" s="4">
        <f t="shared" si="232"/>
        <v>0</v>
      </c>
      <c r="DC76" s="4">
        <f t="shared" si="184"/>
        <v>635</v>
      </c>
      <c r="DD76" s="4" t="e">
        <f>#REF!/E76</f>
        <v>#REF!</v>
      </c>
      <c r="DF76" s="4">
        <f t="shared" si="185"/>
        <v>4.4003395705642358E-5</v>
      </c>
      <c r="DG76" s="4">
        <f t="shared" si="233"/>
        <v>6.6857562842857838</v>
      </c>
      <c r="DH76" s="4">
        <f t="shared" si="221"/>
        <v>0.51958051416683015</v>
      </c>
      <c r="DI76" s="4">
        <f t="shared" si="149"/>
        <v>5.1453116307848159</v>
      </c>
      <c r="DJ76" s="4">
        <f t="shared" si="150"/>
        <v>5.9655493642715705</v>
      </c>
      <c r="DK76" s="4">
        <f t="shared" si="186"/>
        <v>4.8101247445158783</v>
      </c>
      <c r="DL76" s="38" t="e">
        <f t="shared" si="187"/>
        <v>#REF!</v>
      </c>
      <c r="DM76" s="4" t="e">
        <f t="shared" si="151"/>
        <v>#REF!</v>
      </c>
      <c r="DN76" s="4">
        <f t="shared" si="222"/>
        <v>1.6881943016134133</v>
      </c>
      <c r="DO76" s="4">
        <f t="shared" si="152"/>
        <v>161.30936879743294</v>
      </c>
      <c r="DS76" s="4">
        <f t="shared" si="188"/>
        <v>0.85</v>
      </c>
      <c r="DT76" s="4">
        <f t="shared" si="189"/>
        <v>0.85000000000000009</v>
      </c>
      <c r="DU76" s="4">
        <f t="shared" si="190"/>
        <v>1</v>
      </c>
      <c r="DV76" s="4">
        <f t="shared" ref="DV76:DV79" si="301">IF(DT76*DU76&lt;0.7,0.7,DT76*DU76)</f>
        <v>0.85000000000000009</v>
      </c>
      <c r="DX76" s="4" t="e">
        <f t="shared" si="191"/>
        <v>#REF!</v>
      </c>
      <c r="DY76" s="25">
        <f t="shared" si="192"/>
        <v>159.65722173545257</v>
      </c>
      <c r="EA76" s="4">
        <f t="shared" si="224"/>
        <v>0.72250000000000003</v>
      </c>
      <c r="EB76" s="4">
        <f t="shared" si="159"/>
        <v>6.6857562842857838</v>
      </c>
      <c r="EC76" s="4">
        <f t="shared" si="193"/>
        <v>6.028412726414806</v>
      </c>
      <c r="EE76" s="4">
        <f t="shared" si="194"/>
        <v>42.880135260980694</v>
      </c>
      <c r="EF76" s="4">
        <f t="shared" si="235"/>
        <v>1.6881943016134133</v>
      </c>
      <c r="EG76" s="4">
        <f t="shared" si="195"/>
        <v>0.15033743507491476</v>
      </c>
      <c r="EJ76" s="4">
        <f t="shared" ref="EJ76:EJ79" si="302">EG76</f>
        <v>0.15033743507491476</v>
      </c>
      <c r="EK76" s="4">
        <f t="shared" si="196"/>
        <v>0.51871343112532964</v>
      </c>
      <c r="EL76" s="4">
        <f t="shared" si="237"/>
        <v>5.1418752832648664</v>
      </c>
      <c r="EM76" s="4">
        <f t="shared" ref="EM76:EM79" si="303">EB76/1.4*(1-EK76^1.4)/(1-EK76)</f>
        <v>5.9640685338779997</v>
      </c>
      <c r="EN76" s="4">
        <f t="shared" si="239"/>
        <v>433.36986473901931</v>
      </c>
      <c r="EO76" s="4">
        <f t="shared" si="240"/>
        <v>158.74999999999994</v>
      </c>
      <c r="EP76" s="4">
        <f t="shared" si="197"/>
        <v>4.4003395705642344E-5</v>
      </c>
      <c r="EQ76" s="4">
        <f t="shared" ref="EQ76:EQ79" si="304">MAX(0.5*EB76, (1-2*EP76*(EE76*EL76+EN76*EM76))/(1/EB76+EP76*EO76))</f>
        <v>4.8105683267270267</v>
      </c>
      <c r="ER76" s="4" t="e">
        <f t="shared" si="198"/>
        <v>#REF!</v>
      </c>
      <c r="ES76" s="4" t="e">
        <f t="shared" si="242"/>
        <v>#REF!</v>
      </c>
      <c r="ET76" s="4" t="e">
        <f t="shared" si="243"/>
        <v>#REF!</v>
      </c>
      <c r="EV76" s="4" t="e">
        <f t="shared" si="199"/>
        <v>#REF!</v>
      </c>
      <c r="FA76" s="23" t="e">
        <f t="shared" si="277"/>
        <v>#REF!</v>
      </c>
      <c r="FB76" s="23" t="e">
        <f t="shared" si="278"/>
        <v>#REF!</v>
      </c>
      <c r="FC76" s="23">
        <f t="shared" si="290"/>
        <v>1</v>
      </c>
      <c r="FD76" s="23" t="e">
        <f t="shared" si="279"/>
        <v>#REF!</v>
      </c>
      <c r="FE76" s="23" t="e">
        <f t="shared" si="280"/>
        <v>#REF!</v>
      </c>
      <c r="FF76" s="23" t="e">
        <f t="shared" si="281"/>
        <v>#REF!</v>
      </c>
      <c r="FG76" s="23" t="e">
        <f t="shared" si="282"/>
        <v>#REF!</v>
      </c>
      <c r="FH76" s="23"/>
      <c r="FR76" s="4">
        <f t="shared" si="140"/>
        <v>1</v>
      </c>
      <c r="FS76" s="4">
        <f t="shared" si="141"/>
        <v>1.0833333333333333</v>
      </c>
      <c r="FT76" s="4">
        <f t="shared" si="142"/>
        <v>0</v>
      </c>
      <c r="FU76" s="4">
        <f t="shared" si="143"/>
        <v>529.33445891544102</v>
      </c>
    </row>
    <row r="77" spans="2:179" ht="12" customHeight="1" x14ac:dyDescent="0.3">
      <c r="B77" s="24"/>
      <c r="C77" s="7" t="s">
        <v>278</v>
      </c>
      <c r="D77" s="7">
        <v>472</v>
      </c>
      <c r="E77" s="7">
        <f t="shared" si="298"/>
        <v>635</v>
      </c>
      <c r="F77" s="7">
        <v>28</v>
      </c>
      <c r="G77" s="7">
        <v>25.4</v>
      </c>
      <c r="H77" s="7">
        <f t="shared" si="200"/>
        <v>152.39999999999998</v>
      </c>
      <c r="I77" s="7">
        <f t="shared" si="160"/>
        <v>63.499999999999986</v>
      </c>
      <c r="J77" s="7">
        <f t="shared" si="201"/>
        <v>50.8</v>
      </c>
      <c r="K77" s="7">
        <v>0</v>
      </c>
      <c r="L77" s="7">
        <v>1</v>
      </c>
      <c r="M77" s="7">
        <f t="shared" si="202"/>
        <v>88.899999999999991</v>
      </c>
      <c r="N77" s="7">
        <f t="shared" si="161"/>
        <v>2.9999999999999996</v>
      </c>
      <c r="O77" s="7">
        <f t="shared" si="203"/>
        <v>4</v>
      </c>
      <c r="P77" s="7">
        <v>4.04</v>
      </c>
      <c r="Q77" s="7">
        <f t="shared" si="227"/>
        <v>4.04</v>
      </c>
      <c r="R77" s="7">
        <f t="shared" si="162"/>
        <v>5.04</v>
      </c>
      <c r="S77" s="7">
        <f t="shared" si="163"/>
        <v>57.022858574434863</v>
      </c>
      <c r="T77" s="7"/>
      <c r="U77" s="7"/>
      <c r="V77" s="7">
        <v>421</v>
      </c>
      <c r="W77" s="7"/>
      <c r="X77" s="7"/>
      <c r="Y77" s="7"/>
      <c r="Z77" s="7"/>
      <c r="AA77" s="7">
        <v>1</v>
      </c>
      <c r="AB77" s="7"/>
      <c r="AC77" s="7"/>
      <c r="AD77" s="7"/>
      <c r="AE77" s="4">
        <f t="shared" si="252"/>
        <v>635</v>
      </c>
      <c r="AF77" s="44">
        <f t="shared" si="204"/>
        <v>2.1333333333333329E-2</v>
      </c>
      <c r="AG77" s="25">
        <f t="shared" si="164"/>
        <v>1671.0224668242358</v>
      </c>
      <c r="AH77" s="4">
        <f t="shared" si="165"/>
        <v>0.72399999999999998</v>
      </c>
      <c r="AI77" s="4">
        <v>1.25</v>
      </c>
      <c r="AJ77" s="25">
        <f t="shared" si="146"/>
        <v>5</v>
      </c>
      <c r="AK77" s="38">
        <f t="shared" si="205"/>
        <v>161.30936879743288</v>
      </c>
      <c r="AL77" s="38">
        <f t="shared" si="148"/>
        <v>161.30936879743288</v>
      </c>
      <c r="AN77" s="38">
        <f t="shared" si="158"/>
        <v>161.30936879743294</v>
      </c>
      <c r="AO77" s="38">
        <f t="shared" si="87"/>
        <v>0.99999999999999967</v>
      </c>
      <c r="AP77" s="38">
        <f t="shared" si="206"/>
        <v>2.3724552795991949</v>
      </c>
      <c r="AQ77" s="4">
        <f t="shared" si="228"/>
        <v>0</v>
      </c>
      <c r="AR77" s="4" t="e">
        <f>#REF!/G77*F77^0.5/0.19</f>
        <v>#REF!</v>
      </c>
      <c r="AS77" s="4">
        <f t="shared" si="166"/>
        <v>1.1333333333333333</v>
      </c>
      <c r="AT77" s="38">
        <f t="shared" si="167"/>
        <v>382.69926365228338</v>
      </c>
      <c r="AU77" s="4">
        <f t="shared" si="168"/>
        <v>0.43440000000000001</v>
      </c>
      <c r="AV77" s="4" t="e">
        <f>AU77*D77*#REF!/(D77*G77/2.75/F77^0.5)</f>
        <v>#REF!</v>
      </c>
      <c r="AW77" s="4" t="e">
        <f t="shared" si="299"/>
        <v>#REF!</v>
      </c>
      <c r="AY77" s="36">
        <f t="shared" si="169"/>
        <v>1.1000000000000001</v>
      </c>
      <c r="AZ77" s="36" t="e">
        <f>(1.6*#REF!+22)*AY77*F77^0.5</f>
        <v>#REF!</v>
      </c>
      <c r="BE77" s="4">
        <f t="shared" si="170"/>
        <v>63.499999999999986</v>
      </c>
      <c r="BF77" s="4">
        <f t="shared" si="171"/>
        <v>63.499999999999986</v>
      </c>
      <c r="BG77" s="4">
        <f t="shared" si="172"/>
        <v>88.899999999999991</v>
      </c>
      <c r="BH77" s="4">
        <f t="shared" si="173"/>
        <v>76.199999999999989</v>
      </c>
      <c r="BI77" s="4">
        <f t="shared" si="229"/>
        <v>1.04</v>
      </c>
      <c r="BJ77" s="25">
        <f t="shared" si="174"/>
        <v>3.1199999999999997</v>
      </c>
      <c r="BL77" s="4">
        <f t="shared" si="175"/>
        <v>63.499999999999986</v>
      </c>
      <c r="BP77" s="9"/>
      <c r="BR77" s="9"/>
      <c r="BS77" s="9"/>
      <c r="BT77" s="9">
        <f t="shared" si="176"/>
        <v>50.8</v>
      </c>
      <c r="BU77" s="9">
        <f t="shared" si="177"/>
        <v>63.499999999999986</v>
      </c>
      <c r="BV77" s="9">
        <f t="shared" si="178"/>
        <v>1.4623505735569622</v>
      </c>
      <c r="BW77" s="9">
        <v>0</v>
      </c>
      <c r="BX77" s="9">
        <f t="shared" si="179"/>
        <v>0</v>
      </c>
      <c r="BY77" s="9">
        <f t="shared" si="300"/>
        <v>0</v>
      </c>
      <c r="BZ77" s="9">
        <f t="shared" si="180"/>
        <v>0.99524931562137331</v>
      </c>
      <c r="CA77" s="9">
        <f t="shared" si="181"/>
        <v>1.056</v>
      </c>
      <c r="CB77" s="9">
        <f t="shared" si="182"/>
        <v>1.9464482686693119</v>
      </c>
      <c r="CC77" s="9">
        <f t="shared" si="183"/>
        <v>2.8463897420875242</v>
      </c>
      <c r="CD77" s="9">
        <v>1</v>
      </c>
      <c r="CE77" s="9" t="e">
        <f>4*CC77*#REF!+60*CC77</f>
        <v>#REF!</v>
      </c>
      <c r="CG77" s="4" t="e">
        <f t="shared" si="265"/>
        <v>#REF!</v>
      </c>
      <c r="CH77" s="4" t="e">
        <f t="shared" si="266"/>
        <v>#REF!</v>
      </c>
      <c r="CI77" s="4" t="e">
        <f t="shared" si="267"/>
        <v>#REF!</v>
      </c>
      <c r="CJ77" s="4" t="e">
        <f t="shared" si="268"/>
        <v>#REF!</v>
      </c>
      <c r="CK77" s="4" t="e">
        <f t="shared" si="269"/>
        <v>#REF!</v>
      </c>
      <c r="CL77" s="4" t="e">
        <f t="shared" si="270"/>
        <v>#REF!</v>
      </c>
      <c r="CM77" s="4">
        <f t="shared" si="215"/>
        <v>0.79533835915876583</v>
      </c>
      <c r="CO77" s="4" t="e">
        <f t="shared" si="271"/>
        <v>#REF!</v>
      </c>
      <c r="CP77" s="4" t="e">
        <f t="shared" si="272"/>
        <v>#REF!</v>
      </c>
      <c r="CQ77" s="4" t="e">
        <f t="shared" si="273"/>
        <v>#REF!</v>
      </c>
      <c r="CR77" s="4">
        <f t="shared" si="274"/>
        <v>0.79533835915876583</v>
      </c>
      <c r="CS77" s="4" t="e">
        <f t="shared" si="275"/>
        <v>#REF!</v>
      </c>
      <c r="CT77" s="4" t="e">
        <f t="shared" si="276"/>
        <v>#REF!</v>
      </c>
      <c r="DB77" s="4">
        <f t="shared" si="232"/>
        <v>0</v>
      </c>
      <c r="DC77" s="4">
        <f t="shared" si="184"/>
        <v>635</v>
      </c>
      <c r="DD77" s="4" t="e">
        <f>#REF!/E77</f>
        <v>#REF!</v>
      </c>
      <c r="DF77" s="4">
        <f t="shared" si="185"/>
        <v>4.4003395705642358E-5</v>
      </c>
      <c r="DG77" s="4">
        <f t="shared" si="233"/>
        <v>6.6857562842857838</v>
      </c>
      <c r="DH77" s="4">
        <f t="shared" si="221"/>
        <v>0.31639969550146724</v>
      </c>
      <c r="DI77" s="4">
        <f t="shared" si="149"/>
        <v>4.219344285942098</v>
      </c>
      <c r="DJ77" s="4">
        <f t="shared" si="150"/>
        <v>5.5909415004503167</v>
      </c>
      <c r="DK77" s="4">
        <f t="shared" si="186"/>
        <v>4.9346088081125474</v>
      </c>
      <c r="DL77" s="38" t="e">
        <f t="shared" si="187"/>
        <v>#REF!</v>
      </c>
      <c r="DM77" s="4" t="e">
        <f t="shared" si="151"/>
        <v>#REF!</v>
      </c>
      <c r="DN77" s="4">
        <f t="shared" si="222"/>
        <v>2.2449944320643649</v>
      </c>
      <c r="DO77" s="4">
        <f t="shared" si="152"/>
        <v>161.30936879743294</v>
      </c>
      <c r="DS77" s="4">
        <f t="shared" si="188"/>
        <v>0.85</v>
      </c>
      <c r="DT77" s="4">
        <f t="shared" si="189"/>
        <v>0.85000000000000009</v>
      </c>
      <c r="DU77" s="4">
        <f t="shared" si="190"/>
        <v>1</v>
      </c>
      <c r="DV77" s="4">
        <f t="shared" si="301"/>
        <v>0.85000000000000009</v>
      </c>
      <c r="DX77" s="4" t="e">
        <f t="shared" si="191"/>
        <v>#REF!</v>
      </c>
      <c r="DY77" s="25">
        <f t="shared" si="192"/>
        <v>159.65722173545257</v>
      </c>
      <c r="EA77" s="4">
        <f t="shared" si="224"/>
        <v>0.72250000000000003</v>
      </c>
      <c r="EB77" s="4">
        <f t="shared" si="159"/>
        <v>6.6857562842857838</v>
      </c>
      <c r="EC77" s="4">
        <f t="shared" si="193"/>
        <v>6.028412726414806</v>
      </c>
      <c r="EE77" s="4">
        <f t="shared" si="194"/>
        <v>57.022858574434863</v>
      </c>
      <c r="EF77" s="4">
        <f t="shared" si="235"/>
        <v>2.2449944320643649</v>
      </c>
      <c r="EG77" s="4">
        <f t="shared" si="195"/>
        <v>9.1548311345836214E-2</v>
      </c>
      <c r="EJ77" s="4">
        <f t="shared" si="302"/>
        <v>9.1548311345836214E-2</v>
      </c>
      <c r="EK77" s="4">
        <f t="shared" si="196"/>
        <v>0.31587168337856231</v>
      </c>
      <c r="EL77" s="4">
        <f t="shared" si="237"/>
        <v>4.2165263549180425</v>
      </c>
      <c r="EM77" s="4">
        <f t="shared" si="303"/>
        <v>5.5898818106728223</v>
      </c>
      <c r="EN77" s="4">
        <f t="shared" si="239"/>
        <v>419.22714142556515</v>
      </c>
      <c r="EO77" s="4">
        <f t="shared" si="240"/>
        <v>158.75</v>
      </c>
      <c r="EP77" s="4">
        <f t="shared" si="197"/>
        <v>4.4003395705642358E-5</v>
      </c>
      <c r="EQ77" s="4">
        <f t="shared" si="304"/>
        <v>4.9349488663478827</v>
      </c>
      <c r="ER77" s="4" t="e">
        <f t="shared" si="198"/>
        <v>#REF!</v>
      </c>
      <c r="ES77" s="4" t="e">
        <f t="shared" si="242"/>
        <v>#REF!</v>
      </c>
      <c r="ET77" s="4" t="e">
        <f t="shared" si="243"/>
        <v>#REF!</v>
      </c>
      <c r="EV77" s="4" t="e">
        <f t="shared" si="199"/>
        <v>#REF!</v>
      </c>
      <c r="FA77" s="23" t="e">
        <f t="shared" si="277"/>
        <v>#REF!</v>
      </c>
      <c r="FB77" s="23" t="e">
        <f t="shared" si="278"/>
        <v>#REF!</v>
      </c>
      <c r="FC77" s="23">
        <f t="shared" si="290"/>
        <v>0.8</v>
      </c>
      <c r="FD77" s="23" t="e">
        <f t="shared" si="279"/>
        <v>#REF!</v>
      </c>
      <c r="FE77" s="23" t="e">
        <f t="shared" si="280"/>
        <v>#REF!</v>
      </c>
      <c r="FF77" s="23" t="e">
        <f t="shared" si="281"/>
        <v>#REF!</v>
      </c>
      <c r="FG77" s="23" t="e">
        <f t="shared" si="282"/>
        <v>#REF!</v>
      </c>
      <c r="FH77" s="23"/>
      <c r="FR77" s="4">
        <f t="shared" si="140"/>
        <v>1</v>
      </c>
      <c r="FS77" s="4">
        <f t="shared" si="141"/>
        <v>1.0833333333333333</v>
      </c>
      <c r="FT77" s="4">
        <f t="shared" si="142"/>
        <v>0</v>
      </c>
      <c r="FU77" s="4">
        <f t="shared" si="143"/>
        <v>529.33445891544102</v>
      </c>
    </row>
    <row r="78" spans="2:179" ht="12" customHeight="1" x14ac:dyDescent="0.3">
      <c r="B78" s="24"/>
      <c r="C78" s="7" t="s">
        <v>279</v>
      </c>
      <c r="D78" s="7">
        <v>472</v>
      </c>
      <c r="E78" s="7">
        <f t="shared" si="298"/>
        <v>635</v>
      </c>
      <c r="F78" s="7">
        <v>28</v>
      </c>
      <c r="G78" s="7">
        <v>25.4</v>
      </c>
      <c r="H78" s="7">
        <f t="shared" si="200"/>
        <v>152.39999999999998</v>
      </c>
      <c r="I78" s="7">
        <f t="shared" si="160"/>
        <v>63.499999999999986</v>
      </c>
      <c r="J78" s="7">
        <f t="shared" si="201"/>
        <v>50.8</v>
      </c>
      <c r="K78" s="7">
        <v>0</v>
      </c>
      <c r="L78" s="7">
        <v>1</v>
      </c>
      <c r="M78" s="7">
        <f t="shared" si="202"/>
        <v>88.899999999999991</v>
      </c>
      <c r="N78" s="7">
        <f t="shared" si="161"/>
        <v>2.9999999999999996</v>
      </c>
      <c r="O78" s="7">
        <f t="shared" si="203"/>
        <v>4</v>
      </c>
      <c r="P78" s="7">
        <v>4.0599999999999996</v>
      </c>
      <c r="Q78" s="7">
        <f t="shared" si="227"/>
        <v>4.0599999999999996</v>
      </c>
      <c r="R78" s="7">
        <f t="shared" si="162"/>
        <v>5.0599999999999996</v>
      </c>
      <c r="S78" s="7">
        <f t="shared" si="163"/>
        <v>57.135887146346114</v>
      </c>
      <c r="T78" s="7"/>
      <c r="U78" s="7"/>
      <c r="V78" s="7">
        <v>472</v>
      </c>
      <c r="W78" s="7"/>
      <c r="X78" s="7"/>
      <c r="Y78" s="7"/>
      <c r="Z78" s="7"/>
      <c r="AA78" s="7">
        <v>1</v>
      </c>
      <c r="AB78" s="7"/>
      <c r="AC78" s="7"/>
      <c r="AD78" s="7"/>
      <c r="AE78" s="4">
        <f t="shared" si="252"/>
        <v>635</v>
      </c>
      <c r="AF78" s="44">
        <f t="shared" si="204"/>
        <v>2.1333333333333329E-2</v>
      </c>
      <c r="AG78" s="25">
        <f t="shared" si="164"/>
        <v>1671.0224668242358</v>
      </c>
      <c r="AH78" s="4">
        <f t="shared" si="165"/>
        <v>0.72399999999999998</v>
      </c>
      <c r="AI78" s="4">
        <v>1.25</v>
      </c>
      <c r="AJ78" s="25">
        <f t="shared" si="146"/>
        <v>5</v>
      </c>
      <c r="AK78" s="38">
        <f t="shared" si="205"/>
        <v>161.30936879743288</v>
      </c>
      <c r="AL78" s="38">
        <f t="shared" si="148"/>
        <v>161.30936879743288</v>
      </c>
      <c r="AN78" s="38">
        <f t="shared" si="158"/>
        <v>161.30936879743294</v>
      </c>
      <c r="AO78" s="38">
        <f t="shared" si="87"/>
        <v>0.99999999999999967</v>
      </c>
      <c r="AP78" s="38">
        <f t="shared" si="206"/>
        <v>2.3783204437526595</v>
      </c>
      <c r="AQ78" s="4">
        <f t="shared" si="228"/>
        <v>0</v>
      </c>
      <c r="AR78" s="4" t="e">
        <f>#REF!/G78*F78^0.5/0.19</f>
        <v>#REF!</v>
      </c>
      <c r="AS78" s="4">
        <f t="shared" si="166"/>
        <v>1.1333333333333333</v>
      </c>
      <c r="AT78" s="38">
        <f t="shared" si="167"/>
        <v>383.64536957977214</v>
      </c>
      <c r="AU78" s="4">
        <f t="shared" si="168"/>
        <v>0.43160000000000009</v>
      </c>
      <c r="AV78" s="4" t="e">
        <f>AU78*D78*#REF!/(D78*G78/2.75/F78^0.5)</f>
        <v>#REF!</v>
      </c>
      <c r="AW78" s="4" t="e">
        <f t="shared" si="299"/>
        <v>#REF!</v>
      </c>
      <c r="AY78" s="36">
        <f t="shared" si="169"/>
        <v>1.1000000000000001</v>
      </c>
      <c r="AZ78" s="36" t="e">
        <f>(1.6*#REF!+22)*AY78*F78^0.5</f>
        <v>#REF!</v>
      </c>
      <c r="BE78" s="4">
        <f t="shared" si="170"/>
        <v>63.499999999999986</v>
      </c>
      <c r="BF78" s="4">
        <f t="shared" si="171"/>
        <v>63.499999999999986</v>
      </c>
      <c r="BG78" s="4">
        <f t="shared" si="172"/>
        <v>88.899999999999991</v>
      </c>
      <c r="BH78" s="4">
        <f t="shared" si="173"/>
        <v>76.199999999999989</v>
      </c>
      <c r="BI78" s="4">
        <f t="shared" si="229"/>
        <v>1.04</v>
      </c>
      <c r="BJ78" s="25">
        <f t="shared" si="174"/>
        <v>3.1199999999999997</v>
      </c>
      <c r="BL78" s="4">
        <f t="shared" si="175"/>
        <v>63.499999999999986</v>
      </c>
      <c r="BP78" s="9"/>
      <c r="BR78" s="9"/>
      <c r="BS78" s="9"/>
      <c r="BT78" s="9">
        <f t="shared" si="176"/>
        <v>50.8</v>
      </c>
      <c r="BU78" s="9">
        <f t="shared" si="177"/>
        <v>63.499999999999986</v>
      </c>
      <c r="BV78" s="9">
        <f t="shared" si="178"/>
        <v>1.4623505735569622</v>
      </c>
      <c r="BW78" s="9">
        <v>0</v>
      </c>
      <c r="BX78" s="9">
        <f t="shared" si="179"/>
        <v>0</v>
      </c>
      <c r="BY78" s="9">
        <f t="shared" si="300"/>
        <v>0</v>
      </c>
      <c r="BZ78" s="9">
        <f t="shared" si="180"/>
        <v>0.99524931562137331</v>
      </c>
      <c r="CA78" s="9">
        <f t="shared" si="181"/>
        <v>1.056</v>
      </c>
      <c r="CB78" s="9">
        <f t="shared" si="182"/>
        <v>1.9464482686693119</v>
      </c>
      <c r="CC78" s="9">
        <f t="shared" si="183"/>
        <v>2.8463897420875242</v>
      </c>
      <c r="CD78" s="9">
        <v>1</v>
      </c>
      <c r="CE78" s="9" t="e">
        <f>4*CC78*#REF!+60*CC78</f>
        <v>#REF!</v>
      </c>
      <c r="CG78" s="4" t="e">
        <f t="shared" si="265"/>
        <v>#REF!</v>
      </c>
      <c r="CH78" s="4" t="e">
        <f t="shared" si="266"/>
        <v>#REF!</v>
      </c>
      <c r="CI78" s="4" t="e">
        <f t="shared" si="267"/>
        <v>#REF!</v>
      </c>
      <c r="CJ78" s="4" t="e">
        <f t="shared" si="268"/>
        <v>#REF!</v>
      </c>
      <c r="CK78" s="4" t="e">
        <f t="shared" si="269"/>
        <v>#REF!</v>
      </c>
      <c r="CL78" s="4" t="e">
        <f t="shared" si="270"/>
        <v>#REF!</v>
      </c>
      <c r="CM78" s="4">
        <f t="shared" si="215"/>
        <v>0.89168576133714361</v>
      </c>
      <c r="CO78" s="4" t="e">
        <f t="shared" si="271"/>
        <v>#REF!</v>
      </c>
      <c r="CP78" s="4" t="e">
        <f t="shared" si="272"/>
        <v>#REF!</v>
      </c>
      <c r="CQ78" s="4" t="e">
        <f t="shared" si="273"/>
        <v>#REF!</v>
      </c>
      <c r="CR78" s="4">
        <f t="shared" si="274"/>
        <v>0.89168576133714361</v>
      </c>
      <c r="CS78" s="4" t="e">
        <f t="shared" si="275"/>
        <v>#REF!</v>
      </c>
      <c r="CT78" s="4" t="e">
        <f t="shared" si="276"/>
        <v>#REF!</v>
      </c>
      <c r="DB78" s="4">
        <f t="shared" si="232"/>
        <v>0</v>
      </c>
      <c r="DC78" s="4">
        <f t="shared" si="184"/>
        <v>635</v>
      </c>
      <c r="DD78" s="4" t="e">
        <f>#REF!/E78</f>
        <v>#REF!</v>
      </c>
      <c r="DF78" s="4">
        <f t="shared" si="185"/>
        <v>4.4003395705642358E-5</v>
      </c>
      <c r="DG78" s="4">
        <f t="shared" si="233"/>
        <v>6.6857562842857838</v>
      </c>
      <c r="DH78" s="4">
        <f t="shared" si="221"/>
        <v>0.3154651424867419</v>
      </c>
      <c r="DI78" s="4">
        <f t="shared" si="149"/>
        <v>4.2143547734798679</v>
      </c>
      <c r="DJ78" s="4">
        <f t="shared" si="150"/>
        <v>5.5890655388539159</v>
      </c>
      <c r="DK78" s="4">
        <f t="shared" si="186"/>
        <v>4.9352981872014201</v>
      </c>
      <c r="DL78" s="38" t="e">
        <f t="shared" si="187"/>
        <v>#REF!</v>
      </c>
      <c r="DM78" s="4" t="e">
        <f t="shared" si="151"/>
        <v>#REF!</v>
      </c>
      <c r="DN78" s="4">
        <f t="shared" si="222"/>
        <v>2.2494443758403984</v>
      </c>
      <c r="DO78" s="4">
        <f t="shared" si="152"/>
        <v>161.30936879743294</v>
      </c>
      <c r="DS78" s="4">
        <f t="shared" si="188"/>
        <v>0.85</v>
      </c>
      <c r="DT78" s="4">
        <f t="shared" si="189"/>
        <v>0.85000000000000009</v>
      </c>
      <c r="DU78" s="4">
        <f t="shared" si="190"/>
        <v>1</v>
      </c>
      <c r="DV78" s="4">
        <f t="shared" si="301"/>
        <v>0.85000000000000009</v>
      </c>
      <c r="DX78" s="4" t="e">
        <f t="shared" si="191"/>
        <v>#REF!</v>
      </c>
      <c r="DY78" s="25">
        <f t="shared" si="192"/>
        <v>159.65722173545257</v>
      </c>
      <c r="EA78" s="4">
        <f t="shared" si="224"/>
        <v>0.72250000000000003</v>
      </c>
      <c r="EB78" s="4">
        <f t="shared" si="159"/>
        <v>6.6857562842857838</v>
      </c>
      <c r="EC78" s="4">
        <f t="shared" si="193"/>
        <v>6.028412726414806</v>
      </c>
      <c r="EE78" s="4">
        <f t="shared" si="194"/>
        <v>57.135887146346114</v>
      </c>
      <c r="EF78" s="4">
        <f t="shared" si="235"/>
        <v>2.2494443758403984</v>
      </c>
      <c r="EG78" s="4">
        <f t="shared" si="195"/>
        <v>9.127790416284047E-2</v>
      </c>
      <c r="EJ78" s="4">
        <f t="shared" si="302"/>
        <v>9.127790416284047E-2</v>
      </c>
      <c r="EK78" s="4">
        <f t="shared" si="196"/>
        <v>0.31493868995864155</v>
      </c>
      <c r="EL78" s="4">
        <f t="shared" si="237"/>
        <v>4.2115401747513097</v>
      </c>
      <c r="EM78" s="4">
        <f t="shared" si="303"/>
        <v>5.5880080266286809</v>
      </c>
      <c r="EN78" s="4">
        <f t="shared" si="239"/>
        <v>419.11411285365386</v>
      </c>
      <c r="EO78" s="4">
        <f t="shared" si="240"/>
        <v>158.75</v>
      </c>
      <c r="EP78" s="4">
        <f t="shared" si="197"/>
        <v>4.4003395705642358E-5</v>
      </c>
      <c r="EQ78" s="4">
        <f t="shared" si="304"/>
        <v>4.9356377370924536</v>
      </c>
      <c r="ER78" s="4" t="e">
        <f t="shared" si="198"/>
        <v>#REF!</v>
      </c>
      <c r="ES78" s="4" t="e">
        <f t="shared" si="242"/>
        <v>#REF!</v>
      </c>
      <c r="ET78" s="4" t="e">
        <f t="shared" si="243"/>
        <v>#REF!</v>
      </c>
      <c r="EV78" s="4" t="e">
        <f t="shared" si="199"/>
        <v>#REF!</v>
      </c>
      <c r="FA78" s="23" t="e">
        <f t="shared" si="277"/>
        <v>#REF!</v>
      </c>
      <c r="FB78" s="23" t="e">
        <f t="shared" si="278"/>
        <v>#REF!</v>
      </c>
      <c r="FC78" s="23">
        <f t="shared" si="290"/>
        <v>1</v>
      </c>
      <c r="FD78" s="23" t="e">
        <f t="shared" si="279"/>
        <v>#REF!</v>
      </c>
      <c r="FE78" s="23" t="e">
        <f t="shared" si="280"/>
        <v>#REF!</v>
      </c>
      <c r="FF78" s="23" t="e">
        <f t="shared" si="281"/>
        <v>#REF!</v>
      </c>
      <c r="FG78" s="23" t="e">
        <f t="shared" si="282"/>
        <v>#REF!</v>
      </c>
      <c r="FH78" s="23"/>
      <c r="FR78" s="4">
        <f t="shared" si="140"/>
        <v>1</v>
      </c>
      <c r="FS78" s="4">
        <f t="shared" si="141"/>
        <v>1.0833333333333333</v>
      </c>
      <c r="FT78" s="4">
        <f t="shared" si="142"/>
        <v>0</v>
      </c>
      <c r="FU78" s="4">
        <f t="shared" si="143"/>
        <v>529.33445891544102</v>
      </c>
    </row>
    <row r="79" spans="2:179" ht="12" customHeight="1" x14ac:dyDescent="0.3">
      <c r="B79" s="24"/>
      <c r="C79" s="7" t="s">
        <v>282</v>
      </c>
      <c r="D79" s="7">
        <v>472</v>
      </c>
      <c r="E79" s="7">
        <f t="shared" si="298"/>
        <v>635</v>
      </c>
      <c r="F79" s="7">
        <v>28</v>
      </c>
      <c r="G79" s="7">
        <v>25.4</v>
      </c>
      <c r="H79" s="7">
        <f t="shared" si="200"/>
        <v>152.39999999999998</v>
      </c>
      <c r="I79" s="7">
        <f t="shared" si="160"/>
        <v>63.499999999999986</v>
      </c>
      <c r="J79" s="7">
        <f t="shared" si="201"/>
        <v>50.8</v>
      </c>
      <c r="K79" s="7">
        <v>0</v>
      </c>
      <c r="L79" s="7">
        <v>1</v>
      </c>
      <c r="M79" s="7">
        <f t="shared" si="202"/>
        <v>88.899999999999991</v>
      </c>
      <c r="N79" s="7">
        <f t="shared" si="161"/>
        <v>2.9999999999999996</v>
      </c>
      <c r="O79" s="7">
        <f t="shared" si="203"/>
        <v>4</v>
      </c>
      <c r="P79" s="7">
        <v>10.39</v>
      </c>
      <c r="Q79" s="7">
        <f t="shared" si="227"/>
        <v>10.39</v>
      </c>
      <c r="R79" s="7">
        <f t="shared" si="162"/>
        <v>11.39</v>
      </c>
      <c r="S79" s="7">
        <f t="shared" si="163"/>
        <v>85.722648115885917</v>
      </c>
      <c r="T79" s="7"/>
      <c r="U79" s="7"/>
      <c r="V79" s="7">
        <v>472</v>
      </c>
      <c r="W79" s="7"/>
      <c r="X79" s="7"/>
      <c r="Y79" s="7"/>
      <c r="Z79" s="7"/>
      <c r="AA79" s="7">
        <v>1</v>
      </c>
      <c r="AB79" s="7"/>
      <c r="AC79" s="7"/>
      <c r="AD79" s="7"/>
      <c r="AE79" s="4">
        <f t="shared" si="252"/>
        <v>635</v>
      </c>
      <c r="AF79" s="44">
        <f t="shared" si="204"/>
        <v>2.1333333333333329E-2</v>
      </c>
      <c r="AG79" s="25">
        <f t="shared" si="164"/>
        <v>1671.0224668242358</v>
      </c>
      <c r="AH79" s="4">
        <f t="shared" si="165"/>
        <v>0.72399999999999998</v>
      </c>
      <c r="AI79" s="4">
        <v>1.25</v>
      </c>
      <c r="AJ79" s="25">
        <f t="shared" si="146"/>
        <v>5</v>
      </c>
      <c r="AK79" s="38">
        <f t="shared" si="205"/>
        <v>161.30936879743288</v>
      </c>
      <c r="AL79" s="38">
        <f t="shared" si="148"/>
        <v>161.30936879743288</v>
      </c>
      <c r="AN79" s="38">
        <f t="shared" si="158"/>
        <v>161.30936879743294</v>
      </c>
      <c r="AO79" s="38">
        <f t="shared" si="87"/>
        <v>0.99999999999999967</v>
      </c>
      <c r="AP79" s="38">
        <f t="shared" si="206"/>
        <v>3.8046536355645637</v>
      </c>
      <c r="AQ79" s="4">
        <f t="shared" si="228"/>
        <v>0</v>
      </c>
      <c r="AR79" s="4" t="e">
        <f>#REF!/G79*F79^0.5/0.19</f>
        <v>#REF!</v>
      </c>
      <c r="AS79" s="4">
        <f t="shared" si="166"/>
        <v>1.1333333333333333</v>
      </c>
      <c r="AT79" s="38">
        <f t="shared" si="167"/>
        <v>613.72627644577824</v>
      </c>
      <c r="AU79" s="4">
        <f t="shared" si="168"/>
        <v>0.3</v>
      </c>
      <c r="AV79" s="4" t="e">
        <f>AU79*D79*#REF!/(D79*G79/2.75/F79^0.5)</f>
        <v>#REF!</v>
      </c>
      <c r="AW79" s="4" t="e">
        <f t="shared" si="299"/>
        <v>#REF!</v>
      </c>
      <c r="AY79" s="36">
        <f t="shared" si="169"/>
        <v>1.1000000000000001</v>
      </c>
      <c r="AZ79" s="36" t="e">
        <f>(1.6*#REF!+22)*AY79*F79^0.5</f>
        <v>#REF!</v>
      </c>
      <c r="BE79" s="4">
        <f t="shared" si="170"/>
        <v>63.499999999999986</v>
      </c>
      <c r="BF79" s="4">
        <f t="shared" si="171"/>
        <v>63.499999999999986</v>
      </c>
      <c r="BG79" s="4">
        <f t="shared" si="172"/>
        <v>88.899999999999991</v>
      </c>
      <c r="BH79" s="4">
        <f t="shared" si="173"/>
        <v>76.199999999999989</v>
      </c>
      <c r="BI79" s="4">
        <f t="shared" si="229"/>
        <v>1.04</v>
      </c>
      <c r="BJ79" s="25">
        <f t="shared" si="174"/>
        <v>3.1199999999999997</v>
      </c>
      <c r="BL79" s="4">
        <f t="shared" si="175"/>
        <v>63.499999999999986</v>
      </c>
      <c r="BP79" s="9"/>
      <c r="BR79" s="9"/>
      <c r="BS79" s="9"/>
      <c r="BT79" s="9">
        <f t="shared" si="176"/>
        <v>50.8</v>
      </c>
      <c r="BU79" s="9">
        <f t="shared" si="177"/>
        <v>63.499999999999986</v>
      </c>
      <c r="BV79" s="9">
        <f t="shared" si="178"/>
        <v>1.4623505735569622</v>
      </c>
      <c r="BW79" s="9">
        <v>0</v>
      </c>
      <c r="BX79" s="9">
        <f t="shared" si="179"/>
        <v>0</v>
      </c>
      <c r="BY79" s="9">
        <f t="shared" si="300"/>
        <v>0</v>
      </c>
      <c r="BZ79" s="9">
        <f t="shared" si="180"/>
        <v>0.99524931562137331</v>
      </c>
      <c r="CA79" s="9">
        <f t="shared" si="181"/>
        <v>1.056</v>
      </c>
      <c r="CB79" s="9">
        <f t="shared" si="182"/>
        <v>1.9464482686693119</v>
      </c>
      <c r="CC79" s="9">
        <f t="shared" si="183"/>
        <v>2.8463897420875242</v>
      </c>
      <c r="CD79" s="9">
        <v>1</v>
      </c>
      <c r="CE79" s="9" t="e">
        <f>4*CC79*#REF!+60*CC79</f>
        <v>#REF!</v>
      </c>
      <c r="CG79" s="4" t="e">
        <f t="shared" si="265"/>
        <v>#REF!</v>
      </c>
      <c r="CH79" s="4" t="e">
        <f t="shared" si="266"/>
        <v>#REF!</v>
      </c>
      <c r="CI79" s="4" t="e">
        <f t="shared" si="267"/>
        <v>#REF!</v>
      </c>
      <c r="CJ79" s="4" t="e">
        <f t="shared" si="268"/>
        <v>#REF!</v>
      </c>
      <c r="CK79" s="4" t="e">
        <f t="shared" si="269"/>
        <v>#REF!</v>
      </c>
      <c r="CL79" s="4" t="e">
        <f t="shared" si="270"/>
        <v>#REF!</v>
      </c>
      <c r="CM79" s="4">
        <f t="shared" si="215"/>
        <v>0.89168576133714361</v>
      </c>
      <c r="CO79" s="4" t="e">
        <f t="shared" si="271"/>
        <v>#REF!</v>
      </c>
      <c r="CP79" s="4" t="e">
        <f t="shared" si="272"/>
        <v>#REF!</v>
      </c>
      <c r="CQ79" s="4" t="e">
        <f t="shared" si="273"/>
        <v>#REF!</v>
      </c>
      <c r="CR79" s="4">
        <f t="shared" si="274"/>
        <v>0.89168576133714361</v>
      </c>
      <c r="CS79" s="4" t="e">
        <f t="shared" si="275"/>
        <v>#REF!</v>
      </c>
      <c r="CT79" s="4" t="e">
        <f t="shared" si="276"/>
        <v>#REF!</v>
      </c>
      <c r="DB79" s="4">
        <f t="shared" si="232"/>
        <v>0</v>
      </c>
      <c r="DC79" s="4">
        <f t="shared" si="184"/>
        <v>635</v>
      </c>
      <c r="DD79" s="4" t="e">
        <f>#REF!/E79</f>
        <v>#REF!</v>
      </c>
      <c r="DF79" s="4">
        <f t="shared" si="185"/>
        <v>4.4003395705642358E-5</v>
      </c>
      <c r="DG79" s="4">
        <f t="shared" si="233"/>
        <v>6.6857562842857838</v>
      </c>
      <c r="DH79" s="4">
        <f t="shared" si="221"/>
        <v>0.1849475013016269</v>
      </c>
      <c r="DI79" s="4">
        <f t="shared" si="149"/>
        <v>3.4038461991995663</v>
      </c>
      <c r="DJ79" s="4">
        <f t="shared" si="150"/>
        <v>5.3074788298917506</v>
      </c>
      <c r="DK79" s="4">
        <f t="shared" si="186"/>
        <v>5.0582629585034002</v>
      </c>
      <c r="DL79" s="38" t="e">
        <f t="shared" si="187"/>
        <v>#REF!</v>
      </c>
      <c r="DM79" s="4" t="e">
        <f t="shared" si="151"/>
        <v>#REF!</v>
      </c>
      <c r="DN79" s="4">
        <f t="shared" si="222"/>
        <v>3.3749074061372411</v>
      </c>
      <c r="DO79" s="4">
        <f t="shared" si="152"/>
        <v>161.30936879743294</v>
      </c>
      <c r="DS79" s="4">
        <f t="shared" si="188"/>
        <v>0.85</v>
      </c>
      <c r="DT79" s="4">
        <f t="shared" si="189"/>
        <v>0.85000000000000009</v>
      </c>
      <c r="DU79" s="4">
        <f t="shared" si="190"/>
        <v>1</v>
      </c>
      <c r="DV79" s="4">
        <f t="shared" si="301"/>
        <v>0.85000000000000009</v>
      </c>
      <c r="DX79" s="4" t="e">
        <f t="shared" si="191"/>
        <v>#REF!</v>
      </c>
      <c r="DY79" s="25">
        <f t="shared" si="192"/>
        <v>159.65722173545257</v>
      </c>
      <c r="EA79" s="4">
        <f t="shared" si="224"/>
        <v>0.72250000000000003</v>
      </c>
      <c r="EB79" s="4">
        <f t="shared" si="159"/>
        <v>6.6857562842857838</v>
      </c>
      <c r="EC79" s="4">
        <f t="shared" si="193"/>
        <v>6.028412726414806</v>
      </c>
      <c r="EE79" s="4">
        <f t="shared" si="194"/>
        <v>85.722648115885917</v>
      </c>
      <c r="EF79" s="4">
        <f t="shared" si="235"/>
        <v>3.3749074061372411</v>
      </c>
      <c r="EG79" s="4">
        <f t="shared" si="195"/>
        <v>5.3513425178746021E-2</v>
      </c>
      <c r="EJ79" s="4">
        <f t="shared" si="302"/>
        <v>5.3513425178746021E-2</v>
      </c>
      <c r="EK79" s="4">
        <f t="shared" si="196"/>
        <v>0.18463885839148297</v>
      </c>
      <c r="EL79" s="4">
        <f t="shared" si="237"/>
        <v>3.4015729066792599</v>
      </c>
      <c r="EM79" s="4">
        <f t="shared" si="303"/>
        <v>5.3067578077039173</v>
      </c>
      <c r="EN79" s="4">
        <f t="shared" si="239"/>
        <v>390.52735188411407</v>
      </c>
      <c r="EO79" s="4">
        <f t="shared" si="240"/>
        <v>158.75</v>
      </c>
      <c r="EP79" s="4">
        <f t="shared" si="197"/>
        <v>4.4003395705642358E-5</v>
      </c>
      <c r="EQ79" s="4">
        <f t="shared" si="304"/>
        <v>5.0585307900576097</v>
      </c>
      <c r="ER79" s="4" t="e">
        <f t="shared" si="198"/>
        <v>#REF!</v>
      </c>
      <c r="ES79" s="4" t="e">
        <f t="shared" si="242"/>
        <v>#REF!</v>
      </c>
      <c r="ET79" s="4" t="e">
        <f t="shared" si="243"/>
        <v>#REF!</v>
      </c>
      <c r="EV79" s="4" t="e">
        <f t="shared" si="199"/>
        <v>#REF!</v>
      </c>
      <c r="FA79" s="23" t="e">
        <f t="shared" si="277"/>
        <v>#REF!</v>
      </c>
      <c r="FB79" s="23" t="e">
        <f t="shared" si="278"/>
        <v>#REF!</v>
      </c>
      <c r="FC79" s="23">
        <f t="shared" si="290"/>
        <v>1</v>
      </c>
      <c r="FD79" s="23" t="e">
        <f t="shared" si="279"/>
        <v>#REF!</v>
      </c>
      <c r="FE79" s="23" t="e">
        <f t="shared" si="280"/>
        <v>#REF!</v>
      </c>
      <c r="FF79" s="23" t="e">
        <f t="shared" si="281"/>
        <v>#REF!</v>
      </c>
      <c r="FG79" s="23" t="e">
        <f t="shared" si="282"/>
        <v>#REF!</v>
      </c>
      <c r="FH79" s="23"/>
      <c r="FR79" s="4">
        <f t="shared" si="140"/>
        <v>1</v>
      </c>
      <c r="FS79" s="4">
        <f t="shared" si="141"/>
        <v>1.0833333333333333</v>
      </c>
      <c r="FT79" s="4">
        <f t="shared" si="142"/>
        <v>0</v>
      </c>
      <c r="FU79" s="4">
        <f t="shared" si="143"/>
        <v>529.33445891544102</v>
      </c>
    </row>
    <row r="80" spans="2:179" ht="12" customHeight="1" x14ac:dyDescent="0.3">
      <c r="B80" s="24"/>
      <c r="C80" s="7" t="s">
        <v>283</v>
      </c>
      <c r="D80" s="7">
        <v>433</v>
      </c>
      <c r="E80" s="7">
        <f>15*25.4</f>
        <v>381</v>
      </c>
      <c r="F80" s="7">
        <v>28</v>
      </c>
      <c r="G80" s="7">
        <v>36</v>
      </c>
      <c r="H80" s="7">
        <f t="shared" ref="H80:H90" si="305">8.5*25.4</f>
        <v>215.89999999999998</v>
      </c>
      <c r="I80" s="7">
        <f t="shared" si="160"/>
        <v>89.949999999999989</v>
      </c>
      <c r="J80" s="7">
        <f t="shared" si="201"/>
        <v>50.8</v>
      </c>
      <c r="K80" s="7">
        <v>0</v>
      </c>
      <c r="L80" s="7">
        <v>1</v>
      </c>
      <c r="M80" s="7">
        <f t="shared" si="202"/>
        <v>83.6</v>
      </c>
      <c r="N80" s="7">
        <f t="shared" si="161"/>
        <v>2.822222222222222</v>
      </c>
      <c r="O80" s="7">
        <f t="shared" si="203"/>
        <v>2.9986111111111109</v>
      </c>
      <c r="P80" s="7">
        <v>1.1000000000000001</v>
      </c>
      <c r="Q80" s="7">
        <f t="shared" si="227"/>
        <v>1.1000000000000001</v>
      </c>
      <c r="R80" s="7">
        <f t="shared" si="162"/>
        <v>2.1</v>
      </c>
      <c r="S80" s="7">
        <f t="shared" si="163"/>
        <v>52.168956286281983</v>
      </c>
      <c r="T80" s="7"/>
      <c r="U80" s="7"/>
      <c r="V80" s="7">
        <v>354</v>
      </c>
      <c r="W80" s="7"/>
      <c r="X80" s="7"/>
      <c r="Y80" s="7"/>
      <c r="Z80" s="7"/>
      <c r="AA80" s="7">
        <v>1</v>
      </c>
      <c r="AB80" s="7"/>
      <c r="AC80" s="7"/>
      <c r="AD80" s="7"/>
      <c r="AE80" s="4">
        <f t="shared" si="252"/>
        <v>381</v>
      </c>
      <c r="AF80" s="44">
        <f t="shared" si="204"/>
        <v>8.3950617283950604E-2</v>
      </c>
      <c r="AG80" s="25">
        <f t="shared" si="164"/>
        <v>386.60867631208708</v>
      </c>
      <c r="AH80" s="4">
        <f t="shared" si="165"/>
        <v>0.7533333333333333</v>
      </c>
      <c r="AI80" s="4">
        <v>1.25</v>
      </c>
      <c r="AJ80" s="25">
        <f t="shared" si="146"/>
        <v>5</v>
      </c>
      <c r="AK80" s="38">
        <f t="shared" si="205"/>
        <v>152.81384098673232</v>
      </c>
      <c r="AL80" s="38">
        <f t="shared" si="148"/>
        <v>152.81384098673232</v>
      </c>
      <c r="AN80" s="38">
        <f t="shared" si="158"/>
        <v>152.8138409867322</v>
      </c>
      <c r="AO80" s="38">
        <f t="shared" si="87"/>
        <v>1.0000000000000007</v>
      </c>
      <c r="AP80" s="38">
        <f t="shared" si="206"/>
        <v>1.111825806705935</v>
      </c>
      <c r="AQ80" s="4">
        <f t="shared" si="228"/>
        <v>0</v>
      </c>
      <c r="AR80" s="4" t="e">
        <f>#REF!/G80*F80^0.5/0.19</f>
        <v>#REF!</v>
      </c>
      <c r="AS80" s="4">
        <f t="shared" si="166"/>
        <v>1.0249999999999999</v>
      </c>
      <c r="AT80" s="38">
        <f t="shared" si="167"/>
        <v>169.90237203090601</v>
      </c>
      <c r="AU80" s="4">
        <f t="shared" si="168"/>
        <v>0.84599999999999997</v>
      </c>
      <c r="AV80" s="4" t="e">
        <f>AU80*D80*#REF!/(D80*G80/2.75/F80^0.5)</f>
        <v>#REF!</v>
      </c>
      <c r="AW80" s="4" t="e">
        <f t="shared" si="207"/>
        <v>#REF!</v>
      </c>
      <c r="AY80" s="36">
        <f t="shared" si="169"/>
        <v>1.1000000000000001</v>
      </c>
      <c r="AZ80" s="36" t="e">
        <f>(1.6*#REF!+22)*AY80*F80^0.5</f>
        <v>#REF!</v>
      </c>
      <c r="BE80" s="4">
        <f t="shared" si="170"/>
        <v>89.949999999999989</v>
      </c>
      <c r="BF80" s="4">
        <f t="shared" si="171"/>
        <v>83.6</v>
      </c>
      <c r="BG80" s="4">
        <f t="shared" si="172"/>
        <v>89.949999999999989</v>
      </c>
      <c r="BH80" s="4">
        <f t="shared" si="173"/>
        <v>101.6</v>
      </c>
      <c r="BI80" s="4">
        <f t="shared" si="229"/>
        <v>1.0075956937799044</v>
      </c>
      <c r="BJ80" s="25">
        <f t="shared" si="174"/>
        <v>2.8436589580010634</v>
      </c>
      <c r="BL80" s="4">
        <f t="shared" si="175"/>
        <v>89.949999999999989</v>
      </c>
      <c r="BP80" s="9"/>
      <c r="BR80" s="9"/>
      <c r="BS80" s="9"/>
      <c r="BT80" s="9">
        <f t="shared" si="176"/>
        <v>50.8</v>
      </c>
      <c r="BU80" s="9">
        <f t="shared" si="177"/>
        <v>89.949999999999989</v>
      </c>
      <c r="BV80" s="9">
        <f t="shared" si="178"/>
        <v>1.2941994891728255</v>
      </c>
      <c r="BW80" s="9">
        <v>0</v>
      </c>
      <c r="BX80" s="9">
        <f t="shared" si="179"/>
        <v>0</v>
      </c>
      <c r="BY80" s="9">
        <f t="shared" si="208"/>
        <v>0</v>
      </c>
      <c r="BZ80" s="9">
        <f t="shared" si="180"/>
        <v>0.89637813077714179</v>
      </c>
      <c r="CA80" s="9">
        <f t="shared" si="181"/>
        <v>1.1339999999999999</v>
      </c>
      <c r="CB80" s="9">
        <f t="shared" si="182"/>
        <v>1.8825710113593779</v>
      </c>
      <c r="CC80" s="9">
        <f t="shared" si="183"/>
        <v>2.4364224412328763</v>
      </c>
      <c r="CD80" s="9">
        <v>1</v>
      </c>
      <c r="CE80" s="9" t="e">
        <f>4*CC80*#REF!+60*CC80</f>
        <v>#REF!</v>
      </c>
      <c r="CG80" s="4" t="e">
        <f t="shared" si="265"/>
        <v>#REF!</v>
      </c>
      <c r="CH80" s="4" t="e">
        <f t="shared" si="266"/>
        <v>#REF!</v>
      </c>
      <c r="CI80" s="4" t="e">
        <f t="shared" si="267"/>
        <v>#REF!</v>
      </c>
      <c r="CJ80" s="4" t="e">
        <f t="shared" si="268"/>
        <v>#REF!</v>
      </c>
      <c r="CK80" s="4" t="e">
        <f t="shared" si="269"/>
        <v>#REF!</v>
      </c>
      <c r="CL80" s="4" t="e">
        <f t="shared" si="270"/>
        <v>#REF!</v>
      </c>
      <c r="CM80" s="4">
        <f t="shared" si="215"/>
        <v>1.8807238023462929</v>
      </c>
      <c r="CO80" s="4" t="e">
        <f t="shared" si="271"/>
        <v>#REF!</v>
      </c>
      <c r="CP80" s="4" t="e">
        <f t="shared" si="272"/>
        <v>#REF!</v>
      </c>
      <c r="CQ80" s="4" t="e">
        <f t="shared" si="273"/>
        <v>#REF!</v>
      </c>
      <c r="CR80" s="4">
        <f t="shared" si="274"/>
        <v>1.8807238023462929</v>
      </c>
      <c r="CS80" s="4" t="e">
        <f t="shared" si="275"/>
        <v>#REF!</v>
      </c>
      <c r="CT80" s="4" t="e">
        <f t="shared" si="276"/>
        <v>#REF!</v>
      </c>
      <c r="DB80" s="4">
        <f t="shared" si="232"/>
        <v>0</v>
      </c>
      <c r="DC80" s="4">
        <f t="shared" si="184"/>
        <v>381</v>
      </c>
      <c r="DD80" s="4" t="e">
        <f>#REF!/E80</f>
        <v>#REF!</v>
      </c>
      <c r="DF80" s="4">
        <f t="shared" si="185"/>
        <v>1.8628104182055264E-5</v>
      </c>
      <c r="DG80" s="4">
        <f t="shared" si="233"/>
        <v>6.0161976170308948</v>
      </c>
      <c r="DH80" s="4">
        <f t="shared" si="221"/>
        <v>1.0071426790610538</v>
      </c>
      <c r="DI80" s="4">
        <f t="shared" si="149"/>
        <v>6.0333496321639828</v>
      </c>
      <c r="DJ80" s="4">
        <f t="shared" si="150"/>
        <v>6.0161976170308948</v>
      </c>
      <c r="DK80" s="4">
        <f t="shared" si="186"/>
        <v>5.5711994852791937</v>
      </c>
      <c r="DL80" s="38" t="e">
        <f t="shared" si="187"/>
        <v>#REF!</v>
      </c>
      <c r="DM80" s="4" t="e">
        <f t="shared" si="151"/>
        <v>#REF!</v>
      </c>
      <c r="DN80" s="4">
        <f t="shared" si="222"/>
        <v>1.4491376746189439</v>
      </c>
      <c r="DO80" s="4">
        <f t="shared" si="152"/>
        <v>152.8138409867322</v>
      </c>
      <c r="DS80" s="4">
        <f t="shared" si="188"/>
        <v>0.85</v>
      </c>
      <c r="DT80" s="4">
        <f t="shared" si="189"/>
        <v>0.85013888888888889</v>
      </c>
      <c r="DU80" s="4">
        <f t="shared" si="190"/>
        <v>1</v>
      </c>
      <c r="DV80" s="4">
        <f t="shared" si="223"/>
        <v>0.85013888888888889</v>
      </c>
      <c r="DX80" s="4" t="e">
        <f t="shared" si="191"/>
        <v>#REF!</v>
      </c>
      <c r="DY80" s="25">
        <f t="shared" si="192"/>
        <v>150.18137322121927</v>
      </c>
      <c r="EA80" s="4">
        <f t="shared" si="224"/>
        <v>0.72261805555555558</v>
      </c>
      <c r="EB80" s="4">
        <f t="shared" si="159"/>
        <v>6.0161976170308948</v>
      </c>
      <c r="EC80" s="4">
        <f t="shared" si="193"/>
        <v>4.9450239957683877</v>
      </c>
      <c r="EE80" s="4">
        <f t="shared" si="194"/>
        <v>52.168956286281983</v>
      </c>
      <c r="EF80" s="4">
        <f t="shared" si="235"/>
        <v>1.4491376746189439</v>
      </c>
      <c r="EG80" s="4">
        <f t="shared" si="195"/>
        <v>0.29141055716323655</v>
      </c>
      <c r="EJ80" s="4">
        <f t="shared" si="263"/>
        <v>0.29141055716323655</v>
      </c>
      <c r="EK80" s="4">
        <f t="shared" si="196"/>
        <v>0.999</v>
      </c>
      <c r="EL80" s="4">
        <f t="shared" si="237"/>
        <v>6.0137904156550812</v>
      </c>
      <c r="EM80" s="4">
        <f t="shared" ref="EM80:EM87" si="306">EB80/1.4*(1-EK80^1.4)/(1-EK80)</f>
        <v>6.0149941367632529</v>
      </c>
      <c r="EN80" s="4">
        <f t="shared" si="239"/>
        <v>233.58104371371803</v>
      </c>
      <c r="EO80" s="4">
        <f t="shared" si="240"/>
        <v>95.25</v>
      </c>
      <c r="EP80" s="4">
        <f t="shared" si="197"/>
        <v>1.8628104182055264E-5</v>
      </c>
      <c r="EQ80" s="4">
        <f t="shared" ref="EQ80:EQ87" si="307">MAX(0.5*EB80, (1-2*EP80*(EE80*EL80+EN80*EM80))/(1/EB80+EP80*EO80))</f>
        <v>5.5714881219801278</v>
      </c>
      <c r="ER80" s="4" t="e">
        <f t="shared" si="198"/>
        <v>#REF!</v>
      </c>
      <c r="ES80" s="4" t="e">
        <f t="shared" si="242"/>
        <v>#REF!</v>
      </c>
      <c r="ET80" s="4" t="e">
        <f t="shared" si="243"/>
        <v>#REF!</v>
      </c>
      <c r="EV80" s="4" t="e">
        <f t="shared" si="199"/>
        <v>#REF!</v>
      </c>
      <c r="FA80" s="23" t="e">
        <f t="shared" si="277"/>
        <v>#REF!</v>
      </c>
      <c r="FB80" s="23" t="e">
        <f t="shared" si="278"/>
        <v>#REF!</v>
      </c>
      <c r="FC80" s="23">
        <f t="shared" si="290"/>
        <v>2</v>
      </c>
      <c r="FD80" s="23" t="e">
        <f t="shared" si="279"/>
        <v>#REF!</v>
      </c>
      <c r="FE80" s="23" t="e">
        <f t="shared" si="280"/>
        <v>#REF!</v>
      </c>
      <c r="FF80" s="23" t="e">
        <f t="shared" si="281"/>
        <v>#REF!</v>
      </c>
      <c r="FG80" s="23" t="e">
        <f t="shared" si="282"/>
        <v>#REF!</v>
      </c>
      <c r="FH80" s="23"/>
      <c r="FR80" s="4">
        <f t="shared" si="140"/>
        <v>1</v>
      </c>
      <c r="FS80" s="4">
        <f t="shared" si="141"/>
        <v>1.0833333333333333</v>
      </c>
      <c r="FT80" s="4">
        <f t="shared" si="142"/>
        <v>0</v>
      </c>
      <c r="FU80" s="4">
        <f t="shared" si="143"/>
        <v>188.22540532446502</v>
      </c>
    </row>
    <row r="81" spans="1:178" ht="12" customHeight="1" x14ac:dyDescent="0.3">
      <c r="B81" s="24"/>
      <c r="C81" s="7" t="s">
        <v>279</v>
      </c>
      <c r="D81" s="7">
        <v>433</v>
      </c>
      <c r="E81" s="7">
        <f t="shared" ref="E81:E94" si="308">15*25.4</f>
        <v>381</v>
      </c>
      <c r="F81" s="7">
        <v>28</v>
      </c>
      <c r="G81" s="7">
        <v>36</v>
      </c>
      <c r="H81" s="7">
        <f t="shared" si="305"/>
        <v>215.89999999999998</v>
      </c>
      <c r="I81" s="7">
        <f t="shared" si="160"/>
        <v>89.949999999999989</v>
      </c>
      <c r="J81" s="7">
        <f t="shared" si="201"/>
        <v>50.8</v>
      </c>
      <c r="K81" s="7">
        <v>0</v>
      </c>
      <c r="L81" s="7">
        <v>1</v>
      </c>
      <c r="M81" s="7">
        <f t="shared" si="202"/>
        <v>83.6</v>
      </c>
      <c r="N81" s="7">
        <f t="shared" si="161"/>
        <v>2.822222222222222</v>
      </c>
      <c r="O81" s="7">
        <f t="shared" si="203"/>
        <v>2.9986111111111109</v>
      </c>
      <c r="P81" s="7">
        <v>1.56</v>
      </c>
      <c r="Q81" s="7">
        <f t="shared" si="227"/>
        <v>1.56</v>
      </c>
      <c r="R81" s="7">
        <f t="shared" si="162"/>
        <v>2.56</v>
      </c>
      <c r="S81" s="7">
        <f t="shared" si="163"/>
        <v>57.6</v>
      </c>
      <c r="T81" s="7"/>
      <c r="U81" s="7"/>
      <c r="V81" s="7">
        <v>370</v>
      </c>
      <c r="W81" s="7"/>
      <c r="X81" s="7"/>
      <c r="Y81" s="7"/>
      <c r="Z81" s="7"/>
      <c r="AA81" s="7">
        <v>1</v>
      </c>
      <c r="AB81" s="7"/>
      <c r="AC81" s="7"/>
      <c r="AD81" s="7"/>
      <c r="AE81" s="4">
        <f t="shared" si="252"/>
        <v>381</v>
      </c>
      <c r="AF81" s="44">
        <f t="shared" si="204"/>
        <v>8.3950617283950604E-2</v>
      </c>
      <c r="AG81" s="25">
        <f t="shared" si="164"/>
        <v>386.60867631208708</v>
      </c>
      <c r="AH81" s="4">
        <f t="shared" si="165"/>
        <v>0.7533333333333333</v>
      </c>
      <c r="AI81" s="4">
        <v>1.25</v>
      </c>
      <c r="AJ81" s="25">
        <f t="shared" si="146"/>
        <v>5</v>
      </c>
      <c r="AK81" s="38">
        <f t="shared" si="205"/>
        <v>152.81384098673232</v>
      </c>
      <c r="AL81" s="38">
        <f t="shared" si="148"/>
        <v>152.81384098673232</v>
      </c>
      <c r="AN81" s="38">
        <f t="shared" si="158"/>
        <v>152.8138409867322</v>
      </c>
      <c r="AO81" s="38">
        <f t="shared" si="87"/>
        <v>1.0000000000000007</v>
      </c>
      <c r="AP81" s="38">
        <f t="shared" si="206"/>
        <v>1.3240448818791442</v>
      </c>
      <c r="AQ81" s="4">
        <f t="shared" si="228"/>
        <v>0</v>
      </c>
      <c r="AR81" s="4" t="e">
        <f>#REF!/G81*F81^0.5/0.19</f>
        <v>#REF!</v>
      </c>
      <c r="AS81" s="4">
        <f t="shared" si="166"/>
        <v>1.0249999999999999</v>
      </c>
      <c r="AT81" s="38">
        <f t="shared" si="167"/>
        <v>202.33238403877615</v>
      </c>
      <c r="AU81" s="4">
        <f t="shared" si="168"/>
        <v>0.78160000000000007</v>
      </c>
      <c r="AV81" s="4" t="e">
        <f>AU81*D81*#REF!/(D81*G81/2.75/F81^0.5)</f>
        <v>#REF!</v>
      </c>
      <c r="AW81" s="4" t="e">
        <f t="shared" si="207"/>
        <v>#REF!</v>
      </c>
      <c r="AY81" s="36">
        <f t="shared" si="169"/>
        <v>1.1000000000000001</v>
      </c>
      <c r="AZ81" s="36" t="e">
        <f>(1.6*#REF!+22)*AY81*F81^0.5</f>
        <v>#REF!</v>
      </c>
      <c r="BE81" s="4">
        <f t="shared" si="170"/>
        <v>89.949999999999989</v>
      </c>
      <c r="BF81" s="4">
        <f t="shared" si="171"/>
        <v>83.6</v>
      </c>
      <c r="BG81" s="4">
        <f t="shared" si="172"/>
        <v>89.949999999999989</v>
      </c>
      <c r="BH81" s="4">
        <f t="shared" si="173"/>
        <v>101.6</v>
      </c>
      <c r="BI81" s="4">
        <f t="shared" si="229"/>
        <v>1.0075956937799044</v>
      </c>
      <c r="BJ81" s="25">
        <f t="shared" si="174"/>
        <v>2.8436589580010634</v>
      </c>
      <c r="BL81" s="4">
        <f t="shared" si="175"/>
        <v>89.949999999999989</v>
      </c>
      <c r="BP81" s="9"/>
      <c r="BR81" s="9"/>
      <c r="BS81" s="9"/>
      <c r="BT81" s="9">
        <f t="shared" si="176"/>
        <v>50.8</v>
      </c>
      <c r="BU81" s="9">
        <f t="shared" si="177"/>
        <v>89.949999999999989</v>
      </c>
      <c r="BV81" s="9">
        <f t="shared" si="178"/>
        <v>1.2941994891728255</v>
      </c>
      <c r="BW81" s="9">
        <v>0</v>
      </c>
      <c r="BX81" s="9">
        <f t="shared" si="179"/>
        <v>0</v>
      </c>
      <c r="BY81" s="9">
        <f t="shared" si="208"/>
        <v>0</v>
      </c>
      <c r="BZ81" s="9">
        <f t="shared" si="180"/>
        <v>0.89637813077714179</v>
      </c>
      <c r="CA81" s="9">
        <f t="shared" si="181"/>
        <v>1.1339999999999999</v>
      </c>
      <c r="CB81" s="9">
        <f t="shared" si="182"/>
        <v>1.8825710113593779</v>
      </c>
      <c r="CC81" s="9">
        <f t="shared" si="183"/>
        <v>2.4364224412328763</v>
      </c>
      <c r="CD81" s="9">
        <v>1</v>
      </c>
      <c r="CE81" s="9" t="e">
        <f>4*CC81*#REF!+60*CC81</f>
        <v>#REF!</v>
      </c>
      <c r="CG81" s="4" t="e">
        <f t="shared" si="265"/>
        <v>#REF!</v>
      </c>
      <c r="CH81" s="4" t="e">
        <f t="shared" si="266"/>
        <v>#REF!</v>
      </c>
      <c r="CI81" s="4" t="e">
        <f t="shared" si="267"/>
        <v>#REF!</v>
      </c>
      <c r="CJ81" s="4" t="e">
        <f t="shared" si="268"/>
        <v>#REF!</v>
      </c>
      <c r="CK81" s="4" t="e">
        <f t="shared" si="269"/>
        <v>#REF!</v>
      </c>
      <c r="CL81" s="4" t="e">
        <f t="shared" si="270"/>
        <v>#REF!</v>
      </c>
      <c r="CM81" s="4">
        <f t="shared" si="215"/>
        <v>1.9657282679890631</v>
      </c>
      <c r="CO81" s="4" t="e">
        <f t="shared" si="271"/>
        <v>#REF!</v>
      </c>
      <c r="CP81" s="4" t="e">
        <f t="shared" si="272"/>
        <v>#REF!</v>
      </c>
      <c r="CQ81" s="4" t="e">
        <f t="shared" si="273"/>
        <v>#REF!</v>
      </c>
      <c r="CR81" s="4">
        <f t="shared" si="274"/>
        <v>1.9657282679890631</v>
      </c>
      <c r="CS81" s="4" t="e">
        <f t="shared" si="275"/>
        <v>#REF!</v>
      </c>
      <c r="CT81" s="4" t="e">
        <f t="shared" si="276"/>
        <v>#REF!</v>
      </c>
      <c r="DB81" s="4">
        <f t="shared" si="232"/>
        <v>0</v>
      </c>
      <c r="DC81" s="4">
        <f t="shared" si="184"/>
        <v>381</v>
      </c>
      <c r="DD81" s="4" t="e">
        <f>#REF!/E81</f>
        <v>#REF!</v>
      </c>
      <c r="DF81" s="4">
        <f t="shared" si="185"/>
        <v>1.8628104182055264E-5</v>
      </c>
      <c r="DG81" s="4">
        <f t="shared" si="233"/>
        <v>6.0161976170308948</v>
      </c>
      <c r="DH81" s="4">
        <f t="shared" si="221"/>
        <v>0.78409633208226204</v>
      </c>
      <c r="DI81" s="4">
        <f t="shared" si="149"/>
        <v>5.4584566077996932</v>
      </c>
      <c r="DJ81" s="4">
        <f t="shared" si="150"/>
        <v>5.7441021490542692</v>
      </c>
      <c r="DK81" s="4">
        <f t="shared" si="186"/>
        <v>5.5922899678380382</v>
      </c>
      <c r="DL81" s="38" t="e">
        <f t="shared" si="187"/>
        <v>#REF!</v>
      </c>
      <c r="DM81" s="4" t="e">
        <f t="shared" si="151"/>
        <v>#REF!</v>
      </c>
      <c r="DN81" s="4">
        <f t="shared" si="222"/>
        <v>1.6</v>
      </c>
      <c r="DO81" s="4">
        <f t="shared" si="152"/>
        <v>152.8138409867322</v>
      </c>
      <c r="DS81" s="4">
        <f t="shared" si="188"/>
        <v>0.85</v>
      </c>
      <c r="DT81" s="4">
        <f t="shared" si="189"/>
        <v>0.85013888888888889</v>
      </c>
      <c r="DU81" s="4">
        <f t="shared" si="190"/>
        <v>1</v>
      </c>
      <c r="DV81" s="4">
        <f t="shared" si="223"/>
        <v>0.85013888888888889</v>
      </c>
      <c r="DX81" s="4" t="e">
        <f t="shared" si="191"/>
        <v>#REF!</v>
      </c>
      <c r="DY81" s="25">
        <f t="shared" si="192"/>
        <v>150.18137322121927</v>
      </c>
      <c r="EA81" s="4">
        <f t="shared" si="224"/>
        <v>0.72261805555555558</v>
      </c>
      <c r="EB81" s="4">
        <f t="shared" si="159"/>
        <v>6.0161976170308948</v>
      </c>
      <c r="EC81" s="4">
        <f t="shared" si="193"/>
        <v>4.9450239957683877</v>
      </c>
      <c r="EE81" s="4">
        <f t="shared" si="194"/>
        <v>57.6</v>
      </c>
      <c r="EF81" s="4">
        <f t="shared" si="235"/>
        <v>1.6</v>
      </c>
      <c r="EG81" s="4">
        <f t="shared" si="195"/>
        <v>0.22687346465623337</v>
      </c>
      <c r="EJ81" s="4">
        <f t="shared" si="263"/>
        <v>0.22687346465623337</v>
      </c>
      <c r="EK81" s="4">
        <f t="shared" si="196"/>
        <v>0.7827878214397076</v>
      </c>
      <c r="EL81" s="4">
        <f t="shared" si="237"/>
        <v>5.4548111232940046</v>
      </c>
      <c r="EM81" s="4">
        <f t="shared" si="306"/>
        <v>5.7423704095518984</v>
      </c>
      <c r="EN81" s="4">
        <f t="shared" si="239"/>
        <v>228.15</v>
      </c>
      <c r="EO81" s="4">
        <f t="shared" si="240"/>
        <v>95.249999999999972</v>
      </c>
      <c r="EP81" s="4">
        <f t="shared" si="197"/>
        <v>1.8628104182055258E-5</v>
      </c>
      <c r="EQ81" s="4">
        <f t="shared" si="307"/>
        <v>5.5924241576291642</v>
      </c>
      <c r="ER81" s="4" t="e">
        <f t="shared" si="198"/>
        <v>#REF!</v>
      </c>
      <c r="ES81" s="4" t="e">
        <f t="shared" si="242"/>
        <v>#REF!</v>
      </c>
      <c r="ET81" s="4" t="e">
        <f t="shared" si="243"/>
        <v>#REF!</v>
      </c>
      <c r="EV81" s="4" t="e">
        <f t="shared" si="199"/>
        <v>#REF!</v>
      </c>
      <c r="FA81" s="23" t="e">
        <f t="shared" si="277"/>
        <v>#REF!</v>
      </c>
      <c r="FB81" s="23" t="e">
        <f t="shared" si="278"/>
        <v>#REF!</v>
      </c>
      <c r="FC81" s="23">
        <f t="shared" si="290"/>
        <v>2</v>
      </c>
      <c r="FD81" s="23" t="e">
        <f t="shared" si="279"/>
        <v>#REF!</v>
      </c>
      <c r="FE81" s="23" t="e">
        <f t="shared" si="280"/>
        <v>#REF!</v>
      </c>
      <c r="FF81" s="23" t="e">
        <f t="shared" si="281"/>
        <v>#REF!</v>
      </c>
      <c r="FG81" s="23" t="e">
        <f t="shared" si="282"/>
        <v>#REF!</v>
      </c>
      <c r="FH81" s="23"/>
      <c r="FR81" s="4">
        <f t="shared" si="140"/>
        <v>1</v>
      </c>
      <c r="FS81" s="4">
        <f t="shared" si="141"/>
        <v>1.0833333333333333</v>
      </c>
      <c r="FT81" s="4">
        <f t="shared" si="142"/>
        <v>0</v>
      </c>
      <c r="FU81" s="4">
        <f t="shared" si="143"/>
        <v>188.22540532446502</v>
      </c>
    </row>
    <row r="82" spans="1:178" ht="12" customHeight="1" x14ac:dyDescent="0.3">
      <c r="B82" s="24"/>
      <c r="C82" s="7" t="s">
        <v>284</v>
      </c>
      <c r="D82" s="7">
        <v>433</v>
      </c>
      <c r="E82" s="7">
        <f t="shared" si="308"/>
        <v>381</v>
      </c>
      <c r="F82" s="7">
        <v>28</v>
      </c>
      <c r="G82" s="7">
        <v>36</v>
      </c>
      <c r="H82" s="7">
        <f t="shared" si="305"/>
        <v>215.89999999999998</v>
      </c>
      <c r="I82" s="7">
        <f t="shared" si="160"/>
        <v>89.949999999999989</v>
      </c>
      <c r="J82" s="7">
        <f t="shared" si="201"/>
        <v>50.8</v>
      </c>
      <c r="K82" s="7">
        <v>0</v>
      </c>
      <c r="L82" s="7">
        <v>1</v>
      </c>
      <c r="M82" s="7">
        <f t="shared" si="202"/>
        <v>83.6</v>
      </c>
      <c r="N82" s="7">
        <f t="shared" si="161"/>
        <v>2.822222222222222</v>
      </c>
      <c r="O82" s="7">
        <f t="shared" si="203"/>
        <v>2.9986111111111109</v>
      </c>
      <c r="P82" s="7">
        <v>2.85</v>
      </c>
      <c r="Q82" s="7">
        <f t="shared" si="227"/>
        <v>2.85</v>
      </c>
      <c r="R82" s="7">
        <f t="shared" si="162"/>
        <v>3.85</v>
      </c>
      <c r="S82" s="7">
        <f t="shared" si="163"/>
        <v>70.637100733254911</v>
      </c>
      <c r="T82" s="7"/>
      <c r="U82" s="7"/>
      <c r="V82" s="7">
        <v>345</v>
      </c>
      <c r="W82" s="7"/>
      <c r="X82" s="7"/>
      <c r="Y82" s="7"/>
      <c r="Z82" s="7"/>
      <c r="AA82" s="7">
        <v>1</v>
      </c>
      <c r="AB82" s="7"/>
      <c r="AC82" s="7"/>
      <c r="AD82" s="7"/>
      <c r="AE82" s="4">
        <f t="shared" si="252"/>
        <v>381</v>
      </c>
      <c r="AF82" s="44">
        <f t="shared" si="204"/>
        <v>8.3950617283950604E-2</v>
      </c>
      <c r="AG82" s="25">
        <f t="shared" si="164"/>
        <v>386.60867631208708</v>
      </c>
      <c r="AH82" s="4">
        <f t="shared" si="165"/>
        <v>0.7533333333333333</v>
      </c>
      <c r="AI82" s="4">
        <v>1.25</v>
      </c>
      <c r="AJ82" s="25">
        <f t="shared" si="146"/>
        <v>5</v>
      </c>
      <c r="AK82" s="38">
        <f t="shared" si="205"/>
        <v>152.81384098673232</v>
      </c>
      <c r="AL82" s="38">
        <f t="shared" si="148"/>
        <v>152.81384098673232</v>
      </c>
      <c r="AN82" s="38">
        <f t="shared" si="158"/>
        <v>152.8138409867322</v>
      </c>
      <c r="AO82" s="38">
        <f t="shared" si="87"/>
        <v>1.0000000000000007</v>
      </c>
      <c r="AP82" s="38">
        <f t="shared" si="206"/>
        <v>1.7896282955110878</v>
      </c>
      <c r="AQ82" s="4">
        <f t="shared" si="228"/>
        <v>0</v>
      </c>
      <c r="AR82" s="4" t="e">
        <f>#REF!/G82*F82^0.5/0.19</f>
        <v>#REF!</v>
      </c>
      <c r="AS82" s="4">
        <f t="shared" si="166"/>
        <v>1.0249999999999999</v>
      </c>
      <c r="AT82" s="38">
        <f t="shared" si="167"/>
        <v>273.47997377558795</v>
      </c>
      <c r="AU82" s="4">
        <f t="shared" si="168"/>
        <v>0.60099999999999998</v>
      </c>
      <c r="AV82" s="4" t="e">
        <f>AU82*D82*#REF!/(D82*G82/2.75/F82^0.5)</f>
        <v>#REF!</v>
      </c>
      <c r="AW82" s="4" t="e">
        <f t="shared" si="207"/>
        <v>#REF!</v>
      </c>
      <c r="AY82" s="36">
        <f t="shared" si="169"/>
        <v>1.1000000000000001</v>
      </c>
      <c r="AZ82" s="36" t="e">
        <f>(1.6*#REF!+22)*AY82*F82^0.5</f>
        <v>#REF!</v>
      </c>
      <c r="BE82" s="4">
        <f t="shared" si="170"/>
        <v>89.949999999999989</v>
      </c>
      <c r="BF82" s="4">
        <f t="shared" si="171"/>
        <v>83.6</v>
      </c>
      <c r="BG82" s="4">
        <f t="shared" si="172"/>
        <v>89.949999999999989</v>
      </c>
      <c r="BH82" s="4">
        <f t="shared" si="173"/>
        <v>101.6</v>
      </c>
      <c r="BI82" s="4">
        <f t="shared" si="229"/>
        <v>1.0075956937799044</v>
      </c>
      <c r="BJ82" s="25">
        <f t="shared" si="174"/>
        <v>2.8436589580010634</v>
      </c>
      <c r="BL82" s="4">
        <f t="shared" si="175"/>
        <v>89.949999999999989</v>
      </c>
      <c r="BP82" s="9"/>
      <c r="BR82" s="9"/>
      <c r="BS82" s="9"/>
      <c r="BT82" s="9">
        <f t="shared" si="176"/>
        <v>50.8</v>
      </c>
      <c r="BU82" s="9">
        <f t="shared" si="177"/>
        <v>89.949999999999989</v>
      </c>
      <c r="BV82" s="9">
        <f t="shared" si="178"/>
        <v>1.2941994891728255</v>
      </c>
      <c r="BW82" s="9">
        <v>0</v>
      </c>
      <c r="BX82" s="9">
        <f t="shared" si="179"/>
        <v>0</v>
      </c>
      <c r="BY82" s="9">
        <f t="shared" si="208"/>
        <v>0</v>
      </c>
      <c r="BZ82" s="9">
        <f t="shared" si="180"/>
        <v>0.89637813077714179</v>
      </c>
      <c r="CA82" s="9">
        <f t="shared" si="181"/>
        <v>1.1339999999999999</v>
      </c>
      <c r="CB82" s="9">
        <f t="shared" si="182"/>
        <v>1.8825710113593779</v>
      </c>
      <c r="CC82" s="9">
        <f t="shared" si="183"/>
        <v>2.4364224412328763</v>
      </c>
      <c r="CD82" s="9">
        <v>1</v>
      </c>
      <c r="CE82" s="9" t="e">
        <f>4*CC82*#REF!+60*CC82</f>
        <v>#REF!</v>
      </c>
      <c r="CG82" s="4" t="e">
        <f t="shared" si="265"/>
        <v>#REF!</v>
      </c>
      <c r="CH82" s="4" t="e">
        <f t="shared" si="266"/>
        <v>#REF!</v>
      </c>
      <c r="CI82" s="4" t="e">
        <f t="shared" si="267"/>
        <v>#REF!</v>
      </c>
      <c r="CJ82" s="4" t="e">
        <f t="shared" si="268"/>
        <v>#REF!</v>
      </c>
      <c r="CK82" s="4" t="e">
        <f t="shared" si="269"/>
        <v>#REF!</v>
      </c>
      <c r="CL82" s="4" t="e">
        <f t="shared" si="270"/>
        <v>#REF!</v>
      </c>
      <c r="CM82" s="4">
        <f t="shared" si="215"/>
        <v>1.8329087904222345</v>
      </c>
      <c r="CO82" s="4" t="e">
        <f t="shared" si="271"/>
        <v>#REF!</v>
      </c>
      <c r="CP82" s="4" t="e">
        <f t="shared" si="272"/>
        <v>#REF!</v>
      </c>
      <c r="CQ82" s="4" t="e">
        <f t="shared" si="273"/>
        <v>#REF!</v>
      </c>
      <c r="CR82" s="4">
        <f t="shared" si="274"/>
        <v>1.8329087904222345</v>
      </c>
      <c r="CS82" s="4" t="e">
        <f t="shared" si="275"/>
        <v>#REF!</v>
      </c>
      <c r="CT82" s="4" t="e">
        <f t="shared" si="276"/>
        <v>#REF!</v>
      </c>
      <c r="DB82" s="4">
        <f t="shared" si="232"/>
        <v>0</v>
      </c>
      <c r="DC82" s="4">
        <f t="shared" si="184"/>
        <v>381</v>
      </c>
      <c r="DD82" s="4" t="e">
        <f>#REF!/E82</f>
        <v>#REF!</v>
      </c>
      <c r="DF82" s="4">
        <f t="shared" si="185"/>
        <v>1.8628104182055264E-5</v>
      </c>
      <c r="DG82" s="4">
        <f t="shared" si="233"/>
        <v>6.0161976170308948</v>
      </c>
      <c r="DH82" s="4">
        <f t="shared" si="221"/>
        <v>0.52633171836280401</v>
      </c>
      <c r="DI82" s="4">
        <f t="shared" si="149"/>
        <v>4.6539949788353114</v>
      </c>
      <c r="DJ82" s="4">
        <f t="shared" si="150"/>
        <v>5.3784662944781267</v>
      </c>
      <c r="DK82" s="4">
        <f t="shared" si="186"/>
        <v>5.623161220484743</v>
      </c>
      <c r="DL82" s="38" t="e">
        <f t="shared" si="187"/>
        <v>#REF!</v>
      </c>
      <c r="DM82" s="4" t="e">
        <f t="shared" si="151"/>
        <v>#REF!</v>
      </c>
      <c r="DN82" s="4">
        <f t="shared" si="222"/>
        <v>1.9621416870348587</v>
      </c>
      <c r="DO82" s="4">
        <f t="shared" si="152"/>
        <v>152.8138409867322</v>
      </c>
      <c r="DS82" s="4">
        <f t="shared" si="188"/>
        <v>0.85</v>
      </c>
      <c r="DT82" s="4">
        <f t="shared" si="189"/>
        <v>0.85013888888888889</v>
      </c>
      <c r="DU82" s="4">
        <f t="shared" si="190"/>
        <v>1</v>
      </c>
      <c r="DV82" s="4">
        <f t="shared" si="223"/>
        <v>0.85013888888888889</v>
      </c>
      <c r="DX82" s="4" t="e">
        <f t="shared" si="191"/>
        <v>#REF!</v>
      </c>
      <c r="DY82" s="25">
        <f t="shared" si="192"/>
        <v>150.18137322121927</v>
      </c>
      <c r="EA82" s="4">
        <f t="shared" si="224"/>
        <v>0.72261805555555558</v>
      </c>
      <c r="EB82" s="4">
        <f t="shared" si="159"/>
        <v>6.0161976170308948</v>
      </c>
      <c r="EC82" s="4">
        <f t="shared" si="193"/>
        <v>4.9450239957683877</v>
      </c>
      <c r="EE82" s="4">
        <f t="shared" si="194"/>
        <v>70.637100733254911</v>
      </c>
      <c r="EF82" s="4">
        <f t="shared" si="235"/>
        <v>1.9621416870348585</v>
      </c>
      <c r="EG82" s="4">
        <f t="shared" si="195"/>
        <v>0.15229085460242964</v>
      </c>
      <c r="EJ82" s="4">
        <f t="shared" si="263"/>
        <v>0.15229085460242964</v>
      </c>
      <c r="EK82" s="4">
        <f t="shared" si="196"/>
        <v>0.5254533688197538</v>
      </c>
      <c r="EL82" s="4">
        <f t="shared" si="237"/>
        <v>4.6508867620253334</v>
      </c>
      <c r="EM82" s="4">
        <f t="shared" si="306"/>
        <v>5.3771224773913264</v>
      </c>
      <c r="EN82" s="4">
        <f t="shared" si="239"/>
        <v>215.1128992667451</v>
      </c>
      <c r="EO82" s="4">
        <f t="shared" si="240"/>
        <v>95.25</v>
      </c>
      <c r="EP82" s="4">
        <f t="shared" si="197"/>
        <v>1.8628104182055264E-5</v>
      </c>
      <c r="EQ82" s="4">
        <f t="shared" si="307"/>
        <v>5.6232740205776892</v>
      </c>
      <c r="ER82" s="4" t="e">
        <f t="shared" si="198"/>
        <v>#REF!</v>
      </c>
      <c r="ES82" s="4" t="e">
        <f t="shared" si="242"/>
        <v>#REF!</v>
      </c>
      <c r="ET82" s="4" t="e">
        <f t="shared" si="243"/>
        <v>#REF!</v>
      </c>
      <c r="EV82" s="4" t="e">
        <f t="shared" si="199"/>
        <v>#REF!</v>
      </c>
      <c r="FA82" s="23" t="e">
        <f t="shared" si="277"/>
        <v>#REF!</v>
      </c>
      <c r="FB82" s="23" t="e">
        <f t="shared" si="278"/>
        <v>#REF!</v>
      </c>
      <c r="FC82" s="23">
        <f t="shared" si="290"/>
        <v>2</v>
      </c>
      <c r="FD82" s="23" t="e">
        <f t="shared" si="279"/>
        <v>#REF!</v>
      </c>
      <c r="FE82" s="23" t="e">
        <f t="shared" si="280"/>
        <v>#REF!</v>
      </c>
      <c r="FF82" s="23" t="e">
        <f t="shared" si="281"/>
        <v>#REF!</v>
      </c>
      <c r="FG82" s="23" t="e">
        <f t="shared" si="282"/>
        <v>#REF!</v>
      </c>
      <c r="FH82" s="23"/>
      <c r="FR82" s="4">
        <f t="shared" si="140"/>
        <v>1</v>
      </c>
      <c r="FS82" s="4">
        <f t="shared" si="141"/>
        <v>1.0833333333333333</v>
      </c>
      <c r="FT82" s="4">
        <f t="shared" si="142"/>
        <v>0</v>
      </c>
      <c r="FU82" s="4">
        <f t="shared" si="143"/>
        <v>188.22540532446502</v>
      </c>
    </row>
    <row r="83" spans="1:178" ht="12" customHeight="1" x14ac:dyDescent="0.3">
      <c r="B83" s="24"/>
      <c r="C83" s="7" t="s">
        <v>285</v>
      </c>
      <c r="D83" s="7">
        <v>433</v>
      </c>
      <c r="E83" s="7">
        <f t="shared" si="308"/>
        <v>381</v>
      </c>
      <c r="F83" s="7">
        <v>28</v>
      </c>
      <c r="G83" s="7">
        <v>36</v>
      </c>
      <c r="H83" s="7">
        <f t="shared" si="305"/>
        <v>215.89999999999998</v>
      </c>
      <c r="I83" s="7">
        <f t="shared" si="160"/>
        <v>89.949999999999989</v>
      </c>
      <c r="J83" s="7">
        <f t="shared" si="201"/>
        <v>50.8</v>
      </c>
      <c r="K83" s="7">
        <v>0</v>
      </c>
      <c r="L83" s="7">
        <v>1</v>
      </c>
      <c r="M83" s="7">
        <f t="shared" si="202"/>
        <v>83.6</v>
      </c>
      <c r="N83" s="7">
        <f t="shared" si="161"/>
        <v>2.822222222222222</v>
      </c>
      <c r="O83" s="7">
        <f t="shared" si="203"/>
        <v>2.9986111111111109</v>
      </c>
      <c r="P83" s="7">
        <v>2.85</v>
      </c>
      <c r="Q83" s="7">
        <f t="shared" si="227"/>
        <v>2.85</v>
      </c>
      <c r="R83" s="7">
        <f t="shared" si="162"/>
        <v>3.85</v>
      </c>
      <c r="S83" s="7">
        <f t="shared" si="163"/>
        <v>70.637100733254911</v>
      </c>
      <c r="T83" s="7"/>
      <c r="U83" s="7"/>
      <c r="V83" s="7">
        <v>375</v>
      </c>
      <c r="W83" s="7"/>
      <c r="X83" s="7"/>
      <c r="Y83" s="7"/>
      <c r="Z83" s="7"/>
      <c r="AA83" s="7">
        <v>1</v>
      </c>
      <c r="AB83" s="7"/>
      <c r="AC83" s="7"/>
      <c r="AD83" s="7"/>
      <c r="AE83" s="4">
        <f t="shared" si="252"/>
        <v>381</v>
      </c>
      <c r="AF83" s="44">
        <f t="shared" si="204"/>
        <v>8.3950617283950604E-2</v>
      </c>
      <c r="AG83" s="25">
        <f t="shared" si="164"/>
        <v>386.60867631208708</v>
      </c>
      <c r="AH83" s="4">
        <f t="shared" si="165"/>
        <v>0.7533333333333333</v>
      </c>
      <c r="AI83" s="4">
        <v>1.25</v>
      </c>
      <c r="AJ83" s="25">
        <f t="shared" si="146"/>
        <v>5</v>
      </c>
      <c r="AK83" s="38">
        <f t="shared" si="205"/>
        <v>152.81384098673232</v>
      </c>
      <c r="AL83" s="38">
        <f t="shared" si="148"/>
        <v>152.81384098673232</v>
      </c>
      <c r="AN83" s="38">
        <f t="shared" si="158"/>
        <v>152.8138409867322</v>
      </c>
      <c r="AO83" s="38">
        <f t="shared" si="87"/>
        <v>1.0000000000000007</v>
      </c>
      <c r="AP83" s="38">
        <f t="shared" si="206"/>
        <v>1.7896282955110878</v>
      </c>
      <c r="AQ83" s="4">
        <f t="shared" si="228"/>
        <v>0</v>
      </c>
      <c r="AR83" s="4" t="e">
        <f>#REF!/G83*F83^0.5/0.19</f>
        <v>#REF!</v>
      </c>
      <c r="AS83" s="4">
        <f t="shared" si="166"/>
        <v>1.0249999999999999</v>
      </c>
      <c r="AT83" s="38">
        <f t="shared" si="167"/>
        <v>273.47997377558795</v>
      </c>
      <c r="AU83" s="4">
        <f t="shared" si="168"/>
        <v>0.60099999999999998</v>
      </c>
      <c r="AV83" s="4" t="e">
        <f>AU83*D83*#REF!/(D83*G83/2.75/F83^0.5)</f>
        <v>#REF!</v>
      </c>
      <c r="AW83" s="4" t="e">
        <f t="shared" si="207"/>
        <v>#REF!</v>
      </c>
      <c r="AY83" s="36">
        <f t="shared" si="169"/>
        <v>1.1000000000000001</v>
      </c>
      <c r="AZ83" s="36" t="e">
        <f>(1.6*#REF!+22)*AY83*F83^0.5</f>
        <v>#REF!</v>
      </c>
      <c r="BE83" s="4">
        <f t="shared" si="170"/>
        <v>89.949999999999989</v>
      </c>
      <c r="BF83" s="4">
        <f t="shared" si="171"/>
        <v>83.6</v>
      </c>
      <c r="BG83" s="4">
        <f t="shared" si="172"/>
        <v>89.949999999999989</v>
      </c>
      <c r="BH83" s="4">
        <f t="shared" si="173"/>
        <v>101.6</v>
      </c>
      <c r="BI83" s="4">
        <f t="shared" si="229"/>
        <v>1.0075956937799044</v>
      </c>
      <c r="BJ83" s="25">
        <f t="shared" si="174"/>
        <v>2.8436589580010634</v>
      </c>
      <c r="BL83" s="4">
        <f t="shared" si="175"/>
        <v>89.949999999999989</v>
      </c>
      <c r="BP83" s="9"/>
      <c r="BR83" s="9"/>
      <c r="BS83" s="9"/>
      <c r="BT83" s="9">
        <f t="shared" si="176"/>
        <v>50.8</v>
      </c>
      <c r="BU83" s="9">
        <f t="shared" si="177"/>
        <v>89.949999999999989</v>
      </c>
      <c r="BV83" s="9">
        <f t="shared" si="178"/>
        <v>1.2941994891728255</v>
      </c>
      <c r="BW83" s="9">
        <v>0</v>
      </c>
      <c r="BX83" s="9">
        <f t="shared" si="179"/>
        <v>0</v>
      </c>
      <c r="BY83" s="9">
        <f t="shared" si="208"/>
        <v>0</v>
      </c>
      <c r="BZ83" s="9">
        <f t="shared" si="180"/>
        <v>0.89637813077714179</v>
      </c>
      <c r="CA83" s="9">
        <f t="shared" si="181"/>
        <v>1.1339999999999999</v>
      </c>
      <c r="CB83" s="9">
        <f t="shared" si="182"/>
        <v>1.8825710113593779</v>
      </c>
      <c r="CC83" s="9">
        <f t="shared" si="183"/>
        <v>2.4364224412328763</v>
      </c>
      <c r="CD83" s="9">
        <v>1</v>
      </c>
      <c r="CE83" s="9" t="e">
        <f>4*CC83*#REF!+60*CC83</f>
        <v>#REF!</v>
      </c>
      <c r="CG83" s="4" t="e">
        <f t="shared" si="265"/>
        <v>#REF!</v>
      </c>
      <c r="CH83" s="4" t="e">
        <f t="shared" si="266"/>
        <v>#REF!</v>
      </c>
      <c r="CI83" s="4" t="e">
        <f t="shared" si="267"/>
        <v>#REF!</v>
      </c>
      <c r="CJ83" s="4" t="e">
        <f t="shared" si="268"/>
        <v>#REF!</v>
      </c>
      <c r="CK83" s="4" t="e">
        <f t="shared" si="269"/>
        <v>#REF!</v>
      </c>
      <c r="CL83" s="4" t="e">
        <f t="shared" si="270"/>
        <v>#REF!</v>
      </c>
      <c r="CM83" s="4">
        <f t="shared" si="215"/>
        <v>1.9922921635024289</v>
      </c>
      <c r="CO83" s="4" t="e">
        <f t="shared" si="271"/>
        <v>#REF!</v>
      </c>
      <c r="CP83" s="4" t="e">
        <f t="shared" si="272"/>
        <v>#REF!</v>
      </c>
      <c r="CQ83" s="4" t="e">
        <f t="shared" si="273"/>
        <v>#REF!</v>
      </c>
      <c r="CR83" s="4">
        <f t="shared" si="274"/>
        <v>1.9922921635024289</v>
      </c>
      <c r="CS83" s="4" t="e">
        <f t="shared" si="275"/>
        <v>#REF!</v>
      </c>
      <c r="CT83" s="4" t="e">
        <f t="shared" si="276"/>
        <v>#REF!</v>
      </c>
      <c r="DB83" s="4">
        <f t="shared" si="232"/>
        <v>0</v>
      </c>
      <c r="DC83" s="4">
        <f t="shared" si="184"/>
        <v>381</v>
      </c>
      <c r="DD83" s="4" t="e">
        <f>#REF!/E83</f>
        <v>#REF!</v>
      </c>
      <c r="DF83" s="4">
        <f t="shared" si="185"/>
        <v>1.8628104182055264E-5</v>
      </c>
      <c r="DG83" s="4">
        <f t="shared" si="233"/>
        <v>6.0161976170308948</v>
      </c>
      <c r="DH83" s="4">
        <f t="shared" si="221"/>
        <v>0.52633171836280401</v>
      </c>
      <c r="DI83" s="4">
        <f t="shared" si="149"/>
        <v>4.6539949788353114</v>
      </c>
      <c r="DJ83" s="4">
        <f t="shared" si="150"/>
        <v>5.3784662944781267</v>
      </c>
      <c r="DK83" s="4">
        <f t="shared" si="186"/>
        <v>5.623161220484743</v>
      </c>
      <c r="DL83" s="38" t="e">
        <f t="shared" si="187"/>
        <v>#REF!</v>
      </c>
      <c r="DM83" s="4" t="e">
        <f t="shared" si="151"/>
        <v>#REF!</v>
      </c>
      <c r="DN83" s="4">
        <f t="shared" si="222"/>
        <v>1.9621416870348587</v>
      </c>
      <c r="DO83" s="4">
        <f t="shared" si="152"/>
        <v>152.8138409867322</v>
      </c>
      <c r="DS83" s="4">
        <f t="shared" si="188"/>
        <v>0.85</v>
      </c>
      <c r="DT83" s="4">
        <f t="shared" si="189"/>
        <v>0.85013888888888889</v>
      </c>
      <c r="DU83" s="4">
        <f t="shared" si="190"/>
        <v>1</v>
      </c>
      <c r="DV83" s="4">
        <f t="shared" si="223"/>
        <v>0.85013888888888889</v>
      </c>
      <c r="DX83" s="4" t="e">
        <f t="shared" si="191"/>
        <v>#REF!</v>
      </c>
      <c r="DY83" s="25">
        <f t="shared" si="192"/>
        <v>150.18137322121927</v>
      </c>
      <c r="EA83" s="4">
        <f t="shared" si="224"/>
        <v>0.72261805555555558</v>
      </c>
      <c r="EB83" s="4">
        <f t="shared" ref="EB83:EB104" si="309">IF(G83&lt;22.2,1.1*5*(F83/30)^0.5,IF(G83&gt;=31.8,0.9*5*(F83/30)^0.5,1*5*(F83/30)^0.5))/DS83/DV83</f>
        <v>6.0161976170308948</v>
      </c>
      <c r="EC83" s="4">
        <f t="shared" si="193"/>
        <v>4.9450239957683877</v>
      </c>
      <c r="EE83" s="4">
        <f t="shared" si="194"/>
        <v>70.637100733254911</v>
      </c>
      <c r="EF83" s="4">
        <f t="shared" si="235"/>
        <v>1.9621416870348585</v>
      </c>
      <c r="EG83" s="4">
        <f t="shared" si="195"/>
        <v>0.15229085460242964</v>
      </c>
      <c r="EJ83" s="4">
        <f t="shared" si="263"/>
        <v>0.15229085460242964</v>
      </c>
      <c r="EK83" s="4">
        <f t="shared" si="196"/>
        <v>0.5254533688197538</v>
      </c>
      <c r="EL83" s="4">
        <f t="shared" si="237"/>
        <v>4.6508867620253334</v>
      </c>
      <c r="EM83" s="4">
        <f t="shared" si="306"/>
        <v>5.3771224773913264</v>
      </c>
      <c r="EN83" s="4">
        <f t="shared" si="239"/>
        <v>215.1128992667451</v>
      </c>
      <c r="EO83" s="4">
        <f t="shared" si="240"/>
        <v>95.25</v>
      </c>
      <c r="EP83" s="4">
        <f t="shared" si="197"/>
        <v>1.8628104182055264E-5</v>
      </c>
      <c r="EQ83" s="4">
        <f t="shared" si="307"/>
        <v>5.6232740205776892</v>
      </c>
      <c r="ER83" s="4" t="e">
        <f t="shared" si="198"/>
        <v>#REF!</v>
      </c>
      <c r="ES83" s="4" t="e">
        <f t="shared" si="242"/>
        <v>#REF!</v>
      </c>
      <c r="ET83" s="4" t="e">
        <f t="shared" si="243"/>
        <v>#REF!</v>
      </c>
      <c r="EV83" s="4" t="e">
        <f t="shared" si="199"/>
        <v>#REF!</v>
      </c>
      <c r="FA83" s="23" t="e">
        <f t="shared" si="277"/>
        <v>#REF!</v>
      </c>
      <c r="FB83" s="23" t="e">
        <f t="shared" si="278"/>
        <v>#REF!</v>
      </c>
      <c r="FC83" s="23">
        <f t="shared" si="290"/>
        <v>2</v>
      </c>
      <c r="FD83" s="23" t="e">
        <f t="shared" si="279"/>
        <v>#REF!</v>
      </c>
      <c r="FE83" s="23" t="e">
        <f t="shared" si="280"/>
        <v>#REF!</v>
      </c>
      <c r="FF83" s="23" t="e">
        <f t="shared" si="281"/>
        <v>#REF!</v>
      </c>
      <c r="FG83" s="23" t="e">
        <f t="shared" si="282"/>
        <v>#REF!</v>
      </c>
      <c r="FH83" s="23"/>
      <c r="FR83" s="4">
        <f t="shared" si="140"/>
        <v>1</v>
      </c>
      <c r="FS83" s="4">
        <f t="shared" si="141"/>
        <v>1.0833333333333333</v>
      </c>
      <c r="FT83" s="4">
        <f t="shared" si="142"/>
        <v>0</v>
      </c>
      <c r="FU83" s="4">
        <f t="shared" si="143"/>
        <v>188.22540532446502</v>
      </c>
    </row>
    <row r="84" spans="1:178" ht="12" customHeight="1" x14ac:dyDescent="0.3">
      <c r="B84" s="24"/>
      <c r="C84" s="7" t="s">
        <v>286</v>
      </c>
      <c r="D84" s="7">
        <v>433</v>
      </c>
      <c r="E84" s="7">
        <f t="shared" si="308"/>
        <v>381</v>
      </c>
      <c r="F84" s="7">
        <v>28</v>
      </c>
      <c r="G84" s="7">
        <v>36</v>
      </c>
      <c r="H84" s="7">
        <f t="shared" si="305"/>
        <v>215.89999999999998</v>
      </c>
      <c r="I84" s="7">
        <f t="shared" ref="I84:I94" si="310">(H84-G84)/2</f>
        <v>89.949999999999989</v>
      </c>
      <c r="J84" s="7">
        <f t="shared" si="201"/>
        <v>50.8</v>
      </c>
      <c r="K84" s="7">
        <v>0</v>
      </c>
      <c r="L84" s="7">
        <v>1</v>
      </c>
      <c r="M84" s="7">
        <f t="shared" si="202"/>
        <v>83.6</v>
      </c>
      <c r="N84" s="7">
        <f t="shared" ref="N84:N94" si="311">MIN(H84/2/G84, (M84+G84/2)/G84)</f>
        <v>2.822222222222222</v>
      </c>
      <c r="O84" s="7">
        <f t="shared" si="203"/>
        <v>2.9986111111111109</v>
      </c>
      <c r="P84" s="7">
        <v>3.53</v>
      </c>
      <c r="Q84" s="7">
        <f t="shared" si="227"/>
        <v>3.53</v>
      </c>
      <c r="R84" s="7">
        <f t="shared" ref="R84:R115" si="312">Q84+1</f>
        <v>4.5299999999999994</v>
      </c>
      <c r="S84" s="7">
        <f t="shared" ref="S84:S115" si="313">G84*R84^0.5</f>
        <v>76.62166795365394</v>
      </c>
      <c r="T84" s="7"/>
      <c r="U84" s="7"/>
      <c r="V84" s="7">
        <v>387</v>
      </c>
      <c r="W84" s="7"/>
      <c r="X84" s="7"/>
      <c r="Y84" s="7"/>
      <c r="Z84" s="7"/>
      <c r="AA84" s="7">
        <v>1</v>
      </c>
      <c r="AB84" s="7"/>
      <c r="AC84" s="7"/>
      <c r="AD84" s="7"/>
      <c r="AE84" s="4">
        <f t="shared" si="252"/>
        <v>381</v>
      </c>
      <c r="AF84" s="44">
        <f t="shared" si="204"/>
        <v>8.3950617283950604E-2</v>
      </c>
      <c r="AG84" s="25">
        <f t="shared" ref="AG84:AG115" si="314">MIN(10*F84^0.5*AE84^1.5,100*3.9*F84^0.5*AE84^(5/3))/(PI()/4*G84^2)/L84</f>
        <v>386.60867631208708</v>
      </c>
      <c r="AH84" s="4">
        <f t="shared" ref="AH84:AH115" si="315">MIN(0.7+0.3*(MIN(I84,M84)+0.5*G84)/1.5/E84,1)</f>
        <v>0.7533333333333333</v>
      </c>
      <c r="AI84" s="4">
        <v>1.25</v>
      </c>
      <c r="AJ84" s="25">
        <f t="shared" si="146"/>
        <v>5</v>
      </c>
      <c r="AK84" s="38">
        <f t="shared" si="205"/>
        <v>152.81384098673232</v>
      </c>
      <c r="AL84" s="38">
        <f t="shared" si="148"/>
        <v>152.81384098673232</v>
      </c>
      <c r="AN84" s="38">
        <f t="shared" si="158"/>
        <v>152.8138409867322</v>
      </c>
      <c r="AO84" s="38">
        <f t="shared" ref="AO84:AO147" si="316">AK84/AN84</f>
        <v>1.0000000000000007</v>
      </c>
      <c r="AP84" s="38">
        <f t="shared" si="206"/>
        <v>1.9917175968892866</v>
      </c>
      <c r="AQ84" s="4">
        <f t="shared" si="228"/>
        <v>0</v>
      </c>
      <c r="AR84" s="4" t="e">
        <f>#REF!/G84*F84^0.5/0.19</f>
        <v>#REF!</v>
      </c>
      <c r="AS84" s="4">
        <f t="shared" ref="AS84:AS115" si="317">MIN(0.6+0.4*(O84/N84),2)</f>
        <v>1.0249999999999999</v>
      </c>
      <c r="AT84" s="38">
        <f t="shared" ref="AT84:AT115" si="318">2*F84*N84*P84^0.5*AS84*0.7/0.7</f>
        <v>304.36201614151582</v>
      </c>
      <c r="AU84" s="4">
        <f t="shared" ref="AU84:AU115" si="319">MAX(1-0.7*Q84/5,0.3)</f>
        <v>0.50580000000000003</v>
      </c>
      <c r="AV84" s="4" t="e">
        <f>AU84*D84*#REF!/(D84*G84/2.75/F84^0.5)</f>
        <v>#REF!</v>
      </c>
      <c r="AW84" s="4" t="e">
        <f t="shared" si="207"/>
        <v>#REF!</v>
      </c>
      <c r="AY84" s="36">
        <f t="shared" ref="AY84:AY104" si="320">MAX(1, (0.9+0.1*MIN(2,N84-0.5))*(0.9+0.1*MIN(3.5,I84/I84))+0.45*MIN(2.5,(40*2*PI()*Y84^2/4/AA84/L84)/G84))</f>
        <v>1.1000000000000001</v>
      </c>
      <c r="AZ84" s="36" t="e">
        <f>(1.6*#REF!+22)*AY84*F84^0.5</f>
        <v>#REF!</v>
      </c>
      <c r="BE84" s="4">
        <f t="shared" ref="BE84:BE115" si="321">IF(L84=1,I84,MIN(I84,K84/2+6.4))</f>
        <v>89.949999999999989</v>
      </c>
      <c r="BF84" s="4">
        <f t="shared" ref="BF84:BF115" si="322">MIN(M84,BE84)</f>
        <v>83.6</v>
      </c>
      <c r="BG84" s="4">
        <f t="shared" ref="BG84:BG115" si="323">MAX(M84,BE84)</f>
        <v>89.949999999999989</v>
      </c>
      <c r="BH84" s="4">
        <f t="shared" ref="BH84:BH115" si="324">BF84+G84/2</f>
        <v>101.6</v>
      </c>
      <c r="BI84" s="4">
        <f t="shared" si="229"/>
        <v>1.0075956937799044</v>
      </c>
      <c r="BJ84" s="25">
        <f t="shared" ref="BJ84:BJ115" si="325">MIN(4, (BH84*BI84+(6*F84^0.5*(0.03*G84+0.22)*(Y84^2/4*PI())*2/AA84/L84))/G84)</f>
        <v>2.8436589580010634</v>
      </c>
      <c r="BL84" s="4">
        <f t="shared" ref="BL84:BL115" si="326">IF(K84=0,I84,MIN(K84/2,I84))</f>
        <v>89.949999999999989</v>
      </c>
      <c r="BP84" s="9"/>
      <c r="BR84" s="9"/>
      <c r="BS84" s="9"/>
      <c r="BT84" s="9">
        <f t="shared" ref="BT84:BT115" si="327">IF(K84=0,MIN(I84,J84),MIN(K84/2,I84,J84))</f>
        <v>50.8</v>
      </c>
      <c r="BU84" s="9">
        <f t="shared" ref="BU84:BU115" si="328">MAX(K84/2,I84)</f>
        <v>89.949999999999989</v>
      </c>
      <c r="BV84" s="9">
        <f t="shared" ref="BV84:BV115" si="329">(BT84/G84)^0.5*(BU84/BT84)^0.15</f>
        <v>1.2941994891728255</v>
      </c>
      <c r="BW84" s="9">
        <v>0</v>
      </c>
      <c r="BX84" s="9">
        <f t="shared" ref="BX84:BX115" si="330">MIN(PI()*Y84^2/4*Z84*2/L84/G84/MAX(0.01,AA84),0.05)</f>
        <v>0</v>
      </c>
      <c r="BY84" s="9">
        <f t="shared" si="208"/>
        <v>0</v>
      </c>
      <c r="BZ84" s="9">
        <f t="shared" ref="BZ84:BZ115" si="331">MIN(1,(25/G84)^0.3)</f>
        <v>0.89637813077714179</v>
      </c>
      <c r="CA84" s="9">
        <f t="shared" ref="CA84:CA115" si="332">IF(D84&gt;=800,0.68,IF(D84&gt;=700,0.75-(D84-700)*0.07/100,IF(D84&gt;=600,0.85-(D84-600)*0.1/100,IF(D84&gt;=500,1-(D84-500)*0.15/100,1.2-(D84-400)*0.2/100))))</f>
        <v>1.1339999999999999</v>
      </c>
      <c r="CB84" s="9">
        <f t="shared" ref="CB84:CB115" si="333">1.75*BZ84*CA84*(F84/25)^0.5</f>
        <v>1.8825710113593779</v>
      </c>
      <c r="CC84" s="9">
        <f t="shared" ref="CC84:CC115" si="334">MIN((BV84+BY84)*CB84,2.5*CB84,F84^0.5)</f>
        <v>2.4364224412328763</v>
      </c>
      <c r="CD84" s="9">
        <v>1</v>
      </c>
      <c r="CE84" s="9" t="e">
        <f>4*CC84*#REF!+60*CC84</f>
        <v>#REF!</v>
      </c>
      <c r="CG84" s="4" t="e">
        <f t="shared" si="265"/>
        <v>#REF!</v>
      </c>
      <c r="CH84" s="4" t="e">
        <f t="shared" si="266"/>
        <v>#REF!</v>
      </c>
      <c r="CI84" s="4" t="e">
        <f t="shared" si="267"/>
        <v>#REF!</v>
      </c>
      <c r="CJ84" s="4" t="e">
        <f t="shared" si="268"/>
        <v>#REF!</v>
      </c>
      <c r="CK84" s="4" t="e">
        <f t="shared" si="269"/>
        <v>#REF!</v>
      </c>
      <c r="CL84" s="4" t="e">
        <f t="shared" si="270"/>
        <v>#REF!</v>
      </c>
      <c r="CM84" s="4">
        <f t="shared" si="215"/>
        <v>2.0560455127345065</v>
      </c>
      <c r="CO84" s="4" t="e">
        <f t="shared" si="271"/>
        <v>#REF!</v>
      </c>
      <c r="CP84" s="4" t="e">
        <f t="shared" si="272"/>
        <v>#REF!</v>
      </c>
      <c r="CQ84" s="4" t="e">
        <f t="shared" si="273"/>
        <v>#REF!</v>
      </c>
      <c r="CR84" s="4">
        <f t="shared" si="274"/>
        <v>2.0560455127345065</v>
      </c>
      <c r="CS84" s="4" t="e">
        <f t="shared" si="275"/>
        <v>#REF!</v>
      </c>
      <c r="CT84" s="4" t="e">
        <f t="shared" si="276"/>
        <v>#REF!</v>
      </c>
      <c r="DB84" s="4">
        <f t="shared" si="232"/>
        <v>0</v>
      </c>
      <c r="DC84" s="4">
        <f t="shared" ref="DC84:DC115" si="335">E84</f>
        <v>381</v>
      </c>
      <c r="DD84" s="4" t="e">
        <f>#REF!/E84</f>
        <v>#REF!</v>
      </c>
      <c r="DF84" s="4">
        <f t="shared" ref="DF84:DF115" si="336">E84/4/(1-0.3*(F84/30)^0.5)/200000/G84</f>
        <v>1.8628104182055264E-5</v>
      </c>
      <c r="DG84" s="4">
        <f t="shared" si="233"/>
        <v>6.0161976170308948</v>
      </c>
      <c r="DH84" s="4">
        <f t="shared" si="221"/>
        <v>0.4609442837619841</v>
      </c>
      <c r="DI84" s="4">
        <f t="shared" si="149"/>
        <v>4.4134830878635238</v>
      </c>
      <c r="DJ84" s="4">
        <f t="shared" si="150"/>
        <v>5.2761943527954989</v>
      </c>
      <c r="DK84" s="4">
        <f t="shared" ref="DK84:DK104" si="337">MAX(DG84/2, (4-DF84*(8*S84*(DI84-DJ84)+6*E84*DJ84))/(4+DF84*E84*DG84)*DG84)</f>
        <v>5.6329529640118547</v>
      </c>
      <c r="DL84" s="38" t="e">
        <f t="shared" ref="DL84:DL115" si="338">MIN(1/G84*(4*S84*(DI84-DJ84)+(3*DJ84+DK84)*E84)+DO84 -EV84,MAX(D84,V84))</f>
        <v>#REF!</v>
      </c>
      <c r="DM84" s="4" t="e">
        <f t="shared" si="151"/>
        <v>#REF!</v>
      </c>
      <c r="DN84" s="4">
        <f t="shared" si="222"/>
        <v>2.1283796653792759</v>
      </c>
      <c r="DO84" s="4">
        <f t="shared" si="152"/>
        <v>152.8138409867322</v>
      </c>
      <c r="DS84" s="4">
        <f t="shared" ref="DS84:DS115" si="339">IF(J84&gt;1*G84,0.85,1)</f>
        <v>0.85</v>
      </c>
      <c r="DT84" s="4">
        <f t="shared" ref="DT84:DT115" si="340">MIN(1,MAX(0.7,(1-0.1*(BL84-1*G84)/G84)))</f>
        <v>0.85013888888888889</v>
      </c>
      <c r="DU84" s="4">
        <f t="shared" ref="DU84:DU115" si="341">MIN(1,MAX(0.7,1-0.3*(PI()*Y84^2/4*Z84*2-0.25*PI()/4*G84^2)/(PI()/4*G84^2)))</f>
        <v>1</v>
      </c>
      <c r="DV84" s="4">
        <f t="shared" si="223"/>
        <v>0.85013888888888889</v>
      </c>
      <c r="DX84" s="4" t="e">
        <f t="shared" ref="DX84:DX115" si="342">MIN(DG84/G84*3*E84+DY84-EV84,MAX(D84,V84))</f>
        <v>#REF!</v>
      </c>
      <c r="DY84" s="25">
        <f t="shared" ref="DY84:DY94" si="343">8.8*H84*508*F84^0.5/L84/G84^2/E84^0.5*(0.7+MIN(M84,I84)/5/E84)</f>
        <v>150.18137322121927</v>
      </c>
      <c r="EA84" s="4">
        <f t="shared" si="224"/>
        <v>0.72261805555555558</v>
      </c>
      <c r="EB84" s="4">
        <f t="shared" si="309"/>
        <v>6.0161976170308948</v>
      </c>
      <c r="EC84" s="4">
        <f t="shared" ref="EC84:EC115" si="344">IF(G84&lt;22.2,1.1*5*(F84/30)^0.5,IF(G84&gt;=31.8,0.9*5*(F84/30)^0.5,1*5*(F84/30)^0.5))*BJ84/2.5</f>
        <v>4.9450239957683877</v>
      </c>
      <c r="EE84" s="4">
        <f t="shared" ref="EE84:EE115" si="345">EF84*G84</f>
        <v>76.62166795365394</v>
      </c>
      <c r="EF84" s="4">
        <f t="shared" si="235"/>
        <v>2.1283796653792759</v>
      </c>
      <c r="EG84" s="4">
        <f t="shared" ref="EG84:EG115" si="346">MIN(DO84)/(4700*F84^0.5)/Q84*EE84</f>
        <v>0.13337140143590914</v>
      </c>
      <c r="EJ84" s="4">
        <f t="shared" si="263"/>
        <v>0.13337140143590914</v>
      </c>
      <c r="EK84" s="4">
        <f t="shared" ref="EK84:EK115" si="347">MIN(0.999, EJ84/(0.3*(F84/30)^0.5))</f>
        <v>0.46017505366072153</v>
      </c>
      <c r="EL84" s="4">
        <f t="shared" si="237"/>
        <v>4.4105354993107566</v>
      </c>
      <c r="EM84" s="4">
        <f t="shared" si="306"/>
        <v>5.2749629221701388</v>
      </c>
      <c r="EN84" s="4">
        <f t="shared" si="239"/>
        <v>209.12833204634606</v>
      </c>
      <c r="EO84" s="4">
        <f t="shared" si="240"/>
        <v>95.249999999999972</v>
      </c>
      <c r="EP84" s="4">
        <f t="shared" ref="EP84:EP115" si="348">EO84/(1-0.3*(F84/30)^0.5)/200000/G84</f>
        <v>1.8628104182055258E-5</v>
      </c>
      <c r="EQ84" s="4">
        <f t="shared" si="307"/>
        <v>5.6330601639663991</v>
      </c>
      <c r="ER84" s="4" t="e">
        <f t="shared" ref="ER84:ER115" si="349">MIN(4/G84*(1*EL84*EE84+EM84*ES84+ET84*EQ84)+DO84,MAX(D84,V84))</f>
        <v>#REF!</v>
      </c>
      <c r="ES84" s="4" t="e">
        <f t="shared" si="242"/>
        <v>#REF!</v>
      </c>
      <c r="ET84" s="4" t="e">
        <f t="shared" si="243"/>
        <v>#REF!</v>
      </c>
      <c r="EV84" s="4" t="e">
        <f t="shared" ref="EV84:EV117" si="350">4/G84*(1*EL84*EE84+EM84*EN84+EO84*EQ84)+DO84 - (4/G84*(1*EL84*EE84+EM84*ES84+ET84*EQ84)+DO84)</f>
        <v>#REF!</v>
      </c>
      <c r="FA84" s="23" t="e">
        <f t="shared" si="277"/>
        <v>#REF!</v>
      </c>
      <c r="FB84" s="23" t="e">
        <f t="shared" si="278"/>
        <v>#REF!</v>
      </c>
      <c r="FC84" s="23">
        <f t="shared" si="290"/>
        <v>2.2000000000000002</v>
      </c>
      <c r="FD84" s="23" t="e">
        <f t="shared" si="279"/>
        <v>#REF!</v>
      </c>
      <c r="FE84" s="23" t="e">
        <f t="shared" si="280"/>
        <v>#REF!</v>
      </c>
      <c r="FF84" s="23" t="e">
        <f t="shared" si="281"/>
        <v>#REF!</v>
      </c>
      <c r="FG84" s="23" t="e">
        <f t="shared" si="282"/>
        <v>#REF!</v>
      </c>
      <c r="FH84" s="23"/>
      <c r="FR84" s="4">
        <f t="shared" ref="FR84:FR147" si="351">IF(I84&gt;=2.5*25.4,1,1.25)</f>
        <v>1</v>
      </c>
      <c r="FS84" s="4">
        <f t="shared" ref="FS84:FS147" si="352">IF(AA84&gt;1, 0.05*(18-MIN(8,(K84+G84)/G84))*(1-48000/MAX(60000,(D84*145))*(G84/25.4)^0.75*FT84), 1/12*(14-MIN(8,(K84+G84)/G84)))</f>
        <v>1.0833333333333333</v>
      </c>
      <c r="FT84" s="4">
        <f t="shared" ref="FT84:FT147" si="353">MIN(0.3, Y84^2*PI()/4*2*AB84/(G84^2*PI()/4*L84))</f>
        <v>0</v>
      </c>
      <c r="FU84" s="4">
        <f t="shared" ref="FU84:FU147" si="354">(E84/25.4)/(G84/25.4)^1.5/0.0024*(F84*145)^0.25/FR84/FS84/145</f>
        <v>188.22540532446502</v>
      </c>
    </row>
    <row r="85" spans="1:178" ht="12" customHeight="1" x14ac:dyDescent="0.3">
      <c r="B85" s="24"/>
      <c r="C85" s="7" t="s">
        <v>287</v>
      </c>
      <c r="D85" s="7">
        <v>433</v>
      </c>
      <c r="E85" s="7">
        <f t="shared" si="308"/>
        <v>381</v>
      </c>
      <c r="F85" s="7">
        <v>28</v>
      </c>
      <c r="G85" s="7">
        <v>36</v>
      </c>
      <c r="H85" s="7">
        <f t="shared" si="305"/>
        <v>215.89999999999998</v>
      </c>
      <c r="I85" s="7">
        <f t="shared" si="310"/>
        <v>89.949999999999989</v>
      </c>
      <c r="J85" s="7">
        <f t="shared" si="201"/>
        <v>50.8</v>
      </c>
      <c r="K85" s="7">
        <v>0</v>
      </c>
      <c r="L85" s="7">
        <v>1</v>
      </c>
      <c r="M85" s="7">
        <f t="shared" si="202"/>
        <v>83.6</v>
      </c>
      <c r="N85" s="7">
        <f t="shared" si="311"/>
        <v>2.822222222222222</v>
      </c>
      <c r="O85" s="7">
        <f t="shared" si="203"/>
        <v>2.9986111111111109</v>
      </c>
      <c r="P85" s="7">
        <v>4.13</v>
      </c>
      <c r="Q85" s="7">
        <f t="shared" si="227"/>
        <v>4.13</v>
      </c>
      <c r="R85" s="7">
        <f t="shared" si="312"/>
        <v>5.13</v>
      </c>
      <c r="S85" s="7">
        <f t="shared" si="313"/>
        <v>81.538211900924097</v>
      </c>
      <c r="T85" s="7"/>
      <c r="U85" s="7"/>
      <c r="V85" s="7">
        <v>427</v>
      </c>
      <c r="W85" s="7"/>
      <c r="X85" s="7"/>
      <c r="Y85" s="7"/>
      <c r="Z85" s="7"/>
      <c r="AA85" s="7">
        <v>1</v>
      </c>
      <c r="AB85" s="7"/>
      <c r="AC85" s="7"/>
      <c r="AD85" s="7"/>
      <c r="AE85" s="4">
        <f t="shared" si="252"/>
        <v>381</v>
      </c>
      <c r="AF85" s="44">
        <f t="shared" si="204"/>
        <v>8.3950617283950604E-2</v>
      </c>
      <c r="AG85" s="25">
        <f t="shared" si="314"/>
        <v>386.60867631208708</v>
      </c>
      <c r="AH85" s="4">
        <f t="shared" si="315"/>
        <v>0.7533333333333333</v>
      </c>
      <c r="AI85" s="4">
        <v>1.25</v>
      </c>
      <c r="AJ85" s="25">
        <f t="shared" ref="AJ85:AJ103" si="355">AJ84</f>
        <v>5</v>
      </c>
      <c r="AK85" s="38">
        <f t="shared" si="205"/>
        <v>152.81384098673232</v>
      </c>
      <c r="AL85" s="38">
        <f t="shared" ref="AL85:AL148" si="356">AK85</f>
        <v>152.81384098673232</v>
      </c>
      <c r="AN85" s="38">
        <f t="shared" si="158"/>
        <v>152.8138409867322</v>
      </c>
      <c r="AO85" s="38">
        <f t="shared" si="316"/>
        <v>1.0000000000000007</v>
      </c>
      <c r="AP85" s="38">
        <f t="shared" ref="AP85:AP148" si="357">AT85/AN85</f>
        <v>2.1543458950369176</v>
      </c>
      <c r="AQ85" s="4">
        <f t="shared" si="228"/>
        <v>0</v>
      </c>
      <c r="AR85" s="4" t="e">
        <f>#REF!/G85*F85^0.5/0.19</f>
        <v>#REF!</v>
      </c>
      <c r="AS85" s="4">
        <f t="shared" si="317"/>
        <v>1.0249999999999999</v>
      </c>
      <c r="AT85" s="38">
        <f t="shared" si="318"/>
        <v>329.2138710345908</v>
      </c>
      <c r="AU85" s="4">
        <f t="shared" si="319"/>
        <v>0.42180000000000006</v>
      </c>
      <c r="AV85" s="4" t="e">
        <f>AU85*D85*#REF!/(D85*G85/2.75/F85^0.5)</f>
        <v>#REF!</v>
      </c>
      <c r="AW85" s="4" t="e">
        <f t="shared" si="207"/>
        <v>#REF!</v>
      </c>
      <c r="AY85" s="36">
        <f t="shared" si="320"/>
        <v>1.1000000000000001</v>
      </c>
      <c r="AZ85" s="36" t="e">
        <f>(1.6*#REF!+22)*AY85*F85^0.5</f>
        <v>#REF!</v>
      </c>
      <c r="BE85" s="4">
        <f t="shared" si="321"/>
        <v>89.949999999999989</v>
      </c>
      <c r="BF85" s="4">
        <f t="shared" si="322"/>
        <v>83.6</v>
      </c>
      <c r="BG85" s="4">
        <f t="shared" si="323"/>
        <v>89.949999999999989</v>
      </c>
      <c r="BH85" s="4">
        <f t="shared" si="324"/>
        <v>101.6</v>
      </c>
      <c r="BI85" s="4">
        <f t="shared" si="229"/>
        <v>1.0075956937799044</v>
      </c>
      <c r="BJ85" s="25">
        <f t="shared" si="325"/>
        <v>2.8436589580010634</v>
      </c>
      <c r="BL85" s="4">
        <f t="shared" si="326"/>
        <v>89.949999999999989</v>
      </c>
      <c r="BP85" s="9"/>
      <c r="BR85" s="9"/>
      <c r="BS85" s="9"/>
      <c r="BT85" s="9">
        <f t="shared" si="327"/>
        <v>50.8</v>
      </c>
      <c r="BU85" s="9">
        <f t="shared" si="328"/>
        <v>89.949999999999989</v>
      </c>
      <c r="BV85" s="9">
        <f t="shared" si="329"/>
        <v>1.2941994891728255</v>
      </c>
      <c r="BW85" s="9">
        <v>0</v>
      </c>
      <c r="BX85" s="9">
        <f t="shared" si="330"/>
        <v>0</v>
      </c>
      <c r="BY85" s="9">
        <f t="shared" si="208"/>
        <v>0</v>
      </c>
      <c r="BZ85" s="9">
        <f t="shared" si="331"/>
        <v>0.89637813077714179</v>
      </c>
      <c r="CA85" s="9">
        <f t="shared" si="332"/>
        <v>1.1339999999999999</v>
      </c>
      <c r="CB85" s="9">
        <f t="shared" si="333"/>
        <v>1.8825710113593779</v>
      </c>
      <c r="CC85" s="9">
        <f t="shared" si="334"/>
        <v>2.4364224412328763</v>
      </c>
      <c r="CD85" s="9">
        <v>1</v>
      </c>
      <c r="CE85" s="9" t="e">
        <f>4*CC85*#REF!+60*CC85</f>
        <v>#REF!</v>
      </c>
      <c r="CG85" s="4" t="e">
        <f t="shared" si="265"/>
        <v>#REF!</v>
      </c>
      <c r="CH85" s="4" t="e">
        <f t="shared" si="266"/>
        <v>#REF!</v>
      </c>
      <c r="CI85" s="4" t="e">
        <f t="shared" si="267"/>
        <v>#REF!</v>
      </c>
      <c r="CJ85" s="4" t="e">
        <f t="shared" si="268"/>
        <v>#REF!</v>
      </c>
      <c r="CK85" s="4" t="e">
        <f t="shared" si="269"/>
        <v>#REF!</v>
      </c>
      <c r="CL85" s="4" t="e">
        <f t="shared" si="270"/>
        <v>#REF!</v>
      </c>
      <c r="CM85" s="4">
        <f t="shared" si="215"/>
        <v>2.2685566768414325</v>
      </c>
      <c r="CO85" s="4" t="e">
        <f t="shared" si="271"/>
        <v>#REF!</v>
      </c>
      <c r="CP85" s="4" t="e">
        <f t="shared" si="272"/>
        <v>#REF!</v>
      </c>
      <c r="CQ85" s="4" t="e">
        <f t="shared" si="273"/>
        <v>#REF!</v>
      </c>
      <c r="CR85" s="4">
        <f t="shared" si="274"/>
        <v>2.2685566768414325</v>
      </c>
      <c r="CS85" s="4" t="e">
        <f t="shared" si="275"/>
        <v>#REF!</v>
      </c>
      <c r="CT85" s="4" t="e">
        <f t="shared" si="276"/>
        <v>#REF!</v>
      </c>
      <c r="DB85" s="4">
        <f t="shared" si="232"/>
        <v>0</v>
      </c>
      <c r="DC85" s="4">
        <f t="shared" si="335"/>
        <v>381</v>
      </c>
      <c r="DD85" s="4" t="e">
        <f>#REF!/E85</f>
        <v>#REF!</v>
      </c>
      <c r="DF85" s="4">
        <f t="shared" si="336"/>
        <v>1.8628104182055264E-5</v>
      </c>
      <c r="DG85" s="4">
        <f t="shared" si="233"/>
        <v>6.0161976170308948</v>
      </c>
      <c r="DH85" s="4">
        <f t="shared" ref="DH85:DH104" si="358">DO85*S85/257/F85/P85</f>
        <v>0.4192592652284054</v>
      </c>
      <c r="DI85" s="4">
        <f t="shared" ref="DI85:DI148" si="359">DG85*DH85^0.4</f>
        <v>4.2492781569476614</v>
      </c>
      <c r="DJ85" s="4">
        <f t="shared" ref="DJ85:DJ148" si="360">MIN(DG85, DG85/1.4*(1-DH85^1.4)/(1-DH85))</f>
        <v>5.2084323712436884</v>
      </c>
      <c r="DK85" s="4">
        <f t="shared" si="337"/>
        <v>5.6399318008403121</v>
      </c>
      <c r="DL85" s="38" t="e">
        <f t="shared" si="338"/>
        <v>#REF!</v>
      </c>
      <c r="DM85" s="4" t="e">
        <f t="shared" ref="DM85:DM148" si="361">DL85/ER85</f>
        <v>#REF!</v>
      </c>
      <c r="DN85" s="4">
        <f t="shared" ref="DN85:DN104" si="362">S85/G85</f>
        <v>2.2649503305812249</v>
      </c>
      <c r="DO85" s="4">
        <f t="shared" ref="DO85:DO148" si="363">MIN(DN$10*AN85)</f>
        <v>152.8138409867322</v>
      </c>
      <c r="DS85" s="4">
        <f t="shared" si="339"/>
        <v>0.85</v>
      </c>
      <c r="DT85" s="4">
        <f t="shared" si="340"/>
        <v>0.85013888888888889</v>
      </c>
      <c r="DU85" s="4">
        <f t="shared" si="341"/>
        <v>1</v>
      </c>
      <c r="DV85" s="4">
        <f t="shared" si="223"/>
        <v>0.85013888888888889</v>
      </c>
      <c r="DX85" s="4" t="e">
        <f t="shared" si="342"/>
        <v>#REF!</v>
      </c>
      <c r="DY85" s="25">
        <f t="shared" si="343"/>
        <v>150.18137322121927</v>
      </c>
      <c r="EA85" s="4">
        <f t="shared" si="224"/>
        <v>0.72261805555555558</v>
      </c>
      <c r="EB85" s="4">
        <f t="shared" si="309"/>
        <v>6.0161976170308948</v>
      </c>
      <c r="EC85" s="4">
        <f t="shared" si="344"/>
        <v>4.9450239957683877</v>
      </c>
      <c r="EE85" s="4">
        <f t="shared" si="345"/>
        <v>81.538211900924097</v>
      </c>
      <c r="EF85" s="4">
        <f t="shared" si="235"/>
        <v>2.2649503305812249</v>
      </c>
      <c r="EG85" s="4">
        <f t="shared" si="346"/>
        <v>0.12131009698641951</v>
      </c>
      <c r="EJ85" s="4">
        <f t="shared" si="263"/>
        <v>0.12131009698641951</v>
      </c>
      <c r="EK85" s="4">
        <f t="shared" si="347"/>
        <v>0.4185595996540441</v>
      </c>
      <c r="EL85" s="4">
        <f t="shared" si="237"/>
        <v>4.2464402342902972</v>
      </c>
      <c r="EM85" s="4">
        <f t="shared" si="306"/>
        <v>5.2072764835268703</v>
      </c>
      <c r="EN85" s="4">
        <f t="shared" si="239"/>
        <v>204.2117880990759</v>
      </c>
      <c r="EO85" s="4">
        <f t="shared" si="240"/>
        <v>95.249999999999972</v>
      </c>
      <c r="EP85" s="4">
        <f t="shared" si="348"/>
        <v>1.8628104182055258E-5</v>
      </c>
      <c r="EQ85" s="4">
        <f t="shared" si="307"/>
        <v>5.6400354676909252</v>
      </c>
      <c r="ER85" s="4" t="e">
        <f t="shared" si="349"/>
        <v>#REF!</v>
      </c>
      <c r="ES85" s="4" t="e">
        <f t="shared" si="242"/>
        <v>#REF!</v>
      </c>
      <c r="ET85" s="4" t="e">
        <f t="shared" si="243"/>
        <v>#REF!</v>
      </c>
      <c r="EV85" s="4" t="e">
        <f t="shared" si="350"/>
        <v>#REF!</v>
      </c>
      <c r="FA85" s="23" t="e">
        <f t="shared" si="277"/>
        <v>#REF!</v>
      </c>
      <c r="FB85" s="23" t="e">
        <f t="shared" si="278"/>
        <v>#REF!</v>
      </c>
      <c r="FC85" s="23">
        <f t="shared" si="290"/>
        <v>2.2000000000000002</v>
      </c>
      <c r="FD85" s="23" t="e">
        <f t="shared" si="279"/>
        <v>#REF!</v>
      </c>
      <c r="FE85" s="23" t="e">
        <f t="shared" si="280"/>
        <v>#REF!</v>
      </c>
      <c r="FF85" s="23" t="e">
        <f t="shared" si="281"/>
        <v>#REF!</v>
      </c>
      <c r="FG85" s="23" t="e">
        <f t="shared" si="282"/>
        <v>#REF!</v>
      </c>
      <c r="FH85" s="23"/>
      <c r="FR85" s="4">
        <f t="shared" si="351"/>
        <v>1</v>
      </c>
      <c r="FS85" s="4">
        <f t="shared" si="352"/>
        <v>1.0833333333333333</v>
      </c>
      <c r="FT85" s="4">
        <f t="shared" si="353"/>
        <v>0</v>
      </c>
      <c r="FU85" s="4">
        <f t="shared" si="354"/>
        <v>188.22540532446502</v>
      </c>
    </row>
    <row r="86" spans="1:178" ht="12" customHeight="1" x14ac:dyDescent="0.3">
      <c r="B86" s="24"/>
      <c r="C86" s="7" t="s">
        <v>288</v>
      </c>
      <c r="D86" s="7">
        <v>433</v>
      </c>
      <c r="E86" s="7">
        <f t="shared" si="308"/>
        <v>381</v>
      </c>
      <c r="F86" s="7">
        <v>28</v>
      </c>
      <c r="G86" s="7">
        <v>36</v>
      </c>
      <c r="H86" s="7">
        <f t="shared" si="305"/>
        <v>215.89999999999998</v>
      </c>
      <c r="I86" s="7">
        <f t="shared" si="310"/>
        <v>89.949999999999989</v>
      </c>
      <c r="J86" s="7">
        <f t="shared" si="201"/>
        <v>50.8</v>
      </c>
      <c r="K86" s="7">
        <v>0</v>
      </c>
      <c r="L86" s="7">
        <v>1</v>
      </c>
      <c r="M86" s="7">
        <f t="shared" si="202"/>
        <v>83.6</v>
      </c>
      <c r="N86" s="7">
        <f t="shared" si="311"/>
        <v>2.822222222222222</v>
      </c>
      <c r="O86" s="7">
        <f t="shared" si="203"/>
        <v>2.9986111111111109</v>
      </c>
      <c r="P86" s="7">
        <v>4.13</v>
      </c>
      <c r="Q86" s="7">
        <f t="shared" si="227"/>
        <v>4.13</v>
      </c>
      <c r="R86" s="7">
        <f t="shared" si="312"/>
        <v>5.13</v>
      </c>
      <c r="S86" s="7">
        <f t="shared" si="313"/>
        <v>81.538211900924097</v>
      </c>
      <c r="T86" s="7"/>
      <c r="U86" s="7"/>
      <c r="V86" s="7">
        <v>393</v>
      </c>
      <c r="W86" s="7"/>
      <c r="X86" s="7"/>
      <c r="Y86" s="7"/>
      <c r="Z86" s="7"/>
      <c r="AA86" s="7">
        <v>1</v>
      </c>
      <c r="AB86" s="7"/>
      <c r="AC86" s="7"/>
      <c r="AD86" s="7"/>
      <c r="AE86" s="4">
        <f t="shared" si="252"/>
        <v>381</v>
      </c>
      <c r="AF86" s="44">
        <f t="shared" si="204"/>
        <v>8.3950617283950604E-2</v>
      </c>
      <c r="AG86" s="25">
        <f t="shared" si="314"/>
        <v>386.60867631208708</v>
      </c>
      <c r="AH86" s="4">
        <f t="shared" si="315"/>
        <v>0.7533333333333333</v>
      </c>
      <c r="AI86" s="4">
        <v>1.25</v>
      </c>
      <c r="AJ86" s="25">
        <f t="shared" si="355"/>
        <v>5</v>
      </c>
      <c r="AK86" s="38">
        <f t="shared" si="205"/>
        <v>152.81384098673232</v>
      </c>
      <c r="AL86" s="38">
        <f t="shared" si="356"/>
        <v>152.81384098673232</v>
      </c>
      <c r="AN86" s="38">
        <f t="shared" si="158"/>
        <v>152.8138409867322</v>
      </c>
      <c r="AO86" s="38">
        <f t="shared" si="316"/>
        <v>1.0000000000000007</v>
      </c>
      <c r="AP86" s="38">
        <f t="shared" si="357"/>
        <v>2.1543458950369176</v>
      </c>
      <c r="AQ86" s="4">
        <f t="shared" si="228"/>
        <v>0</v>
      </c>
      <c r="AR86" s="4" t="e">
        <f>#REF!/G86*F86^0.5/0.19</f>
        <v>#REF!</v>
      </c>
      <c r="AS86" s="4">
        <f t="shared" si="317"/>
        <v>1.0249999999999999</v>
      </c>
      <c r="AT86" s="38">
        <f t="shared" si="318"/>
        <v>329.2138710345908</v>
      </c>
      <c r="AU86" s="4">
        <f t="shared" si="319"/>
        <v>0.42180000000000006</v>
      </c>
      <c r="AV86" s="4" t="e">
        <f>AU86*D86*#REF!/(D86*G86/2.75/F86^0.5)</f>
        <v>#REF!</v>
      </c>
      <c r="AW86" s="4" t="e">
        <f t="shared" si="207"/>
        <v>#REF!</v>
      </c>
      <c r="AY86" s="36">
        <f t="shared" si="320"/>
        <v>1.1000000000000001</v>
      </c>
      <c r="AZ86" s="36" t="e">
        <f>(1.6*#REF!+22)*AY86*F86^0.5</f>
        <v>#REF!</v>
      </c>
      <c r="BE86" s="4">
        <f t="shared" si="321"/>
        <v>89.949999999999989</v>
      </c>
      <c r="BF86" s="4">
        <f t="shared" si="322"/>
        <v>83.6</v>
      </c>
      <c r="BG86" s="4">
        <f t="shared" si="323"/>
        <v>89.949999999999989</v>
      </c>
      <c r="BH86" s="4">
        <f t="shared" si="324"/>
        <v>101.6</v>
      </c>
      <c r="BI86" s="4">
        <f t="shared" si="229"/>
        <v>1.0075956937799044</v>
      </c>
      <c r="BJ86" s="25">
        <f t="shared" si="325"/>
        <v>2.8436589580010634</v>
      </c>
      <c r="BL86" s="4">
        <f t="shared" si="326"/>
        <v>89.949999999999989</v>
      </c>
      <c r="BP86" s="9"/>
      <c r="BR86" s="9"/>
      <c r="BS86" s="9"/>
      <c r="BT86" s="9">
        <f t="shared" si="327"/>
        <v>50.8</v>
      </c>
      <c r="BU86" s="9">
        <f t="shared" si="328"/>
        <v>89.949999999999989</v>
      </c>
      <c r="BV86" s="9">
        <f t="shared" si="329"/>
        <v>1.2941994891728255</v>
      </c>
      <c r="BW86" s="9">
        <v>0</v>
      </c>
      <c r="BX86" s="9">
        <f t="shared" si="330"/>
        <v>0</v>
      </c>
      <c r="BY86" s="9">
        <f t="shared" si="208"/>
        <v>0</v>
      </c>
      <c r="BZ86" s="9">
        <f t="shared" si="331"/>
        <v>0.89637813077714179</v>
      </c>
      <c r="CA86" s="9">
        <f t="shared" si="332"/>
        <v>1.1339999999999999</v>
      </c>
      <c r="CB86" s="9">
        <f t="shared" si="333"/>
        <v>1.8825710113593779</v>
      </c>
      <c r="CC86" s="9">
        <f t="shared" si="334"/>
        <v>2.4364224412328763</v>
      </c>
      <c r="CD86" s="9">
        <v>1</v>
      </c>
      <c r="CE86" s="9" t="e">
        <f>4*CC86*#REF!+60*CC86</f>
        <v>#REF!</v>
      </c>
      <c r="CG86" s="4" t="e">
        <f t="shared" si="265"/>
        <v>#REF!</v>
      </c>
      <c r="CH86" s="4" t="e">
        <f t="shared" si="266"/>
        <v>#REF!</v>
      </c>
      <c r="CI86" s="4" t="e">
        <f t="shared" si="267"/>
        <v>#REF!</v>
      </c>
      <c r="CJ86" s="4" t="e">
        <f t="shared" si="268"/>
        <v>#REF!</v>
      </c>
      <c r="CK86" s="4" t="e">
        <f t="shared" si="269"/>
        <v>#REF!</v>
      </c>
      <c r="CL86" s="4" t="e">
        <f t="shared" si="270"/>
        <v>#REF!</v>
      </c>
      <c r="CM86" s="4">
        <f t="shared" si="215"/>
        <v>2.0879221873505456</v>
      </c>
      <c r="CO86" s="4" t="e">
        <f t="shared" si="271"/>
        <v>#REF!</v>
      </c>
      <c r="CP86" s="4" t="e">
        <f t="shared" si="272"/>
        <v>#REF!</v>
      </c>
      <c r="CQ86" s="4" t="e">
        <f t="shared" si="273"/>
        <v>#REF!</v>
      </c>
      <c r="CR86" s="4">
        <f t="shared" si="274"/>
        <v>2.0879221873505456</v>
      </c>
      <c r="CS86" s="4" t="e">
        <f t="shared" si="275"/>
        <v>#REF!</v>
      </c>
      <c r="CT86" s="4" t="e">
        <f t="shared" si="276"/>
        <v>#REF!</v>
      </c>
      <c r="DB86" s="4">
        <f t="shared" si="232"/>
        <v>0</v>
      </c>
      <c r="DC86" s="4">
        <f t="shared" si="335"/>
        <v>381</v>
      </c>
      <c r="DD86" s="4" t="e">
        <f>#REF!/E86</f>
        <v>#REF!</v>
      </c>
      <c r="DF86" s="4">
        <f t="shared" si="336"/>
        <v>1.8628104182055264E-5</v>
      </c>
      <c r="DG86" s="4">
        <f t="shared" si="233"/>
        <v>6.0161976170308948</v>
      </c>
      <c r="DH86" s="4">
        <f t="shared" si="358"/>
        <v>0.4192592652284054</v>
      </c>
      <c r="DI86" s="4">
        <f t="shared" si="359"/>
        <v>4.2492781569476614</v>
      </c>
      <c r="DJ86" s="4">
        <f t="shared" si="360"/>
        <v>5.2084323712436884</v>
      </c>
      <c r="DK86" s="4">
        <f t="shared" si="337"/>
        <v>5.6399318008403121</v>
      </c>
      <c r="DL86" s="38" t="e">
        <f t="shared" si="338"/>
        <v>#REF!</v>
      </c>
      <c r="DM86" s="4" t="e">
        <f t="shared" si="361"/>
        <v>#REF!</v>
      </c>
      <c r="DN86" s="4">
        <f t="shared" si="362"/>
        <v>2.2649503305812249</v>
      </c>
      <c r="DO86" s="4">
        <f t="shared" si="363"/>
        <v>152.8138409867322</v>
      </c>
      <c r="DS86" s="4">
        <f t="shared" si="339"/>
        <v>0.85</v>
      </c>
      <c r="DT86" s="4">
        <f t="shared" si="340"/>
        <v>0.85013888888888889</v>
      </c>
      <c r="DU86" s="4">
        <f t="shared" si="341"/>
        <v>1</v>
      </c>
      <c r="DV86" s="4">
        <f t="shared" si="223"/>
        <v>0.85013888888888889</v>
      </c>
      <c r="DX86" s="4" t="e">
        <f t="shared" si="342"/>
        <v>#REF!</v>
      </c>
      <c r="DY86" s="25">
        <f t="shared" si="343"/>
        <v>150.18137322121927</v>
      </c>
      <c r="EA86" s="4">
        <f t="shared" si="224"/>
        <v>0.72261805555555558</v>
      </c>
      <c r="EB86" s="4">
        <f t="shared" si="309"/>
        <v>6.0161976170308948</v>
      </c>
      <c r="EC86" s="4">
        <f t="shared" si="344"/>
        <v>4.9450239957683877</v>
      </c>
      <c r="EE86" s="4">
        <f t="shared" si="345"/>
        <v>81.538211900924097</v>
      </c>
      <c r="EF86" s="4">
        <f t="shared" si="235"/>
        <v>2.2649503305812249</v>
      </c>
      <c r="EG86" s="4">
        <f t="shared" si="346"/>
        <v>0.12131009698641951</v>
      </c>
      <c r="EJ86" s="4">
        <f t="shared" si="263"/>
        <v>0.12131009698641951</v>
      </c>
      <c r="EK86" s="4">
        <f t="shared" si="347"/>
        <v>0.4185595996540441</v>
      </c>
      <c r="EL86" s="4">
        <f t="shared" si="237"/>
        <v>4.2464402342902972</v>
      </c>
      <c r="EM86" s="4">
        <f t="shared" si="306"/>
        <v>5.2072764835268703</v>
      </c>
      <c r="EN86" s="4">
        <f t="shared" si="239"/>
        <v>204.2117880990759</v>
      </c>
      <c r="EO86" s="4">
        <f t="shared" si="240"/>
        <v>95.249999999999972</v>
      </c>
      <c r="EP86" s="4">
        <f t="shared" si="348"/>
        <v>1.8628104182055258E-5</v>
      </c>
      <c r="EQ86" s="4">
        <f t="shared" si="307"/>
        <v>5.6400354676909252</v>
      </c>
      <c r="ER86" s="4" t="e">
        <f t="shared" si="349"/>
        <v>#REF!</v>
      </c>
      <c r="ES86" s="4" t="e">
        <f t="shared" si="242"/>
        <v>#REF!</v>
      </c>
      <c r="ET86" s="4" t="e">
        <f t="shared" si="243"/>
        <v>#REF!</v>
      </c>
      <c r="EV86" s="4" t="e">
        <f t="shared" si="350"/>
        <v>#REF!</v>
      </c>
      <c r="FA86" s="23" t="e">
        <f t="shared" si="277"/>
        <v>#REF!</v>
      </c>
      <c r="FB86" s="23" t="e">
        <f t="shared" si="278"/>
        <v>#REF!</v>
      </c>
      <c r="FC86" s="23">
        <f t="shared" si="290"/>
        <v>2.2000000000000002</v>
      </c>
      <c r="FD86" s="23" t="e">
        <f t="shared" si="279"/>
        <v>#REF!</v>
      </c>
      <c r="FE86" s="23" t="e">
        <f t="shared" si="280"/>
        <v>#REF!</v>
      </c>
      <c r="FF86" s="23" t="e">
        <f t="shared" si="281"/>
        <v>#REF!</v>
      </c>
      <c r="FG86" s="23" t="e">
        <f t="shared" si="282"/>
        <v>#REF!</v>
      </c>
      <c r="FH86" s="23"/>
      <c r="FR86" s="4">
        <f t="shared" si="351"/>
        <v>1</v>
      </c>
      <c r="FS86" s="4">
        <f t="shared" si="352"/>
        <v>1.0833333333333333</v>
      </c>
      <c r="FT86" s="4">
        <f t="shared" si="353"/>
        <v>0</v>
      </c>
      <c r="FU86" s="4">
        <f t="shared" si="354"/>
        <v>188.22540532446502</v>
      </c>
    </row>
    <row r="87" spans="1:178" ht="12" customHeight="1" x14ac:dyDescent="0.3">
      <c r="B87" s="24"/>
      <c r="C87" s="7" t="s">
        <v>282</v>
      </c>
      <c r="D87" s="7">
        <v>433</v>
      </c>
      <c r="E87" s="7">
        <f t="shared" si="308"/>
        <v>381</v>
      </c>
      <c r="F87" s="7">
        <v>28</v>
      </c>
      <c r="G87" s="7">
        <v>36</v>
      </c>
      <c r="H87" s="7">
        <f t="shared" si="305"/>
        <v>215.89999999999998</v>
      </c>
      <c r="I87" s="7">
        <f t="shared" si="310"/>
        <v>89.949999999999989</v>
      </c>
      <c r="J87" s="7">
        <f t="shared" si="201"/>
        <v>50.8</v>
      </c>
      <c r="K87" s="7">
        <v>0</v>
      </c>
      <c r="L87" s="7">
        <v>1</v>
      </c>
      <c r="M87" s="7">
        <f t="shared" si="202"/>
        <v>83.6</v>
      </c>
      <c r="N87" s="7">
        <f t="shared" si="311"/>
        <v>2.822222222222222</v>
      </c>
      <c r="O87" s="7">
        <f t="shared" si="203"/>
        <v>2.9986111111111109</v>
      </c>
      <c r="P87" s="7">
        <v>4.7699999999999996</v>
      </c>
      <c r="Q87" s="7">
        <f t="shared" si="227"/>
        <v>4.7699999999999996</v>
      </c>
      <c r="R87" s="7">
        <f t="shared" si="312"/>
        <v>5.77</v>
      </c>
      <c r="S87" s="7">
        <f t="shared" si="313"/>
        <v>86.474967476143064</v>
      </c>
      <c r="T87" s="7"/>
      <c r="U87" s="7"/>
      <c r="V87" s="7">
        <v>392</v>
      </c>
      <c r="W87" s="7"/>
      <c r="X87" s="7"/>
      <c r="Y87" s="7"/>
      <c r="Z87" s="7"/>
      <c r="AA87" s="7">
        <v>1</v>
      </c>
      <c r="AB87" s="7"/>
      <c r="AC87" s="7"/>
      <c r="AD87" s="7"/>
      <c r="AE87" s="4">
        <f t="shared" ref="AE87:AE118" si="364">E87</f>
        <v>381</v>
      </c>
      <c r="AF87" s="44">
        <f t="shared" si="204"/>
        <v>8.3950617283950604E-2</v>
      </c>
      <c r="AG87" s="25">
        <f t="shared" si="314"/>
        <v>386.60867631208708</v>
      </c>
      <c r="AH87" s="4">
        <f t="shared" si="315"/>
        <v>0.7533333333333333</v>
      </c>
      <c r="AI87" s="4">
        <v>1.25</v>
      </c>
      <c r="AJ87" s="25">
        <f t="shared" si="355"/>
        <v>5</v>
      </c>
      <c r="AK87" s="38">
        <f t="shared" si="205"/>
        <v>152.81384098673232</v>
      </c>
      <c r="AL87" s="38">
        <f t="shared" si="356"/>
        <v>152.81384098673232</v>
      </c>
      <c r="AN87" s="38">
        <f t="shared" si="158"/>
        <v>152.8138409867322</v>
      </c>
      <c r="AO87" s="38">
        <f t="shared" si="316"/>
        <v>1.0000000000000007</v>
      </c>
      <c r="AP87" s="38">
        <f t="shared" si="357"/>
        <v>2.3152590859656867</v>
      </c>
      <c r="AQ87" s="4">
        <f t="shared" si="228"/>
        <v>0</v>
      </c>
      <c r="AR87" s="4" t="e">
        <f>#REF!/G87*F87^0.5/0.19</f>
        <v>#REF!</v>
      </c>
      <c r="AS87" s="4">
        <f t="shared" si="317"/>
        <v>1.0249999999999999</v>
      </c>
      <c r="AT87" s="38">
        <f t="shared" si="318"/>
        <v>353.80363380584743</v>
      </c>
      <c r="AU87" s="4">
        <f t="shared" si="319"/>
        <v>0.33220000000000005</v>
      </c>
      <c r="AV87" s="4" t="e">
        <f>AU87*D87*#REF!/(D87*G87/2.75/F87^0.5)</f>
        <v>#REF!</v>
      </c>
      <c r="AW87" s="4" t="e">
        <f t="shared" si="207"/>
        <v>#REF!</v>
      </c>
      <c r="AY87" s="36">
        <f t="shared" si="320"/>
        <v>1.1000000000000001</v>
      </c>
      <c r="AZ87" s="36" t="e">
        <f>(1.6*#REF!+22)*AY87*F87^0.5</f>
        <v>#REF!</v>
      </c>
      <c r="BE87" s="4">
        <f t="shared" si="321"/>
        <v>89.949999999999989</v>
      </c>
      <c r="BF87" s="4">
        <f t="shared" si="322"/>
        <v>83.6</v>
      </c>
      <c r="BG87" s="4">
        <f t="shared" si="323"/>
        <v>89.949999999999989</v>
      </c>
      <c r="BH87" s="4">
        <f t="shared" si="324"/>
        <v>101.6</v>
      </c>
      <c r="BI87" s="4">
        <f t="shared" si="229"/>
        <v>1.0075956937799044</v>
      </c>
      <c r="BJ87" s="25">
        <f t="shared" si="325"/>
        <v>2.8436589580010634</v>
      </c>
      <c r="BL87" s="4">
        <f t="shared" si="326"/>
        <v>89.949999999999989</v>
      </c>
      <c r="BP87" s="9"/>
      <c r="BR87" s="9"/>
      <c r="BS87" s="9"/>
      <c r="BT87" s="9">
        <f t="shared" si="327"/>
        <v>50.8</v>
      </c>
      <c r="BU87" s="9">
        <f t="shared" si="328"/>
        <v>89.949999999999989</v>
      </c>
      <c r="BV87" s="9">
        <f t="shared" si="329"/>
        <v>1.2941994891728255</v>
      </c>
      <c r="BW87" s="9">
        <v>0</v>
      </c>
      <c r="BX87" s="9">
        <f t="shared" si="330"/>
        <v>0</v>
      </c>
      <c r="BY87" s="9">
        <f t="shared" si="208"/>
        <v>0</v>
      </c>
      <c r="BZ87" s="9">
        <f t="shared" si="331"/>
        <v>0.89637813077714179</v>
      </c>
      <c r="CA87" s="9">
        <f t="shared" si="332"/>
        <v>1.1339999999999999</v>
      </c>
      <c r="CB87" s="9">
        <f t="shared" si="333"/>
        <v>1.8825710113593779</v>
      </c>
      <c r="CC87" s="9">
        <f t="shared" si="334"/>
        <v>2.4364224412328763</v>
      </c>
      <c r="CD87" s="9">
        <v>1</v>
      </c>
      <c r="CE87" s="9" t="e">
        <f>4*CC87*#REF!+60*CC87</f>
        <v>#REF!</v>
      </c>
      <c r="CG87" s="4" t="e">
        <f t="shared" si="265"/>
        <v>#REF!</v>
      </c>
      <c r="CH87" s="4" t="e">
        <f t="shared" si="266"/>
        <v>#REF!</v>
      </c>
      <c r="CI87" s="4" t="e">
        <f t="shared" si="267"/>
        <v>#REF!</v>
      </c>
      <c r="CJ87" s="4" t="e">
        <f t="shared" si="268"/>
        <v>#REF!</v>
      </c>
      <c r="CK87" s="4" t="e">
        <f t="shared" si="269"/>
        <v>#REF!</v>
      </c>
      <c r="CL87" s="4" t="e">
        <f t="shared" si="270"/>
        <v>#REF!</v>
      </c>
      <c r="CM87" s="4">
        <f t="shared" si="215"/>
        <v>2.0826094082478721</v>
      </c>
      <c r="CO87" s="4" t="e">
        <f t="shared" si="271"/>
        <v>#REF!</v>
      </c>
      <c r="CP87" s="4" t="e">
        <f t="shared" si="272"/>
        <v>#REF!</v>
      </c>
      <c r="CQ87" s="4" t="e">
        <f t="shared" si="273"/>
        <v>#REF!</v>
      </c>
      <c r="CR87" s="4">
        <f t="shared" si="274"/>
        <v>2.0826094082478721</v>
      </c>
      <c r="CS87" s="4" t="e">
        <f t="shared" si="275"/>
        <v>#REF!</v>
      </c>
      <c r="CT87" s="4" t="e">
        <f t="shared" si="276"/>
        <v>#REF!</v>
      </c>
      <c r="DB87" s="4">
        <f t="shared" si="232"/>
        <v>0</v>
      </c>
      <c r="DC87" s="4">
        <f t="shared" si="335"/>
        <v>381</v>
      </c>
      <c r="DD87" s="4" t="e">
        <f>#REF!/E87</f>
        <v>#REF!</v>
      </c>
      <c r="DF87" s="4">
        <f t="shared" si="336"/>
        <v>1.8628104182055264E-5</v>
      </c>
      <c r="DG87" s="4">
        <f t="shared" si="233"/>
        <v>6.0161976170308948</v>
      </c>
      <c r="DH87" s="4">
        <f t="shared" si="358"/>
        <v>0.38498478450152734</v>
      </c>
      <c r="DI87" s="4">
        <f t="shared" si="359"/>
        <v>4.1067618551540557</v>
      </c>
      <c r="DJ87" s="4">
        <f t="shared" si="360"/>
        <v>5.1510418853512236</v>
      </c>
      <c r="DK87" s="4">
        <f t="shared" si="337"/>
        <v>5.6462513861654875</v>
      </c>
      <c r="DL87" s="38" t="e">
        <f t="shared" si="338"/>
        <v>#REF!</v>
      </c>
      <c r="DM87" s="4" t="e">
        <f t="shared" si="361"/>
        <v>#REF!</v>
      </c>
      <c r="DN87" s="4">
        <f t="shared" si="362"/>
        <v>2.4020824298928627</v>
      </c>
      <c r="DO87" s="4">
        <f t="shared" si="363"/>
        <v>152.8138409867322</v>
      </c>
      <c r="DS87" s="4">
        <f t="shared" si="339"/>
        <v>0.85</v>
      </c>
      <c r="DT87" s="4">
        <f t="shared" si="340"/>
        <v>0.85013888888888889</v>
      </c>
      <c r="DU87" s="4">
        <f t="shared" si="341"/>
        <v>1</v>
      </c>
      <c r="DV87" s="4">
        <f t="shared" si="223"/>
        <v>0.85013888888888889</v>
      </c>
      <c r="DX87" s="4" t="e">
        <f t="shared" si="342"/>
        <v>#REF!</v>
      </c>
      <c r="DY87" s="25">
        <f t="shared" si="343"/>
        <v>150.18137322121927</v>
      </c>
      <c r="EA87" s="4">
        <f t="shared" si="224"/>
        <v>0.72261805555555558</v>
      </c>
      <c r="EB87" s="4">
        <f t="shared" si="309"/>
        <v>6.0161976170308948</v>
      </c>
      <c r="EC87" s="4">
        <f t="shared" si="344"/>
        <v>4.9450239957683877</v>
      </c>
      <c r="EE87" s="4">
        <f t="shared" si="345"/>
        <v>86.474967476143064</v>
      </c>
      <c r="EF87" s="4">
        <f t="shared" si="235"/>
        <v>2.4020824298928627</v>
      </c>
      <c r="EG87" s="4">
        <f t="shared" si="346"/>
        <v>0.11139298620087341</v>
      </c>
      <c r="EJ87" s="4">
        <f t="shared" si="263"/>
        <v>0.11139298620087341</v>
      </c>
      <c r="EK87" s="4">
        <f t="shared" si="347"/>
        <v>0.38434231664760432</v>
      </c>
      <c r="EL87" s="4">
        <f t="shared" si="237"/>
        <v>4.1040191134255366</v>
      </c>
      <c r="EM87" s="4">
        <f t="shared" si="306"/>
        <v>5.1499506989945818</v>
      </c>
      <c r="EN87" s="4">
        <f t="shared" si="239"/>
        <v>199.27503252385694</v>
      </c>
      <c r="EO87" s="4">
        <f t="shared" si="240"/>
        <v>95.249999999999972</v>
      </c>
      <c r="EP87" s="4">
        <f t="shared" si="348"/>
        <v>1.8628104182055258E-5</v>
      </c>
      <c r="EQ87" s="4">
        <f t="shared" si="307"/>
        <v>5.646352209806822</v>
      </c>
      <c r="ER87" s="4" t="e">
        <f t="shared" si="349"/>
        <v>#REF!</v>
      </c>
      <c r="ES87" s="4" t="e">
        <f t="shared" si="242"/>
        <v>#REF!</v>
      </c>
      <c r="ET87" s="4" t="e">
        <f t="shared" si="243"/>
        <v>#REF!</v>
      </c>
      <c r="EV87" s="4" t="e">
        <f t="shared" si="350"/>
        <v>#REF!</v>
      </c>
      <c r="FA87" s="23" t="e">
        <f t="shared" si="277"/>
        <v>#REF!</v>
      </c>
      <c r="FB87" s="23" t="e">
        <f t="shared" si="278"/>
        <v>#REF!</v>
      </c>
      <c r="FC87" s="23">
        <f t="shared" si="290"/>
        <v>2.2000000000000002</v>
      </c>
      <c r="FD87" s="23" t="e">
        <f t="shared" si="279"/>
        <v>#REF!</v>
      </c>
      <c r="FE87" s="23" t="e">
        <f t="shared" si="280"/>
        <v>#REF!</v>
      </c>
      <c r="FF87" s="23" t="e">
        <f t="shared" si="281"/>
        <v>#REF!</v>
      </c>
      <c r="FG87" s="23" t="e">
        <f t="shared" si="282"/>
        <v>#REF!</v>
      </c>
      <c r="FH87" s="23"/>
      <c r="FR87" s="4">
        <f t="shared" si="351"/>
        <v>1</v>
      </c>
      <c r="FS87" s="4">
        <f t="shared" si="352"/>
        <v>1.0833333333333333</v>
      </c>
      <c r="FT87" s="4">
        <f t="shared" si="353"/>
        <v>0</v>
      </c>
      <c r="FU87" s="4">
        <f t="shared" si="354"/>
        <v>188.22540532446502</v>
      </c>
    </row>
    <row r="88" spans="1:178" ht="12" customHeight="1" x14ac:dyDescent="0.3">
      <c r="B88" s="24"/>
      <c r="C88" s="7" t="s">
        <v>289</v>
      </c>
      <c r="D88" s="7">
        <v>433</v>
      </c>
      <c r="E88" s="7">
        <f t="shared" si="308"/>
        <v>381</v>
      </c>
      <c r="F88" s="7">
        <v>28</v>
      </c>
      <c r="G88" s="7">
        <v>36</v>
      </c>
      <c r="H88" s="7">
        <f t="shared" si="305"/>
        <v>215.89999999999998</v>
      </c>
      <c r="I88" s="7">
        <f t="shared" si="310"/>
        <v>89.949999999999989</v>
      </c>
      <c r="J88" s="7">
        <f t="shared" si="201"/>
        <v>50.8</v>
      </c>
      <c r="K88" s="7">
        <v>0</v>
      </c>
      <c r="L88" s="7">
        <v>1</v>
      </c>
      <c r="M88" s="7">
        <f t="shared" si="202"/>
        <v>83.6</v>
      </c>
      <c r="N88" s="7">
        <f t="shared" si="311"/>
        <v>2.822222222222222</v>
      </c>
      <c r="O88" s="7">
        <f t="shared" si="203"/>
        <v>2.9986111111111109</v>
      </c>
      <c r="P88" s="7">
        <v>6.69</v>
      </c>
      <c r="Q88" s="7">
        <f t="shared" si="227"/>
        <v>6.69</v>
      </c>
      <c r="R88" s="7">
        <f t="shared" si="312"/>
        <v>7.69</v>
      </c>
      <c r="S88" s="7">
        <f t="shared" si="313"/>
        <v>99.831057291806744</v>
      </c>
      <c r="T88" s="7"/>
      <c r="U88" s="7"/>
      <c r="V88" s="7">
        <v>433</v>
      </c>
      <c r="W88" s="7"/>
      <c r="X88" s="7"/>
      <c r="Y88" s="7"/>
      <c r="Z88" s="7"/>
      <c r="AA88" s="7">
        <v>1</v>
      </c>
      <c r="AB88" s="7"/>
      <c r="AC88" s="7"/>
      <c r="AD88" s="7"/>
      <c r="AE88" s="4">
        <f t="shared" si="364"/>
        <v>381</v>
      </c>
      <c r="AF88" s="44">
        <f t="shared" si="204"/>
        <v>8.3950617283950604E-2</v>
      </c>
      <c r="AG88" s="25">
        <f t="shared" si="314"/>
        <v>386.60867631208708</v>
      </c>
      <c r="AH88" s="4">
        <f t="shared" si="315"/>
        <v>0.7533333333333333</v>
      </c>
      <c r="AI88" s="4">
        <v>1.25</v>
      </c>
      <c r="AJ88" s="25">
        <f t="shared" si="355"/>
        <v>5</v>
      </c>
      <c r="AK88" s="38">
        <f t="shared" si="205"/>
        <v>152.81384098673232</v>
      </c>
      <c r="AL88" s="38">
        <f t="shared" si="356"/>
        <v>152.81384098673232</v>
      </c>
      <c r="AN88" s="38">
        <f t="shared" si="158"/>
        <v>152.8138409867322</v>
      </c>
      <c r="AO88" s="38">
        <f t="shared" si="316"/>
        <v>1.0000000000000007</v>
      </c>
      <c r="AP88" s="38">
        <f t="shared" si="357"/>
        <v>2.7419117115982075</v>
      </c>
      <c r="AQ88" s="4">
        <f t="shared" si="228"/>
        <v>0</v>
      </c>
      <c r="AR88" s="4" t="e">
        <f>#REF!/G88*F88^0.5/0.19</f>
        <v>#REF!</v>
      </c>
      <c r="AS88" s="4">
        <f t="shared" si="317"/>
        <v>1.0249999999999999</v>
      </c>
      <c r="AT88" s="38">
        <f t="shared" si="318"/>
        <v>419.00206029582722</v>
      </c>
      <c r="AU88" s="4">
        <f t="shared" si="319"/>
        <v>0.3</v>
      </c>
      <c r="AV88" s="4" t="e">
        <f>AU88*D88*#REF!/(D88*G88/2.75/F88^0.5)</f>
        <v>#REF!</v>
      </c>
      <c r="AW88" s="4" t="e">
        <f t="shared" ref="AW88:AW94" si="365">AT88+AV88</f>
        <v>#REF!</v>
      </c>
      <c r="AY88" s="36">
        <f t="shared" si="320"/>
        <v>1.1000000000000001</v>
      </c>
      <c r="AZ88" s="36" t="e">
        <f>(1.6*#REF!+22)*AY88*F88^0.5</f>
        <v>#REF!</v>
      </c>
      <c r="BE88" s="4">
        <f t="shared" si="321"/>
        <v>89.949999999999989</v>
      </c>
      <c r="BF88" s="4">
        <f t="shared" si="322"/>
        <v>83.6</v>
      </c>
      <c r="BG88" s="4">
        <f t="shared" si="323"/>
        <v>89.949999999999989</v>
      </c>
      <c r="BH88" s="4">
        <f t="shared" si="324"/>
        <v>101.6</v>
      </c>
      <c r="BI88" s="4">
        <f t="shared" si="229"/>
        <v>1.0075956937799044</v>
      </c>
      <c r="BJ88" s="25">
        <f t="shared" si="325"/>
        <v>2.8436589580010634</v>
      </c>
      <c r="BL88" s="4">
        <f t="shared" si="326"/>
        <v>89.949999999999989</v>
      </c>
      <c r="BP88" s="9"/>
      <c r="BR88" s="9"/>
      <c r="BS88" s="9"/>
      <c r="BT88" s="9">
        <f t="shared" si="327"/>
        <v>50.8</v>
      </c>
      <c r="BU88" s="9">
        <f t="shared" si="328"/>
        <v>89.949999999999989</v>
      </c>
      <c r="BV88" s="9">
        <f t="shared" si="329"/>
        <v>1.2941994891728255</v>
      </c>
      <c r="BW88" s="9">
        <v>0</v>
      </c>
      <c r="BX88" s="9">
        <f t="shared" si="330"/>
        <v>0</v>
      </c>
      <c r="BY88" s="9">
        <f t="shared" ref="BY88:BY94" si="366">MAX(0,BW88*(BX88-0.5/50))</f>
        <v>0</v>
      </c>
      <c r="BZ88" s="9">
        <f t="shared" si="331"/>
        <v>0.89637813077714179</v>
      </c>
      <c r="CA88" s="9">
        <f t="shared" si="332"/>
        <v>1.1339999999999999</v>
      </c>
      <c r="CB88" s="9">
        <f t="shared" si="333"/>
        <v>1.8825710113593779</v>
      </c>
      <c r="CC88" s="9">
        <f t="shared" si="334"/>
        <v>2.4364224412328763</v>
      </c>
      <c r="CD88" s="9">
        <v>1</v>
      </c>
      <c r="CE88" s="9" t="e">
        <f>4*CC88*#REF!+60*CC88</f>
        <v>#REF!</v>
      </c>
      <c r="CG88" s="4" t="e">
        <f t="shared" si="265"/>
        <v>#REF!</v>
      </c>
      <c r="CH88" s="4" t="e">
        <f t="shared" si="266"/>
        <v>#REF!</v>
      </c>
      <c r="CI88" s="4" t="e">
        <f t="shared" si="267"/>
        <v>#REF!</v>
      </c>
      <c r="CJ88" s="4" t="e">
        <f t="shared" si="268"/>
        <v>#REF!</v>
      </c>
      <c r="CK88" s="4" t="e">
        <f t="shared" si="269"/>
        <v>#REF!</v>
      </c>
      <c r="CL88" s="4" t="e">
        <f t="shared" si="270"/>
        <v>#REF!</v>
      </c>
      <c r="CM88" s="4">
        <f t="shared" si="215"/>
        <v>2.3004333514574711</v>
      </c>
      <c r="CO88" s="4" t="e">
        <f t="shared" si="271"/>
        <v>#REF!</v>
      </c>
      <c r="CP88" s="4" t="e">
        <f t="shared" si="272"/>
        <v>#REF!</v>
      </c>
      <c r="CQ88" s="4" t="e">
        <f t="shared" si="273"/>
        <v>#REF!</v>
      </c>
      <c r="CR88" s="4">
        <f t="shared" si="274"/>
        <v>2.3004333514574711</v>
      </c>
      <c r="CS88" s="4" t="e">
        <f t="shared" si="275"/>
        <v>#REF!</v>
      </c>
      <c r="CT88" s="4" t="e">
        <f t="shared" si="276"/>
        <v>#REF!</v>
      </c>
      <c r="DB88" s="4">
        <f t="shared" si="232"/>
        <v>0</v>
      </c>
      <c r="DC88" s="4">
        <f t="shared" si="335"/>
        <v>381</v>
      </c>
      <c r="DD88" s="4" t="e">
        <f>#REF!/E88</f>
        <v>#REF!</v>
      </c>
      <c r="DF88" s="4">
        <f t="shared" si="336"/>
        <v>1.8628104182055264E-5</v>
      </c>
      <c r="DG88" s="4">
        <f t="shared" si="233"/>
        <v>6.0161976170308948</v>
      </c>
      <c r="DH88" s="4">
        <f t="shared" si="358"/>
        <v>0.31689186474065706</v>
      </c>
      <c r="DI88" s="4">
        <f t="shared" si="359"/>
        <v>3.7991507734546111</v>
      </c>
      <c r="DJ88" s="4">
        <f t="shared" si="360"/>
        <v>5.0319136852040129</v>
      </c>
      <c r="DK88" s="4">
        <f t="shared" si="337"/>
        <v>5.6610669161628726</v>
      </c>
      <c r="DL88" s="38" t="e">
        <f t="shared" si="338"/>
        <v>#REF!</v>
      </c>
      <c r="DM88" s="4" t="e">
        <f t="shared" si="361"/>
        <v>#REF!</v>
      </c>
      <c r="DN88" s="4">
        <f t="shared" si="362"/>
        <v>2.7730849247724096</v>
      </c>
      <c r="DO88" s="4">
        <f t="shared" si="363"/>
        <v>152.8138409867322</v>
      </c>
      <c r="DS88" s="4">
        <f t="shared" si="339"/>
        <v>0.85</v>
      </c>
      <c r="DT88" s="4">
        <f t="shared" si="340"/>
        <v>0.85013888888888889</v>
      </c>
      <c r="DU88" s="4">
        <f t="shared" si="341"/>
        <v>1</v>
      </c>
      <c r="DV88" s="4">
        <f t="shared" ref="DV88:DV94" si="367">IF(DT88*DU88&lt;0.7,0.7,DT88*DU88)</f>
        <v>0.85013888888888889</v>
      </c>
      <c r="DX88" s="4" t="e">
        <f t="shared" si="342"/>
        <v>#REF!</v>
      </c>
      <c r="DY88" s="25">
        <f t="shared" si="343"/>
        <v>150.18137322121927</v>
      </c>
      <c r="EA88" s="4">
        <f t="shared" si="224"/>
        <v>0.72261805555555558</v>
      </c>
      <c r="EB88" s="4">
        <f t="shared" si="309"/>
        <v>6.0161976170308948</v>
      </c>
      <c r="EC88" s="4">
        <f t="shared" si="344"/>
        <v>4.9450239957683877</v>
      </c>
      <c r="EE88" s="4">
        <f t="shared" si="345"/>
        <v>99.831057291806744</v>
      </c>
      <c r="EF88" s="4">
        <f t="shared" si="235"/>
        <v>2.7730849247724096</v>
      </c>
      <c r="EG88" s="4">
        <f t="shared" si="346"/>
        <v>9.1690717496615795E-2</v>
      </c>
      <c r="EJ88" s="4">
        <f t="shared" ref="EJ88:EJ94" si="368">EG88</f>
        <v>9.1690717496615795E-2</v>
      </c>
      <c r="EK88" s="4">
        <f t="shared" si="347"/>
        <v>0.31636303127901982</v>
      </c>
      <c r="EL88" s="4">
        <f t="shared" si="237"/>
        <v>3.796613472844836</v>
      </c>
      <c r="EM88" s="4">
        <f t="shared" ref="EM88:EM94" si="369">EB88/1.4*(1-EK88^1.4)/(1-EK88)</f>
        <v>5.0309590892700076</v>
      </c>
      <c r="EN88" s="4">
        <f t="shared" si="239"/>
        <v>185.91894270819324</v>
      </c>
      <c r="EO88" s="4">
        <f t="shared" si="240"/>
        <v>95.25</v>
      </c>
      <c r="EP88" s="4">
        <f t="shared" si="348"/>
        <v>1.8628104182055264E-5</v>
      </c>
      <c r="EQ88" s="4">
        <f t="shared" ref="EQ88:EQ94" si="370">MAX(0.5*EB88, (1-2*EP88*(EE88*EL88+EN88*EM88))/(1/EB88+EP88*EO88))</f>
        <v>5.6611624514348415</v>
      </c>
      <c r="ER88" s="4" t="e">
        <f t="shared" si="349"/>
        <v>#REF!</v>
      </c>
      <c r="ES88" s="4" t="e">
        <f t="shared" si="242"/>
        <v>#REF!</v>
      </c>
      <c r="ET88" s="4" t="e">
        <f t="shared" si="243"/>
        <v>#REF!</v>
      </c>
      <c r="EV88" s="4" t="e">
        <f t="shared" si="350"/>
        <v>#REF!</v>
      </c>
      <c r="FA88" s="23" t="e">
        <f t="shared" si="277"/>
        <v>#REF!</v>
      </c>
      <c r="FB88" s="23" t="e">
        <f t="shared" si="278"/>
        <v>#REF!</v>
      </c>
      <c r="FC88" s="23">
        <f t="shared" si="290"/>
        <v>2.2000000000000002</v>
      </c>
      <c r="FD88" s="23" t="e">
        <f t="shared" si="279"/>
        <v>#REF!</v>
      </c>
      <c r="FE88" s="23" t="e">
        <f t="shared" si="280"/>
        <v>#REF!</v>
      </c>
      <c r="FF88" s="23" t="e">
        <f t="shared" si="281"/>
        <v>#REF!</v>
      </c>
      <c r="FG88" s="23" t="e">
        <f t="shared" si="282"/>
        <v>#REF!</v>
      </c>
      <c r="FH88" s="23"/>
      <c r="FR88" s="4">
        <f t="shared" si="351"/>
        <v>1</v>
      </c>
      <c r="FS88" s="4">
        <f t="shared" si="352"/>
        <v>1.0833333333333333</v>
      </c>
      <c r="FT88" s="4">
        <f t="shared" si="353"/>
        <v>0</v>
      </c>
      <c r="FU88" s="4">
        <f t="shared" si="354"/>
        <v>188.22540532446502</v>
      </c>
    </row>
    <row r="89" spans="1:178" ht="12" customHeight="1" x14ac:dyDescent="0.3">
      <c r="B89" s="24"/>
      <c r="C89" s="7" t="s">
        <v>290</v>
      </c>
      <c r="D89" s="7">
        <v>433</v>
      </c>
      <c r="E89" s="7">
        <f t="shared" si="308"/>
        <v>381</v>
      </c>
      <c r="F89" s="7">
        <v>28</v>
      </c>
      <c r="G89" s="7">
        <v>36</v>
      </c>
      <c r="H89" s="7">
        <f t="shared" si="305"/>
        <v>215.89999999999998</v>
      </c>
      <c r="I89" s="7">
        <f t="shared" si="310"/>
        <v>89.949999999999989</v>
      </c>
      <c r="J89" s="7">
        <f t="shared" si="201"/>
        <v>50.8</v>
      </c>
      <c r="K89" s="7">
        <v>0</v>
      </c>
      <c r="L89" s="7">
        <v>1</v>
      </c>
      <c r="M89" s="7">
        <f t="shared" si="202"/>
        <v>83.6</v>
      </c>
      <c r="N89" s="7">
        <f t="shared" si="311"/>
        <v>2.822222222222222</v>
      </c>
      <c r="O89" s="7">
        <f t="shared" si="203"/>
        <v>2.9986111111111109</v>
      </c>
      <c r="P89" s="7">
        <v>6.69</v>
      </c>
      <c r="Q89" s="7">
        <f t="shared" si="227"/>
        <v>6.69</v>
      </c>
      <c r="R89" s="7">
        <f t="shared" si="312"/>
        <v>7.69</v>
      </c>
      <c r="S89" s="7">
        <f t="shared" si="313"/>
        <v>99.831057291806744</v>
      </c>
      <c r="T89" s="7"/>
      <c r="U89" s="7"/>
      <c r="V89" s="7">
        <v>433</v>
      </c>
      <c r="W89" s="7"/>
      <c r="X89" s="7"/>
      <c r="Y89" s="7"/>
      <c r="Z89" s="7"/>
      <c r="AA89" s="7">
        <v>1</v>
      </c>
      <c r="AB89" s="7"/>
      <c r="AC89" s="7"/>
      <c r="AD89" s="7"/>
      <c r="AE89" s="4">
        <f t="shared" si="364"/>
        <v>381</v>
      </c>
      <c r="AF89" s="44">
        <f t="shared" si="204"/>
        <v>8.3950617283950604E-2</v>
      </c>
      <c r="AG89" s="25">
        <f t="shared" si="314"/>
        <v>386.60867631208708</v>
      </c>
      <c r="AH89" s="4">
        <f t="shared" si="315"/>
        <v>0.7533333333333333</v>
      </c>
      <c r="AI89" s="4">
        <v>1.25</v>
      </c>
      <c r="AJ89" s="25">
        <f t="shared" si="355"/>
        <v>5</v>
      </c>
      <c r="AK89" s="38">
        <f t="shared" si="205"/>
        <v>152.81384098673232</v>
      </c>
      <c r="AL89" s="38">
        <f t="shared" si="356"/>
        <v>152.81384098673232</v>
      </c>
      <c r="AN89" s="38">
        <f t="shared" si="158"/>
        <v>152.8138409867322</v>
      </c>
      <c r="AO89" s="38">
        <f t="shared" si="316"/>
        <v>1.0000000000000007</v>
      </c>
      <c r="AP89" s="38">
        <f t="shared" si="357"/>
        <v>2.7419117115982075</v>
      </c>
      <c r="AQ89" s="4">
        <f t="shared" si="228"/>
        <v>0</v>
      </c>
      <c r="AR89" s="4" t="e">
        <f>#REF!/G89*F89^0.5/0.19</f>
        <v>#REF!</v>
      </c>
      <c r="AS89" s="4">
        <f t="shared" si="317"/>
        <v>1.0249999999999999</v>
      </c>
      <c r="AT89" s="38">
        <f t="shared" si="318"/>
        <v>419.00206029582722</v>
      </c>
      <c r="AU89" s="4">
        <f t="shared" si="319"/>
        <v>0.3</v>
      </c>
      <c r="AV89" s="4" t="e">
        <f>AU89*D89*#REF!/(D89*G89/2.75/F89^0.5)</f>
        <v>#REF!</v>
      </c>
      <c r="AW89" s="4" t="e">
        <f t="shared" si="365"/>
        <v>#REF!</v>
      </c>
      <c r="AY89" s="36">
        <f t="shared" si="320"/>
        <v>1.1000000000000001</v>
      </c>
      <c r="AZ89" s="36" t="e">
        <f>(1.6*#REF!+22)*AY89*F89^0.5</f>
        <v>#REF!</v>
      </c>
      <c r="BE89" s="4">
        <f t="shared" si="321"/>
        <v>89.949999999999989</v>
      </c>
      <c r="BF89" s="4">
        <f t="shared" si="322"/>
        <v>83.6</v>
      </c>
      <c r="BG89" s="4">
        <f t="shared" si="323"/>
        <v>89.949999999999989</v>
      </c>
      <c r="BH89" s="4">
        <f t="shared" si="324"/>
        <v>101.6</v>
      </c>
      <c r="BI89" s="4">
        <f t="shared" si="229"/>
        <v>1.0075956937799044</v>
      </c>
      <c r="BJ89" s="25">
        <f t="shared" si="325"/>
        <v>2.8436589580010634</v>
      </c>
      <c r="BL89" s="4">
        <f t="shared" si="326"/>
        <v>89.949999999999989</v>
      </c>
      <c r="BP89" s="9"/>
      <c r="BR89" s="9"/>
      <c r="BS89" s="9"/>
      <c r="BT89" s="9">
        <f t="shared" si="327"/>
        <v>50.8</v>
      </c>
      <c r="BU89" s="9">
        <f t="shared" si="328"/>
        <v>89.949999999999989</v>
      </c>
      <c r="BV89" s="9">
        <f t="shared" si="329"/>
        <v>1.2941994891728255</v>
      </c>
      <c r="BW89" s="9">
        <v>0</v>
      </c>
      <c r="BX89" s="9">
        <f t="shared" si="330"/>
        <v>0</v>
      </c>
      <c r="BY89" s="9">
        <f t="shared" si="366"/>
        <v>0</v>
      </c>
      <c r="BZ89" s="9">
        <f t="shared" si="331"/>
        <v>0.89637813077714179</v>
      </c>
      <c r="CA89" s="9">
        <f t="shared" si="332"/>
        <v>1.1339999999999999</v>
      </c>
      <c r="CB89" s="9">
        <f t="shared" si="333"/>
        <v>1.8825710113593779</v>
      </c>
      <c r="CC89" s="9">
        <f t="shared" si="334"/>
        <v>2.4364224412328763</v>
      </c>
      <c r="CD89" s="9">
        <v>1</v>
      </c>
      <c r="CE89" s="9" t="e">
        <f>4*CC89*#REF!+60*CC89</f>
        <v>#REF!</v>
      </c>
      <c r="CG89" s="4" t="e">
        <f t="shared" si="265"/>
        <v>#REF!</v>
      </c>
      <c r="CH89" s="4" t="e">
        <f t="shared" si="266"/>
        <v>#REF!</v>
      </c>
      <c r="CI89" s="4" t="e">
        <f t="shared" si="267"/>
        <v>#REF!</v>
      </c>
      <c r="CJ89" s="4" t="e">
        <f t="shared" si="268"/>
        <v>#REF!</v>
      </c>
      <c r="CK89" s="4" t="e">
        <f t="shared" si="269"/>
        <v>#REF!</v>
      </c>
      <c r="CL89" s="4" t="e">
        <f t="shared" si="270"/>
        <v>#REF!</v>
      </c>
      <c r="CM89" s="4">
        <f t="shared" si="215"/>
        <v>2.3004333514574711</v>
      </c>
      <c r="CO89" s="4" t="e">
        <f t="shared" si="271"/>
        <v>#REF!</v>
      </c>
      <c r="CP89" s="4" t="e">
        <f t="shared" si="272"/>
        <v>#REF!</v>
      </c>
      <c r="CQ89" s="4" t="e">
        <f t="shared" si="273"/>
        <v>#REF!</v>
      </c>
      <c r="CR89" s="4">
        <f t="shared" si="274"/>
        <v>2.3004333514574711</v>
      </c>
      <c r="CS89" s="4" t="e">
        <f t="shared" si="275"/>
        <v>#REF!</v>
      </c>
      <c r="CT89" s="4" t="e">
        <f t="shared" si="276"/>
        <v>#REF!</v>
      </c>
      <c r="DB89" s="4">
        <f t="shared" si="232"/>
        <v>0</v>
      </c>
      <c r="DC89" s="4">
        <f t="shared" si="335"/>
        <v>381</v>
      </c>
      <c r="DD89" s="4" t="e">
        <f>#REF!/E89</f>
        <v>#REF!</v>
      </c>
      <c r="DF89" s="4">
        <f t="shared" si="336"/>
        <v>1.8628104182055264E-5</v>
      </c>
      <c r="DG89" s="4">
        <f t="shared" si="233"/>
        <v>6.0161976170308948</v>
      </c>
      <c r="DH89" s="4">
        <f t="shared" si="358"/>
        <v>0.31689186474065706</v>
      </c>
      <c r="DI89" s="4">
        <f t="shared" si="359"/>
        <v>3.7991507734546111</v>
      </c>
      <c r="DJ89" s="4">
        <f t="shared" si="360"/>
        <v>5.0319136852040129</v>
      </c>
      <c r="DK89" s="4">
        <f t="shared" si="337"/>
        <v>5.6610669161628726</v>
      </c>
      <c r="DL89" s="38" t="e">
        <f t="shared" si="338"/>
        <v>#REF!</v>
      </c>
      <c r="DM89" s="4" t="e">
        <f t="shared" si="361"/>
        <v>#REF!</v>
      </c>
      <c r="DN89" s="4">
        <f t="shared" si="362"/>
        <v>2.7730849247724096</v>
      </c>
      <c r="DO89" s="4">
        <f t="shared" si="363"/>
        <v>152.8138409867322</v>
      </c>
      <c r="DS89" s="4">
        <f t="shared" si="339"/>
        <v>0.85</v>
      </c>
      <c r="DT89" s="4">
        <f t="shared" si="340"/>
        <v>0.85013888888888889</v>
      </c>
      <c r="DU89" s="4">
        <f t="shared" si="341"/>
        <v>1</v>
      </c>
      <c r="DV89" s="4">
        <f t="shared" si="367"/>
        <v>0.85013888888888889</v>
      </c>
      <c r="DX89" s="4" t="e">
        <f t="shared" si="342"/>
        <v>#REF!</v>
      </c>
      <c r="DY89" s="25">
        <f t="shared" si="343"/>
        <v>150.18137322121927</v>
      </c>
      <c r="EA89" s="4">
        <f t="shared" si="224"/>
        <v>0.72261805555555558</v>
      </c>
      <c r="EB89" s="4">
        <f t="shared" si="309"/>
        <v>6.0161976170308948</v>
      </c>
      <c r="EC89" s="4">
        <f t="shared" si="344"/>
        <v>4.9450239957683877</v>
      </c>
      <c r="EE89" s="4">
        <f t="shared" si="345"/>
        <v>99.831057291806744</v>
      </c>
      <c r="EF89" s="4">
        <f t="shared" si="235"/>
        <v>2.7730849247724096</v>
      </c>
      <c r="EG89" s="4">
        <f t="shared" si="346"/>
        <v>9.1690717496615795E-2</v>
      </c>
      <c r="EJ89" s="4">
        <f t="shared" si="368"/>
        <v>9.1690717496615795E-2</v>
      </c>
      <c r="EK89" s="4">
        <f t="shared" si="347"/>
        <v>0.31636303127901982</v>
      </c>
      <c r="EL89" s="4">
        <f t="shared" si="237"/>
        <v>3.796613472844836</v>
      </c>
      <c r="EM89" s="4">
        <f t="shared" si="369"/>
        <v>5.0309590892700076</v>
      </c>
      <c r="EN89" s="4">
        <f t="shared" si="239"/>
        <v>185.91894270819324</v>
      </c>
      <c r="EO89" s="4">
        <f t="shared" si="240"/>
        <v>95.25</v>
      </c>
      <c r="EP89" s="4">
        <f t="shared" si="348"/>
        <v>1.8628104182055264E-5</v>
      </c>
      <c r="EQ89" s="4">
        <f t="shared" si="370"/>
        <v>5.6611624514348415</v>
      </c>
      <c r="ER89" s="4" t="e">
        <f t="shared" si="349"/>
        <v>#REF!</v>
      </c>
      <c r="ES89" s="4" t="e">
        <f t="shared" si="242"/>
        <v>#REF!</v>
      </c>
      <c r="ET89" s="4" t="e">
        <f t="shared" si="243"/>
        <v>#REF!</v>
      </c>
      <c r="EV89" s="4" t="e">
        <f t="shared" si="350"/>
        <v>#REF!</v>
      </c>
      <c r="FA89" s="23" t="e">
        <f t="shared" si="277"/>
        <v>#REF!</v>
      </c>
      <c r="FB89" s="23" t="e">
        <f t="shared" si="278"/>
        <v>#REF!</v>
      </c>
      <c r="FC89" s="23">
        <f t="shared" si="290"/>
        <v>2.2000000000000002</v>
      </c>
      <c r="FD89" s="23" t="e">
        <f t="shared" si="279"/>
        <v>#REF!</v>
      </c>
      <c r="FE89" s="23" t="e">
        <f t="shared" si="280"/>
        <v>#REF!</v>
      </c>
      <c r="FF89" s="23" t="e">
        <f t="shared" si="281"/>
        <v>#REF!</v>
      </c>
      <c r="FG89" s="23" t="e">
        <f t="shared" si="282"/>
        <v>#REF!</v>
      </c>
      <c r="FH89" s="23"/>
      <c r="FR89" s="4">
        <f t="shared" si="351"/>
        <v>1</v>
      </c>
      <c r="FS89" s="4">
        <f t="shared" si="352"/>
        <v>1.0833333333333333</v>
      </c>
      <c r="FT89" s="4">
        <f t="shared" si="353"/>
        <v>0</v>
      </c>
      <c r="FU89" s="4">
        <f t="shared" si="354"/>
        <v>188.22540532446502</v>
      </c>
    </row>
    <row r="90" spans="1:178" ht="12" customHeight="1" x14ac:dyDescent="0.3">
      <c r="B90" s="24"/>
      <c r="C90" s="7" t="s">
        <v>291</v>
      </c>
      <c r="D90" s="7">
        <v>433</v>
      </c>
      <c r="E90" s="7">
        <f t="shared" si="308"/>
        <v>381</v>
      </c>
      <c r="F90" s="7">
        <v>28</v>
      </c>
      <c r="G90" s="7">
        <v>36</v>
      </c>
      <c r="H90" s="7">
        <f t="shared" si="305"/>
        <v>215.89999999999998</v>
      </c>
      <c r="I90" s="7">
        <f t="shared" si="310"/>
        <v>89.949999999999989</v>
      </c>
      <c r="J90" s="7">
        <f t="shared" si="201"/>
        <v>50.8</v>
      </c>
      <c r="K90" s="7">
        <v>0</v>
      </c>
      <c r="L90" s="7">
        <v>1</v>
      </c>
      <c r="M90" s="7">
        <f t="shared" si="202"/>
        <v>83.6</v>
      </c>
      <c r="N90" s="7">
        <f t="shared" si="311"/>
        <v>2.822222222222222</v>
      </c>
      <c r="O90" s="7">
        <f t="shared" si="203"/>
        <v>2.9986111111111109</v>
      </c>
      <c r="P90" s="7">
        <v>9.26</v>
      </c>
      <c r="Q90" s="7">
        <f t="shared" si="227"/>
        <v>9.26</v>
      </c>
      <c r="R90" s="7">
        <f t="shared" si="312"/>
        <v>10.26</v>
      </c>
      <c r="S90" s="7">
        <f t="shared" si="313"/>
        <v>115.31244512193817</v>
      </c>
      <c r="T90" s="7"/>
      <c r="U90" s="7"/>
      <c r="V90" s="7">
        <v>433</v>
      </c>
      <c r="W90" s="7"/>
      <c r="X90" s="7"/>
      <c r="Y90" s="7"/>
      <c r="Z90" s="7"/>
      <c r="AA90" s="7">
        <v>1</v>
      </c>
      <c r="AB90" s="7"/>
      <c r="AC90" s="7"/>
      <c r="AD90" s="7"/>
      <c r="AE90" s="4">
        <f t="shared" si="364"/>
        <v>381</v>
      </c>
      <c r="AF90" s="44">
        <f t="shared" si="204"/>
        <v>8.3950617283950604E-2</v>
      </c>
      <c r="AG90" s="25">
        <f t="shared" si="314"/>
        <v>386.60867631208708</v>
      </c>
      <c r="AH90" s="4">
        <f t="shared" si="315"/>
        <v>0.7533333333333333</v>
      </c>
      <c r="AI90" s="4">
        <v>1.25</v>
      </c>
      <c r="AJ90" s="25">
        <f t="shared" si="355"/>
        <v>5</v>
      </c>
      <c r="AK90" s="38">
        <f t="shared" si="205"/>
        <v>152.81384098673232</v>
      </c>
      <c r="AL90" s="38">
        <f t="shared" si="356"/>
        <v>152.81384098673232</v>
      </c>
      <c r="AN90" s="38">
        <f t="shared" si="158"/>
        <v>152.8138409867322</v>
      </c>
      <c r="AO90" s="38">
        <f t="shared" si="316"/>
        <v>1.0000000000000007</v>
      </c>
      <c r="AP90" s="38">
        <f t="shared" si="357"/>
        <v>3.2258628644800567</v>
      </c>
      <c r="AQ90" s="4">
        <f t="shared" si="228"/>
        <v>0</v>
      </c>
      <c r="AR90" s="4" t="e">
        <f>#REF!/G90*F90^0.5/0.19</f>
        <v>#REF!</v>
      </c>
      <c r="AS90" s="4">
        <f t="shared" si="317"/>
        <v>1.0249999999999999</v>
      </c>
      <c r="AT90" s="38">
        <f t="shared" si="318"/>
        <v>492.9564948176598</v>
      </c>
      <c r="AU90" s="4">
        <f t="shared" si="319"/>
        <v>0.3</v>
      </c>
      <c r="AV90" s="4" t="e">
        <f>AU90*D90*#REF!/(D90*G90/2.75/F90^0.5)</f>
        <v>#REF!</v>
      </c>
      <c r="AW90" s="4" t="e">
        <f t="shared" si="365"/>
        <v>#REF!</v>
      </c>
      <c r="AY90" s="36">
        <f t="shared" si="320"/>
        <v>1.1000000000000001</v>
      </c>
      <c r="AZ90" s="36" t="e">
        <f>(1.6*#REF!+22)*AY90*F90^0.5</f>
        <v>#REF!</v>
      </c>
      <c r="BE90" s="4">
        <f t="shared" si="321"/>
        <v>89.949999999999989</v>
      </c>
      <c r="BF90" s="4">
        <f t="shared" si="322"/>
        <v>83.6</v>
      </c>
      <c r="BG90" s="4">
        <f t="shared" si="323"/>
        <v>89.949999999999989</v>
      </c>
      <c r="BH90" s="4">
        <f t="shared" si="324"/>
        <v>101.6</v>
      </c>
      <c r="BI90" s="4">
        <f t="shared" si="229"/>
        <v>1.0075956937799044</v>
      </c>
      <c r="BJ90" s="25">
        <f t="shared" si="325"/>
        <v>2.8436589580010634</v>
      </c>
      <c r="BL90" s="4">
        <f t="shared" si="326"/>
        <v>89.949999999999989</v>
      </c>
      <c r="BP90" s="9"/>
      <c r="BR90" s="9"/>
      <c r="BS90" s="9"/>
      <c r="BT90" s="9">
        <f t="shared" si="327"/>
        <v>50.8</v>
      </c>
      <c r="BU90" s="9">
        <f t="shared" si="328"/>
        <v>89.949999999999989</v>
      </c>
      <c r="BV90" s="9">
        <f t="shared" si="329"/>
        <v>1.2941994891728255</v>
      </c>
      <c r="BW90" s="9">
        <v>0</v>
      </c>
      <c r="BX90" s="9">
        <f t="shared" si="330"/>
        <v>0</v>
      </c>
      <c r="BY90" s="9">
        <f t="shared" si="366"/>
        <v>0</v>
      </c>
      <c r="BZ90" s="9">
        <f t="shared" si="331"/>
        <v>0.89637813077714179</v>
      </c>
      <c r="CA90" s="9">
        <f t="shared" si="332"/>
        <v>1.1339999999999999</v>
      </c>
      <c r="CB90" s="9">
        <f t="shared" si="333"/>
        <v>1.8825710113593779</v>
      </c>
      <c r="CC90" s="9">
        <f t="shared" si="334"/>
        <v>2.4364224412328763</v>
      </c>
      <c r="CD90" s="9">
        <v>1</v>
      </c>
      <c r="CE90" s="9" t="e">
        <f>4*CC90*#REF!+60*CC90</f>
        <v>#REF!</v>
      </c>
      <c r="CG90" s="4" t="e">
        <f t="shared" si="265"/>
        <v>#REF!</v>
      </c>
      <c r="CH90" s="4" t="e">
        <f t="shared" si="266"/>
        <v>#REF!</v>
      </c>
      <c r="CI90" s="4" t="e">
        <f t="shared" si="267"/>
        <v>#REF!</v>
      </c>
      <c r="CJ90" s="4" t="e">
        <f t="shared" si="268"/>
        <v>#REF!</v>
      </c>
      <c r="CK90" s="4" t="e">
        <f t="shared" si="269"/>
        <v>#REF!</v>
      </c>
      <c r="CL90" s="4" t="e">
        <f t="shared" si="270"/>
        <v>#REF!</v>
      </c>
      <c r="CM90" s="4">
        <f t="shared" si="215"/>
        <v>2.3004333514574711</v>
      </c>
      <c r="CO90" s="4" t="e">
        <f t="shared" si="271"/>
        <v>#REF!</v>
      </c>
      <c r="CP90" s="4" t="e">
        <f t="shared" si="272"/>
        <v>#REF!</v>
      </c>
      <c r="CQ90" s="4" t="e">
        <f t="shared" si="273"/>
        <v>#REF!</v>
      </c>
      <c r="CR90" s="4">
        <f>CM90</f>
        <v>2.3004333514574711</v>
      </c>
      <c r="CS90" s="4" t="e">
        <f t="shared" si="275"/>
        <v>#REF!</v>
      </c>
      <c r="CT90" s="4" t="e">
        <f t="shared" si="276"/>
        <v>#REF!</v>
      </c>
      <c r="DB90" s="4">
        <f t="shared" si="232"/>
        <v>0</v>
      </c>
      <c r="DC90" s="4">
        <f t="shared" si="335"/>
        <v>381</v>
      </c>
      <c r="DD90" s="4" t="e">
        <f>#REF!/E90</f>
        <v>#REF!</v>
      </c>
      <c r="DF90" s="4">
        <f t="shared" si="336"/>
        <v>1.8628104182055264E-5</v>
      </c>
      <c r="DG90" s="4">
        <f t="shared" si="233"/>
        <v>6.0161976170308948</v>
      </c>
      <c r="DH90" s="4">
        <f t="shared" si="358"/>
        <v>0.26444583522906207</v>
      </c>
      <c r="DI90" s="4">
        <f t="shared" si="359"/>
        <v>3.533920587061155</v>
      </c>
      <c r="DJ90" s="4">
        <f t="shared" si="360"/>
        <v>4.9347313117653027</v>
      </c>
      <c r="DK90" s="4">
        <f t="shared" si="337"/>
        <v>5.6757555744502399</v>
      </c>
      <c r="DL90" s="38" t="e">
        <f t="shared" si="338"/>
        <v>#REF!</v>
      </c>
      <c r="DM90" s="4" t="e">
        <f t="shared" si="361"/>
        <v>#REF!</v>
      </c>
      <c r="DN90" s="4">
        <f t="shared" si="362"/>
        <v>3.2031234756093934</v>
      </c>
      <c r="DO90" s="4">
        <f t="shared" si="363"/>
        <v>152.8138409867322</v>
      </c>
      <c r="DS90" s="4">
        <f t="shared" si="339"/>
        <v>0.85</v>
      </c>
      <c r="DT90" s="4">
        <f t="shared" si="340"/>
        <v>0.85013888888888889</v>
      </c>
      <c r="DU90" s="4">
        <f t="shared" si="341"/>
        <v>1</v>
      </c>
      <c r="DV90" s="4">
        <f t="shared" si="367"/>
        <v>0.85013888888888889</v>
      </c>
      <c r="DX90" s="4" t="e">
        <f t="shared" si="342"/>
        <v>#REF!</v>
      </c>
      <c r="DY90" s="25">
        <f t="shared" si="343"/>
        <v>150.18137322121927</v>
      </c>
      <c r="EA90" s="4">
        <f t="shared" si="224"/>
        <v>0.72261805555555558</v>
      </c>
      <c r="EB90" s="4">
        <f t="shared" si="309"/>
        <v>6.0161976170308948</v>
      </c>
      <c r="EC90" s="4">
        <f t="shared" si="344"/>
        <v>4.9450239957683877</v>
      </c>
      <c r="EE90" s="4">
        <f t="shared" si="345"/>
        <v>115.31244512193817</v>
      </c>
      <c r="EF90" s="4">
        <f t="shared" si="235"/>
        <v>3.2031234756093934</v>
      </c>
      <c r="EG90" s="4">
        <f t="shared" si="346"/>
        <v>7.6515780520236359E-2</v>
      </c>
      <c r="EJ90" s="4">
        <f t="shared" si="368"/>
        <v>7.6515780520236359E-2</v>
      </c>
      <c r="EK90" s="4">
        <f t="shared" si="347"/>
        <v>0.26400452441606859</v>
      </c>
      <c r="EL90" s="4">
        <f t="shared" si="237"/>
        <v>3.5315604230679014</v>
      </c>
      <c r="EM90" s="4">
        <f t="shared" si="369"/>
        <v>4.9338906630979427</v>
      </c>
      <c r="EN90" s="4">
        <f t="shared" si="239"/>
        <v>170.43755487806183</v>
      </c>
      <c r="EO90" s="4">
        <f t="shared" si="240"/>
        <v>95.250000000000028</v>
      </c>
      <c r="EP90" s="4">
        <f t="shared" si="348"/>
        <v>1.8628104182055271E-5</v>
      </c>
      <c r="EQ90" s="4">
        <f t="shared" si="370"/>
        <v>5.6758477067244071</v>
      </c>
      <c r="ER90" s="4" t="e">
        <f t="shared" si="349"/>
        <v>#REF!</v>
      </c>
      <c r="ES90" s="4" t="e">
        <f t="shared" si="242"/>
        <v>#REF!</v>
      </c>
      <c r="ET90" s="4" t="e">
        <f t="shared" si="243"/>
        <v>#REF!</v>
      </c>
      <c r="EV90" s="4" t="e">
        <f t="shared" si="350"/>
        <v>#REF!</v>
      </c>
      <c r="FA90" s="23" t="e">
        <f t="shared" si="277"/>
        <v>#REF!</v>
      </c>
      <c r="FB90" s="23" t="e">
        <f t="shared" si="278"/>
        <v>#REF!</v>
      </c>
      <c r="FC90" s="23">
        <f t="shared" si="290"/>
        <v>2.2000000000000002</v>
      </c>
      <c r="FD90" s="23" t="e">
        <f t="shared" si="279"/>
        <v>#REF!</v>
      </c>
      <c r="FE90" s="23" t="e">
        <f t="shared" si="280"/>
        <v>#REF!</v>
      </c>
      <c r="FF90" s="23" t="e">
        <f t="shared" si="281"/>
        <v>#REF!</v>
      </c>
      <c r="FG90" s="23" t="e">
        <f t="shared" si="282"/>
        <v>#REF!</v>
      </c>
      <c r="FH90" s="23"/>
      <c r="FR90" s="4">
        <f t="shared" si="351"/>
        <v>1</v>
      </c>
      <c r="FS90" s="4">
        <f t="shared" si="352"/>
        <v>1.0833333333333333</v>
      </c>
      <c r="FT90" s="4">
        <f t="shared" si="353"/>
        <v>0</v>
      </c>
      <c r="FU90" s="4">
        <f t="shared" si="354"/>
        <v>188.22540532446502</v>
      </c>
    </row>
    <row r="91" spans="1:178" ht="12" customHeight="1" x14ac:dyDescent="0.3">
      <c r="B91" s="24" t="s">
        <v>292</v>
      </c>
      <c r="C91" s="7" t="s">
        <v>281</v>
      </c>
      <c r="D91" s="7">
        <v>472</v>
      </c>
      <c r="E91" s="7">
        <f t="shared" si="308"/>
        <v>381</v>
      </c>
      <c r="F91" s="7">
        <v>26</v>
      </c>
      <c r="G91" s="7">
        <v>25.4</v>
      </c>
      <c r="H91" s="7">
        <f t="shared" ref="H91:H94" si="371">6*25.4</f>
        <v>152.39999999999998</v>
      </c>
      <c r="I91" s="7">
        <f t="shared" si="310"/>
        <v>63.499999999999986</v>
      </c>
      <c r="J91" s="7">
        <f t="shared" si="201"/>
        <v>50.8</v>
      </c>
      <c r="K91" s="7">
        <v>0</v>
      </c>
      <c r="L91" s="7">
        <v>1</v>
      </c>
      <c r="M91" s="7">
        <f t="shared" si="202"/>
        <v>88.899999999999991</v>
      </c>
      <c r="N91" s="7">
        <f t="shared" si="311"/>
        <v>2.9999999999999996</v>
      </c>
      <c r="O91" s="7">
        <f t="shared" si="203"/>
        <v>4</v>
      </c>
      <c r="P91" s="7">
        <v>4.7</v>
      </c>
      <c r="Q91" s="7">
        <f t="shared" si="227"/>
        <v>4.7</v>
      </c>
      <c r="R91" s="7">
        <f t="shared" si="312"/>
        <v>5.7</v>
      </c>
      <c r="S91" s="7">
        <f t="shared" si="313"/>
        <v>60.641668842471674</v>
      </c>
      <c r="T91" s="7"/>
      <c r="U91" s="7"/>
      <c r="V91" s="7">
        <v>442</v>
      </c>
      <c r="W91" s="7"/>
      <c r="X91" s="7"/>
      <c r="Y91" s="7">
        <v>9.5</v>
      </c>
      <c r="Z91" s="7">
        <v>2</v>
      </c>
      <c r="AA91" s="7">
        <v>152</v>
      </c>
      <c r="AB91" s="7">
        <v>2</v>
      </c>
      <c r="AC91" s="7">
        <v>2</v>
      </c>
      <c r="AD91" s="7"/>
      <c r="AE91" s="4">
        <f t="shared" si="364"/>
        <v>381</v>
      </c>
      <c r="AF91" s="44">
        <f t="shared" si="204"/>
        <v>5.9259259259259248E-2</v>
      </c>
      <c r="AG91" s="25">
        <f t="shared" si="314"/>
        <v>748.37078117567501</v>
      </c>
      <c r="AH91" s="4">
        <f t="shared" si="315"/>
        <v>0.74</v>
      </c>
      <c r="AI91" s="4">
        <v>1.25</v>
      </c>
      <c r="AJ91" s="25">
        <f t="shared" si="355"/>
        <v>5</v>
      </c>
      <c r="AK91" s="38">
        <f t="shared" si="205"/>
        <v>205.10902891481459</v>
      </c>
      <c r="AL91" s="38">
        <f t="shared" si="356"/>
        <v>205.10902891481459</v>
      </c>
      <c r="AN91" s="38">
        <f t="shared" si="158"/>
        <v>205.10902891481439</v>
      </c>
      <c r="AO91" s="38">
        <f t="shared" si="316"/>
        <v>1.0000000000000009</v>
      </c>
      <c r="AP91" s="38">
        <f t="shared" si="357"/>
        <v>1.868729369641889</v>
      </c>
      <c r="AQ91" s="4">
        <f t="shared" si="228"/>
        <v>0</v>
      </c>
      <c r="AR91" s="4" t="e">
        <f>#REF!/G91*F91^0.5/0.19</f>
        <v>#REF!</v>
      </c>
      <c r="AS91" s="4">
        <f t="shared" si="317"/>
        <v>1.1333333333333333</v>
      </c>
      <c r="AT91" s="38">
        <f t="shared" si="318"/>
        <v>383.29326631184108</v>
      </c>
      <c r="AU91" s="4">
        <f t="shared" si="319"/>
        <v>0.34199999999999997</v>
      </c>
      <c r="AV91" s="4" t="e">
        <f>AU91*D91*#REF!/(D91*G91/2.75/F91^0.5)</f>
        <v>#REF!</v>
      </c>
      <c r="AW91" s="4" t="e">
        <f t="shared" si="365"/>
        <v>#REF!</v>
      </c>
      <c r="AY91" s="36">
        <f t="shared" si="320"/>
        <v>1.7609403835677346</v>
      </c>
      <c r="AZ91" s="36" t="e">
        <f>(1.6*#REF!+22)*AY91*F91^0.5</f>
        <v>#REF!</v>
      </c>
      <c r="BE91" s="4">
        <f t="shared" si="321"/>
        <v>63.499999999999986</v>
      </c>
      <c r="BF91" s="4">
        <f t="shared" si="322"/>
        <v>63.499999999999986</v>
      </c>
      <c r="BG91" s="4">
        <f t="shared" si="323"/>
        <v>88.899999999999991</v>
      </c>
      <c r="BH91" s="4">
        <f t="shared" si="324"/>
        <v>76.199999999999989</v>
      </c>
      <c r="BI91" s="4">
        <f t="shared" si="229"/>
        <v>1.04</v>
      </c>
      <c r="BJ91" s="25">
        <f t="shared" si="325"/>
        <v>4</v>
      </c>
      <c r="BL91" s="4">
        <f t="shared" si="326"/>
        <v>63.499999999999986</v>
      </c>
      <c r="BP91" s="9"/>
      <c r="BR91" s="9"/>
      <c r="BS91" s="9"/>
      <c r="BT91" s="9">
        <f t="shared" si="327"/>
        <v>50.8</v>
      </c>
      <c r="BU91" s="9">
        <f t="shared" si="328"/>
        <v>63.499999999999986</v>
      </c>
      <c r="BV91" s="9">
        <f t="shared" si="329"/>
        <v>1.4623505735569622</v>
      </c>
      <c r="BW91" s="9">
        <v>20</v>
      </c>
      <c r="BX91" s="9">
        <f t="shared" si="330"/>
        <v>0.05</v>
      </c>
      <c r="BY91" s="9">
        <f t="shared" si="366"/>
        <v>0.8</v>
      </c>
      <c r="BZ91" s="9">
        <f t="shared" si="331"/>
        <v>0.99524931562137331</v>
      </c>
      <c r="CA91" s="9">
        <f t="shared" si="332"/>
        <v>1.056</v>
      </c>
      <c r="CB91" s="9">
        <f t="shared" si="333"/>
        <v>1.8756444837875041</v>
      </c>
      <c r="CC91" s="9">
        <f t="shared" si="334"/>
        <v>4.243365373685613</v>
      </c>
      <c r="CD91" s="9">
        <v>1</v>
      </c>
      <c r="CE91" s="9" t="e">
        <f>4*CC91*#REF!+60*CC91</f>
        <v>#REF!</v>
      </c>
      <c r="CG91" s="4" t="e">
        <f t="shared" si="265"/>
        <v>#REF!</v>
      </c>
      <c r="CH91" s="4" t="e">
        <f t="shared" si="266"/>
        <v>#REF!</v>
      </c>
      <c r="CI91" s="4" t="e">
        <f t="shared" si="267"/>
        <v>#REF!</v>
      </c>
      <c r="CJ91" s="4" t="e">
        <f t="shared" si="268"/>
        <v>#REF!</v>
      </c>
      <c r="CK91" s="4" t="e">
        <f t="shared" si="269"/>
        <v>#REF!</v>
      </c>
      <c r="CL91" s="4" t="e">
        <f t="shared" si="270"/>
        <v>#REF!</v>
      </c>
      <c r="CM91" s="4">
        <f t="shared" si="215"/>
        <v>0.87831273920731312</v>
      </c>
      <c r="CU91" s="4" t="e">
        <f t="shared" ref="CU91:CU123" si="372">CG91</f>
        <v>#REF!</v>
      </c>
      <c r="CV91" s="4" t="e">
        <f t="shared" ref="CV91:CV123" si="373">CH91</f>
        <v>#REF!</v>
      </c>
      <c r="CW91" s="4" t="e">
        <f t="shared" ref="CW91:CW123" si="374">CJ91</f>
        <v>#REF!</v>
      </c>
      <c r="CX91" s="4">
        <f t="shared" ref="CX91:CX92" si="375">CM91</f>
        <v>0.87831273920731312</v>
      </c>
      <c r="CY91" s="4" t="e">
        <f t="shared" ref="CY91:CY123" si="376">CK91</f>
        <v>#REF!</v>
      </c>
      <c r="CZ91" s="4" t="e">
        <f t="shared" ref="CZ91:CZ123" si="377">CL91</f>
        <v>#REF!</v>
      </c>
      <c r="DB91" s="4">
        <f t="shared" si="232"/>
        <v>2</v>
      </c>
      <c r="DC91" s="4">
        <f t="shared" si="335"/>
        <v>381</v>
      </c>
      <c r="DD91" s="4" t="e">
        <f>#REF!/E91</f>
        <v>#REF!</v>
      </c>
      <c r="DF91" s="4">
        <f t="shared" si="336"/>
        <v>2.6015824312812745E-5</v>
      </c>
      <c r="DG91" s="4">
        <f t="shared" si="233"/>
        <v>7.1020943350297925</v>
      </c>
      <c r="DH91" s="4">
        <f t="shared" si="358"/>
        <v>0.3960514372704414</v>
      </c>
      <c r="DI91" s="4">
        <f t="shared" si="359"/>
        <v>4.9032842891802595</v>
      </c>
      <c r="DJ91" s="4">
        <f t="shared" si="360"/>
        <v>6.1028630858810287</v>
      </c>
      <c r="DK91" s="4">
        <f t="shared" si="337"/>
        <v>6.3724004838122834</v>
      </c>
      <c r="DL91" s="38" t="e">
        <f t="shared" si="338"/>
        <v>#REF!</v>
      </c>
      <c r="DM91" s="4" t="e">
        <f t="shared" si="361"/>
        <v>#REF!</v>
      </c>
      <c r="DN91" s="4">
        <f t="shared" si="362"/>
        <v>2.3874672772626644</v>
      </c>
      <c r="DO91" s="4">
        <f t="shared" si="363"/>
        <v>205.10902891481439</v>
      </c>
      <c r="DS91" s="4">
        <f t="shared" si="339"/>
        <v>0.85</v>
      </c>
      <c r="DT91" s="4">
        <f t="shared" si="340"/>
        <v>0.85000000000000009</v>
      </c>
      <c r="DU91" s="4">
        <f t="shared" si="341"/>
        <v>0.90713466426932854</v>
      </c>
      <c r="DV91" s="4">
        <f t="shared" si="367"/>
        <v>0.7710644646289293</v>
      </c>
      <c r="DX91" s="4" t="e">
        <f t="shared" si="342"/>
        <v>#REF!</v>
      </c>
      <c r="DY91" s="25">
        <f t="shared" si="343"/>
        <v>202.29704102729465</v>
      </c>
      <c r="EA91" s="4">
        <f t="shared" si="224"/>
        <v>0.65540479493458992</v>
      </c>
      <c r="EB91" s="4">
        <f t="shared" si="309"/>
        <v>7.1020943350297925</v>
      </c>
      <c r="EC91" s="4">
        <f t="shared" si="344"/>
        <v>7.447594690010102</v>
      </c>
      <c r="EE91" s="4">
        <f t="shared" si="345"/>
        <v>60.641668842471674</v>
      </c>
      <c r="EF91" s="4">
        <f t="shared" si="235"/>
        <v>2.3874672772626644</v>
      </c>
      <c r="EG91" s="4">
        <f t="shared" si="346"/>
        <v>0.11042655740559819</v>
      </c>
      <c r="EJ91" s="4">
        <f t="shared" si="368"/>
        <v>0.11042655740559819</v>
      </c>
      <c r="EK91" s="4">
        <f t="shared" si="347"/>
        <v>0.39539050123559077</v>
      </c>
      <c r="EL91" s="4">
        <f t="shared" si="237"/>
        <v>4.9000095820262892</v>
      </c>
      <c r="EM91" s="4">
        <f t="shared" si="369"/>
        <v>6.1015499625175389</v>
      </c>
      <c r="EN91" s="4">
        <f t="shared" si="239"/>
        <v>225.10833115752831</v>
      </c>
      <c r="EO91" s="4">
        <f t="shared" si="240"/>
        <v>95.25</v>
      </c>
      <c r="EP91" s="4">
        <f t="shared" si="348"/>
        <v>2.6015824312812745E-5</v>
      </c>
      <c r="EQ91" s="4">
        <f t="shared" si="370"/>
        <v>6.3725799412119812</v>
      </c>
      <c r="ER91" s="4" t="e">
        <f t="shared" si="349"/>
        <v>#REF!</v>
      </c>
      <c r="ES91" s="4" t="e">
        <f t="shared" si="242"/>
        <v>#REF!</v>
      </c>
      <c r="ET91" s="4" t="e">
        <f t="shared" si="243"/>
        <v>#REF!</v>
      </c>
      <c r="EV91" s="4" t="e">
        <f t="shared" si="350"/>
        <v>#REF!</v>
      </c>
      <c r="FA91" s="23" t="e">
        <f t="shared" si="277"/>
        <v>#REF!</v>
      </c>
      <c r="FB91" s="23" t="e">
        <f t="shared" si="278"/>
        <v>#REF!</v>
      </c>
      <c r="FC91" s="23">
        <f t="shared" si="290"/>
        <v>1</v>
      </c>
      <c r="FD91" s="23" t="e">
        <f t="shared" si="279"/>
        <v>#REF!</v>
      </c>
      <c r="FE91" s="23" t="e">
        <f t="shared" si="280"/>
        <v>#REF!</v>
      </c>
      <c r="FF91" s="23" t="e">
        <f t="shared" si="281"/>
        <v>#REF!</v>
      </c>
      <c r="FG91" s="23" t="e">
        <f t="shared" si="282"/>
        <v>#REF!</v>
      </c>
      <c r="FH91" s="23"/>
      <c r="FR91" s="4">
        <f t="shared" si="351"/>
        <v>1</v>
      </c>
      <c r="FS91" s="4">
        <f t="shared" si="352"/>
        <v>0.6711572180011689</v>
      </c>
      <c r="FT91" s="4">
        <f t="shared" si="353"/>
        <v>0.3</v>
      </c>
      <c r="FU91" s="4">
        <f t="shared" si="354"/>
        <v>503.23760577457847</v>
      </c>
    </row>
    <row r="92" spans="1:178" ht="12" customHeight="1" x14ac:dyDescent="0.3">
      <c r="B92" s="24"/>
      <c r="C92" s="7" t="s">
        <v>281</v>
      </c>
      <c r="D92" s="7">
        <v>472</v>
      </c>
      <c r="E92" s="7">
        <f t="shared" si="308"/>
        <v>381</v>
      </c>
      <c r="F92" s="7">
        <v>26</v>
      </c>
      <c r="G92" s="7">
        <v>25.4</v>
      </c>
      <c r="H92" s="7">
        <f t="shared" si="371"/>
        <v>152.39999999999998</v>
      </c>
      <c r="I92" s="7">
        <f t="shared" si="310"/>
        <v>63.499999999999986</v>
      </c>
      <c r="J92" s="7">
        <f t="shared" si="201"/>
        <v>50.8</v>
      </c>
      <c r="K92" s="7">
        <v>0</v>
      </c>
      <c r="L92" s="7">
        <v>1</v>
      </c>
      <c r="M92" s="7">
        <f t="shared" si="202"/>
        <v>88.899999999999991</v>
      </c>
      <c r="N92" s="7">
        <f t="shared" si="311"/>
        <v>2.9999999999999996</v>
      </c>
      <c r="O92" s="7">
        <f t="shared" si="203"/>
        <v>4</v>
      </c>
      <c r="P92" s="7">
        <v>4.7</v>
      </c>
      <c r="Q92" s="7">
        <f t="shared" si="227"/>
        <v>4.7</v>
      </c>
      <c r="R92" s="7">
        <f t="shared" si="312"/>
        <v>5.7</v>
      </c>
      <c r="S92" s="7">
        <f t="shared" si="313"/>
        <v>60.641668842471674</v>
      </c>
      <c r="T92" s="7"/>
      <c r="U92" s="7"/>
      <c r="V92" s="7">
        <v>459</v>
      </c>
      <c r="W92" s="7"/>
      <c r="X92" s="7"/>
      <c r="Y92" s="7">
        <v>9.5</v>
      </c>
      <c r="Z92" s="7">
        <v>3</v>
      </c>
      <c r="AA92" s="7">
        <v>76</v>
      </c>
      <c r="AB92" s="7">
        <v>3</v>
      </c>
      <c r="AC92" s="7">
        <v>3</v>
      </c>
      <c r="AD92" s="7"/>
      <c r="AE92" s="4">
        <f t="shared" si="364"/>
        <v>381</v>
      </c>
      <c r="AF92" s="44">
        <f t="shared" si="204"/>
        <v>5.9259259259259248E-2</v>
      </c>
      <c r="AG92" s="25">
        <f t="shared" si="314"/>
        <v>748.37078117567501</v>
      </c>
      <c r="AH92" s="4">
        <f t="shared" si="315"/>
        <v>0.74</v>
      </c>
      <c r="AI92" s="4">
        <v>1.25</v>
      </c>
      <c r="AJ92" s="25">
        <f t="shared" si="355"/>
        <v>5</v>
      </c>
      <c r="AK92" s="38">
        <f t="shared" si="205"/>
        <v>205.10902891481459</v>
      </c>
      <c r="AL92" s="38">
        <f t="shared" si="356"/>
        <v>205.10902891481459</v>
      </c>
      <c r="AN92" s="38">
        <f t="shared" si="158"/>
        <v>205.10902891481439</v>
      </c>
      <c r="AO92" s="38">
        <f t="shared" si="316"/>
        <v>1.0000000000000009</v>
      </c>
      <c r="AP92" s="38">
        <f t="shared" si="357"/>
        <v>1.868729369641889</v>
      </c>
      <c r="AQ92" s="4">
        <f t="shared" si="228"/>
        <v>0</v>
      </c>
      <c r="AR92" s="4" t="e">
        <f>#REF!/G92*F92^0.5/0.19</f>
        <v>#REF!</v>
      </c>
      <c r="AS92" s="4">
        <f t="shared" si="317"/>
        <v>1.1333333333333333</v>
      </c>
      <c r="AT92" s="38">
        <f t="shared" si="318"/>
        <v>383.29326631184108</v>
      </c>
      <c r="AU92" s="4">
        <f t="shared" si="319"/>
        <v>0.34199999999999997</v>
      </c>
      <c r="AV92" s="4" t="e">
        <f>AU92*D92*#REF!/(D92*G92/2.75/F92^0.5)</f>
        <v>#REF!</v>
      </c>
      <c r="AW92" s="4" t="e">
        <f t="shared" si="365"/>
        <v>#REF!</v>
      </c>
      <c r="AY92" s="36">
        <f t="shared" si="320"/>
        <v>2.2250000000000001</v>
      </c>
      <c r="AZ92" s="36" t="e">
        <f>(1.6*#REF!+22)*AY92*F92^0.5</f>
        <v>#REF!</v>
      </c>
      <c r="BE92" s="4">
        <f t="shared" si="321"/>
        <v>63.499999999999986</v>
      </c>
      <c r="BF92" s="4">
        <f t="shared" si="322"/>
        <v>63.499999999999986</v>
      </c>
      <c r="BG92" s="4">
        <f t="shared" si="323"/>
        <v>88.899999999999991</v>
      </c>
      <c r="BH92" s="4">
        <f t="shared" si="324"/>
        <v>76.199999999999989</v>
      </c>
      <c r="BI92" s="4">
        <f t="shared" si="229"/>
        <v>1.04</v>
      </c>
      <c r="BJ92" s="25">
        <f t="shared" si="325"/>
        <v>4</v>
      </c>
      <c r="BL92" s="4">
        <f t="shared" si="326"/>
        <v>63.499999999999986</v>
      </c>
      <c r="BP92" s="9"/>
      <c r="BR92" s="9"/>
      <c r="BS92" s="9"/>
      <c r="BT92" s="9">
        <f t="shared" si="327"/>
        <v>50.8</v>
      </c>
      <c r="BU92" s="9">
        <f t="shared" si="328"/>
        <v>63.499999999999986</v>
      </c>
      <c r="BV92" s="9">
        <f t="shared" si="329"/>
        <v>1.4623505735569622</v>
      </c>
      <c r="BW92" s="9">
        <v>20</v>
      </c>
      <c r="BX92" s="9">
        <f t="shared" si="330"/>
        <v>0.05</v>
      </c>
      <c r="BY92" s="9">
        <f t="shared" si="366"/>
        <v>0.8</v>
      </c>
      <c r="BZ92" s="9">
        <f t="shared" si="331"/>
        <v>0.99524931562137331</v>
      </c>
      <c r="CA92" s="9">
        <f t="shared" si="332"/>
        <v>1.056</v>
      </c>
      <c r="CB92" s="9">
        <f t="shared" si="333"/>
        <v>1.8756444837875041</v>
      </c>
      <c r="CC92" s="9">
        <f t="shared" si="334"/>
        <v>4.243365373685613</v>
      </c>
      <c r="CD92" s="9">
        <v>1</v>
      </c>
      <c r="CE92" s="9" t="e">
        <f>4*CC92*#REF!+60*CC92</f>
        <v>#REF!</v>
      </c>
      <c r="CG92" s="4" t="e">
        <f t="shared" si="265"/>
        <v>#REF!</v>
      </c>
      <c r="CH92" s="4" t="e">
        <f t="shared" si="266"/>
        <v>#REF!</v>
      </c>
      <c r="CI92" s="4" t="e">
        <f t="shared" si="267"/>
        <v>#REF!</v>
      </c>
      <c r="CJ92" s="4" t="e">
        <f t="shared" si="268"/>
        <v>#REF!</v>
      </c>
      <c r="CK92" s="4" t="e">
        <f t="shared" si="269"/>
        <v>#REF!</v>
      </c>
      <c r="CL92" s="4" t="e">
        <f t="shared" si="270"/>
        <v>#REF!</v>
      </c>
      <c r="CM92" s="4">
        <f t="shared" si="215"/>
        <v>0.91209399840759442</v>
      </c>
      <c r="CU92" s="4" t="e">
        <f t="shared" si="372"/>
        <v>#REF!</v>
      </c>
      <c r="CV92" s="4" t="e">
        <f t="shared" si="373"/>
        <v>#REF!</v>
      </c>
      <c r="CW92" s="4" t="e">
        <f t="shared" si="374"/>
        <v>#REF!</v>
      </c>
      <c r="CX92" s="4">
        <f t="shared" si="375"/>
        <v>0.91209399840759442</v>
      </c>
      <c r="CY92" s="4" t="e">
        <f t="shared" si="376"/>
        <v>#REF!</v>
      </c>
      <c r="CZ92" s="4" t="e">
        <f t="shared" si="377"/>
        <v>#REF!</v>
      </c>
      <c r="DB92" s="4">
        <f t="shared" si="232"/>
        <v>3</v>
      </c>
      <c r="DC92" s="4">
        <f t="shared" si="335"/>
        <v>381</v>
      </c>
      <c r="DD92" s="4" t="e">
        <f>#REF!/E92</f>
        <v>#REF!</v>
      </c>
      <c r="DF92" s="4">
        <f t="shared" si="336"/>
        <v>2.6015824312812745E-5</v>
      </c>
      <c r="DG92" s="4">
        <f t="shared" si="233"/>
        <v>7.8231036659769986</v>
      </c>
      <c r="DH92" s="4">
        <f t="shared" si="358"/>
        <v>0.3960514372704414</v>
      </c>
      <c r="DI92" s="4">
        <f t="shared" si="359"/>
        <v>5.4010689648003103</v>
      </c>
      <c r="DJ92" s="4">
        <f t="shared" si="360"/>
        <v>6.7224297971693012</v>
      </c>
      <c r="DK92" s="4">
        <f t="shared" si="337"/>
        <v>6.9392830395578722</v>
      </c>
      <c r="DL92" s="38" t="e">
        <f t="shared" si="338"/>
        <v>#REF!</v>
      </c>
      <c r="DM92" s="4" t="e">
        <f t="shared" si="361"/>
        <v>#REF!</v>
      </c>
      <c r="DN92" s="4">
        <f t="shared" si="362"/>
        <v>2.3874672772626644</v>
      </c>
      <c r="DO92" s="4">
        <f t="shared" si="363"/>
        <v>205.10902891481439</v>
      </c>
      <c r="DS92" s="4">
        <f t="shared" si="339"/>
        <v>0.85</v>
      </c>
      <c r="DT92" s="4">
        <f t="shared" si="340"/>
        <v>0.85000000000000009</v>
      </c>
      <c r="DU92" s="4">
        <f t="shared" si="341"/>
        <v>0.82320199640399283</v>
      </c>
      <c r="DV92" s="4">
        <f t="shared" si="367"/>
        <v>0.7</v>
      </c>
      <c r="DX92" s="4" t="e">
        <f t="shared" si="342"/>
        <v>#REF!</v>
      </c>
      <c r="DY92" s="25">
        <f t="shared" si="343"/>
        <v>202.29704102729465</v>
      </c>
      <c r="EA92" s="4">
        <f t="shared" si="224"/>
        <v>0.59499999999999997</v>
      </c>
      <c r="EB92" s="4">
        <f t="shared" si="309"/>
        <v>7.8231036659769986</v>
      </c>
      <c r="EC92" s="4">
        <f t="shared" si="344"/>
        <v>7.447594690010102</v>
      </c>
      <c r="EE92" s="4">
        <f t="shared" si="345"/>
        <v>60.641668842471674</v>
      </c>
      <c r="EF92" s="4">
        <f t="shared" si="235"/>
        <v>2.3874672772626644</v>
      </c>
      <c r="EG92" s="4">
        <f t="shared" si="346"/>
        <v>0.11042655740559819</v>
      </c>
      <c r="EJ92" s="4">
        <f t="shared" si="368"/>
        <v>0.11042655740559819</v>
      </c>
      <c r="EK92" s="4">
        <f t="shared" si="347"/>
        <v>0.39539050123559077</v>
      </c>
      <c r="EL92" s="4">
        <f t="shared" si="237"/>
        <v>5.3974618072024638</v>
      </c>
      <c r="EM92" s="4">
        <f t="shared" si="369"/>
        <v>6.7209833646503565</v>
      </c>
      <c r="EN92" s="4">
        <f t="shared" si="239"/>
        <v>225.10833115752831</v>
      </c>
      <c r="EO92" s="4">
        <f t="shared" si="240"/>
        <v>95.25</v>
      </c>
      <c r="EP92" s="4">
        <f t="shared" si="348"/>
        <v>2.6015824312812745E-5</v>
      </c>
      <c r="EQ92" s="4">
        <f t="shared" si="370"/>
        <v>6.9395004021561064</v>
      </c>
      <c r="ER92" s="4" t="e">
        <f t="shared" si="349"/>
        <v>#REF!</v>
      </c>
      <c r="ES92" s="4" t="e">
        <f t="shared" si="242"/>
        <v>#REF!</v>
      </c>
      <c r="ET92" s="4" t="e">
        <f t="shared" si="243"/>
        <v>#REF!</v>
      </c>
      <c r="EV92" s="4" t="e">
        <f t="shared" si="350"/>
        <v>#REF!</v>
      </c>
      <c r="FA92" s="23" t="e">
        <f t="shared" si="277"/>
        <v>#REF!</v>
      </c>
      <c r="FB92" s="23" t="e">
        <f t="shared" si="278"/>
        <v>#REF!</v>
      </c>
      <c r="FC92" s="23">
        <f t="shared" si="290"/>
        <v>1</v>
      </c>
      <c r="FD92" s="23" t="e">
        <f t="shared" si="279"/>
        <v>#REF!</v>
      </c>
      <c r="FE92" s="23" t="e">
        <f t="shared" si="280"/>
        <v>#REF!</v>
      </c>
      <c r="FF92" s="23" t="e">
        <f t="shared" si="281"/>
        <v>#REF!</v>
      </c>
      <c r="FG92" s="23" t="e">
        <f t="shared" si="282"/>
        <v>#REF!</v>
      </c>
      <c r="FH92" s="23"/>
      <c r="FR92" s="4">
        <f t="shared" si="351"/>
        <v>1</v>
      </c>
      <c r="FS92" s="4">
        <f t="shared" si="352"/>
        <v>0.6711572180011689</v>
      </c>
      <c r="FT92" s="4">
        <f t="shared" si="353"/>
        <v>0.3</v>
      </c>
      <c r="FU92" s="4">
        <f t="shared" si="354"/>
        <v>503.23760577457847</v>
      </c>
    </row>
    <row r="93" spans="1:178" ht="12" customHeight="1" x14ac:dyDescent="0.3">
      <c r="B93" s="24"/>
      <c r="C93" s="7" t="s">
        <v>281</v>
      </c>
      <c r="D93" s="7">
        <v>472</v>
      </c>
      <c r="E93" s="7">
        <f t="shared" si="308"/>
        <v>381</v>
      </c>
      <c r="F93" s="7">
        <v>28</v>
      </c>
      <c r="G93" s="7">
        <v>25.4</v>
      </c>
      <c r="H93" s="7">
        <f t="shared" si="371"/>
        <v>152.39999999999998</v>
      </c>
      <c r="I93" s="7">
        <f t="shared" si="310"/>
        <v>63.499999999999986</v>
      </c>
      <c r="J93" s="7">
        <f t="shared" si="201"/>
        <v>50.8</v>
      </c>
      <c r="K93" s="7">
        <v>0</v>
      </c>
      <c r="L93" s="7">
        <v>1</v>
      </c>
      <c r="M93" s="7">
        <f t="shared" si="202"/>
        <v>88.899999999999991</v>
      </c>
      <c r="N93" s="7">
        <f t="shared" si="311"/>
        <v>2.9999999999999996</v>
      </c>
      <c r="O93" s="7">
        <f t="shared" si="203"/>
        <v>4</v>
      </c>
      <c r="P93" s="7">
        <v>4.7</v>
      </c>
      <c r="Q93" s="7">
        <f t="shared" si="227"/>
        <v>4.7</v>
      </c>
      <c r="R93" s="7">
        <f t="shared" si="312"/>
        <v>5.7</v>
      </c>
      <c r="S93" s="7">
        <f t="shared" si="313"/>
        <v>60.641668842471674</v>
      </c>
      <c r="T93" s="7"/>
      <c r="U93" s="7"/>
      <c r="V93" s="7">
        <v>400</v>
      </c>
      <c r="W93" s="7"/>
      <c r="X93" s="7"/>
      <c r="Y93" s="7"/>
      <c r="Z93" s="7"/>
      <c r="AA93" s="7">
        <v>1</v>
      </c>
      <c r="AB93" s="7"/>
      <c r="AC93" s="7"/>
      <c r="AD93" s="7"/>
      <c r="AE93" s="4">
        <f t="shared" si="364"/>
        <v>381</v>
      </c>
      <c r="AF93" s="44">
        <f t="shared" si="204"/>
        <v>5.9259259259259248E-2</v>
      </c>
      <c r="AG93" s="25">
        <f t="shared" si="314"/>
        <v>776.62106221784506</v>
      </c>
      <c r="AH93" s="4">
        <f t="shared" si="315"/>
        <v>0.74</v>
      </c>
      <c r="AI93" s="4">
        <v>1.25</v>
      </c>
      <c r="AJ93" s="25">
        <f t="shared" si="355"/>
        <v>5</v>
      </c>
      <c r="AK93" s="38">
        <f t="shared" si="205"/>
        <v>212.85169853377971</v>
      </c>
      <c r="AL93" s="38">
        <f t="shared" si="356"/>
        <v>212.85169853377971</v>
      </c>
      <c r="AN93" s="38">
        <f t="shared" si="158"/>
        <v>212.85169853377948</v>
      </c>
      <c r="AO93" s="38">
        <f t="shared" si="316"/>
        <v>1.0000000000000011</v>
      </c>
      <c r="AP93" s="38">
        <f t="shared" si="357"/>
        <v>1.9392721155802133</v>
      </c>
      <c r="AQ93" s="4">
        <f t="shared" si="228"/>
        <v>0</v>
      </c>
      <c r="AR93" s="4" t="e">
        <f>#REF!/G93*F93^0.5/0.19</f>
        <v>#REF!</v>
      </c>
      <c r="AS93" s="4">
        <f t="shared" si="317"/>
        <v>1.1333333333333333</v>
      </c>
      <c r="AT93" s="38">
        <f t="shared" si="318"/>
        <v>412.77736372044433</v>
      </c>
      <c r="AU93" s="4">
        <f t="shared" si="319"/>
        <v>0.34199999999999997</v>
      </c>
      <c r="AV93" s="4" t="e">
        <f>AU93*D93*#REF!/(D93*G93/2.75/F93^0.5)</f>
        <v>#REF!</v>
      </c>
      <c r="AW93" s="4" t="e">
        <f t="shared" si="365"/>
        <v>#REF!</v>
      </c>
      <c r="AY93" s="36">
        <f t="shared" si="320"/>
        <v>1.1000000000000001</v>
      </c>
      <c r="AZ93" s="36" t="e">
        <f>(1.6*#REF!+22)*AY93*F93^0.5</f>
        <v>#REF!</v>
      </c>
      <c r="BE93" s="4">
        <f t="shared" si="321"/>
        <v>63.499999999999986</v>
      </c>
      <c r="BF93" s="4">
        <f t="shared" si="322"/>
        <v>63.499999999999986</v>
      </c>
      <c r="BG93" s="4">
        <f t="shared" si="323"/>
        <v>88.899999999999991</v>
      </c>
      <c r="BH93" s="4">
        <f t="shared" si="324"/>
        <v>76.199999999999989</v>
      </c>
      <c r="BI93" s="4">
        <f t="shared" si="229"/>
        <v>1.04</v>
      </c>
      <c r="BJ93" s="25">
        <f t="shared" si="325"/>
        <v>3.1199999999999997</v>
      </c>
      <c r="BL93" s="4">
        <f t="shared" si="326"/>
        <v>63.499999999999986</v>
      </c>
      <c r="BP93" s="9"/>
      <c r="BR93" s="9"/>
      <c r="BS93" s="9"/>
      <c r="BT93" s="9">
        <f t="shared" si="327"/>
        <v>50.8</v>
      </c>
      <c r="BU93" s="9">
        <f t="shared" si="328"/>
        <v>63.499999999999986</v>
      </c>
      <c r="BV93" s="9">
        <f t="shared" si="329"/>
        <v>1.4623505735569622</v>
      </c>
      <c r="BW93" s="9">
        <v>0</v>
      </c>
      <c r="BX93" s="9">
        <f t="shared" si="330"/>
        <v>0</v>
      </c>
      <c r="BY93" s="9">
        <f t="shared" si="366"/>
        <v>0</v>
      </c>
      <c r="BZ93" s="9">
        <f t="shared" si="331"/>
        <v>0.99524931562137331</v>
      </c>
      <c r="CA93" s="9">
        <f t="shared" si="332"/>
        <v>1.056</v>
      </c>
      <c r="CB93" s="9">
        <f t="shared" si="333"/>
        <v>1.9464482686693119</v>
      </c>
      <c r="CC93" s="9">
        <f t="shared" si="334"/>
        <v>2.8463897420875242</v>
      </c>
      <c r="CD93" s="9">
        <v>1</v>
      </c>
      <c r="CE93" s="9" t="e">
        <f>4*CC93*#REF!+60*CC93</f>
        <v>#REF!</v>
      </c>
      <c r="CG93" s="4" t="e">
        <f t="shared" si="265"/>
        <v>#REF!</v>
      </c>
      <c r="CH93" s="4" t="e">
        <f t="shared" si="266"/>
        <v>#REF!</v>
      </c>
      <c r="CI93" s="4" t="e">
        <f t="shared" si="267"/>
        <v>#REF!</v>
      </c>
      <c r="CJ93" s="4" t="e">
        <f t="shared" si="268"/>
        <v>#REF!</v>
      </c>
      <c r="CK93" s="4" t="e">
        <f t="shared" si="269"/>
        <v>#REF!</v>
      </c>
      <c r="CL93" s="4" t="e">
        <f t="shared" si="270"/>
        <v>#REF!</v>
      </c>
      <c r="CM93" s="4">
        <f t="shared" si="215"/>
        <v>1.2594431657304286</v>
      </c>
      <c r="CO93" s="4" t="e">
        <f t="shared" si="271"/>
        <v>#REF!</v>
      </c>
      <c r="CP93" s="4" t="e">
        <f t="shared" si="272"/>
        <v>#REF!</v>
      </c>
      <c r="CQ93" s="4" t="e">
        <f t="shared" si="273"/>
        <v>#REF!</v>
      </c>
      <c r="CR93" s="4">
        <f>CM93</f>
        <v>1.2594431657304286</v>
      </c>
      <c r="CS93" s="4" t="e">
        <f t="shared" si="275"/>
        <v>#REF!</v>
      </c>
      <c r="CT93" s="4" t="e">
        <f t="shared" si="276"/>
        <v>#REF!</v>
      </c>
      <c r="DB93" s="4">
        <f t="shared" si="232"/>
        <v>0</v>
      </c>
      <c r="DC93" s="4">
        <f t="shared" si="335"/>
        <v>381</v>
      </c>
      <c r="DD93" s="4" t="e">
        <f>#REF!/E93</f>
        <v>#REF!</v>
      </c>
      <c r="DF93" s="4">
        <f t="shared" si="336"/>
        <v>2.6402037423385414E-5</v>
      </c>
      <c r="DG93" s="4">
        <f t="shared" si="233"/>
        <v>6.6857562842857838</v>
      </c>
      <c r="DH93" s="4">
        <f t="shared" si="358"/>
        <v>0.38164471441117015</v>
      </c>
      <c r="DI93" s="4">
        <f t="shared" si="359"/>
        <v>4.5479349265027409</v>
      </c>
      <c r="DJ93" s="4">
        <f t="shared" si="360"/>
        <v>5.718003726364846</v>
      </c>
      <c r="DK93" s="4">
        <f t="shared" si="337"/>
        <v>6.0325477522062965</v>
      </c>
      <c r="DL93" s="38" t="e">
        <f t="shared" si="338"/>
        <v>#REF!</v>
      </c>
      <c r="DM93" s="4" t="e">
        <f t="shared" si="361"/>
        <v>#REF!</v>
      </c>
      <c r="DN93" s="4">
        <f t="shared" si="362"/>
        <v>2.3874672772626644</v>
      </c>
      <c r="DO93" s="4">
        <f t="shared" si="363"/>
        <v>212.85169853377948</v>
      </c>
      <c r="DS93" s="4">
        <f t="shared" si="339"/>
        <v>0.85</v>
      </c>
      <c r="DT93" s="4">
        <f t="shared" si="340"/>
        <v>0.85000000000000009</v>
      </c>
      <c r="DU93" s="4">
        <f t="shared" si="341"/>
        <v>1</v>
      </c>
      <c r="DV93" s="4">
        <f t="shared" si="367"/>
        <v>0.85000000000000009</v>
      </c>
      <c r="DX93" s="4" t="e">
        <f t="shared" si="342"/>
        <v>#REF!</v>
      </c>
      <c r="DY93" s="25">
        <f t="shared" si="343"/>
        <v>209.93356079366291</v>
      </c>
      <c r="EA93" s="4">
        <f t="shared" si="224"/>
        <v>0.72250000000000003</v>
      </c>
      <c r="EB93" s="4">
        <f t="shared" si="309"/>
        <v>6.6857562842857838</v>
      </c>
      <c r="EC93" s="4">
        <f t="shared" si="344"/>
        <v>6.028412726414806</v>
      </c>
      <c r="EE93" s="4">
        <f t="shared" si="345"/>
        <v>60.641668842471674</v>
      </c>
      <c r="EF93" s="4">
        <f t="shared" si="235"/>
        <v>2.3874672772626644</v>
      </c>
      <c r="EG93" s="4">
        <f t="shared" si="346"/>
        <v>0.11042655740559816</v>
      </c>
      <c r="EJ93" s="4">
        <f t="shared" si="368"/>
        <v>0.11042655740559816</v>
      </c>
      <c r="EK93" s="4">
        <f t="shared" si="347"/>
        <v>0.38100782051172344</v>
      </c>
      <c r="EL93" s="4">
        <f t="shared" si="237"/>
        <v>4.5448975429530103</v>
      </c>
      <c r="EM93" s="4">
        <f t="shared" si="369"/>
        <v>5.7167982559416854</v>
      </c>
      <c r="EN93" s="4">
        <f t="shared" si="239"/>
        <v>225.10833115752831</v>
      </c>
      <c r="EO93" s="4">
        <f t="shared" si="240"/>
        <v>95.25</v>
      </c>
      <c r="EP93" s="4">
        <f t="shared" si="348"/>
        <v>2.6402037423385414E-5</v>
      </c>
      <c r="EQ93" s="4">
        <f t="shared" si="370"/>
        <v>6.0327059192851493</v>
      </c>
      <c r="ER93" s="4" t="e">
        <f t="shared" si="349"/>
        <v>#REF!</v>
      </c>
      <c r="ES93" s="4" t="e">
        <f t="shared" si="242"/>
        <v>#REF!</v>
      </c>
      <c r="ET93" s="4" t="e">
        <f t="shared" si="243"/>
        <v>#REF!</v>
      </c>
      <c r="EV93" s="4" t="e">
        <f t="shared" si="350"/>
        <v>#REF!</v>
      </c>
      <c r="FA93" s="23" t="e">
        <f t="shared" si="277"/>
        <v>#REF!</v>
      </c>
      <c r="FB93" s="23" t="e">
        <f t="shared" si="278"/>
        <v>#REF!</v>
      </c>
      <c r="FC93" s="23">
        <f t="shared" si="290"/>
        <v>1.4</v>
      </c>
      <c r="FD93" s="23" t="e">
        <f t="shared" si="279"/>
        <v>#REF!</v>
      </c>
      <c r="FE93" s="23" t="e">
        <f t="shared" si="280"/>
        <v>#REF!</v>
      </c>
      <c r="FF93" s="23" t="e">
        <f t="shared" si="281"/>
        <v>#REF!</v>
      </c>
      <c r="FG93" s="23" t="e">
        <f t="shared" si="282"/>
        <v>#REF!</v>
      </c>
      <c r="FH93" s="23"/>
      <c r="FR93" s="4">
        <f t="shared" si="351"/>
        <v>1</v>
      </c>
      <c r="FS93" s="4">
        <f t="shared" si="352"/>
        <v>1.0833333333333333</v>
      </c>
      <c r="FT93" s="4">
        <f t="shared" si="353"/>
        <v>0</v>
      </c>
      <c r="FU93" s="4">
        <f t="shared" si="354"/>
        <v>317.60067534926469</v>
      </c>
    </row>
    <row r="94" spans="1:178" ht="12" customHeight="1" x14ac:dyDescent="0.3">
      <c r="B94" s="24"/>
      <c r="C94" s="7" t="s">
        <v>280</v>
      </c>
      <c r="D94" s="7">
        <v>472</v>
      </c>
      <c r="E94" s="7">
        <f t="shared" si="308"/>
        <v>381</v>
      </c>
      <c r="F94" s="7">
        <v>26</v>
      </c>
      <c r="G94" s="7">
        <v>25.4</v>
      </c>
      <c r="H94" s="7">
        <f t="shared" si="371"/>
        <v>152.39999999999998</v>
      </c>
      <c r="I94" s="7">
        <f t="shared" si="310"/>
        <v>63.499999999999986</v>
      </c>
      <c r="J94" s="7">
        <f t="shared" si="201"/>
        <v>50.8</v>
      </c>
      <c r="K94" s="7">
        <v>0</v>
      </c>
      <c r="L94" s="7">
        <v>1</v>
      </c>
      <c r="M94" s="7">
        <f t="shared" si="202"/>
        <v>88.899999999999991</v>
      </c>
      <c r="N94" s="7">
        <f t="shared" si="311"/>
        <v>2.9999999999999996</v>
      </c>
      <c r="O94" s="7">
        <f t="shared" si="203"/>
        <v>4</v>
      </c>
      <c r="P94" s="7">
        <v>4.7</v>
      </c>
      <c r="Q94" s="7">
        <f t="shared" si="227"/>
        <v>4.7</v>
      </c>
      <c r="R94" s="7">
        <f t="shared" si="312"/>
        <v>5.7</v>
      </c>
      <c r="S94" s="7">
        <f t="shared" si="313"/>
        <v>60.641668842471674</v>
      </c>
      <c r="T94" s="7"/>
      <c r="U94" s="7"/>
      <c r="V94" s="7">
        <v>455</v>
      </c>
      <c r="W94" s="7"/>
      <c r="X94" s="7"/>
      <c r="Y94" s="7"/>
      <c r="Z94" s="7"/>
      <c r="AA94" s="7">
        <v>1</v>
      </c>
      <c r="AB94" s="7"/>
      <c r="AC94" s="7"/>
      <c r="AD94" s="7"/>
      <c r="AE94" s="4">
        <f t="shared" si="364"/>
        <v>381</v>
      </c>
      <c r="AF94" s="44">
        <f t="shared" si="204"/>
        <v>5.9259259259259248E-2</v>
      </c>
      <c r="AG94" s="25">
        <f t="shared" si="314"/>
        <v>748.37078117567501</v>
      </c>
      <c r="AH94" s="4">
        <f t="shared" si="315"/>
        <v>0.74</v>
      </c>
      <c r="AI94" s="4">
        <v>1.25</v>
      </c>
      <c r="AJ94" s="25">
        <f t="shared" si="355"/>
        <v>5</v>
      </c>
      <c r="AK94" s="38">
        <f t="shared" si="205"/>
        <v>205.10902891481459</v>
      </c>
      <c r="AL94" s="38">
        <f t="shared" si="356"/>
        <v>205.10902891481459</v>
      </c>
      <c r="AN94" s="38">
        <f t="shared" si="158"/>
        <v>205.10902891481439</v>
      </c>
      <c r="AO94" s="38">
        <f t="shared" si="316"/>
        <v>1.0000000000000009</v>
      </c>
      <c r="AP94" s="38">
        <f t="shared" si="357"/>
        <v>1.868729369641889</v>
      </c>
      <c r="AQ94" s="4">
        <f t="shared" si="228"/>
        <v>0</v>
      </c>
      <c r="AR94" s="4" t="e">
        <f>#REF!/G94*F94^0.5/0.19</f>
        <v>#REF!</v>
      </c>
      <c r="AS94" s="4">
        <f t="shared" si="317"/>
        <v>1.1333333333333333</v>
      </c>
      <c r="AT94" s="38">
        <f t="shared" si="318"/>
        <v>383.29326631184108</v>
      </c>
      <c r="AU94" s="4">
        <f t="shared" si="319"/>
        <v>0.34199999999999997</v>
      </c>
      <c r="AV94" s="4" t="e">
        <f>AU94*D94*#REF!/(D94*G94/2.75/F94^0.5)</f>
        <v>#REF!</v>
      </c>
      <c r="AW94" s="4" t="e">
        <f t="shared" si="365"/>
        <v>#REF!</v>
      </c>
      <c r="AY94" s="36">
        <f t="shared" si="320"/>
        <v>1.1000000000000001</v>
      </c>
      <c r="AZ94" s="36" t="e">
        <f>(1.6*#REF!+22)*AY94*F94^0.5</f>
        <v>#REF!</v>
      </c>
      <c r="BE94" s="4">
        <f t="shared" si="321"/>
        <v>63.499999999999986</v>
      </c>
      <c r="BF94" s="4">
        <f t="shared" si="322"/>
        <v>63.499999999999986</v>
      </c>
      <c r="BG94" s="4">
        <f t="shared" si="323"/>
        <v>88.899999999999991</v>
      </c>
      <c r="BH94" s="4">
        <f t="shared" si="324"/>
        <v>76.199999999999989</v>
      </c>
      <c r="BI94" s="4">
        <f t="shared" si="229"/>
        <v>1.04</v>
      </c>
      <c r="BJ94" s="25">
        <f t="shared" si="325"/>
        <v>3.1199999999999997</v>
      </c>
      <c r="BL94" s="4">
        <f t="shared" si="326"/>
        <v>63.499999999999986</v>
      </c>
      <c r="BP94" s="9"/>
      <c r="BR94" s="9"/>
      <c r="BS94" s="9"/>
      <c r="BT94" s="9">
        <f t="shared" si="327"/>
        <v>50.8</v>
      </c>
      <c r="BU94" s="9">
        <f t="shared" si="328"/>
        <v>63.499999999999986</v>
      </c>
      <c r="BV94" s="9">
        <f t="shared" si="329"/>
        <v>1.4623505735569622</v>
      </c>
      <c r="BW94" s="9">
        <v>0</v>
      </c>
      <c r="BX94" s="9">
        <f t="shared" si="330"/>
        <v>0</v>
      </c>
      <c r="BY94" s="9">
        <f t="shared" si="366"/>
        <v>0</v>
      </c>
      <c r="BZ94" s="9">
        <f t="shared" si="331"/>
        <v>0.99524931562137331</v>
      </c>
      <c r="CA94" s="9">
        <f t="shared" si="332"/>
        <v>1.056</v>
      </c>
      <c r="CB94" s="9">
        <f t="shared" si="333"/>
        <v>1.8756444837875041</v>
      </c>
      <c r="CC94" s="9">
        <f t="shared" si="334"/>
        <v>2.7428497866556087</v>
      </c>
      <c r="CD94" s="9">
        <v>1</v>
      </c>
      <c r="CE94" s="9" t="e">
        <f>4*CC94*#REF!+60*CC94</f>
        <v>#REF!</v>
      </c>
      <c r="CG94" s="4" t="e">
        <f t="shared" si="265"/>
        <v>#REF!</v>
      </c>
      <c r="CH94" s="4" t="e">
        <f t="shared" si="266"/>
        <v>#REF!</v>
      </c>
      <c r="CI94" s="4" t="e">
        <f t="shared" si="267"/>
        <v>#REF!</v>
      </c>
      <c r="CJ94" s="4" t="e">
        <f t="shared" si="268"/>
        <v>#REF!</v>
      </c>
      <c r="CK94" s="4" t="e">
        <f t="shared" si="269"/>
        <v>#REF!</v>
      </c>
      <c r="CL94" s="4" t="e">
        <f t="shared" si="270"/>
        <v>#REF!</v>
      </c>
      <c r="CM94" s="4">
        <f t="shared" si="215"/>
        <v>1.4594060767422257</v>
      </c>
      <c r="CO94" s="4" t="e">
        <f t="shared" si="271"/>
        <v>#REF!</v>
      </c>
      <c r="CP94" s="4" t="e">
        <f t="shared" si="272"/>
        <v>#REF!</v>
      </c>
      <c r="CQ94" s="4" t="e">
        <f t="shared" si="273"/>
        <v>#REF!</v>
      </c>
      <c r="CR94" s="4">
        <f t="shared" ref="CR94:CR104" si="378">CM94</f>
        <v>1.4594060767422257</v>
      </c>
      <c r="CS94" s="4" t="e">
        <f t="shared" si="275"/>
        <v>#REF!</v>
      </c>
      <c r="CT94" s="4" t="e">
        <f t="shared" si="276"/>
        <v>#REF!</v>
      </c>
      <c r="DB94" s="4">
        <f t="shared" si="232"/>
        <v>0</v>
      </c>
      <c r="DC94" s="4">
        <f t="shared" si="335"/>
        <v>381</v>
      </c>
      <c r="DD94" s="4" t="e">
        <f>#REF!/E94</f>
        <v>#REF!</v>
      </c>
      <c r="DF94" s="4">
        <f t="shared" si="336"/>
        <v>2.6015824312812745E-5</v>
      </c>
      <c r="DG94" s="4">
        <f t="shared" si="233"/>
        <v>6.4425559602163514</v>
      </c>
      <c r="DH94" s="4">
        <f t="shared" si="358"/>
        <v>0.3960514372704414</v>
      </c>
      <c r="DI94" s="4">
        <f t="shared" si="359"/>
        <v>4.4479391474826082</v>
      </c>
      <c r="DJ94" s="4">
        <f t="shared" si="360"/>
        <v>5.5361186564923655</v>
      </c>
      <c r="DK94" s="4">
        <f t="shared" si="337"/>
        <v>5.841129843893162</v>
      </c>
      <c r="DL94" s="38" t="e">
        <f t="shared" si="338"/>
        <v>#REF!</v>
      </c>
      <c r="DM94" s="4" t="e">
        <f t="shared" si="361"/>
        <v>#REF!</v>
      </c>
      <c r="DN94" s="4">
        <f t="shared" si="362"/>
        <v>2.3874672772626644</v>
      </c>
      <c r="DO94" s="4">
        <f t="shared" si="363"/>
        <v>205.10902891481439</v>
      </c>
      <c r="DS94" s="4">
        <f t="shared" si="339"/>
        <v>0.85</v>
      </c>
      <c r="DT94" s="4">
        <f t="shared" si="340"/>
        <v>0.85000000000000009</v>
      </c>
      <c r="DU94" s="4">
        <f t="shared" si="341"/>
        <v>1</v>
      </c>
      <c r="DV94" s="4">
        <f t="shared" si="367"/>
        <v>0.85000000000000009</v>
      </c>
      <c r="DX94" s="4" t="e">
        <f t="shared" si="342"/>
        <v>#REF!</v>
      </c>
      <c r="DY94" s="25">
        <f t="shared" si="343"/>
        <v>202.29704102729465</v>
      </c>
      <c r="EA94" s="4">
        <f>DS94*DV94</f>
        <v>0.72250000000000003</v>
      </c>
      <c r="EB94" s="4">
        <f t="shared" si="309"/>
        <v>6.4425559602163514</v>
      </c>
      <c r="EC94" s="4">
        <f t="shared" si="344"/>
        <v>5.8091238582078786</v>
      </c>
      <c r="EE94" s="4">
        <f t="shared" si="345"/>
        <v>60.641668842471674</v>
      </c>
      <c r="EF94" s="4">
        <f t="shared" si="235"/>
        <v>2.3874672772626644</v>
      </c>
      <c r="EG94" s="4">
        <f t="shared" si="346"/>
        <v>0.11042655740559819</v>
      </c>
      <c r="EJ94" s="4">
        <f t="shared" si="368"/>
        <v>0.11042655740559819</v>
      </c>
      <c r="EK94" s="4">
        <f t="shared" si="347"/>
        <v>0.39539050123559077</v>
      </c>
      <c r="EL94" s="4">
        <f t="shared" si="237"/>
        <v>4.4449685471079112</v>
      </c>
      <c r="EM94" s="4">
        <f t="shared" si="369"/>
        <v>5.534927476770882</v>
      </c>
      <c r="EN94" s="4">
        <f t="shared" si="239"/>
        <v>225.10833115752831</v>
      </c>
      <c r="EO94" s="4">
        <f t="shared" si="240"/>
        <v>95.25</v>
      </c>
      <c r="EP94" s="4">
        <f t="shared" si="348"/>
        <v>2.6015824312812745E-5</v>
      </c>
      <c r="EQ94" s="4">
        <f t="shared" si="370"/>
        <v>5.8412777557424471</v>
      </c>
      <c r="ER94" s="4" t="e">
        <f t="shared" si="349"/>
        <v>#REF!</v>
      </c>
      <c r="ES94" s="4" t="e">
        <f t="shared" si="242"/>
        <v>#REF!</v>
      </c>
      <c r="ET94" s="4" t="e">
        <f t="shared" si="243"/>
        <v>#REF!</v>
      </c>
      <c r="EV94" s="4" t="e">
        <f t="shared" si="350"/>
        <v>#REF!</v>
      </c>
      <c r="FA94" s="23" t="e">
        <f t="shared" si="277"/>
        <v>#REF!</v>
      </c>
      <c r="FB94" s="23" t="e">
        <f t="shared" si="278"/>
        <v>#REF!</v>
      </c>
      <c r="FC94" s="23">
        <f t="shared" si="290"/>
        <v>1.6</v>
      </c>
      <c r="FD94" s="23" t="e">
        <f t="shared" si="279"/>
        <v>#REF!</v>
      </c>
      <c r="FE94" s="23" t="e">
        <f t="shared" si="280"/>
        <v>#REF!</v>
      </c>
      <c r="FF94" s="23" t="e">
        <f t="shared" si="281"/>
        <v>#REF!</v>
      </c>
      <c r="FG94" s="23" t="e">
        <f t="shared" si="282"/>
        <v>#REF!</v>
      </c>
      <c r="FH94" s="23"/>
      <c r="FR94" s="4">
        <f t="shared" si="351"/>
        <v>1</v>
      </c>
      <c r="FS94" s="4">
        <f t="shared" si="352"/>
        <v>1.0833333333333333</v>
      </c>
      <c r="FT94" s="4">
        <f t="shared" si="353"/>
        <v>0</v>
      </c>
      <c r="FU94" s="4">
        <f t="shared" si="354"/>
        <v>311.77066290944771</v>
      </c>
    </row>
    <row r="95" spans="1:178" ht="12" customHeight="1" x14ac:dyDescent="0.3">
      <c r="A95" s="4">
        <v>2</v>
      </c>
      <c r="B95" s="24" t="s">
        <v>611</v>
      </c>
      <c r="C95" s="7" t="s">
        <v>612</v>
      </c>
      <c r="D95" s="38">
        <f>129/0.145</f>
        <v>889.65517241379314</v>
      </c>
      <c r="E95" s="38">
        <f>9*25.4</f>
        <v>228.6</v>
      </c>
      <c r="F95" s="38">
        <f>5740/145</f>
        <v>39.586206896551722</v>
      </c>
      <c r="G95" s="38">
        <f>1*25.4</f>
        <v>25.4</v>
      </c>
      <c r="H95" s="38">
        <f>18*25.4</f>
        <v>457.2</v>
      </c>
      <c r="I95" s="38">
        <f>2.5*25.4</f>
        <v>63.5</v>
      </c>
      <c r="J95" s="7">
        <f t="shared" si="201"/>
        <v>50.8</v>
      </c>
      <c r="K95" s="7">
        <f t="shared" ref="K95:K104" si="379">(H95-L95*G95-2*I95)/(L95-1)</f>
        <v>279.39999999999998</v>
      </c>
      <c r="L95" s="38">
        <v>2</v>
      </c>
      <c r="M95" s="39">
        <f>2*25.4</f>
        <v>50.8</v>
      </c>
      <c r="N95" s="7">
        <f t="shared" ref="N95:N126" si="380">MIN(K95/G95/2+0.5, (M95+G95/2)/G95, I95/G95+0.5)</f>
        <v>2.5</v>
      </c>
      <c r="O95" s="7">
        <f t="shared" ref="O95:O104" si="381">I95/G95+0.5</f>
        <v>3</v>
      </c>
      <c r="P95" s="38">
        <v>4</v>
      </c>
      <c r="Q95" s="4">
        <f>P95</f>
        <v>4</v>
      </c>
      <c r="R95" s="4">
        <f t="shared" si="312"/>
        <v>5</v>
      </c>
      <c r="S95" s="7">
        <f t="shared" si="313"/>
        <v>56.796126628494655</v>
      </c>
      <c r="V95" s="38">
        <f>101.9/(PI()/4)/0.145*X104</f>
        <v>756.43445013829012</v>
      </c>
      <c r="W95" s="4" t="s">
        <v>654</v>
      </c>
      <c r="Y95" s="38"/>
      <c r="Z95" s="38"/>
      <c r="AA95" s="39">
        <v>1</v>
      </c>
      <c r="AB95" s="39"/>
      <c r="AC95" s="39"/>
      <c r="AD95" s="7"/>
      <c r="AE95" s="4">
        <f t="shared" si="364"/>
        <v>228.6</v>
      </c>
      <c r="AF95" s="44">
        <f t="shared" ref="AF95:AF104" si="382">MIN(H95)*(MIN(20*25.4-M95-0.5*G95,1.5*AE95)+M95+G95/2)/(3*E95)^2</f>
        <v>0.39506172839506176</v>
      </c>
      <c r="AG95" s="25">
        <f t="shared" si="314"/>
        <v>214.58480899223187</v>
      </c>
      <c r="AH95" s="4">
        <f t="shared" si="315"/>
        <v>0.75555555555555554</v>
      </c>
      <c r="AI95" s="4">
        <v>1.25</v>
      </c>
      <c r="AJ95" s="25">
        <f t="shared" si="355"/>
        <v>5</v>
      </c>
      <c r="AK95" s="38">
        <f t="shared" si="205"/>
        <v>400.32282610347784</v>
      </c>
      <c r="AL95" s="38">
        <f t="shared" si="356"/>
        <v>400.32282610347784</v>
      </c>
      <c r="AN95" s="38">
        <f t="shared" ref="AN95:AN104" si="383">AJ95* (F95^0.5/AE95^0.5)/(PI()/4*G95^2)/L95/0.72 *(0.7+(MIN(I95,M95)+0.5*G95)/5/E95) *(H95*MIN(M95+0.5*G95+1.5*E95,20*25.4))</f>
        <v>400.32282610347767</v>
      </c>
      <c r="AO95" s="38">
        <f t="shared" si="316"/>
        <v>1.0000000000000004</v>
      </c>
      <c r="AP95" s="38">
        <f t="shared" si="357"/>
        <v>1.0679656682185992</v>
      </c>
      <c r="AQ95" s="4">
        <f t="shared" si="228"/>
        <v>0</v>
      </c>
      <c r="AR95" s="4" t="e">
        <f>#REF!/G95*F95^0.5/0.19</f>
        <v>#REF!</v>
      </c>
      <c r="AS95" s="4">
        <f t="shared" si="317"/>
        <v>1.08</v>
      </c>
      <c r="AT95" s="38">
        <f t="shared" si="318"/>
        <v>427.53103448275863</v>
      </c>
      <c r="AU95" s="4">
        <f t="shared" si="319"/>
        <v>0.44000000000000006</v>
      </c>
      <c r="AV95" s="4" t="e">
        <f>AU95*D95*#REF!/(D95*G95/2.75/F95^0.5)</f>
        <v>#REF!</v>
      </c>
      <c r="AW95" s="4" t="e">
        <f t="shared" ref="AW95:AW104" si="384">AT95+AV95</f>
        <v>#REF!</v>
      </c>
      <c r="AY95" s="36">
        <f t="shared" si="320"/>
        <v>1.1000000000000001</v>
      </c>
      <c r="AZ95" s="36" t="e">
        <f>(1.6*#REF!+22)*AY95*F95^0.5</f>
        <v>#REF!</v>
      </c>
      <c r="BE95" s="4">
        <f t="shared" si="321"/>
        <v>63.5</v>
      </c>
      <c r="BF95" s="4">
        <f t="shared" si="322"/>
        <v>50.8</v>
      </c>
      <c r="BG95" s="4">
        <f t="shared" si="323"/>
        <v>63.5</v>
      </c>
      <c r="BH95" s="4">
        <f t="shared" si="324"/>
        <v>63.5</v>
      </c>
      <c r="BI95" s="4">
        <f t="shared" ref="BI95:BI104" si="385">MIN(1.25, 0.1*BG95/BF95+0.9)</f>
        <v>1.0250000000000001</v>
      </c>
      <c r="BJ95" s="25">
        <f t="shared" si="325"/>
        <v>2.5625000000000004</v>
      </c>
      <c r="BL95" s="4">
        <f t="shared" si="326"/>
        <v>63.5</v>
      </c>
      <c r="BP95" s="9"/>
      <c r="BR95" s="9"/>
      <c r="BS95" s="9"/>
      <c r="BT95" s="9">
        <f t="shared" si="327"/>
        <v>50.8</v>
      </c>
      <c r="BU95" s="9">
        <f t="shared" si="328"/>
        <v>139.69999999999999</v>
      </c>
      <c r="BV95" s="9">
        <f t="shared" si="329"/>
        <v>1.6459434193552143</v>
      </c>
      <c r="BW95" s="9">
        <v>0</v>
      </c>
      <c r="BX95" s="9">
        <f t="shared" si="330"/>
        <v>0</v>
      </c>
      <c r="BY95" s="9">
        <f t="shared" ref="BY95:BY104" si="386">MAX(0,BW95*(BX95-0.5/50))</f>
        <v>0</v>
      </c>
      <c r="BZ95" s="9">
        <f t="shared" si="331"/>
        <v>0.99524931562137331</v>
      </c>
      <c r="CA95" s="9">
        <f t="shared" si="332"/>
        <v>0.68</v>
      </c>
      <c r="CB95" s="9">
        <f t="shared" si="333"/>
        <v>1.490324324005301</v>
      </c>
      <c r="CC95" s="9">
        <f t="shared" si="334"/>
        <v>2.4529895138015334</v>
      </c>
      <c r="CD95" s="9">
        <v>1</v>
      </c>
      <c r="CE95" s="9" t="e">
        <f>4*CC95*#REF!+60*CC95</f>
        <v>#REF!</v>
      </c>
      <c r="CG95" s="4" t="e">
        <f t="shared" ref="CG95:CG104" si="387">V95/AR95</f>
        <v>#REF!</v>
      </c>
      <c r="CH95" s="4" t="e">
        <f t="shared" ref="CH95:CH104" si="388">V95/AW95</f>
        <v>#REF!</v>
      </c>
      <c r="CI95" s="4" t="e">
        <f t="shared" ref="CI95:CI104" si="389">V95/AZ95</f>
        <v>#REF!</v>
      </c>
      <c r="CJ95" s="4" t="e">
        <f t="shared" ref="CJ95:CJ104" si="390">V95/CE95</f>
        <v>#REF!</v>
      </c>
      <c r="CK95" s="4" t="e">
        <f t="shared" ref="CK95:CK104" si="391">V95/DL95</f>
        <v>#REF!</v>
      </c>
      <c r="CL95" s="4" t="e">
        <f t="shared" ref="CL95:CL104" si="392">V95/DX95</f>
        <v>#REF!</v>
      </c>
      <c r="CM95" s="4">
        <f t="shared" ref="CM95:CM104" si="393">V95/FU95</f>
        <v>1.6801577724580639</v>
      </c>
      <c r="CO95" s="4" t="e">
        <f t="shared" ref="CO95:CO104" si="394">CG95</f>
        <v>#REF!</v>
      </c>
      <c r="CP95" s="4" t="e">
        <f t="shared" ref="CP95:CP104" si="395">CH95</f>
        <v>#REF!</v>
      </c>
      <c r="CQ95" s="4" t="e">
        <f t="shared" ref="CQ95:CQ104" si="396">CJ95</f>
        <v>#REF!</v>
      </c>
      <c r="CR95" s="4">
        <f t="shared" si="378"/>
        <v>1.6801577724580639</v>
      </c>
      <c r="CS95" s="4" t="e">
        <f t="shared" ref="CS95:CS104" si="397">CK95</f>
        <v>#REF!</v>
      </c>
      <c r="CT95" s="4" t="e">
        <f t="shared" ref="CT95:CT104" si="398">CL95</f>
        <v>#REF!</v>
      </c>
      <c r="DB95" s="4">
        <f t="shared" ref="DB95:DB104" si="399">Z95</f>
        <v>0</v>
      </c>
      <c r="DC95" s="4">
        <f t="shared" si="335"/>
        <v>228.6</v>
      </c>
      <c r="DD95" s="4" t="e">
        <f>#REF!/E95</f>
        <v>#REF!</v>
      </c>
      <c r="DF95" s="4">
        <f t="shared" si="336"/>
        <v>1.7165449536863499E-5</v>
      </c>
      <c r="DG95" s="4">
        <f t="shared" ref="DG95:DG104" si="400">EB95</f>
        <v>7.9495669385574006</v>
      </c>
      <c r="DH95" s="4">
        <f t="shared" si="358"/>
        <v>0.55871723432551368</v>
      </c>
      <c r="DI95" s="4">
        <f t="shared" si="359"/>
        <v>6.298255836540501</v>
      </c>
      <c r="DJ95" s="4">
        <f t="shared" si="360"/>
        <v>7.1716614786486721</v>
      </c>
      <c r="DK95" s="4">
        <f t="shared" si="337"/>
        <v>7.5685095187246061</v>
      </c>
      <c r="DL95" s="38" t="e">
        <f t="shared" si="338"/>
        <v>#REF!</v>
      </c>
      <c r="DM95" s="4" t="e">
        <f t="shared" si="361"/>
        <v>#REF!</v>
      </c>
      <c r="DN95" s="4">
        <f t="shared" si="362"/>
        <v>2.2360679774997898</v>
      </c>
      <c r="DO95" s="4">
        <f t="shared" si="363"/>
        <v>400.32282610347767</v>
      </c>
      <c r="DS95" s="4">
        <f t="shared" si="339"/>
        <v>0.85</v>
      </c>
      <c r="DT95" s="4">
        <f t="shared" si="340"/>
        <v>0.85</v>
      </c>
      <c r="DU95" s="4">
        <f t="shared" si="341"/>
        <v>1</v>
      </c>
      <c r="DV95" s="4">
        <f t="shared" ref="DV95:DV104" si="401">IF(DT95*DU95&lt;0.7,0.7,DT95*DU95)</f>
        <v>0.85</v>
      </c>
      <c r="DX95" s="4" t="e">
        <f t="shared" si="342"/>
        <v>#REF!</v>
      </c>
      <c r="DY95" s="25">
        <f t="shared" ref="DY95:DY104" si="402">8.8*H95*(20*25.4)*F95^0.5/L95/G95^2/E95^0.5*(0.7+MIN(M95,I95)/5/E95)</f>
        <v>490.70592578068914</v>
      </c>
      <c r="EA95" s="4">
        <f>DS95*DV95</f>
        <v>0.72249999999999992</v>
      </c>
      <c r="EB95" s="4">
        <f t="shared" si="309"/>
        <v>7.9495669385574006</v>
      </c>
      <c r="EC95" s="4">
        <f t="shared" si="344"/>
        <v>5.8871511659354159</v>
      </c>
      <c r="EE95" s="4">
        <f t="shared" si="345"/>
        <v>56.796126628494655</v>
      </c>
      <c r="EF95" s="4">
        <f t="shared" ref="EF95:EF104" si="403">R95^0.5</f>
        <v>2.2360679774997898</v>
      </c>
      <c r="EG95" s="4">
        <f t="shared" si="346"/>
        <v>0.1922203122479216</v>
      </c>
      <c r="EJ95" s="4">
        <f t="shared" ref="EJ95:EJ104" si="404">EG95</f>
        <v>0.1922203122479216</v>
      </c>
      <c r="EK95" s="4">
        <f t="shared" si="347"/>
        <v>0.55778483939216139</v>
      </c>
      <c r="EL95" s="4">
        <f t="shared" ref="EL95:EL104" si="405">EB95/1*EK95^0.4</f>
        <v>6.2940494837718139</v>
      </c>
      <c r="EM95" s="4">
        <f t="shared" ref="EM95:EM104" si="406">EB95/1.4*(1-EK95^1.4)/(1-EK95)</f>
        <v>7.1698155001937067</v>
      </c>
      <c r="EN95" s="4">
        <f t="shared" ref="EN95:EN104" si="407">MAX(0,DC95*EN$9-EE95)</f>
        <v>114.65387337150534</v>
      </c>
      <c r="EO95" s="4">
        <f t="shared" ref="EO95:EO104" si="408">MAX(0,DC95-EE95-EN95)</f>
        <v>57.150000000000006</v>
      </c>
      <c r="EP95" s="4">
        <f t="shared" si="348"/>
        <v>1.7165449536863506E-5</v>
      </c>
      <c r="EQ95" s="4">
        <f t="shared" ref="EQ95:EQ104" si="409">MAX(0.5*EB95, (1-2*EP95*(EE95*EL95+EN95*EM95))/(1/EB95+EP95*EO95))</f>
        <v>7.5686315302667664</v>
      </c>
      <c r="ER95" s="4" t="e">
        <f t="shared" si="349"/>
        <v>#REF!</v>
      </c>
      <c r="ES95" s="4" t="e">
        <f t="shared" ref="ES95:ES104" si="410">IF(DD95&lt;=EN$9, MAX(0,DC95*DD95-EE95), MAX(0,DC95*EN$9-EE95))</f>
        <v>#REF!</v>
      </c>
      <c r="ET95" s="4" t="e">
        <f t="shared" ref="ET95:ET104" si="411">MAX(0, DC95*DD95-ES95-EE95)</f>
        <v>#REF!</v>
      </c>
      <c r="EV95" s="4" t="e">
        <f t="shared" si="350"/>
        <v>#REF!</v>
      </c>
      <c r="FA95" s="23" t="e">
        <f t="shared" ref="FA95:FA104" si="412">IF(CG95&lt;0.6,0.6,IF(CG95&lt;0.8,0.8,IF(CG95&lt;1,1,IF(CG95&lt;1.2,1.2,IF(CG95&lt;1.4,1.4,IF(CG95&lt;1.6,1.6,IF(CG95&lt;1.8,1.8,IF(CG95&lt;2,2,2.2))))))))</f>
        <v>#REF!</v>
      </c>
      <c r="FB95" s="23" t="e">
        <f t="shared" ref="FB95:FB104" si="413">IF(CH95&lt;0.6,0.6,IF(CH95&lt;0.8,0.8,IF(CH95&lt;1,1,IF(CH95&lt;1.2,1.2,IF(CH95&lt;1.4,1.4,IF(CH95&lt;1.6,1.6,IF(CH95&lt;1.8,1.8,IF(CH95&lt;2,2,2.2))))))))</f>
        <v>#REF!</v>
      </c>
      <c r="FC95" s="23">
        <f t="shared" si="290"/>
        <v>1.8</v>
      </c>
      <c r="FD95" s="23" t="e">
        <f t="shared" ref="FD95:FD104" si="414">IF(CJ95&lt;0.6,0.6,IF(CJ95&lt;0.8,0.8,IF(CJ95&lt;1,1,IF(CJ95&lt;1.2,1.2,IF(CJ95&lt;1.4,1.4,IF(CJ95&lt;1.6,1.6,IF(CJ95&lt;1.8,1.8,IF(CJ95&lt;2,2,2.2))))))))</f>
        <v>#REF!</v>
      </c>
      <c r="FE95" s="23" t="e">
        <f t="shared" ref="FE95:FE104" si="415">IF(CK95&lt;0.6,0.6,IF(CK95&lt;0.8,0.8,IF(CK95&lt;1,1,IF(CK95&lt;1.2,1.2,IF(CK95&lt;1.4,1.4,IF(CK95&lt;1.6,1.6,IF(CK95&lt;1.8,1.8,IF(CK95&lt;2,2,2.2))))))))</f>
        <v>#REF!</v>
      </c>
      <c r="FF95" s="23" t="e">
        <f t="shared" ref="FF95:FF104" si="416">IF(CL95&lt;0.6,0.6,IF(CL95&lt;0.8,0.8,IF(CL95&lt;1,1,IF(CL95&lt;1.2,1.2,IF(CL95&lt;1.4,1.4,IF(CL95&lt;1.6,1.6,IF(CL95&lt;1.8,1.8,IF(CL95&lt;2,2,2.2))))))))</f>
        <v>#REF!</v>
      </c>
      <c r="FG95" s="23" t="e">
        <f t="shared" ref="FG95:FG104" si="417">IF(FE95&lt;1,1,0)</f>
        <v>#REF!</v>
      </c>
      <c r="FH95" s="23"/>
      <c r="FR95" s="4">
        <f t="shared" si="351"/>
        <v>1</v>
      </c>
      <c r="FS95" s="4">
        <f t="shared" si="352"/>
        <v>0.5</v>
      </c>
      <c r="FT95" s="4">
        <f t="shared" si="353"/>
        <v>0</v>
      </c>
      <c r="FU95" s="4">
        <f t="shared" si="354"/>
        <v>450.21632047782612</v>
      </c>
      <c r="FV95" s="4">
        <f>FU95*510*0.145*2</f>
        <v>66586.993798670475</v>
      </c>
    </row>
    <row r="96" spans="1:178" ht="12" customHeight="1" x14ac:dyDescent="0.3">
      <c r="B96" s="4">
        <v>2016</v>
      </c>
      <c r="C96" s="7" t="s">
        <v>613</v>
      </c>
      <c r="D96" s="38">
        <f t="shared" ref="D96:D104" si="418">129/0.145</f>
        <v>889.65517241379314</v>
      </c>
      <c r="E96" s="38">
        <f>10.4*25.4</f>
        <v>264.15999999999997</v>
      </c>
      <c r="F96" s="38">
        <f>4490/145</f>
        <v>30.96551724137931</v>
      </c>
      <c r="G96" s="38">
        <f t="shared" ref="G96:G104" si="419">1*25.4</f>
        <v>25.4</v>
      </c>
      <c r="H96" s="38">
        <f>18.1*25.4</f>
        <v>459.74</v>
      </c>
      <c r="I96" s="38">
        <f t="shared" ref="I96:I104" si="420">2.5*25.4</f>
        <v>63.5</v>
      </c>
      <c r="J96" s="7">
        <f t="shared" si="201"/>
        <v>50.8</v>
      </c>
      <c r="K96" s="7">
        <f t="shared" si="379"/>
        <v>281.94</v>
      </c>
      <c r="L96" s="38">
        <v>2</v>
      </c>
      <c r="M96" s="39">
        <f t="shared" ref="M96:M104" si="421">2*25.4</f>
        <v>50.8</v>
      </c>
      <c r="N96" s="7">
        <f t="shared" si="380"/>
        <v>2.5</v>
      </c>
      <c r="O96" s="7">
        <f t="shared" si="381"/>
        <v>3</v>
      </c>
      <c r="P96" s="38">
        <v>4</v>
      </c>
      <c r="Q96" s="4">
        <f t="shared" ref="Q96:Q104" si="422">P96</f>
        <v>4</v>
      </c>
      <c r="R96" s="4">
        <f t="shared" si="312"/>
        <v>5</v>
      </c>
      <c r="S96" s="7">
        <f t="shared" si="313"/>
        <v>56.796126628494655</v>
      </c>
      <c r="T96" s="7"/>
      <c r="U96" s="7"/>
      <c r="V96" s="38">
        <f>105/(PI()/4)/0.145</f>
        <v>922.00104963580748</v>
      </c>
      <c r="W96" s="7"/>
      <c r="X96" s="7">
        <f>105/127</f>
        <v>0.82677165354330706</v>
      </c>
      <c r="Y96" s="7"/>
      <c r="Z96" s="7"/>
      <c r="AA96" s="39">
        <v>1</v>
      </c>
      <c r="AB96" s="7"/>
      <c r="AC96" s="7"/>
      <c r="AD96" s="7"/>
      <c r="AE96" s="4">
        <f t="shared" si="364"/>
        <v>264.15999999999997</v>
      </c>
      <c r="AF96" s="44">
        <f t="shared" si="382"/>
        <v>0.33654873438527289</v>
      </c>
      <c r="AG96" s="25">
        <f t="shared" si="314"/>
        <v>235.75040255705565</v>
      </c>
      <c r="AH96" s="4">
        <f t="shared" si="315"/>
        <v>0.74807692307692308</v>
      </c>
      <c r="AI96" s="4">
        <v>1.25</v>
      </c>
      <c r="AJ96" s="25">
        <f t="shared" si="355"/>
        <v>5</v>
      </c>
      <c r="AK96" s="38">
        <f t="shared" si="205"/>
        <v>370.95965563501107</v>
      </c>
      <c r="AL96" s="38">
        <f t="shared" si="356"/>
        <v>370.95965563501107</v>
      </c>
      <c r="AN96" s="38">
        <f t="shared" si="383"/>
        <v>370.95965563501068</v>
      </c>
      <c r="AO96" s="38">
        <f t="shared" si="316"/>
        <v>1.0000000000000011</v>
      </c>
      <c r="AP96" s="38">
        <f t="shared" si="357"/>
        <v>0.90152010097815527</v>
      </c>
      <c r="AQ96" s="4">
        <f t="shared" si="228"/>
        <v>1</v>
      </c>
      <c r="AR96" s="4" t="e">
        <f>#REF!/G96*F96^0.5/0.19</f>
        <v>#REF!</v>
      </c>
      <c r="AS96" s="4">
        <f t="shared" si="317"/>
        <v>1.08</v>
      </c>
      <c r="AT96" s="38">
        <f t="shared" si="318"/>
        <v>334.42758620689654</v>
      </c>
      <c r="AU96" s="4">
        <f t="shared" si="319"/>
        <v>0.44000000000000006</v>
      </c>
      <c r="AV96" s="4" t="e">
        <f>AU96*D96*#REF!/(D96*G96/2.75/F96^0.5)</f>
        <v>#REF!</v>
      </c>
      <c r="AW96" s="4" t="e">
        <f t="shared" si="384"/>
        <v>#REF!</v>
      </c>
      <c r="AY96" s="36">
        <f t="shared" si="320"/>
        <v>1.1000000000000001</v>
      </c>
      <c r="AZ96" s="36" t="e">
        <f>(1.6*#REF!+22)*AY96*F96^0.5</f>
        <v>#REF!</v>
      </c>
      <c r="BE96" s="4">
        <f t="shared" si="321"/>
        <v>63.5</v>
      </c>
      <c r="BF96" s="4">
        <f t="shared" si="322"/>
        <v>50.8</v>
      </c>
      <c r="BG96" s="4">
        <f t="shared" si="323"/>
        <v>63.5</v>
      </c>
      <c r="BH96" s="4">
        <f t="shared" si="324"/>
        <v>63.5</v>
      </c>
      <c r="BI96" s="4">
        <f t="shared" si="385"/>
        <v>1.0250000000000001</v>
      </c>
      <c r="BJ96" s="25">
        <f t="shared" si="325"/>
        <v>2.5625000000000004</v>
      </c>
      <c r="BL96" s="4">
        <f t="shared" si="326"/>
        <v>63.5</v>
      </c>
      <c r="BP96" s="9"/>
      <c r="BR96" s="9"/>
      <c r="BS96" s="9"/>
      <c r="BT96" s="9">
        <f t="shared" si="327"/>
        <v>50.8</v>
      </c>
      <c r="BU96" s="9">
        <f t="shared" si="328"/>
        <v>140.97</v>
      </c>
      <c r="BV96" s="9">
        <f t="shared" si="329"/>
        <v>1.6481792641469835</v>
      </c>
      <c r="BW96" s="9">
        <v>0</v>
      </c>
      <c r="BX96" s="9">
        <f t="shared" si="330"/>
        <v>0</v>
      </c>
      <c r="BY96" s="9">
        <f t="shared" si="386"/>
        <v>0</v>
      </c>
      <c r="BZ96" s="9">
        <f t="shared" si="331"/>
        <v>0.99524931562137331</v>
      </c>
      <c r="CA96" s="9">
        <f t="shared" si="332"/>
        <v>0.68</v>
      </c>
      <c r="CB96" s="9">
        <f t="shared" si="333"/>
        <v>1.3180989499545468</v>
      </c>
      <c r="CC96" s="9">
        <f t="shared" si="334"/>
        <v>2.1724633574089967</v>
      </c>
      <c r="CD96" s="9">
        <v>1</v>
      </c>
      <c r="CE96" s="9" t="e">
        <f>4*CC96*#REF!+60*CC96</f>
        <v>#REF!</v>
      </c>
      <c r="CG96" s="4" t="e">
        <f t="shared" si="387"/>
        <v>#REF!</v>
      </c>
      <c r="CH96" s="4" t="e">
        <f t="shared" si="388"/>
        <v>#REF!</v>
      </c>
      <c r="CI96" s="4" t="e">
        <f t="shared" si="389"/>
        <v>#REF!</v>
      </c>
      <c r="CJ96" s="4" t="e">
        <f t="shared" si="390"/>
        <v>#REF!</v>
      </c>
      <c r="CK96" s="4" t="e">
        <f t="shared" si="391"/>
        <v>#REF!</v>
      </c>
      <c r="CL96" s="4" t="e">
        <f t="shared" si="392"/>
        <v>#REF!</v>
      </c>
      <c r="CM96" s="4">
        <f t="shared" si="393"/>
        <v>1.8844548614240106</v>
      </c>
      <c r="CO96" s="4" t="e">
        <f t="shared" si="394"/>
        <v>#REF!</v>
      </c>
      <c r="CP96" s="4" t="e">
        <f t="shared" si="395"/>
        <v>#REF!</v>
      </c>
      <c r="CQ96" s="4" t="e">
        <f t="shared" si="396"/>
        <v>#REF!</v>
      </c>
      <c r="CR96" s="4">
        <f t="shared" si="378"/>
        <v>1.8844548614240106</v>
      </c>
      <c r="CS96" s="4" t="e">
        <f t="shared" si="397"/>
        <v>#REF!</v>
      </c>
      <c r="CT96" s="4" t="e">
        <f t="shared" si="398"/>
        <v>#REF!</v>
      </c>
      <c r="DB96" s="4">
        <f t="shared" si="399"/>
        <v>0</v>
      </c>
      <c r="DC96" s="4">
        <f t="shared" si="335"/>
        <v>264.15999999999997</v>
      </c>
      <c r="DD96" s="4" t="e">
        <f>#REF!/E96</f>
        <v>#REF!</v>
      </c>
      <c r="DF96" s="4">
        <f t="shared" si="336"/>
        <v>1.8699368483673423E-5</v>
      </c>
      <c r="DG96" s="4">
        <f t="shared" si="400"/>
        <v>7.0308963394927586</v>
      </c>
      <c r="DH96" s="4">
        <f t="shared" si="358"/>
        <v>0.66187190263897755</v>
      </c>
      <c r="DI96" s="4">
        <f t="shared" si="359"/>
        <v>5.9610158002057858</v>
      </c>
      <c r="DJ96" s="4">
        <f t="shared" si="360"/>
        <v>6.5179597703410481</v>
      </c>
      <c r="DK96" s="4">
        <f t="shared" si="337"/>
        <v>6.6419918127671052</v>
      </c>
      <c r="DL96" s="38" t="e">
        <f t="shared" si="338"/>
        <v>#REF!</v>
      </c>
      <c r="DM96" s="4" t="e">
        <f t="shared" si="361"/>
        <v>#REF!</v>
      </c>
      <c r="DN96" s="4">
        <f t="shared" si="362"/>
        <v>2.2360679774997898</v>
      </c>
      <c r="DO96" s="4">
        <f t="shared" si="363"/>
        <v>370.95965563501068</v>
      </c>
      <c r="DS96" s="4">
        <f t="shared" si="339"/>
        <v>0.85</v>
      </c>
      <c r="DT96" s="4">
        <f t="shared" si="340"/>
        <v>0.85</v>
      </c>
      <c r="DU96" s="4">
        <f t="shared" si="341"/>
        <v>1</v>
      </c>
      <c r="DV96" s="4">
        <f t="shared" si="401"/>
        <v>0.85</v>
      </c>
      <c r="DX96" s="4" t="e">
        <f t="shared" si="342"/>
        <v>#REF!</v>
      </c>
      <c r="DY96" s="25">
        <f t="shared" si="402"/>
        <v>402.71218386346197</v>
      </c>
      <c r="EA96" s="4">
        <f t="shared" ref="EA96:EA104" si="423">DS96*DV96</f>
        <v>0.72249999999999992</v>
      </c>
      <c r="EB96" s="4">
        <f t="shared" si="309"/>
        <v>7.0308963394927586</v>
      </c>
      <c r="EC96" s="4">
        <f t="shared" si="344"/>
        <v>5.2068181704156071</v>
      </c>
      <c r="EE96" s="4">
        <f t="shared" si="345"/>
        <v>56.796126628494655</v>
      </c>
      <c r="EF96" s="4">
        <f t="shared" si="403"/>
        <v>2.2360679774997898</v>
      </c>
      <c r="EG96" s="4">
        <f t="shared" si="346"/>
        <v>0.20139485887514993</v>
      </c>
      <c r="EJ96" s="4">
        <f t="shared" si="404"/>
        <v>0.20139485887514993</v>
      </c>
      <c r="EK96" s="4">
        <f t="shared" si="347"/>
        <v>0.66076736178962692</v>
      </c>
      <c r="EL96" s="4">
        <f t="shared" si="405"/>
        <v>5.9570346765477238</v>
      </c>
      <c r="EM96" s="4">
        <f t="shared" si="406"/>
        <v>6.5161398816101084</v>
      </c>
      <c r="EN96" s="4">
        <f t="shared" si="407"/>
        <v>141.32387337150533</v>
      </c>
      <c r="EO96" s="4">
        <f t="shared" si="408"/>
        <v>66.039999999999992</v>
      </c>
      <c r="EP96" s="4">
        <f t="shared" si="348"/>
        <v>1.8699368483673423E-5</v>
      </c>
      <c r="EQ96" s="4">
        <f t="shared" si="409"/>
        <v>6.642117802584564</v>
      </c>
      <c r="ER96" s="4" t="e">
        <f t="shared" si="349"/>
        <v>#REF!</v>
      </c>
      <c r="ES96" s="4" t="e">
        <f t="shared" si="410"/>
        <v>#REF!</v>
      </c>
      <c r="ET96" s="4" t="e">
        <f t="shared" si="411"/>
        <v>#REF!</v>
      </c>
      <c r="EV96" s="4" t="e">
        <f t="shared" si="350"/>
        <v>#REF!</v>
      </c>
      <c r="FA96" s="23" t="e">
        <f t="shared" si="412"/>
        <v>#REF!</v>
      </c>
      <c r="FB96" s="23" t="e">
        <f t="shared" si="413"/>
        <v>#REF!</v>
      </c>
      <c r="FC96" s="23">
        <f t="shared" si="290"/>
        <v>2</v>
      </c>
      <c r="FD96" s="23" t="e">
        <f t="shared" si="414"/>
        <v>#REF!</v>
      </c>
      <c r="FE96" s="23" t="e">
        <f t="shared" si="415"/>
        <v>#REF!</v>
      </c>
      <c r="FF96" s="23" t="e">
        <f t="shared" si="416"/>
        <v>#REF!</v>
      </c>
      <c r="FG96" s="23" t="e">
        <f t="shared" si="417"/>
        <v>#REF!</v>
      </c>
      <c r="FH96" s="23"/>
      <c r="FR96" s="4">
        <f t="shared" si="351"/>
        <v>1</v>
      </c>
      <c r="FS96" s="4">
        <f t="shared" si="352"/>
        <v>0.5</v>
      </c>
      <c r="FT96" s="4">
        <f t="shared" si="353"/>
        <v>0</v>
      </c>
      <c r="FU96" s="4">
        <f t="shared" si="354"/>
        <v>489.26672031777213</v>
      </c>
    </row>
    <row r="97" spans="1:177" ht="12" customHeight="1" x14ac:dyDescent="0.3">
      <c r="B97" s="24" t="s">
        <v>610</v>
      </c>
      <c r="C97" s="7" t="s">
        <v>614</v>
      </c>
      <c r="D97" s="38">
        <f t="shared" si="418"/>
        <v>889.65517241379314</v>
      </c>
      <c r="E97" s="38">
        <f>9*25.4</f>
        <v>228.6</v>
      </c>
      <c r="F97" s="38">
        <f>5800/145</f>
        <v>40</v>
      </c>
      <c r="G97" s="38">
        <f t="shared" si="419"/>
        <v>25.4</v>
      </c>
      <c r="H97" s="38">
        <f>18.3*25.4</f>
        <v>464.82</v>
      </c>
      <c r="I97" s="38">
        <f t="shared" si="420"/>
        <v>63.5</v>
      </c>
      <c r="J97" s="7">
        <f t="shared" si="201"/>
        <v>50.8</v>
      </c>
      <c r="K97" s="7">
        <f t="shared" si="379"/>
        <v>130.81</v>
      </c>
      <c r="L97" s="38">
        <v>3</v>
      </c>
      <c r="M97" s="39">
        <f t="shared" si="421"/>
        <v>50.8</v>
      </c>
      <c r="N97" s="7">
        <f t="shared" si="380"/>
        <v>2.5</v>
      </c>
      <c r="O97" s="7">
        <f t="shared" si="381"/>
        <v>3</v>
      </c>
      <c r="P97" s="38">
        <v>4</v>
      </c>
      <c r="Q97" s="4">
        <f t="shared" si="422"/>
        <v>4</v>
      </c>
      <c r="R97" s="4">
        <f t="shared" si="312"/>
        <v>5</v>
      </c>
      <c r="S97" s="7">
        <f t="shared" si="313"/>
        <v>56.796126628494655</v>
      </c>
      <c r="T97" s="7"/>
      <c r="U97" s="7"/>
      <c r="V97" s="38">
        <f>109/(PI()/4)/0.145*X104</f>
        <v>809.13989268963303</v>
      </c>
      <c r="W97" s="7" t="s">
        <v>654</v>
      </c>
      <c r="X97" s="7"/>
      <c r="Y97" s="7"/>
      <c r="Z97" s="7"/>
      <c r="AA97" s="39">
        <v>1</v>
      </c>
      <c r="AB97" s="7"/>
      <c r="AC97" s="7"/>
      <c r="AD97" s="7"/>
      <c r="AE97" s="4">
        <f t="shared" si="364"/>
        <v>228.6</v>
      </c>
      <c r="AF97" s="44">
        <f t="shared" si="382"/>
        <v>0.40164609053497946</v>
      </c>
      <c r="AG97" s="25">
        <f t="shared" si="314"/>
        <v>143.80227786159796</v>
      </c>
      <c r="AH97" s="4">
        <f t="shared" si="315"/>
        <v>0.75555555555555554</v>
      </c>
      <c r="AI97" s="4">
        <v>1.25</v>
      </c>
      <c r="AJ97" s="25">
        <f t="shared" si="355"/>
        <v>5</v>
      </c>
      <c r="AK97" s="38">
        <f t="shared" si="205"/>
        <v>272.7443294786961</v>
      </c>
      <c r="AL97" s="38">
        <f t="shared" si="356"/>
        <v>272.7443294786961</v>
      </c>
      <c r="AN97" s="38">
        <f t="shared" si="383"/>
        <v>272.74432947869599</v>
      </c>
      <c r="AO97" s="38">
        <f t="shared" si="316"/>
        <v>1.0000000000000004</v>
      </c>
      <c r="AP97" s="38">
        <f t="shared" si="357"/>
        <v>1.5839009405830504</v>
      </c>
      <c r="AQ97" s="4">
        <f t="shared" si="228"/>
        <v>0</v>
      </c>
      <c r="AR97" s="4" t="e">
        <f>#REF!/G97*F97^0.5/0.19</f>
        <v>#REF!</v>
      </c>
      <c r="AS97" s="4">
        <f t="shared" si="317"/>
        <v>1.08</v>
      </c>
      <c r="AT97" s="38">
        <f t="shared" si="318"/>
        <v>432</v>
      </c>
      <c r="AU97" s="4">
        <f t="shared" si="319"/>
        <v>0.44000000000000006</v>
      </c>
      <c r="AV97" s="4" t="e">
        <f>AU97*D97*#REF!/(D97*G97/2.75/F97^0.5)</f>
        <v>#REF!</v>
      </c>
      <c r="AW97" s="4" t="e">
        <f t="shared" si="384"/>
        <v>#REF!</v>
      </c>
      <c r="AY97" s="36">
        <f t="shared" si="320"/>
        <v>1.1000000000000001</v>
      </c>
      <c r="AZ97" s="36" t="e">
        <f>(1.6*#REF!+22)*AY97*F97^0.5</f>
        <v>#REF!</v>
      </c>
      <c r="BE97" s="4">
        <f t="shared" si="321"/>
        <v>63.5</v>
      </c>
      <c r="BF97" s="4">
        <f t="shared" si="322"/>
        <v>50.8</v>
      </c>
      <c r="BG97" s="4">
        <f t="shared" si="323"/>
        <v>63.5</v>
      </c>
      <c r="BH97" s="4">
        <f t="shared" si="324"/>
        <v>63.5</v>
      </c>
      <c r="BI97" s="4">
        <f t="shared" si="385"/>
        <v>1.0250000000000001</v>
      </c>
      <c r="BJ97" s="25">
        <f t="shared" si="325"/>
        <v>2.5625000000000004</v>
      </c>
      <c r="BL97" s="4">
        <f t="shared" si="326"/>
        <v>63.5</v>
      </c>
      <c r="BP97" s="9"/>
      <c r="BR97" s="9"/>
      <c r="BS97" s="9"/>
      <c r="BT97" s="9">
        <f t="shared" si="327"/>
        <v>50.8</v>
      </c>
      <c r="BU97" s="9">
        <f t="shared" si="328"/>
        <v>65.405000000000001</v>
      </c>
      <c r="BV97" s="9">
        <f t="shared" si="329"/>
        <v>1.4688487685376905</v>
      </c>
      <c r="BW97" s="9">
        <v>0</v>
      </c>
      <c r="BX97" s="9">
        <f t="shared" si="330"/>
        <v>0</v>
      </c>
      <c r="BY97" s="9">
        <f t="shared" si="386"/>
        <v>0</v>
      </c>
      <c r="BZ97" s="9">
        <f t="shared" si="331"/>
        <v>0.99524931562137331</v>
      </c>
      <c r="CA97" s="9">
        <f t="shared" si="332"/>
        <v>0.68</v>
      </c>
      <c r="CB97" s="9">
        <f t="shared" si="333"/>
        <v>1.4980932262935727</v>
      </c>
      <c r="CC97" s="9">
        <f t="shared" si="334"/>
        <v>2.2004723905959698</v>
      </c>
      <c r="CD97" s="9">
        <v>1</v>
      </c>
      <c r="CE97" s="9" t="e">
        <f>4*CC97*#REF!+60*CC97</f>
        <v>#REF!</v>
      </c>
      <c r="CG97" s="4" t="e">
        <f t="shared" si="387"/>
        <v>#REF!</v>
      </c>
      <c r="CH97" s="4" t="e">
        <f t="shared" si="388"/>
        <v>#REF!</v>
      </c>
      <c r="CI97" s="4" t="e">
        <f t="shared" si="389"/>
        <v>#REF!</v>
      </c>
      <c r="CJ97" s="4" t="e">
        <f t="shared" si="390"/>
        <v>#REF!</v>
      </c>
      <c r="CK97" s="4" t="e">
        <f t="shared" si="391"/>
        <v>#REF!</v>
      </c>
      <c r="CL97" s="4" t="e">
        <f t="shared" si="392"/>
        <v>#REF!</v>
      </c>
      <c r="CM97" s="4">
        <f t="shared" si="393"/>
        <v>2.3452641252972923</v>
      </c>
      <c r="CO97" s="4" t="e">
        <f t="shared" si="394"/>
        <v>#REF!</v>
      </c>
      <c r="CP97" s="4" t="e">
        <f t="shared" si="395"/>
        <v>#REF!</v>
      </c>
      <c r="CQ97" s="4" t="e">
        <f t="shared" si="396"/>
        <v>#REF!</v>
      </c>
      <c r="CR97" s="4">
        <f t="shared" si="378"/>
        <v>2.3452641252972923</v>
      </c>
      <c r="CS97" s="4" t="e">
        <f t="shared" si="397"/>
        <v>#REF!</v>
      </c>
      <c r="CT97" s="4" t="e">
        <f t="shared" si="398"/>
        <v>#REF!</v>
      </c>
      <c r="DB97" s="4">
        <f t="shared" si="399"/>
        <v>0</v>
      </c>
      <c r="DC97" s="4">
        <f t="shared" si="335"/>
        <v>228.6</v>
      </c>
      <c r="DD97" s="4" t="e">
        <f>#REF!/E97</f>
        <v>#REF!</v>
      </c>
      <c r="DF97" s="4">
        <f t="shared" si="336"/>
        <v>1.7212629905715879E-5</v>
      </c>
      <c r="DG97" s="4">
        <f t="shared" si="400"/>
        <v>7.9910071860155822</v>
      </c>
      <c r="DH97" s="4">
        <f t="shared" si="358"/>
        <v>0.37672231211760421</v>
      </c>
      <c r="DI97" s="4">
        <f t="shared" si="359"/>
        <v>5.4076684710303295</v>
      </c>
      <c r="DJ97" s="4">
        <f t="shared" si="360"/>
        <v>6.8231658126479218</v>
      </c>
      <c r="DK97" s="4">
        <f t="shared" si="337"/>
        <v>7.6313231741846339</v>
      </c>
      <c r="DL97" s="38" t="e">
        <f t="shared" si="338"/>
        <v>#REF!</v>
      </c>
      <c r="DM97" s="4" t="e">
        <f t="shared" si="361"/>
        <v>#REF!</v>
      </c>
      <c r="DN97" s="4">
        <f t="shared" si="362"/>
        <v>2.2360679774997898</v>
      </c>
      <c r="DO97" s="4">
        <f t="shared" si="363"/>
        <v>272.74432947869599</v>
      </c>
      <c r="DS97" s="4">
        <f t="shared" si="339"/>
        <v>0.85</v>
      </c>
      <c r="DT97" s="4">
        <f t="shared" si="340"/>
        <v>0.85</v>
      </c>
      <c r="DU97" s="4">
        <f t="shared" si="341"/>
        <v>1</v>
      </c>
      <c r="DV97" s="4">
        <f t="shared" si="401"/>
        <v>0.85</v>
      </c>
      <c r="DX97" s="4" t="e">
        <f t="shared" si="342"/>
        <v>#REF!</v>
      </c>
      <c r="DY97" s="25">
        <f t="shared" si="402"/>
        <v>334.32332600410302</v>
      </c>
      <c r="EA97" s="4">
        <f t="shared" si="423"/>
        <v>0.72249999999999992</v>
      </c>
      <c r="EB97" s="4">
        <f t="shared" si="309"/>
        <v>7.9910071860155822</v>
      </c>
      <c r="EC97" s="4">
        <f t="shared" si="344"/>
        <v>5.9178402591936647</v>
      </c>
      <c r="EE97" s="4">
        <f t="shared" si="345"/>
        <v>56.796126628494655</v>
      </c>
      <c r="EF97" s="4">
        <f t="shared" si="403"/>
        <v>2.2360679774997898</v>
      </c>
      <c r="EG97" s="4">
        <f t="shared" si="346"/>
        <v>0.13028265607914691</v>
      </c>
      <c r="EJ97" s="4">
        <f t="shared" si="404"/>
        <v>0.13028265607914691</v>
      </c>
      <c r="EK97" s="4">
        <f t="shared" si="347"/>
        <v>0.37609363279017455</v>
      </c>
      <c r="EL97" s="4">
        <f t="shared" si="405"/>
        <v>5.4040569058866454</v>
      </c>
      <c r="EM97" s="4">
        <f t="shared" si="406"/>
        <v>6.8217376672849355</v>
      </c>
      <c r="EN97" s="4">
        <f t="shared" si="407"/>
        <v>114.65387337150534</v>
      </c>
      <c r="EO97" s="4">
        <f t="shared" si="408"/>
        <v>57.150000000000006</v>
      </c>
      <c r="EP97" s="4">
        <f t="shared" si="348"/>
        <v>1.7212629905715879E-5</v>
      </c>
      <c r="EQ97" s="4">
        <f t="shared" si="409"/>
        <v>7.6314238548367994</v>
      </c>
      <c r="ER97" s="4" t="e">
        <f t="shared" si="349"/>
        <v>#REF!</v>
      </c>
      <c r="ES97" s="4" t="e">
        <f t="shared" si="410"/>
        <v>#REF!</v>
      </c>
      <c r="ET97" s="4" t="e">
        <f t="shared" si="411"/>
        <v>#REF!</v>
      </c>
      <c r="EV97" s="4" t="e">
        <f t="shared" si="350"/>
        <v>#REF!</v>
      </c>
      <c r="FA97" s="23" t="e">
        <f t="shared" si="412"/>
        <v>#REF!</v>
      </c>
      <c r="FB97" s="23" t="e">
        <f t="shared" si="413"/>
        <v>#REF!</v>
      </c>
      <c r="FC97" s="23">
        <f t="shared" si="290"/>
        <v>2.2000000000000002</v>
      </c>
      <c r="FD97" s="23" t="e">
        <f t="shared" si="414"/>
        <v>#REF!</v>
      </c>
      <c r="FE97" s="23" t="e">
        <f t="shared" si="415"/>
        <v>#REF!</v>
      </c>
      <c r="FF97" s="23" t="e">
        <f t="shared" si="416"/>
        <v>#REF!</v>
      </c>
      <c r="FG97" s="23" t="e">
        <f t="shared" si="417"/>
        <v>#REF!</v>
      </c>
      <c r="FH97" s="23"/>
      <c r="FR97" s="4">
        <f t="shared" si="351"/>
        <v>1</v>
      </c>
      <c r="FS97" s="4">
        <f t="shared" si="352"/>
        <v>0.65416666666666656</v>
      </c>
      <c r="FT97" s="4">
        <f t="shared" si="353"/>
        <v>0</v>
      </c>
      <c r="FU97" s="4">
        <f t="shared" si="354"/>
        <v>345.01013508960921</v>
      </c>
    </row>
    <row r="98" spans="1:177" ht="12" customHeight="1" x14ac:dyDescent="0.3">
      <c r="B98" s="24"/>
      <c r="C98" s="7" t="s">
        <v>615</v>
      </c>
      <c r="D98" s="38">
        <f t="shared" si="418"/>
        <v>889.65517241379314</v>
      </c>
      <c r="E98" s="38">
        <f>11.4*25.4</f>
        <v>289.56</v>
      </c>
      <c r="F98" s="38">
        <f>5750/145</f>
        <v>39.655172413793103</v>
      </c>
      <c r="G98" s="38">
        <f t="shared" si="419"/>
        <v>25.4</v>
      </c>
      <c r="H98" s="38">
        <f>18*25.4</f>
        <v>457.2</v>
      </c>
      <c r="I98" s="38">
        <f t="shared" si="420"/>
        <v>63.5</v>
      </c>
      <c r="J98" s="7">
        <f t="shared" si="201"/>
        <v>50.8</v>
      </c>
      <c r="K98" s="7">
        <f t="shared" si="379"/>
        <v>127</v>
      </c>
      <c r="L98" s="38">
        <v>3</v>
      </c>
      <c r="M98" s="39">
        <f t="shared" si="421"/>
        <v>50.8</v>
      </c>
      <c r="N98" s="7">
        <f t="shared" si="380"/>
        <v>2.5</v>
      </c>
      <c r="O98" s="7">
        <f t="shared" si="381"/>
        <v>3</v>
      </c>
      <c r="P98" s="38">
        <v>4</v>
      </c>
      <c r="Q98" s="4">
        <f t="shared" si="422"/>
        <v>4</v>
      </c>
      <c r="R98" s="4">
        <f t="shared" si="312"/>
        <v>5</v>
      </c>
      <c r="S98" s="7">
        <f t="shared" si="313"/>
        <v>56.796126628494655</v>
      </c>
      <c r="T98" s="7"/>
      <c r="U98" s="7"/>
      <c r="V98" s="38">
        <f>84/(PI()/4)/0.145</f>
        <v>737.60083970864605</v>
      </c>
      <c r="W98" s="7"/>
      <c r="X98" s="7">
        <f>84/95</f>
        <v>0.88421052631578945</v>
      </c>
      <c r="Y98" s="7"/>
      <c r="Z98" s="7"/>
      <c r="AA98" s="39">
        <v>1</v>
      </c>
      <c r="AB98" s="7"/>
      <c r="AC98" s="7"/>
      <c r="AD98" s="7"/>
      <c r="AE98" s="4">
        <f t="shared" si="364"/>
        <v>289.56</v>
      </c>
      <c r="AF98" s="44">
        <f t="shared" si="382"/>
        <v>0.30163127116035704</v>
      </c>
      <c r="AG98" s="25">
        <f t="shared" si="314"/>
        <v>204.1170127612771</v>
      </c>
      <c r="AH98" s="4">
        <f t="shared" si="315"/>
        <v>0.743859649122807</v>
      </c>
      <c r="AI98" s="4">
        <v>1.25</v>
      </c>
      <c r="AJ98" s="25">
        <f t="shared" si="355"/>
        <v>5</v>
      </c>
      <c r="AK98" s="38">
        <f t="shared" si="205"/>
        <v>286.23753713209283</v>
      </c>
      <c r="AL98" s="38">
        <f t="shared" si="356"/>
        <v>286.23753713209283</v>
      </c>
      <c r="AN98" s="38">
        <f t="shared" si="383"/>
        <v>286.23753713209271</v>
      </c>
      <c r="AO98" s="38">
        <f t="shared" si="316"/>
        <v>1.0000000000000004</v>
      </c>
      <c r="AP98" s="38">
        <f t="shared" si="357"/>
        <v>1.4962253600977746</v>
      </c>
      <c r="AQ98" s="4">
        <f t="shared" si="228"/>
        <v>0</v>
      </c>
      <c r="AR98" s="4" t="e">
        <f>#REF!/G98*F98^0.5/0.19</f>
        <v>#REF!</v>
      </c>
      <c r="AS98" s="4">
        <f t="shared" si="317"/>
        <v>1.08</v>
      </c>
      <c r="AT98" s="38">
        <f t="shared" si="318"/>
        <v>428.27586206896558</v>
      </c>
      <c r="AU98" s="4">
        <f t="shared" si="319"/>
        <v>0.44000000000000006</v>
      </c>
      <c r="AV98" s="4" t="e">
        <f>AU98*D98*#REF!/(D98*G98/2.75/F98^0.5)</f>
        <v>#REF!</v>
      </c>
      <c r="AW98" s="4" t="e">
        <f t="shared" si="384"/>
        <v>#REF!</v>
      </c>
      <c r="AY98" s="36">
        <f t="shared" si="320"/>
        <v>1.1000000000000001</v>
      </c>
      <c r="AZ98" s="36" t="e">
        <f>(1.6*#REF!+22)*AY98*F98^0.5</f>
        <v>#REF!</v>
      </c>
      <c r="BE98" s="4">
        <f t="shared" si="321"/>
        <v>63.5</v>
      </c>
      <c r="BF98" s="4">
        <f t="shared" si="322"/>
        <v>50.8</v>
      </c>
      <c r="BG98" s="4">
        <f t="shared" si="323"/>
        <v>63.5</v>
      </c>
      <c r="BH98" s="4">
        <f t="shared" si="324"/>
        <v>63.5</v>
      </c>
      <c r="BI98" s="4">
        <f t="shared" si="385"/>
        <v>1.0250000000000001</v>
      </c>
      <c r="BJ98" s="25">
        <f t="shared" si="325"/>
        <v>2.5625000000000004</v>
      </c>
      <c r="BL98" s="4">
        <f t="shared" si="326"/>
        <v>63.5</v>
      </c>
      <c r="BP98" s="9"/>
      <c r="BR98" s="9"/>
      <c r="BS98" s="9"/>
      <c r="BT98" s="9">
        <f t="shared" si="327"/>
        <v>50.8</v>
      </c>
      <c r="BU98" s="9">
        <f t="shared" si="328"/>
        <v>63.5</v>
      </c>
      <c r="BV98" s="9">
        <f t="shared" si="329"/>
        <v>1.4623505735569622</v>
      </c>
      <c r="BW98" s="9">
        <v>0</v>
      </c>
      <c r="BX98" s="9">
        <f t="shared" si="330"/>
        <v>0</v>
      </c>
      <c r="BY98" s="9">
        <f t="shared" si="386"/>
        <v>0</v>
      </c>
      <c r="BZ98" s="9">
        <f t="shared" si="331"/>
        <v>0.99524931562137331</v>
      </c>
      <c r="CA98" s="9">
        <f t="shared" si="332"/>
        <v>0.68</v>
      </c>
      <c r="CB98" s="9">
        <f t="shared" si="333"/>
        <v>1.4916219510025528</v>
      </c>
      <c r="CC98" s="9">
        <f t="shared" si="334"/>
        <v>2.1812742155787381</v>
      </c>
      <c r="CD98" s="9">
        <v>1</v>
      </c>
      <c r="CE98" s="9" t="e">
        <f>4*CC98*#REF!+60*CC98</f>
        <v>#REF!</v>
      </c>
      <c r="CG98" s="4" t="e">
        <f t="shared" si="387"/>
        <v>#REF!</v>
      </c>
      <c r="CH98" s="4" t="e">
        <f t="shared" si="388"/>
        <v>#REF!</v>
      </c>
      <c r="CI98" s="4" t="e">
        <f t="shared" si="389"/>
        <v>#REF!</v>
      </c>
      <c r="CJ98" s="4" t="e">
        <f t="shared" si="390"/>
        <v>#REF!</v>
      </c>
      <c r="CK98" s="4" t="e">
        <f t="shared" si="391"/>
        <v>#REF!</v>
      </c>
      <c r="CL98" s="4" t="e">
        <f t="shared" si="392"/>
        <v>#REF!</v>
      </c>
      <c r="CM98" s="4">
        <f t="shared" si="393"/>
        <v>1.7238027723554292</v>
      </c>
      <c r="CO98" s="4" t="e">
        <f t="shared" si="394"/>
        <v>#REF!</v>
      </c>
      <c r="CP98" s="4" t="e">
        <f t="shared" si="395"/>
        <v>#REF!</v>
      </c>
      <c r="CQ98" s="4" t="e">
        <f t="shared" si="396"/>
        <v>#REF!</v>
      </c>
      <c r="CR98" s="4">
        <f t="shared" si="378"/>
        <v>1.7238027723554292</v>
      </c>
      <c r="CS98" s="4" t="e">
        <f t="shared" si="397"/>
        <v>#REF!</v>
      </c>
      <c r="CT98" s="4" t="e">
        <f t="shared" si="398"/>
        <v>#REF!</v>
      </c>
      <c r="DB98" s="4">
        <f t="shared" si="399"/>
        <v>0</v>
      </c>
      <c r="DC98" s="4">
        <f t="shared" si="335"/>
        <v>289.56</v>
      </c>
      <c r="DD98" s="4" t="e">
        <f>#REF!/E98</f>
        <v>#REF!</v>
      </c>
      <c r="DF98" s="4">
        <f t="shared" si="336"/>
        <v>2.1752861860978003E-5</v>
      </c>
      <c r="DG98" s="4">
        <f t="shared" si="400"/>
        <v>7.9564886350698822</v>
      </c>
      <c r="DH98" s="4">
        <f t="shared" si="358"/>
        <v>0.39879742745618391</v>
      </c>
      <c r="DI98" s="4">
        <f t="shared" si="359"/>
        <v>5.5083608891899196</v>
      </c>
      <c r="DJ98" s="4">
        <f t="shared" si="360"/>
        <v>6.84315159791183</v>
      </c>
      <c r="DK98" s="4">
        <f t="shared" si="337"/>
        <v>7.3758911635914579</v>
      </c>
      <c r="DL98" s="38" t="e">
        <f t="shared" si="338"/>
        <v>#REF!</v>
      </c>
      <c r="DM98" s="4" t="e">
        <f t="shared" si="361"/>
        <v>#REF!</v>
      </c>
      <c r="DN98" s="4">
        <f t="shared" si="362"/>
        <v>2.2360679774997898</v>
      </c>
      <c r="DO98" s="4">
        <f t="shared" si="363"/>
        <v>286.23753713209271</v>
      </c>
      <c r="DS98" s="4">
        <f t="shared" si="339"/>
        <v>0.85</v>
      </c>
      <c r="DT98" s="4">
        <f t="shared" si="340"/>
        <v>0.85</v>
      </c>
      <c r="DU98" s="4">
        <f t="shared" si="341"/>
        <v>1</v>
      </c>
      <c r="DV98" s="4">
        <f t="shared" si="401"/>
        <v>0.85</v>
      </c>
      <c r="DX98" s="4" t="e">
        <f t="shared" si="342"/>
        <v>#REF!</v>
      </c>
      <c r="DY98" s="25">
        <f t="shared" si="402"/>
        <v>287.26566635389725</v>
      </c>
      <c r="EA98" s="4">
        <f t="shared" si="423"/>
        <v>0.72249999999999992</v>
      </c>
      <c r="EB98" s="4">
        <f t="shared" si="309"/>
        <v>7.9564886350698822</v>
      </c>
      <c r="EC98" s="4">
        <f t="shared" si="344"/>
        <v>5.8922771148089401</v>
      </c>
      <c r="EE98" s="4">
        <f t="shared" si="345"/>
        <v>56.796126628494655</v>
      </c>
      <c r="EF98" s="4">
        <f t="shared" si="403"/>
        <v>2.2360679774997898</v>
      </c>
      <c r="EG98" s="4">
        <f t="shared" si="346"/>
        <v>0.13732118255662151</v>
      </c>
      <c r="EJ98" s="4">
        <f>EG98</f>
        <v>0.13732118255662151</v>
      </c>
      <c r="EK98" s="4">
        <f t="shared" si="347"/>
        <v>0.39813190887549621</v>
      </c>
      <c r="EL98" s="4">
        <f t="shared" si="405"/>
        <v>5.5046820756138262</v>
      </c>
      <c r="EM98" s="4">
        <f t="shared" si="406"/>
        <v>6.8416736129745388</v>
      </c>
      <c r="EN98" s="4">
        <f t="shared" si="407"/>
        <v>160.37387337150537</v>
      </c>
      <c r="EO98" s="4">
        <f t="shared" si="408"/>
        <v>72.389999999999986</v>
      </c>
      <c r="EP98" s="4">
        <f t="shared" si="348"/>
        <v>2.1752861860977999E-5</v>
      </c>
      <c r="EQ98" s="4">
        <f t="shared" si="409"/>
        <v>7.3760436280034343</v>
      </c>
      <c r="ER98" s="4" t="e">
        <f t="shared" si="349"/>
        <v>#REF!</v>
      </c>
      <c r="ES98" s="4" t="e">
        <f t="shared" si="410"/>
        <v>#REF!</v>
      </c>
      <c r="ET98" s="4" t="e">
        <f t="shared" si="411"/>
        <v>#REF!</v>
      </c>
      <c r="EV98" s="4" t="e">
        <f t="shared" si="350"/>
        <v>#REF!</v>
      </c>
      <c r="FA98" s="23" t="e">
        <f t="shared" si="412"/>
        <v>#REF!</v>
      </c>
      <c r="FB98" s="23" t="e">
        <f t="shared" si="413"/>
        <v>#REF!</v>
      </c>
      <c r="FC98" s="23">
        <f t="shared" si="290"/>
        <v>1.8</v>
      </c>
      <c r="FD98" s="23" t="e">
        <f t="shared" si="414"/>
        <v>#REF!</v>
      </c>
      <c r="FE98" s="23" t="e">
        <f t="shared" si="415"/>
        <v>#REF!</v>
      </c>
      <c r="FF98" s="23" t="e">
        <f t="shared" si="416"/>
        <v>#REF!</v>
      </c>
      <c r="FG98" s="23" t="e">
        <f t="shared" si="417"/>
        <v>#REF!</v>
      </c>
      <c r="FH98" s="23"/>
      <c r="FR98" s="4">
        <f t="shared" si="351"/>
        <v>1</v>
      </c>
      <c r="FS98" s="4">
        <f t="shared" si="352"/>
        <v>0.66666666666666652</v>
      </c>
      <c r="FT98" s="4">
        <f t="shared" si="353"/>
        <v>0</v>
      </c>
      <c r="FU98" s="4">
        <f t="shared" si="354"/>
        <v>427.89166576219014</v>
      </c>
    </row>
    <row r="99" spans="1:177" ht="12" customHeight="1" x14ac:dyDescent="0.3">
      <c r="B99" s="24"/>
      <c r="C99" s="7" t="s">
        <v>616</v>
      </c>
      <c r="D99" s="38">
        <f t="shared" si="418"/>
        <v>889.65517241379314</v>
      </c>
      <c r="E99" s="38">
        <f>14*25.4</f>
        <v>355.59999999999997</v>
      </c>
      <c r="F99" s="38">
        <f>5750/145</f>
        <v>39.655172413793103</v>
      </c>
      <c r="G99" s="38">
        <f t="shared" si="419"/>
        <v>25.4</v>
      </c>
      <c r="H99" s="38">
        <f>18.1*25.4</f>
        <v>459.74</v>
      </c>
      <c r="I99" s="38">
        <f t="shared" si="420"/>
        <v>63.5</v>
      </c>
      <c r="J99" s="7">
        <f t="shared" si="201"/>
        <v>50.8</v>
      </c>
      <c r="K99" s="7">
        <f t="shared" si="379"/>
        <v>128.27000000000001</v>
      </c>
      <c r="L99" s="38">
        <v>3</v>
      </c>
      <c r="M99" s="39">
        <f t="shared" si="421"/>
        <v>50.8</v>
      </c>
      <c r="N99" s="7">
        <f t="shared" si="380"/>
        <v>2.5</v>
      </c>
      <c r="O99" s="7">
        <f t="shared" si="381"/>
        <v>3</v>
      </c>
      <c r="P99" s="38">
        <v>4</v>
      </c>
      <c r="Q99" s="4">
        <f t="shared" si="422"/>
        <v>4</v>
      </c>
      <c r="R99" s="4">
        <f t="shared" si="312"/>
        <v>5</v>
      </c>
      <c r="S99" s="7">
        <f t="shared" si="313"/>
        <v>56.796126628494655</v>
      </c>
      <c r="T99" s="7"/>
      <c r="U99" s="7"/>
      <c r="V99" s="38">
        <f>121/(PI()/4)/0.145</f>
        <v>1062.4964476755497</v>
      </c>
      <c r="W99" s="7"/>
      <c r="X99" s="7">
        <f>102/121</f>
        <v>0.84297520661157022</v>
      </c>
      <c r="Y99" s="7"/>
      <c r="Z99" s="7"/>
      <c r="AA99" s="39">
        <v>1</v>
      </c>
      <c r="AB99" s="7"/>
      <c r="AC99" s="7"/>
      <c r="AD99" s="7"/>
      <c r="AE99" s="4">
        <f t="shared" si="364"/>
        <v>355.59999999999997</v>
      </c>
      <c r="AF99" s="44">
        <f t="shared" si="382"/>
        <v>0.20521541950113381</v>
      </c>
      <c r="AG99" s="25">
        <f t="shared" si="314"/>
        <v>277.78831941457963</v>
      </c>
      <c r="AH99" s="4">
        <f t="shared" si="315"/>
        <v>0.73571428571428565</v>
      </c>
      <c r="AI99" s="4">
        <v>1.25</v>
      </c>
      <c r="AJ99" s="25">
        <f t="shared" si="355"/>
        <v>5</v>
      </c>
      <c r="AK99" s="38">
        <f t="shared" si="205"/>
        <v>262.1278566795234</v>
      </c>
      <c r="AL99" s="38">
        <f t="shared" si="356"/>
        <v>262.1278566795234</v>
      </c>
      <c r="AN99" s="38">
        <f t="shared" si="383"/>
        <v>262.12785667952323</v>
      </c>
      <c r="AO99" s="38">
        <f t="shared" si="316"/>
        <v>1.0000000000000007</v>
      </c>
      <c r="AP99" s="38">
        <f t="shared" si="357"/>
        <v>1.6338433751151233</v>
      </c>
      <c r="AQ99" s="4">
        <f t="shared" si="228"/>
        <v>0</v>
      </c>
      <c r="AR99" s="4" t="e">
        <f>#REF!/G99*F99^0.5/0.19</f>
        <v>#REF!</v>
      </c>
      <c r="AS99" s="4">
        <f t="shared" si="317"/>
        <v>1.08</v>
      </c>
      <c r="AT99" s="38">
        <f t="shared" si="318"/>
        <v>428.27586206896558</v>
      </c>
      <c r="AU99" s="4">
        <f t="shared" si="319"/>
        <v>0.44000000000000006</v>
      </c>
      <c r="AV99" s="4" t="e">
        <f>AU99*D99*#REF!/(D99*G99/2.75/F99^0.5)</f>
        <v>#REF!</v>
      </c>
      <c r="AW99" s="4" t="e">
        <f t="shared" si="384"/>
        <v>#REF!</v>
      </c>
      <c r="AY99" s="36">
        <f t="shared" si="320"/>
        <v>1.1000000000000001</v>
      </c>
      <c r="AZ99" s="36" t="e">
        <f>(1.6*#REF!+22)*AY99*F99^0.5</f>
        <v>#REF!</v>
      </c>
      <c r="BE99" s="4">
        <f t="shared" si="321"/>
        <v>63.5</v>
      </c>
      <c r="BF99" s="4">
        <f t="shared" si="322"/>
        <v>50.8</v>
      </c>
      <c r="BG99" s="4">
        <f t="shared" si="323"/>
        <v>63.5</v>
      </c>
      <c r="BH99" s="4">
        <f t="shared" si="324"/>
        <v>63.5</v>
      </c>
      <c r="BI99" s="4">
        <f t="shared" si="385"/>
        <v>1.0250000000000001</v>
      </c>
      <c r="BJ99" s="25">
        <f t="shared" si="325"/>
        <v>2.5625000000000004</v>
      </c>
      <c r="BL99" s="4">
        <f t="shared" si="326"/>
        <v>63.5</v>
      </c>
      <c r="BP99" s="9"/>
      <c r="BR99" s="9"/>
      <c r="BS99" s="9"/>
      <c r="BT99" s="9">
        <f t="shared" si="327"/>
        <v>50.8</v>
      </c>
      <c r="BU99" s="9">
        <f t="shared" si="328"/>
        <v>64.135000000000005</v>
      </c>
      <c r="BV99" s="9">
        <f t="shared" si="329"/>
        <v>1.4645348340145701</v>
      </c>
      <c r="BW99" s="9">
        <v>0</v>
      </c>
      <c r="BX99" s="9">
        <f t="shared" si="330"/>
        <v>0</v>
      </c>
      <c r="BY99" s="9">
        <f t="shared" si="386"/>
        <v>0</v>
      </c>
      <c r="BZ99" s="9">
        <f t="shared" si="331"/>
        <v>0.99524931562137331</v>
      </c>
      <c r="CA99" s="9">
        <f t="shared" si="332"/>
        <v>0.68</v>
      </c>
      <c r="CB99" s="9">
        <f t="shared" si="333"/>
        <v>1.4916219510025528</v>
      </c>
      <c r="CC99" s="9">
        <f t="shared" si="334"/>
        <v>2.1845323064240127</v>
      </c>
      <c r="CD99" s="9">
        <v>1</v>
      </c>
      <c r="CE99" s="9" t="e">
        <f>4*CC99*#REF!+60*CC99</f>
        <v>#REF!</v>
      </c>
      <c r="CG99" s="4" t="e">
        <f t="shared" si="387"/>
        <v>#REF!</v>
      </c>
      <c r="CH99" s="4" t="e">
        <f t="shared" si="388"/>
        <v>#REF!</v>
      </c>
      <c r="CI99" s="4" t="e">
        <f t="shared" si="389"/>
        <v>#REF!</v>
      </c>
      <c r="CJ99" s="4" t="e">
        <f t="shared" si="390"/>
        <v>#REF!</v>
      </c>
      <c r="CK99" s="4" t="e">
        <f t="shared" si="391"/>
        <v>#REF!</v>
      </c>
      <c r="CL99" s="4" t="e">
        <f t="shared" si="392"/>
        <v>#REF!</v>
      </c>
      <c r="CM99" s="4">
        <f t="shared" si="393"/>
        <v>2.0093131033468623</v>
      </c>
      <c r="CO99" s="4" t="e">
        <f t="shared" si="394"/>
        <v>#REF!</v>
      </c>
      <c r="CP99" s="4" t="e">
        <f t="shared" si="395"/>
        <v>#REF!</v>
      </c>
      <c r="CQ99" s="4" t="e">
        <f t="shared" si="396"/>
        <v>#REF!</v>
      </c>
      <c r="CR99" s="4">
        <f t="shared" si="378"/>
        <v>2.0093131033468623</v>
      </c>
      <c r="CS99" s="4" t="e">
        <f t="shared" si="397"/>
        <v>#REF!</v>
      </c>
      <c r="CT99" s="4" t="e">
        <f t="shared" si="398"/>
        <v>#REF!</v>
      </c>
      <c r="DB99" s="4">
        <f t="shared" si="399"/>
        <v>0</v>
      </c>
      <c r="DC99" s="4">
        <f t="shared" si="335"/>
        <v>355.59999999999997</v>
      </c>
      <c r="DD99" s="4" t="e">
        <f>#REF!/E99</f>
        <v>#REF!</v>
      </c>
      <c r="DF99" s="4">
        <f t="shared" si="336"/>
        <v>2.6714040881902812E-5</v>
      </c>
      <c r="DG99" s="4">
        <f t="shared" si="400"/>
        <v>7.9564886350698822</v>
      </c>
      <c r="DH99" s="4">
        <f t="shared" si="358"/>
        <v>0.36520686963623494</v>
      </c>
      <c r="DI99" s="4">
        <f t="shared" si="359"/>
        <v>5.3178614973305693</v>
      </c>
      <c r="DJ99" s="4">
        <f t="shared" si="360"/>
        <v>6.767524272068445</v>
      </c>
      <c r="DK99" s="4">
        <f t="shared" si="337"/>
        <v>7.0902518106979704</v>
      </c>
      <c r="DL99" s="38" t="e">
        <f t="shared" si="338"/>
        <v>#REF!</v>
      </c>
      <c r="DM99" s="4" t="e">
        <f t="shared" si="361"/>
        <v>#REF!</v>
      </c>
      <c r="DN99" s="4">
        <f t="shared" si="362"/>
        <v>2.2360679774997898</v>
      </c>
      <c r="DO99" s="4">
        <f t="shared" si="363"/>
        <v>262.12785667952323</v>
      </c>
      <c r="DS99" s="4">
        <f t="shared" si="339"/>
        <v>0.85</v>
      </c>
      <c r="DT99" s="4">
        <f t="shared" si="340"/>
        <v>0.85</v>
      </c>
      <c r="DU99" s="4">
        <f t="shared" si="341"/>
        <v>1</v>
      </c>
      <c r="DV99" s="4">
        <f t="shared" si="401"/>
        <v>0.85</v>
      </c>
      <c r="DX99" s="4" t="e">
        <f t="shared" si="342"/>
        <v>#REF!</v>
      </c>
      <c r="DY99" s="25">
        <f t="shared" si="402"/>
        <v>258.35160809143781</v>
      </c>
      <c r="EA99" s="4">
        <f t="shared" si="423"/>
        <v>0.72249999999999992</v>
      </c>
      <c r="EB99" s="4">
        <f t="shared" si="309"/>
        <v>7.9564886350698822</v>
      </c>
      <c r="EC99" s="4">
        <f t="shared" si="344"/>
        <v>5.8922771148089401</v>
      </c>
      <c r="EE99" s="4">
        <f t="shared" si="345"/>
        <v>56.796126628494655</v>
      </c>
      <c r="EF99" s="4">
        <f t="shared" si="403"/>
        <v>2.2360679774997898</v>
      </c>
      <c r="EG99" s="4">
        <f t="shared" si="346"/>
        <v>0.12575467082660599</v>
      </c>
      <c r="EJ99" s="4">
        <f t="shared" si="404"/>
        <v>0.12575467082660599</v>
      </c>
      <c r="EK99" s="4">
        <f t="shared" si="347"/>
        <v>0.36459740743611979</v>
      </c>
      <c r="EL99" s="4">
        <f t="shared" si="405"/>
        <v>5.3143099106670029</v>
      </c>
      <c r="EM99" s="4">
        <f t="shared" si="406"/>
        <v>6.7661320889508163</v>
      </c>
      <c r="EN99" s="4">
        <f t="shared" si="407"/>
        <v>209.90387337150534</v>
      </c>
      <c r="EO99" s="4">
        <f t="shared" si="408"/>
        <v>88.899999999999949</v>
      </c>
      <c r="EP99" s="4">
        <f t="shared" si="348"/>
        <v>2.6714040881902795E-5</v>
      </c>
      <c r="EQ99" s="4">
        <f t="shared" si="409"/>
        <v>7.090457890949061</v>
      </c>
      <c r="ER99" s="4" t="e">
        <f t="shared" si="349"/>
        <v>#REF!</v>
      </c>
      <c r="ES99" s="4" t="e">
        <f t="shared" si="410"/>
        <v>#REF!</v>
      </c>
      <c r="ET99" s="4" t="e">
        <f t="shared" si="411"/>
        <v>#REF!</v>
      </c>
      <c r="EV99" s="4" t="e">
        <f t="shared" si="350"/>
        <v>#REF!</v>
      </c>
      <c r="FA99" s="23" t="e">
        <f t="shared" si="412"/>
        <v>#REF!</v>
      </c>
      <c r="FB99" s="23" t="e">
        <f t="shared" si="413"/>
        <v>#REF!</v>
      </c>
      <c r="FC99" s="23">
        <f t="shared" si="290"/>
        <v>2.2000000000000002</v>
      </c>
      <c r="FD99" s="23" t="e">
        <f t="shared" si="414"/>
        <v>#REF!</v>
      </c>
      <c r="FE99" s="23" t="e">
        <f t="shared" si="415"/>
        <v>#REF!</v>
      </c>
      <c r="FF99" s="23" t="e">
        <f t="shared" si="416"/>
        <v>#REF!</v>
      </c>
      <c r="FG99" s="23" t="e">
        <f t="shared" si="417"/>
        <v>#REF!</v>
      </c>
      <c r="FH99" s="23"/>
      <c r="FR99" s="4">
        <f t="shared" si="351"/>
        <v>1</v>
      </c>
      <c r="FS99" s="4">
        <f t="shared" si="352"/>
        <v>0.66249999999999987</v>
      </c>
      <c r="FT99" s="4">
        <f t="shared" si="353"/>
        <v>0</v>
      </c>
      <c r="FU99" s="4">
        <f t="shared" si="354"/>
        <v>528.78590494720618</v>
      </c>
    </row>
    <row r="100" spans="1:177" ht="12" customHeight="1" x14ac:dyDescent="0.3">
      <c r="B100" s="24"/>
      <c r="C100" s="7" t="s">
        <v>617</v>
      </c>
      <c r="D100" s="38">
        <f t="shared" si="418"/>
        <v>889.65517241379314</v>
      </c>
      <c r="E100" s="38">
        <f>9*25.4</f>
        <v>228.6</v>
      </c>
      <c r="F100" s="38">
        <f>4630/145</f>
        <v>31.931034482758619</v>
      </c>
      <c r="G100" s="38">
        <f t="shared" si="419"/>
        <v>25.4</v>
      </c>
      <c r="H100" s="38">
        <f>18.3*25.4</f>
        <v>464.82</v>
      </c>
      <c r="I100" s="38">
        <f t="shared" si="420"/>
        <v>63.5</v>
      </c>
      <c r="J100" s="7">
        <f t="shared" si="201"/>
        <v>50.8</v>
      </c>
      <c r="K100" s="7">
        <f t="shared" si="379"/>
        <v>287.02</v>
      </c>
      <c r="L100" s="38">
        <v>2</v>
      </c>
      <c r="M100" s="39">
        <f t="shared" si="421"/>
        <v>50.8</v>
      </c>
      <c r="N100" s="7">
        <f t="shared" si="380"/>
        <v>2.5</v>
      </c>
      <c r="O100" s="7">
        <f t="shared" si="381"/>
        <v>3</v>
      </c>
      <c r="P100" s="38">
        <v>4</v>
      </c>
      <c r="Q100" s="4">
        <f t="shared" si="422"/>
        <v>4</v>
      </c>
      <c r="R100" s="4">
        <f t="shared" si="312"/>
        <v>5</v>
      </c>
      <c r="S100" s="7">
        <f t="shared" si="313"/>
        <v>56.796126628494655</v>
      </c>
      <c r="T100" s="7"/>
      <c r="U100" s="7"/>
      <c r="V100" s="38">
        <f>79.9/(PI()/4)/0.145*X104</f>
        <v>593.12181124680444</v>
      </c>
      <c r="W100" s="7" t="s">
        <v>654</v>
      </c>
      <c r="X100" s="7"/>
      <c r="Y100" s="7"/>
      <c r="Z100" s="7"/>
      <c r="AA100" s="39">
        <v>1</v>
      </c>
      <c r="AB100" s="7"/>
      <c r="AC100" s="7"/>
      <c r="AD100" s="7"/>
      <c r="AE100" s="4">
        <f t="shared" si="364"/>
        <v>228.6</v>
      </c>
      <c r="AF100" s="44">
        <f t="shared" si="382"/>
        <v>0.40164609053497946</v>
      </c>
      <c r="AG100" s="25">
        <f t="shared" si="314"/>
        <v>192.722989249124</v>
      </c>
      <c r="AH100" s="4">
        <f t="shared" si="315"/>
        <v>0.75555555555555554</v>
      </c>
      <c r="AI100" s="4">
        <v>1.25</v>
      </c>
      <c r="AJ100" s="25">
        <f t="shared" si="355"/>
        <v>5</v>
      </c>
      <c r="AK100" s="38">
        <f t="shared" si="205"/>
        <v>365.53038838837051</v>
      </c>
      <c r="AL100" s="38">
        <f t="shared" si="356"/>
        <v>365.53038838837051</v>
      </c>
      <c r="AN100" s="38">
        <f t="shared" si="383"/>
        <v>365.53038838837034</v>
      </c>
      <c r="AO100" s="38">
        <f t="shared" si="316"/>
        <v>1.0000000000000004</v>
      </c>
      <c r="AP100" s="38">
        <f t="shared" si="357"/>
        <v>0.94343776432450766</v>
      </c>
      <c r="AQ100" s="4">
        <f t="shared" si="228"/>
        <v>1</v>
      </c>
      <c r="AR100" s="4" t="e">
        <f>#REF!/G100*F100^0.5/0.19</f>
        <v>#REF!</v>
      </c>
      <c r="AS100" s="4">
        <f t="shared" si="317"/>
        <v>1.08</v>
      </c>
      <c r="AT100" s="38">
        <f t="shared" si="318"/>
        <v>344.85517241379307</v>
      </c>
      <c r="AU100" s="4">
        <f t="shared" si="319"/>
        <v>0.44000000000000006</v>
      </c>
      <c r="AV100" s="4" t="e">
        <f>AU100*D100*#REF!/(D100*G100/2.75/F100^0.5)</f>
        <v>#REF!</v>
      </c>
      <c r="AW100" s="4" t="e">
        <f t="shared" si="384"/>
        <v>#REF!</v>
      </c>
      <c r="AY100" s="36">
        <f t="shared" si="320"/>
        <v>1.1000000000000001</v>
      </c>
      <c r="AZ100" s="36" t="e">
        <f>(1.6*#REF!+22)*AY100*F100^0.5</f>
        <v>#REF!</v>
      </c>
      <c r="BE100" s="4">
        <f t="shared" si="321"/>
        <v>63.5</v>
      </c>
      <c r="BF100" s="4">
        <f t="shared" si="322"/>
        <v>50.8</v>
      </c>
      <c r="BG100" s="4">
        <f t="shared" si="323"/>
        <v>63.5</v>
      </c>
      <c r="BH100" s="4">
        <f t="shared" si="324"/>
        <v>63.5</v>
      </c>
      <c r="BI100" s="4">
        <f t="shared" si="385"/>
        <v>1.0250000000000001</v>
      </c>
      <c r="BJ100" s="25">
        <f t="shared" si="325"/>
        <v>2.5625000000000004</v>
      </c>
      <c r="BL100" s="4">
        <f t="shared" si="326"/>
        <v>63.5</v>
      </c>
      <c r="BP100" s="9"/>
      <c r="BR100" s="9"/>
      <c r="BS100" s="9"/>
      <c r="BT100" s="9">
        <f t="shared" si="327"/>
        <v>50.8</v>
      </c>
      <c r="BU100" s="9">
        <f t="shared" si="328"/>
        <v>143.51</v>
      </c>
      <c r="BV100" s="9">
        <f t="shared" si="329"/>
        <v>1.6526000655830793</v>
      </c>
      <c r="BW100" s="9">
        <v>0</v>
      </c>
      <c r="BX100" s="9">
        <f t="shared" si="330"/>
        <v>0</v>
      </c>
      <c r="BY100" s="9">
        <f t="shared" si="386"/>
        <v>0</v>
      </c>
      <c r="BZ100" s="9">
        <f t="shared" si="331"/>
        <v>0.99524931562137331</v>
      </c>
      <c r="CA100" s="9">
        <f t="shared" si="332"/>
        <v>0.68</v>
      </c>
      <c r="CB100" s="9">
        <f t="shared" si="333"/>
        <v>1.3384906416342788</v>
      </c>
      <c r="CC100" s="9">
        <f t="shared" si="334"/>
        <v>2.211989722147147</v>
      </c>
      <c r="CD100" s="9">
        <v>1</v>
      </c>
      <c r="CE100" s="9" t="e">
        <f>4*CC100*#REF!+60*CC100</f>
        <v>#REF!</v>
      </c>
      <c r="CG100" s="4" t="e">
        <f t="shared" si="387"/>
        <v>#REF!</v>
      </c>
      <c r="CH100" s="4" t="e">
        <f t="shared" si="388"/>
        <v>#REF!</v>
      </c>
      <c r="CI100" s="4" t="e">
        <f t="shared" si="389"/>
        <v>#REF!</v>
      </c>
      <c r="CJ100" s="4" t="e">
        <f t="shared" si="390"/>
        <v>#REF!</v>
      </c>
      <c r="CK100" s="4" t="e">
        <f t="shared" si="391"/>
        <v>#REF!</v>
      </c>
      <c r="CL100" s="4" t="e">
        <f t="shared" si="392"/>
        <v>#REF!</v>
      </c>
      <c r="CM100" s="4">
        <f t="shared" si="393"/>
        <v>1.3901299045477662</v>
      </c>
      <c r="CO100" s="4" t="e">
        <f t="shared" si="394"/>
        <v>#REF!</v>
      </c>
      <c r="CP100" s="4" t="e">
        <f t="shared" si="395"/>
        <v>#REF!</v>
      </c>
      <c r="CQ100" s="4" t="e">
        <f t="shared" si="396"/>
        <v>#REF!</v>
      </c>
      <c r="CR100" s="4">
        <f t="shared" si="378"/>
        <v>1.3901299045477662</v>
      </c>
      <c r="CS100" s="4" t="e">
        <f t="shared" si="397"/>
        <v>#REF!</v>
      </c>
      <c r="CT100" s="4" t="e">
        <f t="shared" si="398"/>
        <v>#REF!</v>
      </c>
      <c r="DB100" s="4">
        <f t="shared" si="399"/>
        <v>0</v>
      </c>
      <c r="DC100" s="4">
        <f t="shared" si="335"/>
        <v>228.6</v>
      </c>
      <c r="DD100" s="4" t="e">
        <f>#REF!/E100</f>
        <v>#REF!</v>
      </c>
      <c r="DF100" s="4">
        <f t="shared" si="336"/>
        <v>1.6292650405255247E-5</v>
      </c>
      <c r="DG100" s="4">
        <f>EB100</f>
        <v>7.1396680446762248</v>
      </c>
      <c r="DH100" s="4">
        <f t="shared" si="358"/>
        <v>0.63246442644674039</v>
      </c>
      <c r="DI100" s="4">
        <f t="shared" si="359"/>
        <v>5.944186968008955</v>
      </c>
      <c r="DJ100" s="4">
        <f t="shared" si="360"/>
        <v>6.5692013168049943</v>
      </c>
      <c r="DK100" s="4">
        <f t="shared" si="337"/>
        <v>6.8404228028420162</v>
      </c>
      <c r="DL100" s="38" t="e">
        <f t="shared" si="338"/>
        <v>#REF!</v>
      </c>
      <c r="DM100" s="4" t="e">
        <f t="shared" si="361"/>
        <v>#REF!</v>
      </c>
      <c r="DN100" s="4">
        <f t="shared" si="362"/>
        <v>2.2360679774997898</v>
      </c>
      <c r="DO100" s="4">
        <f t="shared" si="363"/>
        <v>365.53038838837034</v>
      </c>
      <c r="DS100" s="4">
        <f t="shared" si="339"/>
        <v>0.85</v>
      </c>
      <c r="DT100" s="4">
        <f t="shared" si="340"/>
        <v>0.85</v>
      </c>
      <c r="DU100" s="4">
        <f t="shared" si="341"/>
        <v>1</v>
      </c>
      <c r="DV100" s="4">
        <f t="shared" si="401"/>
        <v>0.85</v>
      </c>
      <c r="DX100" s="4" t="e">
        <f t="shared" si="342"/>
        <v>#REF!</v>
      </c>
      <c r="DY100" s="25">
        <f t="shared" si="402"/>
        <v>448.05820687508361</v>
      </c>
      <c r="EA100" s="4">
        <f t="shared" si="423"/>
        <v>0.72249999999999992</v>
      </c>
      <c r="EB100" s="4">
        <f t="shared" si="309"/>
        <v>7.1396680446762248</v>
      </c>
      <c r="EC100" s="4">
        <f t="shared" si="344"/>
        <v>5.2873704163355377</v>
      </c>
      <c r="EE100" s="4">
        <f t="shared" si="345"/>
        <v>56.796126628494655</v>
      </c>
      <c r="EF100" s="4">
        <f t="shared" si="403"/>
        <v>2.2360679774997898</v>
      </c>
      <c r="EG100" s="4">
        <f t="shared" si="346"/>
        <v>0.19542398411872033</v>
      </c>
      <c r="EJ100" s="4">
        <f t="shared" si="404"/>
        <v>0.19542398411872033</v>
      </c>
      <c r="EK100" s="4">
        <f t="shared" si="347"/>
        <v>0.6314089611943462</v>
      </c>
      <c r="EL100" s="4">
        <f t="shared" si="405"/>
        <v>5.9402170836537644</v>
      </c>
      <c r="EM100" s="4">
        <f t="shared" si="406"/>
        <v>6.5674058970977542</v>
      </c>
      <c r="EN100" s="4">
        <f t="shared" si="407"/>
        <v>114.65387337150534</v>
      </c>
      <c r="EO100" s="4">
        <f t="shared" si="408"/>
        <v>57.150000000000006</v>
      </c>
      <c r="EP100" s="4">
        <f t="shared" si="348"/>
        <v>1.629265040525525E-5</v>
      </c>
      <c r="EQ100" s="4">
        <f t="shared" si="409"/>
        <v>6.8405224873496033</v>
      </c>
      <c r="ER100" s="4" t="e">
        <f t="shared" si="349"/>
        <v>#REF!</v>
      </c>
      <c r="ES100" s="4" t="e">
        <f t="shared" si="410"/>
        <v>#REF!</v>
      </c>
      <c r="ET100" s="4" t="e">
        <f t="shared" si="411"/>
        <v>#REF!</v>
      </c>
      <c r="EV100" s="4" t="e">
        <f t="shared" si="350"/>
        <v>#REF!</v>
      </c>
      <c r="FA100" s="23" t="e">
        <f t="shared" si="412"/>
        <v>#REF!</v>
      </c>
      <c r="FB100" s="23" t="e">
        <f t="shared" si="413"/>
        <v>#REF!</v>
      </c>
      <c r="FC100" s="23">
        <f t="shared" si="290"/>
        <v>1.4</v>
      </c>
      <c r="FD100" s="23" t="e">
        <f t="shared" si="414"/>
        <v>#REF!</v>
      </c>
      <c r="FE100" s="23" t="e">
        <f t="shared" si="415"/>
        <v>#REF!</v>
      </c>
      <c r="FF100" s="23" t="e">
        <f t="shared" si="416"/>
        <v>#REF!</v>
      </c>
      <c r="FG100" s="23" t="e">
        <f t="shared" si="417"/>
        <v>#REF!</v>
      </c>
      <c r="FH100" s="23"/>
      <c r="FR100" s="4">
        <f t="shared" si="351"/>
        <v>1</v>
      </c>
      <c r="FS100" s="4">
        <f t="shared" si="352"/>
        <v>0.5</v>
      </c>
      <c r="FT100" s="4">
        <f t="shared" si="353"/>
        <v>0</v>
      </c>
      <c r="FU100" s="4">
        <f t="shared" si="354"/>
        <v>426.66646426814151</v>
      </c>
    </row>
    <row r="101" spans="1:177" ht="12" customHeight="1" x14ac:dyDescent="0.3">
      <c r="B101" s="24"/>
      <c r="C101" s="7" t="s">
        <v>618</v>
      </c>
      <c r="D101" s="38">
        <f t="shared" si="418"/>
        <v>889.65517241379314</v>
      </c>
      <c r="E101" s="38">
        <f>13*25.4</f>
        <v>330.2</v>
      </c>
      <c r="F101" s="38">
        <f>4760/145</f>
        <v>32.827586206896555</v>
      </c>
      <c r="G101" s="38">
        <f t="shared" si="419"/>
        <v>25.4</v>
      </c>
      <c r="H101" s="38">
        <f>18.4*25.4</f>
        <v>467.35999999999996</v>
      </c>
      <c r="I101" s="38">
        <f t="shared" si="420"/>
        <v>63.5</v>
      </c>
      <c r="J101" s="7">
        <f t="shared" si="201"/>
        <v>50.8</v>
      </c>
      <c r="K101" s="7">
        <f t="shared" si="379"/>
        <v>289.55999999999995</v>
      </c>
      <c r="L101" s="38">
        <v>2</v>
      </c>
      <c r="M101" s="39">
        <f t="shared" si="421"/>
        <v>50.8</v>
      </c>
      <c r="N101" s="7">
        <f t="shared" si="380"/>
        <v>2.5</v>
      </c>
      <c r="O101" s="7">
        <f t="shared" si="381"/>
        <v>3</v>
      </c>
      <c r="P101" s="38">
        <v>4</v>
      </c>
      <c r="Q101" s="4">
        <f t="shared" si="422"/>
        <v>4</v>
      </c>
      <c r="R101" s="4">
        <f t="shared" si="312"/>
        <v>5</v>
      </c>
      <c r="S101" s="7">
        <f t="shared" si="313"/>
        <v>56.796126628494655</v>
      </c>
      <c r="T101" s="7"/>
      <c r="U101" s="7"/>
      <c r="V101" s="38">
        <f>91.7/(PI()/4)/0.145*X104</f>
        <v>680.71677210678308</v>
      </c>
      <c r="W101" s="7" t="s">
        <v>654</v>
      </c>
      <c r="X101" s="7"/>
      <c r="Y101" s="7"/>
      <c r="Z101" s="7"/>
      <c r="AA101" s="39">
        <v>1</v>
      </c>
      <c r="AB101" s="7"/>
      <c r="AC101" s="7"/>
      <c r="AD101" s="7"/>
      <c r="AE101" s="4">
        <f t="shared" si="364"/>
        <v>330.2</v>
      </c>
      <c r="AF101" s="44">
        <f t="shared" si="382"/>
        <v>0.24194608809993426</v>
      </c>
      <c r="AG101" s="25">
        <f t="shared" si="314"/>
        <v>339.2327463778492</v>
      </c>
      <c r="AH101" s="4">
        <f t="shared" si="315"/>
        <v>0.73846153846153839</v>
      </c>
      <c r="AI101" s="4">
        <v>1.25</v>
      </c>
      <c r="AJ101" s="25">
        <f t="shared" si="355"/>
        <v>5</v>
      </c>
      <c r="AK101" s="38">
        <f t="shared" si="205"/>
        <v>378.81247357623579</v>
      </c>
      <c r="AL101" s="38">
        <f t="shared" si="356"/>
        <v>378.81247357623579</v>
      </c>
      <c r="AN101" s="38">
        <f t="shared" si="383"/>
        <v>378.81247357623596</v>
      </c>
      <c r="AO101" s="38">
        <f t="shared" si="316"/>
        <v>0.99999999999999956</v>
      </c>
      <c r="AP101" s="38">
        <f t="shared" si="357"/>
        <v>0.93591936846063783</v>
      </c>
      <c r="AQ101" s="4">
        <f t="shared" si="228"/>
        <v>1</v>
      </c>
      <c r="AR101" s="4" t="e">
        <f>#REF!/G101*F101^0.5/0.19</f>
        <v>#REF!</v>
      </c>
      <c r="AS101" s="4">
        <f t="shared" si="317"/>
        <v>1.08</v>
      </c>
      <c r="AT101" s="38">
        <f t="shared" si="318"/>
        <v>354.53793103448282</v>
      </c>
      <c r="AU101" s="4">
        <f t="shared" si="319"/>
        <v>0.44000000000000006</v>
      </c>
      <c r="AV101" s="4" t="e">
        <f>AU101*D101*#REF!/(D101*G101/2.75/F101^0.5)</f>
        <v>#REF!</v>
      </c>
      <c r="AW101" s="4" t="e">
        <f t="shared" si="384"/>
        <v>#REF!</v>
      </c>
      <c r="AY101" s="36">
        <f t="shared" si="320"/>
        <v>1.1000000000000001</v>
      </c>
      <c r="AZ101" s="36" t="e">
        <f>(1.6*#REF!+22)*AY101*F101^0.5</f>
        <v>#REF!</v>
      </c>
      <c r="BE101" s="4">
        <f t="shared" si="321"/>
        <v>63.5</v>
      </c>
      <c r="BF101" s="4">
        <f t="shared" si="322"/>
        <v>50.8</v>
      </c>
      <c r="BG101" s="4">
        <f t="shared" si="323"/>
        <v>63.5</v>
      </c>
      <c r="BH101" s="4">
        <f t="shared" si="324"/>
        <v>63.5</v>
      </c>
      <c r="BI101" s="4">
        <f t="shared" si="385"/>
        <v>1.0250000000000001</v>
      </c>
      <c r="BJ101" s="25">
        <f t="shared" si="325"/>
        <v>2.5625000000000004</v>
      </c>
      <c r="BL101" s="4">
        <f t="shared" si="326"/>
        <v>63.5</v>
      </c>
      <c r="BP101" s="9"/>
      <c r="BR101" s="9"/>
      <c r="BS101" s="9"/>
      <c r="BT101" s="9">
        <f t="shared" si="327"/>
        <v>50.8</v>
      </c>
      <c r="BU101" s="9">
        <f t="shared" si="328"/>
        <v>144.77999999999997</v>
      </c>
      <c r="BV101" s="9">
        <f t="shared" si="329"/>
        <v>1.6547855765231267</v>
      </c>
      <c r="BW101" s="9">
        <v>0</v>
      </c>
      <c r="BX101" s="9">
        <f t="shared" si="330"/>
        <v>0</v>
      </c>
      <c r="BY101" s="9">
        <f t="shared" si="386"/>
        <v>0</v>
      </c>
      <c r="BZ101" s="9">
        <f t="shared" si="331"/>
        <v>0.99524931562137331</v>
      </c>
      <c r="CA101" s="9">
        <f t="shared" si="332"/>
        <v>0.68</v>
      </c>
      <c r="CB101" s="9">
        <f t="shared" si="333"/>
        <v>1.3571514652473406</v>
      </c>
      <c r="CC101" s="9">
        <f t="shared" si="334"/>
        <v>2.2457946698485269</v>
      </c>
      <c r="CD101" s="9">
        <v>1</v>
      </c>
      <c r="CE101" s="9" t="e">
        <f>4*CC101*#REF!+60*CC101</f>
        <v>#REF!</v>
      </c>
      <c r="CG101" s="4" t="e">
        <f t="shared" si="387"/>
        <v>#REF!</v>
      </c>
      <c r="CH101" s="4" t="e">
        <f t="shared" si="388"/>
        <v>#REF!</v>
      </c>
      <c r="CI101" s="4" t="e">
        <f t="shared" si="389"/>
        <v>#REF!</v>
      </c>
      <c r="CJ101" s="4" t="e">
        <f t="shared" si="390"/>
        <v>#REF!</v>
      </c>
      <c r="CK101" s="4" t="e">
        <f t="shared" si="391"/>
        <v>#REF!</v>
      </c>
      <c r="CL101" s="4" t="e">
        <f t="shared" si="392"/>
        <v>#REF!</v>
      </c>
      <c r="CM101" s="4">
        <f t="shared" si="393"/>
        <v>1.0969090233322247</v>
      </c>
      <c r="CO101" s="4" t="e">
        <f t="shared" si="394"/>
        <v>#REF!</v>
      </c>
      <c r="CP101" s="4" t="e">
        <f t="shared" si="395"/>
        <v>#REF!</v>
      </c>
      <c r="CQ101" s="4" t="e">
        <f t="shared" si="396"/>
        <v>#REF!</v>
      </c>
      <c r="CR101" s="4">
        <f t="shared" si="378"/>
        <v>1.0969090233322247</v>
      </c>
      <c r="CS101" s="4" t="e">
        <f t="shared" si="397"/>
        <v>#REF!</v>
      </c>
      <c r="CT101" s="4" t="e">
        <f t="shared" si="398"/>
        <v>#REF!</v>
      </c>
      <c r="DB101" s="4">
        <f t="shared" si="399"/>
        <v>0</v>
      </c>
      <c r="DC101" s="4">
        <f t="shared" si="335"/>
        <v>330.2</v>
      </c>
      <c r="DD101" s="4" t="e">
        <f>#REF!/E101</f>
        <v>#REF!</v>
      </c>
      <c r="DF101" s="4">
        <f t="shared" si="336"/>
        <v>2.3681819900234351E-5</v>
      </c>
      <c r="DG101" s="4">
        <f t="shared" si="400"/>
        <v>7.2392070940302364</v>
      </c>
      <c r="DH101" s="4">
        <f t="shared" si="358"/>
        <v>0.63754511831837357</v>
      </c>
      <c r="DI101" s="4">
        <f t="shared" si="359"/>
        <v>6.0463790621963174</v>
      </c>
      <c r="DJ101" s="4">
        <f t="shared" si="360"/>
        <v>6.6695348273863901</v>
      </c>
      <c r="DK101" s="4">
        <f t="shared" si="337"/>
        <v>6.5917246907396922</v>
      </c>
      <c r="DL101" s="38" t="e">
        <f t="shared" si="338"/>
        <v>#REF!</v>
      </c>
      <c r="DM101" s="4" t="e">
        <f t="shared" si="361"/>
        <v>#REF!</v>
      </c>
      <c r="DN101" s="4">
        <f t="shared" si="362"/>
        <v>2.2360679774997898</v>
      </c>
      <c r="DO101" s="4">
        <f t="shared" si="363"/>
        <v>378.81247357623596</v>
      </c>
      <c r="DS101" s="4">
        <f t="shared" si="339"/>
        <v>0.85</v>
      </c>
      <c r="DT101" s="4">
        <f t="shared" si="340"/>
        <v>0.85</v>
      </c>
      <c r="DU101" s="4">
        <f t="shared" si="341"/>
        <v>1</v>
      </c>
      <c r="DV101" s="4">
        <f t="shared" si="401"/>
        <v>0.85</v>
      </c>
      <c r="DX101" s="4" t="e">
        <f t="shared" si="342"/>
        <v>#REF!</v>
      </c>
      <c r="DY101" s="25">
        <f t="shared" si="402"/>
        <v>373.08835075760055</v>
      </c>
      <c r="EA101" s="4">
        <f t="shared" si="423"/>
        <v>0.72249999999999992</v>
      </c>
      <c r="EB101" s="4">
        <f t="shared" si="309"/>
        <v>7.2392070940302364</v>
      </c>
      <c r="EC101" s="4">
        <f t="shared" si="344"/>
        <v>5.3610853035727679</v>
      </c>
      <c r="EE101" s="4">
        <f t="shared" si="345"/>
        <v>56.796126628494655</v>
      </c>
      <c r="EF101" s="4">
        <f t="shared" si="403"/>
        <v>2.2360679774997898</v>
      </c>
      <c r="EG101" s="4">
        <f t="shared" si="346"/>
        <v>0.19974028505824587</v>
      </c>
      <c r="EJ101" s="4">
        <f t="shared" si="404"/>
        <v>0.19974028505824587</v>
      </c>
      <c r="EK101" s="4">
        <f t="shared" si="347"/>
        <v>0.63648117433815776</v>
      </c>
      <c r="EL101" s="4">
        <f t="shared" si="405"/>
        <v>6.0423409278351752</v>
      </c>
      <c r="EM101" s="4">
        <f t="shared" si="406"/>
        <v>6.6677050716935931</v>
      </c>
      <c r="EN101" s="4">
        <f t="shared" si="407"/>
        <v>190.85387337150533</v>
      </c>
      <c r="EO101" s="4">
        <f t="shared" si="408"/>
        <v>82.549999999999983</v>
      </c>
      <c r="EP101" s="4">
        <f t="shared" si="348"/>
        <v>2.3681819900234344E-5</v>
      </c>
      <c r="EQ101" s="4">
        <f t="shared" si="409"/>
        <v>6.5919202985164418</v>
      </c>
      <c r="ER101" s="4" t="e">
        <f t="shared" si="349"/>
        <v>#REF!</v>
      </c>
      <c r="ES101" s="4" t="e">
        <f t="shared" si="410"/>
        <v>#REF!</v>
      </c>
      <c r="ET101" s="4" t="e">
        <f t="shared" si="411"/>
        <v>#REF!</v>
      </c>
      <c r="EV101" s="4" t="e">
        <f t="shared" si="350"/>
        <v>#REF!</v>
      </c>
      <c r="FA101" s="23" t="e">
        <f t="shared" si="412"/>
        <v>#REF!</v>
      </c>
      <c r="FB101" s="23" t="e">
        <f t="shared" si="413"/>
        <v>#REF!</v>
      </c>
      <c r="FC101" s="23">
        <f t="shared" si="290"/>
        <v>1.2</v>
      </c>
      <c r="FD101" s="23" t="e">
        <f t="shared" si="414"/>
        <v>#REF!</v>
      </c>
      <c r="FE101" s="23" t="e">
        <f t="shared" si="415"/>
        <v>#REF!</v>
      </c>
      <c r="FF101" s="23" t="e">
        <f t="shared" si="416"/>
        <v>#REF!</v>
      </c>
      <c r="FG101" s="23" t="e">
        <f t="shared" si="417"/>
        <v>#REF!</v>
      </c>
      <c r="FH101" s="23"/>
      <c r="FR101" s="4">
        <f t="shared" si="351"/>
        <v>1</v>
      </c>
      <c r="FS101" s="4">
        <f t="shared" si="352"/>
        <v>0.5</v>
      </c>
      <c r="FT101" s="4">
        <f t="shared" si="353"/>
        <v>0</v>
      </c>
      <c r="FU101" s="4">
        <f t="shared" si="354"/>
        <v>620.57723806380977</v>
      </c>
    </row>
    <row r="102" spans="1:177" ht="12" customHeight="1" x14ac:dyDescent="0.3">
      <c r="B102" s="24"/>
      <c r="C102" s="7" t="s">
        <v>619</v>
      </c>
      <c r="D102" s="38">
        <f t="shared" si="418"/>
        <v>889.65517241379314</v>
      </c>
      <c r="E102" s="38">
        <f>9*25.4</f>
        <v>228.6</v>
      </c>
      <c r="F102" s="38">
        <f>4770/145</f>
        <v>32.896551724137929</v>
      </c>
      <c r="G102" s="38">
        <f t="shared" si="419"/>
        <v>25.4</v>
      </c>
      <c r="H102" s="38">
        <f>18.3*25.4</f>
        <v>464.82</v>
      </c>
      <c r="I102" s="38">
        <f t="shared" si="420"/>
        <v>63.5</v>
      </c>
      <c r="J102" s="7">
        <f t="shared" si="201"/>
        <v>50.8</v>
      </c>
      <c r="K102" s="7">
        <f t="shared" si="379"/>
        <v>130.81</v>
      </c>
      <c r="L102" s="38">
        <v>3</v>
      </c>
      <c r="M102" s="39">
        <f t="shared" si="421"/>
        <v>50.8</v>
      </c>
      <c r="N102" s="7">
        <f t="shared" si="380"/>
        <v>2.5</v>
      </c>
      <c r="O102" s="7">
        <f t="shared" si="381"/>
        <v>3</v>
      </c>
      <c r="P102" s="38">
        <v>4</v>
      </c>
      <c r="Q102" s="4">
        <f t="shared" si="422"/>
        <v>4</v>
      </c>
      <c r="R102" s="4">
        <f t="shared" si="312"/>
        <v>5</v>
      </c>
      <c r="S102" s="7">
        <f t="shared" si="313"/>
        <v>56.796126628494655</v>
      </c>
      <c r="T102" s="7"/>
      <c r="U102" s="7"/>
      <c r="V102" s="38">
        <f>72/(PI()/4)/0.145</f>
        <v>632.2292911788395</v>
      </c>
      <c r="W102" s="7"/>
      <c r="X102" s="7">
        <f>72/87</f>
        <v>0.82758620689655171</v>
      </c>
      <c r="Y102" s="7"/>
      <c r="Z102" s="7"/>
      <c r="AA102" s="39">
        <v>1</v>
      </c>
      <c r="AB102" s="7"/>
      <c r="AC102" s="7"/>
      <c r="AD102" s="7"/>
      <c r="AE102" s="4">
        <f t="shared" si="364"/>
        <v>228.6</v>
      </c>
      <c r="AF102" s="44">
        <f t="shared" si="382"/>
        <v>0.40164609053497946</v>
      </c>
      <c r="AG102" s="25">
        <f t="shared" si="314"/>
        <v>130.41001899429696</v>
      </c>
      <c r="AH102" s="4">
        <f t="shared" si="315"/>
        <v>0.75555555555555554</v>
      </c>
      <c r="AI102" s="4">
        <v>1.25</v>
      </c>
      <c r="AJ102" s="25">
        <f t="shared" si="355"/>
        <v>5</v>
      </c>
      <c r="AK102" s="38">
        <f t="shared" si="205"/>
        <v>247.34373972946676</v>
      </c>
      <c r="AL102" s="38">
        <f t="shared" si="356"/>
        <v>247.34373972946676</v>
      </c>
      <c r="AN102" s="38">
        <f t="shared" si="383"/>
        <v>247.34373972946665</v>
      </c>
      <c r="AO102" s="38">
        <f t="shared" si="316"/>
        <v>1.0000000000000004</v>
      </c>
      <c r="AP102" s="38">
        <f t="shared" si="357"/>
        <v>1.4363927666383707</v>
      </c>
      <c r="AQ102" s="4">
        <f t="shared" si="228"/>
        <v>0</v>
      </c>
      <c r="AR102" s="4" t="e">
        <f>#REF!/G102*F102^0.5/0.19</f>
        <v>#REF!</v>
      </c>
      <c r="AS102" s="4">
        <f t="shared" si="317"/>
        <v>1.08</v>
      </c>
      <c r="AT102" s="38">
        <f t="shared" si="318"/>
        <v>355.28275862068966</v>
      </c>
      <c r="AU102" s="4">
        <f t="shared" si="319"/>
        <v>0.44000000000000006</v>
      </c>
      <c r="AV102" s="4" t="e">
        <f>AU102*D102*#REF!/(D102*G102/2.75/F102^0.5)</f>
        <v>#REF!</v>
      </c>
      <c r="AW102" s="4" t="e">
        <f t="shared" si="384"/>
        <v>#REF!</v>
      </c>
      <c r="AY102" s="36">
        <f t="shared" si="320"/>
        <v>1.1000000000000001</v>
      </c>
      <c r="AZ102" s="36" t="e">
        <f>(1.6*#REF!+22)*AY102*F102^0.5</f>
        <v>#REF!</v>
      </c>
      <c r="BE102" s="4">
        <f t="shared" si="321"/>
        <v>63.5</v>
      </c>
      <c r="BF102" s="4">
        <f t="shared" si="322"/>
        <v>50.8</v>
      </c>
      <c r="BG102" s="4">
        <f t="shared" si="323"/>
        <v>63.5</v>
      </c>
      <c r="BH102" s="4">
        <f t="shared" si="324"/>
        <v>63.5</v>
      </c>
      <c r="BI102" s="4">
        <f t="shared" si="385"/>
        <v>1.0250000000000001</v>
      </c>
      <c r="BJ102" s="25">
        <f t="shared" si="325"/>
        <v>2.5625000000000004</v>
      </c>
      <c r="BL102" s="4">
        <f t="shared" si="326"/>
        <v>63.5</v>
      </c>
      <c r="BP102" s="9"/>
      <c r="BR102" s="9"/>
      <c r="BS102" s="9"/>
      <c r="BT102" s="9">
        <f t="shared" si="327"/>
        <v>50.8</v>
      </c>
      <c r="BU102" s="9">
        <f t="shared" si="328"/>
        <v>65.405000000000001</v>
      </c>
      <c r="BV102" s="9">
        <f t="shared" si="329"/>
        <v>1.4688487685376905</v>
      </c>
      <c r="BW102" s="9">
        <v>0</v>
      </c>
      <c r="BX102" s="9">
        <f t="shared" si="330"/>
        <v>0</v>
      </c>
      <c r="BY102" s="9">
        <f t="shared" si="386"/>
        <v>0</v>
      </c>
      <c r="BZ102" s="9">
        <f t="shared" si="331"/>
        <v>0.99524931562137331</v>
      </c>
      <c r="CA102" s="9">
        <f t="shared" si="332"/>
        <v>0.68</v>
      </c>
      <c r="CB102" s="9">
        <f t="shared" si="333"/>
        <v>1.3585762965743986</v>
      </c>
      <c r="CC102" s="9">
        <f t="shared" si="334"/>
        <v>1.9955431201878016</v>
      </c>
      <c r="CD102" s="9">
        <v>1</v>
      </c>
      <c r="CE102" s="9" t="e">
        <f>4*CC102*#REF!+60*CC102</f>
        <v>#REF!</v>
      </c>
      <c r="CG102" s="4" t="e">
        <f t="shared" si="387"/>
        <v>#REF!</v>
      </c>
      <c r="CH102" s="4" t="e">
        <f t="shared" si="388"/>
        <v>#REF!</v>
      </c>
      <c r="CI102" s="4" t="e">
        <f t="shared" si="389"/>
        <v>#REF!</v>
      </c>
      <c r="CJ102" s="4" t="e">
        <f t="shared" si="390"/>
        <v>#REF!</v>
      </c>
      <c r="CK102" s="4" t="e">
        <f t="shared" si="391"/>
        <v>#REF!</v>
      </c>
      <c r="CL102" s="4" t="e">
        <f t="shared" si="392"/>
        <v>#REF!</v>
      </c>
      <c r="CM102" s="4">
        <f t="shared" si="393"/>
        <v>1.9242884063113308</v>
      </c>
      <c r="CO102" s="4" t="e">
        <f t="shared" si="394"/>
        <v>#REF!</v>
      </c>
      <c r="CP102" s="4" t="e">
        <f t="shared" si="395"/>
        <v>#REF!</v>
      </c>
      <c r="CQ102" s="4" t="e">
        <f t="shared" si="396"/>
        <v>#REF!</v>
      </c>
      <c r="CR102" s="4">
        <f t="shared" si="378"/>
        <v>1.9242884063113308</v>
      </c>
      <c r="CS102" s="4" t="e">
        <f t="shared" si="397"/>
        <v>#REF!</v>
      </c>
      <c r="CT102" s="4" t="e">
        <f t="shared" si="398"/>
        <v>#REF!</v>
      </c>
      <c r="DB102" s="4">
        <f t="shared" si="399"/>
        <v>0</v>
      </c>
      <c r="DC102" s="4">
        <f t="shared" si="335"/>
        <v>228.6</v>
      </c>
      <c r="DD102" s="4" t="e">
        <f>#REF!/E102</f>
        <v>#REF!</v>
      </c>
      <c r="DF102" s="4">
        <f t="shared" si="336"/>
        <v>1.6402981976815728E-5</v>
      </c>
      <c r="DG102" s="4">
        <f t="shared" si="400"/>
        <v>7.2468073135449798</v>
      </c>
      <c r="DH102" s="4">
        <f t="shared" si="358"/>
        <v>0.41540923789121181</v>
      </c>
      <c r="DI102" s="4">
        <f t="shared" si="359"/>
        <v>5.0996124652241388</v>
      </c>
      <c r="DJ102" s="4">
        <f t="shared" si="360"/>
        <v>6.2661431823399951</v>
      </c>
      <c r="DK102" s="4">
        <f t="shared" si="337"/>
        <v>6.9598678695184395</v>
      </c>
      <c r="DL102" s="38" t="e">
        <f t="shared" si="338"/>
        <v>#REF!</v>
      </c>
      <c r="DM102" s="4" t="e">
        <f t="shared" si="361"/>
        <v>#REF!</v>
      </c>
      <c r="DN102" s="4">
        <f t="shared" si="362"/>
        <v>2.2360679774997898</v>
      </c>
      <c r="DO102" s="4">
        <f t="shared" si="363"/>
        <v>247.34373972946665</v>
      </c>
      <c r="DS102" s="4">
        <f t="shared" si="339"/>
        <v>0.85</v>
      </c>
      <c r="DT102" s="4">
        <f t="shared" si="340"/>
        <v>0.85</v>
      </c>
      <c r="DU102" s="4">
        <f t="shared" si="341"/>
        <v>1</v>
      </c>
      <c r="DV102" s="4">
        <f t="shared" si="401"/>
        <v>0.85</v>
      </c>
      <c r="DX102" s="4" t="e">
        <f t="shared" si="342"/>
        <v>#REF!</v>
      </c>
      <c r="DY102" s="25">
        <f t="shared" si="402"/>
        <v>303.18790455039539</v>
      </c>
      <c r="EA102" s="4">
        <f t="shared" si="423"/>
        <v>0.72249999999999992</v>
      </c>
      <c r="EB102" s="4">
        <f t="shared" si="309"/>
        <v>7.2468073135449798</v>
      </c>
      <c r="EC102" s="4">
        <f t="shared" si="344"/>
        <v>5.366713741137155</v>
      </c>
      <c r="EE102" s="4">
        <f t="shared" si="345"/>
        <v>56.796126628494655</v>
      </c>
      <c r="EF102" s="4">
        <f t="shared" si="403"/>
        <v>2.2360679774997898</v>
      </c>
      <c r="EG102" s="4">
        <f t="shared" si="346"/>
        <v>0.13028265607914691</v>
      </c>
      <c r="EJ102" s="4">
        <f t="shared" si="404"/>
        <v>0.13028265607914691</v>
      </c>
      <c r="EK102" s="4">
        <f t="shared" si="347"/>
        <v>0.41471599729492875</v>
      </c>
      <c r="EL102" s="4">
        <f t="shared" si="405"/>
        <v>5.0962066383461853</v>
      </c>
      <c r="EM102" s="4">
        <f t="shared" si="406"/>
        <v>6.2647594664384387</v>
      </c>
      <c r="EN102" s="4">
        <f t="shared" si="407"/>
        <v>114.65387337150534</v>
      </c>
      <c r="EO102" s="4">
        <f t="shared" si="408"/>
        <v>57.150000000000006</v>
      </c>
      <c r="EP102" s="4">
        <f t="shared" si="348"/>
        <v>1.6402981976815732E-5</v>
      </c>
      <c r="EQ102" s="4">
        <f t="shared" si="409"/>
        <v>6.9599510091554349</v>
      </c>
      <c r="ER102" s="4" t="e">
        <f t="shared" si="349"/>
        <v>#REF!</v>
      </c>
      <c r="ES102" s="4" t="e">
        <f t="shared" si="410"/>
        <v>#REF!</v>
      </c>
      <c r="ET102" s="4" t="e">
        <f t="shared" si="411"/>
        <v>#REF!</v>
      </c>
      <c r="EV102" s="4" t="e">
        <f t="shared" si="350"/>
        <v>#REF!</v>
      </c>
      <c r="FA102" s="23" t="e">
        <f t="shared" si="412"/>
        <v>#REF!</v>
      </c>
      <c r="FB102" s="23" t="e">
        <f t="shared" si="413"/>
        <v>#REF!</v>
      </c>
      <c r="FC102" s="23">
        <f t="shared" si="290"/>
        <v>2</v>
      </c>
      <c r="FD102" s="23" t="e">
        <f t="shared" si="414"/>
        <v>#REF!</v>
      </c>
      <c r="FE102" s="23" t="e">
        <f t="shared" si="415"/>
        <v>#REF!</v>
      </c>
      <c r="FF102" s="23" t="e">
        <f t="shared" si="416"/>
        <v>#REF!</v>
      </c>
      <c r="FG102" s="23" t="e">
        <f t="shared" si="417"/>
        <v>#REF!</v>
      </c>
      <c r="FH102" s="23"/>
      <c r="FR102" s="4">
        <f t="shared" si="351"/>
        <v>1</v>
      </c>
      <c r="FS102" s="4">
        <f t="shared" si="352"/>
        <v>0.65416666666666656</v>
      </c>
      <c r="FT102" s="4">
        <f t="shared" si="353"/>
        <v>0</v>
      </c>
      <c r="FU102" s="4">
        <f t="shared" si="354"/>
        <v>328.55225292905033</v>
      </c>
    </row>
    <row r="103" spans="1:177" ht="12" customHeight="1" x14ac:dyDescent="0.3">
      <c r="B103" s="24"/>
      <c r="C103" s="7" t="s">
        <v>620</v>
      </c>
      <c r="D103" s="38">
        <f t="shared" si="418"/>
        <v>889.65517241379314</v>
      </c>
      <c r="E103" s="38">
        <f>11*25.4</f>
        <v>279.39999999999998</v>
      </c>
      <c r="F103" s="38">
        <f>4820/145</f>
        <v>33.241379310344826</v>
      </c>
      <c r="G103" s="38">
        <f t="shared" si="419"/>
        <v>25.4</v>
      </c>
      <c r="H103" s="38">
        <f>18.3*25.4</f>
        <v>464.82</v>
      </c>
      <c r="I103" s="38">
        <f t="shared" si="420"/>
        <v>63.5</v>
      </c>
      <c r="J103" s="7">
        <f t="shared" si="201"/>
        <v>50.8</v>
      </c>
      <c r="K103" s="7">
        <f t="shared" si="379"/>
        <v>130.81</v>
      </c>
      <c r="L103" s="38">
        <v>3</v>
      </c>
      <c r="M103" s="39">
        <f t="shared" si="421"/>
        <v>50.8</v>
      </c>
      <c r="N103" s="7">
        <f t="shared" si="380"/>
        <v>2.5</v>
      </c>
      <c r="O103" s="7">
        <f t="shared" si="381"/>
        <v>3</v>
      </c>
      <c r="P103" s="38">
        <v>4</v>
      </c>
      <c r="Q103" s="4">
        <f t="shared" si="422"/>
        <v>4</v>
      </c>
      <c r="R103" s="4">
        <f t="shared" si="312"/>
        <v>5</v>
      </c>
      <c r="S103" s="7">
        <f t="shared" si="313"/>
        <v>56.796126628494655</v>
      </c>
      <c r="T103" s="7"/>
      <c r="U103" s="7"/>
      <c r="V103" s="38">
        <f>98.5/(PI()/4)/0.145*X104</f>
        <v>731.1952241277877</v>
      </c>
      <c r="W103" s="7" t="s">
        <v>654</v>
      </c>
      <c r="X103" s="7"/>
      <c r="Y103" s="7"/>
      <c r="Z103" s="7"/>
      <c r="AA103" s="39">
        <v>1</v>
      </c>
      <c r="AB103" s="7"/>
      <c r="AC103" s="7"/>
      <c r="AD103" s="7"/>
      <c r="AE103" s="4">
        <f t="shared" si="364"/>
        <v>279.39999999999998</v>
      </c>
      <c r="AF103" s="44">
        <f t="shared" si="382"/>
        <v>0.31928374655647385</v>
      </c>
      <c r="AG103" s="25">
        <f t="shared" si="314"/>
        <v>177.13343774215744</v>
      </c>
      <c r="AH103" s="4">
        <f t="shared" si="315"/>
        <v>0.74545454545454537</v>
      </c>
      <c r="AI103" s="4">
        <v>1.25</v>
      </c>
      <c r="AJ103" s="25">
        <f t="shared" si="355"/>
        <v>5</v>
      </c>
      <c r="AK103" s="38">
        <f t="shared" si="205"/>
        <v>263.49874242642056</v>
      </c>
      <c r="AL103" s="38">
        <f t="shared" si="356"/>
        <v>263.49874242642056</v>
      </c>
      <c r="AN103" s="38">
        <f t="shared" si="383"/>
        <v>263.49874242642068</v>
      </c>
      <c r="AO103" s="38">
        <f t="shared" si="316"/>
        <v>0.99999999999999956</v>
      </c>
      <c r="AP103" s="38">
        <f t="shared" si="357"/>
        <v>1.3624615178266861</v>
      </c>
      <c r="AQ103" s="4">
        <f t="shared" si="228"/>
        <v>0</v>
      </c>
      <c r="AR103" s="4" t="e">
        <f>#REF!/G103*F103^0.5/0.19</f>
        <v>#REF!</v>
      </c>
      <c r="AS103" s="4">
        <f t="shared" si="317"/>
        <v>1.08</v>
      </c>
      <c r="AT103" s="38">
        <f t="shared" si="318"/>
        <v>359.00689655172414</v>
      </c>
      <c r="AU103" s="4">
        <f t="shared" si="319"/>
        <v>0.44000000000000006</v>
      </c>
      <c r="AV103" s="4" t="e">
        <f>AU103*D103*#REF!/(D103*G103/2.75/F103^0.5)</f>
        <v>#REF!</v>
      </c>
      <c r="AW103" s="4" t="e">
        <f t="shared" si="384"/>
        <v>#REF!</v>
      </c>
      <c r="AY103" s="36">
        <f t="shared" si="320"/>
        <v>1.1000000000000001</v>
      </c>
      <c r="AZ103" s="36" t="e">
        <f>(1.6*#REF!+22)*AY103*F103^0.5</f>
        <v>#REF!</v>
      </c>
      <c r="BE103" s="4">
        <f t="shared" si="321"/>
        <v>63.5</v>
      </c>
      <c r="BF103" s="4">
        <f t="shared" si="322"/>
        <v>50.8</v>
      </c>
      <c r="BG103" s="4">
        <f t="shared" si="323"/>
        <v>63.5</v>
      </c>
      <c r="BH103" s="4">
        <f t="shared" si="324"/>
        <v>63.5</v>
      </c>
      <c r="BI103" s="4">
        <f t="shared" si="385"/>
        <v>1.0250000000000001</v>
      </c>
      <c r="BJ103" s="25">
        <f t="shared" si="325"/>
        <v>2.5625000000000004</v>
      </c>
      <c r="BL103" s="4">
        <f t="shared" si="326"/>
        <v>63.5</v>
      </c>
      <c r="BP103" s="9"/>
      <c r="BR103" s="9"/>
      <c r="BS103" s="9"/>
      <c r="BT103" s="9">
        <f t="shared" si="327"/>
        <v>50.8</v>
      </c>
      <c r="BU103" s="9">
        <f t="shared" si="328"/>
        <v>65.405000000000001</v>
      </c>
      <c r="BV103" s="9">
        <f t="shared" si="329"/>
        <v>1.4688487685376905</v>
      </c>
      <c r="BW103" s="9">
        <v>0</v>
      </c>
      <c r="BX103" s="9">
        <f t="shared" si="330"/>
        <v>0</v>
      </c>
      <c r="BY103" s="9">
        <f t="shared" si="386"/>
        <v>0</v>
      </c>
      <c r="BZ103" s="9">
        <f t="shared" si="331"/>
        <v>0.99524931562137331</v>
      </c>
      <c r="CA103" s="9">
        <f t="shared" si="332"/>
        <v>0.68</v>
      </c>
      <c r="CB103" s="9">
        <f t="shared" si="333"/>
        <v>1.3656781551917097</v>
      </c>
      <c r="CC103" s="9">
        <f t="shared" si="334"/>
        <v>2.0059746764721678</v>
      </c>
      <c r="CD103" s="9">
        <v>1</v>
      </c>
      <c r="CE103" s="9" t="e">
        <f>4*CC103*#REF!+60*CC103</f>
        <v>#REF!</v>
      </c>
      <c r="CG103" s="4" t="e">
        <f t="shared" si="387"/>
        <v>#REF!</v>
      </c>
      <c r="CH103" s="4" t="e">
        <f t="shared" si="388"/>
        <v>#REF!</v>
      </c>
      <c r="CI103" s="4" t="e">
        <f t="shared" si="389"/>
        <v>#REF!</v>
      </c>
      <c r="CJ103" s="4" t="e">
        <f t="shared" si="390"/>
        <v>#REF!</v>
      </c>
      <c r="CK103" s="4" t="e">
        <f t="shared" si="391"/>
        <v>#REF!</v>
      </c>
      <c r="CL103" s="4" t="e">
        <f t="shared" si="392"/>
        <v>#REF!</v>
      </c>
      <c r="CM103" s="4">
        <f t="shared" si="393"/>
        <v>1.816128425931379</v>
      </c>
      <c r="CO103" s="4" t="e">
        <f t="shared" si="394"/>
        <v>#REF!</v>
      </c>
      <c r="CP103" s="4" t="e">
        <f t="shared" si="395"/>
        <v>#REF!</v>
      </c>
      <c r="CQ103" s="4" t="e">
        <f t="shared" si="396"/>
        <v>#REF!</v>
      </c>
      <c r="CR103" s="4">
        <f t="shared" si="378"/>
        <v>1.816128425931379</v>
      </c>
      <c r="CS103" s="4" t="e">
        <f t="shared" si="397"/>
        <v>#REF!</v>
      </c>
      <c r="CT103" s="4" t="e">
        <f t="shared" si="398"/>
        <v>#REF!</v>
      </c>
      <c r="DB103" s="4">
        <f t="shared" si="399"/>
        <v>0</v>
      </c>
      <c r="DC103" s="4">
        <f t="shared" si="335"/>
        <v>279.39999999999998</v>
      </c>
      <c r="DD103" s="4" t="e">
        <f>#REF!/E103</f>
        <v>#REF!</v>
      </c>
      <c r="DF103" s="4">
        <f t="shared" si="336"/>
        <v>2.0096207151589931E-5</v>
      </c>
      <c r="DG103" s="4">
        <f t="shared" si="400"/>
        <v>7.28468947084263</v>
      </c>
      <c r="DH103" s="4">
        <f t="shared" si="358"/>
        <v>0.43795058920526347</v>
      </c>
      <c r="DI103" s="4">
        <f t="shared" si="359"/>
        <v>5.2357763797277759</v>
      </c>
      <c r="DJ103" s="4">
        <f t="shared" si="360"/>
        <v>6.3437205043384113</v>
      </c>
      <c r="DK103" s="4">
        <f t="shared" si="337"/>
        <v>6.8439176364279284</v>
      </c>
      <c r="DL103" s="38" t="e">
        <f t="shared" si="338"/>
        <v>#REF!</v>
      </c>
      <c r="DM103" s="4" t="e">
        <f t="shared" si="361"/>
        <v>#REF!</v>
      </c>
      <c r="DN103" s="4">
        <f t="shared" si="362"/>
        <v>2.2360679774997898</v>
      </c>
      <c r="DO103" s="4">
        <f t="shared" si="363"/>
        <v>263.49874242642068</v>
      </c>
      <c r="DS103" s="4">
        <f t="shared" si="339"/>
        <v>0.85</v>
      </c>
      <c r="DT103" s="4">
        <f t="shared" si="340"/>
        <v>0.85</v>
      </c>
      <c r="DU103" s="4">
        <f t="shared" si="341"/>
        <v>1</v>
      </c>
      <c r="DV103" s="4">
        <f t="shared" si="401"/>
        <v>0.85</v>
      </c>
      <c r="DX103" s="4" t="e">
        <f t="shared" si="342"/>
        <v>#REF!</v>
      </c>
      <c r="DY103" s="25">
        <f t="shared" si="402"/>
        <v>272.68494032559664</v>
      </c>
      <c r="EA103" s="4">
        <f t="shared" si="423"/>
        <v>0.72249999999999992</v>
      </c>
      <c r="EB103" s="4">
        <f t="shared" si="309"/>
        <v>7.28468947084263</v>
      </c>
      <c r="EC103" s="4">
        <f t="shared" si="344"/>
        <v>5.3947678462508959</v>
      </c>
      <c r="EE103" s="4">
        <f t="shared" si="345"/>
        <v>56.796126628494655</v>
      </c>
      <c r="EF103" s="4">
        <f t="shared" si="403"/>
        <v>2.2360679774997898</v>
      </c>
      <c r="EG103" s="4">
        <f t="shared" si="346"/>
        <v>0.13807018232988313</v>
      </c>
      <c r="EJ103" s="4">
        <f t="shared" si="404"/>
        <v>0.13807018232988313</v>
      </c>
      <c r="EK103" s="4">
        <f t="shared" si="347"/>
        <v>0.43721973129477409</v>
      </c>
      <c r="EL103" s="4">
        <f t="shared" si="405"/>
        <v>5.2322796144259733</v>
      </c>
      <c r="EM103" s="4">
        <f t="shared" si="406"/>
        <v>6.342279396007469</v>
      </c>
      <c r="EN103" s="4">
        <f t="shared" si="407"/>
        <v>152.75387337150534</v>
      </c>
      <c r="EO103" s="4">
        <f t="shared" si="408"/>
        <v>69.849999999999994</v>
      </c>
      <c r="EP103" s="4">
        <f t="shared" si="348"/>
        <v>2.0096207151589931E-5</v>
      </c>
      <c r="EQ103" s="4">
        <f t="shared" si="409"/>
        <v>6.8440389973044624</v>
      </c>
      <c r="ER103" s="4" t="e">
        <f t="shared" si="349"/>
        <v>#REF!</v>
      </c>
      <c r="ES103" s="4" t="e">
        <f t="shared" si="410"/>
        <v>#REF!</v>
      </c>
      <c r="ET103" s="4" t="e">
        <f t="shared" si="411"/>
        <v>#REF!</v>
      </c>
      <c r="EV103" s="4" t="e">
        <f t="shared" si="350"/>
        <v>#REF!</v>
      </c>
      <c r="FA103" s="23" t="e">
        <f t="shared" si="412"/>
        <v>#REF!</v>
      </c>
      <c r="FB103" s="23" t="e">
        <f t="shared" si="413"/>
        <v>#REF!</v>
      </c>
      <c r="FC103" s="23">
        <f t="shared" si="290"/>
        <v>2</v>
      </c>
      <c r="FD103" s="23" t="e">
        <f t="shared" si="414"/>
        <v>#REF!</v>
      </c>
      <c r="FE103" s="23" t="e">
        <f t="shared" si="415"/>
        <v>#REF!</v>
      </c>
      <c r="FF103" s="23" t="e">
        <f t="shared" si="416"/>
        <v>#REF!</v>
      </c>
      <c r="FG103" s="23" t="e">
        <f t="shared" si="417"/>
        <v>#REF!</v>
      </c>
      <c r="FH103" s="23"/>
      <c r="FR103" s="4">
        <f t="shared" si="351"/>
        <v>1</v>
      </c>
      <c r="FS103" s="4">
        <f t="shared" si="352"/>
        <v>0.65416666666666656</v>
      </c>
      <c r="FT103" s="4">
        <f t="shared" si="353"/>
        <v>0</v>
      </c>
      <c r="FU103" s="4">
        <f t="shared" si="354"/>
        <v>402.6120695472311</v>
      </c>
    </row>
    <row r="104" spans="1:177" ht="12" customHeight="1" x14ac:dyDescent="0.3">
      <c r="B104" s="24"/>
      <c r="C104" s="7" t="s">
        <v>621</v>
      </c>
      <c r="D104" s="38">
        <f t="shared" si="418"/>
        <v>889.65517241379314</v>
      </c>
      <c r="E104" s="38">
        <f>13*25.4</f>
        <v>330.2</v>
      </c>
      <c r="F104" s="38">
        <f>4900/145</f>
        <v>33.793103448275865</v>
      </c>
      <c r="G104" s="38">
        <f t="shared" si="419"/>
        <v>25.4</v>
      </c>
      <c r="H104" s="38">
        <f>18.4*25.4</f>
        <v>467.35999999999996</v>
      </c>
      <c r="I104" s="38">
        <f t="shared" si="420"/>
        <v>63.5</v>
      </c>
      <c r="J104" s="7">
        <f t="shared" si="201"/>
        <v>50.8</v>
      </c>
      <c r="K104" s="7">
        <f t="shared" si="379"/>
        <v>132.07999999999998</v>
      </c>
      <c r="L104" s="38">
        <v>3</v>
      </c>
      <c r="M104" s="39">
        <f t="shared" si="421"/>
        <v>50.8</v>
      </c>
      <c r="N104" s="7">
        <f t="shared" si="380"/>
        <v>2.5</v>
      </c>
      <c r="O104" s="7">
        <f t="shared" si="381"/>
        <v>3</v>
      </c>
      <c r="P104" s="38">
        <v>4</v>
      </c>
      <c r="Q104" s="4">
        <f t="shared" si="422"/>
        <v>4</v>
      </c>
      <c r="R104" s="4">
        <f t="shared" si="312"/>
        <v>5</v>
      </c>
      <c r="S104" s="7">
        <f t="shared" si="313"/>
        <v>56.796126628494655</v>
      </c>
      <c r="T104" s="7"/>
      <c r="U104" s="7"/>
      <c r="V104" s="38">
        <f>122/(PI()/4)/0.145*X104</f>
        <v>905.64281567096566</v>
      </c>
      <c r="W104" s="7" t="s">
        <v>654</v>
      </c>
      <c r="X104" s="7">
        <f>AVERAGE(X96:X102)</f>
        <v>0.84538589834180455</v>
      </c>
      <c r="Y104" s="7"/>
      <c r="Z104" s="7"/>
      <c r="AA104" s="39">
        <v>1</v>
      </c>
      <c r="AB104" s="7"/>
      <c r="AC104" s="7"/>
      <c r="AD104" s="7"/>
      <c r="AE104" s="4">
        <f t="shared" si="364"/>
        <v>330.2</v>
      </c>
      <c r="AF104" s="44">
        <f t="shared" si="382"/>
        <v>0.24194608809993426</v>
      </c>
      <c r="AG104" s="25">
        <f t="shared" si="314"/>
        <v>229.45687414382829</v>
      </c>
      <c r="AH104" s="4">
        <f t="shared" si="315"/>
        <v>0.73846153846153839</v>
      </c>
      <c r="AI104" s="4">
        <v>1.25</v>
      </c>
      <c r="AJ104" s="25">
        <f>AJ103</f>
        <v>5</v>
      </c>
      <c r="AK104" s="38">
        <f t="shared" si="205"/>
        <v>256.22858347725327</v>
      </c>
      <c r="AL104" s="38">
        <f t="shared" si="356"/>
        <v>256.22858347725327</v>
      </c>
      <c r="AN104" s="38">
        <f t="shared" si="383"/>
        <v>256.22858347725338</v>
      </c>
      <c r="AO104" s="38">
        <f t="shared" si="316"/>
        <v>0.99999999999999956</v>
      </c>
      <c r="AP104" s="38">
        <f t="shared" si="357"/>
        <v>1.424374721541475</v>
      </c>
      <c r="AQ104" s="4">
        <f t="shared" si="228"/>
        <v>0</v>
      </c>
      <c r="AR104" s="4" t="e">
        <f>#REF!/G104*F104^0.5/0.19</f>
        <v>#REF!</v>
      </c>
      <c r="AS104" s="4">
        <f t="shared" si="317"/>
        <v>1.08</v>
      </c>
      <c r="AT104" s="38">
        <f t="shared" si="318"/>
        <v>364.96551724137936</v>
      </c>
      <c r="AU104" s="4">
        <f t="shared" si="319"/>
        <v>0.44000000000000006</v>
      </c>
      <c r="AV104" s="4" t="e">
        <f>AU104*D104*#REF!/(D104*G104/2.75/F104^0.5)</f>
        <v>#REF!</v>
      </c>
      <c r="AW104" s="4" t="e">
        <f t="shared" si="384"/>
        <v>#REF!</v>
      </c>
      <c r="AY104" s="36">
        <f t="shared" si="320"/>
        <v>1.1000000000000001</v>
      </c>
      <c r="AZ104" s="36" t="e">
        <f>(1.6*#REF!+22)*AY104*F104^0.5</f>
        <v>#REF!</v>
      </c>
      <c r="BE104" s="4">
        <f t="shared" si="321"/>
        <v>63.5</v>
      </c>
      <c r="BF104" s="4">
        <f t="shared" si="322"/>
        <v>50.8</v>
      </c>
      <c r="BG104" s="4">
        <f t="shared" si="323"/>
        <v>63.5</v>
      </c>
      <c r="BH104" s="4">
        <f t="shared" si="324"/>
        <v>63.5</v>
      </c>
      <c r="BI104" s="4">
        <f t="shared" si="385"/>
        <v>1.0250000000000001</v>
      </c>
      <c r="BJ104" s="25">
        <f t="shared" si="325"/>
        <v>2.5625000000000004</v>
      </c>
      <c r="BL104" s="4">
        <f t="shared" si="326"/>
        <v>63.5</v>
      </c>
      <c r="BP104" s="9"/>
      <c r="BR104" s="9"/>
      <c r="BS104" s="9"/>
      <c r="BT104" s="9">
        <f t="shared" si="327"/>
        <v>50.8</v>
      </c>
      <c r="BU104" s="9">
        <f t="shared" si="328"/>
        <v>66.039999999999992</v>
      </c>
      <c r="BV104" s="9">
        <f t="shared" si="329"/>
        <v>1.47097909478315</v>
      </c>
      <c r="BW104" s="9">
        <v>0</v>
      </c>
      <c r="BX104" s="9">
        <f t="shared" si="330"/>
        <v>0</v>
      </c>
      <c r="BY104" s="9">
        <f t="shared" si="386"/>
        <v>0</v>
      </c>
      <c r="BZ104" s="9">
        <f t="shared" si="331"/>
        <v>0.99524931562137331</v>
      </c>
      <c r="CA104" s="9">
        <f t="shared" si="332"/>
        <v>0.68</v>
      </c>
      <c r="CB104" s="9">
        <f t="shared" si="333"/>
        <v>1.3769649434514548</v>
      </c>
      <c r="CC104" s="9">
        <f t="shared" si="334"/>
        <v>2.0254866460663523</v>
      </c>
      <c r="CD104" s="9">
        <v>1</v>
      </c>
      <c r="CE104" s="9" t="e">
        <f>4*CC104*#REF!+60*CC104</f>
        <v>#REF!</v>
      </c>
      <c r="CG104" s="4" t="e">
        <f t="shared" si="387"/>
        <v>#REF!</v>
      </c>
      <c r="CH104" s="4" t="e">
        <f t="shared" si="388"/>
        <v>#REF!</v>
      </c>
      <c r="CI104" s="4" t="e">
        <f t="shared" si="389"/>
        <v>#REF!</v>
      </c>
      <c r="CJ104" s="4" t="e">
        <f t="shared" si="390"/>
        <v>#REF!</v>
      </c>
      <c r="CK104" s="4" t="e">
        <f t="shared" si="391"/>
        <v>#REF!</v>
      </c>
      <c r="CL104" s="4" t="e">
        <f t="shared" si="392"/>
        <v>#REF!</v>
      </c>
      <c r="CM104" s="4">
        <f t="shared" si="393"/>
        <v>1.8834633534428806</v>
      </c>
      <c r="CO104" s="4" t="e">
        <f t="shared" si="394"/>
        <v>#REF!</v>
      </c>
      <c r="CP104" s="4" t="e">
        <f t="shared" si="395"/>
        <v>#REF!</v>
      </c>
      <c r="CQ104" s="4" t="e">
        <f t="shared" si="396"/>
        <v>#REF!</v>
      </c>
      <c r="CR104" s="4">
        <f t="shared" si="378"/>
        <v>1.8834633534428806</v>
      </c>
      <c r="CS104" s="4" t="e">
        <f t="shared" si="397"/>
        <v>#REF!</v>
      </c>
      <c r="CT104" s="4" t="e">
        <f t="shared" si="398"/>
        <v>#REF!</v>
      </c>
      <c r="DB104" s="4">
        <f t="shared" si="399"/>
        <v>0</v>
      </c>
      <c r="DC104" s="4">
        <f t="shared" si="335"/>
        <v>330.2</v>
      </c>
      <c r="DD104" s="4" t="e">
        <f>#REF!/E104</f>
        <v>#REF!</v>
      </c>
      <c r="DF104" s="4">
        <f t="shared" si="336"/>
        <v>2.3841003655999786E-5</v>
      </c>
      <c r="DG104" s="4">
        <f t="shared" si="400"/>
        <v>7.3448945398648089</v>
      </c>
      <c r="DH104" s="4">
        <f t="shared" si="358"/>
        <v>0.41891421932562034</v>
      </c>
      <c r="DI104" s="4">
        <f t="shared" si="359"/>
        <v>5.186036931996048</v>
      </c>
      <c r="DJ104" s="4">
        <f t="shared" si="360"/>
        <v>6.3580358640988877</v>
      </c>
      <c r="DK104" s="4">
        <f t="shared" si="337"/>
        <v>6.7196286453850629</v>
      </c>
      <c r="DL104" s="38" t="e">
        <f t="shared" si="338"/>
        <v>#REF!</v>
      </c>
      <c r="DM104" s="4" t="e">
        <f t="shared" si="361"/>
        <v>#REF!</v>
      </c>
      <c r="DN104" s="4">
        <f t="shared" si="362"/>
        <v>2.2360679774997898</v>
      </c>
      <c r="DO104" s="4">
        <f t="shared" si="363"/>
        <v>256.22858347725338</v>
      </c>
      <c r="DS104" s="4">
        <f t="shared" si="339"/>
        <v>0.85</v>
      </c>
      <c r="DT104" s="4">
        <f t="shared" si="340"/>
        <v>0.85</v>
      </c>
      <c r="DU104" s="4">
        <f t="shared" si="341"/>
        <v>1</v>
      </c>
      <c r="DV104" s="4">
        <f t="shared" si="401"/>
        <v>0.85</v>
      </c>
      <c r="DX104" s="4" t="e">
        <f t="shared" si="342"/>
        <v>#REF!</v>
      </c>
      <c r="DY104" s="25">
        <f t="shared" si="402"/>
        <v>252.35678942669762</v>
      </c>
      <c r="EA104" s="4">
        <f t="shared" si="423"/>
        <v>0.72249999999999992</v>
      </c>
      <c r="EB104" s="4">
        <f t="shared" si="309"/>
        <v>7.3448945398648089</v>
      </c>
      <c r="EC104" s="4">
        <f t="shared" si="344"/>
        <v>5.4393534626786328</v>
      </c>
      <c r="EE104" s="4">
        <f t="shared" si="345"/>
        <v>56.796126628494655</v>
      </c>
      <c r="EF104" s="4">
        <f t="shared" si="403"/>
        <v>2.2360679774997898</v>
      </c>
      <c r="EG104" s="4">
        <f t="shared" si="346"/>
        <v>0.13316019003883056</v>
      </c>
      <c r="EJ104" s="4">
        <f t="shared" si="404"/>
        <v>0.13316019003883056</v>
      </c>
      <c r="EK104" s="4">
        <f t="shared" si="347"/>
        <v>0.41821512956856294</v>
      </c>
      <c r="EL104" s="4">
        <f t="shared" si="405"/>
        <v>5.1825733856788512</v>
      </c>
      <c r="EM104" s="4">
        <f t="shared" si="406"/>
        <v>6.3566254752196159</v>
      </c>
      <c r="EN104" s="4">
        <f t="shared" si="407"/>
        <v>190.85387337150533</v>
      </c>
      <c r="EO104" s="4">
        <f t="shared" si="408"/>
        <v>82.549999999999983</v>
      </c>
      <c r="EP104" s="4">
        <f t="shared" si="348"/>
        <v>2.3841003655999783E-5</v>
      </c>
      <c r="EQ104" s="4">
        <f t="shared" si="409"/>
        <v>6.7197894855382199</v>
      </c>
      <c r="ER104" s="4" t="e">
        <f t="shared" si="349"/>
        <v>#REF!</v>
      </c>
      <c r="ES104" s="4" t="e">
        <f t="shared" si="410"/>
        <v>#REF!</v>
      </c>
      <c r="ET104" s="4" t="e">
        <f t="shared" si="411"/>
        <v>#REF!</v>
      </c>
      <c r="EV104" s="4" t="e">
        <f t="shared" si="350"/>
        <v>#REF!</v>
      </c>
      <c r="FA104" s="23" t="e">
        <f t="shared" si="412"/>
        <v>#REF!</v>
      </c>
      <c r="FB104" s="23" t="e">
        <f t="shared" si="413"/>
        <v>#REF!</v>
      </c>
      <c r="FC104" s="23">
        <f t="shared" si="290"/>
        <v>2</v>
      </c>
      <c r="FD104" s="23" t="e">
        <f t="shared" si="414"/>
        <v>#REF!</v>
      </c>
      <c r="FE104" s="23" t="e">
        <f t="shared" si="415"/>
        <v>#REF!</v>
      </c>
      <c r="FF104" s="23" t="e">
        <f t="shared" si="416"/>
        <v>#REF!</v>
      </c>
      <c r="FG104" s="23" t="e">
        <f t="shared" si="417"/>
        <v>#REF!</v>
      </c>
      <c r="FH104" s="23"/>
      <c r="FR104" s="4">
        <f t="shared" si="351"/>
        <v>1</v>
      </c>
      <c r="FS104" s="4">
        <f t="shared" si="352"/>
        <v>0.64999999999999991</v>
      </c>
      <c r="FT104" s="4">
        <f t="shared" si="353"/>
        <v>0</v>
      </c>
      <c r="FU104" s="4">
        <f t="shared" si="354"/>
        <v>480.83909570923907</v>
      </c>
    </row>
    <row r="105" spans="1:177" s="19" customFormat="1" ht="12" customHeight="1" x14ac:dyDescent="0.3">
      <c r="A105" s="19">
        <v>2</v>
      </c>
      <c r="B105" s="20" t="s">
        <v>272</v>
      </c>
      <c r="C105" s="21" t="s">
        <v>273</v>
      </c>
      <c r="D105" s="21">
        <v>472</v>
      </c>
      <c r="E105" s="21" t="e">
        <f>G105*#REF!</f>
        <v>#REF!</v>
      </c>
      <c r="F105" s="21">
        <v>26</v>
      </c>
      <c r="G105" s="7">
        <v>25.4</v>
      </c>
      <c r="H105" s="21">
        <f>25*25.4</f>
        <v>635</v>
      </c>
      <c r="I105" s="21">
        <f>0.5*(H105-15*G105-G105)</f>
        <v>114.3</v>
      </c>
      <c r="J105" s="21">
        <f>H105-6*G105-5*K105</f>
        <v>228.60000000000002</v>
      </c>
      <c r="K105" s="21">
        <f>2*25.4</f>
        <v>50.8</v>
      </c>
      <c r="L105" s="21">
        <v>3</v>
      </c>
      <c r="M105" s="21">
        <f t="shared" ref="M105:M123" si="424">2.5*25.4-G105/2</f>
        <v>50.8</v>
      </c>
      <c r="N105" s="7">
        <f t="shared" si="380"/>
        <v>1.5</v>
      </c>
      <c r="O105" s="21">
        <f>(M105+G105/2)/G105</f>
        <v>2.5</v>
      </c>
      <c r="P105" s="21">
        <v>1.18</v>
      </c>
      <c r="Q105" s="7">
        <f t="shared" si="227"/>
        <v>1.18</v>
      </c>
      <c r="R105" s="21">
        <f t="shared" si="312"/>
        <v>2.1799999999999997</v>
      </c>
      <c r="S105" s="21">
        <f t="shared" si="313"/>
        <v>37.502650572992827</v>
      </c>
      <c r="T105" s="21"/>
      <c r="U105" s="21"/>
      <c r="V105" s="21">
        <v>62</v>
      </c>
      <c r="W105" s="21"/>
      <c r="X105" s="7">
        <f>CK105</f>
        <v>0</v>
      </c>
      <c r="Y105" s="21"/>
      <c r="Z105" s="21"/>
      <c r="AA105" s="7">
        <v>1</v>
      </c>
      <c r="AB105" s="7"/>
      <c r="AC105" s="7"/>
      <c r="AD105" s="21"/>
      <c r="AE105" s="4" t="e">
        <f t="shared" si="364"/>
        <v>#REF!</v>
      </c>
      <c r="AF105" s="44" t="e">
        <f t="shared" ref="AF105:AF123" si="425">MIN(H105)*(MIN(254-M105-0.5*G105,1.5*AE105)+M105+G105/2)/(3*E105)^2</f>
        <v>#REF!</v>
      </c>
      <c r="AG105" s="25" t="e">
        <f t="shared" si="314"/>
        <v>#REF!</v>
      </c>
      <c r="AH105" s="4" t="e">
        <f t="shared" si="315"/>
        <v>#REF!</v>
      </c>
      <c r="AI105" s="4">
        <v>1.25</v>
      </c>
      <c r="AJ105" s="25">
        <v>5</v>
      </c>
      <c r="AK105" s="38" t="e">
        <f t="shared" si="205"/>
        <v>#REF!</v>
      </c>
      <c r="AL105" s="38" t="e">
        <f t="shared" si="356"/>
        <v>#REF!</v>
      </c>
      <c r="AM105" s="38"/>
      <c r="AN105" s="38" t="e">
        <f t="shared" ref="AN105:AN123" si="426">AJ105* (F105^0.5/AE105^0.5)/(PI()/4*G105^2)/L105/0.72 *(0.7+(MIN(I105,M105)+0.5*G105)/5/E105) *(H105*MIN(M105+0.5*G105+1.5*E105,254))</f>
        <v>#REF!</v>
      </c>
      <c r="AO105" s="38" t="e">
        <f t="shared" si="316"/>
        <v>#REF!</v>
      </c>
      <c r="AP105" s="38"/>
      <c r="AQ105" s="4"/>
      <c r="AR105" s="19" t="e">
        <f>#REF!/G105*F105^0.5/0.19</f>
        <v>#REF!</v>
      </c>
      <c r="AS105" s="19">
        <f t="shared" si="317"/>
        <v>1.2666666666666666</v>
      </c>
      <c r="AT105" s="38">
        <f t="shared" si="318"/>
        <v>107.32427125305811</v>
      </c>
      <c r="AU105" s="19">
        <f t="shared" si="319"/>
        <v>0.83479999999999999</v>
      </c>
      <c r="AV105" s="19" t="e">
        <f>AU105*D105*#REF!/(D105*G105/2.75/F105^0.5)</f>
        <v>#REF!</v>
      </c>
      <c r="AW105" s="19" t="e">
        <f t="shared" ref="AW105:AW123" si="427">AT105+AV105</f>
        <v>#REF!</v>
      </c>
      <c r="AY105" s="36">
        <f t="shared" ref="AY105:AY136" si="428">MAX(1, (0.9+0.1*MIN(2,I105/G105,K105/G105))*(0.9+0.1*MIN(3.5,I105/K105))+0.45*MIN(2.5,(40*2*PI()*Y105^2/4/AA105/L105)/G105))</f>
        <v>1.2375</v>
      </c>
      <c r="AZ105" s="36" t="e">
        <f>(1.6*#REF!+22)*AY105*F105^0.5</f>
        <v>#REF!</v>
      </c>
      <c r="BE105" s="4">
        <f t="shared" si="321"/>
        <v>31.799999999999997</v>
      </c>
      <c r="BF105" s="4">
        <f t="shared" si="322"/>
        <v>31.799999999999997</v>
      </c>
      <c r="BG105" s="4">
        <f t="shared" si="323"/>
        <v>50.8</v>
      </c>
      <c r="BH105" s="4">
        <f t="shared" si="324"/>
        <v>44.5</v>
      </c>
      <c r="BI105" s="4">
        <f t="shared" si="229"/>
        <v>1.0597484276729561</v>
      </c>
      <c r="BJ105" s="25">
        <f t="shared" si="325"/>
        <v>1.8566458673797854</v>
      </c>
      <c r="BK105" s="4"/>
      <c r="BL105" s="19">
        <f t="shared" si="326"/>
        <v>25.4</v>
      </c>
      <c r="BP105" s="18"/>
      <c r="BR105" s="18"/>
      <c r="BS105" s="18"/>
      <c r="BT105" s="18">
        <f t="shared" si="327"/>
        <v>25.4</v>
      </c>
      <c r="BU105" s="18">
        <f t="shared" si="328"/>
        <v>114.3</v>
      </c>
      <c r="BV105" s="18">
        <f t="shared" si="329"/>
        <v>1.2530888829563018</v>
      </c>
      <c r="BW105" s="9">
        <v>0</v>
      </c>
      <c r="BX105" s="18">
        <f t="shared" si="330"/>
        <v>0</v>
      </c>
      <c r="BY105" s="18">
        <f t="shared" ref="BY105:BY123" si="429">MAX(0,BW105*(BX105-0.5/50))</f>
        <v>0</v>
      </c>
      <c r="BZ105" s="18">
        <f t="shared" si="331"/>
        <v>0.99524931562137331</v>
      </c>
      <c r="CA105" s="18">
        <f t="shared" si="332"/>
        <v>1.056</v>
      </c>
      <c r="CB105" s="18">
        <f t="shared" si="333"/>
        <v>1.8756444837875041</v>
      </c>
      <c r="CC105" s="18">
        <f t="shared" si="334"/>
        <v>2.3503492510124331</v>
      </c>
      <c r="CD105" s="9">
        <v>1</v>
      </c>
      <c r="CE105" s="18" t="e">
        <f>4*CC105*#REF!+60*CC105</f>
        <v>#REF!</v>
      </c>
      <c r="CI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B105" s="4">
        <f t="shared" si="232"/>
        <v>0</v>
      </c>
      <c r="DC105" s="4" t="e">
        <f t="shared" si="335"/>
        <v>#REF!</v>
      </c>
      <c r="DD105" s="4" t="e">
        <f>#REF!/E105</f>
        <v>#REF!</v>
      </c>
      <c r="DF105" s="4" t="e">
        <f t="shared" si="336"/>
        <v>#REF!</v>
      </c>
      <c r="DG105" s="4">
        <f t="shared" si="233"/>
        <v>3.4568864757817224</v>
      </c>
      <c r="DH105" s="4"/>
      <c r="DI105" s="4"/>
      <c r="DJ105" s="4"/>
      <c r="DK105" s="4"/>
      <c r="DL105" s="38" t="e">
        <f t="shared" si="338"/>
        <v>#REF!</v>
      </c>
      <c r="DM105" s="4" t="e">
        <f t="shared" si="361"/>
        <v>#REF!</v>
      </c>
      <c r="DN105" s="4"/>
      <c r="DO105" s="4" t="e">
        <f t="shared" si="363"/>
        <v>#REF!</v>
      </c>
      <c r="DS105" s="19">
        <f t="shared" si="339"/>
        <v>0.85</v>
      </c>
      <c r="DT105" s="19">
        <f t="shared" si="340"/>
        <v>1</v>
      </c>
      <c r="DU105" s="19">
        <f t="shared" si="341"/>
        <v>1</v>
      </c>
      <c r="DV105" s="19">
        <f t="shared" ref="DV105:DV123" si="430">IF(DT105*DU105&lt;0.7,0.7,DT105*DU105)</f>
        <v>1</v>
      </c>
      <c r="DX105" s="4" t="e">
        <f t="shared" si="342"/>
        <v>#REF!</v>
      </c>
      <c r="DY105" s="25" t="e">
        <f t="shared" ref="DY105:DY123" si="431">8.8*H105*254*F105^0.5/L105/G105^2/E105^0.5*(0.7+MIN(M105,I105)/5/E105)</f>
        <v>#REF!</v>
      </c>
      <c r="EB105" s="4">
        <f>EC105</f>
        <v>3.4568864757817224</v>
      </c>
      <c r="EC105" s="4">
        <f t="shared" si="344"/>
        <v>3.4568864757817224</v>
      </c>
      <c r="EE105" s="4">
        <f t="shared" si="345"/>
        <v>37.502650572992827</v>
      </c>
      <c r="EF105" s="4">
        <f t="shared" si="235"/>
        <v>1.4764823060233399</v>
      </c>
      <c r="EG105" s="4" t="e">
        <f t="shared" si="346"/>
        <v>#REF!</v>
      </c>
      <c r="EJ105" s="19" t="e">
        <f t="shared" ref="EJ105:EJ123" si="432">EG105</f>
        <v>#REF!</v>
      </c>
      <c r="EK105" s="19" t="e">
        <f t="shared" si="347"/>
        <v>#REF!</v>
      </c>
      <c r="EL105" s="4" t="e">
        <f t="shared" si="237"/>
        <v>#REF!</v>
      </c>
      <c r="EM105" s="19" t="e">
        <f t="shared" ref="EM105:EM123" si="433">EB105/1.4*(1-EK105^1.4)/(1-EK105)</f>
        <v>#REF!</v>
      </c>
      <c r="EN105" s="4" t="e">
        <f t="shared" si="239"/>
        <v>#REF!</v>
      </c>
      <c r="EO105" s="4" t="e">
        <f t="shared" si="240"/>
        <v>#REF!</v>
      </c>
      <c r="EP105" s="19" t="e">
        <f t="shared" si="348"/>
        <v>#REF!</v>
      </c>
      <c r="EQ105" s="19" t="e">
        <f t="shared" ref="EQ105:EQ123" si="434">MAX(0.5*EB105, (1-2*EP105*(EE105*EL105+EN105*EM105))/(1/EB105+EP105*EO105))</f>
        <v>#REF!</v>
      </c>
      <c r="ER105" s="4" t="e">
        <f t="shared" si="349"/>
        <v>#REF!</v>
      </c>
      <c r="ES105" s="4" t="e">
        <f t="shared" si="242"/>
        <v>#REF!</v>
      </c>
      <c r="ET105" s="4" t="e">
        <f t="shared" si="243"/>
        <v>#REF!</v>
      </c>
      <c r="EU105" s="4"/>
      <c r="EV105" s="4" t="e">
        <f t="shared" si="350"/>
        <v>#REF!</v>
      </c>
      <c r="FA105" s="23"/>
      <c r="FB105" s="23"/>
      <c r="FC105" s="23"/>
      <c r="FD105" s="23"/>
      <c r="FE105" s="23"/>
      <c r="FF105" s="23"/>
      <c r="FG105" s="23"/>
      <c r="FH105" s="22"/>
      <c r="FR105" s="4">
        <f t="shared" si="351"/>
        <v>1</v>
      </c>
      <c r="FS105" s="4">
        <f t="shared" si="352"/>
        <v>0.91666666666666663</v>
      </c>
      <c r="FT105" s="4">
        <f t="shared" si="353"/>
        <v>0</v>
      </c>
      <c r="FU105" s="4" t="e">
        <f t="shared" si="354"/>
        <v>#REF!</v>
      </c>
    </row>
    <row r="106" spans="1:177" s="19" customFormat="1" ht="12" customHeight="1" x14ac:dyDescent="0.3">
      <c r="B106" s="20">
        <v>2006</v>
      </c>
      <c r="C106" s="21" t="s">
        <v>273</v>
      </c>
      <c r="D106" s="21">
        <v>472</v>
      </c>
      <c r="E106" s="21" t="e">
        <f>G106*#REF!</f>
        <v>#REF!</v>
      </c>
      <c r="F106" s="21">
        <v>26</v>
      </c>
      <c r="G106" s="7">
        <v>25.4</v>
      </c>
      <c r="H106" s="21">
        <f>36*25.4</f>
        <v>914.4</v>
      </c>
      <c r="I106" s="21">
        <f>0.5*(H106-25*G106-G106)</f>
        <v>126.99999999999999</v>
      </c>
      <c r="J106" s="21">
        <f>H105-15*25.4-25.4</f>
        <v>228.6</v>
      </c>
      <c r="K106" s="21">
        <f t="shared" ref="K106:K123" si="435">4*25.4</f>
        <v>101.6</v>
      </c>
      <c r="L106" s="21">
        <v>3</v>
      </c>
      <c r="M106" s="21">
        <f t="shared" si="424"/>
        <v>50.8</v>
      </c>
      <c r="N106" s="7">
        <f t="shared" si="380"/>
        <v>2.5</v>
      </c>
      <c r="O106" s="21">
        <f>(M106+G106/2)/G106</f>
        <v>2.5</v>
      </c>
      <c r="P106" s="21">
        <v>1.18</v>
      </c>
      <c r="Q106" s="7">
        <f t="shared" si="227"/>
        <v>1.18</v>
      </c>
      <c r="R106" s="21">
        <f t="shared" si="312"/>
        <v>2.1799999999999997</v>
      </c>
      <c r="S106" s="21">
        <f t="shared" si="313"/>
        <v>37.502650572992827</v>
      </c>
      <c r="T106" s="21"/>
      <c r="U106" s="21"/>
      <c r="V106" s="21">
        <v>92</v>
      </c>
      <c r="W106" s="21"/>
      <c r="X106" s="21"/>
      <c r="Y106" s="21"/>
      <c r="Z106" s="21"/>
      <c r="AA106" s="7">
        <v>1</v>
      </c>
      <c r="AB106" s="7"/>
      <c r="AC106" s="7"/>
      <c r="AD106" s="21"/>
      <c r="AE106" s="4" t="e">
        <f t="shared" si="364"/>
        <v>#REF!</v>
      </c>
      <c r="AF106" s="44" t="e">
        <f t="shared" si="425"/>
        <v>#REF!</v>
      </c>
      <c r="AG106" s="25" t="e">
        <f t="shared" si="314"/>
        <v>#REF!</v>
      </c>
      <c r="AH106" s="4" t="e">
        <f t="shared" si="315"/>
        <v>#REF!</v>
      </c>
      <c r="AI106" s="4">
        <v>1.25</v>
      </c>
      <c r="AJ106" s="25">
        <f>AJ105</f>
        <v>5</v>
      </c>
      <c r="AK106" s="38" t="e">
        <f t="shared" si="205"/>
        <v>#REF!</v>
      </c>
      <c r="AL106" s="38" t="e">
        <f t="shared" si="356"/>
        <v>#REF!</v>
      </c>
      <c r="AM106" s="38"/>
      <c r="AN106" s="38" t="e">
        <f t="shared" si="426"/>
        <v>#REF!</v>
      </c>
      <c r="AO106" s="38" t="e">
        <f t="shared" si="316"/>
        <v>#REF!</v>
      </c>
      <c r="AP106" s="38"/>
      <c r="AQ106" s="4"/>
      <c r="AR106" s="19" t="e">
        <f>#REF!/G106*F106^0.5/0.19</f>
        <v>#REF!</v>
      </c>
      <c r="AS106" s="19">
        <f t="shared" si="317"/>
        <v>1</v>
      </c>
      <c r="AT106" s="38">
        <f t="shared" si="318"/>
        <v>141.2161463856028</v>
      </c>
      <c r="AU106" s="19">
        <f t="shared" si="319"/>
        <v>0.83479999999999999</v>
      </c>
      <c r="AV106" s="19" t="e">
        <f>AU106*D106*#REF!/(D106*G106/2.75/F106^0.5)</f>
        <v>#REF!</v>
      </c>
      <c r="AW106" s="19" t="e">
        <f t="shared" si="427"/>
        <v>#REF!</v>
      </c>
      <c r="AY106" s="36">
        <f t="shared" si="428"/>
        <v>1.1274999999999999</v>
      </c>
      <c r="AZ106" s="36" t="e">
        <f>(1.6*#REF!+22)*AY106*F106^0.5</f>
        <v>#REF!</v>
      </c>
      <c r="BE106" s="4">
        <f t="shared" si="321"/>
        <v>57.199999999999996</v>
      </c>
      <c r="BF106" s="4">
        <f t="shared" si="322"/>
        <v>50.8</v>
      </c>
      <c r="BG106" s="4">
        <f t="shared" si="323"/>
        <v>57.199999999999996</v>
      </c>
      <c r="BH106" s="4">
        <f t="shared" si="324"/>
        <v>63.5</v>
      </c>
      <c r="BI106" s="4">
        <f t="shared" si="229"/>
        <v>1.0125984251968505</v>
      </c>
      <c r="BJ106" s="25">
        <f t="shared" si="325"/>
        <v>2.5314960629921264</v>
      </c>
      <c r="BK106" s="4"/>
      <c r="BL106" s="19">
        <f t="shared" si="326"/>
        <v>50.8</v>
      </c>
      <c r="BP106" s="18"/>
      <c r="BR106" s="18"/>
      <c r="BS106" s="18"/>
      <c r="BT106" s="18">
        <f t="shared" si="327"/>
        <v>50.8</v>
      </c>
      <c r="BU106" s="18">
        <f t="shared" si="328"/>
        <v>126.99999999999999</v>
      </c>
      <c r="BV106" s="18">
        <f t="shared" si="329"/>
        <v>1.622579553879709</v>
      </c>
      <c r="BW106" s="9">
        <v>0</v>
      </c>
      <c r="BX106" s="18">
        <f t="shared" si="330"/>
        <v>0</v>
      </c>
      <c r="BY106" s="18">
        <f t="shared" si="429"/>
        <v>0</v>
      </c>
      <c r="BZ106" s="18">
        <f t="shared" si="331"/>
        <v>0.99524931562137331</v>
      </c>
      <c r="CA106" s="18">
        <f t="shared" si="332"/>
        <v>1.056</v>
      </c>
      <c r="CB106" s="18">
        <f t="shared" si="333"/>
        <v>1.8756444837875041</v>
      </c>
      <c r="CC106" s="18">
        <f t="shared" si="334"/>
        <v>3.0433823897408656</v>
      </c>
      <c r="CD106" s="9">
        <v>1</v>
      </c>
      <c r="CE106" s="18" t="e">
        <f>4*CC106*#REF!+60*CC106</f>
        <v>#REF!</v>
      </c>
      <c r="CI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B106" s="4">
        <f t="shared" si="232"/>
        <v>0</v>
      </c>
      <c r="DC106" s="4" t="e">
        <f t="shared" si="335"/>
        <v>#REF!</v>
      </c>
      <c r="DD106" s="4" t="e">
        <f>#REF!/E106</f>
        <v>#REF!</v>
      </c>
      <c r="DF106" s="4" t="e">
        <f t="shared" si="336"/>
        <v>#REF!</v>
      </c>
      <c r="DG106" s="4">
        <f t="shared" si="233"/>
        <v>4.7133891591304096</v>
      </c>
      <c r="DH106" s="4"/>
      <c r="DI106" s="4"/>
      <c r="DJ106" s="4"/>
      <c r="DK106" s="4"/>
      <c r="DL106" s="38" t="e">
        <f t="shared" si="338"/>
        <v>#REF!</v>
      </c>
      <c r="DM106" s="4" t="e">
        <f t="shared" si="361"/>
        <v>#REF!</v>
      </c>
      <c r="DN106" s="4"/>
      <c r="DO106" s="4" t="e">
        <f t="shared" si="363"/>
        <v>#REF!</v>
      </c>
      <c r="DS106" s="19">
        <f t="shared" si="339"/>
        <v>0.85</v>
      </c>
      <c r="DT106" s="19">
        <f t="shared" si="340"/>
        <v>0.9</v>
      </c>
      <c r="DU106" s="19">
        <f t="shared" si="341"/>
        <v>1</v>
      </c>
      <c r="DV106" s="19">
        <f t="shared" si="430"/>
        <v>0.9</v>
      </c>
      <c r="DX106" s="4" t="e">
        <f t="shared" si="342"/>
        <v>#REF!</v>
      </c>
      <c r="DY106" s="25" t="e">
        <f t="shared" si="431"/>
        <v>#REF!</v>
      </c>
      <c r="EB106" s="4">
        <f t="shared" ref="EB106:EB153" si="436">EC106</f>
        <v>4.7133891591304096</v>
      </c>
      <c r="EC106" s="4">
        <f t="shared" si="344"/>
        <v>4.7133891591304096</v>
      </c>
      <c r="EE106" s="4">
        <f t="shared" si="345"/>
        <v>37.502650572992827</v>
      </c>
      <c r="EF106" s="4">
        <f t="shared" si="235"/>
        <v>1.4764823060233399</v>
      </c>
      <c r="EG106" s="4" t="e">
        <f t="shared" si="346"/>
        <v>#REF!</v>
      </c>
      <c r="EJ106" s="19" t="e">
        <f t="shared" si="432"/>
        <v>#REF!</v>
      </c>
      <c r="EK106" s="19" t="e">
        <f t="shared" si="347"/>
        <v>#REF!</v>
      </c>
      <c r="EL106" s="4" t="e">
        <f t="shared" si="237"/>
        <v>#REF!</v>
      </c>
      <c r="EM106" s="19" t="e">
        <f t="shared" si="433"/>
        <v>#REF!</v>
      </c>
      <c r="EN106" s="4" t="e">
        <f t="shared" si="239"/>
        <v>#REF!</v>
      </c>
      <c r="EO106" s="4" t="e">
        <f t="shared" si="240"/>
        <v>#REF!</v>
      </c>
      <c r="EP106" s="19" t="e">
        <f t="shared" si="348"/>
        <v>#REF!</v>
      </c>
      <c r="EQ106" s="19" t="e">
        <f t="shared" si="434"/>
        <v>#REF!</v>
      </c>
      <c r="ER106" s="4" t="e">
        <f t="shared" si="349"/>
        <v>#REF!</v>
      </c>
      <c r="ES106" s="4" t="e">
        <f t="shared" si="242"/>
        <v>#REF!</v>
      </c>
      <c r="ET106" s="4" t="e">
        <f t="shared" si="243"/>
        <v>#REF!</v>
      </c>
      <c r="EU106" s="4"/>
      <c r="EV106" s="4" t="e">
        <f t="shared" si="350"/>
        <v>#REF!</v>
      </c>
      <c r="FA106" s="23"/>
      <c r="FB106" s="23"/>
      <c r="FC106" s="23"/>
      <c r="FD106" s="23"/>
      <c r="FE106" s="23"/>
      <c r="FF106" s="23"/>
      <c r="FG106" s="23"/>
      <c r="FH106" s="22"/>
      <c r="FR106" s="4">
        <f t="shared" si="351"/>
        <v>1</v>
      </c>
      <c r="FS106" s="4">
        <f t="shared" si="352"/>
        <v>0.75</v>
      </c>
      <c r="FT106" s="4">
        <f t="shared" si="353"/>
        <v>0</v>
      </c>
      <c r="FU106" s="4" t="e">
        <f t="shared" si="354"/>
        <v>#REF!</v>
      </c>
    </row>
    <row r="107" spans="1:177" s="19" customFormat="1" ht="12" customHeight="1" x14ac:dyDescent="0.3">
      <c r="B107" s="20" t="s">
        <v>293</v>
      </c>
      <c r="C107" s="21" t="s">
        <v>294</v>
      </c>
      <c r="D107" s="21">
        <v>472</v>
      </c>
      <c r="E107" s="21" t="e">
        <f>G107*#REF!</f>
        <v>#REF!</v>
      </c>
      <c r="F107" s="21">
        <v>26</v>
      </c>
      <c r="G107" s="7">
        <v>25.4</v>
      </c>
      <c r="H107" s="21">
        <f>36*25.4</f>
        <v>914.4</v>
      </c>
      <c r="I107" s="21">
        <f t="shared" ref="I107:I123" si="437">5*25.4</f>
        <v>127</v>
      </c>
      <c r="J107" s="21"/>
      <c r="K107" s="21">
        <f>10*25.4-1.5*G107-S107/2</f>
        <v>197.1486747135036</v>
      </c>
      <c r="L107" s="21">
        <v>3</v>
      </c>
      <c r="M107" s="21">
        <f t="shared" si="424"/>
        <v>50.8</v>
      </c>
      <c r="N107" s="7">
        <f t="shared" si="380"/>
        <v>2.5</v>
      </c>
      <c r="O107" s="10">
        <f>(I107+G107/2)/G107</f>
        <v>5.5</v>
      </c>
      <c r="P107" s="21">
        <v>1.18</v>
      </c>
      <c r="Q107" s="7">
        <f t="shared" si="227"/>
        <v>1.18</v>
      </c>
      <c r="R107" s="21">
        <f t="shared" si="312"/>
        <v>2.1799999999999997</v>
      </c>
      <c r="S107" s="21">
        <f t="shared" si="313"/>
        <v>37.502650572992827</v>
      </c>
      <c r="T107" s="21"/>
      <c r="U107" s="21"/>
      <c r="V107" s="21">
        <v>121</v>
      </c>
      <c r="W107" s="21"/>
      <c r="X107" s="21"/>
      <c r="Y107" s="21"/>
      <c r="Z107" s="21"/>
      <c r="AA107" s="7">
        <v>1</v>
      </c>
      <c r="AB107" s="7"/>
      <c r="AC107" s="7"/>
      <c r="AD107" s="21"/>
      <c r="AE107" s="4" t="e">
        <f t="shared" si="364"/>
        <v>#REF!</v>
      </c>
      <c r="AF107" s="44" t="e">
        <f t="shared" si="425"/>
        <v>#REF!</v>
      </c>
      <c r="AG107" s="25" t="e">
        <f t="shared" si="314"/>
        <v>#REF!</v>
      </c>
      <c r="AH107" s="4" t="e">
        <f t="shared" si="315"/>
        <v>#REF!</v>
      </c>
      <c r="AI107" s="4">
        <v>1.25</v>
      </c>
      <c r="AJ107" s="25">
        <f t="shared" ref="AJ107:AJ153" si="438">AJ106</f>
        <v>5</v>
      </c>
      <c r="AK107" s="38" t="e">
        <f t="shared" si="205"/>
        <v>#REF!</v>
      </c>
      <c r="AL107" s="38" t="e">
        <f t="shared" si="356"/>
        <v>#REF!</v>
      </c>
      <c r="AM107" s="38"/>
      <c r="AN107" s="38" t="e">
        <f t="shared" si="426"/>
        <v>#REF!</v>
      </c>
      <c r="AO107" s="38" t="e">
        <f t="shared" si="316"/>
        <v>#REF!</v>
      </c>
      <c r="AP107" s="38"/>
      <c r="AQ107" s="4"/>
      <c r="AR107" s="19" t="e">
        <f>#REF!/G107*F107^0.5/0.19</f>
        <v>#REF!</v>
      </c>
      <c r="AS107" s="19">
        <f t="shared" si="317"/>
        <v>1.48</v>
      </c>
      <c r="AT107" s="38">
        <f t="shared" si="318"/>
        <v>208.99989665069214</v>
      </c>
      <c r="AU107" s="19">
        <f t="shared" si="319"/>
        <v>0.83479999999999999</v>
      </c>
      <c r="AV107" s="19" t="e">
        <f>AU107*D107*#REF!/(D107*G107/2.75/F107^0.5)</f>
        <v>#REF!</v>
      </c>
      <c r="AW107" s="19" t="e">
        <f t="shared" si="427"/>
        <v>#REF!</v>
      </c>
      <c r="AY107" s="36">
        <f t="shared" si="428"/>
        <v>1.060860227796617</v>
      </c>
      <c r="AZ107" s="36" t="e">
        <f>(1.6*#REF!+22)*AY107*F107^0.5</f>
        <v>#REF!</v>
      </c>
      <c r="BE107" s="4">
        <f t="shared" si="321"/>
        <v>104.9743373567518</v>
      </c>
      <c r="BF107" s="4">
        <f t="shared" si="322"/>
        <v>50.8</v>
      </c>
      <c r="BG107" s="4">
        <f t="shared" si="323"/>
        <v>104.9743373567518</v>
      </c>
      <c r="BH107" s="4">
        <f t="shared" si="324"/>
        <v>63.5</v>
      </c>
      <c r="BI107" s="4">
        <f t="shared" si="229"/>
        <v>1.1066423963715586</v>
      </c>
      <c r="BJ107" s="25">
        <f t="shared" si="325"/>
        <v>2.7666059909288965</v>
      </c>
      <c r="BK107" s="4"/>
      <c r="BL107" s="19">
        <f t="shared" si="326"/>
        <v>98.574337356751798</v>
      </c>
      <c r="BP107" s="18"/>
      <c r="BR107" s="18"/>
      <c r="BS107" s="18"/>
      <c r="BT107" s="18">
        <f t="shared" si="327"/>
        <v>98.574337356751798</v>
      </c>
      <c r="BU107" s="18">
        <f t="shared" si="328"/>
        <v>127</v>
      </c>
      <c r="BV107" s="18">
        <f t="shared" si="329"/>
        <v>2.0463082399363279</v>
      </c>
      <c r="BW107" s="9">
        <v>0</v>
      </c>
      <c r="BX107" s="18">
        <f t="shared" si="330"/>
        <v>0</v>
      </c>
      <c r="BY107" s="18">
        <f t="shared" si="429"/>
        <v>0</v>
      </c>
      <c r="BZ107" s="18">
        <f t="shared" si="331"/>
        <v>0.99524931562137331</v>
      </c>
      <c r="CA107" s="18">
        <f t="shared" si="332"/>
        <v>1.056</v>
      </c>
      <c r="CB107" s="18">
        <f t="shared" si="333"/>
        <v>1.8756444837875041</v>
      </c>
      <c r="CC107" s="18">
        <f t="shared" si="334"/>
        <v>3.8381467623654899</v>
      </c>
      <c r="CD107" s="9">
        <v>1</v>
      </c>
      <c r="CE107" s="18" t="e">
        <f>4*CC107*#REF!+60*CC107</f>
        <v>#REF!</v>
      </c>
      <c r="CI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B107" s="4">
        <f t="shared" si="232"/>
        <v>0</v>
      </c>
      <c r="DC107" s="4" t="e">
        <f t="shared" si="335"/>
        <v>#REF!</v>
      </c>
      <c r="DD107" s="4" t="e">
        <f>#REF!/E107</f>
        <v>#REF!</v>
      </c>
      <c r="DF107" s="4" t="e">
        <f t="shared" si="336"/>
        <v>#REF!</v>
      </c>
      <c r="DG107" s="4">
        <f t="shared" si="233"/>
        <v>5.1511400218480468</v>
      </c>
      <c r="DH107" s="4"/>
      <c r="DI107" s="4"/>
      <c r="DJ107" s="4"/>
      <c r="DK107" s="4"/>
      <c r="DL107" s="38" t="e">
        <f t="shared" si="338"/>
        <v>#REF!</v>
      </c>
      <c r="DM107" s="4" t="e">
        <f t="shared" si="361"/>
        <v>#REF!</v>
      </c>
      <c r="DN107" s="4"/>
      <c r="DO107" s="4" t="e">
        <f t="shared" si="363"/>
        <v>#REF!</v>
      </c>
      <c r="DS107" s="19">
        <f t="shared" si="339"/>
        <v>1</v>
      </c>
      <c r="DT107" s="19">
        <f t="shared" si="340"/>
        <v>0.71191205765058341</v>
      </c>
      <c r="DU107" s="19">
        <f t="shared" si="341"/>
        <v>1</v>
      </c>
      <c r="DV107" s="19">
        <f t="shared" si="430"/>
        <v>0.71191205765058341</v>
      </c>
      <c r="DX107" s="4" t="e">
        <f t="shared" si="342"/>
        <v>#REF!</v>
      </c>
      <c r="DY107" s="25" t="e">
        <f t="shared" si="431"/>
        <v>#REF!</v>
      </c>
      <c r="EB107" s="4">
        <f t="shared" si="436"/>
        <v>5.1511400218480468</v>
      </c>
      <c r="EC107" s="4">
        <f t="shared" si="344"/>
        <v>5.1511400218480468</v>
      </c>
      <c r="EE107" s="4">
        <f t="shared" si="345"/>
        <v>37.502650572992827</v>
      </c>
      <c r="EF107" s="4">
        <f t="shared" si="235"/>
        <v>1.4764823060233399</v>
      </c>
      <c r="EG107" s="4" t="e">
        <f t="shared" si="346"/>
        <v>#REF!</v>
      </c>
      <c r="EJ107" s="19" t="e">
        <f t="shared" si="432"/>
        <v>#REF!</v>
      </c>
      <c r="EK107" s="19" t="e">
        <f t="shared" si="347"/>
        <v>#REF!</v>
      </c>
      <c r="EL107" s="4" t="e">
        <f t="shared" si="237"/>
        <v>#REF!</v>
      </c>
      <c r="EM107" s="19" t="e">
        <f t="shared" si="433"/>
        <v>#REF!</v>
      </c>
      <c r="EN107" s="4" t="e">
        <f t="shared" si="239"/>
        <v>#REF!</v>
      </c>
      <c r="EO107" s="4" t="e">
        <f t="shared" si="240"/>
        <v>#REF!</v>
      </c>
      <c r="EP107" s="19" t="e">
        <f t="shared" si="348"/>
        <v>#REF!</v>
      </c>
      <c r="EQ107" s="19" t="e">
        <f t="shared" si="434"/>
        <v>#REF!</v>
      </c>
      <c r="ER107" s="4" t="e">
        <f t="shared" si="349"/>
        <v>#REF!</v>
      </c>
      <c r="ES107" s="4" t="e">
        <f t="shared" si="242"/>
        <v>#REF!</v>
      </c>
      <c r="ET107" s="4" t="e">
        <f t="shared" si="243"/>
        <v>#REF!</v>
      </c>
      <c r="EU107" s="4"/>
      <c r="EV107" s="4" t="e">
        <f t="shared" si="350"/>
        <v>#REF!</v>
      </c>
      <c r="FA107" s="23"/>
      <c r="FB107" s="23"/>
      <c r="FC107" s="23"/>
      <c r="FD107" s="23"/>
      <c r="FE107" s="23"/>
      <c r="FF107" s="23"/>
      <c r="FG107" s="23"/>
      <c r="FH107" s="22"/>
      <c r="FR107" s="4">
        <f t="shared" si="351"/>
        <v>1</v>
      </c>
      <c r="FS107" s="4">
        <f t="shared" si="352"/>
        <v>0.5</v>
      </c>
      <c r="FT107" s="4">
        <f t="shared" si="353"/>
        <v>0</v>
      </c>
      <c r="FU107" s="4" t="e">
        <f t="shared" si="354"/>
        <v>#REF!</v>
      </c>
    </row>
    <row r="108" spans="1:177" ht="12" customHeight="1" x14ac:dyDescent="0.3">
      <c r="B108" s="24"/>
      <c r="C108" s="7" t="s">
        <v>273</v>
      </c>
      <c r="D108" s="7">
        <v>472</v>
      </c>
      <c r="E108" s="7" t="e">
        <f>G108*#REF!</f>
        <v>#REF!</v>
      </c>
      <c r="F108" s="7">
        <v>28</v>
      </c>
      <c r="G108" s="7">
        <v>25.4</v>
      </c>
      <c r="H108" s="7">
        <f>36*25.4</f>
        <v>914.4</v>
      </c>
      <c r="I108" s="7">
        <f t="shared" si="437"/>
        <v>127</v>
      </c>
      <c r="J108" s="7"/>
      <c r="K108" s="7">
        <f t="shared" si="435"/>
        <v>101.6</v>
      </c>
      <c r="L108" s="7">
        <v>3</v>
      </c>
      <c r="M108" s="7">
        <f t="shared" si="424"/>
        <v>50.8</v>
      </c>
      <c r="N108" s="7">
        <f t="shared" si="380"/>
        <v>2.5</v>
      </c>
      <c r="O108" s="7">
        <f>(M108+G108/2)/G108</f>
        <v>2.5</v>
      </c>
      <c r="P108" s="7">
        <v>1.18</v>
      </c>
      <c r="Q108" s="7">
        <f t="shared" si="227"/>
        <v>1.18</v>
      </c>
      <c r="R108" s="7">
        <f t="shared" si="312"/>
        <v>2.1799999999999997</v>
      </c>
      <c r="S108" s="7">
        <f t="shared" si="313"/>
        <v>37.502650572992827</v>
      </c>
      <c r="T108" s="7"/>
      <c r="U108" s="7"/>
      <c r="V108" s="7">
        <v>182</v>
      </c>
      <c r="W108" s="7"/>
      <c r="X108" s="7"/>
      <c r="Y108" s="7"/>
      <c r="Z108" s="7"/>
      <c r="AA108" s="7">
        <v>1</v>
      </c>
      <c r="AB108" s="7"/>
      <c r="AC108" s="7"/>
      <c r="AD108" s="7"/>
      <c r="AE108" s="4" t="e">
        <f t="shared" si="364"/>
        <v>#REF!</v>
      </c>
      <c r="AF108" s="44" t="e">
        <f t="shared" si="425"/>
        <v>#REF!</v>
      </c>
      <c r="AG108" s="25" t="e">
        <f t="shared" si="314"/>
        <v>#REF!</v>
      </c>
      <c r="AH108" s="4" t="e">
        <f t="shared" si="315"/>
        <v>#REF!</v>
      </c>
      <c r="AI108" s="4">
        <v>1.25</v>
      </c>
      <c r="AJ108" s="25">
        <f t="shared" si="438"/>
        <v>5</v>
      </c>
      <c r="AK108" s="38" t="e">
        <f t="shared" si="205"/>
        <v>#REF!</v>
      </c>
      <c r="AL108" s="38" t="e">
        <f t="shared" si="356"/>
        <v>#REF!</v>
      </c>
      <c r="AN108" s="38" t="e">
        <f t="shared" si="426"/>
        <v>#REF!</v>
      </c>
      <c r="AO108" s="38" t="e">
        <f t="shared" si="316"/>
        <v>#REF!</v>
      </c>
      <c r="AR108" s="4" t="e">
        <f>#REF!/G108*F108^0.5/0.19</f>
        <v>#REF!</v>
      </c>
      <c r="AS108" s="4">
        <f t="shared" si="317"/>
        <v>1</v>
      </c>
      <c r="AT108" s="38">
        <f t="shared" si="318"/>
        <v>152.078926876803</v>
      </c>
      <c r="AU108" s="4">
        <f t="shared" si="319"/>
        <v>0.83479999999999999</v>
      </c>
      <c r="AV108" s="4" t="e">
        <f>AU108*D108*#REF!/(D108*G108/2.75/F108^0.5)</f>
        <v>#REF!</v>
      </c>
      <c r="AW108" s="4" t="e">
        <f t="shared" si="427"/>
        <v>#REF!</v>
      </c>
      <c r="AY108" s="36">
        <f t="shared" si="428"/>
        <v>1.1274999999999999</v>
      </c>
      <c r="AZ108" s="36" t="e">
        <f>(1.6*#REF!+22)*AY108*F108^0.5</f>
        <v>#REF!</v>
      </c>
      <c r="BE108" s="4">
        <f t="shared" si="321"/>
        <v>57.199999999999996</v>
      </c>
      <c r="BF108" s="4">
        <f t="shared" si="322"/>
        <v>50.8</v>
      </c>
      <c r="BG108" s="4">
        <f t="shared" si="323"/>
        <v>57.199999999999996</v>
      </c>
      <c r="BH108" s="4">
        <f t="shared" si="324"/>
        <v>63.5</v>
      </c>
      <c r="BI108" s="4">
        <f t="shared" si="229"/>
        <v>1.0125984251968505</v>
      </c>
      <c r="BJ108" s="25">
        <f t="shared" si="325"/>
        <v>2.5314960629921264</v>
      </c>
      <c r="BL108" s="4">
        <f t="shared" si="326"/>
        <v>50.8</v>
      </c>
      <c r="BP108" s="9"/>
      <c r="BR108" s="9"/>
      <c r="BS108" s="9"/>
      <c r="BT108" s="9">
        <f t="shared" si="327"/>
        <v>50.8</v>
      </c>
      <c r="BU108" s="9">
        <f t="shared" si="328"/>
        <v>127</v>
      </c>
      <c r="BV108" s="9">
        <f t="shared" si="329"/>
        <v>1.622579553879709</v>
      </c>
      <c r="BW108" s="9">
        <v>0</v>
      </c>
      <c r="BX108" s="9">
        <f t="shared" si="330"/>
        <v>0</v>
      </c>
      <c r="BY108" s="9">
        <f t="shared" si="429"/>
        <v>0</v>
      </c>
      <c r="BZ108" s="9">
        <f t="shared" si="331"/>
        <v>0.99524931562137331</v>
      </c>
      <c r="CA108" s="9">
        <f t="shared" si="332"/>
        <v>1.056</v>
      </c>
      <c r="CB108" s="9">
        <f t="shared" si="333"/>
        <v>1.9464482686693119</v>
      </c>
      <c r="CC108" s="9">
        <f t="shared" si="334"/>
        <v>3.158267163427384</v>
      </c>
      <c r="CD108" s="9">
        <v>1</v>
      </c>
      <c r="CE108" s="9" t="e">
        <f>4*CC108*#REF!+60*CC108</f>
        <v>#REF!</v>
      </c>
      <c r="DB108" s="4">
        <f t="shared" si="232"/>
        <v>0</v>
      </c>
      <c r="DC108" s="4" t="e">
        <f t="shared" si="335"/>
        <v>#REF!</v>
      </c>
      <c r="DD108" s="4" t="e">
        <f>#REF!/E108</f>
        <v>#REF!</v>
      </c>
      <c r="DF108" s="4" t="e">
        <f t="shared" si="336"/>
        <v>#REF!</v>
      </c>
      <c r="DG108" s="4">
        <f t="shared" si="233"/>
        <v>4.8913150907085621</v>
      </c>
      <c r="DL108" s="38" t="e">
        <f t="shared" si="338"/>
        <v>#REF!</v>
      </c>
      <c r="DM108" s="4" t="e">
        <f t="shared" si="361"/>
        <v>#REF!</v>
      </c>
      <c r="DO108" s="4" t="e">
        <f t="shared" si="363"/>
        <v>#REF!</v>
      </c>
      <c r="DS108" s="4">
        <f t="shared" si="339"/>
        <v>1</v>
      </c>
      <c r="DT108" s="4">
        <f t="shared" si="340"/>
        <v>0.9</v>
      </c>
      <c r="DU108" s="4">
        <f t="shared" si="341"/>
        <v>1</v>
      </c>
      <c r="DV108" s="4">
        <f t="shared" si="430"/>
        <v>0.9</v>
      </c>
      <c r="DX108" s="4" t="e">
        <f t="shared" si="342"/>
        <v>#REF!</v>
      </c>
      <c r="DY108" s="25" t="e">
        <f t="shared" si="431"/>
        <v>#REF!</v>
      </c>
      <c r="EB108" s="4">
        <f t="shared" si="436"/>
        <v>4.8913150907085621</v>
      </c>
      <c r="EC108" s="4">
        <f t="shared" si="344"/>
        <v>4.8913150907085621</v>
      </c>
      <c r="EE108" s="4">
        <f t="shared" si="345"/>
        <v>37.502650572992827</v>
      </c>
      <c r="EF108" s="4">
        <f t="shared" si="235"/>
        <v>1.4764823060233399</v>
      </c>
      <c r="EG108" s="4" t="e">
        <f t="shared" si="346"/>
        <v>#REF!</v>
      </c>
      <c r="EJ108" s="4" t="e">
        <f t="shared" si="432"/>
        <v>#REF!</v>
      </c>
      <c r="EK108" s="4" t="e">
        <f t="shared" si="347"/>
        <v>#REF!</v>
      </c>
      <c r="EL108" s="4" t="e">
        <f t="shared" si="237"/>
        <v>#REF!</v>
      </c>
      <c r="EM108" s="4" t="e">
        <f t="shared" si="433"/>
        <v>#REF!</v>
      </c>
      <c r="EN108" s="4" t="e">
        <f t="shared" si="239"/>
        <v>#REF!</v>
      </c>
      <c r="EO108" s="4" t="e">
        <f t="shared" si="240"/>
        <v>#REF!</v>
      </c>
      <c r="EP108" s="4" t="e">
        <f t="shared" si="348"/>
        <v>#REF!</v>
      </c>
      <c r="EQ108" s="4" t="e">
        <f t="shared" si="434"/>
        <v>#REF!</v>
      </c>
      <c r="ER108" s="4" t="e">
        <f t="shared" si="349"/>
        <v>#REF!</v>
      </c>
      <c r="ES108" s="4" t="e">
        <f t="shared" si="242"/>
        <v>#REF!</v>
      </c>
      <c r="ET108" s="4" t="e">
        <f t="shared" si="243"/>
        <v>#REF!</v>
      </c>
      <c r="EV108" s="4" t="e">
        <f t="shared" si="350"/>
        <v>#REF!</v>
      </c>
      <c r="FA108" s="23"/>
      <c r="FB108" s="23"/>
      <c r="FC108" s="23"/>
      <c r="FD108" s="23"/>
      <c r="FE108" s="23"/>
      <c r="FF108" s="23"/>
      <c r="FG108" s="23"/>
      <c r="FH108" s="23"/>
      <c r="FR108" s="4">
        <f t="shared" si="351"/>
        <v>1</v>
      </c>
      <c r="FS108" s="4">
        <f t="shared" si="352"/>
        <v>0.75</v>
      </c>
      <c r="FT108" s="4">
        <f t="shared" si="353"/>
        <v>0</v>
      </c>
      <c r="FU108" s="4" t="e">
        <f t="shared" si="354"/>
        <v>#REF!</v>
      </c>
    </row>
    <row r="109" spans="1:177" s="19" customFormat="1" ht="12" customHeight="1" x14ac:dyDescent="0.3">
      <c r="B109" s="20"/>
      <c r="C109" s="21" t="s">
        <v>281</v>
      </c>
      <c r="D109" s="21">
        <v>472</v>
      </c>
      <c r="E109" s="21" t="e">
        <f>G109*#REF!</f>
        <v>#REF!</v>
      </c>
      <c r="F109" s="21">
        <v>22</v>
      </c>
      <c r="G109" s="7">
        <v>25.4</v>
      </c>
      <c r="H109" s="21">
        <f t="shared" ref="H109:H110" si="439">25*25.4</f>
        <v>635</v>
      </c>
      <c r="I109" s="21">
        <f>I105</f>
        <v>114.3</v>
      </c>
      <c r="J109" s="21"/>
      <c r="K109" s="21">
        <f t="shared" ref="K109:K110" si="440">2*25.4</f>
        <v>50.8</v>
      </c>
      <c r="L109" s="21">
        <v>3</v>
      </c>
      <c r="M109" s="21">
        <f t="shared" si="424"/>
        <v>50.8</v>
      </c>
      <c r="N109" s="7">
        <f t="shared" si="380"/>
        <v>1.5</v>
      </c>
      <c r="O109" s="21">
        <f>(M109+G109/2)/G109</f>
        <v>2.5</v>
      </c>
      <c r="P109" s="21">
        <v>4.7</v>
      </c>
      <c r="Q109" s="7">
        <f t="shared" si="227"/>
        <v>4.7</v>
      </c>
      <c r="R109" s="21">
        <f t="shared" si="312"/>
        <v>5.7</v>
      </c>
      <c r="S109" s="21">
        <f t="shared" si="313"/>
        <v>60.641668842471674</v>
      </c>
      <c r="T109" s="21"/>
      <c r="U109" s="21"/>
      <c r="V109" s="21">
        <v>128</v>
      </c>
      <c r="W109" s="21"/>
      <c r="X109" s="21"/>
      <c r="Y109" s="21"/>
      <c r="Z109" s="21"/>
      <c r="AA109" s="7">
        <v>1</v>
      </c>
      <c r="AB109" s="7"/>
      <c r="AC109" s="7"/>
      <c r="AD109" s="21"/>
      <c r="AE109" s="4" t="e">
        <f t="shared" si="364"/>
        <v>#REF!</v>
      </c>
      <c r="AF109" s="44" t="e">
        <f t="shared" si="425"/>
        <v>#REF!</v>
      </c>
      <c r="AG109" s="25" t="e">
        <f t="shared" si="314"/>
        <v>#REF!</v>
      </c>
      <c r="AH109" s="4" t="e">
        <f t="shared" si="315"/>
        <v>#REF!</v>
      </c>
      <c r="AI109" s="4">
        <v>1.25</v>
      </c>
      <c r="AJ109" s="25">
        <f t="shared" si="438"/>
        <v>5</v>
      </c>
      <c r="AK109" s="38" t="e">
        <f t="shared" si="205"/>
        <v>#REF!</v>
      </c>
      <c r="AL109" s="38" t="e">
        <f t="shared" si="356"/>
        <v>#REF!</v>
      </c>
      <c r="AM109" s="38"/>
      <c r="AN109" s="38" t="e">
        <f t="shared" si="426"/>
        <v>#REF!</v>
      </c>
      <c r="AO109" s="38" t="e">
        <f t="shared" si="316"/>
        <v>#REF!</v>
      </c>
      <c r="AP109" s="38"/>
      <c r="AQ109" s="4"/>
      <c r="AR109" s="19" t="e">
        <f>#REF!/G109*F109^0.5/0.19</f>
        <v>#REF!</v>
      </c>
      <c r="AS109" s="19">
        <f t="shared" si="317"/>
        <v>1.2666666666666666</v>
      </c>
      <c r="AT109" s="38">
        <f t="shared" si="318"/>
        <v>181.24048112935475</v>
      </c>
      <c r="AU109" s="19">
        <f t="shared" si="319"/>
        <v>0.34199999999999997</v>
      </c>
      <c r="AV109" s="19" t="e">
        <f>AU109*D109*#REF!/(D109*G109/2.75/F109^0.5)</f>
        <v>#REF!</v>
      </c>
      <c r="AW109" s="19" t="e">
        <f t="shared" si="427"/>
        <v>#REF!</v>
      </c>
      <c r="AY109" s="36">
        <f t="shared" si="428"/>
        <v>1.2375</v>
      </c>
      <c r="AZ109" s="36" t="e">
        <f>(1.6*#REF!+22)*AY109*F109^0.5</f>
        <v>#REF!</v>
      </c>
      <c r="BE109" s="4">
        <f t="shared" si="321"/>
        <v>31.799999999999997</v>
      </c>
      <c r="BF109" s="4">
        <f t="shared" si="322"/>
        <v>31.799999999999997</v>
      </c>
      <c r="BG109" s="4">
        <f t="shared" si="323"/>
        <v>50.8</v>
      </c>
      <c r="BH109" s="4">
        <f t="shared" si="324"/>
        <v>44.5</v>
      </c>
      <c r="BI109" s="4">
        <f t="shared" si="229"/>
        <v>1.0597484276729561</v>
      </c>
      <c r="BJ109" s="25">
        <f t="shared" si="325"/>
        <v>1.8566458673797854</v>
      </c>
      <c r="BK109" s="4"/>
      <c r="BL109" s="19">
        <f t="shared" si="326"/>
        <v>25.4</v>
      </c>
      <c r="BP109" s="18"/>
      <c r="BR109" s="18"/>
      <c r="BS109" s="18"/>
      <c r="BT109" s="18">
        <f t="shared" si="327"/>
        <v>25.4</v>
      </c>
      <c r="BU109" s="18">
        <f t="shared" si="328"/>
        <v>114.3</v>
      </c>
      <c r="BV109" s="18">
        <f t="shared" si="329"/>
        <v>1.2530888829563018</v>
      </c>
      <c r="BW109" s="9">
        <v>0</v>
      </c>
      <c r="BX109" s="18">
        <f t="shared" si="330"/>
        <v>0</v>
      </c>
      <c r="BY109" s="18">
        <f t="shared" si="429"/>
        <v>0</v>
      </c>
      <c r="BZ109" s="18">
        <f t="shared" si="331"/>
        <v>0.99524931562137331</v>
      </c>
      <c r="CA109" s="18">
        <f t="shared" si="332"/>
        <v>1.056</v>
      </c>
      <c r="CB109" s="18">
        <f t="shared" si="333"/>
        <v>1.7253419844992921</v>
      </c>
      <c r="CC109" s="18">
        <f t="shared" si="334"/>
        <v>2.1620068600738271</v>
      </c>
      <c r="CD109" s="9">
        <v>1</v>
      </c>
      <c r="CE109" s="18" t="e">
        <f>4*CC109*#REF!+60*CC109</f>
        <v>#REF!</v>
      </c>
      <c r="CI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B109" s="4">
        <f t="shared" si="232"/>
        <v>0</v>
      </c>
      <c r="DC109" s="4" t="e">
        <f t="shared" si="335"/>
        <v>#REF!</v>
      </c>
      <c r="DD109" s="4" t="e">
        <f>#REF!/E109</f>
        <v>#REF!</v>
      </c>
      <c r="DF109" s="4" t="e">
        <f t="shared" si="336"/>
        <v>#REF!</v>
      </c>
      <c r="DG109" s="4">
        <f t="shared" si="233"/>
        <v>3.1798730643614395</v>
      </c>
      <c r="DH109" s="4"/>
      <c r="DI109" s="4"/>
      <c r="DJ109" s="4"/>
      <c r="DK109" s="4"/>
      <c r="DL109" s="38" t="e">
        <f t="shared" si="338"/>
        <v>#REF!</v>
      </c>
      <c r="DM109" s="4" t="e">
        <f t="shared" si="361"/>
        <v>#REF!</v>
      </c>
      <c r="DN109" s="4"/>
      <c r="DO109" s="4" t="e">
        <f t="shared" si="363"/>
        <v>#REF!</v>
      </c>
      <c r="DS109" s="19">
        <f t="shared" si="339"/>
        <v>1</v>
      </c>
      <c r="DT109" s="19">
        <f t="shared" si="340"/>
        <v>1</v>
      </c>
      <c r="DU109" s="19">
        <f t="shared" si="341"/>
        <v>1</v>
      </c>
      <c r="DV109" s="19">
        <f t="shared" si="430"/>
        <v>1</v>
      </c>
      <c r="DX109" s="4" t="e">
        <f t="shared" si="342"/>
        <v>#REF!</v>
      </c>
      <c r="DY109" s="25" t="e">
        <f t="shared" si="431"/>
        <v>#REF!</v>
      </c>
      <c r="EB109" s="4">
        <f t="shared" si="436"/>
        <v>3.1798730643614395</v>
      </c>
      <c r="EC109" s="4">
        <f t="shared" si="344"/>
        <v>3.1798730643614395</v>
      </c>
      <c r="EE109" s="4">
        <f t="shared" si="345"/>
        <v>60.641668842471674</v>
      </c>
      <c r="EF109" s="4">
        <f t="shared" si="235"/>
        <v>2.3874672772626644</v>
      </c>
      <c r="EG109" s="4" t="e">
        <f t="shared" si="346"/>
        <v>#REF!</v>
      </c>
      <c r="EJ109" s="19" t="e">
        <f t="shared" si="432"/>
        <v>#REF!</v>
      </c>
      <c r="EK109" s="19" t="e">
        <f t="shared" si="347"/>
        <v>#REF!</v>
      </c>
      <c r="EL109" s="4" t="e">
        <f t="shared" si="237"/>
        <v>#REF!</v>
      </c>
      <c r="EM109" s="19" t="e">
        <f t="shared" si="433"/>
        <v>#REF!</v>
      </c>
      <c r="EN109" s="4" t="e">
        <f t="shared" si="239"/>
        <v>#REF!</v>
      </c>
      <c r="EO109" s="4" t="e">
        <f t="shared" si="240"/>
        <v>#REF!</v>
      </c>
      <c r="EP109" s="19" t="e">
        <f t="shared" si="348"/>
        <v>#REF!</v>
      </c>
      <c r="EQ109" s="19" t="e">
        <f t="shared" si="434"/>
        <v>#REF!</v>
      </c>
      <c r="ER109" s="4" t="e">
        <f t="shared" si="349"/>
        <v>#REF!</v>
      </c>
      <c r="ES109" s="4" t="e">
        <f t="shared" si="242"/>
        <v>#REF!</v>
      </c>
      <c r="ET109" s="4" t="e">
        <f t="shared" si="243"/>
        <v>#REF!</v>
      </c>
      <c r="EU109" s="4"/>
      <c r="EV109" s="4" t="e">
        <f t="shared" si="350"/>
        <v>#REF!</v>
      </c>
      <c r="FA109" s="23"/>
      <c r="FB109" s="23"/>
      <c r="FC109" s="23"/>
      <c r="FD109" s="23"/>
      <c r="FE109" s="23"/>
      <c r="FF109" s="23"/>
      <c r="FG109" s="23"/>
      <c r="FH109" s="22"/>
      <c r="FR109" s="4">
        <f t="shared" si="351"/>
        <v>1</v>
      </c>
      <c r="FS109" s="4">
        <f t="shared" si="352"/>
        <v>0.91666666666666663</v>
      </c>
      <c r="FT109" s="4">
        <f t="shared" si="353"/>
        <v>0</v>
      </c>
      <c r="FU109" s="4" t="e">
        <f t="shared" si="354"/>
        <v>#REF!</v>
      </c>
    </row>
    <row r="110" spans="1:177" s="19" customFormat="1" ht="12" customHeight="1" x14ac:dyDescent="0.3">
      <c r="B110" s="20"/>
      <c r="C110" s="21" t="s">
        <v>281</v>
      </c>
      <c r="D110" s="21">
        <v>472</v>
      </c>
      <c r="E110" s="21" t="e">
        <f>G110*#REF!</f>
        <v>#REF!</v>
      </c>
      <c r="F110" s="21">
        <v>26</v>
      </c>
      <c r="G110" s="7">
        <v>25.4</v>
      </c>
      <c r="H110" s="21">
        <f t="shared" si="439"/>
        <v>635</v>
      </c>
      <c r="I110" s="21">
        <f>I109</f>
        <v>114.3</v>
      </c>
      <c r="J110" s="21"/>
      <c r="K110" s="21">
        <f t="shared" si="440"/>
        <v>50.8</v>
      </c>
      <c r="L110" s="21">
        <v>3</v>
      </c>
      <c r="M110" s="21">
        <f t="shared" si="424"/>
        <v>50.8</v>
      </c>
      <c r="N110" s="7">
        <f t="shared" si="380"/>
        <v>1.5</v>
      </c>
      <c r="O110" s="21">
        <f>(M110+G110/2)/G110</f>
        <v>2.5</v>
      </c>
      <c r="P110" s="21">
        <v>4.7</v>
      </c>
      <c r="Q110" s="7">
        <f t="shared" si="227"/>
        <v>4.7</v>
      </c>
      <c r="R110" s="21">
        <f t="shared" si="312"/>
        <v>5.7</v>
      </c>
      <c r="S110" s="21">
        <f t="shared" si="313"/>
        <v>60.641668842471674</v>
      </c>
      <c r="T110" s="21"/>
      <c r="U110" s="21"/>
      <c r="V110" s="21">
        <v>186</v>
      </c>
      <c r="W110" s="21"/>
      <c r="X110" s="21"/>
      <c r="Y110" s="21"/>
      <c r="Z110" s="21"/>
      <c r="AA110" s="7">
        <v>1</v>
      </c>
      <c r="AB110" s="7"/>
      <c r="AC110" s="7"/>
      <c r="AD110" s="21"/>
      <c r="AE110" s="4" t="e">
        <f t="shared" si="364"/>
        <v>#REF!</v>
      </c>
      <c r="AF110" s="44" t="e">
        <f t="shared" si="425"/>
        <v>#REF!</v>
      </c>
      <c r="AG110" s="25" t="e">
        <f t="shared" si="314"/>
        <v>#REF!</v>
      </c>
      <c r="AH110" s="4" t="e">
        <f t="shared" si="315"/>
        <v>#REF!</v>
      </c>
      <c r="AI110" s="4">
        <v>1.25</v>
      </c>
      <c r="AJ110" s="25">
        <f t="shared" si="438"/>
        <v>5</v>
      </c>
      <c r="AK110" s="38" t="e">
        <f t="shared" si="205"/>
        <v>#REF!</v>
      </c>
      <c r="AL110" s="38" t="e">
        <f t="shared" si="356"/>
        <v>#REF!</v>
      </c>
      <c r="AM110" s="38"/>
      <c r="AN110" s="38" t="e">
        <f t="shared" si="426"/>
        <v>#REF!</v>
      </c>
      <c r="AO110" s="38" t="e">
        <f t="shared" si="316"/>
        <v>#REF!</v>
      </c>
      <c r="AP110" s="38"/>
      <c r="AQ110" s="4"/>
      <c r="AR110" s="19" t="e">
        <f>#REF!/G110*F110^0.5/0.19</f>
        <v>#REF!</v>
      </c>
      <c r="AS110" s="19">
        <f t="shared" si="317"/>
        <v>1.2666666666666666</v>
      </c>
      <c r="AT110" s="38">
        <f t="shared" si="318"/>
        <v>214.19329588014648</v>
      </c>
      <c r="AU110" s="19">
        <f t="shared" si="319"/>
        <v>0.34199999999999997</v>
      </c>
      <c r="AV110" s="19" t="e">
        <f>AU110*D110*#REF!/(D110*G110/2.75/F110^0.5)</f>
        <v>#REF!</v>
      </c>
      <c r="AW110" s="19" t="e">
        <f t="shared" si="427"/>
        <v>#REF!</v>
      </c>
      <c r="AY110" s="36">
        <f t="shared" si="428"/>
        <v>1.2375</v>
      </c>
      <c r="AZ110" s="36" t="e">
        <f>(1.6*#REF!+22)*AY110*F110^0.5</f>
        <v>#REF!</v>
      </c>
      <c r="BE110" s="4">
        <f t="shared" si="321"/>
        <v>31.799999999999997</v>
      </c>
      <c r="BF110" s="4">
        <f t="shared" si="322"/>
        <v>31.799999999999997</v>
      </c>
      <c r="BG110" s="4">
        <f t="shared" si="323"/>
        <v>50.8</v>
      </c>
      <c r="BH110" s="4">
        <f t="shared" si="324"/>
        <v>44.5</v>
      </c>
      <c r="BI110" s="4">
        <f t="shared" si="229"/>
        <v>1.0597484276729561</v>
      </c>
      <c r="BJ110" s="25">
        <f t="shared" si="325"/>
        <v>1.8566458673797854</v>
      </c>
      <c r="BK110" s="4"/>
      <c r="BL110" s="19">
        <f t="shared" si="326"/>
        <v>25.4</v>
      </c>
      <c r="BP110" s="18"/>
      <c r="BR110" s="18"/>
      <c r="BS110" s="18"/>
      <c r="BT110" s="18">
        <f t="shared" si="327"/>
        <v>25.4</v>
      </c>
      <c r="BU110" s="18">
        <f t="shared" si="328"/>
        <v>114.3</v>
      </c>
      <c r="BV110" s="18">
        <f t="shared" si="329"/>
        <v>1.2530888829563018</v>
      </c>
      <c r="BW110" s="9">
        <v>0</v>
      </c>
      <c r="BX110" s="18">
        <f t="shared" si="330"/>
        <v>0</v>
      </c>
      <c r="BY110" s="18">
        <f t="shared" si="429"/>
        <v>0</v>
      </c>
      <c r="BZ110" s="18">
        <f t="shared" si="331"/>
        <v>0.99524931562137331</v>
      </c>
      <c r="CA110" s="18">
        <f t="shared" si="332"/>
        <v>1.056</v>
      </c>
      <c r="CB110" s="18">
        <f t="shared" si="333"/>
        <v>1.8756444837875041</v>
      </c>
      <c r="CC110" s="18">
        <f t="shared" si="334"/>
        <v>2.3503492510124331</v>
      </c>
      <c r="CD110" s="9">
        <v>1</v>
      </c>
      <c r="CE110" s="18" t="e">
        <f>4*CC110*#REF!+60*CC110</f>
        <v>#REF!</v>
      </c>
      <c r="CI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B110" s="4">
        <f t="shared" si="232"/>
        <v>0</v>
      </c>
      <c r="DC110" s="4" t="e">
        <f t="shared" si="335"/>
        <v>#REF!</v>
      </c>
      <c r="DD110" s="4" t="e">
        <f>#REF!/E110</f>
        <v>#REF!</v>
      </c>
      <c r="DF110" s="4" t="e">
        <f t="shared" si="336"/>
        <v>#REF!</v>
      </c>
      <c r="DG110" s="4">
        <f t="shared" si="233"/>
        <v>3.4568864757817224</v>
      </c>
      <c r="DH110" s="4"/>
      <c r="DI110" s="4"/>
      <c r="DJ110" s="4"/>
      <c r="DK110" s="4"/>
      <c r="DL110" s="38" t="e">
        <f t="shared" si="338"/>
        <v>#REF!</v>
      </c>
      <c r="DM110" s="4" t="e">
        <f t="shared" si="361"/>
        <v>#REF!</v>
      </c>
      <c r="DN110" s="4"/>
      <c r="DO110" s="4" t="e">
        <f t="shared" si="363"/>
        <v>#REF!</v>
      </c>
      <c r="DS110" s="19">
        <f t="shared" si="339"/>
        <v>1</v>
      </c>
      <c r="DT110" s="19">
        <f t="shared" si="340"/>
        <v>1</v>
      </c>
      <c r="DU110" s="19">
        <f t="shared" si="341"/>
        <v>1</v>
      </c>
      <c r="DV110" s="19">
        <f t="shared" si="430"/>
        <v>1</v>
      </c>
      <c r="DX110" s="4" t="e">
        <f t="shared" si="342"/>
        <v>#REF!</v>
      </c>
      <c r="DY110" s="25" t="e">
        <f t="shared" si="431"/>
        <v>#REF!</v>
      </c>
      <c r="EB110" s="4">
        <f t="shared" si="436"/>
        <v>3.4568864757817224</v>
      </c>
      <c r="EC110" s="4">
        <f t="shared" si="344"/>
        <v>3.4568864757817224</v>
      </c>
      <c r="EE110" s="4">
        <f t="shared" si="345"/>
        <v>60.641668842471674</v>
      </c>
      <c r="EF110" s="4">
        <f t="shared" si="235"/>
        <v>2.3874672772626644</v>
      </c>
      <c r="EG110" s="4" t="e">
        <f t="shared" si="346"/>
        <v>#REF!</v>
      </c>
      <c r="EJ110" s="19" t="e">
        <f t="shared" si="432"/>
        <v>#REF!</v>
      </c>
      <c r="EK110" s="19" t="e">
        <f t="shared" si="347"/>
        <v>#REF!</v>
      </c>
      <c r="EL110" s="4" t="e">
        <f t="shared" si="237"/>
        <v>#REF!</v>
      </c>
      <c r="EM110" s="19" t="e">
        <f t="shared" si="433"/>
        <v>#REF!</v>
      </c>
      <c r="EN110" s="4" t="e">
        <f t="shared" si="239"/>
        <v>#REF!</v>
      </c>
      <c r="EO110" s="4" t="e">
        <f t="shared" si="240"/>
        <v>#REF!</v>
      </c>
      <c r="EP110" s="19" t="e">
        <f t="shared" si="348"/>
        <v>#REF!</v>
      </c>
      <c r="EQ110" s="19" t="e">
        <f t="shared" si="434"/>
        <v>#REF!</v>
      </c>
      <c r="ER110" s="4" t="e">
        <f t="shared" si="349"/>
        <v>#REF!</v>
      </c>
      <c r="ES110" s="4" t="e">
        <f t="shared" si="242"/>
        <v>#REF!</v>
      </c>
      <c r="ET110" s="4" t="e">
        <f t="shared" si="243"/>
        <v>#REF!</v>
      </c>
      <c r="EU110" s="4"/>
      <c r="EV110" s="4" t="e">
        <f t="shared" si="350"/>
        <v>#REF!</v>
      </c>
      <c r="FA110" s="23"/>
      <c r="FB110" s="23"/>
      <c r="FC110" s="23"/>
      <c r="FD110" s="23"/>
      <c r="FE110" s="23"/>
      <c r="FF110" s="23"/>
      <c r="FG110" s="23"/>
      <c r="FH110" s="22"/>
      <c r="FR110" s="4">
        <f t="shared" si="351"/>
        <v>1</v>
      </c>
      <c r="FS110" s="4">
        <f t="shared" si="352"/>
        <v>0.91666666666666663</v>
      </c>
      <c r="FT110" s="4">
        <f t="shared" si="353"/>
        <v>0</v>
      </c>
      <c r="FU110" s="4" t="e">
        <f t="shared" si="354"/>
        <v>#REF!</v>
      </c>
    </row>
    <row r="111" spans="1:177" s="19" customFormat="1" ht="12" customHeight="1" x14ac:dyDescent="0.3">
      <c r="B111" s="20"/>
      <c r="C111" s="21" t="s">
        <v>281</v>
      </c>
      <c r="D111" s="21">
        <v>472</v>
      </c>
      <c r="E111" s="21" t="e">
        <f>G111*#REF!</f>
        <v>#REF!</v>
      </c>
      <c r="F111" s="21">
        <v>22</v>
      </c>
      <c r="G111" s="7">
        <v>25.4</v>
      </c>
      <c r="H111" s="21">
        <f t="shared" ref="H111:H123" si="441">36*25.4</f>
        <v>914.4</v>
      </c>
      <c r="I111" s="21">
        <f t="shared" si="437"/>
        <v>127</v>
      </c>
      <c r="J111" s="21"/>
      <c r="K111" s="21">
        <f t="shared" si="435"/>
        <v>101.6</v>
      </c>
      <c r="L111" s="21">
        <v>3</v>
      </c>
      <c r="M111" s="21">
        <f t="shared" si="424"/>
        <v>50.8</v>
      </c>
      <c r="N111" s="7">
        <f t="shared" si="380"/>
        <v>2.5</v>
      </c>
      <c r="O111" s="21">
        <f>(M111+G111/2)/G111</f>
        <v>2.5</v>
      </c>
      <c r="P111" s="21">
        <v>4.7</v>
      </c>
      <c r="Q111" s="7">
        <f t="shared" si="227"/>
        <v>4.7</v>
      </c>
      <c r="R111" s="21">
        <f t="shared" si="312"/>
        <v>5.7</v>
      </c>
      <c r="S111" s="21">
        <f t="shared" si="313"/>
        <v>60.641668842471674</v>
      </c>
      <c r="T111" s="21"/>
      <c r="U111" s="21"/>
      <c r="V111" s="21">
        <v>166</v>
      </c>
      <c r="W111" s="21"/>
      <c r="X111" s="21"/>
      <c r="Y111" s="21"/>
      <c r="Z111" s="21"/>
      <c r="AA111" s="7">
        <v>1</v>
      </c>
      <c r="AB111" s="7"/>
      <c r="AC111" s="7"/>
      <c r="AD111" s="21"/>
      <c r="AE111" s="4" t="e">
        <f t="shared" si="364"/>
        <v>#REF!</v>
      </c>
      <c r="AF111" s="44" t="e">
        <f t="shared" si="425"/>
        <v>#REF!</v>
      </c>
      <c r="AG111" s="25" t="e">
        <f t="shared" si="314"/>
        <v>#REF!</v>
      </c>
      <c r="AH111" s="4" t="e">
        <f t="shared" si="315"/>
        <v>#REF!</v>
      </c>
      <c r="AI111" s="4">
        <v>1.25</v>
      </c>
      <c r="AJ111" s="25">
        <f t="shared" si="438"/>
        <v>5</v>
      </c>
      <c r="AK111" s="38" t="e">
        <f t="shared" si="205"/>
        <v>#REF!</v>
      </c>
      <c r="AL111" s="38" t="e">
        <f t="shared" si="356"/>
        <v>#REF!</v>
      </c>
      <c r="AM111" s="38"/>
      <c r="AN111" s="38" t="e">
        <f t="shared" si="426"/>
        <v>#REF!</v>
      </c>
      <c r="AO111" s="38" t="e">
        <f t="shared" si="316"/>
        <v>#REF!</v>
      </c>
      <c r="AP111" s="38"/>
      <c r="AQ111" s="4"/>
      <c r="AR111" s="19" t="e">
        <f>#REF!/G111*F111^0.5/0.19</f>
        <v>#REF!</v>
      </c>
      <c r="AS111" s="19">
        <f t="shared" si="317"/>
        <v>1</v>
      </c>
      <c r="AT111" s="38">
        <f t="shared" si="318"/>
        <v>238.4743172754668</v>
      </c>
      <c r="AU111" s="19">
        <f t="shared" si="319"/>
        <v>0.34199999999999997</v>
      </c>
      <c r="AV111" s="19" t="e">
        <f>AU111*D111*#REF!/(D111*G111/2.75/F111^0.5)</f>
        <v>#REF!</v>
      </c>
      <c r="AW111" s="19" t="e">
        <f t="shared" si="427"/>
        <v>#REF!</v>
      </c>
      <c r="AY111" s="36">
        <f t="shared" si="428"/>
        <v>1.1274999999999999</v>
      </c>
      <c r="AZ111" s="36" t="e">
        <f>(1.6*#REF!+22)*AY111*F111^0.5</f>
        <v>#REF!</v>
      </c>
      <c r="BE111" s="4">
        <f t="shared" si="321"/>
        <v>57.199999999999996</v>
      </c>
      <c r="BF111" s="4">
        <f t="shared" si="322"/>
        <v>50.8</v>
      </c>
      <c r="BG111" s="4">
        <f t="shared" si="323"/>
        <v>57.199999999999996</v>
      </c>
      <c r="BH111" s="4">
        <f t="shared" si="324"/>
        <v>63.5</v>
      </c>
      <c r="BI111" s="4">
        <f t="shared" si="229"/>
        <v>1.0125984251968505</v>
      </c>
      <c r="BJ111" s="25">
        <f t="shared" si="325"/>
        <v>2.5314960629921264</v>
      </c>
      <c r="BK111" s="4"/>
      <c r="BL111" s="19">
        <f t="shared" si="326"/>
        <v>50.8</v>
      </c>
      <c r="BP111" s="18"/>
      <c r="BR111" s="18"/>
      <c r="BS111" s="18"/>
      <c r="BT111" s="18">
        <f t="shared" si="327"/>
        <v>50.8</v>
      </c>
      <c r="BU111" s="18">
        <f t="shared" si="328"/>
        <v>127</v>
      </c>
      <c r="BV111" s="18">
        <f t="shared" si="329"/>
        <v>1.622579553879709</v>
      </c>
      <c r="BW111" s="9">
        <v>0</v>
      </c>
      <c r="BX111" s="18">
        <f t="shared" si="330"/>
        <v>0</v>
      </c>
      <c r="BY111" s="18">
        <f t="shared" si="429"/>
        <v>0</v>
      </c>
      <c r="BZ111" s="18">
        <f t="shared" si="331"/>
        <v>0.99524931562137331</v>
      </c>
      <c r="CA111" s="18">
        <f t="shared" si="332"/>
        <v>1.056</v>
      </c>
      <c r="CB111" s="18">
        <f t="shared" si="333"/>
        <v>1.7253419844992921</v>
      </c>
      <c r="CC111" s="18">
        <f t="shared" si="334"/>
        <v>2.7995046274987931</v>
      </c>
      <c r="CD111" s="9">
        <v>1</v>
      </c>
      <c r="CE111" s="18" t="e">
        <f>4*CC111*#REF!+60*CC111</f>
        <v>#REF!</v>
      </c>
      <c r="CI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B111" s="4">
        <f t="shared" si="232"/>
        <v>0</v>
      </c>
      <c r="DC111" s="4" t="e">
        <f t="shared" si="335"/>
        <v>#REF!</v>
      </c>
      <c r="DD111" s="4" t="e">
        <f>#REF!/E111</f>
        <v>#REF!</v>
      </c>
      <c r="DF111" s="4" t="e">
        <f t="shared" si="336"/>
        <v>#REF!</v>
      </c>
      <c r="DG111" s="4">
        <f t="shared" si="233"/>
        <v>4.3356874268145296</v>
      </c>
      <c r="DH111" s="4"/>
      <c r="DI111" s="4"/>
      <c r="DJ111" s="4"/>
      <c r="DK111" s="4"/>
      <c r="DL111" s="38" t="e">
        <f t="shared" si="338"/>
        <v>#REF!</v>
      </c>
      <c r="DM111" s="4" t="e">
        <f t="shared" si="361"/>
        <v>#REF!</v>
      </c>
      <c r="DN111" s="4"/>
      <c r="DO111" s="4" t="e">
        <f t="shared" si="363"/>
        <v>#REF!</v>
      </c>
      <c r="DS111" s="19">
        <f t="shared" si="339"/>
        <v>1</v>
      </c>
      <c r="DT111" s="19">
        <f t="shared" si="340"/>
        <v>0.9</v>
      </c>
      <c r="DU111" s="19">
        <f t="shared" si="341"/>
        <v>1</v>
      </c>
      <c r="DV111" s="19">
        <f t="shared" si="430"/>
        <v>0.9</v>
      </c>
      <c r="DX111" s="4" t="e">
        <f t="shared" si="342"/>
        <v>#REF!</v>
      </c>
      <c r="DY111" s="25" t="e">
        <f t="shared" si="431"/>
        <v>#REF!</v>
      </c>
      <c r="EB111" s="4">
        <f t="shared" si="436"/>
        <v>4.3356874268145296</v>
      </c>
      <c r="EC111" s="4">
        <f t="shared" si="344"/>
        <v>4.3356874268145296</v>
      </c>
      <c r="EE111" s="4">
        <f t="shared" si="345"/>
        <v>60.641668842471674</v>
      </c>
      <c r="EF111" s="4">
        <f t="shared" si="235"/>
        <v>2.3874672772626644</v>
      </c>
      <c r="EG111" s="4" t="e">
        <f t="shared" si="346"/>
        <v>#REF!</v>
      </c>
      <c r="EJ111" s="19" t="e">
        <f t="shared" si="432"/>
        <v>#REF!</v>
      </c>
      <c r="EK111" s="19" t="e">
        <f t="shared" si="347"/>
        <v>#REF!</v>
      </c>
      <c r="EL111" s="4" t="e">
        <f t="shared" si="237"/>
        <v>#REF!</v>
      </c>
      <c r="EM111" s="19" t="e">
        <f t="shared" si="433"/>
        <v>#REF!</v>
      </c>
      <c r="EN111" s="4" t="e">
        <f t="shared" si="239"/>
        <v>#REF!</v>
      </c>
      <c r="EO111" s="4" t="e">
        <f t="shared" si="240"/>
        <v>#REF!</v>
      </c>
      <c r="EP111" s="19" t="e">
        <f t="shared" si="348"/>
        <v>#REF!</v>
      </c>
      <c r="EQ111" s="19" t="e">
        <f t="shared" si="434"/>
        <v>#REF!</v>
      </c>
      <c r="ER111" s="4" t="e">
        <f t="shared" si="349"/>
        <v>#REF!</v>
      </c>
      <c r="ES111" s="4" t="e">
        <f t="shared" si="242"/>
        <v>#REF!</v>
      </c>
      <c r="ET111" s="4" t="e">
        <f t="shared" si="243"/>
        <v>#REF!</v>
      </c>
      <c r="EU111" s="4"/>
      <c r="EV111" s="4" t="e">
        <f t="shared" si="350"/>
        <v>#REF!</v>
      </c>
      <c r="FA111" s="23"/>
      <c r="FB111" s="23"/>
      <c r="FC111" s="23"/>
      <c r="FD111" s="23"/>
      <c r="FE111" s="23"/>
      <c r="FF111" s="23"/>
      <c r="FG111" s="23"/>
      <c r="FH111" s="22"/>
      <c r="FR111" s="4">
        <f t="shared" si="351"/>
        <v>1</v>
      </c>
      <c r="FS111" s="4">
        <f t="shared" si="352"/>
        <v>0.75</v>
      </c>
      <c r="FT111" s="4">
        <f t="shared" si="353"/>
        <v>0</v>
      </c>
      <c r="FU111" s="4" t="e">
        <f t="shared" si="354"/>
        <v>#REF!</v>
      </c>
    </row>
    <row r="112" spans="1:177" s="19" customFormat="1" ht="12" customHeight="1" x14ac:dyDescent="0.3">
      <c r="B112" s="20"/>
      <c r="C112" s="21" t="s">
        <v>295</v>
      </c>
      <c r="D112" s="21">
        <v>472</v>
      </c>
      <c r="E112" s="21" t="e">
        <f>G112*#REF!</f>
        <v>#REF!</v>
      </c>
      <c r="F112" s="21">
        <v>22</v>
      </c>
      <c r="G112" s="7">
        <v>25.4</v>
      </c>
      <c r="H112" s="21">
        <f t="shared" si="441"/>
        <v>914.4</v>
      </c>
      <c r="I112" s="21">
        <f t="shared" si="437"/>
        <v>127</v>
      </c>
      <c r="J112" s="21"/>
      <c r="K112" s="21">
        <f>10*25.4-1.5*G112-S112/2</f>
        <v>185.57916557876416</v>
      </c>
      <c r="L112" s="21">
        <v>3</v>
      </c>
      <c r="M112" s="21">
        <f t="shared" si="424"/>
        <v>50.8</v>
      </c>
      <c r="N112" s="7">
        <f t="shared" si="380"/>
        <v>2.5</v>
      </c>
      <c r="O112" s="10">
        <f>(I112+G112/2)/G112</f>
        <v>5.5</v>
      </c>
      <c r="P112" s="21">
        <v>4.7</v>
      </c>
      <c r="Q112" s="7">
        <f t="shared" si="227"/>
        <v>4.7</v>
      </c>
      <c r="R112" s="21">
        <f t="shared" si="312"/>
        <v>5.7</v>
      </c>
      <c r="S112" s="21">
        <f t="shared" si="313"/>
        <v>60.641668842471674</v>
      </c>
      <c r="T112" s="21"/>
      <c r="U112" s="21"/>
      <c r="V112" s="21">
        <v>169</v>
      </c>
      <c r="W112" s="21"/>
      <c r="X112" s="21"/>
      <c r="Y112" s="21"/>
      <c r="Z112" s="21"/>
      <c r="AA112" s="7">
        <v>1</v>
      </c>
      <c r="AB112" s="7"/>
      <c r="AC112" s="7"/>
      <c r="AD112" s="21"/>
      <c r="AE112" s="4" t="e">
        <f t="shared" si="364"/>
        <v>#REF!</v>
      </c>
      <c r="AF112" s="44" t="e">
        <f t="shared" si="425"/>
        <v>#REF!</v>
      </c>
      <c r="AG112" s="25" t="e">
        <f t="shared" si="314"/>
        <v>#REF!</v>
      </c>
      <c r="AH112" s="4" t="e">
        <f t="shared" si="315"/>
        <v>#REF!</v>
      </c>
      <c r="AI112" s="4">
        <v>1.25</v>
      </c>
      <c r="AJ112" s="25">
        <f t="shared" si="438"/>
        <v>5</v>
      </c>
      <c r="AK112" s="38" t="e">
        <f t="shared" si="205"/>
        <v>#REF!</v>
      </c>
      <c r="AL112" s="38" t="e">
        <f t="shared" si="356"/>
        <v>#REF!</v>
      </c>
      <c r="AM112" s="38"/>
      <c r="AN112" s="38" t="e">
        <f t="shared" si="426"/>
        <v>#REF!</v>
      </c>
      <c r="AO112" s="38" t="e">
        <f t="shared" si="316"/>
        <v>#REF!</v>
      </c>
      <c r="AP112" s="38"/>
      <c r="AQ112" s="4"/>
      <c r="AR112" s="19" t="e">
        <f>#REF!/G112*F112^0.5/0.19</f>
        <v>#REF!</v>
      </c>
      <c r="AS112" s="19">
        <f t="shared" si="317"/>
        <v>1.48</v>
      </c>
      <c r="AT112" s="38">
        <f t="shared" si="318"/>
        <v>352.94198956769088</v>
      </c>
      <c r="AU112" s="19">
        <f t="shared" si="319"/>
        <v>0.34199999999999997</v>
      </c>
      <c r="AV112" s="19" t="e">
        <f>AU112*D112*#REF!/(D112*G112/2.75/F112^0.5)</f>
        <v>#REF!</v>
      </c>
      <c r="AW112" s="19" t="e">
        <f t="shared" si="427"/>
        <v>#REF!</v>
      </c>
      <c r="AY112" s="36">
        <f t="shared" si="428"/>
        <v>1.0652778468231168</v>
      </c>
      <c r="AZ112" s="36" t="e">
        <f>(1.6*#REF!+22)*AY112*F112^0.5</f>
        <v>#REF!</v>
      </c>
      <c r="BE112" s="4">
        <f t="shared" si="321"/>
        <v>99.189582789382087</v>
      </c>
      <c r="BF112" s="4">
        <f t="shared" si="322"/>
        <v>50.8</v>
      </c>
      <c r="BG112" s="4">
        <f t="shared" si="323"/>
        <v>99.189582789382087</v>
      </c>
      <c r="BH112" s="4">
        <f t="shared" si="324"/>
        <v>63.5</v>
      </c>
      <c r="BI112" s="4">
        <f t="shared" si="229"/>
        <v>1.0952550842310671</v>
      </c>
      <c r="BJ112" s="25">
        <f t="shared" si="325"/>
        <v>2.7381377105776679</v>
      </c>
      <c r="BK112" s="4"/>
      <c r="BL112" s="19">
        <f t="shared" si="326"/>
        <v>92.789582789382081</v>
      </c>
      <c r="BP112" s="18"/>
      <c r="BR112" s="18"/>
      <c r="BS112" s="18"/>
      <c r="BT112" s="18">
        <f t="shared" si="327"/>
        <v>92.789582789382081</v>
      </c>
      <c r="BU112" s="18">
        <f t="shared" si="328"/>
        <v>127</v>
      </c>
      <c r="BV112" s="18">
        <f t="shared" si="329"/>
        <v>2.0034496277060567</v>
      </c>
      <c r="BW112" s="9">
        <v>0</v>
      </c>
      <c r="BX112" s="18">
        <f t="shared" si="330"/>
        <v>0</v>
      </c>
      <c r="BY112" s="18">
        <f t="shared" si="429"/>
        <v>0</v>
      </c>
      <c r="BZ112" s="18">
        <f t="shared" si="331"/>
        <v>0.99524931562137331</v>
      </c>
      <c r="CA112" s="18">
        <f t="shared" si="332"/>
        <v>1.056</v>
      </c>
      <c r="CB112" s="18">
        <f t="shared" si="333"/>
        <v>1.7253419844992921</v>
      </c>
      <c r="CC112" s="18">
        <f t="shared" si="334"/>
        <v>3.4566357565107357</v>
      </c>
      <c r="CD112" s="9">
        <v>1</v>
      </c>
      <c r="CE112" s="18" t="e">
        <f>4*CC112*#REF!+60*CC112</f>
        <v>#REF!</v>
      </c>
      <c r="CI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B112" s="4">
        <f t="shared" si="232"/>
        <v>0</v>
      </c>
      <c r="DC112" s="4" t="e">
        <f t="shared" si="335"/>
        <v>#REF!</v>
      </c>
      <c r="DD112" s="4" t="e">
        <f>#REF!/E112</f>
        <v>#REF!</v>
      </c>
      <c r="DF112" s="4" t="e">
        <f t="shared" si="336"/>
        <v>#REF!</v>
      </c>
      <c r="DG112" s="4">
        <f t="shared" si="233"/>
        <v>4.6896020966378407</v>
      </c>
      <c r="DH112" s="4"/>
      <c r="DI112" s="4"/>
      <c r="DJ112" s="4"/>
      <c r="DK112" s="4"/>
      <c r="DL112" s="38" t="e">
        <f t="shared" si="338"/>
        <v>#REF!</v>
      </c>
      <c r="DM112" s="4" t="e">
        <f t="shared" si="361"/>
        <v>#REF!</v>
      </c>
      <c r="DN112" s="4"/>
      <c r="DO112" s="4" t="e">
        <f t="shared" si="363"/>
        <v>#REF!</v>
      </c>
      <c r="DS112" s="19">
        <f t="shared" si="339"/>
        <v>1</v>
      </c>
      <c r="DT112" s="19">
        <f t="shared" si="340"/>
        <v>0.73468668193156661</v>
      </c>
      <c r="DU112" s="19">
        <f t="shared" si="341"/>
        <v>1</v>
      </c>
      <c r="DV112" s="19">
        <f t="shared" si="430"/>
        <v>0.73468668193156661</v>
      </c>
      <c r="DX112" s="4" t="e">
        <f t="shared" si="342"/>
        <v>#REF!</v>
      </c>
      <c r="DY112" s="25" t="e">
        <f t="shared" si="431"/>
        <v>#REF!</v>
      </c>
      <c r="EB112" s="4">
        <f t="shared" si="436"/>
        <v>4.6896020966378407</v>
      </c>
      <c r="EC112" s="4">
        <f t="shared" si="344"/>
        <v>4.6896020966378407</v>
      </c>
      <c r="EE112" s="4">
        <f t="shared" si="345"/>
        <v>60.641668842471674</v>
      </c>
      <c r="EF112" s="4">
        <f t="shared" si="235"/>
        <v>2.3874672772626644</v>
      </c>
      <c r="EG112" s="4" t="e">
        <f t="shared" si="346"/>
        <v>#REF!</v>
      </c>
      <c r="EJ112" s="19" t="e">
        <f t="shared" si="432"/>
        <v>#REF!</v>
      </c>
      <c r="EK112" s="19" t="e">
        <f t="shared" si="347"/>
        <v>#REF!</v>
      </c>
      <c r="EL112" s="4" t="e">
        <f t="shared" si="237"/>
        <v>#REF!</v>
      </c>
      <c r="EM112" s="19" t="e">
        <f t="shared" si="433"/>
        <v>#REF!</v>
      </c>
      <c r="EN112" s="4" t="e">
        <f t="shared" si="239"/>
        <v>#REF!</v>
      </c>
      <c r="EO112" s="4" t="e">
        <f t="shared" si="240"/>
        <v>#REF!</v>
      </c>
      <c r="EP112" s="19" t="e">
        <f t="shared" si="348"/>
        <v>#REF!</v>
      </c>
      <c r="EQ112" s="19" t="e">
        <f t="shared" si="434"/>
        <v>#REF!</v>
      </c>
      <c r="ER112" s="4" t="e">
        <f t="shared" si="349"/>
        <v>#REF!</v>
      </c>
      <c r="ES112" s="4" t="e">
        <f t="shared" si="242"/>
        <v>#REF!</v>
      </c>
      <c r="ET112" s="4" t="e">
        <f t="shared" si="243"/>
        <v>#REF!</v>
      </c>
      <c r="EU112" s="4"/>
      <c r="EV112" s="4" t="e">
        <f t="shared" si="350"/>
        <v>#REF!</v>
      </c>
      <c r="FA112" s="23"/>
      <c r="FB112" s="23"/>
      <c r="FC112" s="23"/>
      <c r="FD112" s="23"/>
      <c r="FE112" s="23"/>
      <c r="FF112" s="23"/>
      <c r="FG112" s="23"/>
      <c r="FH112" s="22"/>
      <c r="FR112" s="4">
        <f t="shared" si="351"/>
        <v>1</v>
      </c>
      <c r="FS112" s="4">
        <f t="shared" si="352"/>
        <v>0.5</v>
      </c>
      <c r="FT112" s="4">
        <f t="shared" si="353"/>
        <v>0</v>
      </c>
      <c r="FU112" s="4" t="e">
        <f t="shared" si="354"/>
        <v>#REF!</v>
      </c>
    </row>
    <row r="113" spans="2:182" ht="12" customHeight="1" x14ac:dyDescent="0.3">
      <c r="B113" s="24"/>
      <c r="C113" s="7" t="s">
        <v>281</v>
      </c>
      <c r="D113" s="7">
        <v>472</v>
      </c>
      <c r="E113" s="7" t="e">
        <f>G113*#REF!</f>
        <v>#REF!</v>
      </c>
      <c r="F113" s="7">
        <v>28</v>
      </c>
      <c r="G113" s="7">
        <v>25.4</v>
      </c>
      <c r="H113" s="7">
        <f t="shared" si="441"/>
        <v>914.4</v>
      </c>
      <c r="I113" s="7">
        <f t="shared" si="437"/>
        <v>127</v>
      </c>
      <c r="J113" s="7"/>
      <c r="K113" s="7">
        <f t="shared" si="435"/>
        <v>101.6</v>
      </c>
      <c r="L113" s="7">
        <v>3</v>
      </c>
      <c r="M113" s="7">
        <f t="shared" si="424"/>
        <v>50.8</v>
      </c>
      <c r="N113" s="7">
        <f t="shared" si="380"/>
        <v>2.5</v>
      </c>
      <c r="O113" s="7">
        <f t="shared" ref="O113:O123" si="442">(M113+G113/2)/G113</f>
        <v>2.5</v>
      </c>
      <c r="P113" s="7">
        <v>4.7</v>
      </c>
      <c r="Q113" s="7">
        <f t="shared" si="227"/>
        <v>4.7</v>
      </c>
      <c r="R113" s="7">
        <f t="shared" si="312"/>
        <v>5.7</v>
      </c>
      <c r="S113" s="7">
        <f t="shared" si="313"/>
        <v>60.641668842471674</v>
      </c>
      <c r="T113" s="7"/>
      <c r="U113" s="7"/>
      <c r="V113" s="7">
        <v>300</v>
      </c>
      <c r="W113" s="7"/>
      <c r="X113" s="7" t="e">
        <f>CK113</f>
        <v>#REF!</v>
      </c>
      <c r="Y113" s="7"/>
      <c r="Z113" s="7"/>
      <c r="AA113" s="7">
        <v>1</v>
      </c>
      <c r="AB113" s="7"/>
      <c r="AC113" s="7"/>
      <c r="AD113" s="7"/>
      <c r="AE113" s="4" t="e">
        <f t="shared" si="364"/>
        <v>#REF!</v>
      </c>
      <c r="AF113" s="44" t="e">
        <f t="shared" si="425"/>
        <v>#REF!</v>
      </c>
      <c r="AG113" s="25" t="e">
        <f t="shared" si="314"/>
        <v>#REF!</v>
      </c>
      <c r="AH113" s="4" t="e">
        <f t="shared" si="315"/>
        <v>#REF!</v>
      </c>
      <c r="AI113" s="4">
        <v>1.25</v>
      </c>
      <c r="AJ113" s="25">
        <f t="shared" si="438"/>
        <v>5</v>
      </c>
      <c r="AK113" s="38" t="e">
        <f t="shared" si="205"/>
        <v>#REF!</v>
      </c>
      <c r="AL113" s="38" t="e">
        <f t="shared" si="356"/>
        <v>#REF!</v>
      </c>
      <c r="AN113" s="38" t="e">
        <f t="shared" si="426"/>
        <v>#REF!</v>
      </c>
      <c r="AO113" s="38" t="e">
        <f t="shared" si="316"/>
        <v>#REF!</v>
      </c>
      <c r="AP113" s="38" t="e">
        <f t="shared" si="357"/>
        <v>#REF!</v>
      </c>
      <c r="AQ113" s="4" t="e">
        <f t="shared" ref="AQ113:AQ153" si="443">IF(AP113&lt;1,1,0)</f>
        <v>#REF!</v>
      </c>
      <c r="AR113" s="4" t="e">
        <f>#REF!/G113*F113^0.5/0.19</f>
        <v>#REF!</v>
      </c>
      <c r="AS113" s="4">
        <f t="shared" si="317"/>
        <v>1</v>
      </c>
      <c r="AT113" s="38">
        <f t="shared" si="318"/>
        <v>303.51276744150317</v>
      </c>
      <c r="AU113" s="4">
        <f t="shared" si="319"/>
        <v>0.34199999999999997</v>
      </c>
      <c r="AV113" s="4" t="e">
        <f>AU113*D113*#REF!/(D113*G113/2.75/F113^0.5)</f>
        <v>#REF!</v>
      </c>
      <c r="AW113" s="4" t="e">
        <f t="shared" si="427"/>
        <v>#REF!</v>
      </c>
      <c r="AY113" s="36">
        <f t="shared" si="428"/>
        <v>1.1274999999999999</v>
      </c>
      <c r="AZ113" s="36" t="e">
        <f>(1.6*#REF!+22)*AY113*F113^0.5</f>
        <v>#REF!</v>
      </c>
      <c r="BE113" s="4">
        <f t="shared" si="321"/>
        <v>57.199999999999996</v>
      </c>
      <c r="BF113" s="4">
        <f t="shared" si="322"/>
        <v>50.8</v>
      </c>
      <c r="BG113" s="4">
        <f t="shared" si="323"/>
        <v>57.199999999999996</v>
      </c>
      <c r="BH113" s="4">
        <f t="shared" si="324"/>
        <v>63.5</v>
      </c>
      <c r="BI113" s="4">
        <f t="shared" si="229"/>
        <v>1.0125984251968505</v>
      </c>
      <c r="BJ113" s="25">
        <f t="shared" si="325"/>
        <v>2.5314960629921264</v>
      </c>
      <c r="BL113" s="4">
        <f t="shared" si="326"/>
        <v>50.8</v>
      </c>
      <c r="BP113" s="9"/>
      <c r="BR113" s="9"/>
      <c r="BS113" s="9"/>
      <c r="BT113" s="9">
        <f t="shared" si="327"/>
        <v>50.8</v>
      </c>
      <c r="BU113" s="9">
        <f t="shared" si="328"/>
        <v>127</v>
      </c>
      <c r="BV113" s="9">
        <f t="shared" si="329"/>
        <v>1.622579553879709</v>
      </c>
      <c r="BW113" s="9">
        <v>0</v>
      </c>
      <c r="BX113" s="9">
        <f t="shared" si="330"/>
        <v>0</v>
      </c>
      <c r="BY113" s="9">
        <f t="shared" si="429"/>
        <v>0</v>
      </c>
      <c r="BZ113" s="9">
        <f t="shared" si="331"/>
        <v>0.99524931562137331</v>
      </c>
      <c r="CA113" s="9">
        <f t="shared" si="332"/>
        <v>1.056</v>
      </c>
      <c r="CB113" s="9">
        <f t="shared" si="333"/>
        <v>1.9464482686693119</v>
      </c>
      <c r="CC113" s="9">
        <f t="shared" si="334"/>
        <v>3.158267163427384</v>
      </c>
      <c r="CD113" s="9">
        <v>1</v>
      </c>
      <c r="CE113" s="9" t="e">
        <f>4*CC113*#REF!+60*CC113</f>
        <v>#REF!</v>
      </c>
      <c r="CG113" s="4" t="e">
        <f t="shared" si="265"/>
        <v>#REF!</v>
      </c>
      <c r="CH113" s="4" t="e">
        <f t="shared" ref="CH113:CH117" si="444">V113/AW113</f>
        <v>#REF!</v>
      </c>
      <c r="CI113" s="4" t="e">
        <f t="shared" si="267"/>
        <v>#REF!</v>
      </c>
      <c r="CJ113" s="4" t="e">
        <f t="shared" si="268"/>
        <v>#REF!</v>
      </c>
      <c r="CK113" s="4" t="e">
        <f t="shared" si="269"/>
        <v>#REF!</v>
      </c>
      <c r="CL113" s="4" t="e">
        <f t="shared" si="270"/>
        <v>#REF!</v>
      </c>
      <c r="CM113" s="4" t="e">
        <f t="shared" si="215"/>
        <v>#REF!</v>
      </c>
      <c r="CO113" s="4" t="e">
        <f t="shared" si="271"/>
        <v>#REF!</v>
      </c>
      <c r="CP113" s="4" t="e">
        <f t="shared" si="272"/>
        <v>#REF!</v>
      </c>
      <c r="CQ113" s="4" t="e">
        <f t="shared" si="273"/>
        <v>#REF!</v>
      </c>
      <c r="CR113" s="4" t="e">
        <f t="shared" ref="CR113:CR117" si="445">CM113</f>
        <v>#REF!</v>
      </c>
      <c r="CS113" s="4" t="e">
        <f t="shared" si="275"/>
        <v>#REF!</v>
      </c>
      <c r="CT113" s="4" t="e">
        <f t="shared" si="276"/>
        <v>#REF!</v>
      </c>
      <c r="DB113" s="4">
        <f t="shared" si="232"/>
        <v>0</v>
      </c>
      <c r="DC113" s="4" t="e">
        <f t="shared" si="335"/>
        <v>#REF!</v>
      </c>
      <c r="DD113" s="4" t="e">
        <f>#REF!/E113</f>
        <v>#REF!</v>
      </c>
      <c r="DF113" s="4" t="e">
        <f t="shared" si="336"/>
        <v>#REF!</v>
      </c>
      <c r="DG113" s="4">
        <f t="shared" si="233"/>
        <v>4.8913150907085621</v>
      </c>
      <c r="DH113" s="4" t="e">
        <f>DO113*S113/257/F113/P113</f>
        <v>#REF!</v>
      </c>
      <c r="DI113" s="4" t="e">
        <f t="shared" si="359"/>
        <v>#REF!</v>
      </c>
      <c r="DJ113" s="4" t="e">
        <f t="shared" si="360"/>
        <v>#REF!</v>
      </c>
      <c r="DK113" s="4" t="e">
        <f>MAX(DG113/2, (4-DF113*(8*S113*(DI113-DJ113)+6*E113*DJ113))/(4+DF113*E113*DG113)*DG113)</f>
        <v>#REF!</v>
      </c>
      <c r="DL113" s="38" t="e">
        <f t="shared" si="338"/>
        <v>#REF!</v>
      </c>
      <c r="DM113" s="4" t="e">
        <f t="shared" si="361"/>
        <v>#REF!</v>
      </c>
      <c r="DN113" s="4">
        <f>S113/G113</f>
        <v>2.3874672772626644</v>
      </c>
      <c r="DO113" s="4" t="e">
        <f t="shared" si="363"/>
        <v>#REF!</v>
      </c>
      <c r="DS113" s="4">
        <f t="shared" si="339"/>
        <v>1</v>
      </c>
      <c r="DT113" s="4">
        <f t="shared" si="340"/>
        <v>0.9</v>
      </c>
      <c r="DU113" s="4">
        <f t="shared" si="341"/>
        <v>1</v>
      </c>
      <c r="DV113" s="4">
        <f t="shared" si="430"/>
        <v>0.9</v>
      </c>
      <c r="DX113" s="4" t="e">
        <f t="shared" si="342"/>
        <v>#REF!</v>
      </c>
      <c r="DY113" s="25" t="e">
        <f t="shared" si="431"/>
        <v>#REF!</v>
      </c>
      <c r="EB113" s="4">
        <f t="shared" si="436"/>
        <v>4.8913150907085621</v>
      </c>
      <c r="EC113" s="4">
        <f t="shared" si="344"/>
        <v>4.8913150907085621</v>
      </c>
      <c r="EE113" s="4">
        <f t="shared" si="345"/>
        <v>60.641668842471674</v>
      </c>
      <c r="EF113" s="4">
        <f t="shared" si="235"/>
        <v>2.3874672772626644</v>
      </c>
      <c r="EG113" s="4" t="e">
        <f t="shared" si="346"/>
        <v>#REF!</v>
      </c>
      <c r="EJ113" s="4" t="e">
        <f t="shared" si="432"/>
        <v>#REF!</v>
      </c>
      <c r="EK113" s="4" t="e">
        <f t="shared" si="347"/>
        <v>#REF!</v>
      </c>
      <c r="EL113" s="4" t="e">
        <f t="shared" si="237"/>
        <v>#REF!</v>
      </c>
      <c r="EM113" s="4" t="e">
        <f t="shared" si="433"/>
        <v>#REF!</v>
      </c>
      <c r="EN113" s="4" t="e">
        <f t="shared" si="239"/>
        <v>#REF!</v>
      </c>
      <c r="EO113" s="4" t="e">
        <f t="shared" si="240"/>
        <v>#REF!</v>
      </c>
      <c r="EP113" s="4" t="e">
        <f t="shared" si="348"/>
        <v>#REF!</v>
      </c>
      <c r="EQ113" s="4" t="e">
        <f t="shared" si="434"/>
        <v>#REF!</v>
      </c>
      <c r="ER113" s="4" t="e">
        <f t="shared" si="349"/>
        <v>#REF!</v>
      </c>
      <c r="ES113" s="4" t="e">
        <f t="shared" si="242"/>
        <v>#REF!</v>
      </c>
      <c r="ET113" s="4" t="e">
        <f t="shared" si="243"/>
        <v>#REF!</v>
      </c>
      <c r="EV113" s="4" t="e">
        <f t="shared" si="350"/>
        <v>#REF!</v>
      </c>
      <c r="FA113" s="23" t="e">
        <f t="shared" si="277"/>
        <v>#REF!</v>
      </c>
      <c r="FB113" s="23" t="e">
        <f t="shared" si="278"/>
        <v>#REF!</v>
      </c>
      <c r="FC113" s="23" t="e">
        <f t="shared" si="290"/>
        <v>#REF!</v>
      </c>
      <c r="FD113" s="23" t="e">
        <f t="shared" si="279"/>
        <v>#REF!</v>
      </c>
      <c r="FE113" s="23" t="e">
        <f t="shared" si="280"/>
        <v>#REF!</v>
      </c>
      <c r="FF113" s="23" t="e">
        <f t="shared" si="281"/>
        <v>#REF!</v>
      </c>
      <c r="FG113" s="23" t="e">
        <f t="shared" si="282"/>
        <v>#REF!</v>
      </c>
      <c r="FH113" s="23"/>
      <c r="FR113" s="4">
        <f t="shared" si="351"/>
        <v>1</v>
      </c>
      <c r="FS113" s="4">
        <f t="shared" si="352"/>
        <v>0.75</v>
      </c>
      <c r="FT113" s="4">
        <f t="shared" si="353"/>
        <v>0</v>
      </c>
      <c r="FU113" s="4" t="e">
        <f t="shared" si="354"/>
        <v>#REF!</v>
      </c>
    </row>
    <row r="114" spans="2:182" ht="12" customHeight="1" x14ac:dyDescent="0.3">
      <c r="B114" s="24"/>
      <c r="C114" s="7" t="s">
        <v>278</v>
      </c>
      <c r="D114" s="7">
        <v>472</v>
      </c>
      <c r="E114" s="7" t="e">
        <f>G114*#REF!</f>
        <v>#REF!</v>
      </c>
      <c r="F114" s="7">
        <v>28</v>
      </c>
      <c r="G114" s="7">
        <v>25.4</v>
      </c>
      <c r="H114" s="7">
        <f t="shared" si="441"/>
        <v>914.4</v>
      </c>
      <c r="I114" s="7">
        <f t="shared" si="437"/>
        <v>127</v>
      </c>
      <c r="J114" s="7"/>
      <c r="K114" s="7">
        <f t="shared" si="435"/>
        <v>101.6</v>
      </c>
      <c r="L114" s="7">
        <v>3</v>
      </c>
      <c r="M114" s="7">
        <f t="shared" si="424"/>
        <v>50.8</v>
      </c>
      <c r="N114" s="7">
        <f t="shared" si="380"/>
        <v>2.5</v>
      </c>
      <c r="O114" s="7">
        <f t="shared" si="442"/>
        <v>2.5</v>
      </c>
      <c r="P114" s="7">
        <v>4.04</v>
      </c>
      <c r="Q114" s="7">
        <f t="shared" si="227"/>
        <v>4.04</v>
      </c>
      <c r="R114" s="7">
        <f t="shared" si="312"/>
        <v>5.04</v>
      </c>
      <c r="S114" s="7">
        <f t="shared" si="313"/>
        <v>57.022858574434863</v>
      </c>
      <c r="T114" s="7"/>
      <c r="U114" s="7"/>
      <c r="V114" s="7">
        <v>306</v>
      </c>
      <c r="W114" s="7"/>
      <c r="X114" s="7" t="e">
        <f>CK114</f>
        <v>#REF!</v>
      </c>
      <c r="Y114" s="7"/>
      <c r="Z114" s="7"/>
      <c r="AA114" s="7">
        <v>1</v>
      </c>
      <c r="AB114" s="7"/>
      <c r="AC114" s="7"/>
      <c r="AD114" s="7"/>
      <c r="AE114" s="4" t="e">
        <f t="shared" si="364"/>
        <v>#REF!</v>
      </c>
      <c r="AF114" s="44" t="e">
        <f t="shared" si="425"/>
        <v>#REF!</v>
      </c>
      <c r="AG114" s="25" t="e">
        <f t="shared" si="314"/>
        <v>#REF!</v>
      </c>
      <c r="AH114" s="4" t="e">
        <f t="shared" si="315"/>
        <v>#REF!</v>
      </c>
      <c r="AI114" s="4">
        <v>1.25</v>
      </c>
      <c r="AJ114" s="25">
        <f t="shared" si="438"/>
        <v>5</v>
      </c>
      <c r="AK114" s="38" t="e">
        <f t="shared" si="205"/>
        <v>#REF!</v>
      </c>
      <c r="AL114" s="38" t="e">
        <f t="shared" si="356"/>
        <v>#REF!</v>
      </c>
      <c r="AN114" s="38" t="e">
        <f t="shared" si="426"/>
        <v>#REF!</v>
      </c>
      <c r="AO114" s="38" t="e">
        <f t="shared" si="316"/>
        <v>#REF!</v>
      </c>
      <c r="AP114" s="38" t="e">
        <f t="shared" si="357"/>
        <v>#REF!</v>
      </c>
      <c r="AQ114" s="4" t="e">
        <f t="shared" si="443"/>
        <v>#REF!</v>
      </c>
      <c r="AR114" s="4" t="e">
        <f>#REF!/G114*F114^0.5/0.19</f>
        <v>#REF!</v>
      </c>
      <c r="AS114" s="4">
        <f t="shared" si="317"/>
        <v>1</v>
      </c>
      <c r="AT114" s="38">
        <f t="shared" si="318"/>
        <v>281.39651739138492</v>
      </c>
      <c r="AU114" s="4">
        <f t="shared" si="319"/>
        <v>0.43440000000000001</v>
      </c>
      <c r="AV114" s="4" t="e">
        <f>AU114*D114*#REF!/(D114*G114/2.75/F114^0.5)</f>
        <v>#REF!</v>
      </c>
      <c r="AW114" s="4" t="e">
        <f t="shared" si="427"/>
        <v>#REF!</v>
      </c>
      <c r="AY114" s="36">
        <f t="shared" si="428"/>
        <v>1.1274999999999999</v>
      </c>
      <c r="AZ114" s="36" t="e">
        <f>(1.6*#REF!+22)*AY114*F114^0.5</f>
        <v>#REF!</v>
      </c>
      <c r="BE114" s="4">
        <f t="shared" si="321"/>
        <v>57.199999999999996</v>
      </c>
      <c r="BF114" s="4">
        <f t="shared" si="322"/>
        <v>50.8</v>
      </c>
      <c r="BG114" s="4">
        <f t="shared" si="323"/>
        <v>57.199999999999996</v>
      </c>
      <c r="BH114" s="4">
        <f t="shared" si="324"/>
        <v>63.5</v>
      </c>
      <c r="BI114" s="4">
        <f t="shared" si="229"/>
        <v>1.0125984251968505</v>
      </c>
      <c r="BJ114" s="25">
        <f t="shared" si="325"/>
        <v>2.5314960629921264</v>
      </c>
      <c r="BL114" s="4">
        <f t="shared" si="326"/>
        <v>50.8</v>
      </c>
      <c r="BP114" s="9"/>
      <c r="BR114" s="9"/>
      <c r="BS114" s="9"/>
      <c r="BT114" s="9">
        <f t="shared" si="327"/>
        <v>50.8</v>
      </c>
      <c r="BU114" s="9">
        <f t="shared" si="328"/>
        <v>127</v>
      </c>
      <c r="BV114" s="9">
        <f t="shared" si="329"/>
        <v>1.622579553879709</v>
      </c>
      <c r="BW114" s="9">
        <v>0</v>
      </c>
      <c r="BX114" s="9">
        <f t="shared" si="330"/>
        <v>0</v>
      </c>
      <c r="BY114" s="9">
        <f t="shared" si="429"/>
        <v>0</v>
      </c>
      <c r="BZ114" s="9">
        <f t="shared" si="331"/>
        <v>0.99524931562137331</v>
      </c>
      <c r="CA114" s="9">
        <f t="shared" si="332"/>
        <v>1.056</v>
      </c>
      <c r="CB114" s="9">
        <f t="shared" si="333"/>
        <v>1.9464482686693119</v>
      </c>
      <c r="CC114" s="9">
        <f t="shared" si="334"/>
        <v>3.158267163427384</v>
      </c>
      <c r="CD114" s="9">
        <v>1</v>
      </c>
      <c r="CE114" s="9" t="e">
        <f>4*CC114*#REF!+60*CC114</f>
        <v>#REF!</v>
      </c>
      <c r="CG114" s="4" t="e">
        <f t="shared" si="265"/>
        <v>#REF!</v>
      </c>
      <c r="CH114" s="4" t="e">
        <f t="shared" si="444"/>
        <v>#REF!</v>
      </c>
      <c r="CI114" s="4" t="e">
        <f t="shared" si="267"/>
        <v>#REF!</v>
      </c>
      <c r="CJ114" s="4" t="e">
        <f t="shared" si="268"/>
        <v>#REF!</v>
      </c>
      <c r="CK114" s="4" t="e">
        <f t="shared" si="269"/>
        <v>#REF!</v>
      </c>
      <c r="CL114" s="4" t="e">
        <f t="shared" si="270"/>
        <v>#REF!</v>
      </c>
      <c r="CM114" s="4" t="e">
        <f t="shared" si="215"/>
        <v>#REF!</v>
      </c>
      <c r="CO114" s="4" t="e">
        <f t="shared" si="271"/>
        <v>#REF!</v>
      </c>
      <c r="CP114" s="4" t="e">
        <f t="shared" si="272"/>
        <v>#REF!</v>
      </c>
      <c r="CQ114" s="4" t="e">
        <f t="shared" si="273"/>
        <v>#REF!</v>
      </c>
      <c r="CR114" s="4" t="e">
        <f t="shared" si="445"/>
        <v>#REF!</v>
      </c>
      <c r="CS114" s="4" t="e">
        <f t="shared" si="275"/>
        <v>#REF!</v>
      </c>
      <c r="CT114" s="4" t="e">
        <f t="shared" si="276"/>
        <v>#REF!</v>
      </c>
      <c r="DB114" s="4">
        <f t="shared" si="232"/>
        <v>0</v>
      </c>
      <c r="DC114" s="4" t="e">
        <f t="shared" si="335"/>
        <v>#REF!</v>
      </c>
      <c r="DD114" s="4" t="e">
        <f>#REF!/E114</f>
        <v>#REF!</v>
      </c>
      <c r="DF114" s="4" t="e">
        <f t="shared" si="336"/>
        <v>#REF!</v>
      </c>
      <c r="DG114" s="4">
        <f t="shared" si="233"/>
        <v>4.8913150907085621</v>
      </c>
      <c r="DH114" s="4" t="e">
        <f>DO114*S114/257/F114/P114</f>
        <v>#REF!</v>
      </c>
      <c r="DI114" s="4" t="e">
        <f t="shared" si="359"/>
        <v>#REF!</v>
      </c>
      <c r="DJ114" s="4" t="e">
        <f t="shared" si="360"/>
        <v>#REF!</v>
      </c>
      <c r="DK114" s="4" t="e">
        <f>MAX(DG114/2, (4-DF114*(8*S114*(DI114-DJ114)+6*E114*DJ114))/(4+DF114*E114*DG114)*DG114)</f>
        <v>#REF!</v>
      </c>
      <c r="DL114" s="38" t="e">
        <f t="shared" si="338"/>
        <v>#REF!</v>
      </c>
      <c r="DM114" s="4" t="e">
        <f t="shared" si="361"/>
        <v>#REF!</v>
      </c>
      <c r="DN114" s="4">
        <f>S114/G114</f>
        <v>2.2449944320643649</v>
      </c>
      <c r="DO114" s="4" t="e">
        <f t="shared" si="363"/>
        <v>#REF!</v>
      </c>
      <c r="DS114" s="4">
        <f t="shared" si="339"/>
        <v>1</v>
      </c>
      <c r="DT114" s="4">
        <f t="shared" si="340"/>
        <v>0.9</v>
      </c>
      <c r="DU114" s="4">
        <f t="shared" si="341"/>
        <v>1</v>
      </c>
      <c r="DV114" s="4">
        <f t="shared" si="430"/>
        <v>0.9</v>
      </c>
      <c r="DX114" s="4" t="e">
        <f t="shared" si="342"/>
        <v>#REF!</v>
      </c>
      <c r="DY114" s="25" t="e">
        <f t="shared" si="431"/>
        <v>#REF!</v>
      </c>
      <c r="EB114" s="4">
        <f t="shared" si="436"/>
        <v>4.8913150907085621</v>
      </c>
      <c r="EC114" s="4">
        <f t="shared" si="344"/>
        <v>4.8913150907085621</v>
      </c>
      <c r="EE114" s="4">
        <f t="shared" si="345"/>
        <v>57.022858574434863</v>
      </c>
      <c r="EF114" s="4">
        <f t="shared" si="235"/>
        <v>2.2449944320643649</v>
      </c>
      <c r="EG114" s="4" t="e">
        <f t="shared" si="346"/>
        <v>#REF!</v>
      </c>
      <c r="EJ114" s="4" t="e">
        <f t="shared" si="432"/>
        <v>#REF!</v>
      </c>
      <c r="EK114" s="4" t="e">
        <f t="shared" si="347"/>
        <v>#REF!</v>
      </c>
      <c r="EL114" s="4" t="e">
        <f t="shared" si="237"/>
        <v>#REF!</v>
      </c>
      <c r="EM114" s="4" t="e">
        <f t="shared" si="433"/>
        <v>#REF!</v>
      </c>
      <c r="EN114" s="4" t="e">
        <f t="shared" si="239"/>
        <v>#REF!</v>
      </c>
      <c r="EO114" s="4" t="e">
        <f t="shared" si="240"/>
        <v>#REF!</v>
      </c>
      <c r="EP114" s="4" t="e">
        <f t="shared" si="348"/>
        <v>#REF!</v>
      </c>
      <c r="EQ114" s="4" t="e">
        <f t="shared" si="434"/>
        <v>#REF!</v>
      </c>
      <c r="ER114" s="4" t="e">
        <f t="shared" si="349"/>
        <v>#REF!</v>
      </c>
      <c r="ES114" s="4" t="e">
        <f t="shared" si="242"/>
        <v>#REF!</v>
      </c>
      <c r="ET114" s="4" t="e">
        <f t="shared" si="243"/>
        <v>#REF!</v>
      </c>
      <c r="EV114" s="4" t="e">
        <f t="shared" si="350"/>
        <v>#REF!</v>
      </c>
      <c r="FA114" s="23" t="e">
        <f t="shared" si="277"/>
        <v>#REF!</v>
      </c>
      <c r="FB114" s="23" t="e">
        <f t="shared" si="278"/>
        <v>#REF!</v>
      </c>
      <c r="FC114" s="23" t="e">
        <f t="shared" si="290"/>
        <v>#REF!</v>
      </c>
      <c r="FD114" s="23" t="e">
        <f t="shared" si="279"/>
        <v>#REF!</v>
      </c>
      <c r="FE114" s="23" t="e">
        <f t="shared" si="280"/>
        <v>#REF!</v>
      </c>
      <c r="FF114" s="23" t="e">
        <f t="shared" si="281"/>
        <v>#REF!</v>
      </c>
      <c r="FG114" s="23" t="e">
        <f t="shared" si="282"/>
        <v>#REF!</v>
      </c>
      <c r="FH114" s="23"/>
      <c r="FR114" s="4">
        <f t="shared" si="351"/>
        <v>1</v>
      </c>
      <c r="FS114" s="4">
        <f t="shared" si="352"/>
        <v>0.75</v>
      </c>
      <c r="FT114" s="4">
        <f t="shared" si="353"/>
        <v>0</v>
      </c>
      <c r="FU114" s="4" t="e">
        <f t="shared" si="354"/>
        <v>#REF!</v>
      </c>
    </row>
    <row r="115" spans="2:182" ht="12" customHeight="1" x14ac:dyDescent="0.3">
      <c r="B115" s="24"/>
      <c r="C115" s="7" t="s">
        <v>281</v>
      </c>
      <c r="D115" s="7">
        <v>472</v>
      </c>
      <c r="E115" s="7" t="e">
        <f>G115*#REF!</f>
        <v>#REF!</v>
      </c>
      <c r="F115" s="7">
        <v>29</v>
      </c>
      <c r="G115" s="7">
        <v>25.4</v>
      </c>
      <c r="H115" s="7">
        <f t="shared" si="441"/>
        <v>914.4</v>
      </c>
      <c r="I115" s="7">
        <f t="shared" si="437"/>
        <v>127</v>
      </c>
      <c r="J115" s="7"/>
      <c r="K115" s="7">
        <f t="shared" si="435"/>
        <v>101.6</v>
      </c>
      <c r="L115" s="7">
        <v>3</v>
      </c>
      <c r="M115" s="7">
        <f t="shared" si="424"/>
        <v>50.8</v>
      </c>
      <c r="N115" s="7">
        <f t="shared" si="380"/>
        <v>2.5</v>
      </c>
      <c r="O115" s="7">
        <f t="shared" si="442"/>
        <v>2.5</v>
      </c>
      <c r="P115" s="7">
        <v>4.7</v>
      </c>
      <c r="Q115" s="7">
        <f t="shared" si="227"/>
        <v>4.7</v>
      </c>
      <c r="R115" s="7">
        <f t="shared" si="312"/>
        <v>5.7</v>
      </c>
      <c r="S115" s="7">
        <f t="shared" si="313"/>
        <v>60.641668842471674</v>
      </c>
      <c r="T115" s="7"/>
      <c r="U115" s="7"/>
      <c r="V115" s="7">
        <v>457</v>
      </c>
      <c r="W115" s="7"/>
      <c r="X115" s="7" t="e">
        <f>CK115</f>
        <v>#REF!</v>
      </c>
      <c r="Y115" s="7"/>
      <c r="Z115" s="7"/>
      <c r="AA115" s="7">
        <v>1</v>
      </c>
      <c r="AB115" s="7"/>
      <c r="AC115" s="7"/>
      <c r="AD115" s="7"/>
      <c r="AE115" s="4" t="e">
        <f t="shared" si="364"/>
        <v>#REF!</v>
      </c>
      <c r="AF115" s="44" t="e">
        <f t="shared" si="425"/>
        <v>#REF!</v>
      </c>
      <c r="AG115" s="25" t="e">
        <f t="shared" si="314"/>
        <v>#REF!</v>
      </c>
      <c r="AH115" s="4" t="e">
        <f t="shared" si="315"/>
        <v>#REF!</v>
      </c>
      <c r="AI115" s="4">
        <v>1.25</v>
      </c>
      <c r="AJ115" s="25">
        <f t="shared" si="438"/>
        <v>5</v>
      </c>
      <c r="AK115" s="38" t="e">
        <f t="shared" si="205"/>
        <v>#REF!</v>
      </c>
      <c r="AL115" s="38" t="e">
        <f t="shared" si="356"/>
        <v>#REF!</v>
      </c>
      <c r="AN115" s="38" t="e">
        <f t="shared" si="426"/>
        <v>#REF!</v>
      </c>
      <c r="AO115" s="38" t="e">
        <f t="shared" si="316"/>
        <v>#REF!</v>
      </c>
      <c r="AP115" s="38" t="e">
        <f t="shared" si="357"/>
        <v>#REF!</v>
      </c>
      <c r="AQ115" s="4" t="e">
        <f t="shared" si="443"/>
        <v>#REF!</v>
      </c>
      <c r="AR115" s="4" t="e">
        <f>#REF!/G115*F115^0.5/0.19</f>
        <v>#REF!</v>
      </c>
      <c r="AS115" s="4">
        <f t="shared" si="317"/>
        <v>1</v>
      </c>
      <c r="AT115" s="38">
        <f t="shared" si="318"/>
        <v>314.35250913584258</v>
      </c>
      <c r="AU115" s="4">
        <f t="shared" si="319"/>
        <v>0.34199999999999997</v>
      </c>
      <c r="AV115" s="4" t="e">
        <f>AU115*D115*#REF!/(D115*G115/2.75/F115^0.5)</f>
        <v>#REF!</v>
      </c>
      <c r="AW115" s="4" t="e">
        <f t="shared" si="427"/>
        <v>#REF!</v>
      </c>
      <c r="AY115" s="36">
        <f t="shared" si="428"/>
        <v>1.1274999999999999</v>
      </c>
      <c r="AZ115" s="36" t="e">
        <f>(1.6*#REF!+22)*AY115*F115^0.5</f>
        <v>#REF!</v>
      </c>
      <c r="BE115" s="4">
        <f t="shared" si="321"/>
        <v>57.199999999999996</v>
      </c>
      <c r="BF115" s="4">
        <f t="shared" si="322"/>
        <v>50.8</v>
      </c>
      <c r="BG115" s="4">
        <f t="shared" si="323"/>
        <v>57.199999999999996</v>
      </c>
      <c r="BH115" s="4">
        <f t="shared" si="324"/>
        <v>63.5</v>
      </c>
      <c r="BI115" s="4">
        <f t="shared" si="229"/>
        <v>1.0125984251968505</v>
      </c>
      <c r="BJ115" s="25">
        <f t="shared" si="325"/>
        <v>2.5314960629921264</v>
      </c>
      <c r="BL115" s="4">
        <f t="shared" si="326"/>
        <v>50.8</v>
      </c>
      <c r="BP115" s="9"/>
      <c r="BR115" s="9"/>
      <c r="BS115" s="9"/>
      <c r="BT115" s="9">
        <f t="shared" si="327"/>
        <v>50.8</v>
      </c>
      <c r="BU115" s="9">
        <f t="shared" si="328"/>
        <v>127</v>
      </c>
      <c r="BV115" s="9">
        <f t="shared" si="329"/>
        <v>1.622579553879709</v>
      </c>
      <c r="BW115" s="9">
        <v>0</v>
      </c>
      <c r="BX115" s="9">
        <f t="shared" si="330"/>
        <v>0</v>
      </c>
      <c r="BY115" s="9">
        <f t="shared" si="429"/>
        <v>0</v>
      </c>
      <c r="BZ115" s="9">
        <f t="shared" si="331"/>
        <v>0.99524931562137331</v>
      </c>
      <c r="CA115" s="9">
        <f t="shared" si="332"/>
        <v>1.056</v>
      </c>
      <c r="CB115" s="9">
        <f t="shared" si="333"/>
        <v>1.9809013552237766</v>
      </c>
      <c r="CC115" s="9">
        <f t="shared" si="334"/>
        <v>3.2141700372387065</v>
      </c>
      <c r="CD115" s="9">
        <v>1</v>
      </c>
      <c r="CE115" s="9" t="e">
        <f>4*CC115*#REF!+60*CC115</f>
        <v>#REF!</v>
      </c>
      <c r="CG115" s="4" t="e">
        <f t="shared" si="265"/>
        <v>#REF!</v>
      </c>
      <c r="CH115" s="4" t="e">
        <f t="shared" si="444"/>
        <v>#REF!</v>
      </c>
      <c r="CI115" s="4" t="e">
        <f t="shared" si="267"/>
        <v>#REF!</v>
      </c>
      <c r="CJ115" s="4" t="e">
        <f t="shared" si="268"/>
        <v>#REF!</v>
      </c>
      <c r="CK115" s="4" t="e">
        <f t="shared" si="269"/>
        <v>#REF!</v>
      </c>
      <c r="CL115" s="4" t="e">
        <f t="shared" si="270"/>
        <v>#REF!</v>
      </c>
      <c r="CM115" s="4" t="e">
        <f t="shared" si="215"/>
        <v>#REF!</v>
      </c>
      <c r="CO115" s="4" t="e">
        <f t="shared" si="271"/>
        <v>#REF!</v>
      </c>
      <c r="CP115" s="4" t="e">
        <f t="shared" si="272"/>
        <v>#REF!</v>
      </c>
      <c r="CQ115" s="4" t="e">
        <f t="shared" si="273"/>
        <v>#REF!</v>
      </c>
      <c r="CR115" s="4" t="e">
        <f t="shared" si="445"/>
        <v>#REF!</v>
      </c>
      <c r="CS115" s="4" t="e">
        <f t="shared" si="275"/>
        <v>#REF!</v>
      </c>
      <c r="CT115" s="4" t="e">
        <f t="shared" si="276"/>
        <v>#REF!</v>
      </c>
      <c r="DB115" s="4">
        <f t="shared" si="232"/>
        <v>0</v>
      </c>
      <c r="DC115" s="4" t="e">
        <f t="shared" si="335"/>
        <v>#REF!</v>
      </c>
      <c r="DD115" s="4" t="e">
        <f>#REF!/E115</f>
        <v>#REF!</v>
      </c>
      <c r="DF115" s="4" t="e">
        <f t="shared" si="336"/>
        <v>#REF!</v>
      </c>
      <c r="DG115" s="4">
        <f t="shared" si="233"/>
        <v>4.9778937606367135</v>
      </c>
      <c r="DH115" s="4" t="e">
        <f>DO115*S115/257/F115/P115</f>
        <v>#REF!</v>
      </c>
      <c r="DI115" s="4" t="e">
        <f t="shared" si="359"/>
        <v>#REF!</v>
      </c>
      <c r="DJ115" s="4" t="e">
        <f t="shared" si="360"/>
        <v>#REF!</v>
      </c>
      <c r="DK115" s="4" t="e">
        <f>MAX(DG115/2, (4-DF115*(8*S115*(DI115-DJ115)+6*E115*DJ115))/(4+DF115*E115*DG115)*DG115)</f>
        <v>#REF!</v>
      </c>
      <c r="DL115" s="38" t="e">
        <f t="shared" si="338"/>
        <v>#REF!</v>
      </c>
      <c r="DM115" s="4" t="e">
        <f t="shared" si="361"/>
        <v>#REF!</v>
      </c>
      <c r="DN115" s="4">
        <f>S115/G115</f>
        <v>2.3874672772626644</v>
      </c>
      <c r="DO115" s="4" t="e">
        <f t="shared" si="363"/>
        <v>#REF!</v>
      </c>
      <c r="DS115" s="4">
        <f t="shared" si="339"/>
        <v>1</v>
      </c>
      <c r="DT115" s="4">
        <f t="shared" si="340"/>
        <v>0.9</v>
      </c>
      <c r="DU115" s="4">
        <f t="shared" si="341"/>
        <v>1</v>
      </c>
      <c r="DV115" s="4">
        <f t="shared" si="430"/>
        <v>0.9</v>
      </c>
      <c r="DX115" s="4" t="e">
        <f t="shared" si="342"/>
        <v>#REF!</v>
      </c>
      <c r="DY115" s="25" t="e">
        <f t="shared" si="431"/>
        <v>#REF!</v>
      </c>
      <c r="EB115" s="4">
        <f t="shared" si="436"/>
        <v>4.9778937606367135</v>
      </c>
      <c r="EC115" s="4">
        <f t="shared" si="344"/>
        <v>4.9778937606367135</v>
      </c>
      <c r="EE115" s="4">
        <f t="shared" si="345"/>
        <v>60.641668842471674</v>
      </c>
      <c r="EF115" s="4">
        <f t="shared" si="235"/>
        <v>2.3874672772626644</v>
      </c>
      <c r="EG115" s="4" t="e">
        <f t="shared" si="346"/>
        <v>#REF!</v>
      </c>
      <c r="EJ115" s="4" t="e">
        <f t="shared" si="432"/>
        <v>#REF!</v>
      </c>
      <c r="EK115" s="4" t="e">
        <f t="shared" si="347"/>
        <v>#REF!</v>
      </c>
      <c r="EL115" s="4" t="e">
        <f t="shared" si="237"/>
        <v>#REF!</v>
      </c>
      <c r="EM115" s="4" t="e">
        <f t="shared" si="433"/>
        <v>#REF!</v>
      </c>
      <c r="EN115" s="4" t="e">
        <f t="shared" si="239"/>
        <v>#REF!</v>
      </c>
      <c r="EO115" s="4" t="e">
        <f t="shared" si="240"/>
        <v>#REF!</v>
      </c>
      <c r="EP115" s="4" t="e">
        <f t="shared" si="348"/>
        <v>#REF!</v>
      </c>
      <c r="EQ115" s="4" t="e">
        <f t="shared" si="434"/>
        <v>#REF!</v>
      </c>
      <c r="ER115" s="4" t="e">
        <f t="shared" si="349"/>
        <v>#REF!</v>
      </c>
      <c r="ES115" s="4" t="e">
        <f t="shared" si="242"/>
        <v>#REF!</v>
      </c>
      <c r="ET115" s="4" t="e">
        <f t="shared" si="243"/>
        <v>#REF!</v>
      </c>
      <c r="EV115" s="4" t="e">
        <f t="shared" si="350"/>
        <v>#REF!</v>
      </c>
      <c r="FA115" s="23" t="e">
        <f t="shared" si="277"/>
        <v>#REF!</v>
      </c>
      <c r="FB115" s="23" t="e">
        <f t="shared" si="278"/>
        <v>#REF!</v>
      </c>
      <c r="FC115" s="23" t="e">
        <f t="shared" si="290"/>
        <v>#REF!</v>
      </c>
      <c r="FD115" s="23" t="e">
        <f t="shared" si="279"/>
        <v>#REF!</v>
      </c>
      <c r="FE115" s="23" t="e">
        <f t="shared" si="280"/>
        <v>#REF!</v>
      </c>
      <c r="FF115" s="23" t="e">
        <f t="shared" si="281"/>
        <v>#REF!</v>
      </c>
      <c r="FG115" s="23" t="e">
        <f t="shared" si="282"/>
        <v>#REF!</v>
      </c>
      <c r="FH115" s="23"/>
      <c r="FR115" s="4">
        <f t="shared" si="351"/>
        <v>1</v>
      </c>
      <c r="FS115" s="4">
        <f t="shared" si="352"/>
        <v>0.75</v>
      </c>
      <c r="FT115" s="4">
        <f t="shared" si="353"/>
        <v>0</v>
      </c>
      <c r="FU115" s="4" t="e">
        <f t="shared" si="354"/>
        <v>#REF!</v>
      </c>
    </row>
    <row r="116" spans="2:182" ht="12" customHeight="1" x14ac:dyDescent="0.3">
      <c r="B116" s="24"/>
      <c r="C116" s="7" t="s">
        <v>278</v>
      </c>
      <c r="D116" s="7">
        <v>472</v>
      </c>
      <c r="E116" s="7" t="e">
        <f>G116*#REF!</f>
        <v>#REF!</v>
      </c>
      <c r="F116" s="7">
        <v>26</v>
      </c>
      <c r="G116" s="7">
        <v>25.4</v>
      </c>
      <c r="H116" s="7">
        <f t="shared" si="441"/>
        <v>914.4</v>
      </c>
      <c r="I116" s="7">
        <f t="shared" si="437"/>
        <v>127</v>
      </c>
      <c r="J116" s="7"/>
      <c r="K116" s="7">
        <f t="shared" si="435"/>
        <v>101.6</v>
      </c>
      <c r="L116" s="7">
        <v>3</v>
      </c>
      <c r="M116" s="7">
        <f t="shared" si="424"/>
        <v>50.8</v>
      </c>
      <c r="N116" s="7">
        <f t="shared" si="380"/>
        <v>2.5</v>
      </c>
      <c r="O116" s="7">
        <f t="shared" si="442"/>
        <v>2.5</v>
      </c>
      <c r="P116" s="7">
        <v>4.04</v>
      </c>
      <c r="Q116" s="7">
        <f t="shared" si="227"/>
        <v>4.04</v>
      </c>
      <c r="R116" s="7">
        <f t="shared" ref="R116:R123" si="446">Q116+1</f>
        <v>5.04</v>
      </c>
      <c r="S116" s="7">
        <f t="shared" ref="S116:S147" si="447">G116*R116^0.5</f>
        <v>57.022858574434863</v>
      </c>
      <c r="T116" s="7"/>
      <c r="U116" s="7"/>
      <c r="V116" s="7">
        <v>352</v>
      </c>
      <c r="W116" s="7"/>
      <c r="X116" s="7" t="e">
        <f>CK116</f>
        <v>#REF!</v>
      </c>
      <c r="Y116" s="7"/>
      <c r="Z116" s="7"/>
      <c r="AA116" s="7">
        <v>1</v>
      </c>
      <c r="AB116" s="7"/>
      <c r="AC116" s="7"/>
      <c r="AD116" s="7"/>
      <c r="AE116" s="4" t="e">
        <f t="shared" si="364"/>
        <v>#REF!</v>
      </c>
      <c r="AF116" s="44" t="e">
        <f t="shared" si="425"/>
        <v>#REF!</v>
      </c>
      <c r="AG116" s="25" t="e">
        <f t="shared" ref="AG116:AG147" si="448">MIN(10*F116^0.5*AE116^1.5,100*3.9*F116^0.5*AE116^(5/3))/(PI()/4*G116^2)/L116</f>
        <v>#REF!</v>
      </c>
      <c r="AH116" s="4" t="e">
        <f t="shared" ref="AH116:AH147" si="449">MIN(0.7+0.3*(MIN(I116,M116)+0.5*G116)/1.5/E116,1)</f>
        <v>#REF!</v>
      </c>
      <c r="AI116" s="4">
        <v>1.25</v>
      </c>
      <c r="AJ116" s="25">
        <f t="shared" si="438"/>
        <v>5</v>
      </c>
      <c r="AK116" s="38" t="e">
        <f t="shared" si="205"/>
        <v>#REF!</v>
      </c>
      <c r="AL116" s="38" t="e">
        <f t="shared" si="356"/>
        <v>#REF!</v>
      </c>
      <c r="AN116" s="38" t="e">
        <f t="shared" si="426"/>
        <v>#REF!</v>
      </c>
      <c r="AO116" s="38" t="e">
        <f t="shared" si="316"/>
        <v>#REF!</v>
      </c>
      <c r="AP116" s="38" t="e">
        <f t="shared" si="357"/>
        <v>#REF!</v>
      </c>
      <c r="AQ116" s="4" t="e">
        <f t="shared" si="443"/>
        <v>#REF!</v>
      </c>
      <c r="AR116" s="4" t="e">
        <f>#REF!/G116*F116^0.5/0.19</f>
        <v>#REF!</v>
      </c>
      <c r="AS116" s="4">
        <f t="shared" ref="AS116:AS147" si="450">MIN(0.6+0.4*(O116/N116),2)</f>
        <v>1</v>
      </c>
      <c r="AT116" s="38">
        <f t="shared" ref="AT116:AT147" si="451">2*F116*N116*P116^0.5*AS116*0.7/0.7</f>
        <v>261.29676614914314</v>
      </c>
      <c r="AU116" s="4">
        <f t="shared" ref="AU116:AU147" si="452">MAX(1-0.7*Q116/5,0.3)</f>
        <v>0.43440000000000001</v>
      </c>
      <c r="AV116" s="4" t="e">
        <f>AU116*D116*#REF!/(D116*G116/2.75/F116^0.5)</f>
        <v>#REF!</v>
      </c>
      <c r="AW116" s="4" t="e">
        <f t="shared" si="427"/>
        <v>#REF!</v>
      </c>
      <c r="AY116" s="36">
        <f t="shared" si="428"/>
        <v>1.1274999999999999</v>
      </c>
      <c r="AZ116" s="36" t="e">
        <f>(1.6*#REF!+22)*AY116*F116^0.5</f>
        <v>#REF!</v>
      </c>
      <c r="BE116" s="4">
        <f t="shared" ref="BE116:BE147" si="453">IF(L116=1,I116,MIN(I116,K116/2+6.4))</f>
        <v>57.199999999999996</v>
      </c>
      <c r="BF116" s="4">
        <f t="shared" ref="BF116:BF147" si="454">MIN(M116,BE116)</f>
        <v>50.8</v>
      </c>
      <c r="BG116" s="4">
        <f t="shared" ref="BG116:BG147" si="455">MAX(M116,BE116)</f>
        <v>57.199999999999996</v>
      </c>
      <c r="BH116" s="4">
        <f t="shared" ref="BH116:BH147" si="456">BF116+G116/2</f>
        <v>63.5</v>
      </c>
      <c r="BI116" s="4">
        <f t="shared" si="229"/>
        <v>1.0125984251968505</v>
      </c>
      <c r="BJ116" s="25">
        <f t="shared" ref="BJ116:BJ147" si="457">MIN(4, (BH116*BI116+(6*F116^0.5*(0.03*G116+0.22)*(Y116^2/4*PI())*2/AA116/L116))/G116)</f>
        <v>2.5314960629921264</v>
      </c>
      <c r="BL116" s="4">
        <f t="shared" ref="BL116:BL147" si="458">IF(K116=0,I116,MIN(K116/2,I116))</f>
        <v>50.8</v>
      </c>
      <c r="BP116" s="9"/>
      <c r="BR116" s="9"/>
      <c r="BS116" s="9"/>
      <c r="BT116" s="9">
        <f t="shared" ref="BT116:BT147" si="459">IF(K116=0,MIN(I116,J116),MIN(K116/2,I116,J116))</f>
        <v>50.8</v>
      </c>
      <c r="BU116" s="9">
        <f t="shared" ref="BU116:BU147" si="460">MAX(K116/2,I116)</f>
        <v>127</v>
      </c>
      <c r="BV116" s="9">
        <f t="shared" ref="BV116:BV147" si="461">(BT116/G116)^0.5*(BU116/BT116)^0.15</f>
        <v>1.622579553879709</v>
      </c>
      <c r="BW116" s="9">
        <v>0</v>
      </c>
      <c r="BX116" s="9">
        <f t="shared" ref="BX116:BX147" si="462">MIN(PI()*Y116^2/4*Z116*2/L116/G116/MAX(0.01,AA116),0.05)</f>
        <v>0</v>
      </c>
      <c r="BY116" s="9">
        <f t="shared" si="429"/>
        <v>0</v>
      </c>
      <c r="BZ116" s="9">
        <f t="shared" ref="BZ116:BZ147" si="463">MIN(1,(25/G116)^0.3)</f>
        <v>0.99524931562137331</v>
      </c>
      <c r="CA116" s="9">
        <f t="shared" ref="CA116:CA147" si="464">IF(D116&gt;=800,0.68,IF(D116&gt;=700,0.75-(D116-700)*0.07/100,IF(D116&gt;=600,0.85-(D116-600)*0.1/100,IF(D116&gt;=500,1-(D116-500)*0.15/100,1.2-(D116-400)*0.2/100))))</f>
        <v>1.056</v>
      </c>
      <c r="CB116" s="9">
        <f t="shared" ref="CB116:CB147" si="465">1.75*BZ116*CA116*(F116/25)^0.5</f>
        <v>1.8756444837875041</v>
      </c>
      <c r="CC116" s="9">
        <f t="shared" ref="CC116:CC147" si="466">MIN((BV116+BY116)*CB116,2.5*CB116,F116^0.5)</f>
        <v>3.0433823897408656</v>
      </c>
      <c r="CD116" s="9">
        <v>1</v>
      </c>
      <c r="CE116" s="9" t="e">
        <f>4*CC116*#REF!+60*CC116</f>
        <v>#REF!</v>
      </c>
      <c r="CG116" s="4" t="e">
        <f t="shared" si="265"/>
        <v>#REF!</v>
      </c>
      <c r="CH116" s="4" t="e">
        <f t="shared" si="444"/>
        <v>#REF!</v>
      </c>
      <c r="CI116" s="4" t="e">
        <f t="shared" si="267"/>
        <v>#REF!</v>
      </c>
      <c r="CJ116" s="4" t="e">
        <f t="shared" si="268"/>
        <v>#REF!</v>
      </c>
      <c r="CK116" s="4" t="e">
        <f t="shared" si="269"/>
        <v>#REF!</v>
      </c>
      <c r="CL116" s="4" t="e">
        <f t="shared" si="270"/>
        <v>#REF!</v>
      </c>
      <c r="CM116" s="4" t="e">
        <f t="shared" si="215"/>
        <v>#REF!</v>
      </c>
      <c r="CO116" s="4" t="e">
        <f t="shared" si="271"/>
        <v>#REF!</v>
      </c>
      <c r="CP116" s="4" t="e">
        <f t="shared" si="272"/>
        <v>#REF!</v>
      </c>
      <c r="CQ116" s="4" t="e">
        <f t="shared" si="273"/>
        <v>#REF!</v>
      </c>
      <c r="CR116" s="4" t="e">
        <f t="shared" si="445"/>
        <v>#REF!</v>
      </c>
      <c r="CS116" s="4" t="e">
        <f t="shared" si="275"/>
        <v>#REF!</v>
      </c>
      <c r="CT116" s="4" t="e">
        <f t="shared" si="276"/>
        <v>#REF!</v>
      </c>
      <c r="DB116" s="4">
        <f t="shared" si="232"/>
        <v>0</v>
      </c>
      <c r="DC116" s="4" t="e">
        <f t="shared" ref="DC116:DC147" si="467">E116</f>
        <v>#REF!</v>
      </c>
      <c r="DD116" s="4" t="e">
        <f>#REF!/E116</f>
        <v>#REF!</v>
      </c>
      <c r="DF116" s="4" t="e">
        <f t="shared" ref="DF116:DF147" si="468">E116/4/(1-0.3*(F116/30)^0.5)/200000/G116</f>
        <v>#REF!</v>
      </c>
      <c r="DG116" s="4">
        <f t="shared" si="233"/>
        <v>4.7133891591304096</v>
      </c>
      <c r="DH116" s="4" t="e">
        <f>DO116*S116/257/F116/P116</f>
        <v>#REF!</v>
      </c>
      <c r="DI116" s="4" t="e">
        <f t="shared" si="359"/>
        <v>#REF!</v>
      </c>
      <c r="DJ116" s="4" t="e">
        <f t="shared" si="360"/>
        <v>#REF!</v>
      </c>
      <c r="DK116" s="4" t="e">
        <f>MAX(DG116/2, (4-DF116*(8*S116*(DI116-DJ116)+6*E116*DJ116))/(4+DF116*E116*DG116)*DG116)</f>
        <v>#REF!</v>
      </c>
      <c r="DL116" s="38" t="e">
        <f t="shared" ref="DL116:DL147" si="469">MIN(1/G116*(4*S116*(DI116-DJ116)+(3*DJ116+DK116)*E116)+DO116 -EV116,MAX(D116,V116))</f>
        <v>#REF!</v>
      </c>
      <c r="DM116" s="4" t="e">
        <f t="shared" si="361"/>
        <v>#REF!</v>
      </c>
      <c r="DN116" s="4">
        <f>S116/G116</f>
        <v>2.2449944320643649</v>
      </c>
      <c r="DO116" s="4" t="e">
        <f t="shared" si="363"/>
        <v>#REF!</v>
      </c>
      <c r="DS116" s="4">
        <f t="shared" ref="DS116:DS147" si="470">IF(J116&gt;1*G116,0.85,1)</f>
        <v>1</v>
      </c>
      <c r="DT116" s="4">
        <f t="shared" ref="DT116:DT147" si="471">MIN(1,MAX(0.7,(1-0.1*(BL116-1*G116)/G116)))</f>
        <v>0.9</v>
      </c>
      <c r="DU116" s="4">
        <f t="shared" ref="DU116:DU147" si="472">MIN(1,MAX(0.7,1-0.3*(PI()*Y116^2/4*Z116*2-0.25*PI()/4*G116^2)/(PI()/4*G116^2)))</f>
        <v>1</v>
      </c>
      <c r="DV116" s="4">
        <f t="shared" si="430"/>
        <v>0.9</v>
      </c>
      <c r="DX116" s="4" t="e">
        <f t="shared" ref="DX116:DX147" si="473">MIN(DG116/G116*3*E116+DY116-EV116,MAX(D116,V116))</f>
        <v>#REF!</v>
      </c>
      <c r="DY116" s="25" t="e">
        <f t="shared" si="431"/>
        <v>#REF!</v>
      </c>
      <c r="EB116" s="4">
        <f t="shared" si="436"/>
        <v>4.7133891591304096</v>
      </c>
      <c r="EC116" s="4">
        <f t="shared" ref="EC116:EC147" si="474">IF(G116&lt;22.2,1.1*5*(F116/30)^0.5,IF(G116&gt;=31.8,0.9*5*(F116/30)^0.5,1*5*(F116/30)^0.5))*BJ116/2.5</f>
        <v>4.7133891591304096</v>
      </c>
      <c r="EE116" s="4">
        <f t="shared" ref="EE116:EE147" si="475">EF116*G116</f>
        <v>57.022858574434863</v>
      </c>
      <c r="EF116" s="4">
        <f t="shared" si="235"/>
        <v>2.2449944320643649</v>
      </c>
      <c r="EG116" s="4" t="e">
        <f t="shared" ref="EG116:EG147" si="476">MIN(DO116)/(4700*F116^0.5)/Q116*EE116</f>
        <v>#REF!</v>
      </c>
      <c r="EJ116" s="4" t="e">
        <f t="shared" si="432"/>
        <v>#REF!</v>
      </c>
      <c r="EK116" s="4" t="e">
        <f t="shared" ref="EK116:EK147" si="477">MIN(0.999, EJ116/(0.3*(F116/30)^0.5))</f>
        <v>#REF!</v>
      </c>
      <c r="EL116" s="4" t="e">
        <f t="shared" si="237"/>
        <v>#REF!</v>
      </c>
      <c r="EM116" s="4" t="e">
        <f t="shared" si="433"/>
        <v>#REF!</v>
      </c>
      <c r="EN116" s="4" t="e">
        <f t="shared" si="239"/>
        <v>#REF!</v>
      </c>
      <c r="EO116" s="4" t="e">
        <f t="shared" si="240"/>
        <v>#REF!</v>
      </c>
      <c r="EP116" s="4" t="e">
        <f t="shared" ref="EP116:EP147" si="478">EO116/(1-0.3*(F116/30)^0.5)/200000/G116</f>
        <v>#REF!</v>
      </c>
      <c r="EQ116" s="4" t="e">
        <f t="shared" si="434"/>
        <v>#REF!</v>
      </c>
      <c r="ER116" s="4" t="e">
        <f t="shared" ref="ER116:ER147" si="479">MIN(4/G116*(1*EL116*EE116+EM116*ES116+ET116*EQ116)+DO116,MAX(D116,V116))</f>
        <v>#REF!</v>
      </c>
      <c r="ES116" s="4" t="e">
        <f t="shared" si="242"/>
        <v>#REF!</v>
      </c>
      <c r="ET116" s="4" t="e">
        <f t="shared" si="243"/>
        <v>#REF!</v>
      </c>
      <c r="EV116" s="4" t="e">
        <f t="shared" si="350"/>
        <v>#REF!</v>
      </c>
      <c r="FA116" s="23" t="e">
        <f t="shared" si="277"/>
        <v>#REF!</v>
      </c>
      <c r="FB116" s="23" t="e">
        <f t="shared" si="278"/>
        <v>#REF!</v>
      </c>
      <c r="FC116" s="23" t="e">
        <f t="shared" si="290"/>
        <v>#REF!</v>
      </c>
      <c r="FD116" s="23" t="e">
        <f t="shared" si="279"/>
        <v>#REF!</v>
      </c>
      <c r="FE116" s="23" t="e">
        <f t="shared" si="280"/>
        <v>#REF!</v>
      </c>
      <c r="FF116" s="23" t="e">
        <f t="shared" si="281"/>
        <v>#REF!</v>
      </c>
      <c r="FG116" s="23" t="e">
        <f t="shared" si="282"/>
        <v>#REF!</v>
      </c>
      <c r="FH116" s="23"/>
      <c r="FR116" s="4">
        <f t="shared" si="351"/>
        <v>1</v>
      </c>
      <c r="FS116" s="4">
        <f t="shared" si="352"/>
        <v>0.75</v>
      </c>
      <c r="FT116" s="4">
        <f t="shared" si="353"/>
        <v>0</v>
      </c>
      <c r="FU116" s="4" t="e">
        <f t="shared" si="354"/>
        <v>#REF!</v>
      </c>
    </row>
    <row r="117" spans="2:182" ht="12" customHeight="1" x14ac:dyDescent="0.3">
      <c r="B117" s="24"/>
      <c r="C117" s="7" t="s">
        <v>278</v>
      </c>
      <c r="D117" s="7">
        <v>472</v>
      </c>
      <c r="E117" s="7" t="e">
        <f>G117*#REF!</f>
        <v>#REF!</v>
      </c>
      <c r="F117" s="7">
        <v>24</v>
      </c>
      <c r="G117" s="7">
        <v>25.4</v>
      </c>
      <c r="H117" s="7">
        <f t="shared" si="441"/>
        <v>914.4</v>
      </c>
      <c r="I117" s="7">
        <f t="shared" si="437"/>
        <v>127</v>
      </c>
      <c r="J117" s="7"/>
      <c r="K117" s="7">
        <f t="shared" si="435"/>
        <v>101.6</v>
      </c>
      <c r="L117" s="7">
        <v>3</v>
      </c>
      <c r="M117" s="7">
        <f t="shared" si="424"/>
        <v>50.8</v>
      </c>
      <c r="N117" s="7">
        <f t="shared" si="380"/>
        <v>2.5</v>
      </c>
      <c r="O117" s="7">
        <f t="shared" si="442"/>
        <v>2.5</v>
      </c>
      <c r="P117" s="7">
        <v>4.04</v>
      </c>
      <c r="Q117" s="7">
        <f t="shared" si="227"/>
        <v>4.04</v>
      </c>
      <c r="R117" s="7">
        <f t="shared" si="446"/>
        <v>5.04</v>
      </c>
      <c r="S117" s="7">
        <f t="shared" si="447"/>
        <v>57.022858574434863</v>
      </c>
      <c r="T117" s="7"/>
      <c r="U117" s="7"/>
      <c r="V117" s="7">
        <v>448</v>
      </c>
      <c r="W117" s="7"/>
      <c r="X117" s="7" t="e">
        <f>CK117</f>
        <v>#REF!</v>
      </c>
      <c r="Y117" s="7"/>
      <c r="Z117" s="7"/>
      <c r="AA117" s="7">
        <v>1</v>
      </c>
      <c r="AB117" s="7"/>
      <c r="AC117" s="7"/>
      <c r="AD117" s="7"/>
      <c r="AE117" s="4" t="e">
        <f t="shared" si="364"/>
        <v>#REF!</v>
      </c>
      <c r="AF117" s="44" t="e">
        <f t="shared" si="425"/>
        <v>#REF!</v>
      </c>
      <c r="AG117" s="25" t="e">
        <f t="shared" si="448"/>
        <v>#REF!</v>
      </c>
      <c r="AH117" s="4" t="e">
        <f t="shared" si="449"/>
        <v>#REF!</v>
      </c>
      <c r="AI117" s="4">
        <v>1.25</v>
      </c>
      <c r="AJ117" s="25">
        <f t="shared" si="438"/>
        <v>5</v>
      </c>
      <c r="AK117" s="38" t="e">
        <f t="shared" ref="AK117:AK155" si="480">AF117*AH117*AI117*AJ117*AG117</f>
        <v>#REF!</v>
      </c>
      <c r="AL117" s="38" t="e">
        <f t="shared" si="356"/>
        <v>#REF!</v>
      </c>
      <c r="AN117" s="38" t="e">
        <f t="shared" si="426"/>
        <v>#REF!</v>
      </c>
      <c r="AO117" s="38" t="e">
        <f t="shared" si="316"/>
        <v>#REF!</v>
      </c>
      <c r="AP117" s="38" t="e">
        <f t="shared" si="357"/>
        <v>#REF!</v>
      </c>
      <c r="AQ117" s="4" t="e">
        <f t="shared" si="443"/>
        <v>#REF!</v>
      </c>
      <c r="AR117" s="4" t="e">
        <f>#REF!/G117*F117^0.5/0.19</f>
        <v>#REF!</v>
      </c>
      <c r="AS117" s="4">
        <f t="shared" si="450"/>
        <v>1</v>
      </c>
      <c r="AT117" s="38">
        <f t="shared" si="451"/>
        <v>241.19701490690136</v>
      </c>
      <c r="AU117" s="4">
        <f t="shared" si="452"/>
        <v>0.43440000000000001</v>
      </c>
      <c r="AV117" s="4" t="e">
        <f>AU117*D117*#REF!/(D117*G117/2.75/F117^0.5)</f>
        <v>#REF!</v>
      </c>
      <c r="AW117" s="4" t="e">
        <f t="shared" si="427"/>
        <v>#REF!</v>
      </c>
      <c r="AY117" s="36">
        <f t="shared" si="428"/>
        <v>1.1274999999999999</v>
      </c>
      <c r="AZ117" s="36" t="e">
        <f>(1.6*#REF!+22)*AY117*F117^0.5</f>
        <v>#REF!</v>
      </c>
      <c r="BE117" s="4">
        <f t="shared" si="453"/>
        <v>57.199999999999996</v>
      </c>
      <c r="BF117" s="4">
        <f t="shared" si="454"/>
        <v>50.8</v>
      </c>
      <c r="BG117" s="4">
        <f t="shared" si="455"/>
        <v>57.199999999999996</v>
      </c>
      <c r="BH117" s="4">
        <f t="shared" si="456"/>
        <v>63.5</v>
      </c>
      <c r="BI117" s="4">
        <f t="shared" si="229"/>
        <v>1.0125984251968505</v>
      </c>
      <c r="BJ117" s="25">
        <f t="shared" si="457"/>
        <v>2.5314960629921264</v>
      </c>
      <c r="BL117" s="4">
        <f t="shared" si="458"/>
        <v>50.8</v>
      </c>
      <c r="BP117" s="9"/>
      <c r="BR117" s="9"/>
      <c r="BS117" s="9"/>
      <c r="BT117" s="9">
        <f t="shared" si="459"/>
        <v>50.8</v>
      </c>
      <c r="BU117" s="9">
        <f t="shared" si="460"/>
        <v>127</v>
      </c>
      <c r="BV117" s="9">
        <f t="shared" si="461"/>
        <v>1.622579553879709</v>
      </c>
      <c r="BW117" s="9">
        <v>0</v>
      </c>
      <c r="BX117" s="9">
        <f t="shared" si="462"/>
        <v>0</v>
      </c>
      <c r="BY117" s="9">
        <f t="shared" si="429"/>
        <v>0</v>
      </c>
      <c r="BZ117" s="9">
        <f t="shared" si="463"/>
        <v>0.99524931562137331</v>
      </c>
      <c r="CA117" s="9">
        <f t="shared" si="464"/>
        <v>1.056</v>
      </c>
      <c r="CB117" s="9">
        <f t="shared" si="465"/>
        <v>1.8020609303015322</v>
      </c>
      <c r="CC117" s="9">
        <f t="shared" si="466"/>
        <v>2.9239872203527137</v>
      </c>
      <c r="CD117" s="9">
        <v>1</v>
      </c>
      <c r="CE117" s="9" t="e">
        <f>4*CC117*#REF!+60*CC117</f>
        <v>#REF!</v>
      </c>
      <c r="CG117" s="4" t="e">
        <f t="shared" si="265"/>
        <v>#REF!</v>
      </c>
      <c r="CH117" s="4" t="e">
        <f t="shared" si="444"/>
        <v>#REF!</v>
      </c>
      <c r="CI117" s="4" t="e">
        <f t="shared" si="267"/>
        <v>#REF!</v>
      </c>
      <c r="CJ117" s="4" t="e">
        <f t="shared" si="268"/>
        <v>#REF!</v>
      </c>
      <c r="CK117" s="4" t="e">
        <f t="shared" si="269"/>
        <v>#REF!</v>
      </c>
      <c r="CL117" s="4" t="e">
        <f t="shared" si="270"/>
        <v>#REF!</v>
      </c>
      <c r="CM117" s="4" t="e">
        <f t="shared" ref="CM117:CM153" si="481">V117/FU117</f>
        <v>#REF!</v>
      </c>
      <c r="CO117" s="4" t="e">
        <f t="shared" si="271"/>
        <v>#REF!</v>
      </c>
      <c r="CP117" s="4" t="e">
        <f t="shared" si="272"/>
        <v>#REF!</v>
      </c>
      <c r="CQ117" s="4" t="e">
        <f t="shared" si="273"/>
        <v>#REF!</v>
      </c>
      <c r="CR117" s="4" t="e">
        <f t="shared" si="445"/>
        <v>#REF!</v>
      </c>
      <c r="CS117" s="4" t="e">
        <f t="shared" si="275"/>
        <v>#REF!</v>
      </c>
      <c r="CT117" s="4" t="e">
        <f t="shared" si="276"/>
        <v>#REF!</v>
      </c>
      <c r="DB117" s="4">
        <f t="shared" si="232"/>
        <v>0</v>
      </c>
      <c r="DC117" s="4" t="e">
        <f t="shared" si="467"/>
        <v>#REF!</v>
      </c>
      <c r="DD117" s="4" t="e">
        <f>#REF!/E117</f>
        <v>#REF!</v>
      </c>
      <c r="DF117" s="4" t="e">
        <f t="shared" si="468"/>
        <v>#REF!</v>
      </c>
      <c r="DG117" s="4">
        <f t="shared" si="233"/>
        <v>4.5284778252987881</v>
      </c>
      <c r="DH117" s="4" t="e">
        <f>DO117*S117/257/F117/P117</f>
        <v>#REF!</v>
      </c>
      <c r="DI117" s="4" t="e">
        <f t="shared" si="359"/>
        <v>#REF!</v>
      </c>
      <c r="DJ117" s="4" t="e">
        <f t="shared" si="360"/>
        <v>#REF!</v>
      </c>
      <c r="DK117" s="4" t="e">
        <f>MAX(DG117/2, (4-DF117*(8*S117*(DI117-DJ117)+6*E117*DJ117))/(4+DF117*E117*DG117)*DG117)</f>
        <v>#REF!</v>
      </c>
      <c r="DL117" s="38" t="e">
        <f t="shared" si="469"/>
        <v>#REF!</v>
      </c>
      <c r="DM117" s="4" t="e">
        <f t="shared" si="361"/>
        <v>#REF!</v>
      </c>
      <c r="DN117" s="4">
        <f>S117/G117</f>
        <v>2.2449944320643649</v>
      </c>
      <c r="DO117" s="4" t="e">
        <f t="shared" si="363"/>
        <v>#REF!</v>
      </c>
      <c r="DS117" s="4">
        <f t="shared" si="470"/>
        <v>1</v>
      </c>
      <c r="DT117" s="4">
        <f t="shared" si="471"/>
        <v>0.9</v>
      </c>
      <c r="DU117" s="4">
        <f t="shared" si="472"/>
        <v>1</v>
      </c>
      <c r="DV117" s="4">
        <f t="shared" si="430"/>
        <v>0.9</v>
      </c>
      <c r="DX117" s="4" t="e">
        <f t="shared" si="473"/>
        <v>#REF!</v>
      </c>
      <c r="DY117" s="25" t="e">
        <f t="shared" si="431"/>
        <v>#REF!</v>
      </c>
      <c r="EB117" s="4">
        <f t="shared" si="436"/>
        <v>4.5284778252987881</v>
      </c>
      <c r="EC117" s="4">
        <f t="shared" si="474"/>
        <v>4.5284778252987881</v>
      </c>
      <c r="EE117" s="4">
        <f t="shared" si="475"/>
        <v>57.022858574434863</v>
      </c>
      <c r="EF117" s="4">
        <f t="shared" si="235"/>
        <v>2.2449944320643649</v>
      </c>
      <c r="EG117" s="4" t="e">
        <f t="shared" si="476"/>
        <v>#REF!</v>
      </c>
      <c r="EJ117" s="4" t="e">
        <f t="shared" si="432"/>
        <v>#REF!</v>
      </c>
      <c r="EK117" s="4" t="e">
        <f t="shared" si="477"/>
        <v>#REF!</v>
      </c>
      <c r="EL117" s="4" t="e">
        <f t="shared" si="237"/>
        <v>#REF!</v>
      </c>
      <c r="EM117" s="4" t="e">
        <f t="shared" si="433"/>
        <v>#REF!</v>
      </c>
      <c r="EN117" s="4" t="e">
        <f t="shared" si="239"/>
        <v>#REF!</v>
      </c>
      <c r="EO117" s="4" t="e">
        <f t="shared" si="240"/>
        <v>#REF!</v>
      </c>
      <c r="EP117" s="4" t="e">
        <f t="shared" si="478"/>
        <v>#REF!</v>
      </c>
      <c r="EQ117" s="4" t="e">
        <f t="shared" si="434"/>
        <v>#REF!</v>
      </c>
      <c r="ER117" s="4" t="e">
        <f t="shared" si="479"/>
        <v>#REF!</v>
      </c>
      <c r="ES117" s="4" t="e">
        <f t="shared" si="242"/>
        <v>#REF!</v>
      </c>
      <c r="ET117" s="4" t="e">
        <f t="shared" si="243"/>
        <v>#REF!</v>
      </c>
      <c r="EV117" s="4" t="e">
        <f t="shared" si="350"/>
        <v>#REF!</v>
      </c>
      <c r="FA117" s="23" t="e">
        <f t="shared" si="277"/>
        <v>#REF!</v>
      </c>
      <c r="FB117" s="23" t="e">
        <f t="shared" si="278"/>
        <v>#REF!</v>
      </c>
      <c r="FC117" s="23" t="e">
        <f t="shared" si="290"/>
        <v>#REF!</v>
      </c>
      <c r="FD117" s="23" t="e">
        <f t="shared" si="279"/>
        <v>#REF!</v>
      </c>
      <c r="FE117" s="23" t="e">
        <f t="shared" si="280"/>
        <v>#REF!</v>
      </c>
      <c r="FF117" s="23" t="e">
        <f t="shared" si="281"/>
        <v>#REF!</v>
      </c>
      <c r="FG117" s="23" t="e">
        <f t="shared" si="282"/>
        <v>#REF!</v>
      </c>
      <c r="FH117" s="23"/>
      <c r="FR117" s="4">
        <f t="shared" si="351"/>
        <v>1</v>
      </c>
      <c r="FS117" s="4">
        <f t="shared" si="352"/>
        <v>0.75</v>
      </c>
      <c r="FT117" s="4">
        <f t="shared" si="353"/>
        <v>0</v>
      </c>
      <c r="FU117" s="4" t="e">
        <f t="shared" si="354"/>
        <v>#REF!</v>
      </c>
      <c r="FW117" s="4">
        <f>25.4^0.5/145^0.75/0.0024</f>
        <v>50.255039065656455</v>
      </c>
      <c r="FX117" s="4">
        <f>1/FW117</f>
        <v>1.989850209236799E-2</v>
      </c>
    </row>
    <row r="118" spans="2:182" s="19" customFormat="1" ht="12" customHeight="1" x14ac:dyDescent="0.3">
      <c r="B118" s="20" t="s">
        <v>296</v>
      </c>
      <c r="C118" s="21" t="s">
        <v>278</v>
      </c>
      <c r="D118" s="21">
        <v>472</v>
      </c>
      <c r="E118" s="21">
        <v>0</v>
      </c>
      <c r="F118" s="21">
        <v>24</v>
      </c>
      <c r="G118" s="21">
        <v>25.4</v>
      </c>
      <c r="H118" s="21">
        <f t="shared" si="441"/>
        <v>914.4</v>
      </c>
      <c r="I118" s="21">
        <f t="shared" si="437"/>
        <v>127</v>
      </c>
      <c r="J118" s="21"/>
      <c r="K118" s="21">
        <f t="shared" si="435"/>
        <v>101.6</v>
      </c>
      <c r="L118" s="21">
        <v>3</v>
      </c>
      <c r="M118" s="21">
        <f t="shared" si="424"/>
        <v>50.8</v>
      </c>
      <c r="N118" s="21">
        <f t="shared" si="380"/>
        <v>2.5</v>
      </c>
      <c r="O118" s="21">
        <f t="shared" si="442"/>
        <v>2.5</v>
      </c>
      <c r="P118" s="21">
        <v>4.04</v>
      </c>
      <c r="Q118" s="21">
        <f t="shared" si="227"/>
        <v>4.04</v>
      </c>
      <c r="R118" s="21">
        <f t="shared" si="446"/>
        <v>5.04</v>
      </c>
      <c r="S118" s="21">
        <f t="shared" si="447"/>
        <v>57.022858574434863</v>
      </c>
      <c r="T118" s="21"/>
      <c r="U118" s="21"/>
      <c r="V118" s="21">
        <v>375</v>
      </c>
      <c r="W118" s="21"/>
      <c r="X118" s="21"/>
      <c r="Y118" s="21"/>
      <c r="Z118" s="21"/>
      <c r="AA118" s="21">
        <v>1</v>
      </c>
      <c r="AB118" s="21"/>
      <c r="AC118" s="21"/>
      <c r="AD118" s="21"/>
      <c r="AE118" s="19">
        <f t="shared" si="364"/>
        <v>0</v>
      </c>
      <c r="AF118" s="19" t="e">
        <f t="shared" si="425"/>
        <v>#DIV/0!</v>
      </c>
      <c r="AG118" s="19">
        <f t="shared" si="448"/>
        <v>0</v>
      </c>
      <c r="AH118" s="19" t="e">
        <f t="shared" si="449"/>
        <v>#DIV/0!</v>
      </c>
      <c r="AI118" s="19">
        <v>1.25</v>
      </c>
      <c r="AJ118" s="19">
        <f t="shared" si="438"/>
        <v>5</v>
      </c>
      <c r="AK118" s="19" t="e">
        <f t="shared" si="480"/>
        <v>#DIV/0!</v>
      </c>
      <c r="AL118" s="19" t="e">
        <f t="shared" si="356"/>
        <v>#DIV/0!</v>
      </c>
      <c r="AN118" s="19" t="e">
        <f t="shared" si="426"/>
        <v>#DIV/0!</v>
      </c>
      <c r="AO118" s="19" t="e">
        <f t="shared" si="316"/>
        <v>#DIV/0!</v>
      </c>
      <c r="AR118" s="19" t="e">
        <f>#REF!/G118*F118^0.5/0.19</f>
        <v>#REF!</v>
      </c>
      <c r="AS118" s="19">
        <f t="shared" si="450"/>
        <v>1</v>
      </c>
      <c r="AT118" s="19">
        <f t="shared" si="451"/>
        <v>241.19701490690136</v>
      </c>
      <c r="AU118" s="19">
        <f t="shared" si="452"/>
        <v>0.43440000000000001</v>
      </c>
      <c r="AV118" s="19" t="e">
        <f>AU118*D118*#REF!/(D118*G118/2.75/F118^0.5)</f>
        <v>#REF!</v>
      </c>
      <c r="AW118" s="19" t="e">
        <f t="shared" si="427"/>
        <v>#REF!</v>
      </c>
      <c r="AY118" s="19">
        <f t="shared" si="428"/>
        <v>1.1274999999999999</v>
      </c>
      <c r="AZ118" s="19" t="e">
        <f>(1.6*#REF!+22)*AY118*F118^0.5</f>
        <v>#REF!</v>
      </c>
      <c r="BE118" s="19">
        <f t="shared" si="453"/>
        <v>57.199999999999996</v>
      </c>
      <c r="BF118" s="19">
        <f t="shared" si="454"/>
        <v>50.8</v>
      </c>
      <c r="BG118" s="19">
        <f t="shared" si="455"/>
        <v>57.199999999999996</v>
      </c>
      <c r="BH118" s="19">
        <f t="shared" si="456"/>
        <v>63.5</v>
      </c>
      <c r="BI118" s="19">
        <f t="shared" si="229"/>
        <v>1.0125984251968505</v>
      </c>
      <c r="BJ118" s="25">
        <f t="shared" si="457"/>
        <v>2.5314960629921264</v>
      </c>
      <c r="BL118" s="19">
        <f t="shared" si="458"/>
        <v>50.8</v>
      </c>
      <c r="BP118" s="18"/>
      <c r="BR118" s="18"/>
      <c r="BS118" s="18"/>
      <c r="BT118" s="18">
        <f t="shared" si="459"/>
        <v>50.8</v>
      </c>
      <c r="BU118" s="18">
        <f t="shared" si="460"/>
        <v>127</v>
      </c>
      <c r="BV118" s="18">
        <f t="shared" si="461"/>
        <v>1.622579553879709</v>
      </c>
      <c r="BW118" s="18">
        <v>0</v>
      </c>
      <c r="BX118" s="18">
        <f t="shared" si="462"/>
        <v>0</v>
      </c>
      <c r="BY118" s="18">
        <f t="shared" si="429"/>
        <v>0</v>
      </c>
      <c r="BZ118" s="18">
        <f t="shared" si="463"/>
        <v>0.99524931562137331</v>
      </c>
      <c r="CA118" s="18">
        <f t="shared" si="464"/>
        <v>1.056</v>
      </c>
      <c r="CB118" s="18">
        <f t="shared" si="465"/>
        <v>1.8020609303015322</v>
      </c>
      <c r="CC118" s="18">
        <f t="shared" si="466"/>
        <v>2.9239872203527137</v>
      </c>
      <c r="CD118" s="18">
        <v>1</v>
      </c>
      <c r="CE118" s="18" t="e">
        <f>4*CC118*#REF!+60*CC118</f>
        <v>#REF!</v>
      </c>
      <c r="DB118" s="19">
        <f t="shared" si="232"/>
        <v>0</v>
      </c>
      <c r="DC118" s="19">
        <f t="shared" si="467"/>
        <v>0</v>
      </c>
      <c r="DD118" s="19" t="e">
        <f>#REF!/E118</f>
        <v>#REF!</v>
      </c>
      <c r="DF118" s="19">
        <f t="shared" si="468"/>
        <v>0</v>
      </c>
      <c r="DG118" s="19">
        <f t="shared" si="233"/>
        <v>4.5284778252987881</v>
      </c>
      <c r="DL118" s="38" t="e">
        <f t="shared" si="469"/>
        <v>#DIV/0!</v>
      </c>
      <c r="DM118" s="19" t="e">
        <f t="shared" si="361"/>
        <v>#DIV/0!</v>
      </c>
      <c r="DO118" s="4" t="e">
        <f t="shared" si="363"/>
        <v>#DIV/0!</v>
      </c>
      <c r="DS118" s="19">
        <f t="shared" si="470"/>
        <v>1</v>
      </c>
      <c r="DT118" s="19">
        <f t="shared" si="471"/>
        <v>0.9</v>
      </c>
      <c r="DU118" s="19">
        <f t="shared" si="472"/>
        <v>1</v>
      </c>
      <c r="DV118" s="19">
        <f t="shared" si="430"/>
        <v>0.9</v>
      </c>
      <c r="DX118" s="4" t="e">
        <f t="shared" si="473"/>
        <v>#DIV/0!</v>
      </c>
      <c r="DY118" s="25" t="e">
        <f t="shared" si="431"/>
        <v>#DIV/0!</v>
      </c>
      <c r="EB118" s="19">
        <f t="shared" si="436"/>
        <v>4.5284778252987881</v>
      </c>
      <c r="EC118" s="19">
        <f t="shared" si="474"/>
        <v>4.5284778252987881</v>
      </c>
      <c r="EE118" s="19">
        <f t="shared" si="475"/>
        <v>57.022858574434863</v>
      </c>
      <c r="EF118" s="19">
        <f t="shared" si="235"/>
        <v>2.2449944320643649</v>
      </c>
      <c r="EG118" s="19" t="e">
        <f t="shared" si="476"/>
        <v>#DIV/0!</v>
      </c>
      <c r="EJ118" s="19" t="e">
        <f t="shared" si="432"/>
        <v>#DIV/0!</v>
      </c>
      <c r="EK118" s="19" t="e">
        <f t="shared" si="477"/>
        <v>#DIV/0!</v>
      </c>
      <c r="EL118" s="19" t="e">
        <f t="shared" si="237"/>
        <v>#DIV/0!</v>
      </c>
      <c r="EM118" s="19" t="e">
        <f t="shared" si="433"/>
        <v>#DIV/0!</v>
      </c>
      <c r="EN118" s="19">
        <f t="shared" si="239"/>
        <v>0</v>
      </c>
      <c r="EO118" s="19">
        <f t="shared" si="240"/>
        <v>0</v>
      </c>
      <c r="EP118" s="19">
        <f t="shared" si="478"/>
        <v>0</v>
      </c>
      <c r="EQ118" s="19" t="e">
        <f t="shared" si="434"/>
        <v>#DIV/0!</v>
      </c>
      <c r="ER118" s="19" t="e">
        <f t="shared" si="479"/>
        <v>#DIV/0!</v>
      </c>
      <c r="ES118" s="19" t="e">
        <f t="shared" si="242"/>
        <v>#REF!</v>
      </c>
      <c r="ET118" s="19" t="e">
        <f t="shared" si="243"/>
        <v>#REF!</v>
      </c>
      <c r="FA118" s="22"/>
      <c r="FB118" s="22"/>
      <c r="FC118" s="22"/>
      <c r="FD118" s="22"/>
      <c r="FE118" s="22"/>
      <c r="FF118" s="22"/>
      <c r="FG118" s="22"/>
      <c r="FH118" s="22"/>
      <c r="FR118" s="19">
        <f t="shared" si="351"/>
        <v>1</v>
      </c>
      <c r="FS118" s="19">
        <f t="shared" si="352"/>
        <v>0.75</v>
      </c>
      <c r="FT118" s="19">
        <f t="shared" si="353"/>
        <v>0</v>
      </c>
      <c r="FU118" s="19">
        <f t="shared" si="354"/>
        <v>0</v>
      </c>
    </row>
    <row r="119" spans="2:182" ht="12" customHeight="1" x14ac:dyDescent="0.3">
      <c r="B119" s="24" t="s">
        <v>292</v>
      </c>
      <c r="C119" s="7" t="s">
        <v>281</v>
      </c>
      <c r="D119" s="7">
        <v>472</v>
      </c>
      <c r="E119" s="7" t="e">
        <f>G119*#REF!</f>
        <v>#REF!</v>
      </c>
      <c r="F119" s="7">
        <v>29</v>
      </c>
      <c r="G119" s="7">
        <v>25.4</v>
      </c>
      <c r="H119" s="7">
        <f t="shared" si="441"/>
        <v>914.4</v>
      </c>
      <c r="I119" s="7">
        <f t="shared" si="437"/>
        <v>127</v>
      </c>
      <c r="J119" s="7"/>
      <c r="K119" s="7">
        <f t="shared" si="435"/>
        <v>101.6</v>
      </c>
      <c r="L119" s="7">
        <v>3</v>
      </c>
      <c r="M119" s="7">
        <f t="shared" si="424"/>
        <v>50.8</v>
      </c>
      <c r="N119" s="7">
        <f t="shared" si="380"/>
        <v>2.5</v>
      </c>
      <c r="O119" s="7">
        <f t="shared" si="442"/>
        <v>2.5</v>
      </c>
      <c r="P119" s="7">
        <v>4.7</v>
      </c>
      <c r="Q119" s="7">
        <f t="shared" si="227"/>
        <v>4.7</v>
      </c>
      <c r="R119" s="7">
        <f t="shared" si="446"/>
        <v>5.7</v>
      </c>
      <c r="S119" s="7">
        <f t="shared" si="447"/>
        <v>60.641668842471674</v>
      </c>
      <c r="T119" s="7"/>
      <c r="U119" s="7"/>
      <c r="V119" s="7">
        <v>378</v>
      </c>
      <c r="W119" s="7"/>
      <c r="X119" s="7" t="e">
        <f t="shared" ref="X119:X153" si="482">CK119</f>
        <v>#REF!</v>
      </c>
      <c r="Y119" s="7">
        <f>25.4/4</f>
        <v>6.35</v>
      </c>
      <c r="Z119" s="7">
        <v>2</v>
      </c>
      <c r="AA119" s="7" t="e">
        <f>E119-2*25.4</f>
        <v>#REF!</v>
      </c>
      <c r="AB119" s="7">
        <v>2</v>
      </c>
      <c r="AC119" s="7">
        <v>2</v>
      </c>
      <c r="AD119" s="7"/>
      <c r="AE119" s="4" t="e">
        <f t="shared" ref="AE119:AE153" si="483">E119</f>
        <v>#REF!</v>
      </c>
      <c r="AF119" s="44" t="e">
        <f t="shared" si="425"/>
        <v>#REF!</v>
      </c>
      <c r="AG119" s="25" t="e">
        <f t="shared" si="448"/>
        <v>#REF!</v>
      </c>
      <c r="AH119" s="4" t="e">
        <f t="shared" si="449"/>
        <v>#REF!</v>
      </c>
      <c r="AI119" s="4">
        <v>1.25</v>
      </c>
      <c r="AJ119" s="25">
        <f t="shared" si="438"/>
        <v>5</v>
      </c>
      <c r="AK119" s="38" t="e">
        <f t="shared" si="480"/>
        <v>#REF!</v>
      </c>
      <c r="AL119" s="38" t="e">
        <f t="shared" si="356"/>
        <v>#REF!</v>
      </c>
      <c r="AN119" s="38" t="e">
        <f t="shared" si="426"/>
        <v>#REF!</v>
      </c>
      <c r="AO119" s="38" t="e">
        <f t="shared" si="316"/>
        <v>#REF!</v>
      </c>
      <c r="AP119" s="38" t="e">
        <f t="shared" si="357"/>
        <v>#REF!</v>
      </c>
      <c r="AQ119" s="4" t="e">
        <f t="shared" si="443"/>
        <v>#REF!</v>
      </c>
      <c r="AR119" s="4" t="e">
        <f>#REF!/G119*F119^0.5/0.19</f>
        <v>#REF!</v>
      </c>
      <c r="AS119" s="4">
        <f t="shared" si="450"/>
        <v>1</v>
      </c>
      <c r="AT119" s="38">
        <f t="shared" si="451"/>
        <v>314.35250913584258</v>
      </c>
      <c r="AU119" s="4">
        <f t="shared" si="452"/>
        <v>0.34199999999999997</v>
      </c>
      <c r="AV119" s="4" t="e">
        <f>AU119*D119*#REF!/(D119*G119/2.75/F119^0.5)</f>
        <v>#REF!</v>
      </c>
      <c r="AW119" s="4" t="e">
        <f t="shared" si="427"/>
        <v>#REF!</v>
      </c>
      <c r="AY119" s="36" t="e">
        <f t="shared" si="428"/>
        <v>#REF!</v>
      </c>
      <c r="AZ119" s="36" t="e">
        <f>(1.6*#REF!+22)*AY119*F119^0.5</f>
        <v>#REF!</v>
      </c>
      <c r="BE119" s="4">
        <f t="shared" si="453"/>
        <v>57.199999999999996</v>
      </c>
      <c r="BF119" s="4">
        <f t="shared" si="454"/>
        <v>50.8</v>
      </c>
      <c r="BG119" s="4">
        <f t="shared" si="455"/>
        <v>57.199999999999996</v>
      </c>
      <c r="BH119" s="4">
        <f t="shared" si="456"/>
        <v>63.5</v>
      </c>
      <c r="BI119" s="4">
        <f t="shared" si="229"/>
        <v>1.0125984251968505</v>
      </c>
      <c r="BJ119" s="25" t="e">
        <f t="shared" si="457"/>
        <v>#REF!</v>
      </c>
      <c r="BL119" s="4">
        <f t="shared" si="458"/>
        <v>50.8</v>
      </c>
      <c r="BP119" s="9"/>
      <c r="BR119" s="9"/>
      <c r="BS119" s="9"/>
      <c r="BT119" s="9">
        <f t="shared" si="459"/>
        <v>50.8</v>
      </c>
      <c r="BU119" s="9">
        <f t="shared" si="460"/>
        <v>127</v>
      </c>
      <c r="BV119" s="9">
        <f t="shared" si="461"/>
        <v>1.622579553879709</v>
      </c>
      <c r="BW119" s="9">
        <v>0</v>
      </c>
      <c r="BX119" s="9" t="e">
        <f t="shared" si="462"/>
        <v>#REF!</v>
      </c>
      <c r="BY119" s="9" t="e">
        <f t="shared" si="429"/>
        <v>#REF!</v>
      </c>
      <c r="BZ119" s="9">
        <f t="shared" si="463"/>
        <v>0.99524931562137331</v>
      </c>
      <c r="CA119" s="9">
        <f t="shared" si="464"/>
        <v>1.056</v>
      </c>
      <c r="CB119" s="9">
        <f t="shared" si="465"/>
        <v>1.9809013552237766</v>
      </c>
      <c r="CC119" s="9" t="e">
        <f t="shared" si="466"/>
        <v>#REF!</v>
      </c>
      <c r="CD119" s="9">
        <v>1</v>
      </c>
      <c r="CE119" s="9" t="e">
        <f>4*CC119*#REF!+60*CC119</f>
        <v>#REF!</v>
      </c>
      <c r="CG119" s="4" t="e">
        <f>V119/AR119</f>
        <v>#REF!</v>
      </c>
      <c r="CH119" s="4" t="e">
        <f>V119/AW119</f>
        <v>#REF!</v>
      </c>
      <c r="CI119" s="4" t="e">
        <f t="shared" si="267"/>
        <v>#REF!</v>
      </c>
      <c r="CJ119" s="4" t="e">
        <f t="shared" ref="CJ119:CJ147" si="484">V119/CE119</f>
        <v>#REF!</v>
      </c>
      <c r="CK119" s="4" t="e">
        <f t="shared" si="269"/>
        <v>#REF!</v>
      </c>
      <c r="CL119" s="4" t="e">
        <f t="shared" si="270"/>
        <v>#REF!</v>
      </c>
      <c r="CM119" s="4" t="e">
        <f t="shared" si="481"/>
        <v>#REF!</v>
      </c>
      <c r="CU119" s="4" t="e">
        <f t="shared" si="372"/>
        <v>#REF!</v>
      </c>
      <c r="CV119" s="4" t="e">
        <f t="shared" si="373"/>
        <v>#REF!</v>
      </c>
      <c r="CW119" s="4" t="e">
        <f t="shared" si="374"/>
        <v>#REF!</v>
      </c>
      <c r="CX119" s="4" t="e">
        <f t="shared" ref="CX119:CX123" si="485">CM119</f>
        <v>#REF!</v>
      </c>
      <c r="CY119" s="4" t="e">
        <f t="shared" si="376"/>
        <v>#REF!</v>
      </c>
      <c r="CZ119" s="4" t="e">
        <f t="shared" si="377"/>
        <v>#REF!</v>
      </c>
      <c r="DB119" s="4">
        <f t="shared" si="232"/>
        <v>2</v>
      </c>
      <c r="DC119" s="4" t="e">
        <f t="shared" si="467"/>
        <v>#REF!</v>
      </c>
      <c r="DD119" s="4" t="e">
        <f>#REF!/E119</f>
        <v>#REF!</v>
      </c>
      <c r="DF119" s="4" t="e">
        <f t="shared" si="468"/>
        <v>#REF!</v>
      </c>
      <c r="DG119" s="4" t="e">
        <f t="shared" si="233"/>
        <v>#REF!</v>
      </c>
      <c r="DH119" s="4" t="e">
        <f t="shared" ref="DH119:DH153" si="486">DO119*S119/257/F119/P119</f>
        <v>#REF!</v>
      </c>
      <c r="DI119" s="4" t="e">
        <f t="shared" si="359"/>
        <v>#REF!</v>
      </c>
      <c r="DJ119" s="4" t="e">
        <f t="shared" si="360"/>
        <v>#REF!</v>
      </c>
      <c r="DK119" s="4" t="e">
        <f t="shared" ref="DK119:DK153" si="487">MAX(DG119/2, (4-DF119*(8*S119*(DI119-DJ119)+6*E119*DJ119))/(4+DF119*E119*DG119)*DG119)</f>
        <v>#REF!</v>
      </c>
      <c r="DL119" s="38" t="e">
        <f t="shared" si="469"/>
        <v>#REF!</v>
      </c>
      <c r="DM119" s="4" t="e">
        <f t="shared" si="361"/>
        <v>#REF!</v>
      </c>
      <c r="DN119" s="4">
        <f t="shared" ref="DN119:DN153" si="488">S119/G119</f>
        <v>2.3874672772626644</v>
      </c>
      <c r="DO119" s="4" t="e">
        <f t="shared" si="363"/>
        <v>#REF!</v>
      </c>
      <c r="DS119" s="4">
        <f t="shared" si="470"/>
        <v>1</v>
      </c>
      <c r="DT119" s="4">
        <f t="shared" si="471"/>
        <v>0.9</v>
      </c>
      <c r="DU119" s="4">
        <f t="shared" si="472"/>
        <v>1</v>
      </c>
      <c r="DV119" s="4">
        <f t="shared" si="430"/>
        <v>0.9</v>
      </c>
      <c r="DX119" s="4" t="e">
        <f t="shared" si="473"/>
        <v>#REF!</v>
      </c>
      <c r="DY119" s="25" t="e">
        <f t="shared" si="431"/>
        <v>#REF!</v>
      </c>
      <c r="EB119" s="4" t="e">
        <f t="shared" si="436"/>
        <v>#REF!</v>
      </c>
      <c r="EC119" s="4" t="e">
        <f t="shared" si="474"/>
        <v>#REF!</v>
      </c>
      <c r="EE119" s="4">
        <f t="shared" si="475"/>
        <v>60.641668842471674</v>
      </c>
      <c r="EF119" s="4">
        <f t="shared" si="235"/>
        <v>2.3874672772626644</v>
      </c>
      <c r="EG119" s="4" t="e">
        <f t="shared" si="476"/>
        <v>#REF!</v>
      </c>
      <c r="EJ119" s="4" t="e">
        <f t="shared" si="432"/>
        <v>#REF!</v>
      </c>
      <c r="EK119" s="4" t="e">
        <f t="shared" si="477"/>
        <v>#REF!</v>
      </c>
      <c r="EL119" s="4" t="e">
        <f t="shared" si="237"/>
        <v>#REF!</v>
      </c>
      <c r="EM119" s="4" t="e">
        <f t="shared" si="433"/>
        <v>#REF!</v>
      </c>
      <c r="EN119" s="4" t="e">
        <f t="shared" si="239"/>
        <v>#REF!</v>
      </c>
      <c r="EO119" s="4" t="e">
        <f t="shared" si="240"/>
        <v>#REF!</v>
      </c>
      <c r="EP119" s="4" t="e">
        <f t="shared" si="478"/>
        <v>#REF!</v>
      </c>
      <c r="EQ119" s="4" t="e">
        <f t="shared" si="434"/>
        <v>#REF!</v>
      </c>
      <c r="ER119" s="4" t="e">
        <f t="shared" si="479"/>
        <v>#REF!</v>
      </c>
      <c r="ES119" s="4" t="e">
        <f t="shared" si="242"/>
        <v>#REF!</v>
      </c>
      <c r="ET119" s="4" t="e">
        <f t="shared" si="243"/>
        <v>#REF!</v>
      </c>
      <c r="EV119" s="4" t="e">
        <f t="shared" ref="EV119:EV153" si="489">4/G119*(1*EL119*EE119+EM119*EN119+EO119*EQ119)+DO119 - (4/G119*(1*EL119*EE119+EM119*ES119+ET119*EQ119)+DO119)</f>
        <v>#REF!</v>
      </c>
      <c r="FA119" s="23" t="e">
        <f t="shared" ref="FA119:FA153" si="490">IF(CG119&lt;0.6,0.6,IF(CG119&lt;0.8,0.8,IF(CG119&lt;1,1,IF(CG119&lt;1.2,1.2,IF(CG119&lt;1.4,1.4,IF(CG119&lt;1.6,1.6,IF(CG119&lt;1.8,1.8,IF(CG119&lt;2,2,2.2))))))))</f>
        <v>#REF!</v>
      </c>
      <c r="FB119" s="23" t="e">
        <f t="shared" ref="FB119:FB147" si="491">IF(CH119&lt;0.6,0.6,IF(CH119&lt;0.8,0.8,IF(CH119&lt;1,1,IF(CH119&lt;1.2,1.2,IF(CH119&lt;1.4,1.4,IF(CH119&lt;1.6,1.6,IF(CH119&lt;1.8,1.8,IF(CH119&lt;2,2,2.2))))))))</f>
        <v>#REF!</v>
      </c>
      <c r="FC119" s="23" t="e">
        <f t="shared" si="290"/>
        <v>#REF!</v>
      </c>
      <c r="FD119" s="23" t="e">
        <f t="shared" ref="FD119:FD153" si="492">IF(CJ119&lt;0.6,0.6,IF(CJ119&lt;0.8,0.8,IF(CJ119&lt;1,1,IF(CJ119&lt;1.2,1.2,IF(CJ119&lt;1.4,1.4,IF(CJ119&lt;1.6,1.6,IF(CJ119&lt;1.8,1.8,IF(CJ119&lt;2,2,2.2))))))))</f>
        <v>#REF!</v>
      </c>
      <c r="FE119" s="23" t="e">
        <f t="shared" ref="FE119:FE153" si="493">IF(CK119&lt;0.6,0.6,IF(CK119&lt;0.8,0.8,IF(CK119&lt;1,1,IF(CK119&lt;1.2,1.2,IF(CK119&lt;1.4,1.4,IF(CK119&lt;1.6,1.6,IF(CK119&lt;1.8,1.8,IF(CK119&lt;2,2,2.2))))))))</f>
        <v>#REF!</v>
      </c>
      <c r="FF119" s="23" t="e">
        <f t="shared" ref="FF119:FF153" si="494">IF(CL119&lt;0.6,0.6,IF(CL119&lt;0.8,0.8,IF(CL119&lt;1,1,IF(CL119&lt;1.2,1.2,IF(CL119&lt;1.4,1.4,IF(CL119&lt;1.6,1.6,IF(CL119&lt;1.8,1.8,IF(CL119&lt;2,2,2.2))))))))</f>
        <v>#REF!</v>
      </c>
      <c r="FG119" s="23" t="e">
        <f t="shared" si="282"/>
        <v>#REF!</v>
      </c>
      <c r="FH119" s="23"/>
      <c r="FR119" s="4">
        <f t="shared" si="351"/>
        <v>1</v>
      </c>
      <c r="FS119" s="4" t="e">
        <f t="shared" si="352"/>
        <v>#REF!</v>
      </c>
      <c r="FT119" s="4">
        <f t="shared" si="353"/>
        <v>8.3333333333333343E-2</v>
      </c>
      <c r="FU119" s="4" t="e">
        <f t="shared" si="354"/>
        <v>#REF!</v>
      </c>
      <c r="FW119" s="4" t="e">
        <f>(E119)/(G119)^1.5/0.0199*(F119)^0.25/FR119/FS119</f>
        <v>#REF!</v>
      </c>
    </row>
    <row r="120" spans="2:182" ht="12" customHeight="1" x14ac:dyDescent="0.3">
      <c r="B120" s="24"/>
      <c r="C120" s="7" t="s">
        <v>278</v>
      </c>
      <c r="D120" s="7">
        <v>472</v>
      </c>
      <c r="E120" s="7" t="e">
        <f>G120*#REF!</f>
        <v>#REF!</v>
      </c>
      <c r="F120" s="7">
        <v>24</v>
      </c>
      <c r="G120" s="7">
        <v>25.4</v>
      </c>
      <c r="H120" s="7">
        <f t="shared" si="441"/>
        <v>914.4</v>
      </c>
      <c r="I120" s="7">
        <f t="shared" si="437"/>
        <v>127</v>
      </c>
      <c r="J120" s="7"/>
      <c r="K120" s="7">
        <f t="shared" si="435"/>
        <v>101.6</v>
      </c>
      <c r="L120" s="7">
        <v>3</v>
      </c>
      <c r="M120" s="7">
        <f t="shared" si="424"/>
        <v>50.8</v>
      </c>
      <c r="N120" s="7">
        <f t="shared" si="380"/>
        <v>2.5</v>
      </c>
      <c r="O120" s="7">
        <f t="shared" si="442"/>
        <v>2.5</v>
      </c>
      <c r="P120" s="7">
        <v>4.04</v>
      </c>
      <c r="Q120" s="7">
        <f t="shared" si="227"/>
        <v>4.04</v>
      </c>
      <c r="R120" s="7">
        <f t="shared" si="446"/>
        <v>5.04</v>
      </c>
      <c r="S120" s="7">
        <f t="shared" si="447"/>
        <v>57.022858574434863</v>
      </c>
      <c r="T120" s="7"/>
      <c r="U120" s="7"/>
      <c r="V120" s="7">
        <v>373</v>
      </c>
      <c r="W120" s="7"/>
      <c r="X120" s="7" t="e">
        <f t="shared" si="482"/>
        <v>#REF!</v>
      </c>
      <c r="Y120" s="7">
        <v>9.5</v>
      </c>
      <c r="Z120" s="7">
        <v>2</v>
      </c>
      <c r="AA120" s="7" t="e">
        <f>E120-2*25.4</f>
        <v>#REF!</v>
      </c>
      <c r="AB120" s="7">
        <v>2</v>
      </c>
      <c r="AC120" s="7">
        <v>2</v>
      </c>
      <c r="AD120" s="7"/>
      <c r="AE120" s="4" t="e">
        <f t="shared" si="483"/>
        <v>#REF!</v>
      </c>
      <c r="AF120" s="44" t="e">
        <f t="shared" si="425"/>
        <v>#REF!</v>
      </c>
      <c r="AG120" s="25" t="e">
        <f t="shared" si="448"/>
        <v>#REF!</v>
      </c>
      <c r="AH120" s="4" t="e">
        <f t="shared" si="449"/>
        <v>#REF!</v>
      </c>
      <c r="AI120" s="4">
        <v>1.25</v>
      </c>
      <c r="AJ120" s="25">
        <f t="shared" si="438"/>
        <v>5</v>
      </c>
      <c r="AK120" s="38" t="e">
        <f t="shared" si="480"/>
        <v>#REF!</v>
      </c>
      <c r="AL120" s="38" t="e">
        <f t="shared" si="356"/>
        <v>#REF!</v>
      </c>
      <c r="AN120" s="38" t="e">
        <f t="shared" si="426"/>
        <v>#REF!</v>
      </c>
      <c r="AO120" s="38" t="e">
        <f t="shared" si="316"/>
        <v>#REF!</v>
      </c>
      <c r="AP120" s="38" t="e">
        <f t="shared" si="357"/>
        <v>#REF!</v>
      </c>
      <c r="AQ120" s="4" t="e">
        <f t="shared" si="443"/>
        <v>#REF!</v>
      </c>
      <c r="AR120" s="4" t="e">
        <f>#REF!/G120*F120^0.5/0.19</f>
        <v>#REF!</v>
      </c>
      <c r="AS120" s="4">
        <f t="shared" si="450"/>
        <v>1</v>
      </c>
      <c r="AT120" s="38">
        <f t="shared" si="451"/>
        <v>241.19701490690136</v>
      </c>
      <c r="AU120" s="4">
        <f t="shared" si="452"/>
        <v>0.43440000000000001</v>
      </c>
      <c r="AV120" s="4" t="e">
        <f>AU120*D120*#REF!/(D120*G120/2.75/F120^0.5)</f>
        <v>#REF!</v>
      </c>
      <c r="AW120" s="4" t="e">
        <f t="shared" si="427"/>
        <v>#REF!</v>
      </c>
      <c r="AY120" s="36" t="e">
        <f t="shared" si="428"/>
        <v>#REF!</v>
      </c>
      <c r="AZ120" s="36" t="e">
        <f>(1.6*#REF!+22)*AY120*F120^0.5</f>
        <v>#REF!</v>
      </c>
      <c r="BE120" s="4">
        <f t="shared" si="453"/>
        <v>57.199999999999996</v>
      </c>
      <c r="BF120" s="4">
        <f t="shared" si="454"/>
        <v>50.8</v>
      </c>
      <c r="BG120" s="4">
        <f t="shared" si="455"/>
        <v>57.199999999999996</v>
      </c>
      <c r="BH120" s="4">
        <f t="shared" si="456"/>
        <v>63.5</v>
      </c>
      <c r="BI120" s="4">
        <f t="shared" si="229"/>
        <v>1.0125984251968505</v>
      </c>
      <c r="BJ120" s="25" t="e">
        <f t="shared" si="457"/>
        <v>#REF!</v>
      </c>
      <c r="BL120" s="4">
        <f t="shared" si="458"/>
        <v>50.8</v>
      </c>
      <c r="BP120" s="9"/>
      <c r="BR120" s="9"/>
      <c r="BS120" s="9"/>
      <c r="BT120" s="9">
        <f t="shared" si="459"/>
        <v>50.8</v>
      </c>
      <c r="BU120" s="9">
        <f t="shared" si="460"/>
        <v>127</v>
      </c>
      <c r="BV120" s="9">
        <f t="shared" si="461"/>
        <v>1.622579553879709</v>
      </c>
      <c r="BW120" s="9">
        <v>0</v>
      </c>
      <c r="BX120" s="9" t="e">
        <f t="shared" si="462"/>
        <v>#REF!</v>
      </c>
      <c r="BY120" s="9" t="e">
        <f t="shared" si="429"/>
        <v>#REF!</v>
      </c>
      <c r="BZ120" s="9">
        <f t="shared" si="463"/>
        <v>0.99524931562137331</v>
      </c>
      <c r="CA120" s="9">
        <f t="shared" si="464"/>
        <v>1.056</v>
      </c>
      <c r="CB120" s="9">
        <f t="shared" si="465"/>
        <v>1.8020609303015322</v>
      </c>
      <c r="CC120" s="9" t="e">
        <f t="shared" si="466"/>
        <v>#REF!</v>
      </c>
      <c r="CD120" s="9">
        <v>1</v>
      </c>
      <c r="CE120" s="9" t="e">
        <f>4*CC120*#REF!+60*CC120</f>
        <v>#REF!</v>
      </c>
      <c r="CG120" s="4" t="e">
        <f>V120/AR120</f>
        <v>#REF!</v>
      </c>
      <c r="CH120" s="4" t="e">
        <f>V120/AW120</f>
        <v>#REF!</v>
      </c>
      <c r="CI120" s="4" t="e">
        <f t="shared" si="267"/>
        <v>#REF!</v>
      </c>
      <c r="CJ120" s="4" t="e">
        <f t="shared" si="484"/>
        <v>#REF!</v>
      </c>
      <c r="CK120" s="4" t="e">
        <f t="shared" si="269"/>
        <v>#REF!</v>
      </c>
      <c r="CL120" s="4" t="e">
        <f t="shared" si="270"/>
        <v>#REF!</v>
      </c>
      <c r="CM120" s="4" t="e">
        <f t="shared" si="481"/>
        <v>#REF!</v>
      </c>
      <c r="CU120" s="4" t="e">
        <f t="shared" si="372"/>
        <v>#REF!</v>
      </c>
      <c r="CV120" s="4" t="e">
        <f t="shared" si="373"/>
        <v>#REF!</v>
      </c>
      <c r="CW120" s="4" t="e">
        <f t="shared" si="374"/>
        <v>#REF!</v>
      </c>
      <c r="CX120" s="4" t="e">
        <f t="shared" si="485"/>
        <v>#REF!</v>
      </c>
      <c r="CY120" s="4" t="e">
        <f t="shared" si="376"/>
        <v>#REF!</v>
      </c>
      <c r="CZ120" s="4" t="e">
        <f t="shared" si="377"/>
        <v>#REF!</v>
      </c>
      <c r="DB120" s="4">
        <f t="shared" si="232"/>
        <v>2</v>
      </c>
      <c r="DC120" s="4" t="e">
        <f t="shared" si="467"/>
        <v>#REF!</v>
      </c>
      <c r="DD120" s="4" t="e">
        <f>#REF!/E120</f>
        <v>#REF!</v>
      </c>
      <c r="DF120" s="4" t="e">
        <f t="shared" si="468"/>
        <v>#REF!</v>
      </c>
      <c r="DG120" s="4" t="e">
        <f t="shared" si="233"/>
        <v>#REF!</v>
      </c>
      <c r="DH120" s="4" t="e">
        <f t="shared" si="486"/>
        <v>#REF!</v>
      </c>
      <c r="DI120" s="4" t="e">
        <f t="shared" si="359"/>
        <v>#REF!</v>
      </c>
      <c r="DJ120" s="4" t="e">
        <f t="shared" si="360"/>
        <v>#REF!</v>
      </c>
      <c r="DK120" s="4" t="e">
        <f t="shared" si="487"/>
        <v>#REF!</v>
      </c>
      <c r="DL120" s="38" t="e">
        <f t="shared" si="469"/>
        <v>#REF!</v>
      </c>
      <c r="DM120" s="4" t="e">
        <f t="shared" si="361"/>
        <v>#REF!</v>
      </c>
      <c r="DN120" s="4">
        <f t="shared" si="488"/>
        <v>2.2449944320643649</v>
      </c>
      <c r="DO120" s="4" t="e">
        <f t="shared" si="363"/>
        <v>#REF!</v>
      </c>
      <c r="DS120" s="4">
        <f t="shared" si="470"/>
        <v>1</v>
      </c>
      <c r="DT120" s="4">
        <f t="shared" si="471"/>
        <v>0.9</v>
      </c>
      <c r="DU120" s="4">
        <f t="shared" si="472"/>
        <v>0.90713466426932854</v>
      </c>
      <c r="DV120" s="4">
        <f t="shared" si="430"/>
        <v>0.81642119784239575</v>
      </c>
      <c r="DX120" s="4" t="e">
        <f t="shared" si="473"/>
        <v>#REF!</v>
      </c>
      <c r="DY120" s="25" t="e">
        <f t="shared" si="431"/>
        <v>#REF!</v>
      </c>
      <c r="EB120" s="4" t="e">
        <f t="shared" si="436"/>
        <v>#REF!</v>
      </c>
      <c r="EC120" s="4" t="e">
        <f t="shared" si="474"/>
        <v>#REF!</v>
      </c>
      <c r="EE120" s="4">
        <f t="shared" si="475"/>
        <v>57.022858574434863</v>
      </c>
      <c r="EF120" s="4">
        <f t="shared" si="235"/>
        <v>2.2449944320643649</v>
      </c>
      <c r="EG120" s="4" t="e">
        <f t="shared" si="476"/>
        <v>#REF!</v>
      </c>
      <c r="EJ120" s="4" t="e">
        <f t="shared" si="432"/>
        <v>#REF!</v>
      </c>
      <c r="EK120" s="4" t="e">
        <f t="shared" si="477"/>
        <v>#REF!</v>
      </c>
      <c r="EL120" s="4" t="e">
        <f t="shared" si="237"/>
        <v>#REF!</v>
      </c>
      <c r="EM120" s="4" t="e">
        <f t="shared" si="433"/>
        <v>#REF!</v>
      </c>
      <c r="EN120" s="4" t="e">
        <f t="shared" si="239"/>
        <v>#REF!</v>
      </c>
      <c r="EO120" s="4" t="e">
        <f t="shared" si="240"/>
        <v>#REF!</v>
      </c>
      <c r="EP120" s="4" t="e">
        <f t="shared" si="478"/>
        <v>#REF!</v>
      </c>
      <c r="EQ120" s="4" t="e">
        <f t="shared" si="434"/>
        <v>#REF!</v>
      </c>
      <c r="ER120" s="4" t="e">
        <f t="shared" si="479"/>
        <v>#REF!</v>
      </c>
      <c r="ES120" s="4" t="e">
        <f t="shared" si="242"/>
        <v>#REF!</v>
      </c>
      <c r="ET120" s="4" t="e">
        <f t="shared" si="243"/>
        <v>#REF!</v>
      </c>
      <c r="EV120" s="4" t="e">
        <f t="shared" si="489"/>
        <v>#REF!</v>
      </c>
      <c r="FA120" s="23" t="e">
        <f t="shared" si="490"/>
        <v>#REF!</v>
      </c>
      <c r="FB120" s="23" t="e">
        <f t="shared" si="491"/>
        <v>#REF!</v>
      </c>
      <c r="FC120" s="23" t="e">
        <f t="shared" si="290"/>
        <v>#REF!</v>
      </c>
      <c r="FD120" s="23" t="e">
        <f t="shared" si="492"/>
        <v>#REF!</v>
      </c>
      <c r="FE120" s="23" t="e">
        <f t="shared" si="493"/>
        <v>#REF!</v>
      </c>
      <c r="FF120" s="23" t="e">
        <f t="shared" si="494"/>
        <v>#REF!</v>
      </c>
      <c r="FG120" s="23" t="e">
        <f t="shared" si="282"/>
        <v>#REF!</v>
      </c>
      <c r="FH120" s="23"/>
      <c r="FR120" s="4">
        <f t="shared" si="351"/>
        <v>1</v>
      </c>
      <c r="FS120" s="4" t="e">
        <f t="shared" si="352"/>
        <v>#REF!</v>
      </c>
      <c r="FT120" s="4">
        <f t="shared" si="353"/>
        <v>0.18651703970074607</v>
      </c>
      <c r="FU120" s="4" t="e">
        <f t="shared" si="354"/>
        <v>#REF!</v>
      </c>
      <c r="FW120" s="4" t="e">
        <f>(E120)/(G120)^1.5/0.0199*(F120)^0.25/FR120/FS120</f>
        <v>#REF!</v>
      </c>
    </row>
    <row r="121" spans="2:182" ht="12" customHeight="1" x14ac:dyDescent="0.3">
      <c r="B121" s="24"/>
      <c r="C121" s="7" t="s">
        <v>278</v>
      </c>
      <c r="D121" s="7">
        <v>472</v>
      </c>
      <c r="E121" s="7" t="e">
        <f>G121*#REF!</f>
        <v>#REF!</v>
      </c>
      <c r="F121" s="7">
        <v>24</v>
      </c>
      <c r="G121" s="7">
        <v>25.4</v>
      </c>
      <c r="H121" s="7">
        <f t="shared" si="441"/>
        <v>914.4</v>
      </c>
      <c r="I121" s="7">
        <f t="shared" si="437"/>
        <v>127</v>
      </c>
      <c r="J121" s="7"/>
      <c r="K121" s="7">
        <f t="shared" si="435"/>
        <v>101.6</v>
      </c>
      <c r="L121" s="7">
        <v>3</v>
      </c>
      <c r="M121" s="7">
        <f t="shared" si="424"/>
        <v>50.8</v>
      </c>
      <c r="N121" s="7">
        <f t="shared" si="380"/>
        <v>2.5</v>
      </c>
      <c r="O121" s="7">
        <f t="shared" si="442"/>
        <v>2.5</v>
      </c>
      <c r="P121" s="7">
        <v>4.04</v>
      </c>
      <c r="Q121" s="7">
        <f t="shared" si="227"/>
        <v>4.04</v>
      </c>
      <c r="R121" s="7">
        <f t="shared" si="446"/>
        <v>5.04</v>
      </c>
      <c r="S121" s="7">
        <f t="shared" si="447"/>
        <v>57.022858574434863</v>
      </c>
      <c r="T121" s="7"/>
      <c r="U121" s="7"/>
      <c r="V121" s="7">
        <v>391</v>
      </c>
      <c r="W121" s="7"/>
      <c r="X121" s="7" t="e">
        <f t="shared" si="482"/>
        <v>#REF!</v>
      </c>
      <c r="Y121" s="7">
        <v>12.7</v>
      </c>
      <c r="Z121" s="7">
        <v>2</v>
      </c>
      <c r="AA121" s="7" t="e">
        <f>E121-2*25.4</f>
        <v>#REF!</v>
      </c>
      <c r="AB121" s="7">
        <v>2</v>
      </c>
      <c r="AC121" s="7">
        <v>2</v>
      </c>
      <c r="AD121" s="7"/>
      <c r="AE121" s="4" t="e">
        <f t="shared" si="483"/>
        <v>#REF!</v>
      </c>
      <c r="AF121" s="44" t="e">
        <f t="shared" si="425"/>
        <v>#REF!</v>
      </c>
      <c r="AG121" s="25" t="e">
        <f t="shared" si="448"/>
        <v>#REF!</v>
      </c>
      <c r="AH121" s="4" t="e">
        <f t="shared" si="449"/>
        <v>#REF!</v>
      </c>
      <c r="AI121" s="4">
        <v>1.25</v>
      </c>
      <c r="AJ121" s="25">
        <f t="shared" si="438"/>
        <v>5</v>
      </c>
      <c r="AK121" s="38" t="e">
        <f t="shared" si="480"/>
        <v>#REF!</v>
      </c>
      <c r="AL121" s="38" t="e">
        <f t="shared" si="356"/>
        <v>#REF!</v>
      </c>
      <c r="AN121" s="38" t="e">
        <f t="shared" si="426"/>
        <v>#REF!</v>
      </c>
      <c r="AO121" s="38" t="e">
        <f t="shared" si="316"/>
        <v>#REF!</v>
      </c>
      <c r="AP121" s="38" t="e">
        <f t="shared" si="357"/>
        <v>#REF!</v>
      </c>
      <c r="AQ121" s="4" t="e">
        <f t="shared" si="443"/>
        <v>#REF!</v>
      </c>
      <c r="AR121" s="4" t="e">
        <f>#REF!/G121*F121^0.5/0.19</f>
        <v>#REF!</v>
      </c>
      <c r="AS121" s="4">
        <f t="shared" si="450"/>
        <v>1</v>
      </c>
      <c r="AT121" s="38">
        <f t="shared" si="451"/>
        <v>241.19701490690136</v>
      </c>
      <c r="AU121" s="4">
        <f t="shared" si="452"/>
        <v>0.43440000000000001</v>
      </c>
      <c r="AV121" s="4" t="e">
        <f>AU121*D121*#REF!/(D121*G121/2.75/F121^0.5)</f>
        <v>#REF!</v>
      </c>
      <c r="AW121" s="4" t="e">
        <f t="shared" si="427"/>
        <v>#REF!</v>
      </c>
      <c r="AY121" s="36" t="e">
        <f t="shared" si="428"/>
        <v>#REF!</v>
      </c>
      <c r="AZ121" s="36" t="e">
        <f>(1.6*#REF!+22)*AY121*F121^0.5</f>
        <v>#REF!</v>
      </c>
      <c r="BE121" s="4">
        <f t="shared" si="453"/>
        <v>57.199999999999996</v>
      </c>
      <c r="BF121" s="4">
        <f t="shared" si="454"/>
        <v>50.8</v>
      </c>
      <c r="BG121" s="4">
        <f t="shared" si="455"/>
        <v>57.199999999999996</v>
      </c>
      <c r="BH121" s="4">
        <f t="shared" si="456"/>
        <v>63.5</v>
      </c>
      <c r="BI121" s="4">
        <f t="shared" si="229"/>
        <v>1.0125984251968505</v>
      </c>
      <c r="BJ121" s="25" t="e">
        <f t="shared" si="457"/>
        <v>#REF!</v>
      </c>
      <c r="BL121" s="4">
        <f t="shared" si="458"/>
        <v>50.8</v>
      </c>
      <c r="BP121" s="9"/>
      <c r="BR121" s="9"/>
      <c r="BS121" s="9"/>
      <c r="BT121" s="9">
        <f t="shared" si="459"/>
        <v>50.8</v>
      </c>
      <c r="BU121" s="9">
        <f t="shared" si="460"/>
        <v>127</v>
      </c>
      <c r="BV121" s="9">
        <f t="shared" si="461"/>
        <v>1.622579553879709</v>
      </c>
      <c r="BW121" s="9">
        <v>0</v>
      </c>
      <c r="BX121" s="9" t="e">
        <f t="shared" si="462"/>
        <v>#REF!</v>
      </c>
      <c r="BY121" s="9" t="e">
        <f t="shared" si="429"/>
        <v>#REF!</v>
      </c>
      <c r="BZ121" s="9">
        <f t="shared" si="463"/>
        <v>0.99524931562137331</v>
      </c>
      <c r="CA121" s="9">
        <f t="shared" si="464"/>
        <v>1.056</v>
      </c>
      <c r="CB121" s="9">
        <f t="shared" si="465"/>
        <v>1.8020609303015322</v>
      </c>
      <c r="CC121" s="9" t="e">
        <f t="shared" si="466"/>
        <v>#REF!</v>
      </c>
      <c r="CD121" s="9">
        <v>1</v>
      </c>
      <c r="CE121" s="9" t="e">
        <f>4*CC121*#REF!+60*CC121</f>
        <v>#REF!</v>
      </c>
      <c r="CG121" s="4" t="e">
        <f>V121/AR121</f>
        <v>#REF!</v>
      </c>
      <c r="CH121" s="4" t="e">
        <f>V121/AW121</f>
        <v>#REF!</v>
      </c>
      <c r="CI121" s="4" t="e">
        <f t="shared" si="267"/>
        <v>#REF!</v>
      </c>
      <c r="CJ121" s="4" t="e">
        <f t="shared" si="484"/>
        <v>#REF!</v>
      </c>
      <c r="CK121" s="4" t="e">
        <f t="shared" si="269"/>
        <v>#REF!</v>
      </c>
      <c r="CL121" s="4" t="e">
        <f t="shared" si="270"/>
        <v>#REF!</v>
      </c>
      <c r="CM121" s="4" t="e">
        <f t="shared" si="481"/>
        <v>#REF!</v>
      </c>
      <c r="CU121" s="4" t="e">
        <f t="shared" si="372"/>
        <v>#REF!</v>
      </c>
      <c r="CV121" s="4" t="e">
        <f t="shared" si="373"/>
        <v>#REF!</v>
      </c>
      <c r="CW121" s="4" t="e">
        <f t="shared" si="374"/>
        <v>#REF!</v>
      </c>
      <c r="CX121" s="4" t="e">
        <f t="shared" si="485"/>
        <v>#REF!</v>
      </c>
      <c r="CY121" s="4" t="e">
        <f t="shared" si="376"/>
        <v>#REF!</v>
      </c>
      <c r="CZ121" s="4" t="e">
        <f t="shared" si="377"/>
        <v>#REF!</v>
      </c>
      <c r="DB121" s="4">
        <f t="shared" si="232"/>
        <v>2</v>
      </c>
      <c r="DC121" s="4" t="e">
        <f t="shared" si="467"/>
        <v>#REF!</v>
      </c>
      <c r="DD121" s="4" t="e">
        <f>#REF!/E121</f>
        <v>#REF!</v>
      </c>
      <c r="DF121" s="4" t="e">
        <f t="shared" si="468"/>
        <v>#REF!</v>
      </c>
      <c r="DG121" s="4" t="e">
        <f t="shared" si="233"/>
        <v>#REF!</v>
      </c>
      <c r="DH121" s="4" t="e">
        <f t="shared" si="486"/>
        <v>#REF!</v>
      </c>
      <c r="DI121" s="4" t="e">
        <f t="shared" si="359"/>
        <v>#REF!</v>
      </c>
      <c r="DJ121" s="4" t="e">
        <f t="shared" si="360"/>
        <v>#REF!</v>
      </c>
      <c r="DK121" s="4" t="e">
        <f t="shared" si="487"/>
        <v>#REF!</v>
      </c>
      <c r="DL121" s="38" t="e">
        <f t="shared" si="469"/>
        <v>#REF!</v>
      </c>
      <c r="DM121" s="4" t="e">
        <f t="shared" si="361"/>
        <v>#REF!</v>
      </c>
      <c r="DN121" s="4">
        <f t="shared" si="488"/>
        <v>2.2449944320643649</v>
      </c>
      <c r="DO121" s="4" t="e">
        <f t="shared" si="363"/>
        <v>#REF!</v>
      </c>
      <c r="DS121" s="4">
        <f t="shared" si="470"/>
        <v>1</v>
      </c>
      <c r="DT121" s="4">
        <f t="shared" si="471"/>
        <v>0.9</v>
      </c>
      <c r="DU121" s="4">
        <f t="shared" si="472"/>
        <v>0.77500000000000002</v>
      </c>
      <c r="DV121" s="4">
        <f t="shared" si="430"/>
        <v>0.7</v>
      </c>
      <c r="DX121" s="4" t="e">
        <f t="shared" si="473"/>
        <v>#REF!</v>
      </c>
      <c r="DY121" s="25" t="e">
        <f t="shared" si="431"/>
        <v>#REF!</v>
      </c>
      <c r="EB121" s="4" t="e">
        <f t="shared" si="436"/>
        <v>#REF!</v>
      </c>
      <c r="EC121" s="4" t="e">
        <f t="shared" si="474"/>
        <v>#REF!</v>
      </c>
      <c r="EE121" s="4">
        <f t="shared" si="475"/>
        <v>57.022858574434863</v>
      </c>
      <c r="EF121" s="4">
        <f t="shared" si="235"/>
        <v>2.2449944320643649</v>
      </c>
      <c r="EG121" s="4" t="e">
        <f t="shared" si="476"/>
        <v>#REF!</v>
      </c>
      <c r="EJ121" s="4" t="e">
        <f t="shared" si="432"/>
        <v>#REF!</v>
      </c>
      <c r="EK121" s="4" t="e">
        <f t="shared" si="477"/>
        <v>#REF!</v>
      </c>
      <c r="EL121" s="4" t="e">
        <f t="shared" si="237"/>
        <v>#REF!</v>
      </c>
      <c r="EM121" s="4" t="e">
        <f t="shared" si="433"/>
        <v>#REF!</v>
      </c>
      <c r="EN121" s="4" t="e">
        <f t="shared" si="239"/>
        <v>#REF!</v>
      </c>
      <c r="EO121" s="4" t="e">
        <f t="shared" si="240"/>
        <v>#REF!</v>
      </c>
      <c r="EP121" s="4" t="e">
        <f t="shared" si="478"/>
        <v>#REF!</v>
      </c>
      <c r="EQ121" s="4" t="e">
        <f t="shared" si="434"/>
        <v>#REF!</v>
      </c>
      <c r="ER121" s="4" t="e">
        <f t="shared" si="479"/>
        <v>#REF!</v>
      </c>
      <c r="ES121" s="4" t="e">
        <f t="shared" si="242"/>
        <v>#REF!</v>
      </c>
      <c r="ET121" s="4" t="e">
        <f t="shared" si="243"/>
        <v>#REF!</v>
      </c>
      <c r="EV121" s="4" t="e">
        <f t="shared" si="489"/>
        <v>#REF!</v>
      </c>
      <c r="FA121" s="23" t="e">
        <f t="shared" si="490"/>
        <v>#REF!</v>
      </c>
      <c r="FB121" s="23" t="e">
        <f t="shared" si="491"/>
        <v>#REF!</v>
      </c>
      <c r="FC121" s="23" t="e">
        <f t="shared" si="290"/>
        <v>#REF!</v>
      </c>
      <c r="FD121" s="23" t="e">
        <f t="shared" si="492"/>
        <v>#REF!</v>
      </c>
      <c r="FE121" s="23" t="e">
        <f t="shared" si="493"/>
        <v>#REF!</v>
      </c>
      <c r="FF121" s="23" t="e">
        <f t="shared" si="494"/>
        <v>#REF!</v>
      </c>
      <c r="FG121" s="23" t="e">
        <f t="shared" si="282"/>
        <v>#REF!</v>
      </c>
      <c r="FH121" s="23"/>
      <c r="FR121" s="4">
        <f t="shared" si="351"/>
        <v>1</v>
      </c>
      <c r="FS121" s="4" t="e">
        <f t="shared" si="352"/>
        <v>#REF!</v>
      </c>
      <c r="FT121" s="4">
        <f t="shared" si="353"/>
        <v>0.3</v>
      </c>
      <c r="FU121" s="4" t="e">
        <f t="shared" si="354"/>
        <v>#REF!</v>
      </c>
    </row>
    <row r="122" spans="2:182" ht="12" customHeight="1" x14ac:dyDescent="0.3">
      <c r="B122" s="24"/>
      <c r="C122" s="7" t="s">
        <v>278</v>
      </c>
      <c r="D122" s="7">
        <v>472</v>
      </c>
      <c r="E122" s="7" t="e">
        <f>G122*#REF!</f>
        <v>#REF!</v>
      </c>
      <c r="F122" s="7">
        <v>26</v>
      </c>
      <c r="G122" s="7">
        <v>25.4</v>
      </c>
      <c r="H122" s="7">
        <f t="shared" si="441"/>
        <v>914.4</v>
      </c>
      <c r="I122" s="7">
        <f t="shared" si="437"/>
        <v>127</v>
      </c>
      <c r="J122" s="7"/>
      <c r="K122" s="7">
        <f t="shared" si="435"/>
        <v>101.6</v>
      </c>
      <c r="L122" s="7">
        <v>3</v>
      </c>
      <c r="M122" s="7">
        <f t="shared" si="424"/>
        <v>50.8</v>
      </c>
      <c r="N122" s="7">
        <f t="shared" si="380"/>
        <v>2.5</v>
      </c>
      <c r="O122" s="7">
        <f t="shared" si="442"/>
        <v>2.5</v>
      </c>
      <c r="P122" s="7">
        <v>4.04</v>
      </c>
      <c r="Q122" s="7">
        <f t="shared" si="227"/>
        <v>4.04</v>
      </c>
      <c r="R122" s="7">
        <f t="shared" si="446"/>
        <v>5.04</v>
      </c>
      <c r="S122" s="7">
        <f t="shared" si="447"/>
        <v>57.022858574434863</v>
      </c>
      <c r="T122" s="7"/>
      <c r="U122" s="7"/>
      <c r="V122" s="7">
        <v>371</v>
      </c>
      <c r="W122" s="7"/>
      <c r="X122" s="7" t="e">
        <f t="shared" si="482"/>
        <v>#REF!</v>
      </c>
      <c r="Y122" s="7">
        <v>9.5</v>
      </c>
      <c r="Z122" s="7">
        <v>2</v>
      </c>
      <c r="AA122" s="7" t="e">
        <f>E122-2*25.4</f>
        <v>#REF!</v>
      </c>
      <c r="AB122" s="7">
        <v>2</v>
      </c>
      <c r="AC122" s="7">
        <v>2</v>
      </c>
      <c r="AD122" s="7"/>
      <c r="AE122" s="4" t="e">
        <f t="shared" si="483"/>
        <v>#REF!</v>
      </c>
      <c r="AF122" s="44" t="e">
        <f t="shared" si="425"/>
        <v>#REF!</v>
      </c>
      <c r="AG122" s="25" t="e">
        <f t="shared" si="448"/>
        <v>#REF!</v>
      </c>
      <c r="AH122" s="4" t="e">
        <f t="shared" si="449"/>
        <v>#REF!</v>
      </c>
      <c r="AI122" s="4">
        <v>1.25</v>
      </c>
      <c r="AJ122" s="25">
        <f t="shared" si="438"/>
        <v>5</v>
      </c>
      <c r="AK122" s="38" t="e">
        <f t="shared" si="480"/>
        <v>#REF!</v>
      </c>
      <c r="AL122" s="38" t="e">
        <f t="shared" si="356"/>
        <v>#REF!</v>
      </c>
      <c r="AN122" s="38" t="e">
        <f t="shared" si="426"/>
        <v>#REF!</v>
      </c>
      <c r="AO122" s="38" t="e">
        <f t="shared" si="316"/>
        <v>#REF!</v>
      </c>
      <c r="AP122" s="38" t="e">
        <f t="shared" si="357"/>
        <v>#REF!</v>
      </c>
      <c r="AQ122" s="4" t="e">
        <f t="shared" si="443"/>
        <v>#REF!</v>
      </c>
      <c r="AR122" s="4" t="e">
        <f>#REF!/G122*F122^0.5/0.19</f>
        <v>#REF!</v>
      </c>
      <c r="AS122" s="4">
        <f t="shared" si="450"/>
        <v>1</v>
      </c>
      <c r="AT122" s="38">
        <f t="shared" si="451"/>
        <v>261.29676614914314</v>
      </c>
      <c r="AU122" s="4">
        <f t="shared" si="452"/>
        <v>0.43440000000000001</v>
      </c>
      <c r="AV122" s="4" t="e">
        <f>AU122*D122*#REF!/(D122*G122/2.75/F122^0.5)</f>
        <v>#REF!</v>
      </c>
      <c r="AW122" s="4" t="e">
        <f t="shared" si="427"/>
        <v>#REF!</v>
      </c>
      <c r="AY122" s="36" t="e">
        <f t="shared" si="428"/>
        <v>#REF!</v>
      </c>
      <c r="AZ122" s="36" t="e">
        <f>(1.6*#REF!+22)*AY122*F122^0.5</f>
        <v>#REF!</v>
      </c>
      <c r="BE122" s="4">
        <f t="shared" si="453"/>
        <v>57.199999999999996</v>
      </c>
      <c r="BF122" s="4">
        <f t="shared" si="454"/>
        <v>50.8</v>
      </c>
      <c r="BG122" s="4">
        <f t="shared" si="455"/>
        <v>57.199999999999996</v>
      </c>
      <c r="BH122" s="4">
        <f t="shared" si="456"/>
        <v>63.5</v>
      </c>
      <c r="BI122" s="4">
        <f t="shared" si="229"/>
        <v>1.0125984251968505</v>
      </c>
      <c r="BJ122" s="25" t="e">
        <f t="shared" si="457"/>
        <v>#REF!</v>
      </c>
      <c r="BL122" s="4">
        <f t="shared" si="458"/>
        <v>50.8</v>
      </c>
      <c r="BP122" s="9"/>
      <c r="BR122" s="9"/>
      <c r="BS122" s="9"/>
      <c r="BT122" s="9">
        <f t="shared" si="459"/>
        <v>50.8</v>
      </c>
      <c r="BU122" s="9">
        <f t="shared" si="460"/>
        <v>127</v>
      </c>
      <c r="BV122" s="9">
        <f t="shared" si="461"/>
        <v>1.622579553879709</v>
      </c>
      <c r="BW122" s="9">
        <v>0</v>
      </c>
      <c r="BX122" s="9" t="e">
        <f t="shared" si="462"/>
        <v>#REF!</v>
      </c>
      <c r="BY122" s="9" t="e">
        <f t="shared" si="429"/>
        <v>#REF!</v>
      </c>
      <c r="BZ122" s="9">
        <f t="shared" si="463"/>
        <v>0.99524931562137331</v>
      </c>
      <c r="CA122" s="9">
        <f t="shared" si="464"/>
        <v>1.056</v>
      </c>
      <c r="CB122" s="9">
        <f t="shared" si="465"/>
        <v>1.8756444837875041</v>
      </c>
      <c r="CC122" s="9" t="e">
        <f t="shared" si="466"/>
        <v>#REF!</v>
      </c>
      <c r="CD122" s="9">
        <v>1</v>
      </c>
      <c r="CE122" s="9" t="e">
        <f>4*CC122*#REF!+60*CC122</f>
        <v>#REF!</v>
      </c>
      <c r="CG122" s="4" t="e">
        <f>V122/AR122</f>
        <v>#REF!</v>
      </c>
      <c r="CH122" s="4" t="e">
        <f>V122/AW122</f>
        <v>#REF!</v>
      </c>
      <c r="CI122" s="4" t="e">
        <f t="shared" si="267"/>
        <v>#REF!</v>
      </c>
      <c r="CJ122" s="4" t="e">
        <f t="shared" si="484"/>
        <v>#REF!</v>
      </c>
      <c r="CK122" s="4" t="e">
        <f t="shared" si="269"/>
        <v>#REF!</v>
      </c>
      <c r="CL122" s="4" t="e">
        <f t="shared" si="270"/>
        <v>#REF!</v>
      </c>
      <c r="CM122" s="4" t="e">
        <f t="shared" si="481"/>
        <v>#REF!</v>
      </c>
      <c r="CU122" s="4" t="e">
        <f t="shared" si="372"/>
        <v>#REF!</v>
      </c>
      <c r="CV122" s="4" t="e">
        <f t="shared" si="373"/>
        <v>#REF!</v>
      </c>
      <c r="CW122" s="4" t="e">
        <f t="shared" si="374"/>
        <v>#REF!</v>
      </c>
      <c r="CX122" s="4" t="e">
        <f t="shared" si="485"/>
        <v>#REF!</v>
      </c>
      <c r="CY122" s="4" t="e">
        <f t="shared" si="376"/>
        <v>#REF!</v>
      </c>
      <c r="CZ122" s="4" t="e">
        <f t="shared" si="377"/>
        <v>#REF!</v>
      </c>
      <c r="DB122" s="4">
        <f t="shared" si="232"/>
        <v>2</v>
      </c>
      <c r="DC122" s="4" t="e">
        <f t="shared" si="467"/>
        <v>#REF!</v>
      </c>
      <c r="DD122" s="4" t="e">
        <f>#REF!/E122</f>
        <v>#REF!</v>
      </c>
      <c r="DF122" s="4" t="e">
        <f t="shared" si="468"/>
        <v>#REF!</v>
      </c>
      <c r="DG122" s="4" t="e">
        <f t="shared" si="233"/>
        <v>#REF!</v>
      </c>
      <c r="DH122" s="4" t="e">
        <f t="shared" si="486"/>
        <v>#REF!</v>
      </c>
      <c r="DI122" s="4" t="e">
        <f t="shared" si="359"/>
        <v>#REF!</v>
      </c>
      <c r="DJ122" s="4" t="e">
        <f t="shared" si="360"/>
        <v>#REF!</v>
      </c>
      <c r="DK122" s="4" t="e">
        <f t="shared" si="487"/>
        <v>#REF!</v>
      </c>
      <c r="DL122" s="38" t="e">
        <f t="shared" si="469"/>
        <v>#REF!</v>
      </c>
      <c r="DM122" s="4" t="e">
        <f t="shared" si="361"/>
        <v>#REF!</v>
      </c>
      <c r="DN122" s="4">
        <f t="shared" si="488"/>
        <v>2.2449944320643649</v>
      </c>
      <c r="DO122" s="4" t="e">
        <f t="shared" si="363"/>
        <v>#REF!</v>
      </c>
      <c r="DS122" s="4">
        <f t="shared" si="470"/>
        <v>1</v>
      </c>
      <c r="DT122" s="4">
        <f t="shared" si="471"/>
        <v>0.9</v>
      </c>
      <c r="DU122" s="4">
        <f t="shared" si="472"/>
        <v>0.90713466426932854</v>
      </c>
      <c r="DV122" s="4">
        <f t="shared" si="430"/>
        <v>0.81642119784239575</v>
      </c>
      <c r="DX122" s="4" t="e">
        <f t="shared" si="473"/>
        <v>#REF!</v>
      </c>
      <c r="DY122" s="25" t="e">
        <f t="shared" si="431"/>
        <v>#REF!</v>
      </c>
      <c r="EB122" s="4" t="e">
        <f t="shared" si="436"/>
        <v>#REF!</v>
      </c>
      <c r="EC122" s="4" t="e">
        <f t="shared" si="474"/>
        <v>#REF!</v>
      </c>
      <c r="EE122" s="4">
        <f t="shared" si="475"/>
        <v>57.022858574434863</v>
      </c>
      <c r="EF122" s="4">
        <f t="shared" si="235"/>
        <v>2.2449944320643649</v>
      </c>
      <c r="EG122" s="4" t="e">
        <f t="shared" si="476"/>
        <v>#REF!</v>
      </c>
      <c r="EJ122" s="4" t="e">
        <f t="shared" si="432"/>
        <v>#REF!</v>
      </c>
      <c r="EK122" s="4" t="e">
        <f t="shared" si="477"/>
        <v>#REF!</v>
      </c>
      <c r="EL122" s="4" t="e">
        <f t="shared" si="237"/>
        <v>#REF!</v>
      </c>
      <c r="EM122" s="4" t="e">
        <f t="shared" si="433"/>
        <v>#REF!</v>
      </c>
      <c r="EN122" s="4" t="e">
        <f t="shared" si="239"/>
        <v>#REF!</v>
      </c>
      <c r="EO122" s="4" t="e">
        <f t="shared" si="240"/>
        <v>#REF!</v>
      </c>
      <c r="EP122" s="4" t="e">
        <f t="shared" si="478"/>
        <v>#REF!</v>
      </c>
      <c r="EQ122" s="4" t="e">
        <f t="shared" si="434"/>
        <v>#REF!</v>
      </c>
      <c r="ER122" s="4" t="e">
        <f t="shared" si="479"/>
        <v>#REF!</v>
      </c>
      <c r="ES122" s="4" t="e">
        <f t="shared" si="242"/>
        <v>#REF!</v>
      </c>
      <c r="ET122" s="4" t="e">
        <f t="shared" si="243"/>
        <v>#REF!</v>
      </c>
      <c r="EV122" s="4" t="e">
        <f t="shared" si="489"/>
        <v>#REF!</v>
      </c>
      <c r="FA122" s="23" t="e">
        <f t="shared" si="490"/>
        <v>#REF!</v>
      </c>
      <c r="FB122" s="23" t="e">
        <f t="shared" si="491"/>
        <v>#REF!</v>
      </c>
      <c r="FC122" s="23" t="e">
        <f t="shared" si="290"/>
        <v>#REF!</v>
      </c>
      <c r="FD122" s="23" t="e">
        <f t="shared" si="492"/>
        <v>#REF!</v>
      </c>
      <c r="FE122" s="23" t="e">
        <f t="shared" si="493"/>
        <v>#REF!</v>
      </c>
      <c r="FF122" s="23" t="e">
        <f t="shared" si="494"/>
        <v>#REF!</v>
      </c>
      <c r="FG122" s="23" t="e">
        <f t="shared" si="282"/>
        <v>#REF!</v>
      </c>
      <c r="FH122" s="23"/>
      <c r="FR122" s="4">
        <f t="shared" si="351"/>
        <v>1</v>
      </c>
      <c r="FS122" s="4" t="e">
        <f t="shared" si="352"/>
        <v>#REF!</v>
      </c>
      <c r="FT122" s="4">
        <f t="shared" si="353"/>
        <v>0.18651703970074607</v>
      </c>
      <c r="FU122" s="4" t="e">
        <f t="shared" si="354"/>
        <v>#REF!</v>
      </c>
      <c r="FW122" s="4">
        <f>48000/145/25.4^0.75</f>
        <v>29.258223133921348</v>
      </c>
      <c r="FX122" s="4" t="e">
        <f>IF(AA122&gt;1, 0.05*(18-MIN(8,(K122+G122)/G122))*(1-29.3/MAX(60000/145,(D122))*(G122)^0.75*FT122), 1/12*(14-MIN(8,(K122+G122)/G122)))</f>
        <v>#REF!</v>
      </c>
      <c r="FY122" s="4">
        <f>(1-48000/MAX(60000,(D122*145))*(G122/25.4)^0.75*FT122)</f>
        <v>0.86918734795973385</v>
      </c>
      <c r="FZ122" s="4">
        <f>(1-29.3/MAX(60000/145,(D122))*(G122)^0.75*FT122)</f>
        <v>0.86900056482459054</v>
      </c>
    </row>
    <row r="123" spans="2:182" ht="12" customHeight="1" x14ac:dyDescent="0.3">
      <c r="B123" s="24"/>
      <c r="C123" s="7" t="s">
        <v>278</v>
      </c>
      <c r="D123" s="7">
        <v>472</v>
      </c>
      <c r="E123" s="7" t="e">
        <f>G123*#REF!</f>
        <v>#REF!</v>
      </c>
      <c r="F123" s="7">
        <v>26</v>
      </c>
      <c r="G123" s="7">
        <v>25.4</v>
      </c>
      <c r="H123" s="7">
        <f t="shared" si="441"/>
        <v>914.4</v>
      </c>
      <c r="I123" s="7">
        <f t="shared" si="437"/>
        <v>127</v>
      </c>
      <c r="J123" s="7"/>
      <c r="K123" s="7">
        <f t="shared" si="435"/>
        <v>101.6</v>
      </c>
      <c r="L123" s="7">
        <v>3</v>
      </c>
      <c r="M123" s="7">
        <f t="shared" si="424"/>
        <v>50.8</v>
      </c>
      <c r="N123" s="7">
        <f t="shared" si="380"/>
        <v>2.5</v>
      </c>
      <c r="O123" s="7">
        <f t="shared" si="442"/>
        <v>2.5</v>
      </c>
      <c r="P123" s="7">
        <v>4.04</v>
      </c>
      <c r="Q123" s="7">
        <f t="shared" si="227"/>
        <v>4.04</v>
      </c>
      <c r="R123" s="7">
        <f t="shared" si="446"/>
        <v>5.04</v>
      </c>
      <c r="S123" s="7">
        <f t="shared" si="447"/>
        <v>57.022858574434863</v>
      </c>
      <c r="T123" s="7"/>
      <c r="U123" s="7"/>
      <c r="V123" s="7">
        <v>390</v>
      </c>
      <c r="W123" s="7"/>
      <c r="X123" s="7" t="e">
        <f t="shared" si="482"/>
        <v>#REF!</v>
      </c>
      <c r="Y123" s="7">
        <v>9.5</v>
      </c>
      <c r="Z123" s="7">
        <v>2</v>
      </c>
      <c r="AA123" s="7">
        <f>3*25.4</f>
        <v>76.199999999999989</v>
      </c>
      <c r="AB123" s="7">
        <v>2</v>
      </c>
      <c r="AC123" s="7">
        <v>2</v>
      </c>
      <c r="AD123" s="7"/>
      <c r="AE123" s="4" t="e">
        <f t="shared" si="483"/>
        <v>#REF!</v>
      </c>
      <c r="AF123" s="44" t="e">
        <f t="shared" si="425"/>
        <v>#REF!</v>
      </c>
      <c r="AG123" s="25" t="e">
        <f t="shared" si="448"/>
        <v>#REF!</v>
      </c>
      <c r="AH123" s="4" t="e">
        <f t="shared" si="449"/>
        <v>#REF!</v>
      </c>
      <c r="AI123" s="4">
        <v>1.25</v>
      </c>
      <c r="AJ123" s="25">
        <f t="shared" si="438"/>
        <v>5</v>
      </c>
      <c r="AK123" s="38" t="e">
        <f t="shared" si="480"/>
        <v>#REF!</v>
      </c>
      <c r="AL123" s="38" t="e">
        <f t="shared" si="356"/>
        <v>#REF!</v>
      </c>
      <c r="AN123" s="38" t="e">
        <f t="shared" si="426"/>
        <v>#REF!</v>
      </c>
      <c r="AO123" s="38" t="e">
        <f t="shared" si="316"/>
        <v>#REF!</v>
      </c>
      <c r="AP123" s="38" t="e">
        <f t="shared" si="357"/>
        <v>#REF!</v>
      </c>
      <c r="AQ123" s="4" t="e">
        <f t="shared" si="443"/>
        <v>#REF!</v>
      </c>
      <c r="AR123" s="4" t="e">
        <f>#REF!/G123*F123^0.5/0.19</f>
        <v>#REF!</v>
      </c>
      <c r="AS123" s="4">
        <f t="shared" si="450"/>
        <v>1</v>
      </c>
      <c r="AT123" s="38">
        <f t="shared" si="451"/>
        <v>261.29676614914314</v>
      </c>
      <c r="AU123" s="4">
        <f t="shared" si="452"/>
        <v>0.43440000000000001</v>
      </c>
      <c r="AV123" s="4" t="e">
        <f>AU123*D123*#REF!/(D123*G123/2.75/F123^0.5)</f>
        <v>#REF!</v>
      </c>
      <c r="AW123" s="4" t="e">
        <f t="shared" si="427"/>
        <v>#REF!</v>
      </c>
      <c r="AY123" s="36">
        <f t="shared" si="428"/>
        <v>1.5669704212698847</v>
      </c>
      <c r="AZ123" s="36" t="e">
        <f>(1.6*#REF!+22)*AY123*F123^0.5</f>
        <v>#REF!</v>
      </c>
      <c r="BE123" s="4">
        <f t="shared" si="453"/>
        <v>57.199999999999996</v>
      </c>
      <c r="BF123" s="4">
        <f t="shared" si="454"/>
        <v>50.8</v>
      </c>
      <c r="BG123" s="4">
        <f t="shared" si="455"/>
        <v>57.199999999999996</v>
      </c>
      <c r="BH123" s="4">
        <f t="shared" si="456"/>
        <v>63.5</v>
      </c>
      <c r="BI123" s="4">
        <f t="shared" si="229"/>
        <v>1.0125984251968505</v>
      </c>
      <c r="BJ123" s="25">
        <f t="shared" si="457"/>
        <v>3.2650069380372431</v>
      </c>
      <c r="BL123" s="4">
        <f t="shared" si="458"/>
        <v>50.8</v>
      </c>
      <c r="BP123" s="9"/>
      <c r="BR123" s="9"/>
      <c r="BS123" s="9"/>
      <c r="BT123" s="9">
        <f t="shared" si="459"/>
        <v>50.8</v>
      </c>
      <c r="BU123" s="9">
        <f t="shared" si="460"/>
        <v>127</v>
      </c>
      <c r="BV123" s="9">
        <f t="shared" si="461"/>
        <v>1.622579553879709</v>
      </c>
      <c r="BW123" s="9">
        <v>20</v>
      </c>
      <c r="BX123" s="9">
        <f t="shared" si="462"/>
        <v>4.8830046807764975E-2</v>
      </c>
      <c r="BY123" s="9">
        <f t="shared" si="429"/>
        <v>0.77660093615529946</v>
      </c>
      <c r="BZ123" s="9">
        <f t="shared" si="463"/>
        <v>0.99524931562137331</v>
      </c>
      <c r="CA123" s="9">
        <f t="shared" si="464"/>
        <v>1.056</v>
      </c>
      <c r="CB123" s="9">
        <f t="shared" si="465"/>
        <v>1.8756444837875041</v>
      </c>
      <c r="CC123" s="9">
        <f t="shared" si="466"/>
        <v>4.5000096517447643</v>
      </c>
      <c r="CD123" s="9">
        <v>1</v>
      </c>
      <c r="CE123" s="9" t="e">
        <f>4*CC123*#REF!+60*CC123</f>
        <v>#REF!</v>
      </c>
      <c r="CG123" s="4" t="e">
        <f>V123/AR123</f>
        <v>#REF!</v>
      </c>
      <c r="CH123" s="4" t="e">
        <f>V123/AW123</f>
        <v>#REF!</v>
      </c>
      <c r="CI123" s="4" t="e">
        <f t="shared" si="267"/>
        <v>#REF!</v>
      </c>
      <c r="CJ123" s="4" t="e">
        <f t="shared" si="484"/>
        <v>#REF!</v>
      </c>
      <c r="CK123" s="4" t="e">
        <f t="shared" si="269"/>
        <v>#REF!</v>
      </c>
      <c r="CL123" s="4" t="e">
        <f t="shared" si="270"/>
        <v>#REF!</v>
      </c>
      <c r="CM123" s="4" t="e">
        <f t="shared" si="481"/>
        <v>#REF!</v>
      </c>
      <c r="CU123" s="4" t="e">
        <f t="shared" si="372"/>
        <v>#REF!</v>
      </c>
      <c r="CV123" s="4" t="e">
        <f t="shared" si="373"/>
        <v>#REF!</v>
      </c>
      <c r="CW123" s="4" t="e">
        <f t="shared" si="374"/>
        <v>#REF!</v>
      </c>
      <c r="CX123" s="4" t="e">
        <f t="shared" si="485"/>
        <v>#REF!</v>
      </c>
      <c r="CY123" s="4" t="e">
        <f t="shared" si="376"/>
        <v>#REF!</v>
      </c>
      <c r="CZ123" s="4" t="e">
        <f t="shared" si="377"/>
        <v>#REF!</v>
      </c>
      <c r="DB123" s="4">
        <f t="shared" si="232"/>
        <v>2</v>
      </c>
      <c r="DC123" s="4" t="e">
        <f t="shared" si="467"/>
        <v>#REF!</v>
      </c>
      <c r="DD123" s="4" t="e">
        <f>#REF!/E123</f>
        <v>#REF!</v>
      </c>
      <c r="DF123" s="4" t="e">
        <f t="shared" si="468"/>
        <v>#REF!</v>
      </c>
      <c r="DG123" s="4">
        <f t="shared" si="233"/>
        <v>6.0791120836430785</v>
      </c>
      <c r="DH123" s="4" t="e">
        <f t="shared" si="486"/>
        <v>#REF!</v>
      </c>
      <c r="DI123" s="4" t="e">
        <f t="shared" si="359"/>
        <v>#REF!</v>
      </c>
      <c r="DJ123" s="4" t="e">
        <f t="shared" si="360"/>
        <v>#REF!</v>
      </c>
      <c r="DK123" s="4" t="e">
        <f t="shared" si="487"/>
        <v>#REF!</v>
      </c>
      <c r="DL123" s="38" t="e">
        <f t="shared" si="469"/>
        <v>#REF!</v>
      </c>
      <c r="DM123" s="4" t="e">
        <f t="shared" si="361"/>
        <v>#REF!</v>
      </c>
      <c r="DN123" s="4">
        <f t="shared" si="488"/>
        <v>2.2449944320643649</v>
      </c>
      <c r="DO123" s="4" t="e">
        <f t="shared" si="363"/>
        <v>#REF!</v>
      </c>
      <c r="DS123" s="4">
        <f t="shared" si="470"/>
        <v>1</v>
      </c>
      <c r="DT123" s="4">
        <f t="shared" si="471"/>
        <v>0.9</v>
      </c>
      <c r="DU123" s="4">
        <f t="shared" si="472"/>
        <v>0.90713466426932854</v>
      </c>
      <c r="DV123" s="4">
        <f t="shared" si="430"/>
        <v>0.81642119784239575</v>
      </c>
      <c r="DX123" s="4" t="e">
        <f t="shared" si="473"/>
        <v>#REF!</v>
      </c>
      <c r="DY123" s="25" t="e">
        <f t="shared" si="431"/>
        <v>#REF!</v>
      </c>
      <c r="EB123" s="4">
        <f t="shared" si="436"/>
        <v>6.0791120836430785</v>
      </c>
      <c r="EC123" s="4">
        <f t="shared" si="474"/>
        <v>6.0791120836430785</v>
      </c>
      <c r="EE123" s="4">
        <f t="shared" si="475"/>
        <v>57.022858574434863</v>
      </c>
      <c r="EF123" s="4">
        <f t="shared" si="235"/>
        <v>2.2449944320643649</v>
      </c>
      <c r="EG123" s="4" t="e">
        <f t="shared" si="476"/>
        <v>#REF!</v>
      </c>
      <c r="EJ123" s="4" t="e">
        <f t="shared" si="432"/>
        <v>#REF!</v>
      </c>
      <c r="EK123" s="4" t="e">
        <f t="shared" si="477"/>
        <v>#REF!</v>
      </c>
      <c r="EL123" s="4" t="e">
        <f t="shared" si="237"/>
        <v>#REF!</v>
      </c>
      <c r="EM123" s="4" t="e">
        <f t="shared" si="433"/>
        <v>#REF!</v>
      </c>
      <c r="EN123" s="4" t="e">
        <f t="shared" si="239"/>
        <v>#REF!</v>
      </c>
      <c r="EO123" s="4" t="e">
        <f t="shared" si="240"/>
        <v>#REF!</v>
      </c>
      <c r="EP123" s="4" t="e">
        <f t="shared" si="478"/>
        <v>#REF!</v>
      </c>
      <c r="EQ123" s="4" t="e">
        <f t="shared" si="434"/>
        <v>#REF!</v>
      </c>
      <c r="ER123" s="4" t="e">
        <f t="shared" si="479"/>
        <v>#REF!</v>
      </c>
      <c r="ES123" s="4" t="e">
        <f t="shared" si="242"/>
        <v>#REF!</v>
      </c>
      <c r="ET123" s="4" t="e">
        <f t="shared" si="243"/>
        <v>#REF!</v>
      </c>
      <c r="EV123" s="4" t="e">
        <f t="shared" si="489"/>
        <v>#REF!</v>
      </c>
      <c r="FA123" s="23" t="e">
        <f t="shared" si="490"/>
        <v>#REF!</v>
      </c>
      <c r="FB123" s="23" t="e">
        <f t="shared" si="491"/>
        <v>#REF!</v>
      </c>
      <c r="FC123" s="23" t="e">
        <f t="shared" si="290"/>
        <v>#REF!</v>
      </c>
      <c r="FD123" s="23" t="e">
        <f t="shared" si="492"/>
        <v>#REF!</v>
      </c>
      <c r="FE123" s="23" t="e">
        <f t="shared" si="493"/>
        <v>#REF!</v>
      </c>
      <c r="FF123" s="23" t="e">
        <f t="shared" si="494"/>
        <v>#REF!</v>
      </c>
      <c r="FG123" s="23" t="e">
        <f t="shared" si="282"/>
        <v>#REF!</v>
      </c>
      <c r="FH123" s="23"/>
      <c r="FR123" s="4">
        <f t="shared" si="351"/>
        <v>1</v>
      </c>
      <c r="FS123" s="4">
        <f t="shared" si="352"/>
        <v>0.56497177617382699</v>
      </c>
      <c r="FT123" s="4">
        <f t="shared" si="353"/>
        <v>0.18651703970074607</v>
      </c>
      <c r="FU123" s="4" t="e">
        <f t="shared" si="354"/>
        <v>#REF!</v>
      </c>
      <c r="FX123" s="4">
        <f>IF(AA123&gt;1, 0.05*(18-MIN(8,(K123+G123)/G123))*(1-29.3/MAX(60000/145,(D123))*(G123)^0.75*FT123), 1/12*(14-MIN(8,(K123+G123)/G123)))</f>
        <v>0.56485036713598391</v>
      </c>
    </row>
    <row r="124" spans="2:182" ht="12" customHeight="1" x14ac:dyDescent="0.3">
      <c r="B124" s="24" t="s">
        <v>297</v>
      </c>
      <c r="C124" s="7" t="s">
        <v>129</v>
      </c>
      <c r="D124" s="7">
        <v>710</v>
      </c>
      <c r="E124" s="7" t="e">
        <f>G124*#REF!</f>
        <v>#REF!</v>
      </c>
      <c r="F124" s="7">
        <v>41.4</v>
      </c>
      <c r="G124" s="7">
        <v>28.6</v>
      </c>
      <c r="H124" s="7">
        <v>261</v>
      </c>
      <c r="I124" s="7">
        <f>G124</f>
        <v>28.6</v>
      </c>
      <c r="J124" s="7"/>
      <c r="K124" s="7">
        <f>1*G124</f>
        <v>28.6</v>
      </c>
      <c r="L124" s="7">
        <v>2</v>
      </c>
      <c r="M124" s="7">
        <f t="shared" ref="M124:M147" si="495">72.5-G124/2</f>
        <v>58.2</v>
      </c>
      <c r="N124" s="7">
        <f t="shared" si="380"/>
        <v>1</v>
      </c>
      <c r="O124" s="7">
        <f t="shared" ref="O124:O153" si="496">MIN(M124/G124+0.5, (I124+G124/2)/G124)</f>
        <v>1.5000000000000002</v>
      </c>
      <c r="P124" s="7">
        <f>R124-1</f>
        <v>4</v>
      </c>
      <c r="Q124" s="7">
        <f t="shared" si="227"/>
        <v>4</v>
      </c>
      <c r="R124" s="7">
        <v>5</v>
      </c>
      <c r="S124" s="7">
        <f t="shared" si="447"/>
        <v>63.951544156493995</v>
      </c>
      <c r="T124" s="7"/>
      <c r="U124" s="7"/>
      <c r="V124" s="7">
        <v>312</v>
      </c>
      <c r="W124" s="7"/>
      <c r="X124" s="7" t="e">
        <f t="shared" si="482"/>
        <v>#REF!</v>
      </c>
      <c r="Y124" s="7"/>
      <c r="Z124" s="7"/>
      <c r="AA124" s="7">
        <v>1</v>
      </c>
      <c r="AB124" s="7"/>
      <c r="AC124" s="7"/>
      <c r="AD124" s="7"/>
      <c r="AE124" s="4" t="e">
        <f t="shared" si="483"/>
        <v>#REF!</v>
      </c>
      <c r="AF124" s="46" t="e">
        <f t="shared" ref="AF124:AF147" si="497">MIN(H124)*(MIN(350-M124-0.5*G124,1.5*AE124)+M124+G124/2)/(3*E124)^2</f>
        <v>#REF!</v>
      </c>
      <c r="AG124" s="25" t="e">
        <f t="shared" si="448"/>
        <v>#REF!</v>
      </c>
      <c r="AH124" s="4" t="e">
        <f t="shared" si="449"/>
        <v>#REF!</v>
      </c>
      <c r="AI124" s="4">
        <v>1.25</v>
      </c>
      <c r="AJ124" s="25">
        <f t="shared" si="438"/>
        <v>5</v>
      </c>
      <c r="AK124" s="38" t="e">
        <f t="shared" si="480"/>
        <v>#REF!</v>
      </c>
      <c r="AL124" s="38" t="e">
        <f t="shared" si="356"/>
        <v>#REF!</v>
      </c>
      <c r="AN124" s="38" t="e">
        <f t="shared" ref="AN124:AN147" si="498">AJ124* (F124^0.5/AE124^0.5)/(PI()/4*G124^2)/L124/0.72 *(0.7+(MIN(I124,M124)+0.5*G124)/5/E124) *(H124*MIN(M124+0.5*G124+1.5*E124,350))</f>
        <v>#REF!</v>
      </c>
      <c r="AO124" s="38" t="e">
        <f t="shared" si="316"/>
        <v>#REF!</v>
      </c>
      <c r="AP124" s="38" t="e">
        <f t="shared" si="357"/>
        <v>#REF!</v>
      </c>
      <c r="AQ124" s="4" t="e">
        <f t="shared" si="443"/>
        <v>#REF!</v>
      </c>
      <c r="AR124" s="4" t="e">
        <f>#REF!/G124*F124^0.5/0.19</f>
        <v>#REF!</v>
      </c>
      <c r="AS124" s="4">
        <f t="shared" si="450"/>
        <v>1.2000000000000002</v>
      </c>
      <c r="AT124" s="38">
        <f t="shared" si="451"/>
        <v>198.72000000000003</v>
      </c>
      <c r="AU124" s="4">
        <f t="shared" si="452"/>
        <v>0.44000000000000006</v>
      </c>
      <c r="AV124" s="4" t="e">
        <f>AU124*D124*#REF!/(D124*G124/2.75/F124^0.5)</f>
        <v>#REF!</v>
      </c>
      <c r="AW124" s="4" t="e">
        <f t="shared" ref="AW124:AW147" si="499">AT124+AV124</f>
        <v>#REF!</v>
      </c>
      <c r="AY124" s="36">
        <f t="shared" si="428"/>
        <v>1</v>
      </c>
      <c r="AZ124" s="36" t="e">
        <f>(1.6*#REF!+22)*AY124*F124^0.5</f>
        <v>#REF!</v>
      </c>
      <c r="BE124" s="4">
        <f t="shared" si="453"/>
        <v>20.700000000000003</v>
      </c>
      <c r="BF124" s="4">
        <f t="shared" si="454"/>
        <v>20.700000000000003</v>
      </c>
      <c r="BG124" s="4">
        <f t="shared" si="455"/>
        <v>58.2</v>
      </c>
      <c r="BH124" s="4">
        <f t="shared" si="456"/>
        <v>35</v>
      </c>
      <c r="BI124" s="4">
        <f t="shared" si="229"/>
        <v>1.181159420289855</v>
      </c>
      <c r="BJ124" s="25">
        <f t="shared" si="457"/>
        <v>1.4454748150400323</v>
      </c>
      <c r="BL124" s="4">
        <f t="shared" si="458"/>
        <v>14.3</v>
      </c>
      <c r="BP124" s="9"/>
      <c r="BR124" s="9"/>
      <c r="BS124" s="9"/>
      <c r="BT124" s="9">
        <f t="shared" si="459"/>
        <v>14.3</v>
      </c>
      <c r="BU124" s="9">
        <f t="shared" si="460"/>
        <v>28.6</v>
      </c>
      <c r="BV124" s="9">
        <f t="shared" si="461"/>
        <v>0.78458409789675088</v>
      </c>
      <c r="BW124" s="9">
        <v>0</v>
      </c>
      <c r="BX124" s="9">
        <f t="shared" si="462"/>
        <v>0</v>
      </c>
      <c r="BY124" s="9">
        <f t="shared" ref="BY124:BY147" si="500">MAX(0,BW124*(BX124-0.5/50))</f>
        <v>0</v>
      </c>
      <c r="BZ124" s="9">
        <f t="shared" si="463"/>
        <v>0.96044432035915817</v>
      </c>
      <c r="CA124" s="9">
        <f t="shared" si="464"/>
        <v>0.74299999999999999</v>
      </c>
      <c r="CB124" s="9">
        <f t="shared" si="465"/>
        <v>1.6070493790635749</v>
      </c>
      <c r="CC124" s="9">
        <f t="shared" si="466"/>
        <v>1.2608653873481286</v>
      </c>
      <c r="CD124" s="9">
        <v>1</v>
      </c>
      <c r="CE124" s="9" t="e">
        <f>4*CC124*#REF!+60*CC124</f>
        <v>#REF!</v>
      </c>
      <c r="CG124" s="4" t="e">
        <f t="shared" ref="CG124:CG147" si="501">V124/AR124</f>
        <v>#REF!</v>
      </c>
      <c r="CH124" s="4" t="e">
        <f t="shared" ref="CH124:CH147" si="502">V124/AW124</f>
        <v>#REF!</v>
      </c>
      <c r="CI124" s="4" t="e">
        <f t="shared" si="267"/>
        <v>#REF!</v>
      </c>
      <c r="CJ124" s="4" t="e">
        <f t="shared" si="484"/>
        <v>#REF!</v>
      </c>
      <c r="CK124" s="4" t="e">
        <f t="shared" si="269"/>
        <v>#REF!</v>
      </c>
      <c r="CL124" s="4" t="e">
        <f t="shared" si="270"/>
        <v>#REF!</v>
      </c>
      <c r="CM124" s="4" t="e">
        <f t="shared" si="481"/>
        <v>#REF!</v>
      </c>
      <c r="CO124" s="4" t="e">
        <f t="shared" si="271"/>
        <v>#REF!</v>
      </c>
      <c r="CP124" s="4" t="e">
        <f t="shared" si="272"/>
        <v>#REF!</v>
      </c>
      <c r="CQ124" s="4" t="e">
        <f t="shared" si="273"/>
        <v>#REF!</v>
      </c>
      <c r="CR124" s="4" t="e">
        <f t="shared" ref="CR124:CR139" si="503">CM124</f>
        <v>#REF!</v>
      </c>
      <c r="CS124" s="4" t="e">
        <f t="shared" si="275"/>
        <v>#REF!</v>
      </c>
      <c r="CT124" s="4" t="e">
        <f t="shared" si="276"/>
        <v>#REF!</v>
      </c>
      <c r="DB124" s="4">
        <f t="shared" si="232"/>
        <v>0</v>
      </c>
      <c r="DC124" s="4" t="e">
        <f t="shared" si="467"/>
        <v>#REF!</v>
      </c>
      <c r="DD124" s="4" t="e">
        <f>#REF!/E124</f>
        <v>#REF!</v>
      </c>
      <c r="DF124" s="4" t="e">
        <f t="shared" si="468"/>
        <v>#REF!</v>
      </c>
      <c r="DG124" s="4">
        <f t="shared" si="233"/>
        <v>3.3960968587263358</v>
      </c>
      <c r="DH124" s="4" t="e">
        <f t="shared" si="486"/>
        <v>#REF!</v>
      </c>
      <c r="DI124" s="4" t="e">
        <f t="shared" si="359"/>
        <v>#REF!</v>
      </c>
      <c r="DJ124" s="4" t="e">
        <f t="shared" si="360"/>
        <v>#REF!</v>
      </c>
      <c r="DK124" s="4" t="e">
        <f t="shared" si="487"/>
        <v>#REF!</v>
      </c>
      <c r="DL124" s="38" t="e">
        <f t="shared" si="469"/>
        <v>#REF!</v>
      </c>
      <c r="DM124" s="4" t="e">
        <f t="shared" si="361"/>
        <v>#REF!</v>
      </c>
      <c r="DN124" s="4">
        <f t="shared" si="488"/>
        <v>2.2360679774997898</v>
      </c>
      <c r="DO124" s="4" t="e">
        <f t="shared" si="363"/>
        <v>#REF!</v>
      </c>
      <c r="DS124" s="4">
        <f t="shared" si="470"/>
        <v>1</v>
      </c>
      <c r="DT124" s="4">
        <f t="shared" si="471"/>
        <v>1</v>
      </c>
      <c r="DU124" s="4">
        <f t="shared" si="472"/>
        <v>1</v>
      </c>
      <c r="DV124" s="4">
        <f t="shared" ref="DV124:DV147" si="504">IF(DT124*DU124&lt;0.7,0.7,DT124*DU124)</f>
        <v>1</v>
      </c>
      <c r="DX124" s="4" t="e">
        <f t="shared" si="473"/>
        <v>#REF!</v>
      </c>
      <c r="DY124" s="25" t="e">
        <f t="shared" ref="DY124:DY147" si="505">8.8*H124*350*F124^0.5/L124/G124^2/E124^0.5*(0.7+MIN(M124,I124)/5/E124)</f>
        <v>#REF!</v>
      </c>
      <c r="EB124" s="4">
        <f t="shared" si="436"/>
        <v>3.3960968587263358</v>
      </c>
      <c r="EC124" s="4">
        <f t="shared" si="474"/>
        <v>3.3960968587263358</v>
      </c>
      <c r="EE124" s="4">
        <f t="shared" si="475"/>
        <v>63.951544156493995</v>
      </c>
      <c r="EF124" s="4">
        <f t="shared" si="235"/>
        <v>2.2360679774997898</v>
      </c>
      <c r="EG124" s="4" t="e">
        <f t="shared" si="476"/>
        <v>#REF!</v>
      </c>
      <c r="EJ124" s="4" t="e">
        <f t="shared" ref="EJ124:EJ147" si="506">EG124</f>
        <v>#REF!</v>
      </c>
      <c r="EK124" s="4" t="e">
        <f t="shared" si="477"/>
        <v>#REF!</v>
      </c>
      <c r="EL124" s="4" t="e">
        <f t="shared" si="237"/>
        <v>#REF!</v>
      </c>
      <c r="EM124" s="4" t="e">
        <f t="shared" ref="EM124:EM147" si="507">EB124/1.4*(1-EK124^1.4)/(1-EK124)</f>
        <v>#REF!</v>
      </c>
      <c r="EN124" s="4" t="e">
        <f t="shared" si="239"/>
        <v>#REF!</v>
      </c>
      <c r="EO124" s="4" t="e">
        <f t="shared" si="240"/>
        <v>#REF!</v>
      </c>
      <c r="EP124" s="4" t="e">
        <f t="shared" si="478"/>
        <v>#REF!</v>
      </c>
      <c r="EQ124" s="4" t="e">
        <f t="shared" ref="EQ124:EQ147" si="508">MAX(0.5*EB124, (1-2*EP124*(EE124*EL124+EN124*EM124))/(1/EB124+EP124*EO124))</f>
        <v>#REF!</v>
      </c>
      <c r="ER124" s="4" t="e">
        <f t="shared" si="479"/>
        <v>#REF!</v>
      </c>
      <c r="ES124" s="4" t="e">
        <f t="shared" si="242"/>
        <v>#REF!</v>
      </c>
      <c r="ET124" s="4" t="e">
        <f t="shared" si="243"/>
        <v>#REF!</v>
      </c>
      <c r="EV124" s="4" t="e">
        <f t="shared" si="489"/>
        <v>#REF!</v>
      </c>
      <c r="FA124" s="23" t="e">
        <f t="shared" si="490"/>
        <v>#REF!</v>
      </c>
      <c r="FB124" s="23" t="e">
        <f t="shared" si="491"/>
        <v>#REF!</v>
      </c>
      <c r="FC124" s="23" t="e">
        <f t="shared" si="290"/>
        <v>#REF!</v>
      </c>
      <c r="FD124" s="23" t="e">
        <f t="shared" si="492"/>
        <v>#REF!</v>
      </c>
      <c r="FE124" s="23" t="e">
        <f t="shared" si="493"/>
        <v>#REF!</v>
      </c>
      <c r="FF124" s="23" t="e">
        <f t="shared" si="494"/>
        <v>#REF!</v>
      </c>
      <c r="FG124" s="23" t="e">
        <f t="shared" si="282"/>
        <v>#REF!</v>
      </c>
      <c r="FH124" s="23"/>
      <c r="FR124" s="4">
        <f t="shared" si="351"/>
        <v>1.25</v>
      </c>
      <c r="FS124" s="4">
        <f t="shared" si="352"/>
        <v>1</v>
      </c>
      <c r="FT124" s="4">
        <f t="shared" si="353"/>
        <v>0</v>
      </c>
      <c r="FU124" s="4" t="e">
        <f t="shared" si="354"/>
        <v>#REF!</v>
      </c>
      <c r="FX124" s="4">
        <f>IF(AA124&gt;1, 0.05*(18-MIN(8,(K124+G124)/G124))*(1-29.3/MAX(60000/145,(D124))*(G124)^0.75*FT124), 1/12*(14-MIN(8,(K124+G124)/G124)))</f>
        <v>1</v>
      </c>
    </row>
    <row r="125" spans="2:182" ht="12" customHeight="1" x14ac:dyDescent="0.3">
      <c r="B125" s="24" t="s">
        <v>293</v>
      </c>
      <c r="C125" s="7" t="s">
        <v>130</v>
      </c>
      <c r="D125" s="7">
        <v>710</v>
      </c>
      <c r="E125" s="7" t="e">
        <f>G125*#REF!</f>
        <v>#REF!</v>
      </c>
      <c r="F125" s="7">
        <v>41.4</v>
      </c>
      <c r="G125" s="7">
        <v>28.6</v>
      </c>
      <c r="H125" s="7">
        <v>261</v>
      </c>
      <c r="I125" s="7">
        <f>G125</f>
        <v>28.6</v>
      </c>
      <c r="J125" s="7"/>
      <c r="K125" s="7">
        <f>1*G125</f>
        <v>28.6</v>
      </c>
      <c r="L125" s="7">
        <v>2</v>
      </c>
      <c r="M125" s="7">
        <f t="shared" si="495"/>
        <v>58.2</v>
      </c>
      <c r="N125" s="7">
        <f t="shared" si="380"/>
        <v>1</v>
      </c>
      <c r="O125" s="7">
        <f t="shared" si="496"/>
        <v>1.5000000000000002</v>
      </c>
      <c r="P125" s="7">
        <f t="shared" ref="P125:P147" si="509">R125-1</f>
        <v>4</v>
      </c>
      <c r="Q125" s="7">
        <f t="shared" si="227"/>
        <v>4</v>
      </c>
      <c r="R125" s="7">
        <v>5</v>
      </c>
      <c r="S125" s="7">
        <f t="shared" si="447"/>
        <v>63.951544156493995</v>
      </c>
      <c r="T125" s="7"/>
      <c r="U125" s="7"/>
      <c r="V125" s="7">
        <v>367</v>
      </c>
      <c r="W125" s="7"/>
      <c r="X125" s="7" t="e">
        <f t="shared" si="482"/>
        <v>#REF!</v>
      </c>
      <c r="Y125" s="7"/>
      <c r="Z125" s="7"/>
      <c r="AA125" s="7">
        <v>1</v>
      </c>
      <c r="AB125" s="7"/>
      <c r="AC125" s="7"/>
      <c r="AD125" s="7"/>
      <c r="AE125" s="4" t="e">
        <f t="shared" si="483"/>
        <v>#REF!</v>
      </c>
      <c r="AF125" s="46" t="e">
        <f t="shared" si="497"/>
        <v>#REF!</v>
      </c>
      <c r="AG125" s="25" t="e">
        <f t="shared" si="448"/>
        <v>#REF!</v>
      </c>
      <c r="AH125" s="4" t="e">
        <f t="shared" si="449"/>
        <v>#REF!</v>
      </c>
      <c r="AI125" s="4">
        <v>1.25</v>
      </c>
      <c r="AJ125" s="25">
        <f t="shared" si="438"/>
        <v>5</v>
      </c>
      <c r="AK125" s="38" t="e">
        <f t="shared" si="480"/>
        <v>#REF!</v>
      </c>
      <c r="AL125" s="38" t="e">
        <f t="shared" si="356"/>
        <v>#REF!</v>
      </c>
      <c r="AN125" s="38" t="e">
        <f t="shared" si="498"/>
        <v>#REF!</v>
      </c>
      <c r="AO125" s="38" t="e">
        <f t="shared" si="316"/>
        <v>#REF!</v>
      </c>
      <c r="AP125" s="38" t="e">
        <f t="shared" si="357"/>
        <v>#REF!</v>
      </c>
      <c r="AQ125" s="4" t="e">
        <f t="shared" si="443"/>
        <v>#REF!</v>
      </c>
      <c r="AR125" s="4" t="e">
        <f>#REF!/G125*F125^0.5/0.19</f>
        <v>#REF!</v>
      </c>
      <c r="AS125" s="4">
        <f t="shared" si="450"/>
        <v>1.2000000000000002</v>
      </c>
      <c r="AT125" s="38">
        <f t="shared" si="451"/>
        <v>198.72000000000003</v>
      </c>
      <c r="AU125" s="4">
        <f t="shared" si="452"/>
        <v>0.44000000000000006</v>
      </c>
      <c r="AV125" s="4" t="e">
        <f>AU125*D125*#REF!/(D125*G125/2.75/F125^0.5)</f>
        <v>#REF!</v>
      </c>
      <c r="AW125" s="4" t="e">
        <f t="shared" si="499"/>
        <v>#REF!</v>
      </c>
      <c r="AY125" s="36">
        <f t="shared" si="428"/>
        <v>1</v>
      </c>
      <c r="AZ125" s="36" t="e">
        <f>(1.6*#REF!+22)*AY125*F125^0.5</f>
        <v>#REF!</v>
      </c>
      <c r="BE125" s="4">
        <f t="shared" si="453"/>
        <v>20.700000000000003</v>
      </c>
      <c r="BF125" s="4">
        <f t="shared" si="454"/>
        <v>20.700000000000003</v>
      </c>
      <c r="BG125" s="4">
        <f t="shared" si="455"/>
        <v>58.2</v>
      </c>
      <c r="BH125" s="4">
        <f t="shared" si="456"/>
        <v>35</v>
      </c>
      <c r="BI125" s="4">
        <f t="shared" si="229"/>
        <v>1.181159420289855</v>
      </c>
      <c r="BJ125" s="25">
        <f t="shared" si="457"/>
        <v>1.4454748150400323</v>
      </c>
      <c r="BL125" s="4">
        <f t="shared" si="458"/>
        <v>14.3</v>
      </c>
      <c r="BP125" s="9"/>
      <c r="BR125" s="9"/>
      <c r="BS125" s="9"/>
      <c r="BT125" s="9">
        <f t="shared" si="459"/>
        <v>14.3</v>
      </c>
      <c r="BU125" s="9">
        <f t="shared" si="460"/>
        <v>28.6</v>
      </c>
      <c r="BV125" s="9">
        <f t="shared" si="461"/>
        <v>0.78458409789675088</v>
      </c>
      <c r="BW125" s="9">
        <v>0</v>
      </c>
      <c r="BX125" s="9">
        <f t="shared" si="462"/>
        <v>0</v>
      </c>
      <c r="BY125" s="9">
        <f t="shared" si="500"/>
        <v>0</v>
      </c>
      <c r="BZ125" s="9">
        <f t="shared" si="463"/>
        <v>0.96044432035915817</v>
      </c>
      <c r="CA125" s="9">
        <f t="shared" si="464"/>
        <v>0.74299999999999999</v>
      </c>
      <c r="CB125" s="9">
        <f t="shared" si="465"/>
        <v>1.6070493790635749</v>
      </c>
      <c r="CC125" s="9">
        <f t="shared" si="466"/>
        <v>1.2608653873481286</v>
      </c>
      <c r="CD125" s="9">
        <v>1</v>
      </c>
      <c r="CE125" s="9" t="e">
        <f>4*CC125*#REF!+60*CC125</f>
        <v>#REF!</v>
      </c>
      <c r="CG125" s="4" t="e">
        <f t="shared" si="501"/>
        <v>#REF!</v>
      </c>
      <c r="CH125" s="4" t="e">
        <f t="shared" si="502"/>
        <v>#REF!</v>
      </c>
      <c r="CI125" s="4" t="e">
        <f t="shared" si="267"/>
        <v>#REF!</v>
      </c>
      <c r="CJ125" s="4" t="e">
        <f t="shared" si="484"/>
        <v>#REF!</v>
      </c>
      <c r="CK125" s="4" t="e">
        <f t="shared" si="269"/>
        <v>#REF!</v>
      </c>
      <c r="CL125" s="4" t="e">
        <f t="shared" si="270"/>
        <v>#REF!</v>
      </c>
      <c r="CM125" s="4" t="e">
        <f t="shared" si="481"/>
        <v>#REF!</v>
      </c>
      <c r="CO125" s="4" t="e">
        <f t="shared" si="271"/>
        <v>#REF!</v>
      </c>
      <c r="CP125" s="4" t="e">
        <f t="shared" si="272"/>
        <v>#REF!</v>
      </c>
      <c r="CQ125" s="4" t="e">
        <f t="shared" si="273"/>
        <v>#REF!</v>
      </c>
      <c r="CR125" s="4" t="e">
        <f t="shared" si="503"/>
        <v>#REF!</v>
      </c>
      <c r="CS125" s="4" t="e">
        <f t="shared" si="275"/>
        <v>#REF!</v>
      </c>
      <c r="CT125" s="4" t="e">
        <f t="shared" si="276"/>
        <v>#REF!</v>
      </c>
      <c r="DB125" s="4">
        <f t="shared" si="232"/>
        <v>0</v>
      </c>
      <c r="DC125" s="4" t="e">
        <f t="shared" si="467"/>
        <v>#REF!</v>
      </c>
      <c r="DD125" s="4" t="e">
        <f>#REF!/E125</f>
        <v>#REF!</v>
      </c>
      <c r="DF125" s="4" t="e">
        <f t="shared" si="468"/>
        <v>#REF!</v>
      </c>
      <c r="DG125" s="4">
        <f t="shared" si="233"/>
        <v>3.3960968587263358</v>
      </c>
      <c r="DH125" s="4" t="e">
        <f t="shared" si="486"/>
        <v>#REF!</v>
      </c>
      <c r="DI125" s="4" t="e">
        <f t="shared" si="359"/>
        <v>#REF!</v>
      </c>
      <c r="DJ125" s="4" t="e">
        <f t="shared" si="360"/>
        <v>#REF!</v>
      </c>
      <c r="DK125" s="4" t="e">
        <f t="shared" si="487"/>
        <v>#REF!</v>
      </c>
      <c r="DL125" s="38" t="e">
        <f t="shared" si="469"/>
        <v>#REF!</v>
      </c>
      <c r="DM125" s="4" t="e">
        <f t="shared" si="361"/>
        <v>#REF!</v>
      </c>
      <c r="DN125" s="4">
        <f t="shared" si="488"/>
        <v>2.2360679774997898</v>
      </c>
      <c r="DO125" s="4" t="e">
        <f t="shared" si="363"/>
        <v>#REF!</v>
      </c>
      <c r="DS125" s="4">
        <f t="shared" si="470"/>
        <v>1</v>
      </c>
      <c r="DT125" s="4">
        <f t="shared" si="471"/>
        <v>1</v>
      </c>
      <c r="DU125" s="4">
        <f t="shared" si="472"/>
        <v>1</v>
      </c>
      <c r="DV125" s="4">
        <f t="shared" si="504"/>
        <v>1</v>
      </c>
      <c r="DX125" s="4" t="e">
        <f t="shared" si="473"/>
        <v>#REF!</v>
      </c>
      <c r="DY125" s="25" t="e">
        <f t="shared" si="505"/>
        <v>#REF!</v>
      </c>
      <c r="EB125" s="4">
        <f t="shared" si="436"/>
        <v>3.3960968587263358</v>
      </c>
      <c r="EC125" s="4">
        <f t="shared" si="474"/>
        <v>3.3960968587263358</v>
      </c>
      <c r="EE125" s="4">
        <f t="shared" si="475"/>
        <v>63.951544156493995</v>
      </c>
      <c r="EF125" s="4">
        <f t="shared" si="235"/>
        <v>2.2360679774997898</v>
      </c>
      <c r="EG125" s="4" t="e">
        <f t="shared" si="476"/>
        <v>#REF!</v>
      </c>
      <c r="EJ125" s="4" t="e">
        <f t="shared" si="506"/>
        <v>#REF!</v>
      </c>
      <c r="EK125" s="4" t="e">
        <f t="shared" si="477"/>
        <v>#REF!</v>
      </c>
      <c r="EL125" s="4" t="e">
        <f t="shared" si="237"/>
        <v>#REF!</v>
      </c>
      <c r="EM125" s="4" t="e">
        <f t="shared" si="507"/>
        <v>#REF!</v>
      </c>
      <c r="EN125" s="4" t="e">
        <f t="shared" si="239"/>
        <v>#REF!</v>
      </c>
      <c r="EO125" s="4" t="e">
        <f t="shared" si="240"/>
        <v>#REF!</v>
      </c>
      <c r="EP125" s="4" t="e">
        <f t="shared" si="478"/>
        <v>#REF!</v>
      </c>
      <c r="EQ125" s="4" t="e">
        <f t="shared" si="508"/>
        <v>#REF!</v>
      </c>
      <c r="ER125" s="4" t="e">
        <f t="shared" si="479"/>
        <v>#REF!</v>
      </c>
      <c r="ES125" s="4" t="e">
        <f t="shared" si="242"/>
        <v>#REF!</v>
      </c>
      <c r="ET125" s="4" t="e">
        <f t="shared" si="243"/>
        <v>#REF!</v>
      </c>
      <c r="EV125" s="4" t="e">
        <f t="shared" si="489"/>
        <v>#REF!</v>
      </c>
      <c r="FA125" s="23" t="e">
        <f t="shared" si="490"/>
        <v>#REF!</v>
      </c>
      <c r="FB125" s="23" t="e">
        <f t="shared" si="491"/>
        <v>#REF!</v>
      </c>
      <c r="FC125" s="23" t="e">
        <f t="shared" si="290"/>
        <v>#REF!</v>
      </c>
      <c r="FD125" s="23" t="e">
        <f t="shared" si="492"/>
        <v>#REF!</v>
      </c>
      <c r="FE125" s="23" t="e">
        <f t="shared" si="493"/>
        <v>#REF!</v>
      </c>
      <c r="FF125" s="23" t="e">
        <f t="shared" si="494"/>
        <v>#REF!</v>
      </c>
      <c r="FG125" s="23" t="e">
        <f t="shared" si="282"/>
        <v>#REF!</v>
      </c>
      <c r="FH125" s="23"/>
      <c r="FR125" s="4">
        <f t="shared" si="351"/>
        <v>1.25</v>
      </c>
      <c r="FS125" s="4">
        <f t="shared" si="352"/>
        <v>1</v>
      </c>
      <c r="FT125" s="4">
        <f t="shared" si="353"/>
        <v>0</v>
      </c>
      <c r="FU125" s="4" t="e">
        <f t="shared" si="354"/>
        <v>#REF!</v>
      </c>
      <c r="FX125" s="4">
        <f>IF(AA125&gt;1, 0.05*(18-MIN(8,(K125+G125)/G125))*(1-29.3/MAX(60000/145,(D125))*(G125)^0.75*FT125), 1/12*(14-MIN(8,(K125+G125)/G125)))</f>
        <v>1</v>
      </c>
    </row>
    <row r="126" spans="2:182" ht="12" customHeight="1" x14ac:dyDescent="0.3">
      <c r="B126" s="24">
        <v>2015</v>
      </c>
      <c r="C126" s="7" t="s">
        <v>131</v>
      </c>
      <c r="D126" s="7">
        <v>710</v>
      </c>
      <c r="E126" s="7" t="e">
        <f>G126*#REF!</f>
        <v>#REF!</v>
      </c>
      <c r="F126" s="7">
        <v>41.4</v>
      </c>
      <c r="G126" s="7">
        <v>28.6</v>
      </c>
      <c r="H126" s="7">
        <v>261</v>
      </c>
      <c r="I126" s="7">
        <f>G126</f>
        <v>28.6</v>
      </c>
      <c r="J126" s="7"/>
      <c r="K126" s="7">
        <f>1*G126</f>
        <v>28.6</v>
      </c>
      <c r="L126" s="7">
        <v>2</v>
      </c>
      <c r="M126" s="7">
        <f t="shared" si="495"/>
        <v>58.2</v>
      </c>
      <c r="N126" s="7">
        <f t="shared" si="380"/>
        <v>1</v>
      </c>
      <c r="O126" s="7">
        <f t="shared" si="496"/>
        <v>1.5000000000000002</v>
      </c>
      <c r="P126" s="7">
        <f t="shared" si="509"/>
        <v>4</v>
      </c>
      <c r="Q126" s="7">
        <f t="shared" si="227"/>
        <v>4</v>
      </c>
      <c r="R126" s="7">
        <v>5</v>
      </c>
      <c r="S126" s="7">
        <f t="shared" si="447"/>
        <v>63.951544156493995</v>
      </c>
      <c r="T126" s="7"/>
      <c r="U126" s="7"/>
      <c r="V126" s="7">
        <v>434</v>
      </c>
      <c r="W126" s="7"/>
      <c r="X126" s="7" t="e">
        <f t="shared" si="482"/>
        <v>#REF!</v>
      </c>
      <c r="Y126" s="7"/>
      <c r="Z126" s="7"/>
      <c r="AA126" s="7">
        <v>1</v>
      </c>
      <c r="AB126" s="7"/>
      <c r="AC126" s="7"/>
      <c r="AD126" s="7"/>
      <c r="AE126" s="4" t="e">
        <f t="shared" si="483"/>
        <v>#REF!</v>
      </c>
      <c r="AF126" s="46" t="e">
        <f t="shared" si="497"/>
        <v>#REF!</v>
      </c>
      <c r="AG126" s="25" t="e">
        <f t="shared" si="448"/>
        <v>#REF!</v>
      </c>
      <c r="AH126" s="4" t="e">
        <f t="shared" si="449"/>
        <v>#REF!</v>
      </c>
      <c r="AI126" s="4">
        <v>1.25</v>
      </c>
      <c r="AJ126" s="25">
        <f t="shared" si="438"/>
        <v>5</v>
      </c>
      <c r="AK126" s="38" t="e">
        <f t="shared" si="480"/>
        <v>#REF!</v>
      </c>
      <c r="AL126" s="38" t="e">
        <f t="shared" si="356"/>
        <v>#REF!</v>
      </c>
      <c r="AN126" s="38" t="e">
        <f t="shared" si="498"/>
        <v>#REF!</v>
      </c>
      <c r="AO126" s="38" t="e">
        <f t="shared" si="316"/>
        <v>#REF!</v>
      </c>
      <c r="AP126" s="38" t="e">
        <f t="shared" si="357"/>
        <v>#REF!</v>
      </c>
      <c r="AQ126" s="4" t="e">
        <f t="shared" si="443"/>
        <v>#REF!</v>
      </c>
      <c r="AR126" s="4" t="e">
        <f>#REF!/G126*F126^0.5/0.19</f>
        <v>#REF!</v>
      </c>
      <c r="AS126" s="4">
        <f t="shared" si="450"/>
        <v>1.2000000000000002</v>
      </c>
      <c r="AT126" s="38">
        <f t="shared" si="451"/>
        <v>198.72000000000003</v>
      </c>
      <c r="AU126" s="4">
        <f t="shared" si="452"/>
        <v>0.44000000000000006</v>
      </c>
      <c r="AV126" s="4" t="e">
        <f>AU126*D126*#REF!/(D126*G126/2.75/F126^0.5)</f>
        <v>#REF!</v>
      </c>
      <c r="AW126" s="4" t="e">
        <f t="shared" si="499"/>
        <v>#REF!</v>
      </c>
      <c r="AY126" s="36">
        <f t="shared" si="428"/>
        <v>1</v>
      </c>
      <c r="AZ126" s="36" t="e">
        <f>(1.6*#REF!+22)*AY126*F126^0.5</f>
        <v>#REF!</v>
      </c>
      <c r="BE126" s="4">
        <f t="shared" si="453"/>
        <v>20.700000000000003</v>
      </c>
      <c r="BF126" s="4">
        <f t="shared" si="454"/>
        <v>20.700000000000003</v>
      </c>
      <c r="BG126" s="4">
        <f t="shared" si="455"/>
        <v>58.2</v>
      </c>
      <c r="BH126" s="4">
        <f t="shared" si="456"/>
        <v>35</v>
      </c>
      <c r="BI126" s="4">
        <f t="shared" si="229"/>
        <v>1.181159420289855</v>
      </c>
      <c r="BJ126" s="25">
        <f t="shared" si="457"/>
        <v>1.4454748150400323</v>
      </c>
      <c r="BL126" s="4">
        <f t="shared" si="458"/>
        <v>14.3</v>
      </c>
      <c r="BP126" s="9"/>
      <c r="BR126" s="9"/>
      <c r="BS126" s="9"/>
      <c r="BT126" s="9">
        <f t="shared" si="459"/>
        <v>14.3</v>
      </c>
      <c r="BU126" s="9">
        <f t="shared" si="460"/>
        <v>28.6</v>
      </c>
      <c r="BV126" s="9">
        <f t="shared" si="461"/>
        <v>0.78458409789675088</v>
      </c>
      <c r="BW126" s="9">
        <v>0</v>
      </c>
      <c r="BX126" s="9">
        <f t="shared" si="462"/>
        <v>0</v>
      </c>
      <c r="BY126" s="9">
        <f t="shared" si="500"/>
        <v>0</v>
      </c>
      <c r="BZ126" s="9">
        <f t="shared" si="463"/>
        <v>0.96044432035915817</v>
      </c>
      <c r="CA126" s="9">
        <f t="shared" si="464"/>
        <v>0.74299999999999999</v>
      </c>
      <c r="CB126" s="9">
        <f t="shared" si="465"/>
        <v>1.6070493790635749</v>
      </c>
      <c r="CC126" s="9">
        <f t="shared" si="466"/>
        <v>1.2608653873481286</v>
      </c>
      <c r="CD126" s="9">
        <v>1</v>
      </c>
      <c r="CE126" s="9" t="e">
        <f>4*CC126*#REF!+60*CC126</f>
        <v>#REF!</v>
      </c>
      <c r="CG126" s="4" t="e">
        <f t="shared" si="501"/>
        <v>#REF!</v>
      </c>
      <c r="CH126" s="4" t="e">
        <f t="shared" si="502"/>
        <v>#REF!</v>
      </c>
      <c r="CI126" s="4" t="e">
        <f t="shared" si="267"/>
        <v>#REF!</v>
      </c>
      <c r="CJ126" s="4" t="e">
        <f t="shared" si="484"/>
        <v>#REF!</v>
      </c>
      <c r="CK126" s="4" t="e">
        <f t="shared" si="269"/>
        <v>#REF!</v>
      </c>
      <c r="CL126" s="4" t="e">
        <f t="shared" si="270"/>
        <v>#REF!</v>
      </c>
      <c r="CM126" s="4" t="e">
        <f t="shared" si="481"/>
        <v>#REF!</v>
      </c>
      <c r="CO126" s="4" t="e">
        <f t="shared" si="271"/>
        <v>#REF!</v>
      </c>
      <c r="CP126" s="4" t="e">
        <f t="shared" si="272"/>
        <v>#REF!</v>
      </c>
      <c r="CQ126" s="4" t="e">
        <f t="shared" si="273"/>
        <v>#REF!</v>
      </c>
      <c r="CR126" s="4" t="e">
        <f t="shared" si="503"/>
        <v>#REF!</v>
      </c>
      <c r="CS126" s="4" t="e">
        <f t="shared" si="275"/>
        <v>#REF!</v>
      </c>
      <c r="CT126" s="4" t="e">
        <f t="shared" si="276"/>
        <v>#REF!</v>
      </c>
      <c r="DB126" s="4">
        <f t="shared" si="232"/>
        <v>0</v>
      </c>
      <c r="DC126" s="4" t="e">
        <f t="shared" si="467"/>
        <v>#REF!</v>
      </c>
      <c r="DD126" s="4" t="e">
        <f>#REF!/E126</f>
        <v>#REF!</v>
      </c>
      <c r="DF126" s="4" t="e">
        <f t="shared" si="468"/>
        <v>#REF!</v>
      </c>
      <c r="DG126" s="4">
        <f t="shared" si="233"/>
        <v>3.3960968587263358</v>
      </c>
      <c r="DH126" s="4" t="e">
        <f t="shared" si="486"/>
        <v>#REF!</v>
      </c>
      <c r="DI126" s="4" t="e">
        <f t="shared" si="359"/>
        <v>#REF!</v>
      </c>
      <c r="DJ126" s="4" t="e">
        <f t="shared" si="360"/>
        <v>#REF!</v>
      </c>
      <c r="DK126" s="4" t="e">
        <f t="shared" si="487"/>
        <v>#REF!</v>
      </c>
      <c r="DL126" s="38" t="e">
        <f t="shared" si="469"/>
        <v>#REF!</v>
      </c>
      <c r="DM126" s="4" t="e">
        <f t="shared" si="361"/>
        <v>#REF!</v>
      </c>
      <c r="DN126" s="4">
        <f t="shared" si="488"/>
        <v>2.2360679774997898</v>
      </c>
      <c r="DO126" s="4" t="e">
        <f t="shared" si="363"/>
        <v>#REF!</v>
      </c>
      <c r="DS126" s="4">
        <f t="shared" si="470"/>
        <v>1</v>
      </c>
      <c r="DT126" s="4">
        <f t="shared" si="471"/>
        <v>1</v>
      </c>
      <c r="DU126" s="4">
        <f t="shared" si="472"/>
        <v>1</v>
      </c>
      <c r="DV126" s="4">
        <f t="shared" si="504"/>
        <v>1</v>
      </c>
      <c r="DX126" s="4" t="e">
        <f t="shared" si="473"/>
        <v>#REF!</v>
      </c>
      <c r="DY126" s="25" t="e">
        <f t="shared" si="505"/>
        <v>#REF!</v>
      </c>
      <c r="EB126" s="4">
        <f t="shared" si="436"/>
        <v>3.3960968587263358</v>
      </c>
      <c r="EC126" s="4">
        <f t="shared" si="474"/>
        <v>3.3960968587263358</v>
      </c>
      <c r="EE126" s="4">
        <f t="shared" si="475"/>
        <v>63.951544156493995</v>
      </c>
      <c r="EF126" s="4">
        <f t="shared" si="235"/>
        <v>2.2360679774997898</v>
      </c>
      <c r="EG126" s="4" t="e">
        <f t="shared" si="476"/>
        <v>#REF!</v>
      </c>
      <c r="EJ126" s="4" t="e">
        <f t="shared" si="506"/>
        <v>#REF!</v>
      </c>
      <c r="EK126" s="4" t="e">
        <f t="shared" si="477"/>
        <v>#REF!</v>
      </c>
      <c r="EL126" s="4" t="e">
        <f t="shared" si="237"/>
        <v>#REF!</v>
      </c>
      <c r="EM126" s="4" t="e">
        <f t="shared" si="507"/>
        <v>#REF!</v>
      </c>
      <c r="EN126" s="4" t="e">
        <f t="shared" si="239"/>
        <v>#REF!</v>
      </c>
      <c r="EO126" s="4" t="e">
        <f t="shared" si="240"/>
        <v>#REF!</v>
      </c>
      <c r="EP126" s="4" t="e">
        <f t="shared" si="478"/>
        <v>#REF!</v>
      </c>
      <c r="EQ126" s="4" t="e">
        <f t="shared" si="508"/>
        <v>#REF!</v>
      </c>
      <c r="ER126" s="4" t="e">
        <f t="shared" si="479"/>
        <v>#REF!</v>
      </c>
      <c r="ES126" s="4" t="e">
        <f t="shared" si="242"/>
        <v>#REF!</v>
      </c>
      <c r="ET126" s="4" t="e">
        <f t="shared" si="243"/>
        <v>#REF!</v>
      </c>
      <c r="EV126" s="4" t="e">
        <f t="shared" si="489"/>
        <v>#REF!</v>
      </c>
      <c r="FA126" s="23" t="e">
        <f t="shared" si="490"/>
        <v>#REF!</v>
      </c>
      <c r="FB126" s="23" t="e">
        <f t="shared" si="491"/>
        <v>#REF!</v>
      </c>
      <c r="FC126" s="23" t="e">
        <f t="shared" si="290"/>
        <v>#REF!</v>
      </c>
      <c r="FD126" s="23" t="e">
        <f t="shared" si="492"/>
        <v>#REF!</v>
      </c>
      <c r="FE126" s="23" t="e">
        <f t="shared" si="493"/>
        <v>#REF!</v>
      </c>
      <c r="FF126" s="23" t="e">
        <f t="shared" si="494"/>
        <v>#REF!</v>
      </c>
      <c r="FG126" s="23" t="e">
        <f t="shared" si="282"/>
        <v>#REF!</v>
      </c>
      <c r="FH126" s="23"/>
      <c r="FR126" s="4">
        <f t="shared" si="351"/>
        <v>1.25</v>
      </c>
      <c r="FS126" s="4">
        <f t="shared" si="352"/>
        <v>1</v>
      </c>
      <c r="FT126" s="4">
        <f t="shared" si="353"/>
        <v>0</v>
      </c>
      <c r="FU126" s="4" t="e">
        <f t="shared" si="354"/>
        <v>#REF!</v>
      </c>
      <c r="FX126" s="4">
        <f>IF(AA126&gt;1, 0.05*(18-MIN(8,(K126+G126)/G126))*(1-29.3/MAX(60000/145,(D126))*(G126)^0.75*FT126), 1/12*(14-MIN(8,(K126+G126)/G126)))</f>
        <v>1</v>
      </c>
    </row>
    <row r="127" spans="2:182" ht="12" customHeight="1" x14ac:dyDescent="0.3">
      <c r="B127" s="24"/>
      <c r="C127" s="7" t="s">
        <v>140</v>
      </c>
      <c r="D127" s="7">
        <v>710</v>
      </c>
      <c r="E127" s="7" t="e">
        <f>G127*#REF!</f>
        <v>#REF!</v>
      </c>
      <c r="F127" s="7">
        <v>40.1</v>
      </c>
      <c r="G127" s="7">
        <v>28.6</v>
      </c>
      <c r="H127" s="7">
        <v>261</v>
      </c>
      <c r="I127" s="7">
        <f>G127</f>
        <v>28.6</v>
      </c>
      <c r="J127" s="7"/>
      <c r="K127" s="7">
        <f>1*G127</f>
        <v>28.6</v>
      </c>
      <c r="L127" s="7">
        <v>2</v>
      </c>
      <c r="M127" s="7">
        <f t="shared" si="495"/>
        <v>58.2</v>
      </c>
      <c r="N127" s="7">
        <f t="shared" ref="N127:N153" si="510">MIN(K127/G127/2+0.5, (M127+G127/2)/G127, I127/G127+0.5)</f>
        <v>1</v>
      </c>
      <c r="O127" s="7">
        <f t="shared" si="496"/>
        <v>1.5000000000000002</v>
      </c>
      <c r="P127" s="7">
        <f t="shared" si="509"/>
        <v>4</v>
      </c>
      <c r="Q127" s="7">
        <f t="shared" si="227"/>
        <v>4</v>
      </c>
      <c r="R127" s="7">
        <v>5</v>
      </c>
      <c r="S127" s="7">
        <f t="shared" si="447"/>
        <v>63.951544156493995</v>
      </c>
      <c r="T127" s="7"/>
      <c r="U127" s="7"/>
      <c r="V127" s="7">
        <v>459</v>
      </c>
      <c r="W127" s="7"/>
      <c r="X127" s="7" t="e">
        <f t="shared" si="482"/>
        <v>#REF!</v>
      </c>
      <c r="Y127" s="7"/>
      <c r="Z127" s="7"/>
      <c r="AA127" s="7">
        <v>1</v>
      </c>
      <c r="AB127" s="7"/>
      <c r="AC127" s="7"/>
      <c r="AD127" s="7"/>
      <c r="AE127" s="4" t="e">
        <f t="shared" si="483"/>
        <v>#REF!</v>
      </c>
      <c r="AF127" s="46" t="e">
        <f t="shared" si="497"/>
        <v>#REF!</v>
      </c>
      <c r="AG127" s="25" t="e">
        <f t="shared" si="448"/>
        <v>#REF!</v>
      </c>
      <c r="AH127" s="4" t="e">
        <f t="shared" si="449"/>
        <v>#REF!</v>
      </c>
      <c r="AI127" s="4">
        <v>1.25</v>
      </c>
      <c r="AJ127" s="25">
        <f t="shared" si="438"/>
        <v>5</v>
      </c>
      <c r="AK127" s="38" t="e">
        <f t="shared" si="480"/>
        <v>#REF!</v>
      </c>
      <c r="AL127" s="38" t="e">
        <f t="shared" si="356"/>
        <v>#REF!</v>
      </c>
      <c r="AN127" s="38" t="e">
        <f t="shared" si="498"/>
        <v>#REF!</v>
      </c>
      <c r="AO127" s="38" t="e">
        <f t="shared" si="316"/>
        <v>#REF!</v>
      </c>
      <c r="AP127" s="38" t="e">
        <f t="shared" si="357"/>
        <v>#REF!</v>
      </c>
      <c r="AQ127" s="4" t="e">
        <f t="shared" si="443"/>
        <v>#REF!</v>
      </c>
      <c r="AR127" s="4" t="e">
        <f>#REF!/G127*F127^0.5/0.19</f>
        <v>#REF!</v>
      </c>
      <c r="AS127" s="4">
        <f t="shared" si="450"/>
        <v>1.2000000000000002</v>
      </c>
      <c r="AT127" s="38">
        <f t="shared" si="451"/>
        <v>192.48000000000005</v>
      </c>
      <c r="AU127" s="4">
        <f t="shared" si="452"/>
        <v>0.44000000000000006</v>
      </c>
      <c r="AV127" s="4" t="e">
        <f>AU127*D127*#REF!/(D127*G127/2.75/F127^0.5)</f>
        <v>#REF!</v>
      </c>
      <c r="AW127" s="4" t="e">
        <f t="shared" si="499"/>
        <v>#REF!</v>
      </c>
      <c r="AY127" s="36">
        <f t="shared" si="428"/>
        <v>1</v>
      </c>
      <c r="AZ127" s="36" t="e">
        <f>(1.6*#REF!+22)*AY127*F127^0.5</f>
        <v>#REF!</v>
      </c>
      <c r="BE127" s="4">
        <f t="shared" si="453"/>
        <v>20.700000000000003</v>
      </c>
      <c r="BF127" s="4">
        <f t="shared" si="454"/>
        <v>20.700000000000003</v>
      </c>
      <c r="BG127" s="4">
        <f t="shared" si="455"/>
        <v>58.2</v>
      </c>
      <c r="BH127" s="4">
        <f t="shared" si="456"/>
        <v>35</v>
      </c>
      <c r="BI127" s="4">
        <f t="shared" si="229"/>
        <v>1.181159420289855</v>
      </c>
      <c r="BJ127" s="25">
        <f t="shared" si="457"/>
        <v>1.4454748150400323</v>
      </c>
      <c r="BL127" s="4">
        <f t="shared" si="458"/>
        <v>14.3</v>
      </c>
      <c r="BP127" s="9"/>
      <c r="BR127" s="9"/>
      <c r="BS127" s="9"/>
      <c r="BT127" s="9">
        <f t="shared" si="459"/>
        <v>14.3</v>
      </c>
      <c r="BU127" s="9">
        <f t="shared" si="460"/>
        <v>28.6</v>
      </c>
      <c r="BV127" s="9">
        <f t="shared" si="461"/>
        <v>0.78458409789675088</v>
      </c>
      <c r="BW127" s="9">
        <v>0</v>
      </c>
      <c r="BX127" s="9">
        <f t="shared" si="462"/>
        <v>0</v>
      </c>
      <c r="BY127" s="9">
        <f t="shared" si="500"/>
        <v>0</v>
      </c>
      <c r="BZ127" s="9">
        <f t="shared" si="463"/>
        <v>0.96044432035915817</v>
      </c>
      <c r="CA127" s="9">
        <f t="shared" si="464"/>
        <v>0.74299999999999999</v>
      </c>
      <c r="CB127" s="9">
        <f t="shared" si="465"/>
        <v>1.5816166822222031</v>
      </c>
      <c r="CC127" s="9">
        <f t="shared" si="466"/>
        <v>1.2409112978397594</v>
      </c>
      <c r="CD127" s="9">
        <v>1</v>
      </c>
      <c r="CE127" s="9" t="e">
        <f>4*CC127*#REF!+60*CC127</f>
        <v>#REF!</v>
      </c>
      <c r="CG127" s="4" t="e">
        <f t="shared" si="501"/>
        <v>#REF!</v>
      </c>
      <c r="CH127" s="4" t="e">
        <f t="shared" si="502"/>
        <v>#REF!</v>
      </c>
      <c r="CI127" s="4" t="e">
        <f t="shared" si="267"/>
        <v>#REF!</v>
      </c>
      <c r="CJ127" s="4" t="e">
        <f t="shared" si="484"/>
        <v>#REF!</v>
      </c>
      <c r="CK127" s="4" t="e">
        <f t="shared" si="269"/>
        <v>#REF!</v>
      </c>
      <c r="CL127" s="4" t="e">
        <f t="shared" si="270"/>
        <v>#REF!</v>
      </c>
      <c r="CM127" s="4" t="e">
        <f t="shared" si="481"/>
        <v>#REF!</v>
      </c>
      <c r="CO127" s="4" t="e">
        <f t="shared" si="271"/>
        <v>#REF!</v>
      </c>
      <c r="CP127" s="4" t="e">
        <f t="shared" si="272"/>
        <v>#REF!</v>
      </c>
      <c r="CQ127" s="4" t="e">
        <f t="shared" si="273"/>
        <v>#REF!</v>
      </c>
      <c r="CR127" s="4" t="e">
        <f t="shared" si="503"/>
        <v>#REF!</v>
      </c>
      <c r="CS127" s="4" t="e">
        <f t="shared" si="275"/>
        <v>#REF!</v>
      </c>
      <c r="CT127" s="4" t="e">
        <f t="shared" si="276"/>
        <v>#REF!</v>
      </c>
      <c r="DB127" s="4">
        <f t="shared" si="232"/>
        <v>0</v>
      </c>
      <c r="DC127" s="4" t="e">
        <f t="shared" si="467"/>
        <v>#REF!</v>
      </c>
      <c r="DD127" s="4" t="e">
        <f>#REF!/E127</f>
        <v>#REF!</v>
      </c>
      <c r="DF127" s="4" t="e">
        <f t="shared" si="468"/>
        <v>#REF!</v>
      </c>
      <c r="DG127" s="4">
        <f t="shared" si="233"/>
        <v>3.3423512159494768</v>
      </c>
      <c r="DH127" s="4" t="e">
        <f t="shared" si="486"/>
        <v>#REF!</v>
      </c>
      <c r="DI127" s="4" t="e">
        <f t="shared" si="359"/>
        <v>#REF!</v>
      </c>
      <c r="DJ127" s="4" t="e">
        <f t="shared" si="360"/>
        <v>#REF!</v>
      </c>
      <c r="DK127" s="4" t="e">
        <f t="shared" si="487"/>
        <v>#REF!</v>
      </c>
      <c r="DL127" s="38" t="e">
        <f t="shared" si="469"/>
        <v>#REF!</v>
      </c>
      <c r="DM127" s="4" t="e">
        <f t="shared" si="361"/>
        <v>#REF!</v>
      </c>
      <c r="DN127" s="4">
        <f t="shared" si="488"/>
        <v>2.2360679774997898</v>
      </c>
      <c r="DO127" s="4" t="e">
        <f t="shared" si="363"/>
        <v>#REF!</v>
      </c>
      <c r="DS127" s="4">
        <f t="shared" si="470"/>
        <v>1</v>
      </c>
      <c r="DT127" s="4">
        <f t="shared" si="471"/>
        <v>1</v>
      </c>
      <c r="DU127" s="4">
        <f t="shared" si="472"/>
        <v>1</v>
      </c>
      <c r="DV127" s="4">
        <f t="shared" si="504"/>
        <v>1</v>
      </c>
      <c r="DX127" s="4" t="e">
        <f t="shared" si="473"/>
        <v>#REF!</v>
      </c>
      <c r="DY127" s="25" t="e">
        <f t="shared" si="505"/>
        <v>#REF!</v>
      </c>
      <c r="EB127" s="4">
        <f t="shared" si="436"/>
        <v>3.3423512159494768</v>
      </c>
      <c r="EC127" s="4">
        <f t="shared" si="474"/>
        <v>3.3423512159494768</v>
      </c>
      <c r="EE127" s="4">
        <f t="shared" si="475"/>
        <v>63.951544156493995</v>
      </c>
      <c r="EF127" s="4">
        <f t="shared" si="235"/>
        <v>2.2360679774997898</v>
      </c>
      <c r="EG127" s="4" t="e">
        <f t="shared" si="476"/>
        <v>#REF!</v>
      </c>
      <c r="EJ127" s="4" t="e">
        <f t="shared" si="506"/>
        <v>#REF!</v>
      </c>
      <c r="EK127" s="4" t="e">
        <f t="shared" si="477"/>
        <v>#REF!</v>
      </c>
      <c r="EL127" s="4" t="e">
        <f t="shared" si="237"/>
        <v>#REF!</v>
      </c>
      <c r="EM127" s="4" t="e">
        <f t="shared" si="507"/>
        <v>#REF!</v>
      </c>
      <c r="EN127" s="4" t="e">
        <f t="shared" si="239"/>
        <v>#REF!</v>
      </c>
      <c r="EO127" s="4" t="e">
        <f t="shared" si="240"/>
        <v>#REF!</v>
      </c>
      <c r="EP127" s="4" t="e">
        <f t="shared" si="478"/>
        <v>#REF!</v>
      </c>
      <c r="EQ127" s="4" t="e">
        <f t="shared" si="508"/>
        <v>#REF!</v>
      </c>
      <c r="ER127" s="4" t="e">
        <f t="shared" si="479"/>
        <v>#REF!</v>
      </c>
      <c r="ES127" s="4" t="e">
        <f t="shared" si="242"/>
        <v>#REF!</v>
      </c>
      <c r="ET127" s="4" t="e">
        <f t="shared" si="243"/>
        <v>#REF!</v>
      </c>
      <c r="EV127" s="4" t="e">
        <f t="shared" si="489"/>
        <v>#REF!</v>
      </c>
      <c r="FA127" s="23" t="e">
        <f t="shared" si="490"/>
        <v>#REF!</v>
      </c>
      <c r="FB127" s="23" t="e">
        <f t="shared" si="491"/>
        <v>#REF!</v>
      </c>
      <c r="FC127" s="23" t="e">
        <f t="shared" si="290"/>
        <v>#REF!</v>
      </c>
      <c r="FD127" s="23" t="e">
        <f t="shared" si="492"/>
        <v>#REF!</v>
      </c>
      <c r="FE127" s="23" t="e">
        <f t="shared" si="493"/>
        <v>#REF!</v>
      </c>
      <c r="FF127" s="23" t="e">
        <f t="shared" si="494"/>
        <v>#REF!</v>
      </c>
      <c r="FG127" s="23" t="e">
        <f t="shared" si="282"/>
        <v>#REF!</v>
      </c>
      <c r="FH127" s="23"/>
      <c r="FR127" s="4">
        <f t="shared" si="351"/>
        <v>1.25</v>
      </c>
      <c r="FS127" s="4">
        <f t="shared" si="352"/>
        <v>1</v>
      </c>
      <c r="FT127" s="4">
        <f t="shared" si="353"/>
        <v>0</v>
      </c>
      <c r="FU127" s="4" t="e">
        <f t="shared" si="354"/>
        <v>#REF!</v>
      </c>
    </row>
    <row r="128" spans="2:182" ht="12" customHeight="1" x14ac:dyDescent="0.3">
      <c r="B128" s="24"/>
      <c r="C128" s="7" t="s">
        <v>132</v>
      </c>
      <c r="D128" s="7">
        <v>710</v>
      </c>
      <c r="E128" s="7" t="e">
        <f>G128*#REF!</f>
        <v>#REF!</v>
      </c>
      <c r="F128" s="7">
        <v>41.4</v>
      </c>
      <c r="G128" s="7">
        <v>28.6</v>
      </c>
      <c r="H128" s="7">
        <v>406</v>
      </c>
      <c r="I128" s="7">
        <f>G128*2</f>
        <v>57.2</v>
      </c>
      <c r="J128" s="7"/>
      <c r="K128" s="7">
        <f>2*G128</f>
        <v>57.2</v>
      </c>
      <c r="L128" s="7">
        <v>2</v>
      </c>
      <c r="M128" s="7">
        <f t="shared" si="495"/>
        <v>58.2</v>
      </c>
      <c r="N128" s="7">
        <f t="shared" si="510"/>
        <v>1.5</v>
      </c>
      <c r="O128" s="7">
        <f t="shared" si="496"/>
        <v>2.5</v>
      </c>
      <c r="P128" s="7">
        <f t="shared" si="509"/>
        <v>4</v>
      </c>
      <c r="Q128" s="7">
        <f t="shared" ref="Q128:Q147" si="511">MIN(Q$16,P128)</f>
        <v>4</v>
      </c>
      <c r="R128" s="7">
        <v>5</v>
      </c>
      <c r="S128" s="7">
        <f t="shared" si="447"/>
        <v>63.951544156493995</v>
      </c>
      <c r="T128" s="7"/>
      <c r="U128" s="7"/>
      <c r="V128" s="7">
        <v>335</v>
      </c>
      <c r="W128" s="7"/>
      <c r="X128" s="7" t="e">
        <f t="shared" si="482"/>
        <v>#REF!</v>
      </c>
      <c r="Y128" s="7"/>
      <c r="Z128" s="7"/>
      <c r="AA128" s="7">
        <v>1</v>
      </c>
      <c r="AB128" s="7"/>
      <c r="AC128" s="7"/>
      <c r="AD128" s="7"/>
      <c r="AE128" s="4" t="e">
        <f t="shared" si="483"/>
        <v>#REF!</v>
      </c>
      <c r="AF128" s="46" t="e">
        <f t="shared" si="497"/>
        <v>#REF!</v>
      </c>
      <c r="AG128" s="25" t="e">
        <f t="shared" si="448"/>
        <v>#REF!</v>
      </c>
      <c r="AH128" s="4" t="e">
        <f t="shared" si="449"/>
        <v>#REF!</v>
      </c>
      <c r="AI128" s="4">
        <v>1.25</v>
      </c>
      <c r="AJ128" s="25">
        <f t="shared" si="438"/>
        <v>5</v>
      </c>
      <c r="AK128" s="38" t="e">
        <f t="shared" si="480"/>
        <v>#REF!</v>
      </c>
      <c r="AL128" s="38" t="e">
        <f t="shared" si="356"/>
        <v>#REF!</v>
      </c>
      <c r="AN128" s="38" t="e">
        <f t="shared" si="498"/>
        <v>#REF!</v>
      </c>
      <c r="AO128" s="38" t="e">
        <f t="shared" si="316"/>
        <v>#REF!</v>
      </c>
      <c r="AP128" s="38" t="e">
        <f t="shared" si="357"/>
        <v>#REF!</v>
      </c>
      <c r="AQ128" s="4" t="e">
        <f t="shared" si="443"/>
        <v>#REF!</v>
      </c>
      <c r="AR128" s="4" t="e">
        <f>#REF!/G128*F128^0.5/0.19</f>
        <v>#REF!</v>
      </c>
      <c r="AS128" s="4">
        <f t="shared" si="450"/>
        <v>1.2666666666666666</v>
      </c>
      <c r="AT128" s="38">
        <f t="shared" si="451"/>
        <v>314.63999999999993</v>
      </c>
      <c r="AU128" s="4">
        <f t="shared" si="452"/>
        <v>0.44000000000000006</v>
      </c>
      <c r="AV128" s="4" t="e">
        <f>AU128*D128*#REF!/(D128*G128/2.75/F128^0.5)</f>
        <v>#REF!</v>
      </c>
      <c r="AW128" s="4" t="e">
        <f t="shared" si="499"/>
        <v>#REF!</v>
      </c>
      <c r="AY128" s="36">
        <f t="shared" si="428"/>
        <v>1.1000000000000001</v>
      </c>
      <c r="AZ128" s="36" t="e">
        <f>(1.6*#REF!+22)*AY128*F128^0.5</f>
        <v>#REF!</v>
      </c>
      <c r="BE128" s="4">
        <f t="shared" si="453"/>
        <v>35</v>
      </c>
      <c r="BF128" s="4">
        <f t="shared" si="454"/>
        <v>35</v>
      </c>
      <c r="BG128" s="4">
        <f t="shared" si="455"/>
        <v>58.2</v>
      </c>
      <c r="BH128" s="4">
        <f t="shared" si="456"/>
        <v>49.3</v>
      </c>
      <c r="BI128" s="4">
        <f t="shared" ref="BI128:BI147" si="512">MIN(1.25, 0.1*BG128/BF128+0.9)</f>
        <v>1.0662857142857143</v>
      </c>
      <c r="BJ128" s="25">
        <f t="shared" si="457"/>
        <v>1.8380379620379617</v>
      </c>
      <c r="BL128" s="4">
        <f t="shared" si="458"/>
        <v>28.6</v>
      </c>
      <c r="BP128" s="9"/>
      <c r="BR128" s="9"/>
      <c r="BS128" s="9"/>
      <c r="BT128" s="9">
        <f t="shared" si="459"/>
        <v>28.6</v>
      </c>
      <c r="BU128" s="9">
        <f t="shared" si="460"/>
        <v>57.2</v>
      </c>
      <c r="BV128" s="9">
        <f t="shared" si="461"/>
        <v>1.1095694720678451</v>
      </c>
      <c r="BW128" s="9">
        <v>0</v>
      </c>
      <c r="BX128" s="9">
        <f t="shared" si="462"/>
        <v>0</v>
      </c>
      <c r="BY128" s="9">
        <f t="shared" si="500"/>
        <v>0</v>
      </c>
      <c r="BZ128" s="9">
        <f t="shared" si="463"/>
        <v>0.96044432035915817</v>
      </c>
      <c r="CA128" s="9">
        <f t="shared" si="464"/>
        <v>0.74299999999999999</v>
      </c>
      <c r="CB128" s="9">
        <f t="shared" si="465"/>
        <v>1.6070493790635749</v>
      </c>
      <c r="CC128" s="9">
        <f t="shared" si="466"/>
        <v>1.783132931114529</v>
      </c>
      <c r="CD128" s="9">
        <v>1</v>
      </c>
      <c r="CE128" s="9" t="e">
        <f>4*CC128*#REF!+60*CC128</f>
        <v>#REF!</v>
      </c>
      <c r="CG128" s="4" t="e">
        <f t="shared" si="501"/>
        <v>#REF!</v>
      </c>
      <c r="CH128" s="4" t="e">
        <f t="shared" si="502"/>
        <v>#REF!</v>
      </c>
      <c r="CI128" s="4" t="e">
        <f t="shared" si="267"/>
        <v>#REF!</v>
      </c>
      <c r="CJ128" s="4" t="e">
        <f t="shared" si="484"/>
        <v>#REF!</v>
      </c>
      <c r="CK128" s="4" t="e">
        <f t="shared" si="269"/>
        <v>#REF!</v>
      </c>
      <c r="CL128" s="4" t="e">
        <f t="shared" si="270"/>
        <v>#REF!</v>
      </c>
      <c r="CM128" s="4" t="e">
        <f t="shared" si="481"/>
        <v>#REF!</v>
      </c>
      <c r="CO128" s="4" t="e">
        <f t="shared" ref="CO128:CO139" si="513">CG128</f>
        <v>#REF!</v>
      </c>
      <c r="CP128" s="4" t="e">
        <f t="shared" ref="CP128:CP139" si="514">CH128</f>
        <v>#REF!</v>
      </c>
      <c r="CQ128" s="4" t="e">
        <f t="shared" ref="CQ128:CQ139" si="515">CJ128</f>
        <v>#REF!</v>
      </c>
      <c r="CR128" s="4" t="e">
        <f t="shared" si="503"/>
        <v>#REF!</v>
      </c>
      <c r="CS128" s="4" t="e">
        <f t="shared" ref="CS128:CS139" si="516">CK128</f>
        <v>#REF!</v>
      </c>
      <c r="CT128" s="4" t="e">
        <f t="shared" ref="CT128:CT139" si="517">CL128</f>
        <v>#REF!</v>
      </c>
      <c r="DB128" s="4">
        <f t="shared" ref="DB128:DB164" si="518">Z128</f>
        <v>0</v>
      </c>
      <c r="DC128" s="4" t="e">
        <f t="shared" si="467"/>
        <v>#REF!</v>
      </c>
      <c r="DD128" s="4" t="e">
        <f>#REF!/E128</f>
        <v>#REF!</v>
      </c>
      <c r="DF128" s="4" t="e">
        <f t="shared" si="468"/>
        <v>#REF!</v>
      </c>
      <c r="DG128" s="4">
        <f t="shared" ref="DG128:DG164" si="519">EB128</f>
        <v>4.3184114203497916</v>
      </c>
      <c r="DH128" s="4" t="e">
        <f t="shared" si="486"/>
        <v>#REF!</v>
      </c>
      <c r="DI128" s="4" t="e">
        <f t="shared" si="359"/>
        <v>#REF!</v>
      </c>
      <c r="DJ128" s="4" t="e">
        <f t="shared" si="360"/>
        <v>#REF!</v>
      </c>
      <c r="DK128" s="4" t="e">
        <f t="shared" si="487"/>
        <v>#REF!</v>
      </c>
      <c r="DL128" s="38" t="e">
        <f t="shared" si="469"/>
        <v>#REF!</v>
      </c>
      <c r="DM128" s="4" t="e">
        <f t="shared" si="361"/>
        <v>#REF!</v>
      </c>
      <c r="DN128" s="4">
        <f t="shared" si="488"/>
        <v>2.2360679774997898</v>
      </c>
      <c r="DO128" s="4" t="e">
        <f t="shared" si="363"/>
        <v>#REF!</v>
      </c>
      <c r="DS128" s="4">
        <f t="shared" si="470"/>
        <v>1</v>
      </c>
      <c r="DT128" s="4">
        <f t="shared" si="471"/>
        <v>1</v>
      </c>
      <c r="DU128" s="4">
        <f t="shared" si="472"/>
        <v>1</v>
      </c>
      <c r="DV128" s="4">
        <f t="shared" si="504"/>
        <v>1</v>
      </c>
      <c r="DX128" s="4" t="e">
        <f t="shared" si="473"/>
        <v>#REF!</v>
      </c>
      <c r="DY128" s="25" t="e">
        <f t="shared" si="505"/>
        <v>#REF!</v>
      </c>
      <c r="EB128" s="4">
        <f t="shared" si="436"/>
        <v>4.3184114203497916</v>
      </c>
      <c r="EC128" s="4">
        <f t="shared" si="474"/>
        <v>4.3184114203497916</v>
      </c>
      <c r="EE128" s="4">
        <f t="shared" si="475"/>
        <v>63.951544156493995</v>
      </c>
      <c r="EF128" s="4">
        <f t="shared" ref="EF128:EF164" si="520">R128^0.5</f>
        <v>2.2360679774997898</v>
      </c>
      <c r="EG128" s="4" t="e">
        <f t="shared" si="476"/>
        <v>#REF!</v>
      </c>
      <c r="EJ128" s="4" t="e">
        <f t="shared" si="506"/>
        <v>#REF!</v>
      </c>
      <c r="EK128" s="4" t="e">
        <f t="shared" si="477"/>
        <v>#REF!</v>
      </c>
      <c r="EL128" s="4" t="e">
        <f t="shared" ref="EL128:EL164" si="521">EB128/1*EK128^0.4</f>
        <v>#REF!</v>
      </c>
      <c r="EM128" s="4" t="e">
        <f t="shared" si="507"/>
        <v>#REF!</v>
      </c>
      <c r="EN128" s="4" t="e">
        <f t="shared" ref="EN128:EN147" si="522">MAX(0,DC128*EN$9-EE128)</f>
        <v>#REF!</v>
      </c>
      <c r="EO128" s="4" t="e">
        <f t="shared" ref="EO128:EO147" si="523">MAX(0,DC128-EE128-EN128)</f>
        <v>#REF!</v>
      </c>
      <c r="EP128" s="4" t="e">
        <f t="shared" si="478"/>
        <v>#REF!</v>
      </c>
      <c r="EQ128" s="4" t="e">
        <f t="shared" si="508"/>
        <v>#REF!</v>
      </c>
      <c r="ER128" s="4" t="e">
        <f t="shared" si="479"/>
        <v>#REF!</v>
      </c>
      <c r="ES128" s="4" t="e">
        <f t="shared" ref="ES128:ES147" si="524">IF(DD128&lt;=EN$9, MAX(0,DC128*DD128-EE128), MAX(0,DC128*EN$9-EE128))</f>
        <v>#REF!</v>
      </c>
      <c r="ET128" s="4" t="e">
        <f t="shared" ref="ET128:ET147" si="525">MAX(0, DC128*DD128-ES128-EE128)</f>
        <v>#REF!</v>
      </c>
      <c r="EV128" s="4" t="e">
        <f t="shared" si="489"/>
        <v>#REF!</v>
      </c>
      <c r="FA128" s="23" t="e">
        <f t="shared" si="490"/>
        <v>#REF!</v>
      </c>
      <c r="FB128" s="23" t="e">
        <f t="shared" si="491"/>
        <v>#REF!</v>
      </c>
      <c r="FC128" s="23" t="e">
        <f t="shared" si="290"/>
        <v>#REF!</v>
      </c>
      <c r="FD128" s="23" t="e">
        <f t="shared" si="492"/>
        <v>#REF!</v>
      </c>
      <c r="FE128" s="23" t="e">
        <f t="shared" si="493"/>
        <v>#REF!</v>
      </c>
      <c r="FF128" s="23" t="e">
        <f t="shared" si="494"/>
        <v>#REF!</v>
      </c>
      <c r="FG128" s="23" t="e">
        <f t="shared" si="282"/>
        <v>#REF!</v>
      </c>
      <c r="FH128" s="23"/>
      <c r="FR128" s="4">
        <f t="shared" si="351"/>
        <v>1.25</v>
      </c>
      <c r="FS128" s="4">
        <f t="shared" si="352"/>
        <v>0.91666666666666663</v>
      </c>
      <c r="FT128" s="4">
        <f t="shared" si="353"/>
        <v>0</v>
      </c>
      <c r="FU128" s="4" t="e">
        <f t="shared" si="354"/>
        <v>#REF!</v>
      </c>
      <c r="FX128" s="4">
        <f>IF(AA128&gt;1, 0.05*(18-MIN(8,(K128+G128)/G128))*(1-29.3/MAX(60000/145,(D128))*(G128)^0.75*FT128), 1/12*(14-MIN(8,(K128+G128)/G128)))</f>
        <v>0.91666666666666663</v>
      </c>
    </row>
    <row r="129" spans="2:177" ht="12" customHeight="1" x14ac:dyDescent="0.3">
      <c r="B129" s="24"/>
      <c r="C129" s="7" t="s">
        <v>133</v>
      </c>
      <c r="D129" s="7">
        <v>710</v>
      </c>
      <c r="E129" s="7" t="e">
        <f>G129*#REF!</f>
        <v>#REF!</v>
      </c>
      <c r="F129" s="7">
        <v>41.4</v>
      </c>
      <c r="G129" s="7">
        <v>28.6</v>
      </c>
      <c r="H129" s="7">
        <v>406</v>
      </c>
      <c r="I129" s="7">
        <f>G129*2</f>
        <v>57.2</v>
      </c>
      <c r="J129" s="7"/>
      <c r="K129" s="7">
        <f>2*G129</f>
        <v>57.2</v>
      </c>
      <c r="L129" s="7">
        <v>2</v>
      </c>
      <c r="M129" s="7">
        <f t="shared" si="495"/>
        <v>58.2</v>
      </c>
      <c r="N129" s="7">
        <f t="shared" si="510"/>
        <v>1.5</v>
      </c>
      <c r="O129" s="7">
        <f t="shared" si="496"/>
        <v>2.5</v>
      </c>
      <c r="P129" s="7">
        <f t="shared" si="509"/>
        <v>4</v>
      </c>
      <c r="Q129" s="7">
        <f t="shared" si="511"/>
        <v>4</v>
      </c>
      <c r="R129" s="7">
        <v>5</v>
      </c>
      <c r="S129" s="7">
        <f t="shared" si="447"/>
        <v>63.951544156493995</v>
      </c>
      <c r="T129" s="7"/>
      <c r="U129" s="7"/>
      <c r="V129" s="7">
        <v>379</v>
      </c>
      <c r="W129" s="7"/>
      <c r="X129" s="7" t="e">
        <f t="shared" si="482"/>
        <v>#REF!</v>
      </c>
      <c r="Y129" s="7"/>
      <c r="Z129" s="7"/>
      <c r="AA129" s="7">
        <v>1</v>
      </c>
      <c r="AB129" s="7"/>
      <c r="AC129" s="7"/>
      <c r="AD129" s="7"/>
      <c r="AE129" s="4" t="e">
        <f t="shared" si="483"/>
        <v>#REF!</v>
      </c>
      <c r="AF129" s="46" t="e">
        <f t="shared" si="497"/>
        <v>#REF!</v>
      </c>
      <c r="AG129" s="25" t="e">
        <f t="shared" si="448"/>
        <v>#REF!</v>
      </c>
      <c r="AH129" s="4" t="e">
        <f t="shared" si="449"/>
        <v>#REF!</v>
      </c>
      <c r="AI129" s="4">
        <v>1.25</v>
      </c>
      <c r="AJ129" s="25">
        <f t="shared" si="438"/>
        <v>5</v>
      </c>
      <c r="AK129" s="38" t="e">
        <f t="shared" si="480"/>
        <v>#REF!</v>
      </c>
      <c r="AL129" s="38" t="e">
        <f t="shared" si="356"/>
        <v>#REF!</v>
      </c>
      <c r="AN129" s="38" t="e">
        <f t="shared" si="498"/>
        <v>#REF!</v>
      </c>
      <c r="AO129" s="38" t="e">
        <f t="shared" si="316"/>
        <v>#REF!</v>
      </c>
      <c r="AP129" s="38" t="e">
        <f t="shared" si="357"/>
        <v>#REF!</v>
      </c>
      <c r="AQ129" s="4" t="e">
        <f t="shared" si="443"/>
        <v>#REF!</v>
      </c>
      <c r="AR129" s="4" t="e">
        <f>#REF!/G129*F129^0.5/0.19</f>
        <v>#REF!</v>
      </c>
      <c r="AS129" s="4">
        <f t="shared" si="450"/>
        <v>1.2666666666666666</v>
      </c>
      <c r="AT129" s="38">
        <f t="shared" si="451"/>
        <v>314.63999999999993</v>
      </c>
      <c r="AU129" s="4">
        <f t="shared" si="452"/>
        <v>0.44000000000000006</v>
      </c>
      <c r="AV129" s="4" t="e">
        <f>AU129*D129*#REF!/(D129*G129/2.75/F129^0.5)</f>
        <v>#REF!</v>
      </c>
      <c r="AW129" s="4" t="e">
        <f t="shared" si="499"/>
        <v>#REF!</v>
      </c>
      <c r="AY129" s="36">
        <f t="shared" si="428"/>
        <v>1.1000000000000001</v>
      </c>
      <c r="AZ129" s="36" t="e">
        <f>(1.6*#REF!+22)*AY129*F129^0.5</f>
        <v>#REF!</v>
      </c>
      <c r="BE129" s="4">
        <f t="shared" si="453"/>
        <v>35</v>
      </c>
      <c r="BF129" s="4">
        <f t="shared" si="454"/>
        <v>35</v>
      </c>
      <c r="BG129" s="4">
        <f t="shared" si="455"/>
        <v>58.2</v>
      </c>
      <c r="BH129" s="4">
        <f t="shared" si="456"/>
        <v>49.3</v>
      </c>
      <c r="BI129" s="4">
        <f t="shared" si="512"/>
        <v>1.0662857142857143</v>
      </c>
      <c r="BJ129" s="25">
        <f t="shared" si="457"/>
        <v>1.8380379620379617</v>
      </c>
      <c r="BL129" s="4">
        <f t="shared" si="458"/>
        <v>28.6</v>
      </c>
      <c r="BP129" s="9"/>
      <c r="BR129" s="9"/>
      <c r="BS129" s="9"/>
      <c r="BT129" s="9">
        <f t="shared" si="459"/>
        <v>28.6</v>
      </c>
      <c r="BU129" s="9">
        <f t="shared" si="460"/>
        <v>57.2</v>
      </c>
      <c r="BV129" s="9">
        <f t="shared" si="461"/>
        <v>1.1095694720678451</v>
      </c>
      <c r="BW129" s="9">
        <v>0</v>
      </c>
      <c r="BX129" s="9">
        <f t="shared" si="462"/>
        <v>0</v>
      </c>
      <c r="BY129" s="9">
        <f t="shared" si="500"/>
        <v>0</v>
      </c>
      <c r="BZ129" s="9">
        <f t="shared" si="463"/>
        <v>0.96044432035915817</v>
      </c>
      <c r="CA129" s="9">
        <f t="shared" si="464"/>
        <v>0.74299999999999999</v>
      </c>
      <c r="CB129" s="9">
        <f t="shared" si="465"/>
        <v>1.6070493790635749</v>
      </c>
      <c r="CC129" s="9">
        <f t="shared" si="466"/>
        <v>1.783132931114529</v>
      </c>
      <c r="CD129" s="9">
        <v>1</v>
      </c>
      <c r="CE129" s="9" t="e">
        <f>4*CC129*#REF!+60*CC129</f>
        <v>#REF!</v>
      </c>
      <c r="CG129" s="4" t="e">
        <f t="shared" si="501"/>
        <v>#REF!</v>
      </c>
      <c r="CH129" s="4" t="e">
        <f t="shared" si="502"/>
        <v>#REF!</v>
      </c>
      <c r="CI129" s="4" t="e">
        <f t="shared" si="267"/>
        <v>#REF!</v>
      </c>
      <c r="CJ129" s="4" t="e">
        <f t="shared" si="484"/>
        <v>#REF!</v>
      </c>
      <c r="CK129" s="4" t="e">
        <f t="shared" si="269"/>
        <v>#REF!</v>
      </c>
      <c r="CL129" s="4" t="e">
        <f t="shared" si="270"/>
        <v>#REF!</v>
      </c>
      <c r="CM129" s="4" t="e">
        <f t="shared" si="481"/>
        <v>#REF!</v>
      </c>
      <c r="CO129" s="4" t="e">
        <f t="shared" si="513"/>
        <v>#REF!</v>
      </c>
      <c r="CP129" s="4" t="e">
        <f t="shared" si="514"/>
        <v>#REF!</v>
      </c>
      <c r="CQ129" s="4" t="e">
        <f t="shared" si="515"/>
        <v>#REF!</v>
      </c>
      <c r="CR129" s="4" t="e">
        <f t="shared" si="503"/>
        <v>#REF!</v>
      </c>
      <c r="CS129" s="4" t="e">
        <f t="shared" si="516"/>
        <v>#REF!</v>
      </c>
      <c r="CT129" s="4" t="e">
        <f t="shared" si="517"/>
        <v>#REF!</v>
      </c>
      <c r="DB129" s="4">
        <f t="shared" si="518"/>
        <v>0</v>
      </c>
      <c r="DC129" s="4" t="e">
        <f t="shared" si="467"/>
        <v>#REF!</v>
      </c>
      <c r="DD129" s="4" t="e">
        <f>#REF!/E129</f>
        <v>#REF!</v>
      </c>
      <c r="DF129" s="4" t="e">
        <f t="shared" si="468"/>
        <v>#REF!</v>
      </c>
      <c r="DG129" s="4">
        <f t="shared" si="519"/>
        <v>4.3184114203497916</v>
      </c>
      <c r="DH129" s="4" t="e">
        <f t="shared" si="486"/>
        <v>#REF!</v>
      </c>
      <c r="DI129" s="4" t="e">
        <f t="shared" si="359"/>
        <v>#REF!</v>
      </c>
      <c r="DJ129" s="4" t="e">
        <f t="shared" si="360"/>
        <v>#REF!</v>
      </c>
      <c r="DK129" s="4" t="e">
        <f t="shared" si="487"/>
        <v>#REF!</v>
      </c>
      <c r="DL129" s="38" t="e">
        <f t="shared" si="469"/>
        <v>#REF!</v>
      </c>
      <c r="DM129" s="4" t="e">
        <f t="shared" si="361"/>
        <v>#REF!</v>
      </c>
      <c r="DN129" s="4">
        <f t="shared" si="488"/>
        <v>2.2360679774997898</v>
      </c>
      <c r="DO129" s="4" t="e">
        <f t="shared" si="363"/>
        <v>#REF!</v>
      </c>
      <c r="DS129" s="4">
        <f t="shared" si="470"/>
        <v>1</v>
      </c>
      <c r="DT129" s="4">
        <f t="shared" si="471"/>
        <v>1</v>
      </c>
      <c r="DU129" s="4">
        <f t="shared" si="472"/>
        <v>1</v>
      </c>
      <c r="DV129" s="4">
        <f t="shared" si="504"/>
        <v>1</v>
      </c>
      <c r="DX129" s="4" t="e">
        <f t="shared" si="473"/>
        <v>#REF!</v>
      </c>
      <c r="DY129" s="25" t="e">
        <f t="shared" si="505"/>
        <v>#REF!</v>
      </c>
      <c r="EB129" s="4">
        <f t="shared" si="436"/>
        <v>4.3184114203497916</v>
      </c>
      <c r="EC129" s="4">
        <f t="shared" si="474"/>
        <v>4.3184114203497916</v>
      </c>
      <c r="EE129" s="4">
        <f t="shared" si="475"/>
        <v>63.951544156493995</v>
      </c>
      <c r="EF129" s="4">
        <f t="shared" si="520"/>
        <v>2.2360679774997898</v>
      </c>
      <c r="EG129" s="4" t="e">
        <f t="shared" si="476"/>
        <v>#REF!</v>
      </c>
      <c r="EJ129" s="4" t="e">
        <f t="shared" si="506"/>
        <v>#REF!</v>
      </c>
      <c r="EK129" s="4" t="e">
        <f t="shared" si="477"/>
        <v>#REF!</v>
      </c>
      <c r="EL129" s="4" t="e">
        <f t="shared" si="521"/>
        <v>#REF!</v>
      </c>
      <c r="EM129" s="4" t="e">
        <f t="shared" si="507"/>
        <v>#REF!</v>
      </c>
      <c r="EN129" s="4" t="e">
        <f t="shared" si="522"/>
        <v>#REF!</v>
      </c>
      <c r="EO129" s="4" t="e">
        <f t="shared" si="523"/>
        <v>#REF!</v>
      </c>
      <c r="EP129" s="4" t="e">
        <f t="shared" si="478"/>
        <v>#REF!</v>
      </c>
      <c r="EQ129" s="4" t="e">
        <f t="shared" si="508"/>
        <v>#REF!</v>
      </c>
      <c r="ER129" s="4" t="e">
        <f t="shared" si="479"/>
        <v>#REF!</v>
      </c>
      <c r="ES129" s="4" t="e">
        <f t="shared" si="524"/>
        <v>#REF!</v>
      </c>
      <c r="ET129" s="4" t="e">
        <f t="shared" si="525"/>
        <v>#REF!</v>
      </c>
      <c r="EV129" s="4" t="e">
        <f t="shared" si="489"/>
        <v>#REF!</v>
      </c>
      <c r="FA129" s="23" t="e">
        <f t="shared" si="490"/>
        <v>#REF!</v>
      </c>
      <c r="FB129" s="23" t="e">
        <f t="shared" si="491"/>
        <v>#REF!</v>
      </c>
      <c r="FC129" s="23" t="e">
        <f t="shared" si="290"/>
        <v>#REF!</v>
      </c>
      <c r="FD129" s="23" t="e">
        <f t="shared" si="492"/>
        <v>#REF!</v>
      </c>
      <c r="FE129" s="23" t="e">
        <f t="shared" si="493"/>
        <v>#REF!</v>
      </c>
      <c r="FF129" s="23" t="e">
        <f t="shared" si="494"/>
        <v>#REF!</v>
      </c>
      <c r="FG129" s="23" t="e">
        <f t="shared" si="282"/>
        <v>#REF!</v>
      </c>
      <c r="FH129" s="23"/>
      <c r="FR129" s="4">
        <f t="shared" si="351"/>
        <v>1.25</v>
      </c>
      <c r="FS129" s="4">
        <f t="shared" si="352"/>
        <v>0.91666666666666663</v>
      </c>
      <c r="FT129" s="4">
        <f t="shared" si="353"/>
        <v>0</v>
      </c>
      <c r="FU129" s="4" t="e">
        <f t="shared" si="354"/>
        <v>#REF!</v>
      </c>
    </row>
    <row r="130" spans="2:177" ht="12" customHeight="1" x14ac:dyDescent="0.3">
      <c r="B130" s="24"/>
      <c r="C130" s="7" t="s">
        <v>141</v>
      </c>
      <c r="D130" s="7">
        <v>710</v>
      </c>
      <c r="E130" s="7" t="e">
        <f>G130*#REF!</f>
        <v>#REF!</v>
      </c>
      <c r="F130" s="7">
        <v>40.1</v>
      </c>
      <c r="G130" s="7">
        <v>28.6</v>
      </c>
      <c r="H130" s="7">
        <v>406</v>
      </c>
      <c r="I130" s="7">
        <f>G130*3.5</f>
        <v>100.10000000000001</v>
      </c>
      <c r="J130" s="7"/>
      <c r="K130" s="7">
        <f t="shared" ref="K130:K147" si="526">1*G130</f>
        <v>28.6</v>
      </c>
      <c r="L130" s="7">
        <v>2</v>
      </c>
      <c r="M130" s="7">
        <f t="shared" si="495"/>
        <v>58.2</v>
      </c>
      <c r="N130" s="7">
        <f t="shared" si="510"/>
        <v>1</v>
      </c>
      <c r="O130" s="7">
        <f t="shared" si="496"/>
        <v>2.534965034965035</v>
      </c>
      <c r="P130" s="7">
        <f t="shared" si="509"/>
        <v>4</v>
      </c>
      <c r="Q130" s="7">
        <f t="shared" si="511"/>
        <v>4</v>
      </c>
      <c r="R130" s="7">
        <v>5</v>
      </c>
      <c r="S130" s="7">
        <f t="shared" si="447"/>
        <v>63.951544156493995</v>
      </c>
      <c r="T130" s="7"/>
      <c r="U130" s="7"/>
      <c r="V130" s="7">
        <v>366</v>
      </c>
      <c r="W130" s="7"/>
      <c r="X130" s="7" t="e">
        <f t="shared" si="482"/>
        <v>#REF!</v>
      </c>
      <c r="Y130" s="7"/>
      <c r="Z130" s="7"/>
      <c r="AA130" s="7">
        <v>1</v>
      </c>
      <c r="AB130" s="7"/>
      <c r="AC130" s="7"/>
      <c r="AD130" s="7"/>
      <c r="AE130" s="4" t="e">
        <f t="shared" si="483"/>
        <v>#REF!</v>
      </c>
      <c r="AF130" s="46" t="e">
        <f t="shared" si="497"/>
        <v>#REF!</v>
      </c>
      <c r="AG130" s="25" t="e">
        <f t="shared" si="448"/>
        <v>#REF!</v>
      </c>
      <c r="AH130" s="4" t="e">
        <f t="shared" si="449"/>
        <v>#REF!</v>
      </c>
      <c r="AI130" s="4">
        <v>1.25</v>
      </c>
      <c r="AJ130" s="25">
        <f t="shared" si="438"/>
        <v>5</v>
      </c>
      <c r="AK130" s="38" t="e">
        <f t="shared" si="480"/>
        <v>#REF!</v>
      </c>
      <c r="AL130" s="38" t="e">
        <f t="shared" si="356"/>
        <v>#REF!</v>
      </c>
      <c r="AN130" s="38" t="e">
        <f t="shared" si="498"/>
        <v>#REF!</v>
      </c>
      <c r="AO130" s="38" t="e">
        <f t="shared" si="316"/>
        <v>#REF!</v>
      </c>
      <c r="AP130" s="38" t="e">
        <f t="shared" si="357"/>
        <v>#REF!</v>
      </c>
      <c r="AQ130" s="4" t="e">
        <f t="shared" si="443"/>
        <v>#REF!</v>
      </c>
      <c r="AR130" s="4" t="e">
        <f>#REF!/G130*F130^0.5/0.19</f>
        <v>#REF!</v>
      </c>
      <c r="AS130" s="4">
        <f t="shared" si="450"/>
        <v>1.6139860139860138</v>
      </c>
      <c r="AT130" s="38">
        <f t="shared" si="451"/>
        <v>258.88335664335665</v>
      </c>
      <c r="AU130" s="4">
        <f t="shared" si="452"/>
        <v>0.44000000000000006</v>
      </c>
      <c r="AV130" s="4" t="e">
        <f>AU130*D130*#REF!/(D130*G130/2.75/F130^0.5)</f>
        <v>#REF!</v>
      </c>
      <c r="AW130" s="4" t="e">
        <f t="shared" si="499"/>
        <v>#REF!</v>
      </c>
      <c r="AY130" s="36">
        <f t="shared" si="428"/>
        <v>1.25</v>
      </c>
      <c r="AZ130" s="36" t="e">
        <f>(1.6*#REF!+22)*AY130*F130^0.5</f>
        <v>#REF!</v>
      </c>
      <c r="BE130" s="4">
        <f t="shared" si="453"/>
        <v>20.700000000000003</v>
      </c>
      <c r="BF130" s="4">
        <f t="shared" si="454"/>
        <v>20.700000000000003</v>
      </c>
      <c r="BG130" s="4">
        <f t="shared" si="455"/>
        <v>58.2</v>
      </c>
      <c r="BH130" s="4">
        <f t="shared" si="456"/>
        <v>35</v>
      </c>
      <c r="BI130" s="4">
        <f t="shared" si="512"/>
        <v>1.181159420289855</v>
      </c>
      <c r="BJ130" s="25">
        <f t="shared" si="457"/>
        <v>1.4454748150400323</v>
      </c>
      <c r="BL130" s="4">
        <f t="shared" si="458"/>
        <v>14.3</v>
      </c>
      <c r="BP130" s="9"/>
      <c r="BR130" s="9"/>
      <c r="BS130" s="9"/>
      <c r="BT130" s="9">
        <f t="shared" si="459"/>
        <v>14.3</v>
      </c>
      <c r="BU130" s="9">
        <f t="shared" si="460"/>
        <v>100.10000000000001</v>
      </c>
      <c r="BV130" s="9">
        <f t="shared" si="461"/>
        <v>0.94678137986575273</v>
      </c>
      <c r="BW130" s="9">
        <v>0</v>
      </c>
      <c r="BX130" s="9">
        <f t="shared" si="462"/>
        <v>0</v>
      </c>
      <c r="BY130" s="9">
        <f t="shared" si="500"/>
        <v>0</v>
      </c>
      <c r="BZ130" s="9">
        <f t="shared" si="463"/>
        <v>0.96044432035915817</v>
      </c>
      <c r="CA130" s="9">
        <f t="shared" si="464"/>
        <v>0.74299999999999999</v>
      </c>
      <c r="CB130" s="9">
        <f t="shared" si="465"/>
        <v>1.5816166822222031</v>
      </c>
      <c r="CC130" s="9">
        <f t="shared" si="466"/>
        <v>1.4974452248130312</v>
      </c>
      <c r="CD130" s="9">
        <v>1</v>
      </c>
      <c r="CE130" s="9" t="e">
        <f>4*CC130*#REF!+60*CC130</f>
        <v>#REF!</v>
      </c>
      <c r="CG130" s="4" t="e">
        <f t="shared" si="501"/>
        <v>#REF!</v>
      </c>
      <c r="CH130" s="4" t="e">
        <f t="shared" si="502"/>
        <v>#REF!</v>
      </c>
      <c r="CI130" s="4" t="e">
        <f t="shared" si="267"/>
        <v>#REF!</v>
      </c>
      <c r="CJ130" s="4" t="e">
        <f t="shared" si="484"/>
        <v>#REF!</v>
      </c>
      <c r="CK130" s="4" t="e">
        <f t="shared" si="269"/>
        <v>#REF!</v>
      </c>
      <c r="CL130" s="4" t="e">
        <f t="shared" si="270"/>
        <v>#REF!</v>
      </c>
      <c r="CM130" s="4" t="e">
        <f t="shared" si="481"/>
        <v>#REF!</v>
      </c>
      <c r="CO130" s="4" t="e">
        <f t="shared" si="513"/>
        <v>#REF!</v>
      </c>
      <c r="CP130" s="4" t="e">
        <f t="shared" si="514"/>
        <v>#REF!</v>
      </c>
      <c r="CQ130" s="4" t="e">
        <f t="shared" si="515"/>
        <v>#REF!</v>
      </c>
      <c r="CR130" s="4" t="e">
        <f t="shared" si="503"/>
        <v>#REF!</v>
      </c>
      <c r="CS130" s="4" t="e">
        <f t="shared" si="516"/>
        <v>#REF!</v>
      </c>
      <c r="CT130" s="4" t="e">
        <f t="shared" si="517"/>
        <v>#REF!</v>
      </c>
      <c r="DB130" s="4">
        <f t="shared" si="518"/>
        <v>0</v>
      </c>
      <c r="DC130" s="4" t="e">
        <f t="shared" si="467"/>
        <v>#REF!</v>
      </c>
      <c r="DD130" s="4" t="e">
        <f>#REF!/E130</f>
        <v>#REF!</v>
      </c>
      <c r="DF130" s="4" t="e">
        <f t="shared" si="468"/>
        <v>#REF!</v>
      </c>
      <c r="DG130" s="4">
        <f t="shared" si="519"/>
        <v>3.3423512159494768</v>
      </c>
      <c r="DH130" s="4" t="e">
        <f t="shared" si="486"/>
        <v>#REF!</v>
      </c>
      <c r="DI130" s="4" t="e">
        <f t="shared" si="359"/>
        <v>#REF!</v>
      </c>
      <c r="DJ130" s="4" t="e">
        <f t="shared" si="360"/>
        <v>#REF!</v>
      </c>
      <c r="DK130" s="4" t="e">
        <f t="shared" si="487"/>
        <v>#REF!</v>
      </c>
      <c r="DL130" s="38" t="e">
        <f t="shared" si="469"/>
        <v>#REF!</v>
      </c>
      <c r="DM130" s="4" t="e">
        <f t="shared" si="361"/>
        <v>#REF!</v>
      </c>
      <c r="DN130" s="4">
        <f t="shared" si="488"/>
        <v>2.2360679774997898</v>
      </c>
      <c r="DO130" s="4" t="e">
        <f t="shared" si="363"/>
        <v>#REF!</v>
      </c>
      <c r="DS130" s="4">
        <f t="shared" si="470"/>
        <v>1</v>
      </c>
      <c r="DT130" s="4">
        <f t="shared" si="471"/>
        <v>1</v>
      </c>
      <c r="DU130" s="4">
        <f t="shared" si="472"/>
        <v>1</v>
      </c>
      <c r="DV130" s="4">
        <f t="shared" si="504"/>
        <v>1</v>
      </c>
      <c r="DX130" s="4" t="e">
        <f t="shared" si="473"/>
        <v>#REF!</v>
      </c>
      <c r="DY130" s="25" t="e">
        <f t="shared" si="505"/>
        <v>#REF!</v>
      </c>
      <c r="EB130" s="4">
        <f t="shared" si="436"/>
        <v>3.3423512159494768</v>
      </c>
      <c r="EC130" s="4">
        <f t="shared" si="474"/>
        <v>3.3423512159494768</v>
      </c>
      <c r="EE130" s="4">
        <f t="shared" si="475"/>
        <v>63.951544156493995</v>
      </c>
      <c r="EF130" s="4">
        <f t="shared" si="520"/>
        <v>2.2360679774997898</v>
      </c>
      <c r="EG130" s="4" t="e">
        <f t="shared" si="476"/>
        <v>#REF!</v>
      </c>
      <c r="EJ130" s="4" t="e">
        <f t="shared" si="506"/>
        <v>#REF!</v>
      </c>
      <c r="EK130" s="4" t="e">
        <f t="shared" si="477"/>
        <v>#REF!</v>
      </c>
      <c r="EL130" s="4" t="e">
        <f t="shared" si="521"/>
        <v>#REF!</v>
      </c>
      <c r="EM130" s="4" t="e">
        <f t="shared" si="507"/>
        <v>#REF!</v>
      </c>
      <c r="EN130" s="4" t="e">
        <f t="shared" si="522"/>
        <v>#REF!</v>
      </c>
      <c r="EO130" s="4" t="e">
        <f t="shared" si="523"/>
        <v>#REF!</v>
      </c>
      <c r="EP130" s="4" t="e">
        <f t="shared" si="478"/>
        <v>#REF!</v>
      </c>
      <c r="EQ130" s="4" t="e">
        <f t="shared" si="508"/>
        <v>#REF!</v>
      </c>
      <c r="ER130" s="4" t="e">
        <f t="shared" si="479"/>
        <v>#REF!</v>
      </c>
      <c r="ES130" s="4" t="e">
        <f t="shared" si="524"/>
        <v>#REF!</v>
      </c>
      <c r="ET130" s="4" t="e">
        <f t="shared" si="525"/>
        <v>#REF!</v>
      </c>
      <c r="EV130" s="4" t="e">
        <f t="shared" si="489"/>
        <v>#REF!</v>
      </c>
      <c r="FA130" s="23" t="e">
        <f t="shared" si="490"/>
        <v>#REF!</v>
      </c>
      <c r="FB130" s="23" t="e">
        <f t="shared" si="491"/>
        <v>#REF!</v>
      </c>
      <c r="FC130" s="23" t="e">
        <f t="shared" ref="FC130:FC153" si="527">IF(CM130&lt;0.6,0.6,IF(CM130&lt;0.8,0.8,IF(CM130&lt;1,1,IF(CM130&lt;1.2,1.2,IF(CM130&lt;1.4,1.4,IF(CM130&lt;1.6,1.6,IF(CM130&lt;1.8,1.8,IF(CM130&lt;2,2,2.2))))))))</f>
        <v>#REF!</v>
      </c>
      <c r="FD130" s="23" t="e">
        <f t="shared" si="492"/>
        <v>#REF!</v>
      </c>
      <c r="FE130" s="23" t="e">
        <f t="shared" si="493"/>
        <v>#REF!</v>
      </c>
      <c r="FF130" s="23" t="e">
        <f t="shared" si="494"/>
        <v>#REF!</v>
      </c>
      <c r="FG130" s="23" t="e">
        <f t="shared" si="282"/>
        <v>#REF!</v>
      </c>
      <c r="FH130" s="23"/>
      <c r="FR130" s="4">
        <f t="shared" si="351"/>
        <v>1</v>
      </c>
      <c r="FS130" s="4">
        <f t="shared" si="352"/>
        <v>1</v>
      </c>
      <c r="FT130" s="4">
        <f t="shared" si="353"/>
        <v>0</v>
      </c>
      <c r="FU130" s="4" t="e">
        <f t="shared" si="354"/>
        <v>#REF!</v>
      </c>
    </row>
    <row r="131" spans="2:177" ht="12" customHeight="1" x14ac:dyDescent="0.3">
      <c r="B131" s="24"/>
      <c r="C131" s="7" t="s">
        <v>142</v>
      </c>
      <c r="D131" s="7">
        <v>710</v>
      </c>
      <c r="E131" s="7" t="e">
        <f>G131*#REF!</f>
        <v>#REF!</v>
      </c>
      <c r="F131" s="7">
        <v>40.1</v>
      </c>
      <c r="G131" s="7">
        <v>28.6</v>
      </c>
      <c r="H131" s="7">
        <v>406</v>
      </c>
      <c r="I131" s="7">
        <f>G131*3.5</f>
        <v>100.10000000000001</v>
      </c>
      <c r="J131" s="7"/>
      <c r="K131" s="7">
        <f t="shared" si="526"/>
        <v>28.6</v>
      </c>
      <c r="L131" s="7">
        <v>2</v>
      </c>
      <c r="M131" s="7">
        <f t="shared" si="495"/>
        <v>58.2</v>
      </c>
      <c r="N131" s="7">
        <f t="shared" si="510"/>
        <v>1</v>
      </c>
      <c r="O131" s="7">
        <f t="shared" si="496"/>
        <v>2.534965034965035</v>
      </c>
      <c r="P131" s="7">
        <f t="shared" si="509"/>
        <v>4</v>
      </c>
      <c r="Q131" s="7">
        <f t="shared" si="511"/>
        <v>4</v>
      </c>
      <c r="R131" s="7">
        <v>5</v>
      </c>
      <c r="S131" s="7">
        <f t="shared" si="447"/>
        <v>63.951544156493995</v>
      </c>
      <c r="T131" s="7"/>
      <c r="U131" s="7"/>
      <c r="V131" s="7">
        <v>442</v>
      </c>
      <c r="W131" s="7"/>
      <c r="X131" s="7" t="e">
        <f t="shared" si="482"/>
        <v>#REF!</v>
      </c>
      <c r="Y131" s="7"/>
      <c r="Z131" s="7"/>
      <c r="AA131" s="7">
        <v>1</v>
      </c>
      <c r="AB131" s="7"/>
      <c r="AC131" s="7"/>
      <c r="AD131" s="7"/>
      <c r="AE131" s="4" t="e">
        <f t="shared" si="483"/>
        <v>#REF!</v>
      </c>
      <c r="AF131" s="46" t="e">
        <f t="shared" si="497"/>
        <v>#REF!</v>
      </c>
      <c r="AG131" s="25" t="e">
        <f t="shared" si="448"/>
        <v>#REF!</v>
      </c>
      <c r="AH131" s="4" t="e">
        <f t="shared" si="449"/>
        <v>#REF!</v>
      </c>
      <c r="AI131" s="4">
        <v>1.25</v>
      </c>
      <c r="AJ131" s="25">
        <f t="shared" si="438"/>
        <v>5</v>
      </c>
      <c r="AK131" s="38" t="e">
        <f t="shared" si="480"/>
        <v>#REF!</v>
      </c>
      <c r="AL131" s="38" t="e">
        <f t="shared" si="356"/>
        <v>#REF!</v>
      </c>
      <c r="AN131" s="38" t="e">
        <f t="shared" si="498"/>
        <v>#REF!</v>
      </c>
      <c r="AO131" s="38" t="e">
        <f t="shared" si="316"/>
        <v>#REF!</v>
      </c>
      <c r="AP131" s="38" t="e">
        <f t="shared" si="357"/>
        <v>#REF!</v>
      </c>
      <c r="AQ131" s="4" t="e">
        <f t="shared" si="443"/>
        <v>#REF!</v>
      </c>
      <c r="AR131" s="4" t="e">
        <f>#REF!/G131*F131^0.5/0.19</f>
        <v>#REF!</v>
      </c>
      <c r="AS131" s="4">
        <f t="shared" si="450"/>
        <v>1.6139860139860138</v>
      </c>
      <c r="AT131" s="38">
        <f t="shared" si="451"/>
        <v>258.88335664335665</v>
      </c>
      <c r="AU131" s="4">
        <f t="shared" si="452"/>
        <v>0.44000000000000006</v>
      </c>
      <c r="AV131" s="4" t="e">
        <f>AU131*D131*#REF!/(D131*G131/2.75/F131^0.5)</f>
        <v>#REF!</v>
      </c>
      <c r="AW131" s="4" t="e">
        <f t="shared" si="499"/>
        <v>#REF!</v>
      </c>
      <c r="AY131" s="36">
        <f t="shared" si="428"/>
        <v>1.25</v>
      </c>
      <c r="AZ131" s="36" t="e">
        <f>(1.6*#REF!+22)*AY131*F131^0.5</f>
        <v>#REF!</v>
      </c>
      <c r="BE131" s="4">
        <f t="shared" si="453"/>
        <v>20.700000000000003</v>
      </c>
      <c r="BF131" s="4">
        <f t="shared" si="454"/>
        <v>20.700000000000003</v>
      </c>
      <c r="BG131" s="4">
        <f t="shared" si="455"/>
        <v>58.2</v>
      </c>
      <c r="BH131" s="4">
        <f t="shared" si="456"/>
        <v>35</v>
      </c>
      <c r="BI131" s="4">
        <f t="shared" si="512"/>
        <v>1.181159420289855</v>
      </c>
      <c r="BJ131" s="25">
        <f t="shared" si="457"/>
        <v>1.4454748150400323</v>
      </c>
      <c r="BL131" s="4">
        <f t="shared" si="458"/>
        <v>14.3</v>
      </c>
      <c r="BP131" s="9"/>
      <c r="BR131" s="9"/>
      <c r="BS131" s="9"/>
      <c r="BT131" s="9">
        <f t="shared" si="459"/>
        <v>14.3</v>
      </c>
      <c r="BU131" s="9">
        <f t="shared" si="460"/>
        <v>100.10000000000001</v>
      </c>
      <c r="BV131" s="9">
        <f t="shared" si="461"/>
        <v>0.94678137986575273</v>
      </c>
      <c r="BW131" s="9">
        <v>0</v>
      </c>
      <c r="BX131" s="9">
        <f t="shared" si="462"/>
        <v>0</v>
      </c>
      <c r="BY131" s="9">
        <f t="shared" si="500"/>
        <v>0</v>
      </c>
      <c r="BZ131" s="9">
        <f t="shared" si="463"/>
        <v>0.96044432035915817</v>
      </c>
      <c r="CA131" s="9">
        <f t="shared" si="464"/>
        <v>0.74299999999999999</v>
      </c>
      <c r="CB131" s="9">
        <f t="shared" si="465"/>
        <v>1.5816166822222031</v>
      </c>
      <c r="CC131" s="9">
        <f t="shared" si="466"/>
        <v>1.4974452248130312</v>
      </c>
      <c r="CD131" s="9">
        <v>1</v>
      </c>
      <c r="CE131" s="9" t="e">
        <f>4*CC131*#REF!+60*CC131</f>
        <v>#REF!</v>
      </c>
      <c r="CG131" s="4" t="e">
        <f t="shared" si="501"/>
        <v>#REF!</v>
      </c>
      <c r="CH131" s="4" t="e">
        <f t="shared" si="502"/>
        <v>#REF!</v>
      </c>
      <c r="CI131" s="4" t="e">
        <f t="shared" si="267"/>
        <v>#REF!</v>
      </c>
      <c r="CJ131" s="4" t="e">
        <f t="shared" si="484"/>
        <v>#REF!</v>
      </c>
      <c r="CK131" s="4" t="e">
        <f t="shared" si="269"/>
        <v>#REF!</v>
      </c>
      <c r="CL131" s="4" t="e">
        <f t="shared" si="270"/>
        <v>#REF!</v>
      </c>
      <c r="CM131" s="4" t="e">
        <f t="shared" si="481"/>
        <v>#REF!</v>
      </c>
      <c r="CO131" s="4" t="e">
        <f t="shared" si="513"/>
        <v>#REF!</v>
      </c>
      <c r="CP131" s="4" t="e">
        <f t="shared" si="514"/>
        <v>#REF!</v>
      </c>
      <c r="CQ131" s="4" t="e">
        <f t="shared" si="515"/>
        <v>#REF!</v>
      </c>
      <c r="CR131" s="4" t="e">
        <f t="shared" si="503"/>
        <v>#REF!</v>
      </c>
      <c r="CS131" s="4" t="e">
        <f t="shared" si="516"/>
        <v>#REF!</v>
      </c>
      <c r="CT131" s="4" t="e">
        <f t="shared" si="517"/>
        <v>#REF!</v>
      </c>
      <c r="DB131" s="4">
        <f t="shared" si="518"/>
        <v>0</v>
      </c>
      <c r="DC131" s="4" t="e">
        <f t="shared" si="467"/>
        <v>#REF!</v>
      </c>
      <c r="DD131" s="4" t="e">
        <f>#REF!/E131</f>
        <v>#REF!</v>
      </c>
      <c r="DF131" s="4" t="e">
        <f t="shared" si="468"/>
        <v>#REF!</v>
      </c>
      <c r="DG131" s="4">
        <f t="shared" si="519"/>
        <v>3.3423512159494768</v>
      </c>
      <c r="DH131" s="4" t="e">
        <f t="shared" si="486"/>
        <v>#REF!</v>
      </c>
      <c r="DI131" s="4" t="e">
        <f t="shared" si="359"/>
        <v>#REF!</v>
      </c>
      <c r="DJ131" s="4" t="e">
        <f t="shared" si="360"/>
        <v>#REF!</v>
      </c>
      <c r="DK131" s="4" t="e">
        <f t="shared" si="487"/>
        <v>#REF!</v>
      </c>
      <c r="DL131" s="38" t="e">
        <f t="shared" si="469"/>
        <v>#REF!</v>
      </c>
      <c r="DM131" s="4" t="e">
        <f t="shared" si="361"/>
        <v>#REF!</v>
      </c>
      <c r="DN131" s="4">
        <f t="shared" si="488"/>
        <v>2.2360679774997898</v>
      </c>
      <c r="DO131" s="4" t="e">
        <f t="shared" si="363"/>
        <v>#REF!</v>
      </c>
      <c r="DS131" s="4">
        <f t="shared" si="470"/>
        <v>1</v>
      </c>
      <c r="DT131" s="4">
        <f t="shared" si="471"/>
        <v>1</v>
      </c>
      <c r="DU131" s="4">
        <f t="shared" si="472"/>
        <v>1</v>
      </c>
      <c r="DV131" s="4">
        <f t="shared" si="504"/>
        <v>1</v>
      </c>
      <c r="DX131" s="4" t="e">
        <f t="shared" si="473"/>
        <v>#REF!</v>
      </c>
      <c r="DY131" s="25" t="e">
        <f t="shared" si="505"/>
        <v>#REF!</v>
      </c>
      <c r="EB131" s="4">
        <f t="shared" si="436"/>
        <v>3.3423512159494768</v>
      </c>
      <c r="EC131" s="4">
        <f t="shared" si="474"/>
        <v>3.3423512159494768</v>
      </c>
      <c r="EE131" s="4">
        <f t="shared" si="475"/>
        <v>63.951544156493995</v>
      </c>
      <c r="EF131" s="4">
        <f t="shared" si="520"/>
        <v>2.2360679774997898</v>
      </c>
      <c r="EG131" s="4" t="e">
        <f t="shared" si="476"/>
        <v>#REF!</v>
      </c>
      <c r="EJ131" s="4" t="e">
        <f t="shared" si="506"/>
        <v>#REF!</v>
      </c>
      <c r="EK131" s="4" t="e">
        <f t="shared" si="477"/>
        <v>#REF!</v>
      </c>
      <c r="EL131" s="4" t="e">
        <f t="shared" si="521"/>
        <v>#REF!</v>
      </c>
      <c r="EM131" s="4" t="e">
        <f t="shared" si="507"/>
        <v>#REF!</v>
      </c>
      <c r="EN131" s="4" t="e">
        <f t="shared" si="522"/>
        <v>#REF!</v>
      </c>
      <c r="EO131" s="4" t="e">
        <f t="shared" si="523"/>
        <v>#REF!</v>
      </c>
      <c r="EP131" s="4" t="e">
        <f t="shared" si="478"/>
        <v>#REF!</v>
      </c>
      <c r="EQ131" s="4" t="e">
        <f t="shared" si="508"/>
        <v>#REF!</v>
      </c>
      <c r="ER131" s="4" t="e">
        <f t="shared" si="479"/>
        <v>#REF!</v>
      </c>
      <c r="ES131" s="4" t="e">
        <f t="shared" si="524"/>
        <v>#REF!</v>
      </c>
      <c r="ET131" s="4" t="e">
        <f t="shared" si="525"/>
        <v>#REF!</v>
      </c>
      <c r="EV131" s="4" t="e">
        <f t="shared" si="489"/>
        <v>#REF!</v>
      </c>
      <c r="FA131" s="23" t="e">
        <f t="shared" si="490"/>
        <v>#REF!</v>
      </c>
      <c r="FB131" s="23" t="e">
        <f t="shared" si="491"/>
        <v>#REF!</v>
      </c>
      <c r="FC131" s="23" t="e">
        <f t="shared" si="527"/>
        <v>#REF!</v>
      </c>
      <c r="FD131" s="23" t="e">
        <f t="shared" si="492"/>
        <v>#REF!</v>
      </c>
      <c r="FE131" s="23" t="e">
        <f t="shared" si="493"/>
        <v>#REF!</v>
      </c>
      <c r="FF131" s="23" t="e">
        <f t="shared" si="494"/>
        <v>#REF!</v>
      </c>
      <c r="FG131" s="23" t="e">
        <f t="shared" si="282"/>
        <v>#REF!</v>
      </c>
      <c r="FH131" s="23"/>
      <c r="FR131" s="4">
        <f t="shared" si="351"/>
        <v>1</v>
      </c>
      <c r="FS131" s="4">
        <f t="shared" si="352"/>
        <v>1</v>
      </c>
      <c r="FT131" s="4">
        <f t="shared" si="353"/>
        <v>0</v>
      </c>
      <c r="FU131" s="4" t="e">
        <f t="shared" si="354"/>
        <v>#REF!</v>
      </c>
    </row>
    <row r="132" spans="2:177" ht="12" customHeight="1" x14ac:dyDescent="0.3">
      <c r="B132" s="24"/>
      <c r="C132" s="7" t="s">
        <v>143</v>
      </c>
      <c r="D132" s="7">
        <v>710</v>
      </c>
      <c r="E132" s="7" t="e">
        <f>G132*#REF!</f>
        <v>#REF!</v>
      </c>
      <c r="F132" s="7">
        <v>40.1</v>
      </c>
      <c r="G132" s="7">
        <v>28.6</v>
      </c>
      <c r="H132" s="7">
        <v>406</v>
      </c>
      <c r="I132" s="7">
        <f>G132*3.5</f>
        <v>100.10000000000001</v>
      </c>
      <c r="J132" s="7"/>
      <c r="K132" s="7">
        <f t="shared" si="526"/>
        <v>28.6</v>
      </c>
      <c r="L132" s="7">
        <v>2</v>
      </c>
      <c r="M132" s="7">
        <f t="shared" si="495"/>
        <v>58.2</v>
      </c>
      <c r="N132" s="7">
        <f t="shared" si="510"/>
        <v>1</v>
      </c>
      <c r="O132" s="7">
        <f t="shared" si="496"/>
        <v>2.534965034965035</v>
      </c>
      <c r="P132" s="7">
        <f t="shared" si="509"/>
        <v>4</v>
      </c>
      <c r="Q132" s="7">
        <f t="shared" si="511"/>
        <v>4</v>
      </c>
      <c r="R132" s="7">
        <v>5</v>
      </c>
      <c r="S132" s="7">
        <f t="shared" si="447"/>
        <v>63.951544156493995</v>
      </c>
      <c r="T132" s="7"/>
      <c r="U132" s="7"/>
      <c r="V132" s="7">
        <v>501</v>
      </c>
      <c r="W132" s="7"/>
      <c r="X132" s="7" t="e">
        <f t="shared" si="482"/>
        <v>#REF!</v>
      </c>
      <c r="Y132" s="7"/>
      <c r="Z132" s="7"/>
      <c r="AA132" s="7">
        <v>1</v>
      </c>
      <c r="AB132" s="7"/>
      <c r="AC132" s="7"/>
      <c r="AD132" s="7"/>
      <c r="AE132" s="4" t="e">
        <f t="shared" si="483"/>
        <v>#REF!</v>
      </c>
      <c r="AF132" s="46" t="e">
        <f t="shared" si="497"/>
        <v>#REF!</v>
      </c>
      <c r="AG132" s="25" t="e">
        <f t="shared" si="448"/>
        <v>#REF!</v>
      </c>
      <c r="AH132" s="4" t="e">
        <f t="shared" si="449"/>
        <v>#REF!</v>
      </c>
      <c r="AI132" s="4">
        <v>1.25</v>
      </c>
      <c r="AJ132" s="25">
        <f t="shared" si="438"/>
        <v>5</v>
      </c>
      <c r="AK132" s="38" t="e">
        <f t="shared" si="480"/>
        <v>#REF!</v>
      </c>
      <c r="AL132" s="38" t="e">
        <f t="shared" si="356"/>
        <v>#REF!</v>
      </c>
      <c r="AN132" s="38" t="e">
        <f t="shared" si="498"/>
        <v>#REF!</v>
      </c>
      <c r="AO132" s="38" t="e">
        <f t="shared" si="316"/>
        <v>#REF!</v>
      </c>
      <c r="AP132" s="38" t="e">
        <f t="shared" si="357"/>
        <v>#REF!</v>
      </c>
      <c r="AQ132" s="4" t="e">
        <f t="shared" si="443"/>
        <v>#REF!</v>
      </c>
      <c r="AR132" s="4" t="e">
        <f>#REF!/G132*F132^0.5/0.19</f>
        <v>#REF!</v>
      </c>
      <c r="AS132" s="4">
        <f t="shared" si="450"/>
        <v>1.6139860139860138</v>
      </c>
      <c r="AT132" s="38">
        <f t="shared" si="451"/>
        <v>258.88335664335665</v>
      </c>
      <c r="AU132" s="4">
        <f t="shared" si="452"/>
        <v>0.44000000000000006</v>
      </c>
      <c r="AV132" s="4" t="e">
        <f>AU132*D132*#REF!/(D132*G132/2.75/F132^0.5)</f>
        <v>#REF!</v>
      </c>
      <c r="AW132" s="4" t="e">
        <f t="shared" si="499"/>
        <v>#REF!</v>
      </c>
      <c r="AY132" s="36">
        <f t="shared" si="428"/>
        <v>1.25</v>
      </c>
      <c r="AZ132" s="36" t="e">
        <f>(1.6*#REF!+22)*AY132*F132^0.5</f>
        <v>#REF!</v>
      </c>
      <c r="BE132" s="4">
        <f t="shared" si="453"/>
        <v>20.700000000000003</v>
      </c>
      <c r="BF132" s="4">
        <f t="shared" si="454"/>
        <v>20.700000000000003</v>
      </c>
      <c r="BG132" s="4">
        <f t="shared" si="455"/>
        <v>58.2</v>
      </c>
      <c r="BH132" s="4">
        <f t="shared" si="456"/>
        <v>35</v>
      </c>
      <c r="BI132" s="4">
        <f t="shared" si="512"/>
        <v>1.181159420289855</v>
      </c>
      <c r="BJ132" s="25">
        <f t="shared" si="457"/>
        <v>1.4454748150400323</v>
      </c>
      <c r="BL132" s="4">
        <f t="shared" si="458"/>
        <v>14.3</v>
      </c>
      <c r="BP132" s="9"/>
      <c r="BR132" s="9"/>
      <c r="BS132" s="9"/>
      <c r="BT132" s="9">
        <f t="shared" si="459"/>
        <v>14.3</v>
      </c>
      <c r="BU132" s="9">
        <f t="shared" si="460"/>
        <v>100.10000000000001</v>
      </c>
      <c r="BV132" s="9">
        <f t="shared" si="461"/>
        <v>0.94678137986575273</v>
      </c>
      <c r="BW132" s="9">
        <v>0</v>
      </c>
      <c r="BX132" s="9">
        <f t="shared" si="462"/>
        <v>0</v>
      </c>
      <c r="BY132" s="9">
        <f t="shared" si="500"/>
        <v>0</v>
      </c>
      <c r="BZ132" s="9">
        <f t="shared" si="463"/>
        <v>0.96044432035915817</v>
      </c>
      <c r="CA132" s="9">
        <f t="shared" si="464"/>
        <v>0.74299999999999999</v>
      </c>
      <c r="CB132" s="9">
        <f t="shared" si="465"/>
        <v>1.5816166822222031</v>
      </c>
      <c r="CC132" s="9">
        <f t="shared" si="466"/>
        <v>1.4974452248130312</v>
      </c>
      <c r="CD132" s="9">
        <v>1</v>
      </c>
      <c r="CE132" s="9" t="e">
        <f>4*CC132*#REF!+60*CC132</f>
        <v>#REF!</v>
      </c>
      <c r="CG132" s="4" t="e">
        <f t="shared" si="501"/>
        <v>#REF!</v>
      </c>
      <c r="CH132" s="4" t="e">
        <f t="shared" si="502"/>
        <v>#REF!</v>
      </c>
      <c r="CI132" s="4" t="e">
        <f t="shared" si="267"/>
        <v>#REF!</v>
      </c>
      <c r="CJ132" s="4" t="e">
        <f t="shared" si="484"/>
        <v>#REF!</v>
      </c>
      <c r="CK132" s="4" t="e">
        <f t="shared" si="269"/>
        <v>#REF!</v>
      </c>
      <c r="CL132" s="4" t="e">
        <f t="shared" si="270"/>
        <v>#REF!</v>
      </c>
      <c r="CM132" s="4" t="e">
        <f t="shared" si="481"/>
        <v>#REF!</v>
      </c>
      <c r="CO132" s="4" t="e">
        <f t="shared" si="513"/>
        <v>#REF!</v>
      </c>
      <c r="CP132" s="4" t="e">
        <f t="shared" si="514"/>
        <v>#REF!</v>
      </c>
      <c r="CQ132" s="4" t="e">
        <f t="shared" si="515"/>
        <v>#REF!</v>
      </c>
      <c r="CR132" s="4" t="e">
        <f t="shared" si="503"/>
        <v>#REF!</v>
      </c>
      <c r="CS132" s="4" t="e">
        <f t="shared" si="516"/>
        <v>#REF!</v>
      </c>
      <c r="CT132" s="4" t="e">
        <f t="shared" si="517"/>
        <v>#REF!</v>
      </c>
      <c r="DB132" s="4">
        <f t="shared" si="518"/>
        <v>0</v>
      </c>
      <c r="DC132" s="4" t="e">
        <f t="shared" si="467"/>
        <v>#REF!</v>
      </c>
      <c r="DD132" s="4" t="e">
        <f>#REF!/E132</f>
        <v>#REF!</v>
      </c>
      <c r="DF132" s="4" t="e">
        <f t="shared" si="468"/>
        <v>#REF!</v>
      </c>
      <c r="DG132" s="4">
        <f t="shared" si="519"/>
        <v>3.3423512159494768</v>
      </c>
      <c r="DH132" s="4" t="e">
        <f t="shared" si="486"/>
        <v>#REF!</v>
      </c>
      <c r="DI132" s="4" t="e">
        <f t="shared" si="359"/>
        <v>#REF!</v>
      </c>
      <c r="DJ132" s="4" t="e">
        <f t="shared" si="360"/>
        <v>#REF!</v>
      </c>
      <c r="DK132" s="4" t="e">
        <f t="shared" si="487"/>
        <v>#REF!</v>
      </c>
      <c r="DL132" s="38" t="e">
        <f t="shared" si="469"/>
        <v>#REF!</v>
      </c>
      <c r="DM132" s="4" t="e">
        <f t="shared" si="361"/>
        <v>#REF!</v>
      </c>
      <c r="DN132" s="4">
        <f t="shared" si="488"/>
        <v>2.2360679774997898</v>
      </c>
      <c r="DO132" s="4" t="e">
        <f t="shared" si="363"/>
        <v>#REF!</v>
      </c>
      <c r="DS132" s="4">
        <f t="shared" si="470"/>
        <v>1</v>
      </c>
      <c r="DT132" s="4">
        <f t="shared" si="471"/>
        <v>1</v>
      </c>
      <c r="DU132" s="4">
        <f t="shared" si="472"/>
        <v>1</v>
      </c>
      <c r="DV132" s="4">
        <f t="shared" si="504"/>
        <v>1</v>
      </c>
      <c r="DX132" s="4" t="e">
        <f t="shared" si="473"/>
        <v>#REF!</v>
      </c>
      <c r="DY132" s="25" t="e">
        <f t="shared" si="505"/>
        <v>#REF!</v>
      </c>
      <c r="EB132" s="4">
        <f t="shared" si="436"/>
        <v>3.3423512159494768</v>
      </c>
      <c r="EC132" s="4">
        <f t="shared" si="474"/>
        <v>3.3423512159494768</v>
      </c>
      <c r="EE132" s="4">
        <f t="shared" si="475"/>
        <v>63.951544156493995</v>
      </c>
      <c r="EF132" s="4">
        <f t="shared" si="520"/>
        <v>2.2360679774997898</v>
      </c>
      <c r="EG132" s="4" t="e">
        <f t="shared" si="476"/>
        <v>#REF!</v>
      </c>
      <c r="EJ132" s="4" t="e">
        <f t="shared" si="506"/>
        <v>#REF!</v>
      </c>
      <c r="EK132" s="4" t="e">
        <f t="shared" si="477"/>
        <v>#REF!</v>
      </c>
      <c r="EL132" s="4" t="e">
        <f t="shared" si="521"/>
        <v>#REF!</v>
      </c>
      <c r="EM132" s="4" t="e">
        <f t="shared" si="507"/>
        <v>#REF!</v>
      </c>
      <c r="EN132" s="4" t="e">
        <f t="shared" si="522"/>
        <v>#REF!</v>
      </c>
      <c r="EO132" s="4" t="e">
        <f t="shared" si="523"/>
        <v>#REF!</v>
      </c>
      <c r="EP132" s="4" t="e">
        <f t="shared" si="478"/>
        <v>#REF!</v>
      </c>
      <c r="EQ132" s="4" t="e">
        <f t="shared" si="508"/>
        <v>#REF!</v>
      </c>
      <c r="ER132" s="4" t="e">
        <f t="shared" si="479"/>
        <v>#REF!</v>
      </c>
      <c r="ES132" s="4" t="e">
        <f t="shared" si="524"/>
        <v>#REF!</v>
      </c>
      <c r="ET132" s="4" t="e">
        <f t="shared" si="525"/>
        <v>#REF!</v>
      </c>
      <c r="EV132" s="4" t="e">
        <f t="shared" si="489"/>
        <v>#REF!</v>
      </c>
      <c r="FA132" s="23" t="e">
        <f t="shared" si="490"/>
        <v>#REF!</v>
      </c>
      <c r="FB132" s="23" t="e">
        <f t="shared" si="491"/>
        <v>#REF!</v>
      </c>
      <c r="FC132" s="23" t="e">
        <f t="shared" si="527"/>
        <v>#REF!</v>
      </c>
      <c r="FD132" s="23" t="e">
        <f t="shared" si="492"/>
        <v>#REF!</v>
      </c>
      <c r="FE132" s="23" t="e">
        <f t="shared" si="493"/>
        <v>#REF!</v>
      </c>
      <c r="FF132" s="23" t="e">
        <f t="shared" si="494"/>
        <v>#REF!</v>
      </c>
      <c r="FG132" s="23" t="e">
        <f t="shared" si="282"/>
        <v>#REF!</v>
      </c>
      <c r="FH132" s="23"/>
      <c r="FR132" s="4">
        <f t="shared" si="351"/>
        <v>1</v>
      </c>
      <c r="FS132" s="4">
        <f t="shared" si="352"/>
        <v>1</v>
      </c>
      <c r="FT132" s="4">
        <f t="shared" si="353"/>
        <v>0</v>
      </c>
      <c r="FU132" s="4" t="e">
        <f t="shared" si="354"/>
        <v>#REF!</v>
      </c>
    </row>
    <row r="133" spans="2:177" ht="12" customHeight="1" x14ac:dyDescent="0.3">
      <c r="B133" s="24"/>
      <c r="C133" s="7" t="s">
        <v>134</v>
      </c>
      <c r="D133" s="7">
        <v>601</v>
      </c>
      <c r="E133" s="7" t="e">
        <f>G133*#REF!</f>
        <v>#REF!</v>
      </c>
      <c r="F133" s="7">
        <v>41.4</v>
      </c>
      <c r="G133" s="7">
        <v>25.4</v>
      </c>
      <c r="H133" s="7">
        <v>225</v>
      </c>
      <c r="I133" s="7">
        <f t="shared" ref="I133:I147" si="528">G133</f>
        <v>25.4</v>
      </c>
      <c r="J133" s="7"/>
      <c r="K133" s="7">
        <f t="shared" si="526"/>
        <v>25.4</v>
      </c>
      <c r="L133" s="7">
        <v>2</v>
      </c>
      <c r="M133" s="7">
        <f t="shared" si="495"/>
        <v>59.8</v>
      </c>
      <c r="N133" s="7">
        <f t="shared" si="510"/>
        <v>1</v>
      </c>
      <c r="O133" s="7">
        <f t="shared" si="496"/>
        <v>1.4999999999999998</v>
      </c>
      <c r="P133" s="7">
        <f t="shared" si="509"/>
        <v>4</v>
      </c>
      <c r="Q133" s="7">
        <f t="shared" si="511"/>
        <v>4</v>
      </c>
      <c r="R133" s="7">
        <v>5</v>
      </c>
      <c r="S133" s="7">
        <f t="shared" si="447"/>
        <v>56.796126628494655</v>
      </c>
      <c r="T133" s="7"/>
      <c r="U133" s="7"/>
      <c r="V133" s="7">
        <v>326</v>
      </c>
      <c r="W133" s="7"/>
      <c r="X133" s="7" t="e">
        <f t="shared" si="482"/>
        <v>#REF!</v>
      </c>
      <c r="Y133" s="7"/>
      <c r="Z133" s="7"/>
      <c r="AA133" s="7">
        <v>1</v>
      </c>
      <c r="AB133" s="7"/>
      <c r="AC133" s="7"/>
      <c r="AD133" s="7"/>
      <c r="AE133" s="4" t="e">
        <f t="shared" si="483"/>
        <v>#REF!</v>
      </c>
      <c r="AF133" s="46" t="e">
        <f t="shared" si="497"/>
        <v>#REF!</v>
      </c>
      <c r="AG133" s="25" t="e">
        <f t="shared" si="448"/>
        <v>#REF!</v>
      </c>
      <c r="AH133" s="4" t="e">
        <f t="shared" si="449"/>
        <v>#REF!</v>
      </c>
      <c r="AI133" s="4">
        <v>1.25</v>
      </c>
      <c r="AJ133" s="25">
        <f t="shared" si="438"/>
        <v>5</v>
      </c>
      <c r="AK133" s="38" t="e">
        <f t="shared" si="480"/>
        <v>#REF!</v>
      </c>
      <c r="AL133" s="38" t="e">
        <f t="shared" si="356"/>
        <v>#REF!</v>
      </c>
      <c r="AN133" s="38" t="e">
        <f t="shared" si="498"/>
        <v>#REF!</v>
      </c>
      <c r="AO133" s="38" t="e">
        <f t="shared" si="316"/>
        <v>#REF!</v>
      </c>
      <c r="AP133" s="38" t="e">
        <f t="shared" si="357"/>
        <v>#REF!</v>
      </c>
      <c r="AQ133" s="4" t="e">
        <f t="shared" si="443"/>
        <v>#REF!</v>
      </c>
      <c r="AR133" s="4" t="e">
        <f>#REF!/G133*F133^0.5/0.19</f>
        <v>#REF!</v>
      </c>
      <c r="AS133" s="4">
        <f t="shared" si="450"/>
        <v>1.2</v>
      </c>
      <c r="AT133" s="38">
        <f t="shared" si="451"/>
        <v>198.72</v>
      </c>
      <c r="AU133" s="4">
        <f t="shared" si="452"/>
        <v>0.44000000000000006</v>
      </c>
      <c r="AV133" s="4" t="e">
        <f>AU133*D133*#REF!/(D133*G133/2.75/F133^0.5)</f>
        <v>#REF!</v>
      </c>
      <c r="AW133" s="4" t="e">
        <f t="shared" si="499"/>
        <v>#REF!</v>
      </c>
      <c r="AY133" s="36">
        <f t="shared" si="428"/>
        <v>1</v>
      </c>
      <c r="AZ133" s="36" t="e">
        <f>(1.6*#REF!+22)*AY133*F133^0.5</f>
        <v>#REF!</v>
      </c>
      <c r="BE133" s="4">
        <f t="shared" si="453"/>
        <v>19.100000000000001</v>
      </c>
      <c r="BF133" s="4">
        <f t="shared" si="454"/>
        <v>19.100000000000001</v>
      </c>
      <c r="BG133" s="4">
        <f t="shared" si="455"/>
        <v>59.8</v>
      </c>
      <c r="BH133" s="4">
        <f t="shared" si="456"/>
        <v>31.8</v>
      </c>
      <c r="BI133" s="4">
        <f t="shared" si="512"/>
        <v>1.213089005235602</v>
      </c>
      <c r="BJ133" s="25">
        <f t="shared" si="457"/>
        <v>1.51874922702725</v>
      </c>
      <c r="BL133" s="4">
        <f t="shared" si="458"/>
        <v>12.7</v>
      </c>
      <c r="BP133" s="9"/>
      <c r="BR133" s="9"/>
      <c r="BS133" s="9"/>
      <c r="BT133" s="9">
        <f t="shared" si="459"/>
        <v>12.7</v>
      </c>
      <c r="BU133" s="9">
        <f t="shared" si="460"/>
        <v>25.4</v>
      </c>
      <c r="BV133" s="9">
        <f t="shared" si="461"/>
        <v>0.78458409789675088</v>
      </c>
      <c r="BW133" s="9">
        <v>0</v>
      </c>
      <c r="BX133" s="9">
        <f t="shared" si="462"/>
        <v>0</v>
      </c>
      <c r="BY133" s="9">
        <f t="shared" si="500"/>
        <v>0</v>
      </c>
      <c r="BZ133" s="9">
        <f t="shared" si="463"/>
        <v>0.99524931562137331</v>
      </c>
      <c r="CA133" s="9">
        <f t="shared" si="464"/>
        <v>0.84899999999999998</v>
      </c>
      <c r="CB133" s="9">
        <f t="shared" si="465"/>
        <v>1.9028641880890567</v>
      </c>
      <c r="CC133" s="9">
        <f t="shared" si="466"/>
        <v>1.4929569824318858</v>
      </c>
      <c r="CD133" s="9">
        <v>1</v>
      </c>
      <c r="CE133" s="9" t="e">
        <f>4*CC133*#REF!+60*CC133</f>
        <v>#REF!</v>
      </c>
      <c r="CG133" s="4" t="e">
        <f t="shared" si="501"/>
        <v>#REF!</v>
      </c>
      <c r="CH133" s="4" t="e">
        <f t="shared" si="502"/>
        <v>#REF!</v>
      </c>
      <c r="CI133" s="4" t="e">
        <f t="shared" si="267"/>
        <v>#REF!</v>
      </c>
      <c r="CJ133" s="4" t="e">
        <f t="shared" si="484"/>
        <v>#REF!</v>
      </c>
      <c r="CK133" s="4" t="e">
        <f t="shared" si="269"/>
        <v>#REF!</v>
      </c>
      <c r="CL133" s="4" t="e">
        <f t="shared" si="270"/>
        <v>#REF!</v>
      </c>
      <c r="CM133" s="4" t="e">
        <f t="shared" si="481"/>
        <v>#REF!</v>
      </c>
      <c r="CO133" s="4" t="e">
        <f t="shared" si="513"/>
        <v>#REF!</v>
      </c>
      <c r="CP133" s="4" t="e">
        <f t="shared" si="514"/>
        <v>#REF!</v>
      </c>
      <c r="CQ133" s="4" t="e">
        <f t="shared" si="515"/>
        <v>#REF!</v>
      </c>
      <c r="CR133" s="4" t="e">
        <f t="shared" si="503"/>
        <v>#REF!</v>
      </c>
      <c r="CS133" s="4" t="e">
        <f t="shared" si="516"/>
        <v>#REF!</v>
      </c>
      <c r="CT133" s="4" t="e">
        <f t="shared" si="517"/>
        <v>#REF!</v>
      </c>
      <c r="DB133" s="4">
        <f t="shared" si="518"/>
        <v>0</v>
      </c>
      <c r="DC133" s="4" t="e">
        <f t="shared" si="467"/>
        <v>#REF!</v>
      </c>
      <c r="DD133" s="4" t="e">
        <f>#REF!/E133</f>
        <v>#REF!</v>
      </c>
      <c r="DF133" s="4" t="e">
        <f t="shared" si="468"/>
        <v>#REF!</v>
      </c>
      <c r="DG133" s="4">
        <f t="shared" si="519"/>
        <v>3.5682527467332243</v>
      </c>
      <c r="DH133" s="4" t="e">
        <f t="shared" si="486"/>
        <v>#REF!</v>
      </c>
      <c r="DI133" s="4" t="e">
        <f t="shared" si="359"/>
        <v>#REF!</v>
      </c>
      <c r="DJ133" s="4" t="e">
        <f t="shared" si="360"/>
        <v>#REF!</v>
      </c>
      <c r="DK133" s="4" t="e">
        <f t="shared" si="487"/>
        <v>#REF!</v>
      </c>
      <c r="DL133" s="38" t="e">
        <f t="shared" si="469"/>
        <v>#REF!</v>
      </c>
      <c r="DM133" s="4" t="e">
        <f t="shared" si="361"/>
        <v>#REF!</v>
      </c>
      <c r="DN133" s="4">
        <f t="shared" si="488"/>
        <v>2.2360679774997898</v>
      </c>
      <c r="DO133" s="4" t="e">
        <f t="shared" si="363"/>
        <v>#REF!</v>
      </c>
      <c r="DS133" s="4">
        <f t="shared" si="470"/>
        <v>1</v>
      </c>
      <c r="DT133" s="4">
        <f t="shared" si="471"/>
        <v>1</v>
      </c>
      <c r="DU133" s="4">
        <f t="shared" si="472"/>
        <v>1</v>
      </c>
      <c r="DV133" s="4">
        <f t="shared" si="504"/>
        <v>1</v>
      </c>
      <c r="DX133" s="4" t="e">
        <f t="shared" si="473"/>
        <v>#REF!</v>
      </c>
      <c r="DY133" s="25" t="e">
        <f t="shared" si="505"/>
        <v>#REF!</v>
      </c>
      <c r="EB133" s="4">
        <f t="shared" si="436"/>
        <v>3.5682527467332243</v>
      </c>
      <c r="EC133" s="4">
        <f t="shared" si="474"/>
        <v>3.5682527467332243</v>
      </c>
      <c r="EE133" s="4">
        <f t="shared" si="475"/>
        <v>56.796126628494655</v>
      </c>
      <c r="EF133" s="4">
        <f t="shared" si="520"/>
        <v>2.2360679774997898</v>
      </c>
      <c r="EG133" s="4" t="e">
        <f t="shared" si="476"/>
        <v>#REF!</v>
      </c>
      <c r="EJ133" s="4" t="e">
        <f t="shared" si="506"/>
        <v>#REF!</v>
      </c>
      <c r="EK133" s="4" t="e">
        <f t="shared" si="477"/>
        <v>#REF!</v>
      </c>
      <c r="EL133" s="4" t="e">
        <f t="shared" si="521"/>
        <v>#REF!</v>
      </c>
      <c r="EM133" s="4" t="e">
        <f t="shared" si="507"/>
        <v>#REF!</v>
      </c>
      <c r="EN133" s="4" t="e">
        <f t="shared" si="522"/>
        <v>#REF!</v>
      </c>
      <c r="EO133" s="4" t="e">
        <f t="shared" si="523"/>
        <v>#REF!</v>
      </c>
      <c r="EP133" s="4" t="e">
        <f t="shared" si="478"/>
        <v>#REF!</v>
      </c>
      <c r="EQ133" s="4" t="e">
        <f t="shared" si="508"/>
        <v>#REF!</v>
      </c>
      <c r="ER133" s="4" t="e">
        <f t="shared" si="479"/>
        <v>#REF!</v>
      </c>
      <c r="ES133" s="4" t="e">
        <f t="shared" si="524"/>
        <v>#REF!</v>
      </c>
      <c r="ET133" s="4" t="e">
        <f t="shared" si="525"/>
        <v>#REF!</v>
      </c>
      <c r="EV133" s="4" t="e">
        <f t="shared" si="489"/>
        <v>#REF!</v>
      </c>
      <c r="FA133" s="23" t="e">
        <f t="shared" si="490"/>
        <v>#REF!</v>
      </c>
      <c r="FB133" s="23" t="e">
        <f t="shared" si="491"/>
        <v>#REF!</v>
      </c>
      <c r="FC133" s="23" t="e">
        <f t="shared" si="527"/>
        <v>#REF!</v>
      </c>
      <c r="FD133" s="23" t="e">
        <f t="shared" si="492"/>
        <v>#REF!</v>
      </c>
      <c r="FE133" s="23" t="e">
        <f t="shared" si="493"/>
        <v>#REF!</v>
      </c>
      <c r="FF133" s="23" t="e">
        <f t="shared" si="494"/>
        <v>#REF!</v>
      </c>
      <c r="FG133" s="23" t="e">
        <f t="shared" si="282"/>
        <v>#REF!</v>
      </c>
      <c r="FH133" s="23"/>
      <c r="FR133" s="4">
        <f t="shared" si="351"/>
        <v>1.25</v>
      </c>
      <c r="FS133" s="4">
        <f t="shared" si="352"/>
        <v>1</v>
      </c>
      <c r="FT133" s="4">
        <f t="shared" si="353"/>
        <v>0</v>
      </c>
      <c r="FU133" s="4" t="e">
        <f t="shared" si="354"/>
        <v>#REF!</v>
      </c>
    </row>
    <row r="134" spans="2:177" ht="12" customHeight="1" x14ac:dyDescent="0.3">
      <c r="B134" s="24"/>
      <c r="C134" s="7" t="s">
        <v>135</v>
      </c>
      <c r="D134" s="7">
        <v>601</v>
      </c>
      <c r="E134" s="7" t="e">
        <f>G134*#REF!</f>
        <v>#REF!</v>
      </c>
      <c r="F134" s="7">
        <v>41.4</v>
      </c>
      <c r="G134" s="7">
        <v>25.4</v>
      </c>
      <c r="H134" s="7">
        <v>225</v>
      </c>
      <c r="I134" s="7">
        <f t="shared" si="528"/>
        <v>25.4</v>
      </c>
      <c r="J134" s="7"/>
      <c r="K134" s="7">
        <f t="shared" si="526"/>
        <v>25.4</v>
      </c>
      <c r="L134" s="7">
        <v>2</v>
      </c>
      <c r="M134" s="7">
        <f t="shared" si="495"/>
        <v>59.8</v>
      </c>
      <c r="N134" s="7">
        <f t="shared" si="510"/>
        <v>1</v>
      </c>
      <c r="O134" s="7">
        <f t="shared" si="496"/>
        <v>1.4999999999999998</v>
      </c>
      <c r="P134" s="7">
        <f t="shared" si="509"/>
        <v>4</v>
      </c>
      <c r="Q134" s="7">
        <f t="shared" si="511"/>
        <v>4</v>
      </c>
      <c r="R134" s="7">
        <v>5</v>
      </c>
      <c r="S134" s="7">
        <f t="shared" si="447"/>
        <v>56.796126628494655</v>
      </c>
      <c r="T134" s="7"/>
      <c r="U134" s="7"/>
      <c r="V134" s="7">
        <v>408</v>
      </c>
      <c r="W134" s="7"/>
      <c r="X134" s="7" t="e">
        <f t="shared" si="482"/>
        <v>#REF!</v>
      </c>
      <c r="Y134" s="7"/>
      <c r="Z134" s="7"/>
      <c r="AA134" s="7">
        <v>1</v>
      </c>
      <c r="AB134" s="7"/>
      <c r="AC134" s="7"/>
      <c r="AD134" s="7"/>
      <c r="AE134" s="4" t="e">
        <f t="shared" si="483"/>
        <v>#REF!</v>
      </c>
      <c r="AF134" s="46" t="e">
        <f t="shared" si="497"/>
        <v>#REF!</v>
      </c>
      <c r="AG134" s="25" t="e">
        <f t="shared" si="448"/>
        <v>#REF!</v>
      </c>
      <c r="AH134" s="4" t="e">
        <f t="shared" si="449"/>
        <v>#REF!</v>
      </c>
      <c r="AI134" s="4">
        <v>1.25</v>
      </c>
      <c r="AJ134" s="25">
        <f t="shared" si="438"/>
        <v>5</v>
      </c>
      <c r="AK134" s="38" t="e">
        <f t="shared" si="480"/>
        <v>#REF!</v>
      </c>
      <c r="AL134" s="38" t="e">
        <f t="shared" si="356"/>
        <v>#REF!</v>
      </c>
      <c r="AN134" s="38" t="e">
        <f t="shared" si="498"/>
        <v>#REF!</v>
      </c>
      <c r="AO134" s="38" t="e">
        <f t="shared" si="316"/>
        <v>#REF!</v>
      </c>
      <c r="AP134" s="38" t="e">
        <f t="shared" si="357"/>
        <v>#REF!</v>
      </c>
      <c r="AQ134" s="4" t="e">
        <f t="shared" si="443"/>
        <v>#REF!</v>
      </c>
      <c r="AR134" s="4" t="e">
        <f>#REF!/G134*F134^0.5/0.19</f>
        <v>#REF!</v>
      </c>
      <c r="AS134" s="4">
        <f t="shared" si="450"/>
        <v>1.2</v>
      </c>
      <c r="AT134" s="38">
        <f t="shared" si="451"/>
        <v>198.72</v>
      </c>
      <c r="AU134" s="4">
        <f t="shared" si="452"/>
        <v>0.44000000000000006</v>
      </c>
      <c r="AV134" s="4" t="e">
        <f>AU134*D134*#REF!/(D134*G134/2.75/F134^0.5)</f>
        <v>#REF!</v>
      </c>
      <c r="AW134" s="4" t="e">
        <f t="shared" si="499"/>
        <v>#REF!</v>
      </c>
      <c r="AY134" s="36">
        <f t="shared" si="428"/>
        <v>1</v>
      </c>
      <c r="AZ134" s="36" t="e">
        <f>(1.6*#REF!+22)*AY134*F134^0.5</f>
        <v>#REF!</v>
      </c>
      <c r="BE134" s="4">
        <f t="shared" si="453"/>
        <v>19.100000000000001</v>
      </c>
      <c r="BF134" s="4">
        <f t="shared" si="454"/>
        <v>19.100000000000001</v>
      </c>
      <c r="BG134" s="4">
        <f t="shared" si="455"/>
        <v>59.8</v>
      </c>
      <c r="BH134" s="4">
        <f t="shared" si="456"/>
        <v>31.8</v>
      </c>
      <c r="BI134" s="4">
        <f t="shared" si="512"/>
        <v>1.213089005235602</v>
      </c>
      <c r="BJ134" s="25">
        <f t="shared" si="457"/>
        <v>1.51874922702725</v>
      </c>
      <c r="BL134" s="4">
        <f t="shared" si="458"/>
        <v>12.7</v>
      </c>
      <c r="BP134" s="9"/>
      <c r="BR134" s="9"/>
      <c r="BS134" s="9"/>
      <c r="BT134" s="9">
        <f t="shared" si="459"/>
        <v>12.7</v>
      </c>
      <c r="BU134" s="9">
        <f t="shared" si="460"/>
        <v>25.4</v>
      </c>
      <c r="BV134" s="9">
        <f t="shared" si="461"/>
        <v>0.78458409789675088</v>
      </c>
      <c r="BW134" s="9">
        <v>0</v>
      </c>
      <c r="BX134" s="9">
        <f t="shared" si="462"/>
        <v>0</v>
      </c>
      <c r="BY134" s="9">
        <f t="shared" si="500"/>
        <v>0</v>
      </c>
      <c r="BZ134" s="9">
        <f t="shared" si="463"/>
        <v>0.99524931562137331</v>
      </c>
      <c r="CA134" s="9">
        <f t="shared" si="464"/>
        <v>0.84899999999999998</v>
      </c>
      <c r="CB134" s="9">
        <f t="shared" si="465"/>
        <v>1.9028641880890567</v>
      </c>
      <c r="CC134" s="9">
        <f t="shared" si="466"/>
        <v>1.4929569824318858</v>
      </c>
      <c r="CD134" s="9">
        <v>1</v>
      </c>
      <c r="CE134" s="9" t="e">
        <f>4*CC134*#REF!+60*CC134</f>
        <v>#REF!</v>
      </c>
      <c r="CG134" s="4" t="e">
        <f t="shared" si="501"/>
        <v>#REF!</v>
      </c>
      <c r="CH134" s="4" t="e">
        <f t="shared" si="502"/>
        <v>#REF!</v>
      </c>
      <c r="CI134" s="4" t="e">
        <f t="shared" si="267"/>
        <v>#REF!</v>
      </c>
      <c r="CJ134" s="4" t="e">
        <f t="shared" si="484"/>
        <v>#REF!</v>
      </c>
      <c r="CK134" s="4" t="e">
        <f t="shared" si="269"/>
        <v>#REF!</v>
      </c>
      <c r="CL134" s="4" t="e">
        <f t="shared" si="270"/>
        <v>#REF!</v>
      </c>
      <c r="CM134" s="4" t="e">
        <f t="shared" si="481"/>
        <v>#REF!</v>
      </c>
      <c r="CO134" s="4" t="e">
        <f t="shared" si="513"/>
        <v>#REF!</v>
      </c>
      <c r="CP134" s="4" t="e">
        <f t="shared" si="514"/>
        <v>#REF!</v>
      </c>
      <c r="CQ134" s="4" t="e">
        <f t="shared" si="515"/>
        <v>#REF!</v>
      </c>
      <c r="CR134" s="4" t="e">
        <f t="shared" si="503"/>
        <v>#REF!</v>
      </c>
      <c r="CS134" s="4" t="e">
        <f t="shared" si="516"/>
        <v>#REF!</v>
      </c>
      <c r="CT134" s="4" t="e">
        <f t="shared" si="517"/>
        <v>#REF!</v>
      </c>
      <c r="DB134" s="4">
        <f t="shared" si="518"/>
        <v>0</v>
      </c>
      <c r="DC134" s="4" t="e">
        <f t="shared" si="467"/>
        <v>#REF!</v>
      </c>
      <c r="DD134" s="4" t="e">
        <f>#REF!/E134</f>
        <v>#REF!</v>
      </c>
      <c r="DF134" s="4" t="e">
        <f t="shared" si="468"/>
        <v>#REF!</v>
      </c>
      <c r="DG134" s="4">
        <f t="shared" si="519"/>
        <v>3.5682527467332243</v>
      </c>
      <c r="DH134" s="4" t="e">
        <f t="shared" si="486"/>
        <v>#REF!</v>
      </c>
      <c r="DI134" s="4" t="e">
        <f t="shared" si="359"/>
        <v>#REF!</v>
      </c>
      <c r="DJ134" s="4" t="e">
        <f t="shared" si="360"/>
        <v>#REF!</v>
      </c>
      <c r="DK134" s="4" t="e">
        <f t="shared" si="487"/>
        <v>#REF!</v>
      </c>
      <c r="DL134" s="38" t="e">
        <f t="shared" si="469"/>
        <v>#REF!</v>
      </c>
      <c r="DM134" s="4" t="e">
        <f t="shared" si="361"/>
        <v>#REF!</v>
      </c>
      <c r="DN134" s="4">
        <f t="shared" si="488"/>
        <v>2.2360679774997898</v>
      </c>
      <c r="DO134" s="4" t="e">
        <f t="shared" si="363"/>
        <v>#REF!</v>
      </c>
      <c r="DS134" s="4">
        <f t="shared" si="470"/>
        <v>1</v>
      </c>
      <c r="DT134" s="4">
        <f t="shared" si="471"/>
        <v>1</v>
      </c>
      <c r="DU134" s="4">
        <f t="shared" si="472"/>
        <v>1</v>
      </c>
      <c r="DV134" s="4">
        <f t="shared" si="504"/>
        <v>1</v>
      </c>
      <c r="DX134" s="4" t="e">
        <f t="shared" si="473"/>
        <v>#REF!</v>
      </c>
      <c r="DY134" s="25" t="e">
        <f t="shared" si="505"/>
        <v>#REF!</v>
      </c>
      <c r="EB134" s="4">
        <f t="shared" si="436"/>
        <v>3.5682527467332243</v>
      </c>
      <c r="EC134" s="4">
        <f t="shared" si="474"/>
        <v>3.5682527467332243</v>
      </c>
      <c r="EE134" s="4">
        <f t="shared" si="475"/>
        <v>56.796126628494655</v>
      </c>
      <c r="EF134" s="4">
        <f t="shared" si="520"/>
        <v>2.2360679774997898</v>
      </c>
      <c r="EG134" s="4" t="e">
        <f t="shared" si="476"/>
        <v>#REF!</v>
      </c>
      <c r="EJ134" s="4" t="e">
        <f t="shared" si="506"/>
        <v>#REF!</v>
      </c>
      <c r="EK134" s="4" t="e">
        <f t="shared" si="477"/>
        <v>#REF!</v>
      </c>
      <c r="EL134" s="4" t="e">
        <f t="shared" si="521"/>
        <v>#REF!</v>
      </c>
      <c r="EM134" s="4" t="e">
        <f t="shared" si="507"/>
        <v>#REF!</v>
      </c>
      <c r="EN134" s="4" t="e">
        <f t="shared" si="522"/>
        <v>#REF!</v>
      </c>
      <c r="EO134" s="4" t="e">
        <f t="shared" si="523"/>
        <v>#REF!</v>
      </c>
      <c r="EP134" s="4" t="e">
        <f t="shared" si="478"/>
        <v>#REF!</v>
      </c>
      <c r="EQ134" s="4" t="e">
        <f t="shared" si="508"/>
        <v>#REF!</v>
      </c>
      <c r="ER134" s="4" t="e">
        <f t="shared" si="479"/>
        <v>#REF!</v>
      </c>
      <c r="ES134" s="4" t="e">
        <f t="shared" si="524"/>
        <v>#REF!</v>
      </c>
      <c r="ET134" s="4" t="e">
        <f t="shared" si="525"/>
        <v>#REF!</v>
      </c>
      <c r="EV134" s="4" t="e">
        <f t="shared" si="489"/>
        <v>#REF!</v>
      </c>
      <c r="FA134" s="23" t="e">
        <f t="shared" si="490"/>
        <v>#REF!</v>
      </c>
      <c r="FB134" s="23" t="e">
        <f t="shared" si="491"/>
        <v>#REF!</v>
      </c>
      <c r="FC134" s="23" t="e">
        <f t="shared" si="527"/>
        <v>#REF!</v>
      </c>
      <c r="FD134" s="23" t="e">
        <f t="shared" si="492"/>
        <v>#REF!</v>
      </c>
      <c r="FE134" s="23" t="e">
        <f t="shared" si="493"/>
        <v>#REF!</v>
      </c>
      <c r="FF134" s="23" t="e">
        <f t="shared" si="494"/>
        <v>#REF!</v>
      </c>
      <c r="FG134" s="23" t="e">
        <f t="shared" si="282"/>
        <v>#REF!</v>
      </c>
      <c r="FH134" s="23"/>
      <c r="FR134" s="4">
        <f t="shared" si="351"/>
        <v>1.25</v>
      </c>
      <c r="FS134" s="4">
        <f t="shared" si="352"/>
        <v>1</v>
      </c>
      <c r="FT134" s="4">
        <f t="shared" si="353"/>
        <v>0</v>
      </c>
      <c r="FU134" s="4" t="e">
        <f t="shared" si="354"/>
        <v>#REF!</v>
      </c>
    </row>
    <row r="135" spans="2:177" ht="12" customHeight="1" x14ac:dyDescent="0.3">
      <c r="B135" s="24"/>
      <c r="C135" s="7" t="s">
        <v>136</v>
      </c>
      <c r="D135" s="7">
        <v>710</v>
      </c>
      <c r="E135" s="7" t="e">
        <f>G135*#REF!</f>
        <v>#REF!</v>
      </c>
      <c r="F135" s="7">
        <v>20.3</v>
      </c>
      <c r="G135" s="7">
        <v>28.6</v>
      </c>
      <c r="H135" s="7">
        <v>261</v>
      </c>
      <c r="I135" s="7">
        <f t="shared" si="528"/>
        <v>28.6</v>
      </c>
      <c r="J135" s="7"/>
      <c r="K135" s="7">
        <f t="shared" si="526"/>
        <v>28.6</v>
      </c>
      <c r="L135" s="7">
        <v>2</v>
      </c>
      <c r="M135" s="7">
        <f t="shared" si="495"/>
        <v>58.2</v>
      </c>
      <c r="N135" s="7">
        <f t="shared" si="510"/>
        <v>1</v>
      </c>
      <c r="O135" s="7">
        <f t="shared" si="496"/>
        <v>1.5000000000000002</v>
      </c>
      <c r="P135" s="7">
        <f t="shared" si="509"/>
        <v>4</v>
      </c>
      <c r="Q135" s="7">
        <f t="shared" si="511"/>
        <v>4</v>
      </c>
      <c r="R135" s="7">
        <v>5</v>
      </c>
      <c r="S135" s="7">
        <f t="shared" si="447"/>
        <v>63.951544156493995</v>
      </c>
      <c r="T135" s="7"/>
      <c r="U135" s="7"/>
      <c r="V135" s="7">
        <v>235</v>
      </c>
      <c r="W135" s="7"/>
      <c r="X135" s="7" t="e">
        <f t="shared" si="482"/>
        <v>#REF!</v>
      </c>
      <c r="Y135" s="7"/>
      <c r="Z135" s="7"/>
      <c r="AA135" s="7">
        <v>1</v>
      </c>
      <c r="AB135" s="7"/>
      <c r="AC135" s="7"/>
      <c r="AD135" s="7"/>
      <c r="AE135" s="4" t="e">
        <f t="shared" si="483"/>
        <v>#REF!</v>
      </c>
      <c r="AF135" s="46" t="e">
        <f t="shared" si="497"/>
        <v>#REF!</v>
      </c>
      <c r="AG135" s="25" t="e">
        <f t="shared" si="448"/>
        <v>#REF!</v>
      </c>
      <c r="AH135" s="4" t="e">
        <f t="shared" si="449"/>
        <v>#REF!</v>
      </c>
      <c r="AI135" s="4">
        <v>1.25</v>
      </c>
      <c r="AJ135" s="25">
        <f t="shared" si="438"/>
        <v>5</v>
      </c>
      <c r="AK135" s="38" t="e">
        <f t="shared" si="480"/>
        <v>#REF!</v>
      </c>
      <c r="AL135" s="38" t="e">
        <f t="shared" si="356"/>
        <v>#REF!</v>
      </c>
      <c r="AN135" s="38" t="e">
        <f t="shared" si="498"/>
        <v>#REF!</v>
      </c>
      <c r="AO135" s="38" t="e">
        <f t="shared" si="316"/>
        <v>#REF!</v>
      </c>
      <c r="AP135" s="38" t="e">
        <f t="shared" si="357"/>
        <v>#REF!</v>
      </c>
      <c r="AQ135" s="4" t="e">
        <f t="shared" si="443"/>
        <v>#REF!</v>
      </c>
      <c r="AR135" s="4" t="e">
        <f>#REF!/G135*F135^0.5/0.19</f>
        <v>#REF!</v>
      </c>
      <c r="AS135" s="4">
        <f t="shared" si="450"/>
        <v>1.2000000000000002</v>
      </c>
      <c r="AT135" s="38">
        <f t="shared" si="451"/>
        <v>97.44</v>
      </c>
      <c r="AU135" s="4">
        <f t="shared" si="452"/>
        <v>0.44000000000000006</v>
      </c>
      <c r="AV135" s="4" t="e">
        <f>AU135*D135*#REF!/(D135*G135/2.75/F135^0.5)</f>
        <v>#REF!</v>
      </c>
      <c r="AW135" s="4" t="e">
        <f t="shared" si="499"/>
        <v>#REF!</v>
      </c>
      <c r="AY135" s="36">
        <f t="shared" si="428"/>
        <v>1</v>
      </c>
      <c r="AZ135" s="36" t="e">
        <f>(1.6*#REF!+22)*AY135*F135^0.5</f>
        <v>#REF!</v>
      </c>
      <c r="BE135" s="4">
        <f t="shared" si="453"/>
        <v>20.700000000000003</v>
      </c>
      <c r="BF135" s="4">
        <f t="shared" si="454"/>
        <v>20.700000000000003</v>
      </c>
      <c r="BG135" s="4">
        <f t="shared" si="455"/>
        <v>58.2</v>
      </c>
      <c r="BH135" s="4">
        <f t="shared" si="456"/>
        <v>35</v>
      </c>
      <c r="BI135" s="4">
        <f t="shared" si="512"/>
        <v>1.181159420289855</v>
      </c>
      <c r="BJ135" s="25">
        <f t="shared" si="457"/>
        <v>1.4454748150400323</v>
      </c>
      <c r="BL135" s="4">
        <f t="shared" si="458"/>
        <v>14.3</v>
      </c>
      <c r="BP135" s="9"/>
      <c r="BR135" s="9"/>
      <c r="BS135" s="9"/>
      <c r="BT135" s="9">
        <f t="shared" si="459"/>
        <v>14.3</v>
      </c>
      <c r="BU135" s="9">
        <f t="shared" si="460"/>
        <v>28.6</v>
      </c>
      <c r="BV135" s="9">
        <f t="shared" si="461"/>
        <v>0.78458409789675088</v>
      </c>
      <c r="BW135" s="9">
        <v>0</v>
      </c>
      <c r="BX135" s="9">
        <f t="shared" si="462"/>
        <v>0</v>
      </c>
      <c r="BY135" s="9">
        <f t="shared" si="500"/>
        <v>0</v>
      </c>
      <c r="BZ135" s="9">
        <f t="shared" si="463"/>
        <v>0.96044432035915817</v>
      </c>
      <c r="CA135" s="9">
        <f t="shared" si="464"/>
        <v>0.74299999999999999</v>
      </c>
      <c r="CB135" s="9">
        <f t="shared" si="465"/>
        <v>1.1253226745730049</v>
      </c>
      <c r="CC135" s="9">
        <f t="shared" si="466"/>
        <v>0.88291027547262002</v>
      </c>
      <c r="CD135" s="9">
        <v>1</v>
      </c>
      <c r="CE135" s="9" t="e">
        <f>4*CC135*#REF!+60*CC135</f>
        <v>#REF!</v>
      </c>
      <c r="CG135" s="4" t="e">
        <f t="shared" si="501"/>
        <v>#REF!</v>
      </c>
      <c r="CH135" s="4" t="e">
        <f t="shared" si="502"/>
        <v>#REF!</v>
      </c>
      <c r="CI135" s="4" t="e">
        <f t="shared" si="267"/>
        <v>#REF!</v>
      </c>
      <c r="CJ135" s="4" t="e">
        <f t="shared" si="484"/>
        <v>#REF!</v>
      </c>
      <c r="CK135" s="4" t="e">
        <f t="shared" si="269"/>
        <v>#REF!</v>
      </c>
      <c r="CL135" s="4" t="e">
        <f t="shared" si="270"/>
        <v>#REF!</v>
      </c>
      <c r="CM135" s="4" t="e">
        <f t="shared" si="481"/>
        <v>#REF!</v>
      </c>
      <c r="CO135" s="4" t="e">
        <f t="shared" si="513"/>
        <v>#REF!</v>
      </c>
      <c r="CP135" s="4" t="e">
        <f t="shared" si="514"/>
        <v>#REF!</v>
      </c>
      <c r="CQ135" s="4" t="e">
        <f t="shared" si="515"/>
        <v>#REF!</v>
      </c>
      <c r="CR135" s="4" t="e">
        <f t="shared" si="503"/>
        <v>#REF!</v>
      </c>
      <c r="CS135" s="4" t="e">
        <f t="shared" si="516"/>
        <v>#REF!</v>
      </c>
      <c r="CT135" s="4" t="e">
        <f t="shared" si="517"/>
        <v>#REF!</v>
      </c>
      <c r="DB135" s="4">
        <f t="shared" si="518"/>
        <v>0</v>
      </c>
      <c r="DC135" s="4" t="e">
        <f t="shared" si="467"/>
        <v>#REF!</v>
      </c>
      <c r="DD135" s="4" t="e">
        <f>#REF!/E135</f>
        <v>#REF!</v>
      </c>
      <c r="DF135" s="4" t="e">
        <f t="shared" si="468"/>
        <v>#REF!</v>
      </c>
      <c r="DG135" s="4">
        <f t="shared" si="519"/>
        <v>2.3780879728772248</v>
      </c>
      <c r="DH135" s="4" t="e">
        <f t="shared" si="486"/>
        <v>#REF!</v>
      </c>
      <c r="DI135" s="4" t="e">
        <f t="shared" si="359"/>
        <v>#REF!</v>
      </c>
      <c r="DJ135" s="4" t="e">
        <f t="shared" si="360"/>
        <v>#REF!</v>
      </c>
      <c r="DK135" s="4" t="e">
        <f t="shared" si="487"/>
        <v>#REF!</v>
      </c>
      <c r="DL135" s="38" t="e">
        <f t="shared" si="469"/>
        <v>#REF!</v>
      </c>
      <c r="DM135" s="4" t="e">
        <f t="shared" si="361"/>
        <v>#REF!</v>
      </c>
      <c r="DN135" s="4">
        <f t="shared" si="488"/>
        <v>2.2360679774997898</v>
      </c>
      <c r="DO135" s="4" t="e">
        <f t="shared" si="363"/>
        <v>#REF!</v>
      </c>
      <c r="DS135" s="4">
        <f t="shared" si="470"/>
        <v>1</v>
      </c>
      <c r="DT135" s="4">
        <f t="shared" si="471"/>
        <v>1</v>
      </c>
      <c r="DU135" s="4">
        <f t="shared" si="472"/>
        <v>1</v>
      </c>
      <c r="DV135" s="4">
        <f t="shared" si="504"/>
        <v>1</v>
      </c>
      <c r="DX135" s="4" t="e">
        <f t="shared" si="473"/>
        <v>#REF!</v>
      </c>
      <c r="DY135" s="25" t="e">
        <f t="shared" si="505"/>
        <v>#REF!</v>
      </c>
      <c r="EB135" s="4">
        <f t="shared" si="436"/>
        <v>2.3780879728772248</v>
      </c>
      <c r="EC135" s="4">
        <f t="shared" si="474"/>
        <v>2.3780879728772248</v>
      </c>
      <c r="EE135" s="4">
        <f t="shared" si="475"/>
        <v>63.951544156493995</v>
      </c>
      <c r="EF135" s="4">
        <f t="shared" si="520"/>
        <v>2.2360679774997898</v>
      </c>
      <c r="EG135" s="4" t="e">
        <f t="shared" si="476"/>
        <v>#REF!</v>
      </c>
      <c r="EJ135" s="4" t="e">
        <f t="shared" si="506"/>
        <v>#REF!</v>
      </c>
      <c r="EK135" s="4" t="e">
        <f t="shared" si="477"/>
        <v>#REF!</v>
      </c>
      <c r="EL135" s="4" t="e">
        <f t="shared" si="521"/>
        <v>#REF!</v>
      </c>
      <c r="EM135" s="4" t="e">
        <f t="shared" si="507"/>
        <v>#REF!</v>
      </c>
      <c r="EN135" s="4" t="e">
        <f t="shared" si="522"/>
        <v>#REF!</v>
      </c>
      <c r="EO135" s="4" t="e">
        <f t="shared" si="523"/>
        <v>#REF!</v>
      </c>
      <c r="EP135" s="4" t="e">
        <f t="shared" si="478"/>
        <v>#REF!</v>
      </c>
      <c r="EQ135" s="4" t="e">
        <f t="shared" si="508"/>
        <v>#REF!</v>
      </c>
      <c r="ER135" s="4" t="e">
        <f t="shared" si="479"/>
        <v>#REF!</v>
      </c>
      <c r="ES135" s="4" t="e">
        <f t="shared" si="524"/>
        <v>#REF!</v>
      </c>
      <c r="ET135" s="4" t="e">
        <f t="shared" si="525"/>
        <v>#REF!</v>
      </c>
      <c r="EV135" s="4" t="e">
        <f t="shared" si="489"/>
        <v>#REF!</v>
      </c>
      <c r="FA135" s="23" t="e">
        <f t="shared" si="490"/>
        <v>#REF!</v>
      </c>
      <c r="FB135" s="23" t="e">
        <f t="shared" si="491"/>
        <v>#REF!</v>
      </c>
      <c r="FC135" s="23" t="e">
        <f t="shared" si="527"/>
        <v>#REF!</v>
      </c>
      <c r="FD135" s="23" t="e">
        <f t="shared" si="492"/>
        <v>#REF!</v>
      </c>
      <c r="FE135" s="23" t="e">
        <f t="shared" si="493"/>
        <v>#REF!</v>
      </c>
      <c r="FF135" s="23" t="e">
        <f t="shared" si="494"/>
        <v>#REF!</v>
      </c>
      <c r="FG135" s="23" t="e">
        <f t="shared" si="282"/>
        <v>#REF!</v>
      </c>
      <c r="FH135" s="23"/>
      <c r="FR135" s="4">
        <f t="shared" si="351"/>
        <v>1.25</v>
      </c>
      <c r="FS135" s="4">
        <f t="shared" si="352"/>
        <v>1</v>
      </c>
      <c r="FT135" s="4">
        <f t="shared" si="353"/>
        <v>0</v>
      </c>
      <c r="FU135" s="4" t="e">
        <f t="shared" si="354"/>
        <v>#REF!</v>
      </c>
    </row>
    <row r="136" spans="2:177" ht="12" customHeight="1" x14ac:dyDescent="0.3">
      <c r="B136" s="24"/>
      <c r="C136" s="7" t="s">
        <v>137</v>
      </c>
      <c r="D136" s="7">
        <v>710</v>
      </c>
      <c r="E136" s="7" t="e">
        <f>G136*#REF!</f>
        <v>#REF!</v>
      </c>
      <c r="F136" s="7">
        <v>20.3</v>
      </c>
      <c r="G136" s="7">
        <v>28.6</v>
      </c>
      <c r="H136" s="7">
        <v>261</v>
      </c>
      <c r="I136" s="7">
        <f t="shared" si="528"/>
        <v>28.6</v>
      </c>
      <c r="J136" s="7"/>
      <c r="K136" s="7">
        <f t="shared" si="526"/>
        <v>28.6</v>
      </c>
      <c r="L136" s="7">
        <v>2</v>
      </c>
      <c r="M136" s="7">
        <f t="shared" si="495"/>
        <v>58.2</v>
      </c>
      <c r="N136" s="7">
        <f t="shared" si="510"/>
        <v>1</v>
      </c>
      <c r="O136" s="7">
        <f t="shared" si="496"/>
        <v>1.5000000000000002</v>
      </c>
      <c r="P136" s="7">
        <f t="shared" si="509"/>
        <v>4</v>
      </c>
      <c r="Q136" s="7">
        <f t="shared" si="511"/>
        <v>4</v>
      </c>
      <c r="R136" s="7">
        <v>5</v>
      </c>
      <c r="S136" s="7">
        <f t="shared" si="447"/>
        <v>63.951544156493995</v>
      </c>
      <c r="T136" s="7"/>
      <c r="U136" s="7"/>
      <c r="V136" s="7">
        <v>282</v>
      </c>
      <c r="W136" s="7"/>
      <c r="X136" s="7" t="e">
        <f t="shared" si="482"/>
        <v>#REF!</v>
      </c>
      <c r="Y136" s="7"/>
      <c r="Z136" s="7"/>
      <c r="AA136" s="7">
        <v>1</v>
      </c>
      <c r="AB136" s="7"/>
      <c r="AC136" s="7"/>
      <c r="AD136" s="7"/>
      <c r="AE136" s="4" t="e">
        <f t="shared" si="483"/>
        <v>#REF!</v>
      </c>
      <c r="AF136" s="46" t="e">
        <f t="shared" si="497"/>
        <v>#REF!</v>
      </c>
      <c r="AG136" s="25" t="e">
        <f t="shared" si="448"/>
        <v>#REF!</v>
      </c>
      <c r="AH136" s="4" t="e">
        <f t="shared" si="449"/>
        <v>#REF!</v>
      </c>
      <c r="AI136" s="4">
        <v>1.25</v>
      </c>
      <c r="AJ136" s="25">
        <f t="shared" si="438"/>
        <v>5</v>
      </c>
      <c r="AK136" s="38" t="e">
        <f t="shared" si="480"/>
        <v>#REF!</v>
      </c>
      <c r="AL136" s="38" t="e">
        <f t="shared" si="356"/>
        <v>#REF!</v>
      </c>
      <c r="AN136" s="38" t="e">
        <f t="shared" si="498"/>
        <v>#REF!</v>
      </c>
      <c r="AO136" s="38" t="e">
        <f t="shared" si="316"/>
        <v>#REF!</v>
      </c>
      <c r="AP136" s="38" t="e">
        <f t="shared" si="357"/>
        <v>#REF!</v>
      </c>
      <c r="AQ136" s="4" t="e">
        <f t="shared" si="443"/>
        <v>#REF!</v>
      </c>
      <c r="AR136" s="4" t="e">
        <f>#REF!/G136*F136^0.5/0.19</f>
        <v>#REF!</v>
      </c>
      <c r="AS136" s="4">
        <f t="shared" si="450"/>
        <v>1.2000000000000002</v>
      </c>
      <c r="AT136" s="38">
        <f t="shared" si="451"/>
        <v>97.44</v>
      </c>
      <c r="AU136" s="4">
        <f t="shared" si="452"/>
        <v>0.44000000000000006</v>
      </c>
      <c r="AV136" s="4" t="e">
        <f>AU136*D136*#REF!/(D136*G136/2.75/F136^0.5)</f>
        <v>#REF!</v>
      </c>
      <c r="AW136" s="4" t="e">
        <f t="shared" si="499"/>
        <v>#REF!</v>
      </c>
      <c r="AY136" s="36">
        <f t="shared" si="428"/>
        <v>1</v>
      </c>
      <c r="AZ136" s="36" t="e">
        <f>(1.6*#REF!+22)*AY136*F136^0.5</f>
        <v>#REF!</v>
      </c>
      <c r="BE136" s="4">
        <f t="shared" si="453"/>
        <v>20.700000000000003</v>
      </c>
      <c r="BF136" s="4">
        <f t="shared" si="454"/>
        <v>20.700000000000003</v>
      </c>
      <c r="BG136" s="4">
        <f t="shared" si="455"/>
        <v>58.2</v>
      </c>
      <c r="BH136" s="4">
        <f t="shared" si="456"/>
        <v>35</v>
      </c>
      <c r="BI136" s="4">
        <f t="shared" si="512"/>
        <v>1.181159420289855</v>
      </c>
      <c r="BJ136" s="25">
        <f t="shared" si="457"/>
        <v>1.4454748150400323</v>
      </c>
      <c r="BL136" s="4">
        <f t="shared" si="458"/>
        <v>14.3</v>
      </c>
      <c r="BP136" s="9"/>
      <c r="BR136" s="9"/>
      <c r="BS136" s="9"/>
      <c r="BT136" s="9">
        <f t="shared" si="459"/>
        <v>14.3</v>
      </c>
      <c r="BU136" s="9">
        <f t="shared" si="460"/>
        <v>28.6</v>
      </c>
      <c r="BV136" s="9">
        <f t="shared" si="461"/>
        <v>0.78458409789675088</v>
      </c>
      <c r="BW136" s="9">
        <v>0</v>
      </c>
      <c r="BX136" s="9">
        <f t="shared" si="462"/>
        <v>0</v>
      </c>
      <c r="BY136" s="9">
        <f t="shared" si="500"/>
        <v>0</v>
      </c>
      <c r="BZ136" s="9">
        <f t="shared" si="463"/>
        <v>0.96044432035915817</v>
      </c>
      <c r="CA136" s="9">
        <f t="shared" si="464"/>
        <v>0.74299999999999999</v>
      </c>
      <c r="CB136" s="9">
        <f t="shared" si="465"/>
        <v>1.1253226745730049</v>
      </c>
      <c r="CC136" s="9">
        <f t="shared" si="466"/>
        <v>0.88291027547262002</v>
      </c>
      <c r="CD136" s="9">
        <v>1</v>
      </c>
      <c r="CE136" s="9" t="e">
        <f>4*CC136*#REF!+60*CC136</f>
        <v>#REF!</v>
      </c>
      <c r="CG136" s="4" t="e">
        <f t="shared" si="501"/>
        <v>#REF!</v>
      </c>
      <c r="CH136" s="4" t="e">
        <f t="shared" si="502"/>
        <v>#REF!</v>
      </c>
      <c r="CI136" s="4" t="e">
        <f t="shared" si="267"/>
        <v>#REF!</v>
      </c>
      <c r="CJ136" s="4" t="e">
        <f t="shared" si="484"/>
        <v>#REF!</v>
      </c>
      <c r="CK136" s="4" t="e">
        <f t="shared" si="269"/>
        <v>#REF!</v>
      </c>
      <c r="CL136" s="4" t="e">
        <f t="shared" si="270"/>
        <v>#REF!</v>
      </c>
      <c r="CM136" s="4" t="e">
        <f t="shared" si="481"/>
        <v>#REF!</v>
      </c>
      <c r="CO136" s="4" t="e">
        <f t="shared" si="513"/>
        <v>#REF!</v>
      </c>
      <c r="CP136" s="4" t="e">
        <f t="shared" si="514"/>
        <v>#REF!</v>
      </c>
      <c r="CQ136" s="4" t="e">
        <f t="shared" si="515"/>
        <v>#REF!</v>
      </c>
      <c r="CR136" s="4" t="e">
        <f t="shared" si="503"/>
        <v>#REF!</v>
      </c>
      <c r="CS136" s="4" t="e">
        <f t="shared" si="516"/>
        <v>#REF!</v>
      </c>
      <c r="CT136" s="4" t="e">
        <f t="shared" si="517"/>
        <v>#REF!</v>
      </c>
      <c r="DB136" s="4">
        <f t="shared" si="518"/>
        <v>0</v>
      </c>
      <c r="DC136" s="4" t="e">
        <f t="shared" si="467"/>
        <v>#REF!</v>
      </c>
      <c r="DD136" s="4" t="e">
        <f>#REF!/E136</f>
        <v>#REF!</v>
      </c>
      <c r="DF136" s="4" t="e">
        <f t="shared" si="468"/>
        <v>#REF!</v>
      </c>
      <c r="DG136" s="4">
        <f t="shared" si="519"/>
        <v>2.3780879728772248</v>
      </c>
      <c r="DH136" s="4" t="e">
        <f t="shared" si="486"/>
        <v>#REF!</v>
      </c>
      <c r="DI136" s="4" t="e">
        <f t="shared" si="359"/>
        <v>#REF!</v>
      </c>
      <c r="DJ136" s="4" t="e">
        <f t="shared" si="360"/>
        <v>#REF!</v>
      </c>
      <c r="DK136" s="4" t="e">
        <f t="shared" si="487"/>
        <v>#REF!</v>
      </c>
      <c r="DL136" s="38" t="e">
        <f t="shared" si="469"/>
        <v>#REF!</v>
      </c>
      <c r="DM136" s="4" t="e">
        <f t="shared" si="361"/>
        <v>#REF!</v>
      </c>
      <c r="DN136" s="4">
        <f t="shared" si="488"/>
        <v>2.2360679774997898</v>
      </c>
      <c r="DO136" s="4" t="e">
        <f t="shared" si="363"/>
        <v>#REF!</v>
      </c>
      <c r="DS136" s="4">
        <f t="shared" si="470"/>
        <v>1</v>
      </c>
      <c r="DT136" s="4">
        <f t="shared" si="471"/>
        <v>1</v>
      </c>
      <c r="DU136" s="4">
        <f t="shared" si="472"/>
        <v>1</v>
      </c>
      <c r="DV136" s="4">
        <f t="shared" si="504"/>
        <v>1</v>
      </c>
      <c r="DX136" s="4" t="e">
        <f t="shared" si="473"/>
        <v>#REF!</v>
      </c>
      <c r="DY136" s="25" t="e">
        <f t="shared" si="505"/>
        <v>#REF!</v>
      </c>
      <c r="EB136" s="4">
        <f t="shared" si="436"/>
        <v>2.3780879728772248</v>
      </c>
      <c r="EC136" s="4">
        <f t="shared" si="474"/>
        <v>2.3780879728772248</v>
      </c>
      <c r="EE136" s="4">
        <f t="shared" si="475"/>
        <v>63.951544156493995</v>
      </c>
      <c r="EF136" s="4">
        <f t="shared" si="520"/>
        <v>2.2360679774997898</v>
      </c>
      <c r="EG136" s="4" t="e">
        <f t="shared" si="476"/>
        <v>#REF!</v>
      </c>
      <c r="EJ136" s="4" t="e">
        <f t="shared" si="506"/>
        <v>#REF!</v>
      </c>
      <c r="EK136" s="4" t="e">
        <f t="shared" si="477"/>
        <v>#REF!</v>
      </c>
      <c r="EL136" s="4" t="e">
        <f t="shared" si="521"/>
        <v>#REF!</v>
      </c>
      <c r="EM136" s="4" t="e">
        <f t="shared" si="507"/>
        <v>#REF!</v>
      </c>
      <c r="EN136" s="4" t="e">
        <f t="shared" si="522"/>
        <v>#REF!</v>
      </c>
      <c r="EO136" s="4" t="e">
        <f t="shared" si="523"/>
        <v>#REF!</v>
      </c>
      <c r="EP136" s="4" t="e">
        <f t="shared" si="478"/>
        <v>#REF!</v>
      </c>
      <c r="EQ136" s="4" t="e">
        <f t="shared" si="508"/>
        <v>#REF!</v>
      </c>
      <c r="ER136" s="4" t="e">
        <f t="shared" si="479"/>
        <v>#REF!</v>
      </c>
      <c r="ES136" s="4" t="e">
        <f t="shared" si="524"/>
        <v>#REF!</v>
      </c>
      <c r="ET136" s="4" t="e">
        <f t="shared" si="525"/>
        <v>#REF!</v>
      </c>
      <c r="EV136" s="4" t="e">
        <f t="shared" si="489"/>
        <v>#REF!</v>
      </c>
      <c r="FA136" s="23" t="e">
        <f t="shared" si="490"/>
        <v>#REF!</v>
      </c>
      <c r="FB136" s="23" t="e">
        <f t="shared" si="491"/>
        <v>#REF!</v>
      </c>
      <c r="FC136" s="23" t="e">
        <f t="shared" si="527"/>
        <v>#REF!</v>
      </c>
      <c r="FD136" s="23" t="e">
        <f t="shared" si="492"/>
        <v>#REF!</v>
      </c>
      <c r="FE136" s="23" t="e">
        <f t="shared" si="493"/>
        <v>#REF!</v>
      </c>
      <c r="FF136" s="23" t="e">
        <f t="shared" si="494"/>
        <v>#REF!</v>
      </c>
      <c r="FG136" s="23" t="e">
        <f t="shared" si="282"/>
        <v>#REF!</v>
      </c>
      <c r="FH136" s="23"/>
      <c r="FR136" s="4">
        <f t="shared" si="351"/>
        <v>1.25</v>
      </c>
      <c r="FS136" s="4">
        <f t="shared" si="352"/>
        <v>1</v>
      </c>
      <c r="FT136" s="4">
        <f t="shared" si="353"/>
        <v>0</v>
      </c>
      <c r="FU136" s="4" t="e">
        <f t="shared" si="354"/>
        <v>#REF!</v>
      </c>
    </row>
    <row r="137" spans="2:177" ht="12" customHeight="1" x14ac:dyDescent="0.3">
      <c r="B137" s="24"/>
      <c r="C137" s="7" t="s">
        <v>144</v>
      </c>
      <c r="D137" s="7">
        <v>710</v>
      </c>
      <c r="E137" s="7" t="e">
        <f>G137*#REF!</f>
        <v>#REF!</v>
      </c>
      <c r="F137" s="7">
        <v>62.9</v>
      </c>
      <c r="G137" s="7">
        <v>28.6</v>
      </c>
      <c r="H137" s="7">
        <v>261</v>
      </c>
      <c r="I137" s="7">
        <f t="shared" si="528"/>
        <v>28.6</v>
      </c>
      <c r="J137" s="7"/>
      <c r="K137" s="7">
        <f t="shared" si="526"/>
        <v>28.6</v>
      </c>
      <c r="L137" s="7">
        <v>2</v>
      </c>
      <c r="M137" s="7">
        <f t="shared" si="495"/>
        <v>58.2</v>
      </c>
      <c r="N137" s="7">
        <f t="shared" si="510"/>
        <v>1</v>
      </c>
      <c r="O137" s="7">
        <f t="shared" si="496"/>
        <v>1.5000000000000002</v>
      </c>
      <c r="P137" s="7">
        <f t="shared" si="509"/>
        <v>4</v>
      </c>
      <c r="Q137" s="7">
        <f t="shared" si="511"/>
        <v>4</v>
      </c>
      <c r="R137" s="7">
        <v>5</v>
      </c>
      <c r="S137" s="7">
        <f t="shared" si="447"/>
        <v>63.951544156493995</v>
      </c>
      <c r="T137" s="7"/>
      <c r="U137" s="7"/>
      <c r="V137" s="7">
        <v>345</v>
      </c>
      <c r="W137" s="7"/>
      <c r="X137" s="7" t="e">
        <f t="shared" si="482"/>
        <v>#REF!</v>
      </c>
      <c r="Y137" s="7"/>
      <c r="Z137" s="7"/>
      <c r="AA137" s="7">
        <v>1</v>
      </c>
      <c r="AB137" s="7"/>
      <c r="AC137" s="7"/>
      <c r="AD137" s="7"/>
      <c r="AE137" s="4" t="e">
        <f t="shared" si="483"/>
        <v>#REF!</v>
      </c>
      <c r="AF137" s="46" t="e">
        <f t="shared" si="497"/>
        <v>#REF!</v>
      </c>
      <c r="AG137" s="25" t="e">
        <f t="shared" si="448"/>
        <v>#REF!</v>
      </c>
      <c r="AH137" s="4" t="e">
        <f t="shared" si="449"/>
        <v>#REF!</v>
      </c>
      <c r="AI137" s="4">
        <v>1.25</v>
      </c>
      <c r="AJ137" s="25">
        <f t="shared" si="438"/>
        <v>5</v>
      </c>
      <c r="AK137" s="38" t="e">
        <f t="shared" si="480"/>
        <v>#REF!</v>
      </c>
      <c r="AL137" s="38" t="e">
        <f t="shared" si="356"/>
        <v>#REF!</v>
      </c>
      <c r="AN137" s="38" t="e">
        <f t="shared" si="498"/>
        <v>#REF!</v>
      </c>
      <c r="AO137" s="38" t="e">
        <f t="shared" si="316"/>
        <v>#REF!</v>
      </c>
      <c r="AP137" s="38" t="e">
        <f t="shared" si="357"/>
        <v>#REF!</v>
      </c>
      <c r="AQ137" s="4" t="e">
        <f t="shared" si="443"/>
        <v>#REF!</v>
      </c>
      <c r="AR137" s="4" t="e">
        <f>#REF!/G137*F137^0.5/0.19</f>
        <v>#REF!</v>
      </c>
      <c r="AS137" s="4">
        <f t="shared" si="450"/>
        <v>1.2000000000000002</v>
      </c>
      <c r="AT137" s="38">
        <f t="shared" si="451"/>
        <v>301.92</v>
      </c>
      <c r="AU137" s="4">
        <f t="shared" si="452"/>
        <v>0.44000000000000006</v>
      </c>
      <c r="AV137" s="4" t="e">
        <f>AU137*D137*#REF!/(D137*G137/2.75/F137^0.5)</f>
        <v>#REF!</v>
      </c>
      <c r="AW137" s="4" t="e">
        <f t="shared" si="499"/>
        <v>#REF!</v>
      </c>
      <c r="AY137" s="36">
        <f t="shared" ref="AY137:AY153" si="529">MAX(1, (0.9+0.1*MIN(2,I137/G137,K137/G137))*(0.9+0.1*MIN(3.5,I137/K137))+0.45*MIN(2.5,(40*2*PI()*Y137^2/4/AA137/L137)/G137))</f>
        <v>1</v>
      </c>
      <c r="AZ137" s="36" t="e">
        <f>(1.6*#REF!+22)*AY137*F137^0.5</f>
        <v>#REF!</v>
      </c>
      <c r="BE137" s="4">
        <f t="shared" si="453"/>
        <v>20.700000000000003</v>
      </c>
      <c r="BF137" s="4">
        <f t="shared" si="454"/>
        <v>20.700000000000003</v>
      </c>
      <c r="BG137" s="4">
        <f t="shared" si="455"/>
        <v>58.2</v>
      </c>
      <c r="BH137" s="4">
        <f t="shared" si="456"/>
        <v>35</v>
      </c>
      <c r="BI137" s="4">
        <f t="shared" si="512"/>
        <v>1.181159420289855</v>
      </c>
      <c r="BJ137" s="25">
        <f t="shared" si="457"/>
        <v>1.4454748150400323</v>
      </c>
      <c r="BL137" s="4">
        <f t="shared" si="458"/>
        <v>14.3</v>
      </c>
      <c r="BP137" s="9"/>
      <c r="BR137" s="9"/>
      <c r="BS137" s="9"/>
      <c r="BT137" s="9">
        <f t="shared" si="459"/>
        <v>14.3</v>
      </c>
      <c r="BU137" s="9">
        <f t="shared" si="460"/>
        <v>28.6</v>
      </c>
      <c r="BV137" s="9">
        <f t="shared" si="461"/>
        <v>0.78458409789675088</v>
      </c>
      <c r="BW137" s="9">
        <v>0</v>
      </c>
      <c r="BX137" s="9">
        <f t="shared" si="462"/>
        <v>0</v>
      </c>
      <c r="BY137" s="9">
        <f t="shared" si="500"/>
        <v>0</v>
      </c>
      <c r="BZ137" s="9">
        <f t="shared" si="463"/>
        <v>0.96044432035915817</v>
      </c>
      <c r="CA137" s="9">
        <f t="shared" si="464"/>
        <v>0.74299999999999999</v>
      </c>
      <c r="CB137" s="9">
        <f t="shared" si="465"/>
        <v>1.9808626966691243</v>
      </c>
      <c r="CC137" s="9">
        <f t="shared" si="466"/>
        <v>1.5541533719234701</v>
      </c>
      <c r="CD137" s="9">
        <v>1</v>
      </c>
      <c r="CE137" s="9" t="e">
        <f>4*CC137*#REF!+60*CC137</f>
        <v>#REF!</v>
      </c>
      <c r="CG137" s="4" t="e">
        <f t="shared" si="501"/>
        <v>#REF!</v>
      </c>
      <c r="CH137" s="4" t="e">
        <f t="shared" si="502"/>
        <v>#REF!</v>
      </c>
      <c r="CI137" s="4" t="e">
        <f t="shared" si="267"/>
        <v>#REF!</v>
      </c>
      <c r="CJ137" s="4" t="e">
        <f t="shared" si="484"/>
        <v>#REF!</v>
      </c>
      <c r="CK137" s="4" t="e">
        <f t="shared" si="269"/>
        <v>#REF!</v>
      </c>
      <c r="CL137" s="4" t="e">
        <f t="shared" si="270"/>
        <v>#REF!</v>
      </c>
      <c r="CM137" s="4" t="e">
        <f t="shared" si="481"/>
        <v>#REF!</v>
      </c>
      <c r="CO137" s="4" t="e">
        <f t="shared" si="513"/>
        <v>#REF!</v>
      </c>
      <c r="CP137" s="4" t="e">
        <f t="shared" si="514"/>
        <v>#REF!</v>
      </c>
      <c r="CQ137" s="4" t="e">
        <f t="shared" si="515"/>
        <v>#REF!</v>
      </c>
      <c r="CR137" s="4" t="e">
        <f t="shared" si="503"/>
        <v>#REF!</v>
      </c>
      <c r="CS137" s="4" t="e">
        <f t="shared" si="516"/>
        <v>#REF!</v>
      </c>
      <c r="CT137" s="4" t="e">
        <f t="shared" si="517"/>
        <v>#REF!</v>
      </c>
      <c r="DB137" s="4">
        <f t="shared" si="518"/>
        <v>0</v>
      </c>
      <c r="DC137" s="4" t="e">
        <f t="shared" si="467"/>
        <v>#REF!</v>
      </c>
      <c r="DD137" s="4" t="e">
        <f>#REF!/E137</f>
        <v>#REF!</v>
      </c>
      <c r="DF137" s="4" t="e">
        <f t="shared" si="468"/>
        <v>#REF!</v>
      </c>
      <c r="DG137" s="4">
        <f t="shared" si="519"/>
        <v>4.1860577959627587</v>
      </c>
      <c r="DH137" s="4" t="e">
        <f t="shared" si="486"/>
        <v>#REF!</v>
      </c>
      <c r="DI137" s="4" t="e">
        <f t="shared" si="359"/>
        <v>#REF!</v>
      </c>
      <c r="DJ137" s="4" t="e">
        <f t="shared" si="360"/>
        <v>#REF!</v>
      </c>
      <c r="DK137" s="4" t="e">
        <f t="shared" si="487"/>
        <v>#REF!</v>
      </c>
      <c r="DL137" s="38" t="e">
        <f t="shared" si="469"/>
        <v>#REF!</v>
      </c>
      <c r="DM137" s="4" t="e">
        <f t="shared" si="361"/>
        <v>#REF!</v>
      </c>
      <c r="DN137" s="4">
        <f t="shared" si="488"/>
        <v>2.2360679774997898</v>
      </c>
      <c r="DO137" s="4" t="e">
        <f t="shared" si="363"/>
        <v>#REF!</v>
      </c>
      <c r="DS137" s="4">
        <f t="shared" si="470"/>
        <v>1</v>
      </c>
      <c r="DT137" s="4">
        <f t="shared" si="471"/>
        <v>1</v>
      </c>
      <c r="DU137" s="4">
        <f t="shared" si="472"/>
        <v>1</v>
      </c>
      <c r="DV137" s="4">
        <f t="shared" si="504"/>
        <v>1</v>
      </c>
      <c r="DX137" s="4" t="e">
        <f t="shared" si="473"/>
        <v>#REF!</v>
      </c>
      <c r="DY137" s="25" t="e">
        <f t="shared" si="505"/>
        <v>#REF!</v>
      </c>
      <c r="EB137" s="4">
        <f t="shared" si="436"/>
        <v>4.1860577959627587</v>
      </c>
      <c r="EC137" s="4">
        <f t="shared" si="474"/>
        <v>4.1860577959627587</v>
      </c>
      <c r="EE137" s="4">
        <f t="shared" si="475"/>
        <v>63.951544156493995</v>
      </c>
      <c r="EF137" s="4">
        <f t="shared" si="520"/>
        <v>2.2360679774997898</v>
      </c>
      <c r="EG137" s="4" t="e">
        <f t="shared" si="476"/>
        <v>#REF!</v>
      </c>
      <c r="EJ137" s="4" t="e">
        <f t="shared" si="506"/>
        <v>#REF!</v>
      </c>
      <c r="EK137" s="4" t="e">
        <f t="shared" si="477"/>
        <v>#REF!</v>
      </c>
      <c r="EL137" s="4" t="e">
        <f t="shared" si="521"/>
        <v>#REF!</v>
      </c>
      <c r="EM137" s="4" t="e">
        <f t="shared" si="507"/>
        <v>#REF!</v>
      </c>
      <c r="EN137" s="4" t="e">
        <f t="shared" si="522"/>
        <v>#REF!</v>
      </c>
      <c r="EO137" s="4" t="e">
        <f t="shared" si="523"/>
        <v>#REF!</v>
      </c>
      <c r="EP137" s="4" t="e">
        <f t="shared" si="478"/>
        <v>#REF!</v>
      </c>
      <c r="EQ137" s="4" t="e">
        <f t="shared" si="508"/>
        <v>#REF!</v>
      </c>
      <c r="ER137" s="4" t="e">
        <f t="shared" si="479"/>
        <v>#REF!</v>
      </c>
      <c r="ES137" s="4" t="e">
        <f t="shared" si="524"/>
        <v>#REF!</v>
      </c>
      <c r="ET137" s="4" t="e">
        <f t="shared" si="525"/>
        <v>#REF!</v>
      </c>
      <c r="EV137" s="4" t="e">
        <f t="shared" si="489"/>
        <v>#REF!</v>
      </c>
      <c r="FA137" s="23" t="e">
        <f t="shared" si="490"/>
        <v>#REF!</v>
      </c>
      <c r="FB137" s="23" t="e">
        <f t="shared" si="491"/>
        <v>#REF!</v>
      </c>
      <c r="FC137" s="23" t="e">
        <f t="shared" si="527"/>
        <v>#REF!</v>
      </c>
      <c r="FD137" s="23" t="e">
        <f t="shared" si="492"/>
        <v>#REF!</v>
      </c>
      <c r="FE137" s="23" t="e">
        <f t="shared" si="493"/>
        <v>#REF!</v>
      </c>
      <c r="FF137" s="23" t="e">
        <f t="shared" si="494"/>
        <v>#REF!</v>
      </c>
      <c r="FG137" s="23" t="e">
        <f t="shared" si="282"/>
        <v>#REF!</v>
      </c>
      <c r="FH137" s="23"/>
      <c r="FR137" s="4">
        <f t="shared" si="351"/>
        <v>1.25</v>
      </c>
      <c r="FS137" s="4">
        <f t="shared" si="352"/>
        <v>1</v>
      </c>
      <c r="FT137" s="4">
        <f t="shared" si="353"/>
        <v>0</v>
      </c>
      <c r="FU137" s="4" t="e">
        <f t="shared" si="354"/>
        <v>#REF!</v>
      </c>
    </row>
    <row r="138" spans="2:177" ht="12" customHeight="1" x14ac:dyDescent="0.3">
      <c r="B138" s="24"/>
      <c r="C138" s="7" t="s">
        <v>145</v>
      </c>
      <c r="D138" s="7">
        <v>710</v>
      </c>
      <c r="E138" s="7" t="e">
        <f>G138*#REF!</f>
        <v>#REF!</v>
      </c>
      <c r="F138" s="7">
        <v>62.9</v>
      </c>
      <c r="G138" s="7">
        <v>28.6</v>
      </c>
      <c r="H138" s="7">
        <v>261</v>
      </c>
      <c r="I138" s="7">
        <f t="shared" si="528"/>
        <v>28.6</v>
      </c>
      <c r="J138" s="7"/>
      <c r="K138" s="7">
        <f t="shared" si="526"/>
        <v>28.6</v>
      </c>
      <c r="L138" s="7">
        <v>2</v>
      </c>
      <c r="M138" s="7">
        <f t="shared" si="495"/>
        <v>58.2</v>
      </c>
      <c r="N138" s="7">
        <f t="shared" si="510"/>
        <v>1</v>
      </c>
      <c r="O138" s="7">
        <f t="shared" si="496"/>
        <v>1.5000000000000002</v>
      </c>
      <c r="P138" s="7">
        <f t="shared" si="509"/>
        <v>4</v>
      </c>
      <c r="Q138" s="7">
        <f t="shared" si="511"/>
        <v>4</v>
      </c>
      <c r="R138" s="7">
        <v>5</v>
      </c>
      <c r="S138" s="7">
        <f t="shared" si="447"/>
        <v>63.951544156493995</v>
      </c>
      <c r="T138" s="7"/>
      <c r="U138" s="7"/>
      <c r="V138" s="7">
        <v>432</v>
      </c>
      <c r="W138" s="7"/>
      <c r="X138" s="7" t="e">
        <f t="shared" si="482"/>
        <v>#REF!</v>
      </c>
      <c r="Y138" s="7"/>
      <c r="Z138" s="7"/>
      <c r="AA138" s="7">
        <v>1</v>
      </c>
      <c r="AB138" s="7"/>
      <c r="AC138" s="7"/>
      <c r="AD138" s="7"/>
      <c r="AE138" s="4" t="e">
        <f t="shared" si="483"/>
        <v>#REF!</v>
      </c>
      <c r="AF138" s="46" t="e">
        <f t="shared" si="497"/>
        <v>#REF!</v>
      </c>
      <c r="AG138" s="25" t="e">
        <f t="shared" si="448"/>
        <v>#REF!</v>
      </c>
      <c r="AH138" s="4" t="e">
        <f t="shared" si="449"/>
        <v>#REF!</v>
      </c>
      <c r="AI138" s="4">
        <v>1.25</v>
      </c>
      <c r="AJ138" s="25">
        <f t="shared" si="438"/>
        <v>5</v>
      </c>
      <c r="AK138" s="38" t="e">
        <f t="shared" si="480"/>
        <v>#REF!</v>
      </c>
      <c r="AL138" s="38" t="e">
        <f t="shared" si="356"/>
        <v>#REF!</v>
      </c>
      <c r="AN138" s="38" t="e">
        <f t="shared" si="498"/>
        <v>#REF!</v>
      </c>
      <c r="AO138" s="38" t="e">
        <f t="shared" si="316"/>
        <v>#REF!</v>
      </c>
      <c r="AP138" s="38" t="e">
        <f t="shared" si="357"/>
        <v>#REF!</v>
      </c>
      <c r="AQ138" s="4" t="e">
        <f t="shared" si="443"/>
        <v>#REF!</v>
      </c>
      <c r="AR138" s="4" t="e">
        <f>#REF!/G138*F138^0.5/0.19</f>
        <v>#REF!</v>
      </c>
      <c r="AS138" s="4">
        <f t="shared" si="450"/>
        <v>1.2000000000000002</v>
      </c>
      <c r="AT138" s="38">
        <f t="shared" si="451"/>
        <v>301.92</v>
      </c>
      <c r="AU138" s="4">
        <f t="shared" si="452"/>
        <v>0.44000000000000006</v>
      </c>
      <c r="AV138" s="4" t="e">
        <f>AU138*D138*#REF!/(D138*G138/2.75/F138^0.5)</f>
        <v>#REF!</v>
      </c>
      <c r="AW138" s="4" t="e">
        <f t="shared" si="499"/>
        <v>#REF!</v>
      </c>
      <c r="AY138" s="36">
        <f t="shared" si="529"/>
        <v>1</v>
      </c>
      <c r="AZ138" s="36" t="e">
        <f>(1.6*#REF!+22)*AY138*F138^0.5</f>
        <v>#REF!</v>
      </c>
      <c r="BE138" s="4">
        <f t="shared" si="453"/>
        <v>20.700000000000003</v>
      </c>
      <c r="BF138" s="4">
        <f t="shared" si="454"/>
        <v>20.700000000000003</v>
      </c>
      <c r="BG138" s="4">
        <f t="shared" si="455"/>
        <v>58.2</v>
      </c>
      <c r="BH138" s="4">
        <f t="shared" si="456"/>
        <v>35</v>
      </c>
      <c r="BI138" s="4">
        <f t="shared" si="512"/>
        <v>1.181159420289855</v>
      </c>
      <c r="BJ138" s="25">
        <f t="shared" si="457"/>
        <v>1.4454748150400323</v>
      </c>
      <c r="BL138" s="4">
        <f t="shared" si="458"/>
        <v>14.3</v>
      </c>
      <c r="BP138" s="9"/>
      <c r="BR138" s="9"/>
      <c r="BS138" s="9"/>
      <c r="BT138" s="9">
        <f t="shared" si="459"/>
        <v>14.3</v>
      </c>
      <c r="BU138" s="9">
        <f t="shared" si="460"/>
        <v>28.6</v>
      </c>
      <c r="BV138" s="9">
        <f t="shared" si="461"/>
        <v>0.78458409789675088</v>
      </c>
      <c r="BW138" s="9">
        <v>0</v>
      </c>
      <c r="BX138" s="9">
        <f t="shared" si="462"/>
        <v>0</v>
      </c>
      <c r="BY138" s="9">
        <f t="shared" si="500"/>
        <v>0</v>
      </c>
      <c r="BZ138" s="9">
        <f t="shared" si="463"/>
        <v>0.96044432035915817</v>
      </c>
      <c r="CA138" s="9">
        <f t="shared" si="464"/>
        <v>0.74299999999999999</v>
      </c>
      <c r="CB138" s="9">
        <f t="shared" si="465"/>
        <v>1.9808626966691243</v>
      </c>
      <c r="CC138" s="9">
        <f t="shared" si="466"/>
        <v>1.5541533719234701</v>
      </c>
      <c r="CD138" s="9">
        <v>1</v>
      </c>
      <c r="CE138" s="9" t="e">
        <f>4*CC138*#REF!+60*CC138</f>
        <v>#REF!</v>
      </c>
      <c r="CG138" s="4" t="e">
        <f t="shared" si="501"/>
        <v>#REF!</v>
      </c>
      <c r="CH138" s="4" t="e">
        <f t="shared" si="502"/>
        <v>#REF!</v>
      </c>
      <c r="CI138" s="4" t="e">
        <f t="shared" si="267"/>
        <v>#REF!</v>
      </c>
      <c r="CJ138" s="4" t="e">
        <f t="shared" si="484"/>
        <v>#REF!</v>
      </c>
      <c r="CK138" s="4" t="e">
        <f t="shared" si="269"/>
        <v>#REF!</v>
      </c>
      <c r="CL138" s="4" t="e">
        <f t="shared" si="270"/>
        <v>#REF!</v>
      </c>
      <c r="CM138" s="4" t="e">
        <f t="shared" si="481"/>
        <v>#REF!</v>
      </c>
      <c r="CO138" s="4" t="e">
        <f t="shared" si="513"/>
        <v>#REF!</v>
      </c>
      <c r="CP138" s="4" t="e">
        <f t="shared" si="514"/>
        <v>#REF!</v>
      </c>
      <c r="CQ138" s="4" t="e">
        <f t="shared" si="515"/>
        <v>#REF!</v>
      </c>
      <c r="CR138" s="4" t="e">
        <f t="shared" si="503"/>
        <v>#REF!</v>
      </c>
      <c r="CS138" s="4" t="e">
        <f t="shared" si="516"/>
        <v>#REF!</v>
      </c>
      <c r="CT138" s="4" t="e">
        <f t="shared" si="517"/>
        <v>#REF!</v>
      </c>
      <c r="DB138" s="4">
        <f t="shared" si="518"/>
        <v>0</v>
      </c>
      <c r="DC138" s="4" t="e">
        <f t="shared" si="467"/>
        <v>#REF!</v>
      </c>
      <c r="DD138" s="4" t="e">
        <f>#REF!/E138</f>
        <v>#REF!</v>
      </c>
      <c r="DF138" s="4" t="e">
        <f t="shared" si="468"/>
        <v>#REF!</v>
      </c>
      <c r="DG138" s="4">
        <f t="shared" si="519"/>
        <v>4.1860577959627587</v>
      </c>
      <c r="DH138" s="4" t="e">
        <f t="shared" si="486"/>
        <v>#REF!</v>
      </c>
      <c r="DI138" s="4" t="e">
        <f t="shared" si="359"/>
        <v>#REF!</v>
      </c>
      <c r="DJ138" s="4" t="e">
        <f t="shared" si="360"/>
        <v>#REF!</v>
      </c>
      <c r="DK138" s="4" t="e">
        <f t="shared" si="487"/>
        <v>#REF!</v>
      </c>
      <c r="DL138" s="38" t="e">
        <f t="shared" si="469"/>
        <v>#REF!</v>
      </c>
      <c r="DM138" s="4" t="e">
        <f t="shared" si="361"/>
        <v>#REF!</v>
      </c>
      <c r="DN138" s="4">
        <f t="shared" si="488"/>
        <v>2.2360679774997898</v>
      </c>
      <c r="DO138" s="4" t="e">
        <f t="shared" si="363"/>
        <v>#REF!</v>
      </c>
      <c r="DS138" s="4">
        <f t="shared" si="470"/>
        <v>1</v>
      </c>
      <c r="DT138" s="4">
        <f t="shared" si="471"/>
        <v>1</v>
      </c>
      <c r="DU138" s="4">
        <f t="shared" si="472"/>
        <v>1</v>
      </c>
      <c r="DV138" s="4">
        <f t="shared" si="504"/>
        <v>1</v>
      </c>
      <c r="DX138" s="4" t="e">
        <f t="shared" si="473"/>
        <v>#REF!</v>
      </c>
      <c r="DY138" s="25" t="e">
        <f t="shared" si="505"/>
        <v>#REF!</v>
      </c>
      <c r="EB138" s="4">
        <f t="shared" si="436"/>
        <v>4.1860577959627587</v>
      </c>
      <c r="EC138" s="4">
        <f t="shared" si="474"/>
        <v>4.1860577959627587</v>
      </c>
      <c r="EE138" s="4">
        <f t="shared" si="475"/>
        <v>63.951544156493995</v>
      </c>
      <c r="EF138" s="4">
        <f t="shared" si="520"/>
        <v>2.2360679774997898</v>
      </c>
      <c r="EG138" s="4" t="e">
        <f t="shared" si="476"/>
        <v>#REF!</v>
      </c>
      <c r="EJ138" s="4" t="e">
        <f t="shared" si="506"/>
        <v>#REF!</v>
      </c>
      <c r="EK138" s="4" t="e">
        <f t="shared" si="477"/>
        <v>#REF!</v>
      </c>
      <c r="EL138" s="4" t="e">
        <f t="shared" si="521"/>
        <v>#REF!</v>
      </c>
      <c r="EM138" s="4" t="e">
        <f t="shared" si="507"/>
        <v>#REF!</v>
      </c>
      <c r="EN138" s="4" t="e">
        <f t="shared" si="522"/>
        <v>#REF!</v>
      </c>
      <c r="EO138" s="4" t="e">
        <f t="shared" si="523"/>
        <v>#REF!</v>
      </c>
      <c r="EP138" s="4" t="e">
        <f t="shared" si="478"/>
        <v>#REF!</v>
      </c>
      <c r="EQ138" s="4" t="e">
        <f t="shared" si="508"/>
        <v>#REF!</v>
      </c>
      <c r="ER138" s="4" t="e">
        <f t="shared" si="479"/>
        <v>#REF!</v>
      </c>
      <c r="ES138" s="4" t="e">
        <f t="shared" si="524"/>
        <v>#REF!</v>
      </c>
      <c r="ET138" s="4" t="e">
        <f t="shared" si="525"/>
        <v>#REF!</v>
      </c>
      <c r="EV138" s="4" t="e">
        <f t="shared" si="489"/>
        <v>#REF!</v>
      </c>
      <c r="FA138" s="23" t="e">
        <f t="shared" si="490"/>
        <v>#REF!</v>
      </c>
      <c r="FB138" s="23" t="e">
        <f t="shared" si="491"/>
        <v>#REF!</v>
      </c>
      <c r="FC138" s="23" t="e">
        <f t="shared" si="527"/>
        <v>#REF!</v>
      </c>
      <c r="FD138" s="23" t="e">
        <f t="shared" si="492"/>
        <v>#REF!</v>
      </c>
      <c r="FE138" s="23" t="e">
        <f t="shared" si="493"/>
        <v>#REF!</v>
      </c>
      <c r="FF138" s="23" t="e">
        <f t="shared" si="494"/>
        <v>#REF!</v>
      </c>
      <c r="FG138" s="23" t="e">
        <f t="shared" si="282"/>
        <v>#REF!</v>
      </c>
      <c r="FH138" s="23"/>
      <c r="FR138" s="4">
        <f t="shared" si="351"/>
        <v>1.25</v>
      </c>
      <c r="FS138" s="4">
        <f t="shared" si="352"/>
        <v>1</v>
      </c>
      <c r="FT138" s="4">
        <f t="shared" si="353"/>
        <v>0</v>
      </c>
      <c r="FU138" s="4" t="e">
        <f t="shared" si="354"/>
        <v>#REF!</v>
      </c>
    </row>
    <row r="139" spans="2:177" ht="12" customHeight="1" x14ac:dyDescent="0.3">
      <c r="B139" s="24"/>
      <c r="C139" s="7" t="s">
        <v>146</v>
      </c>
      <c r="D139" s="7">
        <v>710</v>
      </c>
      <c r="E139" s="7" t="e">
        <f>G139*#REF!</f>
        <v>#REF!</v>
      </c>
      <c r="F139" s="7">
        <v>62.9</v>
      </c>
      <c r="G139" s="7">
        <v>28.6</v>
      </c>
      <c r="H139" s="7">
        <v>261</v>
      </c>
      <c r="I139" s="7">
        <f t="shared" si="528"/>
        <v>28.6</v>
      </c>
      <c r="J139" s="7"/>
      <c r="K139" s="7">
        <f t="shared" si="526"/>
        <v>28.6</v>
      </c>
      <c r="L139" s="7">
        <v>2</v>
      </c>
      <c r="M139" s="7">
        <f t="shared" si="495"/>
        <v>58.2</v>
      </c>
      <c r="N139" s="7">
        <f t="shared" si="510"/>
        <v>1</v>
      </c>
      <c r="O139" s="7">
        <f t="shared" si="496"/>
        <v>1.5000000000000002</v>
      </c>
      <c r="P139" s="7">
        <f t="shared" si="509"/>
        <v>4</v>
      </c>
      <c r="Q139" s="7">
        <f t="shared" si="511"/>
        <v>4</v>
      </c>
      <c r="R139" s="7">
        <v>5</v>
      </c>
      <c r="S139" s="7">
        <f t="shared" si="447"/>
        <v>63.951544156493995</v>
      </c>
      <c r="T139" s="7"/>
      <c r="U139" s="7"/>
      <c r="V139" s="7">
        <v>464</v>
      </c>
      <c r="W139" s="7"/>
      <c r="X139" s="7" t="e">
        <f t="shared" si="482"/>
        <v>#REF!</v>
      </c>
      <c r="Y139" s="7"/>
      <c r="Z139" s="7"/>
      <c r="AA139" s="7">
        <v>1</v>
      </c>
      <c r="AB139" s="7"/>
      <c r="AC139" s="7"/>
      <c r="AD139" s="7"/>
      <c r="AE139" s="4" t="e">
        <f t="shared" si="483"/>
        <v>#REF!</v>
      </c>
      <c r="AF139" s="46" t="e">
        <f t="shared" si="497"/>
        <v>#REF!</v>
      </c>
      <c r="AG139" s="25" t="e">
        <f t="shared" si="448"/>
        <v>#REF!</v>
      </c>
      <c r="AH139" s="4" t="e">
        <f t="shared" si="449"/>
        <v>#REF!</v>
      </c>
      <c r="AI139" s="4">
        <v>1.25</v>
      </c>
      <c r="AJ139" s="25">
        <f t="shared" si="438"/>
        <v>5</v>
      </c>
      <c r="AK139" s="38" t="e">
        <f t="shared" si="480"/>
        <v>#REF!</v>
      </c>
      <c r="AL139" s="38" t="e">
        <f t="shared" si="356"/>
        <v>#REF!</v>
      </c>
      <c r="AN139" s="38" t="e">
        <f t="shared" si="498"/>
        <v>#REF!</v>
      </c>
      <c r="AO139" s="38" t="e">
        <f t="shared" si="316"/>
        <v>#REF!</v>
      </c>
      <c r="AP139" s="38" t="e">
        <f t="shared" si="357"/>
        <v>#REF!</v>
      </c>
      <c r="AQ139" s="4" t="e">
        <f t="shared" si="443"/>
        <v>#REF!</v>
      </c>
      <c r="AR139" s="4" t="e">
        <f>#REF!/G139*F139^0.5/0.19</f>
        <v>#REF!</v>
      </c>
      <c r="AS139" s="4">
        <f t="shared" si="450"/>
        <v>1.2000000000000002</v>
      </c>
      <c r="AT139" s="38">
        <f t="shared" si="451"/>
        <v>301.92</v>
      </c>
      <c r="AU139" s="4">
        <f t="shared" si="452"/>
        <v>0.44000000000000006</v>
      </c>
      <c r="AV139" s="4" t="e">
        <f>AU139*D139*#REF!/(D139*G139/2.75/F139^0.5)</f>
        <v>#REF!</v>
      </c>
      <c r="AW139" s="4" t="e">
        <f t="shared" si="499"/>
        <v>#REF!</v>
      </c>
      <c r="AY139" s="36">
        <f t="shared" si="529"/>
        <v>1</v>
      </c>
      <c r="AZ139" s="36" t="e">
        <f>(1.6*#REF!+22)*AY139*F139^0.5</f>
        <v>#REF!</v>
      </c>
      <c r="BE139" s="4">
        <f t="shared" si="453"/>
        <v>20.700000000000003</v>
      </c>
      <c r="BF139" s="4">
        <f t="shared" si="454"/>
        <v>20.700000000000003</v>
      </c>
      <c r="BG139" s="4">
        <f t="shared" si="455"/>
        <v>58.2</v>
      </c>
      <c r="BH139" s="4">
        <f t="shared" si="456"/>
        <v>35</v>
      </c>
      <c r="BI139" s="4">
        <f t="shared" si="512"/>
        <v>1.181159420289855</v>
      </c>
      <c r="BJ139" s="25">
        <f t="shared" si="457"/>
        <v>1.4454748150400323</v>
      </c>
      <c r="BL139" s="4">
        <f t="shared" si="458"/>
        <v>14.3</v>
      </c>
      <c r="BP139" s="9"/>
      <c r="BR139" s="9"/>
      <c r="BS139" s="9"/>
      <c r="BT139" s="9">
        <f t="shared" si="459"/>
        <v>14.3</v>
      </c>
      <c r="BU139" s="9">
        <f t="shared" si="460"/>
        <v>28.6</v>
      </c>
      <c r="BV139" s="9">
        <f t="shared" si="461"/>
        <v>0.78458409789675088</v>
      </c>
      <c r="BW139" s="9">
        <v>0</v>
      </c>
      <c r="BX139" s="9">
        <f t="shared" si="462"/>
        <v>0</v>
      </c>
      <c r="BY139" s="9">
        <f t="shared" si="500"/>
        <v>0</v>
      </c>
      <c r="BZ139" s="9">
        <f t="shared" si="463"/>
        <v>0.96044432035915817</v>
      </c>
      <c r="CA139" s="9">
        <f t="shared" si="464"/>
        <v>0.74299999999999999</v>
      </c>
      <c r="CB139" s="9">
        <f t="shared" si="465"/>
        <v>1.9808626966691243</v>
      </c>
      <c r="CC139" s="9">
        <f t="shared" si="466"/>
        <v>1.5541533719234701</v>
      </c>
      <c r="CD139" s="9">
        <v>1</v>
      </c>
      <c r="CE139" s="9" t="e">
        <f>4*CC139*#REF!+60*CC139</f>
        <v>#REF!</v>
      </c>
      <c r="CG139" s="4" t="e">
        <f t="shared" si="501"/>
        <v>#REF!</v>
      </c>
      <c r="CH139" s="4" t="e">
        <f t="shared" si="502"/>
        <v>#REF!</v>
      </c>
      <c r="CI139" s="4" t="e">
        <f t="shared" ref="CI139:CI147" si="530">V139/AZ139</f>
        <v>#REF!</v>
      </c>
      <c r="CJ139" s="4" t="e">
        <f t="shared" si="484"/>
        <v>#REF!</v>
      </c>
      <c r="CK139" s="4" t="e">
        <f t="shared" ref="CK139:CK147" si="531">V139/DL139</f>
        <v>#REF!</v>
      </c>
      <c r="CL139" s="4" t="e">
        <f t="shared" ref="CL139:CL147" si="532">V139/DX139</f>
        <v>#REF!</v>
      </c>
      <c r="CM139" s="4" t="e">
        <f t="shared" si="481"/>
        <v>#REF!</v>
      </c>
      <c r="CO139" s="4" t="e">
        <f t="shared" si="513"/>
        <v>#REF!</v>
      </c>
      <c r="CP139" s="4" t="e">
        <f t="shared" si="514"/>
        <v>#REF!</v>
      </c>
      <c r="CQ139" s="4" t="e">
        <f t="shared" si="515"/>
        <v>#REF!</v>
      </c>
      <c r="CR139" s="4" t="e">
        <f t="shared" si="503"/>
        <v>#REF!</v>
      </c>
      <c r="CS139" s="4" t="e">
        <f t="shared" si="516"/>
        <v>#REF!</v>
      </c>
      <c r="CT139" s="4" t="e">
        <f t="shared" si="517"/>
        <v>#REF!</v>
      </c>
      <c r="DB139" s="4">
        <f t="shared" si="518"/>
        <v>0</v>
      </c>
      <c r="DC139" s="4" t="e">
        <f t="shared" si="467"/>
        <v>#REF!</v>
      </c>
      <c r="DD139" s="4" t="e">
        <f>#REF!/E139</f>
        <v>#REF!</v>
      </c>
      <c r="DF139" s="4" t="e">
        <f t="shared" si="468"/>
        <v>#REF!</v>
      </c>
      <c r="DG139" s="4">
        <f t="shared" si="519"/>
        <v>4.1860577959627587</v>
      </c>
      <c r="DH139" s="4" t="e">
        <f t="shared" si="486"/>
        <v>#REF!</v>
      </c>
      <c r="DI139" s="4" t="e">
        <f t="shared" si="359"/>
        <v>#REF!</v>
      </c>
      <c r="DJ139" s="4" t="e">
        <f t="shared" si="360"/>
        <v>#REF!</v>
      </c>
      <c r="DK139" s="4" t="e">
        <f t="shared" si="487"/>
        <v>#REF!</v>
      </c>
      <c r="DL139" s="38" t="e">
        <f t="shared" si="469"/>
        <v>#REF!</v>
      </c>
      <c r="DM139" s="4" t="e">
        <f t="shared" si="361"/>
        <v>#REF!</v>
      </c>
      <c r="DN139" s="4">
        <f t="shared" si="488"/>
        <v>2.2360679774997898</v>
      </c>
      <c r="DO139" s="4" t="e">
        <f t="shared" si="363"/>
        <v>#REF!</v>
      </c>
      <c r="DS139" s="4">
        <f t="shared" si="470"/>
        <v>1</v>
      </c>
      <c r="DT139" s="4">
        <f t="shared" si="471"/>
        <v>1</v>
      </c>
      <c r="DU139" s="4">
        <f t="shared" si="472"/>
        <v>1</v>
      </c>
      <c r="DV139" s="4">
        <f t="shared" si="504"/>
        <v>1</v>
      </c>
      <c r="DX139" s="4" t="e">
        <f t="shared" si="473"/>
        <v>#REF!</v>
      </c>
      <c r="DY139" s="25" t="e">
        <f t="shared" si="505"/>
        <v>#REF!</v>
      </c>
      <c r="EB139" s="4">
        <f t="shared" si="436"/>
        <v>4.1860577959627587</v>
      </c>
      <c r="EC139" s="4">
        <f t="shared" si="474"/>
        <v>4.1860577959627587</v>
      </c>
      <c r="EE139" s="4">
        <f t="shared" si="475"/>
        <v>63.951544156493995</v>
      </c>
      <c r="EF139" s="4">
        <f t="shared" si="520"/>
        <v>2.2360679774997898</v>
      </c>
      <c r="EG139" s="4" t="e">
        <f t="shared" si="476"/>
        <v>#REF!</v>
      </c>
      <c r="EJ139" s="4" t="e">
        <f t="shared" si="506"/>
        <v>#REF!</v>
      </c>
      <c r="EK139" s="4" t="e">
        <f t="shared" si="477"/>
        <v>#REF!</v>
      </c>
      <c r="EL139" s="4" t="e">
        <f t="shared" si="521"/>
        <v>#REF!</v>
      </c>
      <c r="EM139" s="4" t="e">
        <f t="shared" si="507"/>
        <v>#REF!</v>
      </c>
      <c r="EN139" s="4" t="e">
        <f t="shared" si="522"/>
        <v>#REF!</v>
      </c>
      <c r="EO139" s="4" t="e">
        <f t="shared" si="523"/>
        <v>#REF!</v>
      </c>
      <c r="EP139" s="4" t="e">
        <f t="shared" si="478"/>
        <v>#REF!</v>
      </c>
      <c r="EQ139" s="4" t="e">
        <f t="shared" si="508"/>
        <v>#REF!</v>
      </c>
      <c r="ER139" s="4" t="e">
        <f t="shared" si="479"/>
        <v>#REF!</v>
      </c>
      <c r="ES139" s="4" t="e">
        <f t="shared" si="524"/>
        <v>#REF!</v>
      </c>
      <c r="ET139" s="4" t="e">
        <f t="shared" si="525"/>
        <v>#REF!</v>
      </c>
      <c r="EV139" s="4" t="e">
        <f t="shared" si="489"/>
        <v>#REF!</v>
      </c>
      <c r="FA139" s="23" t="e">
        <f t="shared" si="490"/>
        <v>#REF!</v>
      </c>
      <c r="FB139" s="23" t="e">
        <f t="shared" si="491"/>
        <v>#REF!</v>
      </c>
      <c r="FC139" s="23" t="e">
        <f t="shared" si="527"/>
        <v>#REF!</v>
      </c>
      <c r="FD139" s="23" t="e">
        <f t="shared" si="492"/>
        <v>#REF!</v>
      </c>
      <c r="FE139" s="23" t="e">
        <f t="shared" si="493"/>
        <v>#REF!</v>
      </c>
      <c r="FF139" s="23" t="e">
        <f t="shared" si="494"/>
        <v>#REF!</v>
      </c>
      <c r="FG139" s="23" t="e">
        <f t="shared" ref="FG139:FG153" si="533">IF(FE139&lt;1,1,0)</f>
        <v>#REF!</v>
      </c>
      <c r="FH139" s="23"/>
      <c r="FR139" s="4">
        <f t="shared" si="351"/>
        <v>1.25</v>
      </c>
      <c r="FS139" s="4">
        <f t="shared" si="352"/>
        <v>1</v>
      </c>
      <c r="FT139" s="4">
        <f t="shared" si="353"/>
        <v>0</v>
      </c>
      <c r="FU139" s="4" t="e">
        <f t="shared" si="354"/>
        <v>#REF!</v>
      </c>
    </row>
    <row r="140" spans="2:177" ht="12" customHeight="1" x14ac:dyDescent="0.3">
      <c r="B140" s="24" t="s">
        <v>292</v>
      </c>
      <c r="C140" s="7" t="s">
        <v>138</v>
      </c>
      <c r="D140" s="7">
        <v>710</v>
      </c>
      <c r="E140" s="7" t="e">
        <f>G140*#REF!</f>
        <v>#REF!</v>
      </c>
      <c r="F140" s="7">
        <v>41.4</v>
      </c>
      <c r="G140" s="7">
        <v>28.6</v>
      </c>
      <c r="H140" s="7">
        <v>261</v>
      </c>
      <c r="I140" s="7">
        <f t="shared" si="528"/>
        <v>28.6</v>
      </c>
      <c r="J140" s="7"/>
      <c r="K140" s="7">
        <f t="shared" si="526"/>
        <v>28.6</v>
      </c>
      <c r="L140" s="7">
        <v>2</v>
      </c>
      <c r="M140" s="7">
        <f t="shared" si="495"/>
        <v>58.2</v>
      </c>
      <c r="N140" s="7">
        <f t="shared" si="510"/>
        <v>1</v>
      </c>
      <c r="O140" s="7">
        <f t="shared" si="496"/>
        <v>1.5000000000000002</v>
      </c>
      <c r="P140" s="7">
        <f t="shared" si="509"/>
        <v>4</v>
      </c>
      <c r="Q140" s="7">
        <f t="shared" si="511"/>
        <v>4</v>
      </c>
      <c r="R140" s="7">
        <v>5</v>
      </c>
      <c r="S140" s="7">
        <f t="shared" si="447"/>
        <v>63.951544156493995</v>
      </c>
      <c r="T140" s="7"/>
      <c r="U140" s="7"/>
      <c r="V140" s="7">
        <v>484</v>
      </c>
      <c r="W140" s="7"/>
      <c r="X140" s="7" t="e">
        <f t="shared" si="482"/>
        <v>#REF!</v>
      </c>
      <c r="Y140" s="7">
        <v>9.5</v>
      </c>
      <c r="Z140" s="7">
        <v>7</v>
      </c>
      <c r="AA140" s="7">
        <v>65</v>
      </c>
      <c r="AB140" s="7">
        <v>7</v>
      </c>
      <c r="AC140" s="7">
        <v>7</v>
      </c>
      <c r="AD140" s="7">
        <f t="shared" ref="AD140:AD153" si="534">MIN(2.5,(40*2*PI()*Y140^2/4/AA140/L140)/G140)</f>
        <v>1.5251680311268359</v>
      </c>
      <c r="AE140" s="4" t="e">
        <f t="shared" si="483"/>
        <v>#REF!</v>
      </c>
      <c r="AF140" s="46" t="e">
        <f t="shared" si="497"/>
        <v>#REF!</v>
      </c>
      <c r="AG140" s="25" t="e">
        <f t="shared" si="448"/>
        <v>#REF!</v>
      </c>
      <c r="AH140" s="4" t="e">
        <f t="shared" si="449"/>
        <v>#REF!</v>
      </c>
      <c r="AI140" s="4">
        <v>1.25</v>
      </c>
      <c r="AJ140" s="25">
        <f t="shared" si="438"/>
        <v>5</v>
      </c>
      <c r="AK140" s="38" t="e">
        <f t="shared" si="480"/>
        <v>#REF!</v>
      </c>
      <c r="AL140" s="38" t="e">
        <f t="shared" si="356"/>
        <v>#REF!</v>
      </c>
      <c r="AN140" s="38" t="e">
        <f t="shared" si="498"/>
        <v>#REF!</v>
      </c>
      <c r="AO140" s="38" t="e">
        <f t="shared" si="316"/>
        <v>#REF!</v>
      </c>
      <c r="AP140" s="38" t="e">
        <f t="shared" si="357"/>
        <v>#REF!</v>
      </c>
      <c r="AQ140" s="4" t="e">
        <f t="shared" si="443"/>
        <v>#REF!</v>
      </c>
      <c r="AR140" s="4" t="e">
        <f>#REF!/G140*F140^0.5/0.19</f>
        <v>#REF!</v>
      </c>
      <c r="AS140" s="4">
        <f t="shared" si="450"/>
        <v>1.2000000000000002</v>
      </c>
      <c r="AT140" s="38">
        <f t="shared" si="451"/>
        <v>198.72000000000003</v>
      </c>
      <c r="AU140" s="4">
        <f t="shared" si="452"/>
        <v>0.44000000000000006</v>
      </c>
      <c r="AV140" s="4" t="e">
        <f>AU140*D140*#REF!/(D140*G140/2.75/F140^0.5)</f>
        <v>#REF!</v>
      </c>
      <c r="AW140" s="4" t="e">
        <f t="shared" si="499"/>
        <v>#REF!</v>
      </c>
      <c r="AY140" s="36">
        <f t="shared" si="529"/>
        <v>1.6863256140070761</v>
      </c>
      <c r="AZ140" s="36" t="e">
        <f>(1.6*#REF!+22)*AY140*F140^0.5</f>
        <v>#REF!</v>
      </c>
      <c r="BE140" s="4">
        <f t="shared" si="453"/>
        <v>20.700000000000003</v>
      </c>
      <c r="BF140" s="4">
        <f t="shared" si="454"/>
        <v>20.700000000000003</v>
      </c>
      <c r="BG140" s="4">
        <f t="shared" si="455"/>
        <v>58.2</v>
      </c>
      <c r="BH140" s="4">
        <f t="shared" si="456"/>
        <v>35</v>
      </c>
      <c r="BI140" s="4">
        <f t="shared" si="512"/>
        <v>1.181159420289855</v>
      </c>
      <c r="BJ140" s="25">
        <f t="shared" si="457"/>
        <v>3.0322956128775931</v>
      </c>
      <c r="BL140" s="4">
        <f t="shared" si="458"/>
        <v>14.3</v>
      </c>
      <c r="BP140" s="9"/>
      <c r="BR140" s="9"/>
      <c r="BS140" s="9"/>
      <c r="BT140" s="9">
        <f t="shared" si="459"/>
        <v>14.3</v>
      </c>
      <c r="BU140" s="9">
        <f t="shared" si="460"/>
        <v>28.6</v>
      </c>
      <c r="BV140" s="9">
        <f t="shared" si="461"/>
        <v>0.78458409789675088</v>
      </c>
      <c r="BW140" s="9">
        <v>20</v>
      </c>
      <c r="BX140" s="9">
        <f t="shared" si="462"/>
        <v>0.05</v>
      </c>
      <c r="BY140" s="9">
        <f t="shared" si="500"/>
        <v>0.8</v>
      </c>
      <c r="BZ140" s="9">
        <f t="shared" si="463"/>
        <v>0.96044432035915817</v>
      </c>
      <c r="CA140" s="9">
        <f t="shared" si="464"/>
        <v>0.74299999999999999</v>
      </c>
      <c r="CB140" s="9">
        <f t="shared" si="465"/>
        <v>1.6070493790635749</v>
      </c>
      <c r="CC140" s="9">
        <f t="shared" si="466"/>
        <v>2.5465048905989884</v>
      </c>
      <c r="CD140" s="9">
        <v>1</v>
      </c>
      <c r="CE140" s="9" t="e">
        <f>4*CC140*#REF!+60*CC140</f>
        <v>#REF!</v>
      </c>
      <c r="CG140" s="4" t="e">
        <f t="shared" si="501"/>
        <v>#REF!</v>
      </c>
      <c r="CH140" s="4" t="e">
        <f t="shared" si="502"/>
        <v>#REF!</v>
      </c>
      <c r="CI140" s="4" t="e">
        <f t="shared" si="530"/>
        <v>#REF!</v>
      </c>
      <c r="CJ140" s="4" t="e">
        <f t="shared" si="484"/>
        <v>#REF!</v>
      </c>
      <c r="CK140" s="4" t="e">
        <f t="shared" si="531"/>
        <v>#REF!</v>
      </c>
      <c r="CL140" s="4" t="e">
        <f t="shared" si="532"/>
        <v>#REF!</v>
      </c>
      <c r="CM140" s="4" t="e">
        <f t="shared" si="481"/>
        <v>#REF!</v>
      </c>
      <c r="CU140" s="4" t="e">
        <f t="shared" ref="CU140:CU147" si="535">CG140</f>
        <v>#REF!</v>
      </c>
      <c r="CV140" s="4" t="e">
        <f t="shared" ref="CV140:CV147" si="536">CH140</f>
        <v>#REF!</v>
      </c>
      <c r="CW140" s="4" t="e">
        <f t="shared" ref="CW140:CW147" si="537">CJ140</f>
        <v>#REF!</v>
      </c>
      <c r="CX140" s="4" t="e">
        <f t="shared" ref="CX140:CX153" si="538">CM140</f>
        <v>#REF!</v>
      </c>
      <c r="CY140" s="4" t="e">
        <f t="shared" ref="CY140:CY147" si="539">CK140</f>
        <v>#REF!</v>
      </c>
      <c r="CZ140" s="4" t="e">
        <f t="shared" ref="CZ140:CZ147" si="540">CL140</f>
        <v>#REF!</v>
      </c>
      <c r="DB140" s="4">
        <f t="shared" si="518"/>
        <v>7</v>
      </c>
      <c r="DC140" s="4" t="e">
        <f t="shared" si="467"/>
        <v>#REF!</v>
      </c>
      <c r="DD140" s="4" t="e">
        <f>#REF!/E140</f>
        <v>#REF!</v>
      </c>
      <c r="DF140" s="4" t="e">
        <f t="shared" si="468"/>
        <v>#REF!</v>
      </c>
      <c r="DG140" s="4">
        <f t="shared" si="519"/>
        <v>7.1242815844827039</v>
      </c>
      <c r="DH140" s="4" t="e">
        <f t="shared" si="486"/>
        <v>#REF!</v>
      </c>
      <c r="DI140" s="4" t="e">
        <f t="shared" si="359"/>
        <v>#REF!</v>
      </c>
      <c r="DJ140" s="4" t="e">
        <f t="shared" si="360"/>
        <v>#REF!</v>
      </c>
      <c r="DK140" s="4" t="e">
        <f t="shared" si="487"/>
        <v>#REF!</v>
      </c>
      <c r="DL140" s="38" t="e">
        <f t="shared" si="469"/>
        <v>#REF!</v>
      </c>
      <c r="DM140" s="4" t="e">
        <f t="shared" si="361"/>
        <v>#REF!</v>
      </c>
      <c r="DN140" s="4">
        <f t="shared" si="488"/>
        <v>2.2360679774997898</v>
      </c>
      <c r="DO140" s="4" t="e">
        <f t="shared" si="363"/>
        <v>#REF!</v>
      </c>
      <c r="DS140" s="4">
        <f t="shared" si="470"/>
        <v>1</v>
      </c>
      <c r="DT140" s="4">
        <f t="shared" si="471"/>
        <v>1</v>
      </c>
      <c r="DU140" s="4">
        <f t="shared" si="472"/>
        <v>0.7</v>
      </c>
      <c r="DV140" s="4">
        <f t="shared" si="504"/>
        <v>0.7</v>
      </c>
      <c r="DX140" s="4" t="e">
        <f t="shared" si="473"/>
        <v>#REF!</v>
      </c>
      <c r="DY140" s="25" t="e">
        <f t="shared" si="505"/>
        <v>#REF!</v>
      </c>
      <c r="EB140" s="4">
        <f t="shared" si="436"/>
        <v>7.1242815844827039</v>
      </c>
      <c r="EC140" s="4">
        <f t="shared" si="474"/>
        <v>7.1242815844827039</v>
      </c>
      <c r="EE140" s="4">
        <f t="shared" si="475"/>
        <v>63.951544156493995</v>
      </c>
      <c r="EF140" s="4">
        <f t="shared" si="520"/>
        <v>2.2360679774997898</v>
      </c>
      <c r="EG140" s="4" t="e">
        <f t="shared" si="476"/>
        <v>#REF!</v>
      </c>
      <c r="EJ140" s="4" t="e">
        <f t="shared" si="506"/>
        <v>#REF!</v>
      </c>
      <c r="EK140" s="4" t="e">
        <f t="shared" si="477"/>
        <v>#REF!</v>
      </c>
      <c r="EL140" s="4" t="e">
        <f t="shared" si="521"/>
        <v>#REF!</v>
      </c>
      <c r="EM140" s="4" t="e">
        <f t="shared" si="507"/>
        <v>#REF!</v>
      </c>
      <c r="EN140" s="4" t="e">
        <f t="shared" si="522"/>
        <v>#REF!</v>
      </c>
      <c r="EO140" s="4" t="e">
        <f t="shared" si="523"/>
        <v>#REF!</v>
      </c>
      <c r="EP140" s="4" t="e">
        <f t="shared" si="478"/>
        <v>#REF!</v>
      </c>
      <c r="EQ140" s="4" t="e">
        <f t="shared" si="508"/>
        <v>#REF!</v>
      </c>
      <c r="ER140" s="4" t="e">
        <f t="shared" si="479"/>
        <v>#REF!</v>
      </c>
      <c r="ES140" s="4" t="e">
        <f t="shared" si="524"/>
        <v>#REF!</v>
      </c>
      <c r="ET140" s="4" t="e">
        <f t="shared" si="525"/>
        <v>#REF!</v>
      </c>
      <c r="EV140" s="4" t="e">
        <f t="shared" si="489"/>
        <v>#REF!</v>
      </c>
      <c r="FA140" s="23" t="e">
        <f t="shared" si="490"/>
        <v>#REF!</v>
      </c>
      <c r="FB140" s="23" t="e">
        <f t="shared" si="491"/>
        <v>#REF!</v>
      </c>
      <c r="FC140" s="23" t="e">
        <f t="shared" si="527"/>
        <v>#REF!</v>
      </c>
      <c r="FD140" s="23" t="e">
        <f t="shared" si="492"/>
        <v>#REF!</v>
      </c>
      <c r="FE140" s="23" t="e">
        <f t="shared" si="493"/>
        <v>#REF!</v>
      </c>
      <c r="FF140" s="23" t="e">
        <f t="shared" si="494"/>
        <v>#REF!</v>
      </c>
      <c r="FG140" s="23" t="e">
        <f t="shared" si="533"/>
        <v>#REF!</v>
      </c>
      <c r="FH140" s="23"/>
      <c r="FR140" s="4">
        <f t="shared" si="351"/>
        <v>1.25</v>
      </c>
      <c r="FS140" s="4">
        <f t="shared" si="352"/>
        <v>0.67768622629572395</v>
      </c>
      <c r="FT140" s="4">
        <f t="shared" si="353"/>
        <v>0.3</v>
      </c>
      <c r="FU140" s="4" t="e">
        <f t="shared" si="354"/>
        <v>#REF!</v>
      </c>
    </row>
    <row r="141" spans="2:177" ht="12" customHeight="1" x14ac:dyDescent="0.3">
      <c r="B141" s="24"/>
      <c r="C141" s="7" t="s">
        <v>139</v>
      </c>
      <c r="D141" s="7">
        <v>710</v>
      </c>
      <c r="E141" s="7" t="e">
        <f>G141*#REF!</f>
        <v>#REF!</v>
      </c>
      <c r="F141" s="7">
        <v>41.4</v>
      </c>
      <c r="G141" s="7">
        <v>28.6</v>
      </c>
      <c r="H141" s="7">
        <v>261</v>
      </c>
      <c r="I141" s="7">
        <f t="shared" si="528"/>
        <v>28.6</v>
      </c>
      <c r="J141" s="7"/>
      <c r="K141" s="7">
        <f t="shared" si="526"/>
        <v>28.6</v>
      </c>
      <c r="L141" s="7">
        <v>2</v>
      </c>
      <c r="M141" s="7">
        <f t="shared" si="495"/>
        <v>58.2</v>
      </c>
      <c r="N141" s="7">
        <f t="shared" si="510"/>
        <v>1</v>
      </c>
      <c r="O141" s="7">
        <f t="shared" si="496"/>
        <v>1.5000000000000002</v>
      </c>
      <c r="P141" s="7">
        <f t="shared" si="509"/>
        <v>4</v>
      </c>
      <c r="Q141" s="7">
        <f t="shared" si="511"/>
        <v>4</v>
      </c>
      <c r="R141" s="7">
        <v>5</v>
      </c>
      <c r="S141" s="7">
        <f t="shared" si="447"/>
        <v>63.951544156493995</v>
      </c>
      <c r="T141" s="7"/>
      <c r="U141" s="7"/>
      <c r="V141" s="7">
        <v>585</v>
      </c>
      <c r="W141" s="7"/>
      <c r="X141" s="7" t="e">
        <f t="shared" si="482"/>
        <v>#REF!</v>
      </c>
      <c r="Y141" s="7">
        <v>9.5</v>
      </c>
      <c r="Z141" s="7">
        <v>9</v>
      </c>
      <c r="AA141" s="7">
        <v>65</v>
      </c>
      <c r="AB141" s="7">
        <v>9</v>
      </c>
      <c r="AC141" s="7">
        <v>9</v>
      </c>
      <c r="AD141" s="7">
        <f t="shared" si="534"/>
        <v>1.5251680311268359</v>
      </c>
      <c r="AE141" s="4" t="e">
        <f t="shared" si="483"/>
        <v>#REF!</v>
      </c>
      <c r="AF141" s="46" t="e">
        <f t="shared" si="497"/>
        <v>#REF!</v>
      </c>
      <c r="AG141" s="25" t="e">
        <f t="shared" si="448"/>
        <v>#REF!</v>
      </c>
      <c r="AH141" s="4" t="e">
        <f t="shared" si="449"/>
        <v>#REF!</v>
      </c>
      <c r="AI141" s="4">
        <v>1.25</v>
      </c>
      <c r="AJ141" s="25">
        <f t="shared" si="438"/>
        <v>5</v>
      </c>
      <c r="AK141" s="38" t="e">
        <f t="shared" si="480"/>
        <v>#REF!</v>
      </c>
      <c r="AL141" s="38" t="e">
        <f t="shared" si="356"/>
        <v>#REF!</v>
      </c>
      <c r="AN141" s="38" t="e">
        <f t="shared" si="498"/>
        <v>#REF!</v>
      </c>
      <c r="AO141" s="38" t="e">
        <f t="shared" si="316"/>
        <v>#REF!</v>
      </c>
      <c r="AP141" s="38" t="e">
        <f t="shared" si="357"/>
        <v>#REF!</v>
      </c>
      <c r="AQ141" s="4" t="e">
        <f t="shared" si="443"/>
        <v>#REF!</v>
      </c>
      <c r="AR141" s="4" t="e">
        <f>#REF!/G141*F141^0.5/0.19</f>
        <v>#REF!</v>
      </c>
      <c r="AS141" s="4">
        <f t="shared" si="450"/>
        <v>1.2000000000000002</v>
      </c>
      <c r="AT141" s="38">
        <f t="shared" si="451"/>
        <v>198.72000000000003</v>
      </c>
      <c r="AU141" s="4">
        <f t="shared" si="452"/>
        <v>0.44000000000000006</v>
      </c>
      <c r="AV141" s="4" t="e">
        <f>AU141*D141*#REF!/(D141*G141/2.75/F141^0.5)</f>
        <v>#REF!</v>
      </c>
      <c r="AW141" s="4" t="e">
        <f t="shared" si="499"/>
        <v>#REF!</v>
      </c>
      <c r="AY141" s="36">
        <f t="shared" si="529"/>
        <v>1.6863256140070761</v>
      </c>
      <c r="AZ141" s="36" t="e">
        <f>(1.6*#REF!+22)*AY141*F141^0.5</f>
        <v>#REF!</v>
      </c>
      <c r="BE141" s="4">
        <f t="shared" si="453"/>
        <v>20.700000000000003</v>
      </c>
      <c r="BF141" s="4">
        <f t="shared" si="454"/>
        <v>20.700000000000003</v>
      </c>
      <c r="BG141" s="4">
        <f t="shared" si="455"/>
        <v>58.2</v>
      </c>
      <c r="BH141" s="4">
        <f t="shared" si="456"/>
        <v>35</v>
      </c>
      <c r="BI141" s="4">
        <f t="shared" si="512"/>
        <v>1.181159420289855</v>
      </c>
      <c r="BJ141" s="25">
        <f t="shared" si="457"/>
        <v>3.0322956128775931</v>
      </c>
      <c r="BL141" s="4">
        <f t="shared" si="458"/>
        <v>14.3</v>
      </c>
      <c r="BP141" s="9"/>
      <c r="BR141" s="9"/>
      <c r="BS141" s="9"/>
      <c r="BT141" s="9">
        <f t="shared" si="459"/>
        <v>14.3</v>
      </c>
      <c r="BU141" s="9">
        <f t="shared" si="460"/>
        <v>28.6</v>
      </c>
      <c r="BV141" s="9">
        <f t="shared" si="461"/>
        <v>0.78458409789675088</v>
      </c>
      <c r="BW141" s="9">
        <v>20</v>
      </c>
      <c r="BX141" s="9">
        <f t="shared" si="462"/>
        <v>0.05</v>
      </c>
      <c r="BY141" s="9">
        <f t="shared" si="500"/>
        <v>0.8</v>
      </c>
      <c r="BZ141" s="9">
        <f t="shared" si="463"/>
        <v>0.96044432035915817</v>
      </c>
      <c r="CA141" s="9">
        <f t="shared" si="464"/>
        <v>0.74299999999999999</v>
      </c>
      <c r="CB141" s="9">
        <f t="shared" si="465"/>
        <v>1.6070493790635749</v>
      </c>
      <c r="CC141" s="9">
        <f t="shared" si="466"/>
        <v>2.5465048905989884</v>
      </c>
      <c r="CD141" s="9">
        <v>1</v>
      </c>
      <c r="CE141" s="9" t="e">
        <f>4*CC141*#REF!+60*CC141</f>
        <v>#REF!</v>
      </c>
      <c r="CG141" s="4" t="e">
        <f t="shared" si="501"/>
        <v>#REF!</v>
      </c>
      <c r="CH141" s="4" t="e">
        <f t="shared" si="502"/>
        <v>#REF!</v>
      </c>
      <c r="CI141" s="4" t="e">
        <f t="shared" si="530"/>
        <v>#REF!</v>
      </c>
      <c r="CJ141" s="4" t="e">
        <f t="shared" si="484"/>
        <v>#REF!</v>
      </c>
      <c r="CK141" s="4" t="e">
        <f t="shared" si="531"/>
        <v>#REF!</v>
      </c>
      <c r="CL141" s="4" t="e">
        <f t="shared" si="532"/>
        <v>#REF!</v>
      </c>
      <c r="CM141" s="4" t="e">
        <f t="shared" si="481"/>
        <v>#REF!</v>
      </c>
      <c r="CU141" s="4" t="e">
        <f t="shared" si="535"/>
        <v>#REF!</v>
      </c>
      <c r="CV141" s="4" t="e">
        <f t="shared" si="536"/>
        <v>#REF!</v>
      </c>
      <c r="CW141" s="4" t="e">
        <f t="shared" si="537"/>
        <v>#REF!</v>
      </c>
      <c r="CX141" s="4" t="e">
        <f t="shared" si="538"/>
        <v>#REF!</v>
      </c>
      <c r="CY141" s="4" t="e">
        <f t="shared" si="539"/>
        <v>#REF!</v>
      </c>
      <c r="CZ141" s="4" t="e">
        <f t="shared" si="540"/>
        <v>#REF!</v>
      </c>
      <c r="DB141" s="4">
        <f t="shared" si="518"/>
        <v>9</v>
      </c>
      <c r="DC141" s="4" t="e">
        <f t="shared" si="467"/>
        <v>#REF!</v>
      </c>
      <c r="DD141" s="4" t="e">
        <f>#REF!/E141</f>
        <v>#REF!</v>
      </c>
      <c r="DF141" s="4" t="e">
        <f t="shared" si="468"/>
        <v>#REF!</v>
      </c>
      <c r="DG141" s="4">
        <f t="shared" si="519"/>
        <v>7.1242815844827039</v>
      </c>
      <c r="DH141" s="4" t="e">
        <f t="shared" si="486"/>
        <v>#REF!</v>
      </c>
      <c r="DI141" s="4" t="e">
        <f t="shared" si="359"/>
        <v>#REF!</v>
      </c>
      <c r="DJ141" s="4" t="e">
        <f t="shared" si="360"/>
        <v>#REF!</v>
      </c>
      <c r="DK141" s="4" t="e">
        <f t="shared" si="487"/>
        <v>#REF!</v>
      </c>
      <c r="DL141" s="38" t="e">
        <f t="shared" si="469"/>
        <v>#REF!</v>
      </c>
      <c r="DM141" s="4" t="e">
        <f t="shared" si="361"/>
        <v>#REF!</v>
      </c>
      <c r="DN141" s="4">
        <f t="shared" si="488"/>
        <v>2.2360679774997898</v>
      </c>
      <c r="DO141" s="4" t="e">
        <f t="shared" si="363"/>
        <v>#REF!</v>
      </c>
      <c r="DS141" s="4">
        <f t="shared" si="470"/>
        <v>1</v>
      </c>
      <c r="DT141" s="4">
        <f t="shared" si="471"/>
        <v>1</v>
      </c>
      <c r="DU141" s="4">
        <f t="shared" si="472"/>
        <v>0.7</v>
      </c>
      <c r="DV141" s="4">
        <f t="shared" si="504"/>
        <v>0.7</v>
      </c>
      <c r="DX141" s="4" t="e">
        <f t="shared" si="473"/>
        <v>#REF!</v>
      </c>
      <c r="DY141" s="25" t="e">
        <f t="shared" si="505"/>
        <v>#REF!</v>
      </c>
      <c r="EB141" s="4">
        <f t="shared" si="436"/>
        <v>7.1242815844827039</v>
      </c>
      <c r="EC141" s="4">
        <f t="shared" si="474"/>
        <v>7.1242815844827039</v>
      </c>
      <c r="EE141" s="4">
        <f t="shared" si="475"/>
        <v>63.951544156493995</v>
      </c>
      <c r="EF141" s="4">
        <f t="shared" si="520"/>
        <v>2.2360679774997898</v>
      </c>
      <c r="EG141" s="4" t="e">
        <f t="shared" si="476"/>
        <v>#REF!</v>
      </c>
      <c r="EJ141" s="4" t="e">
        <f t="shared" si="506"/>
        <v>#REF!</v>
      </c>
      <c r="EK141" s="4" t="e">
        <f t="shared" si="477"/>
        <v>#REF!</v>
      </c>
      <c r="EL141" s="4" t="e">
        <f t="shared" si="521"/>
        <v>#REF!</v>
      </c>
      <c r="EM141" s="4" t="e">
        <f t="shared" si="507"/>
        <v>#REF!</v>
      </c>
      <c r="EN141" s="4" t="e">
        <f t="shared" si="522"/>
        <v>#REF!</v>
      </c>
      <c r="EO141" s="4" t="e">
        <f t="shared" si="523"/>
        <v>#REF!</v>
      </c>
      <c r="EP141" s="4" t="e">
        <f t="shared" si="478"/>
        <v>#REF!</v>
      </c>
      <c r="EQ141" s="4" t="e">
        <f t="shared" si="508"/>
        <v>#REF!</v>
      </c>
      <c r="ER141" s="4" t="e">
        <f t="shared" si="479"/>
        <v>#REF!</v>
      </c>
      <c r="ES141" s="4" t="e">
        <f t="shared" si="524"/>
        <v>#REF!</v>
      </c>
      <c r="ET141" s="4" t="e">
        <f t="shared" si="525"/>
        <v>#REF!</v>
      </c>
      <c r="EV141" s="4" t="e">
        <f t="shared" si="489"/>
        <v>#REF!</v>
      </c>
      <c r="FA141" s="23" t="e">
        <f t="shared" si="490"/>
        <v>#REF!</v>
      </c>
      <c r="FB141" s="23" t="e">
        <f t="shared" si="491"/>
        <v>#REF!</v>
      </c>
      <c r="FC141" s="23" t="e">
        <f t="shared" si="527"/>
        <v>#REF!</v>
      </c>
      <c r="FD141" s="23" t="e">
        <f t="shared" si="492"/>
        <v>#REF!</v>
      </c>
      <c r="FE141" s="23" t="e">
        <f t="shared" si="493"/>
        <v>#REF!</v>
      </c>
      <c r="FF141" s="23" t="e">
        <f t="shared" si="494"/>
        <v>#REF!</v>
      </c>
      <c r="FG141" s="23" t="e">
        <f t="shared" si="533"/>
        <v>#REF!</v>
      </c>
      <c r="FH141" s="23"/>
      <c r="FR141" s="4">
        <f t="shared" si="351"/>
        <v>1.25</v>
      </c>
      <c r="FS141" s="4">
        <f t="shared" si="352"/>
        <v>0.67768622629572395</v>
      </c>
      <c r="FT141" s="4">
        <f t="shared" si="353"/>
        <v>0.3</v>
      </c>
      <c r="FU141" s="4" t="e">
        <f t="shared" si="354"/>
        <v>#REF!</v>
      </c>
    </row>
    <row r="142" spans="2:177" ht="12" customHeight="1" x14ac:dyDescent="0.3">
      <c r="B142" s="24"/>
      <c r="C142" s="7" t="s">
        <v>147</v>
      </c>
      <c r="D142" s="7">
        <v>710</v>
      </c>
      <c r="E142" s="7" t="e">
        <f>G142*#REF!</f>
        <v>#REF!</v>
      </c>
      <c r="F142" s="7">
        <v>41.4</v>
      </c>
      <c r="G142" s="7">
        <v>28.6</v>
      </c>
      <c r="H142" s="7">
        <v>261</v>
      </c>
      <c r="I142" s="7">
        <f t="shared" si="528"/>
        <v>28.6</v>
      </c>
      <c r="J142" s="7"/>
      <c r="K142" s="7">
        <f t="shared" si="526"/>
        <v>28.6</v>
      </c>
      <c r="L142" s="7">
        <v>2</v>
      </c>
      <c r="M142" s="7">
        <f t="shared" si="495"/>
        <v>58.2</v>
      </c>
      <c r="N142" s="7">
        <f t="shared" si="510"/>
        <v>1</v>
      </c>
      <c r="O142" s="7">
        <f t="shared" si="496"/>
        <v>1.5000000000000002</v>
      </c>
      <c r="P142" s="7">
        <f t="shared" si="509"/>
        <v>4</v>
      </c>
      <c r="Q142" s="7">
        <f t="shared" si="511"/>
        <v>4</v>
      </c>
      <c r="R142" s="7">
        <v>5</v>
      </c>
      <c r="S142" s="7">
        <f t="shared" si="447"/>
        <v>63.951544156493995</v>
      </c>
      <c r="T142" s="7"/>
      <c r="U142" s="7"/>
      <c r="V142" s="7">
        <v>489</v>
      </c>
      <c r="W142" s="7"/>
      <c r="X142" s="7" t="e">
        <f t="shared" si="482"/>
        <v>#REF!</v>
      </c>
      <c r="Y142" s="7">
        <v>9.5</v>
      </c>
      <c r="Z142" s="7">
        <v>4</v>
      </c>
      <c r="AA142" s="7" t="e">
        <f>E142/3</f>
        <v>#REF!</v>
      </c>
      <c r="AB142" s="7">
        <v>4</v>
      </c>
      <c r="AC142" s="7">
        <v>4</v>
      </c>
      <c r="AD142" s="7" t="e">
        <f t="shared" si="534"/>
        <v>#REF!</v>
      </c>
      <c r="AE142" s="4" t="e">
        <f t="shared" si="483"/>
        <v>#REF!</v>
      </c>
      <c r="AF142" s="46" t="e">
        <f t="shared" si="497"/>
        <v>#REF!</v>
      </c>
      <c r="AG142" s="25" t="e">
        <f t="shared" si="448"/>
        <v>#REF!</v>
      </c>
      <c r="AH142" s="4" t="e">
        <f t="shared" si="449"/>
        <v>#REF!</v>
      </c>
      <c r="AI142" s="4">
        <v>1.25</v>
      </c>
      <c r="AJ142" s="25">
        <f t="shared" si="438"/>
        <v>5</v>
      </c>
      <c r="AK142" s="38" t="e">
        <f t="shared" si="480"/>
        <v>#REF!</v>
      </c>
      <c r="AL142" s="38" t="e">
        <f t="shared" si="356"/>
        <v>#REF!</v>
      </c>
      <c r="AN142" s="38" t="e">
        <f t="shared" si="498"/>
        <v>#REF!</v>
      </c>
      <c r="AO142" s="38" t="e">
        <f t="shared" si="316"/>
        <v>#REF!</v>
      </c>
      <c r="AP142" s="38" t="e">
        <f t="shared" si="357"/>
        <v>#REF!</v>
      </c>
      <c r="AQ142" s="4" t="e">
        <f t="shared" si="443"/>
        <v>#REF!</v>
      </c>
      <c r="AR142" s="4" t="e">
        <f>#REF!/G142*F142^0.5/0.19</f>
        <v>#REF!</v>
      </c>
      <c r="AS142" s="4">
        <f t="shared" si="450"/>
        <v>1.2000000000000002</v>
      </c>
      <c r="AT142" s="38">
        <f t="shared" si="451"/>
        <v>198.72000000000003</v>
      </c>
      <c r="AU142" s="4">
        <f t="shared" si="452"/>
        <v>0.44000000000000006</v>
      </c>
      <c r="AV142" s="4" t="e">
        <f>AU142*D142*#REF!/(D142*G142/2.75/F142^0.5)</f>
        <v>#REF!</v>
      </c>
      <c r="AW142" s="4" t="e">
        <f t="shared" si="499"/>
        <v>#REF!</v>
      </c>
      <c r="AY142" s="36" t="e">
        <f t="shared" si="529"/>
        <v>#REF!</v>
      </c>
      <c r="AZ142" s="36" t="e">
        <f>(1.6*#REF!+22)*AY142*F142^0.5</f>
        <v>#REF!</v>
      </c>
      <c r="BE142" s="4">
        <f t="shared" si="453"/>
        <v>20.700000000000003</v>
      </c>
      <c r="BF142" s="4">
        <f t="shared" si="454"/>
        <v>20.700000000000003</v>
      </c>
      <c r="BG142" s="4">
        <f t="shared" si="455"/>
        <v>58.2</v>
      </c>
      <c r="BH142" s="4">
        <f t="shared" si="456"/>
        <v>35</v>
      </c>
      <c r="BI142" s="4">
        <f t="shared" si="512"/>
        <v>1.181159420289855</v>
      </c>
      <c r="BJ142" s="25" t="e">
        <f t="shared" si="457"/>
        <v>#REF!</v>
      </c>
      <c r="BL142" s="4">
        <f t="shared" si="458"/>
        <v>14.3</v>
      </c>
      <c r="BP142" s="9"/>
      <c r="BR142" s="9"/>
      <c r="BS142" s="9"/>
      <c r="BT142" s="9">
        <f t="shared" si="459"/>
        <v>14.3</v>
      </c>
      <c r="BU142" s="9">
        <f t="shared" si="460"/>
        <v>28.6</v>
      </c>
      <c r="BV142" s="9">
        <f t="shared" si="461"/>
        <v>0.78458409789675088</v>
      </c>
      <c r="BW142" s="9">
        <v>20</v>
      </c>
      <c r="BX142" s="9" t="e">
        <f t="shared" si="462"/>
        <v>#REF!</v>
      </c>
      <c r="BY142" s="9" t="e">
        <f t="shared" si="500"/>
        <v>#REF!</v>
      </c>
      <c r="BZ142" s="9">
        <f t="shared" si="463"/>
        <v>0.96044432035915817</v>
      </c>
      <c r="CA142" s="9">
        <f t="shared" si="464"/>
        <v>0.74299999999999999</v>
      </c>
      <c r="CB142" s="9">
        <f t="shared" si="465"/>
        <v>1.6070493790635749</v>
      </c>
      <c r="CC142" s="9" t="e">
        <f t="shared" si="466"/>
        <v>#REF!</v>
      </c>
      <c r="CD142" s="9">
        <v>1</v>
      </c>
      <c r="CE142" s="9" t="e">
        <f>4*CC142*#REF!+60*CC142</f>
        <v>#REF!</v>
      </c>
      <c r="CG142" s="4" t="e">
        <f t="shared" si="501"/>
        <v>#REF!</v>
      </c>
      <c r="CH142" s="4" t="e">
        <f t="shared" si="502"/>
        <v>#REF!</v>
      </c>
      <c r="CI142" s="4" t="e">
        <f t="shared" si="530"/>
        <v>#REF!</v>
      </c>
      <c r="CJ142" s="4" t="e">
        <f t="shared" si="484"/>
        <v>#REF!</v>
      </c>
      <c r="CK142" s="4" t="e">
        <f t="shared" si="531"/>
        <v>#REF!</v>
      </c>
      <c r="CL142" s="4" t="e">
        <f t="shared" si="532"/>
        <v>#REF!</v>
      </c>
      <c r="CM142" s="4" t="e">
        <f t="shared" si="481"/>
        <v>#REF!</v>
      </c>
      <c r="CU142" s="4" t="e">
        <f t="shared" si="535"/>
        <v>#REF!</v>
      </c>
      <c r="CV142" s="4" t="e">
        <f t="shared" si="536"/>
        <v>#REF!</v>
      </c>
      <c r="CW142" s="4" t="e">
        <f t="shared" si="537"/>
        <v>#REF!</v>
      </c>
      <c r="CX142" s="4" t="e">
        <f t="shared" si="538"/>
        <v>#REF!</v>
      </c>
      <c r="CY142" s="4" t="e">
        <f t="shared" si="539"/>
        <v>#REF!</v>
      </c>
      <c r="CZ142" s="4" t="e">
        <f t="shared" si="540"/>
        <v>#REF!</v>
      </c>
      <c r="DB142" s="4">
        <f t="shared" si="518"/>
        <v>4</v>
      </c>
      <c r="DC142" s="4" t="e">
        <f t="shared" si="467"/>
        <v>#REF!</v>
      </c>
      <c r="DD142" s="4" t="e">
        <f>#REF!/E142</f>
        <v>#REF!</v>
      </c>
      <c r="DF142" s="4" t="e">
        <f t="shared" si="468"/>
        <v>#REF!</v>
      </c>
      <c r="DG142" s="4" t="e">
        <f t="shared" si="519"/>
        <v>#REF!</v>
      </c>
      <c r="DH142" s="4" t="e">
        <f t="shared" si="486"/>
        <v>#REF!</v>
      </c>
      <c r="DI142" s="4" t="e">
        <f t="shared" si="359"/>
        <v>#REF!</v>
      </c>
      <c r="DJ142" s="4" t="e">
        <f t="shared" si="360"/>
        <v>#REF!</v>
      </c>
      <c r="DK142" s="4" t="e">
        <f t="shared" si="487"/>
        <v>#REF!</v>
      </c>
      <c r="DL142" s="38" t="e">
        <f t="shared" si="469"/>
        <v>#REF!</v>
      </c>
      <c r="DM142" s="4" t="e">
        <f t="shared" si="361"/>
        <v>#REF!</v>
      </c>
      <c r="DN142" s="4">
        <f t="shared" si="488"/>
        <v>2.2360679774997898</v>
      </c>
      <c r="DO142" s="4" t="e">
        <f t="shared" si="363"/>
        <v>#REF!</v>
      </c>
      <c r="DS142" s="4">
        <f t="shared" si="470"/>
        <v>1</v>
      </c>
      <c r="DT142" s="4">
        <f t="shared" si="471"/>
        <v>1</v>
      </c>
      <c r="DU142" s="4">
        <f t="shared" si="472"/>
        <v>0.81019487505501497</v>
      </c>
      <c r="DV142" s="4">
        <f t="shared" si="504"/>
        <v>0.81019487505501497</v>
      </c>
      <c r="DX142" s="4" t="e">
        <f t="shared" si="473"/>
        <v>#REF!</v>
      </c>
      <c r="DY142" s="25" t="e">
        <f t="shared" si="505"/>
        <v>#REF!</v>
      </c>
      <c r="EB142" s="4" t="e">
        <f t="shared" si="436"/>
        <v>#REF!</v>
      </c>
      <c r="EC142" s="4" t="e">
        <f t="shared" si="474"/>
        <v>#REF!</v>
      </c>
      <c r="EE142" s="4">
        <f t="shared" si="475"/>
        <v>63.951544156493995</v>
      </c>
      <c r="EF142" s="4">
        <f t="shared" si="520"/>
        <v>2.2360679774997898</v>
      </c>
      <c r="EG142" s="4" t="e">
        <f t="shared" si="476"/>
        <v>#REF!</v>
      </c>
      <c r="EJ142" s="4" t="e">
        <f t="shared" si="506"/>
        <v>#REF!</v>
      </c>
      <c r="EK142" s="4" t="e">
        <f t="shared" si="477"/>
        <v>#REF!</v>
      </c>
      <c r="EL142" s="4" t="e">
        <f t="shared" si="521"/>
        <v>#REF!</v>
      </c>
      <c r="EM142" s="4" t="e">
        <f t="shared" si="507"/>
        <v>#REF!</v>
      </c>
      <c r="EN142" s="4" t="e">
        <f t="shared" si="522"/>
        <v>#REF!</v>
      </c>
      <c r="EO142" s="4" t="e">
        <f t="shared" si="523"/>
        <v>#REF!</v>
      </c>
      <c r="EP142" s="4" t="e">
        <f t="shared" si="478"/>
        <v>#REF!</v>
      </c>
      <c r="EQ142" s="4" t="e">
        <f t="shared" si="508"/>
        <v>#REF!</v>
      </c>
      <c r="ER142" s="4" t="e">
        <f t="shared" si="479"/>
        <v>#REF!</v>
      </c>
      <c r="ES142" s="4" t="e">
        <f t="shared" si="524"/>
        <v>#REF!</v>
      </c>
      <c r="ET142" s="4" t="e">
        <f t="shared" si="525"/>
        <v>#REF!</v>
      </c>
      <c r="EV142" s="4" t="e">
        <f t="shared" si="489"/>
        <v>#REF!</v>
      </c>
      <c r="FA142" s="23" t="e">
        <f t="shared" si="490"/>
        <v>#REF!</v>
      </c>
      <c r="FB142" s="23" t="e">
        <f t="shared" si="491"/>
        <v>#REF!</v>
      </c>
      <c r="FC142" s="23" t="e">
        <f t="shared" si="527"/>
        <v>#REF!</v>
      </c>
      <c r="FD142" s="23" t="e">
        <f t="shared" si="492"/>
        <v>#REF!</v>
      </c>
      <c r="FE142" s="23" t="e">
        <f t="shared" si="493"/>
        <v>#REF!</v>
      </c>
      <c r="FF142" s="23" t="e">
        <f t="shared" si="494"/>
        <v>#REF!</v>
      </c>
      <c r="FG142" s="23" t="e">
        <f t="shared" si="533"/>
        <v>#REF!</v>
      </c>
      <c r="FH142" s="23"/>
      <c r="FR142" s="4">
        <f t="shared" si="351"/>
        <v>1.25</v>
      </c>
      <c r="FS142" s="4" t="e">
        <f t="shared" si="352"/>
        <v>#REF!</v>
      </c>
      <c r="FT142" s="4">
        <f t="shared" si="353"/>
        <v>0.3</v>
      </c>
      <c r="FU142" s="4" t="e">
        <f t="shared" si="354"/>
        <v>#REF!</v>
      </c>
    </row>
    <row r="143" spans="2:177" ht="12" customHeight="1" x14ac:dyDescent="0.3">
      <c r="B143" s="24"/>
      <c r="C143" s="7" t="s">
        <v>148</v>
      </c>
      <c r="D143" s="7">
        <v>710</v>
      </c>
      <c r="E143" s="7" t="e">
        <f>G143*#REF!</f>
        <v>#REF!</v>
      </c>
      <c r="F143" s="7">
        <v>40.1</v>
      </c>
      <c r="G143" s="7">
        <v>28.6</v>
      </c>
      <c r="H143" s="7">
        <v>261</v>
      </c>
      <c r="I143" s="7">
        <f t="shared" si="528"/>
        <v>28.6</v>
      </c>
      <c r="J143" s="7"/>
      <c r="K143" s="7">
        <f t="shared" si="526"/>
        <v>28.6</v>
      </c>
      <c r="L143" s="7">
        <v>2</v>
      </c>
      <c r="M143" s="7">
        <f t="shared" si="495"/>
        <v>58.2</v>
      </c>
      <c r="N143" s="7">
        <f t="shared" si="510"/>
        <v>1</v>
      </c>
      <c r="O143" s="7">
        <f t="shared" si="496"/>
        <v>1.5000000000000002</v>
      </c>
      <c r="P143" s="7">
        <f t="shared" si="509"/>
        <v>4</v>
      </c>
      <c r="Q143" s="7">
        <f t="shared" si="511"/>
        <v>4</v>
      </c>
      <c r="R143" s="7">
        <v>5</v>
      </c>
      <c r="S143" s="7">
        <f t="shared" si="447"/>
        <v>63.951544156493995</v>
      </c>
      <c r="T143" s="7"/>
      <c r="U143" s="7"/>
      <c r="V143" s="7">
        <v>570</v>
      </c>
      <c r="W143" s="7"/>
      <c r="X143" s="7" t="e">
        <f t="shared" si="482"/>
        <v>#REF!</v>
      </c>
      <c r="Y143" s="7">
        <v>9.5</v>
      </c>
      <c r="Z143" s="7">
        <v>4</v>
      </c>
      <c r="AA143" s="7" t="e">
        <f>E143/3</f>
        <v>#REF!</v>
      </c>
      <c r="AB143" s="7">
        <v>4</v>
      </c>
      <c r="AC143" s="7">
        <v>4</v>
      </c>
      <c r="AD143" s="7" t="e">
        <f t="shared" si="534"/>
        <v>#REF!</v>
      </c>
      <c r="AE143" s="4" t="e">
        <f t="shared" si="483"/>
        <v>#REF!</v>
      </c>
      <c r="AF143" s="46" t="e">
        <f t="shared" si="497"/>
        <v>#REF!</v>
      </c>
      <c r="AG143" s="25" t="e">
        <f t="shared" si="448"/>
        <v>#REF!</v>
      </c>
      <c r="AH143" s="4" t="e">
        <f t="shared" si="449"/>
        <v>#REF!</v>
      </c>
      <c r="AI143" s="4">
        <v>1.25</v>
      </c>
      <c r="AJ143" s="25">
        <f t="shared" si="438"/>
        <v>5</v>
      </c>
      <c r="AK143" s="38" t="e">
        <f t="shared" si="480"/>
        <v>#REF!</v>
      </c>
      <c r="AL143" s="38" t="e">
        <f t="shared" si="356"/>
        <v>#REF!</v>
      </c>
      <c r="AN143" s="38" t="e">
        <f t="shared" si="498"/>
        <v>#REF!</v>
      </c>
      <c r="AO143" s="38" t="e">
        <f t="shared" si="316"/>
        <v>#REF!</v>
      </c>
      <c r="AP143" s="38" t="e">
        <f t="shared" si="357"/>
        <v>#REF!</v>
      </c>
      <c r="AQ143" s="4" t="e">
        <f t="shared" si="443"/>
        <v>#REF!</v>
      </c>
      <c r="AR143" s="4" t="e">
        <f>#REF!/G143*F143^0.5/0.19</f>
        <v>#REF!</v>
      </c>
      <c r="AS143" s="4">
        <f t="shared" si="450"/>
        <v>1.2000000000000002</v>
      </c>
      <c r="AT143" s="38">
        <f t="shared" si="451"/>
        <v>192.48000000000005</v>
      </c>
      <c r="AU143" s="4">
        <f t="shared" si="452"/>
        <v>0.44000000000000006</v>
      </c>
      <c r="AV143" s="4" t="e">
        <f>AU143*D143*#REF!/(D143*G143/2.75/F143^0.5)</f>
        <v>#REF!</v>
      </c>
      <c r="AW143" s="4" t="e">
        <f t="shared" si="499"/>
        <v>#REF!</v>
      </c>
      <c r="AY143" s="36" t="e">
        <f t="shared" si="529"/>
        <v>#REF!</v>
      </c>
      <c r="AZ143" s="36" t="e">
        <f>(1.6*#REF!+22)*AY143*F143^0.5</f>
        <v>#REF!</v>
      </c>
      <c r="BE143" s="4">
        <f t="shared" si="453"/>
        <v>20.700000000000003</v>
      </c>
      <c r="BF143" s="4">
        <f t="shared" si="454"/>
        <v>20.700000000000003</v>
      </c>
      <c r="BG143" s="4">
        <f t="shared" si="455"/>
        <v>58.2</v>
      </c>
      <c r="BH143" s="4">
        <f t="shared" si="456"/>
        <v>35</v>
      </c>
      <c r="BI143" s="4">
        <f t="shared" si="512"/>
        <v>1.181159420289855</v>
      </c>
      <c r="BJ143" s="25" t="e">
        <f t="shared" si="457"/>
        <v>#REF!</v>
      </c>
      <c r="BL143" s="4">
        <f t="shared" si="458"/>
        <v>14.3</v>
      </c>
      <c r="BP143" s="9"/>
      <c r="BR143" s="9"/>
      <c r="BS143" s="9"/>
      <c r="BT143" s="9">
        <f t="shared" si="459"/>
        <v>14.3</v>
      </c>
      <c r="BU143" s="9">
        <f t="shared" si="460"/>
        <v>28.6</v>
      </c>
      <c r="BV143" s="9">
        <f t="shared" si="461"/>
        <v>0.78458409789675088</v>
      </c>
      <c r="BW143" s="9">
        <v>20</v>
      </c>
      <c r="BX143" s="9" t="e">
        <f t="shared" si="462"/>
        <v>#REF!</v>
      </c>
      <c r="BY143" s="9" t="e">
        <f t="shared" si="500"/>
        <v>#REF!</v>
      </c>
      <c r="BZ143" s="9">
        <f t="shared" si="463"/>
        <v>0.96044432035915817</v>
      </c>
      <c r="CA143" s="9">
        <f t="shared" si="464"/>
        <v>0.74299999999999999</v>
      </c>
      <c r="CB143" s="9">
        <f t="shared" si="465"/>
        <v>1.5816166822222031</v>
      </c>
      <c r="CC143" s="9" t="e">
        <f t="shared" si="466"/>
        <v>#REF!</v>
      </c>
      <c r="CD143" s="9">
        <v>1</v>
      </c>
      <c r="CE143" s="9" t="e">
        <f>4*CC143*#REF!+60*CC143</f>
        <v>#REF!</v>
      </c>
      <c r="CG143" s="4" t="e">
        <f t="shared" si="501"/>
        <v>#REF!</v>
      </c>
      <c r="CH143" s="4" t="e">
        <f t="shared" si="502"/>
        <v>#REF!</v>
      </c>
      <c r="CI143" s="4" t="e">
        <f t="shared" si="530"/>
        <v>#REF!</v>
      </c>
      <c r="CJ143" s="4" t="e">
        <f t="shared" si="484"/>
        <v>#REF!</v>
      </c>
      <c r="CK143" s="4" t="e">
        <f t="shared" si="531"/>
        <v>#REF!</v>
      </c>
      <c r="CL143" s="4" t="e">
        <f t="shared" si="532"/>
        <v>#REF!</v>
      </c>
      <c r="CM143" s="4" t="e">
        <f t="shared" si="481"/>
        <v>#REF!</v>
      </c>
      <c r="CU143" s="4" t="e">
        <f t="shared" si="535"/>
        <v>#REF!</v>
      </c>
      <c r="CV143" s="4" t="e">
        <f t="shared" si="536"/>
        <v>#REF!</v>
      </c>
      <c r="CW143" s="4" t="e">
        <f t="shared" si="537"/>
        <v>#REF!</v>
      </c>
      <c r="CX143" s="4" t="e">
        <f t="shared" si="538"/>
        <v>#REF!</v>
      </c>
      <c r="CY143" s="4" t="e">
        <f t="shared" si="539"/>
        <v>#REF!</v>
      </c>
      <c r="CZ143" s="4" t="e">
        <f t="shared" si="540"/>
        <v>#REF!</v>
      </c>
      <c r="DB143" s="4">
        <f t="shared" si="518"/>
        <v>4</v>
      </c>
      <c r="DC143" s="4" t="e">
        <f t="shared" si="467"/>
        <v>#REF!</v>
      </c>
      <c r="DD143" s="4" t="e">
        <f>#REF!/E143</f>
        <v>#REF!</v>
      </c>
      <c r="DF143" s="4" t="e">
        <f t="shared" si="468"/>
        <v>#REF!</v>
      </c>
      <c r="DG143" s="4" t="e">
        <f t="shared" si="519"/>
        <v>#REF!</v>
      </c>
      <c r="DH143" s="4" t="e">
        <f t="shared" si="486"/>
        <v>#REF!</v>
      </c>
      <c r="DI143" s="4" t="e">
        <f t="shared" si="359"/>
        <v>#REF!</v>
      </c>
      <c r="DJ143" s="4" t="e">
        <f t="shared" si="360"/>
        <v>#REF!</v>
      </c>
      <c r="DK143" s="4" t="e">
        <f t="shared" si="487"/>
        <v>#REF!</v>
      </c>
      <c r="DL143" s="38" t="e">
        <f t="shared" si="469"/>
        <v>#REF!</v>
      </c>
      <c r="DM143" s="4" t="e">
        <f t="shared" si="361"/>
        <v>#REF!</v>
      </c>
      <c r="DN143" s="4">
        <f t="shared" si="488"/>
        <v>2.2360679774997898</v>
      </c>
      <c r="DO143" s="4" t="e">
        <f t="shared" si="363"/>
        <v>#REF!</v>
      </c>
      <c r="DS143" s="4">
        <f t="shared" si="470"/>
        <v>1</v>
      </c>
      <c r="DT143" s="4">
        <f t="shared" si="471"/>
        <v>1</v>
      </c>
      <c r="DU143" s="4">
        <f t="shared" si="472"/>
        <v>0.81019487505501497</v>
      </c>
      <c r="DV143" s="4">
        <f t="shared" si="504"/>
        <v>0.81019487505501497</v>
      </c>
      <c r="DX143" s="4" t="e">
        <f t="shared" si="473"/>
        <v>#REF!</v>
      </c>
      <c r="DY143" s="25" t="e">
        <f t="shared" si="505"/>
        <v>#REF!</v>
      </c>
      <c r="EB143" s="4" t="e">
        <f t="shared" si="436"/>
        <v>#REF!</v>
      </c>
      <c r="EC143" s="4" t="e">
        <f t="shared" si="474"/>
        <v>#REF!</v>
      </c>
      <c r="EE143" s="4">
        <f t="shared" si="475"/>
        <v>63.951544156493995</v>
      </c>
      <c r="EF143" s="4">
        <f t="shared" si="520"/>
        <v>2.2360679774997898</v>
      </c>
      <c r="EG143" s="4" t="e">
        <f t="shared" si="476"/>
        <v>#REF!</v>
      </c>
      <c r="EJ143" s="4" t="e">
        <f t="shared" si="506"/>
        <v>#REF!</v>
      </c>
      <c r="EK143" s="4" t="e">
        <f t="shared" si="477"/>
        <v>#REF!</v>
      </c>
      <c r="EL143" s="4" t="e">
        <f t="shared" si="521"/>
        <v>#REF!</v>
      </c>
      <c r="EM143" s="4" t="e">
        <f t="shared" si="507"/>
        <v>#REF!</v>
      </c>
      <c r="EN143" s="4" t="e">
        <f t="shared" si="522"/>
        <v>#REF!</v>
      </c>
      <c r="EO143" s="4" t="e">
        <f t="shared" si="523"/>
        <v>#REF!</v>
      </c>
      <c r="EP143" s="4" t="e">
        <f t="shared" si="478"/>
        <v>#REF!</v>
      </c>
      <c r="EQ143" s="4" t="e">
        <f t="shared" si="508"/>
        <v>#REF!</v>
      </c>
      <c r="ER143" s="4" t="e">
        <f t="shared" si="479"/>
        <v>#REF!</v>
      </c>
      <c r="ES143" s="4" t="e">
        <f t="shared" si="524"/>
        <v>#REF!</v>
      </c>
      <c r="ET143" s="4" t="e">
        <f t="shared" si="525"/>
        <v>#REF!</v>
      </c>
      <c r="EV143" s="4" t="e">
        <f t="shared" si="489"/>
        <v>#REF!</v>
      </c>
      <c r="FA143" s="23" t="e">
        <f t="shared" si="490"/>
        <v>#REF!</v>
      </c>
      <c r="FB143" s="23" t="e">
        <f t="shared" si="491"/>
        <v>#REF!</v>
      </c>
      <c r="FC143" s="23" t="e">
        <f t="shared" si="527"/>
        <v>#REF!</v>
      </c>
      <c r="FD143" s="23" t="e">
        <f t="shared" si="492"/>
        <v>#REF!</v>
      </c>
      <c r="FE143" s="23" t="e">
        <f t="shared" si="493"/>
        <v>#REF!</v>
      </c>
      <c r="FF143" s="23" t="e">
        <f t="shared" si="494"/>
        <v>#REF!</v>
      </c>
      <c r="FG143" s="23" t="e">
        <f t="shared" si="533"/>
        <v>#REF!</v>
      </c>
      <c r="FH143" s="23"/>
      <c r="FR143" s="4">
        <f t="shared" si="351"/>
        <v>1.25</v>
      </c>
      <c r="FS143" s="4" t="e">
        <f t="shared" si="352"/>
        <v>#REF!</v>
      </c>
      <c r="FT143" s="4">
        <f t="shared" si="353"/>
        <v>0.3</v>
      </c>
      <c r="FU143" s="4" t="e">
        <f t="shared" si="354"/>
        <v>#REF!</v>
      </c>
    </row>
    <row r="144" spans="2:177" ht="12" customHeight="1" x14ac:dyDescent="0.3">
      <c r="B144" s="24"/>
      <c r="C144" s="7" t="s">
        <v>149</v>
      </c>
      <c r="D144" s="7">
        <v>710</v>
      </c>
      <c r="E144" s="7" t="e">
        <f>G144*#REF!</f>
        <v>#REF!</v>
      </c>
      <c r="F144" s="7">
        <v>40.1</v>
      </c>
      <c r="G144" s="7">
        <v>28.6</v>
      </c>
      <c r="H144" s="7">
        <v>261</v>
      </c>
      <c r="I144" s="7">
        <f t="shared" si="528"/>
        <v>28.6</v>
      </c>
      <c r="J144" s="7"/>
      <c r="K144" s="7">
        <f t="shared" si="526"/>
        <v>28.6</v>
      </c>
      <c r="L144" s="7">
        <v>2</v>
      </c>
      <c r="M144" s="7">
        <f t="shared" si="495"/>
        <v>58.2</v>
      </c>
      <c r="N144" s="7">
        <f t="shared" si="510"/>
        <v>1</v>
      </c>
      <c r="O144" s="7">
        <f t="shared" si="496"/>
        <v>1.5000000000000002</v>
      </c>
      <c r="P144" s="7">
        <f t="shared" si="509"/>
        <v>4</v>
      </c>
      <c r="Q144" s="7">
        <f t="shared" si="511"/>
        <v>4</v>
      </c>
      <c r="R144" s="7">
        <v>5</v>
      </c>
      <c r="S144" s="7">
        <f t="shared" si="447"/>
        <v>63.951544156493995</v>
      </c>
      <c r="T144" s="7"/>
      <c r="U144" s="7"/>
      <c r="V144" s="7">
        <v>522</v>
      </c>
      <c r="W144" s="7"/>
      <c r="X144" s="7" t="e">
        <f t="shared" si="482"/>
        <v>#REF!</v>
      </c>
      <c r="Y144" s="7">
        <v>9.5</v>
      </c>
      <c r="Z144" s="7">
        <v>12</v>
      </c>
      <c r="AA144" s="7">
        <v>39</v>
      </c>
      <c r="AB144" s="7">
        <v>12</v>
      </c>
      <c r="AC144" s="7">
        <v>12</v>
      </c>
      <c r="AD144" s="7">
        <f t="shared" si="534"/>
        <v>2.5</v>
      </c>
      <c r="AE144" s="4" t="e">
        <f t="shared" si="483"/>
        <v>#REF!</v>
      </c>
      <c r="AF144" s="46" t="e">
        <f t="shared" si="497"/>
        <v>#REF!</v>
      </c>
      <c r="AG144" s="25" t="e">
        <f t="shared" si="448"/>
        <v>#REF!</v>
      </c>
      <c r="AH144" s="4" t="e">
        <f t="shared" si="449"/>
        <v>#REF!</v>
      </c>
      <c r="AI144" s="4">
        <v>1.25</v>
      </c>
      <c r="AJ144" s="25">
        <f t="shared" si="438"/>
        <v>5</v>
      </c>
      <c r="AK144" s="38" t="e">
        <f t="shared" si="480"/>
        <v>#REF!</v>
      </c>
      <c r="AL144" s="38" t="e">
        <f t="shared" si="356"/>
        <v>#REF!</v>
      </c>
      <c r="AN144" s="38" t="e">
        <f t="shared" si="498"/>
        <v>#REF!</v>
      </c>
      <c r="AO144" s="38" t="e">
        <f t="shared" si="316"/>
        <v>#REF!</v>
      </c>
      <c r="AP144" s="38" t="e">
        <f t="shared" si="357"/>
        <v>#REF!</v>
      </c>
      <c r="AQ144" s="4" t="e">
        <f t="shared" si="443"/>
        <v>#REF!</v>
      </c>
      <c r="AR144" s="4" t="e">
        <f>#REF!/G144*F144^0.5/0.19</f>
        <v>#REF!</v>
      </c>
      <c r="AS144" s="4">
        <f t="shared" si="450"/>
        <v>1.2000000000000002</v>
      </c>
      <c r="AT144" s="38">
        <f t="shared" si="451"/>
        <v>192.48000000000005</v>
      </c>
      <c r="AU144" s="4">
        <f t="shared" si="452"/>
        <v>0.44000000000000006</v>
      </c>
      <c r="AV144" s="4" t="e">
        <f>AU144*D144*#REF!/(D144*G144/2.75/F144^0.5)</f>
        <v>#REF!</v>
      </c>
      <c r="AW144" s="4" t="e">
        <f t="shared" si="499"/>
        <v>#REF!</v>
      </c>
      <c r="AY144" s="36">
        <f t="shared" si="529"/>
        <v>2.125</v>
      </c>
      <c r="AZ144" s="36" t="e">
        <f>(1.6*#REF!+22)*AY144*F144^0.5</f>
        <v>#REF!</v>
      </c>
      <c r="BE144" s="4">
        <f t="shared" si="453"/>
        <v>20.700000000000003</v>
      </c>
      <c r="BF144" s="4">
        <f t="shared" si="454"/>
        <v>20.700000000000003</v>
      </c>
      <c r="BG144" s="4">
        <f t="shared" si="455"/>
        <v>58.2</v>
      </c>
      <c r="BH144" s="4">
        <f t="shared" si="456"/>
        <v>35</v>
      </c>
      <c r="BI144" s="4">
        <f t="shared" si="512"/>
        <v>1.181159420289855</v>
      </c>
      <c r="BJ144" s="25">
        <f t="shared" si="457"/>
        <v>4</v>
      </c>
      <c r="BL144" s="4">
        <f t="shared" si="458"/>
        <v>14.3</v>
      </c>
      <c r="BP144" s="9"/>
      <c r="BR144" s="9"/>
      <c r="BS144" s="9"/>
      <c r="BT144" s="9">
        <f t="shared" si="459"/>
        <v>14.3</v>
      </c>
      <c r="BU144" s="9">
        <f t="shared" si="460"/>
        <v>28.6</v>
      </c>
      <c r="BV144" s="9">
        <f t="shared" si="461"/>
        <v>0.78458409789675088</v>
      </c>
      <c r="BW144" s="9">
        <v>20</v>
      </c>
      <c r="BX144" s="9">
        <f t="shared" si="462"/>
        <v>0.05</v>
      </c>
      <c r="BY144" s="9">
        <f t="shared" si="500"/>
        <v>0.8</v>
      </c>
      <c r="BZ144" s="9">
        <f t="shared" si="463"/>
        <v>0.96044432035915817</v>
      </c>
      <c r="CA144" s="9">
        <f t="shared" si="464"/>
        <v>0.74299999999999999</v>
      </c>
      <c r="CB144" s="9">
        <f t="shared" si="465"/>
        <v>1.5816166822222031</v>
      </c>
      <c r="CC144" s="9">
        <f t="shared" si="466"/>
        <v>2.5062046436175218</v>
      </c>
      <c r="CD144" s="9">
        <v>1</v>
      </c>
      <c r="CE144" s="9" t="e">
        <f>4*CC144*#REF!+60*CC144</f>
        <v>#REF!</v>
      </c>
      <c r="CG144" s="4" t="e">
        <f t="shared" si="501"/>
        <v>#REF!</v>
      </c>
      <c r="CH144" s="4" t="e">
        <f t="shared" si="502"/>
        <v>#REF!</v>
      </c>
      <c r="CI144" s="4" t="e">
        <f t="shared" si="530"/>
        <v>#REF!</v>
      </c>
      <c r="CJ144" s="4" t="e">
        <f t="shared" si="484"/>
        <v>#REF!</v>
      </c>
      <c r="CK144" s="4" t="e">
        <f t="shared" si="531"/>
        <v>#REF!</v>
      </c>
      <c r="CL144" s="4" t="e">
        <f t="shared" si="532"/>
        <v>#REF!</v>
      </c>
      <c r="CM144" s="4" t="e">
        <f t="shared" si="481"/>
        <v>#REF!</v>
      </c>
      <c r="CU144" s="4" t="e">
        <f t="shared" si="535"/>
        <v>#REF!</v>
      </c>
      <c r="CV144" s="4" t="e">
        <f t="shared" si="536"/>
        <v>#REF!</v>
      </c>
      <c r="CW144" s="4" t="e">
        <f t="shared" si="537"/>
        <v>#REF!</v>
      </c>
      <c r="CX144" s="4" t="e">
        <f t="shared" si="538"/>
        <v>#REF!</v>
      </c>
      <c r="CY144" s="4" t="e">
        <f t="shared" si="539"/>
        <v>#REF!</v>
      </c>
      <c r="CZ144" s="4" t="e">
        <f t="shared" si="540"/>
        <v>#REF!</v>
      </c>
      <c r="DB144" s="4">
        <f t="shared" si="518"/>
        <v>12</v>
      </c>
      <c r="DC144" s="4" t="e">
        <f t="shared" si="467"/>
        <v>#REF!</v>
      </c>
      <c r="DD144" s="4" t="e">
        <f>#REF!/E144</f>
        <v>#REF!</v>
      </c>
      <c r="DF144" s="4" t="e">
        <f t="shared" si="468"/>
        <v>#REF!</v>
      </c>
      <c r="DG144" s="4">
        <f t="shared" si="519"/>
        <v>9.2491441045464668</v>
      </c>
      <c r="DH144" s="4" t="e">
        <f t="shared" si="486"/>
        <v>#REF!</v>
      </c>
      <c r="DI144" s="4" t="e">
        <f t="shared" si="359"/>
        <v>#REF!</v>
      </c>
      <c r="DJ144" s="4" t="e">
        <f t="shared" si="360"/>
        <v>#REF!</v>
      </c>
      <c r="DK144" s="4" t="e">
        <f t="shared" si="487"/>
        <v>#REF!</v>
      </c>
      <c r="DL144" s="38" t="e">
        <f t="shared" si="469"/>
        <v>#REF!</v>
      </c>
      <c r="DM144" s="4" t="e">
        <f t="shared" si="361"/>
        <v>#REF!</v>
      </c>
      <c r="DN144" s="4">
        <f t="shared" si="488"/>
        <v>2.2360679774997898</v>
      </c>
      <c r="DO144" s="4" t="e">
        <f t="shared" si="363"/>
        <v>#REF!</v>
      </c>
      <c r="DS144" s="4">
        <f t="shared" si="470"/>
        <v>1</v>
      </c>
      <c r="DT144" s="4">
        <f t="shared" si="471"/>
        <v>1</v>
      </c>
      <c r="DU144" s="4">
        <f t="shared" si="472"/>
        <v>0.7</v>
      </c>
      <c r="DV144" s="4">
        <f t="shared" si="504"/>
        <v>0.7</v>
      </c>
      <c r="DX144" s="4" t="e">
        <f t="shared" si="473"/>
        <v>#REF!</v>
      </c>
      <c r="DY144" s="25" t="e">
        <f t="shared" si="505"/>
        <v>#REF!</v>
      </c>
      <c r="EB144" s="4">
        <f t="shared" si="436"/>
        <v>9.2491441045464668</v>
      </c>
      <c r="EC144" s="4">
        <f t="shared" si="474"/>
        <v>9.2491441045464668</v>
      </c>
      <c r="EE144" s="4">
        <f t="shared" si="475"/>
        <v>63.951544156493995</v>
      </c>
      <c r="EF144" s="4">
        <f t="shared" si="520"/>
        <v>2.2360679774997898</v>
      </c>
      <c r="EG144" s="4" t="e">
        <f t="shared" si="476"/>
        <v>#REF!</v>
      </c>
      <c r="EJ144" s="4" t="e">
        <f t="shared" si="506"/>
        <v>#REF!</v>
      </c>
      <c r="EK144" s="4" t="e">
        <f t="shared" si="477"/>
        <v>#REF!</v>
      </c>
      <c r="EL144" s="4" t="e">
        <f t="shared" si="521"/>
        <v>#REF!</v>
      </c>
      <c r="EM144" s="4" t="e">
        <f t="shared" si="507"/>
        <v>#REF!</v>
      </c>
      <c r="EN144" s="4" t="e">
        <f t="shared" si="522"/>
        <v>#REF!</v>
      </c>
      <c r="EO144" s="4" t="e">
        <f t="shared" si="523"/>
        <v>#REF!</v>
      </c>
      <c r="EP144" s="4" t="e">
        <f t="shared" si="478"/>
        <v>#REF!</v>
      </c>
      <c r="EQ144" s="4" t="e">
        <f t="shared" si="508"/>
        <v>#REF!</v>
      </c>
      <c r="ER144" s="4" t="e">
        <f t="shared" si="479"/>
        <v>#REF!</v>
      </c>
      <c r="ES144" s="4" t="e">
        <f t="shared" si="524"/>
        <v>#REF!</v>
      </c>
      <c r="ET144" s="4" t="e">
        <f t="shared" si="525"/>
        <v>#REF!</v>
      </c>
      <c r="EV144" s="4" t="e">
        <f t="shared" si="489"/>
        <v>#REF!</v>
      </c>
      <c r="FA144" s="23" t="e">
        <f t="shared" si="490"/>
        <v>#REF!</v>
      </c>
      <c r="FB144" s="23" t="e">
        <f t="shared" si="491"/>
        <v>#REF!</v>
      </c>
      <c r="FC144" s="23" t="e">
        <f t="shared" si="527"/>
        <v>#REF!</v>
      </c>
      <c r="FD144" s="23" t="e">
        <f t="shared" si="492"/>
        <v>#REF!</v>
      </c>
      <c r="FE144" s="23" t="e">
        <f t="shared" si="493"/>
        <v>#REF!</v>
      </c>
      <c r="FF144" s="23" t="e">
        <f t="shared" si="494"/>
        <v>#REF!</v>
      </c>
      <c r="FG144" s="23" t="e">
        <f t="shared" si="533"/>
        <v>#REF!</v>
      </c>
      <c r="FH144" s="23"/>
      <c r="FR144" s="4">
        <f t="shared" si="351"/>
        <v>1.25</v>
      </c>
      <c r="FS144" s="4">
        <f t="shared" si="352"/>
        <v>0.67768622629572395</v>
      </c>
      <c r="FT144" s="4">
        <f t="shared" si="353"/>
        <v>0.3</v>
      </c>
      <c r="FU144" s="4" t="e">
        <f t="shared" si="354"/>
        <v>#REF!</v>
      </c>
    </row>
    <row r="145" spans="1:177" ht="12" customHeight="1" x14ac:dyDescent="0.3">
      <c r="B145" s="24"/>
      <c r="C145" s="7" t="s">
        <v>150</v>
      </c>
      <c r="D145" s="7">
        <v>710</v>
      </c>
      <c r="E145" s="7" t="e">
        <f>G145*#REF!</f>
        <v>#REF!</v>
      </c>
      <c r="F145" s="7">
        <v>40.1</v>
      </c>
      <c r="G145" s="7">
        <v>28.6</v>
      </c>
      <c r="H145" s="7">
        <v>261</v>
      </c>
      <c r="I145" s="7">
        <f t="shared" si="528"/>
        <v>28.6</v>
      </c>
      <c r="J145" s="7"/>
      <c r="K145" s="7">
        <f t="shared" si="526"/>
        <v>28.6</v>
      </c>
      <c r="L145" s="7">
        <v>2</v>
      </c>
      <c r="M145" s="7">
        <f t="shared" si="495"/>
        <v>58.2</v>
      </c>
      <c r="N145" s="7">
        <f t="shared" si="510"/>
        <v>1</v>
      </c>
      <c r="O145" s="7">
        <f t="shared" si="496"/>
        <v>1.5000000000000002</v>
      </c>
      <c r="P145" s="7">
        <f t="shared" si="509"/>
        <v>4</v>
      </c>
      <c r="Q145" s="7">
        <f t="shared" si="511"/>
        <v>4</v>
      </c>
      <c r="R145" s="7">
        <v>5</v>
      </c>
      <c r="S145" s="7">
        <f t="shared" si="447"/>
        <v>63.951544156493995</v>
      </c>
      <c r="T145" s="7"/>
      <c r="U145" s="7"/>
      <c r="V145" s="7">
        <v>681</v>
      </c>
      <c r="W145" s="7"/>
      <c r="X145" s="7" t="e">
        <f t="shared" si="482"/>
        <v>#REF!</v>
      </c>
      <c r="Y145" s="7">
        <v>9.5</v>
      </c>
      <c r="Z145" s="7">
        <v>15</v>
      </c>
      <c r="AA145" s="7">
        <v>39</v>
      </c>
      <c r="AB145" s="7">
        <v>15</v>
      </c>
      <c r="AC145" s="7">
        <v>15</v>
      </c>
      <c r="AD145" s="7">
        <f t="shared" si="534"/>
        <v>2.5</v>
      </c>
      <c r="AE145" s="4" t="e">
        <f t="shared" si="483"/>
        <v>#REF!</v>
      </c>
      <c r="AF145" s="46" t="e">
        <f t="shared" si="497"/>
        <v>#REF!</v>
      </c>
      <c r="AG145" s="25" t="e">
        <f t="shared" si="448"/>
        <v>#REF!</v>
      </c>
      <c r="AH145" s="4" t="e">
        <f t="shared" si="449"/>
        <v>#REF!</v>
      </c>
      <c r="AI145" s="4">
        <v>1.25</v>
      </c>
      <c r="AJ145" s="25">
        <f t="shared" si="438"/>
        <v>5</v>
      </c>
      <c r="AK145" s="38" t="e">
        <f t="shared" si="480"/>
        <v>#REF!</v>
      </c>
      <c r="AL145" s="38" t="e">
        <f t="shared" si="356"/>
        <v>#REF!</v>
      </c>
      <c r="AN145" s="38" t="e">
        <f t="shared" si="498"/>
        <v>#REF!</v>
      </c>
      <c r="AO145" s="38" t="e">
        <f t="shared" si="316"/>
        <v>#REF!</v>
      </c>
      <c r="AP145" s="38" t="e">
        <f t="shared" si="357"/>
        <v>#REF!</v>
      </c>
      <c r="AQ145" s="4" t="e">
        <f t="shared" si="443"/>
        <v>#REF!</v>
      </c>
      <c r="AR145" s="4" t="e">
        <f>#REF!/G145*F145^0.5/0.19</f>
        <v>#REF!</v>
      </c>
      <c r="AS145" s="4">
        <f t="shared" si="450"/>
        <v>1.2000000000000002</v>
      </c>
      <c r="AT145" s="38">
        <f t="shared" si="451"/>
        <v>192.48000000000005</v>
      </c>
      <c r="AU145" s="4">
        <f t="shared" si="452"/>
        <v>0.44000000000000006</v>
      </c>
      <c r="AV145" s="4" t="e">
        <f>AU145*D145*#REF!/(D145*G145/2.75/F145^0.5)</f>
        <v>#REF!</v>
      </c>
      <c r="AW145" s="4" t="e">
        <f t="shared" si="499"/>
        <v>#REF!</v>
      </c>
      <c r="AY145" s="36">
        <f t="shared" si="529"/>
        <v>2.125</v>
      </c>
      <c r="AZ145" s="36" t="e">
        <f>(1.6*#REF!+22)*AY145*F145^0.5</f>
        <v>#REF!</v>
      </c>
      <c r="BE145" s="4">
        <f t="shared" si="453"/>
        <v>20.700000000000003</v>
      </c>
      <c r="BF145" s="4">
        <f t="shared" si="454"/>
        <v>20.700000000000003</v>
      </c>
      <c r="BG145" s="4">
        <f t="shared" si="455"/>
        <v>58.2</v>
      </c>
      <c r="BH145" s="4">
        <f t="shared" si="456"/>
        <v>35</v>
      </c>
      <c r="BI145" s="4">
        <f t="shared" si="512"/>
        <v>1.181159420289855</v>
      </c>
      <c r="BJ145" s="25">
        <f t="shared" si="457"/>
        <v>4</v>
      </c>
      <c r="BL145" s="4">
        <f t="shared" si="458"/>
        <v>14.3</v>
      </c>
      <c r="BP145" s="9"/>
      <c r="BR145" s="9"/>
      <c r="BS145" s="9"/>
      <c r="BT145" s="9">
        <f t="shared" si="459"/>
        <v>14.3</v>
      </c>
      <c r="BU145" s="9">
        <f t="shared" si="460"/>
        <v>28.6</v>
      </c>
      <c r="BV145" s="9">
        <f t="shared" si="461"/>
        <v>0.78458409789675088</v>
      </c>
      <c r="BW145" s="9">
        <v>20</v>
      </c>
      <c r="BX145" s="9">
        <f t="shared" si="462"/>
        <v>0.05</v>
      </c>
      <c r="BY145" s="9">
        <f t="shared" si="500"/>
        <v>0.8</v>
      </c>
      <c r="BZ145" s="9">
        <f t="shared" si="463"/>
        <v>0.96044432035915817</v>
      </c>
      <c r="CA145" s="9">
        <f t="shared" si="464"/>
        <v>0.74299999999999999</v>
      </c>
      <c r="CB145" s="9">
        <f t="shared" si="465"/>
        <v>1.5816166822222031</v>
      </c>
      <c r="CC145" s="9">
        <f t="shared" si="466"/>
        <v>2.5062046436175218</v>
      </c>
      <c r="CD145" s="9">
        <v>1</v>
      </c>
      <c r="CE145" s="9" t="e">
        <f>4*CC145*#REF!+60*CC145</f>
        <v>#REF!</v>
      </c>
      <c r="CG145" s="4" t="e">
        <f t="shared" si="501"/>
        <v>#REF!</v>
      </c>
      <c r="CH145" s="4" t="e">
        <f t="shared" si="502"/>
        <v>#REF!</v>
      </c>
      <c r="CI145" s="4" t="e">
        <f t="shared" si="530"/>
        <v>#REF!</v>
      </c>
      <c r="CJ145" s="4" t="e">
        <f t="shared" si="484"/>
        <v>#REF!</v>
      </c>
      <c r="CK145" s="4" t="e">
        <f t="shared" si="531"/>
        <v>#REF!</v>
      </c>
      <c r="CL145" s="4" t="e">
        <f t="shared" si="532"/>
        <v>#REF!</v>
      </c>
      <c r="CM145" s="4" t="e">
        <f t="shared" si="481"/>
        <v>#REF!</v>
      </c>
      <c r="CU145" s="4" t="e">
        <f t="shared" si="535"/>
        <v>#REF!</v>
      </c>
      <c r="CV145" s="4" t="e">
        <f t="shared" si="536"/>
        <v>#REF!</v>
      </c>
      <c r="CW145" s="4" t="e">
        <f t="shared" si="537"/>
        <v>#REF!</v>
      </c>
      <c r="CX145" s="4" t="e">
        <f t="shared" si="538"/>
        <v>#REF!</v>
      </c>
      <c r="CY145" s="4" t="e">
        <f t="shared" si="539"/>
        <v>#REF!</v>
      </c>
      <c r="CZ145" s="4" t="e">
        <f t="shared" si="540"/>
        <v>#REF!</v>
      </c>
      <c r="DB145" s="4">
        <f t="shared" si="518"/>
        <v>15</v>
      </c>
      <c r="DC145" s="4" t="e">
        <f t="shared" si="467"/>
        <v>#REF!</v>
      </c>
      <c r="DD145" s="4" t="e">
        <f>#REF!/E145</f>
        <v>#REF!</v>
      </c>
      <c r="DF145" s="4" t="e">
        <f t="shared" si="468"/>
        <v>#REF!</v>
      </c>
      <c r="DG145" s="4">
        <f t="shared" si="519"/>
        <v>9.2491441045464668</v>
      </c>
      <c r="DH145" s="4" t="e">
        <f t="shared" si="486"/>
        <v>#REF!</v>
      </c>
      <c r="DI145" s="4" t="e">
        <f t="shared" si="359"/>
        <v>#REF!</v>
      </c>
      <c r="DJ145" s="4" t="e">
        <f t="shared" si="360"/>
        <v>#REF!</v>
      </c>
      <c r="DK145" s="4" t="e">
        <f t="shared" si="487"/>
        <v>#REF!</v>
      </c>
      <c r="DL145" s="38" t="e">
        <f t="shared" si="469"/>
        <v>#REF!</v>
      </c>
      <c r="DM145" s="4" t="e">
        <f t="shared" si="361"/>
        <v>#REF!</v>
      </c>
      <c r="DN145" s="4">
        <f t="shared" si="488"/>
        <v>2.2360679774997898</v>
      </c>
      <c r="DO145" s="4" t="e">
        <f t="shared" si="363"/>
        <v>#REF!</v>
      </c>
      <c r="DS145" s="4">
        <f t="shared" si="470"/>
        <v>1</v>
      </c>
      <c r="DT145" s="4">
        <f t="shared" si="471"/>
        <v>1</v>
      </c>
      <c r="DU145" s="4">
        <f t="shared" si="472"/>
        <v>0.7</v>
      </c>
      <c r="DV145" s="4">
        <f t="shared" si="504"/>
        <v>0.7</v>
      </c>
      <c r="DX145" s="4" t="e">
        <f t="shared" si="473"/>
        <v>#REF!</v>
      </c>
      <c r="DY145" s="25" t="e">
        <f t="shared" si="505"/>
        <v>#REF!</v>
      </c>
      <c r="EB145" s="4">
        <f t="shared" si="436"/>
        <v>9.2491441045464668</v>
      </c>
      <c r="EC145" s="4">
        <f t="shared" si="474"/>
        <v>9.2491441045464668</v>
      </c>
      <c r="EE145" s="4">
        <f t="shared" si="475"/>
        <v>63.951544156493995</v>
      </c>
      <c r="EF145" s="4">
        <f t="shared" si="520"/>
        <v>2.2360679774997898</v>
      </c>
      <c r="EG145" s="4" t="e">
        <f t="shared" si="476"/>
        <v>#REF!</v>
      </c>
      <c r="EJ145" s="4" t="e">
        <f t="shared" si="506"/>
        <v>#REF!</v>
      </c>
      <c r="EK145" s="4" t="e">
        <f t="shared" si="477"/>
        <v>#REF!</v>
      </c>
      <c r="EL145" s="4" t="e">
        <f t="shared" si="521"/>
        <v>#REF!</v>
      </c>
      <c r="EM145" s="4" t="e">
        <f t="shared" si="507"/>
        <v>#REF!</v>
      </c>
      <c r="EN145" s="4" t="e">
        <f t="shared" si="522"/>
        <v>#REF!</v>
      </c>
      <c r="EO145" s="4" t="e">
        <f t="shared" si="523"/>
        <v>#REF!</v>
      </c>
      <c r="EP145" s="4" t="e">
        <f t="shared" si="478"/>
        <v>#REF!</v>
      </c>
      <c r="EQ145" s="4" t="e">
        <f t="shared" si="508"/>
        <v>#REF!</v>
      </c>
      <c r="ER145" s="4" t="e">
        <f t="shared" si="479"/>
        <v>#REF!</v>
      </c>
      <c r="ES145" s="4" t="e">
        <f t="shared" si="524"/>
        <v>#REF!</v>
      </c>
      <c r="ET145" s="4" t="e">
        <f t="shared" si="525"/>
        <v>#REF!</v>
      </c>
      <c r="EV145" s="4" t="e">
        <f t="shared" si="489"/>
        <v>#REF!</v>
      </c>
      <c r="FA145" s="23" t="e">
        <f t="shared" si="490"/>
        <v>#REF!</v>
      </c>
      <c r="FB145" s="23" t="e">
        <f t="shared" si="491"/>
        <v>#REF!</v>
      </c>
      <c r="FC145" s="23" t="e">
        <f t="shared" si="527"/>
        <v>#REF!</v>
      </c>
      <c r="FD145" s="23" t="e">
        <f t="shared" si="492"/>
        <v>#REF!</v>
      </c>
      <c r="FE145" s="23" t="e">
        <f t="shared" si="493"/>
        <v>#REF!</v>
      </c>
      <c r="FF145" s="23" t="e">
        <f t="shared" si="494"/>
        <v>#REF!</v>
      </c>
      <c r="FG145" s="23" t="e">
        <f t="shared" si="533"/>
        <v>#REF!</v>
      </c>
      <c r="FH145" s="23"/>
      <c r="FR145" s="4">
        <f t="shared" si="351"/>
        <v>1.25</v>
      </c>
      <c r="FS145" s="4">
        <f t="shared" si="352"/>
        <v>0.67768622629572395</v>
      </c>
      <c r="FT145" s="4">
        <f t="shared" si="353"/>
        <v>0.3</v>
      </c>
      <c r="FU145" s="4" t="e">
        <f t="shared" si="354"/>
        <v>#REF!</v>
      </c>
    </row>
    <row r="146" spans="1:177" ht="12" customHeight="1" x14ac:dyDescent="0.3">
      <c r="B146" s="24"/>
      <c r="C146" s="7" t="s">
        <v>151</v>
      </c>
      <c r="D146" s="7">
        <v>710</v>
      </c>
      <c r="E146" s="7" t="e">
        <f>G146*#REF!</f>
        <v>#REF!</v>
      </c>
      <c r="F146" s="7">
        <v>62.9</v>
      </c>
      <c r="G146" s="7">
        <v>28.6</v>
      </c>
      <c r="H146" s="7">
        <v>261</v>
      </c>
      <c r="I146" s="7">
        <f t="shared" si="528"/>
        <v>28.6</v>
      </c>
      <c r="J146" s="7"/>
      <c r="K146" s="7">
        <f t="shared" si="526"/>
        <v>28.6</v>
      </c>
      <c r="L146" s="7">
        <v>2</v>
      </c>
      <c r="M146" s="7">
        <f t="shared" si="495"/>
        <v>58.2</v>
      </c>
      <c r="N146" s="7">
        <f t="shared" si="510"/>
        <v>1</v>
      </c>
      <c r="O146" s="7">
        <f t="shared" si="496"/>
        <v>1.5000000000000002</v>
      </c>
      <c r="P146" s="7">
        <f t="shared" si="509"/>
        <v>4</v>
      </c>
      <c r="Q146" s="7">
        <f t="shared" si="511"/>
        <v>4</v>
      </c>
      <c r="R146" s="7">
        <v>5</v>
      </c>
      <c r="S146" s="7">
        <f t="shared" si="447"/>
        <v>63.951544156493995</v>
      </c>
      <c r="T146" s="7"/>
      <c r="U146" s="7"/>
      <c r="V146" s="7">
        <v>562</v>
      </c>
      <c r="W146" s="7"/>
      <c r="X146" s="7" t="e">
        <f t="shared" si="482"/>
        <v>#REF!</v>
      </c>
      <c r="Y146" s="7">
        <v>9.5</v>
      </c>
      <c r="Z146" s="7">
        <v>7</v>
      </c>
      <c r="AA146" s="7">
        <v>65</v>
      </c>
      <c r="AB146" s="7">
        <v>7</v>
      </c>
      <c r="AC146" s="7">
        <v>7</v>
      </c>
      <c r="AD146" s="7">
        <f t="shared" si="534"/>
        <v>1.5251680311268359</v>
      </c>
      <c r="AE146" s="4" t="e">
        <f t="shared" si="483"/>
        <v>#REF!</v>
      </c>
      <c r="AF146" s="46" t="e">
        <f t="shared" si="497"/>
        <v>#REF!</v>
      </c>
      <c r="AG146" s="25" t="e">
        <f t="shared" si="448"/>
        <v>#REF!</v>
      </c>
      <c r="AH146" s="4" t="e">
        <f t="shared" si="449"/>
        <v>#REF!</v>
      </c>
      <c r="AI146" s="4">
        <v>1.25</v>
      </c>
      <c r="AJ146" s="25">
        <f t="shared" si="438"/>
        <v>5</v>
      </c>
      <c r="AK146" s="38" t="e">
        <f t="shared" si="480"/>
        <v>#REF!</v>
      </c>
      <c r="AL146" s="38" t="e">
        <f t="shared" si="356"/>
        <v>#REF!</v>
      </c>
      <c r="AN146" s="38" t="e">
        <f t="shared" si="498"/>
        <v>#REF!</v>
      </c>
      <c r="AO146" s="38" t="e">
        <f t="shared" si="316"/>
        <v>#REF!</v>
      </c>
      <c r="AP146" s="38" t="e">
        <f t="shared" si="357"/>
        <v>#REF!</v>
      </c>
      <c r="AQ146" s="4" t="e">
        <f t="shared" si="443"/>
        <v>#REF!</v>
      </c>
      <c r="AR146" s="4" t="e">
        <f>#REF!/G146*F146^0.5/0.19</f>
        <v>#REF!</v>
      </c>
      <c r="AS146" s="4">
        <f t="shared" si="450"/>
        <v>1.2000000000000002</v>
      </c>
      <c r="AT146" s="38">
        <f t="shared" si="451"/>
        <v>301.92</v>
      </c>
      <c r="AU146" s="4">
        <f t="shared" si="452"/>
        <v>0.44000000000000006</v>
      </c>
      <c r="AV146" s="4" t="e">
        <f>AU146*D146*#REF!/(D146*G146/2.75/F146^0.5)</f>
        <v>#REF!</v>
      </c>
      <c r="AW146" s="4" t="e">
        <f t="shared" si="499"/>
        <v>#REF!</v>
      </c>
      <c r="AY146" s="36">
        <f t="shared" si="529"/>
        <v>1.6863256140070761</v>
      </c>
      <c r="AZ146" s="36" t="e">
        <f>(1.6*#REF!+22)*AY146*F146^0.5</f>
        <v>#REF!</v>
      </c>
      <c r="BE146" s="4">
        <f t="shared" si="453"/>
        <v>20.700000000000003</v>
      </c>
      <c r="BF146" s="4">
        <f t="shared" si="454"/>
        <v>20.700000000000003</v>
      </c>
      <c r="BG146" s="4">
        <f t="shared" si="455"/>
        <v>58.2</v>
      </c>
      <c r="BH146" s="4">
        <f t="shared" si="456"/>
        <v>35</v>
      </c>
      <c r="BI146" s="4">
        <f t="shared" si="512"/>
        <v>1.181159420289855</v>
      </c>
      <c r="BJ146" s="25">
        <f t="shared" si="457"/>
        <v>3.4014035908980222</v>
      </c>
      <c r="BL146" s="4">
        <f t="shared" si="458"/>
        <v>14.3</v>
      </c>
      <c r="BP146" s="9"/>
      <c r="BR146" s="9"/>
      <c r="BS146" s="9"/>
      <c r="BT146" s="9">
        <f t="shared" si="459"/>
        <v>14.3</v>
      </c>
      <c r="BU146" s="9">
        <f t="shared" si="460"/>
        <v>28.6</v>
      </c>
      <c r="BV146" s="9">
        <f t="shared" si="461"/>
        <v>0.78458409789675088</v>
      </c>
      <c r="BW146" s="9">
        <v>20</v>
      </c>
      <c r="BX146" s="9">
        <f t="shared" si="462"/>
        <v>0.05</v>
      </c>
      <c r="BY146" s="9">
        <f t="shared" si="500"/>
        <v>0.8</v>
      </c>
      <c r="BZ146" s="9">
        <f t="shared" si="463"/>
        <v>0.96044432035915817</v>
      </c>
      <c r="CA146" s="9">
        <f t="shared" si="464"/>
        <v>0.74299999999999999</v>
      </c>
      <c r="CB146" s="9">
        <f t="shared" si="465"/>
        <v>1.9808626966691243</v>
      </c>
      <c r="CC146" s="9">
        <f t="shared" si="466"/>
        <v>3.1388435292587697</v>
      </c>
      <c r="CD146" s="9">
        <v>1</v>
      </c>
      <c r="CE146" s="9" t="e">
        <f>4*CC146*#REF!+60*CC146</f>
        <v>#REF!</v>
      </c>
      <c r="CG146" s="4" t="e">
        <f t="shared" si="501"/>
        <v>#REF!</v>
      </c>
      <c r="CH146" s="4" t="e">
        <f t="shared" si="502"/>
        <v>#REF!</v>
      </c>
      <c r="CI146" s="4" t="e">
        <f t="shared" si="530"/>
        <v>#REF!</v>
      </c>
      <c r="CJ146" s="4" t="e">
        <f t="shared" si="484"/>
        <v>#REF!</v>
      </c>
      <c r="CK146" s="4" t="e">
        <f t="shared" si="531"/>
        <v>#REF!</v>
      </c>
      <c r="CL146" s="4" t="e">
        <f t="shared" si="532"/>
        <v>#REF!</v>
      </c>
      <c r="CM146" s="4" t="e">
        <f t="shared" si="481"/>
        <v>#REF!</v>
      </c>
      <c r="CU146" s="4" t="e">
        <f t="shared" si="535"/>
        <v>#REF!</v>
      </c>
      <c r="CV146" s="4" t="e">
        <f t="shared" si="536"/>
        <v>#REF!</v>
      </c>
      <c r="CW146" s="4" t="e">
        <f t="shared" si="537"/>
        <v>#REF!</v>
      </c>
      <c r="CX146" s="4" t="e">
        <f t="shared" si="538"/>
        <v>#REF!</v>
      </c>
      <c r="CY146" s="4" t="e">
        <f t="shared" si="539"/>
        <v>#REF!</v>
      </c>
      <c r="CZ146" s="4" t="e">
        <f t="shared" si="540"/>
        <v>#REF!</v>
      </c>
      <c r="DB146" s="4">
        <f t="shared" si="518"/>
        <v>7</v>
      </c>
      <c r="DC146" s="4" t="e">
        <f t="shared" si="467"/>
        <v>#REF!</v>
      </c>
      <c r="DD146" s="4" t="e">
        <f>#REF!/E146</f>
        <v>#REF!</v>
      </c>
      <c r="DF146" s="4" t="e">
        <f t="shared" si="468"/>
        <v>#REF!</v>
      </c>
      <c r="DG146" s="4">
        <f t="shared" si="519"/>
        <v>9.850377101520138</v>
      </c>
      <c r="DH146" s="4" t="e">
        <f t="shared" si="486"/>
        <v>#REF!</v>
      </c>
      <c r="DI146" s="4" t="e">
        <f t="shared" si="359"/>
        <v>#REF!</v>
      </c>
      <c r="DJ146" s="4" t="e">
        <f t="shared" si="360"/>
        <v>#REF!</v>
      </c>
      <c r="DK146" s="4" t="e">
        <f t="shared" si="487"/>
        <v>#REF!</v>
      </c>
      <c r="DL146" s="38" t="e">
        <f t="shared" si="469"/>
        <v>#REF!</v>
      </c>
      <c r="DM146" s="4" t="e">
        <f t="shared" si="361"/>
        <v>#REF!</v>
      </c>
      <c r="DN146" s="4">
        <f t="shared" si="488"/>
        <v>2.2360679774997898</v>
      </c>
      <c r="DO146" s="4" t="e">
        <f t="shared" si="363"/>
        <v>#REF!</v>
      </c>
      <c r="DS146" s="4">
        <f t="shared" si="470"/>
        <v>1</v>
      </c>
      <c r="DT146" s="4">
        <f t="shared" si="471"/>
        <v>1</v>
      </c>
      <c r="DU146" s="4">
        <f t="shared" si="472"/>
        <v>0.7</v>
      </c>
      <c r="DV146" s="4">
        <f t="shared" si="504"/>
        <v>0.7</v>
      </c>
      <c r="DX146" s="4" t="e">
        <f t="shared" si="473"/>
        <v>#REF!</v>
      </c>
      <c r="DY146" s="25" t="e">
        <f t="shared" si="505"/>
        <v>#REF!</v>
      </c>
      <c r="EB146" s="4">
        <f t="shared" si="436"/>
        <v>9.850377101520138</v>
      </c>
      <c r="EC146" s="4">
        <f t="shared" si="474"/>
        <v>9.850377101520138</v>
      </c>
      <c r="EE146" s="4">
        <f t="shared" si="475"/>
        <v>63.951544156493995</v>
      </c>
      <c r="EF146" s="4">
        <f t="shared" si="520"/>
        <v>2.2360679774997898</v>
      </c>
      <c r="EG146" s="4" t="e">
        <f t="shared" si="476"/>
        <v>#REF!</v>
      </c>
      <c r="EJ146" s="4" t="e">
        <f t="shared" si="506"/>
        <v>#REF!</v>
      </c>
      <c r="EK146" s="4" t="e">
        <f t="shared" si="477"/>
        <v>#REF!</v>
      </c>
      <c r="EL146" s="4" t="e">
        <f t="shared" si="521"/>
        <v>#REF!</v>
      </c>
      <c r="EM146" s="4" t="e">
        <f t="shared" si="507"/>
        <v>#REF!</v>
      </c>
      <c r="EN146" s="4" t="e">
        <f t="shared" si="522"/>
        <v>#REF!</v>
      </c>
      <c r="EO146" s="4" t="e">
        <f t="shared" si="523"/>
        <v>#REF!</v>
      </c>
      <c r="EP146" s="4" t="e">
        <f t="shared" si="478"/>
        <v>#REF!</v>
      </c>
      <c r="EQ146" s="4" t="e">
        <f t="shared" si="508"/>
        <v>#REF!</v>
      </c>
      <c r="ER146" s="4" t="e">
        <f t="shared" si="479"/>
        <v>#REF!</v>
      </c>
      <c r="ES146" s="4" t="e">
        <f t="shared" si="524"/>
        <v>#REF!</v>
      </c>
      <c r="ET146" s="4" t="e">
        <f t="shared" si="525"/>
        <v>#REF!</v>
      </c>
      <c r="EV146" s="4" t="e">
        <f t="shared" si="489"/>
        <v>#REF!</v>
      </c>
      <c r="FA146" s="23" t="e">
        <f t="shared" si="490"/>
        <v>#REF!</v>
      </c>
      <c r="FB146" s="23" t="e">
        <f t="shared" si="491"/>
        <v>#REF!</v>
      </c>
      <c r="FC146" s="23" t="e">
        <f t="shared" si="527"/>
        <v>#REF!</v>
      </c>
      <c r="FD146" s="23" t="e">
        <f t="shared" si="492"/>
        <v>#REF!</v>
      </c>
      <c r="FE146" s="23" t="e">
        <f t="shared" si="493"/>
        <v>#REF!</v>
      </c>
      <c r="FF146" s="23" t="e">
        <f t="shared" si="494"/>
        <v>#REF!</v>
      </c>
      <c r="FG146" s="23" t="e">
        <f t="shared" si="533"/>
        <v>#REF!</v>
      </c>
      <c r="FH146" s="23"/>
      <c r="FR146" s="4">
        <f t="shared" si="351"/>
        <v>1.25</v>
      </c>
      <c r="FS146" s="4">
        <f t="shared" si="352"/>
        <v>0.67768622629572395</v>
      </c>
      <c r="FT146" s="4">
        <f t="shared" si="353"/>
        <v>0.3</v>
      </c>
      <c r="FU146" s="4" t="e">
        <f t="shared" si="354"/>
        <v>#REF!</v>
      </c>
    </row>
    <row r="147" spans="1:177" ht="12" customHeight="1" x14ac:dyDescent="0.3">
      <c r="B147" s="24"/>
      <c r="C147" s="7" t="s">
        <v>152</v>
      </c>
      <c r="D147" s="7">
        <v>710</v>
      </c>
      <c r="E147" s="7" t="e">
        <f>G147*#REF!</f>
        <v>#REF!</v>
      </c>
      <c r="F147" s="7">
        <v>62.9</v>
      </c>
      <c r="G147" s="7">
        <v>28.6</v>
      </c>
      <c r="H147" s="7">
        <v>261</v>
      </c>
      <c r="I147" s="7">
        <f t="shared" si="528"/>
        <v>28.6</v>
      </c>
      <c r="J147" s="7"/>
      <c r="K147" s="7">
        <f t="shared" si="526"/>
        <v>28.6</v>
      </c>
      <c r="L147" s="7">
        <v>2</v>
      </c>
      <c r="M147" s="7">
        <f t="shared" si="495"/>
        <v>58.2</v>
      </c>
      <c r="N147" s="7">
        <f t="shared" si="510"/>
        <v>1</v>
      </c>
      <c r="O147" s="7">
        <f t="shared" si="496"/>
        <v>1.5000000000000002</v>
      </c>
      <c r="P147" s="7">
        <f t="shared" si="509"/>
        <v>4</v>
      </c>
      <c r="Q147" s="7">
        <f t="shared" si="511"/>
        <v>4</v>
      </c>
      <c r="R147" s="7">
        <v>5</v>
      </c>
      <c r="S147" s="7">
        <f t="shared" si="447"/>
        <v>63.951544156493995</v>
      </c>
      <c r="T147" s="7"/>
      <c r="U147" s="7"/>
      <c r="V147" s="7">
        <v>710</v>
      </c>
      <c r="W147" s="7"/>
      <c r="X147" s="7" t="e">
        <f t="shared" si="482"/>
        <v>#REF!</v>
      </c>
      <c r="Y147" s="7">
        <v>9.5</v>
      </c>
      <c r="Z147" s="7">
        <v>9</v>
      </c>
      <c r="AA147" s="7">
        <v>65</v>
      </c>
      <c r="AB147" s="7">
        <v>9</v>
      </c>
      <c r="AC147" s="7">
        <v>9</v>
      </c>
      <c r="AD147" s="7">
        <f t="shared" si="534"/>
        <v>1.5251680311268359</v>
      </c>
      <c r="AE147" s="4" t="e">
        <f t="shared" si="483"/>
        <v>#REF!</v>
      </c>
      <c r="AF147" s="46" t="e">
        <f t="shared" si="497"/>
        <v>#REF!</v>
      </c>
      <c r="AG147" s="25" t="e">
        <f t="shared" si="448"/>
        <v>#REF!</v>
      </c>
      <c r="AH147" s="4" t="e">
        <f t="shared" si="449"/>
        <v>#REF!</v>
      </c>
      <c r="AI147" s="4">
        <v>1.25</v>
      </c>
      <c r="AJ147" s="25">
        <f t="shared" si="438"/>
        <v>5</v>
      </c>
      <c r="AK147" s="38" t="e">
        <f>AF147*AH147*AI147*AJ147*AG147</f>
        <v>#REF!</v>
      </c>
      <c r="AL147" s="38" t="e">
        <f t="shared" si="356"/>
        <v>#REF!</v>
      </c>
      <c r="AN147" s="38" t="e">
        <f t="shared" si="498"/>
        <v>#REF!</v>
      </c>
      <c r="AO147" s="38" t="e">
        <f t="shared" si="316"/>
        <v>#REF!</v>
      </c>
      <c r="AP147" s="38" t="e">
        <f t="shared" si="357"/>
        <v>#REF!</v>
      </c>
      <c r="AQ147" s="4" t="e">
        <f t="shared" si="443"/>
        <v>#REF!</v>
      </c>
      <c r="AR147" s="4" t="e">
        <f>#REF!/G147*F147^0.5/0.19</f>
        <v>#REF!</v>
      </c>
      <c r="AS147" s="4">
        <f t="shared" si="450"/>
        <v>1.2000000000000002</v>
      </c>
      <c r="AT147" s="38">
        <f t="shared" si="451"/>
        <v>301.92</v>
      </c>
      <c r="AU147" s="4">
        <f t="shared" si="452"/>
        <v>0.44000000000000006</v>
      </c>
      <c r="AV147" s="4" t="e">
        <f>AU147*D147*#REF!/(D147*G147/2.75/F147^0.5)</f>
        <v>#REF!</v>
      </c>
      <c r="AW147" s="4" t="e">
        <f t="shared" si="499"/>
        <v>#REF!</v>
      </c>
      <c r="AY147" s="36">
        <f t="shared" si="529"/>
        <v>1.6863256140070761</v>
      </c>
      <c r="AZ147" s="36" t="e">
        <f>(1.6*#REF!+22)*AY147*F147^0.5</f>
        <v>#REF!</v>
      </c>
      <c r="BE147" s="4">
        <f t="shared" si="453"/>
        <v>20.700000000000003</v>
      </c>
      <c r="BF147" s="4">
        <f t="shared" si="454"/>
        <v>20.700000000000003</v>
      </c>
      <c r="BG147" s="4">
        <f t="shared" si="455"/>
        <v>58.2</v>
      </c>
      <c r="BH147" s="4">
        <f t="shared" si="456"/>
        <v>35</v>
      </c>
      <c r="BI147" s="4">
        <f t="shared" si="512"/>
        <v>1.181159420289855</v>
      </c>
      <c r="BJ147" s="25">
        <f t="shared" si="457"/>
        <v>3.4014035908980222</v>
      </c>
      <c r="BL147" s="4">
        <f t="shared" si="458"/>
        <v>14.3</v>
      </c>
      <c r="BP147" s="9"/>
      <c r="BR147" s="9"/>
      <c r="BS147" s="9"/>
      <c r="BT147" s="9">
        <f t="shared" si="459"/>
        <v>14.3</v>
      </c>
      <c r="BU147" s="9">
        <f t="shared" si="460"/>
        <v>28.6</v>
      </c>
      <c r="BV147" s="9">
        <f t="shared" si="461"/>
        <v>0.78458409789675088</v>
      </c>
      <c r="BW147" s="9">
        <v>20</v>
      </c>
      <c r="BX147" s="9">
        <f t="shared" si="462"/>
        <v>0.05</v>
      </c>
      <c r="BY147" s="9">
        <f t="shared" si="500"/>
        <v>0.8</v>
      </c>
      <c r="BZ147" s="9">
        <f t="shared" si="463"/>
        <v>0.96044432035915817</v>
      </c>
      <c r="CA147" s="9">
        <f t="shared" si="464"/>
        <v>0.74299999999999999</v>
      </c>
      <c r="CB147" s="9">
        <f t="shared" si="465"/>
        <v>1.9808626966691243</v>
      </c>
      <c r="CC147" s="9">
        <f t="shared" si="466"/>
        <v>3.1388435292587697</v>
      </c>
      <c r="CD147" s="9">
        <v>1</v>
      </c>
      <c r="CE147" s="9" t="e">
        <f>4*CC147*#REF!+60*CC147</f>
        <v>#REF!</v>
      </c>
      <c r="CG147" s="4" t="e">
        <f t="shared" si="501"/>
        <v>#REF!</v>
      </c>
      <c r="CH147" s="4" t="e">
        <f t="shared" si="502"/>
        <v>#REF!</v>
      </c>
      <c r="CI147" s="4" t="e">
        <f t="shared" si="530"/>
        <v>#REF!</v>
      </c>
      <c r="CJ147" s="4" t="e">
        <f t="shared" si="484"/>
        <v>#REF!</v>
      </c>
      <c r="CK147" s="4" t="e">
        <f t="shared" si="531"/>
        <v>#REF!</v>
      </c>
      <c r="CL147" s="4" t="e">
        <f t="shared" si="532"/>
        <v>#REF!</v>
      </c>
      <c r="CM147" s="4" t="e">
        <f t="shared" si="481"/>
        <v>#REF!</v>
      </c>
      <c r="CU147" s="4" t="e">
        <f t="shared" si="535"/>
        <v>#REF!</v>
      </c>
      <c r="CV147" s="4" t="e">
        <f t="shared" si="536"/>
        <v>#REF!</v>
      </c>
      <c r="CW147" s="4" t="e">
        <f t="shared" si="537"/>
        <v>#REF!</v>
      </c>
      <c r="CX147" s="4" t="e">
        <f t="shared" si="538"/>
        <v>#REF!</v>
      </c>
      <c r="CY147" s="4" t="e">
        <f t="shared" si="539"/>
        <v>#REF!</v>
      </c>
      <c r="CZ147" s="4" t="e">
        <f t="shared" si="540"/>
        <v>#REF!</v>
      </c>
      <c r="DB147" s="4">
        <f t="shared" si="518"/>
        <v>9</v>
      </c>
      <c r="DC147" s="4" t="e">
        <f t="shared" si="467"/>
        <v>#REF!</v>
      </c>
      <c r="DD147" s="4" t="e">
        <f>#REF!/E147</f>
        <v>#REF!</v>
      </c>
      <c r="DF147" s="4" t="e">
        <f t="shared" si="468"/>
        <v>#REF!</v>
      </c>
      <c r="DG147" s="4">
        <f t="shared" si="519"/>
        <v>9.850377101520138</v>
      </c>
      <c r="DH147" s="4" t="e">
        <f t="shared" si="486"/>
        <v>#REF!</v>
      </c>
      <c r="DI147" s="4" t="e">
        <f t="shared" si="359"/>
        <v>#REF!</v>
      </c>
      <c r="DJ147" s="4" t="e">
        <f t="shared" si="360"/>
        <v>#REF!</v>
      </c>
      <c r="DK147" s="4" t="e">
        <f t="shared" si="487"/>
        <v>#REF!</v>
      </c>
      <c r="DL147" s="38" t="e">
        <f t="shared" si="469"/>
        <v>#REF!</v>
      </c>
      <c r="DM147" s="4" t="e">
        <f t="shared" si="361"/>
        <v>#REF!</v>
      </c>
      <c r="DN147" s="4">
        <f t="shared" si="488"/>
        <v>2.2360679774997898</v>
      </c>
      <c r="DO147" s="4" t="e">
        <f t="shared" si="363"/>
        <v>#REF!</v>
      </c>
      <c r="DS147" s="4">
        <f t="shared" si="470"/>
        <v>1</v>
      </c>
      <c r="DT147" s="4">
        <f t="shared" si="471"/>
        <v>1</v>
      </c>
      <c r="DU147" s="4">
        <f t="shared" si="472"/>
        <v>0.7</v>
      </c>
      <c r="DV147" s="4">
        <f t="shared" si="504"/>
        <v>0.7</v>
      </c>
      <c r="DX147" s="4" t="e">
        <f t="shared" si="473"/>
        <v>#REF!</v>
      </c>
      <c r="DY147" s="25" t="e">
        <f t="shared" si="505"/>
        <v>#REF!</v>
      </c>
      <c r="EB147" s="4">
        <f t="shared" si="436"/>
        <v>9.850377101520138</v>
      </c>
      <c r="EC147" s="4">
        <f t="shared" si="474"/>
        <v>9.850377101520138</v>
      </c>
      <c r="EE147" s="4">
        <f t="shared" si="475"/>
        <v>63.951544156493995</v>
      </c>
      <c r="EF147" s="4">
        <f t="shared" si="520"/>
        <v>2.2360679774997898</v>
      </c>
      <c r="EG147" s="4" t="e">
        <f t="shared" si="476"/>
        <v>#REF!</v>
      </c>
      <c r="EJ147" s="4" t="e">
        <f t="shared" si="506"/>
        <v>#REF!</v>
      </c>
      <c r="EK147" s="4" t="e">
        <f t="shared" si="477"/>
        <v>#REF!</v>
      </c>
      <c r="EL147" s="4" t="e">
        <f t="shared" si="521"/>
        <v>#REF!</v>
      </c>
      <c r="EM147" s="4" t="e">
        <f t="shared" si="507"/>
        <v>#REF!</v>
      </c>
      <c r="EN147" s="4" t="e">
        <f t="shared" si="522"/>
        <v>#REF!</v>
      </c>
      <c r="EO147" s="4" t="e">
        <f t="shared" si="523"/>
        <v>#REF!</v>
      </c>
      <c r="EP147" s="4" t="e">
        <f t="shared" si="478"/>
        <v>#REF!</v>
      </c>
      <c r="EQ147" s="4" t="e">
        <f t="shared" si="508"/>
        <v>#REF!</v>
      </c>
      <c r="ER147" s="4" t="e">
        <f t="shared" si="479"/>
        <v>#REF!</v>
      </c>
      <c r="ES147" s="4" t="e">
        <f t="shared" si="524"/>
        <v>#REF!</v>
      </c>
      <c r="ET147" s="4" t="e">
        <f t="shared" si="525"/>
        <v>#REF!</v>
      </c>
      <c r="EV147" s="4" t="e">
        <f t="shared" si="489"/>
        <v>#REF!</v>
      </c>
      <c r="FA147" s="23" t="e">
        <f t="shared" si="490"/>
        <v>#REF!</v>
      </c>
      <c r="FB147" s="23" t="e">
        <f t="shared" si="491"/>
        <v>#REF!</v>
      </c>
      <c r="FC147" s="23" t="e">
        <f t="shared" si="527"/>
        <v>#REF!</v>
      </c>
      <c r="FD147" s="23" t="e">
        <f t="shared" si="492"/>
        <v>#REF!</v>
      </c>
      <c r="FE147" s="23" t="e">
        <f t="shared" si="493"/>
        <v>#REF!</v>
      </c>
      <c r="FF147" s="23" t="e">
        <f t="shared" si="494"/>
        <v>#REF!</v>
      </c>
      <c r="FG147" s="23" t="e">
        <f t="shared" si="533"/>
        <v>#REF!</v>
      </c>
      <c r="FH147" s="23"/>
      <c r="FR147" s="4">
        <f t="shared" si="351"/>
        <v>1.25</v>
      </c>
      <c r="FS147" s="4">
        <f t="shared" si="352"/>
        <v>0.67768622629572395</v>
      </c>
      <c r="FT147" s="4">
        <f t="shared" si="353"/>
        <v>0.3</v>
      </c>
      <c r="FU147" s="4" t="e">
        <f t="shared" si="354"/>
        <v>#REF!</v>
      </c>
    </row>
    <row r="148" spans="1:177" ht="12" customHeight="1" x14ac:dyDescent="0.3">
      <c r="B148" s="24" t="s">
        <v>611</v>
      </c>
      <c r="C148" s="7" t="s">
        <v>646</v>
      </c>
      <c r="D148" s="38">
        <f>119.8/0.145</f>
        <v>826.20689655172418</v>
      </c>
      <c r="E148" s="38">
        <f>12*25.4</f>
        <v>304.79999999999995</v>
      </c>
      <c r="F148" s="38">
        <f>6330/145</f>
        <v>43.655172413793103</v>
      </c>
      <c r="G148" s="38">
        <f>0.75*25.4</f>
        <v>19.049999999999997</v>
      </c>
      <c r="H148" s="38">
        <f>18*25.4</f>
        <v>457.2</v>
      </c>
      <c r="I148" s="38">
        <f>2*25.4</f>
        <v>50.8</v>
      </c>
      <c r="J148" s="21">
        <f>(6-0.5-2*0.75)*25.4</f>
        <v>101.6</v>
      </c>
      <c r="K148" s="21">
        <f>(0.5)*25.4</f>
        <v>12.7</v>
      </c>
      <c r="L148" s="38">
        <v>3</v>
      </c>
      <c r="M148" s="38">
        <f>2*25.4</f>
        <v>50.8</v>
      </c>
      <c r="N148" s="7">
        <f t="shared" si="510"/>
        <v>0.83333333333333337</v>
      </c>
      <c r="O148" s="7">
        <f t="shared" si="496"/>
        <v>3.166666666666667</v>
      </c>
      <c r="P148" s="38">
        <v>4</v>
      </c>
      <c r="Q148" s="4">
        <f>P148</f>
        <v>4</v>
      </c>
      <c r="R148" s="4">
        <f t="shared" ref="R148:R153" si="541">Q148+1</f>
        <v>5</v>
      </c>
      <c r="S148" s="7">
        <f t="shared" ref="S148:S153" si="542">G148*R148^0.5</f>
        <v>42.597094971370993</v>
      </c>
      <c r="T148" s="7"/>
      <c r="U148" s="7"/>
      <c r="V148" s="38">
        <f t="shared" ref="V148" si="543">W148/0.145</f>
        <v>573.79310344827593</v>
      </c>
      <c r="W148" s="4">
        <v>83.2</v>
      </c>
      <c r="X148" s="7" t="e">
        <f t="shared" si="482"/>
        <v>#REF!</v>
      </c>
      <c r="Y148" s="7"/>
      <c r="Z148" s="7"/>
      <c r="AA148" s="7">
        <v>1</v>
      </c>
      <c r="AB148" s="7"/>
      <c r="AC148" s="7"/>
      <c r="AD148" s="7">
        <f t="shared" si="534"/>
        <v>0</v>
      </c>
      <c r="AE148" s="4">
        <f t="shared" si="483"/>
        <v>304.79999999999995</v>
      </c>
      <c r="AF148" s="47">
        <f t="shared" ref="AF148:AF153" si="544">MIN(H148)*(MIN(360-M148-0.5*G148,1.5*AE148)+M148+G148/2)/(3*E148)^2</f>
        <v>0.19685039370078747</v>
      </c>
      <c r="AG148" s="25">
        <f t="shared" ref="AG148:AG153" si="545">MIN(10*F148^0.5*AE148^1.5,100*3.9*F148^0.5*AE148^(5/3))/(PI()/4*G148^2)/L148</f>
        <v>411.18683539092382</v>
      </c>
      <c r="AH148" s="4">
        <f t="shared" ref="AH148:AH153" si="546">MIN(0.7+0.3*(MIN(I148,M148)+0.5*G148)/1.5/E148,1)</f>
        <v>0.73958333333333326</v>
      </c>
      <c r="AI148" s="4">
        <v>1.25</v>
      </c>
      <c r="AJ148" s="25">
        <f t="shared" si="438"/>
        <v>5</v>
      </c>
      <c r="AK148" s="38">
        <f>AF148*AH148*AI148*AJ148*AG148</f>
        <v>374.14730603002477</v>
      </c>
      <c r="AL148" s="38">
        <f t="shared" si="356"/>
        <v>374.14730603002477</v>
      </c>
      <c r="AN148" s="38">
        <f t="shared" ref="AN148:AN153" si="547">AJ148* (F148^0.5/AE148^0.5)/(PI()/4*G148^2)/L148/0.72 *(0.7+(MIN(I148,M148)+0.5*G148)/5/E148) *(H148*MIN(M148+0.5*G148+1.5*E148,360))</f>
        <v>374.14730603002448</v>
      </c>
      <c r="AO148" s="38">
        <f t="shared" ref="AO148:AO211" si="548">AK148/AN148</f>
        <v>1.0000000000000007</v>
      </c>
      <c r="AP148" s="38">
        <f t="shared" si="357"/>
        <v>0.77786069301609739</v>
      </c>
      <c r="AQ148" s="4">
        <f t="shared" si="443"/>
        <v>1</v>
      </c>
      <c r="AR148" s="4" t="e">
        <f>#REF!/G148*F148^0.5/0.19</f>
        <v>#REF!</v>
      </c>
      <c r="AS148" s="4">
        <f t="shared" ref="AS148:AS167" si="549">MIN(0.6+0.4*(O148/N148),2)</f>
        <v>2</v>
      </c>
      <c r="AT148" s="38">
        <f t="shared" ref="AT148:AT153" si="550">2*F148*N148*P148^0.5*AS148*0.7/0.7</f>
        <v>291.0344827586207</v>
      </c>
      <c r="AU148" s="4">
        <f t="shared" ref="AU148:AU153" si="551">MAX(1-0.7*Q148/5,0.3)</f>
        <v>0.44000000000000006</v>
      </c>
      <c r="AV148" s="4" t="e">
        <f>AU148*D148*#REF!/(D148*G148/2.75/F148^0.5)</f>
        <v>#REF!</v>
      </c>
      <c r="AW148" s="4" t="e">
        <f t="shared" ref="AW148:AW153" si="552">AT148+AV148</f>
        <v>#REF!</v>
      </c>
      <c r="AY148" s="36">
        <f t="shared" si="529"/>
        <v>1.2083333333333333</v>
      </c>
      <c r="AZ148" s="36" t="e">
        <f>(1.6*#REF!+22)*AY148*F148^0.5</f>
        <v>#REF!</v>
      </c>
      <c r="BE148" s="4">
        <f t="shared" ref="BE148:BE153" si="553">IF(L148=1,I148,MIN(I148,K148/2+6.4))</f>
        <v>12.75</v>
      </c>
      <c r="BF148" s="4">
        <f t="shared" ref="BF148:BF153" si="554">MIN(M148,BE148)</f>
        <v>12.75</v>
      </c>
      <c r="BG148" s="4">
        <f t="shared" ref="BG148:BG153" si="555">MAX(M148,BE148)</f>
        <v>50.8</v>
      </c>
      <c r="BH148" s="4">
        <f t="shared" ref="BH148:BH153" si="556">BF148+G148/2</f>
        <v>22.274999999999999</v>
      </c>
      <c r="BI148" s="4">
        <f t="shared" ref="BI148:BI153" si="557">MIN(1.25, 0.1*BG148/BF148+0.9)</f>
        <v>1.25</v>
      </c>
      <c r="BJ148" s="25">
        <f t="shared" ref="BJ148:BJ153" si="558">MIN(4, (BH148*BI148+(6*F148^0.5*(0.03*G148+0.22)*(Y148^2/4*PI())*2/AA148/L148))/G148)</f>
        <v>1.4616141732283467</v>
      </c>
      <c r="BL148" s="4">
        <f t="shared" ref="BL148:BL153" si="559">IF(K148=0,I148,MIN(K148/2,I148))</f>
        <v>6.35</v>
      </c>
      <c r="BP148" s="9"/>
      <c r="BR148" s="9"/>
      <c r="BS148" s="9"/>
      <c r="BT148" s="9">
        <f t="shared" ref="BT148:BT153" si="560">IF(K148=0,MIN(I148,J148),MIN(K148/2,I148,J148))</f>
        <v>6.35</v>
      </c>
      <c r="BU148" s="9">
        <f t="shared" ref="BU148:BU153" si="561">MAX(K148/2,I148)</f>
        <v>50.8</v>
      </c>
      <c r="BV148" s="9">
        <f t="shared" ref="BV148:BV153" si="562">(BT148/G148)^0.5*(BU148/BT148)^0.15</f>
        <v>0.78868370996101578</v>
      </c>
      <c r="BW148" s="9">
        <v>20</v>
      </c>
      <c r="BX148" s="9">
        <f t="shared" ref="BX148:BX153" si="563">MIN(PI()*Y148^2/4*Z148*2/L148/G148/MAX(0.01,AA148),0.05)</f>
        <v>0</v>
      </c>
      <c r="BY148" s="9">
        <f t="shared" ref="BY148:BY153" si="564">MAX(0,BW148*(BX148-0.5/50))</f>
        <v>0</v>
      </c>
      <c r="BZ148" s="9">
        <f t="shared" ref="BZ148:BZ153" si="565">MIN(1,(25/G148)^0.3)</f>
        <v>1</v>
      </c>
      <c r="CA148" s="9">
        <f t="shared" ref="CA148:CA153" si="566">IF(D148&gt;=800,0.68,IF(D148&gt;=700,0.75-(D148-700)*0.07/100,IF(D148&gt;=600,0.85-(D148-600)*0.1/100,IF(D148&gt;=500,1-(D148-500)*0.15/100,1.2-(D148-400)*0.2/100))))</f>
        <v>0.68</v>
      </c>
      <c r="CB148" s="9">
        <f t="shared" ref="CB148:CB153" si="567">1.75*BZ148*CA148*(F148/25)^0.5</f>
        <v>1.5725150511861237</v>
      </c>
      <c r="CC148" s="9">
        <f t="shared" ref="CC148:CC153" si="568">MIN((BV148+BY148)*CB148,2.5*CB148,F148^0.5)</f>
        <v>1.2402170045390086</v>
      </c>
      <c r="CD148" s="9">
        <v>1</v>
      </c>
      <c r="CE148" s="9" t="e">
        <f>4*CC148*#REF!+60*CC148</f>
        <v>#REF!</v>
      </c>
      <c r="CG148" s="4" t="e">
        <f t="shared" ref="CG148:CG153" si="569">V148/AR148</f>
        <v>#REF!</v>
      </c>
      <c r="CH148" s="4" t="e">
        <f t="shared" ref="CH148:CH153" si="570">V148/AW148</f>
        <v>#REF!</v>
      </c>
      <c r="CI148" s="4" t="e">
        <f t="shared" ref="CI148:CI153" si="571">V148/AZ148</f>
        <v>#REF!</v>
      </c>
      <c r="CJ148" s="4" t="e">
        <f t="shared" ref="CJ148:CJ153" si="572">V148/CE148</f>
        <v>#REF!</v>
      </c>
      <c r="CK148" s="4" t="e">
        <f t="shared" ref="CK148:CK153" si="573">V148/DL148</f>
        <v>#REF!</v>
      </c>
      <c r="CL148" s="4" t="e">
        <f t="shared" ref="CL148:CL153" si="574">V148/DX148</f>
        <v>#REF!</v>
      </c>
      <c r="CM148" s="4">
        <f t="shared" si="481"/>
        <v>1.5566949833453998</v>
      </c>
      <c r="CU148" s="4" t="e">
        <f t="shared" ref="CU148:CU153" si="575">CG148</f>
        <v>#REF!</v>
      </c>
      <c r="CV148" s="4" t="e">
        <f t="shared" ref="CV148:CV153" si="576">CH148</f>
        <v>#REF!</v>
      </c>
      <c r="CW148" s="4" t="e">
        <f t="shared" ref="CW148:CW153" si="577">CJ148</f>
        <v>#REF!</v>
      </c>
      <c r="CX148" s="4">
        <f t="shared" si="538"/>
        <v>1.5566949833453998</v>
      </c>
      <c r="CY148" s="4" t="e">
        <f t="shared" ref="CY148:CY153" si="578">CK148</f>
        <v>#REF!</v>
      </c>
      <c r="CZ148" s="4" t="e">
        <f t="shared" ref="CZ148:CZ153" si="579">CL148</f>
        <v>#REF!</v>
      </c>
      <c r="DB148" s="4">
        <f t="shared" ref="DB148:DB153" si="580">Z148</f>
        <v>0</v>
      </c>
      <c r="DC148" s="4">
        <f t="shared" ref="DC148:DC153" si="581">E148</f>
        <v>304.79999999999995</v>
      </c>
      <c r="DD148" s="4" t="e">
        <f>#REF!/E148</f>
        <v>#REF!</v>
      </c>
      <c r="DF148" s="4">
        <f t="shared" ref="DF148:DF167" si="582">E148/4/(1-0.3*(F148/30)^0.5)/200000/G148</f>
        <v>3.1342636205669919E-5</v>
      </c>
      <c r="DG148" s="4">
        <f t="shared" ref="DG148:DG153" si="583">EB148</f>
        <v>3.8789363481980437</v>
      </c>
      <c r="DH148" s="4">
        <f t="shared" si="486"/>
        <v>0.35513525052023837</v>
      </c>
      <c r="DI148" s="4">
        <f t="shared" si="359"/>
        <v>2.5637174885558873</v>
      </c>
      <c r="DJ148" s="4">
        <f t="shared" si="360"/>
        <v>3.2880315468491821</v>
      </c>
      <c r="DK148" s="4">
        <f t="shared" si="487"/>
        <v>3.6696783450107433</v>
      </c>
      <c r="DL148" s="38" t="e">
        <f t="shared" ref="DL148:DL167" si="584">MIN(1/G148*(4*S148*(DI148-DJ148)+(3*DJ148+DK148)*E148)+DO148 -EV148,MAX(D148,V148))</f>
        <v>#REF!</v>
      </c>
      <c r="DM148" s="4" t="e">
        <f t="shared" si="361"/>
        <v>#REF!</v>
      </c>
      <c r="DN148" s="4">
        <f t="shared" si="488"/>
        <v>2.2360679774997898</v>
      </c>
      <c r="DO148" s="4">
        <f t="shared" si="363"/>
        <v>374.14730603002448</v>
      </c>
      <c r="DS148" s="4">
        <f t="shared" ref="DS148:DS153" si="585">IF(J148&gt;1*G148,0.85,1)</f>
        <v>0.85</v>
      </c>
      <c r="DT148" s="4">
        <f t="shared" ref="DT148:DT153" si="586">MIN(1,MAX(0.7,(1-0.1*(BL148-1*G148)/G148)))</f>
        <v>1</v>
      </c>
      <c r="DU148" s="4">
        <f t="shared" ref="DU148:DU153" si="587">MIN(1,MAX(0.7,1-0.3*(PI()*Y148^2/4*Z148*2-0.25*PI()/4*G148^2)/(PI()/4*G148^2)))</f>
        <v>1</v>
      </c>
      <c r="DV148" s="4">
        <f t="shared" ref="DV148:DV153" si="588">IF(DT148*DU148&lt;0.7,0.7,DT148*DU148)</f>
        <v>1</v>
      </c>
      <c r="DX148" s="4" t="e">
        <f t="shared" ref="DX148:DX153" si="589">MIN(DG148/G148*3*E148+DY148-EV148,MAX(D148,V148))</f>
        <v>#REF!</v>
      </c>
      <c r="DY148" s="25">
        <f t="shared" ref="DY148:DY153" si="590">8.8*H148*360*F148^0.5/L148/G148^2/E148^0.5*(0.7+MIN(M148,I148)/5/E148)</f>
        <v>369.2257476362654</v>
      </c>
      <c r="EB148" s="4">
        <f t="shared" si="436"/>
        <v>3.8789363481980437</v>
      </c>
      <c r="EC148" s="4">
        <f t="shared" ref="EC148:EC153" si="591">IF(G148&lt;22.2,1.1*5*(F148/30)^0.5,IF(G148&gt;=31.8,0.9*5*(F148/30)^0.5,1*5*(F148/30)^0.5))*BJ148/2.5</f>
        <v>3.8789363481980437</v>
      </c>
      <c r="EE148" s="4">
        <f t="shared" ref="EE148:EE167" si="592">EF148*G148</f>
        <v>42.597094971370993</v>
      </c>
      <c r="EF148" s="4">
        <f t="shared" ref="EF148:EF153" si="593">R148^0.5</f>
        <v>2.2360679774997898</v>
      </c>
      <c r="EG148" s="4">
        <f t="shared" ref="EG148:EG167" si="594">MIN(DO148)/(4700*F148^0.5)/Q148*EE148</f>
        <v>0.12830598100215107</v>
      </c>
      <c r="EJ148" s="4">
        <f t="shared" ref="EJ148:EJ153" si="595">EG148</f>
        <v>0.12830598100215107</v>
      </c>
      <c r="EK148" s="4">
        <f t="shared" ref="EK148:EK153" si="596">MIN(0.999, EJ148/(0.3*(F148/30)^0.5))</f>
        <v>0.35454259597533333</v>
      </c>
      <c r="EL148" s="4">
        <f t="shared" ref="EL148:EL153" si="597">EB148/1*EK148^0.4</f>
        <v>2.5620052843463426</v>
      </c>
      <c r="EM148" s="4">
        <f t="shared" ref="EM148:EM153" si="598">EB148/1.4*(1-EK148^1.4)/(1-EK148)</f>
        <v>3.2873657007314261</v>
      </c>
      <c r="EN148" s="4">
        <f t="shared" ref="EN148:EN153" si="599">MAX(0,DC148*EN$9-EE148)</f>
        <v>186.00290502862896</v>
      </c>
      <c r="EO148" s="4">
        <f t="shared" ref="EO148:EO153" si="600">MAX(0,DC148-EE148-EN148)</f>
        <v>76.199999999999989</v>
      </c>
      <c r="EP148" s="4">
        <f t="shared" ref="EP148:EP153" si="601">EO148/(1-0.3*(F148/30)^0.5)/200000/G148</f>
        <v>3.1342636205669919E-5</v>
      </c>
      <c r="EQ148" s="4">
        <f t="shared" ref="EQ148:EQ153" si="602">MAX(0.5*EB148, (1-2*EP148*(EE148*EL148+EN148*EM148))/(1/EB148+EP148*EO148))</f>
        <v>3.6697257543228932</v>
      </c>
      <c r="ER148" s="4" t="e">
        <f t="shared" ref="ER148:ER153" si="603">MIN(4/G148*(1*EL148*EE148+EM148*ES148+ET148*EQ148)+DO148,MAX(D148,V148))</f>
        <v>#REF!</v>
      </c>
      <c r="ES148" s="4" t="e">
        <f t="shared" ref="ES148:ES153" si="604">IF(DD148&lt;=EN$9, MAX(0,DC148*DD148-EE148), MAX(0,DC148*EN$9-EE148))</f>
        <v>#REF!</v>
      </c>
      <c r="ET148" s="4" t="e">
        <f t="shared" ref="ET148:ET153" si="605">MAX(0, DC148*DD148-ES148-EE148)</f>
        <v>#REF!</v>
      </c>
      <c r="EV148" s="4" t="e">
        <f t="shared" si="489"/>
        <v>#REF!</v>
      </c>
      <c r="FA148" s="23" t="e">
        <f t="shared" si="490"/>
        <v>#REF!</v>
      </c>
      <c r="FB148" s="23" t="e">
        <f t="shared" ref="FB148:FB153" si="606">IF(CH148&lt;0.6,0.6,IF(CH148&lt;0.8,0.8,IF(CH148&lt;1,1,IF(CH148&lt;1.2,1.2,IF(CH148&lt;1.4,1.4,IF(CH148&lt;1.6,1.6,IF(CH148&lt;1.8,1.8,IF(CH148&lt;2,2,2.2))))))))</f>
        <v>#REF!</v>
      </c>
      <c r="FC148" s="23">
        <f t="shared" si="527"/>
        <v>1.6</v>
      </c>
      <c r="FD148" s="23" t="e">
        <f t="shared" si="492"/>
        <v>#REF!</v>
      </c>
      <c r="FE148" s="23" t="e">
        <f t="shared" si="493"/>
        <v>#REF!</v>
      </c>
      <c r="FF148" s="23" t="e">
        <f t="shared" si="494"/>
        <v>#REF!</v>
      </c>
      <c r="FG148" s="23" t="e">
        <f t="shared" si="533"/>
        <v>#REF!</v>
      </c>
      <c r="FH148" s="23"/>
      <c r="FR148" s="4">
        <f t="shared" ref="FR148:FR211" si="607">IF(I148&gt;=2.5*25.4,1,1.25)</f>
        <v>1.25</v>
      </c>
      <c r="FS148" s="4">
        <f t="shared" ref="FS148:FS211" si="608">IF(AA148&gt;1, 0.05*(18-MIN(8,(K148+G148)/G148))*(1-48000/MAX(60000,(D148*145))*(G148/25.4)^0.75*FT148), 1/12*(14-MIN(8,(K148+G148)/G148)))</f>
        <v>1.0277777777777777</v>
      </c>
      <c r="FT148" s="4">
        <f t="shared" ref="FT148:FT211" si="609">MIN(0.3, Y148^2*PI()/4*2*AB148/(G148^2*PI()/4*L148))</f>
        <v>0</v>
      </c>
      <c r="FU148" s="4">
        <f t="shared" ref="FU148:FU211" si="610">(E148/25.4)/(G148/25.4)^1.5/0.0024*(F148*145)^0.25/FR148/FS148/145</f>
        <v>368.59700171652867</v>
      </c>
    </row>
    <row r="149" spans="1:177" ht="12" customHeight="1" x14ac:dyDescent="0.3">
      <c r="B149" s="24">
        <v>2016</v>
      </c>
      <c r="C149" s="7" t="s">
        <v>647</v>
      </c>
      <c r="D149" s="38">
        <f t="shared" ref="D149:D153" si="611">119.8/0.145</f>
        <v>826.20689655172418</v>
      </c>
      <c r="E149" s="38">
        <f t="shared" ref="E149:E153" si="612">12*25.4</f>
        <v>304.79999999999995</v>
      </c>
      <c r="F149" s="38">
        <f t="shared" ref="F149:F150" si="613">6330/145</f>
        <v>43.655172413793103</v>
      </c>
      <c r="G149" s="38">
        <f t="shared" ref="G149:G153" si="614">0.75*25.4</f>
        <v>19.049999999999997</v>
      </c>
      <c r="H149" s="38">
        <f>18.1*25.4</f>
        <v>459.74</v>
      </c>
      <c r="I149" s="38">
        <f t="shared" ref="I149:I153" si="615">2*25.4</f>
        <v>50.8</v>
      </c>
      <c r="J149" s="21">
        <f>(5.8-1-2*0.75)*25.4</f>
        <v>83.82</v>
      </c>
      <c r="K149" s="21">
        <f>(1)*25.4</f>
        <v>25.4</v>
      </c>
      <c r="L149" s="38">
        <v>3</v>
      </c>
      <c r="M149" s="38">
        <f t="shared" ref="M149:M153" si="616">2*25.4</f>
        <v>50.8</v>
      </c>
      <c r="N149" s="7">
        <f t="shared" si="510"/>
        <v>1.1666666666666667</v>
      </c>
      <c r="O149" s="7">
        <f t="shared" si="496"/>
        <v>3.166666666666667</v>
      </c>
      <c r="P149" s="38">
        <v>4</v>
      </c>
      <c r="Q149" s="7">
        <f t="shared" ref="Q149:Q153" si="617">MIN(Q$16,P149)</f>
        <v>4</v>
      </c>
      <c r="R149" s="4">
        <f t="shared" si="541"/>
        <v>5</v>
      </c>
      <c r="S149" s="7">
        <f t="shared" si="542"/>
        <v>42.597094971370993</v>
      </c>
      <c r="T149" s="7"/>
      <c r="U149" s="7"/>
      <c r="V149" s="38">
        <f t="shared" ref="V149:V153" si="618">W149/0.145</f>
        <v>621.37931034482756</v>
      </c>
      <c r="W149" s="4">
        <v>90.1</v>
      </c>
      <c r="X149" s="7" t="e">
        <f t="shared" si="482"/>
        <v>#REF!</v>
      </c>
      <c r="Y149" s="7"/>
      <c r="Z149" s="7"/>
      <c r="AA149" s="7">
        <v>1</v>
      </c>
      <c r="AB149" s="7"/>
      <c r="AC149" s="7"/>
      <c r="AD149" s="7">
        <f t="shared" si="534"/>
        <v>0</v>
      </c>
      <c r="AE149" s="4">
        <f t="shared" si="483"/>
        <v>304.79999999999995</v>
      </c>
      <c r="AF149" s="47">
        <f t="shared" si="544"/>
        <v>0.19794400699912515</v>
      </c>
      <c r="AG149" s="25">
        <f t="shared" si="545"/>
        <v>411.18683539092382</v>
      </c>
      <c r="AH149" s="4">
        <f t="shared" si="546"/>
        <v>0.73958333333333326</v>
      </c>
      <c r="AI149" s="4">
        <v>1.25</v>
      </c>
      <c r="AJ149" s="25">
        <f t="shared" si="438"/>
        <v>5</v>
      </c>
      <c r="AK149" s="38">
        <f t="shared" si="480"/>
        <v>376.22590217463596</v>
      </c>
      <c r="AL149" s="38">
        <f t="shared" ref="AL149:AL153" si="619">AK149</f>
        <v>376.22590217463596</v>
      </c>
      <c r="AN149" s="38">
        <f t="shared" si="547"/>
        <v>376.22590217463573</v>
      </c>
      <c r="AO149" s="38">
        <f t="shared" si="548"/>
        <v>1.0000000000000007</v>
      </c>
      <c r="AP149" s="38">
        <f t="shared" ref="AP149:AP153" si="620">AT149/AN149</f>
        <v>0.91280448174927686</v>
      </c>
      <c r="AQ149" s="4">
        <f t="shared" si="443"/>
        <v>1</v>
      </c>
      <c r="AR149" s="4" t="e">
        <f>#REF!/G149*F149^0.5/0.19</f>
        <v>#REF!</v>
      </c>
      <c r="AS149" s="4">
        <f t="shared" si="549"/>
        <v>1.6857142857142859</v>
      </c>
      <c r="AT149" s="38">
        <f t="shared" si="550"/>
        <v>343.42068965517251</v>
      </c>
      <c r="AU149" s="4">
        <f t="shared" si="551"/>
        <v>0.44000000000000006</v>
      </c>
      <c r="AV149" s="4" t="e">
        <f>AU149*D149*#REF!/(D149*G149/2.75/F149^0.5)</f>
        <v>#REF!</v>
      </c>
      <c r="AW149" s="4" t="e">
        <f t="shared" si="552"/>
        <v>#REF!</v>
      </c>
      <c r="AY149" s="36">
        <f t="shared" si="529"/>
        <v>1.1366666666666669</v>
      </c>
      <c r="AZ149" s="36" t="e">
        <f>(1.6*#REF!+22)*AY149*F149^0.5</f>
        <v>#REF!</v>
      </c>
      <c r="BE149" s="4">
        <f t="shared" si="553"/>
        <v>19.100000000000001</v>
      </c>
      <c r="BF149" s="4">
        <f t="shared" si="554"/>
        <v>19.100000000000001</v>
      </c>
      <c r="BG149" s="4">
        <f t="shared" si="555"/>
        <v>50.8</v>
      </c>
      <c r="BH149" s="4">
        <f t="shared" si="556"/>
        <v>28.625</v>
      </c>
      <c r="BI149" s="4">
        <f t="shared" si="557"/>
        <v>1.1659685863874345</v>
      </c>
      <c r="BJ149" s="25">
        <f t="shared" si="558"/>
        <v>1.7520131645847936</v>
      </c>
      <c r="BL149" s="4">
        <f t="shared" si="559"/>
        <v>12.7</v>
      </c>
      <c r="BP149" s="9"/>
      <c r="BR149" s="9"/>
      <c r="BS149" s="9"/>
      <c r="BT149" s="9">
        <f t="shared" si="560"/>
        <v>12.7</v>
      </c>
      <c r="BU149" s="9">
        <f t="shared" si="561"/>
        <v>50.8</v>
      </c>
      <c r="BV149" s="9">
        <f t="shared" si="562"/>
        <v>1.0052252041243952</v>
      </c>
      <c r="BW149" s="9">
        <v>20</v>
      </c>
      <c r="BX149" s="9">
        <f t="shared" si="563"/>
        <v>0</v>
      </c>
      <c r="BY149" s="9">
        <f t="shared" si="564"/>
        <v>0</v>
      </c>
      <c r="BZ149" s="9">
        <f t="shared" si="565"/>
        <v>1</v>
      </c>
      <c r="CA149" s="9">
        <f t="shared" si="566"/>
        <v>0.68</v>
      </c>
      <c r="CB149" s="9">
        <f t="shared" si="567"/>
        <v>1.5725150511861237</v>
      </c>
      <c r="CC149" s="9">
        <f t="shared" si="568"/>
        <v>1.5807317633172548</v>
      </c>
      <c r="CD149" s="9">
        <v>1</v>
      </c>
      <c r="CE149" s="9" t="e">
        <f>4*CC149*#REF!+60*CC149</f>
        <v>#REF!</v>
      </c>
      <c r="CG149" s="4" t="e">
        <f t="shared" si="569"/>
        <v>#REF!</v>
      </c>
      <c r="CH149" s="4" t="e">
        <f t="shared" si="570"/>
        <v>#REF!</v>
      </c>
      <c r="CI149" s="4" t="e">
        <f t="shared" si="571"/>
        <v>#REF!</v>
      </c>
      <c r="CJ149" s="4" t="e">
        <f t="shared" si="572"/>
        <v>#REF!</v>
      </c>
      <c r="CK149" s="4" t="e">
        <f t="shared" si="573"/>
        <v>#REF!</v>
      </c>
      <c r="CL149" s="4" t="e">
        <f t="shared" si="574"/>
        <v>#REF!</v>
      </c>
      <c r="CM149" s="4">
        <f t="shared" si="481"/>
        <v>1.5946717872855112</v>
      </c>
      <c r="CU149" s="4" t="e">
        <f t="shared" si="575"/>
        <v>#REF!</v>
      </c>
      <c r="CV149" s="4" t="e">
        <f t="shared" si="576"/>
        <v>#REF!</v>
      </c>
      <c r="CW149" s="4" t="e">
        <f t="shared" si="577"/>
        <v>#REF!</v>
      </c>
      <c r="CX149" s="4">
        <f t="shared" si="538"/>
        <v>1.5946717872855112</v>
      </c>
      <c r="CY149" s="4" t="e">
        <f t="shared" si="578"/>
        <v>#REF!</v>
      </c>
      <c r="CZ149" s="4" t="e">
        <f t="shared" si="579"/>
        <v>#REF!</v>
      </c>
      <c r="DB149" s="4">
        <f t="shared" si="580"/>
        <v>0</v>
      </c>
      <c r="DC149" s="4">
        <f t="shared" si="581"/>
        <v>304.79999999999995</v>
      </c>
      <c r="DD149" s="4" t="e">
        <f>#REF!/E149</f>
        <v>#REF!</v>
      </c>
      <c r="DF149" s="4">
        <f t="shared" si="582"/>
        <v>3.1342636205669919E-5</v>
      </c>
      <c r="DG149" s="4">
        <f t="shared" si="583"/>
        <v>4.6496179847646513</v>
      </c>
      <c r="DH149" s="4">
        <f t="shared" si="486"/>
        <v>0.35710822413423976</v>
      </c>
      <c r="DI149" s="4">
        <f t="shared" ref="DI149:DI153" si="621">DG149*DH149^0.4</f>
        <v>3.0799042372107639</v>
      </c>
      <c r="DJ149" s="4">
        <f t="shared" ref="DJ149:DJ153" si="622">MIN(DG149, DG149/1.4*(1-DH149^1.4)/(1-DH149))</f>
        <v>3.9439640269273464</v>
      </c>
      <c r="DK149" s="4">
        <f t="shared" si="487"/>
        <v>4.349268467956561</v>
      </c>
      <c r="DL149" s="38" t="e">
        <f t="shared" si="584"/>
        <v>#REF!</v>
      </c>
      <c r="DM149" s="4" t="e">
        <f t="shared" ref="DM149:DM167" si="623">DL149/ER149</f>
        <v>#REF!</v>
      </c>
      <c r="DN149" s="4">
        <f t="shared" si="488"/>
        <v>2.2360679774997898</v>
      </c>
      <c r="DO149" s="4">
        <f t="shared" ref="DO149:DO167" si="624">MIN(DN$10*AN149)</f>
        <v>376.22590217463573</v>
      </c>
      <c r="DS149" s="4">
        <f t="shared" si="585"/>
        <v>0.85</v>
      </c>
      <c r="DT149" s="4">
        <f t="shared" si="586"/>
        <v>1</v>
      </c>
      <c r="DU149" s="4">
        <f t="shared" si="587"/>
        <v>1</v>
      </c>
      <c r="DV149" s="4">
        <f t="shared" si="588"/>
        <v>1</v>
      </c>
      <c r="DX149" s="4" t="e">
        <f t="shared" si="589"/>
        <v>#REF!</v>
      </c>
      <c r="DY149" s="25">
        <f t="shared" si="590"/>
        <v>371.27700178980012</v>
      </c>
      <c r="EB149" s="4">
        <f t="shared" si="436"/>
        <v>4.6496179847646513</v>
      </c>
      <c r="EC149" s="4">
        <f t="shared" si="591"/>
        <v>4.6496179847646513</v>
      </c>
      <c r="EE149" s="4">
        <f t="shared" si="592"/>
        <v>42.597094971370993</v>
      </c>
      <c r="EF149" s="4">
        <f t="shared" si="593"/>
        <v>2.2360679774997898</v>
      </c>
      <c r="EG149" s="4">
        <f t="shared" si="594"/>
        <v>0.12901879200771857</v>
      </c>
      <c r="EJ149" s="4">
        <f t="shared" si="595"/>
        <v>0.12901879200771857</v>
      </c>
      <c r="EK149" s="4">
        <f t="shared" si="596"/>
        <v>0.35651227706408517</v>
      </c>
      <c r="EL149" s="4">
        <f t="shared" si="597"/>
        <v>3.0778472925499387</v>
      </c>
      <c r="EM149" s="4">
        <f t="shared" si="598"/>
        <v>3.9431628512491677</v>
      </c>
      <c r="EN149" s="4">
        <f t="shared" si="599"/>
        <v>186.00290502862896</v>
      </c>
      <c r="EO149" s="4">
        <f t="shared" si="600"/>
        <v>76.199999999999989</v>
      </c>
      <c r="EP149" s="4">
        <f t="shared" si="601"/>
        <v>3.1342636205669919E-5</v>
      </c>
      <c r="EQ149" s="4">
        <f t="shared" si="602"/>
        <v>4.3493366824102093</v>
      </c>
      <c r="ER149" s="4" t="e">
        <f t="shared" si="603"/>
        <v>#REF!</v>
      </c>
      <c r="ES149" s="4" t="e">
        <f t="shared" si="604"/>
        <v>#REF!</v>
      </c>
      <c r="ET149" s="4" t="e">
        <f t="shared" si="605"/>
        <v>#REF!</v>
      </c>
      <c r="EV149" s="4" t="e">
        <f t="shared" si="489"/>
        <v>#REF!</v>
      </c>
      <c r="FA149" s="23" t="e">
        <f t="shared" si="490"/>
        <v>#REF!</v>
      </c>
      <c r="FB149" s="23" t="e">
        <f t="shared" si="606"/>
        <v>#REF!</v>
      </c>
      <c r="FC149" s="23">
        <f t="shared" si="527"/>
        <v>1.6</v>
      </c>
      <c r="FD149" s="23" t="e">
        <f t="shared" si="492"/>
        <v>#REF!</v>
      </c>
      <c r="FE149" s="23" t="e">
        <f t="shared" si="493"/>
        <v>#REF!</v>
      </c>
      <c r="FF149" s="23" t="e">
        <f t="shared" si="494"/>
        <v>#REF!</v>
      </c>
      <c r="FG149" s="23" t="e">
        <f t="shared" si="533"/>
        <v>#REF!</v>
      </c>
      <c r="FH149" s="23"/>
      <c r="FR149" s="4">
        <f t="shared" si="607"/>
        <v>1.25</v>
      </c>
      <c r="FS149" s="4">
        <f t="shared" si="608"/>
        <v>0.9722222222222221</v>
      </c>
      <c r="FT149" s="4">
        <f t="shared" si="609"/>
        <v>0</v>
      </c>
      <c r="FU149" s="4">
        <f t="shared" si="610"/>
        <v>389.65968752890177</v>
      </c>
    </row>
    <row r="150" spans="1:177" ht="12" customHeight="1" x14ac:dyDescent="0.3">
      <c r="B150" s="24" t="s">
        <v>645</v>
      </c>
      <c r="C150" s="7" t="s">
        <v>648</v>
      </c>
      <c r="D150" s="38">
        <f t="shared" si="611"/>
        <v>826.20689655172418</v>
      </c>
      <c r="E150" s="38">
        <f t="shared" si="612"/>
        <v>304.79999999999995</v>
      </c>
      <c r="F150" s="38">
        <f t="shared" si="613"/>
        <v>43.655172413793103</v>
      </c>
      <c r="G150" s="38">
        <f t="shared" si="614"/>
        <v>19.049999999999997</v>
      </c>
      <c r="H150" s="38">
        <f t="shared" ref="H150:H153" si="625">18*25.4</f>
        <v>457.2</v>
      </c>
      <c r="I150" s="38">
        <f t="shared" si="615"/>
        <v>50.8</v>
      </c>
      <c r="J150" s="21">
        <f>(5.3-1.9-2*0.75)*25.4</f>
        <v>48.26</v>
      </c>
      <c r="K150" s="21">
        <f>(1.9)*25.4</f>
        <v>48.26</v>
      </c>
      <c r="L150" s="38">
        <v>3</v>
      </c>
      <c r="M150" s="38">
        <f t="shared" si="616"/>
        <v>50.8</v>
      </c>
      <c r="N150" s="7">
        <f t="shared" si="510"/>
        <v>1.7666666666666668</v>
      </c>
      <c r="O150" s="7">
        <f t="shared" si="496"/>
        <v>3.166666666666667</v>
      </c>
      <c r="P150" s="38">
        <v>4</v>
      </c>
      <c r="Q150" s="7">
        <f t="shared" si="617"/>
        <v>4</v>
      </c>
      <c r="R150" s="4">
        <f t="shared" si="541"/>
        <v>5</v>
      </c>
      <c r="S150" s="7">
        <f t="shared" si="542"/>
        <v>42.597094971370993</v>
      </c>
      <c r="T150" s="7"/>
      <c r="U150" s="7"/>
      <c r="V150" s="38">
        <f t="shared" si="618"/>
        <v>566.89655172413802</v>
      </c>
      <c r="W150" s="4">
        <v>82.2</v>
      </c>
      <c r="X150" s="7" t="e">
        <f t="shared" si="482"/>
        <v>#REF!</v>
      </c>
      <c r="Y150" s="7"/>
      <c r="Z150" s="7"/>
      <c r="AA150" s="7">
        <v>1</v>
      </c>
      <c r="AB150" s="7"/>
      <c r="AC150" s="7"/>
      <c r="AD150" s="7">
        <f t="shared" si="534"/>
        <v>0</v>
      </c>
      <c r="AE150" s="4">
        <f t="shared" si="483"/>
        <v>304.79999999999995</v>
      </c>
      <c r="AF150" s="47">
        <f t="shared" si="544"/>
        <v>0.19685039370078747</v>
      </c>
      <c r="AG150" s="25">
        <f t="shared" si="545"/>
        <v>411.18683539092382</v>
      </c>
      <c r="AH150" s="4">
        <f t="shared" si="546"/>
        <v>0.73958333333333326</v>
      </c>
      <c r="AI150" s="4">
        <v>1.25</v>
      </c>
      <c r="AJ150" s="25">
        <f t="shared" si="438"/>
        <v>5</v>
      </c>
      <c r="AK150" s="38">
        <f t="shared" si="480"/>
        <v>374.14730603002477</v>
      </c>
      <c r="AL150" s="38">
        <f t="shared" si="619"/>
        <v>374.14730603002477</v>
      </c>
      <c r="AN150" s="38">
        <f t="shared" si="547"/>
        <v>374.14730603002448</v>
      </c>
      <c r="AO150" s="38">
        <f t="shared" si="548"/>
        <v>1.0000000000000007</v>
      </c>
      <c r="AP150" s="38">
        <f t="shared" si="620"/>
        <v>1.0858935274504717</v>
      </c>
      <c r="AQ150" s="4">
        <f t="shared" si="443"/>
        <v>0</v>
      </c>
      <c r="AR150" s="4" t="e">
        <f>#REF!/G150*F150^0.5/0.19</f>
        <v>#REF!</v>
      </c>
      <c r="AS150" s="4">
        <f t="shared" si="549"/>
        <v>1.3169811320754716</v>
      </c>
      <c r="AT150" s="38">
        <f t="shared" si="550"/>
        <v>406.28413793103448</v>
      </c>
      <c r="AU150" s="4">
        <f t="shared" si="551"/>
        <v>0.44000000000000006</v>
      </c>
      <c r="AV150" s="4" t="e">
        <f>AU150*D150*#REF!/(D150*G150/2.75/F150^0.5)</f>
        <v>#REF!</v>
      </c>
      <c r="AW150" s="4" t="e">
        <f t="shared" si="552"/>
        <v>#REF!</v>
      </c>
      <c r="AY150" s="36">
        <f t="shared" si="529"/>
        <v>1.1057894736842107</v>
      </c>
      <c r="AZ150" s="36" t="e">
        <f>(1.6*#REF!+22)*AY150*F150^0.5</f>
        <v>#REF!</v>
      </c>
      <c r="BE150" s="4">
        <f t="shared" si="553"/>
        <v>30.53</v>
      </c>
      <c r="BF150" s="4">
        <f t="shared" si="554"/>
        <v>30.53</v>
      </c>
      <c r="BG150" s="4">
        <f t="shared" si="555"/>
        <v>50.8</v>
      </c>
      <c r="BH150" s="4">
        <f t="shared" si="556"/>
        <v>40.055</v>
      </c>
      <c r="BI150" s="4">
        <f t="shared" si="557"/>
        <v>1.0663937111038324</v>
      </c>
      <c r="BJ150" s="25">
        <f t="shared" si="558"/>
        <v>2.2422257269429928</v>
      </c>
      <c r="BL150" s="4">
        <f t="shared" si="559"/>
        <v>24.13</v>
      </c>
      <c r="BP150" s="9"/>
      <c r="BR150" s="9"/>
      <c r="BS150" s="9"/>
      <c r="BT150" s="9">
        <f t="shared" si="560"/>
        <v>24.13</v>
      </c>
      <c r="BU150" s="9">
        <f t="shared" si="561"/>
        <v>50.8</v>
      </c>
      <c r="BV150" s="9">
        <f t="shared" si="562"/>
        <v>1.2584243974819915</v>
      </c>
      <c r="BW150" s="9">
        <v>20</v>
      </c>
      <c r="BX150" s="9">
        <f t="shared" si="563"/>
        <v>0</v>
      </c>
      <c r="BY150" s="9">
        <f t="shared" si="564"/>
        <v>0</v>
      </c>
      <c r="BZ150" s="9">
        <f t="shared" si="565"/>
        <v>1</v>
      </c>
      <c r="CA150" s="9">
        <f t="shared" si="566"/>
        <v>0.68</v>
      </c>
      <c r="CB150" s="9">
        <f t="shared" si="567"/>
        <v>1.5725150511861237</v>
      </c>
      <c r="CC150" s="9">
        <f t="shared" si="568"/>
        <v>1.9788913058202608</v>
      </c>
      <c r="CD150" s="9">
        <v>1</v>
      </c>
      <c r="CE150" s="9" t="e">
        <f>4*CC150*#REF!+60*CC150</f>
        <v>#REF!</v>
      </c>
      <c r="CG150" s="4" t="e">
        <f t="shared" si="569"/>
        <v>#REF!</v>
      </c>
      <c r="CH150" s="4" t="e">
        <f t="shared" si="570"/>
        <v>#REF!</v>
      </c>
      <c r="CI150" s="4" t="e">
        <f t="shared" si="571"/>
        <v>#REF!</v>
      </c>
      <c r="CJ150" s="4" t="e">
        <f t="shared" si="572"/>
        <v>#REF!</v>
      </c>
      <c r="CK150" s="4" t="e">
        <f t="shared" si="573"/>
        <v>#REF!</v>
      </c>
      <c r="CL150" s="4" t="e">
        <f t="shared" si="574"/>
        <v>#REF!</v>
      </c>
      <c r="CM150" s="4">
        <f t="shared" si="481"/>
        <v>1.3052086433254757</v>
      </c>
      <c r="CU150" s="4" t="e">
        <f t="shared" si="575"/>
        <v>#REF!</v>
      </c>
      <c r="CV150" s="4" t="e">
        <f t="shared" si="576"/>
        <v>#REF!</v>
      </c>
      <c r="CW150" s="4" t="e">
        <f t="shared" si="577"/>
        <v>#REF!</v>
      </c>
      <c r="CX150" s="4">
        <f t="shared" si="538"/>
        <v>1.3052086433254757</v>
      </c>
      <c r="CY150" s="4" t="e">
        <f t="shared" si="578"/>
        <v>#REF!</v>
      </c>
      <c r="CZ150" s="4" t="e">
        <f t="shared" si="579"/>
        <v>#REF!</v>
      </c>
      <c r="DB150" s="4">
        <f t="shared" si="580"/>
        <v>0</v>
      </c>
      <c r="DC150" s="4">
        <f t="shared" si="581"/>
        <v>304.79999999999995</v>
      </c>
      <c r="DD150" s="4" t="e">
        <f>#REF!/E150</f>
        <v>#REF!</v>
      </c>
      <c r="DF150" s="4">
        <f t="shared" si="582"/>
        <v>3.1342636205669919E-5</v>
      </c>
      <c r="DG150" s="4">
        <f t="shared" si="583"/>
        <v>5.9505791832145585</v>
      </c>
      <c r="DH150" s="4">
        <f t="shared" si="486"/>
        <v>0.35513525052023837</v>
      </c>
      <c r="DI150" s="4">
        <f t="shared" si="621"/>
        <v>3.9329348433703348</v>
      </c>
      <c r="DJ150" s="4">
        <f t="shared" si="622"/>
        <v>5.0440869145797498</v>
      </c>
      <c r="DK150" s="4">
        <f t="shared" si="487"/>
        <v>5.4605167584808374</v>
      </c>
      <c r="DL150" s="38" t="e">
        <f t="shared" si="584"/>
        <v>#REF!</v>
      </c>
      <c r="DM150" s="4" t="e">
        <f t="shared" si="623"/>
        <v>#REF!</v>
      </c>
      <c r="DN150" s="4">
        <f t="shared" si="488"/>
        <v>2.2360679774997898</v>
      </c>
      <c r="DO150" s="4">
        <f t="shared" si="624"/>
        <v>374.14730603002448</v>
      </c>
      <c r="DS150" s="4">
        <f t="shared" si="585"/>
        <v>0.85</v>
      </c>
      <c r="DT150" s="4">
        <f t="shared" si="586"/>
        <v>0.97333333333333327</v>
      </c>
      <c r="DU150" s="4">
        <f t="shared" si="587"/>
        <v>1</v>
      </c>
      <c r="DV150" s="4">
        <f t="shared" si="588"/>
        <v>0.97333333333333327</v>
      </c>
      <c r="DX150" s="4" t="e">
        <f t="shared" si="589"/>
        <v>#REF!</v>
      </c>
      <c r="DY150" s="25">
        <f t="shared" si="590"/>
        <v>369.2257476362654</v>
      </c>
      <c r="EB150" s="4">
        <f t="shared" si="436"/>
        <v>5.9505791832145585</v>
      </c>
      <c r="EC150" s="4">
        <f t="shared" si="591"/>
        <v>5.9505791832145585</v>
      </c>
      <c r="EE150" s="4">
        <f t="shared" si="592"/>
        <v>42.597094971370993</v>
      </c>
      <c r="EF150" s="4">
        <f t="shared" si="593"/>
        <v>2.2360679774997898</v>
      </c>
      <c r="EG150" s="4">
        <f t="shared" si="594"/>
        <v>0.12830598100215107</v>
      </c>
      <c r="EJ150" s="4">
        <f t="shared" si="595"/>
        <v>0.12830598100215107</v>
      </c>
      <c r="EK150" s="4">
        <f t="shared" si="596"/>
        <v>0.35454259597533333</v>
      </c>
      <c r="EL150" s="4">
        <f t="shared" si="597"/>
        <v>3.9303081937395761</v>
      </c>
      <c r="EM150" s="4">
        <f t="shared" si="598"/>
        <v>5.0430654567129842</v>
      </c>
      <c r="EN150" s="4">
        <f t="shared" si="599"/>
        <v>186.00290502862896</v>
      </c>
      <c r="EO150" s="4">
        <f t="shared" si="600"/>
        <v>76.199999999999989</v>
      </c>
      <c r="EP150" s="4">
        <f t="shared" si="601"/>
        <v>3.1342636205669919E-5</v>
      </c>
      <c r="EQ150" s="4">
        <f t="shared" si="602"/>
        <v>5.4606277865997805</v>
      </c>
      <c r="ER150" s="4" t="e">
        <f t="shared" si="603"/>
        <v>#REF!</v>
      </c>
      <c r="ES150" s="4" t="e">
        <f t="shared" si="604"/>
        <v>#REF!</v>
      </c>
      <c r="ET150" s="4" t="e">
        <f t="shared" si="605"/>
        <v>#REF!</v>
      </c>
      <c r="EV150" s="4" t="e">
        <f t="shared" si="489"/>
        <v>#REF!</v>
      </c>
      <c r="FA150" s="23" t="e">
        <f t="shared" si="490"/>
        <v>#REF!</v>
      </c>
      <c r="FB150" s="23" t="e">
        <f t="shared" si="606"/>
        <v>#REF!</v>
      </c>
      <c r="FC150" s="23">
        <f t="shared" si="527"/>
        <v>1.4</v>
      </c>
      <c r="FD150" s="23" t="e">
        <f t="shared" si="492"/>
        <v>#REF!</v>
      </c>
      <c r="FE150" s="23" t="e">
        <f t="shared" si="493"/>
        <v>#REF!</v>
      </c>
      <c r="FF150" s="23" t="e">
        <f t="shared" si="494"/>
        <v>#REF!</v>
      </c>
      <c r="FG150" s="23" t="e">
        <f t="shared" si="533"/>
        <v>#REF!</v>
      </c>
      <c r="FH150" s="23"/>
      <c r="FR150" s="4">
        <f t="shared" si="607"/>
        <v>1.25</v>
      </c>
      <c r="FS150" s="4">
        <f t="shared" si="608"/>
        <v>0.87222222222222201</v>
      </c>
      <c r="FT150" s="4">
        <f t="shared" si="609"/>
        <v>0</v>
      </c>
      <c r="FU150" s="4">
        <f t="shared" si="610"/>
        <v>434.33404660864852</v>
      </c>
    </row>
    <row r="151" spans="1:177" ht="12" customHeight="1" x14ac:dyDescent="0.3">
      <c r="B151" s="24"/>
      <c r="C151" s="7" t="s">
        <v>649</v>
      </c>
      <c r="D151" s="38">
        <f t="shared" si="611"/>
        <v>826.20689655172418</v>
      </c>
      <c r="E151" s="38">
        <f t="shared" si="612"/>
        <v>304.79999999999995</v>
      </c>
      <c r="F151" s="38">
        <f>10890/145</f>
        <v>75.103448275862064</v>
      </c>
      <c r="G151" s="38">
        <f t="shared" si="614"/>
        <v>19.049999999999997</v>
      </c>
      <c r="H151" s="38">
        <f t="shared" si="625"/>
        <v>457.2</v>
      </c>
      <c r="I151" s="38">
        <f t="shared" si="615"/>
        <v>50.8</v>
      </c>
      <c r="J151" s="21">
        <f>(6-0.5-2*0.75)*25.4</f>
        <v>101.6</v>
      </c>
      <c r="K151" s="21">
        <f>(0.5)*25.4</f>
        <v>12.7</v>
      </c>
      <c r="L151" s="38">
        <v>3</v>
      </c>
      <c r="M151" s="38">
        <f t="shared" si="616"/>
        <v>50.8</v>
      </c>
      <c r="N151" s="7">
        <f t="shared" si="510"/>
        <v>0.83333333333333337</v>
      </c>
      <c r="O151" s="7">
        <f t="shared" si="496"/>
        <v>3.166666666666667</v>
      </c>
      <c r="P151" s="38">
        <v>4</v>
      </c>
      <c r="Q151" s="7">
        <f t="shared" si="617"/>
        <v>4</v>
      </c>
      <c r="R151" s="4">
        <f t="shared" si="541"/>
        <v>5</v>
      </c>
      <c r="S151" s="7">
        <f t="shared" si="542"/>
        <v>42.597094971370993</v>
      </c>
      <c r="T151" s="7"/>
      <c r="U151" s="7"/>
      <c r="V151" s="38">
        <f t="shared" si="618"/>
        <v>614.48275862068965</v>
      </c>
      <c r="W151" s="4">
        <v>89.1</v>
      </c>
      <c r="X151" s="7" t="e">
        <f t="shared" si="482"/>
        <v>#REF!</v>
      </c>
      <c r="Y151" s="7"/>
      <c r="Z151" s="7"/>
      <c r="AA151" s="7">
        <v>1</v>
      </c>
      <c r="AB151" s="7"/>
      <c r="AC151" s="7"/>
      <c r="AD151" s="7">
        <f t="shared" si="534"/>
        <v>0</v>
      </c>
      <c r="AE151" s="4">
        <f t="shared" si="483"/>
        <v>304.79999999999995</v>
      </c>
      <c r="AF151" s="47">
        <f t="shared" si="544"/>
        <v>0.19685039370078747</v>
      </c>
      <c r="AG151" s="25">
        <f t="shared" si="545"/>
        <v>539.3259121429644</v>
      </c>
      <c r="AH151" s="4">
        <f t="shared" si="546"/>
        <v>0.73958333333333326</v>
      </c>
      <c r="AI151" s="4">
        <v>1.25</v>
      </c>
      <c r="AJ151" s="25">
        <f t="shared" si="438"/>
        <v>5</v>
      </c>
      <c r="AK151" s="38">
        <f t="shared" si="480"/>
        <v>490.74367108235009</v>
      </c>
      <c r="AL151" s="38">
        <f t="shared" si="619"/>
        <v>490.74367108235009</v>
      </c>
      <c r="AN151" s="38">
        <f t="shared" si="547"/>
        <v>490.74367108234986</v>
      </c>
      <c r="AO151" s="38">
        <f t="shared" si="548"/>
        <v>1.0000000000000004</v>
      </c>
      <c r="AP151" s="38">
        <f t="shared" si="620"/>
        <v>1.020267167313901</v>
      </c>
      <c r="AQ151" s="4">
        <f t="shared" si="443"/>
        <v>0</v>
      </c>
      <c r="AR151" s="4" t="e">
        <f>#REF!/G151*F151^0.5/0.19</f>
        <v>#REF!</v>
      </c>
      <c r="AS151" s="4">
        <f t="shared" si="549"/>
        <v>2</v>
      </c>
      <c r="AT151" s="38">
        <f t="shared" si="550"/>
        <v>500.68965517241384</v>
      </c>
      <c r="AU151" s="4">
        <f t="shared" si="551"/>
        <v>0.44000000000000006</v>
      </c>
      <c r="AV151" s="4" t="e">
        <f>AU151*D151*#REF!/(D151*G151/2.75/F151^0.5)</f>
        <v>#REF!</v>
      </c>
      <c r="AW151" s="4" t="e">
        <f t="shared" si="552"/>
        <v>#REF!</v>
      </c>
      <c r="AY151" s="36">
        <f t="shared" si="529"/>
        <v>1.2083333333333333</v>
      </c>
      <c r="AZ151" s="36" t="e">
        <f>(1.6*#REF!+22)*AY151*F151^0.5</f>
        <v>#REF!</v>
      </c>
      <c r="BE151" s="4">
        <f t="shared" si="553"/>
        <v>12.75</v>
      </c>
      <c r="BF151" s="4">
        <f t="shared" si="554"/>
        <v>12.75</v>
      </c>
      <c r="BG151" s="4">
        <f t="shared" si="555"/>
        <v>50.8</v>
      </c>
      <c r="BH151" s="4">
        <f t="shared" si="556"/>
        <v>22.274999999999999</v>
      </c>
      <c r="BI151" s="4">
        <f t="shared" si="557"/>
        <v>1.25</v>
      </c>
      <c r="BJ151" s="25">
        <f t="shared" si="558"/>
        <v>1.4616141732283467</v>
      </c>
      <c r="BL151" s="4">
        <f t="shared" si="559"/>
        <v>6.35</v>
      </c>
      <c r="BP151" s="9"/>
      <c r="BR151" s="9"/>
      <c r="BS151" s="9"/>
      <c r="BT151" s="9">
        <f t="shared" si="560"/>
        <v>6.35</v>
      </c>
      <c r="BU151" s="9">
        <f t="shared" si="561"/>
        <v>50.8</v>
      </c>
      <c r="BV151" s="9">
        <f t="shared" si="562"/>
        <v>0.78868370996101578</v>
      </c>
      <c r="BW151" s="9">
        <v>20</v>
      </c>
      <c r="BX151" s="9">
        <f t="shared" si="563"/>
        <v>0</v>
      </c>
      <c r="BY151" s="9">
        <f t="shared" si="564"/>
        <v>0</v>
      </c>
      <c r="BZ151" s="9">
        <f t="shared" si="565"/>
        <v>1</v>
      </c>
      <c r="CA151" s="9">
        <f t="shared" si="566"/>
        <v>0.68</v>
      </c>
      <c r="CB151" s="9">
        <f t="shared" si="567"/>
        <v>2.062561447360522</v>
      </c>
      <c r="CC151" s="9">
        <f t="shared" si="568"/>
        <v>1.626708614326859</v>
      </c>
      <c r="CD151" s="9">
        <v>1</v>
      </c>
      <c r="CE151" s="9" t="e">
        <f>4*CC151*#REF!+60*CC151</f>
        <v>#REF!</v>
      </c>
      <c r="CG151" s="4" t="e">
        <f t="shared" si="569"/>
        <v>#REF!</v>
      </c>
      <c r="CH151" s="4" t="e">
        <f t="shared" si="570"/>
        <v>#REF!</v>
      </c>
      <c r="CI151" s="4" t="e">
        <f t="shared" si="571"/>
        <v>#REF!</v>
      </c>
      <c r="CJ151" s="4" t="e">
        <f t="shared" si="572"/>
        <v>#REF!</v>
      </c>
      <c r="CK151" s="4" t="e">
        <f t="shared" si="573"/>
        <v>#REF!</v>
      </c>
      <c r="CL151" s="4" t="e">
        <f t="shared" si="574"/>
        <v>#REF!</v>
      </c>
      <c r="CM151" s="4">
        <f t="shared" si="481"/>
        <v>1.4556328942092587</v>
      </c>
      <c r="CU151" s="4" t="e">
        <f t="shared" si="575"/>
        <v>#REF!</v>
      </c>
      <c r="CV151" s="4" t="e">
        <f t="shared" si="576"/>
        <v>#REF!</v>
      </c>
      <c r="CW151" s="4" t="e">
        <f t="shared" si="577"/>
        <v>#REF!</v>
      </c>
      <c r="CX151" s="4">
        <f t="shared" si="538"/>
        <v>1.4556328942092587</v>
      </c>
      <c r="CY151" s="4" t="e">
        <f t="shared" si="578"/>
        <v>#REF!</v>
      </c>
      <c r="CZ151" s="4" t="e">
        <f t="shared" si="579"/>
        <v>#REF!</v>
      </c>
      <c r="DB151" s="4">
        <f t="shared" si="580"/>
        <v>0</v>
      </c>
      <c r="DC151" s="4">
        <f t="shared" si="581"/>
        <v>304.79999999999995</v>
      </c>
      <c r="DD151" s="4" t="e">
        <f>#REF!/E151</f>
        <v>#REF!</v>
      </c>
      <c r="DF151" s="4">
        <f t="shared" si="582"/>
        <v>3.807121106173361E-5</v>
      </c>
      <c r="DG151" s="4">
        <f t="shared" si="583"/>
        <v>5.0877379917756649</v>
      </c>
      <c r="DH151" s="4">
        <f t="shared" si="486"/>
        <v>0.2707582493430632</v>
      </c>
      <c r="DI151" s="4">
        <f t="shared" si="621"/>
        <v>3.0168756996773256</v>
      </c>
      <c r="DJ151" s="4">
        <f t="shared" si="622"/>
        <v>4.1833021422574221</v>
      </c>
      <c r="DK151" s="4">
        <f t="shared" si="487"/>
        <v>4.6676287655490585</v>
      </c>
      <c r="DL151" s="38" t="e">
        <f t="shared" si="584"/>
        <v>#REF!</v>
      </c>
      <c r="DM151" s="4" t="e">
        <f t="shared" si="623"/>
        <v>#REF!</v>
      </c>
      <c r="DN151" s="4">
        <f t="shared" si="488"/>
        <v>2.2360679774997898</v>
      </c>
      <c r="DO151" s="4">
        <f t="shared" si="624"/>
        <v>490.74367108234986</v>
      </c>
      <c r="DS151" s="4">
        <f t="shared" si="585"/>
        <v>0.85</v>
      </c>
      <c r="DT151" s="4">
        <f t="shared" si="586"/>
        <v>1</v>
      </c>
      <c r="DU151" s="4">
        <f t="shared" si="587"/>
        <v>1</v>
      </c>
      <c r="DV151" s="4">
        <f t="shared" si="588"/>
        <v>1</v>
      </c>
      <c r="DX151" s="4" t="e">
        <f t="shared" si="589"/>
        <v>#REF!</v>
      </c>
      <c r="DY151" s="25">
        <f t="shared" si="590"/>
        <v>484.28839639595202</v>
      </c>
      <c r="EB151" s="4">
        <f t="shared" si="436"/>
        <v>5.0877379917756649</v>
      </c>
      <c r="EC151" s="4">
        <f t="shared" si="591"/>
        <v>5.0877379917756649</v>
      </c>
      <c r="EE151" s="4">
        <f t="shared" si="592"/>
        <v>42.597094971370993</v>
      </c>
      <c r="EF151" s="4">
        <f t="shared" si="593"/>
        <v>2.2360679774997898</v>
      </c>
      <c r="EG151" s="4">
        <f t="shared" si="594"/>
        <v>0.1283059810021511</v>
      </c>
      <c r="EJ151" s="4">
        <f t="shared" si="595"/>
        <v>0.1283059810021511</v>
      </c>
      <c r="EK151" s="4">
        <f t="shared" si="596"/>
        <v>0.27030640428738761</v>
      </c>
      <c r="EL151" s="4">
        <f t="shared" si="597"/>
        <v>3.0148608492518321</v>
      </c>
      <c r="EM151" s="4">
        <f t="shared" si="598"/>
        <v>4.1825792372626935</v>
      </c>
      <c r="EN151" s="4">
        <f t="shared" si="599"/>
        <v>186.00290502862896</v>
      </c>
      <c r="EO151" s="4">
        <f t="shared" si="600"/>
        <v>76.199999999999989</v>
      </c>
      <c r="EP151" s="4">
        <f t="shared" si="601"/>
        <v>3.807121106173361E-5</v>
      </c>
      <c r="EQ151" s="4">
        <f t="shared" si="602"/>
        <v>4.6677128627312667</v>
      </c>
      <c r="ER151" s="4" t="e">
        <f t="shared" si="603"/>
        <v>#REF!</v>
      </c>
      <c r="ES151" s="4" t="e">
        <f t="shared" si="604"/>
        <v>#REF!</v>
      </c>
      <c r="ET151" s="4" t="e">
        <f t="shared" si="605"/>
        <v>#REF!</v>
      </c>
      <c r="EV151" s="4" t="e">
        <f t="shared" si="489"/>
        <v>#REF!</v>
      </c>
      <c r="FA151" s="23" t="e">
        <f t="shared" si="490"/>
        <v>#REF!</v>
      </c>
      <c r="FB151" s="23" t="e">
        <f t="shared" si="606"/>
        <v>#REF!</v>
      </c>
      <c r="FC151" s="23">
        <f t="shared" si="527"/>
        <v>1.6</v>
      </c>
      <c r="FD151" s="23" t="e">
        <f t="shared" si="492"/>
        <v>#REF!</v>
      </c>
      <c r="FE151" s="23" t="e">
        <f t="shared" si="493"/>
        <v>#REF!</v>
      </c>
      <c r="FF151" s="23" t="e">
        <f t="shared" si="494"/>
        <v>#REF!</v>
      </c>
      <c r="FG151" s="23" t="e">
        <f t="shared" si="533"/>
        <v>#REF!</v>
      </c>
      <c r="FH151" s="23"/>
      <c r="FR151" s="4">
        <f t="shared" si="607"/>
        <v>1.25</v>
      </c>
      <c r="FS151" s="4">
        <f t="shared" si="608"/>
        <v>1.0277777777777777</v>
      </c>
      <c r="FT151" s="4">
        <f t="shared" si="609"/>
        <v>0</v>
      </c>
      <c r="FU151" s="4">
        <f t="shared" si="610"/>
        <v>422.14129748317777</v>
      </c>
    </row>
    <row r="152" spans="1:177" ht="12" customHeight="1" x14ac:dyDescent="0.3">
      <c r="B152" s="24"/>
      <c r="C152" s="7" t="s">
        <v>650</v>
      </c>
      <c r="D152" s="38">
        <f t="shared" si="611"/>
        <v>826.20689655172418</v>
      </c>
      <c r="E152" s="38">
        <f t="shared" si="612"/>
        <v>304.79999999999995</v>
      </c>
      <c r="F152" s="38">
        <f t="shared" ref="F152:F153" si="626">10890/145</f>
        <v>75.103448275862064</v>
      </c>
      <c r="G152" s="38">
        <f t="shared" si="614"/>
        <v>19.049999999999997</v>
      </c>
      <c r="H152" s="38">
        <f t="shared" si="625"/>
        <v>457.2</v>
      </c>
      <c r="I152" s="38">
        <f t="shared" si="615"/>
        <v>50.8</v>
      </c>
      <c r="J152" s="21">
        <f>(5.8-1-2*0.75)*25.4</f>
        <v>83.82</v>
      </c>
      <c r="K152" s="21">
        <f>(1)*25.4</f>
        <v>25.4</v>
      </c>
      <c r="L152" s="38">
        <v>3</v>
      </c>
      <c r="M152" s="38">
        <f t="shared" si="616"/>
        <v>50.8</v>
      </c>
      <c r="N152" s="7">
        <f t="shared" si="510"/>
        <v>1.1666666666666667</v>
      </c>
      <c r="O152" s="7">
        <f t="shared" si="496"/>
        <v>3.166666666666667</v>
      </c>
      <c r="P152" s="38">
        <v>4</v>
      </c>
      <c r="Q152" s="7">
        <f t="shared" si="617"/>
        <v>4</v>
      </c>
      <c r="R152" s="4">
        <f t="shared" si="541"/>
        <v>5</v>
      </c>
      <c r="S152" s="7">
        <f t="shared" si="542"/>
        <v>42.597094971370993</v>
      </c>
      <c r="T152" s="7"/>
      <c r="U152" s="7"/>
      <c r="V152" s="38">
        <f t="shared" si="618"/>
        <v>562.06896551724139</v>
      </c>
      <c r="W152" s="4">
        <v>81.5</v>
      </c>
      <c r="X152" s="7" t="e">
        <f t="shared" si="482"/>
        <v>#REF!</v>
      </c>
      <c r="Y152" s="7"/>
      <c r="Z152" s="7"/>
      <c r="AA152" s="7">
        <v>1</v>
      </c>
      <c r="AB152" s="7"/>
      <c r="AC152" s="7"/>
      <c r="AD152" s="7">
        <f t="shared" si="534"/>
        <v>0</v>
      </c>
      <c r="AE152" s="4">
        <f t="shared" si="483"/>
        <v>304.79999999999995</v>
      </c>
      <c r="AF152" s="47">
        <f t="shared" si="544"/>
        <v>0.19685039370078747</v>
      </c>
      <c r="AG152" s="25">
        <f t="shared" si="545"/>
        <v>539.3259121429644</v>
      </c>
      <c r="AH152" s="4">
        <f t="shared" si="546"/>
        <v>0.73958333333333326</v>
      </c>
      <c r="AI152" s="4">
        <v>1.25</v>
      </c>
      <c r="AJ152" s="25">
        <f t="shared" si="438"/>
        <v>5</v>
      </c>
      <c r="AK152" s="38">
        <f t="shared" si="480"/>
        <v>490.74367108235009</v>
      </c>
      <c r="AL152" s="38">
        <f t="shared" si="619"/>
        <v>490.74367108235009</v>
      </c>
      <c r="AN152" s="38">
        <f t="shared" si="547"/>
        <v>490.74367108234986</v>
      </c>
      <c r="AO152" s="38">
        <f t="shared" si="548"/>
        <v>1.0000000000000004</v>
      </c>
      <c r="AP152" s="38">
        <f t="shared" si="620"/>
        <v>1.2039152574304033</v>
      </c>
      <c r="AQ152" s="4">
        <f t="shared" si="443"/>
        <v>0</v>
      </c>
      <c r="AR152" s="4" t="e">
        <f>#REF!/G152*F152^0.5/0.19</f>
        <v>#REF!</v>
      </c>
      <c r="AS152" s="4">
        <f t="shared" si="549"/>
        <v>1.6857142857142859</v>
      </c>
      <c r="AT152" s="38">
        <f t="shared" si="550"/>
        <v>590.81379310344835</v>
      </c>
      <c r="AU152" s="4">
        <f t="shared" si="551"/>
        <v>0.44000000000000006</v>
      </c>
      <c r="AV152" s="4" t="e">
        <f>AU152*D152*#REF!/(D152*G152/2.75/F152^0.5)</f>
        <v>#REF!</v>
      </c>
      <c r="AW152" s="4" t="e">
        <f t="shared" si="552"/>
        <v>#REF!</v>
      </c>
      <c r="AY152" s="36">
        <f t="shared" si="529"/>
        <v>1.1366666666666669</v>
      </c>
      <c r="AZ152" s="36" t="e">
        <f>(1.6*#REF!+22)*AY152*F152^0.5</f>
        <v>#REF!</v>
      </c>
      <c r="BE152" s="4">
        <f t="shared" si="553"/>
        <v>19.100000000000001</v>
      </c>
      <c r="BF152" s="4">
        <f t="shared" si="554"/>
        <v>19.100000000000001</v>
      </c>
      <c r="BG152" s="4">
        <f t="shared" si="555"/>
        <v>50.8</v>
      </c>
      <c r="BH152" s="4">
        <f t="shared" si="556"/>
        <v>28.625</v>
      </c>
      <c r="BI152" s="4">
        <f t="shared" si="557"/>
        <v>1.1659685863874345</v>
      </c>
      <c r="BJ152" s="25">
        <f t="shared" si="558"/>
        <v>1.7520131645847936</v>
      </c>
      <c r="BL152" s="4">
        <f t="shared" si="559"/>
        <v>12.7</v>
      </c>
      <c r="BP152" s="9"/>
      <c r="BR152" s="9"/>
      <c r="BS152" s="9"/>
      <c r="BT152" s="9">
        <f t="shared" si="560"/>
        <v>12.7</v>
      </c>
      <c r="BU152" s="9">
        <f t="shared" si="561"/>
        <v>50.8</v>
      </c>
      <c r="BV152" s="9">
        <f t="shared" si="562"/>
        <v>1.0052252041243952</v>
      </c>
      <c r="BW152" s="9">
        <v>20</v>
      </c>
      <c r="BX152" s="9">
        <f t="shared" si="563"/>
        <v>0</v>
      </c>
      <c r="BY152" s="9">
        <f t="shared" si="564"/>
        <v>0</v>
      </c>
      <c r="BZ152" s="9">
        <f t="shared" si="565"/>
        <v>1</v>
      </c>
      <c r="CA152" s="9">
        <f t="shared" si="566"/>
        <v>0.68</v>
      </c>
      <c r="CB152" s="9">
        <f t="shared" si="567"/>
        <v>2.062561447360522</v>
      </c>
      <c r="CC152" s="9">
        <f t="shared" si="568"/>
        <v>2.0733387519420887</v>
      </c>
      <c r="CD152" s="9">
        <v>1</v>
      </c>
      <c r="CE152" s="9" t="e">
        <f>4*CC152*#REF!+60*CC152</f>
        <v>#REF!</v>
      </c>
      <c r="CG152" s="4" t="e">
        <f t="shared" si="569"/>
        <v>#REF!</v>
      </c>
      <c r="CH152" s="4" t="e">
        <f t="shared" si="570"/>
        <v>#REF!</v>
      </c>
      <c r="CI152" s="4" t="e">
        <f t="shared" si="571"/>
        <v>#REF!</v>
      </c>
      <c r="CJ152" s="4" t="e">
        <f t="shared" si="572"/>
        <v>#REF!</v>
      </c>
      <c r="CK152" s="4" t="e">
        <f t="shared" si="573"/>
        <v>#REF!</v>
      </c>
      <c r="CL152" s="4" t="e">
        <f t="shared" si="574"/>
        <v>#REF!</v>
      </c>
      <c r="CM152" s="4">
        <f t="shared" si="481"/>
        <v>1.259499751488431</v>
      </c>
      <c r="CU152" s="4" t="e">
        <f t="shared" si="575"/>
        <v>#REF!</v>
      </c>
      <c r="CV152" s="4" t="e">
        <f t="shared" si="576"/>
        <v>#REF!</v>
      </c>
      <c r="CW152" s="4" t="e">
        <f t="shared" si="577"/>
        <v>#REF!</v>
      </c>
      <c r="CX152" s="4">
        <f t="shared" si="538"/>
        <v>1.259499751488431</v>
      </c>
      <c r="CY152" s="4" t="e">
        <f t="shared" si="578"/>
        <v>#REF!</v>
      </c>
      <c r="CZ152" s="4" t="e">
        <f t="shared" si="579"/>
        <v>#REF!</v>
      </c>
      <c r="DB152" s="4">
        <f t="shared" si="580"/>
        <v>0</v>
      </c>
      <c r="DC152" s="4">
        <f t="shared" si="581"/>
        <v>304.79999999999995</v>
      </c>
      <c r="DD152" s="4" t="e">
        <f>#REF!/E152</f>
        <v>#REF!</v>
      </c>
      <c r="DF152" s="4">
        <f t="shared" si="582"/>
        <v>3.807121106173361E-5</v>
      </c>
      <c r="DG152" s="4">
        <f t="shared" si="583"/>
        <v>6.0985888771595622</v>
      </c>
      <c r="DH152" s="4">
        <f t="shared" si="486"/>
        <v>0.2707582493430632</v>
      </c>
      <c r="DI152" s="4">
        <f t="shared" si="621"/>
        <v>3.6162798901135647</v>
      </c>
      <c r="DJ152" s="4">
        <f t="shared" si="622"/>
        <v>5.0144563174851866</v>
      </c>
      <c r="DK152" s="4">
        <f t="shared" si="487"/>
        <v>5.4966973614584278</v>
      </c>
      <c r="DL152" s="38" t="e">
        <f t="shared" si="584"/>
        <v>#REF!</v>
      </c>
      <c r="DM152" s="4" t="e">
        <f t="shared" si="623"/>
        <v>#REF!</v>
      </c>
      <c r="DN152" s="4">
        <f t="shared" si="488"/>
        <v>2.2360679774997898</v>
      </c>
      <c r="DO152" s="4">
        <f t="shared" si="624"/>
        <v>490.74367108234986</v>
      </c>
      <c r="DS152" s="4">
        <f t="shared" si="585"/>
        <v>0.85</v>
      </c>
      <c r="DT152" s="4">
        <f t="shared" si="586"/>
        <v>1</v>
      </c>
      <c r="DU152" s="4">
        <f t="shared" si="587"/>
        <v>1</v>
      </c>
      <c r="DV152" s="4">
        <f t="shared" si="588"/>
        <v>1</v>
      </c>
      <c r="DX152" s="4" t="e">
        <f t="shared" si="589"/>
        <v>#REF!</v>
      </c>
      <c r="DY152" s="25">
        <f t="shared" si="590"/>
        <v>484.28839639595202</v>
      </c>
      <c r="EB152" s="4">
        <f t="shared" si="436"/>
        <v>6.0985888771595622</v>
      </c>
      <c r="EC152" s="4">
        <f t="shared" si="591"/>
        <v>6.0985888771595622</v>
      </c>
      <c r="EE152" s="4">
        <f t="shared" si="592"/>
        <v>42.597094971370993</v>
      </c>
      <c r="EF152" s="4">
        <f t="shared" si="593"/>
        <v>2.2360679774997898</v>
      </c>
      <c r="EG152" s="4">
        <f t="shared" si="594"/>
        <v>0.1283059810021511</v>
      </c>
      <c r="EJ152" s="4">
        <f t="shared" si="595"/>
        <v>0.1283059810021511</v>
      </c>
      <c r="EK152" s="4">
        <f t="shared" si="596"/>
        <v>0.27030640428738761</v>
      </c>
      <c r="EL152" s="4">
        <f t="shared" si="597"/>
        <v>3.6138647216410691</v>
      </c>
      <c r="EM152" s="4">
        <f t="shared" si="598"/>
        <v>5.0135897830120628</v>
      </c>
      <c r="EN152" s="4">
        <f t="shared" si="599"/>
        <v>186.00290502862896</v>
      </c>
      <c r="EO152" s="4">
        <f t="shared" si="600"/>
        <v>76.199999999999989</v>
      </c>
      <c r="EP152" s="4">
        <f t="shared" si="601"/>
        <v>3.807121106173361E-5</v>
      </c>
      <c r="EQ152" s="4">
        <f t="shared" si="602"/>
        <v>5.4968178476970175</v>
      </c>
      <c r="ER152" s="4" t="e">
        <f t="shared" si="603"/>
        <v>#REF!</v>
      </c>
      <c r="ES152" s="4" t="e">
        <f t="shared" si="604"/>
        <v>#REF!</v>
      </c>
      <c r="ET152" s="4" t="e">
        <f t="shared" si="605"/>
        <v>#REF!</v>
      </c>
      <c r="EV152" s="4" t="e">
        <f t="shared" si="489"/>
        <v>#REF!</v>
      </c>
      <c r="FA152" s="23" t="e">
        <f t="shared" si="490"/>
        <v>#REF!</v>
      </c>
      <c r="FB152" s="23" t="e">
        <f t="shared" si="606"/>
        <v>#REF!</v>
      </c>
      <c r="FC152" s="23">
        <f t="shared" si="527"/>
        <v>1.4</v>
      </c>
      <c r="FD152" s="23" t="e">
        <f t="shared" si="492"/>
        <v>#REF!</v>
      </c>
      <c r="FE152" s="23" t="e">
        <f t="shared" si="493"/>
        <v>#REF!</v>
      </c>
      <c r="FF152" s="23" t="e">
        <f t="shared" si="494"/>
        <v>#REF!</v>
      </c>
      <c r="FG152" s="23" t="e">
        <f t="shared" si="533"/>
        <v>#REF!</v>
      </c>
      <c r="FH152" s="23"/>
      <c r="FR152" s="4">
        <f t="shared" si="607"/>
        <v>1.25</v>
      </c>
      <c r="FS152" s="4">
        <f t="shared" si="608"/>
        <v>0.9722222222222221</v>
      </c>
      <c r="FT152" s="4">
        <f t="shared" si="609"/>
        <v>0</v>
      </c>
      <c r="FU152" s="4">
        <f t="shared" si="610"/>
        <v>446.26365733935933</v>
      </c>
    </row>
    <row r="153" spans="1:177" ht="12" customHeight="1" x14ac:dyDescent="0.3">
      <c r="B153" s="24"/>
      <c r="C153" s="7" t="s">
        <v>651</v>
      </c>
      <c r="D153" s="38">
        <f t="shared" si="611"/>
        <v>826.20689655172418</v>
      </c>
      <c r="E153" s="38">
        <f t="shared" si="612"/>
        <v>304.79999999999995</v>
      </c>
      <c r="F153" s="38">
        <f t="shared" si="626"/>
        <v>75.103448275862064</v>
      </c>
      <c r="G153" s="38">
        <f t="shared" si="614"/>
        <v>19.049999999999997</v>
      </c>
      <c r="H153" s="38">
        <f t="shared" si="625"/>
        <v>457.2</v>
      </c>
      <c r="I153" s="38">
        <f t="shared" si="615"/>
        <v>50.8</v>
      </c>
      <c r="J153" s="21">
        <f>(5.3-1.9-2*0.75)*25.4</f>
        <v>48.26</v>
      </c>
      <c r="K153" s="21">
        <f>(1.9)*25.4</f>
        <v>48.26</v>
      </c>
      <c r="L153" s="38">
        <v>3</v>
      </c>
      <c r="M153" s="38">
        <f t="shared" si="616"/>
        <v>50.8</v>
      </c>
      <c r="N153" s="7">
        <f t="shared" si="510"/>
        <v>1.7666666666666668</v>
      </c>
      <c r="O153" s="7">
        <f t="shared" si="496"/>
        <v>3.166666666666667</v>
      </c>
      <c r="P153" s="38">
        <v>4</v>
      </c>
      <c r="Q153" s="7">
        <f t="shared" si="617"/>
        <v>4</v>
      </c>
      <c r="R153" s="4">
        <f t="shared" si="541"/>
        <v>5</v>
      </c>
      <c r="S153" s="7">
        <f t="shared" si="542"/>
        <v>42.597094971370993</v>
      </c>
      <c r="T153" s="7"/>
      <c r="U153" s="7"/>
      <c r="V153" s="38">
        <f t="shared" si="618"/>
        <v>621.37931034482756</v>
      </c>
      <c r="W153" s="4">
        <v>90.1</v>
      </c>
      <c r="X153" s="7" t="e">
        <f t="shared" si="482"/>
        <v>#REF!</v>
      </c>
      <c r="Y153" s="7"/>
      <c r="Z153" s="7"/>
      <c r="AA153" s="7">
        <v>1</v>
      </c>
      <c r="AB153" s="7"/>
      <c r="AC153" s="7"/>
      <c r="AD153" s="7">
        <f t="shared" si="534"/>
        <v>0</v>
      </c>
      <c r="AE153" s="4">
        <f t="shared" si="483"/>
        <v>304.79999999999995</v>
      </c>
      <c r="AF153" s="47">
        <f t="shared" si="544"/>
        <v>0.19685039370078747</v>
      </c>
      <c r="AG153" s="25">
        <f t="shared" si="545"/>
        <v>539.3259121429644</v>
      </c>
      <c r="AH153" s="4">
        <f t="shared" si="546"/>
        <v>0.73958333333333326</v>
      </c>
      <c r="AI153" s="4">
        <v>1.25</v>
      </c>
      <c r="AJ153" s="25">
        <f t="shared" si="438"/>
        <v>5</v>
      </c>
      <c r="AK153" s="38">
        <f t="shared" si="480"/>
        <v>490.74367108235009</v>
      </c>
      <c r="AL153" s="38">
        <f t="shared" si="619"/>
        <v>490.74367108235009</v>
      </c>
      <c r="AN153" s="38">
        <f t="shared" si="547"/>
        <v>490.74367108234986</v>
      </c>
      <c r="AO153" s="38">
        <f t="shared" si="548"/>
        <v>1.0000000000000004</v>
      </c>
      <c r="AP153" s="38">
        <f t="shared" si="620"/>
        <v>1.4242929655702057</v>
      </c>
      <c r="AQ153" s="4">
        <f t="shared" si="443"/>
        <v>0</v>
      </c>
      <c r="AR153" s="4" t="e">
        <f>#REF!/G153*F153^0.5/0.19</f>
        <v>#REF!</v>
      </c>
      <c r="AS153" s="4">
        <f t="shared" si="549"/>
        <v>1.3169811320754716</v>
      </c>
      <c r="AT153" s="38">
        <f t="shared" si="550"/>
        <v>698.96275862068967</v>
      </c>
      <c r="AU153" s="4">
        <f t="shared" si="551"/>
        <v>0.44000000000000006</v>
      </c>
      <c r="AV153" s="4" t="e">
        <f>AU153*D153*#REF!/(D153*G153/2.75/F153^0.5)</f>
        <v>#REF!</v>
      </c>
      <c r="AW153" s="4" t="e">
        <f t="shared" si="552"/>
        <v>#REF!</v>
      </c>
      <c r="AY153" s="36">
        <f t="shared" si="529"/>
        <v>1.1057894736842107</v>
      </c>
      <c r="AZ153" s="36" t="e">
        <f>(1.6*#REF!+22)*AY153*F153^0.5</f>
        <v>#REF!</v>
      </c>
      <c r="BE153" s="4">
        <f t="shared" si="553"/>
        <v>30.53</v>
      </c>
      <c r="BF153" s="4">
        <f t="shared" si="554"/>
        <v>30.53</v>
      </c>
      <c r="BG153" s="4">
        <f t="shared" si="555"/>
        <v>50.8</v>
      </c>
      <c r="BH153" s="4">
        <f t="shared" si="556"/>
        <v>40.055</v>
      </c>
      <c r="BI153" s="4">
        <f t="shared" si="557"/>
        <v>1.0663937111038324</v>
      </c>
      <c r="BJ153" s="25">
        <f t="shared" si="558"/>
        <v>2.2422257269429928</v>
      </c>
      <c r="BL153" s="4">
        <f t="shared" si="559"/>
        <v>24.13</v>
      </c>
      <c r="BP153" s="9"/>
      <c r="BR153" s="9"/>
      <c r="BS153" s="9"/>
      <c r="BT153" s="9">
        <f t="shared" si="560"/>
        <v>24.13</v>
      </c>
      <c r="BU153" s="9">
        <f t="shared" si="561"/>
        <v>50.8</v>
      </c>
      <c r="BV153" s="9">
        <f t="shared" si="562"/>
        <v>1.2584243974819915</v>
      </c>
      <c r="BW153" s="9">
        <v>20</v>
      </c>
      <c r="BX153" s="9">
        <f t="shared" si="563"/>
        <v>0</v>
      </c>
      <c r="BY153" s="9">
        <f t="shared" si="564"/>
        <v>0</v>
      </c>
      <c r="BZ153" s="9">
        <f t="shared" si="565"/>
        <v>1</v>
      </c>
      <c r="CA153" s="9">
        <f t="shared" si="566"/>
        <v>0.68</v>
      </c>
      <c r="CB153" s="9">
        <f t="shared" si="567"/>
        <v>2.062561447360522</v>
      </c>
      <c r="CC153" s="9">
        <f t="shared" si="568"/>
        <v>2.5955776466642493</v>
      </c>
      <c r="CD153" s="9">
        <v>1</v>
      </c>
      <c r="CE153" s="9" t="e">
        <f>4*CC153*#REF!+60*CC153</f>
        <v>#REF!</v>
      </c>
      <c r="CG153" s="4" t="e">
        <f t="shared" si="569"/>
        <v>#REF!</v>
      </c>
      <c r="CH153" s="4" t="e">
        <f t="shared" si="570"/>
        <v>#REF!</v>
      </c>
      <c r="CI153" s="4" t="e">
        <f t="shared" si="571"/>
        <v>#REF!</v>
      </c>
      <c r="CJ153" s="4" t="e">
        <f t="shared" si="572"/>
        <v>#REF!</v>
      </c>
      <c r="CK153" s="4" t="e">
        <f t="shared" si="573"/>
        <v>#REF!</v>
      </c>
      <c r="CL153" s="4" t="e">
        <f t="shared" si="574"/>
        <v>#REF!</v>
      </c>
      <c r="CM153" s="4">
        <f t="shared" si="481"/>
        <v>1.249185320570019</v>
      </c>
      <c r="CU153" s="4" t="e">
        <f t="shared" si="575"/>
        <v>#REF!</v>
      </c>
      <c r="CV153" s="4" t="e">
        <f t="shared" si="576"/>
        <v>#REF!</v>
      </c>
      <c r="CW153" s="4" t="e">
        <f t="shared" si="577"/>
        <v>#REF!</v>
      </c>
      <c r="CX153" s="4">
        <f t="shared" si="538"/>
        <v>1.249185320570019</v>
      </c>
      <c r="CY153" s="4" t="e">
        <f t="shared" si="578"/>
        <v>#REF!</v>
      </c>
      <c r="CZ153" s="4" t="e">
        <f t="shared" si="579"/>
        <v>#REF!</v>
      </c>
      <c r="DB153" s="4">
        <f t="shared" si="580"/>
        <v>0</v>
      </c>
      <c r="DC153" s="4">
        <f t="shared" si="581"/>
        <v>304.79999999999995</v>
      </c>
      <c r="DD153" s="4" t="e">
        <f>#REF!/E153</f>
        <v>#REF!</v>
      </c>
      <c r="DF153" s="4">
        <f t="shared" si="582"/>
        <v>3.807121106173361E-5</v>
      </c>
      <c r="DG153" s="4">
        <f t="shared" si="583"/>
        <v>7.8049715349349125</v>
      </c>
      <c r="DH153" s="4">
        <f t="shared" si="486"/>
        <v>0.2707582493430632</v>
      </c>
      <c r="DI153" s="4">
        <f t="shared" si="621"/>
        <v>4.6281135149808286</v>
      </c>
      <c r="DJ153" s="4">
        <f t="shared" si="622"/>
        <v>6.4174991312703371</v>
      </c>
      <c r="DK153" s="4">
        <f t="shared" si="487"/>
        <v>6.8239133200440145</v>
      </c>
      <c r="DL153" s="38" t="e">
        <f t="shared" si="584"/>
        <v>#REF!</v>
      </c>
      <c r="DM153" s="4" t="e">
        <f t="shared" si="623"/>
        <v>#REF!</v>
      </c>
      <c r="DN153" s="4">
        <f t="shared" si="488"/>
        <v>2.2360679774997898</v>
      </c>
      <c r="DO153" s="4">
        <f t="shared" si="624"/>
        <v>490.74367108234986</v>
      </c>
      <c r="DS153" s="4">
        <f t="shared" si="585"/>
        <v>0.85</v>
      </c>
      <c r="DT153" s="4">
        <f t="shared" si="586"/>
        <v>0.97333333333333327</v>
      </c>
      <c r="DU153" s="4">
        <f t="shared" si="587"/>
        <v>1</v>
      </c>
      <c r="DV153" s="4">
        <f t="shared" si="588"/>
        <v>0.97333333333333327</v>
      </c>
      <c r="DX153" s="4" t="e">
        <f t="shared" si="589"/>
        <v>#REF!</v>
      </c>
      <c r="DY153" s="25">
        <f t="shared" si="590"/>
        <v>484.28839639595202</v>
      </c>
      <c r="EB153" s="4">
        <f t="shared" si="436"/>
        <v>7.8049715349349125</v>
      </c>
      <c r="EC153" s="4">
        <f t="shared" si="591"/>
        <v>7.8049715349349125</v>
      </c>
      <c r="EE153" s="4">
        <f t="shared" si="592"/>
        <v>42.597094971370993</v>
      </c>
      <c r="EF153" s="4">
        <f t="shared" si="593"/>
        <v>2.2360679774997898</v>
      </c>
      <c r="EG153" s="4">
        <f t="shared" si="594"/>
        <v>0.1283059810021511</v>
      </c>
      <c r="EJ153" s="4">
        <f t="shared" si="595"/>
        <v>0.1283059810021511</v>
      </c>
      <c r="EK153" s="4">
        <f t="shared" si="596"/>
        <v>0.27030640428738761</v>
      </c>
      <c r="EL153" s="4">
        <f t="shared" si="597"/>
        <v>4.6250225833637622</v>
      </c>
      <c r="EM153" s="4">
        <f t="shared" si="598"/>
        <v>6.4163901408082813</v>
      </c>
      <c r="EN153" s="4">
        <f t="shared" si="599"/>
        <v>186.00290502862896</v>
      </c>
      <c r="EO153" s="4">
        <f t="shared" si="600"/>
        <v>76.199999999999989</v>
      </c>
      <c r="EP153" s="4">
        <f t="shared" si="601"/>
        <v>3.807121106173361E-5</v>
      </c>
      <c r="EQ153" s="4">
        <f t="shared" si="602"/>
        <v>6.824109707617299</v>
      </c>
      <c r="ER153" s="4" t="e">
        <f t="shared" si="603"/>
        <v>#REF!</v>
      </c>
      <c r="ES153" s="4" t="e">
        <f t="shared" si="604"/>
        <v>#REF!</v>
      </c>
      <c r="ET153" s="4" t="e">
        <f t="shared" si="605"/>
        <v>#REF!</v>
      </c>
      <c r="EV153" s="4" t="e">
        <f t="shared" si="489"/>
        <v>#REF!</v>
      </c>
      <c r="FA153" s="23" t="e">
        <f t="shared" si="490"/>
        <v>#REF!</v>
      </c>
      <c r="FB153" s="23" t="e">
        <f t="shared" si="606"/>
        <v>#REF!</v>
      </c>
      <c r="FC153" s="23">
        <f t="shared" si="527"/>
        <v>1.4</v>
      </c>
      <c r="FD153" s="23" t="e">
        <f t="shared" si="492"/>
        <v>#REF!</v>
      </c>
      <c r="FE153" s="23" t="e">
        <f t="shared" si="493"/>
        <v>#REF!</v>
      </c>
      <c r="FF153" s="23" t="e">
        <f t="shared" si="494"/>
        <v>#REF!</v>
      </c>
      <c r="FG153" s="23" t="e">
        <f t="shared" si="533"/>
        <v>#REF!</v>
      </c>
      <c r="FH153" s="23"/>
      <c r="FR153" s="4">
        <f t="shared" si="607"/>
        <v>1.25</v>
      </c>
      <c r="FS153" s="4">
        <f t="shared" si="608"/>
        <v>0.87222222222222201</v>
      </c>
      <c r="FT153" s="4">
        <f t="shared" si="609"/>
        <v>0</v>
      </c>
      <c r="FU153" s="4">
        <f t="shared" si="610"/>
        <v>497.42764353113307</v>
      </c>
    </row>
    <row r="154" spans="1:177" ht="12" customHeight="1" x14ac:dyDescent="0.3">
      <c r="B154" s="24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>
        <v>1</v>
      </c>
      <c r="AB154" s="7"/>
      <c r="AC154" s="7"/>
      <c r="AD154" s="7"/>
      <c r="AJ154" s="25"/>
      <c r="AK154" s="38">
        <f t="shared" si="480"/>
        <v>0</v>
      </c>
      <c r="AS154" s="4" t="e">
        <f t="shared" si="549"/>
        <v>#DIV/0!</v>
      </c>
      <c r="AY154" s="4" t="e">
        <f t="shared" ref="AY154:AY167" si="627">MIN(1.5, 0.75+0.25*MIN(3,MAX(1,I154/G154))+0.4*MIN(1,(40*2*PI()*Y154^2/4/AA154/L154)/G154))</f>
        <v>#DIV/0!</v>
      </c>
      <c r="AZ154" s="4" t="e">
        <f>(3*#REF!+30)*AY154*F154^0.5</f>
        <v>#REF!</v>
      </c>
      <c r="BP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DB154" s="4">
        <f t="shared" si="518"/>
        <v>0</v>
      </c>
      <c r="DF154" s="4" t="e">
        <f t="shared" si="582"/>
        <v>#DIV/0!</v>
      </c>
      <c r="DG154" s="4">
        <f t="shared" si="519"/>
        <v>0</v>
      </c>
      <c r="DL154" s="38" t="e">
        <f t="shared" si="584"/>
        <v>#DIV/0!</v>
      </c>
      <c r="DM154" s="4" t="e">
        <f t="shared" si="623"/>
        <v>#DIV/0!</v>
      </c>
      <c r="DO154" s="4">
        <f t="shared" si="624"/>
        <v>0</v>
      </c>
      <c r="DY154" s="25"/>
      <c r="EE154" s="4">
        <f t="shared" si="592"/>
        <v>0</v>
      </c>
      <c r="EG154" s="4" t="e">
        <f t="shared" si="594"/>
        <v>#DIV/0!</v>
      </c>
      <c r="EL154" s="4">
        <f t="shared" si="521"/>
        <v>0</v>
      </c>
      <c r="EN154" s="4">
        <f t="shared" ref="EN154:EN156" si="628">MAX(0,DC154*EN$9-EE154)</f>
        <v>0</v>
      </c>
      <c r="EO154" s="4">
        <f t="shared" ref="EO154:EO156" si="629">MAX(0,DC154-EE154-EN154)</f>
        <v>0</v>
      </c>
      <c r="FA154" s="23"/>
      <c r="FB154" s="23"/>
      <c r="FC154" s="23"/>
      <c r="FD154" s="23"/>
      <c r="FE154" s="23"/>
      <c r="FF154" s="23"/>
      <c r="FG154" s="23"/>
      <c r="FH154" s="23"/>
      <c r="FR154" s="4">
        <f t="shared" si="607"/>
        <v>1.25</v>
      </c>
      <c r="FS154" s="4" t="e">
        <f t="shared" si="608"/>
        <v>#DIV/0!</v>
      </c>
      <c r="FT154" s="4" t="e">
        <f t="shared" si="609"/>
        <v>#DIV/0!</v>
      </c>
      <c r="FU154" s="4" t="e">
        <f t="shared" si="610"/>
        <v>#DIV/0!</v>
      </c>
    </row>
    <row r="155" spans="1:177" ht="12" customHeight="1" x14ac:dyDescent="0.3">
      <c r="B155" s="24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>
        <v>1</v>
      </c>
      <c r="AB155" s="7"/>
      <c r="AC155" s="7"/>
      <c r="AD155" s="7"/>
      <c r="AJ155" s="25"/>
      <c r="AK155" s="38">
        <f t="shared" si="480"/>
        <v>0</v>
      </c>
      <c r="AS155" s="4" t="e">
        <f t="shared" si="549"/>
        <v>#DIV/0!</v>
      </c>
      <c r="AY155" s="4" t="e">
        <f t="shared" si="627"/>
        <v>#DIV/0!</v>
      </c>
      <c r="AZ155" s="4" t="e">
        <f>(3*#REF!+30)*AY155*F155^0.5</f>
        <v>#REF!</v>
      </c>
      <c r="BC155" s="4" t="e">
        <f>8/3*T155*U155^2/(S155-G155)/G155</f>
        <v>#DIV/0!</v>
      </c>
      <c r="BP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DB155" s="4">
        <f t="shared" si="518"/>
        <v>0</v>
      </c>
      <c r="DF155" s="4" t="e">
        <f t="shared" si="582"/>
        <v>#DIV/0!</v>
      </c>
      <c r="DG155" s="4">
        <f t="shared" si="519"/>
        <v>0</v>
      </c>
      <c r="DL155" s="38" t="e">
        <f t="shared" si="584"/>
        <v>#DIV/0!</v>
      </c>
      <c r="DM155" s="4" t="e">
        <f t="shared" si="623"/>
        <v>#DIV/0!</v>
      </c>
      <c r="DO155" s="4">
        <f t="shared" si="624"/>
        <v>0</v>
      </c>
      <c r="DY155" s="25"/>
      <c r="EE155" s="4">
        <f t="shared" si="592"/>
        <v>0</v>
      </c>
      <c r="EG155" s="4" t="e">
        <f t="shared" si="594"/>
        <v>#DIV/0!</v>
      </c>
      <c r="EL155" s="4">
        <f t="shared" si="521"/>
        <v>0</v>
      </c>
      <c r="EN155" s="4">
        <f t="shared" si="628"/>
        <v>0</v>
      </c>
      <c r="EO155" s="4">
        <f t="shared" si="629"/>
        <v>0</v>
      </c>
      <c r="FA155" s="23"/>
      <c r="FB155" s="23"/>
      <c r="FC155" s="23"/>
      <c r="FD155" s="23"/>
      <c r="FE155" s="23"/>
      <c r="FF155" s="23"/>
      <c r="FG155" s="23"/>
      <c r="FH155" s="23"/>
      <c r="FR155" s="4">
        <f t="shared" si="607"/>
        <v>1.25</v>
      </c>
      <c r="FS155" s="4" t="e">
        <f t="shared" si="608"/>
        <v>#DIV/0!</v>
      </c>
      <c r="FT155" s="4" t="e">
        <f t="shared" si="609"/>
        <v>#DIV/0!</v>
      </c>
      <c r="FU155" s="4" t="e">
        <f t="shared" si="610"/>
        <v>#DIV/0!</v>
      </c>
    </row>
    <row r="156" spans="1:177" ht="12" customHeight="1" x14ac:dyDescent="0.3">
      <c r="A156" s="4">
        <v>4</v>
      </c>
      <c r="B156" s="24" t="s">
        <v>307</v>
      </c>
      <c r="C156" s="4" t="s">
        <v>112</v>
      </c>
      <c r="D156" s="7">
        <v>447.7</v>
      </c>
      <c r="E156" s="7">
        <v>888</v>
      </c>
      <c r="F156" s="7">
        <v>24.2</v>
      </c>
      <c r="G156" s="37">
        <v>57.3</v>
      </c>
      <c r="H156" s="7">
        <v>350</v>
      </c>
      <c r="I156" s="7">
        <f t="shared" ref="I156:I167" si="630">(H156-G156)/2</f>
        <v>146.35</v>
      </c>
      <c r="J156" s="7" t="e">
        <f>958-20-#REF!</f>
        <v>#REF!</v>
      </c>
      <c r="K156" s="7">
        <v>0</v>
      </c>
      <c r="L156" s="7">
        <v>1</v>
      </c>
      <c r="M156" s="7">
        <f>958-105</f>
        <v>853</v>
      </c>
      <c r="N156" s="7">
        <f t="shared" ref="N156:N167" si="631">I156/G156+0.5</f>
        <v>3.0541012216404888</v>
      </c>
      <c r="O156" s="7">
        <f t="shared" ref="O156:O167" si="632">I156/G156+0.5</f>
        <v>3.0541012216404888</v>
      </c>
      <c r="P156" s="7">
        <f>10324/2581</f>
        <v>4</v>
      </c>
      <c r="Q156" s="7">
        <f>10324/2581</f>
        <v>4</v>
      </c>
      <c r="R156" s="7">
        <f t="shared" ref="R156:R167" si="633">Q156+1</f>
        <v>5</v>
      </c>
      <c r="S156" s="7">
        <f t="shared" ref="S156:S167" si="634">G156*R156^0.5</f>
        <v>128.12669511073796</v>
      </c>
      <c r="T156" s="7">
        <f t="shared" ref="T156:T167" si="635">D156</f>
        <v>447.7</v>
      </c>
      <c r="U156" s="7">
        <v>20</v>
      </c>
      <c r="V156" s="7"/>
      <c r="W156" s="32" t="s">
        <v>308</v>
      </c>
      <c r="X156" s="7"/>
      <c r="Y156" s="7"/>
      <c r="Z156" s="7"/>
      <c r="AA156" s="7">
        <v>1</v>
      </c>
      <c r="AB156" s="7"/>
      <c r="AC156" s="7"/>
      <c r="AD156" s="7"/>
      <c r="AE156" s="4">
        <f t="shared" ref="AE156:AE167" si="636">E156</f>
        <v>888</v>
      </c>
      <c r="AF156" s="4">
        <f t="shared" ref="AF156:AF167" si="637">MIN(9*E156^2,H156*3*E156)/(9*E156^2)</f>
        <v>0.13138138138138139</v>
      </c>
      <c r="AG156" s="4">
        <f t="shared" ref="AG156:AG167" si="638">MIN(10*F156^0.5*E156^1.5,3.9*F156^0.5*E156^(5/3))/(PI()/4*G156^2)</f>
        <v>504.810066148418</v>
      </c>
      <c r="AH156" s="4">
        <f t="shared" ref="AH156:AH167" si="639">MIN(0.7+0.3*H156/2/1.5/E156,1)</f>
        <v>0.73941441441441436</v>
      </c>
      <c r="AI156" s="4">
        <v>1.25</v>
      </c>
      <c r="AJ156" s="25">
        <v>1</v>
      </c>
      <c r="AK156" s="38">
        <f>AF156*AH156*AI156*AJ156*AG156</f>
        <v>61.299898558592346</v>
      </c>
      <c r="AN156" s="38">
        <f t="shared" ref="AN156:AN219" si="640">AJ156* (F156^0.5/AE156^0.5)/(PI()/4*G156^2)/L156/0.72 *(0.7+(MIN(I156,M156)+0.5*G156)/5/E156) *(3*H156*E156)</f>
        <v>61.299898558592375</v>
      </c>
      <c r="AO156" s="38">
        <f t="shared" si="548"/>
        <v>0.99999999999999956</v>
      </c>
      <c r="AP156" s="38">
        <f t="shared" ref="AP156:AP219" si="641">AT156/AN156</f>
        <v>4.8227975120092603</v>
      </c>
      <c r="AQ156" s="4">
        <f t="shared" ref="AQ156:AQ219" si="642">IF(AP156&lt;1,1,0)</f>
        <v>0</v>
      </c>
      <c r="AR156" s="4" t="e">
        <f>#REF!/G156*F156^0.5/0.19</f>
        <v>#REF!</v>
      </c>
      <c r="AS156" s="4">
        <f t="shared" si="549"/>
        <v>1</v>
      </c>
      <c r="AT156" s="38">
        <f t="shared" ref="AT156:AT167" si="643">2*F156*N156*P156^0.5*AS156*0.7/0.7</f>
        <v>295.63699825479932</v>
      </c>
      <c r="AU156" s="4">
        <f t="shared" ref="AU156:AU167" si="644">MAX(1-0.7*Q156/5,0.3)</f>
        <v>0.44000000000000006</v>
      </c>
      <c r="AV156" s="4" t="e">
        <f>AU156*D156*#REF!/(D156*G156/2.75/F156^0.5)</f>
        <v>#REF!</v>
      </c>
      <c r="AW156" s="4" t="e">
        <f t="shared" ref="AW156:AW167" si="645">AT156+AV156</f>
        <v>#REF!</v>
      </c>
      <c r="AY156" s="4">
        <f t="shared" si="627"/>
        <v>1.3885253054101221</v>
      </c>
      <c r="AZ156" s="4" t="e">
        <f>(3*#REF!+30)*AY156*F156^0.5</f>
        <v>#REF!</v>
      </c>
      <c r="BB156" s="4">
        <f t="shared" ref="BB156:BB167" si="646">3.4/PI()^0.5*F156*N156*Q156^0.5*AS156</f>
        <v>283.55203537536278</v>
      </c>
      <c r="BC156" s="4">
        <f t="shared" ref="BC156:BC167" si="647">8/3*T156*U156^2/(S156-G156-22)/G156*(S156^2-G156^2)/(S156^2-(G156+22)^2)</f>
        <v>221.33552459284101</v>
      </c>
      <c r="BD156" s="4">
        <f>BC156/BB156</f>
        <v>0.78058168159449004</v>
      </c>
      <c r="BL156" s="4">
        <f t="shared" ref="BL156:BL167" si="648">IF(K156=0,I156,MIN(K156/2,I156))</f>
        <v>146.35</v>
      </c>
      <c r="BP156" s="9"/>
      <c r="BR156" s="9"/>
      <c r="BS156" s="9"/>
      <c r="BT156" s="9" t="e">
        <f t="shared" ref="BT156:BT167" si="649">IF(K156=0,MIN(I156,J156),MIN(K156/2,I156,J156))</f>
        <v>#REF!</v>
      </c>
      <c r="BU156" s="9">
        <f t="shared" ref="BU156:BU167" si="650">MAX(K156/2,I156)</f>
        <v>146.35</v>
      </c>
      <c r="BV156" s="9" t="e">
        <f t="shared" ref="BV156:BV167" si="651">(BT156/G156)^0.5*(BU156/BT156)^0.15</f>
        <v>#REF!</v>
      </c>
      <c r="BW156" s="9">
        <v>0</v>
      </c>
      <c r="BX156" s="9">
        <f t="shared" ref="BX156:BX167" si="652">MIN(PI()*Y156^2/4*Z156*2/L156/G156/MAX(0.01,AA156),0.05)</f>
        <v>0</v>
      </c>
      <c r="BY156" s="9">
        <f t="shared" ref="BY156:BY167" si="653">MAX(0,BW156*(BX156-0.5/50))</f>
        <v>0</v>
      </c>
      <c r="BZ156" s="9">
        <f t="shared" ref="BZ156:BZ167" si="654">MIN(1,(25/G156)^0.3)</f>
        <v>0.77971450958075206</v>
      </c>
      <c r="CA156" s="9">
        <f t="shared" ref="CA156:CA167" si="655">IF(D156&gt;=800,0.68,IF(D156&gt;=700,0.75-(D156-700)*0.07/100,IF(D156&gt;=600,0.85-(D156-600)*0.1/100,IF(D156&gt;=500,1-(D156-500)*0.15/100,1.2-(D156-400)*0.2/100))))</f>
        <v>1.1046</v>
      </c>
      <c r="CB156" s="9">
        <f t="shared" ref="CB156:CB167" si="656">1.75*BZ156*CA156*(F156/25)^0.5</f>
        <v>1.4829154235940361</v>
      </c>
      <c r="CC156" s="9" t="e">
        <f t="shared" ref="CC156:CC167" si="657">MIN((BV156+BY156)*CB156,2.5*CB156,F156^0.5)</f>
        <v>#REF!</v>
      </c>
      <c r="CD156" s="9">
        <v>1</v>
      </c>
      <c r="CE156" s="9" t="e">
        <f>4*CC156*#REF!+60*CC156</f>
        <v>#REF!</v>
      </c>
      <c r="DB156" s="4">
        <f t="shared" si="518"/>
        <v>0</v>
      </c>
      <c r="DC156" s="4" t="e">
        <f>#REF!</f>
        <v>#REF!</v>
      </c>
      <c r="DF156" s="4">
        <f t="shared" si="582"/>
        <v>2.6516412632020574E-5</v>
      </c>
      <c r="DG156" s="4" t="e">
        <f t="shared" si="519"/>
        <v>#REF!</v>
      </c>
      <c r="DL156" s="38">
        <f t="shared" si="584"/>
        <v>61.299898558592375</v>
      </c>
      <c r="DM156" s="4" t="e">
        <f t="shared" si="623"/>
        <v>#REF!</v>
      </c>
      <c r="DO156" s="4">
        <f t="shared" si="624"/>
        <v>61.299898558592375</v>
      </c>
      <c r="DS156" s="4" t="e">
        <f t="shared" ref="DS156:DS167" si="658">IF(J156&gt;1*G156,0.85,1)</f>
        <v>#REF!</v>
      </c>
      <c r="DT156" s="4">
        <f t="shared" ref="DT156:DT167" si="659">MIN(1,MAX(0.7,(1-0.1*(BL156-1*G156)/G156)))</f>
        <v>0.84458987783595108</v>
      </c>
      <c r="DU156" s="4">
        <f t="shared" ref="DU156:DU167" si="660">MIN(1,MAX(0.7,1-0.3*(PI()*Y156^2/4*Z156*2-0.25*PI()/4*G156^2)/(PI()/4*G156^2)))</f>
        <v>1</v>
      </c>
      <c r="DV156" s="4">
        <f t="shared" ref="DV156:DV167" si="661">IF(DT156*DU156&lt;0.7,0.7,DT156*DU156)</f>
        <v>0.84458987783595108</v>
      </c>
      <c r="DY156" s="25"/>
      <c r="EB156" s="4" t="e">
        <f t="shared" ref="EB156:EB167" si="662">IF(G156&lt;22.2,1.1*5*(F156/30)^0.5,IF(G156&gt;=31.8,0.9*5*(F156/30)^0.5,1*5*(F156/30)^0.5))/DV156/DS156</f>
        <v>#REF!</v>
      </c>
      <c r="EE156" s="4">
        <f t="shared" si="592"/>
        <v>128.12669511073796</v>
      </c>
      <c r="EF156" s="4">
        <f t="shared" si="520"/>
        <v>2.2360679774997898</v>
      </c>
      <c r="EG156" s="4">
        <f t="shared" si="594"/>
        <v>8.4924666039829386E-2</v>
      </c>
      <c r="EJ156" s="4">
        <f t="shared" ref="EJ156:EJ167" si="663">EG156</f>
        <v>8.4924666039829386E-2</v>
      </c>
      <c r="EK156" s="4">
        <f t="shared" ref="EK156:EK167" si="664">MIN(0.999, EJ156/(0.3*(F156/30)^0.5))</f>
        <v>0.31518499753613483</v>
      </c>
      <c r="EL156" s="4" t="e">
        <f t="shared" si="521"/>
        <v>#REF!</v>
      </c>
      <c r="EM156" s="4" t="e">
        <f t="shared" ref="EM156:EM167" si="665">EB156/1.4*(1-EK156^1.4)/(1-EK156)</f>
        <v>#REF!</v>
      </c>
      <c r="EN156" s="4" t="e">
        <f t="shared" si="628"/>
        <v>#REF!</v>
      </c>
      <c r="EO156" s="4" t="e">
        <f t="shared" si="629"/>
        <v>#REF!</v>
      </c>
      <c r="EP156" s="4" t="e">
        <f t="shared" ref="EP156:EP167" si="666">EO156/(1-0.3*(F156/30)^0.5)/200000/G156</f>
        <v>#REF!</v>
      </c>
      <c r="EQ156" s="4" t="e">
        <f t="shared" ref="EQ156:EQ167" si="667">MAX(0.5*EB156, (1-2*EP156*(EE156*EL156+EN156*EM156))/(1/EB156+EP156*EO156))</f>
        <v>#REF!</v>
      </c>
      <c r="ER156" s="4" t="e">
        <f t="shared" ref="ER156:ER167" si="668">MIN(4/G156*(1*EL156*EE156+EM156*EN156+EO156*EQ156)+DO156,MAX(D156,V156))</f>
        <v>#REF!</v>
      </c>
      <c r="FA156" s="23"/>
      <c r="FB156" s="23"/>
      <c r="FC156" s="23"/>
      <c r="FD156" s="23"/>
      <c r="FE156" s="23"/>
      <c r="FF156" s="23"/>
      <c r="FG156" s="23"/>
      <c r="FH156" s="23"/>
      <c r="FR156" s="4">
        <f t="shared" si="607"/>
        <v>1</v>
      </c>
      <c r="FS156" s="4">
        <f t="shared" si="608"/>
        <v>1.0833333333333333</v>
      </c>
      <c r="FT156" s="4">
        <f t="shared" si="609"/>
        <v>0</v>
      </c>
      <c r="FU156" s="4">
        <f t="shared" si="610"/>
        <v>210.64559565541157</v>
      </c>
    </row>
    <row r="157" spans="1:177" ht="12" customHeight="1" x14ac:dyDescent="0.3">
      <c r="B157" s="24" t="s">
        <v>309</v>
      </c>
      <c r="C157" s="4" t="s">
        <v>113</v>
      </c>
      <c r="D157" s="7">
        <v>447.7</v>
      </c>
      <c r="E157" s="7">
        <v>684</v>
      </c>
      <c r="F157" s="7">
        <v>24.2</v>
      </c>
      <c r="G157" s="37">
        <v>57.3</v>
      </c>
      <c r="H157" s="7">
        <v>350</v>
      </c>
      <c r="I157" s="7">
        <f t="shared" si="630"/>
        <v>146.35</v>
      </c>
      <c r="J157" s="7" t="e">
        <f>958-20-#REF!</f>
        <v>#REF!</v>
      </c>
      <c r="K157" s="7">
        <v>0</v>
      </c>
      <c r="L157" s="7">
        <v>1</v>
      </c>
      <c r="M157" s="7">
        <f t="shared" ref="M157:M159" si="669">958-105</f>
        <v>853</v>
      </c>
      <c r="N157" s="7">
        <f t="shared" si="631"/>
        <v>3.0541012216404888</v>
      </c>
      <c r="O157" s="7">
        <f t="shared" si="632"/>
        <v>3.0541012216404888</v>
      </c>
      <c r="P157" s="7">
        <f t="shared" ref="P157:Q163" si="670">10324/2581</f>
        <v>4</v>
      </c>
      <c r="Q157" s="7">
        <f t="shared" si="670"/>
        <v>4</v>
      </c>
      <c r="R157" s="7">
        <f t="shared" si="633"/>
        <v>5</v>
      </c>
      <c r="S157" s="7">
        <f t="shared" si="634"/>
        <v>128.12669511073796</v>
      </c>
      <c r="T157" s="7">
        <f t="shared" si="635"/>
        <v>447.7</v>
      </c>
      <c r="U157" s="7">
        <v>20</v>
      </c>
      <c r="V157" s="7"/>
      <c r="W157" s="32" t="s">
        <v>308</v>
      </c>
      <c r="X157" s="7"/>
      <c r="Y157" s="7"/>
      <c r="Z157" s="7"/>
      <c r="AA157" s="7">
        <v>1</v>
      </c>
      <c r="AB157" s="7"/>
      <c r="AC157" s="7"/>
      <c r="AD157" s="7"/>
      <c r="AE157" s="4">
        <f t="shared" si="636"/>
        <v>684</v>
      </c>
      <c r="AF157" s="4">
        <f t="shared" si="637"/>
        <v>0.1705653021442495</v>
      </c>
      <c r="AG157" s="4">
        <f t="shared" si="638"/>
        <v>341.26575496815576</v>
      </c>
      <c r="AH157" s="4">
        <f t="shared" si="639"/>
        <v>0.75116959064327482</v>
      </c>
      <c r="AI157" s="4">
        <v>1.25</v>
      </c>
      <c r="AJ157" s="25">
        <v>1</v>
      </c>
      <c r="AK157" s="38">
        <f t="shared" ref="AK157:AK167" si="671">AF157*AH157*AI157*AJ157*AG157</f>
        <v>54.655190126095995</v>
      </c>
      <c r="AN157" s="38">
        <f t="shared" si="640"/>
        <v>54.655190126096059</v>
      </c>
      <c r="AO157" s="38">
        <f t="shared" si="548"/>
        <v>0.99999999999999878</v>
      </c>
      <c r="AP157" s="38">
        <f t="shared" si="641"/>
        <v>5.4091294453963004</v>
      </c>
      <c r="AQ157" s="4">
        <f t="shared" si="642"/>
        <v>0</v>
      </c>
      <c r="AR157" s="4" t="e">
        <f>#REF!/G157*F157^0.5/0.19</f>
        <v>#REF!</v>
      </c>
      <c r="AS157" s="4">
        <f t="shared" si="549"/>
        <v>1</v>
      </c>
      <c r="AT157" s="38">
        <f t="shared" si="643"/>
        <v>295.63699825479932</v>
      </c>
      <c r="AU157" s="4">
        <f t="shared" si="644"/>
        <v>0.44000000000000006</v>
      </c>
      <c r="AV157" s="4" t="e">
        <f>AU157*D157*#REF!/(D157*G157/2.75/F157^0.5)</f>
        <v>#REF!</v>
      </c>
      <c r="AW157" s="4" t="e">
        <f t="shared" si="645"/>
        <v>#REF!</v>
      </c>
      <c r="AY157" s="4">
        <f t="shared" si="627"/>
        <v>1.3885253054101221</v>
      </c>
      <c r="AZ157" s="4" t="e">
        <f>(3*#REF!+30)*AY157*F157^0.5</f>
        <v>#REF!</v>
      </c>
      <c r="BB157" s="4">
        <f t="shared" si="646"/>
        <v>283.55203537536278</v>
      </c>
      <c r="BC157" s="4">
        <f t="shared" si="647"/>
        <v>221.33552459284101</v>
      </c>
      <c r="BD157" s="4">
        <f t="shared" ref="BD157:BD221" si="672">BC157/BB157</f>
        <v>0.78058168159449004</v>
      </c>
      <c r="BL157" s="4">
        <f t="shared" si="648"/>
        <v>146.35</v>
      </c>
      <c r="BP157" s="9"/>
      <c r="BR157" s="9"/>
      <c r="BS157" s="9"/>
      <c r="BT157" s="9" t="e">
        <f t="shared" si="649"/>
        <v>#REF!</v>
      </c>
      <c r="BU157" s="9">
        <f t="shared" si="650"/>
        <v>146.35</v>
      </c>
      <c r="BV157" s="9" t="e">
        <f t="shared" si="651"/>
        <v>#REF!</v>
      </c>
      <c r="BW157" s="9">
        <v>0</v>
      </c>
      <c r="BX157" s="9">
        <f t="shared" si="652"/>
        <v>0</v>
      </c>
      <c r="BY157" s="9">
        <f t="shared" si="653"/>
        <v>0</v>
      </c>
      <c r="BZ157" s="9">
        <f t="shared" si="654"/>
        <v>0.77971450958075206</v>
      </c>
      <c r="CA157" s="9">
        <f t="shared" si="655"/>
        <v>1.1046</v>
      </c>
      <c r="CB157" s="9">
        <f t="shared" si="656"/>
        <v>1.4829154235940361</v>
      </c>
      <c r="CC157" s="9" t="e">
        <f t="shared" si="657"/>
        <v>#REF!</v>
      </c>
      <c r="CD157" s="9">
        <v>1</v>
      </c>
      <c r="CE157" s="9" t="e">
        <f>4*CC157*#REF!+60*CC157</f>
        <v>#REF!</v>
      </c>
      <c r="DB157" s="4">
        <f t="shared" si="518"/>
        <v>0</v>
      </c>
      <c r="DC157" s="4" t="e">
        <f>#REF!</f>
        <v>#REF!</v>
      </c>
      <c r="DF157" s="4">
        <f t="shared" si="582"/>
        <v>2.0424804324664502E-5</v>
      </c>
      <c r="DG157" s="4" t="e">
        <f t="shared" si="519"/>
        <v>#REF!</v>
      </c>
      <c r="DL157" s="38">
        <f t="shared" si="584"/>
        <v>54.655190126096059</v>
      </c>
      <c r="DM157" s="4" t="e">
        <f t="shared" si="623"/>
        <v>#REF!</v>
      </c>
      <c r="DO157" s="4">
        <f t="shared" si="624"/>
        <v>54.655190126096059</v>
      </c>
      <c r="DS157" s="4" t="e">
        <f t="shared" si="658"/>
        <v>#REF!</v>
      </c>
      <c r="DT157" s="4">
        <f t="shared" si="659"/>
        <v>0.84458987783595108</v>
      </c>
      <c r="DU157" s="4">
        <f t="shared" si="660"/>
        <v>1</v>
      </c>
      <c r="DV157" s="4">
        <f t="shared" si="661"/>
        <v>0.84458987783595108</v>
      </c>
      <c r="DY157" s="25"/>
      <c r="EB157" s="4" t="e">
        <f t="shared" si="662"/>
        <v>#REF!</v>
      </c>
      <c r="EE157" s="4">
        <f t="shared" si="592"/>
        <v>128.12669511073796</v>
      </c>
      <c r="EF157" s="4">
        <f t="shared" si="520"/>
        <v>2.2360679774997898</v>
      </c>
      <c r="EG157" s="4">
        <f t="shared" si="594"/>
        <v>7.5719110111830371E-2</v>
      </c>
      <c r="EJ157" s="4">
        <f t="shared" si="663"/>
        <v>7.5719110111830371E-2</v>
      </c>
      <c r="EK157" s="4">
        <f t="shared" si="664"/>
        <v>0.28101997507817955</v>
      </c>
      <c r="EL157" s="4" t="e">
        <f t="shared" si="521"/>
        <v>#REF!</v>
      </c>
      <c r="EM157" s="4" t="e">
        <f t="shared" si="665"/>
        <v>#REF!</v>
      </c>
      <c r="EN157" s="4" t="e">
        <f t="shared" ref="EN157:EN221" si="673">MAX(0,DC157*EN$9-EE157)</f>
        <v>#REF!</v>
      </c>
      <c r="EO157" s="4" t="e">
        <f t="shared" ref="EO157:EO221" si="674">MAX(0,DC157-EE157-EN157)</f>
        <v>#REF!</v>
      </c>
      <c r="EP157" s="4" t="e">
        <f t="shared" si="666"/>
        <v>#REF!</v>
      </c>
      <c r="EQ157" s="4" t="e">
        <f t="shared" si="667"/>
        <v>#REF!</v>
      </c>
      <c r="ER157" s="4" t="e">
        <f t="shared" si="668"/>
        <v>#REF!</v>
      </c>
      <c r="FA157" s="23"/>
      <c r="FB157" s="23"/>
      <c r="FC157" s="23"/>
      <c r="FD157" s="23"/>
      <c r="FE157" s="23"/>
      <c r="FF157" s="23"/>
      <c r="FG157" s="23"/>
      <c r="FH157" s="23"/>
      <c r="FR157" s="4">
        <f t="shared" si="607"/>
        <v>1</v>
      </c>
      <c r="FS157" s="4">
        <f t="shared" si="608"/>
        <v>1.0833333333333333</v>
      </c>
      <c r="FT157" s="4">
        <f t="shared" si="609"/>
        <v>0</v>
      </c>
      <c r="FU157" s="4">
        <f t="shared" si="610"/>
        <v>162.25403989673589</v>
      </c>
    </row>
    <row r="158" spans="1:177" ht="12" customHeight="1" x14ac:dyDescent="0.3">
      <c r="B158" s="24"/>
      <c r="C158" s="4" t="s">
        <v>114</v>
      </c>
      <c r="D158" s="7">
        <v>447.7</v>
      </c>
      <c r="E158" s="7">
        <v>684</v>
      </c>
      <c r="F158" s="7">
        <v>24.2</v>
      </c>
      <c r="G158" s="37">
        <v>57.3</v>
      </c>
      <c r="H158" s="7">
        <v>350</v>
      </c>
      <c r="I158" s="7">
        <f t="shared" si="630"/>
        <v>146.35</v>
      </c>
      <c r="J158" s="7" t="e">
        <f>958-20-#REF!</f>
        <v>#REF!</v>
      </c>
      <c r="K158" s="7">
        <v>0</v>
      </c>
      <c r="L158" s="7">
        <v>1</v>
      </c>
      <c r="M158" s="7">
        <f t="shared" si="669"/>
        <v>853</v>
      </c>
      <c r="N158" s="7">
        <f t="shared" si="631"/>
        <v>3.0541012216404888</v>
      </c>
      <c r="O158" s="7">
        <f t="shared" si="632"/>
        <v>3.0541012216404888</v>
      </c>
      <c r="P158" s="7">
        <f t="shared" si="670"/>
        <v>4</v>
      </c>
      <c r="Q158" s="7">
        <f t="shared" si="670"/>
        <v>4</v>
      </c>
      <c r="R158" s="7">
        <f t="shared" si="633"/>
        <v>5</v>
      </c>
      <c r="S158" s="7">
        <f t="shared" si="634"/>
        <v>128.12669511073796</v>
      </c>
      <c r="T158" s="7">
        <f t="shared" si="635"/>
        <v>447.7</v>
      </c>
      <c r="U158" s="7">
        <v>20</v>
      </c>
      <c r="V158" s="7"/>
      <c r="W158" s="32" t="s">
        <v>308</v>
      </c>
      <c r="X158" s="7"/>
      <c r="Y158" s="7"/>
      <c r="Z158" s="7"/>
      <c r="AA158" s="7">
        <v>1</v>
      </c>
      <c r="AB158" s="7"/>
      <c r="AC158" s="7"/>
      <c r="AD158" s="7"/>
      <c r="AE158" s="4">
        <f t="shared" si="636"/>
        <v>684</v>
      </c>
      <c r="AF158" s="4">
        <f t="shared" si="637"/>
        <v>0.1705653021442495</v>
      </c>
      <c r="AG158" s="4">
        <f t="shared" si="638"/>
        <v>341.26575496815576</v>
      </c>
      <c r="AH158" s="4">
        <f t="shared" si="639"/>
        <v>0.75116959064327482</v>
      </c>
      <c r="AI158" s="4">
        <v>1.25</v>
      </c>
      <c r="AJ158" s="25">
        <v>1</v>
      </c>
      <c r="AK158" s="38">
        <f t="shared" si="671"/>
        <v>54.655190126095995</v>
      </c>
      <c r="AN158" s="38">
        <f t="shared" si="640"/>
        <v>54.655190126096059</v>
      </c>
      <c r="AO158" s="38">
        <f t="shared" si="548"/>
        <v>0.99999999999999878</v>
      </c>
      <c r="AP158" s="38">
        <f t="shared" si="641"/>
        <v>5.4091294453963004</v>
      </c>
      <c r="AQ158" s="4">
        <f t="shared" si="642"/>
        <v>0</v>
      </c>
      <c r="AR158" s="4" t="e">
        <f>#REF!/G158*F158^0.5/0.19</f>
        <v>#REF!</v>
      </c>
      <c r="AS158" s="4">
        <f t="shared" si="549"/>
        <v>1</v>
      </c>
      <c r="AT158" s="38">
        <f t="shared" si="643"/>
        <v>295.63699825479932</v>
      </c>
      <c r="AU158" s="4">
        <f t="shared" si="644"/>
        <v>0.44000000000000006</v>
      </c>
      <c r="AV158" s="4" t="e">
        <f>AU158*D158*#REF!/(D158*G158/2.75/F158^0.5)</f>
        <v>#REF!</v>
      </c>
      <c r="AW158" s="4" t="e">
        <f t="shared" si="645"/>
        <v>#REF!</v>
      </c>
      <c r="AY158" s="4">
        <f t="shared" si="627"/>
        <v>1.3885253054101221</v>
      </c>
      <c r="AZ158" s="4" t="e">
        <f>(3*#REF!+30)*AY158*F158^0.5</f>
        <v>#REF!</v>
      </c>
      <c r="BB158" s="4">
        <f t="shared" si="646"/>
        <v>283.55203537536278</v>
      </c>
      <c r="BC158" s="4">
        <f t="shared" si="647"/>
        <v>221.33552459284101</v>
      </c>
      <c r="BD158" s="4">
        <f t="shared" si="672"/>
        <v>0.78058168159449004</v>
      </c>
      <c r="BL158" s="4">
        <f t="shared" si="648"/>
        <v>146.35</v>
      </c>
      <c r="BP158" s="9"/>
      <c r="BR158" s="9"/>
      <c r="BS158" s="9"/>
      <c r="BT158" s="9" t="e">
        <f t="shared" si="649"/>
        <v>#REF!</v>
      </c>
      <c r="BU158" s="9">
        <f t="shared" si="650"/>
        <v>146.35</v>
      </c>
      <c r="BV158" s="9" t="e">
        <f t="shared" si="651"/>
        <v>#REF!</v>
      </c>
      <c r="BW158" s="9">
        <v>0</v>
      </c>
      <c r="BX158" s="9">
        <f t="shared" si="652"/>
        <v>0</v>
      </c>
      <c r="BY158" s="9">
        <f t="shared" si="653"/>
        <v>0</v>
      </c>
      <c r="BZ158" s="9">
        <f t="shared" si="654"/>
        <v>0.77971450958075206</v>
      </c>
      <c r="CA158" s="9">
        <f t="shared" si="655"/>
        <v>1.1046</v>
      </c>
      <c r="CB158" s="9">
        <f t="shared" si="656"/>
        <v>1.4829154235940361</v>
      </c>
      <c r="CC158" s="9" t="e">
        <f t="shared" si="657"/>
        <v>#REF!</v>
      </c>
      <c r="CD158" s="9">
        <v>1</v>
      </c>
      <c r="CE158" s="9" t="e">
        <f>4*CC158*#REF!+60*CC158</f>
        <v>#REF!</v>
      </c>
      <c r="DB158" s="4">
        <f t="shared" si="518"/>
        <v>0</v>
      </c>
      <c r="DC158" s="4" t="e">
        <f>#REF!</f>
        <v>#REF!</v>
      </c>
      <c r="DF158" s="4">
        <f t="shared" si="582"/>
        <v>2.0424804324664502E-5</v>
      </c>
      <c r="DG158" s="4" t="e">
        <f t="shared" si="519"/>
        <v>#REF!</v>
      </c>
      <c r="DL158" s="38">
        <f t="shared" si="584"/>
        <v>54.655190126096059</v>
      </c>
      <c r="DM158" s="4" t="e">
        <f t="shared" si="623"/>
        <v>#REF!</v>
      </c>
      <c r="DO158" s="4">
        <f t="shared" si="624"/>
        <v>54.655190126096059</v>
      </c>
      <c r="DS158" s="4" t="e">
        <f t="shared" si="658"/>
        <v>#REF!</v>
      </c>
      <c r="DT158" s="4">
        <f t="shared" si="659"/>
        <v>0.84458987783595108</v>
      </c>
      <c r="DU158" s="4">
        <f t="shared" si="660"/>
        <v>1</v>
      </c>
      <c r="DV158" s="4">
        <f t="shared" si="661"/>
        <v>0.84458987783595108</v>
      </c>
      <c r="DY158" s="25"/>
      <c r="EB158" s="4" t="e">
        <f t="shared" si="662"/>
        <v>#REF!</v>
      </c>
      <c r="EE158" s="4">
        <f t="shared" si="592"/>
        <v>128.12669511073796</v>
      </c>
      <c r="EF158" s="4">
        <f t="shared" si="520"/>
        <v>2.2360679774997898</v>
      </c>
      <c r="EG158" s="4">
        <f t="shared" si="594"/>
        <v>7.5719110111830371E-2</v>
      </c>
      <c r="EJ158" s="4">
        <f t="shared" si="663"/>
        <v>7.5719110111830371E-2</v>
      </c>
      <c r="EK158" s="4">
        <f t="shared" si="664"/>
        <v>0.28101997507817955</v>
      </c>
      <c r="EL158" s="4" t="e">
        <f t="shared" si="521"/>
        <v>#REF!</v>
      </c>
      <c r="EM158" s="4" t="e">
        <f t="shared" si="665"/>
        <v>#REF!</v>
      </c>
      <c r="EN158" s="4" t="e">
        <f t="shared" si="673"/>
        <v>#REF!</v>
      </c>
      <c r="EO158" s="4" t="e">
        <f t="shared" si="674"/>
        <v>#REF!</v>
      </c>
      <c r="EP158" s="4" t="e">
        <f t="shared" si="666"/>
        <v>#REF!</v>
      </c>
      <c r="EQ158" s="4" t="e">
        <f t="shared" si="667"/>
        <v>#REF!</v>
      </c>
      <c r="ER158" s="4" t="e">
        <f t="shared" si="668"/>
        <v>#REF!</v>
      </c>
      <c r="FA158" s="23"/>
      <c r="FB158" s="23"/>
      <c r="FC158" s="23"/>
      <c r="FD158" s="23"/>
      <c r="FE158" s="23"/>
      <c r="FF158" s="23"/>
      <c r="FG158" s="23"/>
      <c r="FH158" s="23"/>
      <c r="FR158" s="4">
        <f t="shared" si="607"/>
        <v>1</v>
      </c>
      <c r="FS158" s="4">
        <f t="shared" si="608"/>
        <v>1.0833333333333333</v>
      </c>
      <c r="FT158" s="4">
        <f t="shared" si="609"/>
        <v>0</v>
      </c>
      <c r="FU158" s="4">
        <f t="shared" si="610"/>
        <v>162.25403989673589</v>
      </c>
    </row>
    <row r="159" spans="1:177" ht="12" customHeight="1" x14ac:dyDescent="0.3">
      <c r="B159" s="24"/>
      <c r="C159" s="4" t="s">
        <v>115</v>
      </c>
      <c r="D159" s="7">
        <v>447.7</v>
      </c>
      <c r="E159" s="7">
        <v>479</v>
      </c>
      <c r="F159" s="7">
        <v>24.2</v>
      </c>
      <c r="G159" s="37">
        <v>57.3</v>
      </c>
      <c r="H159" s="7">
        <v>350</v>
      </c>
      <c r="I159" s="7">
        <f t="shared" si="630"/>
        <v>146.35</v>
      </c>
      <c r="J159" s="7" t="e">
        <f>958-20-#REF!</f>
        <v>#REF!</v>
      </c>
      <c r="K159" s="7">
        <v>0</v>
      </c>
      <c r="L159" s="7">
        <v>1</v>
      </c>
      <c r="M159" s="7">
        <f t="shared" si="669"/>
        <v>853</v>
      </c>
      <c r="N159" s="7">
        <f t="shared" si="631"/>
        <v>3.0541012216404888</v>
      </c>
      <c r="O159" s="7">
        <f t="shared" si="632"/>
        <v>3.0541012216404888</v>
      </c>
      <c r="P159" s="7">
        <f t="shared" si="670"/>
        <v>4</v>
      </c>
      <c r="Q159" s="7">
        <f t="shared" si="670"/>
        <v>4</v>
      </c>
      <c r="R159" s="7">
        <f t="shared" si="633"/>
        <v>5</v>
      </c>
      <c r="S159" s="7">
        <f t="shared" si="634"/>
        <v>128.12669511073796</v>
      </c>
      <c r="T159" s="7">
        <f t="shared" si="635"/>
        <v>447.7</v>
      </c>
      <c r="U159" s="7">
        <v>20</v>
      </c>
      <c r="V159" s="7">
        <f>309/2581*1000</f>
        <v>119.72103835722588</v>
      </c>
      <c r="W159" s="32"/>
      <c r="X159" s="7"/>
      <c r="Y159" s="7"/>
      <c r="Z159" s="7"/>
      <c r="AA159" s="7">
        <v>1</v>
      </c>
      <c r="AB159" s="7"/>
      <c r="AC159" s="7"/>
      <c r="AD159" s="7"/>
      <c r="AE159" s="4">
        <f t="shared" si="636"/>
        <v>479</v>
      </c>
      <c r="AF159" s="4">
        <f t="shared" si="637"/>
        <v>0.24356297842727906</v>
      </c>
      <c r="AG159" s="4">
        <f t="shared" si="638"/>
        <v>199.9916335695587</v>
      </c>
      <c r="AH159" s="4">
        <f t="shared" si="639"/>
        <v>0.77306889352818364</v>
      </c>
      <c r="AI159" s="4">
        <v>1.25</v>
      </c>
      <c r="AJ159" s="25">
        <v>1</v>
      </c>
      <c r="AK159" s="38">
        <f t="shared" si="671"/>
        <v>47.070771405253517</v>
      </c>
      <c r="AN159" s="38">
        <f t="shared" si="640"/>
        <v>47.070771405253538</v>
      </c>
      <c r="AO159" s="38">
        <f t="shared" si="548"/>
        <v>0.99999999999999956</v>
      </c>
      <c r="AP159" s="38">
        <f t="shared" si="641"/>
        <v>6.2806915932931462</v>
      </c>
      <c r="AQ159" s="4">
        <f t="shared" si="642"/>
        <v>0</v>
      </c>
      <c r="AR159" s="4" t="e">
        <f>#REF!/G159*F159^0.5/0.19</f>
        <v>#REF!</v>
      </c>
      <c r="AS159" s="4">
        <f t="shared" si="549"/>
        <v>1</v>
      </c>
      <c r="AT159" s="38">
        <f t="shared" si="643"/>
        <v>295.63699825479932</v>
      </c>
      <c r="AU159" s="4">
        <f t="shared" si="644"/>
        <v>0.44000000000000006</v>
      </c>
      <c r="AV159" s="4" t="e">
        <f>AU159*D159*#REF!/(D159*G159/2.75/F159^0.5)</f>
        <v>#REF!</v>
      </c>
      <c r="AW159" s="4" t="e">
        <f t="shared" si="645"/>
        <v>#REF!</v>
      </c>
      <c r="AY159" s="4">
        <f t="shared" si="627"/>
        <v>1.3885253054101221</v>
      </c>
      <c r="AZ159" s="4" t="e">
        <f>(3*#REF!+30)*AY159*F159^0.5</f>
        <v>#REF!</v>
      </c>
      <c r="BB159" s="4">
        <f t="shared" si="646"/>
        <v>283.55203537536278</v>
      </c>
      <c r="BC159" s="4">
        <f t="shared" si="647"/>
        <v>221.33552459284101</v>
      </c>
      <c r="BD159" s="4">
        <f t="shared" si="672"/>
        <v>0.78058168159449004</v>
      </c>
      <c r="BL159" s="4">
        <f t="shared" si="648"/>
        <v>146.35</v>
      </c>
      <c r="BP159" s="9"/>
      <c r="BR159" s="9"/>
      <c r="BS159" s="9"/>
      <c r="BT159" s="9" t="e">
        <f t="shared" si="649"/>
        <v>#REF!</v>
      </c>
      <c r="BU159" s="9">
        <f t="shared" si="650"/>
        <v>146.35</v>
      </c>
      <c r="BV159" s="9" t="e">
        <f t="shared" si="651"/>
        <v>#REF!</v>
      </c>
      <c r="BW159" s="9">
        <v>0</v>
      </c>
      <c r="BX159" s="9">
        <f t="shared" si="652"/>
        <v>0</v>
      </c>
      <c r="BY159" s="9">
        <f t="shared" si="653"/>
        <v>0</v>
      </c>
      <c r="BZ159" s="9">
        <f t="shared" si="654"/>
        <v>0.77971450958075206</v>
      </c>
      <c r="CA159" s="9">
        <f t="shared" si="655"/>
        <v>1.1046</v>
      </c>
      <c r="CB159" s="9">
        <f t="shared" si="656"/>
        <v>1.4829154235940361</v>
      </c>
      <c r="CC159" s="9" t="e">
        <f t="shared" si="657"/>
        <v>#REF!</v>
      </c>
      <c r="CD159" s="9">
        <v>1</v>
      </c>
      <c r="CE159" s="9" t="e">
        <f>4*CC159*#REF!+60*CC159</f>
        <v>#REF!</v>
      </c>
      <c r="DB159" s="4">
        <f t="shared" si="518"/>
        <v>0</v>
      </c>
      <c r="DC159" s="4" t="e">
        <f>#REF!</f>
        <v>#REF!</v>
      </c>
      <c r="DF159" s="4">
        <f t="shared" si="582"/>
        <v>1.4303335192272361E-5</v>
      </c>
      <c r="DG159" s="4" t="e">
        <f t="shared" si="519"/>
        <v>#REF!</v>
      </c>
      <c r="DL159" s="38">
        <f t="shared" si="584"/>
        <v>47.070771405253538</v>
      </c>
      <c r="DM159" s="4" t="e">
        <f t="shared" si="623"/>
        <v>#REF!</v>
      </c>
      <c r="DO159" s="4">
        <f t="shared" si="624"/>
        <v>47.070771405253538</v>
      </c>
      <c r="DS159" s="4" t="e">
        <f t="shared" si="658"/>
        <v>#REF!</v>
      </c>
      <c r="DT159" s="4">
        <f t="shared" si="659"/>
        <v>0.84458987783595108</v>
      </c>
      <c r="DU159" s="4">
        <f t="shared" si="660"/>
        <v>1</v>
      </c>
      <c r="DV159" s="4">
        <f t="shared" si="661"/>
        <v>0.84458987783595108</v>
      </c>
      <c r="DY159" s="25"/>
      <c r="EB159" s="4" t="e">
        <f t="shared" si="662"/>
        <v>#REF!</v>
      </c>
      <c r="EE159" s="4">
        <f t="shared" si="592"/>
        <v>128.12669511073796</v>
      </c>
      <c r="EF159" s="4">
        <f t="shared" si="520"/>
        <v>2.2360679774997898</v>
      </c>
      <c r="EG159" s="4">
        <f t="shared" si="594"/>
        <v>6.5211682822075137E-2</v>
      </c>
      <c r="EJ159" s="4">
        <f t="shared" si="663"/>
        <v>6.5211682822075137E-2</v>
      </c>
      <c r="EK159" s="4">
        <f t="shared" si="664"/>
        <v>0.24202325482167125</v>
      </c>
      <c r="EL159" s="4" t="e">
        <f t="shared" si="521"/>
        <v>#REF!</v>
      </c>
      <c r="EM159" s="4" t="e">
        <f t="shared" si="665"/>
        <v>#REF!</v>
      </c>
      <c r="EN159" s="4" t="e">
        <f t="shared" si="673"/>
        <v>#REF!</v>
      </c>
      <c r="EO159" s="4" t="e">
        <f t="shared" si="674"/>
        <v>#REF!</v>
      </c>
      <c r="EP159" s="4" t="e">
        <f t="shared" si="666"/>
        <v>#REF!</v>
      </c>
      <c r="EQ159" s="4" t="e">
        <f t="shared" si="667"/>
        <v>#REF!</v>
      </c>
      <c r="ER159" s="4" t="e">
        <f t="shared" si="668"/>
        <v>#REF!</v>
      </c>
      <c r="FA159" s="23"/>
      <c r="FB159" s="23"/>
      <c r="FC159" s="23"/>
      <c r="FD159" s="23"/>
      <c r="FE159" s="23"/>
      <c r="FF159" s="23"/>
      <c r="FG159" s="23"/>
      <c r="FH159" s="23"/>
      <c r="FR159" s="4">
        <f t="shared" si="607"/>
        <v>1</v>
      </c>
      <c r="FS159" s="4">
        <f t="shared" si="608"/>
        <v>1.0833333333333333</v>
      </c>
      <c r="FT159" s="4">
        <f t="shared" si="609"/>
        <v>0</v>
      </c>
      <c r="FU159" s="4">
        <f t="shared" si="610"/>
        <v>113.62527062943933</v>
      </c>
    </row>
    <row r="160" spans="1:177" ht="12" customHeight="1" x14ac:dyDescent="0.3">
      <c r="B160" s="24"/>
      <c r="C160" s="4" t="s">
        <v>116</v>
      </c>
      <c r="D160" s="7">
        <v>450.6</v>
      </c>
      <c r="E160" s="7">
        <v>372</v>
      </c>
      <c r="F160" s="7">
        <v>24.6</v>
      </c>
      <c r="G160" s="7">
        <v>35.799999999999997</v>
      </c>
      <c r="H160" s="7">
        <v>220</v>
      </c>
      <c r="I160" s="7">
        <f t="shared" si="630"/>
        <v>92.1</v>
      </c>
      <c r="J160" s="7" t="e">
        <f>434-12-#REF!</f>
        <v>#REF!</v>
      </c>
      <c r="K160" s="7">
        <v>0</v>
      </c>
      <c r="L160" s="7">
        <v>1</v>
      </c>
      <c r="M160" s="7">
        <f>434-65</f>
        <v>369</v>
      </c>
      <c r="N160" s="7">
        <f t="shared" si="631"/>
        <v>3.0726256983240225</v>
      </c>
      <c r="O160" s="7">
        <f t="shared" si="632"/>
        <v>3.0726256983240225</v>
      </c>
      <c r="P160" s="7">
        <f>4024/1006</f>
        <v>4</v>
      </c>
      <c r="Q160" s="7">
        <f>4024/1006</f>
        <v>4</v>
      </c>
      <c r="R160" s="7">
        <f t="shared" si="633"/>
        <v>5</v>
      </c>
      <c r="S160" s="7">
        <f t="shared" si="634"/>
        <v>80.051233594492473</v>
      </c>
      <c r="T160" s="7">
        <f t="shared" si="635"/>
        <v>450.6</v>
      </c>
      <c r="U160" s="7">
        <v>12</v>
      </c>
      <c r="V160" s="7"/>
      <c r="W160" s="32" t="s">
        <v>308</v>
      </c>
      <c r="X160" s="7"/>
      <c r="Y160" s="7"/>
      <c r="Z160" s="7"/>
      <c r="AA160" s="7">
        <v>1</v>
      </c>
      <c r="AB160" s="7"/>
      <c r="AC160" s="7"/>
      <c r="AD160" s="7"/>
      <c r="AE160" s="4">
        <f t="shared" si="636"/>
        <v>372</v>
      </c>
      <c r="AF160" s="4">
        <f t="shared" si="637"/>
        <v>0.1971326164874552</v>
      </c>
      <c r="AG160" s="4">
        <f t="shared" si="638"/>
        <v>353.52980095027158</v>
      </c>
      <c r="AH160" s="4">
        <f t="shared" si="639"/>
        <v>0.75913978494623646</v>
      </c>
      <c r="AI160" s="4">
        <v>1.25</v>
      </c>
      <c r="AJ160" s="25">
        <v>1</v>
      </c>
      <c r="AK160" s="38">
        <f t="shared" si="671"/>
        <v>66.132704025990705</v>
      </c>
      <c r="AN160" s="38">
        <f t="shared" si="640"/>
        <v>66.132704025990748</v>
      </c>
      <c r="AO160" s="38">
        <f t="shared" si="548"/>
        <v>0.99999999999999933</v>
      </c>
      <c r="AP160" s="38">
        <f t="shared" si="641"/>
        <v>4.5718131923996177</v>
      </c>
      <c r="AQ160" s="4">
        <f t="shared" si="642"/>
        <v>0</v>
      </c>
      <c r="AR160" s="4" t="e">
        <f>#REF!/G160*F160^0.5/0.19</f>
        <v>#REF!</v>
      </c>
      <c r="AS160" s="4">
        <f t="shared" si="549"/>
        <v>1</v>
      </c>
      <c r="AT160" s="38">
        <f t="shared" si="643"/>
        <v>302.34636871508383</v>
      </c>
      <c r="AU160" s="4">
        <f t="shared" si="644"/>
        <v>0.44000000000000006</v>
      </c>
      <c r="AV160" s="4" t="e">
        <f>AU160*D160*#REF!/(D160*G160/2.75/F160^0.5)</f>
        <v>#REF!</v>
      </c>
      <c r="AW160" s="4" t="e">
        <f t="shared" si="645"/>
        <v>#REF!</v>
      </c>
      <c r="AY160" s="4">
        <f t="shared" si="627"/>
        <v>1.3931564245810057</v>
      </c>
      <c r="AZ160" s="4" t="e">
        <f>(3*#REF!+30)*AY160*F160^0.5</f>
        <v>#REF!</v>
      </c>
      <c r="BB160" s="4">
        <f t="shared" si="646"/>
        <v>289.98714214931721</v>
      </c>
      <c r="BC160" s="4">
        <f t="shared" si="647"/>
        <v>363.03340318192352</v>
      </c>
      <c r="BD160" s="4">
        <f t="shared" si="672"/>
        <v>1.2518948270988997</v>
      </c>
      <c r="BL160" s="4">
        <f t="shared" si="648"/>
        <v>92.1</v>
      </c>
      <c r="BP160" s="9"/>
      <c r="BR160" s="9"/>
      <c r="BS160" s="9"/>
      <c r="BT160" s="9" t="e">
        <f t="shared" si="649"/>
        <v>#REF!</v>
      </c>
      <c r="BU160" s="9">
        <f t="shared" si="650"/>
        <v>92.1</v>
      </c>
      <c r="BV160" s="9" t="e">
        <f t="shared" si="651"/>
        <v>#REF!</v>
      </c>
      <c r="BW160" s="9">
        <v>0</v>
      </c>
      <c r="BX160" s="9">
        <f t="shared" si="652"/>
        <v>0</v>
      </c>
      <c r="BY160" s="9">
        <f t="shared" si="653"/>
        <v>0</v>
      </c>
      <c r="BZ160" s="9">
        <f t="shared" si="654"/>
        <v>0.89787751228078194</v>
      </c>
      <c r="CA160" s="9">
        <f t="shared" si="655"/>
        <v>1.0988</v>
      </c>
      <c r="CB160" s="9">
        <f t="shared" si="656"/>
        <v>1.7126607436390533</v>
      </c>
      <c r="CC160" s="9" t="e">
        <f t="shared" si="657"/>
        <v>#REF!</v>
      </c>
      <c r="CD160" s="9">
        <v>1</v>
      </c>
      <c r="CE160" s="9" t="e">
        <f>4*CC160*#REF!+60*CC160</f>
        <v>#REF!</v>
      </c>
      <c r="DB160" s="4">
        <f t="shared" si="518"/>
        <v>0</v>
      </c>
      <c r="DC160" s="4" t="e">
        <f>#REF!</f>
        <v>#REF!</v>
      </c>
      <c r="DF160" s="4">
        <f t="shared" si="582"/>
        <v>1.7833504313203137E-5</v>
      </c>
      <c r="DG160" s="4" t="e">
        <f t="shared" si="519"/>
        <v>#REF!</v>
      </c>
      <c r="DL160" s="38">
        <f t="shared" si="584"/>
        <v>66.132704025990748</v>
      </c>
      <c r="DM160" s="4" t="e">
        <f t="shared" si="623"/>
        <v>#REF!</v>
      </c>
      <c r="DO160" s="4">
        <f t="shared" si="624"/>
        <v>66.132704025990748</v>
      </c>
      <c r="DS160" s="4" t="e">
        <f t="shared" si="658"/>
        <v>#REF!</v>
      </c>
      <c r="DT160" s="4">
        <f t="shared" si="659"/>
        <v>0.84273743016759772</v>
      </c>
      <c r="DU160" s="4">
        <f t="shared" si="660"/>
        <v>1</v>
      </c>
      <c r="DV160" s="4">
        <f t="shared" si="661"/>
        <v>0.84273743016759772</v>
      </c>
      <c r="DY160" s="25"/>
      <c r="EB160" s="4" t="e">
        <f t="shared" si="662"/>
        <v>#REF!</v>
      </c>
      <c r="EE160" s="4">
        <f t="shared" si="592"/>
        <v>80.051233594492473</v>
      </c>
      <c r="EF160" s="4">
        <f t="shared" si="520"/>
        <v>2.2360679774997898</v>
      </c>
      <c r="EG160" s="4">
        <f t="shared" si="594"/>
        <v>5.6775230548321946E-2</v>
      </c>
      <c r="EJ160" s="4">
        <f t="shared" si="663"/>
        <v>5.6775230548321946E-2</v>
      </c>
      <c r="EK160" s="4">
        <f t="shared" si="664"/>
        <v>0.20899251175674796</v>
      </c>
      <c r="EL160" s="4" t="e">
        <f t="shared" si="521"/>
        <v>#REF!</v>
      </c>
      <c r="EM160" s="4" t="e">
        <f t="shared" si="665"/>
        <v>#REF!</v>
      </c>
      <c r="EN160" s="4" t="e">
        <f t="shared" si="673"/>
        <v>#REF!</v>
      </c>
      <c r="EO160" s="4" t="e">
        <f t="shared" si="674"/>
        <v>#REF!</v>
      </c>
      <c r="EP160" s="4" t="e">
        <f t="shared" si="666"/>
        <v>#REF!</v>
      </c>
      <c r="EQ160" s="4" t="e">
        <f t="shared" si="667"/>
        <v>#REF!</v>
      </c>
      <c r="ER160" s="4" t="e">
        <f t="shared" si="668"/>
        <v>#REF!</v>
      </c>
      <c r="FA160" s="23"/>
      <c r="FB160" s="23"/>
      <c r="FC160" s="23"/>
      <c r="FD160" s="23"/>
      <c r="FE160" s="23"/>
      <c r="FF160" s="23"/>
      <c r="FG160" s="23"/>
      <c r="FH160" s="23"/>
      <c r="FR160" s="4">
        <f t="shared" si="607"/>
        <v>1</v>
      </c>
      <c r="FS160" s="4">
        <f t="shared" si="608"/>
        <v>1.0833333333333333</v>
      </c>
      <c r="FT160" s="4">
        <f t="shared" si="609"/>
        <v>0</v>
      </c>
      <c r="FU160" s="4">
        <f t="shared" si="610"/>
        <v>179.41951788441713</v>
      </c>
    </row>
    <row r="161" spans="1:177" ht="12" customHeight="1" x14ac:dyDescent="0.3">
      <c r="B161" s="24"/>
      <c r="C161" s="4" t="s">
        <v>117</v>
      </c>
      <c r="D161" s="7">
        <v>450.6</v>
      </c>
      <c r="E161" s="7">
        <v>295</v>
      </c>
      <c r="F161" s="7">
        <v>24.6</v>
      </c>
      <c r="G161" s="7">
        <v>35.799999999999997</v>
      </c>
      <c r="H161" s="7">
        <v>220</v>
      </c>
      <c r="I161" s="7">
        <f t="shared" si="630"/>
        <v>92.1</v>
      </c>
      <c r="J161" s="7" t="e">
        <f>434-12-#REF!</f>
        <v>#REF!</v>
      </c>
      <c r="K161" s="7">
        <v>0</v>
      </c>
      <c r="L161" s="7">
        <v>1</v>
      </c>
      <c r="M161" s="7">
        <f>434-65</f>
        <v>369</v>
      </c>
      <c r="N161" s="7">
        <f t="shared" si="631"/>
        <v>3.0726256983240225</v>
      </c>
      <c r="O161" s="7">
        <f t="shared" si="632"/>
        <v>3.0726256983240225</v>
      </c>
      <c r="P161" s="7">
        <f t="shared" si="670"/>
        <v>4</v>
      </c>
      <c r="Q161" s="7">
        <f t="shared" si="670"/>
        <v>4</v>
      </c>
      <c r="R161" s="7">
        <f t="shared" si="633"/>
        <v>5</v>
      </c>
      <c r="S161" s="7">
        <f t="shared" si="634"/>
        <v>80.051233594492473</v>
      </c>
      <c r="T161" s="7">
        <f t="shared" si="635"/>
        <v>450.6</v>
      </c>
      <c r="U161" s="7">
        <v>12</v>
      </c>
      <c r="V161" s="7"/>
      <c r="W161" s="32" t="s">
        <v>308</v>
      </c>
      <c r="X161" s="7"/>
      <c r="Y161" s="7"/>
      <c r="Z161" s="7"/>
      <c r="AA161" s="7">
        <v>1</v>
      </c>
      <c r="AB161" s="7"/>
      <c r="AC161" s="7"/>
      <c r="AD161" s="7"/>
      <c r="AE161" s="4">
        <f t="shared" si="636"/>
        <v>295</v>
      </c>
      <c r="AF161" s="4">
        <f t="shared" si="637"/>
        <v>0.24858757062146894</v>
      </c>
      <c r="AG161" s="4">
        <f t="shared" si="638"/>
        <v>249.65751469880246</v>
      </c>
      <c r="AH161" s="4">
        <f t="shared" si="639"/>
        <v>0.77457627118644068</v>
      </c>
      <c r="AI161" s="4">
        <v>1.25</v>
      </c>
      <c r="AJ161" s="25">
        <v>1</v>
      </c>
      <c r="AK161" s="38">
        <f t="shared" si="671"/>
        <v>60.089453528242842</v>
      </c>
      <c r="AN161" s="38">
        <f t="shared" si="640"/>
        <v>60.089453528242863</v>
      </c>
      <c r="AO161" s="38">
        <f t="shared" si="548"/>
        <v>0.99999999999999967</v>
      </c>
      <c r="AP161" s="38">
        <f t="shared" si="641"/>
        <v>5.0316045655661839</v>
      </c>
      <c r="AQ161" s="4">
        <f t="shared" si="642"/>
        <v>0</v>
      </c>
      <c r="AR161" s="4" t="e">
        <f>#REF!/G161*F161^0.5/0.19</f>
        <v>#REF!</v>
      </c>
      <c r="AS161" s="4">
        <f t="shared" si="549"/>
        <v>1</v>
      </c>
      <c r="AT161" s="38">
        <f t="shared" si="643"/>
        <v>302.34636871508383</v>
      </c>
      <c r="AU161" s="4">
        <f t="shared" si="644"/>
        <v>0.44000000000000006</v>
      </c>
      <c r="AV161" s="4" t="e">
        <f>AU161*D161*#REF!/(D161*G161/2.75/F161^0.5)</f>
        <v>#REF!</v>
      </c>
      <c r="AW161" s="4" t="e">
        <f t="shared" si="645"/>
        <v>#REF!</v>
      </c>
      <c r="AY161" s="4">
        <f t="shared" si="627"/>
        <v>1.3931564245810057</v>
      </c>
      <c r="AZ161" s="4" t="e">
        <f>(3*#REF!+30)*AY161*F161^0.5</f>
        <v>#REF!</v>
      </c>
      <c r="BB161" s="4">
        <f t="shared" si="646"/>
        <v>289.98714214931721</v>
      </c>
      <c r="BC161" s="4">
        <f t="shared" si="647"/>
        <v>363.03340318192352</v>
      </c>
      <c r="BD161" s="4">
        <f t="shared" si="672"/>
        <v>1.2518948270988997</v>
      </c>
      <c r="BL161" s="4">
        <f t="shared" si="648"/>
        <v>92.1</v>
      </c>
      <c r="BP161" s="9"/>
      <c r="BR161" s="9"/>
      <c r="BS161" s="9"/>
      <c r="BT161" s="9" t="e">
        <f t="shared" si="649"/>
        <v>#REF!</v>
      </c>
      <c r="BU161" s="9">
        <f t="shared" si="650"/>
        <v>92.1</v>
      </c>
      <c r="BV161" s="9" t="e">
        <f t="shared" si="651"/>
        <v>#REF!</v>
      </c>
      <c r="BW161" s="9">
        <v>0</v>
      </c>
      <c r="BX161" s="9">
        <f t="shared" si="652"/>
        <v>0</v>
      </c>
      <c r="BY161" s="9">
        <f t="shared" si="653"/>
        <v>0</v>
      </c>
      <c r="BZ161" s="9">
        <f t="shared" si="654"/>
        <v>0.89787751228078194</v>
      </c>
      <c r="CA161" s="9">
        <f t="shared" si="655"/>
        <v>1.0988</v>
      </c>
      <c r="CB161" s="9">
        <f t="shared" si="656"/>
        <v>1.7126607436390533</v>
      </c>
      <c r="CC161" s="9" t="e">
        <f t="shared" si="657"/>
        <v>#REF!</v>
      </c>
      <c r="CD161" s="9">
        <v>1</v>
      </c>
      <c r="CE161" s="9" t="e">
        <f>4*CC161*#REF!+60*CC161</f>
        <v>#REF!</v>
      </c>
      <c r="DB161" s="4">
        <f t="shared" si="518"/>
        <v>0</v>
      </c>
      <c r="DC161" s="4" t="e">
        <f>#REF!</f>
        <v>#REF!</v>
      </c>
      <c r="DF161" s="4">
        <f t="shared" si="582"/>
        <v>1.4142160678480981E-5</v>
      </c>
      <c r="DG161" s="4" t="e">
        <f t="shared" si="519"/>
        <v>#REF!</v>
      </c>
      <c r="DL161" s="38">
        <f t="shared" si="584"/>
        <v>60.089453528242863</v>
      </c>
      <c r="DM161" s="4" t="e">
        <f t="shared" si="623"/>
        <v>#REF!</v>
      </c>
      <c r="DO161" s="4">
        <f t="shared" si="624"/>
        <v>60.089453528242863</v>
      </c>
      <c r="DS161" s="4" t="e">
        <f t="shared" si="658"/>
        <v>#REF!</v>
      </c>
      <c r="DT161" s="4">
        <f t="shared" si="659"/>
        <v>0.84273743016759772</v>
      </c>
      <c r="DU161" s="4">
        <f t="shared" si="660"/>
        <v>1</v>
      </c>
      <c r="DV161" s="4">
        <f t="shared" si="661"/>
        <v>0.84273743016759772</v>
      </c>
      <c r="DY161" s="25"/>
      <c r="EB161" s="4" t="e">
        <f t="shared" si="662"/>
        <v>#REF!</v>
      </c>
      <c r="EE161" s="4">
        <f t="shared" si="592"/>
        <v>80.051233594492473</v>
      </c>
      <c r="EF161" s="4">
        <f t="shared" si="520"/>
        <v>2.2360679774997898</v>
      </c>
      <c r="EG161" s="4">
        <f t="shared" si="594"/>
        <v>5.1587072203306245E-2</v>
      </c>
      <c r="EJ161" s="4">
        <f t="shared" si="663"/>
        <v>5.1587072203306245E-2</v>
      </c>
      <c r="EK161" s="4">
        <f t="shared" si="664"/>
        <v>0.18989463697148015</v>
      </c>
      <c r="EL161" s="4" t="e">
        <f t="shared" si="521"/>
        <v>#REF!</v>
      </c>
      <c r="EM161" s="4" t="e">
        <f t="shared" si="665"/>
        <v>#REF!</v>
      </c>
      <c r="EN161" s="4" t="e">
        <f t="shared" si="673"/>
        <v>#REF!</v>
      </c>
      <c r="EO161" s="4" t="e">
        <f t="shared" si="674"/>
        <v>#REF!</v>
      </c>
      <c r="EP161" s="4" t="e">
        <f t="shared" si="666"/>
        <v>#REF!</v>
      </c>
      <c r="EQ161" s="4" t="e">
        <f t="shared" si="667"/>
        <v>#REF!</v>
      </c>
      <c r="ER161" s="4" t="e">
        <f t="shared" si="668"/>
        <v>#REF!</v>
      </c>
      <c r="FA161" s="23"/>
      <c r="FB161" s="23"/>
      <c r="FC161" s="23"/>
      <c r="FD161" s="23"/>
      <c r="FE161" s="23"/>
      <c r="FF161" s="23"/>
      <c r="FG161" s="23"/>
      <c r="FH161" s="23"/>
      <c r="FR161" s="4">
        <f t="shared" si="607"/>
        <v>1</v>
      </c>
      <c r="FS161" s="4">
        <f t="shared" si="608"/>
        <v>1.0833333333333333</v>
      </c>
      <c r="FT161" s="4">
        <f t="shared" si="609"/>
        <v>0</v>
      </c>
      <c r="FU161" s="4">
        <f t="shared" si="610"/>
        <v>142.28160692447059</v>
      </c>
    </row>
    <row r="162" spans="1:177" ht="12" customHeight="1" x14ac:dyDescent="0.3">
      <c r="B162" s="24"/>
      <c r="C162" s="4" t="s">
        <v>118</v>
      </c>
      <c r="D162" s="7">
        <v>450.6</v>
      </c>
      <c r="E162" s="7">
        <v>295</v>
      </c>
      <c r="F162" s="7">
        <v>24.6</v>
      </c>
      <c r="G162" s="7">
        <v>35.799999999999997</v>
      </c>
      <c r="H162" s="7">
        <v>220</v>
      </c>
      <c r="I162" s="7">
        <f t="shared" si="630"/>
        <v>92.1</v>
      </c>
      <c r="J162" s="7" t="e">
        <f>434-12-#REF!</f>
        <v>#REF!</v>
      </c>
      <c r="K162" s="7">
        <v>0</v>
      </c>
      <c r="L162" s="7">
        <v>1</v>
      </c>
      <c r="M162" s="7">
        <f>434-65</f>
        <v>369</v>
      </c>
      <c r="N162" s="7">
        <f t="shared" si="631"/>
        <v>3.0726256983240225</v>
      </c>
      <c r="O162" s="7">
        <f t="shared" si="632"/>
        <v>3.0726256983240225</v>
      </c>
      <c r="P162" s="7">
        <f t="shared" si="670"/>
        <v>4</v>
      </c>
      <c r="Q162" s="7">
        <f t="shared" si="670"/>
        <v>4</v>
      </c>
      <c r="R162" s="7">
        <f t="shared" si="633"/>
        <v>5</v>
      </c>
      <c r="S162" s="7">
        <f t="shared" si="634"/>
        <v>80.051233594492473</v>
      </c>
      <c r="T162" s="7">
        <f t="shared" si="635"/>
        <v>450.6</v>
      </c>
      <c r="U162" s="7">
        <v>12</v>
      </c>
      <c r="V162" s="7"/>
      <c r="W162" s="32" t="s">
        <v>308</v>
      </c>
      <c r="X162" s="7"/>
      <c r="Y162" s="7"/>
      <c r="Z162" s="7"/>
      <c r="AA162" s="7">
        <v>1</v>
      </c>
      <c r="AB162" s="7"/>
      <c r="AC162" s="7"/>
      <c r="AD162" s="7"/>
      <c r="AE162" s="4">
        <f t="shared" si="636"/>
        <v>295</v>
      </c>
      <c r="AF162" s="4">
        <f t="shared" si="637"/>
        <v>0.24858757062146894</v>
      </c>
      <c r="AG162" s="4">
        <f t="shared" si="638"/>
        <v>249.65751469880246</v>
      </c>
      <c r="AH162" s="4">
        <f t="shared" si="639"/>
        <v>0.77457627118644068</v>
      </c>
      <c r="AI162" s="4">
        <v>1.25</v>
      </c>
      <c r="AJ162" s="25">
        <v>1</v>
      </c>
      <c r="AK162" s="38">
        <f t="shared" si="671"/>
        <v>60.089453528242842</v>
      </c>
      <c r="AN162" s="38">
        <f t="shared" si="640"/>
        <v>60.089453528242863</v>
      </c>
      <c r="AO162" s="38">
        <f t="shared" si="548"/>
        <v>0.99999999999999967</v>
      </c>
      <c r="AP162" s="38">
        <f t="shared" si="641"/>
        <v>5.0316045655661839</v>
      </c>
      <c r="AQ162" s="4">
        <f t="shared" si="642"/>
        <v>0</v>
      </c>
      <c r="AR162" s="4" t="e">
        <f>#REF!/G162*F162^0.5/0.19</f>
        <v>#REF!</v>
      </c>
      <c r="AS162" s="4">
        <f t="shared" si="549"/>
        <v>1</v>
      </c>
      <c r="AT162" s="38">
        <f t="shared" si="643"/>
        <v>302.34636871508383</v>
      </c>
      <c r="AU162" s="4">
        <f t="shared" si="644"/>
        <v>0.44000000000000006</v>
      </c>
      <c r="AV162" s="4" t="e">
        <f>AU162*D162*#REF!/(D162*G162/2.75/F162^0.5)</f>
        <v>#REF!</v>
      </c>
      <c r="AW162" s="4" t="e">
        <f t="shared" si="645"/>
        <v>#REF!</v>
      </c>
      <c r="AY162" s="4">
        <f t="shared" si="627"/>
        <v>1.3931564245810057</v>
      </c>
      <c r="AZ162" s="4" t="e">
        <f>(3*#REF!+30)*AY162*F162^0.5</f>
        <v>#REF!</v>
      </c>
      <c r="BB162" s="4">
        <f t="shared" si="646"/>
        <v>289.98714214931721</v>
      </c>
      <c r="BC162" s="4">
        <f t="shared" si="647"/>
        <v>363.03340318192352</v>
      </c>
      <c r="BD162" s="4">
        <f t="shared" si="672"/>
        <v>1.2518948270988997</v>
      </c>
      <c r="BL162" s="4">
        <f t="shared" si="648"/>
        <v>92.1</v>
      </c>
      <c r="BP162" s="9"/>
      <c r="BR162" s="9"/>
      <c r="BS162" s="9"/>
      <c r="BT162" s="9" t="e">
        <f t="shared" si="649"/>
        <v>#REF!</v>
      </c>
      <c r="BU162" s="9">
        <f t="shared" si="650"/>
        <v>92.1</v>
      </c>
      <c r="BV162" s="9" t="e">
        <f t="shared" si="651"/>
        <v>#REF!</v>
      </c>
      <c r="BW162" s="9">
        <v>0</v>
      </c>
      <c r="BX162" s="9">
        <f t="shared" si="652"/>
        <v>0</v>
      </c>
      <c r="BY162" s="9">
        <f t="shared" si="653"/>
        <v>0</v>
      </c>
      <c r="BZ162" s="9">
        <f t="shared" si="654"/>
        <v>0.89787751228078194</v>
      </c>
      <c r="CA162" s="9">
        <f t="shared" si="655"/>
        <v>1.0988</v>
      </c>
      <c r="CB162" s="9">
        <f t="shared" si="656"/>
        <v>1.7126607436390533</v>
      </c>
      <c r="CC162" s="9" t="e">
        <f t="shared" si="657"/>
        <v>#REF!</v>
      </c>
      <c r="CD162" s="9">
        <v>1</v>
      </c>
      <c r="CE162" s="9" t="e">
        <f>4*CC162*#REF!+60*CC162</f>
        <v>#REF!</v>
      </c>
      <c r="DB162" s="4">
        <f t="shared" si="518"/>
        <v>0</v>
      </c>
      <c r="DC162" s="4" t="e">
        <f>#REF!</f>
        <v>#REF!</v>
      </c>
      <c r="DF162" s="4">
        <f t="shared" si="582"/>
        <v>1.4142160678480981E-5</v>
      </c>
      <c r="DG162" s="4" t="e">
        <f t="shared" si="519"/>
        <v>#REF!</v>
      </c>
      <c r="DL162" s="38">
        <f t="shared" si="584"/>
        <v>60.089453528242863</v>
      </c>
      <c r="DM162" s="4" t="e">
        <f t="shared" si="623"/>
        <v>#REF!</v>
      </c>
      <c r="DO162" s="4">
        <f t="shared" si="624"/>
        <v>60.089453528242863</v>
      </c>
      <c r="DS162" s="4" t="e">
        <f t="shared" si="658"/>
        <v>#REF!</v>
      </c>
      <c r="DT162" s="4">
        <f t="shared" si="659"/>
        <v>0.84273743016759772</v>
      </c>
      <c r="DU162" s="4">
        <f t="shared" si="660"/>
        <v>1</v>
      </c>
      <c r="DV162" s="4">
        <f t="shared" si="661"/>
        <v>0.84273743016759772</v>
      </c>
      <c r="DY162" s="25"/>
      <c r="EB162" s="4" t="e">
        <f t="shared" si="662"/>
        <v>#REF!</v>
      </c>
      <c r="EE162" s="4">
        <f t="shared" si="592"/>
        <v>80.051233594492473</v>
      </c>
      <c r="EF162" s="4">
        <f t="shared" si="520"/>
        <v>2.2360679774997898</v>
      </c>
      <c r="EG162" s="4">
        <f t="shared" si="594"/>
        <v>5.1587072203306245E-2</v>
      </c>
      <c r="EJ162" s="4">
        <f t="shared" si="663"/>
        <v>5.1587072203306245E-2</v>
      </c>
      <c r="EK162" s="4">
        <f t="shared" si="664"/>
        <v>0.18989463697148015</v>
      </c>
      <c r="EL162" s="4" t="e">
        <f t="shared" si="521"/>
        <v>#REF!</v>
      </c>
      <c r="EM162" s="4" t="e">
        <f t="shared" si="665"/>
        <v>#REF!</v>
      </c>
      <c r="EN162" s="4" t="e">
        <f t="shared" si="673"/>
        <v>#REF!</v>
      </c>
      <c r="EO162" s="4" t="e">
        <f t="shared" si="674"/>
        <v>#REF!</v>
      </c>
      <c r="EP162" s="4" t="e">
        <f t="shared" si="666"/>
        <v>#REF!</v>
      </c>
      <c r="EQ162" s="4" t="e">
        <f t="shared" si="667"/>
        <v>#REF!</v>
      </c>
      <c r="ER162" s="4" t="e">
        <f t="shared" si="668"/>
        <v>#REF!</v>
      </c>
      <c r="FA162" s="23"/>
      <c r="FB162" s="23"/>
      <c r="FC162" s="23"/>
      <c r="FD162" s="23"/>
      <c r="FE162" s="23"/>
      <c r="FF162" s="23"/>
      <c r="FG162" s="23"/>
      <c r="FH162" s="23"/>
      <c r="FR162" s="4">
        <f t="shared" si="607"/>
        <v>1</v>
      </c>
      <c r="FS162" s="4">
        <f t="shared" si="608"/>
        <v>1.0833333333333333</v>
      </c>
      <c r="FT162" s="4">
        <f t="shared" si="609"/>
        <v>0</v>
      </c>
      <c r="FU162" s="4">
        <f t="shared" si="610"/>
        <v>142.28160692447059</v>
      </c>
    </row>
    <row r="163" spans="1:177" ht="12" customHeight="1" x14ac:dyDescent="0.3">
      <c r="B163" s="24"/>
      <c r="C163" s="4" t="s">
        <v>119</v>
      </c>
      <c r="D163" s="7">
        <v>450.6</v>
      </c>
      <c r="E163" s="7">
        <v>217</v>
      </c>
      <c r="F163" s="7">
        <v>24.6</v>
      </c>
      <c r="G163" s="7">
        <v>35.799999999999997</v>
      </c>
      <c r="H163" s="7">
        <v>220</v>
      </c>
      <c r="I163" s="7">
        <f t="shared" si="630"/>
        <v>92.1</v>
      </c>
      <c r="J163" s="7" t="e">
        <f>434-12-#REF!</f>
        <v>#REF!</v>
      </c>
      <c r="K163" s="7">
        <v>0</v>
      </c>
      <c r="L163" s="7">
        <v>1</v>
      </c>
      <c r="M163" s="7">
        <f>434-65</f>
        <v>369</v>
      </c>
      <c r="N163" s="7">
        <f t="shared" si="631"/>
        <v>3.0726256983240225</v>
      </c>
      <c r="O163" s="7">
        <f t="shared" si="632"/>
        <v>3.0726256983240225</v>
      </c>
      <c r="P163" s="7">
        <f t="shared" si="670"/>
        <v>4</v>
      </c>
      <c r="Q163" s="7">
        <f t="shared" si="670"/>
        <v>4</v>
      </c>
      <c r="R163" s="7">
        <f t="shared" si="633"/>
        <v>5</v>
      </c>
      <c r="S163" s="7">
        <f t="shared" si="634"/>
        <v>80.051233594492473</v>
      </c>
      <c r="T163" s="7">
        <f t="shared" si="635"/>
        <v>450.6</v>
      </c>
      <c r="U163" s="7">
        <v>12</v>
      </c>
      <c r="V163" s="7">
        <f>(117+122)/2/1006*1000</f>
        <v>118.78727634194831</v>
      </c>
      <c r="W163" s="7"/>
      <c r="X163" s="7"/>
      <c r="Y163" s="7"/>
      <c r="Z163" s="7"/>
      <c r="AA163" s="7">
        <v>1</v>
      </c>
      <c r="AB163" s="7"/>
      <c r="AC163" s="7"/>
      <c r="AD163" s="7"/>
      <c r="AE163" s="4">
        <f t="shared" si="636"/>
        <v>217</v>
      </c>
      <c r="AF163" s="4">
        <f t="shared" si="637"/>
        <v>0.33794162826420893</v>
      </c>
      <c r="AG163" s="4">
        <f t="shared" si="638"/>
        <v>150.58294354764655</v>
      </c>
      <c r="AH163" s="4">
        <f t="shared" si="639"/>
        <v>0.80138248847926263</v>
      </c>
      <c r="AI163" s="4">
        <v>1.25</v>
      </c>
      <c r="AJ163" s="25">
        <v>1</v>
      </c>
      <c r="AK163" s="38">
        <f t="shared" si="671"/>
        <v>50.976185647089032</v>
      </c>
      <c r="AN163" s="38">
        <f t="shared" si="640"/>
        <v>53.320323184075299</v>
      </c>
      <c r="AO163" s="38">
        <f t="shared" si="548"/>
        <v>0.95603669676018821</v>
      </c>
      <c r="AP163" s="38">
        <f t="shared" si="641"/>
        <v>5.6703776470241447</v>
      </c>
      <c r="AQ163" s="4">
        <f t="shared" si="642"/>
        <v>0</v>
      </c>
      <c r="AR163" s="4" t="e">
        <f>#REF!/G163*F163^0.5/0.19</f>
        <v>#REF!</v>
      </c>
      <c r="AS163" s="4">
        <f t="shared" si="549"/>
        <v>1</v>
      </c>
      <c r="AT163" s="38">
        <f t="shared" si="643"/>
        <v>302.34636871508383</v>
      </c>
      <c r="AU163" s="4">
        <f t="shared" si="644"/>
        <v>0.44000000000000006</v>
      </c>
      <c r="AV163" s="4" t="e">
        <f>AU163*D163*#REF!/(D163*G163/2.75/F163^0.5)</f>
        <v>#REF!</v>
      </c>
      <c r="AW163" s="4" t="e">
        <f t="shared" si="645"/>
        <v>#REF!</v>
      </c>
      <c r="AY163" s="4">
        <f t="shared" si="627"/>
        <v>1.3931564245810057</v>
      </c>
      <c r="AZ163" s="4" t="e">
        <f>(3*#REF!+30)*AY163*F163^0.5</f>
        <v>#REF!</v>
      </c>
      <c r="BB163" s="4">
        <f t="shared" si="646"/>
        <v>289.98714214931721</v>
      </c>
      <c r="BC163" s="4">
        <f t="shared" si="647"/>
        <v>363.03340318192352</v>
      </c>
      <c r="BD163" s="4">
        <f t="shared" si="672"/>
        <v>1.2518948270988997</v>
      </c>
      <c r="BL163" s="4">
        <f t="shared" si="648"/>
        <v>92.1</v>
      </c>
      <c r="BP163" s="9"/>
      <c r="BR163" s="9"/>
      <c r="BS163" s="9"/>
      <c r="BT163" s="9" t="e">
        <f t="shared" si="649"/>
        <v>#REF!</v>
      </c>
      <c r="BU163" s="9">
        <f t="shared" si="650"/>
        <v>92.1</v>
      </c>
      <c r="BV163" s="9" t="e">
        <f t="shared" si="651"/>
        <v>#REF!</v>
      </c>
      <c r="BW163" s="9">
        <v>0</v>
      </c>
      <c r="BX163" s="9">
        <f t="shared" si="652"/>
        <v>0</v>
      </c>
      <c r="BY163" s="9">
        <f t="shared" si="653"/>
        <v>0</v>
      </c>
      <c r="BZ163" s="9">
        <f t="shared" si="654"/>
        <v>0.89787751228078194</v>
      </c>
      <c r="CA163" s="9">
        <f t="shared" si="655"/>
        <v>1.0988</v>
      </c>
      <c r="CB163" s="9">
        <f t="shared" si="656"/>
        <v>1.7126607436390533</v>
      </c>
      <c r="CC163" s="9" t="e">
        <f t="shared" si="657"/>
        <v>#REF!</v>
      </c>
      <c r="CD163" s="9">
        <v>1</v>
      </c>
      <c r="CE163" s="9" t="e">
        <f>4*CC163*#REF!+60*CC163</f>
        <v>#REF!</v>
      </c>
      <c r="DB163" s="4">
        <f t="shared" si="518"/>
        <v>0</v>
      </c>
      <c r="DC163" s="4" t="e">
        <f>#REF!</f>
        <v>#REF!</v>
      </c>
      <c r="DF163" s="4">
        <f t="shared" si="582"/>
        <v>1.0402877516035162E-5</v>
      </c>
      <c r="DG163" s="4" t="e">
        <f t="shared" si="519"/>
        <v>#REF!</v>
      </c>
      <c r="DL163" s="38">
        <f t="shared" si="584"/>
        <v>53.320323184075299</v>
      </c>
      <c r="DM163" s="4" t="e">
        <f t="shared" si="623"/>
        <v>#REF!</v>
      </c>
      <c r="DO163" s="4">
        <f t="shared" si="624"/>
        <v>53.320323184075299</v>
      </c>
      <c r="DS163" s="4" t="e">
        <f t="shared" si="658"/>
        <v>#REF!</v>
      </c>
      <c r="DT163" s="4">
        <f t="shared" si="659"/>
        <v>0.84273743016759772</v>
      </c>
      <c r="DU163" s="4">
        <f t="shared" si="660"/>
        <v>1</v>
      </c>
      <c r="DV163" s="4">
        <f t="shared" si="661"/>
        <v>0.84273743016759772</v>
      </c>
      <c r="DY163" s="25"/>
      <c r="EB163" s="4" t="e">
        <f t="shared" si="662"/>
        <v>#REF!</v>
      </c>
      <c r="EE163" s="4">
        <f t="shared" si="592"/>
        <v>80.051233594492473</v>
      </c>
      <c r="EF163" s="4">
        <f t="shared" si="520"/>
        <v>2.2360679774997898</v>
      </c>
      <c r="EG163" s="4">
        <f t="shared" si="594"/>
        <v>4.5775742671843048E-2</v>
      </c>
      <c r="EJ163" s="4">
        <f t="shared" si="663"/>
        <v>4.5775742671843048E-2</v>
      </c>
      <c r="EK163" s="4">
        <f t="shared" si="664"/>
        <v>0.16850283734870336</v>
      </c>
      <c r="EL163" s="4" t="e">
        <f t="shared" si="521"/>
        <v>#REF!</v>
      </c>
      <c r="EM163" s="4" t="e">
        <f t="shared" si="665"/>
        <v>#REF!</v>
      </c>
      <c r="EN163" s="4" t="e">
        <f t="shared" si="673"/>
        <v>#REF!</v>
      </c>
      <c r="EO163" s="4" t="e">
        <f t="shared" si="674"/>
        <v>#REF!</v>
      </c>
      <c r="EP163" s="4" t="e">
        <f t="shared" si="666"/>
        <v>#REF!</v>
      </c>
      <c r="EQ163" s="4" t="e">
        <f t="shared" si="667"/>
        <v>#REF!</v>
      </c>
      <c r="ER163" s="4" t="e">
        <f t="shared" si="668"/>
        <v>#REF!</v>
      </c>
      <c r="FA163" s="23"/>
      <c r="FB163" s="23"/>
      <c r="FC163" s="23"/>
      <c r="FD163" s="23"/>
      <c r="FE163" s="23"/>
      <c r="FF163" s="23"/>
      <c r="FG163" s="23"/>
      <c r="FH163" s="23"/>
      <c r="FR163" s="4">
        <f t="shared" si="607"/>
        <v>1</v>
      </c>
      <c r="FS163" s="4">
        <f t="shared" si="608"/>
        <v>1.0833333333333333</v>
      </c>
      <c r="FT163" s="4">
        <f t="shared" si="609"/>
        <v>0</v>
      </c>
      <c r="FU163" s="4">
        <f t="shared" si="610"/>
        <v>104.66138543257668</v>
      </c>
    </row>
    <row r="164" spans="1:177" ht="12" customHeight="1" x14ac:dyDescent="0.3">
      <c r="B164" s="24"/>
      <c r="C164" s="4" t="s">
        <v>120</v>
      </c>
      <c r="D164" s="7">
        <v>454.8</v>
      </c>
      <c r="E164" s="7">
        <v>264</v>
      </c>
      <c r="F164" s="7">
        <v>25.1</v>
      </c>
      <c r="G164" s="7">
        <v>25.4</v>
      </c>
      <c r="H164" s="7">
        <v>160</v>
      </c>
      <c r="I164" s="7">
        <f t="shared" si="630"/>
        <v>67.3</v>
      </c>
      <c r="J164" s="7" t="e">
        <f>323-9-#REF!</f>
        <v>#REF!</v>
      </c>
      <c r="K164" s="7">
        <v>0</v>
      </c>
      <c r="L164" s="7">
        <v>1</v>
      </c>
      <c r="M164" s="7">
        <f>323-45</f>
        <v>278</v>
      </c>
      <c r="N164" s="7">
        <f t="shared" si="631"/>
        <v>3.1496062992125986</v>
      </c>
      <c r="O164" s="7">
        <f t="shared" si="632"/>
        <v>3.1496062992125986</v>
      </c>
      <c r="P164" s="7">
        <f>2040/510</f>
        <v>4</v>
      </c>
      <c r="Q164" s="7">
        <f>2040/510</f>
        <v>4</v>
      </c>
      <c r="R164" s="7">
        <f t="shared" si="633"/>
        <v>5</v>
      </c>
      <c r="S164" s="7">
        <f t="shared" si="634"/>
        <v>56.796126628494655</v>
      </c>
      <c r="T164" s="7">
        <f t="shared" si="635"/>
        <v>454.8</v>
      </c>
      <c r="U164" s="7">
        <v>9</v>
      </c>
      <c r="V164" s="7"/>
      <c r="W164" s="32" t="s">
        <v>308</v>
      </c>
      <c r="X164" s="7"/>
      <c r="Y164" s="7"/>
      <c r="Z164" s="7"/>
      <c r="AA164" s="7">
        <v>1</v>
      </c>
      <c r="AB164" s="7"/>
      <c r="AC164" s="7"/>
      <c r="AD164" s="7"/>
      <c r="AE164" s="4">
        <f t="shared" si="636"/>
        <v>264</v>
      </c>
      <c r="AF164" s="4">
        <f t="shared" si="637"/>
        <v>0.20202020202020202</v>
      </c>
      <c r="AG164" s="4">
        <f t="shared" si="638"/>
        <v>418.93890953923358</v>
      </c>
      <c r="AH164" s="4">
        <f t="shared" si="639"/>
        <v>0.76060606060606051</v>
      </c>
      <c r="AI164" s="4">
        <v>1.25</v>
      </c>
      <c r="AJ164" s="25">
        <v>1</v>
      </c>
      <c r="AK164" s="38">
        <f t="shared" si="671"/>
        <v>80.466533742231093</v>
      </c>
      <c r="AN164" s="38">
        <f t="shared" si="640"/>
        <v>81.461055336491228</v>
      </c>
      <c r="AO164" s="38">
        <f t="shared" si="548"/>
        <v>0.98779144721177425</v>
      </c>
      <c r="AP164" s="38">
        <f t="shared" si="641"/>
        <v>3.8818607386650328</v>
      </c>
      <c r="AQ164" s="4">
        <f t="shared" si="642"/>
        <v>0</v>
      </c>
      <c r="AR164" s="4" t="e">
        <f>#REF!/G164*F164^0.5/0.19</f>
        <v>#REF!</v>
      </c>
      <c r="AS164" s="4">
        <f t="shared" si="549"/>
        <v>1</v>
      </c>
      <c r="AT164" s="38">
        <f t="shared" si="643"/>
        <v>316.22047244094495</v>
      </c>
      <c r="AU164" s="4">
        <f t="shared" si="644"/>
        <v>0.44000000000000006</v>
      </c>
      <c r="AV164" s="4" t="e">
        <f>AU164*D164*#REF!/(D164*G164/2.75/F164^0.5)</f>
        <v>#REF!</v>
      </c>
      <c r="AW164" s="4" t="e">
        <f t="shared" si="645"/>
        <v>#REF!</v>
      </c>
      <c r="AY164" s="4">
        <f t="shared" si="627"/>
        <v>1.4124015748031495</v>
      </c>
      <c r="AZ164" s="4" t="e">
        <f>(3*#REF!+30)*AY164*F164^0.5</f>
        <v>#REF!</v>
      </c>
      <c r="BB164" s="4">
        <f t="shared" si="646"/>
        <v>303.29410431474349</v>
      </c>
      <c r="BC164" s="4">
        <f t="shared" si="647"/>
        <v>1084.9722194286705</v>
      </c>
      <c r="BD164" s="4">
        <f t="shared" si="672"/>
        <v>3.5772941313186242</v>
      </c>
      <c r="BL164" s="4">
        <f t="shared" si="648"/>
        <v>67.3</v>
      </c>
      <c r="BP164" s="9"/>
      <c r="BR164" s="9"/>
      <c r="BS164" s="9"/>
      <c r="BT164" s="9" t="e">
        <f t="shared" si="649"/>
        <v>#REF!</v>
      </c>
      <c r="BU164" s="9">
        <f t="shared" si="650"/>
        <v>67.3</v>
      </c>
      <c r="BV164" s="9" t="e">
        <f t="shared" si="651"/>
        <v>#REF!</v>
      </c>
      <c r="BW164" s="9">
        <v>0</v>
      </c>
      <c r="BX164" s="9">
        <f t="shared" si="652"/>
        <v>0</v>
      </c>
      <c r="BY164" s="9">
        <f t="shared" si="653"/>
        <v>0</v>
      </c>
      <c r="BZ164" s="9">
        <f t="shared" si="654"/>
        <v>0.99524931562137331</v>
      </c>
      <c r="CA164" s="9">
        <f t="shared" si="655"/>
        <v>1.0903999999999998</v>
      </c>
      <c r="CB164" s="9">
        <f t="shared" si="656"/>
        <v>1.9029292228649537</v>
      </c>
      <c r="CC164" s="9" t="e">
        <f t="shared" si="657"/>
        <v>#REF!</v>
      </c>
      <c r="CD164" s="9">
        <v>1</v>
      </c>
      <c r="CE164" s="9" t="e">
        <f>4*CC164*#REF!+60*CC164</f>
        <v>#REF!</v>
      </c>
      <c r="DB164" s="4">
        <f t="shared" si="518"/>
        <v>0</v>
      </c>
      <c r="DC164" s="4" t="e">
        <f>#REF!</f>
        <v>#REF!</v>
      </c>
      <c r="DF164" s="4">
        <f t="shared" si="582"/>
        <v>1.7905564181465992E-5</v>
      </c>
      <c r="DG164" s="4" t="e">
        <f t="shared" si="519"/>
        <v>#REF!</v>
      </c>
      <c r="DL164" s="38">
        <f t="shared" si="584"/>
        <v>81.461055336491228</v>
      </c>
      <c r="DM164" s="4" t="e">
        <f t="shared" si="623"/>
        <v>#REF!</v>
      </c>
      <c r="DO164" s="4">
        <f t="shared" si="624"/>
        <v>81.461055336491228</v>
      </c>
      <c r="DS164" s="4" t="e">
        <f t="shared" si="658"/>
        <v>#REF!</v>
      </c>
      <c r="DT164" s="4">
        <f t="shared" si="659"/>
        <v>0.83503937007874018</v>
      </c>
      <c r="DU164" s="4">
        <f t="shared" si="660"/>
        <v>1</v>
      </c>
      <c r="DV164" s="4">
        <f t="shared" si="661"/>
        <v>0.83503937007874018</v>
      </c>
      <c r="DY164" s="25"/>
      <c r="EB164" s="4" t="e">
        <f t="shared" si="662"/>
        <v>#REF!</v>
      </c>
      <c r="EE164" s="4">
        <f t="shared" si="592"/>
        <v>56.796126628494655</v>
      </c>
      <c r="EF164" s="4">
        <f t="shared" si="520"/>
        <v>2.2360679774997898</v>
      </c>
      <c r="EG164" s="4">
        <f t="shared" si="594"/>
        <v>4.9121773799761105E-2</v>
      </c>
      <c r="EJ164" s="4">
        <f t="shared" si="663"/>
        <v>4.9121773799761105E-2</v>
      </c>
      <c r="EK164" s="4">
        <f t="shared" si="664"/>
        <v>0.1790096950802787</v>
      </c>
      <c r="EL164" s="4" t="e">
        <f t="shared" si="521"/>
        <v>#REF!</v>
      </c>
      <c r="EM164" s="4" t="e">
        <f t="shared" si="665"/>
        <v>#REF!</v>
      </c>
      <c r="EN164" s="4" t="e">
        <f t="shared" si="673"/>
        <v>#REF!</v>
      </c>
      <c r="EO164" s="4" t="e">
        <f t="shared" si="674"/>
        <v>#REF!</v>
      </c>
      <c r="EP164" s="4" t="e">
        <f t="shared" si="666"/>
        <v>#REF!</v>
      </c>
      <c r="EQ164" s="4" t="e">
        <f t="shared" si="667"/>
        <v>#REF!</v>
      </c>
      <c r="ER164" s="4" t="e">
        <f t="shared" si="668"/>
        <v>#REF!</v>
      </c>
      <c r="FA164" s="23"/>
      <c r="FB164" s="23"/>
      <c r="FC164" s="23"/>
      <c r="FD164" s="23"/>
      <c r="FE164" s="23"/>
      <c r="FF164" s="23"/>
      <c r="FG164" s="23"/>
      <c r="FH164" s="23"/>
      <c r="FR164" s="4">
        <f t="shared" si="607"/>
        <v>1</v>
      </c>
      <c r="FS164" s="4">
        <f t="shared" si="608"/>
        <v>1.0833333333333333</v>
      </c>
      <c r="FT164" s="4">
        <f t="shared" si="609"/>
        <v>0</v>
      </c>
      <c r="FU164" s="4">
        <f t="shared" si="610"/>
        <v>214.13580526663139</v>
      </c>
    </row>
    <row r="165" spans="1:177" ht="12" customHeight="1" x14ac:dyDescent="0.3">
      <c r="B165" s="24"/>
      <c r="C165" s="4" t="s">
        <v>121</v>
      </c>
      <c r="D165" s="7">
        <v>454.8</v>
      </c>
      <c r="E165" s="7">
        <v>212</v>
      </c>
      <c r="F165" s="7">
        <v>25.1</v>
      </c>
      <c r="G165" s="7">
        <v>25.4</v>
      </c>
      <c r="H165" s="7">
        <v>160</v>
      </c>
      <c r="I165" s="7">
        <f t="shared" si="630"/>
        <v>67.3</v>
      </c>
      <c r="J165" s="7" t="e">
        <f>323-9-#REF!</f>
        <v>#REF!</v>
      </c>
      <c r="K165" s="7">
        <v>0</v>
      </c>
      <c r="L165" s="7">
        <v>1</v>
      </c>
      <c r="M165" s="7">
        <f t="shared" ref="M165:M167" si="675">323-45</f>
        <v>278</v>
      </c>
      <c r="N165" s="7">
        <f t="shared" si="631"/>
        <v>3.1496062992125986</v>
      </c>
      <c r="O165" s="7">
        <f t="shared" si="632"/>
        <v>3.1496062992125986</v>
      </c>
      <c r="P165" s="7">
        <f t="shared" ref="P165:Q215" si="676">2040/510</f>
        <v>4</v>
      </c>
      <c r="Q165" s="7">
        <f t="shared" si="676"/>
        <v>4</v>
      </c>
      <c r="R165" s="7">
        <f t="shared" si="633"/>
        <v>5</v>
      </c>
      <c r="S165" s="7">
        <f t="shared" si="634"/>
        <v>56.796126628494655</v>
      </c>
      <c r="T165" s="7">
        <f t="shared" si="635"/>
        <v>454.8</v>
      </c>
      <c r="U165" s="7">
        <v>9</v>
      </c>
      <c r="V165" s="7"/>
      <c r="W165" s="32" t="s">
        <v>308</v>
      </c>
      <c r="X165" s="7"/>
      <c r="Y165" s="7"/>
      <c r="Z165" s="7"/>
      <c r="AA165" s="7">
        <v>1</v>
      </c>
      <c r="AB165" s="7"/>
      <c r="AC165" s="7"/>
      <c r="AD165" s="7"/>
      <c r="AE165" s="4">
        <f t="shared" si="636"/>
        <v>212</v>
      </c>
      <c r="AF165" s="4">
        <f t="shared" si="637"/>
        <v>0.25157232704402516</v>
      </c>
      <c r="AG165" s="4">
        <f t="shared" si="638"/>
        <v>290.65017450591699</v>
      </c>
      <c r="AH165" s="4">
        <f t="shared" si="639"/>
        <v>0.77547169811320749</v>
      </c>
      <c r="AI165" s="4">
        <v>1.25</v>
      </c>
      <c r="AJ165" s="25">
        <v>1</v>
      </c>
      <c r="AK165" s="38">
        <f t="shared" si="671"/>
        <v>70.877668044340737</v>
      </c>
      <c r="AN165" s="38">
        <f t="shared" si="640"/>
        <v>74.425570064086557</v>
      </c>
      <c r="AO165" s="38">
        <f t="shared" si="548"/>
        <v>0.95232952845788377</v>
      </c>
      <c r="AP165" s="38">
        <f t="shared" si="641"/>
        <v>4.2488149189674065</v>
      </c>
      <c r="AQ165" s="4">
        <f t="shared" si="642"/>
        <v>0</v>
      </c>
      <c r="AR165" s="4" t="e">
        <f>#REF!/G165*F165^0.5/0.19</f>
        <v>#REF!</v>
      </c>
      <c r="AS165" s="4">
        <f t="shared" si="549"/>
        <v>1</v>
      </c>
      <c r="AT165" s="38">
        <f t="shared" si="643"/>
        <v>316.22047244094495</v>
      </c>
      <c r="AU165" s="4">
        <f t="shared" si="644"/>
        <v>0.44000000000000006</v>
      </c>
      <c r="AV165" s="4" t="e">
        <f>AU165*D165*#REF!/(D165*G165/2.75/F165^0.5)</f>
        <v>#REF!</v>
      </c>
      <c r="AW165" s="4" t="e">
        <f t="shared" si="645"/>
        <v>#REF!</v>
      </c>
      <c r="AY165" s="4">
        <f t="shared" si="627"/>
        <v>1.4124015748031495</v>
      </c>
      <c r="AZ165" s="4" t="e">
        <f>(3*#REF!+30)*AY165*F165^0.5</f>
        <v>#REF!</v>
      </c>
      <c r="BB165" s="4">
        <f t="shared" si="646"/>
        <v>303.29410431474349</v>
      </c>
      <c r="BC165" s="4">
        <f t="shared" si="647"/>
        <v>1084.9722194286705</v>
      </c>
      <c r="BD165" s="4">
        <f t="shared" si="672"/>
        <v>3.5772941313186242</v>
      </c>
      <c r="BL165" s="4">
        <f t="shared" si="648"/>
        <v>67.3</v>
      </c>
      <c r="BP165" s="9"/>
      <c r="BR165" s="9"/>
      <c r="BS165" s="9"/>
      <c r="BT165" s="9" t="e">
        <f t="shared" si="649"/>
        <v>#REF!</v>
      </c>
      <c r="BU165" s="9">
        <f t="shared" si="650"/>
        <v>67.3</v>
      </c>
      <c r="BV165" s="9" t="e">
        <f t="shared" si="651"/>
        <v>#REF!</v>
      </c>
      <c r="BW165" s="9">
        <v>0</v>
      </c>
      <c r="BX165" s="9">
        <f t="shared" si="652"/>
        <v>0</v>
      </c>
      <c r="BY165" s="9">
        <f t="shared" si="653"/>
        <v>0</v>
      </c>
      <c r="BZ165" s="9">
        <f t="shared" si="654"/>
        <v>0.99524931562137331</v>
      </c>
      <c r="CA165" s="9">
        <f t="shared" si="655"/>
        <v>1.0903999999999998</v>
      </c>
      <c r="CB165" s="9">
        <f t="shared" si="656"/>
        <v>1.9029292228649537</v>
      </c>
      <c r="CC165" s="9" t="e">
        <f t="shared" si="657"/>
        <v>#REF!</v>
      </c>
      <c r="CD165" s="9">
        <v>1</v>
      </c>
      <c r="CE165" s="9" t="e">
        <f>4*CC165*#REF!+60*CC165</f>
        <v>#REF!</v>
      </c>
      <c r="DB165" s="4">
        <f t="shared" ref="DB165:DB229" si="677">Z165</f>
        <v>0</v>
      </c>
      <c r="DC165" s="4" t="e">
        <f>#REF!</f>
        <v>#REF!</v>
      </c>
      <c r="DF165" s="4">
        <f t="shared" si="582"/>
        <v>1.4378710630571176E-5</v>
      </c>
      <c r="DG165" s="4" t="e">
        <f t="shared" ref="DG165:DG167" si="678">EB165</f>
        <v>#REF!</v>
      </c>
      <c r="DL165" s="38">
        <f t="shared" si="584"/>
        <v>74.425570064086557</v>
      </c>
      <c r="DM165" s="4" t="e">
        <f t="shared" si="623"/>
        <v>#REF!</v>
      </c>
      <c r="DO165" s="4">
        <f t="shared" si="624"/>
        <v>74.425570064086557</v>
      </c>
      <c r="DS165" s="4" t="e">
        <f t="shared" si="658"/>
        <v>#REF!</v>
      </c>
      <c r="DT165" s="4">
        <f t="shared" si="659"/>
        <v>0.83503937007874018</v>
      </c>
      <c r="DU165" s="4">
        <f t="shared" si="660"/>
        <v>1</v>
      </c>
      <c r="DV165" s="4">
        <f t="shared" si="661"/>
        <v>0.83503937007874018</v>
      </c>
      <c r="DY165" s="25"/>
      <c r="EB165" s="4" t="e">
        <f t="shared" si="662"/>
        <v>#REF!</v>
      </c>
      <c r="EE165" s="4">
        <f t="shared" si="592"/>
        <v>56.796126628494655</v>
      </c>
      <c r="EF165" s="4">
        <f>R165^0.5</f>
        <v>2.2360679774997898</v>
      </c>
      <c r="EG165" s="4">
        <f t="shared" si="594"/>
        <v>4.4879310763957535E-2</v>
      </c>
      <c r="EJ165" s="4">
        <f t="shared" si="663"/>
        <v>4.4879310763957535E-2</v>
      </c>
      <c r="EK165" s="4">
        <f t="shared" si="664"/>
        <v>0.16354930031676054</v>
      </c>
      <c r="EL165" s="4" t="e">
        <f t="shared" ref="EL165:EL229" si="679">EB165/1*EK165^0.4</f>
        <v>#REF!</v>
      </c>
      <c r="EM165" s="4" t="e">
        <f t="shared" si="665"/>
        <v>#REF!</v>
      </c>
      <c r="EN165" s="4" t="e">
        <f t="shared" si="673"/>
        <v>#REF!</v>
      </c>
      <c r="EO165" s="4" t="e">
        <f t="shared" si="674"/>
        <v>#REF!</v>
      </c>
      <c r="EP165" s="4" t="e">
        <f t="shared" si="666"/>
        <v>#REF!</v>
      </c>
      <c r="EQ165" s="4" t="e">
        <f t="shared" si="667"/>
        <v>#REF!</v>
      </c>
      <c r="ER165" s="4" t="e">
        <f t="shared" si="668"/>
        <v>#REF!</v>
      </c>
      <c r="FA165" s="23"/>
      <c r="FB165" s="23"/>
      <c r="FC165" s="23"/>
      <c r="FD165" s="23"/>
      <c r="FE165" s="23"/>
      <c r="FF165" s="23"/>
      <c r="FG165" s="23"/>
      <c r="FH165" s="23"/>
      <c r="FR165" s="4">
        <f t="shared" si="607"/>
        <v>1</v>
      </c>
      <c r="FS165" s="4">
        <f t="shared" si="608"/>
        <v>1.0833333333333333</v>
      </c>
      <c r="FT165" s="4">
        <f t="shared" si="609"/>
        <v>0</v>
      </c>
      <c r="FU165" s="4">
        <f t="shared" si="610"/>
        <v>171.95754059290095</v>
      </c>
    </row>
    <row r="166" spans="1:177" ht="12" customHeight="1" x14ac:dyDescent="0.3">
      <c r="B166" s="24"/>
      <c r="C166" s="4" t="s">
        <v>122</v>
      </c>
      <c r="D166" s="7">
        <v>454.8</v>
      </c>
      <c r="E166" s="7">
        <v>212</v>
      </c>
      <c r="F166" s="7">
        <v>25.1</v>
      </c>
      <c r="G166" s="7">
        <v>25.4</v>
      </c>
      <c r="H166" s="7">
        <v>160</v>
      </c>
      <c r="I166" s="7">
        <f t="shared" si="630"/>
        <v>67.3</v>
      </c>
      <c r="J166" s="7" t="e">
        <f>323-9-#REF!</f>
        <v>#REF!</v>
      </c>
      <c r="K166" s="7">
        <v>0</v>
      </c>
      <c r="L166" s="7">
        <v>1</v>
      </c>
      <c r="M166" s="7">
        <f t="shared" si="675"/>
        <v>278</v>
      </c>
      <c r="N166" s="7">
        <f t="shared" si="631"/>
        <v>3.1496062992125986</v>
      </c>
      <c r="O166" s="7">
        <f t="shared" si="632"/>
        <v>3.1496062992125986</v>
      </c>
      <c r="P166" s="7">
        <f t="shared" si="676"/>
        <v>4</v>
      </c>
      <c r="Q166" s="7">
        <f t="shared" si="676"/>
        <v>4</v>
      </c>
      <c r="R166" s="7">
        <f t="shared" si="633"/>
        <v>5</v>
      </c>
      <c r="S166" s="7">
        <f t="shared" si="634"/>
        <v>56.796126628494655</v>
      </c>
      <c r="T166" s="7">
        <f t="shared" si="635"/>
        <v>454.8</v>
      </c>
      <c r="U166" s="7">
        <v>9</v>
      </c>
      <c r="V166" s="7"/>
      <c r="W166" s="32" t="s">
        <v>308</v>
      </c>
      <c r="X166" s="7"/>
      <c r="Y166" s="7"/>
      <c r="Z166" s="7"/>
      <c r="AA166" s="7">
        <v>1</v>
      </c>
      <c r="AB166" s="7"/>
      <c r="AC166" s="7"/>
      <c r="AD166" s="7">
        <f>3*AE166/(K166+G166)</f>
        <v>25.039370078740159</v>
      </c>
      <c r="AE166" s="4">
        <f t="shared" si="636"/>
        <v>212</v>
      </c>
      <c r="AF166" s="4">
        <f t="shared" si="637"/>
        <v>0.25157232704402516</v>
      </c>
      <c r="AG166" s="4">
        <f t="shared" si="638"/>
        <v>290.65017450591699</v>
      </c>
      <c r="AH166" s="4">
        <f t="shared" si="639"/>
        <v>0.77547169811320749</v>
      </c>
      <c r="AI166" s="4">
        <v>1.25</v>
      </c>
      <c r="AJ166" s="25">
        <v>1</v>
      </c>
      <c r="AK166" s="38">
        <f t="shared" si="671"/>
        <v>70.877668044340737</v>
      </c>
      <c r="AN166" s="38">
        <f t="shared" si="640"/>
        <v>74.425570064086557</v>
      </c>
      <c r="AO166" s="38">
        <f t="shared" si="548"/>
        <v>0.95232952845788377</v>
      </c>
      <c r="AP166" s="38">
        <f t="shared" si="641"/>
        <v>4.2488149189674065</v>
      </c>
      <c r="AQ166" s="4">
        <f t="shared" si="642"/>
        <v>0</v>
      </c>
      <c r="AR166" s="4" t="e">
        <f>#REF!/G166*F166^0.5/0.19</f>
        <v>#REF!</v>
      </c>
      <c r="AS166" s="4">
        <f t="shared" si="549"/>
        <v>1</v>
      </c>
      <c r="AT166" s="38">
        <f t="shared" si="643"/>
        <v>316.22047244094495</v>
      </c>
      <c r="AU166" s="4">
        <f t="shared" si="644"/>
        <v>0.44000000000000006</v>
      </c>
      <c r="AV166" s="4" t="e">
        <f>AU166*D166*#REF!/(D166*G166/2.75/F166^0.5)</f>
        <v>#REF!</v>
      </c>
      <c r="AW166" s="4" t="e">
        <f t="shared" si="645"/>
        <v>#REF!</v>
      </c>
      <c r="AY166" s="4">
        <f t="shared" si="627"/>
        <v>1.4124015748031495</v>
      </c>
      <c r="AZ166" s="4" t="e">
        <f>(3*#REF!+30)*AY166*F166^0.5</f>
        <v>#REF!</v>
      </c>
      <c r="BB166" s="4">
        <f t="shared" si="646"/>
        <v>303.29410431474349</v>
      </c>
      <c r="BC166" s="4">
        <f t="shared" si="647"/>
        <v>1084.9722194286705</v>
      </c>
      <c r="BD166" s="4">
        <f t="shared" si="672"/>
        <v>3.5772941313186242</v>
      </c>
      <c r="BL166" s="4">
        <f t="shared" si="648"/>
        <v>67.3</v>
      </c>
      <c r="BP166" s="9"/>
      <c r="BR166" s="9"/>
      <c r="BS166" s="9"/>
      <c r="BT166" s="9" t="e">
        <f t="shared" si="649"/>
        <v>#REF!</v>
      </c>
      <c r="BU166" s="9">
        <f t="shared" si="650"/>
        <v>67.3</v>
      </c>
      <c r="BV166" s="9" t="e">
        <f t="shared" si="651"/>
        <v>#REF!</v>
      </c>
      <c r="BW166" s="9">
        <v>0</v>
      </c>
      <c r="BX166" s="9">
        <f t="shared" si="652"/>
        <v>0</v>
      </c>
      <c r="BY166" s="9">
        <f t="shared" si="653"/>
        <v>0</v>
      </c>
      <c r="BZ166" s="9">
        <f t="shared" si="654"/>
        <v>0.99524931562137331</v>
      </c>
      <c r="CA166" s="9">
        <f t="shared" si="655"/>
        <v>1.0903999999999998</v>
      </c>
      <c r="CB166" s="9">
        <f t="shared" si="656"/>
        <v>1.9029292228649537</v>
      </c>
      <c r="CC166" s="9" t="e">
        <f t="shared" si="657"/>
        <v>#REF!</v>
      </c>
      <c r="CD166" s="9">
        <v>1</v>
      </c>
      <c r="CE166" s="9" t="e">
        <f>4*CC166*#REF!+60*CC166</f>
        <v>#REF!</v>
      </c>
      <c r="DB166" s="4">
        <f t="shared" si="677"/>
        <v>0</v>
      </c>
      <c r="DC166" s="4" t="e">
        <f>#REF!</f>
        <v>#REF!</v>
      </c>
      <c r="DF166" s="4">
        <f t="shared" si="582"/>
        <v>1.4378710630571176E-5</v>
      </c>
      <c r="DG166" s="4" t="e">
        <f t="shared" si="678"/>
        <v>#REF!</v>
      </c>
      <c r="DL166" s="38">
        <f t="shared" si="584"/>
        <v>74.425570064086557</v>
      </c>
      <c r="DM166" s="4" t="e">
        <f t="shared" si="623"/>
        <v>#REF!</v>
      </c>
      <c r="DO166" s="4">
        <f t="shared" si="624"/>
        <v>74.425570064086557</v>
      </c>
      <c r="DS166" s="4" t="e">
        <f t="shared" si="658"/>
        <v>#REF!</v>
      </c>
      <c r="DT166" s="4">
        <f t="shared" si="659"/>
        <v>0.83503937007874018</v>
      </c>
      <c r="DU166" s="4">
        <f t="shared" si="660"/>
        <v>1</v>
      </c>
      <c r="DV166" s="4">
        <f t="shared" si="661"/>
        <v>0.83503937007874018</v>
      </c>
      <c r="DY166" s="25"/>
      <c r="EB166" s="4" t="e">
        <f t="shared" si="662"/>
        <v>#REF!</v>
      </c>
      <c r="EE166" s="4">
        <f t="shared" si="592"/>
        <v>56.796126628494655</v>
      </c>
      <c r="EF166" s="4">
        <f>R166^0.5</f>
        <v>2.2360679774997898</v>
      </c>
      <c r="EG166" s="4">
        <f t="shared" si="594"/>
        <v>4.4879310763957535E-2</v>
      </c>
      <c r="EJ166" s="4">
        <f t="shared" si="663"/>
        <v>4.4879310763957535E-2</v>
      </c>
      <c r="EK166" s="4">
        <f t="shared" si="664"/>
        <v>0.16354930031676054</v>
      </c>
      <c r="EL166" s="4" t="e">
        <f t="shared" si="679"/>
        <v>#REF!</v>
      </c>
      <c r="EM166" s="4" t="e">
        <f t="shared" si="665"/>
        <v>#REF!</v>
      </c>
      <c r="EN166" s="4" t="e">
        <f t="shared" si="673"/>
        <v>#REF!</v>
      </c>
      <c r="EO166" s="4" t="e">
        <f t="shared" si="674"/>
        <v>#REF!</v>
      </c>
      <c r="EP166" s="4" t="e">
        <f t="shared" si="666"/>
        <v>#REF!</v>
      </c>
      <c r="EQ166" s="4" t="e">
        <f t="shared" si="667"/>
        <v>#REF!</v>
      </c>
      <c r="ER166" s="4" t="e">
        <f t="shared" si="668"/>
        <v>#REF!</v>
      </c>
      <c r="FA166" s="23"/>
      <c r="FB166" s="23"/>
      <c r="FC166" s="23"/>
      <c r="FD166" s="23"/>
      <c r="FE166" s="23"/>
      <c r="FF166" s="23"/>
      <c r="FG166" s="23"/>
      <c r="FH166" s="23"/>
      <c r="FR166" s="4">
        <f t="shared" si="607"/>
        <v>1</v>
      </c>
      <c r="FS166" s="4">
        <f t="shared" si="608"/>
        <v>1.0833333333333333</v>
      </c>
      <c r="FT166" s="4">
        <f t="shared" si="609"/>
        <v>0</v>
      </c>
      <c r="FU166" s="4">
        <f t="shared" si="610"/>
        <v>171.95754059290095</v>
      </c>
    </row>
    <row r="167" spans="1:177" ht="12" customHeight="1" x14ac:dyDescent="0.3">
      <c r="B167" s="24"/>
      <c r="C167" s="4" t="s">
        <v>123</v>
      </c>
      <c r="D167" s="7">
        <v>454.8</v>
      </c>
      <c r="E167" s="7">
        <v>161</v>
      </c>
      <c r="F167" s="7">
        <v>25.1</v>
      </c>
      <c r="G167" s="7">
        <v>25.4</v>
      </c>
      <c r="H167" s="7">
        <v>160</v>
      </c>
      <c r="I167" s="7">
        <f t="shared" si="630"/>
        <v>67.3</v>
      </c>
      <c r="J167" s="7" t="e">
        <f>323-9-#REF!</f>
        <v>#REF!</v>
      </c>
      <c r="K167" s="7">
        <v>0</v>
      </c>
      <c r="L167" s="7">
        <v>1</v>
      </c>
      <c r="M167" s="7">
        <f t="shared" si="675"/>
        <v>278</v>
      </c>
      <c r="N167" s="7">
        <f t="shared" si="631"/>
        <v>3.1496062992125986</v>
      </c>
      <c r="O167" s="7">
        <f t="shared" si="632"/>
        <v>3.1496062992125986</v>
      </c>
      <c r="P167" s="7">
        <f t="shared" si="676"/>
        <v>4</v>
      </c>
      <c r="Q167" s="7">
        <f t="shared" si="676"/>
        <v>4</v>
      </c>
      <c r="R167" s="7">
        <f t="shared" si="633"/>
        <v>5</v>
      </c>
      <c r="S167" s="7">
        <f t="shared" si="634"/>
        <v>56.796126628494655</v>
      </c>
      <c r="T167" s="7">
        <f t="shared" si="635"/>
        <v>454.8</v>
      </c>
      <c r="U167" s="7">
        <v>9</v>
      </c>
      <c r="V167" s="7">
        <f>(59+56)/2/510*1000</f>
        <v>112.74509803921569</v>
      </c>
      <c r="W167" s="7"/>
      <c r="X167" s="7"/>
      <c r="Y167" s="7"/>
      <c r="Z167" s="7"/>
      <c r="AA167" s="7">
        <v>1</v>
      </c>
      <c r="AB167" s="7"/>
      <c r="AC167" s="7"/>
      <c r="AD167" s="7">
        <f>3*AE167/(K167+G167)</f>
        <v>19.015748031496063</v>
      </c>
      <c r="AE167" s="4">
        <f t="shared" si="636"/>
        <v>161</v>
      </c>
      <c r="AF167" s="4">
        <f t="shared" si="637"/>
        <v>0.33126293995859213</v>
      </c>
      <c r="AG167" s="4">
        <f t="shared" si="638"/>
        <v>183.73304806343879</v>
      </c>
      <c r="AH167" s="4">
        <f t="shared" si="639"/>
        <v>0.79937888198757756</v>
      </c>
      <c r="AI167" s="4">
        <v>1.25</v>
      </c>
      <c r="AJ167" s="25">
        <v>1</v>
      </c>
      <c r="AK167" s="38">
        <f t="shared" si="671"/>
        <v>60.816695049739771</v>
      </c>
      <c r="AN167" s="38">
        <f t="shared" si="640"/>
        <v>66.858079292379969</v>
      </c>
      <c r="AO167" s="38">
        <f t="shared" si="548"/>
        <v>0.90963868082090182</v>
      </c>
      <c r="AP167" s="38">
        <f t="shared" si="641"/>
        <v>4.7297271442403765</v>
      </c>
      <c r="AQ167" s="4">
        <f t="shared" si="642"/>
        <v>0</v>
      </c>
      <c r="AR167" s="4" t="e">
        <f>#REF!/G167*F167^0.5/0.19</f>
        <v>#REF!</v>
      </c>
      <c r="AS167" s="4">
        <f t="shared" si="549"/>
        <v>1</v>
      </c>
      <c r="AT167" s="38">
        <f t="shared" si="643"/>
        <v>316.22047244094495</v>
      </c>
      <c r="AU167" s="4">
        <f t="shared" si="644"/>
        <v>0.44000000000000006</v>
      </c>
      <c r="AV167" s="4" t="e">
        <f>AU167*D167*#REF!/(D167*G167/2.75/F167^0.5)</f>
        <v>#REF!</v>
      </c>
      <c r="AW167" s="4" t="e">
        <f t="shared" si="645"/>
        <v>#REF!</v>
      </c>
      <c r="AY167" s="4">
        <f t="shared" si="627"/>
        <v>1.4124015748031495</v>
      </c>
      <c r="AZ167" s="4" t="e">
        <f>(3*#REF!+30)*AY167*F167^0.5</f>
        <v>#REF!</v>
      </c>
      <c r="BB167" s="4">
        <f t="shared" si="646"/>
        <v>303.29410431474349</v>
      </c>
      <c r="BC167" s="4">
        <f t="shared" si="647"/>
        <v>1084.9722194286705</v>
      </c>
      <c r="BD167" s="4">
        <f t="shared" si="672"/>
        <v>3.5772941313186242</v>
      </c>
      <c r="BL167" s="4">
        <f t="shared" si="648"/>
        <v>67.3</v>
      </c>
      <c r="BP167" s="9"/>
      <c r="BR167" s="9"/>
      <c r="BS167" s="9"/>
      <c r="BT167" s="9" t="e">
        <f t="shared" si="649"/>
        <v>#REF!</v>
      </c>
      <c r="BU167" s="9">
        <f t="shared" si="650"/>
        <v>67.3</v>
      </c>
      <c r="BV167" s="9" t="e">
        <f t="shared" si="651"/>
        <v>#REF!</v>
      </c>
      <c r="BW167" s="9">
        <v>0</v>
      </c>
      <c r="BX167" s="9">
        <f t="shared" si="652"/>
        <v>0</v>
      </c>
      <c r="BY167" s="9">
        <f t="shared" si="653"/>
        <v>0</v>
      </c>
      <c r="BZ167" s="9">
        <f t="shared" si="654"/>
        <v>0.99524931562137331</v>
      </c>
      <c r="CA167" s="9">
        <f t="shared" si="655"/>
        <v>1.0903999999999998</v>
      </c>
      <c r="CB167" s="9">
        <f t="shared" si="656"/>
        <v>1.9029292228649537</v>
      </c>
      <c r="CC167" s="9" t="e">
        <f t="shared" si="657"/>
        <v>#REF!</v>
      </c>
      <c r="CD167" s="9">
        <v>1</v>
      </c>
      <c r="CE167" s="9" t="e">
        <f>4*CC167*#REF!+60*CC167</f>
        <v>#REF!</v>
      </c>
      <c r="DB167" s="4">
        <f t="shared" si="677"/>
        <v>0</v>
      </c>
      <c r="DC167" s="4" t="e">
        <f>#REF!</f>
        <v>#REF!</v>
      </c>
      <c r="DF167" s="4">
        <f t="shared" si="582"/>
        <v>1.0919681186424338E-5</v>
      </c>
      <c r="DG167" s="4" t="e">
        <f t="shared" si="678"/>
        <v>#REF!</v>
      </c>
      <c r="DL167" s="38">
        <f t="shared" si="584"/>
        <v>66.858079292379969</v>
      </c>
      <c r="DM167" s="4" t="e">
        <f t="shared" si="623"/>
        <v>#REF!</v>
      </c>
      <c r="DO167" s="4">
        <f t="shared" si="624"/>
        <v>66.858079292379969</v>
      </c>
      <c r="DS167" s="4" t="e">
        <f t="shared" si="658"/>
        <v>#REF!</v>
      </c>
      <c r="DT167" s="4">
        <f t="shared" si="659"/>
        <v>0.83503937007874018</v>
      </c>
      <c r="DU167" s="4">
        <f t="shared" si="660"/>
        <v>1</v>
      </c>
      <c r="DV167" s="4">
        <f t="shared" si="661"/>
        <v>0.83503937007874018</v>
      </c>
      <c r="DY167" s="25"/>
      <c r="EB167" s="4" t="e">
        <f t="shared" si="662"/>
        <v>#REF!</v>
      </c>
      <c r="EE167" s="4">
        <f t="shared" si="592"/>
        <v>56.796126628494655</v>
      </c>
      <c r="EF167" s="4">
        <f>R167^0.5</f>
        <v>2.2360679774997898</v>
      </c>
      <c r="EG167" s="4">
        <f t="shared" si="594"/>
        <v>4.0316043465442299E-2</v>
      </c>
      <c r="EJ167" s="4">
        <f t="shared" si="663"/>
        <v>4.0316043465442299E-2</v>
      </c>
      <c r="EK167" s="4">
        <f t="shared" si="664"/>
        <v>0.14691982982966276</v>
      </c>
      <c r="EL167" s="4" t="e">
        <f t="shared" si="679"/>
        <v>#REF!</v>
      </c>
      <c r="EM167" s="4" t="e">
        <f t="shared" si="665"/>
        <v>#REF!</v>
      </c>
      <c r="EN167" s="4" t="e">
        <f t="shared" si="673"/>
        <v>#REF!</v>
      </c>
      <c r="EO167" s="4" t="e">
        <f t="shared" si="674"/>
        <v>#REF!</v>
      </c>
      <c r="EP167" s="4" t="e">
        <f t="shared" si="666"/>
        <v>#REF!</v>
      </c>
      <c r="EQ167" s="4" t="e">
        <f t="shared" si="667"/>
        <v>#REF!</v>
      </c>
      <c r="ER167" s="4" t="e">
        <f t="shared" si="668"/>
        <v>#REF!</v>
      </c>
      <c r="FA167" s="23"/>
      <c r="FB167" s="23"/>
      <c r="FC167" s="23"/>
      <c r="FD167" s="23"/>
      <c r="FE167" s="23"/>
      <c r="FF167" s="23"/>
      <c r="FG167" s="23"/>
      <c r="FH167" s="23"/>
      <c r="FR167" s="4">
        <f t="shared" si="607"/>
        <v>1</v>
      </c>
      <c r="FS167" s="4">
        <f t="shared" si="608"/>
        <v>1.0833333333333333</v>
      </c>
      <c r="FT167" s="4">
        <f t="shared" si="609"/>
        <v>0</v>
      </c>
      <c r="FU167" s="4">
        <f t="shared" si="610"/>
        <v>130.59039639366534</v>
      </c>
    </row>
    <row r="168" spans="1:177" ht="12" customHeight="1" x14ac:dyDescent="0.3">
      <c r="AN168" s="38" t="e">
        <f t="shared" si="640"/>
        <v>#DIV/0!</v>
      </c>
      <c r="AO168" s="38" t="e">
        <f t="shared" si="548"/>
        <v>#DIV/0!</v>
      </c>
      <c r="FR168" s="4">
        <f t="shared" si="607"/>
        <v>1.25</v>
      </c>
      <c r="FS168" s="4" t="e">
        <f t="shared" si="608"/>
        <v>#DIV/0!</v>
      </c>
      <c r="FT168" s="4" t="e">
        <f t="shared" si="609"/>
        <v>#DIV/0!</v>
      </c>
      <c r="FU168" s="4" t="e">
        <f t="shared" si="610"/>
        <v>#DIV/0!</v>
      </c>
    </row>
    <row r="169" spans="1:177" ht="12" customHeight="1" x14ac:dyDescent="0.3">
      <c r="A169" s="4">
        <v>6</v>
      </c>
      <c r="B169" s="24" t="s">
        <v>326</v>
      </c>
      <c r="C169" s="4" t="s">
        <v>155</v>
      </c>
      <c r="D169" s="7">
        <v>606</v>
      </c>
      <c r="E169" s="7">
        <f>7*G169</f>
        <v>301</v>
      </c>
      <c r="F169" s="7">
        <v>47.9</v>
      </c>
      <c r="G169" s="37">
        <v>43</v>
      </c>
      <c r="H169" s="7">
        <f t="shared" ref="H169:H195" si="680">K169+2*I169+2*G169</f>
        <v>541.79999999999995</v>
      </c>
      <c r="I169" s="7">
        <f t="shared" ref="I169:I175" si="681">1*G169</f>
        <v>43</v>
      </c>
      <c r="J169" s="7">
        <f>40+16</f>
        <v>56</v>
      </c>
      <c r="K169" s="7">
        <f t="shared" ref="K169:K174" si="682">(9.6-1)*G169</f>
        <v>369.8</v>
      </c>
      <c r="L169" s="7">
        <v>2</v>
      </c>
      <c r="M169" s="7">
        <f t="shared" ref="M169:M174" si="683">2/3*E169-0.5*125</f>
        <v>138.16666666666666</v>
      </c>
      <c r="N169" s="7">
        <f t="shared" ref="N169:N232" si="684">MIN(I169/G169+0.5, K169/2/G169+0.5)</f>
        <v>1.5</v>
      </c>
      <c r="O169" s="7">
        <f t="shared" ref="O169:O232" si="685">I169/G169+0.5</f>
        <v>1.5</v>
      </c>
      <c r="P169" s="7">
        <f t="shared" si="676"/>
        <v>4</v>
      </c>
      <c r="Q169" s="7">
        <f t="shared" si="676"/>
        <v>4</v>
      </c>
      <c r="R169" s="7">
        <f t="shared" ref="R169:R232" si="686">Q169+1</f>
        <v>5</v>
      </c>
      <c r="S169" s="7">
        <f t="shared" ref="S169:S232" si="687">G169*R169^0.5</f>
        <v>96.150923032490965</v>
      </c>
      <c r="T169" s="7">
        <f t="shared" ref="T169:T200" si="688">D169</f>
        <v>606</v>
      </c>
      <c r="U169" s="7">
        <v>19</v>
      </c>
      <c r="V169" s="7">
        <f>(297+328)/2</f>
        <v>312.5</v>
      </c>
      <c r="W169" s="7"/>
      <c r="X169" s="4">
        <f t="shared" ref="X169:X232" si="689">CK169</f>
        <v>0.96129394656467926</v>
      </c>
      <c r="Y169" s="7"/>
      <c r="Z169" s="7"/>
      <c r="AA169" s="7">
        <v>1</v>
      </c>
      <c r="AB169" s="7"/>
      <c r="AC169" s="7"/>
      <c r="AD169" s="7">
        <f t="shared" ref="AD169:AD200" si="690">3*AE169/(K169+G169)</f>
        <v>2.1875</v>
      </c>
      <c r="AE169" s="4">
        <f t="shared" ref="AE169:AE232" si="691">E169</f>
        <v>301</v>
      </c>
      <c r="AF169" s="4">
        <f t="shared" ref="AF169:AF232" si="692">IF(E169*3&gt;K169+G169, H169, (I169+G169/2)*2+1.5*E169*(2*L169-2))*(3*E169)/(9*E169^2)</f>
        <v>0.6</v>
      </c>
      <c r="AG169" s="4">
        <f t="shared" ref="AG169:AG232" si="693">MIN(10*F169^0.5*E169^1.5,100*3.9*F169^0.5*E169^(5/3))/(PI()/4*G169^2)/L169</f>
        <v>124.44020328781106</v>
      </c>
      <c r="AH169" s="4">
        <f t="shared" ref="AH169:AH232" si="694">MIN(0.7+0.3*(MIN(I169,M169)+0.5*G169)/1.5/E169,1)</f>
        <v>0.74285714285714277</v>
      </c>
      <c r="AI169" s="4">
        <v>1.25</v>
      </c>
      <c r="AJ169" s="4">
        <v>2.5</v>
      </c>
      <c r="AK169" s="38">
        <f>AF169*AH169*AI169*AJ169*AG169</f>
        <v>173.32742600802251</v>
      </c>
      <c r="AL169" s="38">
        <f>AK169</f>
        <v>173.32742600802251</v>
      </c>
      <c r="AM169" s="38">
        <f t="shared" ref="AM169:AM232" si="695">IF(F169&lt;50, 0.3*F169^(2/3), 2.12*LN(1+0.1*(F169+8)))</f>
        <v>3.9568075739830846</v>
      </c>
      <c r="AN169" s="38">
        <f t="shared" si="640"/>
        <v>173.32742600802277</v>
      </c>
      <c r="AO169" s="38">
        <f t="shared" si="548"/>
        <v>0.99999999999999856</v>
      </c>
      <c r="AP169" s="38">
        <f t="shared" si="641"/>
        <v>1.6581334334630755</v>
      </c>
      <c r="AQ169" s="4">
        <f t="shared" si="642"/>
        <v>0</v>
      </c>
      <c r="AR169" s="4" t="e">
        <f>#REF!/G169*F169^0.5/0.19</f>
        <v>#REF!</v>
      </c>
      <c r="AS169" s="4">
        <f t="shared" ref="AS169:AS232" si="696">MIN(0.6+0.4*(O169/N169),2)</f>
        <v>1</v>
      </c>
      <c r="AT169" s="38">
        <f t="shared" ref="AT169:AT232" si="697">2*F169*N169*P169^0.5*AS169*0.7/0.7</f>
        <v>287.39999999999998</v>
      </c>
      <c r="AU169" s="4">
        <f t="shared" ref="AU169:AU232" si="698">MAX(1-0.7*Q169/5,0.3)</f>
        <v>0.44000000000000006</v>
      </c>
      <c r="AV169" s="4" t="e">
        <f>AU169*D169*#REF!/(D169*G169/2.75/F169^0.5)</f>
        <v>#REF!</v>
      </c>
      <c r="AW169" s="4" t="e">
        <f t="shared" ref="AW169:AW195" si="699">AT169+AV169</f>
        <v>#REF!</v>
      </c>
      <c r="AY169" s="4">
        <f t="shared" ref="AY169:AY232" si="700">MIN(1.5, 0.75+0.25*MIN(3,MAX(1,I169/G169))+0.4*MIN(1,(40*2*PI()*Y169^2/4/AA169/L169)/G169))</f>
        <v>1</v>
      </c>
      <c r="AZ169" s="4" t="e">
        <f>(3*#REF!+30)*AY169*F169^0.5</f>
        <v>#REF!</v>
      </c>
      <c r="BB169" s="4">
        <f t="shared" ref="BB169:BB232" si="701">3.4/PI()^0.5*F169*N169*Q169^0.5*AS169</f>
        <v>275.65174672976275</v>
      </c>
      <c r="BC169" s="4">
        <f t="shared" ref="BC169:BC200" si="702">8/3*T169*U169^2/(S169-G169-22)/G169*(S169^2-G169^2)/(S169^2-(G169+22)^2)</f>
        <v>641.65616063635548</v>
      </c>
      <c r="BD169" s="4">
        <f t="shared" ref="BD169:BD195" si="703">BC169/BB169</f>
        <v>2.3277783226434909</v>
      </c>
      <c r="BL169" s="4">
        <f t="shared" ref="BL169:BL232" si="704">IF(K169=0,I169,MIN(K169/2,I169))</f>
        <v>43</v>
      </c>
      <c r="BP169" s="9"/>
      <c r="BR169" s="9"/>
      <c r="BS169" s="9"/>
      <c r="BT169" s="9">
        <f t="shared" ref="BT169:BT232" si="705">IF(K169=0,MIN(I169,J169),MIN(K169/2,I169,J169))</f>
        <v>43</v>
      </c>
      <c r="BU169" s="9">
        <f t="shared" ref="BU169:BU232" si="706">MAX(K169/2,I169)</f>
        <v>184.9</v>
      </c>
      <c r="BV169" s="9">
        <f t="shared" ref="BV169:BV232" si="707">(BT169/G169)^0.5*(BU169/BT169)^0.15</f>
        <v>1.2445726940891169</v>
      </c>
      <c r="BW169" s="9">
        <v>0</v>
      </c>
      <c r="BX169" s="9">
        <f t="shared" ref="BX169:BX232" si="708">MIN(PI()*Y169^2/4*Z169*2/L169/G169/MAX(0.01,AA169),0.05)</f>
        <v>0</v>
      </c>
      <c r="BY169" s="9">
        <f t="shared" ref="BY169:BY195" si="709">MAX(0,BW169*(BX169-0.5/50))</f>
        <v>0</v>
      </c>
      <c r="BZ169" s="9">
        <f t="shared" ref="BZ169:BZ232" si="710">MIN(1,(25/G169)^0.3)</f>
        <v>0.84984840943171969</v>
      </c>
      <c r="CA169" s="9">
        <f t="shared" ref="CA169:CA232" si="711">IF(D169&gt;=800,0.68,IF(D169&gt;=700,0.75-(D169-700)*0.07/100,IF(D169&gt;=600,0.85-(D169-600)*0.1/100,IF(D169&gt;=500,1-(D169-500)*0.15/100,1.2-(D169-400)*0.2/100))))</f>
        <v>0.84399999999999997</v>
      </c>
      <c r="CB169" s="9">
        <f t="shared" ref="CB169:CB232" si="712">1.75*BZ169*CA169*(F169/25)^0.5</f>
        <v>1.7374795977330737</v>
      </c>
      <c r="CC169" s="9">
        <f t="shared" ref="CC169:CC232" si="713">MIN((BV169+BY169)*CB169,2.5*CB169,F169^0.5)</f>
        <v>2.1624196638755264</v>
      </c>
      <c r="CD169" s="9">
        <v>1</v>
      </c>
      <c r="CE169" s="9" t="e">
        <f>4*CC169*#REF!+60*CC169</f>
        <v>#REF!</v>
      </c>
      <c r="CG169" s="4" t="e">
        <f t="shared" ref="CG169:CG195" si="714">V169/AR169</f>
        <v>#REF!</v>
      </c>
      <c r="CH169" s="4" t="e">
        <f t="shared" ref="CH169:CH195" si="715">V169/AW169</f>
        <v>#REF!</v>
      </c>
      <c r="CI169" s="4" t="e">
        <f t="shared" ref="CI169:CI195" si="716">V169/AZ169</f>
        <v>#REF!</v>
      </c>
      <c r="CJ169" s="4" t="e">
        <f t="shared" ref="CJ169:CJ195" si="717">V169/CE169</f>
        <v>#REF!</v>
      </c>
      <c r="CK169" s="4">
        <f t="shared" ref="CK169:CK195" si="718">V169/DL169</f>
        <v>0.96129394656467926</v>
      </c>
      <c r="CL169" s="4">
        <f t="shared" ref="CL169:CL195" si="719">V169/DX169</f>
        <v>1.0049803374710342</v>
      </c>
      <c r="CM169" s="4">
        <f t="shared" ref="CM169:CM215" si="720">V169/FU169</f>
        <v>1.3838937040210169</v>
      </c>
      <c r="CO169" s="4" t="e">
        <f>CG169</f>
        <v>#REF!</v>
      </c>
      <c r="CP169" s="4" t="e">
        <f>CH169</f>
        <v>#REF!</v>
      </c>
      <c r="CQ169" s="4" t="e">
        <f>CJ169</f>
        <v>#REF!</v>
      </c>
      <c r="CR169" s="4">
        <f t="shared" ref="CR169:CR176" si="721">CM169</f>
        <v>1.3838937040210169</v>
      </c>
      <c r="CS169" s="4">
        <f>CK169</f>
        <v>0.96129394656467926</v>
      </c>
      <c r="CT169" s="4">
        <f>CL169</f>
        <v>1.0049803374710342</v>
      </c>
      <c r="DB169" s="4">
        <f t="shared" ref="DB169:DB195" si="722">Z169</f>
        <v>0</v>
      </c>
      <c r="DC169" s="4" t="e">
        <f>#REF!</f>
        <v>#REF!</v>
      </c>
      <c r="DF169" s="4">
        <f t="shared" ref="DF169:DF232" si="723">E169/4/(1-0.3*(F169/30)^0.5)/200000/G169</f>
        <v>1.4091943242647847E-5</v>
      </c>
      <c r="DG169" s="4">
        <f t="shared" ref="DG169:DG232" si="724">EB169</f>
        <v>6.6896087368323061</v>
      </c>
      <c r="DH169" s="4">
        <f t="shared" ref="DH169:DH232" si="725">DO169*S169/257/F169/P169</f>
        <v>0.33844812875228814</v>
      </c>
      <c r="DI169" s="4">
        <f t="shared" ref="DI169:DI232" si="726">DG169*DH169^0.4</f>
        <v>4.3370813109730566</v>
      </c>
      <c r="DJ169" s="4">
        <f t="shared" ref="DJ169:DJ232" si="727">MIN(DG169, DG169/1.4*(1-DH169^1.4)/(1-DH169))</f>
        <v>5.6379680974746442</v>
      </c>
      <c r="DK169" s="4">
        <f t="shared" ref="DK169:DK232" si="728">MAX(DG169/2, (4-DF169*(8*S169*(DI169-DJ169)+6*E169*DJ169))/(4+DF169*E169*DG169)*DG169)</f>
        <v>6.4276280243738011</v>
      </c>
      <c r="DL169" s="38">
        <f t="shared" ref="DL169:DL232" si="729">MIN(1/G169*(4*S169*(DI169-DJ169)+(3*DJ169+DK169)*E169)+DO169 -EV169,MAX(D169,V169))</f>
        <v>325.08266708301164</v>
      </c>
      <c r="DM169" s="4" t="e">
        <f t="shared" ref="DM169:DM232" si="730">DL169/ER169</f>
        <v>#REF!</v>
      </c>
      <c r="DN169" s="4">
        <f t="shared" ref="DN169:DN232" si="731">S169/G169</f>
        <v>2.2360679774997898</v>
      </c>
      <c r="DO169" s="4">
        <f t="shared" ref="DO169:DO181" si="732">MIN(DN$10*AN169)</f>
        <v>173.32742600802277</v>
      </c>
      <c r="DS169" s="4">
        <f t="shared" ref="DS169:DS232" si="733">IF(J169&gt;1*G169,0.85,1)</f>
        <v>0.85</v>
      </c>
      <c r="DT169" s="4">
        <f t="shared" ref="DT169:DT232" si="734">MIN(1,MAX(0.7,(1-0.1*(BL169-1*G169)/G169)))</f>
        <v>1</v>
      </c>
      <c r="DU169" s="4">
        <f t="shared" ref="DU169:DU232" si="735">MIN(1,MAX(0.7,1-0.3*(PI()*Y169^2/4*AC169*2-0.25*PI()/4*G169^2)/(PI()/4*G169^2)))</f>
        <v>1</v>
      </c>
      <c r="DV169" s="4">
        <f t="shared" ref="DV169:DV232" si="736">IF(DT169*DU169&lt;0.7,0.7,DT169*DU169)</f>
        <v>1</v>
      </c>
      <c r="DX169" s="4">
        <f t="shared" ref="DX169:DX232" si="737">MIN(DG169/G169*3*E169+DY169-EV169,MAX(D169,V169))</f>
        <v>310.95135730355219</v>
      </c>
      <c r="DY169" s="25">
        <f t="shared" ref="DY169:DY195" si="738">13.3*H169*E169^0.5*F169^0.5/L169/G169^2*(0.7+I169/5/E169)</f>
        <v>170.46957383007376</v>
      </c>
      <c r="EB169" s="4">
        <f t="shared" ref="EB169:EB232" si="739">IF(G169&lt;22.2,1.1*5*(F169/30)^0.5,IF(G169&gt;=31.8,0.9*5*(F169/30)^0.5,1*5*(F169/30)^0.5))/DS169/DV169</f>
        <v>6.6896087368323061</v>
      </c>
      <c r="EE169" s="4">
        <f t="shared" ref="EE169:EE232" si="740">EF169*G169</f>
        <v>96.150923032490965</v>
      </c>
      <c r="EF169" s="4">
        <f t="shared" ref="EF169:EF232" si="741">R169^0.5</f>
        <v>2.2360679774997898</v>
      </c>
      <c r="EG169" s="4">
        <f t="shared" ref="EG169:EG232" si="742">MIN(DO169)/(4700*F169^0.5)/Q169*EE169</f>
        <v>0.12808407592670423</v>
      </c>
      <c r="EJ169" s="4">
        <f t="shared" ref="EJ169:EJ195" si="743">EG169</f>
        <v>0.12808407592670423</v>
      </c>
      <c r="EK169" s="4">
        <f t="shared" ref="EK169:EK232" si="744">MIN(0.999, EJ169/(0.3*(F169/30)^0.5))</f>
        <v>0.33788332190355697</v>
      </c>
      <c r="EL169" s="4">
        <f t="shared" ref="EL169:EL195" si="745">EB169/1*EK169^0.4</f>
        <v>4.3341847481064635</v>
      </c>
      <c r="EM169" s="4">
        <f t="shared" ref="EM169:EM195" si="746">EB169/1.4*(1-EK169^1.4)/(1-EK169)</f>
        <v>5.6368571639286049</v>
      </c>
      <c r="EN169" s="4" t="e">
        <f t="shared" ref="EN169:EN195" si="747">MAX(0,DC169*EN$9-EE169)</f>
        <v>#REF!</v>
      </c>
      <c r="EO169" s="4" t="e">
        <f t="shared" ref="EO169:EO195" si="748">MAX(0,DC169-EE169-EN169)</f>
        <v>#REF!</v>
      </c>
      <c r="EP169" s="4" t="e">
        <f t="shared" ref="EP169:EP232" si="749">EO169/(1-0.3*(F169/30)^0.5)/200000/G169</f>
        <v>#REF!</v>
      </c>
      <c r="EQ169" s="4" t="e">
        <f t="shared" ref="EQ169:EQ195" si="750">MAX(0.5*EB169, (1-2*EP169*(EE169*EL169+EN169*EM169))/(1/EB169+EP169*EO169))</f>
        <v>#REF!</v>
      </c>
      <c r="ER169" s="4" t="e">
        <f t="shared" ref="ER169:ER232" si="751">MIN(4/G169*(1*EL169*EE169+EM169*EN169+EO169*EQ169)+DO169,MAX(D169,V169))</f>
        <v>#REF!</v>
      </c>
      <c r="FA169" s="23" t="e">
        <f t="shared" ref="FA169:FA195" si="752">IF(CG169&lt;0.6,0.6,IF(CG169&lt;0.8,0.8,IF(CG169&lt;1,1,IF(CG169&lt;1.2,1.2,IF(CG169&lt;1.4,1.4,IF(CG169&lt;1.6,1.6,IF(CG169&lt;1.8,1.8,IF(CG169&lt;2,2,2.2))))))))</f>
        <v>#REF!</v>
      </c>
      <c r="FB169" s="23" t="e">
        <f t="shared" ref="FB169:FB195" si="753">IF(CH169&lt;0.6,0.6,IF(CH169&lt;0.8,0.8,IF(CH169&lt;1,1,IF(CH169&lt;1.2,1.2,IF(CH169&lt;1.4,1.4,IF(CH169&lt;1.6,1.6,IF(CH169&lt;1.8,1.8,IF(CH169&lt;2,2,2.2))))))))</f>
        <v>#REF!</v>
      </c>
      <c r="FC169" s="23">
        <f t="shared" ref="FC169:FC215" si="754">IF(CM169&lt;0.6,0.6,IF(CM169&lt;0.8,0.8,IF(CM169&lt;1,1,IF(CM169&lt;1.2,1.2,IF(CM169&lt;1.4,1.4,IF(CM169&lt;1.6,1.6,IF(CM169&lt;1.8,1.8,IF(CM169&lt;2,2,2.2))))))))</f>
        <v>1.4</v>
      </c>
      <c r="FD169" s="23" t="e">
        <f t="shared" ref="FD169:FD195" si="755">IF(CJ169&lt;0.6,0.6,IF(CJ169&lt;0.8,0.8,IF(CJ169&lt;1,1,IF(CJ169&lt;1.2,1.2,IF(CJ169&lt;1.4,1.4,IF(CJ169&lt;1.6,1.6,IF(CJ169&lt;1.8,1.8,IF(CJ169&lt;2,2,2.2))))))))</f>
        <v>#REF!</v>
      </c>
      <c r="FE169" s="23">
        <f t="shared" ref="FE169:FE195" si="756">IF(CK169&lt;0.6,0.6,IF(CK169&lt;0.8,0.8,IF(CK169&lt;1,1,IF(CK169&lt;1.2,1.2,IF(CK169&lt;1.4,1.4,IF(CK169&lt;1.6,1.6,IF(CK169&lt;1.8,1.8,IF(CK169&lt;2,2,2.2))))))))</f>
        <v>1</v>
      </c>
      <c r="FF169" s="23">
        <f t="shared" ref="FF169:FF195" si="757">IF(CL169&lt;0.6,0.6,IF(CL169&lt;0.8,0.8,IF(CL169&lt;1,1,IF(CL169&lt;1.2,1.2,IF(CL169&lt;1.4,1.4,IF(CL169&lt;1.6,1.6,IF(CL169&lt;1.8,1.8,IF(CL169&lt;2,2,2.2))))))))</f>
        <v>1.2</v>
      </c>
      <c r="FG169" s="23">
        <f t="shared" ref="FG169:FG195" si="758">IF(FE169&lt;1,1,0)</f>
        <v>0</v>
      </c>
      <c r="FH169" s="23"/>
      <c r="FR169" s="4">
        <f t="shared" si="607"/>
        <v>1.25</v>
      </c>
      <c r="FS169" s="4">
        <f t="shared" si="608"/>
        <v>0.5</v>
      </c>
      <c r="FT169" s="4">
        <f t="shared" si="609"/>
        <v>0</v>
      </c>
      <c r="FU169" s="4">
        <f t="shared" si="610"/>
        <v>225.81214084001218</v>
      </c>
    </row>
    <row r="170" spans="1:177" ht="12" customHeight="1" x14ac:dyDescent="0.3">
      <c r="B170" s="24" t="s">
        <v>309</v>
      </c>
      <c r="C170" s="4" t="s">
        <v>156</v>
      </c>
      <c r="D170" s="7">
        <v>606</v>
      </c>
      <c r="E170" s="7">
        <f>7*G170</f>
        <v>301</v>
      </c>
      <c r="F170" s="7">
        <v>47.9</v>
      </c>
      <c r="G170" s="37">
        <v>43</v>
      </c>
      <c r="H170" s="7">
        <f t="shared" si="680"/>
        <v>541.79999999999995</v>
      </c>
      <c r="I170" s="7">
        <f t="shared" si="681"/>
        <v>43</v>
      </c>
      <c r="J170" s="7">
        <f t="shared" ref="J170:J195" si="759">40+16</f>
        <v>56</v>
      </c>
      <c r="K170" s="7">
        <f t="shared" si="682"/>
        <v>369.8</v>
      </c>
      <c r="L170" s="7">
        <v>2</v>
      </c>
      <c r="M170" s="7">
        <f t="shared" si="683"/>
        <v>138.16666666666666</v>
      </c>
      <c r="N170" s="7">
        <f t="shared" si="684"/>
        <v>1.5</v>
      </c>
      <c r="O170" s="7">
        <f t="shared" si="685"/>
        <v>1.5</v>
      </c>
      <c r="P170" s="7">
        <f t="shared" si="676"/>
        <v>4</v>
      </c>
      <c r="Q170" s="7">
        <f t="shared" si="676"/>
        <v>4</v>
      </c>
      <c r="R170" s="7">
        <f t="shared" si="686"/>
        <v>5</v>
      </c>
      <c r="S170" s="7">
        <f t="shared" si="687"/>
        <v>96.150923032490965</v>
      </c>
      <c r="T170" s="7">
        <f t="shared" si="688"/>
        <v>606</v>
      </c>
      <c r="U170" s="7">
        <v>19</v>
      </c>
      <c r="V170" s="7">
        <f>(449+385)/2</f>
        <v>417</v>
      </c>
      <c r="W170" s="7"/>
      <c r="X170" s="4">
        <f t="shared" si="689"/>
        <v>1.2785719938235214</v>
      </c>
      <c r="Y170" s="7">
        <v>15.9</v>
      </c>
      <c r="Z170" s="7">
        <v>1</v>
      </c>
      <c r="AA170" s="7">
        <v>370</v>
      </c>
      <c r="AB170" s="7">
        <v>2</v>
      </c>
      <c r="AC170" s="7">
        <f>Z170</f>
        <v>1</v>
      </c>
      <c r="AD170" s="7">
        <f t="shared" si="690"/>
        <v>2.1875</v>
      </c>
      <c r="AE170" s="4">
        <f t="shared" si="691"/>
        <v>301</v>
      </c>
      <c r="AF170" s="4">
        <f t="shared" si="692"/>
        <v>0.6</v>
      </c>
      <c r="AG170" s="4">
        <f t="shared" si="693"/>
        <v>124.44020328781106</v>
      </c>
      <c r="AH170" s="4">
        <f t="shared" si="694"/>
        <v>0.74285714285714277</v>
      </c>
      <c r="AI170" s="4">
        <v>1.25</v>
      </c>
      <c r="AJ170" s="4">
        <f t="shared" ref="AJ170:AJ194" si="760">AJ169</f>
        <v>2.5</v>
      </c>
      <c r="AK170" s="38">
        <f t="shared" ref="AK170:AK195" si="761">AF170*AH170*AI170*AJ170*AG170</f>
        <v>173.32742600802251</v>
      </c>
      <c r="AL170" s="38">
        <f t="shared" ref="AL170:AL233" si="762">AK170</f>
        <v>173.32742600802251</v>
      </c>
      <c r="AM170" s="38">
        <f t="shared" si="695"/>
        <v>3.9568075739830846</v>
      </c>
      <c r="AN170" s="38">
        <f t="shared" si="640"/>
        <v>173.32742600802277</v>
      </c>
      <c r="AO170" s="38">
        <f t="shared" si="548"/>
        <v>0.99999999999999856</v>
      </c>
      <c r="AP170" s="38">
        <f t="shared" si="641"/>
        <v>1.6581334334630755</v>
      </c>
      <c r="AQ170" s="4">
        <f t="shared" si="642"/>
        <v>0</v>
      </c>
      <c r="AR170" s="4" t="e">
        <f>#REF!/G170*F170^0.5/0.19</f>
        <v>#REF!</v>
      </c>
      <c r="AS170" s="4">
        <f t="shared" si="696"/>
        <v>1</v>
      </c>
      <c r="AT170" s="38">
        <f t="shared" si="697"/>
        <v>287.39999999999998</v>
      </c>
      <c r="AU170" s="4">
        <f t="shared" si="698"/>
        <v>0.44000000000000006</v>
      </c>
      <c r="AV170" s="4" t="e">
        <f>AU170*D170*#REF!/(D170*G170/2.75/F170^0.5)</f>
        <v>#REF!</v>
      </c>
      <c r="AW170" s="4" t="e">
        <f t="shared" si="699"/>
        <v>#REF!</v>
      </c>
      <c r="AY170" s="4">
        <f t="shared" si="700"/>
        <v>1.1996797080462691</v>
      </c>
      <c r="AZ170" s="4" t="e">
        <f>(3*#REF!+30)*AY170*F170^0.5</f>
        <v>#REF!</v>
      </c>
      <c r="BB170" s="4">
        <f t="shared" si="701"/>
        <v>275.65174672976275</v>
      </c>
      <c r="BC170" s="4">
        <f t="shared" si="702"/>
        <v>641.65616063635548</v>
      </c>
      <c r="BD170" s="4">
        <f t="shared" si="703"/>
        <v>2.3277783226434909</v>
      </c>
      <c r="BL170" s="4">
        <f t="shared" si="704"/>
        <v>43</v>
      </c>
      <c r="BP170" s="9"/>
      <c r="BR170" s="9"/>
      <c r="BS170" s="9"/>
      <c r="BT170" s="9">
        <f t="shared" si="705"/>
        <v>43</v>
      </c>
      <c r="BU170" s="9">
        <f t="shared" si="706"/>
        <v>184.9</v>
      </c>
      <c r="BV170" s="9">
        <f t="shared" si="707"/>
        <v>1.2445726940891169</v>
      </c>
      <c r="BW170" s="9">
        <v>20</v>
      </c>
      <c r="BX170" s="9">
        <f t="shared" si="708"/>
        <v>1.2479981752891823E-2</v>
      </c>
      <c r="BY170" s="9">
        <f t="shared" si="709"/>
        <v>4.9599635057836454E-2</v>
      </c>
      <c r="BZ170" s="9">
        <f t="shared" si="710"/>
        <v>0.84984840943171969</v>
      </c>
      <c r="CA170" s="9">
        <f t="shared" si="711"/>
        <v>0.84399999999999997</v>
      </c>
      <c r="CB170" s="9">
        <f t="shared" si="712"/>
        <v>1.7374795977330737</v>
      </c>
      <c r="CC170" s="9">
        <f t="shared" si="713"/>
        <v>2.2485980178435234</v>
      </c>
      <c r="CD170" s="9">
        <v>1</v>
      </c>
      <c r="CE170" s="9" t="e">
        <f>4*CC170*#REF!+60*CC170</f>
        <v>#REF!</v>
      </c>
      <c r="CG170" s="4" t="e">
        <f t="shared" si="714"/>
        <v>#REF!</v>
      </c>
      <c r="CH170" s="4" t="e">
        <f t="shared" si="715"/>
        <v>#REF!</v>
      </c>
      <c r="CI170" s="4" t="e">
        <f t="shared" si="716"/>
        <v>#REF!</v>
      </c>
      <c r="CJ170" s="4" t="e">
        <f t="shared" si="717"/>
        <v>#REF!</v>
      </c>
      <c r="CK170" s="4">
        <f t="shared" si="718"/>
        <v>1.2785719938235214</v>
      </c>
      <c r="CL170" s="4">
        <f t="shared" si="719"/>
        <v>1.336765961716297</v>
      </c>
      <c r="CM170" s="4">
        <f t="shared" si="720"/>
        <v>1.4372631142025567</v>
      </c>
      <c r="CU170" s="4" t="e">
        <f>CG170</f>
        <v>#REF!</v>
      </c>
      <c r="CV170" s="4" t="e">
        <f>CH170</f>
        <v>#REF!</v>
      </c>
      <c r="CW170" s="4" t="e">
        <f>CJ170</f>
        <v>#REF!</v>
      </c>
      <c r="CX170" s="4">
        <f t="shared" ref="CX170" si="763">CM170</f>
        <v>1.4372631142025567</v>
      </c>
      <c r="CY170" s="4">
        <f>CK170</f>
        <v>1.2785719938235214</v>
      </c>
      <c r="CZ170" s="4">
        <f>CL170</f>
        <v>1.336765961716297</v>
      </c>
      <c r="DB170" s="4">
        <f t="shared" si="722"/>
        <v>1</v>
      </c>
      <c r="DC170" s="4" t="e">
        <f>#REF!</f>
        <v>#REF!</v>
      </c>
      <c r="DF170" s="4">
        <f t="shared" si="723"/>
        <v>1.4091943242647847E-5</v>
      </c>
      <c r="DG170" s="4">
        <f t="shared" si="724"/>
        <v>6.7370156108794408</v>
      </c>
      <c r="DH170" s="4">
        <f t="shared" si="725"/>
        <v>0.33844812875228814</v>
      </c>
      <c r="DI170" s="4">
        <f t="shared" si="726"/>
        <v>4.3678166612050413</v>
      </c>
      <c r="DJ170" s="4">
        <f t="shared" si="727"/>
        <v>5.6779223689415446</v>
      </c>
      <c r="DK170" s="4">
        <f t="shared" si="728"/>
        <v>6.4713218762920217</v>
      </c>
      <c r="DL170" s="38">
        <f t="shared" si="729"/>
        <v>326.14510720900216</v>
      </c>
      <c r="DM170" s="4" t="e">
        <f t="shared" si="730"/>
        <v>#REF!</v>
      </c>
      <c r="DN170" s="4">
        <f t="shared" si="731"/>
        <v>2.2360679774997898</v>
      </c>
      <c r="DO170" s="4">
        <f t="shared" si="732"/>
        <v>173.32742600802277</v>
      </c>
      <c r="DS170" s="4">
        <f t="shared" si="733"/>
        <v>0.85</v>
      </c>
      <c r="DT170" s="4">
        <f t="shared" si="734"/>
        <v>1</v>
      </c>
      <c r="DU170" s="4">
        <f t="shared" si="735"/>
        <v>0.99296322336398057</v>
      </c>
      <c r="DV170" s="4">
        <f t="shared" si="736"/>
        <v>0.99296322336398057</v>
      </c>
      <c r="DX170" s="4">
        <f t="shared" si="737"/>
        <v>311.946901658542</v>
      </c>
      <c r="DY170" s="25">
        <f t="shared" si="738"/>
        <v>170.46957383007376</v>
      </c>
      <c r="EB170" s="4">
        <f t="shared" si="739"/>
        <v>6.7370156108794408</v>
      </c>
      <c r="EE170" s="4">
        <f t="shared" si="740"/>
        <v>96.150923032490965</v>
      </c>
      <c r="EF170" s="4">
        <f t="shared" si="741"/>
        <v>2.2360679774997898</v>
      </c>
      <c r="EG170" s="4">
        <f t="shared" si="742"/>
        <v>0.12808407592670423</v>
      </c>
      <c r="EJ170" s="4">
        <f t="shared" si="743"/>
        <v>0.12808407592670423</v>
      </c>
      <c r="EK170" s="4">
        <f t="shared" si="744"/>
        <v>0.33788332190355697</v>
      </c>
      <c r="EL170" s="4">
        <f t="shared" si="745"/>
        <v>4.3648995714292678</v>
      </c>
      <c r="EM170" s="4">
        <f t="shared" si="746"/>
        <v>5.6768035626052171</v>
      </c>
      <c r="EN170" s="4" t="e">
        <f t="shared" si="747"/>
        <v>#REF!</v>
      </c>
      <c r="EO170" s="4" t="e">
        <f t="shared" si="748"/>
        <v>#REF!</v>
      </c>
      <c r="EP170" s="4" t="e">
        <f t="shared" si="749"/>
        <v>#REF!</v>
      </c>
      <c r="EQ170" s="4" t="e">
        <f t="shared" si="750"/>
        <v>#REF!</v>
      </c>
      <c r="ER170" s="4" t="e">
        <f t="shared" si="751"/>
        <v>#REF!</v>
      </c>
      <c r="FA170" s="23" t="e">
        <f t="shared" si="752"/>
        <v>#REF!</v>
      </c>
      <c r="FB170" s="23" t="e">
        <f t="shared" si="753"/>
        <v>#REF!</v>
      </c>
      <c r="FC170" s="23">
        <f t="shared" si="754"/>
        <v>1.6</v>
      </c>
      <c r="FD170" s="23" t="e">
        <f t="shared" si="755"/>
        <v>#REF!</v>
      </c>
      <c r="FE170" s="23">
        <f t="shared" si="756"/>
        <v>1.4</v>
      </c>
      <c r="FF170" s="23">
        <f t="shared" si="757"/>
        <v>1.4</v>
      </c>
      <c r="FG170" s="23">
        <f t="shared" si="758"/>
        <v>0</v>
      </c>
      <c r="FH170" s="23"/>
      <c r="FR170" s="4">
        <f t="shared" si="607"/>
        <v>1.25</v>
      </c>
      <c r="FS170" s="4">
        <f t="shared" si="608"/>
        <v>0.38915043257609383</v>
      </c>
      <c r="FT170" s="4">
        <f t="shared" si="609"/>
        <v>0.27345592212006492</v>
      </c>
      <c r="FU170" s="4">
        <f t="shared" si="610"/>
        <v>290.13476786494033</v>
      </c>
    </row>
    <row r="171" spans="1:177" ht="12" customHeight="1" x14ac:dyDescent="0.3">
      <c r="B171" s="24"/>
      <c r="C171" s="4" t="s">
        <v>157</v>
      </c>
      <c r="D171" s="7">
        <v>606</v>
      </c>
      <c r="E171" s="7">
        <f>7*G171</f>
        <v>301</v>
      </c>
      <c r="F171" s="7">
        <v>68.2</v>
      </c>
      <c r="G171" s="37">
        <v>43</v>
      </c>
      <c r="H171" s="7">
        <f t="shared" si="680"/>
        <v>541.79999999999995</v>
      </c>
      <c r="I171" s="7">
        <f t="shared" si="681"/>
        <v>43</v>
      </c>
      <c r="J171" s="7">
        <f t="shared" si="759"/>
        <v>56</v>
      </c>
      <c r="K171" s="7">
        <f t="shared" si="682"/>
        <v>369.8</v>
      </c>
      <c r="L171" s="7">
        <v>2</v>
      </c>
      <c r="M171" s="7">
        <f t="shared" si="683"/>
        <v>138.16666666666666</v>
      </c>
      <c r="N171" s="7">
        <f t="shared" si="684"/>
        <v>1.5</v>
      </c>
      <c r="O171" s="7">
        <f t="shared" si="685"/>
        <v>1.5</v>
      </c>
      <c r="P171" s="7">
        <f t="shared" si="676"/>
        <v>4</v>
      </c>
      <c r="Q171" s="7">
        <f t="shared" si="676"/>
        <v>4</v>
      </c>
      <c r="R171" s="7">
        <f t="shared" si="686"/>
        <v>5</v>
      </c>
      <c r="S171" s="7">
        <f t="shared" si="687"/>
        <v>96.150923032490965</v>
      </c>
      <c r="T171" s="7">
        <f t="shared" si="688"/>
        <v>606</v>
      </c>
      <c r="U171" s="7">
        <v>19</v>
      </c>
      <c r="V171" s="7">
        <f>(501+501)/2</f>
        <v>501</v>
      </c>
      <c r="W171" s="7"/>
      <c r="X171" s="4">
        <f t="shared" si="689"/>
        <v>1.3098915185197448</v>
      </c>
      <c r="Y171" s="7"/>
      <c r="Z171" s="7"/>
      <c r="AA171" s="7">
        <v>1</v>
      </c>
      <c r="AB171" s="7"/>
      <c r="AC171" s="7"/>
      <c r="AD171" s="7">
        <f t="shared" si="690"/>
        <v>2.1875</v>
      </c>
      <c r="AE171" s="4">
        <f t="shared" si="691"/>
        <v>301</v>
      </c>
      <c r="AF171" s="4">
        <f t="shared" si="692"/>
        <v>0.6</v>
      </c>
      <c r="AG171" s="4">
        <f t="shared" si="693"/>
        <v>148.48587499878823</v>
      </c>
      <c r="AH171" s="4">
        <f t="shared" si="694"/>
        <v>0.74285714285714277</v>
      </c>
      <c r="AI171" s="4">
        <v>1.25</v>
      </c>
      <c r="AJ171" s="4">
        <f t="shared" si="760"/>
        <v>2.5</v>
      </c>
      <c r="AK171" s="38">
        <f t="shared" si="761"/>
        <v>206.81961160545501</v>
      </c>
      <c r="AL171" s="38">
        <f t="shared" si="762"/>
        <v>206.81961160545501</v>
      </c>
      <c r="AM171" s="38">
        <f t="shared" si="695"/>
        <v>4.5666603795122764</v>
      </c>
      <c r="AN171" s="38">
        <f t="shared" si="640"/>
        <v>206.81961160545529</v>
      </c>
      <c r="AO171" s="38">
        <f t="shared" si="548"/>
        <v>0.99999999999999867</v>
      </c>
      <c r="AP171" s="38">
        <f t="shared" si="641"/>
        <v>1.9785357724228825</v>
      </c>
      <c r="AQ171" s="4">
        <f t="shared" si="642"/>
        <v>0</v>
      </c>
      <c r="AR171" s="4" t="e">
        <f>#REF!/G171*F171^0.5/0.19</f>
        <v>#REF!</v>
      </c>
      <c r="AS171" s="4">
        <f t="shared" si="696"/>
        <v>1</v>
      </c>
      <c r="AT171" s="38">
        <f t="shared" si="697"/>
        <v>409.20000000000005</v>
      </c>
      <c r="AU171" s="4">
        <f t="shared" si="698"/>
        <v>0.44000000000000006</v>
      </c>
      <c r="AV171" s="4" t="e">
        <f>AU171*D171*#REF!/(D171*G171/2.75/F171^0.5)</f>
        <v>#REF!</v>
      </c>
      <c r="AW171" s="4" t="e">
        <f t="shared" si="699"/>
        <v>#REF!</v>
      </c>
      <c r="AY171" s="4">
        <f t="shared" si="700"/>
        <v>1</v>
      </c>
      <c r="AZ171" s="4" t="e">
        <f>(3*#REF!+30)*AY171*F171^0.5</f>
        <v>#REF!</v>
      </c>
      <c r="BB171" s="4">
        <f t="shared" si="701"/>
        <v>392.47284189916127</v>
      </c>
      <c r="BC171" s="4">
        <f t="shared" si="702"/>
        <v>641.65616063635548</v>
      </c>
      <c r="BD171" s="4">
        <f t="shared" si="703"/>
        <v>1.6349058893639763</v>
      </c>
      <c r="BL171" s="4">
        <f t="shared" si="704"/>
        <v>43</v>
      </c>
      <c r="BP171" s="9"/>
      <c r="BR171" s="9"/>
      <c r="BS171" s="9"/>
      <c r="BT171" s="9">
        <f t="shared" si="705"/>
        <v>43</v>
      </c>
      <c r="BU171" s="9">
        <f t="shared" si="706"/>
        <v>184.9</v>
      </c>
      <c r="BV171" s="9">
        <f t="shared" si="707"/>
        <v>1.2445726940891169</v>
      </c>
      <c r="BW171" s="9">
        <v>0</v>
      </c>
      <c r="BX171" s="9">
        <f t="shared" si="708"/>
        <v>0</v>
      </c>
      <c r="BY171" s="9">
        <f t="shared" si="709"/>
        <v>0</v>
      </c>
      <c r="BZ171" s="9">
        <f t="shared" si="710"/>
        <v>0.84984840943171969</v>
      </c>
      <c r="CA171" s="9">
        <f t="shared" si="711"/>
        <v>0.84399999999999997</v>
      </c>
      <c r="CB171" s="9">
        <f t="shared" si="712"/>
        <v>2.0732140541850779</v>
      </c>
      <c r="CC171" s="9">
        <f t="shared" si="713"/>
        <v>2.5802656008405425</v>
      </c>
      <c r="CD171" s="9">
        <v>1</v>
      </c>
      <c r="CE171" s="9" t="e">
        <f>4*CC171*#REF!+60*CC171</f>
        <v>#REF!</v>
      </c>
      <c r="CG171" s="4" t="e">
        <f t="shared" si="714"/>
        <v>#REF!</v>
      </c>
      <c r="CH171" s="4" t="e">
        <f t="shared" si="715"/>
        <v>#REF!</v>
      </c>
      <c r="CI171" s="4" t="e">
        <f t="shared" si="716"/>
        <v>#REF!</v>
      </c>
      <c r="CJ171" s="4" t="e">
        <f t="shared" si="717"/>
        <v>#REF!</v>
      </c>
      <c r="CK171" s="4">
        <f t="shared" si="718"/>
        <v>1.3098915185197448</v>
      </c>
      <c r="CL171" s="4">
        <f t="shared" si="719"/>
        <v>1.3502706830387621</v>
      </c>
      <c r="CM171" s="4">
        <f t="shared" si="720"/>
        <v>2.0310855779776316</v>
      </c>
      <c r="CO171" s="4" t="e">
        <f>CG171</f>
        <v>#REF!</v>
      </c>
      <c r="CP171" s="4" t="e">
        <f>CH171</f>
        <v>#REF!</v>
      </c>
      <c r="CQ171" s="4" t="e">
        <f>CJ171</f>
        <v>#REF!</v>
      </c>
      <c r="CR171" s="4">
        <f t="shared" si="721"/>
        <v>2.0310855779776316</v>
      </c>
      <c r="CS171" s="4">
        <f>CK171</f>
        <v>1.3098915185197448</v>
      </c>
      <c r="CT171" s="4">
        <f>CL171</f>
        <v>1.3502706830387621</v>
      </c>
      <c r="DB171" s="4">
        <f t="shared" si="722"/>
        <v>0</v>
      </c>
      <c r="DC171" s="4" t="e">
        <f>#REF!</f>
        <v>#REF!</v>
      </c>
      <c r="DF171" s="4">
        <f t="shared" si="723"/>
        <v>1.5976696011144739E-5</v>
      </c>
      <c r="DG171" s="4">
        <f t="shared" si="724"/>
        <v>7.9822467373402182</v>
      </c>
      <c r="DH171" s="4">
        <f t="shared" si="725"/>
        <v>0.2836401371151141</v>
      </c>
      <c r="DI171" s="4">
        <f t="shared" si="726"/>
        <v>4.8220557004738289</v>
      </c>
      <c r="DJ171" s="4">
        <f t="shared" si="727"/>
        <v>6.5953665189642372</v>
      </c>
      <c r="DK171" s="4">
        <f t="shared" si="728"/>
        <v>7.5732980781767054</v>
      </c>
      <c r="DL171" s="38">
        <f t="shared" si="729"/>
        <v>382.47442090941985</v>
      </c>
      <c r="DM171" s="4" t="e">
        <f t="shared" si="730"/>
        <v>#REF!</v>
      </c>
      <c r="DN171" s="4">
        <f t="shared" si="731"/>
        <v>2.2360679774997898</v>
      </c>
      <c r="DO171" s="4">
        <f t="shared" si="732"/>
        <v>206.81961160545529</v>
      </c>
      <c r="DS171" s="4">
        <f t="shared" si="733"/>
        <v>0.85</v>
      </c>
      <c r="DT171" s="4">
        <f t="shared" si="734"/>
        <v>1</v>
      </c>
      <c r="DU171" s="4">
        <f t="shared" si="735"/>
        <v>1</v>
      </c>
      <c r="DV171" s="4">
        <f t="shared" si="736"/>
        <v>1</v>
      </c>
      <c r="DX171" s="4">
        <f t="shared" si="737"/>
        <v>371.03671604015551</v>
      </c>
      <c r="DY171" s="25">
        <f t="shared" si="738"/>
        <v>203.40953455601098</v>
      </c>
      <c r="EB171" s="4">
        <f t="shared" si="739"/>
        <v>7.9822467373402182</v>
      </c>
      <c r="EE171" s="4">
        <f t="shared" si="740"/>
        <v>96.150923032490965</v>
      </c>
      <c r="EF171" s="4">
        <f t="shared" si="741"/>
        <v>2.2360679774997898</v>
      </c>
      <c r="EG171" s="4">
        <f t="shared" si="742"/>
        <v>0.12808407592670423</v>
      </c>
      <c r="EJ171" s="4">
        <f t="shared" si="743"/>
        <v>0.12808407592670423</v>
      </c>
      <c r="EK171" s="4">
        <f t="shared" si="744"/>
        <v>0.28316679458960436</v>
      </c>
      <c r="EL171" s="4">
        <f t="shared" si="745"/>
        <v>4.8188352426402856</v>
      </c>
      <c r="EM171" s="4">
        <f t="shared" si="746"/>
        <v>6.5941944952946905</v>
      </c>
      <c r="EN171" s="4" t="e">
        <f t="shared" si="747"/>
        <v>#REF!</v>
      </c>
      <c r="EO171" s="4" t="e">
        <f t="shared" si="748"/>
        <v>#REF!</v>
      </c>
      <c r="EP171" s="4" t="e">
        <f t="shared" si="749"/>
        <v>#REF!</v>
      </c>
      <c r="EQ171" s="4" t="e">
        <f t="shared" si="750"/>
        <v>#REF!</v>
      </c>
      <c r="ER171" s="4" t="e">
        <f t="shared" si="751"/>
        <v>#REF!</v>
      </c>
      <c r="FA171" s="23" t="e">
        <f t="shared" si="752"/>
        <v>#REF!</v>
      </c>
      <c r="FB171" s="23" t="e">
        <f t="shared" si="753"/>
        <v>#REF!</v>
      </c>
      <c r="FC171" s="23">
        <f t="shared" si="754"/>
        <v>2.2000000000000002</v>
      </c>
      <c r="FD171" s="23" t="e">
        <f t="shared" si="755"/>
        <v>#REF!</v>
      </c>
      <c r="FE171" s="23">
        <f t="shared" si="756"/>
        <v>1.4</v>
      </c>
      <c r="FF171" s="23">
        <f t="shared" si="757"/>
        <v>1.4</v>
      </c>
      <c r="FG171" s="23">
        <f t="shared" si="758"/>
        <v>0</v>
      </c>
      <c r="FH171" s="23"/>
      <c r="FR171" s="4">
        <f t="shared" si="607"/>
        <v>1.25</v>
      </c>
      <c r="FS171" s="4">
        <f t="shared" si="608"/>
        <v>0.5</v>
      </c>
      <c r="FT171" s="4">
        <f t="shared" si="609"/>
        <v>0</v>
      </c>
      <c r="FU171" s="4">
        <f t="shared" si="610"/>
        <v>246.6661205377913</v>
      </c>
    </row>
    <row r="172" spans="1:177" ht="12" customHeight="1" x14ac:dyDescent="0.3">
      <c r="B172" s="24"/>
      <c r="C172" s="4" t="s">
        <v>158</v>
      </c>
      <c r="D172" s="7">
        <v>606</v>
      </c>
      <c r="E172" s="7">
        <f>10*G172</f>
        <v>430</v>
      </c>
      <c r="F172" s="7">
        <v>52.2</v>
      </c>
      <c r="G172" s="37">
        <v>43</v>
      </c>
      <c r="H172" s="7">
        <f t="shared" si="680"/>
        <v>541.79999999999995</v>
      </c>
      <c r="I172" s="7">
        <f t="shared" si="681"/>
        <v>43</v>
      </c>
      <c r="J172" s="7">
        <f t="shared" si="759"/>
        <v>56</v>
      </c>
      <c r="K172" s="7">
        <f t="shared" si="682"/>
        <v>369.8</v>
      </c>
      <c r="L172" s="7">
        <v>2</v>
      </c>
      <c r="M172" s="7">
        <f t="shared" si="683"/>
        <v>224.16666666666663</v>
      </c>
      <c r="N172" s="7">
        <f t="shared" si="684"/>
        <v>1.5</v>
      </c>
      <c r="O172" s="7">
        <f t="shared" si="685"/>
        <v>1.5</v>
      </c>
      <c r="P172" s="7">
        <f t="shared" si="676"/>
        <v>4</v>
      </c>
      <c r="Q172" s="7">
        <f t="shared" si="676"/>
        <v>4</v>
      </c>
      <c r="R172" s="7">
        <f t="shared" si="686"/>
        <v>5</v>
      </c>
      <c r="S172" s="7">
        <f t="shared" si="687"/>
        <v>96.150923032490965</v>
      </c>
      <c r="T172" s="7">
        <f t="shared" si="688"/>
        <v>606</v>
      </c>
      <c r="U172" s="7">
        <v>19</v>
      </c>
      <c r="V172" s="7">
        <f>(437+437)/2</f>
        <v>437</v>
      </c>
      <c r="W172" s="7"/>
      <c r="X172" s="4">
        <f t="shared" si="689"/>
        <v>0.98353055359065744</v>
      </c>
      <c r="Y172" s="7"/>
      <c r="Z172" s="7"/>
      <c r="AA172" s="7">
        <v>1</v>
      </c>
      <c r="AB172" s="7"/>
      <c r="AC172" s="7"/>
      <c r="AD172" s="7">
        <f t="shared" si="690"/>
        <v>3.125</v>
      </c>
      <c r="AE172" s="4">
        <f t="shared" si="691"/>
        <v>430</v>
      </c>
      <c r="AF172" s="4">
        <f t="shared" si="692"/>
        <v>0.41999999999999993</v>
      </c>
      <c r="AG172" s="4">
        <f t="shared" si="693"/>
        <v>221.8100126942922</v>
      </c>
      <c r="AH172" s="4">
        <f t="shared" si="694"/>
        <v>0.73</v>
      </c>
      <c r="AI172" s="4">
        <v>1.25</v>
      </c>
      <c r="AJ172" s="4">
        <f t="shared" si="760"/>
        <v>2.5</v>
      </c>
      <c r="AK172" s="38">
        <f t="shared" si="761"/>
        <v>212.52171841271866</v>
      </c>
      <c r="AL172" s="38">
        <f t="shared" si="762"/>
        <v>212.52171841271866</v>
      </c>
      <c r="AM172" s="38">
        <f t="shared" si="695"/>
        <v>4.1313780222399661</v>
      </c>
      <c r="AN172" s="38">
        <f t="shared" si="640"/>
        <v>212.52171841271891</v>
      </c>
      <c r="AO172" s="38">
        <f t="shared" si="548"/>
        <v>0.99999999999999878</v>
      </c>
      <c r="AP172" s="38">
        <f t="shared" si="641"/>
        <v>1.4737317312283496</v>
      </c>
      <c r="AQ172" s="4">
        <f t="shared" si="642"/>
        <v>0</v>
      </c>
      <c r="AR172" s="4" t="e">
        <f>#REF!/G172*F172^0.5/0.19</f>
        <v>#REF!</v>
      </c>
      <c r="AS172" s="4">
        <f t="shared" si="696"/>
        <v>1</v>
      </c>
      <c r="AT172" s="38">
        <f t="shared" si="697"/>
        <v>313.20000000000005</v>
      </c>
      <c r="AU172" s="4">
        <f t="shared" si="698"/>
        <v>0.44000000000000006</v>
      </c>
      <c r="AV172" s="4" t="e">
        <f>AU172*D172*#REF!/(D172*G172/2.75/F172^0.5)</f>
        <v>#REF!</v>
      </c>
      <c r="AW172" s="4" t="e">
        <f t="shared" si="699"/>
        <v>#REF!</v>
      </c>
      <c r="AY172" s="4">
        <f t="shared" si="700"/>
        <v>1</v>
      </c>
      <c r="AZ172" s="4" t="e">
        <f>(3*#REF!+30)*AY172*F172^0.5</f>
        <v>#REF!</v>
      </c>
      <c r="BB172" s="4">
        <f t="shared" si="701"/>
        <v>300.39710186416738</v>
      </c>
      <c r="BC172" s="4">
        <f t="shared" si="702"/>
        <v>641.65616063635548</v>
      </c>
      <c r="BD172" s="4">
        <f t="shared" si="703"/>
        <v>2.1360264684793715</v>
      </c>
      <c r="BL172" s="4">
        <f t="shared" si="704"/>
        <v>43</v>
      </c>
      <c r="BP172" s="9"/>
      <c r="BR172" s="9"/>
      <c r="BS172" s="9"/>
      <c r="BT172" s="9">
        <f t="shared" si="705"/>
        <v>43</v>
      </c>
      <c r="BU172" s="9">
        <f t="shared" si="706"/>
        <v>184.9</v>
      </c>
      <c r="BV172" s="9">
        <f t="shared" si="707"/>
        <v>1.2445726940891169</v>
      </c>
      <c r="BW172" s="9">
        <v>0</v>
      </c>
      <c r="BX172" s="9">
        <f t="shared" si="708"/>
        <v>0</v>
      </c>
      <c r="BY172" s="9">
        <f t="shared" si="709"/>
        <v>0</v>
      </c>
      <c r="BZ172" s="9">
        <f t="shared" si="710"/>
        <v>0.84984840943171969</v>
      </c>
      <c r="CA172" s="9">
        <f t="shared" si="711"/>
        <v>0.84399999999999997</v>
      </c>
      <c r="CB172" s="9">
        <f t="shared" si="712"/>
        <v>1.8137908571660144</v>
      </c>
      <c r="CC172" s="9">
        <f t="shared" si="713"/>
        <v>2.2573945736173151</v>
      </c>
      <c r="CD172" s="9">
        <v>1</v>
      </c>
      <c r="CE172" s="9" t="e">
        <f>4*CC172*#REF!+60*CC172</f>
        <v>#REF!</v>
      </c>
      <c r="CG172" s="4" t="e">
        <f t="shared" si="714"/>
        <v>#REF!</v>
      </c>
      <c r="CH172" s="4" t="e">
        <f t="shared" si="715"/>
        <v>#REF!</v>
      </c>
      <c r="CI172" s="4" t="e">
        <f t="shared" si="716"/>
        <v>#REF!</v>
      </c>
      <c r="CJ172" s="4" t="e">
        <f t="shared" si="717"/>
        <v>#REF!</v>
      </c>
      <c r="CK172" s="4">
        <f t="shared" si="718"/>
        <v>0.98353055359065744</v>
      </c>
      <c r="CL172" s="4">
        <f t="shared" si="719"/>
        <v>1.0412218156152346</v>
      </c>
      <c r="CM172" s="4">
        <f t="shared" si="720"/>
        <v>1.3258623595815355</v>
      </c>
      <c r="CO172" s="4" t="e">
        <f>CG172</f>
        <v>#REF!</v>
      </c>
      <c r="CP172" s="4" t="e">
        <f>CH172</f>
        <v>#REF!</v>
      </c>
      <c r="CQ172" s="4" t="e">
        <f>CJ172</f>
        <v>#REF!</v>
      </c>
      <c r="CR172" s="4">
        <f t="shared" si="721"/>
        <v>1.3258623595815355</v>
      </c>
      <c r="CS172" s="4">
        <f>CK172</f>
        <v>0.98353055359065744</v>
      </c>
      <c r="CT172" s="4">
        <f>CL172</f>
        <v>1.0412218156152346</v>
      </c>
      <c r="DB172" s="4">
        <f t="shared" si="722"/>
        <v>0</v>
      </c>
      <c r="DC172" s="4" t="e">
        <f>#REF!</f>
        <v>#REF!</v>
      </c>
      <c r="DF172" s="4">
        <f t="shared" si="723"/>
        <v>2.068602055294326E-5</v>
      </c>
      <c r="DG172" s="4">
        <f t="shared" si="724"/>
        <v>6.9834208014386041</v>
      </c>
      <c r="DH172" s="4">
        <f t="shared" si="725"/>
        <v>0.38079668496343849</v>
      </c>
      <c r="DI172" s="4">
        <f t="shared" si="726"/>
        <v>4.7461938887450668</v>
      </c>
      <c r="DJ172" s="4">
        <f t="shared" si="727"/>
        <v>5.9709050746754713</v>
      </c>
      <c r="DK172" s="4">
        <f t="shared" si="728"/>
        <v>6.3622945193921439</v>
      </c>
      <c r="DL172" s="38">
        <f t="shared" si="729"/>
        <v>444.31766598872548</v>
      </c>
      <c r="DM172" s="4" t="e">
        <f t="shared" si="730"/>
        <v>#REF!</v>
      </c>
      <c r="DN172" s="4">
        <f t="shared" si="731"/>
        <v>2.2360679774997898</v>
      </c>
      <c r="DO172" s="4">
        <f t="shared" si="732"/>
        <v>212.52171841271891</v>
      </c>
      <c r="DS172" s="4">
        <f t="shared" si="733"/>
        <v>0.85</v>
      </c>
      <c r="DT172" s="4">
        <f t="shared" si="734"/>
        <v>1</v>
      </c>
      <c r="DU172" s="4">
        <f t="shared" si="735"/>
        <v>1</v>
      </c>
      <c r="DV172" s="4">
        <f t="shared" si="736"/>
        <v>1</v>
      </c>
      <c r="DX172" s="4">
        <f t="shared" si="737"/>
        <v>419.69923550034969</v>
      </c>
      <c r="DY172" s="25">
        <f t="shared" si="738"/>
        <v>210.19661145719158</v>
      </c>
      <c r="EB172" s="4">
        <f t="shared" si="739"/>
        <v>6.9834208014386041</v>
      </c>
      <c r="EE172" s="4">
        <f t="shared" si="740"/>
        <v>96.150923032490965</v>
      </c>
      <c r="EF172" s="4">
        <f t="shared" si="741"/>
        <v>2.2360679774997898</v>
      </c>
      <c r="EG172" s="4">
        <f t="shared" si="742"/>
        <v>0.15044012162558293</v>
      </c>
      <c r="EJ172" s="4">
        <f t="shared" si="743"/>
        <v>0.15044012162558293</v>
      </c>
      <c r="EK172" s="4">
        <f t="shared" si="744"/>
        <v>0.38016120626708905</v>
      </c>
      <c r="EL172" s="4">
        <f t="shared" si="745"/>
        <v>4.7430240959765975</v>
      </c>
      <c r="EM172" s="4">
        <f t="shared" si="746"/>
        <v>5.9696478367042616</v>
      </c>
      <c r="EN172" s="4" t="e">
        <f t="shared" si="747"/>
        <v>#REF!</v>
      </c>
      <c r="EO172" s="4" t="e">
        <f t="shared" si="748"/>
        <v>#REF!</v>
      </c>
      <c r="EP172" s="4" t="e">
        <f t="shared" si="749"/>
        <v>#REF!</v>
      </c>
      <c r="EQ172" s="4" t="e">
        <f t="shared" si="750"/>
        <v>#REF!</v>
      </c>
      <c r="ER172" s="4" t="e">
        <f t="shared" si="751"/>
        <v>#REF!</v>
      </c>
      <c r="FA172" s="23" t="e">
        <f t="shared" si="752"/>
        <v>#REF!</v>
      </c>
      <c r="FB172" s="23" t="e">
        <f t="shared" si="753"/>
        <v>#REF!</v>
      </c>
      <c r="FC172" s="23">
        <f t="shared" si="754"/>
        <v>1.4</v>
      </c>
      <c r="FD172" s="23" t="e">
        <f t="shared" si="755"/>
        <v>#REF!</v>
      </c>
      <c r="FE172" s="23">
        <f t="shared" si="756"/>
        <v>1</v>
      </c>
      <c r="FF172" s="23">
        <f t="shared" si="757"/>
        <v>1.2</v>
      </c>
      <c r="FG172" s="23">
        <f t="shared" si="758"/>
        <v>0</v>
      </c>
      <c r="FH172" s="23"/>
      <c r="FR172" s="4">
        <f t="shared" si="607"/>
        <v>1.25</v>
      </c>
      <c r="FS172" s="4">
        <f t="shared" si="608"/>
        <v>0.5</v>
      </c>
      <c r="FT172" s="4">
        <f t="shared" si="609"/>
        <v>0</v>
      </c>
      <c r="FU172" s="4">
        <f t="shared" si="610"/>
        <v>329.59680681931764</v>
      </c>
    </row>
    <row r="173" spans="1:177" ht="12" customHeight="1" x14ac:dyDescent="0.3">
      <c r="B173" s="24"/>
      <c r="C173" s="4" t="s">
        <v>181</v>
      </c>
      <c r="D173" s="7">
        <v>606</v>
      </c>
      <c r="E173" s="7">
        <f t="shared" ref="E173:E174" si="764">10*G173</f>
        <v>430</v>
      </c>
      <c r="F173" s="7">
        <v>52.2</v>
      </c>
      <c r="G173" s="37">
        <v>43</v>
      </c>
      <c r="H173" s="7">
        <f t="shared" si="680"/>
        <v>541.79999999999995</v>
      </c>
      <c r="I173" s="7">
        <f t="shared" si="681"/>
        <v>43</v>
      </c>
      <c r="J173" s="7">
        <f t="shared" si="759"/>
        <v>56</v>
      </c>
      <c r="K173" s="7">
        <f t="shared" si="682"/>
        <v>369.8</v>
      </c>
      <c r="L173" s="7">
        <v>2</v>
      </c>
      <c r="M173" s="7">
        <f t="shared" si="683"/>
        <v>224.16666666666663</v>
      </c>
      <c r="N173" s="7">
        <f t="shared" si="684"/>
        <v>1.5</v>
      </c>
      <c r="O173" s="7">
        <f t="shared" si="685"/>
        <v>1.5</v>
      </c>
      <c r="P173" s="7">
        <f t="shared" si="676"/>
        <v>4</v>
      </c>
      <c r="Q173" s="7">
        <f t="shared" si="676"/>
        <v>4</v>
      </c>
      <c r="R173" s="7">
        <f t="shared" si="686"/>
        <v>5</v>
      </c>
      <c r="S173" s="7">
        <f t="shared" si="687"/>
        <v>96.150923032490965</v>
      </c>
      <c r="T173" s="7">
        <f t="shared" si="688"/>
        <v>606</v>
      </c>
      <c r="U173" s="7">
        <v>19</v>
      </c>
      <c r="V173" s="7">
        <f>(489+498)/2</f>
        <v>493.5</v>
      </c>
      <c r="W173" s="7"/>
      <c r="X173" s="4">
        <f t="shared" si="689"/>
        <v>1.1067090057702911</v>
      </c>
      <c r="Y173" s="7">
        <v>15.9</v>
      </c>
      <c r="Z173" s="7">
        <v>1</v>
      </c>
      <c r="AA173" s="7">
        <v>370</v>
      </c>
      <c r="AB173" s="7">
        <v>2</v>
      </c>
      <c r="AC173" s="7">
        <f>Z173</f>
        <v>1</v>
      </c>
      <c r="AD173" s="7">
        <f t="shared" si="690"/>
        <v>3.125</v>
      </c>
      <c r="AE173" s="4">
        <f t="shared" si="691"/>
        <v>430</v>
      </c>
      <c r="AF173" s="4">
        <f t="shared" si="692"/>
        <v>0.41999999999999993</v>
      </c>
      <c r="AG173" s="4">
        <f t="shared" si="693"/>
        <v>221.8100126942922</v>
      </c>
      <c r="AH173" s="4">
        <f t="shared" si="694"/>
        <v>0.73</v>
      </c>
      <c r="AI173" s="4">
        <v>1.25</v>
      </c>
      <c r="AJ173" s="4">
        <f t="shared" si="760"/>
        <v>2.5</v>
      </c>
      <c r="AK173" s="38">
        <f t="shared" si="761"/>
        <v>212.52171841271866</v>
      </c>
      <c r="AL173" s="38">
        <f t="shared" si="762"/>
        <v>212.52171841271866</v>
      </c>
      <c r="AM173" s="38">
        <f t="shared" si="695"/>
        <v>4.1313780222399661</v>
      </c>
      <c r="AN173" s="38">
        <f t="shared" si="640"/>
        <v>212.52171841271891</v>
      </c>
      <c r="AO173" s="38">
        <f t="shared" si="548"/>
        <v>0.99999999999999878</v>
      </c>
      <c r="AP173" s="38">
        <f t="shared" si="641"/>
        <v>1.4737317312283496</v>
      </c>
      <c r="AQ173" s="4">
        <f t="shared" si="642"/>
        <v>0</v>
      </c>
      <c r="AR173" s="4" t="e">
        <f>#REF!/G173*F173^0.5/0.19</f>
        <v>#REF!</v>
      </c>
      <c r="AS173" s="4">
        <f t="shared" si="696"/>
        <v>1</v>
      </c>
      <c r="AT173" s="38">
        <f t="shared" si="697"/>
        <v>313.20000000000005</v>
      </c>
      <c r="AU173" s="4">
        <f t="shared" si="698"/>
        <v>0.44000000000000006</v>
      </c>
      <c r="AV173" s="4" t="e">
        <f>AU173*D173*#REF!/(D173*G173/2.75/F173^0.5)</f>
        <v>#REF!</v>
      </c>
      <c r="AW173" s="4" t="e">
        <f t="shared" si="699"/>
        <v>#REF!</v>
      </c>
      <c r="AY173" s="4">
        <f t="shared" si="700"/>
        <v>1.1996797080462691</v>
      </c>
      <c r="AZ173" s="4" t="e">
        <f>(3*#REF!+30)*AY173*F173^0.5</f>
        <v>#REF!</v>
      </c>
      <c r="BB173" s="4">
        <f t="shared" si="701"/>
        <v>300.39710186416738</v>
      </c>
      <c r="BC173" s="4">
        <f t="shared" si="702"/>
        <v>641.65616063635548</v>
      </c>
      <c r="BD173" s="4">
        <f t="shared" si="703"/>
        <v>2.1360264684793715</v>
      </c>
      <c r="BL173" s="4">
        <f t="shared" si="704"/>
        <v>43</v>
      </c>
      <c r="BP173" s="9"/>
      <c r="BR173" s="9"/>
      <c r="BS173" s="9"/>
      <c r="BT173" s="9">
        <f t="shared" si="705"/>
        <v>43</v>
      </c>
      <c r="BU173" s="9">
        <f t="shared" si="706"/>
        <v>184.9</v>
      </c>
      <c r="BV173" s="9">
        <f t="shared" si="707"/>
        <v>1.2445726940891169</v>
      </c>
      <c r="BW173" s="9">
        <v>20</v>
      </c>
      <c r="BX173" s="9">
        <f t="shared" si="708"/>
        <v>1.2479981752891823E-2</v>
      </c>
      <c r="BY173" s="9">
        <f t="shared" si="709"/>
        <v>4.9599635057836454E-2</v>
      </c>
      <c r="BZ173" s="9">
        <f t="shared" si="710"/>
        <v>0.84984840943171969</v>
      </c>
      <c r="CA173" s="9">
        <f t="shared" si="711"/>
        <v>0.84399999999999997</v>
      </c>
      <c r="CB173" s="9">
        <f t="shared" si="712"/>
        <v>1.8137908571660144</v>
      </c>
      <c r="CC173" s="9">
        <f t="shared" si="713"/>
        <v>2.3473579382039897</v>
      </c>
      <c r="CD173" s="9">
        <v>1</v>
      </c>
      <c r="CE173" s="9" t="e">
        <f>4*CC173*#REF!+60*CC173</f>
        <v>#REF!</v>
      </c>
      <c r="CG173" s="4" t="e">
        <f t="shared" si="714"/>
        <v>#REF!</v>
      </c>
      <c r="CH173" s="4" t="e">
        <f t="shared" si="715"/>
        <v>#REF!</v>
      </c>
      <c r="CI173" s="4" t="e">
        <f t="shared" si="716"/>
        <v>#REF!</v>
      </c>
      <c r="CJ173" s="4" t="e">
        <f t="shared" si="717"/>
        <v>#REF!</v>
      </c>
      <c r="CK173" s="4">
        <f t="shared" si="718"/>
        <v>1.1067090057702911</v>
      </c>
      <c r="CL173" s="4">
        <f t="shared" si="719"/>
        <v>1.1716971921552939</v>
      </c>
      <c r="CM173" s="4">
        <f t="shared" si="720"/>
        <v>1.1653373728318932</v>
      </c>
      <c r="CU173" s="4" t="e">
        <f>CG173</f>
        <v>#REF!</v>
      </c>
      <c r="CV173" s="4" t="e">
        <f>CH173</f>
        <v>#REF!</v>
      </c>
      <c r="CW173" s="4" t="e">
        <f>CJ173</f>
        <v>#REF!</v>
      </c>
      <c r="CX173" s="4">
        <f t="shared" ref="CX173" si="765">CM173</f>
        <v>1.1653373728318932</v>
      </c>
      <c r="CY173" s="4">
        <f>CK173</f>
        <v>1.1067090057702911</v>
      </c>
      <c r="CZ173" s="4">
        <f>CL173</f>
        <v>1.1716971921552939</v>
      </c>
      <c r="DB173" s="4">
        <f t="shared" si="722"/>
        <v>1</v>
      </c>
      <c r="DC173" s="4" t="e">
        <f>#REF!</f>
        <v>#REF!</v>
      </c>
      <c r="DF173" s="4">
        <f t="shared" si="723"/>
        <v>2.068602055294326E-5</v>
      </c>
      <c r="DG173" s="4">
        <f t="shared" si="724"/>
        <v>7.0329098169215492</v>
      </c>
      <c r="DH173" s="4">
        <f t="shared" si="725"/>
        <v>0.38079668496343849</v>
      </c>
      <c r="DI173" s="4">
        <f t="shared" si="726"/>
        <v>4.7798284740756225</v>
      </c>
      <c r="DJ173" s="4">
        <f t="shared" si="727"/>
        <v>6.0132187518960869</v>
      </c>
      <c r="DK173" s="4">
        <f t="shared" si="728"/>
        <v>6.403017200513113</v>
      </c>
      <c r="DL173" s="38">
        <f t="shared" si="729"/>
        <v>445.91667495875697</v>
      </c>
      <c r="DM173" s="4" t="e">
        <f t="shared" si="730"/>
        <v>#REF!</v>
      </c>
      <c r="DN173" s="4">
        <f t="shared" si="731"/>
        <v>2.2360679774997898</v>
      </c>
      <c r="DO173" s="4">
        <f t="shared" si="732"/>
        <v>212.52171841271891</v>
      </c>
      <c r="DS173" s="4">
        <f t="shared" si="733"/>
        <v>0.85</v>
      </c>
      <c r="DT173" s="4">
        <f t="shared" si="734"/>
        <v>1</v>
      </c>
      <c r="DU173" s="4">
        <f t="shared" si="735"/>
        <v>0.99296322336398057</v>
      </c>
      <c r="DV173" s="4">
        <f t="shared" si="736"/>
        <v>0.99296322336398057</v>
      </c>
      <c r="DX173" s="4">
        <f t="shared" si="737"/>
        <v>421.183905964838</v>
      </c>
      <c r="DY173" s="25">
        <f t="shared" si="738"/>
        <v>210.19661145719158</v>
      </c>
      <c r="EB173" s="4">
        <f t="shared" si="739"/>
        <v>7.0329098169215492</v>
      </c>
      <c r="EE173" s="4">
        <f t="shared" si="740"/>
        <v>96.150923032490965</v>
      </c>
      <c r="EF173" s="4">
        <f t="shared" si="741"/>
        <v>2.2360679774997898</v>
      </c>
      <c r="EG173" s="4">
        <f t="shared" si="742"/>
        <v>0.15044012162558293</v>
      </c>
      <c r="EJ173" s="4">
        <f t="shared" si="743"/>
        <v>0.15044012162558293</v>
      </c>
      <c r="EK173" s="4">
        <f t="shared" si="744"/>
        <v>0.38016120626708905</v>
      </c>
      <c r="EL173" s="4">
        <f t="shared" si="745"/>
        <v>4.7766362181149926</v>
      </c>
      <c r="EM173" s="4">
        <f t="shared" si="746"/>
        <v>6.0119526043272469</v>
      </c>
      <c r="EN173" s="4" t="e">
        <f t="shared" si="747"/>
        <v>#REF!</v>
      </c>
      <c r="EO173" s="4" t="e">
        <f t="shared" si="748"/>
        <v>#REF!</v>
      </c>
      <c r="EP173" s="4" t="e">
        <f t="shared" si="749"/>
        <v>#REF!</v>
      </c>
      <c r="EQ173" s="4" t="e">
        <f t="shared" si="750"/>
        <v>#REF!</v>
      </c>
      <c r="ER173" s="4" t="e">
        <f t="shared" si="751"/>
        <v>#REF!</v>
      </c>
      <c r="FA173" s="23" t="e">
        <f t="shared" si="752"/>
        <v>#REF!</v>
      </c>
      <c r="FB173" s="23" t="e">
        <f t="shared" si="753"/>
        <v>#REF!</v>
      </c>
      <c r="FC173" s="23">
        <f t="shared" si="754"/>
        <v>1.2</v>
      </c>
      <c r="FD173" s="23" t="e">
        <f t="shared" si="755"/>
        <v>#REF!</v>
      </c>
      <c r="FE173" s="23">
        <f t="shared" si="756"/>
        <v>1.2</v>
      </c>
      <c r="FF173" s="23">
        <f t="shared" si="757"/>
        <v>1.2</v>
      </c>
      <c r="FG173" s="23">
        <f t="shared" si="758"/>
        <v>0</v>
      </c>
      <c r="FH173" s="23"/>
      <c r="FR173" s="4">
        <f t="shared" si="607"/>
        <v>1.25</v>
      </c>
      <c r="FS173" s="4">
        <f t="shared" si="608"/>
        <v>0.38915043257609383</v>
      </c>
      <c r="FT173" s="4">
        <f t="shared" si="609"/>
        <v>0.27345592212006492</v>
      </c>
      <c r="FU173" s="4">
        <f t="shared" si="610"/>
        <v>423.48251373826855</v>
      </c>
    </row>
    <row r="174" spans="1:177" ht="12" customHeight="1" x14ac:dyDescent="0.3">
      <c r="B174" s="24"/>
      <c r="C174" s="4" t="s">
        <v>159</v>
      </c>
      <c r="D174" s="7">
        <v>606</v>
      </c>
      <c r="E174" s="7">
        <f t="shared" si="764"/>
        <v>430</v>
      </c>
      <c r="F174" s="7">
        <v>81.2</v>
      </c>
      <c r="G174" s="37">
        <v>43</v>
      </c>
      <c r="H174" s="7">
        <f t="shared" si="680"/>
        <v>541.79999999999995</v>
      </c>
      <c r="I174" s="7">
        <f t="shared" si="681"/>
        <v>43</v>
      </c>
      <c r="J174" s="7">
        <f t="shared" si="759"/>
        <v>56</v>
      </c>
      <c r="K174" s="7">
        <f t="shared" si="682"/>
        <v>369.8</v>
      </c>
      <c r="L174" s="7">
        <v>2</v>
      </c>
      <c r="M174" s="7">
        <f t="shared" si="683"/>
        <v>224.16666666666663</v>
      </c>
      <c r="N174" s="7">
        <f t="shared" si="684"/>
        <v>1.5</v>
      </c>
      <c r="O174" s="7">
        <f t="shared" si="685"/>
        <v>1.5</v>
      </c>
      <c r="P174" s="7">
        <f t="shared" si="676"/>
        <v>4</v>
      </c>
      <c r="Q174" s="7">
        <f t="shared" si="676"/>
        <v>4</v>
      </c>
      <c r="R174" s="7">
        <f t="shared" si="686"/>
        <v>5</v>
      </c>
      <c r="S174" s="7">
        <f t="shared" si="687"/>
        <v>96.150923032490965</v>
      </c>
      <c r="T174" s="7">
        <f t="shared" si="688"/>
        <v>606</v>
      </c>
      <c r="U174" s="7">
        <v>19</v>
      </c>
      <c r="V174" s="7">
        <f>(595+590)/2</f>
        <v>592.5</v>
      </c>
      <c r="W174" s="7"/>
      <c r="X174" s="4">
        <f t="shared" si="689"/>
        <v>1.0925318620009352</v>
      </c>
      <c r="Y174" s="7"/>
      <c r="Z174" s="7"/>
      <c r="AA174" s="7">
        <v>1</v>
      </c>
      <c r="AB174" s="7"/>
      <c r="AC174" s="7"/>
      <c r="AD174" s="7">
        <f t="shared" si="690"/>
        <v>3.125</v>
      </c>
      <c r="AE174" s="4">
        <f t="shared" si="691"/>
        <v>430</v>
      </c>
      <c r="AF174" s="4">
        <f t="shared" si="692"/>
        <v>0.41999999999999993</v>
      </c>
      <c r="AG174" s="4">
        <f t="shared" si="693"/>
        <v>276.64569081934007</v>
      </c>
      <c r="AH174" s="4">
        <f t="shared" si="694"/>
        <v>0.73</v>
      </c>
      <c r="AI174" s="4">
        <v>1.25</v>
      </c>
      <c r="AJ174" s="4">
        <f t="shared" si="760"/>
        <v>2.5</v>
      </c>
      <c r="AK174" s="38">
        <f t="shared" si="761"/>
        <v>265.06115251628017</v>
      </c>
      <c r="AL174" s="38">
        <f t="shared" si="762"/>
        <v>265.06115251628017</v>
      </c>
      <c r="AM174" s="38">
        <f t="shared" si="695"/>
        <v>4.8644521931491767</v>
      </c>
      <c r="AN174" s="38">
        <f t="shared" si="640"/>
        <v>265.0611525162804</v>
      </c>
      <c r="AO174" s="38">
        <f t="shared" si="548"/>
        <v>0.99999999999999911</v>
      </c>
      <c r="AP174" s="38">
        <f t="shared" si="641"/>
        <v>1.8380664060912344</v>
      </c>
      <c r="AQ174" s="4">
        <f t="shared" si="642"/>
        <v>0</v>
      </c>
      <c r="AR174" s="4" t="e">
        <f>#REF!/G174*F174^0.5/0.19</f>
        <v>#REF!</v>
      </c>
      <c r="AS174" s="4">
        <f t="shared" si="696"/>
        <v>1</v>
      </c>
      <c r="AT174" s="38">
        <f t="shared" si="697"/>
        <v>487.20000000000005</v>
      </c>
      <c r="AU174" s="4">
        <f t="shared" si="698"/>
        <v>0.44000000000000006</v>
      </c>
      <c r="AV174" s="4" t="e">
        <f>AU174*D174*#REF!/(D174*G174/2.75/F174^0.5)</f>
        <v>#REF!</v>
      </c>
      <c r="AW174" s="4" t="e">
        <f t="shared" si="699"/>
        <v>#REF!</v>
      </c>
      <c r="AY174" s="4">
        <f t="shared" si="700"/>
        <v>1</v>
      </c>
      <c r="AZ174" s="4" t="e">
        <f>(3*#REF!+30)*AY174*F174^0.5</f>
        <v>#REF!</v>
      </c>
      <c r="BB174" s="4">
        <f t="shared" si="701"/>
        <v>467.28438067759373</v>
      </c>
      <c r="BC174" s="4">
        <f t="shared" si="702"/>
        <v>641.65616063635548</v>
      </c>
      <c r="BD174" s="4">
        <f t="shared" si="703"/>
        <v>1.3731598725938816</v>
      </c>
      <c r="BL174" s="4">
        <f t="shared" si="704"/>
        <v>43</v>
      </c>
      <c r="BP174" s="9"/>
      <c r="BR174" s="9"/>
      <c r="BS174" s="9"/>
      <c r="BT174" s="9">
        <f t="shared" si="705"/>
        <v>43</v>
      </c>
      <c r="BU174" s="9">
        <f t="shared" si="706"/>
        <v>184.9</v>
      </c>
      <c r="BV174" s="9">
        <f t="shared" si="707"/>
        <v>1.2445726940891169</v>
      </c>
      <c r="BW174" s="9">
        <v>0</v>
      </c>
      <c r="BX174" s="9">
        <f t="shared" si="708"/>
        <v>0</v>
      </c>
      <c r="BY174" s="9">
        <f t="shared" si="709"/>
        <v>0</v>
      </c>
      <c r="BZ174" s="9">
        <f t="shared" si="710"/>
        <v>0.84984840943171969</v>
      </c>
      <c r="CA174" s="9">
        <f t="shared" si="711"/>
        <v>0.84399999999999997</v>
      </c>
      <c r="CB174" s="9">
        <f t="shared" si="712"/>
        <v>2.2621946529260857</v>
      </c>
      <c r="CC174" s="9">
        <f t="shared" si="713"/>
        <v>2.815465693746213</v>
      </c>
      <c r="CD174" s="9">
        <v>1</v>
      </c>
      <c r="CE174" s="9" t="e">
        <f>4*CC174*#REF!+60*CC174</f>
        <v>#REF!</v>
      </c>
      <c r="CG174" s="4" t="e">
        <f t="shared" si="714"/>
        <v>#REF!</v>
      </c>
      <c r="CH174" s="4" t="e">
        <f t="shared" si="715"/>
        <v>#REF!</v>
      </c>
      <c r="CI174" s="4" t="e">
        <f t="shared" si="716"/>
        <v>#REF!</v>
      </c>
      <c r="CJ174" s="4" t="e">
        <f t="shared" si="717"/>
        <v>#REF!</v>
      </c>
      <c r="CK174" s="4">
        <f t="shared" si="718"/>
        <v>1.0925318620009352</v>
      </c>
      <c r="CL174" s="4">
        <f t="shared" si="719"/>
        <v>1.131898315070766</v>
      </c>
      <c r="CM174" s="4">
        <f t="shared" si="720"/>
        <v>1.6096593536070971</v>
      </c>
      <c r="CO174" s="4" t="e">
        <f t="shared" ref="CO174:CP176" si="766">CG174</f>
        <v>#REF!</v>
      </c>
      <c r="CP174" s="4" t="e">
        <f t="shared" si="766"/>
        <v>#REF!</v>
      </c>
      <c r="CQ174" s="4" t="e">
        <f>CJ174</f>
        <v>#REF!</v>
      </c>
      <c r="CR174" s="4">
        <f t="shared" si="721"/>
        <v>1.6096593536070971</v>
      </c>
      <c r="CS174" s="4">
        <f t="shared" ref="CS174:CT176" si="767">CK174</f>
        <v>1.0925318620009352</v>
      </c>
      <c r="CT174" s="4">
        <f t="shared" si="767"/>
        <v>1.131898315070766</v>
      </c>
      <c r="DB174" s="4">
        <f t="shared" si="722"/>
        <v>0</v>
      </c>
      <c r="DC174" s="4" t="e">
        <f>#REF!</f>
        <v>#REF!</v>
      </c>
      <c r="DF174" s="4">
        <f t="shared" si="723"/>
        <v>2.4682021866243434E-5</v>
      </c>
      <c r="DG174" s="4">
        <f t="shared" si="724"/>
        <v>8.7098560088845165</v>
      </c>
      <c r="DH174" s="4">
        <f t="shared" si="725"/>
        <v>0.30531658481838836</v>
      </c>
      <c r="DI174" s="4">
        <f t="shared" si="726"/>
        <v>5.4188999627402126</v>
      </c>
      <c r="DJ174" s="4">
        <f t="shared" si="727"/>
        <v>7.2544617597434549</v>
      </c>
      <c r="DK174" s="4">
        <f t="shared" si="728"/>
        <v>7.6041038286671467</v>
      </c>
      <c r="DL174" s="38">
        <f t="shared" si="729"/>
        <v>542.31827977525177</v>
      </c>
      <c r="DM174" s="4" t="e">
        <f t="shared" si="730"/>
        <v>#REF!</v>
      </c>
      <c r="DN174" s="4">
        <f t="shared" si="731"/>
        <v>2.2360679774997898</v>
      </c>
      <c r="DO174" s="4">
        <f t="shared" si="732"/>
        <v>265.0611525162804</v>
      </c>
      <c r="DS174" s="4">
        <f t="shared" si="733"/>
        <v>0.85</v>
      </c>
      <c r="DT174" s="4">
        <f t="shared" si="734"/>
        <v>1</v>
      </c>
      <c r="DU174" s="4">
        <f t="shared" si="735"/>
        <v>1</v>
      </c>
      <c r="DV174" s="4">
        <f t="shared" si="736"/>
        <v>1</v>
      </c>
      <c r="DX174" s="4">
        <f t="shared" si="737"/>
        <v>523.45691491108641</v>
      </c>
      <c r="DY174" s="25">
        <f t="shared" si="738"/>
        <v>262.16123464455097</v>
      </c>
      <c r="EB174" s="4">
        <f t="shared" si="739"/>
        <v>8.7098560088845165</v>
      </c>
      <c r="EE174" s="4">
        <f t="shared" si="740"/>
        <v>96.150923032490965</v>
      </c>
      <c r="EF174" s="4">
        <f t="shared" si="741"/>
        <v>2.2360679774997898</v>
      </c>
      <c r="EG174" s="4">
        <f t="shared" si="742"/>
        <v>0.1504401216255829</v>
      </c>
      <c r="EJ174" s="4">
        <f t="shared" si="743"/>
        <v>0.1504401216255829</v>
      </c>
      <c r="EK174" s="4">
        <f t="shared" si="744"/>
        <v>0.30480706834160254</v>
      </c>
      <c r="EL174" s="4">
        <f t="shared" si="745"/>
        <v>5.4152808965331429</v>
      </c>
      <c r="EM174" s="4">
        <f t="shared" si="746"/>
        <v>7.2531151252049844</v>
      </c>
      <c r="EN174" s="4" t="e">
        <f t="shared" si="747"/>
        <v>#REF!</v>
      </c>
      <c r="EO174" s="4" t="e">
        <f t="shared" si="748"/>
        <v>#REF!</v>
      </c>
      <c r="EP174" s="4" t="e">
        <f t="shared" si="749"/>
        <v>#REF!</v>
      </c>
      <c r="EQ174" s="4" t="e">
        <f t="shared" si="750"/>
        <v>#REF!</v>
      </c>
      <c r="ER174" s="4" t="e">
        <f t="shared" si="751"/>
        <v>#REF!</v>
      </c>
      <c r="FA174" s="23" t="e">
        <f t="shared" si="752"/>
        <v>#REF!</v>
      </c>
      <c r="FB174" s="23" t="e">
        <f t="shared" si="753"/>
        <v>#REF!</v>
      </c>
      <c r="FC174" s="23">
        <f t="shared" si="754"/>
        <v>1.8</v>
      </c>
      <c r="FD174" s="23" t="e">
        <f t="shared" si="755"/>
        <v>#REF!</v>
      </c>
      <c r="FE174" s="23">
        <f t="shared" si="756"/>
        <v>1.2</v>
      </c>
      <c r="FF174" s="23">
        <f t="shared" si="757"/>
        <v>1.2</v>
      </c>
      <c r="FG174" s="23">
        <f t="shared" si="758"/>
        <v>0</v>
      </c>
      <c r="FH174" s="23"/>
      <c r="FR174" s="4">
        <f t="shared" si="607"/>
        <v>1.25</v>
      </c>
      <c r="FS174" s="4">
        <f t="shared" si="608"/>
        <v>0.5</v>
      </c>
      <c r="FT174" s="4">
        <f t="shared" si="609"/>
        <v>0</v>
      </c>
      <c r="FU174" s="4">
        <f t="shared" si="610"/>
        <v>368.09030349947182</v>
      </c>
    </row>
    <row r="175" spans="1:177" ht="12" customHeight="1" x14ac:dyDescent="0.3">
      <c r="B175" s="24"/>
      <c r="C175" s="4" t="s">
        <v>160</v>
      </c>
      <c r="D175" s="7">
        <v>606</v>
      </c>
      <c r="E175" s="7">
        <f>13*G175</f>
        <v>559</v>
      </c>
      <c r="F175" s="7">
        <v>45.8</v>
      </c>
      <c r="G175" s="37">
        <v>43</v>
      </c>
      <c r="H175" s="7">
        <f t="shared" si="680"/>
        <v>344</v>
      </c>
      <c r="I175" s="7">
        <f t="shared" si="681"/>
        <v>43</v>
      </c>
      <c r="J175" s="7">
        <f t="shared" si="759"/>
        <v>56</v>
      </c>
      <c r="K175" s="7">
        <f t="shared" ref="K175:K182" si="768">(5-1)*G175</f>
        <v>172</v>
      </c>
      <c r="L175" s="7">
        <v>2</v>
      </c>
      <c r="M175" s="7">
        <f t="shared" ref="M175:M182" si="769">2/3*E175-0.5*200</f>
        <v>272.66666666666663</v>
      </c>
      <c r="N175" s="7">
        <f t="shared" si="684"/>
        <v>1.5</v>
      </c>
      <c r="O175" s="7">
        <f t="shared" si="685"/>
        <v>1.5</v>
      </c>
      <c r="P175" s="7">
        <f t="shared" si="676"/>
        <v>4</v>
      </c>
      <c r="Q175" s="7">
        <f t="shared" si="676"/>
        <v>4</v>
      </c>
      <c r="R175" s="7">
        <f t="shared" si="686"/>
        <v>5</v>
      </c>
      <c r="S175" s="7">
        <f t="shared" si="687"/>
        <v>96.150923032490965</v>
      </c>
      <c r="T175" s="7">
        <f t="shared" si="688"/>
        <v>606</v>
      </c>
      <c r="U175" s="7">
        <v>19</v>
      </c>
      <c r="V175" s="7">
        <f>(475+475)/2</f>
        <v>475</v>
      </c>
      <c r="W175" s="7"/>
      <c r="X175" s="4">
        <f t="shared" si="689"/>
        <v>1.1437168102008413</v>
      </c>
      <c r="Y175" s="7"/>
      <c r="Z175" s="7"/>
      <c r="AA175" s="7">
        <v>1</v>
      </c>
      <c r="AB175" s="7"/>
      <c r="AC175" s="7"/>
      <c r="AD175" s="7">
        <f t="shared" si="690"/>
        <v>7.8</v>
      </c>
      <c r="AE175" s="4">
        <f t="shared" si="691"/>
        <v>559</v>
      </c>
      <c r="AF175" s="4">
        <f t="shared" si="692"/>
        <v>0.20512820512820512</v>
      </c>
      <c r="AG175" s="4">
        <f t="shared" si="693"/>
        <v>307.95954027775866</v>
      </c>
      <c r="AH175" s="4">
        <f t="shared" si="694"/>
        <v>0.72307692307692306</v>
      </c>
      <c r="AI175" s="4">
        <v>1.25</v>
      </c>
      <c r="AJ175" s="4">
        <f t="shared" si="760"/>
        <v>2.5</v>
      </c>
      <c r="AK175" s="38">
        <f t="shared" si="761"/>
        <v>142.74258770270868</v>
      </c>
      <c r="AL175" s="38">
        <f t="shared" si="762"/>
        <v>142.74258770270868</v>
      </c>
      <c r="AM175" s="38">
        <f t="shared" si="695"/>
        <v>3.8402978284624769</v>
      </c>
      <c r="AN175" s="38">
        <f t="shared" si="640"/>
        <v>142.74258770270856</v>
      </c>
      <c r="AO175" s="38">
        <f t="shared" si="548"/>
        <v>1.0000000000000009</v>
      </c>
      <c r="AP175" s="38">
        <f t="shared" si="641"/>
        <v>1.9251437459738976</v>
      </c>
      <c r="AQ175" s="4">
        <f t="shared" si="642"/>
        <v>0</v>
      </c>
      <c r="AR175" s="4" t="e">
        <f>#REF!/G175*F175^0.5/0.19</f>
        <v>#REF!</v>
      </c>
      <c r="AS175" s="4">
        <f t="shared" si="696"/>
        <v>1</v>
      </c>
      <c r="AT175" s="38">
        <f t="shared" si="697"/>
        <v>274.79999999999995</v>
      </c>
      <c r="AU175" s="4">
        <f t="shared" si="698"/>
        <v>0.44000000000000006</v>
      </c>
      <c r="AV175" s="4" t="e">
        <f>AU175*D175*#REF!/(D175*G175/2.75/F175^0.5)</f>
        <v>#REF!</v>
      </c>
      <c r="AW175" s="4" t="e">
        <f t="shared" si="699"/>
        <v>#REF!</v>
      </c>
      <c r="AY175" s="4">
        <f t="shared" si="700"/>
        <v>1</v>
      </c>
      <c r="AZ175" s="4" t="e">
        <f>(3*#REF!+30)*AY175*F175^0.5</f>
        <v>#REF!</v>
      </c>
      <c r="BB175" s="4">
        <f t="shared" si="701"/>
        <v>263.56680585016983</v>
      </c>
      <c r="BC175" s="4">
        <f t="shared" si="702"/>
        <v>641.65616063635548</v>
      </c>
      <c r="BD175" s="4">
        <f t="shared" si="703"/>
        <v>2.4345105164764891</v>
      </c>
      <c r="BL175" s="4">
        <f t="shared" si="704"/>
        <v>43</v>
      </c>
      <c r="BP175" s="9"/>
      <c r="BR175" s="9"/>
      <c r="BS175" s="9"/>
      <c r="BT175" s="9">
        <f t="shared" si="705"/>
        <v>43</v>
      </c>
      <c r="BU175" s="9">
        <f t="shared" si="706"/>
        <v>86</v>
      </c>
      <c r="BV175" s="9">
        <f t="shared" si="707"/>
        <v>1.1095694720678451</v>
      </c>
      <c r="BW175" s="9">
        <v>0</v>
      </c>
      <c r="BX175" s="9">
        <f t="shared" si="708"/>
        <v>0</v>
      </c>
      <c r="BY175" s="9">
        <f t="shared" si="709"/>
        <v>0</v>
      </c>
      <c r="BZ175" s="9">
        <f t="shared" si="710"/>
        <v>0.84984840943171969</v>
      </c>
      <c r="CA175" s="9">
        <f t="shared" si="711"/>
        <v>0.84399999999999997</v>
      </c>
      <c r="CB175" s="9">
        <f t="shared" si="712"/>
        <v>1.6989660317871056</v>
      </c>
      <c r="CC175" s="9">
        <f t="shared" si="713"/>
        <v>1.8851208429512205</v>
      </c>
      <c r="CD175" s="9">
        <v>1</v>
      </c>
      <c r="CE175" s="9" t="e">
        <f>4*CC175*#REF!+60*CC175</f>
        <v>#REF!</v>
      </c>
      <c r="CG175" s="4" t="e">
        <f t="shared" si="714"/>
        <v>#REF!</v>
      </c>
      <c r="CH175" s="4" t="e">
        <f t="shared" si="715"/>
        <v>#REF!</v>
      </c>
      <c r="CI175" s="4" t="e">
        <f t="shared" si="716"/>
        <v>#REF!</v>
      </c>
      <c r="CJ175" s="4" t="e">
        <f t="shared" si="717"/>
        <v>#REF!</v>
      </c>
      <c r="CK175" s="4">
        <f t="shared" si="718"/>
        <v>1.1437168102008413</v>
      </c>
      <c r="CL175" s="4">
        <f t="shared" si="719"/>
        <v>1.1972859454860088</v>
      </c>
      <c r="CM175" s="4">
        <f t="shared" si="720"/>
        <v>1.7181448594746873</v>
      </c>
      <c r="CO175" s="4" t="e">
        <f t="shared" si="766"/>
        <v>#REF!</v>
      </c>
      <c r="CP175" s="4" t="e">
        <f t="shared" si="766"/>
        <v>#REF!</v>
      </c>
      <c r="CQ175" s="4" t="e">
        <f>CJ175</f>
        <v>#REF!</v>
      </c>
      <c r="CR175" s="4">
        <f t="shared" si="721"/>
        <v>1.7181448594746873</v>
      </c>
      <c r="CS175" s="4">
        <f t="shared" si="767"/>
        <v>1.1437168102008413</v>
      </c>
      <c r="CT175" s="4">
        <f t="shared" si="767"/>
        <v>1.1972859454860088</v>
      </c>
      <c r="DB175" s="4">
        <f t="shared" si="722"/>
        <v>0</v>
      </c>
      <c r="DC175" s="4" t="e">
        <f>#REF!</f>
        <v>#REF!</v>
      </c>
      <c r="DF175" s="4">
        <f t="shared" si="723"/>
        <v>2.5821318945834057E-5</v>
      </c>
      <c r="DG175" s="4">
        <f t="shared" si="724"/>
        <v>6.5413245857119913</v>
      </c>
      <c r="DH175" s="4">
        <f t="shared" si="725"/>
        <v>0.29150662590823162</v>
      </c>
      <c r="DI175" s="4">
        <f t="shared" si="726"/>
        <v>3.9950762435455838</v>
      </c>
      <c r="DJ175" s="4">
        <f t="shared" si="727"/>
        <v>5.4206912728238548</v>
      </c>
      <c r="DK175" s="4">
        <f t="shared" si="728"/>
        <v>5.685703021131018</v>
      </c>
      <c r="DL175" s="38">
        <f t="shared" si="729"/>
        <v>415.31259815669591</v>
      </c>
      <c r="DM175" s="4" t="e">
        <f t="shared" si="730"/>
        <v>#REF!</v>
      </c>
      <c r="DN175" s="4">
        <f t="shared" si="731"/>
        <v>2.2360679774997898</v>
      </c>
      <c r="DO175" s="4">
        <f t="shared" si="732"/>
        <v>142.74258770270856</v>
      </c>
      <c r="DS175" s="4">
        <f t="shared" si="733"/>
        <v>0.85</v>
      </c>
      <c r="DT175" s="4">
        <f t="shared" si="734"/>
        <v>1</v>
      </c>
      <c r="DU175" s="4">
        <f t="shared" si="735"/>
        <v>1</v>
      </c>
      <c r="DV175" s="4">
        <f t="shared" si="736"/>
        <v>1</v>
      </c>
      <c r="DX175" s="4">
        <f t="shared" si="737"/>
        <v>396.73062378359873</v>
      </c>
      <c r="DY175" s="25">
        <f t="shared" si="738"/>
        <v>141.61896494083106</v>
      </c>
      <c r="EB175" s="4">
        <f t="shared" si="739"/>
        <v>6.5413245857119913</v>
      </c>
      <c r="EE175" s="4">
        <f t="shared" si="740"/>
        <v>96.150923032490965</v>
      </c>
      <c r="EF175" s="4">
        <f t="shared" si="741"/>
        <v>2.2360679774997898</v>
      </c>
      <c r="EG175" s="4">
        <f t="shared" si="742"/>
        <v>0.10787391362592545</v>
      </c>
      <c r="EJ175" s="4">
        <f t="shared" si="743"/>
        <v>0.10787391362592545</v>
      </c>
      <c r="EK175" s="4">
        <f t="shared" si="744"/>
        <v>0.29102015567904033</v>
      </c>
      <c r="EL175" s="4">
        <f t="shared" si="745"/>
        <v>3.9924080921629965</v>
      </c>
      <c r="EM175" s="4">
        <f t="shared" si="746"/>
        <v>5.419712164383319</v>
      </c>
      <c r="EN175" s="4" t="e">
        <f t="shared" si="747"/>
        <v>#REF!</v>
      </c>
      <c r="EO175" s="4" t="e">
        <f t="shared" si="748"/>
        <v>#REF!</v>
      </c>
      <c r="EP175" s="4" t="e">
        <f t="shared" si="749"/>
        <v>#REF!</v>
      </c>
      <c r="EQ175" s="4" t="e">
        <f t="shared" si="750"/>
        <v>#REF!</v>
      </c>
      <c r="ER175" s="4" t="e">
        <f t="shared" si="751"/>
        <v>#REF!</v>
      </c>
      <c r="FA175" s="23" t="e">
        <f t="shared" si="752"/>
        <v>#REF!</v>
      </c>
      <c r="FB175" s="23" t="e">
        <f t="shared" si="753"/>
        <v>#REF!</v>
      </c>
      <c r="FC175" s="23">
        <f t="shared" si="754"/>
        <v>1.8</v>
      </c>
      <c r="FD175" s="23" t="e">
        <f t="shared" si="755"/>
        <v>#REF!</v>
      </c>
      <c r="FE175" s="23">
        <f t="shared" si="756"/>
        <v>1.2</v>
      </c>
      <c r="FF175" s="23">
        <f t="shared" si="757"/>
        <v>1.2</v>
      </c>
      <c r="FG175" s="23">
        <f t="shared" si="758"/>
        <v>0</v>
      </c>
      <c r="FH175" s="23"/>
      <c r="FR175" s="4">
        <f t="shared" si="607"/>
        <v>1.25</v>
      </c>
      <c r="FS175" s="4">
        <f t="shared" si="608"/>
        <v>0.75</v>
      </c>
      <c r="FT175" s="4">
        <f t="shared" si="609"/>
        <v>0</v>
      </c>
      <c r="FU175" s="4">
        <f t="shared" si="610"/>
        <v>276.46097322971269</v>
      </c>
    </row>
    <row r="176" spans="1:177" ht="12" customHeight="1" x14ac:dyDescent="0.3">
      <c r="B176" s="24"/>
      <c r="C176" s="4" t="s">
        <v>161</v>
      </c>
      <c r="D176" s="7">
        <v>606</v>
      </c>
      <c r="E176" s="7">
        <f t="shared" ref="E176:E178" si="770">13*G176</f>
        <v>559</v>
      </c>
      <c r="F176" s="7">
        <v>44.3</v>
      </c>
      <c r="G176" s="37">
        <v>43</v>
      </c>
      <c r="H176" s="7">
        <f t="shared" si="680"/>
        <v>430</v>
      </c>
      <c r="I176" s="7">
        <f>2*G176</f>
        <v>86</v>
      </c>
      <c r="J176" s="7">
        <f t="shared" si="759"/>
        <v>56</v>
      </c>
      <c r="K176" s="7">
        <f t="shared" si="768"/>
        <v>172</v>
      </c>
      <c r="L176" s="7">
        <v>2</v>
      </c>
      <c r="M176" s="7">
        <f t="shared" si="769"/>
        <v>272.66666666666663</v>
      </c>
      <c r="N176" s="7">
        <f t="shared" si="684"/>
        <v>2.5</v>
      </c>
      <c r="O176" s="7">
        <f t="shared" si="685"/>
        <v>2.5</v>
      </c>
      <c r="P176" s="7">
        <f t="shared" si="676"/>
        <v>4</v>
      </c>
      <c r="Q176" s="7">
        <f t="shared" si="676"/>
        <v>4</v>
      </c>
      <c r="R176" s="7">
        <f t="shared" si="686"/>
        <v>5</v>
      </c>
      <c r="S176" s="7">
        <f t="shared" si="687"/>
        <v>96.150923032490965</v>
      </c>
      <c r="T176" s="7">
        <f t="shared" si="688"/>
        <v>606</v>
      </c>
      <c r="U176" s="7">
        <v>19</v>
      </c>
      <c r="V176" s="7">
        <f>(540+540)/2</f>
        <v>540</v>
      </c>
      <c r="W176" s="7"/>
      <c r="X176" s="4">
        <f t="shared" si="689"/>
        <v>1.112459169884874</v>
      </c>
      <c r="Y176" s="7"/>
      <c r="Z176" s="7"/>
      <c r="AA176" s="7">
        <v>1</v>
      </c>
      <c r="AB176" s="7"/>
      <c r="AC176" s="7"/>
      <c r="AD176" s="7">
        <f t="shared" si="690"/>
        <v>7.8</v>
      </c>
      <c r="AE176" s="4">
        <f t="shared" si="691"/>
        <v>559</v>
      </c>
      <c r="AF176" s="4">
        <f t="shared" si="692"/>
        <v>0.25641025641025639</v>
      </c>
      <c r="AG176" s="4">
        <f t="shared" si="693"/>
        <v>302.87455339265739</v>
      </c>
      <c r="AH176" s="4">
        <f t="shared" si="694"/>
        <v>0.73846153846153839</v>
      </c>
      <c r="AI176" s="4">
        <v>1.25</v>
      </c>
      <c r="AJ176" s="4">
        <f t="shared" si="760"/>
        <v>2.5</v>
      </c>
      <c r="AK176" s="38">
        <f t="shared" si="761"/>
        <v>179.21571206666115</v>
      </c>
      <c r="AL176" s="38">
        <f t="shared" si="762"/>
        <v>179.21571206666115</v>
      </c>
      <c r="AM176" s="38">
        <f t="shared" si="695"/>
        <v>3.7559840459059588</v>
      </c>
      <c r="AN176" s="38">
        <f t="shared" si="640"/>
        <v>179.21571206666113</v>
      </c>
      <c r="AO176" s="38">
        <f t="shared" si="548"/>
        <v>1.0000000000000002</v>
      </c>
      <c r="AP176" s="38">
        <f t="shared" si="641"/>
        <v>2.4718814823290804</v>
      </c>
      <c r="AQ176" s="4">
        <f t="shared" si="642"/>
        <v>0</v>
      </c>
      <c r="AR176" s="4" t="e">
        <f>#REF!/G176*F176^0.5/0.19</f>
        <v>#REF!</v>
      </c>
      <c r="AS176" s="4">
        <f t="shared" si="696"/>
        <v>1</v>
      </c>
      <c r="AT176" s="38">
        <f t="shared" si="697"/>
        <v>443</v>
      </c>
      <c r="AU176" s="4">
        <f t="shared" si="698"/>
        <v>0.44000000000000006</v>
      </c>
      <c r="AV176" s="4" t="e">
        <f>AU176*D176*#REF!/(D176*G176/2.75/F176^0.5)</f>
        <v>#REF!</v>
      </c>
      <c r="AW176" s="4" t="e">
        <f t="shared" si="699"/>
        <v>#REF!</v>
      </c>
      <c r="AY176" s="4">
        <f t="shared" si="700"/>
        <v>1.25</v>
      </c>
      <c r="AZ176" s="4" t="e">
        <f>(3*#REF!+30)*AY176*F176^0.5</f>
        <v>#REF!</v>
      </c>
      <c r="BB176" s="4">
        <f t="shared" si="701"/>
        <v>424.89117536981524</v>
      </c>
      <c r="BC176" s="4">
        <f t="shared" si="702"/>
        <v>641.65616063635548</v>
      </c>
      <c r="BD176" s="4">
        <f t="shared" si="703"/>
        <v>1.5101658914847387</v>
      </c>
      <c r="BL176" s="4">
        <f t="shared" si="704"/>
        <v>86</v>
      </c>
      <c r="BP176" s="9"/>
      <c r="BR176" s="9"/>
      <c r="BS176" s="9"/>
      <c r="BT176" s="9">
        <f t="shared" si="705"/>
        <v>56</v>
      </c>
      <c r="BU176" s="9">
        <f t="shared" si="706"/>
        <v>86</v>
      </c>
      <c r="BV176" s="9">
        <f t="shared" si="707"/>
        <v>1.2170441953580799</v>
      </c>
      <c r="BW176" s="9">
        <v>0</v>
      </c>
      <c r="BX176" s="9">
        <f t="shared" si="708"/>
        <v>0</v>
      </c>
      <c r="BY176" s="9">
        <f t="shared" si="709"/>
        <v>0</v>
      </c>
      <c r="BZ176" s="9">
        <f t="shared" si="710"/>
        <v>0.84984840943171969</v>
      </c>
      <c r="CA176" s="9">
        <f t="shared" si="711"/>
        <v>0.84399999999999997</v>
      </c>
      <c r="CB176" s="9">
        <f t="shared" si="712"/>
        <v>1.6709129311035618</v>
      </c>
      <c r="CC176" s="9">
        <f t="shared" si="713"/>
        <v>2.0335748837483454</v>
      </c>
      <c r="CD176" s="9">
        <v>1</v>
      </c>
      <c r="CE176" s="9" t="e">
        <f>4*CC176*#REF!+60*CC176</f>
        <v>#REF!</v>
      </c>
      <c r="CG176" s="4" t="e">
        <f t="shared" si="714"/>
        <v>#REF!</v>
      </c>
      <c r="CH176" s="4" t="e">
        <f t="shared" si="715"/>
        <v>#REF!</v>
      </c>
      <c r="CI176" s="4" t="e">
        <f t="shared" si="716"/>
        <v>#REF!</v>
      </c>
      <c r="CJ176" s="4" t="e">
        <f t="shared" si="717"/>
        <v>#REF!</v>
      </c>
      <c r="CK176" s="4">
        <f t="shared" si="718"/>
        <v>1.112459169884874</v>
      </c>
      <c r="CL176" s="4">
        <f t="shared" si="719"/>
        <v>1.1825979304836267</v>
      </c>
      <c r="CM176" s="4">
        <f t="shared" si="720"/>
        <v>1.5756703115990831</v>
      </c>
      <c r="CO176" s="4" t="e">
        <f t="shared" si="766"/>
        <v>#REF!</v>
      </c>
      <c r="CP176" s="4" t="e">
        <f t="shared" si="766"/>
        <v>#REF!</v>
      </c>
      <c r="CQ176" s="4" t="e">
        <f>CJ176</f>
        <v>#REF!</v>
      </c>
      <c r="CR176" s="4">
        <f t="shared" si="721"/>
        <v>1.5756703115990831</v>
      </c>
      <c r="CS176" s="4">
        <f t="shared" si="767"/>
        <v>1.112459169884874</v>
      </c>
      <c r="CT176" s="4">
        <f t="shared" si="767"/>
        <v>1.1825979304836267</v>
      </c>
      <c r="DB176" s="4">
        <f t="shared" si="722"/>
        <v>0</v>
      </c>
      <c r="DC176" s="4" t="e">
        <f>#REF!</f>
        <v>#REF!</v>
      </c>
      <c r="DF176" s="4">
        <f t="shared" si="723"/>
        <v>2.5572610994587026E-5</v>
      </c>
      <c r="DG176" s="4">
        <f t="shared" si="724"/>
        <v>7.1481278955130128</v>
      </c>
      <c r="DH176" s="4">
        <f t="shared" si="725"/>
        <v>0.37838394342462073</v>
      </c>
      <c r="DI176" s="4">
        <f t="shared" si="726"/>
        <v>4.8457989776777417</v>
      </c>
      <c r="DJ176" s="4">
        <f t="shared" si="727"/>
        <v>6.1068418968815141</v>
      </c>
      <c r="DK176" s="4">
        <f t="shared" si="728"/>
        <v>6.1005875633463997</v>
      </c>
      <c r="DL176" s="38">
        <f t="shared" si="729"/>
        <v>485.41107360900577</v>
      </c>
      <c r="DM176" s="4" t="e">
        <f t="shared" si="730"/>
        <v>#REF!</v>
      </c>
      <c r="DN176" s="4">
        <f t="shared" si="731"/>
        <v>2.2360679774997898</v>
      </c>
      <c r="DO176" s="4">
        <f t="shared" si="732"/>
        <v>179.21571206666113</v>
      </c>
      <c r="DS176" s="4">
        <f t="shared" si="733"/>
        <v>0.85</v>
      </c>
      <c r="DT176" s="4">
        <f t="shared" si="734"/>
        <v>0.9</v>
      </c>
      <c r="DU176" s="4">
        <f t="shared" si="735"/>
        <v>1</v>
      </c>
      <c r="DV176" s="4">
        <f t="shared" si="736"/>
        <v>0.9</v>
      </c>
      <c r="DX176" s="4">
        <f t="shared" si="737"/>
        <v>456.6218036413826</v>
      </c>
      <c r="DY176" s="25">
        <f t="shared" si="738"/>
        <v>177.84481571637505</v>
      </c>
      <c r="EB176" s="4">
        <f t="shared" si="739"/>
        <v>7.1481278955130128</v>
      </c>
      <c r="EE176" s="4">
        <f t="shared" si="740"/>
        <v>96.150923032490965</v>
      </c>
      <c r="EF176" s="4">
        <f t="shared" si="741"/>
        <v>2.2360679774997898</v>
      </c>
      <c r="EG176" s="4">
        <f t="shared" si="742"/>
        <v>0.1377113790969261</v>
      </c>
      <c r="EJ176" s="4">
        <f t="shared" si="743"/>
        <v>0.1377113790969261</v>
      </c>
      <c r="EK176" s="4">
        <f t="shared" si="744"/>
        <v>0.37775249114422549</v>
      </c>
      <c r="EL176" s="4">
        <f t="shared" si="745"/>
        <v>4.8425626626604963</v>
      </c>
      <c r="EM176" s="4">
        <f t="shared" si="746"/>
        <v>6.1055605578094418</v>
      </c>
      <c r="EN176" s="4" t="e">
        <f t="shared" si="747"/>
        <v>#REF!</v>
      </c>
      <c r="EO176" s="4" t="e">
        <f t="shared" si="748"/>
        <v>#REF!</v>
      </c>
      <c r="EP176" s="4" t="e">
        <f t="shared" si="749"/>
        <v>#REF!</v>
      </c>
      <c r="EQ176" s="4" t="e">
        <f t="shared" si="750"/>
        <v>#REF!</v>
      </c>
      <c r="ER176" s="4" t="e">
        <f t="shared" si="751"/>
        <v>#REF!</v>
      </c>
      <c r="FA176" s="23" t="e">
        <f t="shared" si="752"/>
        <v>#REF!</v>
      </c>
      <c r="FB176" s="23" t="e">
        <f t="shared" si="753"/>
        <v>#REF!</v>
      </c>
      <c r="FC176" s="23">
        <f t="shared" si="754"/>
        <v>1.6</v>
      </c>
      <c r="FD176" s="23" t="e">
        <f t="shared" si="755"/>
        <v>#REF!</v>
      </c>
      <c r="FE176" s="23">
        <f t="shared" si="756"/>
        <v>1.2</v>
      </c>
      <c r="FF176" s="23">
        <f t="shared" si="757"/>
        <v>1.2</v>
      </c>
      <c r="FG176" s="23">
        <f t="shared" si="758"/>
        <v>0</v>
      </c>
      <c r="FH176" s="23"/>
      <c r="FR176" s="4">
        <f t="shared" si="607"/>
        <v>1</v>
      </c>
      <c r="FS176" s="4">
        <f t="shared" si="608"/>
        <v>0.75</v>
      </c>
      <c r="FT176" s="4">
        <f t="shared" si="609"/>
        <v>0</v>
      </c>
      <c r="FU176" s="4">
        <f t="shared" si="610"/>
        <v>342.71128676149021</v>
      </c>
    </row>
    <row r="177" spans="2:177" ht="12" customHeight="1" x14ac:dyDescent="0.3">
      <c r="B177" s="24"/>
      <c r="C177" s="4" t="s">
        <v>162</v>
      </c>
      <c r="D177" s="7">
        <v>606</v>
      </c>
      <c r="E177" s="7">
        <f t="shared" si="770"/>
        <v>559</v>
      </c>
      <c r="F177" s="7">
        <v>40.5</v>
      </c>
      <c r="G177" s="37">
        <v>43</v>
      </c>
      <c r="H177" s="7">
        <f t="shared" si="680"/>
        <v>344</v>
      </c>
      <c r="I177" s="7">
        <f>1*G177</f>
        <v>43</v>
      </c>
      <c r="J177" s="7">
        <f t="shared" si="759"/>
        <v>56</v>
      </c>
      <c r="K177" s="7">
        <f t="shared" si="768"/>
        <v>172</v>
      </c>
      <c r="L177" s="7">
        <v>2</v>
      </c>
      <c r="M177" s="7">
        <f t="shared" si="769"/>
        <v>272.66666666666663</v>
      </c>
      <c r="N177" s="7">
        <f t="shared" si="684"/>
        <v>1.5</v>
      </c>
      <c r="O177" s="7">
        <f t="shared" si="685"/>
        <v>1.5</v>
      </c>
      <c r="P177" s="7">
        <f t="shared" si="676"/>
        <v>4</v>
      </c>
      <c r="Q177" s="7">
        <f t="shared" si="676"/>
        <v>4</v>
      </c>
      <c r="R177" s="7">
        <f t="shared" si="686"/>
        <v>5</v>
      </c>
      <c r="S177" s="7">
        <f t="shared" si="687"/>
        <v>96.150923032490965</v>
      </c>
      <c r="T177" s="7">
        <f t="shared" si="688"/>
        <v>606</v>
      </c>
      <c r="U177" s="7">
        <v>19</v>
      </c>
      <c r="V177" s="7">
        <f>(468+468)/2</f>
        <v>468</v>
      </c>
      <c r="W177" s="7"/>
      <c r="X177" s="4">
        <f t="shared" si="689"/>
        <v>1.1206763468020458</v>
      </c>
      <c r="Y177" s="7">
        <v>15.9</v>
      </c>
      <c r="Z177" s="10">
        <v>2</v>
      </c>
      <c r="AA177" s="7">
        <v>120</v>
      </c>
      <c r="AB177" s="7">
        <v>4</v>
      </c>
      <c r="AC177" s="7">
        <f>Z177</f>
        <v>2</v>
      </c>
      <c r="AD177" s="7">
        <f t="shared" si="690"/>
        <v>7.8</v>
      </c>
      <c r="AE177" s="4">
        <f t="shared" si="691"/>
        <v>559</v>
      </c>
      <c r="AF177" s="4">
        <f t="shared" si="692"/>
        <v>0.20512820512820512</v>
      </c>
      <c r="AG177" s="4">
        <f t="shared" si="693"/>
        <v>289.59325025411408</v>
      </c>
      <c r="AH177" s="4">
        <f t="shared" si="694"/>
        <v>0.72307692307692306</v>
      </c>
      <c r="AI177" s="4">
        <v>1.25</v>
      </c>
      <c r="AJ177" s="4">
        <f t="shared" si="760"/>
        <v>2.5</v>
      </c>
      <c r="AK177" s="38">
        <f t="shared" si="761"/>
        <v>134.22961303691679</v>
      </c>
      <c r="AL177" s="38">
        <f t="shared" si="762"/>
        <v>134.22961303691679</v>
      </c>
      <c r="AM177" s="38">
        <f t="shared" si="695"/>
        <v>3.538000882182009</v>
      </c>
      <c r="AN177" s="38">
        <f t="shared" si="640"/>
        <v>134.22961303691673</v>
      </c>
      <c r="AO177" s="38">
        <f t="shared" si="548"/>
        <v>1.0000000000000004</v>
      </c>
      <c r="AP177" s="38">
        <f t="shared" si="641"/>
        <v>1.8103307794917691</v>
      </c>
      <c r="AQ177" s="4">
        <f t="shared" si="642"/>
        <v>0</v>
      </c>
      <c r="AR177" s="4" t="e">
        <f>#REF!/G177*F177^0.5/0.19</f>
        <v>#REF!</v>
      </c>
      <c r="AS177" s="4">
        <f t="shared" si="696"/>
        <v>1</v>
      </c>
      <c r="AT177" s="38">
        <f t="shared" si="697"/>
        <v>243</v>
      </c>
      <c r="AU177" s="4">
        <f t="shared" si="698"/>
        <v>0.44000000000000006</v>
      </c>
      <c r="AV177" s="4" t="e">
        <f>AU177*D177*#REF!/(D177*G177/2.75/F177^0.5)</f>
        <v>#REF!</v>
      </c>
      <c r="AW177" s="4" t="e">
        <f t="shared" si="699"/>
        <v>#REF!</v>
      </c>
      <c r="AY177" s="4">
        <f t="shared" si="700"/>
        <v>1.4</v>
      </c>
      <c r="AZ177" s="4" t="e">
        <f>(3*#REF!+30)*AY177*F177^0.5</f>
        <v>#REF!</v>
      </c>
      <c r="BB177" s="4">
        <f t="shared" si="701"/>
        <v>233.06671696357813</v>
      </c>
      <c r="BC177" s="4">
        <f t="shared" si="702"/>
        <v>641.65616063635548</v>
      </c>
      <c r="BD177" s="4">
        <f t="shared" si="703"/>
        <v>2.7531007815956343</v>
      </c>
      <c r="BL177" s="4">
        <f t="shared" si="704"/>
        <v>43</v>
      </c>
      <c r="BP177" s="9"/>
      <c r="BR177" s="9"/>
      <c r="BS177" s="9"/>
      <c r="BT177" s="9">
        <f t="shared" si="705"/>
        <v>43</v>
      </c>
      <c r="BU177" s="9">
        <f t="shared" si="706"/>
        <v>86</v>
      </c>
      <c r="BV177" s="9">
        <f t="shared" si="707"/>
        <v>1.1095694720678451</v>
      </c>
      <c r="BW177" s="9">
        <v>20</v>
      </c>
      <c r="BX177" s="9">
        <f t="shared" si="708"/>
        <v>0.05</v>
      </c>
      <c r="BY177" s="9">
        <f t="shared" si="709"/>
        <v>0.8</v>
      </c>
      <c r="BZ177" s="9">
        <f t="shared" si="710"/>
        <v>0.84984840943171969</v>
      </c>
      <c r="CA177" s="9">
        <f t="shared" si="711"/>
        <v>0.84399999999999997</v>
      </c>
      <c r="CB177" s="9">
        <f t="shared" si="712"/>
        <v>1.5976419979481837</v>
      </c>
      <c r="CC177" s="9">
        <f t="shared" si="713"/>
        <v>3.0508083865753304</v>
      </c>
      <c r="CD177" s="9">
        <v>1</v>
      </c>
      <c r="CE177" s="9" t="e">
        <f>4*CC177*#REF!+60*CC177</f>
        <v>#REF!</v>
      </c>
      <c r="CG177" s="4" t="e">
        <f t="shared" si="714"/>
        <v>#REF!</v>
      </c>
      <c r="CH177" s="4" t="e">
        <f t="shared" si="715"/>
        <v>#REF!</v>
      </c>
      <c r="CI177" s="4" t="e">
        <f t="shared" si="716"/>
        <v>#REF!</v>
      </c>
      <c r="CJ177" s="4" t="e">
        <f t="shared" si="717"/>
        <v>#REF!</v>
      </c>
      <c r="CK177" s="4">
        <f t="shared" si="718"/>
        <v>1.1206763468020458</v>
      </c>
      <c r="CL177" s="4">
        <f t="shared" si="719"/>
        <v>1.1802441564682067</v>
      </c>
      <c r="CM177" s="4">
        <f t="shared" si="720"/>
        <v>1.1449507661346809</v>
      </c>
      <c r="CU177" s="4" t="e">
        <f>CG177</f>
        <v>#REF!</v>
      </c>
      <c r="CV177" s="4" t="e">
        <f>CH177</f>
        <v>#REF!</v>
      </c>
      <c r="CW177" s="4" t="e">
        <f>CJ177</f>
        <v>#REF!</v>
      </c>
      <c r="CX177" s="4">
        <f t="shared" ref="CX177:CX178" si="771">CM177</f>
        <v>1.1449507661346809</v>
      </c>
      <c r="CY177" s="4">
        <f>CK177</f>
        <v>1.1206763468020458</v>
      </c>
      <c r="CZ177" s="4">
        <f>CL177</f>
        <v>1.1802441564682067</v>
      </c>
      <c r="DB177" s="4">
        <f t="shared" si="722"/>
        <v>2</v>
      </c>
      <c r="DC177" s="4" t="e">
        <f>#REF!</f>
        <v>#REF!</v>
      </c>
      <c r="DF177" s="4">
        <f t="shared" si="723"/>
        <v>2.4945063339588327E-5</v>
      </c>
      <c r="DG177" s="4">
        <f t="shared" si="724"/>
        <v>6.7526954191214541</v>
      </c>
      <c r="DH177" s="4">
        <f t="shared" si="725"/>
        <v>0.30999426410610625</v>
      </c>
      <c r="DI177" s="4">
        <f t="shared" si="726"/>
        <v>4.2268674058260229</v>
      </c>
      <c r="DJ177" s="4">
        <f t="shared" si="727"/>
        <v>5.6338980606213793</v>
      </c>
      <c r="DK177" s="4">
        <f t="shared" si="728"/>
        <v>5.8644758836363353</v>
      </c>
      <c r="DL177" s="38">
        <f t="shared" si="729"/>
        <v>417.60495912622901</v>
      </c>
      <c r="DM177" s="4" t="e">
        <f t="shared" si="730"/>
        <v>#REF!</v>
      </c>
      <c r="DN177" s="4">
        <f t="shared" si="731"/>
        <v>2.2360679774997898</v>
      </c>
      <c r="DO177" s="4">
        <f t="shared" si="732"/>
        <v>134.22961303691673</v>
      </c>
      <c r="DS177" s="4">
        <f t="shared" si="733"/>
        <v>0.85</v>
      </c>
      <c r="DT177" s="4">
        <f t="shared" si="734"/>
        <v>1</v>
      </c>
      <c r="DU177" s="4">
        <f t="shared" si="735"/>
        <v>0.91092644672796108</v>
      </c>
      <c r="DV177" s="4">
        <f t="shared" si="736"/>
        <v>0.91092644672796108</v>
      </c>
      <c r="DX177" s="4">
        <f t="shared" si="737"/>
        <v>396.52812296097733</v>
      </c>
      <c r="DY177" s="25">
        <f t="shared" si="738"/>
        <v>133.17300161524059</v>
      </c>
      <c r="EB177" s="4">
        <f t="shared" si="739"/>
        <v>6.7526954191214541</v>
      </c>
      <c r="EE177" s="4">
        <f t="shared" si="740"/>
        <v>96.150923032490965</v>
      </c>
      <c r="EF177" s="4">
        <f t="shared" si="741"/>
        <v>2.2360679774997898</v>
      </c>
      <c r="EG177" s="4">
        <f t="shared" si="742"/>
        <v>0.10787391362592545</v>
      </c>
      <c r="EJ177" s="4">
        <f t="shared" si="743"/>
        <v>0.10787391362592545</v>
      </c>
      <c r="EK177" s="4">
        <f t="shared" si="744"/>
        <v>0.30947694145439009</v>
      </c>
      <c r="EL177" s="4">
        <f t="shared" si="745"/>
        <v>4.2240444504115704</v>
      </c>
      <c r="EM177" s="4">
        <f t="shared" si="746"/>
        <v>5.6328428910831558</v>
      </c>
      <c r="EN177" s="4" t="e">
        <f t="shared" si="747"/>
        <v>#REF!</v>
      </c>
      <c r="EO177" s="4" t="e">
        <f t="shared" si="748"/>
        <v>#REF!</v>
      </c>
      <c r="EP177" s="4" t="e">
        <f t="shared" si="749"/>
        <v>#REF!</v>
      </c>
      <c r="EQ177" s="4" t="e">
        <f t="shared" si="750"/>
        <v>#REF!</v>
      </c>
      <c r="ER177" s="4" t="e">
        <f t="shared" si="751"/>
        <v>#REF!</v>
      </c>
      <c r="FA177" s="23" t="e">
        <f t="shared" si="752"/>
        <v>#REF!</v>
      </c>
      <c r="FB177" s="23" t="e">
        <f t="shared" si="753"/>
        <v>#REF!</v>
      </c>
      <c r="FC177" s="23">
        <f t="shared" si="754"/>
        <v>1.2</v>
      </c>
      <c r="FD177" s="23" t="e">
        <f t="shared" si="755"/>
        <v>#REF!</v>
      </c>
      <c r="FE177" s="23">
        <f t="shared" si="756"/>
        <v>1.2</v>
      </c>
      <c r="FF177" s="23">
        <f t="shared" si="757"/>
        <v>1.2</v>
      </c>
      <c r="FG177" s="23">
        <f t="shared" si="758"/>
        <v>0</v>
      </c>
      <c r="FH177" s="23"/>
      <c r="FR177" s="4">
        <f t="shared" si="607"/>
        <v>1.25</v>
      </c>
      <c r="FS177" s="4">
        <f t="shared" si="608"/>
        <v>0.49190749660801991</v>
      </c>
      <c r="FT177" s="4">
        <f t="shared" si="609"/>
        <v>0.3</v>
      </c>
      <c r="FU177" s="4">
        <f t="shared" si="610"/>
        <v>408.75120035069614</v>
      </c>
    </row>
    <row r="178" spans="2:177" ht="12" customHeight="1" x14ac:dyDescent="0.3">
      <c r="B178" s="24"/>
      <c r="C178" s="4" t="s">
        <v>163</v>
      </c>
      <c r="D178" s="7">
        <v>606</v>
      </c>
      <c r="E178" s="7">
        <f t="shared" si="770"/>
        <v>559</v>
      </c>
      <c r="F178" s="7">
        <v>41.8</v>
      </c>
      <c r="G178" s="37">
        <v>43</v>
      </c>
      <c r="H178" s="7">
        <f t="shared" si="680"/>
        <v>430</v>
      </c>
      <c r="I178" s="7">
        <f>2*G178</f>
        <v>86</v>
      </c>
      <c r="J178" s="7">
        <f t="shared" si="759"/>
        <v>56</v>
      </c>
      <c r="K178" s="7">
        <f t="shared" si="768"/>
        <v>172</v>
      </c>
      <c r="L178" s="7">
        <v>2</v>
      </c>
      <c r="M178" s="7">
        <f t="shared" si="769"/>
        <v>272.66666666666663</v>
      </c>
      <c r="N178" s="7">
        <f t="shared" si="684"/>
        <v>2.5</v>
      </c>
      <c r="O178" s="7">
        <f t="shared" si="685"/>
        <v>2.5</v>
      </c>
      <c r="P178" s="7">
        <f t="shared" si="676"/>
        <v>4</v>
      </c>
      <c r="Q178" s="7">
        <f t="shared" si="676"/>
        <v>4</v>
      </c>
      <c r="R178" s="7">
        <f t="shared" si="686"/>
        <v>5</v>
      </c>
      <c r="S178" s="7">
        <f t="shared" si="687"/>
        <v>96.150923032490965</v>
      </c>
      <c r="T178" s="7">
        <f t="shared" si="688"/>
        <v>606</v>
      </c>
      <c r="U178" s="7">
        <v>19</v>
      </c>
      <c r="V178" s="7">
        <f>(644+644)/2</f>
        <v>644</v>
      </c>
      <c r="W178" s="7"/>
      <c r="X178" s="4">
        <f t="shared" si="689"/>
        <v>1.285171889692756</v>
      </c>
      <c r="Y178" s="7">
        <v>15.9</v>
      </c>
      <c r="Z178" s="10">
        <v>2</v>
      </c>
      <c r="AA178" s="7">
        <v>120</v>
      </c>
      <c r="AB178" s="7">
        <v>4</v>
      </c>
      <c r="AC178" s="7">
        <f>Z178</f>
        <v>2</v>
      </c>
      <c r="AD178" s="7">
        <f t="shared" si="690"/>
        <v>7.8</v>
      </c>
      <c r="AE178" s="4">
        <f t="shared" si="691"/>
        <v>559</v>
      </c>
      <c r="AF178" s="4">
        <f t="shared" si="692"/>
        <v>0.25641025641025639</v>
      </c>
      <c r="AG178" s="4">
        <f t="shared" si="693"/>
        <v>294.20433290598754</v>
      </c>
      <c r="AH178" s="4">
        <f t="shared" si="694"/>
        <v>0.73846153846153839</v>
      </c>
      <c r="AI178" s="4">
        <v>1.25</v>
      </c>
      <c r="AJ178" s="4">
        <f t="shared" si="760"/>
        <v>2.5</v>
      </c>
      <c r="AK178" s="38">
        <f t="shared" si="761"/>
        <v>174.08540408638314</v>
      </c>
      <c r="AL178" s="38">
        <f t="shared" si="762"/>
        <v>174.08540408638314</v>
      </c>
      <c r="AM178" s="38">
        <f t="shared" si="695"/>
        <v>3.613311826901703</v>
      </c>
      <c r="AN178" s="38">
        <f t="shared" si="640"/>
        <v>174.08540408638308</v>
      </c>
      <c r="AO178" s="38">
        <f t="shared" si="548"/>
        <v>1.0000000000000002</v>
      </c>
      <c r="AP178" s="38">
        <f t="shared" si="641"/>
        <v>2.4011203132950989</v>
      </c>
      <c r="AQ178" s="4">
        <f t="shared" si="642"/>
        <v>0</v>
      </c>
      <c r="AR178" s="4" t="e">
        <f>#REF!/G178*F178^0.5/0.19</f>
        <v>#REF!</v>
      </c>
      <c r="AS178" s="4">
        <f t="shared" si="696"/>
        <v>1</v>
      </c>
      <c r="AT178" s="38">
        <f t="shared" si="697"/>
        <v>418</v>
      </c>
      <c r="AU178" s="4">
        <f t="shared" si="698"/>
        <v>0.44000000000000006</v>
      </c>
      <c r="AV178" s="4" t="e">
        <f>AU178*D178*#REF!/(D178*G178/2.75/F178^0.5)</f>
        <v>#REF!</v>
      </c>
      <c r="AW178" s="4" t="e">
        <f t="shared" si="699"/>
        <v>#REF!</v>
      </c>
      <c r="AY178" s="4">
        <f t="shared" si="700"/>
        <v>1.5</v>
      </c>
      <c r="AZ178" s="4" t="e">
        <f>(3*#REF!+30)*AY178*F178^0.5</f>
        <v>#REF!</v>
      </c>
      <c r="BB178" s="4">
        <f t="shared" si="701"/>
        <v>400.91311806903559</v>
      </c>
      <c r="BC178" s="4">
        <f t="shared" si="702"/>
        <v>641.65616063635548</v>
      </c>
      <c r="BD178" s="4">
        <f t="shared" si="703"/>
        <v>1.6004868180089455</v>
      </c>
      <c r="BL178" s="4">
        <f t="shared" si="704"/>
        <v>86</v>
      </c>
      <c r="BP178" s="9"/>
      <c r="BR178" s="9"/>
      <c r="BS178" s="9"/>
      <c r="BT178" s="9">
        <f t="shared" si="705"/>
        <v>56</v>
      </c>
      <c r="BU178" s="9">
        <f t="shared" si="706"/>
        <v>86</v>
      </c>
      <c r="BV178" s="9">
        <f t="shared" si="707"/>
        <v>1.2170441953580799</v>
      </c>
      <c r="BW178" s="9">
        <v>20</v>
      </c>
      <c r="BX178" s="9">
        <f t="shared" si="708"/>
        <v>0.05</v>
      </c>
      <c r="BY178" s="9">
        <f t="shared" si="709"/>
        <v>0.8</v>
      </c>
      <c r="BZ178" s="9">
        <f t="shared" si="710"/>
        <v>0.84984840943171969</v>
      </c>
      <c r="CA178" s="9">
        <f t="shared" si="711"/>
        <v>0.84399999999999997</v>
      </c>
      <c r="CB178" s="9">
        <f t="shared" si="712"/>
        <v>1.6230806409213159</v>
      </c>
      <c r="CC178" s="9">
        <f t="shared" si="713"/>
        <v>3.2738253853684127</v>
      </c>
      <c r="CD178" s="9">
        <v>1</v>
      </c>
      <c r="CE178" s="9" t="e">
        <f>4*CC178*#REF!+60*CC178</f>
        <v>#REF!</v>
      </c>
      <c r="CG178" s="4" t="e">
        <f t="shared" si="714"/>
        <v>#REF!</v>
      </c>
      <c r="CH178" s="4" t="e">
        <f t="shared" si="715"/>
        <v>#REF!</v>
      </c>
      <c r="CI178" s="4" t="e">
        <f t="shared" si="716"/>
        <v>#REF!</v>
      </c>
      <c r="CJ178" s="4" t="e">
        <f t="shared" si="717"/>
        <v>#REF!</v>
      </c>
      <c r="CK178" s="4">
        <f t="shared" si="718"/>
        <v>1.285171889692756</v>
      </c>
      <c r="CL178" s="4">
        <f t="shared" si="719"/>
        <v>1.3701259564751176</v>
      </c>
      <c r="CM178" s="4">
        <f t="shared" si="720"/>
        <v>1.2505080698215565</v>
      </c>
      <c r="CU178" s="4" t="e">
        <f>CG178</f>
        <v>#REF!</v>
      </c>
      <c r="CV178" s="4" t="e">
        <f>CH178</f>
        <v>#REF!</v>
      </c>
      <c r="CW178" s="4" t="e">
        <f>CJ178</f>
        <v>#REF!</v>
      </c>
      <c r="CX178" s="4">
        <f t="shared" si="771"/>
        <v>1.2505080698215565</v>
      </c>
      <c r="CY178" s="4">
        <f>CK178</f>
        <v>1.285171889692756</v>
      </c>
      <c r="CZ178" s="4">
        <f>CL178</f>
        <v>1.3701259564751176</v>
      </c>
      <c r="DB178" s="4">
        <f t="shared" si="722"/>
        <v>2</v>
      </c>
      <c r="DC178" s="4" t="e">
        <f>#REF!</f>
        <v>#REF!</v>
      </c>
      <c r="DF178" s="4">
        <f t="shared" si="723"/>
        <v>2.5159418755006149E-5</v>
      </c>
      <c r="DG178" s="4">
        <f t="shared" si="724"/>
        <v>7.6224622307194574</v>
      </c>
      <c r="DH178" s="4">
        <f t="shared" si="725"/>
        <v>0.38953494241128567</v>
      </c>
      <c r="DI178" s="4">
        <f t="shared" si="726"/>
        <v>5.2277384310464221</v>
      </c>
      <c r="DJ178" s="4">
        <f t="shared" si="727"/>
        <v>6.5360889007016727</v>
      </c>
      <c r="DK178" s="4">
        <f t="shared" si="728"/>
        <v>6.4468966142736903</v>
      </c>
      <c r="DL178" s="38">
        <f t="shared" si="729"/>
        <v>501.10028484513464</v>
      </c>
      <c r="DM178" s="4" t="e">
        <f t="shared" si="730"/>
        <v>#REF!</v>
      </c>
      <c r="DN178" s="4">
        <f t="shared" si="731"/>
        <v>2.2360679774997898</v>
      </c>
      <c r="DO178" s="4">
        <f t="shared" si="732"/>
        <v>174.08540408638308</v>
      </c>
      <c r="DS178" s="4">
        <f t="shared" si="733"/>
        <v>0.85</v>
      </c>
      <c r="DT178" s="4">
        <f t="shared" si="734"/>
        <v>0.9</v>
      </c>
      <c r="DU178" s="4">
        <f t="shared" si="735"/>
        <v>0.91092644672796108</v>
      </c>
      <c r="DV178" s="4">
        <f t="shared" si="736"/>
        <v>0.81983380205516498</v>
      </c>
      <c r="DX178" s="4">
        <f t="shared" si="737"/>
        <v>470.02977861743432</v>
      </c>
      <c r="DY178" s="25">
        <f t="shared" si="738"/>
        <v>172.75375161937544</v>
      </c>
      <c r="EB178" s="4">
        <f t="shared" si="739"/>
        <v>7.6224622307194574</v>
      </c>
      <c r="EE178" s="4">
        <f t="shared" si="740"/>
        <v>96.150923032490965</v>
      </c>
      <c r="EF178" s="4">
        <f t="shared" si="741"/>
        <v>2.2360679774997898</v>
      </c>
      <c r="EG178" s="4">
        <f t="shared" si="742"/>
        <v>0.1377113790969261</v>
      </c>
      <c r="EJ178" s="4">
        <f t="shared" si="743"/>
        <v>0.1377113790969261</v>
      </c>
      <c r="EK178" s="4">
        <f t="shared" si="744"/>
        <v>0.38888488119184528</v>
      </c>
      <c r="EL178" s="4">
        <f t="shared" si="745"/>
        <v>5.2242470339685472</v>
      </c>
      <c r="EM178" s="4">
        <f t="shared" si="746"/>
        <v>6.5346953129848373</v>
      </c>
      <c r="EN178" s="4" t="e">
        <f t="shared" si="747"/>
        <v>#REF!</v>
      </c>
      <c r="EO178" s="4" t="e">
        <f t="shared" si="748"/>
        <v>#REF!</v>
      </c>
      <c r="EP178" s="4" t="e">
        <f t="shared" si="749"/>
        <v>#REF!</v>
      </c>
      <c r="EQ178" s="4" t="e">
        <f t="shared" si="750"/>
        <v>#REF!</v>
      </c>
      <c r="ER178" s="4" t="e">
        <f t="shared" si="751"/>
        <v>#REF!</v>
      </c>
      <c r="FA178" s="23" t="e">
        <f t="shared" si="752"/>
        <v>#REF!</v>
      </c>
      <c r="FB178" s="23" t="e">
        <f t="shared" si="753"/>
        <v>#REF!</v>
      </c>
      <c r="FC178" s="23">
        <f t="shared" si="754"/>
        <v>1.4</v>
      </c>
      <c r="FD178" s="23" t="e">
        <f t="shared" si="755"/>
        <v>#REF!</v>
      </c>
      <c r="FE178" s="23">
        <f t="shared" si="756"/>
        <v>1.4</v>
      </c>
      <c r="FF178" s="23">
        <f t="shared" si="757"/>
        <v>1.4</v>
      </c>
      <c r="FG178" s="23">
        <f t="shared" si="758"/>
        <v>0</v>
      </c>
      <c r="FH178" s="23"/>
      <c r="FR178" s="4">
        <f t="shared" si="607"/>
        <v>1</v>
      </c>
      <c r="FS178" s="4">
        <f t="shared" si="608"/>
        <v>0.49190749660801991</v>
      </c>
      <c r="FT178" s="4">
        <f t="shared" si="609"/>
        <v>0.3</v>
      </c>
      <c r="FU178" s="4">
        <f t="shared" si="610"/>
        <v>514.99067902208481</v>
      </c>
    </row>
    <row r="179" spans="2:177" ht="12" customHeight="1" x14ac:dyDescent="0.3">
      <c r="B179" s="24"/>
      <c r="C179" s="4" t="s">
        <v>164</v>
      </c>
      <c r="D179" s="7">
        <v>606</v>
      </c>
      <c r="E179" s="7">
        <f>16*G179</f>
        <v>688</v>
      </c>
      <c r="F179" s="7">
        <v>45.8</v>
      </c>
      <c r="G179" s="37">
        <v>43</v>
      </c>
      <c r="H179" s="7">
        <f t="shared" si="680"/>
        <v>344</v>
      </c>
      <c r="I179" s="7">
        <f>1*G179</f>
        <v>43</v>
      </c>
      <c r="J179" s="7">
        <f t="shared" si="759"/>
        <v>56</v>
      </c>
      <c r="K179" s="7">
        <f t="shared" si="768"/>
        <v>172</v>
      </c>
      <c r="L179" s="7">
        <v>2</v>
      </c>
      <c r="M179" s="7">
        <f t="shared" si="769"/>
        <v>358.66666666666663</v>
      </c>
      <c r="N179" s="7">
        <f t="shared" si="684"/>
        <v>1.5</v>
      </c>
      <c r="O179" s="7">
        <f t="shared" si="685"/>
        <v>1.5</v>
      </c>
      <c r="P179" s="7">
        <f t="shared" si="676"/>
        <v>4</v>
      </c>
      <c r="Q179" s="7">
        <f t="shared" si="676"/>
        <v>4</v>
      </c>
      <c r="R179" s="7">
        <f t="shared" si="686"/>
        <v>5</v>
      </c>
      <c r="S179" s="7">
        <f t="shared" si="687"/>
        <v>96.150923032490965</v>
      </c>
      <c r="T179" s="7">
        <f t="shared" si="688"/>
        <v>606</v>
      </c>
      <c r="U179" s="7">
        <v>19</v>
      </c>
      <c r="V179" s="7">
        <f>(572+572)/2</f>
        <v>572</v>
      </c>
      <c r="W179" s="7"/>
      <c r="X179" s="4">
        <f t="shared" si="689"/>
        <v>1.1618846803400318</v>
      </c>
      <c r="Y179" s="7"/>
      <c r="Z179" s="7"/>
      <c r="AA179" s="7">
        <v>1</v>
      </c>
      <c r="AB179" s="7"/>
      <c r="AC179" s="7"/>
      <c r="AD179" s="7">
        <f t="shared" si="690"/>
        <v>9.6</v>
      </c>
      <c r="AE179" s="4">
        <f t="shared" si="691"/>
        <v>688</v>
      </c>
      <c r="AF179" s="4">
        <f t="shared" si="692"/>
        <v>0.16666666666666666</v>
      </c>
      <c r="AG179" s="4">
        <f t="shared" si="693"/>
        <v>420.49284288370211</v>
      </c>
      <c r="AH179" s="4">
        <f t="shared" si="694"/>
        <v>0.71875</v>
      </c>
      <c r="AI179" s="4">
        <v>1.25</v>
      </c>
      <c r="AJ179" s="4">
        <f t="shared" si="760"/>
        <v>2.5</v>
      </c>
      <c r="AK179" s="38">
        <f t="shared" si="761"/>
        <v>157.41105772013586</v>
      </c>
      <c r="AL179" s="38">
        <f t="shared" si="762"/>
        <v>157.41105772013586</v>
      </c>
      <c r="AM179" s="38">
        <f t="shared" si="695"/>
        <v>3.8402978284624769</v>
      </c>
      <c r="AN179" s="38">
        <f t="shared" si="640"/>
        <v>157.41105772013589</v>
      </c>
      <c r="AO179" s="38">
        <f t="shared" si="548"/>
        <v>0.99999999999999978</v>
      </c>
      <c r="AP179" s="38">
        <f t="shared" si="641"/>
        <v>1.7457477510161459</v>
      </c>
      <c r="AQ179" s="4">
        <f t="shared" si="642"/>
        <v>0</v>
      </c>
      <c r="AR179" s="4" t="e">
        <f>#REF!/G179*F179^0.5/0.19</f>
        <v>#REF!</v>
      </c>
      <c r="AS179" s="4">
        <f t="shared" si="696"/>
        <v>1</v>
      </c>
      <c r="AT179" s="38">
        <f t="shared" si="697"/>
        <v>274.79999999999995</v>
      </c>
      <c r="AU179" s="4">
        <f t="shared" si="698"/>
        <v>0.44000000000000006</v>
      </c>
      <c r="AV179" s="4" t="e">
        <f>AU179*D179*#REF!/(D179*G179/2.75/F179^0.5)</f>
        <v>#REF!</v>
      </c>
      <c r="AW179" s="4" t="e">
        <f t="shared" si="699"/>
        <v>#REF!</v>
      </c>
      <c r="AY179" s="4">
        <f t="shared" si="700"/>
        <v>1</v>
      </c>
      <c r="AZ179" s="4" t="e">
        <f>(3*#REF!+30)*AY179*F179^0.5</f>
        <v>#REF!</v>
      </c>
      <c r="BB179" s="4">
        <f t="shared" si="701"/>
        <v>263.56680585016983</v>
      </c>
      <c r="BC179" s="4">
        <f t="shared" si="702"/>
        <v>641.65616063635548</v>
      </c>
      <c r="BD179" s="4">
        <f t="shared" si="703"/>
        <v>2.4345105164764891</v>
      </c>
      <c r="BL179" s="4">
        <f t="shared" si="704"/>
        <v>43</v>
      </c>
      <c r="BP179" s="9"/>
      <c r="BR179" s="9"/>
      <c r="BS179" s="9"/>
      <c r="BT179" s="9">
        <f t="shared" si="705"/>
        <v>43</v>
      </c>
      <c r="BU179" s="9">
        <f t="shared" si="706"/>
        <v>86</v>
      </c>
      <c r="BV179" s="9">
        <f t="shared" si="707"/>
        <v>1.1095694720678451</v>
      </c>
      <c r="BW179" s="9">
        <v>0</v>
      </c>
      <c r="BX179" s="9">
        <f t="shared" si="708"/>
        <v>0</v>
      </c>
      <c r="BY179" s="9">
        <f t="shared" si="709"/>
        <v>0</v>
      </c>
      <c r="BZ179" s="9">
        <f t="shared" si="710"/>
        <v>0.84984840943171969</v>
      </c>
      <c r="CA179" s="9">
        <f t="shared" si="711"/>
        <v>0.84399999999999997</v>
      </c>
      <c r="CB179" s="9">
        <f t="shared" si="712"/>
        <v>1.6989660317871056</v>
      </c>
      <c r="CC179" s="9">
        <f t="shared" si="713"/>
        <v>1.8851208429512205</v>
      </c>
      <c r="CD179" s="9">
        <v>1</v>
      </c>
      <c r="CE179" s="9" t="e">
        <f>4*CC179*#REF!+60*CC179</f>
        <v>#REF!</v>
      </c>
      <c r="CG179" s="4" t="e">
        <f t="shared" si="714"/>
        <v>#REF!</v>
      </c>
      <c r="CH179" s="4" t="e">
        <f t="shared" si="715"/>
        <v>#REF!</v>
      </c>
      <c r="CI179" s="4" t="e">
        <f t="shared" si="716"/>
        <v>#REF!</v>
      </c>
      <c r="CJ179" s="4" t="e">
        <f t="shared" si="717"/>
        <v>#REF!</v>
      </c>
      <c r="CK179" s="4">
        <f t="shared" si="718"/>
        <v>1.1618846803400318</v>
      </c>
      <c r="CL179" s="4">
        <f t="shared" si="719"/>
        <v>1.2158256317980205</v>
      </c>
      <c r="CM179" s="4">
        <f t="shared" si="720"/>
        <v>1.6810691019807604</v>
      </c>
      <c r="CO179" s="4" t="e">
        <f>CG179</f>
        <v>#REF!</v>
      </c>
      <c r="CP179" s="4" t="e">
        <f>CH179</f>
        <v>#REF!</v>
      </c>
      <c r="CQ179" s="4" t="e">
        <f>CJ179</f>
        <v>#REF!</v>
      </c>
      <c r="CR179" s="4">
        <f t="shared" ref="CR179:CR180" si="772">CM179</f>
        <v>1.6810691019807604</v>
      </c>
      <c r="CS179" s="4">
        <f>CK179</f>
        <v>1.1618846803400318</v>
      </c>
      <c r="CT179" s="4">
        <f>CL179</f>
        <v>1.2158256317980205</v>
      </c>
      <c r="DB179" s="4">
        <f t="shared" si="722"/>
        <v>0</v>
      </c>
      <c r="DC179" s="4" t="e">
        <f>#REF!</f>
        <v>#REF!</v>
      </c>
      <c r="DF179" s="4">
        <f t="shared" si="723"/>
        <v>3.1780084856411147E-5</v>
      </c>
      <c r="DG179" s="4">
        <f t="shared" si="724"/>
        <v>6.5413245857119913</v>
      </c>
      <c r="DH179" s="4">
        <f t="shared" si="725"/>
        <v>0.32146234039283844</v>
      </c>
      <c r="DI179" s="4">
        <f t="shared" si="726"/>
        <v>4.154490216734021</v>
      </c>
      <c r="DJ179" s="4">
        <f t="shared" si="727"/>
        <v>5.4800752805835637</v>
      </c>
      <c r="DK179" s="4">
        <f t="shared" si="728"/>
        <v>5.2315820417165027</v>
      </c>
      <c r="DL179" s="38">
        <f t="shared" si="729"/>
        <v>492.3035906047071</v>
      </c>
      <c r="DM179" s="4" t="e">
        <f t="shared" si="730"/>
        <v>#REF!</v>
      </c>
      <c r="DN179" s="4">
        <f t="shared" si="731"/>
        <v>2.2360679774997898</v>
      </c>
      <c r="DO179" s="4">
        <f t="shared" si="732"/>
        <v>157.41105772013589</v>
      </c>
      <c r="DS179" s="4">
        <f t="shared" si="733"/>
        <v>0.85</v>
      </c>
      <c r="DT179" s="4">
        <f t="shared" si="734"/>
        <v>1</v>
      </c>
      <c r="DU179" s="4">
        <f t="shared" si="735"/>
        <v>1</v>
      </c>
      <c r="DV179" s="4">
        <f t="shared" si="736"/>
        <v>1</v>
      </c>
      <c r="DX179" s="4">
        <f t="shared" si="737"/>
        <v>470.46219872342988</v>
      </c>
      <c r="DY179" s="25">
        <f t="shared" si="738"/>
        <v>156.47861860925426</v>
      </c>
      <c r="EB179" s="4">
        <f t="shared" si="739"/>
        <v>6.5413245857119913</v>
      </c>
      <c r="EE179" s="4">
        <f t="shared" si="740"/>
        <v>96.150923032490965</v>
      </c>
      <c r="EF179" s="4">
        <f t="shared" si="741"/>
        <v>2.2360679774997898</v>
      </c>
      <c r="EG179" s="4">
        <f t="shared" si="742"/>
        <v>0.1189592196523231</v>
      </c>
      <c r="EJ179" s="4">
        <f t="shared" si="743"/>
        <v>0.1189592196523231</v>
      </c>
      <c r="EK179" s="4">
        <f t="shared" si="744"/>
        <v>0.32092587965915864</v>
      </c>
      <c r="EL179" s="4">
        <f t="shared" si="745"/>
        <v>4.1517155991447741</v>
      </c>
      <c r="EM179" s="4">
        <f t="shared" si="746"/>
        <v>5.4790269878759252</v>
      </c>
      <c r="EN179" s="4" t="e">
        <f t="shared" si="747"/>
        <v>#REF!</v>
      </c>
      <c r="EO179" s="4" t="e">
        <f t="shared" si="748"/>
        <v>#REF!</v>
      </c>
      <c r="EP179" s="4" t="e">
        <f t="shared" si="749"/>
        <v>#REF!</v>
      </c>
      <c r="EQ179" s="4" t="e">
        <f t="shared" si="750"/>
        <v>#REF!</v>
      </c>
      <c r="ER179" s="4" t="e">
        <f t="shared" si="751"/>
        <v>#REF!</v>
      </c>
      <c r="FA179" s="23" t="e">
        <f t="shared" si="752"/>
        <v>#REF!</v>
      </c>
      <c r="FB179" s="23" t="e">
        <f t="shared" si="753"/>
        <v>#REF!</v>
      </c>
      <c r="FC179" s="23">
        <f t="shared" si="754"/>
        <v>1.8</v>
      </c>
      <c r="FD179" s="23" t="e">
        <f t="shared" si="755"/>
        <v>#REF!</v>
      </c>
      <c r="FE179" s="23">
        <f t="shared" si="756"/>
        <v>1.2</v>
      </c>
      <c r="FF179" s="23">
        <f t="shared" si="757"/>
        <v>1.4</v>
      </c>
      <c r="FG179" s="23">
        <f t="shared" si="758"/>
        <v>0</v>
      </c>
      <c r="FH179" s="23"/>
      <c r="FR179" s="4">
        <f t="shared" si="607"/>
        <v>1.25</v>
      </c>
      <c r="FS179" s="4">
        <f t="shared" si="608"/>
        <v>0.75</v>
      </c>
      <c r="FT179" s="4">
        <f t="shared" si="609"/>
        <v>0</v>
      </c>
      <c r="FU179" s="4">
        <f t="shared" si="610"/>
        <v>340.25965935964626</v>
      </c>
    </row>
    <row r="180" spans="2:177" ht="12" customHeight="1" x14ac:dyDescent="0.3">
      <c r="B180" s="24"/>
      <c r="C180" s="4" t="s">
        <v>165</v>
      </c>
      <c r="D180" s="7">
        <v>606</v>
      </c>
      <c r="E180" s="7">
        <f t="shared" ref="E180:E182" si="773">16*G180</f>
        <v>688</v>
      </c>
      <c r="F180" s="7">
        <v>45.8</v>
      </c>
      <c r="G180" s="37">
        <v>43</v>
      </c>
      <c r="H180" s="7">
        <f t="shared" si="680"/>
        <v>430</v>
      </c>
      <c r="I180" s="7">
        <f>2*G180</f>
        <v>86</v>
      </c>
      <c r="J180" s="7">
        <f t="shared" si="759"/>
        <v>56</v>
      </c>
      <c r="K180" s="7">
        <f t="shared" si="768"/>
        <v>172</v>
      </c>
      <c r="L180" s="7">
        <v>2</v>
      </c>
      <c r="M180" s="7">
        <f t="shared" si="769"/>
        <v>358.66666666666663</v>
      </c>
      <c r="N180" s="7">
        <f t="shared" si="684"/>
        <v>2.5</v>
      </c>
      <c r="O180" s="7">
        <f t="shared" si="685"/>
        <v>2.5</v>
      </c>
      <c r="P180" s="7">
        <f t="shared" si="676"/>
        <v>4</v>
      </c>
      <c r="Q180" s="7">
        <f t="shared" si="676"/>
        <v>4</v>
      </c>
      <c r="R180" s="7">
        <f t="shared" si="686"/>
        <v>5</v>
      </c>
      <c r="S180" s="7">
        <f t="shared" si="687"/>
        <v>96.150923032490965</v>
      </c>
      <c r="T180" s="7">
        <f t="shared" si="688"/>
        <v>606</v>
      </c>
      <c r="U180" s="7">
        <v>19</v>
      </c>
      <c r="V180" s="7">
        <f>(607+607)/2</f>
        <v>607</v>
      </c>
      <c r="W180" s="7"/>
      <c r="X180" s="4">
        <f t="shared" si="689"/>
        <v>1.0461407976053076</v>
      </c>
      <c r="Y180" s="7"/>
      <c r="Z180" s="7"/>
      <c r="AA180" s="7">
        <v>1</v>
      </c>
      <c r="AB180" s="7"/>
      <c r="AC180" s="7"/>
      <c r="AD180" s="7">
        <f t="shared" si="690"/>
        <v>9.6</v>
      </c>
      <c r="AE180" s="4">
        <f t="shared" si="691"/>
        <v>688</v>
      </c>
      <c r="AF180" s="4">
        <f t="shared" si="692"/>
        <v>0.20833333333333334</v>
      </c>
      <c r="AG180" s="4">
        <f t="shared" si="693"/>
        <v>420.49284288370211</v>
      </c>
      <c r="AH180" s="4">
        <f t="shared" si="694"/>
        <v>0.73124999999999996</v>
      </c>
      <c r="AI180" s="4">
        <v>1.25</v>
      </c>
      <c r="AJ180" s="4">
        <f t="shared" si="760"/>
        <v>2.5</v>
      </c>
      <c r="AK180" s="38">
        <f t="shared" si="761"/>
        <v>200.18580166582498</v>
      </c>
      <c r="AL180" s="38">
        <f t="shared" si="762"/>
        <v>200.18580166582498</v>
      </c>
      <c r="AM180" s="38">
        <f t="shared" si="695"/>
        <v>3.8402978284624769</v>
      </c>
      <c r="AN180" s="38">
        <f t="shared" si="640"/>
        <v>200.18580166582495</v>
      </c>
      <c r="AO180" s="38">
        <f t="shared" si="548"/>
        <v>1.0000000000000002</v>
      </c>
      <c r="AP180" s="38">
        <f t="shared" si="641"/>
        <v>2.2878745454912459</v>
      </c>
      <c r="AQ180" s="4">
        <f t="shared" si="642"/>
        <v>0</v>
      </c>
      <c r="AR180" s="4" t="e">
        <f>#REF!/G180*F180^0.5/0.19</f>
        <v>#REF!</v>
      </c>
      <c r="AS180" s="4">
        <f t="shared" si="696"/>
        <v>1</v>
      </c>
      <c r="AT180" s="38">
        <f t="shared" si="697"/>
        <v>458</v>
      </c>
      <c r="AU180" s="4">
        <f t="shared" si="698"/>
        <v>0.44000000000000006</v>
      </c>
      <c r="AV180" s="4" t="e">
        <f>AU180*D180*#REF!/(D180*G180/2.75/F180^0.5)</f>
        <v>#REF!</v>
      </c>
      <c r="AW180" s="4" t="e">
        <f t="shared" si="699"/>
        <v>#REF!</v>
      </c>
      <c r="AY180" s="4">
        <f t="shared" si="700"/>
        <v>1.25</v>
      </c>
      <c r="AZ180" s="4" t="e">
        <f>(3*#REF!+30)*AY180*F180^0.5</f>
        <v>#REF!</v>
      </c>
      <c r="BB180" s="4">
        <f t="shared" si="701"/>
        <v>439.27800975028305</v>
      </c>
      <c r="BC180" s="4">
        <f t="shared" si="702"/>
        <v>641.65616063635548</v>
      </c>
      <c r="BD180" s="4">
        <f t="shared" si="703"/>
        <v>1.4607063098858935</v>
      </c>
      <c r="BL180" s="4">
        <f t="shared" si="704"/>
        <v>86</v>
      </c>
      <c r="BP180" s="9"/>
      <c r="BR180" s="9"/>
      <c r="BS180" s="9"/>
      <c r="BT180" s="9">
        <f t="shared" si="705"/>
        <v>56</v>
      </c>
      <c r="BU180" s="9">
        <f t="shared" si="706"/>
        <v>86</v>
      </c>
      <c r="BV180" s="9">
        <f t="shared" si="707"/>
        <v>1.2170441953580799</v>
      </c>
      <c r="BW180" s="9">
        <v>0</v>
      </c>
      <c r="BX180" s="9">
        <f t="shared" si="708"/>
        <v>0</v>
      </c>
      <c r="BY180" s="9">
        <f t="shared" si="709"/>
        <v>0</v>
      </c>
      <c r="BZ180" s="9">
        <f t="shared" si="710"/>
        <v>0.84984840943171969</v>
      </c>
      <c r="CA180" s="9">
        <f t="shared" si="711"/>
        <v>0.84399999999999997</v>
      </c>
      <c r="CB180" s="9">
        <f t="shared" si="712"/>
        <v>1.6989660317871056</v>
      </c>
      <c r="CC180" s="9">
        <f t="shared" si="713"/>
        <v>2.0677167470970481</v>
      </c>
      <c r="CD180" s="9">
        <v>1</v>
      </c>
      <c r="CE180" s="9" t="e">
        <f>4*CC180*#REF!+60*CC180</f>
        <v>#REF!</v>
      </c>
      <c r="CG180" s="4" t="e">
        <f t="shared" si="714"/>
        <v>#REF!</v>
      </c>
      <c r="CH180" s="4" t="e">
        <f t="shared" si="715"/>
        <v>#REF!</v>
      </c>
      <c r="CI180" s="4" t="e">
        <f t="shared" si="716"/>
        <v>#REF!</v>
      </c>
      <c r="CJ180" s="4" t="e">
        <f t="shared" si="717"/>
        <v>#REF!</v>
      </c>
      <c r="CK180" s="4">
        <f t="shared" si="718"/>
        <v>1.0461407976053076</v>
      </c>
      <c r="CL180" s="4">
        <f t="shared" si="719"/>
        <v>1.1078654557321155</v>
      </c>
      <c r="CM180" s="4">
        <f t="shared" si="720"/>
        <v>1.4271453774857643</v>
      </c>
      <c r="CO180" s="4" t="e">
        <f>CG180</f>
        <v>#REF!</v>
      </c>
      <c r="CP180" s="4" t="e">
        <f>CH180</f>
        <v>#REF!</v>
      </c>
      <c r="CQ180" s="4" t="e">
        <f>CJ180</f>
        <v>#REF!</v>
      </c>
      <c r="CR180" s="4">
        <f t="shared" si="772"/>
        <v>1.4271453774857643</v>
      </c>
      <c r="CS180" s="4">
        <f>CK180</f>
        <v>1.0461407976053076</v>
      </c>
      <c r="CT180" s="4">
        <f>CL180</f>
        <v>1.1078654557321155</v>
      </c>
      <c r="DB180" s="4">
        <f t="shared" si="722"/>
        <v>0</v>
      </c>
      <c r="DC180" s="4" t="e">
        <f>#REF!</f>
        <v>#REF!</v>
      </c>
      <c r="DF180" s="4">
        <f t="shared" si="723"/>
        <v>3.1780084856411147E-5</v>
      </c>
      <c r="DG180" s="4">
        <f t="shared" si="724"/>
        <v>7.2681384285688786</v>
      </c>
      <c r="DH180" s="4">
        <f t="shared" si="725"/>
        <v>0.40881623723871846</v>
      </c>
      <c r="DI180" s="4">
        <f t="shared" si="726"/>
        <v>5.0819974748536216</v>
      </c>
      <c r="DJ180" s="4">
        <f t="shared" si="727"/>
        <v>6.2713583807787048</v>
      </c>
      <c r="DK180" s="4">
        <f t="shared" si="728"/>
        <v>5.6034242965167413</v>
      </c>
      <c r="DL180" s="38">
        <f t="shared" si="729"/>
        <v>580.22782534575379</v>
      </c>
      <c r="DM180" s="4" t="e">
        <f t="shared" si="730"/>
        <v>#REF!</v>
      </c>
      <c r="DN180" s="4">
        <f t="shared" si="731"/>
        <v>2.2360679774997898</v>
      </c>
      <c r="DO180" s="4">
        <f t="shared" si="732"/>
        <v>200.18580166582495</v>
      </c>
      <c r="DS180" s="4">
        <f t="shared" si="733"/>
        <v>0.85</v>
      </c>
      <c r="DT180" s="4">
        <f t="shared" si="734"/>
        <v>0.9</v>
      </c>
      <c r="DU180" s="4">
        <f t="shared" si="735"/>
        <v>1</v>
      </c>
      <c r="DV180" s="4">
        <f t="shared" si="736"/>
        <v>0.9</v>
      </c>
      <c r="DX180" s="4">
        <f t="shared" si="737"/>
        <v>547.90046648658574</v>
      </c>
      <c r="DY180" s="25">
        <f t="shared" si="738"/>
        <v>199.02982191527957</v>
      </c>
      <c r="EB180" s="4">
        <f t="shared" si="739"/>
        <v>7.2681384285688786</v>
      </c>
      <c r="EE180" s="4">
        <f t="shared" si="740"/>
        <v>96.150923032490965</v>
      </c>
      <c r="EF180" s="4">
        <f t="shared" si="741"/>
        <v>2.2360679774997898</v>
      </c>
      <c r="EG180" s="4">
        <f t="shared" si="742"/>
        <v>0.15128509455784567</v>
      </c>
      <c r="EJ180" s="4">
        <f t="shared" si="743"/>
        <v>0.15128509455784567</v>
      </c>
      <c r="EK180" s="4">
        <f t="shared" si="744"/>
        <v>0.40813399913175602</v>
      </c>
      <c r="EL180" s="4">
        <f t="shared" si="745"/>
        <v>5.0786034123220896</v>
      </c>
      <c r="EM180" s="4">
        <f t="shared" si="746"/>
        <v>6.2699854603578888</v>
      </c>
      <c r="EN180" s="4" t="e">
        <f t="shared" si="747"/>
        <v>#REF!</v>
      </c>
      <c r="EO180" s="4" t="e">
        <f t="shared" si="748"/>
        <v>#REF!</v>
      </c>
      <c r="EP180" s="4" t="e">
        <f t="shared" si="749"/>
        <v>#REF!</v>
      </c>
      <c r="EQ180" s="4" t="e">
        <f t="shared" si="750"/>
        <v>#REF!</v>
      </c>
      <c r="ER180" s="4" t="e">
        <f t="shared" si="751"/>
        <v>#REF!</v>
      </c>
      <c r="FA180" s="23" t="e">
        <f t="shared" si="752"/>
        <v>#REF!</v>
      </c>
      <c r="FB180" s="23" t="e">
        <f t="shared" si="753"/>
        <v>#REF!</v>
      </c>
      <c r="FC180" s="23">
        <f t="shared" si="754"/>
        <v>1.6</v>
      </c>
      <c r="FD180" s="23" t="e">
        <f t="shared" si="755"/>
        <v>#REF!</v>
      </c>
      <c r="FE180" s="23">
        <f t="shared" si="756"/>
        <v>1.2</v>
      </c>
      <c r="FF180" s="23">
        <f t="shared" si="757"/>
        <v>1.2</v>
      </c>
      <c r="FG180" s="23">
        <f t="shared" si="758"/>
        <v>0</v>
      </c>
      <c r="FH180" s="23"/>
      <c r="FR180" s="4">
        <f t="shared" si="607"/>
        <v>1</v>
      </c>
      <c r="FS180" s="4">
        <f t="shared" si="608"/>
        <v>0.75</v>
      </c>
      <c r="FT180" s="4">
        <f t="shared" si="609"/>
        <v>0</v>
      </c>
      <c r="FU180" s="4">
        <f t="shared" si="610"/>
        <v>425.3245741995579</v>
      </c>
    </row>
    <row r="181" spans="2:177" ht="12" customHeight="1" x14ac:dyDescent="0.3">
      <c r="B181" s="24"/>
      <c r="C181" s="4" t="s">
        <v>166</v>
      </c>
      <c r="D181" s="7">
        <v>606</v>
      </c>
      <c r="E181" s="7">
        <f t="shared" si="773"/>
        <v>688</v>
      </c>
      <c r="F181" s="7">
        <v>41.8</v>
      </c>
      <c r="G181" s="37">
        <v>43</v>
      </c>
      <c r="H181" s="7">
        <f t="shared" si="680"/>
        <v>344</v>
      </c>
      <c r="I181" s="7">
        <f>1*G181</f>
        <v>43</v>
      </c>
      <c r="J181" s="7">
        <f t="shared" si="759"/>
        <v>56</v>
      </c>
      <c r="K181" s="7">
        <f t="shared" si="768"/>
        <v>172</v>
      </c>
      <c r="L181" s="7">
        <v>2</v>
      </c>
      <c r="M181" s="7">
        <f t="shared" si="769"/>
        <v>358.66666666666663</v>
      </c>
      <c r="N181" s="7">
        <f t="shared" si="684"/>
        <v>1.5</v>
      </c>
      <c r="O181" s="7">
        <f t="shared" si="685"/>
        <v>1.5</v>
      </c>
      <c r="P181" s="7">
        <f t="shared" si="676"/>
        <v>4</v>
      </c>
      <c r="Q181" s="7">
        <f t="shared" si="676"/>
        <v>4</v>
      </c>
      <c r="R181" s="7">
        <f t="shared" si="686"/>
        <v>5</v>
      </c>
      <c r="S181" s="7">
        <f t="shared" si="687"/>
        <v>96.150923032490965</v>
      </c>
      <c r="T181" s="7">
        <f t="shared" si="688"/>
        <v>606</v>
      </c>
      <c r="U181" s="7">
        <v>19</v>
      </c>
      <c r="V181" s="7">
        <f>(424+424)/2</f>
        <v>424</v>
      </c>
      <c r="W181" s="7"/>
      <c r="X181" s="4">
        <f t="shared" si="689"/>
        <v>0.84308759932066202</v>
      </c>
      <c r="Y181" s="7">
        <v>15.9</v>
      </c>
      <c r="Z181" s="10">
        <v>2</v>
      </c>
      <c r="AA181" s="7">
        <v>120</v>
      </c>
      <c r="AB181" s="7">
        <v>4</v>
      </c>
      <c r="AC181" s="7">
        <f t="shared" ref="AC181:AC182" si="774">Z181</f>
        <v>2</v>
      </c>
      <c r="AD181" s="7">
        <f t="shared" si="690"/>
        <v>9.6</v>
      </c>
      <c r="AE181" s="4">
        <f t="shared" si="691"/>
        <v>688</v>
      </c>
      <c r="AF181" s="4">
        <f t="shared" si="692"/>
        <v>0.16666666666666666</v>
      </c>
      <c r="AG181" s="4">
        <f t="shared" si="693"/>
        <v>401.7112644757263</v>
      </c>
      <c r="AH181" s="4">
        <f t="shared" si="694"/>
        <v>0.71875</v>
      </c>
      <c r="AI181" s="4">
        <v>1.25</v>
      </c>
      <c r="AJ181" s="4">
        <f t="shared" si="760"/>
        <v>2.5</v>
      </c>
      <c r="AK181" s="38">
        <f>AF181*AH181*AI181*AJ181*AG181</f>
        <v>150.38019340725427</v>
      </c>
      <c r="AL181" s="38">
        <f t="shared" si="762"/>
        <v>150.38019340725427</v>
      </c>
      <c r="AM181" s="38">
        <f t="shared" si="695"/>
        <v>3.613311826901703</v>
      </c>
      <c r="AN181" s="38">
        <f t="shared" si="640"/>
        <v>150.38019340725435</v>
      </c>
      <c r="AO181" s="38">
        <f t="shared" si="548"/>
        <v>0.99999999999999944</v>
      </c>
      <c r="AP181" s="38">
        <f t="shared" si="641"/>
        <v>1.6677728251139579</v>
      </c>
      <c r="AQ181" s="4">
        <f t="shared" si="642"/>
        <v>0</v>
      </c>
      <c r="AR181" s="4" t="e">
        <f>#REF!/G181*F181^0.5/0.19</f>
        <v>#REF!</v>
      </c>
      <c r="AS181" s="4">
        <f t="shared" si="696"/>
        <v>1</v>
      </c>
      <c r="AT181" s="38">
        <f t="shared" si="697"/>
        <v>250.79999999999998</v>
      </c>
      <c r="AU181" s="4">
        <f t="shared" si="698"/>
        <v>0.44000000000000006</v>
      </c>
      <c r="AV181" s="4" t="e">
        <f>AU181*D181*#REF!/(D181*G181/2.75/F181^0.5)</f>
        <v>#REF!</v>
      </c>
      <c r="AW181" s="4" t="e">
        <f t="shared" si="699"/>
        <v>#REF!</v>
      </c>
      <c r="AY181" s="4">
        <f t="shared" si="700"/>
        <v>1.4</v>
      </c>
      <c r="AZ181" s="4" t="e">
        <f>(3*#REF!+30)*AY181*F181^0.5</f>
        <v>#REF!</v>
      </c>
      <c r="BB181" s="4">
        <f t="shared" si="701"/>
        <v>240.54787084142137</v>
      </c>
      <c r="BC181" s="4">
        <f t="shared" si="702"/>
        <v>641.65616063635548</v>
      </c>
      <c r="BD181" s="4">
        <f t="shared" si="703"/>
        <v>2.6674780300149092</v>
      </c>
      <c r="BL181" s="4">
        <f t="shared" si="704"/>
        <v>43</v>
      </c>
      <c r="BP181" s="9"/>
      <c r="BR181" s="9"/>
      <c r="BS181" s="9"/>
      <c r="BT181" s="9">
        <f t="shared" si="705"/>
        <v>43</v>
      </c>
      <c r="BU181" s="9">
        <f t="shared" si="706"/>
        <v>86</v>
      </c>
      <c r="BV181" s="9">
        <f t="shared" si="707"/>
        <v>1.1095694720678451</v>
      </c>
      <c r="BW181" s="9">
        <v>20</v>
      </c>
      <c r="BX181" s="9">
        <f t="shared" si="708"/>
        <v>0.05</v>
      </c>
      <c r="BY181" s="9">
        <f t="shared" si="709"/>
        <v>0.8</v>
      </c>
      <c r="BZ181" s="9">
        <f t="shared" si="710"/>
        <v>0.84984840943171969</v>
      </c>
      <c r="CA181" s="9">
        <f t="shared" si="711"/>
        <v>0.84399999999999997</v>
      </c>
      <c r="CB181" s="9">
        <f t="shared" si="712"/>
        <v>1.6230806409213159</v>
      </c>
      <c r="CC181" s="9">
        <f t="shared" si="713"/>
        <v>3.0993852426076569</v>
      </c>
      <c r="CD181" s="9">
        <v>1</v>
      </c>
      <c r="CE181" s="9" t="e">
        <f>4*CC181*#REF!+60*CC181</f>
        <v>#REF!</v>
      </c>
      <c r="CG181" s="4" t="e">
        <f t="shared" si="714"/>
        <v>#REF!</v>
      </c>
      <c r="CH181" s="4" t="e">
        <f t="shared" si="715"/>
        <v>#REF!</v>
      </c>
      <c r="CI181" s="4" t="e">
        <f t="shared" si="716"/>
        <v>#REF!</v>
      </c>
      <c r="CJ181" s="4" t="e">
        <f t="shared" si="717"/>
        <v>#REF!</v>
      </c>
      <c r="CK181" s="4">
        <f t="shared" si="718"/>
        <v>0.84308759932066202</v>
      </c>
      <c r="CL181" s="4">
        <f t="shared" si="719"/>
        <v>0.88558461738800009</v>
      </c>
      <c r="CM181" s="4">
        <f t="shared" si="720"/>
        <v>0.83618018255731019</v>
      </c>
      <c r="CU181" s="4" t="e">
        <f>CG181</f>
        <v>#REF!</v>
      </c>
      <c r="CV181" s="4" t="e">
        <f>CH181</f>
        <v>#REF!</v>
      </c>
      <c r="CW181" s="4" t="e">
        <f>CJ181</f>
        <v>#REF!</v>
      </c>
      <c r="CX181" s="4">
        <f t="shared" ref="CX181:CX182" si="775">CM181</f>
        <v>0.83618018255731019</v>
      </c>
      <c r="CY181" s="4">
        <f>CK181</f>
        <v>0.84308759932066202</v>
      </c>
      <c r="CZ181" s="4">
        <f>CL181</f>
        <v>0.88558461738800009</v>
      </c>
      <c r="DB181" s="4">
        <f t="shared" si="722"/>
        <v>2</v>
      </c>
      <c r="DC181" s="4" t="e">
        <f>#REF!</f>
        <v>#REF!</v>
      </c>
      <c r="DF181" s="4">
        <f t="shared" si="723"/>
        <v>3.0965438467699878E-5</v>
      </c>
      <c r="DG181" s="4">
        <f t="shared" si="724"/>
        <v>6.8602160076475114</v>
      </c>
      <c r="DH181" s="4">
        <f t="shared" si="725"/>
        <v>0.33649196660752562</v>
      </c>
      <c r="DI181" s="4">
        <f t="shared" si="726"/>
        <v>4.4373907190807582</v>
      </c>
      <c r="DJ181" s="4">
        <f t="shared" si="727"/>
        <v>5.7778067568446536</v>
      </c>
      <c r="DK181" s="4">
        <f t="shared" si="728"/>
        <v>5.4492167000577307</v>
      </c>
      <c r="DL181" s="38">
        <f t="shared" si="729"/>
        <v>502.91333942243739</v>
      </c>
      <c r="DM181" s="4" t="e">
        <f t="shared" si="730"/>
        <v>#REF!</v>
      </c>
      <c r="DN181" s="4">
        <f t="shared" si="731"/>
        <v>2.2360679774997898</v>
      </c>
      <c r="DO181" s="4">
        <f t="shared" si="732"/>
        <v>150.38019340725435</v>
      </c>
      <c r="DS181" s="4">
        <f t="shared" si="733"/>
        <v>0.85</v>
      </c>
      <c r="DT181" s="4">
        <f t="shared" si="734"/>
        <v>1</v>
      </c>
      <c r="DU181" s="4">
        <f t="shared" si="735"/>
        <v>0.91092644672796108</v>
      </c>
      <c r="DV181" s="4">
        <f t="shared" si="736"/>
        <v>0.91092644672796108</v>
      </c>
      <c r="DX181" s="4">
        <f t="shared" si="737"/>
        <v>478.77977064526334</v>
      </c>
      <c r="DY181" s="25">
        <f t="shared" si="738"/>
        <v>149.48940227818281</v>
      </c>
      <c r="EB181" s="4">
        <f t="shared" si="739"/>
        <v>6.8602160076475114</v>
      </c>
      <c r="EE181" s="4">
        <f t="shared" si="740"/>
        <v>96.150923032490965</v>
      </c>
      <c r="EF181" s="4">
        <f t="shared" si="741"/>
        <v>2.2360679774997898</v>
      </c>
      <c r="EG181" s="4">
        <f t="shared" si="742"/>
        <v>0.11895921965232313</v>
      </c>
      <c r="EJ181" s="4">
        <f t="shared" si="743"/>
        <v>0.11895921965232313</v>
      </c>
      <c r="EK181" s="4">
        <f t="shared" si="744"/>
        <v>0.33593042422883501</v>
      </c>
      <c r="EL181" s="4">
        <f t="shared" si="745"/>
        <v>4.4344271635788264</v>
      </c>
      <c r="EM181" s="4">
        <f t="shared" si="746"/>
        <v>5.7766720378636887</v>
      </c>
      <c r="EN181" s="4" t="e">
        <f t="shared" si="747"/>
        <v>#REF!</v>
      </c>
      <c r="EO181" s="4" t="e">
        <f t="shared" si="748"/>
        <v>#REF!</v>
      </c>
      <c r="EP181" s="4" t="e">
        <f t="shared" si="749"/>
        <v>#REF!</v>
      </c>
      <c r="EQ181" s="4" t="e">
        <f t="shared" si="750"/>
        <v>#REF!</v>
      </c>
      <c r="ER181" s="4" t="e">
        <f t="shared" si="751"/>
        <v>#REF!</v>
      </c>
      <c r="FA181" s="23" t="e">
        <f t="shared" si="752"/>
        <v>#REF!</v>
      </c>
      <c r="FB181" s="23" t="e">
        <f t="shared" si="753"/>
        <v>#REF!</v>
      </c>
      <c r="FC181" s="23">
        <f t="shared" si="754"/>
        <v>1</v>
      </c>
      <c r="FD181" s="23" t="e">
        <f t="shared" si="755"/>
        <v>#REF!</v>
      </c>
      <c r="FE181" s="23">
        <f t="shared" si="756"/>
        <v>1</v>
      </c>
      <c r="FF181" s="23">
        <f t="shared" si="757"/>
        <v>1</v>
      </c>
      <c r="FG181" s="23">
        <f t="shared" si="758"/>
        <v>0</v>
      </c>
      <c r="FH181" s="23"/>
      <c r="FR181" s="4">
        <f t="shared" si="607"/>
        <v>1.25</v>
      </c>
      <c r="FS181" s="4">
        <f t="shared" si="608"/>
        <v>0.49190749660801991</v>
      </c>
      <c r="FT181" s="4">
        <f t="shared" si="609"/>
        <v>0.3</v>
      </c>
      <c r="FU181" s="4">
        <f t="shared" si="610"/>
        <v>507.0677454986681</v>
      </c>
    </row>
    <row r="182" spans="2:177" ht="12" customHeight="1" x14ac:dyDescent="0.3">
      <c r="B182" s="24"/>
      <c r="C182" s="4" t="s">
        <v>167</v>
      </c>
      <c r="D182" s="7">
        <v>606</v>
      </c>
      <c r="E182" s="7">
        <f t="shared" si="773"/>
        <v>688</v>
      </c>
      <c r="F182" s="7">
        <v>44.3</v>
      </c>
      <c r="G182" s="37">
        <v>43</v>
      </c>
      <c r="H182" s="7">
        <f t="shared" si="680"/>
        <v>430</v>
      </c>
      <c r="I182" s="7">
        <f>2*G182</f>
        <v>86</v>
      </c>
      <c r="J182" s="7">
        <f t="shared" si="759"/>
        <v>56</v>
      </c>
      <c r="K182" s="7">
        <f t="shared" si="768"/>
        <v>172</v>
      </c>
      <c r="L182" s="7">
        <v>2</v>
      </c>
      <c r="M182" s="7">
        <f t="shared" si="769"/>
        <v>358.66666666666663</v>
      </c>
      <c r="N182" s="7">
        <f t="shared" si="684"/>
        <v>2.5</v>
      </c>
      <c r="O182" s="7">
        <f t="shared" si="685"/>
        <v>2.5</v>
      </c>
      <c r="P182" s="7">
        <f t="shared" si="676"/>
        <v>4</v>
      </c>
      <c r="Q182" s="7">
        <f t="shared" si="676"/>
        <v>4</v>
      </c>
      <c r="R182" s="7">
        <f t="shared" si="686"/>
        <v>5</v>
      </c>
      <c r="S182" s="7">
        <f t="shared" si="687"/>
        <v>96.150923032490965</v>
      </c>
      <c r="T182" s="7">
        <f t="shared" si="688"/>
        <v>606</v>
      </c>
      <c r="U182" s="7">
        <v>19</v>
      </c>
      <c r="V182" s="7">
        <f>(628+628)/2</f>
        <v>628</v>
      </c>
      <c r="W182" s="7"/>
      <c r="X182" s="4">
        <f t="shared" si="689"/>
        <v>1.0360993957423605</v>
      </c>
      <c r="Y182" s="7">
        <v>15.9</v>
      </c>
      <c r="Z182" s="10">
        <v>2</v>
      </c>
      <c r="AA182" s="7">
        <v>120</v>
      </c>
      <c r="AB182" s="7">
        <v>4</v>
      </c>
      <c r="AC182" s="7">
        <f t="shared" si="774"/>
        <v>2</v>
      </c>
      <c r="AD182" s="7">
        <f t="shared" si="690"/>
        <v>9.6</v>
      </c>
      <c r="AE182" s="4">
        <f t="shared" si="691"/>
        <v>688</v>
      </c>
      <c r="AF182" s="4">
        <f t="shared" si="692"/>
        <v>0.20833333333333334</v>
      </c>
      <c r="AG182" s="4">
        <f t="shared" si="693"/>
        <v>413.54972110408767</v>
      </c>
      <c r="AH182" s="4">
        <f t="shared" si="694"/>
        <v>0.73124999999999996</v>
      </c>
      <c r="AI182" s="4">
        <v>1.25</v>
      </c>
      <c r="AJ182" s="4">
        <f t="shared" si="760"/>
        <v>2.5</v>
      </c>
      <c r="AK182" s="38">
        <f t="shared" si="761"/>
        <v>196.88036038890891</v>
      </c>
      <c r="AL182" s="38">
        <f t="shared" si="762"/>
        <v>196.88036038890891</v>
      </c>
      <c r="AM182" s="38">
        <f t="shared" si="695"/>
        <v>3.7559840459059588</v>
      </c>
      <c r="AN182" s="38">
        <f t="shared" si="640"/>
        <v>196.88036038890891</v>
      </c>
      <c r="AO182" s="38">
        <f t="shared" si="548"/>
        <v>1</v>
      </c>
      <c r="AP182" s="38">
        <f t="shared" si="641"/>
        <v>2.2500974659174591</v>
      </c>
      <c r="AQ182" s="4">
        <f t="shared" si="642"/>
        <v>0</v>
      </c>
      <c r="AR182" s="4" t="e">
        <f>#REF!/G182*F182^0.5/0.19</f>
        <v>#REF!</v>
      </c>
      <c r="AS182" s="4">
        <f t="shared" si="696"/>
        <v>1</v>
      </c>
      <c r="AT182" s="38">
        <f t="shared" si="697"/>
        <v>443</v>
      </c>
      <c r="AU182" s="4">
        <f t="shared" si="698"/>
        <v>0.44000000000000006</v>
      </c>
      <c r="AV182" s="4" t="e">
        <f>AU182*D182*#REF!/(D182*G182/2.75/F182^0.5)</f>
        <v>#REF!</v>
      </c>
      <c r="AW182" s="4" t="e">
        <f t="shared" si="699"/>
        <v>#REF!</v>
      </c>
      <c r="AY182" s="4">
        <f t="shared" si="700"/>
        <v>1.5</v>
      </c>
      <c r="AZ182" s="4" t="e">
        <f>(3*#REF!+30)*AY182*F182^0.5</f>
        <v>#REF!</v>
      </c>
      <c r="BB182" s="4">
        <f t="shared" si="701"/>
        <v>424.89117536981524</v>
      </c>
      <c r="BC182" s="4">
        <f t="shared" si="702"/>
        <v>641.65616063635548</v>
      </c>
      <c r="BD182" s="4">
        <f t="shared" si="703"/>
        <v>1.5101658914847387</v>
      </c>
      <c r="BL182" s="4">
        <f t="shared" si="704"/>
        <v>86</v>
      </c>
      <c r="BP182" s="9"/>
      <c r="BR182" s="9"/>
      <c r="BS182" s="9"/>
      <c r="BT182" s="9">
        <f t="shared" si="705"/>
        <v>56</v>
      </c>
      <c r="BU182" s="9">
        <f t="shared" si="706"/>
        <v>86</v>
      </c>
      <c r="BV182" s="9">
        <f t="shared" si="707"/>
        <v>1.2170441953580799</v>
      </c>
      <c r="BW182" s="9">
        <v>20</v>
      </c>
      <c r="BX182" s="9">
        <f t="shared" si="708"/>
        <v>0.05</v>
      </c>
      <c r="BY182" s="9">
        <f t="shared" si="709"/>
        <v>0.8</v>
      </c>
      <c r="BZ182" s="9">
        <f t="shared" si="710"/>
        <v>0.84984840943171969</v>
      </c>
      <c r="CA182" s="9">
        <f t="shared" si="711"/>
        <v>0.84399999999999997</v>
      </c>
      <c r="CB182" s="9">
        <f t="shared" si="712"/>
        <v>1.6709129311035618</v>
      </c>
      <c r="CC182" s="9">
        <f t="shared" si="713"/>
        <v>3.370305228631195</v>
      </c>
      <c r="CD182" s="9">
        <v>1</v>
      </c>
      <c r="CE182" s="9" t="e">
        <f>4*CC182*#REF!+60*CC182</f>
        <v>#REF!</v>
      </c>
      <c r="CG182" s="4" t="e">
        <f t="shared" si="714"/>
        <v>#REF!</v>
      </c>
      <c r="CH182" s="4" t="e">
        <f t="shared" si="715"/>
        <v>#REF!</v>
      </c>
      <c r="CI182" s="4" t="e">
        <f t="shared" si="716"/>
        <v>#REF!</v>
      </c>
      <c r="CJ182" s="4" t="e">
        <f t="shared" si="717"/>
        <v>#REF!</v>
      </c>
      <c r="CK182" s="4">
        <f t="shared" si="718"/>
        <v>1.0360993957423605</v>
      </c>
      <c r="CL182" s="4">
        <f t="shared" si="719"/>
        <v>1.0971269956239666</v>
      </c>
      <c r="CM182" s="4">
        <f t="shared" si="720"/>
        <v>0.97651019906997372</v>
      </c>
      <c r="CU182" s="4" t="e">
        <f>CG182</f>
        <v>#REF!</v>
      </c>
      <c r="CV182" s="4" t="e">
        <f>CH182</f>
        <v>#REF!</v>
      </c>
      <c r="CW182" s="4" t="e">
        <f>CJ182</f>
        <v>#REF!</v>
      </c>
      <c r="CX182" s="4">
        <f t="shared" si="775"/>
        <v>0.97651019906997372</v>
      </c>
      <c r="CY182" s="4">
        <f>CK182</f>
        <v>1.0360993957423605</v>
      </c>
      <c r="CZ182" s="4">
        <f>CL182</f>
        <v>1.0971269956239666</v>
      </c>
      <c r="DB182" s="4">
        <f t="shared" si="722"/>
        <v>2</v>
      </c>
      <c r="DC182" s="4" t="e">
        <f>#REF!</f>
        <v>#REF!</v>
      </c>
      <c r="DF182" s="4">
        <f t="shared" si="723"/>
        <v>3.1473982762568646E-5</v>
      </c>
      <c r="DG182" s="4">
        <f t="shared" si="724"/>
        <v>7.8470966796375476</v>
      </c>
      <c r="DH182" s="4">
        <f t="shared" si="725"/>
        <v>0.41567988815124735</v>
      </c>
      <c r="DI182" s="4">
        <f t="shared" si="726"/>
        <v>5.5234777430767332</v>
      </c>
      <c r="DJ182" s="4">
        <f t="shared" si="727"/>
        <v>6.7857839718640527</v>
      </c>
      <c r="DK182" s="4">
        <f t="shared" si="728"/>
        <v>5.9257420668611704</v>
      </c>
      <c r="DL182" s="38">
        <f t="shared" si="729"/>
        <v>606.11945396420276</v>
      </c>
      <c r="DM182" s="4" t="e">
        <f t="shared" si="730"/>
        <v>#REF!</v>
      </c>
      <c r="DN182" s="4">
        <f t="shared" si="731"/>
        <v>2.2360679774997898</v>
      </c>
      <c r="DO182" s="4">
        <f t="shared" ref="DO182:DO245" si="776">MIN(DN$10*AN182)</f>
        <v>196.88036038890891</v>
      </c>
      <c r="DS182" s="4">
        <f t="shared" si="733"/>
        <v>0.85</v>
      </c>
      <c r="DT182" s="4">
        <f t="shared" si="734"/>
        <v>0.9</v>
      </c>
      <c r="DU182" s="4">
        <f t="shared" si="735"/>
        <v>0.91092644672796108</v>
      </c>
      <c r="DV182" s="4">
        <f t="shared" si="736"/>
        <v>0.81983380205516498</v>
      </c>
      <c r="DX182" s="4">
        <f t="shared" si="737"/>
        <v>572.40410864454111</v>
      </c>
      <c r="DY182" s="25">
        <f t="shared" si="738"/>
        <v>195.7434680219389</v>
      </c>
      <c r="EB182" s="4">
        <f t="shared" si="739"/>
        <v>7.8470966796375476</v>
      </c>
      <c r="EE182" s="4">
        <f t="shared" si="740"/>
        <v>96.150923032490965</v>
      </c>
      <c r="EF182" s="4">
        <f t="shared" si="741"/>
        <v>2.2360679774997898</v>
      </c>
      <c r="EG182" s="4">
        <f t="shared" si="742"/>
        <v>0.15128509455784567</v>
      </c>
      <c r="EJ182" s="4">
        <f t="shared" si="743"/>
        <v>0.15128509455784567</v>
      </c>
      <c r="EK182" s="4">
        <f t="shared" si="744"/>
        <v>0.41498619589012259</v>
      </c>
      <c r="EL182" s="4">
        <f t="shared" si="745"/>
        <v>5.5197888335595016</v>
      </c>
      <c r="EM182" s="4">
        <f t="shared" si="746"/>
        <v>6.784284979316852</v>
      </c>
      <c r="EN182" s="4" t="e">
        <f t="shared" si="747"/>
        <v>#REF!</v>
      </c>
      <c r="EO182" s="4" t="e">
        <f t="shared" si="748"/>
        <v>#REF!</v>
      </c>
      <c r="EP182" s="4" t="e">
        <f t="shared" si="749"/>
        <v>#REF!</v>
      </c>
      <c r="EQ182" s="4" t="e">
        <f t="shared" si="750"/>
        <v>#REF!</v>
      </c>
      <c r="ER182" s="4" t="e">
        <f t="shared" si="751"/>
        <v>#REF!</v>
      </c>
      <c r="FA182" s="23" t="e">
        <f t="shared" si="752"/>
        <v>#REF!</v>
      </c>
      <c r="FB182" s="23" t="e">
        <f t="shared" si="753"/>
        <v>#REF!</v>
      </c>
      <c r="FC182" s="23">
        <f t="shared" si="754"/>
        <v>1</v>
      </c>
      <c r="FD182" s="23" t="e">
        <f t="shared" si="755"/>
        <v>#REF!</v>
      </c>
      <c r="FE182" s="23">
        <f t="shared" si="756"/>
        <v>1.2</v>
      </c>
      <c r="FF182" s="23">
        <f t="shared" si="757"/>
        <v>1.2</v>
      </c>
      <c r="FG182" s="23">
        <f t="shared" si="758"/>
        <v>0</v>
      </c>
      <c r="FH182" s="23"/>
      <c r="FR182" s="4">
        <f t="shared" si="607"/>
        <v>1</v>
      </c>
      <c r="FS182" s="4">
        <f t="shared" si="608"/>
        <v>0.49190749660801991</v>
      </c>
      <c r="FT182" s="4">
        <f t="shared" si="609"/>
        <v>0.3</v>
      </c>
      <c r="FU182" s="4">
        <f t="shared" si="610"/>
        <v>643.10644230659943</v>
      </c>
    </row>
    <row r="183" spans="2:177" ht="12" customHeight="1" x14ac:dyDescent="0.3">
      <c r="B183" s="24"/>
      <c r="C183" s="4" t="s">
        <v>168</v>
      </c>
      <c r="D183" s="7">
        <v>583</v>
      </c>
      <c r="E183" s="7">
        <f t="shared" ref="E183:E185" si="777">7*G183</f>
        <v>401.09999999999997</v>
      </c>
      <c r="F183" s="7">
        <v>51.4</v>
      </c>
      <c r="G183" s="37">
        <v>57.3</v>
      </c>
      <c r="H183" s="7">
        <f t="shared" si="680"/>
        <v>584.46</v>
      </c>
      <c r="I183" s="7">
        <f t="shared" ref="I183:I192" si="778">1*G183</f>
        <v>57.3</v>
      </c>
      <c r="J183" s="7">
        <f t="shared" si="759"/>
        <v>56</v>
      </c>
      <c r="K183" s="7">
        <f t="shared" ref="K183:K195" si="779">(7.2-1)*G183</f>
        <v>355.26</v>
      </c>
      <c r="L183" s="7">
        <v>2</v>
      </c>
      <c r="M183" s="7">
        <f t="shared" ref="M183:M188" si="780">2/3*E183-0.5*186</f>
        <v>174.39999999999998</v>
      </c>
      <c r="N183" s="7">
        <f t="shared" si="684"/>
        <v>1.5</v>
      </c>
      <c r="O183" s="7">
        <f t="shared" si="685"/>
        <v>1.5</v>
      </c>
      <c r="P183" s="7">
        <f t="shared" si="676"/>
        <v>4</v>
      </c>
      <c r="Q183" s="7">
        <f t="shared" si="676"/>
        <v>4</v>
      </c>
      <c r="R183" s="7">
        <f t="shared" si="686"/>
        <v>5</v>
      </c>
      <c r="S183" s="7">
        <f t="shared" si="687"/>
        <v>128.12669511073796</v>
      </c>
      <c r="T183" s="7">
        <f t="shared" si="688"/>
        <v>583</v>
      </c>
      <c r="U183" s="7">
        <v>25</v>
      </c>
      <c r="V183" s="7">
        <f>(338+330)/2</f>
        <v>334</v>
      </c>
      <c r="W183" s="7"/>
      <c r="X183" s="4">
        <f t="shared" si="689"/>
        <v>1.2987627920477962</v>
      </c>
      <c r="Y183" s="7"/>
      <c r="Z183" s="7"/>
      <c r="AA183" s="7">
        <v>1</v>
      </c>
      <c r="AB183" s="7"/>
      <c r="AC183" s="7"/>
      <c r="AD183" s="7">
        <f t="shared" si="690"/>
        <v>2.9166666666666665</v>
      </c>
      <c r="AE183" s="4">
        <f t="shared" si="691"/>
        <v>401.09999999999997</v>
      </c>
      <c r="AF183" s="4">
        <f t="shared" si="692"/>
        <v>0.48571428571428582</v>
      </c>
      <c r="AG183" s="4">
        <f t="shared" si="693"/>
        <v>111.66869259763561</v>
      </c>
      <c r="AH183" s="4">
        <f t="shared" si="694"/>
        <v>0.74285714285714277</v>
      </c>
      <c r="AI183" s="4">
        <v>1.25</v>
      </c>
      <c r="AJ183" s="4">
        <f t="shared" si="760"/>
        <v>2.5</v>
      </c>
      <c r="AK183" s="38">
        <f t="shared" si="761"/>
        <v>125.91214828610957</v>
      </c>
      <c r="AL183" s="38">
        <f t="shared" si="762"/>
        <v>125.91214828610957</v>
      </c>
      <c r="AM183" s="38">
        <f t="shared" si="695"/>
        <v>4.107079761979672</v>
      </c>
      <c r="AN183" s="38">
        <f t="shared" si="640"/>
        <v>125.91214828610951</v>
      </c>
      <c r="AO183" s="38">
        <f t="shared" si="548"/>
        <v>1.0000000000000004</v>
      </c>
      <c r="AP183" s="38">
        <f t="shared" si="641"/>
        <v>2.4493268060141764</v>
      </c>
      <c r="AQ183" s="4">
        <f t="shared" si="642"/>
        <v>0</v>
      </c>
      <c r="AR183" s="4" t="e">
        <f>#REF!/G183*F183^0.5/0.19</f>
        <v>#REF!</v>
      </c>
      <c r="AS183" s="4">
        <f t="shared" si="696"/>
        <v>1</v>
      </c>
      <c r="AT183" s="38">
        <f t="shared" si="697"/>
        <v>308.39999999999998</v>
      </c>
      <c r="AU183" s="4">
        <f t="shared" si="698"/>
        <v>0.44000000000000006</v>
      </c>
      <c r="AV183" s="4" t="e">
        <f>AU183*D183*#REF!/(D183*G183/2.75/F183^0.5)</f>
        <v>#REF!</v>
      </c>
      <c r="AW183" s="4" t="e">
        <f t="shared" si="699"/>
        <v>#REF!</v>
      </c>
      <c r="AY183" s="4">
        <f t="shared" si="700"/>
        <v>1</v>
      </c>
      <c r="AZ183" s="4" t="e">
        <f>(3*#REF!+30)*AY183*F183^0.5</f>
        <v>#REF!</v>
      </c>
      <c r="BB183" s="4">
        <f t="shared" si="701"/>
        <v>295.79331486241767</v>
      </c>
      <c r="BC183" s="4">
        <f t="shared" si="702"/>
        <v>450.3525339151019</v>
      </c>
      <c r="BD183" s="4">
        <f t="shared" si="703"/>
        <v>1.5225243820151051</v>
      </c>
      <c r="BL183" s="4">
        <f t="shared" si="704"/>
        <v>57.3</v>
      </c>
      <c r="BP183" s="9"/>
      <c r="BR183" s="9"/>
      <c r="BS183" s="9"/>
      <c r="BT183" s="9">
        <f t="shared" si="705"/>
        <v>56</v>
      </c>
      <c r="BU183" s="9">
        <f t="shared" si="706"/>
        <v>177.63</v>
      </c>
      <c r="BV183" s="9">
        <f t="shared" si="707"/>
        <v>1.1754818988273255</v>
      </c>
      <c r="BW183" s="9">
        <v>0</v>
      </c>
      <c r="BX183" s="9">
        <f t="shared" si="708"/>
        <v>0</v>
      </c>
      <c r="BY183" s="9">
        <f t="shared" si="709"/>
        <v>0</v>
      </c>
      <c r="BZ183" s="9">
        <f t="shared" si="710"/>
        <v>0.77971450958075206</v>
      </c>
      <c r="CA183" s="9">
        <f t="shared" si="711"/>
        <v>0.87549999999999994</v>
      </c>
      <c r="CB183" s="9">
        <f t="shared" si="712"/>
        <v>1.7129369207551171</v>
      </c>
      <c r="CC183" s="9">
        <f t="shared" si="713"/>
        <v>2.013526344180657</v>
      </c>
      <c r="CD183" s="9">
        <v>1</v>
      </c>
      <c r="CE183" s="9" t="e">
        <f>4*CC183*#REF!+60*CC183</f>
        <v>#REF!</v>
      </c>
      <c r="CG183" s="4" t="e">
        <f t="shared" si="714"/>
        <v>#REF!</v>
      </c>
      <c r="CH183" s="4" t="e">
        <f t="shared" si="715"/>
        <v>#REF!</v>
      </c>
      <c r="CI183" s="4" t="e">
        <f t="shared" si="716"/>
        <v>#REF!</v>
      </c>
      <c r="CJ183" s="4" t="e">
        <f t="shared" si="717"/>
        <v>#REF!</v>
      </c>
      <c r="CK183" s="4">
        <f t="shared" si="718"/>
        <v>1.2987627920477962</v>
      </c>
      <c r="CL183" s="4">
        <f t="shared" si="719"/>
        <v>1.3493245422364921</v>
      </c>
      <c r="CM183" s="4">
        <f t="shared" si="720"/>
        <v>1.9012666169183468</v>
      </c>
      <c r="CO183" s="4" t="e">
        <f>CG183</f>
        <v>#REF!</v>
      </c>
      <c r="CP183" s="4" t="e">
        <f>CH183</f>
        <v>#REF!</v>
      </c>
      <c r="CQ183" s="4" t="e">
        <f>CJ183</f>
        <v>#REF!</v>
      </c>
      <c r="CR183" s="4">
        <f t="shared" ref="CR183" si="781">CM183</f>
        <v>1.9012666169183468</v>
      </c>
      <c r="CS183" s="4">
        <f>CK183</f>
        <v>1.2987627920477962</v>
      </c>
      <c r="CT183" s="4">
        <f>CL183</f>
        <v>1.3493245422364921</v>
      </c>
      <c r="DB183" s="4">
        <f t="shared" si="722"/>
        <v>0</v>
      </c>
      <c r="DC183" s="4" t="e">
        <f>#REF!</f>
        <v>#REF!</v>
      </c>
      <c r="DF183" s="4">
        <f t="shared" si="723"/>
        <v>1.4407634115999734E-5</v>
      </c>
      <c r="DG183" s="4">
        <f t="shared" si="724"/>
        <v>5.8902461748215584</v>
      </c>
      <c r="DH183" s="4">
        <f t="shared" si="725"/>
        <v>0.30531702664295407</v>
      </c>
      <c r="DI183" s="4">
        <f t="shared" si="726"/>
        <v>3.6646614158187836</v>
      </c>
      <c r="DJ183" s="4">
        <f t="shared" si="727"/>
        <v>4.9060021731239356</v>
      </c>
      <c r="DK183" s="4">
        <f t="shared" si="728"/>
        <v>5.6189312114065979</v>
      </c>
      <c r="DL183" s="38">
        <f t="shared" si="729"/>
        <v>257.16782313525681</v>
      </c>
      <c r="DM183" s="4" t="e">
        <f t="shared" si="730"/>
        <v>#REF!</v>
      </c>
      <c r="DN183" s="4">
        <f t="shared" si="731"/>
        <v>2.2360679774997898</v>
      </c>
      <c r="DO183" s="4">
        <f t="shared" si="776"/>
        <v>125.91214828610951</v>
      </c>
      <c r="DS183" s="4">
        <f t="shared" si="733"/>
        <v>1</v>
      </c>
      <c r="DT183" s="4">
        <f t="shared" si="734"/>
        <v>1</v>
      </c>
      <c r="DU183" s="4">
        <f t="shared" si="735"/>
        <v>1</v>
      </c>
      <c r="DV183" s="4">
        <f t="shared" si="736"/>
        <v>1</v>
      </c>
      <c r="DX183" s="4">
        <f t="shared" si="737"/>
        <v>247.53125696980081</v>
      </c>
      <c r="DY183" s="25">
        <f t="shared" si="738"/>
        <v>123.83608729854809</v>
      </c>
      <c r="EB183" s="4">
        <f t="shared" si="739"/>
        <v>5.8902461748215584</v>
      </c>
      <c r="EE183" s="4">
        <f t="shared" si="740"/>
        <v>128.12669511073796</v>
      </c>
      <c r="EF183" s="4">
        <f t="shared" si="741"/>
        <v>2.2360679774997898</v>
      </c>
      <c r="EG183" s="4">
        <f t="shared" si="742"/>
        <v>0.1196927510980095</v>
      </c>
      <c r="EJ183" s="4">
        <f t="shared" si="743"/>
        <v>0.1196927510980095</v>
      </c>
      <c r="EK183" s="4">
        <f t="shared" si="744"/>
        <v>0.30480750942884544</v>
      </c>
      <c r="EL183" s="4">
        <f t="shared" si="745"/>
        <v>3.6622139352634062</v>
      </c>
      <c r="EM183" s="4">
        <f t="shared" si="746"/>
        <v>4.9050914787398536</v>
      </c>
      <c r="EN183" s="4" t="e">
        <f t="shared" si="747"/>
        <v>#REF!</v>
      </c>
      <c r="EO183" s="4" t="e">
        <f t="shared" si="748"/>
        <v>#REF!</v>
      </c>
      <c r="EP183" s="4" t="e">
        <f t="shared" si="749"/>
        <v>#REF!</v>
      </c>
      <c r="EQ183" s="4" t="e">
        <f t="shared" si="750"/>
        <v>#REF!</v>
      </c>
      <c r="ER183" s="4" t="e">
        <f t="shared" si="751"/>
        <v>#REF!</v>
      </c>
      <c r="FA183" s="23" t="e">
        <f t="shared" si="752"/>
        <v>#REF!</v>
      </c>
      <c r="FB183" s="23" t="e">
        <f t="shared" si="753"/>
        <v>#REF!</v>
      </c>
      <c r="FC183" s="23">
        <f t="shared" si="754"/>
        <v>2</v>
      </c>
      <c r="FD183" s="23" t="e">
        <f t="shared" si="755"/>
        <v>#REF!</v>
      </c>
      <c r="FE183" s="23">
        <f t="shared" si="756"/>
        <v>1.4</v>
      </c>
      <c r="FF183" s="23">
        <f t="shared" si="757"/>
        <v>1.4</v>
      </c>
      <c r="FG183" s="23">
        <f t="shared" si="758"/>
        <v>0</v>
      </c>
      <c r="FH183" s="23"/>
      <c r="FR183" s="4">
        <f t="shared" si="607"/>
        <v>1.25</v>
      </c>
      <c r="FS183" s="4">
        <f t="shared" si="608"/>
        <v>0.56666666666666665</v>
      </c>
      <c r="FT183" s="4">
        <f t="shared" si="609"/>
        <v>0</v>
      </c>
      <c r="FU183" s="4">
        <f t="shared" si="610"/>
        <v>175.67236337498068</v>
      </c>
    </row>
    <row r="184" spans="2:177" ht="12" customHeight="1" x14ac:dyDescent="0.3">
      <c r="B184" s="24"/>
      <c r="C184" s="4" t="s">
        <v>169</v>
      </c>
      <c r="D184" s="7">
        <v>583</v>
      </c>
      <c r="E184" s="7">
        <f t="shared" si="777"/>
        <v>401.09999999999997</v>
      </c>
      <c r="F184" s="7">
        <v>51.4</v>
      </c>
      <c r="G184" s="37">
        <v>57.3</v>
      </c>
      <c r="H184" s="7">
        <f t="shared" si="680"/>
        <v>584.46</v>
      </c>
      <c r="I184" s="7">
        <f t="shared" si="778"/>
        <v>57.3</v>
      </c>
      <c r="J184" s="7">
        <f t="shared" si="759"/>
        <v>56</v>
      </c>
      <c r="K184" s="7">
        <f t="shared" si="779"/>
        <v>355.26</v>
      </c>
      <c r="L184" s="7">
        <v>2</v>
      </c>
      <c r="M184" s="7">
        <f t="shared" si="780"/>
        <v>174.39999999999998</v>
      </c>
      <c r="N184" s="7">
        <f t="shared" si="684"/>
        <v>1.5</v>
      </c>
      <c r="O184" s="7">
        <f t="shared" si="685"/>
        <v>1.5</v>
      </c>
      <c r="P184" s="7">
        <f t="shared" si="676"/>
        <v>4</v>
      </c>
      <c r="Q184" s="7">
        <f t="shared" si="676"/>
        <v>4</v>
      </c>
      <c r="R184" s="7">
        <f t="shared" si="686"/>
        <v>5</v>
      </c>
      <c r="S184" s="7">
        <f t="shared" si="687"/>
        <v>128.12669511073796</v>
      </c>
      <c r="T184" s="7">
        <f t="shared" si="688"/>
        <v>583</v>
      </c>
      <c r="U184" s="7">
        <v>25</v>
      </c>
      <c r="V184" s="7">
        <f>(424+424)/2</f>
        <v>424</v>
      </c>
      <c r="W184" s="7"/>
      <c r="X184" s="4">
        <f t="shared" si="689"/>
        <v>1.634175742192578</v>
      </c>
      <c r="Y184" s="7">
        <v>15.9</v>
      </c>
      <c r="Z184" s="7">
        <v>2</v>
      </c>
      <c r="AA184" s="7">
        <v>275</v>
      </c>
      <c r="AB184" s="7">
        <v>4</v>
      </c>
      <c r="AC184" s="7">
        <f>Z184</f>
        <v>2</v>
      </c>
      <c r="AD184" s="7">
        <f t="shared" si="690"/>
        <v>2.9166666666666665</v>
      </c>
      <c r="AE184" s="4">
        <f t="shared" si="691"/>
        <v>401.09999999999997</v>
      </c>
      <c r="AF184" s="4">
        <f t="shared" si="692"/>
        <v>0.48571428571428582</v>
      </c>
      <c r="AG184" s="4">
        <f t="shared" si="693"/>
        <v>111.66869259763561</v>
      </c>
      <c r="AH184" s="4">
        <f t="shared" si="694"/>
        <v>0.74285714285714277</v>
      </c>
      <c r="AI184" s="4">
        <v>1.25</v>
      </c>
      <c r="AJ184" s="4">
        <f t="shared" si="760"/>
        <v>2.5</v>
      </c>
      <c r="AK184" s="38">
        <f t="shared" si="761"/>
        <v>125.91214828610957</v>
      </c>
      <c r="AL184" s="38">
        <f t="shared" si="762"/>
        <v>125.91214828610957</v>
      </c>
      <c r="AM184" s="38">
        <f t="shared" si="695"/>
        <v>4.107079761979672</v>
      </c>
      <c r="AN184" s="38">
        <f t="shared" si="640"/>
        <v>125.91214828610951</v>
      </c>
      <c r="AO184" s="38">
        <f t="shared" si="548"/>
        <v>1.0000000000000004</v>
      </c>
      <c r="AP184" s="38">
        <f t="shared" si="641"/>
        <v>2.4493268060141764</v>
      </c>
      <c r="AQ184" s="4">
        <f t="shared" si="642"/>
        <v>0</v>
      </c>
      <c r="AR184" s="4" t="e">
        <f>#REF!/G184*F184^0.5/0.19</f>
        <v>#REF!</v>
      </c>
      <c r="AS184" s="4">
        <f t="shared" si="696"/>
        <v>1</v>
      </c>
      <c r="AT184" s="38">
        <f t="shared" si="697"/>
        <v>308.39999999999998</v>
      </c>
      <c r="AU184" s="4">
        <f t="shared" si="698"/>
        <v>0.44000000000000006</v>
      </c>
      <c r="AV184" s="4" t="e">
        <f>AU184*D184*#REF!/(D184*G184/2.75/F184^0.5)</f>
        <v>#REF!</v>
      </c>
      <c r="AW184" s="4" t="e">
        <f t="shared" si="699"/>
        <v>#REF!</v>
      </c>
      <c r="AY184" s="4">
        <f t="shared" si="700"/>
        <v>1.201612194511575</v>
      </c>
      <c r="AZ184" s="4" t="e">
        <f>(3*#REF!+30)*AY184*F184^0.5</f>
        <v>#REF!</v>
      </c>
      <c r="BB184" s="4">
        <f t="shared" si="701"/>
        <v>295.79331486241767</v>
      </c>
      <c r="BC184" s="4">
        <f t="shared" si="702"/>
        <v>450.3525339151019</v>
      </c>
      <c r="BD184" s="4">
        <f t="shared" si="703"/>
        <v>1.5225243820151051</v>
      </c>
      <c r="BL184" s="4">
        <f t="shared" si="704"/>
        <v>57.3</v>
      </c>
      <c r="BP184" s="9"/>
      <c r="BR184" s="9"/>
      <c r="BS184" s="9"/>
      <c r="BT184" s="9">
        <f t="shared" si="705"/>
        <v>56</v>
      </c>
      <c r="BU184" s="9">
        <f t="shared" si="706"/>
        <v>177.63</v>
      </c>
      <c r="BV184" s="9">
        <f t="shared" si="707"/>
        <v>1.1754818988273255</v>
      </c>
      <c r="BW184" s="9">
        <v>20</v>
      </c>
      <c r="BX184" s="9">
        <f t="shared" si="708"/>
        <v>2.5201524313946871E-2</v>
      </c>
      <c r="BY184" s="9">
        <f t="shared" si="709"/>
        <v>0.30403048627893742</v>
      </c>
      <c r="BZ184" s="9">
        <f t="shared" si="710"/>
        <v>0.77971450958075206</v>
      </c>
      <c r="CA184" s="9">
        <f t="shared" si="711"/>
        <v>0.87549999999999994</v>
      </c>
      <c r="CB184" s="9">
        <f t="shared" si="712"/>
        <v>1.7129369207551171</v>
      </c>
      <c r="CC184" s="9">
        <f t="shared" si="713"/>
        <v>2.5343113891629807</v>
      </c>
      <c r="CD184" s="9">
        <v>1</v>
      </c>
      <c r="CE184" s="9" t="e">
        <f>4*CC184*#REF!+60*CC184</f>
        <v>#REF!</v>
      </c>
      <c r="CG184" s="4" t="e">
        <f t="shared" si="714"/>
        <v>#REF!</v>
      </c>
      <c r="CH184" s="4" t="e">
        <f t="shared" si="715"/>
        <v>#REF!</v>
      </c>
      <c r="CI184" s="4" t="e">
        <f t="shared" si="716"/>
        <v>#REF!</v>
      </c>
      <c r="CJ184" s="4" t="e">
        <f t="shared" si="717"/>
        <v>#REF!</v>
      </c>
      <c r="CK184" s="4">
        <f t="shared" si="718"/>
        <v>1.634175742192578</v>
      </c>
      <c r="CL184" s="4">
        <f t="shared" si="719"/>
        <v>1.6978913823018422</v>
      </c>
      <c r="CM184" s="4">
        <f t="shared" si="720"/>
        <v>1.5788211461636792</v>
      </c>
      <c r="CU184" s="4" t="e">
        <f>CG184</f>
        <v>#REF!</v>
      </c>
      <c r="CV184" s="4" t="e">
        <f>CH184</f>
        <v>#REF!</v>
      </c>
      <c r="CW184" s="4" t="e">
        <f>CJ184</f>
        <v>#REF!</v>
      </c>
      <c r="CX184" s="4">
        <f t="shared" ref="CX184" si="782">CM184</f>
        <v>1.5788211461636792</v>
      </c>
      <c r="CY184" s="4">
        <f>CK184</f>
        <v>1.634175742192578</v>
      </c>
      <c r="CZ184" s="4">
        <f>CL184</f>
        <v>1.6978913823018422</v>
      </c>
      <c r="DB184" s="4">
        <f t="shared" si="722"/>
        <v>2</v>
      </c>
      <c r="DC184" s="4" t="e">
        <f>#REF!</f>
        <v>#REF!</v>
      </c>
      <c r="DF184" s="4">
        <f t="shared" si="723"/>
        <v>1.4407634115999734E-5</v>
      </c>
      <c r="DG184" s="4">
        <f t="shared" si="724"/>
        <v>5.99454394365008</v>
      </c>
      <c r="DH184" s="4">
        <f t="shared" si="725"/>
        <v>0.30531702664295407</v>
      </c>
      <c r="DI184" s="4">
        <f t="shared" si="726"/>
        <v>3.7295510652218411</v>
      </c>
      <c r="DJ184" s="4">
        <f t="shared" si="727"/>
        <v>4.9928720704657401</v>
      </c>
      <c r="DK184" s="4">
        <f t="shared" si="728"/>
        <v>5.7135776207412556</v>
      </c>
      <c r="DL184" s="38">
        <f t="shared" si="729"/>
        <v>259.45801853056395</v>
      </c>
      <c r="DM184" s="4" t="e">
        <f t="shared" si="730"/>
        <v>#REF!</v>
      </c>
      <c r="DN184" s="4">
        <f t="shared" si="731"/>
        <v>2.2360679774997898</v>
      </c>
      <c r="DO184" s="4">
        <f t="shared" si="776"/>
        <v>125.91214828610951</v>
      </c>
      <c r="DS184" s="4">
        <f t="shared" si="733"/>
        <v>1</v>
      </c>
      <c r="DT184" s="4">
        <f t="shared" si="734"/>
        <v>1</v>
      </c>
      <c r="DU184" s="4">
        <f t="shared" si="735"/>
        <v>0.9826012170719004</v>
      </c>
      <c r="DV184" s="4">
        <f t="shared" si="736"/>
        <v>0.9826012170719004</v>
      </c>
      <c r="DX184" s="4">
        <f t="shared" si="737"/>
        <v>249.72151011519978</v>
      </c>
      <c r="DY184" s="25">
        <f t="shared" si="738"/>
        <v>123.83608729854809</v>
      </c>
      <c r="EB184" s="4">
        <f t="shared" si="739"/>
        <v>5.99454394365008</v>
      </c>
      <c r="EE184" s="4">
        <f t="shared" si="740"/>
        <v>128.12669511073796</v>
      </c>
      <c r="EF184" s="4">
        <f t="shared" si="741"/>
        <v>2.2360679774997898</v>
      </c>
      <c r="EG184" s="4">
        <f t="shared" si="742"/>
        <v>0.1196927510980095</v>
      </c>
      <c r="EJ184" s="4">
        <f t="shared" si="743"/>
        <v>0.1196927510980095</v>
      </c>
      <c r="EK184" s="4">
        <f t="shared" si="744"/>
        <v>0.30480750942884544</v>
      </c>
      <c r="EL184" s="4">
        <f t="shared" si="745"/>
        <v>3.7270602474690695</v>
      </c>
      <c r="EM184" s="4">
        <f t="shared" si="746"/>
        <v>4.9919452505430089</v>
      </c>
      <c r="EN184" s="4" t="e">
        <f t="shared" si="747"/>
        <v>#REF!</v>
      </c>
      <c r="EO184" s="4" t="e">
        <f t="shared" si="748"/>
        <v>#REF!</v>
      </c>
      <c r="EP184" s="4" t="e">
        <f t="shared" si="749"/>
        <v>#REF!</v>
      </c>
      <c r="EQ184" s="4" t="e">
        <f t="shared" si="750"/>
        <v>#REF!</v>
      </c>
      <c r="ER184" s="4" t="e">
        <f t="shared" si="751"/>
        <v>#REF!</v>
      </c>
      <c r="FA184" s="23" t="e">
        <f t="shared" si="752"/>
        <v>#REF!</v>
      </c>
      <c r="FB184" s="23" t="e">
        <f t="shared" si="753"/>
        <v>#REF!</v>
      </c>
      <c r="FC184" s="23">
        <f t="shared" si="754"/>
        <v>1.6</v>
      </c>
      <c r="FD184" s="23" t="e">
        <f t="shared" si="755"/>
        <v>#REF!</v>
      </c>
      <c r="FE184" s="23">
        <f t="shared" si="756"/>
        <v>1.8</v>
      </c>
      <c r="FF184" s="23">
        <f t="shared" si="757"/>
        <v>1.8</v>
      </c>
      <c r="FG184" s="23">
        <f t="shared" si="758"/>
        <v>0</v>
      </c>
      <c r="FH184" s="23"/>
      <c r="FR184" s="4">
        <f t="shared" si="607"/>
        <v>1.25</v>
      </c>
      <c r="FS184" s="4">
        <f t="shared" si="608"/>
        <v>0.37067917575318227</v>
      </c>
      <c r="FT184" s="4">
        <f t="shared" si="609"/>
        <v>0.3</v>
      </c>
      <c r="FU184" s="4">
        <f t="shared" si="610"/>
        <v>268.55480180909814</v>
      </c>
    </row>
    <row r="185" spans="2:177" ht="12" customHeight="1" x14ac:dyDescent="0.3">
      <c r="B185" s="24"/>
      <c r="C185" s="4" t="s">
        <v>170</v>
      </c>
      <c r="D185" s="7">
        <v>583</v>
      </c>
      <c r="E185" s="7">
        <f t="shared" si="777"/>
        <v>401.09999999999997</v>
      </c>
      <c r="F185" s="7">
        <v>76.900000000000006</v>
      </c>
      <c r="G185" s="37">
        <v>57.3</v>
      </c>
      <c r="H185" s="7">
        <f t="shared" si="680"/>
        <v>584.46</v>
      </c>
      <c r="I185" s="7">
        <f t="shared" si="778"/>
        <v>57.3</v>
      </c>
      <c r="J185" s="7">
        <f t="shared" si="759"/>
        <v>56</v>
      </c>
      <c r="K185" s="7">
        <f t="shared" si="779"/>
        <v>355.26</v>
      </c>
      <c r="L185" s="7">
        <v>2</v>
      </c>
      <c r="M185" s="7">
        <f t="shared" si="780"/>
        <v>174.39999999999998</v>
      </c>
      <c r="N185" s="7">
        <f t="shared" si="684"/>
        <v>1.5</v>
      </c>
      <c r="O185" s="7">
        <f t="shared" si="685"/>
        <v>1.5</v>
      </c>
      <c r="P185" s="7">
        <f t="shared" si="676"/>
        <v>4</v>
      </c>
      <c r="Q185" s="7">
        <f t="shared" si="676"/>
        <v>4</v>
      </c>
      <c r="R185" s="7">
        <f t="shared" si="686"/>
        <v>5</v>
      </c>
      <c r="S185" s="7">
        <f t="shared" si="687"/>
        <v>128.12669511073796</v>
      </c>
      <c r="T185" s="7">
        <f t="shared" si="688"/>
        <v>583</v>
      </c>
      <c r="U185" s="7">
        <v>25</v>
      </c>
      <c r="V185" s="7">
        <f>(405+388)/2</f>
        <v>396.5</v>
      </c>
      <c r="W185" s="7"/>
      <c r="X185" s="4">
        <f t="shared" si="689"/>
        <v>1.2828934748820127</v>
      </c>
      <c r="Y185" s="7"/>
      <c r="Z185" s="7"/>
      <c r="AA185" s="7">
        <v>1</v>
      </c>
      <c r="AB185" s="7"/>
      <c r="AC185" s="7"/>
      <c r="AD185" s="7">
        <f t="shared" si="690"/>
        <v>2.9166666666666665</v>
      </c>
      <c r="AE185" s="4">
        <f t="shared" si="691"/>
        <v>401.09999999999997</v>
      </c>
      <c r="AF185" s="4">
        <f t="shared" si="692"/>
        <v>0.48571428571428582</v>
      </c>
      <c r="AG185" s="4">
        <f t="shared" si="693"/>
        <v>136.58815600212856</v>
      </c>
      <c r="AH185" s="4">
        <f t="shared" si="694"/>
        <v>0.74285714285714277</v>
      </c>
      <c r="AI185" s="4">
        <v>1.25</v>
      </c>
      <c r="AJ185" s="4">
        <f t="shared" si="760"/>
        <v>2.5</v>
      </c>
      <c r="AK185" s="38">
        <f t="shared" si="761"/>
        <v>154.01011467586949</v>
      </c>
      <c r="AL185" s="38">
        <f t="shared" si="762"/>
        <v>154.01011467586949</v>
      </c>
      <c r="AM185" s="38">
        <f t="shared" si="695"/>
        <v>4.7705058587582929</v>
      </c>
      <c r="AN185" s="38">
        <f t="shared" si="640"/>
        <v>154.01011467586937</v>
      </c>
      <c r="AO185" s="38">
        <f t="shared" si="548"/>
        <v>1.0000000000000007</v>
      </c>
      <c r="AP185" s="38">
        <f t="shared" si="641"/>
        <v>2.9959071257823897</v>
      </c>
      <c r="AQ185" s="4">
        <f t="shared" si="642"/>
        <v>0</v>
      </c>
      <c r="AR185" s="4" t="e">
        <f>#REF!/G185*F185^0.5/0.19</f>
        <v>#REF!</v>
      </c>
      <c r="AS185" s="4">
        <f t="shared" si="696"/>
        <v>1</v>
      </c>
      <c r="AT185" s="38">
        <f t="shared" si="697"/>
        <v>461.40000000000003</v>
      </c>
      <c r="AU185" s="4">
        <f t="shared" si="698"/>
        <v>0.44000000000000006</v>
      </c>
      <c r="AV185" s="4" t="e">
        <f>AU185*D185*#REF!/(D185*G185/2.75/F185^0.5)</f>
        <v>#REF!</v>
      </c>
      <c r="AW185" s="4" t="e">
        <f t="shared" si="699"/>
        <v>#REF!</v>
      </c>
      <c r="AY185" s="4">
        <f t="shared" si="700"/>
        <v>1</v>
      </c>
      <c r="AZ185" s="4" t="e">
        <f>(3*#REF!+30)*AY185*F185^0.5</f>
        <v>#REF!</v>
      </c>
      <c r="BB185" s="4">
        <f t="shared" si="701"/>
        <v>442.53902554318915</v>
      </c>
      <c r="BC185" s="4">
        <f t="shared" si="702"/>
        <v>450.3525339151019</v>
      </c>
      <c r="BD185" s="4">
        <f t="shared" si="703"/>
        <v>1.0176560888891599</v>
      </c>
      <c r="BL185" s="4">
        <f t="shared" si="704"/>
        <v>57.3</v>
      </c>
      <c r="BP185" s="9"/>
      <c r="BR185" s="9"/>
      <c r="BS185" s="9"/>
      <c r="BT185" s="9">
        <f t="shared" si="705"/>
        <v>56</v>
      </c>
      <c r="BU185" s="9">
        <f t="shared" si="706"/>
        <v>177.63</v>
      </c>
      <c r="BV185" s="9">
        <f t="shared" si="707"/>
        <v>1.1754818988273255</v>
      </c>
      <c r="BW185" s="9">
        <v>0</v>
      </c>
      <c r="BX185" s="9">
        <f t="shared" si="708"/>
        <v>0</v>
      </c>
      <c r="BY185" s="9">
        <f t="shared" si="709"/>
        <v>0</v>
      </c>
      <c r="BZ185" s="9">
        <f t="shared" si="710"/>
        <v>0.77971450958075206</v>
      </c>
      <c r="CA185" s="9">
        <f t="shared" si="711"/>
        <v>0.87549999999999994</v>
      </c>
      <c r="CB185" s="9">
        <f t="shared" si="712"/>
        <v>2.0951879162491376</v>
      </c>
      <c r="CC185" s="9">
        <f t="shared" si="713"/>
        <v>2.4628554701926038</v>
      </c>
      <c r="CD185" s="9">
        <v>1</v>
      </c>
      <c r="CE185" s="9" t="e">
        <f>4*CC185*#REF!+60*CC185</f>
        <v>#REF!</v>
      </c>
      <c r="CG185" s="4" t="e">
        <f t="shared" si="714"/>
        <v>#REF!</v>
      </c>
      <c r="CH185" s="4" t="e">
        <f t="shared" si="715"/>
        <v>#REF!</v>
      </c>
      <c r="CI185" s="4" t="e">
        <f t="shared" si="716"/>
        <v>#REF!</v>
      </c>
      <c r="CJ185" s="4" t="e">
        <f t="shared" si="717"/>
        <v>#REF!</v>
      </c>
      <c r="CK185" s="4">
        <f t="shared" si="718"/>
        <v>1.2828934748820127</v>
      </c>
      <c r="CL185" s="4">
        <f t="shared" si="719"/>
        <v>1.3095784928162608</v>
      </c>
      <c r="CM185" s="4">
        <f t="shared" si="720"/>
        <v>2.0407929363744293</v>
      </c>
      <c r="CO185" s="4" t="e">
        <f>CG185</f>
        <v>#REF!</v>
      </c>
      <c r="CP185" s="4" t="e">
        <f>CH185</f>
        <v>#REF!</v>
      </c>
      <c r="CQ185" s="4" t="e">
        <f>CJ185</f>
        <v>#REF!</v>
      </c>
      <c r="CR185" s="4">
        <f t="shared" ref="CR185:CR186" si="783">CM185</f>
        <v>2.0407929363744293</v>
      </c>
      <c r="CS185" s="4">
        <f>CK185</f>
        <v>1.2828934748820127</v>
      </c>
      <c r="CT185" s="4">
        <f>CL185</f>
        <v>1.3095784928162608</v>
      </c>
      <c r="DB185" s="4">
        <f t="shared" si="722"/>
        <v>0</v>
      </c>
      <c r="DC185" s="4" t="e">
        <f>#REF!</f>
        <v>#REF!</v>
      </c>
      <c r="DF185" s="4">
        <f t="shared" si="723"/>
        <v>1.6837038197690092E-5</v>
      </c>
      <c r="DG185" s="4">
        <f t="shared" si="724"/>
        <v>7.2046859751136969</v>
      </c>
      <c r="DH185" s="4">
        <f t="shared" si="725"/>
        <v>0.24961427250313586</v>
      </c>
      <c r="DI185" s="4">
        <f t="shared" si="726"/>
        <v>4.1354504528865519</v>
      </c>
      <c r="DJ185" s="4">
        <f t="shared" si="727"/>
        <v>5.875472052633139</v>
      </c>
      <c r="DK185" s="4">
        <f t="shared" si="728"/>
        <v>6.7478813180619772</v>
      </c>
      <c r="DL185" s="38">
        <f t="shared" si="729"/>
        <v>309.0669706901939</v>
      </c>
      <c r="DM185" s="4" t="e">
        <f t="shared" si="730"/>
        <v>#REF!</v>
      </c>
      <c r="DN185" s="4">
        <f t="shared" si="731"/>
        <v>2.2360679774997898</v>
      </c>
      <c r="DO185" s="4">
        <f t="shared" si="776"/>
        <v>154.01011467586937</v>
      </c>
      <c r="DS185" s="4">
        <f t="shared" si="733"/>
        <v>1</v>
      </c>
      <c r="DT185" s="4">
        <f t="shared" si="734"/>
        <v>1</v>
      </c>
      <c r="DU185" s="4">
        <f t="shared" si="735"/>
        <v>1</v>
      </c>
      <c r="DV185" s="4">
        <f t="shared" si="736"/>
        <v>1</v>
      </c>
      <c r="DX185" s="4">
        <f t="shared" si="737"/>
        <v>302.76917510100753</v>
      </c>
      <c r="DY185" s="25">
        <f t="shared" si="738"/>
        <v>151.4707696236199</v>
      </c>
      <c r="EB185" s="4">
        <f t="shared" si="739"/>
        <v>7.2046859751136969</v>
      </c>
      <c r="EE185" s="4">
        <f t="shared" si="740"/>
        <v>128.12669511073796</v>
      </c>
      <c r="EF185" s="4">
        <f t="shared" si="741"/>
        <v>2.2360679774997898</v>
      </c>
      <c r="EG185" s="4">
        <f t="shared" si="742"/>
        <v>0.11969275109800948</v>
      </c>
      <c r="EJ185" s="4">
        <f t="shared" si="743"/>
        <v>0.11969275109800948</v>
      </c>
      <c r="EK185" s="4">
        <f t="shared" si="744"/>
        <v>0.24919771280410444</v>
      </c>
      <c r="EL185" s="4">
        <f t="shared" si="745"/>
        <v>4.1326885511928575</v>
      </c>
      <c r="EM185" s="4">
        <f t="shared" si="746"/>
        <v>5.8745058887859321</v>
      </c>
      <c r="EN185" s="4" t="e">
        <f t="shared" si="747"/>
        <v>#REF!</v>
      </c>
      <c r="EO185" s="4" t="e">
        <f t="shared" si="748"/>
        <v>#REF!</v>
      </c>
      <c r="EP185" s="4" t="e">
        <f t="shared" si="749"/>
        <v>#REF!</v>
      </c>
      <c r="EQ185" s="4" t="e">
        <f t="shared" si="750"/>
        <v>#REF!</v>
      </c>
      <c r="ER185" s="4" t="e">
        <f t="shared" si="751"/>
        <v>#REF!</v>
      </c>
      <c r="FA185" s="23" t="e">
        <f t="shared" si="752"/>
        <v>#REF!</v>
      </c>
      <c r="FB185" s="23" t="e">
        <f t="shared" si="753"/>
        <v>#REF!</v>
      </c>
      <c r="FC185" s="23">
        <f t="shared" si="754"/>
        <v>2.2000000000000002</v>
      </c>
      <c r="FD185" s="23" t="e">
        <f t="shared" si="755"/>
        <v>#REF!</v>
      </c>
      <c r="FE185" s="23">
        <f t="shared" si="756"/>
        <v>1.4</v>
      </c>
      <c r="FF185" s="23">
        <f t="shared" si="757"/>
        <v>1.4</v>
      </c>
      <c r="FG185" s="23">
        <f t="shared" si="758"/>
        <v>0</v>
      </c>
      <c r="FH185" s="23"/>
      <c r="FR185" s="4">
        <f t="shared" si="607"/>
        <v>1.25</v>
      </c>
      <c r="FS185" s="4">
        <f t="shared" si="608"/>
        <v>0.56666666666666665</v>
      </c>
      <c r="FT185" s="4">
        <f t="shared" si="609"/>
        <v>0</v>
      </c>
      <c r="FU185" s="4">
        <f t="shared" si="610"/>
        <v>194.28722676020334</v>
      </c>
    </row>
    <row r="186" spans="2:177" ht="12" customHeight="1" x14ac:dyDescent="0.3">
      <c r="B186" s="24"/>
      <c r="C186" s="4" t="s">
        <v>171</v>
      </c>
      <c r="D186" s="7">
        <v>583</v>
      </c>
      <c r="E186" s="7">
        <f>10*G186</f>
        <v>573</v>
      </c>
      <c r="F186" s="7">
        <v>51.4</v>
      </c>
      <c r="G186" s="37">
        <v>57.3</v>
      </c>
      <c r="H186" s="7">
        <f t="shared" si="680"/>
        <v>584.46</v>
      </c>
      <c r="I186" s="7">
        <f t="shared" si="778"/>
        <v>57.3</v>
      </c>
      <c r="J186" s="7">
        <f t="shared" si="759"/>
        <v>56</v>
      </c>
      <c r="K186" s="7">
        <f t="shared" si="779"/>
        <v>355.26</v>
      </c>
      <c r="L186" s="7">
        <v>2</v>
      </c>
      <c r="M186" s="7">
        <f t="shared" si="780"/>
        <v>289</v>
      </c>
      <c r="N186" s="7">
        <f t="shared" si="684"/>
        <v>1.5</v>
      </c>
      <c r="O186" s="7">
        <f t="shared" si="685"/>
        <v>1.5</v>
      </c>
      <c r="P186" s="7">
        <f t="shared" ref="P186:Q195" si="784">2040/510</f>
        <v>4</v>
      </c>
      <c r="Q186" s="7">
        <f t="shared" si="784"/>
        <v>4</v>
      </c>
      <c r="R186" s="7">
        <f t="shared" si="686"/>
        <v>5</v>
      </c>
      <c r="S186" s="7">
        <f t="shared" si="687"/>
        <v>128.12669511073796</v>
      </c>
      <c r="T186" s="7">
        <f t="shared" si="688"/>
        <v>583</v>
      </c>
      <c r="U186" s="7">
        <v>25</v>
      </c>
      <c r="V186" s="7">
        <f>(354+380)/2</f>
        <v>367</v>
      </c>
      <c r="W186" s="7"/>
      <c r="X186" s="4">
        <f t="shared" si="689"/>
        <v>1.0755836101514773</v>
      </c>
      <c r="Y186" s="7"/>
      <c r="Z186" s="7"/>
      <c r="AA186" s="7">
        <v>1</v>
      </c>
      <c r="AB186" s="7"/>
      <c r="AC186" s="7"/>
      <c r="AD186" s="7">
        <f t="shared" si="690"/>
        <v>4.166666666666667</v>
      </c>
      <c r="AE186" s="4">
        <f t="shared" si="691"/>
        <v>573</v>
      </c>
      <c r="AF186" s="4">
        <f t="shared" si="692"/>
        <v>0.34</v>
      </c>
      <c r="AG186" s="4">
        <f t="shared" si="693"/>
        <v>190.67088022808852</v>
      </c>
      <c r="AH186" s="4">
        <f t="shared" si="694"/>
        <v>0.73</v>
      </c>
      <c r="AI186" s="4">
        <v>1.25</v>
      </c>
      <c r="AJ186" s="4">
        <f t="shared" si="760"/>
        <v>2.5</v>
      </c>
      <c r="AK186" s="38">
        <f t="shared" si="761"/>
        <v>147.88910147691115</v>
      </c>
      <c r="AL186" s="38">
        <f t="shared" si="762"/>
        <v>147.88910147691115</v>
      </c>
      <c r="AM186" s="38">
        <f t="shared" si="695"/>
        <v>4.107079761979672</v>
      </c>
      <c r="AN186" s="38">
        <f t="shared" si="640"/>
        <v>147.88910147691104</v>
      </c>
      <c r="AO186" s="38">
        <f t="shared" si="548"/>
        <v>1.0000000000000007</v>
      </c>
      <c r="AP186" s="38">
        <f t="shared" si="641"/>
        <v>2.0853463637288274</v>
      </c>
      <c r="AQ186" s="4">
        <f t="shared" si="642"/>
        <v>0</v>
      </c>
      <c r="AR186" s="4" t="e">
        <f>#REF!/G186*F186^0.5/0.19</f>
        <v>#REF!</v>
      </c>
      <c r="AS186" s="4">
        <f t="shared" si="696"/>
        <v>1</v>
      </c>
      <c r="AT186" s="38">
        <f t="shared" si="697"/>
        <v>308.39999999999998</v>
      </c>
      <c r="AU186" s="4">
        <f t="shared" si="698"/>
        <v>0.44000000000000006</v>
      </c>
      <c r="AV186" s="4" t="e">
        <f>AU186*D186*#REF!/(D186*G186/2.75/F186^0.5)</f>
        <v>#REF!</v>
      </c>
      <c r="AW186" s="4" t="e">
        <f t="shared" si="699"/>
        <v>#REF!</v>
      </c>
      <c r="AY186" s="4">
        <f t="shared" si="700"/>
        <v>1</v>
      </c>
      <c r="AZ186" s="4" t="e">
        <f>(3*#REF!+30)*AY186*F186^0.5</f>
        <v>#REF!</v>
      </c>
      <c r="BB186" s="4">
        <f t="shared" si="701"/>
        <v>295.79331486241767</v>
      </c>
      <c r="BC186" s="4">
        <f t="shared" si="702"/>
        <v>450.3525339151019</v>
      </c>
      <c r="BD186" s="4">
        <f t="shared" si="703"/>
        <v>1.5225243820151051</v>
      </c>
      <c r="BL186" s="4">
        <f t="shared" si="704"/>
        <v>57.3</v>
      </c>
      <c r="BP186" s="9"/>
      <c r="BR186" s="9"/>
      <c r="BS186" s="9"/>
      <c r="BT186" s="9">
        <f t="shared" si="705"/>
        <v>56</v>
      </c>
      <c r="BU186" s="9">
        <f t="shared" si="706"/>
        <v>177.63</v>
      </c>
      <c r="BV186" s="9">
        <f t="shared" si="707"/>
        <v>1.1754818988273255</v>
      </c>
      <c r="BW186" s="9">
        <v>0</v>
      </c>
      <c r="BX186" s="9">
        <f t="shared" si="708"/>
        <v>0</v>
      </c>
      <c r="BY186" s="9">
        <f t="shared" si="709"/>
        <v>0</v>
      </c>
      <c r="BZ186" s="9">
        <f t="shared" si="710"/>
        <v>0.77971450958075206</v>
      </c>
      <c r="CA186" s="9">
        <f t="shared" si="711"/>
        <v>0.87549999999999994</v>
      </c>
      <c r="CB186" s="9">
        <f t="shared" si="712"/>
        <v>1.7129369207551171</v>
      </c>
      <c r="CC186" s="9">
        <f t="shared" si="713"/>
        <v>2.013526344180657</v>
      </c>
      <c r="CD186" s="9">
        <v>1</v>
      </c>
      <c r="CE186" s="9" t="e">
        <f>4*CC186*#REF!+60*CC186</f>
        <v>#REF!</v>
      </c>
      <c r="CG186" s="4" t="e">
        <f t="shared" si="714"/>
        <v>#REF!</v>
      </c>
      <c r="CH186" s="4" t="e">
        <f t="shared" si="715"/>
        <v>#REF!</v>
      </c>
      <c r="CI186" s="4" t="e">
        <f t="shared" si="716"/>
        <v>#REF!</v>
      </c>
      <c r="CJ186" s="4" t="e">
        <f t="shared" si="717"/>
        <v>#REF!</v>
      </c>
      <c r="CK186" s="4">
        <f t="shared" si="718"/>
        <v>1.0755836101514773</v>
      </c>
      <c r="CL186" s="4">
        <f t="shared" si="719"/>
        <v>1.1362985571149462</v>
      </c>
      <c r="CM186" s="4">
        <f t="shared" si="720"/>
        <v>1.4623814188213276</v>
      </c>
      <c r="CO186" s="4" t="e">
        <f>CG186</f>
        <v>#REF!</v>
      </c>
      <c r="CP186" s="4" t="e">
        <f>CH186</f>
        <v>#REF!</v>
      </c>
      <c r="CQ186" s="4" t="e">
        <f>CJ186</f>
        <v>#REF!</v>
      </c>
      <c r="CR186" s="4">
        <f t="shared" si="783"/>
        <v>1.4623814188213276</v>
      </c>
      <c r="CS186" s="4">
        <f>CK186</f>
        <v>1.0755836101514773</v>
      </c>
      <c r="CT186" s="4">
        <f>CL186</f>
        <v>1.1362985571149462</v>
      </c>
      <c r="DB186" s="4">
        <f t="shared" si="722"/>
        <v>0</v>
      </c>
      <c r="DC186" s="4" t="e">
        <f>#REF!</f>
        <v>#REF!</v>
      </c>
      <c r="DF186" s="4">
        <f t="shared" si="723"/>
        <v>2.0582334451428195E-5</v>
      </c>
      <c r="DG186" s="4">
        <f t="shared" si="724"/>
        <v>5.8902461748215584</v>
      </c>
      <c r="DH186" s="4">
        <f t="shared" si="725"/>
        <v>0.35860765899432934</v>
      </c>
      <c r="DI186" s="4">
        <f t="shared" si="726"/>
        <v>3.9082404040937933</v>
      </c>
      <c r="DJ186" s="4">
        <f t="shared" si="727"/>
        <v>4.9988583382791711</v>
      </c>
      <c r="DK186" s="4">
        <f t="shared" si="728"/>
        <v>5.3110039929911856</v>
      </c>
      <c r="DL186" s="38">
        <f t="shared" si="729"/>
        <v>341.21010820192248</v>
      </c>
      <c r="DM186" s="4" t="e">
        <f t="shared" si="730"/>
        <v>#REF!</v>
      </c>
      <c r="DN186" s="4">
        <f t="shared" si="731"/>
        <v>2.2360679774997898</v>
      </c>
      <c r="DO186" s="4">
        <f t="shared" si="776"/>
        <v>147.88910147691104</v>
      </c>
      <c r="DS186" s="4">
        <f t="shared" si="733"/>
        <v>1</v>
      </c>
      <c r="DT186" s="4">
        <f t="shared" si="734"/>
        <v>1</v>
      </c>
      <c r="DU186" s="4">
        <f t="shared" si="735"/>
        <v>1</v>
      </c>
      <c r="DV186" s="4">
        <f t="shared" si="736"/>
        <v>1</v>
      </c>
      <c r="DX186" s="4">
        <f t="shared" si="737"/>
        <v>322.97849689417046</v>
      </c>
      <c r="DY186" s="25">
        <f t="shared" si="738"/>
        <v>146.27111164952376</v>
      </c>
      <c r="EB186" s="4">
        <f t="shared" si="739"/>
        <v>5.8902461748215584</v>
      </c>
      <c r="EE186" s="4">
        <f t="shared" si="740"/>
        <v>128.12669511073796</v>
      </c>
      <c r="EF186" s="4">
        <f t="shared" si="741"/>
        <v>2.2360679774997898</v>
      </c>
      <c r="EG186" s="4">
        <f t="shared" si="742"/>
        <v>0.14058415851154979</v>
      </c>
      <c r="EJ186" s="4">
        <f t="shared" si="743"/>
        <v>0.14058415851154979</v>
      </c>
      <c r="EK186" s="4">
        <f t="shared" si="744"/>
        <v>0.3580092096468499</v>
      </c>
      <c r="EL186" s="4">
        <f t="shared" si="745"/>
        <v>3.9056302468897819</v>
      </c>
      <c r="EM186" s="4">
        <f t="shared" si="746"/>
        <v>4.9978404724563692</v>
      </c>
      <c r="EN186" s="4" t="e">
        <f t="shared" si="747"/>
        <v>#REF!</v>
      </c>
      <c r="EO186" s="4" t="e">
        <f t="shared" si="748"/>
        <v>#REF!</v>
      </c>
      <c r="EP186" s="4" t="e">
        <f t="shared" si="749"/>
        <v>#REF!</v>
      </c>
      <c r="EQ186" s="4" t="e">
        <f t="shared" si="750"/>
        <v>#REF!</v>
      </c>
      <c r="ER186" s="4" t="e">
        <f t="shared" si="751"/>
        <v>#REF!</v>
      </c>
      <c r="FA186" s="23" t="e">
        <f t="shared" si="752"/>
        <v>#REF!</v>
      </c>
      <c r="FB186" s="23" t="e">
        <f t="shared" si="753"/>
        <v>#REF!</v>
      </c>
      <c r="FC186" s="23">
        <f t="shared" si="754"/>
        <v>1.6</v>
      </c>
      <c r="FD186" s="23" t="e">
        <f t="shared" si="755"/>
        <v>#REF!</v>
      </c>
      <c r="FE186" s="23">
        <f t="shared" si="756"/>
        <v>1.2</v>
      </c>
      <c r="FF186" s="23">
        <f t="shared" si="757"/>
        <v>1.2</v>
      </c>
      <c r="FG186" s="23">
        <f t="shared" si="758"/>
        <v>0</v>
      </c>
      <c r="FH186" s="23"/>
      <c r="FR186" s="4">
        <f t="shared" si="607"/>
        <v>1.25</v>
      </c>
      <c r="FS186" s="4">
        <f t="shared" si="608"/>
        <v>0.56666666666666665</v>
      </c>
      <c r="FT186" s="4">
        <f t="shared" si="609"/>
        <v>0</v>
      </c>
      <c r="FU186" s="4">
        <f t="shared" si="610"/>
        <v>250.9605191071152</v>
      </c>
    </row>
    <row r="187" spans="2:177" ht="12" customHeight="1" x14ac:dyDescent="0.3">
      <c r="B187" s="24"/>
      <c r="C187" s="4" t="s">
        <v>172</v>
      </c>
      <c r="D187" s="7">
        <v>583</v>
      </c>
      <c r="E187" s="7">
        <f t="shared" ref="E187:E188" si="785">10*G187</f>
        <v>573</v>
      </c>
      <c r="F187" s="7">
        <v>51.4</v>
      </c>
      <c r="G187" s="37">
        <v>57.3</v>
      </c>
      <c r="H187" s="7">
        <f t="shared" si="680"/>
        <v>584.46</v>
      </c>
      <c r="I187" s="7">
        <f t="shared" si="778"/>
        <v>57.3</v>
      </c>
      <c r="J187" s="7">
        <f t="shared" si="759"/>
        <v>56</v>
      </c>
      <c r="K187" s="7">
        <f t="shared" si="779"/>
        <v>355.26</v>
      </c>
      <c r="L187" s="7">
        <v>2</v>
      </c>
      <c r="M187" s="7">
        <f t="shared" si="780"/>
        <v>289</v>
      </c>
      <c r="N187" s="7">
        <f t="shared" si="684"/>
        <v>1.5</v>
      </c>
      <c r="O187" s="7">
        <f t="shared" si="685"/>
        <v>1.5</v>
      </c>
      <c r="P187" s="7">
        <f t="shared" si="784"/>
        <v>4</v>
      </c>
      <c r="Q187" s="7">
        <f t="shared" si="784"/>
        <v>4</v>
      </c>
      <c r="R187" s="7">
        <f t="shared" si="686"/>
        <v>5</v>
      </c>
      <c r="S187" s="7">
        <f t="shared" si="687"/>
        <v>128.12669511073796</v>
      </c>
      <c r="T187" s="7">
        <f t="shared" si="688"/>
        <v>583</v>
      </c>
      <c r="U187" s="7">
        <v>25</v>
      </c>
      <c r="V187" s="7">
        <f>(470+475)/2</f>
        <v>472.5</v>
      </c>
      <c r="W187" s="7"/>
      <c r="X187" s="4">
        <f t="shared" si="689"/>
        <v>1.3714309698264442</v>
      </c>
      <c r="Y187" s="7">
        <v>15.9</v>
      </c>
      <c r="Z187" s="7">
        <v>2</v>
      </c>
      <c r="AA187" s="7">
        <v>275</v>
      </c>
      <c r="AB187" s="7">
        <v>4</v>
      </c>
      <c r="AC187" s="7">
        <f>Z187</f>
        <v>2</v>
      </c>
      <c r="AD187" s="7">
        <f t="shared" si="690"/>
        <v>4.166666666666667</v>
      </c>
      <c r="AE187" s="4">
        <f t="shared" si="691"/>
        <v>573</v>
      </c>
      <c r="AF187" s="4">
        <f t="shared" si="692"/>
        <v>0.34</v>
      </c>
      <c r="AG187" s="4">
        <f t="shared" si="693"/>
        <v>190.67088022808852</v>
      </c>
      <c r="AH187" s="4">
        <f t="shared" si="694"/>
        <v>0.73</v>
      </c>
      <c r="AI187" s="4">
        <v>1.25</v>
      </c>
      <c r="AJ187" s="4">
        <f t="shared" si="760"/>
        <v>2.5</v>
      </c>
      <c r="AK187" s="38">
        <f t="shared" si="761"/>
        <v>147.88910147691115</v>
      </c>
      <c r="AL187" s="38">
        <f t="shared" si="762"/>
        <v>147.88910147691115</v>
      </c>
      <c r="AM187" s="38">
        <f t="shared" si="695"/>
        <v>4.107079761979672</v>
      </c>
      <c r="AN187" s="38">
        <f t="shared" si="640"/>
        <v>147.88910147691104</v>
      </c>
      <c r="AO187" s="38">
        <f t="shared" si="548"/>
        <v>1.0000000000000007</v>
      </c>
      <c r="AP187" s="38">
        <f t="shared" si="641"/>
        <v>2.0853463637288274</v>
      </c>
      <c r="AQ187" s="4">
        <f t="shared" si="642"/>
        <v>0</v>
      </c>
      <c r="AR187" s="4" t="e">
        <f>#REF!/G187*F187^0.5/0.19</f>
        <v>#REF!</v>
      </c>
      <c r="AS187" s="4">
        <f t="shared" si="696"/>
        <v>1</v>
      </c>
      <c r="AT187" s="38">
        <f t="shared" si="697"/>
        <v>308.39999999999998</v>
      </c>
      <c r="AU187" s="4">
        <f t="shared" si="698"/>
        <v>0.44000000000000006</v>
      </c>
      <c r="AV187" s="4" t="e">
        <f>AU187*D187*#REF!/(D187*G187/2.75/F187^0.5)</f>
        <v>#REF!</v>
      </c>
      <c r="AW187" s="4" t="e">
        <f t="shared" si="699"/>
        <v>#REF!</v>
      </c>
      <c r="AY187" s="4">
        <f t="shared" si="700"/>
        <v>1.201612194511575</v>
      </c>
      <c r="AZ187" s="4" t="e">
        <f>(3*#REF!+30)*AY187*F187^0.5</f>
        <v>#REF!</v>
      </c>
      <c r="BB187" s="4">
        <f t="shared" si="701"/>
        <v>295.79331486241767</v>
      </c>
      <c r="BC187" s="4">
        <f t="shared" si="702"/>
        <v>450.3525339151019</v>
      </c>
      <c r="BD187" s="4">
        <f t="shared" si="703"/>
        <v>1.5225243820151051</v>
      </c>
      <c r="BL187" s="4">
        <f t="shared" si="704"/>
        <v>57.3</v>
      </c>
      <c r="BP187" s="9"/>
      <c r="BR187" s="9"/>
      <c r="BS187" s="9"/>
      <c r="BT187" s="9">
        <f t="shared" si="705"/>
        <v>56</v>
      </c>
      <c r="BU187" s="9">
        <f t="shared" si="706"/>
        <v>177.63</v>
      </c>
      <c r="BV187" s="9">
        <f t="shared" si="707"/>
        <v>1.1754818988273255</v>
      </c>
      <c r="BW187" s="9">
        <v>20</v>
      </c>
      <c r="BX187" s="9">
        <f t="shared" si="708"/>
        <v>2.5201524313946871E-2</v>
      </c>
      <c r="BY187" s="9">
        <f t="shared" si="709"/>
        <v>0.30403048627893742</v>
      </c>
      <c r="BZ187" s="9">
        <f t="shared" si="710"/>
        <v>0.77971450958075206</v>
      </c>
      <c r="CA187" s="9">
        <f t="shared" si="711"/>
        <v>0.87549999999999994</v>
      </c>
      <c r="CB187" s="9">
        <f t="shared" si="712"/>
        <v>1.7129369207551171</v>
      </c>
      <c r="CC187" s="9">
        <f t="shared" si="713"/>
        <v>2.5343113891629807</v>
      </c>
      <c r="CD187" s="9">
        <v>1</v>
      </c>
      <c r="CE187" s="9" t="e">
        <f>4*CC187*#REF!+60*CC187</f>
        <v>#REF!</v>
      </c>
      <c r="CG187" s="4" t="e">
        <f t="shared" si="714"/>
        <v>#REF!</v>
      </c>
      <c r="CH187" s="4" t="e">
        <f t="shared" si="715"/>
        <v>#REF!</v>
      </c>
      <c r="CI187" s="4" t="e">
        <f t="shared" si="716"/>
        <v>#REF!</v>
      </c>
      <c r="CJ187" s="4" t="e">
        <f t="shared" si="717"/>
        <v>#REF!</v>
      </c>
      <c r="CK187" s="4">
        <f t="shared" si="718"/>
        <v>1.3714309698264442</v>
      </c>
      <c r="CL187" s="4">
        <f t="shared" si="719"/>
        <v>1.4489090299456451</v>
      </c>
      <c r="CM187" s="4">
        <f t="shared" si="720"/>
        <v>1.2315922030510305</v>
      </c>
      <c r="CU187" s="4" t="e">
        <f>CG187</f>
        <v>#REF!</v>
      </c>
      <c r="CV187" s="4" t="e">
        <f>CH187</f>
        <v>#REF!</v>
      </c>
      <c r="CW187" s="4" t="e">
        <f>CJ187</f>
        <v>#REF!</v>
      </c>
      <c r="CX187" s="4">
        <f t="shared" ref="CX187" si="786">CM187</f>
        <v>1.2315922030510305</v>
      </c>
      <c r="CY187" s="4">
        <f>CK187</f>
        <v>1.3714309698264442</v>
      </c>
      <c r="CZ187" s="4">
        <f>CL187</f>
        <v>1.4489090299456451</v>
      </c>
      <c r="DB187" s="4">
        <f t="shared" si="722"/>
        <v>2</v>
      </c>
      <c r="DC187" s="4" t="e">
        <f>#REF!</f>
        <v>#REF!</v>
      </c>
      <c r="DF187" s="4">
        <f t="shared" si="723"/>
        <v>2.0582334451428195E-5</v>
      </c>
      <c r="DG187" s="4">
        <f t="shared" si="724"/>
        <v>5.99454394365008</v>
      </c>
      <c r="DH187" s="4">
        <f t="shared" si="725"/>
        <v>0.35860765899432934</v>
      </c>
      <c r="DI187" s="4">
        <f t="shared" si="726"/>
        <v>3.9774430727250092</v>
      </c>
      <c r="DJ187" s="4">
        <f t="shared" si="727"/>
        <v>5.0873724268075948</v>
      </c>
      <c r="DK187" s="4">
        <f t="shared" si="728"/>
        <v>5.3947883136519268</v>
      </c>
      <c r="DL187" s="38">
        <f t="shared" si="729"/>
        <v>344.53064747385378</v>
      </c>
      <c r="DM187" s="4" t="e">
        <f t="shared" si="730"/>
        <v>#REF!</v>
      </c>
      <c r="DN187" s="4">
        <f t="shared" si="731"/>
        <v>2.2360679774997898</v>
      </c>
      <c r="DO187" s="4">
        <f t="shared" si="776"/>
        <v>147.88910147691104</v>
      </c>
      <c r="DS187" s="4">
        <f t="shared" si="733"/>
        <v>1</v>
      </c>
      <c r="DT187" s="4">
        <f t="shared" si="734"/>
        <v>1</v>
      </c>
      <c r="DU187" s="4">
        <f t="shared" si="735"/>
        <v>0.9826012170719004</v>
      </c>
      <c r="DV187" s="4">
        <f t="shared" si="736"/>
        <v>0.9826012170719004</v>
      </c>
      <c r="DX187" s="4">
        <f t="shared" si="737"/>
        <v>326.10742995902615</v>
      </c>
      <c r="DY187" s="25">
        <f t="shared" si="738"/>
        <v>146.27111164952376</v>
      </c>
      <c r="EB187" s="4">
        <f t="shared" si="739"/>
        <v>5.99454394365008</v>
      </c>
      <c r="EE187" s="4">
        <f t="shared" si="740"/>
        <v>128.12669511073796</v>
      </c>
      <c r="EF187" s="4">
        <f t="shared" si="741"/>
        <v>2.2360679774997898</v>
      </c>
      <c r="EG187" s="4">
        <f t="shared" si="742"/>
        <v>0.14058415851154979</v>
      </c>
      <c r="EJ187" s="4">
        <f t="shared" si="743"/>
        <v>0.14058415851154979</v>
      </c>
      <c r="EK187" s="4">
        <f t="shared" si="744"/>
        <v>0.3580092096468499</v>
      </c>
      <c r="EL187" s="4">
        <f t="shared" si="745"/>
        <v>3.9747866978308384</v>
      </c>
      <c r="EM187" s="4">
        <f t="shared" si="746"/>
        <v>5.0863365377764023</v>
      </c>
      <c r="EN187" s="4" t="e">
        <f t="shared" si="747"/>
        <v>#REF!</v>
      </c>
      <c r="EO187" s="4" t="e">
        <f t="shared" si="748"/>
        <v>#REF!</v>
      </c>
      <c r="EP187" s="4" t="e">
        <f t="shared" si="749"/>
        <v>#REF!</v>
      </c>
      <c r="EQ187" s="4" t="e">
        <f t="shared" si="750"/>
        <v>#REF!</v>
      </c>
      <c r="ER187" s="4" t="e">
        <f t="shared" si="751"/>
        <v>#REF!</v>
      </c>
      <c r="FA187" s="23" t="e">
        <f t="shared" si="752"/>
        <v>#REF!</v>
      </c>
      <c r="FB187" s="23" t="e">
        <f t="shared" si="753"/>
        <v>#REF!</v>
      </c>
      <c r="FC187" s="23">
        <f t="shared" si="754"/>
        <v>1.4</v>
      </c>
      <c r="FD187" s="23" t="e">
        <f t="shared" si="755"/>
        <v>#REF!</v>
      </c>
      <c r="FE187" s="23">
        <f t="shared" si="756"/>
        <v>1.4</v>
      </c>
      <c r="FF187" s="23">
        <f t="shared" si="757"/>
        <v>1.6</v>
      </c>
      <c r="FG187" s="23">
        <f t="shared" si="758"/>
        <v>0</v>
      </c>
      <c r="FH187" s="23"/>
      <c r="FR187" s="4">
        <f t="shared" si="607"/>
        <v>1.25</v>
      </c>
      <c r="FS187" s="4">
        <f t="shared" si="608"/>
        <v>0.37067917575318227</v>
      </c>
      <c r="FT187" s="4">
        <f t="shared" si="609"/>
        <v>0.3</v>
      </c>
      <c r="FU187" s="4">
        <f t="shared" si="610"/>
        <v>383.64971687014014</v>
      </c>
    </row>
    <row r="188" spans="2:177" ht="12" customHeight="1" x14ac:dyDescent="0.3">
      <c r="B188" s="24"/>
      <c r="C188" s="4" t="s">
        <v>173</v>
      </c>
      <c r="D188" s="7">
        <v>583</v>
      </c>
      <c r="E188" s="7">
        <f t="shared" si="785"/>
        <v>573</v>
      </c>
      <c r="F188" s="7">
        <v>76.900000000000006</v>
      </c>
      <c r="G188" s="37">
        <v>57.3</v>
      </c>
      <c r="H188" s="7">
        <f t="shared" si="680"/>
        <v>584.46</v>
      </c>
      <c r="I188" s="7">
        <f t="shared" si="778"/>
        <v>57.3</v>
      </c>
      <c r="J188" s="7">
        <f t="shared" si="759"/>
        <v>56</v>
      </c>
      <c r="K188" s="7">
        <f t="shared" si="779"/>
        <v>355.26</v>
      </c>
      <c r="L188" s="7">
        <v>2</v>
      </c>
      <c r="M188" s="7">
        <f t="shared" si="780"/>
        <v>289</v>
      </c>
      <c r="N188" s="7">
        <f t="shared" si="684"/>
        <v>1.5</v>
      </c>
      <c r="O188" s="7">
        <f t="shared" si="685"/>
        <v>1.5</v>
      </c>
      <c r="P188" s="7">
        <f t="shared" si="784"/>
        <v>4</v>
      </c>
      <c r="Q188" s="7">
        <f t="shared" si="784"/>
        <v>4</v>
      </c>
      <c r="R188" s="7">
        <f t="shared" si="686"/>
        <v>5</v>
      </c>
      <c r="S188" s="7">
        <f t="shared" si="687"/>
        <v>128.12669511073796</v>
      </c>
      <c r="T188" s="7">
        <f t="shared" si="688"/>
        <v>583</v>
      </c>
      <c r="U188" s="7">
        <v>25</v>
      </c>
      <c r="V188" s="7">
        <f>(445+445)/2</f>
        <v>445</v>
      </c>
      <c r="W188" s="7"/>
      <c r="X188" s="4">
        <f t="shared" si="689"/>
        <v>1.0895526539249616</v>
      </c>
      <c r="Y188" s="7"/>
      <c r="Z188" s="7"/>
      <c r="AA188" s="7">
        <v>1</v>
      </c>
      <c r="AB188" s="7"/>
      <c r="AC188" s="7"/>
      <c r="AD188" s="7">
        <f t="shared" si="690"/>
        <v>4.166666666666667</v>
      </c>
      <c r="AE188" s="4">
        <f t="shared" si="691"/>
        <v>573</v>
      </c>
      <c r="AF188" s="4">
        <f t="shared" si="692"/>
        <v>0.34</v>
      </c>
      <c r="AG188" s="4">
        <f t="shared" si="693"/>
        <v>233.220102499962</v>
      </c>
      <c r="AH188" s="4">
        <f t="shared" si="694"/>
        <v>0.73</v>
      </c>
      <c r="AI188" s="4">
        <v>1.25</v>
      </c>
      <c r="AJ188" s="4">
        <f t="shared" si="760"/>
        <v>2.5</v>
      </c>
      <c r="AK188" s="38">
        <f t="shared" si="761"/>
        <v>180.89134200153302</v>
      </c>
      <c r="AL188" s="38">
        <f t="shared" si="762"/>
        <v>180.89134200153302</v>
      </c>
      <c r="AM188" s="38">
        <f t="shared" si="695"/>
        <v>4.7705058587582929</v>
      </c>
      <c r="AN188" s="38">
        <f t="shared" si="640"/>
        <v>180.89134200153285</v>
      </c>
      <c r="AO188" s="38">
        <f t="shared" si="548"/>
        <v>1.0000000000000009</v>
      </c>
      <c r="AP188" s="38">
        <f t="shared" si="641"/>
        <v>2.550702509554549</v>
      </c>
      <c r="AQ188" s="4">
        <f t="shared" si="642"/>
        <v>0</v>
      </c>
      <c r="AR188" s="4" t="e">
        <f>#REF!/G188*F188^0.5/0.19</f>
        <v>#REF!</v>
      </c>
      <c r="AS188" s="4">
        <f t="shared" si="696"/>
        <v>1</v>
      </c>
      <c r="AT188" s="38">
        <f t="shared" si="697"/>
        <v>461.40000000000003</v>
      </c>
      <c r="AU188" s="4">
        <f t="shared" si="698"/>
        <v>0.44000000000000006</v>
      </c>
      <c r="AV188" s="4" t="e">
        <f>AU188*D188*#REF!/(D188*G188/2.75/F188^0.5)</f>
        <v>#REF!</v>
      </c>
      <c r="AW188" s="4" t="e">
        <f t="shared" si="699"/>
        <v>#REF!</v>
      </c>
      <c r="AY188" s="4">
        <f t="shared" si="700"/>
        <v>1</v>
      </c>
      <c r="AZ188" s="4" t="e">
        <f>(3*#REF!+30)*AY188*F188^0.5</f>
        <v>#REF!</v>
      </c>
      <c r="BB188" s="4">
        <f t="shared" si="701"/>
        <v>442.53902554318915</v>
      </c>
      <c r="BC188" s="4">
        <f t="shared" si="702"/>
        <v>450.3525339151019</v>
      </c>
      <c r="BD188" s="4">
        <f t="shared" si="703"/>
        <v>1.0176560888891599</v>
      </c>
      <c r="BL188" s="4">
        <f t="shared" si="704"/>
        <v>57.3</v>
      </c>
      <c r="BP188" s="9"/>
      <c r="BR188" s="9"/>
      <c r="BS188" s="9"/>
      <c r="BT188" s="9">
        <f t="shared" si="705"/>
        <v>56</v>
      </c>
      <c r="BU188" s="9">
        <f t="shared" si="706"/>
        <v>177.63</v>
      </c>
      <c r="BV188" s="9">
        <f t="shared" si="707"/>
        <v>1.1754818988273255</v>
      </c>
      <c r="BW188" s="9">
        <v>0</v>
      </c>
      <c r="BX188" s="9">
        <f t="shared" si="708"/>
        <v>0</v>
      </c>
      <c r="BY188" s="9">
        <f t="shared" si="709"/>
        <v>0</v>
      </c>
      <c r="BZ188" s="9">
        <f t="shared" si="710"/>
        <v>0.77971450958075206</v>
      </c>
      <c r="CA188" s="9">
        <f t="shared" si="711"/>
        <v>0.87549999999999994</v>
      </c>
      <c r="CB188" s="9">
        <f t="shared" si="712"/>
        <v>2.0951879162491376</v>
      </c>
      <c r="CC188" s="9">
        <f t="shared" si="713"/>
        <v>2.4628554701926038</v>
      </c>
      <c r="CD188" s="9">
        <v>1</v>
      </c>
      <c r="CE188" s="9" t="e">
        <f>4*CC188*#REF!+60*CC188</f>
        <v>#REF!</v>
      </c>
      <c r="CG188" s="4" t="e">
        <f t="shared" si="714"/>
        <v>#REF!</v>
      </c>
      <c r="CH188" s="4" t="e">
        <f t="shared" si="715"/>
        <v>#REF!</v>
      </c>
      <c r="CI188" s="4" t="e">
        <f t="shared" si="716"/>
        <v>#REF!</v>
      </c>
      <c r="CJ188" s="4" t="e">
        <f t="shared" si="717"/>
        <v>#REF!</v>
      </c>
      <c r="CK188" s="4">
        <f t="shared" si="718"/>
        <v>1.0895526539249616</v>
      </c>
      <c r="CL188" s="4">
        <f t="shared" si="719"/>
        <v>1.1264315123772384</v>
      </c>
      <c r="CM188" s="4">
        <f t="shared" si="720"/>
        <v>1.6032963421957998</v>
      </c>
      <c r="CO188" s="4" t="e">
        <f>CG188</f>
        <v>#REF!</v>
      </c>
      <c r="CP188" s="4" t="e">
        <f>CH188</f>
        <v>#REF!</v>
      </c>
      <c r="CQ188" s="4" t="e">
        <f>CJ188</f>
        <v>#REF!</v>
      </c>
      <c r="CR188" s="4">
        <f t="shared" ref="CR188:CR189" si="787">CM188</f>
        <v>1.6032963421957998</v>
      </c>
      <c r="CS188" s="4">
        <f>CK188</f>
        <v>1.0895526539249616</v>
      </c>
      <c r="CT188" s="4">
        <f>CL188</f>
        <v>1.1264315123772384</v>
      </c>
      <c r="DB188" s="4">
        <f t="shared" si="722"/>
        <v>0</v>
      </c>
      <c r="DC188" s="4" t="e">
        <f>#REF!</f>
        <v>#REF!</v>
      </c>
      <c r="DF188" s="4">
        <f t="shared" si="723"/>
        <v>2.4052911710985851E-5</v>
      </c>
      <c r="DG188" s="4">
        <f t="shared" si="724"/>
        <v>7.2046859751136969</v>
      </c>
      <c r="DH188" s="4">
        <f t="shared" si="725"/>
        <v>0.2931824369513521</v>
      </c>
      <c r="DI188" s="4">
        <f t="shared" si="726"/>
        <v>4.4103213681169242</v>
      </c>
      <c r="DJ188" s="4">
        <f t="shared" si="727"/>
        <v>5.9741190834231039</v>
      </c>
      <c r="DK188" s="4">
        <f t="shared" si="728"/>
        <v>6.2296619398373565</v>
      </c>
      <c r="DL188" s="38">
        <f t="shared" si="729"/>
        <v>408.42450192466561</v>
      </c>
      <c r="DM188" s="4" t="e">
        <f t="shared" si="730"/>
        <v>#REF!</v>
      </c>
      <c r="DN188" s="4">
        <f t="shared" si="731"/>
        <v>2.2360679774997898</v>
      </c>
      <c r="DO188" s="4">
        <f t="shared" si="776"/>
        <v>180.89134200153285</v>
      </c>
      <c r="DS188" s="4">
        <f t="shared" si="733"/>
        <v>1</v>
      </c>
      <c r="DT188" s="4">
        <f t="shared" si="734"/>
        <v>1</v>
      </c>
      <c r="DU188" s="4">
        <f t="shared" si="735"/>
        <v>1</v>
      </c>
      <c r="DV188" s="4">
        <f t="shared" si="736"/>
        <v>1</v>
      </c>
      <c r="DX188" s="4">
        <f t="shared" si="737"/>
        <v>395.05286838155405</v>
      </c>
      <c r="DY188" s="25">
        <f t="shared" si="738"/>
        <v>178.9122891281431</v>
      </c>
      <c r="EB188" s="4">
        <f t="shared" si="739"/>
        <v>7.2046859751136969</v>
      </c>
      <c r="EE188" s="4">
        <f t="shared" si="740"/>
        <v>128.12669511073796</v>
      </c>
      <c r="EF188" s="4">
        <f t="shared" si="741"/>
        <v>2.2360679774997898</v>
      </c>
      <c r="EG188" s="4">
        <f t="shared" si="742"/>
        <v>0.14058415851154979</v>
      </c>
      <c r="EJ188" s="4">
        <f t="shared" si="743"/>
        <v>0.14058415851154979</v>
      </c>
      <c r="EK188" s="4">
        <f t="shared" si="744"/>
        <v>0.2926931701058586</v>
      </c>
      <c r="EL188" s="4">
        <f t="shared" si="745"/>
        <v>4.4073758911501191</v>
      </c>
      <c r="EM188" s="4">
        <f t="shared" si="746"/>
        <v>5.9730363357603444</v>
      </c>
      <c r="EN188" s="4" t="e">
        <f t="shared" si="747"/>
        <v>#REF!</v>
      </c>
      <c r="EO188" s="4" t="e">
        <f t="shared" si="748"/>
        <v>#REF!</v>
      </c>
      <c r="EP188" s="4" t="e">
        <f t="shared" si="749"/>
        <v>#REF!</v>
      </c>
      <c r="EQ188" s="4" t="e">
        <f t="shared" si="750"/>
        <v>#REF!</v>
      </c>
      <c r="ER188" s="4" t="e">
        <f t="shared" si="751"/>
        <v>#REF!</v>
      </c>
      <c r="FA188" s="23" t="e">
        <f t="shared" si="752"/>
        <v>#REF!</v>
      </c>
      <c r="FB188" s="23" t="e">
        <f t="shared" si="753"/>
        <v>#REF!</v>
      </c>
      <c r="FC188" s="23">
        <f t="shared" si="754"/>
        <v>1.8</v>
      </c>
      <c r="FD188" s="23" t="e">
        <f t="shared" si="755"/>
        <v>#REF!</v>
      </c>
      <c r="FE188" s="23">
        <f t="shared" si="756"/>
        <v>1.2</v>
      </c>
      <c r="FF188" s="23">
        <f t="shared" si="757"/>
        <v>1.2</v>
      </c>
      <c r="FG188" s="23">
        <f t="shared" si="758"/>
        <v>0</v>
      </c>
      <c r="FH188" s="23"/>
      <c r="FR188" s="4">
        <f t="shared" si="607"/>
        <v>1.25</v>
      </c>
      <c r="FS188" s="4">
        <f t="shared" si="608"/>
        <v>0.56666666666666665</v>
      </c>
      <c r="FT188" s="4">
        <f t="shared" si="609"/>
        <v>0</v>
      </c>
      <c r="FU188" s="4">
        <f t="shared" si="610"/>
        <v>277.55318108600483</v>
      </c>
    </row>
    <row r="189" spans="2:177" ht="12" customHeight="1" x14ac:dyDescent="0.3">
      <c r="B189" s="24"/>
      <c r="C189" s="4" t="s">
        <v>174</v>
      </c>
      <c r="D189" s="7">
        <v>583</v>
      </c>
      <c r="E189" s="7">
        <f t="shared" ref="E189:E193" si="788">13*G189</f>
        <v>744.9</v>
      </c>
      <c r="F189" s="7">
        <v>40.5</v>
      </c>
      <c r="G189" s="37">
        <v>57.3</v>
      </c>
      <c r="H189" s="7">
        <f t="shared" si="680"/>
        <v>584.46</v>
      </c>
      <c r="I189" s="7">
        <f t="shared" si="778"/>
        <v>57.3</v>
      </c>
      <c r="J189" s="7">
        <f t="shared" si="759"/>
        <v>56</v>
      </c>
      <c r="K189" s="7">
        <f t="shared" si="779"/>
        <v>355.26</v>
      </c>
      <c r="L189" s="7">
        <v>2</v>
      </c>
      <c r="M189" s="7">
        <f t="shared" ref="M189:M195" si="789">2/3*E189-0.5*240</f>
        <v>376.59999999999997</v>
      </c>
      <c r="N189" s="7">
        <f t="shared" si="684"/>
        <v>1.5</v>
      </c>
      <c r="O189" s="7">
        <f t="shared" si="685"/>
        <v>1.5</v>
      </c>
      <c r="P189" s="7">
        <f t="shared" si="784"/>
        <v>4</v>
      </c>
      <c r="Q189" s="7">
        <f t="shared" si="784"/>
        <v>4</v>
      </c>
      <c r="R189" s="7">
        <f t="shared" si="686"/>
        <v>5</v>
      </c>
      <c r="S189" s="7">
        <f t="shared" si="687"/>
        <v>128.12669511073796</v>
      </c>
      <c r="T189" s="7">
        <f t="shared" si="688"/>
        <v>583</v>
      </c>
      <c r="U189" s="7">
        <v>25</v>
      </c>
      <c r="V189" s="7">
        <f>(439+439)/2</f>
        <v>439</v>
      </c>
      <c r="W189" s="7"/>
      <c r="X189" s="4">
        <f t="shared" si="689"/>
        <v>1.1605850652682879</v>
      </c>
      <c r="Y189" s="7"/>
      <c r="Z189" s="7"/>
      <c r="AA189" s="7">
        <v>1</v>
      </c>
      <c r="AB189" s="7"/>
      <c r="AC189" s="7"/>
      <c r="AD189" s="7">
        <f t="shared" si="690"/>
        <v>5.4166666666666661</v>
      </c>
      <c r="AE189" s="4">
        <f t="shared" si="691"/>
        <v>744.9</v>
      </c>
      <c r="AF189" s="4">
        <f t="shared" si="692"/>
        <v>0.2615384615384615</v>
      </c>
      <c r="AG189" s="4">
        <f t="shared" si="693"/>
        <v>250.86804884585459</v>
      </c>
      <c r="AH189" s="4">
        <f t="shared" si="694"/>
        <v>0.72307692307692306</v>
      </c>
      <c r="AI189" s="4">
        <v>1.25</v>
      </c>
      <c r="AJ189" s="4">
        <f t="shared" si="760"/>
        <v>2.5</v>
      </c>
      <c r="AK189" s="38">
        <f t="shared" si="761"/>
        <v>148.25707916260191</v>
      </c>
      <c r="AL189" s="38">
        <f t="shared" si="762"/>
        <v>148.25707916260191</v>
      </c>
      <c r="AM189" s="38">
        <f t="shared" si="695"/>
        <v>3.538000882182009</v>
      </c>
      <c r="AN189" s="38">
        <f t="shared" si="640"/>
        <v>148.25707916260185</v>
      </c>
      <c r="AO189" s="38">
        <f t="shared" si="548"/>
        <v>1.0000000000000004</v>
      </c>
      <c r="AP189" s="38">
        <f t="shared" si="641"/>
        <v>1.6390448359871455</v>
      </c>
      <c r="AQ189" s="4">
        <f t="shared" si="642"/>
        <v>0</v>
      </c>
      <c r="AR189" s="4" t="e">
        <f>#REF!/G189*F189^0.5/0.19</f>
        <v>#REF!</v>
      </c>
      <c r="AS189" s="4">
        <f t="shared" si="696"/>
        <v>1</v>
      </c>
      <c r="AT189" s="38">
        <f t="shared" si="697"/>
        <v>243</v>
      </c>
      <c r="AU189" s="4">
        <f t="shared" si="698"/>
        <v>0.44000000000000006</v>
      </c>
      <c r="AV189" s="4" t="e">
        <f>AU189*D189*#REF!/(D189*G189/2.75/F189^0.5)</f>
        <v>#REF!</v>
      </c>
      <c r="AW189" s="4" t="e">
        <f t="shared" si="699"/>
        <v>#REF!</v>
      </c>
      <c r="AY189" s="4">
        <f t="shared" si="700"/>
        <v>1</v>
      </c>
      <c r="AZ189" s="4" t="e">
        <f>(3*#REF!+30)*AY189*F189^0.5</f>
        <v>#REF!</v>
      </c>
      <c r="BB189" s="4">
        <f t="shared" si="701"/>
        <v>233.06671696357813</v>
      </c>
      <c r="BC189" s="4">
        <f t="shared" si="702"/>
        <v>450.3525339151019</v>
      </c>
      <c r="BD189" s="4">
        <f t="shared" si="703"/>
        <v>1.9322902033475655</v>
      </c>
      <c r="BL189" s="4">
        <f t="shared" si="704"/>
        <v>57.3</v>
      </c>
      <c r="BP189" s="9"/>
      <c r="BR189" s="9"/>
      <c r="BS189" s="9"/>
      <c r="BT189" s="9">
        <f t="shared" si="705"/>
        <v>56</v>
      </c>
      <c r="BU189" s="9">
        <f t="shared" si="706"/>
        <v>177.63</v>
      </c>
      <c r="BV189" s="9">
        <f t="shared" si="707"/>
        <v>1.1754818988273255</v>
      </c>
      <c r="BW189" s="9">
        <v>0</v>
      </c>
      <c r="BX189" s="9">
        <f t="shared" si="708"/>
        <v>0</v>
      </c>
      <c r="BY189" s="9">
        <f t="shared" si="709"/>
        <v>0</v>
      </c>
      <c r="BZ189" s="9">
        <f t="shared" si="710"/>
        <v>0.77971450958075206</v>
      </c>
      <c r="CA189" s="9">
        <f t="shared" si="711"/>
        <v>0.87549999999999994</v>
      </c>
      <c r="CB189" s="9">
        <f t="shared" si="712"/>
        <v>1.5205031436526735</v>
      </c>
      <c r="CC189" s="9">
        <f t="shared" si="713"/>
        <v>1.7873239224737623</v>
      </c>
      <c r="CD189" s="9">
        <v>1</v>
      </c>
      <c r="CE189" s="9" t="e">
        <f>4*CC189*#REF!+60*CC189</f>
        <v>#REF!</v>
      </c>
      <c r="CG189" s="4" t="e">
        <f t="shared" si="714"/>
        <v>#REF!</v>
      </c>
      <c r="CH189" s="4" t="e">
        <f t="shared" si="715"/>
        <v>#REF!</v>
      </c>
      <c r="CI189" s="4" t="e">
        <f t="shared" si="716"/>
        <v>#REF!</v>
      </c>
      <c r="CJ189" s="4" t="e">
        <f t="shared" si="717"/>
        <v>#REF!</v>
      </c>
      <c r="CK189" s="4">
        <f t="shared" si="718"/>
        <v>1.1605850652682879</v>
      </c>
      <c r="CL189" s="4">
        <f t="shared" si="719"/>
        <v>1.250702910301895</v>
      </c>
      <c r="CM189" s="4">
        <f t="shared" si="720"/>
        <v>1.4282123621188205</v>
      </c>
      <c r="CO189" s="4" t="e">
        <f>CG189</f>
        <v>#REF!</v>
      </c>
      <c r="CP189" s="4" t="e">
        <f>CH189</f>
        <v>#REF!</v>
      </c>
      <c r="CQ189" s="4" t="e">
        <f>CJ189</f>
        <v>#REF!</v>
      </c>
      <c r="CR189" s="4">
        <f t="shared" si="787"/>
        <v>1.4282123621188205</v>
      </c>
      <c r="CS189" s="4">
        <f>CK189</f>
        <v>1.1605850652682879</v>
      </c>
      <c r="CT189" s="4">
        <f>CL189</f>
        <v>1.250702910301895</v>
      </c>
      <c r="DB189" s="4">
        <f t="shared" si="722"/>
        <v>0</v>
      </c>
      <c r="DC189" s="4" t="e">
        <f>#REF!</f>
        <v>#REF!</v>
      </c>
      <c r="DF189" s="4">
        <f t="shared" si="723"/>
        <v>2.4945063339588324E-5</v>
      </c>
      <c r="DG189" s="4">
        <f t="shared" si="724"/>
        <v>5.2285275173800132</v>
      </c>
      <c r="DH189" s="4">
        <f t="shared" si="725"/>
        <v>0.45625425325155472</v>
      </c>
      <c r="DI189" s="4">
        <f t="shared" si="726"/>
        <v>3.819989493522661</v>
      </c>
      <c r="DJ189" s="4">
        <f t="shared" si="727"/>
        <v>4.5788746518647905</v>
      </c>
      <c r="DK189" s="4">
        <f t="shared" si="728"/>
        <v>4.4778446177325462</v>
      </c>
      <c r="DL189" s="38">
        <f t="shared" si="729"/>
        <v>378.25749541117705</v>
      </c>
      <c r="DM189" s="4" t="e">
        <f t="shared" si="730"/>
        <v>#REF!</v>
      </c>
      <c r="DN189" s="4">
        <f t="shared" si="731"/>
        <v>2.2360679774997898</v>
      </c>
      <c r="DO189" s="4">
        <f t="shared" si="776"/>
        <v>148.25707916260185</v>
      </c>
      <c r="DS189" s="4">
        <f t="shared" si="733"/>
        <v>1</v>
      </c>
      <c r="DT189" s="4">
        <f t="shared" si="734"/>
        <v>1</v>
      </c>
      <c r="DU189" s="4">
        <f t="shared" si="735"/>
        <v>1</v>
      </c>
      <c r="DV189" s="4">
        <f t="shared" si="736"/>
        <v>1</v>
      </c>
      <c r="DX189" s="4">
        <f t="shared" si="737"/>
        <v>351.00262131318948</v>
      </c>
      <c r="DY189" s="25">
        <f t="shared" si="738"/>
        <v>147.09004813536899</v>
      </c>
      <c r="EB189" s="4">
        <f t="shared" si="739"/>
        <v>5.2285275173800132</v>
      </c>
      <c r="EE189" s="4">
        <f t="shared" si="740"/>
        <v>128.12669511073796</v>
      </c>
      <c r="EF189" s="4">
        <f t="shared" si="741"/>
        <v>2.2360679774997898</v>
      </c>
      <c r="EG189" s="4">
        <f t="shared" si="742"/>
        <v>0.15877045999106873</v>
      </c>
      <c r="EJ189" s="4">
        <f t="shared" si="743"/>
        <v>0.15877045999106873</v>
      </c>
      <c r="EK189" s="4">
        <f t="shared" si="744"/>
        <v>0.45549284993711125</v>
      </c>
      <c r="EL189" s="4">
        <f t="shared" si="745"/>
        <v>3.8174382755665395</v>
      </c>
      <c r="EM189" s="4">
        <f t="shared" si="746"/>
        <v>4.5778116928835146</v>
      </c>
      <c r="EN189" s="4" t="e">
        <f t="shared" si="747"/>
        <v>#REF!</v>
      </c>
      <c r="EO189" s="4" t="e">
        <f t="shared" si="748"/>
        <v>#REF!</v>
      </c>
      <c r="EP189" s="4" t="e">
        <f t="shared" si="749"/>
        <v>#REF!</v>
      </c>
      <c r="EQ189" s="4" t="e">
        <f t="shared" si="750"/>
        <v>#REF!</v>
      </c>
      <c r="ER189" s="4" t="e">
        <f t="shared" si="751"/>
        <v>#REF!</v>
      </c>
      <c r="FA189" s="23" t="e">
        <f t="shared" si="752"/>
        <v>#REF!</v>
      </c>
      <c r="FB189" s="23" t="e">
        <f t="shared" si="753"/>
        <v>#REF!</v>
      </c>
      <c r="FC189" s="23">
        <f t="shared" si="754"/>
        <v>1.6</v>
      </c>
      <c r="FD189" s="23" t="e">
        <f t="shared" si="755"/>
        <v>#REF!</v>
      </c>
      <c r="FE189" s="23">
        <f t="shared" si="756"/>
        <v>1.2</v>
      </c>
      <c r="FF189" s="23">
        <f t="shared" si="757"/>
        <v>1.4</v>
      </c>
      <c r="FG189" s="23">
        <f t="shared" si="758"/>
        <v>0</v>
      </c>
      <c r="FH189" s="23"/>
      <c r="FR189" s="4">
        <f t="shared" si="607"/>
        <v>1.25</v>
      </c>
      <c r="FS189" s="4">
        <f t="shared" si="608"/>
        <v>0.56666666666666665</v>
      </c>
      <c r="FT189" s="4">
        <f t="shared" si="609"/>
        <v>0</v>
      </c>
      <c r="FU189" s="4">
        <f t="shared" si="610"/>
        <v>307.37725820320077</v>
      </c>
    </row>
    <row r="190" spans="2:177" ht="12" customHeight="1" x14ac:dyDescent="0.3">
      <c r="B190" s="24"/>
      <c r="C190" s="4" t="s">
        <v>175</v>
      </c>
      <c r="D190" s="7">
        <v>583</v>
      </c>
      <c r="E190" s="7">
        <f t="shared" si="788"/>
        <v>744.9</v>
      </c>
      <c r="F190" s="7">
        <v>40.5</v>
      </c>
      <c r="G190" s="37">
        <v>57.3</v>
      </c>
      <c r="H190" s="7">
        <f t="shared" si="680"/>
        <v>584.46</v>
      </c>
      <c r="I190" s="7">
        <f t="shared" si="778"/>
        <v>57.3</v>
      </c>
      <c r="J190" s="7">
        <f t="shared" si="759"/>
        <v>56</v>
      </c>
      <c r="K190" s="7">
        <f t="shared" si="779"/>
        <v>355.26</v>
      </c>
      <c r="L190" s="7">
        <v>2</v>
      </c>
      <c r="M190" s="7">
        <f t="shared" si="789"/>
        <v>376.59999999999997</v>
      </c>
      <c r="N190" s="7">
        <f t="shared" si="684"/>
        <v>1.5</v>
      </c>
      <c r="O190" s="7">
        <f t="shared" si="685"/>
        <v>1.5</v>
      </c>
      <c r="P190" s="7">
        <f t="shared" si="784"/>
        <v>4</v>
      </c>
      <c r="Q190" s="7">
        <f t="shared" si="784"/>
        <v>4</v>
      </c>
      <c r="R190" s="7">
        <f t="shared" si="686"/>
        <v>5</v>
      </c>
      <c r="S190" s="7">
        <f t="shared" si="687"/>
        <v>128.12669511073796</v>
      </c>
      <c r="T190" s="7">
        <f t="shared" si="688"/>
        <v>583</v>
      </c>
      <c r="U190" s="7">
        <v>25</v>
      </c>
      <c r="V190" s="7">
        <f>(586+586)/2</f>
        <v>586</v>
      </c>
      <c r="W190" s="7"/>
      <c r="X190" s="4">
        <f t="shared" si="689"/>
        <v>1.4903787129361226</v>
      </c>
      <c r="Y190" s="7">
        <v>15.9</v>
      </c>
      <c r="Z190" s="7">
        <v>3</v>
      </c>
      <c r="AA190" s="7">
        <v>275</v>
      </c>
      <c r="AB190" s="7">
        <v>4</v>
      </c>
      <c r="AC190" s="7">
        <f t="shared" ref="AC190:AC192" si="790">Z190</f>
        <v>3</v>
      </c>
      <c r="AD190" s="7">
        <f t="shared" si="690"/>
        <v>5.4166666666666661</v>
      </c>
      <c r="AE190" s="4">
        <f t="shared" si="691"/>
        <v>744.9</v>
      </c>
      <c r="AF190" s="4">
        <f t="shared" si="692"/>
        <v>0.2615384615384615</v>
      </c>
      <c r="AG190" s="4">
        <f t="shared" si="693"/>
        <v>250.86804884585459</v>
      </c>
      <c r="AH190" s="4">
        <f t="shared" si="694"/>
        <v>0.72307692307692306</v>
      </c>
      <c r="AI190" s="4">
        <v>1.25</v>
      </c>
      <c r="AJ190" s="4">
        <f t="shared" si="760"/>
        <v>2.5</v>
      </c>
      <c r="AK190" s="38">
        <f t="shared" si="761"/>
        <v>148.25707916260191</v>
      </c>
      <c r="AL190" s="38">
        <f t="shared" si="762"/>
        <v>148.25707916260191</v>
      </c>
      <c r="AM190" s="38">
        <f t="shared" si="695"/>
        <v>3.538000882182009</v>
      </c>
      <c r="AN190" s="38">
        <f t="shared" si="640"/>
        <v>148.25707916260185</v>
      </c>
      <c r="AO190" s="38">
        <f t="shared" si="548"/>
        <v>1.0000000000000004</v>
      </c>
      <c r="AP190" s="38">
        <f t="shared" si="641"/>
        <v>1.6390448359871455</v>
      </c>
      <c r="AQ190" s="4">
        <f t="shared" si="642"/>
        <v>0</v>
      </c>
      <c r="AR190" s="4" t="e">
        <f>#REF!/G190*F190^0.5/0.19</f>
        <v>#REF!</v>
      </c>
      <c r="AS190" s="4">
        <f t="shared" si="696"/>
        <v>1</v>
      </c>
      <c r="AT190" s="38">
        <f t="shared" si="697"/>
        <v>243</v>
      </c>
      <c r="AU190" s="4">
        <f t="shared" si="698"/>
        <v>0.44000000000000006</v>
      </c>
      <c r="AV190" s="4" t="e">
        <f>AU190*D190*#REF!/(D190*G190/2.75/F190^0.5)</f>
        <v>#REF!</v>
      </c>
      <c r="AW190" s="4" t="e">
        <f t="shared" si="699"/>
        <v>#REF!</v>
      </c>
      <c r="AY190" s="4">
        <f t="shared" si="700"/>
        <v>1.201612194511575</v>
      </c>
      <c r="AZ190" s="4" t="e">
        <f>(3*#REF!+30)*AY190*F190^0.5</f>
        <v>#REF!</v>
      </c>
      <c r="BB190" s="4">
        <f t="shared" si="701"/>
        <v>233.06671696357813</v>
      </c>
      <c r="BC190" s="4">
        <f t="shared" si="702"/>
        <v>450.3525339151019</v>
      </c>
      <c r="BD190" s="4">
        <f t="shared" si="703"/>
        <v>1.9322902033475655</v>
      </c>
      <c r="BL190" s="4">
        <f t="shared" si="704"/>
        <v>57.3</v>
      </c>
      <c r="BP190" s="9"/>
      <c r="BR190" s="9"/>
      <c r="BS190" s="9"/>
      <c r="BT190" s="9">
        <f t="shared" si="705"/>
        <v>56</v>
      </c>
      <c r="BU190" s="9">
        <f t="shared" si="706"/>
        <v>177.63</v>
      </c>
      <c r="BV190" s="9">
        <f t="shared" si="707"/>
        <v>1.1754818988273255</v>
      </c>
      <c r="BW190" s="9">
        <v>20</v>
      </c>
      <c r="BX190" s="9">
        <f t="shared" si="708"/>
        <v>3.7802286470920307E-2</v>
      </c>
      <c r="BY190" s="9">
        <f t="shared" si="709"/>
        <v>0.55604572941840613</v>
      </c>
      <c r="BZ190" s="9">
        <f t="shared" si="710"/>
        <v>0.77971450958075206</v>
      </c>
      <c r="CA190" s="9">
        <f t="shared" si="711"/>
        <v>0.87549999999999994</v>
      </c>
      <c r="CB190" s="9">
        <f t="shared" si="712"/>
        <v>1.5205031436526735</v>
      </c>
      <c r="CC190" s="9">
        <f t="shared" si="713"/>
        <v>2.632793202069093</v>
      </c>
      <c r="CD190" s="9">
        <v>1</v>
      </c>
      <c r="CE190" s="9" t="e">
        <f>4*CC190*#REF!+60*CC190</f>
        <v>#REF!</v>
      </c>
      <c r="CG190" s="4" t="e">
        <f t="shared" si="714"/>
        <v>#REF!</v>
      </c>
      <c r="CH190" s="4" t="e">
        <f t="shared" si="715"/>
        <v>#REF!</v>
      </c>
      <c r="CI190" s="4" t="e">
        <f t="shared" si="716"/>
        <v>#REF!</v>
      </c>
      <c r="CJ190" s="4" t="e">
        <f t="shared" si="717"/>
        <v>#REF!</v>
      </c>
      <c r="CK190" s="4">
        <f t="shared" si="718"/>
        <v>1.4903787129361226</v>
      </c>
      <c r="CL190" s="4">
        <f t="shared" si="719"/>
        <v>1.6061312508358303</v>
      </c>
      <c r="CM190" s="4">
        <f t="shared" si="720"/>
        <v>1.2470860052703576</v>
      </c>
      <c r="CU190" s="4" t="e">
        <f t="shared" ref="CU190:CV192" si="791">CG190</f>
        <v>#REF!</v>
      </c>
      <c r="CV190" s="4" t="e">
        <f t="shared" si="791"/>
        <v>#REF!</v>
      </c>
      <c r="CW190" s="4" t="e">
        <f>CJ190</f>
        <v>#REF!</v>
      </c>
      <c r="CX190" s="4">
        <f t="shared" ref="CX190:CX192" si="792">CM190</f>
        <v>1.2470860052703576</v>
      </c>
      <c r="CY190" s="4">
        <f t="shared" ref="CY190:CZ192" si="793">CK190</f>
        <v>1.4903787129361226</v>
      </c>
      <c r="CZ190" s="4">
        <f t="shared" si="793"/>
        <v>1.6061312508358303</v>
      </c>
      <c r="DB190" s="4">
        <f t="shared" si="722"/>
        <v>3</v>
      </c>
      <c r="DC190" s="4" t="e">
        <f>#REF!</f>
        <v>#REF!</v>
      </c>
      <c r="DF190" s="4">
        <f t="shared" si="723"/>
        <v>2.4945063339588324E-5</v>
      </c>
      <c r="DG190" s="4">
        <f t="shared" si="724"/>
        <v>5.5836366123976697</v>
      </c>
      <c r="DH190" s="4">
        <f t="shared" si="725"/>
        <v>0.45625425325155472</v>
      </c>
      <c r="DI190" s="4">
        <f t="shared" si="726"/>
        <v>4.0794340517682928</v>
      </c>
      <c r="DJ190" s="4">
        <f t="shared" si="727"/>
        <v>4.8898608766514151</v>
      </c>
      <c r="DK190" s="4">
        <f t="shared" si="728"/>
        <v>4.7288983440601244</v>
      </c>
      <c r="DL190" s="38">
        <f t="shared" si="729"/>
        <v>393.18865393987676</v>
      </c>
      <c r="DM190" s="4" t="e">
        <f t="shared" si="730"/>
        <v>#REF!</v>
      </c>
      <c r="DN190" s="4">
        <f t="shared" si="731"/>
        <v>2.2360679774997898</v>
      </c>
      <c r="DO190" s="4">
        <f t="shared" si="776"/>
        <v>148.25707916260185</v>
      </c>
      <c r="DS190" s="4">
        <f t="shared" si="733"/>
        <v>1</v>
      </c>
      <c r="DT190" s="4">
        <f t="shared" si="734"/>
        <v>1</v>
      </c>
      <c r="DU190" s="4">
        <f t="shared" si="735"/>
        <v>0.93640182560785068</v>
      </c>
      <c r="DV190" s="4">
        <f t="shared" si="736"/>
        <v>0.93640182560785068</v>
      </c>
      <c r="DX190" s="4">
        <f t="shared" si="737"/>
        <v>364.8518760188781</v>
      </c>
      <c r="DY190" s="25">
        <f t="shared" si="738"/>
        <v>147.09004813536899</v>
      </c>
      <c r="EB190" s="4">
        <f t="shared" si="739"/>
        <v>5.5836366123976697</v>
      </c>
      <c r="EE190" s="4">
        <f t="shared" si="740"/>
        <v>128.12669511073796</v>
      </c>
      <c r="EF190" s="4">
        <f t="shared" si="741"/>
        <v>2.2360679774997898</v>
      </c>
      <c r="EG190" s="4">
        <f t="shared" si="742"/>
        <v>0.15877045999106873</v>
      </c>
      <c r="EJ190" s="4">
        <f t="shared" si="743"/>
        <v>0.15877045999106873</v>
      </c>
      <c r="EK190" s="4">
        <f t="shared" si="744"/>
        <v>0.45549284993711125</v>
      </c>
      <c r="EL190" s="4">
        <f t="shared" si="745"/>
        <v>4.07670956118492</v>
      </c>
      <c r="EM190" s="4">
        <f t="shared" si="746"/>
        <v>4.888725724036151</v>
      </c>
      <c r="EN190" s="4" t="e">
        <f t="shared" si="747"/>
        <v>#REF!</v>
      </c>
      <c r="EO190" s="4" t="e">
        <f t="shared" si="748"/>
        <v>#REF!</v>
      </c>
      <c r="EP190" s="4" t="e">
        <f t="shared" si="749"/>
        <v>#REF!</v>
      </c>
      <c r="EQ190" s="4" t="e">
        <f t="shared" si="750"/>
        <v>#REF!</v>
      </c>
      <c r="ER190" s="4" t="e">
        <f t="shared" si="751"/>
        <v>#REF!</v>
      </c>
      <c r="FA190" s="23" t="e">
        <f t="shared" si="752"/>
        <v>#REF!</v>
      </c>
      <c r="FB190" s="23" t="e">
        <f t="shared" si="753"/>
        <v>#REF!</v>
      </c>
      <c r="FC190" s="23">
        <f t="shared" si="754"/>
        <v>1.4</v>
      </c>
      <c r="FD190" s="23" t="e">
        <f t="shared" si="755"/>
        <v>#REF!</v>
      </c>
      <c r="FE190" s="23">
        <f t="shared" si="756"/>
        <v>1.6</v>
      </c>
      <c r="FF190" s="23">
        <f t="shared" si="757"/>
        <v>1.8</v>
      </c>
      <c r="FG190" s="23">
        <f t="shared" si="758"/>
        <v>0</v>
      </c>
      <c r="FH190" s="23"/>
      <c r="FR190" s="4">
        <f t="shared" si="607"/>
        <v>1.25</v>
      </c>
      <c r="FS190" s="4">
        <f t="shared" si="608"/>
        <v>0.37067917575318227</v>
      </c>
      <c r="FT190" s="4">
        <f t="shared" si="609"/>
        <v>0.3</v>
      </c>
      <c r="FU190" s="4">
        <f t="shared" si="610"/>
        <v>469.89541821773565</v>
      </c>
    </row>
    <row r="191" spans="2:177" ht="12" customHeight="1" x14ac:dyDescent="0.3">
      <c r="B191" s="24"/>
      <c r="C191" s="4" t="s">
        <v>176</v>
      </c>
      <c r="D191" s="7">
        <v>583</v>
      </c>
      <c r="E191" s="7">
        <f t="shared" si="788"/>
        <v>744.9</v>
      </c>
      <c r="F191" s="7">
        <v>40.5</v>
      </c>
      <c r="G191" s="37">
        <v>57.3</v>
      </c>
      <c r="H191" s="7">
        <f t="shared" si="680"/>
        <v>584.46</v>
      </c>
      <c r="I191" s="7">
        <f t="shared" si="778"/>
        <v>57.3</v>
      </c>
      <c r="J191" s="7">
        <f t="shared" si="759"/>
        <v>56</v>
      </c>
      <c r="K191" s="7">
        <f t="shared" si="779"/>
        <v>355.26</v>
      </c>
      <c r="L191" s="7">
        <v>2</v>
      </c>
      <c r="M191" s="7">
        <f t="shared" si="789"/>
        <v>376.59999999999997</v>
      </c>
      <c r="N191" s="7">
        <f t="shared" si="684"/>
        <v>1.5</v>
      </c>
      <c r="O191" s="7">
        <f t="shared" si="685"/>
        <v>1.5</v>
      </c>
      <c r="P191" s="7">
        <f t="shared" si="784"/>
        <v>4</v>
      </c>
      <c r="Q191" s="7">
        <f t="shared" si="784"/>
        <v>4</v>
      </c>
      <c r="R191" s="7">
        <f t="shared" si="686"/>
        <v>5</v>
      </c>
      <c r="S191" s="7">
        <f t="shared" si="687"/>
        <v>128.12669511073796</v>
      </c>
      <c r="T191" s="7">
        <f t="shared" si="688"/>
        <v>583</v>
      </c>
      <c r="U191" s="7">
        <v>25</v>
      </c>
      <c r="V191" s="7">
        <f>(586+586)/2</f>
        <v>586</v>
      </c>
      <c r="W191" s="7"/>
      <c r="X191" s="4">
        <f t="shared" si="689"/>
        <v>1.3995998347943011</v>
      </c>
      <c r="Y191" s="7">
        <v>15.9</v>
      </c>
      <c r="Z191" s="7">
        <v>5</v>
      </c>
      <c r="AA191" s="7">
        <v>138</v>
      </c>
      <c r="AB191" s="7">
        <v>6</v>
      </c>
      <c r="AC191" s="7">
        <f t="shared" si="790"/>
        <v>5</v>
      </c>
      <c r="AD191" s="7">
        <f t="shared" si="690"/>
        <v>5.4166666666666661</v>
      </c>
      <c r="AE191" s="4">
        <f t="shared" si="691"/>
        <v>744.9</v>
      </c>
      <c r="AF191" s="4">
        <f t="shared" si="692"/>
        <v>0.2615384615384615</v>
      </c>
      <c r="AG191" s="4">
        <f t="shared" si="693"/>
        <v>250.86804884585459</v>
      </c>
      <c r="AH191" s="4">
        <f t="shared" si="694"/>
        <v>0.72307692307692306</v>
      </c>
      <c r="AI191" s="4">
        <v>1.25</v>
      </c>
      <c r="AJ191" s="4">
        <f t="shared" si="760"/>
        <v>2.5</v>
      </c>
      <c r="AK191" s="38">
        <f t="shared" si="761"/>
        <v>148.25707916260191</v>
      </c>
      <c r="AL191" s="38">
        <f t="shared" si="762"/>
        <v>148.25707916260191</v>
      </c>
      <c r="AM191" s="38">
        <f t="shared" si="695"/>
        <v>3.538000882182009</v>
      </c>
      <c r="AN191" s="38">
        <f t="shared" si="640"/>
        <v>148.25707916260185</v>
      </c>
      <c r="AO191" s="38">
        <f t="shared" si="548"/>
        <v>1.0000000000000004</v>
      </c>
      <c r="AP191" s="38">
        <f t="shared" si="641"/>
        <v>1.6390448359871455</v>
      </c>
      <c r="AQ191" s="4">
        <f t="shared" si="642"/>
        <v>0</v>
      </c>
      <c r="AR191" s="4" t="e">
        <f>#REF!/G191*F191^0.5/0.19</f>
        <v>#REF!</v>
      </c>
      <c r="AS191" s="4">
        <f t="shared" si="696"/>
        <v>1</v>
      </c>
      <c r="AT191" s="38">
        <f t="shared" si="697"/>
        <v>243</v>
      </c>
      <c r="AU191" s="4">
        <f t="shared" si="698"/>
        <v>0.44000000000000006</v>
      </c>
      <c r="AV191" s="4" t="e">
        <f>AU191*D191*#REF!/(D191*G191/2.75/F191^0.5)</f>
        <v>#REF!</v>
      </c>
      <c r="AW191" s="4" t="e">
        <f t="shared" si="699"/>
        <v>#REF!</v>
      </c>
      <c r="AY191" s="4">
        <f t="shared" si="700"/>
        <v>1.4</v>
      </c>
      <c r="AZ191" s="4" t="e">
        <f>(3*#REF!+30)*AY191*F191^0.5</f>
        <v>#REF!</v>
      </c>
      <c r="BB191" s="4">
        <f t="shared" si="701"/>
        <v>233.06671696357813</v>
      </c>
      <c r="BC191" s="4">
        <f t="shared" si="702"/>
        <v>450.3525339151019</v>
      </c>
      <c r="BD191" s="4">
        <f t="shared" si="703"/>
        <v>1.9322902033475655</v>
      </c>
      <c r="BL191" s="4">
        <f t="shared" si="704"/>
        <v>57.3</v>
      </c>
      <c r="BP191" s="9"/>
      <c r="BR191" s="9"/>
      <c r="BS191" s="9"/>
      <c r="BT191" s="9">
        <f t="shared" si="705"/>
        <v>56</v>
      </c>
      <c r="BU191" s="9">
        <f t="shared" si="706"/>
        <v>177.63</v>
      </c>
      <c r="BV191" s="9">
        <f t="shared" si="707"/>
        <v>1.1754818988273255</v>
      </c>
      <c r="BW191" s="9">
        <v>20</v>
      </c>
      <c r="BX191" s="9">
        <f t="shared" si="708"/>
        <v>0.05</v>
      </c>
      <c r="BY191" s="9">
        <f t="shared" si="709"/>
        <v>0.8</v>
      </c>
      <c r="BZ191" s="9">
        <f t="shared" si="710"/>
        <v>0.77971450958075206</v>
      </c>
      <c r="CA191" s="9">
        <f t="shared" si="711"/>
        <v>0.87549999999999994</v>
      </c>
      <c r="CB191" s="9">
        <f t="shared" si="712"/>
        <v>1.5205031436526735</v>
      </c>
      <c r="CC191" s="9">
        <f t="shared" si="713"/>
        <v>3.0037264373959012</v>
      </c>
      <c r="CD191" s="9">
        <v>1</v>
      </c>
      <c r="CE191" s="9" t="e">
        <f>4*CC191*#REF!+60*CC191</f>
        <v>#REF!</v>
      </c>
      <c r="CG191" s="4" t="e">
        <f t="shared" si="714"/>
        <v>#REF!</v>
      </c>
      <c r="CH191" s="4" t="e">
        <f t="shared" si="715"/>
        <v>#REF!</v>
      </c>
      <c r="CI191" s="4" t="e">
        <f t="shared" si="716"/>
        <v>#REF!</v>
      </c>
      <c r="CJ191" s="4" t="e">
        <f t="shared" si="717"/>
        <v>#REF!</v>
      </c>
      <c r="CK191" s="4">
        <f t="shared" si="718"/>
        <v>1.3995998347943011</v>
      </c>
      <c r="CL191" s="4">
        <f t="shared" si="719"/>
        <v>1.5076213914643732</v>
      </c>
      <c r="CM191" s="4">
        <f t="shared" si="720"/>
        <v>1.2470860052703576</v>
      </c>
      <c r="CU191" s="4" t="e">
        <f t="shared" si="791"/>
        <v>#REF!</v>
      </c>
      <c r="CV191" s="4" t="e">
        <f t="shared" si="791"/>
        <v>#REF!</v>
      </c>
      <c r="CW191" s="4" t="e">
        <f>CJ191</f>
        <v>#REF!</v>
      </c>
      <c r="CX191" s="4">
        <f t="shared" si="792"/>
        <v>1.2470860052703576</v>
      </c>
      <c r="CY191" s="4">
        <f t="shared" si="793"/>
        <v>1.3995998347943011</v>
      </c>
      <c r="CZ191" s="4">
        <f t="shared" si="793"/>
        <v>1.5076213914643732</v>
      </c>
      <c r="DB191" s="4">
        <f t="shared" si="722"/>
        <v>5</v>
      </c>
      <c r="DC191" s="4" t="e">
        <f>#REF!</f>
        <v>#REF!</v>
      </c>
      <c r="DF191" s="4">
        <f t="shared" si="723"/>
        <v>2.4945063339588324E-5</v>
      </c>
      <c r="DG191" s="4">
        <f t="shared" si="724"/>
        <v>6.1949154836920748</v>
      </c>
      <c r="DH191" s="4">
        <f t="shared" si="725"/>
        <v>0.45625425325155472</v>
      </c>
      <c r="DI191" s="4">
        <f t="shared" si="726"/>
        <v>4.5260375855921167</v>
      </c>
      <c r="DJ191" s="4">
        <f t="shared" si="727"/>
        <v>5.4251873753045228</v>
      </c>
      <c r="DK191" s="4">
        <f t="shared" si="728"/>
        <v>5.1456890319944577</v>
      </c>
      <c r="DL191" s="38">
        <f t="shared" si="729"/>
        <v>418.69110400839986</v>
      </c>
      <c r="DM191" s="4" t="e">
        <f t="shared" si="730"/>
        <v>#REF!</v>
      </c>
      <c r="DN191" s="4">
        <f t="shared" si="731"/>
        <v>2.2360679774997898</v>
      </c>
      <c r="DO191" s="4">
        <f t="shared" si="776"/>
        <v>148.25707916260185</v>
      </c>
      <c r="DS191" s="4">
        <f t="shared" si="733"/>
        <v>1</v>
      </c>
      <c r="DT191" s="4">
        <f t="shared" si="734"/>
        <v>1</v>
      </c>
      <c r="DU191" s="4">
        <f t="shared" si="735"/>
        <v>0.84400304267975113</v>
      </c>
      <c r="DV191" s="4">
        <f t="shared" si="736"/>
        <v>0.84400304267975113</v>
      </c>
      <c r="DX191" s="4">
        <f t="shared" si="737"/>
        <v>388.69175199935989</v>
      </c>
      <c r="DY191" s="25">
        <f t="shared" si="738"/>
        <v>147.09004813536899</v>
      </c>
      <c r="EB191" s="4">
        <f t="shared" si="739"/>
        <v>6.1949154836920748</v>
      </c>
      <c r="EE191" s="4">
        <f t="shared" si="740"/>
        <v>128.12669511073796</v>
      </c>
      <c r="EF191" s="4">
        <f t="shared" si="741"/>
        <v>2.2360679774997898</v>
      </c>
      <c r="EG191" s="4">
        <f t="shared" si="742"/>
        <v>0.15877045999106873</v>
      </c>
      <c r="EJ191" s="4">
        <f t="shared" si="743"/>
        <v>0.15877045999106873</v>
      </c>
      <c r="EK191" s="4">
        <f t="shared" si="744"/>
        <v>0.45549284993711125</v>
      </c>
      <c r="EL191" s="4">
        <f t="shared" si="745"/>
        <v>4.5230148263991863</v>
      </c>
      <c r="EM191" s="4">
        <f t="shared" si="746"/>
        <v>5.4239279497722386</v>
      </c>
      <c r="EN191" s="4" t="e">
        <f t="shared" si="747"/>
        <v>#REF!</v>
      </c>
      <c r="EO191" s="4" t="e">
        <f t="shared" si="748"/>
        <v>#REF!</v>
      </c>
      <c r="EP191" s="4" t="e">
        <f t="shared" si="749"/>
        <v>#REF!</v>
      </c>
      <c r="EQ191" s="4" t="e">
        <f t="shared" si="750"/>
        <v>#REF!</v>
      </c>
      <c r="ER191" s="4" t="e">
        <f t="shared" si="751"/>
        <v>#REF!</v>
      </c>
      <c r="FA191" s="23" t="e">
        <f t="shared" si="752"/>
        <v>#REF!</v>
      </c>
      <c r="FB191" s="23" t="e">
        <f t="shared" si="753"/>
        <v>#REF!</v>
      </c>
      <c r="FC191" s="23">
        <f t="shared" si="754"/>
        <v>1.4</v>
      </c>
      <c r="FD191" s="23" t="e">
        <f t="shared" si="755"/>
        <v>#REF!</v>
      </c>
      <c r="FE191" s="23">
        <f t="shared" si="756"/>
        <v>1.4</v>
      </c>
      <c r="FF191" s="23">
        <f t="shared" si="757"/>
        <v>1.6</v>
      </c>
      <c r="FG191" s="23">
        <f t="shared" si="758"/>
        <v>0</v>
      </c>
      <c r="FH191" s="23"/>
      <c r="FR191" s="4">
        <f t="shared" si="607"/>
        <v>1.25</v>
      </c>
      <c r="FS191" s="4">
        <f t="shared" si="608"/>
        <v>0.37067917575318227</v>
      </c>
      <c r="FT191" s="4">
        <f t="shared" si="609"/>
        <v>0.3</v>
      </c>
      <c r="FU191" s="4">
        <f t="shared" si="610"/>
        <v>469.89541821773565</v>
      </c>
    </row>
    <row r="192" spans="2:177" ht="12" customHeight="1" x14ac:dyDescent="0.3">
      <c r="B192" s="24"/>
      <c r="C192" s="4" t="s">
        <v>177</v>
      </c>
      <c r="D192" s="7">
        <v>583</v>
      </c>
      <c r="E192" s="7">
        <f t="shared" si="788"/>
        <v>744.9</v>
      </c>
      <c r="F192" s="7">
        <v>40.5</v>
      </c>
      <c r="G192" s="37">
        <v>57.3</v>
      </c>
      <c r="H192" s="7">
        <f t="shared" si="680"/>
        <v>584.46</v>
      </c>
      <c r="I192" s="7">
        <f t="shared" si="778"/>
        <v>57.3</v>
      </c>
      <c r="J192" s="7">
        <f t="shared" si="759"/>
        <v>56</v>
      </c>
      <c r="K192" s="7">
        <f t="shared" si="779"/>
        <v>355.26</v>
      </c>
      <c r="L192" s="7">
        <v>2</v>
      </c>
      <c r="M192" s="7">
        <f t="shared" si="789"/>
        <v>376.59999999999997</v>
      </c>
      <c r="N192" s="7">
        <f t="shared" si="684"/>
        <v>1.5</v>
      </c>
      <c r="O192" s="7">
        <f t="shared" si="685"/>
        <v>1.5</v>
      </c>
      <c r="P192" s="7">
        <f t="shared" si="784"/>
        <v>4</v>
      </c>
      <c r="Q192" s="7">
        <f t="shared" si="784"/>
        <v>4</v>
      </c>
      <c r="R192" s="7">
        <f t="shared" si="686"/>
        <v>5</v>
      </c>
      <c r="S192" s="7">
        <f t="shared" si="687"/>
        <v>128.12669511073796</v>
      </c>
      <c r="T192" s="7">
        <f t="shared" si="688"/>
        <v>583</v>
      </c>
      <c r="U192" s="7">
        <v>25</v>
      </c>
      <c r="V192" s="7">
        <f>(588+588)/2</f>
        <v>588</v>
      </c>
      <c r="W192" s="7"/>
      <c r="X192" s="4">
        <f t="shared" si="689"/>
        <v>1.4954653297038225</v>
      </c>
      <c r="Y192" s="7">
        <v>15.9</v>
      </c>
      <c r="Z192" s="7">
        <v>3</v>
      </c>
      <c r="AA192" s="7">
        <v>275</v>
      </c>
      <c r="AB192" s="7">
        <v>4</v>
      </c>
      <c r="AC192" s="7">
        <f t="shared" si="790"/>
        <v>3</v>
      </c>
      <c r="AD192" s="7">
        <f t="shared" si="690"/>
        <v>5.4166666666666661</v>
      </c>
      <c r="AE192" s="4">
        <f t="shared" si="691"/>
        <v>744.9</v>
      </c>
      <c r="AF192" s="4">
        <f t="shared" si="692"/>
        <v>0.2615384615384615</v>
      </c>
      <c r="AG192" s="4">
        <f t="shared" si="693"/>
        <v>250.86804884585459</v>
      </c>
      <c r="AH192" s="4">
        <f t="shared" si="694"/>
        <v>0.72307692307692306</v>
      </c>
      <c r="AI192" s="4">
        <v>1.25</v>
      </c>
      <c r="AJ192" s="4">
        <f t="shared" si="760"/>
        <v>2.5</v>
      </c>
      <c r="AK192" s="38">
        <f t="shared" si="761"/>
        <v>148.25707916260191</v>
      </c>
      <c r="AL192" s="38">
        <f t="shared" si="762"/>
        <v>148.25707916260191</v>
      </c>
      <c r="AM192" s="38">
        <f t="shared" si="695"/>
        <v>3.538000882182009</v>
      </c>
      <c r="AN192" s="38">
        <f t="shared" si="640"/>
        <v>148.25707916260185</v>
      </c>
      <c r="AO192" s="38">
        <f t="shared" si="548"/>
        <v>1.0000000000000004</v>
      </c>
      <c r="AP192" s="38">
        <f t="shared" si="641"/>
        <v>1.6390448359871455</v>
      </c>
      <c r="AQ192" s="4">
        <f t="shared" si="642"/>
        <v>0</v>
      </c>
      <c r="AR192" s="4" t="e">
        <f>#REF!/G192*F192^0.5/0.19</f>
        <v>#REF!</v>
      </c>
      <c r="AS192" s="4">
        <f t="shared" si="696"/>
        <v>1</v>
      </c>
      <c r="AT192" s="38">
        <f t="shared" si="697"/>
        <v>243</v>
      </c>
      <c r="AU192" s="4">
        <f t="shared" si="698"/>
        <v>0.44000000000000006</v>
      </c>
      <c r="AV192" s="4" t="e">
        <f>AU192*D192*#REF!/(D192*G192/2.75/F192^0.5)</f>
        <v>#REF!</v>
      </c>
      <c r="AW192" s="4" t="e">
        <f t="shared" si="699"/>
        <v>#REF!</v>
      </c>
      <c r="AY192" s="4">
        <f t="shared" si="700"/>
        <v>1.201612194511575</v>
      </c>
      <c r="AZ192" s="4" t="e">
        <f>(3*#REF!+30)*AY192*F192^0.5</f>
        <v>#REF!</v>
      </c>
      <c r="BB192" s="4">
        <f t="shared" si="701"/>
        <v>233.06671696357813</v>
      </c>
      <c r="BC192" s="4">
        <f t="shared" si="702"/>
        <v>450.3525339151019</v>
      </c>
      <c r="BD192" s="4">
        <f t="shared" si="703"/>
        <v>1.9322902033475655</v>
      </c>
      <c r="BL192" s="4">
        <f t="shared" si="704"/>
        <v>57.3</v>
      </c>
      <c r="BP192" s="9"/>
      <c r="BR192" s="9"/>
      <c r="BS192" s="9"/>
      <c r="BT192" s="9">
        <f t="shared" si="705"/>
        <v>56</v>
      </c>
      <c r="BU192" s="9">
        <f t="shared" si="706"/>
        <v>177.63</v>
      </c>
      <c r="BV192" s="9">
        <f t="shared" si="707"/>
        <v>1.1754818988273255</v>
      </c>
      <c r="BW192" s="9">
        <v>20</v>
      </c>
      <c r="BX192" s="9">
        <f t="shared" si="708"/>
        <v>3.7802286470920307E-2</v>
      </c>
      <c r="BY192" s="9">
        <f t="shared" si="709"/>
        <v>0.55604572941840613</v>
      </c>
      <c r="BZ192" s="9">
        <f t="shared" si="710"/>
        <v>0.77971450958075206</v>
      </c>
      <c r="CA192" s="9">
        <f t="shared" si="711"/>
        <v>0.87549999999999994</v>
      </c>
      <c r="CB192" s="9">
        <f t="shared" si="712"/>
        <v>1.5205031436526735</v>
      </c>
      <c r="CC192" s="9">
        <f t="shared" si="713"/>
        <v>2.632793202069093</v>
      </c>
      <c r="CD192" s="9">
        <v>1</v>
      </c>
      <c r="CE192" s="9" t="e">
        <f>4*CC192*#REF!+60*CC192</f>
        <v>#REF!</v>
      </c>
      <c r="CG192" s="4" t="e">
        <f t="shared" si="714"/>
        <v>#REF!</v>
      </c>
      <c r="CH192" s="4" t="e">
        <f t="shared" si="715"/>
        <v>#REF!</v>
      </c>
      <c r="CI192" s="4" t="e">
        <f t="shared" si="716"/>
        <v>#REF!</v>
      </c>
      <c r="CJ192" s="4" t="e">
        <f t="shared" si="717"/>
        <v>#REF!</v>
      </c>
      <c r="CK192" s="4">
        <f t="shared" si="718"/>
        <v>1.4954653297038225</v>
      </c>
      <c r="CL192" s="4">
        <f t="shared" si="719"/>
        <v>1.6116129274598434</v>
      </c>
      <c r="CM192" s="4">
        <f t="shared" si="720"/>
        <v>1.2513422714999494</v>
      </c>
      <c r="CU192" s="4" t="e">
        <f t="shared" si="791"/>
        <v>#REF!</v>
      </c>
      <c r="CV192" s="4" t="e">
        <f t="shared" si="791"/>
        <v>#REF!</v>
      </c>
      <c r="CW192" s="4" t="e">
        <f>CJ192</f>
        <v>#REF!</v>
      </c>
      <c r="CX192" s="4">
        <f t="shared" si="792"/>
        <v>1.2513422714999494</v>
      </c>
      <c r="CY192" s="4">
        <f t="shared" si="793"/>
        <v>1.4954653297038225</v>
      </c>
      <c r="CZ192" s="4">
        <f t="shared" si="793"/>
        <v>1.6116129274598434</v>
      </c>
      <c r="DB192" s="4">
        <f t="shared" si="722"/>
        <v>3</v>
      </c>
      <c r="DC192" s="4" t="e">
        <f>#REF!</f>
        <v>#REF!</v>
      </c>
      <c r="DF192" s="4">
        <f t="shared" si="723"/>
        <v>2.4945063339588324E-5</v>
      </c>
      <c r="DG192" s="4">
        <f t="shared" si="724"/>
        <v>5.5836366123976697</v>
      </c>
      <c r="DH192" s="4">
        <f t="shared" si="725"/>
        <v>0.45625425325155472</v>
      </c>
      <c r="DI192" s="4">
        <f t="shared" si="726"/>
        <v>4.0794340517682928</v>
      </c>
      <c r="DJ192" s="4">
        <f t="shared" si="727"/>
        <v>4.8898608766514151</v>
      </c>
      <c r="DK192" s="4">
        <f t="shared" si="728"/>
        <v>4.7288983440601244</v>
      </c>
      <c r="DL192" s="38">
        <f t="shared" si="729"/>
        <v>393.18865393987676</v>
      </c>
      <c r="DM192" s="4" t="e">
        <f t="shared" si="730"/>
        <v>#REF!</v>
      </c>
      <c r="DN192" s="4">
        <f t="shared" si="731"/>
        <v>2.2360679774997898</v>
      </c>
      <c r="DO192" s="4">
        <f t="shared" si="776"/>
        <v>148.25707916260185</v>
      </c>
      <c r="DS192" s="4">
        <f t="shared" si="733"/>
        <v>1</v>
      </c>
      <c r="DT192" s="4">
        <f t="shared" si="734"/>
        <v>1</v>
      </c>
      <c r="DU192" s="4">
        <f t="shared" si="735"/>
        <v>0.93640182560785068</v>
      </c>
      <c r="DV192" s="4">
        <f t="shared" si="736"/>
        <v>0.93640182560785068</v>
      </c>
      <c r="DX192" s="4">
        <f t="shared" si="737"/>
        <v>364.8518760188781</v>
      </c>
      <c r="DY192" s="25">
        <f t="shared" si="738"/>
        <v>147.09004813536899</v>
      </c>
      <c r="EB192" s="4">
        <f t="shared" si="739"/>
        <v>5.5836366123976697</v>
      </c>
      <c r="EE192" s="4">
        <f t="shared" si="740"/>
        <v>128.12669511073796</v>
      </c>
      <c r="EF192" s="4">
        <f t="shared" si="741"/>
        <v>2.2360679774997898</v>
      </c>
      <c r="EG192" s="4">
        <f t="shared" si="742"/>
        <v>0.15877045999106873</v>
      </c>
      <c r="EJ192" s="4">
        <f t="shared" si="743"/>
        <v>0.15877045999106873</v>
      </c>
      <c r="EK192" s="4">
        <f t="shared" si="744"/>
        <v>0.45549284993711125</v>
      </c>
      <c r="EL192" s="4">
        <f t="shared" si="745"/>
        <v>4.07670956118492</v>
      </c>
      <c r="EM192" s="4">
        <f t="shared" si="746"/>
        <v>4.888725724036151</v>
      </c>
      <c r="EN192" s="4" t="e">
        <f t="shared" si="747"/>
        <v>#REF!</v>
      </c>
      <c r="EO192" s="4" t="e">
        <f t="shared" si="748"/>
        <v>#REF!</v>
      </c>
      <c r="EP192" s="4" t="e">
        <f t="shared" si="749"/>
        <v>#REF!</v>
      </c>
      <c r="EQ192" s="4" t="e">
        <f t="shared" si="750"/>
        <v>#REF!</v>
      </c>
      <c r="ER192" s="4" t="e">
        <f t="shared" si="751"/>
        <v>#REF!</v>
      </c>
      <c r="FA192" s="23" t="e">
        <f t="shared" si="752"/>
        <v>#REF!</v>
      </c>
      <c r="FB192" s="23" t="e">
        <f t="shared" si="753"/>
        <v>#REF!</v>
      </c>
      <c r="FC192" s="23">
        <f t="shared" si="754"/>
        <v>1.4</v>
      </c>
      <c r="FD192" s="23" t="e">
        <f t="shared" si="755"/>
        <v>#REF!</v>
      </c>
      <c r="FE192" s="23">
        <f t="shared" si="756"/>
        <v>1.6</v>
      </c>
      <c r="FF192" s="23">
        <f t="shared" si="757"/>
        <v>1.8</v>
      </c>
      <c r="FG192" s="23">
        <f t="shared" si="758"/>
        <v>0</v>
      </c>
      <c r="FH192" s="23"/>
      <c r="FR192" s="4">
        <f t="shared" si="607"/>
        <v>1.25</v>
      </c>
      <c r="FS192" s="4">
        <f t="shared" si="608"/>
        <v>0.37067917575318227</v>
      </c>
      <c r="FT192" s="4">
        <f t="shared" si="609"/>
        <v>0.3</v>
      </c>
      <c r="FU192" s="4">
        <f t="shared" si="610"/>
        <v>469.89541821773565</v>
      </c>
    </row>
    <row r="193" spans="1:177" ht="12" customHeight="1" x14ac:dyDescent="0.3">
      <c r="B193" s="24"/>
      <c r="C193" s="4" t="s">
        <v>178</v>
      </c>
      <c r="D193" s="7">
        <v>583</v>
      </c>
      <c r="E193" s="7">
        <f t="shared" si="788"/>
        <v>744.9</v>
      </c>
      <c r="F193" s="7">
        <v>40.5</v>
      </c>
      <c r="G193" s="37">
        <v>57.3</v>
      </c>
      <c r="H193" s="7">
        <f t="shared" si="680"/>
        <v>699.06000000000006</v>
      </c>
      <c r="I193" s="7">
        <f>2*G193</f>
        <v>114.6</v>
      </c>
      <c r="J193" s="7">
        <f t="shared" si="759"/>
        <v>56</v>
      </c>
      <c r="K193" s="7">
        <f t="shared" si="779"/>
        <v>355.26</v>
      </c>
      <c r="L193" s="7">
        <v>2</v>
      </c>
      <c r="M193" s="7">
        <f t="shared" si="789"/>
        <v>376.59999999999997</v>
      </c>
      <c r="N193" s="7">
        <f t="shared" si="684"/>
        <v>2.5</v>
      </c>
      <c r="O193" s="7">
        <f t="shared" si="685"/>
        <v>2.5</v>
      </c>
      <c r="P193" s="7">
        <f t="shared" si="784"/>
        <v>4</v>
      </c>
      <c r="Q193" s="7">
        <f t="shared" si="784"/>
        <v>4</v>
      </c>
      <c r="R193" s="7">
        <f t="shared" si="686"/>
        <v>5</v>
      </c>
      <c r="S193" s="7">
        <f t="shared" si="687"/>
        <v>128.12669511073796</v>
      </c>
      <c r="T193" s="7">
        <f t="shared" si="688"/>
        <v>583</v>
      </c>
      <c r="U193" s="7">
        <v>25</v>
      </c>
      <c r="V193" s="7">
        <f>(550+550)/2</f>
        <v>550</v>
      </c>
      <c r="W193" s="7"/>
      <c r="X193" s="4">
        <f t="shared" si="689"/>
        <v>1.2421247257802632</v>
      </c>
      <c r="Y193" s="7"/>
      <c r="Z193" s="7"/>
      <c r="AA193" s="7">
        <v>1</v>
      </c>
      <c r="AB193" s="7"/>
      <c r="AC193" s="7"/>
      <c r="AD193" s="7">
        <f t="shared" si="690"/>
        <v>5.4166666666666661</v>
      </c>
      <c r="AE193" s="4">
        <f t="shared" si="691"/>
        <v>744.9</v>
      </c>
      <c r="AF193" s="4">
        <f t="shared" si="692"/>
        <v>0.31282051282051282</v>
      </c>
      <c r="AG193" s="4">
        <f t="shared" si="693"/>
        <v>250.86804884585459</v>
      </c>
      <c r="AH193" s="4">
        <f t="shared" si="694"/>
        <v>0.73846153846153839</v>
      </c>
      <c r="AI193" s="4">
        <v>1.25</v>
      </c>
      <c r="AJ193" s="4">
        <f t="shared" si="760"/>
        <v>2.5</v>
      </c>
      <c r="AK193" s="38">
        <f t="shared" si="761"/>
        <v>181.10001159286543</v>
      </c>
      <c r="AL193" s="38">
        <f t="shared" si="762"/>
        <v>181.10001159286543</v>
      </c>
      <c r="AM193" s="38">
        <f t="shared" si="695"/>
        <v>3.538000882182009</v>
      </c>
      <c r="AN193" s="38">
        <f t="shared" si="640"/>
        <v>181.10001159286537</v>
      </c>
      <c r="AO193" s="38">
        <f t="shared" si="548"/>
        <v>1.0000000000000002</v>
      </c>
      <c r="AP193" s="38">
        <f t="shared" si="641"/>
        <v>2.2363333742379252</v>
      </c>
      <c r="AQ193" s="4">
        <f t="shared" si="642"/>
        <v>0</v>
      </c>
      <c r="AR193" s="4" t="e">
        <f>#REF!/G193*F193^0.5/0.19</f>
        <v>#REF!</v>
      </c>
      <c r="AS193" s="4">
        <f t="shared" si="696"/>
        <v>1</v>
      </c>
      <c r="AT193" s="38">
        <f t="shared" si="697"/>
        <v>405</v>
      </c>
      <c r="AU193" s="4">
        <f t="shared" si="698"/>
        <v>0.44000000000000006</v>
      </c>
      <c r="AV193" s="4" t="e">
        <f>AU193*D193*#REF!/(D193*G193/2.75/F193^0.5)</f>
        <v>#REF!</v>
      </c>
      <c r="AW193" s="4" t="e">
        <f t="shared" si="699"/>
        <v>#REF!</v>
      </c>
      <c r="AY193" s="4">
        <f t="shared" si="700"/>
        <v>1.25</v>
      </c>
      <c r="AZ193" s="4" t="e">
        <f>(3*#REF!+30)*AY193*F193^0.5</f>
        <v>#REF!</v>
      </c>
      <c r="BB193" s="4">
        <f t="shared" si="701"/>
        <v>388.44452827263018</v>
      </c>
      <c r="BC193" s="4">
        <f t="shared" si="702"/>
        <v>450.3525339151019</v>
      </c>
      <c r="BD193" s="4">
        <f t="shared" si="703"/>
        <v>1.1593741220085394</v>
      </c>
      <c r="BL193" s="4">
        <f t="shared" si="704"/>
        <v>114.6</v>
      </c>
      <c r="BP193" s="9"/>
      <c r="BR193" s="9"/>
      <c r="BS193" s="9"/>
      <c r="BT193" s="9">
        <f t="shared" si="705"/>
        <v>56</v>
      </c>
      <c r="BU193" s="9">
        <f t="shared" si="706"/>
        <v>177.63</v>
      </c>
      <c r="BV193" s="9">
        <f t="shared" si="707"/>
        <v>1.1754818988273255</v>
      </c>
      <c r="BW193" s="9">
        <v>0</v>
      </c>
      <c r="BX193" s="9">
        <f t="shared" si="708"/>
        <v>0</v>
      </c>
      <c r="BY193" s="9">
        <f t="shared" si="709"/>
        <v>0</v>
      </c>
      <c r="BZ193" s="9">
        <f t="shared" si="710"/>
        <v>0.77971450958075206</v>
      </c>
      <c r="CA193" s="9">
        <f t="shared" si="711"/>
        <v>0.87549999999999994</v>
      </c>
      <c r="CB193" s="9">
        <f t="shared" si="712"/>
        <v>1.5205031436526735</v>
      </c>
      <c r="CC193" s="9">
        <f t="shared" si="713"/>
        <v>1.7873239224737623</v>
      </c>
      <c r="CD193" s="9">
        <v>1</v>
      </c>
      <c r="CE193" s="9" t="e">
        <f>4*CC193*#REF!+60*CC193</f>
        <v>#REF!</v>
      </c>
      <c r="CG193" s="4" t="e">
        <f t="shared" si="714"/>
        <v>#REF!</v>
      </c>
      <c r="CH193" s="4" t="e">
        <f t="shared" si="715"/>
        <v>#REF!</v>
      </c>
      <c r="CI193" s="4" t="e">
        <f t="shared" si="716"/>
        <v>#REF!</v>
      </c>
      <c r="CJ193" s="4" t="e">
        <f t="shared" si="717"/>
        <v>#REF!</v>
      </c>
      <c r="CK193" s="4">
        <f t="shared" si="718"/>
        <v>1.2421247257802632</v>
      </c>
      <c r="CL193" s="4">
        <f t="shared" si="719"/>
        <v>1.353732099805089</v>
      </c>
      <c r="CM193" s="4">
        <f t="shared" si="720"/>
        <v>1.4314656932398204</v>
      </c>
      <c r="CO193" s="4" t="e">
        <f t="shared" ref="CO193:CP195" si="794">CG193</f>
        <v>#REF!</v>
      </c>
      <c r="CP193" s="4" t="e">
        <f t="shared" si="794"/>
        <v>#REF!</v>
      </c>
      <c r="CQ193" s="4" t="e">
        <f>CJ193</f>
        <v>#REF!</v>
      </c>
      <c r="CR193" s="4">
        <f t="shared" ref="CR193:CR203" si="795">CM193</f>
        <v>1.4314656932398204</v>
      </c>
      <c r="CS193" s="4">
        <f t="shared" ref="CS193:CT195" si="796">CK193</f>
        <v>1.2421247257802632</v>
      </c>
      <c r="CT193" s="4">
        <f t="shared" si="796"/>
        <v>1.353732099805089</v>
      </c>
      <c r="DB193" s="4">
        <f t="shared" si="722"/>
        <v>0</v>
      </c>
      <c r="DC193" s="4" t="e">
        <f>#REF!</f>
        <v>#REF!</v>
      </c>
      <c r="DF193" s="4">
        <f t="shared" si="723"/>
        <v>2.4945063339588324E-5</v>
      </c>
      <c r="DG193" s="4">
        <f t="shared" si="724"/>
        <v>5.809475019311126</v>
      </c>
      <c r="DH193" s="4">
        <f t="shared" si="725"/>
        <v>0.55732684752630468</v>
      </c>
      <c r="DI193" s="4">
        <f t="shared" si="726"/>
        <v>4.5981260687888756</v>
      </c>
      <c r="DJ193" s="4">
        <f t="shared" si="727"/>
        <v>5.2389764559133809</v>
      </c>
      <c r="DK193" s="4">
        <f t="shared" si="728"/>
        <v>4.8539629856897069</v>
      </c>
      <c r="DL193" s="38">
        <f t="shared" si="729"/>
        <v>442.78967207138356</v>
      </c>
      <c r="DM193" s="4" t="e">
        <f t="shared" si="730"/>
        <v>#REF!</v>
      </c>
      <c r="DN193" s="4">
        <f t="shared" si="731"/>
        <v>2.2360679774997898</v>
      </c>
      <c r="DO193" s="4">
        <f t="shared" si="776"/>
        <v>181.10001159286537</v>
      </c>
      <c r="DS193" s="4">
        <f t="shared" si="733"/>
        <v>1</v>
      </c>
      <c r="DT193" s="4">
        <f t="shared" si="734"/>
        <v>0.9</v>
      </c>
      <c r="DU193" s="4">
        <f t="shared" si="735"/>
        <v>1</v>
      </c>
      <c r="DV193" s="4">
        <f t="shared" si="736"/>
        <v>0.9</v>
      </c>
      <c r="DX193" s="4">
        <f t="shared" si="737"/>
        <v>406.28422719620022</v>
      </c>
      <c r="DY193" s="25">
        <f t="shared" si="738"/>
        <v>179.7147014430663</v>
      </c>
      <c r="EB193" s="4">
        <f t="shared" si="739"/>
        <v>5.809475019311126</v>
      </c>
      <c r="EE193" s="4">
        <f t="shared" si="740"/>
        <v>128.12669511073796</v>
      </c>
      <c r="EF193" s="4">
        <f t="shared" si="741"/>
        <v>2.2360679774997898</v>
      </c>
      <c r="EG193" s="4">
        <f t="shared" si="742"/>
        <v>0.19394238917557335</v>
      </c>
      <c r="EJ193" s="4">
        <f t="shared" si="743"/>
        <v>0.19394238917557335</v>
      </c>
      <c r="EK193" s="4">
        <f t="shared" si="744"/>
        <v>0.5563967728893876</v>
      </c>
      <c r="EL193" s="4">
        <f t="shared" si="745"/>
        <v>4.5950551645858413</v>
      </c>
      <c r="EM193" s="4">
        <f t="shared" si="746"/>
        <v>5.2376296069701249</v>
      </c>
      <c r="EN193" s="4" t="e">
        <f t="shared" si="747"/>
        <v>#REF!</v>
      </c>
      <c r="EO193" s="4" t="e">
        <f t="shared" si="748"/>
        <v>#REF!</v>
      </c>
      <c r="EP193" s="4" t="e">
        <f t="shared" si="749"/>
        <v>#REF!</v>
      </c>
      <c r="EQ193" s="4" t="e">
        <f t="shared" si="750"/>
        <v>#REF!</v>
      </c>
      <c r="ER193" s="4" t="e">
        <f t="shared" si="751"/>
        <v>#REF!</v>
      </c>
      <c r="FA193" s="23" t="e">
        <f t="shared" si="752"/>
        <v>#REF!</v>
      </c>
      <c r="FB193" s="23" t="e">
        <f t="shared" si="753"/>
        <v>#REF!</v>
      </c>
      <c r="FC193" s="23">
        <f t="shared" si="754"/>
        <v>1.6</v>
      </c>
      <c r="FD193" s="23" t="e">
        <f t="shared" si="755"/>
        <v>#REF!</v>
      </c>
      <c r="FE193" s="23">
        <f t="shared" si="756"/>
        <v>1.4</v>
      </c>
      <c r="FF193" s="23">
        <f t="shared" si="757"/>
        <v>1.4</v>
      </c>
      <c r="FG193" s="23">
        <f t="shared" si="758"/>
        <v>0</v>
      </c>
      <c r="FH193" s="23"/>
      <c r="FR193" s="4">
        <f t="shared" si="607"/>
        <v>1</v>
      </c>
      <c r="FS193" s="4">
        <f t="shared" si="608"/>
        <v>0.56666666666666665</v>
      </c>
      <c r="FT193" s="4">
        <f t="shared" si="609"/>
        <v>0</v>
      </c>
      <c r="FU193" s="4">
        <f t="shared" si="610"/>
        <v>384.22157275400093</v>
      </c>
    </row>
    <row r="194" spans="1:177" ht="12" customHeight="1" x14ac:dyDescent="0.3">
      <c r="B194" s="24"/>
      <c r="C194" s="4" t="s">
        <v>179</v>
      </c>
      <c r="D194" s="7">
        <v>583</v>
      </c>
      <c r="E194" s="7">
        <f>16*G194</f>
        <v>916.8</v>
      </c>
      <c r="F194" s="7">
        <v>41.8</v>
      </c>
      <c r="G194" s="37">
        <v>57.3</v>
      </c>
      <c r="H194" s="7">
        <f t="shared" si="680"/>
        <v>584.46</v>
      </c>
      <c r="I194" s="7">
        <f>1*G194</f>
        <v>57.3</v>
      </c>
      <c r="J194" s="7">
        <f t="shared" si="759"/>
        <v>56</v>
      </c>
      <c r="K194" s="7">
        <f t="shared" si="779"/>
        <v>355.26</v>
      </c>
      <c r="L194" s="7">
        <v>2</v>
      </c>
      <c r="M194" s="7">
        <f t="shared" si="789"/>
        <v>491.19999999999993</v>
      </c>
      <c r="N194" s="7">
        <f t="shared" si="684"/>
        <v>1.5</v>
      </c>
      <c r="O194" s="7">
        <f t="shared" si="685"/>
        <v>1.5</v>
      </c>
      <c r="P194" s="7">
        <f t="shared" si="784"/>
        <v>4</v>
      </c>
      <c r="Q194" s="7">
        <f t="shared" si="784"/>
        <v>4</v>
      </c>
      <c r="R194" s="7">
        <f t="shared" si="686"/>
        <v>5</v>
      </c>
      <c r="S194" s="7">
        <f t="shared" si="687"/>
        <v>128.12669511073796</v>
      </c>
      <c r="T194" s="7">
        <f t="shared" si="688"/>
        <v>583</v>
      </c>
      <c r="U194" s="7">
        <v>25</v>
      </c>
      <c r="V194" s="7">
        <f>(510+510)/2</f>
        <v>510</v>
      </c>
      <c r="W194" s="7"/>
      <c r="X194" s="4">
        <f t="shared" si="689"/>
        <v>1.1290382156017438</v>
      </c>
      <c r="Y194" s="7"/>
      <c r="Z194" s="7"/>
      <c r="AA194" s="7">
        <v>1</v>
      </c>
      <c r="AB194" s="7"/>
      <c r="AC194" s="7"/>
      <c r="AD194" s="7">
        <f t="shared" si="690"/>
        <v>6.6666666666666661</v>
      </c>
      <c r="AE194" s="4">
        <f t="shared" si="691"/>
        <v>916.8</v>
      </c>
      <c r="AF194" s="4">
        <f t="shared" si="692"/>
        <v>0.21250000000000002</v>
      </c>
      <c r="AG194" s="4">
        <f t="shared" si="693"/>
        <v>347.99333558360394</v>
      </c>
      <c r="AH194" s="4">
        <f t="shared" si="694"/>
        <v>0.71875</v>
      </c>
      <c r="AI194" s="4">
        <v>1.25</v>
      </c>
      <c r="AJ194" s="4">
        <f t="shared" si="760"/>
        <v>2.5</v>
      </c>
      <c r="AK194" s="38">
        <f t="shared" si="761"/>
        <v>166.0954519203969</v>
      </c>
      <c r="AL194" s="38">
        <f t="shared" si="762"/>
        <v>166.0954519203969</v>
      </c>
      <c r="AM194" s="38">
        <f t="shared" si="695"/>
        <v>3.613311826901703</v>
      </c>
      <c r="AN194" s="38">
        <f t="shared" si="640"/>
        <v>166.09545192039693</v>
      </c>
      <c r="AO194" s="38">
        <f t="shared" si="548"/>
        <v>0.99999999999999978</v>
      </c>
      <c r="AP194" s="38">
        <f t="shared" si="641"/>
        <v>1.5099751203314022</v>
      </c>
      <c r="AQ194" s="4">
        <f t="shared" si="642"/>
        <v>0</v>
      </c>
      <c r="AR194" s="4" t="e">
        <f>#REF!/G194*F194^0.5/0.19</f>
        <v>#REF!</v>
      </c>
      <c r="AS194" s="4">
        <f t="shared" si="696"/>
        <v>1</v>
      </c>
      <c r="AT194" s="38">
        <f t="shared" si="697"/>
        <v>250.79999999999998</v>
      </c>
      <c r="AU194" s="4">
        <f t="shared" si="698"/>
        <v>0.44000000000000006</v>
      </c>
      <c r="AV194" s="4" t="e">
        <f>AU194*D194*#REF!/(D194*G194/2.75/F194^0.5)</f>
        <v>#REF!</v>
      </c>
      <c r="AW194" s="4" t="e">
        <f t="shared" si="699"/>
        <v>#REF!</v>
      </c>
      <c r="AY194" s="4">
        <f t="shared" si="700"/>
        <v>1</v>
      </c>
      <c r="AZ194" s="4" t="e">
        <f>(3*#REF!+30)*AY194*F194^0.5</f>
        <v>#REF!</v>
      </c>
      <c r="BB194" s="4">
        <f t="shared" si="701"/>
        <v>240.54787084142137</v>
      </c>
      <c r="BC194" s="4">
        <f t="shared" si="702"/>
        <v>450.3525339151019</v>
      </c>
      <c r="BD194" s="4">
        <f t="shared" si="703"/>
        <v>1.8721950534826892</v>
      </c>
      <c r="BL194" s="4">
        <f t="shared" si="704"/>
        <v>57.3</v>
      </c>
      <c r="BP194" s="9"/>
      <c r="BR194" s="9"/>
      <c r="BS194" s="9"/>
      <c r="BT194" s="9">
        <f t="shared" si="705"/>
        <v>56</v>
      </c>
      <c r="BU194" s="9">
        <f t="shared" si="706"/>
        <v>177.63</v>
      </c>
      <c r="BV194" s="9">
        <f t="shared" si="707"/>
        <v>1.1754818988273255</v>
      </c>
      <c r="BW194" s="9">
        <v>0</v>
      </c>
      <c r="BX194" s="9">
        <f t="shared" si="708"/>
        <v>0</v>
      </c>
      <c r="BY194" s="9">
        <f t="shared" si="709"/>
        <v>0</v>
      </c>
      <c r="BZ194" s="9">
        <f t="shared" si="710"/>
        <v>0.77971450958075206</v>
      </c>
      <c r="CA194" s="9">
        <f t="shared" si="711"/>
        <v>0.87549999999999994</v>
      </c>
      <c r="CB194" s="9">
        <f t="shared" si="712"/>
        <v>1.5447135341285001</v>
      </c>
      <c r="CC194" s="9">
        <f t="shared" si="713"/>
        <v>1.8157827982416379</v>
      </c>
      <c r="CD194" s="9">
        <v>1</v>
      </c>
      <c r="CE194" s="9" t="e">
        <f>4*CC194*#REF!+60*CC194</f>
        <v>#REF!</v>
      </c>
      <c r="CG194" s="4" t="e">
        <f t="shared" si="714"/>
        <v>#REF!</v>
      </c>
      <c r="CH194" s="4" t="e">
        <f t="shared" si="715"/>
        <v>#REF!</v>
      </c>
      <c r="CI194" s="4" t="e">
        <f t="shared" si="716"/>
        <v>#REF!</v>
      </c>
      <c r="CJ194" s="4" t="e">
        <f t="shared" si="717"/>
        <v>#REF!</v>
      </c>
      <c r="CK194" s="4">
        <f t="shared" si="718"/>
        <v>1.1290382156017438</v>
      </c>
      <c r="CL194" s="4">
        <f t="shared" si="719"/>
        <v>1.2140631955584191</v>
      </c>
      <c r="CM194" s="4">
        <f t="shared" si="720"/>
        <v>1.3374929414311942</v>
      </c>
      <c r="CO194" s="4" t="e">
        <f t="shared" si="794"/>
        <v>#REF!</v>
      </c>
      <c r="CP194" s="4" t="e">
        <f t="shared" si="794"/>
        <v>#REF!</v>
      </c>
      <c r="CQ194" s="4" t="e">
        <f>CJ194</f>
        <v>#REF!</v>
      </c>
      <c r="CR194" s="4">
        <f t="shared" si="795"/>
        <v>1.3374929414311942</v>
      </c>
      <c r="CS194" s="4">
        <f t="shared" si="796"/>
        <v>1.1290382156017438</v>
      </c>
      <c r="CT194" s="4">
        <f t="shared" si="796"/>
        <v>1.2140631955584191</v>
      </c>
      <c r="DB194" s="4">
        <f t="shared" si="722"/>
        <v>0</v>
      </c>
      <c r="DC194" s="4" t="e">
        <f>#REF!</f>
        <v>#REF!</v>
      </c>
      <c r="DF194" s="4">
        <f t="shared" si="723"/>
        <v>3.0965438467699871E-5</v>
      </c>
      <c r="DG194" s="4">
        <f t="shared" si="724"/>
        <v>5.3117793628877328</v>
      </c>
      <c r="DH194" s="4">
        <f t="shared" si="725"/>
        <v>0.49525397314162617</v>
      </c>
      <c r="DI194" s="4">
        <f t="shared" si="726"/>
        <v>4.0102478497857943</v>
      </c>
      <c r="DJ194" s="4">
        <f t="shared" si="727"/>
        <v>4.7063105644554275</v>
      </c>
      <c r="DK194" s="4">
        <f t="shared" si="728"/>
        <v>4.1212073343230777</v>
      </c>
      <c r="DL194" s="38">
        <f t="shared" si="729"/>
        <v>451.71190217700928</v>
      </c>
      <c r="DM194" s="4" t="e">
        <f t="shared" si="730"/>
        <v>#REF!</v>
      </c>
      <c r="DN194" s="4">
        <f t="shared" si="731"/>
        <v>2.2360679774997898</v>
      </c>
      <c r="DO194" s="4">
        <f t="shared" si="776"/>
        <v>166.09545192039693</v>
      </c>
      <c r="DS194" s="4">
        <f t="shared" si="733"/>
        <v>1</v>
      </c>
      <c r="DT194" s="4">
        <f t="shared" si="734"/>
        <v>1</v>
      </c>
      <c r="DU194" s="4">
        <f t="shared" si="735"/>
        <v>1</v>
      </c>
      <c r="DV194" s="4">
        <f t="shared" si="736"/>
        <v>1</v>
      </c>
      <c r="DX194" s="4">
        <f t="shared" si="737"/>
        <v>420.07697940750188</v>
      </c>
      <c r="DY194" s="25">
        <f t="shared" si="738"/>
        <v>165.11156998889066</v>
      </c>
      <c r="EB194" s="4">
        <f t="shared" si="739"/>
        <v>5.3117793628877328</v>
      </c>
      <c r="EE194" s="4">
        <f t="shared" si="740"/>
        <v>128.12669511073796</v>
      </c>
      <c r="EF194" s="4">
        <f t="shared" si="741"/>
        <v>2.2360679774997898</v>
      </c>
      <c r="EG194" s="4">
        <f t="shared" si="742"/>
        <v>0.17508598130474001</v>
      </c>
      <c r="EJ194" s="4">
        <f t="shared" si="743"/>
        <v>0.17508598130474001</v>
      </c>
      <c r="EK194" s="4">
        <f t="shared" si="744"/>
        <v>0.4944274865632457</v>
      </c>
      <c r="EL194" s="4">
        <f t="shared" si="745"/>
        <v>4.0075695658951647</v>
      </c>
      <c r="EM194" s="4">
        <f t="shared" si="746"/>
        <v>4.7051704844984386</v>
      </c>
      <c r="EN194" s="4" t="e">
        <f t="shared" si="747"/>
        <v>#REF!</v>
      </c>
      <c r="EO194" s="4" t="e">
        <f t="shared" si="748"/>
        <v>#REF!</v>
      </c>
      <c r="EP194" s="4" t="e">
        <f t="shared" si="749"/>
        <v>#REF!</v>
      </c>
      <c r="EQ194" s="4" t="e">
        <f t="shared" si="750"/>
        <v>#REF!</v>
      </c>
      <c r="ER194" s="4" t="e">
        <f t="shared" si="751"/>
        <v>#REF!</v>
      </c>
      <c r="FA194" s="23" t="e">
        <f t="shared" si="752"/>
        <v>#REF!</v>
      </c>
      <c r="FB194" s="23" t="e">
        <f t="shared" si="753"/>
        <v>#REF!</v>
      </c>
      <c r="FC194" s="23">
        <f t="shared" si="754"/>
        <v>1.4</v>
      </c>
      <c r="FD194" s="23" t="e">
        <f t="shared" si="755"/>
        <v>#REF!</v>
      </c>
      <c r="FE194" s="23">
        <f t="shared" si="756"/>
        <v>1.2</v>
      </c>
      <c r="FF194" s="23">
        <f t="shared" si="757"/>
        <v>1.4</v>
      </c>
      <c r="FG194" s="23">
        <f t="shared" si="758"/>
        <v>0</v>
      </c>
      <c r="FH194" s="23"/>
      <c r="FR194" s="4">
        <f t="shared" si="607"/>
        <v>1.25</v>
      </c>
      <c r="FS194" s="4">
        <f t="shared" si="608"/>
        <v>0.56666666666666665</v>
      </c>
      <c r="FT194" s="4">
        <f t="shared" si="609"/>
        <v>0</v>
      </c>
      <c r="FU194" s="4">
        <f t="shared" si="610"/>
        <v>381.31042355578393</v>
      </c>
    </row>
    <row r="195" spans="1:177" ht="12" customHeight="1" x14ac:dyDescent="0.3">
      <c r="B195" s="24"/>
      <c r="C195" s="4" t="s">
        <v>180</v>
      </c>
      <c r="D195" s="7">
        <v>583</v>
      </c>
      <c r="E195" s="7">
        <f>16*G195</f>
        <v>916.8</v>
      </c>
      <c r="F195" s="7">
        <v>41.8</v>
      </c>
      <c r="G195" s="37">
        <v>57.3</v>
      </c>
      <c r="H195" s="7">
        <f t="shared" si="680"/>
        <v>699.06000000000006</v>
      </c>
      <c r="I195" s="7">
        <f>2*G195</f>
        <v>114.6</v>
      </c>
      <c r="J195" s="7">
        <f t="shared" si="759"/>
        <v>56</v>
      </c>
      <c r="K195" s="7">
        <f t="shared" si="779"/>
        <v>355.26</v>
      </c>
      <c r="L195" s="7">
        <v>2</v>
      </c>
      <c r="M195" s="7">
        <f t="shared" si="789"/>
        <v>491.19999999999993</v>
      </c>
      <c r="N195" s="7">
        <f t="shared" si="684"/>
        <v>2.5</v>
      </c>
      <c r="O195" s="7">
        <f t="shared" si="685"/>
        <v>2.5</v>
      </c>
      <c r="P195" s="7">
        <f t="shared" si="784"/>
        <v>4</v>
      </c>
      <c r="Q195" s="7">
        <f t="shared" si="784"/>
        <v>4</v>
      </c>
      <c r="R195" s="7">
        <f t="shared" si="686"/>
        <v>5</v>
      </c>
      <c r="S195" s="7">
        <f t="shared" si="687"/>
        <v>128.12669511073796</v>
      </c>
      <c r="T195" s="7">
        <f t="shared" si="688"/>
        <v>583</v>
      </c>
      <c r="U195" s="7">
        <v>25</v>
      </c>
      <c r="V195" s="7">
        <f>(588+588)/2</f>
        <v>588</v>
      </c>
      <c r="W195" s="7"/>
      <c r="X195" s="4">
        <f t="shared" si="689"/>
        <v>1.118054357765794</v>
      </c>
      <c r="Y195" s="7"/>
      <c r="Z195" s="7"/>
      <c r="AA195" s="7">
        <v>1</v>
      </c>
      <c r="AB195" s="7"/>
      <c r="AC195" s="7"/>
      <c r="AD195" s="7">
        <f t="shared" si="690"/>
        <v>6.6666666666666661</v>
      </c>
      <c r="AE195" s="4">
        <f t="shared" si="691"/>
        <v>916.8</v>
      </c>
      <c r="AF195" s="4">
        <f t="shared" si="692"/>
        <v>0.25416666666666665</v>
      </c>
      <c r="AG195" s="4">
        <f t="shared" si="693"/>
        <v>347.99333558360394</v>
      </c>
      <c r="AH195" s="4">
        <f t="shared" si="694"/>
        <v>0.73124999999999996</v>
      </c>
      <c r="AI195" s="4">
        <v>1.25</v>
      </c>
      <c r="AJ195" s="4">
        <f>AJ194</f>
        <v>2.5</v>
      </c>
      <c r="AK195" s="38">
        <f t="shared" si="761"/>
        <v>202.11819954916837</v>
      </c>
      <c r="AL195" s="38">
        <f t="shared" si="762"/>
        <v>202.11819954916837</v>
      </c>
      <c r="AM195" s="38">
        <f t="shared" si="695"/>
        <v>3.613311826901703</v>
      </c>
      <c r="AN195" s="38">
        <f t="shared" si="640"/>
        <v>202.11819954916842</v>
      </c>
      <c r="AO195" s="38">
        <f t="shared" si="548"/>
        <v>0.99999999999999967</v>
      </c>
      <c r="AP195" s="38">
        <f t="shared" si="641"/>
        <v>2.068096791542589</v>
      </c>
      <c r="AQ195" s="4">
        <f t="shared" si="642"/>
        <v>0</v>
      </c>
      <c r="AR195" s="4" t="e">
        <f>#REF!/G195*F195^0.5/0.19</f>
        <v>#REF!</v>
      </c>
      <c r="AS195" s="4">
        <f t="shared" si="696"/>
        <v>1</v>
      </c>
      <c r="AT195" s="38">
        <f t="shared" si="697"/>
        <v>418</v>
      </c>
      <c r="AU195" s="4">
        <f t="shared" si="698"/>
        <v>0.44000000000000006</v>
      </c>
      <c r="AV195" s="4" t="e">
        <f>AU195*D195*#REF!/(D195*G195/2.75/F195^0.5)</f>
        <v>#REF!</v>
      </c>
      <c r="AW195" s="4" t="e">
        <f t="shared" si="699"/>
        <v>#REF!</v>
      </c>
      <c r="AY195" s="4">
        <f t="shared" si="700"/>
        <v>1.25</v>
      </c>
      <c r="AZ195" s="4" t="e">
        <f>(3*#REF!+30)*AY195*F195^0.5</f>
        <v>#REF!</v>
      </c>
      <c r="BB195" s="4">
        <f t="shared" si="701"/>
        <v>400.91311806903559</v>
      </c>
      <c r="BC195" s="4">
        <f t="shared" si="702"/>
        <v>450.3525339151019</v>
      </c>
      <c r="BD195" s="4">
        <f t="shared" si="703"/>
        <v>1.1233170320896135</v>
      </c>
      <c r="BL195" s="4">
        <f t="shared" si="704"/>
        <v>114.6</v>
      </c>
      <c r="BP195" s="9"/>
      <c r="BR195" s="9"/>
      <c r="BS195" s="9"/>
      <c r="BT195" s="9">
        <f t="shared" si="705"/>
        <v>56</v>
      </c>
      <c r="BU195" s="9">
        <f t="shared" si="706"/>
        <v>177.63</v>
      </c>
      <c r="BV195" s="9">
        <f t="shared" si="707"/>
        <v>1.1754818988273255</v>
      </c>
      <c r="BW195" s="9">
        <v>0</v>
      </c>
      <c r="BX195" s="9">
        <f t="shared" si="708"/>
        <v>0</v>
      </c>
      <c r="BY195" s="9">
        <f t="shared" si="709"/>
        <v>0</v>
      </c>
      <c r="BZ195" s="9">
        <f t="shared" si="710"/>
        <v>0.77971450958075206</v>
      </c>
      <c r="CA195" s="9">
        <f t="shared" si="711"/>
        <v>0.87549999999999994</v>
      </c>
      <c r="CB195" s="9">
        <f t="shared" si="712"/>
        <v>1.5447135341285001</v>
      </c>
      <c r="CC195" s="9">
        <f t="shared" si="713"/>
        <v>1.8157827982416379</v>
      </c>
      <c r="CD195" s="9">
        <v>1</v>
      </c>
      <c r="CE195" s="9" t="e">
        <f>4*CC195*#REF!+60*CC195</f>
        <v>#REF!</v>
      </c>
      <c r="CG195" s="4" t="e">
        <f t="shared" si="714"/>
        <v>#REF!</v>
      </c>
      <c r="CH195" s="4" t="e">
        <f t="shared" si="715"/>
        <v>#REF!</v>
      </c>
      <c r="CI195" s="4" t="e">
        <f t="shared" si="716"/>
        <v>#REF!</v>
      </c>
      <c r="CJ195" s="4" t="e">
        <f t="shared" si="717"/>
        <v>#REF!</v>
      </c>
      <c r="CK195" s="4">
        <f t="shared" si="718"/>
        <v>1.118054357765794</v>
      </c>
      <c r="CL195" s="4">
        <f t="shared" si="719"/>
        <v>1.2142589675863487</v>
      </c>
      <c r="CM195" s="4">
        <f t="shared" si="720"/>
        <v>1.2336405483318309</v>
      </c>
      <c r="CO195" s="4" t="e">
        <f t="shared" si="794"/>
        <v>#REF!</v>
      </c>
      <c r="CP195" s="4" t="e">
        <f t="shared" si="794"/>
        <v>#REF!</v>
      </c>
      <c r="CQ195" s="4" t="e">
        <f>CJ195</f>
        <v>#REF!</v>
      </c>
      <c r="CR195" s="4">
        <f t="shared" si="795"/>
        <v>1.2336405483318309</v>
      </c>
      <c r="CS195" s="4">
        <f t="shared" si="796"/>
        <v>1.118054357765794</v>
      </c>
      <c r="CT195" s="4">
        <f t="shared" si="796"/>
        <v>1.2142589675863487</v>
      </c>
      <c r="DB195" s="4">
        <f t="shared" si="722"/>
        <v>0</v>
      </c>
      <c r="DC195" s="4" t="e">
        <f>#REF!</f>
        <v>#REF!</v>
      </c>
      <c r="DF195" s="4">
        <f t="shared" si="723"/>
        <v>3.0965438467699871E-5</v>
      </c>
      <c r="DG195" s="4">
        <f t="shared" si="724"/>
        <v>5.9019770698752589</v>
      </c>
      <c r="DH195" s="4">
        <f t="shared" si="725"/>
        <v>0.6026645535058458</v>
      </c>
      <c r="DI195" s="4">
        <f t="shared" si="726"/>
        <v>4.8197862381440757</v>
      </c>
      <c r="DJ195" s="4">
        <f t="shared" si="727"/>
        <v>5.3881474261259941</v>
      </c>
      <c r="DK195" s="4">
        <f t="shared" si="728"/>
        <v>4.390494243913488</v>
      </c>
      <c r="DL195" s="38">
        <f t="shared" si="729"/>
        <v>525.91360689743146</v>
      </c>
      <c r="DM195" s="4" t="e">
        <f t="shared" si="730"/>
        <v>#REF!</v>
      </c>
      <c r="DN195" s="4">
        <f t="shared" si="731"/>
        <v>2.2360679774997898</v>
      </c>
      <c r="DO195" s="4">
        <f t="shared" si="776"/>
        <v>202.11819954916842</v>
      </c>
      <c r="DS195" s="4">
        <f t="shared" si="733"/>
        <v>1</v>
      </c>
      <c r="DT195" s="4">
        <f t="shared" si="734"/>
        <v>0.9</v>
      </c>
      <c r="DU195" s="4">
        <f t="shared" si="735"/>
        <v>1</v>
      </c>
      <c r="DV195" s="4">
        <f t="shared" si="736"/>
        <v>0.9</v>
      </c>
      <c r="DX195" s="4">
        <f t="shared" si="737"/>
        <v>484.24596045504273</v>
      </c>
      <c r="DY195" s="25">
        <f t="shared" si="738"/>
        <v>200.95106110103035</v>
      </c>
      <c r="EB195" s="4">
        <f t="shared" si="739"/>
        <v>5.9019770698752589</v>
      </c>
      <c r="EE195" s="4">
        <f t="shared" si="740"/>
        <v>128.12669511073796</v>
      </c>
      <c r="EF195" s="4">
        <f t="shared" si="741"/>
        <v>2.2360679774997898</v>
      </c>
      <c r="EG195" s="4">
        <f t="shared" si="742"/>
        <v>0.21305859310689335</v>
      </c>
      <c r="EJ195" s="4">
        <f t="shared" si="743"/>
        <v>0.21305859310689335</v>
      </c>
      <c r="EK195" s="4">
        <f t="shared" si="744"/>
        <v>0.60165881868744842</v>
      </c>
      <c r="EL195" s="4">
        <f t="shared" si="745"/>
        <v>4.816567295993508</v>
      </c>
      <c r="EM195" s="4">
        <f t="shared" si="746"/>
        <v>5.3867083605866668</v>
      </c>
      <c r="EN195" s="4" t="e">
        <f t="shared" si="747"/>
        <v>#REF!</v>
      </c>
      <c r="EO195" s="4" t="e">
        <f t="shared" si="748"/>
        <v>#REF!</v>
      </c>
      <c r="EP195" s="4" t="e">
        <f t="shared" si="749"/>
        <v>#REF!</v>
      </c>
      <c r="EQ195" s="4" t="e">
        <f t="shared" si="750"/>
        <v>#REF!</v>
      </c>
      <c r="ER195" s="4" t="e">
        <f t="shared" si="751"/>
        <v>#REF!</v>
      </c>
      <c r="FA195" s="23" t="e">
        <f t="shared" si="752"/>
        <v>#REF!</v>
      </c>
      <c r="FB195" s="23" t="e">
        <f t="shared" si="753"/>
        <v>#REF!</v>
      </c>
      <c r="FC195" s="23">
        <f t="shared" si="754"/>
        <v>1.4</v>
      </c>
      <c r="FD195" s="23" t="e">
        <f t="shared" si="755"/>
        <v>#REF!</v>
      </c>
      <c r="FE195" s="23">
        <f t="shared" si="756"/>
        <v>1.2</v>
      </c>
      <c r="FF195" s="23">
        <f t="shared" si="757"/>
        <v>1.4</v>
      </c>
      <c r="FG195" s="23">
        <f t="shared" si="758"/>
        <v>0</v>
      </c>
      <c r="FH195" s="23"/>
      <c r="FR195" s="4">
        <f t="shared" si="607"/>
        <v>1</v>
      </c>
      <c r="FS195" s="4">
        <f t="shared" si="608"/>
        <v>0.56666666666666665</v>
      </c>
      <c r="FT195" s="4">
        <f t="shared" si="609"/>
        <v>0</v>
      </c>
      <c r="FU195" s="4">
        <f t="shared" si="610"/>
        <v>476.63802944472991</v>
      </c>
    </row>
    <row r="196" spans="1:177" ht="12" customHeight="1" x14ac:dyDescent="0.3">
      <c r="A196" s="4">
        <v>5</v>
      </c>
      <c r="B196" s="24" t="s">
        <v>310</v>
      </c>
      <c r="C196" s="4" t="s">
        <v>153</v>
      </c>
      <c r="D196" s="7">
        <v>661</v>
      </c>
      <c r="E196" s="7">
        <f>4*G196</f>
        <v>88.8</v>
      </c>
      <c r="F196" s="7">
        <v>225.5</v>
      </c>
      <c r="G196" s="7">
        <v>22.2</v>
      </c>
      <c r="H196" s="7">
        <v>366</v>
      </c>
      <c r="I196" s="7">
        <f t="shared" ref="I196:I201" si="797">1*G196</f>
        <v>22.2</v>
      </c>
      <c r="J196" s="7" t="e">
        <f>118-#REF!</f>
        <v>#REF!</v>
      </c>
      <c r="K196" s="7">
        <f t="shared" ref="K196:K227" si="798">H196-2*G196-2*I196</f>
        <v>277.20000000000005</v>
      </c>
      <c r="L196" s="7">
        <v>2</v>
      </c>
      <c r="M196" s="7">
        <f t="shared" ref="M196:M215" si="799">2/3*E196</f>
        <v>59.199999999999996</v>
      </c>
      <c r="N196" s="7">
        <f t="shared" si="684"/>
        <v>1.5</v>
      </c>
      <c r="O196" s="7">
        <f t="shared" si="685"/>
        <v>1.5</v>
      </c>
      <c r="P196" s="7">
        <f t="shared" si="676"/>
        <v>4</v>
      </c>
      <c r="Q196" s="7">
        <f t="shared" si="676"/>
        <v>4</v>
      </c>
      <c r="R196" s="7">
        <f t="shared" si="686"/>
        <v>5</v>
      </c>
      <c r="S196" s="7">
        <f t="shared" si="687"/>
        <v>49.640709100495329</v>
      </c>
      <c r="T196" s="7">
        <f t="shared" si="688"/>
        <v>661</v>
      </c>
      <c r="U196" s="7">
        <v>8</v>
      </c>
      <c r="V196" s="7">
        <f>(853+842)/2</f>
        <v>847.5</v>
      </c>
      <c r="W196" s="7"/>
      <c r="X196" s="4" t="e">
        <f t="shared" si="689"/>
        <v>#REF!</v>
      </c>
      <c r="Y196" s="7"/>
      <c r="Z196" s="7"/>
      <c r="AA196" s="7">
        <v>1</v>
      </c>
      <c r="AB196" s="7"/>
      <c r="AC196" s="7"/>
      <c r="AD196" s="7">
        <f t="shared" si="690"/>
        <v>0.88977955911823625</v>
      </c>
      <c r="AE196" s="4">
        <f t="shared" si="691"/>
        <v>88.8</v>
      </c>
      <c r="AF196" s="4">
        <f t="shared" si="692"/>
        <v>1.25</v>
      </c>
      <c r="AG196" s="4">
        <f t="shared" si="693"/>
        <v>162.318079587065</v>
      </c>
      <c r="AH196" s="4">
        <f t="shared" si="694"/>
        <v>0.77499999999999991</v>
      </c>
      <c r="AI196" s="4">
        <v>1.25</v>
      </c>
      <c r="AJ196" s="47">
        <v>5</v>
      </c>
      <c r="AK196" s="38">
        <f t="shared" ref="AK196:AK215" si="800">AF196*AH196*AI196*AJ196*AG196</f>
        <v>982.7852474998075</v>
      </c>
      <c r="AL196" s="38">
        <f t="shared" si="762"/>
        <v>982.7852474998075</v>
      </c>
      <c r="AM196" s="38">
        <f t="shared" si="695"/>
        <v>6.7681675210006302</v>
      </c>
      <c r="AN196" s="38">
        <f t="shared" si="640"/>
        <v>1080.1783801349238</v>
      </c>
      <c r="AO196" s="38">
        <f t="shared" si="548"/>
        <v>0.90983606557377028</v>
      </c>
      <c r="AP196" s="38">
        <f t="shared" si="641"/>
        <v>1.2525708946618597</v>
      </c>
      <c r="AQ196" s="4">
        <f t="shared" si="642"/>
        <v>0</v>
      </c>
      <c r="AR196" s="4" t="e">
        <f>#REF!/G196*F196^0.5/0.19</f>
        <v>#REF!</v>
      </c>
      <c r="AS196" s="4">
        <f t="shared" si="696"/>
        <v>1</v>
      </c>
      <c r="AT196" s="38">
        <f t="shared" si="697"/>
        <v>1353</v>
      </c>
      <c r="AU196" s="4">
        <f t="shared" si="698"/>
        <v>0.44000000000000006</v>
      </c>
      <c r="AV196" s="4" t="e">
        <f>AU196*D196*#REF!/(D196*G196/2.75/F196^0.5)</f>
        <v>#REF!</v>
      </c>
      <c r="AW196" s="4" t="e">
        <f t="shared" ref="AW196:AW215" si="801">AT196+AV196</f>
        <v>#REF!</v>
      </c>
      <c r="AY196" s="4">
        <f t="shared" si="700"/>
        <v>1</v>
      </c>
      <c r="AZ196" s="4" t="e">
        <f>(3*#REF!+30)*AY196*F196^0.5</f>
        <v>#REF!</v>
      </c>
      <c r="BB196" s="4">
        <f t="shared" si="701"/>
        <v>1297.6924611181944</v>
      </c>
      <c r="BC196" s="4">
        <f t="shared" si="702"/>
        <v>3606.2915864545262</v>
      </c>
      <c r="BD196" s="4">
        <f t="shared" si="672"/>
        <v>2.779003265031732</v>
      </c>
      <c r="BL196" s="4">
        <f t="shared" si="704"/>
        <v>22.2</v>
      </c>
      <c r="BP196" s="9"/>
      <c r="BR196" s="9"/>
      <c r="BS196" s="9"/>
      <c r="BT196" s="9" t="e">
        <f t="shared" si="705"/>
        <v>#REF!</v>
      </c>
      <c r="BU196" s="9">
        <f t="shared" si="706"/>
        <v>138.60000000000002</v>
      </c>
      <c r="BV196" s="9" t="e">
        <f t="shared" si="707"/>
        <v>#REF!</v>
      </c>
      <c r="BW196" s="9">
        <v>0</v>
      </c>
      <c r="BX196" s="9">
        <f t="shared" si="708"/>
        <v>0</v>
      </c>
      <c r="BY196" s="9">
        <f t="shared" ref="BY196:BY215" si="802">MAX(0,BW196*(BX196-0.5/50))</f>
        <v>0</v>
      </c>
      <c r="BZ196" s="9">
        <f t="shared" si="710"/>
        <v>1</v>
      </c>
      <c r="CA196" s="9">
        <f t="shared" si="711"/>
        <v>0.78899999999999992</v>
      </c>
      <c r="CB196" s="9">
        <f t="shared" si="712"/>
        <v>4.1468499458926642</v>
      </c>
      <c r="CC196" s="9" t="e">
        <f t="shared" si="713"/>
        <v>#REF!</v>
      </c>
      <c r="CD196" s="9">
        <v>1</v>
      </c>
      <c r="CE196" s="9" t="e">
        <f>4*CC196*#REF!+60*CC196</f>
        <v>#REF!</v>
      </c>
      <c r="CG196" s="4" t="e">
        <f t="shared" ref="CG196:CG215" si="803">V196/AR196</f>
        <v>#REF!</v>
      </c>
      <c r="CH196" s="4" t="e">
        <f t="shared" ref="CH196:CH215" si="804">V196/AW196</f>
        <v>#REF!</v>
      </c>
      <c r="CI196" s="4" t="e">
        <f t="shared" ref="CI196:CI215" si="805">V196/AZ196</f>
        <v>#REF!</v>
      </c>
      <c r="CJ196" s="4" t="e">
        <f t="shared" ref="CJ196:CJ215" si="806">V196/CE196</f>
        <v>#REF!</v>
      </c>
      <c r="CK196" s="44" t="e">
        <f t="shared" ref="CK196:CK215" si="807">V196/DL196</f>
        <v>#REF!</v>
      </c>
      <c r="CL196" s="4" t="e">
        <f t="shared" ref="CL196:CL215" si="808">V196/DX196</f>
        <v>#REF!</v>
      </c>
      <c r="CM196" s="4">
        <f t="shared" si="720"/>
        <v>3.203833724920901</v>
      </c>
      <c r="CO196" s="4" t="e">
        <f t="shared" ref="CO196:CO228" si="809">CG196</f>
        <v>#REF!</v>
      </c>
      <c r="CP196" s="4" t="e">
        <f t="shared" ref="CP196:CP228" si="810">CH196</f>
        <v>#REF!</v>
      </c>
      <c r="CQ196" s="4" t="e">
        <f t="shared" ref="CQ196:CQ228" si="811">CJ196</f>
        <v>#REF!</v>
      </c>
      <c r="CR196" s="4">
        <f t="shared" si="795"/>
        <v>3.203833724920901</v>
      </c>
      <c r="CS196" s="4" t="e">
        <f t="shared" ref="CS196:CS228" si="812">CK196</f>
        <v>#REF!</v>
      </c>
      <c r="CT196" s="4" t="e">
        <f t="shared" ref="CT196:CT228" si="813">CL196</f>
        <v>#REF!</v>
      </c>
      <c r="DB196" s="4">
        <f t="shared" si="677"/>
        <v>0</v>
      </c>
      <c r="DC196" s="4" t="e">
        <f>#REF!</f>
        <v>#REF!</v>
      </c>
      <c r="DF196" s="4">
        <f t="shared" si="723"/>
        <v>2.8168411137544479E-5</v>
      </c>
      <c r="DG196" s="4" t="e">
        <f t="shared" si="724"/>
        <v>#REF!</v>
      </c>
      <c r="DH196" s="4">
        <f t="shared" si="725"/>
        <v>0.23130967389770252</v>
      </c>
      <c r="DI196" s="4" t="e">
        <f t="shared" si="726"/>
        <v>#REF!</v>
      </c>
      <c r="DJ196" s="4" t="e">
        <f t="shared" si="727"/>
        <v>#REF!</v>
      </c>
      <c r="DK196" s="4" t="e">
        <f t="shared" si="728"/>
        <v>#REF!</v>
      </c>
      <c r="DL196" s="38" t="e">
        <f t="shared" si="729"/>
        <v>#REF!</v>
      </c>
      <c r="DM196" s="4" t="e">
        <f t="shared" si="730"/>
        <v>#REF!</v>
      </c>
      <c r="DN196" s="4">
        <f t="shared" si="731"/>
        <v>2.2360679774997898</v>
      </c>
      <c r="DO196" s="4">
        <f t="shared" si="776"/>
        <v>1080.1783801349238</v>
      </c>
      <c r="DS196" s="4" t="e">
        <f t="shared" si="733"/>
        <v>#REF!</v>
      </c>
      <c r="DT196" s="4">
        <f t="shared" si="734"/>
        <v>1</v>
      </c>
      <c r="DU196" s="4">
        <f t="shared" si="735"/>
        <v>1</v>
      </c>
      <c r="DV196" s="4">
        <f t="shared" si="736"/>
        <v>1</v>
      </c>
      <c r="DX196" s="4" t="e">
        <f t="shared" si="737"/>
        <v>#REF!</v>
      </c>
      <c r="DY196" s="25">
        <f t="shared" ref="DY196:DY215" si="814">26.5*H196*E196^0.5*F196^0.5/L196/G196^2*(0.7+I196/5/E196)</f>
        <v>1044.3162458944753</v>
      </c>
      <c r="EB196" s="4" t="e">
        <f t="shared" si="739"/>
        <v>#REF!</v>
      </c>
      <c r="EE196" s="4">
        <f t="shared" si="740"/>
        <v>49.640709100495329</v>
      </c>
      <c r="EF196" s="4">
        <f t="shared" si="741"/>
        <v>2.2360679774997898</v>
      </c>
      <c r="EG196" s="4">
        <f t="shared" si="742"/>
        <v>0.18993383393437457</v>
      </c>
      <c r="EJ196" s="4">
        <f t="shared" ref="EJ196:EJ215" si="815">EG196</f>
        <v>0.18993383393437457</v>
      </c>
      <c r="EK196" s="4">
        <f t="shared" si="744"/>
        <v>0.23092366116223015</v>
      </c>
      <c r="EL196" s="4" t="e">
        <f t="shared" si="679"/>
        <v>#REF!</v>
      </c>
      <c r="EM196" s="4" t="e">
        <f t="shared" ref="EM196:EM215" si="816">EB196/1.4*(1-EK196^1.4)/(1-EK196)</f>
        <v>#REF!</v>
      </c>
      <c r="EN196" s="4" t="e">
        <f t="shared" si="673"/>
        <v>#REF!</v>
      </c>
      <c r="EO196" s="4" t="e">
        <f t="shared" si="674"/>
        <v>#REF!</v>
      </c>
      <c r="EP196" s="4" t="e">
        <f t="shared" si="749"/>
        <v>#REF!</v>
      </c>
      <c r="EQ196" s="4" t="e">
        <f t="shared" ref="EQ196:EQ215" si="817">MAX(0.5*EB196, (1-2*EP196*(EE196*EL196+EN196*EM196))/(1/EB196+EP196*EO196))</f>
        <v>#REF!</v>
      </c>
      <c r="ER196" s="4" t="e">
        <f t="shared" si="751"/>
        <v>#REF!</v>
      </c>
      <c r="FA196" s="23" t="e">
        <f t="shared" ref="FA196:FA215" si="818">IF(CG196&lt;0.6,0.6,IF(CG196&lt;0.8,0.8,IF(CG196&lt;1,1,IF(CG196&lt;1.2,1.2,IF(CG196&lt;1.4,1.4,IF(CG196&lt;1.6,1.6,IF(CG196&lt;1.8,1.8,IF(CG196&lt;2,2,2.2))))))))</f>
        <v>#REF!</v>
      </c>
      <c r="FB196" s="23" t="e">
        <f t="shared" ref="FB196:FB215" si="819">IF(CH196&lt;0.6,0.6,IF(CH196&lt;0.8,0.8,IF(CH196&lt;1,1,IF(CH196&lt;1.2,1.2,IF(CH196&lt;1.4,1.4,IF(CH196&lt;1.6,1.6,IF(CH196&lt;1.8,1.8,IF(CH196&lt;2,2,2.2))))))))</f>
        <v>#REF!</v>
      </c>
      <c r="FC196" s="23">
        <f t="shared" si="754"/>
        <v>2.2000000000000002</v>
      </c>
      <c r="FD196" s="23" t="e">
        <f t="shared" ref="FD196:FD215" si="820">IF(CJ196&lt;0.6,0.6,IF(CJ196&lt;0.8,0.8,IF(CJ196&lt;1,1,IF(CJ196&lt;1.2,1.2,IF(CJ196&lt;1.4,1.4,IF(CJ196&lt;1.6,1.6,IF(CJ196&lt;1.8,1.8,IF(CJ196&lt;2,2,2.2))))))))</f>
        <v>#REF!</v>
      </c>
      <c r="FE196" s="23" t="e">
        <f t="shared" ref="FE196:FE215" si="821">IF(CK196&lt;0.6,0.6,IF(CK196&lt;0.8,0.8,IF(CK196&lt;1,1,IF(CK196&lt;1.2,1.2,IF(CK196&lt;1.4,1.4,IF(CK196&lt;1.6,1.6,IF(CK196&lt;1.8,1.8,IF(CK196&lt;2,2,2.2))))))))</f>
        <v>#REF!</v>
      </c>
      <c r="FF196" s="23" t="e">
        <f t="shared" ref="FF196:FF215" si="822">IF(CL196&lt;0.6,0.6,IF(CL196&lt;0.8,0.8,IF(CL196&lt;1,1,IF(CL196&lt;1.2,1.2,IF(CL196&lt;1.4,1.4,IF(CL196&lt;1.6,1.6,IF(CL196&lt;1.8,1.8,IF(CL196&lt;2,2,2.2))))))))</f>
        <v>#REF!</v>
      </c>
      <c r="FG196" s="23" t="e">
        <f t="shared" ref="FG196:FG215" si="823">IF(FE196&lt;1,1,0)</f>
        <v>#REF!</v>
      </c>
      <c r="FH196" s="23"/>
      <c r="FR196" s="4">
        <f t="shared" si="607"/>
        <v>1.25</v>
      </c>
      <c r="FS196" s="4">
        <f t="shared" si="608"/>
        <v>0.5</v>
      </c>
      <c r="FT196" s="4">
        <f t="shared" si="609"/>
        <v>0</v>
      </c>
      <c r="FU196" s="4">
        <f t="shared" si="610"/>
        <v>264.52683652330421</v>
      </c>
    </row>
    <row r="197" spans="1:177" ht="12" customHeight="1" x14ac:dyDescent="0.3">
      <c r="B197" s="24" t="s">
        <v>309</v>
      </c>
      <c r="C197" s="4" t="s">
        <v>311</v>
      </c>
      <c r="D197" s="7">
        <v>661</v>
      </c>
      <c r="E197" s="7">
        <f t="shared" ref="E197:E213" si="824">4*G197</f>
        <v>88.8</v>
      </c>
      <c r="F197" s="7">
        <v>225.5</v>
      </c>
      <c r="G197" s="7">
        <v>22.2</v>
      </c>
      <c r="H197" s="7">
        <v>366</v>
      </c>
      <c r="I197" s="7">
        <f t="shared" si="797"/>
        <v>22.2</v>
      </c>
      <c r="J197" s="7" t="e">
        <f>118-#REF!</f>
        <v>#REF!</v>
      </c>
      <c r="K197" s="7">
        <f t="shared" si="798"/>
        <v>277.20000000000005</v>
      </c>
      <c r="L197" s="7">
        <v>2</v>
      </c>
      <c r="M197" s="7">
        <f t="shared" si="799"/>
        <v>59.199999999999996</v>
      </c>
      <c r="N197" s="7">
        <f t="shared" si="684"/>
        <v>1.5</v>
      </c>
      <c r="O197" s="7">
        <f t="shared" si="685"/>
        <v>1.5</v>
      </c>
      <c r="P197" s="7">
        <f t="shared" si="676"/>
        <v>4</v>
      </c>
      <c r="Q197" s="7">
        <f t="shared" si="676"/>
        <v>4</v>
      </c>
      <c r="R197" s="7">
        <f t="shared" si="686"/>
        <v>5</v>
      </c>
      <c r="S197" s="7">
        <f t="shared" si="687"/>
        <v>49.640709100495329</v>
      </c>
      <c r="T197" s="7">
        <f t="shared" si="688"/>
        <v>661</v>
      </c>
      <c r="U197" s="7">
        <v>8</v>
      </c>
      <c r="V197" s="7">
        <f>(847+826)/2</f>
        <v>836.5</v>
      </c>
      <c r="W197" s="7"/>
      <c r="X197" s="4" t="e">
        <f t="shared" si="689"/>
        <v>#REF!</v>
      </c>
      <c r="Y197" s="7"/>
      <c r="Z197" s="7"/>
      <c r="AA197" s="7">
        <v>1</v>
      </c>
      <c r="AB197" s="7"/>
      <c r="AC197" s="7"/>
      <c r="AD197" s="7">
        <f t="shared" si="690"/>
        <v>0.88977955911823625</v>
      </c>
      <c r="AE197" s="4">
        <f t="shared" si="691"/>
        <v>88.8</v>
      </c>
      <c r="AF197" s="4">
        <f t="shared" si="692"/>
        <v>1.25</v>
      </c>
      <c r="AG197" s="4">
        <f t="shared" si="693"/>
        <v>162.318079587065</v>
      </c>
      <c r="AH197" s="4">
        <f t="shared" si="694"/>
        <v>0.77499999999999991</v>
      </c>
      <c r="AI197" s="4">
        <v>1.25</v>
      </c>
      <c r="AJ197" s="47">
        <f>AJ196</f>
        <v>5</v>
      </c>
      <c r="AK197" s="38">
        <f t="shared" si="800"/>
        <v>982.7852474998075</v>
      </c>
      <c r="AL197" s="38">
        <f t="shared" si="762"/>
        <v>982.7852474998075</v>
      </c>
      <c r="AM197" s="38">
        <f t="shared" si="695"/>
        <v>6.7681675210006302</v>
      </c>
      <c r="AN197" s="38">
        <f t="shared" si="640"/>
        <v>1080.1783801349238</v>
      </c>
      <c r="AO197" s="38">
        <f t="shared" si="548"/>
        <v>0.90983606557377028</v>
      </c>
      <c r="AP197" s="38">
        <f t="shared" si="641"/>
        <v>1.2525708946618597</v>
      </c>
      <c r="AQ197" s="4">
        <f t="shared" si="642"/>
        <v>0</v>
      </c>
      <c r="AR197" s="4" t="e">
        <f>#REF!/G197*F197^0.5/0.19</f>
        <v>#REF!</v>
      </c>
      <c r="AS197" s="4">
        <f t="shared" si="696"/>
        <v>1</v>
      </c>
      <c r="AT197" s="38">
        <f t="shared" si="697"/>
        <v>1353</v>
      </c>
      <c r="AU197" s="4">
        <f t="shared" si="698"/>
        <v>0.44000000000000006</v>
      </c>
      <c r="AV197" s="4" t="e">
        <f>AU197*D197*#REF!/(D197*G197/2.75/F197^0.5)</f>
        <v>#REF!</v>
      </c>
      <c r="AW197" s="4" t="e">
        <f t="shared" si="801"/>
        <v>#REF!</v>
      </c>
      <c r="AY197" s="4">
        <f t="shared" si="700"/>
        <v>1</v>
      </c>
      <c r="AZ197" s="4" t="e">
        <f>(3*#REF!+30)*AY197*F197^0.5</f>
        <v>#REF!</v>
      </c>
      <c r="BB197" s="4">
        <f t="shared" si="701"/>
        <v>1297.6924611181944</v>
      </c>
      <c r="BC197" s="4">
        <f t="shared" si="702"/>
        <v>3606.2915864545262</v>
      </c>
      <c r="BD197" s="4">
        <f t="shared" si="672"/>
        <v>2.779003265031732</v>
      </c>
      <c r="BL197" s="4">
        <f t="shared" si="704"/>
        <v>22.2</v>
      </c>
      <c r="BP197" s="9"/>
      <c r="BR197" s="9"/>
      <c r="BS197" s="9"/>
      <c r="BT197" s="9" t="e">
        <f t="shared" si="705"/>
        <v>#REF!</v>
      </c>
      <c r="BU197" s="9">
        <f t="shared" si="706"/>
        <v>138.60000000000002</v>
      </c>
      <c r="BV197" s="9" t="e">
        <f t="shared" si="707"/>
        <v>#REF!</v>
      </c>
      <c r="BW197" s="9">
        <v>0</v>
      </c>
      <c r="BX197" s="9">
        <f t="shared" si="708"/>
        <v>0</v>
      </c>
      <c r="BY197" s="9">
        <f t="shared" si="802"/>
        <v>0</v>
      </c>
      <c r="BZ197" s="9">
        <f t="shared" si="710"/>
        <v>1</v>
      </c>
      <c r="CA197" s="9">
        <f t="shared" si="711"/>
        <v>0.78899999999999992</v>
      </c>
      <c r="CB197" s="9">
        <f t="shared" si="712"/>
        <v>4.1468499458926642</v>
      </c>
      <c r="CC197" s="9" t="e">
        <f t="shared" si="713"/>
        <v>#REF!</v>
      </c>
      <c r="CD197" s="9">
        <v>1</v>
      </c>
      <c r="CE197" s="9" t="e">
        <f>4*CC197*#REF!+60*CC197</f>
        <v>#REF!</v>
      </c>
      <c r="CG197" s="4" t="e">
        <f t="shared" si="803"/>
        <v>#REF!</v>
      </c>
      <c r="CH197" s="4" t="e">
        <f t="shared" si="804"/>
        <v>#REF!</v>
      </c>
      <c r="CI197" s="4" t="e">
        <f t="shared" si="805"/>
        <v>#REF!</v>
      </c>
      <c r="CJ197" s="4" t="e">
        <f t="shared" si="806"/>
        <v>#REF!</v>
      </c>
      <c r="CK197" s="44" t="e">
        <f t="shared" si="807"/>
        <v>#REF!</v>
      </c>
      <c r="CL197" s="4" t="e">
        <f t="shared" si="808"/>
        <v>#REF!</v>
      </c>
      <c r="CM197" s="4">
        <f t="shared" si="720"/>
        <v>3.1622500423555562</v>
      </c>
      <c r="CO197" s="4" t="e">
        <f t="shared" si="809"/>
        <v>#REF!</v>
      </c>
      <c r="CP197" s="4" t="e">
        <f t="shared" si="810"/>
        <v>#REF!</v>
      </c>
      <c r="CQ197" s="4" t="e">
        <f t="shared" si="811"/>
        <v>#REF!</v>
      </c>
      <c r="CR197" s="4">
        <f t="shared" si="795"/>
        <v>3.1622500423555562</v>
      </c>
      <c r="CS197" s="4" t="e">
        <f t="shared" si="812"/>
        <v>#REF!</v>
      </c>
      <c r="CT197" s="4" t="e">
        <f t="shared" si="813"/>
        <v>#REF!</v>
      </c>
      <c r="DB197" s="4">
        <f t="shared" si="677"/>
        <v>0</v>
      </c>
      <c r="DC197" s="4" t="e">
        <f>#REF!</f>
        <v>#REF!</v>
      </c>
      <c r="DF197" s="4">
        <f t="shared" si="723"/>
        <v>2.8168411137544479E-5</v>
      </c>
      <c r="DG197" s="4" t="e">
        <f t="shared" si="724"/>
        <v>#REF!</v>
      </c>
      <c r="DH197" s="4">
        <f t="shared" si="725"/>
        <v>0.23130967389770252</v>
      </c>
      <c r="DI197" s="4" t="e">
        <f t="shared" si="726"/>
        <v>#REF!</v>
      </c>
      <c r="DJ197" s="4" t="e">
        <f t="shared" si="727"/>
        <v>#REF!</v>
      </c>
      <c r="DK197" s="4" t="e">
        <f t="shared" si="728"/>
        <v>#REF!</v>
      </c>
      <c r="DL197" s="38" t="e">
        <f t="shared" si="729"/>
        <v>#REF!</v>
      </c>
      <c r="DM197" s="4" t="e">
        <f t="shared" si="730"/>
        <v>#REF!</v>
      </c>
      <c r="DN197" s="4">
        <f t="shared" si="731"/>
        <v>2.2360679774997898</v>
      </c>
      <c r="DO197" s="4">
        <f t="shared" si="776"/>
        <v>1080.1783801349238</v>
      </c>
      <c r="DS197" s="4" t="e">
        <f t="shared" si="733"/>
        <v>#REF!</v>
      </c>
      <c r="DT197" s="4">
        <f t="shared" si="734"/>
        <v>1</v>
      </c>
      <c r="DU197" s="4">
        <f t="shared" si="735"/>
        <v>1</v>
      </c>
      <c r="DV197" s="4">
        <f t="shared" si="736"/>
        <v>1</v>
      </c>
      <c r="DX197" s="4" t="e">
        <f t="shared" si="737"/>
        <v>#REF!</v>
      </c>
      <c r="DY197" s="25">
        <f t="shared" si="814"/>
        <v>1044.3162458944753</v>
      </c>
      <c r="EB197" s="4" t="e">
        <f t="shared" si="739"/>
        <v>#REF!</v>
      </c>
      <c r="EE197" s="4">
        <f t="shared" si="740"/>
        <v>49.640709100495329</v>
      </c>
      <c r="EF197" s="4">
        <f t="shared" si="741"/>
        <v>2.2360679774997898</v>
      </c>
      <c r="EG197" s="4">
        <f t="shared" si="742"/>
        <v>0.18993383393437457</v>
      </c>
      <c r="EJ197" s="4">
        <f t="shared" si="815"/>
        <v>0.18993383393437457</v>
      </c>
      <c r="EK197" s="4">
        <f t="shared" si="744"/>
        <v>0.23092366116223015</v>
      </c>
      <c r="EL197" s="4" t="e">
        <f t="shared" si="679"/>
        <v>#REF!</v>
      </c>
      <c r="EM197" s="4" t="e">
        <f t="shared" si="816"/>
        <v>#REF!</v>
      </c>
      <c r="EN197" s="4" t="e">
        <f t="shared" si="673"/>
        <v>#REF!</v>
      </c>
      <c r="EO197" s="4" t="e">
        <f t="shared" si="674"/>
        <v>#REF!</v>
      </c>
      <c r="EP197" s="4" t="e">
        <f t="shared" si="749"/>
        <v>#REF!</v>
      </c>
      <c r="EQ197" s="4" t="e">
        <f t="shared" si="817"/>
        <v>#REF!</v>
      </c>
      <c r="ER197" s="4" t="e">
        <f t="shared" si="751"/>
        <v>#REF!</v>
      </c>
      <c r="FA197" s="23" t="e">
        <f t="shared" si="818"/>
        <v>#REF!</v>
      </c>
      <c r="FB197" s="23" t="e">
        <f t="shared" si="819"/>
        <v>#REF!</v>
      </c>
      <c r="FC197" s="23">
        <f t="shared" si="754"/>
        <v>2.2000000000000002</v>
      </c>
      <c r="FD197" s="23" t="e">
        <f t="shared" si="820"/>
        <v>#REF!</v>
      </c>
      <c r="FE197" s="23" t="e">
        <f t="shared" si="821"/>
        <v>#REF!</v>
      </c>
      <c r="FF197" s="23" t="e">
        <f t="shared" si="822"/>
        <v>#REF!</v>
      </c>
      <c r="FG197" s="23" t="e">
        <f t="shared" si="823"/>
        <v>#REF!</v>
      </c>
      <c r="FH197" s="23"/>
      <c r="FR197" s="4">
        <f t="shared" si="607"/>
        <v>1.25</v>
      </c>
      <c r="FS197" s="4">
        <f t="shared" si="608"/>
        <v>0.5</v>
      </c>
      <c r="FT197" s="4">
        <f t="shared" si="609"/>
        <v>0</v>
      </c>
      <c r="FU197" s="4">
        <f t="shared" si="610"/>
        <v>264.52683652330421</v>
      </c>
    </row>
    <row r="198" spans="1:177" ht="12" customHeight="1" x14ac:dyDescent="0.3">
      <c r="B198" s="24" t="s">
        <v>657</v>
      </c>
      <c r="C198" s="4" t="s">
        <v>312</v>
      </c>
      <c r="D198" s="7">
        <v>667</v>
      </c>
      <c r="E198" s="7">
        <f t="shared" si="824"/>
        <v>88.8</v>
      </c>
      <c r="F198" s="7">
        <v>225.5</v>
      </c>
      <c r="G198" s="7">
        <v>22.2</v>
      </c>
      <c r="H198" s="7">
        <v>396</v>
      </c>
      <c r="I198" s="7">
        <f t="shared" si="797"/>
        <v>22.2</v>
      </c>
      <c r="J198" s="7" t="e">
        <f>171-#REF!</f>
        <v>#REF!</v>
      </c>
      <c r="K198" s="7">
        <f t="shared" si="798"/>
        <v>307.20000000000005</v>
      </c>
      <c r="L198" s="7">
        <v>2</v>
      </c>
      <c r="M198" s="7">
        <f t="shared" si="799"/>
        <v>59.199999999999996</v>
      </c>
      <c r="N198" s="7">
        <f t="shared" si="684"/>
        <v>1.5</v>
      </c>
      <c r="O198" s="7">
        <f t="shared" si="685"/>
        <v>1.5</v>
      </c>
      <c r="P198" s="7">
        <f t="shared" si="676"/>
        <v>4</v>
      </c>
      <c r="Q198" s="7">
        <f t="shared" si="676"/>
        <v>4</v>
      </c>
      <c r="R198" s="7">
        <f t="shared" si="686"/>
        <v>5</v>
      </c>
      <c r="S198" s="7">
        <f t="shared" si="687"/>
        <v>49.640709100495329</v>
      </c>
      <c r="T198" s="7">
        <f t="shared" si="688"/>
        <v>667</v>
      </c>
      <c r="U198" s="7">
        <v>11</v>
      </c>
      <c r="V198" s="7">
        <f>(728+642)/2</f>
        <v>685</v>
      </c>
      <c r="W198" s="7"/>
      <c r="X198" s="4" t="e">
        <f t="shared" si="689"/>
        <v>#REF!</v>
      </c>
      <c r="Y198" s="7"/>
      <c r="Z198" s="7"/>
      <c r="AA198" s="7">
        <v>1</v>
      </c>
      <c r="AB198" s="7"/>
      <c r="AC198" s="7"/>
      <c r="AD198" s="7">
        <f t="shared" si="690"/>
        <v>0.808743169398907</v>
      </c>
      <c r="AE198" s="4">
        <f t="shared" si="691"/>
        <v>88.8</v>
      </c>
      <c r="AF198" s="4">
        <f t="shared" si="692"/>
        <v>1.25</v>
      </c>
      <c r="AG198" s="4">
        <f t="shared" si="693"/>
        <v>162.318079587065</v>
      </c>
      <c r="AH198" s="4">
        <f t="shared" si="694"/>
        <v>0.77499999999999991</v>
      </c>
      <c r="AI198" s="4">
        <v>1.25</v>
      </c>
      <c r="AJ198" s="47">
        <f t="shared" ref="AJ198:AJ215" si="825">AJ197</f>
        <v>5</v>
      </c>
      <c r="AK198" s="38">
        <f t="shared" si="800"/>
        <v>982.7852474998075</v>
      </c>
      <c r="AL198" s="38">
        <f t="shared" si="762"/>
        <v>982.7852474998075</v>
      </c>
      <c r="AM198" s="38">
        <f t="shared" si="695"/>
        <v>6.7681675210006302</v>
      </c>
      <c r="AN198" s="38">
        <f t="shared" si="640"/>
        <v>1168.717591621393</v>
      </c>
      <c r="AO198" s="38">
        <f t="shared" si="548"/>
        <v>0.84090909090909072</v>
      </c>
      <c r="AP198" s="38">
        <f t="shared" si="641"/>
        <v>1.1576791602177794</v>
      </c>
      <c r="AQ198" s="4">
        <f t="shared" si="642"/>
        <v>0</v>
      </c>
      <c r="AR198" s="4" t="e">
        <f>#REF!/G198*F198^0.5/0.19</f>
        <v>#REF!</v>
      </c>
      <c r="AS198" s="4">
        <f t="shared" si="696"/>
        <v>1</v>
      </c>
      <c r="AT198" s="38">
        <f t="shared" si="697"/>
        <v>1353</v>
      </c>
      <c r="AU198" s="4">
        <f t="shared" si="698"/>
        <v>0.44000000000000006</v>
      </c>
      <c r="AV198" s="4" t="e">
        <f>AU198*D198*#REF!/(D198*G198/2.75/F198^0.5)</f>
        <v>#REF!</v>
      </c>
      <c r="AW198" s="4" t="e">
        <f t="shared" si="801"/>
        <v>#REF!</v>
      </c>
      <c r="AY198" s="4">
        <f t="shared" si="700"/>
        <v>1</v>
      </c>
      <c r="AZ198" s="4" t="e">
        <f>(3*#REF!+30)*AY198*F198^0.5</f>
        <v>#REF!</v>
      </c>
      <c r="BB198" s="4">
        <f t="shared" si="701"/>
        <v>1297.6924611181944</v>
      </c>
      <c r="BC198" s="4">
        <f t="shared" si="702"/>
        <v>6880.0343955178114</v>
      </c>
      <c r="BD198" s="4">
        <f t="shared" si="672"/>
        <v>5.3017449061770998</v>
      </c>
      <c r="BL198" s="4">
        <f t="shared" si="704"/>
        <v>22.2</v>
      </c>
      <c r="BP198" s="9"/>
      <c r="BR198" s="9"/>
      <c r="BS198" s="9"/>
      <c r="BT198" s="9" t="e">
        <f t="shared" si="705"/>
        <v>#REF!</v>
      </c>
      <c r="BU198" s="9">
        <f t="shared" si="706"/>
        <v>153.60000000000002</v>
      </c>
      <c r="BV198" s="9" t="e">
        <f t="shared" si="707"/>
        <v>#REF!</v>
      </c>
      <c r="BW198" s="9">
        <v>0</v>
      </c>
      <c r="BX198" s="9">
        <f t="shared" si="708"/>
        <v>0</v>
      </c>
      <c r="BY198" s="9">
        <f t="shared" si="802"/>
        <v>0</v>
      </c>
      <c r="BZ198" s="9">
        <f t="shared" si="710"/>
        <v>1</v>
      </c>
      <c r="CA198" s="9">
        <f t="shared" si="711"/>
        <v>0.78299999999999992</v>
      </c>
      <c r="CB198" s="9">
        <f t="shared" si="712"/>
        <v>4.1153149653155339</v>
      </c>
      <c r="CC198" s="9" t="e">
        <f t="shared" si="713"/>
        <v>#REF!</v>
      </c>
      <c r="CD198" s="9">
        <v>1</v>
      </c>
      <c r="CE198" s="9" t="e">
        <f>4*CC198*#REF!+60*CC198</f>
        <v>#REF!</v>
      </c>
      <c r="CG198" s="4" t="e">
        <f t="shared" si="803"/>
        <v>#REF!</v>
      </c>
      <c r="CH198" s="4" t="e">
        <f t="shared" si="804"/>
        <v>#REF!</v>
      </c>
      <c r="CI198" s="4" t="e">
        <f t="shared" si="805"/>
        <v>#REF!</v>
      </c>
      <c r="CJ198" s="4" t="e">
        <f t="shared" si="806"/>
        <v>#REF!</v>
      </c>
      <c r="CK198" s="44" t="e">
        <f t="shared" si="807"/>
        <v>#REF!</v>
      </c>
      <c r="CL198" s="4" t="e">
        <f t="shared" si="808"/>
        <v>#REF!</v>
      </c>
      <c r="CM198" s="4">
        <f t="shared" si="720"/>
        <v>2.5895293233873948</v>
      </c>
      <c r="CO198" s="4" t="e">
        <f t="shared" si="809"/>
        <v>#REF!</v>
      </c>
      <c r="CP198" s="4" t="e">
        <f t="shared" si="810"/>
        <v>#REF!</v>
      </c>
      <c r="CQ198" s="4" t="e">
        <f t="shared" si="811"/>
        <v>#REF!</v>
      </c>
      <c r="CR198" s="4">
        <f t="shared" si="795"/>
        <v>2.5895293233873948</v>
      </c>
      <c r="CS198" s="4" t="e">
        <f t="shared" si="812"/>
        <v>#REF!</v>
      </c>
      <c r="CT198" s="4" t="e">
        <f t="shared" si="813"/>
        <v>#REF!</v>
      </c>
      <c r="DB198" s="4">
        <f t="shared" si="677"/>
        <v>0</v>
      </c>
      <c r="DC198" s="4" t="e">
        <f>#REF!</f>
        <v>#REF!</v>
      </c>
      <c r="DF198" s="4">
        <f t="shared" si="723"/>
        <v>2.8168411137544479E-5</v>
      </c>
      <c r="DG198" s="4" t="e">
        <f t="shared" si="724"/>
        <v>#REF!</v>
      </c>
      <c r="DH198" s="4">
        <f t="shared" si="725"/>
        <v>0.25026948323357978</v>
      </c>
      <c r="DI198" s="4" t="e">
        <f t="shared" si="726"/>
        <v>#REF!</v>
      </c>
      <c r="DJ198" s="4" t="e">
        <f t="shared" si="727"/>
        <v>#REF!</v>
      </c>
      <c r="DK198" s="4" t="e">
        <f t="shared" si="728"/>
        <v>#REF!</v>
      </c>
      <c r="DL198" s="38" t="e">
        <f t="shared" si="729"/>
        <v>#REF!</v>
      </c>
      <c r="DM198" s="4" t="e">
        <f t="shared" si="730"/>
        <v>#REF!</v>
      </c>
      <c r="DN198" s="4">
        <f t="shared" si="731"/>
        <v>2.2360679774997898</v>
      </c>
      <c r="DO198" s="4">
        <f t="shared" si="776"/>
        <v>1168.717591621393</v>
      </c>
      <c r="DS198" s="4" t="e">
        <f t="shared" si="733"/>
        <v>#REF!</v>
      </c>
      <c r="DT198" s="4">
        <f t="shared" si="734"/>
        <v>1</v>
      </c>
      <c r="DU198" s="4">
        <f t="shared" si="735"/>
        <v>1</v>
      </c>
      <c r="DV198" s="4">
        <f t="shared" si="736"/>
        <v>1</v>
      </c>
      <c r="DX198" s="4" t="e">
        <f t="shared" si="737"/>
        <v>#REF!</v>
      </c>
      <c r="DY198" s="25">
        <f t="shared" si="814"/>
        <v>1129.9159381809077</v>
      </c>
      <c r="EB198" s="4" t="e">
        <f t="shared" si="739"/>
        <v>#REF!</v>
      </c>
      <c r="EE198" s="4">
        <f t="shared" si="740"/>
        <v>49.640709100495329</v>
      </c>
      <c r="EF198" s="4">
        <f t="shared" si="741"/>
        <v>2.2360679774997898</v>
      </c>
      <c r="EG198" s="4">
        <f t="shared" si="742"/>
        <v>0.20550218097817574</v>
      </c>
      <c r="EJ198" s="4">
        <f t="shared" si="815"/>
        <v>0.20550218097817574</v>
      </c>
      <c r="EK198" s="4">
        <f t="shared" si="744"/>
        <v>0.2498518301099539</v>
      </c>
      <c r="EL198" s="4" t="e">
        <f t="shared" si="679"/>
        <v>#REF!</v>
      </c>
      <c r="EM198" s="4" t="e">
        <f t="shared" si="816"/>
        <v>#REF!</v>
      </c>
      <c r="EN198" s="4" t="e">
        <f t="shared" si="673"/>
        <v>#REF!</v>
      </c>
      <c r="EO198" s="4" t="e">
        <f t="shared" si="674"/>
        <v>#REF!</v>
      </c>
      <c r="EP198" s="4" t="e">
        <f t="shared" si="749"/>
        <v>#REF!</v>
      </c>
      <c r="EQ198" s="4" t="e">
        <f t="shared" si="817"/>
        <v>#REF!</v>
      </c>
      <c r="ER198" s="4" t="e">
        <f t="shared" si="751"/>
        <v>#REF!</v>
      </c>
      <c r="FA198" s="23" t="e">
        <f t="shared" si="818"/>
        <v>#REF!</v>
      </c>
      <c r="FB198" s="23" t="e">
        <f t="shared" si="819"/>
        <v>#REF!</v>
      </c>
      <c r="FC198" s="23">
        <f t="shared" si="754"/>
        <v>2.2000000000000002</v>
      </c>
      <c r="FD198" s="23" t="e">
        <f t="shared" si="820"/>
        <v>#REF!</v>
      </c>
      <c r="FE198" s="23" t="e">
        <f t="shared" si="821"/>
        <v>#REF!</v>
      </c>
      <c r="FF198" s="23" t="e">
        <f t="shared" si="822"/>
        <v>#REF!</v>
      </c>
      <c r="FG198" s="23" t="e">
        <f t="shared" si="823"/>
        <v>#REF!</v>
      </c>
      <c r="FH198" s="23"/>
      <c r="FR198" s="4">
        <f t="shared" si="607"/>
        <v>1.25</v>
      </c>
      <c r="FS198" s="4">
        <f t="shared" si="608"/>
        <v>0.5</v>
      </c>
      <c r="FT198" s="4">
        <f t="shared" si="609"/>
        <v>0</v>
      </c>
      <c r="FU198" s="4">
        <f t="shared" si="610"/>
        <v>264.52683652330421</v>
      </c>
    </row>
    <row r="199" spans="1:177" ht="12" customHeight="1" x14ac:dyDescent="0.3">
      <c r="B199" s="24"/>
      <c r="C199" s="4" t="s">
        <v>313</v>
      </c>
      <c r="D199" s="7">
        <v>667</v>
      </c>
      <c r="E199" s="7">
        <f t="shared" si="824"/>
        <v>88.8</v>
      </c>
      <c r="F199" s="7">
        <v>225.5</v>
      </c>
      <c r="G199" s="7">
        <v>22.2</v>
      </c>
      <c r="H199" s="7">
        <v>396</v>
      </c>
      <c r="I199" s="7">
        <f t="shared" si="797"/>
        <v>22.2</v>
      </c>
      <c r="J199" s="7" t="e">
        <f>171-#REF!</f>
        <v>#REF!</v>
      </c>
      <c r="K199" s="7">
        <f t="shared" si="798"/>
        <v>307.20000000000005</v>
      </c>
      <c r="L199" s="7">
        <v>2</v>
      </c>
      <c r="M199" s="7">
        <f t="shared" si="799"/>
        <v>59.199999999999996</v>
      </c>
      <c r="N199" s="7">
        <f t="shared" si="684"/>
        <v>1.5</v>
      </c>
      <c r="O199" s="7">
        <f t="shared" si="685"/>
        <v>1.5</v>
      </c>
      <c r="P199" s="7">
        <f t="shared" si="676"/>
        <v>4</v>
      </c>
      <c r="Q199" s="7">
        <f t="shared" si="676"/>
        <v>4</v>
      </c>
      <c r="R199" s="7">
        <f t="shared" si="686"/>
        <v>5</v>
      </c>
      <c r="S199" s="7">
        <f t="shared" si="687"/>
        <v>49.640709100495329</v>
      </c>
      <c r="T199" s="7">
        <f t="shared" si="688"/>
        <v>667</v>
      </c>
      <c r="U199" s="7">
        <v>11</v>
      </c>
      <c r="V199" s="7">
        <f>(742+707)/2</f>
        <v>724.5</v>
      </c>
      <c r="W199" s="7"/>
      <c r="X199" s="4" t="e">
        <f t="shared" si="689"/>
        <v>#REF!</v>
      </c>
      <c r="Y199" s="7"/>
      <c r="Z199" s="7"/>
      <c r="AA199" s="7">
        <v>1</v>
      </c>
      <c r="AB199" s="7"/>
      <c r="AC199" s="7"/>
      <c r="AD199" s="7">
        <f t="shared" si="690"/>
        <v>0.808743169398907</v>
      </c>
      <c r="AE199" s="4">
        <f t="shared" si="691"/>
        <v>88.8</v>
      </c>
      <c r="AF199" s="4">
        <f t="shared" si="692"/>
        <v>1.25</v>
      </c>
      <c r="AG199" s="4">
        <f t="shared" si="693"/>
        <v>162.318079587065</v>
      </c>
      <c r="AH199" s="4">
        <f t="shared" si="694"/>
        <v>0.77499999999999991</v>
      </c>
      <c r="AI199" s="4">
        <v>1.25</v>
      </c>
      <c r="AJ199" s="47">
        <f t="shared" si="825"/>
        <v>5</v>
      </c>
      <c r="AK199" s="38">
        <f t="shared" si="800"/>
        <v>982.7852474998075</v>
      </c>
      <c r="AL199" s="38">
        <f t="shared" si="762"/>
        <v>982.7852474998075</v>
      </c>
      <c r="AM199" s="38">
        <f t="shared" si="695"/>
        <v>6.7681675210006302</v>
      </c>
      <c r="AN199" s="38">
        <f t="shared" si="640"/>
        <v>1168.717591621393</v>
      </c>
      <c r="AO199" s="38">
        <f t="shared" si="548"/>
        <v>0.84090909090909072</v>
      </c>
      <c r="AP199" s="38">
        <f t="shared" si="641"/>
        <v>1.1576791602177794</v>
      </c>
      <c r="AQ199" s="4">
        <f t="shared" si="642"/>
        <v>0</v>
      </c>
      <c r="AR199" s="4" t="e">
        <f>#REF!/G199*F199^0.5/0.19</f>
        <v>#REF!</v>
      </c>
      <c r="AS199" s="4">
        <f t="shared" si="696"/>
        <v>1</v>
      </c>
      <c r="AT199" s="38">
        <f t="shared" si="697"/>
        <v>1353</v>
      </c>
      <c r="AU199" s="4">
        <f t="shared" si="698"/>
        <v>0.44000000000000006</v>
      </c>
      <c r="AV199" s="4" t="e">
        <f>AU199*D199*#REF!/(D199*G199/2.75/F199^0.5)</f>
        <v>#REF!</v>
      </c>
      <c r="AW199" s="4" t="e">
        <f t="shared" si="801"/>
        <v>#REF!</v>
      </c>
      <c r="AY199" s="4">
        <f t="shared" si="700"/>
        <v>1</v>
      </c>
      <c r="AZ199" s="4" t="e">
        <f>(3*#REF!+30)*AY199*F199^0.5</f>
        <v>#REF!</v>
      </c>
      <c r="BB199" s="4">
        <f t="shared" si="701"/>
        <v>1297.6924611181944</v>
      </c>
      <c r="BC199" s="4">
        <f t="shared" si="702"/>
        <v>6880.0343955178114</v>
      </c>
      <c r="BD199" s="4">
        <f t="shared" si="672"/>
        <v>5.3017449061770998</v>
      </c>
      <c r="BL199" s="4">
        <f t="shared" si="704"/>
        <v>22.2</v>
      </c>
      <c r="BP199" s="9"/>
      <c r="BR199" s="9"/>
      <c r="BS199" s="9"/>
      <c r="BT199" s="9" t="e">
        <f t="shared" si="705"/>
        <v>#REF!</v>
      </c>
      <c r="BU199" s="9">
        <f t="shared" si="706"/>
        <v>153.60000000000002</v>
      </c>
      <c r="BV199" s="9" t="e">
        <f t="shared" si="707"/>
        <v>#REF!</v>
      </c>
      <c r="BW199" s="9">
        <v>0</v>
      </c>
      <c r="BX199" s="9">
        <f t="shared" si="708"/>
        <v>0</v>
      </c>
      <c r="BY199" s="9">
        <f t="shared" si="802"/>
        <v>0</v>
      </c>
      <c r="BZ199" s="9">
        <f t="shared" si="710"/>
        <v>1</v>
      </c>
      <c r="CA199" s="9">
        <f t="shared" si="711"/>
        <v>0.78299999999999992</v>
      </c>
      <c r="CB199" s="9">
        <f t="shared" si="712"/>
        <v>4.1153149653155339</v>
      </c>
      <c r="CC199" s="9" t="e">
        <f t="shared" si="713"/>
        <v>#REF!</v>
      </c>
      <c r="CD199" s="9">
        <v>1</v>
      </c>
      <c r="CE199" s="9" t="e">
        <f>4*CC199*#REF!+60*CC199</f>
        <v>#REF!</v>
      </c>
      <c r="CG199" s="4" t="e">
        <f t="shared" si="803"/>
        <v>#REF!</v>
      </c>
      <c r="CH199" s="4" t="e">
        <f t="shared" si="804"/>
        <v>#REF!</v>
      </c>
      <c r="CI199" s="4" t="e">
        <f t="shared" si="805"/>
        <v>#REF!</v>
      </c>
      <c r="CJ199" s="4" t="e">
        <f t="shared" si="806"/>
        <v>#REF!</v>
      </c>
      <c r="CK199" s="44" t="e">
        <f t="shared" si="807"/>
        <v>#REF!</v>
      </c>
      <c r="CL199" s="4" t="e">
        <f t="shared" si="808"/>
        <v>#REF!</v>
      </c>
      <c r="CM199" s="4">
        <f t="shared" si="720"/>
        <v>2.7388525471447704</v>
      </c>
      <c r="CO199" s="4" t="e">
        <f t="shared" si="809"/>
        <v>#REF!</v>
      </c>
      <c r="CP199" s="4" t="e">
        <f t="shared" si="810"/>
        <v>#REF!</v>
      </c>
      <c r="CQ199" s="4" t="e">
        <f t="shared" si="811"/>
        <v>#REF!</v>
      </c>
      <c r="CR199" s="4">
        <f t="shared" si="795"/>
        <v>2.7388525471447704</v>
      </c>
      <c r="CS199" s="4" t="e">
        <f t="shared" si="812"/>
        <v>#REF!</v>
      </c>
      <c r="CT199" s="4" t="e">
        <f t="shared" si="813"/>
        <v>#REF!</v>
      </c>
      <c r="DB199" s="4">
        <f t="shared" si="677"/>
        <v>0</v>
      </c>
      <c r="DC199" s="4" t="e">
        <f>#REF!</f>
        <v>#REF!</v>
      </c>
      <c r="DF199" s="4">
        <f t="shared" si="723"/>
        <v>2.8168411137544479E-5</v>
      </c>
      <c r="DG199" s="4" t="e">
        <f t="shared" si="724"/>
        <v>#REF!</v>
      </c>
      <c r="DH199" s="4">
        <f t="shared" si="725"/>
        <v>0.25026948323357978</v>
      </c>
      <c r="DI199" s="4" t="e">
        <f t="shared" si="726"/>
        <v>#REF!</v>
      </c>
      <c r="DJ199" s="4" t="e">
        <f t="shared" si="727"/>
        <v>#REF!</v>
      </c>
      <c r="DK199" s="4" t="e">
        <f t="shared" si="728"/>
        <v>#REF!</v>
      </c>
      <c r="DL199" s="38" t="e">
        <f t="shared" si="729"/>
        <v>#REF!</v>
      </c>
      <c r="DM199" s="4" t="e">
        <f t="shared" si="730"/>
        <v>#REF!</v>
      </c>
      <c r="DN199" s="4">
        <f t="shared" si="731"/>
        <v>2.2360679774997898</v>
      </c>
      <c r="DO199" s="4">
        <f t="shared" si="776"/>
        <v>1168.717591621393</v>
      </c>
      <c r="DS199" s="4" t="e">
        <f t="shared" si="733"/>
        <v>#REF!</v>
      </c>
      <c r="DT199" s="4">
        <f t="shared" si="734"/>
        <v>1</v>
      </c>
      <c r="DU199" s="4">
        <f t="shared" si="735"/>
        <v>1</v>
      </c>
      <c r="DV199" s="4">
        <f t="shared" si="736"/>
        <v>1</v>
      </c>
      <c r="DX199" s="4" t="e">
        <f t="shared" si="737"/>
        <v>#REF!</v>
      </c>
      <c r="DY199" s="25">
        <f t="shared" si="814"/>
        <v>1129.9159381809077</v>
      </c>
      <c r="EB199" s="4" t="e">
        <f t="shared" si="739"/>
        <v>#REF!</v>
      </c>
      <c r="EE199" s="4">
        <f t="shared" si="740"/>
        <v>49.640709100495329</v>
      </c>
      <c r="EF199" s="4">
        <f t="shared" si="741"/>
        <v>2.2360679774997898</v>
      </c>
      <c r="EG199" s="4">
        <f t="shared" si="742"/>
        <v>0.20550218097817574</v>
      </c>
      <c r="EJ199" s="4">
        <f t="shared" si="815"/>
        <v>0.20550218097817574</v>
      </c>
      <c r="EK199" s="4">
        <f t="shared" si="744"/>
        <v>0.2498518301099539</v>
      </c>
      <c r="EL199" s="4" t="e">
        <f t="shared" si="679"/>
        <v>#REF!</v>
      </c>
      <c r="EM199" s="4" t="e">
        <f t="shared" si="816"/>
        <v>#REF!</v>
      </c>
      <c r="EN199" s="4" t="e">
        <f t="shared" si="673"/>
        <v>#REF!</v>
      </c>
      <c r="EO199" s="4" t="e">
        <f t="shared" si="674"/>
        <v>#REF!</v>
      </c>
      <c r="EP199" s="4" t="e">
        <f t="shared" si="749"/>
        <v>#REF!</v>
      </c>
      <c r="EQ199" s="4" t="e">
        <f t="shared" si="817"/>
        <v>#REF!</v>
      </c>
      <c r="ER199" s="4" t="e">
        <f t="shared" si="751"/>
        <v>#REF!</v>
      </c>
      <c r="FA199" s="23" t="e">
        <f t="shared" si="818"/>
        <v>#REF!</v>
      </c>
      <c r="FB199" s="23" t="e">
        <f t="shared" si="819"/>
        <v>#REF!</v>
      </c>
      <c r="FC199" s="23">
        <f t="shared" si="754"/>
        <v>2.2000000000000002</v>
      </c>
      <c r="FD199" s="23" t="e">
        <f t="shared" si="820"/>
        <v>#REF!</v>
      </c>
      <c r="FE199" s="23" t="e">
        <f t="shared" si="821"/>
        <v>#REF!</v>
      </c>
      <c r="FF199" s="23" t="e">
        <f t="shared" si="822"/>
        <v>#REF!</v>
      </c>
      <c r="FG199" s="23" t="e">
        <f t="shared" si="823"/>
        <v>#REF!</v>
      </c>
      <c r="FH199" s="23"/>
      <c r="FR199" s="4">
        <f t="shared" si="607"/>
        <v>1.25</v>
      </c>
      <c r="FS199" s="4">
        <f t="shared" si="608"/>
        <v>0.5</v>
      </c>
      <c r="FT199" s="4">
        <f t="shared" si="609"/>
        <v>0</v>
      </c>
      <c r="FU199" s="4">
        <f t="shared" si="610"/>
        <v>264.52683652330421</v>
      </c>
    </row>
    <row r="200" spans="1:177" ht="12" customHeight="1" x14ac:dyDescent="0.3">
      <c r="B200" s="24"/>
      <c r="C200" s="4" t="s">
        <v>153</v>
      </c>
      <c r="D200" s="7">
        <v>679</v>
      </c>
      <c r="E200" s="7">
        <f t="shared" si="824"/>
        <v>88.8</v>
      </c>
      <c r="F200" s="7">
        <v>129.9</v>
      </c>
      <c r="G200" s="7">
        <v>22.2</v>
      </c>
      <c r="H200" s="7">
        <v>366</v>
      </c>
      <c r="I200" s="7">
        <f t="shared" si="797"/>
        <v>22.2</v>
      </c>
      <c r="J200" s="7" t="e">
        <f>118-#REF!</f>
        <v>#REF!</v>
      </c>
      <c r="K200" s="7">
        <f t="shared" si="798"/>
        <v>277.20000000000005</v>
      </c>
      <c r="L200" s="7">
        <v>2</v>
      </c>
      <c r="M200" s="7">
        <f t="shared" si="799"/>
        <v>59.199999999999996</v>
      </c>
      <c r="N200" s="7">
        <f t="shared" si="684"/>
        <v>1.5</v>
      </c>
      <c r="O200" s="7">
        <f t="shared" si="685"/>
        <v>1.5</v>
      </c>
      <c r="P200" s="7">
        <f t="shared" si="676"/>
        <v>4</v>
      </c>
      <c r="Q200" s="7">
        <f t="shared" si="676"/>
        <v>4</v>
      </c>
      <c r="R200" s="7">
        <f t="shared" si="686"/>
        <v>5</v>
      </c>
      <c r="S200" s="7">
        <f t="shared" si="687"/>
        <v>49.640709100495329</v>
      </c>
      <c r="T200" s="7">
        <f t="shared" si="688"/>
        <v>679</v>
      </c>
      <c r="U200" s="7">
        <v>8</v>
      </c>
      <c r="V200" s="7">
        <f>(678+662)/2</f>
        <v>670</v>
      </c>
      <c r="W200" s="7"/>
      <c r="X200" s="4" t="e">
        <f t="shared" si="689"/>
        <v>#REF!</v>
      </c>
      <c r="Y200" s="7"/>
      <c r="Z200" s="7"/>
      <c r="AA200" s="7">
        <v>1</v>
      </c>
      <c r="AB200" s="7"/>
      <c r="AC200" s="7"/>
      <c r="AD200" s="7">
        <f t="shared" si="690"/>
        <v>0.88977955911823625</v>
      </c>
      <c r="AE200" s="4">
        <f t="shared" si="691"/>
        <v>88.8</v>
      </c>
      <c r="AF200" s="4">
        <f t="shared" si="692"/>
        <v>1.25</v>
      </c>
      <c r="AG200" s="4">
        <f t="shared" si="693"/>
        <v>123.19645135939774</v>
      </c>
      <c r="AH200" s="4">
        <f t="shared" si="694"/>
        <v>0.77499999999999991</v>
      </c>
      <c r="AI200" s="4">
        <v>1.25</v>
      </c>
      <c r="AJ200" s="47">
        <f t="shared" si="825"/>
        <v>5</v>
      </c>
      <c r="AK200" s="38">
        <f>AF200*AH200*AI200*AJ200*AG200</f>
        <v>745.91601409010343</v>
      </c>
      <c r="AL200" s="38">
        <f t="shared" si="762"/>
        <v>745.91601409010343</v>
      </c>
      <c r="AM200" s="38">
        <f t="shared" si="695"/>
        <v>5.7111767066521422</v>
      </c>
      <c r="AN200" s="38">
        <f t="shared" si="640"/>
        <v>819.83561909002367</v>
      </c>
      <c r="AO200" s="38">
        <f>AK200/AN200</f>
        <v>0.90983606557377039</v>
      </c>
      <c r="AP200" s="38">
        <f t="shared" si="641"/>
        <v>0.9506783821677508</v>
      </c>
      <c r="AQ200" s="4">
        <f t="shared" si="642"/>
        <v>1</v>
      </c>
      <c r="AR200" s="4" t="e">
        <f>#REF!/G200*F200^0.5/0.19</f>
        <v>#REF!</v>
      </c>
      <c r="AS200" s="4">
        <f t="shared" si="696"/>
        <v>1</v>
      </c>
      <c r="AT200" s="38">
        <f t="shared" si="697"/>
        <v>779.40000000000009</v>
      </c>
      <c r="AU200" s="4">
        <f t="shared" si="698"/>
        <v>0.44000000000000006</v>
      </c>
      <c r="AV200" s="4" t="e">
        <f>AU200*D200*#REF!/(D200*G200/2.75/F200^0.5)</f>
        <v>#REF!</v>
      </c>
      <c r="AW200" s="4" t="e">
        <f t="shared" si="801"/>
        <v>#REF!</v>
      </c>
      <c r="AY200" s="4">
        <f t="shared" si="700"/>
        <v>1</v>
      </c>
      <c r="AZ200" s="4" t="e">
        <f>(3*#REF!+30)*AY200*F200^0.5</f>
        <v>#REF!</v>
      </c>
      <c r="BB200" s="4">
        <f t="shared" si="701"/>
        <v>747.53991440910613</v>
      </c>
      <c r="BC200" s="4">
        <f t="shared" si="702"/>
        <v>3704.4961984911101</v>
      </c>
      <c r="BD200" s="4">
        <f t="shared" si="672"/>
        <v>4.9555831429005819</v>
      </c>
      <c r="BL200" s="4">
        <f t="shared" si="704"/>
        <v>22.2</v>
      </c>
      <c r="BP200" s="9"/>
      <c r="BR200" s="9"/>
      <c r="BS200" s="9"/>
      <c r="BT200" s="9" t="e">
        <f t="shared" si="705"/>
        <v>#REF!</v>
      </c>
      <c r="BU200" s="9">
        <f t="shared" si="706"/>
        <v>138.60000000000002</v>
      </c>
      <c r="BV200" s="9" t="e">
        <f t="shared" si="707"/>
        <v>#REF!</v>
      </c>
      <c r="BW200" s="9">
        <v>0</v>
      </c>
      <c r="BX200" s="9">
        <f t="shared" si="708"/>
        <v>0</v>
      </c>
      <c r="BY200" s="9">
        <f t="shared" si="802"/>
        <v>0</v>
      </c>
      <c r="BZ200" s="9">
        <f t="shared" si="710"/>
        <v>1</v>
      </c>
      <c r="CA200" s="9">
        <f t="shared" si="711"/>
        <v>0.77100000000000002</v>
      </c>
      <c r="CB200" s="9">
        <f t="shared" si="712"/>
        <v>3.0755797864386483</v>
      </c>
      <c r="CC200" s="9" t="e">
        <f t="shared" si="713"/>
        <v>#REF!</v>
      </c>
      <c r="CD200" s="9">
        <v>1</v>
      </c>
      <c r="CE200" s="9" t="e">
        <f>4*CC200*#REF!+60*CC200</f>
        <v>#REF!</v>
      </c>
      <c r="CG200" s="4" t="e">
        <f t="shared" si="803"/>
        <v>#REF!</v>
      </c>
      <c r="CH200" s="4" t="e">
        <f t="shared" si="804"/>
        <v>#REF!</v>
      </c>
      <c r="CI200" s="4" t="e">
        <f t="shared" si="805"/>
        <v>#REF!</v>
      </c>
      <c r="CJ200" s="4" t="e">
        <f t="shared" si="806"/>
        <v>#REF!</v>
      </c>
      <c r="CK200" s="44" t="e">
        <f t="shared" si="807"/>
        <v>#REF!</v>
      </c>
      <c r="CL200" s="4" t="e">
        <f t="shared" si="808"/>
        <v>#REF!</v>
      </c>
      <c r="CM200" s="4">
        <f t="shared" si="720"/>
        <v>2.9072970877236819</v>
      </c>
      <c r="CO200" s="4" t="e">
        <f t="shared" si="809"/>
        <v>#REF!</v>
      </c>
      <c r="CP200" s="4" t="e">
        <f t="shared" si="810"/>
        <v>#REF!</v>
      </c>
      <c r="CQ200" s="4" t="e">
        <f t="shared" si="811"/>
        <v>#REF!</v>
      </c>
      <c r="CR200" s="4">
        <f t="shared" si="795"/>
        <v>2.9072970877236819</v>
      </c>
      <c r="CS200" s="4" t="e">
        <f t="shared" si="812"/>
        <v>#REF!</v>
      </c>
      <c r="CT200" s="4" t="e">
        <f t="shared" si="813"/>
        <v>#REF!</v>
      </c>
      <c r="DB200" s="4">
        <f t="shared" si="677"/>
        <v>0</v>
      </c>
      <c r="DC200" s="4" t="e">
        <f>#REF!</f>
        <v>#REF!</v>
      </c>
      <c r="DF200" s="4">
        <f t="shared" si="723"/>
        <v>1.3307058507295954E-5</v>
      </c>
      <c r="DG200" s="4" t="e">
        <f t="shared" si="724"/>
        <v>#REF!</v>
      </c>
      <c r="DH200" s="4">
        <f t="shared" si="725"/>
        <v>0.30476317818160303</v>
      </c>
      <c r="DI200" s="4" t="e">
        <f t="shared" si="726"/>
        <v>#REF!</v>
      </c>
      <c r="DJ200" s="4" t="e">
        <f t="shared" si="727"/>
        <v>#REF!</v>
      </c>
      <c r="DK200" s="4" t="e">
        <f t="shared" si="728"/>
        <v>#REF!</v>
      </c>
      <c r="DL200" s="38" t="e">
        <f t="shared" si="729"/>
        <v>#REF!</v>
      </c>
      <c r="DM200" s="4" t="e">
        <f t="shared" si="730"/>
        <v>#REF!</v>
      </c>
      <c r="DN200" s="4">
        <f t="shared" si="731"/>
        <v>2.2360679774997898</v>
      </c>
      <c r="DO200" s="4">
        <f t="shared" si="776"/>
        <v>819.83561909002367</v>
      </c>
      <c r="DS200" s="4" t="e">
        <f t="shared" si="733"/>
        <v>#REF!</v>
      </c>
      <c r="DT200" s="4">
        <f t="shared" si="734"/>
        <v>1</v>
      </c>
      <c r="DU200" s="4">
        <f t="shared" si="735"/>
        <v>1</v>
      </c>
      <c r="DV200" s="4">
        <f t="shared" si="736"/>
        <v>1</v>
      </c>
      <c r="DX200" s="4" t="e">
        <f t="shared" si="737"/>
        <v>#REF!</v>
      </c>
      <c r="DY200" s="25">
        <f t="shared" si="814"/>
        <v>792.6169156169592</v>
      </c>
      <c r="EB200" s="4" t="e">
        <f t="shared" si="739"/>
        <v>#REF!</v>
      </c>
      <c r="EE200" s="4">
        <f t="shared" si="740"/>
        <v>49.640709100495329</v>
      </c>
      <c r="EF200" s="4">
        <f t="shared" si="741"/>
        <v>2.2360679774997898</v>
      </c>
      <c r="EG200" s="4">
        <f t="shared" si="742"/>
        <v>0.18993383393437455</v>
      </c>
      <c r="EJ200" s="4">
        <f t="shared" si="815"/>
        <v>0.18993383393437455</v>
      </c>
      <c r="EK200" s="4">
        <f t="shared" si="744"/>
        <v>0.30425458523735305</v>
      </c>
      <c r="EL200" s="4" t="e">
        <f t="shared" si="679"/>
        <v>#REF!</v>
      </c>
      <c r="EM200" s="4" t="e">
        <f t="shared" si="816"/>
        <v>#REF!</v>
      </c>
      <c r="EN200" s="4" t="e">
        <f t="shared" si="673"/>
        <v>#REF!</v>
      </c>
      <c r="EO200" s="4" t="e">
        <f t="shared" si="674"/>
        <v>#REF!</v>
      </c>
      <c r="EP200" s="4" t="e">
        <f t="shared" si="749"/>
        <v>#REF!</v>
      </c>
      <c r="EQ200" s="4" t="e">
        <f t="shared" si="817"/>
        <v>#REF!</v>
      </c>
      <c r="ER200" s="4" t="e">
        <f t="shared" si="751"/>
        <v>#REF!</v>
      </c>
      <c r="FA200" s="23" t="e">
        <f t="shared" si="818"/>
        <v>#REF!</v>
      </c>
      <c r="FB200" s="23" t="e">
        <f t="shared" si="819"/>
        <v>#REF!</v>
      </c>
      <c r="FC200" s="23">
        <f t="shared" si="754"/>
        <v>2.2000000000000002</v>
      </c>
      <c r="FD200" s="23" t="e">
        <f t="shared" si="820"/>
        <v>#REF!</v>
      </c>
      <c r="FE200" s="23" t="e">
        <f t="shared" si="821"/>
        <v>#REF!</v>
      </c>
      <c r="FF200" s="23" t="e">
        <f t="shared" si="822"/>
        <v>#REF!</v>
      </c>
      <c r="FG200" s="23" t="e">
        <f t="shared" si="823"/>
        <v>#REF!</v>
      </c>
      <c r="FH200" s="23"/>
      <c r="FR200" s="4">
        <f t="shared" si="607"/>
        <v>1.25</v>
      </c>
      <c r="FS200" s="4">
        <f t="shared" si="608"/>
        <v>0.5</v>
      </c>
      <c r="FT200" s="4">
        <f t="shared" si="609"/>
        <v>0</v>
      </c>
      <c r="FU200" s="4">
        <f t="shared" si="610"/>
        <v>230.4546043227347</v>
      </c>
    </row>
    <row r="201" spans="1:177" ht="12" customHeight="1" x14ac:dyDescent="0.3">
      <c r="B201" s="24"/>
      <c r="C201" s="4" t="s">
        <v>311</v>
      </c>
      <c r="D201" s="7">
        <v>679</v>
      </c>
      <c r="E201" s="7">
        <f t="shared" si="824"/>
        <v>88.8</v>
      </c>
      <c r="F201" s="7">
        <v>129.9</v>
      </c>
      <c r="G201" s="7">
        <v>22.2</v>
      </c>
      <c r="H201" s="7">
        <v>366</v>
      </c>
      <c r="I201" s="7">
        <f t="shared" si="797"/>
        <v>22.2</v>
      </c>
      <c r="J201" s="7" t="e">
        <f>118-#REF!</f>
        <v>#REF!</v>
      </c>
      <c r="K201" s="7">
        <f t="shared" si="798"/>
        <v>277.20000000000005</v>
      </c>
      <c r="L201" s="7">
        <v>2</v>
      </c>
      <c r="M201" s="7">
        <f t="shared" si="799"/>
        <v>59.199999999999996</v>
      </c>
      <c r="N201" s="7">
        <f t="shared" si="684"/>
        <v>1.5</v>
      </c>
      <c r="O201" s="7">
        <f t="shared" si="685"/>
        <v>1.5</v>
      </c>
      <c r="P201" s="7">
        <f t="shared" si="676"/>
        <v>4</v>
      </c>
      <c r="Q201" s="7">
        <f t="shared" si="676"/>
        <v>4</v>
      </c>
      <c r="R201" s="7">
        <f t="shared" si="686"/>
        <v>5</v>
      </c>
      <c r="S201" s="7">
        <f t="shared" si="687"/>
        <v>49.640709100495329</v>
      </c>
      <c r="T201" s="7">
        <f t="shared" ref="T201:T232" si="826">D201</f>
        <v>679</v>
      </c>
      <c r="U201" s="7">
        <v>8</v>
      </c>
      <c r="V201" s="7">
        <f>(711+686)/2</f>
        <v>698.5</v>
      </c>
      <c r="W201" s="7"/>
      <c r="X201" s="4" t="e">
        <f t="shared" si="689"/>
        <v>#REF!</v>
      </c>
      <c r="Y201" s="7"/>
      <c r="Z201" s="7"/>
      <c r="AA201" s="7">
        <v>1</v>
      </c>
      <c r="AB201" s="7"/>
      <c r="AC201" s="7"/>
      <c r="AD201" s="7">
        <f t="shared" ref="AD201:AD232" si="827">3*AE201/(K201+G201)</f>
        <v>0.88977955911823625</v>
      </c>
      <c r="AE201" s="4">
        <f t="shared" si="691"/>
        <v>88.8</v>
      </c>
      <c r="AF201" s="4">
        <f t="shared" si="692"/>
        <v>1.25</v>
      </c>
      <c r="AG201" s="4">
        <f t="shared" si="693"/>
        <v>123.19645135939774</v>
      </c>
      <c r="AH201" s="4">
        <f t="shared" si="694"/>
        <v>0.77499999999999991</v>
      </c>
      <c r="AI201" s="4">
        <v>1.25</v>
      </c>
      <c r="AJ201" s="47">
        <f t="shared" si="825"/>
        <v>5</v>
      </c>
      <c r="AK201" s="38">
        <f t="shared" si="800"/>
        <v>745.91601409010343</v>
      </c>
      <c r="AL201" s="38">
        <f t="shared" si="762"/>
        <v>745.91601409010343</v>
      </c>
      <c r="AM201" s="38">
        <f t="shared" si="695"/>
        <v>5.7111767066521422</v>
      </c>
      <c r="AN201" s="38">
        <f t="shared" si="640"/>
        <v>819.83561909002367</v>
      </c>
      <c r="AO201" s="38">
        <f t="shared" si="548"/>
        <v>0.90983606557377039</v>
      </c>
      <c r="AP201" s="38">
        <f t="shared" si="641"/>
        <v>0.9506783821677508</v>
      </c>
      <c r="AQ201" s="4">
        <f t="shared" si="642"/>
        <v>1</v>
      </c>
      <c r="AR201" s="4" t="e">
        <f>#REF!/G201*F201^0.5/0.19</f>
        <v>#REF!</v>
      </c>
      <c r="AS201" s="4">
        <f t="shared" si="696"/>
        <v>1</v>
      </c>
      <c r="AT201" s="38">
        <f t="shared" si="697"/>
        <v>779.40000000000009</v>
      </c>
      <c r="AU201" s="4">
        <f t="shared" si="698"/>
        <v>0.44000000000000006</v>
      </c>
      <c r="AV201" s="4" t="e">
        <f>AU201*D201*#REF!/(D201*G201/2.75/F201^0.5)</f>
        <v>#REF!</v>
      </c>
      <c r="AW201" s="4" t="e">
        <f t="shared" si="801"/>
        <v>#REF!</v>
      </c>
      <c r="AY201" s="4">
        <f t="shared" si="700"/>
        <v>1</v>
      </c>
      <c r="AZ201" s="4" t="e">
        <f>(3*#REF!+30)*AY201*F201^0.5</f>
        <v>#REF!</v>
      </c>
      <c r="BB201" s="4">
        <f t="shared" si="701"/>
        <v>747.53991440910613</v>
      </c>
      <c r="BC201" s="4">
        <f t="shared" ref="BC201:BC232" si="828">8/3*T201*U201^2/(S201-G201-22)/G201*(S201^2-G201^2)/(S201^2-(G201+22)^2)</f>
        <v>3704.4961984911101</v>
      </c>
      <c r="BD201" s="4">
        <f t="shared" si="672"/>
        <v>4.9555831429005819</v>
      </c>
      <c r="BL201" s="4">
        <f t="shared" si="704"/>
        <v>22.2</v>
      </c>
      <c r="BP201" s="9"/>
      <c r="BR201" s="9"/>
      <c r="BS201" s="9"/>
      <c r="BT201" s="9" t="e">
        <f t="shared" si="705"/>
        <v>#REF!</v>
      </c>
      <c r="BU201" s="9">
        <f t="shared" si="706"/>
        <v>138.60000000000002</v>
      </c>
      <c r="BV201" s="9" t="e">
        <f t="shared" si="707"/>
        <v>#REF!</v>
      </c>
      <c r="BW201" s="9">
        <v>0</v>
      </c>
      <c r="BX201" s="9">
        <f t="shared" si="708"/>
        <v>0</v>
      </c>
      <c r="BY201" s="9">
        <f t="shared" si="802"/>
        <v>0</v>
      </c>
      <c r="BZ201" s="9">
        <f t="shared" si="710"/>
        <v>1</v>
      </c>
      <c r="CA201" s="9">
        <f t="shared" si="711"/>
        <v>0.77100000000000002</v>
      </c>
      <c r="CB201" s="9">
        <f t="shared" si="712"/>
        <v>3.0755797864386483</v>
      </c>
      <c r="CC201" s="9" t="e">
        <f t="shared" si="713"/>
        <v>#REF!</v>
      </c>
      <c r="CD201" s="9">
        <v>1</v>
      </c>
      <c r="CE201" s="9" t="e">
        <f>4*CC201*#REF!+60*CC201</f>
        <v>#REF!</v>
      </c>
      <c r="CG201" s="4" t="e">
        <f t="shared" si="803"/>
        <v>#REF!</v>
      </c>
      <c r="CH201" s="4" t="e">
        <f t="shared" si="804"/>
        <v>#REF!</v>
      </c>
      <c r="CI201" s="4" t="e">
        <f t="shared" si="805"/>
        <v>#REF!</v>
      </c>
      <c r="CJ201" s="4" t="e">
        <f t="shared" si="806"/>
        <v>#REF!</v>
      </c>
      <c r="CK201" s="44" t="e">
        <f t="shared" si="807"/>
        <v>#REF!</v>
      </c>
      <c r="CL201" s="4" t="e">
        <f t="shared" si="808"/>
        <v>#REF!</v>
      </c>
      <c r="CM201" s="4">
        <f t="shared" si="720"/>
        <v>3.0309656951865547</v>
      </c>
      <c r="CO201" s="4" t="e">
        <f t="shared" si="809"/>
        <v>#REF!</v>
      </c>
      <c r="CP201" s="4" t="e">
        <f t="shared" si="810"/>
        <v>#REF!</v>
      </c>
      <c r="CQ201" s="4" t="e">
        <f t="shared" si="811"/>
        <v>#REF!</v>
      </c>
      <c r="CR201" s="4">
        <f t="shared" si="795"/>
        <v>3.0309656951865547</v>
      </c>
      <c r="CS201" s="4" t="e">
        <f t="shared" si="812"/>
        <v>#REF!</v>
      </c>
      <c r="CT201" s="4" t="e">
        <f t="shared" si="813"/>
        <v>#REF!</v>
      </c>
      <c r="DB201" s="4">
        <f t="shared" si="677"/>
        <v>0</v>
      </c>
      <c r="DC201" s="4" t="e">
        <f>#REF!</f>
        <v>#REF!</v>
      </c>
      <c r="DF201" s="4">
        <f t="shared" si="723"/>
        <v>1.3307058507295954E-5</v>
      </c>
      <c r="DG201" s="4" t="e">
        <f t="shared" si="724"/>
        <v>#REF!</v>
      </c>
      <c r="DH201" s="4">
        <f t="shared" si="725"/>
        <v>0.30476317818160303</v>
      </c>
      <c r="DI201" s="4" t="e">
        <f t="shared" si="726"/>
        <v>#REF!</v>
      </c>
      <c r="DJ201" s="4" t="e">
        <f t="shared" si="727"/>
        <v>#REF!</v>
      </c>
      <c r="DK201" s="4" t="e">
        <f t="shared" si="728"/>
        <v>#REF!</v>
      </c>
      <c r="DL201" s="38" t="e">
        <f t="shared" si="729"/>
        <v>#REF!</v>
      </c>
      <c r="DM201" s="4" t="e">
        <f t="shared" si="730"/>
        <v>#REF!</v>
      </c>
      <c r="DN201" s="4">
        <f t="shared" si="731"/>
        <v>2.2360679774997898</v>
      </c>
      <c r="DO201" s="4">
        <f t="shared" si="776"/>
        <v>819.83561909002367</v>
      </c>
      <c r="DS201" s="4" t="e">
        <f t="shared" si="733"/>
        <v>#REF!</v>
      </c>
      <c r="DT201" s="4">
        <f t="shared" si="734"/>
        <v>1</v>
      </c>
      <c r="DU201" s="4">
        <f t="shared" si="735"/>
        <v>1</v>
      </c>
      <c r="DV201" s="4">
        <f t="shared" si="736"/>
        <v>1</v>
      </c>
      <c r="DX201" s="4" t="e">
        <f t="shared" si="737"/>
        <v>#REF!</v>
      </c>
      <c r="DY201" s="25">
        <f t="shared" si="814"/>
        <v>792.6169156169592</v>
      </c>
      <c r="EB201" s="4" t="e">
        <f t="shared" si="739"/>
        <v>#REF!</v>
      </c>
      <c r="EE201" s="4">
        <f t="shared" si="740"/>
        <v>49.640709100495329</v>
      </c>
      <c r="EF201" s="4">
        <f t="shared" si="741"/>
        <v>2.2360679774997898</v>
      </c>
      <c r="EG201" s="4">
        <f t="shared" si="742"/>
        <v>0.18993383393437455</v>
      </c>
      <c r="EJ201" s="4">
        <f t="shared" si="815"/>
        <v>0.18993383393437455</v>
      </c>
      <c r="EK201" s="4">
        <f t="shared" si="744"/>
        <v>0.30425458523735305</v>
      </c>
      <c r="EL201" s="4" t="e">
        <f t="shared" si="679"/>
        <v>#REF!</v>
      </c>
      <c r="EM201" s="4" t="e">
        <f t="shared" si="816"/>
        <v>#REF!</v>
      </c>
      <c r="EN201" s="4" t="e">
        <f t="shared" si="673"/>
        <v>#REF!</v>
      </c>
      <c r="EO201" s="4" t="e">
        <f t="shared" si="674"/>
        <v>#REF!</v>
      </c>
      <c r="EP201" s="4" t="e">
        <f t="shared" si="749"/>
        <v>#REF!</v>
      </c>
      <c r="EQ201" s="4" t="e">
        <f t="shared" si="817"/>
        <v>#REF!</v>
      </c>
      <c r="ER201" s="4" t="e">
        <f t="shared" si="751"/>
        <v>#REF!</v>
      </c>
      <c r="FA201" s="23" t="e">
        <f t="shared" si="818"/>
        <v>#REF!</v>
      </c>
      <c r="FB201" s="23" t="e">
        <f t="shared" si="819"/>
        <v>#REF!</v>
      </c>
      <c r="FC201" s="23">
        <f t="shared" si="754"/>
        <v>2.2000000000000002</v>
      </c>
      <c r="FD201" s="23" t="e">
        <f t="shared" si="820"/>
        <v>#REF!</v>
      </c>
      <c r="FE201" s="23" t="e">
        <f t="shared" si="821"/>
        <v>#REF!</v>
      </c>
      <c r="FF201" s="23" t="e">
        <f t="shared" si="822"/>
        <v>#REF!</v>
      </c>
      <c r="FG201" s="23" t="e">
        <f t="shared" si="823"/>
        <v>#REF!</v>
      </c>
      <c r="FH201" s="23"/>
      <c r="FR201" s="4">
        <f t="shared" si="607"/>
        <v>1.25</v>
      </c>
      <c r="FS201" s="4">
        <f t="shared" si="608"/>
        <v>0.5</v>
      </c>
      <c r="FT201" s="4">
        <f t="shared" si="609"/>
        <v>0</v>
      </c>
      <c r="FU201" s="4">
        <f t="shared" si="610"/>
        <v>230.4546043227347</v>
      </c>
    </row>
    <row r="202" spans="1:177" ht="12" customHeight="1" x14ac:dyDescent="0.3">
      <c r="B202" s="24"/>
      <c r="C202" s="4" t="s">
        <v>314</v>
      </c>
      <c r="D202" s="7">
        <v>679</v>
      </c>
      <c r="E202" s="7">
        <f t="shared" si="824"/>
        <v>88.8</v>
      </c>
      <c r="F202" s="7">
        <v>129.9</v>
      </c>
      <c r="G202" s="7">
        <v>22.2</v>
      </c>
      <c r="H202" s="7">
        <v>388</v>
      </c>
      <c r="I202" s="7">
        <f>1.5*G202</f>
        <v>33.299999999999997</v>
      </c>
      <c r="J202" s="7" t="e">
        <f>118-#REF!</f>
        <v>#REF!</v>
      </c>
      <c r="K202" s="7">
        <f t="shared" si="798"/>
        <v>277</v>
      </c>
      <c r="L202" s="7">
        <v>2</v>
      </c>
      <c r="M202" s="7">
        <f t="shared" si="799"/>
        <v>59.199999999999996</v>
      </c>
      <c r="N202" s="7">
        <f t="shared" si="684"/>
        <v>2</v>
      </c>
      <c r="O202" s="7">
        <f t="shared" si="685"/>
        <v>2</v>
      </c>
      <c r="P202" s="7">
        <f t="shared" si="676"/>
        <v>4</v>
      </c>
      <c r="Q202" s="7">
        <f t="shared" si="676"/>
        <v>4</v>
      </c>
      <c r="R202" s="7">
        <f t="shared" si="686"/>
        <v>5</v>
      </c>
      <c r="S202" s="7">
        <f t="shared" si="687"/>
        <v>49.640709100495329</v>
      </c>
      <c r="T202" s="7">
        <f t="shared" si="826"/>
        <v>679</v>
      </c>
      <c r="U202" s="7">
        <v>8</v>
      </c>
      <c r="V202" s="7">
        <f>(751+699)/2</f>
        <v>725</v>
      </c>
      <c r="W202" s="7"/>
      <c r="X202" s="4" t="e">
        <f t="shared" si="689"/>
        <v>#REF!</v>
      </c>
      <c r="Y202" s="7"/>
      <c r="Z202" s="7"/>
      <c r="AA202" s="7">
        <v>1</v>
      </c>
      <c r="AB202" s="7"/>
      <c r="AC202" s="7"/>
      <c r="AD202" s="7">
        <f t="shared" si="827"/>
        <v>0.89037433155080214</v>
      </c>
      <c r="AE202" s="4">
        <f t="shared" si="691"/>
        <v>88.8</v>
      </c>
      <c r="AF202" s="4">
        <f t="shared" si="692"/>
        <v>1.3333333333333333</v>
      </c>
      <c r="AG202" s="4">
        <f t="shared" si="693"/>
        <v>123.19645135939774</v>
      </c>
      <c r="AH202" s="4">
        <f t="shared" si="694"/>
        <v>0.79999999999999993</v>
      </c>
      <c r="AI202" s="4">
        <v>1.25</v>
      </c>
      <c r="AJ202" s="47">
        <f t="shared" si="825"/>
        <v>5</v>
      </c>
      <c r="AK202" s="38">
        <f t="shared" si="800"/>
        <v>821.30967572931809</v>
      </c>
      <c r="AL202" s="38">
        <f t="shared" si="762"/>
        <v>821.30967572931809</v>
      </c>
      <c r="AM202" s="38">
        <f t="shared" si="695"/>
        <v>5.7111767066521422</v>
      </c>
      <c r="AN202" s="38">
        <f t="shared" si="640"/>
        <v>897.15133497459317</v>
      </c>
      <c r="AO202" s="38">
        <f t="shared" si="548"/>
        <v>0.91546391752577294</v>
      </c>
      <c r="AP202" s="38">
        <f t="shared" si="641"/>
        <v>1.1583330030149592</v>
      </c>
      <c r="AQ202" s="4">
        <f t="shared" si="642"/>
        <v>0</v>
      </c>
      <c r="AR202" s="4" t="e">
        <f>#REF!/G202*F202^0.5/0.19</f>
        <v>#REF!</v>
      </c>
      <c r="AS202" s="4">
        <f t="shared" si="696"/>
        <v>1</v>
      </c>
      <c r="AT202" s="38">
        <f t="shared" si="697"/>
        <v>1039.2</v>
      </c>
      <c r="AU202" s="4">
        <f t="shared" si="698"/>
        <v>0.44000000000000006</v>
      </c>
      <c r="AV202" s="4" t="e">
        <f>AU202*D202*#REF!/(D202*G202/2.75/F202^0.5)</f>
        <v>#REF!</v>
      </c>
      <c r="AW202" s="4" t="e">
        <f t="shared" si="801"/>
        <v>#REF!</v>
      </c>
      <c r="AY202" s="4">
        <f t="shared" si="700"/>
        <v>1.125</v>
      </c>
      <c r="AZ202" s="4" t="e">
        <f>(3*#REF!+30)*AY202*F202^0.5</f>
        <v>#REF!</v>
      </c>
      <c r="BB202" s="4">
        <f t="shared" si="701"/>
        <v>996.71988587880821</v>
      </c>
      <c r="BC202" s="4">
        <f t="shared" si="828"/>
        <v>3704.4961984911101</v>
      </c>
      <c r="BD202" s="4">
        <f t="shared" si="672"/>
        <v>3.7166873571754362</v>
      </c>
      <c r="BL202" s="4">
        <f t="shared" si="704"/>
        <v>33.299999999999997</v>
      </c>
      <c r="BP202" s="9"/>
      <c r="BR202" s="9"/>
      <c r="BS202" s="9"/>
      <c r="BT202" s="9" t="e">
        <f t="shared" si="705"/>
        <v>#REF!</v>
      </c>
      <c r="BU202" s="9">
        <f t="shared" si="706"/>
        <v>138.5</v>
      </c>
      <c r="BV202" s="9" t="e">
        <f t="shared" si="707"/>
        <v>#REF!</v>
      </c>
      <c r="BW202" s="9">
        <v>0</v>
      </c>
      <c r="BX202" s="9">
        <f t="shared" si="708"/>
        <v>0</v>
      </c>
      <c r="BY202" s="9">
        <f t="shared" si="802"/>
        <v>0</v>
      </c>
      <c r="BZ202" s="9">
        <f t="shared" si="710"/>
        <v>1</v>
      </c>
      <c r="CA202" s="9">
        <f t="shared" si="711"/>
        <v>0.77100000000000002</v>
      </c>
      <c r="CB202" s="9">
        <f t="shared" si="712"/>
        <v>3.0755797864386483</v>
      </c>
      <c r="CC202" s="9" t="e">
        <f t="shared" si="713"/>
        <v>#REF!</v>
      </c>
      <c r="CD202" s="9">
        <v>1</v>
      </c>
      <c r="CE202" s="9" t="e">
        <f>4*CC202*#REF!+60*CC202</f>
        <v>#REF!</v>
      </c>
      <c r="CG202" s="4" t="e">
        <f t="shared" si="803"/>
        <v>#REF!</v>
      </c>
      <c r="CH202" s="4" t="e">
        <f t="shared" si="804"/>
        <v>#REF!</v>
      </c>
      <c r="CI202" s="4" t="e">
        <f t="shared" si="805"/>
        <v>#REF!</v>
      </c>
      <c r="CJ202" s="4" t="e">
        <f t="shared" si="806"/>
        <v>#REF!</v>
      </c>
      <c r="CK202" s="44" t="e">
        <f t="shared" si="807"/>
        <v>#REF!</v>
      </c>
      <c r="CL202" s="4" t="e">
        <f t="shared" si="808"/>
        <v>#REF!</v>
      </c>
      <c r="CM202" s="4">
        <f t="shared" si="720"/>
        <v>3.1459558038801037</v>
      </c>
      <c r="CO202" s="4" t="e">
        <f t="shared" si="809"/>
        <v>#REF!</v>
      </c>
      <c r="CP202" s="4" t="e">
        <f t="shared" si="810"/>
        <v>#REF!</v>
      </c>
      <c r="CQ202" s="4" t="e">
        <f t="shared" si="811"/>
        <v>#REF!</v>
      </c>
      <c r="CR202" s="4">
        <f t="shared" si="795"/>
        <v>3.1459558038801037</v>
      </c>
      <c r="CS202" s="4" t="e">
        <f t="shared" si="812"/>
        <v>#REF!</v>
      </c>
      <c r="CT202" s="4" t="e">
        <f t="shared" si="813"/>
        <v>#REF!</v>
      </c>
      <c r="DB202" s="4">
        <f t="shared" si="677"/>
        <v>0</v>
      </c>
      <c r="DC202" s="4" t="e">
        <f>#REF!</f>
        <v>#REF!</v>
      </c>
      <c r="DF202" s="4">
        <f t="shared" si="723"/>
        <v>1.3307058507295954E-5</v>
      </c>
      <c r="DG202" s="4" t="e">
        <f t="shared" si="724"/>
        <v>#REF!</v>
      </c>
      <c r="DH202" s="4">
        <f t="shared" si="725"/>
        <v>0.33350428523733322</v>
      </c>
      <c r="DI202" s="4" t="e">
        <f t="shared" si="726"/>
        <v>#REF!</v>
      </c>
      <c r="DJ202" s="4" t="e">
        <f t="shared" si="727"/>
        <v>#REF!</v>
      </c>
      <c r="DK202" s="4" t="e">
        <f t="shared" si="728"/>
        <v>#REF!</v>
      </c>
      <c r="DL202" s="38" t="e">
        <f t="shared" si="729"/>
        <v>#REF!</v>
      </c>
      <c r="DM202" s="4" t="e">
        <f t="shared" si="730"/>
        <v>#REF!</v>
      </c>
      <c r="DN202" s="4">
        <f t="shared" si="731"/>
        <v>2.2360679774997898</v>
      </c>
      <c r="DO202" s="4">
        <f t="shared" si="776"/>
        <v>897.15133497459317</v>
      </c>
      <c r="DS202" s="4" t="e">
        <f t="shared" si="733"/>
        <v>#REF!</v>
      </c>
      <c r="DT202" s="4">
        <f t="shared" si="734"/>
        <v>0.95</v>
      </c>
      <c r="DU202" s="4">
        <f t="shared" si="735"/>
        <v>1</v>
      </c>
      <c r="DV202" s="4">
        <f t="shared" si="736"/>
        <v>0.95</v>
      </c>
      <c r="DX202" s="4" t="e">
        <f t="shared" si="737"/>
        <v>#REF!</v>
      </c>
      <c r="DY202" s="25">
        <f t="shared" si="814"/>
        <v>868.2692405319475</v>
      </c>
      <c r="EB202" s="4" t="e">
        <f t="shared" si="739"/>
        <v>#REF!</v>
      </c>
      <c r="EE202" s="4">
        <f t="shared" si="740"/>
        <v>49.640709100495329</v>
      </c>
      <c r="EF202" s="4">
        <f t="shared" si="741"/>
        <v>2.2360679774997898</v>
      </c>
      <c r="EG202" s="4">
        <f t="shared" si="742"/>
        <v>0.20784580311380174</v>
      </c>
      <c r="EJ202" s="4">
        <f t="shared" si="815"/>
        <v>0.20784580311380174</v>
      </c>
      <c r="EK202" s="4">
        <f t="shared" si="744"/>
        <v>0.3329477287420215</v>
      </c>
      <c r="EL202" s="4" t="e">
        <f t="shared" si="679"/>
        <v>#REF!</v>
      </c>
      <c r="EM202" s="4" t="e">
        <f t="shared" si="816"/>
        <v>#REF!</v>
      </c>
      <c r="EN202" s="4" t="e">
        <f t="shared" si="673"/>
        <v>#REF!</v>
      </c>
      <c r="EO202" s="4" t="e">
        <f t="shared" si="674"/>
        <v>#REF!</v>
      </c>
      <c r="EP202" s="4" t="e">
        <f t="shared" si="749"/>
        <v>#REF!</v>
      </c>
      <c r="EQ202" s="4" t="e">
        <f t="shared" si="817"/>
        <v>#REF!</v>
      </c>
      <c r="ER202" s="4" t="e">
        <f t="shared" si="751"/>
        <v>#REF!</v>
      </c>
      <c r="FA202" s="23" t="e">
        <f t="shared" si="818"/>
        <v>#REF!</v>
      </c>
      <c r="FB202" s="23" t="e">
        <f t="shared" si="819"/>
        <v>#REF!</v>
      </c>
      <c r="FC202" s="23">
        <f t="shared" si="754"/>
        <v>2.2000000000000002</v>
      </c>
      <c r="FD202" s="23" t="e">
        <f t="shared" si="820"/>
        <v>#REF!</v>
      </c>
      <c r="FE202" s="23" t="e">
        <f t="shared" si="821"/>
        <v>#REF!</v>
      </c>
      <c r="FF202" s="23" t="e">
        <f t="shared" si="822"/>
        <v>#REF!</v>
      </c>
      <c r="FG202" s="23" t="e">
        <f t="shared" si="823"/>
        <v>#REF!</v>
      </c>
      <c r="FH202" s="23"/>
      <c r="FR202" s="4">
        <f t="shared" si="607"/>
        <v>1.25</v>
      </c>
      <c r="FS202" s="4">
        <f t="shared" si="608"/>
        <v>0.5</v>
      </c>
      <c r="FT202" s="4">
        <f t="shared" si="609"/>
        <v>0</v>
      </c>
      <c r="FU202" s="4">
        <f t="shared" si="610"/>
        <v>230.4546043227347</v>
      </c>
    </row>
    <row r="203" spans="1:177" ht="12" customHeight="1" x14ac:dyDescent="0.3">
      <c r="B203" s="24"/>
      <c r="C203" s="4" t="s">
        <v>315</v>
      </c>
      <c r="D203" s="7">
        <v>679</v>
      </c>
      <c r="E203" s="7">
        <f t="shared" si="824"/>
        <v>88.8</v>
      </c>
      <c r="F203" s="7">
        <v>129.9</v>
      </c>
      <c r="G203" s="7">
        <v>22.2</v>
      </c>
      <c r="H203" s="7">
        <v>388</v>
      </c>
      <c r="I203" s="7">
        <f>1.5*G203</f>
        <v>33.299999999999997</v>
      </c>
      <c r="J203" s="7" t="e">
        <f>118-#REF!</f>
        <v>#REF!</v>
      </c>
      <c r="K203" s="7">
        <f t="shared" si="798"/>
        <v>277</v>
      </c>
      <c r="L203" s="7">
        <v>2</v>
      </c>
      <c r="M203" s="7">
        <f t="shared" si="799"/>
        <v>59.199999999999996</v>
      </c>
      <c r="N203" s="7">
        <f t="shared" si="684"/>
        <v>2</v>
      </c>
      <c r="O203" s="7">
        <f t="shared" si="685"/>
        <v>2</v>
      </c>
      <c r="P203" s="7">
        <f t="shared" si="676"/>
        <v>4</v>
      </c>
      <c r="Q203" s="7">
        <f t="shared" si="676"/>
        <v>4</v>
      </c>
      <c r="R203" s="7">
        <f t="shared" si="686"/>
        <v>5</v>
      </c>
      <c r="S203" s="7">
        <f t="shared" si="687"/>
        <v>49.640709100495329</v>
      </c>
      <c r="T203" s="7">
        <f t="shared" si="826"/>
        <v>679</v>
      </c>
      <c r="U203" s="7">
        <v>8</v>
      </c>
      <c r="V203" s="7">
        <f>(731+693)/2</f>
        <v>712</v>
      </c>
      <c r="W203" s="7"/>
      <c r="X203" s="4" t="e">
        <f t="shared" si="689"/>
        <v>#REF!</v>
      </c>
      <c r="Y203" s="7"/>
      <c r="Z203" s="7"/>
      <c r="AA203" s="7">
        <v>1</v>
      </c>
      <c r="AB203" s="7"/>
      <c r="AC203" s="7"/>
      <c r="AD203" s="7">
        <f t="shared" si="827"/>
        <v>0.89037433155080214</v>
      </c>
      <c r="AE203" s="4">
        <f t="shared" si="691"/>
        <v>88.8</v>
      </c>
      <c r="AF203" s="4">
        <f t="shared" si="692"/>
        <v>1.3333333333333333</v>
      </c>
      <c r="AG203" s="4">
        <f t="shared" si="693"/>
        <v>123.19645135939774</v>
      </c>
      <c r="AH203" s="4">
        <f t="shared" si="694"/>
        <v>0.79999999999999993</v>
      </c>
      <c r="AI203" s="4">
        <v>1.25</v>
      </c>
      <c r="AJ203" s="47">
        <f t="shared" si="825"/>
        <v>5</v>
      </c>
      <c r="AK203" s="38">
        <f t="shared" si="800"/>
        <v>821.30967572931809</v>
      </c>
      <c r="AL203" s="38">
        <f t="shared" si="762"/>
        <v>821.30967572931809</v>
      </c>
      <c r="AM203" s="38">
        <f t="shared" si="695"/>
        <v>5.7111767066521422</v>
      </c>
      <c r="AN203" s="38">
        <f t="shared" si="640"/>
        <v>897.15133497459317</v>
      </c>
      <c r="AO203" s="38">
        <f t="shared" si="548"/>
        <v>0.91546391752577294</v>
      </c>
      <c r="AP203" s="38">
        <f t="shared" si="641"/>
        <v>1.1583330030149592</v>
      </c>
      <c r="AQ203" s="4">
        <f t="shared" si="642"/>
        <v>0</v>
      </c>
      <c r="AR203" s="4" t="e">
        <f>#REF!/G203*F203^0.5/0.19</f>
        <v>#REF!</v>
      </c>
      <c r="AS203" s="4">
        <f t="shared" si="696"/>
        <v>1</v>
      </c>
      <c r="AT203" s="38">
        <f t="shared" si="697"/>
        <v>1039.2</v>
      </c>
      <c r="AU203" s="4">
        <f t="shared" si="698"/>
        <v>0.44000000000000006</v>
      </c>
      <c r="AV203" s="4" t="e">
        <f>AU203*D203*#REF!/(D203*G203/2.75/F203^0.5)</f>
        <v>#REF!</v>
      </c>
      <c r="AW203" s="4" t="e">
        <f t="shared" si="801"/>
        <v>#REF!</v>
      </c>
      <c r="AY203" s="4">
        <f t="shared" si="700"/>
        <v>1.125</v>
      </c>
      <c r="AZ203" s="4" t="e">
        <f>(3*#REF!+30)*AY203*F203^0.5</f>
        <v>#REF!</v>
      </c>
      <c r="BB203" s="4">
        <f t="shared" si="701"/>
        <v>996.71988587880821</v>
      </c>
      <c r="BC203" s="4">
        <f t="shared" si="828"/>
        <v>3704.4961984911101</v>
      </c>
      <c r="BD203" s="4">
        <f t="shared" si="672"/>
        <v>3.7166873571754362</v>
      </c>
      <c r="BL203" s="4">
        <f t="shared" si="704"/>
        <v>33.299999999999997</v>
      </c>
      <c r="BP203" s="9"/>
      <c r="BR203" s="9"/>
      <c r="BS203" s="9"/>
      <c r="BT203" s="9" t="e">
        <f t="shared" si="705"/>
        <v>#REF!</v>
      </c>
      <c r="BU203" s="9">
        <f t="shared" si="706"/>
        <v>138.5</v>
      </c>
      <c r="BV203" s="9" t="e">
        <f t="shared" si="707"/>
        <v>#REF!</v>
      </c>
      <c r="BW203" s="9">
        <v>0</v>
      </c>
      <c r="BX203" s="9">
        <f t="shared" si="708"/>
        <v>0</v>
      </c>
      <c r="BY203" s="9">
        <f t="shared" si="802"/>
        <v>0</v>
      </c>
      <c r="BZ203" s="9">
        <f t="shared" si="710"/>
        <v>1</v>
      </c>
      <c r="CA203" s="9">
        <f t="shared" si="711"/>
        <v>0.77100000000000002</v>
      </c>
      <c r="CB203" s="9">
        <f t="shared" si="712"/>
        <v>3.0755797864386483</v>
      </c>
      <c r="CC203" s="9" t="e">
        <f t="shared" si="713"/>
        <v>#REF!</v>
      </c>
      <c r="CD203" s="9">
        <v>1</v>
      </c>
      <c r="CE203" s="9" t="e">
        <f>4*CC203*#REF!+60*CC203</f>
        <v>#REF!</v>
      </c>
      <c r="CG203" s="4" t="e">
        <f t="shared" si="803"/>
        <v>#REF!</v>
      </c>
      <c r="CH203" s="4" t="e">
        <f t="shared" si="804"/>
        <v>#REF!</v>
      </c>
      <c r="CI203" s="4" t="e">
        <f t="shared" si="805"/>
        <v>#REF!</v>
      </c>
      <c r="CJ203" s="4" t="e">
        <f t="shared" si="806"/>
        <v>#REF!</v>
      </c>
      <c r="CK203" s="44" t="e">
        <f t="shared" si="807"/>
        <v>#REF!</v>
      </c>
      <c r="CL203" s="4" t="e">
        <f t="shared" si="808"/>
        <v>#REF!</v>
      </c>
      <c r="CM203" s="4">
        <f t="shared" si="720"/>
        <v>3.0895455618794947</v>
      </c>
      <c r="CO203" s="4" t="e">
        <f t="shared" si="809"/>
        <v>#REF!</v>
      </c>
      <c r="CP203" s="4" t="e">
        <f t="shared" si="810"/>
        <v>#REF!</v>
      </c>
      <c r="CQ203" s="4" t="e">
        <f t="shared" si="811"/>
        <v>#REF!</v>
      </c>
      <c r="CR203" s="4">
        <f t="shared" si="795"/>
        <v>3.0895455618794947</v>
      </c>
      <c r="CS203" s="4" t="e">
        <f t="shared" si="812"/>
        <v>#REF!</v>
      </c>
      <c r="CT203" s="4" t="e">
        <f t="shared" si="813"/>
        <v>#REF!</v>
      </c>
      <c r="DB203" s="4">
        <f t="shared" si="677"/>
        <v>0</v>
      </c>
      <c r="DC203" s="4" t="e">
        <f>#REF!</f>
        <v>#REF!</v>
      </c>
      <c r="DF203" s="4">
        <f t="shared" si="723"/>
        <v>1.3307058507295954E-5</v>
      </c>
      <c r="DG203" s="4" t="e">
        <f t="shared" si="724"/>
        <v>#REF!</v>
      </c>
      <c r="DH203" s="4">
        <f t="shared" si="725"/>
        <v>0.33350428523733322</v>
      </c>
      <c r="DI203" s="4" t="e">
        <f t="shared" si="726"/>
        <v>#REF!</v>
      </c>
      <c r="DJ203" s="4" t="e">
        <f t="shared" si="727"/>
        <v>#REF!</v>
      </c>
      <c r="DK203" s="4" t="e">
        <f t="shared" si="728"/>
        <v>#REF!</v>
      </c>
      <c r="DL203" s="38" t="e">
        <f t="shared" si="729"/>
        <v>#REF!</v>
      </c>
      <c r="DM203" s="4" t="e">
        <f t="shared" si="730"/>
        <v>#REF!</v>
      </c>
      <c r="DN203" s="4">
        <f t="shared" si="731"/>
        <v>2.2360679774997898</v>
      </c>
      <c r="DO203" s="4">
        <f t="shared" si="776"/>
        <v>897.15133497459317</v>
      </c>
      <c r="DS203" s="4" t="e">
        <f t="shared" si="733"/>
        <v>#REF!</v>
      </c>
      <c r="DT203" s="4">
        <f t="shared" si="734"/>
        <v>0.95</v>
      </c>
      <c r="DU203" s="4">
        <f t="shared" si="735"/>
        <v>1</v>
      </c>
      <c r="DV203" s="4">
        <f t="shared" si="736"/>
        <v>0.95</v>
      </c>
      <c r="DX203" s="4" t="e">
        <f t="shared" si="737"/>
        <v>#REF!</v>
      </c>
      <c r="DY203" s="25">
        <f t="shared" si="814"/>
        <v>868.2692405319475</v>
      </c>
      <c r="EB203" s="4" t="e">
        <f t="shared" si="739"/>
        <v>#REF!</v>
      </c>
      <c r="EE203" s="4">
        <f t="shared" si="740"/>
        <v>49.640709100495329</v>
      </c>
      <c r="EF203" s="4">
        <f t="shared" si="741"/>
        <v>2.2360679774997898</v>
      </c>
      <c r="EG203" s="4">
        <f t="shared" si="742"/>
        <v>0.20784580311380174</v>
      </c>
      <c r="EJ203" s="4">
        <f t="shared" si="815"/>
        <v>0.20784580311380174</v>
      </c>
      <c r="EK203" s="4">
        <f t="shared" si="744"/>
        <v>0.3329477287420215</v>
      </c>
      <c r="EL203" s="4" t="e">
        <f t="shared" si="679"/>
        <v>#REF!</v>
      </c>
      <c r="EM203" s="4" t="e">
        <f t="shared" si="816"/>
        <v>#REF!</v>
      </c>
      <c r="EN203" s="4" t="e">
        <f t="shared" si="673"/>
        <v>#REF!</v>
      </c>
      <c r="EO203" s="4" t="e">
        <f t="shared" si="674"/>
        <v>#REF!</v>
      </c>
      <c r="EP203" s="4" t="e">
        <f t="shared" si="749"/>
        <v>#REF!</v>
      </c>
      <c r="EQ203" s="4" t="e">
        <f t="shared" si="817"/>
        <v>#REF!</v>
      </c>
      <c r="ER203" s="4" t="e">
        <f t="shared" si="751"/>
        <v>#REF!</v>
      </c>
      <c r="FA203" s="23" t="e">
        <f t="shared" si="818"/>
        <v>#REF!</v>
      </c>
      <c r="FB203" s="23" t="e">
        <f t="shared" si="819"/>
        <v>#REF!</v>
      </c>
      <c r="FC203" s="23">
        <f t="shared" si="754"/>
        <v>2.2000000000000002</v>
      </c>
      <c r="FD203" s="23" t="e">
        <f t="shared" si="820"/>
        <v>#REF!</v>
      </c>
      <c r="FE203" s="23" t="e">
        <f t="shared" si="821"/>
        <v>#REF!</v>
      </c>
      <c r="FF203" s="23" t="e">
        <f t="shared" si="822"/>
        <v>#REF!</v>
      </c>
      <c r="FG203" s="23" t="e">
        <f t="shared" si="823"/>
        <v>#REF!</v>
      </c>
      <c r="FH203" s="23"/>
      <c r="FR203" s="4">
        <f t="shared" si="607"/>
        <v>1.25</v>
      </c>
      <c r="FS203" s="4">
        <f t="shared" si="608"/>
        <v>0.5</v>
      </c>
      <c r="FT203" s="4">
        <f t="shared" si="609"/>
        <v>0</v>
      </c>
      <c r="FU203" s="4">
        <f t="shared" si="610"/>
        <v>230.4546043227347</v>
      </c>
    </row>
    <row r="204" spans="1:177" ht="12" customHeight="1" x14ac:dyDescent="0.3">
      <c r="B204" s="24"/>
      <c r="C204" s="4" t="s">
        <v>316</v>
      </c>
      <c r="D204" s="7">
        <v>679</v>
      </c>
      <c r="E204" s="7">
        <f t="shared" si="824"/>
        <v>88.8</v>
      </c>
      <c r="F204" s="7">
        <v>129.9</v>
      </c>
      <c r="G204" s="7">
        <v>22.2</v>
      </c>
      <c r="H204" s="7">
        <v>366</v>
      </c>
      <c r="I204" s="7">
        <f t="shared" ref="I204:I209" si="829">1*G204</f>
        <v>22.2</v>
      </c>
      <c r="J204" s="7" t="e">
        <f>118-#REF!</f>
        <v>#REF!</v>
      </c>
      <c r="K204" s="7">
        <f t="shared" si="798"/>
        <v>277.20000000000005</v>
      </c>
      <c r="L204" s="7">
        <v>2</v>
      </c>
      <c r="M204" s="7">
        <f t="shared" si="799"/>
        <v>59.199999999999996</v>
      </c>
      <c r="N204" s="7">
        <f t="shared" si="684"/>
        <v>1.5</v>
      </c>
      <c r="O204" s="7">
        <f t="shared" si="685"/>
        <v>1.5</v>
      </c>
      <c r="P204" s="7">
        <f t="shared" si="676"/>
        <v>4</v>
      </c>
      <c r="Q204" s="7">
        <f t="shared" si="676"/>
        <v>4</v>
      </c>
      <c r="R204" s="7">
        <f t="shared" si="686"/>
        <v>5</v>
      </c>
      <c r="S204" s="7">
        <f t="shared" si="687"/>
        <v>49.640709100495329</v>
      </c>
      <c r="T204" s="7">
        <f t="shared" si="826"/>
        <v>679</v>
      </c>
      <c r="U204" s="7">
        <v>8</v>
      </c>
      <c r="V204" s="7">
        <f>(735+707)/2</f>
        <v>721</v>
      </c>
      <c r="W204" s="7"/>
      <c r="X204" s="4" t="e">
        <f t="shared" si="689"/>
        <v>#REF!</v>
      </c>
      <c r="Y204" s="7">
        <v>9.5</v>
      </c>
      <c r="Z204" s="7">
        <v>2</v>
      </c>
      <c r="AA204" s="7">
        <v>52</v>
      </c>
      <c r="AB204" s="7">
        <v>4</v>
      </c>
      <c r="AC204" s="7">
        <f t="shared" ref="AC204:AC205" si="830">Z204</f>
        <v>2</v>
      </c>
      <c r="AD204" s="7">
        <f t="shared" si="827"/>
        <v>0.88977955911823625</v>
      </c>
      <c r="AE204" s="4">
        <f t="shared" si="691"/>
        <v>88.8</v>
      </c>
      <c r="AF204" s="4">
        <f t="shared" si="692"/>
        <v>1.25</v>
      </c>
      <c r="AG204" s="4">
        <f t="shared" si="693"/>
        <v>123.19645135939774</v>
      </c>
      <c r="AH204" s="4">
        <f t="shared" si="694"/>
        <v>0.77499999999999991</v>
      </c>
      <c r="AI204" s="4">
        <v>1.25</v>
      </c>
      <c r="AJ204" s="47">
        <f t="shared" si="825"/>
        <v>5</v>
      </c>
      <c r="AK204" s="38">
        <f t="shared" si="800"/>
        <v>745.91601409010343</v>
      </c>
      <c r="AL204" s="38">
        <f t="shared" si="762"/>
        <v>745.91601409010343</v>
      </c>
      <c r="AM204" s="38">
        <f t="shared" si="695"/>
        <v>5.7111767066521422</v>
      </c>
      <c r="AN204" s="38">
        <f t="shared" si="640"/>
        <v>819.83561909002367</v>
      </c>
      <c r="AO204" s="38">
        <f t="shared" si="548"/>
        <v>0.90983606557377039</v>
      </c>
      <c r="AP204" s="38">
        <f t="shared" si="641"/>
        <v>0.9506783821677508</v>
      </c>
      <c r="AQ204" s="4">
        <f t="shared" si="642"/>
        <v>1</v>
      </c>
      <c r="AR204" s="4" t="e">
        <f>#REF!/G204*F204^0.5/0.19</f>
        <v>#REF!</v>
      </c>
      <c r="AS204" s="4">
        <f t="shared" si="696"/>
        <v>1</v>
      </c>
      <c r="AT204" s="38">
        <f t="shared" si="697"/>
        <v>779.40000000000009</v>
      </c>
      <c r="AU204" s="4">
        <f t="shared" si="698"/>
        <v>0.44000000000000006</v>
      </c>
      <c r="AV204" s="4" t="e">
        <f>AU204*D204*#REF!/(D204*G204/2.75/F204^0.5)</f>
        <v>#REF!</v>
      </c>
      <c r="AW204" s="4" t="e">
        <f t="shared" si="801"/>
        <v>#REF!</v>
      </c>
      <c r="AY204" s="4">
        <f t="shared" si="700"/>
        <v>1.4</v>
      </c>
      <c r="AZ204" s="4" t="e">
        <f>(3*#REF!+30)*AY204*F204^0.5</f>
        <v>#REF!</v>
      </c>
      <c r="BB204" s="4">
        <f t="shared" si="701"/>
        <v>747.53991440910613</v>
      </c>
      <c r="BC204" s="4">
        <f t="shared" si="828"/>
        <v>3704.4961984911101</v>
      </c>
      <c r="BD204" s="4">
        <f t="shared" si="672"/>
        <v>4.9555831429005819</v>
      </c>
      <c r="BL204" s="4">
        <f t="shared" si="704"/>
        <v>22.2</v>
      </c>
      <c r="BP204" s="9"/>
      <c r="BR204" s="9"/>
      <c r="BS204" s="9"/>
      <c r="BT204" s="9" t="e">
        <f t="shared" si="705"/>
        <v>#REF!</v>
      </c>
      <c r="BU204" s="9">
        <f t="shared" si="706"/>
        <v>138.60000000000002</v>
      </c>
      <c r="BV204" s="9" t="e">
        <f t="shared" si="707"/>
        <v>#REF!</v>
      </c>
      <c r="BW204" s="9">
        <v>20</v>
      </c>
      <c r="BX204" s="9">
        <f t="shared" si="708"/>
        <v>0.05</v>
      </c>
      <c r="BY204" s="9">
        <f t="shared" si="802"/>
        <v>0.8</v>
      </c>
      <c r="BZ204" s="9">
        <f t="shared" si="710"/>
        <v>1</v>
      </c>
      <c r="CA204" s="9">
        <f t="shared" si="711"/>
        <v>0.77100000000000002</v>
      </c>
      <c r="CB204" s="9">
        <f t="shared" si="712"/>
        <v>3.0755797864386483</v>
      </c>
      <c r="CC204" s="9" t="e">
        <f t="shared" si="713"/>
        <v>#REF!</v>
      </c>
      <c r="CD204" s="9">
        <v>1</v>
      </c>
      <c r="CE204" s="9" t="e">
        <f>4*CC204*#REF!+60*CC204</f>
        <v>#REF!</v>
      </c>
      <c r="CG204" s="4" t="e">
        <f t="shared" si="803"/>
        <v>#REF!</v>
      </c>
      <c r="CH204" s="4" t="e">
        <f t="shared" si="804"/>
        <v>#REF!</v>
      </c>
      <c r="CI204" s="4" t="e">
        <f t="shared" si="805"/>
        <v>#REF!</v>
      </c>
      <c r="CJ204" s="4" t="e">
        <f t="shared" si="806"/>
        <v>#REF!</v>
      </c>
      <c r="CK204" s="44" t="e">
        <f t="shared" si="807"/>
        <v>#REF!</v>
      </c>
      <c r="CL204" s="4" t="e">
        <f t="shared" si="808"/>
        <v>#REF!</v>
      </c>
      <c r="CM204" s="4">
        <f t="shared" si="720"/>
        <v>2.7149668974723982</v>
      </c>
      <c r="CU204" s="4" t="e">
        <f t="shared" ref="CU204:CU229" si="831">CG204</f>
        <v>#REF!</v>
      </c>
      <c r="CV204" s="4" t="e">
        <f t="shared" ref="CV204:CV229" si="832">CH204</f>
        <v>#REF!</v>
      </c>
      <c r="CW204" s="4" t="e">
        <f t="shared" ref="CW204:CW229" si="833">CJ204</f>
        <v>#REF!</v>
      </c>
      <c r="CX204" s="4">
        <f t="shared" ref="CX204:CX205" si="834">CM204</f>
        <v>2.7149668974723982</v>
      </c>
      <c r="CY204" s="4" t="e">
        <f t="shared" ref="CY204:CY229" si="835">CK204</f>
        <v>#REF!</v>
      </c>
      <c r="CZ204" s="4" t="e">
        <f t="shared" ref="CZ204:CZ229" si="836">CL204</f>
        <v>#REF!</v>
      </c>
      <c r="DB204" s="4">
        <f t="shared" si="677"/>
        <v>2</v>
      </c>
      <c r="DC204" s="4" t="e">
        <f>#REF!</f>
        <v>#REF!</v>
      </c>
      <c r="DF204" s="4">
        <f t="shared" si="723"/>
        <v>1.3307058507295954E-5</v>
      </c>
      <c r="DG204" s="4" t="e">
        <f t="shared" si="724"/>
        <v>#REF!</v>
      </c>
      <c r="DH204" s="4">
        <f t="shared" si="725"/>
        <v>0.30476317818160303</v>
      </c>
      <c r="DI204" s="4" t="e">
        <f t="shared" si="726"/>
        <v>#REF!</v>
      </c>
      <c r="DJ204" s="4" t="e">
        <f t="shared" si="727"/>
        <v>#REF!</v>
      </c>
      <c r="DK204" s="4" t="e">
        <f t="shared" si="728"/>
        <v>#REF!</v>
      </c>
      <c r="DL204" s="38" t="e">
        <f t="shared" si="729"/>
        <v>#REF!</v>
      </c>
      <c r="DM204" s="4" t="e">
        <f t="shared" si="730"/>
        <v>#REF!</v>
      </c>
      <c r="DN204" s="4">
        <f t="shared" si="731"/>
        <v>2.2360679774997898</v>
      </c>
      <c r="DO204" s="4">
        <f t="shared" si="776"/>
        <v>819.83561909002367</v>
      </c>
      <c r="DS204" s="4" t="e">
        <f t="shared" si="733"/>
        <v>#REF!</v>
      </c>
      <c r="DT204" s="4">
        <f t="shared" si="734"/>
        <v>1</v>
      </c>
      <c r="DU204" s="4">
        <f t="shared" si="735"/>
        <v>0.8552532261991721</v>
      </c>
      <c r="DV204" s="4">
        <f t="shared" si="736"/>
        <v>0.8552532261991721</v>
      </c>
      <c r="DX204" s="4" t="e">
        <f t="shared" si="737"/>
        <v>#REF!</v>
      </c>
      <c r="DY204" s="25">
        <f t="shared" si="814"/>
        <v>792.6169156169592</v>
      </c>
      <c r="EB204" s="4" t="e">
        <f t="shared" si="739"/>
        <v>#REF!</v>
      </c>
      <c r="EE204" s="4">
        <f t="shared" si="740"/>
        <v>49.640709100495329</v>
      </c>
      <c r="EF204" s="4">
        <f t="shared" si="741"/>
        <v>2.2360679774997898</v>
      </c>
      <c r="EG204" s="4">
        <f t="shared" si="742"/>
        <v>0.18993383393437455</v>
      </c>
      <c r="EJ204" s="4">
        <f t="shared" si="815"/>
        <v>0.18993383393437455</v>
      </c>
      <c r="EK204" s="4">
        <f t="shared" si="744"/>
        <v>0.30425458523735305</v>
      </c>
      <c r="EL204" s="4" t="e">
        <f t="shared" si="679"/>
        <v>#REF!</v>
      </c>
      <c r="EM204" s="4" t="e">
        <f t="shared" si="816"/>
        <v>#REF!</v>
      </c>
      <c r="EN204" s="4" t="e">
        <f t="shared" si="673"/>
        <v>#REF!</v>
      </c>
      <c r="EO204" s="4" t="e">
        <f t="shared" si="674"/>
        <v>#REF!</v>
      </c>
      <c r="EP204" s="4" t="e">
        <f t="shared" si="749"/>
        <v>#REF!</v>
      </c>
      <c r="EQ204" s="4" t="e">
        <f t="shared" si="817"/>
        <v>#REF!</v>
      </c>
      <c r="ER204" s="4" t="e">
        <f t="shared" si="751"/>
        <v>#REF!</v>
      </c>
      <c r="FA204" s="23" t="e">
        <f t="shared" si="818"/>
        <v>#REF!</v>
      </c>
      <c r="FB204" s="23" t="e">
        <f t="shared" si="819"/>
        <v>#REF!</v>
      </c>
      <c r="FC204" s="23">
        <f t="shared" si="754"/>
        <v>2.2000000000000002</v>
      </c>
      <c r="FD204" s="23" t="e">
        <f t="shared" si="820"/>
        <v>#REF!</v>
      </c>
      <c r="FE204" s="23" t="e">
        <f t="shared" si="821"/>
        <v>#REF!</v>
      </c>
      <c r="FF204" s="23" t="e">
        <f t="shared" si="822"/>
        <v>#REF!</v>
      </c>
      <c r="FG204" s="23" t="e">
        <f t="shared" si="823"/>
        <v>#REF!</v>
      </c>
      <c r="FH204" s="23"/>
      <c r="FR204" s="4">
        <f t="shared" si="607"/>
        <v>1.25</v>
      </c>
      <c r="FS204" s="4">
        <f t="shared" si="608"/>
        <v>0.4338950222651346</v>
      </c>
      <c r="FT204" s="4">
        <f t="shared" si="609"/>
        <v>0.3</v>
      </c>
      <c r="FU204" s="4">
        <f t="shared" si="610"/>
        <v>265.56493218066208</v>
      </c>
    </row>
    <row r="205" spans="1:177" ht="12" customHeight="1" x14ac:dyDescent="0.3">
      <c r="B205" s="24"/>
      <c r="C205" s="4" t="s">
        <v>317</v>
      </c>
      <c r="D205" s="7">
        <v>679</v>
      </c>
      <c r="E205" s="7">
        <f t="shared" si="824"/>
        <v>88.8</v>
      </c>
      <c r="F205" s="7">
        <v>129.9</v>
      </c>
      <c r="G205" s="7">
        <v>22.2</v>
      </c>
      <c r="H205" s="7">
        <v>366</v>
      </c>
      <c r="I205" s="7">
        <f t="shared" si="829"/>
        <v>22.2</v>
      </c>
      <c r="J205" s="7" t="e">
        <f>118-#REF!</f>
        <v>#REF!</v>
      </c>
      <c r="K205" s="7">
        <f t="shared" si="798"/>
        <v>277.20000000000005</v>
      </c>
      <c r="L205" s="7">
        <v>2</v>
      </c>
      <c r="M205" s="7">
        <f t="shared" si="799"/>
        <v>59.199999999999996</v>
      </c>
      <c r="N205" s="7">
        <f t="shared" si="684"/>
        <v>1.5</v>
      </c>
      <c r="O205" s="7">
        <f t="shared" si="685"/>
        <v>1.5</v>
      </c>
      <c r="P205" s="7">
        <f t="shared" si="676"/>
        <v>4</v>
      </c>
      <c r="Q205" s="7">
        <f t="shared" si="676"/>
        <v>4</v>
      </c>
      <c r="R205" s="7">
        <f t="shared" si="686"/>
        <v>5</v>
      </c>
      <c r="S205" s="7">
        <f t="shared" si="687"/>
        <v>49.640709100495329</v>
      </c>
      <c r="T205" s="7">
        <f t="shared" si="826"/>
        <v>679</v>
      </c>
      <c r="U205" s="7">
        <v>8</v>
      </c>
      <c r="V205" s="7">
        <f>(735+703)/2</f>
        <v>719</v>
      </c>
      <c r="W205" s="7"/>
      <c r="X205" s="4" t="e">
        <f t="shared" si="689"/>
        <v>#REF!</v>
      </c>
      <c r="Y205" s="7">
        <v>9.5</v>
      </c>
      <c r="Z205" s="7">
        <v>2</v>
      </c>
      <c r="AA205" s="7">
        <v>52</v>
      </c>
      <c r="AB205" s="7">
        <v>4</v>
      </c>
      <c r="AC205" s="7">
        <f t="shared" si="830"/>
        <v>2</v>
      </c>
      <c r="AD205" s="7">
        <f t="shared" si="827"/>
        <v>0.88977955911823625</v>
      </c>
      <c r="AE205" s="4">
        <f t="shared" si="691"/>
        <v>88.8</v>
      </c>
      <c r="AF205" s="4">
        <f t="shared" si="692"/>
        <v>1.25</v>
      </c>
      <c r="AG205" s="4">
        <f t="shared" si="693"/>
        <v>123.19645135939774</v>
      </c>
      <c r="AH205" s="4">
        <f t="shared" si="694"/>
        <v>0.77499999999999991</v>
      </c>
      <c r="AI205" s="4">
        <v>1.25</v>
      </c>
      <c r="AJ205" s="47">
        <f t="shared" si="825"/>
        <v>5</v>
      </c>
      <c r="AK205" s="38">
        <f t="shared" si="800"/>
        <v>745.91601409010343</v>
      </c>
      <c r="AL205" s="38">
        <f t="shared" si="762"/>
        <v>745.91601409010343</v>
      </c>
      <c r="AM205" s="38">
        <f t="shared" si="695"/>
        <v>5.7111767066521422</v>
      </c>
      <c r="AN205" s="38">
        <f t="shared" si="640"/>
        <v>819.83561909002367</v>
      </c>
      <c r="AO205" s="38">
        <f t="shared" si="548"/>
        <v>0.90983606557377039</v>
      </c>
      <c r="AP205" s="38">
        <f t="shared" si="641"/>
        <v>0.9506783821677508</v>
      </c>
      <c r="AQ205" s="4">
        <f t="shared" si="642"/>
        <v>1</v>
      </c>
      <c r="AR205" s="4" t="e">
        <f>#REF!/G205*F205^0.5/0.19</f>
        <v>#REF!</v>
      </c>
      <c r="AS205" s="4">
        <f t="shared" si="696"/>
        <v>1</v>
      </c>
      <c r="AT205" s="38">
        <f t="shared" si="697"/>
        <v>779.40000000000009</v>
      </c>
      <c r="AU205" s="4">
        <f t="shared" si="698"/>
        <v>0.44000000000000006</v>
      </c>
      <c r="AV205" s="4" t="e">
        <f>AU205*D205*#REF!/(D205*G205/2.75/F205^0.5)</f>
        <v>#REF!</v>
      </c>
      <c r="AW205" s="4" t="e">
        <f t="shared" si="801"/>
        <v>#REF!</v>
      </c>
      <c r="AY205" s="4">
        <f t="shared" si="700"/>
        <v>1.4</v>
      </c>
      <c r="AZ205" s="4" t="e">
        <f>(3*#REF!+30)*AY205*F205^0.5</f>
        <v>#REF!</v>
      </c>
      <c r="BB205" s="4">
        <f t="shared" si="701"/>
        <v>747.53991440910613</v>
      </c>
      <c r="BC205" s="4">
        <f t="shared" si="828"/>
        <v>3704.4961984911101</v>
      </c>
      <c r="BD205" s="4">
        <f t="shared" si="672"/>
        <v>4.9555831429005819</v>
      </c>
      <c r="BL205" s="4">
        <f t="shared" si="704"/>
        <v>22.2</v>
      </c>
      <c r="BP205" s="9"/>
      <c r="BR205" s="9"/>
      <c r="BS205" s="9"/>
      <c r="BT205" s="9" t="e">
        <f t="shared" si="705"/>
        <v>#REF!</v>
      </c>
      <c r="BU205" s="9">
        <f t="shared" si="706"/>
        <v>138.60000000000002</v>
      </c>
      <c r="BV205" s="9" t="e">
        <f t="shared" si="707"/>
        <v>#REF!</v>
      </c>
      <c r="BW205" s="9">
        <v>20</v>
      </c>
      <c r="BX205" s="9">
        <f t="shared" si="708"/>
        <v>0.05</v>
      </c>
      <c r="BY205" s="9">
        <f t="shared" si="802"/>
        <v>0.8</v>
      </c>
      <c r="BZ205" s="9">
        <f t="shared" si="710"/>
        <v>1</v>
      </c>
      <c r="CA205" s="9">
        <f t="shared" si="711"/>
        <v>0.77100000000000002</v>
      </c>
      <c r="CB205" s="9">
        <f t="shared" si="712"/>
        <v>3.0755797864386483</v>
      </c>
      <c r="CC205" s="9" t="e">
        <f t="shared" si="713"/>
        <v>#REF!</v>
      </c>
      <c r="CD205" s="9">
        <v>1</v>
      </c>
      <c r="CE205" s="9" t="e">
        <f>4*CC205*#REF!+60*CC205</f>
        <v>#REF!</v>
      </c>
      <c r="CG205" s="4" t="e">
        <f t="shared" si="803"/>
        <v>#REF!</v>
      </c>
      <c r="CH205" s="4" t="e">
        <f t="shared" si="804"/>
        <v>#REF!</v>
      </c>
      <c r="CI205" s="4" t="e">
        <f t="shared" si="805"/>
        <v>#REF!</v>
      </c>
      <c r="CJ205" s="4" t="e">
        <f t="shared" si="806"/>
        <v>#REF!</v>
      </c>
      <c r="CK205" s="44" t="e">
        <f t="shared" si="807"/>
        <v>#REF!</v>
      </c>
      <c r="CL205" s="4" t="e">
        <f t="shared" si="808"/>
        <v>#REF!</v>
      </c>
      <c r="CM205" s="4">
        <f t="shared" si="720"/>
        <v>2.7074357826389104</v>
      </c>
      <c r="CU205" s="4" t="e">
        <f t="shared" si="831"/>
        <v>#REF!</v>
      </c>
      <c r="CV205" s="4" t="e">
        <f t="shared" si="832"/>
        <v>#REF!</v>
      </c>
      <c r="CW205" s="4" t="e">
        <f t="shared" si="833"/>
        <v>#REF!</v>
      </c>
      <c r="CX205" s="4">
        <f t="shared" si="834"/>
        <v>2.7074357826389104</v>
      </c>
      <c r="CY205" s="4" t="e">
        <f t="shared" si="835"/>
        <v>#REF!</v>
      </c>
      <c r="CZ205" s="4" t="e">
        <f t="shared" si="836"/>
        <v>#REF!</v>
      </c>
      <c r="DB205" s="4">
        <f t="shared" si="677"/>
        <v>2</v>
      </c>
      <c r="DC205" s="4" t="e">
        <f>#REF!</f>
        <v>#REF!</v>
      </c>
      <c r="DF205" s="4">
        <f t="shared" si="723"/>
        <v>1.3307058507295954E-5</v>
      </c>
      <c r="DG205" s="4" t="e">
        <f t="shared" si="724"/>
        <v>#REF!</v>
      </c>
      <c r="DH205" s="4">
        <f t="shared" si="725"/>
        <v>0.30476317818160303</v>
      </c>
      <c r="DI205" s="4" t="e">
        <f t="shared" si="726"/>
        <v>#REF!</v>
      </c>
      <c r="DJ205" s="4" t="e">
        <f t="shared" si="727"/>
        <v>#REF!</v>
      </c>
      <c r="DK205" s="4" t="e">
        <f t="shared" si="728"/>
        <v>#REF!</v>
      </c>
      <c r="DL205" s="38" t="e">
        <f t="shared" si="729"/>
        <v>#REF!</v>
      </c>
      <c r="DM205" s="4" t="e">
        <f t="shared" si="730"/>
        <v>#REF!</v>
      </c>
      <c r="DN205" s="4">
        <f t="shared" si="731"/>
        <v>2.2360679774997898</v>
      </c>
      <c r="DO205" s="4">
        <f t="shared" si="776"/>
        <v>819.83561909002367</v>
      </c>
      <c r="DS205" s="4" t="e">
        <f t="shared" si="733"/>
        <v>#REF!</v>
      </c>
      <c r="DT205" s="4">
        <f t="shared" si="734"/>
        <v>1</v>
      </c>
      <c r="DU205" s="4">
        <f t="shared" si="735"/>
        <v>0.8552532261991721</v>
      </c>
      <c r="DV205" s="4">
        <f t="shared" si="736"/>
        <v>0.8552532261991721</v>
      </c>
      <c r="DX205" s="4" t="e">
        <f t="shared" si="737"/>
        <v>#REF!</v>
      </c>
      <c r="DY205" s="25">
        <f t="shared" si="814"/>
        <v>792.6169156169592</v>
      </c>
      <c r="EB205" s="4" t="e">
        <f t="shared" si="739"/>
        <v>#REF!</v>
      </c>
      <c r="EE205" s="4">
        <f t="shared" si="740"/>
        <v>49.640709100495329</v>
      </c>
      <c r="EF205" s="4">
        <f t="shared" si="741"/>
        <v>2.2360679774997898</v>
      </c>
      <c r="EG205" s="4">
        <f t="shared" si="742"/>
        <v>0.18993383393437455</v>
      </c>
      <c r="EJ205" s="4">
        <f t="shared" si="815"/>
        <v>0.18993383393437455</v>
      </c>
      <c r="EK205" s="4">
        <f t="shared" si="744"/>
        <v>0.30425458523735305</v>
      </c>
      <c r="EL205" s="4" t="e">
        <f t="shared" si="679"/>
        <v>#REF!</v>
      </c>
      <c r="EM205" s="4" t="e">
        <f t="shared" si="816"/>
        <v>#REF!</v>
      </c>
      <c r="EN205" s="4" t="e">
        <f t="shared" si="673"/>
        <v>#REF!</v>
      </c>
      <c r="EO205" s="4" t="e">
        <f t="shared" si="674"/>
        <v>#REF!</v>
      </c>
      <c r="EP205" s="4" t="e">
        <f t="shared" si="749"/>
        <v>#REF!</v>
      </c>
      <c r="EQ205" s="4" t="e">
        <f t="shared" si="817"/>
        <v>#REF!</v>
      </c>
      <c r="ER205" s="4" t="e">
        <f t="shared" si="751"/>
        <v>#REF!</v>
      </c>
      <c r="FA205" s="23" t="e">
        <f t="shared" si="818"/>
        <v>#REF!</v>
      </c>
      <c r="FB205" s="23" t="e">
        <f t="shared" si="819"/>
        <v>#REF!</v>
      </c>
      <c r="FC205" s="23">
        <f t="shared" si="754"/>
        <v>2.2000000000000002</v>
      </c>
      <c r="FD205" s="23" t="e">
        <f t="shared" si="820"/>
        <v>#REF!</v>
      </c>
      <c r="FE205" s="23" t="e">
        <f t="shared" si="821"/>
        <v>#REF!</v>
      </c>
      <c r="FF205" s="23" t="e">
        <f t="shared" si="822"/>
        <v>#REF!</v>
      </c>
      <c r="FG205" s="23" t="e">
        <f t="shared" si="823"/>
        <v>#REF!</v>
      </c>
      <c r="FH205" s="23"/>
      <c r="FR205" s="4">
        <f t="shared" si="607"/>
        <v>1.25</v>
      </c>
      <c r="FS205" s="4">
        <f t="shared" si="608"/>
        <v>0.4338950222651346</v>
      </c>
      <c r="FT205" s="4">
        <f t="shared" si="609"/>
        <v>0.3</v>
      </c>
      <c r="FU205" s="4">
        <f t="shared" si="610"/>
        <v>265.56493218066208</v>
      </c>
    </row>
    <row r="206" spans="1:177" ht="12" customHeight="1" x14ac:dyDescent="0.3">
      <c r="B206" s="24"/>
      <c r="C206" s="4" t="s">
        <v>318</v>
      </c>
      <c r="D206" s="7">
        <v>679</v>
      </c>
      <c r="E206" s="7">
        <f>6*G206</f>
        <v>133.19999999999999</v>
      </c>
      <c r="F206" s="7">
        <v>129.9</v>
      </c>
      <c r="G206" s="7">
        <v>22.2</v>
      </c>
      <c r="H206" s="7">
        <v>366</v>
      </c>
      <c r="I206" s="7">
        <f t="shared" si="829"/>
        <v>22.2</v>
      </c>
      <c r="J206" s="7" t="e">
        <f>176-#REF!</f>
        <v>#REF!</v>
      </c>
      <c r="K206" s="7">
        <f t="shared" si="798"/>
        <v>277.20000000000005</v>
      </c>
      <c r="L206" s="7">
        <v>2</v>
      </c>
      <c r="M206" s="7">
        <f t="shared" si="799"/>
        <v>88.799999999999983</v>
      </c>
      <c r="N206" s="7">
        <f t="shared" si="684"/>
        <v>1.5</v>
      </c>
      <c r="O206" s="7">
        <f t="shared" si="685"/>
        <v>1.5</v>
      </c>
      <c r="P206" s="7">
        <f t="shared" si="676"/>
        <v>4</v>
      </c>
      <c r="Q206" s="7">
        <f t="shared" si="676"/>
        <v>4</v>
      </c>
      <c r="R206" s="7">
        <f t="shared" si="686"/>
        <v>5</v>
      </c>
      <c r="S206" s="7">
        <f t="shared" si="687"/>
        <v>49.640709100495329</v>
      </c>
      <c r="T206" s="7">
        <f t="shared" si="826"/>
        <v>679</v>
      </c>
      <c r="U206" s="7">
        <v>8</v>
      </c>
      <c r="V206" s="7">
        <f>(750+710)/2</f>
        <v>730</v>
      </c>
      <c r="W206" s="7"/>
      <c r="X206" s="4" t="e">
        <f t="shared" si="689"/>
        <v>#REF!</v>
      </c>
      <c r="Y206" s="7"/>
      <c r="Z206" s="7"/>
      <c r="AA206" s="7">
        <v>1</v>
      </c>
      <c r="AB206" s="7"/>
      <c r="AC206" s="7"/>
      <c r="AD206" s="7">
        <f t="shared" si="827"/>
        <v>1.3346693386773545</v>
      </c>
      <c r="AE206" s="4">
        <f t="shared" si="691"/>
        <v>133.19999999999999</v>
      </c>
      <c r="AF206" s="4">
        <f t="shared" si="692"/>
        <v>0.91591591591591592</v>
      </c>
      <c r="AG206" s="4">
        <f t="shared" si="693"/>
        <v>226.32633296409878</v>
      </c>
      <c r="AH206" s="4">
        <f t="shared" si="694"/>
        <v>0.75</v>
      </c>
      <c r="AI206" s="4">
        <v>1.25</v>
      </c>
      <c r="AJ206" s="47">
        <f t="shared" si="825"/>
        <v>5</v>
      </c>
      <c r="AK206" s="38">
        <f t="shared" si="800"/>
        <v>971.6994869657957</v>
      </c>
      <c r="AL206" s="38">
        <f t="shared" si="762"/>
        <v>971.6994869657957</v>
      </c>
      <c r="AM206" s="38">
        <f t="shared" si="695"/>
        <v>5.7111767066521422</v>
      </c>
      <c r="AN206" s="38">
        <f t="shared" si="640"/>
        <v>971.69948696579524</v>
      </c>
      <c r="AO206" s="38">
        <f t="shared" si="548"/>
        <v>1.0000000000000004</v>
      </c>
      <c r="AP206" s="38">
        <f t="shared" si="641"/>
        <v>0.80209983688859943</v>
      </c>
      <c r="AQ206" s="4">
        <f t="shared" si="642"/>
        <v>1</v>
      </c>
      <c r="AR206" s="4" t="e">
        <f>#REF!/G206*F206^0.5/0.19</f>
        <v>#REF!</v>
      </c>
      <c r="AS206" s="4">
        <f t="shared" si="696"/>
        <v>1</v>
      </c>
      <c r="AT206" s="38">
        <f t="shared" si="697"/>
        <v>779.40000000000009</v>
      </c>
      <c r="AU206" s="4">
        <f t="shared" si="698"/>
        <v>0.44000000000000006</v>
      </c>
      <c r="AV206" s="4" t="e">
        <f>AU206*D206*#REF!/(D206*G206/2.75/F206^0.5)</f>
        <v>#REF!</v>
      </c>
      <c r="AW206" s="4" t="e">
        <f t="shared" si="801"/>
        <v>#REF!</v>
      </c>
      <c r="AY206" s="4">
        <f t="shared" si="700"/>
        <v>1</v>
      </c>
      <c r="AZ206" s="4" t="e">
        <f>(3*#REF!+30)*AY206*F206^0.5</f>
        <v>#REF!</v>
      </c>
      <c r="BB206" s="4">
        <f t="shared" si="701"/>
        <v>747.53991440910613</v>
      </c>
      <c r="BC206" s="4">
        <f t="shared" si="828"/>
        <v>3704.4961984911101</v>
      </c>
      <c r="BD206" s="4">
        <f t="shared" si="672"/>
        <v>4.9555831429005819</v>
      </c>
      <c r="BL206" s="4">
        <f t="shared" si="704"/>
        <v>22.2</v>
      </c>
      <c r="BP206" s="9"/>
      <c r="BR206" s="9"/>
      <c r="BS206" s="9"/>
      <c r="BT206" s="9" t="e">
        <f t="shared" si="705"/>
        <v>#REF!</v>
      </c>
      <c r="BU206" s="9">
        <f t="shared" si="706"/>
        <v>138.60000000000002</v>
      </c>
      <c r="BV206" s="9" t="e">
        <f t="shared" si="707"/>
        <v>#REF!</v>
      </c>
      <c r="BW206" s="9">
        <v>0</v>
      </c>
      <c r="BX206" s="9">
        <f t="shared" si="708"/>
        <v>0</v>
      </c>
      <c r="BY206" s="9">
        <f t="shared" si="802"/>
        <v>0</v>
      </c>
      <c r="BZ206" s="9">
        <f t="shared" si="710"/>
        <v>1</v>
      </c>
      <c r="CA206" s="9">
        <f t="shared" si="711"/>
        <v>0.77100000000000002</v>
      </c>
      <c r="CB206" s="9">
        <f t="shared" si="712"/>
        <v>3.0755797864386483</v>
      </c>
      <c r="CC206" s="9" t="e">
        <f t="shared" si="713"/>
        <v>#REF!</v>
      </c>
      <c r="CD206" s="9">
        <v>1</v>
      </c>
      <c r="CE206" s="9" t="e">
        <f>4*CC206*#REF!+60*CC206</f>
        <v>#REF!</v>
      </c>
      <c r="CG206" s="4" t="e">
        <f t="shared" si="803"/>
        <v>#REF!</v>
      </c>
      <c r="CH206" s="4" t="e">
        <f t="shared" si="804"/>
        <v>#REF!</v>
      </c>
      <c r="CI206" s="4" t="e">
        <f t="shared" si="805"/>
        <v>#REF!</v>
      </c>
      <c r="CJ206" s="4" t="e">
        <f t="shared" si="806"/>
        <v>#REF!</v>
      </c>
      <c r="CK206" s="44" t="e">
        <f t="shared" si="807"/>
        <v>#REF!</v>
      </c>
      <c r="CL206" s="4" t="e">
        <f t="shared" si="808"/>
        <v>#REF!</v>
      </c>
      <c r="CM206" s="4">
        <f t="shared" si="720"/>
        <v>2.1117680338689433</v>
      </c>
      <c r="CO206" s="4" t="e">
        <f t="shared" si="809"/>
        <v>#REF!</v>
      </c>
      <c r="CP206" s="4" t="e">
        <f t="shared" si="810"/>
        <v>#REF!</v>
      </c>
      <c r="CQ206" s="4" t="e">
        <f t="shared" si="811"/>
        <v>#REF!</v>
      </c>
      <c r="CR206" s="4">
        <f t="shared" ref="CR206:CR211" si="837">CM206</f>
        <v>2.1117680338689433</v>
      </c>
      <c r="CS206" s="4" t="e">
        <f t="shared" si="812"/>
        <v>#REF!</v>
      </c>
      <c r="CT206" s="4" t="e">
        <f t="shared" si="813"/>
        <v>#REF!</v>
      </c>
      <c r="DB206" s="4">
        <f t="shared" si="677"/>
        <v>0</v>
      </c>
      <c r="DC206" s="4" t="e">
        <f>#REF!</f>
        <v>#REF!</v>
      </c>
      <c r="DF206" s="4">
        <f t="shared" si="723"/>
        <v>1.9960587760943928E-5</v>
      </c>
      <c r="DG206" s="4" t="e">
        <f t="shared" si="724"/>
        <v>#REF!</v>
      </c>
      <c r="DH206" s="4">
        <f t="shared" si="725"/>
        <v>0.36121658658088979</v>
      </c>
      <c r="DI206" s="4" t="e">
        <f t="shared" si="726"/>
        <v>#REF!</v>
      </c>
      <c r="DJ206" s="4" t="e">
        <f t="shared" si="727"/>
        <v>#REF!</v>
      </c>
      <c r="DK206" s="4" t="e">
        <f t="shared" si="728"/>
        <v>#REF!</v>
      </c>
      <c r="DL206" s="38" t="e">
        <f t="shared" si="729"/>
        <v>#REF!</v>
      </c>
      <c r="DM206" s="4" t="e">
        <f t="shared" si="730"/>
        <v>#REF!</v>
      </c>
      <c r="DN206" s="4">
        <f t="shared" si="731"/>
        <v>2.2360679774997898</v>
      </c>
      <c r="DO206" s="4">
        <f t="shared" si="776"/>
        <v>971.69948696579524</v>
      </c>
      <c r="DS206" s="4" t="e">
        <f t="shared" si="733"/>
        <v>#REF!</v>
      </c>
      <c r="DT206" s="4">
        <f t="shared" si="734"/>
        <v>1</v>
      </c>
      <c r="DU206" s="4">
        <f t="shared" si="735"/>
        <v>1</v>
      </c>
      <c r="DV206" s="4">
        <f t="shared" si="736"/>
        <v>1</v>
      </c>
      <c r="DX206" s="4" t="e">
        <f t="shared" si="737"/>
        <v>#REF!</v>
      </c>
      <c r="DY206" s="25">
        <f t="shared" si="814"/>
        <v>949.1812023271998</v>
      </c>
      <c r="EB206" s="4" t="e">
        <f t="shared" si="739"/>
        <v>#REF!</v>
      </c>
      <c r="EE206" s="4">
        <f t="shared" si="740"/>
        <v>49.640709100495329</v>
      </c>
      <c r="EF206" s="4">
        <f t="shared" si="741"/>
        <v>2.2360679774997898</v>
      </c>
      <c r="EG206" s="4">
        <f t="shared" si="742"/>
        <v>0.22511660227245195</v>
      </c>
      <c r="EJ206" s="4">
        <f t="shared" si="815"/>
        <v>0.22511660227245195</v>
      </c>
      <c r="EK206" s="4">
        <f t="shared" si="744"/>
        <v>0.36061378341950645</v>
      </c>
      <c r="EL206" s="4" t="e">
        <f t="shared" si="679"/>
        <v>#REF!</v>
      </c>
      <c r="EM206" s="4" t="e">
        <f t="shared" si="816"/>
        <v>#REF!</v>
      </c>
      <c r="EN206" s="4" t="e">
        <f t="shared" si="673"/>
        <v>#REF!</v>
      </c>
      <c r="EO206" s="4" t="e">
        <f t="shared" si="674"/>
        <v>#REF!</v>
      </c>
      <c r="EP206" s="4" t="e">
        <f t="shared" si="749"/>
        <v>#REF!</v>
      </c>
      <c r="EQ206" s="4" t="e">
        <f t="shared" si="817"/>
        <v>#REF!</v>
      </c>
      <c r="ER206" s="4" t="e">
        <f t="shared" si="751"/>
        <v>#REF!</v>
      </c>
      <c r="FA206" s="23" t="e">
        <f t="shared" si="818"/>
        <v>#REF!</v>
      </c>
      <c r="FB206" s="23" t="e">
        <f t="shared" si="819"/>
        <v>#REF!</v>
      </c>
      <c r="FC206" s="23">
        <f t="shared" si="754"/>
        <v>2.2000000000000002</v>
      </c>
      <c r="FD206" s="23" t="e">
        <f t="shared" si="820"/>
        <v>#REF!</v>
      </c>
      <c r="FE206" s="23" t="e">
        <f t="shared" si="821"/>
        <v>#REF!</v>
      </c>
      <c r="FF206" s="23" t="e">
        <f t="shared" si="822"/>
        <v>#REF!</v>
      </c>
      <c r="FG206" s="23" t="e">
        <f t="shared" si="823"/>
        <v>#REF!</v>
      </c>
      <c r="FH206" s="23"/>
      <c r="FR206" s="4">
        <f t="shared" si="607"/>
        <v>1.25</v>
      </c>
      <c r="FS206" s="4">
        <f t="shared" si="608"/>
        <v>0.5</v>
      </c>
      <c r="FT206" s="4">
        <f t="shared" si="609"/>
        <v>0</v>
      </c>
      <c r="FU206" s="4">
        <f t="shared" si="610"/>
        <v>345.681906484102</v>
      </c>
    </row>
    <row r="207" spans="1:177" ht="12" customHeight="1" x14ac:dyDescent="0.3">
      <c r="B207" s="24"/>
      <c r="C207" s="4" t="s">
        <v>319</v>
      </c>
      <c r="D207" s="7">
        <v>679</v>
      </c>
      <c r="E207" s="7">
        <f t="shared" ref="E207" si="838">6*G207</f>
        <v>133.19999999999999</v>
      </c>
      <c r="F207" s="7">
        <v>129.9</v>
      </c>
      <c r="G207" s="7">
        <v>22.2</v>
      </c>
      <c r="H207" s="7">
        <v>366</v>
      </c>
      <c r="I207" s="7">
        <f t="shared" si="829"/>
        <v>22.2</v>
      </c>
      <c r="J207" s="7" t="e">
        <f>176-#REF!</f>
        <v>#REF!</v>
      </c>
      <c r="K207" s="7">
        <f t="shared" si="798"/>
        <v>277.20000000000005</v>
      </c>
      <c r="L207" s="7">
        <v>2</v>
      </c>
      <c r="M207" s="7">
        <f t="shared" si="799"/>
        <v>88.799999999999983</v>
      </c>
      <c r="N207" s="7">
        <f t="shared" si="684"/>
        <v>1.5</v>
      </c>
      <c r="O207" s="7">
        <f t="shared" si="685"/>
        <v>1.5</v>
      </c>
      <c r="P207" s="7">
        <f t="shared" si="676"/>
        <v>4</v>
      </c>
      <c r="Q207" s="7">
        <f t="shared" si="676"/>
        <v>4</v>
      </c>
      <c r="R207" s="7">
        <f t="shared" si="686"/>
        <v>5</v>
      </c>
      <c r="S207" s="7">
        <f t="shared" si="687"/>
        <v>49.640709100495329</v>
      </c>
      <c r="T207" s="7">
        <f t="shared" si="826"/>
        <v>679</v>
      </c>
      <c r="U207" s="7">
        <v>8</v>
      </c>
      <c r="V207" s="7">
        <f>(742+721)/2</f>
        <v>731.5</v>
      </c>
      <c r="W207" s="7"/>
      <c r="X207" s="4" t="e">
        <f t="shared" si="689"/>
        <v>#REF!</v>
      </c>
      <c r="Y207" s="7"/>
      <c r="Z207" s="7"/>
      <c r="AA207" s="7">
        <v>1</v>
      </c>
      <c r="AB207" s="7"/>
      <c r="AC207" s="7"/>
      <c r="AD207" s="7">
        <f t="shared" si="827"/>
        <v>1.3346693386773545</v>
      </c>
      <c r="AE207" s="4">
        <f t="shared" si="691"/>
        <v>133.19999999999999</v>
      </c>
      <c r="AF207" s="4">
        <f t="shared" si="692"/>
        <v>0.91591591591591592</v>
      </c>
      <c r="AG207" s="4">
        <f t="shared" si="693"/>
        <v>226.32633296409878</v>
      </c>
      <c r="AH207" s="4">
        <f t="shared" si="694"/>
        <v>0.75</v>
      </c>
      <c r="AI207" s="4">
        <v>1.25</v>
      </c>
      <c r="AJ207" s="47">
        <f t="shared" si="825"/>
        <v>5</v>
      </c>
      <c r="AK207" s="38">
        <f t="shared" si="800"/>
        <v>971.6994869657957</v>
      </c>
      <c r="AL207" s="38">
        <f t="shared" si="762"/>
        <v>971.6994869657957</v>
      </c>
      <c r="AM207" s="38">
        <f t="shared" si="695"/>
        <v>5.7111767066521422</v>
      </c>
      <c r="AN207" s="38">
        <f t="shared" si="640"/>
        <v>971.69948696579524</v>
      </c>
      <c r="AO207" s="38">
        <f t="shared" si="548"/>
        <v>1.0000000000000004</v>
      </c>
      <c r="AP207" s="38">
        <f t="shared" si="641"/>
        <v>0.80209983688859943</v>
      </c>
      <c r="AQ207" s="4">
        <f t="shared" si="642"/>
        <v>1</v>
      </c>
      <c r="AR207" s="4" t="e">
        <f>#REF!/G207*F207^0.5/0.19</f>
        <v>#REF!</v>
      </c>
      <c r="AS207" s="4">
        <f t="shared" si="696"/>
        <v>1</v>
      </c>
      <c r="AT207" s="38">
        <f t="shared" si="697"/>
        <v>779.40000000000009</v>
      </c>
      <c r="AU207" s="4">
        <f t="shared" si="698"/>
        <v>0.44000000000000006</v>
      </c>
      <c r="AV207" s="4" t="e">
        <f>AU207*D207*#REF!/(D207*G207/2.75/F207^0.5)</f>
        <v>#REF!</v>
      </c>
      <c r="AW207" s="4" t="e">
        <f t="shared" si="801"/>
        <v>#REF!</v>
      </c>
      <c r="AY207" s="4">
        <f t="shared" si="700"/>
        <v>1</v>
      </c>
      <c r="AZ207" s="4" t="e">
        <f>(3*#REF!+30)*AY207*F207^0.5</f>
        <v>#REF!</v>
      </c>
      <c r="BB207" s="4">
        <f t="shared" si="701"/>
        <v>747.53991440910613</v>
      </c>
      <c r="BC207" s="4">
        <f t="shared" si="828"/>
        <v>3704.4961984911101</v>
      </c>
      <c r="BD207" s="4">
        <f t="shared" si="672"/>
        <v>4.9555831429005819</v>
      </c>
      <c r="BL207" s="4">
        <f t="shared" si="704"/>
        <v>22.2</v>
      </c>
      <c r="BP207" s="9"/>
      <c r="BR207" s="9"/>
      <c r="BS207" s="9"/>
      <c r="BT207" s="9" t="e">
        <f t="shared" si="705"/>
        <v>#REF!</v>
      </c>
      <c r="BU207" s="9">
        <f t="shared" si="706"/>
        <v>138.60000000000002</v>
      </c>
      <c r="BV207" s="9" t="e">
        <f t="shared" si="707"/>
        <v>#REF!</v>
      </c>
      <c r="BW207" s="9">
        <v>0</v>
      </c>
      <c r="BX207" s="9">
        <f t="shared" si="708"/>
        <v>0</v>
      </c>
      <c r="BY207" s="9">
        <f t="shared" si="802"/>
        <v>0</v>
      </c>
      <c r="BZ207" s="9">
        <f t="shared" si="710"/>
        <v>1</v>
      </c>
      <c r="CA207" s="9">
        <f t="shared" si="711"/>
        <v>0.77100000000000002</v>
      </c>
      <c r="CB207" s="9">
        <f t="shared" si="712"/>
        <v>3.0755797864386483</v>
      </c>
      <c r="CC207" s="9" t="e">
        <f t="shared" si="713"/>
        <v>#REF!</v>
      </c>
      <c r="CD207" s="9">
        <v>1</v>
      </c>
      <c r="CE207" s="9" t="e">
        <f>4*CC207*#REF!+60*CC207</f>
        <v>#REF!</v>
      </c>
      <c r="CG207" s="4" t="e">
        <f t="shared" si="803"/>
        <v>#REF!</v>
      </c>
      <c r="CH207" s="4" t="e">
        <f t="shared" si="804"/>
        <v>#REF!</v>
      </c>
      <c r="CI207" s="4" t="e">
        <f t="shared" si="805"/>
        <v>#REF!</v>
      </c>
      <c r="CJ207" s="4" t="e">
        <f t="shared" si="806"/>
        <v>#REF!</v>
      </c>
      <c r="CK207" s="44" t="e">
        <f t="shared" si="807"/>
        <v>#REF!</v>
      </c>
      <c r="CL207" s="4" t="e">
        <f t="shared" si="808"/>
        <v>#REF!</v>
      </c>
      <c r="CM207" s="4">
        <f t="shared" si="720"/>
        <v>2.1161072832536054</v>
      </c>
      <c r="CO207" s="4" t="e">
        <f t="shared" si="809"/>
        <v>#REF!</v>
      </c>
      <c r="CP207" s="4" t="e">
        <f t="shared" si="810"/>
        <v>#REF!</v>
      </c>
      <c r="CQ207" s="4" t="e">
        <f t="shared" si="811"/>
        <v>#REF!</v>
      </c>
      <c r="CR207" s="4">
        <f t="shared" si="837"/>
        <v>2.1161072832536054</v>
      </c>
      <c r="CS207" s="4" t="e">
        <f t="shared" si="812"/>
        <v>#REF!</v>
      </c>
      <c r="CT207" s="4" t="e">
        <f t="shared" si="813"/>
        <v>#REF!</v>
      </c>
      <c r="DB207" s="4">
        <f t="shared" si="677"/>
        <v>0</v>
      </c>
      <c r="DC207" s="4" t="e">
        <f>#REF!</f>
        <v>#REF!</v>
      </c>
      <c r="DF207" s="4">
        <f t="shared" si="723"/>
        <v>1.9960587760943928E-5</v>
      </c>
      <c r="DG207" s="4" t="e">
        <f t="shared" si="724"/>
        <v>#REF!</v>
      </c>
      <c r="DH207" s="4">
        <f t="shared" si="725"/>
        <v>0.36121658658088979</v>
      </c>
      <c r="DI207" s="4" t="e">
        <f t="shared" si="726"/>
        <v>#REF!</v>
      </c>
      <c r="DJ207" s="4" t="e">
        <f t="shared" si="727"/>
        <v>#REF!</v>
      </c>
      <c r="DK207" s="4" t="e">
        <f t="shared" si="728"/>
        <v>#REF!</v>
      </c>
      <c r="DL207" s="38" t="e">
        <f t="shared" si="729"/>
        <v>#REF!</v>
      </c>
      <c r="DM207" s="4" t="e">
        <f t="shared" si="730"/>
        <v>#REF!</v>
      </c>
      <c r="DN207" s="4">
        <f t="shared" si="731"/>
        <v>2.2360679774997898</v>
      </c>
      <c r="DO207" s="4">
        <f t="shared" si="776"/>
        <v>971.69948696579524</v>
      </c>
      <c r="DS207" s="4" t="e">
        <f t="shared" si="733"/>
        <v>#REF!</v>
      </c>
      <c r="DT207" s="4">
        <f t="shared" si="734"/>
        <v>1</v>
      </c>
      <c r="DU207" s="4">
        <f t="shared" si="735"/>
        <v>1</v>
      </c>
      <c r="DV207" s="4">
        <f t="shared" si="736"/>
        <v>1</v>
      </c>
      <c r="DX207" s="4" t="e">
        <f t="shared" si="737"/>
        <v>#REF!</v>
      </c>
      <c r="DY207" s="25">
        <f t="shared" si="814"/>
        <v>949.1812023271998</v>
      </c>
      <c r="EB207" s="4" t="e">
        <f t="shared" si="739"/>
        <v>#REF!</v>
      </c>
      <c r="EE207" s="4">
        <f t="shared" si="740"/>
        <v>49.640709100495329</v>
      </c>
      <c r="EF207" s="4">
        <f t="shared" si="741"/>
        <v>2.2360679774997898</v>
      </c>
      <c r="EG207" s="4">
        <f t="shared" si="742"/>
        <v>0.22511660227245195</v>
      </c>
      <c r="EJ207" s="4">
        <f t="shared" si="815"/>
        <v>0.22511660227245195</v>
      </c>
      <c r="EK207" s="4">
        <f t="shared" si="744"/>
        <v>0.36061378341950645</v>
      </c>
      <c r="EL207" s="4" t="e">
        <f t="shared" si="679"/>
        <v>#REF!</v>
      </c>
      <c r="EM207" s="4" t="e">
        <f t="shared" si="816"/>
        <v>#REF!</v>
      </c>
      <c r="EN207" s="4" t="e">
        <f t="shared" si="673"/>
        <v>#REF!</v>
      </c>
      <c r="EO207" s="4" t="e">
        <f t="shared" si="674"/>
        <v>#REF!</v>
      </c>
      <c r="EP207" s="4" t="e">
        <f t="shared" si="749"/>
        <v>#REF!</v>
      </c>
      <c r="EQ207" s="4" t="e">
        <f t="shared" si="817"/>
        <v>#REF!</v>
      </c>
      <c r="ER207" s="4" t="e">
        <f t="shared" si="751"/>
        <v>#REF!</v>
      </c>
      <c r="FA207" s="23" t="e">
        <f t="shared" si="818"/>
        <v>#REF!</v>
      </c>
      <c r="FB207" s="23" t="e">
        <f t="shared" si="819"/>
        <v>#REF!</v>
      </c>
      <c r="FC207" s="23">
        <f t="shared" si="754"/>
        <v>2.2000000000000002</v>
      </c>
      <c r="FD207" s="23" t="e">
        <f t="shared" si="820"/>
        <v>#REF!</v>
      </c>
      <c r="FE207" s="23" t="e">
        <f t="shared" si="821"/>
        <v>#REF!</v>
      </c>
      <c r="FF207" s="23" t="e">
        <f t="shared" si="822"/>
        <v>#REF!</v>
      </c>
      <c r="FG207" s="23" t="e">
        <f t="shared" si="823"/>
        <v>#REF!</v>
      </c>
      <c r="FH207" s="23"/>
      <c r="FR207" s="4">
        <f t="shared" si="607"/>
        <v>1.25</v>
      </c>
      <c r="FS207" s="4">
        <f t="shared" si="608"/>
        <v>0.5</v>
      </c>
      <c r="FT207" s="4">
        <f t="shared" si="609"/>
        <v>0</v>
      </c>
      <c r="FU207" s="4">
        <f t="shared" si="610"/>
        <v>345.681906484102</v>
      </c>
    </row>
    <row r="208" spans="1:177" ht="12" customHeight="1" x14ac:dyDescent="0.3">
      <c r="B208" s="24"/>
      <c r="C208" s="4" t="s">
        <v>312</v>
      </c>
      <c r="D208" s="7">
        <v>649</v>
      </c>
      <c r="E208" s="7">
        <f t="shared" si="824"/>
        <v>127.2</v>
      </c>
      <c r="F208" s="7">
        <v>129.9</v>
      </c>
      <c r="G208" s="7">
        <v>31.8</v>
      </c>
      <c r="H208" s="7">
        <v>396</v>
      </c>
      <c r="I208" s="7">
        <f t="shared" si="829"/>
        <v>31.8</v>
      </c>
      <c r="J208" s="7" t="e">
        <f>171-#REF!</f>
        <v>#REF!</v>
      </c>
      <c r="K208" s="7">
        <f t="shared" si="798"/>
        <v>268.79999999999995</v>
      </c>
      <c r="L208" s="7">
        <v>2</v>
      </c>
      <c r="M208" s="7">
        <f t="shared" si="799"/>
        <v>84.8</v>
      </c>
      <c r="N208" s="7">
        <f t="shared" si="684"/>
        <v>1.5</v>
      </c>
      <c r="O208" s="7">
        <f t="shared" si="685"/>
        <v>1.5</v>
      </c>
      <c r="P208" s="7">
        <f t="shared" si="676"/>
        <v>4</v>
      </c>
      <c r="Q208" s="7">
        <f t="shared" si="676"/>
        <v>4</v>
      </c>
      <c r="R208" s="7">
        <f t="shared" si="686"/>
        <v>5</v>
      </c>
      <c r="S208" s="7">
        <f t="shared" si="687"/>
        <v>71.106961684493314</v>
      </c>
      <c r="T208" s="7">
        <f t="shared" si="826"/>
        <v>649</v>
      </c>
      <c r="U208" s="7">
        <v>11</v>
      </c>
      <c r="V208" s="7">
        <f>(714+700)/2</f>
        <v>707</v>
      </c>
      <c r="W208" s="7"/>
      <c r="X208" s="4" t="e">
        <f t="shared" si="689"/>
        <v>#REF!</v>
      </c>
      <c r="Y208" s="7"/>
      <c r="Z208" s="7"/>
      <c r="AA208" s="7">
        <v>1</v>
      </c>
      <c r="AB208" s="7"/>
      <c r="AC208" s="7"/>
      <c r="AD208" s="7">
        <f t="shared" si="827"/>
        <v>1.2694610778443116</v>
      </c>
      <c r="AE208" s="4">
        <f t="shared" si="691"/>
        <v>127.2</v>
      </c>
      <c r="AF208" s="4">
        <f t="shared" si="692"/>
        <v>1.0377358490566038</v>
      </c>
      <c r="AG208" s="4">
        <f t="shared" si="693"/>
        <v>102.93453939452981</v>
      </c>
      <c r="AH208" s="4">
        <f t="shared" si="694"/>
        <v>0.77499999999999991</v>
      </c>
      <c r="AI208" s="4">
        <v>1.25</v>
      </c>
      <c r="AJ208" s="47">
        <f t="shared" si="825"/>
        <v>5</v>
      </c>
      <c r="AK208" s="38">
        <f t="shared" si="800"/>
        <v>517.40386104856509</v>
      </c>
      <c r="AL208" s="38">
        <f t="shared" si="762"/>
        <v>517.40386104856509</v>
      </c>
      <c r="AM208" s="38">
        <f t="shared" si="695"/>
        <v>5.7111767066521422</v>
      </c>
      <c r="AN208" s="38">
        <f t="shared" si="640"/>
        <v>517.40386104856543</v>
      </c>
      <c r="AO208" s="38">
        <f t="shared" si="548"/>
        <v>0.99999999999999933</v>
      </c>
      <c r="AP208" s="38">
        <f t="shared" si="641"/>
        <v>1.5063668029466883</v>
      </c>
      <c r="AQ208" s="4">
        <f t="shared" si="642"/>
        <v>0</v>
      </c>
      <c r="AR208" s="4" t="e">
        <f>#REF!/G208*F208^0.5/0.19</f>
        <v>#REF!</v>
      </c>
      <c r="AS208" s="4">
        <f t="shared" si="696"/>
        <v>1</v>
      </c>
      <c r="AT208" s="38">
        <f t="shared" si="697"/>
        <v>779.40000000000009</v>
      </c>
      <c r="AU208" s="4">
        <f t="shared" si="698"/>
        <v>0.44000000000000006</v>
      </c>
      <c r="AV208" s="4" t="e">
        <f>AU208*D208*#REF!/(D208*G208/2.75/F208^0.5)</f>
        <v>#REF!</v>
      </c>
      <c r="AW208" s="4" t="e">
        <f t="shared" si="801"/>
        <v>#REF!</v>
      </c>
      <c r="AY208" s="4">
        <f t="shared" si="700"/>
        <v>1</v>
      </c>
      <c r="AZ208" s="4" t="e">
        <f>(3*#REF!+30)*AY208*F208^0.5</f>
        <v>#REF!</v>
      </c>
      <c r="BB208" s="4">
        <f t="shared" si="701"/>
        <v>747.53991440910613</v>
      </c>
      <c r="BC208" s="4">
        <f t="shared" si="828"/>
        <v>711.96329095823319</v>
      </c>
      <c r="BD208" s="4">
        <f t="shared" si="672"/>
        <v>0.95240839617374207</v>
      </c>
      <c r="BL208" s="4">
        <f t="shared" si="704"/>
        <v>31.8</v>
      </c>
      <c r="BP208" s="9"/>
      <c r="BR208" s="9"/>
      <c r="BS208" s="9"/>
      <c r="BT208" s="9" t="e">
        <f t="shared" si="705"/>
        <v>#REF!</v>
      </c>
      <c r="BU208" s="9">
        <f t="shared" si="706"/>
        <v>134.39999999999998</v>
      </c>
      <c r="BV208" s="9" t="e">
        <f t="shared" si="707"/>
        <v>#REF!</v>
      </c>
      <c r="BW208" s="9">
        <v>0</v>
      </c>
      <c r="BX208" s="9">
        <f t="shared" si="708"/>
        <v>0</v>
      </c>
      <c r="BY208" s="9">
        <f t="shared" si="802"/>
        <v>0</v>
      </c>
      <c r="BZ208" s="9">
        <f t="shared" si="710"/>
        <v>0.93036607665491811</v>
      </c>
      <c r="CA208" s="9">
        <f t="shared" si="711"/>
        <v>0.80099999999999993</v>
      </c>
      <c r="CB208" s="9">
        <f t="shared" si="712"/>
        <v>2.9727542082721463</v>
      </c>
      <c r="CC208" s="9" t="e">
        <f t="shared" si="713"/>
        <v>#REF!</v>
      </c>
      <c r="CD208" s="9">
        <v>1</v>
      </c>
      <c r="CE208" s="9" t="e">
        <f>4*CC208*#REF!+60*CC208</f>
        <v>#REF!</v>
      </c>
      <c r="CG208" s="4" t="e">
        <f t="shared" si="803"/>
        <v>#REF!</v>
      </c>
      <c r="CH208" s="4" t="e">
        <f t="shared" si="804"/>
        <v>#REF!</v>
      </c>
      <c r="CI208" s="4" t="e">
        <f t="shared" si="805"/>
        <v>#REF!</v>
      </c>
      <c r="CJ208" s="4" t="e">
        <f t="shared" si="806"/>
        <v>#REF!</v>
      </c>
      <c r="CK208" s="44" t="e">
        <f t="shared" si="807"/>
        <v>#REF!</v>
      </c>
      <c r="CL208" s="4" t="e">
        <f t="shared" si="808"/>
        <v>#REF!</v>
      </c>
      <c r="CM208" s="4">
        <f t="shared" si="720"/>
        <v>3.6717330366569469</v>
      </c>
      <c r="CO208" s="4" t="e">
        <f t="shared" si="809"/>
        <v>#REF!</v>
      </c>
      <c r="CP208" s="4" t="e">
        <f t="shared" si="810"/>
        <v>#REF!</v>
      </c>
      <c r="CQ208" s="4" t="e">
        <f t="shared" si="811"/>
        <v>#REF!</v>
      </c>
      <c r="CR208" s="4">
        <f t="shared" si="837"/>
        <v>3.6717330366569469</v>
      </c>
      <c r="CS208" s="4" t="e">
        <f t="shared" si="812"/>
        <v>#REF!</v>
      </c>
      <c r="CT208" s="4" t="e">
        <f t="shared" si="813"/>
        <v>#REF!</v>
      </c>
      <c r="DB208" s="4">
        <f t="shared" si="677"/>
        <v>0</v>
      </c>
      <c r="DC208" s="4" t="e">
        <f>#REF!</f>
        <v>#REF!</v>
      </c>
      <c r="DF208" s="4">
        <f t="shared" si="723"/>
        <v>1.3307058507295954E-5</v>
      </c>
      <c r="DG208" s="4" t="e">
        <f t="shared" si="724"/>
        <v>#REF!</v>
      </c>
      <c r="DH208" s="4">
        <f t="shared" si="725"/>
        <v>0.2755113670422118</v>
      </c>
      <c r="DI208" s="4" t="e">
        <f t="shared" si="726"/>
        <v>#REF!</v>
      </c>
      <c r="DJ208" s="4" t="e">
        <f t="shared" si="727"/>
        <v>#REF!</v>
      </c>
      <c r="DK208" s="4" t="e">
        <f t="shared" si="728"/>
        <v>#REF!</v>
      </c>
      <c r="DL208" s="38" t="e">
        <f t="shared" si="729"/>
        <v>#REF!</v>
      </c>
      <c r="DM208" s="4" t="e">
        <f t="shared" si="730"/>
        <v>#REF!</v>
      </c>
      <c r="DN208" s="4">
        <f t="shared" si="731"/>
        <v>2.2360679774997898</v>
      </c>
      <c r="DO208" s="4">
        <f t="shared" si="776"/>
        <v>517.40386104856543</v>
      </c>
      <c r="DS208" s="4" t="e">
        <f t="shared" si="733"/>
        <v>#REF!</v>
      </c>
      <c r="DT208" s="4">
        <f t="shared" si="734"/>
        <v>1</v>
      </c>
      <c r="DU208" s="4">
        <f t="shared" si="735"/>
        <v>1</v>
      </c>
      <c r="DV208" s="4">
        <f t="shared" si="736"/>
        <v>1</v>
      </c>
      <c r="DX208" s="4" t="e">
        <f t="shared" si="737"/>
        <v>#REF!</v>
      </c>
      <c r="DY208" s="25">
        <f t="shared" si="814"/>
        <v>500.22595130449861</v>
      </c>
      <c r="EB208" s="4" t="e">
        <f t="shared" si="739"/>
        <v>#REF!</v>
      </c>
      <c r="EE208" s="4">
        <f t="shared" si="740"/>
        <v>71.106961684493314</v>
      </c>
      <c r="EF208" s="4">
        <f t="shared" si="741"/>
        <v>2.2360679774997898</v>
      </c>
      <c r="EG208" s="4">
        <f t="shared" si="742"/>
        <v>0.17170358488533044</v>
      </c>
      <c r="EJ208" s="4">
        <f t="shared" si="815"/>
        <v>0.17170358488533044</v>
      </c>
      <c r="EK208" s="4">
        <f t="shared" si="744"/>
        <v>0.27505158991895695</v>
      </c>
      <c r="EL208" s="4" t="e">
        <f t="shared" si="679"/>
        <v>#REF!</v>
      </c>
      <c r="EM208" s="4" t="e">
        <f t="shared" si="816"/>
        <v>#REF!</v>
      </c>
      <c r="EN208" s="4" t="e">
        <f t="shared" si="673"/>
        <v>#REF!</v>
      </c>
      <c r="EO208" s="4" t="e">
        <f t="shared" si="674"/>
        <v>#REF!</v>
      </c>
      <c r="EP208" s="4" t="e">
        <f t="shared" si="749"/>
        <v>#REF!</v>
      </c>
      <c r="EQ208" s="4" t="e">
        <f t="shared" si="817"/>
        <v>#REF!</v>
      </c>
      <c r="ER208" s="4" t="e">
        <f t="shared" si="751"/>
        <v>#REF!</v>
      </c>
      <c r="FA208" s="23" t="e">
        <f t="shared" si="818"/>
        <v>#REF!</v>
      </c>
      <c r="FB208" s="23" t="e">
        <f t="shared" si="819"/>
        <v>#REF!</v>
      </c>
      <c r="FC208" s="23">
        <f t="shared" si="754"/>
        <v>2.2000000000000002</v>
      </c>
      <c r="FD208" s="23" t="e">
        <f t="shared" si="820"/>
        <v>#REF!</v>
      </c>
      <c r="FE208" s="23" t="e">
        <f t="shared" si="821"/>
        <v>#REF!</v>
      </c>
      <c r="FF208" s="23" t="e">
        <f t="shared" si="822"/>
        <v>#REF!</v>
      </c>
      <c r="FG208" s="23" t="e">
        <f t="shared" si="823"/>
        <v>#REF!</v>
      </c>
      <c r="FH208" s="23"/>
      <c r="FR208" s="4">
        <f t="shared" si="607"/>
        <v>1.25</v>
      </c>
      <c r="FS208" s="4">
        <f t="shared" si="608"/>
        <v>0.5</v>
      </c>
      <c r="FT208" s="4">
        <f t="shared" si="609"/>
        <v>0</v>
      </c>
      <c r="FU208" s="4">
        <f t="shared" si="610"/>
        <v>192.55212537012548</v>
      </c>
    </row>
    <row r="209" spans="1:177" ht="12" customHeight="1" x14ac:dyDescent="0.3">
      <c r="B209" s="24"/>
      <c r="C209" s="4" t="s">
        <v>313</v>
      </c>
      <c r="D209" s="7">
        <v>649</v>
      </c>
      <c r="E209" s="7">
        <f t="shared" si="824"/>
        <v>127.2</v>
      </c>
      <c r="F209" s="7">
        <v>129.9</v>
      </c>
      <c r="G209" s="7">
        <v>31.8</v>
      </c>
      <c r="H209" s="7">
        <v>396</v>
      </c>
      <c r="I209" s="7">
        <f t="shared" si="829"/>
        <v>31.8</v>
      </c>
      <c r="J209" s="7" t="e">
        <f>171-#REF!</f>
        <v>#REF!</v>
      </c>
      <c r="K209" s="7">
        <f t="shared" si="798"/>
        <v>268.79999999999995</v>
      </c>
      <c r="L209" s="7">
        <v>2</v>
      </c>
      <c r="M209" s="7">
        <f t="shared" si="799"/>
        <v>84.8</v>
      </c>
      <c r="N209" s="7">
        <f t="shared" si="684"/>
        <v>1.5</v>
      </c>
      <c r="O209" s="7">
        <f t="shared" si="685"/>
        <v>1.5</v>
      </c>
      <c r="P209" s="7">
        <f t="shared" si="676"/>
        <v>4</v>
      </c>
      <c r="Q209" s="7">
        <f t="shared" si="676"/>
        <v>4</v>
      </c>
      <c r="R209" s="7">
        <f t="shared" si="686"/>
        <v>5</v>
      </c>
      <c r="S209" s="7">
        <f t="shared" si="687"/>
        <v>71.106961684493314</v>
      </c>
      <c r="T209" s="7">
        <f t="shared" si="826"/>
        <v>649</v>
      </c>
      <c r="U209" s="7">
        <v>11</v>
      </c>
      <c r="V209" s="7">
        <f>(720+688)/2</f>
        <v>704</v>
      </c>
      <c r="W209" s="7"/>
      <c r="X209" s="4" t="e">
        <f t="shared" si="689"/>
        <v>#REF!</v>
      </c>
      <c r="Y209" s="7"/>
      <c r="Z209" s="7"/>
      <c r="AA209" s="7">
        <v>1</v>
      </c>
      <c r="AB209" s="7"/>
      <c r="AC209" s="7"/>
      <c r="AD209" s="7">
        <f t="shared" si="827"/>
        <v>1.2694610778443116</v>
      </c>
      <c r="AE209" s="4">
        <f t="shared" si="691"/>
        <v>127.2</v>
      </c>
      <c r="AF209" s="4">
        <f t="shared" si="692"/>
        <v>1.0377358490566038</v>
      </c>
      <c r="AG209" s="4">
        <f t="shared" si="693"/>
        <v>102.93453939452981</v>
      </c>
      <c r="AH209" s="4">
        <f t="shared" si="694"/>
        <v>0.77499999999999991</v>
      </c>
      <c r="AI209" s="4">
        <v>1.25</v>
      </c>
      <c r="AJ209" s="47">
        <f t="shared" si="825"/>
        <v>5</v>
      </c>
      <c r="AK209" s="38">
        <f t="shared" si="800"/>
        <v>517.40386104856509</v>
      </c>
      <c r="AL209" s="38">
        <f t="shared" si="762"/>
        <v>517.40386104856509</v>
      </c>
      <c r="AM209" s="38">
        <f t="shared" si="695"/>
        <v>5.7111767066521422</v>
      </c>
      <c r="AN209" s="38">
        <f t="shared" si="640"/>
        <v>517.40386104856543</v>
      </c>
      <c r="AO209" s="38">
        <f t="shared" si="548"/>
        <v>0.99999999999999933</v>
      </c>
      <c r="AP209" s="38">
        <f t="shared" si="641"/>
        <v>1.5063668029466883</v>
      </c>
      <c r="AQ209" s="4">
        <f t="shared" si="642"/>
        <v>0</v>
      </c>
      <c r="AR209" s="4" t="e">
        <f>#REF!/G209*F209^0.5/0.19</f>
        <v>#REF!</v>
      </c>
      <c r="AS209" s="4">
        <f t="shared" si="696"/>
        <v>1</v>
      </c>
      <c r="AT209" s="38">
        <f t="shared" si="697"/>
        <v>779.40000000000009</v>
      </c>
      <c r="AU209" s="4">
        <f t="shared" si="698"/>
        <v>0.44000000000000006</v>
      </c>
      <c r="AV209" s="4" t="e">
        <f>AU209*D209*#REF!/(D209*G209/2.75/F209^0.5)</f>
        <v>#REF!</v>
      </c>
      <c r="AW209" s="4" t="e">
        <f t="shared" si="801"/>
        <v>#REF!</v>
      </c>
      <c r="AY209" s="4">
        <f t="shared" si="700"/>
        <v>1</v>
      </c>
      <c r="AZ209" s="4" t="e">
        <f>(3*#REF!+30)*AY209*F209^0.5</f>
        <v>#REF!</v>
      </c>
      <c r="BB209" s="4">
        <f t="shared" si="701"/>
        <v>747.53991440910613</v>
      </c>
      <c r="BC209" s="4">
        <f t="shared" si="828"/>
        <v>711.96329095823319</v>
      </c>
      <c r="BD209" s="4">
        <f t="shared" si="672"/>
        <v>0.95240839617374207</v>
      </c>
      <c r="BL209" s="4">
        <f t="shared" si="704"/>
        <v>31.8</v>
      </c>
      <c r="BP209" s="9"/>
      <c r="BR209" s="9"/>
      <c r="BS209" s="9"/>
      <c r="BT209" s="9" t="e">
        <f t="shared" si="705"/>
        <v>#REF!</v>
      </c>
      <c r="BU209" s="9">
        <f t="shared" si="706"/>
        <v>134.39999999999998</v>
      </c>
      <c r="BV209" s="9" t="e">
        <f t="shared" si="707"/>
        <v>#REF!</v>
      </c>
      <c r="BW209" s="9">
        <v>0</v>
      </c>
      <c r="BX209" s="9">
        <f t="shared" si="708"/>
        <v>0</v>
      </c>
      <c r="BY209" s="9">
        <f t="shared" si="802"/>
        <v>0</v>
      </c>
      <c r="BZ209" s="9">
        <f t="shared" si="710"/>
        <v>0.93036607665491811</v>
      </c>
      <c r="CA209" s="9">
        <f t="shared" si="711"/>
        <v>0.80099999999999993</v>
      </c>
      <c r="CB209" s="9">
        <f t="shared" si="712"/>
        <v>2.9727542082721463</v>
      </c>
      <c r="CC209" s="9" t="e">
        <f t="shared" si="713"/>
        <v>#REF!</v>
      </c>
      <c r="CD209" s="9">
        <v>1</v>
      </c>
      <c r="CE209" s="9" t="e">
        <f>4*CC209*#REF!+60*CC209</f>
        <v>#REF!</v>
      </c>
      <c r="CG209" s="4" t="e">
        <f t="shared" si="803"/>
        <v>#REF!</v>
      </c>
      <c r="CH209" s="4" t="e">
        <f t="shared" si="804"/>
        <v>#REF!</v>
      </c>
      <c r="CI209" s="4" t="e">
        <f t="shared" si="805"/>
        <v>#REF!</v>
      </c>
      <c r="CJ209" s="4" t="e">
        <f t="shared" si="806"/>
        <v>#REF!</v>
      </c>
      <c r="CK209" s="44" t="e">
        <f t="shared" si="807"/>
        <v>#REF!</v>
      </c>
      <c r="CL209" s="4" t="e">
        <f t="shared" si="808"/>
        <v>#REF!</v>
      </c>
      <c r="CM209" s="4">
        <f t="shared" si="720"/>
        <v>3.6561528398960266</v>
      </c>
      <c r="CO209" s="4" t="e">
        <f t="shared" si="809"/>
        <v>#REF!</v>
      </c>
      <c r="CP209" s="4" t="e">
        <f t="shared" si="810"/>
        <v>#REF!</v>
      </c>
      <c r="CQ209" s="4" t="e">
        <f t="shared" si="811"/>
        <v>#REF!</v>
      </c>
      <c r="CR209" s="4">
        <f t="shared" si="837"/>
        <v>3.6561528398960266</v>
      </c>
      <c r="CS209" s="4" t="e">
        <f t="shared" si="812"/>
        <v>#REF!</v>
      </c>
      <c r="CT209" s="4" t="e">
        <f t="shared" si="813"/>
        <v>#REF!</v>
      </c>
      <c r="DB209" s="4">
        <f t="shared" si="677"/>
        <v>0</v>
      </c>
      <c r="DC209" s="4" t="e">
        <f>#REF!</f>
        <v>#REF!</v>
      </c>
      <c r="DF209" s="4">
        <f t="shared" si="723"/>
        <v>1.3307058507295954E-5</v>
      </c>
      <c r="DG209" s="4" t="e">
        <f t="shared" si="724"/>
        <v>#REF!</v>
      </c>
      <c r="DH209" s="4">
        <f t="shared" si="725"/>
        <v>0.2755113670422118</v>
      </c>
      <c r="DI209" s="4" t="e">
        <f t="shared" si="726"/>
        <v>#REF!</v>
      </c>
      <c r="DJ209" s="4" t="e">
        <f t="shared" si="727"/>
        <v>#REF!</v>
      </c>
      <c r="DK209" s="4" t="e">
        <f t="shared" si="728"/>
        <v>#REF!</v>
      </c>
      <c r="DL209" s="38" t="e">
        <f t="shared" si="729"/>
        <v>#REF!</v>
      </c>
      <c r="DM209" s="4" t="e">
        <f t="shared" si="730"/>
        <v>#REF!</v>
      </c>
      <c r="DN209" s="4">
        <f t="shared" si="731"/>
        <v>2.2360679774997898</v>
      </c>
      <c r="DO209" s="4">
        <f t="shared" si="776"/>
        <v>517.40386104856543</v>
      </c>
      <c r="DS209" s="4" t="e">
        <f t="shared" si="733"/>
        <v>#REF!</v>
      </c>
      <c r="DT209" s="4">
        <f t="shared" si="734"/>
        <v>1</v>
      </c>
      <c r="DU209" s="4">
        <f t="shared" si="735"/>
        <v>1</v>
      </c>
      <c r="DV209" s="4">
        <f t="shared" si="736"/>
        <v>1</v>
      </c>
      <c r="DX209" s="4" t="e">
        <f t="shared" si="737"/>
        <v>#REF!</v>
      </c>
      <c r="DY209" s="25">
        <f t="shared" si="814"/>
        <v>500.22595130449861</v>
      </c>
      <c r="EB209" s="4" t="e">
        <f t="shared" si="739"/>
        <v>#REF!</v>
      </c>
      <c r="EE209" s="4">
        <f t="shared" si="740"/>
        <v>71.106961684493314</v>
      </c>
      <c r="EF209" s="4">
        <f t="shared" si="741"/>
        <v>2.2360679774997898</v>
      </c>
      <c r="EG209" s="4">
        <f t="shared" si="742"/>
        <v>0.17170358488533044</v>
      </c>
      <c r="EJ209" s="4">
        <f t="shared" si="815"/>
        <v>0.17170358488533044</v>
      </c>
      <c r="EK209" s="4">
        <f t="shared" si="744"/>
        <v>0.27505158991895695</v>
      </c>
      <c r="EL209" s="4" t="e">
        <f t="shared" si="679"/>
        <v>#REF!</v>
      </c>
      <c r="EM209" s="4" t="e">
        <f t="shared" si="816"/>
        <v>#REF!</v>
      </c>
      <c r="EN209" s="4" t="e">
        <f t="shared" si="673"/>
        <v>#REF!</v>
      </c>
      <c r="EO209" s="4" t="e">
        <f t="shared" si="674"/>
        <v>#REF!</v>
      </c>
      <c r="EP209" s="4" t="e">
        <f t="shared" si="749"/>
        <v>#REF!</v>
      </c>
      <c r="EQ209" s="4" t="e">
        <f t="shared" si="817"/>
        <v>#REF!</v>
      </c>
      <c r="ER209" s="4" t="e">
        <f t="shared" si="751"/>
        <v>#REF!</v>
      </c>
      <c r="FA209" s="23" t="e">
        <f t="shared" si="818"/>
        <v>#REF!</v>
      </c>
      <c r="FB209" s="23" t="e">
        <f t="shared" si="819"/>
        <v>#REF!</v>
      </c>
      <c r="FC209" s="23">
        <f t="shared" si="754"/>
        <v>2.2000000000000002</v>
      </c>
      <c r="FD209" s="23" t="e">
        <f t="shared" si="820"/>
        <v>#REF!</v>
      </c>
      <c r="FE209" s="23" t="e">
        <f t="shared" si="821"/>
        <v>#REF!</v>
      </c>
      <c r="FF209" s="23" t="e">
        <f t="shared" si="822"/>
        <v>#REF!</v>
      </c>
      <c r="FG209" s="23" t="e">
        <f t="shared" si="823"/>
        <v>#REF!</v>
      </c>
      <c r="FH209" s="23"/>
      <c r="FR209" s="4">
        <f t="shared" si="607"/>
        <v>1.25</v>
      </c>
      <c r="FS209" s="4">
        <f t="shared" si="608"/>
        <v>0.5</v>
      </c>
      <c r="FT209" s="4">
        <f t="shared" si="609"/>
        <v>0</v>
      </c>
      <c r="FU209" s="4">
        <f t="shared" si="610"/>
        <v>192.55212537012548</v>
      </c>
    </row>
    <row r="210" spans="1:177" ht="12" customHeight="1" x14ac:dyDescent="0.3">
      <c r="B210" s="24"/>
      <c r="C210" s="4" t="s">
        <v>320</v>
      </c>
      <c r="D210" s="7">
        <v>649</v>
      </c>
      <c r="E210" s="7">
        <f t="shared" si="824"/>
        <v>127.2</v>
      </c>
      <c r="F210" s="7">
        <v>129.9</v>
      </c>
      <c r="G210" s="7">
        <v>31.8</v>
      </c>
      <c r="H210" s="7">
        <v>428</v>
      </c>
      <c r="I210" s="7">
        <f>1.5*G210</f>
        <v>47.7</v>
      </c>
      <c r="J210" s="7" t="e">
        <f>171-#REF!</f>
        <v>#REF!</v>
      </c>
      <c r="K210" s="7">
        <f t="shared" si="798"/>
        <v>269</v>
      </c>
      <c r="L210" s="7">
        <v>2</v>
      </c>
      <c r="M210" s="7">
        <f t="shared" si="799"/>
        <v>84.8</v>
      </c>
      <c r="N210" s="7">
        <f t="shared" si="684"/>
        <v>2</v>
      </c>
      <c r="O210" s="7">
        <f t="shared" si="685"/>
        <v>2</v>
      </c>
      <c r="P210" s="7">
        <f t="shared" si="676"/>
        <v>4</v>
      </c>
      <c r="Q210" s="7">
        <f t="shared" si="676"/>
        <v>4</v>
      </c>
      <c r="R210" s="7">
        <f t="shared" si="686"/>
        <v>5</v>
      </c>
      <c r="S210" s="7">
        <f t="shared" si="687"/>
        <v>71.106961684493314</v>
      </c>
      <c r="T210" s="7">
        <f t="shared" si="826"/>
        <v>649</v>
      </c>
      <c r="U210" s="7">
        <v>11</v>
      </c>
      <c r="V210" s="7">
        <f>(741+710)/2</f>
        <v>725.5</v>
      </c>
      <c r="W210" s="7"/>
      <c r="X210" s="4" t="e">
        <f t="shared" si="689"/>
        <v>#REF!</v>
      </c>
      <c r="Y210" s="7"/>
      <c r="Z210" s="7"/>
      <c r="AA210" s="7">
        <v>1</v>
      </c>
      <c r="AB210" s="7"/>
      <c r="AC210" s="7"/>
      <c r="AD210" s="7">
        <f t="shared" si="827"/>
        <v>1.2686170212765957</v>
      </c>
      <c r="AE210" s="4">
        <f t="shared" si="691"/>
        <v>127.2</v>
      </c>
      <c r="AF210" s="4">
        <f t="shared" si="692"/>
        <v>1.1215932914046123</v>
      </c>
      <c r="AG210" s="4">
        <f t="shared" si="693"/>
        <v>102.93453939452981</v>
      </c>
      <c r="AH210" s="4">
        <f t="shared" si="694"/>
        <v>0.79999999999999993</v>
      </c>
      <c r="AI210" s="4">
        <v>1.25</v>
      </c>
      <c r="AJ210" s="47">
        <f t="shared" si="825"/>
        <v>5</v>
      </c>
      <c r="AK210" s="38">
        <f t="shared" si="800"/>
        <v>577.25344419364194</v>
      </c>
      <c r="AL210" s="38">
        <f t="shared" si="762"/>
        <v>577.25344419364194</v>
      </c>
      <c r="AM210" s="38">
        <f t="shared" si="695"/>
        <v>5.7111767066521422</v>
      </c>
      <c r="AN210" s="38">
        <f t="shared" si="640"/>
        <v>577.25344419364239</v>
      </c>
      <c r="AO210" s="38">
        <f t="shared" si="548"/>
        <v>0.99999999999999922</v>
      </c>
      <c r="AP210" s="38">
        <f t="shared" si="641"/>
        <v>1.8002491114654926</v>
      </c>
      <c r="AQ210" s="4">
        <f t="shared" si="642"/>
        <v>0</v>
      </c>
      <c r="AR210" s="4" t="e">
        <f>#REF!/G210*F210^0.5/0.19</f>
        <v>#REF!</v>
      </c>
      <c r="AS210" s="4">
        <f t="shared" si="696"/>
        <v>1</v>
      </c>
      <c r="AT210" s="38">
        <f t="shared" si="697"/>
        <v>1039.2</v>
      </c>
      <c r="AU210" s="4">
        <f t="shared" si="698"/>
        <v>0.44000000000000006</v>
      </c>
      <c r="AV210" s="4" t="e">
        <f>AU210*D210*#REF!/(D210*G210/2.75/F210^0.5)</f>
        <v>#REF!</v>
      </c>
      <c r="AW210" s="4" t="e">
        <f t="shared" si="801"/>
        <v>#REF!</v>
      </c>
      <c r="AY210" s="4">
        <f t="shared" si="700"/>
        <v>1.125</v>
      </c>
      <c r="AZ210" s="4" t="e">
        <f>(3*#REF!+30)*AY210*F210^0.5</f>
        <v>#REF!</v>
      </c>
      <c r="BB210" s="4">
        <f t="shared" si="701"/>
        <v>996.71988587880821</v>
      </c>
      <c r="BC210" s="4">
        <f t="shared" si="828"/>
        <v>711.96329095823319</v>
      </c>
      <c r="BD210" s="4">
        <f t="shared" si="672"/>
        <v>0.71430629713030647</v>
      </c>
      <c r="BL210" s="4">
        <f t="shared" si="704"/>
        <v>47.7</v>
      </c>
      <c r="BP210" s="9"/>
      <c r="BR210" s="9"/>
      <c r="BS210" s="9"/>
      <c r="BT210" s="9" t="e">
        <f t="shared" si="705"/>
        <v>#REF!</v>
      </c>
      <c r="BU210" s="9">
        <f t="shared" si="706"/>
        <v>134.5</v>
      </c>
      <c r="BV210" s="9" t="e">
        <f t="shared" si="707"/>
        <v>#REF!</v>
      </c>
      <c r="BW210" s="9">
        <v>0</v>
      </c>
      <c r="BX210" s="9">
        <f t="shared" si="708"/>
        <v>0</v>
      </c>
      <c r="BY210" s="9">
        <f t="shared" si="802"/>
        <v>0</v>
      </c>
      <c r="BZ210" s="9">
        <f t="shared" si="710"/>
        <v>0.93036607665491811</v>
      </c>
      <c r="CA210" s="9">
        <f t="shared" si="711"/>
        <v>0.80099999999999993</v>
      </c>
      <c r="CB210" s="9">
        <f t="shared" si="712"/>
        <v>2.9727542082721463</v>
      </c>
      <c r="CC210" s="9" t="e">
        <f t="shared" si="713"/>
        <v>#REF!</v>
      </c>
      <c r="CD210" s="9">
        <v>1</v>
      </c>
      <c r="CE210" s="9" t="e">
        <f>4*CC210*#REF!+60*CC210</f>
        <v>#REF!</v>
      </c>
      <c r="CG210" s="4" t="e">
        <f t="shared" si="803"/>
        <v>#REF!</v>
      </c>
      <c r="CH210" s="4" t="e">
        <f t="shared" si="804"/>
        <v>#REF!</v>
      </c>
      <c r="CI210" s="4" t="e">
        <f t="shared" si="805"/>
        <v>#REF!</v>
      </c>
      <c r="CJ210" s="4" t="e">
        <f t="shared" si="806"/>
        <v>#REF!</v>
      </c>
      <c r="CK210" s="44" t="e">
        <f t="shared" si="807"/>
        <v>#REF!</v>
      </c>
      <c r="CL210" s="4" t="e">
        <f t="shared" si="808"/>
        <v>#REF!</v>
      </c>
      <c r="CM210" s="4">
        <f t="shared" si="720"/>
        <v>3.7678109166826239</v>
      </c>
      <c r="CO210" s="4" t="e">
        <f t="shared" si="809"/>
        <v>#REF!</v>
      </c>
      <c r="CP210" s="4" t="e">
        <f t="shared" si="810"/>
        <v>#REF!</v>
      </c>
      <c r="CQ210" s="4" t="e">
        <f t="shared" si="811"/>
        <v>#REF!</v>
      </c>
      <c r="CR210" s="4">
        <f t="shared" si="837"/>
        <v>3.7678109166826239</v>
      </c>
      <c r="CS210" s="4" t="e">
        <f t="shared" si="812"/>
        <v>#REF!</v>
      </c>
      <c r="CT210" s="4" t="e">
        <f t="shared" si="813"/>
        <v>#REF!</v>
      </c>
      <c r="DB210" s="4">
        <f t="shared" si="677"/>
        <v>0</v>
      </c>
      <c r="DC210" s="4" t="e">
        <f>#REF!</f>
        <v>#REF!</v>
      </c>
      <c r="DF210" s="4">
        <f t="shared" si="723"/>
        <v>1.3307058507295954E-5</v>
      </c>
      <c r="DG210" s="4" t="e">
        <f t="shared" si="724"/>
        <v>#REF!</v>
      </c>
      <c r="DH210" s="4">
        <f t="shared" si="725"/>
        <v>0.30738055417156512</v>
      </c>
      <c r="DI210" s="4" t="e">
        <f t="shared" si="726"/>
        <v>#REF!</v>
      </c>
      <c r="DJ210" s="4" t="e">
        <f t="shared" si="727"/>
        <v>#REF!</v>
      </c>
      <c r="DK210" s="4" t="e">
        <f t="shared" si="728"/>
        <v>#REF!</v>
      </c>
      <c r="DL210" s="38" t="e">
        <f t="shared" si="729"/>
        <v>#REF!</v>
      </c>
      <c r="DM210" s="4" t="e">
        <f t="shared" si="730"/>
        <v>#REF!</v>
      </c>
      <c r="DN210" s="4">
        <f t="shared" si="731"/>
        <v>2.2360679774997898</v>
      </c>
      <c r="DO210" s="4">
        <f t="shared" si="776"/>
        <v>577.25344419364239</v>
      </c>
      <c r="DS210" s="4" t="e">
        <f t="shared" si="733"/>
        <v>#REF!</v>
      </c>
      <c r="DT210" s="4">
        <f t="shared" si="734"/>
        <v>0.95</v>
      </c>
      <c r="DU210" s="4">
        <f t="shared" si="735"/>
        <v>1</v>
      </c>
      <c r="DV210" s="4">
        <f t="shared" si="736"/>
        <v>0.95</v>
      </c>
      <c r="DX210" s="4" t="e">
        <f t="shared" si="737"/>
        <v>#REF!</v>
      </c>
      <c r="DY210" s="25">
        <f t="shared" si="814"/>
        <v>558.66985874647196</v>
      </c>
      <c r="EB210" s="4" t="e">
        <f t="shared" si="739"/>
        <v>#REF!</v>
      </c>
      <c r="EE210" s="4">
        <f t="shared" si="740"/>
        <v>71.106961684493314</v>
      </c>
      <c r="EF210" s="4">
        <f t="shared" si="741"/>
        <v>2.2360679774997898</v>
      </c>
      <c r="EG210" s="4">
        <f t="shared" si="742"/>
        <v>0.19156502921061311</v>
      </c>
      <c r="EJ210" s="4">
        <f t="shared" si="815"/>
        <v>0.19156502921061311</v>
      </c>
      <c r="EK210" s="4">
        <f t="shared" si="744"/>
        <v>0.30686759331460051</v>
      </c>
      <c r="EL210" s="4" t="e">
        <f t="shared" si="679"/>
        <v>#REF!</v>
      </c>
      <c r="EM210" s="4" t="e">
        <f t="shared" si="816"/>
        <v>#REF!</v>
      </c>
      <c r="EN210" s="4" t="e">
        <f t="shared" si="673"/>
        <v>#REF!</v>
      </c>
      <c r="EO210" s="4" t="e">
        <f t="shared" si="674"/>
        <v>#REF!</v>
      </c>
      <c r="EP210" s="4" t="e">
        <f t="shared" si="749"/>
        <v>#REF!</v>
      </c>
      <c r="EQ210" s="4" t="e">
        <f t="shared" si="817"/>
        <v>#REF!</v>
      </c>
      <c r="ER210" s="4" t="e">
        <f t="shared" si="751"/>
        <v>#REF!</v>
      </c>
      <c r="FA210" s="23" t="e">
        <f t="shared" si="818"/>
        <v>#REF!</v>
      </c>
      <c r="FB210" s="23" t="e">
        <f t="shared" si="819"/>
        <v>#REF!</v>
      </c>
      <c r="FC210" s="23">
        <f t="shared" si="754"/>
        <v>2.2000000000000002</v>
      </c>
      <c r="FD210" s="23" t="e">
        <f t="shared" si="820"/>
        <v>#REF!</v>
      </c>
      <c r="FE210" s="23" t="e">
        <f t="shared" si="821"/>
        <v>#REF!</v>
      </c>
      <c r="FF210" s="23" t="e">
        <f t="shared" si="822"/>
        <v>#REF!</v>
      </c>
      <c r="FG210" s="23" t="e">
        <f t="shared" si="823"/>
        <v>#REF!</v>
      </c>
      <c r="FH210" s="23"/>
      <c r="FR210" s="4">
        <f t="shared" si="607"/>
        <v>1.25</v>
      </c>
      <c r="FS210" s="4">
        <f t="shared" si="608"/>
        <v>0.5</v>
      </c>
      <c r="FT210" s="4">
        <f t="shared" si="609"/>
        <v>0</v>
      </c>
      <c r="FU210" s="4">
        <f t="shared" si="610"/>
        <v>192.55212537012548</v>
      </c>
    </row>
    <row r="211" spans="1:177" ht="12" customHeight="1" x14ac:dyDescent="0.3">
      <c r="B211" s="24"/>
      <c r="C211" s="4" t="s">
        <v>321</v>
      </c>
      <c r="D211" s="7">
        <v>649</v>
      </c>
      <c r="E211" s="7">
        <f t="shared" si="824"/>
        <v>127.2</v>
      </c>
      <c r="F211" s="7">
        <v>129.9</v>
      </c>
      <c r="G211" s="7">
        <v>31.8</v>
      </c>
      <c r="H211" s="7">
        <v>428</v>
      </c>
      <c r="I211" s="7">
        <f>1.5*G211</f>
        <v>47.7</v>
      </c>
      <c r="J211" s="7" t="e">
        <f>171-#REF!</f>
        <v>#REF!</v>
      </c>
      <c r="K211" s="7">
        <f t="shared" si="798"/>
        <v>269</v>
      </c>
      <c r="L211" s="7">
        <v>2</v>
      </c>
      <c r="M211" s="7">
        <f t="shared" si="799"/>
        <v>84.8</v>
      </c>
      <c r="N211" s="7">
        <f t="shared" si="684"/>
        <v>2</v>
      </c>
      <c r="O211" s="7">
        <f t="shared" si="685"/>
        <v>2</v>
      </c>
      <c r="P211" s="7">
        <f t="shared" si="676"/>
        <v>4</v>
      </c>
      <c r="Q211" s="7">
        <f t="shared" si="676"/>
        <v>4</v>
      </c>
      <c r="R211" s="7">
        <f t="shared" si="686"/>
        <v>5</v>
      </c>
      <c r="S211" s="7">
        <f t="shared" si="687"/>
        <v>71.106961684493314</v>
      </c>
      <c r="T211" s="7">
        <f t="shared" si="826"/>
        <v>649</v>
      </c>
      <c r="U211" s="7">
        <v>11</v>
      </c>
      <c r="V211" s="7">
        <f>(728+714)/2</f>
        <v>721</v>
      </c>
      <c r="W211" s="7"/>
      <c r="X211" s="4" t="e">
        <f t="shared" si="689"/>
        <v>#REF!</v>
      </c>
      <c r="Y211" s="7"/>
      <c r="Z211" s="7"/>
      <c r="AA211" s="7">
        <v>1</v>
      </c>
      <c r="AB211" s="7"/>
      <c r="AC211" s="7"/>
      <c r="AD211" s="7">
        <f t="shared" si="827"/>
        <v>1.2686170212765957</v>
      </c>
      <c r="AE211" s="4">
        <f t="shared" si="691"/>
        <v>127.2</v>
      </c>
      <c r="AF211" s="4">
        <f t="shared" si="692"/>
        <v>1.1215932914046123</v>
      </c>
      <c r="AG211" s="4">
        <f t="shared" si="693"/>
        <v>102.93453939452981</v>
      </c>
      <c r="AH211" s="4">
        <f t="shared" si="694"/>
        <v>0.79999999999999993</v>
      </c>
      <c r="AI211" s="4">
        <v>1.25</v>
      </c>
      <c r="AJ211" s="47">
        <f t="shared" si="825"/>
        <v>5</v>
      </c>
      <c r="AK211" s="38">
        <f t="shared" si="800"/>
        <v>577.25344419364194</v>
      </c>
      <c r="AL211" s="38">
        <f t="shared" si="762"/>
        <v>577.25344419364194</v>
      </c>
      <c r="AM211" s="38">
        <f t="shared" si="695"/>
        <v>5.7111767066521422</v>
      </c>
      <c r="AN211" s="38">
        <f t="shared" si="640"/>
        <v>577.25344419364239</v>
      </c>
      <c r="AO211" s="38">
        <f t="shared" si="548"/>
        <v>0.99999999999999922</v>
      </c>
      <c r="AP211" s="38">
        <f t="shared" si="641"/>
        <v>1.8002491114654926</v>
      </c>
      <c r="AQ211" s="4">
        <f t="shared" si="642"/>
        <v>0</v>
      </c>
      <c r="AR211" s="4" t="e">
        <f>#REF!/G211*F211^0.5/0.19</f>
        <v>#REF!</v>
      </c>
      <c r="AS211" s="4">
        <f t="shared" si="696"/>
        <v>1</v>
      </c>
      <c r="AT211" s="38">
        <f t="shared" si="697"/>
        <v>1039.2</v>
      </c>
      <c r="AU211" s="4">
        <f t="shared" si="698"/>
        <v>0.44000000000000006</v>
      </c>
      <c r="AV211" s="4" t="e">
        <f>AU211*D211*#REF!/(D211*G211/2.75/F211^0.5)</f>
        <v>#REF!</v>
      </c>
      <c r="AW211" s="4" t="e">
        <f t="shared" si="801"/>
        <v>#REF!</v>
      </c>
      <c r="AY211" s="4">
        <f t="shared" si="700"/>
        <v>1.125</v>
      </c>
      <c r="AZ211" s="4" t="e">
        <f>(3*#REF!+30)*AY211*F211^0.5</f>
        <v>#REF!</v>
      </c>
      <c r="BB211" s="4">
        <f t="shared" si="701"/>
        <v>996.71988587880821</v>
      </c>
      <c r="BC211" s="4">
        <f t="shared" si="828"/>
        <v>711.96329095823319</v>
      </c>
      <c r="BD211" s="4">
        <f t="shared" si="672"/>
        <v>0.71430629713030647</v>
      </c>
      <c r="BL211" s="4">
        <f t="shared" si="704"/>
        <v>47.7</v>
      </c>
      <c r="BP211" s="9"/>
      <c r="BR211" s="9"/>
      <c r="BS211" s="9"/>
      <c r="BT211" s="9" t="e">
        <f t="shared" si="705"/>
        <v>#REF!</v>
      </c>
      <c r="BU211" s="9">
        <f t="shared" si="706"/>
        <v>134.5</v>
      </c>
      <c r="BV211" s="9" t="e">
        <f t="shared" si="707"/>
        <v>#REF!</v>
      </c>
      <c r="BW211" s="9">
        <v>0</v>
      </c>
      <c r="BX211" s="9">
        <f t="shared" si="708"/>
        <v>0</v>
      </c>
      <c r="BY211" s="9">
        <f t="shared" si="802"/>
        <v>0</v>
      </c>
      <c r="BZ211" s="9">
        <f t="shared" si="710"/>
        <v>0.93036607665491811</v>
      </c>
      <c r="CA211" s="9">
        <f t="shared" si="711"/>
        <v>0.80099999999999993</v>
      </c>
      <c r="CB211" s="9">
        <f t="shared" si="712"/>
        <v>2.9727542082721463</v>
      </c>
      <c r="CC211" s="9" t="e">
        <f t="shared" si="713"/>
        <v>#REF!</v>
      </c>
      <c r="CD211" s="9">
        <v>1</v>
      </c>
      <c r="CE211" s="9" t="e">
        <f>4*CC211*#REF!+60*CC211</f>
        <v>#REF!</v>
      </c>
      <c r="CG211" s="4" t="e">
        <f t="shared" si="803"/>
        <v>#REF!</v>
      </c>
      <c r="CH211" s="4" t="e">
        <f t="shared" si="804"/>
        <v>#REF!</v>
      </c>
      <c r="CI211" s="4" t="e">
        <f t="shared" si="805"/>
        <v>#REF!</v>
      </c>
      <c r="CJ211" s="4" t="e">
        <f t="shared" si="806"/>
        <v>#REF!</v>
      </c>
      <c r="CK211" s="44" t="e">
        <f t="shared" si="807"/>
        <v>#REF!</v>
      </c>
      <c r="CL211" s="4" t="e">
        <f t="shared" si="808"/>
        <v>#REF!</v>
      </c>
      <c r="CM211" s="4">
        <f t="shared" si="720"/>
        <v>3.7444406215412429</v>
      </c>
      <c r="CO211" s="4" t="e">
        <f t="shared" si="809"/>
        <v>#REF!</v>
      </c>
      <c r="CP211" s="4" t="e">
        <f t="shared" si="810"/>
        <v>#REF!</v>
      </c>
      <c r="CQ211" s="4" t="e">
        <f t="shared" si="811"/>
        <v>#REF!</v>
      </c>
      <c r="CR211" s="4">
        <f t="shared" si="837"/>
        <v>3.7444406215412429</v>
      </c>
      <c r="CS211" s="4" t="e">
        <f t="shared" si="812"/>
        <v>#REF!</v>
      </c>
      <c r="CT211" s="4" t="e">
        <f t="shared" si="813"/>
        <v>#REF!</v>
      </c>
      <c r="DB211" s="4">
        <f t="shared" si="677"/>
        <v>0</v>
      </c>
      <c r="DC211" s="4" t="e">
        <f>#REF!</f>
        <v>#REF!</v>
      </c>
      <c r="DF211" s="4">
        <f t="shared" si="723"/>
        <v>1.3307058507295954E-5</v>
      </c>
      <c r="DG211" s="4" t="e">
        <f t="shared" si="724"/>
        <v>#REF!</v>
      </c>
      <c r="DH211" s="4">
        <f t="shared" si="725"/>
        <v>0.30738055417156512</v>
      </c>
      <c r="DI211" s="4" t="e">
        <f t="shared" si="726"/>
        <v>#REF!</v>
      </c>
      <c r="DJ211" s="4" t="e">
        <f t="shared" si="727"/>
        <v>#REF!</v>
      </c>
      <c r="DK211" s="4" t="e">
        <f t="shared" si="728"/>
        <v>#REF!</v>
      </c>
      <c r="DL211" s="38" t="e">
        <f t="shared" si="729"/>
        <v>#REF!</v>
      </c>
      <c r="DM211" s="4" t="e">
        <f t="shared" si="730"/>
        <v>#REF!</v>
      </c>
      <c r="DN211" s="4">
        <f t="shared" si="731"/>
        <v>2.2360679774997898</v>
      </c>
      <c r="DO211" s="4">
        <f t="shared" si="776"/>
        <v>577.25344419364239</v>
      </c>
      <c r="DS211" s="4" t="e">
        <f t="shared" si="733"/>
        <v>#REF!</v>
      </c>
      <c r="DT211" s="4">
        <f t="shared" si="734"/>
        <v>0.95</v>
      </c>
      <c r="DU211" s="4">
        <f t="shared" si="735"/>
        <v>1</v>
      </c>
      <c r="DV211" s="4">
        <f t="shared" si="736"/>
        <v>0.95</v>
      </c>
      <c r="DX211" s="4" t="e">
        <f t="shared" si="737"/>
        <v>#REF!</v>
      </c>
      <c r="DY211" s="25">
        <f t="shared" si="814"/>
        <v>558.66985874647196</v>
      </c>
      <c r="EB211" s="4" t="e">
        <f t="shared" si="739"/>
        <v>#REF!</v>
      </c>
      <c r="EE211" s="4">
        <f t="shared" si="740"/>
        <v>71.106961684493314</v>
      </c>
      <c r="EF211" s="4">
        <f t="shared" si="741"/>
        <v>2.2360679774997898</v>
      </c>
      <c r="EG211" s="4">
        <f t="shared" si="742"/>
        <v>0.19156502921061311</v>
      </c>
      <c r="EJ211" s="4">
        <f t="shared" si="815"/>
        <v>0.19156502921061311</v>
      </c>
      <c r="EK211" s="4">
        <f t="shared" si="744"/>
        <v>0.30686759331460051</v>
      </c>
      <c r="EL211" s="4" t="e">
        <f t="shared" si="679"/>
        <v>#REF!</v>
      </c>
      <c r="EM211" s="4" t="e">
        <f t="shared" si="816"/>
        <v>#REF!</v>
      </c>
      <c r="EN211" s="4" t="e">
        <f t="shared" si="673"/>
        <v>#REF!</v>
      </c>
      <c r="EO211" s="4" t="e">
        <f t="shared" si="674"/>
        <v>#REF!</v>
      </c>
      <c r="EP211" s="4" t="e">
        <f t="shared" si="749"/>
        <v>#REF!</v>
      </c>
      <c r="EQ211" s="4" t="e">
        <f t="shared" si="817"/>
        <v>#REF!</v>
      </c>
      <c r="ER211" s="4" t="e">
        <f t="shared" si="751"/>
        <v>#REF!</v>
      </c>
      <c r="FA211" s="23" t="e">
        <f t="shared" si="818"/>
        <v>#REF!</v>
      </c>
      <c r="FB211" s="23" t="e">
        <f t="shared" si="819"/>
        <v>#REF!</v>
      </c>
      <c r="FC211" s="23">
        <f t="shared" si="754"/>
        <v>2.2000000000000002</v>
      </c>
      <c r="FD211" s="23" t="e">
        <f t="shared" si="820"/>
        <v>#REF!</v>
      </c>
      <c r="FE211" s="23" t="e">
        <f t="shared" si="821"/>
        <v>#REF!</v>
      </c>
      <c r="FF211" s="23" t="e">
        <f t="shared" si="822"/>
        <v>#REF!</v>
      </c>
      <c r="FG211" s="23" t="e">
        <f t="shared" si="823"/>
        <v>#REF!</v>
      </c>
      <c r="FH211" s="23"/>
      <c r="FR211" s="4">
        <f t="shared" si="607"/>
        <v>1.25</v>
      </c>
      <c r="FS211" s="4">
        <f t="shared" si="608"/>
        <v>0.5</v>
      </c>
      <c r="FT211" s="4">
        <f t="shared" si="609"/>
        <v>0</v>
      </c>
      <c r="FU211" s="4">
        <f t="shared" si="610"/>
        <v>192.55212537012548</v>
      </c>
    </row>
    <row r="212" spans="1:177" ht="12" customHeight="1" x14ac:dyDescent="0.3">
      <c r="B212" s="24"/>
      <c r="C212" s="4" t="s">
        <v>322</v>
      </c>
      <c r="D212" s="7">
        <v>649</v>
      </c>
      <c r="E212" s="7">
        <f t="shared" si="824"/>
        <v>127.2</v>
      </c>
      <c r="F212" s="7">
        <v>129.9</v>
      </c>
      <c r="G212" s="7">
        <v>31.8</v>
      </c>
      <c r="H212" s="7">
        <v>396</v>
      </c>
      <c r="I212" s="7">
        <f>1*G212</f>
        <v>31.8</v>
      </c>
      <c r="J212" s="7" t="e">
        <f>171-#REF!</f>
        <v>#REF!</v>
      </c>
      <c r="K212" s="7">
        <f t="shared" si="798"/>
        <v>268.79999999999995</v>
      </c>
      <c r="L212" s="7">
        <v>2</v>
      </c>
      <c r="M212" s="7">
        <f t="shared" si="799"/>
        <v>84.8</v>
      </c>
      <c r="N212" s="7">
        <f t="shared" si="684"/>
        <v>1.5</v>
      </c>
      <c r="O212" s="7">
        <f t="shared" si="685"/>
        <v>1.5</v>
      </c>
      <c r="P212" s="7">
        <f t="shared" si="676"/>
        <v>4</v>
      </c>
      <c r="Q212" s="7">
        <f t="shared" si="676"/>
        <v>4</v>
      </c>
      <c r="R212" s="7">
        <f t="shared" si="686"/>
        <v>5</v>
      </c>
      <c r="S212" s="7">
        <f t="shared" si="687"/>
        <v>71.106961684493314</v>
      </c>
      <c r="T212" s="7">
        <f t="shared" si="826"/>
        <v>649</v>
      </c>
      <c r="U212" s="7">
        <v>11</v>
      </c>
      <c r="V212" s="7">
        <f>(738+710)/2</f>
        <v>724</v>
      </c>
      <c r="W212" s="7"/>
      <c r="X212" s="4" t="e">
        <f t="shared" si="689"/>
        <v>#REF!</v>
      </c>
      <c r="Y212" s="7">
        <v>12.7</v>
      </c>
      <c r="Z212" s="7">
        <v>2</v>
      </c>
      <c r="AA212" s="7">
        <v>64</v>
      </c>
      <c r="AB212" s="7">
        <v>4</v>
      </c>
      <c r="AC212" s="7">
        <f t="shared" ref="AC212:AC213" si="839">Z212</f>
        <v>2</v>
      </c>
      <c r="AD212" s="7">
        <f t="shared" si="827"/>
        <v>1.2694610778443116</v>
      </c>
      <c r="AE212" s="4">
        <f t="shared" si="691"/>
        <v>127.2</v>
      </c>
      <c r="AF212" s="4">
        <f t="shared" si="692"/>
        <v>1.0377358490566038</v>
      </c>
      <c r="AG212" s="4">
        <f t="shared" si="693"/>
        <v>102.93453939452981</v>
      </c>
      <c r="AH212" s="4">
        <f t="shared" si="694"/>
        <v>0.77499999999999991</v>
      </c>
      <c r="AI212" s="4">
        <v>1.25</v>
      </c>
      <c r="AJ212" s="47">
        <f t="shared" si="825"/>
        <v>5</v>
      </c>
      <c r="AK212" s="38">
        <f t="shared" si="800"/>
        <v>517.40386104856509</v>
      </c>
      <c r="AL212" s="38">
        <f t="shared" si="762"/>
        <v>517.40386104856509</v>
      </c>
      <c r="AM212" s="38">
        <f t="shared" si="695"/>
        <v>5.7111767066521422</v>
      </c>
      <c r="AN212" s="38">
        <f t="shared" si="640"/>
        <v>517.40386104856543</v>
      </c>
      <c r="AO212" s="38">
        <f t="shared" ref="AO212:AO275" si="840">AK212/AN212</f>
        <v>0.99999999999999933</v>
      </c>
      <c r="AP212" s="38">
        <f t="shared" si="641"/>
        <v>1.5063668029466883</v>
      </c>
      <c r="AQ212" s="4">
        <f t="shared" si="642"/>
        <v>0</v>
      </c>
      <c r="AR212" s="4" t="e">
        <f>#REF!/G212*F212^0.5/0.19</f>
        <v>#REF!</v>
      </c>
      <c r="AS212" s="4">
        <f t="shared" si="696"/>
        <v>1</v>
      </c>
      <c r="AT212" s="38">
        <f t="shared" si="697"/>
        <v>779.40000000000009</v>
      </c>
      <c r="AU212" s="4">
        <f t="shared" si="698"/>
        <v>0.44000000000000006</v>
      </c>
      <c r="AV212" s="4" t="e">
        <f>AU212*D212*#REF!/(D212*G212/2.75/F212^0.5)</f>
        <v>#REF!</v>
      </c>
      <c r="AW212" s="4" t="e">
        <f t="shared" si="801"/>
        <v>#REF!</v>
      </c>
      <c r="AY212" s="4">
        <f t="shared" si="700"/>
        <v>1.4</v>
      </c>
      <c r="AZ212" s="4" t="e">
        <f>(3*#REF!+30)*AY212*F212^0.5</f>
        <v>#REF!</v>
      </c>
      <c r="BB212" s="4">
        <f t="shared" si="701"/>
        <v>747.53991440910613</v>
      </c>
      <c r="BC212" s="4">
        <f t="shared" si="828"/>
        <v>711.96329095823319</v>
      </c>
      <c r="BD212" s="4">
        <f t="shared" si="672"/>
        <v>0.95240839617374207</v>
      </c>
      <c r="BL212" s="4">
        <f t="shared" si="704"/>
        <v>31.8</v>
      </c>
      <c r="BP212" s="9"/>
      <c r="BR212" s="9"/>
      <c r="BS212" s="9"/>
      <c r="BT212" s="9" t="e">
        <f t="shared" si="705"/>
        <v>#REF!</v>
      </c>
      <c r="BU212" s="9">
        <f t="shared" si="706"/>
        <v>134.39999999999998</v>
      </c>
      <c r="BV212" s="9" t="e">
        <f t="shared" si="707"/>
        <v>#REF!</v>
      </c>
      <c r="BW212" s="9">
        <v>20</v>
      </c>
      <c r="BX212" s="9">
        <f t="shared" si="708"/>
        <v>0.05</v>
      </c>
      <c r="BY212" s="9">
        <f t="shared" si="802"/>
        <v>0.8</v>
      </c>
      <c r="BZ212" s="9">
        <f t="shared" si="710"/>
        <v>0.93036607665491811</v>
      </c>
      <c r="CA212" s="9">
        <f t="shared" si="711"/>
        <v>0.80099999999999993</v>
      </c>
      <c r="CB212" s="9">
        <f t="shared" si="712"/>
        <v>2.9727542082721463</v>
      </c>
      <c r="CC212" s="9" t="e">
        <f t="shared" si="713"/>
        <v>#REF!</v>
      </c>
      <c r="CD212" s="9">
        <v>1</v>
      </c>
      <c r="CE212" s="9" t="e">
        <f>4*CC212*#REF!+60*CC212</f>
        <v>#REF!</v>
      </c>
      <c r="CG212" s="4" t="e">
        <f t="shared" si="803"/>
        <v>#REF!</v>
      </c>
      <c r="CH212" s="4" t="e">
        <f t="shared" si="804"/>
        <v>#REF!</v>
      </c>
      <c r="CI212" s="4" t="e">
        <f t="shared" si="805"/>
        <v>#REF!</v>
      </c>
      <c r="CJ212" s="4" t="e">
        <f t="shared" si="806"/>
        <v>#REF!</v>
      </c>
      <c r="CK212" s="44" t="e">
        <f t="shared" si="807"/>
        <v>#REF!</v>
      </c>
      <c r="CL212" s="4" t="e">
        <f t="shared" si="808"/>
        <v>#REF!</v>
      </c>
      <c r="CM212" s="4">
        <f t="shared" si="720"/>
        <v>3.0790396611328834</v>
      </c>
      <c r="CU212" s="4" t="e">
        <f t="shared" si="831"/>
        <v>#REF!</v>
      </c>
      <c r="CV212" s="4" t="e">
        <f t="shared" si="832"/>
        <v>#REF!</v>
      </c>
      <c r="CW212" s="4" t="e">
        <f t="shared" si="833"/>
        <v>#REF!</v>
      </c>
      <c r="CX212" s="4">
        <f t="shared" ref="CX212:CX213" si="841">CM212</f>
        <v>3.0790396611328834</v>
      </c>
      <c r="CY212" s="4" t="e">
        <f t="shared" si="835"/>
        <v>#REF!</v>
      </c>
      <c r="CZ212" s="4" t="e">
        <f t="shared" si="836"/>
        <v>#REF!</v>
      </c>
      <c r="DB212" s="4">
        <f t="shared" si="677"/>
        <v>2</v>
      </c>
      <c r="DC212" s="4" t="e">
        <f>#REF!</f>
        <v>#REF!</v>
      </c>
      <c r="DF212" s="4">
        <f t="shared" si="723"/>
        <v>1.3307058507295954E-5</v>
      </c>
      <c r="DG212" s="4" t="e">
        <f t="shared" si="724"/>
        <v>#REF!</v>
      </c>
      <c r="DH212" s="4">
        <f t="shared" si="725"/>
        <v>0.2755113670422118</v>
      </c>
      <c r="DI212" s="4" t="e">
        <f t="shared" si="726"/>
        <v>#REF!</v>
      </c>
      <c r="DJ212" s="4" t="e">
        <f t="shared" si="727"/>
        <v>#REF!</v>
      </c>
      <c r="DK212" s="4" t="e">
        <f t="shared" si="728"/>
        <v>#REF!</v>
      </c>
      <c r="DL212" s="38" t="e">
        <f t="shared" si="729"/>
        <v>#REF!</v>
      </c>
      <c r="DM212" s="4" t="e">
        <f t="shared" si="730"/>
        <v>#REF!</v>
      </c>
      <c r="DN212" s="4">
        <f t="shared" si="731"/>
        <v>2.2360679774997898</v>
      </c>
      <c r="DO212" s="4">
        <f t="shared" si="776"/>
        <v>517.40386104856543</v>
      </c>
      <c r="DS212" s="4" t="e">
        <f t="shared" si="733"/>
        <v>#REF!</v>
      </c>
      <c r="DT212" s="4">
        <f t="shared" si="734"/>
        <v>1</v>
      </c>
      <c r="DU212" s="4">
        <f t="shared" si="735"/>
        <v>0.88360329892013767</v>
      </c>
      <c r="DV212" s="4">
        <f t="shared" si="736"/>
        <v>0.88360329892013767</v>
      </c>
      <c r="DX212" s="4" t="e">
        <f t="shared" si="737"/>
        <v>#REF!</v>
      </c>
      <c r="DY212" s="25">
        <f t="shared" si="814"/>
        <v>500.22595130449861</v>
      </c>
      <c r="EB212" s="4" t="e">
        <f t="shared" si="739"/>
        <v>#REF!</v>
      </c>
      <c r="EE212" s="4">
        <f t="shared" si="740"/>
        <v>71.106961684493314</v>
      </c>
      <c r="EF212" s="4">
        <f t="shared" si="741"/>
        <v>2.2360679774997898</v>
      </c>
      <c r="EG212" s="4">
        <f t="shared" si="742"/>
        <v>0.17170358488533044</v>
      </c>
      <c r="EJ212" s="4">
        <f t="shared" si="815"/>
        <v>0.17170358488533044</v>
      </c>
      <c r="EK212" s="4">
        <f t="shared" si="744"/>
        <v>0.27505158991895695</v>
      </c>
      <c r="EL212" s="4" t="e">
        <f t="shared" si="679"/>
        <v>#REF!</v>
      </c>
      <c r="EM212" s="4" t="e">
        <f t="shared" si="816"/>
        <v>#REF!</v>
      </c>
      <c r="EN212" s="4" t="e">
        <f t="shared" si="673"/>
        <v>#REF!</v>
      </c>
      <c r="EO212" s="4" t="e">
        <f t="shared" si="674"/>
        <v>#REF!</v>
      </c>
      <c r="EP212" s="4" t="e">
        <f t="shared" si="749"/>
        <v>#REF!</v>
      </c>
      <c r="EQ212" s="4" t="e">
        <f t="shared" si="817"/>
        <v>#REF!</v>
      </c>
      <c r="ER212" s="4" t="e">
        <f t="shared" si="751"/>
        <v>#REF!</v>
      </c>
      <c r="FA212" s="23" t="e">
        <f t="shared" si="818"/>
        <v>#REF!</v>
      </c>
      <c r="FB212" s="23" t="e">
        <f t="shared" si="819"/>
        <v>#REF!</v>
      </c>
      <c r="FC212" s="23">
        <f t="shared" si="754"/>
        <v>2.2000000000000002</v>
      </c>
      <c r="FD212" s="23" t="e">
        <f t="shared" si="820"/>
        <v>#REF!</v>
      </c>
      <c r="FE212" s="23" t="e">
        <f t="shared" si="821"/>
        <v>#REF!</v>
      </c>
      <c r="FF212" s="23" t="e">
        <f t="shared" si="822"/>
        <v>#REF!</v>
      </c>
      <c r="FG212" s="23" t="e">
        <f t="shared" si="823"/>
        <v>#REF!</v>
      </c>
      <c r="FH212" s="23"/>
      <c r="FR212" s="4">
        <f t="shared" ref="FR212:FR275" si="842">IF(I212&gt;=2.5*25.4,1,1.25)</f>
        <v>1.25</v>
      </c>
      <c r="FS212" s="4">
        <f t="shared" ref="FS212:FS275" si="843">IF(AA212&gt;1, 0.05*(18-MIN(8,(K212+G212)/G212))*(1-48000/MAX(60000,(D212*145))*(G212/25.4)^0.75*FT212), 1/12*(14-MIN(8,(K212+G212)/G212)))</f>
        <v>0.40944449644340308</v>
      </c>
      <c r="FT212" s="4">
        <f t="shared" ref="FT212:FT275" si="844">MIN(0.3, Y212^2*PI()/4*2*AB212/(G212^2*PI()/4*L212))</f>
        <v>0.3</v>
      </c>
      <c r="FU212" s="4">
        <f t="shared" ref="FU212:FU275" si="845">(E212/25.4)/(G212/25.4)^1.5/0.0024*(F212*145)^0.25/FR212/FS212/145</f>
        <v>235.13825077966541</v>
      </c>
    </row>
    <row r="213" spans="1:177" ht="12" customHeight="1" x14ac:dyDescent="0.3">
      <c r="B213" s="24"/>
      <c r="C213" s="4" t="s">
        <v>323</v>
      </c>
      <c r="D213" s="7">
        <v>649</v>
      </c>
      <c r="E213" s="7">
        <f t="shared" si="824"/>
        <v>127.2</v>
      </c>
      <c r="F213" s="7">
        <v>129.9</v>
      </c>
      <c r="G213" s="7">
        <v>31.8</v>
      </c>
      <c r="H213" s="7">
        <v>396</v>
      </c>
      <c r="I213" s="7">
        <f>1*G213</f>
        <v>31.8</v>
      </c>
      <c r="J213" s="7" t="e">
        <f>171-#REF!</f>
        <v>#REF!</v>
      </c>
      <c r="K213" s="7">
        <f t="shared" si="798"/>
        <v>268.79999999999995</v>
      </c>
      <c r="L213" s="7">
        <v>2</v>
      </c>
      <c r="M213" s="7">
        <f t="shared" si="799"/>
        <v>84.8</v>
      </c>
      <c r="N213" s="7">
        <f t="shared" si="684"/>
        <v>1.5</v>
      </c>
      <c r="O213" s="7">
        <f t="shared" si="685"/>
        <v>1.5</v>
      </c>
      <c r="P213" s="7">
        <f t="shared" si="676"/>
        <v>4</v>
      </c>
      <c r="Q213" s="7">
        <f t="shared" si="676"/>
        <v>4</v>
      </c>
      <c r="R213" s="7">
        <f t="shared" si="686"/>
        <v>5</v>
      </c>
      <c r="S213" s="7">
        <f t="shared" si="687"/>
        <v>71.106961684493314</v>
      </c>
      <c r="T213" s="7">
        <f t="shared" si="826"/>
        <v>649</v>
      </c>
      <c r="U213" s="7">
        <v>11</v>
      </c>
      <c r="V213" s="7">
        <f>(732+713)/2</f>
        <v>722.5</v>
      </c>
      <c r="W213" s="7"/>
      <c r="X213" s="4" t="e">
        <f t="shared" si="689"/>
        <v>#REF!</v>
      </c>
      <c r="Y213" s="7">
        <v>12.7</v>
      </c>
      <c r="Z213" s="7">
        <v>2</v>
      </c>
      <c r="AA213" s="7">
        <v>64</v>
      </c>
      <c r="AB213" s="7">
        <v>4</v>
      </c>
      <c r="AC213" s="7">
        <f t="shared" si="839"/>
        <v>2</v>
      </c>
      <c r="AD213" s="7">
        <f t="shared" si="827"/>
        <v>1.2694610778443116</v>
      </c>
      <c r="AE213" s="4">
        <f t="shared" si="691"/>
        <v>127.2</v>
      </c>
      <c r="AF213" s="4">
        <f t="shared" si="692"/>
        <v>1.0377358490566038</v>
      </c>
      <c r="AG213" s="4">
        <f t="shared" si="693"/>
        <v>102.93453939452981</v>
      </c>
      <c r="AH213" s="4">
        <f t="shared" si="694"/>
        <v>0.77499999999999991</v>
      </c>
      <c r="AI213" s="4">
        <v>1.25</v>
      </c>
      <c r="AJ213" s="47">
        <f t="shared" si="825"/>
        <v>5</v>
      </c>
      <c r="AK213" s="38">
        <f t="shared" si="800"/>
        <v>517.40386104856509</v>
      </c>
      <c r="AL213" s="38">
        <f t="shared" si="762"/>
        <v>517.40386104856509</v>
      </c>
      <c r="AM213" s="38">
        <f t="shared" si="695"/>
        <v>5.7111767066521422</v>
      </c>
      <c r="AN213" s="38">
        <f t="shared" si="640"/>
        <v>517.40386104856543</v>
      </c>
      <c r="AO213" s="38">
        <f t="shared" si="840"/>
        <v>0.99999999999999933</v>
      </c>
      <c r="AP213" s="38">
        <f t="shared" si="641"/>
        <v>1.5063668029466883</v>
      </c>
      <c r="AQ213" s="4">
        <f t="shared" si="642"/>
        <v>0</v>
      </c>
      <c r="AR213" s="4" t="e">
        <f>#REF!/G213*F213^0.5/0.19</f>
        <v>#REF!</v>
      </c>
      <c r="AS213" s="4">
        <f t="shared" si="696"/>
        <v>1</v>
      </c>
      <c r="AT213" s="38">
        <f t="shared" si="697"/>
        <v>779.40000000000009</v>
      </c>
      <c r="AU213" s="4">
        <f t="shared" si="698"/>
        <v>0.44000000000000006</v>
      </c>
      <c r="AV213" s="4" t="e">
        <f>AU213*D213*#REF!/(D213*G213/2.75/F213^0.5)</f>
        <v>#REF!</v>
      </c>
      <c r="AW213" s="4" t="e">
        <f t="shared" si="801"/>
        <v>#REF!</v>
      </c>
      <c r="AY213" s="4">
        <f t="shared" si="700"/>
        <v>1.4</v>
      </c>
      <c r="AZ213" s="4" t="e">
        <f>(3*#REF!+30)*AY213*F213^0.5</f>
        <v>#REF!</v>
      </c>
      <c r="BB213" s="4">
        <f t="shared" si="701"/>
        <v>747.53991440910613</v>
      </c>
      <c r="BC213" s="4">
        <f t="shared" si="828"/>
        <v>711.96329095823319</v>
      </c>
      <c r="BD213" s="4">
        <f t="shared" si="672"/>
        <v>0.95240839617374207</v>
      </c>
      <c r="BL213" s="4">
        <f t="shared" si="704"/>
        <v>31.8</v>
      </c>
      <c r="BP213" s="9"/>
      <c r="BR213" s="9"/>
      <c r="BS213" s="9"/>
      <c r="BT213" s="9" t="e">
        <f t="shared" si="705"/>
        <v>#REF!</v>
      </c>
      <c r="BU213" s="9">
        <f t="shared" si="706"/>
        <v>134.39999999999998</v>
      </c>
      <c r="BV213" s="9" t="e">
        <f t="shared" si="707"/>
        <v>#REF!</v>
      </c>
      <c r="BW213" s="9">
        <v>20</v>
      </c>
      <c r="BX213" s="9">
        <f t="shared" si="708"/>
        <v>0.05</v>
      </c>
      <c r="BY213" s="9">
        <f t="shared" si="802"/>
        <v>0.8</v>
      </c>
      <c r="BZ213" s="9">
        <f t="shared" si="710"/>
        <v>0.93036607665491811</v>
      </c>
      <c r="CA213" s="9">
        <f t="shared" si="711"/>
        <v>0.80099999999999993</v>
      </c>
      <c r="CB213" s="9">
        <f t="shared" si="712"/>
        <v>2.9727542082721463</v>
      </c>
      <c r="CC213" s="9" t="e">
        <f t="shared" si="713"/>
        <v>#REF!</v>
      </c>
      <c r="CD213" s="9">
        <v>1</v>
      </c>
      <c r="CE213" s="9" t="e">
        <f>4*CC213*#REF!+60*CC213</f>
        <v>#REF!</v>
      </c>
      <c r="CG213" s="4" t="e">
        <f t="shared" si="803"/>
        <v>#REF!</v>
      </c>
      <c r="CH213" s="4" t="e">
        <f t="shared" si="804"/>
        <v>#REF!</v>
      </c>
      <c r="CI213" s="4" t="e">
        <f t="shared" si="805"/>
        <v>#REF!</v>
      </c>
      <c r="CJ213" s="4" t="e">
        <f t="shared" si="806"/>
        <v>#REF!</v>
      </c>
      <c r="CK213" s="44" t="e">
        <f t="shared" si="807"/>
        <v>#REF!</v>
      </c>
      <c r="CL213" s="4" t="e">
        <f t="shared" si="808"/>
        <v>#REF!</v>
      </c>
      <c r="CM213" s="4">
        <f t="shared" si="720"/>
        <v>3.0726604353156195</v>
      </c>
      <c r="CU213" s="4" t="e">
        <f t="shared" si="831"/>
        <v>#REF!</v>
      </c>
      <c r="CV213" s="4" t="e">
        <f t="shared" si="832"/>
        <v>#REF!</v>
      </c>
      <c r="CW213" s="4" t="e">
        <f t="shared" si="833"/>
        <v>#REF!</v>
      </c>
      <c r="CX213" s="4">
        <f t="shared" si="841"/>
        <v>3.0726604353156195</v>
      </c>
      <c r="CY213" s="4" t="e">
        <f t="shared" si="835"/>
        <v>#REF!</v>
      </c>
      <c r="CZ213" s="4" t="e">
        <f t="shared" si="836"/>
        <v>#REF!</v>
      </c>
      <c r="DB213" s="4">
        <f t="shared" si="677"/>
        <v>2</v>
      </c>
      <c r="DC213" s="4" t="e">
        <f>#REF!</f>
        <v>#REF!</v>
      </c>
      <c r="DF213" s="4">
        <f t="shared" si="723"/>
        <v>1.3307058507295954E-5</v>
      </c>
      <c r="DG213" s="4" t="e">
        <f t="shared" si="724"/>
        <v>#REF!</v>
      </c>
      <c r="DH213" s="4">
        <f t="shared" si="725"/>
        <v>0.2755113670422118</v>
      </c>
      <c r="DI213" s="4" t="e">
        <f t="shared" si="726"/>
        <v>#REF!</v>
      </c>
      <c r="DJ213" s="4" t="e">
        <f t="shared" si="727"/>
        <v>#REF!</v>
      </c>
      <c r="DK213" s="4" t="e">
        <f t="shared" si="728"/>
        <v>#REF!</v>
      </c>
      <c r="DL213" s="38" t="e">
        <f t="shared" si="729"/>
        <v>#REF!</v>
      </c>
      <c r="DM213" s="4" t="e">
        <f t="shared" si="730"/>
        <v>#REF!</v>
      </c>
      <c r="DN213" s="4">
        <f t="shared" si="731"/>
        <v>2.2360679774997898</v>
      </c>
      <c r="DO213" s="4">
        <f t="shared" si="776"/>
        <v>517.40386104856543</v>
      </c>
      <c r="DS213" s="4" t="e">
        <f t="shared" si="733"/>
        <v>#REF!</v>
      </c>
      <c r="DT213" s="4">
        <f t="shared" si="734"/>
        <v>1</v>
      </c>
      <c r="DU213" s="4">
        <f t="shared" si="735"/>
        <v>0.88360329892013767</v>
      </c>
      <c r="DV213" s="4">
        <f t="shared" si="736"/>
        <v>0.88360329892013767</v>
      </c>
      <c r="DX213" s="4" t="e">
        <f t="shared" si="737"/>
        <v>#REF!</v>
      </c>
      <c r="DY213" s="25">
        <f t="shared" si="814"/>
        <v>500.22595130449861</v>
      </c>
      <c r="EB213" s="4" t="e">
        <f t="shared" si="739"/>
        <v>#REF!</v>
      </c>
      <c r="EE213" s="4">
        <f t="shared" si="740"/>
        <v>71.106961684493314</v>
      </c>
      <c r="EF213" s="4">
        <f t="shared" si="741"/>
        <v>2.2360679774997898</v>
      </c>
      <c r="EG213" s="4">
        <f t="shared" si="742"/>
        <v>0.17170358488533044</v>
      </c>
      <c r="EJ213" s="4">
        <f t="shared" si="815"/>
        <v>0.17170358488533044</v>
      </c>
      <c r="EK213" s="4">
        <f t="shared" si="744"/>
        <v>0.27505158991895695</v>
      </c>
      <c r="EL213" s="4" t="e">
        <f t="shared" si="679"/>
        <v>#REF!</v>
      </c>
      <c r="EM213" s="4" t="e">
        <f t="shared" si="816"/>
        <v>#REF!</v>
      </c>
      <c r="EN213" s="4" t="e">
        <f t="shared" si="673"/>
        <v>#REF!</v>
      </c>
      <c r="EO213" s="4" t="e">
        <f t="shared" si="674"/>
        <v>#REF!</v>
      </c>
      <c r="EP213" s="4" t="e">
        <f t="shared" si="749"/>
        <v>#REF!</v>
      </c>
      <c r="EQ213" s="4" t="e">
        <f t="shared" si="817"/>
        <v>#REF!</v>
      </c>
      <c r="ER213" s="4" t="e">
        <f t="shared" si="751"/>
        <v>#REF!</v>
      </c>
      <c r="FA213" s="23" t="e">
        <f t="shared" si="818"/>
        <v>#REF!</v>
      </c>
      <c r="FB213" s="23" t="e">
        <f t="shared" si="819"/>
        <v>#REF!</v>
      </c>
      <c r="FC213" s="23">
        <f t="shared" si="754"/>
        <v>2.2000000000000002</v>
      </c>
      <c r="FD213" s="23" t="e">
        <f t="shared" si="820"/>
        <v>#REF!</v>
      </c>
      <c r="FE213" s="23" t="e">
        <f t="shared" si="821"/>
        <v>#REF!</v>
      </c>
      <c r="FF213" s="23" t="e">
        <f t="shared" si="822"/>
        <v>#REF!</v>
      </c>
      <c r="FG213" s="23" t="e">
        <f t="shared" si="823"/>
        <v>#REF!</v>
      </c>
      <c r="FH213" s="23"/>
      <c r="FR213" s="4">
        <f t="shared" si="842"/>
        <v>1.25</v>
      </c>
      <c r="FS213" s="4">
        <f t="shared" si="843"/>
        <v>0.40944449644340308</v>
      </c>
      <c r="FT213" s="4">
        <f t="shared" si="844"/>
        <v>0.3</v>
      </c>
      <c r="FU213" s="4">
        <f t="shared" si="845"/>
        <v>235.13825077966541</v>
      </c>
    </row>
    <row r="214" spans="1:177" ht="12" customHeight="1" x14ac:dyDescent="0.3">
      <c r="B214" s="24"/>
      <c r="C214" s="4" t="s">
        <v>324</v>
      </c>
      <c r="D214" s="7">
        <v>649</v>
      </c>
      <c r="E214" s="7">
        <f>6*G214</f>
        <v>190.8</v>
      </c>
      <c r="F214" s="7">
        <v>129.9</v>
      </c>
      <c r="G214" s="7">
        <v>31.8</v>
      </c>
      <c r="H214" s="7">
        <v>396</v>
      </c>
      <c r="I214" s="7">
        <f>1*G214</f>
        <v>31.8</v>
      </c>
      <c r="J214" s="7" t="e">
        <f>256-#REF!</f>
        <v>#REF!</v>
      </c>
      <c r="K214" s="7">
        <f t="shared" si="798"/>
        <v>268.79999999999995</v>
      </c>
      <c r="L214" s="7">
        <v>2</v>
      </c>
      <c r="M214" s="7">
        <f t="shared" si="799"/>
        <v>127.2</v>
      </c>
      <c r="N214" s="7">
        <f t="shared" si="684"/>
        <v>1.5</v>
      </c>
      <c r="O214" s="7">
        <f t="shared" si="685"/>
        <v>1.5</v>
      </c>
      <c r="P214" s="7">
        <f t="shared" si="676"/>
        <v>4</v>
      </c>
      <c r="Q214" s="7">
        <f t="shared" si="676"/>
        <v>4</v>
      </c>
      <c r="R214" s="7">
        <f t="shared" si="686"/>
        <v>5</v>
      </c>
      <c r="S214" s="7">
        <f t="shared" si="687"/>
        <v>71.106961684493314</v>
      </c>
      <c r="T214" s="7">
        <f t="shared" si="826"/>
        <v>649</v>
      </c>
      <c r="U214" s="7">
        <v>11</v>
      </c>
      <c r="V214" s="7">
        <f>(723+708)/2</f>
        <v>715.5</v>
      </c>
      <c r="W214" s="7"/>
      <c r="X214" s="4" t="e">
        <f t="shared" si="689"/>
        <v>#REF!</v>
      </c>
      <c r="Y214" s="7"/>
      <c r="Z214" s="7"/>
      <c r="AA214" s="7">
        <v>1</v>
      </c>
      <c r="AB214" s="7"/>
      <c r="AC214" s="7"/>
      <c r="AD214" s="7">
        <f t="shared" si="827"/>
        <v>1.9041916167664676</v>
      </c>
      <c r="AE214" s="4">
        <f t="shared" si="691"/>
        <v>190.8</v>
      </c>
      <c r="AF214" s="4">
        <f t="shared" si="692"/>
        <v>0.69182389937106914</v>
      </c>
      <c r="AG214" s="4">
        <f t="shared" si="693"/>
        <v>189.10282381875894</v>
      </c>
      <c r="AH214" s="4">
        <f t="shared" si="694"/>
        <v>0.75</v>
      </c>
      <c r="AI214" s="4">
        <v>1.25</v>
      </c>
      <c r="AJ214" s="47">
        <f t="shared" si="825"/>
        <v>5</v>
      </c>
      <c r="AK214" s="38">
        <f t="shared" si="800"/>
        <v>613.2461857330037</v>
      </c>
      <c r="AL214" s="38">
        <f t="shared" si="762"/>
        <v>613.2461857330037</v>
      </c>
      <c r="AM214" s="38">
        <f t="shared" si="695"/>
        <v>5.7111767066521422</v>
      </c>
      <c r="AN214" s="38">
        <f t="shared" si="640"/>
        <v>613.24618573300347</v>
      </c>
      <c r="AO214" s="38">
        <f t="shared" si="840"/>
        <v>1.0000000000000004</v>
      </c>
      <c r="AP214" s="38">
        <f t="shared" si="641"/>
        <v>1.2709414557033005</v>
      </c>
      <c r="AQ214" s="4">
        <f t="shared" si="642"/>
        <v>0</v>
      </c>
      <c r="AR214" s="4" t="e">
        <f>#REF!/G214*F214^0.5/0.19</f>
        <v>#REF!</v>
      </c>
      <c r="AS214" s="4">
        <f t="shared" si="696"/>
        <v>1</v>
      </c>
      <c r="AT214" s="38">
        <f t="shared" si="697"/>
        <v>779.40000000000009</v>
      </c>
      <c r="AU214" s="4">
        <f t="shared" si="698"/>
        <v>0.44000000000000006</v>
      </c>
      <c r="AV214" s="4" t="e">
        <f>AU214*D214*#REF!/(D214*G214/2.75/F214^0.5)</f>
        <v>#REF!</v>
      </c>
      <c r="AW214" s="4" t="e">
        <f t="shared" si="801"/>
        <v>#REF!</v>
      </c>
      <c r="AY214" s="4">
        <f t="shared" si="700"/>
        <v>1</v>
      </c>
      <c r="AZ214" s="4" t="e">
        <f>(3*#REF!+30)*AY214*F214^0.5</f>
        <v>#REF!</v>
      </c>
      <c r="BB214" s="4">
        <f t="shared" si="701"/>
        <v>747.53991440910613</v>
      </c>
      <c r="BC214" s="4">
        <f t="shared" si="828"/>
        <v>711.96329095823319</v>
      </c>
      <c r="BD214" s="4">
        <f t="shared" si="672"/>
        <v>0.95240839617374207</v>
      </c>
      <c r="BL214" s="4">
        <f t="shared" si="704"/>
        <v>31.8</v>
      </c>
      <c r="BP214" s="9"/>
      <c r="BR214" s="9"/>
      <c r="BS214" s="9"/>
      <c r="BT214" s="9" t="e">
        <f t="shared" si="705"/>
        <v>#REF!</v>
      </c>
      <c r="BU214" s="9">
        <f t="shared" si="706"/>
        <v>134.39999999999998</v>
      </c>
      <c r="BV214" s="9" t="e">
        <f t="shared" si="707"/>
        <v>#REF!</v>
      </c>
      <c r="BW214" s="9">
        <v>0</v>
      </c>
      <c r="BX214" s="9">
        <f t="shared" si="708"/>
        <v>0</v>
      </c>
      <c r="BY214" s="9">
        <f t="shared" si="802"/>
        <v>0</v>
      </c>
      <c r="BZ214" s="9">
        <f t="shared" si="710"/>
        <v>0.93036607665491811</v>
      </c>
      <c r="CA214" s="9">
        <f t="shared" si="711"/>
        <v>0.80099999999999993</v>
      </c>
      <c r="CB214" s="9">
        <f t="shared" si="712"/>
        <v>2.9727542082721463</v>
      </c>
      <c r="CC214" s="9" t="e">
        <f t="shared" si="713"/>
        <v>#REF!</v>
      </c>
      <c r="CD214" s="9">
        <v>1</v>
      </c>
      <c r="CE214" s="9" t="e">
        <f>4*CC214*#REF!+60*CC214</f>
        <v>#REF!</v>
      </c>
      <c r="CG214" s="4" t="e">
        <f t="shared" si="803"/>
        <v>#REF!</v>
      </c>
      <c r="CH214" s="4" t="e">
        <f t="shared" si="804"/>
        <v>#REF!</v>
      </c>
      <c r="CI214" s="4" t="e">
        <f t="shared" si="805"/>
        <v>#REF!</v>
      </c>
      <c r="CJ214" s="4" t="e">
        <f t="shared" si="806"/>
        <v>#REF!</v>
      </c>
      <c r="CK214" s="44" t="e">
        <f t="shared" si="807"/>
        <v>#REF!</v>
      </c>
      <c r="CL214" s="4" t="e">
        <f t="shared" si="808"/>
        <v>#REF!</v>
      </c>
      <c r="CM214" s="4">
        <f t="shared" si="720"/>
        <v>2.4772512849863699</v>
      </c>
      <c r="CO214" s="4" t="e">
        <f t="shared" si="809"/>
        <v>#REF!</v>
      </c>
      <c r="CP214" s="4" t="e">
        <f t="shared" si="810"/>
        <v>#REF!</v>
      </c>
      <c r="CQ214" s="4" t="e">
        <f t="shared" si="811"/>
        <v>#REF!</v>
      </c>
      <c r="CR214" s="4">
        <f t="shared" ref="CR214:CR215" si="846">CM214</f>
        <v>2.4772512849863699</v>
      </c>
      <c r="CS214" s="4" t="e">
        <f t="shared" si="812"/>
        <v>#REF!</v>
      </c>
      <c r="CT214" s="4" t="e">
        <f t="shared" si="813"/>
        <v>#REF!</v>
      </c>
      <c r="DB214" s="4">
        <f t="shared" si="677"/>
        <v>0</v>
      </c>
      <c r="DC214" s="4" t="e">
        <f>#REF!</f>
        <v>#REF!</v>
      </c>
      <c r="DF214" s="4">
        <f t="shared" si="723"/>
        <v>1.9960587760943931E-5</v>
      </c>
      <c r="DG214" s="4" t="e">
        <f t="shared" si="724"/>
        <v>#REF!</v>
      </c>
      <c r="DH214" s="4">
        <f t="shared" si="725"/>
        <v>0.32654625851132374</v>
      </c>
      <c r="DI214" s="4" t="e">
        <f t="shared" si="726"/>
        <v>#REF!</v>
      </c>
      <c r="DJ214" s="4" t="e">
        <f t="shared" si="727"/>
        <v>#REF!</v>
      </c>
      <c r="DK214" s="4" t="e">
        <f t="shared" si="728"/>
        <v>#REF!</v>
      </c>
      <c r="DL214" s="38" t="e">
        <f t="shared" si="729"/>
        <v>#REF!</v>
      </c>
      <c r="DM214" s="4" t="e">
        <f t="shared" si="730"/>
        <v>#REF!</v>
      </c>
      <c r="DN214" s="4">
        <f t="shared" si="731"/>
        <v>2.2360679774997898</v>
      </c>
      <c r="DO214" s="4">
        <f t="shared" si="776"/>
        <v>613.24618573300347</v>
      </c>
      <c r="DS214" s="4" t="e">
        <f t="shared" si="733"/>
        <v>#REF!</v>
      </c>
      <c r="DT214" s="4">
        <f t="shared" si="734"/>
        <v>1</v>
      </c>
      <c r="DU214" s="4">
        <f t="shared" si="735"/>
        <v>1</v>
      </c>
      <c r="DV214" s="4">
        <f t="shared" si="736"/>
        <v>1</v>
      </c>
      <c r="DX214" s="4" t="e">
        <f t="shared" si="737"/>
        <v>#REF!</v>
      </c>
      <c r="DY214" s="25">
        <f t="shared" si="814"/>
        <v>599.03474243278185</v>
      </c>
      <c r="EB214" s="4" t="e">
        <f t="shared" si="739"/>
        <v>#REF!</v>
      </c>
      <c r="EE214" s="4">
        <f t="shared" si="740"/>
        <v>71.106961684493314</v>
      </c>
      <c r="EF214" s="4">
        <f t="shared" si="741"/>
        <v>2.2360679774997898</v>
      </c>
      <c r="EG214" s="4">
        <f t="shared" si="742"/>
        <v>0.2035094370850247</v>
      </c>
      <c r="EJ214" s="4">
        <f t="shared" si="815"/>
        <v>0.2035094370850247</v>
      </c>
      <c r="EK214" s="4">
        <f t="shared" si="744"/>
        <v>0.3260013136658178</v>
      </c>
      <c r="EL214" s="4" t="e">
        <f t="shared" si="679"/>
        <v>#REF!</v>
      </c>
      <c r="EM214" s="4" t="e">
        <f t="shared" si="816"/>
        <v>#REF!</v>
      </c>
      <c r="EN214" s="4" t="e">
        <f t="shared" si="673"/>
        <v>#REF!</v>
      </c>
      <c r="EO214" s="4" t="e">
        <f t="shared" si="674"/>
        <v>#REF!</v>
      </c>
      <c r="EP214" s="4" t="e">
        <f t="shared" si="749"/>
        <v>#REF!</v>
      </c>
      <c r="EQ214" s="4" t="e">
        <f t="shared" si="817"/>
        <v>#REF!</v>
      </c>
      <c r="ER214" s="4" t="e">
        <f t="shared" si="751"/>
        <v>#REF!</v>
      </c>
      <c r="FA214" s="23" t="e">
        <f t="shared" si="818"/>
        <v>#REF!</v>
      </c>
      <c r="FB214" s="23" t="e">
        <f t="shared" si="819"/>
        <v>#REF!</v>
      </c>
      <c r="FC214" s="23">
        <f t="shared" si="754"/>
        <v>2.2000000000000002</v>
      </c>
      <c r="FD214" s="23" t="e">
        <f t="shared" si="820"/>
        <v>#REF!</v>
      </c>
      <c r="FE214" s="23" t="e">
        <f t="shared" si="821"/>
        <v>#REF!</v>
      </c>
      <c r="FF214" s="23" t="e">
        <f t="shared" si="822"/>
        <v>#REF!</v>
      </c>
      <c r="FG214" s="23" t="e">
        <f t="shared" si="823"/>
        <v>#REF!</v>
      </c>
      <c r="FH214" s="23"/>
      <c r="FR214" s="4">
        <f t="shared" si="842"/>
        <v>1.25</v>
      </c>
      <c r="FS214" s="4">
        <f t="shared" si="843"/>
        <v>0.5</v>
      </c>
      <c r="FT214" s="4">
        <f t="shared" si="844"/>
        <v>0</v>
      </c>
      <c r="FU214" s="4">
        <f t="shared" si="845"/>
        <v>288.82818805518826</v>
      </c>
    </row>
    <row r="215" spans="1:177" ht="12" customHeight="1" x14ac:dyDescent="0.3">
      <c r="B215" s="24"/>
      <c r="C215" s="4" t="s">
        <v>325</v>
      </c>
      <c r="D215" s="7">
        <v>649</v>
      </c>
      <c r="E215" s="7">
        <f t="shared" ref="E215" si="847">6*G215</f>
        <v>190.8</v>
      </c>
      <c r="F215" s="7">
        <v>129.9</v>
      </c>
      <c r="G215" s="7">
        <v>31.8</v>
      </c>
      <c r="H215" s="7">
        <v>396</v>
      </c>
      <c r="I215" s="7">
        <f>1*G215</f>
        <v>31.8</v>
      </c>
      <c r="J215" s="7" t="e">
        <f>256-#REF!</f>
        <v>#REF!</v>
      </c>
      <c r="K215" s="7">
        <f t="shared" si="798"/>
        <v>268.79999999999995</v>
      </c>
      <c r="L215" s="7">
        <v>2</v>
      </c>
      <c r="M215" s="7">
        <f t="shared" si="799"/>
        <v>127.2</v>
      </c>
      <c r="N215" s="7">
        <f t="shared" si="684"/>
        <v>1.5</v>
      </c>
      <c r="O215" s="7">
        <f t="shared" si="685"/>
        <v>1.5</v>
      </c>
      <c r="P215" s="7">
        <f t="shared" si="676"/>
        <v>4</v>
      </c>
      <c r="Q215" s="7">
        <f t="shared" si="676"/>
        <v>4</v>
      </c>
      <c r="R215" s="7">
        <f t="shared" si="686"/>
        <v>5</v>
      </c>
      <c r="S215" s="7">
        <f t="shared" si="687"/>
        <v>71.106961684493314</v>
      </c>
      <c r="T215" s="7">
        <f t="shared" si="826"/>
        <v>649</v>
      </c>
      <c r="U215" s="7">
        <v>11</v>
      </c>
      <c r="V215" s="7">
        <f>(736+710)/2</f>
        <v>723</v>
      </c>
      <c r="W215" s="7"/>
      <c r="X215" s="4" t="e">
        <f t="shared" si="689"/>
        <v>#REF!</v>
      </c>
      <c r="Y215" s="7"/>
      <c r="Z215" s="7"/>
      <c r="AA215" s="7">
        <v>1</v>
      </c>
      <c r="AB215" s="7"/>
      <c r="AC215" s="7"/>
      <c r="AD215" s="7">
        <f t="shared" si="827"/>
        <v>1.9041916167664676</v>
      </c>
      <c r="AE215" s="4">
        <f t="shared" si="691"/>
        <v>190.8</v>
      </c>
      <c r="AF215" s="4">
        <f t="shared" si="692"/>
        <v>0.69182389937106914</v>
      </c>
      <c r="AG215" s="4">
        <f t="shared" si="693"/>
        <v>189.10282381875894</v>
      </c>
      <c r="AH215" s="4">
        <f t="shared" si="694"/>
        <v>0.75</v>
      </c>
      <c r="AI215" s="4">
        <v>1.25</v>
      </c>
      <c r="AJ215" s="47">
        <f t="shared" si="825"/>
        <v>5</v>
      </c>
      <c r="AK215" s="38">
        <f t="shared" si="800"/>
        <v>613.2461857330037</v>
      </c>
      <c r="AL215" s="38">
        <f t="shared" si="762"/>
        <v>613.2461857330037</v>
      </c>
      <c r="AM215" s="38">
        <f t="shared" si="695"/>
        <v>5.7111767066521422</v>
      </c>
      <c r="AN215" s="38">
        <f t="shared" si="640"/>
        <v>613.24618573300347</v>
      </c>
      <c r="AO215" s="38">
        <f t="shared" si="840"/>
        <v>1.0000000000000004</v>
      </c>
      <c r="AP215" s="38">
        <f t="shared" si="641"/>
        <v>1.2709414557033005</v>
      </c>
      <c r="AQ215" s="4">
        <f t="shared" si="642"/>
        <v>0</v>
      </c>
      <c r="AR215" s="4" t="e">
        <f>#REF!/G215*F215^0.5/0.19</f>
        <v>#REF!</v>
      </c>
      <c r="AS215" s="4">
        <f t="shared" si="696"/>
        <v>1</v>
      </c>
      <c r="AT215" s="38">
        <f t="shared" si="697"/>
        <v>779.40000000000009</v>
      </c>
      <c r="AU215" s="4">
        <f t="shared" si="698"/>
        <v>0.44000000000000006</v>
      </c>
      <c r="AV215" s="4" t="e">
        <f>AU215*D215*#REF!/(D215*G215/2.75/F215^0.5)</f>
        <v>#REF!</v>
      </c>
      <c r="AW215" s="4" t="e">
        <f t="shared" si="801"/>
        <v>#REF!</v>
      </c>
      <c r="AY215" s="4">
        <f t="shared" si="700"/>
        <v>1</v>
      </c>
      <c r="AZ215" s="4" t="e">
        <f>(3*#REF!+30)*AY215*F215^0.5</f>
        <v>#REF!</v>
      </c>
      <c r="BB215" s="4">
        <f t="shared" si="701"/>
        <v>747.53991440910613</v>
      </c>
      <c r="BC215" s="4">
        <f t="shared" si="828"/>
        <v>711.96329095823319</v>
      </c>
      <c r="BD215" s="4">
        <f t="shared" si="672"/>
        <v>0.95240839617374207</v>
      </c>
      <c r="BL215" s="4">
        <f t="shared" si="704"/>
        <v>31.8</v>
      </c>
      <c r="BP215" s="9"/>
      <c r="BR215" s="9"/>
      <c r="BS215" s="9"/>
      <c r="BT215" s="9" t="e">
        <f t="shared" si="705"/>
        <v>#REF!</v>
      </c>
      <c r="BU215" s="9">
        <f t="shared" si="706"/>
        <v>134.39999999999998</v>
      </c>
      <c r="BV215" s="9" t="e">
        <f t="shared" si="707"/>
        <v>#REF!</v>
      </c>
      <c r="BW215" s="9">
        <v>0</v>
      </c>
      <c r="BX215" s="9">
        <f t="shared" si="708"/>
        <v>0</v>
      </c>
      <c r="BY215" s="9">
        <f t="shared" si="802"/>
        <v>0</v>
      </c>
      <c r="BZ215" s="9">
        <f t="shared" si="710"/>
        <v>0.93036607665491811</v>
      </c>
      <c r="CA215" s="9">
        <f t="shared" si="711"/>
        <v>0.80099999999999993</v>
      </c>
      <c r="CB215" s="9">
        <f t="shared" si="712"/>
        <v>2.9727542082721463</v>
      </c>
      <c r="CC215" s="9" t="e">
        <f t="shared" si="713"/>
        <v>#REF!</v>
      </c>
      <c r="CD215" s="9">
        <v>1</v>
      </c>
      <c r="CE215" s="9" t="e">
        <f>4*CC215*#REF!+60*CC215</f>
        <v>#REF!</v>
      </c>
      <c r="CG215" s="4" t="e">
        <f t="shared" si="803"/>
        <v>#REF!</v>
      </c>
      <c r="CH215" s="4" t="e">
        <f t="shared" si="804"/>
        <v>#REF!</v>
      </c>
      <c r="CI215" s="4" t="e">
        <f t="shared" si="805"/>
        <v>#REF!</v>
      </c>
      <c r="CJ215" s="4" t="e">
        <f t="shared" si="806"/>
        <v>#REF!</v>
      </c>
      <c r="CK215" s="44" t="e">
        <f t="shared" si="807"/>
        <v>#REF!</v>
      </c>
      <c r="CL215" s="4" t="e">
        <f t="shared" si="808"/>
        <v>#REF!</v>
      </c>
      <c r="CM215" s="4">
        <f t="shared" si="720"/>
        <v>2.5032182795879043</v>
      </c>
      <c r="CO215" s="4" t="e">
        <f t="shared" si="809"/>
        <v>#REF!</v>
      </c>
      <c r="CP215" s="4" t="e">
        <f t="shared" si="810"/>
        <v>#REF!</v>
      </c>
      <c r="CQ215" s="4" t="e">
        <f t="shared" si="811"/>
        <v>#REF!</v>
      </c>
      <c r="CR215" s="4">
        <f t="shared" si="846"/>
        <v>2.5032182795879043</v>
      </c>
      <c r="CS215" s="4" t="e">
        <f t="shared" si="812"/>
        <v>#REF!</v>
      </c>
      <c r="CT215" s="4" t="e">
        <f t="shared" si="813"/>
        <v>#REF!</v>
      </c>
      <c r="DB215" s="4">
        <f t="shared" si="677"/>
        <v>0</v>
      </c>
      <c r="DC215" s="4" t="e">
        <f>#REF!</f>
        <v>#REF!</v>
      </c>
      <c r="DF215" s="4">
        <f t="shared" si="723"/>
        <v>1.9960587760943931E-5</v>
      </c>
      <c r="DG215" s="4" t="e">
        <f t="shared" si="724"/>
        <v>#REF!</v>
      </c>
      <c r="DH215" s="4">
        <f t="shared" si="725"/>
        <v>0.32654625851132374</v>
      </c>
      <c r="DI215" s="4" t="e">
        <f t="shared" si="726"/>
        <v>#REF!</v>
      </c>
      <c r="DJ215" s="4" t="e">
        <f t="shared" si="727"/>
        <v>#REF!</v>
      </c>
      <c r="DK215" s="4" t="e">
        <f t="shared" si="728"/>
        <v>#REF!</v>
      </c>
      <c r="DL215" s="38" t="e">
        <f t="shared" si="729"/>
        <v>#REF!</v>
      </c>
      <c r="DM215" s="4" t="e">
        <f t="shared" si="730"/>
        <v>#REF!</v>
      </c>
      <c r="DN215" s="4">
        <f t="shared" si="731"/>
        <v>2.2360679774997898</v>
      </c>
      <c r="DO215" s="4">
        <f t="shared" si="776"/>
        <v>613.24618573300347</v>
      </c>
      <c r="DS215" s="4" t="e">
        <f t="shared" si="733"/>
        <v>#REF!</v>
      </c>
      <c r="DT215" s="4">
        <f t="shared" si="734"/>
        <v>1</v>
      </c>
      <c r="DU215" s="4">
        <f t="shared" si="735"/>
        <v>1</v>
      </c>
      <c r="DV215" s="4">
        <f t="shared" si="736"/>
        <v>1</v>
      </c>
      <c r="DX215" s="4" t="e">
        <f t="shared" si="737"/>
        <v>#REF!</v>
      </c>
      <c r="DY215" s="25">
        <f t="shared" si="814"/>
        <v>599.03474243278185</v>
      </c>
      <c r="EB215" s="4" t="e">
        <f t="shared" si="739"/>
        <v>#REF!</v>
      </c>
      <c r="EE215" s="4">
        <f t="shared" si="740"/>
        <v>71.106961684493314</v>
      </c>
      <c r="EF215" s="4">
        <f t="shared" si="741"/>
        <v>2.2360679774997898</v>
      </c>
      <c r="EG215" s="4">
        <f t="shared" si="742"/>
        <v>0.2035094370850247</v>
      </c>
      <c r="EJ215" s="4">
        <f t="shared" si="815"/>
        <v>0.2035094370850247</v>
      </c>
      <c r="EK215" s="4">
        <f t="shared" si="744"/>
        <v>0.3260013136658178</v>
      </c>
      <c r="EL215" s="4" t="e">
        <f t="shared" si="679"/>
        <v>#REF!</v>
      </c>
      <c r="EM215" s="4" t="e">
        <f t="shared" si="816"/>
        <v>#REF!</v>
      </c>
      <c r="EN215" s="4" t="e">
        <f t="shared" si="673"/>
        <v>#REF!</v>
      </c>
      <c r="EO215" s="4" t="e">
        <f t="shared" si="674"/>
        <v>#REF!</v>
      </c>
      <c r="EP215" s="4" t="e">
        <f t="shared" si="749"/>
        <v>#REF!</v>
      </c>
      <c r="EQ215" s="4" t="e">
        <f t="shared" si="817"/>
        <v>#REF!</v>
      </c>
      <c r="ER215" s="4" t="e">
        <f t="shared" si="751"/>
        <v>#REF!</v>
      </c>
      <c r="FA215" s="23" t="e">
        <f t="shared" si="818"/>
        <v>#REF!</v>
      </c>
      <c r="FB215" s="23" t="e">
        <f t="shared" si="819"/>
        <v>#REF!</v>
      </c>
      <c r="FC215" s="23">
        <f t="shared" si="754"/>
        <v>2.2000000000000002</v>
      </c>
      <c r="FD215" s="23" t="e">
        <f t="shared" si="820"/>
        <v>#REF!</v>
      </c>
      <c r="FE215" s="23" t="e">
        <f t="shared" si="821"/>
        <v>#REF!</v>
      </c>
      <c r="FF215" s="23" t="e">
        <f t="shared" si="822"/>
        <v>#REF!</v>
      </c>
      <c r="FG215" s="23" t="e">
        <f t="shared" si="823"/>
        <v>#REF!</v>
      </c>
      <c r="FH215" s="23"/>
      <c r="FR215" s="4">
        <f t="shared" si="842"/>
        <v>1.25</v>
      </c>
      <c r="FS215" s="4">
        <f t="shared" si="843"/>
        <v>0.5</v>
      </c>
      <c r="FT215" s="4">
        <f t="shared" si="844"/>
        <v>0</v>
      </c>
      <c r="FU215" s="4">
        <f t="shared" si="845"/>
        <v>288.82818805518826</v>
      </c>
    </row>
    <row r="216" spans="1:177" ht="12" customHeight="1" x14ac:dyDescent="0.3">
      <c r="A216" s="4">
        <v>7</v>
      </c>
      <c r="B216" s="24" t="s">
        <v>327</v>
      </c>
      <c r="C216" s="4" t="s">
        <v>328</v>
      </c>
      <c r="D216" s="7">
        <v>556</v>
      </c>
      <c r="E216" s="7">
        <f>381-J216-25</f>
        <v>280</v>
      </c>
      <c r="F216" s="7">
        <v>26.7</v>
      </c>
      <c r="G216" s="7">
        <v>35.799999999999997</v>
      </c>
      <c r="H216" s="7">
        <v>305</v>
      </c>
      <c r="I216" s="7">
        <v>76</v>
      </c>
      <c r="J216" s="7">
        <v>76</v>
      </c>
      <c r="K216" s="7">
        <f t="shared" si="798"/>
        <v>81.400000000000006</v>
      </c>
      <c r="L216" s="7">
        <v>2</v>
      </c>
      <c r="M216" s="7">
        <f>775-(343+152)</f>
        <v>280</v>
      </c>
      <c r="N216" s="7">
        <f t="shared" si="684"/>
        <v>1.6368715083798884</v>
      </c>
      <c r="O216" s="7">
        <f t="shared" si="685"/>
        <v>2.6229050279329611</v>
      </c>
      <c r="P216" s="7">
        <f>5500/(G216^2*PI()/4)-1</f>
        <v>4.4639504822285474</v>
      </c>
      <c r="Q216" s="7">
        <f>5500/(G216^2*PI()/4)-1</f>
        <v>4.4639504822285474</v>
      </c>
      <c r="R216" s="7">
        <f t="shared" si="686"/>
        <v>5.4639504822285474</v>
      </c>
      <c r="S216" s="7">
        <f t="shared" si="687"/>
        <v>83.682838718840046</v>
      </c>
      <c r="T216" s="7">
        <f t="shared" si="826"/>
        <v>556</v>
      </c>
      <c r="U216" s="7">
        <v>25</v>
      </c>
      <c r="V216" s="7"/>
      <c r="W216" s="32" t="s">
        <v>308</v>
      </c>
      <c r="X216" s="4">
        <f t="shared" si="689"/>
        <v>0</v>
      </c>
      <c r="Y216" s="7"/>
      <c r="Z216" s="7"/>
      <c r="AA216" s="7">
        <v>1</v>
      </c>
      <c r="AB216" s="7"/>
      <c r="AC216" s="7"/>
      <c r="AD216" s="7">
        <f t="shared" si="827"/>
        <v>7.1672354948805461</v>
      </c>
      <c r="AE216" s="4">
        <f t="shared" si="691"/>
        <v>280</v>
      </c>
      <c r="AF216" s="4">
        <f t="shared" si="692"/>
        <v>0.36309523809523808</v>
      </c>
      <c r="AG216" s="4">
        <f t="shared" si="693"/>
        <v>120.25599814291758</v>
      </c>
      <c r="AH216" s="4">
        <f t="shared" si="694"/>
        <v>0.76707142857142852</v>
      </c>
      <c r="AI216" s="4">
        <v>1.25</v>
      </c>
      <c r="AJ216" s="4">
        <f>AJ169</f>
        <v>2.5</v>
      </c>
      <c r="AK216" s="38">
        <f t="shared" ref="AK216:AK247" si="848">AF216*AH216*AI216*AJ216*AG216</f>
        <v>104.66780799248551</v>
      </c>
      <c r="AL216" s="38">
        <f t="shared" si="762"/>
        <v>104.66780799248551</v>
      </c>
      <c r="AM216" s="38">
        <f t="shared" si="695"/>
        <v>2.6799627788697054</v>
      </c>
      <c r="AN216" s="38">
        <f t="shared" si="640"/>
        <v>104.66780799248556</v>
      </c>
      <c r="AO216" s="38">
        <f t="shared" si="840"/>
        <v>0.99999999999999944</v>
      </c>
      <c r="AP216" s="38">
        <f t="shared" si="641"/>
        <v>2.1895691011964828</v>
      </c>
      <c r="AQ216" s="4">
        <f t="shared" si="642"/>
        <v>0</v>
      </c>
      <c r="AR216" s="4" t="e">
        <f>#REF!/G216*F216^0.5/0.19</f>
        <v>#REF!</v>
      </c>
      <c r="AS216" s="4">
        <f t="shared" si="696"/>
        <v>1.2409556313993173</v>
      </c>
      <c r="AT216" s="38">
        <f t="shared" si="697"/>
        <v>229.17739827031264</v>
      </c>
      <c r="AU216" s="4">
        <f t="shared" si="698"/>
        <v>0.37504693248800336</v>
      </c>
      <c r="AV216" s="4" t="e">
        <f>AU216*D216*#REF!/(D216*G216/2.75/F216^0.5)</f>
        <v>#REF!</v>
      </c>
      <c r="AW216" s="4" t="e">
        <f t="shared" ref="AW216:AW247" si="849">AT216+AV216</f>
        <v>#REF!</v>
      </c>
      <c r="AY216" s="4">
        <f t="shared" si="700"/>
        <v>1.2807262569832403</v>
      </c>
      <c r="AZ216" s="4" t="e">
        <f>(3*#REF!+30)*AY216*F216^0.5</f>
        <v>#REF!</v>
      </c>
      <c r="BB216" s="4">
        <f t="shared" si="701"/>
        <v>219.80915151076618</v>
      </c>
      <c r="BC216" s="4">
        <f t="shared" si="828"/>
        <v>1562.4220485187734</v>
      </c>
      <c r="BD216" s="4">
        <f t="shared" si="672"/>
        <v>7.1080846169512029</v>
      </c>
      <c r="BL216" s="4">
        <f t="shared" si="704"/>
        <v>40.700000000000003</v>
      </c>
      <c r="BP216" s="9"/>
      <c r="BR216" s="9"/>
      <c r="BS216" s="9"/>
      <c r="BT216" s="9">
        <f t="shared" si="705"/>
        <v>40.700000000000003</v>
      </c>
      <c r="BU216" s="9">
        <f t="shared" si="706"/>
        <v>76</v>
      </c>
      <c r="BV216" s="9">
        <f t="shared" si="707"/>
        <v>1.1709505872794554</v>
      </c>
      <c r="BW216" s="9">
        <v>0</v>
      </c>
      <c r="BX216" s="9">
        <f t="shared" si="708"/>
        <v>0</v>
      </c>
      <c r="BY216" s="9">
        <f t="shared" ref="BY216:BY247" si="850">MAX(0,BW216*(BX216-0.5/50))</f>
        <v>0</v>
      </c>
      <c r="BZ216" s="9">
        <f t="shared" si="710"/>
        <v>0.89787751228078194</v>
      </c>
      <c r="CA216" s="9">
        <f t="shared" si="711"/>
        <v>0.91600000000000004</v>
      </c>
      <c r="CB216" s="9">
        <f t="shared" si="712"/>
        <v>1.4874289957293467</v>
      </c>
      <c r="CC216" s="9">
        <f t="shared" si="713"/>
        <v>1.7417058560857692</v>
      </c>
      <c r="CD216" s="9">
        <v>1</v>
      </c>
      <c r="CE216" s="9" t="e">
        <f>4*CC216*#REF!+60*CC216</f>
        <v>#REF!</v>
      </c>
      <c r="DB216" s="4">
        <f t="shared" si="677"/>
        <v>0</v>
      </c>
      <c r="DC216" s="4" t="e">
        <f>#REF!</f>
        <v>#REF!</v>
      </c>
      <c r="DF216" s="4">
        <f t="shared" si="723"/>
        <v>1.3635706148731076E-5</v>
      </c>
      <c r="DG216" s="4">
        <f t="shared" si="724"/>
        <v>5.0637691717870918</v>
      </c>
      <c r="DH216" s="4">
        <f t="shared" si="725"/>
        <v>0.28594715504203178</v>
      </c>
      <c r="DI216" s="4">
        <f t="shared" si="726"/>
        <v>3.0689386907352811</v>
      </c>
      <c r="DJ216" s="4">
        <f t="shared" si="727"/>
        <v>4.187580106722991</v>
      </c>
      <c r="DK216" s="4">
        <f t="shared" si="728"/>
        <v>4.931420533735495</v>
      </c>
      <c r="DL216" s="38">
        <f t="shared" si="729"/>
        <v>231.03430749807197</v>
      </c>
      <c r="DM216" s="4" t="e">
        <f t="shared" si="730"/>
        <v>#REF!</v>
      </c>
      <c r="DN216" s="4">
        <f t="shared" si="731"/>
        <v>2.3375094614201131</v>
      </c>
      <c r="DO216" s="4">
        <f t="shared" si="776"/>
        <v>104.66780799248556</v>
      </c>
      <c r="DS216" s="4">
        <f t="shared" si="733"/>
        <v>0.85</v>
      </c>
      <c r="DT216" s="4">
        <f t="shared" si="734"/>
        <v>0.98631284916201112</v>
      </c>
      <c r="DU216" s="4">
        <f t="shared" si="735"/>
        <v>1</v>
      </c>
      <c r="DV216" s="4">
        <f t="shared" si="736"/>
        <v>0.98631284916201112</v>
      </c>
      <c r="DX216" s="4">
        <f t="shared" si="737"/>
        <v>222.0256895508856</v>
      </c>
      <c r="DY216" s="25">
        <f t="shared" ref="DY216:DY279" si="851">13.3*H216*E216^0.5*F216^0.5/L216/G216^2*(0.7+I216/5/E216)</f>
        <v>103.2109939000153</v>
      </c>
      <c r="EA216" s="4">
        <f t="shared" ref="EA216:EA279" si="852">DS216*DV216</f>
        <v>0.83836592178770941</v>
      </c>
      <c r="EB216" s="4">
        <f t="shared" si="739"/>
        <v>5.0637691717870918</v>
      </c>
      <c r="EE216" s="4">
        <f t="shared" si="740"/>
        <v>83.682838718840046</v>
      </c>
      <c r="EF216" s="4">
        <f t="shared" si="741"/>
        <v>2.3375094614201131</v>
      </c>
      <c r="EG216" s="4">
        <f t="shared" si="742"/>
        <v>8.0793547209318639E-2</v>
      </c>
      <c r="EJ216" s="4">
        <f t="shared" ref="EJ216:EJ247" si="853">EG216</f>
        <v>8.0793547209318639E-2</v>
      </c>
      <c r="EK216" s="4">
        <f t="shared" si="744"/>
        <v>0.28546996253357176</v>
      </c>
      <c r="EL216" s="4">
        <f t="shared" si="679"/>
        <v>3.0668890695236737</v>
      </c>
      <c r="EM216" s="4">
        <f t="shared" ref="EM216:EM247" si="854">EB216/1.4*(1-EK216^1.4)/(1-EK216)</f>
        <v>4.1868323477407055</v>
      </c>
      <c r="EN216" s="4" t="e">
        <f t="shared" si="673"/>
        <v>#REF!</v>
      </c>
      <c r="EO216" s="4" t="e">
        <f t="shared" si="674"/>
        <v>#REF!</v>
      </c>
      <c r="EP216" s="4" t="e">
        <f t="shared" si="749"/>
        <v>#REF!</v>
      </c>
      <c r="EQ216" s="4" t="e">
        <f t="shared" ref="EQ216:EQ247" si="855">MAX(0.5*EB216, (1-2*EP216*(EE216*EL216+EN216*EM216))/(1/EB216+EP216*EO216))</f>
        <v>#REF!</v>
      </c>
      <c r="ER216" s="4" t="e">
        <f t="shared" si="751"/>
        <v>#REF!</v>
      </c>
      <c r="FA216" s="23"/>
      <c r="FB216" s="23"/>
      <c r="FC216" s="23"/>
      <c r="FD216" s="23"/>
      <c r="FE216" s="23"/>
      <c r="FF216" s="23"/>
      <c r="FG216" s="23"/>
      <c r="FH216" s="23"/>
      <c r="FR216" s="4">
        <f t="shared" si="842"/>
        <v>1</v>
      </c>
      <c r="FS216" s="4">
        <f t="shared" si="843"/>
        <v>0.8938547486033519</v>
      </c>
      <c r="FT216" s="4">
        <f t="shared" si="844"/>
        <v>0</v>
      </c>
      <c r="FU216" s="4">
        <f t="shared" si="845"/>
        <v>167.06057427224937</v>
      </c>
    </row>
    <row r="217" spans="1:177" ht="12" customHeight="1" x14ac:dyDescent="0.3">
      <c r="B217" s="4">
        <v>1996</v>
      </c>
      <c r="C217" s="4" t="s">
        <v>329</v>
      </c>
      <c r="D217" s="7">
        <v>556</v>
      </c>
      <c r="E217" s="7">
        <f>381-J217-25</f>
        <v>280</v>
      </c>
      <c r="F217" s="7">
        <v>29.4</v>
      </c>
      <c r="G217" s="7">
        <v>35.799999999999997</v>
      </c>
      <c r="H217" s="7">
        <v>305</v>
      </c>
      <c r="I217" s="7">
        <v>76</v>
      </c>
      <c r="J217" s="7">
        <v>76</v>
      </c>
      <c r="K217" s="7">
        <f t="shared" si="798"/>
        <v>81.400000000000006</v>
      </c>
      <c r="L217" s="7">
        <v>2</v>
      </c>
      <c r="M217" s="7">
        <f t="shared" ref="M217:M247" si="856">775-(343+152)</f>
        <v>280</v>
      </c>
      <c r="N217" s="7">
        <f t="shared" si="684"/>
        <v>1.6368715083798884</v>
      </c>
      <c r="O217" s="7">
        <f t="shared" si="685"/>
        <v>2.6229050279329611</v>
      </c>
      <c r="P217" s="7">
        <f>5500/(G217^2*PI()/4)-1</f>
        <v>4.4639504822285474</v>
      </c>
      <c r="Q217" s="7">
        <f>5500/(G217^2*PI()/4)-1</f>
        <v>4.4639504822285474</v>
      </c>
      <c r="R217" s="7">
        <f t="shared" si="686"/>
        <v>5.4639504822285474</v>
      </c>
      <c r="S217" s="7">
        <f t="shared" si="687"/>
        <v>83.682838718840046</v>
      </c>
      <c r="T217" s="7">
        <f t="shared" si="826"/>
        <v>556</v>
      </c>
      <c r="U217" s="7">
        <v>25</v>
      </c>
      <c r="V217" s="7"/>
      <c r="W217" s="32" t="s">
        <v>308</v>
      </c>
      <c r="X217" s="4">
        <f t="shared" si="689"/>
        <v>0</v>
      </c>
      <c r="Y217" s="7"/>
      <c r="Z217" s="7"/>
      <c r="AA217" s="7">
        <v>1</v>
      </c>
      <c r="AB217" s="7"/>
      <c r="AC217" s="7"/>
      <c r="AD217" s="7">
        <f t="shared" si="827"/>
        <v>7.1672354948805461</v>
      </c>
      <c r="AE217" s="4">
        <f t="shared" si="691"/>
        <v>280</v>
      </c>
      <c r="AF217" s="4">
        <f t="shared" si="692"/>
        <v>0.36309523809523808</v>
      </c>
      <c r="AG217" s="4">
        <f t="shared" si="693"/>
        <v>126.18995395992187</v>
      </c>
      <c r="AH217" s="4">
        <f t="shared" si="694"/>
        <v>0.76707142857142852</v>
      </c>
      <c r="AI217" s="4">
        <v>1.25</v>
      </c>
      <c r="AJ217" s="4">
        <f>AJ216</f>
        <v>2.5</v>
      </c>
      <c r="AK217" s="38">
        <f t="shared" si="848"/>
        <v>109.83257447134307</v>
      </c>
      <c r="AL217" s="38">
        <f t="shared" si="762"/>
        <v>109.83257447134307</v>
      </c>
      <c r="AM217" s="38">
        <f t="shared" si="695"/>
        <v>2.8577186887004142</v>
      </c>
      <c r="AN217" s="38">
        <f t="shared" si="640"/>
        <v>109.83257447134312</v>
      </c>
      <c r="AO217" s="38">
        <f t="shared" si="840"/>
        <v>0.99999999999999944</v>
      </c>
      <c r="AP217" s="38">
        <f t="shared" si="641"/>
        <v>2.2976119972301303</v>
      </c>
      <c r="AQ217" s="4">
        <f t="shared" si="642"/>
        <v>0</v>
      </c>
      <c r="AR217" s="4" t="e">
        <f>#REF!/G217*F217^0.5/0.19</f>
        <v>#REF!</v>
      </c>
      <c r="AS217" s="4">
        <f t="shared" si="696"/>
        <v>1.2409556313993173</v>
      </c>
      <c r="AT217" s="38">
        <f t="shared" si="697"/>
        <v>252.35264079202972</v>
      </c>
      <c r="AU217" s="4">
        <f t="shared" si="698"/>
        <v>0.37504693248800336</v>
      </c>
      <c r="AV217" s="4" t="e">
        <f>AU217*D217*#REF!/(D217*G217/2.75/F217^0.5)</f>
        <v>#REF!</v>
      </c>
      <c r="AW217" s="4" t="e">
        <f t="shared" si="849"/>
        <v>#REF!</v>
      </c>
      <c r="AY217" s="4">
        <f t="shared" si="700"/>
        <v>1.2807262569832403</v>
      </c>
      <c r="AZ217" s="4" t="e">
        <f>(3*#REF!+30)*AY217*F217^0.5</f>
        <v>#REF!</v>
      </c>
      <c r="BB217" s="4">
        <f t="shared" si="701"/>
        <v>242.03704323657402</v>
      </c>
      <c r="BC217" s="4">
        <f t="shared" si="828"/>
        <v>1562.4220485187734</v>
      </c>
      <c r="BD217" s="4">
        <f t="shared" si="672"/>
        <v>6.4553013358026226</v>
      </c>
      <c r="BL217" s="4">
        <f t="shared" si="704"/>
        <v>40.700000000000003</v>
      </c>
      <c r="BP217" s="9"/>
      <c r="BR217" s="9"/>
      <c r="BS217" s="9"/>
      <c r="BT217" s="9">
        <f t="shared" si="705"/>
        <v>40.700000000000003</v>
      </c>
      <c r="BU217" s="9">
        <f t="shared" si="706"/>
        <v>76</v>
      </c>
      <c r="BV217" s="9">
        <f t="shared" si="707"/>
        <v>1.1709505872794554</v>
      </c>
      <c r="BW217" s="9">
        <v>0</v>
      </c>
      <c r="BX217" s="9">
        <f t="shared" si="708"/>
        <v>0</v>
      </c>
      <c r="BY217" s="9">
        <f t="shared" si="850"/>
        <v>0</v>
      </c>
      <c r="BZ217" s="9">
        <f t="shared" si="710"/>
        <v>0.89787751228078194</v>
      </c>
      <c r="CA217" s="9">
        <f t="shared" si="711"/>
        <v>0.91600000000000004</v>
      </c>
      <c r="CB217" s="9">
        <f t="shared" si="712"/>
        <v>1.560825234402609</v>
      </c>
      <c r="CC217" s="9">
        <f t="shared" si="713"/>
        <v>1.8276492248643288</v>
      </c>
      <c r="CD217" s="9">
        <v>1</v>
      </c>
      <c r="CE217" s="9" t="e">
        <f>4*CC217*#REF!+60*CC217</f>
        <v>#REF!</v>
      </c>
      <c r="DB217" s="4">
        <f t="shared" si="677"/>
        <v>0</v>
      </c>
      <c r="DC217" s="4" t="e">
        <f>#REF!</f>
        <v>#REF!</v>
      </c>
      <c r="DF217" s="4">
        <f t="shared" si="723"/>
        <v>1.3906579803299705E-5</v>
      </c>
      <c r="DG217" s="4">
        <f t="shared" si="724"/>
        <v>5.3136376440206563</v>
      </c>
      <c r="DH217" s="4">
        <f t="shared" si="725"/>
        <v>0.27250077733310263</v>
      </c>
      <c r="DI217" s="4">
        <f t="shared" si="726"/>
        <v>3.1589229508698327</v>
      </c>
      <c r="DJ217" s="4">
        <f t="shared" si="727"/>
        <v>4.3719523242236811</v>
      </c>
      <c r="DK217" s="4">
        <f t="shared" si="728"/>
        <v>5.1662301389039698</v>
      </c>
      <c r="DL217" s="38">
        <f t="shared" si="729"/>
        <v>241.47909473935039</v>
      </c>
      <c r="DM217" s="4" t="e">
        <f t="shared" si="730"/>
        <v>#REF!</v>
      </c>
      <c r="DN217" s="4">
        <f t="shared" si="731"/>
        <v>2.3375094614201131</v>
      </c>
      <c r="DO217" s="4">
        <f t="shared" si="776"/>
        <v>109.83257447134312</v>
      </c>
      <c r="DS217" s="4">
        <f t="shared" si="733"/>
        <v>0.85</v>
      </c>
      <c r="DT217" s="4">
        <f t="shared" si="734"/>
        <v>0.98631284916201112</v>
      </c>
      <c r="DU217" s="4">
        <f t="shared" si="735"/>
        <v>1</v>
      </c>
      <c r="DV217" s="4">
        <f t="shared" si="736"/>
        <v>0.98631284916201112</v>
      </c>
      <c r="DX217" s="4">
        <f t="shared" si="737"/>
        <v>232.98140612536457</v>
      </c>
      <c r="DY217" s="25">
        <f t="shared" si="851"/>
        <v>108.30387481314804</v>
      </c>
      <c r="EA217" s="4">
        <f t="shared" si="852"/>
        <v>0.83836592178770941</v>
      </c>
      <c r="EB217" s="4">
        <f t="shared" si="739"/>
        <v>5.3136376440206563</v>
      </c>
      <c r="EE217" s="4">
        <f t="shared" si="740"/>
        <v>83.682838718840046</v>
      </c>
      <c r="EF217" s="4">
        <f t="shared" si="741"/>
        <v>2.3375094614201131</v>
      </c>
      <c r="EG217" s="4">
        <f t="shared" si="742"/>
        <v>8.0793547209318639E-2</v>
      </c>
      <c r="EJ217" s="4">
        <f t="shared" si="853"/>
        <v>8.0793547209318639E-2</v>
      </c>
      <c r="EK217" s="4">
        <f t="shared" si="744"/>
        <v>0.27204602432297464</v>
      </c>
      <c r="EL217" s="4">
        <f t="shared" si="679"/>
        <v>3.1568132327755998</v>
      </c>
      <c r="EM217" s="4">
        <f t="shared" si="854"/>
        <v>4.3711938856443737</v>
      </c>
      <c r="EN217" s="4" t="e">
        <f t="shared" si="673"/>
        <v>#REF!</v>
      </c>
      <c r="EO217" s="4" t="e">
        <f t="shared" si="674"/>
        <v>#REF!</v>
      </c>
      <c r="EP217" s="4" t="e">
        <f t="shared" si="749"/>
        <v>#REF!</v>
      </c>
      <c r="EQ217" s="4" t="e">
        <f t="shared" si="855"/>
        <v>#REF!</v>
      </c>
      <c r="ER217" s="4" t="e">
        <f t="shared" si="751"/>
        <v>#REF!</v>
      </c>
      <c r="FA217" s="23"/>
      <c r="FB217" s="23"/>
      <c r="FC217" s="23"/>
      <c r="FD217" s="23"/>
      <c r="FE217" s="23"/>
      <c r="FF217" s="23"/>
      <c r="FG217" s="23"/>
      <c r="FH217" s="23"/>
      <c r="FR217" s="4">
        <f t="shared" si="842"/>
        <v>1</v>
      </c>
      <c r="FS217" s="4">
        <f t="shared" si="843"/>
        <v>0.8938547486033519</v>
      </c>
      <c r="FT217" s="4">
        <f t="shared" si="844"/>
        <v>0</v>
      </c>
      <c r="FU217" s="4">
        <f t="shared" si="845"/>
        <v>171.13269403318475</v>
      </c>
    </row>
    <row r="218" spans="1:177" ht="12" customHeight="1" x14ac:dyDescent="0.3">
      <c r="B218" s="24" t="s">
        <v>309</v>
      </c>
      <c r="C218" s="4" t="s">
        <v>330</v>
      </c>
      <c r="D218" s="7">
        <v>556</v>
      </c>
      <c r="E218" s="7">
        <f>381-J218-20</f>
        <v>285</v>
      </c>
      <c r="F218" s="7">
        <v>29.4</v>
      </c>
      <c r="G218" s="7">
        <v>35.799999999999997</v>
      </c>
      <c r="H218" s="7">
        <v>305</v>
      </c>
      <c r="I218" s="7">
        <v>76</v>
      </c>
      <c r="J218" s="7">
        <v>76</v>
      </c>
      <c r="K218" s="7">
        <f t="shared" si="798"/>
        <v>81.400000000000006</v>
      </c>
      <c r="L218" s="7">
        <v>2</v>
      </c>
      <c r="M218" s="7">
        <f t="shared" si="856"/>
        <v>280</v>
      </c>
      <c r="N218" s="7">
        <f t="shared" si="684"/>
        <v>1.6368715083798884</v>
      </c>
      <c r="O218" s="7">
        <f t="shared" si="685"/>
        <v>2.6229050279329611</v>
      </c>
      <c r="P218" s="7">
        <f>8100/(G218^2*PI()/4)-1</f>
        <v>7.0469088920093164</v>
      </c>
      <c r="Q218" s="7">
        <f>8100/(G218^2*PI()/4)-1</f>
        <v>7.0469088920093164</v>
      </c>
      <c r="R218" s="7">
        <f t="shared" si="686"/>
        <v>8.0469088920093164</v>
      </c>
      <c r="S218" s="7">
        <f t="shared" si="687"/>
        <v>101.55412503859614</v>
      </c>
      <c r="T218" s="7">
        <f t="shared" si="826"/>
        <v>556</v>
      </c>
      <c r="U218" s="7">
        <v>20</v>
      </c>
      <c r="V218" s="7"/>
      <c r="W218" s="32" t="s">
        <v>308</v>
      </c>
      <c r="X218" s="4">
        <f t="shared" si="689"/>
        <v>0</v>
      </c>
      <c r="Y218" s="7"/>
      <c r="Z218" s="7"/>
      <c r="AA218" s="7">
        <v>1</v>
      </c>
      <c r="AB218" s="7"/>
      <c r="AC218" s="7"/>
      <c r="AD218" s="7">
        <f t="shared" si="827"/>
        <v>7.2952218430034126</v>
      </c>
      <c r="AE218" s="4">
        <f t="shared" si="691"/>
        <v>285</v>
      </c>
      <c r="AF218" s="4">
        <f t="shared" si="692"/>
        <v>0.35672514619883039</v>
      </c>
      <c r="AG218" s="4">
        <f t="shared" si="693"/>
        <v>129.58508707954471</v>
      </c>
      <c r="AH218" s="4">
        <f t="shared" si="694"/>
        <v>0.76589473684210518</v>
      </c>
      <c r="AI218" s="4">
        <v>1.25</v>
      </c>
      <c r="AJ218" s="4">
        <f t="shared" ref="AJ218:AJ281" si="857">AJ217</f>
        <v>2.5</v>
      </c>
      <c r="AK218" s="38">
        <f t="shared" si="848"/>
        <v>110.63890179485381</v>
      </c>
      <c r="AL218" s="38">
        <f t="shared" si="762"/>
        <v>110.63890179485381</v>
      </c>
      <c r="AM218" s="38">
        <f t="shared" si="695"/>
        <v>2.8577186887004142</v>
      </c>
      <c r="AN218" s="38">
        <f t="shared" si="640"/>
        <v>110.63890179485385</v>
      </c>
      <c r="AO218" s="38">
        <f t="shared" si="840"/>
        <v>0.99999999999999967</v>
      </c>
      <c r="AP218" s="38">
        <f t="shared" si="641"/>
        <v>2.8657588460091983</v>
      </c>
      <c r="AQ218" s="4">
        <f t="shared" si="642"/>
        <v>0</v>
      </c>
      <c r="AR218" s="4" t="e">
        <f>#REF!/G218*F218^0.5/0.19</f>
        <v>#REF!</v>
      </c>
      <c r="AS218" s="4">
        <f t="shared" si="696"/>
        <v>1.2409556313993173</v>
      </c>
      <c r="AT218" s="38">
        <f t="shared" si="697"/>
        <v>317.0644115313454</v>
      </c>
      <c r="AU218" s="4">
        <f t="shared" si="698"/>
        <v>0.3</v>
      </c>
      <c r="AV218" s="4" t="e">
        <f>AU218*D218*#REF!/(D218*G218/2.75/F218^0.5)</f>
        <v>#REF!</v>
      </c>
      <c r="AW218" s="4" t="e">
        <f t="shared" si="849"/>
        <v>#REF!</v>
      </c>
      <c r="AY218" s="4">
        <f t="shared" si="700"/>
        <v>1.2807262569832403</v>
      </c>
      <c r="AZ218" s="4" t="e">
        <f>(3*#REF!+30)*AY218*F218^0.5</f>
        <v>#REF!</v>
      </c>
      <c r="BB218" s="4">
        <f t="shared" si="701"/>
        <v>304.10354510946308</v>
      </c>
      <c r="BC218" s="4">
        <f t="shared" si="828"/>
        <v>490.43773856597932</v>
      </c>
      <c r="BD218" s="4">
        <f t="shared" si="672"/>
        <v>1.6127327236170319</v>
      </c>
      <c r="BL218" s="4">
        <f t="shared" si="704"/>
        <v>40.700000000000003</v>
      </c>
      <c r="BP218" s="9"/>
      <c r="BR218" s="9"/>
      <c r="BS218" s="9"/>
      <c r="BT218" s="9">
        <f t="shared" si="705"/>
        <v>40.700000000000003</v>
      </c>
      <c r="BU218" s="9">
        <f t="shared" si="706"/>
        <v>76</v>
      </c>
      <c r="BV218" s="9">
        <f t="shared" si="707"/>
        <v>1.1709505872794554</v>
      </c>
      <c r="BW218" s="9">
        <v>0</v>
      </c>
      <c r="BX218" s="9">
        <f t="shared" si="708"/>
        <v>0</v>
      </c>
      <c r="BY218" s="9">
        <f t="shared" si="850"/>
        <v>0</v>
      </c>
      <c r="BZ218" s="9">
        <f t="shared" si="710"/>
        <v>0.89787751228078194</v>
      </c>
      <c r="CA218" s="9">
        <f t="shared" si="711"/>
        <v>0.91600000000000004</v>
      </c>
      <c r="CB218" s="9">
        <f t="shared" si="712"/>
        <v>1.560825234402609</v>
      </c>
      <c r="CC218" s="9">
        <f t="shared" si="713"/>
        <v>1.8276492248643288</v>
      </c>
      <c r="CD218" s="9">
        <v>1</v>
      </c>
      <c r="CE218" s="9" t="e">
        <f>4*CC218*#REF!+60*CC218</f>
        <v>#REF!</v>
      </c>
      <c r="DB218" s="4">
        <f t="shared" si="677"/>
        <v>0</v>
      </c>
      <c r="DC218" s="4" t="e">
        <f>#REF!</f>
        <v>#REF!</v>
      </c>
      <c r="DF218" s="4">
        <f t="shared" si="723"/>
        <v>1.4154911585501488E-5</v>
      </c>
      <c r="DG218" s="4">
        <f t="shared" si="724"/>
        <v>5.3136376440206563</v>
      </c>
      <c r="DH218" s="4">
        <f t="shared" si="725"/>
        <v>0.21102130995889065</v>
      </c>
      <c r="DI218" s="4">
        <f t="shared" si="726"/>
        <v>2.8518223011626525</v>
      </c>
      <c r="DJ218" s="4">
        <f t="shared" si="727"/>
        <v>4.2657700805707144</v>
      </c>
      <c r="DK218" s="4">
        <f t="shared" si="728"/>
        <v>5.1703683026065779</v>
      </c>
      <c r="DL218" s="38">
        <f t="shared" si="729"/>
        <v>237.63385896744128</v>
      </c>
      <c r="DM218" s="4" t="e">
        <f t="shared" si="730"/>
        <v>#REF!</v>
      </c>
      <c r="DN218" s="4">
        <f t="shared" si="731"/>
        <v>2.8367074033127415</v>
      </c>
      <c r="DO218" s="4">
        <f t="shared" si="776"/>
        <v>110.63890179485385</v>
      </c>
      <c r="DS218" s="4">
        <f t="shared" si="733"/>
        <v>0.85</v>
      </c>
      <c r="DT218" s="4">
        <f t="shared" si="734"/>
        <v>0.98631284916201112</v>
      </c>
      <c r="DU218" s="4">
        <f t="shared" si="735"/>
        <v>1</v>
      </c>
      <c r="DV218" s="4">
        <f t="shared" si="736"/>
        <v>0.98631284916201112</v>
      </c>
      <c r="DX218" s="4">
        <f t="shared" si="737"/>
        <v>236.03254778315886</v>
      </c>
      <c r="DY218" s="25">
        <f t="shared" si="851"/>
        <v>109.12863198322417</v>
      </c>
      <c r="EA218" s="4">
        <f t="shared" si="852"/>
        <v>0.83836592178770941</v>
      </c>
      <c r="EB218" s="4">
        <f t="shared" si="739"/>
        <v>5.3136376440206563</v>
      </c>
      <c r="EE218" s="4">
        <f t="shared" si="740"/>
        <v>101.55412503859614</v>
      </c>
      <c r="EF218" s="4">
        <f t="shared" si="741"/>
        <v>2.8367074033127415</v>
      </c>
      <c r="EG218" s="4">
        <f t="shared" si="742"/>
        <v>6.2565546914000694E-2</v>
      </c>
      <c r="EJ218" s="4">
        <f t="shared" si="853"/>
        <v>6.2565546914000694E-2</v>
      </c>
      <c r="EK218" s="4">
        <f t="shared" si="744"/>
        <v>0.21066915472159506</v>
      </c>
      <c r="EL218" s="4">
        <f t="shared" si="679"/>
        <v>2.8499176832900814</v>
      </c>
      <c r="EM218" s="4">
        <f t="shared" si="854"/>
        <v>4.2651388314267988</v>
      </c>
      <c r="EN218" s="4" t="e">
        <f t="shared" si="673"/>
        <v>#REF!</v>
      </c>
      <c r="EO218" s="4" t="e">
        <f t="shared" si="674"/>
        <v>#REF!</v>
      </c>
      <c r="EP218" s="4" t="e">
        <f t="shared" si="749"/>
        <v>#REF!</v>
      </c>
      <c r="EQ218" s="4" t="e">
        <f t="shared" si="855"/>
        <v>#REF!</v>
      </c>
      <c r="ER218" s="4" t="e">
        <f t="shared" si="751"/>
        <v>#REF!</v>
      </c>
      <c r="FA218" s="23"/>
      <c r="FB218" s="23"/>
      <c r="FC218" s="23"/>
      <c r="FD218" s="23"/>
      <c r="FE218" s="23"/>
      <c r="FF218" s="23"/>
      <c r="FG218" s="23"/>
      <c r="FH218" s="23"/>
      <c r="FR218" s="4">
        <f t="shared" si="842"/>
        <v>1</v>
      </c>
      <c r="FS218" s="4">
        <f t="shared" si="843"/>
        <v>0.8938547486033519</v>
      </c>
      <c r="FT218" s="4">
        <f t="shared" si="844"/>
        <v>0</v>
      </c>
      <c r="FU218" s="4">
        <f t="shared" si="845"/>
        <v>174.18863499806304</v>
      </c>
    </row>
    <row r="219" spans="1:177" ht="12" customHeight="1" x14ac:dyDescent="0.3">
      <c r="B219" s="24"/>
      <c r="C219" s="4" t="s">
        <v>331</v>
      </c>
      <c r="D219" s="7">
        <v>578</v>
      </c>
      <c r="E219" s="7">
        <f>305-J219-18</f>
        <v>211</v>
      </c>
      <c r="F219" s="7">
        <v>26.7</v>
      </c>
      <c r="G219" s="7">
        <v>25.4</v>
      </c>
      <c r="H219" s="7">
        <v>305</v>
      </c>
      <c r="I219" s="7">
        <v>76</v>
      </c>
      <c r="J219" s="7">
        <v>76</v>
      </c>
      <c r="K219" s="7">
        <f t="shared" si="798"/>
        <v>102.19999999999999</v>
      </c>
      <c r="L219" s="7">
        <v>2</v>
      </c>
      <c r="M219" s="7">
        <f t="shared" si="856"/>
        <v>280</v>
      </c>
      <c r="N219" s="7">
        <f t="shared" si="684"/>
        <v>2.5118110236220472</v>
      </c>
      <c r="O219" s="7">
        <f t="shared" si="685"/>
        <v>3.4921259842519685</v>
      </c>
      <c r="P219" s="7">
        <f>3200/(G219^2*PI()/4)-1</f>
        <v>5.3152807724479523</v>
      </c>
      <c r="Q219" s="7">
        <f>3200/(G219^2*PI()/4)-1</f>
        <v>5.3152807724479523</v>
      </c>
      <c r="R219" s="7">
        <f t="shared" si="686"/>
        <v>6.3152807724479523</v>
      </c>
      <c r="S219" s="7">
        <f t="shared" si="687"/>
        <v>63.830764864229231</v>
      </c>
      <c r="T219" s="7">
        <f t="shared" si="826"/>
        <v>578</v>
      </c>
      <c r="U219" s="7">
        <v>18</v>
      </c>
      <c r="V219" s="7"/>
      <c r="W219" s="32" t="s">
        <v>308</v>
      </c>
      <c r="X219" s="4">
        <f t="shared" si="689"/>
        <v>0</v>
      </c>
      <c r="Y219" s="7"/>
      <c r="Z219" s="7"/>
      <c r="AA219" s="7">
        <v>1</v>
      </c>
      <c r="AB219" s="7"/>
      <c r="AC219" s="7"/>
      <c r="AD219" s="7">
        <f t="shared" si="827"/>
        <v>4.9608150470219439</v>
      </c>
      <c r="AE219" s="4">
        <f t="shared" si="691"/>
        <v>211</v>
      </c>
      <c r="AF219" s="4">
        <f t="shared" si="692"/>
        <v>0.48183254344391785</v>
      </c>
      <c r="AG219" s="4">
        <f t="shared" si="693"/>
        <v>156.27589807670793</v>
      </c>
      <c r="AH219" s="4">
        <f t="shared" si="694"/>
        <v>0.7840758293838862</v>
      </c>
      <c r="AI219" s="4">
        <v>1.25</v>
      </c>
      <c r="AJ219" s="4">
        <f t="shared" si="857"/>
        <v>2.5</v>
      </c>
      <c r="AK219" s="38">
        <f t="shared" si="848"/>
        <v>184.49993627146509</v>
      </c>
      <c r="AL219" s="38">
        <f t="shared" si="762"/>
        <v>184.49993627146509</v>
      </c>
      <c r="AM219" s="38">
        <f t="shared" si="695"/>
        <v>2.6799627788697054</v>
      </c>
      <c r="AN219" s="38">
        <f t="shared" si="640"/>
        <v>184.49993627146509</v>
      </c>
      <c r="AO219" s="38">
        <f t="shared" si="840"/>
        <v>1</v>
      </c>
      <c r="AP219" s="38">
        <f t="shared" si="641"/>
        <v>1.937739236514296</v>
      </c>
      <c r="AQ219" s="4">
        <f t="shared" si="642"/>
        <v>0</v>
      </c>
      <c r="AR219" s="4" t="e">
        <f>#REF!/G219*F219^0.5/0.19</f>
        <v>#REF!</v>
      </c>
      <c r="AS219" s="4">
        <f t="shared" si="696"/>
        <v>1.1561128526645768</v>
      </c>
      <c r="AT219" s="38">
        <f t="shared" si="697"/>
        <v>357.51276564760502</v>
      </c>
      <c r="AU219" s="4">
        <f t="shared" si="698"/>
        <v>0.3</v>
      </c>
      <c r="AV219" s="4" t="e">
        <f>AU219*D219*#REF!/(D219*G219/2.75/F219^0.5)</f>
        <v>#REF!</v>
      </c>
      <c r="AW219" s="4" t="e">
        <f t="shared" si="849"/>
        <v>#REF!</v>
      </c>
      <c r="AY219" s="4">
        <f t="shared" si="700"/>
        <v>1.4980314960629921</v>
      </c>
      <c r="AZ219" s="4" t="e">
        <f>(3*#REF!+30)*AY219*F219^0.5</f>
        <v>#REF!</v>
      </c>
      <c r="BB219" s="4">
        <f t="shared" si="701"/>
        <v>342.89846321833909</v>
      </c>
      <c r="BC219" s="4">
        <f t="shared" si="828"/>
        <v>2245.2309649218914</v>
      </c>
      <c r="BD219" s="4">
        <f t="shared" si="672"/>
        <v>6.5478011882842724</v>
      </c>
      <c r="BL219" s="4">
        <f t="shared" si="704"/>
        <v>51.099999999999994</v>
      </c>
      <c r="BP219" s="9"/>
      <c r="BR219" s="9"/>
      <c r="BS219" s="9"/>
      <c r="BT219" s="9">
        <f t="shared" si="705"/>
        <v>51.099999999999994</v>
      </c>
      <c r="BU219" s="9">
        <f t="shared" si="706"/>
        <v>76</v>
      </c>
      <c r="BV219" s="9">
        <f t="shared" si="707"/>
        <v>1.5054020239149992</v>
      </c>
      <c r="BW219" s="9">
        <v>0</v>
      </c>
      <c r="BX219" s="9">
        <f t="shared" si="708"/>
        <v>0</v>
      </c>
      <c r="BY219" s="9">
        <f t="shared" si="850"/>
        <v>0</v>
      </c>
      <c r="BZ219" s="9">
        <f t="shared" si="710"/>
        <v>0.99524931562137331</v>
      </c>
      <c r="CA219" s="9">
        <f t="shared" si="711"/>
        <v>0.88300000000000001</v>
      </c>
      <c r="CB219" s="9">
        <f t="shared" si="712"/>
        <v>1.5893379964194141</v>
      </c>
      <c r="CC219" s="9">
        <f t="shared" si="713"/>
        <v>2.3925926364947956</v>
      </c>
      <c r="CD219" s="9">
        <v>1</v>
      </c>
      <c r="CE219" s="9" t="e">
        <f>4*CC219*#REF!+60*CC219</f>
        <v>#REF!</v>
      </c>
      <c r="DB219" s="4">
        <f t="shared" si="677"/>
        <v>0</v>
      </c>
      <c r="DC219" s="4" t="e">
        <f>#REF!</f>
        <v>#REF!</v>
      </c>
      <c r="DF219" s="4">
        <f t="shared" si="723"/>
        <v>1.4482761122930935E-5</v>
      </c>
      <c r="DG219" s="4">
        <f t="shared" si="724"/>
        <v>6.1741032375934068</v>
      </c>
      <c r="DH219" s="4">
        <f t="shared" si="725"/>
        <v>0.32289080206314286</v>
      </c>
      <c r="DI219" s="4">
        <f t="shared" si="726"/>
        <v>3.9282232030926831</v>
      </c>
      <c r="DJ219" s="4">
        <f t="shared" si="727"/>
        <v>5.1750632497803224</v>
      </c>
      <c r="DK219" s="4">
        <f t="shared" si="728"/>
        <v>6.0135131520244283</v>
      </c>
      <c r="DL219" s="38">
        <f t="shared" si="729"/>
        <v>350.89045976809524</v>
      </c>
      <c r="DM219" s="4" t="e">
        <f t="shared" si="730"/>
        <v>#REF!</v>
      </c>
      <c r="DN219" s="4">
        <f t="shared" si="731"/>
        <v>2.5130222387491825</v>
      </c>
      <c r="DO219" s="4">
        <f t="shared" si="776"/>
        <v>184.49993627146509</v>
      </c>
      <c r="DS219" s="4">
        <f t="shared" si="733"/>
        <v>0.85</v>
      </c>
      <c r="DT219" s="4">
        <f t="shared" si="734"/>
        <v>0.89881889763779532</v>
      </c>
      <c r="DU219" s="4">
        <f t="shared" si="735"/>
        <v>1</v>
      </c>
      <c r="DV219" s="4">
        <f t="shared" si="736"/>
        <v>0.89881889763779532</v>
      </c>
      <c r="DX219" s="4">
        <f t="shared" si="737"/>
        <v>336.04175011156474</v>
      </c>
      <c r="DY219" s="25">
        <f t="shared" si="851"/>
        <v>182.17531903295736</v>
      </c>
      <c r="EA219" s="4">
        <f t="shared" si="852"/>
        <v>0.76399606299212597</v>
      </c>
      <c r="EB219" s="4">
        <f t="shared" si="739"/>
        <v>6.1741032375934068</v>
      </c>
      <c r="EE219" s="4">
        <f t="shared" si="740"/>
        <v>63.830764864229231</v>
      </c>
      <c r="EF219" s="4">
        <f t="shared" si="741"/>
        <v>2.5130222387491825</v>
      </c>
      <c r="EG219" s="4">
        <f t="shared" si="742"/>
        <v>9.1231868546160749E-2</v>
      </c>
      <c r="EJ219" s="4">
        <f t="shared" si="853"/>
        <v>9.1231868546160749E-2</v>
      </c>
      <c r="EK219" s="4">
        <f t="shared" si="744"/>
        <v>0.32235195749316436</v>
      </c>
      <c r="EL219" s="4">
        <f t="shared" si="679"/>
        <v>3.9255997001777194</v>
      </c>
      <c r="EM219" s="4">
        <f t="shared" si="854"/>
        <v>5.1740707586068853</v>
      </c>
      <c r="EN219" s="4" t="e">
        <f t="shared" si="673"/>
        <v>#REF!</v>
      </c>
      <c r="EO219" s="4" t="e">
        <f t="shared" si="674"/>
        <v>#REF!</v>
      </c>
      <c r="EP219" s="4" t="e">
        <f t="shared" si="749"/>
        <v>#REF!</v>
      </c>
      <c r="EQ219" s="4" t="e">
        <f t="shared" si="855"/>
        <v>#REF!</v>
      </c>
      <c r="ER219" s="4" t="e">
        <f t="shared" si="751"/>
        <v>#REF!</v>
      </c>
      <c r="FA219" s="23"/>
      <c r="FB219" s="23"/>
      <c r="FC219" s="23"/>
      <c r="FD219" s="23"/>
      <c r="FE219" s="23"/>
      <c r="FF219" s="23"/>
      <c r="FG219" s="23"/>
      <c r="FH219" s="23"/>
      <c r="FR219" s="4">
        <f t="shared" si="842"/>
        <v>1</v>
      </c>
      <c r="FS219" s="4">
        <f t="shared" si="843"/>
        <v>0.74803149606299213</v>
      </c>
      <c r="FT219" s="4">
        <f t="shared" si="844"/>
        <v>0</v>
      </c>
      <c r="FU219" s="4">
        <f t="shared" si="845"/>
        <v>251.72098720127065</v>
      </c>
    </row>
    <row r="220" spans="1:177" ht="12" customHeight="1" x14ac:dyDescent="0.3">
      <c r="B220" s="24"/>
      <c r="C220" s="4" t="s">
        <v>332</v>
      </c>
      <c r="D220" s="7">
        <v>556</v>
      </c>
      <c r="E220" s="7">
        <f>381-J220-25</f>
        <v>280</v>
      </c>
      <c r="F220" s="7">
        <v>22.5</v>
      </c>
      <c r="G220" s="7">
        <v>35.799999999999997</v>
      </c>
      <c r="H220" s="7">
        <v>305</v>
      </c>
      <c r="I220" s="7">
        <v>76</v>
      </c>
      <c r="J220" s="7">
        <v>76</v>
      </c>
      <c r="K220" s="7">
        <f t="shared" si="798"/>
        <v>81.400000000000006</v>
      </c>
      <c r="L220" s="7">
        <v>2</v>
      </c>
      <c r="M220" s="7">
        <f t="shared" si="856"/>
        <v>280</v>
      </c>
      <c r="N220" s="7">
        <f t="shared" si="684"/>
        <v>1.6368715083798884</v>
      </c>
      <c r="O220" s="7">
        <f t="shared" si="685"/>
        <v>2.6229050279329611</v>
      </c>
      <c r="P220" s="7">
        <f>5500/(G220^2*PI()/4)-1</f>
        <v>4.4639504822285474</v>
      </c>
      <c r="Q220" s="7">
        <f>5500/(G220^2*PI()/4)-1</f>
        <v>4.4639504822285474</v>
      </c>
      <c r="R220" s="7">
        <f t="shared" si="686"/>
        <v>5.4639504822285474</v>
      </c>
      <c r="S220" s="7">
        <f t="shared" si="687"/>
        <v>83.682838718840046</v>
      </c>
      <c r="T220" s="7">
        <f t="shared" si="826"/>
        <v>556</v>
      </c>
      <c r="U220" s="7">
        <v>25</v>
      </c>
      <c r="V220" s="7"/>
      <c r="W220" s="32" t="s">
        <v>308</v>
      </c>
      <c r="X220" s="4">
        <f t="shared" si="689"/>
        <v>0</v>
      </c>
      <c r="Y220" s="7"/>
      <c r="Z220" s="7"/>
      <c r="AA220" s="7">
        <v>1</v>
      </c>
      <c r="AB220" s="7"/>
      <c r="AC220" s="7"/>
      <c r="AD220" s="7">
        <f t="shared" si="827"/>
        <v>7.1672354948805461</v>
      </c>
      <c r="AE220" s="4">
        <f t="shared" si="691"/>
        <v>280</v>
      </c>
      <c r="AF220" s="4">
        <f t="shared" si="692"/>
        <v>0.36309523809523808</v>
      </c>
      <c r="AG220" s="4">
        <f t="shared" si="693"/>
        <v>110.3932135239679</v>
      </c>
      <c r="AH220" s="4">
        <f t="shared" si="694"/>
        <v>0.76707142857142852</v>
      </c>
      <c r="AI220" s="4">
        <v>1.25</v>
      </c>
      <c r="AJ220" s="4">
        <f t="shared" si="857"/>
        <v>2.5</v>
      </c>
      <c r="AK220" s="38">
        <f t="shared" si="848"/>
        <v>96.083487353937286</v>
      </c>
      <c r="AL220" s="38">
        <f t="shared" si="762"/>
        <v>96.083487353937286</v>
      </c>
      <c r="AM220" s="38">
        <f t="shared" si="695"/>
        <v>2.3909817806608746</v>
      </c>
      <c r="AN220" s="38">
        <f t="shared" ref="AN220:AN283" si="858">AJ220* (F220^0.5/AE220^0.5)/(PI()/4*G220^2)/L220/0.72 *(0.7+(MIN(I220,M220)+0.5*G220)/5/E220) *(3*H220*E220)</f>
        <v>96.083487353937329</v>
      </c>
      <c r="AO220" s="38">
        <f t="shared" si="840"/>
        <v>0.99999999999999956</v>
      </c>
      <c r="AP220" s="38">
        <f t="shared" ref="AP220:AP283" si="859">AT220/AN220</f>
        <v>2.0099917928967055</v>
      </c>
      <c r="AQ220" s="4">
        <f t="shared" ref="AQ220:AQ283" si="860">IF(AP220&lt;1,1,0)</f>
        <v>0</v>
      </c>
      <c r="AR220" s="4" t="e">
        <f>#REF!/G220*F220^0.5/0.19</f>
        <v>#REF!</v>
      </c>
      <c r="AS220" s="4">
        <f t="shared" si="696"/>
        <v>1.2409556313993173</v>
      </c>
      <c r="AT220" s="38">
        <f t="shared" si="697"/>
        <v>193.12702101430844</v>
      </c>
      <c r="AU220" s="4">
        <f t="shared" si="698"/>
        <v>0.37504693248800336</v>
      </c>
      <c r="AV220" s="4" t="e">
        <f>AU220*D220*#REF!/(D220*G220/2.75/F220^0.5)</f>
        <v>#REF!</v>
      </c>
      <c r="AW220" s="4" t="e">
        <f t="shared" si="849"/>
        <v>#REF!</v>
      </c>
      <c r="AY220" s="4">
        <f t="shared" si="700"/>
        <v>1.2807262569832403</v>
      </c>
      <c r="AZ220" s="4" t="e">
        <f>(3*#REF!+30)*AY220*F220^0.5</f>
        <v>#REF!</v>
      </c>
      <c r="BB220" s="4">
        <f t="shared" si="701"/>
        <v>185.23243104839844</v>
      </c>
      <c r="BC220" s="4">
        <f t="shared" si="828"/>
        <v>1562.4220485187734</v>
      </c>
      <c r="BD220" s="4">
        <f t="shared" si="672"/>
        <v>8.4349270787820956</v>
      </c>
      <c r="BL220" s="4">
        <f t="shared" si="704"/>
        <v>40.700000000000003</v>
      </c>
      <c r="BP220" s="9"/>
      <c r="BR220" s="9"/>
      <c r="BS220" s="9"/>
      <c r="BT220" s="9">
        <f t="shared" si="705"/>
        <v>40.700000000000003</v>
      </c>
      <c r="BU220" s="9">
        <f t="shared" si="706"/>
        <v>76</v>
      </c>
      <c r="BV220" s="9">
        <f t="shared" si="707"/>
        <v>1.1709505872794554</v>
      </c>
      <c r="BW220" s="9">
        <v>0</v>
      </c>
      <c r="BX220" s="9">
        <f t="shared" si="708"/>
        <v>0</v>
      </c>
      <c r="BY220" s="9">
        <f t="shared" si="850"/>
        <v>0</v>
      </c>
      <c r="BZ220" s="9">
        <f t="shared" si="710"/>
        <v>0.89787751228078194</v>
      </c>
      <c r="CA220" s="9">
        <f t="shared" si="711"/>
        <v>0.91600000000000004</v>
      </c>
      <c r="CB220" s="9">
        <f t="shared" si="712"/>
        <v>1.3654376435522646</v>
      </c>
      <c r="CC220" s="9">
        <f t="shared" si="713"/>
        <v>1.598860010611</v>
      </c>
      <c r="CD220" s="9">
        <v>1</v>
      </c>
      <c r="CE220" s="9" t="e">
        <f>4*CC220*#REF!+60*CC220</f>
        <v>#REF!</v>
      </c>
      <c r="DB220" s="4">
        <f t="shared" si="677"/>
        <v>0</v>
      </c>
      <c r="DC220" s="4" t="e">
        <f>#REF!</f>
        <v>#REF!</v>
      </c>
      <c r="DF220" s="4">
        <f t="shared" si="723"/>
        <v>1.3208101828668835E-5</v>
      </c>
      <c r="DG220" s="4">
        <f t="shared" si="724"/>
        <v>4.6484646092482738</v>
      </c>
      <c r="DH220" s="4">
        <f t="shared" si="725"/>
        <v>0.31149433418967626</v>
      </c>
      <c r="DI220" s="4">
        <f t="shared" si="726"/>
        <v>2.9153425379443894</v>
      </c>
      <c r="DJ220" s="4">
        <f t="shared" si="727"/>
        <v>3.8804037208967719</v>
      </c>
      <c r="DK220" s="4">
        <f t="shared" si="728"/>
        <v>4.5388108160927203</v>
      </c>
      <c r="DL220" s="38">
        <f t="shared" si="729"/>
        <v>213.60778670455136</v>
      </c>
      <c r="DM220" s="4" t="e">
        <f t="shared" si="730"/>
        <v>#REF!</v>
      </c>
      <c r="DN220" s="4">
        <f t="shared" si="731"/>
        <v>2.3375094614201131</v>
      </c>
      <c r="DO220" s="4">
        <f t="shared" si="776"/>
        <v>96.083487353937329</v>
      </c>
      <c r="DS220" s="4">
        <f t="shared" si="733"/>
        <v>0.85</v>
      </c>
      <c r="DT220" s="4">
        <f t="shared" si="734"/>
        <v>0.98631284916201112</v>
      </c>
      <c r="DU220" s="4">
        <f t="shared" si="735"/>
        <v>1</v>
      </c>
      <c r="DV220" s="4">
        <f t="shared" si="736"/>
        <v>0.98631284916201112</v>
      </c>
      <c r="DX220" s="4">
        <f t="shared" si="737"/>
        <v>203.81627305831509</v>
      </c>
      <c r="DY220" s="25">
        <f t="shared" si="851"/>
        <v>94.746153735171248</v>
      </c>
      <c r="EA220" s="4">
        <f t="shared" si="852"/>
        <v>0.83836592178770941</v>
      </c>
      <c r="EB220" s="4">
        <f t="shared" si="739"/>
        <v>4.6484646092482738</v>
      </c>
      <c r="EE220" s="4">
        <f t="shared" si="740"/>
        <v>83.682838718840046</v>
      </c>
      <c r="EF220" s="4">
        <f t="shared" si="741"/>
        <v>2.3375094614201131</v>
      </c>
      <c r="EG220" s="4">
        <f t="shared" si="742"/>
        <v>8.0793547209318639E-2</v>
      </c>
      <c r="EJ220" s="4">
        <f t="shared" si="853"/>
        <v>8.0793547209318639E-2</v>
      </c>
      <c r="EK220" s="4">
        <f t="shared" si="744"/>
        <v>0.31097450820056571</v>
      </c>
      <c r="EL220" s="4">
        <f t="shared" si="679"/>
        <v>2.9133954974502569</v>
      </c>
      <c r="EM220" s="4">
        <f t="shared" si="854"/>
        <v>3.8796749091669303</v>
      </c>
      <c r="EN220" s="4" t="e">
        <f t="shared" si="673"/>
        <v>#REF!</v>
      </c>
      <c r="EO220" s="4" t="e">
        <f t="shared" si="674"/>
        <v>#REF!</v>
      </c>
      <c r="EP220" s="4" t="e">
        <f t="shared" si="749"/>
        <v>#REF!</v>
      </c>
      <c r="EQ220" s="4" t="e">
        <f t="shared" si="855"/>
        <v>#REF!</v>
      </c>
      <c r="ER220" s="4" t="e">
        <f t="shared" si="751"/>
        <v>#REF!</v>
      </c>
      <c r="FA220" s="23"/>
      <c r="FB220" s="23"/>
      <c r="FC220" s="23"/>
      <c r="FD220" s="23"/>
      <c r="FE220" s="23"/>
      <c r="FF220" s="23"/>
      <c r="FG220" s="23"/>
      <c r="FH220" s="23"/>
      <c r="FR220" s="4">
        <f t="shared" si="842"/>
        <v>1</v>
      </c>
      <c r="FS220" s="4">
        <f t="shared" si="843"/>
        <v>0.8938547486033519</v>
      </c>
      <c r="FT220" s="4">
        <f t="shared" si="844"/>
        <v>0</v>
      </c>
      <c r="FU220" s="4">
        <f t="shared" si="845"/>
        <v>160.06330653041465</v>
      </c>
    </row>
    <row r="221" spans="1:177" ht="12" customHeight="1" x14ac:dyDescent="0.3">
      <c r="B221" s="24"/>
      <c r="C221" s="4" t="s">
        <v>333</v>
      </c>
      <c r="D221" s="7">
        <v>556</v>
      </c>
      <c r="E221" s="7">
        <f>381-J221-25</f>
        <v>280</v>
      </c>
      <c r="F221" s="7">
        <v>22.5</v>
      </c>
      <c r="G221" s="7">
        <v>35.799999999999997</v>
      </c>
      <c r="H221" s="7">
        <v>305</v>
      </c>
      <c r="I221" s="7">
        <v>76</v>
      </c>
      <c r="J221" s="7">
        <v>76</v>
      </c>
      <c r="K221" s="7">
        <f t="shared" si="798"/>
        <v>81.400000000000006</v>
      </c>
      <c r="L221" s="7">
        <v>2</v>
      </c>
      <c r="M221" s="7">
        <f t="shared" si="856"/>
        <v>280</v>
      </c>
      <c r="N221" s="7">
        <f t="shared" si="684"/>
        <v>1.6368715083798884</v>
      </c>
      <c r="O221" s="7">
        <f t="shared" si="685"/>
        <v>2.6229050279329611</v>
      </c>
      <c r="P221" s="7">
        <f>5500/(G221^2*PI()/4)-1</f>
        <v>4.4639504822285474</v>
      </c>
      <c r="Q221" s="7">
        <f>5500/(G221^2*PI()/4)-1</f>
        <v>4.4639504822285474</v>
      </c>
      <c r="R221" s="7">
        <f t="shared" si="686"/>
        <v>5.4639504822285474</v>
      </c>
      <c r="S221" s="7">
        <f t="shared" si="687"/>
        <v>83.682838718840046</v>
      </c>
      <c r="T221" s="7">
        <f t="shared" si="826"/>
        <v>556</v>
      </c>
      <c r="U221" s="7">
        <v>25</v>
      </c>
      <c r="V221" s="7"/>
      <c r="W221" s="32" t="s">
        <v>308</v>
      </c>
      <c r="X221" s="4">
        <f t="shared" si="689"/>
        <v>0</v>
      </c>
      <c r="Y221" s="7">
        <v>9.5</v>
      </c>
      <c r="Z221" s="7">
        <v>2</v>
      </c>
      <c r="AA221" s="7">
        <v>102</v>
      </c>
      <c r="AB221" s="7">
        <v>4</v>
      </c>
      <c r="AC221" s="7">
        <f t="shared" ref="AC221:AC223" si="861">Z221</f>
        <v>2</v>
      </c>
      <c r="AD221" s="7">
        <f t="shared" si="827"/>
        <v>7.1672354948805461</v>
      </c>
      <c r="AE221" s="4">
        <f t="shared" si="691"/>
        <v>280</v>
      </c>
      <c r="AF221" s="4">
        <f t="shared" si="692"/>
        <v>0.36309523809523808</v>
      </c>
      <c r="AG221" s="4">
        <f t="shared" si="693"/>
        <v>110.3932135239679</v>
      </c>
      <c r="AH221" s="4">
        <f t="shared" si="694"/>
        <v>0.76707142857142852</v>
      </c>
      <c r="AI221" s="4">
        <v>1.25</v>
      </c>
      <c r="AJ221" s="4">
        <f t="shared" si="857"/>
        <v>2.5</v>
      </c>
      <c r="AK221" s="38">
        <f t="shared" si="848"/>
        <v>96.083487353937286</v>
      </c>
      <c r="AL221" s="38">
        <f t="shared" si="762"/>
        <v>96.083487353937286</v>
      </c>
      <c r="AM221" s="38">
        <f t="shared" si="695"/>
        <v>2.3909817806608746</v>
      </c>
      <c r="AN221" s="38">
        <f t="shared" si="858"/>
        <v>96.083487353937329</v>
      </c>
      <c r="AO221" s="38">
        <f t="shared" si="840"/>
        <v>0.99999999999999956</v>
      </c>
      <c r="AP221" s="38">
        <f t="shared" si="859"/>
        <v>2.0099917928967055</v>
      </c>
      <c r="AQ221" s="4">
        <f t="shared" si="860"/>
        <v>0</v>
      </c>
      <c r="AR221" s="4" t="e">
        <f>#REF!/G221*F221^0.5/0.19</f>
        <v>#REF!</v>
      </c>
      <c r="AS221" s="4">
        <f t="shared" si="696"/>
        <v>1.2409556313993173</v>
      </c>
      <c r="AT221" s="38">
        <f t="shared" si="697"/>
        <v>193.12702101430844</v>
      </c>
      <c r="AU221" s="4">
        <f t="shared" si="698"/>
        <v>0.37504693248800336</v>
      </c>
      <c r="AV221" s="4" t="e">
        <f>AU221*D221*#REF!/(D221*G221/2.75/F221^0.5)</f>
        <v>#REF!</v>
      </c>
      <c r="AW221" s="4" t="e">
        <f t="shared" si="849"/>
        <v>#REF!</v>
      </c>
      <c r="AY221" s="4">
        <f t="shared" si="700"/>
        <v>1.5</v>
      </c>
      <c r="AZ221" s="4" t="e">
        <f>(3*#REF!+30)*AY221*F221^0.5</f>
        <v>#REF!</v>
      </c>
      <c r="BB221" s="4">
        <f t="shared" si="701"/>
        <v>185.23243104839844</v>
      </c>
      <c r="BC221" s="4">
        <f t="shared" si="828"/>
        <v>1562.4220485187734</v>
      </c>
      <c r="BD221" s="4">
        <f t="shared" si="672"/>
        <v>8.4349270787820956</v>
      </c>
      <c r="BL221" s="4">
        <f t="shared" si="704"/>
        <v>40.700000000000003</v>
      </c>
      <c r="BP221" s="9"/>
      <c r="BR221" s="9"/>
      <c r="BS221" s="9"/>
      <c r="BT221" s="9">
        <f t="shared" si="705"/>
        <v>40.700000000000003</v>
      </c>
      <c r="BU221" s="9">
        <f t="shared" si="706"/>
        <v>76</v>
      </c>
      <c r="BV221" s="9">
        <f t="shared" si="707"/>
        <v>1.1709505872794554</v>
      </c>
      <c r="BW221" s="9">
        <v>20</v>
      </c>
      <c r="BX221" s="9">
        <f t="shared" si="708"/>
        <v>3.8822534914349713E-2</v>
      </c>
      <c r="BY221" s="9">
        <f t="shared" si="850"/>
        <v>0.57645069828699425</v>
      </c>
      <c r="BZ221" s="9">
        <f t="shared" si="710"/>
        <v>0.89787751228078194</v>
      </c>
      <c r="CA221" s="9">
        <f t="shared" si="711"/>
        <v>0.91600000000000004</v>
      </c>
      <c r="CB221" s="9">
        <f t="shared" si="712"/>
        <v>1.3654376435522646</v>
      </c>
      <c r="CC221" s="9">
        <f t="shared" si="713"/>
        <v>2.3859674937040509</v>
      </c>
      <c r="CD221" s="9">
        <v>1</v>
      </c>
      <c r="CE221" s="9" t="e">
        <f>4*CC221*#REF!+60*CC221</f>
        <v>#REF!</v>
      </c>
      <c r="DB221" s="4">
        <f t="shared" si="677"/>
        <v>2</v>
      </c>
      <c r="DC221" s="4" t="e">
        <f>#REF!</f>
        <v>#REF!</v>
      </c>
      <c r="DF221" s="4">
        <f t="shared" si="723"/>
        <v>1.3208101828668835E-5</v>
      </c>
      <c r="DG221" s="4">
        <f t="shared" si="724"/>
        <v>4.6930538202349794</v>
      </c>
      <c r="DH221" s="4">
        <f t="shared" si="725"/>
        <v>0.31149433418967626</v>
      </c>
      <c r="DI221" s="4">
        <f t="shared" si="726"/>
        <v>2.9433072175644721</v>
      </c>
      <c r="DJ221" s="4">
        <f t="shared" si="727"/>
        <v>3.9176255037367289</v>
      </c>
      <c r="DK221" s="4">
        <f t="shared" si="728"/>
        <v>4.5812908734182951</v>
      </c>
      <c r="DL221" s="38">
        <f t="shared" si="729"/>
        <v>214.72683896526962</v>
      </c>
      <c r="DM221" s="4" t="e">
        <f t="shared" si="730"/>
        <v>#REF!</v>
      </c>
      <c r="DN221" s="4">
        <f t="shared" si="731"/>
        <v>2.3375094614201131</v>
      </c>
      <c r="DO221" s="4">
        <f t="shared" si="776"/>
        <v>96.083487353937329</v>
      </c>
      <c r="DS221" s="4">
        <f t="shared" si="733"/>
        <v>0.85</v>
      </c>
      <c r="DT221" s="4">
        <f t="shared" si="734"/>
        <v>0.98631284916201112</v>
      </c>
      <c r="DU221" s="4">
        <f t="shared" si="735"/>
        <v>0.99049889204456787</v>
      </c>
      <c r="DV221" s="4">
        <f t="shared" si="736"/>
        <v>0.97694178430429301</v>
      </c>
      <c r="DX221" s="4">
        <f t="shared" si="737"/>
        <v>204.86250035520987</v>
      </c>
      <c r="DY221" s="25">
        <f t="shared" si="851"/>
        <v>94.746153735171248</v>
      </c>
      <c r="EA221" s="4">
        <f t="shared" si="852"/>
        <v>0.830400516658649</v>
      </c>
      <c r="EB221" s="4">
        <f t="shared" si="739"/>
        <v>4.6930538202349794</v>
      </c>
      <c r="EE221" s="4">
        <f t="shared" si="740"/>
        <v>83.682838718840046</v>
      </c>
      <c r="EF221" s="4">
        <f t="shared" si="741"/>
        <v>2.3375094614201131</v>
      </c>
      <c r="EG221" s="4">
        <f t="shared" si="742"/>
        <v>8.0793547209318639E-2</v>
      </c>
      <c r="EJ221" s="4">
        <f t="shared" si="853"/>
        <v>8.0793547209318639E-2</v>
      </c>
      <c r="EK221" s="4">
        <f t="shared" si="744"/>
        <v>0.31097450820056571</v>
      </c>
      <c r="EL221" s="4">
        <f t="shared" si="679"/>
        <v>2.9413415005810704</v>
      </c>
      <c r="EM221" s="4">
        <f t="shared" si="854"/>
        <v>3.9168897010662813</v>
      </c>
      <c r="EN221" s="4" t="e">
        <f t="shared" si="673"/>
        <v>#REF!</v>
      </c>
      <c r="EO221" s="4" t="e">
        <f t="shared" si="674"/>
        <v>#REF!</v>
      </c>
      <c r="EP221" s="4" t="e">
        <f t="shared" si="749"/>
        <v>#REF!</v>
      </c>
      <c r="EQ221" s="4" t="e">
        <f t="shared" si="855"/>
        <v>#REF!</v>
      </c>
      <c r="ER221" s="4" t="e">
        <f t="shared" si="751"/>
        <v>#REF!</v>
      </c>
      <c r="FA221" s="23"/>
      <c r="FB221" s="23"/>
      <c r="FC221" s="23"/>
      <c r="FD221" s="23"/>
      <c r="FE221" s="23"/>
      <c r="FF221" s="23"/>
      <c r="FG221" s="23"/>
      <c r="FH221" s="23"/>
      <c r="FR221" s="4">
        <f t="shared" si="842"/>
        <v>1</v>
      </c>
      <c r="FS221" s="4">
        <f t="shared" si="843"/>
        <v>0.57658194354098002</v>
      </c>
      <c r="FT221" s="4">
        <f t="shared" si="844"/>
        <v>0.28167035985144034</v>
      </c>
      <c r="FU221" s="4">
        <f t="shared" si="845"/>
        <v>248.14052576933713</v>
      </c>
    </row>
    <row r="222" spans="1:177" ht="12" customHeight="1" x14ac:dyDescent="0.3">
      <c r="B222" s="24"/>
      <c r="C222" s="4" t="s">
        <v>334</v>
      </c>
      <c r="D222" s="7">
        <v>556</v>
      </c>
      <c r="E222" s="7">
        <f>381-J222-25</f>
        <v>280</v>
      </c>
      <c r="F222" s="7">
        <v>23.2</v>
      </c>
      <c r="G222" s="7">
        <v>35.799999999999997</v>
      </c>
      <c r="H222" s="7">
        <v>305</v>
      </c>
      <c r="I222" s="7">
        <v>76</v>
      </c>
      <c r="J222" s="7">
        <v>76</v>
      </c>
      <c r="K222" s="7">
        <f t="shared" si="798"/>
        <v>81.400000000000006</v>
      </c>
      <c r="L222" s="7">
        <v>2</v>
      </c>
      <c r="M222" s="7">
        <f t="shared" si="856"/>
        <v>280</v>
      </c>
      <c r="N222" s="7">
        <f t="shared" si="684"/>
        <v>1.6368715083798884</v>
      </c>
      <c r="O222" s="7">
        <f t="shared" si="685"/>
        <v>2.6229050279329611</v>
      </c>
      <c r="P222" s="7">
        <f>5500/(G222^2*PI()/4)-1</f>
        <v>4.4639504822285474</v>
      </c>
      <c r="Q222" s="7">
        <f>5500/(G222^2*PI()/4)-1</f>
        <v>4.4639504822285474</v>
      </c>
      <c r="R222" s="7">
        <f t="shared" si="686"/>
        <v>5.4639504822285474</v>
      </c>
      <c r="S222" s="7">
        <f t="shared" si="687"/>
        <v>83.682838718840046</v>
      </c>
      <c r="T222" s="7">
        <f t="shared" si="826"/>
        <v>556</v>
      </c>
      <c r="U222" s="7">
        <v>25</v>
      </c>
      <c r="V222" s="7"/>
      <c r="W222" s="32" t="s">
        <v>308</v>
      </c>
      <c r="X222" s="4">
        <f t="shared" si="689"/>
        <v>0</v>
      </c>
      <c r="Y222" s="7">
        <v>9.5</v>
      </c>
      <c r="Z222" s="7">
        <v>2</v>
      </c>
      <c r="AA222" s="7">
        <v>64</v>
      </c>
      <c r="AB222" s="7">
        <v>6</v>
      </c>
      <c r="AC222" s="7">
        <f t="shared" si="861"/>
        <v>2</v>
      </c>
      <c r="AD222" s="7">
        <f t="shared" si="827"/>
        <v>7.1672354948805461</v>
      </c>
      <c r="AE222" s="4">
        <f t="shared" si="691"/>
        <v>280</v>
      </c>
      <c r="AF222" s="4">
        <f t="shared" si="692"/>
        <v>0.36309523809523808</v>
      </c>
      <c r="AG222" s="4">
        <f t="shared" si="693"/>
        <v>112.09728888343021</v>
      </c>
      <c r="AH222" s="4">
        <f t="shared" si="694"/>
        <v>0.76707142857142852</v>
      </c>
      <c r="AI222" s="4">
        <v>1.25</v>
      </c>
      <c r="AJ222" s="4">
        <f t="shared" si="857"/>
        <v>2.5</v>
      </c>
      <c r="AK222" s="38">
        <f t="shared" si="848"/>
        <v>97.56667185436406</v>
      </c>
      <c r="AL222" s="38">
        <f t="shared" si="762"/>
        <v>97.56667185436406</v>
      </c>
      <c r="AM222" s="38">
        <f t="shared" si="695"/>
        <v>2.4403188690141904</v>
      </c>
      <c r="AN222" s="38">
        <f t="shared" si="858"/>
        <v>97.566671854364117</v>
      </c>
      <c r="AO222" s="38">
        <f t="shared" si="840"/>
        <v>0.99999999999999944</v>
      </c>
      <c r="AP222" s="38">
        <f t="shared" si="859"/>
        <v>2.0410188585799882</v>
      </c>
      <c r="AQ222" s="4">
        <f t="shared" si="860"/>
        <v>0</v>
      </c>
      <c r="AR222" s="4" t="e">
        <f>#REF!/G222*F222^0.5/0.19</f>
        <v>#REF!</v>
      </c>
      <c r="AS222" s="4">
        <f t="shared" si="696"/>
        <v>1.2409556313993173</v>
      </c>
      <c r="AT222" s="38">
        <f t="shared" si="697"/>
        <v>199.13541722364249</v>
      </c>
      <c r="AU222" s="4">
        <f t="shared" si="698"/>
        <v>0.37504693248800336</v>
      </c>
      <c r="AV222" s="4" t="e">
        <f>AU222*D222*#REF!/(D222*G222/2.75/F222^0.5)</f>
        <v>#REF!</v>
      </c>
      <c r="AW222" s="4" t="e">
        <f t="shared" si="849"/>
        <v>#REF!</v>
      </c>
      <c r="AY222" s="4">
        <f t="shared" si="700"/>
        <v>1.5</v>
      </c>
      <c r="AZ222" s="4" t="e">
        <f>(3*#REF!+30)*AY222*F222^0.5</f>
        <v>#REF!</v>
      </c>
      <c r="BB222" s="4">
        <f t="shared" si="701"/>
        <v>190.99521779212648</v>
      </c>
      <c r="BC222" s="4">
        <f t="shared" si="828"/>
        <v>1562.4220485187734</v>
      </c>
      <c r="BD222" s="4">
        <f t="shared" ref="BD222:BD247" si="862">BC222/BB222</f>
        <v>8.1804249686464257</v>
      </c>
      <c r="BL222" s="4">
        <f t="shared" si="704"/>
        <v>40.700000000000003</v>
      </c>
      <c r="BP222" s="9"/>
      <c r="BR222" s="9"/>
      <c r="BS222" s="9"/>
      <c r="BT222" s="9">
        <f t="shared" si="705"/>
        <v>40.700000000000003</v>
      </c>
      <c r="BU222" s="9">
        <f t="shared" si="706"/>
        <v>76</v>
      </c>
      <c r="BV222" s="9">
        <f t="shared" si="707"/>
        <v>1.1709505872794554</v>
      </c>
      <c r="BW222" s="9">
        <v>20</v>
      </c>
      <c r="BX222" s="9">
        <f t="shared" si="708"/>
        <v>0.05</v>
      </c>
      <c r="BY222" s="9">
        <f t="shared" si="850"/>
        <v>0.8</v>
      </c>
      <c r="BZ222" s="9">
        <f t="shared" si="710"/>
        <v>0.89787751228078194</v>
      </c>
      <c r="CA222" s="9">
        <f t="shared" si="711"/>
        <v>0.91600000000000004</v>
      </c>
      <c r="CB222" s="9">
        <f t="shared" si="712"/>
        <v>1.3865151044666033</v>
      </c>
      <c r="CC222" s="9">
        <f t="shared" si="713"/>
        <v>2.7327527594202872</v>
      </c>
      <c r="CD222" s="9">
        <v>1</v>
      </c>
      <c r="CE222" s="9" t="e">
        <f>4*CC222*#REF!+60*CC222</f>
        <v>#REF!</v>
      </c>
      <c r="DB222" s="4">
        <f t="shared" si="677"/>
        <v>2</v>
      </c>
      <c r="DC222" s="4" t="e">
        <f>#REF!</f>
        <v>#REF!</v>
      </c>
      <c r="DF222" s="4">
        <f t="shared" si="723"/>
        <v>1.3280055604963279E-5</v>
      </c>
      <c r="DG222" s="4">
        <f t="shared" si="724"/>
        <v>4.765497742468991</v>
      </c>
      <c r="DH222" s="4">
        <f t="shared" si="725"/>
        <v>0.30675907408845532</v>
      </c>
      <c r="DI222" s="4">
        <f t="shared" si="726"/>
        <v>2.970484122953561</v>
      </c>
      <c r="DJ222" s="4">
        <f t="shared" si="727"/>
        <v>3.9712794120387733</v>
      </c>
      <c r="DK222" s="4">
        <f t="shared" si="728"/>
        <v>4.6499415161614266</v>
      </c>
      <c r="DL222" s="38">
        <f t="shared" si="729"/>
        <v>217.75831340658192</v>
      </c>
      <c r="DM222" s="4" t="e">
        <f t="shared" si="730"/>
        <v>#REF!</v>
      </c>
      <c r="DN222" s="4">
        <f t="shared" si="731"/>
        <v>2.3375094614201131</v>
      </c>
      <c r="DO222" s="4">
        <f t="shared" si="776"/>
        <v>97.566671854364117</v>
      </c>
      <c r="DS222" s="4">
        <f t="shared" si="733"/>
        <v>0.85</v>
      </c>
      <c r="DT222" s="4">
        <f t="shared" si="734"/>
        <v>0.98631284916201112</v>
      </c>
      <c r="DU222" s="4">
        <f t="shared" si="735"/>
        <v>0.99049889204456787</v>
      </c>
      <c r="DV222" s="4">
        <f t="shared" si="736"/>
        <v>0.97694178430429301</v>
      </c>
      <c r="DX222" s="4">
        <f t="shared" si="737"/>
        <v>208.02484274736571</v>
      </c>
      <c r="DY222" s="25">
        <f t="shared" si="851"/>
        <v>96.208694600048602</v>
      </c>
      <c r="EA222" s="4">
        <f t="shared" si="852"/>
        <v>0.830400516658649</v>
      </c>
      <c r="EB222" s="4">
        <f t="shared" si="739"/>
        <v>4.765497742468991</v>
      </c>
      <c r="EE222" s="4">
        <f t="shared" si="740"/>
        <v>83.682838718840046</v>
      </c>
      <c r="EF222" s="4">
        <f t="shared" si="741"/>
        <v>2.3375094614201131</v>
      </c>
      <c r="EG222" s="4">
        <f t="shared" si="742"/>
        <v>8.0793547209318639E-2</v>
      </c>
      <c r="EJ222" s="4">
        <f t="shared" si="853"/>
        <v>8.0793547209318639E-2</v>
      </c>
      <c r="EK222" s="4">
        <f t="shared" si="744"/>
        <v>0.30624715036592115</v>
      </c>
      <c r="EL222" s="4">
        <f t="shared" si="679"/>
        <v>2.9685002556037405</v>
      </c>
      <c r="EM222" s="4">
        <f t="shared" si="854"/>
        <v>3.970540188322834</v>
      </c>
      <c r="EN222" s="4" t="e">
        <f t="shared" ref="EN222:EN251" si="863">MAX(0,DC222*EN$9-EE222)</f>
        <v>#REF!</v>
      </c>
      <c r="EO222" s="4" t="e">
        <f t="shared" ref="EO222:EO251" si="864">MAX(0,DC222-EE222-EN222)</f>
        <v>#REF!</v>
      </c>
      <c r="EP222" s="4" t="e">
        <f t="shared" si="749"/>
        <v>#REF!</v>
      </c>
      <c r="EQ222" s="4" t="e">
        <f t="shared" si="855"/>
        <v>#REF!</v>
      </c>
      <c r="ER222" s="4" t="e">
        <f t="shared" si="751"/>
        <v>#REF!</v>
      </c>
      <c r="FA222" s="23"/>
      <c r="FB222" s="23"/>
      <c r="FC222" s="23"/>
      <c r="FD222" s="23"/>
      <c r="FE222" s="23"/>
      <c r="FF222" s="23"/>
      <c r="FG222" s="23"/>
      <c r="FH222" s="23"/>
      <c r="FR222" s="4">
        <f t="shared" si="842"/>
        <v>1</v>
      </c>
      <c r="FS222" s="4">
        <f t="shared" si="843"/>
        <v>0.56618748804278263</v>
      </c>
      <c r="FT222" s="4">
        <f t="shared" si="844"/>
        <v>0.3</v>
      </c>
      <c r="FU222" s="4">
        <f t="shared" si="845"/>
        <v>254.63894993046731</v>
      </c>
    </row>
    <row r="223" spans="1:177" ht="12" customHeight="1" x14ac:dyDescent="0.3">
      <c r="B223" s="24"/>
      <c r="C223" s="4" t="s">
        <v>335</v>
      </c>
      <c r="D223" s="7">
        <v>578</v>
      </c>
      <c r="E223" s="7">
        <f>305-J223-18</f>
        <v>211</v>
      </c>
      <c r="F223" s="7">
        <v>29.6</v>
      </c>
      <c r="G223" s="7">
        <v>25.4</v>
      </c>
      <c r="H223" s="7">
        <v>305</v>
      </c>
      <c r="I223" s="7">
        <v>76</v>
      </c>
      <c r="J223" s="7">
        <v>76</v>
      </c>
      <c r="K223" s="7">
        <f t="shared" si="798"/>
        <v>102.19999999999999</v>
      </c>
      <c r="L223" s="7">
        <v>2</v>
      </c>
      <c r="M223" s="7">
        <f t="shared" si="856"/>
        <v>280</v>
      </c>
      <c r="N223" s="7">
        <f t="shared" si="684"/>
        <v>2.5118110236220472</v>
      </c>
      <c r="O223" s="7">
        <f t="shared" si="685"/>
        <v>3.4921259842519685</v>
      </c>
      <c r="P223" s="7">
        <f>3200/(G223^2*PI()/4)-1</f>
        <v>5.3152807724479523</v>
      </c>
      <c r="Q223" s="7">
        <f>3200/(G223^2*PI()/4)-1</f>
        <v>5.3152807724479523</v>
      </c>
      <c r="R223" s="7">
        <f t="shared" si="686"/>
        <v>6.3152807724479523</v>
      </c>
      <c r="S223" s="7">
        <f t="shared" si="687"/>
        <v>63.830764864229231</v>
      </c>
      <c r="T223" s="7">
        <f t="shared" si="826"/>
        <v>578</v>
      </c>
      <c r="U223" s="7">
        <v>18</v>
      </c>
      <c r="V223" s="7"/>
      <c r="W223" s="32" t="s">
        <v>308</v>
      </c>
      <c r="X223" s="4">
        <f t="shared" si="689"/>
        <v>0</v>
      </c>
      <c r="Y223" s="7">
        <v>9.5</v>
      </c>
      <c r="Z223" s="7">
        <v>2</v>
      </c>
      <c r="AA223" s="7">
        <v>102</v>
      </c>
      <c r="AB223" s="7">
        <v>4</v>
      </c>
      <c r="AC223" s="7">
        <f t="shared" si="861"/>
        <v>2</v>
      </c>
      <c r="AD223" s="7">
        <f t="shared" si="827"/>
        <v>4.9608150470219439</v>
      </c>
      <c r="AE223" s="4">
        <f t="shared" si="691"/>
        <v>211</v>
      </c>
      <c r="AF223" s="4">
        <f t="shared" si="692"/>
        <v>0.48183254344391785</v>
      </c>
      <c r="AG223" s="4">
        <f t="shared" si="693"/>
        <v>164.54406728062244</v>
      </c>
      <c r="AH223" s="4">
        <f t="shared" si="694"/>
        <v>0.7840758293838862</v>
      </c>
      <c r="AI223" s="4">
        <v>1.25</v>
      </c>
      <c r="AJ223" s="4">
        <f t="shared" si="857"/>
        <v>2.5</v>
      </c>
      <c r="AK223" s="38">
        <f t="shared" si="848"/>
        <v>194.26136916020866</v>
      </c>
      <c r="AL223" s="38">
        <f t="shared" si="762"/>
        <v>194.26136916020866</v>
      </c>
      <c r="AM223" s="38">
        <f t="shared" si="695"/>
        <v>2.8706642143339227</v>
      </c>
      <c r="AN223" s="38">
        <f t="shared" si="858"/>
        <v>194.26136916020874</v>
      </c>
      <c r="AO223" s="38">
        <f t="shared" si="840"/>
        <v>0.99999999999999956</v>
      </c>
      <c r="AP223" s="38">
        <f t="shared" si="859"/>
        <v>2.0402602015366833</v>
      </c>
      <c r="AQ223" s="4">
        <f t="shared" si="860"/>
        <v>0</v>
      </c>
      <c r="AR223" s="4" t="e">
        <f>#REF!/G223*F223^0.5/0.19</f>
        <v>#REF!</v>
      </c>
      <c r="AS223" s="4">
        <f t="shared" si="696"/>
        <v>1.1561128526645768</v>
      </c>
      <c r="AT223" s="38">
        <f t="shared" si="697"/>
        <v>396.34374019359956</v>
      </c>
      <c r="AU223" s="4">
        <f t="shared" si="698"/>
        <v>0.3</v>
      </c>
      <c r="AV223" s="4" t="e">
        <f>AU223*D223*#REF!/(D223*G223/2.75/F223^0.5)</f>
        <v>#REF!</v>
      </c>
      <c r="AW223" s="4" t="e">
        <f t="shared" si="849"/>
        <v>#REF!</v>
      </c>
      <c r="AY223" s="4">
        <f t="shared" si="700"/>
        <v>1.5</v>
      </c>
      <c r="AZ223" s="4" t="e">
        <f>(3*#REF!+30)*AY223*F223^0.5</f>
        <v>#REF!</v>
      </c>
      <c r="BB223" s="4">
        <f t="shared" si="701"/>
        <v>380.14211652669815</v>
      </c>
      <c r="BC223" s="4">
        <f t="shared" si="828"/>
        <v>2245.2309649218914</v>
      </c>
      <c r="BD223" s="4">
        <f t="shared" si="862"/>
        <v>5.9062936394320946</v>
      </c>
      <c r="BL223" s="4">
        <f t="shared" si="704"/>
        <v>51.099999999999994</v>
      </c>
      <c r="BP223" s="9"/>
      <c r="BR223" s="9"/>
      <c r="BS223" s="9"/>
      <c r="BT223" s="9">
        <f t="shared" si="705"/>
        <v>51.099999999999994</v>
      </c>
      <c r="BU223" s="9">
        <f t="shared" si="706"/>
        <v>76</v>
      </c>
      <c r="BV223" s="9">
        <f t="shared" si="707"/>
        <v>1.5054020239149992</v>
      </c>
      <c r="BW223" s="9">
        <v>20</v>
      </c>
      <c r="BX223" s="9">
        <f t="shared" si="708"/>
        <v>0.05</v>
      </c>
      <c r="BY223" s="9">
        <f t="shared" si="850"/>
        <v>0.8</v>
      </c>
      <c r="BZ223" s="9">
        <f t="shared" si="710"/>
        <v>0.99524931562137331</v>
      </c>
      <c r="CA223" s="9">
        <f t="shared" si="711"/>
        <v>0.88300000000000001</v>
      </c>
      <c r="CB223" s="9">
        <f t="shared" si="712"/>
        <v>1.673425918090842</v>
      </c>
      <c r="CC223" s="9">
        <f t="shared" si="713"/>
        <v>3.8579194984384428</v>
      </c>
      <c r="CD223" s="9">
        <v>1</v>
      </c>
      <c r="CE223" s="9" t="e">
        <f>4*CC223*#REF!+60*CC223</f>
        <v>#REF!</v>
      </c>
      <c r="DB223" s="4">
        <f t="shared" si="677"/>
        <v>2</v>
      </c>
      <c r="DC223" s="4" t="e">
        <f>#REF!</f>
        <v>#REF!</v>
      </c>
      <c r="DF223" s="4">
        <f t="shared" si="723"/>
        <v>1.4791679478037025E-5</v>
      </c>
      <c r="DG223" s="4">
        <f t="shared" si="724"/>
        <v>7.1662565049066815</v>
      </c>
      <c r="DH223" s="4">
        <f t="shared" si="725"/>
        <v>0.30666587320385641</v>
      </c>
      <c r="DI223" s="4">
        <f t="shared" si="726"/>
        <v>4.4664093970676291</v>
      </c>
      <c r="DJ223" s="4">
        <f t="shared" si="727"/>
        <v>5.971725137421525</v>
      </c>
      <c r="DK223" s="4">
        <f t="shared" si="728"/>
        <v>6.9474326441800711</v>
      </c>
      <c r="DL223" s="38">
        <f t="shared" si="729"/>
        <v>385.66564001194138</v>
      </c>
      <c r="DM223" s="4" t="e">
        <f t="shared" si="730"/>
        <v>#REF!</v>
      </c>
      <c r="DN223" s="4">
        <f t="shared" si="731"/>
        <v>2.5130222387491825</v>
      </c>
      <c r="DO223" s="4">
        <f t="shared" si="776"/>
        <v>194.26136916020874</v>
      </c>
      <c r="DS223" s="4">
        <f t="shared" si="733"/>
        <v>0.85</v>
      </c>
      <c r="DT223" s="4">
        <f t="shared" si="734"/>
        <v>0.89881889763779532</v>
      </c>
      <c r="DU223" s="4">
        <f t="shared" si="735"/>
        <v>0.90713466426932854</v>
      </c>
      <c r="DV223" s="4">
        <f t="shared" si="736"/>
        <v>0.81534977894758942</v>
      </c>
      <c r="DX223" s="4">
        <f t="shared" si="737"/>
        <v>370.40590266045024</v>
      </c>
      <c r="DY223" s="25">
        <f t="shared" si="851"/>
        <v>191.81376220352391</v>
      </c>
      <c r="EA223" s="4">
        <f t="shared" si="852"/>
        <v>0.69304731210545101</v>
      </c>
      <c r="EB223" s="4">
        <f t="shared" si="739"/>
        <v>7.1662565049066815</v>
      </c>
      <c r="EE223" s="4">
        <f t="shared" si="740"/>
        <v>63.830764864229231</v>
      </c>
      <c r="EF223" s="4">
        <f t="shared" si="741"/>
        <v>2.5130222387491825</v>
      </c>
      <c r="EG223" s="4">
        <f t="shared" si="742"/>
        <v>9.1231868546160763E-2</v>
      </c>
      <c r="EJ223" s="4">
        <f t="shared" si="853"/>
        <v>9.1231868546160763E-2</v>
      </c>
      <c r="EK223" s="4">
        <f t="shared" si="744"/>
        <v>0.30615410501622836</v>
      </c>
      <c r="EL223" s="4">
        <f t="shared" si="679"/>
        <v>4.4634264611531416</v>
      </c>
      <c r="EM223" s="4">
        <f t="shared" si="854"/>
        <v>5.970613743851005</v>
      </c>
      <c r="EN223" s="4" t="e">
        <f t="shared" si="863"/>
        <v>#REF!</v>
      </c>
      <c r="EO223" s="4" t="e">
        <f t="shared" si="864"/>
        <v>#REF!</v>
      </c>
      <c r="EP223" s="4" t="e">
        <f t="shared" si="749"/>
        <v>#REF!</v>
      </c>
      <c r="EQ223" s="4" t="e">
        <f t="shared" si="855"/>
        <v>#REF!</v>
      </c>
      <c r="ER223" s="4" t="e">
        <f t="shared" si="751"/>
        <v>#REF!</v>
      </c>
      <c r="FA223" s="23"/>
      <c r="FB223" s="23"/>
      <c r="FC223" s="23"/>
      <c r="FD223" s="23"/>
      <c r="FE223" s="23"/>
      <c r="FF223" s="23"/>
      <c r="FG223" s="23"/>
      <c r="FH223" s="23"/>
      <c r="FR223" s="4">
        <f t="shared" si="842"/>
        <v>1</v>
      </c>
      <c r="FS223" s="4">
        <f t="shared" si="843"/>
        <v>0.53734064771553958</v>
      </c>
      <c r="FT223" s="4">
        <f t="shared" si="844"/>
        <v>0.3</v>
      </c>
      <c r="FU223" s="4">
        <f t="shared" si="845"/>
        <v>359.57105850766999</v>
      </c>
    </row>
    <row r="224" spans="1:177" ht="12" customHeight="1" x14ac:dyDescent="0.3">
      <c r="B224" s="24"/>
      <c r="C224" s="4" t="s">
        <v>336</v>
      </c>
      <c r="D224" s="7">
        <v>556</v>
      </c>
      <c r="E224" s="7">
        <f>381-J224-25</f>
        <v>280</v>
      </c>
      <c r="F224" s="7">
        <v>34.5</v>
      </c>
      <c r="G224" s="7">
        <v>35.799999999999997</v>
      </c>
      <c r="H224" s="7">
        <v>305</v>
      </c>
      <c r="I224" s="7">
        <v>76</v>
      </c>
      <c r="J224" s="7">
        <v>76</v>
      </c>
      <c r="K224" s="7">
        <f t="shared" si="798"/>
        <v>81.400000000000006</v>
      </c>
      <c r="L224" s="7">
        <v>2</v>
      </c>
      <c r="M224" s="7">
        <f t="shared" si="856"/>
        <v>280</v>
      </c>
      <c r="N224" s="7">
        <f t="shared" si="684"/>
        <v>1.6368715083798884</v>
      </c>
      <c r="O224" s="7">
        <f t="shared" si="685"/>
        <v>2.6229050279329611</v>
      </c>
      <c r="P224" s="7">
        <f>3025/(G224^2*PI()/4)-1</f>
        <v>2.0051727652257014</v>
      </c>
      <c r="Q224" s="7">
        <f>3025/(G224^2*PI()/4)-1</f>
        <v>2.0051727652257014</v>
      </c>
      <c r="R224" s="7">
        <f t="shared" si="686"/>
        <v>3.0051727652257014</v>
      </c>
      <c r="S224" s="7">
        <f t="shared" si="687"/>
        <v>62.060854190253195</v>
      </c>
      <c r="T224" s="7">
        <f t="shared" si="826"/>
        <v>556</v>
      </c>
      <c r="U224" s="7">
        <v>25</v>
      </c>
      <c r="V224" s="7">
        <f>340*1000/(G224^2*PI()/4)</f>
        <v>337.7714843559466</v>
      </c>
      <c r="W224" s="7"/>
      <c r="X224" s="4">
        <f t="shared" si="689"/>
        <v>1.2380919937878554</v>
      </c>
      <c r="Y224" s="7"/>
      <c r="Z224" s="7"/>
      <c r="AA224" s="7">
        <v>1</v>
      </c>
      <c r="AB224" s="7"/>
      <c r="AC224" s="7"/>
      <c r="AD224" s="7">
        <f t="shared" si="827"/>
        <v>7.1672354948805461</v>
      </c>
      <c r="AE224" s="4">
        <f t="shared" si="691"/>
        <v>280</v>
      </c>
      <c r="AF224" s="4">
        <f t="shared" si="692"/>
        <v>0.36309523809523808</v>
      </c>
      <c r="AG224" s="4">
        <f t="shared" si="693"/>
        <v>136.69752902409817</v>
      </c>
      <c r="AH224" s="4">
        <f t="shared" si="694"/>
        <v>0.76707142857142852</v>
      </c>
      <c r="AI224" s="4">
        <v>1.25</v>
      </c>
      <c r="AJ224" s="4">
        <f t="shared" si="857"/>
        <v>2.5</v>
      </c>
      <c r="AK224" s="38">
        <f t="shared" si="848"/>
        <v>118.97810455938722</v>
      </c>
      <c r="AL224" s="38">
        <f t="shared" si="762"/>
        <v>118.97810455938722</v>
      </c>
      <c r="AM224" s="38">
        <f t="shared" si="695"/>
        <v>3.1793181165219675</v>
      </c>
      <c r="AN224" s="38">
        <f t="shared" si="858"/>
        <v>118.97810455938726</v>
      </c>
      <c r="AO224" s="38">
        <f t="shared" si="840"/>
        <v>0.99999999999999967</v>
      </c>
      <c r="AP224" s="38">
        <f t="shared" si="859"/>
        <v>1.6681257525259441</v>
      </c>
      <c r="AQ224" s="4">
        <f t="shared" si="860"/>
        <v>0</v>
      </c>
      <c r="AR224" s="4" t="e">
        <f>#REF!/G224*F224^0.5/0.19</f>
        <v>#REF!</v>
      </c>
      <c r="AS224" s="4">
        <f t="shared" si="696"/>
        <v>1.2409556313993173</v>
      </c>
      <c r="AT224" s="38">
        <f t="shared" si="697"/>
        <v>198.47044020223834</v>
      </c>
      <c r="AU224" s="4">
        <f t="shared" si="698"/>
        <v>0.71927581286840181</v>
      </c>
      <c r="AV224" s="4" t="e">
        <f>AU224*D224*#REF!/(D224*G224/2.75/F224^0.5)</f>
        <v>#REF!</v>
      </c>
      <c r="AW224" s="4" t="e">
        <f t="shared" si="849"/>
        <v>#REF!</v>
      </c>
      <c r="AY224" s="4">
        <f t="shared" si="700"/>
        <v>1.2807262569832403</v>
      </c>
      <c r="AZ224" s="4" t="e">
        <f>(3*#REF!+30)*AY224*F224^0.5</f>
        <v>#REF!</v>
      </c>
      <c r="BB224" s="4">
        <f t="shared" si="701"/>
        <v>190.35742350720918</v>
      </c>
      <c r="BC224" s="4">
        <f t="shared" si="828"/>
        <v>30569.451870773988</v>
      </c>
      <c r="BD224" s="4">
        <f t="shared" si="862"/>
        <v>160.58975430299554</v>
      </c>
      <c r="BL224" s="4">
        <f t="shared" si="704"/>
        <v>40.700000000000003</v>
      </c>
      <c r="BP224" s="9"/>
      <c r="BR224" s="9"/>
      <c r="BS224" s="9"/>
      <c r="BT224" s="9">
        <f t="shared" si="705"/>
        <v>40.700000000000003</v>
      </c>
      <c r="BU224" s="9">
        <f t="shared" si="706"/>
        <v>76</v>
      </c>
      <c r="BV224" s="9">
        <f t="shared" si="707"/>
        <v>1.1709505872794554</v>
      </c>
      <c r="BW224" s="9">
        <v>0</v>
      </c>
      <c r="BX224" s="9">
        <f t="shared" si="708"/>
        <v>0</v>
      </c>
      <c r="BY224" s="9">
        <f t="shared" si="850"/>
        <v>0</v>
      </c>
      <c r="BZ224" s="9">
        <f t="shared" si="710"/>
        <v>0.89787751228078194</v>
      </c>
      <c r="CA224" s="9">
        <f t="shared" si="711"/>
        <v>0.91600000000000004</v>
      </c>
      <c r="CB224" s="9">
        <f t="shared" si="712"/>
        <v>1.6907919060582215</v>
      </c>
      <c r="CC224" s="9">
        <f t="shared" si="713"/>
        <v>1.9798337753662243</v>
      </c>
      <c r="CD224" s="9">
        <v>1</v>
      </c>
      <c r="CE224" s="9" t="e">
        <f>4*CC224*#REF!+60*CC224</f>
        <v>#REF!</v>
      </c>
      <c r="CG224" s="4" t="e">
        <f>V224/AR224</f>
        <v>#REF!</v>
      </c>
      <c r="CH224" s="4" t="e">
        <f>V224/AW224</f>
        <v>#REF!</v>
      </c>
      <c r="CI224" s="4" t="e">
        <f t="shared" ref="CI224:CI225" si="865">V224/AZ224</f>
        <v>#REF!</v>
      </c>
      <c r="CJ224" s="4" t="e">
        <f>V224/CE224</f>
        <v>#REF!</v>
      </c>
      <c r="CK224" s="4">
        <f t="shared" ref="CK224:CK231" si="866">V224/DL224</f>
        <v>1.2380919937878554</v>
      </c>
      <c r="CL224" s="4">
        <f t="shared" ref="CL224:CL225" si="867">V224/DX224</f>
        <v>1.3383380886118024</v>
      </c>
      <c r="CM224" s="4">
        <f>V224/FU224</f>
        <v>1.8963655360936886</v>
      </c>
      <c r="CO224" s="4" t="e">
        <f t="shared" si="809"/>
        <v>#REF!</v>
      </c>
      <c r="CP224" s="4" t="e">
        <f t="shared" si="810"/>
        <v>#REF!</v>
      </c>
      <c r="CQ224" s="4" t="e">
        <f t="shared" si="811"/>
        <v>#REF!</v>
      </c>
      <c r="CR224" s="4">
        <f t="shared" ref="CR224:CR225" si="868">CM224</f>
        <v>1.8963655360936886</v>
      </c>
      <c r="CS224" s="4">
        <f t="shared" si="812"/>
        <v>1.2380919937878554</v>
      </c>
      <c r="CT224" s="4">
        <f t="shared" si="813"/>
        <v>1.3383380886118024</v>
      </c>
      <c r="DB224" s="4">
        <f t="shared" si="677"/>
        <v>0</v>
      </c>
      <c r="DC224" s="4" t="e">
        <f>#REF!</f>
        <v>#REF!</v>
      </c>
      <c r="DF224" s="4">
        <f t="shared" si="723"/>
        <v>1.4413593384422284E-5</v>
      </c>
      <c r="DG224" s="4">
        <f t="shared" si="724"/>
        <v>5.7560932013474524</v>
      </c>
      <c r="DH224" s="4">
        <f t="shared" si="725"/>
        <v>0.41531802396359924</v>
      </c>
      <c r="DI224" s="4">
        <f t="shared" si="726"/>
        <v>4.0502341293306188</v>
      </c>
      <c r="DJ224" s="4">
        <f t="shared" si="727"/>
        <v>4.9770133082573631</v>
      </c>
      <c r="DK224" s="4">
        <f t="shared" si="728"/>
        <v>5.5599195823198233</v>
      </c>
      <c r="DL224" s="38">
        <f t="shared" si="729"/>
        <v>272.8161445601134</v>
      </c>
      <c r="DM224" s="4" t="e">
        <f t="shared" si="730"/>
        <v>#REF!</v>
      </c>
      <c r="DN224" s="4">
        <f t="shared" si="731"/>
        <v>1.7335434131355643</v>
      </c>
      <c r="DO224" s="4">
        <f t="shared" si="776"/>
        <v>118.97810455938726</v>
      </c>
      <c r="DS224" s="4">
        <f t="shared" si="733"/>
        <v>0.85</v>
      </c>
      <c r="DT224" s="4">
        <f t="shared" si="734"/>
        <v>0.98631284916201112</v>
      </c>
      <c r="DU224" s="4">
        <f t="shared" si="735"/>
        <v>1</v>
      </c>
      <c r="DV224" s="4">
        <f t="shared" si="736"/>
        <v>0.98631284916201112</v>
      </c>
      <c r="DX224" s="4">
        <f t="shared" si="737"/>
        <v>252.38128334694687</v>
      </c>
      <c r="DY224" s="25">
        <f t="shared" si="851"/>
        <v>117.32211325946476</v>
      </c>
      <c r="EA224" s="4">
        <f t="shared" si="852"/>
        <v>0.83836592178770941</v>
      </c>
      <c r="EB224" s="4">
        <f t="shared" si="739"/>
        <v>5.7560932013474524</v>
      </c>
      <c r="EE224" s="4">
        <f t="shared" si="740"/>
        <v>62.060854190253195</v>
      </c>
      <c r="EF224" s="4">
        <f t="shared" si="741"/>
        <v>1.7335434131355643</v>
      </c>
      <c r="EG224" s="4">
        <f t="shared" si="742"/>
        <v>0.13339071238746128</v>
      </c>
      <c r="EJ224" s="4">
        <f t="shared" si="853"/>
        <v>0.13339071238746128</v>
      </c>
      <c r="EK224" s="4">
        <f t="shared" si="744"/>
        <v>0.41462493558636138</v>
      </c>
      <c r="EL224" s="4">
        <f t="shared" si="679"/>
        <v>4.0475291402057101</v>
      </c>
      <c r="EM224" s="4">
        <f t="shared" si="854"/>
        <v>4.9759143938040786</v>
      </c>
      <c r="EN224" s="4" t="e">
        <f t="shared" si="863"/>
        <v>#REF!</v>
      </c>
      <c r="EO224" s="4" t="e">
        <f t="shared" si="864"/>
        <v>#REF!</v>
      </c>
      <c r="EP224" s="4" t="e">
        <f t="shared" si="749"/>
        <v>#REF!</v>
      </c>
      <c r="EQ224" s="4" t="e">
        <f t="shared" si="855"/>
        <v>#REF!</v>
      </c>
      <c r="ER224" s="4" t="e">
        <f t="shared" si="751"/>
        <v>#REF!</v>
      </c>
      <c r="FA224" s="23" t="e">
        <f t="shared" ref="FA224:FA225" si="869">IF(CG224&lt;0.6,0.6,IF(CG224&lt;0.8,0.8,IF(CG224&lt;1,1,IF(CG224&lt;1.2,1.2,IF(CG224&lt;1.4,1.4,IF(CG224&lt;1.6,1.6,IF(CG224&lt;1.8,1.8,IF(CG224&lt;2,2,2.2))))))))</f>
        <v>#REF!</v>
      </c>
      <c r="FB224" s="23" t="e">
        <f t="shared" ref="FB224:FB225" si="870">IF(CH224&lt;0.6,0.6,IF(CH224&lt;0.8,0.8,IF(CH224&lt;1,1,IF(CH224&lt;1.2,1.2,IF(CH224&lt;1.4,1.4,IF(CH224&lt;1.6,1.6,IF(CH224&lt;1.8,1.8,IF(CH224&lt;2,2,2.2))))))))</f>
        <v>#REF!</v>
      </c>
      <c r="FC224" s="23">
        <f t="shared" ref="FC224:FC225" si="871">IF(CM224&lt;0.6,0.6,IF(CM224&lt;0.8,0.8,IF(CM224&lt;1,1,IF(CM224&lt;1.2,1.2,IF(CM224&lt;1.4,1.4,IF(CM224&lt;1.6,1.6,IF(CM224&lt;1.8,1.8,IF(CM224&lt;2,2,2.2))))))))</f>
        <v>2</v>
      </c>
      <c r="FD224" s="23" t="e">
        <f t="shared" ref="FD224:FD225" si="872">IF(CJ224&lt;0.6,0.6,IF(CJ224&lt;0.8,0.8,IF(CJ224&lt;1,1,IF(CJ224&lt;1.2,1.2,IF(CJ224&lt;1.4,1.4,IF(CJ224&lt;1.6,1.6,IF(CJ224&lt;1.8,1.8,IF(CJ224&lt;2,2,2.2))))))))</f>
        <v>#REF!</v>
      </c>
      <c r="FE224" s="23">
        <f t="shared" ref="FE224:FE225" si="873">IF(CK224&lt;0.6,0.6,IF(CK224&lt;0.8,0.8,IF(CK224&lt;1,1,IF(CK224&lt;1.2,1.2,IF(CK224&lt;1.4,1.4,IF(CK224&lt;1.6,1.6,IF(CK224&lt;1.8,1.8,IF(CK224&lt;2,2,2.2))))))))</f>
        <v>1.4</v>
      </c>
      <c r="FF224" s="23">
        <f t="shared" ref="FF224:FF225" si="874">IF(CL224&lt;0.6,0.6,IF(CL224&lt;0.8,0.8,IF(CL224&lt;1,1,IF(CL224&lt;1.2,1.2,IF(CL224&lt;1.4,1.4,IF(CL224&lt;1.6,1.6,IF(CL224&lt;1.8,1.8,IF(CL224&lt;2,2,2.2))))))))</f>
        <v>1.4</v>
      </c>
      <c r="FG224" s="23">
        <f t="shared" ref="FG224:FG225" si="875">IF(FE224&lt;1,1,0)</f>
        <v>0</v>
      </c>
      <c r="FH224" s="23"/>
      <c r="FR224" s="4">
        <f t="shared" si="842"/>
        <v>1</v>
      </c>
      <c r="FS224" s="4">
        <f t="shared" si="843"/>
        <v>0.8938547486033519</v>
      </c>
      <c r="FT224" s="4">
        <f t="shared" si="844"/>
        <v>0</v>
      </c>
      <c r="FU224" s="4">
        <f t="shared" si="845"/>
        <v>178.11517765278521</v>
      </c>
    </row>
    <row r="225" spans="2:177" ht="12" customHeight="1" x14ac:dyDescent="0.3">
      <c r="B225" s="24"/>
      <c r="C225" s="4" t="s">
        <v>337</v>
      </c>
      <c r="D225" s="7">
        <v>556</v>
      </c>
      <c r="E225" s="7">
        <f>381-J225-25</f>
        <v>280</v>
      </c>
      <c r="F225" s="7">
        <v>34.5</v>
      </c>
      <c r="G225" s="7">
        <v>35.799999999999997</v>
      </c>
      <c r="H225" s="7">
        <v>305</v>
      </c>
      <c r="I225" s="7">
        <v>76</v>
      </c>
      <c r="J225" s="7">
        <v>76</v>
      </c>
      <c r="K225" s="7">
        <f t="shared" si="798"/>
        <v>81.400000000000006</v>
      </c>
      <c r="L225" s="7">
        <v>2</v>
      </c>
      <c r="M225" s="7">
        <f t="shared" si="856"/>
        <v>280</v>
      </c>
      <c r="N225" s="7">
        <f t="shared" si="684"/>
        <v>1.6368715083798884</v>
      </c>
      <c r="O225" s="7">
        <f t="shared" si="685"/>
        <v>2.6229050279329611</v>
      </c>
      <c r="P225" s="7">
        <f>2970/(G225^2*PI()/4)-1</f>
        <v>1.9505332604034158</v>
      </c>
      <c r="Q225" s="7">
        <f>2970/(G225^2*PI()/4)-1</f>
        <v>1.9505332604034158</v>
      </c>
      <c r="R225" s="7">
        <f t="shared" si="686"/>
        <v>2.9505332604034158</v>
      </c>
      <c r="S225" s="7">
        <f t="shared" si="687"/>
        <v>61.494076526633307</v>
      </c>
      <c r="T225" s="7">
        <f t="shared" si="826"/>
        <v>556</v>
      </c>
      <c r="U225" s="7">
        <v>25</v>
      </c>
      <c r="V225" s="7">
        <f>271*1000/(G225^2*PI()/4)</f>
        <v>269.22374194253388</v>
      </c>
      <c r="W225" s="7"/>
      <c r="X225" s="4">
        <f t="shared" si="689"/>
        <v>0.98516281921633742</v>
      </c>
      <c r="Y225" s="7"/>
      <c r="Z225" s="7"/>
      <c r="AA225" s="7">
        <v>1</v>
      </c>
      <c r="AB225" s="7"/>
      <c r="AC225" s="7"/>
      <c r="AD225" s="7">
        <f t="shared" si="827"/>
        <v>7.1672354948805461</v>
      </c>
      <c r="AE225" s="4">
        <f t="shared" si="691"/>
        <v>280</v>
      </c>
      <c r="AF225" s="4">
        <f t="shared" si="692"/>
        <v>0.36309523809523808</v>
      </c>
      <c r="AG225" s="4">
        <f t="shared" si="693"/>
        <v>136.69752902409817</v>
      </c>
      <c r="AH225" s="4">
        <f t="shared" si="694"/>
        <v>0.76707142857142852</v>
      </c>
      <c r="AI225" s="4">
        <v>1.25</v>
      </c>
      <c r="AJ225" s="4">
        <f t="shared" si="857"/>
        <v>2.5</v>
      </c>
      <c r="AK225" s="38">
        <f t="shared" si="848"/>
        <v>118.97810455938722</v>
      </c>
      <c r="AL225" s="38">
        <f t="shared" si="762"/>
        <v>118.97810455938722</v>
      </c>
      <c r="AM225" s="38">
        <f t="shared" si="695"/>
        <v>3.1793181165219675</v>
      </c>
      <c r="AN225" s="38">
        <f t="shared" si="858"/>
        <v>118.97810455938726</v>
      </c>
      <c r="AO225" s="38">
        <f t="shared" si="840"/>
        <v>0.99999999999999967</v>
      </c>
      <c r="AP225" s="38">
        <f t="shared" si="859"/>
        <v>1.6452411697278291</v>
      </c>
      <c r="AQ225" s="4">
        <f t="shared" si="860"/>
        <v>0</v>
      </c>
      <c r="AR225" s="4" t="e">
        <f>#REF!/G225*F225^0.5/0.19</f>
        <v>#REF!</v>
      </c>
      <c r="AS225" s="4">
        <f t="shared" si="696"/>
        <v>1.2409556313993173</v>
      </c>
      <c r="AT225" s="38">
        <f t="shared" si="697"/>
        <v>195.74767591728624</v>
      </c>
      <c r="AU225" s="4">
        <f t="shared" si="698"/>
        <v>0.72692534354352178</v>
      </c>
      <c r="AV225" s="4" t="e">
        <f>AU225*D225*#REF!/(D225*G225/2.75/F225^0.5)</f>
        <v>#REF!</v>
      </c>
      <c r="AW225" s="4" t="e">
        <f t="shared" si="849"/>
        <v>#REF!</v>
      </c>
      <c r="AY225" s="4">
        <f t="shared" si="700"/>
        <v>1.2807262569832403</v>
      </c>
      <c r="AZ225" s="4" t="e">
        <f>(3*#REF!+30)*AY225*F225^0.5</f>
        <v>#REF!</v>
      </c>
      <c r="BB225" s="4">
        <f t="shared" si="701"/>
        <v>187.74595958556532</v>
      </c>
      <c r="BC225" s="4">
        <f t="shared" si="828"/>
        <v>39749.280546165857</v>
      </c>
      <c r="BD225" s="4">
        <f t="shared" si="862"/>
        <v>211.7184339620907</v>
      </c>
      <c r="BL225" s="4">
        <f t="shared" si="704"/>
        <v>40.700000000000003</v>
      </c>
      <c r="BP225" s="9"/>
      <c r="BR225" s="9"/>
      <c r="BS225" s="9"/>
      <c r="BT225" s="9">
        <f t="shared" si="705"/>
        <v>40.700000000000003</v>
      </c>
      <c r="BU225" s="9">
        <f t="shared" si="706"/>
        <v>76</v>
      </c>
      <c r="BV225" s="9">
        <f t="shared" si="707"/>
        <v>1.1709505872794554</v>
      </c>
      <c r="BW225" s="9">
        <v>0</v>
      </c>
      <c r="BX225" s="9">
        <f t="shared" si="708"/>
        <v>0</v>
      </c>
      <c r="BY225" s="9">
        <f t="shared" si="850"/>
        <v>0</v>
      </c>
      <c r="BZ225" s="9">
        <f t="shared" si="710"/>
        <v>0.89787751228078194</v>
      </c>
      <c r="CA225" s="9">
        <f t="shared" si="711"/>
        <v>0.91600000000000004</v>
      </c>
      <c r="CB225" s="9">
        <f t="shared" si="712"/>
        <v>1.6907919060582215</v>
      </c>
      <c r="CC225" s="9">
        <f t="shared" si="713"/>
        <v>1.9798337753662243</v>
      </c>
      <c r="CD225" s="9">
        <v>1</v>
      </c>
      <c r="CE225" s="9" t="e">
        <f>4*CC225*#REF!+60*CC225</f>
        <v>#REF!</v>
      </c>
      <c r="CG225" s="4" t="e">
        <f>V225/AR225</f>
        <v>#REF!</v>
      </c>
      <c r="CH225" s="4" t="e">
        <f>V225/AW225</f>
        <v>#REF!</v>
      </c>
      <c r="CI225" s="4" t="e">
        <f t="shared" si="865"/>
        <v>#REF!</v>
      </c>
      <c r="CJ225" s="4" t="e">
        <f>V225/CE225</f>
        <v>#REF!</v>
      </c>
      <c r="CK225" s="4">
        <f t="shared" si="866"/>
        <v>0.98516281921633742</v>
      </c>
      <c r="CL225" s="4">
        <f t="shared" si="867"/>
        <v>1.0667341823935248</v>
      </c>
      <c r="CM225" s="4">
        <f>V225/FU225</f>
        <v>1.5115148831805576</v>
      </c>
      <c r="CO225" s="4" t="e">
        <f t="shared" si="809"/>
        <v>#REF!</v>
      </c>
      <c r="CP225" s="4" t="e">
        <f t="shared" si="810"/>
        <v>#REF!</v>
      </c>
      <c r="CQ225" s="4" t="e">
        <f t="shared" si="811"/>
        <v>#REF!</v>
      </c>
      <c r="CR225" s="4">
        <f t="shared" si="868"/>
        <v>1.5115148831805576</v>
      </c>
      <c r="CS225" s="4">
        <f t="shared" si="812"/>
        <v>0.98516281921633742</v>
      </c>
      <c r="CT225" s="4">
        <f t="shared" si="813"/>
        <v>1.0667341823935248</v>
      </c>
      <c r="DB225" s="4">
        <f t="shared" si="677"/>
        <v>0</v>
      </c>
      <c r="DC225" s="4" t="e">
        <f>#REF!</f>
        <v>#REF!</v>
      </c>
      <c r="DF225" s="4">
        <f t="shared" si="723"/>
        <v>1.4413593384422284E-5</v>
      </c>
      <c r="DG225" s="4">
        <f t="shared" si="724"/>
        <v>5.7560932013474524</v>
      </c>
      <c r="DH225" s="4">
        <f t="shared" si="725"/>
        <v>0.4230529727962522</v>
      </c>
      <c r="DI225" s="4">
        <f t="shared" si="726"/>
        <v>4.0802400819337299</v>
      </c>
      <c r="DJ225" s="4">
        <f t="shared" si="727"/>
        <v>4.9892368362464685</v>
      </c>
      <c r="DK225" s="4">
        <f t="shared" si="728"/>
        <v>5.5592290458545044</v>
      </c>
      <c r="DL225" s="38">
        <f t="shared" si="729"/>
        <v>273.2784233135107</v>
      </c>
      <c r="DM225" s="4" t="e">
        <f t="shared" si="730"/>
        <v>#REF!</v>
      </c>
      <c r="DN225" s="4">
        <f t="shared" si="731"/>
        <v>1.7177116348221595</v>
      </c>
      <c r="DO225" s="4">
        <f t="shared" si="776"/>
        <v>118.97810455938726</v>
      </c>
      <c r="DS225" s="4">
        <f t="shared" si="733"/>
        <v>0.85</v>
      </c>
      <c r="DT225" s="4">
        <f t="shared" si="734"/>
        <v>0.98631284916201112</v>
      </c>
      <c r="DU225" s="4">
        <f t="shared" si="735"/>
        <v>1</v>
      </c>
      <c r="DV225" s="4">
        <f t="shared" si="736"/>
        <v>0.98631284916201112</v>
      </c>
      <c r="DX225" s="4">
        <f t="shared" si="737"/>
        <v>252.38128334694687</v>
      </c>
      <c r="DY225" s="25">
        <f t="shared" si="851"/>
        <v>117.32211325946476</v>
      </c>
      <c r="EA225" s="4">
        <f t="shared" si="852"/>
        <v>0.83836592178770941</v>
      </c>
      <c r="EB225" s="4">
        <f t="shared" si="739"/>
        <v>5.7560932013474524</v>
      </c>
      <c r="EE225" s="4">
        <f t="shared" si="740"/>
        <v>61.494076526633307</v>
      </c>
      <c r="EF225" s="4">
        <f t="shared" si="741"/>
        <v>1.7177116348221595</v>
      </c>
      <c r="EG225" s="4">
        <f t="shared" si="742"/>
        <v>0.1358750021980055</v>
      </c>
      <c r="EJ225" s="4">
        <f t="shared" si="853"/>
        <v>0.1358750021980055</v>
      </c>
      <c r="EK225" s="4">
        <f t="shared" si="744"/>
        <v>0.42234697623101108</v>
      </c>
      <c r="EL225" s="4">
        <f t="shared" si="679"/>
        <v>4.0775150530350981</v>
      </c>
      <c r="EM225" s="4">
        <f t="shared" si="854"/>
        <v>4.9881242126995069</v>
      </c>
      <c r="EN225" s="4" t="e">
        <f t="shared" si="863"/>
        <v>#REF!</v>
      </c>
      <c r="EO225" s="4" t="e">
        <f t="shared" si="864"/>
        <v>#REF!</v>
      </c>
      <c r="EP225" s="4" t="e">
        <f t="shared" si="749"/>
        <v>#REF!</v>
      </c>
      <c r="EQ225" s="4" t="e">
        <f t="shared" si="855"/>
        <v>#REF!</v>
      </c>
      <c r="ER225" s="4" t="e">
        <f t="shared" si="751"/>
        <v>#REF!</v>
      </c>
      <c r="FA225" s="23" t="e">
        <f t="shared" si="869"/>
        <v>#REF!</v>
      </c>
      <c r="FB225" s="23" t="e">
        <f t="shared" si="870"/>
        <v>#REF!</v>
      </c>
      <c r="FC225" s="23">
        <f t="shared" si="871"/>
        <v>1.6</v>
      </c>
      <c r="FD225" s="23" t="e">
        <f t="shared" si="872"/>
        <v>#REF!</v>
      </c>
      <c r="FE225" s="23">
        <f t="shared" si="873"/>
        <v>1</v>
      </c>
      <c r="FF225" s="23">
        <f t="shared" si="874"/>
        <v>1.2</v>
      </c>
      <c r="FG225" s="23">
        <f t="shared" si="875"/>
        <v>0</v>
      </c>
      <c r="FH225" s="23"/>
      <c r="FR225" s="4">
        <f t="shared" si="842"/>
        <v>1</v>
      </c>
      <c r="FS225" s="4">
        <f t="shared" si="843"/>
        <v>0.8938547486033519</v>
      </c>
      <c r="FT225" s="4">
        <f t="shared" si="844"/>
        <v>0</v>
      </c>
      <c r="FU225" s="4">
        <f t="shared" si="845"/>
        <v>178.11517765278521</v>
      </c>
    </row>
    <row r="226" spans="2:177" ht="12" customHeight="1" x14ac:dyDescent="0.3">
      <c r="B226" s="24"/>
      <c r="C226" s="4" t="s">
        <v>338</v>
      </c>
      <c r="D226" s="7">
        <v>556</v>
      </c>
      <c r="E226" s="7">
        <f>381-J226-25</f>
        <v>280</v>
      </c>
      <c r="F226" s="7">
        <v>35</v>
      </c>
      <c r="G226" s="7">
        <v>35.799999999999997</v>
      </c>
      <c r="H226" s="7">
        <v>305</v>
      </c>
      <c r="I226" s="7">
        <v>76</v>
      </c>
      <c r="J226" s="7">
        <v>76</v>
      </c>
      <c r="K226" s="7">
        <f t="shared" si="798"/>
        <v>81.400000000000006</v>
      </c>
      <c r="L226" s="7">
        <v>2</v>
      </c>
      <c r="M226" s="7">
        <f t="shared" si="856"/>
        <v>280</v>
      </c>
      <c r="N226" s="7">
        <f t="shared" si="684"/>
        <v>1.6368715083798884</v>
      </c>
      <c r="O226" s="7">
        <f t="shared" si="685"/>
        <v>2.6229050279329611</v>
      </c>
      <c r="P226" s="7">
        <f>5500/(G226^2*PI()/4)-1</f>
        <v>4.4639504822285474</v>
      </c>
      <c r="Q226" s="7">
        <f>5500/(G226^2*PI()/4)-1</f>
        <v>4.4639504822285474</v>
      </c>
      <c r="R226" s="7">
        <f t="shared" si="686"/>
        <v>5.4639504822285474</v>
      </c>
      <c r="S226" s="7">
        <f t="shared" si="687"/>
        <v>83.682838718840046</v>
      </c>
      <c r="T226" s="7">
        <f t="shared" si="826"/>
        <v>556</v>
      </c>
      <c r="U226" s="7">
        <v>25</v>
      </c>
      <c r="V226" s="7"/>
      <c r="W226" s="32" t="s">
        <v>308</v>
      </c>
      <c r="X226" s="4">
        <f t="shared" si="689"/>
        <v>0</v>
      </c>
      <c r="Y226" s="7">
        <v>9.5</v>
      </c>
      <c r="Z226" s="7">
        <v>2</v>
      </c>
      <c r="AA226" s="7">
        <v>102</v>
      </c>
      <c r="AB226" s="7">
        <v>4</v>
      </c>
      <c r="AC226" s="7">
        <f>Z226</f>
        <v>2</v>
      </c>
      <c r="AD226" s="7">
        <f t="shared" si="827"/>
        <v>7.1672354948805461</v>
      </c>
      <c r="AE226" s="4">
        <f t="shared" si="691"/>
        <v>280</v>
      </c>
      <c r="AF226" s="4">
        <f t="shared" si="692"/>
        <v>0.36309523809523808</v>
      </c>
      <c r="AG226" s="4">
        <f t="shared" si="693"/>
        <v>137.68452761055582</v>
      </c>
      <c r="AH226" s="4">
        <f t="shared" si="694"/>
        <v>0.76707142857142852</v>
      </c>
      <c r="AI226" s="4">
        <v>1.25</v>
      </c>
      <c r="AJ226" s="4">
        <f t="shared" si="857"/>
        <v>2.5</v>
      </c>
      <c r="AK226" s="38">
        <f t="shared" si="848"/>
        <v>119.83716340162</v>
      </c>
      <c r="AL226" s="38">
        <f t="shared" si="762"/>
        <v>119.83716340162</v>
      </c>
      <c r="AM226" s="38">
        <f t="shared" si="695"/>
        <v>3.2099624416952368</v>
      </c>
      <c r="AN226" s="38">
        <f t="shared" si="858"/>
        <v>119.83716340162006</v>
      </c>
      <c r="AO226" s="38">
        <f t="shared" si="840"/>
        <v>0.99999999999999956</v>
      </c>
      <c r="AP226" s="38">
        <f t="shared" si="859"/>
        <v>2.5069002130823193</v>
      </c>
      <c r="AQ226" s="4">
        <f t="shared" si="860"/>
        <v>0</v>
      </c>
      <c r="AR226" s="4" t="e">
        <f>#REF!/G226*F226^0.5/0.19</f>
        <v>#REF!</v>
      </c>
      <c r="AS226" s="4">
        <f t="shared" si="696"/>
        <v>1.2409556313993173</v>
      </c>
      <c r="AT226" s="38">
        <f t="shared" si="697"/>
        <v>300.41981046670202</v>
      </c>
      <c r="AU226" s="4">
        <f t="shared" si="698"/>
        <v>0.37504693248800336</v>
      </c>
      <c r="AV226" s="4" t="e">
        <f>AU226*D226*#REF!/(D226*G226/2.75/F226^0.5)</f>
        <v>#REF!</v>
      </c>
      <c r="AW226" s="4" t="e">
        <f t="shared" si="849"/>
        <v>#REF!</v>
      </c>
      <c r="AY226" s="4">
        <f t="shared" si="700"/>
        <v>1.5</v>
      </c>
      <c r="AZ226" s="4" t="e">
        <f>(3*#REF!+30)*AY226*F226^0.5</f>
        <v>#REF!</v>
      </c>
      <c r="BB226" s="4">
        <f t="shared" si="701"/>
        <v>288.13933718639765</v>
      </c>
      <c r="BC226" s="4">
        <f t="shared" si="828"/>
        <v>1562.4220485187734</v>
      </c>
      <c r="BD226" s="4">
        <f t="shared" si="862"/>
        <v>5.4224531220742032</v>
      </c>
      <c r="BL226" s="4">
        <f t="shared" si="704"/>
        <v>40.700000000000003</v>
      </c>
      <c r="BP226" s="9"/>
      <c r="BR226" s="9"/>
      <c r="BS226" s="9"/>
      <c r="BT226" s="9">
        <f t="shared" si="705"/>
        <v>40.700000000000003</v>
      </c>
      <c r="BU226" s="9">
        <f t="shared" si="706"/>
        <v>76</v>
      </c>
      <c r="BV226" s="9">
        <f t="shared" si="707"/>
        <v>1.1709505872794554</v>
      </c>
      <c r="BW226" s="9">
        <v>20</v>
      </c>
      <c r="BX226" s="9">
        <f t="shared" si="708"/>
        <v>3.8822534914349713E-2</v>
      </c>
      <c r="BY226" s="9">
        <f t="shared" si="850"/>
        <v>0.57645069828699425</v>
      </c>
      <c r="BZ226" s="9">
        <f t="shared" si="710"/>
        <v>0.89787751228078194</v>
      </c>
      <c r="CA226" s="9">
        <f t="shared" si="711"/>
        <v>0.91600000000000004</v>
      </c>
      <c r="CB226" s="9">
        <f t="shared" si="712"/>
        <v>1.7029999483921783</v>
      </c>
      <c r="CC226" s="9">
        <f t="shared" si="713"/>
        <v>2.9758242991400894</v>
      </c>
      <c r="CD226" s="9">
        <v>1</v>
      </c>
      <c r="CE226" s="9" t="e">
        <f>4*CC226*#REF!+60*CC226</f>
        <v>#REF!</v>
      </c>
      <c r="DB226" s="4">
        <f t="shared" si="677"/>
        <v>2</v>
      </c>
      <c r="DC226" s="4" t="e">
        <f>#REF!</f>
        <v>#REF!</v>
      </c>
      <c r="DF226" s="4">
        <f t="shared" si="723"/>
        <v>1.4463124191571349E-5</v>
      </c>
      <c r="DG226" s="4">
        <f t="shared" si="724"/>
        <v>5.8532664976699591</v>
      </c>
      <c r="DH226" s="4">
        <f t="shared" si="725"/>
        <v>0.24975108781264987</v>
      </c>
      <c r="DI226" s="4">
        <f t="shared" si="726"/>
        <v>3.3604795222157038</v>
      </c>
      <c r="DJ226" s="4">
        <f t="shared" si="727"/>
        <v>4.7736376935091256</v>
      </c>
      <c r="DK226" s="4">
        <f t="shared" si="728"/>
        <v>5.669958822199864</v>
      </c>
      <c r="DL226" s="38">
        <f t="shared" si="729"/>
        <v>262.9772690841171</v>
      </c>
      <c r="DM226" s="4" t="e">
        <f t="shared" si="730"/>
        <v>#REF!</v>
      </c>
      <c r="DN226" s="4">
        <f t="shared" si="731"/>
        <v>2.3375094614201131</v>
      </c>
      <c r="DO226" s="4">
        <f t="shared" si="776"/>
        <v>119.83716340162006</v>
      </c>
      <c r="DS226" s="4">
        <f t="shared" si="733"/>
        <v>0.85</v>
      </c>
      <c r="DT226" s="4">
        <f t="shared" si="734"/>
        <v>0.98631284916201112</v>
      </c>
      <c r="DU226" s="4">
        <f t="shared" si="735"/>
        <v>0.99049889204456787</v>
      </c>
      <c r="DV226" s="4">
        <f t="shared" si="736"/>
        <v>0.97694178430429301</v>
      </c>
      <c r="DX226" s="4">
        <f t="shared" si="737"/>
        <v>255.5084292423501</v>
      </c>
      <c r="DY226" s="25">
        <f t="shared" si="851"/>
        <v>118.16921533054099</v>
      </c>
      <c r="EA226" s="4">
        <f t="shared" si="852"/>
        <v>0.830400516658649</v>
      </c>
      <c r="EB226" s="4">
        <f t="shared" si="739"/>
        <v>5.8532664976699591</v>
      </c>
      <c r="EE226" s="4">
        <f t="shared" si="740"/>
        <v>83.682838718840046</v>
      </c>
      <c r="EF226" s="4">
        <f t="shared" si="741"/>
        <v>2.3375094614201131</v>
      </c>
      <c r="EG226" s="4">
        <f t="shared" si="742"/>
        <v>8.0793547209318639E-2</v>
      </c>
      <c r="EJ226" s="4">
        <f t="shared" si="853"/>
        <v>8.0793547209318639E-2</v>
      </c>
      <c r="EK226" s="4">
        <f t="shared" si="744"/>
        <v>0.24933429979436575</v>
      </c>
      <c r="EL226" s="4">
        <f t="shared" si="679"/>
        <v>3.3582351925617111</v>
      </c>
      <c r="EM226" s="4">
        <f t="shared" si="854"/>
        <v>4.7728524504637697</v>
      </c>
      <c r="EN226" s="4" t="e">
        <f t="shared" si="863"/>
        <v>#REF!</v>
      </c>
      <c r="EO226" s="4" t="e">
        <f t="shared" si="864"/>
        <v>#REF!</v>
      </c>
      <c r="EP226" s="4" t="e">
        <f t="shared" si="749"/>
        <v>#REF!</v>
      </c>
      <c r="EQ226" s="4" t="e">
        <f t="shared" si="855"/>
        <v>#REF!</v>
      </c>
      <c r="ER226" s="4" t="e">
        <f t="shared" si="751"/>
        <v>#REF!</v>
      </c>
      <c r="FA226" s="23"/>
      <c r="FB226" s="23"/>
      <c r="FC226" s="23"/>
      <c r="FD226" s="23"/>
      <c r="FE226" s="23"/>
      <c r="FF226" s="23"/>
      <c r="FG226" s="23"/>
      <c r="FH226" s="23"/>
      <c r="FR226" s="4">
        <f t="shared" si="842"/>
        <v>1</v>
      </c>
      <c r="FS226" s="4">
        <f t="shared" si="843"/>
        <v>0.57658194354098002</v>
      </c>
      <c r="FT226" s="4">
        <f t="shared" si="844"/>
        <v>0.28167035985144034</v>
      </c>
      <c r="FU226" s="4">
        <f t="shared" si="845"/>
        <v>277.12077165548715</v>
      </c>
    </row>
    <row r="227" spans="2:177" ht="12" customHeight="1" x14ac:dyDescent="0.3">
      <c r="B227" s="24"/>
      <c r="C227" s="4" t="s">
        <v>339</v>
      </c>
      <c r="D227" s="7">
        <v>578</v>
      </c>
      <c r="E227" s="7">
        <f>305-J227-18</f>
        <v>211</v>
      </c>
      <c r="F227" s="7">
        <v>35</v>
      </c>
      <c r="G227" s="7">
        <v>25.4</v>
      </c>
      <c r="H227" s="7">
        <v>305</v>
      </c>
      <c r="I227" s="7">
        <v>38</v>
      </c>
      <c r="J227" s="7">
        <v>76</v>
      </c>
      <c r="K227" s="7">
        <f t="shared" si="798"/>
        <v>178.2</v>
      </c>
      <c r="L227" s="7">
        <v>2</v>
      </c>
      <c r="M227" s="7">
        <f t="shared" si="856"/>
        <v>280</v>
      </c>
      <c r="N227" s="7">
        <f t="shared" si="684"/>
        <v>1.9960629921259843</v>
      </c>
      <c r="O227" s="7">
        <f t="shared" si="685"/>
        <v>1.9960629921259843</v>
      </c>
      <c r="P227" s="7">
        <f>3200/(G227^2*PI()/4)-1</f>
        <v>5.3152807724479523</v>
      </c>
      <c r="Q227" s="7">
        <f>3200/(G227^2*PI()/4)-1</f>
        <v>5.3152807724479523</v>
      </c>
      <c r="R227" s="7">
        <f t="shared" si="686"/>
        <v>6.3152807724479523</v>
      </c>
      <c r="S227" s="7">
        <f t="shared" si="687"/>
        <v>63.830764864229231</v>
      </c>
      <c r="T227" s="7">
        <f t="shared" si="826"/>
        <v>578</v>
      </c>
      <c r="U227" s="7">
        <v>18</v>
      </c>
      <c r="V227" s="7">
        <f>178*1000/(G227^2*PI()/4)</f>
        <v>351.28749296741734</v>
      </c>
      <c r="W227" s="7"/>
      <c r="X227" s="4">
        <f t="shared" si="689"/>
        <v>0.93206382246205521</v>
      </c>
      <c r="Y227" s="7"/>
      <c r="Z227" s="7"/>
      <c r="AA227" s="7">
        <v>1</v>
      </c>
      <c r="AB227" s="7"/>
      <c r="AC227" s="7"/>
      <c r="AD227" s="7">
        <f t="shared" si="827"/>
        <v>3.1090373280943027</v>
      </c>
      <c r="AE227" s="4">
        <f t="shared" si="691"/>
        <v>211</v>
      </c>
      <c r="AF227" s="4">
        <f t="shared" si="692"/>
        <v>0.48183254344391785</v>
      </c>
      <c r="AG227" s="4">
        <f t="shared" si="693"/>
        <v>178.92474002033066</v>
      </c>
      <c r="AH227" s="4">
        <f t="shared" si="694"/>
        <v>0.7480568720379146</v>
      </c>
      <c r="AI227" s="4">
        <v>1.25</v>
      </c>
      <c r="AJ227" s="4">
        <f t="shared" si="857"/>
        <v>2.5</v>
      </c>
      <c r="AK227" s="38">
        <f t="shared" si="848"/>
        <v>201.53531700084281</v>
      </c>
      <c r="AL227" s="38">
        <f t="shared" si="762"/>
        <v>201.53531700084281</v>
      </c>
      <c r="AM227" s="38">
        <f t="shared" si="695"/>
        <v>3.2099624416952368</v>
      </c>
      <c r="AN227" s="38">
        <f t="shared" si="858"/>
        <v>201.53531700084287</v>
      </c>
      <c r="AO227" s="38">
        <f t="shared" si="840"/>
        <v>0.99999999999999967</v>
      </c>
      <c r="AP227" s="38">
        <f t="shared" si="859"/>
        <v>1.5983954151836357</v>
      </c>
      <c r="AQ227" s="4">
        <f t="shared" si="860"/>
        <v>0</v>
      </c>
      <c r="AR227" s="4" t="e">
        <f>#REF!/G227*F227^0.5/0.19</f>
        <v>#REF!</v>
      </c>
      <c r="AS227" s="4">
        <f t="shared" si="696"/>
        <v>1</v>
      </c>
      <c r="AT227" s="38">
        <f t="shared" si="697"/>
        <v>322.13312669172785</v>
      </c>
      <c r="AU227" s="4">
        <f t="shared" si="698"/>
        <v>0.3</v>
      </c>
      <c r="AV227" s="4" t="e">
        <f>AU227*D227*#REF!/(D227*G227/2.75/F227^0.5)</f>
        <v>#REF!</v>
      </c>
      <c r="AW227" s="4" t="e">
        <f t="shared" si="849"/>
        <v>#REF!</v>
      </c>
      <c r="AY227" s="4">
        <f t="shared" si="700"/>
        <v>1.1240157480314961</v>
      </c>
      <c r="AZ227" s="4" t="e">
        <f>(3*#REF!+30)*AY227*F227^0.5</f>
        <v>#REF!</v>
      </c>
      <c r="BB227" s="4">
        <f t="shared" si="701"/>
        <v>308.96506281174231</v>
      </c>
      <c r="BC227" s="4">
        <f t="shared" si="828"/>
        <v>2245.2309649218914</v>
      </c>
      <c r="BD227" s="4">
        <f t="shared" si="862"/>
        <v>7.2669412667216324</v>
      </c>
      <c r="BL227" s="4">
        <f t="shared" si="704"/>
        <v>38</v>
      </c>
      <c r="BP227" s="9"/>
      <c r="BR227" s="9"/>
      <c r="BS227" s="9"/>
      <c r="BT227" s="9">
        <f t="shared" si="705"/>
        <v>38</v>
      </c>
      <c r="BU227" s="9">
        <f t="shared" si="706"/>
        <v>89.1</v>
      </c>
      <c r="BV227" s="9">
        <f t="shared" si="707"/>
        <v>1.3899176059121618</v>
      </c>
      <c r="BW227" s="9">
        <v>0</v>
      </c>
      <c r="BX227" s="9">
        <f t="shared" si="708"/>
        <v>0</v>
      </c>
      <c r="BY227" s="9">
        <f t="shared" si="850"/>
        <v>0</v>
      </c>
      <c r="BZ227" s="9">
        <f t="shared" si="710"/>
        <v>0.99524931562137331</v>
      </c>
      <c r="CA227" s="9">
        <f t="shared" si="711"/>
        <v>0.88300000000000001</v>
      </c>
      <c r="CB227" s="9">
        <f t="shared" si="712"/>
        <v>1.8196784745027872</v>
      </c>
      <c r="CC227" s="9">
        <f t="shared" si="713"/>
        <v>2.5292031488108089</v>
      </c>
      <c r="CD227" s="9">
        <v>1</v>
      </c>
      <c r="CE227" s="9" t="e">
        <f>4*CC227*#REF!+60*CC227</f>
        <v>#REF!</v>
      </c>
      <c r="CG227" s="4" t="e">
        <f>V227/AR227</f>
        <v>#REF!</v>
      </c>
      <c r="CH227" s="4" t="e">
        <f>V227/AW227</f>
        <v>#REF!</v>
      </c>
      <c r="CI227" s="4" t="e">
        <f t="shared" ref="CI227:CI229" si="876">V227/AZ227</f>
        <v>#REF!</v>
      </c>
      <c r="CJ227" s="4" t="e">
        <f>V227/CE227</f>
        <v>#REF!</v>
      </c>
      <c r="CK227" s="4">
        <f t="shared" si="866"/>
        <v>0.93206382246205521</v>
      </c>
      <c r="CL227" s="4">
        <f t="shared" ref="CL227:CL229" si="877">V227/DX227</f>
        <v>0.96123910886210173</v>
      </c>
      <c r="CM227" s="4">
        <f>V227/FU227</f>
        <v>1.08971818573285</v>
      </c>
      <c r="CO227" s="4" t="e">
        <f t="shared" si="809"/>
        <v>#REF!</v>
      </c>
      <c r="CP227" s="4" t="e">
        <f t="shared" si="810"/>
        <v>#REF!</v>
      </c>
      <c r="CQ227" s="4" t="e">
        <f t="shared" si="811"/>
        <v>#REF!</v>
      </c>
      <c r="CR227" s="4">
        <f t="shared" ref="CR227:CR228" si="878">CM227</f>
        <v>1.08971818573285</v>
      </c>
      <c r="CS227" s="4">
        <f t="shared" si="812"/>
        <v>0.93206382246205521</v>
      </c>
      <c r="CT227" s="4">
        <f t="shared" si="813"/>
        <v>0.96123910886210173</v>
      </c>
      <c r="DB227" s="4">
        <f t="shared" si="677"/>
        <v>0</v>
      </c>
      <c r="DC227" s="4" t="e">
        <f>#REF!</f>
        <v>#REF!</v>
      </c>
      <c r="DF227" s="4">
        <f t="shared" si="723"/>
        <v>1.5361578672425713E-5</v>
      </c>
      <c r="DG227" s="4">
        <f t="shared" si="724"/>
        <v>6.6853003614357291</v>
      </c>
      <c r="DH227" s="4">
        <f t="shared" si="725"/>
        <v>0.26906290889067602</v>
      </c>
      <c r="DI227" s="4">
        <f t="shared" si="726"/>
        <v>3.9542348333817863</v>
      </c>
      <c r="DJ227" s="4">
        <f t="shared" si="727"/>
        <v>5.4933029542331306</v>
      </c>
      <c r="DK227" s="4">
        <f t="shared" si="728"/>
        <v>6.4917589700897658</v>
      </c>
      <c r="DL227" s="38">
        <f t="shared" si="729"/>
        <v>376.89210170124204</v>
      </c>
      <c r="DM227" s="4" t="e">
        <f t="shared" si="730"/>
        <v>#REF!</v>
      </c>
      <c r="DN227" s="4">
        <f t="shared" si="731"/>
        <v>2.5130222387491825</v>
      </c>
      <c r="DO227" s="4">
        <f t="shared" si="776"/>
        <v>201.53531700084287</v>
      </c>
      <c r="DS227" s="4">
        <f t="shared" si="733"/>
        <v>0.85</v>
      </c>
      <c r="DT227" s="4">
        <f t="shared" si="734"/>
        <v>0.9503937007874016</v>
      </c>
      <c r="DU227" s="4">
        <f t="shared" si="735"/>
        <v>1</v>
      </c>
      <c r="DV227" s="4">
        <f t="shared" si="736"/>
        <v>0.9503937007874016</v>
      </c>
      <c r="DX227" s="4">
        <f t="shared" si="737"/>
        <v>365.45276792084064</v>
      </c>
      <c r="DY227" s="25">
        <f t="shared" si="851"/>
        <v>198.84666048821009</v>
      </c>
      <c r="EA227" s="4">
        <f t="shared" si="852"/>
        <v>0.80783464566929131</v>
      </c>
      <c r="EB227" s="4">
        <f t="shared" si="739"/>
        <v>6.6853003614357291</v>
      </c>
      <c r="EE227" s="4">
        <f t="shared" si="740"/>
        <v>63.830764864229231</v>
      </c>
      <c r="EF227" s="4">
        <f t="shared" si="741"/>
        <v>2.5130222387491825</v>
      </c>
      <c r="EG227" s="4">
        <f t="shared" si="742"/>
        <v>8.7040849439833257E-2</v>
      </c>
      <c r="EJ227" s="4">
        <f t="shared" si="853"/>
        <v>8.7040849439833257E-2</v>
      </c>
      <c r="EK227" s="4">
        <f t="shared" si="744"/>
        <v>0.26861389304224681</v>
      </c>
      <c r="EL227" s="4">
        <f t="shared" si="679"/>
        <v>3.9515939583409634</v>
      </c>
      <c r="EM227" s="4">
        <f t="shared" si="854"/>
        <v>5.4923572720963749</v>
      </c>
      <c r="EN227" s="4" t="e">
        <f t="shared" si="863"/>
        <v>#REF!</v>
      </c>
      <c r="EO227" s="4" t="e">
        <f t="shared" si="864"/>
        <v>#REF!</v>
      </c>
      <c r="EP227" s="4" t="e">
        <f t="shared" si="749"/>
        <v>#REF!</v>
      </c>
      <c r="EQ227" s="4" t="e">
        <f t="shared" si="855"/>
        <v>#REF!</v>
      </c>
      <c r="ER227" s="4" t="e">
        <f t="shared" si="751"/>
        <v>#REF!</v>
      </c>
      <c r="FA227" s="23" t="e">
        <f t="shared" ref="FA227:FA229" si="879">IF(CG227&lt;0.6,0.6,IF(CG227&lt;0.8,0.8,IF(CG227&lt;1,1,IF(CG227&lt;1.2,1.2,IF(CG227&lt;1.4,1.4,IF(CG227&lt;1.6,1.6,IF(CG227&lt;1.8,1.8,IF(CG227&lt;2,2,2.2))))))))</f>
        <v>#REF!</v>
      </c>
      <c r="FB227" s="23" t="e">
        <f t="shared" ref="FB227:FB229" si="880">IF(CH227&lt;0.6,0.6,IF(CH227&lt;0.8,0.8,IF(CH227&lt;1,1,IF(CH227&lt;1.2,1.2,IF(CH227&lt;1.4,1.4,IF(CH227&lt;1.6,1.6,IF(CH227&lt;1.8,1.8,IF(CH227&lt;2,2,2.2))))))))</f>
        <v>#REF!</v>
      </c>
      <c r="FC227" s="23">
        <f t="shared" ref="FC227:FC229" si="881">IF(CM227&lt;0.6,0.6,IF(CM227&lt;0.8,0.8,IF(CM227&lt;1,1,IF(CM227&lt;1.2,1.2,IF(CM227&lt;1.4,1.4,IF(CM227&lt;1.6,1.6,IF(CM227&lt;1.8,1.8,IF(CM227&lt;2,2,2.2))))))))</f>
        <v>1.2</v>
      </c>
      <c r="FD227" s="23" t="e">
        <f t="shared" ref="FD227:FD229" si="882">IF(CJ227&lt;0.6,0.6,IF(CJ227&lt;0.8,0.8,IF(CJ227&lt;1,1,IF(CJ227&lt;1.2,1.2,IF(CJ227&lt;1.4,1.4,IF(CJ227&lt;1.6,1.6,IF(CJ227&lt;1.8,1.8,IF(CJ227&lt;2,2,2.2))))))))</f>
        <v>#REF!</v>
      </c>
      <c r="FE227" s="23">
        <f t="shared" ref="FE227:FE229" si="883">IF(CK227&lt;0.6,0.6,IF(CK227&lt;0.8,0.8,IF(CK227&lt;1,1,IF(CK227&lt;1.2,1.2,IF(CK227&lt;1.4,1.4,IF(CK227&lt;1.6,1.6,IF(CK227&lt;1.8,1.8,IF(CK227&lt;2,2,2.2))))))))</f>
        <v>1</v>
      </c>
      <c r="FF227" s="23">
        <f t="shared" ref="FF227:FF229" si="884">IF(CL227&lt;0.6,0.6,IF(CL227&lt;0.8,0.8,IF(CL227&lt;1,1,IF(CL227&lt;1.2,1.2,IF(CL227&lt;1.4,1.4,IF(CL227&lt;1.6,1.6,IF(CL227&lt;1.8,1.8,IF(CL227&lt;2,2,2.2))))))))</f>
        <v>1</v>
      </c>
      <c r="FG227" s="23">
        <f t="shared" ref="FG227:FG229" si="885">IF(FE227&lt;1,1,0)</f>
        <v>0</v>
      </c>
      <c r="FH227" s="23"/>
      <c r="FR227" s="4">
        <f t="shared" si="842"/>
        <v>1.25</v>
      </c>
      <c r="FS227" s="4">
        <f t="shared" si="843"/>
        <v>0.5</v>
      </c>
      <c r="FT227" s="4">
        <f t="shared" si="844"/>
        <v>0</v>
      </c>
      <c r="FU227" s="4">
        <f t="shared" si="845"/>
        <v>322.36544967924146</v>
      </c>
    </row>
    <row r="228" spans="2:177" ht="12" customHeight="1" x14ac:dyDescent="0.3">
      <c r="B228" s="24"/>
      <c r="C228" s="4" t="s">
        <v>340</v>
      </c>
      <c r="D228" s="7">
        <v>578</v>
      </c>
      <c r="E228" s="7">
        <f>381-J228-18</f>
        <v>287</v>
      </c>
      <c r="F228" s="7">
        <v>38.299999999999997</v>
      </c>
      <c r="G228" s="7">
        <v>25.4</v>
      </c>
      <c r="H228" s="7">
        <v>305</v>
      </c>
      <c r="I228" s="7">
        <v>76</v>
      </c>
      <c r="J228" s="7">
        <v>76</v>
      </c>
      <c r="K228" s="7">
        <f t="shared" ref="K228:K247" si="886">H228-2*G228-2*I228</f>
        <v>102.19999999999999</v>
      </c>
      <c r="L228" s="7">
        <v>2</v>
      </c>
      <c r="M228" s="7">
        <f t="shared" si="856"/>
        <v>280</v>
      </c>
      <c r="N228" s="7">
        <f t="shared" si="684"/>
        <v>2.5118110236220472</v>
      </c>
      <c r="O228" s="7">
        <f t="shared" si="685"/>
        <v>3.4921259842519685</v>
      </c>
      <c r="P228" s="7">
        <f>3200/(G228^2*PI()/4)-1</f>
        <v>5.3152807724479523</v>
      </c>
      <c r="Q228" s="7">
        <f>3200/(G228^2*PI()/4)-1</f>
        <v>5.3152807724479523</v>
      </c>
      <c r="R228" s="7">
        <f t="shared" si="686"/>
        <v>6.3152807724479523</v>
      </c>
      <c r="S228" s="7">
        <f t="shared" si="687"/>
        <v>63.830764864229231</v>
      </c>
      <c r="T228" s="7">
        <f t="shared" si="826"/>
        <v>578</v>
      </c>
      <c r="U228" s="7">
        <v>18</v>
      </c>
      <c r="V228" s="7">
        <f>273*1000/(G228^2*PI()/4)</f>
        <v>538.7723908994659</v>
      </c>
      <c r="W228" s="7"/>
      <c r="X228" s="4">
        <f t="shared" si="689"/>
        <v>1.0324950798962937</v>
      </c>
      <c r="Y228" s="7"/>
      <c r="Z228" s="7"/>
      <c r="AA228" s="7">
        <v>1</v>
      </c>
      <c r="AB228" s="7"/>
      <c r="AC228" s="7"/>
      <c r="AD228" s="7">
        <f t="shared" si="827"/>
        <v>6.7476489028213171</v>
      </c>
      <c r="AE228" s="4">
        <f t="shared" si="691"/>
        <v>287</v>
      </c>
      <c r="AF228" s="4">
        <f t="shared" si="692"/>
        <v>0.35423925667828104</v>
      </c>
      <c r="AG228" s="4">
        <f t="shared" si="693"/>
        <v>296.91690288490338</v>
      </c>
      <c r="AH228" s="4">
        <f t="shared" si="694"/>
        <v>0.76181184668989543</v>
      </c>
      <c r="AI228" s="4">
        <v>1.25</v>
      </c>
      <c r="AJ228" s="4">
        <f t="shared" si="857"/>
        <v>2.5</v>
      </c>
      <c r="AK228" s="38">
        <f t="shared" si="848"/>
        <v>250.39713378541933</v>
      </c>
      <c r="AL228" s="38">
        <f t="shared" si="762"/>
        <v>250.39713378541933</v>
      </c>
      <c r="AM228" s="38">
        <f t="shared" si="695"/>
        <v>3.408686840836292</v>
      </c>
      <c r="AN228" s="38">
        <f t="shared" si="858"/>
        <v>250.39713378541916</v>
      </c>
      <c r="AO228" s="38">
        <f t="shared" si="840"/>
        <v>1.0000000000000007</v>
      </c>
      <c r="AP228" s="38">
        <f t="shared" si="859"/>
        <v>2.0480931873248389</v>
      </c>
      <c r="AQ228" s="4">
        <f t="shared" si="860"/>
        <v>0</v>
      </c>
      <c r="AR228" s="4" t="e">
        <f>#REF!/G228*F228^0.5/0.19</f>
        <v>#REF!</v>
      </c>
      <c r="AS228" s="4">
        <f t="shared" si="696"/>
        <v>1.1561128526645768</v>
      </c>
      <c r="AT228" s="38">
        <f t="shared" si="697"/>
        <v>512.83666383158322</v>
      </c>
      <c r="AU228" s="4">
        <f t="shared" si="698"/>
        <v>0.3</v>
      </c>
      <c r="AV228" s="4" t="e">
        <f>AU228*D228*#REF!/(D228*G228/2.75/F228^0.5)</f>
        <v>#REF!</v>
      </c>
      <c r="AW228" s="4" t="e">
        <f t="shared" si="849"/>
        <v>#REF!</v>
      </c>
      <c r="AY228" s="4">
        <f t="shared" si="700"/>
        <v>1.4980314960629921</v>
      </c>
      <c r="AZ228" s="4" t="e">
        <f>(3*#REF!+30)*AY228*F228^0.5</f>
        <v>#REF!</v>
      </c>
      <c r="BB228" s="4">
        <f t="shared" si="701"/>
        <v>491.87307645177486</v>
      </c>
      <c r="BC228" s="4">
        <f t="shared" si="828"/>
        <v>2245.2309649218914</v>
      </c>
      <c r="BD228" s="4">
        <f t="shared" si="862"/>
        <v>4.564655136480158</v>
      </c>
      <c r="BL228" s="4">
        <f t="shared" si="704"/>
        <v>51.099999999999994</v>
      </c>
      <c r="BP228" s="9"/>
      <c r="BR228" s="9"/>
      <c r="BS228" s="9"/>
      <c r="BT228" s="9">
        <f t="shared" si="705"/>
        <v>51.099999999999994</v>
      </c>
      <c r="BU228" s="9">
        <f t="shared" si="706"/>
        <v>76</v>
      </c>
      <c r="BV228" s="9">
        <f t="shared" si="707"/>
        <v>1.5054020239149992</v>
      </c>
      <c r="BW228" s="9">
        <v>0</v>
      </c>
      <c r="BX228" s="9">
        <f t="shared" si="708"/>
        <v>0</v>
      </c>
      <c r="BY228" s="9">
        <f t="shared" si="850"/>
        <v>0</v>
      </c>
      <c r="BZ228" s="9">
        <f t="shared" si="710"/>
        <v>0.99524931562137331</v>
      </c>
      <c r="CA228" s="9">
        <f t="shared" si="711"/>
        <v>0.88300000000000001</v>
      </c>
      <c r="CB228" s="9">
        <f t="shared" si="712"/>
        <v>1.9035313007054222</v>
      </c>
      <c r="CC228" s="9">
        <f t="shared" si="713"/>
        <v>2.8655798726674937</v>
      </c>
      <c r="CD228" s="9">
        <v>1</v>
      </c>
      <c r="CE228" s="9" t="e">
        <f>4*CC228*#REF!+60*CC228</f>
        <v>#REF!</v>
      </c>
      <c r="CG228" s="4" t="e">
        <f>V228/AR228</f>
        <v>#REF!</v>
      </c>
      <c r="CH228" s="4" t="e">
        <f>V228/AW228</f>
        <v>#REF!</v>
      </c>
      <c r="CI228" s="4" t="e">
        <f t="shared" si="876"/>
        <v>#REF!</v>
      </c>
      <c r="CJ228" s="4" t="e">
        <f>V228/CE228</f>
        <v>#REF!</v>
      </c>
      <c r="CK228" s="4">
        <f t="shared" si="866"/>
        <v>1.0324950798962937</v>
      </c>
      <c r="CL228" s="4">
        <f t="shared" si="877"/>
        <v>1.0800473563193289</v>
      </c>
      <c r="CM228" s="4">
        <f>V228/FU228</f>
        <v>1.4378533266448839</v>
      </c>
      <c r="CO228" s="4" t="e">
        <f t="shared" si="809"/>
        <v>#REF!</v>
      </c>
      <c r="CP228" s="4" t="e">
        <f t="shared" si="810"/>
        <v>#REF!</v>
      </c>
      <c r="CQ228" s="4" t="e">
        <f t="shared" si="811"/>
        <v>#REF!</v>
      </c>
      <c r="CR228" s="4">
        <f t="shared" si="878"/>
        <v>1.4378533266448839</v>
      </c>
      <c r="CS228" s="4">
        <f t="shared" si="812"/>
        <v>1.0324950798962937</v>
      </c>
      <c r="CT228" s="4">
        <f t="shared" si="813"/>
        <v>1.0800473563193289</v>
      </c>
      <c r="DB228" s="4">
        <f t="shared" si="677"/>
        <v>0</v>
      </c>
      <c r="DC228" s="4" t="e">
        <f>#REF!</f>
        <v>#REF!</v>
      </c>
      <c r="DF228" s="4">
        <f t="shared" si="723"/>
        <v>2.13666473812144E-5</v>
      </c>
      <c r="DG228" s="4">
        <f t="shared" si="724"/>
        <v>7.3946503468884011</v>
      </c>
      <c r="DH228" s="4">
        <f t="shared" si="725"/>
        <v>0.30549302157709252</v>
      </c>
      <c r="DI228" s="4">
        <f t="shared" si="726"/>
        <v>4.6016985041395433</v>
      </c>
      <c r="DJ228" s="4">
        <f t="shared" si="727"/>
        <v>6.1594193049739197</v>
      </c>
      <c r="DK228" s="4">
        <f t="shared" si="728"/>
        <v>6.9285703929324711</v>
      </c>
      <c r="DL228" s="38">
        <f t="shared" si="729"/>
        <v>521.81594023051571</v>
      </c>
      <c r="DM228" s="4" t="e">
        <f t="shared" si="730"/>
        <v>#REF!</v>
      </c>
      <c r="DN228" s="4">
        <f t="shared" si="731"/>
        <v>2.5130222387491825</v>
      </c>
      <c r="DO228" s="4">
        <f t="shared" si="776"/>
        <v>250.39713378541916</v>
      </c>
      <c r="DS228" s="4">
        <f t="shared" si="733"/>
        <v>0.85</v>
      </c>
      <c r="DT228" s="4">
        <f t="shared" si="734"/>
        <v>0.89881889763779532</v>
      </c>
      <c r="DU228" s="4">
        <f t="shared" si="735"/>
        <v>1</v>
      </c>
      <c r="DV228" s="4">
        <f t="shared" si="736"/>
        <v>0.89881889763779532</v>
      </c>
      <c r="DX228" s="4">
        <f t="shared" si="737"/>
        <v>498.84145148555075</v>
      </c>
      <c r="DY228" s="25">
        <f t="shared" si="851"/>
        <v>248.18027240401869</v>
      </c>
      <c r="EA228" s="4">
        <f t="shared" si="852"/>
        <v>0.76399606299212597</v>
      </c>
      <c r="EB228" s="4">
        <f t="shared" si="739"/>
        <v>7.3946503468884011</v>
      </c>
      <c r="EE228" s="4">
        <f t="shared" si="740"/>
        <v>63.830764864229231</v>
      </c>
      <c r="EF228" s="4">
        <f t="shared" si="741"/>
        <v>2.5130222387491825</v>
      </c>
      <c r="EG228" s="4">
        <f t="shared" si="742"/>
        <v>0.10337986159960641</v>
      </c>
      <c r="EJ228" s="4">
        <f t="shared" si="853"/>
        <v>0.10337986159960641</v>
      </c>
      <c r="EK228" s="4">
        <f t="shared" si="744"/>
        <v>0.3049832106602397</v>
      </c>
      <c r="EL228" s="4">
        <f t="shared" si="679"/>
        <v>4.5986252140500472</v>
      </c>
      <c r="EM228" s="4">
        <f t="shared" si="854"/>
        <v>6.1582755537013707</v>
      </c>
      <c r="EN228" s="4" t="e">
        <f t="shared" si="863"/>
        <v>#REF!</v>
      </c>
      <c r="EO228" s="4" t="e">
        <f t="shared" si="864"/>
        <v>#REF!</v>
      </c>
      <c r="EP228" s="4" t="e">
        <f t="shared" si="749"/>
        <v>#REF!</v>
      </c>
      <c r="EQ228" s="4" t="e">
        <f t="shared" si="855"/>
        <v>#REF!</v>
      </c>
      <c r="ER228" s="4" t="e">
        <f t="shared" si="751"/>
        <v>#REF!</v>
      </c>
      <c r="FA228" s="23" t="e">
        <f t="shared" si="879"/>
        <v>#REF!</v>
      </c>
      <c r="FB228" s="23" t="e">
        <f t="shared" si="880"/>
        <v>#REF!</v>
      </c>
      <c r="FC228" s="23">
        <f t="shared" si="881"/>
        <v>1.6</v>
      </c>
      <c r="FD228" s="23" t="e">
        <f t="shared" si="882"/>
        <v>#REF!</v>
      </c>
      <c r="FE228" s="23">
        <f t="shared" si="883"/>
        <v>1.2</v>
      </c>
      <c r="FF228" s="23">
        <f t="shared" si="884"/>
        <v>1.2</v>
      </c>
      <c r="FG228" s="23">
        <f t="shared" si="885"/>
        <v>0</v>
      </c>
      <c r="FH228" s="23"/>
      <c r="FR228" s="4">
        <f t="shared" si="842"/>
        <v>1</v>
      </c>
      <c r="FS228" s="4">
        <f t="shared" si="843"/>
        <v>0.74803149606299213</v>
      </c>
      <c r="FT228" s="4">
        <f t="shared" si="844"/>
        <v>0</v>
      </c>
      <c r="FU228" s="4">
        <f t="shared" si="845"/>
        <v>374.70608504738681</v>
      </c>
    </row>
    <row r="229" spans="2:177" ht="12" customHeight="1" x14ac:dyDescent="0.3">
      <c r="B229" s="24"/>
      <c r="C229" s="4" t="s">
        <v>341</v>
      </c>
      <c r="D229" s="7">
        <v>556</v>
      </c>
      <c r="E229" s="7">
        <f>381-J229-25</f>
        <v>280</v>
      </c>
      <c r="F229" s="7">
        <v>37.200000000000003</v>
      </c>
      <c r="G229" s="7">
        <v>35.799999999999997</v>
      </c>
      <c r="H229" s="7">
        <v>305</v>
      </c>
      <c r="I229" s="7">
        <v>76</v>
      </c>
      <c r="J229" s="7">
        <v>76</v>
      </c>
      <c r="K229" s="7">
        <f t="shared" si="886"/>
        <v>81.400000000000006</v>
      </c>
      <c r="L229" s="7">
        <v>2</v>
      </c>
      <c r="M229" s="7">
        <f t="shared" si="856"/>
        <v>280</v>
      </c>
      <c r="N229" s="7">
        <f t="shared" si="684"/>
        <v>1.6368715083798884</v>
      </c>
      <c r="O229" s="7">
        <f t="shared" si="685"/>
        <v>2.6229050279329611</v>
      </c>
      <c r="P229" s="7">
        <f>3025/(G229^2*PI()/4)-1</f>
        <v>2.0051727652257014</v>
      </c>
      <c r="Q229" s="7">
        <f>3025/(G229^2*PI()/4)-1</f>
        <v>2.0051727652257014</v>
      </c>
      <c r="R229" s="7">
        <f t="shared" si="686"/>
        <v>3.0051727652257014</v>
      </c>
      <c r="S229" s="7">
        <f t="shared" si="687"/>
        <v>62.060854190253195</v>
      </c>
      <c r="T229" s="7">
        <f t="shared" si="826"/>
        <v>556</v>
      </c>
      <c r="U229" s="7">
        <v>25</v>
      </c>
      <c r="V229" s="7">
        <f>416*1000/(G229^2*PI()/4)</f>
        <v>413.27334556492286</v>
      </c>
      <c r="W229" s="7"/>
      <c r="X229" s="4">
        <f t="shared" si="689"/>
        <v>1.4559039363893846</v>
      </c>
      <c r="Y229" s="7">
        <v>9.5</v>
      </c>
      <c r="Z229" s="7">
        <v>2</v>
      </c>
      <c r="AA229" s="7">
        <v>102</v>
      </c>
      <c r="AB229" s="7">
        <v>4</v>
      </c>
      <c r="AC229" s="7">
        <f>Z229</f>
        <v>2</v>
      </c>
      <c r="AD229" s="7">
        <f t="shared" si="827"/>
        <v>7.1672354948805461</v>
      </c>
      <c r="AE229" s="4">
        <f t="shared" si="691"/>
        <v>280</v>
      </c>
      <c r="AF229" s="4">
        <f t="shared" si="692"/>
        <v>0.36309523809523808</v>
      </c>
      <c r="AG229" s="4">
        <f t="shared" si="693"/>
        <v>141.94581301451609</v>
      </c>
      <c r="AH229" s="4">
        <f t="shared" si="694"/>
        <v>0.76707142857142852</v>
      </c>
      <c r="AI229" s="4">
        <v>1.25</v>
      </c>
      <c r="AJ229" s="4">
        <f t="shared" si="857"/>
        <v>2.5</v>
      </c>
      <c r="AK229" s="38">
        <f t="shared" si="848"/>
        <v>123.54607945862055</v>
      </c>
      <c r="AL229" s="38">
        <f t="shared" si="762"/>
        <v>123.54607945862055</v>
      </c>
      <c r="AM229" s="38">
        <f t="shared" si="695"/>
        <v>3.3431039547269137</v>
      </c>
      <c r="AN229" s="38">
        <f t="shared" si="858"/>
        <v>123.54607945862062</v>
      </c>
      <c r="AO229" s="38">
        <f t="shared" si="840"/>
        <v>0.99999999999999944</v>
      </c>
      <c r="AP229" s="38">
        <f t="shared" si="859"/>
        <v>1.7321707849671844</v>
      </c>
      <c r="AQ229" s="4">
        <f t="shared" si="860"/>
        <v>0</v>
      </c>
      <c r="AR229" s="4" t="e">
        <f>#REF!/G229*F229^0.5/0.19</f>
        <v>#REF!</v>
      </c>
      <c r="AS229" s="4">
        <f t="shared" si="696"/>
        <v>1.2409556313993173</v>
      </c>
      <c r="AT229" s="38">
        <f t="shared" si="697"/>
        <v>214.00290943545701</v>
      </c>
      <c r="AU229" s="4">
        <f t="shared" si="698"/>
        <v>0.71927581286840181</v>
      </c>
      <c r="AV229" s="4" t="e">
        <f>AU229*D229*#REF!/(D229*G229/2.75/F229^0.5)</f>
        <v>#REF!</v>
      </c>
      <c r="AW229" s="4" t="e">
        <f t="shared" si="849"/>
        <v>#REF!</v>
      </c>
      <c r="AY229" s="4">
        <f t="shared" si="700"/>
        <v>1.5</v>
      </c>
      <c r="AZ229" s="4" t="e">
        <f>(3*#REF!+30)*AY229*F229^0.5</f>
        <v>#REF!</v>
      </c>
      <c r="BB229" s="4">
        <f t="shared" si="701"/>
        <v>205.25496099907775</v>
      </c>
      <c r="BC229" s="4">
        <f t="shared" si="828"/>
        <v>30569.451870773988</v>
      </c>
      <c r="BD229" s="4">
        <f t="shared" si="862"/>
        <v>148.93404632939101</v>
      </c>
      <c r="BL229" s="4">
        <f t="shared" si="704"/>
        <v>40.700000000000003</v>
      </c>
      <c r="BP229" s="9"/>
      <c r="BR229" s="9"/>
      <c r="BS229" s="9"/>
      <c r="BT229" s="9">
        <f t="shared" si="705"/>
        <v>40.700000000000003</v>
      </c>
      <c r="BU229" s="9">
        <f t="shared" si="706"/>
        <v>76</v>
      </c>
      <c r="BV229" s="9">
        <f t="shared" si="707"/>
        <v>1.1709505872794554</v>
      </c>
      <c r="BW229" s="9">
        <v>20</v>
      </c>
      <c r="BX229" s="9">
        <f t="shared" si="708"/>
        <v>3.8822534914349713E-2</v>
      </c>
      <c r="BY229" s="9">
        <f t="shared" si="850"/>
        <v>0.57645069828699425</v>
      </c>
      <c r="BZ229" s="9">
        <f t="shared" si="710"/>
        <v>0.89787751228078194</v>
      </c>
      <c r="CA229" s="9">
        <f t="shared" si="711"/>
        <v>0.91600000000000004</v>
      </c>
      <c r="CB229" s="9">
        <f t="shared" si="712"/>
        <v>1.7557071693774966</v>
      </c>
      <c r="CC229" s="9">
        <f t="shared" si="713"/>
        <v>3.0679249648484697</v>
      </c>
      <c r="CD229" s="9">
        <v>1</v>
      </c>
      <c r="CE229" s="9" t="e">
        <f>4*CC229*#REF!+60*CC229</f>
        <v>#REF!</v>
      </c>
      <c r="CG229" s="4" t="e">
        <f>V229/AR229</f>
        <v>#REF!</v>
      </c>
      <c r="CH229" s="4" t="e">
        <f>V229/AW229</f>
        <v>#REF!</v>
      </c>
      <c r="CI229" s="4" t="e">
        <f t="shared" si="876"/>
        <v>#REF!</v>
      </c>
      <c r="CJ229" s="4" t="e">
        <f>V229/CE229</f>
        <v>#REF!</v>
      </c>
      <c r="CK229" s="4">
        <f t="shared" si="866"/>
        <v>1.4559039363893846</v>
      </c>
      <c r="CL229" s="4">
        <f t="shared" si="877"/>
        <v>1.5688980242628909</v>
      </c>
      <c r="CM229" s="4">
        <f>V229/FU229</f>
        <v>1.468755792642539</v>
      </c>
      <c r="CU229" s="4" t="e">
        <f t="shared" si="831"/>
        <v>#REF!</v>
      </c>
      <c r="CV229" s="4" t="e">
        <f t="shared" si="832"/>
        <v>#REF!</v>
      </c>
      <c r="CW229" s="4" t="e">
        <f t="shared" si="833"/>
        <v>#REF!</v>
      </c>
      <c r="CX229" s="4">
        <f t="shared" ref="CX229" si="887">CM229</f>
        <v>1.468755792642539</v>
      </c>
      <c r="CY229" s="4">
        <f t="shared" si="835"/>
        <v>1.4559039363893846</v>
      </c>
      <c r="CZ229" s="4">
        <f t="shared" si="836"/>
        <v>1.5688980242628909</v>
      </c>
      <c r="DB229" s="4">
        <f t="shared" si="677"/>
        <v>2</v>
      </c>
      <c r="DC229" s="4" t="e">
        <f>#REF!</f>
        <v>#REF!</v>
      </c>
      <c r="DF229" s="4">
        <f t="shared" si="723"/>
        <v>1.4680935773666002E-5</v>
      </c>
      <c r="DG229" s="4">
        <f t="shared" si="724"/>
        <v>6.0344229393186612</v>
      </c>
      <c r="DH229" s="4">
        <f t="shared" si="725"/>
        <v>0.39996211532628534</v>
      </c>
      <c r="DI229" s="4">
        <f t="shared" si="726"/>
        <v>4.1825706759744072</v>
      </c>
      <c r="DJ229" s="4">
        <f t="shared" si="727"/>
        <v>5.1919973193811018</v>
      </c>
      <c r="DK229" s="4">
        <f t="shared" si="728"/>
        <v>5.8162689076432361</v>
      </c>
      <c r="DL229" s="38">
        <f t="shared" si="729"/>
        <v>283.8603119583791</v>
      </c>
      <c r="DM229" s="4" t="e">
        <f t="shared" si="730"/>
        <v>#REF!</v>
      </c>
      <c r="DN229" s="4">
        <f t="shared" si="731"/>
        <v>1.7335434131355643</v>
      </c>
      <c r="DO229" s="4">
        <f t="shared" si="776"/>
        <v>123.54607945862062</v>
      </c>
      <c r="DS229" s="4">
        <f t="shared" si="733"/>
        <v>0.85</v>
      </c>
      <c r="DT229" s="4">
        <f t="shared" si="734"/>
        <v>0.98631284916201112</v>
      </c>
      <c r="DU229" s="4">
        <f t="shared" si="735"/>
        <v>0.99049889204456787</v>
      </c>
      <c r="DV229" s="4">
        <f t="shared" si="736"/>
        <v>0.97694178430429301</v>
      </c>
      <c r="DX229" s="4">
        <f t="shared" si="737"/>
        <v>263.41632099325858</v>
      </c>
      <c r="DY229" s="25">
        <f t="shared" si="851"/>
        <v>121.8265090092453</v>
      </c>
      <c r="EA229" s="4">
        <f t="shared" si="852"/>
        <v>0.830400516658649</v>
      </c>
      <c r="EB229" s="4">
        <f t="shared" si="739"/>
        <v>6.0344229393186612</v>
      </c>
      <c r="EE229" s="4">
        <f t="shared" si="740"/>
        <v>62.060854190253195</v>
      </c>
      <c r="EF229" s="4">
        <f t="shared" si="741"/>
        <v>1.7335434131355643</v>
      </c>
      <c r="EG229" s="4">
        <f t="shared" si="742"/>
        <v>0.13339071238746128</v>
      </c>
      <c r="EJ229" s="4">
        <f t="shared" si="853"/>
        <v>0.13339071238746128</v>
      </c>
      <c r="EK229" s="4">
        <f t="shared" si="744"/>
        <v>0.39929465309861079</v>
      </c>
      <c r="EL229" s="4">
        <f t="shared" si="679"/>
        <v>4.1797773045713216</v>
      </c>
      <c r="EM229" s="4">
        <f t="shared" si="854"/>
        <v>5.1908741626807178</v>
      </c>
      <c r="EN229" s="4" t="e">
        <f t="shared" si="863"/>
        <v>#REF!</v>
      </c>
      <c r="EO229" s="4" t="e">
        <f t="shared" si="864"/>
        <v>#REF!</v>
      </c>
      <c r="EP229" s="4" t="e">
        <f t="shared" si="749"/>
        <v>#REF!</v>
      </c>
      <c r="EQ229" s="4" t="e">
        <f t="shared" si="855"/>
        <v>#REF!</v>
      </c>
      <c r="ER229" s="4" t="e">
        <f t="shared" si="751"/>
        <v>#REF!</v>
      </c>
      <c r="FA229" s="23" t="e">
        <f t="shared" si="879"/>
        <v>#REF!</v>
      </c>
      <c r="FB229" s="23" t="e">
        <f t="shared" si="880"/>
        <v>#REF!</v>
      </c>
      <c r="FC229" s="23">
        <f t="shared" si="881"/>
        <v>1.6</v>
      </c>
      <c r="FD229" s="23" t="e">
        <f t="shared" si="882"/>
        <v>#REF!</v>
      </c>
      <c r="FE229" s="23">
        <f t="shared" si="883"/>
        <v>1.6</v>
      </c>
      <c r="FF229" s="23">
        <f t="shared" si="884"/>
        <v>1.6</v>
      </c>
      <c r="FG229" s="23">
        <f t="shared" si="885"/>
        <v>0</v>
      </c>
      <c r="FH229" s="23"/>
      <c r="FR229" s="4">
        <f t="shared" si="842"/>
        <v>1</v>
      </c>
      <c r="FS229" s="4">
        <f t="shared" si="843"/>
        <v>0.57658194354098002</v>
      </c>
      <c r="FT229" s="4">
        <f t="shared" si="844"/>
        <v>0.28167035985144034</v>
      </c>
      <c r="FU229" s="4">
        <f t="shared" si="845"/>
        <v>281.37648725209419</v>
      </c>
    </row>
    <row r="230" spans="2:177" ht="12" customHeight="1" x14ac:dyDescent="0.3">
      <c r="B230" s="24"/>
      <c r="C230" s="4" t="s">
        <v>342</v>
      </c>
      <c r="D230" s="7">
        <v>556</v>
      </c>
      <c r="E230" s="7">
        <f>381-J230-20</f>
        <v>343</v>
      </c>
      <c r="F230" s="7">
        <v>40</v>
      </c>
      <c r="G230" s="7">
        <v>35.799999999999997</v>
      </c>
      <c r="H230" s="7">
        <v>305</v>
      </c>
      <c r="I230" s="7">
        <v>76</v>
      </c>
      <c r="J230" s="7">
        <v>18</v>
      </c>
      <c r="K230" s="7">
        <f t="shared" si="886"/>
        <v>81.400000000000006</v>
      </c>
      <c r="L230" s="7">
        <v>2</v>
      </c>
      <c r="M230" s="7">
        <f t="shared" si="856"/>
        <v>280</v>
      </c>
      <c r="N230" s="7">
        <f t="shared" si="684"/>
        <v>1.6368715083798884</v>
      </c>
      <c r="O230" s="7">
        <f t="shared" si="685"/>
        <v>2.6229050279329611</v>
      </c>
      <c r="P230" s="7">
        <f>3025/(G230^2*PI()/4)-1</f>
        <v>2.0051727652257014</v>
      </c>
      <c r="Q230" s="7">
        <f>3025/(G230^2*PI()/4)-1</f>
        <v>2.0051727652257014</v>
      </c>
      <c r="R230" s="7">
        <f t="shared" si="686"/>
        <v>3.0051727652257014</v>
      </c>
      <c r="S230" s="7">
        <f t="shared" si="687"/>
        <v>62.060854190253195</v>
      </c>
      <c r="T230" s="7">
        <f t="shared" si="826"/>
        <v>556</v>
      </c>
      <c r="U230" s="7">
        <v>20</v>
      </c>
      <c r="V230" s="7"/>
      <c r="W230" s="32" t="s">
        <v>308</v>
      </c>
      <c r="X230" s="4">
        <f t="shared" si="689"/>
        <v>0</v>
      </c>
      <c r="Y230" s="7"/>
      <c r="Z230" s="7"/>
      <c r="AA230" s="7">
        <v>1</v>
      </c>
      <c r="AB230" s="7"/>
      <c r="AC230" s="7"/>
      <c r="AD230" s="7">
        <f t="shared" si="827"/>
        <v>8.7798634812286682</v>
      </c>
      <c r="AE230" s="4">
        <f t="shared" si="691"/>
        <v>343</v>
      </c>
      <c r="AF230" s="4">
        <f t="shared" si="692"/>
        <v>0.29640427599611274</v>
      </c>
      <c r="AG230" s="4">
        <f t="shared" si="693"/>
        <v>199.56539930939542</v>
      </c>
      <c r="AH230" s="4">
        <f t="shared" si="694"/>
        <v>0.75475218658892129</v>
      </c>
      <c r="AI230" s="4">
        <v>1.25</v>
      </c>
      <c r="AJ230" s="4">
        <f t="shared" si="857"/>
        <v>2.5</v>
      </c>
      <c r="AK230" s="38">
        <f t="shared" si="848"/>
        <v>139.51603060118595</v>
      </c>
      <c r="AL230" s="38">
        <f t="shared" si="762"/>
        <v>139.51603060118595</v>
      </c>
      <c r="AM230" s="38">
        <f t="shared" si="695"/>
        <v>3.5088212858554391</v>
      </c>
      <c r="AN230" s="38">
        <f t="shared" si="858"/>
        <v>139.51603060118595</v>
      </c>
      <c r="AO230" s="38">
        <f t="shared" si="840"/>
        <v>1</v>
      </c>
      <c r="AP230" s="38">
        <f t="shared" si="859"/>
        <v>1.6493492132436494</v>
      </c>
      <c r="AQ230" s="4">
        <f t="shared" si="860"/>
        <v>0</v>
      </c>
      <c r="AR230" s="4" t="e">
        <f>#REF!/G230*F230^0.5/0.19</f>
        <v>#REF!</v>
      </c>
      <c r="AS230" s="4">
        <f t="shared" si="696"/>
        <v>1.2409556313993173</v>
      </c>
      <c r="AT230" s="38">
        <f t="shared" si="697"/>
        <v>230.11065530694296</v>
      </c>
      <c r="AU230" s="4">
        <f t="shared" si="698"/>
        <v>0.71927581286840181</v>
      </c>
      <c r="AV230" s="4" t="e">
        <f>AU230*D230*#REF!/(D230*G230/2.75/F230^0.5)</f>
        <v>#REF!</v>
      </c>
      <c r="AW230" s="4" t="e">
        <f t="shared" si="849"/>
        <v>#REF!</v>
      </c>
      <c r="AY230" s="4">
        <f t="shared" si="700"/>
        <v>1.2807262569832403</v>
      </c>
      <c r="AZ230" s="4" t="e">
        <f>(3*#REF!+30)*AY230*F230^0.5</f>
        <v>#REF!</v>
      </c>
      <c r="BB230" s="4">
        <f t="shared" si="701"/>
        <v>220.70425913879328</v>
      </c>
      <c r="BC230" s="4">
        <f t="shared" si="828"/>
        <v>19564.449197295351</v>
      </c>
      <c r="BD230" s="4">
        <f t="shared" si="862"/>
        <v>88.645544375253522</v>
      </c>
      <c r="BL230" s="4">
        <f t="shared" si="704"/>
        <v>40.700000000000003</v>
      </c>
      <c r="BP230" s="9"/>
      <c r="BR230" s="9"/>
      <c r="BS230" s="9"/>
      <c r="BT230" s="9">
        <f t="shared" si="705"/>
        <v>18</v>
      </c>
      <c r="BU230" s="9">
        <f t="shared" si="706"/>
        <v>76</v>
      </c>
      <c r="BV230" s="9">
        <f t="shared" si="707"/>
        <v>0.88008760053944035</v>
      </c>
      <c r="BW230" s="9">
        <v>0</v>
      </c>
      <c r="BX230" s="9">
        <f t="shared" si="708"/>
        <v>0</v>
      </c>
      <c r="BY230" s="9">
        <f t="shared" si="850"/>
        <v>0</v>
      </c>
      <c r="BZ230" s="9">
        <f t="shared" si="710"/>
        <v>0.89787751228078194</v>
      </c>
      <c r="CA230" s="9">
        <f t="shared" si="711"/>
        <v>0.91600000000000004</v>
      </c>
      <c r="CB230" s="9">
        <f t="shared" si="712"/>
        <v>1.8205835247363529</v>
      </c>
      <c r="CC230" s="9">
        <f t="shared" si="713"/>
        <v>1.6022729858668536</v>
      </c>
      <c r="CD230" s="9">
        <v>1</v>
      </c>
      <c r="CE230" s="9" t="e">
        <f>4*CC230*#REF!+60*CC230</f>
        <v>#REF!</v>
      </c>
      <c r="DB230" s="4">
        <f t="shared" ref="DB230:DB251" si="888">Z230</f>
        <v>0</v>
      </c>
      <c r="DC230" s="4" t="e">
        <f>#REF!</f>
        <v>#REF!</v>
      </c>
      <c r="DF230" s="4">
        <f t="shared" si="723"/>
        <v>1.8323811476289715E-5</v>
      </c>
      <c r="DG230" s="4">
        <f t="shared" si="724"/>
        <v>5.2682598904813771</v>
      </c>
      <c r="DH230" s="4">
        <f t="shared" si="725"/>
        <v>0.42004609193670067</v>
      </c>
      <c r="DI230" s="4">
        <f t="shared" si="726"/>
        <v>3.7237967669270295</v>
      </c>
      <c r="DJ230" s="4">
        <f t="shared" si="727"/>
        <v>4.5620541808432229</v>
      </c>
      <c r="DK230" s="4">
        <f t="shared" si="728"/>
        <v>5.0102461147907276</v>
      </c>
      <c r="DL230" s="38">
        <f t="shared" si="729"/>
        <v>312.83380392255719</v>
      </c>
      <c r="DM230" s="4" t="e">
        <f t="shared" si="730"/>
        <v>#REF!</v>
      </c>
      <c r="DN230" s="4">
        <f t="shared" si="731"/>
        <v>1.7335434131355643</v>
      </c>
      <c r="DO230" s="4">
        <f t="shared" si="776"/>
        <v>139.51603060118595</v>
      </c>
      <c r="DS230" s="4">
        <f t="shared" si="733"/>
        <v>1</v>
      </c>
      <c r="DT230" s="4">
        <f t="shared" si="734"/>
        <v>0.98631284916201112</v>
      </c>
      <c r="DU230" s="4">
        <f t="shared" si="735"/>
        <v>1</v>
      </c>
      <c r="DV230" s="4">
        <f t="shared" si="736"/>
        <v>0.98631284916201112</v>
      </c>
      <c r="DX230" s="4">
        <f t="shared" si="737"/>
        <v>289.39711749331366</v>
      </c>
      <c r="DY230" s="25">
        <f t="shared" si="851"/>
        <v>137.97143516634895</v>
      </c>
      <c r="EA230" s="4">
        <f t="shared" si="852"/>
        <v>0.98631284916201112</v>
      </c>
      <c r="EB230" s="4">
        <f t="shared" si="739"/>
        <v>5.2682598904813771</v>
      </c>
      <c r="EE230" s="4">
        <f t="shared" si="740"/>
        <v>62.060854190253195</v>
      </c>
      <c r="EF230" s="4">
        <f t="shared" si="741"/>
        <v>1.7335434131355643</v>
      </c>
      <c r="EG230" s="4">
        <f t="shared" si="742"/>
        <v>0.14526540842660543</v>
      </c>
      <c r="EJ230" s="4">
        <f t="shared" si="853"/>
        <v>0.14526540842660543</v>
      </c>
      <c r="EK230" s="4">
        <f t="shared" si="744"/>
        <v>0.41934511329520796</v>
      </c>
      <c r="EL230" s="4">
        <f t="shared" ref="EL230:EL251" si="889">EB230/1*EK230^0.4</f>
        <v>3.7213097922395755</v>
      </c>
      <c r="EM230" s="4">
        <f t="shared" si="854"/>
        <v>4.5610407181665344</v>
      </c>
      <c r="EN230" s="4" t="e">
        <f t="shared" si="863"/>
        <v>#REF!</v>
      </c>
      <c r="EO230" s="4" t="e">
        <f t="shared" si="864"/>
        <v>#REF!</v>
      </c>
      <c r="EP230" s="4" t="e">
        <f t="shared" si="749"/>
        <v>#REF!</v>
      </c>
      <c r="EQ230" s="4" t="e">
        <f t="shared" si="855"/>
        <v>#REF!</v>
      </c>
      <c r="ER230" s="4" t="e">
        <f t="shared" si="751"/>
        <v>#REF!</v>
      </c>
      <c r="FA230" s="23"/>
      <c r="FB230" s="23"/>
      <c r="FC230" s="23"/>
      <c r="FD230" s="23"/>
      <c r="FE230" s="23"/>
      <c r="FF230" s="23"/>
      <c r="FG230" s="23"/>
      <c r="FH230" s="23"/>
      <c r="FR230" s="4">
        <f t="shared" si="842"/>
        <v>1</v>
      </c>
      <c r="FS230" s="4">
        <f t="shared" si="843"/>
        <v>0.8938547486033519</v>
      </c>
      <c r="FT230" s="4">
        <f t="shared" si="844"/>
        <v>0</v>
      </c>
      <c r="FU230" s="4">
        <f t="shared" si="845"/>
        <v>226.41085312615539</v>
      </c>
    </row>
    <row r="231" spans="2:177" ht="12" customHeight="1" x14ac:dyDescent="0.3">
      <c r="B231" s="24"/>
      <c r="C231" s="4" t="s">
        <v>343</v>
      </c>
      <c r="D231" s="7">
        <v>556</v>
      </c>
      <c r="E231" s="7">
        <f>457-J231-25</f>
        <v>356</v>
      </c>
      <c r="F231" s="7">
        <v>39.6</v>
      </c>
      <c r="G231" s="7">
        <v>35.799999999999997</v>
      </c>
      <c r="H231" s="7">
        <v>305</v>
      </c>
      <c r="I231" s="7">
        <v>76</v>
      </c>
      <c r="J231" s="7">
        <v>76</v>
      </c>
      <c r="K231" s="7">
        <f t="shared" si="886"/>
        <v>81.400000000000006</v>
      </c>
      <c r="L231" s="7">
        <v>2</v>
      </c>
      <c r="M231" s="7">
        <f t="shared" si="856"/>
        <v>280</v>
      </c>
      <c r="N231" s="7">
        <f t="shared" si="684"/>
        <v>1.6368715083798884</v>
      </c>
      <c r="O231" s="7">
        <f t="shared" si="685"/>
        <v>2.6229050279329611</v>
      </c>
      <c r="P231" s="7">
        <f>3025/(G231^2*PI()/4)-1</f>
        <v>2.0051727652257014</v>
      </c>
      <c r="Q231" s="7">
        <f>3025/(G231^2*PI()/4)-1</f>
        <v>2.0051727652257014</v>
      </c>
      <c r="R231" s="7">
        <f t="shared" si="686"/>
        <v>3.0051727652257014</v>
      </c>
      <c r="S231" s="7">
        <f t="shared" si="687"/>
        <v>62.060854190253195</v>
      </c>
      <c r="T231" s="7">
        <f t="shared" si="826"/>
        <v>556</v>
      </c>
      <c r="U231" s="7">
        <v>25</v>
      </c>
      <c r="V231" s="7">
        <f>426*1000/(G231^2*PI()/4)</f>
        <v>423.20780098715659</v>
      </c>
      <c r="W231" s="7"/>
      <c r="X231" s="4">
        <f t="shared" si="689"/>
        <v>1.2033493663218637</v>
      </c>
      <c r="Y231" s="7"/>
      <c r="Z231" s="7"/>
      <c r="AA231" s="7">
        <v>1</v>
      </c>
      <c r="AB231" s="7"/>
      <c r="AC231" s="7"/>
      <c r="AD231" s="7">
        <f t="shared" si="827"/>
        <v>9.112627986348123</v>
      </c>
      <c r="AE231" s="4">
        <f t="shared" si="691"/>
        <v>356</v>
      </c>
      <c r="AF231" s="4">
        <f t="shared" si="692"/>
        <v>0.28558052434456926</v>
      </c>
      <c r="AG231" s="4">
        <f t="shared" si="693"/>
        <v>209.96004617345227</v>
      </c>
      <c r="AH231" s="4">
        <f t="shared" si="694"/>
        <v>0.75275280898876396</v>
      </c>
      <c r="AI231" s="4">
        <v>1.25</v>
      </c>
      <c r="AJ231" s="4">
        <f t="shared" si="857"/>
        <v>2.5</v>
      </c>
      <c r="AK231" s="38">
        <f t="shared" si="848"/>
        <v>141.04823394313382</v>
      </c>
      <c r="AL231" s="38">
        <f t="shared" si="762"/>
        <v>141.04823394313382</v>
      </c>
      <c r="AM231" s="38">
        <f t="shared" si="695"/>
        <v>3.4853899827538752</v>
      </c>
      <c r="AN231" s="38">
        <f t="shared" si="858"/>
        <v>141.04823394313374</v>
      </c>
      <c r="AO231" s="38">
        <f t="shared" si="840"/>
        <v>1.0000000000000007</v>
      </c>
      <c r="AP231" s="38">
        <f t="shared" si="859"/>
        <v>1.6151180513590784</v>
      </c>
      <c r="AQ231" s="4">
        <f t="shared" si="860"/>
        <v>0</v>
      </c>
      <c r="AR231" s="4" t="e">
        <f>#REF!/G231*F231^0.5/0.19</f>
        <v>#REF!</v>
      </c>
      <c r="AS231" s="4">
        <f t="shared" si="696"/>
        <v>1.2409556313993173</v>
      </c>
      <c r="AT231" s="38">
        <f t="shared" si="697"/>
        <v>227.80954875387357</v>
      </c>
      <c r="AU231" s="4">
        <f t="shared" si="698"/>
        <v>0.71927581286840181</v>
      </c>
      <c r="AV231" s="4" t="e">
        <f>AU231*D231*#REF!/(D231*G231/2.75/F231^0.5)</f>
        <v>#REF!</v>
      </c>
      <c r="AW231" s="4" t="e">
        <f t="shared" si="849"/>
        <v>#REF!</v>
      </c>
      <c r="AY231" s="4">
        <f t="shared" si="700"/>
        <v>1.2807262569832403</v>
      </c>
      <c r="AZ231" s="4" t="e">
        <f>(3*#REF!+30)*AY231*F231^0.5</f>
        <v>#REF!</v>
      </c>
      <c r="BB231" s="4">
        <f t="shared" si="701"/>
        <v>218.49721654740532</v>
      </c>
      <c r="BC231" s="4">
        <f t="shared" si="828"/>
        <v>30569.451870773988</v>
      </c>
      <c r="BD231" s="4">
        <f t="shared" si="862"/>
        <v>139.9077404912461</v>
      </c>
      <c r="BL231" s="4">
        <f t="shared" si="704"/>
        <v>40.700000000000003</v>
      </c>
      <c r="BP231" s="9"/>
      <c r="BR231" s="9"/>
      <c r="BS231" s="9"/>
      <c r="BT231" s="9">
        <f t="shared" si="705"/>
        <v>40.700000000000003</v>
      </c>
      <c r="BU231" s="9">
        <f t="shared" si="706"/>
        <v>76</v>
      </c>
      <c r="BV231" s="9">
        <f t="shared" si="707"/>
        <v>1.1709505872794554</v>
      </c>
      <c r="BW231" s="9">
        <v>0</v>
      </c>
      <c r="BX231" s="9">
        <f t="shared" si="708"/>
        <v>0</v>
      </c>
      <c r="BY231" s="9">
        <f t="shared" si="850"/>
        <v>0</v>
      </c>
      <c r="BZ231" s="9">
        <f t="shared" si="710"/>
        <v>0.89787751228078194</v>
      </c>
      <c r="CA231" s="9">
        <f t="shared" si="711"/>
        <v>0.91600000000000004</v>
      </c>
      <c r="CB231" s="9">
        <f t="shared" si="712"/>
        <v>1.8114577353159602</v>
      </c>
      <c r="CC231" s="9">
        <f t="shared" si="713"/>
        <v>2.1211274990001359</v>
      </c>
      <c r="CD231" s="9">
        <v>1</v>
      </c>
      <c r="CE231" s="9" t="e">
        <f>4*CC231*#REF!+60*CC231</f>
        <v>#REF!</v>
      </c>
      <c r="CG231" s="4" t="e">
        <f>V231/AR231</f>
        <v>#REF!</v>
      </c>
      <c r="CH231" s="4" t="e">
        <f>V231/AW231</f>
        <v>#REF!</v>
      </c>
      <c r="CI231" s="4" t="e">
        <f t="shared" ref="CI231" si="890">V231/AZ231</f>
        <v>#REF!</v>
      </c>
      <c r="CJ231" s="4" t="e">
        <f>V231/CE231</f>
        <v>#REF!</v>
      </c>
      <c r="CK231" s="4">
        <f t="shared" si="866"/>
        <v>1.2033493663218637</v>
      </c>
      <c r="CL231" s="4">
        <f t="shared" ref="CL231" si="891">V231/DX231</f>
        <v>1.3081102480693489</v>
      </c>
      <c r="CM231" s="4">
        <f>V231/FU231</f>
        <v>1.805476112010334</v>
      </c>
      <c r="CO231" s="4" t="e">
        <f t="shared" ref="CO231:CO247" si="892">CG231</f>
        <v>#REF!</v>
      </c>
      <c r="CP231" s="4" t="e">
        <f t="shared" ref="CP231:CP247" si="893">CH231</f>
        <v>#REF!</v>
      </c>
      <c r="CQ231" s="4" t="e">
        <f t="shared" ref="CQ231:CQ247" si="894">CJ231</f>
        <v>#REF!</v>
      </c>
      <c r="CR231" s="4">
        <f t="shared" ref="CR231" si="895">CM231</f>
        <v>1.805476112010334</v>
      </c>
      <c r="CS231" s="4">
        <f t="shared" ref="CS231:CS247" si="896">CK231</f>
        <v>1.2033493663218637</v>
      </c>
      <c r="CT231" s="4">
        <f t="shared" ref="CT231:CT247" si="897">CL231</f>
        <v>1.3081102480693489</v>
      </c>
      <c r="DB231" s="4">
        <f t="shared" si="888"/>
        <v>0</v>
      </c>
      <c r="DC231" s="4" t="e">
        <f>#REF!</f>
        <v>#REF!</v>
      </c>
      <c r="DF231" s="4">
        <f t="shared" si="723"/>
        <v>1.8967907610196526E-5</v>
      </c>
      <c r="DG231" s="4">
        <f t="shared" si="724"/>
        <v>6.1668851840490211</v>
      </c>
      <c r="DH231" s="4">
        <f t="shared" si="725"/>
        <v>0.42894863980926484</v>
      </c>
      <c r="DI231" s="4">
        <f t="shared" si="726"/>
        <v>4.3956993516638692</v>
      </c>
      <c r="DJ231" s="4">
        <f t="shared" si="727"/>
        <v>5.3552300003182269</v>
      </c>
      <c r="DK231" s="4">
        <f t="shared" si="728"/>
        <v>5.7860734734060939</v>
      </c>
      <c r="DL231" s="38">
        <f t="shared" si="729"/>
        <v>351.69154763485358</v>
      </c>
      <c r="DM231" s="4" t="e">
        <f t="shared" si="730"/>
        <v>#REF!</v>
      </c>
      <c r="DN231" s="4">
        <f t="shared" si="731"/>
        <v>1.7335434131355643</v>
      </c>
      <c r="DO231" s="4">
        <f t="shared" si="776"/>
        <v>141.04823394313374</v>
      </c>
      <c r="DS231" s="4">
        <f t="shared" si="733"/>
        <v>0.85</v>
      </c>
      <c r="DT231" s="4">
        <f t="shared" si="734"/>
        <v>0.98631284916201112</v>
      </c>
      <c r="DU231" s="4">
        <f t="shared" si="735"/>
        <v>1</v>
      </c>
      <c r="DV231" s="4">
        <f t="shared" si="736"/>
        <v>0.98631284916201112</v>
      </c>
      <c r="DX231" s="4">
        <f t="shared" si="737"/>
        <v>323.52609545852317</v>
      </c>
      <c r="DY231" s="25">
        <f t="shared" si="851"/>
        <v>139.55309611315016</v>
      </c>
      <c r="EA231" s="4">
        <f t="shared" si="852"/>
        <v>0.83836592178770941</v>
      </c>
      <c r="EB231" s="4">
        <f t="shared" si="739"/>
        <v>6.1668851840490211</v>
      </c>
      <c r="EE231" s="4">
        <f t="shared" si="740"/>
        <v>62.060854190253195</v>
      </c>
      <c r="EF231" s="4">
        <f t="shared" si="741"/>
        <v>1.7335434131355643</v>
      </c>
      <c r="EG231" s="4">
        <f t="shared" si="742"/>
        <v>0.14760061035641445</v>
      </c>
      <c r="EJ231" s="4">
        <f t="shared" si="853"/>
        <v>0.14760061035641445</v>
      </c>
      <c r="EK231" s="4">
        <f t="shared" si="744"/>
        <v>0.42823280447458212</v>
      </c>
      <c r="EL231" s="4">
        <f t="shared" si="889"/>
        <v>4.3927636401561037</v>
      </c>
      <c r="EM231" s="4">
        <f t="shared" si="854"/>
        <v>5.3540268593966776</v>
      </c>
      <c r="EN231" s="4" t="e">
        <f t="shared" si="863"/>
        <v>#REF!</v>
      </c>
      <c r="EO231" s="4" t="e">
        <f t="shared" si="864"/>
        <v>#REF!</v>
      </c>
      <c r="EP231" s="4" t="e">
        <f t="shared" si="749"/>
        <v>#REF!</v>
      </c>
      <c r="EQ231" s="4" t="e">
        <f t="shared" si="855"/>
        <v>#REF!</v>
      </c>
      <c r="ER231" s="4" t="e">
        <f t="shared" si="751"/>
        <v>#REF!</v>
      </c>
      <c r="FA231" s="23" t="e">
        <f t="shared" ref="FA231" si="898">IF(CG231&lt;0.6,0.6,IF(CG231&lt;0.8,0.8,IF(CG231&lt;1,1,IF(CG231&lt;1.2,1.2,IF(CG231&lt;1.4,1.4,IF(CG231&lt;1.6,1.6,IF(CG231&lt;1.8,1.8,IF(CG231&lt;2,2,2.2))))))))</f>
        <v>#REF!</v>
      </c>
      <c r="FB231" s="23" t="e">
        <f t="shared" ref="FB231" si="899">IF(CH231&lt;0.6,0.6,IF(CH231&lt;0.8,0.8,IF(CH231&lt;1,1,IF(CH231&lt;1.2,1.2,IF(CH231&lt;1.4,1.4,IF(CH231&lt;1.6,1.6,IF(CH231&lt;1.8,1.8,IF(CH231&lt;2,2,2.2))))))))</f>
        <v>#REF!</v>
      </c>
      <c r="FC231" s="23">
        <f t="shared" ref="FC231" si="900">IF(CM231&lt;0.6,0.6,IF(CM231&lt;0.8,0.8,IF(CM231&lt;1,1,IF(CM231&lt;1.2,1.2,IF(CM231&lt;1.4,1.4,IF(CM231&lt;1.6,1.6,IF(CM231&lt;1.8,1.8,IF(CM231&lt;2,2,2.2))))))))</f>
        <v>2</v>
      </c>
      <c r="FD231" s="23" t="e">
        <f t="shared" ref="FD231" si="901">IF(CJ231&lt;0.6,0.6,IF(CJ231&lt;0.8,0.8,IF(CJ231&lt;1,1,IF(CJ231&lt;1.2,1.2,IF(CJ231&lt;1.4,1.4,IF(CJ231&lt;1.6,1.6,IF(CJ231&lt;1.8,1.8,IF(CJ231&lt;2,2,2.2))))))))</f>
        <v>#REF!</v>
      </c>
      <c r="FE231" s="23">
        <f t="shared" ref="FE231" si="902">IF(CK231&lt;0.6,0.6,IF(CK231&lt;0.8,0.8,IF(CK231&lt;1,1,IF(CK231&lt;1.2,1.2,IF(CK231&lt;1.4,1.4,IF(CK231&lt;1.6,1.6,IF(CK231&lt;1.8,1.8,IF(CK231&lt;2,2,2.2))))))))</f>
        <v>1.4</v>
      </c>
      <c r="FF231" s="23">
        <f t="shared" ref="FF231" si="903">IF(CL231&lt;0.6,0.6,IF(CL231&lt;0.8,0.8,IF(CL231&lt;1,1,IF(CL231&lt;1.2,1.2,IF(CL231&lt;1.4,1.4,IF(CL231&lt;1.6,1.6,IF(CL231&lt;1.8,1.8,IF(CL231&lt;2,2,2.2))))))))</f>
        <v>1.4</v>
      </c>
      <c r="FG231" s="23">
        <f t="shared" ref="FG231" si="904">IF(FE231&lt;1,1,0)</f>
        <v>0</v>
      </c>
      <c r="FH231" s="23"/>
      <c r="FR231" s="4">
        <f t="shared" si="842"/>
        <v>1</v>
      </c>
      <c r="FS231" s="4">
        <f t="shared" si="843"/>
        <v>0.8938547486033519</v>
      </c>
      <c r="FT231" s="4">
        <f t="shared" si="844"/>
        <v>0</v>
      </c>
      <c r="FU231" s="4">
        <f t="shared" si="845"/>
        <v>234.40232644004888</v>
      </c>
    </row>
    <row r="232" spans="2:177" ht="12" customHeight="1" x14ac:dyDescent="0.3">
      <c r="B232" s="24"/>
      <c r="C232" s="4" t="s">
        <v>344</v>
      </c>
      <c r="D232" s="7">
        <v>556</v>
      </c>
      <c r="E232" s="7">
        <f>305-J232-25</f>
        <v>204</v>
      </c>
      <c r="F232" s="7">
        <v>36.1</v>
      </c>
      <c r="G232" s="7">
        <v>35.799999999999997</v>
      </c>
      <c r="H232" s="7">
        <v>305</v>
      </c>
      <c r="I232" s="7">
        <v>76</v>
      </c>
      <c r="J232" s="7">
        <v>76</v>
      </c>
      <c r="K232" s="7">
        <f t="shared" si="886"/>
        <v>81.400000000000006</v>
      </c>
      <c r="L232" s="7">
        <v>2</v>
      </c>
      <c r="M232" s="7">
        <f t="shared" si="856"/>
        <v>280</v>
      </c>
      <c r="N232" s="7">
        <f t="shared" si="684"/>
        <v>1.6368715083798884</v>
      </c>
      <c r="O232" s="7">
        <f t="shared" si="685"/>
        <v>2.6229050279329611</v>
      </c>
      <c r="P232" s="7">
        <f>3025/(G232^2*PI()/4)-1</f>
        <v>2.0051727652257014</v>
      </c>
      <c r="Q232" s="7">
        <f>3025/(G232^2*PI()/4)-1</f>
        <v>2.0051727652257014</v>
      </c>
      <c r="R232" s="7">
        <f t="shared" si="686"/>
        <v>3.0051727652257014</v>
      </c>
      <c r="S232" s="7">
        <f t="shared" si="687"/>
        <v>62.060854190253195</v>
      </c>
      <c r="T232" s="7">
        <f t="shared" si="826"/>
        <v>556</v>
      </c>
      <c r="U232" s="7">
        <v>25</v>
      </c>
      <c r="V232" s="7"/>
      <c r="W232" s="32" t="s">
        <v>308</v>
      </c>
      <c r="X232" s="4">
        <f t="shared" si="689"/>
        <v>0</v>
      </c>
      <c r="Y232" s="7"/>
      <c r="Z232" s="7"/>
      <c r="AA232" s="7">
        <v>1</v>
      </c>
      <c r="AB232" s="7"/>
      <c r="AC232" s="7"/>
      <c r="AD232" s="7">
        <f t="shared" si="827"/>
        <v>5.2218430034129693</v>
      </c>
      <c r="AE232" s="4">
        <f t="shared" si="691"/>
        <v>204</v>
      </c>
      <c r="AF232" s="4">
        <f t="shared" si="692"/>
        <v>0.49836601307189543</v>
      </c>
      <c r="AG232" s="4">
        <f t="shared" si="693"/>
        <v>86.958676610533459</v>
      </c>
      <c r="AH232" s="4">
        <f t="shared" si="694"/>
        <v>0.7920588235294117</v>
      </c>
      <c r="AI232" s="4">
        <v>1.25</v>
      </c>
      <c r="AJ232" s="4">
        <f t="shared" si="857"/>
        <v>2.5</v>
      </c>
      <c r="AK232" s="38">
        <f t="shared" si="848"/>
        <v>107.26765759294925</v>
      </c>
      <c r="AL232" s="38">
        <f t="shared" si="762"/>
        <v>107.26765759294925</v>
      </c>
      <c r="AM232" s="38">
        <f t="shared" si="695"/>
        <v>3.2768713349985528</v>
      </c>
      <c r="AN232" s="38">
        <f t="shared" si="858"/>
        <v>107.26765759294932</v>
      </c>
      <c r="AO232" s="38">
        <f t="shared" si="840"/>
        <v>0.99999999999999933</v>
      </c>
      <c r="AP232" s="38">
        <f t="shared" si="859"/>
        <v>1.9360436414355566</v>
      </c>
      <c r="AQ232" s="4">
        <f t="shared" si="860"/>
        <v>0</v>
      </c>
      <c r="AR232" s="4" t="e">
        <f>#REF!/G232*F232^0.5/0.19</f>
        <v>#REF!</v>
      </c>
      <c r="AS232" s="4">
        <f t="shared" si="696"/>
        <v>1.2409556313993173</v>
      </c>
      <c r="AT232" s="38">
        <f t="shared" si="697"/>
        <v>207.67486641451603</v>
      </c>
      <c r="AU232" s="4">
        <f t="shared" si="698"/>
        <v>0.71927581286840181</v>
      </c>
      <c r="AV232" s="4" t="e">
        <f>AU232*D232*#REF!/(D232*G232/2.75/F232^0.5)</f>
        <v>#REF!</v>
      </c>
      <c r="AW232" s="4" t="e">
        <f t="shared" si="849"/>
        <v>#REF!</v>
      </c>
      <c r="AY232" s="4">
        <f t="shared" si="700"/>
        <v>1.2807262569832403</v>
      </c>
      <c r="AZ232" s="4" t="e">
        <f>(3*#REF!+30)*AY232*F232^0.5</f>
        <v>#REF!</v>
      </c>
      <c r="BB232" s="4">
        <f t="shared" si="701"/>
        <v>199.18559387276096</v>
      </c>
      <c r="BC232" s="4">
        <f t="shared" si="828"/>
        <v>30569.451870773988</v>
      </c>
      <c r="BD232" s="4">
        <f t="shared" si="862"/>
        <v>153.47220286574361</v>
      </c>
      <c r="BL232" s="4">
        <f t="shared" si="704"/>
        <v>40.700000000000003</v>
      </c>
      <c r="BP232" s="9"/>
      <c r="BR232" s="9"/>
      <c r="BS232" s="9"/>
      <c r="BT232" s="9">
        <f t="shared" si="705"/>
        <v>40.700000000000003</v>
      </c>
      <c r="BU232" s="9">
        <f t="shared" si="706"/>
        <v>76</v>
      </c>
      <c r="BV232" s="9">
        <f t="shared" si="707"/>
        <v>1.1709505872794554</v>
      </c>
      <c r="BW232" s="9">
        <v>0</v>
      </c>
      <c r="BX232" s="9">
        <f t="shared" si="708"/>
        <v>0</v>
      </c>
      <c r="BY232" s="9">
        <f t="shared" si="850"/>
        <v>0</v>
      </c>
      <c r="BZ232" s="9">
        <f t="shared" si="710"/>
        <v>0.89787751228078194</v>
      </c>
      <c r="CA232" s="9">
        <f t="shared" si="711"/>
        <v>0.91600000000000004</v>
      </c>
      <c r="CB232" s="9">
        <f t="shared" si="712"/>
        <v>1.7295543484995353</v>
      </c>
      <c r="CC232" s="9">
        <f t="shared" si="713"/>
        <v>2.0252226801072668</v>
      </c>
      <c r="CD232" s="9">
        <v>1</v>
      </c>
      <c r="CE232" s="9" t="e">
        <f>4*CC232*#REF!+60*CC232</f>
        <v>#REF!</v>
      </c>
      <c r="DB232" s="4">
        <f t="shared" si="888"/>
        <v>0</v>
      </c>
      <c r="DC232" s="4" t="e">
        <f>#REF!</f>
        <v>#REF!</v>
      </c>
      <c r="DF232" s="4">
        <f t="shared" si="723"/>
        <v>1.0616776242063277E-5</v>
      </c>
      <c r="DG232" s="4">
        <f t="shared" si="724"/>
        <v>5.8880551717144805</v>
      </c>
      <c r="DH232" s="4">
        <f t="shared" si="725"/>
        <v>0.35784456322904007</v>
      </c>
      <c r="DI232" s="4">
        <f t="shared" si="726"/>
        <v>3.903459161346345</v>
      </c>
      <c r="DJ232" s="4">
        <f t="shared" si="727"/>
        <v>4.9957013919335163</v>
      </c>
      <c r="DK232" s="4">
        <f t="shared" si="728"/>
        <v>5.7825332101658145</v>
      </c>
      <c r="DL232" s="38">
        <f t="shared" si="729"/>
        <v>218.04598394729314</v>
      </c>
      <c r="DM232" s="4" t="e">
        <f t="shared" si="730"/>
        <v>#REF!</v>
      </c>
      <c r="DN232" s="4">
        <f t="shared" si="731"/>
        <v>1.7335434131355643</v>
      </c>
      <c r="DO232" s="4">
        <f t="shared" si="776"/>
        <v>107.26765759294932</v>
      </c>
      <c r="DS232" s="4">
        <f t="shared" si="733"/>
        <v>0.85</v>
      </c>
      <c r="DT232" s="4">
        <f t="shared" si="734"/>
        <v>0.98631284916201112</v>
      </c>
      <c r="DU232" s="4">
        <f t="shared" si="735"/>
        <v>1</v>
      </c>
      <c r="DV232" s="4">
        <f t="shared" si="736"/>
        <v>0.98631284916201112</v>
      </c>
      <c r="DX232" s="4">
        <f t="shared" si="737"/>
        <v>205.84046641765849</v>
      </c>
      <c r="DY232" s="25">
        <f t="shared" si="851"/>
        <v>105.18432772801428</v>
      </c>
      <c r="EA232" s="4">
        <f t="shared" si="852"/>
        <v>0.83836592178770941</v>
      </c>
      <c r="EB232" s="4">
        <f t="shared" si="739"/>
        <v>5.8880551717144805</v>
      </c>
      <c r="EE232" s="4">
        <f t="shared" si="740"/>
        <v>62.060854190253195</v>
      </c>
      <c r="EF232" s="4">
        <f t="shared" si="741"/>
        <v>1.7335434131355643</v>
      </c>
      <c r="EG232" s="4">
        <f t="shared" si="742"/>
        <v>0.1175664188934134</v>
      </c>
      <c r="EJ232" s="4">
        <f t="shared" si="853"/>
        <v>0.1175664188934134</v>
      </c>
      <c r="EK232" s="4">
        <f t="shared" si="744"/>
        <v>0.35724738734617123</v>
      </c>
      <c r="EL232" s="4">
        <f t="shared" si="889"/>
        <v>3.900852197342831</v>
      </c>
      <c r="EM232" s="4">
        <f t="shared" si="854"/>
        <v>4.994685388289958</v>
      </c>
      <c r="EN232" s="4" t="e">
        <f t="shared" si="863"/>
        <v>#REF!</v>
      </c>
      <c r="EO232" s="4" t="e">
        <f t="shared" si="864"/>
        <v>#REF!</v>
      </c>
      <c r="EP232" s="4" t="e">
        <f t="shared" si="749"/>
        <v>#REF!</v>
      </c>
      <c r="EQ232" s="4" t="e">
        <f t="shared" si="855"/>
        <v>#REF!</v>
      </c>
      <c r="ER232" s="4" t="e">
        <f t="shared" si="751"/>
        <v>#REF!</v>
      </c>
      <c r="FA232" s="23"/>
      <c r="FB232" s="23"/>
      <c r="FC232" s="23"/>
      <c r="FD232" s="23"/>
      <c r="FE232" s="23"/>
      <c r="FF232" s="23"/>
      <c r="FG232" s="23"/>
      <c r="FH232" s="23"/>
      <c r="FR232" s="4">
        <f t="shared" si="842"/>
        <v>1</v>
      </c>
      <c r="FS232" s="4">
        <f t="shared" si="843"/>
        <v>0.8938547486033519</v>
      </c>
      <c r="FT232" s="4">
        <f t="shared" si="844"/>
        <v>0</v>
      </c>
      <c r="FU232" s="4">
        <f t="shared" si="845"/>
        <v>131.24872439128001</v>
      </c>
    </row>
    <row r="233" spans="2:177" ht="12" customHeight="1" x14ac:dyDescent="0.3">
      <c r="B233" s="24"/>
      <c r="C233" s="4" t="s">
        <v>345</v>
      </c>
      <c r="D233" s="7">
        <v>556</v>
      </c>
      <c r="E233" s="7">
        <f>381-J233-20</f>
        <v>343</v>
      </c>
      <c r="F233" s="7">
        <v>36.200000000000003</v>
      </c>
      <c r="G233" s="7">
        <v>35.799999999999997</v>
      </c>
      <c r="H233" s="7">
        <v>305</v>
      </c>
      <c r="I233" s="7">
        <v>76</v>
      </c>
      <c r="J233" s="7">
        <v>18</v>
      </c>
      <c r="K233" s="7">
        <f t="shared" si="886"/>
        <v>81.400000000000006</v>
      </c>
      <c r="L233" s="7">
        <v>2</v>
      </c>
      <c r="M233" s="7">
        <f t="shared" si="856"/>
        <v>280</v>
      </c>
      <c r="N233" s="7">
        <f t="shared" ref="N233:N296" si="905">MIN(I233/G233+0.5, K233/2/G233+0.5)</f>
        <v>1.6368715083798884</v>
      </c>
      <c r="O233" s="7">
        <f t="shared" ref="O233:O296" si="906">I233/G233+0.5</f>
        <v>2.6229050279329611</v>
      </c>
      <c r="P233" s="7">
        <f>3150/(G233^2*PI()/4)-1</f>
        <v>2.1293534580036226</v>
      </c>
      <c r="Q233" s="7">
        <f>3150/(G233^2*PI()/4)-1</f>
        <v>2.1293534580036226</v>
      </c>
      <c r="R233" s="7">
        <f t="shared" ref="R233:R296" si="907">Q233+1</f>
        <v>3.1293534580036226</v>
      </c>
      <c r="S233" s="7">
        <f t="shared" ref="S233:S296" si="908">G233*R233^0.5</f>
        <v>63.330123684671278</v>
      </c>
      <c r="T233" s="7">
        <f t="shared" ref="T233:T247" si="909">D233</f>
        <v>556</v>
      </c>
      <c r="U233" s="7">
        <v>20</v>
      </c>
      <c r="V233" s="7"/>
      <c r="W233" s="32" t="s">
        <v>308</v>
      </c>
      <c r="X233" s="4">
        <f t="shared" ref="X233:X296" si="910">CK233</f>
        <v>0</v>
      </c>
      <c r="Y233" s="7"/>
      <c r="Z233" s="7"/>
      <c r="AA233" s="7">
        <v>1</v>
      </c>
      <c r="AB233" s="7"/>
      <c r="AC233" s="7"/>
      <c r="AD233" s="7">
        <f t="shared" ref="AD233:AD247" si="911">3*AE233/(K233+G233)</f>
        <v>8.7798634812286682</v>
      </c>
      <c r="AE233" s="4">
        <f t="shared" ref="AE233:AE296" si="912">E233</f>
        <v>343</v>
      </c>
      <c r="AF233" s="4">
        <f t="shared" ref="AF233:AF296" si="913">IF(E233*3&gt;K233+G233, H233, (I233+G233/2)*2+1.5*E233*(2*L233-2))*(3*E233)/(9*E233^2)</f>
        <v>0.29640427599611274</v>
      </c>
      <c r="AG233" s="4">
        <f t="shared" ref="AG233:AG296" si="914">MIN(10*F233^0.5*E233^1.5,100*3.9*F233^0.5*E233^(5/3))/(PI()/4*G233^2)/L233</f>
        <v>189.84953380078178</v>
      </c>
      <c r="AH233" s="4">
        <f t="shared" ref="AH233:AH296" si="915">MIN(0.7+0.3*(MIN(I233,M233)+0.5*G233)/1.5/E233,1)</f>
        <v>0.75475218658892129</v>
      </c>
      <c r="AI233" s="4">
        <v>1.25</v>
      </c>
      <c r="AJ233" s="4">
        <f t="shared" si="857"/>
        <v>2.5</v>
      </c>
      <c r="AK233" s="38">
        <f t="shared" si="848"/>
        <v>132.72367584275798</v>
      </c>
      <c r="AL233" s="38">
        <f t="shared" si="762"/>
        <v>132.72367584275798</v>
      </c>
      <c r="AM233" s="38">
        <f t="shared" ref="AM233:AM296" si="916">IF(F233&lt;50, 0.3*F233^(2/3), 2.12*LN(1+0.1*(F233+8)))</f>
        <v>3.282920015195979</v>
      </c>
      <c r="AN233" s="38">
        <f t="shared" si="858"/>
        <v>132.72367584275801</v>
      </c>
      <c r="AO233" s="38">
        <f t="shared" si="840"/>
        <v>0.99999999999999978</v>
      </c>
      <c r="AP233" s="38">
        <f t="shared" si="859"/>
        <v>1.6169064268162814</v>
      </c>
      <c r="AQ233" s="4">
        <f t="shared" si="860"/>
        <v>0</v>
      </c>
      <c r="AR233" s="4" t="e">
        <f>#REF!/G233*F233^0.5/0.19</f>
        <v>#REF!</v>
      </c>
      <c r="AS233" s="4">
        <f t="shared" ref="AS233:AS296" si="917">MIN(0.6+0.4*(O233/N233),2)</f>
        <v>1.2409556313993173</v>
      </c>
      <c r="AT233" s="38">
        <f t="shared" ref="AT233:AT296" si="918">2*F233*N233*P233^0.5*AS233*0.7/0.7</f>
        <v>214.60176446083625</v>
      </c>
      <c r="AU233" s="4">
        <f t="shared" ref="AU233:AU296" si="919">MAX(1-0.7*Q233/5,0.3)</f>
        <v>0.7018905158794928</v>
      </c>
      <c r="AV233" s="4" t="e">
        <f>AU233*D233*#REF!/(D233*G233/2.75/F233^0.5)</f>
        <v>#REF!</v>
      </c>
      <c r="AW233" s="4" t="e">
        <f t="shared" si="849"/>
        <v>#REF!</v>
      </c>
      <c r="AY233" s="4">
        <f t="shared" ref="AY233:AY296" si="920">MIN(1.5, 0.75+0.25*MIN(3,MAX(1,I233/G233))+0.4*MIN(1,(40*2*PI()*Y233^2/4/AA233/L233)/G233))</f>
        <v>1.2807262569832403</v>
      </c>
      <c r="AZ233" s="4" t="e">
        <f>(3*#REF!+30)*AY233*F233^0.5</f>
        <v>#REF!</v>
      </c>
      <c r="BB233" s="4">
        <f t="shared" ref="BB233:BB296" si="921">3.4/PI()^0.5*F233*N233*Q233^0.5*AS233</f>
        <v>205.82933620361388</v>
      </c>
      <c r="BC233" s="4">
        <f t="shared" ref="BC233:BC263" si="922">8/3*T233*U233^2/(S233-G233-22)/G233*(S233^2-G233^2)/(S233^2-(G233+22)^2)</f>
        <v>12204.288039811765</v>
      </c>
      <c r="BD233" s="4">
        <f t="shared" si="862"/>
        <v>59.29323907326232</v>
      </c>
      <c r="BL233" s="4">
        <f t="shared" ref="BL233:BL296" si="923">IF(K233=0,I233,MIN(K233/2,I233))</f>
        <v>40.700000000000003</v>
      </c>
      <c r="BP233" s="9"/>
      <c r="BR233" s="9"/>
      <c r="BS233" s="9"/>
      <c r="BT233" s="9">
        <f t="shared" ref="BT233:BT296" si="924">IF(K233=0,MIN(I233,J233),MIN(K233/2,I233,J233))</f>
        <v>18</v>
      </c>
      <c r="BU233" s="9">
        <f t="shared" ref="BU233:BU296" si="925">MAX(K233/2,I233)</f>
        <v>76</v>
      </c>
      <c r="BV233" s="9">
        <f t="shared" ref="BV233:BV296" si="926">(BT233/G233)^0.5*(BU233/BT233)^0.15</f>
        <v>0.88008760053944035</v>
      </c>
      <c r="BW233" s="9">
        <v>0</v>
      </c>
      <c r="BX233" s="9">
        <f t="shared" ref="BX233:BX296" si="927">MIN(PI()*Y233^2/4*Z233*2/L233/G233/MAX(0.01,AA233),0.05)</f>
        <v>0</v>
      </c>
      <c r="BY233" s="9">
        <f t="shared" si="850"/>
        <v>0</v>
      </c>
      <c r="BZ233" s="9">
        <f t="shared" ref="BZ233:BZ296" si="928">MIN(1,(25/G233)^0.3)</f>
        <v>0.89787751228078194</v>
      </c>
      <c r="CA233" s="9">
        <f t="shared" ref="CA233:CA296" si="929">IF(D233&gt;=800,0.68,IF(D233&gt;=700,0.75-(D233-700)*0.07/100,IF(D233&gt;=600,0.85-(D233-600)*0.1/100,IF(D233&gt;=500,1-(D233-500)*0.15/100,1.2-(D233-400)*0.2/100))))</f>
        <v>0.91600000000000004</v>
      </c>
      <c r="CB233" s="9">
        <f t="shared" ref="CB233:CB296" si="930">1.75*BZ233*CA233*(F233/25)^0.5</f>
        <v>1.7319481964943424</v>
      </c>
      <c r="CC233" s="9">
        <f t="shared" ref="CC233:CC296" si="931">MIN((BV233+BY233)*CB233,2.5*CB233,F233^0.5)</f>
        <v>1.5242661325113169</v>
      </c>
      <c r="CD233" s="9">
        <v>1</v>
      </c>
      <c r="CE233" s="9" t="e">
        <f>4*CC233*#REF!+60*CC233</f>
        <v>#REF!</v>
      </c>
      <c r="DB233" s="4">
        <f t="shared" si="888"/>
        <v>0</v>
      </c>
      <c r="DC233" s="4" t="e">
        <f>#REF!</f>
        <v>#REF!</v>
      </c>
      <c r="DF233" s="4">
        <f t="shared" ref="DF233:DF296" si="932">E233/4/(1-0.3*(F233/30)^0.5)/200000/G233</f>
        <v>1.7862883419588262E-5</v>
      </c>
      <c r="DG233" s="4">
        <f t="shared" ref="DG233:DG251" si="933">EB233</f>
        <v>5.0117740230039942</v>
      </c>
      <c r="DH233" s="4">
        <f t="shared" ref="DH233:DH296" si="934">DO233*S233/257/F233/P233</f>
        <v>0.42429634064630556</v>
      </c>
      <c r="DI233" s="4">
        <f t="shared" ref="DI233:DI251" si="935">DG233*DH233^0.4</f>
        <v>3.556797951623889</v>
      </c>
      <c r="DJ233" s="4">
        <f t="shared" ref="DJ233:DJ251" si="936">MIN(DG233, DG233/1.4*(1-DH233^1.4)/(1-DH233))</f>
        <v>4.3457845155512942</v>
      </c>
      <c r="DK233" s="4">
        <f t="shared" ref="DK233:DK296" si="937">MAX(DG233/2, (4-DF233*(8*S233*(DI233-DJ233)+6*E233*DJ233))/(4+DF233*E233*DG233)*DG233)</f>
        <v>4.7838273870400245</v>
      </c>
      <c r="DL233" s="38">
        <f t="shared" ref="DL233:DL296" si="938">MIN(1/G233*(4*S233*(DI233-DJ233)+(3*DJ233+DK233)*E233)+DO233 -EV233,MAX(D233,V233))</f>
        <v>297.88564772937099</v>
      </c>
      <c r="DM233" s="4" t="e">
        <f t="shared" ref="DM233:DM251" si="939">DL233/ER233</f>
        <v>#REF!</v>
      </c>
      <c r="DN233" s="4">
        <f t="shared" ref="DN233:DN296" si="940">S233/G233</f>
        <v>1.7689978682869074</v>
      </c>
      <c r="DO233" s="4">
        <f t="shared" si="776"/>
        <v>132.72367584275801</v>
      </c>
      <c r="DS233" s="4">
        <f t="shared" ref="DS233:DS296" si="941">IF(J233&gt;1*G233,0.85,1)</f>
        <v>1</v>
      </c>
      <c r="DT233" s="4">
        <f t="shared" ref="DT233:DT296" si="942">MIN(1,MAX(0.7,(1-0.1*(BL233-1*G233)/G233)))</f>
        <v>0.98631284916201112</v>
      </c>
      <c r="DU233" s="4">
        <f t="shared" ref="DU233:DU296" si="943">MIN(1,MAX(0.7,1-0.3*(PI()*Y233^2/4*AC233*2-0.25*PI()/4*G233^2)/(PI()/4*G233^2)))</f>
        <v>1</v>
      </c>
      <c r="DV233" s="4">
        <f t="shared" ref="DV233:DV251" si="944">IF(DT233*DU233&lt;0.7,0.7,DT233*DU233)</f>
        <v>0.98631284916201112</v>
      </c>
      <c r="DX233" s="4">
        <f t="shared" ref="DX233:DX296" si="945">MIN(DG233/G233*3*E233+DY233-EV233,MAX(D233,V233))</f>
        <v>275.30778396217227</v>
      </c>
      <c r="DY233" s="25">
        <f t="shared" si="851"/>
        <v>131.2542792227558</v>
      </c>
      <c r="EA233" s="4">
        <f t="shared" si="852"/>
        <v>0.98631284916201112</v>
      </c>
      <c r="EB233" s="4">
        <f t="shared" ref="EB233:EB296" si="946">IF(G233&lt;22.2,1.1*5*(F233/30)^0.5,IF(G233&gt;=31.8,0.9*5*(F233/30)^0.5,1*5*(F233/30)^0.5))/DS233/DV233</f>
        <v>5.0117740230039942</v>
      </c>
      <c r="EE233" s="4">
        <f t="shared" ref="EE233:EE296" si="947">EF233*G233</f>
        <v>63.330123684671278</v>
      </c>
      <c r="EF233" s="4">
        <f t="shared" ref="EF233:EF251" si="948">R233^0.5</f>
        <v>1.7689978682869074</v>
      </c>
      <c r="EG233" s="4">
        <f t="shared" ref="EG233:EG296" si="949">MIN(DO233)/(4700*F233^0.5)/Q233*EE233</f>
        <v>0.13959145590482508</v>
      </c>
      <c r="EJ233" s="4">
        <f t="shared" si="853"/>
        <v>0.13959145590482508</v>
      </c>
      <c r="EK233" s="4">
        <f t="shared" ref="EK233:EK296" si="950">MIN(0.999, EJ233/(0.3*(F233/30)^0.5))</f>
        <v>0.42358826913185504</v>
      </c>
      <c r="EL233" s="4">
        <f t="shared" si="889"/>
        <v>3.5544225087552985</v>
      </c>
      <c r="EM233" s="4">
        <f t="shared" si="854"/>
        <v>4.3448138556349702</v>
      </c>
      <c r="EN233" s="4" t="e">
        <f t="shared" si="863"/>
        <v>#REF!</v>
      </c>
      <c r="EO233" s="4" t="e">
        <f t="shared" si="864"/>
        <v>#REF!</v>
      </c>
      <c r="EP233" s="4" t="e">
        <f t="shared" ref="EP233:EP296" si="951">EO233/(1-0.3*(F233/30)^0.5)/200000/G233</f>
        <v>#REF!</v>
      </c>
      <c r="EQ233" s="4" t="e">
        <f t="shared" si="855"/>
        <v>#REF!</v>
      </c>
      <c r="ER233" s="4" t="e">
        <f t="shared" ref="ER233:ER296" si="952">MIN(4/G233*(1*EL233*EE233+EM233*EN233+EO233*EQ233)+DO233,MAX(D233,V233))</f>
        <v>#REF!</v>
      </c>
      <c r="FA233" s="23"/>
      <c r="FB233" s="23"/>
      <c r="FC233" s="23"/>
      <c r="FD233" s="23"/>
      <c r="FE233" s="23"/>
      <c r="FF233" s="23"/>
      <c r="FG233" s="23"/>
      <c r="FH233" s="23"/>
      <c r="FR233" s="4">
        <f t="shared" si="842"/>
        <v>1</v>
      </c>
      <c r="FS233" s="4">
        <f t="shared" si="843"/>
        <v>0.8938547486033519</v>
      </c>
      <c r="FT233" s="4">
        <f t="shared" si="844"/>
        <v>0</v>
      </c>
      <c r="FU233" s="4">
        <f t="shared" si="845"/>
        <v>220.83066789188138</v>
      </c>
    </row>
    <row r="234" spans="2:177" ht="12" customHeight="1" x14ac:dyDescent="0.3">
      <c r="B234" s="24"/>
      <c r="C234" s="4" t="s">
        <v>346</v>
      </c>
      <c r="D234" s="7">
        <v>556</v>
      </c>
      <c r="E234" s="7">
        <f>381-J234-25</f>
        <v>338</v>
      </c>
      <c r="F234" s="7">
        <v>36.200000000000003</v>
      </c>
      <c r="G234" s="7">
        <v>35.799999999999997</v>
      </c>
      <c r="H234" s="7">
        <v>305</v>
      </c>
      <c r="I234" s="7">
        <v>76</v>
      </c>
      <c r="J234" s="7">
        <v>18</v>
      </c>
      <c r="K234" s="7">
        <f t="shared" si="886"/>
        <v>81.400000000000006</v>
      </c>
      <c r="L234" s="7">
        <v>2</v>
      </c>
      <c r="M234" s="7">
        <f t="shared" si="856"/>
        <v>280</v>
      </c>
      <c r="N234" s="7">
        <f t="shared" si="905"/>
        <v>1.6368715083798884</v>
      </c>
      <c r="O234" s="7">
        <f t="shared" si="906"/>
        <v>2.6229050279329611</v>
      </c>
      <c r="P234" s="7">
        <f>2970/(G234^2*PI()/4)-1</f>
        <v>1.9505332604034158</v>
      </c>
      <c r="Q234" s="7">
        <f>2970/(G234^2*PI()/4)-1</f>
        <v>1.9505332604034158</v>
      </c>
      <c r="R234" s="7">
        <f t="shared" si="907"/>
        <v>2.9505332604034158</v>
      </c>
      <c r="S234" s="7">
        <f t="shared" si="908"/>
        <v>61.494076526633307</v>
      </c>
      <c r="T234" s="7">
        <f t="shared" si="909"/>
        <v>556</v>
      </c>
      <c r="U234" s="7">
        <v>25</v>
      </c>
      <c r="V234" s="7"/>
      <c r="W234" s="32" t="s">
        <v>308</v>
      </c>
      <c r="X234" s="4">
        <f t="shared" si="910"/>
        <v>0</v>
      </c>
      <c r="Y234" s="7"/>
      <c r="Z234" s="7"/>
      <c r="AA234" s="7">
        <v>1</v>
      </c>
      <c r="AB234" s="7"/>
      <c r="AC234" s="7"/>
      <c r="AD234" s="7">
        <f t="shared" si="911"/>
        <v>8.6518771331058026</v>
      </c>
      <c r="AE234" s="4">
        <f t="shared" si="912"/>
        <v>338</v>
      </c>
      <c r="AF234" s="4">
        <f t="shared" si="913"/>
        <v>0.30078895463510846</v>
      </c>
      <c r="AG234" s="4">
        <f t="shared" si="914"/>
        <v>185.71347027015665</v>
      </c>
      <c r="AH234" s="4">
        <f t="shared" si="915"/>
        <v>0.75556213017751472</v>
      </c>
      <c r="AI234" s="4">
        <v>1.25</v>
      </c>
      <c r="AJ234" s="4">
        <f t="shared" si="857"/>
        <v>2.5</v>
      </c>
      <c r="AK234" s="38">
        <f t="shared" si="848"/>
        <v>131.8941379622575</v>
      </c>
      <c r="AL234" s="38">
        <f t="shared" ref="AL234:AL297" si="953">AK234</f>
        <v>131.8941379622575</v>
      </c>
      <c r="AM234" s="38">
        <f t="shared" si="916"/>
        <v>3.282920015195979</v>
      </c>
      <c r="AN234" s="38">
        <f t="shared" si="858"/>
        <v>131.89413796225756</v>
      </c>
      <c r="AO234" s="38">
        <f t="shared" si="840"/>
        <v>0.99999999999999956</v>
      </c>
      <c r="AP234" s="38">
        <f t="shared" si="859"/>
        <v>1.5572580915609477</v>
      </c>
      <c r="AQ234" s="4">
        <f t="shared" si="860"/>
        <v>0</v>
      </c>
      <c r="AR234" s="4" t="e">
        <f>#REF!/G234*F234^0.5/0.19</f>
        <v>#REF!</v>
      </c>
      <c r="AS234" s="4">
        <f t="shared" si="917"/>
        <v>1.2409556313993173</v>
      </c>
      <c r="AT234" s="38">
        <f t="shared" si="918"/>
        <v>205.39321357118155</v>
      </c>
      <c r="AU234" s="4">
        <f t="shared" si="919"/>
        <v>0.72692534354352178</v>
      </c>
      <c r="AV234" s="4" t="e">
        <f>AU234*D234*#REF!/(D234*G234/2.75/F234^0.5)</f>
        <v>#REF!</v>
      </c>
      <c r="AW234" s="4" t="e">
        <f t="shared" si="849"/>
        <v>#REF!</v>
      </c>
      <c r="AY234" s="4">
        <f t="shared" si="920"/>
        <v>1.2807262569832403</v>
      </c>
      <c r="AZ234" s="4" t="e">
        <f>(3*#REF!+30)*AY234*F234^0.5</f>
        <v>#REF!</v>
      </c>
      <c r="BB234" s="4">
        <f t="shared" si="921"/>
        <v>196.99720976804247</v>
      </c>
      <c r="BC234" s="4">
        <f t="shared" si="922"/>
        <v>39749.280546165857</v>
      </c>
      <c r="BD234" s="4">
        <f t="shared" si="862"/>
        <v>201.77585557160575</v>
      </c>
      <c r="BL234" s="4">
        <f t="shared" si="923"/>
        <v>40.700000000000003</v>
      </c>
      <c r="BP234" s="9"/>
      <c r="BR234" s="9"/>
      <c r="BS234" s="9"/>
      <c r="BT234" s="9">
        <f t="shared" si="924"/>
        <v>18</v>
      </c>
      <c r="BU234" s="9">
        <f t="shared" si="925"/>
        <v>76</v>
      </c>
      <c r="BV234" s="9">
        <f t="shared" si="926"/>
        <v>0.88008760053944035</v>
      </c>
      <c r="BW234" s="9">
        <v>0</v>
      </c>
      <c r="BX234" s="9">
        <f t="shared" si="927"/>
        <v>0</v>
      </c>
      <c r="BY234" s="9">
        <f t="shared" si="850"/>
        <v>0</v>
      </c>
      <c r="BZ234" s="9">
        <f t="shared" si="928"/>
        <v>0.89787751228078194</v>
      </c>
      <c r="CA234" s="9">
        <f t="shared" si="929"/>
        <v>0.91600000000000004</v>
      </c>
      <c r="CB234" s="9">
        <f t="shared" si="930"/>
        <v>1.7319481964943424</v>
      </c>
      <c r="CC234" s="9">
        <f t="shared" si="931"/>
        <v>1.5242661325113169</v>
      </c>
      <c r="CD234" s="9">
        <v>1</v>
      </c>
      <c r="CE234" s="9" t="e">
        <f>4*CC234*#REF!+60*CC234</f>
        <v>#REF!</v>
      </c>
      <c r="DB234" s="4">
        <f t="shared" si="888"/>
        <v>0</v>
      </c>
      <c r="DC234" s="4" t="e">
        <f>#REF!</f>
        <v>#REF!</v>
      </c>
      <c r="DF234" s="4">
        <f t="shared" si="932"/>
        <v>1.7602491533005343E-5</v>
      </c>
      <c r="DG234" s="4">
        <f t="shared" si="933"/>
        <v>5.0117740230039942</v>
      </c>
      <c r="DH234" s="4">
        <f t="shared" si="934"/>
        <v>0.44695492134028231</v>
      </c>
      <c r="DI234" s="4">
        <f t="shared" si="935"/>
        <v>3.631591326605518</v>
      </c>
      <c r="DJ234" s="4">
        <f t="shared" si="936"/>
        <v>4.3765696221017283</v>
      </c>
      <c r="DK234" s="4">
        <f t="shared" si="937"/>
        <v>4.788408964910424</v>
      </c>
      <c r="DL234" s="38">
        <f t="shared" si="938"/>
        <v>295.94656303754186</v>
      </c>
      <c r="DM234" s="4" t="e">
        <f t="shared" si="939"/>
        <v>#REF!</v>
      </c>
      <c r="DN234" s="4">
        <f t="shared" si="940"/>
        <v>1.7177116348221595</v>
      </c>
      <c r="DO234" s="4">
        <f t="shared" si="776"/>
        <v>131.89413796225756</v>
      </c>
      <c r="DS234" s="4">
        <f t="shared" si="941"/>
        <v>1</v>
      </c>
      <c r="DT234" s="4">
        <f t="shared" si="942"/>
        <v>0.98631284916201112</v>
      </c>
      <c r="DU234" s="4">
        <f t="shared" si="943"/>
        <v>1</v>
      </c>
      <c r="DV234" s="4">
        <f t="shared" si="944"/>
        <v>0.98631284916201112</v>
      </c>
      <c r="DX234" s="4">
        <f t="shared" si="945"/>
        <v>272.36245756768136</v>
      </c>
      <c r="DY234" s="25">
        <f t="shared" si="851"/>
        <v>130.40885814516599</v>
      </c>
      <c r="EA234" s="4">
        <f t="shared" si="852"/>
        <v>0.98631284916201112</v>
      </c>
      <c r="EB234" s="4">
        <f t="shared" si="946"/>
        <v>5.0117740230039942</v>
      </c>
      <c r="EE234" s="4">
        <f t="shared" si="947"/>
        <v>61.494076526633307</v>
      </c>
      <c r="EF234" s="4">
        <f t="shared" si="948"/>
        <v>1.7177116348221595</v>
      </c>
      <c r="EG234" s="4">
        <f t="shared" si="949"/>
        <v>0.14704602000262343</v>
      </c>
      <c r="EJ234" s="4">
        <f t="shared" si="853"/>
        <v>0.14704602000262343</v>
      </c>
      <c r="EK234" s="4">
        <f t="shared" si="950"/>
        <v>0.44620903687763885</v>
      </c>
      <c r="EL234" s="4">
        <f t="shared" si="889"/>
        <v>3.6291659322379566</v>
      </c>
      <c r="EM234" s="4">
        <f t="shared" si="854"/>
        <v>4.3755646000742985</v>
      </c>
      <c r="EN234" s="4" t="e">
        <f t="shared" si="863"/>
        <v>#REF!</v>
      </c>
      <c r="EO234" s="4" t="e">
        <f t="shared" si="864"/>
        <v>#REF!</v>
      </c>
      <c r="EP234" s="4" t="e">
        <f t="shared" si="951"/>
        <v>#REF!</v>
      </c>
      <c r="EQ234" s="4" t="e">
        <f t="shared" si="855"/>
        <v>#REF!</v>
      </c>
      <c r="ER234" s="4" t="e">
        <f t="shared" si="952"/>
        <v>#REF!</v>
      </c>
      <c r="FA234" s="23"/>
      <c r="FB234" s="23"/>
      <c r="FC234" s="23"/>
      <c r="FD234" s="23"/>
      <c r="FE234" s="23"/>
      <c r="FF234" s="23"/>
      <c r="FG234" s="23"/>
      <c r="FH234" s="23"/>
      <c r="FR234" s="4">
        <f t="shared" si="842"/>
        <v>1</v>
      </c>
      <c r="FS234" s="4">
        <f t="shared" si="843"/>
        <v>0.8938547486033519</v>
      </c>
      <c r="FT234" s="4">
        <f t="shared" si="844"/>
        <v>0</v>
      </c>
      <c r="FU234" s="4">
        <f t="shared" si="845"/>
        <v>217.61156194593562</v>
      </c>
    </row>
    <row r="235" spans="2:177" ht="12" customHeight="1" x14ac:dyDescent="0.3">
      <c r="B235" s="24"/>
      <c r="C235" s="4" t="s">
        <v>347</v>
      </c>
      <c r="D235" s="7">
        <v>556</v>
      </c>
      <c r="E235" s="7">
        <f>305-J235-20</f>
        <v>209</v>
      </c>
      <c r="F235" s="7">
        <v>35.200000000000003</v>
      </c>
      <c r="G235" s="7">
        <v>35.799999999999997</v>
      </c>
      <c r="H235" s="7">
        <v>305</v>
      </c>
      <c r="I235" s="7">
        <v>76</v>
      </c>
      <c r="J235" s="7">
        <v>76</v>
      </c>
      <c r="K235" s="7">
        <f t="shared" si="886"/>
        <v>81.400000000000006</v>
      </c>
      <c r="L235" s="7">
        <v>2</v>
      </c>
      <c r="M235" s="7">
        <f t="shared" si="856"/>
        <v>280</v>
      </c>
      <c r="N235" s="7">
        <f t="shared" si="905"/>
        <v>1.6368715083798884</v>
      </c>
      <c r="O235" s="7">
        <f t="shared" si="906"/>
        <v>2.6229050279329611</v>
      </c>
      <c r="P235" s="7">
        <f>4225/(G235^2*PI()/4)-1</f>
        <v>3.1973074158937482</v>
      </c>
      <c r="Q235" s="7">
        <f>4225/(G235^2*PI()/4)-1</f>
        <v>3.1973074158937482</v>
      </c>
      <c r="R235" s="7">
        <f t="shared" si="907"/>
        <v>4.1973074158937482</v>
      </c>
      <c r="S235" s="7">
        <f t="shared" si="908"/>
        <v>73.344645861208321</v>
      </c>
      <c r="T235" s="7">
        <f t="shared" si="909"/>
        <v>556</v>
      </c>
      <c r="U235" s="7">
        <v>20</v>
      </c>
      <c r="V235" s="7">
        <f>349*1000/(G235^2*PI()/4)</f>
        <v>346.71249423595691</v>
      </c>
      <c r="W235" s="7"/>
      <c r="X235" s="4">
        <f t="shared" si="910"/>
        <v>1.6270397075880396</v>
      </c>
      <c r="Y235" s="7"/>
      <c r="Z235" s="7"/>
      <c r="AA235" s="7">
        <v>1</v>
      </c>
      <c r="AB235" s="7"/>
      <c r="AC235" s="7"/>
      <c r="AD235" s="7">
        <f t="shared" si="911"/>
        <v>5.3498293515358357</v>
      </c>
      <c r="AE235" s="4">
        <f t="shared" si="912"/>
        <v>209</v>
      </c>
      <c r="AF235" s="4">
        <f t="shared" si="913"/>
        <v>0.48644338118022329</v>
      </c>
      <c r="AG235" s="4">
        <f t="shared" si="914"/>
        <v>89.044034776358373</v>
      </c>
      <c r="AH235" s="4">
        <f t="shared" si="915"/>
        <v>0.78985645933014348</v>
      </c>
      <c r="AI235" s="4">
        <v>1.25</v>
      </c>
      <c r="AJ235" s="4">
        <f t="shared" si="857"/>
        <v>2.5</v>
      </c>
      <c r="AK235" s="38">
        <f t="shared" si="848"/>
        <v>106.91418381201157</v>
      </c>
      <c r="AL235" s="38">
        <f t="shared" si="953"/>
        <v>106.91418381201157</v>
      </c>
      <c r="AM235" s="38">
        <f t="shared" si="916"/>
        <v>3.222179253401551</v>
      </c>
      <c r="AN235" s="38">
        <f t="shared" si="858"/>
        <v>106.91418381201159</v>
      </c>
      <c r="AO235" s="38">
        <f t="shared" si="840"/>
        <v>0.99999999999999989</v>
      </c>
      <c r="AP235" s="38">
        <f t="shared" si="859"/>
        <v>2.3916651502566055</v>
      </c>
      <c r="AQ235" s="4">
        <f t="shared" si="860"/>
        <v>0</v>
      </c>
      <c r="AR235" s="4" t="e">
        <f>#REF!/G235*F235^0.5/0.19</f>
        <v>#REF!</v>
      </c>
      <c r="AS235" s="4">
        <f t="shared" si="917"/>
        <v>1.2409556313993173</v>
      </c>
      <c r="AT235" s="38">
        <f t="shared" si="918"/>
        <v>255.70292749131704</v>
      </c>
      <c r="AU235" s="4">
        <f t="shared" si="919"/>
        <v>0.55237696177487527</v>
      </c>
      <c r="AV235" s="4" t="e">
        <f>AU235*D235*#REF!/(D235*G235/2.75/F235^0.5)</f>
        <v>#REF!</v>
      </c>
      <c r="AW235" s="4" t="e">
        <f t="shared" si="849"/>
        <v>#REF!</v>
      </c>
      <c r="AY235" s="4">
        <f t="shared" si="920"/>
        <v>1.2807262569832403</v>
      </c>
      <c r="AZ235" s="4" t="e">
        <f>(3*#REF!+30)*AY235*F235^0.5</f>
        <v>#REF!</v>
      </c>
      <c r="BB235" s="4">
        <f t="shared" si="921"/>
        <v>245.25037789455612</v>
      </c>
      <c r="BC235" s="4">
        <f t="shared" si="922"/>
        <v>2142.1935501129287</v>
      </c>
      <c r="BD235" s="4">
        <f t="shared" si="862"/>
        <v>8.7347206903548642</v>
      </c>
      <c r="BL235" s="4">
        <f t="shared" si="923"/>
        <v>40.700000000000003</v>
      </c>
      <c r="BP235" s="9"/>
      <c r="BR235" s="9"/>
      <c r="BS235" s="9"/>
      <c r="BT235" s="9">
        <f t="shared" si="924"/>
        <v>40.700000000000003</v>
      </c>
      <c r="BU235" s="9">
        <f t="shared" si="925"/>
        <v>76</v>
      </c>
      <c r="BV235" s="9">
        <f t="shared" si="926"/>
        <v>1.1709505872794554</v>
      </c>
      <c r="BW235" s="9">
        <v>0</v>
      </c>
      <c r="BX235" s="9">
        <f t="shared" si="927"/>
        <v>0</v>
      </c>
      <c r="BY235" s="9">
        <f t="shared" si="850"/>
        <v>0</v>
      </c>
      <c r="BZ235" s="9">
        <f t="shared" si="928"/>
        <v>0.89787751228078194</v>
      </c>
      <c r="CA235" s="9">
        <f t="shared" si="929"/>
        <v>0.91600000000000004</v>
      </c>
      <c r="CB235" s="9">
        <f t="shared" si="930"/>
        <v>1.7078587312996556</v>
      </c>
      <c r="CC235" s="9">
        <f t="shared" si="931"/>
        <v>1.9998181844056775</v>
      </c>
      <c r="CD235" s="9">
        <v>1</v>
      </c>
      <c r="CE235" s="9" t="e">
        <f>4*CC235*#REF!+60*CC235</f>
        <v>#REF!</v>
      </c>
      <c r="CG235" s="4" t="e">
        <f t="shared" ref="CG235:CG245" si="954">V235/AR235</f>
        <v>#REF!</v>
      </c>
      <c r="CH235" s="4" t="e">
        <f t="shared" ref="CH235:CH245" si="955">V235/AW235</f>
        <v>#REF!</v>
      </c>
      <c r="CI235" s="4" t="e">
        <f t="shared" ref="CI235:CI245" si="956">V235/AZ235</f>
        <v>#REF!</v>
      </c>
      <c r="CJ235" s="4" t="e">
        <f t="shared" ref="CJ235:CJ245" si="957">V235/CE235</f>
        <v>#REF!</v>
      </c>
      <c r="CK235" s="4">
        <f t="shared" ref="CK235:CK251" si="958">V235/DL235</f>
        <v>1.6270397075880396</v>
      </c>
      <c r="CL235" s="4">
        <f t="shared" ref="CL235:CL251" si="959">V235/DX235</f>
        <v>1.6772269266410664</v>
      </c>
      <c r="CM235" s="4">
        <f t="shared" ref="CM235:CM245" si="960">V235/FU235</f>
        <v>2.5947732797879901</v>
      </c>
      <c r="CO235" s="4" t="e">
        <f t="shared" si="892"/>
        <v>#REF!</v>
      </c>
      <c r="CP235" s="4" t="e">
        <f t="shared" si="893"/>
        <v>#REF!</v>
      </c>
      <c r="CQ235" s="4" t="e">
        <f t="shared" si="894"/>
        <v>#REF!</v>
      </c>
      <c r="CR235" s="4">
        <f t="shared" ref="CR235:CR239" si="961">CM235</f>
        <v>2.5947732797879901</v>
      </c>
      <c r="CS235" s="4">
        <f t="shared" si="896"/>
        <v>1.6270397075880396</v>
      </c>
      <c r="CT235" s="4">
        <f t="shared" si="897"/>
        <v>1.6772269266410664</v>
      </c>
      <c r="DB235" s="4">
        <f t="shared" si="888"/>
        <v>0</v>
      </c>
      <c r="DC235" s="4" t="e">
        <f>#REF!</f>
        <v>#REF!</v>
      </c>
      <c r="DF235" s="4">
        <f t="shared" si="932"/>
        <v>1.0810474402128634E-5</v>
      </c>
      <c r="DG235" s="4">
        <f t="shared" si="933"/>
        <v>5.8141951099198845</v>
      </c>
      <c r="DH235" s="4">
        <f t="shared" si="934"/>
        <v>0.27110876525544425</v>
      </c>
      <c r="DI235" s="4">
        <f t="shared" si="935"/>
        <v>3.4494275298066173</v>
      </c>
      <c r="DJ235" s="4">
        <f t="shared" si="936"/>
        <v>4.7812591811704239</v>
      </c>
      <c r="DK235" s="4">
        <f t="shared" si="937"/>
        <v>5.7134970421870559</v>
      </c>
      <c r="DL235" s="38">
        <f t="shared" si="938"/>
        <v>213.09405825745418</v>
      </c>
      <c r="DM235" s="4" t="e">
        <f t="shared" si="939"/>
        <v>#REF!</v>
      </c>
      <c r="DN235" s="4">
        <f t="shared" si="940"/>
        <v>2.0487331246147575</v>
      </c>
      <c r="DO235" s="4">
        <f t="shared" si="776"/>
        <v>106.91418381201159</v>
      </c>
      <c r="DS235" s="4">
        <f t="shared" si="941"/>
        <v>0.85</v>
      </c>
      <c r="DT235" s="4">
        <f t="shared" si="942"/>
        <v>0.98631284916201112</v>
      </c>
      <c r="DU235" s="4">
        <f t="shared" si="943"/>
        <v>1</v>
      </c>
      <c r="DV235" s="4">
        <f t="shared" si="944"/>
        <v>0.98631284916201112</v>
      </c>
      <c r="DX235" s="4">
        <f t="shared" si="945"/>
        <v>206.71770094360932</v>
      </c>
      <c r="DY235" s="25">
        <f t="shared" si="851"/>
        <v>104.88808267769402</v>
      </c>
      <c r="EA235" s="4">
        <f t="shared" si="852"/>
        <v>0.83836592178770941</v>
      </c>
      <c r="EB235" s="4">
        <f t="shared" si="946"/>
        <v>5.8141951099198845</v>
      </c>
      <c r="EE235" s="4">
        <f t="shared" si="947"/>
        <v>73.344645861208321</v>
      </c>
      <c r="EF235" s="4">
        <f t="shared" si="948"/>
        <v>2.0487331246147575</v>
      </c>
      <c r="EG235" s="4">
        <f t="shared" si="949"/>
        <v>8.7952898482473257E-2</v>
      </c>
      <c r="EJ235" s="4">
        <f t="shared" si="853"/>
        <v>8.7952898482473257E-2</v>
      </c>
      <c r="EK235" s="4">
        <f t="shared" si="950"/>
        <v>0.27065633525403809</v>
      </c>
      <c r="EL235" s="4">
        <f t="shared" si="889"/>
        <v>3.4471237953415605</v>
      </c>
      <c r="EM235" s="4">
        <f t="shared" si="854"/>
        <v>4.7804322984849321</v>
      </c>
      <c r="EN235" s="4" t="e">
        <f t="shared" si="863"/>
        <v>#REF!</v>
      </c>
      <c r="EO235" s="4" t="e">
        <f t="shared" si="864"/>
        <v>#REF!</v>
      </c>
      <c r="EP235" s="4" t="e">
        <f t="shared" si="951"/>
        <v>#REF!</v>
      </c>
      <c r="EQ235" s="4" t="e">
        <f t="shared" si="855"/>
        <v>#REF!</v>
      </c>
      <c r="ER235" s="4" t="e">
        <f t="shared" si="952"/>
        <v>#REF!</v>
      </c>
      <c r="FA235" s="23" t="e">
        <f t="shared" ref="FA235:FA245" si="962">IF(CG235&lt;0.6,0.6,IF(CG235&lt;0.8,0.8,IF(CG235&lt;1,1,IF(CG235&lt;1.2,1.2,IF(CG235&lt;1.4,1.4,IF(CG235&lt;1.6,1.6,IF(CG235&lt;1.8,1.8,IF(CG235&lt;2,2,2.2))))))))</f>
        <v>#REF!</v>
      </c>
      <c r="FB235" s="23" t="e">
        <f t="shared" ref="FB235:FB245" si="963">IF(CH235&lt;0.6,0.6,IF(CH235&lt;0.8,0.8,IF(CH235&lt;1,1,IF(CH235&lt;1.2,1.2,IF(CH235&lt;1.4,1.4,IF(CH235&lt;1.6,1.6,IF(CH235&lt;1.8,1.8,IF(CH235&lt;2,2,2.2))))))))</f>
        <v>#REF!</v>
      </c>
      <c r="FC235" s="23">
        <f t="shared" ref="FC235:FC245" si="964">IF(CM235&lt;0.6,0.6,IF(CM235&lt;0.8,0.8,IF(CM235&lt;1,1,IF(CM235&lt;1.2,1.2,IF(CM235&lt;1.4,1.4,IF(CM235&lt;1.6,1.6,IF(CM235&lt;1.8,1.8,IF(CM235&lt;2,2,2.2))))))))</f>
        <v>2.2000000000000002</v>
      </c>
      <c r="FD235" s="23" t="e">
        <f t="shared" ref="FD235:FD245" si="965">IF(CJ235&lt;0.6,0.6,IF(CJ235&lt;0.8,0.8,IF(CJ235&lt;1,1,IF(CJ235&lt;1.2,1.2,IF(CJ235&lt;1.4,1.4,IF(CJ235&lt;1.6,1.6,IF(CJ235&lt;1.8,1.8,IF(CJ235&lt;2,2,2.2))))))))</f>
        <v>#REF!</v>
      </c>
      <c r="FE235" s="23">
        <f t="shared" ref="FE235:FE245" si="966">IF(CK235&lt;0.6,0.6,IF(CK235&lt;0.8,0.8,IF(CK235&lt;1,1,IF(CK235&lt;1.2,1.2,IF(CK235&lt;1.4,1.4,IF(CK235&lt;1.6,1.6,IF(CK235&lt;1.8,1.8,IF(CK235&lt;2,2,2.2))))))))</f>
        <v>1.8</v>
      </c>
      <c r="FF235" s="23">
        <f t="shared" ref="FF235:FF245" si="967">IF(CL235&lt;0.6,0.6,IF(CL235&lt;0.8,0.8,IF(CL235&lt;1,1,IF(CL235&lt;1.2,1.2,IF(CL235&lt;1.4,1.4,IF(CL235&lt;1.6,1.6,IF(CL235&lt;1.8,1.8,IF(CL235&lt;2,2,2.2))))))))</f>
        <v>1.8</v>
      </c>
      <c r="FG235" s="23">
        <f t="shared" ref="FG235:FG298" si="968">IF(FE235&lt;1,1,0)</f>
        <v>0</v>
      </c>
      <c r="FH235" s="23"/>
      <c r="FR235" s="4">
        <f t="shared" si="842"/>
        <v>1</v>
      </c>
      <c r="FS235" s="4">
        <f t="shared" si="843"/>
        <v>0.8938547486033519</v>
      </c>
      <c r="FT235" s="4">
        <f t="shared" si="844"/>
        <v>0</v>
      </c>
      <c r="FU235" s="4">
        <f t="shared" si="845"/>
        <v>133.61957167382485</v>
      </c>
    </row>
    <row r="236" spans="2:177" ht="12" customHeight="1" x14ac:dyDescent="0.3">
      <c r="B236" s="24"/>
      <c r="C236" s="4" t="s">
        <v>348</v>
      </c>
      <c r="D236" s="7">
        <v>578</v>
      </c>
      <c r="E236" s="7">
        <f>305-J236-18</f>
        <v>211</v>
      </c>
      <c r="F236" s="7">
        <v>35.200000000000003</v>
      </c>
      <c r="G236" s="7">
        <v>25.4</v>
      </c>
      <c r="H236" s="7">
        <v>305</v>
      </c>
      <c r="I236" s="7">
        <v>76</v>
      </c>
      <c r="J236" s="7">
        <v>76</v>
      </c>
      <c r="K236" s="7">
        <f t="shared" si="886"/>
        <v>102.19999999999999</v>
      </c>
      <c r="L236" s="7">
        <v>2</v>
      </c>
      <c r="M236" s="7">
        <f t="shared" si="856"/>
        <v>280</v>
      </c>
      <c r="N236" s="7">
        <f t="shared" si="905"/>
        <v>2.5118110236220472</v>
      </c>
      <c r="O236" s="7">
        <f t="shared" si="906"/>
        <v>3.4921259842519685</v>
      </c>
      <c r="P236" s="7">
        <f>3200/(G236^2*PI()/4)-1</f>
        <v>5.3152807724479523</v>
      </c>
      <c r="Q236" s="7">
        <f>3200/(G236^2*PI()/4)-1</f>
        <v>5.3152807724479523</v>
      </c>
      <c r="R236" s="7">
        <f t="shared" si="907"/>
        <v>6.3152807724479523</v>
      </c>
      <c r="S236" s="7">
        <f t="shared" si="908"/>
        <v>63.830764864229231</v>
      </c>
      <c r="T236" s="7">
        <f t="shared" si="909"/>
        <v>578</v>
      </c>
      <c r="U236" s="7">
        <v>18</v>
      </c>
      <c r="V236" s="7">
        <f>218*1000/(G236^2*PI()/4)</f>
        <v>430.22850262301677</v>
      </c>
      <c r="W236" s="7"/>
      <c r="X236" s="4">
        <f t="shared" si="910"/>
        <v>1.0787425247853666</v>
      </c>
      <c r="Y236" s="7"/>
      <c r="Z236" s="7"/>
      <c r="AA236" s="7">
        <v>1</v>
      </c>
      <c r="AB236" s="7"/>
      <c r="AC236" s="7"/>
      <c r="AD236" s="7">
        <f t="shared" si="911"/>
        <v>4.9608150470219439</v>
      </c>
      <c r="AE236" s="4">
        <f t="shared" si="912"/>
        <v>211</v>
      </c>
      <c r="AF236" s="4">
        <f t="shared" si="913"/>
        <v>0.48183254344391785</v>
      </c>
      <c r="AG236" s="4">
        <f t="shared" si="914"/>
        <v>179.43522533734807</v>
      </c>
      <c r="AH236" s="4">
        <f t="shared" si="915"/>
        <v>0.7840758293838862</v>
      </c>
      <c r="AI236" s="4">
        <v>1.25</v>
      </c>
      <c r="AJ236" s="4">
        <f t="shared" si="857"/>
        <v>2.5</v>
      </c>
      <c r="AK236" s="38">
        <f t="shared" si="848"/>
        <v>211.84192858291391</v>
      </c>
      <c r="AL236" s="38">
        <f t="shared" si="953"/>
        <v>211.84192858291391</v>
      </c>
      <c r="AM236" s="38">
        <f t="shared" si="916"/>
        <v>3.222179253401551</v>
      </c>
      <c r="AN236" s="38">
        <f t="shared" si="858"/>
        <v>211.84192858291399</v>
      </c>
      <c r="AO236" s="38">
        <f t="shared" si="840"/>
        <v>0.99999999999999956</v>
      </c>
      <c r="AP236" s="38">
        <f t="shared" si="859"/>
        <v>2.2249027574187785</v>
      </c>
      <c r="AQ236" s="4">
        <f t="shared" si="860"/>
        <v>0</v>
      </c>
      <c r="AR236" s="4" t="e">
        <f>#REF!/G236*F236^0.5/0.19</f>
        <v>#REF!</v>
      </c>
      <c r="AS236" s="4">
        <f t="shared" si="917"/>
        <v>1.1561128526645768</v>
      </c>
      <c r="AT236" s="38">
        <f t="shared" si="918"/>
        <v>471.32769104103733</v>
      </c>
      <c r="AU236" s="4">
        <f t="shared" si="919"/>
        <v>0.3</v>
      </c>
      <c r="AV236" s="4" t="e">
        <f>AU236*D236*#REF!/(D236*G236/2.75/F236^0.5)</f>
        <v>#REF!</v>
      </c>
      <c r="AW236" s="4" t="e">
        <f t="shared" si="849"/>
        <v>#REF!</v>
      </c>
      <c r="AY236" s="4">
        <f t="shared" si="920"/>
        <v>1.4980314960629921</v>
      </c>
      <c r="AZ236" s="4" t="e">
        <f>(3*#REF!+30)*AY236*F236^0.5</f>
        <v>#REF!</v>
      </c>
      <c r="BB236" s="4">
        <f t="shared" si="921"/>
        <v>452.06089532904645</v>
      </c>
      <c r="BC236" s="4">
        <f t="shared" si="922"/>
        <v>2245.2309649218914</v>
      </c>
      <c r="BD236" s="4">
        <f t="shared" si="862"/>
        <v>4.9666560149769889</v>
      </c>
      <c r="BL236" s="4">
        <f t="shared" si="923"/>
        <v>51.099999999999994</v>
      </c>
      <c r="BP236" s="9"/>
      <c r="BR236" s="9"/>
      <c r="BS236" s="9"/>
      <c r="BT236" s="9">
        <f t="shared" si="924"/>
        <v>51.099999999999994</v>
      </c>
      <c r="BU236" s="9">
        <f t="shared" si="925"/>
        <v>76</v>
      </c>
      <c r="BV236" s="9">
        <f t="shared" si="926"/>
        <v>1.5054020239149992</v>
      </c>
      <c r="BW236" s="9">
        <v>0</v>
      </c>
      <c r="BX236" s="9">
        <f t="shared" si="927"/>
        <v>0</v>
      </c>
      <c r="BY236" s="9">
        <f t="shared" si="850"/>
        <v>0</v>
      </c>
      <c r="BZ236" s="9">
        <f t="shared" si="928"/>
        <v>0.99524931562137331</v>
      </c>
      <c r="CA236" s="9">
        <f t="shared" si="929"/>
        <v>0.88300000000000001</v>
      </c>
      <c r="CB236" s="9">
        <f t="shared" si="930"/>
        <v>1.8248701497446835</v>
      </c>
      <c r="CC236" s="9">
        <f t="shared" si="931"/>
        <v>2.7471632168077145</v>
      </c>
      <c r="CD236" s="9">
        <v>1</v>
      </c>
      <c r="CE236" s="9" t="e">
        <f>4*CC236*#REF!+60*CC236</f>
        <v>#REF!</v>
      </c>
      <c r="CG236" s="4" t="e">
        <f t="shared" si="954"/>
        <v>#REF!</v>
      </c>
      <c r="CH236" s="4" t="e">
        <f t="shared" si="955"/>
        <v>#REF!</v>
      </c>
      <c r="CI236" s="4" t="e">
        <f t="shared" si="956"/>
        <v>#REF!</v>
      </c>
      <c r="CJ236" s="4" t="e">
        <f t="shared" si="957"/>
        <v>#REF!</v>
      </c>
      <c r="CK236" s="4">
        <f t="shared" si="958"/>
        <v>1.0787425247853666</v>
      </c>
      <c r="CL236" s="4">
        <f t="shared" si="959"/>
        <v>1.1150394683014302</v>
      </c>
      <c r="CM236" s="4">
        <f t="shared" si="960"/>
        <v>1.5950411881888569</v>
      </c>
      <c r="CO236" s="4" t="e">
        <f t="shared" si="892"/>
        <v>#REF!</v>
      </c>
      <c r="CP236" s="4" t="e">
        <f t="shared" si="893"/>
        <v>#REF!</v>
      </c>
      <c r="CQ236" s="4" t="e">
        <f t="shared" si="894"/>
        <v>#REF!</v>
      </c>
      <c r="CR236" s="4">
        <f t="shared" si="961"/>
        <v>1.5950411881888569</v>
      </c>
      <c r="CS236" s="4">
        <f t="shared" si="896"/>
        <v>1.0787425247853666</v>
      </c>
      <c r="CT236" s="4">
        <f t="shared" si="897"/>
        <v>1.1150394683014302</v>
      </c>
      <c r="DB236" s="4">
        <f t="shared" si="888"/>
        <v>0</v>
      </c>
      <c r="DC236" s="4" t="e">
        <f>#REF!</f>
        <v>#REF!</v>
      </c>
      <c r="DF236" s="4">
        <f t="shared" si="932"/>
        <v>1.5382617175677067E-5</v>
      </c>
      <c r="DG236" s="4">
        <f t="shared" si="933"/>
        <v>7.0890752785809319</v>
      </c>
      <c r="DH236" s="4">
        <f t="shared" si="934"/>
        <v>0.28121596513872082</v>
      </c>
      <c r="DI236" s="4">
        <f t="shared" si="935"/>
        <v>4.2678149187599521</v>
      </c>
      <c r="DJ236" s="4">
        <f t="shared" si="936"/>
        <v>5.8520434725818786</v>
      </c>
      <c r="DK236" s="4">
        <f t="shared" si="937"/>
        <v>6.8696369122175298</v>
      </c>
      <c r="DL236" s="38">
        <f t="shared" si="938"/>
        <v>398.82408706249691</v>
      </c>
      <c r="DM236" s="4" t="e">
        <f t="shared" si="939"/>
        <v>#REF!</v>
      </c>
      <c r="DN236" s="4">
        <f t="shared" si="940"/>
        <v>2.5130222387491825</v>
      </c>
      <c r="DO236" s="4">
        <f t="shared" si="776"/>
        <v>211.84192858291399</v>
      </c>
      <c r="DS236" s="4">
        <f t="shared" si="941"/>
        <v>0.85</v>
      </c>
      <c r="DT236" s="4">
        <f t="shared" si="942"/>
        <v>0.89881889763779532</v>
      </c>
      <c r="DU236" s="4">
        <f t="shared" si="943"/>
        <v>1</v>
      </c>
      <c r="DV236" s="4">
        <f t="shared" si="944"/>
        <v>0.89881889763779532</v>
      </c>
      <c r="DX236" s="4">
        <f t="shared" si="945"/>
        <v>385.84150144783257</v>
      </c>
      <c r="DY236" s="25">
        <f t="shared" si="851"/>
        <v>209.17281438713454</v>
      </c>
      <c r="EA236" s="4">
        <f t="shared" si="852"/>
        <v>0.76399606299212597</v>
      </c>
      <c r="EB236" s="4">
        <f t="shared" si="946"/>
        <v>7.0890752785809319</v>
      </c>
      <c r="EE236" s="4">
        <f t="shared" si="947"/>
        <v>63.830764864229231</v>
      </c>
      <c r="EF236" s="4">
        <f t="shared" si="948"/>
        <v>2.5130222387491825</v>
      </c>
      <c r="EG236" s="4">
        <f t="shared" si="949"/>
        <v>9.1231868546160763E-2</v>
      </c>
      <c r="EJ236" s="4">
        <f t="shared" si="853"/>
        <v>9.1231868546160763E-2</v>
      </c>
      <c r="EK236" s="4">
        <f t="shared" si="950"/>
        <v>0.28074666810443544</v>
      </c>
      <c r="EL236" s="4">
        <f t="shared" si="889"/>
        <v>4.2649646161419463</v>
      </c>
      <c r="EM236" s="4">
        <f t="shared" si="854"/>
        <v>5.85100886844935</v>
      </c>
      <c r="EN236" s="4" t="e">
        <f t="shared" si="863"/>
        <v>#REF!</v>
      </c>
      <c r="EO236" s="4" t="e">
        <f t="shared" si="864"/>
        <v>#REF!</v>
      </c>
      <c r="EP236" s="4" t="e">
        <f t="shared" si="951"/>
        <v>#REF!</v>
      </c>
      <c r="EQ236" s="4" t="e">
        <f t="shared" si="855"/>
        <v>#REF!</v>
      </c>
      <c r="ER236" s="4" t="e">
        <f t="shared" si="952"/>
        <v>#REF!</v>
      </c>
      <c r="FA236" s="23" t="e">
        <f t="shared" si="962"/>
        <v>#REF!</v>
      </c>
      <c r="FB236" s="23" t="e">
        <f t="shared" si="963"/>
        <v>#REF!</v>
      </c>
      <c r="FC236" s="23">
        <f t="shared" si="964"/>
        <v>1.6</v>
      </c>
      <c r="FD236" s="23" t="e">
        <f t="shared" si="965"/>
        <v>#REF!</v>
      </c>
      <c r="FE236" s="23">
        <f t="shared" si="966"/>
        <v>1.2</v>
      </c>
      <c r="FF236" s="23">
        <f t="shared" si="967"/>
        <v>1.2</v>
      </c>
      <c r="FG236" s="23">
        <f t="shared" si="968"/>
        <v>0</v>
      </c>
      <c r="FH236" s="23"/>
      <c r="FR236" s="4">
        <f t="shared" si="842"/>
        <v>1</v>
      </c>
      <c r="FS236" s="4">
        <f t="shared" si="843"/>
        <v>0.74803149606299213</v>
      </c>
      <c r="FT236" s="4">
        <f t="shared" si="844"/>
        <v>0</v>
      </c>
      <c r="FU236" s="4">
        <f t="shared" si="845"/>
        <v>269.72877303032794</v>
      </c>
    </row>
    <row r="237" spans="2:177" ht="12" customHeight="1" x14ac:dyDescent="0.3">
      <c r="B237" s="24"/>
      <c r="C237" s="4" t="s">
        <v>349</v>
      </c>
      <c r="D237" s="7">
        <v>578</v>
      </c>
      <c r="E237" s="7">
        <f>305-J237-18</f>
        <v>211</v>
      </c>
      <c r="F237" s="7">
        <v>35.200000000000003</v>
      </c>
      <c r="G237" s="7">
        <v>25.4</v>
      </c>
      <c r="H237" s="7">
        <v>305</v>
      </c>
      <c r="I237" s="7">
        <v>76</v>
      </c>
      <c r="J237" s="7">
        <v>76</v>
      </c>
      <c r="K237" s="7">
        <f t="shared" si="886"/>
        <v>102.19999999999999</v>
      </c>
      <c r="L237" s="7">
        <v>2</v>
      </c>
      <c r="M237" s="7">
        <f t="shared" si="856"/>
        <v>280</v>
      </c>
      <c r="N237" s="7">
        <f t="shared" si="905"/>
        <v>2.5118110236220472</v>
      </c>
      <c r="O237" s="7">
        <f t="shared" si="906"/>
        <v>3.4921259842519685</v>
      </c>
      <c r="P237" s="7">
        <f>1624/(G237^2*PI()/4)-1</f>
        <v>2.205004992017336</v>
      </c>
      <c r="Q237" s="7">
        <f>1624/(G237^2*PI()/4)-1</f>
        <v>2.205004992017336</v>
      </c>
      <c r="R237" s="7">
        <f t="shared" si="907"/>
        <v>3.205004992017336</v>
      </c>
      <c r="S237" s="7">
        <f t="shared" si="908"/>
        <v>45.472420439755616</v>
      </c>
      <c r="T237" s="7">
        <f t="shared" si="909"/>
        <v>578</v>
      </c>
      <c r="U237" s="7">
        <v>18</v>
      </c>
      <c r="V237" s="7">
        <f>183*1000/(G237^2*PI()/4)</f>
        <v>361.15511917436726</v>
      </c>
      <c r="W237" s="7"/>
      <c r="X237" s="4">
        <f t="shared" si="910"/>
        <v>0.864466025227837</v>
      </c>
      <c r="Y237" s="7"/>
      <c r="Z237" s="7"/>
      <c r="AA237" s="7">
        <v>1</v>
      </c>
      <c r="AB237" s="7"/>
      <c r="AC237" s="7"/>
      <c r="AD237" s="7">
        <f t="shared" si="911"/>
        <v>4.9608150470219439</v>
      </c>
      <c r="AE237" s="4">
        <f t="shared" si="912"/>
        <v>211</v>
      </c>
      <c r="AF237" s="4">
        <f t="shared" si="913"/>
        <v>0.48183254344391785</v>
      </c>
      <c r="AG237" s="4">
        <f t="shared" si="914"/>
        <v>179.43522533734807</v>
      </c>
      <c r="AH237" s="4">
        <f t="shared" si="915"/>
        <v>0.7840758293838862</v>
      </c>
      <c r="AI237" s="4">
        <v>1.25</v>
      </c>
      <c r="AJ237" s="4">
        <f t="shared" si="857"/>
        <v>2.5</v>
      </c>
      <c r="AK237" s="38">
        <f t="shared" si="848"/>
        <v>211.84192858291391</v>
      </c>
      <c r="AL237" s="38">
        <f t="shared" si="953"/>
        <v>211.84192858291391</v>
      </c>
      <c r="AM237" s="38">
        <f t="shared" si="916"/>
        <v>3.222179253401551</v>
      </c>
      <c r="AN237" s="38">
        <f t="shared" si="858"/>
        <v>211.84192858291399</v>
      </c>
      <c r="AO237" s="38">
        <f t="shared" si="840"/>
        <v>0.99999999999999956</v>
      </c>
      <c r="AP237" s="38">
        <f t="shared" si="859"/>
        <v>1.4330215371477693</v>
      </c>
      <c r="AQ237" s="4">
        <f t="shared" si="860"/>
        <v>0</v>
      </c>
      <c r="AR237" s="4" t="e">
        <f>#REF!/G237*F237^0.5/0.19</f>
        <v>#REF!</v>
      </c>
      <c r="AS237" s="4">
        <f t="shared" si="917"/>
        <v>1.1561128526645768</v>
      </c>
      <c r="AT237" s="38">
        <f t="shared" si="918"/>
        <v>303.57404613023539</v>
      </c>
      <c r="AU237" s="4">
        <f t="shared" si="919"/>
        <v>0.69129930111757298</v>
      </c>
      <c r="AV237" s="4" t="e">
        <f>AU237*D237*#REF!/(D237*G237/2.75/F237^0.5)</f>
        <v>#REF!</v>
      </c>
      <c r="AW237" s="4" t="e">
        <f t="shared" si="849"/>
        <v>#REF!</v>
      </c>
      <c r="AY237" s="4">
        <f t="shared" si="920"/>
        <v>1.4980314960629921</v>
      </c>
      <c r="AZ237" s="4" t="e">
        <f>(3*#REF!+30)*AY237*F237^0.5</f>
        <v>#REF!</v>
      </c>
      <c r="BB237" s="4">
        <f t="shared" si="921"/>
        <v>291.16463492561229</v>
      </c>
      <c r="BC237" s="4">
        <f t="shared" si="922"/>
        <v>81053.819577985545</v>
      </c>
      <c r="BD237" s="4">
        <f t="shared" si="862"/>
        <v>278.37796852867604</v>
      </c>
      <c r="BL237" s="4">
        <f t="shared" si="923"/>
        <v>51.099999999999994</v>
      </c>
      <c r="BP237" s="9"/>
      <c r="BR237" s="9"/>
      <c r="BS237" s="9"/>
      <c r="BT237" s="9">
        <f t="shared" si="924"/>
        <v>51.099999999999994</v>
      </c>
      <c r="BU237" s="9">
        <f t="shared" si="925"/>
        <v>76</v>
      </c>
      <c r="BV237" s="9">
        <f t="shared" si="926"/>
        <v>1.5054020239149992</v>
      </c>
      <c r="BW237" s="9">
        <v>0</v>
      </c>
      <c r="BX237" s="9">
        <f t="shared" si="927"/>
        <v>0</v>
      </c>
      <c r="BY237" s="9">
        <f t="shared" si="850"/>
        <v>0</v>
      </c>
      <c r="BZ237" s="9">
        <f t="shared" si="928"/>
        <v>0.99524931562137331</v>
      </c>
      <c r="CA237" s="9">
        <f t="shared" si="929"/>
        <v>0.88300000000000001</v>
      </c>
      <c r="CB237" s="9">
        <f t="shared" si="930"/>
        <v>1.8248701497446835</v>
      </c>
      <c r="CC237" s="9">
        <f t="shared" si="931"/>
        <v>2.7471632168077145</v>
      </c>
      <c r="CD237" s="9">
        <v>1</v>
      </c>
      <c r="CE237" s="9" t="e">
        <f>4*CC237*#REF!+60*CC237</f>
        <v>#REF!</v>
      </c>
      <c r="CG237" s="4" t="e">
        <f t="shared" si="954"/>
        <v>#REF!</v>
      </c>
      <c r="CH237" s="4" t="e">
        <f t="shared" si="955"/>
        <v>#REF!</v>
      </c>
      <c r="CI237" s="4" t="e">
        <f t="shared" si="956"/>
        <v>#REF!</v>
      </c>
      <c r="CJ237" s="4" t="e">
        <f t="shared" si="957"/>
        <v>#REF!</v>
      </c>
      <c r="CK237" s="4">
        <f t="shared" si="958"/>
        <v>0.864466025227837</v>
      </c>
      <c r="CL237" s="4">
        <f t="shared" si="959"/>
        <v>0.93601937017964099</v>
      </c>
      <c r="CM237" s="4">
        <f t="shared" si="960"/>
        <v>1.338956593754866</v>
      </c>
      <c r="CO237" s="4" t="e">
        <f t="shared" si="892"/>
        <v>#REF!</v>
      </c>
      <c r="CP237" s="4" t="e">
        <f t="shared" si="893"/>
        <v>#REF!</v>
      </c>
      <c r="CQ237" s="4" t="e">
        <f t="shared" si="894"/>
        <v>#REF!</v>
      </c>
      <c r="CR237" s="4">
        <f t="shared" si="961"/>
        <v>1.338956593754866</v>
      </c>
      <c r="CS237" s="4">
        <f t="shared" si="896"/>
        <v>0.864466025227837</v>
      </c>
      <c r="CT237" s="4">
        <f t="shared" si="897"/>
        <v>0.93601937017964099</v>
      </c>
      <c r="DB237" s="4">
        <f t="shared" si="888"/>
        <v>0</v>
      </c>
      <c r="DC237" s="4" t="e">
        <f>#REF!</f>
        <v>#REF!</v>
      </c>
      <c r="DF237" s="4">
        <f t="shared" si="932"/>
        <v>1.5382617175677067E-5</v>
      </c>
      <c r="DG237" s="4">
        <f t="shared" si="933"/>
        <v>7.0890752785809319</v>
      </c>
      <c r="DH237" s="4">
        <f t="shared" si="934"/>
        <v>0.48291937453805894</v>
      </c>
      <c r="DI237" s="4">
        <f t="shared" si="935"/>
        <v>5.298335314469159</v>
      </c>
      <c r="DJ237" s="4">
        <f t="shared" si="936"/>
        <v>6.2582206434403789</v>
      </c>
      <c r="DK237" s="4">
        <f t="shared" si="937"/>
        <v>6.8432350850706829</v>
      </c>
      <c r="DL237" s="38">
        <f t="shared" si="938"/>
        <v>417.7782684740929</v>
      </c>
      <c r="DM237" s="4" t="e">
        <f t="shared" si="939"/>
        <v>#REF!</v>
      </c>
      <c r="DN237" s="4">
        <f t="shared" si="940"/>
        <v>1.7902527732187252</v>
      </c>
      <c r="DO237" s="4">
        <f t="shared" si="776"/>
        <v>211.84192858291399</v>
      </c>
      <c r="DS237" s="4">
        <f t="shared" si="941"/>
        <v>0.85</v>
      </c>
      <c r="DT237" s="4">
        <f t="shared" si="942"/>
        <v>0.89881889763779532</v>
      </c>
      <c r="DU237" s="4">
        <f t="shared" si="943"/>
        <v>1</v>
      </c>
      <c r="DV237" s="4">
        <f t="shared" si="944"/>
        <v>0.89881889763779532</v>
      </c>
      <c r="DX237" s="4">
        <f t="shared" si="945"/>
        <v>385.84150144783257</v>
      </c>
      <c r="DY237" s="25">
        <f t="shared" si="851"/>
        <v>209.17281438713454</v>
      </c>
      <c r="EA237" s="4">
        <f t="shared" si="852"/>
        <v>0.76399606299212597</v>
      </c>
      <c r="EB237" s="4">
        <f t="shared" si="946"/>
        <v>7.0890752785809319</v>
      </c>
      <c r="EE237" s="4">
        <f t="shared" si="947"/>
        <v>45.472420439755616</v>
      </c>
      <c r="EF237" s="4">
        <f t="shared" si="948"/>
        <v>1.7902527732187252</v>
      </c>
      <c r="EG237" s="4">
        <f t="shared" si="949"/>
        <v>0.15666833451122594</v>
      </c>
      <c r="EJ237" s="4">
        <f t="shared" si="853"/>
        <v>0.15666833451122594</v>
      </c>
      <c r="EK237" s="4">
        <f t="shared" si="950"/>
        <v>0.48211347210589123</v>
      </c>
      <c r="EL237" s="4">
        <f t="shared" si="889"/>
        <v>5.2947967685609179</v>
      </c>
      <c r="EM237" s="4">
        <f t="shared" si="854"/>
        <v>6.2567241775106712</v>
      </c>
      <c r="EN237" s="4" t="e">
        <f t="shared" si="863"/>
        <v>#REF!</v>
      </c>
      <c r="EO237" s="4" t="e">
        <f t="shared" si="864"/>
        <v>#REF!</v>
      </c>
      <c r="EP237" s="4" t="e">
        <f t="shared" si="951"/>
        <v>#REF!</v>
      </c>
      <c r="EQ237" s="4" t="e">
        <f t="shared" si="855"/>
        <v>#REF!</v>
      </c>
      <c r="ER237" s="4" t="e">
        <f t="shared" si="952"/>
        <v>#REF!</v>
      </c>
      <c r="FA237" s="23" t="e">
        <f t="shared" si="962"/>
        <v>#REF!</v>
      </c>
      <c r="FB237" s="23" t="e">
        <f t="shared" si="963"/>
        <v>#REF!</v>
      </c>
      <c r="FC237" s="23">
        <f t="shared" si="964"/>
        <v>1.4</v>
      </c>
      <c r="FD237" s="23" t="e">
        <f t="shared" si="965"/>
        <v>#REF!</v>
      </c>
      <c r="FE237" s="23">
        <f t="shared" si="966"/>
        <v>1</v>
      </c>
      <c r="FF237" s="23">
        <f t="shared" si="967"/>
        <v>1</v>
      </c>
      <c r="FG237" s="23">
        <f t="shared" si="968"/>
        <v>0</v>
      </c>
      <c r="FH237" s="23"/>
      <c r="FR237" s="4">
        <f t="shared" si="842"/>
        <v>1</v>
      </c>
      <c r="FS237" s="4">
        <f t="shared" si="843"/>
        <v>0.74803149606299213</v>
      </c>
      <c r="FT237" s="4">
        <f t="shared" si="844"/>
        <v>0</v>
      </c>
      <c r="FU237" s="4">
        <f t="shared" si="845"/>
        <v>269.72877303032794</v>
      </c>
    </row>
    <row r="238" spans="2:177" ht="12" customHeight="1" x14ac:dyDescent="0.3">
      <c r="B238" s="24"/>
      <c r="C238" s="4" t="s">
        <v>350</v>
      </c>
      <c r="D238" s="7">
        <v>556</v>
      </c>
      <c r="E238" s="7">
        <f>381-J238-20</f>
        <v>285</v>
      </c>
      <c r="F238" s="7">
        <v>33.200000000000003</v>
      </c>
      <c r="G238" s="7">
        <v>35.799999999999997</v>
      </c>
      <c r="H238" s="7">
        <v>305</v>
      </c>
      <c r="I238" s="7">
        <v>76</v>
      </c>
      <c r="J238" s="7">
        <v>76</v>
      </c>
      <c r="K238" s="7">
        <f t="shared" si="886"/>
        <v>81.400000000000006</v>
      </c>
      <c r="L238" s="7">
        <v>2</v>
      </c>
      <c r="M238" s="7">
        <f t="shared" si="856"/>
        <v>280</v>
      </c>
      <c r="N238" s="7">
        <f t="shared" si="905"/>
        <v>1.6368715083798884</v>
      </c>
      <c r="O238" s="7">
        <f t="shared" si="906"/>
        <v>2.6229050279329611</v>
      </c>
      <c r="P238" s="7">
        <f>2970/(G238^2*PI()/4)-1</f>
        <v>1.9505332604034158</v>
      </c>
      <c r="Q238" s="7">
        <f>2970/(G238^2*PI()/4)-1</f>
        <v>1.9505332604034158</v>
      </c>
      <c r="R238" s="7">
        <f t="shared" si="907"/>
        <v>2.9505332604034158</v>
      </c>
      <c r="S238" s="7">
        <f t="shared" si="908"/>
        <v>61.494076526633307</v>
      </c>
      <c r="T238" s="7">
        <f t="shared" si="909"/>
        <v>556</v>
      </c>
      <c r="U238" s="7">
        <v>20</v>
      </c>
      <c r="V238" s="7">
        <f>306*1000/(G238^2*PI()/4)</f>
        <v>303.99433592035194</v>
      </c>
      <c r="W238" s="7"/>
      <c r="X238" s="4">
        <f t="shared" si="910"/>
        <v>1.1163081599228812</v>
      </c>
      <c r="Y238" s="7"/>
      <c r="Z238" s="7"/>
      <c r="AA238" s="7">
        <v>1</v>
      </c>
      <c r="AB238" s="7"/>
      <c r="AC238" s="7"/>
      <c r="AD238" s="7">
        <f t="shared" si="911"/>
        <v>7.2952218430034126</v>
      </c>
      <c r="AE238" s="4">
        <f t="shared" si="912"/>
        <v>285</v>
      </c>
      <c r="AF238" s="4">
        <f t="shared" si="913"/>
        <v>0.35672514619883039</v>
      </c>
      <c r="AG238" s="4">
        <f t="shared" si="914"/>
        <v>137.70521941374017</v>
      </c>
      <c r="AH238" s="4">
        <f t="shared" si="915"/>
        <v>0.76589473684210518</v>
      </c>
      <c r="AI238" s="4">
        <v>1.25</v>
      </c>
      <c r="AJ238" s="4">
        <f t="shared" si="857"/>
        <v>2.5</v>
      </c>
      <c r="AK238" s="38">
        <f t="shared" si="848"/>
        <v>117.57181779723911</v>
      </c>
      <c r="AL238" s="38">
        <f t="shared" si="953"/>
        <v>117.57181779723911</v>
      </c>
      <c r="AM238" s="38">
        <f t="shared" si="916"/>
        <v>3.098941018792384</v>
      </c>
      <c r="AN238" s="38">
        <f t="shared" si="858"/>
        <v>117.57181779723915</v>
      </c>
      <c r="AO238" s="38">
        <f t="shared" si="840"/>
        <v>0.99999999999999967</v>
      </c>
      <c r="AP238" s="38">
        <f t="shared" si="859"/>
        <v>1.6021839252307555</v>
      </c>
      <c r="AQ238" s="4">
        <f t="shared" si="860"/>
        <v>0</v>
      </c>
      <c r="AR238" s="4" t="e">
        <f>#REF!/G238*F238^0.5/0.19</f>
        <v>#REF!</v>
      </c>
      <c r="AS238" s="4">
        <f t="shared" si="917"/>
        <v>1.2409556313993173</v>
      </c>
      <c r="AT238" s="38">
        <f t="shared" si="918"/>
        <v>188.37167653489581</v>
      </c>
      <c r="AU238" s="4">
        <f t="shared" si="919"/>
        <v>0.72692534354352178</v>
      </c>
      <c r="AV238" s="4" t="e">
        <f>AU238*D238*#REF!/(D238*G238/2.75/F238^0.5)</f>
        <v>#REF!</v>
      </c>
      <c r="AW238" s="4" t="e">
        <f t="shared" si="849"/>
        <v>#REF!</v>
      </c>
      <c r="AY238" s="4">
        <f t="shared" si="920"/>
        <v>1.2807262569832403</v>
      </c>
      <c r="AZ238" s="4" t="e">
        <f>(3*#REF!+30)*AY238*F238^0.5</f>
        <v>#REF!</v>
      </c>
      <c r="BB238" s="4">
        <f t="shared" si="921"/>
        <v>180.67147415190635</v>
      </c>
      <c r="BC238" s="4">
        <f t="shared" si="922"/>
        <v>25439.539549546142</v>
      </c>
      <c r="BD238" s="4">
        <f t="shared" si="862"/>
        <v>140.80551270731809</v>
      </c>
      <c r="BL238" s="4">
        <f t="shared" si="923"/>
        <v>40.700000000000003</v>
      </c>
      <c r="BP238" s="9"/>
      <c r="BR238" s="9"/>
      <c r="BS238" s="9"/>
      <c r="BT238" s="9">
        <f t="shared" si="924"/>
        <v>40.700000000000003</v>
      </c>
      <c r="BU238" s="9">
        <f t="shared" si="925"/>
        <v>76</v>
      </c>
      <c r="BV238" s="9">
        <f t="shared" si="926"/>
        <v>1.1709505872794554</v>
      </c>
      <c r="BW238" s="9">
        <v>0</v>
      </c>
      <c r="BX238" s="9">
        <f t="shared" si="927"/>
        <v>0</v>
      </c>
      <c r="BY238" s="9">
        <f t="shared" si="850"/>
        <v>0</v>
      </c>
      <c r="BZ238" s="9">
        <f t="shared" si="928"/>
        <v>0.89787751228078194</v>
      </c>
      <c r="CA238" s="9">
        <f t="shared" si="929"/>
        <v>0.91600000000000004</v>
      </c>
      <c r="CB238" s="9">
        <f t="shared" si="930"/>
        <v>1.6586305277394953</v>
      </c>
      <c r="CC238" s="9">
        <f t="shared" si="931"/>
        <v>1.942174390536195</v>
      </c>
      <c r="CD238" s="9">
        <v>1</v>
      </c>
      <c r="CE238" s="9" t="e">
        <f>4*CC238*#REF!+60*CC238</f>
        <v>#REF!</v>
      </c>
      <c r="CG238" s="4" t="e">
        <f t="shared" si="954"/>
        <v>#REF!</v>
      </c>
      <c r="CH238" s="4" t="e">
        <f t="shared" si="955"/>
        <v>#REF!</v>
      </c>
      <c r="CI238" s="4" t="e">
        <f t="shared" si="956"/>
        <v>#REF!</v>
      </c>
      <c r="CJ238" s="4" t="e">
        <f t="shared" si="957"/>
        <v>#REF!</v>
      </c>
      <c r="CK238" s="4">
        <f t="shared" si="958"/>
        <v>1.1163081599228812</v>
      </c>
      <c r="CL238" s="4">
        <f t="shared" si="959"/>
        <v>1.2119877238401617</v>
      </c>
      <c r="CM238" s="4">
        <f t="shared" si="960"/>
        <v>1.6929650308865152</v>
      </c>
      <c r="CO238" s="4" t="e">
        <f t="shared" si="892"/>
        <v>#REF!</v>
      </c>
      <c r="CP238" s="4" t="e">
        <f t="shared" si="893"/>
        <v>#REF!</v>
      </c>
      <c r="CQ238" s="4" t="e">
        <f t="shared" si="894"/>
        <v>#REF!</v>
      </c>
      <c r="CR238" s="4">
        <f t="shared" si="961"/>
        <v>1.6929650308865152</v>
      </c>
      <c r="CS238" s="4">
        <f t="shared" si="896"/>
        <v>1.1163081599228812</v>
      </c>
      <c r="CT238" s="4">
        <f t="shared" si="897"/>
        <v>1.2119877238401617</v>
      </c>
      <c r="DB238" s="4">
        <f t="shared" si="888"/>
        <v>0</v>
      </c>
      <c r="DC238" s="4" t="e">
        <f>#REF!</f>
        <v>#REF!</v>
      </c>
      <c r="DF238" s="4">
        <f t="shared" si="932"/>
        <v>1.4539801168325371E-5</v>
      </c>
      <c r="DG238" s="4">
        <f t="shared" si="933"/>
        <v>5.6466037423412478</v>
      </c>
      <c r="DH238" s="4">
        <f t="shared" si="934"/>
        <v>0.43442213896878051</v>
      </c>
      <c r="DI238" s="4">
        <f t="shared" si="935"/>
        <v>4.0453126399641084</v>
      </c>
      <c r="DJ238" s="4">
        <f t="shared" si="936"/>
        <v>4.9118289205503318</v>
      </c>
      <c r="DK238" s="4">
        <f t="shared" si="937"/>
        <v>5.4510711945142196</v>
      </c>
      <c r="DL238" s="38">
        <f t="shared" si="938"/>
        <v>272.32116259129828</v>
      </c>
      <c r="DM238" s="4" t="e">
        <f t="shared" si="939"/>
        <v>#REF!</v>
      </c>
      <c r="DN238" s="4">
        <f t="shared" si="940"/>
        <v>1.7177116348221595</v>
      </c>
      <c r="DO238" s="4">
        <f t="shared" si="776"/>
        <v>117.57181779723915</v>
      </c>
      <c r="DS238" s="4">
        <f t="shared" si="941"/>
        <v>0.85</v>
      </c>
      <c r="DT238" s="4">
        <f t="shared" si="942"/>
        <v>0.98631284916201112</v>
      </c>
      <c r="DU238" s="4">
        <f t="shared" si="943"/>
        <v>1</v>
      </c>
      <c r="DV238" s="4">
        <f t="shared" si="944"/>
        <v>0.98631284916201112</v>
      </c>
      <c r="DX238" s="4">
        <f t="shared" si="945"/>
        <v>250.82294972192562</v>
      </c>
      <c r="DY238" s="25">
        <f t="shared" si="851"/>
        <v>115.96691062411087</v>
      </c>
      <c r="EA238" s="4">
        <f t="shared" si="852"/>
        <v>0.83836592178770941</v>
      </c>
      <c r="EB238" s="4">
        <f t="shared" si="946"/>
        <v>5.6466037423412478</v>
      </c>
      <c r="EE238" s="4">
        <f t="shared" si="947"/>
        <v>61.494076526633307</v>
      </c>
      <c r="EF238" s="4">
        <f t="shared" si="948"/>
        <v>1.7177116348221595</v>
      </c>
      <c r="EG238" s="4">
        <f t="shared" si="949"/>
        <v>0.13687251798402508</v>
      </c>
      <c r="EJ238" s="4">
        <f t="shared" si="853"/>
        <v>0.13687251798402508</v>
      </c>
      <c r="EK238" s="4">
        <f t="shared" si="950"/>
        <v>0.43369716938412217</v>
      </c>
      <c r="EL238" s="4">
        <f t="shared" si="889"/>
        <v>4.0426109377047954</v>
      </c>
      <c r="EM238" s="4">
        <f t="shared" si="854"/>
        <v>4.9107178946531684</v>
      </c>
      <c r="EN238" s="4" t="e">
        <f t="shared" si="863"/>
        <v>#REF!</v>
      </c>
      <c r="EO238" s="4" t="e">
        <f t="shared" si="864"/>
        <v>#REF!</v>
      </c>
      <c r="EP238" s="4" t="e">
        <f t="shared" si="951"/>
        <v>#REF!</v>
      </c>
      <c r="EQ238" s="4" t="e">
        <f t="shared" si="855"/>
        <v>#REF!</v>
      </c>
      <c r="ER238" s="4" t="e">
        <f t="shared" si="952"/>
        <v>#REF!</v>
      </c>
      <c r="FA238" s="23" t="e">
        <f t="shared" si="962"/>
        <v>#REF!</v>
      </c>
      <c r="FB238" s="23" t="e">
        <f t="shared" si="963"/>
        <v>#REF!</v>
      </c>
      <c r="FC238" s="23">
        <f t="shared" si="964"/>
        <v>1.8</v>
      </c>
      <c r="FD238" s="23" t="e">
        <f t="shared" si="965"/>
        <v>#REF!</v>
      </c>
      <c r="FE238" s="23">
        <f t="shared" si="966"/>
        <v>1.2</v>
      </c>
      <c r="FF238" s="23">
        <f t="shared" si="967"/>
        <v>1.4</v>
      </c>
      <c r="FG238" s="23">
        <f t="shared" si="968"/>
        <v>0</v>
      </c>
      <c r="FH238" s="23"/>
      <c r="FR238" s="4">
        <f t="shared" si="842"/>
        <v>1</v>
      </c>
      <c r="FS238" s="4">
        <f t="shared" si="843"/>
        <v>0.8938547486033519</v>
      </c>
      <c r="FT238" s="4">
        <f t="shared" si="844"/>
        <v>0</v>
      </c>
      <c r="FU238" s="4">
        <f t="shared" si="845"/>
        <v>179.56326939674966</v>
      </c>
    </row>
    <row r="239" spans="2:177" ht="12" customHeight="1" x14ac:dyDescent="0.3">
      <c r="B239" s="24"/>
      <c r="C239" s="4" t="s">
        <v>351</v>
      </c>
      <c r="D239" s="7">
        <v>556</v>
      </c>
      <c r="E239" s="7">
        <f>381-J239-20</f>
        <v>285</v>
      </c>
      <c r="F239" s="7">
        <v>32.299999999999997</v>
      </c>
      <c r="G239" s="7">
        <v>35.799999999999997</v>
      </c>
      <c r="H239" s="7">
        <v>305</v>
      </c>
      <c r="I239" s="7">
        <v>76</v>
      </c>
      <c r="J239" s="7">
        <v>76</v>
      </c>
      <c r="K239" s="7">
        <f t="shared" si="886"/>
        <v>81.400000000000006</v>
      </c>
      <c r="L239" s="7">
        <v>2</v>
      </c>
      <c r="M239" s="7">
        <f t="shared" si="856"/>
        <v>280</v>
      </c>
      <c r="N239" s="7">
        <f t="shared" si="905"/>
        <v>1.6368715083798884</v>
      </c>
      <c r="O239" s="7">
        <f t="shared" si="906"/>
        <v>2.6229050279329611</v>
      </c>
      <c r="P239" s="7">
        <f>2970/(G239^2*PI()/4)-1</f>
        <v>1.9505332604034158</v>
      </c>
      <c r="Q239" s="7">
        <f>2970/(G239^2*PI()/4)-1</f>
        <v>1.9505332604034158</v>
      </c>
      <c r="R239" s="7">
        <f t="shared" si="907"/>
        <v>2.9505332604034158</v>
      </c>
      <c r="S239" s="7">
        <f t="shared" si="908"/>
        <v>61.494076526633307</v>
      </c>
      <c r="T239" s="7">
        <f t="shared" si="909"/>
        <v>556</v>
      </c>
      <c r="U239" s="7">
        <v>20</v>
      </c>
      <c r="V239" s="7">
        <f>357*1000/(G239^2*PI()/4)</f>
        <v>354.66005857374392</v>
      </c>
      <c r="W239" s="7"/>
      <c r="X239" s="4">
        <f t="shared" si="910"/>
        <v>1.3187489627900544</v>
      </c>
      <c r="Y239" s="7"/>
      <c r="Z239" s="7"/>
      <c r="AA239" s="7">
        <v>1</v>
      </c>
      <c r="AB239" s="7"/>
      <c r="AC239" s="7"/>
      <c r="AD239" s="7">
        <f t="shared" si="911"/>
        <v>7.2952218430034126</v>
      </c>
      <c r="AE239" s="4">
        <f t="shared" si="912"/>
        <v>285</v>
      </c>
      <c r="AF239" s="4">
        <f t="shared" si="913"/>
        <v>0.35672514619883039</v>
      </c>
      <c r="AG239" s="4">
        <f t="shared" si="914"/>
        <v>135.82590921165087</v>
      </c>
      <c r="AH239" s="4">
        <f t="shared" si="915"/>
        <v>0.76589473684210518</v>
      </c>
      <c r="AI239" s="4">
        <v>1.25</v>
      </c>
      <c r="AJ239" s="4">
        <f t="shared" si="857"/>
        <v>2.5</v>
      </c>
      <c r="AK239" s="38">
        <f t="shared" si="848"/>
        <v>115.9672750093534</v>
      </c>
      <c r="AL239" s="38">
        <f t="shared" si="953"/>
        <v>115.9672750093534</v>
      </c>
      <c r="AM239" s="38">
        <f t="shared" si="916"/>
        <v>3.042679928466983</v>
      </c>
      <c r="AN239" s="38">
        <f t="shared" si="858"/>
        <v>115.96727500935347</v>
      </c>
      <c r="AO239" s="38">
        <f t="shared" si="840"/>
        <v>0.99999999999999933</v>
      </c>
      <c r="AP239" s="38">
        <f t="shared" si="859"/>
        <v>1.5803183735172579</v>
      </c>
      <c r="AQ239" s="4">
        <f t="shared" si="860"/>
        <v>0</v>
      </c>
      <c r="AR239" s="4" t="e">
        <f>#REF!/G239*F239^0.5/0.19</f>
        <v>#REF!</v>
      </c>
      <c r="AS239" s="4">
        <f t="shared" si="917"/>
        <v>1.2409556313993173</v>
      </c>
      <c r="AT239" s="38">
        <f t="shared" si="918"/>
        <v>183.26521542401002</v>
      </c>
      <c r="AU239" s="4">
        <f t="shared" si="919"/>
        <v>0.72692534354352178</v>
      </c>
      <c r="AV239" s="4" t="e">
        <f>AU239*D239*#REF!/(D239*G239/2.75/F239^0.5)</f>
        <v>#REF!</v>
      </c>
      <c r="AW239" s="4" t="e">
        <f t="shared" si="849"/>
        <v>#REF!</v>
      </c>
      <c r="AY239" s="4">
        <f t="shared" si="920"/>
        <v>1.2807262569832403</v>
      </c>
      <c r="AZ239" s="4" t="e">
        <f>(3*#REF!+30)*AY239*F239^0.5</f>
        <v>#REF!</v>
      </c>
      <c r="BB239" s="4">
        <f t="shared" si="921"/>
        <v>175.77375346706549</v>
      </c>
      <c r="BC239" s="4">
        <f t="shared" si="922"/>
        <v>25439.539549546142</v>
      </c>
      <c r="BD239" s="4">
        <f t="shared" si="862"/>
        <v>144.72888612640747</v>
      </c>
      <c r="BL239" s="4">
        <f t="shared" si="923"/>
        <v>40.700000000000003</v>
      </c>
      <c r="BP239" s="9"/>
      <c r="BR239" s="9"/>
      <c r="BS239" s="9"/>
      <c r="BT239" s="9">
        <f t="shared" si="924"/>
        <v>40.700000000000003</v>
      </c>
      <c r="BU239" s="9">
        <f t="shared" si="925"/>
        <v>76</v>
      </c>
      <c r="BV239" s="9">
        <f t="shared" si="926"/>
        <v>1.1709505872794554</v>
      </c>
      <c r="BW239" s="9">
        <v>0</v>
      </c>
      <c r="BX239" s="9">
        <f t="shared" si="927"/>
        <v>0</v>
      </c>
      <c r="BY239" s="9">
        <f t="shared" si="850"/>
        <v>0</v>
      </c>
      <c r="BZ239" s="9">
        <f t="shared" si="928"/>
        <v>0.89787751228078194</v>
      </c>
      <c r="CA239" s="9">
        <f t="shared" si="929"/>
        <v>0.91600000000000004</v>
      </c>
      <c r="CB239" s="9">
        <f t="shared" si="930"/>
        <v>1.6359946299460197</v>
      </c>
      <c r="CC239" s="9">
        <f t="shared" si="931"/>
        <v>1.9156688727213271</v>
      </c>
      <c r="CD239" s="9">
        <v>1</v>
      </c>
      <c r="CE239" s="9" t="e">
        <f>4*CC239*#REF!+60*CC239</f>
        <v>#REF!</v>
      </c>
      <c r="CG239" s="4" t="e">
        <f t="shared" si="954"/>
        <v>#REF!</v>
      </c>
      <c r="CH239" s="4" t="e">
        <f t="shared" si="955"/>
        <v>#REF!</v>
      </c>
      <c r="CI239" s="4" t="e">
        <f t="shared" si="956"/>
        <v>#REF!</v>
      </c>
      <c r="CJ239" s="4" t="e">
        <f t="shared" si="957"/>
        <v>#REF!</v>
      </c>
      <c r="CK239" s="4">
        <f t="shared" si="958"/>
        <v>1.3187489627900544</v>
      </c>
      <c r="CL239" s="4">
        <f t="shared" si="959"/>
        <v>1.4335498222786425</v>
      </c>
      <c r="CM239" s="4">
        <f t="shared" si="960"/>
        <v>1.9887430163203406</v>
      </c>
      <c r="CO239" s="4" t="e">
        <f t="shared" si="892"/>
        <v>#REF!</v>
      </c>
      <c r="CP239" s="4" t="e">
        <f t="shared" si="893"/>
        <v>#REF!</v>
      </c>
      <c r="CQ239" s="4" t="e">
        <f t="shared" si="894"/>
        <v>#REF!</v>
      </c>
      <c r="CR239" s="4">
        <f t="shared" si="961"/>
        <v>1.9887430163203406</v>
      </c>
      <c r="CS239" s="4">
        <f t="shared" si="896"/>
        <v>1.3187489627900544</v>
      </c>
      <c r="CT239" s="4">
        <f t="shared" si="897"/>
        <v>1.4335498222786425</v>
      </c>
      <c r="DB239" s="4">
        <f t="shared" si="888"/>
        <v>0</v>
      </c>
      <c r="DC239" s="4" t="e">
        <f>#REF!</f>
        <v>#REF!</v>
      </c>
      <c r="DF239" s="4">
        <f t="shared" si="932"/>
        <v>1.4448873022591579E-5</v>
      </c>
      <c r="DG239" s="4">
        <f t="shared" si="933"/>
        <v>5.5695426108509878</v>
      </c>
      <c r="DH239" s="4">
        <f t="shared" si="934"/>
        <v>0.44043287699745309</v>
      </c>
      <c r="DI239" s="4">
        <f t="shared" si="935"/>
        <v>4.0120969880188291</v>
      </c>
      <c r="DJ239" s="4">
        <f t="shared" si="936"/>
        <v>4.8538581180670093</v>
      </c>
      <c r="DK239" s="4">
        <f t="shared" si="937"/>
        <v>5.3800412813062595</v>
      </c>
      <c r="DL239" s="38">
        <f t="shared" si="938"/>
        <v>268.93674882852287</v>
      </c>
      <c r="DM239" s="4" t="e">
        <f t="shared" si="939"/>
        <v>#REF!</v>
      </c>
      <c r="DN239" s="4">
        <f t="shared" si="940"/>
        <v>1.7177116348221595</v>
      </c>
      <c r="DO239" s="4">
        <f t="shared" si="776"/>
        <v>115.96727500935347</v>
      </c>
      <c r="DS239" s="4">
        <f t="shared" si="941"/>
        <v>0.85</v>
      </c>
      <c r="DT239" s="4">
        <f t="shared" si="942"/>
        <v>0.98631284916201112</v>
      </c>
      <c r="DU239" s="4">
        <f t="shared" si="943"/>
        <v>1</v>
      </c>
      <c r="DV239" s="4">
        <f t="shared" si="944"/>
        <v>0.98631284916201112</v>
      </c>
      <c r="DX239" s="4">
        <f t="shared" si="945"/>
        <v>247.39988318648602</v>
      </c>
      <c r="DY239" s="25">
        <f t="shared" si="851"/>
        <v>114.38427055303366</v>
      </c>
      <c r="EA239" s="4">
        <f t="shared" si="852"/>
        <v>0.83836592178770941</v>
      </c>
      <c r="EB239" s="4">
        <f t="shared" si="946"/>
        <v>5.5695426108509878</v>
      </c>
      <c r="EE239" s="4">
        <f t="shared" si="947"/>
        <v>61.494076526633307</v>
      </c>
      <c r="EF239" s="4">
        <f t="shared" si="948"/>
        <v>1.7177116348221595</v>
      </c>
      <c r="EG239" s="4">
        <f t="shared" si="949"/>
        <v>0.13687251798402508</v>
      </c>
      <c r="EJ239" s="4">
        <f t="shared" si="853"/>
        <v>0.13687251798402508</v>
      </c>
      <c r="EK239" s="4">
        <f t="shared" si="950"/>
        <v>0.43969787661127396</v>
      </c>
      <c r="EL239" s="4">
        <f t="shared" si="889"/>
        <v>4.009417469162849</v>
      </c>
      <c r="EM239" s="4">
        <f t="shared" si="854"/>
        <v>4.8527521445412711</v>
      </c>
      <c r="EN239" s="4" t="e">
        <f t="shared" si="863"/>
        <v>#REF!</v>
      </c>
      <c r="EO239" s="4" t="e">
        <f t="shared" si="864"/>
        <v>#REF!</v>
      </c>
      <c r="EP239" s="4" t="e">
        <f t="shared" si="951"/>
        <v>#REF!</v>
      </c>
      <c r="EQ239" s="4" t="e">
        <f t="shared" si="855"/>
        <v>#REF!</v>
      </c>
      <c r="ER239" s="4" t="e">
        <f t="shared" si="952"/>
        <v>#REF!</v>
      </c>
      <c r="FA239" s="23" t="e">
        <f t="shared" si="962"/>
        <v>#REF!</v>
      </c>
      <c r="FB239" s="23" t="e">
        <f t="shared" si="963"/>
        <v>#REF!</v>
      </c>
      <c r="FC239" s="23">
        <f t="shared" si="964"/>
        <v>2</v>
      </c>
      <c r="FD239" s="23" t="e">
        <f t="shared" si="965"/>
        <v>#REF!</v>
      </c>
      <c r="FE239" s="23">
        <f t="shared" si="966"/>
        <v>1.4</v>
      </c>
      <c r="FF239" s="23">
        <f t="shared" si="967"/>
        <v>1.6</v>
      </c>
      <c r="FG239" s="23">
        <f t="shared" si="968"/>
        <v>0</v>
      </c>
      <c r="FH239" s="23"/>
      <c r="FR239" s="4">
        <f t="shared" si="842"/>
        <v>1</v>
      </c>
      <c r="FS239" s="4">
        <f t="shared" si="843"/>
        <v>0.8938547486033519</v>
      </c>
      <c r="FT239" s="4">
        <f t="shared" si="844"/>
        <v>0</v>
      </c>
      <c r="FU239" s="4">
        <f t="shared" si="845"/>
        <v>178.33377950960778</v>
      </c>
    </row>
    <row r="240" spans="2:177" ht="12" customHeight="1" x14ac:dyDescent="0.3">
      <c r="B240" s="24"/>
      <c r="C240" s="4" t="s">
        <v>352</v>
      </c>
      <c r="D240" s="7">
        <v>556</v>
      </c>
      <c r="E240" s="7">
        <f>381-J240-25</f>
        <v>280</v>
      </c>
      <c r="F240" s="7">
        <v>32.299999999999997</v>
      </c>
      <c r="G240" s="7">
        <v>35.799999999999997</v>
      </c>
      <c r="H240" s="7">
        <v>305</v>
      </c>
      <c r="I240" s="7">
        <v>76</v>
      </c>
      <c r="J240" s="7">
        <v>76</v>
      </c>
      <c r="K240" s="7">
        <f t="shared" si="886"/>
        <v>81.400000000000006</v>
      </c>
      <c r="L240" s="7">
        <v>2</v>
      </c>
      <c r="M240" s="7">
        <f t="shared" si="856"/>
        <v>280</v>
      </c>
      <c r="N240" s="7">
        <f t="shared" si="905"/>
        <v>1.6368715083798884</v>
      </c>
      <c r="O240" s="7">
        <f t="shared" si="906"/>
        <v>2.6229050279329611</v>
      </c>
      <c r="P240" s="7">
        <f>3025/(G240^2*PI()/4)-1</f>
        <v>2.0051727652257014</v>
      </c>
      <c r="Q240" s="7">
        <f>3025/(G240^2*PI()/4)-1</f>
        <v>2.0051727652257014</v>
      </c>
      <c r="R240" s="7">
        <f t="shared" si="907"/>
        <v>3.0051727652257014</v>
      </c>
      <c r="S240" s="7">
        <f t="shared" si="908"/>
        <v>62.060854190253195</v>
      </c>
      <c r="T240" s="7">
        <f t="shared" si="909"/>
        <v>556</v>
      </c>
      <c r="U240" s="7">
        <v>25</v>
      </c>
      <c r="V240" s="7">
        <f>426*1000/(G240^2*PI()/4)</f>
        <v>423.20780098715659</v>
      </c>
      <c r="W240" s="7"/>
      <c r="X240" s="4">
        <f t="shared" si="910"/>
        <v>1.5899976895949632</v>
      </c>
      <c r="Y240" s="7">
        <v>9.5</v>
      </c>
      <c r="Z240" s="7">
        <v>2</v>
      </c>
      <c r="AA240" s="7">
        <v>102</v>
      </c>
      <c r="AB240" s="7">
        <v>4</v>
      </c>
      <c r="AC240" s="7">
        <f>Z240</f>
        <v>2</v>
      </c>
      <c r="AD240" s="7">
        <f t="shared" si="911"/>
        <v>7.1672354948805461</v>
      </c>
      <c r="AE240" s="4">
        <f t="shared" si="912"/>
        <v>280</v>
      </c>
      <c r="AF240" s="4">
        <f t="shared" si="913"/>
        <v>0.36309523809523808</v>
      </c>
      <c r="AG240" s="4">
        <f t="shared" si="914"/>
        <v>132.26726636732195</v>
      </c>
      <c r="AH240" s="4">
        <f t="shared" si="915"/>
        <v>0.76707142857142852</v>
      </c>
      <c r="AI240" s="4">
        <v>1.25</v>
      </c>
      <c r="AJ240" s="4">
        <f t="shared" si="857"/>
        <v>2.5</v>
      </c>
      <c r="AK240" s="38">
        <f t="shared" si="848"/>
        <v>115.1221149349475</v>
      </c>
      <c r="AL240" s="38">
        <f t="shared" si="953"/>
        <v>115.1221149349475</v>
      </c>
      <c r="AM240" s="38">
        <f t="shared" si="916"/>
        <v>3.042679928466983</v>
      </c>
      <c r="AN240" s="38">
        <f t="shared" si="858"/>
        <v>115.12211493494758</v>
      </c>
      <c r="AO240" s="38">
        <f t="shared" si="840"/>
        <v>0.99999999999999933</v>
      </c>
      <c r="AP240" s="38">
        <f t="shared" si="859"/>
        <v>1.6140630691622992</v>
      </c>
      <c r="AQ240" s="4">
        <f t="shared" si="860"/>
        <v>0</v>
      </c>
      <c r="AR240" s="4" t="e">
        <f>#REF!/G240*F240^0.5/0.19</f>
        <v>#REF!</v>
      </c>
      <c r="AS240" s="4">
        <f t="shared" si="917"/>
        <v>1.2409556313993173</v>
      </c>
      <c r="AT240" s="38">
        <f t="shared" si="918"/>
        <v>185.81435416035646</v>
      </c>
      <c r="AU240" s="4">
        <f t="shared" si="919"/>
        <v>0.71927581286840181</v>
      </c>
      <c r="AV240" s="4" t="e">
        <f>AU240*D240*#REF!/(D240*G240/2.75/F240^0.5)</f>
        <v>#REF!</v>
      </c>
      <c r="AW240" s="4" t="e">
        <f t="shared" si="849"/>
        <v>#REF!</v>
      </c>
      <c r="AY240" s="4">
        <f t="shared" si="920"/>
        <v>1.5</v>
      </c>
      <c r="AZ240" s="4" t="e">
        <f>(3*#REF!+30)*AY240*F240^0.5</f>
        <v>#REF!</v>
      </c>
      <c r="BB240" s="4">
        <f t="shared" si="921"/>
        <v>178.21868925457557</v>
      </c>
      <c r="BC240" s="4">
        <f t="shared" si="922"/>
        <v>30569.451870773988</v>
      </c>
      <c r="BD240" s="4">
        <f t="shared" si="862"/>
        <v>171.52775614406642</v>
      </c>
      <c r="BL240" s="4">
        <f t="shared" si="923"/>
        <v>40.700000000000003</v>
      </c>
      <c r="BP240" s="9"/>
      <c r="BR240" s="9"/>
      <c r="BS240" s="9"/>
      <c r="BT240" s="9">
        <f t="shared" si="924"/>
        <v>40.700000000000003</v>
      </c>
      <c r="BU240" s="9">
        <f t="shared" si="925"/>
        <v>76</v>
      </c>
      <c r="BV240" s="9">
        <f t="shared" si="926"/>
        <v>1.1709505872794554</v>
      </c>
      <c r="BW240" s="9">
        <v>20</v>
      </c>
      <c r="BX240" s="9">
        <f t="shared" si="927"/>
        <v>3.8822534914349713E-2</v>
      </c>
      <c r="BY240" s="9">
        <f t="shared" si="850"/>
        <v>0.57645069828699425</v>
      </c>
      <c r="BZ240" s="9">
        <f t="shared" si="928"/>
        <v>0.89787751228078194</v>
      </c>
      <c r="CA240" s="9">
        <f t="shared" si="929"/>
        <v>0.91600000000000004</v>
      </c>
      <c r="CB240" s="9">
        <f t="shared" si="930"/>
        <v>1.6359946299460197</v>
      </c>
      <c r="CC240" s="9">
        <f t="shared" si="931"/>
        <v>2.8587391195474829</v>
      </c>
      <c r="CD240" s="9">
        <v>1</v>
      </c>
      <c r="CE240" s="9" t="e">
        <f>4*CC240*#REF!+60*CC240</f>
        <v>#REF!</v>
      </c>
      <c r="CG240" s="4" t="e">
        <f t="shared" si="954"/>
        <v>#REF!</v>
      </c>
      <c r="CH240" s="4" t="e">
        <f t="shared" si="955"/>
        <v>#REF!</v>
      </c>
      <c r="CI240" s="4" t="e">
        <f t="shared" si="956"/>
        <v>#REF!</v>
      </c>
      <c r="CJ240" s="4" t="e">
        <f t="shared" si="957"/>
        <v>#REF!</v>
      </c>
      <c r="CK240" s="4">
        <f t="shared" si="958"/>
        <v>1.5899976895949632</v>
      </c>
      <c r="CL240" s="4">
        <f t="shared" si="959"/>
        <v>1.7241744032031006</v>
      </c>
      <c r="CM240" s="4">
        <f t="shared" si="960"/>
        <v>1.5581202263866585</v>
      </c>
      <c r="CU240" s="4" t="e">
        <f t="shared" ref="CU240:CU251" si="969">CG240</f>
        <v>#REF!</v>
      </c>
      <c r="CV240" s="4" t="e">
        <f t="shared" ref="CV240:CV251" si="970">CH240</f>
        <v>#REF!</v>
      </c>
      <c r="CW240" s="4" t="e">
        <f t="shared" ref="CW240:CW251" si="971">CJ240</f>
        <v>#REF!</v>
      </c>
      <c r="CX240" s="4">
        <f t="shared" ref="CX240" si="972">CM240</f>
        <v>1.5581202263866585</v>
      </c>
      <c r="CY240" s="4">
        <f t="shared" ref="CY240:CY251" si="973">CK240</f>
        <v>1.5899976895949632</v>
      </c>
      <c r="CZ240" s="4">
        <f t="shared" ref="CZ240:CZ251" si="974">CL240</f>
        <v>1.7241744032031006</v>
      </c>
      <c r="DB240" s="4">
        <f t="shared" si="888"/>
        <v>2</v>
      </c>
      <c r="DC240" s="4" t="e">
        <f>#REF!</f>
        <v>#REF!</v>
      </c>
      <c r="DF240" s="4">
        <f t="shared" si="932"/>
        <v>1.4195384022195234E-5</v>
      </c>
      <c r="DG240" s="4">
        <f t="shared" si="933"/>
        <v>5.6229670276101471</v>
      </c>
      <c r="DH240" s="4">
        <f t="shared" si="934"/>
        <v>0.42922900876570613</v>
      </c>
      <c r="DI240" s="4">
        <f t="shared" si="935"/>
        <v>4.0090471412339257</v>
      </c>
      <c r="DJ240" s="4">
        <f t="shared" si="936"/>
        <v>4.8833291873266678</v>
      </c>
      <c r="DK240" s="4">
        <f t="shared" si="937"/>
        <v>5.4375361051668163</v>
      </c>
      <c r="DL240" s="38">
        <f t="shared" si="938"/>
        <v>266.16881505970287</v>
      </c>
      <c r="DM240" s="4" t="e">
        <f t="shared" si="939"/>
        <v>#REF!</v>
      </c>
      <c r="DN240" s="4">
        <f t="shared" si="940"/>
        <v>1.7335434131355643</v>
      </c>
      <c r="DO240" s="4">
        <f t="shared" si="776"/>
        <v>115.12211493494758</v>
      </c>
      <c r="DS240" s="4">
        <f t="shared" si="941"/>
        <v>0.85</v>
      </c>
      <c r="DT240" s="4">
        <f t="shared" si="942"/>
        <v>0.98631284916201112</v>
      </c>
      <c r="DU240" s="4">
        <f t="shared" si="943"/>
        <v>0.99049889204456787</v>
      </c>
      <c r="DV240" s="4">
        <f t="shared" si="944"/>
        <v>0.97694178430429301</v>
      </c>
      <c r="DX240" s="4">
        <f t="shared" si="945"/>
        <v>245.45533224535666</v>
      </c>
      <c r="DY240" s="25">
        <f t="shared" si="851"/>
        <v>113.51979305003475</v>
      </c>
      <c r="EA240" s="4">
        <f t="shared" si="852"/>
        <v>0.830400516658649</v>
      </c>
      <c r="EB240" s="4">
        <f t="shared" si="946"/>
        <v>5.6229670276101471</v>
      </c>
      <c r="EE240" s="4">
        <f t="shared" si="947"/>
        <v>62.060854190253195</v>
      </c>
      <c r="EF240" s="4">
        <f t="shared" si="948"/>
        <v>1.7335434131355643</v>
      </c>
      <c r="EG240" s="4">
        <f t="shared" si="949"/>
        <v>0.13339071238746131</v>
      </c>
      <c r="EJ240" s="4">
        <f t="shared" si="853"/>
        <v>0.13339071238746131</v>
      </c>
      <c r="EK240" s="4">
        <f t="shared" si="950"/>
        <v>0.42851270554748871</v>
      </c>
      <c r="EL240" s="4">
        <f t="shared" si="889"/>
        <v>4.0063696592484384</v>
      </c>
      <c r="EM240" s="4">
        <f t="shared" si="854"/>
        <v>4.8822316829137922</v>
      </c>
      <c r="EN240" s="4" t="e">
        <f t="shared" si="863"/>
        <v>#REF!</v>
      </c>
      <c r="EO240" s="4" t="e">
        <f t="shared" si="864"/>
        <v>#REF!</v>
      </c>
      <c r="EP240" s="4" t="e">
        <f t="shared" si="951"/>
        <v>#REF!</v>
      </c>
      <c r="EQ240" s="4" t="e">
        <f t="shared" si="855"/>
        <v>#REF!</v>
      </c>
      <c r="ER240" s="4" t="e">
        <f t="shared" si="952"/>
        <v>#REF!</v>
      </c>
      <c r="FA240" s="23" t="e">
        <f t="shared" si="962"/>
        <v>#REF!</v>
      </c>
      <c r="FB240" s="23" t="e">
        <f t="shared" si="963"/>
        <v>#REF!</v>
      </c>
      <c r="FC240" s="23">
        <f t="shared" si="964"/>
        <v>1.6</v>
      </c>
      <c r="FD240" s="23" t="e">
        <f t="shared" si="965"/>
        <v>#REF!</v>
      </c>
      <c r="FE240" s="23">
        <f t="shared" si="966"/>
        <v>1.6</v>
      </c>
      <c r="FF240" s="23">
        <f t="shared" si="967"/>
        <v>1.8</v>
      </c>
      <c r="FG240" s="23">
        <f t="shared" si="968"/>
        <v>0</v>
      </c>
      <c r="FH240" s="23"/>
      <c r="FR240" s="4">
        <f t="shared" si="842"/>
        <v>1</v>
      </c>
      <c r="FS240" s="4">
        <f t="shared" si="843"/>
        <v>0.57658194354098002</v>
      </c>
      <c r="FT240" s="4">
        <f t="shared" si="844"/>
        <v>0.28167035985144034</v>
      </c>
      <c r="FU240" s="4">
        <f t="shared" si="845"/>
        <v>271.61434260345362</v>
      </c>
    </row>
    <row r="241" spans="1:177" ht="12" customHeight="1" x14ac:dyDescent="0.3">
      <c r="B241" s="24"/>
      <c r="C241" s="4" t="s">
        <v>353</v>
      </c>
      <c r="D241" s="7">
        <v>556</v>
      </c>
      <c r="E241" s="7">
        <f>533-J241-25</f>
        <v>432</v>
      </c>
      <c r="F241" s="7">
        <v>31.4</v>
      </c>
      <c r="G241" s="7">
        <v>35.799999999999997</v>
      </c>
      <c r="H241" s="7">
        <v>305</v>
      </c>
      <c r="I241" s="7">
        <v>76</v>
      </c>
      <c r="J241" s="7">
        <v>76</v>
      </c>
      <c r="K241" s="7">
        <f t="shared" si="886"/>
        <v>81.400000000000006</v>
      </c>
      <c r="L241" s="7">
        <v>2</v>
      </c>
      <c r="M241" s="7">
        <f t="shared" si="856"/>
        <v>280</v>
      </c>
      <c r="N241" s="7">
        <f t="shared" si="905"/>
        <v>1.6368715083798884</v>
      </c>
      <c r="O241" s="7">
        <f t="shared" si="906"/>
        <v>2.6229050279329611</v>
      </c>
      <c r="P241" s="7">
        <f>2970/(G241^2*PI()/4)-1</f>
        <v>1.9505332604034158</v>
      </c>
      <c r="Q241" s="7">
        <f>2970/(G241^2*PI()/4)-1</f>
        <v>1.9505332604034158</v>
      </c>
      <c r="R241" s="7">
        <f t="shared" si="907"/>
        <v>2.9505332604034158</v>
      </c>
      <c r="S241" s="7">
        <f t="shared" si="908"/>
        <v>61.494076526633307</v>
      </c>
      <c r="T241" s="7">
        <f t="shared" si="909"/>
        <v>556</v>
      </c>
      <c r="U241" s="7">
        <v>25</v>
      </c>
      <c r="V241" s="7">
        <f>495*1000/(G241^2*PI()/4)</f>
        <v>491.75554340056931</v>
      </c>
      <c r="W241" s="7"/>
      <c r="X241" s="4">
        <f t="shared" si="910"/>
        <v>1.3244193650535829</v>
      </c>
      <c r="Y241" s="7"/>
      <c r="Z241" s="7"/>
      <c r="AA241" s="7">
        <v>1</v>
      </c>
      <c r="AB241" s="7"/>
      <c r="AC241" s="7"/>
      <c r="AD241" s="7">
        <f t="shared" si="911"/>
        <v>11.058020477815699</v>
      </c>
      <c r="AE241" s="4">
        <f t="shared" si="912"/>
        <v>432</v>
      </c>
      <c r="AF241" s="4">
        <f t="shared" si="913"/>
        <v>0.2353395061728395</v>
      </c>
      <c r="AG241" s="4">
        <f t="shared" si="914"/>
        <v>249.92201512888658</v>
      </c>
      <c r="AH241" s="4">
        <f t="shared" si="915"/>
        <v>0.7434722222222222</v>
      </c>
      <c r="AI241" s="4">
        <v>1.25</v>
      </c>
      <c r="AJ241" s="4">
        <f t="shared" si="857"/>
        <v>2.5</v>
      </c>
      <c r="AK241" s="38">
        <f t="shared" si="848"/>
        <v>136.65141100233745</v>
      </c>
      <c r="AL241" s="38">
        <f t="shared" si="953"/>
        <v>136.65141100233745</v>
      </c>
      <c r="AM241" s="38">
        <f t="shared" si="916"/>
        <v>2.9858937754367516</v>
      </c>
      <c r="AN241" s="38">
        <f t="shared" si="858"/>
        <v>136.65141100233737</v>
      </c>
      <c r="AO241" s="38">
        <f t="shared" si="840"/>
        <v>1.0000000000000007</v>
      </c>
      <c r="AP241" s="38">
        <f t="shared" si="859"/>
        <v>1.3037461743448588</v>
      </c>
      <c r="AQ241" s="4">
        <f t="shared" si="860"/>
        <v>0</v>
      </c>
      <c r="AR241" s="4" t="e">
        <f>#REF!/G241*F241^0.5/0.19</f>
        <v>#REF!</v>
      </c>
      <c r="AS241" s="4">
        <f t="shared" si="917"/>
        <v>1.2409556313993173</v>
      </c>
      <c r="AT241" s="38">
        <f t="shared" si="918"/>
        <v>178.15875431312429</v>
      </c>
      <c r="AU241" s="4">
        <f t="shared" si="919"/>
        <v>0.72692534354352178</v>
      </c>
      <c r="AV241" s="4" t="e">
        <f>AU241*D241*#REF!/(D241*G241/2.75/F241^0.5)</f>
        <v>#REF!</v>
      </c>
      <c r="AW241" s="4" t="e">
        <f t="shared" si="849"/>
        <v>#REF!</v>
      </c>
      <c r="AY241" s="4">
        <f t="shared" si="920"/>
        <v>1.2807262569832403</v>
      </c>
      <c r="AZ241" s="4" t="e">
        <f>(3*#REF!+30)*AY241*F241^0.5</f>
        <v>#REF!</v>
      </c>
      <c r="BB241" s="4">
        <f t="shared" si="921"/>
        <v>170.87603278222466</v>
      </c>
      <c r="BC241" s="4">
        <f t="shared" si="922"/>
        <v>39749.280546165857</v>
      </c>
      <c r="BD241" s="4">
        <f t="shared" si="862"/>
        <v>232.62057234688308</v>
      </c>
      <c r="BL241" s="4">
        <f t="shared" si="923"/>
        <v>40.700000000000003</v>
      </c>
      <c r="BP241" s="9"/>
      <c r="BR241" s="9"/>
      <c r="BS241" s="9"/>
      <c r="BT241" s="9">
        <f t="shared" si="924"/>
        <v>40.700000000000003</v>
      </c>
      <c r="BU241" s="9">
        <f t="shared" si="925"/>
        <v>76</v>
      </c>
      <c r="BV241" s="9">
        <f t="shared" si="926"/>
        <v>1.1709505872794554</v>
      </c>
      <c r="BW241" s="9">
        <v>0</v>
      </c>
      <c r="BX241" s="9">
        <f t="shared" si="927"/>
        <v>0</v>
      </c>
      <c r="BY241" s="9">
        <f t="shared" si="850"/>
        <v>0</v>
      </c>
      <c r="BZ241" s="9">
        <f t="shared" si="928"/>
        <v>0.89787751228078194</v>
      </c>
      <c r="CA241" s="9">
        <f t="shared" si="929"/>
        <v>0.91600000000000004</v>
      </c>
      <c r="CB241" s="9">
        <f t="shared" si="930"/>
        <v>1.6130411125805293</v>
      </c>
      <c r="CC241" s="9">
        <f t="shared" si="931"/>
        <v>1.8887914380820769</v>
      </c>
      <c r="CD241" s="9">
        <v>1</v>
      </c>
      <c r="CE241" s="9" t="e">
        <f>4*CC241*#REF!+60*CC241</f>
        <v>#REF!</v>
      </c>
      <c r="CG241" s="4" t="e">
        <f t="shared" si="954"/>
        <v>#REF!</v>
      </c>
      <c r="CH241" s="4" t="e">
        <f t="shared" si="955"/>
        <v>#REF!</v>
      </c>
      <c r="CI241" s="4" t="e">
        <f t="shared" si="956"/>
        <v>#REF!</v>
      </c>
      <c r="CJ241" s="4" t="e">
        <f t="shared" si="957"/>
        <v>#REF!</v>
      </c>
      <c r="CK241" s="4">
        <f t="shared" si="958"/>
        <v>1.3244193650535829</v>
      </c>
      <c r="CL241" s="4">
        <f t="shared" si="959"/>
        <v>1.4709966291791812</v>
      </c>
      <c r="CM241" s="4">
        <f t="shared" si="960"/>
        <v>1.832082313538461</v>
      </c>
      <c r="CO241" s="4" t="e">
        <f t="shared" si="892"/>
        <v>#REF!</v>
      </c>
      <c r="CP241" s="4" t="e">
        <f t="shared" si="893"/>
        <v>#REF!</v>
      </c>
      <c r="CQ241" s="4" t="e">
        <f t="shared" si="894"/>
        <v>#REF!</v>
      </c>
      <c r="CR241" s="4">
        <f t="shared" ref="CR241:CR245" si="975">CM241</f>
        <v>1.832082313538461</v>
      </c>
      <c r="CS241" s="4">
        <f t="shared" si="896"/>
        <v>1.3244193650535829</v>
      </c>
      <c r="CT241" s="4">
        <f t="shared" si="897"/>
        <v>1.4709966291791812</v>
      </c>
      <c r="DB241" s="4">
        <f t="shared" si="888"/>
        <v>0</v>
      </c>
      <c r="DC241" s="4" t="e">
        <f>#REF!</f>
        <v>#REF!</v>
      </c>
      <c r="DF241" s="4">
        <f t="shared" si="932"/>
        <v>2.176343699186269E-5</v>
      </c>
      <c r="DG241" s="4">
        <f t="shared" si="933"/>
        <v>5.4914001825716072</v>
      </c>
      <c r="DH241" s="4">
        <f t="shared" si="934"/>
        <v>0.53386478251404901</v>
      </c>
      <c r="DI241" s="4">
        <f t="shared" si="935"/>
        <v>4.2722396162260505</v>
      </c>
      <c r="DJ241" s="4">
        <f t="shared" si="936"/>
        <v>4.9197893483158488</v>
      </c>
      <c r="DK241" s="4">
        <f t="shared" si="937"/>
        <v>5.0546699885538677</v>
      </c>
      <c r="DL241" s="38">
        <f t="shared" si="938"/>
        <v>371.29896796750177</v>
      </c>
      <c r="DM241" s="4" t="e">
        <f t="shared" si="939"/>
        <v>#REF!</v>
      </c>
      <c r="DN241" s="4">
        <f t="shared" si="940"/>
        <v>1.7177116348221595</v>
      </c>
      <c r="DO241" s="4">
        <f t="shared" si="776"/>
        <v>136.65141100233737</v>
      </c>
      <c r="DS241" s="4">
        <f t="shared" si="941"/>
        <v>0.85</v>
      </c>
      <c r="DT241" s="4">
        <f t="shared" si="942"/>
        <v>0.98631284916201112</v>
      </c>
      <c r="DU241" s="4">
        <f t="shared" si="943"/>
        <v>1</v>
      </c>
      <c r="DV241" s="4">
        <f t="shared" si="944"/>
        <v>0.98631284916201112</v>
      </c>
      <c r="DX241" s="4">
        <f t="shared" si="945"/>
        <v>334.30093152216796</v>
      </c>
      <c r="DY241" s="25">
        <f t="shared" si="851"/>
        <v>135.50610927041362</v>
      </c>
      <c r="EA241" s="4">
        <f t="shared" si="852"/>
        <v>0.83836592178770941</v>
      </c>
      <c r="EB241" s="4">
        <f t="shared" si="946"/>
        <v>5.4914001825716072</v>
      </c>
      <c r="EE241" s="4">
        <f t="shared" si="947"/>
        <v>61.494076526633307</v>
      </c>
      <c r="EF241" s="4">
        <f t="shared" si="948"/>
        <v>1.7177116348221595</v>
      </c>
      <c r="EG241" s="4">
        <f t="shared" si="949"/>
        <v>0.16358043626468974</v>
      </c>
      <c r="EJ241" s="4">
        <f t="shared" si="853"/>
        <v>0.16358043626468974</v>
      </c>
      <c r="EK241" s="4">
        <f t="shared" si="950"/>
        <v>0.53297386169090288</v>
      </c>
      <c r="EL241" s="4">
        <f t="shared" si="889"/>
        <v>4.2693863585298581</v>
      </c>
      <c r="EM241" s="4">
        <f t="shared" si="854"/>
        <v>4.9185513312243492</v>
      </c>
      <c r="EN241" s="4" t="e">
        <f t="shared" si="863"/>
        <v>#REF!</v>
      </c>
      <c r="EO241" s="4" t="e">
        <f t="shared" si="864"/>
        <v>#REF!</v>
      </c>
      <c r="EP241" s="4" t="e">
        <f t="shared" si="951"/>
        <v>#REF!</v>
      </c>
      <c r="EQ241" s="4" t="e">
        <f t="shared" si="855"/>
        <v>#REF!</v>
      </c>
      <c r="ER241" s="4" t="e">
        <f t="shared" si="952"/>
        <v>#REF!</v>
      </c>
      <c r="FA241" s="23" t="e">
        <f t="shared" si="962"/>
        <v>#REF!</v>
      </c>
      <c r="FB241" s="23" t="e">
        <f t="shared" si="963"/>
        <v>#REF!</v>
      </c>
      <c r="FC241" s="23">
        <f t="shared" si="964"/>
        <v>2</v>
      </c>
      <c r="FD241" s="23" t="e">
        <f t="shared" si="965"/>
        <v>#REF!</v>
      </c>
      <c r="FE241" s="23">
        <f t="shared" si="966"/>
        <v>1.4</v>
      </c>
      <c r="FF241" s="23">
        <f t="shared" si="967"/>
        <v>1.6</v>
      </c>
      <c r="FG241" s="23">
        <f t="shared" si="968"/>
        <v>0</v>
      </c>
      <c r="FH241" s="23"/>
      <c r="FR241" s="4">
        <f t="shared" si="842"/>
        <v>1</v>
      </c>
      <c r="FS241" s="4">
        <f t="shared" si="843"/>
        <v>0.8938547486033519</v>
      </c>
      <c r="FT241" s="4">
        <f t="shared" si="844"/>
        <v>0</v>
      </c>
      <c r="FU241" s="4">
        <f t="shared" si="845"/>
        <v>268.41345487954567</v>
      </c>
    </row>
    <row r="242" spans="1:177" ht="12" customHeight="1" x14ac:dyDescent="0.3">
      <c r="B242" s="24"/>
      <c r="C242" s="4" t="s">
        <v>354</v>
      </c>
      <c r="D242" s="7">
        <v>556</v>
      </c>
      <c r="E242" s="7">
        <f>305-J242-25</f>
        <v>204</v>
      </c>
      <c r="F242" s="7">
        <v>31.4</v>
      </c>
      <c r="G242" s="7">
        <v>35.799999999999997</v>
      </c>
      <c r="H242" s="7">
        <v>305</v>
      </c>
      <c r="I242" s="7">
        <v>76</v>
      </c>
      <c r="J242" s="7">
        <v>76</v>
      </c>
      <c r="K242" s="7">
        <f t="shared" si="886"/>
        <v>81.400000000000006</v>
      </c>
      <c r="L242" s="7">
        <v>2</v>
      </c>
      <c r="M242" s="7">
        <f t="shared" si="856"/>
        <v>280</v>
      </c>
      <c r="N242" s="7">
        <f t="shared" si="905"/>
        <v>1.6368715083798884</v>
      </c>
      <c r="O242" s="7">
        <f t="shared" si="906"/>
        <v>2.6229050279329611</v>
      </c>
      <c r="P242" s="7">
        <f>3025/(G242^2*PI()/4)-1</f>
        <v>2.0051727652257014</v>
      </c>
      <c r="Q242" s="7">
        <f>3025/(G242^2*PI()/4)-1</f>
        <v>2.0051727652257014</v>
      </c>
      <c r="R242" s="7">
        <f t="shared" si="907"/>
        <v>3.0051727652257014</v>
      </c>
      <c r="S242" s="7">
        <f t="shared" si="908"/>
        <v>62.060854190253195</v>
      </c>
      <c r="T242" s="7">
        <f t="shared" si="909"/>
        <v>556</v>
      </c>
      <c r="U242" s="7">
        <v>25</v>
      </c>
      <c r="V242" s="7">
        <f>198*1000/(G242^2*PI()/4)</f>
        <v>196.70221736022771</v>
      </c>
      <c r="W242" s="7"/>
      <c r="X242" s="4">
        <f t="shared" si="910"/>
        <v>0.96172270015417394</v>
      </c>
      <c r="Y242" s="7"/>
      <c r="Z242" s="7"/>
      <c r="AA242" s="7">
        <v>1</v>
      </c>
      <c r="AB242" s="7"/>
      <c r="AC242" s="7"/>
      <c r="AD242" s="7">
        <f t="shared" si="911"/>
        <v>5.2218430034129693</v>
      </c>
      <c r="AE242" s="4">
        <f t="shared" si="912"/>
        <v>204</v>
      </c>
      <c r="AF242" s="4">
        <f t="shared" si="913"/>
        <v>0.49836601307189543</v>
      </c>
      <c r="AG242" s="4">
        <f t="shared" si="914"/>
        <v>81.100614496488049</v>
      </c>
      <c r="AH242" s="4">
        <f t="shared" si="915"/>
        <v>0.7920588235294117</v>
      </c>
      <c r="AI242" s="4">
        <v>1.25</v>
      </c>
      <c r="AJ242" s="4">
        <f t="shared" si="857"/>
        <v>2.5</v>
      </c>
      <c r="AK242" s="38">
        <f t="shared" si="848"/>
        <v>100.04145975392262</v>
      </c>
      <c r="AL242" s="38">
        <f t="shared" si="953"/>
        <v>100.04145975392262</v>
      </c>
      <c r="AM242" s="38">
        <f t="shared" si="916"/>
        <v>2.9858937754367516</v>
      </c>
      <c r="AN242" s="38">
        <f t="shared" si="858"/>
        <v>100.04145975392271</v>
      </c>
      <c r="AO242" s="38">
        <f t="shared" si="840"/>
        <v>0.99999999999999911</v>
      </c>
      <c r="AP242" s="38">
        <f t="shared" si="859"/>
        <v>1.8056200385347467</v>
      </c>
      <c r="AQ242" s="4">
        <f t="shared" si="860"/>
        <v>0</v>
      </c>
      <c r="AR242" s="4" t="e">
        <f>#REF!/G242*F242^0.5/0.19</f>
        <v>#REF!</v>
      </c>
      <c r="AS242" s="4">
        <f t="shared" si="917"/>
        <v>1.2409556313993173</v>
      </c>
      <c r="AT242" s="38">
        <f t="shared" si="918"/>
        <v>180.63686441595024</v>
      </c>
      <c r="AU242" s="4">
        <f t="shared" si="919"/>
        <v>0.71927581286840181</v>
      </c>
      <c r="AV242" s="4" t="e">
        <f>AU242*D242*#REF!/(D242*G242/2.75/F242^0.5)</f>
        <v>#REF!</v>
      </c>
      <c r="AW242" s="4" t="e">
        <f t="shared" si="849"/>
        <v>#REF!</v>
      </c>
      <c r="AY242" s="4">
        <f t="shared" si="920"/>
        <v>1.2807262569832403</v>
      </c>
      <c r="AZ242" s="4" t="e">
        <f>(3*#REF!+30)*AY242*F242^0.5</f>
        <v>#REF!</v>
      </c>
      <c r="BB242" s="4">
        <f t="shared" si="921"/>
        <v>173.2528434239527</v>
      </c>
      <c r="BC242" s="4">
        <f t="shared" si="922"/>
        <v>30569.451870773988</v>
      </c>
      <c r="BD242" s="4">
        <f t="shared" si="862"/>
        <v>176.44415679787727</v>
      </c>
      <c r="BL242" s="4">
        <f t="shared" si="923"/>
        <v>40.700000000000003</v>
      </c>
      <c r="BP242" s="9"/>
      <c r="BR242" s="9"/>
      <c r="BS242" s="9"/>
      <c r="BT242" s="9">
        <f t="shared" si="924"/>
        <v>40.700000000000003</v>
      </c>
      <c r="BU242" s="9">
        <f t="shared" si="925"/>
        <v>76</v>
      </c>
      <c r="BV242" s="9">
        <f t="shared" si="926"/>
        <v>1.1709505872794554</v>
      </c>
      <c r="BW242" s="9">
        <v>0</v>
      </c>
      <c r="BX242" s="9">
        <f t="shared" si="927"/>
        <v>0</v>
      </c>
      <c r="BY242" s="9">
        <f t="shared" si="850"/>
        <v>0</v>
      </c>
      <c r="BZ242" s="9">
        <f t="shared" si="928"/>
        <v>0.89787751228078194</v>
      </c>
      <c r="CA242" s="9">
        <f t="shared" si="929"/>
        <v>0.91600000000000004</v>
      </c>
      <c r="CB242" s="9">
        <f t="shared" si="930"/>
        <v>1.6130411125805293</v>
      </c>
      <c r="CC242" s="9">
        <f t="shared" si="931"/>
        <v>1.8887914380820769</v>
      </c>
      <c r="CD242" s="9">
        <v>1</v>
      </c>
      <c r="CE242" s="9" t="e">
        <f>4*CC242*#REF!+60*CC242</f>
        <v>#REF!</v>
      </c>
      <c r="CG242" s="4" t="e">
        <f t="shared" si="954"/>
        <v>#REF!</v>
      </c>
      <c r="CH242" s="4" t="e">
        <f t="shared" si="955"/>
        <v>#REF!</v>
      </c>
      <c r="CI242" s="4" t="e">
        <f t="shared" si="956"/>
        <v>#REF!</v>
      </c>
      <c r="CJ242" s="4" t="e">
        <f t="shared" si="957"/>
        <v>#REF!</v>
      </c>
      <c r="CK242" s="4">
        <f t="shared" si="958"/>
        <v>0.96172270015417394</v>
      </c>
      <c r="CL242" s="4">
        <f t="shared" si="959"/>
        <v>1.024630490427666</v>
      </c>
      <c r="CM242" s="4">
        <f t="shared" si="960"/>
        <v>1.5518814891149317</v>
      </c>
      <c r="CO242" s="4" t="e">
        <f t="shared" si="892"/>
        <v>#REF!</v>
      </c>
      <c r="CP242" s="4" t="e">
        <f t="shared" si="893"/>
        <v>#REF!</v>
      </c>
      <c r="CQ242" s="4" t="e">
        <f t="shared" si="894"/>
        <v>#REF!</v>
      </c>
      <c r="CR242" s="4">
        <f t="shared" si="975"/>
        <v>1.5518814891149317</v>
      </c>
      <c r="CS242" s="4">
        <f t="shared" si="896"/>
        <v>0.96172270015417394</v>
      </c>
      <c r="CT242" s="4">
        <f t="shared" si="897"/>
        <v>1.024630490427666</v>
      </c>
      <c r="DB242" s="4">
        <f t="shared" si="888"/>
        <v>0</v>
      </c>
      <c r="DC242" s="4" t="e">
        <f>#REF!</f>
        <v>#REF!</v>
      </c>
      <c r="DF242" s="4">
        <f t="shared" si="932"/>
        <v>1.0277178579490715E-5</v>
      </c>
      <c r="DG242" s="4">
        <f t="shared" si="933"/>
        <v>5.4914001825716072</v>
      </c>
      <c r="DH242" s="4">
        <f t="shared" si="934"/>
        <v>0.38369240287346035</v>
      </c>
      <c r="DI242" s="4">
        <f t="shared" si="935"/>
        <v>3.7434873846016892</v>
      </c>
      <c r="DJ242" s="4">
        <f t="shared" si="936"/>
        <v>4.6997085450668452</v>
      </c>
      <c r="DK242" s="4">
        <f t="shared" si="937"/>
        <v>5.4013905886816325</v>
      </c>
      <c r="DL242" s="38">
        <f t="shared" si="938"/>
        <v>204.53111622372472</v>
      </c>
      <c r="DM242" s="4" t="e">
        <f t="shared" si="939"/>
        <v>#REF!</v>
      </c>
      <c r="DN242" s="4">
        <f t="shared" si="940"/>
        <v>1.7335434131355643</v>
      </c>
      <c r="DO242" s="4">
        <f t="shared" si="776"/>
        <v>100.04145975392271</v>
      </c>
      <c r="DS242" s="4">
        <f t="shared" si="941"/>
        <v>0.85</v>
      </c>
      <c r="DT242" s="4">
        <f t="shared" si="942"/>
        <v>0.98631284916201112</v>
      </c>
      <c r="DU242" s="4">
        <f t="shared" si="943"/>
        <v>1</v>
      </c>
      <c r="DV242" s="4">
        <f t="shared" si="944"/>
        <v>0.98631284916201112</v>
      </c>
      <c r="DX242" s="4">
        <f t="shared" si="945"/>
        <v>191.97380831223074</v>
      </c>
      <c r="DY242" s="25">
        <f t="shared" si="851"/>
        <v>98.098475582235665</v>
      </c>
      <c r="EA242" s="4">
        <f t="shared" si="852"/>
        <v>0.83836592178770941</v>
      </c>
      <c r="EB242" s="4">
        <f t="shared" si="946"/>
        <v>5.4914001825716072</v>
      </c>
      <c r="EE242" s="4">
        <f t="shared" si="947"/>
        <v>62.060854190253195</v>
      </c>
      <c r="EF242" s="4">
        <f t="shared" si="948"/>
        <v>1.7335434131355643</v>
      </c>
      <c r="EG242" s="4">
        <f t="shared" si="949"/>
        <v>0.11756641889341342</v>
      </c>
      <c r="EJ242" s="4">
        <f t="shared" si="853"/>
        <v>0.11756641889341342</v>
      </c>
      <c r="EK242" s="4">
        <f t="shared" si="950"/>
        <v>0.38305209176360744</v>
      </c>
      <c r="EL242" s="4">
        <f t="shared" si="889"/>
        <v>3.7409872593394851</v>
      </c>
      <c r="EM242" s="4">
        <f t="shared" si="854"/>
        <v>4.6987148155807104</v>
      </c>
      <c r="EN242" s="4" t="e">
        <f t="shared" si="863"/>
        <v>#REF!</v>
      </c>
      <c r="EO242" s="4" t="e">
        <f t="shared" si="864"/>
        <v>#REF!</v>
      </c>
      <c r="EP242" s="4" t="e">
        <f t="shared" si="951"/>
        <v>#REF!</v>
      </c>
      <c r="EQ242" s="4" t="e">
        <f t="shared" si="855"/>
        <v>#REF!</v>
      </c>
      <c r="ER242" s="4" t="e">
        <f t="shared" si="952"/>
        <v>#REF!</v>
      </c>
      <c r="FA242" s="23" t="e">
        <f t="shared" si="962"/>
        <v>#REF!</v>
      </c>
      <c r="FB242" s="23" t="e">
        <f t="shared" si="963"/>
        <v>#REF!</v>
      </c>
      <c r="FC242" s="23">
        <f t="shared" si="964"/>
        <v>1.6</v>
      </c>
      <c r="FD242" s="23" t="e">
        <f t="shared" si="965"/>
        <v>#REF!</v>
      </c>
      <c r="FE242" s="23">
        <f t="shared" si="966"/>
        <v>1</v>
      </c>
      <c r="FF242" s="23">
        <f t="shared" si="967"/>
        <v>1.2</v>
      </c>
      <c r="FG242" s="23">
        <f t="shared" si="968"/>
        <v>0</v>
      </c>
      <c r="FH242" s="23"/>
      <c r="FR242" s="4">
        <f t="shared" si="842"/>
        <v>1</v>
      </c>
      <c r="FS242" s="4">
        <f t="shared" si="843"/>
        <v>0.8938547486033519</v>
      </c>
      <c r="FT242" s="4">
        <f t="shared" si="844"/>
        <v>0</v>
      </c>
      <c r="FU242" s="4">
        <f t="shared" si="845"/>
        <v>126.75079813756321</v>
      </c>
    </row>
    <row r="243" spans="1:177" ht="12" customHeight="1" x14ac:dyDescent="0.3">
      <c r="B243" s="24"/>
      <c r="C243" s="4" t="s">
        <v>355</v>
      </c>
      <c r="D243" s="7">
        <v>556</v>
      </c>
      <c r="E243" s="7">
        <f>381-J243-20</f>
        <v>285</v>
      </c>
      <c r="F243" s="7">
        <v>33.299999999999997</v>
      </c>
      <c r="G243" s="7">
        <v>35.799999999999997</v>
      </c>
      <c r="H243" s="7">
        <v>305</v>
      </c>
      <c r="I243" s="7">
        <v>76</v>
      </c>
      <c r="J243" s="7">
        <v>76</v>
      </c>
      <c r="K243" s="7">
        <f t="shared" si="886"/>
        <v>81.400000000000006</v>
      </c>
      <c r="L243" s="7">
        <v>2</v>
      </c>
      <c r="M243" s="7">
        <f t="shared" si="856"/>
        <v>280</v>
      </c>
      <c r="N243" s="7">
        <f t="shared" si="905"/>
        <v>1.6368715083798884</v>
      </c>
      <c r="O243" s="7">
        <f t="shared" si="906"/>
        <v>2.6229050279329611</v>
      </c>
      <c r="P243" s="7">
        <f>8100/(G243^2*PI()/4)-1</f>
        <v>7.0469088920093164</v>
      </c>
      <c r="Q243" s="7">
        <f>8100/(G243^2*PI()/4)-1</f>
        <v>7.0469088920093164</v>
      </c>
      <c r="R243" s="7">
        <f t="shared" si="907"/>
        <v>8.0469088920093164</v>
      </c>
      <c r="S243" s="7">
        <f t="shared" si="908"/>
        <v>101.55412503859614</v>
      </c>
      <c r="T243" s="7">
        <f t="shared" si="909"/>
        <v>556</v>
      </c>
      <c r="U243" s="7">
        <v>20</v>
      </c>
      <c r="V243" s="7">
        <f>432*1000/(G243^2*PI()/4)</f>
        <v>429.16847424049683</v>
      </c>
      <c r="W243" s="7"/>
      <c r="X243" s="4">
        <f t="shared" si="910"/>
        <v>1.7054171816068107</v>
      </c>
      <c r="Y243" s="7"/>
      <c r="Z243" s="7"/>
      <c r="AA243" s="7">
        <v>1</v>
      </c>
      <c r="AB243" s="7"/>
      <c r="AC243" s="7"/>
      <c r="AD243" s="7">
        <f t="shared" si="911"/>
        <v>7.2952218430034126</v>
      </c>
      <c r="AE243" s="4">
        <f t="shared" si="912"/>
        <v>285</v>
      </c>
      <c r="AF243" s="4">
        <f t="shared" si="913"/>
        <v>0.35672514619883039</v>
      </c>
      <c r="AG243" s="4">
        <f t="shared" si="914"/>
        <v>137.91245086192728</v>
      </c>
      <c r="AH243" s="4">
        <f t="shared" si="915"/>
        <v>0.76589473684210518</v>
      </c>
      <c r="AI243" s="4">
        <v>1.25</v>
      </c>
      <c r="AJ243" s="4">
        <f t="shared" si="857"/>
        <v>2.5</v>
      </c>
      <c r="AK243" s="38">
        <f t="shared" si="848"/>
        <v>117.74875065549853</v>
      </c>
      <c r="AL243" s="38">
        <f t="shared" si="953"/>
        <v>117.74875065549853</v>
      </c>
      <c r="AM243" s="38">
        <f t="shared" si="916"/>
        <v>3.1051606722149665</v>
      </c>
      <c r="AN243" s="38">
        <f t="shared" si="858"/>
        <v>117.74875065549857</v>
      </c>
      <c r="AO243" s="38">
        <f t="shared" si="840"/>
        <v>0.99999999999999967</v>
      </c>
      <c r="AP243" s="38">
        <f t="shared" si="859"/>
        <v>3.0499175093332469</v>
      </c>
      <c r="AQ243" s="4">
        <f t="shared" si="860"/>
        <v>0</v>
      </c>
      <c r="AR243" s="4" t="e">
        <f>#REF!/G243*F243^0.5/0.19</f>
        <v>#REF!</v>
      </c>
      <c r="AS243" s="4">
        <f t="shared" si="917"/>
        <v>1.2409556313993173</v>
      </c>
      <c r="AT243" s="38">
        <f t="shared" si="918"/>
        <v>359.12397632631973</v>
      </c>
      <c r="AU243" s="4">
        <f t="shared" si="919"/>
        <v>0.3</v>
      </c>
      <c r="AV243" s="4" t="e">
        <f>AU243*D243*#REF!/(D243*G243/2.75/F243^0.5)</f>
        <v>#REF!</v>
      </c>
      <c r="AW243" s="4" t="e">
        <f t="shared" si="849"/>
        <v>#REF!</v>
      </c>
      <c r="AY243" s="4">
        <f t="shared" si="920"/>
        <v>1.2807262569832403</v>
      </c>
      <c r="AZ243" s="4" t="e">
        <f>(3*#REF!+30)*AY243*F243^0.5</f>
        <v>#REF!</v>
      </c>
      <c r="BB243" s="4">
        <f t="shared" si="921"/>
        <v>344.44381129745312</v>
      </c>
      <c r="BC243" s="4">
        <f t="shared" si="922"/>
        <v>490.43773856597932</v>
      </c>
      <c r="BD243" s="4">
        <f t="shared" si="862"/>
        <v>1.4238541163465686</v>
      </c>
      <c r="BL243" s="4">
        <f t="shared" si="923"/>
        <v>40.700000000000003</v>
      </c>
      <c r="BP243" s="9"/>
      <c r="BR243" s="9"/>
      <c r="BS243" s="9"/>
      <c r="BT243" s="9">
        <f t="shared" si="924"/>
        <v>40.700000000000003</v>
      </c>
      <c r="BU243" s="9">
        <f t="shared" si="925"/>
        <v>76</v>
      </c>
      <c r="BV243" s="9">
        <f t="shared" si="926"/>
        <v>1.1709505872794554</v>
      </c>
      <c r="BW243" s="9">
        <v>0</v>
      </c>
      <c r="BX243" s="9">
        <f t="shared" si="927"/>
        <v>0</v>
      </c>
      <c r="BY243" s="9">
        <f t="shared" si="850"/>
        <v>0</v>
      </c>
      <c r="BZ243" s="9">
        <f t="shared" si="928"/>
        <v>0.89787751228078194</v>
      </c>
      <c r="CA243" s="9">
        <f t="shared" si="929"/>
        <v>0.91600000000000004</v>
      </c>
      <c r="CB243" s="9">
        <f t="shared" si="930"/>
        <v>1.661126587131682</v>
      </c>
      <c r="CC243" s="9">
        <f t="shared" si="931"/>
        <v>1.9450971527473606</v>
      </c>
      <c r="CD243" s="9">
        <v>1</v>
      </c>
      <c r="CE243" s="9" t="e">
        <f>4*CC243*#REF!+60*CC243</f>
        <v>#REF!</v>
      </c>
      <c r="CG243" s="4" t="e">
        <f t="shared" si="954"/>
        <v>#REF!</v>
      </c>
      <c r="CH243" s="4" t="e">
        <f t="shared" si="955"/>
        <v>#REF!</v>
      </c>
      <c r="CI243" s="4" t="e">
        <f t="shared" si="956"/>
        <v>#REF!</v>
      </c>
      <c r="CJ243" s="4" t="e">
        <f t="shared" si="957"/>
        <v>#REF!</v>
      </c>
      <c r="CK243" s="4">
        <f t="shared" si="958"/>
        <v>1.7054171816068107</v>
      </c>
      <c r="CL243" s="4">
        <f t="shared" si="959"/>
        <v>1.7084704294313242</v>
      </c>
      <c r="CM243" s="4">
        <f t="shared" si="960"/>
        <v>2.3882719091374538</v>
      </c>
      <c r="CO243" s="4" t="e">
        <f t="shared" si="892"/>
        <v>#REF!</v>
      </c>
      <c r="CP243" s="4" t="e">
        <f t="shared" si="893"/>
        <v>#REF!</v>
      </c>
      <c r="CQ243" s="4" t="e">
        <f t="shared" si="894"/>
        <v>#REF!</v>
      </c>
      <c r="CR243" s="4">
        <f t="shared" si="975"/>
        <v>2.3882719091374538</v>
      </c>
      <c r="CS243" s="4">
        <f t="shared" si="896"/>
        <v>1.7054171816068107</v>
      </c>
      <c r="CT243" s="4">
        <f t="shared" si="897"/>
        <v>1.7084704294313242</v>
      </c>
      <c r="DB243" s="4">
        <f t="shared" si="888"/>
        <v>0</v>
      </c>
      <c r="DC243" s="4" t="e">
        <f>#REF!</f>
        <v>#REF!</v>
      </c>
      <c r="DF243" s="4">
        <f t="shared" si="932"/>
        <v>1.4549897915862038E-5</v>
      </c>
      <c r="DG243" s="4">
        <f t="shared" si="933"/>
        <v>5.6551012697105509</v>
      </c>
      <c r="DH243" s="4">
        <f t="shared" si="934"/>
        <v>0.19827952194134693</v>
      </c>
      <c r="DI243" s="4">
        <f t="shared" si="935"/>
        <v>2.960407745355111</v>
      </c>
      <c r="DJ243" s="4">
        <f t="shared" si="936"/>
        <v>4.5153901390049072</v>
      </c>
      <c r="DK243" s="4">
        <f t="shared" si="937"/>
        <v>5.4900726728617038</v>
      </c>
      <c r="DL243" s="38">
        <f t="shared" si="938"/>
        <v>251.65014101484701</v>
      </c>
      <c r="DM243" s="4" t="e">
        <f t="shared" si="939"/>
        <v>#REF!</v>
      </c>
      <c r="DN243" s="4">
        <f t="shared" si="940"/>
        <v>2.8367074033127415</v>
      </c>
      <c r="DO243" s="4">
        <f t="shared" si="776"/>
        <v>117.74875065549857</v>
      </c>
      <c r="DS243" s="4">
        <f t="shared" si="941"/>
        <v>0.85</v>
      </c>
      <c r="DT243" s="4">
        <f t="shared" si="942"/>
        <v>0.98631284916201112</v>
      </c>
      <c r="DU243" s="4">
        <f t="shared" si="943"/>
        <v>1</v>
      </c>
      <c r="DV243" s="4">
        <f t="shared" si="944"/>
        <v>0.98631284916201112</v>
      </c>
      <c r="DX243" s="4">
        <f t="shared" si="945"/>
        <v>251.2004111088703</v>
      </c>
      <c r="DY243" s="25">
        <f t="shared" si="851"/>
        <v>116.14142827081106</v>
      </c>
      <c r="EA243" s="4">
        <f t="shared" si="852"/>
        <v>0.83836592178770941</v>
      </c>
      <c r="EB243" s="4">
        <f t="shared" si="946"/>
        <v>5.6551012697105509</v>
      </c>
      <c r="EE243" s="4">
        <f t="shared" si="947"/>
        <v>101.55412503859614</v>
      </c>
      <c r="EF243" s="4">
        <f t="shared" si="948"/>
        <v>2.8367074033127415</v>
      </c>
      <c r="EG243" s="4">
        <f t="shared" si="949"/>
        <v>6.2565546914000694E-2</v>
      </c>
      <c r="EJ243" s="4">
        <f t="shared" si="853"/>
        <v>6.2565546914000694E-2</v>
      </c>
      <c r="EK243" s="4">
        <f t="shared" si="950"/>
        <v>0.19794863037350618</v>
      </c>
      <c r="EL243" s="4">
        <f t="shared" si="889"/>
        <v>2.9584306076142348</v>
      </c>
      <c r="EM243" s="4">
        <f t="shared" si="854"/>
        <v>4.51474821301841</v>
      </c>
      <c r="EN243" s="4" t="e">
        <f t="shared" si="863"/>
        <v>#REF!</v>
      </c>
      <c r="EO243" s="4" t="e">
        <f t="shared" si="864"/>
        <v>#REF!</v>
      </c>
      <c r="EP243" s="4" t="e">
        <f t="shared" si="951"/>
        <v>#REF!</v>
      </c>
      <c r="EQ243" s="4" t="e">
        <f t="shared" si="855"/>
        <v>#REF!</v>
      </c>
      <c r="ER243" s="4" t="e">
        <f t="shared" si="952"/>
        <v>#REF!</v>
      </c>
      <c r="FA243" s="23" t="e">
        <f t="shared" si="962"/>
        <v>#REF!</v>
      </c>
      <c r="FB243" s="23" t="e">
        <f t="shared" si="963"/>
        <v>#REF!</v>
      </c>
      <c r="FC243" s="23">
        <f t="shared" si="964"/>
        <v>2.2000000000000002</v>
      </c>
      <c r="FD243" s="23" t="e">
        <f t="shared" si="965"/>
        <v>#REF!</v>
      </c>
      <c r="FE243" s="23">
        <f t="shared" si="966"/>
        <v>1.8</v>
      </c>
      <c r="FF243" s="23">
        <f t="shared" si="967"/>
        <v>1.8</v>
      </c>
      <c r="FG243" s="23">
        <f t="shared" si="968"/>
        <v>0</v>
      </c>
      <c r="FH243" s="23"/>
      <c r="FR243" s="4">
        <f t="shared" si="842"/>
        <v>1</v>
      </c>
      <c r="FS243" s="4">
        <f t="shared" si="843"/>
        <v>0.8938547486033519</v>
      </c>
      <c r="FT243" s="4">
        <f t="shared" si="844"/>
        <v>0</v>
      </c>
      <c r="FU243" s="4">
        <f t="shared" si="845"/>
        <v>179.69833024393566</v>
      </c>
    </row>
    <row r="244" spans="1:177" ht="12" customHeight="1" x14ac:dyDescent="0.3">
      <c r="B244" s="24"/>
      <c r="C244" s="4" t="s">
        <v>356</v>
      </c>
      <c r="D244" s="7">
        <v>556</v>
      </c>
      <c r="E244" s="7">
        <f>381-J244-25</f>
        <v>280</v>
      </c>
      <c r="F244" s="7">
        <v>33.299999999999997</v>
      </c>
      <c r="G244" s="7">
        <v>35.799999999999997</v>
      </c>
      <c r="H244" s="7">
        <v>305</v>
      </c>
      <c r="I244" s="7">
        <v>76</v>
      </c>
      <c r="J244" s="7">
        <v>76</v>
      </c>
      <c r="K244" s="7">
        <f t="shared" si="886"/>
        <v>81.400000000000006</v>
      </c>
      <c r="L244" s="7">
        <v>2</v>
      </c>
      <c r="M244" s="7">
        <f t="shared" si="856"/>
        <v>280</v>
      </c>
      <c r="N244" s="7">
        <f t="shared" si="905"/>
        <v>1.6368715083798884</v>
      </c>
      <c r="O244" s="7">
        <f t="shared" si="906"/>
        <v>2.6229050279329611</v>
      </c>
      <c r="P244" s="7">
        <f>5500/(G244^2*PI()/4)-1</f>
        <v>4.4639504822285474</v>
      </c>
      <c r="Q244" s="7">
        <f>5500/(G244^2*PI()/4)-1</f>
        <v>4.4639504822285474</v>
      </c>
      <c r="R244" s="7">
        <f t="shared" si="907"/>
        <v>5.4639504822285474</v>
      </c>
      <c r="S244" s="7">
        <f t="shared" si="908"/>
        <v>83.682838718840046</v>
      </c>
      <c r="T244" s="7">
        <f t="shared" si="909"/>
        <v>556</v>
      </c>
      <c r="U244" s="7">
        <v>25</v>
      </c>
      <c r="V244" s="7">
        <f>385*1000/(G244^2*PI()/4)</f>
        <v>382.47653375599833</v>
      </c>
      <c r="W244" s="7"/>
      <c r="X244" s="4">
        <f t="shared" si="910"/>
        <v>1.4957640290850434</v>
      </c>
      <c r="Y244" s="7"/>
      <c r="Z244" s="7"/>
      <c r="AA244" s="7">
        <v>1</v>
      </c>
      <c r="AB244" s="7"/>
      <c r="AC244" s="7"/>
      <c r="AD244" s="7">
        <f t="shared" si="911"/>
        <v>7.1672354948805461</v>
      </c>
      <c r="AE244" s="4">
        <f t="shared" si="912"/>
        <v>280</v>
      </c>
      <c r="AF244" s="4">
        <f t="shared" si="913"/>
        <v>0.36309523809523808</v>
      </c>
      <c r="AG244" s="4">
        <f t="shared" si="914"/>
        <v>134.2991405645605</v>
      </c>
      <c r="AH244" s="4">
        <f t="shared" si="915"/>
        <v>0.76707142857142852</v>
      </c>
      <c r="AI244" s="4">
        <v>1.25</v>
      </c>
      <c r="AJ244" s="4">
        <f t="shared" si="857"/>
        <v>2.5</v>
      </c>
      <c r="AK244" s="38">
        <f t="shared" si="848"/>
        <v>116.8906073313825</v>
      </c>
      <c r="AL244" s="38">
        <f t="shared" si="953"/>
        <v>116.8906073313825</v>
      </c>
      <c r="AM244" s="38">
        <f t="shared" si="916"/>
        <v>3.1051606722149665</v>
      </c>
      <c r="AN244" s="38">
        <f t="shared" si="858"/>
        <v>116.89060733138254</v>
      </c>
      <c r="AO244" s="38">
        <f t="shared" si="840"/>
        <v>0.99999999999999967</v>
      </c>
      <c r="AP244" s="38">
        <f t="shared" si="859"/>
        <v>2.4452605528078042</v>
      </c>
      <c r="AQ244" s="4">
        <f t="shared" si="860"/>
        <v>0</v>
      </c>
      <c r="AR244" s="4" t="e">
        <f>#REF!/G244*F244^0.5/0.19</f>
        <v>#REF!</v>
      </c>
      <c r="AS244" s="4">
        <f t="shared" si="917"/>
        <v>1.2409556313993173</v>
      </c>
      <c r="AT244" s="38">
        <f t="shared" si="918"/>
        <v>285.82799110117645</v>
      </c>
      <c r="AU244" s="4">
        <f t="shared" si="919"/>
        <v>0.37504693248800336</v>
      </c>
      <c r="AV244" s="4" t="e">
        <f>AU244*D244*#REF!/(D244*G244/2.75/F244^0.5)</f>
        <v>#REF!</v>
      </c>
      <c r="AW244" s="4" t="e">
        <f t="shared" si="849"/>
        <v>#REF!</v>
      </c>
      <c r="AY244" s="4">
        <f t="shared" si="920"/>
        <v>1.2807262569832403</v>
      </c>
      <c r="AZ244" s="4" t="e">
        <f>(3*#REF!+30)*AY244*F244^0.5</f>
        <v>#REF!</v>
      </c>
      <c r="BB244" s="4">
        <f t="shared" si="921"/>
        <v>274.14399795162973</v>
      </c>
      <c r="BC244" s="4">
        <f t="shared" si="922"/>
        <v>1562.4220485187734</v>
      </c>
      <c r="BD244" s="4">
        <f t="shared" si="862"/>
        <v>5.6992750532311449</v>
      </c>
      <c r="BL244" s="4">
        <f t="shared" si="923"/>
        <v>40.700000000000003</v>
      </c>
      <c r="BP244" s="9"/>
      <c r="BR244" s="9"/>
      <c r="BS244" s="9"/>
      <c r="BT244" s="9">
        <f t="shared" si="924"/>
        <v>40.700000000000003</v>
      </c>
      <c r="BU244" s="9">
        <f t="shared" si="925"/>
        <v>76</v>
      </c>
      <c r="BV244" s="9">
        <f t="shared" si="926"/>
        <v>1.1709505872794554</v>
      </c>
      <c r="BW244" s="9">
        <v>0</v>
      </c>
      <c r="BX244" s="9">
        <f t="shared" si="927"/>
        <v>0</v>
      </c>
      <c r="BY244" s="9">
        <f t="shared" si="850"/>
        <v>0</v>
      </c>
      <c r="BZ244" s="9">
        <f t="shared" si="928"/>
        <v>0.89787751228078194</v>
      </c>
      <c r="CA244" s="9">
        <f t="shared" si="929"/>
        <v>0.91600000000000004</v>
      </c>
      <c r="CB244" s="9">
        <f t="shared" si="930"/>
        <v>1.661126587131682</v>
      </c>
      <c r="CC244" s="9">
        <f t="shared" si="931"/>
        <v>1.9450971527473606</v>
      </c>
      <c r="CD244" s="9">
        <v>1</v>
      </c>
      <c r="CE244" s="9" t="e">
        <f>4*CC244*#REF!+60*CC244</f>
        <v>#REF!</v>
      </c>
      <c r="CG244" s="4" t="e">
        <f t="shared" si="954"/>
        <v>#REF!</v>
      </c>
      <c r="CH244" s="4" t="e">
        <f t="shared" si="955"/>
        <v>#REF!</v>
      </c>
      <c r="CI244" s="4" t="e">
        <f t="shared" si="956"/>
        <v>#REF!</v>
      </c>
      <c r="CJ244" s="4" t="e">
        <f t="shared" si="957"/>
        <v>#REF!</v>
      </c>
      <c r="CK244" s="4">
        <f t="shared" si="958"/>
        <v>1.4957640290850434</v>
      </c>
      <c r="CL244" s="4">
        <f t="shared" si="959"/>
        <v>1.5425351929470028</v>
      </c>
      <c r="CM244" s="4">
        <f t="shared" si="960"/>
        <v>2.1664445703547215</v>
      </c>
      <c r="CO244" s="4" t="e">
        <f t="shared" si="892"/>
        <v>#REF!</v>
      </c>
      <c r="CP244" s="4" t="e">
        <f t="shared" si="893"/>
        <v>#REF!</v>
      </c>
      <c r="CQ244" s="4" t="e">
        <f t="shared" si="894"/>
        <v>#REF!</v>
      </c>
      <c r="CR244" s="4">
        <f t="shared" si="975"/>
        <v>2.1664445703547215</v>
      </c>
      <c r="CS244" s="4">
        <f t="shared" si="896"/>
        <v>1.4957640290850434</v>
      </c>
      <c r="CT244" s="4">
        <f t="shared" si="897"/>
        <v>1.5425351929470028</v>
      </c>
      <c r="DB244" s="4">
        <f t="shared" si="888"/>
        <v>0</v>
      </c>
      <c r="DC244" s="4" t="e">
        <f>#REF!</f>
        <v>#REF!</v>
      </c>
      <c r="DF244" s="4">
        <f t="shared" si="932"/>
        <v>1.4294636548917093E-5</v>
      </c>
      <c r="DG244" s="4">
        <f t="shared" si="933"/>
        <v>5.6551012697105509</v>
      </c>
      <c r="DH244" s="4">
        <f t="shared" si="934"/>
        <v>0.25604676546069649</v>
      </c>
      <c r="DI244" s="4">
        <f t="shared" si="935"/>
        <v>3.2792015010621469</v>
      </c>
      <c r="DJ244" s="4">
        <f t="shared" si="936"/>
        <v>4.6234399349920459</v>
      </c>
      <c r="DK244" s="4">
        <f t="shared" si="937"/>
        <v>5.485274803656603</v>
      </c>
      <c r="DL244" s="38">
        <f t="shared" si="938"/>
        <v>255.70646593898817</v>
      </c>
      <c r="DM244" s="4" t="e">
        <f t="shared" si="939"/>
        <v>#REF!</v>
      </c>
      <c r="DN244" s="4">
        <f t="shared" si="940"/>
        <v>2.3375094614201131</v>
      </c>
      <c r="DO244" s="4">
        <f t="shared" si="776"/>
        <v>116.89060733138254</v>
      </c>
      <c r="DS244" s="4">
        <f t="shared" si="941"/>
        <v>0.85</v>
      </c>
      <c r="DT244" s="4">
        <f t="shared" si="942"/>
        <v>0.98631284916201112</v>
      </c>
      <c r="DU244" s="4">
        <f t="shared" si="943"/>
        <v>1</v>
      </c>
      <c r="DV244" s="4">
        <f t="shared" si="944"/>
        <v>0.98631284916201112</v>
      </c>
      <c r="DX244" s="4">
        <f t="shared" si="945"/>
        <v>247.95319776482995</v>
      </c>
      <c r="DY244" s="25">
        <f t="shared" si="851"/>
        <v>115.26367076603489</v>
      </c>
      <c r="EA244" s="4">
        <f t="shared" si="852"/>
        <v>0.83836592178770941</v>
      </c>
      <c r="EB244" s="4">
        <f t="shared" si="946"/>
        <v>5.6551012697105509</v>
      </c>
      <c r="EE244" s="4">
        <f t="shared" si="947"/>
        <v>83.682838718840046</v>
      </c>
      <c r="EF244" s="4">
        <f t="shared" si="948"/>
        <v>2.3375094614201131</v>
      </c>
      <c r="EG244" s="4">
        <f t="shared" si="949"/>
        <v>8.0793547209318639E-2</v>
      </c>
      <c r="EJ244" s="4">
        <f t="shared" si="853"/>
        <v>8.0793547209318639E-2</v>
      </c>
      <c r="EK244" s="4">
        <f t="shared" si="950"/>
        <v>0.25561947112977262</v>
      </c>
      <c r="EL244" s="4">
        <f t="shared" si="889"/>
        <v>3.2770114537425306</v>
      </c>
      <c r="EM244" s="4">
        <f t="shared" si="854"/>
        <v>4.6226676777134283</v>
      </c>
      <c r="EN244" s="4" t="e">
        <f t="shared" si="863"/>
        <v>#REF!</v>
      </c>
      <c r="EO244" s="4" t="e">
        <f t="shared" si="864"/>
        <v>#REF!</v>
      </c>
      <c r="EP244" s="4" t="e">
        <f t="shared" si="951"/>
        <v>#REF!</v>
      </c>
      <c r="EQ244" s="4" t="e">
        <f t="shared" si="855"/>
        <v>#REF!</v>
      </c>
      <c r="ER244" s="4" t="e">
        <f t="shared" si="952"/>
        <v>#REF!</v>
      </c>
      <c r="FA244" s="23" t="e">
        <f t="shared" si="962"/>
        <v>#REF!</v>
      </c>
      <c r="FB244" s="23" t="e">
        <f t="shared" si="963"/>
        <v>#REF!</v>
      </c>
      <c r="FC244" s="23">
        <f t="shared" si="964"/>
        <v>2.2000000000000002</v>
      </c>
      <c r="FD244" s="23" t="e">
        <f t="shared" si="965"/>
        <v>#REF!</v>
      </c>
      <c r="FE244" s="23">
        <f t="shared" si="966"/>
        <v>1.6</v>
      </c>
      <c r="FF244" s="23">
        <f t="shared" si="967"/>
        <v>1.6</v>
      </c>
      <c r="FG244" s="23">
        <f t="shared" si="968"/>
        <v>0</v>
      </c>
      <c r="FH244" s="23"/>
      <c r="FR244" s="4">
        <f t="shared" si="842"/>
        <v>1</v>
      </c>
      <c r="FS244" s="4">
        <f t="shared" si="843"/>
        <v>0.8938547486033519</v>
      </c>
      <c r="FT244" s="4">
        <f t="shared" si="844"/>
        <v>0</v>
      </c>
      <c r="FU244" s="4">
        <f t="shared" si="845"/>
        <v>176.54572795895433</v>
      </c>
    </row>
    <row r="245" spans="1:177" ht="12" customHeight="1" x14ac:dyDescent="0.3">
      <c r="B245" s="24"/>
      <c r="C245" s="4" t="s">
        <v>357</v>
      </c>
      <c r="D245" s="7">
        <v>578</v>
      </c>
      <c r="E245" s="7">
        <f>381-J245-18</f>
        <v>287</v>
      </c>
      <c r="F245" s="7">
        <v>22.1</v>
      </c>
      <c r="G245" s="7">
        <v>25.4</v>
      </c>
      <c r="H245" s="7">
        <v>305</v>
      </c>
      <c r="I245" s="7">
        <v>76</v>
      </c>
      <c r="J245" s="7">
        <v>76</v>
      </c>
      <c r="K245" s="7">
        <f t="shared" si="886"/>
        <v>102.19999999999999</v>
      </c>
      <c r="L245" s="7">
        <v>2</v>
      </c>
      <c r="M245" s="7">
        <f t="shared" si="856"/>
        <v>280</v>
      </c>
      <c r="N245" s="7">
        <f t="shared" si="905"/>
        <v>2.5118110236220472</v>
      </c>
      <c r="O245" s="7">
        <f t="shared" si="906"/>
        <v>3.4921259842519685</v>
      </c>
      <c r="P245" s="7">
        <f>3200/(G245^2*PI()/4)-1</f>
        <v>5.3152807724479523</v>
      </c>
      <c r="Q245" s="7">
        <f>3200/(G245^2*PI()/4)-1</f>
        <v>5.3152807724479523</v>
      </c>
      <c r="R245" s="7">
        <f t="shared" si="907"/>
        <v>6.3152807724479523</v>
      </c>
      <c r="S245" s="7">
        <f t="shared" si="908"/>
        <v>63.830764864229231</v>
      </c>
      <c r="T245" s="7">
        <f t="shared" si="909"/>
        <v>578</v>
      </c>
      <c r="U245" s="7">
        <v>18</v>
      </c>
      <c r="V245" s="7">
        <f>279*1000/(G245^2*PI()/4)</f>
        <v>550.61354234780583</v>
      </c>
      <c r="W245" s="7"/>
      <c r="X245" s="4">
        <f t="shared" si="910"/>
        <v>1.3582301682762954</v>
      </c>
      <c r="Y245" s="7"/>
      <c r="Z245" s="7"/>
      <c r="AA245" s="7">
        <v>1</v>
      </c>
      <c r="AB245" s="7"/>
      <c r="AC245" s="7"/>
      <c r="AD245" s="7">
        <f t="shared" si="911"/>
        <v>6.7476489028213171</v>
      </c>
      <c r="AE245" s="4">
        <f t="shared" si="912"/>
        <v>287</v>
      </c>
      <c r="AF245" s="4">
        <f t="shared" si="913"/>
        <v>0.35423925667828104</v>
      </c>
      <c r="AG245" s="4">
        <f t="shared" si="914"/>
        <v>225.54420427456137</v>
      </c>
      <c r="AH245" s="4">
        <f t="shared" si="915"/>
        <v>0.76181184668989543</v>
      </c>
      <c r="AI245" s="4">
        <v>1.25</v>
      </c>
      <c r="AJ245" s="4">
        <f t="shared" si="857"/>
        <v>2.5</v>
      </c>
      <c r="AK245" s="38">
        <f t="shared" si="848"/>
        <v>190.20682805032305</v>
      </c>
      <c r="AL245" s="38">
        <f t="shared" si="953"/>
        <v>190.20682805032305</v>
      </c>
      <c r="AM245" s="38">
        <f t="shared" si="916"/>
        <v>2.3625595852948513</v>
      </c>
      <c r="AN245" s="38">
        <f t="shared" si="858"/>
        <v>190.20682805032291</v>
      </c>
      <c r="AO245" s="38">
        <f t="shared" si="840"/>
        <v>1.0000000000000007</v>
      </c>
      <c r="AP245" s="38">
        <f t="shared" si="859"/>
        <v>1.5557738334432083</v>
      </c>
      <c r="AQ245" s="4">
        <f t="shared" si="860"/>
        <v>0</v>
      </c>
      <c r="AR245" s="4" t="e">
        <f>#REF!/G245*F245^0.5/0.19</f>
        <v>#REF!</v>
      </c>
      <c r="AS245" s="4">
        <f t="shared" si="917"/>
        <v>1.1561128526645768</v>
      </c>
      <c r="AT245" s="38">
        <f t="shared" si="918"/>
        <v>295.91880602292406</v>
      </c>
      <c r="AU245" s="4">
        <f t="shared" si="919"/>
        <v>0.3</v>
      </c>
      <c r="AV245" s="4" t="e">
        <f>AU245*D245*#REF!/(D245*G245/2.75/F245^0.5)</f>
        <v>#REF!</v>
      </c>
      <c r="AW245" s="4" t="e">
        <f t="shared" si="849"/>
        <v>#REF!</v>
      </c>
      <c r="AY245" s="4">
        <f t="shared" si="920"/>
        <v>1.4980314960629921</v>
      </c>
      <c r="AZ245" s="4" t="e">
        <f>(3*#REF!+30)*AY245*F245^0.5</f>
        <v>#REF!</v>
      </c>
      <c r="BB245" s="4">
        <f t="shared" si="921"/>
        <v>283.82232348783879</v>
      </c>
      <c r="BC245" s="4">
        <f t="shared" si="922"/>
        <v>2245.2309649218914</v>
      </c>
      <c r="BD245" s="4">
        <f t="shared" si="862"/>
        <v>7.9106919333570147</v>
      </c>
      <c r="BL245" s="4">
        <f t="shared" si="923"/>
        <v>51.099999999999994</v>
      </c>
      <c r="BP245" s="9"/>
      <c r="BR245" s="9"/>
      <c r="BS245" s="9"/>
      <c r="BT245" s="9">
        <f t="shared" si="924"/>
        <v>51.099999999999994</v>
      </c>
      <c r="BU245" s="9">
        <f t="shared" si="925"/>
        <v>76</v>
      </c>
      <c r="BV245" s="9">
        <f t="shared" si="926"/>
        <v>1.5054020239149992</v>
      </c>
      <c r="BW245" s="9">
        <v>0</v>
      </c>
      <c r="BX245" s="9">
        <f t="shared" si="927"/>
        <v>0</v>
      </c>
      <c r="BY245" s="9">
        <f t="shared" si="850"/>
        <v>0</v>
      </c>
      <c r="BZ245" s="9">
        <f t="shared" si="928"/>
        <v>0.99524931562137331</v>
      </c>
      <c r="CA245" s="9">
        <f t="shared" si="929"/>
        <v>0.88300000000000001</v>
      </c>
      <c r="CB245" s="9">
        <f t="shared" si="930"/>
        <v>1.4459616423243864</v>
      </c>
      <c r="CC245" s="9">
        <f t="shared" si="931"/>
        <v>2.1767535828585873</v>
      </c>
      <c r="CD245" s="9">
        <v>1</v>
      </c>
      <c r="CE245" s="9" t="e">
        <f>4*CC245*#REF!+60*CC245</f>
        <v>#REF!</v>
      </c>
      <c r="CG245" s="4" t="e">
        <f t="shared" si="954"/>
        <v>#REF!</v>
      </c>
      <c r="CH245" s="4" t="e">
        <f t="shared" si="955"/>
        <v>#REF!</v>
      </c>
      <c r="CI245" s="4" t="e">
        <f t="shared" si="956"/>
        <v>#REF!</v>
      </c>
      <c r="CJ245" s="4" t="e">
        <f t="shared" si="957"/>
        <v>#REF!</v>
      </c>
      <c r="CK245" s="4">
        <f t="shared" si="958"/>
        <v>1.3582301682762954</v>
      </c>
      <c r="CL245" s="4">
        <f t="shared" si="959"/>
        <v>1.4530735737887628</v>
      </c>
      <c r="CM245" s="4">
        <f t="shared" si="960"/>
        <v>1.6860007669757939</v>
      </c>
      <c r="CO245" s="4" t="e">
        <f t="shared" si="892"/>
        <v>#REF!</v>
      </c>
      <c r="CP245" s="4" t="e">
        <f t="shared" si="893"/>
        <v>#REF!</v>
      </c>
      <c r="CQ245" s="4" t="e">
        <f t="shared" si="894"/>
        <v>#REF!</v>
      </c>
      <c r="CR245" s="4">
        <f t="shared" si="975"/>
        <v>1.6860007669757939</v>
      </c>
      <c r="CS245" s="4">
        <f t="shared" si="896"/>
        <v>1.3582301682762954</v>
      </c>
      <c r="CT245" s="4">
        <f t="shared" si="897"/>
        <v>1.4530735737887628</v>
      </c>
      <c r="DB245" s="4">
        <f t="shared" si="888"/>
        <v>0</v>
      </c>
      <c r="DC245" s="4" t="e">
        <f>#REF!</f>
        <v>#REF!</v>
      </c>
      <c r="DF245" s="4">
        <f t="shared" si="932"/>
        <v>1.9021932517031272E-5</v>
      </c>
      <c r="DG245" s="4">
        <f t="shared" si="933"/>
        <v>5.6171289413727514</v>
      </c>
      <c r="DH245" s="4">
        <f t="shared" si="934"/>
        <v>0.40216525231214639</v>
      </c>
      <c r="DI245" s="4">
        <f t="shared" si="935"/>
        <v>3.9019006831634799</v>
      </c>
      <c r="DJ245" s="4">
        <f t="shared" si="936"/>
        <v>4.8364058609445459</v>
      </c>
      <c r="DK245" s="4">
        <f t="shared" si="937"/>
        <v>5.3662694517765832</v>
      </c>
      <c r="DL245" s="38">
        <f t="shared" si="938"/>
        <v>405.39045237566711</v>
      </c>
      <c r="DM245" s="4" t="e">
        <f t="shared" si="939"/>
        <v>#REF!</v>
      </c>
      <c r="DN245" s="4">
        <f t="shared" si="940"/>
        <v>2.5130222387491825</v>
      </c>
      <c r="DO245" s="4">
        <f t="shared" si="776"/>
        <v>190.20682805032291</v>
      </c>
      <c r="DS245" s="4">
        <f t="shared" si="941"/>
        <v>0.85</v>
      </c>
      <c r="DT245" s="4">
        <f t="shared" si="942"/>
        <v>0.89881889763779532</v>
      </c>
      <c r="DU245" s="4">
        <f t="shared" si="943"/>
        <v>1</v>
      </c>
      <c r="DV245" s="4">
        <f t="shared" si="944"/>
        <v>0.89881889763779532</v>
      </c>
      <c r="DX245" s="4">
        <f t="shared" si="945"/>
        <v>378.93025671929945</v>
      </c>
      <c r="DY245" s="25">
        <f t="shared" si="851"/>
        <v>188.52285441528608</v>
      </c>
      <c r="EA245" s="4">
        <f t="shared" si="852"/>
        <v>0.76399606299212597</v>
      </c>
      <c r="EB245" s="4">
        <f t="shared" si="946"/>
        <v>5.6171289413727514</v>
      </c>
      <c r="EE245" s="4">
        <f t="shared" si="947"/>
        <v>63.830764864229231</v>
      </c>
      <c r="EF245" s="4">
        <f t="shared" si="948"/>
        <v>2.5130222387491825</v>
      </c>
      <c r="EG245" s="4">
        <f t="shared" si="949"/>
        <v>0.10337986159960641</v>
      </c>
      <c r="EJ245" s="4">
        <f t="shared" si="853"/>
        <v>0.10337986159960641</v>
      </c>
      <c r="EK245" s="4">
        <f t="shared" si="950"/>
        <v>0.40149411345945146</v>
      </c>
      <c r="EL245" s="4">
        <f t="shared" si="889"/>
        <v>3.8992947600051124</v>
      </c>
      <c r="EM245" s="4">
        <f t="shared" si="854"/>
        <v>4.8353564860443772</v>
      </c>
      <c r="EN245" s="4" t="e">
        <f t="shared" si="863"/>
        <v>#REF!</v>
      </c>
      <c r="EO245" s="4" t="e">
        <f t="shared" si="864"/>
        <v>#REF!</v>
      </c>
      <c r="EP245" s="4" t="e">
        <f t="shared" si="951"/>
        <v>#REF!</v>
      </c>
      <c r="EQ245" s="4" t="e">
        <f t="shared" si="855"/>
        <v>#REF!</v>
      </c>
      <c r="ER245" s="4" t="e">
        <f t="shared" si="952"/>
        <v>#REF!</v>
      </c>
      <c r="FA245" s="23" t="e">
        <f t="shared" si="962"/>
        <v>#REF!</v>
      </c>
      <c r="FB245" s="23" t="e">
        <f t="shared" si="963"/>
        <v>#REF!</v>
      </c>
      <c r="FC245" s="23">
        <f t="shared" si="964"/>
        <v>1.8</v>
      </c>
      <c r="FD245" s="23" t="e">
        <f t="shared" si="965"/>
        <v>#REF!</v>
      </c>
      <c r="FE245" s="23">
        <f t="shared" si="966"/>
        <v>1.4</v>
      </c>
      <c r="FF245" s="23">
        <f t="shared" si="967"/>
        <v>1.6</v>
      </c>
      <c r="FG245" s="23">
        <f t="shared" si="968"/>
        <v>0</v>
      </c>
      <c r="FH245" s="23"/>
      <c r="FR245" s="4">
        <f t="shared" si="842"/>
        <v>1</v>
      </c>
      <c r="FS245" s="4">
        <f t="shared" si="843"/>
        <v>0.74803149606299213</v>
      </c>
      <c r="FT245" s="4">
        <f t="shared" si="844"/>
        <v>0</v>
      </c>
      <c r="FU245" s="4">
        <f t="shared" si="845"/>
        <v>326.57965116792326</v>
      </c>
    </row>
    <row r="246" spans="1:177" ht="12" customHeight="1" x14ac:dyDescent="0.3">
      <c r="B246" s="24"/>
      <c r="C246" s="4" t="s">
        <v>358</v>
      </c>
      <c r="D246" s="7">
        <v>556</v>
      </c>
      <c r="E246" s="7">
        <f>305-J246-20</f>
        <v>209</v>
      </c>
      <c r="F246" s="7">
        <v>33.299999999999997</v>
      </c>
      <c r="G246" s="7">
        <v>35.799999999999997</v>
      </c>
      <c r="H246" s="7">
        <v>305</v>
      </c>
      <c r="I246" s="7">
        <v>76</v>
      </c>
      <c r="J246" s="7">
        <v>76</v>
      </c>
      <c r="K246" s="7">
        <f t="shared" si="886"/>
        <v>81.400000000000006</v>
      </c>
      <c r="L246" s="7">
        <v>2</v>
      </c>
      <c r="M246" s="7">
        <f t="shared" si="856"/>
        <v>280</v>
      </c>
      <c r="N246" s="7">
        <f t="shared" si="905"/>
        <v>1.6368715083798884</v>
      </c>
      <c r="O246" s="7">
        <f t="shared" si="906"/>
        <v>2.6229050279329611</v>
      </c>
      <c r="P246" s="7">
        <f>3844/(G246^2*PI()/4)-1</f>
        <v>2.8188046643066431</v>
      </c>
      <c r="Q246" s="7">
        <f>3844/(G246^2*PI()/4)-1</f>
        <v>2.8188046643066431</v>
      </c>
      <c r="R246" s="7">
        <f t="shared" si="907"/>
        <v>3.8188046643066431</v>
      </c>
      <c r="S246" s="7">
        <f t="shared" si="908"/>
        <v>69.95950835992177</v>
      </c>
      <c r="T246" s="7">
        <f t="shared" si="909"/>
        <v>556</v>
      </c>
      <c r="U246" s="7">
        <v>20</v>
      </c>
      <c r="V246" s="7"/>
      <c r="W246" s="32" t="s">
        <v>308</v>
      </c>
      <c r="X246" s="4">
        <f t="shared" si="910"/>
        <v>0</v>
      </c>
      <c r="Y246" s="7"/>
      <c r="Z246" s="7"/>
      <c r="AA246" s="7">
        <v>1</v>
      </c>
      <c r="AB246" s="7"/>
      <c r="AC246" s="7"/>
      <c r="AD246" s="7">
        <f t="shared" si="911"/>
        <v>5.3498293515358357</v>
      </c>
      <c r="AE246" s="4">
        <f t="shared" si="912"/>
        <v>209</v>
      </c>
      <c r="AF246" s="4">
        <f t="shared" si="913"/>
        <v>0.48644338118022329</v>
      </c>
      <c r="AG246" s="4">
        <f t="shared" si="914"/>
        <v>86.607522555408934</v>
      </c>
      <c r="AH246" s="4">
        <f t="shared" si="915"/>
        <v>0.78985645933014348</v>
      </c>
      <c r="AI246" s="4">
        <v>1.25</v>
      </c>
      <c r="AJ246" s="4">
        <f t="shared" si="857"/>
        <v>2.5</v>
      </c>
      <c r="AK246" s="38">
        <f t="shared" si="848"/>
        <v>103.98869064332192</v>
      </c>
      <c r="AL246" s="38">
        <f t="shared" si="953"/>
        <v>103.98869064332192</v>
      </c>
      <c r="AM246" s="38">
        <f t="shared" si="916"/>
        <v>3.1051606722149665</v>
      </c>
      <c r="AN246" s="38">
        <f t="shared" si="858"/>
        <v>103.98869064332189</v>
      </c>
      <c r="AO246" s="38">
        <f t="shared" si="840"/>
        <v>1.0000000000000002</v>
      </c>
      <c r="AP246" s="38">
        <f t="shared" si="859"/>
        <v>2.1841952262281148</v>
      </c>
      <c r="AQ246" s="4">
        <f t="shared" si="860"/>
        <v>0</v>
      </c>
      <c r="AR246" s="4" t="e">
        <f>#REF!/G246*F246^0.5/0.19</f>
        <v>#REF!</v>
      </c>
      <c r="AS246" s="4">
        <f t="shared" si="917"/>
        <v>1.2409556313993173</v>
      </c>
      <c r="AT246" s="38">
        <f t="shared" si="918"/>
        <v>227.13160168485589</v>
      </c>
      <c r="AU246" s="4">
        <f t="shared" si="919"/>
        <v>0.60536734699706995</v>
      </c>
      <c r="AV246" s="4" t="e">
        <f>AU246*D246*#REF!/(D246*G246/2.75/F246^0.5)</f>
        <v>#REF!</v>
      </c>
      <c r="AW246" s="4" t="e">
        <f t="shared" si="849"/>
        <v>#REF!</v>
      </c>
      <c r="AY246" s="4">
        <f t="shared" si="920"/>
        <v>1.2807262569832403</v>
      </c>
      <c r="AZ246" s="4" t="e">
        <f>(3*#REF!+30)*AY246*F246^0.5</f>
        <v>#REF!</v>
      </c>
      <c r="BB246" s="4">
        <f t="shared" si="921"/>
        <v>217.84698240069329</v>
      </c>
      <c r="BC246" s="4">
        <f t="shared" si="922"/>
        <v>3168.2997281821408</v>
      </c>
      <c r="BD246" s="4">
        <f t="shared" si="862"/>
        <v>14.543693436866526</v>
      </c>
      <c r="BL246" s="4">
        <f t="shared" si="923"/>
        <v>40.700000000000003</v>
      </c>
      <c r="BP246" s="9"/>
      <c r="BR246" s="9"/>
      <c r="BS246" s="9"/>
      <c r="BT246" s="9">
        <f t="shared" si="924"/>
        <v>40.700000000000003</v>
      </c>
      <c r="BU246" s="9">
        <f t="shared" si="925"/>
        <v>76</v>
      </c>
      <c r="BV246" s="9">
        <f t="shared" si="926"/>
        <v>1.1709505872794554</v>
      </c>
      <c r="BW246" s="9">
        <v>0</v>
      </c>
      <c r="BX246" s="9">
        <f t="shared" si="927"/>
        <v>0</v>
      </c>
      <c r="BY246" s="9">
        <f t="shared" si="850"/>
        <v>0</v>
      </c>
      <c r="BZ246" s="9">
        <f t="shared" si="928"/>
        <v>0.89787751228078194</v>
      </c>
      <c r="CA246" s="9">
        <f t="shared" si="929"/>
        <v>0.91600000000000004</v>
      </c>
      <c r="CB246" s="9">
        <f t="shared" si="930"/>
        <v>1.661126587131682</v>
      </c>
      <c r="CC246" s="9">
        <f t="shared" si="931"/>
        <v>1.9450971527473606</v>
      </c>
      <c r="CD246" s="9">
        <v>1</v>
      </c>
      <c r="CE246" s="9" t="e">
        <f>4*CC246*#REF!+60*CC246</f>
        <v>#REF!</v>
      </c>
      <c r="DB246" s="4">
        <f t="shared" si="888"/>
        <v>0</v>
      </c>
      <c r="DC246" s="4" t="e">
        <f>#REF!</f>
        <v>#REF!</v>
      </c>
      <c r="DF246" s="4">
        <f t="shared" si="932"/>
        <v>1.0669925138298828E-5</v>
      </c>
      <c r="DG246" s="4">
        <f t="shared" si="933"/>
        <v>5.6551012697105509</v>
      </c>
      <c r="DH246" s="4">
        <f t="shared" si="934"/>
        <v>0.30157165572085265</v>
      </c>
      <c r="DI246" s="4">
        <f t="shared" si="935"/>
        <v>3.5010361467581061</v>
      </c>
      <c r="DJ246" s="4">
        <f t="shared" si="936"/>
        <v>4.7037119022476839</v>
      </c>
      <c r="DK246" s="4">
        <f t="shared" si="937"/>
        <v>5.5587522742613205</v>
      </c>
      <c r="DL246" s="38">
        <f t="shared" si="938"/>
        <v>209.42031549662136</v>
      </c>
      <c r="DM246" s="4" t="e">
        <f t="shared" si="939"/>
        <v>#REF!</v>
      </c>
      <c r="DN246" s="4">
        <f t="shared" si="940"/>
        <v>1.9541762111709993</v>
      </c>
      <c r="DO246" s="4">
        <f t="shared" ref="DO246:DO309" si="976">MIN(DN$10*AN246)</f>
        <v>103.98869064332189</v>
      </c>
      <c r="DS246" s="4">
        <f t="shared" si="941"/>
        <v>0.85</v>
      </c>
      <c r="DT246" s="4">
        <f t="shared" si="942"/>
        <v>0.98631284916201112</v>
      </c>
      <c r="DU246" s="4">
        <f t="shared" si="943"/>
        <v>1</v>
      </c>
      <c r="DV246" s="4">
        <f t="shared" si="944"/>
        <v>0.98631284916201112</v>
      </c>
      <c r="DX246" s="4">
        <f t="shared" si="945"/>
        <v>201.06128380235231</v>
      </c>
      <c r="DY246" s="25">
        <f t="shared" si="851"/>
        <v>102.01802972110887</v>
      </c>
      <c r="EA246" s="4">
        <f t="shared" si="852"/>
        <v>0.83836592178770941</v>
      </c>
      <c r="EB246" s="4">
        <f t="shared" si="946"/>
        <v>5.6551012697105509</v>
      </c>
      <c r="EE246" s="4">
        <f t="shared" si="947"/>
        <v>69.95950835992177</v>
      </c>
      <c r="EF246" s="4">
        <f t="shared" si="948"/>
        <v>1.9541762111709995</v>
      </c>
      <c r="EG246" s="4">
        <f t="shared" si="949"/>
        <v>9.5158569020139236E-2</v>
      </c>
      <c r="EJ246" s="4">
        <f t="shared" si="853"/>
        <v>9.5158569020139236E-2</v>
      </c>
      <c r="EK246" s="4">
        <f t="shared" si="950"/>
        <v>0.30106838883277071</v>
      </c>
      <c r="EL246" s="4">
        <f t="shared" si="889"/>
        <v>3.4986979449651985</v>
      </c>
      <c r="EM246" s="4">
        <f t="shared" si="854"/>
        <v>4.7028450718644867</v>
      </c>
      <c r="EN246" s="4" t="e">
        <f t="shared" si="863"/>
        <v>#REF!</v>
      </c>
      <c r="EO246" s="4" t="e">
        <f t="shared" si="864"/>
        <v>#REF!</v>
      </c>
      <c r="EP246" s="4" t="e">
        <f t="shared" si="951"/>
        <v>#REF!</v>
      </c>
      <c r="EQ246" s="4" t="e">
        <f t="shared" si="855"/>
        <v>#REF!</v>
      </c>
      <c r="ER246" s="4" t="e">
        <f t="shared" si="952"/>
        <v>#REF!</v>
      </c>
      <c r="FA246" s="23"/>
      <c r="FB246" s="23"/>
      <c r="FC246" s="23"/>
      <c r="FD246" s="23"/>
      <c r="FE246" s="23"/>
      <c r="FF246" s="23"/>
      <c r="FG246" s="23"/>
      <c r="FH246" s="23"/>
      <c r="FR246" s="4">
        <f t="shared" si="842"/>
        <v>1</v>
      </c>
      <c r="FS246" s="4">
        <f t="shared" si="843"/>
        <v>0.8938547486033519</v>
      </c>
      <c r="FT246" s="4">
        <f t="shared" si="844"/>
        <v>0</v>
      </c>
      <c r="FU246" s="4">
        <f t="shared" si="845"/>
        <v>131.77877551221948</v>
      </c>
    </row>
    <row r="247" spans="1:177" ht="12" customHeight="1" x14ac:dyDescent="0.3">
      <c r="B247" s="24"/>
      <c r="C247" s="4" t="s">
        <v>359</v>
      </c>
      <c r="D247" s="7">
        <v>578</v>
      </c>
      <c r="E247" s="7">
        <f>305-J247-25</f>
        <v>204</v>
      </c>
      <c r="F247" s="7">
        <v>33.299999999999997</v>
      </c>
      <c r="G247" s="7">
        <v>25.4</v>
      </c>
      <c r="H247" s="7">
        <v>305</v>
      </c>
      <c r="I247" s="7">
        <v>76</v>
      </c>
      <c r="J247" s="7">
        <v>76</v>
      </c>
      <c r="K247" s="7">
        <f t="shared" si="886"/>
        <v>102.19999999999999</v>
      </c>
      <c r="L247" s="7">
        <v>2</v>
      </c>
      <c r="M247" s="7">
        <f t="shared" si="856"/>
        <v>280</v>
      </c>
      <c r="N247" s="7">
        <f t="shared" si="905"/>
        <v>2.5118110236220472</v>
      </c>
      <c r="O247" s="7">
        <f t="shared" si="906"/>
        <v>3.4921259842519685</v>
      </c>
      <c r="P247" s="7">
        <f>3800/(G247^2*PI()/4)-1</f>
        <v>6.4993959172819435</v>
      </c>
      <c r="Q247" s="7">
        <f>3800/(G247^2*PI()/4)-1</f>
        <v>6.4993959172819435</v>
      </c>
      <c r="R247" s="7">
        <f t="shared" si="907"/>
        <v>7.4993959172819435</v>
      </c>
      <c r="S247" s="7">
        <f t="shared" si="908"/>
        <v>69.557963383020478</v>
      </c>
      <c r="T247" s="7">
        <f t="shared" si="909"/>
        <v>578</v>
      </c>
      <c r="U247" s="7">
        <v>25</v>
      </c>
      <c r="V247" s="7">
        <f>216*1000/(G247^2*PI()/4)</f>
        <v>426.28145214023681</v>
      </c>
      <c r="W247" s="7"/>
      <c r="X247" s="4">
        <f t="shared" si="910"/>
        <v>1.1369631936734077</v>
      </c>
      <c r="Y247" s="7"/>
      <c r="Z247" s="7"/>
      <c r="AA247" s="7">
        <v>1</v>
      </c>
      <c r="AB247" s="7"/>
      <c r="AC247" s="7"/>
      <c r="AD247" s="7">
        <f t="shared" si="911"/>
        <v>4.7962382445141065</v>
      </c>
      <c r="AE247" s="4">
        <f t="shared" si="912"/>
        <v>204</v>
      </c>
      <c r="AF247" s="4">
        <f t="shared" si="913"/>
        <v>0.49836601307189543</v>
      </c>
      <c r="AG247" s="4">
        <f t="shared" si="914"/>
        <v>165.91286301077704</v>
      </c>
      <c r="AH247" s="4">
        <f t="shared" si="915"/>
        <v>0.7869607843137254</v>
      </c>
      <c r="AI247" s="4">
        <v>1.25</v>
      </c>
      <c r="AJ247" s="4">
        <f t="shared" si="857"/>
        <v>2.5</v>
      </c>
      <c r="AK247" s="38">
        <f t="shared" si="848"/>
        <v>203.34410551890588</v>
      </c>
      <c r="AL247" s="38">
        <f t="shared" si="953"/>
        <v>203.34410551890588</v>
      </c>
      <c r="AM247" s="38">
        <f t="shared" si="916"/>
        <v>3.1051606722149665</v>
      </c>
      <c r="AN247" s="38">
        <f t="shared" si="858"/>
        <v>203.34410551890599</v>
      </c>
      <c r="AO247" s="38">
        <f t="shared" si="840"/>
        <v>0.99999999999999944</v>
      </c>
      <c r="AP247" s="38">
        <f t="shared" si="859"/>
        <v>2.4247464351615653</v>
      </c>
      <c r="AQ247" s="4">
        <f t="shared" si="860"/>
        <v>0</v>
      </c>
      <c r="AR247" s="4" t="e">
        <f>#REF!/G247*F247^0.5/0.19</f>
        <v>#REF!</v>
      </c>
      <c r="AS247" s="4">
        <f t="shared" si="917"/>
        <v>1.1561128526645768</v>
      </c>
      <c r="AT247" s="38">
        <f t="shared" si="918"/>
        <v>493.05789496808444</v>
      </c>
      <c r="AU247" s="4">
        <f t="shared" si="919"/>
        <v>0.3</v>
      </c>
      <c r="AV247" s="4" t="e">
        <f>AU247*D247*#REF!/(D247*G247/2.75/F247^0.5)</f>
        <v>#REF!</v>
      </c>
      <c r="AW247" s="4" t="e">
        <f t="shared" si="849"/>
        <v>#REF!</v>
      </c>
      <c r="AY247" s="4">
        <f t="shared" si="920"/>
        <v>1.4980314960629921</v>
      </c>
      <c r="AZ247" s="4" t="e">
        <f>(3*#REF!+30)*AY247*F247^0.5</f>
        <v>#REF!</v>
      </c>
      <c r="BB247" s="4">
        <f t="shared" si="921"/>
        <v>472.90281832586072</v>
      </c>
      <c r="BC247" s="4">
        <f t="shared" si="922"/>
        <v>2769.4518574340823</v>
      </c>
      <c r="BD247" s="4">
        <f t="shared" si="862"/>
        <v>5.8562811430016692</v>
      </c>
      <c r="BL247" s="4">
        <f t="shared" si="923"/>
        <v>51.099999999999994</v>
      </c>
      <c r="BP247" s="9"/>
      <c r="BR247" s="9"/>
      <c r="BS247" s="9"/>
      <c r="BT247" s="9">
        <f t="shared" si="924"/>
        <v>51.099999999999994</v>
      </c>
      <c r="BU247" s="9">
        <f t="shared" si="925"/>
        <v>76</v>
      </c>
      <c r="BV247" s="9">
        <f t="shared" si="926"/>
        <v>1.5054020239149992</v>
      </c>
      <c r="BW247" s="9">
        <v>0</v>
      </c>
      <c r="BX247" s="9">
        <f t="shared" si="927"/>
        <v>0</v>
      </c>
      <c r="BY247" s="9">
        <f t="shared" si="850"/>
        <v>0</v>
      </c>
      <c r="BZ247" s="9">
        <f t="shared" si="928"/>
        <v>0.99524931562137331</v>
      </c>
      <c r="CA247" s="9">
        <f t="shared" si="929"/>
        <v>0.88300000000000001</v>
      </c>
      <c r="CB247" s="9">
        <f t="shared" si="930"/>
        <v>1.7749362217430373</v>
      </c>
      <c r="CC247" s="9">
        <f t="shared" si="931"/>
        <v>2.6719925805320104</v>
      </c>
      <c r="CD247" s="9">
        <v>1</v>
      </c>
      <c r="CE247" s="9" t="e">
        <f>4*CC247*#REF!+60*CC247</f>
        <v>#REF!</v>
      </c>
      <c r="CG247" s="4" t="e">
        <f>V247/AR247</f>
        <v>#REF!</v>
      </c>
      <c r="CH247" s="4" t="e">
        <f>V247/AW247</f>
        <v>#REF!</v>
      </c>
      <c r="CI247" s="4" t="e">
        <f t="shared" ref="CI247:CI251" si="977">V247/AZ247</f>
        <v>#REF!</v>
      </c>
      <c r="CJ247" s="4" t="e">
        <f>V247/CE247</f>
        <v>#REF!</v>
      </c>
      <c r="CK247" s="4">
        <f t="shared" si="958"/>
        <v>1.1369631936734077</v>
      </c>
      <c r="CL247" s="4">
        <f t="shared" si="959"/>
        <v>1.162098744070923</v>
      </c>
      <c r="CM247" s="4">
        <f t="shared" ref="CM247:CM310" si="978">V247/FU247</f>
        <v>1.6574714449565529</v>
      </c>
      <c r="CO247" s="4" t="e">
        <f t="shared" si="892"/>
        <v>#REF!</v>
      </c>
      <c r="CP247" s="4" t="e">
        <f t="shared" si="893"/>
        <v>#REF!</v>
      </c>
      <c r="CQ247" s="4" t="e">
        <f t="shared" si="894"/>
        <v>#REF!</v>
      </c>
      <c r="CR247" s="4">
        <f t="shared" ref="CR247" si="979">CM247</f>
        <v>1.6574714449565529</v>
      </c>
      <c r="CS247" s="4">
        <f t="shared" si="896"/>
        <v>1.1369631936734077</v>
      </c>
      <c r="CT247" s="4">
        <f t="shared" si="897"/>
        <v>1.162098744070923</v>
      </c>
      <c r="DB247" s="4">
        <f t="shared" si="888"/>
        <v>0</v>
      </c>
      <c r="DC247" s="4" t="e">
        <f>#REF!</f>
        <v>#REF!</v>
      </c>
      <c r="DF247" s="4">
        <f t="shared" si="932"/>
        <v>1.4678935551750747E-5</v>
      </c>
      <c r="DG247" s="4">
        <f t="shared" si="933"/>
        <v>6.8950968880590437</v>
      </c>
      <c r="DH247" s="4">
        <f t="shared" si="934"/>
        <v>0.25428930524237559</v>
      </c>
      <c r="DI247" s="4">
        <f t="shared" si="935"/>
        <v>3.9872329649554095</v>
      </c>
      <c r="DJ247" s="4">
        <f t="shared" si="936"/>
        <v>5.6333472301811316</v>
      </c>
      <c r="DK247" s="4">
        <f t="shared" si="937"/>
        <v>6.7091720926999621</v>
      </c>
      <c r="DL247" s="38">
        <f t="shared" si="938"/>
        <v>374.92986097726396</v>
      </c>
      <c r="DM247" s="4" t="e">
        <f t="shared" si="939"/>
        <v>#REF!</v>
      </c>
      <c r="DN247" s="4">
        <f t="shared" si="940"/>
        <v>2.7385024953945072</v>
      </c>
      <c r="DO247" s="4">
        <f t="shared" si="976"/>
        <v>203.34410551890599</v>
      </c>
      <c r="DS247" s="4">
        <f t="shared" si="941"/>
        <v>0.85</v>
      </c>
      <c r="DT247" s="4">
        <f t="shared" si="942"/>
        <v>0.89881889763779532</v>
      </c>
      <c r="DU247" s="4">
        <f t="shared" si="943"/>
        <v>1</v>
      </c>
      <c r="DV247" s="4">
        <f t="shared" si="944"/>
        <v>0.89881889763779532</v>
      </c>
      <c r="DX247" s="4">
        <f t="shared" si="945"/>
        <v>366.82033632266007</v>
      </c>
      <c r="DY247" s="25">
        <f t="shared" si="851"/>
        <v>200.68650579147365</v>
      </c>
      <c r="EA247" s="4">
        <f t="shared" si="852"/>
        <v>0.76399606299212597</v>
      </c>
      <c r="EB247" s="4">
        <f t="shared" si="946"/>
        <v>6.8950968880590437</v>
      </c>
      <c r="EE247" s="4">
        <f t="shared" si="947"/>
        <v>69.557963383020478</v>
      </c>
      <c r="EF247" s="4">
        <f t="shared" si="948"/>
        <v>2.7385024953945072</v>
      </c>
      <c r="EG247" s="4">
        <f t="shared" si="949"/>
        <v>8.0238994431188704E-2</v>
      </c>
      <c r="EJ247" s="4">
        <f t="shared" si="853"/>
        <v>8.0238994431188704E-2</v>
      </c>
      <c r="EK247" s="4">
        <f t="shared" si="950"/>
        <v>0.25386494378501001</v>
      </c>
      <c r="EL247" s="4">
        <f t="shared" si="889"/>
        <v>3.9845700517843952</v>
      </c>
      <c r="EM247" s="4">
        <f t="shared" si="854"/>
        <v>5.6324102518589836</v>
      </c>
      <c r="EN247" s="4" t="e">
        <f t="shared" si="863"/>
        <v>#REF!</v>
      </c>
      <c r="EO247" s="4" t="e">
        <f t="shared" si="864"/>
        <v>#REF!</v>
      </c>
      <c r="EP247" s="4" t="e">
        <f t="shared" si="951"/>
        <v>#REF!</v>
      </c>
      <c r="EQ247" s="4" t="e">
        <f t="shared" si="855"/>
        <v>#REF!</v>
      </c>
      <c r="ER247" s="4" t="e">
        <f t="shared" si="952"/>
        <v>#REF!</v>
      </c>
      <c r="FA247" s="23" t="e">
        <f t="shared" ref="FA247:FB262" si="980">IF(CG247&lt;0.6,0.6,IF(CG247&lt;0.8,0.8,IF(CG247&lt;1,1,IF(CG247&lt;1.2,1.2,IF(CG247&lt;1.4,1.4,IF(CG247&lt;1.6,1.6,IF(CG247&lt;1.8,1.8,IF(CG247&lt;2,2,2.2))))))))</f>
        <v>#REF!</v>
      </c>
      <c r="FB247" s="23" t="e">
        <f t="shared" si="980"/>
        <v>#REF!</v>
      </c>
      <c r="FC247" s="23">
        <f t="shared" ref="FC247:FC310" si="981">IF(CM247&lt;0.6,0.6,IF(CM247&lt;0.8,0.8,IF(CM247&lt;1,1,IF(CM247&lt;1.2,1.2,IF(CM247&lt;1.4,1.4,IF(CM247&lt;1.6,1.6,IF(CM247&lt;1.8,1.8,IF(CM247&lt;2,2,2.2))))))))</f>
        <v>1.8</v>
      </c>
      <c r="FD247" s="23" t="e">
        <f t="shared" ref="FD247:FF262" si="982">IF(CJ247&lt;0.6,0.6,IF(CJ247&lt;0.8,0.8,IF(CJ247&lt;1,1,IF(CJ247&lt;1.2,1.2,IF(CJ247&lt;1.4,1.4,IF(CJ247&lt;1.6,1.6,IF(CJ247&lt;1.8,1.8,IF(CJ247&lt;2,2,2.2))))))))</f>
        <v>#REF!</v>
      </c>
      <c r="FE247" s="23">
        <f t="shared" si="982"/>
        <v>1.2</v>
      </c>
      <c r="FF247" s="23">
        <f t="shared" si="982"/>
        <v>1.2</v>
      </c>
      <c r="FG247" s="23">
        <f t="shared" si="968"/>
        <v>0</v>
      </c>
      <c r="FH247" s="23"/>
      <c r="FR247" s="4">
        <f t="shared" si="842"/>
        <v>1</v>
      </c>
      <c r="FS247" s="4">
        <f t="shared" si="843"/>
        <v>0.74803149606299213</v>
      </c>
      <c r="FT247" s="4">
        <f t="shared" si="844"/>
        <v>0</v>
      </c>
      <c r="FU247" s="4">
        <f t="shared" si="845"/>
        <v>257.18781064817131</v>
      </c>
    </row>
    <row r="248" spans="1:177" ht="12" customHeight="1" x14ac:dyDescent="0.3">
      <c r="A248" s="4">
        <v>5</v>
      </c>
      <c r="B248" s="24" t="s">
        <v>360</v>
      </c>
      <c r="C248" s="7" t="s">
        <v>361</v>
      </c>
      <c r="D248" s="7">
        <v>506</v>
      </c>
      <c r="E248" s="7">
        <v>190</v>
      </c>
      <c r="F248" s="7">
        <v>27.1</v>
      </c>
      <c r="G248" s="7">
        <v>19.100000000000001</v>
      </c>
      <c r="H248" s="7">
        <v>240</v>
      </c>
      <c r="I248" s="7">
        <f>63-G248/2</f>
        <v>53.45</v>
      </c>
      <c r="J248" s="7" t="e">
        <f>400-G248-#REF!</f>
        <v>#REF!</v>
      </c>
      <c r="K248" s="7">
        <f>114-G248</f>
        <v>94.9</v>
      </c>
      <c r="L248" s="7">
        <v>2</v>
      </c>
      <c r="M248" s="7"/>
      <c r="N248" s="7">
        <f t="shared" si="905"/>
        <v>2.9842931937172774</v>
      </c>
      <c r="O248" s="7">
        <f t="shared" si="906"/>
        <v>3.2984293193717278</v>
      </c>
      <c r="P248" s="7">
        <f>32^2/(PI()/4*G248^2)-1</f>
        <v>2.5739077706444626</v>
      </c>
      <c r="Q248" s="7">
        <f>32^2/(PI()/4*G248^2)-1</f>
        <v>2.5739077706444626</v>
      </c>
      <c r="R248" s="7">
        <f t="shared" si="907"/>
        <v>3.5739077706444626</v>
      </c>
      <c r="S248" s="7">
        <f t="shared" si="908"/>
        <v>36.108133347056402</v>
      </c>
      <c r="T248" s="7"/>
      <c r="U248" s="7"/>
      <c r="V248" s="7">
        <f>290/(PI()/4*G248^2)*1000/L248</f>
        <v>506.0709245541475</v>
      </c>
      <c r="W248" s="7"/>
      <c r="X248" s="4" t="e">
        <f t="shared" si="910"/>
        <v>#REF!</v>
      </c>
      <c r="Y248" s="7">
        <v>9.5</v>
      </c>
      <c r="Z248" s="10">
        <v>3</v>
      </c>
      <c r="AA248" s="7">
        <v>57</v>
      </c>
      <c r="AB248" s="7">
        <v>4</v>
      </c>
      <c r="AC248" s="7">
        <f t="shared" ref="AC248:AC251" si="983">Z248</f>
        <v>3</v>
      </c>
      <c r="AD248" s="7"/>
      <c r="AE248" s="4">
        <f t="shared" si="912"/>
        <v>190</v>
      </c>
      <c r="AF248" s="4">
        <f t="shared" si="913"/>
        <v>0.42105263157894735</v>
      </c>
      <c r="AG248" s="4">
        <f t="shared" si="914"/>
        <v>237.91862175035638</v>
      </c>
      <c r="AH248" s="4">
        <f t="shared" si="915"/>
        <v>0.76631578947368417</v>
      </c>
      <c r="AI248" s="4">
        <v>1.25</v>
      </c>
      <c r="AJ248" s="4">
        <f t="shared" si="857"/>
        <v>2.5</v>
      </c>
      <c r="AK248" s="38">
        <f>AF248*AH248*AI248*AJ248*AG248</f>
        <v>239.89578481199368</v>
      </c>
      <c r="AL248" s="38">
        <f t="shared" si="953"/>
        <v>239.89578481199368</v>
      </c>
      <c r="AM248" s="38">
        <f t="shared" si="916"/>
        <v>2.7066625581997639</v>
      </c>
      <c r="AN248" s="38">
        <f t="shared" si="858"/>
        <v>239.89578481199356</v>
      </c>
      <c r="AO248" s="38">
        <f t="shared" si="840"/>
        <v>1.0000000000000004</v>
      </c>
      <c r="AP248" s="38">
        <f t="shared" si="859"/>
        <v>1.1272655573426391</v>
      </c>
      <c r="AQ248" s="4">
        <f t="shared" si="860"/>
        <v>0</v>
      </c>
      <c r="AR248" s="4" t="e">
        <f>#REF!/G248*F248^0.5/0.19</f>
        <v>#REF!</v>
      </c>
      <c r="AS248" s="4">
        <f t="shared" si="917"/>
        <v>1.0421052631578949</v>
      </c>
      <c r="AT248" s="38">
        <f t="shared" si="918"/>
        <v>270.42625557024172</v>
      </c>
      <c r="AU248" s="4">
        <f t="shared" si="919"/>
        <v>0.63965291210977526</v>
      </c>
      <c r="AV248" s="4" t="e">
        <f>AU248*D248*#REF!/(D248*G248/2.75/F248^0.5)</f>
        <v>#REF!</v>
      </c>
      <c r="AW248" s="4" t="e">
        <f>AT248+AV248</f>
        <v>#REF!</v>
      </c>
      <c r="AY248" s="4">
        <f t="shared" si="920"/>
        <v>1.5</v>
      </c>
      <c r="AZ248" s="4" t="e">
        <f>(3*#REF!+30)*AY248*F248^0.5</f>
        <v>#REF!</v>
      </c>
      <c r="BB248" s="4">
        <f t="shared" si="921"/>
        <v>259.37185006794141</v>
      </c>
      <c r="BC248" s="4">
        <f t="shared" si="922"/>
        <v>0</v>
      </c>
      <c r="BD248" s="4">
        <f t="shared" ref="BD248:BD251" si="984">BC248/BB248</f>
        <v>0</v>
      </c>
      <c r="BL248" s="4">
        <f t="shared" si="923"/>
        <v>47.45</v>
      </c>
      <c r="BP248" s="9"/>
      <c r="BR248" s="9"/>
      <c r="BS248" s="9"/>
      <c r="BT248" s="9" t="e">
        <f t="shared" si="924"/>
        <v>#REF!</v>
      </c>
      <c r="BU248" s="9">
        <f t="shared" si="925"/>
        <v>53.45</v>
      </c>
      <c r="BV248" s="9" t="e">
        <f t="shared" si="926"/>
        <v>#REF!</v>
      </c>
      <c r="BW248" s="9">
        <v>20</v>
      </c>
      <c r="BX248" s="9">
        <f t="shared" si="927"/>
        <v>0.05</v>
      </c>
      <c r="BY248" s="9">
        <f>MAX(0,BW248*(BX248-0.5/50))</f>
        <v>0.8</v>
      </c>
      <c r="BZ248" s="9">
        <f t="shared" si="928"/>
        <v>1</v>
      </c>
      <c r="CA248" s="9">
        <f t="shared" si="929"/>
        <v>0.99099999999999999</v>
      </c>
      <c r="CB248" s="9">
        <f t="shared" si="930"/>
        <v>1.8056199488679785</v>
      </c>
      <c r="CC248" s="9" t="e">
        <f t="shared" si="931"/>
        <v>#REF!</v>
      </c>
      <c r="CD248" s="9">
        <v>1</v>
      </c>
      <c r="CE248" s="9" t="e">
        <f>4*CC248*#REF!+60*CC248</f>
        <v>#REF!</v>
      </c>
      <c r="CG248" s="4" t="e">
        <f>V248/AR248</f>
        <v>#REF!</v>
      </c>
      <c r="CH248" s="4" t="e">
        <f>V248/AW248</f>
        <v>#REF!</v>
      </c>
      <c r="CI248" s="4" t="e">
        <f t="shared" si="977"/>
        <v>#REF!</v>
      </c>
      <c r="CJ248" s="4" t="e">
        <f>V248/CE248</f>
        <v>#REF!</v>
      </c>
      <c r="CK248" s="4" t="e">
        <f t="shared" si="958"/>
        <v>#REF!</v>
      </c>
      <c r="CL248" s="4" t="e">
        <f t="shared" si="959"/>
        <v>#REF!</v>
      </c>
      <c r="CM248" s="4">
        <f t="shared" si="978"/>
        <v>1.2269966870795557</v>
      </c>
      <c r="CU248" s="4" t="e">
        <f t="shared" si="969"/>
        <v>#REF!</v>
      </c>
      <c r="CV248" s="4" t="e">
        <f t="shared" si="970"/>
        <v>#REF!</v>
      </c>
      <c r="CW248" s="4" t="e">
        <f t="shared" si="971"/>
        <v>#REF!</v>
      </c>
      <c r="CX248" s="4">
        <f t="shared" ref="CX248:CX251" si="985">CM248</f>
        <v>1.2269966870795557</v>
      </c>
      <c r="CY248" s="4" t="e">
        <f t="shared" si="973"/>
        <v>#REF!</v>
      </c>
      <c r="CZ248" s="4" t="e">
        <f t="shared" si="974"/>
        <v>#REF!</v>
      </c>
      <c r="DB248" s="4">
        <f t="shared" si="888"/>
        <v>3</v>
      </c>
      <c r="DC248" s="4" t="e">
        <f>#REF!</f>
        <v>#REF!</v>
      </c>
      <c r="DF248" s="4">
        <f t="shared" si="932"/>
        <v>1.7394186230005775E-5</v>
      </c>
      <c r="DG248" s="4" t="e">
        <f t="shared" si="933"/>
        <v>#REF!</v>
      </c>
      <c r="DH248" s="4">
        <f t="shared" si="934"/>
        <v>0.48320593455916955</v>
      </c>
      <c r="DI248" s="4" t="e">
        <f t="shared" si="935"/>
        <v>#REF!</v>
      </c>
      <c r="DJ248" s="4" t="e">
        <f t="shared" si="936"/>
        <v>#REF!</v>
      </c>
      <c r="DK248" s="4" t="e">
        <f t="shared" si="937"/>
        <v>#REF!</v>
      </c>
      <c r="DL248" s="38" t="e">
        <f t="shared" si="938"/>
        <v>#REF!</v>
      </c>
      <c r="DM248" s="4" t="e">
        <f t="shared" si="939"/>
        <v>#REF!</v>
      </c>
      <c r="DN248" s="4">
        <f t="shared" si="940"/>
        <v>1.8904781857097592</v>
      </c>
      <c r="DO248" s="4">
        <f t="shared" si="976"/>
        <v>239.89578481199356</v>
      </c>
      <c r="DS248" s="4" t="e">
        <f t="shared" si="941"/>
        <v>#REF!</v>
      </c>
      <c r="DT248" s="4">
        <f t="shared" si="942"/>
        <v>0.85157068062827224</v>
      </c>
      <c r="DU248" s="4">
        <f t="shared" si="943"/>
        <v>0.7</v>
      </c>
      <c r="DV248" s="4">
        <f t="shared" si="944"/>
        <v>0.7</v>
      </c>
      <c r="DX248" s="4" t="e">
        <f t="shared" si="945"/>
        <v>#REF!</v>
      </c>
      <c r="DY248" s="25">
        <f t="shared" si="851"/>
        <v>237.4108387047049</v>
      </c>
      <c r="EA248" s="4" t="e">
        <f t="shared" si="852"/>
        <v>#REF!</v>
      </c>
      <c r="EB248" s="4" t="e">
        <f t="shared" si="946"/>
        <v>#REF!</v>
      </c>
      <c r="EE248" s="4">
        <f t="shared" si="947"/>
        <v>36.108133347056402</v>
      </c>
      <c r="EF248" s="4">
        <f t="shared" si="948"/>
        <v>1.8904781857097592</v>
      </c>
      <c r="EG248" s="4">
        <f t="shared" si="949"/>
        <v>0.1375473318448516</v>
      </c>
      <c r="EJ248" s="4">
        <f>EG248</f>
        <v>0.1375473318448516</v>
      </c>
      <c r="EK248" s="4">
        <f t="shared" si="950"/>
        <v>0.48239955391173428</v>
      </c>
      <c r="EL248" s="4" t="e">
        <f t="shared" si="889"/>
        <v>#REF!</v>
      </c>
      <c r="EM248" s="4" t="e">
        <f>EB248/1.4*(1-EK248^1.4)/(1-EK248)</f>
        <v>#REF!</v>
      </c>
      <c r="EN248" s="4" t="e">
        <f t="shared" si="863"/>
        <v>#REF!</v>
      </c>
      <c r="EO248" s="4" t="e">
        <f t="shared" si="864"/>
        <v>#REF!</v>
      </c>
      <c r="EP248" s="4" t="e">
        <f t="shared" si="951"/>
        <v>#REF!</v>
      </c>
      <c r="EQ248" s="4" t="e">
        <f>MAX(0.5*EB248, (1-2*EP248*(EE248*EL248+EN248*EM248))/(1/EB248+EP248*EO248))</f>
        <v>#REF!</v>
      </c>
      <c r="ER248" s="4" t="e">
        <f t="shared" si="952"/>
        <v>#REF!</v>
      </c>
      <c r="FA248" s="23" t="e">
        <f t="shared" si="980"/>
        <v>#REF!</v>
      </c>
      <c r="FB248" s="23" t="e">
        <f t="shared" si="980"/>
        <v>#REF!</v>
      </c>
      <c r="FC248" s="23">
        <f t="shared" si="981"/>
        <v>1.4</v>
      </c>
      <c r="FD248" s="23" t="e">
        <f t="shared" si="982"/>
        <v>#REF!</v>
      </c>
      <c r="FE248" s="23" t="e">
        <f t="shared" si="982"/>
        <v>#REF!</v>
      </c>
      <c r="FF248" s="23" t="e">
        <f t="shared" si="982"/>
        <v>#REF!</v>
      </c>
      <c r="FG248" s="23" t="e">
        <f t="shared" si="968"/>
        <v>#REF!</v>
      </c>
      <c r="FH248" s="23"/>
      <c r="FR248" s="4">
        <f t="shared" si="842"/>
        <v>1.25</v>
      </c>
      <c r="FS248" s="4">
        <f t="shared" si="843"/>
        <v>0.50622953362009215</v>
      </c>
      <c r="FT248" s="4">
        <f t="shared" si="844"/>
        <v>0.3</v>
      </c>
      <c r="FU248" s="4">
        <f t="shared" si="845"/>
        <v>412.44685489630422</v>
      </c>
    </row>
    <row r="249" spans="1:177" ht="12" customHeight="1" x14ac:dyDescent="0.3">
      <c r="B249" s="24" t="s">
        <v>309</v>
      </c>
      <c r="C249" s="7" t="s">
        <v>362</v>
      </c>
      <c r="D249" s="7">
        <v>506</v>
      </c>
      <c r="E249" s="7">
        <v>190</v>
      </c>
      <c r="F249" s="7">
        <v>27.1</v>
      </c>
      <c r="G249" s="7">
        <v>19.100000000000001</v>
      </c>
      <c r="H249" s="7">
        <v>240</v>
      </c>
      <c r="I249" s="7">
        <f>63-G249/2</f>
        <v>53.45</v>
      </c>
      <c r="J249" s="7" t="e">
        <f>400-G249-#REF!</f>
        <v>#REF!</v>
      </c>
      <c r="K249" s="7">
        <f>114-G249</f>
        <v>94.9</v>
      </c>
      <c r="L249" s="7">
        <v>2</v>
      </c>
      <c r="M249" s="7"/>
      <c r="N249" s="7">
        <f t="shared" si="905"/>
        <v>2.9842931937172774</v>
      </c>
      <c r="O249" s="7">
        <f t="shared" si="906"/>
        <v>3.2984293193717278</v>
      </c>
      <c r="P249" s="7">
        <f>32^2/(PI()/4*G249^2)-1</f>
        <v>2.5739077706444626</v>
      </c>
      <c r="Q249" s="7">
        <f>32^2/(PI()/4*G249^2)-1</f>
        <v>2.5739077706444626</v>
      </c>
      <c r="R249" s="7">
        <f t="shared" si="907"/>
        <v>3.5739077706444626</v>
      </c>
      <c r="S249" s="7">
        <f t="shared" si="908"/>
        <v>36.108133347056402</v>
      </c>
      <c r="T249" s="7"/>
      <c r="U249" s="7"/>
      <c r="V249" s="7">
        <f>302/(PI()/4*G249^2)*1000/L249</f>
        <v>527.0117903977673</v>
      </c>
      <c r="W249" s="7"/>
      <c r="X249" s="4" t="e">
        <f t="shared" si="910"/>
        <v>#REF!</v>
      </c>
      <c r="Y249" s="7">
        <v>9.5</v>
      </c>
      <c r="Z249" s="10">
        <v>3</v>
      </c>
      <c r="AA249" s="7">
        <v>57</v>
      </c>
      <c r="AB249" s="7">
        <v>4</v>
      </c>
      <c r="AC249" s="7">
        <f t="shared" si="983"/>
        <v>3</v>
      </c>
      <c r="AD249" s="7"/>
      <c r="AE249" s="4">
        <f t="shared" si="912"/>
        <v>190</v>
      </c>
      <c r="AF249" s="4">
        <f t="shared" si="913"/>
        <v>0.42105263157894735</v>
      </c>
      <c r="AG249" s="4">
        <f t="shared" si="914"/>
        <v>237.91862175035638</v>
      </c>
      <c r="AH249" s="4">
        <f t="shared" si="915"/>
        <v>0.76631578947368417</v>
      </c>
      <c r="AI249" s="4">
        <v>1.25</v>
      </c>
      <c r="AJ249" s="4">
        <f t="shared" si="857"/>
        <v>2.5</v>
      </c>
      <c r="AK249" s="38">
        <f>AF249*AH249*AI249*AJ249*AG249</f>
        <v>239.89578481199368</v>
      </c>
      <c r="AL249" s="38">
        <f t="shared" si="953"/>
        <v>239.89578481199368</v>
      </c>
      <c r="AM249" s="38">
        <f t="shared" si="916"/>
        <v>2.7066625581997639</v>
      </c>
      <c r="AN249" s="38">
        <f t="shared" si="858"/>
        <v>239.89578481199356</v>
      </c>
      <c r="AO249" s="38">
        <f t="shared" si="840"/>
        <v>1.0000000000000004</v>
      </c>
      <c r="AP249" s="38">
        <f t="shared" si="859"/>
        <v>1.1272655573426391</v>
      </c>
      <c r="AQ249" s="4">
        <f t="shared" si="860"/>
        <v>0</v>
      </c>
      <c r="AR249" s="4" t="e">
        <f>#REF!/G249*F249^0.5/0.19</f>
        <v>#REF!</v>
      </c>
      <c r="AS249" s="4">
        <f t="shared" si="917"/>
        <v>1.0421052631578949</v>
      </c>
      <c r="AT249" s="38">
        <f t="shared" si="918"/>
        <v>270.42625557024172</v>
      </c>
      <c r="AU249" s="4">
        <f t="shared" si="919"/>
        <v>0.63965291210977526</v>
      </c>
      <c r="AV249" s="4" t="e">
        <f>AU249*D249*#REF!/(D249*G249/2.75/F249^0.5)</f>
        <v>#REF!</v>
      </c>
      <c r="AW249" s="4" t="e">
        <f>AT249+AV249</f>
        <v>#REF!</v>
      </c>
      <c r="AY249" s="4">
        <f t="shared" si="920"/>
        <v>1.5</v>
      </c>
      <c r="AZ249" s="4" t="e">
        <f>(3*#REF!+30)*AY249*F249^0.5</f>
        <v>#REF!</v>
      </c>
      <c r="BB249" s="4">
        <f t="shared" si="921"/>
        <v>259.37185006794141</v>
      </c>
      <c r="BC249" s="4">
        <f t="shared" si="922"/>
        <v>0</v>
      </c>
      <c r="BD249" s="4">
        <f t="shared" si="984"/>
        <v>0</v>
      </c>
      <c r="BL249" s="4">
        <f t="shared" si="923"/>
        <v>47.45</v>
      </c>
      <c r="BP249" s="9"/>
      <c r="BR249" s="9"/>
      <c r="BS249" s="9"/>
      <c r="BT249" s="9" t="e">
        <f t="shared" si="924"/>
        <v>#REF!</v>
      </c>
      <c r="BU249" s="9">
        <f t="shared" si="925"/>
        <v>53.45</v>
      </c>
      <c r="BV249" s="9" t="e">
        <f t="shared" si="926"/>
        <v>#REF!</v>
      </c>
      <c r="BW249" s="9">
        <v>20</v>
      </c>
      <c r="BX249" s="9">
        <f t="shared" si="927"/>
        <v>0.05</v>
      </c>
      <c r="BY249" s="9">
        <f>MAX(0,BW249*(BX249-0.5/50))</f>
        <v>0.8</v>
      </c>
      <c r="BZ249" s="9">
        <f t="shared" si="928"/>
        <v>1</v>
      </c>
      <c r="CA249" s="9">
        <f t="shared" si="929"/>
        <v>0.99099999999999999</v>
      </c>
      <c r="CB249" s="9">
        <f t="shared" si="930"/>
        <v>1.8056199488679785</v>
      </c>
      <c r="CC249" s="9" t="e">
        <f t="shared" si="931"/>
        <v>#REF!</v>
      </c>
      <c r="CD249" s="9">
        <v>1</v>
      </c>
      <c r="CE249" s="9" t="e">
        <f>4*CC249*#REF!+60*CC249</f>
        <v>#REF!</v>
      </c>
      <c r="CG249" s="4" t="e">
        <f>V249/AR249</f>
        <v>#REF!</v>
      </c>
      <c r="CH249" s="4" t="e">
        <f>V249/AW249</f>
        <v>#REF!</v>
      </c>
      <c r="CI249" s="4" t="e">
        <f t="shared" si="977"/>
        <v>#REF!</v>
      </c>
      <c r="CJ249" s="4" t="e">
        <f>V249/CE249</f>
        <v>#REF!</v>
      </c>
      <c r="CK249" s="4" t="e">
        <f t="shared" si="958"/>
        <v>#REF!</v>
      </c>
      <c r="CL249" s="4" t="e">
        <f t="shared" si="959"/>
        <v>#REF!</v>
      </c>
      <c r="CM249" s="4">
        <f t="shared" si="978"/>
        <v>1.2777689637862957</v>
      </c>
      <c r="CU249" s="4" t="e">
        <f t="shared" si="969"/>
        <v>#REF!</v>
      </c>
      <c r="CV249" s="4" t="e">
        <f t="shared" si="970"/>
        <v>#REF!</v>
      </c>
      <c r="CW249" s="4" t="e">
        <f t="shared" si="971"/>
        <v>#REF!</v>
      </c>
      <c r="CX249" s="4">
        <f t="shared" si="985"/>
        <v>1.2777689637862957</v>
      </c>
      <c r="CY249" s="4" t="e">
        <f t="shared" si="973"/>
        <v>#REF!</v>
      </c>
      <c r="CZ249" s="4" t="e">
        <f t="shared" si="974"/>
        <v>#REF!</v>
      </c>
      <c r="DB249" s="4">
        <f t="shared" si="888"/>
        <v>3</v>
      </c>
      <c r="DC249" s="4" t="e">
        <f>#REF!</f>
        <v>#REF!</v>
      </c>
      <c r="DF249" s="4">
        <f t="shared" si="932"/>
        <v>1.7394186230005775E-5</v>
      </c>
      <c r="DG249" s="4" t="e">
        <f t="shared" si="933"/>
        <v>#REF!</v>
      </c>
      <c r="DH249" s="4">
        <f t="shared" si="934"/>
        <v>0.48320593455916955</v>
      </c>
      <c r="DI249" s="4" t="e">
        <f t="shared" si="935"/>
        <v>#REF!</v>
      </c>
      <c r="DJ249" s="4" t="e">
        <f t="shared" si="936"/>
        <v>#REF!</v>
      </c>
      <c r="DK249" s="4" t="e">
        <f t="shared" si="937"/>
        <v>#REF!</v>
      </c>
      <c r="DL249" s="38" t="e">
        <f t="shared" si="938"/>
        <v>#REF!</v>
      </c>
      <c r="DM249" s="4" t="e">
        <f t="shared" si="939"/>
        <v>#REF!</v>
      </c>
      <c r="DN249" s="4">
        <f t="shared" si="940"/>
        <v>1.8904781857097592</v>
      </c>
      <c r="DO249" s="4">
        <f t="shared" si="976"/>
        <v>239.89578481199356</v>
      </c>
      <c r="DS249" s="4" t="e">
        <f t="shared" si="941"/>
        <v>#REF!</v>
      </c>
      <c r="DT249" s="4">
        <f t="shared" si="942"/>
        <v>0.85157068062827224</v>
      </c>
      <c r="DU249" s="4">
        <f t="shared" si="943"/>
        <v>0.7</v>
      </c>
      <c r="DV249" s="4">
        <f t="shared" si="944"/>
        <v>0.7</v>
      </c>
      <c r="DX249" s="4" t="e">
        <f t="shared" si="945"/>
        <v>#REF!</v>
      </c>
      <c r="DY249" s="25">
        <f t="shared" si="851"/>
        <v>237.4108387047049</v>
      </c>
      <c r="EA249" s="4" t="e">
        <f t="shared" si="852"/>
        <v>#REF!</v>
      </c>
      <c r="EB249" s="4" t="e">
        <f t="shared" si="946"/>
        <v>#REF!</v>
      </c>
      <c r="EE249" s="4">
        <f t="shared" si="947"/>
        <v>36.108133347056402</v>
      </c>
      <c r="EF249" s="4">
        <f t="shared" si="948"/>
        <v>1.8904781857097592</v>
      </c>
      <c r="EG249" s="4">
        <f t="shared" si="949"/>
        <v>0.1375473318448516</v>
      </c>
      <c r="EJ249" s="4">
        <f>EG249</f>
        <v>0.1375473318448516</v>
      </c>
      <c r="EK249" s="4">
        <f t="shared" si="950"/>
        <v>0.48239955391173428</v>
      </c>
      <c r="EL249" s="4" t="e">
        <f t="shared" si="889"/>
        <v>#REF!</v>
      </c>
      <c r="EM249" s="4" t="e">
        <f>EB249/1.4*(1-EK249^1.4)/(1-EK249)</f>
        <v>#REF!</v>
      </c>
      <c r="EN249" s="4" t="e">
        <f t="shared" si="863"/>
        <v>#REF!</v>
      </c>
      <c r="EO249" s="4" t="e">
        <f t="shared" si="864"/>
        <v>#REF!</v>
      </c>
      <c r="EP249" s="4" t="e">
        <f t="shared" si="951"/>
        <v>#REF!</v>
      </c>
      <c r="EQ249" s="4" t="e">
        <f>MAX(0.5*EB249, (1-2*EP249*(EE249*EL249+EN249*EM249))/(1/EB249+EP249*EO249))</f>
        <v>#REF!</v>
      </c>
      <c r="ER249" s="4" t="e">
        <f t="shared" si="952"/>
        <v>#REF!</v>
      </c>
      <c r="FA249" s="23" t="e">
        <f t="shared" si="980"/>
        <v>#REF!</v>
      </c>
      <c r="FB249" s="23" t="e">
        <f t="shared" si="980"/>
        <v>#REF!</v>
      </c>
      <c r="FC249" s="23">
        <f t="shared" si="981"/>
        <v>1.4</v>
      </c>
      <c r="FD249" s="23" t="e">
        <f t="shared" si="982"/>
        <v>#REF!</v>
      </c>
      <c r="FE249" s="23" t="e">
        <f t="shared" si="982"/>
        <v>#REF!</v>
      </c>
      <c r="FF249" s="23" t="e">
        <f t="shared" si="982"/>
        <v>#REF!</v>
      </c>
      <c r="FG249" s="23" t="e">
        <f t="shared" si="968"/>
        <v>#REF!</v>
      </c>
      <c r="FH249" s="23"/>
      <c r="FR249" s="4">
        <f t="shared" si="842"/>
        <v>1.25</v>
      </c>
      <c r="FS249" s="4">
        <f t="shared" si="843"/>
        <v>0.50622953362009215</v>
      </c>
      <c r="FT249" s="4">
        <f t="shared" si="844"/>
        <v>0.3</v>
      </c>
      <c r="FU249" s="4">
        <f t="shared" si="845"/>
        <v>412.44685489630422</v>
      </c>
    </row>
    <row r="250" spans="1:177" ht="12" customHeight="1" x14ac:dyDescent="0.3">
      <c r="B250" s="24"/>
      <c r="C250" s="7" t="s">
        <v>363</v>
      </c>
      <c r="D250" s="7">
        <v>506</v>
      </c>
      <c r="E250" s="7">
        <v>190</v>
      </c>
      <c r="F250" s="7">
        <v>27.1</v>
      </c>
      <c r="G250" s="7">
        <v>19.100000000000001</v>
      </c>
      <c r="H250" s="7">
        <v>240</v>
      </c>
      <c r="I250" s="7">
        <f>63-G250/2</f>
        <v>53.45</v>
      </c>
      <c r="J250" s="7" t="e">
        <f>400-G250-#REF!</f>
        <v>#REF!</v>
      </c>
      <c r="K250" s="7">
        <f>114-G250</f>
        <v>94.9</v>
      </c>
      <c r="L250" s="7">
        <v>2</v>
      </c>
      <c r="M250" s="7"/>
      <c r="N250" s="7">
        <f t="shared" si="905"/>
        <v>2.9842931937172774</v>
      </c>
      <c r="O250" s="7">
        <f t="shared" si="906"/>
        <v>3.2984293193717278</v>
      </c>
      <c r="P250" s="7">
        <f>32^2/(PI()/4*G250^2)-1</f>
        <v>2.5739077706444626</v>
      </c>
      <c r="Q250" s="7">
        <f>32^2/(PI()/4*G250^2)-1</f>
        <v>2.5739077706444626</v>
      </c>
      <c r="R250" s="7">
        <f t="shared" si="907"/>
        <v>3.5739077706444626</v>
      </c>
      <c r="S250" s="7">
        <f t="shared" si="908"/>
        <v>36.108133347056402</v>
      </c>
      <c r="T250" s="7"/>
      <c r="U250" s="7"/>
      <c r="V250" s="7">
        <f>284/(PI()/4*G250^2)*1000/L250</f>
        <v>495.60049163233754</v>
      </c>
      <c r="W250" s="7"/>
      <c r="X250" s="4" t="e">
        <f t="shared" si="910"/>
        <v>#REF!</v>
      </c>
      <c r="Y250" s="7">
        <v>9.5</v>
      </c>
      <c r="Z250" s="10">
        <v>2</v>
      </c>
      <c r="AA250" s="7">
        <v>114</v>
      </c>
      <c r="AB250" s="7">
        <v>2</v>
      </c>
      <c r="AC250" s="7">
        <f t="shared" si="983"/>
        <v>2</v>
      </c>
      <c r="AD250" s="7"/>
      <c r="AE250" s="4">
        <f t="shared" si="912"/>
        <v>190</v>
      </c>
      <c r="AF250" s="4">
        <f t="shared" si="913"/>
        <v>0.42105263157894735</v>
      </c>
      <c r="AG250" s="4">
        <f t="shared" si="914"/>
        <v>237.91862175035638</v>
      </c>
      <c r="AH250" s="4">
        <f t="shared" si="915"/>
        <v>0.76631578947368417</v>
      </c>
      <c r="AI250" s="4">
        <v>1.25</v>
      </c>
      <c r="AJ250" s="4">
        <f t="shared" si="857"/>
        <v>2.5</v>
      </c>
      <c r="AK250" s="38">
        <f>AF250*AH250*AI250*AJ250*AG250</f>
        <v>239.89578481199368</v>
      </c>
      <c r="AL250" s="38">
        <f t="shared" si="953"/>
        <v>239.89578481199368</v>
      </c>
      <c r="AM250" s="38">
        <f t="shared" si="916"/>
        <v>2.7066625581997639</v>
      </c>
      <c r="AN250" s="38">
        <f t="shared" si="858"/>
        <v>239.89578481199356</v>
      </c>
      <c r="AO250" s="38">
        <f t="shared" si="840"/>
        <v>1.0000000000000004</v>
      </c>
      <c r="AP250" s="38">
        <f t="shared" si="859"/>
        <v>1.1272655573426391</v>
      </c>
      <c r="AQ250" s="4">
        <f t="shared" si="860"/>
        <v>0</v>
      </c>
      <c r="AR250" s="4" t="e">
        <f>#REF!/G250*F250^0.5/0.19</f>
        <v>#REF!</v>
      </c>
      <c r="AS250" s="4">
        <f t="shared" si="917"/>
        <v>1.0421052631578949</v>
      </c>
      <c r="AT250" s="38">
        <f t="shared" si="918"/>
        <v>270.42625557024172</v>
      </c>
      <c r="AU250" s="4">
        <f t="shared" si="919"/>
        <v>0.63965291210977526</v>
      </c>
      <c r="AV250" s="4" t="e">
        <f>AU250*D250*#REF!/(D250*G250/2.75/F250^0.5)</f>
        <v>#REF!</v>
      </c>
      <c r="AW250" s="4" t="e">
        <f>AT250+AV250</f>
        <v>#REF!</v>
      </c>
      <c r="AY250" s="4">
        <f t="shared" si="920"/>
        <v>1.5</v>
      </c>
      <c r="AZ250" s="4" t="e">
        <f>(3*#REF!+30)*AY250*F250^0.5</f>
        <v>#REF!</v>
      </c>
      <c r="BB250" s="4">
        <f t="shared" si="921"/>
        <v>259.37185006794141</v>
      </c>
      <c r="BC250" s="4">
        <f t="shared" si="922"/>
        <v>0</v>
      </c>
      <c r="BD250" s="4">
        <f t="shared" si="984"/>
        <v>0</v>
      </c>
      <c r="BL250" s="4">
        <f t="shared" si="923"/>
        <v>47.45</v>
      </c>
      <c r="BP250" s="9"/>
      <c r="BR250" s="9"/>
      <c r="BS250" s="9"/>
      <c r="BT250" s="9" t="e">
        <f t="shared" si="924"/>
        <v>#REF!</v>
      </c>
      <c r="BU250" s="9">
        <f t="shared" si="925"/>
        <v>53.45</v>
      </c>
      <c r="BV250" s="9" t="e">
        <f t="shared" si="926"/>
        <v>#REF!</v>
      </c>
      <c r="BW250" s="9">
        <v>20</v>
      </c>
      <c r="BX250" s="9">
        <f t="shared" si="927"/>
        <v>0.05</v>
      </c>
      <c r="BY250" s="9">
        <f>MAX(0,BW250*(BX250-0.5/50))</f>
        <v>0.8</v>
      </c>
      <c r="BZ250" s="9">
        <f t="shared" si="928"/>
        <v>1</v>
      </c>
      <c r="CA250" s="9">
        <f t="shared" si="929"/>
        <v>0.99099999999999999</v>
      </c>
      <c r="CB250" s="9">
        <f t="shared" si="930"/>
        <v>1.8056199488679785</v>
      </c>
      <c r="CC250" s="9" t="e">
        <f t="shared" si="931"/>
        <v>#REF!</v>
      </c>
      <c r="CD250" s="9">
        <v>1</v>
      </c>
      <c r="CE250" s="9" t="e">
        <f>4*CC250*#REF!+60*CC250</f>
        <v>#REF!</v>
      </c>
      <c r="CG250" s="4" t="e">
        <f>V250/AR250</f>
        <v>#REF!</v>
      </c>
      <c r="CH250" s="4" t="e">
        <f>V250/AW250</f>
        <v>#REF!</v>
      </c>
      <c r="CI250" s="4" t="e">
        <f t="shared" si="977"/>
        <v>#REF!</v>
      </c>
      <c r="CJ250" s="4" t="e">
        <f>V250/CE250</f>
        <v>#REF!</v>
      </c>
      <c r="CK250" s="4" t="e">
        <f t="shared" si="958"/>
        <v>#REF!</v>
      </c>
      <c r="CL250" s="4" t="e">
        <f t="shared" si="959"/>
        <v>#REF!</v>
      </c>
      <c r="CM250" s="4">
        <f t="shared" si="978"/>
        <v>1.2016105487261854</v>
      </c>
      <c r="CU250" s="4" t="e">
        <f t="shared" si="969"/>
        <v>#REF!</v>
      </c>
      <c r="CV250" s="4" t="e">
        <f t="shared" si="970"/>
        <v>#REF!</v>
      </c>
      <c r="CW250" s="4" t="e">
        <f t="shared" si="971"/>
        <v>#REF!</v>
      </c>
      <c r="CX250" s="4">
        <f t="shared" si="985"/>
        <v>1.2016105487261854</v>
      </c>
      <c r="CY250" s="4" t="e">
        <f t="shared" si="973"/>
        <v>#REF!</v>
      </c>
      <c r="CZ250" s="4" t="e">
        <f t="shared" si="974"/>
        <v>#REF!</v>
      </c>
      <c r="DB250" s="4">
        <f t="shared" si="888"/>
        <v>2</v>
      </c>
      <c r="DC250" s="4" t="e">
        <f>#REF!</f>
        <v>#REF!</v>
      </c>
      <c r="DF250" s="4">
        <f t="shared" si="932"/>
        <v>1.7394186230005775E-5</v>
      </c>
      <c r="DG250" s="4" t="e">
        <f t="shared" si="933"/>
        <v>#REF!</v>
      </c>
      <c r="DH250" s="4">
        <f t="shared" si="934"/>
        <v>0.48320593455916955</v>
      </c>
      <c r="DI250" s="4" t="e">
        <f t="shared" si="935"/>
        <v>#REF!</v>
      </c>
      <c r="DJ250" s="4" t="e">
        <f t="shared" si="936"/>
        <v>#REF!</v>
      </c>
      <c r="DK250" s="4" t="e">
        <f t="shared" si="937"/>
        <v>#REF!</v>
      </c>
      <c r="DL250" s="38" t="e">
        <f t="shared" si="938"/>
        <v>#REF!</v>
      </c>
      <c r="DM250" s="4" t="e">
        <f t="shared" si="939"/>
        <v>#REF!</v>
      </c>
      <c r="DN250" s="4">
        <f t="shared" si="940"/>
        <v>1.8904781857097592</v>
      </c>
      <c r="DO250" s="4">
        <f t="shared" si="976"/>
        <v>239.89578481199356</v>
      </c>
      <c r="DS250" s="4" t="e">
        <f t="shared" si="941"/>
        <v>#REF!</v>
      </c>
      <c r="DT250" s="4">
        <f t="shared" si="942"/>
        <v>0.85157068062827224</v>
      </c>
      <c r="DU250" s="4">
        <f t="shared" si="943"/>
        <v>0.77813313779775783</v>
      </c>
      <c r="DV250" s="4">
        <f t="shared" si="944"/>
        <v>0.7</v>
      </c>
      <c r="DX250" s="4" t="e">
        <f t="shared" si="945"/>
        <v>#REF!</v>
      </c>
      <c r="DY250" s="25">
        <f t="shared" si="851"/>
        <v>237.4108387047049</v>
      </c>
      <c r="EA250" s="4" t="e">
        <f t="shared" si="852"/>
        <v>#REF!</v>
      </c>
      <c r="EB250" s="4" t="e">
        <f t="shared" si="946"/>
        <v>#REF!</v>
      </c>
      <c r="EE250" s="4">
        <f t="shared" si="947"/>
        <v>36.108133347056402</v>
      </c>
      <c r="EF250" s="4">
        <f t="shared" si="948"/>
        <v>1.8904781857097592</v>
      </c>
      <c r="EG250" s="4">
        <f t="shared" si="949"/>
        <v>0.1375473318448516</v>
      </c>
      <c r="EJ250" s="4">
        <f>EG250</f>
        <v>0.1375473318448516</v>
      </c>
      <c r="EK250" s="4">
        <f t="shared" si="950"/>
        <v>0.48239955391173428</v>
      </c>
      <c r="EL250" s="4" t="e">
        <f t="shared" si="889"/>
        <v>#REF!</v>
      </c>
      <c r="EM250" s="4" t="e">
        <f>EB250/1.4*(1-EK250^1.4)/(1-EK250)</f>
        <v>#REF!</v>
      </c>
      <c r="EN250" s="4" t="e">
        <f t="shared" si="863"/>
        <v>#REF!</v>
      </c>
      <c r="EO250" s="4" t="e">
        <f t="shared" si="864"/>
        <v>#REF!</v>
      </c>
      <c r="EP250" s="4" t="e">
        <f t="shared" si="951"/>
        <v>#REF!</v>
      </c>
      <c r="EQ250" s="4" t="e">
        <f>MAX(0.5*EB250, (1-2*EP250*(EE250*EL250+EN250*EM250))/(1/EB250+EP250*EO250))</f>
        <v>#REF!</v>
      </c>
      <c r="ER250" s="4" t="e">
        <f t="shared" si="952"/>
        <v>#REF!</v>
      </c>
      <c r="FA250" s="23" t="e">
        <f t="shared" si="980"/>
        <v>#REF!</v>
      </c>
      <c r="FB250" s="23" t="e">
        <f t="shared" si="980"/>
        <v>#REF!</v>
      </c>
      <c r="FC250" s="23">
        <f t="shared" si="981"/>
        <v>1.4</v>
      </c>
      <c r="FD250" s="23" t="e">
        <f t="shared" si="982"/>
        <v>#REF!</v>
      </c>
      <c r="FE250" s="23" t="e">
        <f t="shared" si="982"/>
        <v>#REF!</v>
      </c>
      <c r="FF250" s="23" t="e">
        <f t="shared" si="982"/>
        <v>#REF!</v>
      </c>
      <c r="FG250" s="23" t="e">
        <f t="shared" si="968"/>
        <v>#REF!</v>
      </c>
      <c r="FH250" s="23"/>
      <c r="FR250" s="4">
        <f t="shared" si="842"/>
        <v>1.25</v>
      </c>
      <c r="FS250" s="4">
        <f t="shared" si="843"/>
        <v>0.50622953362009215</v>
      </c>
      <c r="FT250" s="4">
        <f t="shared" si="844"/>
        <v>0.3</v>
      </c>
      <c r="FU250" s="4">
        <f t="shared" si="845"/>
        <v>412.44685489630422</v>
      </c>
    </row>
    <row r="251" spans="1:177" ht="12" customHeight="1" x14ac:dyDescent="0.3">
      <c r="B251" s="24"/>
      <c r="C251" s="7" t="s">
        <v>364</v>
      </c>
      <c r="D251" s="7">
        <v>506</v>
      </c>
      <c r="E251" s="7">
        <v>190</v>
      </c>
      <c r="F251" s="7">
        <v>27.1</v>
      </c>
      <c r="G251" s="7">
        <v>19.100000000000001</v>
      </c>
      <c r="H251" s="7">
        <v>240</v>
      </c>
      <c r="I251" s="7">
        <f>63-G251/2</f>
        <v>53.45</v>
      </c>
      <c r="J251" s="7" t="e">
        <f>400-G251-#REF!</f>
        <v>#REF!</v>
      </c>
      <c r="K251" s="7">
        <f>114-G251</f>
        <v>94.9</v>
      </c>
      <c r="L251" s="7">
        <v>2</v>
      </c>
      <c r="M251" s="7"/>
      <c r="N251" s="7">
        <f t="shared" si="905"/>
        <v>2.9842931937172774</v>
      </c>
      <c r="O251" s="7">
        <f t="shared" si="906"/>
        <v>3.2984293193717278</v>
      </c>
      <c r="P251" s="7">
        <f>32^2/(PI()/4*G251^2)-1</f>
        <v>2.5739077706444626</v>
      </c>
      <c r="Q251" s="7">
        <f>32^2/(PI()/4*G251^2)-1</f>
        <v>2.5739077706444626</v>
      </c>
      <c r="R251" s="7">
        <f t="shared" si="907"/>
        <v>3.5739077706444626</v>
      </c>
      <c r="S251" s="7">
        <f t="shared" si="908"/>
        <v>36.108133347056402</v>
      </c>
      <c r="T251" s="7"/>
      <c r="U251" s="7"/>
      <c r="V251" s="7">
        <f>287/(PI()/4*G251^2)*1000/L251</f>
        <v>500.83570809324249</v>
      </c>
      <c r="W251" s="7"/>
      <c r="X251" s="4" t="e">
        <f t="shared" si="910"/>
        <v>#REF!</v>
      </c>
      <c r="Y251" s="7">
        <v>9.5</v>
      </c>
      <c r="Z251" s="10">
        <v>2</v>
      </c>
      <c r="AA251" s="7">
        <v>114</v>
      </c>
      <c r="AB251" s="7">
        <v>2</v>
      </c>
      <c r="AC251" s="7">
        <f t="shared" si="983"/>
        <v>2</v>
      </c>
      <c r="AD251" s="7"/>
      <c r="AE251" s="4">
        <f t="shared" si="912"/>
        <v>190</v>
      </c>
      <c r="AF251" s="4">
        <f t="shared" si="913"/>
        <v>0.42105263157894735</v>
      </c>
      <c r="AG251" s="4">
        <f t="shared" si="914"/>
        <v>237.91862175035638</v>
      </c>
      <c r="AH251" s="4">
        <f t="shared" si="915"/>
        <v>0.76631578947368417</v>
      </c>
      <c r="AI251" s="4">
        <v>1.25</v>
      </c>
      <c r="AJ251" s="4">
        <f t="shared" si="857"/>
        <v>2.5</v>
      </c>
      <c r="AK251" s="38">
        <f>AF251*AH251*AI251*AJ251*AG251</f>
        <v>239.89578481199368</v>
      </c>
      <c r="AL251" s="38">
        <f t="shared" si="953"/>
        <v>239.89578481199368</v>
      </c>
      <c r="AM251" s="38">
        <f t="shared" si="916"/>
        <v>2.7066625581997639</v>
      </c>
      <c r="AN251" s="38">
        <f t="shared" si="858"/>
        <v>239.89578481199356</v>
      </c>
      <c r="AO251" s="38">
        <f t="shared" si="840"/>
        <v>1.0000000000000004</v>
      </c>
      <c r="AP251" s="38">
        <f t="shared" si="859"/>
        <v>1.1272655573426391</v>
      </c>
      <c r="AQ251" s="4">
        <f t="shared" si="860"/>
        <v>0</v>
      </c>
      <c r="AR251" s="4" t="e">
        <f>#REF!/G251*F251^0.5/0.19</f>
        <v>#REF!</v>
      </c>
      <c r="AS251" s="4">
        <f t="shared" si="917"/>
        <v>1.0421052631578949</v>
      </c>
      <c r="AT251" s="38">
        <f t="shared" si="918"/>
        <v>270.42625557024172</v>
      </c>
      <c r="AU251" s="4">
        <f t="shared" si="919"/>
        <v>0.63965291210977526</v>
      </c>
      <c r="AV251" s="4" t="e">
        <f>AU251*D251*#REF!/(D251*G251/2.75/F251^0.5)</f>
        <v>#REF!</v>
      </c>
      <c r="AW251" s="4" t="e">
        <f>AT251+AV251</f>
        <v>#REF!</v>
      </c>
      <c r="AY251" s="4">
        <f t="shared" si="920"/>
        <v>1.5</v>
      </c>
      <c r="AZ251" s="4" t="e">
        <f>(3*#REF!+30)*AY251*F251^0.5</f>
        <v>#REF!</v>
      </c>
      <c r="BB251" s="4">
        <f t="shared" si="921"/>
        <v>259.37185006794141</v>
      </c>
      <c r="BC251" s="4">
        <f t="shared" si="922"/>
        <v>0</v>
      </c>
      <c r="BD251" s="4">
        <f t="shared" si="984"/>
        <v>0</v>
      </c>
      <c r="BL251" s="4">
        <f t="shared" si="923"/>
        <v>47.45</v>
      </c>
      <c r="BP251" s="9"/>
      <c r="BR251" s="9"/>
      <c r="BS251" s="9"/>
      <c r="BT251" s="9" t="e">
        <f t="shared" si="924"/>
        <v>#REF!</v>
      </c>
      <c r="BU251" s="9">
        <f t="shared" si="925"/>
        <v>53.45</v>
      </c>
      <c r="BV251" s="9" t="e">
        <f t="shared" si="926"/>
        <v>#REF!</v>
      </c>
      <c r="BW251" s="9">
        <v>20</v>
      </c>
      <c r="BX251" s="9">
        <f t="shared" si="927"/>
        <v>0.05</v>
      </c>
      <c r="BY251" s="9">
        <f>MAX(0,BW251*(BX251-0.5/50))</f>
        <v>0.8</v>
      </c>
      <c r="BZ251" s="9">
        <f t="shared" si="928"/>
        <v>1</v>
      </c>
      <c r="CA251" s="9">
        <f t="shared" si="929"/>
        <v>0.99099999999999999</v>
      </c>
      <c r="CB251" s="9">
        <f t="shared" si="930"/>
        <v>1.8056199488679785</v>
      </c>
      <c r="CC251" s="9" t="e">
        <f t="shared" si="931"/>
        <v>#REF!</v>
      </c>
      <c r="CD251" s="9">
        <v>1</v>
      </c>
      <c r="CE251" s="9" t="e">
        <f>4*CC251*#REF!+60*CC251</f>
        <v>#REF!</v>
      </c>
      <c r="CG251" s="4" t="e">
        <f>V251/AR251</f>
        <v>#REF!</v>
      </c>
      <c r="CH251" s="4" t="e">
        <f>V251/AW251</f>
        <v>#REF!</v>
      </c>
      <c r="CI251" s="4" t="e">
        <f t="shared" si="977"/>
        <v>#REF!</v>
      </c>
      <c r="CJ251" s="4" t="e">
        <f>V251/CE251</f>
        <v>#REF!</v>
      </c>
      <c r="CK251" s="4" t="e">
        <f t="shared" si="958"/>
        <v>#REF!</v>
      </c>
      <c r="CL251" s="4" t="e">
        <f t="shared" si="959"/>
        <v>#REF!</v>
      </c>
      <c r="CM251" s="4">
        <f t="shared" si="978"/>
        <v>1.2143036179028706</v>
      </c>
      <c r="CU251" s="4" t="e">
        <f t="shared" si="969"/>
        <v>#REF!</v>
      </c>
      <c r="CV251" s="4" t="e">
        <f t="shared" si="970"/>
        <v>#REF!</v>
      </c>
      <c r="CW251" s="4" t="e">
        <f t="shared" si="971"/>
        <v>#REF!</v>
      </c>
      <c r="CX251" s="4">
        <f t="shared" si="985"/>
        <v>1.2143036179028706</v>
      </c>
      <c r="CY251" s="4" t="e">
        <f t="shared" si="973"/>
        <v>#REF!</v>
      </c>
      <c r="CZ251" s="4" t="e">
        <f t="shared" si="974"/>
        <v>#REF!</v>
      </c>
      <c r="DB251" s="4">
        <f t="shared" si="888"/>
        <v>2</v>
      </c>
      <c r="DC251" s="4" t="e">
        <f>#REF!</f>
        <v>#REF!</v>
      </c>
      <c r="DF251" s="4">
        <f t="shared" si="932"/>
        <v>1.7394186230005775E-5</v>
      </c>
      <c r="DG251" s="4" t="e">
        <f t="shared" si="933"/>
        <v>#REF!</v>
      </c>
      <c r="DH251" s="4">
        <f t="shared" si="934"/>
        <v>0.48320593455916955</v>
      </c>
      <c r="DI251" s="4" t="e">
        <f t="shared" si="935"/>
        <v>#REF!</v>
      </c>
      <c r="DJ251" s="4" t="e">
        <f t="shared" si="936"/>
        <v>#REF!</v>
      </c>
      <c r="DK251" s="4" t="e">
        <f t="shared" si="937"/>
        <v>#REF!</v>
      </c>
      <c r="DL251" s="38" t="e">
        <f t="shared" si="938"/>
        <v>#REF!</v>
      </c>
      <c r="DM251" s="4" t="e">
        <f t="shared" si="939"/>
        <v>#REF!</v>
      </c>
      <c r="DN251" s="4">
        <f t="shared" si="940"/>
        <v>1.8904781857097592</v>
      </c>
      <c r="DO251" s="4">
        <f t="shared" si="976"/>
        <v>239.89578481199356</v>
      </c>
      <c r="DS251" s="4" t="e">
        <f t="shared" si="941"/>
        <v>#REF!</v>
      </c>
      <c r="DT251" s="4">
        <f t="shared" si="942"/>
        <v>0.85157068062827224</v>
      </c>
      <c r="DU251" s="4">
        <f t="shared" si="943"/>
        <v>0.77813313779775783</v>
      </c>
      <c r="DV251" s="4">
        <f t="shared" si="944"/>
        <v>0.7</v>
      </c>
      <c r="DX251" s="4" t="e">
        <f t="shared" si="945"/>
        <v>#REF!</v>
      </c>
      <c r="DY251" s="25">
        <f t="shared" si="851"/>
        <v>237.4108387047049</v>
      </c>
      <c r="EA251" s="4" t="e">
        <f t="shared" si="852"/>
        <v>#REF!</v>
      </c>
      <c r="EB251" s="4" t="e">
        <f t="shared" si="946"/>
        <v>#REF!</v>
      </c>
      <c r="EE251" s="4">
        <f t="shared" si="947"/>
        <v>36.108133347056402</v>
      </c>
      <c r="EF251" s="4">
        <f t="shared" si="948"/>
        <v>1.8904781857097592</v>
      </c>
      <c r="EG251" s="4">
        <f t="shared" si="949"/>
        <v>0.1375473318448516</v>
      </c>
      <c r="EJ251" s="4">
        <f>EG251</f>
        <v>0.1375473318448516</v>
      </c>
      <c r="EK251" s="4">
        <f t="shared" si="950"/>
        <v>0.48239955391173428</v>
      </c>
      <c r="EL251" s="4" t="e">
        <f t="shared" si="889"/>
        <v>#REF!</v>
      </c>
      <c r="EM251" s="4" t="e">
        <f>EB251/1.4*(1-EK251^1.4)/(1-EK251)</f>
        <v>#REF!</v>
      </c>
      <c r="EN251" s="4" t="e">
        <f t="shared" si="863"/>
        <v>#REF!</v>
      </c>
      <c r="EO251" s="4" t="e">
        <f t="shared" si="864"/>
        <v>#REF!</v>
      </c>
      <c r="EP251" s="4" t="e">
        <f t="shared" si="951"/>
        <v>#REF!</v>
      </c>
      <c r="EQ251" s="4" t="e">
        <f>MAX(0.5*EB251, (1-2*EP251*(EE251*EL251+EN251*EM251))/(1/EB251+EP251*EO251))</f>
        <v>#REF!</v>
      </c>
      <c r="ER251" s="4" t="e">
        <f t="shared" si="952"/>
        <v>#REF!</v>
      </c>
      <c r="FA251" s="23" t="e">
        <f t="shared" si="980"/>
        <v>#REF!</v>
      </c>
      <c r="FB251" s="23" t="e">
        <f t="shared" si="980"/>
        <v>#REF!</v>
      </c>
      <c r="FC251" s="23">
        <f t="shared" si="981"/>
        <v>1.4</v>
      </c>
      <c r="FD251" s="23" t="e">
        <f t="shared" si="982"/>
        <v>#REF!</v>
      </c>
      <c r="FE251" s="23" t="e">
        <f t="shared" si="982"/>
        <v>#REF!</v>
      </c>
      <c r="FF251" s="23" t="e">
        <f t="shared" si="982"/>
        <v>#REF!</v>
      </c>
      <c r="FG251" s="23" t="e">
        <f t="shared" si="968"/>
        <v>#REF!</v>
      </c>
      <c r="FH251" s="23"/>
      <c r="FR251" s="4">
        <f t="shared" si="842"/>
        <v>1.25</v>
      </c>
      <c r="FS251" s="4">
        <f t="shared" si="843"/>
        <v>0.50622953362009215</v>
      </c>
      <c r="FT251" s="4">
        <f t="shared" si="844"/>
        <v>0.3</v>
      </c>
      <c r="FU251" s="4">
        <f t="shared" si="845"/>
        <v>412.44685489630422</v>
      </c>
    </row>
    <row r="252" spans="1:177" ht="12" customHeight="1" x14ac:dyDescent="0.3">
      <c r="A252" s="4">
        <v>6</v>
      </c>
      <c r="B252" s="4" t="s">
        <v>381</v>
      </c>
      <c r="C252" s="4" t="s">
        <v>383</v>
      </c>
      <c r="D252" s="38">
        <f>120/0.145</f>
        <v>827.58620689655174</v>
      </c>
      <c r="E252" s="38">
        <f>15.75*25.4</f>
        <v>400.04999999999995</v>
      </c>
      <c r="F252" s="38">
        <f>4850/145</f>
        <v>33.448275862068968</v>
      </c>
      <c r="G252" s="38">
        <f>1*25.4</f>
        <v>25.4</v>
      </c>
      <c r="H252" s="38">
        <f>17.9*25.4</f>
        <v>454.65999999999991</v>
      </c>
      <c r="I252" s="38">
        <f>2.95*25.4</f>
        <v>74.930000000000007</v>
      </c>
      <c r="J252" s="39">
        <f>3.05*25.4</f>
        <v>77.469999999999985</v>
      </c>
      <c r="K252" s="7">
        <f t="shared" ref="K252:K315" si="986">(H252-L252*G252-2*I252)/(L252-1)</f>
        <v>253.99999999999989</v>
      </c>
      <c r="L252" s="38">
        <v>2</v>
      </c>
      <c r="M252" s="4">
        <f t="shared" ref="M252:M257" si="987">10.25*25.4</f>
        <v>260.34999999999997</v>
      </c>
      <c r="N252" s="7">
        <f t="shared" si="905"/>
        <v>3.4500000000000006</v>
      </c>
      <c r="O252" s="7">
        <f t="shared" si="906"/>
        <v>3.4500000000000006</v>
      </c>
      <c r="P252" s="38">
        <v>4</v>
      </c>
      <c r="Q252" s="4">
        <f>P252</f>
        <v>4</v>
      </c>
      <c r="R252" s="4">
        <f t="shared" si="907"/>
        <v>5</v>
      </c>
      <c r="S252" s="7">
        <f t="shared" si="908"/>
        <v>56.796126628494655</v>
      </c>
      <c r="V252" s="38">
        <f>101.8/0.145</f>
        <v>702.06896551724139</v>
      </c>
      <c r="X252" s="4">
        <f t="shared" si="910"/>
        <v>0.84833333333333338</v>
      </c>
      <c r="Y252" s="38"/>
      <c r="Z252" s="38"/>
      <c r="AA252" s="39">
        <v>1</v>
      </c>
      <c r="AB252" s="39"/>
      <c r="AC252" s="39"/>
      <c r="AE252" s="4">
        <f t="shared" si="912"/>
        <v>400.04999999999995</v>
      </c>
      <c r="AF252" s="4">
        <f t="shared" si="913"/>
        <v>0.37883597883597875</v>
      </c>
      <c r="AG252" s="4">
        <f t="shared" si="914"/>
        <v>456.63686520766981</v>
      </c>
      <c r="AH252" s="4">
        <f t="shared" si="915"/>
        <v>0.74380952380952381</v>
      </c>
      <c r="AI252" s="4">
        <v>1.25</v>
      </c>
      <c r="AJ252" s="4">
        <f t="shared" si="857"/>
        <v>2.5</v>
      </c>
      <c r="AK252" s="38">
        <f t="shared" ref="AK252:AK315" si="988">AF252*AH252*AI252*AJ252*AG252</f>
        <v>402.09988107311045</v>
      </c>
      <c r="AL252" s="38">
        <f t="shared" si="953"/>
        <v>402.09988107311045</v>
      </c>
      <c r="AM252" s="38">
        <f t="shared" si="916"/>
        <v>3.1143714702560636</v>
      </c>
      <c r="AN252" s="38">
        <f t="shared" si="858"/>
        <v>402.09988107311091</v>
      </c>
      <c r="AO252" s="38">
        <f t="shared" si="840"/>
        <v>0.99999999999999889</v>
      </c>
      <c r="AP252" s="38">
        <f t="shared" si="859"/>
        <v>1.1479391778597043</v>
      </c>
      <c r="AQ252" s="4">
        <f t="shared" si="860"/>
        <v>0</v>
      </c>
      <c r="AR252" s="4" t="e">
        <f>#REF!/G252*F252^0.5/0.19</f>
        <v>#REF!</v>
      </c>
      <c r="AS252" s="4">
        <f t="shared" si="917"/>
        <v>1</v>
      </c>
      <c r="AT252" s="38">
        <f t="shared" si="918"/>
        <v>461.58620689655186</v>
      </c>
      <c r="AU252" s="4">
        <f t="shared" si="919"/>
        <v>0.44000000000000006</v>
      </c>
      <c r="AV252" s="4" t="e">
        <f>AU252*D252*#REF!/(D252*G252/2.75/F252^0.5)</f>
        <v>#REF!</v>
      </c>
      <c r="AW252" s="4" t="e">
        <f t="shared" ref="AW252:AW270" si="989">AT252+AV252</f>
        <v>#REF!</v>
      </c>
      <c r="AY252" s="4">
        <f t="shared" si="920"/>
        <v>1.4875000000000003</v>
      </c>
      <c r="AZ252" s="4" t="e">
        <f>(3*#REF!+30)*AY252*F252^0.5</f>
        <v>#REF!</v>
      </c>
      <c r="BB252" s="4">
        <f t="shared" si="921"/>
        <v>442.7176207286019</v>
      </c>
      <c r="BC252" s="4">
        <f t="shared" si="922"/>
        <v>0</v>
      </c>
      <c r="BD252" s="4">
        <f t="shared" ref="BD252:BD270" si="990">BC252/BB252</f>
        <v>0</v>
      </c>
      <c r="BL252" s="4">
        <f t="shared" si="923"/>
        <v>74.930000000000007</v>
      </c>
      <c r="BT252" s="9">
        <f t="shared" si="924"/>
        <v>74.930000000000007</v>
      </c>
      <c r="BU252" s="9">
        <f t="shared" si="925"/>
        <v>126.99999999999994</v>
      </c>
      <c r="BV252" s="9">
        <f t="shared" si="926"/>
        <v>1.8590163364970096</v>
      </c>
      <c r="BW252" s="40">
        <f>IF(AA252&gt;1,20,0)</f>
        <v>0</v>
      </c>
      <c r="BX252" s="9">
        <f t="shared" si="927"/>
        <v>0</v>
      </c>
      <c r="BY252" s="9">
        <f t="shared" ref="BY252:BY270" si="991">MAX(0,BW252*(BX252-0.5/50))</f>
        <v>0</v>
      </c>
      <c r="BZ252" s="9">
        <f t="shared" si="928"/>
        <v>0.99524931562137331</v>
      </c>
      <c r="CA252" s="9">
        <f t="shared" si="929"/>
        <v>0.68</v>
      </c>
      <c r="CB252" s="9">
        <f t="shared" si="930"/>
        <v>1.3699215983187671</v>
      </c>
      <c r="CC252" s="9">
        <f t="shared" si="931"/>
        <v>2.5467066309946826</v>
      </c>
      <c r="CD252" s="40">
        <v>1</v>
      </c>
      <c r="CE252" s="9" t="e">
        <f>4*CC252*#REF!+60*CC252</f>
        <v>#REF!</v>
      </c>
      <c r="CG252" s="4" t="e">
        <f t="shared" ref="CG252:CG270" si="992">V252/AR252</f>
        <v>#REF!</v>
      </c>
      <c r="CH252" s="4" t="e">
        <f t="shared" ref="CH252:CH270" si="993">V252/AW252</f>
        <v>#REF!</v>
      </c>
      <c r="CI252" s="4" t="e">
        <f t="shared" ref="CI252:CI270" si="994">V252/AZ252</f>
        <v>#REF!</v>
      </c>
      <c r="CJ252" s="4" t="e">
        <f t="shared" ref="CJ252:CJ270" si="995">V252/CE252</f>
        <v>#REF!</v>
      </c>
      <c r="CK252" s="4">
        <f t="shared" ref="CK252:CK270" si="996">V252/DL252</f>
        <v>0.84833333333333338</v>
      </c>
      <c r="CL252" s="4">
        <f t="shared" ref="CL252:CL270" si="997">V252/DX252</f>
        <v>0.91851247644247092</v>
      </c>
      <c r="CM252" s="4">
        <f t="shared" si="978"/>
        <v>0.92942217759542134</v>
      </c>
      <c r="CN252" s="4">
        <f>Z252</f>
        <v>0</v>
      </c>
      <c r="CO252" s="4" t="e">
        <f t="shared" ref="CO252:CO253" si="998">CG252</f>
        <v>#REF!</v>
      </c>
      <c r="CP252" s="4" t="e">
        <f t="shared" ref="CP252:CP253" si="999">CH252</f>
        <v>#REF!</v>
      </c>
      <c r="CQ252" s="4" t="e">
        <f t="shared" ref="CQ252:CQ253" si="1000">CJ252</f>
        <v>#REF!</v>
      </c>
      <c r="CR252" s="4">
        <f t="shared" ref="CR252:CR253" si="1001">CM252</f>
        <v>0.92942217759542134</v>
      </c>
      <c r="CS252" s="4">
        <f t="shared" ref="CS252:CS253" si="1002">CK252</f>
        <v>0.84833333333333338</v>
      </c>
      <c r="CT252" s="4">
        <f t="shared" ref="CT252:CT253" si="1003">CL252</f>
        <v>0.91851247644247092</v>
      </c>
      <c r="DC252" s="4" t="e">
        <f>#REF!</f>
        <v>#REF!</v>
      </c>
      <c r="DF252" s="4">
        <f t="shared" si="932"/>
        <v>2.8815439209600622E-5</v>
      </c>
      <c r="DG252" s="4">
        <f t="shared" ref="DG252:DG270" si="1004">EB252</f>
        <v>7.7158084787289836</v>
      </c>
      <c r="DH252" s="4">
        <f t="shared" si="934"/>
        <v>0.66418002839985602</v>
      </c>
      <c r="DI252" s="4">
        <f t="shared" ref="DI252:DI270" si="1005">DG252*DH252^0.4</f>
        <v>6.5508214746578313</v>
      </c>
      <c r="DJ252" s="4">
        <f t="shared" ref="DJ252:DJ270" si="1006">MIN(DG252, DG252/1.4*(1-DH252^1.4)/(1-DH252))</f>
        <v>7.157073879314968</v>
      </c>
      <c r="DK252" s="4">
        <f t="shared" si="937"/>
        <v>6.628841658831333</v>
      </c>
      <c r="DL252" s="38">
        <f t="shared" si="938"/>
        <v>827.58620689655174</v>
      </c>
      <c r="DM252" s="4" t="e">
        <f t="shared" ref="DM252:DM270" si="1007">DL252/ER252</f>
        <v>#REF!</v>
      </c>
      <c r="DN252" s="4">
        <f t="shared" si="940"/>
        <v>2.2360679774997898</v>
      </c>
      <c r="DO252" s="4">
        <f t="shared" si="976"/>
        <v>402.09988107311091</v>
      </c>
      <c r="DS252" s="4">
        <f t="shared" si="941"/>
        <v>0.85</v>
      </c>
      <c r="DT252" s="4">
        <f t="shared" si="942"/>
        <v>0.80499999999999994</v>
      </c>
      <c r="DU252" s="4">
        <f t="shared" si="943"/>
        <v>1</v>
      </c>
      <c r="DV252" s="4">
        <f t="shared" ref="DV252:DV270" si="1008">IF(DT252*DU252&lt;0.7,0.7,DT252*DU252)</f>
        <v>0.80499999999999994</v>
      </c>
      <c r="DX252" s="4">
        <f t="shared" si="945"/>
        <v>764.35430494798948</v>
      </c>
      <c r="DY252" s="25">
        <f t="shared" si="851"/>
        <v>399.78235432804496</v>
      </c>
      <c r="EA252" s="4">
        <f t="shared" si="852"/>
        <v>0.68424999999999991</v>
      </c>
      <c r="EB252" s="4">
        <f t="shared" si="946"/>
        <v>7.7158084787289836</v>
      </c>
      <c r="EE252" s="4">
        <f t="shared" si="947"/>
        <v>56.796126628494655</v>
      </c>
      <c r="EF252" s="4">
        <f t="shared" ref="EF252:EF270" si="1009">R252^0.5</f>
        <v>2.2360679774997898</v>
      </c>
      <c r="EG252" s="4">
        <f t="shared" si="949"/>
        <v>0.21004287106042069</v>
      </c>
      <c r="EJ252" s="4">
        <f>EG252</f>
        <v>0.21004287106042069</v>
      </c>
      <c r="EK252" s="4">
        <f t="shared" si="950"/>
        <v>0.66307163571878669</v>
      </c>
      <c r="EL252" s="4">
        <f t="shared" ref="EL252:EL270" si="1010">EB252/1*EK252^0.4</f>
        <v>6.5464464434170813</v>
      </c>
      <c r="EM252" s="4">
        <f t="shared" ref="EM252:EM270" si="1011">EB252/1.4*(1-EK252^1.4)/(1-EK252)</f>
        <v>7.1550722967204541</v>
      </c>
      <c r="EN252" s="4" t="e">
        <f t="shared" ref="EN252:EN270" si="1012">MAX(0,DC252*EN$9-EE252)</f>
        <v>#REF!</v>
      </c>
      <c r="EO252" s="4" t="e">
        <f t="shared" ref="EO252:EO270" si="1013">MAX(0,DC252-EE252-EN252)</f>
        <v>#REF!</v>
      </c>
      <c r="EP252" s="4" t="e">
        <f t="shared" si="951"/>
        <v>#REF!</v>
      </c>
      <c r="EQ252" s="4" t="e">
        <f t="shared" ref="EQ252:EQ270" si="1014">MAX(0.5*EB252, (1-2*EP252*(EE252*EL252+EN252*EM252))/(1/EB252+EP252*EO252))</f>
        <v>#REF!</v>
      </c>
      <c r="ER252" s="4" t="e">
        <f t="shared" si="952"/>
        <v>#REF!</v>
      </c>
      <c r="FA252" s="23" t="e">
        <f t="shared" si="980"/>
        <v>#REF!</v>
      </c>
      <c r="FB252" s="23" t="e">
        <f t="shared" si="980"/>
        <v>#REF!</v>
      </c>
      <c r="FC252" s="23">
        <f t="shared" si="981"/>
        <v>1</v>
      </c>
      <c r="FD252" s="23" t="e">
        <f t="shared" si="982"/>
        <v>#REF!</v>
      </c>
      <c r="FE252" s="23">
        <f t="shared" si="982"/>
        <v>1</v>
      </c>
      <c r="FF252" s="23">
        <f t="shared" si="982"/>
        <v>1</v>
      </c>
      <c r="FG252" s="23">
        <f t="shared" si="968"/>
        <v>0</v>
      </c>
      <c r="FR252" s="4">
        <f t="shared" si="842"/>
        <v>1</v>
      </c>
      <c r="FS252" s="4">
        <f t="shared" si="843"/>
        <v>0.5</v>
      </c>
      <c r="FT252" s="4">
        <f t="shared" si="844"/>
        <v>0</v>
      </c>
      <c r="FU252" s="4">
        <f t="shared" si="845"/>
        <v>755.38219599366278</v>
      </c>
    </row>
    <row r="253" spans="1:177" ht="12" customHeight="1" x14ac:dyDescent="0.3">
      <c r="B253" s="4" t="s">
        <v>382</v>
      </c>
      <c r="C253" s="4" t="s">
        <v>384</v>
      </c>
      <c r="D253" s="38">
        <f t="shared" ref="D253:D269" si="1015">120/0.145</f>
        <v>827.58620689655174</v>
      </c>
      <c r="E253" s="38">
        <f>15.28*25.4</f>
        <v>388.11199999999997</v>
      </c>
      <c r="F253" s="38">
        <f>5070/145</f>
        <v>34.96551724137931</v>
      </c>
      <c r="G253" s="38">
        <f t="shared" ref="G253:G316" si="1016">1*25.4</f>
        <v>25.4</v>
      </c>
      <c r="H253" s="38">
        <f>19.6*25.4</f>
        <v>497.84000000000003</v>
      </c>
      <c r="I253" s="38">
        <f>3.85*25.4</f>
        <v>97.789999999999992</v>
      </c>
      <c r="J253" s="39">
        <f>3.5*25.4</f>
        <v>88.899999999999991</v>
      </c>
      <c r="K253" s="7">
        <f t="shared" si="986"/>
        <v>251.46000000000004</v>
      </c>
      <c r="L253" s="38">
        <v>2</v>
      </c>
      <c r="M253" s="4">
        <f t="shared" si="987"/>
        <v>260.34999999999997</v>
      </c>
      <c r="N253" s="7">
        <f t="shared" si="905"/>
        <v>4.3499999999999996</v>
      </c>
      <c r="O253" s="7">
        <f t="shared" si="906"/>
        <v>4.3499999999999996</v>
      </c>
      <c r="P253" s="38">
        <v>4</v>
      </c>
      <c r="Q253" s="4">
        <f t="shared" ref="Q253:Q316" si="1017">P253</f>
        <v>4</v>
      </c>
      <c r="R253" s="4">
        <f t="shared" si="907"/>
        <v>5</v>
      </c>
      <c r="S253" s="7">
        <f t="shared" si="908"/>
        <v>56.796126628494655</v>
      </c>
      <c r="V253" s="38">
        <f>120.8/0.145</f>
        <v>833.10344827586209</v>
      </c>
      <c r="X253" s="4">
        <f t="shared" si="910"/>
        <v>1</v>
      </c>
      <c r="Y253" s="38"/>
      <c r="Z253" s="38"/>
      <c r="AA253" s="39">
        <v>1</v>
      </c>
      <c r="AB253" s="39"/>
      <c r="AC253" s="39"/>
      <c r="AE253" s="4">
        <f t="shared" si="912"/>
        <v>388.11199999999997</v>
      </c>
      <c r="AF253" s="4">
        <f t="shared" si="913"/>
        <v>0.42757417102966838</v>
      </c>
      <c r="AG253" s="4">
        <f t="shared" si="914"/>
        <v>446.1370328547896</v>
      </c>
      <c r="AH253" s="4">
        <f t="shared" si="915"/>
        <v>0.75693717277486905</v>
      </c>
      <c r="AI253" s="4">
        <v>1.25</v>
      </c>
      <c r="AJ253" s="4">
        <f t="shared" si="857"/>
        <v>2.5</v>
      </c>
      <c r="AK253" s="38">
        <f t="shared" si="988"/>
        <v>451.22129994667296</v>
      </c>
      <c r="AL253" s="38">
        <f t="shared" si="953"/>
        <v>451.22129994667296</v>
      </c>
      <c r="AM253" s="38">
        <f t="shared" si="916"/>
        <v>3.2078537456295186</v>
      </c>
      <c r="AN253" s="38">
        <f t="shared" si="858"/>
        <v>451.22129994667353</v>
      </c>
      <c r="AO253" s="38">
        <f t="shared" si="840"/>
        <v>0.99999999999999878</v>
      </c>
      <c r="AP253" s="38">
        <f t="shared" si="859"/>
        <v>1.3483406037611749</v>
      </c>
      <c r="AQ253" s="4">
        <f t="shared" si="860"/>
        <v>0</v>
      </c>
      <c r="AR253" s="4" t="e">
        <f>#REF!/G253*F253^0.5/0.19</f>
        <v>#REF!</v>
      </c>
      <c r="AS253" s="4">
        <f t="shared" si="917"/>
        <v>1</v>
      </c>
      <c r="AT253" s="38">
        <f t="shared" si="918"/>
        <v>608.4</v>
      </c>
      <c r="AU253" s="4">
        <f t="shared" si="919"/>
        <v>0.44000000000000006</v>
      </c>
      <c r="AV253" s="4" t="e">
        <f>AU253*D253*#REF!/(D253*G253/2.75/F253^0.5)</f>
        <v>#REF!</v>
      </c>
      <c r="AW253" s="4" t="e">
        <f t="shared" si="989"/>
        <v>#REF!</v>
      </c>
      <c r="AY253" s="4">
        <f t="shared" si="920"/>
        <v>1.5</v>
      </c>
      <c r="AZ253" s="4" t="e">
        <f>(3*#REF!+30)*AY253*F253^0.5</f>
        <v>#REF!</v>
      </c>
      <c r="BB253" s="4">
        <f t="shared" si="921"/>
        <v>583.53000247177329</v>
      </c>
      <c r="BC253" s="4">
        <f t="shared" si="922"/>
        <v>0</v>
      </c>
      <c r="BD253" s="4">
        <f t="shared" si="990"/>
        <v>0</v>
      </c>
      <c r="BL253" s="4">
        <f t="shared" si="923"/>
        <v>97.789999999999992</v>
      </c>
      <c r="BT253" s="9">
        <f t="shared" si="924"/>
        <v>88.899999999999991</v>
      </c>
      <c r="BU253" s="9">
        <f t="shared" si="925"/>
        <v>125.73000000000002</v>
      </c>
      <c r="BV253" s="9">
        <f t="shared" si="926"/>
        <v>1.9706731314151338</v>
      </c>
      <c r="BW253" s="40">
        <f t="shared" ref="BW253:BW316" si="1018">IF(AA253&gt;1,20,0)</f>
        <v>0</v>
      </c>
      <c r="BX253" s="9">
        <f t="shared" si="927"/>
        <v>0</v>
      </c>
      <c r="BY253" s="9">
        <f t="shared" si="991"/>
        <v>0</v>
      </c>
      <c r="BZ253" s="9">
        <f t="shared" si="928"/>
        <v>0.99524931562137331</v>
      </c>
      <c r="CA253" s="9">
        <f t="shared" si="929"/>
        <v>0.68</v>
      </c>
      <c r="CB253" s="9">
        <f t="shared" si="930"/>
        <v>1.4006474122126336</v>
      </c>
      <c r="CC253" s="9">
        <f t="shared" si="931"/>
        <v>2.7602182218335742</v>
      </c>
      <c r="CD253" s="40">
        <v>1</v>
      </c>
      <c r="CE253" s="9" t="e">
        <f>4*CC253*#REF!+60*CC253</f>
        <v>#REF!</v>
      </c>
      <c r="CG253" s="4" t="e">
        <f t="shared" si="992"/>
        <v>#REF!</v>
      </c>
      <c r="CH253" s="4" t="e">
        <f t="shared" si="993"/>
        <v>#REF!</v>
      </c>
      <c r="CI253" s="4" t="e">
        <f t="shared" si="994"/>
        <v>#REF!</v>
      </c>
      <c r="CJ253" s="4" t="e">
        <f t="shared" si="995"/>
        <v>#REF!</v>
      </c>
      <c r="CK253" s="4">
        <f t="shared" si="996"/>
        <v>1</v>
      </c>
      <c r="CL253" s="4">
        <f t="shared" si="997"/>
        <v>1</v>
      </c>
      <c r="CM253" s="4">
        <f t="shared" si="978"/>
        <v>1.1242757318376362</v>
      </c>
      <c r="CN253" s="4">
        <f t="shared" ref="CN253:CN316" si="1019">Z253</f>
        <v>0</v>
      </c>
      <c r="CO253" s="4" t="e">
        <f t="shared" si="998"/>
        <v>#REF!</v>
      </c>
      <c r="CP253" s="4" t="e">
        <f t="shared" si="999"/>
        <v>#REF!</v>
      </c>
      <c r="CQ253" s="4" t="e">
        <f t="shared" si="1000"/>
        <v>#REF!</v>
      </c>
      <c r="CR253" s="4">
        <f t="shared" si="1001"/>
        <v>1.1242757318376362</v>
      </c>
      <c r="CS253" s="4">
        <f t="shared" si="1002"/>
        <v>1</v>
      </c>
      <c r="CT253" s="4">
        <f t="shared" si="1003"/>
        <v>1</v>
      </c>
      <c r="DC253" s="4" t="e">
        <f>#REF!</f>
        <v>#REF!</v>
      </c>
      <c r="DF253" s="4">
        <f t="shared" si="932"/>
        <v>2.824931335368085E-5</v>
      </c>
      <c r="DG253" s="4">
        <f t="shared" si="1004"/>
        <v>8.8818695030737906</v>
      </c>
      <c r="DH253" s="4">
        <f t="shared" si="934"/>
        <v>0.71297653914085279</v>
      </c>
      <c r="DI253" s="4">
        <f t="shared" si="1005"/>
        <v>7.757726845919704</v>
      </c>
      <c r="DJ253" s="4">
        <f t="shared" si="1006"/>
        <v>8.3387714689642198</v>
      </c>
      <c r="DK253" s="4">
        <f t="shared" si="937"/>
        <v>7.4978516818718992</v>
      </c>
      <c r="DL253" s="38">
        <f t="shared" si="938"/>
        <v>833.10344827586209</v>
      </c>
      <c r="DM253" s="4" t="e">
        <f t="shared" si="1007"/>
        <v>#REF!</v>
      </c>
      <c r="DN253" s="4">
        <f t="shared" si="940"/>
        <v>2.2360679774997898</v>
      </c>
      <c r="DO253" s="4">
        <f t="shared" si="976"/>
        <v>451.22129994667353</v>
      </c>
      <c r="DS253" s="4">
        <f t="shared" si="941"/>
        <v>0.85</v>
      </c>
      <c r="DT253" s="4">
        <f t="shared" si="942"/>
        <v>0.71500000000000008</v>
      </c>
      <c r="DU253" s="4">
        <f t="shared" si="943"/>
        <v>1</v>
      </c>
      <c r="DV253" s="4">
        <f t="shared" si="1008"/>
        <v>0.71500000000000008</v>
      </c>
      <c r="DX253" s="4">
        <f t="shared" si="945"/>
        <v>833.10344827586209</v>
      </c>
      <c r="DY253" s="25">
        <f t="shared" si="851"/>
        <v>448.57090093705455</v>
      </c>
      <c r="EA253" s="4">
        <f t="shared" si="852"/>
        <v>0.60775000000000001</v>
      </c>
      <c r="EB253" s="4">
        <f t="shared" si="946"/>
        <v>8.8818695030737906</v>
      </c>
      <c r="EE253" s="4">
        <f t="shared" si="947"/>
        <v>56.796126628494655</v>
      </c>
      <c r="EF253" s="4">
        <f t="shared" si="1009"/>
        <v>2.2360679774997898</v>
      </c>
      <c r="EG253" s="4">
        <f t="shared" si="949"/>
        <v>0.23053161000640462</v>
      </c>
      <c r="EJ253" s="4">
        <f t="shared" ref="EJ253:EJ270" si="1020">EG253</f>
        <v>0.23053161000640462</v>
      </c>
      <c r="EK253" s="4">
        <f t="shared" si="950"/>
        <v>0.71178671417779027</v>
      </c>
      <c r="EL253" s="4">
        <f t="shared" si="1010"/>
        <v>7.7525457709294319</v>
      </c>
      <c r="EM253" s="4">
        <f t="shared" si="1011"/>
        <v>8.3363620617554428</v>
      </c>
      <c r="EN253" s="4" t="e">
        <f t="shared" si="1012"/>
        <v>#REF!</v>
      </c>
      <c r="EO253" s="4" t="e">
        <f t="shared" si="1013"/>
        <v>#REF!</v>
      </c>
      <c r="EP253" s="4" t="e">
        <f t="shared" si="951"/>
        <v>#REF!</v>
      </c>
      <c r="EQ253" s="4" t="e">
        <f t="shared" si="1014"/>
        <v>#REF!</v>
      </c>
      <c r="ER253" s="4" t="e">
        <f t="shared" si="952"/>
        <v>#REF!</v>
      </c>
      <c r="FA253" s="23" t="e">
        <f t="shared" si="980"/>
        <v>#REF!</v>
      </c>
      <c r="FB253" s="23" t="e">
        <f t="shared" si="980"/>
        <v>#REF!</v>
      </c>
      <c r="FC253" s="23">
        <f t="shared" si="981"/>
        <v>1.2</v>
      </c>
      <c r="FD253" s="23" t="e">
        <f t="shared" si="982"/>
        <v>#REF!</v>
      </c>
      <c r="FE253" s="23">
        <f t="shared" si="982"/>
        <v>1.2</v>
      </c>
      <c r="FF253" s="23">
        <f t="shared" si="982"/>
        <v>1.2</v>
      </c>
      <c r="FG253" s="23">
        <f t="shared" si="968"/>
        <v>0</v>
      </c>
      <c r="FR253" s="4">
        <f t="shared" si="842"/>
        <v>1</v>
      </c>
      <c r="FS253" s="4">
        <f t="shared" si="843"/>
        <v>0.5</v>
      </c>
      <c r="FT253" s="4">
        <f t="shared" si="844"/>
        <v>0</v>
      </c>
      <c r="FU253" s="4">
        <f t="shared" si="845"/>
        <v>741.0134584281642</v>
      </c>
    </row>
    <row r="254" spans="1:177" ht="12" customHeight="1" x14ac:dyDescent="0.3">
      <c r="C254" s="4" t="s">
        <v>385</v>
      </c>
      <c r="D254" s="38">
        <f t="shared" si="1015"/>
        <v>827.58620689655174</v>
      </c>
      <c r="E254" s="38">
        <f>12.38*25.4</f>
        <v>314.452</v>
      </c>
      <c r="F254" s="38">
        <f>5070/145</f>
        <v>34.96551724137931</v>
      </c>
      <c r="G254" s="38">
        <f t="shared" si="1016"/>
        <v>25.4</v>
      </c>
      <c r="H254" s="38">
        <f>17.6*25.4</f>
        <v>447.04</v>
      </c>
      <c r="I254" s="38">
        <f>2.9*25.4</f>
        <v>73.66</v>
      </c>
      <c r="J254" s="39">
        <f>3.5*25.4</f>
        <v>88.899999999999991</v>
      </c>
      <c r="K254" s="7">
        <f t="shared" si="986"/>
        <v>248.92000000000002</v>
      </c>
      <c r="L254" s="38">
        <v>2</v>
      </c>
      <c r="M254" s="4">
        <f t="shared" si="987"/>
        <v>260.34999999999997</v>
      </c>
      <c r="N254" s="7">
        <f t="shared" si="905"/>
        <v>3.4</v>
      </c>
      <c r="O254" s="7">
        <f t="shared" si="906"/>
        <v>3.4</v>
      </c>
      <c r="P254" s="38">
        <v>4</v>
      </c>
      <c r="Q254" s="4">
        <f t="shared" si="1017"/>
        <v>4</v>
      </c>
      <c r="R254" s="4">
        <f t="shared" si="907"/>
        <v>5</v>
      </c>
      <c r="S254" s="7">
        <f t="shared" si="908"/>
        <v>56.796126628494655</v>
      </c>
      <c r="V254" s="38">
        <f>110.8/0.145</f>
        <v>764.13793103448279</v>
      </c>
      <c r="X254" s="4">
        <f t="shared" si="910"/>
        <v>1.0732340453544049</v>
      </c>
      <c r="Y254" s="38">
        <f>0.375*25.4</f>
        <v>9.5249999999999986</v>
      </c>
      <c r="Z254" s="38">
        <v>8</v>
      </c>
      <c r="AA254" s="39">
        <f>3*25.4</f>
        <v>76.199999999999989</v>
      </c>
      <c r="AB254" s="39">
        <v>3</v>
      </c>
      <c r="AC254" s="39">
        <v>1</v>
      </c>
      <c r="AE254" s="4">
        <f t="shared" si="912"/>
        <v>314.452</v>
      </c>
      <c r="AF254" s="4">
        <f t="shared" si="913"/>
        <v>0.47388260635433493</v>
      </c>
      <c r="AG254" s="4">
        <f t="shared" si="914"/>
        <v>325.36003808676742</v>
      </c>
      <c r="AH254" s="4">
        <f t="shared" si="915"/>
        <v>0.75492730210016146</v>
      </c>
      <c r="AI254" s="4">
        <v>1.25</v>
      </c>
      <c r="AJ254" s="4">
        <f t="shared" si="857"/>
        <v>2.5</v>
      </c>
      <c r="AK254" s="38">
        <f>AF254*AH254*AI254*AJ254*AG254</f>
        <v>363.73922097530163</v>
      </c>
      <c r="AL254" s="38">
        <f t="shared" si="953"/>
        <v>363.73922097530163</v>
      </c>
      <c r="AM254" s="38">
        <f t="shared" si="916"/>
        <v>3.2078537456295186</v>
      </c>
      <c r="AN254" s="38">
        <f t="shared" si="858"/>
        <v>363.73922097530118</v>
      </c>
      <c r="AO254" s="38">
        <f t="shared" si="840"/>
        <v>1.0000000000000013</v>
      </c>
      <c r="AP254" s="38">
        <f t="shared" si="859"/>
        <v>1.3073405535089337</v>
      </c>
      <c r="AQ254" s="4">
        <f t="shared" si="860"/>
        <v>0</v>
      </c>
      <c r="AR254" s="4" t="e">
        <f>#REF!/G254*F254^0.5/0.19</f>
        <v>#REF!</v>
      </c>
      <c r="AS254" s="4">
        <f t="shared" si="917"/>
        <v>1</v>
      </c>
      <c r="AT254" s="38">
        <f t="shared" si="918"/>
        <v>475.53103448275857</v>
      </c>
      <c r="AU254" s="4">
        <f t="shared" si="919"/>
        <v>0.44000000000000006</v>
      </c>
      <c r="AV254" s="4" t="e">
        <f>AU254*D254*#REF!/(D254*G254/2.75/F254^0.5)</f>
        <v>#REF!</v>
      </c>
      <c r="AW254" s="4" t="e">
        <f t="shared" si="989"/>
        <v>#REF!</v>
      </c>
      <c r="AY254" s="4">
        <f t="shared" si="920"/>
        <v>1.5</v>
      </c>
      <c r="AZ254" s="4" t="e">
        <f>(3*#REF!+30)*AY254*F254^0.5</f>
        <v>#REF!</v>
      </c>
      <c r="BB254" s="4">
        <f t="shared" si="921"/>
        <v>456.0924157250642</v>
      </c>
      <c r="BC254" s="4">
        <f t="shared" si="922"/>
        <v>0</v>
      </c>
      <c r="BD254" s="4">
        <f t="shared" si="990"/>
        <v>0</v>
      </c>
      <c r="BL254" s="4">
        <f t="shared" si="923"/>
        <v>73.66</v>
      </c>
      <c r="BT254" s="9">
        <f t="shared" si="924"/>
        <v>73.66</v>
      </c>
      <c r="BU254" s="9">
        <f t="shared" si="925"/>
        <v>124.46000000000001</v>
      </c>
      <c r="BV254" s="9">
        <f t="shared" si="926"/>
        <v>1.842335460367019</v>
      </c>
      <c r="BW254" s="40">
        <f t="shared" si="1018"/>
        <v>20</v>
      </c>
      <c r="BX254" s="9">
        <f t="shared" si="927"/>
        <v>0.05</v>
      </c>
      <c r="BY254" s="9">
        <f t="shared" si="991"/>
        <v>0.8</v>
      </c>
      <c r="BZ254" s="9">
        <f t="shared" si="928"/>
        <v>0.99524931562137331</v>
      </c>
      <c r="CA254" s="9">
        <f t="shared" si="929"/>
        <v>0.68</v>
      </c>
      <c r="CB254" s="9">
        <f t="shared" si="930"/>
        <v>1.4006474122126336</v>
      </c>
      <c r="CC254" s="9">
        <f t="shared" si="931"/>
        <v>3.5016185305315837</v>
      </c>
      <c r="CD254" s="40">
        <v>1</v>
      </c>
      <c r="CE254" s="9" t="e">
        <f>4*CC254*#REF!+60*CC254</f>
        <v>#REF!</v>
      </c>
      <c r="CG254" s="4" t="e">
        <f t="shared" si="992"/>
        <v>#REF!</v>
      </c>
      <c r="CH254" s="4" t="e">
        <f t="shared" si="993"/>
        <v>#REF!</v>
      </c>
      <c r="CI254" s="4" t="e">
        <f t="shared" si="994"/>
        <v>#REF!</v>
      </c>
      <c r="CJ254" s="4" t="e">
        <f t="shared" si="995"/>
        <v>#REF!</v>
      </c>
      <c r="CK254" s="4">
        <f t="shared" si="996"/>
        <v>1.0732340453544049</v>
      </c>
      <c r="CL254" s="4">
        <f t="shared" si="997"/>
        <v>1.1669913938500407</v>
      </c>
      <c r="CM254" s="4">
        <f t="shared" si="978"/>
        <v>1.1200335813374223</v>
      </c>
      <c r="CN254" s="4">
        <f t="shared" si="1019"/>
        <v>8</v>
      </c>
      <c r="CU254" s="4" t="e">
        <f t="shared" ref="CU254:CU257" si="1021">CG254</f>
        <v>#REF!</v>
      </c>
      <c r="CV254" s="4" t="e">
        <f t="shared" ref="CV254:CV257" si="1022">CH254</f>
        <v>#REF!</v>
      </c>
      <c r="CW254" s="4" t="e">
        <f t="shared" ref="CW254:CW257" si="1023">CJ254</f>
        <v>#REF!</v>
      </c>
      <c r="CX254" s="4">
        <f t="shared" ref="CX254:CX257" si="1024">CM254</f>
        <v>1.1200335813374223</v>
      </c>
      <c r="CY254" s="4">
        <f t="shared" ref="CY254:CY257" si="1025">CK254</f>
        <v>1.0732340453544049</v>
      </c>
      <c r="CZ254" s="4">
        <f t="shared" ref="CZ254:CZ257" si="1026">CL254</f>
        <v>1.1669913938500407</v>
      </c>
      <c r="DC254" s="4" t="e">
        <f>#REF!</f>
        <v>#REF!</v>
      </c>
      <c r="DF254" s="4">
        <f t="shared" si="932"/>
        <v>2.288785990304771E-5</v>
      </c>
      <c r="DG254" s="4">
        <f t="shared" si="1004"/>
        <v>7.9143659395695911</v>
      </c>
      <c r="DH254" s="4">
        <f t="shared" si="934"/>
        <v>0.57474576433206792</v>
      </c>
      <c r="DI254" s="4">
        <f t="shared" si="1005"/>
        <v>6.3417108831781732</v>
      </c>
      <c r="DJ254" s="4">
        <f t="shared" si="1006"/>
        <v>7.1713310578929521</v>
      </c>
      <c r="DK254" s="4">
        <f t="shared" si="937"/>
        <v>7.2159534770603102</v>
      </c>
      <c r="DL254" s="38">
        <f t="shared" si="938"/>
        <v>711.9956120867821</v>
      </c>
      <c r="DM254" s="4" t="e">
        <f t="shared" si="1007"/>
        <v>#REF!</v>
      </c>
      <c r="DN254" s="4">
        <f t="shared" si="940"/>
        <v>2.2360679774997898</v>
      </c>
      <c r="DO254" s="4">
        <f t="shared" si="976"/>
        <v>363.73922097530118</v>
      </c>
      <c r="DS254" s="4">
        <f t="shared" si="941"/>
        <v>0.85</v>
      </c>
      <c r="DT254" s="4">
        <f t="shared" si="942"/>
        <v>0.80999999999999994</v>
      </c>
      <c r="DU254" s="4">
        <f t="shared" si="943"/>
        <v>0.99062499999999998</v>
      </c>
      <c r="DV254" s="4">
        <f t="shared" si="1008"/>
        <v>0.80240624999999988</v>
      </c>
      <c r="DX254" s="4">
        <f t="shared" si="945"/>
        <v>654.79311592307693</v>
      </c>
      <c r="DY254" s="25">
        <f t="shared" si="851"/>
        <v>360.85356492746229</v>
      </c>
      <c r="EA254" s="4">
        <f t="shared" si="852"/>
        <v>0.68204531249999989</v>
      </c>
      <c r="EB254" s="4">
        <f t="shared" si="946"/>
        <v>7.9143659395695911</v>
      </c>
      <c r="EE254" s="4">
        <f t="shared" si="947"/>
        <v>56.796126628494655</v>
      </c>
      <c r="EF254" s="4">
        <f t="shared" si="1009"/>
        <v>2.2360679774997898</v>
      </c>
      <c r="EG254" s="4">
        <f t="shared" si="949"/>
        <v>0.18583650249627301</v>
      </c>
      <c r="EJ254" s="4">
        <f t="shared" si="1020"/>
        <v>0.18583650249627301</v>
      </c>
      <c r="EK254" s="4">
        <f t="shared" si="950"/>
        <v>0.57378662076944675</v>
      </c>
      <c r="EL254" s="4">
        <f t="shared" si="1010"/>
        <v>6.3374755085246219</v>
      </c>
      <c r="EM254" s="4">
        <f t="shared" si="1011"/>
        <v>7.169459329515119</v>
      </c>
      <c r="EN254" s="4" t="e">
        <f t="shared" si="1012"/>
        <v>#REF!</v>
      </c>
      <c r="EO254" s="4" t="e">
        <f t="shared" si="1013"/>
        <v>#REF!</v>
      </c>
      <c r="EP254" s="4" t="e">
        <f t="shared" si="951"/>
        <v>#REF!</v>
      </c>
      <c r="EQ254" s="4" t="e">
        <f t="shared" si="1014"/>
        <v>#REF!</v>
      </c>
      <c r="ER254" s="4" t="e">
        <f t="shared" si="952"/>
        <v>#REF!</v>
      </c>
      <c r="FA254" s="23" t="e">
        <f t="shared" si="980"/>
        <v>#REF!</v>
      </c>
      <c r="FB254" s="23" t="e">
        <f t="shared" si="980"/>
        <v>#REF!</v>
      </c>
      <c r="FC254" s="23">
        <f t="shared" si="981"/>
        <v>1.2</v>
      </c>
      <c r="FD254" s="23" t="e">
        <f t="shared" si="982"/>
        <v>#REF!</v>
      </c>
      <c r="FE254" s="23">
        <f t="shared" si="982"/>
        <v>1.2</v>
      </c>
      <c r="FF254" s="23">
        <f t="shared" si="982"/>
        <v>1.2</v>
      </c>
      <c r="FG254" s="23">
        <f t="shared" si="968"/>
        <v>0</v>
      </c>
      <c r="FR254" s="4">
        <f t="shared" si="842"/>
        <v>1</v>
      </c>
      <c r="FS254" s="4">
        <f t="shared" si="843"/>
        <v>0.44</v>
      </c>
      <c r="FT254" s="4">
        <f t="shared" si="844"/>
        <v>0.3</v>
      </c>
      <c r="FU254" s="4">
        <f t="shared" si="845"/>
        <v>682.24555385386964</v>
      </c>
    </row>
    <row r="255" spans="1:177" ht="12" customHeight="1" x14ac:dyDescent="0.3">
      <c r="B255" s="24"/>
      <c r="C255" s="7" t="s">
        <v>386</v>
      </c>
      <c r="D255" s="38">
        <f t="shared" si="1015"/>
        <v>827.58620689655174</v>
      </c>
      <c r="E255" s="38">
        <f>12.06*25.4</f>
        <v>306.32400000000001</v>
      </c>
      <c r="F255" s="38">
        <f>5380/145</f>
        <v>37.103448275862071</v>
      </c>
      <c r="G255" s="38">
        <f t="shared" si="1016"/>
        <v>25.4</v>
      </c>
      <c r="H255" s="38">
        <f>20*25.4</f>
        <v>508</v>
      </c>
      <c r="I255" s="38">
        <f>4*25.4</f>
        <v>101.6</v>
      </c>
      <c r="J255" s="39">
        <f>3.75*25.4</f>
        <v>95.25</v>
      </c>
      <c r="K255" s="7">
        <f t="shared" si="986"/>
        <v>254</v>
      </c>
      <c r="L255" s="38">
        <v>2</v>
      </c>
      <c r="M255" s="4">
        <f t="shared" si="987"/>
        <v>260.34999999999997</v>
      </c>
      <c r="N255" s="7">
        <f t="shared" si="905"/>
        <v>4.5</v>
      </c>
      <c r="O255" s="7">
        <f t="shared" si="906"/>
        <v>4.5</v>
      </c>
      <c r="P255" s="38">
        <v>4</v>
      </c>
      <c r="Q255" s="4">
        <f t="shared" si="1017"/>
        <v>4</v>
      </c>
      <c r="R255" s="4">
        <f t="shared" si="907"/>
        <v>5</v>
      </c>
      <c r="S255" s="7">
        <f t="shared" si="908"/>
        <v>56.796126628494655</v>
      </c>
      <c r="V255" s="38">
        <f>121.7/0.145</f>
        <v>839.31034482758628</v>
      </c>
      <c r="X255" s="4">
        <f t="shared" si="910"/>
        <v>1.0025154962900582</v>
      </c>
      <c r="Y255" s="38">
        <f t="shared" ref="Y255:Y257" si="1027">0.375*25.4</f>
        <v>9.5249999999999986</v>
      </c>
      <c r="Z255" s="38">
        <v>8</v>
      </c>
      <c r="AA255" s="39">
        <f>3*25.4</f>
        <v>76.199999999999989</v>
      </c>
      <c r="AB255" s="39">
        <v>3</v>
      </c>
      <c r="AC255" s="39">
        <v>1</v>
      </c>
      <c r="AD255" s="7"/>
      <c r="AE255" s="4">
        <f t="shared" si="912"/>
        <v>306.32400000000001</v>
      </c>
      <c r="AF255" s="4">
        <f t="shared" si="913"/>
        <v>0.55279159756771701</v>
      </c>
      <c r="AG255" s="4">
        <f t="shared" si="914"/>
        <v>322.24884028531784</v>
      </c>
      <c r="AH255" s="4">
        <f t="shared" si="915"/>
        <v>0.77462686567164174</v>
      </c>
      <c r="AI255" s="4">
        <v>1.25</v>
      </c>
      <c r="AJ255" s="4">
        <f t="shared" si="857"/>
        <v>2.5</v>
      </c>
      <c r="AK255" s="38">
        <f t="shared" si="988"/>
        <v>431.21650275797623</v>
      </c>
      <c r="AL255" s="38">
        <f t="shared" si="953"/>
        <v>431.21650275797623</v>
      </c>
      <c r="AM255" s="38">
        <f t="shared" si="916"/>
        <v>3.3373168177886376</v>
      </c>
      <c r="AN255" s="38">
        <f t="shared" si="858"/>
        <v>431.21650275797634</v>
      </c>
      <c r="AO255" s="38">
        <f t="shared" si="840"/>
        <v>0.99999999999999978</v>
      </c>
      <c r="AP255" s="38">
        <f t="shared" si="859"/>
        <v>1.5487859687512009</v>
      </c>
      <c r="AQ255" s="4">
        <f t="shared" si="860"/>
        <v>0</v>
      </c>
      <c r="AR255" s="4" t="e">
        <f>#REF!/G255*F255^0.5/0.19</f>
        <v>#REF!</v>
      </c>
      <c r="AS255" s="4">
        <f t="shared" si="917"/>
        <v>1</v>
      </c>
      <c r="AT255" s="38">
        <f t="shared" si="918"/>
        <v>667.86206896551732</v>
      </c>
      <c r="AU255" s="4">
        <f t="shared" si="919"/>
        <v>0.44000000000000006</v>
      </c>
      <c r="AV255" s="4" t="e">
        <f>AU255*D255*#REF!/(D255*G255/2.75/F255^0.5)</f>
        <v>#REF!</v>
      </c>
      <c r="AW255" s="4" t="e">
        <f t="shared" si="989"/>
        <v>#REF!</v>
      </c>
      <c r="AY255" s="4">
        <f t="shared" si="920"/>
        <v>1.5</v>
      </c>
      <c r="AZ255" s="4" t="e">
        <f>(3*#REF!+30)*AY255*F255^0.5</f>
        <v>#REF!</v>
      </c>
      <c r="BB255" s="4">
        <f t="shared" si="921"/>
        <v>640.56139834689668</v>
      </c>
      <c r="BC255" s="4">
        <f t="shared" si="922"/>
        <v>0</v>
      </c>
      <c r="BD255" s="4">
        <f t="shared" si="990"/>
        <v>0</v>
      </c>
      <c r="BL255" s="4">
        <f t="shared" si="923"/>
        <v>101.6</v>
      </c>
      <c r="BP255" s="9"/>
      <c r="BR255" s="9"/>
      <c r="BS255" s="9"/>
      <c r="BT255" s="9">
        <f t="shared" si="924"/>
        <v>95.25</v>
      </c>
      <c r="BU255" s="9">
        <f t="shared" si="925"/>
        <v>127</v>
      </c>
      <c r="BV255" s="9">
        <f t="shared" si="926"/>
        <v>2.0218849722190098</v>
      </c>
      <c r="BW255" s="40">
        <f t="shared" si="1018"/>
        <v>20</v>
      </c>
      <c r="BX255" s="9">
        <f t="shared" si="927"/>
        <v>0.05</v>
      </c>
      <c r="BY255" s="9">
        <f t="shared" si="991"/>
        <v>0.8</v>
      </c>
      <c r="BZ255" s="9">
        <f t="shared" si="928"/>
        <v>0.99524931562137331</v>
      </c>
      <c r="CA255" s="9">
        <f t="shared" si="929"/>
        <v>0.68</v>
      </c>
      <c r="CB255" s="9">
        <f t="shared" si="930"/>
        <v>1.4428327162401366</v>
      </c>
      <c r="CC255" s="9">
        <f t="shared" si="931"/>
        <v>3.6070817906003416</v>
      </c>
      <c r="CD255" s="40">
        <v>1</v>
      </c>
      <c r="CE255" s="9" t="e">
        <f>4*CC255*#REF!+60*CC255</f>
        <v>#REF!</v>
      </c>
      <c r="CG255" s="4" t="e">
        <f t="shared" si="992"/>
        <v>#REF!</v>
      </c>
      <c r="CH255" s="4" t="e">
        <f t="shared" si="993"/>
        <v>#REF!</v>
      </c>
      <c r="CI255" s="4" t="e">
        <f t="shared" si="994"/>
        <v>#REF!</v>
      </c>
      <c r="CJ255" s="4" t="e">
        <f t="shared" si="995"/>
        <v>#REF!</v>
      </c>
      <c r="CK255" s="4">
        <f t="shared" si="996"/>
        <v>1.0025154962900582</v>
      </c>
      <c r="CL255" s="4">
        <f t="shared" si="997"/>
        <v>1.0958321519136152</v>
      </c>
      <c r="CM255" s="4">
        <f t="shared" si="978"/>
        <v>1.2442613749021638</v>
      </c>
      <c r="CN255" s="4">
        <f t="shared" si="1019"/>
        <v>8</v>
      </c>
      <c r="CU255" s="4" t="e">
        <f t="shared" si="1021"/>
        <v>#REF!</v>
      </c>
      <c r="CV255" s="4" t="e">
        <f t="shared" si="1022"/>
        <v>#REF!</v>
      </c>
      <c r="CW255" s="4" t="e">
        <f t="shared" si="1023"/>
        <v>#REF!</v>
      </c>
      <c r="CX255" s="4">
        <f t="shared" si="1024"/>
        <v>1.2442613749021638</v>
      </c>
      <c r="CY255" s="4">
        <f t="shared" si="1025"/>
        <v>1.0025154962900582</v>
      </c>
      <c r="CZ255" s="4">
        <f t="shared" si="1026"/>
        <v>1.0958321519136152</v>
      </c>
      <c r="DC255" s="4" t="e">
        <f>#REF!</f>
        <v>#REF!</v>
      </c>
      <c r="DF255" s="4">
        <f t="shared" si="932"/>
        <v>2.2622636639966186E-5</v>
      </c>
      <c r="DG255" s="4">
        <f t="shared" si="1004"/>
        <v>9.3454355759249683</v>
      </c>
      <c r="DH255" s="4">
        <f t="shared" si="934"/>
        <v>0.6421059640052692</v>
      </c>
      <c r="DI255" s="4">
        <f t="shared" si="1005"/>
        <v>7.827845214538236</v>
      </c>
      <c r="DJ255" s="4">
        <f t="shared" si="1006"/>
        <v>8.6201282342357342</v>
      </c>
      <c r="DK255" s="4">
        <f t="shared" si="937"/>
        <v>8.3912116791286806</v>
      </c>
      <c r="DL255" s="38">
        <f t="shared" si="938"/>
        <v>837.20436036506749</v>
      </c>
      <c r="DM255" s="4" t="e">
        <f t="shared" si="1007"/>
        <v>#REF!</v>
      </c>
      <c r="DN255" s="4">
        <f t="shared" si="940"/>
        <v>2.2360679774997898</v>
      </c>
      <c r="DO255" s="4">
        <f t="shared" si="976"/>
        <v>431.21650275797634</v>
      </c>
      <c r="DS255" s="4">
        <f t="shared" si="941"/>
        <v>0.85</v>
      </c>
      <c r="DT255" s="4">
        <f t="shared" si="942"/>
        <v>0.7</v>
      </c>
      <c r="DU255" s="4">
        <f t="shared" si="943"/>
        <v>0.99062499999999998</v>
      </c>
      <c r="DV255" s="4">
        <f t="shared" si="1008"/>
        <v>0.7</v>
      </c>
      <c r="DX255" s="4">
        <f t="shared" si="945"/>
        <v>765.91140656160405</v>
      </c>
      <c r="DY255" s="25">
        <f t="shared" si="851"/>
        <v>427.79354742463875</v>
      </c>
      <c r="EA255" s="4">
        <f t="shared" si="852"/>
        <v>0.59499999999999997</v>
      </c>
      <c r="EB255" s="4">
        <f t="shared" si="946"/>
        <v>9.3454355759249683</v>
      </c>
      <c r="EE255" s="4">
        <f t="shared" si="947"/>
        <v>56.796126628494655</v>
      </c>
      <c r="EF255" s="4">
        <f t="shared" si="1009"/>
        <v>2.2360679774997898</v>
      </c>
      <c r="EG255" s="4">
        <f t="shared" si="949"/>
        <v>0.21386962397516138</v>
      </c>
      <c r="EJ255" s="4">
        <f t="shared" si="1020"/>
        <v>0.21386962397516138</v>
      </c>
      <c r="EK255" s="4">
        <f t="shared" si="950"/>
        <v>0.64103440882362794</v>
      </c>
      <c r="EL255" s="4">
        <f t="shared" si="1010"/>
        <v>7.8226173102984617</v>
      </c>
      <c r="EM255" s="4">
        <f t="shared" si="1011"/>
        <v>8.6177553730976868</v>
      </c>
      <c r="EN255" s="4" t="e">
        <f t="shared" si="1012"/>
        <v>#REF!</v>
      </c>
      <c r="EO255" s="4" t="e">
        <f t="shared" si="1013"/>
        <v>#REF!</v>
      </c>
      <c r="EP255" s="4" t="e">
        <f t="shared" si="951"/>
        <v>#REF!</v>
      </c>
      <c r="EQ255" s="4" t="e">
        <f t="shared" si="1014"/>
        <v>#REF!</v>
      </c>
      <c r="ER255" s="4" t="e">
        <f t="shared" si="952"/>
        <v>#REF!</v>
      </c>
      <c r="FA255" s="23" t="e">
        <f t="shared" si="980"/>
        <v>#REF!</v>
      </c>
      <c r="FB255" s="23" t="e">
        <f t="shared" si="980"/>
        <v>#REF!</v>
      </c>
      <c r="FC255" s="23">
        <f t="shared" si="981"/>
        <v>1.4</v>
      </c>
      <c r="FD255" s="23" t="e">
        <f t="shared" si="982"/>
        <v>#REF!</v>
      </c>
      <c r="FE255" s="23">
        <f t="shared" si="982"/>
        <v>1.2</v>
      </c>
      <c r="FF255" s="23">
        <f t="shared" si="982"/>
        <v>1.2</v>
      </c>
      <c r="FG255" s="23">
        <f t="shared" si="968"/>
        <v>0</v>
      </c>
      <c r="FH255" s="23"/>
      <c r="FR255" s="4">
        <f t="shared" si="842"/>
        <v>1</v>
      </c>
      <c r="FS255" s="4">
        <f t="shared" si="843"/>
        <v>0.44</v>
      </c>
      <c r="FT255" s="4">
        <f t="shared" si="844"/>
        <v>0.3</v>
      </c>
      <c r="FU255" s="4">
        <f t="shared" si="845"/>
        <v>674.54504476085754</v>
      </c>
    </row>
    <row r="256" spans="1:177" ht="12" customHeight="1" x14ac:dyDescent="0.3">
      <c r="B256" s="24"/>
      <c r="C256" s="7" t="s">
        <v>387</v>
      </c>
      <c r="D256" s="38">
        <f t="shared" si="1015"/>
        <v>827.58620689655174</v>
      </c>
      <c r="E256" s="38">
        <f>12.44*25.4</f>
        <v>315.97599999999994</v>
      </c>
      <c r="F256" s="38">
        <f>5070/145</f>
        <v>34.96551724137931</v>
      </c>
      <c r="G256" s="38">
        <f t="shared" si="1016"/>
        <v>25.4</v>
      </c>
      <c r="H256" s="38">
        <f>17.5*25.4</f>
        <v>444.5</v>
      </c>
      <c r="I256" s="38">
        <f>2.95*25.4</f>
        <v>74.930000000000007</v>
      </c>
      <c r="J256" s="39">
        <f>3.3*25.4</f>
        <v>83.82</v>
      </c>
      <c r="K256" s="7">
        <f t="shared" si="986"/>
        <v>243.83999999999997</v>
      </c>
      <c r="L256" s="38">
        <v>2</v>
      </c>
      <c r="M256" s="4">
        <f t="shared" si="987"/>
        <v>260.34999999999997</v>
      </c>
      <c r="N256" s="7">
        <f t="shared" si="905"/>
        <v>3.4500000000000006</v>
      </c>
      <c r="O256" s="7">
        <f t="shared" si="906"/>
        <v>3.4500000000000006</v>
      </c>
      <c r="P256" s="38">
        <v>4</v>
      </c>
      <c r="Q256" s="4">
        <f t="shared" si="1017"/>
        <v>4</v>
      </c>
      <c r="R256" s="4">
        <f t="shared" si="907"/>
        <v>5</v>
      </c>
      <c r="S256" s="7">
        <f t="shared" si="908"/>
        <v>56.796126628494655</v>
      </c>
      <c r="V256" s="38">
        <f>138/0.145</f>
        <v>951.72413793103453</v>
      </c>
      <c r="X256" s="4">
        <f t="shared" si="910"/>
        <v>1.3316690082587483</v>
      </c>
      <c r="Y256" s="38">
        <f t="shared" si="1027"/>
        <v>9.5249999999999986</v>
      </c>
      <c r="Z256" s="38">
        <v>8</v>
      </c>
      <c r="AA256" s="39">
        <f>4*25.4</f>
        <v>101.6</v>
      </c>
      <c r="AB256" s="39">
        <v>2</v>
      </c>
      <c r="AC256" s="39">
        <v>1</v>
      </c>
      <c r="AD256" s="7"/>
      <c r="AE256" s="4">
        <f t="shared" si="912"/>
        <v>315.97599999999994</v>
      </c>
      <c r="AF256" s="4">
        <f t="shared" si="913"/>
        <v>0.46891747052518773</v>
      </c>
      <c r="AG256" s="4">
        <f t="shared" si="914"/>
        <v>327.72820079341074</v>
      </c>
      <c r="AH256" s="4">
        <f t="shared" si="915"/>
        <v>0.7554662379421222</v>
      </c>
      <c r="AI256" s="4">
        <v>1.25</v>
      </c>
      <c r="AJ256" s="4">
        <f t="shared" si="857"/>
        <v>2.5</v>
      </c>
      <c r="AK256" s="38">
        <f t="shared" si="988"/>
        <v>362.80670896272306</v>
      </c>
      <c r="AL256" s="38">
        <f t="shared" si="953"/>
        <v>362.80670896272306</v>
      </c>
      <c r="AM256" s="38">
        <f t="shared" si="916"/>
        <v>3.2078537456295186</v>
      </c>
      <c r="AN256" s="38">
        <f t="shared" si="858"/>
        <v>362.80670896272267</v>
      </c>
      <c r="AO256" s="38">
        <f t="shared" si="840"/>
        <v>1.0000000000000011</v>
      </c>
      <c r="AP256" s="38">
        <f t="shared" si="859"/>
        <v>1.329975786033804</v>
      </c>
      <c r="AQ256" s="4">
        <f t="shared" si="860"/>
        <v>0</v>
      </c>
      <c r="AR256" s="4" t="e">
        <f>#REF!/G256*F256^0.5/0.19</f>
        <v>#REF!</v>
      </c>
      <c r="AS256" s="4">
        <f t="shared" si="917"/>
        <v>1</v>
      </c>
      <c r="AT256" s="38">
        <f t="shared" si="918"/>
        <v>482.5241379310346</v>
      </c>
      <c r="AU256" s="4">
        <f t="shared" si="919"/>
        <v>0.44000000000000006</v>
      </c>
      <c r="AV256" s="4" t="e">
        <f>AU256*D256*#REF!/(D256*G256/2.75/F256^0.5)</f>
        <v>#REF!</v>
      </c>
      <c r="AW256" s="4" t="e">
        <f t="shared" si="989"/>
        <v>#REF!</v>
      </c>
      <c r="AY256" s="4">
        <f t="shared" si="920"/>
        <v>1.5</v>
      </c>
      <c r="AZ256" s="4" t="e">
        <f>(3*#REF!+30)*AY256*F256^0.5</f>
        <v>#REF!</v>
      </c>
      <c r="BB256" s="4">
        <f t="shared" si="921"/>
        <v>462.79965713278585</v>
      </c>
      <c r="BC256" s="4">
        <f t="shared" si="922"/>
        <v>0</v>
      </c>
      <c r="BD256" s="4">
        <f t="shared" si="990"/>
        <v>0</v>
      </c>
      <c r="BL256" s="4">
        <f t="shared" si="923"/>
        <v>74.930000000000007</v>
      </c>
      <c r="BP256" s="9"/>
      <c r="BR256" s="9"/>
      <c r="BS256" s="9"/>
      <c r="BT256" s="9">
        <f t="shared" si="924"/>
        <v>74.930000000000007</v>
      </c>
      <c r="BU256" s="9">
        <f t="shared" si="925"/>
        <v>121.91999999999999</v>
      </c>
      <c r="BV256" s="9">
        <f t="shared" si="926"/>
        <v>1.8476678039809094</v>
      </c>
      <c r="BW256" s="40">
        <f t="shared" si="1018"/>
        <v>20</v>
      </c>
      <c r="BX256" s="9">
        <f t="shared" si="927"/>
        <v>0.05</v>
      </c>
      <c r="BY256" s="9">
        <f t="shared" si="991"/>
        <v>0.8</v>
      </c>
      <c r="BZ256" s="9">
        <f t="shared" si="928"/>
        <v>0.99524931562137331</v>
      </c>
      <c r="CA256" s="9">
        <f t="shared" si="929"/>
        <v>0.68</v>
      </c>
      <c r="CB256" s="9">
        <f t="shared" si="930"/>
        <v>1.4006474122126336</v>
      </c>
      <c r="CC256" s="9">
        <f t="shared" si="931"/>
        <v>3.5016185305315837</v>
      </c>
      <c r="CD256" s="40">
        <v>1</v>
      </c>
      <c r="CE256" s="9" t="e">
        <f>4*CC256*#REF!+60*CC256</f>
        <v>#REF!</v>
      </c>
      <c r="CG256" s="4" t="e">
        <f t="shared" si="992"/>
        <v>#REF!</v>
      </c>
      <c r="CH256" s="4" t="e">
        <f t="shared" si="993"/>
        <v>#REF!</v>
      </c>
      <c r="CI256" s="4" t="e">
        <f t="shared" si="994"/>
        <v>#REF!</v>
      </c>
      <c r="CJ256" s="4" t="e">
        <f t="shared" si="995"/>
        <v>#REF!</v>
      </c>
      <c r="CK256" s="4">
        <f t="shared" si="996"/>
        <v>1.3316690082587483</v>
      </c>
      <c r="CL256" s="4">
        <f t="shared" si="997"/>
        <v>1.4482630142707176</v>
      </c>
      <c r="CM256" s="4">
        <f t="shared" si="978"/>
        <v>1.400091193706031</v>
      </c>
      <c r="CN256" s="4">
        <f t="shared" si="1019"/>
        <v>8</v>
      </c>
      <c r="CU256" s="4" t="e">
        <f t="shared" si="1021"/>
        <v>#REF!</v>
      </c>
      <c r="CV256" s="4" t="e">
        <f t="shared" si="1022"/>
        <v>#REF!</v>
      </c>
      <c r="CW256" s="4" t="e">
        <f t="shared" si="1023"/>
        <v>#REF!</v>
      </c>
      <c r="CX256" s="4">
        <f t="shared" si="1024"/>
        <v>1.400091193706031</v>
      </c>
      <c r="CY256" s="4">
        <f t="shared" si="1025"/>
        <v>1.3316690082587483</v>
      </c>
      <c r="CZ256" s="4">
        <f t="shared" si="1026"/>
        <v>1.4482630142707176</v>
      </c>
      <c r="DC256" s="4" t="e">
        <f>#REF!</f>
        <v>#REF!</v>
      </c>
      <c r="DF256" s="4">
        <f t="shared" si="932"/>
        <v>2.2998786526164252E-5</v>
      </c>
      <c r="DG256" s="4">
        <f t="shared" si="1004"/>
        <v>7.9635234919892781</v>
      </c>
      <c r="DH256" s="4">
        <f t="shared" si="934"/>
        <v>0.57327229845730976</v>
      </c>
      <c r="DI256" s="4">
        <f t="shared" si="1005"/>
        <v>6.3745517050009441</v>
      </c>
      <c r="DJ256" s="4">
        <f t="shared" si="1006"/>
        <v>7.212979760780323</v>
      </c>
      <c r="DK256" s="4">
        <f t="shared" si="937"/>
        <v>7.2499372750174791</v>
      </c>
      <c r="DL256" s="38">
        <f t="shared" si="938"/>
        <v>714.68520482839904</v>
      </c>
      <c r="DM256" s="4" t="e">
        <f t="shared" si="1007"/>
        <v>#REF!</v>
      </c>
      <c r="DN256" s="4">
        <f t="shared" si="940"/>
        <v>2.2360679774997898</v>
      </c>
      <c r="DO256" s="4">
        <f t="shared" si="976"/>
        <v>362.80670896272267</v>
      </c>
      <c r="DS256" s="4">
        <f t="shared" si="941"/>
        <v>0.85</v>
      </c>
      <c r="DT256" s="4">
        <f t="shared" si="942"/>
        <v>0.80499999999999994</v>
      </c>
      <c r="DU256" s="4">
        <f t="shared" si="943"/>
        <v>0.99062499999999998</v>
      </c>
      <c r="DV256" s="4">
        <f t="shared" si="1008"/>
        <v>0.79745312499999987</v>
      </c>
      <c r="DX256" s="4">
        <f t="shared" si="945"/>
        <v>657.1486867737774</v>
      </c>
      <c r="DY256" s="25">
        <f t="shared" si="851"/>
        <v>359.94999005273769</v>
      </c>
      <c r="EA256" s="4">
        <f t="shared" si="852"/>
        <v>0.6778351562499999</v>
      </c>
      <c r="EB256" s="4">
        <f t="shared" si="946"/>
        <v>7.9635234919892781</v>
      </c>
      <c r="EE256" s="4">
        <f t="shared" si="947"/>
        <v>56.796126628494655</v>
      </c>
      <c r="EF256" s="4">
        <f t="shared" si="1009"/>
        <v>2.2360679774997898</v>
      </c>
      <c r="EG256" s="4">
        <f t="shared" si="949"/>
        <v>0.18536007663686557</v>
      </c>
      <c r="EJ256" s="4">
        <f t="shared" si="1020"/>
        <v>0.18536007663686557</v>
      </c>
      <c r="EK256" s="4">
        <f t="shared" si="950"/>
        <v>0.57231561383461671</v>
      </c>
      <c r="EL256" s="4">
        <f t="shared" si="1010"/>
        <v>6.3702943972780819</v>
      </c>
      <c r="EM256" s="4">
        <f t="shared" si="1011"/>
        <v>7.2110995253438732</v>
      </c>
      <c r="EN256" s="4" t="e">
        <f t="shared" si="1012"/>
        <v>#REF!</v>
      </c>
      <c r="EO256" s="4" t="e">
        <f t="shared" si="1013"/>
        <v>#REF!</v>
      </c>
      <c r="EP256" s="4" t="e">
        <f t="shared" si="951"/>
        <v>#REF!</v>
      </c>
      <c r="EQ256" s="4" t="e">
        <f t="shared" si="1014"/>
        <v>#REF!</v>
      </c>
      <c r="ER256" s="4" t="e">
        <f t="shared" si="952"/>
        <v>#REF!</v>
      </c>
      <c r="FA256" s="23" t="e">
        <f t="shared" si="980"/>
        <v>#REF!</v>
      </c>
      <c r="FB256" s="23" t="e">
        <f t="shared" si="980"/>
        <v>#REF!</v>
      </c>
      <c r="FC256" s="23">
        <f t="shared" si="981"/>
        <v>1.6</v>
      </c>
      <c r="FD256" s="23" t="e">
        <f t="shared" si="982"/>
        <v>#REF!</v>
      </c>
      <c r="FE256" s="23">
        <f t="shared" si="982"/>
        <v>1.4</v>
      </c>
      <c r="FF256" s="23">
        <f t="shared" si="982"/>
        <v>1.6</v>
      </c>
      <c r="FG256" s="23">
        <f t="shared" si="968"/>
        <v>0</v>
      </c>
      <c r="FH256" s="23"/>
      <c r="FR256" s="4">
        <f t="shared" si="842"/>
        <v>1</v>
      </c>
      <c r="FS256" s="4">
        <f t="shared" si="843"/>
        <v>0.44374999999999998</v>
      </c>
      <c r="FT256" s="4">
        <f t="shared" si="844"/>
        <v>0.28124999999999994</v>
      </c>
      <c r="FU256" s="4">
        <f t="shared" si="845"/>
        <v>679.75867729860352</v>
      </c>
    </row>
    <row r="257" spans="2:177" ht="12" customHeight="1" x14ac:dyDescent="0.3">
      <c r="B257" s="24"/>
      <c r="C257" s="7" t="s">
        <v>388</v>
      </c>
      <c r="D257" s="38">
        <f t="shared" si="1015"/>
        <v>827.58620689655174</v>
      </c>
      <c r="E257" s="38">
        <f>12.19*25.4</f>
        <v>309.62599999999998</v>
      </c>
      <c r="F257" s="38">
        <f>4850/145</f>
        <v>33.448275862068968</v>
      </c>
      <c r="G257" s="38">
        <f t="shared" si="1016"/>
        <v>25.4</v>
      </c>
      <c r="H257" s="38">
        <f>20.1*25.4</f>
        <v>510.54</v>
      </c>
      <c r="I257" s="38">
        <f>4*25.4</f>
        <v>101.6</v>
      </c>
      <c r="J257" s="39">
        <f>3.55*25.4</f>
        <v>90.169999999999987</v>
      </c>
      <c r="K257" s="7">
        <f t="shared" si="986"/>
        <v>256.54000000000002</v>
      </c>
      <c r="L257" s="38">
        <v>2</v>
      </c>
      <c r="M257" s="4">
        <f t="shared" si="987"/>
        <v>260.34999999999997</v>
      </c>
      <c r="N257" s="7">
        <f t="shared" si="905"/>
        <v>4.5</v>
      </c>
      <c r="O257" s="7">
        <f t="shared" si="906"/>
        <v>4.5</v>
      </c>
      <c r="P257" s="38">
        <v>4</v>
      </c>
      <c r="Q257" s="4">
        <f t="shared" si="1017"/>
        <v>4</v>
      </c>
      <c r="R257" s="4">
        <f t="shared" si="907"/>
        <v>5</v>
      </c>
      <c r="S257" s="7">
        <f t="shared" si="908"/>
        <v>56.796126628494655</v>
      </c>
      <c r="V257" s="38">
        <f>128.5/0.145</f>
        <v>886.20689655172418</v>
      </c>
      <c r="X257" s="4">
        <f t="shared" si="910"/>
        <v>1.097611405753202</v>
      </c>
      <c r="Y257" s="38">
        <f t="shared" si="1027"/>
        <v>9.5249999999999986</v>
      </c>
      <c r="Z257" s="38">
        <v>8</v>
      </c>
      <c r="AA257" s="39">
        <f>4*25.4</f>
        <v>101.6</v>
      </c>
      <c r="AB257" s="39">
        <v>2</v>
      </c>
      <c r="AC257" s="39">
        <v>1</v>
      </c>
      <c r="AD257" s="7"/>
      <c r="AE257" s="4">
        <f t="shared" si="912"/>
        <v>309.62599999999998</v>
      </c>
      <c r="AF257" s="4">
        <f t="shared" si="913"/>
        <v>0.54963084495488113</v>
      </c>
      <c r="AG257" s="4">
        <f t="shared" si="914"/>
        <v>310.92503455862817</v>
      </c>
      <c r="AH257" s="4">
        <f t="shared" si="915"/>
        <v>0.77383100902378998</v>
      </c>
      <c r="AI257" s="4">
        <v>1.25</v>
      </c>
      <c r="AJ257" s="4">
        <f t="shared" si="857"/>
        <v>2.5</v>
      </c>
      <c r="AK257" s="38">
        <f t="shared" si="988"/>
        <v>413.25958844233031</v>
      </c>
      <c r="AL257" s="38">
        <f t="shared" si="953"/>
        <v>413.25958844233031</v>
      </c>
      <c r="AM257" s="38">
        <f t="shared" si="916"/>
        <v>3.1143714702560636</v>
      </c>
      <c r="AN257" s="38">
        <f t="shared" si="858"/>
        <v>413.25958844233008</v>
      </c>
      <c r="AO257" s="38">
        <f t="shared" si="840"/>
        <v>1.0000000000000004</v>
      </c>
      <c r="AP257" s="38">
        <f t="shared" si="859"/>
        <v>1.4568783940055137</v>
      </c>
      <c r="AQ257" s="4">
        <f t="shared" si="860"/>
        <v>0</v>
      </c>
      <c r="AR257" s="4" t="e">
        <f>#REF!/G257*F257^0.5/0.19</f>
        <v>#REF!</v>
      </c>
      <c r="AS257" s="4">
        <f t="shared" si="917"/>
        <v>1</v>
      </c>
      <c r="AT257" s="38">
        <f t="shared" si="918"/>
        <v>602.06896551724139</v>
      </c>
      <c r="AU257" s="4">
        <f t="shared" si="919"/>
        <v>0.44000000000000006</v>
      </c>
      <c r="AV257" s="4" t="e">
        <f>AU257*D257*#REF!/(D257*G257/2.75/F257^0.5)</f>
        <v>#REF!</v>
      </c>
      <c r="AW257" s="4" t="e">
        <f t="shared" si="989"/>
        <v>#REF!</v>
      </c>
      <c r="AY257" s="4">
        <f t="shared" si="920"/>
        <v>1.5</v>
      </c>
      <c r="AZ257" s="4" t="e">
        <f>(3*#REF!+30)*AY257*F257^0.5</f>
        <v>#REF!</v>
      </c>
      <c r="BB257" s="4">
        <f t="shared" si="921"/>
        <v>577.45776616774151</v>
      </c>
      <c r="BC257" s="4">
        <f t="shared" si="922"/>
        <v>0</v>
      </c>
      <c r="BD257" s="4">
        <f t="shared" si="990"/>
        <v>0</v>
      </c>
      <c r="BL257" s="4">
        <f t="shared" si="923"/>
        <v>101.6</v>
      </c>
      <c r="BP257" s="9"/>
      <c r="BR257" s="9"/>
      <c r="BS257" s="9"/>
      <c r="BT257" s="9">
        <f t="shared" si="924"/>
        <v>90.169999999999987</v>
      </c>
      <c r="BU257" s="9">
        <f t="shared" si="925"/>
        <v>128.27000000000001</v>
      </c>
      <c r="BV257" s="9">
        <f t="shared" si="926"/>
        <v>1.9864316684380796</v>
      </c>
      <c r="BW257" s="40">
        <f t="shared" si="1018"/>
        <v>20</v>
      </c>
      <c r="BX257" s="9">
        <f t="shared" si="927"/>
        <v>0.05</v>
      </c>
      <c r="BY257" s="9">
        <f t="shared" si="991"/>
        <v>0.8</v>
      </c>
      <c r="BZ257" s="9">
        <f t="shared" si="928"/>
        <v>0.99524931562137331</v>
      </c>
      <c r="CA257" s="9">
        <f t="shared" si="929"/>
        <v>0.68</v>
      </c>
      <c r="CB257" s="9">
        <f t="shared" si="930"/>
        <v>1.3699215983187671</v>
      </c>
      <c r="CC257" s="9">
        <f t="shared" si="931"/>
        <v>3.4248039957969176</v>
      </c>
      <c r="CD257" s="40">
        <v>1</v>
      </c>
      <c r="CE257" s="9" t="e">
        <f>4*CC257*#REF!+60*CC257</f>
        <v>#REF!</v>
      </c>
      <c r="CG257" s="4" t="e">
        <f t="shared" si="992"/>
        <v>#REF!</v>
      </c>
      <c r="CH257" s="4" t="e">
        <f t="shared" si="993"/>
        <v>#REF!</v>
      </c>
      <c r="CI257" s="4" t="e">
        <f t="shared" si="994"/>
        <v>#REF!</v>
      </c>
      <c r="CJ257" s="4" t="e">
        <f t="shared" si="995"/>
        <v>#REF!</v>
      </c>
      <c r="CK257" s="4">
        <f t="shared" si="996"/>
        <v>1.097611405753202</v>
      </c>
      <c r="CL257" s="4">
        <f t="shared" si="997"/>
        <v>1.2065212017848979</v>
      </c>
      <c r="CM257" s="4">
        <f t="shared" si="978"/>
        <v>1.3452828172806048</v>
      </c>
      <c r="CN257" s="4">
        <f t="shared" si="1019"/>
        <v>8</v>
      </c>
      <c r="CU257" s="4" t="e">
        <f t="shared" si="1021"/>
        <v>#REF!</v>
      </c>
      <c r="CV257" s="4" t="e">
        <f t="shared" si="1022"/>
        <v>#REF!</v>
      </c>
      <c r="CW257" s="4" t="e">
        <f t="shared" si="1023"/>
        <v>#REF!</v>
      </c>
      <c r="CX257" s="4">
        <f t="shared" si="1024"/>
        <v>1.3452828172806048</v>
      </c>
      <c r="CY257" s="4">
        <f t="shared" si="1025"/>
        <v>1.097611405753202</v>
      </c>
      <c r="CZ257" s="4">
        <f t="shared" si="1026"/>
        <v>1.2065212017848979</v>
      </c>
      <c r="DC257" s="4" t="e">
        <f>#REF!</f>
        <v>#REF!</v>
      </c>
      <c r="DF257" s="4">
        <f t="shared" si="932"/>
        <v>2.2302235172382959E-5</v>
      </c>
      <c r="DG257" s="4">
        <f t="shared" si="1004"/>
        <v>8.8731797505383305</v>
      </c>
      <c r="DH257" s="4">
        <f t="shared" si="934"/>
        <v>0.68261339559618783</v>
      </c>
      <c r="DI257" s="4">
        <f t="shared" si="1005"/>
        <v>7.6163904897469754</v>
      </c>
      <c r="DJ257" s="4">
        <f t="shared" si="1006"/>
        <v>8.2687115091235786</v>
      </c>
      <c r="DK257" s="4">
        <f t="shared" si="937"/>
        <v>8.0052518981639746</v>
      </c>
      <c r="DL257" s="38">
        <f t="shared" si="938"/>
        <v>807.39585239968596</v>
      </c>
      <c r="DM257" s="4" t="e">
        <f t="shared" si="1007"/>
        <v>#REF!</v>
      </c>
      <c r="DN257" s="4">
        <f t="shared" si="940"/>
        <v>2.2360679774997898</v>
      </c>
      <c r="DO257" s="4">
        <f t="shared" si="976"/>
        <v>413.25958844233008</v>
      </c>
      <c r="DS257" s="4">
        <f t="shared" si="941"/>
        <v>0.85</v>
      </c>
      <c r="DT257" s="4">
        <f t="shared" si="942"/>
        <v>0.7</v>
      </c>
      <c r="DU257" s="4">
        <f t="shared" si="943"/>
        <v>0.99062499999999998</v>
      </c>
      <c r="DV257" s="4">
        <f t="shared" si="1008"/>
        <v>0.7</v>
      </c>
      <c r="DX257" s="4">
        <f t="shared" si="945"/>
        <v>734.51415129770737</v>
      </c>
      <c r="DY257" s="25">
        <f t="shared" si="851"/>
        <v>410.02196782052062</v>
      </c>
      <c r="EA257" s="4">
        <f t="shared" si="852"/>
        <v>0.59499999999999997</v>
      </c>
      <c r="EB257" s="4">
        <f t="shared" si="946"/>
        <v>8.8731797505383305</v>
      </c>
      <c r="EE257" s="4">
        <f t="shared" si="947"/>
        <v>56.796126628494655</v>
      </c>
      <c r="EF257" s="4">
        <f t="shared" si="1009"/>
        <v>2.2360679774997898</v>
      </c>
      <c r="EG257" s="4">
        <f t="shared" si="949"/>
        <v>0.21587231067569562</v>
      </c>
      <c r="EJ257" s="4">
        <f t="shared" si="1020"/>
        <v>0.21587231067569562</v>
      </c>
      <c r="EK257" s="4">
        <f t="shared" si="950"/>
        <v>0.68147424106078058</v>
      </c>
      <c r="EL257" s="4">
        <f t="shared" si="1010"/>
        <v>7.6113038076471362</v>
      </c>
      <c r="EM257" s="4">
        <f t="shared" si="1011"/>
        <v>8.2663694968956261</v>
      </c>
      <c r="EN257" s="4" t="e">
        <f t="shared" si="1012"/>
        <v>#REF!</v>
      </c>
      <c r="EO257" s="4" t="e">
        <f t="shared" si="1013"/>
        <v>#REF!</v>
      </c>
      <c r="EP257" s="4" t="e">
        <f t="shared" si="951"/>
        <v>#REF!</v>
      </c>
      <c r="EQ257" s="4" t="e">
        <f t="shared" si="1014"/>
        <v>#REF!</v>
      </c>
      <c r="ER257" s="4" t="e">
        <f t="shared" si="952"/>
        <v>#REF!</v>
      </c>
      <c r="FA257" s="23" t="e">
        <f t="shared" si="980"/>
        <v>#REF!</v>
      </c>
      <c r="FB257" s="23" t="e">
        <f t="shared" si="980"/>
        <v>#REF!</v>
      </c>
      <c r="FC257" s="23">
        <f t="shared" si="981"/>
        <v>1.4</v>
      </c>
      <c r="FD257" s="23" t="e">
        <f t="shared" si="982"/>
        <v>#REF!</v>
      </c>
      <c r="FE257" s="23">
        <f t="shared" si="982"/>
        <v>1.2</v>
      </c>
      <c r="FF257" s="23">
        <f t="shared" si="982"/>
        <v>1.4</v>
      </c>
      <c r="FG257" s="23">
        <f t="shared" si="968"/>
        <v>0</v>
      </c>
      <c r="FH257" s="23"/>
      <c r="FR257" s="4">
        <f t="shared" si="842"/>
        <v>1</v>
      </c>
      <c r="FS257" s="4">
        <f t="shared" si="843"/>
        <v>0.44374999999999998</v>
      </c>
      <c r="FT257" s="4">
        <f t="shared" si="844"/>
        <v>0.28124999999999994</v>
      </c>
      <c r="FU257" s="4">
        <f t="shared" si="845"/>
        <v>658.75136823878381</v>
      </c>
    </row>
    <row r="258" spans="2:177" ht="12" customHeight="1" x14ac:dyDescent="0.3">
      <c r="B258" s="24" t="s">
        <v>404</v>
      </c>
      <c r="C258" s="7" t="s">
        <v>389</v>
      </c>
      <c r="D258" s="38">
        <f t="shared" si="1015"/>
        <v>827.58620689655174</v>
      </c>
      <c r="E258" s="38">
        <f>12.56*25.4</f>
        <v>319.024</v>
      </c>
      <c r="F258" s="38">
        <f>5910/145</f>
        <v>40.758620689655174</v>
      </c>
      <c r="G258" s="38">
        <f t="shared" si="1016"/>
        <v>25.4</v>
      </c>
      <c r="H258" s="38">
        <f>16.8*25.4</f>
        <v>426.71999999999997</v>
      </c>
      <c r="I258" s="38">
        <f>2.5*25.4</f>
        <v>63.5</v>
      </c>
      <c r="J258" s="39">
        <f>3.15*25.4</f>
        <v>80.009999999999991</v>
      </c>
      <c r="K258" s="7">
        <f t="shared" si="986"/>
        <v>248.91999999999996</v>
      </c>
      <c r="L258" s="38">
        <v>2</v>
      </c>
      <c r="M258" s="4">
        <f t="shared" ref="M258:M321" si="1028">10.25*25.4</f>
        <v>260.34999999999997</v>
      </c>
      <c r="N258" s="7">
        <f t="shared" si="905"/>
        <v>3</v>
      </c>
      <c r="O258" s="7">
        <f t="shared" si="906"/>
        <v>3</v>
      </c>
      <c r="P258" s="38">
        <v>4</v>
      </c>
      <c r="Q258" s="4">
        <f t="shared" si="1017"/>
        <v>4</v>
      </c>
      <c r="R258" s="4">
        <f t="shared" si="907"/>
        <v>5</v>
      </c>
      <c r="S258" s="7">
        <f t="shared" si="908"/>
        <v>56.796126628494655</v>
      </c>
      <c r="V258" s="38">
        <f>123.7/0.145</f>
        <v>853.10344827586209</v>
      </c>
      <c r="X258" s="4">
        <f t="shared" si="910"/>
        <v>1.1737171323264513</v>
      </c>
      <c r="Y258" s="38"/>
      <c r="Z258" s="38"/>
      <c r="AA258" s="39">
        <v>1</v>
      </c>
      <c r="AB258" s="39"/>
      <c r="AC258" s="39"/>
      <c r="AD258" s="7"/>
      <c r="AE258" s="4">
        <f t="shared" si="912"/>
        <v>319.024</v>
      </c>
      <c r="AF258" s="4">
        <f t="shared" si="913"/>
        <v>0.44585987261146492</v>
      </c>
      <c r="AG258" s="4">
        <f t="shared" si="914"/>
        <v>358.96942805546695</v>
      </c>
      <c r="AH258" s="4">
        <f t="shared" si="915"/>
        <v>0.74777070063694262</v>
      </c>
      <c r="AI258" s="4">
        <v>1.25</v>
      </c>
      <c r="AJ258" s="4">
        <f t="shared" si="857"/>
        <v>2.5</v>
      </c>
      <c r="AK258" s="38">
        <f t="shared" si="988"/>
        <v>374.00233779258627</v>
      </c>
      <c r="AL258" s="38">
        <f t="shared" si="953"/>
        <v>374.00233779258627</v>
      </c>
      <c r="AM258" s="38">
        <f t="shared" si="916"/>
        <v>3.5530466297176955</v>
      </c>
      <c r="AN258" s="38">
        <f t="shared" si="858"/>
        <v>374.0023377925865</v>
      </c>
      <c r="AO258" s="38">
        <f t="shared" si="840"/>
        <v>0.99999999999999944</v>
      </c>
      <c r="AP258" s="38">
        <f t="shared" si="859"/>
        <v>1.3077550561919431</v>
      </c>
      <c r="AQ258" s="4">
        <f t="shared" si="860"/>
        <v>0</v>
      </c>
      <c r="AR258" s="4" t="e">
        <f>#REF!/G258*F258^0.5/0.19</f>
        <v>#REF!</v>
      </c>
      <c r="AS258" s="4">
        <f t="shared" si="917"/>
        <v>1</v>
      </c>
      <c r="AT258" s="38">
        <f t="shared" si="918"/>
        <v>489.10344827586204</v>
      </c>
      <c r="AU258" s="4">
        <f t="shared" si="919"/>
        <v>0.44000000000000006</v>
      </c>
      <c r="AV258" s="4" t="e">
        <f>AU258*D258*#REF!/(D258*G258/2.75/F258^0.5)</f>
        <v>#REF!</v>
      </c>
      <c r="AW258" s="4" t="e">
        <f t="shared" si="989"/>
        <v>#REF!</v>
      </c>
      <c r="AY258" s="4">
        <f t="shared" si="920"/>
        <v>1.375</v>
      </c>
      <c r="AZ258" s="4" t="e">
        <f>(3*#REF!+30)*AY258*F258^0.5</f>
        <v>#REF!</v>
      </c>
      <c r="BB258" s="4">
        <f t="shared" si="921"/>
        <v>469.11002035070135</v>
      </c>
      <c r="BC258" s="4">
        <f t="shared" si="922"/>
        <v>0</v>
      </c>
      <c r="BD258" s="4">
        <f t="shared" si="990"/>
        <v>0</v>
      </c>
      <c r="BL258" s="4">
        <f t="shared" si="923"/>
        <v>63.5</v>
      </c>
      <c r="BP258" s="9"/>
      <c r="BR258" s="9"/>
      <c r="BS258" s="9"/>
      <c r="BT258" s="9">
        <f t="shared" si="924"/>
        <v>63.5</v>
      </c>
      <c r="BU258" s="9">
        <f t="shared" si="925"/>
        <v>124.45999999999998</v>
      </c>
      <c r="BV258" s="9">
        <f t="shared" si="926"/>
        <v>1.7490749303163509</v>
      </c>
      <c r="BW258" s="40">
        <f t="shared" si="1018"/>
        <v>0</v>
      </c>
      <c r="BX258" s="9">
        <f t="shared" si="927"/>
        <v>0</v>
      </c>
      <c r="BY258" s="9">
        <f t="shared" si="991"/>
        <v>0</v>
      </c>
      <c r="BZ258" s="9">
        <f t="shared" si="928"/>
        <v>0.99524931562137331</v>
      </c>
      <c r="CA258" s="9">
        <f t="shared" si="929"/>
        <v>0.68</v>
      </c>
      <c r="CB258" s="9">
        <f t="shared" si="930"/>
        <v>1.5122325576992237</v>
      </c>
      <c r="CC258" s="9">
        <f t="shared" si="931"/>
        <v>2.6450080554798867</v>
      </c>
      <c r="CD258" s="40">
        <v>1</v>
      </c>
      <c r="CE258" s="9" t="e">
        <f>4*CC258*#REF!+60*CC258</f>
        <v>#REF!</v>
      </c>
      <c r="CG258" s="4" t="e">
        <f t="shared" si="992"/>
        <v>#REF!</v>
      </c>
      <c r="CH258" s="4" t="e">
        <f t="shared" si="993"/>
        <v>#REF!</v>
      </c>
      <c r="CI258" s="4" t="e">
        <f t="shared" si="994"/>
        <v>#REF!</v>
      </c>
      <c r="CJ258" s="4" t="e">
        <f t="shared" si="995"/>
        <v>#REF!</v>
      </c>
      <c r="CK258" s="4">
        <f t="shared" si="996"/>
        <v>1.1737171323264513</v>
      </c>
      <c r="CL258" s="4">
        <f t="shared" si="997"/>
        <v>1.2638608456589822</v>
      </c>
      <c r="CM258" s="4">
        <f t="shared" si="978"/>
        <v>1.3479209893794599</v>
      </c>
      <c r="CN258" s="4">
        <f t="shared" si="1019"/>
        <v>0</v>
      </c>
      <c r="CO258" s="4" t="e">
        <f t="shared" ref="CO258:CO259" si="1029">CG258</f>
        <v>#REF!</v>
      </c>
      <c r="CP258" s="4" t="e">
        <f t="shared" ref="CP258:CP259" si="1030">CH258</f>
        <v>#REF!</v>
      </c>
      <c r="CQ258" s="4" t="e">
        <f t="shared" ref="CQ258:CQ259" si="1031">CJ258</f>
        <v>#REF!</v>
      </c>
      <c r="CR258" s="4">
        <f t="shared" ref="CR258:CR259" si="1032">CM258</f>
        <v>1.3479209893794599</v>
      </c>
      <c r="CS258" s="4">
        <f t="shared" ref="CS258:CS259" si="1033">CK258</f>
        <v>1.1737171323264513</v>
      </c>
      <c r="CT258" s="4">
        <f t="shared" ref="CT258:CT259" si="1034">CL258</f>
        <v>1.2638608456589822</v>
      </c>
      <c r="DC258" s="4" t="e">
        <f>#REF!</f>
        <v>#REF!</v>
      </c>
      <c r="DF258" s="4">
        <f t="shared" si="932"/>
        <v>2.4141948123623064E-5</v>
      </c>
      <c r="DG258" s="4">
        <f t="shared" si="1004"/>
        <v>8.0664280589525461</v>
      </c>
      <c r="DH258" s="4">
        <f t="shared" si="934"/>
        <v>0.50696787740392724</v>
      </c>
      <c r="DI258" s="4">
        <f t="shared" si="1005"/>
        <v>6.1471447785115361</v>
      </c>
      <c r="DJ258" s="4">
        <f t="shared" si="1006"/>
        <v>7.1714004765210388</v>
      </c>
      <c r="DK258" s="4">
        <f t="shared" si="937"/>
        <v>7.3072902982542649</v>
      </c>
      <c r="DL258" s="38">
        <f t="shared" si="938"/>
        <v>726.83905242560991</v>
      </c>
      <c r="DM258" s="4" t="e">
        <f t="shared" si="1007"/>
        <v>#REF!</v>
      </c>
      <c r="DN258" s="4">
        <f t="shared" si="940"/>
        <v>2.2360679774997898</v>
      </c>
      <c r="DO258" s="4">
        <f t="shared" si="976"/>
        <v>374.0023377925865</v>
      </c>
      <c r="DS258" s="4">
        <f t="shared" si="941"/>
        <v>0.85</v>
      </c>
      <c r="DT258" s="4">
        <f t="shared" si="942"/>
        <v>0.85</v>
      </c>
      <c r="DU258" s="4">
        <f t="shared" si="943"/>
        <v>1</v>
      </c>
      <c r="DV258" s="4">
        <f t="shared" si="1008"/>
        <v>0.85</v>
      </c>
      <c r="DX258" s="4">
        <f t="shared" si="945"/>
        <v>674.99792497413</v>
      </c>
      <c r="DY258" s="25">
        <f t="shared" si="851"/>
        <v>371.05491571279799</v>
      </c>
      <c r="EA258" s="4">
        <f t="shared" si="852"/>
        <v>0.72249999999999992</v>
      </c>
      <c r="EB258" s="4">
        <f t="shared" si="946"/>
        <v>8.0664280589525461</v>
      </c>
      <c r="EE258" s="4">
        <f t="shared" si="947"/>
        <v>56.796126628494655</v>
      </c>
      <c r="EF258" s="4">
        <f t="shared" si="1009"/>
        <v>2.2360679774997898</v>
      </c>
      <c r="EG258" s="4">
        <f t="shared" si="949"/>
        <v>0.17698051196033657</v>
      </c>
      <c r="EJ258" s="4">
        <f t="shared" si="1020"/>
        <v>0.17698051196033657</v>
      </c>
      <c r="EK258" s="4">
        <f t="shared" si="950"/>
        <v>0.50612184250250825</v>
      </c>
      <c r="EL258" s="4">
        <f t="shared" si="1010"/>
        <v>6.1430393467650841</v>
      </c>
      <c r="EM258" s="4">
        <f t="shared" si="1011"/>
        <v>7.1696423658726474</v>
      </c>
      <c r="EN258" s="4" t="e">
        <f t="shared" si="1012"/>
        <v>#REF!</v>
      </c>
      <c r="EO258" s="4" t="e">
        <f t="shared" si="1013"/>
        <v>#REF!</v>
      </c>
      <c r="EP258" s="4" t="e">
        <f t="shared" si="951"/>
        <v>#REF!</v>
      </c>
      <c r="EQ258" s="4" t="e">
        <f t="shared" si="1014"/>
        <v>#REF!</v>
      </c>
      <c r="ER258" s="4" t="e">
        <f t="shared" si="952"/>
        <v>#REF!</v>
      </c>
      <c r="FA258" s="23" t="e">
        <f t="shared" si="980"/>
        <v>#REF!</v>
      </c>
      <c r="FB258" s="23" t="e">
        <f t="shared" si="980"/>
        <v>#REF!</v>
      </c>
      <c r="FC258" s="23">
        <f t="shared" si="981"/>
        <v>1.4</v>
      </c>
      <c r="FD258" s="23" t="e">
        <f t="shared" si="982"/>
        <v>#REF!</v>
      </c>
      <c r="FE258" s="23">
        <f t="shared" si="982"/>
        <v>1.2</v>
      </c>
      <c r="FF258" s="23">
        <f t="shared" si="982"/>
        <v>1.4</v>
      </c>
      <c r="FG258" s="23">
        <f t="shared" si="968"/>
        <v>0</v>
      </c>
      <c r="FH258" s="23"/>
      <c r="FR258" s="4">
        <f t="shared" si="842"/>
        <v>1</v>
      </c>
      <c r="FS258" s="4">
        <f t="shared" si="843"/>
        <v>0.5</v>
      </c>
      <c r="FT258" s="4">
        <f t="shared" si="844"/>
        <v>0</v>
      </c>
      <c r="FU258" s="4">
        <f t="shared" si="845"/>
        <v>632.90315604374098</v>
      </c>
    </row>
    <row r="259" spans="2:177" ht="12" customHeight="1" x14ac:dyDescent="0.3">
      <c r="B259" s="24"/>
      <c r="C259" s="7" t="s">
        <v>390</v>
      </c>
      <c r="D259" s="38">
        <f t="shared" si="1015"/>
        <v>827.58620689655174</v>
      </c>
      <c r="E259" s="38">
        <f>12.5*25.4</f>
        <v>317.5</v>
      </c>
      <c r="F259" s="38">
        <f>6320/145</f>
        <v>43.586206896551722</v>
      </c>
      <c r="G259" s="38">
        <f t="shared" si="1016"/>
        <v>25.4</v>
      </c>
      <c r="H259" s="38">
        <f>18.7*25.4</f>
        <v>474.97999999999996</v>
      </c>
      <c r="I259" s="38">
        <f>3.35*25.4</f>
        <v>85.09</v>
      </c>
      <c r="J259" s="39">
        <f>3.15*25.4</f>
        <v>80.009999999999991</v>
      </c>
      <c r="K259" s="7">
        <f t="shared" si="986"/>
        <v>253.99999999999994</v>
      </c>
      <c r="L259" s="38">
        <v>2</v>
      </c>
      <c r="M259" s="4">
        <f t="shared" si="1028"/>
        <v>260.34999999999997</v>
      </c>
      <c r="N259" s="7">
        <f t="shared" si="905"/>
        <v>3.8500000000000005</v>
      </c>
      <c r="O259" s="7">
        <f t="shared" si="906"/>
        <v>3.8500000000000005</v>
      </c>
      <c r="P259" s="38">
        <v>4</v>
      </c>
      <c r="Q259" s="4">
        <f t="shared" si="1017"/>
        <v>4</v>
      </c>
      <c r="R259" s="4">
        <f t="shared" si="907"/>
        <v>5</v>
      </c>
      <c r="S259" s="7">
        <f t="shared" si="908"/>
        <v>56.796126628494655</v>
      </c>
      <c r="V259" s="38">
        <f>118.2/0.145</f>
        <v>815.17241379310349</v>
      </c>
      <c r="X259" s="4">
        <f t="shared" si="910"/>
        <v>0.98499999999999999</v>
      </c>
      <c r="Y259" s="38"/>
      <c r="Z259" s="38"/>
      <c r="AA259" s="39">
        <v>1</v>
      </c>
      <c r="AB259" s="39"/>
      <c r="AC259" s="39"/>
      <c r="AD259" s="7"/>
      <c r="AE259" s="4">
        <f t="shared" si="912"/>
        <v>317.5</v>
      </c>
      <c r="AF259" s="4">
        <f t="shared" si="913"/>
        <v>0.49866666666666659</v>
      </c>
      <c r="AG259" s="4">
        <f t="shared" si="914"/>
        <v>368.55543684532665</v>
      </c>
      <c r="AH259" s="4">
        <f t="shared" si="915"/>
        <v>0.76159999999999994</v>
      </c>
      <c r="AI259" s="4">
        <v>1.25</v>
      </c>
      <c r="AJ259" s="4">
        <f t="shared" si="857"/>
        <v>2.5</v>
      </c>
      <c r="AK259" s="38">
        <f t="shared" si="988"/>
        <v>437.41142059301609</v>
      </c>
      <c r="AL259" s="38">
        <f t="shared" si="953"/>
        <v>437.41142059301609</v>
      </c>
      <c r="AM259" s="38">
        <f t="shared" si="916"/>
        <v>3.7155288579258352</v>
      </c>
      <c r="AN259" s="38">
        <f t="shared" si="858"/>
        <v>437.41142059301598</v>
      </c>
      <c r="AO259" s="38">
        <f t="shared" si="840"/>
        <v>1.0000000000000002</v>
      </c>
      <c r="AP259" s="38">
        <f t="shared" si="859"/>
        <v>1.5345451778485499</v>
      </c>
      <c r="AQ259" s="4">
        <f t="shared" si="860"/>
        <v>0</v>
      </c>
      <c r="AR259" s="4" t="e">
        <f>#REF!/G259*F259^0.5/0.19</f>
        <v>#REF!</v>
      </c>
      <c r="AS259" s="4">
        <f t="shared" si="917"/>
        <v>1</v>
      </c>
      <c r="AT259" s="38">
        <f t="shared" si="918"/>
        <v>671.2275862068966</v>
      </c>
      <c r="AU259" s="4">
        <f t="shared" si="919"/>
        <v>0.44000000000000006</v>
      </c>
      <c r="AV259" s="4" t="e">
        <f>AU259*D259*#REF!/(D259*G259/2.75/F259^0.5)</f>
        <v>#REF!</v>
      </c>
      <c r="AW259" s="4" t="e">
        <f t="shared" si="989"/>
        <v>#REF!</v>
      </c>
      <c r="AY259" s="4">
        <f t="shared" si="920"/>
        <v>1.5</v>
      </c>
      <c r="AZ259" s="4" t="e">
        <f>(3*#REF!+30)*AY259*F259^0.5</f>
        <v>#REF!</v>
      </c>
      <c r="BB259" s="4">
        <f t="shared" si="921"/>
        <v>643.78934095731893</v>
      </c>
      <c r="BC259" s="4">
        <f t="shared" si="922"/>
        <v>0</v>
      </c>
      <c r="BD259" s="4">
        <f t="shared" si="990"/>
        <v>0</v>
      </c>
      <c r="BL259" s="4">
        <f t="shared" si="923"/>
        <v>85.09</v>
      </c>
      <c r="BP259" s="9"/>
      <c r="BR259" s="9"/>
      <c r="BS259" s="9"/>
      <c r="BT259" s="9">
        <f t="shared" si="924"/>
        <v>80.009999999999991</v>
      </c>
      <c r="BU259" s="9">
        <f t="shared" si="925"/>
        <v>126.99999999999997</v>
      </c>
      <c r="BV259" s="9">
        <f t="shared" si="926"/>
        <v>1.9021913151302714</v>
      </c>
      <c r="BW259" s="40">
        <f t="shared" si="1018"/>
        <v>0</v>
      </c>
      <c r="BX259" s="9">
        <f t="shared" si="927"/>
        <v>0</v>
      </c>
      <c r="BY259" s="9">
        <f t="shared" si="991"/>
        <v>0</v>
      </c>
      <c r="BZ259" s="9">
        <f t="shared" si="928"/>
        <v>0.99524931562137331</v>
      </c>
      <c r="CA259" s="9">
        <f t="shared" si="929"/>
        <v>0.68</v>
      </c>
      <c r="CB259" s="9">
        <f t="shared" si="930"/>
        <v>1.5638078277680176</v>
      </c>
      <c r="CC259" s="9">
        <f t="shared" si="931"/>
        <v>2.9746616685130585</v>
      </c>
      <c r="CD259" s="40">
        <v>1</v>
      </c>
      <c r="CE259" s="9" t="e">
        <f>4*CC259*#REF!+60*CC259</f>
        <v>#REF!</v>
      </c>
      <c r="CG259" s="4" t="e">
        <f t="shared" si="992"/>
        <v>#REF!</v>
      </c>
      <c r="CH259" s="4" t="e">
        <f t="shared" si="993"/>
        <v>#REF!</v>
      </c>
      <c r="CI259" s="4" t="e">
        <f t="shared" si="994"/>
        <v>#REF!</v>
      </c>
      <c r="CJ259" s="4" t="e">
        <f t="shared" si="995"/>
        <v>#REF!</v>
      </c>
      <c r="CK259" s="4">
        <f t="shared" si="996"/>
        <v>0.98499999999999999</v>
      </c>
      <c r="CL259" s="4">
        <f t="shared" si="997"/>
        <v>1.0429653107588621</v>
      </c>
      <c r="CM259" s="4">
        <f t="shared" si="978"/>
        <v>1.2726513426267121</v>
      </c>
      <c r="CN259" s="4">
        <f t="shared" si="1019"/>
        <v>0</v>
      </c>
      <c r="CO259" s="4" t="e">
        <f t="shared" si="1029"/>
        <v>#REF!</v>
      </c>
      <c r="CP259" s="4" t="e">
        <f t="shared" si="1030"/>
        <v>#REF!</v>
      </c>
      <c r="CQ259" s="4" t="e">
        <f t="shared" si="1031"/>
        <v>#REF!</v>
      </c>
      <c r="CR259" s="4">
        <f t="shared" si="1032"/>
        <v>1.2726513426267121</v>
      </c>
      <c r="CS259" s="4">
        <f t="shared" si="1033"/>
        <v>0.98499999999999999</v>
      </c>
      <c r="CT259" s="4">
        <f t="shared" si="1034"/>
        <v>1.0429653107588621</v>
      </c>
      <c r="DC259" s="4" t="e">
        <f>#REF!</f>
        <v>#REF!</v>
      </c>
      <c r="DF259" s="4">
        <f t="shared" si="932"/>
        <v>2.4475465892892514E-5</v>
      </c>
      <c r="DG259" s="4">
        <f t="shared" si="1004"/>
        <v>9.2683740829956722</v>
      </c>
      <c r="DH259" s="4">
        <f t="shared" si="934"/>
        <v>0.55445543650397222</v>
      </c>
      <c r="DI259" s="4">
        <f t="shared" si="1005"/>
        <v>7.3206595886437924</v>
      </c>
      <c r="DJ259" s="4">
        <f t="shared" si="1006"/>
        <v>8.3515689115375462</v>
      </c>
      <c r="DK259" s="4">
        <f t="shared" si="937"/>
        <v>8.2442207183689185</v>
      </c>
      <c r="DL259" s="38">
        <f t="shared" si="938"/>
        <v>827.58620689655174</v>
      </c>
      <c r="DM259" s="4" t="e">
        <f t="shared" si="1007"/>
        <v>#REF!</v>
      </c>
      <c r="DN259" s="4">
        <f t="shared" si="940"/>
        <v>2.2360679774997898</v>
      </c>
      <c r="DO259" s="4">
        <f t="shared" si="976"/>
        <v>437.41142059301598</v>
      </c>
      <c r="DS259" s="4">
        <f t="shared" si="941"/>
        <v>0.85</v>
      </c>
      <c r="DT259" s="4">
        <f t="shared" si="942"/>
        <v>0.7649999999999999</v>
      </c>
      <c r="DU259" s="4">
        <f t="shared" si="943"/>
        <v>1</v>
      </c>
      <c r="DV259" s="4">
        <f t="shared" si="1008"/>
        <v>0.7649999999999999</v>
      </c>
      <c r="DX259" s="4">
        <f t="shared" si="945"/>
        <v>781.59110891232194</v>
      </c>
      <c r="DY259" s="25">
        <f t="shared" si="851"/>
        <v>434.02708079998422</v>
      </c>
      <c r="EA259" s="4">
        <f t="shared" si="852"/>
        <v>0.65024999999999988</v>
      </c>
      <c r="EB259" s="4">
        <f t="shared" si="946"/>
        <v>9.2683740829956722</v>
      </c>
      <c r="EE259" s="4">
        <f t="shared" si="947"/>
        <v>56.796126628494655</v>
      </c>
      <c r="EF259" s="4">
        <f t="shared" si="1009"/>
        <v>2.2360679774997898</v>
      </c>
      <c r="EG259" s="4">
        <f t="shared" si="949"/>
        <v>0.20015961157174716</v>
      </c>
      <c r="EJ259" s="4">
        <f t="shared" si="1020"/>
        <v>0.20015961157174716</v>
      </c>
      <c r="EK259" s="4">
        <f t="shared" si="950"/>
        <v>0.55353015371689307</v>
      </c>
      <c r="EL259" s="4">
        <f t="shared" si="1010"/>
        <v>7.3157704133659873</v>
      </c>
      <c r="EM259" s="4">
        <f t="shared" si="1011"/>
        <v>8.3494273465101507</v>
      </c>
      <c r="EN259" s="4" t="e">
        <f t="shared" si="1012"/>
        <v>#REF!</v>
      </c>
      <c r="EO259" s="4" t="e">
        <f t="shared" si="1013"/>
        <v>#REF!</v>
      </c>
      <c r="EP259" s="4" t="e">
        <f t="shared" si="951"/>
        <v>#REF!</v>
      </c>
      <c r="EQ259" s="4" t="e">
        <f t="shared" si="1014"/>
        <v>#REF!</v>
      </c>
      <c r="ER259" s="4" t="e">
        <f t="shared" si="952"/>
        <v>#REF!</v>
      </c>
      <c r="FA259" s="23" t="e">
        <f t="shared" si="980"/>
        <v>#REF!</v>
      </c>
      <c r="FB259" s="23" t="e">
        <f t="shared" si="980"/>
        <v>#REF!</v>
      </c>
      <c r="FC259" s="23">
        <f t="shared" si="981"/>
        <v>1.4</v>
      </c>
      <c r="FD259" s="23" t="e">
        <f t="shared" si="982"/>
        <v>#REF!</v>
      </c>
      <c r="FE259" s="23">
        <f t="shared" si="982"/>
        <v>1</v>
      </c>
      <c r="FF259" s="23">
        <f t="shared" si="982"/>
        <v>1.2</v>
      </c>
      <c r="FG259" s="23">
        <f t="shared" si="968"/>
        <v>0</v>
      </c>
      <c r="FH259" s="23"/>
      <c r="FR259" s="4">
        <f t="shared" si="842"/>
        <v>1</v>
      </c>
      <c r="FS259" s="4">
        <f t="shared" si="843"/>
        <v>0.5</v>
      </c>
      <c r="FT259" s="4">
        <f t="shared" si="844"/>
        <v>0</v>
      </c>
      <c r="FU259" s="4">
        <f t="shared" si="845"/>
        <v>640.53082449951569</v>
      </c>
    </row>
    <row r="260" spans="2:177" ht="12" customHeight="1" x14ac:dyDescent="0.3">
      <c r="B260" s="24"/>
      <c r="C260" s="7" t="s">
        <v>391</v>
      </c>
      <c r="D260" s="38">
        <f t="shared" si="1015"/>
        <v>827.58620689655174</v>
      </c>
      <c r="E260" s="38">
        <f>9.56*25.4</f>
        <v>242.82400000000001</v>
      </c>
      <c r="F260" s="38">
        <f>5090/145</f>
        <v>35.103448275862071</v>
      </c>
      <c r="G260" s="38">
        <f t="shared" si="1016"/>
        <v>25.4</v>
      </c>
      <c r="H260" s="38">
        <f>17.3*25.4</f>
        <v>439.42</v>
      </c>
      <c r="I260" s="38">
        <f>2.8*25.4</f>
        <v>71.11999999999999</v>
      </c>
      <c r="J260" s="39">
        <f>3.05*25.4</f>
        <v>77.469999999999985</v>
      </c>
      <c r="K260" s="7">
        <f t="shared" si="986"/>
        <v>246.38000000000002</v>
      </c>
      <c r="L260" s="38">
        <v>2</v>
      </c>
      <c r="M260" s="4">
        <f t="shared" si="1028"/>
        <v>260.34999999999997</v>
      </c>
      <c r="N260" s="7">
        <f t="shared" si="905"/>
        <v>3.3</v>
      </c>
      <c r="O260" s="7">
        <f t="shared" si="906"/>
        <v>3.3</v>
      </c>
      <c r="P260" s="38">
        <v>4</v>
      </c>
      <c r="Q260" s="4">
        <f t="shared" si="1017"/>
        <v>4</v>
      </c>
      <c r="R260" s="4">
        <f t="shared" si="907"/>
        <v>5</v>
      </c>
      <c r="S260" s="7">
        <f t="shared" si="908"/>
        <v>56.796126628494655</v>
      </c>
      <c r="V260" s="38">
        <f>99.6/0.145</f>
        <v>686.89655172413791</v>
      </c>
      <c r="X260" s="4">
        <f t="shared" si="910"/>
        <v>1.1793748514869569</v>
      </c>
      <c r="Y260" s="38">
        <f>0.375*25.4</f>
        <v>9.5249999999999986</v>
      </c>
      <c r="Z260" s="38">
        <v>10</v>
      </c>
      <c r="AA260" s="39">
        <f>3*25.4</f>
        <v>76.199999999999989</v>
      </c>
      <c r="AB260" s="39">
        <v>3</v>
      </c>
      <c r="AC260" s="39">
        <v>1</v>
      </c>
      <c r="AD260" s="7"/>
      <c r="AE260" s="4">
        <f t="shared" si="912"/>
        <v>242.82400000000001</v>
      </c>
      <c r="AF260" s="4">
        <f t="shared" si="913"/>
        <v>0.60320781032078097</v>
      </c>
      <c r="AG260" s="4">
        <f t="shared" si="914"/>
        <v>221.2203082426764</v>
      </c>
      <c r="AH260" s="4">
        <f t="shared" si="915"/>
        <v>0.76903765690376569</v>
      </c>
      <c r="AI260" s="4">
        <v>1.25</v>
      </c>
      <c r="AJ260" s="4">
        <f t="shared" si="857"/>
        <v>2.5</v>
      </c>
      <c r="AK260" s="38">
        <f t="shared" si="988"/>
        <v>320.69307138372187</v>
      </c>
      <c r="AL260" s="38">
        <f t="shared" si="953"/>
        <v>320.69307138372187</v>
      </c>
      <c r="AM260" s="38">
        <f t="shared" si="916"/>
        <v>3.2162843791396258</v>
      </c>
      <c r="AN260" s="38">
        <f t="shared" si="858"/>
        <v>320.69307138372176</v>
      </c>
      <c r="AO260" s="38">
        <f t="shared" si="840"/>
        <v>1.0000000000000004</v>
      </c>
      <c r="AP260" s="38">
        <f t="shared" si="859"/>
        <v>1.4448878338470383</v>
      </c>
      <c r="AQ260" s="4">
        <f t="shared" si="860"/>
        <v>0</v>
      </c>
      <c r="AR260" s="4" t="e">
        <f>#REF!/G260*F260^0.5/0.19</f>
        <v>#REF!</v>
      </c>
      <c r="AS260" s="4">
        <f t="shared" si="917"/>
        <v>1</v>
      </c>
      <c r="AT260" s="38">
        <f t="shared" si="918"/>
        <v>463.36551724137934</v>
      </c>
      <c r="AU260" s="4">
        <f t="shared" si="919"/>
        <v>0.44000000000000006</v>
      </c>
      <c r="AV260" s="4" t="e">
        <f>AU260*D260*#REF!/(D260*G260/2.75/F260^0.5)</f>
        <v>#REF!</v>
      </c>
      <c r="AW260" s="4" t="e">
        <f t="shared" si="989"/>
        <v>#REF!</v>
      </c>
      <c r="AY260" s="4">
        <f t="shared" si="920"/>
        <v>1.5</v>
      </c>
      <c r="AZ260" s="4" t="e">
        <f>(3*#REF!+30)*AY260*F260^0.5</f>
        <v>#REF!</v>
      </c>
      <c r="BB260" s="4">
        <f t="shared" si="921"/>
        <v>444.42419694476757</v>
      </c>
      <c r="BC260" s="4">
        <f t="shared" si="922"/>
        <v>0</v>
      </c>
      <c r="BD260" s="4">
        <f t="shared" si="990"/>
        <v>0</v>
      </c>
      <c r="BL260" s="4">
        <f t="shared" si="923"/>
        <v>71.11999999999999</v>
      </c>
      <c r="BP260" s="9"/>
      <c r="BR260" s="9"/>
      <c r="BS260" s="9"/>
      <c r="BT260" s="9">
        <f t="shared" si="924"/>
        <v>71.11999999999999</v>
      </c>
      <c r="BU260" s="9">
        <f t="shared" si="925"/>
        <v>123.19000000000001</v>
      </c>
      <c r="BV260" s="9">
        <f t="shared" si="926"/>
        <v>1.8170487186781425</v>
      </c>
      <c r="BW260" s="40">
        <f t="shared" si="1018"/>
        <v>20</v>
      </c>
      <c r="BX260" s="9">
        <f t="shared" si="927"/>
        <v>0.05</v>
      </c>
      <c r="BY260" s="9">
        <f t="shared" si="991"/>
        <v>0.8</v>
      </c>
      <c r="BZ260" s="9">
        <f t="shared" si="928"/>
        <v>0.99524931562137331</v>
      </c>
      <c r="CA260" s="9">
        <f t="shared" si="929"/>
        <v>0.68</v>
      </c>
      <c r="CB260" s="9">
        <f t="shared" si="930"/>
        <v>1.4034073112676719</v>
      </c>
      <c r="CC260" s="9">
        <f t="shared" si="931"/>
        <v>3.5085182781691797</v>
      </c>
      <c r="CD260" s="40">
        <v>1</v>
      </c>
      <c r="CE260" s="9" t="e">
        <f>4*CC260*#REF!+60*CC260</f>
        <v>#REF!</v>
      </c>
      <c r="CG260" s="4" t="e">
        <f t="shared" si="992"/>
        <v>#REF!</v>
      </c>
      <c r="CH260" s="4" t="e">
        <f t="shared" si="993"/>
        <v>#REF!</v>
      </c>
      <c r="CI260" s="4" t="e">
        <f t="shared" si="994"/>
        <v>#REF!</v>
      </c>
      <c r="CJ260" s="4" t="e">
        <f t="shared" si="995"/>
        <v>#REF!</v>
      </c>
      <c r="CK260" s="4">
        <f t="shared" si="996"/>
        <v>1.1793748514869569</v>
      </c>
      <c r="CL260" s="4">
        <f t="shared" si="997"/>
        <v>1.267632927019867</v>
      </c>
      <c r="CM260" s="4">
        <f t="shared" si="978"/>
        <v>1.3025245533720942</v>
      </c>
      <c r="CN260" s="4">
        <f t="shared" si="1019"/>
        <v>10</v>
      </c>
      <c r="CU260" s="4" t="e">
        <f t="shared" ref="CU260:CU263" si="1035">CG260</f>
        <v>#REF!</v>
      </c>
      <c r="CV260" s="4" t="e">
        <f t="shared" ref="CV260:CV263" si="1036">CH260</f>
        <v>#REF!</v>
      </c>
      <c r="CW260" s="4" t="e">
        <f t="shared" ref="CW260:CW263" si="1037">CJ260</f>
        <v>#REF!</v>
      </c>
      <c r="CX260" s="4">
        <f t="shared" ref="CX260:CX263" si="1038">CM260</f>
        <v>1.3025245533720942</v>
      </c>
      <c r="CY260" s="4">
        <f t="shared" ref="CY260:CY263" si="1039">CK260</f>
        <v>1.1793748514869569</v>
      </c>
      <c r="CZ260" s="4">
        <f t="shared" ref="CZ260:CZ263" si="1040">CL260</f>
        <v>1.267632927019867</v>
      </c>
      <c r="DC260" s="4" t="e">
        <f>#REF!</f>
        <v>#REF!</v>
      </c>
      <c r="DF260" s="4">
        <f t="shared" si="932"/>
        <v>1.7691006908959997E-5</v>
      </c>
      <c r="DG260" s="4">
        <f t="shared" si="1004"/>
        <v>7.8332539258345992</v>
      </c>
      <c r="DH260" s="4">
        <f t="shared" si="934"/>
        <v>0.50473730099887937</v>
      </c>
      <c r="DI260" s="4">
        <f t="shared" si="1005"/>
        <v>5.958931120908705</v>
      </c>
      <c r="DJ260" s="4">
        <f t="shared" si="1006"/>
        <v>6.9595952738984037</v>
      </c>
      <c r="DK260" s="4">
        <f t="shared" si="937"/>
        <v>7.4351706042633126</v>
      </c>
      <c r="DL260" s="38">
        <f t="shared" si="938"/>
        <v>582.42428254095648</v>
      </c>
      <c r="DM260" s="4" t="e">
        <f t="shared" si="1007"/>
        <v>#REF!</v>
      </c>
      <c r="DN260" s="4">
        <f t="shared" si="940"/>
        <v>2.2360679774997898</v>
      </c>
      <c r="DO260" s="4">
        <f t="shared" si="976"/>
        <v>320.69307138372176</v>
      </c>
      <c r="DS260" s="4">
        <f t="shared" si="941"/>
        <v>0.85</v>
      </c>
      <c r="DT260" s="4">
        <f t="shared" si="942"/>
        <v>0.82000000000000006</v>
      </c>
      <c r="DU260" s="4">
        <f t="shared" si="943"/>
        <v>0.99062499999999998</v>
      </c>
      <c r="DV260" s="4">
        <f t="shared" si="1008"/>
        <v>0.81231249999999999</v>
      </c>
      <c r="DX260" s="4">
        <f t="shared" si="945"/>
        <v>541.87339022424476</v>
      </c>
      <c r="DY260" s="25">
        <f t="shared" si="851"/>
        <v>317.21566763130841</v>
      </c>
      <c r="EA260" s="4">
        <f t="shared" si="852"/>
        <v>0.69046562499999997</v>
      </c>
      <c r="EB260" s="4">
        <f t="shared" si="946"/>
        <v>7.8332539258345992</v>
      </c>
      <c r="EE260" s="4">
        <f t="shared" si="947"/>
        <v>56.796126628494655</v>
      </c>
      <c r="EF260" s="4">
        <f t="shared" si="1009"/>
        <v>2.2360679774997898</v>
      </c>
      <c r="EG260" s="4">
        <f t="shared" si="949"/>
        <v>0.16352176138615632</v>
      </c>
      <c r="EJ260" s="4">
        <f t="shared" si="1020"/>
        <v>0.16352176138615632</v>
      </c>
      <c r="EK260" s="4">
        <f t="shared" si="950"/>
        <v>0.50389498851375736</v>
      </c>
      <c r="EL260" s="4">
        <f t="shared" si="1010"/>
        <v>5.9549513895244344</v>
      </c>
      <c r="EM260" s="4">
        <f t="shared" si="1011"/>
        <v>6.9578929171418729</v>
      </c>
      <c r="EN260" s="4" t="e">
        <f t="shared" si="1012"/>
        <v>#REF!</v>
      </c>
      <c r="EO260" s="4" t="e">
        <f t="shared" si="1013"/>
        <v>#REF!</v>
      </c>
      <c r="EP260" s="4" t="e">
        <f t="shared" si="951"/>
        <v>#REF!</v>
      </c>
      <c r="EQ260" s="4" t="e">
        <f t="shared" si="1014"/>
        <v>#REF!</v>
      </c>
      <c r="ER260" s="4" t="e">
        <f t="shared" si="952"/>
        <v>#REF!</v>
      </c>
      <c r="FA260" s="23" t="e">
        <f t="shared" si="980"/>
        <v>#REF!</v>
      </c>
      <c r="FB260" s="23" t="e">
        <f t="shared" si="980"/>
        <v>#REF!</v>
      </c>
      <c r="FC260" s="23">
        <f t="shared" si="981"/>
        <v>1.4</v>
      </c>
      <c r="FD260" s="23" t="e">
        <f t="shared" si="982"/>
        <v>#REF!</v>
      </c>
      <c r="FE260" s="23">
        <f t="shared" si="982"/>
        <v>1.2</v>
      </c>
      <c r="FF260" s="23">
        <f t="shared" si="982"/>
        <v>1.4</v>
      </c>
      <c r="FG260" s="23">
        <f t="shared" si="968"/>
        <v>0</v>
      </c>
      <c r="FH260" s="23"/>
      <c r="FR260" s="4">
        <f t="shared" si="842"/>
        <v>1</v>
      </c>
      <c r="FS260" s="4">
        <f t="shared" si="843"/>
        <v>0.44</v>
      </c>
      <c r="FT260" s="4">
        <f t="shared" si="844"/>
        <v>0.3</v>
      </c>
      <c r="FU260" s="4">
        <f t="shared" si="845"/>
        <v>527.35785282959739</v>
      </c>
    </row>
    <row r="261" spans="2:177" ht="12" customHeight="1" x14ac:dyDescent="0.3">
      <c r="B261" s="24"/>
      <c r="C261" s="7" t="s">
        <v>392</v>
      </c>
      <c r="D261" s="38">
        <f t="shared" si="1015"/>
        <v>827.58620689655174</v>
      </c>
      <c r="E261" s="38">
        <f>9.56*25.4</f>
        <v>242.82400000000001</v>
      </c>
      <c r="F261" s="38">
        <f>5910/145</f>
        <v>40.758620689655174</v>
      </c>
      <c r="G261" s="38">
        <f t="shared" si="1016"/>
        <v>25.4</v>
      </c>
      <c r="H261" s="38">
        <f>18.9*25.4</f>
        <v>480.05999999999995</v>
      </c>
      <c r="I261" s="38">
        <f>3.35*25.4</f>
        <v>85.09</v>
      </c>
      <c r="J261" s="39">
        <f>3.15*25.4</f>
        <v>80.009999999999991</v>
      </c>
      <c r="K261" s="7">
        <f t="shared" si="986"/>
        <v>259.07999999999993</v>
      </c>
      <c r="L261" s="38">
        <v>2</v>
      </c>
      <c r="M261" s="4">
        <f t="shared" si="1028"/>
        <v>260.34999999999997</v>
      </c>
      <c r="N261" s="7">
        <f t="shared" si="905"/>
        <v>3.8500000000000005</v>
      </c>
      <c r="O261" s="7">
        <f t="shared" si="906"/>
        <v>3.8500000000000005</v>
      </c>
      <c r="P261" s="38">
        <v>4</v>
      </c>
      <c r="Q261" s="4">
        <f t="shared" si="1017"/>
        <v>4</v>
      </c>
      <c r="R261" s="4">
        <f t="shared" si="907"/>
        <v>5</v>
      </c>
      <c r="S261" s="7">
        <f t="shared" si="908"/>
        <v>56.796126628494655</v>
      </c>
      <c r="V261" s="38">
        <f>100.6/0.145</f>
        <v>693.79310344827582</v>
      </c>
      <c r="X261" s="4">
        <f t="shared" si="910"/>
        <v>1.0114255979953197</v>
      </c>
      <c r="Y261" s="38">
        <f t="shared" ref="Y261" si="1041">0.375*25.4</f>
        <v>9.5249999999999986</v>
      </c>
      <c r="Z261" s="38">
        <v>10</v>
      </c>
      <c r="AA261" s="39">
        <f>3*25.4</f>
        <v>76.199999999999989</v>
      </c>
      <c r="AB261" s="39">
        <v>3</v>
      </c>
      <c r="AC261" s="39">
        <v>1</v>
      </c>
      <c r="AD261" s="7"/>
      <c r="AE261" s="4">
        <f t="shared" si="912"/>
        <v>242.82400000000001</v>
      </c>
      <c r="AF261" s="4">
        <f t="shared" si="913"/>
        <v>0.65899581589958145</v>
      </c>
      <c r="AG261" s="4">
        <f t="shared" si="914"/>
        <v>238.37452595758</v>
      </c>
      <c r="AH261" s="4">
        <f t="shared" si="915"/>
        <v>0.78054393305439329</v>
      </c>
      <c r="AI261" s="4">
        <v>1.25</v>
      </c>
      <c r="AJ261" s="4">
        <f t="shared" si="857"/>
        <v>2.5</v>
      </c>
      <c r="AK261" s="38">
        <f t="shared" si="988"/>
        <v>383.16856602860486</v>
      </c>
      <c r="AL261" s="38">
        <f t="shared" si="953"/>
        <v>383.16856602860486</v>
      </c>
      <c r="AM261" s="38">
        <f t="shared" si="916"/>
        <v>3.5530466297176955</v>
      </c>
      <c r="AN261" s="38">
        <f t="shared" si="858"/>
        <v>383.16856602860469</v>
      </c>
      <c r="AO261" s="38">
        <f t="shared" si="840"/>
        <v>1.0000000000000004</v>
      </c>
      <c r="AP261" s="38">
        <f t="shared" si="859"/>
        <v>1.6381374002736733</v>
      </c>
      <c r="AQ261" s="4">
        <f t="shared" si="860"/>
        <v>0</v>
      </c>
      <c r="AR261" s="4" t="e">
        <f>#REF!/G261*F261^0.5/0.19</f>
        <v>#REF!</v>
      </c>
      <c r="AS261" s="4">
        <f t="shared" si="917"/>
        <v>1</v>
      </c>
      <c r="AT261" s="38">
        <f t="shared" si="918"/>
        <v>627.68275862068981</v>
      </c>
      <c r="AU261" s="4">
        <f t="shared" si="919"/>
        <v>0.44000000000000006</v>
      </c>
      <c r="AV261" s="4" t="e">
        <f>AU261*D261*#REF!/(D261*G261/2.75/F261^0.5)</f>
        <v>#REF!</v>
      </c>
      <c r="AW261" s="4" t="e">
        <f t="shared" si="989"/>
        <v>#REF!</v>
      </c>
      <c r="AY261" s="4">
        <f t="shared" si="920"/>
        <v>1.5</v>
      </c>
      <c r="AZ261" s="4" t="e">
        <f>(3*#REF!+30)*AY261*F261^0.5</f>
        <v>#REF!</v>
      </c>
      <c r="BB261" s="4">
        <f t="shared" si="921"/>
        <v>602.02452611673345</v>
      </c>
      <c r="BC261" s="4">
        <f t="shared" si="922"/>
        <v>0</v>
      </c>
      <c r="BD261" s="4">
        <f t="shared" si="990"/>
        <v>0</v>
      </c>
      <c r="BL261" s="4">
        <f t="shared" si="923"/>
        <v>85.09</v>
      </c>
      <c r="BP261" s="9"/>
      <c r="BR261" s="9"/>
      <c r="BS261" s="9"/>
      <c r="BT261" s="9">
        <f t="shared" si="924"/>
        <v>80.009999999999991</v>
      </c>
      <c r="BU261" s="9">
        <f t="shared" si="925"/>
        <v>129.53999999999996</v>
      </c>
      <c r="BV261" s="9">
        <f t="shared" si="926"/>
        <v>1.9078499730405829</v>
      </c>
      <c r="BW261" s="40">
        <f t="shared" si="1018"/>
        <v>20</v>
      </c>
      <c r="BX261" s="9">
        <f t="shared" si="927"/>
        <v>0.05</v>
      </c>
      <c r="BY261" s="9">
        <f t="shared" si="991"/>
        <v>0.8</v>
      </c>
      <c r="BZ261" s="9">
        <f t="shared" si="928"/>
        <v>0.99524931562137331</v>
      </c>
      <c r="CA261" s="9">
        <f t="shared" si="929"/>
        <v>0.68</v>
      </c>
      <c r="CB261" s="9">
        <f t="shared" si="930"/>
        <v>1.5122325576992237</v>
      </c>
      <c r="CC261" s="9">
        <f t="shared" si="931"/>
        <v>3.7805813942480593</v>
      </c>
      <c r="CD261" s="40">
        <v>1</v>
      </c>
      <c r="CE261" s="9" t="e">
        <f>4*CC261*#REF!+60*CC261</f>
        <v>#REF!</v>
      </c>
      <c r="CG261" s="4" t="e">
        <f t="shared" si="992"/>
        <v>#REF!</v>
      </c>
      <c r="CH261" s="4" t="e">
        <f t="shared" si="993"/>
        <v>#REF!</v>
      </c>
      <c r="CI261" s="4" t="e">
        <f t="shared" si="994"/>
        <v>#REF!</v>
      </c>
      <c r="CJ261" s="4" t="e">
        <f t="shared" si="995"/>
        <v>#REF!</v>
      </c>
      <c r="CK261" s="4">
        <f t="shared" si="996"/>
        <v>1.0114255979953197</v>
      </c>
      <c r="CL261" s="4">
        <f t="shared" si="997"/>
        <v>1.0864732280294513</v>
      </c>
      <c r="CM261" s="4">
        <f t="shared" si="978"/>
        <v>1.2673808375373148</v>
      </c>
      <c r="CN261" s="4">
        <f t="shared" si="1019"/>
        <v>10</v>
      </c>
      <c r="CU261" s="4" t="e">
        <f t="shared" si="1035"/>
        <v>#REF!</v>
      </c>
      <c r="CV261" s="4" t="e">
        <f t="shared" si="1036"/>
        <v>#REF!</v>
      </c>
      <c r="CW261" s="4" t="e">
        <f t="shared" si="1037"/>
        <v>#REF!</v>
      </c>
      <c r="CX261" s="4">
        <f t="shared" si="1038"/>
        <v>1.2673808375373148</v>
      </c>
      <c r="CY261" s="4">
        <f t="shared" si="1039"/>
        <v>1.0114255979953197</v>
      </c>
      <c r="CZ261" s="4">
        <f t="shared" si="1040"/>
        <v>1.0864732280294513</v>
      </c>
      <c r="DC261" s="4" t="e">
        <f>#REF!</f>
        <v>#REF!</v>
      </c>
      <c r="DF261" s="4">
        <f t="shared" si="932"/>
        <v>1.8375559240592081E-5</v>
      </c>
      <c r="DG261" s="4">
        <f t="shared" si="1004"/>
        <v>9.0475183276018765</v>
      </c>
      <c r="DH261" s="4">
        <f t="shared" si="934"/>
        <v>0.5193928887020951</v>
      </c>
      <c r="DI261" s="4">
        <f t="shared" si="1005"/>
        <v>6.9619014486186845</v>
      </c>
      <c r="DJ261" s="4">
        <f t="shared" si="1006"/>
        <v>8.0724627777507614</v>
      </c>
      <c r="DK261" s="4">
        <f t="shared" si="937"/>
        <v>8.4939345141555673</v>
      </c>
      <c r="DL261" s="38">
        <f t="shared" si="938"/>
        <v>685.95564994933648</v>
      </c>
      <c r="DM261" s="4" t="e">
        <f t="shared" si="1007"/>
        <v>#REF!</v>
      </c>
      <c r="DN261" s="4">
        <f t="shared" si="940"/>
        <v>2.2360679774997898</v>
      </c>
      <c r="DO261" s="4">
        <f t="shared" si="976"/>
        <v>383.16856602860469</v>
      </c>
      <c r="DS261" s="4">
        <f t="shared" si="941"/>
        <v>0.85</v>
      </c>
      <c r="DT261" s="4">
        <f t="shared" si="942"/>
        <v>0.7649999999999999</v>
      </c>
      <c r="DU261" s="4">
        <f t="shared" si="943"/>
        <v>0.99062499999999998</v>
      </c>
      <c r="DV261" s="4">
        <f t="shared" si="1008"/>
        <v>0.75782812499999985</v>
      </c>
      <c r="DX261" s="4">
        <f t="shared" si="945"/>
        <v>638.57358428114799</v>
      </c>
      <c r="DY261" s="25">
        <f t="shared" si="851"/>
        <v>379.09075864552608</v>
      </c>
      <c r="EA261" s="4">
        <f t="shared" si="852"/>
        <v>0.64415390624999991</v>
      </c>
      <c r="EB261" s="4">
        <f t="shared" si="946"/>
        <v>9.0475183276018765</v>
      </c>
      <c r="EE261" s="4">
        <f t="shared" si="947"/>
        <v>56.796126628494655</v>
      </c>
      <c r="EF261" s="4">
        <f t="shared" si="1009"/>
        <v>2.2360679774997898</v>
      </c>
      <c r="EG261" s="4">
        <f t="shared" si="949"/>
        <v>0.18131803502377647</v>
      </c>
      <c r="EJ261" s="4">
        <f t="shared" si="1020"/>
        <v>0.18131803502377647</v>
      </c>
      <c r="EK261" s="4">
        <f t="shared" si="950"/>
        <v>0.51852611877252675</v>
      </c>
      <c r="EL261" s="4">
        <f t="shared" si="1010"/>
        <v>6.9572518735309554</v>
      </c>
      <c r="EM261" s="4">
        <f t="shared" si="1011"/>
        <v>8.0704593131350855</v>
      </c>
      <c r="EN261" s="4" t="e">
        <f t="shared" si="1012"/>
        <v>#REF!</v>
      </c>
      <c r="EO261" s="4" t="e">
        <f t="shared" si="1013"/>
        <v>#REF!</v>
      </c>
      <c r="EP261" s="4" t="e">
        <f t="shared" si="951"/>
        <v>#REF!</v>
      </c>
      <c r="EQ261" s="4" t="e">
        <f t="shared" si="1014"/>
        <v>#REF!</v>
      </c>
      <c r="ER261" s="4" t="e">
        <f t="shared" si="952"/>
        <v>#REF!</v>
      </c>
      <c r="FA261" s="23" t="e">
        <f t="shared" si="980"/>
        <v>#REF!</v>
      </c>
      <c r="FB261" s="23" t="e">
        <f t="shared" si="980"/>
        <v>#REF!</v>
      </c>
      <c r="FC261" s="23">
        <f t="shared" si="981"/>
        <v>1.4</v>
      </c>
      <c r="FD261" s="23" t="e">
        <f t="shared" si="982"/>
        <v>#REF!</v>
      </c>
      <c r="FE261" s="23">
        <f t="shared" si="982"/>
        <v>1.2</v>
      </c>
      <c r="FF261" s="23">
        <f t="shared" si="982"/>
        <v>1.2</v>
      </c>
      <c r="FG261" s="23">
        <f t="shared" si="968"/>
        <v>0</v>
      </c>
      <c r="FH261" s="23"/>
      <c r="FR261" s="4">
        <f t="shared" si="842"/>
        <v>1</v>
      </c>
      <c r="FS261" s="4">
        <f t="shared" si="843"/>
        <v>0.44</v>
      </c>
      <c r="FT261" s="4">
        <f t="shared" si="844"/>
        <v>0.3</v>
      </c>
      <c r="FU261" s="4">
        <f t="shared" si="845"/>
        <v>547.4227500523092</v>
      </c>
    </row>
    <row r="262" spans="2:177" ht="12" customHeight="1" x14ac:dyDescent="0.3">
      <c r="B262" s="24"/>
      <c r="C262" s="7" t="s">
        <v>393</v>
      </c>
      <c r="D262" s="38">
        <f t="shared" si="1015"/>
        <v>827.58620689655174</v>
      </c>
      <c r="E262" s="38">
        <f>9.19*25.4</f>
        <v>233.42599999999999</v>
      </c>
      <c r="F262" s="38">
        <f>5180/145</f>
        <v>35.724137931034484</v>
      </c>
      <c r="G262" s="38">
        <f t="shared" si="1016"/>
        <v>25.4</v>
      </c>
      <c r="H262" s="38">
        <f>16.5*25.4</f>
        <v>419.09999999999997</v>
      </c>
      <c r="I262" s="38">
        <f>2.5*25.4</f>
        <v>63.5</v>
      </c>
      <c r="J262" s="39">
        <f>3.45*25.4</f>
        <v>87.63</v>
      </c>
      <c r="K262" s="7">
        <f t="shared" si="986"/>
        <v>241.29999999999995</v>
      </c>
      <c r="L262" s="38">
        <v>2</v>
      </c>
      <c r="M262" s="4">
        <f t="shared" si="1028"/>
        <v>260.34999999999997</v>
      </c>
      <c r="N262" s="7">
        <f t="shared" si="905"/>
        <v>3</v>
      </c>
      <c r="O262" s="7">
        <f t="shared" si="906"/>
        <v>3</v>
      </c>
      <c r="P262" s="38">
        <v>4</v>
      </c>
      <c r="Q262" s="4">
        <f t="shared" si="1017"/>
        <v>4</v>
      </c>
      <c r="R262" s="4">
        <f t="shared" si="907"/>
        <v>5</v>
      </c>
      <c r="S262" s="7">
        <f t="shared" si="908"/>
        <v>56.796126628494655</v>
      </c>
      <c r="V262" s="38">
        <f>114.8/0.145</f>
        <v>791.72413793103453</v>
      </c>
      <c r="X262" s="4">
        <f t="shared" si="910"/>
        <v>1.4143463626576895</v>
      </c>
      <c r="Y262" s="38">
        <f>0.5*25.4</f>
        <v>12.7</v>
      </c>
      <c r="Z262" s="38">
        <v>8</v>
      </c>
      <c r="AA262" s="39">
        <f>4*25.4</f>
        <v>101.6</v>
      </c>
      <c r="AB262" s="39">
        <v>2</v>
      </c>
      <c r="AC262" s="39">
        <v>1</v>
      </c>
      <c r="AD262" s="7"/>
      <c r="AE262" s="4">
        <f t="shared" si="912"/>
        <v>233.42599999999999</v>
      </c>
      <c r="AF262" s="4">
        <f t="shared" si="913"/>
        <v>0.59847660500544075</v>
      </c>
      <c r="AG262" s="4">
        <f t="shared" si="914"/>
        <v>210.33784035951044</v>
      </c>
      <c r="AH262" s="4">
        <f t="shared" si="915"/>
        <v>0.76528835690968444</v>
      </c>
      <c r="AI262" s="4">
        <v>1.25</v>
      </c>
      <c r="AJ262" s="4">
        <f t="shared" si="857"/>
        <v>2.5</v>
      </c>
      <c r="AK262" s="38">
        <f t="shared" si="988"/>
        <v>301.05075195376668</v>
      </c>
      <c r="AL262" s="38">
        <f t="shared" si="953"/>
        <v>301.05075195376668</v>
      </c>
      <c r="AM262" s="38">
        <f t="shared" si="916"/>
        <v>3.2540864993004175</v>
      </c>
      <c r="AN262" s="38">
        <f t="shared" si="858"/>
        <v>301.05075195376651</v>
      </c>
      <c r="AO262" s="38">
        <f t="shared" si="840"/>
        <v>1.0000000000000007</v>
      </c>
      <c r="AP262" s="38">
        <f t="shared" si="859"/>
        <v>1.4239780249353082</v>
      </c>
      <c r="AQ262" s="4">
        <f t="shared" si="860"/>
        <v>0</v>
      </c>
      <c r="AR262" s="4" t="e">
        <f>#REF!/G262*F262^0.5/0.19</f>
        <v>#REF!</v>
      </c>
      <c r="AS262" s="4">
        <f t="shared" si="917"/>
        <v>1</v>
      </c>
      <c r="AT262" s="38">
        <f t="shared" si="918"/>
        <v>428.68965517241384</v>
      </c>
      <c r="AU262" s="4">
        <f t="shared" si="919"/>
        <v>0.44000000000000006</v>
      </c>
      <c r="AV262" s="4" t="e">
        <f>AU262*D262*#REF!/(D262*G262/2.75/F262^0.5)</f>
        <v>#REF!</v>
      </c>
      <c r="AW262" s="4" t="e">
        <f t="shared" si="989"/>
        <v>#REF!</v>
      </c>
      <c r="AY262" s="4">
        <f t="shared" si="920"/>
        <v>1.5</v>
      </c>
      <c r="AZ262" s="4" t="e">
        <f>(3*#REF!+30)*AY262*F262^0.5</f>
        <v>#REF!</v>
      </c>
      <c r="BB262" s="4">
        <f t="shared" si="921"/>
        <v>411.16580463902415</v>
      </c>
      <c r="BC262" s="4">
        <f t="shared" si="922"/>
        <v>0</v>
      </c>
      <c r="BD262" s="4">
        <f t="shared" si="990"/>
        <v>0</v>
      </c>
      <c r="BL262" s="4">
        <f t="shared" si="923"/>
        <v>63.5</v>
      </c>
      <c r="BP262" s="9"/>
      <c r="BR262" s="9"/>
      <c r="BS262" s="9"/>
      <c r="BT262" s="9">
        <f t="shared" si="924"/>
        <v>63.5</v>
      </c>
      <c r="BU262" s="9">
        <f t="shared" si="925"/>
        <v>120.64999999999998</v>
      </c>
      <c r="BV262" s="9">
        <f t="shared" si="926"/>
        <v>1.7409369561833321</v>
      </c>
      <c r="BW262" s="40">
        <f t="shared" si="1018"/>
        <v>20</v>
      </c>
      <c r="BX262" s="9">
        <f t="shared" si="927"/>
        <v>0.05</v>
      </c>
      <c r="BY262" s="9">
        <f t="shared" si="991"/>
        <v>0.8</v>
      </c>
      <c r="BZ262" s="9">
        <f t="shared" si="928"/>
        <v>0.99524931562137331</v>
      </c>
      <c r="CA262" s="9">
        <f t="shared" si="929"/>
        <v>0.68</v>
      </c>
      <c r="CB262" s="9">
        <f t="shared" si="930"/>
        <v>1.4157602788737922</v>
      </c>
      <c r="CC262" s="9">
        <f t="shared" si="931"/>
        <v>3.5394006971844805</v>
      </c>
      <c r="CD262" s="40">
        <v>1</v>
      </c>
      <c r="CE262" s="9" t="e">
        <f>4*CC262*#REF!+60*CC262</f>
        <v>#REF!</v>
      </c>
      <c r="CG262" s="4" t="e">
        <f t="shared" si="992"/>
        <v>#REF!</v>
      </c>
      <c r="CH262" s="4" t="e">
        <f t="shared" si="993"/>
        <v>#REF!</v>
      </c>
      <c r="CI262" s="4" t="e">
        <f t="shared" si="994"/>
        <v>#REF!</v>
      </c>
      <c r="CJ262" s="4" t="e">
        <f t="shared" si="995"/>
        <v>#REF!</v>
      </c>
      <c r="CK262" s="4">
        <f t="shared" si="996"/>
        <v>1.4143463626576895</v>
      </c>
      <c r="CL262" s="4">
        <f t="shared" si="997"/>
        <v>1.5147236131087898</v>
      </c>
      <c r="CM262" s="4">
        <f t="shared" si="978"/>
        <v>1.5549193028146699</v>
      </c>
      <c r="CN262" s="4">
        <f t="shared" si="1019"/>
        <v>8</v>
      </c>
      <c r="CU262" s="4" t="e">
        <f t="shared" si="1035"/>
        <v>#REF!</v>
      </c>
      <c r="CV262" s="4" t="e">
        <f t="shared" si="1036"/>
        <v>#REF!</v>
      </c>
      <c r="CW262" s="4" t="e">
        <f t="shared" si="1037"/>
        <v>#REF!</v>
      </c>
      <c r="CX262" s="4">
        <f t="shared" si="1038"/>
        <v>1.5549193028146699</v>
      </c>
      <c r="CY262" s="4">
        <f t="shared" si="1039"/>
        <v>1.4143463626576895</v>
      </c>
      <c r="CZ262" s="4">
        <f t="shared" si="1040"/>
        <v>1.5147236131087898</v>
      </c>
      <c r="DC262" s="4" t="e">
        <f>#REF!</f>
        <v>#REF!</v>
      </c>
      <c r="DF262" s="4">
        <f t="shared" si="932"/>
        <v>1.7078533262925979E-5</v>
      </c>
      <c r="DG262" s="4">
        <f t="shared" si="1004"/>
        <v>8.1641442880324373</v>
      </c>
      <c r="DH262" s="4">
        <f t="shared" si="934"/>
        <v>0.46558991318142223</v>
      </c>
      <c r="DI262" s="4">
        <f t="shared" si="1005"/>
        <v>6.0132892782925138</v>
      </c>
      <c r="DJ262" s="4">
        <f t="shared" si="1006"/>
        <v>7.1700120340069331</v>
      </c>
      <c r="DK262" s="4">
        <f t="shared" si="937"/>
        <v>7.769205682379722</v>
      </c>
      <c r="DL262" s="38">
        <f t="shared" si="938"/>
        <v>559.78094110081395</v>
      </c>
      <c r="DM262" s="4" t="e">
        <f t="shared" si="1007"/>
        <v>#REF!</v>
      </c>
      <c r="DN262" s="4">
        <f t="shared" si="940"/>
        <v>2.2360679774997898</v>
      </c>
      <c r="DO262" s="4">
        <f t="shared" si="976"/>
        <v>301.05075195376651</v>
      </c>
      <c r="DS262" s="4">
        <f t="shared" si="941"/>
        <v>0.85</v>
      </c>
      <c r="DT262" s="4">
        <f t="shared" si="942"/>
        <v>0.85</v>
      </c>
      <c r="DU262" s="4">
        <f t="shared" si="943"/>
        <v>0.92500000000000004</v>
      </c>
      <c r="DV262" s="4">
        <f t="shared" si="1008"/>
        <v>0.78625</v>
      </c>
      <c r="DX262" s="4">
        <f t="shared" si="945"/>
        <v>522.68554545480083</v>
      </c>
      <c r="DY262" s="25">
        <f t="shared" si="851"/>
        <v>297.60008743374652</v>
      </c>
      <c r="EA262" s="4">
        <f t="shared" si="852"/>
        <v>0.66831249999999998</v>
      </c>
      <c r="EB262" s="4">
        <f t="shared" si="946"/>
        <v>8.1641442880324373</v>
      </c>
      <c r="EE262" s="4">
        <f t="shared" si="947"/>
        <v>56.796126628494655</v>
      </c>
      <c r="EF262" s="4">
        <f t="shared" si="1009"/>
        <v>2.2360679774997898</v>
      </c>
      <c r="EG262" s="4">
        <f t="shared" si="949"/>
        <v>0.15216672970932105</v>
      </c>
      <c r="EJ262" s="4">
        <f t="shared" si="1020"/>
        <v>0.15216672970932105</v>
      </c>
      <c r="EK262" s="4">
        <f t="shared" si="950"/>
        <v>0.46481293039048616</v>
      </c>
      <c r="EL262" s="4">
        <f t="shared" si="1010"/>
        <v>6.0092732432724834</v>
      </c>
      <c r="EM262" s="4">
        <f t="shared" si="1011"/>
        <v>7.1683297930473469</v>
      </c>
      <c r="EN262" s="4" t="e">
        <f t="shared" si="1012"/>
        <v>#REF!</v>
      </c>
      <c r="EO262" s="4" t="e">
        <f t="shared" si="1013"/>
        <v>#REF!</v>
      </c>
      <c r="EP262" s="4" t="e">
        <f t="shared" si="951"/>
        <v>#REF!</v>
      </c>
      <c r="EQ262" s="4" t="e">
        <f t="shared" si="1014"/>
        <v>#REF!</v>
      </c>
      <c r="ER262" s="4" t="e">
        <f t="shared" si="952"/>
        <v>#REF!</v>
      </c>
      <c r="FA262" s="23" t="e">
        <f t="shared" si="980"/>
        <v>#REF!</v>
      </c>
      <c r="FB262" s="23" t="e">
        <f t="shared" si="980"/>
        <v>#REF!</v>
      </c>
      <c r="FC262" s="23">
        <f t="shared" si="981"/>
        <v>1.6</v>
      </c>
      <c r="FD262" s="23" t="e">
        <f t="shared" si="982"/>
        <v>#REF!</v>
      </c>
      <c r="FE262" s="23">
        <f t="shared" si="982"/>
        <v>1.6</v>
      </c>
      <c r="FF262" s="23">
        <f t="shared" si="982"/>
        <v>1.6</v>
      </c>
      <c r="FG262" s="23">
        <f t="shared" si="968"/>
        <v>0</v>
      </c>
      <c r="FH262" s="23"/>
      <c r="FR262" s="4">
        <f t="shared" si="842"/>
        <v>1</v>
      </c>
      <c r="FS262" s="4">
        <f t="shared" si="843"/>
        <v>0.44</v>
      </c>
      <c r="FT262" s="4">
        <f t="shared" si="844"/>
        <v>0.3</v>
      </c>
      <c r="FU262" s="4">
        <f t="shared" si="845"/>
        <v>509.17377930666783</v>
      </c>
    </row>
    <row r="263" spans="2:177" ht="12" customHeight="1" x14ac:dyDescent="0.3">
      <c r="B263" s="24"/>
      <c r="C263" s="7" t="s">
        <v>394</v>
      </c>
      <c r="D263" s="38">
        <f t="shared" si="1015"/>
        <v>827.58620689655174</v>
      </c>
      <c r="E263" s="38">
        <f>9.5*25.4</f>
        <v>241.29999999999998</v>
      </c>
      <c r="F263" s="38">
        <f>5910/145</f>
        <v>40.758620689655174</v>
      </c>
      <c r="G263" s="38">
        <f t="shared" si="1016"/>
        <v>25.4</v>
      </c>
      <c r="H263" s="38">
        <f>19*25.4</f>
        <v>482.59999999999997</v>
      </c>
      <c r="I263" s="38">
        <f>3.9*25.4</f>
        <v>99.059999999999988</v>
      </c>
      <c r="J263" s="39">
        <f>3.25*25.4</f>
        <v>82.55</v>
      </c>
      <c r="K263" s="7">
        <f t="shared" si="986"/>
        <v>233.67999999999998</v>
      </c>
      <c r="L263" s="38">
        <v>2</v>
      </c>
      <c r="M263" s="4">
        <f t="shared" si="1028"/>
        <v>260.34999999999997</v>
      </c>
      <c r="N263" s="7">
        <f t="shared" si="905"/>
        <v>4.4000000000000004</v>
      </c>
      <c r="O263" s="7">
        <f t="shared" si="906"/>
        <v>4.4000000000000004</v>
      </c>
      <c r="P263" s="38">
        <v>4</v>
      </c>
      <c r="Q263" s="4">
        <f t="shared" si="1017"/>
        <v>4</v>
      </c>
      <c r="R263" s="4">
        <f t="shared" si="907"/>
        <v>5</v>
      </c>
      <c r="S263" s="7">
        <f t="shared" si="908"/>
        <v>56.796126628494655</v>
      </c>
      <c r="V263" s="38">
        <f>122.4/0.145</f>
        <v>844.1379310344829</v>
      </c>
      <c r="X263" s="4">
        <f t="shared" si="910"/>
        <v>1.1787643163301271</v>
      </c>
      <c r="Y263" s="38">
        <f>0.5*25.4</f>
        <v>12.7</v>
      </c>
      <c r="Z263" s="38">
        <v>8</v>
      </c>
      <c r="AA263" s="39">
        <f>4*25.4</f>
        <v>101.6</v>
      </c>
      <c r="AB263" s="39">
        <v>2</v>
      </c>
      <c r="AC263" s="39">
        <v>1</v>
      </c>
      <c r="AD263" s="7"/>
      <c r="AE263" s="4">
        <f t="shared" si="912"/>
        <v>241.29999999999998</v>
      </c>
      <c r="AF263" s="4">
        <f t="shared" si="913"/>
        <v>0.66666666666666663</v>
      </c>
      <c r="AG263" s="4">
        <f t="shared" si="914"/>
        <v>236.13393909906492</v>
      </c>
      <c r="AH263" s="4">
        <f t="shared" si="915"/>
        <v>0.79263157894736835</v>
      </c>
      <c r="AI263" s="4">
        <v>1.25</v>
      </c>
      <c r="AJ263" s="4">
        <f t="shared" si="857"/>
        <v>2.5</v>
      </c>
      <c r="AK263" s="38">
        <f t="shared" si="988"/>
        <v>389.93170206490322</v>
      </c>
      <c r="AL263" s="38">
        <f t="shared" si="953"/>
        <v>389.93170206490322</v>
      </c>
      <c r="AM263" s="38">
        <f t="shared" si="916"/>
        <v>3.5530466297176955</v>
      </c>
      <c r="AN263" s="38">
        <f t="shared" si="858"/>
        <v>389.93170206490333</v>
      </c>
      <c r="AO263" s="38">
        <f t="shared" si="840"/>
        <v>0.99999999999999967</v>
      </c>
      <c r="AP263" s="38">
        <f t="shared" si="859"/>
        <v>1.8396855663162504</v>
      </c>
      <c r="AQ263" s="4">
        <f t="shared" si="860"/>
        <v>0</v>
      </c>
      <c r="AR263" s="4" t="e">
        <f>#REF!/G263*F263^0.5/0.19</f>
        <v>#REF!</v>
      </c>
      <c r="AS263" s="4">
        <f t="shared" si="917"/>
        <v>1</v>
      </c>
      <c r="AT263" s="38">
        <f t="shared" si="918"/>
        <v>717.35172413793111</v>
      </c>
      <c r="AU263" s="4">
        <f t="shared" si="919"/>
        <v>0.44000000000000006</v>
      </c>
      <c r="AV263" s="4" t="e">
        <f>AU263*D263*#REF!/(D263*G263/2.75/F263^0.5)</f>
        <v>#REF!</v>
      </c>
      <c r="AW263" s="4" t="e">
        <f t="shared" si="989"/>
        <v>#REF!</v>
      </c>
      <c r="AY263" s="4">
        <f t="shared" si="920"/>
        <v>1.5</v>
      </c>
      <c r="AZ263" s="4" t="e">
        <f>(3*#REF!+30)*AY263*F263^0.5</f>
        <v>#REF!</v>
      </c>
      <c r="BB263" s="4">
        <f t="shared" si="921"/>
        <v>688.02802984769528</v>
      </c>
      <c r="BC263" s="4">
        <f t="shared" si="922"/>
        <v>0</v>
      </c>
      <c r="BD263" s="4">
        <f t="shared" si="990"/>
        <v>0</v>
      </c>
      <c r="BL263" s="4">
        <f t="shared" si="923"/>
        <v>99.059999999999988</v>
      </c>
      <c r="BP263" s="9"/>
      <c r="BR263" s="9"/>
      <c r="BS263" s="9"/>
      <c r="BT263" s="9">
        <f t="shared" si="924"/>
        <v>82.55</v>
      </c>
      <c r="BU263" s="9">
        <f t="shared" si="925"/>
        <v>116.83999999999999</v>
      </c>
      <c r="BV263" s="9">
        <f t="shared" si="926"/>
        <v>1.8992093998678425</v>
      </c>
      <c r="BW263" s="40">
        <f t="shared" si="1018"/>
        <v>20</v>
      </c>
      <c r="BX263" s="9">
        <f t="shared" si="927"/>
        <v>0.05</v>
      </c>
      <c r="BY263" s="9">
        <f t="shared" si="991"/>
        <v>0.8</v>
      </c>
      <c r="BZ263" s="9">
        <f t="shared" si="928"/>
        <v>0.99524931562137331</v>
      </c>
      <c r="CA263" s="9">
        <f t="shared" si="929"/>
        <v>0.68</v>
      </c>
      <c r="CB263" s="9">
        <f t="shared" si="930"/>
        <v>1.5122325576992237</v>
      </c>
      <c r="CC263" s="9">
        <f t="shared" si="931"/>
        <v>3.7805813942480593</v>
      </c>
      <c r="CD263" s="40">
        <v>1</v>
      </c>
      <c r="CE263" s="9" t="e">
        <f>4*CC263*#REF!+60*CC263</f>
        <v>#REF!</v>
      </c>
      <c r="CG263" s="4" t="e">
        <f t="shared" si="992"/>
        <v>#REF!</v>
      </c>
      <c r="CH263" s="4" t="e">
        <f t="shared" si="993"/>
        <v>#REF!</v>
      </c>
      <c r="CI263" s="4" t="e">
        <f t="shared" si="994"/>
        <v>#REF!</v>
      </c>
      <c r="CJ263" s="4" t="e">
        <f t="shared" si="995"/>
        <v>#REF!</v>
      </c>
      <c r="CK263" s="4">
        <f t="shared" si="996"/>
        <v>1.1787643163301271</v>
      </c>
      <c r="CL263" s="4">
        <f t="shared" si="997"/>
        <v>1.2694084672363284</v>
      </c>
      <c r="CM263" s="4">
        <f t="shared" si="978"/>
        <v>1.5517610994655895</v>
      </c>
      <c r="CN263" s="4">
        <f t="shared" si="1019"/>
        <v>8</v>
      </c>
      <c r="CU263" s="4" t="e">
        <f t="shared" si="1035"/>
        <v>#REF!</v>
      </c>
      <c r="CV263" s="4" t="e">
        <f t="shared" si="1036"/>
        <v>#REF!</v>
      </c>
      <c r="CW263" s="4" t="e">
        <f t="shared" si="1037"/>
        <v>#REF!</v>
      </c>
      <c r="CX263" s="4">
        <f t="shared" si="1038"/>
        <v>1.5517610994655895</v>
      </c>
      <c r="CY263" s="4">
        <f t="shared" si="1039"/>
        <v>1.1787643163301271</v>
      </c>
      <c r="CZ263" s="4">
        <f t="shared" si="1040"/>
        <v>1.2694084672363284</v>
      </c>
      <c r="DC263" s="4" t="e">
        <f>#REF!</f>
        <v>#REF!</v>
      </c>
      <c r="DF263" s="4">
        <f t="shared" si="932"/>
        <v>1.8260231462931454E-5</v>
      </c>
      <c r="DG263" s="4">
        <f t="shared" si="1004"/>
        <v>9.7949483572995213</v>
      </c>
      <c r="DH263" s="4">
        <f t="shared" si="934"/>
        <v>0.5285604589936419</v>
      </c>
      <c r="DI263" s="4">
        <f t="shared" si="1005"/>
        <v>7.5899692945005892</v>
      </c>
      <c r="DJ263" s="4">
        <f t="shared" si="1006"/>
        <v>8.7622062704031336</v>
      </c>
      <c r="DK263" s="4">
        <f t="shared" si="937"/>
        <v>9.1527650475891438</v>
      </c>
      <c r="DL263" s="38">
        <f t="shared" si="938"/>
        <v>716.12104246806189</v>
      </c>
      <c r="DM263" s="4" t="e">
        <f t="shared" si="1007"/>
        <v>#REF!</v>
      </c>
      <c r="DN263" s="4">
        <f t="shared" si="940"/>
        <v>2.2360679774997898</v>
      </c>
      <c r="DO263" s="4">
        <f t="shared" si="976"/>
        <v>389.93170206490333</v>
      </c>
      <c r="DS263" s="4">
        <f t="shared" si="941"/>
        <v>0.85</v>
      </c>
      <c r="DT263" s="4">
        <f t="shared" si="942"/>
        <v>0.71</v>
      </c>
      <c r="DU263" s="4">
        <f t="shared" si="943"/>
        <v>0.92500000000000004</v>
      </c>
      <c r="DV263" s="4">
        <f t="shared" si="1008"/>
        <v>0.7</v>
      </c>
      <c r="DX263" s="4">
        <f t="shared" si="945"/>
        <v>664.98526898302782</v>
      </c>
      <c r="DY263" s="25">
        <f t="shared" si="851"/>
        <v>385.82924079999151</v>
      </c>
      <c r="EA263" s="4">
        <f t="shared" si="852"/>
        <v>0.59499999999999997</v>
      </c>
      <c r="EB263" s="4">
        <f t="shared" si="946"/>
        <v>9.7949483572995213</v>
      </c>
      <c r="EE263" s="4">
        <f t="shared" si="947"/>
        <v>56.796126628494655</v>
      </c>
      <c r="EF263" s="4">
        <f t="shared" si="1009"/>
        <v>2.2360679774997898</v>
      </c>
      <c r="EG263" s="4">
        <f t="shared" si="949"/>
        <v>0.18451839811569204</v>
      </c>
      <c r="EJ263" s="4">
        <f t="shared" si="1020"/>
        <v>0.18451839811569204</v>
      </c>
      <c r="EK263" s="4">
        <f t="shared" si="950"/>
        <v>0.52767839009785966</v>
      </c>
      <c r="EL263" s="4">
        <f t="shared" si="1010"/>
        <v>7.584900258058636</v>
      </c>
      <c r="EM263" s="4">
        <f t="shared" si="1011"/>
        <v>8.7600123648110575</v>
      </c>
      <c r="EN263" s="4" t="e">
        <f t="shared" si="1012"/>
        <v>#REF!</v>
      </c>
      <c r="EO263" s="4" t="e">
        <f t="shared" si="1013"/>
        <v>#REF!</v>
      </c>
      <c r="EP263" s="4" t="e">
        <f t="shared" si="951"/>
        <v>#REF!</v>
      </c>
      <c r="EQ263" s="4" t="e">
        <f t="shared" si="1014"/>
        <v>#REF!</v>
      </c>
      <c r="ER263" s="4" t="e">
        <f t="shared" si="952"/>
        <v>#REF!</v>
      </c>
      <c r="FA263" s="23" t="e">
        <f t="shared" ref="FA263:FA326" si="1042">IF(CG263&lt;0.6,0.6,IF(CG263&lt;0.8,0.8,IF(CG263&lt;1,1,IF(CG263&lt;1.2,1.2,IF(CG263&lt;1.4,1.4,IF(CG263&lt;1.6,1.6,IF(CG263&lt;1.8,1.8,IF(CG263&lt;2,2,2.2))))))))</f>
        <v>#REF!</v>
      </c>
      <c r="FB263" s="23" t="e">
        <f t="shared" ref="FB263:FB326" si="1043">IF(CH263&lt;0.6,0.6,IF(CH263&lt;0.8,0.8,IF(CH263&lt;1,1,IF(CH263&lt;1.2,1.2,IF(CH263&lt;1.4,1.4,IF(CH263&lt;1.6,1.6,IF(CH263&lt;1.8,1.8,IF(CH263&lt;2,2,2.2))))))))</f>
        <v>#REF!</v>
      </c>
      <c r="FC263" s="23">
        <f t="shared" si="981"/>
        <v>1.6</v>
      </c>
      <c r="FD263" s="23" t="e">
        <f t="shared" ref="FD263:FD326" si="1044">IF(CJ263&lt;0.6,0.6,IF(CJ263&lt;0.8,0.8,IF(CJ263&lt;1,1,IF(CJ263&lt;1.2,1.2,IF(CJ263&lt;1.4,1.4,IF(CJ263&lt;1.6,1.6,IF(CJ263&lt;1.8,1.8,IF(CJ263&lt;2,2,2.2))))))))</f>
        <v>#REF!</v>
      </c>
      <c r="FE263" s="23">
        <f t="shared" ref="FE263:FE326" si="1045">IF(CK263&lt;0.6,0.6,IF(CK263&lt;0.8,0.8,IF(CK263&lt;1,1,IF(CK263&lt;1.2,1.2,IF(CK263&lt;1.4,1.4,IF(CK263&lt;1.6,1.6,IF(CK263&lt;1.8,1.8,IF(CK263&lt;2,2,2.2))))))))</f>
        <v>1.2</v>
      </c>
      <c r="FF263" s="23">
        <f t="shared" ref="FF263:FF326" si="1046">IF(CL263&lt;0.6,0.6,IF(CL263&lt;0.8,0.8,IF(CL263&lt;1,1,IF(CL263&lt;1.2,1.2,IF(CL263&lt;1.4,1.4,IF(CL263&lt;1.6,1.6,IF(CL263&lt;1.8,1.8,IF(CL263&lt;2,2,2.2))))))))</f>
        <v>1.4</v>
      </c>
      <c r="FG263" s="23">
        <f t="shared" si="968"/>
        <v>0</v>
      </c>
      <c r="FH263" s="23"/>
      <c r="FR263" s="4">
        <f t="shared" si="842"/>
        <v>1</v>
      </c>
      <c r="FS263" s="4">
        <f t="shared" si="843"/>
        <v>0.44</v>
      </c>
      <c r="FT263" s="4">
        <f t="shared" si="844"/>
        <v>0.3</v>
      </c>
      <c r="FU263" s="4">
        <f t="shared" si="845"/>
        <v>543.98704241599773</v>
      </c>
    </row>
    <row r="264" spans="2:177" ht="12" customHeight="1" x14ac:dyDescent="0.3">
      <c r="B264" s="24" t="s">
        <v>405</v>
      </c>
      <c r="C264" s="7" t="s">
        <v>395</v>
      </c>
      <c r="D264" s="38">
        <f t="shared" si="1015"/>
        <v>827.58620689655174</v>
      </c>
      <c r="E264" s="38">
        <f>12.59*25.4</f>
        <v>319.786</v>
      </c>
      <c r="F264" s="38">
        <f>6210/145</f>
        <v>42.827586206896555</v>
      </c>
      <c r="G264" s="38">
        <f t="shared" si="1016"/>
        <v>25.4</v>
      </c>
      <c r="H264" s="38">
        <f>16.6*25.4</f>
        <v>421.64</v>
      </c>
      <c r="I264" s="38">
        <f>2.45*25.4</f>
        <v>62.230000000000004</v>
      </c>
      <c r="J264" s="39">
        <f>3.1*25.4</f>
        <v>78.739999999999995</v>
      </c>
      <c r="K264" s="7">
        <f t="shared" si="986"/>
        <v>246.37999999999997</v>
      </c>
      <c r="L264" s="38">
        <v>2</v>
      </c>
      <c r="M264" s="4">
        <f t="shared" si="1028"/>
        <v>260.34999999999997</v>
      </c>
      <c r="N264" s="7">
        <f t="shared" si="905"/>
        <v>2.95</v>
      </c>
      <c r="O264" s="7">
        <f t="shared" si="906"/>
        <v>2.95</v>
      </c>
      <c r="P264" s="38">
        <v>4</v>
      </c>
      <c r="Q264" s="4">
        <f t="shared" si="1017"/>
        <v>4</v>
      </c>
      <c r="R264" s="4">
        <f t="shared" si="907"/>
        <v>5</v>
      </c>
      <c r="S264" s="7">
        <f t="shared" si="908"/>
        <v>56.796126628494655</v>
      </c>
      <c r="V264" s="38">
        <f>W264/0.145</f>
        <v>726.89655172413802</v>
      </c>
      <c r="W264" s="4">
        <v>105.4</v>
      </c>
      <c r="X264" s="4">
        <f t="shared" si="910"/>
        <v>0.98628051473021827</v>
      </c>
      <c r="Y264" s="38"/>
      <c r="Z264" s="38"/>
      <c r="AA264" s="39">
        <v>1</v>
      </c>
      <c r="AB264" s="39"/>
      <c r="AC264" s="39"/>
      <c r="AD264" s="7"/>
      <c r="AE264" s="4">
        <f t="shared" si="912"/>
        <v>319.786</v>
      </c>
      <c r="AF264" s="4">
        <f t="shared" si="913"/>
        <v>0.43950225046333069</v>
      </c>
      <c r="AG264" s="4">
        <f t="shared" si="914"/>
        <v>369.2866933162444</v>
      </c>
      <c r="AH264" s="4">
        <f t="shared" si="915"/>
        <v>0.74686258935663219</v>
      </c>
      <c r="AI264" s="4">
        <v>1.25</v>
      </c>
      <c r="AJ264" s="4">
        <f t="shared" si="857"/>
        <v>2.5</v>
      </c>
      <c r="AK264" s="38">
        <f t="shared" si="988"/>
        <v>378.80481411776645</v>
      </c>
      <c r="AL264" s="38">
        <f t="shared" si="953"/>
        <v>378.80481411776645</v>
      </c>
      <c r="AM264" s="38">
        <f t="shared" si="916"/>
        <v>3.6722901407859458</v>
      </c>
      <c r="AN264" s="38">
        <f t="shared" si="858"/>
        <v>378.80481411776617</v>
      </c>
      <c r="AO264" s="38">
        <f t="shared" si="840"/>
        <v>1.0000000000000007</v>
      </c>
      <c r="AP264" s="38">
        <f t="shared" si="859"/>
        <v>1.3341053186411378</v>
      </c>
      <c r="AQ264" s="4">
        <f t="shared" si="860"/>
        <v>0</v>
      </c>
      <c r="AR264" s="4" t="e">
        <f>#REF!/G264*F264^0.5/0.19</f>
        <v>#REF!</v>
      </c>
      <c r="AS264" s="4">
        <f t="shared" si="917"/>
        <v>1</v>
      </c>
      <c r="AT264" s="38">
        <f t="shared" si="918"/>
        <v>505.36551724137939</v>
      </c>
      <c r="AU264" s="4">
        <f t="shared" si="919"/>
        <v>0.44000000000000006</v>
      </c>
      <c r="AV264" s="4" t="e">
        <f>AU264*D264*#REF!/(D264*G264/2.75/F264^0.5)</f>
        <v>#REF!</v>
      </c>
      <c r="AW264" s="4" t="e">
        <f t="shared" si="989"/>
        <v>#REF!</v>
      </c>
      <c r="AY264" s="4">
        <f t="shared" si="920"/>
        <v>1.3625</v>
      </c>
      <c r="AZ264" s="4" t="e">
        <f>(3*#REF!+30)*AY264*F264^0.5</f>
        <v>#REF!</v>
      </c>
      <c r="BB264" s="4">
        <f t="shared" si="921"/>
        <v>484.70733321007748</v>
      </c>
      <c r="BC264" s="4">
        <f t="shared" ref="BC264:BC272" si="1047">8/3*W264*U264^2/(S264-G264-22)/G264*(S264^2-G264^2)/(S264^2-(G264+22)^2)</f>
        <v>0</v>
      </c>
      <c r="BD264" s="4">
        <f t="shared" si="990"/>
        <v>0</v>
      </c>
      <c r="BL264" s="4">
        <f t="shared" si="923"/>
        <v>62.230000000000004</v>
      </c>
      <c r="BP264" s="9"/>
      <c r="BR264" s="9"/>
      <c r="BS264" s="9"/>
      <c r="BT264" s="9">
        <f t="shared" si="924"/>
        <v>62.230000000000004</v>
      </c>
      <c r="BU264" s="9">
        <f t="shared" si="925"/>
        <v>123.18999999999998</v>
      </c>
      <c r="BV264" s="9">
        <f t="shared" si="926"/>
        <v>1.7340810420811554</v>
      </c>
      <c r="BW264" s="40">
        <f t="shared" si="1018"/>
        <v>0</v>
      </c>
      <c r="BX264" s="9">
        <f t="shared" si="927"/>
        <v>0</v>
      </c>
      <c r="BY264" s="9">
        <f t="shared" si="991"/>
        <v>0</v>
      </c>
      <c r="BZ264" s="9">
        <f t="shared" si="928"/>
        <v>0.99524931562137331</v>
      </c>
      <c r="CA264" s="9">
        <f t="shared" si="929"/>
        <v>0.68</v>
      </c>
      <c r="CB264" s="9">
        <f t="shared" si="930"/>
        <v>1.5501390028928617</v>
      </c>
      <c r="CC264" s="9">
        <f t="shared" si="931"/>
        <v>2.6880666575070968</v>
      </c>
      <c r="CD264" s="40">
        <v>1</v>
      </c>
      <c r="CE264" s="9" t="e">
        <f>4*CC264*#REF!+60*CC264</f>
        <v>#REF!</v>
      </c>
      <c r="CG264" s="4" t="e">
        <f t="shared" si="992"/>
        <v>#REF!</v>
      </c>
      <c r="CH264" s="4" t="e">
        <f t="shared" si="993"/>
        <v>#REF!</v>
      </c>
      <c r="CI264" s="4" t="e">
        <f t="shared" si="994"/>
        <v>#REF!</v>
      </c>
      <c r="CJ264" s="4" t="e">
        <f t="shared" si="995"/>
        <v>#REF!</v>
      </c>
      <c r="CK264" s="4">
        <f t="shared" si="996"/>
        <v>0.98628051473021827</v>
      </c>
      <c r="CL264" s="4">
        <f t="shared" si="997"/>
        <v>1.0591467407093387</v>
      </c>
      <c r="CM264" s="4">
        <f t="shared" si="978"/>
        <v>1.4145986516145845</v>
      </c>
      <c r="CN264" s="4">
        <f t="shared" si="1019"/>
        <v>0</v>
      </c>
      <c r="CO264" s="4" t="e">
        <f t="shared" ref="CO264:CO265" si="1048">CG264</f>
        <v>#REF!</v>
      </c>
      <c r="CP264" s="4" t="e">
        <f t="shared" ref="CP264:CP265" si="1049">CH264</f>
        <v>#REF!</v>
      </c>
      <c r="CQ264" s="4" t="e">
        <f t="shared" ref="CQ264:CQ265" si="1050">CJ264</f>
        <v>#REF!</v>
      </c>
      <c r="CR264" s="4">
        <f t="shared" ref="CR264:CR265" si="1051">CM264</f>
        <v>1.4145986516145845</v>
      </c>
      <c r="CS264" s="4">
        <f t="shared" ref="CS264:CS265" si="1052">CK264</f>
        <v>0.98628051473021827</v>
      </c>
      <c r="CT264" s="4">
        <f t="shared" ref="CT264:CT265" si="1053">CL264</f>
        <v>1.0591467407093387</v>
      </c>
      <c r="DC264" s="4" t="e">
        <f>#REF!</f>
        <v>#REF!</v>
      </c>
      <c r="DF264" s="4">
        <f t="shared" si="932"/>
        <v>2.4530239757040505E-5</v>
      </c>
      <c r="DG264" s="4">
        <f t="shared" si="1004"/>
        <v>8.2202710041526839</v>
      </c>
      <c r="DH264" s="4">
        <f t="shared" si="934"/>
        <v>0.48867204545931681</v>
      </c>
      <c r="DI264" s="4">
        <f t="shared" si="1005"/>
        <v>6.1729553243941799</v>
      </c>
      <c r="DJ264" s="4">
        <f t="shared" si="1006"/>
        <v>7.2691959003750313</v>
      </c>
      <c r="DK264" s="4">
        <f t="shared" si="937"/>
        <v>7.4226093372503703</v>
      </c>
      <c r="DL264" s="38">
        <f t="shared" si="938"/>
        <v>737.00792104056654</v>
      </c>
      <c r="DM264" s="4" t="e">
        <f t="shared" si="1007"/>
        <v>#REF!</v>
      </c>
      <c r="DN264" s="4">
        <f t="shared" si="940"/>
        <v>2.2360679774997898</v>
      </c>
      <c r="DO264" s="4">
        <f t="shared" si="976"/>
        <v>378.80481411776617</v>
      </c>
      <c r="DS264" s="4">
        <f t="shared" si="941"/>
        <v>0.85</v>
      </c>
      <c r="DT264" s="4">
        <f t="shared" si="942"/>
        <v>0.85499999999999998</v>
      </c>
      <c r="DU264" s="4">
        <f t="shared" si="943"/>
        <v>1</v>
      </c>
      <c r="DV264" s="4">
        <f t="shared" si="1008"/>
        <v>0.85499999999999998</v>
      </c>
      <c r="DX264" s="4">
        <f t="shared" si="945"/>
        <v>686.30391218247632</v>
      </c>
      <c r="DY264" s="25">
        <f t="shared" si="851"/>
        <v>375.82427635562937</v>
      </c>
      <c r="EA264" s="4">
        <f t="shared" si="852"/>
        <v>0.72675000000000001</v>
      </c>
      <c r="EB264" s="4">
        <f t="shared" si="946"/>
        <v>8.2202710041526839</v>
      </c>
      <c r="EE264" s="4">
        <f t="shared" si="947"/>
        <v>56.796126628494655</v>
      </c>
      <c r="EF264" s="4">
        <f t="shared" si="1009"/>
        <v>2.2360679774997898</v>
      </c>
      <c r="EG264" s="4">
        <f t="shared" si="949"/>
        <v>0.17486969809104916</v>
      </c>
      <c r="EJ264" s="4">
        <f t="shared" si="1020"/>
        <v>0.17486969809104916</v>
      </c>
      <c r="EK264" s="4">
        <f t="shared" si="950"/>
        <v>0.48785654289153363</v>
      </c>
      <c r="EL264" s="4">
        <f t="shared" si="1010"/>
        <v>6.1688326548180887</v>
      </c>
      <c r="EM264" s="4">
        <f t="shared" si="1011"/>
        <v>7.2674470393181627</v>
      </c>
      <c r="EN264" s="4" t="e">
        <f t="shared" si="1012"/>
        <v>#REF!</v>
      </c>
      <c r="EO264" s="4" t="e">
        <f t="shared" si="1013"/>
        <v>#REF!</v>
      </c>
      <c r="EP264" s="4" t="e">
        <f t="shared" si="951"/>
        <v>#REF!</v>
      </c>
      <c r="EQ264" s="4" t="e">
        <f t="shared" si="1014"/>
        <v>#REF!</v>
      </c>
      <c r="ER264" s="4" t="e">
        <f t="shared" si="952"/>
        <v>#REF!</v>
      </c>
      <c r="FA264" s="23" t="e">
        <f t="shared" si="1042"/>
        <v>#REF!</v>
      </c>
      <c r="FB264" s="23" t="e">
        <f t="shared" si="1043"/>
        <v>#REF!</v>
      </c>
      <c r="FC264" s="23">
        <f t="shared" si="981"/>
        <v>1.6</v>
      </c>
      <c r="FD264" s="23" t="e">
        <f t="shared" si="1044"/>
        <v>#REF!</v>
      </c>
      <c r="FE264" s="23">
        <f t="shared" si="1045"/>
        <v>1</v>
      </c>
      <c r="FF264" s="23">
        <f t="shared" si="1046"/>
        <v>1.2</v>
      </c>
      <c r="FG264" s="23">
        <f t="shared" si="968"/>
        <v>0</v>
      </c>
      <c r="FH264" s="23"/>
      <c r="FR264" s="4">
        <f t="shared" si="842"/>
        <v>1.25</v>
      </c>
      <c r="FS264" s="4">
        <f t="shared" si="843"/>
        <v>0.5</v>
      </c>
      <c r="FT264" s="4">
        <f t="shared" si="844"/>
        <v>0</v>
      </c>
      <c r="FU264" s="4">
        <f t="shared" si="845"/>
        <v>513.85355902501249</v>
      </c>
    </row>
    <row r="265" spans="2:177" ht="12" customHeight="1" x14ac:dyDescent="0.3">
      <c r="B265" s="24"/>
      <c r="C265" s="7" t="s">
        <v>396</v>
      </c>
      <c r="D265" s="38">
        <f t="shared" si="1015"/>
        <v>827.58620689655174</v>
      </c>
      <c r="E265" s="38">
        <f>12.66*25.4</f>
        <v>321.56399999999996</v>
      </c>
      <c r="F265" s="38">
        <f>6440/145</f>
        <v>44.413793103448278</v>
      </c>
      <c r="G265" s="38">
        <f t="shared" si="1016"/>
        <v>25.4</v>
      </c>
      <c r="H265" s="38">
        <f>18.5*25.4</f>
        <v>469.9</v>
      </c>
      <c r="I265" s="38">
        <f>3.55*25.4</f>
        <v>90.169999999999987</v>
      </c>
      <c r="J265" s="39">
        <f>3.05*25.4</f>
        <v>77.469999999999985</v>
      </c>
      <c r="K265" s="7">
        <f t="shared" si="986"/>
        <v>238.76</v>
      </c>
      <c r="L265" s="38">
        <v>2</v>
      </c>
      <c r="M265" s="4">
        <f t="shared" si="1028"/>
        <v>260.34999999999997</v>
      </c>
      <c r="N265" s="7">
        <f t="shared" si="905"/>
        <v>4.05</v>
      </c>
      <c r="O265" s="7">
        <f t="shared" si="906"/>
        <v>4.05</v>
      </c>
      <c r="P265" s="38">
        <v>4</v>
      </c>
      <c r="Q265" s="4">
        <f t="shared" si="1017"/>
        <v>4</v>
      </c>
      <c r="R265" s="4">
        <f t="shared" si="907"/>
        <v>5</v>
      </c>
      <c r="S265" s="7">
        <f t="shared" si="908"/>
        <v>56.796126628494655</v>
      </c>
      <c r="V265" s="38">
        <f t="shared" ref="V265:V328" si="1054">W265/0.145</f>
        <v>802.06896551724139</v>
      </c>
      <c r="W265" s="4">
        <v>116.3</v>
      </c>
      <c r="X265" s="4">
        <f t="shared" si="910"/>
        <v>0.96916666666666662</v>
      </c>
      <c r="Y265" s="38"/>
      <c r="Z265" s="38"/>
      <c r="AA265" s="39">
        <v>1</v>
      </c>
      <c r="AB265" s="39"/>
      <c r="AC265" s="39"/>
      <c r="AD265" s="7"/>
      <c r="AE265" s="4">
        <f t="shared" si="912"/>
        <v>321.56399999999996</v>
      </c>
      <c r="AF265" s="4">
        <f t="shared" si="913"/>
        <v>0.48709847288046343</v>
      </c>
      <c r="AG265" s="4">
        <f t="shared" si="914"/>
        <v>379.20386548000778</v>
      </c>
      <c r="AH265" s="4">
        <f t="shared" si="915"/>
        <v>0.76398104265402833</v>
      </c>
      <c r="AI265" s="4">
        <v>1.25</v>
      </c>
      <c r="AJ265" s="4">
        <f t="shared" si="857"/>
        <v>2.5</v>
      </c>
      <c r="AK265" s="38">
        <f t="shared" si="988"/>
        <v>440.98328427505464</v>
      </c>
      <c r="AL265" s="38">
        <f t="shared" si="953"/>
        <v>440.98328427505464</v>
      </c>
      <c r="AM265" s="38">
        <f t="shared" si="916"/>
        <v>3.7624132755662103</v>
      </c>
      <c r="AN265" s="38">
        <f t="shared" si="858"/>
        <v>440.98328427505481</v>
      </c>
      <c r="AO265" s="38">
        <f t="shared" si="840"/>
        <v>0.99999999999999967</v>
      </c>
      <c r="AP265" s="38">
        <f t="shared" si="859"/>
        <v>1.6315889375686305</v>
      </c>
      <c r="AQ265" s="4">
        <f t="shared" si="860"/>
        <v>0</v>
      </c>
      <c r="AR265" s="4" t="e">
        <f>#REF!/G265*F265^0.5/0.19</f>
        <v>#REF!</v>
      </c>
      <c r="AS265" s="4">
        <f t="shared" si="917"/>
        <v>1</v>
      </c>
      <c r="AT265" s="38">
        <f t="shared" si="918"/>
        <v>719.50344827586207</v>
      </c>
      <c r="AU265" s="4">
        <f t="shared" si="919"/>
        <v>0.44000000000000006</v>
      </c>
      <c r="AV265" s="4" t="e">
        <f>AU265*D265*#REF!/(D265*G265/2.75/F265^0.5)</f>
        <v>#REF!</v>
      </c>
      <c r="AW265" s="4" t="e">
        <f t="shared" si="989"/>
        <v>#REF!</v>
      </c>
      <c r="AY265" s="4">
        <f t="shared" si="920"/>
        <v>1.5</v>
      </c>
      <c r="AZ265" s="4" t="e">
        <f>(3*#REF!+30)*AY265*F265^0.5</f>
        <v>#REF!</v>
      </c>
      <c r="BB265" s="4">
        <f t="shared" si="921"/>
        <v>690.09179643468656</v>
      </c>
      <c r="BC265" s="4">
        <f t="shared" si="1047"/>
        <v>0</v>
      </c>
      <c r="BD265" s="4">
        <f t="shared" si="990"/>
        <v>0</v>
      </c>
      <c r="BL265" s="4">
        <f t="shared" si="923"/>
        <v>90.169999999999987</v>
      </c>
      <c r="BP265" s="9"/>
      <c r="BR265" s="9"/>
      <c r="BS265" s="9"/>
      <c r="BT265" s="9">
        <f t="shared" si="924"/>
        <v>77.469999999999985</v>
      </c>
      <c r="BU265" s="9">
        <f t="shared" si="925"/>
        <v>119.38</v>
      </c>
      <c r="BV265" s="9">
        <f t="shared" si="926"/>
        <v>1.8634580588395866</v>
      </c>
      <c r="BW265" s="40">
        <f t="shared" si="1018"/>
        <v>0</v>
      </c>
      <c r="BX265" s="9">
        <f t="shared" si="927"/>
        <v>0</v>
      </c>
      <c r="BY265" s="9">
        <f t="shared" si="991"/>
        <v>0</v>
      </c>
      <c r="BZ265" s="9">
        <f t="shared" si="928"/>
        <v>0.99524931562137331</v>
      </c>
      <c r="CA265" s="9">
        <f t="shared" si="929"/>
        <v>0.68</v>
      </c>
      <c r="CB265" s="9">
        <f t="shared" si="930"/>
        <v>1.5785842929910907</v>
      </c>
      <c r="CC265" s="9">
        <f t="shared" si="931"/>
        <v>2.9416256223318391</v>
      </c>
      <c r="CD265" s="40">
        <v>1</v>
      </c>
      <c r="CE265" s="9" t="e">
        <f>4*CC265*#REF!+60*CC265</f>
        <v>#REF!</v>
      </c>
      <c r="CG265" s="4" t="e">
        <f t="shared" si="992"/>
        <v>#REF!</v>
      </c>
      <c r="CH265" s="4" t="e">
        <f t="shared" si="993"/>
        <v>#REF!</v>
      </c>
      <c r="CI265" s="4" t="e">
        <f t="shared" si="994"/>
        <v>#REF!</v>
      </c>
      <c r="CJ265" s="4" t="e">
        <f t="shared" si="995"/>
        <v>#REF!</v>
      </c>
      <c r="CK265" s="4">
        <f t="shared" si="996"/>
        <v>0.96916666666666662</v>
      </c>
      <c r="CL265" s="4">
        <f t="shared" si="997"/>
        <v>0.99943469121787187</v>
      </c>
      <c r="CM265" s="4">
        <f t="shared" si="978"/>
        <v>1.2305684841268119</v>
      </c>
      <c r="CN265" s="4">
        <f t="shared" si="1019"/>
        <v>0</v>
      </c>
      <c r="CO265" s="4" t="e">
        <f t="shared" si="1048"/>
        <v>#REF!</v>
      </c>
      <c r="CP265" s="4" t="e">
        <f t="shared" si="1049"/>
        <v>#REF!</v>
      </c>
      <c r="CQ265" s="4" t="e">
        <f t="shared" si="1050"/>
        <v>#REF!</v>
      </c>
      <c r="CR265" s="4">
        <f t="shared" si="1051"/>
        <v>1.2305684841268119</v>
      </c>
      <c r="CS265" s="4">
        <f t="shared" si="1052"/>
        <v>0.96916666666666662</v>
      </c>
      <c r="CT265" s="4">
        <f t="shared" si="1053"/>
        <v>0.99943469121787187</v>
      </c>
      <c r="DC265" s="4" t="e">
        <f>#REF!</f>
        <v>#REF!</v>
      </c>
      <c r="DF265" s="4">
        <f t="shared" si="932"/>
        <v>2.4922140426979919E-5</v>
      </c>
      <c r="DG265" s="4">
        <f t="shared" si="1004"/>
        <v>9.607117692376189</v>
      </c>
      <c r="DH265" s="4">
        <f t="shared" si="934"/>
        <v>0.54856723782787586</v>
      </c>
      <c r="DI265" s="4">
        <f t="shared" si="1005"/>
        <v>7.5558800997634963</v>
      </c>
      <c r="DJ265" s="4">
        <f t="shared" si="1006"/>
        <v>8.6426561865068745</v>
      </c>
      <c r="DK265" s="4">
        <f t="shared" si="937"/>
        <v>8.4754165416165588</v>
      </c>
      <c r="DL265" s="38">
        <f t="shared" si="938"/>
        <v>827.58620689655174</v>
      </c>
      <c r="DM265" s="4" t="e">
        <f t="shared" si="1007"/>
        <v>#REF!</v>
      </c>
      <c r="DN265" s="4">
        <f t="shared" si="940"/>
        <v>2.2360679774997898</v>
      </c>
      <c r="DO265" s="4">
        <f t="shared" si="976"/>
        <v>440.98328427505481</v>
      </c>
      <c r="DS265" s="4">
        <f t="shared" si="941"/>
        <v>0.85</v>
      </c>
      <c r="DT265" s="4">
        <f t="shared" si="942"/>
        <v>0.74500000000000011</v>
      </c>
      <c r="DU265" s="4">
        <f t="shared" si="943"/>
        <v>1</v>
      </c>
      <c r="DV265" s="4">
        <f t="shared" si="1008"/>
        <v>0.74500000000000011</v>
      </c>
      <c r="DX265" s="4">
        <f t="shared" si="945"/>
        <v>802.5226386127058</v>
      </c>
      <c r="DY265" s="25">
        <f t="shared" si="851"/>
        <v>437.64430865625809</v>
      </c>
      <c r="EA265" s="4">
        <f t="shared" si="852"/>
        <v>0.63325000000000009</v>
      </c>
      <c r="EB265" s="4">
        <f t="shared" si="946"/>
        <v>9.607117692376189</v>
      </c>
      <c r="EE265" s="4">
        <f t="shared" si="947"/>
        <v>56.796126628494655</v>
      </c>
      <c r="EF265" s="4">
        <f t="shared" si="1009"/>
        <v>2.2360679774997898</v>
      </c>
      <c r="EG265" s="4">
        <f t="shared" si="949"/>
        <v>0.19990518770232588</v>
      </c>
      <c r="EJ265" s="4">
        <f t="shared" si="1020"/>
        <v>0.19990518770232588</v>
      </c>
      <c r="EK265" s="4">
        <f t="shared" si="950"/>
        <v>0.54765178134697612</v>
      </c>
      <c r="EL265" s="4">
        <f t="shared" si="1010"/>
        <v>7.5508338301291147</v>
      </c>
      <c r="EM265" s="4">
        <f t="shared" si="1011"/>
        <v>8.6404516776680875</v>
      </c>
      <c r="EN265" s="4" t="e">
        <f t="shared" si="1012"/>
        <v>#REF!</v>
      </c>
      <c r="EO265" s="4" t="e">
        <f t="shared" si="1013"/>
        <v>#REF!</v>
      </c>
      <c r="EP265" s="4" t="e">
        <f t="shared" si="951"/>
        <v>#REF!</v>
      </c>
      <c r="EQ265" s="4" t="e">
        <f t="shared" si="1014"/>
        <v>#REF!</v>
      </c>
      <c r="ER265" s="4" t="e">
        <f t="shared" si="952"/>
        <v>#REF!</v>
      </c>
      <c r="FA265" s="23" t="e">
        <f t="shared" si="1042"/>
        <v>#REF!</v>
      </c>
      <c r="FB265" s="23" t="e">
        <f t="shared" si="1043"/>
        <v>#REF!</v>
      </c>
      <c r="FC265" s="23">
        <f t="shared" si="981"/>
        <v>1.4</v>
      </c>
      <c r="FD265" s="23" t="e">
        <f t="shared" si="1044"/>
        <v>#REF!</v>
      </c>
      <c r="FE265" s="23">
        <f t="shared" si="1045"/>
        <v>1</v>
      </c>
      <c r="FF265" s="23">
        <f t="shared" si="1046"/>
        <v>1</v>
      </c>
      <c r="FG265" s="23">
        <f t="shared" si="968"/>
        <v>0</v>
      </c>
      <c r="FH265" s="23"/>
      <c r="FR265" s="4">
        <f t="shared" si="842"/>
        <v>1</v>
      </c>
      <c r="FS265" s="4">
        <f t="shared" si="843"/>
        <v>0.5</v>
      </c>
      <c r="FT265" s="4">
        <f t="shared" si="844"/>
        <v>0</v>
      </c>
      <c r="FU265" s="4">
        <f t="shared" si="845"/>
        <v>651.78734533119007</v>
      </c>
    </row>
    <row r="266" spans="2:177" ht="12" customHeight="1" x14ac:dyDescent="0.3">
      <c r="B266" s="24"/>
      <c r="C266" s="7" t="s">
        <v>397</v>
      </c>
      <c r="D266" s="38">
        <f t="shared" si="1015"/>
        <v>827.58620689655174</v>
      </c>
      <c r="E266" s="38">
        <f>9.31*25.4</f>
        <v>236.47399999999999</v>
      </c>
      <c r="F266" s="38">
        <f>5960/145</f>
        <v>41.103448275862071</v>
      </c>
      <c r="G266" s="38">
        <f t="shared" si="1016"/>
        <v>25.4</v>
      </c>
      <c r="H266" s="38">
        <f>16.5*25.4</f>
        <v>419.09999999999997</v>
      </c>
      <c r="I266" s="38">
        <f>2.5*25.4</f>
        <v>63.5</v>
      </c>
      <c r="J266" s="39">
        <f>3.45*25.4</f>
        <v>87.63</v>
      </c>
      <c r="K266" s="7">
        <f t="shared" si="986"/>
        <v>241.29999999999995</v>
      </c>
      <c r="L266" s="38">
        <v>2</v>
      </c>
      <c r="M266" s="4">
        <f t="shared" si="1028"/>
        <v>260.34999999999997</v>
      </c>
      <c r="N266" s="7">
        <f t="shared" si="905"/>
        <v>3</v>
      </c>
      <c r="O266" s="7">
        <f t="shared" si="906"/>
        <v>3</v>
      </c>
      <c r="P266" s="38">
        <v>4</v>
      </c>
      <c r="Q266" s="4">
        <f t="shared" si="1017"/>
        <v>4</v>
      </c>
      <c r="R266" s="4">
        <f t="shared" si="907"/>
        <v>5</v>
      </c>
      <c r="S266" s="7">
        <f t="shared" si="908"/>
        <v>56.796126628494655</v>
      </c>
      <c r="V266" s="38">
        <f t="shared" si="1054"/>
        <v>647.58620689655186</v>
      </c>
      <c r="W266" s="4">
        <v>93.9</v>
      </c>
      <c r="X266" s="4">
        <f t="shared" si="910"/>
        <v>1.1078590441518625</v>
      </c>
      <c r="Y266" s="38">
        <f>0.375*25.4</f>
        <v>9.5249999999999986</v>
      </c>
      <c r="Z266" s="38">
        <v>10</v>
      </c>
      <c r="AA266" s="39">
        <f>3*25.4</f>
        <v>76.199999999999989</v>
      </c>
      <c r="AB266" s="39">
        <v>3</v>
      </c>
      <c r="AC266" s="39">
        <v>1</v>
      </c>
      <c r="AD266" s="7"/>
      <c r="AE266" s="4">
        <f t="shared" si="912"/>
        <v>236.47399999999999</v>
      </c>
      <c r="AF266" s="4">
        <f t="shared" si="913"/>
        <v>0.59076262083780873</v>
      </c>
      <c r="AG266" s="4">
        <f t="shared" si="914"/>
        <v>230.0524776158949</v>
      </c>
      <c r="AH266" s="4">
        <f t="shared" si="915"/>
        <v>0.76444683136412461</v>
      </c>
      <c r="AI266" s="4">
        <v>1.25</v>
      </c>
      <c r="AJ266" s="4">
        <f t="shared" si="857"/>
        <v>2.5</v>
      </c>
      <c r="AK266" s="38">
        <f t="shared" si="988"/>
        <v>324.66631363626266</v>
      </c>
      <c r="AL266" s="38">
        <f t="shared" si="953"/>
        <v>324.66631363626266</v>
      </c>
      <c r="AM266" s="38">
        <f t="shared" si="916"/>
        <v>3.5730582227190051</v>
      </c>
      <c r="AN266" s="38">
        <f t="shared" si="858"/>
        <v>324.66631363626226</v>
      </c>
      <c r="AO266" s="38">
        <f t="shared" si="840"/>
        <v>1.0000000000000013</v>
      </c>
      <c r="AP266" s="38">
        <f t="shared" si="859"/>
        <v>1.519225612863996</v>
      </c>
      <c r="AQ266" s="4">
        <f t="shared" si="860"/>
        <v>0</v>
      </c>
      <c r="AR266" s="4" t="e">
        <f>#REF!/G266*F266^0.5/0.19</f>
        <v>#REF!</v>
      </c>
      <c r="AS266" s="4">
        <f t="shared" si="917"/>
        <v>1</v>
      </c>
      <c r="AT266" s="38">
        <f t="shared" si="918"/>
        <v>493.24137931034488</v>
      </c>
      <c r="AU266" s="4">
        <f t="shared" si="919"/>
        <v>0.44000000000000006</v>
      </c>
      <c r="AV266" s="4" t="e">
        <f>AU266*D266*#REF!/(D266*G266/2.75/F266^0.5)</f>
        <v>#REF!</v>
      </c>
      <c r="AW266" s="4" t="e">
        <f t="shared" si="989"/>
        <v>#REF!</v>
      </c>
      <c r="AY266" s="4">
        <f t="shared" si="920"/>
        <v>1.5</v>
      </c>
      <c r="AZ266" s="4" t="e">
        <f>(3*#REF!+30)*AY266*F266^0.5</f>
        <v>#REF!</v>
      </c>
      <c r="BB266" s="4">
        <f t="shared" si="921"/>
        <v>473.07880224876135</v>
      </c>
      <c r="BC266" s="4">
        <f t="shared" si="1047"/>
        <v>0</v>
      </c>
      <c r="BD266" s="4">
        <f t="shared" si="990"/>
        <v>0</v>
      </c>
      <c r="BL266" s="4">
        <f t="shared" si="923"/>
        <v>63.5</v>
      </c>
      <c r="BP266" s="9"/>
      <c r="BR266" s="9"/>
      <c r="BS266" s="9"/>
      <c r="BT266" s="9">
        <f t="shared" si="924"/>
        <v>63.5</v>
      </c>
      <c r="BU266" s="9">
        <f t="shared" si="925"/>
        <v>120.64999999999998</v>
      </c>
      <c r="BV266" s="9">
        <f t="shared" si="926"/>
        <v>1.7409369561833321</v>
      </c>
      <c r="BW266" s="40">
        <f t="shared" si="1018"/>
        <v>20</v>
      </c>
      <c r="BX266" s="9">
        <f t="shared" si="927"/>
        <v>0.05</v>
      </c>
      <c r="BY266" s="9">
        <f t="shared" si="991"/>
        <v>0.8</v>
      </c>
      <c r="BZ266" s="9">
        <f t="shared" si="928"/>
        <v>0.99524931562137331</v>
      </c>
      <c r="CA266" s="9">
        <f t="shared" si="929"/>
        <v>0.68</v>
      </c>
      <c r="CB266" s="9">
        <f t="shared" si="930"/>
        <v>1.5186160075936113</v>
      </c>
      <c r="CC266" s="9">
        <f t="shared" si="931"/>
        <v>3.7965400189840279</v>
      </c>
      <c r="CD266" s="40">
        <v>1</v>
      </c>
      <c r="CE266" s="9" t="e">
        <f>4*CC266*#REF!+60*CC266</f>
        <v>#REF!</v>
      </c>
      <c r="CG266" s="4" t="e">
        <f t="shared" si="992"/>
        <v>#REF!</v>
      </c>
      <c r="CH266" s="4" t="e">
        <f t="shared" si="993"/>
        <v>#REF!</v>
      </c>
      <c r="CI266" s="4" t="e">
        <f t="shared" si="994"/>
        <v>#REF!</v>
      </c>
      <c r="CJ266" s="4" t="e">
        <f t="shared" si="995"/>
        <v>#REF!</v>
      </c>
      <c r="CK266" s="4">
        <f t="shared" si="996"/>
        <v>1.1078590441518625</v>
      </c>
      <c r="CL266" s="4">
        <f t="shared" si="997"/>
        <v>1.1787430355325779</v>
      </c>
      <c r="CM266" s="4">
        <f t="shared" si="978"/>
        <v>1.2121832107334114</v>
      </c>
      <c r="CN266" s="4">
        <f t="shared" si="1019"/>
        <v>10</v>
      </c>
      <c r="CU266" s="4" t="e">
        <f t="shared" ref="CU266:CU269" si="1055">CG266</f>
        <v>#REF!</v>
      </c>
      <c r="CV266" s="4" t="e">
        <f t="shared" ref="CV266:CV269" si="1056">CH266</f>
        <v>#REF!</v>
      </c>
      <c r="CW266" s="4" t="e">
        <f t="shared" ref="CW266:CW269" si="1057">CJ266</f>
        <v>#REF!</v>
      </c>
      <c r="CX266" s="4">
        <f t="shared" ref="CX266:CX269" si="1058">CM266</f>
        <v>1.2121832107334114</v>
      </c>
      <c r="CY266" s="4">
        <f t="shared" ref="CY266:CY269" si="1059">CK266</f>
        <v>1.1078590441518625</v>
      </c>
      <c r="CZ266" s="4">
        <f t="shared" ref="CZ266:CZ269" si="1060">CL266</f>
        <v>1.1787430355325779</v>
      </c>
      <c r="DC266" s="4" t="e">
        <f>#REF!</f>
        <v>#REF!</v>
      </c>
      <c r="DF266" s="4">
        <f t="shared" si="932"/>
        <v>1.7935736647377375E-5</v>
      </c>
      <c r="DG266" s="4">
        <f t="shared" si="1004"/>
        <v>8.1771388151947182</v>
      </c>
      <c r="DH266" s="4">
        <f t="shared" si="934"/>
        <v>0.43639983382852249</v>
      </c>
      <c r="DI266" s="4">
        <f t="shared" si="1005"/>
        <v>5.8688796130071648</v>
      </c>
      <c r="DJ266" s="4">
        <f t="shared" si="1006"/>
        <v>7.1174580141854262</v>
      </c>
      <c r="DK266" s="4">
        <f t="shared" si="937"/>
        <v>7.7603820959198675</v>
      </c>
      <c r="DL266" s="38">
        <f t="shared" si="938"/>
        <v>584.53844856438468</v>
      </c>
      <c r="DM266" s="4" t="e">
        <f t="shared" si="1007"/>
        <v>#REF!</v>
      </c>
      <c r="DN266" s="4">
        <f t="shared" si="940"/>
        <v>2.2360679774997898</v>
      </c>
      <c r="DO266" s="4">
        <f t="shared" si="976"/>
        <v>324.66631363626226</v>
      </c>
      <c r="DS266" s="4">
        <f t="shared" si="941"/>
        <v>0.85</v>
      </c>
      <c r="DT266" s="4">
        <f t="shared" si="942"/>
        <v>0.85</v>
      </c>
      <c r="DU266" s="4">
        <f t="shared" si="943"/>
        <v>0.99062499999999998</v>
      </c>
      <c r="DV266" s="4">
        <f t="shared" si="1008"/>
        <v>0.84203125000000001</v>
      </c>
      <c r="DX266" s="4">
        <f t="shared" si="945"/>
        <v>549.38709063418594</v>
      </c>
      <c r="DY266" s="25">
        <f t="shared" si="851"/>
        <v>320.9996035257974</v>
      </c>
      <c r="EA266" s="4">
        <f t="shared" si="852"/>
        <v>0.7157265625</v>
      </c>
      <c r="EB266" s="4">
        <f t="shared" si="946"/>
        <v>8.1771388151947182</v>
      </c>
      <c r="EE266" s="4">
        <f t="shared" si="947"/>
        <v>56.796126628494655</v>
      </c>
      <c r="EF266" s="4">
        <f t="shared" si="1009"/>
        <v>2.2360679774997898</v>
      </c>
      <c r="EG266" s="4">
        <f t="shared" si="949"/>
        <v>0.15298856487151113</v>
      </c>
      <c r="EJ266" s="4">
        <f t="shared" si="1020"/>
        <v>0.15298856487151113</v>
      </c>
      <c r="EK266" s="4">
        <f t="shared" si="950"/>
        <v>0.43567156383973532</v>
      </c>
      <c r="EL266" s="4">
        <f t="shared" si="1010"/>
        <v>5.8649600234176082</v>
      </c>
      <c r="EM266" s="4">
        <f t="shared" si="1011"/>
        <v>7.1158441858875401</v>
      </c>
      <c r="EN266" s="4" t="e">
        <f t="shared" si="1012"/>
        <v>#REF!</v>
      </c>
      <c r="EO266" s="4" t="e">
        <f t="shared" si="1013"/>
        <v>#REF!</v>
      </c>
      <c r="EP266" s="4" t="e">
        <f t="shared" si="951"/>
        <v>#REF!</v>
      </c>
      <c r="EQ266" s="4" t="e">
        <f t="shared" si="1014"/>
        <v>#REF!</v>
      </c>
      <c r="ER266" s="4" t="e">
        <f t="shared" si="952"/>
        <v>#REF!</v>
      </c>
      <c r="FA266" s="23" t="e">
        <f t="shared" si="1042"/>
        <v>#REF!</v>
      </c>
      <c r="FB266" s="23" t="e">
        <f t="shared" si="1043"/>
        <v>#REF!</v>
      </c>
      <c r="FC266" s="23">
        <f t="shared" si="981"/>
        <v>1.4</v>
      </c>
      <c r="FD266" s="23" t="e">
        <f t="shared" si="1044"/>
        <v>#REF!</v>
      </c>
      <c r="FE266" s="23">
        <f t="shared" si="1045"/>
        <v>1.2</v>
      </c>
      <c r="FF266" s="23">
        <f t="shared" si="1046"/>
        <v>1.2</v>
      </c>
      <c r="FG266" s="23">
        <f t="shared" si="968"/>
        <v>0</v>
      </c>
      <c r="FH266" s="23"/>
      <c r="FR266" s="4">
        <f t="shared" si="842"/>
        <v>1</v>
      </c>
      <c r="FS266" s="4">
        <f t="shared" si="843"/>
        <v>0.44</v>
      </c>
      <c r="FT266" s="4">
        <f t="shared" si="844"/>
        <v>0.3</v>
      </c>
      <c r="FU266" s="4">
        <f t="shared" si="845"/>
        <v>534.23129537055752</v>
      </c>
    </row>
    <row r="267" spans="2:177" ht="12" customHeight="1" x14ac:dyDescent="0.3">
      <c r="B267" s="24"/>
      <c r="C267" s="7" t="s">
        <v>398</v>
      </c>
      <c r="D267" s="38">
        <f t="shared" si="1015"/>
        <v>827.58620689655174</v>
      </c>
      <c r="E267" s="38">
        <f>9.06*25.4</f>
        <v>230.124</v>
      </c>
      <c r="F267" s="38">
        <f>6440/145</f>
        <v>44.413793103448278</v>
      </c>
      <c r="G267" s="38">
        <f t="shared" si="1016"/>
        <v>25.4</v>
      </c>
      <c r="H267" s="38">
        <f>18.6*25.4</f>
        <v>472.44</v>
      </c>
      <c r="I267" s="38">
        <f>3.45*25.4</f>
        <v>87.63</v>
      </c>
      <c r="J267" s="39">
        <f>3.7*25.4</f>
        <v>93.98</v>
      </c>
      <c r="K267" s="7">
        <f t="shared" si="986"/>
        <v>246.38</v>
      </c>
      <c r="L267" s="38">
        <v>2</v>
      </c>
      <c r="M267" s="4">
        <f t="shared" si="1028"/>
        <v>260.34999999999997</v>
      </c>
      <c r="N267" s="7">
        <f t="shared" si="905"/>
        <v>3.95</v>
      </c>
      <c r="O267" s="7">
        <f t="shared" si="906"/>
        <v>3.95</v>
      </c>
      <c r="P267" s="38">
        <v>4</v>
      </c>
      <c r="Q267" s="4">
        <f t="shared" si="1017"/>
        <v>4</v>
      </c>
      <c r="R267" s="4">
        <f t="shared" si="907"/>
        <v>5</v>
      </c>
      <c r="S267" s="7">
        <f t="shared" si="908"/>
        <v>56.796126628494655</v>
      </c>
      <c r="V267" s="38">
        <f t="shared" si="1054"/>
        <v>703.44827586206907</v>
      </c>
      <c r="W267" s="4">
        <v>102</v>
      </c>
      <c r="X267" s="4">
        <f t="shared" si="910"/>
        <v>1.0255837865554474</v>
      </c>
      <c r="Y267" s="38">
        <f t="shared" ref="Y267" si="1061">0.375*25.4</f>
        <v>9.5249999999999986</v>
      </c>
      <c r="Z267" s="38">
        <v>10</v>
      </c>
      <c r="AA267" s="39">
        <f>3*25.4</f>
        <v>76.199999999999989</v>
      </c>
      <c r="AB267" s="39">
        <v>3</v>
      </c>
      <c r="AC267" s="39">
        <v>1</v>
      </c>
      <c r="AD267" s="7"/>
      <c r="AE267" s="4">
        <f t="shared" si="912"/>
        <v>230.124</v>
      </c>
      <c r="AF267" s="4">
        <f t="shared" si="913"/>
        <v>0.6843267108167771</v>
      </c>
      <c r="AG267" s="4">
        <f t="shared" si="914"/>
        <v>229.56966143640747</v>
      </c>
      <c r="AH267" s="4">
        <f t="shared" si="915"/>
        <v>0.78719646799116993</v>
      </c>
      <c r="AI267" s="4">
        <v>1.25</v>
      </c>
      <c r="AJ267" s="4">
        <f t="shared" si="857"/>
        <v>2.5</v>
      </c>
      <c r="AK267" s="38">
        <f t="shared" si="988"/>
        <v>386.46586822990668</v>
      </c>
      <c r="AL267" s="38">
        <f t="shared" si="953"/>
        <v>386.46586822990668</v>
      </c>
      <c r="AM267" s="38">
        <f t="shared" si="916"/>
        <v>3.7624132755662103</v>
      </c>
      <c r="AN267" s="38">
        <f t="shared" si="858"/>
        <v>386.46586822990719</v>
      </c>
      <c r="AO267" s="38">
        <f t="shared" si="840"/>
        <v>0.99999999999999867</v>
      </c>
      <c r="AP267" s="38">
        <f t="shared" si="859"/>
        <v>1.8157824240691325</v>
      </c>
      <c r="AQ267" s="4">
        <f t="shared" si="860"/>
        <v>0</v>
      </c>
      <c r="AR267" s="4" t="e">
        <f>#REF!/G267*F267^0.5/0.19</f>
        <v>#REF!</v>
      </c>
      <c r="AS267" s="4">
        <f t="shared" si="917"/>
        <v>1</v>
      </c>
      <c r="AT267" s="38">
        <f t="shared" si="918"/>
        <v>701.73793103448281</v>
      </c>
      <c r="AU267" s="4">
        <f t="shared" si="919"/>
        <v>0.44000000000000006</v>
      </c>
      <c r="AV267" s="4" t="e">
        <f>AU267*D267*#REF!/(D267*G267/2.75/F267^0.5)</f>
        <v>#REF!</v>
      </c>
      <c r="AW267" s="4" t="e">
        <f t="shared" si="989"/>
        <v>#REF!</v>
      </c>
      <c r="AY267" s="4">
        <f t="shared" si="920"/>
        <v>1.5</v>
      </c>
      <c r="AZ267" s="4" t="e">
        <f>(3*#REF!+30)*AY267*F267^0.5</f>
        <v>#REF!</v>
      </c>
      <c r="BB267" s="4">
        <f t="shared" si="921"/>
        <v>673.05249281901524</v>
      </c>
      <c r="BC267" s="4">
        <f t="shared" si="1047"/>
        <v>0</v>
      </c>
      <c r="BD267" s="4">
        <f t="shared" si="990"/>
        <v>0</v>
      </c>
      <c r="BL267" s="4">
        <f t="shared" si="923"/>
        <v>87.63</v>
      </c>
      <c r="BP267" s="9"/>
      <c r="BR267" s="9"/>
      <c r="BS267" s="9"/>
      <c r="BT267" s="9">
        <f t="shared" si="924"/>
        <v>87.63</v>
      </c>
      <c r="BU267" s="9">
        <f t="shared" si="925"/>
        <v>123.19</v>
      </c>
      <c r="BV267" s="9">
        <f t="shared" si="926"/>
        <v>1.9547802569983255</v>
      </c>
      <c r="BW267" s="40">
        <f t="shared" si="1018"/>
        <v>20</v>
      </c>
      <c r="BX267" s="9">
        <f t="shared" si="927"/>
        <v>0.05</v>
      </c>
      <c r="BY267" s="9">
        <f t="shared" si="991"/>
        <v>0.8</v>
      </c>
      <c r="BZ267" s="9">
        <f t="shared" si="928"/>
        <v>0.99524931562137331</v>
      </c>
      <c r="CA267" s="9">
        <f t="shared" si="929"/>
        <v>0.68</v>
      </c>
      <c r="CB267" s="9">
        <f t="shared" si="930"/>
        <v>1.5785842929910907</v>
      </c>
      <c r="CC267" s="9">
        <f t="shared" si="931"/>
        <v>3.9464607324777266</v>
      </c>
      <c r="CD267" s="40">
        <v>1</v>
      </c>
      <c r="CE267" s="9" t="e">
        <f>4*CC267*#REF!+60*CC267</f>
        <v>#REF!</v>
      </c>
      <c r="CG267" s="4" t="e">
        <f t="shared" si="992"/>
        <v>#REF!</v>
      </c>
      <c r="CH267" s="4" t="e">
        <f t="shared" si="993"/>
        <v>#REF!</v>
      </c>
      <c r="CI267" s="4" t="e">
        <f t="shared" si="994"/>
        <v>#REF!</v>
      </c>
      <c r="CJ267" s="4" t="e">
        <f t="shared" si="995"/>
        <v>#REF!</v>
      </c>
      <c r="CK267" s="4">
        <f t="shared" si="996"/>
        <v>1.0255837865554474</v>
      </c>
      <c r="CL267" s="4">
        <f t="shared" si="997"/>
        <v>1.0953486974677027</v>
      </c>
      <c r="CM267" s="4">
        <f t="shared" si="978"/>
        <v>1.327132930109501</v>
      </c>
      <c r="CN267" s="4">
        <f t="shared" si="1019"/>
        <v>10</v>
      </c>
      <c r="CU267" s="4" t="e">
        <f t="shared" si="1055"/>
        <v>#REF!</v>
      </c>
      <c r="CV267" s="4" t="e">
        <f t="shared" si="1056"/>
        <v>#REF!</v>
      </c>
      <c r="CW267" s="4" t="e">
        <f t="shared" si="1057"/>
        <v>#REF!</v>
      </c>
      <c r="CX267" s="4">
        <f t="shared" si="1058"/>
        <v>1.327132930109501</v>
      </c>
      <c r="CY267" s="4">
        <f t="shared" si="1059"/>
        <v>1.0255837865554474</v>
      </c>
      <c r="CZ267" s="4">
        <f t="shared" si="1060"/>
        <v>1.0953486974677027</v>
      </c>
      <c r="DC267" s="4" t="e">
        <f>#REF!</f>
        <v>#REF!</v>
      </c>
      <c r="DF267" s="4">
        <f t="shared" si="932"/>
        <v>1.7835275850587528E-5</v>
      </c>
      <c r="DG267" s="4">
        <f t="shared" si="1004"/>
        <v>9.5695859688824623</v>
      </c>
      <c r="DH267" s="4">
        <f t="shared" si="934"/>
        <v>0.48074954631931027</v>
      </c>
      <c r="DI267" s="4">
        <f t="shared" si="1005"/>
        <v>7.1393833409390375</v>
      </c>
      <c r="DJ267" s="4">
        <f t="shared" si="1006"/>
        <v>8.4425686834085472</v>
      </c>
      <c r="DK267" s="4">
        <f t="shared" si="937"/>
        <v>9.0089963326407201</v>
      </c>
      <c r="DL267" s="38">
        <f t="shared" si="938"/>
        <v>685.90034776650373</v>
      </c>
      <c r="DM267" s="4" t="e">
        <f t="shared" si="1007"/>
        <v>#REF!</v>
      </c>
      <c r="DN267" s="4">
        <f t="shared" si="940"/>
        <v>2.2360679774997898</v>
      </c>
      <c r="DO267" s="4">
        <f t="shared" si="976"/>
        <v>386.46586822990719</v>
      </c>
      <c r="DS267" s="4">
        <f t="shared" si="941"/>
        <v>0.85</v>
      </c>
      <c r="DT267" s="4">
        <f t="shared" si="942"/>
        <v>0.755</v>
      </c>
      <c r="DU267" s="4">
        <f t="shared" si="943"/>
        <v>0.99062499999999998</v>
      </c>
      <c r="DV267" s="4">
        <f t="shared" si="1008"/>
        <v>0.74792187499999996</v>
      </c>
      <c r="DX267" s="4">
        <f t="shared" si="945"/>
        <v>642.21400681659259</v>
      </c>
      <c r="DY267" s="25">
        <f t="shared" si="851"/>
        <v>382.11266018236722</v>
      </c>
      <c r="EA267" s="4">
        <f t="shared" si="852"/>
        <v>0.63573359374999994</v>
      </c>
      <c r="EB267" s="4">
        <f t="shared" si="946"/>
        <v>9.5695859688824623</v>
      </c>
      <c r="EE267" s="4">
        <f t="shared" si="947"/>
        <v>56.796126628494655</v>
      </c>
      <c r="EF267" s="4">
        <f t="shared" si="1009"/>
        <v>2.2360679774997898</v>
      </c>
      <c r="EG267" s="4">
        <f t="shared" si="949"/>
        <v>0.17519152014128195</v>
      </c>
      <c r="EJ267" s="4">
        <f t="shared" si="1020"/>
        <v>0.17519152014128195</v>
      </c>
      <c r="EK267" s="4">
        <f t="shared" si="950"/>
        <v>0.47994726492603873</v>
      </c>
      <c r="EL267" s="4">
        <f t="shared" si="1010"/>
        <v>7.1346152328052508</v>
      </c>
      <c r="EM267" s="4">
        <f t="shared" si="1011"/>
        <v>8.4405545920590228</v>
      </c>
      <c r="EN267" s="4" t="e">
        <f t="shared" si="1012"/>
        <v>#REF!</v>
      </c>
      <c r="EO267" s="4" t="e">
        <f t="shared" si="1013"/>
        <v>#REF!</v>
      </c>
      <c r="EP267" s="4" t="e">
        <f t="shared" si="951"/>
        <v>#REF!</v>
      </c>
      <c r="EQ267" s="4" t="e">
        <f t="shared" si="1014"/>
        <v>#REF!</v>
      </c>
      <c r="ER267" s="4" t="e">
        <f t="shared" si="952"/>
        <v>#REF!</v>
      </c>
      <c r="FA267" s="23" t="e">
        <f t="shared" si="1042"/>
        <v>#REF!</v>
      </c>
      <c r="FB267" s="23" t="e">
        <f t="shared" si="1043"/>
        <v>#REF!</v>
      </c>
      <c r="FC267" s="23">
        <f t="shared" si="981"/>
        <v>1.4</v>
      </c>
      <c r="FD267" s="23" t="e">
        <f t="shared" si="1044"/>
        <v>#REF!</v>
      </c>
      <c r="FE267" s="23">
        <f t="shared" si="1045"/>
        <v>1.2</v>
      </c>
      <c r="FF267" s="23">
        <f t="shared" si="1046"/>
        <v>1.2</v>
      </c>
      <c r="FG267" s="23">
        <f t="shared" si="968"/>
        <v>0</v>
      </c>
      <c r="FH267" s="23"/>
      <c r="FR267" s="4">
        <f t="shared" si="842"/>
        <v>1</v>
      </c>
      <c r="FS267" s="4">
        <f t="shared" si="843"/>
        <v>0.44</v>
      </c>
      <c r="FT267" s="4">
        <f t="shared" si="844"/>
        <v>0.3</v>
      </c>
      <c r="FU267" s="4">
        <f t="shared" si="845"/>
        <v>530.05110483094404</v>
      </c>
    </row>
    <row r="268" spans="2:177" ht="12" customHeight="1" x14ac:dyDescent="0.3">
      <c r="B268" s="24"/>
      <c r="C268" s="7" t="s">
        <v>399</v>
      </c>
      <c r="D268" s="38">
        <f t="shared" si="1015"/>
        <v>827.58620689655174</v>
      </c>
      <c r="E268" s="38">
        <f>9.25*25.4</f>
        <v>234.95</v>
      </c>
      <c r="F268" s="38">
        <f>6440/145</f>
        <v>44.413793103448278</v>
      </c>
      <c r="G268" s="38">
        <f t="shared" si="1016"/>
        <v>25.4</v>
      </c>
      <c r="H268" s="38">
        <f>16.6*25.4</f>
        <v>421.64</v>
      </c>
      <c r="I268" s="38">
        <f>2.55*25.4</f>
        <v>64.77</v>
      </c>
      <c r="J268" s="39">
        <f>3.35*25.4</f>
        <v>85.09</v>
      </c>
      <c r="K268" s="7">
        <f t="shared" si="986"/>
        <v>241.29999999999998</v>
      </c>
      <c r="L268" s="38">
        <v>2</v>
      </c>
      <c r="M268" s="4">
        <f t="shared" si="1028"/>
        <v>260.34999999999997</v>
      </c>
      <c r="N268" s="7">
        <f t="shared" si="905"/>
        <v>3.05</v>
      </c>
      <c r="O268" s="7">
        <f t="shared" si="906"/>
        <v>3.05</v>
      </c>
      <c r="P268" s="38">
        <v>4</v>
      </c>
      <c r="Q268" s="4">
        <f t="shared" si="1017"/>
        <v>4</v>
      </c>
      <c r="R268" s="4">
        <f t="shared" si="907"/>
        <v>5</v>
      </c>
      <c r="S268" s="7">
        <f t="shared" si="908"/>
        <v>56.796126628494655</v>
      </c>
      <c r="V268" s="38">
        <f t="shared" si="1054"/>
        <v>790.34482758620686</v>
      </c>
      <c r="W268" s="4">
        <v>114.6</v>
      </c>
      <c r="X268" s="4">
        <f t="shared" si="910"/>
        <v>1.2622199993298189</v>
      </c>
      <c r="Y268" s="38">
        <f>0.5*25.4</f>
        <v>12.7</v>
      </c>
      <c r="Z268" s="38">
        <v>8</v>
      </c>
      <c r="AA268" s="39">
        <f>4*25.4</f>
        <v>101.6</v>
      </c>
      <c r="AB268" s="39">
        <v>2</v>
      </c>
      <c r="AC268" s="39">
        <v>1</v>
      </c>
      <c r="AD268" s="7"/>
      <c r="AE268" s="4">
        <f t="shared" si="912"/>
        <v>234.95</v>
      </c>
      <c r="AF268" s="4">
        <f t="shared" si="913"/>
        <v>0.59819819819819819</v>
      </c>
      <c r="AG268" s="4">
        <f t="shared" si="914"/>
        <v>236.82895372126541</v>
      </c>
      <c r="AH268" s="4">
        <f t="shared" si="915"/>
        <v>0.76594594594594589</v>
      </c>
      <c r="AI268" s="4">
        <v>1.25</v>
      </c>
      <c r="AJ268" s="4">
        <f t="shared" si="857"/>
        <v>2.5</v>
      </c>
      <c r="AK268" s="38">
        <f t="shared" si="988"/>
        <v>339.10019571599395</v>
      </c>
      <c r="AL268" s="38">
        <f t="shared" si="953"/>
        <v>339.10019571599395</v>
      </c>
      <c r="AM268" s="38">
        <f t="shared" si="916"/>
        <v>3.7624132755662103</v>
      </c>
      <c r="AN268" s="38">
        <f t="shared" si="858"/>
        <v>339.10019571599406</v>
      </c>
      <c r="AO268" s="38">
        <f t="shared" si="840"/>
        <v>0.99999999999999967</v>
      </c>
      <c r="AP268" s="38">
        <f t="shared" si="859"/>
        <v>1.5979002156515476</v>
      </c>
      <c r="AQ268" s="4">
        <f t="shared" si="860"/>
        <v>0</v>
      </c>
      <c r="AR268" s="4" t="e">
        <f>#REF!/G268*F268^0.5/0.19</f>
        <v>#REF!</v>
      </c>
      <c r="AS268" s="4">
        <f t="shared" si="917"/>
        <v>1</v>
      </c>
      <c r="AT268" s="38">
        <f t="shared" si="918"/>
        <v>541.84827586206893</v>
      </c>
      <c r="AU268" s="4">
        <f t="shared" si="919"/>
        <v>0.44000000000000006</v>
      </c>
      <c r="AV268" s="4" t="e">
        <f>AU268*D268*#REF!/(D268*G268/2.75/F268^0.5)</f>
        <v>#REF!</v>
      </c>
      <c r="AW268" s="4" t="e">
        <f t="shared" si="989"/>
        <v>#REF!</v>
      </c>
      <c r="AY268" s="4">
        <f t="shared" si="920"/>
        <v>1.5</v>
      </c>
      <c r="AZ268" s="4" t="e">
        <f>(3*#REF!+30)*AY268*F268^0.5</f>
        <v>#REF!</v>
      </c>
      <c r="BB268" s="4">
        <f t="shared" si="921"/>
        <v>519.69876027797375</v>
      </c>
      <c r="BC268" s="4">
        <f t="shared" si="1047"/>
        <v>0</v>
      </c>
      <c r="BD268" s="4">
        <f t="shared" si="990"/>
        <v>0</v>
      </c>
      <c r="BL268" s="4">
        <f t="shared" si="923"/>
        <v>64.77</v>
      </c>
      <c r="BP268" s="9"/>
      <c r="BR268" s="9"/>
      <c r="BS268" s="9"/>
      <c r="BT268" s="9">
        <f t="shared" si="924"/>
        <v>64.77</v>
      </c>
      <c r="BU268" s="9">
        <f t="shared" si="925"/>
        <v>120.64999999999999</v>
      </c>
      <c r="BV268" s="9">
        <f t="shared" si="926"/>
        <v>1.753045162204804</v>
      </c>
      <c r="BW268" s="40">
        <f t="shared" si="1018"/>
        <v>20</v>
      </c>
      <c r="BX268" s="9">
        <f t="shared" si="927"/>
        <v>0.05</v>
      </c>
      <c r="BY268" s="9">
        <f t="shared" si="991"/>
        <v>0.8</v>
      </c>
      <c r="BZ268" s="9">
        <f t="shared" si="928"/>
        <v>0.99524931562137331</v>
      </c>
      <c r="CA268" s="9">
        <f t="shared" si="929"/>
        <v>0.68</v>
      </c>
      <c r="CB268" s="9">
        <f t="shared" si="930"/>
        <v>1.5785842929910907</v>
      </c>
      <c r="CC268" s="9">
        <f t="shared" si="931"/>
        <v>3.9464607324777266</v>
      </c>
      <c r="CD268" s="40">
        <v>1</v>
      </c>
      <c r="CE268" s="9" t="e">
        <f>4*CC268*#REF!+60*CC268</f>
        <v>#REF!</v>
      </c>
      <c r="CG268" s="4" t="e">
        <f t="shared" si="992"/>
        <v>#REF!</v>
      </c>
      <c r="CH268" s="4" t="e">
        <f t="shared" si="993"/>
        <v>#REF!</v>
      </c>
      <c r="CI268" s="4" t="e">
        <f t="shared" si="994"/>
        <v>#REF!</v>
      </c>
      <c r="CJ268" s="4" t="e">
        <f t="shared" si="995"/>
        <v>#REF!</v>
      </c>
      <c r="CK268" s="4">
        <f t="shared" si="996"/>
        <v>1.2622199993298189</v>
      </c>
      <c r="CL268" s="4">
        <f t="shared" si="997"/>
        <v>1.3410351127446876</v>
      </c>
      <c r="CM268" s="4">
        <f t="shared" si="978"/>
        <v>1.4604454373528053</v>
      </c>
      <c r="CN268" s="4">
        <f t="shared" si="1019"/>
        <v>8</v>
      </c>
      <c r="CU268" s="4" t="e">
        <f t="shared" si="1055"/>
        <v>#REF!</v>
      </c>
      <c r="CV268" s="4" t="e">
        <f t="shared" si="1056"/>
        <v>#REF!</v>
      </c>
      <c r="CW268" s="4" t="e">
        <f t="shared" si="1057"/>
        <v>#REF!</v>
      </c>
      <c r="CX268" s="4">
        <f t="shared" si="1058"/>
        <v>1.4604454373528053</v>
      </c>
      <c r="CY268" s="4">
        <f t="shared" si="1059"/>
        <v>1.2622199993298189</v>
      </c>
      <c r="CZ268" s="4">
        <f t="shared" si="1060"/>
        <v>1.3410351127446876</v>
      </c>
      <c r="DC268" s="4" t="e">
        <f>#REF!</f>
        <v>#REF!</v>
      </c>
      <c r="DF268" s="4">
        <f t="shared" si="932"/>
        <v>1.8209304814341571E-5</v>
      </c>
      <c r="DG268" s="4">
        <f t="shared" si="1004"/>
        <v>9.1569520944446019</v>
      </c>
      <c r="DH268" s="4">
        <f t="shared" si="934"/>
        <v>0.42182836480212033</v>
      </c>
      <c r="DI268" s="4">
        <f t="shared" si="1005"/>
        <v>6.4834363846303589</v>
      </c>
      <c r="DJ268" s="4">
        <f t="shared" si="1006"/>
        <v>7.9339449877808761</v>
      </c>
      <c r="DK268" s="4">
        <f t="shared" si="937"/>
        <v>8.6336377842407881</v>
      </c>
      <c r="DL268" s="38">
        <f t="shared" si="938"/>
        <v>626.15457527676938</v>
      </c>
      <c r="DM268" s="4" t="e">
        <f t="shared" si="1007"/>
        <v>#REF!</v>
      </c>
      <c r="DN268" s="4">
        <f t="shared" si="940"/>
        <v>2.2360679774997898</v>
      </c>
      <c r="DO268" s="4">
        <f t="shared" si="976"/>
        <v>339.10019571599406</v>
      </c>
      <c r="DS268" s="4">
        <f t="shared" si="941"/>
        <v>0.85</v>
      </c>
      <c r="DT268" s="4">
        <f t="shared" si="942"/>
        <v>0.84499999999999997</v>
      </c>
      <c r="DU268" s="4">
        <f t="shared" si="943"/>
        <v>0.92500000000000004</v>
      </c>
      <c r="DV268" s="4">
        <f t="shared" si="1008"/>
        <v>0.78162500000000001</v>
      </c>
      <c r="DX268" s="4">
        <f t="shared" si="945"/>
        <v>589.35431300423852</v>
      </c>
      <c r="DY268" s="25">
        <f t="shared" si="851"/>
        <v>335.24889238340086</v>
      </c>
      <c r="EA268" s="4">
        <f t="shared" si="852"/>
        <v>0.66438125000000003</v>
      </c>
      <c r="EB268" s="4">
        <f t="shared" si="946"/>
        <v>9.1569520944446019</v>
      </c>
      <c r="EE268" s="4">
        <f t="shared" si="947"/>
        <v>56.796126628494655</v>
      </c>
      <c r="EF268" s="4">
        <f t="shared" si="1009"/>
        <v>2.2360679774997898</v>
      </c>
      <c r="EG268" s="4">
        <f t="shared" si="949"/>
        <v>0.15371985898726231</v>
      </c>
      <c r="EJ268" s="4">
        <f t="shared" si="1020"/>
        <v>0.15371985898726231</v>
      </c>
      <c r="EK268" s="4">
        <f t="shared" si="950"/>
        <v>0.42112441187938565</v>
      </c>
      <c r="EL268" s="4">
        <f t="shared" si="1010"/>
        <v>6.4791063571918306</v>
      </c>
      <c r="EM268" s="4">
        <f t="shared" si="1011"/>
        <v>7.9321784362025918</v>
      </c>
      <c r="EN268" s="4" t="e">
        <f t="shared" si="1012"/>
        <v>#REF!</v>
      </c>
      <c r="EO268" s="4" t="e">
        <f t="shared" si="1013"/>
        <v>#REF!</v>
      </c>
      <c r="EP268" s="4" t="e">
        <f t="shared" si="951"/>
        <v>#REF!</v>
      </c>
      <c r="EQ268" s="4" t="e">
        <f t="shared" si="1014"/>
        <v>#REF!</v>
      </c>
      <c r="ER268" s="4" t="e">
        <f t="shared" si="952"/>
        <v>#REF!</v>
      </c>
      <c r="FA268" s="23" t="e">
        <f t="shared" si="1042"/>
        <v>#REF!</v>
      </c>
      <c r="FB268" s="23" t="e">
        <f t="shared" si="1043"/>
        <v>#REF!</v>
      </c>
      <c r="FC268" s="23">
        <f t="shared" si="981"/>
        <v>1.6</v>
      </c>
      <c r="FD268" s="23" t="e">
        <f t="shared" si="1044"/>
        <v>#REF!</v>
      </c>
      <c r="FE268" s="23">
        <f t="shared" si="1045"/>
        <v>1.4</v>
      </c>
      <c r="FF268" s="23">
        <f t="shared" si="1046"/>
        <v>1.4</v>
      </c>
      <c r="FG268" s="23">
        <f t="shared" si="968"/>
        <v>0</v>
      </c>
      <c r="FH268" s="23"/>
      <c r="FR268" s="4">
        <f t="shared" si="842"/>
        <v>1</v>
      </c>
      <c r="FS268" s="4">
        <f t="shared" si="843"/>
        <v>0.44</v>
      </c>
      <c r="FT268" s="4">
        <f t="shared" si="844"/>
        <v>0.3</v>
      </c>
      <c r="FU268" s="4">
        <f t="shared" si="845"/>
        <v>541.16696685278509</v>
      </c>
    </row>
    <row r="269" spans="2:177" ht="12" customHeight="1" x14ac:dyDescent="0.3">
      <c r="B269" s="24"/>
      <c r="C269" s="7" t="s">
        <v>400</v>
      </c>
      <c r="D269" s="38">
        <f t="shared" si="1015"/>
        <v>827.58620689655174</v>
      </c>
      <c r="E269" s="38">
        <f>9.25*25.4</f>
        <v>234.95</v>
      </c>
      <c r="F269" s="38">
        <f>6210/145</f>
        <v>42.827586206896555</v>
      </c>
      <c r="G269" s="38">
        <f t="shared" si="1016"/>
        <v>25.4</v>
      </c>
      <c r="H269" s="38">
        <f>18.6*25.4</f>
        <v>472.44</v>
      </c>
      <c r="I269" s="38">
        <f>3.45*25.4</f>
        <v>87.63</v>
      </c>
      <c r="J269" s="39">
        <f>3.45*25.4</f>
        <v>87.63</v>
      </c>
      <c r="K269" s="7">
        <f t="shared" si="986"/>
        <v>246.38</v>
      </c>
      <c r="L269" s="38">
        <v>2</v>
      </c>
      <c r="M269" s="4">
        <f t="shared" si="1028"/>
        <v>260.34999999999997</v>
      </c>
      <c r="N269" s="7">
        <f t="shared" si="905"/>
        <v>3.95</v>
      </c>
      <c r="O269" s="7">
        <f t="shared" si="906"/>
        <v>3.95</v>
      </c>
      <c r="P269" s="38">
        <v>4</v>
      </c>
      <c r="Q269" s="4">
        <f t="shared" si="1017"/>
        <v>4</v>
      </c>
      <c r="R269" s="4">
        <f t="shared" si="907"/>
        <v>5</v>
      </c>
      <c r="S269" s="7">
        <f t="shared" si="908"/>
        <v>56.796126628494655</v>
      </c>
      <c r="V269" s="38">
        <f t="shared" si="1054"/>
        <v>747.58620689655186</v>
      </c>
      <c r="W269" s="4">
        <v>108.4</v>
      </c>
      <c r="X269" s="4">
        <f t="shared" si="910"/>
        <v>1.0612133921380551</v>
      </c>
      <c r="Y269" s="38">
        <f>0.5*25.4</f>
        <v>12.7</v>
      </c>
      <c r="Z269" s="38">
        <v>8</v>
      </c>
      <c r="AA269" s="39">
        <f>4*25.4</f>
        <v>101.6</v>
      </c>
      <c r="AB269" s="39">
        <v>2</v>
      </c>
      <c r="AC269" s="39">
        <v>1</v>
      </c>
      <c r="AD269" s="7"/>
      <c r="AE269" s="4">
        <f t="shared" si="912"/>
        <v>234.95</v>
      </c>
      <c r="AF269" s="4">
        <f t="shared" si="913"/>
        <v>0.67027027027027031</v>
      </c>
      <c r="AG269" s="4">
        <f t="shared" si="914"/>
        <v>232.56141582533411</v>
      </c>
      <c r="AH269" s="4">
        <f t="shared" si="915"/>
        <v>0.78540540540540538</v>
      </c>
      <c r="AI269" s="4">
        <v>1.25</v>
      </c>
      <c r="AJ269" s="4">
        <f t="shared" si="857"/>
        <v>2.5</v>
      </c>
      <c r="AK269" s="38">
        <f t="shared" si="988"/>
        <v>382.58816117679049</v>
      </c>
      <c r="AL269" s="38">
        <f t="shared" si="953"/>
        <v>382.58816117679049</v>
      </c>
      <c r="AM269" s="38">
        <f t="shared" si="916"/>
        <v>3.6722901407859458</v>
      </c>
      <c r="AN269" s="38">
        <f t="shared" si="858"/>
        <v>382.58816117679044</v>
      </c>
      <c r="AO269" s="38">
        <f t="shared" si="840"/>
        <v>1.0000000000000002</v>
      </c>
      <c r="AP269" s="38">
        <f t="shared" si="859"/>
        <v>1.7686795639143678</v>
      </c>
      <c r="AQ269" s="4">
        <f t="shared" si="860"/>
        <v>0</v>
      </c>
      <c r="AR269" s="4" t="e">
        <f>#REF!/G269*F269^0.5/0.19</f>
        <v>#REF!</v>
      </c>
      <c r="AS269" s="4">
        <f t="shared" si="917"/>
        <v>1</v>
      </c>
      <c r="AT269" s="38">
        <f t="shared" si="918"/>
        <v>676.67586206896556</v>
      </c>
      <c r="AU269" s="4">
        <f t="shared" si="919"/>
        <v>0.44000000000000006</v>
      </c>
      <c r="AV269" s="4" t="e">
        <f>AU269*D269*#REF!/(D269*G269/2.75/F269^0.5)</f>
        <v>#REF!</v>
      </c>
      <c r="AW269" s="4" t="e">
        <f t="shared" si="989"/>
        <v>#REF!</v>
      </c>
      <c r="AY269" s="4">
        <f t="shared" si="920"/>
        <v>1.5</v>
      </c>
      <c r="AZ269" s="4" t="e">
        <f>(3*#REF!+30)*AY269*F269^0.5</f>
        <v>#REF!</v>
      </c>
      <c r="BB269" s="4">
        <f t="shared" si="921"/>
        <v>649.01490378976473</v>
      </c>
      <c r="BC269" s="4">
        <f t="shared" si="1047"/>
        <v>0</v>
      </c>
      <c r="BD269" s="4">
        <f t="shared" si="990"/>
        <v>0</v>
      </c>
      <c r="BL269" s="4">
        <f t="shared" si="923"/>
        <v>87.63</v>
      </c>
      <c r="BP269" s="9"/>
      <c r="BR269" s="9"/>
      <c r="BS269" s="9"/>
      <c r="BT269" s="9">
        <f t="shared" si="924"/>
        <v>87.63</v>
      </c>
      <c r="BU269" s="9">
        <f t="shared" si="925"/>
        <v>123.19</v>
      </c>
      <c r="BV269" s="9">
        <f t="shared" si="926"/>
        <v>1.9547802569983255</v>
      </c>
      <c r="BW269" s="40">
        <f t="shared" si="1018"/>
        <v>20</v>
      </c>
      <c r="BX269" s="9">
        <f t="shared" si="927"/>
        <v>0.05</v>
      </c>
      <c r="BY269" s="9">
        <f t="shared" si="991"/>
        <v>0.8</v>
      </c>
      <c r="BZ269" s="9">
        <f t="shared" si="928"/>
        <v>0.99524931562137331</v>
      </c>
      <c r="CA269" s="9">
        <f t="shared" si="929"/>
        <v>0.68</v>
      </c>
      <c r="CB269" s="9">
        <f t="shared" si="930"/>
        <v>1.5501390028928617</v>
      </c>
      <c r="CC269" s="9">
        <f t="shared" si="931"/>
        <v>3.8753475072321542</v>
      </c>
      <c r="CD269" s="40">
        <v>1</v>
      </c>
      <c r="CE269" s="9" t="e">
        <f>4*CC269*#REF!+60*CC269</f>
        <v>#REF!</v>
      </c>
      <c r="CG269" s="4" t="e">
        <f t="shared" si="992"/>
        <v>#REF!</v>
      </c>
      <c r="CH269" s="4" t="e">
        <f t="shared" si="993"/>
        <v>#REF!</v>
      </c>
      <c r="CI269" s="4" t="e">
        <f t="shared" si="994"/>
        <v>#REF!</v>
      </c>
      <c r="CJ269" s="4" t="e">
        <f t="shared" si="995"/>
        <v>#REF!</v>
      </c>
      <c r="CK269" s="4">
        <f t="shared" si="996"/>
        <v>1.0612133921380551</v>
      </c>
      <c r="CL269" s="4">
        <f t="shared" si="997"/>
        <v>1.1378780950693508</v>
      </c>
      <c r="CM269" s="4">
        <f t="shared" si="978"/>
        <v>1.3940506960947452</v>
      </c>
      <c r="CN269" s="4">
        <f t="shared" si="1019"/>
        <v>8</v>
      </c>
      <c r="CU269" s="4" t="e">
        <f t="shared" si="1055"/>
        <v>#REF!</v>
      </c>
      <c r="CV269" s="4" t="e">
        <f t="shared" si="1056"/>
        <v>#REF!</v>
      </c>
      <c r="CW269" s="4" t="e">
        <f t="shared" si="1057"/>
        <v>#REF!</v>
      </c>
      <c r="CX269" s="4">
        <f t="shared" si="1058"/>
        <v>1.3940506960947452</v>
      </c>
      <c r="CY269" s="4">
        <f t="shared" si="1059"/>
        <v>1.0612133921380551</v>
      </c>
      <c r="CZ269" s="4">
        <f t="shared" si="1060"/>
        <v>1.1378780950693508</v>
      </c>
      <c r="DC269" s="4" t="e">
        <f>#REF!</f>
        <v>#REF!</v>
      </c>
      <c r="DF269" s="4">
        <f t="shared" si="932"/>
        <v>1.8022614595125072E-5</v>
      </c>
      <c r="DG269" s="4">
        <f t="shared" si="1004"/>
        <v>10.040473869357923</v>
      </c>
      <c r="DH269" s="4">
        <f t="shared" si="934"/>
        <v>0.49355270134623253</v>
      </c>
      <c r="DI269" s="4">
        <f t="shared" si="1005"/>
        <v>7.5698560949832281</v>
      </c>
      <c r="DJ269" s="4">
        <f t="shared" si="1006"/>
        <v>8.8915625174409794</v>
      </c>
      <c r="DK269" s="4">
        <f t="shared" si="937"/>
        <v>9.400679013749011</v>
      </c>
      <c r="DL269" s="38">
        <f t="shared" si="938"/>
        <v>704.4636002853016</v>
      </c>
      <c r="DM269" s="4" t="e">
        <f t="shared" si="1007"/>
        <v>#REF!</v>
      </c>
      <c r="DN269" s="4">
        <f t="shared" si="940"/>
        <v>2.2360679774997898</v>
      </c>
      <c r="DO269" s="4">
        <f t="shared" si="976"/>
        <v>382.58816117679044</v>
      </c>
      <c r="DS269" s="4">
        <f t="shared" si="941"/>
        <v>0.85</v>
      </c>
      <c r="DT269" s="4">
        <f t="shared" si="942"/>
        <v>0.755</v>
      </c>
      <c r="DU269" s="4">
        <f t="shared" si="943"/>
        <v>0.92500000000000004</v>
      </c>
      <c r="DV269" s="4">
        <f t="shared" si="1008"/>
        <v>0.7</v>
      </c>
      <c r="DX269" s="4">
        <f t="shared" si="945"/>
        <v>657.00026227413082</v>
      </c>
      <c r="DY269" s="25">
        <f t="shared" si="851"/>
        <v>378.37711239944844</v>
      </c>
      <c r="EA269" s="4">
        <f t="shared" si="852"/>
        <v>0.59499999999999997</v>
      </c>
      <c r="EB269" s="4">
        <f t="shared" si="946"/>
        <v>10.040473869357923</v>
      </c>
      <c r="EE269" s="4">
        <f t="shared" si="947"/>
        <v>56.796126628494655</v>
      </c>
      <c r="EF269" s="4">
        <f t="shared" si="1009"/>
        <v>2.2360679774997898</v>
      </c>
      <c r="EG269" s="4">
        <f t="shared" si="949"/>
        <v>0.17661622488619055</v>
      </c>
      <c r="EJ269" s="4">
        <f t="shared" si="1020"/>
        <v>0.17661622488619055</v>
      </c>
      <c r="EK269" s="4">
        <f t="shared" si="950"/>
        <v>0.49272905387340471</v>
      </c>
      <c r="EL269" s="4">
        <f t="shared" si="1010"/>
        <v>7.5648004913415097</v>
      </c>
      <c r="EM269" s="4">
        <f t="shared" si="1011"/>
        <v>8.8894123808466254</v>
      </c>
      <c r="EN269" s="4" t="e">
        <f t="shared" si="1012"/>
        <v>#REF!</v>
      </c>
      <c r="EO269" s="4" t="e">
        <f t="shared" si="1013"/>
        <v>#REF!</v>
      </c>
      <c r="EP269" s="4" t="e">
        <f t="shared" si="951"/>
        <v>#REF!</v>
      </c>
      <c r="EQ269" s="4" t="e">
        <f t="shared" si="1014"/>
        <v>#REF!</v>
      </c>
      <c r="ER269" s="4" t="e">
        <f t="shared" si="952"/>
        <v>#REF!</v>
      </c>
      <c r="FA269" s="23" t="e">
        <f t="shared" si="1042"/>
        <v>#REF!</v>
      </c>
      <c r="FB269" s="23" t="e">
        <f t="shared" si="1043"/>
        <v>#REF!</v>
      </c>
      <c r="FC269" s="23">
        <f t="shared" si="981"/>
        <v>1.4</v>
      </c>
      <c r="FD269" s="23" t="e">
        <f t="shared" si="1044"/>
        <v>#REF!</v>
      </c>
      <c r="FE269" s="23">
        <f t="shared" si="1045"/>
        <v>1.2</v>
      </c>
      <c r="FF269" s="23">
        <f t="shared" si="1046"/>
        <v>1.2</v>
      </c>
      <c r="FG269" s="23">
        <f t="shared" si="968"/>
        <v>0</v>
      </c>
      <c r="FH269" s="23"/>
      <c r="FR269" s="4">
        <f t="shared" si="842"/>
        <v>1</v>
      </c>
      <c r="FS269" s="4">
        <f t="shared" si="843"/>
        <v>0.44</v>
      </c>
      <c r="FT269" s="4">
        <f t="shared" si="844"/>
        <v>0.3</v>
      </c>
      <c r="FU269" s="4">
        <f t="shared" si="845"/>
        <v>536.269024498764</v>
      </c>
    </row>
    <row r="270" spans="2:177" ht="12" customHeight="1" x14ac:dyDescent="0.3">
      <c r="B270" s="24" t="s">
        <v>406</v>
      </c>
      <c r="C270" s="7" t="s">
        <v>401</v>
      </c>
      <c r="D270" s="38">
        <f>129/0.145</f>
        <v>889.65517241379314</v>
      </c>
      <c r="E270" s="38">
        <f>10.5*25.4</f>
        <v>266.7</v>
      </c>
      <c r="F270" s="38">
        <f>8450/145</f>
        <v>58.275862068965516</v>
      </c>
      <c r="G270" s="38">
        <f t="shared" si="1016"/>
        <v>25.4</v>
      </c>
      <c r="H270" s="38">
        <f>16.8*25.4</f>
        <v>426.71999999999997</v>
      </c>
      <c r="I270" s="38">
        <f>2.45*25.4</f>
        <v>62.230000000000004</v>
      </c>
      <c r="J270" s="39">
        <f>3.25*25.4</f>
        <v>82.55</v>
      </c>
      <c r="K270" s="7">
        <f t="shared" si="986"/>
        <v>251.45999999999995</v>
      </c>
      <c r="L270" s="38">
        <v>2</v>
      </c>
      <c r="M270" s="4">
        <f t="shared" si="1028"/>
        <v>260.34999999999997</v>
      </c>
      <c r="N270" s="7">
        <f t="shared" si="905"/>
        <v>2.95</v>
      </c>
      <c r="O270" s="7">
        <f t="shared" si="906"/>
        <v>2.95</v>
      </c>
      <c r="P270" s="38">
        <v>4.0999999999999996</v>
      </c>
      <c r="Q270" s="4">
        <f t="shared" si="1017"/>
        <v>4.0999999999999996</v>
      </c>
      <c r="R270" s="4">
        <f t="shared" si="907"/>
        <v>5.0999999999999996</v>
      </c>
      <c r="S270" s="7">
        <f t="shared" si="908"/>
        <v>57.361276136431961</v>
      </c>
      <c r="V270" s="38">
        <f t="shared" si="1054"/>
        <v>673.10344827586209</v>
      </c>
      <c r="W270" s="4">
        <v>97.6</v>
      </c>
      <c r="X270" s="4">
        <f t="shared" si="910"/>
        <v>0.89800579941581282</v>
      </c>
      <c r="Y270" s="38"/>
      <c r="Z270" s="38"/>
      <c r="AA270" s="39">
        <v>1</v>
      </c>
      <c r="AB270" s="39"/>
      <c r="AC270" s="39"/>
      <c r="AD270" s="7"/>
      <c r="AE270" s="4">
        <f t="shared" si="912"/>
        <v>266.7</v>
      </c>
      <c r="AF270" s="4">
        <f t="shared" si="913"/>
        <v>0.53333333333333321</v>
      </c>
      <c r="AG270" s="4">
        <f t="shared" si="914"/>
        <v>328.0889220335178</v>
      </c>
      <c r="AH270" s="4">
        <f t="shared" si="915"/>
        <v>0.75619047619047619</v>
      </c>
      <c r="AI270" s="4">
        <v>1.25</v>
      </c>
      <c r="AJ270" s="4">
        <f t="shared" si="857"/>
        <v>2.5</v>
      </c>
      <c r="AK270" s="38">
        <f t="shared" si="988"/>
        <v>413.49619697557625</v>
      </c>
      <c r="AL270" s="38">
        <f t="shared" si="953"/>
        <v>413.49619697557625</v>
      </c>
      <c r="AM270" s="38">
        <f t="shared" si="916"/>
        <v>4.3073554520828159</v>
      </c>
      <c r="AN270" s="38">
        <f t="shared" si="858"/>
        <v>413.49619697557631</v>
      </c>
      <c r="AO270" s="38">
        <f t="shared" si="840"/>
        <v>0.99999999999999989</v>
      </c>
      <c r="AP270" s="38">
        <f t="shared" si="859"/>
        <v>1.6836861023789744</v>
      </c>
      <c r="AQ270" s="4">
        <f t="shared" si="860"/>
        <v>0</v>
      </c>
      <c r="AR270" s="4" t="e">
        <f>#REF!/G270*F270^0.5/0.19</f>
        <v>#REF!</v>
      </c>
      <c r="AS270" s="4">
        <f t="shared" si="917"/>
        <v>1</v>
      </c>
      <c r="AT270" s="38">
        <f t="shared" si="918"/>
        <v>696.1978002343368</v>
      </c>
      <c r="AU270" s="4">
        <f t="shared" si="919"/>
        <v>0.42600000000000005</v>
      </c>
      <c r="AV270" s="4" t="e">
        <f>AU270*D270*#REF!/(D270*G270/2.75/F270^0.5)</f>
        <v>#REF!</v>
      </c>
      <c r="AW270" s="4" t="e">
        <f t="shared" si="989"/>
        <v>#REF!</v>
      </c>
      <c r="AY270" s="4">
        <f t="shared" si="920"/>
        <v>1.3625</v>
      </c>
      <c r="AZ270" s="4" t="e">
        <f>(3*#REF!+30)*AY270*F270^0.5</f>
        <v>#REF!</v>
      </c>
      <c r="BB270" s="4">
        <f t="shared" si="921"/>
        <v>667.73882986782667</v>
      </c>
      <c r="BC270" s="4">
        <f t="shared" si="1047"/>
        <v>0</v>
      </c>
      <c r="BD270" s="4">
        <f t="shared" si="990"/>
        <v>0</v>
      </c>
      <c r="BL270" s="4">
        <f t="shared" si="923"/>
        <v>62.230000000000004</v>
      </c>
      <c r="BP270" s="9"/>
      <c r="BR270" s="9"/>
      <c r="BS270" s="9"/>
      <c r="BT270" s="9">
        <f t="shared" si="924"/>
        <v>62.230000000000004</v>
      </c>
      <c r="BU270" s="9">
        <f t="shared" si="925"/>
        <v>125.72999999999998</v>
      </c>
      <c r="BV270" s="9">
        <f t="shared" si="926"/>
        <v>1.7393977716706714</v>
      </c>
      <c r="BW270" s="40">
        <f t="shared" si="1018"/>
        <v>0</v>
      </c>
      <c r="BX270" s="9">
        <f t="shared" si="927"/>
        <v>0</v>
      </c>
      <c r="BY270" s="9">
        <f t="shared" si="991"/>
        <v>0</v>
      </c>
      <c r="BZ270" s="9">
        <f t="shared" si="928"/>
        <v>0.99524931562137331</v>
      </c>
      <c r="CA270" s="9">
        <f t="shared" si="929"/>
        <v>0.68</v>
      </c>
      <c r="CB270" s="9">
        <f t="shared" si="930"/>
        <v>1.8082280338026815</v>
      </c>
      <c r="CC270" s="9">
        <f t="shared" si="931"/>
        <v>3.1452278126688236</v>
      </c>
      <c r="CD270" s="40">
        <v>1</v>
      </c>
      <c r="CE270" s="9" t="e">
        <f>4*CC270*#REF!+60*CC270</f>
        <v>#REF!</v>
      </c>
      <c r="CG270" s="4" t="e">
        <f t="shared" si="992"/>
        <v>#REF!</v>
      </c>
      <c r="CH270" s="4" t="e">
        <f t="shared" si="993"/>
        <v>#REF!</v>
      </c>
      <c r="CI270" s="4" t="e">
        <f t="shared" si="994"/>
        <v>#REF!</v>
      </c>
      <c r="CJ270" s="4" t="e">
        <f t="shared" si="995"/>
        <v>#REF!</v>
      </c>
      <c r="CK270" s="4">
        <f t="shared" si="996"/>
        <v>0.89800579941581282</v>
      </c>
      <c r="CL270" s="4">
        <f t="shared" si="997"/>
        <v>0.94606036381909953</v>
      </c>
      <c r="CM270" s="4">
        <f t="shared" si="978"/>
        <v>1.4542450707802723</v>
      </c>
      <c r="CN270" s="4">
        <f t="shared" si="1019"/>
        <v>0</v>
      </c>
      <c r="CO270" s="4" t="e">
        <f t="shared" ref="CO270" si="1062">CG270</f>
        <v>#REF!</v>
      </c>
      <c r="CP270" s="4" t="e">
        <f t="shared" ref="CP270" si="1063">CH270</f>
        <v>#REF!</v>
      </c>
      <c r="CQ270" s="4" t="e">
        <f t="shared" ref="CQ270" si="1064">CJ270</f>
        <v>#REF!</v>
      </c>
      <c r="CR270" s="4">
        <f t="shared" ref="CR270" si="1065">CM270</f>
        <v>1.4542450707802723</v>
      </c>
      <c r="CS270" s="4">
        <f t="shared" ref="CS270" si="1066">CK270</f>
        <v>0.89800579941581282</v>
      </c>
      <c r="CT270" s="4">
        <f t="shared" ref="CT270" si="1067">CL270</f>
        <v>0.94606036381909953</v>
      </c>
      <c r="DC270" s="4" t="e">
        <f>#REF!</f>
        <v>#REF!</v>
      </c>
      <c r="DF270" s="4">
        <f t="shared" si="932"/>
        <v>2.255634789357827E-5</v>
      </c>
      <c r="DG270" s="4">
        <f t="shared" si="1004"/>
        <v>9.5888978004068353</v>
      </c>
      <c r="DH270" s="4">
        <f t="shared" si="934"/>
        <v>0.38626435926056812</v>
      </c>
      <c r="DI270" s="4">
        <f t="shared" si="1005"/>
        <v>6.5542430902842153</v>
      </c>
      <c r="DJ270" s="4">
        <f t="shared" si="1006"/>
        <v>8.2134331184835929</v>
      </c>
      <c r="DK270" s="4">
        <f t="shared" si="937"/>
        <v>8.7925846918253416</v>
      </c>
      <c r="DL270" s="38">
        <f t="shared" si="938"/>
        <v>749.5535649254623</v>
      </c>
      <c r="DM270" s="4" t="e">
        <f t="shared" si="1007"/>
        <v>#REF!</v>
      </c>
      <c r="DN270" s="4">
        <f t="shared" si="940"/>
        <v>2.2583179581272428</v>
      </c>
      <c r="DO270" s="4">
        <f t="shared" si="976"/>
        <v>413.49619697557631</v>
      </c>
      <c r="DS270" s="4">
        <f t="shared" si="941"/>
        <v>0.85</v>
      </c>
      <c r="DT270" s="4">
        <f t="shared" si="942"/>
        <v>0.85499999999999998</v>
      </c>
      <c r="DU270" s="4">
        <f t="shared" si="943"/>
        <v>1</v>
      </c>
      <c r="DV270" s="4">
        <f t="shared" si="1008"/>
        <v>0.85499999999999998</v>
      </c>
      <c r="DX270" s="4">
        <f t="shared" si="945"/>
        <v>711.48044460783399</v>
      </c>
      <c r="DY270" s="25">
        <f t="shared" si="851"/>
        <v>409.43016389501861</v>
      </c>
      <c r="EA270" s="4">
        <f t="shared" si="852"/>
        <v>0.72675000000000001</v>
      </c>
      <c r="EB270" s="4">
        <f t="shared" si="946"/>
        <v>9.5888978004068353</v>
      </c>
      <c r="EE270" s="4">
        <f t="shared" si="947"/>
        <v>57.361276136431961</v>
      </c>
      <c r="EF270" s="4">
        <f t="shared" si="1009"/>
        <v>2.2583179581272428</v>
      </c>
      <c r="EG270" s="4">
        <f t="shared" si="949"/>
        <v>0.16123683190916255</v>
      </c>
      <c r="EJ270" s="4">
        <f t="shared" si="1020"/>
        <v>0.16123683190916255</v>
      </c>
      <c r="EK270" s="4">
        <f t="shared" si="950"/>
        <v>0.38561975603485255</v>
      </c>
      <c r="EL270" s="4">
        <f t="shared" si="1010"/>
        <v>6.5498657738834565</v>
      </c>
      <c r="EM270" s="4">
        <f t="shared" si="1011"/>
        <v>8.21169001258904</v>
      </c>
      <c r="EN270" s="4" t="e">
        <f t="shared" si="1012"/>
        <v>#REF!</v>
      </c>
      <c r="EO270" s="4" t="e">
        <f t="shared" si="1013"/>
        <v>#REF!</v>
      </c>
      <c r="EP270" s="4" t="e">
        <f t="shared" si="951"/>
        <v>#REF!</v>
      </c>
      <c r="EQ270" s="4" t="e">
        <f t="shared" si="1014"/>
        <v>#REF!</v>
      </c>
      <c r="ER270" s="4" t="e">
        <f t="shared" si="952"/>
        <v>#REF!</v>
      </c>
      <c r="FA270" s="23" t="e">
        <f t="shared" si="1042"/>
        <v>#REF!</v>
      </c>
      <c r="FB270" s="23" t="e">
        <f t="shared" si="1043"/>
        <v>#REF!</v>
      </c>
      <c r="FC270" s="23">
        <f t="shared" si="981"/>
        <v>1.6</v>
      </c>
      <c r="FD270" s="23" t="e">
        <f t="shared" si="1044"/>
        <v>#REF!</v>
      </c>
      <c r="FE270" s="23">
        <f t="shared" si="1045"/>
        <v>1</v>
      </c>
      <c r="FF270" s="23">
        <f t="shared" si="1046"/>
        <v>1</v>
      </c>
      <c r="FG270" s="23">
        <f t="shared" si="968"/>
        <v>0</v>
      </c>
      <c r="FH270" s="23"/>
      <c r="FR270" s="4">
        <f t="shared" si="842"/>
        <v>1.25</v>
      </c>
      <c r="FS270" s="4">
        <f t="shared" si="843"/>
        <v>0.5</v>
      </c>
      <c r="FT270" s="4">
        <f t="shared" si="844"/>
        <v>0</v>
      </c>
      <c r="FU270" s="4">
        <f t="shared" si="845"/>
        <v>462.8542064885321</v>
      </c>
    </row>
    <row r="271" spans="2:177" ht="12" customHeight="1" x14ac:dyDescent="0.3">
      <c r="B271" s="24"/>
      <c r="C271" s="7" t="s">
        <v>402</v>
      </c>
      <c r="D271" s="38">
        <f>129/0.145</f>
        <v>889.65517241379314</v>
      </c>
      <c r="E271" s="38">
        <f>9.88*25.4</f>
        <v>250.952</v>
      </c>
      <c r="F271" s="38">
        <f>8450/145</f>
        <v>58.275862068965516</v>
      </c>
      <c r="G271" s="38">
        <f t="shared" si="1016"/>
        <v>25.4</v>
      </c>
      <c r="H271" s="38">
        <f>17*25.4</f>
        <v>431.79999999999995</v>
      </c>
      <c r="I271" s="38">
        <f>2.45*25.4</f>
        <v>62.230000000000004</v>
      </c>
      <c r="J271" s="39">
        <f>3.2*25.4</f>
        <v>81.28</v>
      </c>
      <c r="K271" s="7">
        <f t="shared" si="986"/>
        <v>256.53999999999996</v>
      </c>
      <c r="L271" s="38">
        <v>2</v>
      </c>
      <c r="M271" s="4">
        <f t="shared" si="1028"/>
        <v>260.34999999999997</v>
      </c>
      <c r="N271" s="7">
        <f t="shared" si="905"/>
        <v>2.95</v>
      </c>
      <c r="O271" s="7">
        <f t="shared" si="906"/>
        <v>2.95</v>
      </c>
      <c r="P271" s="38">
        <v>4.0999999999999996</v>
      </c>
      <c r="Q271" s="4">
        <f t="shared" si="1017"/>
        <v>4.0999999999999996</v>
      </c>
      <c r="R271" s="4">
        <f t="shared" si="907"/>
        <v>5.0999999999999996</v>
      </c>
      <c r="S271" s="7">
        <f t="shared" si="908"/>
        <v>57.361276136431961</v>
      </c>
      <c r="V271" s="38">
        <f t="shared" si="1054"/>
        <v>640.68965517241384</v>
      </c>
      <c r="W271" s="4">
        <v>92.9</v>
      </c>
      <c r="X271" s="4">
        <f t="shared" si="910"/>
        <v>0.88210240843168164</v>
      </c>
      <c r="Y271" s="38">
        <f>0.375*25.4</f>
        <v>9.5249999999999986</v>
      </c>
      <c r="Z271" s="38">
        <v>4</v>
      </c>
      <c r="AA271" s="39">
        <f>5*25.4</f>
        <v>127</v>
      </c>
      <c r="AB271" s="39">
        <v>2</v>
      </c>
      <c r="AC271" s="39">
        <v>1</v>
      </c>
      <c r="AD271" s="7"/>
      <c r="AE271" s="4">
        <f t="shared" si="912"/>
        <v>250.952</v>
      </c>
      <c r="AF271" s="4">
        <f t="shared" si="913"/>
        <v>0.57354925775978405</v>
      </c>
      <c r="AG271" s="4">
        <f t="shared" si="914"/>
        <v>299.46290614995218</v>
      </c>
      <c r="AH271" s="4">
        <f t="shared" si="915"/>
        <v>0.75971659919028334</v>
      </c>
      <c r="AI271" s="4">
        <v>1.25</v>
      </c>
      <c r="AJ271" s="4">
        <f t="shared" si="857"/>
        <v>2.5</v>
      </c>
      <c r="AK271" s="38">
        <f t="shared" si="988"/>
        <v>407.77011544217817</v>
      </c>
      <c r="AL271" s="38">
        <f t="shared" si="953"/>
        <v>407.77011544217817</v>
      </c>
      <c r="AM271" s="38">
        <f t="shared" si="916"/>
        <v>4.3073554520828159</v>
      </c>
      <c r="AN271" s="38">
        <f t="shared" si="858"/>
        <v>407.77011544217788</v>
      </c>
      <c r="AO271" s="38">
        <f t="shared" si="840"/>
        <v>1.0000000000000007</v>
      </c>
      <c r="AP271" s="38">
        <f t="shared" si="859"/>
        <v>1.7073291393102548</v>
      </c>
      <c r="AQ271" s="4">
        <f t="shared" si="860"/>
        <v>0</v>
      </c>
      <c r="AR271" s="4" t="e">
        <f>#REF!/G271*F271^0.5/0.19</f>
        <v>#REF!</v>
      </c>
      <c r="AS271" s="4">
        <f t="shared" si="917"/>
        <v>1</v>
      </c>
      <c r="AT271" s="38">
        <f t="shared" si="918"/>
        <v>696.1978002343368</v>
      </c>
      <c r="AU271" s="4">
        <f t="shared" si="919"/>
        <v>0.42600000000000005</v>
      </c>
      <c r="AV271" s="4" t="e">
        <f>AU271*D271*#REF!/(D271*G271/2.75/F271^0.5)</f>
        <v>#REF!</v>
      </c>
      <c r="AW271" s="4" t="e">
        <f t="shared" ref="AW271:AW334" si="1068">AT271+AV271</f>
        <v>#REF!</v>
      </c>
      <c r="AY271" s="4">
        <f t="shared" si="920"/>
        <v>1.5</v>
      </c>
      <c r="AZ271" s="4" t="e">
        <f>(3*#REF!+30)*AY271*F271^0.5</f>
        <v>#REF!</v>
      </c>
      <c r="BB271" s="4">
        <f t="shared" si="921"/>
        <v>667.73882986782667</v>
      </c>
      <c r="BC271" s="4">
        <f t="shared" si="1047"/>
        <v>0</v>
      </c>
      <c r="BD271" s="4">
        <f t="shared" ref="BD271:BD334" si="1069">BC271/BB271</f>
        <v>0</v>
      </c>
      <c r="BL271" s="4">
        <f t="shared" si="923"/>
        <v>62.230000000000004</v>
      </c>
      <c r="BP271" s="9"/>
      <c r="BR271" s="9"/>
      <c r="BS271" s="9"/>
      <c r="BT271" s="9">
        <f t="shared" si="924"/>
        <v>62.230000000000004</v>
      </c>
      <c r="BU271" s="9">
        <f t="shared" si="925"/>
        <v>128.26999999999998</v>
      </c>
      <c r="BV271" s="9">
        <f t="shared" si="926"/>
        <v>1.7446239745816772</v>
      </c>
      <c r="BW271" s="40">
        <f t="shared" si="1018"/>
        <v>20</v>
      </c>
      <c r="BX271" s="9">
        <f t="shared" si="927"/>
        <v>0.05</v>
      </c>
      <c r="BY271" s="9">
        <f t="shared" ref="BY271:BY334" si="1070">MAX(0,BW271*(BX271-0.5/50))</f>
        <v>0.8</v>
      </c>
      <c r="BZ271" s="9">
        <f t="shared" si="928"/>
        <v>0.99524931562137331</v>
      </c>
      <c r="CA271" s="9">
        <f t="shared" si="929"/>
        <v>0.68</v>
      </c>
      <c r="CB271" s="9">
        <f t="shared" si="930"/>
        <v>1.8082280338026815</v>
      </c>
      <c r="CC271" s="9">
        <f t="shared" si="931"/>
        <v>4.5205700845067041</v>
      </c>
      <c r="CD271" s="40">
        <v>1</v>
      </c>
      <c r="CE271" s="9" t="e">
        <f>4*CC271*#REF!+60*CC271</f>
        <v>#REF!</v>
      </c>
      <c r="CG271" s="4" t="e">
        <f t="shared" ref="CG271:CG334" si="1071">V271/AR271</f>
        <v>#REF!</v>
      </c>
      <c r="CH271" s="4" t="e">
        <f t="shared" ref="CH271:CH334" si="1072">V271/AW271</f>
        <v>#REF!</v>
      </c>
      <c r="CI271" s="4" t="e">
        <f t="shared" ref="CI271:CI334" si="1073">V271/AZ271</f>
        <v>#REF!</v>
      </c>
      <c r="CJ271" s="4" t="e">
        <f t="shared" ref="CJ271:CJ334" si="1074">V271/CE271</f>
        <v>#REF!</v>
      </c>
      <c r="CK271" s="4">
        <f t="shared" ref="CK271:CK334" si="1075">V271/DL271</f>
        <v>0.88210240843168164</v>
      </c>
      <c r="CL271" s="4">
        <f t="shared" ref="CL271:CL334" si="1076">V271/DX271</f>
        <v>0.9280417512964777</v>
      </c>
      <c r="CM271" s="4">
        <f t="shared" si="978"/>
        <v>1.3171284334108457</v>
      </c>
      <c r="CN271" s="4">
        <f t="shared" si="1019"/>
        <v>4</v>
      </c>
      <c r="CU271" s="4" t="e">
        <f t="shared" ref="CU271" si="1077">CG271</f>
        <v>#REF!</v>
      </c>
      <c r="CV271" s="4" t="e">
        <f t="shared" ref="CV271" si="1078">CH271</f>
        <v>#REF!</v>
      </c>
      <c r="CW271" s="4" t="e">
        <f t="shared" ref="CW271" si="1079">CJ271</f>
        <v>#REF!</v>
      </c>
      <c r="CX271" s="4">
        <f t="shared" ref="CX271" si="1080">CM271</f>
        <v>1.3171284334108457</v>
      </c>
      <c r="CY271" s="4">
        <f t="shared" ref="CY271" si="1081">CK271</f>
        <v>0.88210240843168164</v>
      </c>
      <c r="CZ271" s="4">
        <f t="shared" ref="CZ271" si="1082">CL271</f>
        <v>0.9280417512964777</v>
      </c>
      <c r="DC271" s="4" t="e">
        <f>#REF!</f>
        <v>#REF!</v>
      </c>
      <c r="DF271" s="4">
        <f t="shared" si="932"/>
        <v>2.1224449256052693E-5</v>
      </c>
      <c r="DG271" s="4">
        <f t="shared" ref="DG271:DG334" si="1083">EB271</f>
        <v>9.6796444672876554</v>
      </c>
      <c r="DH271" s="4">
        <f t="shared" si="934"/>
        <v>0.38091538330686042</v>
      </c>
      <c r="DI271" s="4">
        <f t="shared" ref="DI271:DI334" si="1084">DG271*DH271^0.4</f>
        <v>6.5794684815608173</v>
      </c>
      <c r="DJ271" s="4">
        <f t="shared" ref="DJ271:DJ334" si="1085">MIN(DG271, DG271/1.4*(1-DH271^1.4)/(1-DH271))</f>
        <v>8.276532705653139</v>
      </c>
      <c r="DK271" s="4">
        <f t="shared" si="937"/>
        <v>8.9640353926650587</v>
      </c>
      <c r="DL271" s="38">
        <f t="shared" si="938"/>
        <v>726.32117206381588</v>
      </c>
      <c r="DM271" s="4" t="e">
        <f t="shared" ref="DM271:DM334" si="1086">DL271/ER271</f>
        <v>#REF!</v>
      </c>
      <c r="DN271" s="4">
        <f t="shared" si="940"/>
        <v>2.2583179581272428</v>
      </c>
      <c r="DO271" s="4">
        <f t="shared" si="976"/>
        <v>407.77011544217788</v>
      </c>
      <c r="DS271" s="4">
        <f t="shared" si="941"/>
        <v>0.85</v>
      </c>
      <c r="DT271" s="4">
        <f t="shared" si="942"/>
        <v>0.85499999999999998</v>
      </c>
      <c r="DU271" s="4">
        <f t="shared" si="943"/>
        <v>0.99062499999999998</v>
      </c>
      <c r="DV271" s="4">
        <f t="shared" ref="DV271:DV334" si="1087">IF(DT271*DU271&lt;0.7,0.7,DT271*DU271)</f>
        <v>0.84698437500000001</v>
      </c>
      <c r="DX271" s="4">
        <f t="shared" si="945"/>
        <v>690.36727526252787</v>
      </c>
      <c r="DY271" s="25">
        <f t="shared" si="851"/>
        <v>403.46261325212174</v>
      </c>
      <c r="EA271" s="4">
        <f t="shared" si="852"/>
        <v>0.71993671874999998</v>
      </c>
      <c r="EB271" s="4">
        <f t="shared" si="946"/>
        <v>9.6796444672876554</v>
      </c>
      <c r="EE271" s="4">
        <f t="shared" si="947"/>
        <v>57.361276136431961</v>
      </c>
      <c r="EF271" s="4">
        <f t="shared" ref="EF271:EF334" si="1088">R271^0.5</f>
        <v>2.2583179581272428</v>
      </c>
      <c r="EG271" s="4">
        <f t="shared" si="949"/>
        <v>0.15900402964289828</v>
      </c>
      <c r="EJ271" s="4">
        <f t="shared" ref="EJ271:EJ334" si="1089">EG271</f>
        <v>0.15900402964289828</v>
      </c>
      <c r="EK271" s="4">
        <f t="shared" si="950"/>
        <v>0.38027970652509807</v>
      </c>
      <c r="EL271" s="4">
        <f t="shared" ref="EL271:EL334" si="1090">EB271/1*EK271^0.4</f>
        <v>6.5750743181317404</v>
      </c>
      <c r="EM271" s="4">
        <f t="shared" ref="EM271:EM334" si="1091">EB271/1.4*(1-EK271^1.4)/(1-EK271)</f>
        <v>8.274789692335105</v>
      </c>
      <c r="EN271" s="4" t="e">
        <f t="shared" ref="EN271:EN334" si="1092">MAX(0,DC271*EN$9-EE271)</f>
        <v>#REF!</v>
      </c>
      <c r="EO271" s="4" t="e">
        <f t="shared" ref="EO271:EO334" si="1093">MAX(0,DC271-EE271-EN271)</f>
        <v>#REF!</v>
      </c>
      <c r="EP271" s="4" t="e">
        <f t="shared" si="951"/>
        <v>#REF!</v>
      </c>
      <c r="EQ271" s="4" t="e">
        <f t="shared" ref="EQ271:EQ334" si="1094">MAX(0.5*EB271, (1-2*EP271*(EE271*EL271+EN271*EM271))/(1/EB271+EP271*EO271))</f>
        <v>#REF!</v>
      </c>
      <c r="ER271" s="4" t="e">
        <f t="shared" si="952"/>
        <v>#REF!</v>
      </c>
      <c r="FA271" s="23" t="e">
        <f t="shared" si="1042"/>
        <v>#REF!</v>
      </c>
      <c r="FB271" s="23" t="e">
        <f t="shared" si="1043"/>
        <v>#REF!</v>
      </c>
      <c r="FC271" s="23">
        <f t="shared" si="981"/>
        <v>1.4</v>
      </c>
      <c r="FD271" s="23" t="e">
        <f t="shared" si="1044"/>
        <v>#REF!</v>
      </c>
      <c r="FE271" s="23">
        <f t="shared" si="1045"/>
        <v>1</v>
      </c>
      <c r="FF271" s="23">
        <f t="shared" si="1046"/>
        <v>1</v>
      </c>
      <c r="FG271" s="23">
        <f t="shared" si="968"/>
        <v>0</v>
      </c>
      <c r="FH271" s="23"/>
      <c r="FR271" s="4">
        <f t="shared" si="842"/>
        <v>1.25</v>
      </c>
      <c r="FS271" s="4">
        <f t="shared" si="843"/>
        <v>0.44767441860465118</v>
      </c>
      <c r="FT271" s="4">
        <f t="shared" si="844"/>
        <v>0.28124999999999994</v>
      </c>
      <c r="FU271" s="4">
        <f t="shared" si="845"/>
        <v>486.42914306638954</v>
      </c>
    </row>
    <row r="272" spans="2:177" ht="12" customHeight="1" x14ac:dyDescent="0.3">
      <c r="B272" s="24"/>
      <c r="C272" s="7" t="s">
        <v>403</v>
      </c>
      <c r="D272" s="38">
        <f>129/0.145</f>
        <v>889.65517241379314</v>
      </c>
      <c r="E272" s="38">
        <f>10.58*25.4</f>
        <v>268.73199999999997</v>
      </c>
      <c r="F272" s="38">
        <f>8450/145</f>
        <v>58.275862068965516</v>
      </c>
      <c r="G272" s="38">
        <f t="shared" si="1016"/>
        <v>25.4</v>
      </c>
      <c r="H272" s="38">
        <f>11.9*25.4</f>
        <v>302.26</v>
      </c>
      <c r="I272" s="38">
        <f>2.45*25.4</f>
        <v>62.230000000000004</v>
      </c>
      <c r="J272" s="39">
        <f>3*25.4</f>
        <v>76.199999999999989</v>
      </c>
      <c r="K272" s="7">
        <f t="shared" si="986"/>
        <v>50.8</v>
      </c>
      <c r="L272" s="38">
        <v>3</v>
      </c>
      <c r="M272" s="4">
        <f t="shared" si="1028"/>
        <v>260.34999999999997</v>
      </c>
      <c r="N272" s="7">
        <f t="shared" si="905"/>
        <v>1.5</v>
      </c>
      <c r="O272" s="7">
        <f t="shared" si="906"/>
        <v>2.95</v>
      </c>
      <c r="P272" s="38">
        <v>4.0999999999999996</v>
      </c>
      <c r="Q272" s="4">
        <f t="shared" si="1017"/>
        <v>4.0999999999999996</v>
      </c>
      <c r="R272" s="4">
        <f t="shared" si="907"/>
        <v>5.0999999999999996</v>
      </c>
      <c r="S272" s="7">
        <f t="shared" si="908"/>
        <v>57.361276136431961</v>
      </c>
      <c r="V272" s="38">
        <f t="shared" si="1054"/>
        <v>478.6206896551725</v>
      </c>
      <c r="W272" s="4">
        <v>69.400000000000006</v>
      </c>
      <c r="X272" s="4">
        <f t="shared" si="910"/>
        <v>1.0355623876435345</v>
      </c>
      <c r="Y272" s="38"/>
      <c r="Z272" s="38"/>
      <c r="AA272" s="39">
        <v>1</v>
      </c>
      <c r="AB272" s="39"/>
      <c r="AC272" s="39"/>
      <c r="AD272" s="7"/>
      <c r="AE272" s="4">
        <f t="shared" si="912"/>
        <v>268.73199999999997</v>
      </c>
      <c r="AF272" s="4">
        <f t="shared" si="913"/>
        <v>0.37492123503465657</v>
      </c>
      <c r="AG272" s="4">
        <f t="shared" si="914"/>
        <v>221.23042849479285</v>
      </c>
      <c r="AH272" s="4">
        <f t="shared" si="915"/>
        <v>0.75576559546313793</v>
      </c>
      <c r="AI272" s="4">
        <v>1.25</v>
      </c>
      <c r="AJ272" s="4">
        <f t="shared" si="857"/>
        <v>2.5</v>
      </c>
      <c r="AK272" s="38">
        <f t="shared" si="988"/>
        <v>195.8944080476719</v>
      </c>
      <c r="AL272" s="38">
        <f t="shared" si="953"/>
        <v>195.8944080476719</v>
      </c>
      <c r="AM272" s="38">
        <f t="shared" si="916"/>
        <v>4.3073554520828159</v>
      </c>
      <c r="AN272" s="38">
        <f t="shared" si="858"/>
        <v>195.89440804767207</v>
      </c>
      <c r="AO272" s="38">
        <f t="shared" si="840"/>
        <v>0.99999999999999911</v>
      </c>
      <c r="AP272" s="38">
        <f t="shared" si="859"/>
        <v>2.5058318604956216</v>
      </c>
      <c r="AQ272" s="4">
        <f t="shared" si="860"/>
        <v>0</v>
      </c>
      <c r="AR272" s="4" t="e">
        <f>#REF!/G272*F272^0.5/0.19</f>
        <v>#REF!</v>
      </c>
      <c r="AS272" s="4">
        <f t="shared" si="917"/>
        <v>1.3866666666666667</v>
      </c>
      <c r="AT272" s="38">
        <f t="shared" si="918"/>
        <v>490.87844897878659</v>
      </c>
      <c r="AU272" s="4">
        <f t="shared" si="919"/>
        <v>0.42600000000000005</v>
      </c>
      <c r="AV272" s="4" t="e">
        <f>AU272*D272*#REF!/(D272*G272/2.75/F272^0.5)</f>
        <v>#REF!</v>
      </c>
      <c r="AW272" s="4" t="e">
        <f t="shared" si="1068"/>
        <v>#REF!</v>
      </c>
      <c r="AY272" s="4">
        <f t="shared" si="920"/>
        <v>1.3625</v>
      </c>
      <c r="AZ272" s="4" t="e">
        <f>(3*#REF!+30)*AY272*F272^0.5</f>
        <v>#REF!</v>
      </c>
      <c r="BB272" s="4">
        <f t="shared" si="921"/>
        <v>470.81246309324723</v>
      </c>
      <c r="BC272" s="4">
        <f t="shared" si="1047"/>
        <v>0</v>
      </c>
      <c r="BD272" s="4">
        <f t="shared" si="1069"/>
        <v>0</v>
      </c>
      <c r="BL272" s="4">
        <f t="shared" si="923"/>
        <v>25.4</v>
      </c>
      <c r="BP272" s="9"/>
      <c r="BR272" s="9"/>
      <c r="BS272" s="9"/>
      <c r="BT272" s="9">
        <f t="shared" si="924"/>
        <v>25.4</v>
      </c>
      <c r="BU272" s="9">
        <f t="shared" si="925"/>
        <v>62.230000000000004</v>
      </c>
      <c r="BV272" s="9">
        <f t="shared" si="926"/>
        <v>1.1438653713927442</v>
      </c>
      <c r="BW272" s="40">
        <f t="shared" si="1018"/>
        <v>0</v>
      </c>
      <c r="BX272" s="9">
        <f t="shared" si="927"/>
        <v>0</v>
      </c>
      <c r="BY272" s="9">
        <f t="shared" si="1070"/>
        <v>0</v>
      </c>
      <c r="BZ272" s="9">
        <f t="shared" si="928"/>
        <v>0.99524931562137331</v>
      </c>
      <c r="CA272" s="9">
        <f t="shared" si="929"/>
        <v>0.68</v>
      </c>
      <c r="CB272" s="9">
        <f t="shared" si="930"/>
        <v>1.8082280338026815</v>
      </c>
      <c r="CC272" s="9">
        <f t="shared" si="931"/>
        <v>2.0683694314484757</v>
      </c>
      <c r="CD272" s="40">
        <v>1</v>
      </c>
      <c r="CE272" s="9" t="e">
        <f>4*CC272*#REF!+60*CC272</f>
        <v>#REF!</v>
      </c>
      <c r="CG272" s="4" t="e">
        <f t="shared" si="1071"/>
        <v>#REF!</v>
      </c>
      <c r="CH272" s="4" t="e">
        <f t="shared" si="1072"/>
        <v>#REF!</v>
      </c>
      <c r="CI272" s="4" t="e">
        <f t="shared" si="1073"/>
        <v>#REF!</v>
      </c>
      <c r="CJ272" s="4" t="e">
        <f t="shared" si="1074"/>
        <v>#REF!</v>
      </c>
      <c r="CK272" s="4">
        <f t="shared" si="1075"/>
        <v>1.0355623876435345</v>
      </c>
      <c r="CL272" s="4">
        <f t="shared" si="1076"/>
        <v>1.0537522781326267</v>
      </c>
      <c r="CM272" s="4">
        <f t="shared" si="978"/>
        <v>1.8814484318433564</v>
      </c>
      <c r="CN272" s="4">
        <f t="shared" si="1019"/>
        <v>0</v>
      </c>
      <c r="CO272" s="4" t="e">
        <f t="shared" ref="CO272" si="1095">CG272</f>
        <v>#REF!</v>
      </c>
      <c r="CP272" s="4" t="e">
        <f t="shared" ref="CP272" si="1096">CH272</f>
        <v>#REF!</v>
      </c>
      <c r="CQ272" s="4" t="e">
        <f t="shared" ref="CQ272" si="1097">CJ272</f>
        <v>#REF!</v>
      </c>
      <c r="CR272" s="4">
        <f t="shared" ref="CR272" si="1098">CM272</f>
        <v>1.8814484318433564</v>
      </c>
      <c r="CS272" s="4">
        <f t="shared" ref="CS272" si="1099">CK272</f>
        <v>1.0355623876435345</v>
      </c>
      <c r="CT272" s="4">
        <f t="shared" ref="CT272" si="1100">CL272</f>
        <v>1.0537522781326267</v>
      </c>
      <c r="DC272" s="4" t="e">
        <f>#REF!</f>
        <v>#REF!</v>
      </c>
      <c r="DF272" s="4">
        <f t="shared" si="932"/>
        <v>2.2728205782291242E-5</v>
      </c>
      <c r="DG272" s="4">
        <f t="shared" si="1083"/>
        <v>8.1985076193478434</v>
      </c>
      <c r="DH272" s="4">
        <f t="shared" si="934"/>
        <v>0.18299328642128165</v>
      </c>
      <c r="DI272" s="4">
        <f t="shared" si="1084"/>
        <v>4.1563189503887896</v>
      </c>
      <c r="DJ272" s="4">
        <f t="shared" si="1085"/>
        <v>6.5027697461111531</v>
      </c>
      <c r="DK272" s="4">
        <f t="shared" si="937"/>
        <v>7.664283561396096</v>
      </c>
      <c r="DL272" s="38">
        <f t="shared" si="938"/>
        <v>462.18431198944364</v>
      </c>
      <c r="DM272" s="4" t="e">
        <f t="shared" si="1086"/>
        <v>#REF!</v>
      </c>
      <c r="DN272" s="4">
        <f t="shared" si="940"/>
        <v>2.2583179581272428</v>
      </c>
      <c r="DO272" s="4">
        <f t="shared" si="976"/>
        <v>195.89440804767207</v>
      </c>
      <c r="DS272" s="4">
        <f t="shared" si="941"/>
        <v>0.85</v>
      </c>
      <c r="DT272" s="4">
        <f t="shared" si="942"/>
        <v>1</v>
      </c>
      <c r="DU272" s="4">
        <f t="shared" si="943"/>
        <v>1</v>
      </c>
      <c r="DV272" s="4">
        <f t="shared" si="1087"/>
        <v>1</v>
      </c>
      <c r="DX272" s="4">
        <f t="shared" si="945"/>
        <v>454.20607820971429</v>
      </c>
      <c r="DY272" s="25">
        <f t="shared" si="851"/>
        <v>193.98544637161379</v>
      </c>
      <c r="EA272" s="4">
        <f t="shared" si="852"/>
        <v>0.85</v>
      </c>
      <c r="EB272" s="4">
        <f t="shared" si="946"/>
        <v>8.1985076193478434</v>
      </c>
      <c r="EE272" s="4">
        <f t="shared" si="947"/>
        <v>57.361276136431961</v>
      </c>
      <c r="EF272" s="4">
        <f t="shared" si="1088"/>
        <v>2.2583179581272428</v>
      </c>
      <c r="EG272" s="4">
        <f t="shared" si="949"/>
        <v>7.6386177124122462E-2</v>
      </c>
      <c r="EJ272" s="4">
        <f t="shared" si="1089"/>
        <v>7.6386177124122462E-2</v>
      </c>
      <c r="EK272" s="4">
        <f t="shared" si="950"/>
        <v>0.18268790473155688</v>
      </c>
      <c r="EL272" s="4">
        <f t="shared" si="1090"/>
        <v>4.1535431114615937</v>
      </c>
      <c r="EM272" s="4">
        <f t="shared" si="1091"/>
        <v>6.5018924962975211</v>
      </c>
      <c r="EN272" s="4" t="e">
        <f t="shared" si="1092"/>
        <v>#REF!</v>
      </c>
      <c r="EO272" s="4" t="e">
        <f t="shared" si="1093"/>
        <v>#REF!</v>
      </c>
      <c r="EP272" s="4" t="e">
        <f t="shared" si="951"/>
        <v>#REF!</v>
      </c>
      <c r="EQ272" s="4" t="e">
        <f t="shared" si="1094"/>
        <v>#REF!</v>
      </c>
      <c r="ER272" s="4" t="e">
        <f t="shared" si="952"/>
        <v>#REF!</v>
      </c>
      <c r="FA272" s="23" t="e">
        <f t="shared" si="1042"/>
        <v>#REF!</v>
      </c>
      <c r="FB272" s="23" t="e">
        <f t="shared" si="1043"/>
        <v>#REF!</v>
      </c>
      <c r="FC272" s="23">
        <f t="shared" si="981"/>
        <v>2</v>
      </c>
      <c r="FD272" s="23" t="e">
        <f t="shared" si="1044"/>
        <v>#REF!</v>
      </c>
      <c r="FE272" s="23">
        <f t="shared" si="1045"/>
        <v>1.2</v>
      </c>
      <c r="FF272" s="23">
        <f t="shared" si="1046"/>
        <v>1.2</v>
      </c>
      <c r="FG272" s="23">
        <f t="shared" si="968"/>
        <v>0</v>
      </c>
      <c r="FH272" s="23"/>
      <c r="FR272" s="4">
        <f t="shared" si="842"/>
        <v>1.25</v>
      </c>
      <c r="FS272" s="4">
        <f t="shared" si="843"/>
        <v>0.91666666666666663</v>
      </c>
      <c r="FT272" s="4">
        <f t="shared" si="844"/>
        <v>0</v>
      </c>
      <c r="FU272" s="4">
        <f t="shared" si="845"/>
        <v>254.38948076096989</v>
      </c>
    </row>
    <row r="273" spans="2:177" ht="12" customHeight="1" x14ac:dyDescent="0.3">
      <c r="B273" s="24"/>
      <c r="C273" s="7" t="s">
        <v>407</v>
      </c>
      <c r="D273" s="38">
        <f t="shared" ref="D273:D290" si="1101">129/0.145</f>
        <v>889.65517241379314</v>
      </c>
      <c r="E273" s="38">
        <f>10.33*25.4</f>
        <v>262.38200000000001</v>
      </c>
      <c r="F273" s="38">
        <f>8450/145</f>
        <v>58.275862068965516</v>
      </c>
      <c r="G273" s="38">
        <f t="shared" si="1016"/>
        <v>25.4</v>
      </c>
      <c r="H273" s="38">
        <f>11.8*25.4</f>
        <v>299.72000000000003</v>
      </c>
      <c r="I273" s="38">
        <f>2.5*25.4</f>
        <v>63.5</v>
      </c>
      <c r="J273" s="39">
        <f>3.2*25.4</f>
        <v>81.28</v>
      </c>
      <c r="K273" s="7">
        <f t="shared" si="986"/>
        <v>48.260000000000019</v>
      </c>
      <c r="L273" s="38">
        <v>3</v>
      </c>
      <c r="M273" s="4">
        <f t="shared" si="1028"/>
        <v>260.34999999999997</v>
      </c>
      <c r="N273" s="7">
        <f t="shared" si="905"/>
        <v>1.4500000000000004</v>
      </c>
      <c r="O273" s="7">
        <f t="shared" si="906"/>
        <v>3</v>
      </c>
      <c r="P273" s="38">
        <v>4.0999999999999996</v>
      </c>
      <c r="Q273" s="4">
        <f t="shared" si="1017"/>
        <v>4.0999999999999996</v>
      </c>
      <c r="R273" s="4">
        <f t="shared" si="907"/>
        <v>5.0999999999999996</v>
      </c>
      <c r="S273" s="7">
        <f t="shared" si="908"/>
        <v>57.361276136431961</v>
      </c>
      <c r="V273" s="38">
        <f t="shared" si="1054"/>
        <v>440.68965517241384</v>
      </c>
      <c r="W273" s="4">
        <v>63.9</v>
      </c>
      <c r="X273" s="4">
        <f t="shared" si="910"/>
        <v>0.97531366488201143</v>
      </c>
      <c r="Y273" s="38">
        <f t="shared" ref="Y273:Y275" si="1102">0.375*25.4</f>
        <v>9.5249999999999986</v>
      </c>
      <c r="Z273" s="38">
        <v>2</v>
      </c>
      <c r="AA273" s="39">
        <f>3*25.4</f>
        <v>76.199999999999989</v>
      </c>
      <c r="AB273" s="39">
        <v>2</v>
      </c>
      <c r="AC273" s="39"/>
      <c r="AD273" s="7"/>
      <c r="AE273" s="4">
        <f t="shared" si="912"/>
        <v>262.38200000000001</v>
      </c>
      <c r="AF273" s="4">
        <f t="shared" si="913"/>
        <v>0.38076798967408843</v>
      </c>
      <c r="AG273" s="4">
        <f t="shared" si="914"/>
        <v>213.43559112635208</v>
      </c>
      <c r="AH273" s="4">
        <f t="shared" si="915"/>
        <v>0.75808325266214904</v>
      </c>
      <c r="AI273" s="4">
        <v>1.25</v>
      </c>
      <c r="AJ273" s="4">
        <f t="shared" si="857"/>
        <v>2.5</v>
      </c>
      <c r="AK273" s="38">
        <f t="shared" si="988"/>
        <v>192.52813169855349</v>
      </c>
      <c r="AL273" s="38">
        <f t="shared" si="953"/>
        <v>192.52813169855349</v>
      </c>
      <c r="AM273" s="38">
        <f t="shared" si="916"/>
        <v>4.3073554520828159</v>
      </c>
      <c r="AN273" s="38">
        <f t="shared" si="858"/>
        <v>192.52813169855358</v>
      </c>
      <c r="AO273" s="38">
        <f t="shared" si="840"/>
        <v>0.99999999999999956</v>
      </c>
      <c r="AP273" s="38">
        <f t="shared" si="859"/>
        <v>2.5373874047690124</v>
      </c>
      <c r="AQ273" s="4">
        <f t="shared" si="860"/>
        <v>0</v>
      </c>
      <c r="AR273" s="4" t="e">
        <f>#REF!/G273*F273^0.5/0.19</f>
        <v>#REF!</v>
      </c>
      <c r="AS273" s="4">
        <f t="shared" si="917"/>
        <v>1.4275862068965515</v>
      </c>
      <c r="AT273" s="38">
        <f t="shared" si="918"/>
        <v>488.5184564356195</v>
      </c>
      <c r="AU273" s="4">
        <f t="shared" si="919"/>
        <v>0.42600000000000005</v>
      </c>
      <c r="AV273" s="4" t="e">
        <f>AU273*D273*#REF!/(D273*G273/2.75/F273^0.5)</f>
        <v>#REF!</v>
      </c>
      <c r="AW273" s="4" t="e">
        <f t="shared" si="1068"/>
        <v>#REF!</v>
      </c>
      <c r="AY273" s="4">
        <f t="shared" si="920"/>
        <v>1.5</v>
      </c>
      <c r="AZ273" s="4" t="e">
        <f>(3*#REF!+30)*AY273*F273^0.5</f>
        <v>#REF!</v>
      </c>
      <c r="BB273" s="4">
        <f t="shared" si="921"/>
        <v>468.54894163606815</v>
      </c>
      <c r="BC273" s="4">
        <f t="shared" ref="BC273:BC304" si="1103">8/3*T273*U273^2/(S273-G273-22)/G273*(S273^2-G273^2)/(S273^2-(G273+22)^2)</f>
        <v>0</v>
      </c>
      <c r="BD273" s="4">
        <f t="shared" si="1069"/>
        <v>0</v>
      </c>
      <c r="BL273" s="4">
        <f t="shared" si="923"/>
        <v>24.13000000000001</v>
      </c>
      <c r="BP273" s="9"/>
      <c r="BR273" s="9"/>
      <c r="BS273" s="9"/>
      <c r="BT273" s="9">
        <f t="shared" si="924"/>
        <v>24.13000000000001</v>
      </c>
      <c r="BU273" s="9">
        <f t="shared" si="925"/>
        <v>63.5</v>
      </c>
      <c r="BV273" s="9">
        <f t="shared" si="926"/>
        <v>1.1269230529691339</v>
      </c>
      <c r="BW273" s="40">
        <f t="shared" si="1018"/>
        <v>20</v>
      </c>
      <c r="BX273" s="9">
        <f t="shared" si="927"/>
        <v>4.9087385212340517E-2</v>
      </c>
      <c r="BY273" s="9">
        <f t="shared" si="1070"/>
        <v>0.78174770424681028</v>
      </c>
      <c r="BZ273" s="9">
        <f t="shared" si="928"/>
        <v>0.99524931562137331</v>
      </c>
      <c r="CA273" s="9">
        <f t="shared" si="929"/>
        <v>0.68</v>
      </c>
      <c r="CB273" s="9">
        <f t="shared" si="930"/>
        <v>1.8082280338026815</v>
      </c>
      <c r="CC273" s="9">
        <f t="shared" si="931"/>
        <v>3.4513119704972617</v>
      </c>
      <c r="CD273" s="40">
        <v>1</v>
      </c>
      <c r="CE273" s="9" t="e">
        <f>4*CC273*#REF!+60*CC273</f>
        <v>#REF!</v>
      </c>
      <c r="CG273" s="4" t="e">
        <f t="shared" si="1071"/>
        <v>#REF!</v>
      </c>
      <c r="CH273" s="4" t="e">
        <f t="shared" si="1072"/>
        <v>#REF!</v>
      </c>
      <c r="CI273" s="4" t="e">
        <f t="shared" si="1073"/>
        <v>#REF!</v>
      </c>
      <c r="CJ273" s="4" t="e">
        <f t="shared" si="1074"/>
        <v>#REF!</v>
      </c>
      <c r="CK273" s="4">
        <f t="shared" si="1075"/>
        <v>0.97531366488201143</v>
      </c>
      <c r="CL273" s="4">
        <f t="shared" si="1076"/>
        <v>0.99104241411838778</v>
      </c>
      <c r="CM273" s="4">
        <f t="shared" si="978"/>
        <v>1.0875170850034528</v>
      </c>
      <c r="CN273" s="4">
        <f>Z273</f>
        <v>2</v>
      </c>
      <c r="CU273" s="4" t="e">
        <f t="shared" ref="CU273" si="1104">CG273</f>
        <v>#REF!</v>
      </c>
      <c r="CV273" s="4" t="e">
        <f t="shared" ref="CV273" si="1105">CH273</f>
        <v>#REF!</v>
      </c>
      <c r="CW273" s="4" t="e">
        <f t="shared" ref="CW273" si="1106">CJ273</f>
        <v>#REF!</v>
      </c>
      <c r="CX273" s="4">
        <f t="shared" ref="CX273:CX275" si="1107">CM273</f>
        <v>1.0875170850034528</v>
      </c>
      <c r="CY273" s="4">
        <f t="shared" ref="CY273" si="1108">CK273</f>
        <v>0.97531366488201143</v>
      </c>
      <c r="CZ273" s="4">
        <f t="shared" ref="CZ273" si="1109">CL273</f>
        <v>0.99104241411838778</v>
      </c>
      <c r="DC273" s="4" t="e">
        <f>#REF!</f>
        <v>#REF!</v>
      </c>
      <c r="DF273" s="4">
        <f t="shared" si="932"/>
        <v>2.2191149880063189E-5</v>
      </c>
      <c r="DG273" s="4">
        <f t="shared" si="1083"/>
        <v>8.1985076193478434</v>
      </c>
      <c r="DH273" s="4">
        <f t="shared" si="934"/>
        <v>0.17984870471388795</v>
      </c>
      <c r="DI273" s="4">
        <f t="shared" si="1084"/>
        <v>4.1276012029721132</v>
      </c>
      <c r="DJ273" s="4">
        <f t="shared" si="1085"/>
        <v>6.4937181471209255</v>
      </c>
      <c r="DK273" s="4">
        <f t="shared" si="937"/>
        <v>7.6911276613412358</v>
      </c>
      <c r="DL273" s="38">
        <f t="shared" si="938"/>
        <v>451.84402827548433</v>
      </c>
      <c r="DM273" s="4" t="e">
        <f t="shared" si="1086"/>
        <v>#REF!</v>
      </c>
      <c r="DN273" s="4">
        <f t="shared" si="940"/>
        <v>2.2583179581272428</v>
      </c>
      <c r="DO273" s="4">
        <f t="shared" si="976"/>
        <v>192.52813169855358</v>
      </c>
      <c r="DS273" s="4">
        <f t="shared" si="941"/>
        <v>0.85</v>
      </c>
      <c r="DT273" s="4">
        <f t="shared" si="942"/>
        <v>1</v>
      </c>
      <c r="DU273" s="4">
        <f t="shared" si="943"/>
        <v>1</v>
      </c>
      <c r="DV273" s="4">
        <f t="shared" si="1087"/>
        <v>1</v>
      </c>
      <c r="DX273" s="4">
        <f t="shared" si="945"/>
        <v>444.67285041926573</v>
      </c>
      <c r="DY273" s="25">
        <f t="shared" si="851"/>
        <v>190.60109929567602</v>
      </c>
      <c r="EA273" s="4">
        <f t="shared" si="852"/>
        <v>0.85</v>
      </c>
      <c r="EB273" s="4">
        <f t="shared" si="946"/>
        <v>8.1985076193478434</v>
      </c>
      <c r="EE273" s="4">
        <f t="shared" si="947"/>
        <v>57.361276136431961</v>
      </c>
      <c r="EF273" s="4">
        <f t="shared" si="1088"/>
        <v>2.2583179581272428</v>
      </c>
      <c r="EG273" s="4">
        <f t="shared" si="949"/>
        <v>7.5073546590075091E-2</v>
      </c>
      <c r="EJ273" s="4">
        <f t="shared" si="1089"/>
        <v>7.5073546590075091E-2</v>
      </c>
      <c r="EK273" s="4">
        <f t="shared" si="950"/>
        <v>0.17954857074496247</v>
      </c>
      <c r="EL273" s="4">
        <f t="shared" si="1090"/>
        <v>4.1248445434779999</v>
      </c>
      <c r="EM273" s="4">
        <f t="shared" si="1091"/>
        <v>6.4928520803940772</v>
      </c>
      <c r="EN273" s="4" t="e">
        <f t="shared" si="1092"/>
        <v>#REF!</v>
      </c>
      <c r="EO273" s="4" t="e">
        <f t="shared" si="1093"/>
        <v>#REF!</v>
      </c>
      <c r="EP273" s="4" t="e">
        <f t="shared" si="951"/>
        <v>#REF!</v>
      </c>
      <c r="EQ273" s="4" t="e">
        <f t="shared" si="1094"/>
        <v>#REF!</v>
      </c>
      <c r="ER273" s="4" t="e">
        <f t="shared" si="952"/>
        <v>#REF!</v>
      </c>
      <c r="FA273" s="23" t="e">
        <f t="shared" si="1042"/>
        <v>#REF!</v>
      </c>
      <c r="FB273" s="23" t="e">
        <f t="shared" si="1043"/>
        <v>#REF!</v>
      </c>
      <c r="FC273" s="23">
        <f t="shared" si="981"/>
        <v>1.2</v>
      </c>
      <c r="FD273" s="23" t="e">
        <f t="shared" si="1044"/>
        <v>#REF!</v>
      </c>
      <c r="FE273" s="23">
        <f t="shared" si="1045"/>
        <v>1</v>
      </c>
      <c r="FF273" s="23">
        <f t="shared" si="1046"/>
        <v>1</v>
      </c>
      <c r="FG273" s="23">
        <f t="shared" si="968"/>
        <v>0</v>
      </c>
      <c r="FH273" s="23"/>
      <c r="FR273" s="4">
        <f t="shared" si="842"/>
        <v>1</v>
      </c>
      <c r="FS273" s="4">
        <f t="shared" si="843"/>
        <v>0.70232558139534873</v>
      </c>
      <c r="FT273" s="4">
        <f t="shared" si="844"/>
        <v>0.18749999999999997</v>
      </c>
      <c r="FU273" s="4">
        <f t="shared" si="845"/>
        <v>405.2255005915743</v>
      </c>
    </row>
    <row r="274" spans="2:177" ht="12" customHeight="1" x14ac:dyDescent="0.3">
      <c r="B274" s="24"/>
      <c r="C274" s="7" t="s">
        <v>408</v>
      </c>
      <c r="D274" s="38">
        <f t="shared" si="1101"/>
        <v>889.65517241379314</v>
      </c>
      <c r="E274" s="38">
        <f>10.08*25.4</f>
        <v>256.03199999999998</v>
      </c>
      <c r="F274" s="38">
        <f>8260/145</f>
        <v>56.96551724137931</v>
      </c>
      <c r="G274" s="38">
        <f t="shared" si="1016"/>
        <v>25.4</v>
      </c>
      <c r="H274" s="38">
        <f>11.8*25.4</f>
        <v>299.72000000000003</v>
      </c>
      <c r="I274" s="38">
        <f>2.45*25.4</f>
        <v>62.230000000000004</v>
      </c>
      <c r="J274" s="39">
        <f>3.13*25.4</f>
        <v>79.501999999999995</v>
      </c>
      <c r="K274" s="7">
        <f t="shared" si="986"/>
        <v>49.530000000000015</v>
      </c>
      <c r="L274" s="38">
        <v>3</v>
      </c>
      <c r="M274" s="4">
        <f t="shared" si="1028"/>
        <v>260.34999999999997</v>
      </c>
      <c r="N274" s="7">
        <f t="shared" si="905"/>
        <v>1.4750000000000003</v>
      </c>
      <c r="O274" s="7">
        <f t="shared" si="906"/>
        <v>2.95</v>
      </c>
      <c r="P274" s="38">
        <v>4.0999999999999996</v>
      </c>
      <c r="Q274" s="4">
        <f t="shared" si="1017"/>
        <v>4.0999999999999996</v>
      </c>
      <c r="R274" s="4">
        <f t="shared" si="907"/>
        <v>5.0999999999999996</v>
      </c>
      <c r="S274" s="7">
        <f t="shared" si="908"/>
        <v>57.361276136431961</v>
      </c>
      <c r="V274" s="38">
        <f t="shared" si="1054"/>
        <v>540.68965517241384</v>
      </c>
      <c r="W274" s="4">
        <v>78.400000000000006</v>
      </c>
      <c r="X274" s="4">
        <f t="shared" si="910"/>
        <v>1.2275313013278444</v>
      </c>
      <c r="Y274" s="38">
        <f t="shared" si="1102"/>
        <v>9.5249999999999986</v>
      </c>
      <c r="Z274" s="38">
        <v>4</v>
      </c>
      <c r="AA274" s="39">
        <f>5*25.4</f>
        <v>127</v>
      </c>
      <c r="AB274" s="39">
        <v>2</v>
      </c>
      <c r="AC274" s="39">
        <v>1</v>
      </c>
      <c r="AD274" s="7"/>
      <c r="AE274" s="4">
        <f t="shared" si="912"/>
        <v>256.03199999999998</v>
      </c>
      <c r="AF274" s="4">
        <f t="shared" si="913"/>
        <v>0.39021164021164034</v>
      </c>
      <c r="AG274" s="4">
        <f t="shared" si="914"/>
        <v>203.40837312963279</v>
      </c>
      <c r="AH274" s="4">
        <f t="shared" si="915"/>
        <v>0.758531746031746</v>
      </c>
      <c r="AI274" s="4">
        <v>1.25</v>
      </c>
      <c r="AJ274" s="4">
        <f t="shared" si="857"/>
        <v>2.5</v>
      </c>
      <c r="AK274" s="38">
        <f t="shared" si="988"/>
        <v>188.14506442671836</v>
      </c>
      <c r="AL274" s="38">
        <f t="shared" si="953"/>
        <v>188.14506442671836</v>
      </c>
      <c r="AM274" s="38">
        <f t="shared" si="916"/>
        <v>4.2706194667653463</v>
      </c>
      <c r="AN274" s="38">
        <f t="shared" si="858"/>
        <v>188.14506442671828</v>
      </c>
      <c r="AO274" s="38">
        <f t="shared" si="840"/>
        <v>1.0000000000000004</v>
      </c>
      <c r="AP274" s="38">
        <f t="shared" si="859"/>
        <v>2.5319853880339886</v>
      </c>
      <c r="AQ274" s="4">
        <f t="shared" si="860"/>
        <v>0</v>
      </c>
      <c r="AR274" s="4" t="e">
        <f>#REF!/G274*F274^0.5/0.19</f>
        <v>#REF!</v>
      </c>
      <c r="AS274" s="4">
        <f t="shared" si="917"/>
        <v>1.4</v>
      </c>
      <c r="AT274" s="38">
        <f t="shared" si="918"/>
        <v>476.38055395916405</v>
      </c>
      <c r="AU274" s="4">
        <f t="shared" si="919"/>
        <v>0.42600000000000005</v>
      </c>
      <c r="AV274" s="4" t="e">
        <f>AU274*D274*#REF!/(D274*G274/2.75/F274^0.5)</f>
        <v>#REF!</v>
      </c>
      <c r="AW274" s="4" t="e">
        <f t="shared" si="1068"/>
        <v>#REF!</v>
      </c>
      <c r="AY274" s="4">
        <f t="shared" si="920"/>
        <v>1.5</v>
      </c>
      <c r="AZ274" s="4" t="e">
        <f>(3*#REF!+30)*AY274*F274^0.5</f>
        <v>#REF!</v>
      </c>
      <c r="BB274" s="4">
        <f t="shared" si="921"/>
        <v>456.90720879239922</v>
      </c>
      <c r="BC274" s="4">
        <f t="shared" si="1103"/>
        <v>0</v>
      </c>
      <c r="BD274" s="4">
        <f t="shared" si="1069"/>
        <v>0</v>
      </c>
      <c r="BL274" s="4">
        <f t="shared" si="923"/>
        <v>24.765000000000008</v>
      </c>
      <c r="BP274" s="9"/>
      <c r="BR274" s="9"/>
      <c r="BS274" s="9"/>
      <c r="BT274" s="9">
        <f t="shared" si="924"/>
        <v>24.765000000000008</v>
      </c>
      <c r="BU274" s="9">
        <f t="shared" si="925"/>
        <v>62.230000000000004</v>
      </c>
      <c r="BV274" s="9">
        <f t="shared" si="926"/>
        <v>1.1337740906768172</v>
      </c>
      <c r="BW274" s="40">
        <f t="shared" si="1018"/>
        <v>20</v>
      </c>
      <c r="BX274" s="9">
        <f t="shared" si="927"/>
        <v>0.05</v>
      </c>
      <c r="BY274" s="9">
        <f t="shared" si="1070"/>
        <v>0.8</v>
      </c>
      <c r="BZ274" s="9">
        <f t="shared" si="928"/>
        <v>0.99524931562137331</v>
      </c>
      <c r="CA274" s="9">
        <f t="shared" si="929"/>
        <v>0.68</v>
      </c>
      <c r="CB274" s="9">
        <f t="shared" si="930"/>
        <v>1.7877832632633699</v>
      </c>
      <c r="CC274" s="9">
        <f t="shared" si="931"/>
        <v>3.4571689542443562</v>
      </c>
      <c r="CD274" s="40">
        <v>1</v>
      </c>
      <c r="CE274" s="9" t="e">
        <f>4*CC274*#REF!+60*CC274</f>
        <v>#REF!</v>
      </c>
      <c r="CG274" s="4" t="e">
        <f t="shared" si="1071"/>
        <v>#REF!</v>
      </c>
      <c r="CH274" s="4" t="e">
        <f t="shared" si="1072"/>
        <v>#REF!</v>
      </c>
      <c r="CI274" s="4" t="e">
        <f t="shared" si="1073"/>
        <v>#REF!</v>
      </c>
      <c r="CJ274" s="4" t="e">
        <f t="shared" si="1074"/>
        <v>#REF!</v>
      </c>
      <c r="CK274" s="4">
        <f t="shared" si="1075"/>
        <v>1.2275313013278444</v>
      </c>
      <c r="CL274" s="4">
        <f t="shared" si="1076"/>
        <v>1.246854111705707</v>
      </c>
      <c r="CM274" s="4">
        <f t="shared" si="978"/>
        <v>1.7132857924449365</v>
      </c>
      <c r="CN274" s="4">
        <f t="shared" si="1019"/>
        <v>4</v>
      </c>
      <c r="CU274" s="4" t="e">
        <f t="shared" ref="CU274:CU275" si="1110">CG274</f>
        <v>#REF!</v>
      </c>
      <c r="CV274" s="4" t="e">
        <f t="shared" ref="CV274:CV275" si="1111">CH274</f>
        <v>#REF!</v>
      </c>
      <c r="CW274" s="4" t="e">
        <f t="shared" ref="CW274:CW275" si="1112">CJ274</f>
        <v>#REF!</v>
      </c>
      <c r="CX274" s="4">
        <f t="shared" si="1107"/>
        <v>1.7132857924449365</v>
      </c>
      <c r="CY274" s="4">
        <f t="shared" ref="CY274:CY275" si="1113">CK274</f>
        <v>1.2275313013278444</v>
      </c>
      <c r="CZ274" s="4">
        <f t="shared" ref="CZ274:CZ275" si="1114">CL274</f>
        <v>1.246854111705707</v>
      </c>
      <c r="DC274" s="4" t="e">
        <f>#REF!</f>
        <v>#REF!</v>
      </c>
      <c r="DF274" s="4">
        <f t="shared" si="932"/>
        <v>2.1479580373570616E-5</v>
      </c>
      <c r="DG274" s="4">
        <f t="shared" si="1083"/>
        <v>8.182522155550533</v>
      </c>
      <c r="DH274" s="4">
        <f t="shared" si="934"/>
        <v>0.17979706977117263</v>
      </c>
      <c r="DI274" s="4">
        <f t="shared" si="1084"/>
        <v>4.1190800655574753</v>
      </c>
      <c r="DJ274" s="4">
        <f t="shared" si="1085"/>
        <v>6.4809080040143563</v>
      </c>
      <c r="DK274" s="4">
        <f t="shared" si="937"/>
        <v>7.7059970380125735</v>
      </c>
      <c r="DL274" s="38">
        <f t="shared" si="938"/>
        <v>440.4691388215839</v>
      </c>
      <c r="DM274" s="4" t="e">
        <f t="shared" si="1086"/>
        <v>#REF!</v>
      </c>
      <c r="DN274" s="4">
        <f t="shared" si="940"/>
        <v>2.2583179581272428</v>
      </c>
      <c r="DO274" s="4">
        <f t="shared" si="976"/>
        <v>188.14506442671828</v>
      </c>
      <c r="DS274" s="4">
        <f t="shared" si="941"/>
        <v>0.85</v>
      </c>
      <c r="DT274" s="4">
        <f t="shared" si="942"/>
        <v>1</v>
      </c>
      <c r="DU274" s="4">
        <f t="shared" si="943"/>
        <v>0.99062499999999998</v>
      </c>
      <c r="DV274" s="4">
        <f t="shared" si="1087"/>
        <v>0.99062499999999998</v>
      </c>
      <c r="DX274" s="4">
        <f t="shared" si="945"/>
        <v>433.64307828503354</v>
      </c>
      <c r="DY274" s="25">
        <f t="shared" si="851"/>
        <v>186.20360830118545</v>
      </c>
      <c r="EA274" s="4">
        <f t="shared" si="852"/>
        <v>0.84203125000000001</v>
      </c>
      <c r="EB274" s="4">
        <f t="shared" si="946"/>
        <v>8.182522155550533</v>
      </c>
      <c r="EE274" s="4">
        <f t="shared" si="947"/>
        <v>57.361276136431961</v>
      </c>
      <c r="EF274" s="4">
        <f t="shared" si="1088"/>
        <v>2.2583179581272428</v>
      </c>
      <c r="EG274" s="4">
        <f t="shared" si="949"/>
        <v>7.4203415787966812E-2</v>
      </c>
      <c r="EJ274" s="4">
        <f t="shared" si="1089"/>
        <v>7.4203415787966812E-2</v>
      </c>
      <c r="EK274" s="4">
        <f t="shared" si="950"/>
        <v>0.1794970219713431</v>
      </c>
      <c r="EL274" s="4">
        <f t="shared" si="1090"/>
        <v>4.1163290969896895</v>
      </c>
      <c r="EM274" s="4">
        <f t="shared" si="1091"/>
        <v>6.4800438098095814</v>
      </c>
      <c r="EN274" s="4" t="e">
        <f t="shared" si="1092"/>
        <v>#REF!</v>
      </c>
      <c r="EO274" s="4" t="e">
        <f t="shared" si="1093"/>
        <v>#REF!</v>
      </c>
      <c r="EP274" s="4" t="e">
        <f t="shared" si="951"/>
        <v>#REF!</v>
      </c>
      <c r="EQ274" s="4" t="e">
        <f t="shared" si="1094"/>
        <v>#REF!</v>
      </c>
      <c r="ER274" s="4" t="e">
        <f t="shared" si="952"/>
        <v>#REF!</v>
      </c>
      <c r="FA274" s="23" t="e">
        <f t="shared" si="1042"/>
        <v>#REF!</v>
      </c>
      <c r="FB274" s="23" t="e">
        <f t="shared" si="1043"/>
        <v>#REF!</v>
      </c>
      <c r="FC274" s="23">
        <f t="shared" si="981"/>
        <v>1.8</v>
      </c>
      <c r="FD274" s="23" t="e">
        <f t="shared" si="1044"/>
        <v>#REF!</v>
      </c>
      <c r="FE274" s="23">
        <f t="shared" si="1045"/>
        <v>1.4</v>
      </c>
      <c r="FF274" s="23">
        <f t="shared" si="1046"/>
        <v>1.4</v>
      </c>
      <c r="FG274" s="23">
        <f t="shared" si="968"/>
        <v>0</v>
      </c>
      <c r="FH274" s="23"/>
      <c r="FR274" s="4">
        <f t="shared" si="842"/>
        <v>1.25</v>
      </c>
      <c r="FS274" s="4">
        <f t="shared" si="843"/>
        <v>0.7</v>
      </c>
      <c r="FT274" s="4">
        <f t="shared" si="844"/>
        <v>0.18749999999999997</v>
      </c>
      <c r="FU274" s="4">
        <f t="shared" si="845"/>
        <v>315.58637651505018</v>
      </c>
    </row>
    <row r="275" spans="2:177" ht="12" customHeight="1" x14ac:dyDescent="0.3">
      <c r="B275" s="24"/>
      <c r="C275" s="7" t="s">
        <v>409</v>
      </c>
      <c r="D275" s="38">
        <f t="shared" si="1101"/>
        <v>889.65517241379314</v>
      </c>
      <c r="E275" s="38">
        <f>10.29*25.4</f>
        <v>261.36599999999999</v>
      </c>
      <c r="F275" s="38">
        <f>8260/145</f>
        <v>56.96551724137931</v>
      </c>
      <c r="G275" s="38">
        <f t="shared" si="1016"/>
        <v>25.4</v>
      </c>
      <c r="H275" s="38">
        <f>12.1*25.4</f>
        <v>307.33999999999997</v>
      </c>
      <c r="I275" s="38">
        <f>2.55*25.4</f>
        <v>64.77</v>
      </c>
      <c r="J275" s="39">
        <f>(2.8+2.9+2.5)/3*25.4</f>
        <v>69.426666666666648</v>
      </c>
      <c r="K275" s="7">
        <f t="shared" si="986"/>
        <v>50.8</v>
      </c>
      <c r="L275" s="38">
        <v>3</v>
      </c>
      <c r="M275" s="4">
        <f t="shared" si="1028"/>
        <v>260.34999999999997</v>
      </c>
      <c r="N275" s="7">
        <f t="shared" si="905"/>
        <v>1.5</v>
      </c>
      <c r="O275" s="7">
        <f t="shared" si="906"/>
        <v>3.05</v>
      </c>
      <c r="P275" s="38">
        <v>4.0999999999999996</v>
      </c>
      <c r="Q275" s="4">
        <f t="shared" si="1017"/>
        <v>4.0999999999999996</v>
      </c>
      <c r="R275" s="4">
        <f t="shared" si="907"/>
        <v>5.0999999999999996</v>
      </c>
      <c r="S275" s="7">
        <f t="shared" si="908"/>
        <v>57.361276136431961</v>
      </c>
      <c r="V275" s="38">
        <f t="shared" si="1054"/>
        <v>495.17241379310349</v>
      </c>
      <c r="W275" s="4">
        <v>71.8</v>
      </c>
      <c r="X275" s="4">
        <f t="shared" si="910"/>
        <v>1.0909962422431996</v>
      </c>
      <c r="Y275" s="38">
        <f t="shared" si="1102"/>
        <v>9.5249999999999986</v>
      </c>
      <c r="Z275" s="38">
        <v>4</v>
      </c>
      <c r="AA275" s="39">
        <f>5*25.4</f>
        <v>127</v>
      </c>
      <c r="AB275" s="39">
        <f>2+2</f>
        <v>4</v>
      </c>
      <c r="AC275" s="39">
        <v>1</v>
      </c>
      <c r="AD275" s="7"/>
      <c r="AE275" s="4">
        <f t="shared" si="912"/>
        <v>261.36599999999999</v>
      </c>
      <c r="AF275" s="4">
        <f t="shared" si="913"/>
        <v>0.39196631033365731</v>
      </c>
      <c r="AG275" s="4">
        <f t="shared" si="914"/>
        <v>209.79787755605903</v>
      </c>
      <c r="AH275" s="4">
        <f t="shared" si="915"/>
        <v>0.7592808551992225</v>
      </c>
      <c r="AI275" s="4">
        <v>1.25</v>
      </c>
      <c r="AJ275" s="4">
        <f t="shared" si="857"/>
        <v>2.5</v>
      </c>
      <c r="AK275" s="38">
        <f t="shared" si="988"/>
        <v>195.12023140042214</v>
      </c>
      <c r="AL275" s="38">
        <f t="shared" si="953"/>
        <v>195.12023140042214</v>
      </c>
      <c r="AM275" s="38">
        <f t="shared" si="916"/>
        <v>4.2706194667653463</v>
      </c>
      <c r="AN275" s="38">
        <f t="shared" si="858"/>
        <v>195.12023140042217</v>
      </c>
      <c r="AO275" s="38">
        <f t="shared" si="840"/>
        <v>0.99999999999999989</v>
      </c>
      <c r="AP275" s="38">
        <f t="shared" si="859"/>
        <v>2.5064989538523901</v>
      </c>
      <c r="AQ275" s="4">
        <f t="shared" si="860"/>
        <v>0</v>
      </c>
      <c r="AR275" s="4" t="e">
        <f>#REF!/G275*F275^0.5/0.19</f>
        <v>#REF!</v>
      </c>
      <c r="AS275" s="4">
        <f t="shared" si="917"/>
        <v>1.4133333333333333</v>
      </c>
      <c r="AT275" s="38">
        <f t="shared" si="918"/>
        <v>489.06865588059446</v>
      </c>
      <c r="AU275" s="4">
        <f t="shared" si="919"/>
        <v>0.42600000000000005</v>
      </c>
      <c r="AV275" s="4" t="e">
        <f>AU275*D275*#REF!/(D275*G275/2.75/F275^0.5)</f>
        <v>#REF!</v>
      </c>
      <c r="AW275" s="4" t="e">
        <f t="shared" si="1068"/>
        <v>#REF!</v>
      </c>
      <c r="AY275" s="4">
        <f t="shared" si="920"/>
        <v>1.5</v>
      </c>
      <c r="AZ275" s="4" t="e">
        <f>(3*#REF!+30)*AY275*F275^0.5</f>
        <v>#REF!</v>
      </c>
      <c r="BB275" s="4">
        <f t="shared" si="921"/>
        <v>469.07665018880698</v>
      </c>
      <c r="BC275" s="4">
        <f t="shared" si="1103"/>
        <v>0</v>
      </c>
      <c r="BD275" s="4">
        <f t="shared" si="1069"/>
        <v>0</v>
      </c>
      <c r="BL275" s="4">
        <f t="shared" si="923"/>
        <v>25.4</v>
      </c>
      <c r="BP275" s="9"/>
      <c r="BR275" s="9"/>
      <c r="BS275" s="9"/>
      <c r="BT275" s="9">
        <f t="shared" si="924"/>
        <v>25.4</v>
      </c>
      <c r="BU275" s="9">
        <f t="shared" si="925"/>
        <v>64.77</v>
      </c>
      <c r="BV275" s="9">
        <f t="shared" si="926"/>
        <v>1.150750115259513</v>
      </c>
      <c r="BW275" s="40">
        <f t="shared" si="1018"/>
        <v>20</v>
      </c>
      <c r="BX275" s="9">
        <f t="shared" si="927"/>
        <v>0.05</v>
      </c>
      <c r="BY275" s="9">
        <f t="shared" si="1070"/>
        <v>0.8</v>
      </c>
      <c r="BZ275" s="9">
        <f t="shared" si="928"/>
        <v>0.99524931562137331</v>
      </c>
      <c r="CA275" s="9">
        <f t="shared" si="929"/>
        <v>0.68</v>
      </c>
      <c r="CB275" s="9">
        <f t="shared" si="930"/>
        <v>1.7877832632633699</v>
      </c>
      <c r="CC275" s="9">
        <f t="shared" si="931"/>
        <v>3.4875184068700471</v>
      </c>
      <c r="CD275" s="40">
        <v>1</v>
      </c>
      <c r="CE275" s="9" t="e">
        <f>4*CC275*#REF!+60*CC275</f>
        <v>#REF!</v>
      </c>
      <c r="CG275" s="4" t="e">
        <f t="shared" si="1071"/>
        <v>#REF!</v>
      </c>
      <c r="CH275" s="4" t="e">
        <f t="shared" si="1072"/>
        <v>#REF!</v>
      </c>
      <c r="CI275" s="4" t="e">
        <f t="shared" si="1073"/>
        <v>#REF!</v>
      </c>
      <c r="CJ275" s="4" t="e">
        <f t="shared" si="1074"/>
        <v>#REF!</v>
      </c>
      <c r="CK275" s="4">
        <f t="shared" si="1075"/>
        <v>1.0909962422431996</v>
      </c>
      <c r="CL275" s="4">
        <f t="shared" si="1076"/>
        <v>1.1108598911062268</v>
      </c>
      <c r="CM275" s="4">
        <f t="shared" si="978"/>
        <v>1.1703923382083732</v>
      </c>
      <c r="CN275" s="4">
        <f t="shared" si="1019"/>
        <v>4</v>
      </c>
      <c r="CU275" s="4" t="e">
        <f t="shared" si="1110"/>
        <v>#REF!</v>
      </c>
      <c r="CV275" s="4" t="e">
        <f t="shared" si="1111"/>
        <v>#REF!</v>
      </c>
      <c r="CW275" s="4" t="e">
        <f t="shared" si="1112"/>
        <v>#REF!</v>
      </c>
      <c r="CX275" s="4">
        <f t="shared" si="1107"/>
        <v>1.1703923382083732</v>
      </c>
      <c r="CY275" s="4">
        <f t="shared" si="1113"/>
        <v>1.0909962422431996</v>
      </c>
      <c r="CZ275" s="4">
        <f t="shared" si="1114"/>
        <v>1.1108598911062268</v>
      </c>
      <c r="DC275" s="4" t="e">
        <f>#REF!</f>
        <v>#REF!</v>
      </c>
      <c r="DF275" s="4">
        <f t="shared" si="932"/>
        <v>2.1927071631353337E-5</v>
      </c>
      <c r="DG275" s="4">
        <f t="shared" si="1083"/>
        <v>8.182522155550533</v>
      </c>
      <c r="DH275" s="4">
        <f t="shared" si="934"/>
        <v>0.18646274865495269</v>
      </c>
      <c r="DI275" s="4">
        <f t="shared" si="1084"/>
        <v>4.1794970464391463</v>
      </c>
      <c r="DJ275" s="4">
        <f t="shared" si="1085"/>
        <v>6.5000111163899925</v>
      </c>
      <c r="DK275" s="4">
        <f t="shared" si="937"/>
        <v>7.6829977221807759</v>
      </c>
      <c r="DL275" s="38">
        <f t="shared" si="938"/>
        <v>453.87178673959363</v>
      </c>
      <c r="DM275" s="4" t="e">
        <f t="shared" si="1086"/>
        <v>#REF!</v>
      </c>
      <c r="DN275" s="4">
        <f t="shared" si="940"/>
        <v>2.2583179581272428</v>
      </c>
      <c r="DO275" s="4">
        <f t="shared" si="976"/>
        <v>195.12023140042217</v>
      </c>
      <c r="DS275" s="4">
        <f t="shared" si="941"/>
        <v>0.85</v>
      </c>
      <c r="DT275" s="4">
        <f t="shared" si="942"/>
        <v>1</v>
      </c>
      <c r="DU275" s="4">
        <f t="shared" si="943"/>
        <v>0.99062499999999998</v>
      </c>
      <c r="DV275" s="4">
        <f t="shared" si="1087"/>
        <v>0.99062499999999998</v>
      </c>
      <c r="DX275" s="4">
        <f t="shared" si="945"/>
        <v>445.75595694610621</v>
      </c>
      <c r="DY275" s="25">
        <f t="shared" si="851"/>
        <v>193.16149800426129</v>
      </c>
      <c r="EA275" s="4">
        <f t="shared" si="852"/>
        <v>0.84203125000000001</v>
      </c>
      <c r="EB275" s="4">
        <f t="shared" si="946"/>
        <v>8.182522155550533</v>
      </c>
      <c r="EE275" s="4">
        <f t="shared" si="947"/>
        <v>57.361276136431961</v>
      </c>
      <c r="EF275" s="4">
        <f t="shared" si="1088"/>
        <v>2.2583179581272428</v>
      </c>
      <c r="EG275" s="4">
        <f t="shared" si="949"/>
        <v>7.6954384657213118E-2</v>
      </c>
      <c r="EJ275" s="4">
        <f t="shared" si="1089"/>
        <v>7.6954384657213118E-2</v>
      </c>
      <c r="EK275" s="4">
        <f t="shared" si="950"/>
        <v>0.18615157707937979</v>
      </c>
      <c r="EL275" s="4">
        <f t="shared" si="1090"/>
        <v>4.1767057277900994</v>
      </c>
      <c r="EM275" s="4">
        <f t="shared" si="1091"/>
        <v>6.4991233439056897</v>
      </c>
      <c r="EN275" s="4" t="e">
        <f t="shared" si="1092"/>
        <v>#REF!</v>
      </c>
      <c r="EO275" s="4" t="e">
        <f t="shared" si="1093"/>
        <v>#REF!</v>
      </c>
      <c r="EP275" s="4" t="e">
        <f t="shared" si="951"/>
        <v>#REF!</v>
      </c>
      <c r="EQ275" s="4" t="e">
        <f t="shared" si="1094"/>
        <v>#REF!</v>
      </c>
      <c r="ER275" s="4" t="e">
        <f t="shared" si="952"/>
        <v>#REF!</v>
      </c>
      <c r="FA275" s="23" t="e">
        <f t="shared" si="1042"/>
        <v>#REF!</v>
      </c>
      <c r="FB275" s="23" t="e">
        <f t="shared" si="1043"/>
        <v>#REF!</v>
      </c>
      <c r="FC275" s="23">
        <f t="shared" si="981"/>
        <v>1.2</v>
      </c>
      <c r="FD275" s="23" t="e">
        <f t="shared" si="1044"/>
        <v>#REF!</v>
      </c>
      <c r="FE275" s="23">
        <f t="shared" si="1045"/>
        <v>1.2</v>
      </c>
      <c r="FF275" s="23">
        <f t="shared" si="1046"/>
        <v>1.2</v>
      </c>
      <c r="FG275" s="23">
        <f t="shared" si="968"/>
        <v>0</v>
      </c>
      <c r="FH275" s="23"/>
      <c r="FR275" s="4">
        <f t="shared" si="842"/>
        <v>1</v>
      </c>
      <c r="FS275" s="4">
        <f t="shared" si="843"/>
        <v>0.66627906976744189</v>
      </c>
      <c r="FT275" s="4">
        <f t="shared" si="844"/>
        <v>0.3</v>
      </c>
      <c r="FU275" s="4">
        <f t="shared" si="845"/>
        <v>423.08241230552591</v>
      </c>
    </row>
    <row r="276" spans="2:177" ht="12" customHeight="1" x14ac:dyDescent="0.3">
      <c r="B276" s="24"/>
      <c r="C276" s="7" t="s">
        <v>410</v>
      </c>
      <c r="D276" s="38">
        <f t="shared" si="1101"/>
        <v>889.65517241379314</v>
      </c>
      <c r="E276" s="38">
        <f>10.83*25.4</f>
        <v>275.08199999999999</v>
      </c>
      <c r="F276" s="38">
        <f>8450/145</f>
        <v>58.275862068965516</v>
      </c>
      <c r="G276" s="38">
        <f t="shared" si="1016"/>
        <v>25.4</v>
      </c>
      <c r="H276" s="38">
        <f>13.9*25.4</f>
        <v>353.06</v>
      </c>
      <c r="I276" s="38">
        <f>2.5*25.4</f>
        <v>63.5</v>
      </c>
      <c r="J276" s="39">
        <f>(2.8+3+2.8)/3*25.4</f>
        <v>72.813333333333333</v>
      </c>
      <c r="K276" s="7">
        <f t="shared" si="986"/>
        <v>74.930000000000007</v>
      </c>
      <c r="L276" s="38">
        <v>3</v>
      </c>
      <c r="M276" s="4">
        <f t="shared" si="1028"/>
        <v>260.34999999999997</v>
      </c>
      <c r="N276" s="7">
        <f t="shared" si="905"/>
        <v>1.9750000000000003</v>
      </c>
      <c r="O276" s="7">
        <f t="shared" si="906"/>
        <v>3</v>
      </c>
      <c r="P276" s="38">
        <v>4.0999999999999996</v>
      </c>
      <c r="Q276" s="4">
        <f t="shared" si="1017"/>
        <v>4.0999999999999996</v>
      </c>
      <c r="R276" s="4">
        <f t="shared" si="907"/>
        <v>5.0999999999999996</v>
      </c>
      <c r="S276" s="7">
        <f t="shared" si="908"/>
        <v>57.361276136431961</v>
      </c>
      <c r="V276" s="38">
        <f t="shared" si="1054"/>
        <v>512.41379310344826</v>
      </c>
      <c r="W276" s="4">
        <v>74.3</v>
      </c>
      <c r="X276" s="4">
        <f t="shared" si="910"/>
        <v>0.98097068748379734</v>
      </c>
      <c r="Y276" s="38"/>
      <c r="Z276" s="38"/>
      <c r="AA276" s="39">
        <v>1</v>
      </c>
      <c r="AB276" s="39"/>
      <c r="AC276" s="39"/>
      <c r="AD276" s="7"/>
      <c r="AE276" s="4">
        <f t="shared" si="912"/>
        <v>275.08199999999999</v>
      </c>
      <c r="AF276" s="4">
        <f t="shared" si="913"/>
        <v>0.42782394582948602</v>
      </c>
      <c r="AG276" s="4">
        <f t="shared" si="914"/>
        <v>229.11791256513948</v>
      </c>
      <c r="AH276" s="4">
        <f t="shared" si="915"/>
        <v>0.75540166204986148</v>
      </c>
      <c r="AI276" s="4">
        <v>1.25</v>
      </c>
      <c r="AJ276" s="4">
        <f t="shared" si="857"/>
        <v>2.5</v>
      </c>
      <c r="AK276" s="38">
        <f t="shared" si="988"/>
        <v>231.39399836523808</v>
      </c>
      <c r="AL276" s="38">
        <f t="shared" si="953"/>
        <v>231.39399836523808</v>
      </c>
      <c r="AM276" s="38">
        <f t="shared" si="916"/>
        <v>4.3073554520828159</v>
      </c>
      <c r="AN276" s="38">
        <f t="shared" si="858"/>
        <v>231.39399836523816</v>
      </c>
      <c r="AO276" s="38">
        <f t="shared" ref="AO276:AO339" si="1115">AK276/AN276</f>
        <v>0.99999999999999967</v>
      </c>
      <c r="AP276" s="38">
        <f t="shared" si="859"/>
        <v>2.4324668121122044</v>
      </c>
      <c r="AQ276" s="4">
        <f t="shared" si="860"/>
        <v>0</v>
      </c>
      <c r="AR276" s="4" t="e">
        <f>#REF!/G276*F276^0.5/0.19</f>
        <v>#REF!</v>
      </c>
      <c r="AS276" s="4">
        <f t="shared" si="917"/>
        <v>1.2075949367088605</v>
      </c>
      <c r="AT276" s="38">
        <f t="shared" si="918"/>
        <v>562.85822154538755</v>
      </c>
      <c r="AU276" s="4">
        <f t="shared" si="919"/>
        <v>0.42600000000000005</v>
      </c>
      <c r="AV276" s="4" t="e">
        <f>AU276*D276*#REF!/(D276*G276/2.75/F276^0.5)</f>
        <v>#REF!</v>
      </c>
      <c r="AW276" s="4" t="e">
        <f t="shared" si="1068"/>
        <v>#REF!</v>
      </c>
      <c r="AY276" s="4">
        <f t="shared" si="920"/>
        <v>1.375</v>
      </c>
      <c r="AZ276" s="4" t="e">
        <f>(3*#REF!+30)*AY276*F276^0.5</f>
        <v>#REF!</v>
      </c>
      <c r="BB276" s="4">
        <f t="shared" si="921"/>
        <v>539.84986753720898</v>
      </c>
      <c r="BC276" s="4">
        <f t="shared" si="1103"/>
        <v>0</v>
      </c>
      <c r="BD276" s="4">
        <f t="shared" si="1069"/>
        <v>0</v>
      </c>
      <c r="BL276" s="4">
        <f t="shared" si="923"/>
        <v>37.465000000000003</v>
      </c>
      <c r="BP276" s="9"/>
      <c r="BR276" s="9"/>
      <c r="BS276" s="9"/>
      <c r="BT276" s="9">
        <f t="shared" si="924"/>
        <v>37.465000000000003</v>
      </c>
      <c r="BU276" s="9">
        <f t="shared" si="925"/>
        <v>63.5</v>
      </c>
      <c r="BV276" s="9">
        <f t="shared" si="926"/>
        <v>1.3145230578736085</v>
      </c>
      <c r="BW276" s="40">
        <f t="shared" si="1018"/>
        <v>0</v>
      </c>
      <c r="BX276" s="9">
        <f t="shared" si="927"/>
        <v>0</v>
      </c>
      <c r="BY276" s="9">
        <f t="shared" si="1070"/>
        <v>0</v>
      </c>
      <c r="BZ276" s="9">
        <f t="shared" si="928"/>
        <v>0.99524931562137331</v>
      </c>
      <c r="CA276" s="9">
        <f t="shared" si="929"/>
        <v>0.68</v>
      </c>
      <c r="CB276" s="9">
        <f t="shared" si="930"/>
        <v>1.8082280338026815</v>
      </c>
      <c r="CC276" s="9">
        <f t="shared" si="931"/>
        <v>2.3769574443270836</v>
      </c>
      <c r="CD276" s="40">
        <v>1</v>
      </c>
      <c r="CE276" s="9" t="e">
        <f>4*CC276*#REF!+60*CC276</f>
        <v>#REF!</v>
      </c>
      <c r="CG276" s="4" t="e">
        <f t="shared" si="1071"/>
        <v>#REF!</v>
      </c>
      <c r="CH276" s="4" t="e">
        <f t="shared" si="1072"/>
        <v>#REF!</v>
      </c>
      <c r="CI276" s="4" t="e">
        <f t="shared" si="1073"/>
        <v>#REF!</v>
      </c>
      <c r="CJ276" s="4" t="e">
        <f t="shared" si="1074"/>
        <v>#REF!</v>
      </c>
      <c r="CK276" s="4">
        <f t="shared" si="1075"/>
        <v>0.98097068748379734</v>
      </c>
      <c r="CL276" s="4">
        <f t="shared" si="1076"/>
        <v>1.0069882788145434</v>
      </c>
      <c r="CM276" s="4">
        <f t="shared" si="978"/>
        <v>1.4382760123279739</v>
      </c>
      <c r="CN276" s="4">
        <f t="shared" si="1019"/>
        <v>0</v>
      </c>
      <c r="CO276" s="4" t="e">
        <f t="shared" ref="CO276" si="1116">CG276</f>
        <v>#REF!</v>
      </c>
      <c r="CP276" s="4" t="e">
        <f t="shared" ref="CP276" si="1117">CH276</f>
        <v>#REF!</v>
      </c>
      <c r="CQ276" s="4" t="e">
        <f t="shared" ref="CQ276" si="1118">CJ276</f>
        <v>#REF!</v>
      </c>
      <c r="CR276" s="4">
        <f t="shared" ref="CR276" si="1119">CM276</f>
        <v>1.4382760123279739</v>
      </c>
      <c r="CS276" s="4">
        <f t="shared" ref="CS276" si="1120">CK276</f>
        <v>0.98097068748379734</v>
      </c>
      <c r="CT276" s="4">
        <f t="shared" ref="CT276" si="1121">CL276</f>
        <v>1.0069882788145434</v>
      </c>
      <c r="DC276" s="4" t="e">
        <f>#REF!</f>
        <v>#REF!</v>
      </c>
      <c r="DF276" s="4">
        <f t="shared" si="932"/>
        <v>2.3265261684519301E-5</v>
      </c>
      <c r="DG276" s="4">
        <f t="shared" si="1083"/>
        <v>8.6073570806801509</v>
      </c>
      <c r="DH276" s="4">
        <f t="shared" si="934"/>
        <v>0.21615496144591859</v>
      </c>
      <c r="DI276" s="4">
        <f t="shared" si="1084"/>
        <v>4.6641864575427334</v>
      </c>
      <c r="DJ276" s="4">
        <f t="shared" si="1085"/>
        <v>6.9248108117237273</v>
      </c>
      <c r="DK276" s="4">
        <f t="shared" si="937"/>
        <v>7.9772446899415055</v>
      </c>
      <c r="DL276" s="38">
        <f t="shared" si="938"/>
        <v>522.35382732770165</v>
      </c>
      <c r="DM276" s="4" t="e">
        <f t="shared" si="1086"/>
        <v>#REF!</v>
      </c>
      <c r="DN276" s="4">
        <f t="shared" si="940"/>
        <v>2.2583179581272428</v>
      </c>
      <c r="DO276" s="4">
        <f t="shared" si="976"/>
        <v>231.39399836523816</v>
      </c>
      <c r="DS276" s="4">
        <f t="shared" si="941"/>
        <v>0.85</v>
      </c>
      <c r="DT276" s="4">
        <f t="shared" si="942"/>
        <v>0.95250000000000001</v>
      </c>
      <c r="DU276" s="4">
        <f t="shared" si="943"/>
        <v>1</v>
      </c>
      <c r="DV276" s="4">
        <f t="shared" si="1087"/>
        <v>0.95250000000000001</v>
      </c>
      <c r="DX276" s="4">
        <f t="shared" si="945"/>
        <v>508.85775324681737</v>
      </c>
      <c r="DY276" s="25">
        <f t="shared" si="851"/>
        <v>229.20472169551925</v>
      </c>
      <c r="EA276" s="4">
        <f t="shared" si="852"/>
        <v>0.80962500000000004</v>
      </c>
      <c r="EB276" s="4">
        <f t="shared" si="946"/>
        <v>8.6073570806801509</v>
      </c>
      <c r="EE276" s="4">
        <f t="shared" si="947"/>
        <v>57.361276136431961</v>
      </c>
      <c r="EF276" s="4">
        <f t="shared" si="1088"/>
        <v>2.2583179581272428</v>
      </c>
      <c r="EG276" s="4">
        <f t="shared" si="949"/>
        <v>9.0228726387557703E-2</v>
      </c>
      <c r="EJ276" s="4">
        <f t="shared" si="1089"/>
        <v>9.0228726387557703E-2</v>
      </c>
      <c r="EK276" s="4">
        <f t="shared" si="950"/>
        <v>0.21579423910107379</v>
      </c>
      <c r="EL276" s="4">
        <f t="shared" si="1090"/>
        <v>4.6610714342523911</v>
      </c>
      <c r="EM276" s="4">
        <f t="shared" si="1091"/>
        <v>6.9237702436815676</v>
      </c>
      <c r="EN276" s="4" t="e">
        <f t="shared" si="1092"/>
        <v>#REF!</v>
      </c>
      <c r="EO276" s="4" t="e">
        <f t="shared" si="1093"/>
        <v>#REF!</v>
      </c>
      <c r="EP276" s="4" t="e">
        <f t="shared" si="951"/>
        <v>#REF!</v>
      </c>
      <c r="EQ276" s="4" t="e">
        <f t="shared" si="1094"/>
        <v>#REF!</v>
      </c>
      <c r="ER276" s="4" t="e">
        <f t="shared" si="952"/>
        <v>#REF!</v>
      </c>
      <c r="FA276" s="23" t="e">
        <f t="shared" si="1042"/>
        <v>#REF!</v>
      </c>
      <c r="FB276" s="23" t="e">
        <f t="shared" si="1043"/>
        <v>#REF!</v>
      </c>
      <c r="FC276" s="23">
        <f t="shared" si="981"/>
        <v>1.6</v>
      </c>
      <c r="FD276" s="23" t="e">
        <f t="shared" si="1044"/>
        <v>#REF!</v>
      </c>
      <c r="FE276" s="23">
        <f t="shared" si="1045"/>
        <v>1</v>
      </c>
      <c r="FF276" s="23">
        <f t="shared" si="1046"/>
        <v>1.2</v>
      </c>
      <c r="FG276" s="23">
        <f t="shared" si="968"/>
        <v>0</v>
      </c>
      <c r="FH276" s="23"/>
      <c r="FR276" s="4">
        <f t="shared" ref="FR276:FR339" si="1122">IF(I276&gt;=2.5*25.4,1,1.25)</f>
        <v>1</v>
      </c>
      <c r="FS276" s="4">
        <f t="shared" ref="FS276:FS339" si="1123">IF(AA276&gt;1, 0.05*(18-MIN(8,(K276+G276)/G276))*(1-48000/MAX(60000,(D276*145))*(G276/25.4)^0.75*FT276), 1/12*(14-MIN(8,(K276+G276)/G276)))</f>
        <v>0.83749999999999991</v>
      </c>
      <c r="FT276" s="4">
        <f t="shared" ref="FT276:FT339" si="1124">MIN(0.3, Y276^2*PI()/4*2*AB276/(G276^2*PI()/4*L276))</f>
        <v>0</v>
      </c>
      <c r="FU276" s="4">
        <f t="shared" ref="FU276:FU339" si="1125">(E276/25.4)/(G276/25.4)^1.5/0.0024*(F276*145)^0.25/FR276/FS276/145</f>
        <v>356.26944252102368</v>
      </c>
    </row>
    <row r="277" spans="2:177" ht="12" customHeight="1" x14ac:dyDescent="0.3">
      <c r="B277" s="24"/>
      <c r="C277" s="7" t="s">
        <v>411</v>
      </c>
      <c r="D277" s="38">
        <f t="shared" si="1101"/>
        <v>889.65517241379314</v>
      </c>
      <c r="E277" s="38">
        <f>9.88*25.4</f>
        <v>250.952</v>
      </c>
      <c r="F277" s="38">
        <f>8050/145</f>
        <v>55.517241379310342</v>
      </c>
      <c r="G277" s="38">
        <f t="shared" si="1016"/>
        <v>25.4</v>
      </c>
      <c r="H277" s="38">
        <f>13.8*25.4</f>
        <v>350.52</v>
      </c>
      <c r="I277" s="38">
        <f>2.4*25.4</f>
        <v>60.959999999999994</v>
      </c>
      <c r="J277" s="39">
        <f>(3.4+3.5+2.9)/3*25.4</f>
        <v>82.973333333333343</v>
      </c>
      <c r="K277" s="7">
        <f t="shared" si="986"/>
        <v>76.2</v>
      </c>
      <c r="L277" s="38">
        <v>3</v>
      </c>
      <c r="M277" s="4">
        <f t="shared" si="1028"/>
        <v>260.34999999999997</v>
      </c>
      <c r="N277" s="7">
        <f t="shared" si="905"/>
        <v>2</v>
      </c>
      <c r="O277" s="7">
        <f t="shared" si="906"/>
        <v>2.9</v>
      </c>
      <c r="P277" s="38">
        <v>4.0999999999999996</v>
      </c>
      <c r="Q277" s="4">
        <f t="shared" si="1017"/>
        <v>4.0999999999999996</v>
      </c>
      <c r="R277" s="4">
        <f t="shared" si="907"/>
        <v>5.0999999999999996</v>
      </c>
      <c r="S277" s="7">
        <f t="shared" si="908"/>
        <v>57.361276136431961</v>
      </c>
      <c r="V277" s="38">
        <f t="shared" si="1054"/>
        <v>484.82758620689657</v>
      </c>
      <c r="W277" s="4">
        <v>70.3</v>
      </c>
      <c r="X277" s="4">
        <f t="shared" si="910"/>
        <v>1.0184221931806774</v>
      </c>
      <c r="Y277" s="38">
        <f t="shared" ref="Y277:Y278" si="1126">0.375*25.4</f>
        <v>9.5249999999999986</v>
      </c>
      <c r="Z277" s="38">
        <v>4</v>
      </c>
      <c r="AA277" s="39">
        <f>5*25.4</f>
        <v>127</v>
      </c>
      <c r="AB277" s="39">
        <v>2</v>
      </c>
      <c r="AC277" s="39">
        <v>1</v>
      </c>
      <c r="AD277" s="7"/>
      <c r="AE277" s="4">
        <f t="shared" si="912"/>
        <v>250.952</v>
      </c>
      <c r="AF277" s="4">
        <f t="shared" si="913"/>
        <v>0.46558704453441296</v>
      </c>
      <c r="AG277" s="4">
        <f t="shared" si="914"/>
        <v>194.8594002652321</v>
      </c>
      <c r="AH277" s="4">
        <f t="shared" si="915"/>
        <v>0.75870445344129545</v>
      </c>
      <c r="AI277" s="4">
        <v>1.25</v>
      </c>
      <c r="AJ277" s="4">
        <f t="shared" si="857"/>
        <v>2.5</v>
      </c>
      <c r="AK277" s="38">
        <f t="shared" si="988"/>
        <v>215.10222544604159</v>
      </c>
      <c r="AL277" s="38">
        <f t="shared" si="953"/>
        <v>215.10222544604159</v>
      </c>
      <c r="AM277" s="38">
        <f t="shared" si="916"/>
        <v>4.2292619080870573</v>
      </c>
      <c r="AN277" s="38">
        <f t="shared" si="858"/>
        <v>215.10222544604153</v>
      </c>
      <c r="AO277" s="38">
        <f t="shared" si="1115"/>
        <v>1.0000000000000002</v>
      </c>
      <c r="AP277" s="38">
        <f t="shared" si="859"/>
        <v>2.4667032243750677</v>
      </c>
      <c r="AQ277" s="4">
        <f t="shared" si="860"/>
        <v>0</v>
      </c>
      <c r="AR277" s="4" t="e">
        <f>#REF!/G277*F277^0.5/0.19</f>
        <v>#REF!</v>
      </c>
      <c r="AS277" s="4">
        <f t="shared" si="917"/>
        <v>1.18</v>
      </c>
      <c r="AT277" s="38">
        <f t="shared" si="918"/>
        <v>530.59335307800336</v>
      </c>
      <c r="AU277" s="4">
        <f t="shared" si="919"/>
        <v>0.42600000000000005</v>
      </c>
      <c r="AV277" s="4" t="e">
        <f>AU277*D277*#REF!/(D277*G277/2.75/F277^0.5)</f>
        <v>#REF!</v>
      </c>
      <c r="AW277" s="4" t="e">
        <f t="shared" si="1068"/>
        <v>#REF!</v>
      </c>
      <c r="AY277" s="4">
        <f t="shared" si="920"/>
        <v>1.5</v>
      </c>
      <c r="AZ277" s="4" t="e">
        <f>(3*#REF!+30)*AY277*F277^0.5</f>
        <v>#REF!</v>
      </c>
      <c r="BB277" s="4">
        <f t="shared" si="921"/>
        <v>508.90391294068667</v>
      </c>
      <c r="BC277" s="4">
        <f t="shared" si="1103"/>
        <v>0</v>
      </c>
      <c r="BD277" s="4">
        <f t="shared" si="1069"/>
        <v>0</v>
      </c>
      <c r="BL277" s="4">
        <f t="shared" si="923"/>
        <v>38.1</v>
      </c>
      <c r="BP277" s="9"/>
      <c r="BR277" s="9"/>
      <c r="BS277" s="9"/>
      <c r="BT277" s="9">
        <f t="shared" si="924"/>
        <v>38.1</v>
      </c>
      <c r="BU277" s="9">
        <f t="shared" si="925"/>
        <v>60.959999999999994</v>
      </c>
      <c r="BV277" s="9">
        <f t="shared" si="926"/>
        <v>1.3142065486214438</v>
      </c>
      <c r="BW277" s="40">
        <f t="shared" si="1018"/>
        <v>20</v>
      </c>
      <c r="BX277" s="9">
        <f t="shared" si="927"/>
        <v>0.05</v>
      </c>
      <c r="BY277" s="9">
        <f t="shared" si="1070"/>
        <v>0.8</v>
      </c>
      <c r="BZ277" s="9">
        <f t="shared" si="928"/>
        <v>0.99524931562137331</v>
      </c>
      <c r="CA277" s="9">
        <f t="shared" si="929"/>
        <v>0.68</v>
      </c>
      <c r="CB277" s="9">
        <f t="shared" si="930"/>
        <v>1.7649108936707618</v>
      </c>
      <c r="CC277" s="9">
        <f t="shared" si="931"/>
        <v>3.7313861691320489</v>
      </c>
      <c r="CD277" s="40">
        <v>1</v>
      </c>
      <c r="CE277" s="9" t="e">
        <f>4*CC277*#REF!+60*CC277</f>
        <v>#REF!</v>
      </c>
      <c r="CG277" s="4" t="e">
        <f t="shared" si="1071"/>
        <v>#REF!</v>
      </c>
      <c r="CH277" s="4" t="e">
        <f t="shared" si="1072"/>
        <v>#REF!</v>
      </c>
      <c r="CI277" s="4" t="e">
        <f t="shared" si="1073"/>
        <v>#REF!</v>
      </c>
      <c r="CJ277" s="4" t="e">
        <f t="shared" si="1074"/>
        <v>#REF!</v>
      </c>
      <c r="CK277" s="4">
        <f t="shared" si="1075"/>
        <v>1.0184221931806774</v>
      </c>
      <c r="CL277" s="4">
        <f t="shared" si="1076"/>
        <v>1.0429659273597731</v>
      </c>
      <c r="CM277" s="4">
        <f t="shared" si="978"/>
        <v>1.4674396207834461</v>
      </c>
      <c r="CN277" s="4">
        <f t="shared" si="1019"/>
        <v>4</v>
      </c>
      <c r="CU277" s="4" t="e">
        <f t="shared" ref="CU277:CU278" si="1127">CG277</f>
        <v>#REF!</v>
      </c>
      <c r="CV277" s="4" t="e">
        <f t="shared" ref="CV277:CV278" si="1128">CH277</f>
        <v>#REF!</v>
      </c>
      <c r="CW277" s="4" t="e">
        <f t="shared" ref="CW277:CW278" si="1129">CJ277</f>
        <v>#REF!</v>
      </c>
      <c r="CX277" s="4">
        <f t="shared" ref="CX277:CX278" si="1130">CM277</f>
        <v>1.4674396207834461</v>
      </c>
      <c r="CY277" s="4">
        <f t="shared" ref="CY277:CY278" si="1131">CK277</f>
        <v>1.0184221931806774</v>
      </c>
      <c r="CZ277" s="4">
        <f t="shared" ref="CZ277:CZ278" si="1132">CL277</f>
        <v>1.0429659273597731</v>
      </c>
      <c r="DC277" s="4" t="e">
        <f>#REF!</f>
        <v>#REF!</v>
      </c>
      <c r="DF277" s="4">
        <f t="shared" si="932"/>
        <v>2.0865275046333813E-5</v>
      </c>
      <c r="DG277" s="4">
        <f t="shared" si="1083"/>
        <v>8.5029867268035648</v>
      </c>
      <c r="DH277" s="4">
        <f t="shared" si="934"/>
        <v>0.21092052812996231</v>
      </c>
      <c r="DI277" s="4">
        <f t="shared" si="1084"/>
        <v>4.562669811822742</v>
      </c>
      <c r="DJ277" s="4">
        <f t="shared" si="1085"/>
        <v>6.8258795481024821</v>
      </c>
      <c r="DK277" s="4">
        <f t="shared" si="937"/>
        <v>8.0040946708095877</v>
      </c>
      <c r="DL277" s="38">
        <f t="shared" si="938"/>
        <v>476.05756183760201</v>
      </c>
      <c r="DM277" s="4" t="e">
        <f t="shared" si="1086"/>
        <v>#REF!</v>
      </c>
      <c r="DN277" s="4">
        <f t="shared" si="940"/>
        <v>2.2583179581272428</v>
      </c>
      <c r="DO277" s="4">
        <f t="shared" si="976"/>
        <v>215.10222544604153</v>
      </c>
      <c r="DS277" s="4">
        <f t="shared" si="941"/>
        <v>0.85</v>
      </c>
      <c r="DT277" s="4">
        <f t="shared" si="942"/>
        <v>0.95</v>
      </c>
      <c r="DU277" s="4">
        <f t="shared" si="943"/>
        <v>0.99062499999999998</v>
      </c>
      <c r="DV277" s="4">
        <f t="shared" si="1087"/>
        <v>0.94109374999999995</v>
      </c>
      <c r="DX277" s="4">
        <f t="shared" si="945"/>
        <v>464.85467404886219</v>
      </c>
      <c r="DY277" s="25">
        <f t="shared" si="851"/>
        <v>212.82614746640451</v>
      </c>
      <c r="EA277" s="4">
        <f t="shared" si="852"/>
        <v>0.79992968749999993</v>
      </c>
      <c r="EB277" s="4">
        <f t="shared" si="946"/>
        <v>8.5029867268035648</v>
      </c>
      <c r="EE277" s="4">
        <f t="shared" si="947"/>
        <v>57.361276136431961</v>
      </c>
      <c r="EF277" s="4">
        <f t="shared" si="1088"/>
        <v>2.2583179581272428</v>
      </c>
      <c r="EG277" s="4">
        <f t="shared" si="949"/>
        <v>8.5934598964507822E-2</v>
      </c>
      <c r="EJ277" s="4">
        <f t="shared" si="1089"/>
        <v>8.5934598964507822E-2</v>
      </c>
      <c r="EK277" s="4">
        <f t="shared" si="950"/>
        <v>0.21056854107875611</v>
      </c>
      <c r="EL277" s="4">
        <f t="shared" si="1090"/>
        <v>4.5596225874333776</v>
      </c>
      <c r="EM277" s="4">
        <f t="shared" si="1091"/>
        <v>6.8248697622439156</v>
      </c>
      <c r="EN277" s="4" t="e">
        <f t="shared" si="1092"/>
        <v>#REF!</v>
      </c>
      <c r="EO277" s="4" t="e">
        <f t="shared" si="1093"/>
        <v>#REF!</v>
      </c>
      <c r="EP277" s="4" t="e">
        <f t="shared" si="951"/>
        <v>#REF!</v>
      </c>
      <c r="EQ277" s="4" t="e">
        <f t="shared" si="1094"/>
        <v>#REF!</v>
      </c>
      <c r="ER277" s="4" t="e">
        <f t="shared" si="952"/>
        <v>#REF!</v>
      </c>
      <c r="FA277" s="23" t="e">
        <f t="shared" si="1042"/>
        <v>#REF!</v>
      </c>
      <c r="FB277" s="23" t="e">
        <f t="shared" si="1043"/>
        <v>#REF!</v>
      </c>
      <c r="FC277" s="23">
        <f t="shared" si="981"/>
        <v>1.6</v>
      </c>
      <c r="FD277" s="23" t="e">
        <f t="shared" si="1044"/>
        <v>#REF!</v>
      </c>
      <c r="FE277" s="23">
        <f t="shared" si="1045"/>
        <v>1.2</v>
      </c>
      <c r="FF277" s="23">
        <f t="shared" si="1046"/>
        <v>1.2</v>
      </c>
      <c r="FG277" s="23">
        <f t="shared" si="968"/>
        <v>0</v>
      </c>
      <c r="FH277" s="23"/>
      <c r="FR277" s="4">
        <f t="shared" si="1122"/>
        <v>1.25</v>
      </c>
      <c r="FS277" s="4">
        <f t="shared" si="1123"/>
        <v>0.65116279069767447</v>
      </c>
      <c r="FT277" s="4">
        <f t="shared" si="1124"/>
        <v>0.18749999999999997</v>
      </c>
      <c r="FU277" s="4">
        <f t="shared" si="1125"/>
        <v>330.39014303570031</v>
      </c>
    </row>
    <row r="278" spans="2:177" ht="12" customHeight="1" x14ac:dyDescent="0.3">
      <c r="B278" s="24"/>
      <c r="C278" s="7" t="s">
        <v>412</v>
      </c>
      <c r="D278" s="38">
        <f t="shared" si="1101"/>
        <v>889.65517241379314</v>
      </c>
      <c r="E278" s="38">
        <f>10.33*25.4</f>
        <v>262.38200000000001</v>
      </c>
      <c r="F278" s="38">
        <f>8050/145</f>
        <v>55.517241379310342</v>
      </c>
      <c r="G278" s="38">
        <f t="shared" si="1016"/>
        <v>25.4</v>
      </c>
      <c r="H278" s="38">
        <f>14.3*25.4</f>
        <v>363.21999999999997</v>
      </c>
      <c r="I278" s="38">
        <f>2.5*25.4</f>
        <v>63.5</v>
      </c>
      <c r="J278" s="39">
        <f>(3.8+3+3.5)/3*25.4</f>
        <v>87.206666666666663</v>
      </c>
      <c r="K278" s="7">
        <f t="shared" si="986"/>
        <v>80.009999999999991</v>
      </c>
      <c r="L278" s="38">
        <v>3</v>
      </c>
      <c r="M278" s="4">
        <f t="shared" si="1028"/>
        <v>260.34999999999997</v>
      </c>
      <c r="N278" s="7">
        <f t="shared" si="905"/>
        <v>2.0750000000000002</v>
      </c>
      <c r="O278" s="7">
        <f t="shared" si="906"/>
        <v>3</v>
      </c>
      <c r="P278" s="38">
        <v>4.0999999999999996</v>
      </c>
      <c r="Q278" s="4">
        <f t="shared" si="1017"/>
        <v>4.0999999999999996</v>
      </c>
      <c r="R278" s="4">
        <f t="shared" si="907"/>
        <v>5.0999999999999996</v>
      </c>
      <c r="S278" s="7">
        <f t="shared" si="908"/>
        <v>57.361276136431961</v>
      </c>
      <c r="V278" s="38">
        <f t="shared" si="1054"/>
        <v>609.65517241379314</v>
      </c>
      <c r="W278" s="4">
        <v>88.4</v>
      </c>
      <c r="X278" s="4">
        <f t="shared" si="910"/>
        <v>1.2076437156812905</v>
      </c>
      <c r="Y278" s="38">
        <f t="shared" si="1126"/>
        <v>9.5249999999999986</v>
      </c>
      <c r="Z278" s="38">
        <v>4</v>
      </c>
      <c r="AA278" s="39">
        <f>5*25.4</f>
        <v>127</v>
      </c>
      <c r="AB278" s="39">
        <f>2+2</f>
        <v>4</v>
      </c>
      <c r="AC278" s="39">
        <v>1</v>
      </c>
      <c r="AD278" s="7"/>
      <c r="AE278" s="4">
        <f t="shared" si="912"/>
        <v>262.38200000000001</v>
      </c>
      <c r="AF278" s="4">
        <f t="shared" si="913"/>
        <v>0.46143917392707318</v>
      </c>
      <c r="AG278" s="4">
        <f t="shared" si="914"/>
        <v>208.32261906910756</v>
      </c>
      <c r="AH278" s="4">
        <f t="shared" si="915"/>
        <v>0.75808325266214904</v>
      </c>
      <c r="AI278" s="4">
        <v>1.25</v>
      </c>
      <c r="AJ278" s="4">
        <f t="shared" si="857"/>
        <v>2.5</v>
      </c>
      <c r="AK278" s="38">
        <f t="shared" si="988"/>
        <v>227.72872377563311</v>
      </c>
      <c r="AL278" s="38">
        <f t="shared" si="953"/>
        <v>227.72872377563311</v>
      </c>
      <c r="AM278" s="38">
        <f t="shared" si="916"/>
        <v>4.2292619080870573</v>
      </c>
      <c r="AN278" s="38">
        <f t="shared" si="858"/>
        <v>227.72872377563314</v>
      </c>
      <c r="AO278" s="38">
        <f t="shared" si="1115"/>
        <v>0.99999999999999989</v>
      </c>
      <c r="AP278" s="38">
        <f t="shared" si="859"/>
        <v>2.4138531924417204</v>
      </c>
      <c r="AQ278" s="4">
        <f t="shared" si="860"/>
        <v>0</v>
      </c>
      <c r="AR278" s="4" t="e">
        <f>#REF!/G278*F278^0.5/0.19</f>
        <v>#REF!</v>
      </c>
      <c r="AS278" s="4">
        <f t="shared" si="917"/>
        <v>1.1783132530120481</v>
      </c>
      <c r="AT278" s="38">
        <f t="shared" si="918"/>
        <v>549.70370689649076</v>
      </c>
      <c r="AU278" s="4">
        <f t="shared" si="919"/>
        <v>0.42600000000000005</v>
      </c>
      <c r="AV278" s="4" t="e">
        <f>AU278*D278*#REF!/(D278*G278/2.75/F278^0.5)</f>
        <v>#REF!</v>
      </c>
      <c r="AW278" s="4" t="e">
        <f t="shared" si="1068"/>
        <v>#REF!</v>
      </c>
      <c r="AY278" s="4">
        <f t="shared" si="920"/>
        <v>1.5</v>
      </c>
      <c r="AZ278" s="4" t="e">
        <f>(3*#REF!+30)*AY278*F278^0.5</f>
        <v>#REF!</v>
      </c>
      <c r="BB278" s="4">
        <f t="shared" si="921"/>
        <v>527.23307929660132</v>
      </c>
      <c r="BC278" s="4">
        <f t="shared" si="1103"/>
        <v>0</v>
      </c>
      <c r="BD278" s="4">
        <f t="shared" si="1069"/>
        <v>0</v>
      </c>
      <c r="BL278" s="4">
        <f t="shared" si="923"/>
        <v>40.004999999999995</v>
      </c>
      <c r="BP278" s="9"/>
      <c r="BR278" s="9"/>
      <c r="BS278" s="9"/>
      <c r="BT278" s="9">
        <f t="shared" si="924"/>
        <v>40.004999999999995</v>
      </c>
      <c r="BU278" s="9">
        <f t="shared" si="925"/>
        <v>63.5</v>
      </c>
      <c r="BV278" s="9">
        <f t="shared" si="926"/>
        <v>1.3450523780427719</v>
      </c>
      <c r="BW278" s="40">
        <f t="shared" si="1018"/>
        <v>20</v>
      </c>
      <c r="BX278" s="9">
        <f t="shared" si="927"/>
        <v>0.05</v>
      </c>
      <c r="BY278" s="9">
        <f t="shared" si="1070"/>
        <v>0.8</v>
      </c>
      <c r="BZ278" s="9">
        <f t="shared" si="928"/>
        <v>0.99524931562137331</v>
      </c>
      <c r="CA278" s="9">
        <f t="shared" si="929"/>
        <v>0.68</v>
      </c>
      <c r="CB278" s="9">
        <f t="shared" si="930"/>
        <v>1.7649108936707618</v>
      </c>
      <c r="CC278" s="9">
        <f t="shared" si="931"/>
        <v>3.7858263095020614</v>
      </c>
      <c r="CD278" s="40">
        <v>1</v>
      </c>
      <c r="CE278" s="9" t="e">
        <f>4*CC278*#REF!+60*CC278</f>
        <v>#REF!</v>
      </c>
      <c r="CG278" s="4" t="e">
        <f t="shared" si="1071"/>
        <v>#REF!</v>
      </c>
      <c r="CH278" s="4" t="e">
        <f t="shared" si="1072"/>
        <v>#REF!</v>
      </c>
      <c r="CI278" s="4" t="e">
        <f t="shared" si="1073"/>
        <v>#REF!</v>
      </c>
      <c r="CJ278" s="4" t="e">
        <f t="shared" si="1074"/>
        <v>#REF!</v>
      </c>
      <c r="CK278" s="4">
        <f t="shared" si="1075"/>
        <v>1.2076437156812905</v>
      </c>
      <c r="CL278" s="4">
        <f t="shared" si="1076"/>
        <v>1.2415241895472264</v>
      </c>
      <c r="CM278" s="4">
        <f t="shared" si="978"/>
        <v>1.3339172849165912</v>
      </c>
      <c r="CN278" s="4">
        <f t="shared" si="1019"/>
        <v>4</v>
      </c>
      <c r="CU278" s="4" t="e">
        <f t="shared" si="1127"/>
        <v>#REF!</v>
      </c>
      <c r="CV278" s="4" t="e">
        <f t="shared" si="1128"/>
        <v>#REF!</v>
      </c>
      <c r="CW278" s="4" t="e">
        <f t="shared" si="1129"/>
        <v>#REF!</v>
      </c>
      <c r="CX278" s="4">
        <f t="shared" si="1130"/>
        <v>1.3339172849165912</v>
      </c>
      <c r="CY278" s="4">
        <f t="shared" si="1131"/>
        <v>1.2076437156812905</v>
      </c>
      <c r="CZ278" s="4">
        <f t="shared" si="1132"/>
        <v>1.2415241895472264</v>
      </c>
      <c r="DC278" s="4" t="e">
        <f>#REF!</f>
        <v>#REF!</v>
      </c>
      <c r="DF278" s="4">
        <f t="shared" si="932"/>
        <v>2.1815616521116227E-5</v>
      </c>
      <c r="DG278" s="4">
        <f t="shared" si="1083"/>
        <v>8.5706497511547859</v>
      </c>
      <c r="DH278" s="4">
        <f t="shared" si="934"/>
        <v>0.22330156087189282</v>
      </c>
      <c r="DI278" s="4">
        <f t="shared" si="1084"/>
        <v>4.7051172574974487</v>
      </c>
      <c r="DJ278" s="4">
        <f t="shared" si="1085"/>
        <v>6.9157100883065903</v>
      </c>
      <c r="DK278" s="4">
        <f t="shared" si="937"/>
        <v>8.0109035794534709</v>
      </c>
      <c r="DL278" s="38">
        <f t="shared" si="938"/>
        <v>504.83032743631429</v>
      </c>
      <c r="DM278" s="4" t="e">
        <f t="shared" si="1086"/>
        <v>#REF!</v>
      </c>
      <c r="DN278" s="4">
        <f t="shared" si="940"/>
        <v>2.2583179581272428</v>
      </c>
      <c r="DO278" s="4">
        <f t="shared" si="976"/>
        <v>227.72872377563314</v>
      </c>
      <c r="DS278" s="4">
        <f t="shared" si="941"/>
        <v>0.85</v>
      </c>
      <c r="DT278" s="4">
        <f t="shared" si="942"/>
        <v>0.9425</v>
      </c>
      <c r="DU278" s="4">
        <f t="shared" si="943"/>
        <v>0.99062499999999998</v>
      </c>
      <c r="DV278" s="4">
        <f t="shared" si="1087"/>
        <v>0.9336640625</v>
      </c>
      <c r="DX278" s="4">
        <f t="shared" si="945"/>
        <v>491.05380108311005</v>
      </c>
      <c r="DY278" s="25">
        <f t="shared" si="851"/>
        <v>225.44936529482322</v>
      </c>
      <c r="EA278" s="4">
        <f t="shared" si="852"/>
        <v>0.79361445312500001</v>
      </c>
      <c r="EB278" s="4">
        <f t="shared" si="946"/>
        <v>8.5706497511547859</v>
      </c>
      <c r="EE278" s="4">
        <f t="shared" si="947"/>
        <v>57.361276136431961</v>
      </c>
      <c r="EF278" s="4">
        <f t="shared" si="1088"/>
        <v>2.2583179581272428</v>
      </c>
      <c r="EG278" s="4">
        <f t="shared" si="949"/>
        <v>9.097895900322657E-2</v>
      </c>
      <c r="EJ278" s="4">
        <f t="shared" si="1089"/>
        <v>9.097895900322657E-2</v>
      </c>
      <c r="EK278" s="4">
        <f t="shared" si="950"/>
        <v>0.22292891218455113</v>
      </c>
      <c r="EL278" s="4">
        <f t="shared" si="1090"/>
        <v>4.7019748981654814</v>
      </c>
      <c r="EM278" s="4">
        <f t="shared" si="1091"/>
        <v>6.9146492330903513</v>
      </c>
      <c r="EN278" s="4" t="e">
        <f t="shared" si="1092"/>
        <v>#REF!</v>
      </c>
      <c r="EO278" s="4" t="e">
        <f t="shared" si="1093"/>
        <v>#REF!</v>
      </c>
      <c r="EP278" s="4" t="e">
        <f t="shared" si="951"/>
        <v>#REF!</v>
      </c>
      <c r="EQ278" s="4" t="e">
        <f t="shared" si="1094"/>
        <v>#REF!</v>
      </c>
      <c r="ER278" s="4" t="e">
        <f t="shared" si="952"/>
        <v>#REF!</v>
      </c>
      <c r="FA278" s="23" t="e">
        <f t="shared" si="1042"/>
        <v>#REF!</v>
      </c>
      <c r="FB278" s="23" t="e">
        <f t="shared" si="1043"/>
        <v>#REF!</v>
      </c>
      <c r="FC278" s="23">
        <f t="shared" si="981"/>
        <v>1.4</v>
      </c>
      <c r="FD278" s="23" t="e">
        <f t="shared" si="1044"/>
        <v>#REF!</v>
      </c>
      <c r="FE278" s="23">
        <f t="shared" si="1045"/>
        <v>1.4</v>
      </c>
      <c r="FF278" s="23">
        <f t="shared" si="1046"/>
        <v>1.4</v>
      </c>
      <c r="FG278" s="23">
        <f t="shared" si="968"/>
        <v>0</v>
      </c>
      <c r="FH278" s="23"/>
      <c r="FR278" s="4">
        <f t="shared" si="1122"/>
        <v>1</v>
      </c>
      <c r="FS278" s="4">
        <f t="shared" si="1123"/>
        <v>0.61519767441860462</v>
      </c>
      <c r="FT278" s="4">
        <f t="shared" si="1124"/>
        <v>0.3</v>
      </c>
      <c r="FU278" s="4">
        <f t="shared" si="1125"/>
        <v>457.04121185588684</v>
      </c>
    </row>
    <row r="279" spans="2:177" ht="12" customHeight="1" x14ac:dyDescent="0.3">
      <c r="B279" s="24"/>
      <c r="C279" s="7" t="s">
        <v>413</v>
      </c>
      <c r="D279" s="38">
        <f t="shared" si="1101"/>
        <v>889.65517241379314</v>
      </c>
      <c r="E279" s="38">
        <f>10.35*25.4</f>
        <v>262.89</v>
      </c>
      <c r="F279" s="38">
        <f>8050/145</f>
        <v>55.517241379310342</v>
      </c>
      <c r="G279" s="38">
        <f t="shared" si="1016"/>
        <v>25.4</v>
      </c>
      <c r="H279" s="38">
        <f>15.9*25.4</f>
        <v>403.86</v>
      </c>
      <c r="I279" s="38">
        <f>2.45*25.4</f>
        <v>62.230000000000004</v>
      </c>
      <c r="J279" s="39">
        <f>(3.2+3.3+3.5)/3*25.4</f>
        <v>84.666666666666671</v>
      </c>
      <c r="K279" s="7">
        <f t="shared" si="986"/>
        <v>101.60000000000001</v>
      </c>
      <c r="L279" s="38">
        <v>3</v>
      </c>
      <c r="M279" s="4">
        <f t="shared" si="1028"/>
        <v>260.34999999999997</v>
      </c>
      <c r="N279" s="7">
        <f t="shared" si="905"/>
        <v>2.5000000000000004</v>
      </c>
      <c r="O279" s="7">
        <f t="shared" si="906"/>
        <v>2.95</v>
      </c>
      <c r="P279" s="38">
        <v>4.0999999999999996</v>
      </c>
      <c r="Q279" s="4">
        <f t="shared" si="1017"/>
        <v>4.0999999999999996</v>
      </c>
      <c r="R279" s="4">
        <f t="shared" si="907"/>
        <v>5.0999999999999996</v>
      </c>
      <c r="S279" s="7">
        <f t="shared" si="908"/>
        <v>57.361276136431961</v>
      </c>
      <c r="V279" s="38">
        <f t="shared" si="1054"/>
        <v>558.62068965517244</v>
      </c>
      <c r="W279" s="4">
        <v>81</v>
      </c>
      <c r="X279" s="4">
        <f t="shared" si="910"/>
        <v>1.026278911927931</v>
      </c>
      <c r="Y279" s="38"/>
      <c r="Z279" s="38"/>
      <c r="AA279" s="39">
        <v>1</v>
      </c>
      <c r="AB279" s="39"/>
      <c r="AC279" s="39"/>
      <c r="AD279" s="7"/>
      <c r="AE279" s="4">
        <f t="shared" si="912"/>
        <v>262.89</v>
      </c>
      <c r="AF279" s="4">
        <f t="shared" si="913"/>
        <v>0.5120772946859905</v>
      </c>
      <c r="AG279" s="4">
        <f t="shared" si="914"/>
        <v>208.92791457835131</v>
      </c>
      <c r="AH279" s="4">
        <f t="shared" si="915"/>
        <v>0.75700483091787441</v>
      </c>
      <c r="AI279" s="4">
        <v>1.25</v>
      </c>
      <c r="AJ279" s="4">
        <f t="shared" si="857"/>
        <v>2.5</v>
      </c>
      <c r="AK279" s="38">
        <f t="shared" si="988"/>
        <v>253.09330780249627</v>
      </c>
      <c r="AL279" s="38">
        <f t="shared" si="953"/>
        <v>253.09330780249627</v>
      </c>
      <c r="AM279" s="38">
        <f t="shared" si="916"/>
        <v>4.2292619080870573</v>
      </c>
      <c r="AN279" s="38">
        <f t="shared" si="858"/>
        <v>253.0933078024959</v>
      </c>
      <c r="AO279" s="38">
        <f t="shared" si="1115"/>
        <v>1.0000000000000016</v>
      </c>
      <c r="AP279" s="38">
        <f t="shared" si="859"/>
        <v>2.3806959565383146</v>
      </c>
      <c r="AQ279" s="4">
        <f t="shared" si="860"/>
        <v>0</v>
      </c>
      <c r="AR279" s="4" t="e">
        <f>#REF!/G279*F279^0.5/0.19</f>
        <v>#REF!</v>
      </c>
      <c r="AS279" s="4">
        <f t="shared" si="917"/>
        <v>1.0720000000000001</v>
      </c>
      <c r="AT279" s="38">
        <f t="shared" si="918"/>
        <v>602.53821451230908</v>
      </c>
      <c r="AU279" s="4">
        <f t="shared" si="919"/>
        <v>0.42600000000000005</v>
      </c>
      <c r="AV279" s="4" t="e">
        <f>AU279*D279*#REF!/(D279*G279/2.75/F279^0.5)</f>
        <v>#REF!</v>
      </c>
      <c r="AW279" s="4" t="e">
        <f t="shared" si="1068"/>
        <v>#REF!</v>
      </c>
      <c r="AY279" s="4">
        <f t="shared" si="920"/>
        <v>1.3625</v>
      </c>
      <c r="AZ279" s="4" t="e">
        <f>(3*#REF!+30)*AY279*F279^0.5</f>
        <v>#REF!</v>
      </c>
      <c r="BB279" s="4">
        <f t="shared" si="921"/>
        <v>577.90783333942409</v>
      </c>
      <c r="BC279" s="4">
        <f t="shared" si="1103"/>
        <v>0</v>
      </c>
      <c r="BD279" s="4">
        <f t="shared" si="1069"/>
        <v>0</v>
      </c>
      <c r="BL279" s="4">
        <f t="shared" si="923"/>
        <v>50.800000000000004</v>
      </c>
      <c r="BP279" s="9"/>
      <c r="BR279" s="9"/>
      <c r="BS279" s="9"/>
      <c r="BT279" s="9">
        <f t="shared" si="924"/>
        <v>50.800000000000004</v>
      </c>
      <c r="BU279" s="9">
        <f t="shared" si="925"/>
        <v>62.230000000000004</v>
      </c>
      <c r="BV279" s="9">
        <f t="shared" si="926"/>
        <v>1.4579257653311168</v>
      </c>
      <c r="BW279" s="40">
        <f t="shared" si="1018"/>
        <v>0</v>
      </c>
      <c r="BX279" s="9">
        <f t="shared" si="927"/>
        <v>0</v>
      </c>
      <c r="BY279" s="9">
        <f t="shared" si="1070"/>
        <v>0</v>
      </c>
      <c r="BZ279" s="9">
        <f t="shared" si="928"/>
        <v>0.99524931562137331</v>
      </c>
      <c r="CA279" s="9">
        <f t="shared" si="929"/>
        <v>0.68</v>
      </c>
      <c r="CB279" s="9">
        <f t="shared" si="930"/>
        <v>1.7649108936707618</v>
      </c>
      <c r="CC279" s="9">
        <f t="shared" si="931"/>
        <v>2.5731090653961708</v>
      </c>
      <c r="CD279" s="40">
        <v>1</v>
      </c>
      <c r="CE279" s="9" t="e">
        <f>4*CC279*#REF!+60*CC279</f>
        <v>#REF!</v>
      </c>
      <c r="CG279" s="4" t="e">
        <f t="shared" si="1071"/>
        <v>#REF!</v>
      </c>
      <c r="CH279" s="4" t="e">
        <f t="shared" si="1072"/>
        <v>#REF!</v>
      </c>
      <c r="CI279" s="4" t="e">
        <f t="shared" si="1073"/>
        <v>#REF!</v>
      </c>
      <c r="CJ279" s="4" t="e">
        <f t="shared" si="1074"/>
        <v>#REF!</v>
      </c>
      <c r="CK279" s="4">
        <f t="shared" si="1075"/>
        <v>1.026278911927931</v>
      </c>
      <c r="CL279" s="4">
        <f t="shared" si="1076"/>
        <v>1.0607370982090985</v>
      </c>
      <c r="CM279" s="4">
        <f t="shared" si="978"/>
        <v>1.8589949803999117</v>
      </c>
      <c r="CN279" s="4">
        <f t="shared" si="1019"/>
        <v>0</v>
      </c>
      <c r="CO279" s="4" t="e">
        <f t="shared" ref="CO279" si="1133">CG279</f>
        <v>#REF!</v>
      </c>
      <c r="CP279" s="4" t="e">
        <f t="shared" ref="CP279" si="1134">CH279</f>
        <v>#REF!</v>
      </c>
      <c r="CQ279" s="4" t="e">
        <f t="shared" ref="CQ279" si="1135">CJ279</f>
        <v>#REF!</v>
      </c>
      <c r="CR279" s="4">
        <f t="shared" ref="CR279" si="1136">CM279</f>
        <v>1.8589949803999117</v>
      </c>
      <c r="CS279" s="4">
        <f t="shared" ref="CS279" si="1137">CK279</f>
        <v>1.026278911927931</v>
      </c>
      <c r="CT279" s="4">
        <f t="shared" ref="CT279" si="1138">CL279</f>
        <v>1.0607370982090985</v>
      </c>
      <c r="DC279" s="4" t="e">
        <f>#REF!</f>
        <v>#REF!</v>
      </c>
      <c r="DF279" s="4">
        <f t="shared" si="932"/>
        <v>2.1857853919995441E-5</v>
      </c>
      <c r="DG279" s="4">
        <f t="shared" si="1083"/>
        <v>8.8912307388086589</v>
      </c>
      <c r="DH279" s="4">
        <f t="shared" si="934"/>
        <v>0.24817304440791377</v>
      </c>
      <c r="DI279" s="4">
        <f t="shared" si="1084"/>
        <v>5.0917107494561256</v>
      </c>
      <c r="DJ279" s="4">
        <f t="shared" si="1085"/>
        <v>7.2467334633868781</v>
      </c>
      <c r="DK279" s="4">
        <f t="shared" si="937"/>
        <v>8.2781801676860916</v>
      </c>
      <c r="DL279" s="38">
        <f t="shared" si="938"/>
        <v>544.31664059604179</v>
      </c>
      <c r="DM279" s="4" t="e">
        <f t="shared" si="1086"/>
        <v>#REF!</v>
      </c>
      <c r="DN279" s="4">
        <f t="shared" si="940"/>
        <v>2.2583179581272428</v>
      </c>
      <c r="DO279" s="4">
        <f t="shared" si="976"/>
        <v>253.0933078024959</v>
      </c>
      <c r="DS279" s="4">
        <f t="shared" si="941"/>
        <v>0.85</v>
      </c>
      <c r="DT279" s="4">
        <f t="shared" si="942"/>
        <v>0.89999999999999991</v>
      </c>
      <c r="DU279" s="4">
        <f t="shared" si="943"/>
        <v>1</v>
      </c>
      <c r="DV279" s="4">
        <f t="shared" si="1087"/>
        <v>0.89999999999999991</v>
      </c>
      <c r="DX279" s="4">
        <f t="shared" si="945"/>
        <v>526.63444184079435</v>
      </c>
      <c r="DY279" s="25">
        <f t="shared" si="851"/>
        <v>250.56172740078549</v>
      </c>
      <c r="EA279" s="4">
        <f t="shared" si="852"/>
        <v>0.7649999999999999</v>
      </c>
      <c r="EB279" s="4">
        <f t="shared" si="946"/>
        <v>8.8912307388086589</v>
      </c>
      <c r="EE279" s="4">
        <f t="shared" si="947"/>
        <v>57.361276136431961</v>
      </c>
      <c r="EF279" s="4">
        <f t="shared" si="1088"/>
        <v>2.2583179581272428</v>
      </c>
      <c r="EG279" s="4">
        <f t="shared" si="949"/>
        <v>0.10111225888764264</v>
      </c>
      <c r="EJ279" s="4">
        <f t="shared" si="1089"/>
        <v>0.10111225888764264</v>
      </c>
      <c r="EK279" s="4">
        <f t="shared" si="950"/>
        <v>0.24775888984996491</v>
      </c>
      <c r="EL279" s="4">
        <f t="shared" si="1090"/>
        <v>5.0883101998175952</v>
      </c>
      <c r="EM279" s="4">
        <f t="shared" si="1091"/>
        <v>7.2455460561495464</v>
      </c>
      <c r="EN279" s="4" t="e">
        <f t="shared" si="1092"/>
        <v>#REF!</v>
      </c>
      <c r="EO279" s="4" t="e">
        <f t="shared" si="1093"/>
        <v>#REF!</v>
      </c>
      <c r="EP279" s="4" t="e">
        <f t="shared" si="951"/>
        <v>#REF!</v>
      </c>
      <c r="EQ279" s="4" t="e">
        <f t="shared" si="1094"/>
        <v>#REF!</v>
      </c>
      <c r="ER279" s="4" t="e">
        <f t="shared" si="952"/>
        <v>#REF!</v>
      </c>
      <c r="FA279" s="23" t="e">
        <f t="shared" si="1042"/>
        <v>#REF!</v>
      </c>
      <c r="FB279" s="23" t="e">
        <f t="shared" si="1043"/>
        <v>#REF!</v>
      </c>
      <c r="FC279" s="23">
        <f t="shared" si="981"/>
        <v>2</v>
      </c>
      <c r="FD279" s="23" t="e">
        <f t="shared" si="1044"/>
        <v>#REF!</v>
      </c>
      <c r="FE279" s="23">
        <f t="shared" si="1045"/>
        <v>1.2</v>
      </c>
      <c r="FF279" s="23">
        <f t="shared" si="1046"/>
        <v>1.2</v>
      </c>
      <c r="FG279" s="23">
        <f t="shared" si="968"/>
        <v>0</v>
      </c>
      <c r="FH279" s="23"/>
      <c r="FR279" s="4">
        <f t="shared" si="1122"/>
        <v>1.25</v>
      </c>
      <c r="FS279" s="4">
        <f t="shared" si="1123"/>
        <v>0.75</v>
      </c>
      <c r="FT279" s="4">
        <f t="shared" si="1124"/>
        <v>0</v>
      </c>
      <c r="FU279" s="4">
        <f t="shared" si="1125"/>
        <v>300.49607209536441</v>
      </c>
    </row>
    <row r="280" spans="2:177" ht="12" customHeight="1" x14ac:dyDescent="0.3">
      <c r="B280" s="24"/>
      <c r="C280" s="7" t="s">
        <v>414</v>
      </c>
      <c r="D280" s="38">
        <f t="shared" si="1101"/>
        <v>889.65517241379314</v>
      </c>
      <c r="E280" s="38">
        <f>10.25*25.4</f>
        <v>260.34999999999997</v>
      </c>
      <c r="F280" s="38">
        <f>8260/145</f>
        <v>56.96551724137931</v>
      </c>
      <c r="G280" s="38">
        <f t="shared" si="1016"/>
        <v>25.4</v>
      </c>
      <c r="H280" s="38">
        <f>16*25.4</f>
        <v>406.4</v>
      </c>
      <c r="I280" s="38">
        <f>2.45*25.4</f>
        <v>62.230000000000004</v>
      </c>
      <c r="J280" s="39">
        <f>(4+3.3+3.3)/3*25.4</f>
        <v>89.746666666666655</v>
      </c>
      <c r="K280" s="7">
        <f t="shared" si="986"/>
        <v>102.86999999999999</v>
      </c>
      <c r="L280" s="38">
        <v>3</v>
      </c>
      <c r="M280" s="4">
        <f t="shared" si="1028"/>
        <v>260.34999999999997</v>
      </c>
      <c r="N280" s="7">
        <f t="shared" si="905"/>
        <v>2.5249999999999999</v>
      </c>
      <c r="O280" s="7">
        <f t="shared" si="906"/>
        <v>2.95</v>
      </c>
      <c r="P280" s="38">
        <v>4.0999999999999996</v>
      </c>
      <c r="Q280" s="4">
        <f t="shared" si="1017"/>
        <v>4.0999999999999996</v>
      </c>
      <c r="R280" s="4">
        <f t="shared" si="907"/>
        <v>5.0999999999999996</v>
      </c>
      <c r="S280" s="7">
        <f t="shared" si="908"/>
        <v>57.361276136431961</v>
      </c>
      <c r="V280" s="38">
        <f t="shared" si="1054"/>
        <v>522.75862068965523</v>
      </c>
      <c r="W280" s="4">
        <v>75.8</v>
      </c>
      <c r="X280" s="4">
        <f t="shared" si="910"/>
        <v>0.95166687424883689</v>
      </c>
      <c r="Y280" s="38">
        <f t="shared" ref="Y280" si="1139">0.375*25.4</f>
        <v>9.5249999999999986</v>
      </c>
      <c r="Z280" s="38">
        <v>2</v>
      </c>
      <c r="AA280" s="39">
        <f>3*25.4</f>
        <v>76.199999999999989</v>
      </c>
      <c r="AB280" s="39">
        <v>2</v>
      </c>
      <c r="AC280" s="39"/>
      <c r="AD280" s="7"/>
      <c r="AE280" s="4">
        <f t="shared" si="912"/>
        <v>260.34999999999997</v>
      </c>
      <c r="AF280" s="4">
        <f t="shared" si="913"/>
        <v>0.52032520325203269</v>
      </c>
      <c r="AG280" s="4">
        <f t="shared" si="914"/>
        <v>208.575755923034</v>
      </c>
      <c r="AH280" s="4">
        <f t="shared" si="915"/>
        <v>0.7575609756097561</v>
      </c>
      <c r="AI280" s="4">
        <v>1.25</v>
      </c>
      <c r="AJ280" s="4">
        <f t="shared" si="857"/>
        <v>2.5</v>
      </c>
      <c r="AK280" s="38">
        <f t="shared" si="988"/>
        <v>256.92496446438383</v>
      </c>
      <c r="AL280" s="38">
        <f t="shared" si="953"/>
        <v>256.92496446438383</v>
      </c>
      <c r="AM280" s="38">
        <f t="shared" si="916"/>
        <v>4.2706194667653463</v>
      </c>
      <c r="AN280" s="38">
        <f t="shared" si="858"/>
        <v>256.92496446438389</v>
      </c>
      <c r="AO280" s="38">
        <f t="shared" si="1115"/>
        <v>0.99999999999999978</v>
      </c>
      <c r="AP280" s="38">
        <f t="shared" si="859"/>
        <v>2.4198387861849078</v>
      </c>
      <c r="AQ280" s="4">
        <f t="shared" si="860"/>
        <v>0</v>
      </c>
      <c r="AR280" s="4" t="e">
        <f>#REF!/G280*F280^0.5/0.19</f>
        <v>#REF!</v>
      </c>
      <c r="AS280" s="4">
        <f t="shared" si="917"/>
        <v>1.0673267326732674</v>
      </c>
      <c r="AT280" s="38">
        <f t="shared" si="918"/>
        <v>621.71699415009527</v>
      </c>
      <c r="AU280" s="4">
        <f t="shared" si="919"/>
        <v>0.42600000000000005</v>
      </c>
      <c r="AV280" s="4" t="e">
        <f>AU280*D280*#REF!/(D280*G280/2.75/F280^0.5)</f>
        <v>#REF!</v>
      </c>
      <c r="AW280" s="4" t="e">
        <f t="shared" si="1068"/>
        <v>#REF!</v>
      </c>
      <c r="AY280" s="4">
        <f t="shared" si="920"/>
        <v>1.5</v>
      </c>
      <c r="AZ280" s="4" t="e">
        <f>(3*#REF!+30)*AY280*F280^0.5</f>
        <v>#REF!</v>
      </c>
      <c r="BB280" s="4">
        <f t="shared" si="921"/>
        <v>596.30262842397872</v>
      </c>
      <c r="BC280" s="4">
        <f t="shared" si="1103"/>
        <v>0</v>
      </c>
      <c r="BD280" s="4">
        <f t="shared" si="1069"/>
        <v>0</v>
      </c>
      <c r="BL280" s="4">
        <f t="shared" si="923"/>
        <v>51.434999999999995</v>
      </c>
      <c r="BP280" s="9"/>
      <c r="BR280" s="9"/>
      <c r="BS280" s="9"/>
      <c r="BT280" s="9">
        <f t="shared" si="924"/>
        <v>51.434999999999995</v>
      </c>
      <c r="BU280" s="9">
        <f t="shared" si="925"/>
        <v>62.230000000000004</v>
      </c>
      <c r="BV280" s="9">
        <f t="shared" si="926"/>
        <v>1.4642784548874435</v>
      </c>
      <c r="BW280" s="40">
        <f t="shared" si="1018"/>
        <v>20</v>
      </c>
      <c r="BX280" s="9">
        <f t="shared" si="927"/>
        <v>4.9087385212340517E-2</v>
      </c>
      <c r="BY280" s="9">
        <f t="shared" si="1070"/>
        <v>0.78174770424681028</v>
      </c>
      <c r="BZ280" s="9">
        <f t="shared" si="928"/>
        <v>0.99524931562137331</v>
      </c>
      <c r="CA280" s="9">
        <f t="shared" si="929"/>
        <v>0.68</v>
      </c>
      <c r="CB280" s="9">
        <f t="shared" si="930"/>
        <v>1.7877832632633699</v>
      </c>
      <c r="CC280" s="9">
        <f t="shared" si="931"/>
        <v>4.0154079761519297</v>
      </c>
      <c r="CD280" s="40">
        <v>1</v>
      </c>
      <c r="CE280" s="9" t="e">
        <f>4*CC280*#REF!+60*CC280</f>
        <v>#REF!</v>
      </c>
      <c r="CG280" s="4" t="e">
        <f t="shared" si="1071"/>
        <v>#REF!</v>
      </c>
      <c r="CH280" s="4" t="e">
        <f t="shared" si="1072"/>
        <v>#REF!</v>
      </c>
      <c r="CI280" s="4" t="e">
        <f t="shared" si="1073"/>
        <v>#REF!</v>
      </c>
      <c r="CJ280" s="4" t="e">
        <f t="shared" si="1074"/>
        <v>#REF!</v>
      </c>
      <c r="CK280" s="4">
        <f t="shared" si="1075"/>
        <v>0.95166687424883689</v>
      </c>
      <c r="CL280" s="4">
        <f t="shared" si="1076"/>
        <v>0.98254513569119484</v>
      </c>
      <c r="CM280" s="4">
        <f t="shared" si="978"/>
        <v>1.4016929584772584</v>
      </c>
      <c r="CN280" s="4">
        <f t="shared" si="1019"/>
        <v>2</v>
      </c>
      <c r="CU280" s="4" t="e">
        <f t="shared" ref="CU280" si="1140">CG280</f>
        <v>#REF!</v>
      </c>
      <c r="CV280" s="4" t="e">
        <f t="shared" ref="CV280" si="1141">CH280</f>
        <v>#REF!</v>
      </c>
      <c r="CW280" s="4" t="e">
        <f t="shared" ref="CW280" si="1142">CJ280</f>
        <v>#REF!</v>
      </c>
      <c r="CX280" s="4">
        <f t="shared" ref="CX280:CX282" si="1143">CM280</f>
        <v>1.4016929584772584</v>
      </c>
      <c r="CY280" s="4">
        <f t="shared" ref="CY280" si="1144">CK280</f>
        <v>0.95166687424883689</v>
      </c>
      <c r="CZ280" s="4">
        <f t="shared" ref="CZ280" si="1145">CL280</f>
        <v>0.98254513569119484</v>
      </c>
      <c r="DC280" s="4" t="e">
        <f>#REF!</f>
        <v>#REF!</v>
      </c>
      <c r="DF280" s="4">
        <f t="shared" si="932"/>
        <v>2.1841835201299478E-5</v>
      </c>
      <c r="DG280" s="4">
        <f t="shared" si="1083"/>
        <v>9.0315443012169894</v>
      </c>
      <c r="DH280" s="4">
        <f t="shared" si="934"/>
        <v>0.24552520632159011</v>
      </c>
      <c r="DI280" s="4">
        <f t="shared" si="1084"/>
        <v>5.1499196176140778</v>
      </c>
      <c r="DJ280" s="4">
        <f t="shared" si="1085"/>
        <v>7.3533737732352842</v>
      </c>
      <c r="DK280" s="4">
        <f t="shared" si="937"/>
        <v>8.4069859193153622</v>
      </c>
      <c r="DL280" s="38">
        <f t="shared" si="938"/>
        <v>549.3084133061534</v>
      </c>
      <c r="DM280" s="4" t="e">
        <f t="shared" si="1086"/>
        <v>#REF!</v>
      </c>
      <c r="DN280" s="4">
        <f t="shared" si="940"/>
        <v>2.2583179581272428</v>
      </c>
      <c r="DO280" s="4">
        <f t="shared" si="976"/>
        <v>256.92496446438389</v>
      </c>
      <c r="DS280" s="4">
        <f t="shared" si="941"/>
        <v>0.85</v>
      </c>
      <c r="DT280" s="4">
        <f t="shared" si="942"/>
        <v>0.89749999999999996</v>
      </c>
      <c r="DU280" s="4">
        <f t="shared" si="943"/>
        <v>1</v>
      </c>
      <c r="DV280" s="4">
        <f t="shared" si="1087"/>
        <v>0.89749999999999996</v>
      </c>
      <c r="DX280" s="4">
        <f t="shared" si="945"/>
        <v>532.04540096970527</v>
      </c>
      <c r="DY280" s="25">
        <f t="shared" ref="DY280:DY343" si="1146">13.3*H280*E280^0.5*F280^0.5/L280/G280^2*(0.7+I280/5/E280)</f>
        <v>254.32541370728282</v>
      </c>
      <c r="EA280" s="4">
        <f t="shared" ref="EA280:EA343" si="1147">DS280*DV280</f>
        <v>0.76287499999999997</v>
      </c>
      <c r="EB280" s="4">
        <f t="shared" si="946"/>
        <v>9.0315443012169894</v>
      </c>
      <c r="EE280" s="4">
        <f t="shared" si="947"/>
        <v>57.361276136431961</v>
      </c>
      <c r="EF280" s="4">
        <f t="shared" si="1088"/>
        <v>2.2583179581272428</v>
      </c>
      <c r="EG280" s="4">
        <f t="shared" si="949"/>
        <v>0.10132984366371672</v>
      </c>
      <c r="EJ280" s="4">
        <f t="shared" si="1089"/>
        <v>0.10132984366371672</v>
      </c>
      <c r="EK280" s="4">
        <f t="shared" si="950"/>
        <v>0.24511547051191737</v>
      </c>
      <c r="EL280" s="4">
        <f t="shared" si="1090"/>
        <v>5.1464801926043178</v>
      </c>
      <c r="EM280" s="4">
        <f t="shared" si="1091"/>
        <v>7.3521768503320528</v>
      </c>
      <c r="EN280" s="4" t="e">
        <f t="shared" si="1092"/>
        <v>#REF!</v>
      </c>
      <c r="EO280" s="4" t="e">
        <f t="shared" si="1093"/>
        <v>#REF!</v>
      </c>
      <c r="EP280" s="4" t="e">
        <f t="shared" si="951"/>
        <v>#REF!</v>
      </c>
      <c r="EQ280" s="4" t="e">
        <f t="shared" si="1094"/>
        <v>#REF!</v>
      </c>
      <c r="ER280" s="4" t="e">
        <f t="shared" si="952"/>
        <v>#REF!</v>
      </c>
      <c r="FA280" s="23" t="e">
        <f t="shared" si="1042"/>
        <v>#REF!</v>
      </c>
      <c r="FB280" s="23" t="e">
        <f t="shared" si="1043"/>
        <v>#REF!</v>
      </c>
      <c r="FC280" s="23">
        <f t="shared" si="981"/>
        <v>1.6</v>
      </c>
      <c r="FD280" s="23" t="e">
        <f t="shared" si="1044"/>
        <v>#REF!</v>
      </c>
      <c r="FE280" s="23">
        <f t="shared" si="1045"/>
        <v>1</v>
      </c>
      <c r="FF280" s="23">
        <f t="shared" si="1046"/>
        <v>1</v>
      </c>
      <c r="FG280" s="23">
        <f t="shared" si="968"/>
        <v>0</v>
      </c>
      <c r="FH280" s="23"/>
      <c r="FR280" s="4">
        <f t="shared" si="1122"/>
        <v>1.25</v>
      </c>
      <c r="FS280" s="4">
        <f t="shared" si="1123"/>
        <v>0.60232558139534875</v>
      </c>
      <c r="FT280" s="4">
        <f t="shared" si="1124"/>
        <v>0.18749999999999997</v>
      </c>
      <c r="FU280" s="4">
        <f t="shared" si="1125"/>
        <v>372.94802512067884</v>
      </c>
    </row>
    <row r="281" spans="2:177" ht="12" customHeight="1" x14ac:dyDescent="0.3">
      <c r="B281" s="24"/>
      <c r="C281" s="7" t="s">
        <v>415</v>
      </c>
      <c r="D281" s="38">
        <f t="shared" si="1101"/>
        <v>889.65517241379314</v>
      </c>
      <c r="E281" s="38">
        <f>9.79*25.4</f>
        <v>248.66599999999997</v>
      </c>
      <c r="F281" s="38">
        <f>8260/145</f>
        <v>56.96551724137931</v>
      </c>
      <c r="G281" s="38">
        <f t="shared" si="1016"/>
        <v>25.4</v>
      </c>
      <c r="H281" s="38">
        <f>15.3*25.4</f>
        <v>388.62</v>
      </c>
      <c r="I281" s="38">
        <f>2.4*25.4</f>
        <v>60.959999999999994</v>
      </c>
      <c r="J281" s="39">
        <f>(3.6+3.4+3.2)/3*25.4</f>
        <v>86.36</v>
      </c>
      <c r="K281" s="7">
        <f t="shared" si="986"/>
        <v>95.250000000000014</v>
      </c>
      <c r="L281" s="38">
        <v>3</v>
      </c>
      <c r="M281" s="4">
        <f t="shared" si="1028"/>
        <v>260.34999999999997</v>
      </c>
      <c r="N281" s="7">
        <f t="shared" si="905"/>
        <v>2.3750000000000004</v>
      </c>
      <c r="O281" s="7">
        <f t="shared" si="906"/>
        <v>2.9</v>
      </c>
      <c r="P281" s="38">
        <v>4.0999999999999996</v>
      </c>
      <c r="Q281" s="4">
        <f t="shared" si="1017"/>
        <v>4.0999999999999996</v>
      </c>
      <c r="R281" s="4">
        <f t="shared" si="907"/>
        <v>5.0999999999999996</v>
      </c>
      <c r="S281" s="7">
        <f t="shared" si="908"/>
        <v>57.361276136431961</v>
      </c>
      <c r="V281" s="38">
        <f t="shared" si="1054"/>
        <v>489.65517241379314</v>
      </c>
      <c r="W281" s="4">
        <v>71</v>
      </c>
      <c r="X281" s="4">
        <f t="shared" si="910"/>
        <v>0.94979047422646845</v>
      </c>
      <c r="Y281" s="38">
        <f t="shared" ref="Y281:Y290" si="1148">0.375*25.4</f>
        <v>9.5249999999999986</v>
      </c>
      <c r="Z281" s="38">
        <v>4</v>
      </c>
      <c r="AA281" s="39">
        <f>5*25.4</f>
        <v>127</v>
      </c>
      <c r="AB281" s="39">
        <v>2</v>
      </c>
      <c r="AC281" s="39">
        <v>1</v>
      </c>
      <c r="AD281" s="7"/>
      <c r="AE281" s="4">
        <f t="shared" si="912"/>
        <v>248.66599999999997</v>
      </c>
      <c r="AF281" s="4">
        <f t="shared" si="913"/>
        <v>0.52093973442288066</v>
      </c>
      <c r="AG281" s="4">
        <f t="shared" si="914"/>
        <v>194.69377496943841</v>
      </c>
      <c r="AH281" s="4">
        <f t="shared" si="915"/>
        <v>0.75924412665985697</v>
      </c>
      <c r="AI281" s="4">
        <v>1.25</v>
      </c>
      <c r="AJ281" s="4">
        <f t="shared" si="857"/>
        <v>2.5</v>
      </c>
      <c r="AK281" s="38">
        <f t="shared" si="988"/>
        <v>240.64176973575979</v>
      </c>
      <c r="AL281" s="38">
        <f t="shared" si="953"/>
        <v>240.64176973575979</v>
      </c>
      <c r="AM281" s="38">
        <f t="shared" si="916"/>
        <v>4.2706194667653463</v>
      </c>
      <c r="AN281" s="38">
        <f t="shared" si="858"/>
        <v>240.64176973575968</v>
      </c>
      <c r="AO281" s="38">
        <f t="shared" si="1115"/>
        <v>1.0000000000000004</v>
      </c>
      <c r="AP281" s="38">
        <f t="shared" si="859"/>
        <v>2.478126681673158</v>
      </c>
      <c r="AQ281" s="4">
        <f t="shared" si="860"/>
        <v>0</v>
      </c>
      <c r="AR281" s="4" t="e">
        <f>#REF!/G281*F281^0.5/0.19</f>
        <v>#REF!</v>
      </c>
      <c r="AS281" s="4">
        <f t="shared" si="917"/>
        <v>1.088421052631579</v>
      </c>
      <c r="AT281" s="38">
        <f t="shared" si="918"/>
        <v>596.34079030723433</v>
      </c>
      <c r="AU281" s="4">
        <f t="shared" si="919"/>
        <v>0.42600000000000005</v>
      </c>
      <c r="AV281" s="4" t="e">
        <f>AU281*D281*#REF!/(D281*G281/2.75/F281^0.5)</f>
        <v>#REF!</v>
      </c>
      <c r="AW281" s="4" t="e">
        <f t="shared" si="1068"/>
        <v>#REF!</v>
      </c>
      <c r="AY281" s="4">
        <f t="shared" si="920"/>
        <v>1.5</v>
      </c>
      <c r="AZ281" s="4" t="e">
        <f>(3*#REF!+30)*AY281*F281^0.5</f>
        <v>#REF!</v>
      </c>
      <c r="BB281" s="4">
        <f t="shared" si="921"/>
        <v>571.96374563116331</v>
      </c>
      <c r="BC281" s="4">
        <f t="shared" si="1103"/>
        <v>0</v>
      </c>
      <c r="BD281" s="4">
        <f t="shared" si="1069"/>
        <v>0</v>
      </c>
      <c r="BL281" s="4">
        <f t="shared" si="923"/>
        <v>47.625000000000007</v>
      </c>
      <c r="BP281" s="9"/>
      <c r="BR281" s="9"/>
      <c r="BS281" s="9"/>
      <c r="BT281" s="9">
        <f t="shared" si="924"/>
        <v>47.625000000000007</v>
      </c>
      <c r="BU281" s="9">
        <f t="shared" si="925"/>
        <v>60.959999999999994</v>
      </c>
      <c r="BV281" s="9">
        <f t="shared" si="926"/>
        <v>1.4209609120759505</v>
      </c>
      <c r="BW281" s="40">
        <f t="shared" si="1018"/>
        <v>20</v>
      </c>
      <c r="BX281" s="9">
        <f t="shared" si="927"/>
        <v>0.05</v>
      </c>
      <c r="BY281" s="9">
        <f t="shared" si="1070"/>
        <v>0.8</v>
      </c>
      <c r="BZ281" s="9">
        <f t="shared" si="928"/>
        <v>0.99524931562137331</v>
      </c>
      <c r="CA281" s="9">
        <f t="shared" si="929"/>
        <v>0.68</v>
      </c>
      <c r="CB281" s="9">
        <f t="shared" si="930"/>
        <v>1.7877832632633699</v>
      </c>
      <c r="CC281" s="9">
        <f t="shared" si="931"/>
        <v>3.9705967469715331</v>
      </c>
      <c r="CD281" s="40">
        <v>1</v>
      </c>
      <c r="CE281" s="9" t="e">
        <f>4*CC281*#REF!+60*CC281</f>
        <v>#REF!</v>
      </c>
      <c r="CG281" s="4" t="e">
        <f t="shared" si="1071"/>
        <v>#REF!</v>
      </c>
      <c r="CH281" s="4" t="e">
        <f t="shared" si="1072"/>
        <v>#REF!</v>
      </c>
      <c r="CI281" s="4" t="e">
        <f t="shared" si="1073"/>
        <v>#REF!</v>
      </c>
      <c r="CJ281" s="4" t="e">
        <f t="shared" si="1074"/>
        <v>#REF!</v>
      </c>
      <c r="CK281" s="4">
        <f t="shared" si="1075"/>
        <v>0.94979047422646845</v>
      </c>
      <c r="CL281" s="4">
        <f t="shared" si="1076"/>
        <v>0.97651110382324768</v>
      </c>
      <c r="CM281" s="4">
        <f t="shared" si="978"/>
        <v>1.4064662597202062</v>
      </c>
      <c r="CN281" s="4">
        <f t="shared" si="1019"/>
        <v>4</v>
      </c>
      <c r="CU281" s="4" t="e">
        <f t="shared" ref="CU281:CU282" si="1149">CG281</f>
        <v>#REF!</v>
      </c>
      <c r="CV281" s="4" t="e">
        <f t="shared" ref="CV281:CV282" si="1150">CH281</f>
        <v>#REF!</v>
      </c>
      <c r="CW281" s="4" t="e">
        <f t="shared" ref="CW281:CW282" si="1151">CJ281</f>
        <v>#REF!</v>
      </c>
      <c r="CX281" s="4">
        <f t="shared" si="1143"/>
        <v>1.4064662597202062</v>
      </c>
      <c r="CY281" s="4">
        <f t="shared" ref="CY281:CY282" si="1152">CK281</f>
        <v>0.94979047422646845</v>
      </c>
      <c r="CZ281" s="4">
        <f t="shared" ref="CZ281:CZ282" si="1153">CL281</f>
        <v>0.97651110382324768</v>
      </c>
      <c r="DC281" s="4" t="e">
        <f>#REF!</f>
        <v>#REF!</v>
      </c>
      <c r="DF281" s="4">
        <f t="shared" si="932"/>
        <v>2.0861616255680189E-5</v>
      </c>
      <c r="DG281" s="4">
        <f t="shared" si="1083"/>
        <v>8.9671475677266113</v>
      </c>
      <c r="DH281" s="4">
        <f t="shared" si="934"/>
        <v>0.22996449678269945</v>
      </c>
      <c r="DI281" s="4">
        <f t="shared" si="1084"/>
        <v>4.9810239934527845</v>
      </c>
      <c r="DJ281" s="4">
        <f t="shared" si="1085"/>
        <v>7.2554065540111337</v>
      </c>
      <c r="DK281" s="4">
        <f t="shared" si="937"/>
        <v>8.4118750908213116</v>
      </c>
      <c r="DL281" s="38">
        <f t="shared" si="938"/>
        <v>515.54020144556591</v>
      </c>
      <c r="DM281" s="4" t="e">
        <f t="shared" si="1086"/>
        <v>#REF!</v>
      </c>
      <c r="DN281" s="4">
        <f t="shared" si="940"/>
        <v>2.2583179581272428</v>
      </c>
      <c r="DO281" s="4">
        <f t="shared" si="976"/>
        <v>240.64176973575968</v>
      </c>
      <c r="DS281" s="4">
        <f t="shared" si="941"/>
        <v>0.85</v>
      </c>
      <c r="DT281" s="4">
        <f t="shared" si="942"/>
        <v>0.91249999999999998</v>
      </c>
      <c r="DU281" s="4">
        <f t="shared" si="943"/>
        <v>0.99062499999999998</v>
      </c>
      <c r="DV281" s="4">
        <f t="shared" si="1087"/>
        <v>0.90394531249999999</v>
      </c>
      <c r="DX281" s="4">
        <f t="shared" si="945"/>
        <v>501.43328682765559</v>
      </c>
      <c r="DY281" s="25">
        <f t="shared" si="1146"/>
        <v>238.06816276352504</v>
      </c>
      <c r="EA281" s="4">
        <f t="shared" si="1147"/>
        <v>0.76835351562499998</v>
      </c>
      <c r="EB281" s="4">
        <f t="shared" si="946"/>
        <v>8.9671475677266113</v>
      </c>
      <c r="EE281" s="4">
        <f t="shared" si="947"/>
        <v>57.361276136431961</v>
      </c>
      <c r="EF281" s="4">
        <f t="shared" si="1088"/>
        <v>2.2583179581272428</v>
      </c>
      <c r="EG281" s="4">
        <f t="shared" si="949"/>
        <v>9.4907838002892445E-2</v>
      </c>
      <c r="EJ281" s="4">
        <f t="shared" si="1089"/>
        <v>9.4907838002892445E-2</v>
      </c>
      <c r="EK281" s="4">
        <f t="shared" si="950"/>
        <v>0.22958072889712505</v>
      </c>
      <c r="EL281" s="4">
        <f t="shared" si="1090"/>
        <v>4.9776973670645397</v>
      </c>
      <c r="EM281" s="4">
        <f t="shared" si="1091"/>
        <v>7.2542727905675264</v>
      </c>
      <c r="EN281" s="4" t="e">
        <f t="shared" si="1092"/>
        <v>#REF!</v>
      </c>
      <c r="EO281" s="4" t="e">
        <f t="shared" si="1093"/>
        <v>#REF!</v>
      </c>
      <c r="EP281" s="4" t="e">
        <f t="shared" si="951"/>
        <v>#REF!</v>
      </c>
      <c r="EQ281" s="4" t="e">
        <f t="shared" si="1094"/>
        <v>#REF!</v>
      </c>
      <c r="ER281" s="4" t="e">
        <f t="shared" si="952"/>
        <v>#REF!</v>
      </c>
      <c r="FA281" s="23" t="e">
        <f t="shared" si="1042"/>
        <v>#REF!</v>
      </c>
      <c r="FB281" s="23" t="e">
        <f t="shared" si="1043"/>
        <v>#REF!</v>
      </c>
      <c r="FC281" s="23">
        <f t="shared" si="981"/>
        <v>1.6</v>
      </c>
      <c r="FD281" s="23" t="e">
        <f t="shared" si="1044"/>
        <v>#REF!</v>
      </c>
      <c r="FE281" s="23">
        <f t="shared" si="1045"/>
        <v>1</v>
      </c>
      <c r="FF281" s="23">
        <f t="shared" si="1046"/>
        <v>1</v>
      </c>
      <c r="FG281" s="23">
        <f t="shared" si="968"/>
        <v>0</v>
      </c>
      <c r="FH281" s="23"/>
      <c r="FR281" s="4">
        <f t="shared" si="1122"/>
        <v>1.25</v>
      </c>
      <c r="FS281" s="4">
        <f t="shared" si="1123"/>
        <v>0.61627906976744196</v>
      </c>
      <c r="FT281" s="4">
        <f t="shared" si="1124"/>
        <v>0.18749999999999997</v>
      </c>
      <c r="FU281" s="4">
        <f t="shared" si="1125"/>
        <v>348.14569423883808</v>
      </c>
    </row>
    <row r="282" spans="2:177" ht="12" customHeight="1" x14ac:dyDescent="0.3">
      <c r="B282" s="24"/>
      <c r="C282" s="7" t="s">
        <v>416</v>
      </c>
      <c r="D282" s="38">
        <f t="shared" si="1101"/>
        <v>889.65517241379314</v>
      </c>
      <c r="E282" s="38">
        <f>10*25.4</f>
        <v>254</v>
      </c>
      <c r="F282" s="38">
        <f>8260/145</f>
        <v>56.96551724137931</v>
      </c>
      <c r="G282" s="38">
        <f t="shared" si="1016"/>
        <v>25.4</v>
      </c>
      <c r="H282" s="38">
        <f>16*25.4</f>
        <v>406.4</v>
      </c>
      <c r="I282" s="38">
        <f>2.45*25.4</f>
        <v>62.230000000000004</v>
      </c>
      <c r="J282" s="39">
        <f>(3.2+3.1+2.9)/3*25.4</f>
        <v>77.893333333333331</v>
      </c>
      <c r="K282" s="7">
        <f t="shared" si="986"/>
        <v>102.86999999999999</v>
      </c>
      <c r="L282" s="38">
        <v>3</v>
      </c>
      <c r="M282" s="4">
        <f t="shared" si="1028"/>
        <v>260.34999999999997</v>
      </c>
      <c r="N282" s="7">
        <f t="shared" si="905"/>
        <v>2.5249999999999999</v>
      </c>
      <c r="O282" s="7">
        <f t="shared" si="906"/>
        <v>2.95</v>
      </c>
      <c r="P282" s="38">
        <v>4.0999999999999996</v>
      </c>
      <c r="Q282" s="4">
        <f t="shared" si="1017"/>
        <v>4.0999999999999996</v>
      </c>
      <c r="R282" s="4">
        <f t="shared" si="907"/>
        <v>5.0999999999999996</v>
      </c>
      <c r="S282" s="7">
        <f t="shared" si="908"/>
        <v>57.361276136431961</v>
      </c>
      <c r="V282" s="38">
        <f t="shared" si="1054"/>
        <v>571.72413793103453</v>
      </c>
      <c r="W282" s="4">
        <v>82.9</v>
      </c>
      <c r="X282" s="4">
        <f t="shared" si="910"/>
        <v>1.0555684263285166</v>
      </c>
      <c r="Y282" s="38">
        <f t="shared" si="1148"/>
        <v>9.5249999999999986</v>
      </c>
      <c r="Z282" s="38">
        <v>4</v>
      </c>
      <c r="AA282" s="39">
        <f>5*25.4</f>
        <v>127</v>
      </c>
      <c r="AB282" s="39">
        <f>2+2</f>
        <v>4</v>
      </c>
      <c r="AC282" s="39">
        <v>1</v>
      </c>
      <c r="AD282" s="7"/>
      <c r="AE282" s="4">
        <f t="shared" si="912"/>
        <v>254</v>
      </c>
      <c r="AF282" s="4">
        <f t="shared" si="913"/>
        <v>0.53333333333333333</v>
      </c>
      <c r="AG282" s="4">
        <f t="shared" si="914"/>
        <v>200.9916558719431</v>
      </c>
      <c r="AH282" s="4">
        <f t="shared" si="915"/>
        <v>0.75900000000000001</v>
      </c>
      <c r="AI282" s="4">
        <v>1.25</v>
      </c>
      <c r="AJ282" s="4">
        <f t="shared" ref="AJ282:AJ345" si="1154">AJ281</f>
        <v>2.5</v>
      </c>
      <c r="AK282" s="38">
        <f t="shared" si="988"/>
        <v>254.25444467800804</v>
      </c>
      <c r="AL282" s="38">
        <f t="shared" si="953"/>
        <v>254.25444467800804</v>
      </c>
      <c r="AM282" s="38">
        <f t="shared" si="916"/>
        <v>4.2706194667653463</v>
      </c>
      <c r="AN282" s="38">
        <f t="shared" si="858"/>
        <v>254.25444467800801</v>
      </c>
      <c r="AO282" s="38">
        <f t="shared" si="1115"/>
        <v>1.0000000000000002</v>
      </c>
      <c r="AP282" s="38">
        <f t="shared" si="859"/>
        <v>2.4452551653028047</v>
      </c>
      <c r="AQ282" s="4">
        <f t="shared" si="860"/>
        <v>0</v>
      </c>
      <c r="AR282" s="4" t="e">
        <f>#REF!/G282*F282^0.5/0.19</f>
        <v>#REF!</v>
      </c>
      <c r="AS282" s="4">
        <f t="shared" si="917"/>
        <v>1.0673267326732674</v>
      </c>
      <c r="AT282" s="38">
        <f t="shared" si="918"/>
        <v>621.71699415009527</v>
      </c>
      <c r="AU282" s="4">
        <f t="shared" si="919"/>
        <v>0.42600000000000005</v>
      </c>
      <c r="AV282" s="4" t="e">
        <f>AU282*D282*#REF!/(D282*G282/2.75/F282^0.5)</f>
        <v>#REF!</v>
      </c>
      <c r="AW282" s="4" t="e">
        <f t="shared" si="1068"/>
        <v>#REF!</v>
      </c>
      <c r="AY282" s="4">
        <f t="shared" si="920"/>
        <v>1.5</v>
      </c>
      <c r="AZ282" s="4" t="e">
        <f>(3*#REF!+30)*AY282*F282^0.5</f>
        <v>#REF!</v>
      </c>
      <c r="BB282" s="4">
        <f t="shared" si="921"/>
        <v>596.30262842397872</v>
      </c>
      <c r="BC282" s="4">
        <f t="shared" si="1103"/>
        <v>0</v>
      </c>
      <c r="BD282" s="4">
        <f t="shared" si="1069"/>
        <v>0</v>
      </c>
      <c r="BL282" s="4">
        <f t="shared" si="923"/>
        <v>51.434999999999995</v>
      </c>
      <c r="BP282" s="9"/>
      <c r="BR282" s="9"/>
      <c r="BS282" s="9"/>
      <c r="BT282" s="9">
        <f t="shared" si="924"/>
        <v>51.434999999999995</v>
      </c>
      <c r="BU282" s="9">
        <f t="shared" si="925"/>
        <v>62.230000000000004</v>
      </c>
      <c r="BV282" s="9">
        <f t="shared" si="926"/>
        <v>1.4642784548874435</v>
      </c>
      <c r="BW282" s="40">
        <f t="shared" si="1018"/>
        <v>20</v>
      </c>
      <c r="BX282" s="9">
        <f t="shared" si="927"/>
        <v>0.05</v>
      </c>
      <c r="BY282" s="9">
        <f t="shared" si="1070"/>
        <v>0.8</v>
      </c>
      <c r="BZ282" s="9">
        <f t="shared" si="928"/>
        <v>0.99524931562137331</v>
      </c>
      <c r="CA282" s="9">
        <f t="shared" si="929"/>
        <v>0.68</v>
      </c>
      <c r="CB282" s="9">
        <f t="shared" si="930"/>
        <v>1.7877832632633699</v>
      </c>
      <c r="CC282" s="9">
        <f t="shared" si="931"/>
        <v>4.048039125015614</v>
      </c>
      <c r="CD282" s="40">
        <v>1</v>
      </c>
      <c r="CE282" s="9" t="e">
        <f>4*CC282*#REF!+60*CC282</f>
        <v>#REF!</v>
      </c>
      <c r="CG282" s="4" t="e">
        <f t="shared" si="1071"/>
        <v>#REF!</v>
      </c>
      <c r="CH282" s="4" t="e">
        <f t="shared" si="1072"/>
        <v>#REF!</v>
      </c>
      <c r="CI282" s="4" t="e">
        <f t="shared" si="1073"/>
        <v>#REF!</v>
      </c>
      <c r="CJ282" s="4" t="e">
        <f t="shared" si="1074"/>
        <v>#REF!</v>
      </c>
      <c r="CK282" s="4">
        <f t="shared" si="1075"/>
        <v>1.0555684263285166</v>
      </c>
      <c r="CL282" s="4">
        <f t="shared" si="1076"/>
        <v>1.0887563493315389</v>
      </c>
      <c r="CM282" s="4">
        <f t="shared" si="978"/>
        <v>1.500601767058964</v>
      </c>
      <c r="CN282" s="4">
        <f t="shared" si="1019"/>
        <v>4</v>
      </c>
      <c r="CU282" s="4" t="e">
        <f t="shared" si="1149"/>
        <v>#REF!</v>
      </c>
      <c r="CV282" s="4" t="e">
        <f t="shared" si="1150"/>
        <v>#REF!</v>
      </c>
      <c r="CW282" s="4" t="e">
        <f t="shared" si="1151"/>
        <v>#REF!</v>
      </c>
      <c r="CX282" s="4">
        <f t="shared" si="1143"/>
        <v>1.500601767058964</v>
      </c>
      <c r="CY282" s="4">
        <f t="shared" si="1152"/>
        <v>1.0555684263285166</v>
      </c>
      <c r="CZ282" s="4">
        <f t="shared" si="1153"/>
        <v>1.0887563493315389</v>
      </c>
      <c r="DC282" s="4" t="e">
        <f>#REF!</f>
        <v>#REF!</v>
      </c>
      <c r="DF282" s="4">
        <f t="shared" si="932"/>
        <v>2.1309107513462914E-5</v>
      </c>
      <c r="DG282" s="4">
        <f t="shared" si="1083"/>
        <v>9.1170163293042155</v>
      </c>
      <c r="DH282" s="4">
        <f t="shared" si="934"/>
        <v>0.24297317747183342</v>
      </c>
      <c r="DI282" s="4">
        <f t="shared" si="1084"/>
        <v>5.1769749783827637</v>
      </c>
      <c r="DJ282" s="4">
        <f t="shared" si="1085"/>
        <v>7.4154291454372627</v>
      </c>
      <c r="DK282" s="4">
        <f t="shared" si="937"/>
        <v>8.5130035511370519</v>
      </c>
      <c r="DL282" s="38">
        <f t="shared" si="938"/>
        <v>541.6267895768807</v>
      </c>
      <c r="DM282" s="4" t="e">
        <f t="shared" si="1086"/>
        <v>#REF!</v>
      </c>
      <c r="DN282" s="4">
        <f t="shared" si="940"/>
        <v>2.2583179581272428</v>
      </c>
      <c r="DO282" s="4">
        <f t="shared" si="976"/>
        <v>254.25444467800801</v>
      </c>
      <c r="DS282" s="4">
        <f t="shared" si="941"/>
        <v>0.85</v>
      </c>
      <c r="DT282" s="4">
        <f t="shared" si="942"/>
        <v>0.89749999999999996</v>
      </c>
      <c r="DU282" s="4">
        <f t="shared" si="943"/>
        <v>0.99062499999999998</v>
      </c>
      <c r="DV282" s="4">
        <f t="shared" si="1087"/>
        <v>0.88908593749999998</v>
      </c>
      <c r="DX282" s="4">
        <f t="shared" si="945"/>
        <v>525.11669693779936</v>
      </c>
      <c r="DY282" s="25">
        <f t="shared" si="1146"/>
        <v>251.60620705867285</v>
      </c>
      <c r="EA282" s="4">
        <f t="shared" si="1147"/>
        <v>0.75572304687499992</v>
      </c>
      <c r="EB282" s="4">
        <f t="shared" si="946"/>
        <v>9.1170163293042155</v>
      </c>
      <c r="EE282" s="4">
        <f t="shared" si="947"/>
        <v>57.361276136431961</v>
      </c>
      <c r="EF282" s="4">
        <f t="shared" si="1088"/>
        <v>2.2583179581272428</v>
      </c>
      <c r="EG282" s="4">
        <f t="shared" si="949"/>
        <v>0.10027660482015607</v>
      </c>
      <c r="EJ282" s="4">
        <f t="shared" si="1089"/>
        <v>0.10027660482015607</v>
      </c>
      <c r="EK282" s="4">
        <f t="shared" si="950"/>
        <v>0.2425677005226774</v>
      </c>
      <c r="EL282" s="4">
        <f t="shared" si="1090"/>
        <v>5.1735174841813691</v>
      </c>
      <c r="EM282" s="4">
        <f t="shared" si="1091"/>
        <v>7.4142299063539356</v>
      </c>
      <c r="EN282" s="4" t="e">
        <f t="shared" si="1092"/>
        <v>#REF!</v>
      </c>
      <c r="EO282" s="4" t="e">
        <f t="shared" si="1093"/>
        <v>#REF!</v>
      </c>
      <c r="EP282" s="4" t="e">
        <f t="shared" si="951"/>
        <v>#REF!</v>
      </c>
      <c r="EQ282" s="4" t="e">
        <f t="shared" si="1094"/>
        <v>#REF!</v>
      </c>
      <c r="ER282" s="4" t="e">
        <f t="shared" si="952"/>
        <v>#REF!</v>
      </c>
      <c r="FA282" s="23" t="e">
        <f t="shared" si="1042"/>
        <v>#REF!</v>
      </c>
      <c r="FB282" s="23" t="e">
        <f t="shared" si="1043"/>
        <v>#REF!</v>
      </c>
      <c r="FC282" s="23">
        <f t="shared" si="981"/>
        <v>1.6</v>
      </c>
      <c r="FD282" s="23" t="e">
        <f t="shared" si="1044"/>
        <v>#REF!</v>
      </c>
      <c r="FE282" s="23">
        <f t="shared" si="1045"/>
        <v>1.2</v>
      </c>
      <c r="FF282" s="23">
        <f t="shared" si="1046"/>
        <v>1.2</v>
      </c>
      <c r="FG282" s="23">
        <f t="shared" si="968"/>
        <v>0</v>
      </c>
      <c r="FH282" s="23"/>
      <c r="FR282" s="4">
        <f t="shared" si="1122"/>
        <v>1.25</v>
      </c>
      <c r="FS282" s="4">
        <f t="shared" si="1123"/>
        <v>0.57522093023255816</v>
      </c>
      <c r="FT282" s="4">
        <f t="shared" si="1124"/>
        <v>0.3</v>
      </c>
      <c r="FU282" s="4">
        <f t="shared" si="1125"/>
        <v>380.99657782728002</v>
      </c>
    </row>
    <row r="283" spans="2:177" ht="12" customHeight="1" x14ac:dyDescent="0.3">
      <c r="B283" s="24" t="s">
        <v>417</v>
      </c>
      <c r="C283" s="7" t="s">
        <v>418</v>
      </c>
      <c r="D283" s="38">
        <f t="shared" si="1101"/>
        <v>889.65517241379314</v>
      </c>
      <c r="E283" s="38">
        <f>9.69*25.4</f>
        <v>246.12599999999998</v>
      </c>
      <c r="F283" s="38">
        <f>11760/145</f>
        <v>81.103448275862064</v>
      </c>
      <c r="G283" s="38">
        <f t="shared" si="1016"/>
        <v>25.4</v>
      </c>
      <c r="H283" s="38">
        <f>16.9*25.4</f>
        <v>429.25999999999993</v>
      </c>
      <c r="I283" s="38">
        <f>2.5*25.4</f>
        <v>63.5</v>
      </c>
      <c r="J283" s="39">
        <f>3.45*25.4</f>
        <v>87.63</v>
      </c>
      <c r="K283" s="7">
        <f t="shared" si="986"/>
        <v>251.45999999999992</v>
      </c>
      <c r="L283" s="38">
        <v>2</v>
      </c>
      <c r="M283" s="4">
        <f t="shared" si="1028"/>
        <v>260.34999999999997</v>
      </c>
      <c r="N283" s="7">
        <f t="shared" si="905"/>
        <v>3</v>
      </c>
      <c r="O283" s="7">
        <f t="shared" si="906"/>
        <v>3</v>
      </c>
      <c r="P283" s="38">
        <v>4.0999999999999996</v>
      </c>
      <c r="Q283" s="4">
        <f t="shared" si="1017"/>
        <v>4.0999999999999996</v>
      </c>
      <c r="R283" s="4">
        <f t="shared" si="907"/>
        <v>5.0999999999999996</v>
      </c>
      <c r="S283" s="7">
        <f t="shared" si="908"/>
        <v>57.361276136431961</v>
      </c>
      <c r="V283" s="38">
        <f t="shared" si="1054"/>
        <v>626.89655172413802</v>
      </c>
      <c r="W283" s="4">
        <v>90.9</v>
      </c>
      <c r="X283" s="4">
        <f t="shared" si="910"/>
        <v>0.75449639049580097</v>
      </c>
      <c r="Y283" s="38"/>
      <c r="Z283" s="38"/>
      <c r="AA283" s="39">
        <v>1</v>
      </c>
      <c r="AB283" s="39"/>
      <c r="AC283" s="39"/>
      <c r="AD283" s="7"/>
      <c r="AE283" s="4">
        <f t="shared" si="912"/>
        <v>246.12599999999998</v>
      </c>
      <c r="AF283" s="4">
        <f t="shared" si="913"/>
        <v>0.58135534915720666</v>
      </c>
      <c r="AG283" s="4">
        <f t="shared" si="914"/>
        <v>343.13782172231606</v>
      </c>
      <c r="AH283" s="4">
        <f t="shared" si="915"/>
        <v>0.76191950464396285</v>
      </c>
      <c r="AI283" s="4">
        <v>1.25</v>
      </c>
      <c r="AJ283" s="4">
        <f t="shared" si="1154"/>
        <v>2.5</v>
      </c>
      <c r="AK283" s="38">
        <f t="shared" si="988"/>
        <v>474.9734956201147</v>
      </c>
      <c r="AL283" s="38">
        <f t="shared" si="953"/>
        <v>474.9734956201147</v>
      </c>
      <c r="AM283" s="38">
        <f t="shared" si="916"/>
        <v>4.8623877845559145</v>
      </c>
      <c r="AN283" s="38">
        <f t="shared" si="858"/>
        <v>474.97349562011482</v>
      </c>
      <c r="AO283" s="38">
        <f t="shared" si="1115"/>
        <v>0.99999999999999978</v>
      </c>
      <c r="AP283" s="38">
        <f t="shared" si="859"/>
        <v>2.0744984867380696</v>
      </c>
      <c r="AQ283" s="4">
        <f t="shared" si="860"/>
        <v>0</v>
      </c>
      <c r="AR283" s="4" t="e">
        <f>#REF!/G283*F283^0.5/0.19</f>
        <v>#REF!</v>
      </c>
      <c r="AS283" s="4">
        <f t="shared" si="917"/>
        <v>1</v>
      </c>
      <c r="AT283" s="38">
        <f t="shared" si="918"/>
        <v>985.33179790461941</v>
      </c>
      <c r="AU283" s="4">
        <f t="shared" si="919"/>
        <v>0.42600000000000005</v>
      </c>
      <c r="AV283" s="4" t="e">
        <f>AU283*D283*#REF!/(D283*G283/2.75/F283^0.5)</f>
        <v>#REF!</v>
      </c>
      <c r="AW283" s="4" t="e">
        <f t="shared" si="1068"/>
        <v>#REF!</v>
      </c>
      <c r="AY283" s="4">
        <f t="shared" si="920"/>
        <v>1.375</v>
      </c>
      <c r="AZ283" s="4" t="e">
        <f>(3*#REF!+30)*AY283*F283^0.5</f>
        <v>#REF!</v>
      </c>
      <c r="BB283" s="4">
        <f t="shared" si="921"/>
        <v>945.05369241748747</v>
      </c>
      <c r="BC283" s="4">
        <f t="shared" si="1103"/>
        <v>0</v>
      </c>
      <c r="BD283" s="4">
        <f t="shared" si="1069"/>
        <v>0</v>
      </c>
      <c r="BL283" s="4">
        <f t="shared" si="923"/>
        <v>63.5</v>
      </c>
      <c r="BP283" s="9"/>
      <c r="BR283" s="9"/>
      <c r="BS283" s="9"/>
      <c r="BT283" s="9">
        <f t="shared" si="924"/>
        <v>63.5</v>
      </c>
      <c r="BU283" s="9">
        <f t="shared" si="925"/>
        <v>125.72999999999996</v>
      </c>
      <c r="BV283" s="9">
        <f t="shared" si="926"/>
        <v>1.7517405482385959</v>
      </c>
      <c r="BW283" s="40">
        <f t="shared" si="1018"/>
        <v>0</v>
      </c>
      <c r="BX283" s="9">
        <f t="shared" si="927"/>
        <v>0</v>
      </c>
      <c r="BY283" s="9">
        <f t="shared" si="1070"/>
        <v>0</v>
      </c>
      <c r="BZ283" s="9">
        <f t="shared" si="928"/>
        <v>0.99524931562137331</v>
      </c>
      <c r="CA283" s="9">
        <f t="shared" si="929"/>
        <v>0.68</v>
      </c>
      <c r="CB283" s="9">
        <f t="shared" si="930"/>
        <v>2.1331849177195688</v>
      </c>
      <c r="CC283" s="9">
        <f t="shared" si="931"/>
        <v>3.7367865172603816</v>
      </c>
      <c r="CD283" s="40">
        <v>1</v>
      </c>
      <c r="CE283" s="9" t="e">
        <f>4*CC283*#REF!+60*CC283</f>
        <v>#REF!</v>
      </c>
      <c r="CG283" s="4" t="e">
        <f t="shared" si="1071"/>
        <v>#REF!</v>
      </c>
      <c r="CH283" s="4" t="e">
        <f t="shared" si="1072"/>
        <v>#REF!</v>
      </c>
      <c r="CI283" s="4" t="e">
        <f t="shared" si="1073"/>
        <v>#REF!</v>
      </c>
      <c r="CJ283" s="4" t="e">
        <f t="shared" si="1074"/>
        <v>#REF!</v>
      </c>
      <c r="CK283" s="4">
        <f t="shared" si="1075"/>
        <v>0.75449639049580097</v>
      </c>
      <c r="CL283" s="4">
        <f t="shared" si="1076"/>
        <v>0.78300596637240216</v>
      </c>
      <c r="CM283" s="4">
        <f t="shared" si="978"/>
        <v>1.0809846369960703</v>
      </c>
      <c r="CN283" s="4">
        <f t="shared" si="1019"/>
        <v>0</v>
      </c>
      <c r="CO283" s="4" t="e">
        <f t="shared" ref="CO283" si="1155">CG283</f>
        <v>#REF!</v>
      </c>
      <c r="CP283" s="4" t="e">
        <f t="shared" ref="CP283" si="1156">CH283</f>
        <v>#REF!</v>
      </c>
      <c r="CQ283" s="4" t="e">
        <f t="shared" ref="CQ283" si="1157">CJ283</f>
        <v>#REF!</v>
      </c>
      <c r="CR283" s="4">
        <f t="shared" ref="CR283" si="1158">CM283</f>
        <v>1.0809846369960703</v>
      </c>
      <c r="CS283" s="4">
        <f t="shared" ref="CS283" si="1159">CK283</f>
        <v>0.75449639049580097</v>
      </c>
      <c r="CT283" s="4">
        <f t="shared" ref="CT283" si="1160">CL283</f>
        <v>0.78300596637240216</v>
      </c>
      <c r="DC283" s="4" t="e">
        <f>#REF!</f>
        <v>#REF!</v>
      </c>
      <c r="DF283" s="4">
        <f t="shared" si="932"/>
        <v>2.3903025500369944E-5</v>
      </c>
      <c r="DG283" s="4">
        <f t="shared" si="1083"/>
        <v>11.378661693018476</v>
      </c>
      <c r="DH283" s="4">
        <f t="shared" si="934"/>
        <v>0.31880996013755275</v>
      </c>
      <c r="DI283" s="4">
        <f t="shared" si="1084"/>
        <v>7.2028428194447898</v>
      </c>
      <c r="DJ283" s="4">
        <f t="shared" si="1085"/>
        <v>9.5235891070744145</v>
      </c>
      <c r="DK283" s="4">
        <f t="shared" si="937"/>
        <v>10.322031386165987</v>
      </c>
      <c r="DL283" s="38">
        <f t="shared" si="938"/>
        <v>830.88078302427198</v>
      </c>
      <c r="DM283" s="4" t="e">
        <f t="shared" si="1086"/>
        <v>#REF!</v>
      </c>
      <c r="DN283" s="4">
        <f t="shared" si="940"/>
        <v>2.2583179581272428</v>
      </c>
      <c r="DO283" s="4">
        <f t="shared" si="976"/>
        <v>474.97349562011482</v>
      </c>
      <c r="DS283" s="4">
        <f t="shared" si="941"/>
        <v>0.85</v>
      </c>
      <c r="DT283" s="4">
        <f t="shared" si="942"/>
        <v>0.85</v>
      </c>
      <c r="DU283" s="4">
        <f t="shared" si="943"/>
        <v>1</v>
      </c>
      <c r="DV283" s="4">
        <f t="shared" si="1087"/>
        <v>0.85</v>
      </c>
      <c r="DX283" s="4">
        <f t="shared" si="945"/>
        <v>800.62806497949771</v>
      </c>
      <c r="DY283" s="25">
        <f t="shared" si="1146"/>
        <v>469.85036956345061</v>
      </c>
      <c r="EA283" s="4">
        <f t="shared" si="1147"/>
        <v>0.72249999999999992</v>
      </c>
      <c r="EB283" s="4">
        <f t="shared" si="946"/>
        <v>11.378661693018476</v>
      </c>
      <c r="EE283" s="4">
        <f t="shared" si="947"/>
        <v>57.361276136431961</v>
      </c>
      <c r="EF283" s="4">
        <f t="shared" si="1088"/>
        <v>2.2583179581272428</v>
      </c>
      <c r="EG283" s="4">
        <f t="shared" si="949"/>
        <v>0.15699535606871484</v>
      </c>
      <c r="EJ283" s="4">
        <f t="shared" si="1089"/>
        <v>0.15699535606871484</v>
      </c>
      <c r="EK283" s="4">
        <f t="shared" si="950"/>
        <v>0.31827792573218255</v>
      </c>
      <c r="EL283" s="4">
        <f t="shared" si="1090"/>
        <v>7.1980323292674591</v>
      </c>
      <c r="EM283" s="4">
        <f t="shared" si="1091"/>
        <v>9.5217760568927989</v>
      </c>
      <c r="EN283" s="4" t="e">
        <f t="shared" si="1092"/>
        <v>#REF!</v>
      </c>
      <c r="EO283" s="4" t="e">
        <f t="shared" si="1093"/>
        <v>#REF!</v>
      </c>
      <c r="EP283" s="4" t="e">
        <f t="shared" si="951"/>
        <v>#REF!</v>
      </c>
      <c r="EQ283" s="4" t="e">
        <f t="shared" si="1094"/>
        <v>#REF!</v>
      </c>
      <c r="ER283" s="4" t="e">
        <f t="shared" si="952"/>
        <v>#REF!</v>
      </c>
      <c r="FA283" s="23" t="e">
        <f t="shared" si="1042"/>
        <v>#REF!</v>
      </c>
      <c r="FB283" s="23" t="e">
        <f t="shared" si="1043"/>
        <v>#REF!</v>
      </c>
      <c r="FC283" s="23">
        <f t="shared" si="981"/>
        <v>1.2</v>
      </c>
      <c r="FD283" s="23" t="e">
        <f t="shared" si="1044"/>
        <v>#REF!</v>
      </c>
      <c r="FE283" s="23">
        <f t="shared" si="1045"/>
        <v>0.8</v>
      </c>
      <c r="FF283" s="23">
        <f t="shared" si="1046"/>
        <v>0.8</v>
      </c>
      <c r="FG283" s="23">
        <f t="shared" si="968"/>
        <v>1</v>
      </c>
      <c r="FH283" s="23"/>
      <c r="FR283" s="4">
        <f t="shared" si="1122"/>
        <v>1</v>
      </c>
      <c r="FS283" s="4">
        <f t="shared" si="1123"/>
        <v>0.5</v>
      </c>
      <c r="FT283" s="4">
        <f t="shared" si="1124"/>
        <v>0</v>
      </c>
      <c r="FU283" s="4">
        <f t="shared" si="1125"/>
        <v>579.93104644503558</v>
      </c>
    </row>
    <row r="284" spans="2:177" ht="12" customHeight="1" x14ac:dyDescent="0.3">
      <c r="B284" s="24"/>
      <c r="C284" s="7" t="s">
        <v>419</v>
      </c>
      <c r="D284" s="38">
        <f t="shared" si="1101"/>
        <v>889.65517241379314</v>
      </c>
      <c r="E284" s="38">
        <f>10*25.4</f>
        <v>254</v>
      </c>
      <c r="F284" s="38">
        <f>11760/145</f>
        <v>81.103448275862064</v>
      </c>
      <c r="G284" s="38">
        <f t="shared" si="1016"/>
        <v>25.4</v>
      </c>
      <c r="H284" s="38">
        <f>17*25.4</f>
        <v>431.79999999999995</v>
      </c>
      <c r="I284" s="38">
        <f>2.5*25.4</f>
        <v>63.5</v>
      </c>
      <c r="J284" s="39">
        <f>3.2*25.4</f>
        <v>81.28</v>
      </c>
      <c r="K284" s="7">
        <f t="shared" si="986"/>
        <v>253.99999999999994</v>
      </c>
      <c r="L284" s="38">
        <v>2</v>
      </c>
      <c r="M284" s="4">
        <f t="shared" si="1028"/>
        <v>260.34999999999997</v>
      </c>
      <c r="N284" s="7">
        <f t="shared" si="905"/>
        <v>3</v>
      </c>
      <c r="O284" s="7">
        <f t="shared" si="906"/>
        <v>3</v>
      </c>
      <c r="P284" s="38">
        <v>4.0999999999999996</v>
      </c>
      <c r="Q284" s="4">
        <f t="shared" si="1017"/>
        <v>4.0999999999999996</v>
      </c>
      <c r="R284" s="4">
        <f t="shared" si="907"/>
        <v>5.0999999999999996</v>
      </c>
      <c r="S284" s="7">
        <f t="shared" si="908"/>
        <v>57.361276136431961</v>
      </c>
      <c r="V284" s="38">
        <f t="shared" si="1054"/>
        <v>761.37931034482767</v>
      </c>
      <c r="W284" s="4">
        <v>110.4</v>
      </c>
      <c r="X284" s="4">
        <f t="shared" si="910"/>
        <v>0.85631332847185648</v>
      </c>
      <c r="Y284" s="38">
        <f t="shared" si="1148"/>
        <v>9.5249999999999986</v>
      </c>
      <c r="Z284" s="38">
        <v>10</v>
      </c>
      <c r="AA284" s="39">
        <f>3*25.4</f>
        <v>76.199999999999989</v>
      </c>
      <c r="AB284" s="39">
        <v>3</v>
      </c>
      <c r="AC284" s="39">
        <v>2</v>
      </c>
      <c r="AD284" s="7"/>
      <c r="AE284" s="4">
        <f t="shared" si="912"/>
        <v>254</v>
      </c>
      <c r="AF284" s="4">
        <f t="shared" si="913"/>
        <v>0.56666666666666665</v>
      </c>
      <c r="AG284" s="4">
        <f t="shared" si="914"/>
        <v>359.73519081184224</v>
      </c>
      <c r="AH284" s="4">
        <f t="shared" si="915"/>
        <v>0.76</v>
      </c>
      <c r="AI284" s="4">
        <v>1.25</v>
      </c>
      <c r="AJ284" s="4">
        <f t="shared" si="1154"/>
        <v>2.5</v>
      </c>
      <c r="AK284" s="38">
        <f t="shared" si="988"/>
        <v>484.14361096760433</v>
      </c>
      <c r="AL284" s="38">
        <f t="shared" si="953"/>
        <v>484.14361096760433</v>
      </c>
      <c r="AM284" s="38">
        <f t="shared" si="916"/>
        <v>4.8623877845559145</v>
      </c>
      <c r="AN284" s="38">
        <f t="shared" ref="AN284:AN347" si="1161">AJ284* (F284^0.5/AE284^0.5)/(PI()/4*G284^2)/L284/0.72 *(0.7+(MIN(I284,M284)+0.5*G284)/5/E284) *(3*H284*E284)</f>
        <v>484.14361096760422</v>
      </c>
      <c r="AO284" s="38">
        <f t="shared" si="1115"/>
        <v>1.0000000000000002</v>
      </c>
      <c r="AP284" s="38">
        <f t="shared" ref="AP284:AP347" si="1162">AT284/AN284</f>
        <v>2.0352056199509603</v>
      </c>
      <c r="AQ284" s="4">
        <f t="shared" ref="AQ284:AQ347" si="1163">IF(AP284&lt;1,1,0)</f>
        <v>0</v>
      </c>
      <c r="AR284" s="4" t="e">
        <f>#REF!/G284*F284^0.5/0.19</f>
        <v>#REF!</v>
      </c>
      <c r="AS284" s="4">
        <f t="shared" si="917"/>
        <v>1</v>
      </c>
      <c r="AT284" s="38">
        <f t="shared" si="918"/>
        <v>985.33179790461941</v>
      </c>
      <c r="AU284" s="4">
        <f t="shared" si="919"/>
        <v>0.42600000000000005</v>
      </c>
      <c r="AV284" s="4" t="e">
        <f>AU284*D284*#REF!/(D284*G284/2.75/F284^0.5)</f>
        <v>#REF!</v>
      </c>
      <c r="AW284" s="4" t="e">
        <f t="shared" si="1068"/>
        <v>#REF!</v>
      </c>
      <c r="AY284" s="4">
        <f t="shared" si="920"/>
        <v>1.5</v>
      </c>
      <c r="AZ284" s="4" t="e">
        <f>(3*#REF!+30)*AY284*F284^0.5</f>
        <v>#REF!</v>
      </c>
      <c r="BB284" s="4">
        <f t="shared" si="921"/>
        <v>945.05369241748747</v>
      </c>
      <c r="BC284" s="4">
        <f t="shared" si="1103"/>
        <v>0</v>
      </c>
      <c r="BD284" s="4">
        <f t="shared" si="1069"/>
        <v>0</v>
      </c>
      <c r="BL284" s="4">
        <f t="shared" si="923"/>
        <v>63.5</v>
      </c>
      <c r="BP284" s="9"/>
      <c r="BR284" s="9"/>
      <c r="BS284" s="9"/>
      <c r="BT284" s="9">
        <f t="shared" si="924"/>
        <v>63.5</v>
      </c>
      <c r="BU284" s="9">
        <f t="shared" si="925"/>
        <v>126.99999999999997</v>
      </c>
      <c r="BV284" s="9">
        <f t="shared" si="926"/>
        <v>1.7543833769624846</v>
      </c>
      <c r="BW284" s="40">
        <f t="shared" si="1018"/>
        <v>20</v>
      </c>
      <c r="BX284" s="9">
        <f t="shared" si="927"/>
        <v>0.05</v>
      </c>
      <c r="BY284" s="9">
        <f t="shared" si="1070"/>
        <v>0.8</v>
      </c>
      <c r="BZ284" s="9">
        <f t="shared" si="928"/>
        <v>0.99524931562137331</v>
      </c>
      <c r="CA284" s="9">
        <f t="shared" si="929"/>
        <v>0.68</v>
      </c>
      <c r="CB284" s="9">
        <f t="shared" si="930"/>
        <v>2.1331849177195688</v>
      </c>
      <c r="CC284" s="9">
        <f t="shared" si="931"/>
        <v>5.3329622942989214</v>
      </c>
      <c r="CD284" s="40">
        <v>1</v>
      </c>
      <c r="CE284" s="9" t="e">
        <f>4*CC284*#REF!+60*CC284</f>
        <v>#REF!</v>
      </c>
      <c r="CG284" s="4" t="e">
        <f t="shared" si="1071"/>
        <v>#REF!</v>
      </c>
      <c r="CH284" s="4" t="e">
        <f t="shared" si="1072"/>
        <v>#REF!</v>
      </c>
      <c r="CI284" s="4" t="e">
        <f t="shared" si="1073"/>
        <v>#REF!</v>
      </c>
      <c r="CJ284" s="4" t="e">
        <f t="shared" si="1074"/>
        <v>#REF!</v>
      </c>
      <c r="CK284" s="4">
        <f t="shared" si="1075"/>
        <v>0.85631332847185648</v>
      </c>
      <c r="CL284" s="4">
        <f t="shared" si="1076"/>
        <v>0.88968810745173232</v>
      </c>
      <c r="CM284" s="4">
        <f t="shared" si="978"/>
        <v>1.130169014844719</v>
      </c>
      <c r="CN284" s="4">
        <f t="shared" si="1019"/>
        <v>10</v>
      </c>
      <c r="CU284" s="4" t="e">
        <f t="shared" ref="CU284" si="1164">CG284</f>
        <v>#REF!</v>
      </c>
      <c r="CV284" s="4" t="e">
        <f t="shared" ref="CV284" si="1165">CH284</f>
        <v>#REF!</v>
      </c>
      <c r="CW284" s="4" t="e">
        <f t="shared" ref="CW284" si="1166">CJ284</f>
        <v>#REF!</v>
      </c>
      <c r="CX284" s="4">
        <f t="shared" ref="CX284" si="1167">CM284</f>
        <v>1.130169014844719</v>
      </c>
      <c r="CY284" s="4">
        <f t="shared" ref="CY284" si="1168">CK284</f>
        <v>0.85631332847185648</v>
      </c>
      <c r="CZ284" s="4">
        <f t="shared" ref="CZ284" si="1169">CL284</f>
        <v>0.88968810745173232</v>
      </c>
      <c r="DC284" s="4" t="e">
        <f>#REF!</f>
        <v>#REF!</v>
      </c>
      <c r="DF284" s="4">
        <f t="shared" si="932"/>
        <v>2.4667724974581991E-5</v>
      </c>
      <c r="DG284" s="4">
        <f t="shared" si="1083"/>
        <v>12.555764626779007</v>
      </c>
      <c r="DH284" s="4">
        <f t="shared" si="934"/>
        <v>0.32496509118243971</v>
      </c>
      <c r="DI284" s="4">
        <f t="shared" si="1084"/>
        <v>8.0089918141589269</v>
      </c>
      <c r="DJ284" s="4">
        <f t="shared" si="1085"/>
        <v>10.531859423226024</v>
      </c>
      <c r="DK284" s="4">
        <f t="shared" si="937"/>
        <v>11.18267087619982</v>
      </c>
      <c r="DL284" s="38">
        <f t="shared" si="938"/>
        <v>889.13635351624816</v>
      </c>
      <c r="DM284" s="4" t="e">
        <f t="shared" si="1086"/>
        <v>#REF!</v>
      </c>
      <c r="DN284" s="4">
        <f t="shared" si="940"/>
        <v>2.2583179581272428</v>
      </c>
      <c r="DO284" s="4">
        <f t="shared" si="976"/>
        <v>484.14361096760422</v>
      </c>
      <c r="DS284" s="4">
        <f t="shared" si="941"/>
        <v>0.85</v>
      </c>
      <c r="DT284" s="4">
        <f t="shared" si="942"/>
        <v>0.85</v>
      </c>
      <c r="DU284" s="4">
        <f t="shared" si="943"/>
        <v>0.90625</v>
      </c>
      <c r="DV284" s="4">
        <f t="shared" si="1087"/>
        <v>0.77031249999999996</v>
      </c>
      <c r="DX284" s="4">
        <f t="shared" si="945"/>
        <v>855.78227242532216</v>
      </c>
      <c r="DY284" s="25">
        <f t="shared" si="1146"/>
        <v>479.10933362195192</v>
      </c>
      <c r="EA284" s="4">
        <f t="shared" si="1147"/>
        <v>0.65476562499999991</v>
      </c>
      <c r="EB284" s="4">
        <f t="shared" si="946"/>
        <v>12.555764626779007</v>
      </c>
      <c r="EE284" s="4">
        <f t="shared" si="947"/>
        <v>57.361276136431961</v>
      </c>
      <c r="EF284" s="4">
        <f t="shared" si="1088"/>
        <v>2.2583179581272428</v>
      </c>
      <c r="EG284" s="4">
        <f t="shared" si="949"/>
        <v>0.16002639998473522</v>
      </c>
      <c r="EJ284" s="4">
        <f t="shared" si="1089"/>
        <v>0.16002639998473522</v>
      </c>
      <c r="EK284" s="4">
        <f t="shared" si="950"/>
        <v>0.32442278501051608</v>
      </c>
      <c r="EL284" s="4">
        <f t="shared" si="1090"/>
        <v>8.0036429293618987</v>
      </c>
      <c r="EM284" s="4">
        <f t="shared" si="1091"/>
        <v>10.529832094936477</v>
      </c>
      <c r="EN284" s="4" t="e">
        <f t="shared" si="1092"/>
        <v>#REF!</v>
      </c>
      <c r="EO284" s="4" t="e">
        <f t="shared" si="1093"/>
        <v>#REF!</v>
      </c>
      <c r="EP284" s="4" t="e">
        <f t="shared" si="951"/>
        <v>#REF!</v>
      </c>
      <c r="EQ284" s="4" t="e">
        <f t="shared" si="1094"/>
        <v>#REF!</v>
      </c>
      <c r="ER284" s="4" t="e">
        <f t="shared" si="952"/>
        <v>#REF!</v>
      </c>
      <c r="FA284" s="23" t="e">
        <f t="shared" si="1042"/>
        <v>#REF!</v>
      </c>
      <c r="FB284" s="23" t="e">
        <f t="shared" si="1043"/>
        <v>#REF!</v>
      </c>
      <c r="FC284" s="23">
        <f t="shared" si="981"/>
        <v>1.2</v>
      </c>
      <c r="FD284" s="23" t="e">
        <f t="shared" si="1044"/>
        <v>#REF!</v>
      </c>
      <c r="FE284" s="23">
        <f t="shared" si="1045"/>
        <v>1</v>
      </c>
      <c r="FF284" s="23">
        <f t="shared" si="1046"/>
        <v>1</v>
      </c>
      <c r="FG284" s="23">
        <f t="shared" si="968"/>
        <v>0</v>
      </c>
      <c r="FH284" s="23"/>
      <c r="FR284" s="4">
        <f t="shared" si="1122"/>
        <v>1</v>
      </c>
      <c r="FS284" s="4">
        <f t="shared" si="1123"/>
        <v>0.44418604651162791</v>
      </c>
      <c r="FT284" s="4">
        <f t="shared" si="1124"/>
        <v>0.3</v>
      </c>
      <c r="FU284" s="4">
        <f t="shared" si="1125"/>
        <v>673.6862366107589</v>
      </c>
    </row>
    <row r="285" spans="2:177" ht="12" customHeight="1" x14ac:dyDescent="0.3">
      <c r="B285" s="24"/>
      <c r="C285" s="7" t="s">
        <v>420</v>
      </c>
      <c r="D285" s="38">
        <f t="shared" si="1101"/>
        <v>889.65517241379314</v>
      </c>
      <c r="E285" s="38">
        <f>9.9*25.4</f>
        <v>251.46</v>
      </c>
      <c r="F285" s="38">
        <f>11040/145</f>
        <v>76.137931034482762</v>
      </c>
      <c r="G285" s="38">
        <f t="shared" si="1016"/>
        <v>25.4</v>
      </c>
      <c r="H285" s="38">
        <f>12*25.4</f>
        <v>304.79999999999995</v>
      </c>
      <c r="I285" s="38">
        <f>2.45*25.4</f>
        <v>62.230000000000004</v>
      </c>
      <c r="J285" s="39">
        <f>(3.3+3.2+3.3)/3*25.4</f>
        <v>82.973333333333343</v>
      </c>
      <c r="K285" s="7">
        <f t="shared" si="986"/>
        <v>52.069999999999979</v>
      </c>
      <c r="L285" s="38">
        <v>3</v>
      </c>
      <c r="M285" s="4">
        <f t="shared" si="1028"/>
        <v>260.34999999999997</v>
      </c>
      <c r="N285" s="7">
        <f t="shared" si="905"/>
        <v>1.5249999999999997</v>
      </c>
      <c r="O285" s="7">
        <f t="shared" si="906"/>
        <v>2.95</v>
      </c>
      <c r="P285" s="38">
        <v>4.0999999999999996</v>
      </c>
      <c r="Q285" s="4">
        <f t="shared" si="1017"/>
        <v>4.0999999999999996</v>
      </c>
      <c r="R285" s="4">
        <f t="shared" si="907"/>
        <v>5.0999999999999996</v>
      </c>
      <c r="S285" s="7">
        <f t="shared" si="908"/>
        <v>57.361276136431961</v>
      </c>
      <c r="V285" s="38">
        <f t="shared" si="1054"/>
        <v>368.27586206896552</v>
      </c>
      <c r="W285" s="4">
        <v>53.4</v>
      </c>
      <c r="X285" s="4">
        <f t="shared" si="910"/>
        <v>0.73864862864762737</v>
      </c>
      <c r="Y285" s="38"/>
      <c r="Z285" s="38"/>
      <c r="AA285" s="39">
        <v>1</v>
      </c>
      <c r="AB285" s="39"/>
      <c r="AC285" s="39"/>
      <c r="AD285" s="7"/>
      <c r="AE285" s="4">
        <f t="shared" si="912"/>
        <v>251.46</v>
      </c>
      <c r="AF285" s="4">
        <f t="shared" si="913"/>
        <v>0.40404040404040398</v>
      </c>
      <c r="AG285" s="4">
        <f t="shared" si="914"/>
        <v>228.88921678455287</v>
      </c>
      <c r="AH285" s="4">
        <f t="shared" si="915"/>
        <v>0.7595959595959596</v>
      </c>
      <c r="AI285" s="4">
        <v>1.25</v>
      </c>
      <c r="AJ285" s="4">
        <f t="shared" si="1154"/>
        <v>2.5</v>
      </c>
      <c r="AK285" s="38">
        <f t="shared" si="988"/>
        <v>219.52439932402783</v>
      </c>
      <c r="AL285" s="38">
        <f t="shared" si="953"/>
        <v>219.52439932402783</v>
      </c>
      <c r="AM285" s="38">
        <f t="shared" si="916"/>
        <v>4.75341304622079</v>
      </c>
      <c r="AN285" s="38">
        <f t="shared" si="1161"/>
        <v>219.52439932402797</v>
      </c>
      <c r="AO285" s="38">
        <f t="shared" si="1115"/>
        <v>0.99999999999999933</v>
      </c>
      <c r="AP285" s="38">
        <f t="shared" si="1162"/>
        <v>2.9425525330927655</v>
      </c>
      <c r="AQ285" s="4">
        <f t="shared" si="1163"/>
        <v>0</v>
      </c>
      <c r="AR285" s="4" t="e">
        <f>#REF!/G285*F285^0.5/0.19</f>
        <v>#REF!</v>
      </c>
      <c r="AS285" s="4">
        <f t="shared" si="917"/>
        <v>1.3737704918032789</v>
      </c>
      <c r="AT285" s="38">
        <f t="shared" si="918"/>
        <v>645.96207730658625</v>
      </c>
      <c r="AU285" s="4">
        <f t="shared" si="919"/>
        <v>0.42600000000000005</v>
      </c>
      <c r="AV285" s="4" t="e">
        <f>AU285*D285*#REF!/(D285*G285/2.75/F285^0.5)</f>
        <v>#REF!</v>
      </c>
      <c r="AW285" s="4" t="e">
        <f t="shared" si="1068"/>
        <v>#REF!</v>
      </c>
      <c r="AY285" s="4">
        <f t="shared" si="920"/>
        <v>1.3625</v>
      </c>
      <c r="AZ285" s="4" t="e">
        <f>(3*#REF!+30)*AY285*F285^0.5</f>
        <v>#REF!</v>
      </c>
      <c r="BB285" s="4">
        <f t="shared" si="921"/>
        <v>619.55662815151902</v>
      </c>
      <c r="BC285" s="4">
        <f t="shared" si="1103"/>
        <v>0</v>
      </c>
      <c r="BD285" s="4">
        <f t="shared" si="1069"/>
        <v>0</v>
      </c>
      <c r="BL285" s="4">
        <f t="shared" si="923"/>
        <v>26.034999999999989</v>
      </c>
      <c r="BP285" s="9"/>
      <c r="BR285" s="9"/>
      <c r="BS285" s="9"/>
      <c r="BT285" s="9">
        <f t="shared" si="924"/>
        <v>26.034999999999989</v>
      </c>
      <c r="BU285" s="9">
        <f t="shared" si="925"/>
        <v>62.230000000000004</v>
      </c>
      <c r="BV285" s="9">
        <f t="shared" si="926"/>
        <v>1.1537939716985905</v>
      </c>
      <c r="BW285" s="40">
        <f t="shared" si="1018"/>
        <v>0</v>
      </c>
      <c r="BX285" s="9">
        <f t="shared" si="927"/>
        <v>0</v>
      </c>
      <c r="BY285" s="9">
        <f t="shared" si="1070"/>
        <v>0</v>
      </c>
      <c r="BZ285" s="9">
        <f t="shared" si="928"/>
        <v>0.99524931562137331</v>
      </c>
      <c r="CA285" s="9">
        <f t="shared" si="929"/>
        <v>0.68</v>
      </c>
      <c r="CB285" s="9">
        <f t="shared" si="930"/>
        <v>2.0668520038571487</v>
      </c>
      <c r="CC285" s="9">
        <f t="shared" si="931"/>
        <v>2.38472138244353</v>
      </c>
      <c r="CD285" s="40">
        <v>1</v>
      </c>
      <c r="CE285" s="9" t="e">
        <f>4*CC285*#REF!+60*CC285</f>
        <v>#REF!</v>
      </c>
      <c r="CG285" s="4" t="e">
        <f t="shared" si="1071"/>
        <v>#REF!</v>
      </c>
      <c r="CH285" s="4" t="e">
        <f t="shared" si="1072"/>
        <v>#REF!</v>
      </c>
      <c r="CI285" s="4" t="e">
        <f t="shared" si="1073"/>
        <v>#REF!</v>
      </c>
      <c r="CJ285" s="4" t="e">
        <f t="shared" si="1074"/>
        <v>#REF!</v>
      </c>
      <c r="CK285" s="4">
        <f t="shared" si="1075"/>
        <v>0.73864862864762737</v>
      </c>
      <c r="CL285" s="4">
        <f t="shared" si="1076"/>
        <v>0.74214693971252432</v>
      </c>
      <c r="CM285" s="4">
        <f t="shared" si="978"/>
        <v>1.4405154544410637</v>
      </c>
      <c r="CN285" s="4">
        <f t="shared" si="1019"/>
        <v>0</v>
      </c>
      <c r="CO285" s="4" t="e">
        <f t="shared" ref="CO285" si="1170">CG285</f>
        <v>#REF!</v>
      </c>
      <c r="CP285" s="4" t="e">
        <f t="shared" ref="CP285" si="1171">CH285</f>
        <v>#REF!</v>
      </c>
      <c r="CQ285" s="4" t="e">
        <f t="shared" ref="CQ285" si="1172">CJ285</f>
        <v>#REF!</v>
      </c>
      <c r="CR285" s="4">
        <f t="shared" ref="CR285" si="1173">CM285</f>
        <v>1.4405154544410637</v>
      </c>
      <c r="CS285" s="4">
        <f t="shared" ref="CS285" si="1174">CK285</f>
        <v>0.73864862864762737</v>
      </c>
      <c r="CT285" s="4">
        <f t="shared" ref="CT285" si="1175">CL285</f>
        <v>0.74214693971252432</v>
      </c>
      <c r="DC285" s="4" t="e">
        <f>#REF!</f>
        <v>#REF!</v>
      </c>
      <c r="DF285" s="4">
        <f t="shared" si="932"/>
        <v>2.3703561532428188E-5</v>
      </c>
      <c r="DG285" s="4">
        <f t="shared" si="1083"/>
        <v>9.3945954333173542</v>
      </c>
      <c r="DH285" s="4">
        <f t="shared" si="934"/>
        <v>0.15695803424964713</v>
      </c>
      <c r="DI285" s="4">
        <f t="shared" si="1084"/>
        <v>4.4791076762040252</v>
      </c>
      <c r="DJ285" s="4">
        <f t="shared" si="1085"/>
        <v>7.3641169634775325</v>
      </c>
      <c r="DK285" s="4">
        <f t="shared" si="937"/>
        <v>8.727573788747403</v>
      </c>
      <c r="DL285" s="38">
        <f t="shared" si="938"/>
        <v>498.58058051665546</v>
      </c>
      <c r="DM285" s="4" t="e">
        <f t="shared" si="1086"/>
        <v>#REF!</v>
      </c>
      <c r="DN285" s="4">
        <f t="shared" si="940"/>
        <v>2.2583179581272428</v>
      </c>
      <c r="DO285" s="4">
        <f t="shared" si="976"/>
        <v>219.52439932402797</v>
      </c>
      <c r="DS285" s="4">
        <f t="shared" si="941"/>
        <v>0.85</v>
      </c>
      <c r="DT285" s="4">
        <f t="shared" si="942"/>
        <v>0.99750000000000005</v>
      </c>
      <c r="DU285" s="4">
        <f t="shared" si="943"/>
        <v>1</v>
      </c>
      <c r="DV285" s="4">
        <f t="shared" si="1087"/>
        <v>0.99750000000000005</v>
      </c>
      <c r="DX285" s="4">
        <f t="shared" si="945"/>
        <v>496.23038560479642</v>
      </c>
      <c r="DY285" s="25">
        <f t="shared" si="1146"/>
        <v>217.210901235271</v>
      </c>
      <c r="EA285" s="4">
        <f t="shared" si="1147"/>
        <v>0.84787500000000005</v>
      </c>
      <c r="EB285" s="4">
        <f t="shared" si="946"/>
        <v>9.3945954333173542</v>
      </c>
      <c r="EE285" s="4">
        <f t="shared" si="947"/>
        <v>57.361276136431961</v>
      </c>
      <c r="EF285" s="4">
        <f t="shared" si="1088"/>
        <v>2.2583179581272428</v>
      </c>
      <c r="EG285" s="4">
        <f t="shared" si="949"/>
        <v>7.4889227699808214E-2</v>
      </c>
      <c r="EJ285" s="4">
        <f t="shared" si="1089"/>
        <v>7.4889227699808214E-2</v>
      </c>
      <c r="EK285" s="4">
        <f t="shared" si="950"/>
        <v>0.15669610054348546</v>
      </c>
      <c r="EL285" s="4">
        <f t="shared" si="1090"/>
        <v>4.476116259617589</v>
      </c>
      <c r="EM285" s="4">
        <f t="shared" si="1091"/>
        <v>7.3632204030722086</v>
      </c>
      <c r="EN285" s="4" t="e">
        <f t="shared" si="1092"/>
        <v>#REF!</v>
      </c>
      <c r="EO285" s="4" t="e">
        <f t="shared" si="1093"/>
        <v>#REF!</v>
      </c>
      <c r="EP285" s="4" t="e">
        <f t="shared" si="951"/>
        <v>#REF!</v>
      </c>
      <c r="EQ285" s="4" t="e">
        <f t="shared" si="1094"/>
        <v>#REF!</v>
      </c>
      <c r="ER285" s="4" t="e">
        <f t="shared" si="952"/>
        <v>#REF!</v>
      </c>
      <c r="FA285" s="23" t="e">
        <f t="shared" si="1042"/>
        <v>#REF!</v>
      </c>
      <c r="FB285" s="23" t="e">
        <f t="shared" si="1043"/>
        <v>#REF!</v>
      </c>
      <c r="FC285" s="23">
        <f t="shared" si="981"/>
        <v>1.6</v>
      </c>
      <c r="FD285" s="23" t="e">
        <f t="shared" si="1044"/>
        <v>#REF!</v>
      </c>
      <c r="FE285" s="23">
        <f t="shared" si="1045"/>
        <v>0.8</v>
      </c>
      <c r="FF285" s="23">
        <f t="shared" si="1046"/>
        <v>0.8</v>
      </c>
      <c r="FG285" s="23">
        <f t="shared" si="968"/>
        <v>1</v>
      </c>
      <c r="FH285" s="23"/>
      <c r="FR285" s="4">
        <f t="shared" si="1122"/>
        <v>1.25</v>
      </c>
      <c r="FS285" s="4">
        <f t="shared" si="1123"/>
        <v>0.91250000000000009</v>
      </c>
      <c r="FT285" s="4">
        <f t="shared" si="1124"/>
        <v>0</v>
      </c>
      <c r="FU285" s="4">
        <f t="shared" si="1125"/>
        <v>255.65561336643952</v>
      </c>
    </row>
    <row r="286" spans="2:177" ht="12" customHeight="1" x14ac:dyDescent="0.3">
      <c r="B286" s="24"/>
      <c r="C286" s="7" t="s">
        <v>421</v>
      </c>
      <c r="D286" s="38">
        <f t="shared" si="1101"/>
        <v>889.65517241379314</v>
      </c>
      <c r="E286" s="38">
        <f>10*25.4</f>
        <v>254</v>
      </c>
      <c r="F286" s="38">
        <f>11040/145</f>
        <v>76.137931034482762</v>
      </c>
      <c r="G286" s="38">
        <f t="shared" si="1016"/>
        <v>25.4</v>
      </c>
      <c r="H286" s="38">
        <f>12*25.4</f>
        <v>304.79999999999995</v>
      </c>
      <c r="I286" s="38">
        <f>2.4*25.4</f>
        <v>60.959999999999994</v>
      </c>
      <c r="J286" s="39">
        <f>(2.9+2.8+3.1)/3*25.4</f>
        <v>74.506666666666661</v>
      </c>
      <c r="K286" s="7">
        <f t="shared" si="986"/>
        <v>53.339999999999989</v>
      </c>
      <c r="L286" s="38">
        <v>3</v>
      </c>
      <c r="M286" s="4">
        <f t="shared" si="1028"/>
        <v>260.34999999999997</v>
      </c>
      <c r="N286" s="7">
        <f t="shared" si="905"/>
        <v>1.5499999999999998</v>
      </c>
      <c r="O286" s="7">
        <f t="shared" si="906"/>
        <v>2.9</v>
      </c>
      <c r="P286" s="38">
        <v>4.0999999999999996</v>
      </c>
      <c r="Q286" s="4">
        <f t="shared" si="1017"/>
        <v>4.0999999999999996</v>
      </c>
      <c r="R286" s="4">
        <f t="shared" si="907"/>
        <v>5.0999999999999996</v>
      </c>
      <c r="S286" s="7">
        <f t="shared" si="908"/>
        <v>57.361276136431961</v>
      </c>
      <c r="V286" s="38">
        <f t="shared" si="1054"/>
        <v>537.93103448275861</v>
      </c>
      <c r="W286" s="4">
        <v>78</v>
      </c>
      <c r="X286" s="4">
        <f t="shared" si="910"/>
        <v>1.0122595831277816</v>
      </c>
      <c r="Y286" s="38">
        <f t="shared" si="1148"/>
        <v>9.5249999999999986</v>
      </c>
      <c r="Z286" s="38">
        <v>10</v>
      </c>
      <c r="AA286" s="39">
        <f>3*25.4</f>
        <v>76.199999999999989</v>
      </c>
      <c r="AB286" s="39">
        <v>3</v>
      </c>
      <c r="AC286" s="39">
        <v>2</v>
      </c>
      <c r="AD286" s="7"/>
      <c r="AE286" s="4">
        <f t="shared" si="912"/>
        <v>254</v>
      </c>
      <c r="AF286" s="4">
        <f t="shared" si="913"/>
        <v>0.39999999999999997</v>
      </c>
      <c r="AG286" s="4">
        <f t="shared" si="914"/>
        <v>232.36597815509018</v>
      </c>
      <c r="AH286" s="4">
        <f t="shared" si="915"/>
        <v>0.75800000000000001</v>
      </c>
      <c r="AI286" s="4">
        <v>1.25</v>
      </c>
      <c r="AJ286" s="4">
        <f t="shared" si="1154"/>
        <v>2.5</v>
      </c>
      <c r="AK286" s="38">
        <f t="shared" si="988"/>
        <v>220.16676430194792</v>
      </c>
      <c r="AL286" s="38">
        <f t="shared" si="953"/>
        <v>220.16676430194792</v>
      </c>
      <c r="AM286" s="38">
        <f t="shared" si="916"/>
        <v>4.75341304622079</v>
      </c>
      <c r="AN286" s="38">
        <f t="shared" si="1161"/>
        <v>220.16676430194792</v>
      </c>
      <c r="AO286" s="38">
        <f t="shared" si="1115"/>
        <v>1</v>
      </c>
      <c r="AP286" s="38">
        <f t="shared" si="1162"/>
        <v>2.9269649474460713</v>
      </c>
      <c r="AQ286" s="4">
        <f t="shared" si="1163"/>
        <v>0</v>
      </c>
      <c r="AR286" s="4" t="e">
        <f>#REF!/G286*F286^0.5/0.19</f>
        <v>#REF!</v>
      </c>
      <c r="AS286" s="4">
        <f t="shared" si="917"/>
        <v>1.3483870967741938</v>
      </c>
      <c r="AT286" s="38">
        <f t="shared" si="918"/>
        <v>644.4204017044226</v>
      </c>
      <c r="AU286" s="4">
        <f t="shared" si="919"/>
        <v>0.42600000000000005</v>
      </c>
      <c r="AV286" s="4" t="e">
        <f>AU286*D286*#REF!/(D286*G286/2.75/F286^0.5)</f>
        <v>#REF!</v>
      </c>
      <c r="AW286" s="4" t="e">
        <f t="shared" si="1068"/>
        <v>#REF!</v>
      </c>
      <c r="AY286" s="4">
        <f t="shared" si="920"/>
        <v>1.5</v>
      </c>
      <c r="AZ286" s="4" t="e">
        <f>(3*#REF!+30)*AY286*F286^0.5</f>
        <v>#REF!</v>
      </c>
      <c r="BB286" s="4">
        <f t="shared" si="921"/>
        <v>618.07797271440324</v>
      </c>
      <c r="BC286" s="4">
        <f t="shared" si="1103"/>
        <v>0</v>
      </c>
      <c r="BD286" s="4">
        <f t="shared" si="1069"/>
        <v>0</v>
      </c>
      <c r="BL286" s="4">
        <f t="shared" si="923"/>
        <v>26.669999999999995</v>
      </c>
      <c r="BP286" s="9"/>
      <c r="BR286" s="9"/>
      <c r="BS286" s="9"/>
      <c r="BT286" s="9">
        <f t="shared" si="924"/>
        <v>26.669999999999995</v>
      </c>
      <c r="BU286" s="9">
        <f t="shared" si="925"/>
        <v>60.959999999999994</v>
      </c>
      <c r="BV286" s="9">
        <f t="shared" si="926"/>
        <v>1.1599731613256561</v>
      </c>
      <c r="BW286" s="40">
        <f t="shared" si="1018"/>
        <v>20</v>
      </c>
      <c r="BX286" s="9">
        <f t="shared" si="927"/>
        <v>0.05</v>
      </c>
      <c r="BY286" s="9">
        <f t="shared" si="1070"/>
        <v>0.8</v>
      </c>
      <c r="BZ286" s="9">
        <f t="shared" si="928"/>
        <v>0.99524931562137331</v>
      </c>
      <c r="CA286" s="9">
        <f t="shared" si="929"/>
        <v>0.68</v>
      </c>
      <c r="CB286" s="9">
        <f t="shared" si="930"/>
        <v>2.0668520038571487</v>
      </c>
      <c r="CC286" s="9">
        <f t="shared" si="931"/>
        <v>4.0509744559921632</v>
      </c>
      <c r="CD286" s="40">
        <v>1</v>
      </c>
      <c r="CE286" s="9" t="e">
        <f>4*CC286*#REF!+60*CC286</f>
        <v>#REF!</v>
      </c>
      <c r="CG286" s="4" t="e">
        <f t="shared" si="1071"/>
        <v>#REF!</v>
      </c>
      <c r="CH286" s="4" t="e">
        <f t="shared" si="1072"/>
        <v>#REF!</v>
      </c>
      <c r="CI286" s="4" t="e">
        <f t="shared" si="1073"/>
        <v>#REF!</v>
      </c>
      <c r="CJ286" s="4" t="e">
        <f t="shared" si="1074"/>
        <v>#REF!</v>
      </c>
      <c r="CK286" s="4">
        <f t="shared" si="1075"/>
        <v>1.0122595831277816</v>
      </c>
      <c r="CL286" s="4">
        <f t="shared" si="1076"/>
        <v>1.015645214075779</v>
      </c>
      <c r="CM286" s="4">
        <f t="shared" si="978"/>
        <v>1.5227273061218662</v>
      </c>
      <c r="CN286" s="4">
        <f t="shared" si="1019"/>
        <v>10</v>
      </c>
      <c r="CU286" s="4" t="e">
        <f t="shared" ref="CU286" si="1176">CG286</f>
        <v>#REF!</v>
      </c>
      <c r="CV286" s="4" t="e">
        <f t="shared" ref="CV286" si="1177">CH286</f>
        <v>#REF!</v>
      </c>
      <c r="CW286" s="4" t="e">
        <f t="shared" ref="CW286" si="1178">CJ286</f>
        <v>#REF!</v>
      </c>
      <c r="CX286" s="4">
        <f t="shared" ref="CX286" si="1179">CM286</f>
        <v>1.5227273061218662</v>
      </c>
      <c r="CY286" s="4">
        <f t="shared" ref="CY286" si="1180">CK286</f>
        <v>1.0122595831277816</v>
      </c>
      <c r="CZ286" s="4">
        <f t="shared" ref="CZ286" si="1181">CL286</f>
        <v>1.015645214075779</v>
      </c>
      <c r="DC286" s="4" t="e">
        <f>#REF!</f>
        <v>#REF!</v>
      </c>
      <c r="DF286" s="4">
        <f t="shared" si="932"/>
        <v>2.3942991446897161E-5</v>
      </c>
      <c r="DG286" s="4">
        <f t="shared" si="1083"/>
        <v>10.392496490434585</v>
      </c>
      <c r="DH286" s="4">
        <f t="shared" si="934"/>
        <v>0.15741731961617406</v>
      </c>
      <c r="DI286" s="4">
        <f t="shared" si="1084"/>
        <v>4.9606763339604125</v>
      </c>
      <c r="DJ286" s="4">
        <f t="shared" si="1085"/>
        <v>8.1480771156069896</v>
      </c>
      <c r="DK286" s="4">
        <f t="shared" si="937"/>
        <v>9.5599674624018807</v>
      </c>
      <c r="DL286" s="38">
        <f t="shared" si="938"/>
        <v>531.41609469441141</v>
      </c>
      <c r="DM286" s="4" t="e">
        <f t="shared" si="1086"/>
        <v>#REF!</v>
      </c>
      <c r="DN286" s="4">
        <f t="shared" si="940"/>
        <v>2.2583179581272428</v>
      </c>
      <c r="DO286" s="4">
        <f t="shared" si="976"/>
        <v>220.16676430194792</v>
      </c>
      <c r="DS286" s="4">
        <f t="shared" si="941"/>
        <v>0.85</v>
      </c>
      <c r="DT286" s="4">
        <f t="shared" si="942"/>
        <v>0.995</v>
      </c>
      <c r="DU286" s="4">
        <f t="shared" si="943"/>
        <v>0.90625</v>
      </c>
      <c r="DV286" s="4">
        <f t="shared" si="1087"/>
        <v>0.90171875000000001</v>
      </c>
      <c r="DX286" s="4">
        <f t="shared" si="945"/>
        <v>529.64463084903844</v>
      </c>
      <c r="DY286" s="25">
        <f t="shared" si="1146"/>
        <v>217.86973613600091</v>
      </c>
      <c r="EA286" s="4">
        <f t="shared" si="1147"/>
        <v>0.76646093749999999</v>
      </c>
      <c r="EB286" s="4">
        <f t="shared" si="946"/>
        <v>10.392496490434585</v>
      </c>
      <c r="EE286" s="4">
        <f t="shared" si="947"/>
        <v>57.361276136431961</v>
      </c>
      <c r="EF286" s="4">
        <f t="shared" si="1088"/>
        <v>2.2583179581272428</v>
      </c>
      <c r="EG286" s="4">
        <f t="shared" si="949"/>
        <v>7.5108366060946924E-2</v>
      </c>
      <c r="EJ286" s="4">
        <f t="shared" si="1089"/>
        <v>7.5108366060946924E-2</v>
      </c>
      <c r="EK286" s="4">
        <f t="shared" si="950"/>
        <v>0.15715461944833478</v>
      </c>
      <c r="EL286" s="4">
        <f t="shared" si="1090"/>
        <v>4.9573632969588264</v>
      </c>
      <c r="EM286" s="4">
        <f t="shared" si="1091"/>
        <v>8.1470831422939138</v>
      </c>
      <c r="EN286" s="4" t="e">
        <f t="shared" si="1092"/>
        <v>#REF!</v>
      </c>
      <c r="EO286" s="4" t="e">
        <f t="shared" si="1093"/>
        <v>#REF!</v>
      </c>
      <c r="EP286" s="4" t="e">
        <f t="shared" si="951"/>
        <v>#REF!</v>
      </c>
      <c r="EQ286" s="4" t="e">
        <f t="shared" si="1094"/>
        <v>#REF!</v>
      </c>
      <c r="ER286" s="4" t="e">
        <f t="shared" si="952"/>
        <v>#REF!</v>
      </c>
      <c r="FA286" s="23" t="e">
        <f t="shared" si="1042"/>
        <v>#REF!</v>
      </c>
      <c r="FB286" s="23" t="e">
        <f t="shared" si="1043"/>
        <v>#REF!</v>
      </c>
      <c r="FC286" s="23">
        <f t="shared" si="981"/>
        <v>1.6</v>
      </c>
      <c r="FD286" s="23" t="e">
        <f t="shared" si="1044"/>
        <v>#REF!</v>
      </c>
      <c r="FE286" s="23">
        <f t="shared" si="1045"/>
        <v>1.2</v>
      </c>
      <c r="FF286" s="23">
        <f t="shared" si="1046"/>
        <v>1.2</v>
      </c>
      <c r="FG286" s="23">
        <f t="shared" si="968"/>
        <v>0</v>
      </c>
      <c r="FH286" s="23"/>
      <c r="FR286" s="4">
        <f t="shared" si="1122"/>
        <v>1.25</v>
      </c>
      <c r="FS286" s="4">
        <f t="shared" si="1123"/>
        <v>0.66703488372093034</v>
      </c>
      <c r="FT286" s="4">
        <f t="shared" si="1124"/>
        <v>0.28124999999999994</v>
      </c>
      <c r="FU286" s="4">
        <f t="shared" si="1125"/>
        <v>353.26813430093381</v>
      </c>
    </row>
    <row r="287" spans="2:177" ht="12" customHeight="1" x14ac:dyDescent="0.3">
      <c r="B287" s="24"/>
      <c r="C287" s="7" t="s">
        <v>422</v>
      </c>
      <c r="D287" s="38">
        <f t="shared" si="1101"/>
        <v>889.65517241379314</v>
      </c>
      <c r="E287" s="38">
        <f>9.92*25.4</f>
        <v>251.96799999999999</v>
      </c>
      <c r="F287" s="38">
        <f>11440/145</f>
        <v>78.896551724137936</v>
      </c>
      <c r="G287" s="38">
        <f t="shared" si="1016"/>
        <v>25.4</v>
      </c>
      <c r="H287" s="38">
        <f>14*25.4</f>
        <v>355.59999999999997</v>
      </c>
      <c r="I287" s="38">
        <f>2.5*25.4</f>
        <v>63.5</v>
      </c>
      <c r="J287" s="39">
        <f>(3+3.3+3)/3*25.4</f>
        <v>78.739999999999995</v>
      </c>
      <c r="K287" s="7">
        <f t="shared" si="986"/>
        <v>76.199999999999989</v>
      </c>
      <c r="L287" s="38">
        <v>3</v>
      </c>
      <c r="M287" s="4">
        <f t="shared" si="1028"/>
        <v>260.34999999999997</v>
      </c>
      <c r="N287" s="7">
        <f t="shared" si="905"/>
        <v>1.9999999999999998</v>
      </c>
      <c r="O287" s="7">
        <f t="shared" si="906"/>
        <v>3</v>
      </c>
      <c r="P287" s="38">
        <v>4.0999999999999996</v>
      </c>
      <c r="Q287" s="4">
        <f t="shared" si="1017"/>
        <v>4.0999999999999996</v>
      </c>
      <c r="R287" s="4">
        <f t="shared" si="907"/>
        <v>5.0999999999999996</v>
      </c>
      <c r="S287" s="7">
        <f t="shared" si="908"/>
        <v>57.361276136431961</v>
      </c>
      <c r="V287" s="38">
        <f t="shared" si="1054"/>
        <v>426.89655172413796</v>
      </c>
      <c r="W287" s="4">
        <v>61.9</v>
      </c>
      <c r="X287" s="4">
        <f t="shared" si="910"/>
        <v>0.75738494469674067</v>
      </c>
      <c r="Y287" s="38"/>
      <c r="Z287" s="38"/>
      <c r="AA287" s="39">
        <v>1</v>
      </c>
      <c r="AB287" s="39"/>
      <c r="AC287" s="39"/>
      <c r="AD287" s="7"/>
      <c r="AE287" s="4">
        <f t="shared" si="912"/>
        <v>251.96799999999999</v>
      </c>
      <c r="AF287" s="4">
        <f t="shared" si="913"/>
        <v>0.47043010752688169</v>
      </c>
      <c r="AG287" s="4">
        <f t="shared" si="914"/>
        <v>233.70528033380882</v>
      </c>
      <c r="AH287" s="4">
        <f t="shared" si="915"/>
        <v>0.76048387096774195</v>
      </c>
      <c r="AI287" s="4">
        <v>1.25</v>
      </c>
      <c r="AJ287" s="4">
        <f t="shared" si="1154"/>
        <v>2.5</v>
      </c>
      <c r="AK287" s="38">
        <f t="shared" si="988"/>
        <v>261.27849331674088</v>
      </c>
      <c r="AL287" s="38">
        <f t="shared" si="953"/>
        <v>261.27849331674088</v>
      </c>
      <c r="AM287" s="38">
        <f t="shared" si="916"/>
        <v>4.8146447394162166</v>
      </c>
      <c r="AN287" s="38">
        <f t="shared" si="1161"/>
        <v>261.27849331674076</v>
      </c>
      <c r="AO287" s="38">
        <f t="shared" si="1115"/>
        <v>1.0000000000000004</v>
      </c>
      <c r="AP287" s="38">
        <f t="shared" si="1162"/>
        <v>2.9348609175873812</v>
      </c>
      <c r="AQ287" s="4">
        <f t="shared" si="1163"/>
        <v>0</v>
      </c>
      <c r="AR287" s="4" t="e">
        <f>#REF!/G287*F287^0.5/0.19</f>
        <v>#REF!</v>
      </c>
      <c r="AS287" s="4">
        <f t="shared" si="917"/>
        <v>1.2000000000000002</v>
      </c>
      <c r="AT287" s="38">
        <f t="shared" si="918"/>
        <v>766.81603864141823</v>
      </c>
      <c r="AU287" s="4">
        <f t="shared" si="919"/>
        <v>0.42600000000000005</v>
      </c>
      <c r="AV287" s="4" t="e">
        <f>AU287*D287*#REF!/(D287*G287/2.75/F287^0.5)</f>
        <v>#REF!</v>
      </c>
      <c r="AW287" s="4" t="e">
        <f t="shared" si="1068"/>
        <v>#REF!</v>
      </c>
      <c r="AY287" s="4">
        <f t="shared" si="920"/>
        <v>1.375</v>
      </c>
      <c r="AZ287" s="4" t="e">
        <f>(3*#REF!+30)*AY287*F287^0.5</f>
        <v>#REF!</v>
      </c>
      <c r="BB287" s="4">
        <f t="shared" si="921"/>
        <v>735.4703565480313</v>
      </c>
      <c r="BC287" s="4">
        <f t="shared" si="1103"/>
        <v>0</v>
      </c>
      <c r="BD287" s="4">
        <f t="shared" si="1069"/>
        <v>0</v>
      </c>
      <c r="BL287" s="4">
        <f t="shared" si="923"/>
        <v>38.099999999999994</v>
      </c>
      <c r="BP287" s="9"/>
      <c r="BR287" s="9"/>
      <c r="BS287" s="9"/>
      <c r="BT287" s="9">
        <f t="shared" si="924"/>
        <v>38.099999999999994</v>
      </c>
      <c r="BU287" s="9">
        <f t="shared" si="925"/>
        <v>63.5</v>
      </c>
      <c r="BV287" s="9">
        <f t="shared" si="926"/>
        <v>1.3222785168171165</v>
      </c>
      <c r="BW287" s="40">
        <f t="shared" si="1018"/>
        <v>0</v>
      </c>
      <c r="BX287" s="9">
        <f t="shared" si="927"/>
        <v>0</v>
      </c>
      <c r="BY287" s="9">
        <f t="shared" si="1070"/>
        <v>0</v>
      </c>
      <c r="BZ287" s="9">
        <f t="shared" si="928"/>
        <v>0.99524931562137331</v>
      </c>
      <c r="CA287" s="9">
        <f t="shared" si="929"/>
        <v>0.68</v>
      </c>
      <c r="CB287" s="9">
        <f t="shared" si="930"/>
        <v>2.1039618260511515</v>
      </c>
      <c r="CC287" s="9">
        <f t="shared" si="931"/>
        <v>2.7820235227907486</v>
      </c>
      <c r="CD287" s="40">
        <v>1</v>
      </c>
      <c r="CE287" s="9" t="e">
        <f>4*CC287*#REF!+60*CC287</f>
        <v>#REF!</v>
      </c>
      <c r="CG287" s="4" t="e">
        <f t="shared" si="1071"/>
        <v>#REF!</v>
      </c>
      <c r="CH287" s="4" t="e">
        <f t="shared" si="1072"/>
        <v>#REF!</v>
      </c>
      <c r="CI287" s="4" t="e">
        <f t="shared" si="1073"/>
        <v>#REF!</v>
      </c>
      <c r="CJ287" s="4" t="e">
        <f t="shared" si="1074"/>
        <v>#REF!</v>
      </c>
      <c r="CK287" s="4">
        <f t="shared" si="1075"/>
        <v>0.75738494469674067</v>
      </c>
      <c r="CL287" s="4">
        <f t="shared" si="1076"/>
        <v>0.76591341717817985</v>
      </c>
      <c r="CM287" s="4">
        <f t="shared" si="978"/>
        <v>1.2067087626321074</v>
      </c>
      <c r="CN287" s="4">
        <f t="shared" si="1019"/>
        <v>0</v>
      </c>
      <c r="CO287" s="4" t="e">
        <f t="shared" ref="CO287" si="1182">CG287</f>
        <v>#REF!</v>
      </c>
      <c r="CP287" s="4" t="e">
        <f t="shared" ref="CP287" si="1183">CH287</f>
        <v>#REF!</v>
      </c>
      <c r="CQ287" s="4" t="e">
        <f t="shared" ref="CQ287" si="1184">CJ287</f>
        <v>#REF!</v>
      </c>
      <c r="CR287" s="4">
        <f t="shared" ref="CR287" si="1185">CM287</f>
        <v>1.2067087626321074</v>
      </c>
      <c r="CS287" s="4">
        <f t="shared" ref="CS287" si="1186">CK287</f>
        <v>0.75738494469674067</v>
      </c>
      <c r="CT287" s="4">
        <f t="shared" ref="CT287" si="1187">CL287</f>
        <v>0.76591341717817985</v>
      </c>
      <c r="DC287" s="4" t="e">
        <f>#REF!</f>
        <v>#REF!</v>
      </c>
      <c r="DF287" s="4">
        <f t="shared" si="932"/>
        <v>2.4148361798518977E-5</v>
      </c>
      <c r="DG287" s="4">
        <f t="shared" si="1083"/>
        <v>10.04143675130468</v>
      </c>
      <c r="DH287" s="4">
        <f t="shared" si="934"/>
        <v>0.18027996513199299</v>
      </c>
      <c r="DI287" s="4">
        <f t="shared" si="1084"/>
        <v>5.0602834368430525</v>
      </c>
      <c r="DJ287" s="4">
        <f t="shared" si="1085"/>
        <v>7.9549538182287627</v>
      </c>
      <c r="DK287" s="4">
        <f t="shared" si="937"/>
        <v>9.2515968559547055</v>
      </c>
      <c r="DL287" s="38">
        <f t="shared" si="938"/>
        <v>563.6454153377299</v>
      </c>
      <c r="DM287" s="4" t="e">
        <f t="shared" si="1086"/>
        <v>#REF!</v>
      </c>
      <c r="DN287" s="4">
        <f t="shared" si="940"/>
        <v>2.2583179581272428</v>
      </c>
      <c r="DO287" s="4">
        <f t="shared" si="976"/>
        <v>261.27849331674076</v>
      </c>
      <c r="DS287" s="4">
        <f t="shared" si="941"/>
        <v>0.85</v>
      </c>
      <c r="DT287" s="4">
        <f t="shared" si="942"/>
        <v>0.95</v>
      </c>
      <c r="DU287" s="4">
        <f t="shared" si="943"/>
        <v>1</v>
      </c>
      <c r="DV287" s="4">
        <f t="shared" si="1087"/>
        <v>0.95</v>
      </c>
      <c r="DX287" s="4">
        <f t="shared" si="945"/>
        <v>557.36920407653076</v>
      </c>
      <c r="DY287" s="25">
        <f t="shared" si="1146"/>
        <v>258.53604635770347</v>
      </c>
      <c r="EA287" s="4">
        <f t="shared" si="1147"/>
        <v>0.8075</v>
      </c>
      <c r="EB287" s="4">
        <f t="shared" si="946"/>
        <v>10.04143675130468</v>
      </c>
      <c r="EE287" s="4">
        <f t="shared" si="947"/>
        <v>57.361276136431961</v>
      </c>
      <c r="EF287" s="4">
        <f t="shared" si="1088"/>
        <v>2.2583179581272428</v>
      </c>
      <c r="EG287" s="4">
        <f t="shared" si="949"/>
        <v>8.7561207479214337E-2</v>
      </c>
      <c r="EJ287" s="4">
        <f t="shared" si="1089"/>
        <v>8.7561207479214337E-2</v>
      </c>
      <c r="EK287" s="4">
        <f t="shared" si="950"/>
        <v>0.17997911146980572</v>
      </c>
      <c r="EL287" s="4">
        <f t="shared" si="1090"/>
        <v>5.056903876247655</v>
      </c>
      <c r="EM287" s="4">
        <f t="shared" si="1091"/>
        <v>7.9538911861800736</v>
      </c>
      <c r="EN287" s="4" t="e">
        <f t="shared" si="1092"/>
        <v>#REF!</v>
      </c>
      <c r="EO287" s="4" t="e">
        <f t="shared" si="1093"/>
        <v>#REF!</v>
      </c>
      <c r="EP287" s="4" t="e">
        <f t="shared" si="951"/>
        <v>#REF!</v>
      </c>
      <c r="EQ287" s="4" t="e">
        <f t="shared" si="1094"/>
        <v>#REF!</v>
      </c>
      <c r="ER287" s="4" t="e">
        <f t="shared" si="952"/>
        <v>#REF!</v>
      </c>
      <c r="FA287" s="23" t="e">
        <f t="shared" si="1042"/>
        <v>#REF!</v>
      </c>
      <c r="FB287" s="23" t="e">
        <f t="shared" si="1043"/>
        <v>#REF!</v>
      </c>
      <c r="FC287" s="23">
        <f t="shared" si="981"/>
        <v>1.4</v>
      </c>
      <c r="FD287" s="23" t="e">
        <f t="shared" si="1044"/>
        <v>#REF!</v>
      </c>
      <c r="FE287" s="23">
        <f t="shared" si="1045"/>
        <v>0.8</v>
      </c>
      <c r="FF287" s="23">
        <f t="shared" si="1046"/>
        <v>0.8</v>
      </c>
      <c r="FG287" s="23">
        <f t="shared" si="968"/>
        <v>1</v>
      </c>
      <c r="FH287" s="23"/>
      <c r="FR287" s="4">
        <f t="shared" si="1122"/>
        <v>1</v>
      </c>
      <c r="FS287" s="4">
        <f t="shared" si="1123"/>
        <v>0.83333333333333326</v>
      </c>
      <c r="FT287" s="4">
        <f t="shared" si="1124"/>
        <v>0</v>
      </c>
      <c r="FU287" s="4">
        <f t="shared" si="1125"/>
        <v>353.76933104635714</v>
      </c>
    </row>
    <row r="288" spans="2:177" ht="12" customHeight="1" x14ac:dyDescent="0.3">
      <c r="B288" s="24"/>
      <c r="C288" s="7" t="s">
        <v>423</v>
      </c>
      <c r="D288" s="38">
        <f t="shared" si="1101"/>
        <v>889.65517241379314</v>
      </c>
      <c r="E288" s="38">
        <f>9.77*25.4</f>
        <v>248.15799999999999</v>
      </c>
      <c r="F288" s="38">
        <f t="shared" ref="F288" si="1188">11440/145</f>
        <v>78.896551724137936</v>
      </c>
      <c r="G288" s="38">
        <f t="shared" si="1016"/>
        <v>25.4</v>
      </c>
      <c r="H288" s="38">
        <f>13.8*25.4</f>
        <v>350.52</v>
      </c>
      <c r="I288" s="38">
        <f>2.45*25.4</f>
        <v>62.230000000000004</v>
      </c>
      <c r="J288" s="39">
        <f>(3.2+3.1+3.3)/3*25.4</f>
        <v>81.280000000000015</v>
      </c>
      <c r="K288" s="7">
        <f t="shared" si="986"/>
        <v>74.929999999999993</v>
      </c>
      <c r="L288" s="38">
        <v>3</v>
      </c>
      <c r="M288" s="4">
        <f t="shared" si="1028"/>
        <v>260.34999999999997</v>
      </c>
      <c r="N288" s="7">
        <f t="shared" si="905"/>
        <v>1.9749999999999999</v>
      </c>
      <c r="O288" s="7">
        <f t="shared" si="906"/>
        <v>2.95</v>
      </c>
      <c r="P288" s="38">
        <v>4.0999999999999996</v>
      </c>
      <c r="Q288" s="4">
        <f t="shared" si="1017"/>
        <v>4.0999999999999996</v>
      </c>
      <c r="R288" s="4">
        <f t="shared" si="907"/>
        <v>5.0999999999999996</v>
      </c>
      <c r="S288" s="7">
        <f t="shared" si="908"/>
        <v>57.361276136431961</v>
      </c>
      <c r="V288" s="38">
        <f t="shared" si="1054"/>
        <v>573.79310344827593</v>
      </c>
      <c r="W288" s="4">
        <v>83.2</v>
      </c>
      <c r="X288" s="4">
        <f t="shared" si="910"/>
        <v>0.98660780016235983</v>
      </c>
      <c r="Y288" s="38">
        <f t="shared" si="1148"/>
        <v>9.5249999999999986</v>
      </c>
      <c r="Z288" s="38">
        <v>10</v>
      </c>
      <c r="AA288" s="39">
        <f>3*25.4</f>
        <v>76.199999999999989</v>
      </c>
      <c r="AB288" s="39">
        <v>3</v>
      </c>
      <c r="AC288" s="39">
        <v>2</v>
      </c>
      <c r="AD288" s="7"/>
      <c r="AE288" s="4">
        <f t="shared" si="912"/>
        <v>248.15799999999999</v>
      </c>
      <c r="AF288" s="4">
        <f t="shared" si="913"/>
        <v>0.47082906857727741</v>
      </c>
      <c r="AG288" s="4">
        <f t="shared" si="914"/>
        <v>228.42459432627268</v>
      </c>
      <c r="AH288" s="4">
        <f t="shared" si="915"/>
        <v>0.76038894575230298</v>
      </c>
      <c r="AI288" s="4">
        <v>1.25</v>
      </c>
      <c r="AJ288" s="4">
        <f t="shared" si="1154"/>
        <v>2.5</v>
      </c>
      <c r="AK288" s="38">
        <f t="shared" si="988"/>
        <v>255.55945104042959</v>
      </c>
      <c r="AL288" s="38">
        <f t="shared" si="953"/>
        <v>255.55945104042959</v>
      </c>
      <c r="AM288" s="38">
        <f t="shared" si="916"/>
        <v>4.8146447394162166</v>
      </c>
      <c r="AN288" s="38">
        <f t="shared" si="1161"/>
        <v>255.55945104042956</v>
      </c>
      <c r="AO288" s="38">
        <f t="shared" si="1115"/>
        <v>1.0000000000000002</v>
      </c>
      <c r="AP288" s="38">
        <f t="shared" si="1162"/>
        <v>2.9567809042797739</v>
      </c>
      <c r="AQ288" s="4">
        <f t="shared" si="1163"/>
        <v>0</v>
      </c>
      <c r="AR288" s="4" t="e">
        <f>#REF!/G288*F288^0.5/0.19</f>
        <v>#REF!</v>
      </c>
      <c r="AS288" s="4">
        <f t="shared" si="917"/>
        <v>1.1974683544303799</v>
      </c>
      <c r="AT288" s="38">
        <f t="shared" si="918"/>
        <v>755.63330474456393</v>
      </c>
      <c r="AU288" s="4">
        <f t="shared" si="919"/>
        <v>0.42600000000000005</v>
      </c>
      <c r="AV288" s="4" t="e">
        <f>AU288*D288*#REF!/(D288*G288/2.75/F288^0.5)</f>
        <v>#REF!</v>
      </c>
      <c r="AW288" s="4" t="e">
        <f t="shared" si="1068"/>
        <v>#REF!</v>
      </c>
      <c r="AY288" s="4">
        <f t="shared" si="920"/>
        <v>1.5</v>
      </c>
      <c r="AZ288" s="4" t="e">
        <f>(3*#REF!+30)*AY288*F288^0.5</f>
        <v>#REF!</v>
      </c>
      <c r="BB288" s="4">
        <f t="shared" si="921"/>
        <v>724.74474718170586</v>
      </c>
      <c r="BC288" s="4">
        <f t="shared" si="1103"/>
        <v>0</v>
      </c>
      <c r="BD288" s="4">
        <f t="shared" si="1069"/>
        <v>0</v>
      </c>
      <c r="BL288" s="4">
        <f t="shared" si="923"/>
        <v>37.464999999999996</v>
      </c>
      <c r="BP288" s="9"/>
      <c r="BR288" s="9"/>
      <c r="BS288" s="9"/>
      <c r="BT288" s="9">
        <f t="shared" si="924"/>
        <v>37.464999999999996</v>
      </c>
      <c r="BU288" s="9">
        <f t="shared" si="925"/>
        <v>62.230000000000004</v>
      </c>
      <c r="BV288" s="9">
        <f t="shared" si="926"/>
        <v>1.3105455489610944</v>
      </c>
      <c r="BW288" s="40">
        <f t="shared" si="1018"/>
        <v>20</v>
      </c>
      <c r="BX288" s="9">
        <f t="shared" si="927"/>
        <v>0.05</v>
      </c>
      <c r="BY288" s="9">
        <f t="shared" si="1070"/>
        <v>0.8</v>
      </c>
      <c r="BZ288" s="9">
        <f t="shared" si="928"/>
        <v>0.99524931562137331</v>
      </c>
      <c r="CA288" s="9">
        <f t="shared" si="929"/>
        <v>0.68</v>
      </c>
      <c r="CB288" s="9">
        <f t="shared" si="930"/>
        <v>2.1039618260511515</v>
      </c>
      <c r="CC288" s="9">
        <f t="shared" si="931"/>
        <v>4.4405072671563142</v>
      </c>
      <c r="CD288" s="40">
        <v>1</v>
      </c>
      <c r="CE288" s="9" t="e">
        <f>4*CC288*#REF!+60*CC288</f>
        <v>#REF!</v>
      </c>
      <c r="CG288" s="4" t="e">
        <f t="shared" si="1071"/>
        <v>#REF!</v>
      </c>
      <c r="CH288" s="4" t="e">
        <f t="shared" si="1072"/>
        <v>#REF!</v>
      </c>
      <c r="CI288" s="4" t="e">
        <f t="shared" si="1073"/>
        <v>#REF!</v>
      </c>
      <c r="CJ288" s="4" t="e">
        <f t="shared" si="1074"/>
        <v>#REF!</v>
      </c>
      <c r="CK288" s="4">
        <f t="shared" si="1075"/>
        <v>0.98660780016235983</v>
      </c>
      <c r="CL288" s="4">
        <f t="shared" si="1076"/>
        <v>0.99490267950518141</v>
      </c>
      <c r="CM288" s="4">
        <f t="shared" si="978"/>
        <v>1.5537534775920558</v>
      </c>
      <c r="CN288" s="4">
        <f t="shared" si="1019"/>
        <v>10</v>
      </c>
      <c r="CU288" s="4" t="e">
        <f t="shared" ref="CU288" si="1189">CG288</f>
        <v>#REF!</v>
      </c>
      <c r="CV288" s="4" t="e">
        <f t="shared" ref="CV288" si="1190">CH288</f>
        <v>#REF!</v>
      </c>
      <c r="CW288" s="4" t="e">
        <f t="shared" ref="CW288" si="1191">CJ288</f>
        <v>#REF!</v>
      </c>
      <c r="CX288" s="4">
        <f t="shared" ref="CX288" si="1192">CM288</f>
        <v>1.5537534775920558</v>
      </c>
      <c r="CY288" s="4">
        <f t="shared" ref="CY288" si="1193">CK288</f>
        <v>0.98660780016235983</v>
      </c>
      <c r="CZ288" s="4">
        <f t="shared" ref="CZ288" si="1194">CL288</f>
        <v>0.99490267950518141</v>
      </c>
      <c r="DC288" s="4" t="e">
        <f>#REF!</f>
        <v>#REF!</v>
      </c>
      <c r="DF288" s="4">
        <f t="shared" si="932"/>
        <v>2.3783215198742983E-5</v>
      </c>
      <c r="DG288" s="4">
        <f t="shared" si="1083"/>
        <v>11.051124164708563</v>
      </c>
      <c r="DH288" s="4">
        <f t="shared" si="934"/>
        <v>0.17633387401261452</v>
      </c>
      <c r="DI288" s="4">
        <f t="shared" si="1084"/>
        <v>5.5200213571306262</v>
      </c>
      <c r="DJ288" s="4">
        <f t="shared" si="1085"/>
        <v>8.739461203836381</v>
      </c>
      <c r="DK288" s="4">
        <f t="shared" si="937"/>
        <v>10.128022414968948</v>
      </c>
      <c r="DL288" s="38">
        <f t="shared" si="938"/>
        <v>581.58176263541645</v>
      </c>
      <c r="DM288" s="4" t="e">
        <f t="shared" si="1086"/>
        <v>#REF!</v>
      </c>
      <c r="DN288" s="4">
        <f t="shared" si="940"/>
        <v>2.2583179581272428</v>
      </c>
      <c r="DO288" s="4">
        <f t="shared" si="976"/>
        <v>255.55945104042956</v>
      </c>
      <c r="DS288" s="4">
        <f t="shared" si="941"/>
        <v>0.85</v>
      </c>
      <c r="DT288" s="4">
        <f t="shared" si="942"/>
        <v>0.95250000000000001</v>
      </c>
      <c r="DU288" s="4">
        <f t="shared" si="943"/>
        <v>0.90625</v>
      </c>
      <c r="DV288" s="4">
        <f t="shared" si="1087"/>
        <v>0.86320312499999996</v>
      </c>
      <c r="DX288" s="4">
        <f t="shared" si="945"/>
        <v>576.73289585837085</v>
      </c>
      <c r="DY288" s="25">
        <f t="shared" si="1146"/>
        <v>252.82444659076288</v>
      </c>
      <c r="EA288" s="4">
        <f t="shared" si="1147"/>
        <v>0.73372265624999999</v>
      </c>
      <c r="EB288" s="4">
        <f t="shared" si="946"/>
        <v>11.051124164708563</v>
      </c>
      <c r="EE288" s="4">
        <f t="shared" si="947"/>
        <v>57.361276136431961</v>
      </c>
      <c r="EF288" s="4">
        <f t="shared" si="1088"/>
        <v>2.2583179581272428</v>
      </c>
      <c r="EG288" s="4">
        <f t="shared" si="949"/>
        <v>8.5644607911520801E-2</v>
      </c>
      <c r="EJ288" s="4">
        <f t="shared" si="1089"/>
        <v>8.5644607911520801E-2</v>
      </c>
      <c r="EK288" s="4">
        <f t="shared" si="950"/>
        <v>0.17603960564105409</v>
      </c>
      <c r="EL288" s="4">
        <f t="shared" si="1090"/>
        <v>5.5163347559951079</v>
      </c>
      <c r="EM288" s="4">
        <f t="shared" si="1091"/>
        <v>8.7383107581814947</v>
      </c>
      <c r="EN288" s="4" t="e">
        <f t="shared" si="1092"/>
        <v>#REF!</v>
      </c>
      <c r="EO288" s="4" t="e">
        <f t="shared" si="1093"/>
        <v>#REF!</v>
      </c>
      <c r="EP288" s="4" t="e">
        <f t="shared" si="951"/>
        <v>#REF!</v>
      </c>
      <c r="EQ288" s="4" t="e">
        <f t="shared" si="1094"/>
        <v>#REF!</v>
      </c>
      <c r="ER288" s="4" t="e">
        <f t="shared" si="952"/>
        <v>#REF!</v>
      </c>
      <c r="FA288" s="23" t="e">
        <f t="shared" si="1042"/>
        <v>#REF!</v>
      </c>
      <c r="FB288" s="23" t="e">
        <f t="shared" si="1043"/>
        <v>#REF!</v>
      </c>
      <c r="FC288" s="23">
        <f t="shared" si="981"/>
        <v>1.6</v>
      </c>
      <c r="FD288" s="23" t="e">
        <f t="shared" si="1044"/>
        <v>#REF!</v>
      </c>
      <c r="FE288" s="23">
        <f t="shared" si="1045"/>
        <v>1</v>
      </c>
      <c r="FF288" s="23">
        <f t="shared" si="1046"/>
        <v>1</v>
      </c>
      <c r="FG288" s="23">
        <f t="shared" si="968"/>
        <v>0</v>
      </c>
      <c r="FH288" s="23"/>
      <c r="FR288" s="4">
        <f t="shared" si="1122"/>
        <v>1.25</v>
      </c>
      <c r="FS288" s="4">
        <f t="shared" si="1123"/>
        <v>0.62898255813953508</v>
      </c>
      <c r="FT288" s="4">
        <f t="shared" si="1124"/>
        <v>0.28124999999999994</v>
      </c>
      <c r="FU288" s="4">
        <f t="shared" si="1125"/>
        <v>369.29481524798723</v>
      </c>
    </row>
    <row r="289" spans="2:177" ht="12" customHeight="1" x14ac:dyDescent="0.3">
      <c r="B289" s="24"/>
      <c r="C289" s="7" t="s">
        <v>424</v>
      </c>
      <c r="D289" s="38">
        <f t="shared" si="1101"/>
        <v>889.65517241379314</v>
      </c>
      <c r="E289" s="38">
        <f>9.92*25.4</f>
        <v>251.96799999999999</v>
      </c>
      <c r="F289" s="38">
        <f>11460/145</f>
        <v>79.034482758620683</v>
      </c>
      <c r="G289" s="38">
        <f t="shared" si="1016"/>
        <v>25.4</v>
      </c>
      <c r="H289" s="38">
        <f>16.1*25.4</f>
        <v>408.94</v>
      </c>
      <c r="I289" s="38">
        <f>2.5*25.4</f>
        <v>63.5</v>
      </c>
      <c r="J289" s="39">
        <f>(3.2+3+3.3)/3*25.4</f>
        <v>80.433333333333323</v>
      </c>
      <c r="K289" s="7">
        <f t="shared" si="986"/>
        <v>102.87</v>
      </c>
      <c r="L289" s="38">
        <v>3</v>
      </c>
      <c r="M289" s="4">
        <f t="shared" si="1028"/>
        <v>260.34999999999997</v>
      </c>
      <c r="N289" s="7">
        <f t="shared" si="905"/>
        <v>2.5250000000000004</v>
      </c>
      <c r="O289" s="7">
        <f t="shared" si="906"/>
        <v>3</v>
      </c>
      <c r="P289" s="38">
        <v>4.0999999999999996</v>
      </c>
      <c r="Q289" s="4">
        <f t="shared" si="1017"/>
        <v>4.0999999999999996</v>
      </c>
      <c r="R289" s="4">
        <f t="shared" si="907"/>
        <v>5.0999999999999996</v>
      </c>
      <c r="S289" s="7">
        <f t="shared" si="908"/>
        <v>57.361276136431961</v>
      </c>
      <c r="V289" s="38">
        <f t="shared" si="1054"/>
        <v>480.68965517241384</v>
      </c>
      <c r="W289" s="4">
        <v>69.7</v>
      </c>
      <c r="X289" s="4">
        <f t="shared" si="910"/>
        <v>0.7688185795271586</v>
      </c>
      <c r="Y289" s="38"/>
      <c r="Z289" s="38"/>
      <c r="AA289" s="39">
        <v>1</v>
      </c>
      <c r="AB289" s="39"/>
      <c r="AC289" s="39"/>
      <c r="AD289" s="7"/>
      <c r="AE289" s="4">
        <f t="shared" si="912"/>
        <v>251.96799999999999</v>
      </c>
      <c r="AF289" s="4">
        <f t="shared" si="913"/>
        <v>0.540994623655914</v>
      </c>
      <c r="AG289" s="4">
        <f t="shared" si="914"/>
        <v>233.90947895759095</v>
      </c>
      <c r="AH289" s="4">
        <f t="shared" si="915"/>
        <v>0.76048387096774195</v>
      </c>
      <c r="AI289" s="4">
        <v>1.25</v>
      </c>
      <c r="AJ289" s="4">
        <f t="shared" si="1154"/>
        <v>2.5</v>
      </c>
      <c r="AK289" s="38">
        <f t="shared" si="988"/>
        <v>300.73280145548068</v>
      </c>
      <c r="AL289" s="38">
        <f t="shared" si="953"/>
        <v>300.73280145548068</v>
      </c>
      <c r="AM289" s="38">
        <f t="shared" si="916"/>
        <v>4.8176603871508874</v>
      </c>
      <c r="AN289" s="38">
        <f t="shared" si="1161"/>
        <v>300.73280145548046</v>
      </c>
      <c r="AO289" s="38">
        <f t="shared" si="1115"/>
        <v>1.0000000000000007</v>
      </c>
      <c r="AP289" s="38">
        <f t="shared" si="1162"/>
        <v>2.8895324324262508</v>
      </c>
      <c r="AQ289" s="4">
        <f t="shared" si="1163"/>
        <v>0</v>
      </c>
      <c r="AR289" s="4" t="e">
        <f>#REF!/G289*F289^0.5/0.19</f>
        <v>#REF!</v>
      </c>
      <c r="AS289" s="4">
        <f t="shared" si="917"/>
        <v>1.0752475247524751</v>
      </c>
      <c r="AT289" s="38">
        <f t="shared" si="918"/>
        <v>868.97718330001521</v>
      </c>
      <c r="AU289" s="4">
        <f t="shared" si="919"/>
        <v>0.42600000000000005</v>
      </c>
      <c r="AV289" s="4" t="e">
        <f>AU289*D289*#REF!/(D289*G289/2.75/F289^0.5)</f>
        <v>#REF!</v>
      </c>
      <c r="AW289" s="4" t="e">
        <f t="shared" si="1068"/>
        <v>#REF!</v>
      </c>
      <c r="AY289" s="4">
        <f t="shared" si="920"/>
        <v>1.375</v>
      </c>
      <c r="AZ289" s="4" t="e">
        <f>(3*#REF!+30)*AY289*F289^0.5</f>
        <v>#REF!</v>
      </c>
      <c r="BB289" s="4">
        <f t="shared" si="921"/>
        <v>833.45538776951423</v>
      </c>
      <c r="BC289" s="4">
        <f t="shared" si="1103"/>
        <v>0</v>
      </c>
      <c r="BD289" s="4">
        <f t="shared" si="1069"/>
        <v>0</v>
      </c>
      <c r="BL289" s="4">
        <f t="shared" si="923"/>
        <v>51.435000000000002</v>
      </c>
      <c r="BP289" s="9"/>
      <c r="BR289" s="9"/>
      <c r="BS289" s="9"/>
      <c r="BT289" s="9">
        <f t="shared" si="924"/>
        <v>51.435000000000002</v>
      </c>
      <c r="BU289" s="9">
        <f t="shared" si="925"/>
        <v>63.5</v>
      </c>
      <c r="BV289" s="9">
        <f t="shared" si="926"/>
        <v>1.4687225435414653</v>
      </c>
      <c r="BW289" s="40">
        <f t="shared" si="1018"/>
        <v>0</v>
      </c>
      <c r="BX289" s="9">
        <f t="shared" si="927"/>
        <v>0</v>
      </c>
      <c r="BY289" s="9">
        <f t="shared" si="1070"/>
        <v>0</v>
      </c>
      <c r="BZ289" s="9">
        <f t="shared" si="928"/>
        <v>0.99524931562137331</v>
      </c>
      <c r="CA289" s="9">
        <f t="shared" si="929"/>
        <v>0.68</v>
      </c>
      <c r="CB289" s="9">
        <f t="shared" si="930"/>
        <v>2.1058001504088901</v>
      </c>
      <c r="CC289" s="9">
        <f t="shared" si="931"/>
        <v>3.0928361530985451</v>
      </c>
      <c r="CD289" s="40">
        <v>1</v>
      </c>
      <c r="CE289" s="9" t="e">
        <f>4*CC289*#REF!+60*CC289</f>
        <v>#REF!</v>
      </c>
      <c r="CG289" s="4" t="e">
        <f t="shared" si="1071"/>
        <v>#REF!</v>
      </c>
      <c r="CH289" s="4" t="e">
        <f t="shared" si="1072"/>
        <v>#REF!</v>
      </c>
      <c r="CI289" s="4" t="e">
        <f t="shared" si="1073"/>
        <v>#REF!</v>
      </c>
      <c r="CJ289" s="4" t="e">
        <f t="shared" si="1074"/>
        <v>#REF!</v>
      </c>
      <c r="CK289" s="4">
        <f t="shared" si="1075"/>
        <v>0.7688185795271586</v>
      </c>
      <c r="CL289" s="4">
        <f t="shared" si="1076"/>
        <v>0.782670244439856</v>
      </c>
      <c r="CM289" s="4">
        <f t="shared" si="978"/>
        <v>1.2155644280465276</v>
      </c>
      <c r="CN289" s="4">
        <f t="shared" si="1019"/>
        <v>0</v>
      </c>
      <c r="CO289" s="4" t="e">
        <f t="shared" ref="CO289" si="1195">CG289</f>
        <v>#REF!</v>
      </c>
      <c r="CP289" s="4" t="e">
        <f t="shared" ref="CP289" si="1196">CH289</f>
        <v>#REF!</v>
      </c>
      <c r="CQ289" s="4" t="e">
        <f t="shared" ref="CQ289" si="1197">CJ289</f>
        <v>#REF!</v>
      </c>
      <c r="CR289" s="4">
        <f t="shared" ref="CR289" si="1198">CM289</f>
        <v>1.2155644280465276</v>
      </c>
      <c r="CS289" s="4">
        <f t="shared" ref="CS289" si="1199">CK289</f>
        <v>0.7688185795271586</v>
      </c>
      <c r="CT289" s="4">
        <f t="shared" ref="CT289" si="1200">CL289</f>
        <v>0.782670244439856</v>
      </c>
      <c r="DC289" s="4" t="e">
        <f>#REF!</f>
        <v>#REF!</v>
      </c>
      <c r="DF289" s="4">
        <f t="shared" si="932"/>
        <v>2.4168369041980222E-5</v>
      </c>
      <c r="DG289" s="4">
        <f t="shared" si="1083"/>
        <v>10.638105713782785</v>
      </c>
      <c r="DH289" s="4">
        <f t="shared" si="934"/>
        <v>0.20714097168754586</v>
      </c>
      <c r="DI289" s="4">
        <f t="shared" si="1084"/>
        <v>5.6672282629254962</v>
      </c>
      <c r="DJ289" s="4">
        <f t="shared" si="1085"/>
        <v>8.5262775120215917</v>
      </c>
      <c r="DK289" s="4">
        <f t="shared" si="937"/>
        <v>9.7362226598816992</v>
      </c>
      <c r="DL289" s="38">
        <f t="shared" si="938"/>
        <v>625.23157994965368</v>
      </c>
      <c r="DM289" s="4" t="e">
        <f t="shared" si="1086"/>
        <v>#REF!</v>
      </c>
      <c r="DN289" s="4">
        <f t="shared" si="940"/>
        <v>2.2583179581272428</v>
      </c>
      <c r="DO289" s="4">
        <f t="shared" si="976"/>
        <v>300.73280145548046</v>
      </c>
      <c r="DS289" s="4">
        <f t="shared" si="941"/>
        <v>0.85</v>
      </c>
      <c r="DT289" s="4">
        <f t="shared" si="942"/>
        <v>0.89749999999999996</v>
      </c>
      <c r="DU289" s="4">
        <f t="shared" si="943"/>
        <v>1</v>
      </c>
      <c r="DV289" s="4">
        <f t="shared" si="1087"/>
        <v>0.89749999999999996</v>
      </c>
      <c r="DX289" s="4">
        <f t="shared" si="945"/>
        <v>614.16625786819759</v>
      </c>
      <c r="DY289" s="25">
        <f t="shared" si="1146"/>
        <v>297.5762318260218</v>
      </c>
      <c r="EA289" s="4">
        <f t="shared" si="1147"/>
        <v>0.76287499999999997</v>
      </c>
      <c r="EB289" s="4">
        <f t="shared" si="946"/>
        <v>10.638105713782785</v>
      </c>
      <c r="EE289" s="4">
        <f t="shared" si="947"/>
        <v>57.361276136431961</v>
      </c>
      <c r="EF289" s="4">
        <f t="shared" si="1088"/>
        <v>2.2583179581272428</v>
      </c>
      <c r="EG289" s="4">
        <f t="shared" si="949"/>
        <v>0.10069538860109649</v>
      </c>
      <c r="EJ289" s="4">
        <f t="shared" si="1089"/>
        <v>0.10069538860109649</v>
      </c>
      <c r="EK289" s="4">
        <f t="shared" si="950"/>
        <v>0.2067952920116285</v>
      </c>
      <c r="EL289" s="4">
        <f t="shared" si="1090"/>
        <v>5.6634433481946225</v>
      </c>
      <c r="EM289" s="4">
        <f t="shared" si="1091"/>
        <v>8.5250307099253781</v>
      </c>
      <c r="EN289" s="4" t="e">
        <f t="shared" si="1092"/>
        <v>#REF!</v>
      </c>
      <c r="EO289" s="4" t="e">
        <f t="shared" si="1093"/>
        <v>#REF!</v>
      </c>
      <c r="EP289" s="4" t="e">
        <f t="shared" si="951"/>
        <v>#REF!</v>
      </c>
      <c r="EQ289" s="4" t="e">
        <f t="shared" si="1094"/>
        <v>#REF!</v>
      </c>
      <c r="ER289" s="4" t="e">
        <f t="shared" si="952"/>
        <v>#REF!</v>
      </c>
      <c r="FA289" s="23" t="e">
        <f t="shared" si="1042"/>
        <v>#REF!</v>
      </c>
      <c r="FB289" s="23" t="e">
        <f t="shared" si="1043"/>
        <v>#REF!</v>
      </c>
      <c r="FC289" s="23">
        <f t="shared" si="981"/>
        <v>1.4</v>
      </c>
      <c r="FD289" s="23" t="e">
        <f t="shared" si="1044"/>
        <v>#REF!</v>
      </c>
      <c r="FE289" s="23">
        <f t="shared" si="1045"/>
        <v>0.8</v>
      </c>
      <c r="FF289" s="23">
        <f t="shared" si="1046"/>
        <v>0.8</v>
      </c>
      <c r="FG289" s="23">
        <f t="shared" si="968"/>
        <v>1</v>
      </c>
      <c r="FH289" s="23"/>
      <c r="FR289" s="4">
        <f t="shared" si="1122"/>
        <v>1</v>
      </c>
      <c r="FS289" s="4">
        <f t="shared" si="1123"/>
        <v>0.74583333333333324</v>
      </c>
      <c r="FT289" s="4">
        <f t="shared" si="1124"/>
        <v>0</v>
      </c>
      <c r="FU289" s="4">
        <f t="shared" si="1125"/>
        <v>395.44564161432885</v>
      </c>
    </row>
    <row r="290" spans="2:177" ht="12" customHeight="1" x14ac:dyDescent="0.3">
      <c r="B290" s="24"/>
      <c r="C290" s="7" t="s">
        <v>425</v>
      </c>
      <c r="D290" s="38">
        <f t="shared" si="1101"/>
        <v>889.65517241379314</v>
      </c>
      <c r="E290" s="38">
        <f>9.6*25.4</f>
        <v>243.83999999999997</v>
      </c>
      <c r="F290" s="38">
        <f>11460/145</f>
        <v>79.034482758620683</v>
      </c>
      <c r="G290" s="38">
        <f t="shared" si="1016"/>
        <v>25.4</v>
      </c>
      <c r="H290" s="38">
        <f>16.3*25.4</f>
        <v>414.02</v>
      </c>
      <c r="I290" s="38">
        <f t="shared" ref="I290:I297" si="1201">2.5*25.4</f>
        <v>63.5</v>
      </c>
      <c r="J290" s="39">
        <f>(3.5+3.9+3.6)/3*25.4</f>
        <v>93.133333333333326</v>
      </c>
      <c r="K290" s="7">
        <f t="shared" si="986"/>
        <v>105.41</v>
      </c>
      <c r="L290" s="38">
        <v>3</v>
      </c>
      <c r="M290" s="4">
        <f t="shared" si="1028"/>
        <v>260.34999999999997</v>
      </c>
      <c r="N290" s="7">
        <f t="shared" si="905"/>
        <v>2.5750000000000002</v>
      </c>
      <c r="O290" s="7">
        <f t="shared" si="906"/>
        <v>3</v>
      </c>
      <c r="P290" s="38">
        <v>4.0999999999999996</v>
      </c>
      <c r="Q290" s="4">
        <f t="shared" si="1017"/>
        <v>4.0999999999999996</v>
      </c>
      <c r="R290" s="4">
        <f t="shared" si="907"/>
        <v>5.0999999999999996</v>
      </c>
      <c r="S290" s="7">
        <f t="shared" si="908"/>
        <v>57.361276136431961</v>
      </c>
      <c r="V290" s="38">
        <f t="shared" si="1054"/>
        <v>608.27586206896558</v>
      </c>
      <c r="W290" s="4">
        <v>88.2</v>
      </c>
      <c r="X290" s="4">
        <f t="shared" si="910"/>
        <v>0.93949066396852476</v>
      </c>
      <c r="Y290" s="38">
        <f t="shared" si="1148"/>
        <v>9.5249999999999986</v>
      </c>
      <c r="Z290" s="38">
        <v>10</v>
      </c>
      <c r="AA290" s="39">
        <f>3*25.4</f>
        <v>76.199999999999989</v>
      </c>
      <c r="AB290" s="39">
        <v>3</v>
      </c>
      <c r="AC290" s="39">
        <v>2</v>
      </c>
      <c r="AD290" s="7"/>
      <c r="AE290" s="4">
        <f t="shared" si="912"/>
        <v>243.83999999999997</v>
      </c>
      <c r="AF290" s="4">
        <f t="shared" si="913"/>
        <v>0.56597222222222232</v>
      </c>
      <c r="AG290" s="4">
        <f t="shared" si="914"/>
        <v>222.68305093812236</v>
      </c>
      <c r="AH290" s="4">
        <f t="shared" si="915"/>
        <v>0.76249999999999996</v>
      </c>
      <c r="AI290" s="4">
        <v>1.25</v>
      </c>
      <c r="AJ290" s="4">
        <f t="shared" si="1154"/>
        <v>2.5</v>
      </c>
      <c r="AK290" s="38">
        <f t="shared" si="988"/>
        <v>300.31162861840153</v>
      </c>
      <c r="AL290" s="38">
        <f t="shared" si="953"/>
        <v>300.31162861840153</v>
      </c>
      <c r="AM290" s="38">
        <f t="shared" si="916"/>
        <v>4.8176603871508874</v>
      </c>
      <c r="AN290" s="38">
        <f t="shared" si="1161"/>
        <v>300.31162861840153</v>
      </c>
      <c r="AO290" s="38">
        <f t="shared" si="1115"/>
        <v>1</v>
      </c>
      <c r="AP290" s="38">
        <f t="shared" si="1162"/>
        <v>2.9255581782446503</v>
      </c>
      <c r="AQ290" s="4">
        <f t="shared" si="1163"/>
        <v>0</v>
      </c>
      <c r="AR290" s="4" t="e">
        <f>#REF!/G290*F290^0.5/0.19</f>
        <v>#REF!</v>
      </c>
      <c r="AS290" s="4">
        <f t="shared" si="917"/>
        <v>1.066019417475728</v>
      </c>
      <c r="AT290" s="38">
        <f t="shared" si="918"/>
        <v>878.57914112653475</v>
      </c>
      <c r="AU290" s="4">
        <f t="shared" si="919"/>
        <v>0.42600000000000005</v>
      </c>
      <c r="AV290" s="4" t="e">
        <f>AU290*D290*#REF!/(D290*G290/2.75/F290^0.5)</f>
        <v>#REF!</v>
      </c>
      <c r="AW290" s="4" t="e">
        <f t="shared" si="1068"/>
        <v>#REF!</v>
      </c>
      <c r="AY290" s="4">
        <f t="shared" si="920"/>
        <v>1.5</v>
      </c>
      <c r="AZ290" s="4" t="e">
        <f>(3*#REF!+30)*AY290*F290^0.5</f>
        <v>#REF!</v>
      </c>
      <c r="BB290" s="4">
        <f t="shared" si="921"/>
        <v>842.66483956807247</v>
      </c>
      <c r="BC290" s="4">
        <f t="shared" si="1103"/>
        <v>0</v>
      </c>
      <c r="BD290" s="4">
        <f t="shared" si="1069"/>
        <v>0</v>
      </c>
      <c r="BL290" s="4">
        <f t="shared" si="923"/>
        <v>52.704999999999998</v>
      </c>
      <c r="BP290" s="9"/>
      <c r="BR290" s="9"/>
      <c r="BS290" s="9"/>
      <c r="BT290" s="9">
        <f t="shared" si="924"/>
        <v>52.704999999999998</v>
      </c>
      <c r="BU290" s="9">
        <f t="shared" si="925"/>
        <v>63.5</v>
      </c>
      <c r="BV290" s="9">
        <f t="shared" si="926"/>
        <v>1.4813147137729235</v>
      </c>
      <c r="BW290" s="40">
        <f t="shared" si="1018"/>
        <v>20</v>
      </c>
      <c r="BX290" s="9">
        <f t="shared" si="927"/>
        <v>0.05</v>
      </c>
      <c r="BY290" s="9">
        <f t="shared" si="1070"/>
        <v>0.8</v>
      </c>
      <c r="BZ290" s="9">
        <f t="shared" si="928"/>
        <v>0.99524931562137331</v>
      </c>
      <c r="CA290" s="9">
        <f t="shared" si="929"/>
        <v>0.68</v>
      </c>
      <c r="CB290" s="9">
        <f t="shared" si="930"/>
        <v>2.1058001504088901</v>
      </c>
      <c r="CC290" s="9">
        <f t="shared" si="931"/>
        <v>4.8039928673930365</v>
      </c>
      <c r="CD290" s="40">
        <v>1</v>
      </c>
      <c r="CE290" s="9" t="e">
        <f>4*CC290*#REF!+60*CC290</f>
        <v>#REF!</v>
      </c>
      <c r="CG290" s="4" t="e">
        <f t="shared" si="1071"/>
        <v>#REF!</v>
      </c>
      <c r="CH290" s="4" t="e">
        <f t="shared" si="1072"/>
        <v>#REF!</v>
      </c>
      <c r="CI290" s="4" t="e">
        <f t="shared" si="1073"/>
        <v>#REF!</v>
      </c>
      <c r="CJ290" s="4" t="e">
        <f t="shared" si="1074"/>
        <v>#REF!</v>
      </c>
      <c r="CK290" s="4">
        <f t="shared" si="1075"/>
        <v>0.93949066396852476</v>
      </c>
      <c r="CL290" s="4">
        <f t="shared" si="1076"/>
        <v>0.95490274844904621</v>
      </c>
      <c r="CM290" s="4">
        <f t="shared" si="978"/>
        <v>1.225964360942069</v>
      </c>
      <c r="CN290" s="4">
        <f t="shared" si="1019"/>
        <v>10</v>
      </c>
      <c r="CU290" s="4" t="e">
        <f t="shared" ref="CU290" si="1202">CG290</f>
        <v>#REF!</v>
      </c>
      <c r="CV290" s="4" t="e">
        <f t="shared" ref="CV290" si="1203">CH290</f>
        <v>#REF!</v>
      </c>
      <c r="CW290" s="4" t="e">
        <f t="shared" ref="CW290" si="1204">CJ290</f>
        <v>#REF!</v>
      </c>
      <c r="CX290" s="4">
        <f t="shared" ref="CX290" si="1205">CM290</f>
        <v>1.225964360942069</v>
      </c>
      <c r="CY290" s="4">
        <f t="shared" ref="CY290" si="1206">CK290</f>
        <v>0.93949066396852476</v>
      </c>
      <c r="CZ290" s="4">
        <f t="shared" ref="CZ290" si="1207">CL290</f>
        <v>0.95490274844904621</v>
      </c>
      <c r="DC290" s="4" t="e">
        <f>#REF!</f>
        <v>#REF!</v>
      </c>
      <c r="DF290" s="4">
        <f t="shared" si="932"/>
        <v>2.338874423417441E-5</v>
      </c>
      <c r="DG290" s="4">
        <f t="shared" si="1083"/>
        <v>11.804361869983254</v>
      </c>
      <c r="DH290" s="4">
        <f t="shared" si="934"/>
        <v>0.20685087313395045</v>
      </c>
      <c r="DI290" s="4">
        <f t="shared" si="1084"/>
        <v>6.2850025462405528</v>
      </c>
      <c r="DJ290" s="4">
        <f t="shared" si="1085"/>
        <v>9.459852819454456</v>
      </c>
      <c r="DK290" s="4">
        <f t="shared" si="937"/>
        <v>10.76840592779776</v>
      </c>
      <c r="DL290" s="38">
        <f t="shared" si="938"/>
        <v>647.45280118009168</v>
      </c>
      <c r="DM290" s="4" t="e">
        <f t="shared" si="1086"/>
        <v>#REF!</v>
      </c>
      <c r="DN290" s="4">
        <f t="shared" si="940"/>
        <v>2.2583179581272428</v>
      </c>
      <c r="DO290" s="4">
        <f t="shared" si="976"/>
        <v>300.31162861840153</v>
      </c>
      <c r="DS290" s="4">
        <f t="shared" si="941"/>
        <v>0.85</v>
      </c>
      <c r="DT290" s="4">
        <f t="shared" si="942"/>
        <v>0.89249999999999996</v>
      </c>
      <c r="DU290" s="4">
        <f t="shared" si="943"/>
        <v>0.90625</v>
      </c>
      <c r="DV290" s="4">
        <f t="shared" si="1087"/>
        <v>0.80882812500000001</v>
      </c>
      <c r="DX290" s="4">
        <f t="shared" si="945"/>
        <v>637.00294407669026</v>
      </c>
      <c r="DY290" s="25">
        <f t="shared" si="1146"/>
        <v>297.03732222117264</v>
      </c>
      <c r="EA290" s="4">
        <f t="shared" si="1147"/>
        <v>0.68750390625000002</v>
      </c>
      <c r="EB290" s="4">
        <f t="shared" si="946"/>
        <v>11.804361869983254</v>
      </c>
      <c r="EE290" s="4">
        <f t="shared" si="947"/>
        <v>57.361276136431961</v>
      </c>
      <c r="EF290" s="4">
        <f t="shared" si="1088"/>
        <v>2.2583179581272428</v>
      </c>
      <c r="EG290" s="4">
        <f t="shared" si="949"/>
        <v>0.1005543658649911</v>
      </c>
      <c r="EJ290" s="4">
        <f t="shared" si="1089"/>
        <v>0.1005543658649911</v>
      </c>
      <c r="EK290" s="4">
        <f t="shared" si="950"/>
        <v>0.20650567757845198</v>
      </c>
      <c r="EL290" s="4">
        <f t="shared" si="1090"/>
        <v>6.2808050448135386</v>
      </c>
      <c r="EM290" s="4">
        <f t="shared" si="1091"/>
        <v>9.4584707445849645</v>
      </c>
      <c r="EN290" s="4" t="e">
        <f t="shared" si="1092"/>
        <v>#REF!</v>
      </c>
      <c r="EO290" s="4" t="e">
        <f t="shared" si="1093"/>
        <v>#REF!</v>
      </c>
      <c r="EP290" s="4" t="e">
        <f t="shared" si="951"/>
        <v>#REF!</v>
      </c>
      <c r="EQ290" s="4" t="e">
        <f t="shared" si="1094"/>
        <v>#REF!</v>
      </c>
      <c r="ER290" s="4" t="e">
        <f t="shared" si="952"/>
        <v>#REF!</v>
      </c>
      <c r="FA290" s="23" t="e">
        <f t="shared" si="1042"/>
        <v>#REF!</v>
      </c>
      <c r="FB290" s="23" t="e">
        <f t="shared" si="1043"/>
        <v>#REF!</v>
      </c>
      <c r="FC290" s="23">
        <f t="shared" si="981"/>
        <v>1.4</v>
      </c>
      <c r="FD290" s="23" t="e">
        <f t="shared" si="1044"/>
        <v>#REF!</v>
      </c>
      <c r="FE290" s="23">
        <f t="shared" si="1045"/>
        <v>1</v>
      </c>
      <c r="FF290" s="23">
        <f t="shared" si="1046"/>
        <v>1</v>
      </c>
      <c r="FG290" s="23">
        <f t="shared" si="968"/>
        <v>0</v>
      </c>
      <c r="FH290" s="23"/>
      <c r="FR290" s="4">
        <f t="shared" si="1122"/>
        <v>1</v>
      </c>
      <c r="FS290" s="4">
        <f t="shared" si="1123"/>
        <v>0.57526162790697688</v>
      </c>
      <c r="FT290" s="4">
        <f t="shared" si="1124"/>
        <v>0.28124999999999994</v>
      </c>
      <c r="FU290" s="4">
        <f t="shared" si="1125"/>
        <v>496.16112951403221</v>
      </c>
    </row>
    <row r="291" spans="2:177" ht="12" customHeight="1" x14ac:dyDescent="0.3">
      <c r="B291" s="24" t="s">
        <v>426</v>
      </c>
      <c r="C291" s="7" t="s">
        <v>427</v>
      </c>
      <c r="D291" s="38">
        <f>115.9/0.145</f>
        <v>799.31034482758628</v>
      </c>
      <c r="E291" s="38">
        <f>11.06*25.4</f>
        <v>280.92399999999998</v>
      </c>
      <c r="F291" s="38">
        <f>5500/145</f>
        <v>37.931034482758619</v>
      </c>
      <c r="G291" s="38">
        <f t="shared" si="1016"/>
        <v>25.4</v>
      </c>
      <c r="H291" s="38">
        <f>16.8*25.4</f>
        <v>426.71999999999997</v>
      </c>
      <c r="I291" s="38">
        <f t="shared" si="1201"/>
        <v>63.5</v>
      </c>
      <c r="J291" s="39">
        <f>3.35*25.4</f>
        <v>85.09</v>
      </c>
      <c r="K291" s="7">
        <f t="shared" si="986"/>
        <v>248.91999999999996</v>
      </c>
      <c r="L291" s="38">
        <v>2</v>
      </c>
      <c r="M291" s="4">
        <f t="shared" si="1028"/>
        <v>260.34999999999997</v>
      </c>
      <c r="N291" s="7">
        <f t="shared" si="905"/>
        <v>3</v>
      </c>
      <c r="O291" s="7">
        <f t="shared" si="906"/>
        <v>3</v>
      </c>
      <c r="P291" s="38">
        <v>6.5</v>
      </c>
      <c r="Q291" s="4">
        <f t="shared" si="1017"/>
        <v>6.5</v>
      </c>
      <c r="R291" s="4">
        <f t="shared" si="907"/>
        <v>7.5</v>
      </c>
      <c r="S291" s="7">
        <f t="shared" si="908"/>
        <v>69.56076480315609</v>
      </c>
      <c r="V291" s="38">
        <f t="shared" si="1054"/>
        <v>659.31034482758616</v>
      </c>
      <c r="W291" s="4">
        <v>95.6</v>
      </c>
      <c r="X291" s="4">
        <f t="shared" si="910"/>
        <v>1.051317145691999</v>
      </c>
      <c r="Y291" s="38"/>
      <c r="Z291" s="38"/>
      <c r="AA291" s="39">
        <v>1</v>
      </c>
      <c r="AB291" s="39"/>
      <c r="AC291" s="39"/>
      <c r="AD291" s="7"/>
      <c r="AE291" s="4">
        <f t="shared" si="912"/>
        <v>280.92399999999998</v>
      </c>
      <c r="AF291" s="4">
        <f t="shared" si="913"/>
        <v>0.50632911392405056</v>
      </c>
      <c r="AG291" s="4">
        <f t="shared" si="914"/>
        <v>286.14970251246518</v>
      </c>
      <c r="AH291" s="4">
        <f t="shared" si="915"/>
        <v>0.75424954792043397</v>
      </c>
      <c r="AI291" s="4">
        <v>1.25</v>
      </c>
      <c r="AJ291" s="4">
        <f t="shared" si="1154"/>
        <v>2.5</v>
      </c>
      <c r="AK291" s="38">
        <f t="shared" si="988"/>
        <v>341.500448983534</v>
      </c>
      <c r="AL291" s="38">
        <f t="shared" si="953"/>
        <v>341.500448983534</v>
      </c>
      <c r="AM291" s="38">
        <f t="shared" si="916"/>
        <v>3.3867596705239982</v>
      </c>
      <c r="AN291" s="38">
        <f t="shared" si="1161"/>
        <v>341.50044898353462</v>
      </c>
      <c r="AO291" s="38">
        <f t="shared" si="1115"/>
        <v>0.99999999999999822</v>
      </c>
      <c r="AP291" s="38">
        <f t="shared" si="1162"/>
        <v>1.6990702551697576</v>
      </c>
      <c r="AQ291" s="4">
        <f t="shared" si="1163"/>
        <v>0</v>
      </c>
      <c r="AR291" s="4" t="e">
        <f>#REF!/G291*F291^0.5/0.19</f>
        <v>#REF!</v>
      </c>
      <c r="AS291" s="4">
        <f t="shared" si="917"/>
        <v>1</v>
      </c>
      <c r="AT291" s="38">
        <f t="shared" si="918"/>
        <v>580.23325499504097</v>
      </c>
      <c r="AU291" s="4">
        <f t="shared" si="919"/>
        <v>0.3</v>
      </c>
      <c r="AV291" s="4" t="e">
        <f>AU291*D291*#REF!/(D291*G291/2.75/F291^0.5)</f>
        <v>#REF!</v>
      </c>
      <c r="AW291" s="4" t="e">
        <f t="shared" si="1068"/>
        <v>#REF!</v>
      </c>
      <c r="AY291" s="4">
        <f t="shared" si="920"/>
        <v>1.375</v>
      </c>
      <c r="AZ291" s="4" t="e">
        <f>(3*#REF!+30)*AY291*F291^0.5</f>
        <v>#REF!</v>
      </c>
      <c r="BB291" s="4">
        <f t="shared" si="921"/>
        <v>556.51464944355905</v>
      </c>
      <c r="BC291" s="4">
        <f t="shared" si="1103"/>
        <v>0</v>
      </c>
      <c r="BD291" s="4">
        <f t="shared" si="1069"/>
        <v>0</v>
      </c>
      <c r="BL291" s="4">
        <f t="shared" si="923"/>
        <v>63.5</v>
      </c>
      <c r="BP291" s="9"/>
      <c r="BR291" s="9"/>
      <c r="BS291" s="9"/>
      <c r="BT291" s="9">
        <f t="shared" si="924"/>
        <v>63.5</v>
      </c>
      <c r="BU291" s="9">
        <f t="shared" si="925"/>
        <v>124.45999999999998</v>
      </c>
      <c r="BV291" s="9">
        <f t="shared" si="926"/>
        <v>1.7490749303163509</v>
      </c>
      <c r="BW291" s="40">
        <f t="shared" si="1018"/>
        <v>0</v>
      </c>
      <c r="BX291" s="9">
        <f t="shared" si="927"/>
        <v>0</v>
      </c>
      <c r="BY291" s="9">
        <f t="shared" si="1070"/>
        <v>0</v>
      </c>
      <c r="BZ291" s="9">
        <f t="shared" si="928"/>
        <v>0.99524931562137331</v>
      </c>
      <c r="CA291" s="9">
        <f t="shared" si="929"/>
        <v>0.68048275862068963</v>
      </c>
      <c r="CB291" s="9">
        <f t="shared" si="930"/>
        <v>1.4598707313117956</v>
      </c>
      <c r="CC291" s="9">
        <f t="shared" si="931"/>
        <v>2.5534232976400588</v>
      </c>
      <c r="CD291" s="40">
        <v>1</v>
      </c>
      <c r="CE291" s="9" t="e">
        <f>4*CC291*#REF!+60*CC291</f>
        <v>#REF!</v>
      </c>
      <c r="CG291" s="4" t="e">
        <f t="shared" si="1071"/>
        <v>#REF!</v>
      </c>
      <c r="CH291" s="4" t="e">
        <f t="shared" si="1072"/>
        <v>#REF!</v>
      </c>
      <c r="CI291" s="4" t="e">
        <f t="shared" si="1073"/>
        <v>#REF!</v>
      </c>
      <c r="CJ291" s="4" t="e">
        <f t="shared" si="1074"/>
        <v>#REF!</v>
      </c>
      <c r="CK291" s="4">
        <f t="shared" si="1075"/>
        <v>1.051317145691999</v>
      </c>
      <c r="CL291" s="4">
        <f t="shared" si="1076"/>
        <v>1.10521720654621</v>
      </c>
      <c r="CM291" s="4">
        <f t="shared" si="978"/>
        <v>1.2044626549109341</v>
      </c>
      <c r="CN291" s="4">
        <f t="shared" si="1019"/>
        <v>0</v>
      </c>
      <c r="CO291" s="4" t="e">
        <f t="shared" ref="CO291:CO294" si="1208">CG291</f>
        <v>#REF!</v>
      </c>
      <c r="CP291" s="4" t="e">
        <f t="shared" ref="CP291:CP294" si="1209">CH291</f>
        <v>#REF!</v>
      </c>
      <c r="CQ291" s="4" t="e">
        <f t="shared" ref="CQ291:CQ294" si="1210">CJ291</f>
        <v>#REF!</v>
      </c>
      <c r="CR291" s="4">
        <f t="shared" ref="CR291:CR294" si="1211">CM291</f>
        <v>1.2044626549109341</v>
      </c>
      <c r="CS291" s="4">
        <f t="shared" ref="CS291:CS294" si="1212">CK291</f>
        <v>1.051317145691999</v>
      </c>
      <c r="CT291" s="4">
        <f t="shared" ref="CT291:CT294" si="1213">CL291</f>
        <v>1.10521720654621</v>
      </c>
      <c r="DC291" s="4" t="e">
        <f>#REF!</f>
        <v>#REF!</v>
      </c>
      <c r="DF291" s="4">
        <f t="shared" si="932"/>
        <v>2.0862644589160908E-5</v>
      </c>
      <c r="DG291" s="4">
        <f t="shared" si="1083"/>
        <v>7.7815993963460848</v>
      </c>
      <c r="DH291" s="4">
        <f t="shared" si="934"/>
        <v>0.37489915373489696</v>
      </c>
      <c r="DI291" s="4">
        <f t="shared" si="1084"/>
        <v>5.2557494461216852</v>
      </c>
      <c r="DJ291" s="4">
        <f t="shared" si="1085"/>
        <v>6.6403267014248541</v>
      </c>
      <c r="DK291" s="4">
        <f t="shared" si="937"/>
        <v>7.2756532072125752</v>
      </c>
      <c r="DL291" s="38">
        <f t="shared" si="938"/>
        <v>627.12792950181961</v>
      </c>
      <c r="DM291" s="4" t="e">
        <f t="shared" si="1086"/>
        <v>#REF!</v>
      </c>
      <c r="DN291" s="4">
        <f t="shared" si="940"/>
        <v>2.7386127875258306</v>
      </c>
      <c r="DO291" s="4">
        <f t="shared" si="976"/>
        <v>341.50044898353462</v>
      </c>
      <c r="DS291" s="4">
        <f t="shared" si="941"/>
        <v>0.85</v>
      </c>
      <c r="DT291" s="4">
        <f t="shared" si="942"/>
        <v>0.85</v>
      </c>
      <c r="DU291" s="4">
        <f t="shared" si="943"/>
        <v>1</v>
      </c>
      <c r="DV291" s="4">
        <f t="shared" si="1087"/>
        <v>0.85</v>
      </c>
      <c r="DX291" s="4">
        <f t="shared" si="945"/>
        <v>596.54368473679733</v>
      </c>
      <c r="DY291" s="25">
        <f t="shared" si="1146"/>
        <v>338.35021676603429</v>
      </c>
      <c r="EA291" s="4">
        <f t="shared" si="1147"/>
        <v>0.72249999999999992</v>
      </c>
      <c r="EB291" s="4">
        <f t="shared" si="946"/>
        <v>7.7815993963460848</v>
      </c>
      <c r="EE291" s="4">
        <f t="shared" si="947"/>
        <v>69.56076480315609</v>
      </c>
      <c r="EF291" s="4">
        <f t="shared" si="1088"/>
        <v>2.7386127875258306</v>
      </c>
      <c r="EG291" s="4">
        <f t="shared" si="949"/>
        <v>0.12625455895365398</v>
      </c>
      <c r="EJ291" s="4">
        <f t="shared" si="1089"/>
        <v>0.12625455895365398</v>
      </c>
      <c r="EK291" s="4">
        <f t="shared" si="950"/>
        <v>0.37427351691901739</v>
      </c>
      <c r="EL291" s="4">
        <f t="shared" si="1090"/>
        <v>5.2522393416089468</v>
      </c>
      <c r="EM291" s="4">
        <f t="shared" si="1091"/>
        <v>6.6389405680731253</v>
      </c>
      <c r="EN291" s="4" t="e">
        <f t="shared" si="1092"/>
        <v>#REF!</v>
      </c>
      <c r="EO291" s="4" t="e">
        <f t="shared" si="1093"/>
        <v>#REF!</v>
      </c>
      <c r="EP291" s="4" t="e">
        <f t="shared" si="951"/>
        <v>#REF!</v>
      </c>
      <c r="EQ291" s="4" t="e">
        <f t="shared" si="1094"/>
        <v>#REF!</v>
      </c>
      <c r="ER291" s="4" t="e">
        <f t="shared" si="952"/>
        <v>#REF!</v>
      </c>
      <c r="FA291" s="23" t="e">
        <f t="shared" si="1042"/>
        <v>#REF!</v>
      </c>
      <c r="FB291" s="23" t="e">
        <f t="shared" si="1043"/>
        <v>#REF!</v>
      </c>
      <c r="FC291" s="23">
        <f t="shared" si="981"/>
        <v>1.4</v>
      </c>
      <c r="FD291" s="23" t="e">
        <f t="shared" si="1044"/>
        <v>#REF!</v>
      </c>
      <c r="FE291" s="23">
        <f t="shared" si="1045"/>
        <v>1.2</v>
      </c>
      <c r="FF291" s="23">
        <f t="shared" si="1046"/>
        <v>1.2</v>
      </c>
      <c r="FG291" s="23">
        <f t="shared" si="968"/>
        <v>0</v>
      </c>
      <c r="FH291" s="23"/>
      <c r="FR291" s="4">
        <f t="shared" si="1122"/>
        <v>1</v>
      </c>
      <c r="FS291" s="4">
        <f t="shared" si="1123"/>
        <v>0.5</v>
      </c>
      <c r="FT291" s="4">
        <f t="shared" si="1124"/>
        <v>0</v>
      </c>
      <c r="FU291" s="4">
        <f t="shared" si="1125"/>
        <v>547.38961157441611</v>
      </c>
    </row>
    <row r="292" spans="2:177" ht="12" customHeight="1" x14ac:dyDescent="0.3">
      <c r="B292" s="24"/>
      <c r="C292" s="7" t="s">
        <v>428</v>
      </c>
      <c r="D292" s="38">
        <f t="shared" ref="D292:D302" si="1214">115.9/0.145</f>
        <v>799.31034482758628</v>
      </c>
      <c r="E292" s="38">
        <f>14.25*25.4</f>
        <v>361.95</v>
      </c>
      <c r="F292" s="38">
        <f t="shared" ref="F292:F294" si="1215">5500/145</f>
        <v>37.931034482758619</v>
      </c>
      <c r="G292" s="38">
        <f t="shared" si="1016"/>
        <v>25.4</v>
      </c>
      <c r="H292" s="38">
        <f>16.3*25.4</f>
        <v>414.02</v>
      </c>
      <c r="I292" s="38">
        <f>2.35*25.4</f>
        <v>59.69</v>
      </c>
      <c r="J292" s="39">
        <f>3.15*25.4</f>
        <v>80.009999999999991</v>
      </c>
      <c r="K292" s="7">
        <f t="shared" si="986"/>
        <v>243.83999999999997</v>
      </c>
      <c r="L292" s="38">
        <v>2</v>
      </c>
      <c r="M292" s="4">
        <f t="shared" si="1028"/>
        <v>260.34999999999997</v>
      </c>
      <c r="N292" s="7">
        <f t="shared" si="905"/>
        <v>2.85</v>
      </c>
      <c r="O292" s="7">
        <f t="shared" si="906"/>
        <v>2.85</v>
      </c>
      <c r="P292" s="38">
        <v>6.5</v>
      </c>
      <c r="Q292" s="4">
        <f t="shared" si="1017"/>
        <v>6.5</v>
      </c>
      <c r="R292" s="4">
        <f t="shared" si="907"/>
        <v>7.5</v>
      </c>
      <c r="S292" s="7">
        <f t="shared" si="908"/>
        <v>69.56076480315609</v>
      </c>
      <c r="V292" s="38">
        <f t="shared" si="1054"/>
        <v>765.51724137931035</v>
      </c>
      <c r="W292" s="4">
        <v>111</v>
      </c>
      <c r="X292" s="4">
        <f t="shared" si="910"/>
        <v>1.0428358329621183</v>
      </c>
      <c r="Y292" s="38"/>
      <c r="Z292" s="38"/>
      <c r="AA292" s="39">
        <v>1</v>
      </c>
      <c r="AB292" s="39"/>
      <c r="AC292" s="39"/>
      <c r="AD292" s="7"/>
      <c r="AE292" s="4">
        <f t="shared" si="912"/>
        <v>361.95</v>
      </c>
      <c r="AF292" s="4">
        <f t="shared" si="913"/>
        <v>0.38128654970760234</v>
      </c>
      <c r="AG292" s="4">
        <f t="shared" si="914"/>
        <v>418.48789934570812</v>
      </c>
      <c r="AH292" s="4">
        <f t="shared" si="915"/>
        <v>0.74</v>
      </c>
      <c r="AI292" s="4">
        <v>1.25</v>
      </c>
      <c r="AJ292" s="4">
        <f t="shared" si="1154"/>
        <v>2.5</v>
      </c>
      <c r="AK292" s="38">
        <f t="shared" si="988"/>
        <v>368.99130423303592</v>
      </c>
      <c r="AL292" s="38">
        <f t="shared" si="953"/>
        <v>368.99130423303592</v>
      </c>
      <c r="AM292" s="38">
        <f t="shared" si="916"/>
        <v>3.3867596705239982</v>
      </c>
      <c r="AN292" s="38">
        <f t="shared" si="1161"/>
        <v>368.99130423303569</v>
      </c>
      <c r="AO292" s="38">
        <f t="shared" si="1115"/>
        <v>1.0000000000000007</v>
      </c>
      <c r="AP292" s="38">
        <f t="shared" si="1162"/>
        <v>1.4938606572071575</v>
      </c>
      <c r="AQ292" s="4">
        <f t="shared" si="1163"/>
        <v>0</v>
      </c>
      <c r="AR292" s="4" t="e">
        <f>#REF!/G292*F292^0.5/0.19</f>
        <v>#REF!</v>
      </c>
      <c r="AS292" s="4">
        <f t="shared" si="917"/>
        <v>1</v>
      </c>
      <c r="AT292" s="38">
        <f t="shared" si="918"/>
        <v>551.22159224528889</v>
      </c>
      <c r="AU292" s="4">
        <f t="shared" si="919"/>
        <v>0.3</v>
      </c>
      <c r="AV292" s="4" t="e">
        <f>AU292*D292*#REF!/(D292*G292/2.75/F292^0.5)</f>
        <v>#REF!</v>
      </c>
      <c r="AW292" s="4" t="e">
        <f t="shared" si="1068"/>
        <v>#REF!</v>
      </c>
      <c r="AY292" s="4">
        <f t="shared" si="920"/>
        <v>1.3374999999999999</v>
      </c>
      <c r="AZ292" s="4" t="e">
        <f>(3*#REF!+30)*AY292*F292^0.5</f>
        <v>#REF!</v>
      </c>
      <c r="BB292" s="4">
        <f t="shared" si="921"/>
        <v>528.68891697138122</v>
      </c>
      <c r="BC292" s="4">
        <f t="shared" si="1103"/>
        <v>0</v>
      </c>
      <c r="BD292" s="4">
        <f t="shared" si="1069"/>
        <v>0</v>
      </c>
      <c r="BL292" s="4">
        <f t="shared" si="923"/>
        <v>59.69</v>
      </c>
      <c r="BP292" s="9"/>
      <c r="BR292" s="9"/>
      <c r="BS292" s="9"/>
      <c r="BT292" s="9">
        <f t="shared" si="924"/>
        <v>59.69</v>
      </c>
      <c r="BU292" s="9">
        <f t="shared" si="925"/>
        <v>121.91999999999999</v>
      </c>
      <c r="BV292" s="9">
        <f t="shared" si="926"/>
        <v>1.7063178633321976</v>
      </c>
      <c r="BW292" s="40">
        <f t="shared" si="1018"/>
        <v>0</v>
      </c>
      <c r="BX292" s="9">
        <f t="shared" si="927"/>
        <v>0</v>
      </c>
      <c r="BY292" s="9">
        <f t="shared" si="1070"/>
        <v>0</v>
      </c>
      <c r="BZ292" s="9">
        <f t="shared" si="928"/>
        <v>0.99524931562137331</v>
      </c>
      <c r="CA292" s="9">
        <f t="shared" si="929"/>
        <v>0.68048275862068963</v>
      </c>
      <c r="CB292" s="9">
        <f t="shared" si="930"/>
        <v>1.4598707313117956</v>
      </c>
      <c r="CC292" s="9">
        <f t="shared" si="931"/>
        <v>2.4910035069931555</v>
      </c>
      <c r="CD292" s="40">
        <v>1</v>
      </c>
      <c r="CE292" s="9" t="e">
        <f>4*CC292*#REF!+60*CC292</f>
        <v>#REF!</v>
      </c>
      <c r="CG292" s="4" t="e">
        <f t="shared" si="1071"/>
        <v>#REF!</v>
      </c>
      <c r="CH292" s="4" t="e">
        <f t="shared" si="1072"/>
        <v>#REF!</v>
      </c>
      <c r="CI292" s="4" t="e">
        <f t="shared" si="1073"/>
        <v>#REF!</v>
      </c>
      <c r="CJ292" s="4" t="e">
        <f t="shared" si="1074"/>
        <v>#REF!</v>
      </c>
      <c r="CK292" s="4">
        <f t="shared" si="1075"/>
        <v>1.0428358329621183</v>
      </c>
      <c r="CL292" s="4">
        <f t="shared" si="1076"/>
        <v>1.1039912468916053</v>
      </c>
      <c r="CM292" s="4">
        <f t="shared" si="978"/>
        <v>1.3567777131762069</v>
      </c>
      <c r="CN292" s="4">
        <f t="shared" si="1019"/>
        <v>0</v>
      </c>
      <c r="CO292" s="4" t="e">
        <f t="shared" si="1208"/>
        <v>#REF!</v>
      </c>
      <c r="CP292" s="4" t="e">
        <f t="shared" si="1209"/>
        <v>#REF!</v>
      </c>
      <c r="CQ292" s="4" t="e">
        <f t="shared" si="1210"/>
        <v>#REF!</v>
      </c>
      <c r="CR292" s="4">
        <f t="shared" si="1211"/>
        <v>1.3567777131762069</v>
      </c>
      <c r="CS292" s="4">
        <f t="shared" si="1212"/>
        <v>1.0428358329621183</v>
      </c>
      <c r="CT292" s="4">
        <f t="shared" si="1213"/>
        <v>1.1039912468916053</v>
      </c>
      <c r="DC292" s="4" t="e">
        <f>#REF!</f>
        <v>#REF!</v>
      </c>
      <c r="DF292" s="4">
        <f t="shared" si="932"/>
        <v>2.6879989637933361E-5</v>
      </c>
      <c r="DG292" s="4">
        <f t="shared" si="1083"/>
        <v>7.6466583663516436</v>
      </c>
      <c r="DH292" s="4">
        <f t="shared" si="934"/>
        <v>0.40507861147547347</v>
      </c>
      <c r="DI292" s="4">
        <f t="shared" si="1084"/>
        <v>5.3270578424525894</v>
      </c>
      <c r="DJ292" s="4">
        <f t="shared" si="1085"/>
        <v>6.5900437533847063</v>
      </c>
      <c r="DK292" s="4">
        <f t="shared" si="937"/>
        <v>6.8205102906273032</v>
      </c>
      <c r="DL292" s="38">
        <f t="shared" si="938"/>
        <v>734.07262886709634</v>
      </c>
      <c r="DM292" s="4" t="e">
        <f t="shared" si="1086"/>
        <v>#REF!</v>
      </c>
      <c r="DN292" s="4">
        <f t="shared" si="940"/>
        <v>2.7386127875258306</v>
      </c>
      <c r="DO292" s="4">
        <f t="shared" si="976"/>
        <v>368.99130423303569</v>
      </c>
      <c r="DS292" s="4">
        <f t="shared" si="941"/>
        <v>0.85</v>
      </c>
      <c r="DT292" s="4">
        <f t="shared" si="942"/>
        <v>0.86499999999999999</v>
      </c>
      <c r="DU292" s="4">
        <f t="shared" si="943"/>
        <v>1</v>
      </c>
      <c r="DV292" s="4">
        <f t="shared" si="1087"/>
        <v>0.86499999999999999</v>
      </c>
      <c r="DX292" s="4">
        <f t="shared" si="945"/>
        <v>693.40879607034799</v>
      </c>
      <c r="DY292" s="25">
        <f t="shared" si="1146"/>
        <v>366.51415090881522</v>
      </c>
      <c r="EA292" s="4">
        <f t="shared" si="1147"/>
        <v>0.73524999999999996</v>
      </c>
      <c r="EB292" s="4">
        <f t="shared" si="946"/>
        <v>7.6466583663516436</v>
      </c>
      <c r="EE292" s="4">
        <f t="shared" si="947"/>
        <v>69.56076480315609</v>
      </c>
      <c r="EF292" s="4">
        <f t="shared" si="1088"/>
        <v>2.7386127875258306</v>
      </c>
      <c r="EG292" s="4">
        <f t="shared" si="949"/>
        <v>0.13641807649840498</v>
      </c>
      <c r="EJ292" s="4">
        <f t="shared" si="1089"/>
        <v>0.13641807649840498</v>
      </c>
      <c r="EK292" s="4">
        <f t="shared" si="950"/>
        <v>0.40440261076931122</v>
      </c>
      <c r="EL292" s="4">
        <f t="shared" si="1090"/>
        <v>5.3235001139185165</v>
      </c>
      <c r="EM292" s="4">
        <f t="shared" si="1091"/>
        <v>6.5886082506511858</v>
      </c>
      <c r="EN292" s="4" t="e">
        <f t="shared" si="1092"/>
        <v>#REF!</v>
      </c>
      <c r="EO292" s="4" t="e">
        <f t="shared" si="1093"/>
        <v>#REF!</v>
      </c>
      <c r="EP292" s="4" t="e">
        <f t="shared" si="951"/>
        <v>#REF!</v>
      </c>
      <c r="EQ292" s="4" t="e">
        <f t="shared" si="1094"/>
        <v>#REF!</v>
      </c>
      <c r="ER292" s="4" t="e">
        <f t="shared" si="952"/>
        <v>#REF!</v>
      </c>
      <c r="FA292" s="23" t="e">
        <f t="shared" si="1042"/>
        <v>#REF!</v>
      </c>
      <c r="FB292" s="23" t="e">
        <f t="shared" si="1043"/>
        <v>#REF!</v>
      </c>
      <c r="FC292" s="23">
        <f t="shared" si="981"/>
        <v>1.4</v>
      </c>
      <c r="FD292" s="23" t="e">
        <f t="shared" si="1044"/>
        <v>#REF!</v>
      </c>
      <c r="FE292" s="23">
        <f t="shared" si="1045"/>
        <v>1.2</v>
      </c>
      <c r="FF292" s="23">
        <f t="shared" si="1046"/>
        <v>1.2</v>
      </c>
      <c r="FG292" s="23">
        <f t="shared" si="968"/>
        <v>0</v>
      </c>
      <c r="FH292" s="23"/>
      <c r="FR292" s="4">
        <f t="shared" si="1122"/>
        <v>1.25</v>
      </c>
      <c r="FS292" s="4">
        <f t="shared" si="1123"/>
        <v>0.5</v>
      </c>
      <c r="FT292" s="4">
        <f t="shared" si="1124"/>
        <v>0</v>
      </c>
      <c r="FU292" s="4">
        <f t="shared" si="1125"/>
        <v>564.21714032082673</v>
      </c>
    </row>
    <row r="293" spans="2:177" ht="12" customHeight="1" x14ac:dyDescent="0.3">
      <c r="B293" s="24"/>
      <c r="C293" s="48" t="s">
        <v>429</v>
      </c>
      <c r="D293" s="38">
        <f t="shared" si="1214"/>
        <v>799.31034482758628</v>
      </c>
      <c r="E293" s="38">
        <f>11.25*25.4</f>
        <v>285.75</v>
      </c>
      <c r="F293" s="38">
        <f t="shared" si="1215"/>
        <v>37.931034482758619</v>
      </c>
      <c r="G293" s="38">
        <f t="shared" si="1016"/>
        <v>25.4</v>
      </c>
      <c r="H293" s="38">
        <f>16.9*25.4</f>
        <v>429.25999999999993</v>
      </c>
      <c r="I293" s="38">
        <f t="shared" si="1201"/>
        <v>63.5</v>
      </c>
      <c r="J293" s="39">
        <f>3.25*25.4</f>
        <v>82.55</v>
      </c>
      <c r="K293" s="7">
        <f t="shared" si="986"/>
        <v>251.45999999999992</v>
      </c>
      <c r="L293" s="38">
        <v>2</v>
      </c>
      <c r="M293" s="4">
        <f t="shared" si="1028"/>
        <v>260.34999999999997</v>
      </c>
      <c r="N293" s="7">
        <f t="shared" si="905"/>
        <v>3</v>
      </c>
      <c r="O293" s="7">
        <f t="shared" si="906"/>
        <v>3</v>
      </c>
      <c r="P293" s="38">
        <v>4.5</v>
      </c>
      <c r="Q293" s="4">
        <f t="shared" si="1017"/>
        <v>4.5</v>
      </c>
      <c r="R293" s="4">
        <f t="shared" si="907"/>
        <v>5.5</v>
      </c>
      <c r="S293" s="7">
        <f t="shared" si="908"/>
        <v>59.568280149757555</v>
      </c>
      <c r="V293" s="38">
        <f t="shared" si="1054"/>
        <v>588.27586206896558</v>
      </c>
      <c r="W293" s="4">
        <v>85.3</v>
      </c>
      <c r="X293" s="4">
        <f t="shared" si="910"/>
        <v>0.90762534595970545</v>
      </c>
      <c r="Y293" s="38"/>
      <c r="Z293" s="38"/>
      <c r="AA293" s="39">
        <v>1</v>
      </c>
      <c r="AB293" s="39"/>
      <c r="AC293" s="39"/>
      <c r="AD293" s="7"/>
      <c r="AE293" s="4">
        <f t="shared" si="912"/>
        <v>285.75</v>
      </c>
      <c r="AF293" s="4">
        <f t="shared" si="913"/>
        <v>0.50074074074074071</v>
      </c>
      <c r="AG293" s="4">
        <f t="shared" si="914"/>
        <v>293.55493918404102</v>
      </c>
      <c r="AH293" s="4">
        <f t="shared" si="915"/>
        <v>0.7533333333333333</v>
      </c>
      <c r="AI293" s="4">
        <v>1.25</v>
      </c>
      <c r="AJ293" s="4">
        <f t="shared" si="1154"/>
        <v>2.5</v>
      </c>
      <c r="AK293" s="38">
        <f t="shared" si="988"/>
        <v>346.05053540726112</v>
      </c>
      <c r="AL293" s="38">
        <f t="shared" si="953"/>
        <v>346.05053540726112</v>
      </c>
      <c r="AM293" s="38">
        <f t="shared" si="916"/>
        <v>3.3867596705239982</v>
      </c>
      <c r="AN293" s="38">
        <f t="shared" si="1161"/>
        <v>346.05053540726101</v>
      </c>
      <c r="AO293" s="38">
        <f t="shared" si="1115"/>
        <v>1.0000000000000002</v>
      </c>
      <c r="AP293" s="38">
        <f t="shared" si="1162"/>
        <v>1.3951235475912487</v>
      </c>
      <c r="AQ293" s="4">
        <f t="shared" si="1163"/>
        <v>0</v>
      </c>
      <c r="AR293" s="4" t="e">
        <f>#REF!/G293*F293^0.5/0.19</f>
        <v>#REF!</v>
      </c>
      <c r="AS293" s="4">
        <f t="shared" si="917"/>
        <v>1</v>
      </c>
      <c r="AT293" s="38">
        <f t="shared" si="918"/>
        <v>482.78325060322902</v>
      </c>
      <c r="AU293" s="4">
        <f t="shared" si="919"/>
        <v>0.37</v>
      </c>
      <c r="AV293" s="4" t="e">
        <f>AU293*D293*#REF!/(D293*G293/2.75/F293^0.5)</f>
        <v>#REF!</v>
      </c>
      <c r="AW293" s="4" t="e">
        <f t="shared" si="1068"/>
        <v>#REF!</v>
      </c>
      <c r="AY293" s="4">
        <f t="shared" si="920"/>
        <v>1.375</v>
      </c>
      <c r="AZ293" s="4" t="e">
        <f>(3*#REF!+30)*AY293*F293^0.5</f>
        <v>#REF!</v>
      </c>
      <c r="BB293" s="4">
        <f t="shared" si="921"/>
        <v>463.04817787283525</v>
      </c>
      <c r="BC293" s="4">
        <f t="shared" si="1103"/>
        <v>0</v>
      </c>
      <c r="BD293" s="4">
        <f t="shared" si="1069"/>
        <v>0</v>
      </c>
      <c r="BL293" s="4">
        <f t="shared" si="923"/>
        <v>63.5</v>
      </c>
      <c r="BP293" s="9"/>
      <c r="BR293" s="9"/>
      <c r="BS293" s="9"/>
      <c r="BT293" s="9">
        <f t="shared" si="924"/>
        <v>63.5</v>
      </c>
      <c r="BU293" s="9">
        <f t="shared" si="925"/>
        <v>125.72999999999996</v>
      </c>
      <c r="BV293" s="9">
        <f t="shared" si="926"/>
        <v>1.7517405482385959</v>
      </c>
      <c r="BW293" s="40">
        <f t="shared" si="1018"/>
        <v>0</v>
      </c>
      <c r="BX293" s="9">
        <f t="shared" si="927"/>
        <v>0</v>
      </c>
      <c r="BY293" s="9">
        <f t="shared" si="1070"/>
        <v>0</v>
      </c>
      <c r="BZ293" s="9">
        <f t="shared" si="928"/>
        <v>0.99524931562137331</v>
      </c>
      <c r="CA293" s="9">
        <f t="shared" si="929"/>
        <v>0.68048275862068963</v>
      </c>
      <c r="CB293" s="9">
        <f t="shared" si="930"/>
        <v>1.4598707313117956</v>
      </c>
      <c r="CC293" s="9">
        <f t="shared" si="931"/>
        <v>2.5573147552256046</v>
      </c>
      <c r="CD293" s="40">
        <v>1</v>
      </c>
      <c r="CE293" s="9" t="e">
        <f>4*CC293*#REF!+60*CC293</f>
        <v>#REF!</v>
      </c>
      <c r="CG293" s="4" t="e">
        <f t="shared" si="1071"/>
        <v>#REF!</v>
      </c>
      <c r="CH293" s="4" t="e">
        <f t="shared" si="1072"/>
        <v>#REF!</v>
      </c>
      <c r="CI293" s="4" t="e">
        <f t="shared" si="1073"/>
        <v>#REF!</v>
      </c>
      <c r="CJ293" s="4" t="e">
        <f t="shared" si="1074"/>
        <v>#REF!</v>
      </c>
      <c r="CK293" s="4">
        <f t="shared" si="1075"/>
        <v>0.90762534595970545</v>
      </c>
      <c r="CL293" s="4">
        <f t="shared" si="1076"/>
        <v>0.97146948096887209</v>
      </c>
      <c r="CM293" s="4">
        <f t="shared" si="978"/>
        <v>1.0565427698472931</v>
      </c>
      <c r="CN293" s="4">
        <f t="shared" si="1019"/>
        <v>0</v>
      </c>
      <c r="CO293" s="4" t="e">
        <f t="shared" si="1208"/>
        <v>#REF!</v>
      </c>
      <c r="CP293" s="4" t="e">
        <f t="shared" si="1209"/>
        <v>#REF!</v>
      </c>
      <c r="CQ293" s="4" t="e">
        <f t="shared" si="1210"/>
        <v>#REF!</v>
      </c>
      <c r="CR293" s="4">
        <f t="shared" si="1211"/>
        <v>1.0565427698472931</v>
      </c>
      <c r="CS293" s="4">
        <f t="shared" si="1212"/>
        <v>0.90762534595970545</v>
      </c>
      <c r="CT293" s="4">
        <f t="shared" si="1213"/>
        <v>0.97146948096887209</v>
      </c>
      <c r="DC293" s="4" t="e">
        <f>#REF!</f>
        <v>#REF!</v>
      </c>
      <c r="DF293" s="4">
        <f t="shared" si="932"/>
        <v>2.1221044451000022E-5</v>
      </c>
      <c r="DG293" s="4">
        <f t="shared" si="1083"/>
        <v>7.7815993963460848</v>
      </c>
      <c r="DH293" s="4">
        <f t="shared" si="934"/>
        <v>0.4699095404899471</v>
      </c>
      <c r="DI293" s="4">
        <f t="shared" si="1084"/>
        <v>5.7527377219882574</v>
      </c>
      <c r="DJ293" s="4">
        <f t="shared" si="1085"/>
        <v>6.8429466892191968</v>
      </c>
      <c r="DK293" s="4">
        <f t="shared" si="937"/>
        <v>7.2333707816262507</v>
      </c>
      <c r="DL293" s="38">
        <f t="shared" si="938"/>
        <v>648.14834081890262</v>
      </c>
      <c r="DM293" s="4" t="e">
        <f t="shared" si="1086"/>
        <v>#REF!</v>
      </c>
      <c r="DN293" s="4">
        <f t="shared" si="940"/>
        <v>2.3452078799117149</v>
      </c>
      <c r="DO293" s="4">
        <f t="shared" si="976"/>
        <v>346.05053540726101</v>
      </c>
      <c r="DS293" s="4">
        <f t="shared" si="941"/>
        <v>0.85</v>
      </c>
      <c r="DT293" s="4">
        <f t="shared" si="942"/>
        <v>0.85</v>
      </c>
      <c r="DU293" s="4">
        <f t="shared" si="943"/>
        <v>1</v>
      </c>
      <c r="DV293" s="4">
        <f t="shared" si="1087"/>
        <v>0.85</v>
      </c>
      <c r="DX293" s="4">
        <f t="shared" si="945"/>
        <v>605.55259181406564</v>
      </c>
      <c r="DY293" s="25">
        <f t="shared" si="1146"/>
        <v>342.92361218738517</v>
      </c>
      <c r="EA293" s="4">
        <f t="shared" si="1147"/>
        <v>0.72249999999999992</v>
      </c>
      <c r="EB293" s="4">
        <f t="shared" si="946"/>
        <v>7.7815993963460848</v>
      </c>
      <c r="EE293" s="4">
        <f t="shared" si="947"/>
        <v>59.568280149757555</v>
      </c>
      <c r="EF293" s="4">
        <f t="shared" si="1088"/>
        <v>2.3452078799117149</v>
      </c>
      <c r="EG293" s="4">
        <f t="shared" si="949"/>
        <v>0.15825114885328698</v>
      </c>
      <c r="EJ293" s="4">
        <f t="shared" si="1089"/>
        <v>0.15825114885328698</v>
      </c>
      <c r="EK293" s="4">
        <f t="shared" si="950"/>
        <v>0.46912534904610242</v>
      </c>
      <c r="EL293" s="4">
        <f t="shared" si="1090"/>
        <v>5.7488956989151347</v>
      </c>
      <c r="EM293" s="4">
        <f t="shared" si="1091"/>
        <v>6.8413334294190342</v>
      </c>
      <c r="EN293" s="4" t="e">
        <f t="shared" si="1092"/>
        <v>#REF!</v>
      </c>
      <c r="EO293" s="4" t="e">
        <f t="shared" si="1093"/>
        <v>#REF!</v>
      </c>
      <c r="EP293" s="4" t="e">
        <f t="shared" si="951"/>
        <v>#REF!</v>
      </c>
      <c r="EQ293" s="4" t="e">
        <f t="shared" si="1094"/>
        <v>#REF!</v>
      </c>
      <c r="ER293" s="4" t="e">
        <f t="shared" si="952"/>
        <v>#REF!</v>
      </c>
      <c r="EU293" s="4">
        <f>5.25*25.4</f>
        <v>133.35</v>
      </c>
      <c r="FA293" s="23" t="e">
        <f t="shared" si="1042"/>
        <v>#REF!</v>
      </c>
      <c r="FB293" s="23" t="e">
        <f t="shared" si="1043"/>
        <v>#REF!</v>
      </c>
      <c r="FC293" s="23">
        <f t="shared" si="981"/>
        <v>1.2</v>
      </c>
      <c r="FD293" s="23" t="e">
        <f t="shared" si="1044"/>
        <v>#REF!</v>
      </c>
      <c r="FE293" s="23">
        <f t="shared" si="1045"/>
        <v>1</v>
      </c>
      <c r="FF293" s="23">
        <f t="shared" si="1046"/>
        <v>1</v>
      </c>
      <c r="FG293" s="23">
        <f t="shared" si="968"/>
        <v>0</v>
      </c>
      <c r="FH293" s="23"/>
      <c r="FR293" s="4">
        <f t="shared" si="1122"/>
        <v>1</v>
      </c>
      <c r="FS293" s="4">
        <f t="shared" si="1123"/>
        <v>0.5</v>
      </c>
      <c r="FT293" s="4">
        <f t="shared" si="1124"/>
        <v>0</v>
      </c>
      <c r="FU293" s="4">
        <f t="shared" si="1125"/>
        <v>556.79323057976319</v>
      </c>
    </row>
    <row r="294" spans="2:177" ht="12" customHeight="1" x14ac:dyDescent="0.3">
      <c r="B294" s="24"/>
      <c r="C294" s="48" t="s">
        <v>430</v>
      </c>
      <c r="D294" s="38">
        <f t="shared" si="1214"/>
        <v>799.31034482758628</v>
      </c>
      <c r="E294" s="38">
        <f>14.13*25.4</f>
        <v>358.90199999999999</v>
      </c>
      <c r="F294" s="38">
        <f t="shared" si="1215"/>
        <v>37.931034482758619</v>
      </c>
      <c r="G294" s="38">
        <f t="shared" si="1016"/>
        <v>25.4</v>
      </c>
      <c r="H294" s="38">
        <f>17*25.4</f>
        <v>431.79999999999995</v>
      </c>
      <c r="I294" s="38">
        <f t="shared" si="1201"/>
        <v>63.5</v>
      </c>
      <c r="J294" s="39">
        <f>3.35*25.4</f>
        <v>85.09</v>
      </c>
      <c r="K294" s="7">
        <f t="shared" si="986"/>
        <v>253.99999999999994</v>
      </c>
      <c r="L294" s="38">
        <v>2</v>
      </c>
      <c r="M294" s="4">
        <f t="shared" si="1028"/>
        <v>260.34999999999997</v>
      </c>
      <c r="N294" s="7">
        <f t="shared" si="905"/>
        <v>3</v>
      </c>
      <c r="O294" s="7">
        <f t="shared" si="906"/>
        <v>3</v>
      </c>
      <c r="P294" s="38">
        <v>4.5</v>
      </c>
      <c r="Q294" s="4">
        <f t="shared" si="1017"/>
        <v>4.5</v>
      </c>
      <c r="R294" s="4">
        <f t="shared" si="907"/>
        <v>5.5</v>
      </c>
      <c r="S294" s="7">
        <f t="shared" si="908"/>
        <v>59.568280149757555</v>
      </c>
      <c r="V294" s="38">
        <f t="shared" si="1054"/>
        <v>742.06896551724139</v>
      </c>
      <c r="W294" s="4">
        <v>107.6</v>
      </c>
      <c r="X294" s="4">
        <f t="shared" si="910"/>
        <v>0.96668345094347008</v>
      </c>
      <c r="Y294" s="38"/>
      <c r="Z294" s="38"/>
      <c r="AA294" s="39">
        <v>1</v>
      </c>
      <c r="AB294" s="39"/>
      <c r="AC294" s="39"/>
      <c r="AD294" s="7"/>
      <c r="AE294" s="4">
        <f t="shared" si="912"/>
        <v>358.90199999999999</v>
      </c>
      <c r="AF294" s="4">
        <f t="shared" si="913"/>
        <v>0.40103798065581497</v>
      </c>
      <c r="AG294" s="4">
        <f t="shared" si="914"/>
        <v>413.21288083953738</v>
      </c>
      <c r="AH294" s="4">
        <f t="shared" si="915"/>
        <v>0.74246284501061566</v>
      </c>
      <c r="AI294" s="4">
        <v>1.25</v>
      </c>
      <c r="AJ294" s="4">
        <f t="shared" si="1154"/>
        <v>2.5</v>
      </c>
      <c r="AK294" s="38">
        <f t="shared" si="988"/>
        <v>384.48916229901221</v>
      </c>
      <c r="AL294" s="38">
        <f t="shared" si="953"/>
        <v>384.48916229901221</v>
      </c>
      <c r="AM294" s="38">
        <f t="shared" si="916"/>
        <v>3.3867596705239982</v>
      </c>
      <c r="AN294" s="38">
        <f t="shared" si="1161"/>
        <v>384.48916229901232</v>
      </c>
      <c r="AO294" s="38">
        <f t="shared" si="1115"/>
        <v>0.99999999999999967</v>
      </c>
      <c r="AP294" s="38">
        <f t="shared" si="1162"/>
        <v>1.2556485278192955</v>
      </c>
      <c r="AQ294" s="4">
        <f t="shared" si="1163"/>
        <v>0</v>
      </c>
      <c r="AR294" s="4" t="e">
        <f>#REF!/G294*F294^0.5/0.19</f>
        <v>#REF!</v>
      </c>
      <c r="AS294" s="4">
        <f t="shared" si="917"/>
        <v>1</v>
      </c>
      <c r="AT294" s="38">
        <f t="shared" si="918"/>
        <v>482.78325060322902</v>
      </c>
      <c r="AU294" s="4">
        <f t="shared" si="919"/>
        <v>0.37</v>
      </c>
      <c r="AV294" s="4" t="e">
        <f>AU294*D294*#REF!/(D294*G294/2.75/F294^0.5)</f>
        <v>#REF!</v>
      </c>
      <c r="AW294" s="4" t="e">
        <f t="shared" si="1068"/>
        <v>#REF!</v>
      </c>
      <c r="AY294" s="4">
        <f t="shared" si="920"/>
        <v>1.375</v>
      </c>
      <c r="AZ294" s="4" t="e">
        <f>(3*#REF!+30)*AY294*F294^0.5</f>
        <v>#REF!</v>
      </c>
      <c r="BB294" s="4">
        <f t="shared" si="921"/>
        <v>463.04817787283525</v>
      </c>
      <c r="BC294" s="4">
        <f t="shared" si="1103"/>
        <v>0</v>
      </c>
      <c r="BD294" s="4">
        <f t="shared" si="1069"/>
        <v>0</v>
      </c>
      <c r="BL294" s="4">
        <f t="shared" si="923"/>
        <v>63.5</v>
      </c>
      <c r="BP294" s="9"/>
      <c r="BR294" s="9"/>
      <c r="BS294" s="9"/>
      <c r="BT294" s="9">
        <f t="shared" si="924"/>
        <v>63.5</v>
      </c>
      <c r="BU294" s="9">
        <f t="shared" si="925"/>
        <v>126.99999999999997</v>
      </c>
      <c r="BV294" s="9">
        <f t="shared" si="926"/>
        <v>1.7543833769624846</v>
      </c>
      <c r="BW294" s="40">
        <f t="shared" si="1018"/>
        <v>0</v>
      </c>
      <c r="BX294" s="9">
        <f t="shared" si="927"/>
        <v>0</v>
      </c>
      <c r="BY294" s="9">
        <f t="shared" si="1070"/>
        <v>0</v>
      </c>
      <c r="BZ294" s="9">
        <f t="shared" si="928"/>
        <v>0.99524931562137331</v>
      </c>
      <c r="CA294" s="9">
        <f t="shared" si="929"/>
        <v>0.68048275862068963</v>
      </c>
      <c r="CB294" s="9">
        <f t="shared" si="930"/>
        <v>1.4598707313117956</v>
      </c>
      <c r="CC294" s="9">
        <f t="shared" si="931"/>
        <v>2.5611729435274797</v>
      </c>
      <c r="CD294" s="40">
        <v>1</v>
      </c>
      <c r="CE294" s="9" t="e">
        <f>4*CC294*#REF!+60*CC294</f>
        <v>#REF!</v>
      </c>
      <c r="CG294" s="4" t="e">
        <f t="shared" si="1071"/>
        <v>#REF!</v>
      </c>
      <c r="CH294" s="4" t="e">
        <f t="shared" si="1072"/>
        <v>#REF!</v>
      </c>
      <c r="CI294" s="4" t="e">
        <f t="shared" si="1073"/>
        <v>#REF!</v>
      </c>
      <c r="CJ294" s="4" t="e">
        <f t="shared" si="1074"/>
        <v>#REF!</v>
      </c>
      <c r="CK294" s="4">
        <f t="shared" si="1075"/>
        <v>0.96668345094347008</v>
      </c>
      <c r="CL294" s="4">
        <f t="shared" si="1076"/>
        <v>1.0425960964081298</v>
      </c>
      <c r="CM294" s="4">
        <f t="shared" si="978"/>
        <v>1.0611106737887328</v>
      </c>
      <c r="CN294" s="4">
        <f t="shared" si="1019"/>
        <v>0</v>
      </c>
      <c r="CO294" s="4" t="e">
        <f t="shared" si="1208"/>
        <v>#REF!</v>
      </c>
      <c r="CP294" s="4" t="e">
        <f t="shared" si="1209"/>
        <v>#REF!</v>
      </c>
      <c r="CQ294" s="4" t="e">
        <f t="shared" si="1210"/>
        <v>#REF!</v>
      </c>
      <c r="CR294" s="4">
        <f t="shared" si="1211"/>
        <v>1.0611106737887328</v>
      </c>
      <c r="CS294" s="4">
        <f t="shared" si="1212"/>
        <v>0.96668345094347008</v>
      </c>
      <c r="CT294" s="4">
        <f t="shared" si="1213"/>
        <v>1.0425960964081298</v>
      </c>
      <c r="DC294" s="4" t="e">
        <f>#REF!</f>
        <v>#REF!</v>
      </c>
      <c r="DF294" s="4">
        <f t="shared" si="932"/>
        <v>2.6653631830456028E-5</v>
      </c>
      <c r="DG294" s="4">
        <f t="shared" si="1083"/>
        <v>7.7815993963460848</v>
      </c>
      <c r="DH294" s="4">
        <f t="shared" si="934"/>
        <v>0.52210618708235812</v>
      </c>
      <c r="DI294" s="4">
        <f t="shared" si="1084"/>
        <v>6.0002922699225048</v>
      </c>
      <c r="DJ294" s="4">
        <f t="shared" si="1085"/>
        <v>6.948360182979834</v>
      </c>
      <c r="DK294" s="4">
        <f t="shared" si="937"/>
        <v>6.900759858455694</v>
      </c>
      <c r="DL294" s="38">
        <f t="shared" si="938"/>
        <v>767.64422189393235</v>
      </c>
      <c r="DM294" s="4" t="e">
        <f t="shared" si="1086"/>
        <v>#REF!</v>
      </c>
      <c r="DN294" s="4">
        <f t="shared" si="940"/>
        <v>2.3452078799117149</v>
      </c>
      <c r="DO294" s="4">
        <f t="shared" si="976"/>
        <v>384.48916229901232</v>
      </c>
      <c r="DS294" s="4">
        <f t="shared" si="941"/>
        <v>0.85</v>
      </c>
      <c r="DT294" s="4">
        <f t="shared" si="942"/>
        <v>0.85</v>
      </c>
      <c r="DU294" s="4">
        <f t="shared" si="943"/>
        <v>1</v>
      </c>
      <c r="DV294" s="4">
        <f t="shared" si="1087"/>
        <v>0.85</v>
      </c>
      <c r="DX294" s="4">
        <f t="shared" si="945"/>
        <v>711.75114512106757</v>
      </c>
      <c r="DY294" s="25">
        <f t="shared" si="1146"/>
        <v>381.889146709957</v>
      </c>
      <c r="EA294" s="4">
        <f t="shared" si="1147"/>
        <v>0.72249999999999992</v>
      </c>
      <c r="EB294" s="4">
        <f t="shared" si="946"/>
        <v>7.7815993963460848</v>
      </c>
      <c r="EE294" s="4">
        <f t="shared" si="947"/>
        <v>59.568280149757555</v>
      </c>
      <c r="EF294" s="4">
        <f t="shared" si="1088"/>
        <v>2.3452078799117149</v>
      </c>
      <c r="EG294" s="4">
        <f t="shared" si="949"/>
        <v>0.1758293816359745</v>
      </c>
      <c r="EJ294" s="4">
        <f t="shared" si="1089"/>
        <v>0.1758293816359745</v>
      </c>
      <c r="EK294" s="4">
        <f t="shared" si="950"/>
        <v>0.52123488916348304</v>
      </c>
      <c r="EL294" s="4">
        <f t="shared" si="1090"/>
        <v>5.9962849150837112</v>
      </c>
      <c r="EM294" s="4">
        <f t="shared" si="1091"/>
        <v>6.9466311616095533</v>
      </c>
      <c r="EN294" s="4" t="e">
        <f t="shared" si="1092"/>
        <v>#REF!</v>
      </c>
      <c r="EO294" s="4" t="e">
        <f t="shared" si="1093"/>
        <v>#REF!</v>
      </c>
      <c r="EP294" s="4" t="e">
        <f t="shared" si="951"/>
        <v>#REF!</v>
      </c>
      <c r="EQ294" s="4" t="e">
        <f t="shared" si="1094"/>
        <v>#REF!</v>
      </c>
      <c r="ER294" s="4" t="e">
        <f t="shared" si="952"/>
        <v>#REF!</v>
      </c>
      <c r="EU294" s="4">
        <f>5.25*25.4</f>
        <v>133.35</v>
      </c>
      <c r="FA294" s="23" t="e">
        <f t="shared" si="1042"/>
        <v>#REF!</v>
      </c>
      <c r="FB294" s="23" t="e">
        <f t="shared" si="1043"/>
        <v>#REF!</v>
      </c>
      <c r="FC294" s="23">
        <f t="shared" si="981"/>
        <v>1.2</v>
      </c>
      <c r="FD294" s="23" t="e">
        <f t="shared" si="1044"/>
        <v>#REF!</v>
      </c>
      <c r="FE294" s="23">
        <f t="shared" si="1045"/>
        <v>1</v>
      </c>
      <c r="FF294" s="23">
        <f t="shared" si="1046"/>
        <v>1.2</v>
      </c>
      <c r="FG294" s="23">
        <f t="shared" si="968"/>
        <v>0</v>
      </c>
      <c r="FH294" s="23"/>
      <c r="FR294" s="4">
        <f t="shared" si="1122"/>
        <v>1</v>
      </c>
      <c r="FS294" s="4">
        <f t="shared" si="1123"/>
        <v>0.5</v>
      </c>
      <c r="FT294" s="4">
        <f t="shared" si="1124"/>
        <v>0</v>
      </c>
      <c r="FU294" s="4">
        <f t="shared" si="1125"/>
        <v>699.33229760818267</v>
      </c>
    </row>
    <row r="295" spans="2:177" ht="12" customHeight="1" x14ac:dyDescent="0.3">
      <c r="B295" s="24"/>
      <c r="C295" s="7" t="s">
        <v>431</v>
      </c>
      <c r="D295" s="38">
        <f t="shared" si="1214"/>
        <v>799.31034482758628</v>
      </c>
      <c r="E295" s="38">
        <f>9.13*25.4</f>
        <v>231.90200000000002</v>
      </c>
      <c r="F295" s="38">
        <f>5750/145</f>
        <v>39.655172413793103</v>
      </c>
      <c r="G295" s="38">
        <f t="shared" si="1016"/>
        <v>25.4</v>
      </c>
      <c r="H295" s="38">
        <f>17.5*25.4</f>
        <v>444.5</v>
      </c>
      <c r="I295" s="38">
        <f>2.65*25.4</f>
        <v>67.309999999999988</v>
      </c>
      <c r="J295" s="39">
        <f>3.15*25.4</f>
        <v>80.009999999999991</v>
      </c>
      <c r="K295" s="7">
        <f t="shared" si="986"/>
        <v>259.08000000000004</v>
      </c>
      <c r="L295" s="38">
        <v>2</v>
      </c>
      <c r="M295" s="4">
        <f t="shared" si="1028"/>
        <v>260.34999999999997</v>
      </c>
      <c r="N295" s="7">
        <f t="shared" si="905"/>
        <v>3.1499999999999995</v>
      </c>
      <c r="O295" s="7">
        <f t="shared" si="906"/>
        <v>3.1499999999999995</v>
      </c>
      <c r="P295" s="38">
        <v>6.5</v>
      </c>
      <c r="Q295" s="4">
        <f t="shared" si="1017"/>
        <v>6.5</v>
      </c>
      <c r="R295" s="4">
        <f t="shared" si="907"/>
        <v>7.5</v>
      </c>
      <c r="S295" s="7">
        <f t="shared" si="908"/>
        <v>69.56076480315609</v>
      </c>
      <c r="V295" s="38">
        <f t="shared" si="1054"/>
        <v>553.10344827586209</v>
      </c>
      <c r="W295" s="4">
        <v>80.2</v>
      </c>
      <c r="X295" s="4">
        <f t="shared" si="910"/>
        <v>0.92467198904083814</v>
      </c>
      <c r="Y295" s="38">
        <f>0.5*25.4</f>
        <v>12.7</v>
      </c>
      <c r="Z295" s="38">
        <v>4</v>
      </c>
      <c r="AA295" s="39">
        <f>5.5*25.4</f>
        <v>139.69999999999999</v>
      </c>
      <c r="AB295" s="39">
        <v>1</v>
      </c>
      <c r="AC295" s="39">
        <v>1</v>
      </c>
      <c r="AD295" s="7"/>
      <c r="AE295" s="4">
        <f t="shared" si="912"/>
        <v>231.90200000000002</v>
      </c>
      <c r="AF295" s="4">
        <f t="shared" si="913"/>
        <v>0.63891931361810872</v>
      </c>
      <c r="AG295" s="4">
        <f t="shared" si="914"/>
        <v>219.44179758495289</v>
      </c>
      <c r="AH295" s="4">
        <f t="shared" si="915"/>
        <v>0.76900328587075573</v>
      </c>
      <c r="AI295" s="4">
        <v>1.25</v>
      </c>
      <c r="AJ295" s="4">
        <f t="shared" si="1154"/>
        <v>2.5</v>
      </c>
      <c r="AK295" s="38">
        <f t="shared" si="988"/>
        <v>336.933028649113</v>
      </c>
      <c r="AL295" s="38">
        <f t="shared" si="953"/>
        <v>336.933028649113</v>
      </c>
      <c r="AM295" s="38">
        <f t="shared" si="916"/>
        <v>3.4886265610899732</v>
      </c>
      <c r="AN295" s="38">
        <f t="shared" si="1161"/>
        <v>336.93302864911328</v>
      </c>
      <c r="AO295" s="38">
        <f t="shared" si="1115"/>
        <v>0.99999999999999911</v>
      </c>
      <c r="AP295" s="38">
        <f t="shared" si="1162"/>
        <v>1.8903990241179067</v>
      </c>
      <c r="AQ295" s="4">
        <f t="shared" si="1163"/>
        <v>0</v>
      </c>
      <c r="AR295" s="4" t="e">
        <f>#REF!/G295*F295^0.5/0.19</f>
        <v>#REF!</v>
      </c>
      <c r="AS295" s="4">
        <f t="shared" si="917"/>
        <v>1</v>
      </c>
      <c r="AT295" s="38">
        <f t="shared" si="918"/>
        <v>636.93786855137444</v>
      </c>
      <c r="AU295" s="4">
        <f t="shared" si="919"/>
        <v>0.3</v>
      </c>
      <c r="AV295" s="4" t="e">
        <f>AU295*D295*#REF!/(D295*G295/2.75/F295^0.5)</f>
        <v>#REF!</v>
      </c>
      <c r="AW295" s="4" t="e">
        <f t="shared" si="1068"/>
        <v>#REF!</v>
      </c>
      <c r="AY295" s="4">
        <f t="shared" si="920"/>
        <v>1.5</v>
      </c>
      <c r="AZ295" s="4" t="e">
        <f>(3*#REF!+30)*AY295*F295^0.5</f>
        <v>#REF!</v>
      </c>
      <c r="BB295" s="4">
        <f t="shared" si="921"/>
        <v>610.90130836645233</v>
      </c>
      <c r="BC295" s="4">
        <f t="shared" si="1103"/>
        <v>0</v>
      </c>
      <c r="BD295" s="4">
        <f t="shared" si="1069"/>
        <v>0</v>
      </c>
      <c r="BL295" s="4">
        <f t="shared" si="923"/>
        <v>67.309999999999988</v>
      </c>
      <c r="BP295" s="9"/>
      <c r="BR295" s="9"/>
      <c r="BS295" s="9"/>
      <c r="BT295" s="9">
        <f t="shared" si="924"/>
        <v>67.309999999999988</v>
      </c>
      <c r="BU295" s="9">
        <f t="shared" si="925"/>
        <v>129.54000000000002</v>
      </c>
      <c r="BV295" s="9">
        <f t="shared" si="926"/>
        <v>1.7958562989508591</v>
      </c>
      <c r="BW295" s="40">
        <f t="shared" si="1018"/>
        <v>20</v>
      </c>
      <c r="BX295" s="9">
        <f t="shared" si="927"/>
        <v>0.05</v>
      </c>
      <c r="BY295" s="9">
        <f t="shared" si="1070"/>
        <v>0.8</v>
      </c>
      <c r="BZ295" s="9">
        <f t="shared" si="928"/>
        <v>0.99524931562137331</v>
      </c>
      <c r="CA295" s="9">
        <f t="shared" si="929"/>
        <v>0.68048275862068963</v>
      </c>
      <c r="CB295" s="9">
        <f t="shared" si="930"/>
        <v>1.4926809118196944</v>
      </c>
      <c r="CC295" s="9">
        <f t="shared" si="931"/>
        <v>3.7317022795492361</v>
      </c>
      <c r="CD295" s="40">
        <v>1</v>
      </c>
      <c r="CE295" s="9" t="e">
        <f>4*CC295*#REF!+60*CC295</f>
        <v>#REF!</v>
      </c>
      <c r="CG295" s="4" t="e">
        <f t="shared" si="1071"/>
        <v>#REF!</v>
      </c>
      <c r="CH295" s="4" t="e">
        <f t="shared" si="1072"/>
        <v>#REF!</v>
      </c>
      <c r="CI295" s="4" t="e">
        <f t="shared" si="1073"/>
        <v>#REF!</v>
      </c>
      <c r="CJ295" s="4" t="e">
        <f t="shared" si="1074"/>
        <v>#REF!</v>
      </c>
      <c r="CK295" s="4">
        <f t="shared" si="1075"/>
        <v>0.92467198904083814</v>
      </c>
      <c r="CL295" s="4">
        <f t="shared" si="1076"/>
        <v>0.96545639129394512</v>
      </c>
      <c r="CM295" s="4">
        <f t="shared" si="978"/>
        <v>1.085175517695939</v>
      </c>
      <c r="CN295" s="4">
        <f t="shared" si="1019"/>
        <v>4</v>
      </c>
      <c r="CU295" s="4" t="e">
        <f t="shared" ref="CU295:CU302" si="1216">CG295</f>
        <v>#REF!</v>
      </c>
      <c r="CV295" s="4" t="e">
        <f t="shared" ref="CV295:CV302" si="1217">CH295</f>
        <v>#REF!</v>
      </c>
      <c r="CW295" s="4" t="e">
        <f t="shared" ref="CW295:CW302" si="1218">CJ295</f>
        <v>#REF!</v>
      </c>
      <c r="CX295" s="4">
        <f t="shared" ref="CX295:CX302" si="1219">CM295</f>
        <v>1.085175517695939</v>
      </c>
      <c r="CY295" s="4">
        <f t="shared" ref="CY295:CY302" si="1220">CK295</f>
        <v>0.92467198904083814</v>
      </c>
      <c r="CZ295" s="4">
        <f t="shared" ref="CZ295:CZ302" si="1221">CL295</f>
        <v>0.96545639129394512</v>
      </c>
      <c r="DC295" s="4" t="e">
        <f>#REF!</f>
        <v>#REF!</v>
      </c>
      <c r="DF295" s="4">
        <f t="shared" si="932"/>
        <v>1.7421370946555192E-5</v>
      </c>
      <c r="DG295" s="4">
        <f t="shared" si="1083"/>
        <v>8.7561292633881198</v>
      </c>
      <c r="DH295" s="4">
        <f t="shared" si="934"/>
        <v>0.35380308194526749</v>
      </c>
      <c r="DI295" s="4">
        <f t="shared" si="1084"/>
        <v>5.7785225040000663</v>
      </c>
      <c r="DJ295" s="4">
        <f t="shared" si="1085"/>
        <v>7.4188687743172457</v>
      </c>
      <c r="DK295" s="4">
        <f t="shared" si="937"/>
        <v>8.3236620530493592</v>
      </c>
      <c r="DL295" s="38">
        <f t="shared" si="938"/>
        <v>598.16178583455962</v>
      </c>
      <c r="DM295" s="4" t="e">
        <f t="shared" si="1086"/>
        <v>#REF!</v>
      </c>
      <c r="DN295" s="4">
        <f t="shared" si="940"/>
        <v>2.7386127875258306</v>
      </c>
      <c r="DO295" s="4">
        <f t="shared" si="976"/>
        <v>336.93302864911328</v>
      </c>
      <c r="DS295" s="4">
        <f t="shared" si="941"/>
        <v>0.85</v>
      </c>
      <c r="DT295" s="4">
        <f t="shared" si="942"/>
        <v>0.83499999999999996</v>
      </c>
      <c r="DU295" s="4">
        <f t="shared" si="943"/>
        <v>0.92500000000000004</v>
      </c>
      <c r="DV295" s="4">
        <f t="shared" si="1087"/>
        <v>0.77237500000000003</v>
      </c>
      <c r="DX295" s="4">
        <f t="shared" si="945"/>
        <v>572.89324848175659</v>
      </c>
      <c r="DY295" s="25">
        <f t="shared" si="1146"/>
        <v>333.06286795755597</v>
      </c>
      <c r="EA295" s="4">
        <f t="shared" si="1147"/>
        <v>0.65651875000000004</v>
      </c>
      <c r="EB295" s="4">
        <f t="shared" si="946"/>
        <v>8.7561292633881198</v>
      </c>
      <c r="EE295" s="4">
        <f t="shared" si="947"/>
        <v>69.56076480315609</v>
      </c>
      <c r="EF295" s="4">
        <f t="shared" si="1088"/>
        <v>2.7386127875258306</v>
      </c>
      <c r="EG295" s="4">
        <f t="shared" si="949"/>
        <v>0.12182791126514832</v>
      </c>
      <c r="EJ295" s="4">
        <f t="shared" si="1089"/>
        <v>0.12182791126514832</v>
      </c>
      <c r="EK295" s="4">
        <f t="shared" si="950"/>
        <v>0.35321265054143147</v>
      </c>
      <c r="EL295" s="4">
        <f t="shared" si="1090"/>
        <v>5.7746632603039609</v>
      </c>
      <c r="EM295" s="4">
        <f t="shared" si="1091"/>
        <v>7.4173695936807951</v>
      </c>
      <c r="EN295" s="4" t="e">
        <f t="shared" si="1092"/>
        <v>#REF!</v>
      </c>
      <c r="EO295" s="4" t="e">
        <f t="shared" si="1093"/>
        <v>#REF!</v>
      </c>
      <c r="EP295" s="4" t="e">
        <f t="shared" si="951"/>
        <v>#REF!</v>
      </c>
      <c r="EQ295" s="4" t="e">
        <f t="shared" si="1094"/>
        <v>#REF!</v>
      </c>
      <c r="ER295" s="4" t="e">
        <f t="shared" si="952"/>
        <v>#REF!</v>
      </c>
      <c r="FA295" s="23" t="e">
        <f t="shared" si="1042"/>
        <v>#REF!</v>
      </c>
      <c r="FB295" s="23" t="e">
        <f t="shared" si="1043"/>
        <v>#REF!</v>
      </c>
      <c r="FC295" s="23">
        <f t="shared" si="981"/>
        <v>1.2</v>
      </c>
      <c r="FD295" s="23" t="e">
        <f t="shared" si="1044"/>
        <v>#REF!</v>
      </c>
      <c r="FE295" s="23">
        <f t="shared" si="1045"/>
        <v>1</v>
      </c>
      <c r="FF295" s="23">
        <f t="shared" si="1046"/>
        <v>1</v>
      </c>
      <c r="FG295" s="23">
        <f t="shared" si="968"/>
        <v>0</v>
      </c>
      <c r="FH295" s="23"/>
      <c r="FR295" s="4">
        <f t="shared" si="1122"/>
        <v>1</v>
      </c>
      <c r="FS295" s="4">
        <f t="shared" si="1123"/>
        <v>0.4482312338222606</v>
      </c>
      <c r="FT295" s="4">
        <f t="shared" si="1124"/>
        <v>0.25</v>
      </c>
      <c r="FU295" s="4">
        <f t="shared" si="1125"/>
        <v>509.69031207985563</v>
      </c>
    </row>
    <row r="296" spans="2:177" ht="12" customHeight="1" x14ac:dyDescent="0.3">
      <c r="B296" s="24"/>
      <c r="C296" s="7" t="s">
        <v>432</v>
      </c>
      <c r="D296" s="38">
        <f t="shared" si="1214"/>
        <v>799.31034482758628</v>
      </c>
      <c r="E296" s="38">
        <f>12.31*25.4</f>
        <v>312.67399999999998</v>
      </c>
      <c r="F296" s="38">
        <f>5750/145</f>
        <v>39.655172413793103</v>
      </c>
      <c r="G296" s="38">
        <f t="shared" si="1016"/>
        <v>25.4</v>
      </c>
      <c r="H296" s="38">
        <f>16.9*25.4</f>
        <v>429.25999999999993</v>
      </c>
      <c r="I296" s="38">
        <f>2.45*25.4</f>
        <v>62.230000000000004</v>
      </c>
      <c r="J296" s="39">
        <f>3*25.4</f>
        <v>76.199999999999989</v>
      </c>
      <c r="K296" s="7">
        <f t="shared" si="986"/>
        <v>253.99999999999991</v>
      </c>
      <c r="L296" s="38">
        <v>2</v>
      </c>
      <c r="M296" s="4">
        <f t="shared" si="1028"/>
        <v>260.34999999999997</v>
      </c>
      <c r="N296" s="7">
        <f t="shared" si="905"/>
        <v>2.95</v>
      </c>
      <c r="O296" s="7">
        <f t="shared" si="906"/>
        <v>2.95</v>
      </c>
      <c r="P296" s="38">
        <v>6.5</v>
      </c>
      <c r="Q296" s="4">
        <f t="shared" si="1017"/>
        <v>6.5</v>
      </c>
      <c r="R296" s="4">
        <f t="shared" si="907"/>
        <v>7.5</v>
      </c>
      <c r="S296" s="7">
        <f t="shared" si="908"/>
        <v>69.56076480315609</v>
      </c>
      <c r="V296" s="38">
        <f t="shared" si="1054"/>
        <v>750.34482758620697</v>
      </c>
      <c r="W296" s="4">
        <v>108.8</v>
      </c>
      <c r="X296" s="4">
        <f t="shared" si="910"/>
        <v>1.0457977173215069</v>
      </c>
      <c r="Y296" s="38">
        <f t="shared" ref="Y296:Y302" si="1222">0.5*25.4</f>
        <v>12.7</v>
      </c>
      <c r="Z296" s="38">
        <v>4</v>
      </c>
      <c r="AA296" s="39">
        <f t="shared" ref="AA296:AA298" si="1223">5.5*25.4</f>
        <v>139.69999999999999</v>
      </c>
      <c r="AB296" s="39">
        <v>1</v>
      </c>
      <c r="AC296" s="39">
        <v>1</v>
      </c>
      <c r="AD296" s="7"/>
      <c r="AE296" s="4">
        <f t="shared" si="912"/>
        <v>312.67399999999998</v>
      </c>
      <c r="AF296" s="4">
        <f t="shared" si="913"/>
        <v>0.45762252910912532</v>
      </c>
      <c r="AG296" s="4">
        <f t="shared" si="914"/>
        <v>343.55815775866921</v>
      </c>
      <c r="AH296" s="4">
        <f t="shared" si="915"/>
        <v>0.74792851340373678</v>
      </c>
      <c r="AI296" s="4">
        <v>1.25</v>
      </c>
      <c r="AJ296" s="4">
        <f t="shared" si="1154"/>
        <v>2.5</v>
      </c>
      <c r="AK296" s="38">
        <f t="shared" si="988"/>
        <v>367.46651800558806</v>
      </c>
      <c r="AL296" s="38">
        <f t="shared" si="953"/>
        <v>367.46651800558806</v>
      </c>
      <c r="AM296" s="38">
        <f t="shared" si="916"/>
        <v>3.4886265610899732</v>
      </c>
      <c r="AN296" s="38">
        <f t="shared" si="1161"/>
        <v>367.46651800558817</v>
      </c>
      <c r="AO296" s="38">
        <f t="shared" si="1115"/>
        <v>0.99999999999999967</v>
      </c>
      <c r="AP296" s="38">
        <f t="shared" si="1162"/>
        <v>1.6232699844281868</v>
      </c>
      <c r="AQ296" s="4">
        <f t="shared" si="1163"/>
        <v>0</v>
      </c>
      <c r="AR296" s="4" t="e">
        <f>#REF!/G296*F296^0.5/0.19</f>
        <v>#REF!</v>
      </c>
      <c r="AS296" s="4">
        <f t="shared" si="917"/>
        <v>1</v>
      </c>
      <c r="AT296" s="38">
        <f t="shared" si="918"/>
        <v>596.49736896081117</v>
      </c>
      <c r="AU296" s="4">
        <f t="shared" si="919"/>
        <v>0.3</v>
      </c>
      <c r="AV296" s="4" t="e">
        <f>AU296*D296*#REF!/(D296*G296/2.75/F296^0.5)</f>
        <v>#REF!</v>
      </c>
      <c r="AW296" s="4" t="e">
        <f t="shared" si="1068"/>
        <v>#REF!</v>
      </c>
      <c r="AY296" s="4">
        <f t="shared" si="920"/>
        <v>1.5</v>
      </c>
      <c r="AZ296" s="4" t="e">
        <f>(3*#REF!+30)*AY296*F296^0.5</f>
        <v>#REF!</v>
      </c>
      <c r="BB296" s="4">
        <f t="shared" si="921"/>
        <v>572.11392370826502</v>
      </c>
      <c r="BC296" s="4">
        <f t="shared" si="1103"/>
        <v>0</v>
      </c>
      <c r="BD296" s="4">
        <f t="shared" si="1069"/>
        <v>0</v>
      </c>
      <c r="BL296" s="4">
        <f t="shared" si="923"/>
        <v>62.230000000000004</v>
      </c>
      <c r="BP296" s="9"/>
      <c r="BR296" s="9"/>
      <c r="BS296" s="9"/>
      <c r="BT296" s="9">
        <f t="shared" si="924"/>
        <v>62.230000000000004</v>
      </c>
      <c r="BU296" s="9">
        <f t="shared" si="925"/>
        <v>126.99999999999996</v>
      </c>
      <c r="BV296" s="9">
        <f t="shared" si="926"/>
        <v>1.7420219790042637</v>
      </c>
      <c r="BW296" s="40">
        <f t="shared" si="1018"/>
        <v>20</v>
      </c>
      <c r="BX296" s="9">
        <f t="shared" si="927"/>
        <v>0.05</v>
      </c>
      <c r="BY296" s="9">
        <f t="shared" si="1070"/>
        <v>0.8</v>
      </c>
      <c r="BZ296" s="9">
        <f t="shared" si="928"/>
        <v>0.99524931562137331</v>
      </c>
      <c r="CA296" s="9">
        <f t="shared" si="929"/>
        <v>0.68048275862068963</v>
      </c>
      <c r="CB296" s="9">
        <f t="shared" si="930"/>
        <v>1.4926809118196944</v>
      </c>
      <c r="CC296" s="9">
        <f t="shared" si="931"/>
        <v>3.7317022795492361</v>
      </c>
      <c r="CD296" s="40">
        <v>1</v>
      </c>
      <c r="CE296" s="9" t="e">
        <f>4*CC296*#REF!+60*CC296</f>
        <v>#REF!</v>
      </c>
      <c r="CG296" s="4" t="e">
        <f t="shared" si="1071"/>
        <v>#REF!</v>
      </c>
      <c r="CH296" s="4" t="e">
        <f t="shared" si="1072"/>
        <v>#REF!</v>
      </c>
      <c r="CI296" s="4" t="e">
        <f t="shared" si="1073"/>
        <v>#REF!</v>
      </c>
      <c r="CJ296" s="4" t="e">
        <f t="shared" si="1074"/>
        <v>#REF!</v>
      </c>
      <c r="CK296" s="4">
        <f t="shared" si="1075"/>
        <v>1.0457977173215069</v>
      </c>
      <c r="CL296" s="4">
        <f t="shared" si="1076"/>
        <v>1.1029753689711439</v>
      </c>
      <c r="CM296" s="4">
        <f t="shared" si="978"/>
        <v>1.3648258889866054</v>
      </c>
      <c r="CN296" s="4">
        <f t="shared" si="1019"/>
        <v>4</v>
      </c>
      <c r="CU296" s="4" t="e">
        <f t="shared" si="1216"/>
        <v>#REF!</v>
      </c>
      <c r="CV296" s="4" t="e">
        <f t="shared" si="1217"/>
        <v>#REF!</v>
      </c>
      <c r="CW296" s="4" t="e">
        <f t="shared" si="1218"/>
        <v>#REF!</v>
      </c>
      <c r="CX296" s="4">
        <f t="shared" si="1219"/>
        <v>1.3648258889866054</v>
      </c>
      <c r="CY296" s="4">
        <f t="shared" si="1220"/>
        <v>1.0457977173215069</v>
      </c>
      <c r="CZ296" s="4">
        <f t="shared" si="1221"/>
        <v>1.1029753689711439</v>
      </c>
      <c r="DC296" s="4" t="e">
        <f>#REF!</f>
        <v>#REF!</v>
      </c>
      <c r="DF296" s="4">
        <f t="shared" si="932"/>
        <v>2.3489274518301684E-5</v>
      </c>
      <c r="DG296" s="4">
        <f t="shared" si="1083"/>
        <v>8.5513075262328435</v>
      </c>
      <c r="DH296" s="4">
        <f t="shared" si="934"/>
        <v>0.38586536648939879</v>
      </c>
      <c r="DI296" s="4">
        <f t="shared" si="1084"/>
        <v>5.8426092916185413</v>
      </c>
      <c r="DJ296" s="4">
        <f t="shared" si="1085"/>
        <v>7.3237162936001994</v>
      </c>
      <c r="DK296" s="4">
        <f t="shared" si="937"/>
        <v>7.7805830526388018</v>
      </c>
      <c r="DL296" s="38">
        <f t="shared" si="938"/>
        <v>717.48562380494309</v>
      </c>
      <c r="DM296" s="4" t="e">
        <f t="shared" si="1086"/>
        <v>#REF!</v>
      </c>
      <c r="DN296" s="4">
        <f t="shared" si="940"/>
        <v>2.7386127875258306</v>
      </c>
      <c r="DO296" s="4">
        <f t="shared" si="976"/>
        <v>367.46651800558817</v>
      </c>
      <c r="DS296" s="4">
        <f t="shared" si="941"/>
        <v>0.85</v>
      </c>
      <c r="DT296" s="4">
        <f t="shared" si="942"/>
        <v>0.85499999999999998</v>
      </c>
      <c r="DU296" s="4">
        <f t="shared" si="943"/>
        <v>0.92500000000000004</v>
      </c>
      <c r="DV296" s="4">
        <f t="shared" si="1087"/>
        <v>0.79087499999999999</v>
      </c>
      <c r="DX296" s="4">
        <f t="shared" si="945"/>
        <v>680.29155382329986</v>
      </c>
      <c r="DY296" s="25">
        <f t="shared" si="1146"/>
        <v>364.49176687952098</v>
      </c>
      <c r="EA296" s="4">
        <f t="shared" si="1147"/>
        <v>0.67224375000000003</v>
      </c>
      <c r="EB296" s="4">
        <f t="shared" si="946"/>
        <v>8.5513075262328435</v>
      </c>
      <c r="EE296" s="4">
        <f t="shared" si="947"/>
        <v>69.56076480315609</v>
      </c>
      <c r="EF296" s="4">
        <f t="shared" si="1088"/>
        <v>2.7386127875258306</v>
      </c>
      <c r="EG296" s="4">
        <f t="shared" si="949"/>
        <v>0.13286818014840418</v>
      </c>
      <c r="EJ296" s="4">
        <f t="shared" si="1089"/>
        <v>0.13286818014840418</v>
      </c>
      <c r="EK296" s="4">
        <f t="shared" si="950"/>
        <v>0.38522142910825607</v>
      </c>
      <c r="EL296" s="4">
        <f t="shared" si="1090"/>
        <v>5.8387072469242662</v>
      </c>
      <c r="EM296" s="4">
        <f t="shared" si="1091"/>
        <v>7.3221628948064694</v>
      </c>
      <c r="EN296" s="4" t="e">
        <f t="shared" si="1092"/>
        <v>#REF!</v>
      </c>
      <c r="EO296" s="4" t="e">
        <f t="shared" si="1093"/>
        <v>#REF!</v>
      </c>
      <c r="EP296" s="4" t="e">
        <f t="shared" si="951"/>
        <v>#REF!</v>
      </c>
      <c r="EQ296" s="4" t="e">
        <f t="shared" si="1094"/>
        <v>#REF!</v>
      </c>
      <c r="ER296" s="4" t="e">
        <f t="shared" si="952"/>
        <v>#REF!</v>
      </c>
      <c r="FA296" s="23" t="e">
        <f t="shared" si="1042"/>
        <v>#REF!</v>
      </c>
      <c r="FB296" s="23" t="e">
        <f t="shared" si="1043"/>
        <v>#REF!</v>
      </c>
      <c r="FC296" s="23">
        <f t="shared" si="981"/>
        <v>1.4</v>
      </c>
      <c r="FD296" s="23" t="e">
        <f t="shared" si="1044"/>
        <v>#REF!</v>
      </c>
      <c r="FE296" s="23">
        <f t="shared" si="1045"/>
        <v>1.2</v>
      </c>
      <c r="FF296" s="23">
        <f t="shared" si="1046"/>
        <v>1.2</v>
      </c>
      <c r="FG296" s="23">
        <f t="shared" si="968"/>
        <v>0</v>
      </c>
      <c r="FH296" s="23"/>
      <c r="FR296" s="4">
        <f t="shared" si="1122"/>
        <v>1.25</v>
      </c>
      <c r="FS296" s="4">
        <f t="shared" si="1123"/>
        <v>0.4482312338222606</v>
      </c>
      <c r="FT296" s="4">
        <f t="shared" si="1124"/>
        <v>0.25</v>
      </c>
      <c r="FU296" s="4">
        <f t="shared" si="1125"/>
        <v>549.77329609665026</v>
      </c>
    </row>
    <row r="297" spans="2:177" ht="12" customHeight="1" x14ac:dyDescent="0.3">
      <c r="B297" s="24"/>
      <c r="C297" s="48" t="s">
        <v>433</v>
      </c>
      <c r="D297" s="38">
        <f t="shared" si="1214"/>
        <v>799.31034482758628</v>
      </c>
      <c r="E297" s="38">
        <f>9.38*25.4</f>
        <v>238.25200000000001</v>
      </c>
      <c r="F297" s="38">
        <f>5750/145</f>
        <v>39.655172413793103</v>
      </c>
      <c r="G297" s="38">
        <f t="shared" si="1016"/>
        <v>25.4</v>
      </c>
      <c r="H297" s="38">
        <f>17*25.4</f>
        <v>431.79999999999995</v>
      </c>
      <c r="I297" s="38">
        <f t="shared" si="1201"/>
        <v>63.5</v>
      </c>
      <c r="J297" s="39">
        <f>3.1*25.4</f>
        <v>78.739999999999995</v>
      </c>
      <c r="K297" s="7">
        <f t="shared" si="986"/>
        <v>253.99999999999994</v>
      </c>
      <c r="L297" s="38">
        <v>2</v>
      </c>
      <c r="M297" s="4">
        <f t="shared" si="1028"/>
        <v>260.34999999999997</v>
      </c>
      <c r="N297" s="7">
        <f t="shared" ref="N297:N360" si="1224">MIN(I297/G297+0.5, K297/2/G297+0.5)</f>
        <v>3</v>
      </c>
      <c r="O297" s="7">
        <f t="shared" ref="O297:O360" si="1225">I297/G297+0.5</f>
        <v>3</v>
      </c>
      <c r="P297" s="38">
        <v>4.5</v>
      </c>
      <c r="Q297" s="4">
        <f t="shared" si="1017"/>
        <v>4.5</v>
      </c>
      <c r="R297" s="4">
        <f t="shared" ref="R297:R360" si="1226">Q297+1</f>
        <v>5.5</v>
      </c>
      <c r="S297" s="7">
        <f t="shared" ref="S297:S360" si="1227">G297*R297^0.5</f>
        <v>59.568280149757555</v>
      </c>
      <c r="V297" s="38">
        <f t="shared" si="1054"/>
        <v>593.10344827586209</v>
      </c>
      <c r="W297" s="4">
        <v>86</v>
      </c>
      <c r="X297" s="4">
        <f t="shared" ref="X297:X360" si="1228">CK297</f>
        <v>0.98277763354811387</v>
      </c>
      <c r="Y297" s="38">
        <f t="shared" si="1222"/>
        <v>12.7</v>
      </c>
      <c r="Z297" s="38">
        <v>4</v>
      </c>
      <c r="AA297" s="39">
        <f t="shared" si="1223"/>
        <v>139.69999999999999</v>
      </c>
      <c r="AB297" s="39">
        <v>1</v>
      </c>
      <c r="AC297" s="39">
        <v>1</v>
      </c>
      <c r="AD297" s="7"/>
      <c r="AE297" s="4">
        <f t="shared" ref="AE297:AE360" si="1229">E297</f>
        <v>238.25200000000001</v>
      </c>
      <c r="AF297" s="4">
        <f t="shared" ref="AF297:AF360" si="1230">IF(E297*3&gt;K297+G297, H297, (I297+G297/2)*2+1.5*E297*(2*L297-2))*(3*E297)/(9*E297^2)</f>
        <v>0.60412224591329067</v>
      </c>
      <c r="AG297" s="4">
        <f t="shared" ref="AG297:AG360" si="1231">MIN(10*F297^0.5*E297^1.5,100*3.9*F297^0.5*E297^(5/3))/(PI()/4*G297^2)/L297</f>
        <v>228.51643672654887</v>
      </c>
      <c r="AH297" s="4">
        <f t="shared" ref="AH297:AH360" si="1232">MIN(0.7+0.3*(MIN(I297,M297)+0.5*G297)/1.5/E297,1)</f>
        <v>0.76396588486140726</v>
      </c>
      <c r="AI297" s="4">
        <v>1.25</v>
      </c>
      <c r="AJ297" s="4">
        <f t="shared" si="1154"/>
        <v>2.5</v>
      </c>
      <c r="AK297" s="38">
        <f t="shared" si="988"/>
        <v>329.58410519011557</v>
      </c>
      <c r="AL297" s="38">
        <f t="shared" si="953"/>
        <v>329.58410519011557</v>
      </c>
      <c r="AM297" s="38">
        <f t="shared" ref="AM297:AM360" si="1233">IF(F297&lt;50, 0.3*F297^(2/3), 2.12*LN(1+0.1*(F297+8)))</f>
        <v>3.4886265610899732</v>
      </c>
      <c r="AN297" s="38">
        <f t="shared" si="1161"/>
        <v>329.58410519011528</v>
      </c>
      <c r="AO297" s="38">
        <f t="shared" si="1115"/>
        <v>1.0000000000000009</v>
      </c>
      <c r="AP297" s="38">
        <f t="shared" si="1162"/>
        <v>1.531408632468251</v>
      </c>
      <c r="AQ297" s="4">
        <f t="shared" si="1163"/>
        <v>0</v>
      </c>
      <c r="AR297" s="4" t="e">
        <f>#REF!/G297*F297^0.5/0.19</f>
        <v>#REF!</v>
      </c>
      <c r="AS297" s="4">
        <f t="shared" ref="AS297:AS360" si="1234">MIN(0.6+0.4*(O297/N297),2)</f>
        <v>1</v>
      </c>
      <c r="AT297" s="38">
        <f t="shared" ref="AT297:AT360" si="1235">2*F297*N297*P297^0.5*AS297*0.7/0.7</f>
        <v>504.72794381246661</v>
      </c>
      <c r="AU297" s="4">
        <f t="shared" ref="AU297:AU360" si="1236">MAX(1-0.7*Q297/5,0.3)</f>
        <v>0.37</v>
      </c>
      <c r="AV297" s="4" t="e">
        <f>AU297*D297*#REF!/(D297*G297/2.75/F297^0.5)</f>
        <v>#REF!</v>
      </c>
      <c r="AW297" s="4" t="e">
        <f t="shared" si="1068"/>
        <v>#REF!</v>
      </c>
      <c r="AY297" s="4">
        <f t="shared" ref="AY297:AY360" si="1237">MIN(1.5, 0.75+0.25*MIN(3,MAX(1,I297/G297))+0.4*MIN(1,(40*2*PI()*Y297^2/4/AA297/L297)/G297))</f>
        <v>1.5</v>
      </c>
      <c r="AZ297" s="4" t="e">
        <f>(3*#REF!+30)*AY297*F297^0.5</f>
        <v>#REF!</v>
      </c>
      <c r="BB297" s="4">
        <f t="shared" ref="BB297:BB360" si="1238">3.4/PI()^0.5*F297*N297*Q297^0.5*AS297</f>
        <v>484.09582232160056</v>
      </c>
      <c r="BC297" s="4">
        <f t="shared" si="1103"/>
        <v>0</v>
      </c>
      <c r="BD297" s="4">
        <f t="shared" si="1069"/>
        <v>0</v>
      </c>
      <c r="BL297" s="4">
        <f t="shared" ref="BL297:BL360" si="1239">IF(K297=0,I297,MIN(K297/2,I297))</f>
        <v>63.5</v>
      </c>
      <c r="BP297" s="9"/>
      <c r="BR297" s="9"/>
      <c r="BS297" s="9"/>
      <c r="BT297" s="9">
        <f t="shared" ref="BT297:BT360" si="1240">IF(K297=0,MIN(I297,J297),MIN(K297/2,I297,J297))</f>
        <v>63.5</v>
      </c>
      <c r="BU297" s="9">
        <f t="shared" ref="BU297:BU360" si="1241">MAX(K297/2,I297)</f>
        <v>126.99999999999997</v>
      </c>
      <c r="BV297" s="9">
        <f t="shared" ref="BV297:BV360" si="1242">(BT297/G297)^0.5*(BU297/BT297)^0.15</f>
        <v>1.7543833769624846</v>
      </c>
      <c r="BW297" s="40">
        <f t="shared" si="1018"/>
        <v>20</v>
      </c>
      <c r="BX297" s="9">
        <f t="shared" ref="BX297:BX360" si="1243">MIN(PI()*Y297^2/4*Z297*2/L297/G297/MAX(0.01,AA297),0.05)</f>
        <v>0.05</v>
      </c>
      <c r="BY297" s="9">
        <f t="shared" si="1070"/>
        <v>0.8</v>
      </c>
      <c r="BZ297" s="9">
        <f t="shared" ref="BZ297:BZ360" si="1244">MIN(1,(25/G297)^0.3)</f>
        <v>0.99524931562137331</v>
      </c>
      <c r="CA297" s="9">
        <f t="shared" ref="CA297:CA360" si="1245">IF(D297&gt;=800,0.68,IF(D297&gt;=700,0.75-(D297-700)*0.07/100,IF(D297&gt;=600,0.85-(D297-600)*0.1/100,IF(D297&gt;=500,1-(D297-500)*0.15/100,1.2-(D297-400)*0.2/100))))</f>
        <v>0.68048275862068963</v>
      </c>
      <c r="CB297" s="9">
        <f t="shared" ref="CB297:CB360" si="1246">1.75*BZ297*CA297*(F297/25)^0.5</f>
        <v>1.4926809118196944</v>
      </c>
      <c r="CC297" s="9">
        <f t="shared" ref="CC297:CC360" si="1247">MIN((BV297+BY297)*CB297,2.5*CB297,F297^0.5)</f>
        <v>3.7317022795492361</v>
      </c>
      <c r="CD297" s="40">
        <v>1</v>
      </c>
      <c r="CE297" s="9" t="e">
        <f>4*CC297*#REF!+60*CC297</f>
        <v>#REF!</v>
      </c>
      <c r="CG297" s="4" t="e">
        <f t="shared" si="1071"/>
        <v>#REF!</v>
      </c>
      <c r="CH297" s="4" t="e">
        <f t="shared" si="1072"/>
        <v>#REF!</v>
      </c>
      <c r="CI297" s="4" t="e">
        <f t="shared" si="1073"/>
        <v>#REF!</v>
      </c>
      <c r="CJ297" s="4" t="e">
        <f t="shared" si="1074"/>
        <v>#REF!</v>
      </c>
      <c r="CK297" s="4">
        <f t="shared" si="1075"/>
        <v>0.98277763354811387</v>
      </c>
      <c r="CL297" s="4">
        <f t="shared" si="1076"/>
        <v>1.0443012016693149</v>
      </c>
      <c r="CM297" s="4">
        <f t="shared" si="978"/>
        <v>1.1326402982209955</v>
      </c>
      <c r="CN297" s="4">
        <f t="shared" si="1019"/>
        <v>4</v>
      </c>
      <c r="CU297" s="4" t="e">
        <f t="shared" si="1216"/>
        <v>#REF!</v>
      </c>
      <c r="CV297" s="4" t="e">
        <f t="shared" si="1217"/>
        <v>#REF!</v>
      </c>
      <c r="CW297" s="4" t="e">
        <f t="shared" si="1218"/>
        <v>#REF!</v>
      </c>
      <c r="CX297" s="4">
        <f t="shared" si="1219"/>
        <v>1.1326402982209955</v>
      </c>
      <c r="CY297" s="4">
        <f t="shared" si="1220"/>
        <v>0.98277763354811387</v>
      </c>
      <c r="CZ297" s="4">
        <f t="shared" si="1221"/>
        <v>1.0443012016693149</v>
      </c>
      <c r="DC297" s="4" t="e">
        <f>#REF!</f>
        <v>#REF!</v>
      </c>
      <c r="DF297" s="4">
        <f t="shared" ref="DF297:DF360" si="1248">E297/4/(1-0.3*(F297/30)^0.5)/200000/G297</f>
        <v>1.7898407390874884E-5</v>
      </c>
      <c r="DG297" s="4">
        <f t="shared" si="1083"/>
        <v>8.6016093352106822</v>
      </c>
      <c r="DH297" s="4">
        <f t="shared" ref="DH297:DH360" si="1249">DO297*S297/257/F297/P297</f>
        <v>0.42809074683004311</v>
      </c>
      <c r="DI297" s="4">
        <f t="shared" si="1084"/>
        <v>6.1262406163308114</v>
      </c>
      <c r="DJ297" s="4">
        <f t="shared" si="1085"/>
        <v>7.4674964120678524</v>
      </c>
      <c r="DK297" s="4">
        <f t="shared" ref="DK297:DK360" si="1250">MAX(DG297/2, (4-DF297*(8*S297*(DI297-DJ297)+6*E297*DJ297))/(4+DF297*E297*DG297)*DG297)</f>
        <v>8.1406968914674351</v>
      </c>
      <c r="DL297" s="38">
        <f t="shared" ref="DL297:DL360" si="1251">MIN(1/G297*(4*S297*(DI297-DJ297)+(3*DJ297+DK297)*E297)+DO297 -EV297,MAX(D297,V297))</f>
        <v>603.49709642311018</v>
      </c>
      <c r="DM297" s="4" t="e">
        <f t="shared" si="1086"/>
        <v>#REF!</v>
      </c>
      <c r="DN297" s="4">
        <f t="shared" ref="DN297:DN360" si="1252">S297/G297</f>
        <v>2.3452078799117149</v>
      </c>
      <c r="DO297" s="4">
        <f t="shared" si="976"/>
        <v>329.58410519011528</v>
      </c>
      <c r="DS297" s="4">
        <f t="shared" ref="DS297:DS360" si="1253">IF(J297&gt;1*G297,0.85,1)</f>
        <v>0.85</v>
      </c>
      <c r="DT297" s="4">
        <f t="shared" ref="DT297:DT360" si="1254">MIN(1,MAX(0.7,(1-0.1*(BL297-1*G297)/G297)))</f>
        <v>0.85</v>
      </c>
      <c r="DU297" s="4">
        <f t="shared" ref="DU297:DU360" si="1255">MIN(1,MAX(0.7,1-0.3*(PI()*Y297^2/4*AC297*2-0.25*PI()/4*G297^2)/(PI()/4*G297^2)))</f>
        <v>0.92500000000000004</v>
      </c>
      <c r="DV297" s="4">
        <f t="shared" si="1087"/>
        <v>0.78625</v>
      </c>
      <c r="DX297" s="4">
        <f t="shared" ref="DX297:DX360" si="1256">MIN(DG297/G297*3*E297+DY297-EV297,MAX(D297,V297))</f>
        <v>567.94289552457326</v>
      </c>
      <c r="DY297" s="25">
        <f t="shared" si="1146"/>
        <v>325.8936088317447</v>
      </c>
      <c r="EA297" s="4">
        <f t="shared" si="1147"/>
        <v>0.66831249999999998</v>
      </c>
      <c r="EB297" s="4">
        <f t="shared" ref="EB297:EB360" si="1257">IF(G297&lt;22.2,1.1*5*(F297/30)^0.5,IF(G297&gt;=31.8,0.9*5*(F297/30)^0.5,1*5*(F297/30)^0.5))/DS297/DV297</f>
        <v>8.6016093352106822</v>
      </c>
      <c r="EE297" s="4">
        <f t="shared" ref="EE297:EE360" si="1258">EF297*G297</f>
        <v>59.568280149757555</v>
      </c>
      <c r="EF297" s="4">
        <f t="shared" si="1088"/>
        <v>2.3452078799117149</v>
      </c>
      <c r="EG297" s="4">
        <f t="shared" ref="EG297:EG360" si="1259">MIN(DO297)/(4700*F297^0.5)/Q297*EE297</f>
        <v>0.1474079909974034</v>
      </c>
      <c r="EJ297" s="4">
        <f t="shared" si="1089"/>
        <v>0.1474079909974034</v>
      </c>
      <c r="EK297" s="4">
        <f t="shared" ref="EK297:EK360" si="1260">MIN(0.999, EJ297/(0.3*(F297/30)^0.5))</f>
        <v>0.42737634315885298</v>
      </c>
      <c r="EL297" s="4">
        <f t="shared" si="1090"/>
        <v>6.1221491456368717</v>
      </c>
      <c r="EM297" s="4">
        <f t="shared" si="1091"/>
        <v>7.4658205132645818</v>
      </c>
      <c r="EN297" s="4" t="e">
        <f t="shared" si="1092"/>
        <v>#REF!</v>
      </c>
      <c r="EO297" s="4" t="e">
        <f t="shared" si="1093"/>
        <v>#REF!</v>
      </c>
      <c r="EP297" s="4" t="e">
        <f t="shared" ref="EP297:EP360" si="1261">EO297/(1-0.3*(F297/30)^0.5)/200000/G297</f>
        <v>#REF!</v>
      </c>
      <c r="EQ297" s="4" t="e">
        <f t="shared" si="1094"/>
        <v>#REF!</v>
      </c>
      <c r="ER297" s="4" t="e">
        <f t="shared" ref="ER297:ER360" si="1262">MIN(4/G297*(1*EL297*EE297+EM297*EN297+EO297*EQ297)+DO297,MAX(D297,V297))</f>
        <v>#REF!</v>
      </c>
      <c r="EU297" s="4">
        <f t="shared" ref="EU297:EU298" si="1263">5.25*25.4</f>
        <v>133.35</v>
      </c>
      <c r="FA297" s="23" t="e">
        <f t="shared" si="1042"/>
        <v>#REF!</v>
      </c>
      <c r="FB297" s="23" t="e">
        <f t="shared" si="1043"/>
        <v>#REF!</v>
      </c>
      <c r="FC297" s="23">
        <f t="shared" si="981"/>
        <v>1.2</v>
      </c>
      <c r="FD297" s="23" t="e">
        <f t="shared" si="1044"/>
        <v>#REF!</v>
      </c>
      <c r="FE297" s="23">
        <f t="shared" si="1045"/>
        <v>1</v>
      </c>
      <c r="FF297" s="23">
        <f t="shared" si="1046"/>
        <v>1.2</v>
      </c>
      <c r="FG297" s="23">
        <f t="shared" si="968"/>
        <v>0</v>
      </c>
      <c r="FH297" s="23"/>
      <c r="FR297" s="4">
        <f t="shared" si="1122"/>
        <v>1</v>
      </c>
      <c r="FS297" s="4">
        <f t="shared" si="1123"/>
        <v>0.4482312338222606</v>
      </c>
      <c r="FT297" s="4">
        <f t="shared" si="1124"/>
        <v>0.25</v>
      </c>
      <c r="FU297" s="4">
        <f t="shared" si="1125"/>
        <v>523.64678283779244</v>
      </c>
    </row>
    <row r="298" spans="2:177" ht="12" customHeight="1" x14ac:dyDescent="0.3">
      <c r="B298" s="24"/>
      <c r="C298" s="48" t="s">
        <v>434</v>
      </c>
      <c r="D298" s="38">
        <f t="shared" si="1214"/>
        <v>799.31034482758628</v>
      </c>
      <c r="E298" s="38">
        <f>12*25.4</f>
        <v>304.79999999999995</v>
      </c>
      <c r="F298" s="38">
        <f>5750/145</f>
        <v>39.655172413793103</v>
      </c>
      <c r="G298" s="38">
        <f t="shared" si="1016"/>
        <v>25.4</v>
      </c>
      <c r="H298" s="38">
        <f>16.6*25.4</f>
        <v>421.64</v>
      </c>
      <c r="I298" s="38">
        <f>2.45*25.4</f>
        <v>62.230000000000004</v>
      </c>
      <c r="J298" s="39">
        <f>3.3*25.4</f>
        <v>83.82</v>
      </c>
      <c r="K298" s="7">
        <f t="shared" si="986"/>
        <v>246.37999999999997</v>
      </c>
      <c r="L298" s="38">
        <v>2</v>
      </c>
      <c r="M298" s="4">
        <f t="shared" si="1028"/>
        <v>260.34999999999997</v>
      </c>
      <c r="N298" s="7">
        <f t="shared" si="1224"/>
        <v>2.95</v>
      </c>
      <c r="O298" s="7">
        <f t="shared" si="1225"/>
        <v>2.95</v>
      </c>
      <c r="P298" s="38">
        <v>4.5</v>
      </c>
      <c r="Q298" s="4">
        <f t="shared" si="1017"/>
        <v>4.5</v>
      </c>
      <c r="R298" s="4">
        <f t="shared" si="1226"/>
        <v>5.5</v>
      </c>
      <c r="S298" s="7">
        <f t="shared" si="1227"/>
        <v>59.568280149757555</v>
      </c>
      <c r="V298" s="38">
        <f t="shared" si="1054"/>
        <v>685.51724137931046</v>
      </c>
      <c r="W298" s="4">
        <v>99.4</v>
      </c>
      <c r="X298" s="4">
        <f t="shared" si="1228"/>
        <v>0.96655501262970034</v>
      </c>
      <c r="Y298" s="38">
        <f t="shared" si="1222"/>
        <v>12.7</v>
      </c>
      <c r="Z298" s="38">
        <v>4</v>
      </c>
      <c r="AA298" s="39">
        <f t="shared" si="1223"/>
        <v>139.69999999999999</v>
      </c>
      <c r="AB298" s="39">
        <v>1</v>
      </c>
      <c r="AC298" s="39">
        <v>1</v>
      </c>
      <c r="AD298" s="7"/>
      <c r="AE298" s="4">
        <f t="shared" si="1229"/>
        <v>304.79999999999995</v>
      </c>
      <c r="AF298" s="4">
        <f t="shared" si="1230"/>
        <v>0.46111111111111108</v>
      </c>
      <c r="AG298" s="4">
        <f t="shared" si="1231"/>
        <v>330.66258376635705</v>
      </c>
      <c r="AH298" s="4">
        <f t="shared" si="1232"/>
        <v>0.74916666666666665</v>
      </c>
      <c r="AI298" s="4">
        <v>1.25</v>
      </c>
      <c r="AJ298" s="4">
        <f t="shared" si="1154"/>
        <v>2.5</v>
      </c>
      <c r="AK298" s="38">
        <f t="shared" si="988"/>
        <v>356.95963560321565</v>
      </c>
      <c r="AL298" s="38">
        <f t="shared" ref="AL298:AL361" si="1264">AK298</f>
        <v>356.95963560321565</v>
      </c>
      <c r="AM298" s="38">
        <f t="shared" si="1233"/>
        <v>3.4886265610899732</v>
      </c>
      <c r="AN298" s="38">
        <f t="shared" si="1161"/>
        <v>356.95963560321547</v>
      </c>
      <c r="AO298" s="38">
        <f t="shared" si="1115"/>
        <v>1.0000000000000004</v>
      </c>
      <c r="AP298" s="38">
        <f t="shared" si="1162"/>
        <v>1.3903975741595627</v>
      </c>
      <c r="AQ298" s="4">
        <f t="shared" si="1163"/>
        <v>0</v>
      </c>
      <c r="AR298" s="4" t="e">
        <f>#REF!/G298*F298^0.5/0.19</f>
        <v>#REF!</v>
      </c>
      <c r="AS298" s="4">
        <f t="shared" si="1234"/>
        <v>1</v>
      </c>
      <c r="AT298" s="38">
        <f t="shared" si="1235"/>
        <v>496.31581141559224</v>
      </c>
      <c r="AU298" s="4">
        <f t="shared" si="1236"/>
        <v>0.37</v>
      </c>
      <c r="AV298" s="4" t="e">
        <f>AU298*D298*#REF!/(D298*G298/2.75/F298^0.5)</f>
        <v>#REF!</v>
      </c>
      <c r="AW298" s="4" t="e">
        <f t="shared" si="1068"/>
        <v>#REF!</v>
      </c>
      <c r="AY298" s="4">
        <f t="shared" si="1237"/>
        <v>1.5</v>
      </c>
      <c r="AZ298" s="4" t="e">
        <f>(3*#REF!+30)*AY298*F298^0.5</f>
        <v>#REF!</v>
      </c>
      <c r="BB298" s="4">
        <f t="shared" si="1238"/>
        <v>476.02755861624058</v>
      </c>
      <c r="BC298" s="4">
        <f t="shared" si="1103"/>
        <v>0</v>
      </c>
      <c r="BD298" s="4">
        <f t="shared" si="1069"/>
        <v>0</v>
      </c>
      <c r="BL298" s="4">
        <f t="shared" si="1239"/>
        <v>62.230000000000004</v>
      </c>
      <c r="BP298" s="9"/>
      <c r="BR298" s="9"/>
      <c r="BS298" s="9"/>
      <c r="BT298" s="9">
        <f t="shared" si="1240"/>
        <v>62.230000000000004</v>
      </c>
      <c r="BU298" s="9">
        <f t="shared" si="1241"/>
        <v>123.18999999999998</v>
      </c>
      <c r="BV298" s="9">
        <f t="shared" si="1242"/>
        <v>1.7340810420811554</v>
      </c>
      <c r="BW298" s="40">
        <f t="shared" si="1018"/>
        <v>20</v>
      </c>
      <c r="BX298" s="9">
        <f t="shared" si="1243"/>
        <v>0.05</v>
      </c>
      <c r="BY298" s="9">
        <f t="shared" si="1070"/>
        <v>0.8</v>
      </c>
      <c r="BZ298" s="9">
        <f t="shared" si="1244"/>
        <v>0.99524931562137331</v>
      </c>
      <c r="CA298" s="9">
        <f t="shared" si="1245"/>
        <v>0.68048275862068963</v>
      </c>
      <c r="CB298" s="9">
        <f t="shared" si="1246"/>
        <v>1.4926809118196944</v>
      </c>
      <c r="CC298" s="9">
        <f t="shared" si="1247"/>
        <v>3.7317022795492361</v>
      </c>
      <c r="CD298" s="40">
        <v>1</v>
      </c>
      <c r="CE298" s="9" t="e">
        <f>4*CC298*#REF!+60*CC298</f>
        <v>#REF!</v>
      </c>
      <c r="CG298" s="4" t="e">
        <f t="shared" si="1071"/>
        <v>#REF!</v>
      </c>
      <c r="CH298" s="4" t="e">
        <f t="shared" si="1072"/>
        <v>#REF!</v>
      </c>
      <c r="CI298" s="4" t="e">
        <f t="shared" si="1073"/>
        <v>#REF!</v>
      </c>
      <c r="CJ298" s="4" t="e">
        <f t="shared" si="1074"/>
        <v>#REF!</v>
      </c>
      <c r="CK298" s="4">
        <f t="shared" si="1075"/>
        <v>0.96655501262970034</v>
      </c>
      <c r="CL298" s="4">
        <f t="shared" si="1076"/>
        <v>1.035801217585661</v>
      </c>
      <c r="CM298" s="4">
        <f t="shared" si="978"/>
        <v>1.279120760819896</v>
      </c>
      <c r="CN298" s="4">
        <f t="shared" si="1019"/>
        <v>4</v>
      </c>
      <c r="CU298" s="4" t="e">
        <f t="shared" si="1216"/>
        <v>#REF!</v>
      </c>
      <c r="CV298" s="4" t="e">
        <f t="shared" si="1217"/>
        <v>#REF!</v>
      </c>
      <c r="CW298" s="4" t="e">
        <f t="shared" si="1218"/>
        <v>#REF!</v>
      </c>
      <c r="CX298" s="4">
        <f t="shared" si="1219"/>
        <v>1.279120760819896</v>
      </c>
      <c r="CY298" s="4">
        <f t="shared" si="1220"/>
        <v>0.96655501262970034</v>
      </c>
      <c r="CZ298" s="4">
        <f t="shared" si="1221"/>
        <v>1.035801217585661</v>
      </c>
      <c r="DC298" s="4" t="e">
        <f>#REF!</f>
        <v>#REF!</v>
      </c>
      <c r="DF298" s="4">
        <f t="shared" si="1248"/>
        <v>2.2897749327345264E-5</v>
      </c>
      <c r="DG298" s="4">
        <f t="shared" si="1083"/>
        <v>8.5513075262328435</v>
      </c>
      <c r="DH298" s="4">
        <f t="shared" si="1249"/>
        <v>0.46364832098141967</v>
      </c>
      <c r="DI298" s="4">
        <f t="shared" si="1084"/>
        <v>6.2879343910670871</v>
      </c>
      <c r="DJ298" s="4">
        <f t="shared" si="1085"/>
        <v>7.5056262041751376</v>
      </c>
      <c r="DK298" s="4">
        <f t="shared" si="1250"/>
        <v>7.7915391372453886</v>
      </c>
      <c r="DL298" s="38">
        <f t="shared" si="1251"/>
        <v>709.23768685884511</v>
      </c>
      <c r="DM298" s="4" t="e">
        <f t="shared" si="1086"/>
        <v>#REF!</v>
      </c>
      <c r="DN298" s="4">
        <f t="shared" si="1252"/>
        <v>2.3452078799117149</v>
      </c>
      <c r="DO298" s="4">
        <f t="shared" si="976"/>
        <v>356.95963560321547</v>
      </c>
      <c r="DS298" s="4">
        <f t="shared" si="1253"/>
        <v>0.85</v>
      </c>
      <c r="DT298" s="4">
        <f t="shared" si="1254"/>
        <v>0.85499999999999998</v>
      </c>
      <c r="DU298" s="4">
        <f t="shared" si="1255"/>
        <v>0.92500000000000004</v>
      </c>
      <c r="DV298" s="4">
        <f t="shared" si="1087"/>
        <v>0.79087499999999999</v>
      </c>
      <c r="DX298" s="4">
        <f t="shared" si="1256"/>
        <v>661.8231662028511</v>
      </c>
      <c r="DY298" s="25">
        <f t="shared" si="1146"/>
        <v>353.97609525846872</v>
      </c>
      <c r="EA298" s="4">
        <f t="shared" si="1147"/>
        <v>0.67224375000000003</v>
      </c>
      <c r="EB298" s="4">
        <f t="shared" si="1257"/>
        <v>8.5513075262328435</v>
      </c>
      <c r="EE298" s="4">
        <f t="shared" si="1258"/>
        <v>59.568280149757555</v>
      </c>
      <c r="EF298" s="4">
        <f t="shared" si="1088"/>
        <v>2.3452078799117149</v>
      </c>
      <c r="EG298" s="4">
        <f t="shared" si="1259"/>
        <v>0.1596518215618527</v>
      </c>
      <c r="EJ298" s="4">
        <f t="shared" si="1089"/>
        <v>0.1596518215618527</v>
      </c>
      <c r="EK298" s="4">
        <f t="shared" si="1260"/>
        <v>0.46287457834600176</v>
      </c>
      <c r="EL298" s="4">
        <f t="shared" si="1090"/>
        <v>6.2837349315783593</v>
      </c>
      <c r="EM298" s="4">
        <f t="shared" si="1091"/>
        <v>7.5038690643831485</v>
      </c>
      <c r="EN298" s="4" t="e">
        <f t="shared" si="1092"/>
        <v>#REF!</v>
      </c>
      <c r="EO298" s="4" t="e">
        <f t="shared" si="1093"/>
        <v>#REF!</v>
      </c>
      <c r="EP298" s="4" t="e">
        <f t="shared" si="1261"/>
        <v>#REF!</v>
      </c>
      <c r="EQ298" s="4" t="e">
        <f t="shared" si="1094"/>
        <v>#REF!</v>
      </c>
      <c r="ER298" s="4" t="e">
        <f t="shared" si="1262"/>
        <v>#REF!</v>
      </c>
      <c r="EU298" s="4">
        <f t="shared" si="1263"/>
        <v>133.35</v>
      </c>
      <c r="FA298" s="23" t="e">
        <f t="shared" si="1042"/>
        <v>#REF!</v>
      </c>
      <c r="FB298" s="23" t="e">
        <f t="shared" si="1043"/>
        <v>#REF!</v>
      </c>
      <c r="FC298" s="23">
        <f t="shared" si="981"/>
        <v>1.4</v>
      </c>
      <c r="FD298" s="23" t="e">
        <f t="shared" si="1044"/>
        <v>#REF!</v>
      </c>
      <c r="FE298" s="23">
        <f t="shared" si="1045"/>
        <v>1</v>
      </c>
      <c r="FF298" s="23">
        <f t="shared" si="1046"/>
        <v>1.2</v>
      </c>
      <c r="FG298" s="23">
        <f t="shared" si="968"/>
        <v>0</v>
      </c>
      <c r="FH298" s="23"/>
      <c r="FR298" s="4">
        <f t="shared" si="1122"/>
        <v>1.25</v>
      </c>
      <c r="FS298" s="4">
        <f t="shared" si="1123"/>
        <v>0.4482312338222606</v>
      </c>
      <c r="FT298" s="4">
        <f t="shared" si="1124"/>
        <v>0.25</v>
      </c>
      <c r="FU298" s="4">
        <f t="shared" si="1125"/>
        <v>535.9284771047769</v>
      </c>
    </row>
    <row r="299" spans="2:177" ht="12" customHeight="1" x14ac:dyDescent="0.3">
      <c r="B299" s="24"/>
      <c r="C299" s="7" t="s">
        <v>435</v>
      </c>
      <c r="D299" s="38">
        <f t="shared" si="1214"/>
        <v>799.31034482758628</v>
      </c>
      <c r="E299" s="38">
        <f>8.31*25.4</f>
        <v>211.07400000000001</v>
      </c>
      <c r="F299" s="38">
        <f>5900/145</f>
        <v>40.689655172413794</v>
      </c>
      <c r="G299" s="38">
        <f t="shared" si="1016"/>
        <v>25.4</v>
      </c>
      <c r="H299" s="38">
        <f>16.9*25.4</f>
        <v>429.25999999999993</v>
      </c>
      <c r="I299" s="38">
        <f>2.45*25.4</f>
        <v>62.230000000000004</v>
      </c>
      <c r="J299" s="39">
        <f>3.05*25.4</f>
        <v>77.469999999999985</v>
      </c>
      <c r="K299" s="7">
        <f t="shared" si="986"/>
        <v>253.99999999999991</v>
      </c>
      <c r="L299" s="38">
        <v>2</v>
      </c>
      <c r="M299" s="4">
        <f t="shared" si="1028"/>
        <v>260.34999999999997</v>
      </c>
      <c r="N299" s="7">
        <f t="shared" si="1224"/>
        <v>2.95</v>
      </c>
      <c r="O299" s="7">
        <f t="shared" si="1225"/>
        <v>2.95</v>
      </c>
      <c r="P299" s="38">
        <v>6.5</v>
      </c>
      <c r="Q299" s="4">
        <f t="shared" si="1017"/>
        <v>6.5</v>
      </c>
      <c r="R299" s="4">
        <f t="shared" si="1226"/>
        <v>7.5</v>
      </c>
      <c r="S299" s="7">
        <f t="shared" si="1227"/>
        <v>69.56076480315609</v>
      </c>
      <c r="V299" s="38">
        <f t="shared" si="1054"/>
        <v>541.37931034482767</v>
      </c>
      <c r="W299" s="4">
        <v>78.5</v>
      </c>
      <c r="X299" s="4">
        <f t="shared" si="1228"/>
        <v>0.94029242605845686</v>
      </c>
      <c r="Y299" s="38">
        <f t="shared" si="1222"/>
        <v>12.7</v>
      </c>
      <c r="Z299" s="38">
        <v>10</v>
      </c>
      <c r="AA299" s="39">
        <f t="shared" ref="AA299:AA302" si="1265">3*25.4</f>
        <v>76.199999999999989</v>
      </c>
      <c r="AB299" s="39">
        <v>3</v>
      </c>
      <c r="AC299" s="39">
        <v>2</v>
      </c>
      <c r="AD299" s="7"/>
      <c r="AE299" s="4">
        <f t="shared" si="1229"/>
        <v>211.07400000000001</v>
      </c>
      <c r="AF299" s="4">
        <f t="shared" si="1230"/>
        <v>0.67789811472121919</v>
      </c>
      <c r="AG299" s="4">
        <f t="shared" si="1231"/>
        <v>193.02199723672265</v>
      </c>
      <c r="AH299" s="4">
        <f t="shared" si="1232"/>
        <v>0.77099879663056559</v>
      </c>
      <c r="AI299" s="4">
        <v>1.25</v>
      </c>
      <c r="AJ299" s="4">
        <f t="shared" si="1154"/>
        <v>2.5</v>
      </c>
      <c r="AK299" s="38">
        <f t="shared" si="988"/>
        <v>315.26441490139024</v>
      </c>
      <c r="AL299" s="38">
        <f t="shared" si="1264"/>
        <v>315.26441490139024</v>
      </c>
      <c r="AM299" s="38">
        <f t="shared" si="1233"/>
        <v>3.5490375497727622</v>
      </c>
      <c r="AN299" s="38">
        <f t="shared" si="1161"/>
        <v>315.26441490139041</v>
      </c>
      <c r="AO299" s="38">
        <f t="shared" si="1115"/>
        <v>0.99999999999999944</v>
      </c>
      <c r="AP299" s="38">
        <f t="shared" si="1162"/>
        <v>1.9414121637599517</v>
      </c>
      <c r="AQ299" s="4">
        <f t="shared" si="1163"/>
        <v>0</v>
      </c>
      <c r="AR299" s="4" t="e">
        <f>#REF!/G299*F299^0.5/0.19</f>
        <v>#REF!</v>
      </c>
      <c r="AS299" s="4">
        <f t="shared" si="1234"/>
        <v>1</v>
      </c>
      <c r="AT299" s="38">
        <f t="shared" si="1235"/>
        <v>612.05816989022355</v>
      </c>
      <c r="AU299" s="4">
        <f t="shared" si="1236"/>
        <v>0.3</v>
      </c>
      <c r="AV299" s="4" t="e">
        <f>AU299*D299*#REF!/(D299*G299/2.75/F299^0.5)</f>
        <v>#REF!</v>
      </c>
      <c r="AW299" s="4" t="e">
        <f t="shared" si="1068"/>
        <v>#REF!</v>
      </c>
      <c r="AY299" s="4">
        <f t="shared" si="1237"/>
        <v>1.5</v>
      </c>
      <c r="AZ299" s="4" t="e">
        <f>(3*#REF!+30)*AY299*F299^0.5</f>
        <v>#REF!</v>
      </c>
      <c r="BB299" s="4">
        <f t="shared" si="1238"/>
        <v>587.03863476152412</v>
      </c>
      <c r="BC299" s="4">
        <f t="shared" si="1103"/>
        <v>0</v>
      </c>
      <c r="BD299" s="4">
        <f t="shared" si="1069"/>
        <v>0</v>
      </c>
      <c r="BL299" s="4">
        <f t="shared" si="1239"/>
        <v>62.230000000000004</v>
      </c>
      <c r="BP299" s="9"/>
      <c r="BR299" s="9"/>
      <c r="BS299" s="9"/>
      <c r="BT299" s="9">
        <f t="shared" si="1240"/>
        <v>62.230000000000004</v>
      </c>
      <c r="BU299" s="9">
        <f t="shared" si="1241"/>
        <v>126.99999999999996</v>
      </c>
      <c r="BV299" s="9">
        <f t="shared" si="1242"/>
        <v>1.7420219790042637</v>
      </c>
      <c r="BW299" s="40">
        <f t="shared" si="1018"/>
        <v>20</v>
      </c>
      <c r="BX299" s="9">
        <f t="shared" si="1243"/>
        <v>0.05</v>
      </c>
      <c r="BY299" s="9">
        <f t="shared" si="1070"/>
        <v>0.8</v>
      </c>
      <c r="BZ299" s="9">
        <f t="shared" si="1244"/>
        <v>0.99524931562137331</v>
      </c>
      <c r="CA299" s="9">
        <f t="shared" si="1245"/>
        <v>0.68048275862068963</v>
      </c>
      <c r="CB299" s="9">
        <f t="shared" si="1246"/>
        <v>1.51202531590344</v>
      </c>
      <c r="CC299" s="9">
        <f t="shared" si="1247"/>
        <v>3.7800632897586</v>
      </c>
      <c r="CD299" s="40">
        <v>1</v>
      </c>
      <c r="CE299" s="9" t="e">
        <f>4*CC299*#REF!+60*CC299</f>
        <v>#REF!</v>
      </c>
      <c r="CG299" s="4" t="e">
        <f t="shared" si="1071"/>
        <v>#REF!</v>
      </c>
      <c r="CH299" s="4" t="e">
        <f t="shared" si="1072"/>
        <v>#REF!</v>
      </c>
      <c r="CI299" s="4" t="e">
        <f t="shared" si="1073"/>
        <v>#REF!</v>
      </c>
      <c r="CJ299" s="4" t="e">
        <f t="shared" si="1074"/>
        <v>#REF!</v>
      </c>
      <c r="CK299" s="4">
        <f t="shared" si="1075"/>
        <v>0.94029242605845686</v>
      </c>
      <c r="CL299" s="4">
        <f t="shared" si="1076"/>
        <v>0.97511909646297612</v>
      </c>
      <c r="CM299" s="4">
        <f t="shared" si="978"/>
        <v>1.4158899377768372</v>
      </c>
      <c r="CN299" s="4">
        <f t="shared" si="1019"/>
        <v>10</v>
      </c>
      <c r="CU299" s="4" t="e">
        <f t="shared" si="1216"/>
        <v>#REF!</v>
      </c>
      <c r="CV299" s="4" t="e">
        <f t="shared" si="1217"/>
        <v>#REF!</v>
      </c>
      <c r="CW299" s="4" t="e">
        <f t="shared" si="1218"/>
        <v>#REF!</v>
      </c>
      <c r="CX299" s="4">
        <f t="shared" si="1219"/>
        <v>1.4158899377768372</v>
      </c>
      <c r="CY299" s="4">
        <f t="shared" si="1220"/>
        <v>0.94029242605845686</v>
      </c>
      <c r="CZ299" s="4">
        <f t="shared" si="1221"/>
        <v>0.97511909646297612</v>
      </c>
      <c r="DC299" s="4" t="e">
        <f>#REF!</f>
        <v>#REF!</v>
      </c>
      <c r="DF299" s="4">
        <f t="shared" si="1248"/>
        <v>1.5965631204689113E-5</v>
      </c>
      <c r="DG299" s="4">
        <f t="shared" si="1083"/>
        <v>9.7866580905942957</v>
      </c>
      <c r="DH299" s="4">
        <f t="shared" si="1249"/>
        <v>0.32263301896673924</v>
      </c>
      <c r="DI299" s="4">
        <f t="shared" si="1084"/>
        <v>6.2246930532920937</v>
      </c>
      <c r="DJ299" s="4">
        <f t="shared" si="1085"/>
        <v>8.2023131968225798</v>
      </c>
      <c r="DK299" s="4">
        <f t="shared" si="1250"/>
        <v>9.3468091415899224</v>
      </c>
      <c r="DL299" s="38">
        <f t="shared" si="1251"/>
        <v>575.75632360902455</v>
      </c>
      <c r="DM299" s="4" t="e">
        <f t="shared" si="1086"/>
        <v>#REF!</v>
      </c>
      <c r="DN299" s="4">
        <f t="shared" si="1252"/>
        <v>2.7386127875258306</v>
      </c>
      <c r="DO299" s="4">
        <f t="shared" si="976"/>
        <v>315.26441490139041</v>
      </c>
      <c r="DS299" s="4">
        <f t="shared" si="1253"/>
        <v>0.85</v>
      </c>
      <c r="DT299" s="4">
        <f t="shared" si="1254"/>
        <v>0.85499999999999998</v>
      </c>
      <c r="DU299" s="4">
        <f t="shared" si="1255"/>
        <v>0.77500000000000002</v>
      </c>
      <c r="DV299" s="4">
        <f t="shared" si="1087"/>
        <v>0.7</v>
      </c>
      <c r="DX299" s="4">
        <f t="shared" si="1256"/>
        <v>555.19301417494398</v>
      </c>
      <c r="DY299" s="25">
        <f t="shared" si="1146"/>
        <v>311.21162797642813</v>
      </c>
      <c r="EA299" s="4">
        <f t="shared" si="1147"/>
        <v>0.59499999999999997</v>
      </c>
      <c r="EB299" s="4">
        <f t="shared" si="1257"/>
        <v>9.7866580905942957</v>
      </c>
      <c r="EE299" s="4">
        <f t="shared" si="1258"/>
        <v>69.56076480315609</v>
      </c>
      <c r="EF299" s="4">
        <f t="shared" si="1088"/>
        <v>2.7386127875258306</v>
      </c>
      <c r="EG299" s="4">
        <f t="shared" si="1259"/>
        <v>0.11253460271527289</v>
      </c>
      <c r="EJ299" s="4">
        <f t="shared" si="1089"/>
        <v>0.11253460271527289</v>
      </c>
      <c r="EK299" s="4">
        <f t="shared" si="1260"/>
        <v>0.32209460458870448</v>
      </c>
      <c r="EL299" s="4">
        <f t="shared" si="1090"/>
        <v>6.2205358301594567</v>
      </c>
      <c r="EM299" s="4">
        <f t="shared" si="1091"/>
        <v>8.2007408563541091</v>
      </c>
      <c r="EN299" s="4" t="e">
        <f t="shared" si="1092"/>
        <v>#REF!</v>
      </c>
      <c r="EO299" s="4" t="e">
        <f t="shared" si="1093"/>
        <v>#REF!</v>
      </c>
      <c r="EP299" s="4" t="e">
        <f t="shared" si="1261"/>
        <v>#REF!</v>
      </c>
      <c r="EQ299" s="4" t="e">
        <f t="shared" si="1094"/>
        <v>#REF!</v>
      </c>
      <c r="ER299" s="4" t="e">
        <f t="shared" si="1262"/>
        <v>#REF!</v>
      </c>
      <c r="FA299" s="23" t="e">
        <f t="shared" si="1042"/>
        <v>#REF!</v>
      </c>
      <c r="FB299" s="23" t="e">
        <f t="shared" si="1043"/>
        <v>#REF!</v>
      </c>
      <c r="FC299" s="23">
        <f t="shared" si="981"/>
        <v>1.6</v>
      </c>
      <c r="FD299" s="23" t="e">
        <f t="shared" si="1044"/>
        <v>#REF!</v>
      </c>
      <c r="FE299" s="23">
        <f t="shared" si="1045"/>
        <v>1</v>
      </c>
      <c r="FF299" s="23">
        <f t="shared" si="1046"/>
        <v>1</v>
      </c>
      <c r="FG299" s="23">
        <f t="shared" ref="FG299:FG362" si="1266">IF(FE299&lt;1,1,0)</f>
        <v>0</v>
      </c>
      <c r="FH299" s="23"/>
      <c r="FR299" s="4">
        <f t="shared" si="1122"/>
        <v>1.25</v>
      </c>
      <c r="FS299" s="4">
        <f t="shared" si="1123"/>
        <v>0.43787748058671272</v>
      </c>
      <c r="FT299" s="4">
        <f t="shared" si="1124"/>
        <v>0.3</v>
      </c>
      <c r="FU299" s="4">
        <f t="shared" si="1125"/>
        <v>382.35974131921273</v>
      </c>
    </row>
    <row r="300" spans="2:177" ht="12" customHeight="1" x14ac:dyDescent="0.3">
      <c r="B300" s="24"/>
      <c r="C300" s="7" t="s">
        <v>436</v>
      </c>
      <c r="D300" s="38">
        <f t="shared" si="1214"/>
        <v>799.31034482758628</v>
      </c>
      <c r="E300" s="38">
        <f>10.94*25.4</f>
        <v>277.87599999999998</v>
      </c>
      <c r="F300" s="38">
        <f>5900/145</f>
        <v>40.689655172413794</v>
      </c>
      <c r="G300" s="38">
        <f t="shared" si="1016"/>
        <v>25.4</v>
      </c>
      <c r="H300" s="38">
        <f>17.6*25.4</f>
        <v>447.04</v>
      </c>
      <c r="I300" s="38">
        <f>2.45*25.4</f>
        <v>62.230000000000004</v>
      </c>
      <c r="J300" s="39">
        <f>3.35*25.4</f>
        <v>85.09</v>
      </c>
      <c r="K300" s="7">
        <f t="shared" si="986"/>
        <v>271.77999999999997</v>
      </c>
      <c r="L300" s="38">
        <v>2</v>
      </c>
      <c r="M300" s="4">
        <f t="shared" si="1028"/>
        <v>260.34999999999997</v>
      </c>
      <c r="N300" s="7">
        <f t="shared" si="1224"/>
        <v>2.95</v>
      </c>
      <c r="O300" s="7">
        <f t="shared" si="1225"/>
        <v>2.95</v>
      </c>
      <c r="P300" s="38">
        <v>6.5</v>
      </c>
      <c r="Q300" s="4">
        <f t="shared" si="1017"/>
        <v>6.5</v>
      </c>
      <c r="R300" s="4">
        <f t="shared" si="1226"/>
        <v>7.5</v>
      </c>
      <c r="S300" s="7">
        <f t="shared" si="1227"/>
        <v>69.56076480315609</v>
      </c>
      <c r="V300" s="38">
        <f t="shared" si="1054"/>
        <v>737.24137931034488</v>
      </c>
      <c r="W300" s="4">
        <v>106.9</v>
      </c>
      <c r="X300" s="4">
        <f t="shared" si="1228"/>
        <v>1.0210557999824699</v>
      </c>
      <c r="Y300" s="38">
        <f t="shared" si="1222"/>
        <v>12.7</v>
      </c>
      <c r="Z300" s="38">
        <v>10</v>
      </c>
      <c r="AA300" s="39">
        <f t="shared" si="1265"/>
        <v>76.199999999999989</v>
      </c>
      <c r="AB300" s="39">
        <v>3</v>
      </c>
      <c r="AC300" s="39">
        <v>2</v>
      </c>
      <c r="AD300" s="7"/>
      <c r="AE300" s="4">
        <f t="shared" si="1229"/>
        <v>277.87599999999998</v>
      </c>
      <c r="AF300" s="4">
        <f t="shared" si="1230"/>
        <v>0.53625837903717255</v>
      </c>
      <c r="AG300" s="4">
        <f t="shared" si="1231"/>
        <v>291.56222268863934</v>
      </c>
      <c r="AH300" s="4">
        <f t="shared" si="1232"/>
        <v>0.75393053016453382</v>
      </c>
      <c r="AI300" s="4">
        <v>1.25</v>
      </c>
      <c r="AJ300" s="4">
        <f t="shared" si="1154"/>
        <v>2.5</v>
      </c>
      <c r="AK300" s="38">
        <f t="shared" si="988"/>
        <v>368.37207075008428</v>
      </c>
      <c r="AL300" s="38">
        <f t="shared" si="1264"/>
        <v>368.37207075008428</v>
      </c>
      <c r="AM300" s="38">
        <f t="shared" si="1233"/>
        <v>3.5490375497727622</v>
      </c>
      <c r="AN300" s="38">
        <f t="shared" si="1161"/>
        <v>368.37207075008428</v>
      </c>
      <c r="AO300" s="38">
        <f t="shared" si="1115"/>
        <v>1</v>
      </c>
      <c r="AP300" s="38">
        <f t="shared" si="1162"/>
        <v>1.6615216475123706</v>
      </c>
      <c r="AQ300" s="4">
        <f t="shared" si="1163"/>
        <v>0</v>
      </c>
      <c r="AR300" s="4" t="e">
        <f>#REF!/G300*F300^0.5/0.19</f>
        <v>#REF!</v>
      </c>
      <c r="AS300" s="4">
        <f t="shared" si="1234"/>
        <v>1</v>
      </c>
      <c r="AT300" s="38">
        <f t="shared" si="1235"/>
        <v>612.05816989022355</v>
      </c>
      <c r="AU300" s="4">
        <f t="shared" si="1236"/>
        <v>0.3</v>
      </c>
      <c r="AV300" s="4" t="e">
        <f>AU300*D300*#REF!/(D300*G300/2.75/F300^0.5)</f>
        <v>#REF!</v>
      </c>
      <c r="AW300" s="4" t="e">
        <f t="shared" si="1068"/>
        <v>#REF!</v>
      </c>
      <c r="AY300" s="4">
        <f t="shared" si="1237"/>
        <v>1.5</v>
      </c>
      <c r="AZ300" s="4" t="e">
        <f>(3*#REF!+30)*AY300*F300^0.5</f>
        <v>#REF!</v>
      </c>
      <c r="BB300" s="4">
        <f t="shared" si="1238"/>
        <v>587.03863476152412</v>
      </c>
      <c r="BC300" s="4">
        <f t="shared" si="1103"/>
        <v>0</v>
      </c>
      <c r="BD300" s="4">
        <f t="shared" si="1069"/>
        <v>0</v>
      </c>
      <c r="BL300" s="4">
        <f t="shared" si="1239"/>
        <v>62.230000000000004</v>
      </c>
      <c r="BP300" s="9"/>
      <c r="BR300" s="9"/>
      <c r="BS300" s="9"/>
      <c r="BT300" s="9">
        <f t="shared" si="1240"/>
        <v>62.230000000000004</v>
      </c>
      <c r="BU300" s="9">
        <f t="shared" si="1241"/>
        <v>135.88999999999999</v>
      </c>
      <c r="BV300" s="9">
        <f t="shared" si="1242"/>
        <v>1.7597914236385663</v>
      </c>
      <c r="BW300" s="40">
        <f t="shared" si="1018"/>
        <v>20</v>
      </c>
      <c r="BX300" s="9">
        <f t="shared" si="1243"/>
        <v>0.05</v>
      </c>
      <c r="BY300" s="9">
        <f t="shared" si="1070"/>
        <v>0.8</v>
      </c>
      <c r="BZ300" s="9">
        <f t="shared" si="1244"/>
        <v>0.99524931562137331</v>
      </c>
      <c r="CA300" s="9">
        <f t="shared" si="1245"/>
        <v>0.68048275862068963</v>
      </c>
      <c r="CB300" s="9">
        <f t="shared" si="1246"/>
        <v>1.51202531590344</v>
      </c>
      <c r="CC300" s="9">
        <f t="shared" si="1247"/>
        <v>3.7800632897586</v>
      </c>
      <c r="CD300" s="40">
        <v>1</v>
      </c>
      <c r="CE300" s="9" t="e">
        <f>4*CC300*#REF!+60*CC300</f>
        <v>#REF!</v>
      </c>
      <c r="CG300" s="4" t="e">
        <f t="shared" si="1071"/>
        <v>#REF!</v>
      </c>
      <c r="CH300" s="4" t="e">
        <f t="shared" si="1072"/>
        <v>#REF!</v>
      </c>
      <c r="CI300" s="4" t="e">
        <f t="shared" si="1073"/>
        <v>#REF!</v>
      </c>
      <c r="CJ300" s="4" t="e">
        <f t="shared" si="1074"/>
        <v>#REF!</v>
      </c>
      <c r="CK300" s="4">
        <f t="shared" si="1075"/>
        <v>1.0210557999824699</v>
      </c>
      <c r="CL300" s="4">
        <f t="shared" si="1076"/>
        <v>1.0745054096439952</v>
      </c>
      <c r="CM300" s="4">
        <f t="shared" si="978"/>
        <v>1.4646074726472567</v>
      </c>
      <c r="CN300" s="4">
        <f t="shared" si="1019"/>
        <v>10</v>
      </c>
      <c r="CU300" s="4" t="e">
        <f t="shared" si="1216"/>
        <v>#REF!</v>
      </c>
      <c r="CV300" s="4" t="e">
        <f t="shared" si="1217"/>
        <v>#REF!</v>
      </c>
      <c r="CW300" s="4" t="e">
        <f t="shared" si="1218"/>
        <v>#REF!</v>
      </c>
      <c r="CX300" s="4">
        <f t="shared" si="1219"/>
        <v>1.4646074726472567</v>
      </c>
      <c r="CY300" s="4">
        <f t="shared" si="1220"/>
        <v>1.0210557999824699</v>
      </c>
      <c r="CZ300" s="4">
        <f t="shared" si="1221"/>
        <v>1.0745054096439952</v>
      </c>
      <c r="DC300" s="4" t="e">
        <f>#REF!</f>
        <v>#REF!</v>
      </c>
      <c r="DF300" s="4">
        <f t="shared" si="1248"/>
        <v>2.1018532536618391E-5</v>
      </c>
      <c r="DG300" s="4">
        <f t="shared" si="1083"/>
        <v>9.7866580905942957</v>
      </c>
      <c r="DH300" s="4">
        <f t="shared" si="1249"/>
        <v>0.37698194807778418</v>
      </c>
      <c r="DI300" s="4">
        <f t="shared" si="1084"/>
        <v>6.6246454169545199</v>
      </c>
      <c r="DJ300" s="4">
        <f t="shared" si="1085"/>
        <v>8.3571143650726452</v>
      </c>
      <c r="DK300" s="4">
        <f t="shared" si="1250"/>
        <v>8.9912219231036268</v>
      </c>
      <c r="DL300" s="38">
        <f t="shared" si="1251"/>
        <v>722.03828558929126</v>
      </c>
      <c r="DM300" s="4" t="e">
        <f t="shared" si="1086"/>
        <v>#REF!</v>
      </c>
      <c r="DN300" s="4">
        <f t="shared" si="1252"/>
        <v>2.7386127875258306</v>
      </c>
      <c r="DO300" s="4">
        <f t="shared" si="976"/>
        <v>368.37207075008428</v>
      </c>
      <c r="DS300" s="4">
        <f t="shared" si="1253"/>
        <v>0.85</v>
      </c>
      <c r="DT300" s="4">
        <f t="shared" si="1254"/>
        <v>0.85499999999999998</v>
      </c>
      <c r="DU300" s="4">
        <f t="shared" si="1255"/>
        <v>0.77500000000000002</v>
      </c>
      <c r="DV300" s="4">
        <f t="shared" si="1087"/>
        <v>0.7</v>
      </c>
      <c r="DX300" s="4">
        <f t="shared" si="1256"/>
        <v>686.12160785175342</v>
      </c>
      <c r="DY300" s="25">
        <f t="shared" si="1146"/>
        <v>364.92348931844867</v>
      </c>
      <c r="EA300" s="4">
        <f t="shared" si="1147"/>
        <v>0.59499999999999997</v>
      </c>
      <c r="EB300" s="4">
        <f t="shared" si="1257"/>
        <v>9.7866580905942957</v>
      </c>
      <c r="EE300" s="4">
        <f t="shared" si="1258"/>
        <v>69.56076480315609</v>
      </c>
      <c r="EF300" s="4">
        <f t="shared" si="1088"/>
        <v>2.7386127875258306</v>
      </c>
      <c r="EG300" s="4">
        <f t="shared" si="1259"/>
        <v>0.13149154384020617</v>
      </c>
      <c r="EJ300" s="4">
        <f t="shared" si="1089"/>
        <v>0.13149154384020617</v>
      </c>
      <c r="EK300" s="4">
        <f t="shared" si="1260"/>
        <v>0.37635283546632642</v>
      </c>
      <c r="EL300" s="4">
        <f t="shared" si="1090"/>
        <v>6.6202210816600546</v>
      </c>
      <c r="EM300" s="4">
        <f t="shared" si="1091"/>
        <v>8.3553644821317707</v>
      </c>
      <c r="EN300" s="4" t="e">
        <f t="shared" si="1092"/>
        <v>#REF!</v>
      </c>
      <c r="EO300" s="4" t="e">
        <f t="shared" si="1093"/>
        <v>#REF!</v>
      </c>
      <c r="EP300" s="4" t="e">
        <f t="shared" si="1261"/>
        <v>#REF!</v>
      </c>
      <c r="EQ300" s="4" t="e">
        <f t="shared" si="1094"/>
        <v>#REF!</v>
      </c>
      <c r="ER300" s="4" t="e">
        <f t="shared" si="1262"/>
        <v>#REF!</v>
      </c>
      <c r="FA300" s="23" t="e">
        <f t="shared" si="1042"/>
        <v>#REF!</v>
      </c>
      <c r="FB300" s="23" t="e">
        <f t="shared" si="1043"/>
        <v>#REF!</v>
      </c>
      <c r="FC300" s="23">
        <f t="shared" si="981"/>
        <v>1.6</v>
      </c>
      <c r="FD300" s="23" t="e">
        <f t="shared" si="1044"/>
        <v>#REF!</v>
      </c>
      <c r="FE300" s="23">
        <f t="shared" si="1045"/>
        <v>1.2</v>
      </c>
      <c r="FF300" s="23">
        <f t="shared" si="1046"/>
        <v>1.2</v>
      </c>
      <c r="FG300" s="23">
        <f t="shared" si="1266"/>
        <v>0</v>
      </c>
      <c r="FH300" s="23"/>
      <c r="FR300" s="4">
        <f t="shared" si="1122"/>
        <v>1.25</v>
      </c>
      <c r="FS300" s="4">
        <f t="shared" si="1123"/>
        <v>0.43787748058671272</v>
      </c>
      <c r="FT300" s="4">
        <f t="shared" si="1124"/>
        <v>0.3</v>
      </c>
      <c r="FU300" s="4">
        <f t="shared" si="1125"/>
        <v>503.37130806644853</v>
      </c>
    </row>
    <row r="301" spans="2:177" ht="12" customHeight="1" x14ac:dyDescent="0.3">
      <c r="B301" s="24"/>
      <c r="C301" s="48" t="s">
        <v>437</v>
      </c>
      <c r="D301" s="38">
        <f t="shared" si="1214"/>
        <v>799.31034482758628</v>
      </c>
      <c r="E301" s="38">
        <f>8*25.4</f>
        <v>203.2</v>
      </c>
      <c r="F301" s="38">
        <f>5900/145</f>
        <v>40.689655172413794</v>
      </c>
      <c r="G301" s="38">
        <f t="shared" si="1016"/>
        <v>25.4</v>
      </c>
      <c r="H301" s="38">
        <f>17.3*25.4</f>
        <v>439.42</v>
      </c>
      <c r="I301" s="38">
        <f>2.65*25.4</f>
        <v>67.309999999999988</v>
      </c>
      <c r="J301" s="39">
        <f>3.4*25.4</f>
        <v>86.36</v>
      </c>
      <c r="K301" s="7">
        <f t="shared" si="986"/>
        <v>254.00000000000003</v>
      </c>
      <c r="L301" s="38">
        <v>2</v>
      </c>
      <c r="M301" s="4">
        <f t="shared" si="1028"/>
        <v>260.34999999999997</v>
      </c>
      <c r="N301" s="7">
        <f t="shared" si="1224"/>
        <v>3.1499999999999995</v>
      </c>
      <c r="O301" s="7">
        <f t="shared" si="1225"/>
        <v>3.1499999999999995</v>
      </c>
      <c r="P301" s="38">
        <v>4.5</v>
      </c>
      <c r="Q301" s="4">
        <f t="shared" si="1017"/>
        <v>4.5</v>
      </c>
      <c r="R301" s="4">
        <f t="shared" si="1226"/>
        <v>5.5</v>
      </c>
      <c r="S301" s="7">
        <f t="shared" si="1227"/>
        <v>59.568280149757555</v>
      </c>
      <c r="V301" s="38">
        <f t="shared" si="1054"/>
        <v>597.24137931034488</v>
      </c>
      <c r="W301" s="4">
        <v>86.6</v>
      </c>
      <c r="X301" s="4">
        <f t="shared" si="1228"/>
        <v>1.0263095681968797</v>
      </c>
      <c r="Y301" s="38">
        <f t="shared" si="1222"/>
        <v>12.7</v>
      </c>
      <c r="Z301" s="38">
        <v>10</v>
      </c>
      <c r="AA301" s="39">
        <f t="shared" si="1265"/>
        <v>76.199999999999989</v>
      </c>
      <c r="AB301" s="39">
        <v>3</v>
      </c>
      <c r="AC301" s="39">
        <v>2</v>
      </c>
      <c r="AD301" s="7"/>
      <c r="AE301" s="4">
        <f t="shared" si="1229"/>
        <v>203.2</v>
      </c>
      <c r="AF301" s="4">
        <f t="shared" si="1230"/>
        <v>0.72083333333333333</v>
      </c>
      <c r="AG301" s="4">
        <f t="shared" si="1231"/>
        <v>182.32249269813812</v>
      </c>
      <c r="AH301" s="4">
        <f t="shared" si="1232"/>
        <v>0.77874999999999994</v>
      </c>
      <c r="AI301" s="4">
        <v>1.25</v>
      </c>
      <c r="AJ301" s="4">
        <f t="shared" si="1154"/>
        <v>2.5</v>
      </c>
      <c r="AK301" s="38">
        <f t="shared" si="988"/>
        <v>319.83294174011439</v>
      </c>
      <c r="AL301" s="38">
        <f t="shared" si="1264"/>
        <v>319.83294174011439</v>
      </c>
      <c r="AM301" s="38">
        <f t="shared" si="1233"/>
        <v>3.5490375497727622</v>
      </c>
      <c r="AN301" s="38">
        <f t="shared" si="1161"/>
        <v>319.83294174011451</v>
      </c>
      <c r="AO301" s="38">
        <f t="shared" si="1115"/>
        <v>0.99999999999999967</v>
      </c>
      <c r="AP301" s="38">
        <f t="shared" si="1162"/>
        <v>1.7002297973633207</v>
      </c>
      <c r="AQ301" s="4">
        <f t="shared" si="1163"/>
        <v>0</v>
      </c>
      <c r="AR301" s="4" t="e">
        <f>#REF!/G301*F301^0.5/0.19</f>
        <v>#REF!</v>
      </c>
      <c r="AS301" s="4">
        <f t="shared" si="1234"/>
        <v>1</v>
      </c>
      <c r="AT301" s="38">
        <f t="shared" si="1235"/>
        <v>543.78949772490967</v>
      </c>
      <c r="AU301" s="4">
        <f t="shared" si="1236"/>
        <v>0.37</v>
      </c>
      <c r="AV301" s="4" t="e">
        <f>AU301*D301*#REF!/(D301*G301/2.75/F301^0.5)</f>
        <v>#REF!</v>
      </c>
      <c r="AW301" s="4" t="e">
        <f t="shared" si="1068"/>
        <v>#REF!</v>
      </c>
      <c r="AY301" s="4">
        <f t="shared" si="1237"/>
        <v>1.5</v>
      </c>
      <c r="AZ301" s="4" t="e">
        <f>(3*#REF!+30)*AY301*F301^0.5</f>
        <v>#REF!</v>
      </c>
      <c r="BB301" s="4">
        <f t="shared" si="1238"/>
        <v>521.56062944040264</v>
      </c>
      <c r="BC301" s="4">
        <f t="shared" si="1103"/>
        <v>0</v>
      </c>
      <c r="BD301" s="4">
        <f t="shared" si="1069"/>
        <v>0</v>
      </c>
      <c r="BL301" s="4">
        <f t="shared" si="1239"/>
        <v>67.309999999999988</v>
      </c>
      <c r="BP301" s="9"/>
      <c r="BR301" s="9"/>
      <c r="BS301" s="9"/>
      <c r="BT301" s="9">
        <f t="shared" si="1240"/>
        <v>67.309999999999988</v>
      </c>
      <c r="BU301" s="9">
        <f t="shared" si="1241"/>
        <v>127.00000000000001</v>
      </c>
      <c r="BV301" s="9">
        <f t="shared" si="1242"/>
        <v>1.7905298128039189</v>
      </c>
      <c r="BW301" s="40">
        <f t="shared" si="1018"/>
        <v>20</v>
      </c>
      <c r="BX301" s="9">
        <f t="shared" si="1243"/>
        <v>0.05</v>
      </c>
      <c r="BY301" s="9">
        <f t="shared" si="1070"/>
        <v>0.8</v>
      </c>
      <c r="BZ301" s="9">
        <f t="shared" si="1244"/>
        <v>0.99524931562137331</v>
      </c>
      <c r="CA301" s="9">
        <f t="shared" si="1245"/>
        <v>0.68048275862068963</v>
      </c>
      <c r="CB301" s="9">
        <f t="shared" si="1246"/>
        <v>1.51202531590344</v>
      </c>
      <c r="CC301" s="9">
        <f t="shared" si="1247"/>
        <v>3.7800632897586</v>
      </c>
      <c r="CD301" s="40">
        <v>1</v>
      </c>
      <c r="CE301" s="9" t="e">
        <f>4*CC301*#REF!+60*CC301</f>
        <v>#REF!</v>
      </c>
      <c r="CG301" s="4" t="e">
        <f t="shared" si="1071"/>
        <v>#REF!</v>
      </c>
      <c r="CH301" s="4" t="e">
        <f t="shared" si="1072"/>
        <v>#REF!</v>
      </c>
      <c r="CI301" s="4" t="e">
        <f t="shared" si="1073"/>
        <v>#REF!</v>
      </c>
      <c r="CJ301" s="4" t="e">
        <f t="shared" si="1074"/>
        <v>#REF!</v>
      </c>
      <c r="CK301" s="4">
        <f t="shared" si="1075"/>
        <v>1.0263095681968797</v>
      </c>
      <c r="CL301" s="4">
        <f t="shared" si="1076"/>
        <v>1.0849879495526928</v>
      </c>
      <c r="CM301" s="4">
        <f t="shared" si="978"/>
        <v>1.2980121403329294</v>
      </c>
      <c r="CN301" s="4">
        <f t="shared" si="1019"/>
        <v>10</v>
      </c>
      <c r="CU301" s="4" t="e">
        <f t="shared" si="1216"/>
        <v>#REF!</v>
      </c>
      <c r="CV301" s="4" t="e">
        <f t="shared" si="1217"/>
        <v>#REF!</v>
      </c>
      <c r="CW301" s="4" t="e">
        <f t="shared" si="1218"/>
        <v>#REF!</v>
      </c>
      <c r="CX301" s="4">
        <f t="shared" si="1219"/>
        <v>1.2980121403329294</v>
      </c>
      <c r="CY301" s="4">
        <f t="shared" si="1220"/>
        <v>1.0263095681968797</v>
      </c>
      <c r="CZ301" s="4">
        <f t="shared" si="1221"/>
        <v>1.0849879495526928</v>
      </c>
      <c r="DC301" s="4" t="e">
        <f>#REF!</f>
        <v>#REF!</v>
      </c>
      <c r="DF301" s="4">
        <f t="shared" si="1248"/>
        <v>1.5370042074309613E-5</v>
      </c>
      <c r="DG301" s="4">
        <f t="shared" si="1083"/>
        <v>9.7866580905942957</v>
      </c>
      <c r="DH301" s="4">
        <f t="shared" si="1249"/>
        <v>0.40486348345474776</v>
      </c>
      <c r="DI301" s="4">
        <f t="shared" si="1084"/>
        <v>6.8164438083910133</v>
      </c>
      <c r="DJ301" s="4">
        <f t="shared" si="1085"/>
        <v>8.4337539253618328</v>
      </c>
      <c r="DK301" s="4">
        <f t="shared" si="1250"/>
        <v>9.3574628859365134</v>
      </c>
      <c r="DL301" s="38">
        <f t="shared" si="1251"/>
        <v>581.93102531396698</v>
      </c>
      <c r="DM301" s="4" t="e">
        <f t="shared" si="1086"/>
        <v>#REF!</v>
      </c>
      <c r="DN301" s="4">
        <f t="shared" si="1252"/>
        <v>2.3452078799117149</v>
      </c>
      <c r="DO301" s="4">
        <f t="shared" si="976"/>
        <v>319.83294174011451</v>
      </c>
      <c r="DS301" s="4">
        <f t="shared" si="1253"/>
        <v>0.85</v>
      </c>
      <c r="DT301" s="4">
        <f t="shared" si="1254"/>
        <v>0.83499999999999996</v>
      </c>
      <c r="DU301" s="4">
        <f t="shared" si="1255"/>
        <v>0.77500000000000002</v>
      </c>
      <c r="DV301" s="4">
        <f t="shared" si="1087"/>
        <v>0.7</v>
      </c>
      <c r="DX301" s="4">
        <f t="shared" si="1256"/>
        <v>550.45899777649061</v>
      </c>
      <c r="DY301" s="25">
        <f t="shared" si="1146"/>
        <v>315.57920360222749</v>
      </c>
      <c r="EA301" s="4">
        <f t="shared" si="1147"/>
        <v>0.59499999999999997</v>
      </c>
      <c r="EB301" s="4">
        <f t="shared" si="1257"/>
        <v>9.7866580905942957</v>
      </c>
      <c r="EE301" s="4">
        <f t="shared" si="1258"/>
        <v>59.568280149757555</v>
      </c>
      <c r="EF301" s="4">
        <f t="shared" si="1088"/>
        <v>2.3452078799117149</v>
      </c>
      <c r="EG301" s="4">
        <f t="shared" si="1259"/>
        <v>0.14121664115599541</v>
      </c>
      <c r="EJ301" s="4">
        <f t="shared" si="1089"/>
        <v>0.14121664115599541</v>
      </c>
      <c r="EK301" s="4">
        <f t="shared" si="1260"/>
        <v>0.40418784175715761</v>
      </c>
      <c r="EL301" s="4">
        <f t="shared" si="1090"/>
        <v>6.8118913786342432</v>
      </c>
      <c r="EM301" s="4">
        <f t="shared" si="1091"/>
        <v>8.4319173401450929</v>
      </c>
      <c r="EN301" s="4" t="e">
        <f t="shared" si="1092"/>
        <v>#REF!</v>
      </c>
      <c r="EO301" s="4" t="e">
        <f t="shared" si="1093"/>
        <v>#REF!</v>
      </c>
      <c r="EP301" s="4" t="e">
        <f t="shared" si="1261"/>
        <v>#REF!</v>
      </c>
      <c r="EQ301" s="4" t="e">
        <f t="shared" si="1094"/>
        <v>#REF!</v>
      </c>
      <c r="ER301" s="4" t="e">
        <f t="shared" si="1262"/>
        <v>#REF!</v>
      </c>
      <c r="EU301" s="4">
        <f t="shared" ref="EU301:EU302" si="1267">5.25*25.4</f>
        <v>133.35</v>
      </c>
      <c r="FA301" s="23" t="e">
        <f t="shared" si="1042"/>
        <v>#REF!</v>
      </c>
      <c r="FB301" s="23" t="e">
        <f t="shared" si="1043"/>
        <v>#REF!</v>
      </c>
      <c r="FC301" s="23">
        <f t="shared" si="981"/>
        <v>1.4</v>
      </c>
      <c r="FD301" s="23" t="e">
        <f t="shared" si="1044"/>
        <v>#REF!</v>
      </c>
      <c r="FE301" s="23">
        <f t="shared" si="1045"/>
        <v>1.2</v>
      </c>
      <c r="FF301" s="23">
        <f t="shared" si="1046"/>
        <v>1.2</v>
      </c>
      <c r="FG301" s="23">
        <f t="shared" si="1266"/>
        <v>0</v>
      </c>
      <c r="FH301" s="23"/>
      <c r="FR301" s="4">
        <f t="shared" si="1122"/>
        <v>1</v>
      </c>
      <c r="FS301" s="4">
        <f t="shared" si="1123"/>
        <v>0.43787748058671272</v>
      </c>
      <c r="FT301" s="4">
        <f t="shared" si="1124"/>
        <v>0.3</v>
      </c>
      <c r="FU301" s="4">
        <f t="shared" si="1125"/>
        <v>460.12002565488899</v>
      </c>
    </row>
    <row r="302" spans="2:177" ht="12" customHeight="1" x14ac:dyDescent="0.3">
      <c r="B302" s="24"/>
      <c r="C302" s="48" t="s">
        <v>438</v>
      </c>
      <c r="D302" s="38">
        <f t="shared" si="1214"/>
        <v>799.31034482758628</v>
      </c>
      <c r="E302" s="38">
        <f>11.13*25.4</f>
        <v>282.702</v>
      </c>
      <c r="F302" s="38">
        <f>5900/145</f>
        <v>40.689655172413794</v>
      </c>
      <c r="G302" s="38">
        <f t="shared" si="1016"/>
        <v>25.4</v>
      </c>
      <c r="H302" s="38">
        <f>16.6*25.4</f>
        <v>421.64</v>
      </c>
      <c r="I302" s="38">
        <f>2.45*25.4</f>
        <v>62.230000000000004</v>
      </c>
      <c r="J302" s="39">
        <f>3.15*25.4</f>
        <v>80.009999999999991</v>
      </c>
      <c r="K302" s="7">
        <f t="shared" si="986"/>
        <v>246.37999999999997</v>
      </c>
      <c r="L302" s="38">
        <v>2</v>
      </c>
      <c r="M302" s="4">
        <f t="shared" si="1028"/>
        <v>260.34999999999997</v>
      </c>
      <c r="N302" s="7">
        <f t="shared" si="1224"/>
        <v>2.95</v>
      </c>
      <c r="O302" s="7">
        <f t="shared" si="1225"/>
        <v>2.95</v>
      </c>
      <c r="P302" s="38">
        <v>4.5</v>
      </c>
      <c r="Q302" s="4">
        <f t="shared" si="1017"/>
        <v>4.5</v>
      </c>
      <c r="R302" s="4">
        <f t="shared" si="1226"/>
        <v>5.5</v>
      </c>
      <c r="S302" s="7">
        <f t="shared" si="1227"/>
        <v>59.568280149757555</v>
      </c>
      <c r="V302" s="38">
        <f t="shared" si="1054"/>
        <v>717.93103448275861</v>
      </c>
      <c r="W302" s="4">
        <v>104.1</v>
      </c>
      <c r="X302" s="4">
        <f t="shared" si="1228"/>
        <v>0.99617785069192466</v>
      </c>
      <c r="Y302" s="38">
        <f t="shared" si="1222"/>
        <v>12.7</v>
      </c>
      <c r="Z302" s="38">
        <v>10</v>
      </c>
      <c r="AA302" s="39">
        <f t="shared" si="1265"/>
        <v>76.199999999999989</v>
      </c>
      <c r="AB302" s="39">
        <v>3</v>
      </c>
      <c r="AC302" s="39">
        <v>2</v>
      </c>
      <c r="AD302" s="7"/>
      <c r="AE302" s="4">
        <f t="shared" si="1229"/>
        <v>282.702</v>
      </c>
      <c r="AF302" s="4">
        <f t="shared" si="1230"/>
        <v>0.49715483677747829</v>
      </c>
      <c r="AG302" s="4">
        <f t="shared" si="1231"/>
        <v>299.19064902706572</v>
      </c>
      <c r="AH302" s="4">
        <f t="shared" si="1232"/>
        <v>0.75300988319856244</v>
      </c>
      <c r="AI302" s="4">
        <v>1.25</v>
      </c>
      <c r="AJ302" s="4">
        <f t="shared" si="1154"/>
        <v>2.5</v>
      </c>
      <c r="AK302" s="38">
        <f t="shared" si="988"/>
        <v>350.01800316845885</v>
      </c>
      <c r="AL302" s="38">
        <f t="shared" si="1264"/>
        <v>350.01800316845885</v>
      </c>
      <c r="AM302" s="38">
        <f t="shared" si="1233"/>
        <v>3.5490375497727622</v>
      </c>
      <c r="AN302" s="38">
        <f t="shared" si="1161"/>
        <v>350.01800316845902</v>
      </c>
      <c r="AO302" s="38">
        <f t="shared" si="1115"/>
        <v>0.99999999999999956</v>
      </c>
      <c r="AP302" s="38">
        <f t="shared" si="1162"/>
        <v>1.4549628184809134</v>
      </c>
      <c r="AQ302" s="4">
        <f t="shared" si="1163"/>
        <v>0</v>
      </c>
      <c r="AR302" s="4" t="e">
        <f>#REF!/G302*F302^0.5/0.19</f>
        <v>#REF!</v>
      </c>
      <c r="AS302" s="4">
        <f t="shared" si="1234"/>
        <v>1</v>
      </c>
      <c r="AT302" s="38">
        <f t="shared" si="1235"/>
        <v>509.26318040904238</v>
      </c>
      <c r="AU302" s="4">
        <f t="shared" si="1236"/>
        <v>0.37</v>
      </c>
      <c r="AV302" s="4" t="e">
        <f>AU302*D302*#REF!/(D302*G302/2.75/F302^0.5)</f>
        <v>#REF!</v>
      </c>
      <c r="AW302" s="4" t="e">
        <f t="shared" si="1068"/>
        <v>#REF!</v>
      </c>
      <c r="AY302" s="4">
        <f t="shared" si="1237"/>
        <v>1.5</v>
      </c>
      <c r="AZ302" s="4" t="e">
        <f>(3*#REF!+30)*AY302*F302^0.5</f>
        <v>#REF!</v>
      </c>
      <c r="BB302" s="4">
        <f t="shared" si="1238"/>
        <v>488.44566884101204</v>
      </c>
      <c r="BC302" s="4">
        <f t="shared" si="1103"/>
        <v>0</v>
      </c>
      <c r="BD302" s="4">
        <f t="shared" si="1069"/>
        <v>0</v>
      </c>
      <c r="BL302" s="4">
        <f t="shared" si="1239"/>
        <v>62.230000000000004</v>
      </c>
      <c r="BP302" s="9"/>
      <c r="BR302" s="9"/>
      <c r="BS302" s="9"/>
      <c r="BT302" s="9">
        <f t="shared" si="1240"/>
        <v>62.230000000000004</v>
      </c>
      <c r="BU302" s="9">
        <f t="shared" si="1241"/>
        <v>123.18999999999998</v>
      </c>
      <c r="BV302" s="9">
        <f t="shared" si="1242"/>
        <v>1.7340810420811554</v>
      </c>
      <c r="BW302" s="40">
        <f t="shared" si="1018"/>
        <v>20</v>
      </c>
      <c r="BX302" s="9">
        <f t="shared" si="1243"/>
        <v>0.05</v>
      </c>
      <c r="BY302" s="9">
        <f t="shared" si="1070"/>
        <v>0.8</v>
      </c>
      <c r="BZ302" s="9">
        <f t="shared" si="1244"/>
        <v>0.99524931562137331</v>
      </c>
      <c r="CA302" s="9">
        <f t="shared" si="1245"/>
        <v>0.68048275862068963</v>
      </c>
      <c r="CB302" s="9">
        <f t="shared" si="1246"/>
        <v>1.51202531590344</v>
      </c>
      <c r="CC302" s="9">
        <f t="shared" si="1247"/>
        <v>3.7800632897586</v>
      </c>
      <c r="CD302" s="40">
        <v>1</v>
      </c>
      <c r="CE302" s="9" t="e">
        <f>4*CC302*#REF!+60*CC302</f>
        <v>#REF!</v>
      </c>
      <c r="CG302" s="4" t="e">
        <f t="shared" si="1071"/>
        <v>#REF!</v>
      </c>
      <c r="CH302" s="4" t="e">
        <f t="shared" si="1072"/>
        <v>#REF!</v>
      </c>
      <c r="CI302" s="4" t="e">
        <f t="shared" si="1073"/>
        <v>#REF!</v>
      </c>
      <c r="CJ302" s="4" t="e">
        <f t="shared" si="1074"/>
        <v>#REF!</v>
      </c>
      <c r="CK302" s="4">
        <f t="shared" si="1075"/>
        <v>0.99617785069192466</v>
      </c>
      <c r="CL302" s="4">
        <f t="shared" si="1076"/>
        <v>1.0658353776281775</v>
      </c>
      <c r="CM302" s="4">
        <f t="shared" si="978"/>
        <v>1.4018980369375771</v>
      </c>
      <c r="CN302" s="4">
        <f t="shared" si="1019"/>
        <v>10</v>
      </c>
      <c r="CU302" s="4" t="e">
        <f t="shared" si="1216"/>
        <v>#REF!</v>
      </c>
      <c r="CV302" s="4" t="e">
        <f t="shared" si="1217"/>
        <v>#REF!</v>
      </c>
      <c r="CW302" s="4" t="e">
        <f t="shared" si="1218"/>
        <v>#REF!</v>
      </c>
      <c r="CX302" s="4">
        <f t="shared" si="1219"/>
        <v>1.4018980369375771</v>
      </c>
      <c r="CY302" s="4">
        <f t="shared" si="1220"/>
        <v>0.99617785069192466</v>
      </c>
      <c r="CZ302" s="4">
        <f t="shared" si="1221"/>
        <v>1.0658353776281775</v>
      </c>
      <c r="DC302" s="4" t="e">
        <f>#REF!</f>
        <v>#REF!</v>
      </c>
      <c r="DF302" s="4">
        <f t="shared" si="1248"/>
        <v>2.138357103588325E-5</v>
      </c>
      <c r="DG302" s="4">
        <f t="shared" si="1083"/>
        <v>9.7866580905942957</v>
      </c>
      <c r="DH302" s="4">
        <f t="shared" si="1249"/>
        <v>0.44307352226965302</v>
      </c>
      <c r="DI302" s="4">
        <f t="shared" si="1084"/>
        <v>7.0668314807790713</v>
      </c>
      <c r="DJ302" s="4">
        <f t="shared" si="1085"/>
        <v>8.5360487312986368</v>
      </c>
      <c r="DK302" s="4">
        <f t="shared" si="1250"/>
        <v>8.9336398603685065</v>
      </c>
      <c r="DL302" s="38">
        <f t="shared" si="1251"/>
        <v>720.68560245953915</v>
      </c>
      <c r="DM302" s="4" t="e">
        <f t="shared" si="1086"/>
        <v>#REF!</v>
      </c>
      <c r="DN302" s="4">
        <f t="shared" si="1252"/>
        <v>2.3452078799117149</v>
      </c>
      <c r="DO302" s="4">
        <f t="shared" si="976"/>
        <v>350.01800316845902</v>
      </c>
      <c r="DS302" s="4">
        <f t="shared" si="1253"/>
        <v>0.85</v>
      </c>
      <c r="DT302" s="4">
        <f t="shared" si="1254"/>
        <v>0.85499999999999998</v>
      </c>
      <c r="DU302" s="4">
        <f t="shared" si="1255"/>
        <v>0.77500000000000002</v>
      </c>
      <c r="DV302" s="4">
        <f t="shared" si="1087"/>
        <v>0.7</v>
      </c>
      <c r="DX302" s="4">
        <f t="shared" si="1256"/>
        <v>673.58529239326185</v>
      </c>
      <c r="DY302" s="25">
        <f t="shared" si="1146"/>
        <v>346.80877874831833</v>
      </c>
      <c r="EA302" s="4">
        <f t="shared" si="1147"/>
        <v>0.59499999999999997</v>
      </c>
      <c r="EB302" s="4">
        <f t="shared" si="1257"/>
        <v>9.7866580905942957</v>
      </c>
      <c r="EE302" s="4">
        <f t="shared" si="1258"/>
        <v>59.568280149757555</v>
      </c>
      <c r="EF302" s="4">
        <f t="shared" si="1088"/>
        <v>2.3452078799117149</v>
      </c>
      <c r="EG302" s="4">
        <f t="shared" si="1259"/>
        <v>0.15454432705603594</v>
      </c>
      <c r="EJ302" s="4">
        <f t="shared" si="1089"/>
        <v>0.15454432705603594</v>
      </c>
      <c r="EK302" s="4">
        <f t="shared" si="1260"/>
        <v>0.44233411513866389</v>
      </c>
      <c r="EL302" s="4">
        <f t="shared" si="1090"/>
        <v>7.0621118271262979</v>
      </c>
      <c r="EM302" s="4">
        <f t="shared" si="1091"/>
        <v>8.5340975732255</v>
      </c>
      <c r="EN302" s="4" t="e">
        <f t="shared" si="1092"/>
        <v>#REF!</v>
      </c>
      <c r="EO302" s="4" t="e">
        <f t="shared" si="1093"/>
        <v>#REF!</v>
      </c>
      <c r="EP302" s="4" t="e">
        <f t="shared" si="1261"/>
        <v>#REF!</v>
      </c>
      <c r="EQ302" s="4" t="e">
        <f t="shared" si="1094"/>
        <v>#REF!</v>
      </c>
      <c r="ER302" s="4" t="e">
        <f t="shared" si="1262"/>
        <v>#REF!</v>
      </c>
      <c r="EU302" s="4">
        <f t="shared" si="1267"/>
        <v>133.35</v>
      </c>
      <c r="FA302" s="23" t="e">
        <f t="shared" si="1042"/>
        <v>#REF!</v>
      </c>
      <c r="FB302" s="23" t="e">
        <f t="shared" si="1043"/>
        <v>#REF!</v>
      </c>
      <c r="FC302" s="23">
        <f t="shared" si="981"/>
        <v>1.6</v>
      </c>
      <c r="FD302" s="23" t="e">
        <f t="shared" si="1044"/>
        <v>#REF!</v>
      </c>
      <c r="FE302" s="23">
        <f t="shared" si="1045"/>
        <v>1</v>
      </c>
      <c r="FF302" s="23">
        <f t="shared" si="1046"/>
        <v>1.2</v>
      </c>
      <c r="FG302" s="23">
        <f t="shared" si="1266"/>
        <v>0</v>
      </c>
      <c r="FH302" s="23"/>
      <c r="FR302" s="4">
        <f t="shared" si="1122"/>
        <v>1.25</v>
      </c>
      <c r="FS302" s="4">
        <f t="shared" si="1123"/>
        <v>0.43787748058671272</v>
      </c>
      <c r="FT302" s="4">
        <f t="shared" si="1124"/>
        <v>0.3</v>
      </c>
      <c r="FU302" s="4">
        <f t="shared" si="1125"/>
        <v>512.11358855389153</v>
      </c>
    </row>
    <row r="303" spans="2:177" ht="12" customHeight="1" x14ac:dyDescent="0.3">
      <c r="B303" s="24" t="s">
        <v>439</v>
      </c>
      <c r="C303" s="7" t="s">
        <v>440</v>
      </c>
      <c r="D303" s="38">
        <f>120/0.145</f>
        <v>827.58620689655174</v>
      </c>
      <c r="E303" s="38">
        <f>14.38*25.4</f>
        <v>365.25200000000001</v>
      </c>
      <c r="F303" s="38">
        <f>4970/145</f>
        <v>34.275862068965516</v>
      </c>
      <c r="G303" s="38">
        <f t="shared" si="1016"/>
        <v>25.4</v>
      </c>
      <c r="H303" s="38">
        <f>17*25.4</f>
        <v>431.79999999999995</v>
      </c>
      <c r="I303" s="38">
        <f>2.55*25.4</f>
        <v>64.77</v>
      </c>
      <c r="J303" s="39">
        <f>3.25*25.4</f>
        <v>82.55</v>
      </c>
      <c r="K303" s="7">
        <f t="shared" si="986"/>
        <v>251.45999999999995</v>
      </c>
      <c r="L303" s="38">
        <v>2</v>
      </c>
      <c r="M303" s="4">
        <f t="shared" si="1028"/>
        <v>260.34999999999997</v>
      </c>
      <c r="N303" s="7">
        <f t="shared" si="1224"/>
        <v>3.05</v>
      </c>
      <c r="O303" s="7">
        <f t="shared" si="1225"/>
        <v>3.05</v>
      </c>
      <c r="P303" s="38">
        <v>9.5</v>
      </c>
      <c r="Q303" s="4">
        <f t="shared" si="1017"/>
        <v>9.5</v>
      </c>
      <c r="R303" s="4">
        <f t="shared" si="1226"/>
        <v>10.5</v>
      </c>
      <c r="S303" s="7">
        <f t="shared" si="1227"/>
        <v>82.305406869779816</v>
      </c>
      <c r="V303" s="38">
        <f t="shared" si="1054"/>
        <v>800</v>
      </c>
      <c r="W303" s="4">
        <v>116</v>
      </c>
      <c r="X303" s="4">
        <f t="shared" si="1228"/>
        <v>1.1112596892664182</v>
      </c>
      <c r="Y303" s="38"/>
      <c r="Z303" s="38"/>
      <c r="AA303" s="39">
        <v>1</v>
      </c>
      <c r="AB303" s="39"/>
      <c r="AC303" s="39"/>
      <c r="AD303" s="7"/>
      <c r="AE303" s="4">
        <f t="shared" si="1229"/>
        <v>365.25200000000001</v>
      </c>
      <c r="AF303" s="4">
        <f t="shared" si="1230"/>
        <v>0.39406583217431618</v>
      </c>
      <c r="AG303" s="4">
        <f t="shared" si="1231"/>
        <v>403.26988090113554</v>
      </c>
      <c r="AH303" s="4">
        <f t="shared" si="1232"/>
        <v>0.74242002781641159</v>
      </c>
      <c r="AI303" s="4">
        <v>1.25</v>
      </c>
      <c r="AJ303" s="4">
        <f t="shared" si="1154"/>
        <v>2.5</v>
      </c>
      <c r="AK303" s="38">
        <f t="shared" si="988"/>
        <v>368.69247039684859</v>
      </c>
      <c r="AL303" s="38">
        <f t="shared" si="1264"/>
        <v>368.69247039684859</v>
      </c>
      <c r="AM303" s="38">
        <f t="shared" si="1233"/>
        <v>3.1655330029957871</v>
      </c>
      <c r="AN303" s="38">
        <f t="shared" si="1161"/>
        <v>368.69247039684876</v>
      </c>
      <c r="AO303" s="38">
        <f t="shared" si="1115"/>
        <v>0.99999999999999956</v>
      </c>
      <c r="AP303" s="38">
        <f t="shared" si="1162"/>
        <v>1.7478966733894243</v>
      </c>
      <c r="AQ303" s="4">
        <f t="shared" si="1163"/>
        <v>0</v>
      </c>
      <c r="AR303" s="4" t="e">
        <f>#REF!/G303*F303^0.5/0.19</f>
        <v>#REF!</v>
      </c>
      <c r="AS303" s="4">
        <f t="shared" si="1234"/>
        <v>1</v>
      </c>
      <c r="AT303" s="38">
        <f t="shared" si="1235"/>
        <v>644.43634251038077</v>
      </c>
      <c r="AU303" s="4">
        <f t="shared" si="1236"/>
        <v>0.3</v>
      </c>
      <c r="AV303" s="4" t="e">
        <f>AU303*D303*#REF!/(D303*G303/2.75/F303^0.5)</f>
        <v>#REF!</v>
      </c>
      <c r="AW303" s="4" t="e">
        <f t="shared" si="1068"/>
        <v>#REF!</v>
      </c>
      <c r="AY303" s="4">
        <f t="shared" si="1237"/>
        <v>1.3875</v>
      </c>
      <c r="AZ303" s="4" t="e">
        <f>(3*#REF!+30)*AY303*F303^0.5</f>
        <v>#REF!</v>
      </c>
      <c r="BB303" s="4">
        <f t="shared" si="1238"/>
        <v>618.09326189675073</v>
      </c>
      <c r="BC303" s="4">
        <f t="shared" si="1103"/>
        <v>0</v>
      </c>
      <c r="BD303" s="4">
        <f t="shared" si="1069"/>
        <v>0</v>
      </c>
      <c r="BL303" s="4">
        <f t="shared" si="1239"/>
        <v>64.77</v>
      </c>
      <c r="BP303" s="9"/>
      <c r="BR303" s="9"/>
      <c r="BS303" s="9"/>
      <c r="BT303" s="9">
        <f t="shared" si="1240"/>
        <v>64.77</v>
      </c>
      <c r="BU303" s="9">
        <f t="shared" si="1241"/>
        <v>125.72999999999998</v>
      </c>
      <c r="BV303" s="9">
        <f t="shared" si="1242"/>
        <v>1.7639238931775985</v>
      </c>
      <c r="BW303" s="40">
        <f t="shared" si="1018"/>
        <v>0</v>
      </c>
      <c r="BX303" s="9">
        <f t="shared" si="1243"/>
        <v>0</v>
      </c>
      <c r="BY303" s="9">
        <f t="shared" si="1070"/>
        <v>0</v>
      </c>
      <c r="BZ303" s="9">
        <f t="shared" si="1244"/>
        <v>0.99524931562137331</v>
      </c>
      <c r="CA303" s="9">
        <f t="shared" si="1245"/>
        <v>0.68</v>
      </c>
      <c r="CB303" s="9">
        <f t="shared" si="1246"/>
        <v>1.3867655293631655</v>
      </c>
      <c r="CC303" s="9">
        <f t="shared" si="1247"/>
        <v>2.4461488514787684</v>
      </c>
      <c r="CD303" s="40">
        <v>1</v>
      </c>
      <c r="CE303" s="9" t="e">
        <f>4*CC303*#REF!+60*CC303</f>
        <v>#REF!</v>
      </c>
      <c r="CG303" s="4" t="e">
        <f t="shared" si="1071"/>
        <v>#REF!</v>
      </c>
      <c r="CH303" s="4" t="e">
        <f t="shared" si="1072"/>
        <v>#REF!</v>
      </c>
      <c r="CI303" s="4" t="e">
        <f t="shared" si="1073"/>
        <v>#REF!</v>
      </c>
      <c r="CJ303" s="4" t="e">
        <f t="shared" si="1074"/>
        <v>#REF!</v>
      </c>
      <c r="CK303" s="4">
        <f t="shared" si="1075"/>
        <v>1.1112596892664182</v>
      </c>
      <c r="CL303" s="4">
        <f t="shared" si="1076"/>
        <v>1.164038324517964</v>
      </c>
      <c r="CM303" s="4">
        <f t="shared" si="978"/>
        <v>1.15289897228001</v>
      </c>
      <c r="CN303" s="4">
        <f t="shared" si="1019"/>
        <v>0</v>
      </c>
      <c r="CO303" s="4" t="e">
        <f t="shared" ref="CO303:CO304" si="1268">CG303</f>
        <v>#REF!</v>
      </c>
      <c r="CP303" s="4" t="e">
        <f t="shared" ref="CP303:CP304" si="1269">CH303</f>
        <v>#REF!</v>
      </c>
      <c r="CQ303" s="4" t="e">
        <f t="shared" ref="CQ303:CQ304" si="1270">CJ303</f>
        <v>#REF!</v>
      </c>
      <c r="CR303" s="4">
        <f t="shared" ref="CR303:CR304" si="1271">CM303</f>
        <v>1.15289897228001</v>
      </c>
      <c r="CS303" s="4">
        <f t="shared" ref="CS303:CS304" si="1272">CK303</f>
        <v>1.1112596892664182</v>
      </c>
      <c r="CT303" s="4">
        <f t="shared" ref="CT303:CT304" si="1273">CL303</f>
        <v>1.164038324517964</v>
      </c>
      <c r="DC303" s="4" t="e">
        <f>#REF!</f>
        <v>#REF!</v>
      </c>
      <c r="DF303" s="4">
        <f t="shared" si="1248"/>
        <v>2.6459793328600653E-5</v>
      </c>
      <c r="DG303" s="4">
        <f t="shared" si="1083"/>
        <v>7.4409422777504419</v>
      </c>
      <c r="DH303" s="4">
        <f t="shared" si="1249"/>
        <v>0.36261646462402092</v>
      </c>
      <c r="DI303" s="4">
        <f t="shared" si="1084"/>
        <v>4.9591465591001365</v>
      </c>
      <c r="DJ303" s="4">
        <f t="shared" si="1085"/>
        <v>6.3234791386058333</v>
      </c>
      <c r="DK303" s="4">
        <f t="shared" si="1250"/>
        <v>6.6829030000056342</v>
      </c>
      <c r="DL303" s="38">
        <f t="shared" si="1251"/>
        <v>719.90373422805283</v>
      </c>
      <c r="DM303" s="4" t="e">
        <f t="shared" si="1086"/>
        <v>#REF!</v>
      </c>
      <c r="DN303" s="4">
        <f t="shared" si="1252"/>
        <v>3.2403703492039297</v>
      </c>
      <c r="DO303" s="4">
        <f t="shared" si="976"/>
        <v>368.69247039684876</v>
      </c>
      <c r="DS303" s="4">
        <f t="shared" si="1253"/>
        <v>0.85</v>
      </c>
      <c r="DT303" s="4">
        <f t="shared" si="1254"/>
        <v>0.84499999999999997</v>
      </c>
      <c r="DU303" s="4">
        <f t="shared" si="1255"/>
        <v>1</v>
      </c>
      <c r="DV303" s="4">
        <f t="shared" si="1087"/>
        <v>0.84499999999999997</v>
      </c>
      <c r="DX303" s="4">
        <f t="shared" si="1256"/>
        <v>687.26259535422537</v>
      </c>
      <c r="DY303" s="25">
        <f t="shared" si="1146"/>
        <v>366.26034549207128</v>
      </c>
      <c r="EA303" s="4">
        <f t="shared" si="1147"/>
        <v>0.71824999999999994</v>
      </c>
      <c r="EB303" s="4">
        <f t="shared" si="1257"/>
        <v>7.4409422777504419</v>
      </c>
      <c r="EE303" s="4">
        <f t="shared" si="1258"/>
        <v>82.305406869779816</v>
      </c>
      <c r="EF303" s="4">
        <f t="shared" si="1088"/>
        <v>3.2403703492039302</v>
      </c>
      <c r="EG303" s="4">
        <f t="shared" si="1259"/>
        <v>0.11608523316367027</v>
      </c>
      <c r="EJ303" s="4">
        <f t="shared" si="1089"/>
        <v>0.11608523316367027</v>
      </c>
      <c r="EK303" s="4">
        <f t="shared" si="1260"/>
        <v>0.3620113253270853</v>
      </c>
      <c r="EL303" s="4">
        <f t="shared" si="1090"/>
        <v>4.9558345437738964</v>
      </c>
      <c r="EM303" s="4">
        <f t="shared" si="1091"/>
        <v>6.3221834836221298</v>
      </c>
      <c r="EN303" s="4" t="e">
        <f t="shared" si="1092"/>
        <v>#REF!</v>
      </c>
      <c r="EO303" s="4" t="e">
        <f t="shared" si="1093"/>
        <v>#REF!</v>
      </c>
      <c r="EP303" s="4" t="e">
        <f t="shared" si="1261"/>
        <v>#REF!</v>
      </c>
      <c r="EQ303" s="4" t="e">
        <f t="shared" si="1094"/>
        <v>#REF!</v>
      </c>
      <c r="ER303" s="4" t="e">
        <f t="shared" si="1262"/>
        <v>#REF!</v>
      </c>
      <c r="FA303" s="23" t="e">
        <f t="shared" si="1042"/>
        <v>#REF!</v>
      </c>
      <c r="FB303" s="23" t="e">
        <f t="shared" si="1043"/>
        <v>#REF!</v>
      </c>
      <c r="FC303" s="23">
        <f t="shared" si="981"/>
        <v>1.2</v>
      </c>
      <c r="FD303" s="23" t="e">
        <f t="shared" si="1044"/>
        <v>#REF!</v>
      </c>
      <c r="FE303" s="23">
        <f t="shared" si="1045"/>
        <v>1.2</v>
      </c>
      <c r="FF303" s="23">
        <f t="shared" si="1046"/>
        <v>1.2</v>
      </c>
      <c r="FG303" s="23">
        <f t="shared" si="1266"/>
        <v>0</v>
      </c>
      <c r="FH303" s="23"/>
      <c r="FR303" s="4">
        <f t="shared" si="1122"/>
        <v>1</v>
      </c>
      <c r="FS303" s="4">
        <f t="shared" si="1123"/>
        <v>0.5</v>
      </c>
      <c r="FT303" s="4">
        <f t="shared" si="1124"/>
        <v>0</v>
      </c>
      <c r="FU303" s="4">
        <f t="shared" si="1125"/>
        <v>693.90295180669159</v>
      </c>
    </row>
    <row r="304" spans="2:177" ht="12" customHeight="1" x14ac:dyDescent="0.3">
      <c r="B304" s="24"/>
      <c r="C304" s="48" t="s">
        <v>441</v>
      </c>
      <c r="D304" s="38">
        <f>115.9/0.145</f>
        <v>799.31034482758628</v>
      </c>
      <c r="E304" s="38">
        <f>14.38*25.4</f>
        <v>365.25200000000001</v>
      </c>
      <c r="F304" s="38">
        <f>4970/145</f>
        <v>34.275862068965516</v>
      </c>
      <c r="G304" s="38">
        <f t="shared" si="1016"/>
        <v>25.4</v>
      </c>
      <c r="H304" s="38">
        <f>17.3*25.4</f>
        <v>439.42</v>
      </c>
      <c r="I304" s="38">
        <f>2.65*25.4</f>
        <v>67.309999999999988</v>
      </c>
      <c r="J304" s="39">
        <f>3.2*25.4</f>
        <v>81.28</v>
      </c>
      <c r="K304" s="7">
        <f t="shared" si="986"/>
        <v>254.00000000000003</v>
      </c>
      <c r="L304" s="38">
        <v>2</v>
      </c>
      <c r="M304" s="4">
        <f t="shared" si="1028"/>
        <v>260.34999999999997</v>
      </c>
      <c r="N304" s="7">
        <f t="shared" si="1224"/>
        <v>3.1499999999999995</v>
      </c>
      <c r="O304" s="7">
        <f t="shared" si="1225"/>
        <v>3.1499999999999995</v>
      </c>
      <c r="P304" s="38">
        <v>9.1</v>
      </c>
      <c r="Q304" s="4">
        <f t="shared" si="1017"/>
        <v>9.1</v>
      </c>
      <c r="R304" s="4">
        <f t="shared" si="1226"/>
        <v>10.1</v>
      </c>
      <c r="S304" s="7">
        <f t="shared" si="1227"/>
        <v>80.72246279691916</v>
      </c>
      <c r="V304" s="38">
        <f t="shared" si="1054"/>
        <v>827.58620689655174</v>
      </c>
      <c r="W304" s="4">
        <v>120</v>
      </c>
      <c r="X304" s="4">
        <f t="shared" si="1228"/>
        <v>1.1281282791225913</v>
      </c>
      <c r="Y304" s="38"/>
      <c r="Z304" s="38"/>
      <c r="AA304" s="39">
        <v>1</v>
      </c>
      <c r="AB304" s="39"/>
      <c r="AC304" s="39"/>
      <c r="AD304" s="7"/>
      <c r="AE304" s="4">
        <f t="shared" si="1229"/>
        <v>365.25200000000001</v>
      </c>
      <c r="AF304" s="4">
        <f t="shared" si="1230"/>
        <v>0.40101993509503947</v>
      </c>
      <c r="AG304" s="4">
        <f t="shared" si="1231"/>
        <v>403.26988090113554</v>
      </c>
      <c r="AH304" s="4">
        <f t="shared" si="1232"/>
        <v>0.74381084840055633</v>
      </c>
      <c r="AI304" s="4">
        <v>1.25</v>
      </c>
      <c r="AJ304" s="4">
        <f t="shared" si="1154"/>
        <v>2.5</v>
      </c>
      <c r="AK304" s="38">
        <f t="shared" si="988"/>
        <v>375.90169085254001</v>
      </c>
      <c r="AL304" s="38">
        <f t="shared" si="1264"/>
        <v>375.90169085254001</v>
      </c>
      <c r="AM304" s="38">
        <f t="shared" si="1233"/>
        <v>3.1655330029957871</v>
      </c>
      <c r="AN304" s="38">
        <f t="shared" si="1161"/>
        <v>375.90169085254018</v>
      </c>
      <c r="AO304" s="38">
        <f t="shared" si="1115"/>
        <v>0.99999999999999956</v>
      </c>
      <c r="AP304" s="38">
        <f t="shared" si="1162"/>
        <v>1.7329073864332836</v>
      </c>
      <c r="AQ304" s="4">
        <f t="shared" si="1163"/>
        <v>0</v>
      </c>
      <c r="AR304" s="4" t="e">
        <f>#REF!/G304*F304^0.5/0.19</f>
        <v>#REF!</v>
      </c>
      <c r="AS304" s="4">
        <f t="shared" si="1234"/>
        <v>1</v>
      </c>
      <c r="AT304" s="38">
        <f t="shared" si="1235"/>
        <v>651.40281665112752</v>
      </c>
      <c r="AU304" s="4">
        <f t="shared" si="1236"/>
        <v>0.3</v>
      </c>
      <c r="AV304" s="4" t="e">
        <f>AU304*D304*#REF!/(D304*G304/2.75/F304^0.5)</f>
        <v>#REF!</v>
      </c>
      <c r="AW304" s="4" t="e">
        <f t="shared" si="1068"/>
        <v>#REF!</v>
      </c>
      <c r="AY304" s="4">
        <f t="shared" si="1237"/>
        <v>1.4124999999999999</v>
      </c>
      <c r="AZ304" s="4" t="e">
        <f>(3*#REF!+30)*AY304*F304^0.5</f>
        <v>#REF!</v>
      </c>
      <c r="BB304" s="4">
        <f t="shared" si="1238"/>
        <v>624.77496254199968</v>
      </c>
      <c r="BC304" s="4">
        <f t="shared" si="1103"/>
        <v>0</v>
      </c>
      <c r="BD304" s="4">
        <f t="shared" si="1069"/>
        <v>0</v>
      </c>
      <c r="BL304" s="4">
        <f t="shared" si="1239"/>
        <v>67.309999999999988</v>
      </c>
      <c r="BP304" s="9"/>
      <c r="BR304" s="9"/>
      <c r="BS304" s="9"/>
      <c r="BT304" s="9">
        <f t="shared" si="1240"/>
        <v>67.309999999999988</v>
      </c>
      <c r="BU304" s="9">
        <f t="shared" si="1241"/>
        <v>127.00000000000001</v>
      </c>
      <c r="BV304" s="9">
        <f t="shared" si="1242"/>
        <v>1.7905298128039189</v>
      </c>
      <c r="BW304" s="40">
        <f t="shared" si="1018"/>
        <v>0</v>
      </c>
      <c r="BX304" s="9">
        <f t="shared" si="1243"/>
        <v>0</v>
      </c>
      <c r="BY304" s="9">
        <f t="shared" si="1070"/>
        <v>0</v>
      </c>
      <c r="BZ304" s="9">
        <f t="shared" si="1244"/>
        <v>0.99524931562137331</v>
      </c>
      <c r="CA304" s="9">
        <f t="shared" si="1245"/>
        <v>0.68048275862068963</v>
      </c>
      <c r="CB304" s="9">
        <f t="shared" si="1246"/>
        <v>1.3877500485016585</v>
      </c>
      <c r="CC304" s="9">
        <f t="shared" si="1247"/>
        <v>2.4848078345623041</v>
      </c>
      <c r="CD304" s="40">
        <v>1</v>
      </c>
      <c r="CE304" s="9" t="e">
        <f>4*CC304*#REF!+60*CC304</f>
        <v>#REF!</v>
      </c>
      <c r="CG304" s="4" t="e">
        <f t="shared" si="1071"/>
        <v>#REF!</v>
      </c>
      <c r="CH304" s="4" t="e">
        <f t="shared" si="1072"/>
        <v>#REF!</v>
      </c>
      <c r="CI304" s="4" t="e">
        <f t="shared" si="1073"/>
        <v>#REF!</v>
      </c>
      <c r="CJ304" s="4" t="e">
        <f t="shared" si="1074"/>
        <v>#REF!</v>
      </c>
      <c r="CK304" s="4">
        <f t="shared" si="1075"/>
        <v>1.1281282791225913</v>
      </c>
      <c r="CL304" s="4">
        <f t="shared" si="1076"/>
        <v>1.1851863092498804</v>
      </c>
      <c r="CM304" s="4">
        <f t="shared" si="978"/>
        <v>1.1926541092551828</v>
      </c>
      <c r="CN304" s="4">
        <f t="shared" si="1019"/>
        <v>0</v>
      </c>
      <c r="CO304" s="4" t="e">
        <f t="shared" si="1268"/>
        <v>#REF!</v>
      </c>
      <c r="CP304" s="4" t="e">
        <f t="shared" si="1269"/>
        <v>#REF!</v>
      </c>
      <c r="CQ304" s="4" t="e">
        <f t="shared" si="1270"/>
        <v>#REF!</v>
      </c>
      <c r="CR304" s="4">
        <f t="shared" si="1271"/>
        <v>1.1926541092551828</v>
      </c>
      <c r="CS304" s="4">
        <f t="shared" si="1272"/>
        <v>1.1281282791225913</v>
      </c>
      <c r="CT304" s="4">
        <f t="shared" si="1273"/>
        <v>1.1851863092498804</v>
      </c>
      <c r="DC304" s="4" t="e">
        <f>#REF!</f>
        <v>#REF!</v>
      </c>
      <c r="DF304" s="4">
        <f t="shared" si="1248"/>
        <v>2.6459793328600653E-5</v>
      </c>
      <c r="DG304" s="4">
        <f t="shared" si="1083"/>
        <v>7.5300553589211061</v>
      </c>
      <c r="DH304" s="4">
        <f t="shared" si="1249"/>
        <v>0.37853477275297237</v>
      </c>
      <c r="DI304" s="4">
        <f t="shared" si="1084"/>
        <v>5.1055258715715546</v>
      </c>
      <c r="DJ304" s="4">
        <f t="shared" si="1085"/>
        <v>6.4334553222331889</v>
      </c>
      <c r="DK304" s="4">
        <f t="shared" si="1250"/>
        <v>6.74772177292507</v>
      </c>
      <c r="DL304" s="38">
        <f t="shared" si="1251"/>
        <v>733.59228929196956</v>
      </c>
      <c r="DM304" s="4" t="e">
        <f t="shared" si="1086"/>
        <v>#REF!</v>
      </c>
      <c r="DN304" s="4">
        <f t="shared" si="1252"/>
        <v>3.1780497164141401</v>
      </c>
      <c r="DO304" s="4">
        <f t="shared" si="976"/>
        <v>375.90169085254018</v>
      </c>
      <c r="DS304" s="4">
        <f t="shared" si="1253"/>
        <v>0.85</v>
      </c>
      <c r="DT304" s="4">
        <f t="shared" si="1254"/>
        <v>0.83499999999999996</v>
      </c>
      <c r="DU304" s="4">
        <f t="shared" si="1255"/>
        <v>1</v>
      </c>
      <c r="DV304" s="4">
        <f t="shared" si="1087"/>
        <v>0.83499999999999996</v>
      </c>
      <c r="DX304" s="4">
        <f t="shared" si="1256"/>
        <v>698.27519980410648</v>
      </c>
      <c r="DY304" s="25">
        <f t="shared" si="1146"/>
        <v>373.42861162024997</v>
      </c>
      <c r="EA304" s="4">
        <f t="shared" si="1147"/>
        <v>0.70974999999999999</v>
      </c>
      <c r="EB304" s="4">
        <f t="shared" si="1257"/>
        <v>7.5300553589211061</v>
      </c>
      <c r="EE304" s="4">
        <f t="shared" si="1258"/>
        <v>80.72246279691916</v>
      </c>
      <c r="EF304" s="4">
        <f t="shared" si="1088"/>
        <v>3.1780497164141406</v>
      </c>
      <c r="EG304" s="4">
        <f t="shared" si="1259"/>
        <v>0.12118119733241386</v>
      </c>
      <c r="EJ304" s="4">
        <f t="shared" si="1089"/>
        <v>0.12118119733241386</v>
      </c>
      <c r="EK304" s="4">
        <f t="shared" si="1260"/>
        <v>0.37790306876653901</v>
      </c>
      <c r="EL304" s="4">
        <f t="shared" si="1090"/>
        <v>5.1021160953663882</v>
      </c>
      <c r="EM304" s="4">
        <f t="shared" si="1091"/>
        <v>6.4321051546142112</v>
      </c>
      <c r="EN304" s="4" t="e">
        <f t="shared" si="1092"/>
        <v>#REF!</v>
      </c>
      <c r="EO304" s="4" t="e">
        <f t="shared" si="1093"/>
        <v>#REF!</v>
      </c>
      <c r="EP304" s="4" t="e">
        <f t="shared" si="1261"/>
        <v>#REF!</v>
      </c>
      <c r="EQ304" s="4" t="e">
        <f t="shared" si="1094"/>
        <v>#REF!</v>
      </c>
      <c r="ER304" s="4" t="e">
        <f t="shared" si="1262"/>
        <v>#REF!</v>
      </c>
      <c r="EU304" s="4">
        <f>5.25*25.4</f>
        <v>133.35</v>
      </c>
      <c r="FA304" s="23" t="e">
        <f t="shared" si="1042"/>
        <v>#REF!</v>
      </c>
      <c r="FB304" s="23" t="e">
        <f t="shared" si="1043"/>
        <v>#REF!</v>
      </c>
      <c r="FC304" s="23">
        <f t="shared" si="981"/>
        <v>1.2</v>
      </c>
      <c r="FD304" s="23" t="e">
        <f t="shared" si="1044"/>
        <v>#REF!</v>
      </c>
      <c r="FE304" s="23">
        <f t="shared" si="1045"/>
        <v>1.2</v>
      </c>
      <c r="FF304" s="23">
        <f t="shared" si="1046"/>
        <v>1.2</v>
      </c>
      <c r="FG304" s="23">
        <f t="shared" si="1266"/>
        <v>0</v>
      </c>
      <c r="FH304" s="23"/>
      <c r="FR304" s="4">
        <f t="shared" si="1122"/>
        <v>1</v>
      </c>
      <c r="FS304" s="4">
        <f t="shared" si="1123"/>
        <v>0.5</v>
      </c>
      <c r="FT304" s="4">
        <f t="shared" si="1124"/>
        <v>0</v>
      </c>
      <c r="FU304" s="4">
        <f t="shared" si="1125"/>
        <v>693.90295180669159</v>
      </c>
    </row>
    <row r="305" spans="2:177" ht="12" customHeight="1" x14ac:dyDescent="0.3">
      <c r="B305" s="24"/>
      <c r="C305" s="7" t="s">
        <v>442</v>
      </c>
      <c r="D305" s="38">
        <f>120/0.145</f>
        <v>827.58620689655174</v>
      </c>
      <c r="E305" s="38">
        <f>14.38*25.4</f>
        <v>365.25200000000001</v>
      </c>
      <c r="F305" s="38">
        <f>5420/145</f>
        <v>37.379310344827587</v>
      </c>
      <c r="G305" s="38">
        <f t="shared" si="1016"/>
        <v>25.4</v>
      </c>
      <c r="H305" s="38">
        <f>17.1*25.4</f>
        <v>434.34000000000003</v>
      </c>
      <c r="I305" s="38">
        <f>2.55*25.4</f>
        <v>64.77</v>
      </c>
      <c r="J305" s="39">
        <f>3.35*25.4</f>
        <v>85.09</v>
      </c>
      <c r="K305" s="7">
        <f t="shared" si="986"/>
        <v>254.00000000000003</v>
      </c>
      <c r="L305" s="38">
        <v>2</v>
      </c>
      <c r="M305" s="4">
        <f t="shared" si="1028"/>
        <v>260.34999999999997</v>
      </c>
      <c r="N305" s="7">
        <f t="shared" si="1224"/>
        <v>3.05</v>
      </c>
      <c r="O305" s="7">
        <f t="shared" si="1225"/>
        <v>3.05</v>
      </c>
      <c r="P305" s="38">
        <v>9.5</v>
      </c>
      <c r="Q305" s="4">
        <f t="shared" si="1017"/>
        <v>9.5</v>
      </c>
      <c r="R305" s="4">
        <f t="shared" si="1226"/>
        <v>10.5</v>
      </c>
      <c r="S305" s="7">
        <f t="shared" si="1227"/>
        <v>82.305406869779816</v>
      </c>
      <c r="V305" s="38">
        <f t="shared" si="1054"/>
        <v>1056.5517241379309</v>
      </c>
      <c r="W305" s="4">
        <v>153.19999999999999</v>
      </c>
      <c r="X305" s="4">
        <f t="shared" si="1228"/>
        <v>1.3411331667214759</v>
      </c>
      <c r="Y305" s="38">
        <f>0.375*25.4</f>
        <v>9.5249999999999986</v>
      </c>
      <c r="Z305" s="38">
        <v>10</v>
      </c>
      <c r="AA305" s="39">
        <f t="shared" ref="AA305:AA306" si="1274">3*25.4</f>
        <v>76.199999999999989</v>
      </c>
      <c r="AB305" s="39">
        <v>3</v>
      </c>
      <c r="AC305" s="39">
        <v>2</v>
      </c>
      <c r="AD305" s="7"/>
      <c r="AE305" s="4">
        <f t="shared" si="1229"/>
        <v>365.25200000000001</v>
      </c>
      <c r="AF305" s="4">
        <f t="shared" si="1230"/>
        <v>0.39638386648122398</v>
      </c>
      <c r="AG305" s="4">
        <f t="shared" si="1231"/>
        <v>421.13102356726256</v>
      </c>
      <c r="AH305" s="4">
        <f t="shared" si="1232"/>
        <v>0.74242002781641159</v>
      </c>
      <c r="AI305" s="4">
        <v>1.25</v>
      </c>
      <c r="AJ305" s="4">
        <f t="shared" si="1154"/>
        <v>2.5</v>
      </c>
      <c r="AK305" s="38">
        <f t="shared" si="988"/>
        <v>387.28698833397465</v>
      </c>
      <c r="AL305" s="38">
        <f t="shared" si="1264"/>
        <v>387.28698833397465</v>
      </c>
      <c r="AM305" s="38">
        <f t="shared" si="1233"/>
        <v>3.3538382302464851</v>
      </c>
      <c r="AN305" s="38">
        <f t="shared" si="1161"/>
        <v>387.2869883339747</v>
      </c>
      <c r="AO305" s="38">
        <f t="shared" si="1115"/>
        <v>0.99999999999999989</v>
      </c>
      <c r="AP305" s="38">
        <f t="shared" si="1162"/>
        <v>1.8146380609421366</v>
      </c>
      <c r="AQ305" s="4">
        <f t="shared" si="1163"/>
        <v>0</v>
      </c>
      <c r="AR305" s="4" t="e">
        <f>#REF!/G305*F305^0.5/0.19</f>
        <v>#REF!</v>
      </c>
      <c r="AS305" s="4">
        <f t="shared" si="1234"/>
        <v>1</v>
      </c>
      <c r="AT305" s="38">
        <f t="shared" si="1235"/>
        <v>702.78570953848373</v>
      </c>
      <c r="AU305" s="4">
        <f t="shared" si="1236"/>
        <v>0.3</v>
      </c>
      <c r="AV305" s="4" t="e">
        <f>AU305*D305*#REF!/(D305*G305/2.75/F305^0.5)</f>
        <v>#REF!</v>
      </c>
      <c r="AW305" s="4" t="e">
        <f t="shared" si="1068"/>
        <v>#REF!</v>
      </c>
      <c r="AY305" s="4">
        <f t="shared" si="1237"/>
        <v>1.5</v>
      </c>
      <c r="AZ305" s="4" t="e">
        <f>(3*#REF!+30)*AY305*F305^0.5</f>
        <v>#REF!</v>
      </c>
      <c r="BB305" s="4">
        <f t="shared" si="1238"/>
        <v>674.05744053931357</v>
      </c>
      <c r="BC305" s="4">
        <f t="shared" ref="BC305:BC336" si="1275">8/3*T305*U305^2/(S305-G305-22)/G305*(S305^2-G305^2)/(S305^2-(G305+22)^2)</f>
        <v>0</v>
      </c>
      <c r="BD305" s="4">
        <f t="shared" si="1069"/>
        <v>0</v>
      </c>
      <c r="BL305" s="4">
        <f t="shared" si="1239"/>
        <v>64.77</v>
      </c>
      <c r="BP305" s="9"/>
      <c r="BR305" s="9"/>
      <c r="BS305" s="9"/>
      <c r="BT305" s="9">
        <f t="shared" si="1240"/>
        <v>64.77</v>
      </c>
      <c r="BU305" s="9">
        <f t="shared" si="1241"/>
        <v>127.00000000000001</v>
      </c>
      <c r="BV305" s="9">
        <f t="shared" si="1242"/>
        <v>1.7665851027593089</v>
      </c>
      <c r="BW305" s="40">
        <f t="shared" si="1018"/>
        <v>20</v>
      </c>
      <c r="BX305" s="9">
        <f t="shared" si="1243"/>
        <v>0.05</v>
      </c>
      <c r="BY305" s="9">
        <f t="shared" si="1070"/>
        <v>0.8</v>
      </c>
      <c r="BZ305" s="9">
        <f t="shared" si="1244"/>
        <v>0.99524931562137331</v>
      </c>
      <c r="CA305" s="9">
        <f t="shared" si="1245"/>
        <v>0.68</v>
      </c>
      <c r="CB305" s="9">
        <f t="shared" si="1246"/>
        <v>1.4481864738410275</v>
      </c>
      <c r="CC305" s="9">
        <f t="shared" si="1247"/>
        <v>3.6204661846025687</v>
      </c>
      <c r="CD305" s="40">
        <v>1</v>
      </c>
      <c r="CE305" s="9" t="e">
        <f>4*CC305*#REF!+60*CC305</f>
        <v>#REF!</v>
      </c>
      <c r="CG305" s="4" t="e">
        <f t="shared" si="1071"/>
        <v>#REF!</v>
      </c>
      <c r="CH305" s="4" t="e">
        <f t="shared" si="1072"/>
        <v>#REF!</v>
      </c>
      <c r="CI305" s="4" t="e">
        <f t="shared" si="1073"/>
        <v>#REF!</v>
      </c>
      <c r="CJ305" s="4" t="e">
        <f t="shared" si="1074"/>
        <v>#REF!</v>
      </c>
      <c r="CK305" s="4">
        <f t="shared" si="1075"/>
        <v>1.3411331667214759</v>
      </c>
      <c r="CL305" s="4">
        <f t="shared" si="1076"/>
        <v>1.4000927741086981</v>
      </c>
      <c r="CM305" s="4">
        <f t="shared" si="978"/>
        <v>1.3111850107642649</v>
      </c>
      <c r="CN305" s="4">
        <f t="shared" si="1019"/>
        <v>10</v>
      </c>
      <c r="CU305" s="4" t="e">
        <f t="shared" ref="CU305:CU306" si="1276">CG305</f>
        <v>#REF!</v>
      </c>
      <c r="CV305" s="4" t="e">
        <f t="shared" ref="CV305:CV306" si="1277">CH305</f>
        <v>#REF!</v>
      </c>
      <c r="CW305" s="4" t="e">
        <f t="shared" ref="CW305:CW306" si="1278">CJ305</f>
        <v>#REF!</v>
      </c>
      <c r="CX305" s="4">
        <f t="shared" ref="CX305:CX306" si="1279">CM305</f>
        <v>1.3111850107642649</v>
      </c>
      <c r="CY305" s="4">
        <f t="shared" ref="CY305:CY306" si="1280">CK305</f>
        <v>1.3411331667214759</v>
      </c>
      <c r="CZ305" s="4">
        <f t="shared" ref="CZ305:CZ306" si="1281">CL305</f>
        <v>1.4000927741086981</v>
      </c>
      <c r="DC305" s="4" t="e">
        <f>#REF!</f>
        <v>#REF!</v>
      </c>
      <c r="DF305" s="4">
        <f t="shared" si="1248"/>
        <v>2.702479300338717E-5</v>
      </c>
      <c r="DG305" s="4">
        <f t="shared" si="1083"/>
        <v>8.5743531134837028</v>
      </c>
      <c r="DH305" s="4">
        <f t="shared" si="1249"/>
        <v>0.34927963094937564</v>
      </c>
      <c r="DI305" s="4">
        <f t="shared" si="1084"/>
        <v>5.6295109559776204</v>
      </c>
      <c r="DJ305" s="4">
        <f t="shared" si="1085"/>
        <v>7.253587077871102</v>
      </c>
      <c r="DK305" s="4">
        <f t="shared" si="1250"/>
        <v>7.5555583110769451</v>
      </c>
      <c r="DL305" s="38">
        <f t="shared" si="1251"/>
        <v>787.80523094568559</v>
      </c>
      <c r="DM305" s="4" t="e">
        <f t="shared" si="1086"/>
        <v>#REF!</v>
      </c>
      <c r="DN305" s="4">
        <f t="shared" si="1252"/>
        <v>3.2403703492039297</v>
      </c>
      <c r="DO305" s="4">
        <f t="shared" si="976"/>
        <v>387.2869883339747</v>
      </c>
      <c r="DS305" s="4">
        <f t="shared" si="1253"/>
        <v>0.85</v>
      </c>
      <c r="DT305" s="4">
        <f t="shared" si="1254"/>
        <v>0.84499999999999997</v>
      </c>
      <c r="DU305" s="4">
        <f t="shared" si="1255"/>
        <v>0.90625</v>
      </c>
      <c r="DV305" s="4">
        <f t="shared" si="1087"/>
        <v>0.76578124999999997</v>
      </c>
      <c r="DX305" s="4">
        <f t="shared" si="1256"/>
        <v>754.62979573659595</v>
      </c>
      <c r="DY305" s="25">
        <f t="shared" si="1146"/>
        <v>384.732202420909</v>
      </c>
      <c r="EA305" s="4">
        <f t="shared" si="1147"/>
        <v>0.65091406249999995</v>
      </c>
      <c r="EB305" s="4">
        <f t="shared" si="1257"/>
        <v>8.5743531134837028</v>
      </c>
      <c r="EE305" s="4">
        <f t="shared" si="1258"/>
        <v>82.305406869779816</v>
      </c>
      <c r="EF305" s="4">
        <f t="shared" si="1088"/>
        <v>3.2403703492039302</v>
      </c>
      <c r="EG305" s="4">
        <f t="shared" si="1259"/>
        <v>0.11676808747639772</v>
      </c>
      <c r="EJ305" s="4">
        <f t="shared" si="1089"/>
        <v>0.11676808747639772</v>
      </c>
      <c r="EK305" s="4">
        <f t="shared" si="1260"/>
        <v>0.34869674834219516</v>
      </c>
      <c r="EL305" s="4">
        <f t="shared" si="1090"/>
        <v>5.6257512311251228</v>
      </c>
      <c r="EM305" s="4">
        <f t="shared" si="1091"/>
        <v>7.2521319319342803</v>
      </c>
      <c r="EN305" s="4" t="e">
        <f t="shared" si="1092"/>
        <v>#REF!</v>
      </c>
      <c r="EO305" s="4" t="e">
        <f t="shared" si="1093"/>
        <v>#REF!</v>
      </c>
      <c r="EP305" s="4" t="e">
        <f t="shared" si="1261"/>
        <v>#REF!</v>
      </c>
      <c r="EQ305" s="4" t="e">
        <f t="shared" si="1094"/>
        <v>#REF!</v>
      </c>
      <c r="ER305" s="4" t="e">
        <f t="shared" si="1262"/>
        <v>#REF!</v>
      </c>
      <c r="FA305" s="23" t="e">
        <f t="shared" si="1042"/>
        <v>#REF!</v>
      </c>
      <c r="FB305" s="23" t="e">
        <f t="shared" si="1043"/>
        <v>#REF!</v>
      </c>
      <c r="FC305" s="23">
        <f t="shared" si="981"/>
        <v>1.4</v>
      </c>
      <c r="FD305" s="23" t="e">
        <f t="shared" si="1044"/>
        <v>#REF!</v>
      </c>
      <c r="FE305" s="23">
        <f t="shared" si="1045"/>
        <v>1.4</v>
      </c>
      <c r="FF305" s="23">
        <f t="shared" si="1046"/>
        <v>1.6</v>
      </c>
      <c r="FG305" s="23">
        <f t="shared" si="1266"/>
        <v>0</v>
      </c>
      <c r="FH305" s="23"/>
      <c r="FR305" s="4">
        <f t="shared" si="1122"/>
        <v>1</v>
      </c>
      <c r="FS305" s="4">
        <f t="shared" si="1123"/>
        <v>0.44</v>
      </c>
      <c r="FT305" s="4">
        <f t="shared" si="1124"/>
        <v>0.3</v>
      </c>
      <c r="FU305" s="4">
        <f t="shared" si="1125"/>
        <v>805.7991171833844</v>
      </c>
    </row>
    <row r="306" spans="2:177" ht="12" customHeight="1" x14ac:dyDescent="0.3">
      <c r="B306" s="24"/>
      <c r="C306" s="48" t="s">
        <v>443</v>
      </c>
      <c r="D306" s="38">
        <f>115.9/0.145</f>
        <v>799.31034482758628</v>
      </c>
      <c r="E306" s="38">
        <f>14.09*25.4</f>
        <v>357.88599999999997</v>
      </c>
      <c r="F306" s="38">
        <f>4970/145</f>
        <v>34.275862068965516</v>
      </c>
      <c r="G306" s="38">
        <f t="shared" si="1016"/>
        <v>25.4</v>
      </c>
      <c r="H306" s="38">
        <f>17*25.4</f>
        <v>431.79999999999995</v>
      </c>
      <c r="I306" s="38">
        <f>2.5*25.4</f>
        <v>63.5</v>
      </c>
      <c r="J306" s="39">
        <f>3.45*25.4</f>
        <v>87.63</v>
      </c>
      <c r="K306" s="7">
        <f t="shared" si="986"/>
        <v>253.99999999999994</v>
      </c>
      <c r="L306" s="38">
        <v>2</v>
      </c>
      <c r="M306" s="4">
        <f t="shared" si="1028"/>
        <v>260.34999999999997</v>
      </c>
      <c r="N306" s="7">
        <f t="shared" si="1224"/>
        <v>3</v>
      </c>
      <c r="O306" s="7">
        <f t="shared" si="1225"/>
        <v>3</v>
      </c>
      <c r="P306" s="38">
        <v>9.1</v>
      </c>
      <c r="Q306" s="4">
        <f t="shared" si="1017"/>
        <v>9.1</v>
      </c>
      <c r="R306" s="4">
        <f t="shared" si="1226"/>
        <v>10.1</v>
      </c>
      <c r="S306" s="7">
        <f t="shared" si="1227"/>
        <v>80.72246279691916</v>
      </c>
      <c r="V306" s="38">
        <f t="shared" si="1054"/>
        <v>1040.6896551724139</v>
      </c>
      <c r="W306" s="4">
        <v>150.9</v>
      </c>
      <c r="X306" s="4">
        <f t="shared" si="1228"/>
        <v>1.4014181325909159</v>
      </c>
      <c r="Y306" s="38">
        <f>0.375*25.4</f>
        <v>9.5249999999999986</v>
      </c>
      <c r="Z306" s="38">
        <v>10</v>
      </c>
      <c r="AA306" s="39">
        <f t="shared" si="1274"/>
        <v>76.199999999999989</v>
      </c>
      <c r="AB306" s="39">
        <v>3</v>
      </c>
      <c r="AC306" s="39">
        <v>2</v>
      </c>
      <c r="AD306" s="7"/>
      <c r="AE306" s="4">
        <f t="shared" si="1229"/>
        <v>357.88599999999997</v>
      </c>
      <c r="AF306" s="4">
        <f t="shared" si="1230"/>
        <v>0.4021764845043766</v>
      </c>
      <c r="AG306" s="4">
        <f t="shared" si="1231"/>
        <v>391.13253936070686</v>
      </c>
      <c r="AH306" s="4">
        <f t="shared" si="1232"/>
        <v>0.74258339247693395</v>
      </c>
      <c r="AI306" s="4">
        <v>1.25</v>
      </c>
      <c r="AJ306" s="4">
        <f t="shared" si="1154"/>
        <v>2.5</v>
      </c>
      <c r="AK306" s="38">
        <f t="shared" si="988"/>
        <v>365.03614973474515</v>
      </c>
      <c r="AL306" s="38">
        <f t="shared" si="1264"/>
        <v>365.03614973474515</v>
      </c>
      <c r="AM306" s="38">
        <f t="shared" si="1233"/>
        <v>3.1655330029957871</v>
      </c>
      <c r="AN306" s="38">
        <f t="shared" si="1161"/>
        <v>365.03614973474498</v>
      </c>
      <c r="AO306" s="38">
        <f t="shared" si="1115"/>
        <v>1.0000000000000004</v>
      </c>
      <c r="AP306" s="38">
        <f t="shared" si="1162"/>
        <v>1.6995128711406806</v>
      </c>
      <c r="AQ306" s="4">
        <f t="shared" si="1163"/>
        <v>0</v>
      </c>
      <c r="AR306" s="4" t="e">
        <f>#REF!/G306*F306^0.5/0.19</f>
        <v>#REF!</v>
      </c>
      <c r="AS306" s="4">
        <f t="shared" si="1234"/>
        <v>1</v>
      </c>
      <c r="AT306" s="38">
        <f t="shared" si="1235"/>
        <v>620.38363490583583</v>
      </c>
      <c r="AU306" s="4">
        <f t="shared" si="1236"/>
        <v>0.3</v>
      </c>
      <c r="AV306" s="4" t="e">
        <f>AU306*D306*#REF!/(D306*G306/2.75/F306^0.5)</f>
        <v>#REF!</v>
      </c>
      <c r="AW306" s="4" t="e">
        <f t="shared" si="1068"/>
        <v>#REF!</v>
      </c>
      <c r="AY306" s="4">
        <f t="shared" si="1237"/>
        <v>1.5</v>
      </c>
      <c r="AZ306" s="4" t="e">
        <f>(3*#REF!+30)*AY306*F306^0.5</f>
        <v>#REF!</v>
      </c>
      <c r="BB306" s="4">
        <f t="shared" si="1238"/>
        <v>595.02377384952354</v>
      </c>
      <c r="BC306" s="4">
        <f t="shared" si="1275"/>
        <v>0</v>
      </c>
      <c r="BD306" s="4">
        <f t="shared" si="1069"/>
        <v>0</v>
      </c>
      <c r="BL306" s="4">
        <f t="shared" si="1239"/>
        <v>63.5</v>
      </c>
      <c r="BP306" s="9"/>
      <c r="BR306" s="9"/>
      <c r="BS306" s="9"/>
      <c r="BT306" s="9">
        <f t="shared" si="1240"/>
        <v>63.5</v>
      </c>
      <c r="BU306" s="9">
        <f t="shared" si="1241"/>
        <v>126.99999999999997</v>
      </c>
      <c r="BV306" s="9">
        <f t="shared" si="1242"/>
        <v>1.7543833769624846</v>
      </c>
      <c r="BW306" s="40">
        <f t="shared" si="1018"/>
        <v>20</v>
      </c>
      <c r="BX306" s="9">
        <f t="shared" si="1243"/>
        <v>0.05</v>
      </c>
      <c r="BY306" s="9">
        <f t="shared" si="1070"/>
        <v>0.8</v>
      </c>
      <c r="BZ306" s="9">
        <f t="shared" si="1244"/>
        <v>0.99524931562137331</v>
      </c>
      <c r="CA306" s="9">
        <f t="shared" si="1245"/>
        <v>0.68048275862068963</v>
      </c>
      <c r="CB306" s="9">
        <f t="shared" si="1246"/>
        <v>1.3877500485016585</v>
      </c>
      <c r="CC306" s="9">
        <f t="shared" si="1247"/>
        <v>3.4693751212541462</v>
      </c>
      <c r="CD306" s="40">
        <v>1</v>
      </c>
      <c r="CE306" s="9" t="e">
        <f>4*CC306*#REF!+60*CC306</f>
        <v>#REF!</v>
      </c>
      <c r="CG306" s="47" t="e">
        <f t="shared" ref="CG306" si="1282">V306/AR306</f>
        <v>#REF!</v>
      </c>
      <c r="CH306" s="47" t="e">
        <f t="shared" ref="CH306" si="1283">V306/AW306</f>
        <v>#REF!</v>
      </c>
      <c r="CI306" s="47" t="e">
        <f t="shared" ref="CI306" si="1284">V306/AZ306</f>
        <v>#REF!</v>
      </c>
      <c r="CJ306" s="47" t="e">
        <f t="shared" ref="CJ306" si="1285">V306/CE306</f>
        <v>#REF!</v>
      </c>
      <c r="CK306" s="47">
        <f t="shared" ref="CK306" si="1286">V306/DL306</f>
        <v>1.4014181325909159</v>
      </c>
      <c r="CL306" s="47">
        <f t="shared" ref="CL306" si="1287">V306/DX306</f>
        <v>1.4707672066107018</v>
      </c>
      <c r="CM306" s="47">
        <f t="shared" si="978"/>
        <v>1.3404573544493805</v>
      </c>
      <c r="CN306" s="4">
        <f t="shared" si="1019"/>
        <v>10</v>
      </c>
      <c r="CU306" s="4" t="e">
        <f t="shared" si="1276"/>
        <v>#REF!</v>
      </c>
      <c r="CV306" s="4" t="e">
        <f t="shared" si="1277"/>
        <v>#REF!</v>
      </c>
      <c r="CW306" s="4" t="e">
        <f t="shared" si="1278"/>
        <v>#REF!</v>
      </c>
      <c r="CX306" s="4">
        <f t="shared" si="1279"/>
        <v>1.3404573544493805</v>
      </c>
      <c r="CY306" s="4">
        <f t="shared" si="1280"/>
        <v>1.4014181325909159</v>
      </c>
      <c r="CZ306" s="4">
        <f t="shared" si="1281"/>
        <v>1.4707672066107018</v>
      </c>
      <c r="DC306" s="4" t="e">
        <f>#REF!</f>
        <v>#REF!</v>
      </c>
      <c r="DF306" s="4">
        <f t="shared" si="1248"/>
        <v>2.5926181363003004E-5</v>
      </c>
      <c r="DG306" s="4">
        <f t="shared" si="1083"/>
        <v>8.1623967217189435</v>
      </c>
      <c r="DH306" s="4">
        <f t="shared" si="1249"/>
        <v>0.3675931216831555</v>
      </c>
      <c r="DI306" s="4">
        <f t="shared" si="1084"/>
        <v>5.4697143929160559</v>
      </c>
      <c r="DJ306" s="4">
        <f t="shared" si="1085"/>
        <v>6.9482475198388309</v>
      </c>
      <c r="DK306" s="4">
        <f t="shared" si="1250"/>
        <v>7.2856190833639527</v>
      </c>
      <c r="DL306" s="38">
        <f t="shared" si="1251"/>
        <v>742.59753814402711</v>
      </c>
      <c r="DM306" s="4" t="e">
        <f t="shared" si="1086"/>
        <v>#REF!</v>
      </c>
      <c r="DN306" s="4">
        <f t="shared" si="1252"/>
        <v>3.1780497164141401</v>
      </c>
      <c r="DO306" s="4">
        <f t="shared" si="976"/>
        <v>365.03614973474498</v>
      </c>
      <c r="DS306" s="4">
        <f t="shared" si="1253"/>
        <v>0.85</v>
      </c>
      <c r="DT306" s="4">
        <f t="shared" si="1254"/>
        <v>0.85</v>
      </c>
      <c r="DU306" s="4">
        <f t="shared" si="1255"/>
        <v>0.90625</v>
      </c>
      <c r="DV306" s="4">
        <f t="shared" si="1087"/>
        <v>0.77031249999999996</v>
      </c>
      <c r="DX306" s="4">
        <f t="shared" si="1256"/>
        <v>707.5828523336628</v>
      </c>
      <c r="DY306" s="25">
        <f t="shared" si="1146"/>
        <v>362.55834290660306</v>
      </c>
      <c r="EA306" s="4">
        <f t="shared" si="1147"/>
        <v>0.65476562499999991</v>
      </c>
      <c r="EB306" s="4">
        <f t="shared" si="1257"/>
        <v>8.1623967217189435</v>
      </c>
      <c r="EE306" s="4">
        <f t="shared" si="1258"/>
        <v>80.72246279691916</v>
      </c>
      <c r="EF306" s="4">
        <f t="shared" si="1088"/>
        <v>3.1780497164141406</v>
      </c>
      <c r="EG306" s="4">
        <f t="shared" si="1259"/>
        <v>0.11767842170154946</v>
      </c>
      <c r="EJ306" s="4">
        <f t="shared" si="1089"/>
        <v>0.11767842170154946</v>
      </c>
      <c r="EK306" s="4">
        <f t="shared" si="1260"/>
        <v>0.36697967727311104</v>
      </c>
      <c r="EL306" s="4">
        <f t="shared" si="1090"/>
        <v>5.4660613897866686</v>
      </c>
      <c r="EM306" s="4">
        <f t="shared" si="1091"/>
        <v>6.9468129400643628</v>
      </c>
      <c r="EN306" s="4" t="e">
        <f t="shared" si="1092"/>
        <v>#REF!</v>
      </c>
      <c r="EO306" s="4" t="e">
        <f t="shared" si="1093"/>
        <v>#REF!</v>
      </c>
      <c r="EP306" s="4" t="e">
        <f t="shared" si="1261"/>
        <v>#REF!</v>
      </c>
      <c r="EQ306" s="4" t="e">
        <f t="shared" si="1094"/>
        <v>#REF!</v>
      </c>
      <c r="ER306" s="4" t="e">
        <f t="shared" si="1262"/>
        <v>#REF!</v>
      </c>
      <c r="EU306" s="4">
        <f>5.25*25.4</f>
        <v>133.35</v>
      </c>
      <c r="FA306" s="23" t="e">
        <f t="shared" si="1042"/>
        <v>#REF!</v>
      </c>
      <c r="FB306" s="23" t="e">
        <f t="shared" si="1043"/>
        <v>#REF!</v>
      </c>
      <c r="FC306" s="23">
        <f t="shared" si="981"/>
        <v>1.4</v>
      </c>
      <c r="FD306" s="23" t="e">
        <f t="shared" si="1044"/>
        <v>#REF!</v>
      </c>
      <c r="FE306" s="23">
        <f t="shared" si="1045"/>
        <v>1.6</v>
      </c>
      <c r="FF306" s="23">
        <f t="shared" si="1046"/>
        <v>1.6</v>
      </c>
      <c r="FG306" s="23">
        <f t="shared" si="1266"/>
        <v>0</v>
      </c>
      <c r="FH306" s="23"/>
      <c r="FR306" s="4">
        <f t="shared" si="1122"/>
        <v>1</v>
      </c>
      <c r="FS306" s="4">
        <f t="shared" si="1123"/>
        <v>0.43787748058671272</v>
      </c>
      <c r="FT306" s="4">
        <f t="shared" si="1124"/>
        <v>0.3</v>
      </c>
      <c r="FU306" s="4">
        <f t="shared" si="1125"/>
        <v>776.36908904117877</v>
      </c>
    </row>
    <row r="307" spans="2:177" ht="12" customHeight="1" x14ac:dyDescent="0.3">
      <c r="B307" s="24"/>
      <c r="C307" s="7" t="s">
        <v>444</v>
      </c>
      <c r="D307" s="38">
        <f>120/0.145</f>
        <v>827.58620689655174</v>
      </c>
      <c r="E307" s="38">
        <f>14.25*25.4</f>
        <v>361.95</v>
      </c>
      <c r="F307" s="38">
        <f>4960/145</f>
        <v>34.206896551724135</v>
      </c>
      <c r="G307" s="38">
        <f t="shared" si="1016"/>
        <v>25.4</v>
      </c>
      <c r="H307" s="38">
        <f>16.9*25.4</f>
        <v>429.25999999999993</v>
      </c>
      <c r="I307" s="38">
        <f>2.45*25.4</f>
        <v>62.230000000000004</v>
      </c>
      <c r="J307" s="39">
        <f>3.4*25.4</f>
        <v>86.36</v>
      </c>
      <c r="K307" s="7">
        <f t="shared" si="986"/>
        <v>114.29999999999997</v>
      </c>
      <c r="L307" s="38">
        <v>3</v>
      </c>
      <c r="M307" s="4">
        <f t="shared" si="1028"/>
        <v>260.34999999999997</v>
      </c>
      <c r="N307" s="7">
        <f t="shared" si="1224"/>
        <v>2.7499999999999996</v>
      </c>
      <c r="O307" s="7">
        <f t="shared" si="1225"/>
        <v>2.95</v>
      </c>
      <c r="P307" s="38">
        <v>9.5</v>
      </c>
      <c r="Q307" s="4">
        <f t="shared" si="1017"/>
        <v>9.5</v>
      </c>
      <c r="R307" s="4">
        <f t="shared" si="1226"/>
        <v>10.5</v>
      </c>
      <c r="S307" s="7">
        <f t="shared" si="1227"/>
        <v>82.305406869779816</v>
      </c>
      <c r="V307" s="38">
        <f t="shared" si="1054"/>
        <v>640.68965517241384</v>
      </c>
      <c r="W307" s="4">
        <v>92.9</v>
      </c>
      <c r="X307" s="4">
        <f t="shared" si="1228"/>
        <v>1.1403447227271795</v>
      </c>
      <c r="Y307" s="38"/>
      <c r="Z307" s="38"/>
      <c r="AA307" s="39">
        <v>1</v>
      </c>
      <c r="AB307" s="39"/>
      <c r="AC307" s="39"/>
      <c r="AD307" s="7"/>
      <c r="AE307" s="4">
        <f t="shared" si="1229"/>
        <v>361.95</v>
      </c>
      <c r="AF307" s="4">
        <f t="shared" si="1230"/>
        <v>0.39532163742690052</v>
      </c>
      <c r="AG307" s="4">
        <f t="shared" si="1231"/>
        <v>264.94220061382879</v>
      </c>
      <c r="AH307" s="4">
        <f t="shared" si="1232"/>
        <v>0.74140350877192973</v>
      </c>
      <c r="AI307" s="4">
        <v>1.25</v>
      </c>
      <c r="AJ307" s="4">
        <f t="shared" si="1154"/>
        <v>2.5</v>
      </c>
      <c r="AK307" s="38">
        <f t="shared" si="988"/>
        <v>242.66457631218935</v>
      </c>
      <c r="AL307" s="38">
        <f t="shared" si="1264"/>
        <v>242.66457631218935</v>
      </c>
      <c r="AM307" s="38">
        <f t="shared" si="1233"/>
        <v>3.1612853899839108</v>
      </c>
      <c r="AN307" s="38">
        <f t="shared" si="1161"/>
        <v>242.66457631218921</v>
      </c>
      <c r="AO307" s="38">
        <f t="shared" si="1115"/>
        <v>1.0000000000000007</v>
      </c>
      <c r="AP307" s="38">
        <f t="shared" si="1162"/>
        <v>2.4591528566563099</v>
      </c>
      <c r="AQ307" s="4">
        <f t="shared" si="1163"/>
        <v>0</v>
      </c>
      <c r="AR307" s="4" t="e">
        <f>#REF!/G307*F307^0.5/0.19</f>
        <v>#REF!</v>
      </c>
      <c r="AS307" s="4">
        <f t="shared" si="1234"/>
        <v>1.0290909090909093</v>
      </c>
      <c r="AT307" s="38">
        <f t="shared" si="1235"/>
        <v>596.74928604741319</v>
      </c>
      <c r="AU307" s="4">
        <f t="shared" si="1236"/>
        <v>0.3</v>
      </c>
      <c r="AV307" s="4" t="e">
        <f>AU307*D307*#REF!/(D307*G307/2.75/F307^0.5)</f>
        <v>#REF!</v>
      </c>
      <c r="AW307" s="4" t="e">
        <f t="shared" si="1068"/>
        <v>#REF!</v>
      </c>
      <c r="AY307" s="4">
        <f t="shared" si="1237"/>
        <v>1.3625</v>
      </c>
      <c r="AZ307" s="4" t="e">
        <f>(3*#REF!+30)*AY307*F307^0.5</f>
        <v>#REF!</v>
      </c>
      <c r="BB307" s="4">
        <f t="shared" si="1238"/>
        <v>572.35554300176852</v>
      </c>
      <c r="BC307" s="4">
        <f t="shared" si="1275"/>
        <v>0</v>
      </c>
      <c r="BD307" s="4">
        <f t="shared" si="1069"/>
        <v>0</v>
      </c>
      <c r="BL307" s="4">
        <f t="shared" si="1239"/>
        <v>57.149999999999984</v>
      </c>
      <c r="BP307" s="9"/>
      <c r="BR307" s="9"/>
      <c r="BS307" s="9"/>
      <c r="BT307" s="9">
        <f t="shared" si="1240"/>
        <v>57.149999999999984</v>
      </c>
      <c r="BU307" s="9">
        <f t="shared" si="1241"/>
        <v>62.230000000000004</v>
      </c>
      <c r="BV307" s="9">
        <f t="shared" si="1242"/>
        <v>1.5192834046120851</v>
      </c>
      <c r="BW307" s="40">
        <f t="shared" si="1018"/>
        <v>0</v>
      </c>
      <c r="BX307" s="9">
        <f t="shared" si="1243"/>
        <v>0</v>
      </c>
      <c r="BY307" s="9">
        <f t="shared" si="1070"/>
        <v>0</v>
      </c>
      <c r="BZ307" s="9">
        <f t="shared" si="1244"/>
        <v>0.99524931562137331</v>
      </c>
      <c r="CA307" s="9">
        <f t="shared" si="1245"/>
        <v>0.68</v>
      </c>
      <c r="CB307" s="9">
        <f t="shared" si="1246"/>
        <v>1.3853696905299668</v>
      </c>
      <c r="CC307" s="9">
        <f t="shared" si="1247"/>
        <v>2.1047691800747588</v>
      </c>
      <c r="CD307" s="40">
        <v>1</v>
      </c>
      <c r="CE307" s="9" t="e">
        <f>4*CC307*#REF!+60*CC307</f>
        <v>#REF!</v>
      </c>
      <c r="CG307" s="4" t="e">
        <f t="shared" si="1071"/>
        <v>#REF!</v>
      </c>
      <c r="CH307" s="4" t="e">
        <f t="shared" si="1072"/>
        <v>#REF!</v>
      </c>
      <c r="CI307" s="4" t="e">
        <f t="shared" si="1073"/>
        <v>#REF!</v>
      </c>
      <c r="CJ307" s="4" t="e">
        <f t="shared" si="1074"/>
        <v>#REF!</v>
      </c>
      <c r="CK307" s="4">
        <f t="shared" si="1075"/>
        <v>1.1403447227271795</v>
      </c>
      <c r="CL307" s="4">
        <f t="shared" si="1076"/>
        <v>1.1693024959062237</v>
      </c>
      <c r="CM307" s="4">
        <f t="shared" si="978"/>
        <v>1.6507806323592806</v>
      </c>
      <c r="CN307" s="4">
        <f t="shared" si="1019"/>
        <v>0</v>
      </c>
      <c r="CO307" s="4" t="e">
        <f t="shared" ref="CO307:CO308" si="1288">CG307</f>
        <v>#REF!</v>
      </c>
      <c r="CP307" s="4" t="e">
        <f t="shared" ref="CP307:CP308" si="1289">CH307</f>
        <v>#REF!</v>
      </c>
      <c r="CQ307" s="4" t="e">
        <f t="shared" ref="CQ307:CQ308" si="1290">CJ307</f>
        <v>#REF!</v>
      </c>
      <c r="CR307" s="4">
        <f t="shared" ref="CR307:CR308" si="1291">CM307</f>
        <v>1.6507806323592806</v>
      </c>
      <c r="CS307" s="4">
        <f t="shared" ref="CS307:CS308" si="1292">CK307</f>
        <v>1.1403447227271795</v>
      </c>
      <c r="CT307" s="4">
        <f t="shared" ref="CT307:CT308" si="1293">CL307</f>
        <v>1.1693024959062237</v>
      </c>
      <c r="DC307" s="4" t="e">
        <f>#REF!</f>
        <v>#REF!</v>
      </c>
      <c r="DF307" s="4">
        <f t="shared" si="1248"/>
        <v>2.6208135918027901E-5</v>
      </c>
      <c r="DG307" s="4">
        <f t="shared" si="1083"/>
        <v>7.1785914172642658</v>
      </c>
      <c r="DH307" s="4">
        <f t="shared" si="1249"/>
        <v>0.2391466748947412</v>
      </c>
      <c r="DI307" s="4">
        <f t="shared" si="1084"/>
        <v>4.0504658421393991</v>
      </c>
      <c r="DJ307" s="4">
        <f t="shared" si="1085"/>
        <v>5.8298602507377382</v>
      </c>
      <c r="DK307" s="4">
        <f t="shared" si="1250"/>
        <v>6.5270920350110737</v>
      </c>
      <c r="DL307" s="38">
        <f t="shared" si="1251"/>
        <v>561.83857600549004</v>
      </c>
      <c r="DM307" s="4" t="e">
        <f t="shared" si="1086"/>
        <v>#REF!</v>
      </c>
      <c r="DN307" s="4">
        <f t="shared" si="1252"/>
        <v>3.2403703492039297</v>
      </c>
      <c r="DO307" s="4">
        <f t="shared" si="976"/>
        <v>242.66457631218921</v>
      </c>
      <c r="DS307" s="4">
        <f t="shared" si="1253"/>
        <v>0.85</v>
      </c>
      <c r="DT307" s="4">
        <f t="shared" si="1254"/>
        <v>0.875</v>
      </c>
      <c r="DU307" s="4">
        <f t="shared" si="1255"/>
        <v>1</v>
      </c>
      <c r="DV307" s="4">
        <f t="shared" si="1087"/>
        <v>0.875</v>
      </c>
      <c r="DX307" s="4">
        <f t="shared" si="1256"/>
        <v>547.92464517564508</v>
      </c>
      <c r="DY307" s="25">
        <f t="shared" si="1146"/>
        <v>241.03986208759761</v>
      </c>
      <c r="EA307" s="4">
        <f t="shared" si="1147"/>
        <v>0.74375000000000002</v>
      </c>
      <c r="EB307" s="4">
        <f t="shared" si="1257"/>
        <v>7.1785914172642658</v>
      </c>
      <c r="EE307" s="4">
        <f t="shared" si="1258"/>
        <v>82.305406869779816</v>
      </c>
      <c r="EF307" s="4">
        <f t="shared" si="1088"/>
        <v>3.2403703492039302</v>
      </c>
      <c r="EG307" s="4">
        <f t="shared" si="1259"/>
        <v>7.6481509216506982E-2</v>
      </c>
      <c r="EJ307" s="4">
        <f t="shared" si="1089"/>
        <v>7.6481509216506982E-2</v>
      </c>
      <c r="EK307" s="4">
        <f t="shared" si="1260"/>
        <v>0.2387475836652232</v>
      </c>
      <c r="EL307" s="4">
        <f t="shared" si="1090"/>
        <v>4.0477606982627874</v>
      </c>
      <c r="EM307" s="4">
        <f t="shared" si="1091"/>
        <v>5.828926683373596</v>
      </c>
      <c r="EN307" s="4" t="e">
        <f t="shared" si="1092"/>
        <v>#REF!</v>
      </c>
      <c r="EO307" s="4" t="e">
        <f t="shared" si="1093"/>
        <v>#REF!</v>
      </c>
      <c r="EP307" s="4" t="e">
        <f t="shared" si="1261"/>
        <v>#REF!</v>
      </c>
      <c r="EQ307" s="4" t="e">
        <f t="shared" si="1094"/>
        <v>#REF!</v>
      </c>
      <c r="ER307" s="4" t="e">
        <f t="shared" si="1262"/>
        <v>#REF!</v>
      </c>
      <c r="FA307" s="23" t="e">
        <f t="shared" si="1042"/>
        <v>#REF!</v>
      </c>
      <c r="FB307" s="23" t="e">
        <f t="shared" si="1043"/>
        <v>#REF!</v>
      </c>
      <c r="FC307" s="23">
        <f t="shared" si="981"/>
        <v>1.8</v>
      </c>
      <c r="FD307" s="23" t="e">
        <f t="shared" si="1044"/>
        <v>#REF!</v>
      </c>
      <c r="FE307" s="23">
        <f t="shared" si="1045"/>
        <v>1.2</v>
      </c>
      <c r="FF307" s="23">
        <f t="shared" si="1046"/>
        <v>1.2</v>
      </c>
      <c r="FG307" s="23">
        <f t="shared" si="1266"/>
        <v>0</v>
      </c>
      <c r="FH307" s="23"/>
      <c r="FR307" s="4">
        <f t="shared" si="1122"/>
        <v>1.25</v>
      </c>
      <c r="FS307" s="4">
        <f t="shared" si="1123"/>
        <v>0.70833333333333326</v>
      </c>
      <c r="FT307" s="4">
        <f t="shared" si="1124"/>
        <v>0</v>
      </c>
      <c r="FU307" s="4">
        <f t="shared" si="1125"/>
        <v>388.11314030062613</v>
      </c>
    </row>
    <row r="308" spans="2:177" ht="12" customHeight="1" x14ac:dyDescent="0.3">
      <c r="B308" s="24"/>
      <c r="C308" s="48" t="s">
        <v>445</v>
      </c>
      <c r="D308" s="38">
        <f>115.9/0.145</f>
        <v>799.31034482758628</v>
      </c>
      <c r="E308" s="38">
        <f>14.35*25.4</f>
        <v>364.48999999999995</v>
      </c>
      <c r="F308" s="38">
        <f t="shared" ref="F308" si="1294">4960/145</f>
        <v>34.206896551724135</v>
      </c>
      <c r="G308" s="38">
        <f t="shared" si="1016"/>
        <v>25.4</v>
      </c>
      <c r="H308" s="38">
        <f t="shared" ref="H308" si="1295">16.9*25.4</f>
        <v>429.25999999999993</v>
      </c>
      <c r="I308" s="38">
        <f>2.45*25.4</f>
        <v>62.230000000000004</v>
      </c>
      <c r="J308" s="39">
        <f>3.2*25.4</f>
        <v>81.28</v>
      </c>
      <c r="K308" s="7">
        <f t="shared" si="986"/>
        <v>114.29999999999997</v>
      </c>
      <c r="L308" s="38">
        <v>3</v>
      </c>
      <c r="M308" s="4">
        <f t="shared" si="1028"/>
        <v>260.34999999999997</v>
      </c>
      <c r="N308" s="7">
        <f t="shared" si="1224"/>
        <v>2.7499999999999996</v>
      </c>
      <c r="O308" s="7">
        <f t="shared" si="1225"/>
        <v>2.95</v>
      </c>
      <c r="P308" s="38">
        <v>9.1</v>
      </c>
      <c r="Q308" s="4">
        <f t="shared" si="1017"/>
        <v>9.1</v>
      </c>
      <c r="R308" s="4">
        <f t="shared" si="1226"/>
        <v>10.1</v>
      </c>
      <c r="S308" s="7">
        <f t="shared" si="1227"/>
        <v>80.72246279691916</v>
      </c>
      <c r="V308" s="38">
        <f t="shared" si="1054"/>
        <v>660.68965517241384</v>
      </c>
      <c r="W308" s="4">
        <v>95.8</v>
      </c>
      <c r="X308" s="4">
        <f t="shared" si="1228"/>
        <v>1.1667495807153807</v>
      </c>
      <c r="Y308" s="38"/>
      <c r="Z308" s="38"/>
      <c r="AA308" s="39">
        <v>1</v>
      </c>
      <c r="AB308" s="39"/>
      <c r="AC308" s="39"/>
      <c r="AD308" s="7"/>
      <c r="AE308" s="4">
        <f t="shared" si="1229"/>
        <v>364.48999999999995</v>
      </c>
      <c r="AF308" s="4">
        <f t="shared" si="1230"/>
        <v>0.39256678281068519</v>
      </c>
      <c r="AG308" s="4">
        <f t="shared" si="1231"/>
        <v>267.73595292203152</v>
      </c>
      <c r="AH308" s="4">
        <f t="shared" si="1232"/>
        <v>0.74111498257839714</v>
      </c>
      <c r="AI308" s="4">
        <v>1.25</v>
      </c>
      <c r="AJ308" s="4">
        <f t="shared" si="1154"/>
        <v>2.5</v>
      </c>
      <c r="AK308" s="38">
        <f t="shared" si="988"/>
        <v>243.41977575810324</v>
      </c>
      <c r="AL308" s="38">
        <f t="shared" si="1264"/>
        <v>243.41977575810324</v>
      </c>
      <c r="AM308" s="38">
        <f t="shared" si="1233"/>
        <v>3.1612853899839108</v>
      </c>
      <c r="AN308" s="38">
        <f t="shared" si="1161"/>
        <v>243.41977575810327</v>
      </c>
      <c r="AO308" s="38">
        <f t="shared" si="1115"/>
        <v>0.99999999999999989</v>
      </c>
      <c r="AP308" s="38">
        <f t="shared" si="1162"/>
        <v>2.3993573988971941</v>
      </c>
      <c r="AQ308" s="4">
        <f t="shared" si="1163"/>
        <v>0</v>
      </c>
      <c r="AR308" s="4" t="e">
        <f>#REF!/G308*F308^0.5/0.19</f>
        <v>#REF!</v>
      </c>
      <c r="AS308" s="4">
        <f t="shared" si="1234"/>
        <v>1.0290909090909093</v>
      </c>
      <c r="AT308" s="38">
        <f t="shared" si="1235"/>
        <v>584.05104000310098</v>
      </c>
      <c r="AU308" s="4">
        <f t="shared" si="1236"/>
        <v>0.3</v>
      </c>
      <c r="AV308" s="4" t="e">
        <f>AU308*D308*#REF!/(D308*G308/2.75/F308^0.5)</f>
        <v>#REF!</v>
      </c>
      <c r="AW308" s="4" t="e">
        <f t="shared" si="1068"/>
        <v>#REF!</v>
      </c>
      <c r="AY308" s="4">
        <f t="shared" si="1237"/>
        <v>1.3625</v>
      </c>
      <c r="AZ308" s="4" t="e">
        <f>(3*#REF!+30)*AY308*F308^0.5</f>
        <v>#REF!</v>
      </c>
      <c r="BB308" s="4">
        <f t="shared" si="1238"/>
        <v>560.17637215097193</v>
      </c>
      <c r="BC308" s="4">
        <f t="shared" si="1275"/>
        <v>0</v>
      </c>
      <c r="BD308" s="4">
        <f t="shared" si="1069"/>
        <v>0</v>
      </c>
      <c r="BL308" s="4">
        <f t="shared" si="1239"/>
        <v>57.149999999999984</v>
      </c>
      <c r="BP308" s="9"/>
      <c r="BR308" s="9"/>
      <c r="BS308" s="9"/>
      <c r="BT308" s="9">
        <f t="shared" si="1240"/>
        <v>57.149999999999984</v>
      </c>
      <c r="BU308" s="9">
        <f t="shared" si="1241"/>
        <v>62.230000000000004</v>
      </c>
      <c r="BV308" s="9">
        <f t="shared" si="1242"/>
        <v>1.5192834046120851</v>
      </c>
      <c r="BW308" s="40">
        <f t="shared" si="1018"/>
        <v>0</v>
      </c>
      <c r="BX308" s="9">
        <f t="shared" si="1243"/>
        <v>0</v>
      </c>
      <c r="BY308" s="9">
        <f t="shared" si="1070"/>
        <v>0</v>
      </c>
      <c r="BZ308" s="9">
        <f t="shared" si="1244"/>
        <v>0.99524931562137331</v>
      </c>
      <c r="CA308" s="9">
        <f t="shared" si="1245"/>
        <v>0.68048275862068963</v>
      </c>
      <c r="CB308" s="9">
        <f t="shared" si="1246"/>
        <v>1.3863532187078278</v>
      </c>
      <c r="CC308" s="9">
        <f t="shared" si="1247"/>
        <v>2.1062634381133511</v>
      </c>
      <c r="CD308" s="40">
        <v>1</v>
      </c>
      <c r="CE308" s="9" t="e">
        <f>4*CC308*#REF!+60*CC308</f>
        <v>#REF!</v>
      </c>
      <c r="CG308" s="4" t="e">
        <f t="shared" si="1071"/>
        <v>#REF!</v>
      </c>
      <c r="CH308" s="4" t="e">
        <f t="shared" si="1072"/>
        <v>#REF!</v>
      </c>
      <c r="CI308" s="4" t="e">
        <f t="shared" si="1073"/>
        <v>#REF!</v>
      </c>
      <c r="CJ308" s="4" t="e">
        <f t="shared" si="1074"/>
        <v>#REF!</v>
      </c>
      <c r="CK308" s="4">
        <f t="shared" si="1075"/>
        <v>1.1667495807153807</v>
      </c>
      <c r="CL308" s="4">
        <f t="shared" si="1076"/>
        <v>1.1994142932326093</v>
      </c>
      <c r="CM308" s="4">
        <f t="shared" si="978"/>
        <v>1.6904491962548411</v>
      </c>
      <c r="CN308" s="4">
        <f t="shared" si="1019"/>
        <v>0</v>
      </c>
      <c r="CO308" s="4" t="e">
        <f t="shared" si="1288"/>
        <v>#REF!</v>
      </c>
      <c r="CP308" s="4" t="e">
        <f t="shared" si="1289"/>
        <v>#REF!</v>
      </c>
      <c r="CQ308" s="4" t="e">
        <f t="shared" si="1290"/>
        <v>#REF!</v>
      </c>
      <c r="CR308" s="4">
        <f t="shared" si="1291"/>
        <v>1.6904491962548411</v>
      </c>
      <c r="CS308" s="4">
        <f t="shared" si="1292"/>
        <v>1.1667495807153807</v>
      </c>
      <c r="CT308" s="4">
        <f t="shared" si="1293"/>
        <v>1.1994142932326093</v>
      </c>
      <c r="DC308" s="4" t="e">
        <f>#REF!</f>
        <v>#REF!</v>
      </c>
      <c r="DF308" s="4">
        <f t="shared" si="1248"/>
        <v>2.6392052661312303E-5</v>
      </c>
      <c r="DG308" s="4">
        <f t="shared" si="1083"/>
        <v>7.1785914172642658</v>
      </c>
      <c r="DH308" s="4">
        <f t="shared" si="1249"/>
        <v>0.24561906376309534</v>
      </c>
      <c r="DI308" s="4">
        <f t="shared" si="1084"/>
        <v>4.0939644205144168</v>
      </c>
      <c r="DJ308" s="4">
        <f t="shared" si="1085"/>
        <v>5.8449398825812473</v>
      </c>
      <c r="DK308" s="4">
        <f t="shared" si="1250"/>
        <v>6.5142498463012739</v>
      </c>
      <c r="DL308" s="38">
        <f t="shared" si="1251"/>
        <v>566.26517471497073</v>
      </c>
      <c r="DM308" s="4" t="e">
        <f t="shared" si="1086"/>
        <v>#REF!</v>
      </c>
      <c r="DN308" s="4">
        <f t="shared" si="1252"/>
        <v>3.1780497164141401</v>
      </c>
      <c r="DO308" s="4">
        <f t="shared" si="976"/>
        <v>243.41977575810327</v>
      </c>
      <c r="DS308" s="4">
        <f t="shared" si="1253"/>
        <v>0.85</v>
      </c>
      <c r="DT308" s="4">
        <f t="shared" si="1254"/>
        <v>0.875</v>
      </c>
      <c r="DU308" s="4">
        <f t="shared" si="1255"/>
        <v>1</v>
      </c>
      <c r="DV308" s="4">
        <f t="shared" si="1087"/>
        <v>0.875</v>
      </c>
      <c r="DX308" s="4">
        <f t="shared" si="1256"/>
        <v>550.84357331756632</v>
      </c>
      <c r="DY308" s="25">
        <f t="shared" si="1146"/>
        <v>241.80521280433967</v>
      </c>
      <c r="EA308" s="4">
        <f t="shared" si="1147"/>
        <v>0.74375000000000002</v>
      </c>
      <c r="EB308" s="4">
        <f t="shared" si="1257"/>
        <v>7.1785914172642658</v>
      </c>
      <c r="EE308" s="4">
        <f t="shared" si="1258"/>
        <v>80.72246279691916</v>
      </c>
      <c r="EF308" s="4">
        <f t="shared" si="1088"/>
        <v>3.1780497164141406</v>
      </c>
      <c r="EG308" s="4">
        <f t="shared" si="1259"/>
        <v>7.8551444201409956E-2</v>
      </c>
      <c r="EJ308" s="4">
        <f t="shared" si="1089"/>
        <v>7.8551444201409956E-2</v>
      </c>
      <c r="EK308" s="4">
        <f t="shared" si="1260"/>
        <v>0.24520917132284534</v>
      </c>
      <c r="EL308" s="4">
        <f t="shared" si="1090"/>
        <v>4.0912302256798361</v>
      </c>
      <c r="EM308" s="4">
        <f t="shared" si="1091"/>
        <v>5.8439882654616717</v>
      </c>
      <c r="EN308" s="4" t="e">
        <f t="shared" si="1092"/>
        <v>#REF!</v>
      </c>
      <c r="EO308" s="4" t="e">
        <f t="shared" si="1093"/>
        <v>#REF!</v>
      </c>
      <c r="EP308" s="4" t="e">
        <f t="shared" si="1261"/>
        <v>#REF!</v>
      </c>
      <c r="EQ308" s="4" t="e">
        <f t="shared" si="1094"/>
        <v>#REF!</v>
      </c>
      <c r="ER308" s="4" t="e">
        <f t="shared" si="1262"/>
        <v>#REF!</v>
      </c>
      <c r="EU308" s="4">
        <f>5.25*25.4</f>
        <v>133.35</v>
      </c>
      <c r="FA308" s="23" t="e">
        <f t="shared" si="1042"/>
        <v>#REF!</v>
      </c>
      <c r="FB308" s="23" t="e">
        <f t="shared" si="1043"/>
        <v>#REF!</v>
      </c>
      <c r="FC308" s="23">
        <f t="shared" si="981"/>
        <v>1.8</v>
      </c>
      <c r="FD308" s="23" t="e">
        <f t="shared" si="1044"/>
        <v>#REF!</v>
      </c>
      <c r="FE308" s="23">
        <f t="shared" si="1045"/>
        <v>1.2</v>
      </c>
      <c r="FF308" s="23">
        <f t="shared" si="1046"/>
        <v>1.2</v>
      </c>
      <c r="FG308" s="23">
        <f t="shared" si="1266"/>
        <v>0</v>
      </c>
      <c r="FH308" s="23"/>
      <c r="FR308" s="4">
        <f t="shared" si="1122"/>
        <v>1.25</v>
      </c>
      <c r="FS308" s="4">
        <f t="shared" si="1123"/>
        <v>0.70833333333333326</v>
      </c>
      <c r="FT308" s="4">
        <f t="shared" si="1124"/>
        <v>0</v>
      </c>
      <c r="FU308" s="4">
        <f t="shared" si="1125"/>
        <v>390.83674128519186</v>
      </c>
    </row>
    <row r="309" spans="2:177" ht="12" customHeight="1" x14ac:dyDescent="0.3">
      <c r="B309" s="24"/>
      <c r="C309" s="7" t="s">
        <v>446</v>
      </c>
      <c r="D309" s="38">
        <f>120/0.145</f>
        <v>827.58620689655174</v>
      </c>
      <c r="E309" s="38">
        <f>14.42*25.4</f>
        <v>366.26799999999997</v>
      </c>
      <c r="F309" s="38">
        <f>5370/145</f>
        <v>37.03448275862069</v>
      </c>
      <c r="G309" s="38">
        <f t="shared" si="1016"/>
        <v>25.4</v>
      </c>
      <c r="H309" s="38">
        <f>17.4*25.4</f>
        <v>441.95999999999992</v>
      </c>
      <c r="I309" s="38">
        <f>2.65*25.4</f>
        <v>67.309999999999988</v>
      </c>
      <c r="J309" s="39">
        <f>3.2*25.4</f>
        <v>81.28</v>
      </c>
      <c r="K309" s="7">
        <f t="shared" si="986"/>
        <v>115.56999999999998</v>
      </c>
      <c r="L309" s="38">
        <v>3</v>
      </c>
      <c r="M309" s="4">
        <f t="shared" si="1028"/>
        <v>260.34999999999997</v>
      </c>
      <c r="N309" s="7">
        <f t="shared" si="1224"/>
        <v>2.7749999999999999</v>
      </c>
      <c r="O309" s="7">
        <f t="shared" si="1225"/>
        <v>3.1499999999999995</v>
      </c>
      <c r="P309" s="38">
        <v>9.5</v>
      </c>
      <c r="Q309" s="4">
        <f t="shared" si="1017"/>
        <v>9.5</v>
      </c>
      <c r="R309" s="4">
        <f t="shared" si="1226"/>
        <v>10.5</v>
      </c>
      <c r="S309" s="7">
        <f t="shared" si="1227"/>
        <v>82.305406869779816</v>
      </c>
      <c r="V309" s="38">
        <f t="shared" si="1054"/>
        <v>825.51724137931046</v>
      </c>
      <c r="W309" s="4">
        <v>119.7</v>
      </c>
      <c r="X309" s="4">
        <f t="shared" si="1228"/>
        <v>1.3055599870590859</v>
      </c>
      <c r="Y309" s="38">
        <f>0.375*25.4</f>
        <v>9.5249999999999986</v>
      </c>
      <c r="Z309" s="38">
        <v>10</v>
      </c>
      <c r="AA309" s="39">
        <f t="shared" ref="AA309:AA310" si="1296">3*25.4</f>
        <v>76.199999999999989</v>
      </c>
      <c r="AB309" s="39">
        <v>3</v>
      </c>
      <c r="AC309" s="39">
        <v>2</v>
      </c>
      <c r="AD309" s="7"/>
      <c r="AE309" s="4">
        <f t="shared" si="1229"/>
        <v>366.26799999999997</v>
      </c>
      <c r="AF309" s="4">
        <f t="shared" si="1230"/>
        <v>0.40221914008321769</v>
      </c>
      <c r="AG309" s="4">
        <f t="shared" si="1231"/>
        <v>280.62285446564027</v>
      </c>
      <c r="AH309" s="4">
        <f t="shared" si="1232"/>
        <v>0.74368932038834945</v>
      </c>
      <c r="AI309" s="4">
        <v>1.25</v>
      </c>
      <c r="AJ309" s="4">
        <f t="shared" si="1154"/>
        <v>2.5</v>
      </c>
      <c r="AK309" s="38">
        <f t="shared" si="988"/>
        <v>262.31754411263563</v>
      </c>
      <c r="AL309" s="38">
        <f t="shared" si="1264"/>
        <v>262.31754411263563</v>
      </c>
      <c r="AM309" s="38">
        <f t="shared" si="1233"/>
        <v>3.3331800748667266</v>
      </c>
      <c r="AN309" s="38">
        <f t="shared" si="1161"/>
        <v>262.31754411263586</v>
      </c>
      <c r="AO309" s="38">
        <f t="shared" si="1115"/>
        <v>0.99999999999999911</v>
      </c>
      <c r="AP309" s="38">
        <f t="shared" si="1162"/>
        <v>2.5456378195386229</v>
      </c>
      <c r="AQ309" s="4">
        <f t="shared" si="1163"/>
        <v>0</v>
      </c>
      <c r="AR309" s="4" t="e">
        <f>#REF!/G309*F309^0.5/0.19</f>
        <v>#REF!</v>
      </c>
      <c r="AS309" s="4">
        <f t="shared" si="1234"/>
        <v>1.0540540540540539</v>
      </c>
      <c r="AT309" s="38">
        <f t="shared" si="1235"/>
        <v>667.76546102161683</v>
      </c>
      <c r="AU309" s="4">
        <f t="shared" si="1236"/>
        <v>0.3</v>
      </c>
      <c r="AV309" s="4" t="e">
        <f>AU309*D309*#REF!/(D309*G309/2.75/F309^0.5)</f>
        <v>#REF!</v>
      </c>
      <c r="AW309" s="4" t="e">
        <f t="shared" si="1068"/>
        <v>#REF!</v>
      </c>
      <c r="AY309" s="4">
        <f t="shared" si="1237"/>
        <v>1.5</v>
      </c>
      <c r="AZ309" s="4" t="e">
        <f>(3*#REF!+30)*AY309*F309^0.5</f>
        <v>#REF!</v>
      </c>
      <c r="BB309" s="4">
        <f t="shared" si="1238"/>
        <v>640.46873951431451</v>
      </c>
      <c r="BC309" s="4">
        <f t="shared" si="1275"/>
        <v>0</v>
      </c>
      <c r="BD309" s="4">
        <f t="shared" si="1069"/>
        <v>0</v>
      </c>
      <c r="BL309" s="4">
        <f t="shared" si="1239"/>
        <v>57.784999999999989</v>
      </c>
      <c r="BP309" s="9"/>
      <c r="BR309" s="9"/>
      <c r="BS309" s="9"/>
      <c r="BT309" s="9">
        <f t="shared" si="1240"/>
        <v>57.784999999999989</v>
      </c>
      <c r="BU309" s="9">
        <f t="shared" si="1241"/>
        <v>67.309999999999988</v>
      </c>
      <c r="BV309" s="9">
        <f t="shared" si="1242"/>
        <v>1.5432289842400166</v>
      </c>
      <c r="BW309" s="40">
        <f t="shared" si="1018"/>
        <v>20</v>
      </c>
      <c r="BX309" s="9">
        <f t="shared" si="1243"/>
        <v>0.05</v>
      </c>
      <c r="BY309" s="9">
        <f t="shared" si="1070"/>
        <v>0.8</v>
      </c>
      <c r="BZ309" s="9">
        <f t="shared" si="1244"/>
        <v>0.99524931562137331</v>
      </c>
      <c r="CA309" s="9">
        <f t="shared" si="1245"/>
        <v>0.68</v>
      </c>
      <c r="CB309" s="9">
        <f t="shared" si="1246"/>
        <v>1.441491169956336</v>
      </c>
      <c r="CC309" s="9">
        <f t="shared" si="1247"/>
        <v>3.3777438899677379</v>
      </c>
      <c r="CD309" s="40">
        <v>1</v>
      </c>
      <c r="CE309" s="9" t="e">
        <f>4*CC309*#REF!+60*CC309</f>
        <v>#REF!</v>
      </c>
      <c r="CG309" s="4" t="e">
        <f t="shared" si="1071"/>
        <v>#REF!</v>
      </c>
      <c r="CH309" s="4" t="e">
        <f t="shared" si="1072"/>
        <v>#REF!</v>
      </c>
      <c r="CI309" s="4" t="e">
        <f t="shared" si="1073"/>
        <v>#REF!</v>
      </c>
      <c r="CJ309" s="4" t="e">
        <f t="shared" si="1074"/>
        <v>#REF!</v>
      </c>
      <c r="CK309" s="4">
        <f t="shared" si="1075"/>
        <v>1.3055599870590859</v>
      </c>
      <c r="CL309" s="4">
        <f t="shared" si="1076"/>
        <v>1.3354151143487145</v>
      </c>
      <c r="CM309" s="4">
        <f t="shared" si="978"/>
        <v>1.2857433234217517</v>
      </c>
      <c r="CN309" s="4">
        <f t="shared" si="1019"/>
        <v>10</v>
      </c>
      <c r="CU309" s="4" t="e">
        <f t="shared" ref="CU309:CU310" si="1297">CG309</f>
        <v>#REF!</v>
      </c>
      <c r="CV309" s="4" t="e">
        <f t="shared" ref="CV309:CV310" si="1298">CH309</f>
        <v>#REF!</v>
      </c>
      <c r="CW309" s="4" t="e">
        <f t="shared" ref="CW309:CW310" si="1299">CJ309</f>
        <v>#REF!</v>
      </c>
      <c r="CX309" s="4">
        <f t="shared" ref="CX309:CX310" si="1300">CM309</f>
        <v>1.2857433234217517</v>
      </c>
      <c r="CY309" s="4">
        <f t="shared" ref="CY309:CY310" si="1301">CK309</f>
        <v>1.3055599870590859</v>
      </c>
      <c r="CZ309" s="4">
        <f t="shared" ref="CZ309:CZ310" si="1302">CL309</f>
        <v>1.3354151143487145</v>
      </c>
      <c r="DC309" s="4" t="e">
        <f>#REF!</f>
        <v>#REF!</v>
      </c>
      <c r="DF309" s="4">
        <f t="shared" si="1248"/>
        <v>2.7037033836206757E-5</v>
      </c>
      <c r="DG309" s="4">
        <f t="shared" si="1083"/>
        <v>8.2657094987768289</v>
      </c>
      <c r="DH309" s="4">
        <f t="shared" si="1249"/>
        <v>0.23877711015829453</v>
      </c>
      <c r="DI309" s="4">
        <f t="shared" si="1084"/>
        <v>4.6609797326345435</v>
      </c>
      <c r="DJ309" s="4">
        <f t="shared" si="1085"/>
        <v>6.7117325510641495</v>
      </c>
      <c r="DK309" s="4">
        <f t="shared" si="1250"/>
        <v>7.3663406701590528</v>
      </c>
      <c r="DL309" s="38">
        <f t="shared" si="1251"/>
        <v>632.30893222982172</v>
      </c>
      <c r="DM309" s="4" t="e">
        <f t="shared" si="1086"/>
        <v>#REF!</v>
      </c>
      <c r="DN309" s="4">
        <f t="shared" si="1252"/>
        <v>3.2403703492039297</v>
      </c>
      <c r="DO309" s="4">
        <f t="shared" si="976"/>
        <v>262.31754411263586</v>
      </c>
      <c r="DS309" s="4">
        <f t="shared" si="1253"/>
        <v>0.85</v>
      </c>
      <c r="DT309" s="4">
        <f t="shared" si="1254"/>
        <v>0.87250000000000005</v>
      </c>
      <c r="DU309" s="4">
        <f t="shared" si="1255"/>
        <v>0.90625</v>
      </c>
      <c r="DV309" s="4">
        <f t="shared" si="1087"/>
        <v>0.79070312500000006</v>
      </c>
      <c r="DX309" s="4">
        <f t="shared" si="1256"/>
        <v>618.17275580403884</v>
      </c>
      <c r="DY309" s="25">
        <f t="shared" si="1146"/>
        <v>260.59816288695316</v>
      </c>
      <c r="EA309" s="4">
        <f t="shared" si="1147"/>
        <v>0.67209765625000006</v>
      </c>
      <c r="EB309" s="4">
        <f t="shared" si="1257"/>
        <v>8.2657094987768289</v>
      </c>
      <c r="EE309" s="4">
        <f t="shared" si="1258"/>
        <v>82.305406869779816</v>
      </c>
      <c r="EF309" s="4">
        <f t="shared" si="1088"/>
        <v>3.2403703492039302</v>
      </c>
      <c r="EG309" s="4">
        <f t="shared" si="1259"/>
        <v>7.9456805189587323E-2</v>
      </c>
      <c r="EJ309" s="4">
        <f t="shared" si="1089"/>
        <v>7.9456805189587323E-2</v>
      </c>
      <c r="EK309" s="4">
        <f t="shared" si="1260"/>
        <v>0.23837863566344408</v>
      </c>
      <c r="EL309" s="4">
        <f t="shared" si="1090"/>
        <v>4.6578668509873076</v>
      </c>
      <c r="EM309" s="4">
        <f t="shared" si="1091"/>
        <v>6.7106587986327391</v>
      </c>
      <c r="EN309" s="4" t="e">
        <f t="shared" si="1092"/>
        <v>#REF!</v>
      </c>
      <c r="EO309" s="4" t="e">
        <f t="shared" si="1093"/>
        <v>#REF!</v>
      </c>
      <c r="EP309" s="4" t="e">
        <f t="shared" si="1261"/>
        <v>#REF!</v>
      </c>
      <c r="EQ309" s="4" t="e">
        <f t="shared" si="1094"/>
        <v>#REF!</v>
      </c>
      <c r="ER309" s="4" t="e">
        <f t="shared" si="1262"/>
        <v>#REF!</v>
      </c>
      <c r="FA309" s="23" t="e">
        <f t="shared" si="1042"/>
        <v>#REF!</v>
      </c>
      <c r="FB309" s="23" t="e">
        <f t="shared" si="1043"/>
        <v>#REF!</v>
      </c>
      <c r="FC309" s="23">
        <f t="shared" si="981"/>
        <v>1.4</v>
      </c>
      <c r="FD309" s="23" t="e">
        <f t="shared" si="1044"/>
        <v>#REF!</v>
      </c>
      <c r="FE309" s="23">
        <f t="shared" si="1045"/>
        <v>1.4</v>
      </c>
      <c r="FF309" s="23">
        <f t="shared" si="1046"/>
        <v>1.4</v>
      </c>
      <c r="FG309" s="23">
        <f t="shared" si="1266"/>
        <v>0</v>
      </c>
      <c r="FH309" s="23"/>
      <c r="FR309" s="4">
        <f t="shared" si="1122"/>
        <v>1</v>
      </c>
      <c r="FS309" s="4">
        <f t="shared" si="1123"/>
        <v>0.55246875000000006</v>
      </c>
      <c r="FT309" s="4">
        <f t="shared" si="1124"/>
        <v>0.28124999999999994</v>
      </c>
      <c r="FU309" s="4">
        <f t="shared" si="1125"/>
        <v>642.05446479189914</v>
      </c>
    </row>
    <row r="310" spans="2:177" ht="12" customHeight="1" x14ac:dyDescent="0.3">
      <c r="B310" s="24"/>
      <c r="C310" s="48" t="s">
        <v>447</v>
      </c>
      <c r="D310" s="38">
        <f>115.9/0.145</f>
        <v>799.31034482758628</v>
      </c>
      <c r="E310" s="38">
        <f>14.27*25.4</f>
        <v>362.45799999999997</v>
      </c>
      <c r="F310" s="38">
        <f>5420/145</f>
        <v>37.379310344827587</v>
      </c>
      <c r="G310" s="38">
        <f t="shared" si="1016"/>
        <v>25.4</v>
      </c>
      <c r="H310" s="38">
        <f>17.3*25.4</f>
        <v>439.42</v>
      </c>
      <c r="I310" s="38">
        <f>2.5*25.4</f>
        <v>63.5</v>
      </c>
      <c r="J310" s="39">
        <f>3.3*25.4</f>
        <v>83.82</v>
      </c>
      <c r="K310" s="7">
        <f t="shared" si="986"/>
        <v>118.11000000000001</v>
      </c>
      <c r="L310" s="38">
        <v>3</v>
      </c>
      <c r="M310" s="4">
        <f t="shared" si="1028"/>
        <v>260.34999999999997</v>
      </c>
      <c r="N310" s="7">
        <f t="shared" si="1224"/>
        <v>2.8250000000000002</v>
      </c>
      <c r="O310" s="7">
        <f t="shared" si="1225"/>
        <v>3</v>
      </c>
      <c r="P310" s="38">
        <v>9.1</v>
      </c>
      <c r="Q310" s="4">
        <f t="shared" si="1017"/>
        <v>9.1</v>
      </c>
      <c r="R310" s="4">
        <f t="shared" si="1226"/>
        <v>10.1</v>
      </c>
      <c r="S310" s="7">
        <f t="shared" si="1227"/>
        <v>80.72246279691916</v>
      </c>
      <c r="V310" s="38">
        <f t="shared" si="1054"/>
        <v>892.41379310344837</v>
      </c>
      <c r="W310" s="4">
        <v>129.4</v>
      </c>
      <c r="X310" s="4">
        <f t="shared" si="1228"/>
        <v>1.4151480032461179</v>
      </c>
      <c r="Y310" s="38">
        <f>0.375*25.4</f>
        <v>9.5249999999999986</v>
      </c>
      <c r="Z310" s="38">
        <v>10</v>
      </c>
      <c r="AA310" s="39">
        <f t="shared" si="1296"/>
        <v>76.199999999999989</v>
      </c>
      <c r="AB310" s="39">
        <v>3</v>
      </c>
      <c r="AC310" s="39">
        <v>2</v>
      </c>
      <c r="AD310" s="7"/>
      <c r="AE310" s="4">
        <f t="shared" si="1229"/>
        <v>362.45799999999997</v>
      </c>
      <c r="AF310" s="4">
        <f t="shared" si="1230"/>
        <v>0.40411118897453868</v>
      </c>
      <c r="AG310" s="4">
        <f t="shared" si="1231"/>
        <v>277.53873688530547</v>
      </c>
      <c r="AH310" s="4">
        <f t="shared" si="1232"/>
        <v>0.74204625087596354</v>
      </c>
      <c r="AI310" s="4">
        <v>1.25</v>
      </c>
      <c r="AJ310" s="4">
        <f t="shared" si="1154"/>
        <v>2.5</v>
      </c>
      <c r="AK310" s="38">
        <f t="shared" si="988"/>
        <v>260.07911555343611</v>
      </c>
      <c r="AL310" s="38">
        <f t="shared" si="1264"/>
        <v>260.07911555343611</v>
      </c>
      <c r="AM310" s="38">
        <f t="shared" si="1233"/>
        <v>3.3538382302464851</v>
      </c>
      <c r="AN310" s="38">
        <f t="shared" si="1161"/>
        <v>260.07911555343571</v>
      </c>
      <c r="AO310" s="38">
        <f t="shared" si="1115"/>
        <v>1.0000000000000016</v>
      </c>
      <c r="AP310" s="38">
        <f t="shared" si="1162"/>
        <v>2.5102967545027099</v>
      </c>
      <c r="AQ310" s="4">
        <f t="shared" si="1163"/>
        <v>0</v>
      </c>
      <c r="AR310" s="4" t="e">
        <f>#REF!/G310*F310^0.5/0.19</f>
        <v>#REF!</v>
      </c>
      <c r="AS310" s="4">
        <f t="shared" si="1234"/>
        <v>1.0247787610619468</v>
      </c>
      <c r="AT310" s="38">
        <f t="shared" si="1235"/>
        <v>652.87575968772489</v>
      </c>
      <c r="AU310" s="4">
        <f t="shared" si="1236"/>
        <v>0.3</v>
      </c>
      <c r="AV310" s="4" t="e">
        <f>AU310*D310*#REF!/(D310*G310/2.75/F310^0.5)</f>
        <v>#REF!</v>
      </c>
      <c r="AW310" s="4" t="e">
        <f t="shared" si="1068"/>
        <v>#REF!</v>
      </c>
      <c r="AY310" s="4">
        <f t="shared" si="1237"/>
        <v>1.5</v>
      </c>
      <c r="AZ310" s="4" t="e">
        <f>(3*#REF!+30)*AY310*F310^0.5</f>
        <v>#REF!</v>
      </c>
      <c r="BB310" s="4">
        <f t="shared" si="1238"/>
        <v>626.18769504329236</v>
      </c>
      <c r="BC310" s="4">
        <f t="shared" si="1275"/>
        <v>0</v>
      </c>
      <c r="BD310" s="4">
        <f t="shared" si="1069"/>
        <v>0</v>
      </c>
      <c r="BL310" s="4">
        <f t="shared" si="1239"/>
        <v>59.055000000000007</v>
      </c>
      <c r="BP310" s="9"/>
      <c r="BR310" s="9"/>
      <c r="BS310" s="9"/>
      <c r="BT310" s="9">
        <f t="shared" si="1240"/>
        <v>59.055000000000007</v>
      </c>
      <c r="BU310" s="9">
        <f t="shared" si="1241"/>
        <v>63.5</v>
      </c>
      <c r="BV310" s="9">
        <f t="shared" si="1242"/>
        <v>1.5414840534203929</v>
      </c>
      <c r="BW310" s="40">
        <f t="shared" si="1018"/>
        <v>20</v>
      </c>
      <c r="BX310" s="9">
        <f t="shared" si="1243"/>
        <v>0.05</v>
      </c>
      <c r="BY310" s="9">
        <f t="shared" si="1070"/>
        <v>0.8</v>
      </c>
      <c r="BZ310" s="9">
        <f t="shared" si="1244"/>
        <v>0.99524931562137331</v>
      </c>
      <c r="CA310" s="9">
        <f t="shared" si="1245"/>
        <v>0.68048275862068963</v>
      </c>
      <c r="CB310" s="9">
        <f t="shared" si="1246"/>
        <v>1.4492145981125171</v>
      </c>
      <c r="CC310" s="9">
        <f t="shared" si="1247"/>
        <v>3.3933128714645022</v>
      </c>
      <c r="CD310" s="40">
        <v>1</v>
      </c>
      <c r="CE310" s="9" t="e">
        <f>4*CC310*#REF!+60*CC310</f>
        <v>#REF!</v>
      </c>
      <c r="CG310" s="47" t="e">
        <f t="shared" ref="CG310" si="1303">V310/AR310</f>
        <v>#REF!</v>
      </c>
      <c r="CH310" s="47" t="e">
        <f t="shared" ref="CH310" si="1304">V310/AW310</f>
        <v>#REF!</v>
      </c>
      <c r="CI310" s="47" t="e">
        <f t="shared" ref="CI310" si="1305">V310/AZ310</f>
        <v>#REF!</v>
      </c>
      <c r="CJ310" s="47" t="e">
        <f t="shared" ref="CJ310" si="1306">V310/CE310</f>
        <v>#REF!</v>
      </c>
      <c r="CK310" s="47">
        <f t="shared" ref="CK310" si="1307">V310/DL310</f>
        <v>1.4151480032461179</v>
      </c>
      <c r="CL310" s="47">
        <f t="shared" ref="CL310" si="1308">V310/DX310</f>
        <v>1.4489801776685771</v>
      </c>
      <c r="CM310" s="47">
        <f t="shared" si="978"/>
        <v>1.3838059891279431</v>
      </c>
      <c r="CN310" s="4">
        <f t="shared" si="1019"/>
        <v>10</v>
      </c>
      <c r="CU310" s="4" t="e">
        <f t="shared" si="1297"/>
        <v>#REF!</v>
      </c>
      <c r="CV310" s="4" t="e">
        <f t="shared" si="1298"/>
        <v>#REF!</v>
      </c>
      <c r="CW310" s="4" t="e">
        <f t="shared" si="1299"/>
        <v>#REF!</v>
      </c>
      <c r="CX310" s="4">
        <f t="shared" si="1300"/>
        <v>1.3838059891279431</v>
      </c>
      <c r="CY310" s="4">
        <f t="shared" si="1301"/>
        <v>1.4151480032461179</v>
      </c>
      <c r="CZ310" s="4">
        <f t="shared" si="1302"/>
        <v>1.4489801776685771</v>
      </c>
      <c r="DC310" s="4" t="e">
        <f>#REF!</f>
        <v>#REF!</v>
      </c>
      <c r="DF310" s="4">
        <f t="shared" si="1248"/>
        <v>2.6818066492234688E-5</v>
      </c>
      <c r="DG310" s="4">
        <f t="shared" si="1083"/>
        <v>8.3519635514625126</v>
      </c>
      <c r="DH310" s="4">
        <f t="shared" si="1249"/>
        <v>0.2401563548629998</v>
      </c>
      <c r="DI310" s="4">
        <f t="shared" si="1084"/>
        <v>4.7204806706567792</v>
      </c>
      <c r="DJ310" s="4">
        <f t="shared" si="1085"/>
        <v>6.785522039015639</v>
      </c>
      <c r="DK310" s="4">
        <f t="shared" si="1250"/>
        <v>7.4491288425213469</v>
      </c>
      <c r="DL310" s="38">
        <f t="shared" si="1251"/>
        <v>630.6151660860894</v>
      </c>
      <c r="DM310" s="4" t="e">
        <f t="shared" si="1086"/>
        <v>#REF!</v>
      </c>
      <c r="DN310" s="4">
        <f t="shared" si="1252"/>
        <v>3.1780497164141401</v>
      </c>
      <c r="DO310" s="4">
        <f t="shared" ref="DO310:DO373" si="1309">MIN(DN$10*AN310)</f>
        <v>260.07911555343571</v>
      </c>
      <c r="DS310" s="4">
        <f t="shared" si="1253"/>
        <v>0.85</v>
      </c>
      <c r="DT310" s="4">
        <f t="shared" si="1254"/>
        <v>0.86749999999999994</v>
      </c>
      <c r="DU310" s="4">
        <f t="shared" si="1255"/>
        <v>0.90625</v>
      </c>
      <c r="DV310" s="4">
        <f t="shared" si="1087"/>
        <v>0.78617187499999996</v>
      </c>
      <c r="DX310" s="4">
        <f t="shared" si="1256"/>
        <v>615.89096031620716</v>
      </c>
      <c r="DY310" s="25">
        <f t="shared" si="1146"/>
        <v>258.34340067809694</v>
      </c>
      <c r="EA310" s="4">
        <f t="shared" si="1147"/>
        <v>0.66824609374999999</v>
      </c>
      <c r="EB310" s="4">
        <f t="shared" si="1257"/>
        <v>8.3519635514625126</v>
      </c>
      <c r="EE310" s="4">
        <f t="shared" si="1258"/>
        <v>80.72246279691916</v>
      </c>
      <c r="EF310" s="4">
        <f t="shared" si="1088"/>
        <v>3.1780497164141406</v>
      </c>
      <c r="EG310" s="4">
        <f t="shared" si="1259"/>
        <v>8.0286955687719583E-2</v>
      </c>
      <c r="EJ310" s="4">
        <f t="shared" si="1089"/>
        <v>8.0286955687719583E-2</v>
      </c>
      <c r="EK310" s="4">
        <f t="shared" si="1260"/>
        <v>0.2397555786657935</v>
      </c>
      <c r="EL310" s="4">
        <f t="shared" si="1090"/>
        <v>4.7173280507166124</v>
      </c>
      <c r="EM310" s="4">
        <f t="shared" si="1091"/>
        <v>6.7844325853538408</v>
      </c>
      <c r="EN310" s="4" t="e">
        <f t="shared" si="1092"/>
        <v>#REF!</v>
      </c>
      <c r="EO310" s="4" t="e">
        <f t="shared" si="1093"/>
        <v>#REF!</v>
      </c>
      <c r="EP310" s="4" t="e">
        <f t="shared" si="1261"/>
        <v>#REF!</v>
      </c>
      <c r="EQ310" s="4" t="e">
        <f t="shared" si="1094"/>
        <v>#REF!</v>
      </c>
      <c r="ER310" s="4" t="e">
        <f t="shared" si="1262"/>
        <v>#REF!</v>
      </c>
      <c r="EU310" s="4">
        <f>5.25*25.4</f>
        <v>133.35</v>
      </c>
      <c r="FA310" s="23" t="e">
        <f t="shared" si="1042"/>
        <v>#REF!</v>
      </c>
      <c r="FB310" s="23" t="e">
        <f t="shared" si="1043"/>
        <v>#REF!</v>
      </c>
      <c r="FC310" s="23">
        <f t="shared" si="981"/>
        <v>1.4</v>
      </c>
      <c r="FD310" s="23" t="e">
        <f t="shared" si="1044"/>
        <v>#REF!</v>
      </c>
      <c r="FE310" s="23">
        <f t="shared" si="1045"/>
        <v>1.6</v>
      </c>
      <c r="FF310" s="23">
        <f t="shared" si="1046"/>
        <v>1.6</v>
      </c>
      <c r="FG310" s="23">
        <f t="shared" si="1266"/>
        <v>0</v>
      </c>
      <c r="FH310" s="23"/>
      <c r="FR310" s="4">
        <f t="shared" si="1122"/>
        <v>1</v>
      </c>
      <c r="FS310" s="4">
        <f t="shared" si="1123"/>
        <v>0.54557377049180322</v>
      </c>
      <c r="FT310" s="4">
        <f t="shared" si="1124"/>
        <v>0.28124999999999994</v>
      </c>
      <c r="FU310" s="4">
        <f t="shared" si="1125"/>
        <v>644.89805660245497</v>
      </c>
    </row>
    <row r="311" spans="2:177" ht="12" customHeight="1" x14ac:dyDescent="0.3">
      <c r="B311" s="24"/>
      <c r="C311" s="7" t="s">
        <v>448</v>
      </c>
      <c r="D311" s="38">
        <f>120/0.145</f>
        <v>827.58620689655174</v>
      </c>
      <c r="E311" s="38">
        <f>14.3*25.4</f>
        <v>363.21999999999997</v>
      </c>
      <c r="F311" s="38">
        <f>5570/145</f>
        <v>38.413793103448278</v>
      </c>
      <c r="G311" s="38">
        <f t="shared" si="1016"/>
        <v>25.4</v>
      </c>
      <c r="H311" s="38">
        <f>17.3*25.4</f>
        <v>439.42</v>
      </c>
      <c r="I311" s="38">
        <f>2.5*25.4</f>
        <v>63.5</v>
      </c>
      <c r="J311" s="39">
        <f>3.4*25.4</f>
        <v>86.36</v>
      </c>
      <c r="K311" s="7">
        <f t="shared" si="986"/>
        <v>70.273333333333355</v>
      </c>
      <c r="L311" s="38">
        <v>4</v>
      </c>
      <c r="M311" s="4">
        <f t="shared" si="1028"/>
        <v>260.34999999999997</v>
      </c>
      <c r="N311" s="7">
        <f t="shared" si="1224"/>
        <v>1.8833333333333337</v>
      </c>
      <c r="O311" s="7">
        <f t="shared" si="1225"/>
        <v>3</v>
      </c>
      <c r="P311" s="38">
        <v>9.5</v>
      </c>
      <c r="Q311" s="4">
        <f t="shared" si="1017"/>
        <v>9.5</v>
      </c>
      <c r="R311" s="4">
        <f t="shared" si="1226"/>
        <v>10.5</v>
      </c>
      <c r="S311" s="7">
        <f t="shared" si="1227"/>
        <v>82.305406869779816</v>
      </c>
      <c r="V311" s="38">
        <f t="shared" si="1054"/>
        <v>531.0344827586207</v>
      </c>
      <c r="W311" s="4">
        <v>77</v>
      </c>
      <c r="X311" s="4">
        <f t="shared" si="1228"/>
        <v>1.0695354015578697</v>
      </c>
      <c r="Y311" s="38"/>
      <c r="Z311" s="38"/>
      <c r="AA311" s="39">
        <v>1</v>
      </c>
      <c r="AB311" s="39"/>
      <c r="AC311" s="39"/>
      <c r="AD311" s="7"/>
      <c r="AE311" s="4">
        <f t="shared" si="1229"/>
        <v>363.21999999999997</v>
      </c>
      <c r="AF311" s="4">
        <f t="shared" si="1230"/>
        <v>0.40326340326340332</v>
      </c>
      <c r="AG311" s="4">
        <f t="shared" si="1231"/>
        <v>211.68053362794402</v>
      </c>
      <c r="AH311" s="4">
        <f t="shared" si="1232"/>
        <v>0.74195804195804194</v>
      </c>
      <c r="AI311" s="4">
        <v>1.25</v>
      </c>
      <c r="AJ311" s="4">
        <f t="shared" si="1154"/>
        <v>2.5</v>
      </c>
      <c r="AK311" s="38">
        <f t="shared" si="988"/>
        <v>197.92429228920125</v>
      </c>
      <c r="AL311" s="38">
        <f t="shared" si="1264"/>
        <v>197.92429228920125</v>
      </c>
      <c r="AM311" s="38">
        <f t="shared" si="1233"/>
        <v>3.4154351999890475</v>
      </c>
      <c r="AN311" s="38">
        <f t="shared" si="1161"/>
        <v>197.92429228920113</v>
      </c>
      <c r="AO311" s="38">
        <f t="shared" si="1115"/>
        <v>1.0000000000000007</v>
      </c>
      <c r="AP311" s="38">
        <f t="shared" si="1162"/>
        <v>2.7876343767825564</v>
      </c>
      <c r="AQ311" s="4">
        <f t="shared" si="1163"/>
        <v>0</v>
      </c>
      <c r="AR311" s="4" t="e">
        <f>#REF!/G311*F311^0.5/0.19</f>
        <v>#REF!</v>
      </c>
      <c r="AS311" s="4">
        <f t="shared" si="1234"/>
        <v>1.2371681415929201</v>
      </c>
      <c r="AT311" s="38">
        <f t="shared" si="1235"/>
        <v>551.74056118573571</v>
      </c>
      <c r="AU311" s="4">
        <f t="shared" si="1236"/>
        <v>0.3</v>
      </c>
      <c r="AV311" s="4" t="e">
        <f>AU311*D311*#REF!/(D311*G311/2.75/F311^0.5)</f>
        <v>#REF!</v>
      </c>
      <c r="AW311" s="4" t="e">
        <f t="shared" si="1068"/>
        <v>#REF!</v>
      </c>
      <c r="AY311" s="4">
        <f t="shared" si="1237"/>
        <v>1.375</v>
      </c>
      <c r="AZ311" s="4" t="e">
        <f>(3*#REF!+30)*AY311*F311^0.5</f>
        <v>#REF!</v>
      </c>
      <c r="BB311" s="4">
        <f t="shared" si="1238"/>
        <v>529.18667165103545</v>
      </c>
      <c r="BC311" s="4">
        <f t="shared" si="1275"/>
        <v>0</v>
      </c>
      <c r="BD311" s="4">
        <f t="shared" si="1069"/>
        <v>0</v>
      </c>
      <c r="BL311" s="4">
        <f t="shared" si="1239"/>
        <v>35.136666666666677</v>
      </c>
      <c r="BP311" s="9"/>
      <c r="BR311" s="9"/>
      <c r="BS311" s="9"/>
      <c r="BT311" s="9">
        <f t="shared" si="1240"/>
        <v>35.136666666666677</v>
      </c>
      <c r="BU311" s="9">
        <f t="shared" si="1241"/>
        <v>63.5</v>
      </c>
      <c r="BV311" s="9">
        <f t="shared" si="1242"/>
        <v>1.2853322249291921</v>
      </c>
      <c r="BW311" s="40">
        <f t="shared" si="1018"/>
        <v>0</v>
      </c>
      <c r="BX311" s="9">
        <f t="shared" si="1243"/>
        <v>0</v>
      </c>
      <c r="BY311" s="9">
        <f t="shared" si="1070"/>
        <v>0</v>
      </c>
      <c r="BZ311" s="9">
        <f t="shared" si="1244"/>
        <v>0.99524931562137331</v>
      </c>
      <c r="CA311" s="9">
        <f t="shared" si="1245"/>
        <v>0.68</v>
      </c>
      <c r="CB311" s="9">
        <f t="shared" si="1246"/>
        <v>1.4680891910501142</v>
      </c>
      <c r="CC311" s="9">
        <f t="shared" si="1247"/>
        <v>1.8869823463269411</v>
      </c>
      <c r="CD311" s="40">
        <v>1</v>
      </c>
      <c r="CE311" s="9" t="e">
        <f>4*CC311*#REF!+60*CC311</f>
        <v>#REF!</v>
      </c>
      <c r="CG311" s="4" t="e">
        <f t="shared" si="1071"/>
        <v>#REF!</v>
      </c>
      <c r="CH311" s="4" t="e">
        <f t="shared" si="1072"/>
        <v>#REF!</v>
      </c>
      <c r="CI311" s="4" t="e">
        <f t="shared" si="1073"/>
        <v>#REF!</v>
      </c>
      <c r="CJ311" s="4" t="e">
        <f t="shared" si="1074"/>
        <v>#REF!</v>
      </c>
      <c r="CK311" s="4">
        <f t="shared" si="1075"/>
        <v>1.0695354015578697</v>
      </c>
      <c r="CL311" s="4">
        <f t="shared" si="1076"/>
        <v>1.0759579072343315</v>
      </c>
      <c r="CM311" s="4">
        <f t="shared" ref="CM311:CM374" si="1310">V311/FU311</f>
        <v>1.2756690101615786</v>
      </c>
      <c r="CN311" s="4">
        <f t="shared" si="1019"/>
        <v>0</v>
      </c>
      <c r="CO311" s="4" t="e">
        <f t="shared" ref="CO311:CO312" si="1311">CG311</f>
        <v>#REF!</v>
      </c>
      <c r="CP311" s="4" t="e">
        <f t="shared" ref="CP311:CP312" si="1312">CH311</f>
        <v>#REF!</v>
      </c>
      <c r="CQ311" s="4" t="e">
        <f t="shared" ref="CQ311:CQ312" si="1313">CJ311</f>
        <v>#REF!</v>
      </c>
      <c r="CR311" s="4">
        <f t="shared" ref="CR311:CR312" si="1314">CM311</f>
        <v>1.2756690101615786</v>
      </c>
      <c r="CS311" s="4">
        <f t="shared" ref="CS311:CS312" si="1315">CK311</f>
        <v>1.0695354015578697</v>
      </c>
      <c r="CT311" s="4">
        <f t="shared" ref="CT311:CT312" si="1316">CL311</f>
        <v>1.0759579072343315</v>
      </c>
      <c r="DC311" s="4" t="e">
        <f>#REF!</f>
        <v>#REF!</v>
      </c>
      <c r="DF311" s="4">
        <f t="shared" si="1248"/>
        <v>2.7061692465979089E-5</v>
      </c>
      <c r="DG311" s="4">
        <f t="shared" si="1083"/>
        <v>6.9216476088847125</v>
      </c>
      <c r="DH311" s="4">
        <f t="shared" si="1249"/>
        <v>0.17369349153752631</v>
      </c>
      <c r="DI311" s="4">
        <f t="shared" si="1084"/>
        <v>3.4365518677646003</v>
      </c>
      <c r="DJ311" s="4">
        <f t="shared" si="1085"/>
        <v>5.4673078774981922</v>
      </c>
      <c r="DK311" s="4">
        <f t="shared" si="1250"/>
        <v>6.3188322805754371</v>
      </c>
      <c r="DL311" s="38">
        <f t="shared" si="1251"/>
        <v>496.50949560446861</v>
      </c>
      <c r="DM311" s="4" t="e">
        <f t="shared" si="1086"/>
        <v>#REF!</v>
      </c>
      <c r="DN311" s="4">
        <f t="shared" si="1252"/>
        <v>3.2403703492039297</v>
      </c>
      <c r="DO311" s="4">
        <f t="shared" si="1309"/>
        <v>197.92429228920113</v>
      </c>
      <c r="DS311" s="4">
        <f t="shared" si="1253"/>
        <v>0.85</v>
      </c>
      <c r="DT311" s="4">
        <f t="shared" si="1254"/>
        <v>0.96166666666666667</v>
      </c>
      <c r="DU311" s="4">
        <f t="shared" si="1255"/>
        <v>1</v>
      </c>
      <c r="DV311" s="4">
        <f t="shared" si="1087"/>
        <v>0.96166666666666667</v>
      </c>
      <c r="DX311" s="4">
        <f t="shared" si="1256"/>
        <v>493.54577831358176</v>
      </c>
      <c r="DY311" s="25">
        <f t="shared" si="1146"/>
        <v>196.60709589242757</v>
      </c>
      <c r="EA311" s="4">
        <f t="shared" si="1147"/>
        <v>0.81741666666666668</v>
      </c>
      <c r="EB311" s="4">
        <f t="shared" si="1257"/>
        <v>6.9216476088847125</v>
      </c>
      <c r="EE311" s="4">
        <f t="shared" si="1258"/>
        <v>82.305406869779816</v>
      </c>
      <c r="EF311" s="4">
        <f t="shared" si="1088"/>
        <v>3.2403703492039302</v>
      </c>
      <c r="EG311" s="4">
        <f t="shared" si="1259"/>
        <v>5.886571279488545E-2</v>
      </c>
      <c r="EJ311" s="4">
        <f t="shared" si="1089"/>
        <v>5.886571279488545E-2</v>
      </c>
      <c r="EK311" s="4">
        <f t="shared" si="1260"/>
        <v>0.17340362947221644</v>
      </c>
      <c r="EL311" s="4">
        <f t="shared" si="1090"/>
        <v>3.4342567324384294</v>
      </c>
      <c r="EM311" s="4">
        <f t="shared" si="1091"/>
        <v>5.466595351127526</v>
      </c>
      <c r="EN311" s="4" t="e">
        <f t="shared" si="1092"/>
        <v>#REF!</v>
      </c>
      <c r="EO311" s="4" t="e">
        <f t="shared" si="1093"/>
        <v>#REF!</v>
      </c>
      <c r="EP311" s="4" t="e">
        <f t="shared" si="1261"/>
        <v>#REF!</v>
      </c>
      <c r="EQ311" s="4" t="e">
        <f t="shared" si="1094"/>
        <v>#REF!</v>
      </c>
      <c r="ER311" s="4" t="e">
        <f t="shared" si="1262"/>
        <v>#REF!</v>
      </c>
      <c r="FA311" s="23" t="e">
        <f t="shared" si="1042"/>
        <v>#REF!</v>
      </c>
      <c r="FB311" s="23" t="e">
        <f t="shared" si="1043"/>
        <v>#REF!</v>
      </c>
      <c r="FC311" s="23">
        <f t="shared" ref="FC311:FC374" si="1317">IF(CM311&lt;0.6,0.6,IF(CM311&lt;0.8,0.8,IF(CM311&lt;1,1,IF(CM311&lt;1.2,1.2,IF(CM311&lt;1.4,1.4,IF(CM311&lt;1.6,1.6,IF(CM311&lt;1.8,1.8,IF(CM311&lt;2,2,2.2))))))))</f>
        <v>1.4</v>
      </c>
      <c r="FD311" s="23" t="e">
        <f t="shared" si="1044"/>
        <v>#REF!</v>
      </c>
      <c r="FE311" s="23">
        <f t="shared" si="1045"/>
        <v>1.2</v>
      </c>
      <c r="FF311" s="23">
        <f t="shared" si="1046"/>
        <v>1.2</v>
      </c>
      <c r="FG311" s="23">
        <f t="shared" si="1266"/>
        <v>0</v>
      </c>
      <c r="FH311" s="23"/>
      <c r="FR311" s="4">
        <f t="shared" si="1122"/>
        <v>1</v>
      </c>
      <c r="FS311" s="4">
        <f t="shared" si="1123"/>
        <v>0.85277777777777763</v>
      </c>
      <c r="FT311" s="4">
        <f t="shared" si="1124"/>
        <v>0</v>
      </c>
      <c r="FU311" s="4">
        <f t="shared" si="1125"/>
        <v>416.27920607035742</v>
      </c>
    </row>
    <row r="312" spans="2:177" ht="12" customHeight="1" x14ac:dyDescent="0.3">
      <c r="B312" s="24"/>
      <c r="C312" s="48" t="s">
        <v>449</v>
      </c>
      <c r="D312" s="38">
        <f>115.9/0.145</f>
        <v>799.31034482758628</v>
      </c>
      <c r="E312" s="38">
        <f>14.06*25.4</f>
        <v>357.12399999999997</v>
      </c>
      <c r="F312" s="38">
        <f>5570/145</f>
        <v>38.413793103448278</v>
      </c>
      <c r="G312" s="38">
        <f t="shared" si="1016"/>
        <v>25.4</v>
      </c>
      <c r="H312" s="38">
        <f>16.8*25.4</f>
        <v>426.71999999999997</v>
      </c>
      <c r="I312" s="38">
        <f>2.45*25.4</f>
        <v>62.230000000000004</v>
      </c>
      <c r="J312" s="39">
        <f t="shared" ref="J312" si="1318">3.4*25.4</f>
        <v>86.36</v>
      </c>
      <c r="K312" s="7">
        <f t="shared" si="986"/>
        <v>66.88666666666667</v>
      </c>
      <c r="L312" s="38">
        <v>4</v>
      </c>
      <c r="M312" s="4">
        <f t="shared" si="1028"/>
        <v>260.34999999999997</v>
      </c>
      <c r="N312" s="7">
        <f t="shared" si="1224"/>
        <v>1.8166666666666669</v>
      </c>
      <c r="O312" s="7">
        <f t="shared" si="1225"/>
        <v>2.95</v>
      </c>
      <c r="P312" s="38">
        <v>9.1</v>
      </c>
      <c r="Q312" s="4">
        <f t="shared" si="1017"/>
        <v>9.1</v>
      </c>
      <c r="R312" s="4">
        <f t="shared" si="1226"/>
        <v>10.1</v>
      </c>
      <c r="S312" s="7">
        <f t="shared" si="1227"/>
        <v>80.72246279691916</v>
      </c>
      <c r="V312" s="38">
        <f t="shared" si="1054"/>
        <v>534.48275862068965</v>
      </c>
      <c r="W312" s="4">
        <v>77.5</v>
      </c>
      <c r="X312" s="4">
        <f t="shared" si="1228"/>
        <v>1.1086028706787405</v>
      </c>
      <c r="Y312" s="38"/>
      <c r="Z312" s="38"/>
      <c r="AA312" s="39">
        <v>1</v>
      </c>
      <c r="AB312" s="39"/>
      <c r="AC312" s="39"/>
      <c r="AD312" s="7"/>
      <c r="AE312" s="4">
        <f t="shared" si="1229"/>
        <v>357.12399999999997</v>
      </c>
      <c r="AF312" s="4">
        <f t="shared" si="1230"/>
        <v>0.39829302987197723</v>
      </c>
      <c r="AG312" s="4">
        <f t="shared" si="1231"/>
        <v>206.37393566831358</v>
      </c>
      <c r="AH312" s="4">
        <f t="shared" si="1232"/>
        <v>0.74196301564722611</v>
      </c>
      <c r="AI312" s="4">
        <v>1.25</v>
      </c>
      <c r="AJ312" s="4">
        <f t="shared" si="1154"/>
        <v>2.5</v>
      </c>
      <c r="AK312" s="38">
        <f t="shared" si="988"/>
        <v>190.58548961880157</v>
      </c>
      <c r="AL312" s="38">
        <f t="shared" si="1264"/>
        <v>190.58548961880157</v>
      </c>
      <c r="AM312" s="38">
        <f t="shared" si="1233"/>
        <v>3.4154351999890475</v>
      </c>
      <c r="AN312" s="38">
        <f t="shared" si="1161"/>
        <v>190.58548961880146</v>
      </c>
      <c r="AO312" s="38">
        <f t="shared" si="1115"/>
        <v>1.0000000000000007</v>
      </c>
      <c r="AP312" s="38">
        <f t="shared" si="1162"/>
        <v>2.7604120194863326</v>
      </c>
      <c r="AQ312" s="4">
        <f t="shared" si="1163"/>
        <v>0</v>
      </c>
      <c r="AR312" s="4" t="e">
        <f>#REF!/G312*F312^0.5/0.19</f>
        <v>#REF!</v>
      </c>
      <c r="AS312" s="4">
        <f t="shared" si="1234"/>
        <v>1.2495412844036697</v>
      </c>
      <c r="AT312" s="38">
        <f t="shared" si="1235"/>
        <v>526.09447628342718</v>
      </c>
      <c r="AU312" s="4">
        <f t="shared" si="1236"/>
        <v>0.3</v>
      </c>
      <c r="AV312" s="4" t="e">
        <f>AU312*D312*#REF!/(D312*G312/2.75/F312^0.5)</f>
        <v>#REF!</v>
      </c>
      <c r="AW312" s="4" t="e">
        <f t="shared" si="1068"/>
        <v>#REF!</v>
      </c>
      <c r="AY312" s="4">
        <f t="shared" si="1237"/>
        <v>1.3625</v>
      </c>
      <c r="AZ312" s="4" t="e">
        <f>(3*#REF!+30)*AY312*F312^0.5</f>
        <v>#REF!</v>
      </c>
      <c r="BB312" s="4">
        <f t="shared" si="1238"/>
        <v>504.58893991790706</v>
      </c>
      <c r="BC312" s="4">
        <f t="shared" si="1275"/>
        <v>0</v>
      </c>
      <c r="BD312" s="4">
        <f t="shared" si="1069"/>
        <v>0</v>
      </c>
      <c r="BL312" s="4">
        <f t="shared" si="1239"/>
        <v>33.443333333333335</v>
      </c>
      <c r="BP312" s="9"/>
      <c r="BR312" s="9"/>
      <c r="BS312" s="9"/>
      <c r="BT312" s="9">
        <f t="shared" si="1240"/>
        <v>33.443333333333335</v>
      </c>
      <c r="BU312" s="9">
        <f t="shared" si="1241"/>
        <v>62.230000000000004</v>
      </c>
      <c r="BV312" s="9">
        <f t="shared" si="1242"/>
        <v>1.2594805263392668</v>
      </c>
      <c r="BW312" s="40">
        <f t="shared" si="1018"/>
        <v>0</v>
      </c>
      <c r="BX312" s="9">
        <f t="shared" si="1243"/>
        <v>0</v>
      </c>
      <c r="BY312" s="9">
        <f t="shared" si="1070"/>
        <v>0</v>
      </c>
      <c r="BZ312" s="9">
        <f t="shared" si="1244"/>
        <v>0.99524931562137331</v>
      </c>
      <c r="CA312" s="9">
        <f t="shared" si="1245"/>
        <v>0.68048275862068963</v>
      </c>
      <c r="CB312" s="9">
        <f t="shared" si="1246"/>
        <v>1.4691314450397035</v>
      </c>
      <c r="CC312" s="9">
        <f t="shared" si="1247"/>
        <v>1.8503424456601734</v>
      </c>
      <c r="CD312" s="40">
        <v>1</v>
      </c>
      <c r="CE312" s="9" t="e">
        <f>4*CC312*#REF!+60*CC312</f>
        <v>#REF!</v>
      </c>
      <c r="CG312" s="4" t="e">
        <f t="shared" si="1071"/>
        <v>#REF!</v>
      </c>
      <c r="CH312" s="4" t="e">
        <f t="shared" si="1072"/>
        <v>#REF!</v>
      </c>
      <c r="CI312" s="4" t="e">
        <f t="shared" si="1073"/>
        <v>#REF!</v>
      </c>
      <c r="CJ312" s="4" t="e">
        <f t="shared" si="1074"/>
        <v>#REF!</v>
      </c>
      <c r="CK312" s="4">
        <f t="shared" si="1075"/>
        <v>1.1086028706787405</v>
      </c>
      <c r="CL312" s="4">
        <f t="shared" si="1076"/>
        <v>1.1152914305964363</v>
      </c>
      <c r="CM312" s="4">
        <f t="shared" si="1310"/>
        <v>1.6536048066223732</v>
      </c>
      <c r="CN312" s="4">
        <f t="shared" si="1019"/>
        <v>0</v>
      </c>
      <c r="CO312" s="4" t="e">
        <f t="shared" si="1311"/>
        <v>#REF!</v>
      </c>
      <c r="CP312" s="4" t="e">
        <f t="shared" si="1312"/>
        <v>#REF!</v>
      </c>
      <c r="CQ312" s="4" t="e">
        <f t="shared" si="1313"/>
        <v>#REF!</v>
      </c>
      <c r="CR312" s="4">
        <f t="shared" si="1314"/>
        <v>1.6536048066223732</v>
      </c>
      <c r="CS312" s="4">
        <f t="shared" si="1315"/>
        <v>1.1086028706787405</v>
      </c>
      <c r="CT312" s="4">
        <f t="shared" si="1316"/>
        <v>1.1152914305964363</v>
      </c>
      <c r="DC312" s="4" t="e">
        <f>#REF!</f>
        <v>#REF!</v>
      </c>
      <c r="DF312" s="4">
        <f t="shared" si="1248"/>
        <v>2.6607510214801819E-5</v>
      </c>
      <c r="DG312" s="4">
        <f t="shared" si="1083"/>
        <v>6.8739942690645091</v>
      </c>
      <c r="DH312" s="4">
        <f t="shared" si="1249"/>
        <v>0.17124682457055751</v>
      </c>
      <c r="DI312" s="4">
        <f t="shared" si="1084"/>
        <v>3.3935806633934544</v>
      </c>
      <c r="DJ312" s="4">
        <f t="shared" si="1085"/>
        <v>5.4236847619002306</v>
      </c>
      <c r="DK312" s="4">
        <f t="shared" si="1250"/>
        <v>6.299673463001727</v>
      </c>
      <c r="DL312" s="38">
        <f t="shared" si="1251"/>
        <v>482.12283474735489</v>
      </c>
      <c r="DM312" s="4" t="e">
        <f t="shared" si="1086"/>
        <v>#REF!</v>
      </c>
      <c r="DN312" s="4">
        <f t="shared" si="1252"/>
        <v>3.1780497164141401</v>
      </c>
      <c r="DO312" s="4">
        <f t="shared" si="1309"/>
        <v>190.58548961880146</v>
      </c>
      <c r="DS312" s="4">
        <f t="shared" si="1253"/>
        <v>0.85</v>
      </c>
      <c r="DT312" s="4">
        <f t="shared" si="1254"/>
        <v>0.96833333333333327</v>
      </c>
      <c r="DU312" s="4">
        <f t="shared" si="1255"/>
        <v>1</v>
      </c>
      <c r="DV312" s="4">
        <f t="shared" si="1087"/>
        <v>0.96833333333333327</v>
      </c>
      <c r="DX312" s="4">
        <f t="shared" si="1256"/>
        <v>479.23147614866775</v>
      </c>
      <c r="DY312" s="25">
        <f t="shared" si="1146"/>
        <v>189.28639787952685</v>
      </c>
      <c r="EA312" s="4">
        <f t="shared" si="1147"/>
        <v>0.82308333333333328</v>
      </c>
      <c r="EB312" s="4">
        <f t="shared" si="1257"/>
        <v>6.8739942690645091</v>
      </c>
      <c r="EE312" s="4">
        <f t="shared" si="1258"/>
        <v>80.72246279691916</v>
      </c>
      <c r="EF312" s="4">
        <f t="shared" si="1088"/>
        <v>3.1780497164141406</v>
      </c>
      <c r="EG312" s="4">
        <f t="shared" si="1259"/>
        <v>5.8036523435471804E-2</v>
      </c>
      <c r="EJ312" s="4">
        <f t="shared" si="1089"/>
        <v>5.8036523435471804E-2</v>
      </c>
      <c r="EK312" s="4">
        <f t="shared" si="1260"/>
        <v>0.17096104553641872</v>
      </c>
      <c r="EL312" s="4">
        <f t="shared" si="1090"/>
        <v>3.391314226813281</v>
      </c>
      <c r="EM312" s="4">
        <f t="shared" si="1091"/>
        <v>5.4229845716603329</v>
      </c>
      <c r="EN312" s="4" t="e">
        <f t="shared" si="1092"/>
        <v>#REF!</v>
      </c>
      <c r="EO312" s="4" t="e">
        <f t="shared" si="1093"/>
        <v>#REF!</v>
      </c>
      <c r="EP312" s="4" t="e">
        <f t="shared" si="1261"/>
        <v>#REF!</v>
      </c>
      <c r="EQ312" s="4" t="e">
        <f t="shared" si="1094"/>
        <v>#REF!</v>
      </c>
      <c r="ER312" s="4" t="e">
        <f t="shared" si="1262"/>
        <v>#REF!</v>
      </c>
      <c r="EU312" s="4">
        <f>5.25*25.4</f>
        <v>133.35</v>
      </c>
      <c r="FA312" s="23" t="e">
        <f t="shared" si="1042"/>
        <v>#REF!</v>
      </c>
      <c r="FB312" s="23" t="e">
        <f t="shared" si="1043"/>
        <v>#REF!</v>
      </c>
      <c r="FC312" s="23">
        <f t="shared" si="1317"/>
        <v>1.8</v>
      </c>
      <c r="FD312" s="23" t="e">
        <f t="shared" si="1044"/>
        <v>#REF!</v>
      </c>
      <c r="FE312" s="23">
        <f t="shared" si="1045"/>
        <v>1.2</v>
      </c>
      <c r="FF312" s="23">
        <f t="shared" si="1046"/>
        <v>1.2</v>
      </c>
      <c r="FG312" s="23">
        <f t="shared" si="1266"/>
        <v>0</v>
      </c>
      <c r="FH312" s="23"/>
      <c r="FR312" s="4">
        <f t="shared" si="1122"/>
        <v>1.25</v>
      </c>
      <c r="FS312" s="4">
        <f t="shared" si="1123"/>
        <v>0.86388888888888893</v>
      </c>
      <c r="FT312" s="4">
        <f t="shared" si="1124"/>
        <v>0</v>
      </c>
      <c r="FU312" s="4">
        <f t="shared" si="1125"/>
        <v>323.22278967755034</v>
      </c>
    </row>
    <row r="313" spans="2:177" ht="12" customHeight="1" x14ac:dyDescent="0.3">
      <c r="B313" s="24"/>
      <c r="C313" s="7" t="s">
        <v>450</v>
      </c>
      <c r="D313" s="38">
        <f>120/0.145</f>
        <v>827.58620689655174</v>
      </c>
      <c r="E313" s="38">
        <f>14.5*25.4</f>
        <v>368.29999999999995</v>
      </c>
      <c r="F313" s="38">
        <f>5570/145</f>
        <v>38.413793103448278</v>
      </c>
      <c r="G313" s="38">
        <f t="shared" si="1016"/>
        <v>25.4</v>
      </c>
      <c r="H313" s="38">
        <f>17.1*25.4</f>
        <v>434.34000000000003</v>
      </c>
      <c r="I313" s="38">
        <f>2.45*25.4</f>
        <v>62.230000000000004</v>
      </c>
      <c r="J313" s="39">
        <f>3.1*25.4</f>
        <v>78.739999999999995</v>
      </c>
      <c r="K313" s="7">
        <f t="shared" si="986"/>
        <v>69.426666666666662</v>
      </c>
      <c r="L313" s="38">
        <v>4</v>
      </c>
      <c r="M313" s="4">
        <f t="shared" si="1028"/>
        <v>260.34999999999997</v>
      </c>
      <c r="N313" s="7">
        <f t="shared" si="1224"/>
        <v>1.8666666666666667</v>
      </c>
      <c r="O313" s="7">
        <f t="shared" si="1225"/>
        <v>2.95</v>
      </c>
      <c r="P313" s="38">
        <v>9.5</v>
      </c>
      <c r="Q313" s="4">
        <f t="shared" si="1017"/>
        <v>9.5</v>
      </c>
      <c r="R313" s="4">
        <f t="shared" si="1226"/>
        <v>10.5</v>
      </c>
      <c r="S313" s="7">
        <f t="shared" si="1227"/>
        <v>82.305406869779816</v>
      </c>
      <c r="V313" s="38">
        <f t="shared" si="1054"/>
        <v>671.0344827586207</v>
      </c>
      <c r="W313" s="4">
        <v>97.3</v>
      </c>
      <c r="X313" s="4">
        <f t="shared" si="1228"/>
        <v>1.2682678827222702</v>
      </c>
      <c r="Y313" s="38">
        <f>0.375*25.4</f>
        <v>9.5249999999999986</v>
      </c>
      <c r="Z313" s="38">
        <v>10</v>
      </c>
      <c r="AA313" s="39">
        <f t="shared" ref="AA313:AA314" si="1319">3*25.4</f>
        <v>76.199999999999989</v>
      </c>
      <c r="AB313" s="39">
        <v>3</v>
      </c>
      <c r="AC313" s="39">
        <f>AB313-1</f>
        <v>2</v>
      </c>
      <c r="AD313" s="7"/>
      <c r="AE313" s="4">
        <f t="shared" si="1229"/>
        <v>368.29999999999995</v>
      </c>
      <c r="AF313" s="4">
        <f t="shared" si="1230"/>
        <v>0.39310344827586224</v>
      </c>
      <c r="AG313" s="4">
        <f t="shared" si="1231"/>
        <v>216.13687542656675</v>
      </c>
      <c r="AH313" s="4">
        <f t="shared" si="1232"/>
        <v>0.74068965517241381</v>
      </c>
      <c r="AI313" s="4">
        <v>1.25</v>
      </c>
      <c r="AJ313" s="4">
        <f t="shared" si="1154"/>
        <v>2.5</v>
      </c>
      <c r="AK313" s="38">
        <f t="shared" si="988"/>
        <v>196.66271165076645</v>
      </c>
      <c r="AL313" s="38">
        <f t="shared" si="1264"/>
        <v>196.66271165076645</v>
      </c>
      <c r="AM313" s="38">
        <f t="shared" si="1233"/>
        <v>3.4154351999890475</v>
      </c>
      <c r="AN313" s="38">
        <f t="shared" si="1161"/>
        <v>196.66271165076645</v>
      </c>
      <c r="AO313" s="38">
        <f t="shared" si="1115"/>
        <v>1</v>
      </c>
      <c r="AP313" s="38">
        <f t="shared" si="1162"/>
        <v>2.7693943650562476</v>
      </c>
      <c r="AQ313" s="4">
        <f t="shared" si="1163"/>
        <v>0</v>
      </c>
      <c r="AR313" s="4" t="e">
        <f>#REF!/G313*F313^0.5/0.19</f>
        <v>#REF!</v>
      </c>
      <c r="AS313" s="4">
        <f t="shared" si="1234"/>
        <v>1.2321428571428572</v>
      </c>
      <c r="AT313" s="38">
        <f t="shared" si="1235"/>
        <v>544.63660546231426</v>
      </c>
      <c r="AU313" s="4">
        <f t="shared" si="1236"/>
        <v>0.3</v>
      </c>
      <c r="AV313" s="4" t="e">
        <f>AU313*D313*#REF!/(D313*G313/2.75/F313^0.5)</f>
        <v>#REF!</v>
      </c>
      <c r="AW313" s="4" t="e">
        <f t="shared" si="1068"/>
        <v>#REF!</v>
      </c>
      <c r="AY313" s="4">
        <f t="shared" si="1237"/>
        <v>1.5</v>
      </c>
      <c r="AZ313" s="4" t="e">
        <f>(3*#REF!+30)*AY313*F313^0.5</f>
        <v>#REF!</v>
      </c>
      <c r="BB313" s="4">
        <f t="shared" si="1238"/>
        <v>522.37310935509947</v>
      </c>
      <c r="BC313" s="4">
        <f t="shared" si="1275"/>
        <v>0</v>
      </c>
      <c r="BD313" s="4">
        <f t="shared" si="1069"/>
        <v>0</v>
      </c>
      <c r="BL313" s="4">
        <f t="shared" si="1239"/>
        <v>34.713333333333331</v>
      </c>
      <c r="BP313" s="9"/>
      <c r="BR313" s="9"/>
      <c r="BS313" s="9"/>
      <c r="BT313" s="9">
        <f t="shared" si="1240"/>
        <v>34.713333333333331</v>
      </c>
      <c r="BU313" s="9">
        <f t="shared" si="1241"/>
        <v>62.230000000000004</v>
      </c>
      <c r="BV313" s="9">
        <f t="shared" si="1242"/>
        <v>1.2760180664066267</v>
      </c>
      <c r="BW313" s="40">
        <f t="shared" si="1018"/>
        <v>20</v>
      </c>
      <c r="BX313" s="9">
        <f t="shared" si="1243"/>
        <v>0.05</v>
      </c>
      <c r="BY313" s="9">
        <f t="shared" si="1070"/>
        <v>0.8</v>
      </c>
      <c r="BZ313" s="9">
        <f t="shared" si="1244"/>
        <v>0.99524931562137331</v>
      </c>
      <c r="CA313" s="9">
        <f t="shared" si="1245"/>
        <v>0.68</v>
      </c>
      <c r="CB313" s="9">
        <f t="shared" si="1246"/>
        <v>1.4680891910501142</v>
      </c>
      <c r="CC313" s="9">
        <f t="shared" si="1247"/>
        <v>3.0477796837163269</v>
      </c>
      <c r="CD313" s="40">
        <v>1</v>
      </c>
      <c r="CE313" s="9" t="e">
        <f>4*CC313*#REF!+60*CC313</f>
        <v>#REF!</v>
      </c>
      <c r="CG313" s="4" t="e">
        <f t="shared" si="1071"/>
        <v>#REF!</v>
      </c>
      <c r="CH313" s="4" t="e">
        <f t="shared" si="1072"/>
        <v>#REF!</v>
      </c>
      <c r="CI313" s="4" t="e">
        <f t="shared" si="1073"/>
        <v>#REF!</v>
      </c>
      <c r="CJ313" s="4" t="e">
        <f t="shared" si="1074"/>
        <v>#REF!</v>
      </c>
      <c r="CK313" s="4">
        <f t="shared" si="1075"/>
        <v>1.2682678827222702</v>
      </c>
      <c r="CL313" s="4">
        <f t="shared" si="1076"/>
        <v>1.2732119156908908</v>
      </c>
      <c r="CM313" s="4">
        <f t="shared" si="1310"/>
        <v>1.5219922977142373</v>
      </c>
      <c r="CN313" s="4">
        <f t="shared" si="1019"/>
        <v>10</v>
      </c>
      <c r="CU313" s="4" t="e">
        <f t="shared" ref="CU313:CU314" si="1320">CG313</f>
        <v>#REF!</v>
      </c>
      <c r="CV313" s="4" t="e">
        <f t="shared" ref="CV313:CV314" si="1321">CH313</f>
        <v>#REF!</v>
      </c>
      <c r="CW313" s="4" t="e">
        <f t="shared" ref="CW313:CW314" si="1322">CJ313</f>
        <v>#REF!</v>
      </c>
      <c r="CX313" s="4">
        <f t="shared" ref="CX313:CX314" si="1323">CM313</f>
        <v>1.5219922977142373</v>
      </c>
      <c r="CY313" s="4">
        <f t="shared" ref="CY313:CY314" si="1324">CK313</f>
        <v>1.2682678827222702</v>
      </c>
      <c r="CZ313" s="4">
        <f t="shared" ref="CZ313:CZ314" si="1325">CL313</f>
        <v>1.2732119156908908</v>
      </c>
      <c r="DC313" s="4" t="e">
        <f>#REF!</f>
        <v>#REF!</v>
      </c>
      <c r="DF313" s="4">
        <f t="shared" si="1248"/>
        <v>2.7440177675293479E-5</v>
      </c>
      <c r="DG313" s="4">
        <f t="shared" si="1083"/>
        <v>7.6244661407020242</v>
      </c>
      <c r="DH313" s="4">
        <f t="shared" si="1249"/>
        <v>0.17258635939416275</v>
      </c>
      <c r="DI313" s="4">
        <f t="shared" si="1084"/>
        <v>3.7758264740485674</v>
      </c>
      <c r="DJ313" s="4">
        <f t="shared" si="1085"/>
        <v>6.0194542657185099</v>
      </c>
      <c r="DK313" s="4">
        <f t="shared" si="1250"/>
        <v>6.8735858098061433</v>
      </c>
      <c r="DL313" s="38">
        <f t="shared" si="1251"/>
        <v>529.09522656860202</v>
      </c>
      <c r="DM313" s="4" t="e">
        <f t="shared" si="1086"/>
        <v>#REF!</v>
      </c>
      <c r="DN313" s="4">
        <f t="shared" si="1252"/>
        <v>3.2403703492039297</v>
      </c>
      <c r="DO313" s="4">
        <f t="shared" si="1309"/>
        <v>196.66271165076645</v>
      </c>
      <c r="DS313" s="4">
        <f t="shared" si="1253"/>
        <v>0.85</v>
      </c>
      <c r="DT313" s="4">
        <f t="shared" si="1254"/>
        <v>0.96333333333333337</v>
      </c>
      <c r="DU313" s="4">
        <f t="shared" si="1255"/>
        <v>0.90625</v>
      </c>
      <c r="DV313" s="4">
        <f t="shared" si="1087"/>
        <v>0.87302083333333336</v>
      </c>
      <c r="DX313" s="4">
        <f t="shared" si="1256"/>
        <v>527.04068701280823</v>
      </c>
      <c r="DY313" s="25">
        <f t="shared" si="1146"/>
        <v>195.37640989227023</v>
      </c>
      <c r="EA313" s="4">
        <f t="shared" si="1147"/>
        <v>0.74206770833333335</v>
      </c>
      <c r="EB313" s="4">
        <f t="shared" si="1257"/>
        <v>7.6244661407020242</v>
      </c>
      <c r="EE313" s="4">
        <f t="shared" si="1258"/>
        <v>82.305406869779816</v>
      </c>
      <c r="EF313" s="4">
        <f t="shared" si="1088"/>
        <v>3.2403703492039302</v>
      </c>
      <c r="EG313" s="4">
        <f t="shared" si="1259"/>
        <v>5.8490499410662894E-2</v>
      </c>
      <c r="EJ313" s="4">
        <f t="shared" si="1089"/>
        <v>5.8490499410662894E-2</v>
      </c>
      <c r="EK313" s="4">
        <f t="shared" si="1260"/>
        <v>0.17229834492605872</v>
      </c>
      <c r="EL313" s="4">
        <f t="shared" si="1090"/>
        <v>3.7733047508040065</v>
      </c>
      <c r="EM313" s="4">
        <f t="shared" si="1091"/>
        <v>6.0186731142651881</v>
      </c>
      <c r="EN313" s="4" t="e">
        <f t="shared" si="1092"/>
        <v>#REF!</v>
      </c>
      <c r="EO313" s="4" t="e">
        <f t="shared" si="1093"/>
        <v>#REF!</v>
      </c>
      <c r="EP313" s="4" t="e">
        <f t="shared" si="1261"/>
        <v>#REF!</v>
      </c>
      <c r="EQ313" s="4" t="e">
        <f t="shared" si="1094"/>
        <v>#REF!</v>
      </c>
      <c r="ER313" s="4" t="e">
        <f t="shared" si="1262"/>
        <v>#REF!</v>
      </c>
      <c r="FA313" s="23" t="e">
        <f t="shared" si="1042"/>
        <v>#REF!</v>
      </c>
      <c r="FB313" s="23" t="e">
        <f t="shared" si="1043"/>
        <v>#REF!</v>
      </c>
      <c r="FC313" s="23">
        <f t="shared" si="1317"/>
        <v>1.6</v>
      </c>
      <c r="FD313" s="23" t="e">
        <f t="shared" si="1044"/>
        <v>#REF!</v>
      </c>
      <c r="FE313" s="23">
        <f t="shared" si="1045"/>
        <v>1.4</v>
      </c>
      <c r="FF313" s="23">
        <f t="shared" si="1046"/>
        <v>1.4</v>
      </c>
      <c r="FG313" s="23">
        <f t="shared" si="1266"/>
        <v>0</v>
      </c>
      <c r="FH313" s="23"/>
      <c r="FR313" s="4">
        <f t="shared" si="1122"/>
        <v>1.25</v>
      </c>
      <c r="FS313" s="4">
        <f t="shared" si="1123"/>
        <v>0.65314583333333343</v>
      </c>
      <c r="FT313" s="4">
        <f t="shared" si="1124"/>
        <v>0.21093749999999997</v>
      </c>
      <c r="FU313" s="4">
        <f t="shared" si="1125"/>
        <v>440.892167303603</v>
      </c>
    </row>
    <row r="314" spans="2:177" ht="12" customHeight="1" x14ac:dyDescent="0.3">
      <c r="B314" s="24"/>
      <c r="C314" s="48" t="s">
        <v>451</v>
      </c>
      <c r="D314" s="38">
        <f>115.9/0.145</f>
        <v>799.31034482758628</v>
      </c>
      <c r="E314" s="38">
        <f>14.5*25.4</f>
        <v>368.29999999999995</v>
      </c>
      <c r="F314" s="38">
        <f>5570/145</f>
        <v>38.413793103448278</v>
      </c>
      <c r="G314" s="38">
        <f t="shared" si="1016"/>
        <v>25.4</v>
      </c>
      <c r="H314" s="38">
        <f>16.9*25.4</f>
        <v>429.25999999999993</v>
      </c>
      <c r="I314" s="38">
        <f>2.5*25.4</f>
        <v>63.5</v>
      </c>
      <c r="J314" s="39">
        <f>3*25.4</f>
        <v>76.199999999999989</v>
      </c>
      <c r="K314" s="7">
        <f t="shared" si="986"/>
        <v>66.886666666666656</v>
      </c>
      <c r="L314" s="38">
        <v>4</v>
      </c>
      <c r="M314" s="4">
        <f t="shared" si="1028"/>
        <v>260.34999999999997</v>
      </c>
      <c r="N314" s="7">
        <f t="shared" si="1224"/>
        <v>1.8166666666666664</v>
      </c>
      <c r="O314" s="7">
        <f t="shared" si="1225"/>
        <v>3</v>
      </c>
      <c r="P314" s="38">
        <v>9.1</v>
      </c>
      <c r="Q314" s="4">
        <f t="shared" si="1017"/>
        <v>9.1</v>
      </c>
      <c r="R314" s="4">
        <f t="shared" si="1226"/>
        <v>10.1</v>
      </c>
      <c r="S314" s="7">
        <f t="shared" si="1227"/>
        <v>80.72246279691916</v>
      </c>
      <c r="V314" s="38">
        <f t="shared" si="1054"/>
        <v>777.93103448275861</v>
      </c>
      <c r="W314" s="4">
        <v>112.8</v>
      </c>
      <c r="X314" s="4">
        <f t="shared" si="1228"/>
        <v>1.4782200012625968</v>
      </c>
      <c r="Y314" s="38">
        <f>0.375*25.4</f>
        <v>9.5249999999999986</v>
      </c>
      <c r="Z314" s="38">
        <v>10</v>
      </c>
      <c r="AA314" s="39">
        <f t="shared" si="1319"/>
        <v>76.199999999999989</v>
      </c>
      <c r="AB314" s="39">
        <v>3</v>
      </c>
      <c r="AC314" s="39">
        <f>AB314-1</f>
        <v>2</v>
      </c>
      <c r="AD314" s="7"/>
      <c r="AE314" s="4">
        <f t="shared" si="1229"/>
        <v>368.29999999999995</v>
      </c>
      <c r="AF314" s="4">
        <f t="shared" si="1230"/>
        <v>0.38850574712643682</v>
      </c>
      <c r="AG314" s="4">
        <f t="shared" si="1231"/>
        <v>216.13687542656675</v>
      </c>
      <c r="AH314" s="4">
        <f t="shared" si="1232"/>
        <v>0.74137931034482751</v>
      </c>
      <c r="AI314" s="4">
        <v>1.25</v>
      </c>
      <c r="AJ314" s="4">
        <f t="shared" si="1154"/>
        <v>2.5</v>
      </c>
      <c r="AK314" s="38">
        <f t="shared" si="988"/>
        <v>194.54353370551681</v>
      </c>
      <c r="AL314" s="38">
        <f t="shared" si="1264"/>
        <v>194.54353370551681</v>
      </c>
      <c r="AM314" s="38">
        <f t="shared" si="1233"/>
        <v>3.4154351999890475</v>
      </c>
      <c r="AN314" s="38">
        <f t="shared" si="1161"/>
        <v>194.54353370551681</v>
      </c>
      <c r="AO314" s="38">
        <f t="shared" si="1115"/>
        <v>1</v>
      </c>
      <c r="AP314" s="38">
        <f t="shared" si="1162"/>
        <v>2.7280766407298964</v>
      </c>
      <c r="AQ314" s="4">
        <f t="shared" si="1163"/>
        <v>0</v>
      </c>
      <c r="AR314" s="4" t="e">
        <f>#REF!/G314*F314^0.5/0.19</f>
        <v>#REF!</v>
      </c>
      <c r="AS314" s="4">
        <f t="shared" si="1234"/>
        <v>1.2605504587155965</v>
      </c>
      <c r="AT314" s="38">
        <f t="shared" si="1235"/>
        <v>530.72966990706971</v>
      </c>
      <c r="AU314" s="4">
        <f t="shared" si="1236"/>
        <v>0.3</v>
      </c>
      <c r="AV314" s="4" t="e">
        <f>AU314*D314*#REF!/(D314*G314/2.75/F314^0.5)</f>
        <v>#REF!</v>
      </c>
      <c r="AW314" s="4" t="e">
        <f t="shared" si="1068"/>
        <v>#REF!</v>
      </c>
      <c r="AY314" s="4">
        <f t="shared" si="1237"/>
        <v>1.5</v>
      </c>
      <c r="AZ314" s="4" t="e">
        <f>(3*#REF!+30)*AY314*F314^0.5</f>
        <v>#REF!</v>
      </c>
      <c r="BB314" s="4">
        <f t="shared" si="1238"/>
        <v>509.03465745022322</v>
      </c>
      <c r="BC314" s="4">
        <f t="shared" si="1275"/>
        <v>0</v>
      </c>
      <c r="BD314" s="4">
        <f t="shared" si="1069"/>
        <v>0</v>
      </c>
      <c r="BL314" s="4">
        <f t="shared" si="1239"/>
        <v>33.443333333333328</v>
      </c>
      <c r="BP314" s="9"/>
      <c r="BR314" s="9"/>
      <c r="BS314" s="9"/>
      <c r="BT314" s="9">
        <f t="shared" si="1240"/>
        <v>33.443333333333328</v>
      </c>
      <c r="BU314" s="9">
        <f t="shared" si="1241"/>
        <v>63.5</v>
      </c>
      <c r="BV314" s="9">
        <f t="shared" si="1242"/>
        <v>1.2633030527845497</v>
      </c>
      <c r="BW314" s="40">
        <f t="shared" si="1018"/>
        <v>20</v>
      </c>
      <c r="BX314" s="9">
        <f t="shared" si="1243"/>
        <v>0.05</v>
      </c>
      <c r="BY314" s="9">
        <f t="shared" si="1070"/>
        <v>0.8</v>
      </c>
      <c r="BZ314" s="9">
        <f t="shared" si="1244"/>
        <v>0.99524931562137331</v>
      </c>
      <c r="CA314" s="9">
        <f t="shared" si="1245"/>
        <v>0.68048275862068963</v>
      </c>
      <c r="CB314" s="9">
        <f t="shared" si="1246"/>
        <v>1.4691314450397035</v>
      </c>
      <c r="CC314" s="9">
        <f t="shared" si="1247"/>
        <v>3.0312633954921968</v>
      </c>
      <c r="CD314" s="40">
        <v>1</v>
      </c>
      <c r="CE314" s="9" t="e">
        <f>4*CC314*#REF!+60*CC314</f>
        <v>#REF!</v>
      </c>
      <c r="CG314" s="47" t="e">
        <f t="shared" ref="CG314" si="1326">V314/AR314</f>
        <v>#REF!</v>
      </c>
      <c r="CH314" s="47" t="e">
        <f t="shared" ref="CH314" si="1327">V314/AW314</f>
        <v>#REF!</v>
      </c>
      <c r="CI314" s="47" t="e">
        <f t="shared" ref="CI314" si="1328">V314/AZ314</f>
        <v>#REF!</v>
      </c>
      <c r="CJ314" s="47" t="e">
        <f t="shared" ref="CJ314" si="1329">V314/CE314</f>
        <v>#REF!</v>
      </c>
      <c r="CK314" s="47">
        <f t="shared" ref="CK314" si="1330">V314/DL314</f>
        <v>1.4782200012625968</v>
      </c>
      <c r="CL314" s="47">
        <f t="shared" ref="CL314" si="1331">V314/DX314</f>
        <v>1.486801599498017</v>
      </c>
      <c r="CM314" s="47">
        <f t="shared" si="1310"/>
        <v>1.4168183015224551</v>
      </c>
      <c r="CN314" s="4">
        <f t="shared" si="1019"/>
        <v>10</v>
      </c>
      <c r="CU314" s="4" t="e">
        <f t="shared" si="1320"/>
        <v>#REF!</v>
      </c>
      <c r="CV314" s="4" t="e">
        <f t="shared" si="1321"/>
        <v>#REF!</v>
      </c>
      <c r="CW314" s="4" t="e">
        <f t="shared" si="1322"/>
        <v>#REF!</v>
      </c>
      <c r="CX314" s="4">
        <f t="shared" si="1323"/>
        <v>1.4168183015224551</v>
      </c>
      <c r="CY314" s="4">
        <f t="shared" si="1324"/>
        <v>1.4782200012625968</v>
      </c>
      <c r="CZ314" s="4">
        <f t="shared" si="1325"/>
        <v>1.486801599498017</v>
      </c>
      <c r="DC314" s="4" t="e">
        <f>#REF!</f>
        <v>#REF!</v>
      </c>
      <c r="DF314" s="4">
        <f t="shared" si="1248"/>
        <v>2.7440177675293479E-5</v>
      </c>
      <c r="DG314" s="4">
        <f t="shared" si="1083"/>
        <v>7.5850971244849745</v>
      </c>
      <c r="DH314" s="4">
        <f t="shared" si="1249"/>
        <v>0.17480324684969312</v>
      </c>
      <c r="DI314" s="4">
        <f t="shared" si="1084"/>
        <v>3.7755562431213261</v>
      </c>
      <c r="DJ314" s="4">
        <f t="shared" si="1085"/>
        <v>5.9943432608094538</v>
      </c>
      <c r="DK314" s="4">
        <f t="shared" si="1250"/>
        <v>6.8393248213148761</v>
      </c>
      <c r="DL314" s="38">
        <f t="shared" si="1251"/>
        <v>526.26201365040515</v>
      </c>
      <c r="DM314" s="4" t="e">
        <f t="shared" si="1086"/>
        <v>#REF!</v>
      </c>
      <c r="DN314" s="4">
        <f t="shared" si="1252"/>
        <v>3.1780497164141401</v>
      </c>
      <c r="DO314" s="4">
        <f t="shared" si="1309"/>
        <v>194.54353370551681</v>
      </c>
      <c r="DS314" s="4">
        <f t="shared" si="1253"/>
        <v>0.85</v>
      </c>
      <c r="DT314" s="4">
        <f t="shared" si="1254"/>
        <v>0.96833333333333338</v>
      </c>
      <c r="DU314" s="4">
        <f t="shared" si="1255"/>
        <v>0.90625</v>
      </c>
      <c r="DV314" s="4">
        <f t="shared" si="1087"/>
        <v>0.87755208333333334</v>
      </c>
      <c r="DX314" s="4">
        <f t="shared" si="1256"/>
        <v>523.22450738915563</v>
      </c>
      <c r="DY314" s="25">
        <f t="shared" si="1146"/>
        <v>193.27278247405926</v>
      </c>
      <c r="EA314" s="4">
        <f t="shared" si="1147"/>
        <v>0.74591927083333331</v>
      </c>
      <c r="EB314" s="4">
        <f t="shared" si="1257"/>
        <v>7.5850971244849745</v>
      </c>
      <c r="EE314" s="4">
        <f t="shared" si="1258"/>
        <v>80.72246279691916</v>
      </c>
      <c r="EF314" s="4">
        <f t="shared" si="1088"/>
        <v>3.1780497164141406</v>
      </c>
      <c r="EG314" s="4">
        <f t="shared" si="1259"/>
        <v>5.9241815185944208E-2</v>
      </c>
      <c r="EJ314" s="4">
        <f t="shared" si="1089"/>
        <v>5.9241815185944208E-2</v>
      </c>
      <c r="EK314" s="4">
        <f t="shared" si="1260"/>
        <v>0.17451153280959747</v>
      </c>
      <c r="EL314" s="4">
        <f t="shared" si="1090"/>
        <v>3.7730347003531768</v>
      </c>
      <c r="EM314" s="4">
        <f t="shared" si="1091"/>
        <v>5.9935587325282373</v>
      </c>
      <c r="EN314" s="4" t="e">
        <f t="shared" si="1092"/>
        <v>#REF!</v>
      </c>
      <c r="EO314" s="4" t="e">
        <f t="shared" si="1093"/>
        <v>#REF!</v>
      </c>
      <c r="EP314" s="4" t="e">
        <f t="shared" si="1261"/>
        <v>#REF!</v>
      </c>
      <c r="EQ314" s="4" t="e">
        <f t="shared" si="1094"/>
        <v>#REF!</v>
      </c>
      <c r="ER314" s="4" t="e">
        <f t="shared" si="1262"/>
        <v>#REF!</v>
      </c>
      <c r="EU314" s="4">
        <f>5.25*25.4</f>
        <v>133.35</v>
      </c>
      <c r="FA314" s="23" t="e">
        <f t="shared" si="1042"/>
        <v>#REF!</v>
      </c>
      <c r="FB314" s="23" t="e">
        <f t="shared" si="1043"/>
        <v>#REF!</v>
      </c>
      <c r="FC314" s="23">
        <f t="shared" si="1317"/>
        <v>1.6</v>
      </c>
      <c r="FD314" s="23" t="e">
        <f t="shared" si="1044"/>
        <v>#REF!</v>
      </c>
      <c r="FE314" s="23">
        <f t="shared" si="1045"/>
        <v>1.6</v>
      </c>
      <c r="FF314" s="23">
        <f t="shared" si="1046"/>
        <v>1.6</v>
      </c>
      <c r="FG314" s="23">
        <f t="shared" si="1266"/>
        <v>0</v>
      </c>
      <c r="FH314" s="23"/>
      <c r="FR314" s="4">
        <f t="shared" si="1122"/>
        <v>1</v>
      </c>
      <c r="FS314" s="4">
        <f t="shared" si="1123"/>
        <v>0.65557988208225493</v>
      </c>
      <c r="FT314" s="4">
        <f t="shared" si="1124"/>
        <v>0.21093749999999997</v>
      </c>
      <c r="FU314" s="4">
        <f t="shared" si="1125"/>
        <v>549.0690186926762</v>
      </c>
    </row>
    <row r="315" spans="2:177" ht="12" customHeight="1" x14ac:dyDescent="0.3">
      <c r="B315" s="24" t="s">
        <v>452</v>
      </c>
      <c r="C315" s="7" t="s">
        <v>453</v>
      </c>
      <c r="D315" s="38">
        <f>120/0.145</f>
        <v>827.58620689655174</v>
      </c>
      <c r="E315" s="38">
        <f>9.5*25.4</f>
        <v>241.29999999999998</v>
      </c>
      <c r="F315" s="38">
        <f>16030/145</f>
        <v>110.55172413793103</v>
      </c>
      <c r="G315" s="38">
        <f t="shared" si="1016"/>
        <v>25.4</v>
      </c>
      <c r="H315" s="38">
        <f>17*25.4</f>
        <v>431.79999999999995</v>
      </c>
      <c r="I315" s="38">
        <f>2.5*25.4</f>
        <v>63.5</v>
      </c>
      <c r="J315" s="39">
        <f>4.5*25.4</f>
        <v>114.3</v>
      </c>
      <c r="K315" s="7">
        <f t="shared" si="986"/>
        <v>253.99999999999994</v>
      </c>
      <c r="L315" s="38">
        <v>2</v>
      </c>
      <c r="M315" s="4">
        <f t="shared" si="1028"/>
        <v>260.34999999999997</v>
      </c>
      <c r="N315" s="7">
        <f t="shared" si="1224"/>
        <v>3</v>
      </c>
      <c r="O315" s="7">
        <f t="shared" si="1225"/>
        <v>3</v>
      </c>
      <c r="P315" s="38">
        <v>4</v>
      </c>
      <c r="Q315" s="4">
        <f t="shared" si="1017"/>
        <v>4</v>
      </c>
      <c r="R315" s="4">
        <f t="shared" si="1226"/>
        <v>5</v>
      </c>
      <c r="S315" s="7">
        <f t="shared" si="1227"/>
        <v>56.796126628494655</v>
      </c>
      <c r="V315" s="38">
        <f t="shared" si="1054"/>
        <v>726.89655172413802</v>
      </c>
      <c r="W315" s="4">
        <v>105.4</v>
      </c>
      <c r="X315" s="4">
        <f t="shared" si="1228"/>
        <v>0.87833333333333341</v>
      </c>
      <c r="Y315" s="38"/>
      <c r="Z315" s="38"/>
      <c r="AA315" s="39">
        <v>1</v>
      </c>
      <c r="AB315" s="39"/>
      <c r="AC315" s="39"/>
      <c r="AD315" s="7"/>
      <c r="AE315" s="4">
        <f t="shared" si="1229"/>
        <v>241.29999999999998</v>
      </c>
      <c r="AF315" s="4">
        <f t="shared" si="1230"/>
        <v>0.59649122807017541</v>
      </c>
      <c r="AG315" s="4">
        <f t="shared" si="1231"/>
        <v>388.89417005620368</v>
      </c>
      <c r="AH315" s="4">
        <f t="shared" si="1232"/>
        <v>0.76315789473684204</v>
      </c>
      <c r="AI315" s="4">
        <v>1.25</v>
      </c>
      <c r="AJ315" s="4">
        <f t="shared" si="1154"/>
        <v>2.5</v>
      </c>
      <c r="AK315" s="38">
        <f t="shared" si="988"/>
        <v>553.22260456402466</v>
      </c>
      <c r="AL315" s="38">
        <f t="shared" si="1264"/>
        <v>553.22260456402466</v>
      </c>
      <c r="AM315" s="38">
        <f t="shared" si="1233"/>
        <v>5.4139420559889198</v>
      </c>
      <c r="AN315" s="38">
        <f t="shared" si="1161"/>
        <v>553.22260456402478</v>
      </c>
      <c r="AO315" s="38">
        <f t="shared" si="1115"/>
        <v>0.99999999999999978</v>
      </c>
      <c r="AP315" s="38">
        <f t="shared" si="1162"/>
        <v>2.3979871370235051</v>
      </c>
      <c r="AQ315" s="4">
        <f t="shared" si="1163"/>
        <v>0</v>
      </c>
      <c r="AR315" s="4" t="e">
        <f>#REF!/G315*F315^0.5/0.19</f>
        <v>#REF!</v>
      </c>
      <c r="AS315" s="4">
        <f t="shared" si="1234"/>
        <v>1</v>
      </c>
      <c r="AT315" s="38">
        <f t="shared" si="1235"/>
        <v>1326.6206896551723</v>
      </c>
      <c r="AU315" s="4">
        <f t="shared" si="1236"/>
        <v>0.44000000000000006</v>
      </c>
      <c r="AV315" s="4" t="e">
        <f>AU315*D315*#REF!/(D315*G315/2.75/F315^0.5)</f>
        <v>#REF!</v>
      </c>
      <c r="AW315" s="4" t="e">
        <f t="shared" si="1068"/>
        <v>#REF!</v>
      </c>
      <c r="AY315" s="4">
        <f t="shared" si="1237"/>
        <v>1.375</v>
      </c>
      <c r="AZ315" s="4" t="e">
        <f>(3*#REF!+30)*AY315*F315^0.5</f>
        <v>#REF!</v>
      </c>
      <c r="BB315" s="4">
        <f t="shared" si="1238"/>
        <v>1272.3914765180612</v>
      </c>
      <c r="BC315" s="4">
        <f t="shared" si="1275"/>
        <v>0</v>
      </c>
      <c r="BD315" s="4">
        <f t="shared" si="1069"/>
        <v>0</v>
      </c>
      <c r="BL315" s="4">
        <f t="shared" si="1239"/>
        <v>63.5</v>
      </c>
      <c r="BP315" s="9"/>
      <c r="BR315" s="9"/>
      <c r="BS315" s="9"/>
      <c r="BT315" s="9">
        <f t="shared" si="1240"/>
        <v>63.5</v>
      </c>
      <c r="BU315" s="9">
        <f t="shared" si="1241"/>
        <v>126.99999999999997</v>
      </c>
      <c r="BV315" s="9">
        <f t="shared" si="1242"/>
        <v>1.7543833769624846</v>
      </c>
      <c r="BW315" s="40">
        <f t="shared" si="1018"/>
        <v>0</v>
      </c>
      <c r="BX315" s="9">
        <f t="shared" si="1243"/>
        <v>0</v>
      </c>
      <c r="BY315" s="9">
        <f t="shared" si="1070"/>
        <v>0</v>
      </c>
      <c r="BZ315" s="9">
        <f t="shared" si="1244"/>
        <v>0.99524931562137331</v>
      </c>
      <c r="CA315" s="9">
        <f t="shared" si="1245"/>
        <v>0.68</v>
      </c>
      <c r="CB315" s="9">
        <f t="shared" si="1246"/>
        <v>2.4905290095198289</v>
      </c>
      <c r="CC315" s="9">
        <f t="shared" si="1247"/>
        <v>4.3693426941444296</v>
      </c>
      <c r="CD315" s="40">
        <v>1</v>
      </c>
      <c r="CE315" s="9" t="e">
        <f>4*CC315*#REF!+60*CC315</f>
        <v>#REF!</v>
      </c>
      <c r="CG315" s="4" t="e">
        <f t="shared" si="1071"/>
        <v>#REF!</v>
      </c>
      <c r="CH315" s="4" t="e">
        <f t="shared" si="1072"/>
        <v>#REF!</v>
      </c>
      <c r="CI315" s="4" t="e">
        <f t="shared" si="1073"/>
        <v>#REF!</v>
      </c>
      <c r="CJ315" s="4" t="e">
        <f t="shared" si="1074"/>
        <v>#REF!</v>
      </c>
      <c r="CK315" s="4">
        <f t="shared" si="1075"/>
        <v>0.87833333333333341</v>
      </c>
      <c r="CL315" s="4">
        <f t="shared" si="1076"/>
        <v>0.87833333333333341</v>
      </c>
      <c r="CM315" s="4">
        <f t="shared" si="1310"/>
        <v>1.1832182811484149</v>
      </c>
      <c r="CN315" s="4">
        <f t="shared" si="1019"/>
        <v>0</v>
      </c>
      <c r="CO315" s="4" t="e">
        <f t="shared" ref="CO315:CO317" si="1332">CG315</f>
        <v>#REF!</v>
      </c>
      <c r="CP315" s="4" t="e">
        <f t="shared" ref="CP315:CP317" si="1333">CH315</f>
        <v>#REF!</v>
      </c>
      <c r="CQ315" s="4" t="e">
        <f t="shared" ref="CQ315:CQ317" si="1334">CJ315</f>
        <v>#REF!</v>
      </c>
      <c r="CR315" s="4">
        <f t="shared" ref="CR315:CR317" si="1335">CM315</f>
        <v>1.1832182811484149</v>
      </c>
      <c r="CS315" s="4">
        <f t="shared" ref="CS315:CS317" si="1336">CK315</f>
        <v>0.87833333333333341</v>
      </c>
      <c r="CT315" s="4">
        <f t="shared" ref="CT315:CT317" si="1337">CL315</f>
        <v>0.87833333333333341</v>
      </c>
      <c r="DC315" s="4" t="e">
        <f>#REF!</f>
        <v>#REF!</v>
      </c>
      <c r="DF315" s="4">
        <f t="shared" si="1248"/>
        <v>2.8000148432523461E-5</v>
      </c>
      <c r="DG315" s="4">
        <f t="shared" si="1083"/>
        <v>13.284777517679784</v>
      </c>
      <c r="DH315" s="4">
        <f t="shared" si="1249"/>
        <v>0.27647763191291236</v>
      </c>
      <c r="DI315" s="4">
        <f t="shared" si="1084"/>
        <v>7.9436168068407298</v>
      </c>
      <c r="DJ315" s="4">
        <f t="shared" si="1085"/>
        <v>10.946986223421044</v>
      </c>
      <c r="DK315" s="4">
        <f t="shared" si="1250"/>
        <v>11.675816604746906</v>
      </c>
      <c r="DL315" s="38">
        <f t="shared" si="1251"/>
        <v>827.58620689655174</v>
      </c>
      <c r="DM315" s="4" t="e">
        <f t="shared" si="1086"/>
        <v>#REF!</v>
      </c>
      <c r="DN315" s="4">
        <f t="shared" si="1252"/>
        <v>2.2360679774997898</v>
      </c>
      <c r="DO315" s="4">
        <f t="shared" si="1309"/>
        <v>553.22260456402478</v>
      </c>
      <c r="DS315" s="4">
        <f t="shared" si="1253"/>
        <v>0.85</v>
      </c>
      <c r="DT315" s="4">
        <f t="shared" si="1254"/>
        <v>0.85</v>
      </c>
      <c r="DU315" s="4">
        <f t="shared" si="1255"/>
        <v>1</v>
      </c>
      <c r="DV315" s="4">
        <f t="shared" si="1087"/>
        <v>0.85</v>
      </c>
      <c r="DX315" s="4">
        <f t="shared" si="1256"/>
        <v>827.58620689655174</v>
      </c>
      <c r="DY315" s="25">
        <f t="shared" si="1146"/>
        <v>547.11762764690559</v>
      </c>
      <c r="EA315" s="4">
        <f t="shared" si="1147"/>
        <v>0.72249999999999992</v>
      </c>
      <c r="EB315" s="4">
        <f t="shared" si="1257"/>
        <v>13.284777517679784</v>
      </c>
      <c r="EE315" s="4">
        <f t="shared" si="1258"/>
        <v>56.796126628494655</v>
      </c>
      <c r="EF315" s="4">
        <f t="shared" si="1088"/>
        <v>2.2360679774997898</v>
      </c>
      <c r="EG315" s="4">
        <f t="shared" si="1259"/>
        <v>0.15895640293394173</v>
      </c>
      <c r="EJ315" s="4">
        <f t="shared" si="1089"/>
        <v>0.15895640293394173</v>
      </c>
      <c r="EK315" s="4">
        <f t="shared" si="1260"/>
        <v>0.2760162422736756</v>
      </c>
      <c r="EL315" s="4">
        <f t="shared" si="1090"/>
        <v>7.9383115833922018</v>
      </c>
      <c r="EM315" s="4">
        <f t="shared" si="1091"/>
        <v>10.945070507495156</v>
      </c>
      <c r="EN315" s="4" t="e">
        <f t="shared" si="1092"/>
        <v>#REF!</v>
      </c>
      <c r="EO315" s="4" t="e">
        <f t="shared" si="1093"/>
        <v>#REF!</v>
      </c>
      <c r="EP315" s="4" t="e">
        <f t="shared" si="1261"/>
        <v>#REF!</v>
      </c>
      <c r="EQ315" s="4" t="e">
        <f t="shared" si="1094"/>
        <v>#REF!</v>
      </c>
      <c r="ER315" s="4" t="e">
        <f t="shared" si="1262"/>
        <v>#REF!</v>
      </c>
      <c r="FA315" s="23" t="e">
        <f t="shared" si="1042"/>
        <v>#REF!</v>
      </c>
      <c r="FB315" s="23" t="e">
        <f t="shared" si="1043"/>
        <v>#REF!</v>
      </c>
      <c r="FC315" s="23">
        <f t="shared" si="1317"/>
        <v>1.2</v>
      </c>
      <c r="FD315" s="23" t="e">
        <f t="shared" si="1044"/>
        <v>#REF!</v>
      </c>
      <c r="FE315" s="23">
        <f t="shared" si="1045"/>
        <v>1</v>
      </c>
      <c r="FF315" s="23">
        <f t="shared" si="1046"/>
        <v>1</v>
      </c>
      <c r="FG315" s="23">
        <f t="shared" si="1266"/>
        <v>0</v>
      </c>
      <c r="FH315" s="23"/>
      <c r="FR315" s="4">
        <f t="shared" si="1122"/>
        <v>1</v>
      </c>
      <c r="FS315" s="4">
        <f t="shared" si="1123"/>
        <v>0.5</v>
      </c>
      <c r="FT315" s="4">
        <f t="shared" si="1124"/>
        <v>0</v>
      </c>
      <c r="FU315" s="4">
        <f t="shared" si="1125"/>
        <v>614.33850651683861</v>
      </c>
    </row>
    <row r="316" spans="2:177" ht="12" customHeight="1" x14ac:dyDescent="0.3">
      <c r="B316" s="24"/>
      <c r="C316" s="7" t="s">
        <v>454</v>
      </c>
      <c r="D316" s="38">
        <f>115.9/0.145</f>
        <v>799.31034482758628</v>
      </c>
      <c r="E316" s="38">
        <f>9.5*25.4</f>
        <v>241.29999999999998</v>
      </c>
      <c r="F316" s="38">
        <f t="shared" ref="F316:F323" si="1338">16030/145</f>
        <v>110.55172413793103</v>
      </c>
      <c r="G316" s="38">
        <f t="shared" si="1016"/>
        <v>25.4</v>
      </c>
      <c r="H316" s="38">
        <f>17.3*25.4</f>
        <v>439.42</v>
      </c>
      <c r="I316" s="38">
        <f>2.65*25.4</f>
        <v>67.309999999999988</v>
      </c>
      <c r="J316" s="39">
        <f>2.9*25.4</f>
        <v>73.66</v>
      </c>
      <c r="K316" s="7">
        <f t="shared" ref="K316:K379" si="1339">(H316-L316*G316-2*I316)/(L316-1)</f>
        <v>254.00000000000003</v>
      </c>
      <c r="L316" s="38">
        <v>2</v>
      </c>
      <c r="M316" s="4">
        <f t="shared" si="1028"/>
        <v>260.34999999999997</v>
      </c>
      <c r="N316" s="7">
        <f t="shared" si="1224"/>
        <v>3.1499999999999995</v>
      </c>
      <c r="O316" s="7">
        <f t="shared" si="1225"/>
        <v>3.1499999999999995</v>
      </c>
      <c r="P316" s="38">
        <v>9.5</v>
      </c>
      <c r="Q316" s="4">
        <f t="shared" si="1017"/>
        <v>9.5</v>
      </c>
      <c r="R316" s="4">
        <f t="shared" si="1226"/>
        <v>10.5</v>
      </c>
      <c r="S316" s="7">
        <f t="shared" si="1227"/>
        <v>82.305406869779816</v>
      </c>
      <c r="V316" s="38">
        <f t="shared" si="1054"/>
        <v>713.10344827586221</v>
      </c>
      <c r="W316" s="4">
        <v>103.4</v>
      </c>
      <c r="X316" s="4">
        <f t="shared" si="1228"/>
        <v>0.89214840379637628</v>
      </c>
      <c r="Y316" s="38"/>
      <c r="Z316" s="38"/>
      <c r="AA316" s="39">
        <v>1</v>
      </c>
      <c r="AB316" s="39"/>
      <c r="AC316" s="39"/>
      <c r="AD316" s="7"/>
      <c r="AE316" s="4">
        <f t="shared" si="1229"/>
        <v>241.29999999999998</v>
      </c>
      <c r="AF316" s="4">
        <f t="shared" si="1230"/>
        <v>0.60701754385964912</v>
      </c>
      <c r="AG316" s="4">
        <f t="shared" si="1231"/>
        <v>388.89417005620368</v>
      </c>
      <c r="AH316" s="4">
        <f t="shared" si="1232"/>
        <v>0.76631578947368417</v>
      </c>
      <c r="AI316" s="4">
        <v>1.25</v>
      </c>
      <c r="AJ316" s="4">
        <f t="shared" si="1154"/>
        <v>2.5</v>
      </c>
      <c r="AK316" s="38">
        <f t="shared" ref="AK316:AK379" si="1340">AF316*AH316*AI316*AJ316*AG316</f>
        <v>565.31495098751748</v>
      </c>
      <c r="AL316" s="38">
        <f t="shared" si="1264"/>
        <v>565.31495098751748</v>
      </c>
      <c r="AM316" s="38">
        <f t="shared" si="1233"/>
        <v>5.4139420559889198</v>
      </c>
      <c r="AN316" s="38">
        <f t="shared" si="1161"/>
        <v>565.31495098751748</v>
      </c>
      <c r="AO316" s="38">
        <f t="shared" si="1115"/>
        <v>1</v>
      </c>
      <c r="AP316" s="38">
        <f t="shared" si="1162"/>
        <v>3.7973217844035227</v>
      </c>
      <c r="AQ316" s="4">
        <f t="shared" si="1163"/>
        <v>0</v>
      </c>
      <c r="AR316" s="4" t="e">
        <f>#REF!/G316*F316^0.5/0.19</f>
        <v>#REF!</v>
      </c>
      <c r="AS316" s="4">
        <f t="shared" si="1234"/>
        <v>1</v>
      </c>
      <c r="AT316" s="38">
        <f t="shared" si="1235"/>
        <v>2146.6827784339098</v>
      </c>
      <c r="AU316" s="4">
        <f t="shared" si="1236"/>
        <v>0.3</v>
      </c>
      <c r="AV316" s="4" t="e">
        <f>AU316*D316*#REF!/(D316*G316/2.75/F316^0.5)</f>
        <v>#REF!</v>
      </c>
      <c r="AW316" s="4" t="e">
        <f t="shared" si="1068"/>
        <v>#REF!</v>
      </c>
      <c r="AY316" s="4">
        <f t="shared" si="1237"/>
        <v>1.4124999999999999</v>
      </c>
      <c r="AZ316" s="4" t="e">
        <f>(3*#REF!+30)*AY316*F316^0.5</f>
        <v>#REF!</v>
      </c>
      <c r="BB316" s="4">
        <f t="shared" si="1238"/>
        <v>2058.9313067154058</v>
      </c>
      <c r="BC316" s="4">
        <f t="shared" si="1275"/>
        <v>0</v>
      </c>
      <c r="BD316" s="4">
        <f t="shared" si="1069"/>
        <v>0</v>
      </c>
      <c r="BL316" s="4">
        <f t="shared" si="1239"/>
        <v>67.309999999999988</v>
      </c>
      <c r="BP316" s="9"/>
      <c r="BR316" s="9"/>
      <c r="BS316" s="9"/>
      <c r="BT316" s="9">
        <f t="shared" si="1240"/>
        <v>67.309999999999988</v>
      </c>
      <c r="BU316" s="9">
        <f t="shared" si="1241"/>
        <v>127.00000000000001</v>
      </c>
      <c r="BV316" s="9">
        <f t="shared" si="1242"/>
        <v>1.7905298128039189</v>
      </c>
      <c r="BW316" s="40">
        <f t="shared" si="1018"/>
        <v>0</v>
      </c>
      <c r="BX316" s="9">
        <f t="shared" si="1243"/>
        <v>0</v>
      </c>
      <c r="BY316" s="9">
        <f t="shared" si="1070"/>
        <v>0</v>
      </c>
      <c r="BZ316" s="9">
        <f t="shared" si="1244"/>
        <v>0.99524931562137331</v>
      </c>
      <c r="CA316" s="9">
        <f t="shared" si="1245"/>
        <v>0.68048275862068963</v>
      </c>
      <c r="CB316" s="9">
        <f t="shared" si="1246"/>
        <v>2.4922971335630986</v>
      </c>
      <c r="CC316" s="9">
        <f t="shared" si="1247"/>
        <v>4.4625323200104781</v>
      </c>
      <c r="CD316" s="40">
        <v>1</v>
      </c>
      <c r="CE316" s="9" t="e">
        <f>4*CC316*#REF!+60*CC316</f>
        <v>#REF!</v>
      </c>
      <c r="CG316" s="4" t="e">
        <f t="shared" si="1071"/>
        <v>#REF!</v>
      </c>
      <c r="CH316" s="4" t="e">
        <f t="shared" si="1072"/>
        <v>#REF!</v>
      </c>
      <c r="CI316" s="4" t="e">
        <f t="shared" si="1073"/>
        <v>#REF!</v>
      </c>
      <c r="CJ316" s="4" t="e">
        <f t="shared" si="1074"/>
        <v>#REF!</v>
      </c>
      <c r="CK316" s="4">
        <f t="shared" si="1075"/>
        <v>0.89214840379637628</v>
      </c>
      <c r="CL316" s="4">
        <f t="shared" si="1076"/>
        <v>0.89214840379637628</v>
      </c>
      <c r="CM316" s="4">
        <f t="shared" si="1310"/>
        <v>1.1607663213543273</v>
      </c>
      <c r="CN316" s="4">
        <f t="shared" si="1019"/>
        <v>0</v>
      </c>
      <c r="CO316" s="4" t="e">
        <f t="shared" si="1332"/>
        <v>#REF!</v>
      </c>
      <c r="CP316" s="4" t="e">
        <f t="shared" si="1333"/>
        <v>#REF!</v>
      </c>
      <c r="CQ316" s="4" t="e">
        <f t="shared" si="1334"/>
        <v>#REF!</v>
      </c>
      <c r="CR316" s="4">
        <f t="shared" si="1335"/>
        <v>1.1607663213543273</v>
      </c>
      <c r="CS316" s="4">
        <f t="shared" si="1336"/>
        <v>0.89214840379637628</v>
      </c>
      <c r="CT316" s="4">
        <f t="shared" si="1337"/>
        <v>0.89214840379637628</v>
      </c>
      <c r="DC316" s="4" t="e">
        <f>#REF!</f>
        <v>#REF!</v>
      </c>
      <c r="DF316" s="4">
        <f t="shared" si="1248"/>
        <v>2.8000148432523461E-5</v>
      </c>
      <c r="DG316" s="4">
        <f t="shared" si="1083"/>
        <v>13.523426215602175</v>
      </c>
      <c r="DH316" s="4">
        <f t="shared" si="1249"/>
        <v>0.17238385513177032</v>
      </c>
      <c r="DI316" s="4">
        <f t="shared" si="1084"/>
        <v>6.6939948114044903</v>
      </c>
      <c r="DJ316" s="4">
        <f t="shared" si="1085"/>
        <v>10.675661364855177</v>
      </c>
      <c r="DK316" s="4">
        <f t="shared" si="1250"/>
        <v>12.03357545451744</v>
      </c>
      <c r="DL316" s="38">
        <f t="shared" si="1251"/>
        <v>799.31034482758628</v>
      </c>
      <c r="DM316" s="4" t="e">
        <f t="shared" si="1086"/>
        <v>#REF!</v>
      </c>
      <c r="DN316" s="4">
        <f t="shared" si="1252"/>
        <v>3.2403703492039297</v>
      </c>
      <c r="DO316" s="4">
        <f t="shared" si="1309"/>
        <v>565.31495098751748</v>
      </c>
      <c r="DS316" s="4">
        <f t="shared" si="1253"/>
        <v>0.85</v>
      </c>
      <c r="DT316" s="4">
        <f t="shared" si="1254"/>
        <v>0.83499999999999996</v>
      </c>
      <c r="DU316" s="4">
        <f t="shared" si="1255"/>
        <v>1</v>
      </c>
      <c r="DV316" s="4">
        <f t="shared" si="1087"/>
        <v>0.83499999999999996</v>
      </c>
      <c r="DX316" s="4">
        <f t="shared" si="1256"/>
        <v>799.31034482758628</v>
      </c>
      <c r="DY316" s="25">
        <f t="shared" si="1146"/>
        <v>559.10875360372461</v>
      </c>
      <c r="EA316" s="4">
        <f t="shared" si="1147"/>
        <v>0.70974999999999999</v>
      </c>
      <c r="EB316" s="4">
        <f t="shared" si="1257"/>
        <v>13.523426215602175</v>
      </c>
      <c r="EE316" s="4">
        <f t="shared" si="1258"/>
        <v>82.305406869779816</v>
      </c>
      <c r="EF316" s="4">
        <f t="shared" si="1088"/>
        <v>3.2403703492039302</v>
      </c>
      <c r="EG316" s="4">
        <f t="shared" si="1259"/>
        <v>9.9109346915497026E-2</v>
      </c>
      <c r="EJ316" s="4">
        <f t="shared" si="1089"/>
        <v>9.9109346915497026E-2</v>
      </c>
      <c r="EK316" s="4">
        <f t="shared" si="1260"/>
        <v>0.17209617860553858</v>
      </c>
      <c r="EL316" s="4">
        <f t="shared" si="1090"/>
        <v>6.6895241604275695</v>
      </c>
      <c r="EM316" s="4">
        <f t="shared" si="1091"/>
        <v>10.674277055571464</v>
      </c>
      <c r="EN316" s="4" t="e">
        <f t="shared" si="1092"/>
        <v>#REF!</v>
      </c>
      <c r="EO316" s="4" t="e">
        <f t="shared" si="1093"/>
        <v>#REF!</v>
      </c>
      <c r="EP316" s="4" t="e">
        <f t="shared" si="1261"/>
        <v>#REF!</v>
      </c>
      <c r="EQ316" s="4" t="e">
        <f t="shared" si="1094"/>
        <v>#REF!</v>
      </c>
      <c r="ER316" s="4" t="e">
        <f t="shared" si="1262"/>
        <v>#REF!</v>
      </c>
      <c r="FA316" s="23" t="e">
        <f t="shared" si="1042"/>
        <v>#REF!</v>
      </c>
      <c r="FB316" s="23" t="e">
        <f t="shared" si="1043"/>
        <v>#REF!</v>
      </c>
      <c r="FC316" s="23">
        <f t="shared" si="1317"/>
        <v>1.2</v>
      </c>
      <c r="FD316" s="23" t="e">
        <f t="shared" si="1044"/>
        <v>#REF!</v>
      </c>
      <c r="FE316" s="23">
        <f t="shared" si="1045"/>
        <v>1</v>
      </c>
      <c r="FF316" s="23">
        <f t="shared" si="1046"/>
        <v>1</v>
      </c>
      <c r="FG316" s="23">
        <f t="shared" si="1266"/>
        <v>0</v>
      </c>
      <c r="FH316" s="23"/>
      <c r="FR316" s="4">
        <f t="shared" si="1122"/>
        <v>1</v>
      </c>
      <c r="FS316" s="4">
        <f t="shared" si="1123"/>
        <v>0.5</v>
      </c>
      <c r="FT316" s="4">
        <f t="shared" si="1124"/>
        <v>0</v>
      </c>
      <c r="FU316" s="4">
        <f t="shared" si="1125"/>
        <v>614.33850651683861</v>
      </c>
    </row>
    <row r="317" spans="2:177" ht="12" customHeight="1" x14ac:dyDescent="0.3">
      <c r="B317" s="24"/>
      <c r="C317" s="7" t="s">
        <v>455</v>
      </c>
      <c r="D317" s="38">
        <f>115.9/0.145</f>
        <v>799.31034482758628</v>
      </c>
      <c r="E317" s="38">
        <f>9.69*25.4</f>
        <v>246.12599999999998</v>
      </c>
      <c r="F317" s="38">
        <f t="shared" si="1338"/>
        <v>110.55172413793103</v>
      </c>
      <c r="G317" s="38">
        <f t="shared" ref="G317:G377" si="1341">1*25.4</f>
        <v>25.4</v>
      </c>
      <c r="H317" s="38">
        <f>16.8*25.4</f>
        <v>426.71999999999997</v>
      </c>
      <c r="I317" s="38">
        <f>2.5*25.4</f>
        <v>63.5</v>
      </c>
      <c r="J317" s="39">
        <f>2.85*25.4</f>
        <v>72.39</v>
      </c>
      <c r="K317" s="7">
        <f t="shared" si="1339"/>
        <v>248.91999999999996</v>
      </c>
      <c r="L317" s="38">
        <v>2</v>
      </c>
      <c r="M317" s="4">
        <f t="shared" si="1028"/>
        <v>260.34999999999997</v>
      </c>
      <c r="N317" s="7">
        <f t="shared" si="1224"/>
        <v>3</v>
      </c>
      <c r="O317" s="7">
        <f t="shared" si="1225"/>
        <v>3</v>
      </c>
      <c r="P317" s="38">
        <v>14.9</v>
      </c>
      <c r="Q317" s="4">
        <f t="shared" ref="Q317:Q380" si="1342">P317</f>
        <v>14.9</v>
      </c>
      <c r="R317" s="4">
        <f t="shared" si="1226"/>
        <v>15.9</v>
      </c>
      <c r="S317" s="7">
        <f t="shared" si="1227"/>
        <v>101.28200234987457</v>
      </c>
      <c r="V317" s="38">
        <f t="shared" si="1054"/>
        <v>760.68965517241384</v>
      </c>
      <c r="W317" s="4">
        <v>110.3</v>
      </c>
      <c r="X317" s="4">
        <f t="shared" si="1228"/>
        <v>0.95168248490077645</v>
      </c>
      <c r="Y317" s="38"/>
      <c r="Z317" s="38"/>
      <c r="AA317" s="39">
        <v>1</v>
      </c>
      <c r="AB317" s="39"/>
      <c r="AC317" s="39"/>
      <c r="AD317" s="7"/>
      <c r="AE317" s="4">
        <f t="shared" si="1229"/>
        <v>246.12599999999998</v>
      </c>
      <c r="AF317" s="4">
        <f t="shared" si="1230"/>
        <v>0.57791537667698656</v>
      </c>
      <c r="AG317" s="4">
        <f t="shared" si="1231"/>
        <v>400.61913628025081</v>
      </c>
      <c r="AH317" s="4">
        <f t="shared" si="1232"/>
        <v>0.76191950464396285</v>
      </c>
      <c r="AI317" s="4">
        <v>1.25</v>
      </c>
      <c r="AJ317" s="4">
        <f t="shared" si="1154"/>
        <v>2.5</v>
      </c>
      <c r="AK317" s="38">
        <f t="shared" si="1340"/>
        <v>551.25818809566204</v>
      </c>
      <c r="AL317" s="38">
        <f t="shared" si="1264"/>
        <v>551.25818809566204</v>
      </c>
      <c r="AM317" s="38">
        <f t="shared" si="1233"/>
        <v>5.4139420559889198</v>
      </c>
      <c r="AN317" s="38">
        <f t="shared" si="1161"/>
        <v>551.25818809566215</v>
      </c>
      <c r="AO317" s="38">
        <f t="shared" si="1115"/>
        <v>0.99999999999999978</v>
      </c>
      <c r="AP317" s="38">
        <f t="shared" si="1162"/>
        <v>4.6446698743115062</v>
      </c>
      <c r="AQ317" s="4">
        <f t="shared" si="1163"/>
        <v>0</v>
      </c>
      <c r="AR317" s="4" t="e">
        <f>#REF!/G317*F317^0.5/0.19</f>
        <v>#REF!</v>
      </c>
      <c r="AS317" s="4">
        <f t="shared" si="1234"/>
        <v>1</v>
      </c>
      <c r="AT317" s="38">
        <f t="shared" si="1235"/>
        <v>2560.412299215468</v>
      </c>
      <c r="AU317" s="4">
        <f t="shared" si="1236"/>
        <v>0.3</v>
      </c>
      <c r="AV317" s="4" t="e">
        <f>AU317*D317*#REF!/(D317*G317/2.75/F317^0.5)</f>
        <v>#REF!</v>
      </c>
      <c r="AW317" s="4" t="e">
        <f t="shared" si="1068"/>
        <v>#REF!</v>
      </c>
      <c r="AY317" s="4">
        <f t="shared" si="1237"/>
        <v>1.375</v>
      </c>
      <c r="AZ317" s="4" t="e">
        <f>(3*#REF!+30)*AY317*F317^0.5</f>
        <v>#REF!</v>
      </c>
      <c r="BB317" s="4">
        <f t="shared" si="1238"/>
        <v>2455.7485129683778</v>
      </c>
      <c r="BC317" s="4">
        <f t="shared" si="1275"/>
        <v>0</v>
      </c>
      <c r="BD317" s="4">
        <f t="shared" si="1069"/>
        <v>0</v>
      </c>
      <c r="BL317" s="4">
        <f t="shared" si="1239"/>
        <v>63.5</v>
      </c>
      <c r="BP317" s="9"/>
      <c r="BR317" s="9"/>
      <c r="BS317" s="9"/>
      <c r="BT317" s="9">
        <f t="shared" si="1240"/>
        <v>63.5</v>
      </c>
      <c r="BU317" s="9">
        <f t="shared" si="1241"/>
        <v>124.45999999999998</v>
      </c>
      <c r="BV317" s="9">
        <f t="shared" si="1242"/>
        <v>1.7490749303163509</v>
      </c>
      <c r="BW317" s="40">
        <f t="shared" ref="BW317:BW380" si="1343">IF(AA317&gt;1,20,0)</f>
        <v>0</v>
      </c>
      <c r="BX317" s="9">
        <f t="shared" si="1243"/>
        <v>0</v>
      </c>
      <c r="BY317" s="9">
        <f t="shared" si="1070"/>
        <v>0</v>
      </c>
      <c r="BZ317" s="9">
        <f t="shared" si="1244"/>
        <v>0.99524931562137331</v>
      </c>
      <c r="CA317" s="9">
        <f t="shared" si="1245"/>
        <v>0.68048275862068963</v>
      </c>
      <c r="CB317" s="9">
        <f t="shared" si="1246"/>
        <v>2.4922971335630986</v>
      </c>
      <c r="CC317" s="9">
        <f t="shared" si="1247"/>
        <v>4.3592144352145175</v>
      </c>
      <c r="CD317" s="40">
        <v>1</v>
      </c>
      <c r="CE317" s="9" t="e">
        <f>4*CC317*#REF!+60*CC317</f>
        <v>#REF!</v>
      </c>
      <c r="CG317" s="4" t="e">
        <f t="shared" si="1071"/>
        <v>#REF!</v>
      </c>
      <c r="CH317" s="4" t="e">
        <f t="shared" si="1072"/>
        <v>#REF!</v>
      </c>
      <c r="CI317" s="4" t="e">
        <f t="shared" si="1073"/>
        <v>#REF!</v>
      </c>
      <c r="CJ317" s="4" t="e">
        <f t="shared" si="1074"/>
        <v>#REF!</v>
      </c>
      <c r="CK317" s="4">
        <f t="shared" si="1075"/>
        <v>0.95168248490077645</v>
      </c>
      <c r="CL317" s="4">
        <f t="shared" si="1076"/>
        <v>0.95168248490077645</v>
      </c>
      <c r="CM317" s="4">
        <f t="shared" si="1310"/>
        <v>1.213946649650911</v>
      </c>
      <c r="CN317" s="4">
        <f t="shared" ref="CN317:CN380" si="1344">Z317</f>
        <v>0</v>
      </c>
      <c r="CO317" s="4" t="e">
        <f t="shared" si="1332"/>
        <v>#REF!</v>
      </c>
      <c r="CP317" s="4" t="e">
        <f t="shared" si="1333"/>
        <v>#REF!</v>
      </c>
      <c r="CQ317" s="4" t="e">
        <f t="shared" si="1334"/>
        <v>#REF!</v>
      </c>
      <c r="CR317" s="4">
        <f t="shared" si="1335"/>
        <v>1.213946649650911</v>
      </c>
      <c r="CS317" s="4">
        <f t="shared" si="1336"/>
        <v>0.95168248490077645</v>
      </c>
      <c r="CT317" s="4">
        <f t="shared" si="1337"/>
        <v>0.95168248490077645</v>
      </c>
      <c r="DC317" s="4" t="e">
        <f>#REF!</f>
        <v>#REF!</v>
      </c>
      <c r="DF317" s="4">
        <f t="shared" si="1248"/>
        <v>2.8560151401173934E-5</v>
      </c>
      <c r="DG317" s="4">
        <f t="shared" si="1083"/>
        <v>13.284777517679784</v>
      </c>
      <c r="DH317" s="4">
        <f t="shared" si="1249"/>
        <v>0.13188713077629979</v>
      </c>
      <c r="DI317" s="4">
        <f t="shared" si="1084"/>
        <v>5.907928813162874</v>
      </c>
      <c r="DJ317" s="4">
        <f t="shared" si="1085"/>
        <v>10.289641047041734</v>
      </c>
      <c r="DK317" s="4">
        <f t="shared" si="1250"/>
        <v>11.902334914317441</v>
      </c>
      <c r="DL317" s="38">
        <f t="shared" si="1251"/>
        <v>799.31034482758628</v>
      </c>
      <c r="DM317" s="4" t="e">
        <f t="shared" si="1086"/>
        <v>#REF!</v>
      </c>
      <c r="DN317" s="4">
        <f t="shared" si="1252"/>
        <v>3.9874804074753771</v>
      </c>
      <c r="DO317" s="4">
        <f t="shared" si="1309"/>
        <v>551.25818809566215</v>
      </c>
      <c r="DS317" s="4">
        <f t="shared" si="1253"/>
        <v>0.85</v>
      </c>
      <c r="DT317" s="4">
        <f t="shared" si="1254"/>
        <v>0.85</v>
      </c>
      <c r="DU317" s="4">
        <f t="shared" si="1255"/>
        <v>1</v>
      </c>
      <c r="DV317" s="4">
        <f t="shared" si="1087"/>
        <v>0.85</v>
      </c>
      <c r="DX317" s="4">
        <f t="shared" si="1256"/>
        <v>799.31034482758628</v>
      </c>
      <c r="DY317" s="25">
        <f t="shared" si="1146"/>
        <v>545.31224539901723</v>
      </c>
      <c r="EA317" s="4">
        <f t="shared" si="1147"/>
        <v>0.72249999999999992</v>
      </c>
      <c r="EB317" s="4">
        <f t="shared" si="1257"/>
        <v>13.284777517679784</v>
      </c>
      <c r="EE317" s="4">
        <f t="shared" si="1258"/>
        <v>101.28200234987457</v>
      </c>
      <c r="EF317" s="4">
        <f t="shared" si="1088"/>
        <v>3.9874804074753771</v>
      </c>
      <c r="EG317" s="4">
        <f t="shared" si="1259"/>
        <v>7.5826401421444881E-2</v>
      </c>
      <c r="EJ317" s="4">
        <f t="shared" si="1089"/>
        <v>7.5826401421444881E-2</v>
      </c>
      <c r="EK317" s="4">
        <f t="shared" si="1260"/>
        <v>0.13166703573545388</v>
      </c>
      <c r="EL317" s="4">
        <f t="shared" si="1090"/>
        <v>5.9039831441768227</v>
      </c>
      <c r="EM317" s="4">
        <f t="shared" si="1091"/>
        <v>10.288529921112668</v>
      </c>
      <c r="EN317" s="4" t="e">
        <f t="shared" si="1092"/>
        <v>#REF!</v>
      </c>
      <c r="EO317" s="4" t="e">
        <f t="shared" si="1093"/>
        <v>#REF!</v>
      </c>
      <c r="EP317" s="4" t="e">
        <f t="shared" si="1261"/>
        <v>#REF!</v>
      </c>
      <c r="EQ317" s="4" t="e">
        <f t="shared" si="1094"/>
        <v>#REF!</v>
      </c>
      <c r="ER317" s="4" t="e">
        <f t="shared" si="1262"/>
        <v>#REF!</v>
      </c>
      <c r="FA317" s="23" t="e">
        <f t="shared" si="1042"/>
        <v>#REF!</v>
      </c>
      <c r="FB317" s="23" t="e">
        <f t="shared" si="1043"/>
        <v>#REF!</v>
      </c>
      <c r="FC317" s="23">
        <f t="shared" si="1317"/>
        <v>1.4</v>
      </c>
      <c r="FD317" s="23" t="e">
        <f t="shared" si="1044"/>
        <v>#REF!</v>
      </c>
      <c r="FE317" s="23">
        <f t="shared" si="1045"/>
        <v>1</v>
      </c>
      <c r="FF317" s="23">
        <f t="shared" si="1046"/>
        <v>1</v>
      </c>
      <c r="FG317" s="23">
        <f t="shared" si="1266"/>
        <v>0</v>
      </c>
      <c r="FH317" s="23"/>
      <c r="FR317" s="4">
        <f t="shared" si="1122"/>
        <v>1</v>
      </c>
      <c r="FS317" s="4">
        <f t="shared" si="1123"/>
        <v>0.5</v>
      </c>
      <c r="FT317" s="4">
        <f t="shared" si="1124"/>
        <v>0</v>
      </c>
      <c r="FU317" s="4">
        <f t="shared" si="1125"/>
        <v>626.62527664717538</v>
      </c>
    </row>
    <row r="318" spans="2:177" ht="12" customHeight="1" x14ac:dyDescent="0.3">
      <c r="B318" s="24"/>
      <c r="C318" s="7" t="s">
        <v>456</v>
      </c>
      <c r="D318" s="38">
        <f>120/0.145</f>
        <v>827.58620689655174</v>
      </c>
      <c r="E318" s="38">
        <f>7.06*25.4</f>
        <v>179.32399999999998</v>
      </c>
      <c r="F318" s="38">
        <f t="shared" si="1338"/>
        <v>110.55172413793103</v>
      </c>
      <c r="G318" s="38">
        <f t="shared" si="1341"/>
        <v>25.4</v>
      </c>
      <c r="H318" s="38">
        <f>17*25.4</f>
        <v>431.79999999999995</v>
      </c>
      <c r="I318" s="38">
        <f t="shared" ref="I318:I363" si="1345">2.5*25.4</f>
        <v>63.5</v>
      </c>
      <c r="J318" s="39">
        <f>4.55*25.4</f>
        <v>115.57</v>
      </c>
      <c r="K318" s="7">
        <f t="shared" si="1339"/>
        <v>253.99999999999994</v>
      </c>
      <c r="L318" s="38">
        <v>2</v>
      </c>
      <c r="M318" s="4">
        <f t="shared" si="1028"/>
        <v>260.34999999999997</v>
      </c>
      <c r="N318" s="7">
        <f t="shared" si="1224"/>
        <v>3</v>
      </c>
      <c r="O318" s="7">
        <f t="shared" si="1225"/>
        <v>3</v>
      </c>
      <c r="P318" s="38">
        <v>4</v>
      </c>
      <c r="Q318" s="4">
        <f t="shared" si="1342"/>
        <v>4</v>
      </c>
      <c r="R318" s="4">
        <f t="shared" si="1226"/>
        <v>5</v>
      </c>
      <c r="S318" s="7">
        <f t="shared" si="1227"/>
        <v>56.796126628494655</v>
      </c>
      <c r="V318" s="38">
        <f t="shared" si="1054"/>
        <v>515.17241379310349</v>
      </c>
      <c r="W318" s="4">
        <v>74.7</v>
      </c>
      <c r="X318" s="4">
        <f t="shared" si="1228"/>
        <v>0.64304013454181963</v>
      </c>
      <c r="Y318" s="38">
        <f>0.5*25.4</f>
        <v>12.7</v>
      </c>
      <c r="Z318" s="38">
        <v>4</v>
      </c>
      <c r="AA318" s="39">
        <f>5.5*25.4</f>
        <v>139.69999999999999</v>
      </c>
      <c r="AB318" s="39">
        <v>1</v>
      </c>
      <c r="AC318" s="39">
        <v>1</v>
      </c>
      <c r="AD318" s="7"/>
      <c r="AE318" s="4">
        <f t="shared" si="1229"/>
        <v>179.32399999999998</v>
      </c>
      <c r="AF318" s="4">
        <f t="shared" si="1230"/>
        <v>0.80264400377714828</v>
      </c>
      <c r="AG318" s="4">
        <f t="shared" si="1231"/>
        <v>249.14551653979098</v>
      </c>
      <c r="AH318" s="4">
        <f t="shared" si="1232"/>
        <v>0.784985835694051</v>
      </c>
      <c r="AI318" s="4">
        <v>1.25</v>
      </c>
      <c r="AJ318" s="4">
        <f t="shared" si="1154"/>
        <v>2.5</v>
      </c>
      <c r="AK318" s="38">
        <f t="shared" si="1340"/>
        <v>490.55520031825944</v>
      </c>
      <c r="AL318" s="38">
        <f t="shared" si="1264"/>
        <v>490.55520031825944</v>
      </c>
      <c r="AM318" s="38">
        <f t="shared" si="1233"/>
        <v>5.4139420559889198</v>
      </c>
      <c r="AN318" s="38">
        <f t="shared" si="1161"/>
        <v>490.55520031825927</v>
      </c>
      <c r="AO318" s="38">
        <f t="shared" si="1115"/>
        <v>1.0000000000000004</v>
      </c>
      <c r="AP318" s="38">
        <f t="shared" si="1162"/>
        <v>2.7043249950148236</v>
      </c>
      <c r="AQ318" s="4">
        <f t="shared" si="1163"/>
        <v>0</v>
      </c>
      <c r="AR318" s="4" t="e">
        <f>#REF!/G318*F318^0.5/0.19</f>
        <v>#REF!</v>
      </c>
      <c r="AS318" s="4">
        <f t="shared" si="1234"/>
        <v>1</v>
      </c>
      <c r="AT318" s="38">
        <f t="shared" si="1235"/>
        <v>1326.6206896551723</v>
      </c>
      <c r="AU318" s="4">
        <f t="shared" si="1236"/>
        <v>0.44000000000000006</v>
      </c>
      <c r="AV318" s="4" t="e">
        <f>AU318*D318*#REF!/(D318*G318/2.75/F318^0.5)</f>
        <v>#REF!</v>
      </c>
      <c r="AW318" s="4" t="e">
        <f t="shared" si="1068"/>
        <v>#REF!</v>
      </c>
      <c r="AY318" s="4">
        <f t="shared" si="1237"/>
        <v>1.5</v>
      </c>
      <c r="AZ318" s="4" t="e">
        <f>(3*#REF!+30)*AY318*F318^0.5</f>
        <v>#REF!</v>
      </c>
      <c r="BB318" s="4">
        <f t="shared" si="1238"/>
        <v>1272.3914765180612</v>
      </c>
      <c r="BC318" s="4">
        <f t="shared" si="1275"/>
        <v>0</v>
      </c>
      <c r="BD318" s="4">
        <f t="shared" si="1069"/>
        <v>0</v>
      </c>
      <c r="BL318" s="4">
        <f t="shared" si="1239"/>
        <v>63.5</v>
      </c>
      <c r="BP318" s="9"/>
      <c r="BR318" s="9"/>
      <c r="BS318" s="9"/>
      <c r="BT318" s="9">
        <f t="shared" si="1240"/>
        <v>63.5</v>
      </c>
      <c r="BU318" s="9">
        <f t="shared" si="1241"/>
        <v>126.99999999999997</v>
      </c>
      <c r="BV318" s="9">
        <f t="shared" si="1242"/>
        <v>1.7543833769624846</v>
      </c>
      <c r="BW318" s="40">
        <f t="shared" si="1343"/>
        <v>20</v>
      </c>
      <c r="BX318" s="9">
        <f t="shared" si="1243"/>
        <v>0.05</v>
      </c>
      <c r="BY318" s="9">
        <f t="shared" si="1070"/>
        <v>0.8</v>
      </c>
      <c r="BZ318" s="9">
        <f t="shared" si="1244"/>
        <v>0.99524931562137331</v>
      </c>
      <c r="CA318" s="9">
        <f t="shared" si="1245"/>
        <v>0.68</v>
      </c>
      <c r="CB318" s="9">
        <f t="shared" si="1246"/>
        <v>2.4905290095198289</v>
      </c>
      <c r="CC318" s="9">
        <f t="shared" si="1247"/>
        <v>6.2263225237995723</v>
      </c>
      <c r="CD318" s="40">
        <v>1</v>
      </c>
      <c r="CE318" s="9" t="e">
        <f>4*CC318*#REF!+60*CC318</f>
        <v>#REF!</v>
      </c>
      <c r="CG318" s="4" t="e">
        <f t="shared" si="1071"/>
        <v>#REF!</v>
      </c>
      <c r="CH318" s="4" t="e">
        <f t="shared" si="1072"/>
        <v>#REF!</v>
      </c>
      <c r="CI318" s="4" t="e">
        <f t="shared" si="1073"/>
        <v>#REF!</v>
      </c>
      <c r="CJ318" s="4" t="e">
        <f t="shared" si="1074"/>
        <v>#REF!</v>
      </c>
      <c r="CK318" s="4">
        <f t="shared" si="1075"/>
        <v>0.64304013454181963</v>
      </c>
      <c r="CL318" s="4">
        <f t="shared" si="1076"/>
        <v>0.65440646347147291</v>
      </c>
      <c r="CM318" s="4">
        <f t="shared" si="1310"/>
        <v>1.0155616105585565</v>
      </c>
      <c r="CN318" s="4">
        <f t="shared" si="1344"/>
        <v>4</v>
      </c>
      <c r="CU318" s="4" t="e">
        <f t="shared" ref="CU318:CU323" si="1346">CG318</f>
        <v>#REF!</v>
      </c>
      <c r="CV318" s="4" t="e">
        <f t="shared" ref="CV318:CV323" si="1347">CH318</f>
        <v>#REF!</v>
      </c>
      <c r="CW318" s="4" t="e">
        <f t="shared" ref="CW318:CW323" si="1348">CJ318</f>
        <v>#REF!</v>
      </c>
      <c r="CX318" s="4">
        <f t="shared" ref="CX318:CX323" si="1349">CM318</f>
        <v>1.0155616105585565</v>
      </c>
      <c r="CY318" s="4">
        <f t="shared" ref="CY318:CY323" si="1350">CK318</f>
        <v>0.64304013454181963</v>
      </c>
      <c r="CZ318" s="4">
        <f t="shared" ref="CZ318:CZ323" si="1351">CL318</f>
        <v>0.65440646347147291</v>
      </c>
      <c r="DC318" s="4" t="e">
        <f>#REF!</f>
        <v>#REF!</v>
      </c>
      <c r="DF318" s="4">
        <f t="shared" si="1248"/>
        <v>2.0808531361433225E-5</v>
      </c>
      <c r="DG318" s="4">
        <f t="shared" si="1083"/>
        <v>14.3619216407349</v>
      </c>
      <c r="DH318" s="4">
        <f t="shared" si="1249"/>
        <v>0.2451590715701864</v>
      </c>
      <c r="DI318" s="4">
        <f t="shared" si="1084"/>
        <v>8.1844922173160235</v>
      </c>
      <c r="DJ318" s="4">
        <f t="shared" si="1085"/>
        <v>11.69160156050123</v>
      </c>
      <c r="DK318" s="4">
        <f t="shared" si="1250"/>
        <v>13.362107346029541</v>
      </c>
      <c r="DL318" s="38">
        <f t="shared" si="1251"/>
        <v>801.1512596490968</v>
      </c>
      <c r="DM318" s="4" t="e">
        <f t="shared" si="1086"/>
        <v>#REF!</v>
      </c>
      <c r="DN318" s="4">
        <f t="shared" si="1252"/>
        <v>2.2360679774997898</v>
      </c>
      <c r="DO318" s="4">
        <f t="shared" si="1309"/>
        <v>490.55520031825927</v>
      </c>
      <c r="DS318" s="4">
        <f t="shared" si="1253"/>
        <v>0.85</v>
      </c>
      <c r="DT318" s="4">
        <f t="shared" si="1254"/>
        <v>0.85</v>
      </c>
      <c r="DU318" s="4">
        <f t="shared" si="1255"/>
        <v>0.92500000000000004</v>
      </c>
      <c r="DV318" s="4">
        <f t="shared" si="1087"/>
        <v>0.78625</v>
      </c>
      <c r="DX318" s="4">
        <f t="shared" si="1256"/>
        <v>787.23613312166049</v>
      </c>
      <c r="DY318" s="25">
        <f t="shared" si="1146"/>
        <v>483.05063277089533</v>
      </c>
      <c r="EA318" s="4">
        <f t="shared" si="1147"/>
        <v>0.66831249999999998</v>
      </c>
      <c r="EB318" s="4">
        <f t="shared" si="1257"/>
        <v>14.3619216407349</v>
      </c>
      <c r="EE318" s="4">
        <f t="shared" si="1258"/>
        <v>56.796126628494655</v>
      </c>
      <c r="EF318" s="4">
        <f t="shared" si="1088"/>
        <v>2.2360679774997898</v>
      </c>
      <c r="EG318" s="4">
        <f t="shared" si="1259"/>
        <v>0.14095029639033016</v>
      </c>
      <c r="EJ318" s="4">
        <f t="shared" si="1089"/>
        <v>0.14095029639033016</v>
      </c>
      <c r="EK318" s="4">
        <f t="shared" si="1260"/>
        <v>0.24474994677117545</v>
      </c>
      <c r="EL318" s="4">
        <f t="shared" si="1090"/>
        <v>8.1790261228301695</v>
      </c>
      <c r="EM318" s="4">
        <f t="shared" si="1091"/>
        <v>11.689700251961565</v>
      </c>
      <c r="EN318" s="4" t="e">
        <f t="shared" si="1092"/>
        <v>#REF!</v>
      </c>
      <c r="EO318" s="4" t="e">
        <f t="shared" si="1093"/>
        <v>#REF!</v>
      </c>
      <c r="EP318" s="4" t="e">
        <f t="shared" si="1261"/>
        <v>#REF!</v>
      </c>
      <c r="EQ318" s="4" t="e">
        <f t="shared" si="1094"/>
        <v>#REF!</v>
      </c>
      <c r="ER318" s="4" t="e">
        <f t="shared" si="1262"/>
        <v>#REF!</v>
      </c>
      <c r="FA318" s="23" t="e">
        <f t="shared" si="1042"/>
        <v>#REF!</v>
      </c>
      <c r="FB318" s="23" t="e">
        <f t="shared" si="1043"/>
        <v>#REF!</v>
      </c>
      <c r="FC318" s="23">
        <f t="shared" si="1317"/>
        <v>1.2</v>
      </c>
      <c r="FD318" s="23" t="e">
        <f t="shared" si="1044"/>
        <v>#REF!</v>
      </c>
      <c r="FE318" s="23">
        <f t="shared" si="1045"/>
        <v>0.8</v>
      </c>
      <c r="FF318" s="23">
        <f t="shared" si="1046"/>
        <v>0.8</v>
      </c>
      <c r="FG318" s="23">
        <f t="shared" si="1266"/>
        <v>1</v>
      </c>
      <c r="FH318" s="23"/>
      <c r="FR318" s="4">
        <f t="shared" si="1122"/>
        <v>1</v>
      </c>
      <c r="FS318" s="4">
        <f t="shared" si="1123"/>
        <v>0.45</v>
      </c>
      <c r="FT318" s="4">
        <f t="shared" si="1124"/>
        <v>0.25</v>
      </c>
      <c r="FU318" s="4">
        <f t="shared" si="1125"/>
        <v>507.27834573203279</v>
      </c>
    </row>
    <row r="319" spans="2:177" ht="12" customHeight="1" x14ac:dyDescent="0.3">
      <c r="B319" s="24"/>
      <c r="C319" s="7" t="s">
        <v>457</v>
      </c>
      <c r="D319" s="38">
        <f t="shared" ref="D319:D320" si="1352">115.9/0.145</f>
        <v>799.31034482758628</v>
      </c>
      <c r="E319" s="38">
        <f>7.06*25.4</f>
        <v>179.32399999999998</v>
      </c>
      <c r="F319" s="38">
        <f t="shared" si="1338"/>
        <v>110.55172413793103</v>
      </c>
      <c r="G319" s="38">
        <f t="shared" si="1341"/>
        <v>25.4</v>
      </c>
      <c r="H319" s="38">
        <f>16.9*25.4</f>
        <v>429.25999999999993</v>
      </c>
      <c r="I319" s="38">
        <f t="shared" si="1345"/>
        <v>63.5</v>
      </c>
      <c r="J319" s="39">
        <f>3.25*25.4</f>
        <v>82.55</v>
      </c>
      <c r="K319" s="7">
        <f t="shared" si="1339"/>
        <v>251.45999999999992</v>
      </c>
      <c r="L319" s="38">
        <v>2</v>
      </c>
      <c r="M319" s="4">
        <f t="shared" si="1028"/>
        <v>260.34999999999997</v>
      </c>
      <c r="N319" s="7">
        <f t="shared" si="1224"/>
        <v>3</v>
      </c>
      <c r="O319" s="7">
        <f t="shared" si="1225"/>
        <v>3</v>
      </c>
      <c r="P319" s="38">
        <v>9.5</v>
      </c>
      <c r="Q319" s="4">
        <f t="shared" si="1342"/>
        <v>9.5</v>
      </c>
      <c r="R319" s="4">
        <f t="shared" si="1226"/>
        <v>10.5</v>
      </c>
      <c r="S319" s="7">
        <f t="shared" si="1227"/>
        <v>82.305406869779816</v>
      </c>
      <c r="V319" s="38">
        <f t="shared" si="1054"/>
        <v>585.51724137931046</v>
      </c>
      <c r="W319" s="4">
        <v>84.9</v>
      </c>
      <c r="X319" s="4">
        <f t="shared" si="1228"/>
        <v>0.76838286120630295</v>
      </c>
      <c r="Y319" s="38">
        <f t="shared" ref="Y319:Y323" si="1353">0.5*25.4</f>
        <v>12.7</v>
      </c>
      <c r="Z319" s="38">
        <v>4</v>
      </c>
      <c r="AA319" s="39">
        <f>5.5*25.4</f>
        <v>139.69999999999999</v>
      </c>
      <c r="AB319" s="39">
        <v>1</v>
      </c>
      <c r="AC319" s="39">
        <v>1</v>
      </c>
      <c r="AD319" s="7"/>
      <c r="AE319" s="4">
        <f t="shared" si="1229"/>
        <v>179.32399999999998</v>
      </c>
      <c r="AF319" s="4">
        <f t="shared" si="1230"/>
        <v>0.79792256846081211</v>
      </c>
      <c r="AG319" s="4">
        <f t="shared" si="1231"/>
        <v>249.14551653979098</v>
      </c>
      <c r="AH319" s="4">
        <f t="shared" si="1232"/>
        <v>0.784985835694051</v>
      </c>
      <c r="AI319" s="4">
        <v>1.25</v>
      </c>
      <c r="AJ319" s="4">
        <f t="shared" si="1154"/>
        <v>2.5</v>
      </c>
      <c r="AK319" s="38">
        <f t="shared" si="1340"/>
        <v>487.6695814928579</v>
      </c>
      <c r="AL319" s="38">
        <f t="shared" si="1264"/>
        <v>487.6695814928579</v>
      </c>
      <c r="AM319" s="38">
        <f t="shared" si="1233"/>
        <v>5.4139420559889198</v>
      </c>
      <c r="AN319" s="38">
        <f t="shared" si="1161"/>
        <v>487.66958149285767</v>
      </c>
      <c r="AO319" s="38">
        <f t="shared" si="1115"/>
        <v>1.0000000000000004</v>
      </c>
      <c r="AP319" s="38">
        <f t="shared" si="1162"/>
        <v>4.1923053365890919</v>
      </c>
      <c r="AQ319" s="4">
        <f t="shared" si="1163"/>
        <v>0</v>
      </c>
      <c r="AR319" s="4" t="e">
        <f>#REF!/G319*F319^0.5/0.19</f>
        <v>#REF!</v>
      </c>
      <c r="AS319" s="4">
        <f t="shared" si="1234"/>
        <v>1</v>
      </c>
      <c r="AT319" s="38">
        <f t="shared" si="1235"/>
        <v>2044.4597889846762</v>
      </c>
      <c r="AU319" s="4">
        <f t="shared" si="1236"/>
        <v>0.3</v>
      </c>
      <c r="AV319" s="4" t="e">
        <f>AU319*D319*#REF!/(D319*G319/2.75/F319^0.5)</f>
        <v>#REF!</v>
      </c>
      <c r="AW319" s="4" t="e">
        <f t="shared" si="1068"/>
        <v>#REF!</v>
      </c>
      <c r="AY319" s="4">
        <f t="shared" si="1237"/>
        <v>1.5</v>
      </c>
      <c r="AZ319" s="4" t="e">
        <f>(3*#REF!+30)*AY319*F319^0.5</f>
        <v>#REF!</v>
      </c>
      <c r="BB319" s="4">
        <f t="shared" si="1238"/>
        <v>1960.8869587765769</v>
      </c>
      <c r="BC319" s="4">
        <f t="shared" si="1275"/>
        <v>0</v>
      </c>
      <c r="BD319" s="4">
        <f t="shared" si="1069"/>
        <v>0</v>
      </c>
      <c r="BL319" s="4">
        <f t="shared" si="1239"/>
        <v>63.5</v>
      </c>
      <c r="BP319" s="9"/>
      <c r="BR319" s="9"/>
      <c r="BS319" s="9"/>
      <c r="BT319" s="9">
        <f t="shared" si="1240"/>
        <v>63.5</v>
      </c>
      <c r="BU319" s="9">
        <f t="shared" si="1241"/>
        <v>125.72999999999996</v>
      </c>
      <c r="BV319" s="9">
        <f t="shared" si="1242"/>
        <v>1.7517405482385959</v>
      </c>
      <c r="BW319" s="40">
        <f t="shared" si="1343"/>
        <v>20</v>
      </c>
      <c r="BX319" s="9">
        <f t="shared" si="1243"/>
        <v>0.05</v>
      </c>
      <c r="BY319" s="9">
        <f t="shared" si="1070"/>
        <v>0.8</v>
      </c>
      <c r="BZ319" s="9">
        <f t="shared" si="1244"/>
        <v>0.99524931562137331</v>
      </c>
      <c r="CA319" s="9">
        <f t="shared" si="1245"/>
        <v>0.68048275862068963</v>
      </c>
      <c r="CB319" s="9">
        <f t="shared" si="1246"/>
        <v>2.4922971335630986</v>
      </c>
      <c r="CC319" s="9">
        <f t="shared" si="1247"/>
        <v>6.2307428339077466</v>
      </c>
      <c r="CD319" s="40">
        <v>1</v>
      </c>
      <c r="CE319" s="9" t="e">
        <f>4*CC319*#REF!+60*CC319</f>
        <v>#REF!</v>
      </c>
      <c r="CG319" s="4" t="e">
        <f t="shared" si="1071"/>
        <v>#REF!</v>
      </c>
      <c r="CH319" s="4" t="e">
        <f t="shared" si="1072"/>
        <v>#REF!</v>
      </c>
      <c r="CI319" s="4" t="e">
        <f t="shared" si="1073"/>
        <v>#REF!</v>
      </c>
      <c r="CJ319" s="4" t="e">
        <f t="shared" si="1074"/>
        <v>#REF!</v>
      </c>
      <c r="CK319" s="4">
        <f t="shared" si="1075"/>
        <v>0.76838286120630295</v>
      </c>
      <c r="CL319" s="4">
        <f t="shared" si="1076"/>
        <v>0.74645745582544709</v>
      </c>
      <c r="CM319" s="4">
        <f t="shared" si="1310"/>
        <v>1.1496958567038023</v>
      </c>
      <c r="CN319" s="4">
        <f t="shared" si="1344"/>
        <v>4</v>
      </c>
      <c r="CU319" s="4" t="e">
        <f t="shared" si="1346"/>
        <v>#REF!</v>
      </c>
      <c r="CV319" s="4" t="e">
        <f t="shared" si="1347"/>
        <v>#REF!</v>
      </c>
      <c r="CW319" s="4" t="e">
        <f t="shared" si="1348"/>
        <v>#REF!</v>
      </c>
      <c r="CX319" s="4">
        <f t="shared" si="1349"/>
        <v>1.1496958567038023</v>
      </c>
      <c r="CY319" s="4">
        <f t="shared" si="1350"/>
        <v>0.76838286120630295</v>
      </c>
      <c r="CZ319" s="4">
        <f t="shared" si="1351"/>
        <v>0.74645745582544709</v>
      </c>
      <c r="DC319" s="4" t="e">
        <f>#REF!</f>
        <v>#REF!</v>
      </c>
      <c r="DF319" s="4">
        <f t="shared" si="1248"/>
        <v>2.0808531361433225E-5</v>
      </c>
      <c r="DG319" s="4">
        <f t="shared" si="1083"/>
        <v>14.3619216407349</v>
      </c>
      <c r="DH319" s="4">
        <f t="shared" si="1249"/>
        <v>0.14870712748952589</v>
      </c>
      <c r="DI319" s="4">
        <f t="shared" si="1084"/>
        <v>6.7010871591731629</v>
      </c>
      <c r="DJ319" s="4">
        <f t="shared" si="1085"/>
        <v>11.214389858252142</v>
      </c>
      <c r="DK319" s="4">
        <f t="shared" si="1250"/>
        <v>13.501571585500448</v>
      </c>
      <c r="DL319" s="38">
        <f t="shared" si="1251"/>
        <v>762.01236511196089</v>
      </c>
      <c r="DM319" s="4" t="e">
        <f t="shared" si="1086"/>
        <v>#REF!</v>
      </c>
      <c r="DN319" s="4">
        <f t="shared" si="1252"/>
        <v>3.2403703492039297</v>
      </c>
      <c r="DO319" s="4">
        <f t="shared" si="1309"/>
        <v>487.66958149285767</v>
      </c>
      <c r="DS319" s="4">
        <f t="shared" si="1253"/>
        <v>0.85</v>
      </c>
      <c r="DT319" s="4">
        <f t="shared" si="1254"/>
        <v>0.85</v>
      </c>
      <c r="DU319" s="4">
        <f t="shared" si="1255"/>
        <v>0.92500000000000004</v>
      </c>
      <c r="DV319" s="4">
        <f t="shared" si="1087"/>
        <v>0.78625</v>
      </c>
      <c r="DX319" s="4">
        <f t="shared" si="1256"/>
        <v>784.39465881124352</v>
      </c>
      <c r="DY319" s="25">
        <f t="shared" si="1146"/>
        <v>480.20915846047836</v>
      </c>
      <c r="EA319" s="4">
        <f t="shared" si="1147"/>
        <v>0.66831249999999998</v>
      </c>
      <c r="EB319" s="4">
        <f t="shared" si="1257"/>
        <v>14.3619216407349</v>
      </c>
      <c r="EE319" s="4">
        <f t="shared" si="1258"/>
        <v>82.305406869779816</v>
      </c>
      <c r="EF319" s="4">
        <f t="shared" si="1088"/>
        <v>3.2403703492039302</v>
      </c>
      <c r="EG319" s="4">
        <f t="shared" si="1259"/>
        <v>8.5496790148361215E-2</v>
      </c>
      <c r="EJ319" s="4">
        <f t="shared" si="1089"/>
        <v>8.5496790148361215E-2</v>
      </c>
      <c r="EK319" s="4">
        <f t="shared" si="1260"/>
        <v>0.14845896300898689</v>
      </c>
      <c r="EL319" s="4">
        <f t="shared" si="1090"/>
        <v>6.6966117715012832</v>
      </c>
      <c r="EM319" s="4">
        <f t="shared" si="1091"/>
        <v>11.213073895081219</v>
      </c>
      <c r="EN319" s="4" t="e">
        <f t="shared" si="1092"/>
        <v>#REF!</v>
      </c>
      <c r="EO319" s="4" t="e">
        <f t="shared" si="1093"/>
        <v>#REF!</v>
      </c>
      <c r="EP319" s="4" t="e">
        <f t="shared" si="1261"/>
        <v>#REF!</v>
      </c>
      <c r="EQ319" s="4" t="e">
        <f t="shared" si="1094"/>
        <v>#REF!</v>
      </c>
      <c r="ER319" s="4" t="e">
        <f t="shared" si="1262"/>
        <v>#REF!</v>
      </c>
      <c r="FA319" s="23" t="e">
        <f t="shared" si="1042"/>
        <v>#REF!</v>
      </c>
      <c r="FB319" s="23" t="e">
        <f t="shared" si="1043"/>
        <v>#REF!</v>
      </c>
      <c r="FC319" s="23">
        <f t="shared" si="1317"/>
        <v>1.2</v>
      </c>
      <c r="FD319" s="23" t="e">
        <f t="shared" si="1044"/>
        <v>#REF!</v>
      </c>
      <c r="FE319" s="23">
        <f t="shared" si="1045"/>
        <v>0.8</v>
      </c>
      <c r="FF319" s="23">
        <f t="shared" si="1046"/>
        <v>0.8</v>
      </c>
      <c r="FG319" s="23">
        <f t="shared" si="1266"/>
        <v>1</v>
      </c>
      <c r="FH319" s="23"/>
      <c r="FR319" s="4">
        <f t="shared" si="1122"/>
        <v>1</v>
      </c>
      <c r="FS319" s="4">
        <f t="shared" si="1123"/>
        <v>0.4482312338222606</v>
      </c>
      <c r="FT319" s="4">
        <f t="shared" si="1124"/>
        <v>0.25</v>
      </c>
      <c r="FU319" s="4">
        <f t="shared" si="1125"/>
        <v>509.28011783742392</v>
      </c>
    </row>
    <row r="320" spans="2:177" ht="12" customHeight="1" x14ac:dyDescent="0.3">
      <c r="B320" s="24"/>
      <c r="C320" s="7" t="s">
        <v>458</v>
      </c>
      <c r="D320" s="38">
        <f t="shared" si="1352"/>
        <v>799.31034482758628</v>
      </c>
      <c r="E320" s="38">
        <f>7*25.4</f>
        <v>177.79999999999998</v>
      </c>
      <c r="F320" s="38">
        <f t="shared" si="1338"/>
        <v>110.55172413793103</v>
      </c>
      <c r="G320" s="38">
        <f t="shared" si="1341"/>
        <v>25.4</v>
      </c>
      <c r="H320" s="38">
        <f>17.6*25.4</f>
        <v>447.04</v>
      </c>
      <c r="I320" s="38">
        <f>2.85*25.4</f>
        <v>72.39</v>
      </c>
      <c r="J320" s="39">
        <f>3.3*25.4</f>
        <v>83.82</v>
      </c>
      <c r="K320" s="7">
        <f t="shared" si="1339"/>
        <v>251.46</v>
      </c>
      <c r="L320" s="38">
        <v>2</v>
      </c>
      <c r="M320" s="4">
        <f t="shared" si="1028"/>
        <v>260.34999999999997</v>
      </c>
      <c r="N320" s="7">
        <f t="shared" si="1224"/>
        <v>3.35</v>
      </c>
      <c r="O320" s="7">
        <f t="shared" si="1225"/>
        <v>3.35</v>
      </c>
      <c r="P320" s="38">
        <v>14.9</v>
      </c>
      <c r="Q320" s="4">
        <f t="shared" si="1342"/>
        <v>14.9</v>
      </c>
      <c r="R320" s="4">
        <f t="shared" si="1226"/>
        <v>15.9</v>
      </c>
      <c r="S320" s="7">
        <f t="shared" si="1227"/>
        <v>101.28200234987457</v>
      </c>
      <c r="V320" s="38">
        <f t="shared" si="1054"/>
        <v>692.41379310344837</v>
      </c>
      <c r="W320" s="4">
        <v>100.4</v>
      </c>
      <c r="X320" s="4">
        <f t="shared" si="1228"/>
        <v>0.89552419733717004</v>
      </c>
      <c r="Y320" s="38">
        <f t="shared" si="1353"/>
        <v>12.7</v>
      </c>
      <c r="Z320" s="38">
        <v>4</v>
      </c>
      <c r="AA320" s="39">
        <f>5.5*25.4</f>
        <v>139.69999999999999</v>
      </c>
      <c r="AB320" s="39">
        <v>1</v>
      </c>
      <c r="AC320" s="39">
        <v>1</v>
      </c>
      <c r="AD320" s="7"/>
      <c r="AE320" s="4">
        <f t="shared" si="1229"/>
        <v>177.79999999999998</v>
      </c>
      <c r="AF320" s="4">
        <f t="shared" si="1230"/>
        <v>0.83809523809523823</v>
      </c>
      <c r="AG320" s="4">
        <f t="shared" si="1231"/>
        <v>245.97619817542986</v>
      </c>
      <c r="AH320" s="4">
        <f t="shared" si="1232"/>
        <v>0.79571428571428571</v>
      </c>
      <c r="AI320" s="4">
        <v>1.25</v>
      </c>
      <c r="AJ320" s="4">
        <f t="shared" si="1154"/>
        <v>2.5</v>
      </c>
      <c r="AK320" s="38">
        <f t="shared" si="1340"/>
        <v>512.61774361253697</v>
      </c>
      <c r="AL320" s="38">
        <f t="shared" si="1264"/>
        <v>512.61774361253697</v>
      </c>
      <c r="AM320" s="38">
        <f t="shared" si="1233"/>
        <v>5.4139420559889198</v>
      </c>
      <c r="AN320" s="38">
        <f t="shared" si="1161"/>
        <v>512.6177436125372</v>
      </c>
      <c r="AO320" s="38">
        <f t="shared" si="1115"/>
        <v>0.99999999999999956</v>
      </c>
      <c r="AP320" s="38">
        <f t="shared" si="1162"/>
        <v>5.5775031260298089</v>
      </c>
      <c r="AQ320" s="4">
        <f t="shared" si="1163"/>
        <v>0</v>
      </c>
      <c r="AR320" s="4" t="e">
        <f>#REF!/G320*F320^0.5/0.19</f>
        <v>#REF!</v>
      </c>
      <c r="AS320" s="4">
        <f t="shared" si="1234"/>
        <v>1</v>
      </c>
      <c r="AT320" s="38">
        <f t="shared" si="1235"/>
        <v>2859.1270674572734</v>
      </c>
      <c r="AU320" s="4">
        <f t="shared" si="1236"/>
        <v>0.3</v>
      </c>
      <c r="AV320" s="4" t="e">
        <f>AU320*D320*#REF!/(D320*G320/2.75/F320^0.5)</f>
        <v>#REF!</v>
      </c>
      <c r="AW320" s="4" t="e">
        <f t="shared" si="1068"/>
        <v>#REF!</v>
      </c>
      <c r="AY320" s="4">
        <f t="shared" si="1237"/>
        <v>1.5</v>
      </c>
      <c r="AZ320" s="4" t="e">
        <f>(3*#REF!+30)*AY320*F320^0.5</f>
        <v>#REF!</v>
      </c>
      <c r="BB320" s="4">
        <f t="shared" si="1238"/>
        <v>2742.2525061480219</v>
      </c>
      <c r="BC320" s="4">
        <f t="shared" si="1275"/>
        <v>0</v>
      </c>
      <c r="BD320" s="4">
        <f t="shared" si="1069"/>
        <v>0</v>
      </c>
      <c r="BL320" s="4">
        <f t="shared" si="1239"/>
        <v>72.39</v>
      </c>
      <c r="BP320" s="9"/>
      <c r="BR320" s="9"/>
      <c r="BS320" s="9"/>
      <c r="BT320" s="9">
        <f t="shared" si="1240"/>
        <v>72.39</v>
      </c>
      <c r="BU320" s="9">
        <f t="shared" si="1241"/>
        <v>125.73</v>
      </c>
      <c r="BV320" s="9">
        <f t="shared" si="1242"/>
        <v>1.8339457339368097</v>
      </c>
      <c r="BW320" s="40">
        <f t="shared" si="1343"/>
        <v>20</v>
      </c>
      <c r="BX320" s="9">
        <f t="shared" si="1243"/>
        <v>0.05</v>
      </c>
      <c r="BY320" s="9">
        <f t="shared" si="1070"/>
        <v>0.8</v>
      </c>
      <c r="BZ320" s="9">
        <f t="shared" si="1244"/>
        <v>0.99524931562137331</v>
      </c>
      <c r="CA320" s="9">
        <f t="shared" si="1245"/>
        <v>0.68048275862068963</v>
      </c>
      <c r="CB320" s="9">
        <f t="shared" si="1246"/>
        <v>2.4922971335630986</v>
      </c>
      <c r="CC320" s="9">
        <f t="shared" si="1247"/>
        <v>6.2307428339077466</v>
      </c>
      <c r="CD320" s="40">
        <v>1</v>
      </c>
      <c r="CE320" s="9" t="e">
        <f>4*CC320*#REF!+60*CC320</f>
        <v>#REF!</v>
      </c>
      <c r="CG320" s="4" t="e">
        <f t="shared" si="1071"/>
        <v>#REF!</v>
      </c>
      <c r="CH320" s="4" t="e">
        <f t="shared" si="1072"/>
        <v>#REF!</v>
      </c>
      <c r="CI320" s="4" t="e">
        <f t="shared" si="1073"/>
        <v>#REF!</v>
      </c>
      <c r="CJ320" s="4" t="e">
        <f t="shared" si="1074"/>
        <v>#REF!</v>
      </c>
      <c r="CK320" s="4">
        <f t="shared" si="1075"/>
        <v>0.89552419733717004</v>
      </c>
      <c r="CL320" s="4">
        <f t="shared" si="1076"/>
        <v>0.86626402070750652</v>
      </c>
      <c r="CM320" s="4">
        <f t="shared" si="1310"/>
        <v>1.3712468718361366</v>
      </c>
      <c r="CN320" s="4">
        <f t="shared" si="1344"/>
        <v>4</v>
      </c>
      <c r="CU320" s="4" t="e">
        <f t="shared" si="1346"/>
        <v>#REF!</v>
      </c>
      <c r="CV320" s="4" t="e">
        <f t="shared" si="1347"/>
        <v>#REF!</v>
      </c>
      <c r="CW320" s="4" t="e">
        <f t="shared" si="1348"/>
        <v>#REF!</v>
      </c>
      <c r="CX320" s="4">
        <f t="shared" si="1349"/>
        <v>1.3712468718361366</v>
      </c>
      <c r="CY320" s="4">
        <f t="shared" si="1350"/>
        <v>0.89552419733717004</v>
      </c>
      <c r="CZ320" s="4">
        <f t="shared" si="1351"/>
        <v>0.86626402070750652</v>
      </c>
      <c r="DC320" s="4" t="e">
        <f>#REF!</f>
        <v>#REF!</v>
      </c>
      <c r="DF320" s="4">
        <f t="shared" si="1248"/>
        <v>2.0631688318701494E-5</v>
      </c>
      <c r="DG320" s="4">
        <f t="shared" si="1083"/>
        <v>14.978691281748057</v>
      </c>
      <c r="DH320" s="4">
        <f t="shared" si="1249"/>
        <v>0.12264250191662669</v>
      </c>
      <c r="DI320" s="4">
        <f t="shared" si="1084"/>
        <v>6.4703872005676581</v>
      </c>
      <c r="DJ320" s="4">
        <f t="shared" si="1085"/>
        <v>11.548596486030259</v>
      </c>
      <c r="DK320" s="4">
        <f t="shared" si="1250"/>
        <v>14.150372924751665</v>
      </c>
      <c r="DL320" s="38">
        <f t="shared" si="1251"/>
        <v>773.19384016906758</v>
      </c>
      <c r="DM320" s="4" t="e">
        <f t="shared" si="1086"/>
        <v>#REF!</v>
      </c>
      <c r="DN320" s="4">
        <f t="shared" si="1252"/>
        <v>3.9874804074753771</v>
      </c>
      <c r="DO320" s="4">
        <f t="shared" si="1309"/>
        <v>512.6177436125372</v>
      </c>
      <c r="DS320" s="4">
        <f t="shared" si="1253"/>
        <v>0.85</v>
      </c>
      <c r="DT320" s="4">
        <f t="shared" si="1254"/>
        <v>0.81499999999999995</v>
      </c>
      <c r="DU320" s="4">
        <f t="shared" si="1255"/>
        <v>0.92500000000000004</v>
      </c>
      <c r="DV320" s="4">
        <f t="shared" si="1087"/>
        <v>0.75387499999999996</v>
      </c>
      <c r="DX320" s="4">
        <f t="shared" si="1256"/>
        <v>799.31034482758628</v>
      </c>
      <c r="DY320" s="25">
        <f t="shared" si="1146"/>
        <v>504.82228840667528</v>
      </c>
      <c r="EA320" s="4">
        <f t="shared" si="1147"/>
        <v>0.64079374999999994</v>
      </c>
      <c r="EB320" s="4">
        <f t="shared" si="1257"/>
        <v>14.978691281748057</v>
      </c>
      <c r="EE320" s="4">
        <f t="shared" si="1258"/>
        <v>101.28200234987457</v>
      </c>
      <c r="EF320" s="4">
        <f t="shared" si="1088"/>
        <v>3.9874804074753771</v>
      </c>
      <c r="EG320" s="4">
        <f t="shared" si="1259"/>
        <v>7.0511349567789622E-2</v>
      </c>
      <c r="EJ320" s="4">
        <f t="shared" si="1089"/>
        <v>7.0511349567789622E-2</v>
      </c>
      <c r="EK320" s="4">
        <f t="shared" si="1260"/>
        <v>0.12243783443838298</v>
      </c>
      <c r="EL320" s="4">
        <f t="shared" si="1090"/>
        <v>6.4660658881564208</v>
      </c>
      <c r="EM320" s="4">
        <f t="shared" si="1091"/>
        <v>11.547411628168957</v>
      </c>
      <c r="EN320" s="4" t="e">
        <f t="shared" si="1092"/>
        <v>#REF!</v>
      </c>
      <c r="EO320" s="4" t="e">
        <f t="shared" si="1093"/>
        <v>#REF!</v>
      </c>
      <c r="EP320" s="4" t="e">
        <f t="shared" si="1261"/>
        <v>#REF!</v>
      </c>
      <c r="EQ320" s="4" t="e">
        <f t="shared" si="1094"/>
        <v>#REF!</v>
      </c>
      <c r="ER320" s="4" t="e">
        <f t="shared" si="1262"/>
        <v>#REF!</v>
      </c>
      <c r="FA320" s="23" t="e">
        <f t="shared" si="1042"/>
        <v>#REF!</v>
      </c>
      <c r="FB320" s="23" t="e">
        <f t="shared" si="1043"/>
        <v>#REF!</v>
      </c>
      <c r="FC320" s="23">
        <f t="shared" si="1317"/>
        <v>1.4</v>
      </c>
      <c r="FD320" s="23" t="e">
        <f t="shared" si="1044"/>
        <v>#REF!</v>
      </c>
      <c r="FE320" s="23">
        <f t="shared" si="1045"/>
        <v>1</v>
      </c>
      <c r="FF320" s="23">
        <f t="shared" si="1046"/>
        <v>1</v>
      </c>
      <c r="FG320" s="23">
        <f t="shared" si="1266"/>
        <v>0</v>
      </c>
      <c r="FH320" s="23"/>
      <c r="FR320" s="4">
        <f t="shared" si="1122"/>
        <v>1</v>
      </c>
      <c r="FS320" s="4">
        <f t="shared" si="1123"/>
        <v>0.4482312338222606</v>
      </c>
      <c r="FT320" s="4">
        <f t="shared" si="1124"/>
        <v>0.25</v>
      </c>
      <c r="FU320" s="4">
        <f t="shared" si="1125"/>
        <v>504.95195819574604</v>
      </c>
    </row>
    <row r="321" spans="2:177" ht="12" customHeight="1" x14ac:dyDescent="0.3">
      <c r="B321" s="24"/>
      <c r="C321" s="7" t="s">
        <v>459</v>
      </c>
      <c r="D321" s="38">
        <f>120/0.145</f>
        <v>827.58620689655174</v>
      </c>
      <c r="E321" s="38">
        <f>5.5*25.4</f>
        <v>139.69999999999999</v>
      </c>
      <c r="F321" s="38">
        <f t="shared" si="1338"/>
        <v>110.55172413793103</v>
      </c>
      <c r="G321" s="38">
        <f t="shared" si="1341"/>
        <v>25.4</v>
      </c>
      <c r="H321" s="38">
        <f>16.9*25.4</f>
        <v>429.25999999999993</v>
      </c>
      <c r="I321" s="38">
        <f>2.45*25.4</f>
        <v>62.230000000000004</v>
      </c>
      <c r="J321" s="39">
        <f>4.7*25.4</f>
        <v>119.38</v>
      </c>
      <c r="K321" s="7">
        <f t="shared" si="1339"/>
        <v>253.99999999999991</v>
      </c>
      <c r="L321" s="38">
        <v>2</v>
      </c>
      <c r="M321" s="4">
        <f t="shared" si="1028"/>
        <v>260.34999999999997</v>
      </c>
      <c r="N321" s="7">
        <f t="shared" si="1224"/>
        <v>2.95</v>
      </c>
      <c r="O321" s="7">
        <f t="shared" si="1225"/>
        <v>2.95</v>
      </c>
      <c r="P321" s="38">
        <v>4</v>
      </c>
      <c r="Q321" s="4">
        <f t="shared" si="1342"/>
        <v>4</v>
      </c>
      <c r="R321" s="4">
        <f t="shared" si="1226"/>
        <v>5</v>
      </c>
      <c r="S321" s="7">
        <f t="shared" si="1227"/>
        <v>56.796126628494655</v>
      </c>
      <c r="V321" s="38">
        <f t="shared" si="1054"/>
        <v>552.41379310344826</v>
      </c>
      <c r="W321" s="4">
        <v>80.099999999999994</v>
      </c>
      <c r="X321" s="4">
        <f t="shared" si="1228"/>
        <v>0.7840718743477787</v>
      </c>
      <c r="Y321" s="38">
        <f t="shared" si="1353"/>
        <v>12.7</v>
      </c>
      <c r="Z321" s="38">
        <v>10</v>
      </c>
      <c r="AA321" s="39">
        <f t="shared" ref="AA321:AA323" si="1354">3*25.4</f>
        <v>76.199999999999989</v>
      </c>
      <c r="AB321" s="39">
        <v>3</v>
      </c>
      <c r="AC321" s="39">
        <f t="shared" ref="AC321:AC323" si="1355">AB321-1</f>
        <v>2</v>
      </c>
      <c r="AD321" s="7"/>
      <c r="AE321" s="4">
        <f t="shared" si="1229"/>
        <v>139.69999999999999</v>
      </c>
      <c r="AF321" s="4">
        <f t="shared" si="1230"/>
        <v>1.0242424242424242</v>
      </c>
      <c r="AG321" s="4">
        <f t="shared" si="1231"/>
        <v>171.31289685931245</v>
      </c>
      <c r="AH321" s="4">
        <f t="shared" si="1232"/>
        <v>0.80727272727272725</v>
      </c>
      <c r="AI321" s="4">
        <v>1.25</v>
      </c>
      <c r="AJ321" s="4">
        <f t="shared" si="1154"/>
        <v>2.5</v>
      </c>
      <c r="AK321" s="38">
        <f t="shared" si="1340"/>
        <v>442.65270415755396</v>
      </c>
      <c r="AL321" s="38">
        <f t="shared" si="1264"/>
        <v>442.65270415755396</v>
      </c>
      <c r="AM321" s="38">
        <f t="shared" si="1233"/>
        <v>5.4139420559889198</v>
      </c>
      <c r="AN321" s="38">
        <f t="shared" si="1161"/>
        <v>442.65270415755384</v>
      </c>
      <c r="AO321" s="38">
        <f t="shared" si="1115"/>
        <v>1.0000000000000002</v>
      </c>
      <c r="AP321" s="38">
        <f t="shared" si="1162"/>
        <v>2.9470289745779361</v>
      </c>
      <c r="AQ321" s="4">
        <f t="shared" si="1163"/>
        <v>0</v>
      </c>
      <c r="AR321" s="4" t="e">
        <f>#REF!/G321*F321^0.5/0.19</f>
        <v>#REF!</v>
      </c>
      <c r="AS321" s="4">
        <f t="shared" si="1234"/>
        <v>1</v>
      </c>
      <c r="AT321" s="38">
        <f t="shared" si="1235"/>
        <v>1304.5103448275863</v>
      </c>
      <c r="AU321" s="4">
        <f t="shared" si="1236"/>
        <v>0.44000000000000006</v>
      </c>
      <c r="AV321" s="4" t="e">
        <f>AU321*D321*#REF!/(D321*G321/2.75/F321^0.5)</f>
        <v>#REF!</v>
      </c>
      <c r="AW321" s="4" t="e">
        <f t="shared" si="1068"/>
        <v>#REF!</v>
      </c>
      <c r="AY321" s="4">
        <f t="shared" si="1237"/>
        <v>1.5</v>
      </c>
      <c r="AZ321" s="4" t="e">
        <f>(3*#REF!+30)*AY321*F321^0.5</f>
        <v>#REF!</v>
      </c>
      <c r="BB321" s="4">
        <f t="shared" si="1238"/>
        <v>1251.1849519094269</v>
      </c>
      <c r="BC321" s="4">
        <f t="shared" si="1275"/>
        <v>0</v>
      </c>
      <c r="BD321" s="4">
        <f t="shared" si="1069"/>
        <v>0</v>
      </c>
      <c r="BL321" s="4">
        <f t="shared" si="1239"/>
        <v>62.230000000000004</v>
      </c>
      <c r="BP321" s="9"/>
      <c r="BR321" s="9"/>
      <c r="BS321" s="9"/>
      <c r="BT321" s="9">
        <f t="shared" si="1240"/>
        <v>62.230000000000004</v>
      </c>
      <c r="BU321" s="9">
        <f t="shared" si="1241"/>
        <v>126.99999999999996</v>
      </c>
      <c r="BV321" s="9">
        <f t="shared" si="1242"/>
        <v>1.7420219790042637</v>
      </c>
      <c r="BW321" s="40">
        <f t="shared" si="1343"/>
        <v>20</v>
      </c>
      <c r="BX321" s="9">
        <f t="shared" si="1243"/>
        <v>0.05</v>
      </c>
      <c r="BY321" s="9">
        <f t="shared" si="1070"/>
        <v>0.8</v>
      </c>
      <c r="BZ321" s="9">
        <f t="shared" si="1244"/>
        <v>0.99524931562137331</v>
      </c>
      <c r="CA321" s="9">
        <f t="shared" si="1245"/>
        <v>0.68</v>
      </c>
      <c r="CB321" s="9">
        <f t="shared" si="1246"/>
        <v>2.4905290095198289</v>
      </c>
      <c r="CC321" s="9">
        <f t="shared" si="1247"/>
        <v>6.2263225237995723</v>
      </c>
      <c r="CD321" s="40">
        <v>1</v>
      </c>
      <c r="CE321" s="9" t="e">
        <f>4*CC321*#REF!+60*CC321</f>
        <v>#REF!</v>
      </c>
      <c r="CG321" s="4" t="e">
        <f t="shared" si="1071"/>
        <v>#REF!</v>
      </c>
      <c r="CH321" s="4" t="e">
        <f t="shared" si="1072"/>
        <v>#REF!</v>
      </c>
      <c r="CI321" s="4" t="e">
        <f t="shared" si="1073"/>
        <v>#REF!</v>
      </c>
      <c r="CJ321" s="4" t="e">
        <f t="shared" si="1074"/>
        <v>#REF!</v>
      </c>
      <c r="CK321" s="4">
        <f t="shared" si="1075"/>
        <v>0.7840718743477787</v>
      </c>
      <c r="CL321" s="4">
        <f t="shared" si="1076"/>
        <v>0.78909154398737613</v>
      </c>
      <c r="CM321" s="4">
        <f t="shared" si="1310"/>
        <v>1.7084818805310933</v>
      </c>
      <c r="CN321" s="4">
        <f t="shared" si="1344"/>
        <v>10</v>
      </c>
      <c r="CU321" s="4" t="e">
        <f t="shared" si="1346"/>
        <v>#REF!</v>
      </c>
      <c r="CV321" s="4" t="e">
        <f t="shared" si="1347"/>
        <v>#REF!</v>
      </c>
      <c r="CW321" s="4" t="e">
        <f t="shared" si="1348"/>
        <v>#REF!</v>
      </c>
      <c r="CX321" s="4">
        <f t="shared" si="1349"/>
        <v>1.7084818805310933</v>
      </c>
      <c r="CY321" s="4">
        <f t="shared" si="1350"/>
        <v>0.7840718743477787</v>
      </c>
      <c r="CZ321" s="4">
        <f t="shared" si="1351"/>
        <v>0.78909154398737613</v>
      </c>
      <c r="DC321" s="4" t="e">
        <f>#REF!</f>
        <v>#REF!</v>
      </c>
      <c r="DF321" s="4">
        <f t="shared" si="1248"/>
        <v>1.6210612250408316E-5</v>
      </c>
      <c r="DG321" s="4">
        <f t="shared" si="1083"/>
        <v>16.131515557182595</v>
      </c>
      <c r="DH321" s="4">
        <f t="shared" si="1249"/>
        <v>0.22121939775359259</v>
      </c>
      <c r="DI321" s="4">
        <f t="shared" si="1084"/>
        <v>8.8227597567894236</v>
      </c>
      <c r="DJ321" s="4">
        <f t="shared" si="1085"/>
        <v>13.005450825815979</v>
      </c>
      <c r="DK321" s="4">
        <f t="shared" si="1250"/>
        <v>15.402422409568091</v>
      </c>
      <c r="DL321" s="38">
        <f t="shared" si="1251"/>
        <v>704.54483979924339</v>
      </c>
      <c r="DM321" s="4" t="e">
        <f t="shared" si="1086"/>
        <v>#REF!</v>
      </c>
      <c r="DN321" s="4">
        <f t="shared" si="1252"/>
        <v>2.2360679774997898</v>
      </c>
      <c r="DO321" s="4">
        <f t="shared" si="1309"/>
        <v>442.65270415755384</v>
      </c>
      <c r="DS321" s="4">
        <f t="shared" si="1253"/>
        <v>0.85</v>
      </c>
      <c r="DT321" s="4">
        <f t="shared" si="1254"/>
        <v>0.85499999999999998</v>
      </c>
      <c r="DU321" s="4">
        <f t="shared" si="1255"/>
        <v>0.77500000000000002</v>
      </c>
      <c r="DV321" s="4">
        <f t="shared" si="1087"/>
        <v>0.7</v>
      </c>
      <c r="DX321" s="4">
        <f t="shared" si="1256"/>
        <v>700.06299942340502</v>
      </c>
      <c r="DY321" s="25">
        <f t="shared" si="1146"/>
        <v>433.89299272989223</v>
      </c>
      <c r="EA321" s="4">
        <f t="shared" si="1147"/>
        <v>0.59499999999999997</v>
      </c>
      <c r="EB321" s="4">
        <f t="shared" si="1257"/>
        <v>16.131515557182595</v>
      </c>
      <c r="EE321" s="4">
        <f t="shared" si="1258"/>
        <v>56.796126628494655</v>
      </c>
      <c r="EF321" s="4">
        <f t="shared" si="1088"/>
        <v>2.2360679774997898</v>
      </c>
      <c r="EG321" s="4">
        <f t="shared" si="1259"/>
        <v>0.12718656291587582</v>
      </c>
      <c r="EJ321" s="4">
        <f t="shared" si="1089"/>
        <v>0.12718656291587582</v>
      </c>
      <c r="EK321" s="4">
        <f t="shared" si="1260"/>
        <v>0.22085022380843289</v>
      </c>
      <c r="EL321" s="4">
        <f t="shared" si="1090"/>
        <v>8.8168673889825904</v>
      </c>
      <c r="EM321" s="4">
        <f t="shared" si="1091"/>
        <v>13.003467602457354</v>
      </c>
      <c r="EN321" s="4" t="e">
        <f t="shared" si="1092"/>
        <v>#REF!</v>
      </c>
      <c r="EO321" s="4" t="e">
        <f t="shared" si="1093"/>
        <v>#REF!</v>
      </c>
      <c r="EP321" s="4" t="e">
        <f t="shared" si="1261"/>
        <v>#REF!</v>
      </c>
      <c r="EQ321" s="4" t="e">
        <f t="shared" si="1094"/>
        <v>#REF!</v>
      </c>
      <c r="ER321" s="4" t="e">
        <f t="shared" si="1262"/>
        <v>#REF!</v>
      </c>
      <c r="FA321" s="23" t="e">
        <f t="shared" si="1042"/>
        <v>#REF!</v>
      </c>
      <c r="FB321" s="23" t="e">
        <f t="shared" si="1043"/>
        <v>#REF!</v>
      </c>
      <c r="FC321" s="23">
        <f t="shared" si="1317"/>
        <v>1.8</v>
      </c>
      <c r="FD321" s="23" t="e">
        <f t="shared" si="1044"/>
        <v>#REF!</v>
      </c>
      <c r="FE321" s="23">
        <f t="shared" si="1045"/>
        <v>0.8</v>
      </c>
      <c r="FF321" s="23">
        <f t="shared" si="1046"/>
        <v>0.8</v>
      </c>
      <c r="FG321" s="23">
        <f t="shared" si="1266"/>
        <v>1</v>
      </c>
      <c r="FH321" s="23"/>
      <c r="FR321" s="4">
        <f t="shared" si="1122"/>
        <v>1.25</v>
      </c>
      <c r="FS321" s="4">
        <f t="shared" si="1123"/>
        <v>0.44</v>
      </c>
      <c r="FT321" s="4">
        <f t="shared" si="1124"/>
        <v>0.3</v>
      </c>
      <c r="FU321" s="4">
        <f t="shared" si="1125"/>
        <v>323.33605606149399</v>
      </c>
    </row>
    <row r="322" spans="2:177" ht="12" customHeight="1" x14ac:dyDescent="0.3">
      <c r="B322" s="24"/>
      <c r="C322" s="7" t="s">
        <v>460</v>
      </c>
      <c r="D322" s="38">
        <f t="shared" ref="D322:D323" si="1356">115.9/0.145</f>
        <v>799.31034482758628</v>
      </c>
      <c r="E322" s="38">
        <f>5.63*25.4</f>
        <v>143.00199999999998</v>
      </c>
      <c r="F322" s="38">
        <f t="shared" si="1338"/>
        <v>110.55172413793103</v>
      </c>
      <c r="G322" s="38">
        <f t="shared" si="1341"/>
        <v>25.4</v>
      </c>
      <c r="H322" s="38">
        <f>16.8*25.4</f>
        <v>426.71999999999997</v>
      </c>
      <c r="I322" s="38">
        <f>2.35*25.4</f>
        <v>59.69</v>
      </c>
      <c r="J322" s="39">
        <f>3.15*25.4</f>
        <v>80.009999999999991</v>
      </c>
      <c r="K322" s="7">
        <f t="shared" si="1339"/>
        <v>256.53999999999996</v>
      </c>
      <c r="L322" s="38">
        <v>2</v>
      </c>
      <c r="M322" s="4">
        <f t="shared" ref="M322:M377" si="1357">10.25*25.4</f>
        <v>260.34999999999997</v>
      </c>
      <c r="N322" s="7">
        <f t="shared" si="1224"/>
        <v>2.85</v>
      </c>
      <c r="O322" s="7">
        <f t="shared" si="1225"/>
        <v>2.85</v>
      </c>
      <c r="P322" s="38">
        <v>9.5</v>
      </c>
      <c r="Q322" s="4">
        <f t="shared" si="1342"/>
        <v>9.5</v>
      </c>
      <c r="R322" s="4">
        <f t="shared" si="1226"/>
        <v>10.5</v>
      </c>
      <c r="S322" s="7">
        <f t="shared" si="1227"/>
        <v>82.305406869779816</v>
      </c>
      <c r="V322" s="38">
        <f t="shared" si="1054"/>
        <v>661.37931034482767</v>
      </c>
      <c r="W322" s="4">
        <v>95.9</v>
      </c>
      <c r="X322" s="4">
        <f t="shared" si="1228"/>
        <v>0.98409766607899973</v>
      </c>
      <c r="Y322" s="38">
        <f t="shared" si="1353"/>
        <v>12.7</v>
      </c>
      <c r="Z322" s="38">
        <v>10</v>
      </c>
      <c r="AA322" s="39">
        <f t="shared" si="1354"/>
        <v>76.199999999999989</v>
      </c>
      <c r="AB322" s="39">
        <v>3</v>
      </c>
      <c r="AC322" s="39">
        <f t="shared" si="1355"/>
        <v>2</v>
      </c>
      <c r="AD322" s="7"/>
      <c r="AE322" s="4">
        <f t="shared" si="1229"/>
        <v>143.00199999999998</v>
      </c>
      <c r="AF322" s="4">
        <f t="shared" si="1230"/>
        <v>0.99467140319715819</v>
      </c>
      <c r="AG322" s="4">
        <f t="shared" si="1231"/>
        <v>177.42246835851654</v>
      </c>
      <c r="AH322" s="4">
        <f t="shared" si="1232"/>
        <v>0.80124333925399638</v>
      </c>
      <c r="AI322" s="4">
        <v>1.25</v>
      </c>
      <c r="AJ322" s="4">
        <f t="shared" si="1154"/>
        <v>2.5</v>
      </c>
      <c r="AK322" s="38">
        <f t="shared" si="1340"/>
        <v>441.87832906032429</v>
      </c>
      <c r="AL322" s="38">
        <f t="shared" si="1264"/>
        <v>441.87832906032429</v>
      </c>
      <c r="AM322" s="38">
        <f t="shared" si="1233"/>
        <v>5.4139420559889198</v>
      </c>
      <c r="AN322" s="38">
        <f t="shared" si="1161"/>
        <v>441.87832906032429</v>
      </c>
      <c r="AO322" s="38">
        <f t="shared" si="1115"/>
        <v>1</v>
      </c>
      <c r="AP322" s="38">
        <f t="shared" si="1162"/>
        <v>4.3954108445772917</v>
      </c>
      <c r="AQ322" s="4">
        <f t="shared" si="1163"/>
        <v>0</v>
      </c>
      <c r="AR322" s="4" t="e">
        <f>#REF!/G322*F322^0.5/0.19</f>
        <v>#REF!</v>
      </c>
      <c r="AS322" s="4">
        <f t="shared" si="1234"/>
        <v>1</v>
      </c>
      <c r="AT322" s="38">
        <f t="shared" si="1235"/>
        <v>1942.2367995354425</v>
      </c>
      <c r="AU322" s="4">
        <f t="shared" si="1236"/>
        <v>0.3</v>
      </c>
      <c r="AV322" s="4" t="e">
        <f>AU322*D322*#REF!/(D322*G322/2.75/F322^0.5)</f>
        <v>#REF!</v>
      </c>
      <c r="AW322" s="4" t="e">
        <f t="shared" si="1068"/>
        <v>#REF!</v>
      </c>
      <c r="AY322" s="4">
        <f t="shared" si="1237"/>
        <v>1.5</v>
      </c>
      <c r="AZ322" s="4" t="e">
        <f>(3*#REF!+30)*AY322*F322^0.5</f>
        <v>#REF!</v>
      </c>
      <c r="BB322" s="4">
        <f t="shared" si="1238"/>
        <v>1862.842610837748</v>
      </c>
      <c r="BC322" s="4">
        <f t="shared" si="1275"/>
        <v>0</v>
      </c>
      <c r="BD322" s="4">
        <f t="shared" si="1069"/>
        <v>0</v>
      </c>
      <c r="BL322" s="4">
        <f t="shared" si="1239"/>
        <v>59.69</v>
      </c>
      <c r="BP322" s="9"/>
      <c r="BR322" s="9"/>
      <c r="BS322" s="9"/>
      <c r="BT322" s="9">
        <f t="shared" si="1240"/>
        <v>59.69</v>
      </c>
      <c r="BU322" s="9">
        <f t="shared" si="1241"/>
        <v>128.26999999999998</v>
      </c>
      <c r="BV322" s="9">
        <f t="shared" si="1242"/>
        <v>1.7193625322570376</v>
      </c>
      <c r="BW322" s="40">
        <f t="shared" si="1343"/>
        <v>20</v>
      </c>
      <c r="BX322" s="9">
        <f t="shared" si="1243"/>
        <v>0.05</v>
      </c>
      <c r="BY322" s="9">
        <f t="shared" si="1070"/>
        <v>0.8</v>
      </c>
      <c r="BZ322" s="9">
        <f t="shared" si="1244"/>
        <v>0.99524931562137331</v>
      </c>
      <c r="CA322" s="9">
        <f t="shared" si="1245"/>
        <v>0.68048275862068963</v>
      </c>
      <c r="CB322" s="9">
        <f t="shared" si="1246"/>
        <v>2.4922971335630986</v>
      </c>
      <c r="CC322" s="9">
        <f t="shared" si="1247"/>
        <v>6.2307428339077466</v>
      </c>
      <c r="CD322" s="40">
        <v>1</v>
      </c>
      <c r="CE322" s="9" t="e">
        <f>4*CC322*#REF!+60*CC322</f>
        <v>#REF!</v>
      </c>
      <c r="CG322" s="4" t="e">
        <f t="shared" si="1071"/>
        <v>#REF!</v>
      </c>
      <c r="CH322" s="4" t="e">
        <f t="shared" si="1072"/>
        <v>#REF!</v>
      </c>
      <c r="CI322" s="4" t="e">
        <f t="shared" si="1073"/>
        <v>#REF!</v>
      </c>
      <c r="CJ322" s="4" t="e">
        <f t="shared" si="1074"/>
        <v>#REF!</v>
      </c>
      <c r="CK322" s="4">
        <f t="shared" si="1075"/>
        <v>0.98409766607899973</v>
      </c>
      <c r="CL322" s="4">
        <f t="shared" si="1076"/>
        <v>0.93712665612600687</v>
      </c>
      <c r="CM322" s="4">
        <f t="shared" si="1310"/>
        <v>1.9886149364652124</v>
      </c>
      <c r="CN322" s="4">
        <f t="shared" si="1344"/>
        <v>10</v>
      </c>
      <c r="CU322" s="4" t="e">
        <f t="shared" si="1346"/>
        <v>#REF!</v>
      </c>
      <c r="CV322" s="4" t="e">
        <f t="shared" si="1347"/>
        <v>#REF!</v>
      </c>
      <c r="CW322" s="4" t="e">
        <f t="shared" si="1348"/>
        <v>#REF!</v>
      </c>
      <c r="CX322" s="4">
        <f t="shared" si="1349"/>
        <v>1.9886149364652124</v>
      </c>
      <c r="CY322" s="4">
        <f t="shared" si="1350"/>
        <v>0.98409766607899973</v>
      </c>
      <c r="CZ322" s="4">
        <f t="shared" si="1351"/>
        <v>0.93712665612600687</v>
      </c>
      <c r="DC322" s="4" t="e">
        <f>#REF!</f>
        <v>#REF!</v>
      </c>
      <c r="DF322" s="4">
        <f t="shared" si="1248"/>
        <v>1.6593772176327059E-5</v>
      </c>
      <c r="DG322" s="4">
        <f t="shared" si="1083"/>
        <v>16.131515557182595</v>
      </c>
      <c r="DH322" s="4">
        <f t="shared" si="1249"/>
        <v>0.13474380914487016</v>
      </c>
      <c r="DI322" s="4">
        <f t="shared" si="1084"/>
        <v>7.2356691320008064</v>
      </c>
      <c r="DJ322" s="4">
        <f t="shared" si="1085"/>
        <v>12.512028309248651</v>
      </c>
      <c r="DK322" s="4">
        <f t="shared" si="1250"/>
        <v>15.497279605289791</v>
      </c>
      <c r="DL322" s="38">
        <f t="shared" si="1251"/>
        <v>672.06674006249966</v>
      </c>
      <c r="DM322" s="4" t="e">
        <f t="shared" si="1086"/>
        <v>#REF!</v>
      </c>
      <c r="DN322" s="4">
        <f t="shared" si="1252"/>
        <v>3.2403703492039297</v>
      </c>
      <c r="DO322" s="4">
        <f t="shared" si="1309"/>
        <v>441.87832906032429</v>
      </c>
      <c r="DS322" s="4">
        <f t="shared" si="1253"/>
        <v>0.85</v>
      </c>
      <c r="DT322" s="4">
        <f t="shared" si="1254"/>
        <v>0.86499999999999999</v>
      </c>
      <c r="DU322" s="4">
        <f t="shared" si="1255"/>
        <v>0.77500000000000002</v>
      </c>
      <c r="DV322" s="4">
        <f t="shared" si="1087"/>
        <v>0.7</v>
      </c>
      <c r="DX322" s="4">
        <f t="shared" si="1256"/>
        <v>705.75231855948618</v>
      </c>
      <c r="DY322" s="25">
        <f t="shared" si="1146"/>
        <v>433.29102079867221</v>
      </c>
      <c r="EA322" s="4">
        <f t="shared" si="1147"/>
        <v>0.59499999999999997</v>
      </c>
      <c r="EB322" s="4">
        <f t="shared" si="1257"/>
        <v>16.131515557182595</v>
      </c>
      <c r="EE322" s="4">
        <f t="shared" si="1258"/>
        <v>82.305406869779816</v>
      </c>
      <c r="EF322" s="4">
        <f t="shared" si="1088"/>
        <v>3.2403703492039302</v>
      </c>
      <c r="EG322" s="4">
        <f t="shared" si="1259"/>
        <v>7.7468803067702416E-2</v>
      </c>
      <c r="EJ322" s="4">
        <f t="shared" si="1089"/>
        <v>7.7468803067702416E-2</v>
      </c>
      <c r="EK322" s="4">
        <f t="shared" si="1260"/>
        <v>0.1345189468402396</v>
      </c>
      <c r="EL322" s="4">
        <f t="shared" si="1090"/>
        <v>7.2308367184443254</v>
      </c>
      <c r="EM322" s="4">
        <f t="shared" si="1091"/>
        <v>12.510656820521772</v>
      </c>
      <c r="EN322" s="4" t="e">
        <f t="shared" si="1092"/>
        <v>#REF!</v>
      </c>
      <c r="EO322" s="4" t="e">
        <f t="shared" si="1093"/>
        <v>#REF!</v>
      </c>
      <c r="EP322" s="4" t="e">
        <f t="shared" si="1261"/>
        <v>#REF!</v>
      </c>
      <c r="EQ322" s="4" t="e">
        <f t="shared" si="1094"/>
        <v>#REF!</v>
      </c>
      <c r="ER322" s="4" t="e">
        <f t="shared" si="1262"/>
        <v>#REF!</v>
      </c>
      <c r="FA322" s="23" t="e">
        <f t="shared" si="1042"/>
        <v>#REF!</v>
      </c>
      <c r="FB322" s="23" t="e">
        <f t="shared" si="1043"/>
        <v>#REF!</v>
      </c>
      <c r="FC322" s="23">
        <f t="shared" si="1317"/>
        <v>2</v>
      </c>
      <c r="FD322" s="23" t="e">
        <f t="shared" si="1044"/>
        <v>#REF!</v>
      </c>
      <c r="FE322" s="23">
        <f t="shared" si="1045"/>
        <v>1</v>
      </c>
      <c r="FF322" s="23">
        <f t="shared" si="1046"/>
        <v>1</v>
      </c>
      <c r="FG322" s="23">
        <f t="shared" si="1266"/>
        <v>0</v>
      </c>
      <c r="FH322" s="23"/>
      <c r="FR322" s="4">
        <f t="shared" si="1122"/>
        <v>1.25</v>
      </c>
      <c r="FS322" s="4">
        <f t="shared" si="1123"/>
        <v>0.43787748058671272</v>
      </c>
      <c r="FT322" s="4">
        <f t="shared" si="1124"/>
        <v>0.3</v>
      </c>
      <c r="FU322" s="4">
        <f t="shared" si="1125"/>
        <v>332.58289386100938</v>
      </c>
    </row>
    <row r="323" spans="2:177" ht="12" customHeight="1" x14ac:dyDescent="0.3">
      <c r="B323" s="24"/>
      <c r="C323" s="7" t="s">
        <v>461</v>
      </c>
      <c r="D323" s="38">
        <f t="shared" si="1356"/>
        <v>799.31034482758628</v>
      </c>
      <c r="E323" s="38">
        <f>5.5*25.4</f>
        <v>139.69999999999999</v>
      </c>
      <c r="F323" s="38">
        <f t="shared" si="1338"/>
        <v>110.55172413793103</v>
      </c>
      <c r="G323" s="38">
        <f t="shared" si="1341"/>
        <v>25.4</v>
      </c>
      <c r="H323" s="38">
        <f>17*25.4</f>
        <v>431.79999999999995</v>
      </c>
      <c r="I323" s="38">
        <f t="shared" si="1345"/>
        <v>63.5</v>
      </c>
      <c r="J323" s="39">
        <f>3.8*25.4</f>
        <v>96.52</v>
      </c>
      <c r="K323" s="7">
        <f t="shared" si="1339"/>
        <v>253.99999999999994</v>
      </c>
      <c r="L323" s="38">
        <v>2</v>
      </c>
      <c r="M323" s="4">
        <f t="shared" si="1357"/>
        <v>260.34999999999997</v>
      </c>
      <c r="N323" s="7">
        <f t="shared" si="1224"/>
        <v>3</v>
      </c>
      <c r="O323" s="7">
        <f t="shared" si="1225"/>
        <v>3</v>
      </c>
      <c r="P323" s="38">
        <v>14.9</v>
      </c>
      <c r="Q323" s="4">
        <f t="shared" si="1342"/>
        <v>14.9</v>
      </c>
      <c r="R323" s="4">
        <f t="shared" si="1226"/>
        <v>15.9</v>
      </c>
      <c r="S323" s="7">
        <f t="shared" si="1227"/>
        <v>101.28200234987457</v>
      </c>
      <c r="V323" s="38">
        <f t="shared" si="1054"/>
        <v>710.34482758620697</v>
      </c>
      <c r="W323" s="4">
        <v>103</v>
      </c>
      <c r="X323" s="4">
        <f t="shared" si="1228"/>
        <v>1.1028377286200142</v>
      </c>
      <c r="Y323" s="38">
        <f t="shared" si="1353"/>
        <v>12.7</v>
      </c>
      <c r="Z323" s="38">
        <v>10</v>
      </c>
      <c r="AA323" s="39">
        <f t="shared" si="1354"/>
        <v>76.199999999999989</v>
      </c>
      <c r="AB323" s="39">
        <v>3</v>
      </c>
      <c r="AC323" s="39">
        <f t="shared" si="1355"/>
        <v>2</v>
      </c>
      <c r="AD323" s="7"/>
      <c r="AE323" s="4">
        <f t="shared" si="1229"/>
        <v>139.69999999999999</v>
      </c>
      <c r="AF323" s="4">
        <f t="shared" si="1230"/>
        <v>1.0303030303030303</v>
      </c>
      <c r="AG323" s="4">
        <f t="shared" si="1231"/>
        <v>171.31289685931245</v>
      </c>
      <c r="AH323" s="4">
        <f t="shared" si="1232"/>
        <v>0.80909090909090908</v>
      </c>
      <c r="AI323" s="4">
        <v>1.25</v>
      </c>
      <c r="AJ323" s="4">
        <f t="shared" si="1154"/>
        <v>2.5</v>
      </c>
      <c r="AK323" s="38">
        <f t="shared" si="1340"/>
        <v>446.27481568205872</v>
      </c>
      <c r="AL323" s="38">
        <f t="shared" si="1264"/>
        <v>446.27481568205872</v>
      </c>
      <c r="AM323" s="38">
        <f t="shared" si="1233"/>
        <v>5.4139420559889198</v>
      </c>
      <c r="AN323" s="38">
        <f t="shared" si="1161"/>
        <v>446.2748156820586</v>
      </c>
      <c r="AO323" s="38">
        <f t="shared" si="1115"/>
        <v>1.0000000000000002</v>
      </c>
      <c r="AP323" s="38">
        <f t="shared" si="1162"/>
        <v>5.7372995500592916</v>
      </c>
      <c r="AQ323" s="4">
        <f t="shared" si="1163"/>
        <v>0</v>
      </c>
      <c r="AR323" s="4" t="e">
        <f>#REF!/G323*F323^0.5/0.19</f>
        <v>#REF!</v>
      </c>
      <c r="AS323" s="4">
        <f t="shared" si="1234"/>
        <v>1</v>
      </c>
      <c r="AT323" s="38">
        <f t="shared" si="1235"/>
        <v>2560.412299215468</v>
      </c>
      <c r="AU323" s="4">
        <f t="shared" si="1236"/>
        <v>0.3</v>
      </c>
      <c r="AV323" s="4" t="e">
        <f>AU323*D323*#REF!/(D323*G323/2.75/F323^0.5)</f>
        <v>#REF!</v>
      </c>
      <c r="AW323" s="4" t="e">
        <f t="shared" si="1068"/>
        <v>#REF!</v>
      </c>
      <c r="AY323" s="4">
        <f t="shared" si="1237"/>
        <v>1.5</v>
      </c>
      <c r="AZ323" s="4" t="e">
        <f>(3*#REF!+30)*AY323*F323^0.5</f>
        <v>#REF!</v>
      </c>
      <c r="BB323" s="4">
        <f t="shared" si="1238"/>
        <v>2455.7485129683778</v>
      </c>
      <c r="BC323" s="4">
        <f t="shared" si="1275"/>
        <v>0</v>
      </c>
      <c r="BD323" s="4">
        <f t="shared" si="1069"/>
        <v>0</v>
      </c>
      <c r="BL323" s="4">
        <f t="shared" si="1239"/>
        <v>63.5</v>
      </c>
      <c r="BP323" s="9"/>
      <c r="BR323" s="9"/>
      <c r="BS323" s="9"/>
      <c r="BT323" s="9">
        <f t="shared" si="1240"/>
        <v>63.5</v>
      </c>
      <c r="BU323" s="9">
        <f t="shared" si="1241"/>
        <v>126.99999999999997</v>
      </c>
      <c r="BV323" s="9">
        <f t="shared" si="1242"/>
        <v>1.7543833769624846</v>
      </c>
      <c r="BW323" s="40">
        <f t="shared" si="1343"/>
        <v>20</v>
      </c>
      <c r="BX323" s="9">
        <f t="shared" si="1243"/>
        <v>0.05</v>
      </c>
      <c r="BY323" s="9">
        <f t="shared" si="1070"/>
        <v>0.8</v>
      </c>
      <c r="BZ323" s="9">
        <f t="shared" si="1244"/>
        <v>0.99524931562137331</v>
      </c>
      <c r="CA323" s="9">
        <f t="shared" si="1245"/>
        <v>0.68048275862068963</v>
      </c>
      <c r="CB323" s="9">
        <f t="shared" si="1246"/>
        <v>2.4922971335630986</v>
      </c>
      <c r="CC323" s="9">
        <f t="shared" si="1247"/>
        <v>6.2307428339077466</v>
      </c>
      <c r="CD323" s="40">
        <v>1</v>
      </c>
      <c r="CE323" s="9" t="e">
        <f>4*CC323*#REF!+60*CC323</f>
        <v>#REF!</v>
      </c>
      <c r="CG323" s="4" t="e">
        <f t="shared" si="1071"/>
        <v>#REF!</v>
      </c>
      <c r="CH323" s="4" t="e">
        <f t="shared" si="1072"/>
        <v>#REF!</v>
      </c>
      <c r="CI323" s="4" t="e">
        <f t="shared" si="1073"/>
        <v>#REF!</v>
      </c>
      <c r="CJ323" s="4" t="e">
        <f t="shared" si="1074"/>
        <v>#REF!</v>
      </c>
      <c r="CK323" s="4">
        <f t="shared" si="1075"/>
        <v>1.1028377286200142</v>
      </c>
      <c r="CL323" s="4">
        <f t="shared" si="1076"/>
        <v>1.0095343957325076</v>
      </c>
      <c r="CM323" s="4">
        <f t="shared" si="1310"/>
        <v>1.7490612046742806</v>
      </c>
      <c r="CN323" s="4">
        <f t="shared" si="1344"/>
        <v>10</v>
      </c>
      <c r="CU323" s="4" t="e">
        <f t="shared" si="1346"/>
        <v>#REF!</v>
      </c>
      <c r="CV323" s="4" t="e">
        <f t="shared" si="1347"/>
        <v>#REF!</v>
      </c>
      <c r="CW323" s="4" t="e">
        <f t="shared" si="1348"/>
        <v>#REF!</v>
      </c>
      <c r="CX323" s="4">
        <f t="shared" si="1349"/>
        <v>1.7490612046742806</v>
      </c>
      <c r="CY323" s="4">
        <f t="shared" si="1350"/>
        <v>1.1028377286200142</v>
      </c>
      <c r="CZ323" s="4">
        <f t="shared" si="1351"/>
        <v>1.0095343957325076</v>
      </c>
      <c r="DC323" s="4" t="e">
        <f>#REF!</f>
        <v>#REF!</v>
      </c>
      <c r="DF323" s="4">
        <f t="shared" si="1248"/>
        <v>1.6210612250408316E-5</v>
      </c>
      <c r="DG323" s="4">
        <f t="shared" si="1083"/>
        <v>16.131515557182595</v>
      </c>
      <c r="DH323" s="4">
        <f t="shared" si="1249"/>
        <v>0.10677012378057389</v>
      </c>
      <c r="DI323" s="4">
        <f t="shared" si="1084"/>
        <v>6.5925748569216696</v>
      </c>
      <c r="DJ323" s="4">
        <f t="shared" si="1085"/>
        <v>12.336950218853458</v>
      </c>
      <c r="DK323" s="4">
        <f t="shared" si="1250"/>
        <v>15.617133098683848</v>
      </c>
      <c r="DL323" s="38">
        <f t="shared" si="1251"/>
        <v>644.10638950035263</v>
      </c>
      <c r="DM323" s="4" t="e">
        <f t="shared" si="1086"/>
        <v>#REF!</v>
      </c>
      <c r="DN323" s="4">
        <f t="shared" si="1252"/>
        <v>3.9874804074753771</v>
      </c>
      <c r="DO323" s="4">
        <f t="shared" si="1309"/>
        <v>446.2748156820586</v>
      </c>
      <c r="DS323" s="4">
        <f t="shared" si="1253"/>
        <v>0.85</v>
      </c>
      <c r="DT323" s="4">
        <f t="shared" si="1254"/>
        <v>0.85</v>
      </c>
      <c r="DU323" s="4">
        <f t="shared" si="1255"/>
        <v>0.77500000000000002</v>
      </c>
      <c r="DV323" s="4">
        <f t="shared" si="1087"/>
        <v>0.7</v>
      </c>
      <c r="DX323" s="4">
        <f t="shared" si="1256"/>
        <v>703.63608272186525</v>
      </c>
      <c r="DY323" s="25">
        <f t="shared" si="1146"/>
        <v>437.46607602835246</v>
      </c>
      <c r="EA323" s="4">
        <f t="shared" si="1147"/>
        <v>0.59499999999999997</v>
      </c>
      <c r="EB323" s="4">
        <f t="shared" si="1257"/>
        <v>16.131515557182595</v>
      </c>
      <c r="EE323" s="4">
        <f t="shared" si="1258"/>
        <v>101.28200234987457</v>
      </c>
      <c r="EF323" s="4">
        <f t="shared" si="1088"/>
        <v>3.9874804074753771</v>
      </c>
      <c r="EG323" s="4">
        <f t="shared" si="1259"/>
        <v>6.1385779021420728E-2</v>
      </c>
      <c r="EJ323" s="4">
        <f t="shared" si="1089"/>
        <v>6.1385779021420728E-2</v>
      </c>
      <c r="EK323" s="4">
        <f t="shared" si="1260"/>
        <v>0.10659194434323012</v>
      </c>
      <c r="EL323" s="4">
        <f t="shared" si="1090"/>
        <v>6.5881719402695227</v>
      </c>
      <c r="EM323" s="4">
        <f t="shared" si="1091"/>
        <v>12.335804133643581</v>
      </c>
      <c r="EN323" s="4" t="e">
        <f t="shared" si="1092"/>
        <v>#REF!</v>
      </c>
      <c r="EO323" s="4" t="e">
        <f t="shared" si="1093"/>
        <v>#REF!</v>
      </c>
      <c r="EP323" s="4" t="e">
        <f t="shared" si="1261"/>
        <v>#REF!</v>
      </c>
      <c r="EQ323" s="4" t="e">
        <f t="shared" si="1094"/>
        <v>#REF!</v>
      </c>
      <c r="ER323" s="4" t="e">
        <f t="shared" si="1262"/>
        <v>#REF!</v>
      </c>
      <c r="FA323" s="23" t="e">
        <f t="shared" si="1042"/>
        <v>#REF!</v>
      </c>
      <c r="FB323" s="23" t="e">
        <f t="shared" si="1043"/>
        <v>#REF!</v>
      </c>
      <c r="FC323" s="23">
        <f t="shared" si="1317"/>
        <v>1.8</v>
      </c>
      <c r="FD323" s="23" t="e">
        <f t="shared" si="1044"/>
        <v>#REF!</v>
      </c>
      <c r="FE323" s="23">
        <f t="shared" si="1045"/>
        <v>1.2</v>
      </c>
      <c r="FF323" s="23">
        <f t="shared" si="1046"/>
        <v>1.2</v>
      </c>
      <c r="FG323" s="23">
        <f t="shared" si="1266"/>
        <v>0</v>
      </c>
      <c r="FH323" s="23"/>
      <c r="FR323" s="4">
        <f t="shared" si="1122"/>
        <v>1</v>
      </c>
      <c r="FS323" s="4">
        <f t="shared" si="1123"/>
        <v>0.43787748058671272</v>
      </c>
      <c r="FT323" s="4">
        <f t="shared" si="1124"/>
        <v>0.3</v>
      </c>
      <c r="FU323" s="4">
        <f t="shared" si="1125"/>
        <v>406.12919987467853</v>
      </c>
    </row>
    <row r="324" spans="2:177" ht="12" customHeight="1" x14ac:dyDescent="0.3">
      <c r="B324" s="24" t="s">
        <v>462</v>
      </c>
      <c r="C324" s="7" t="s">
        <v>463</v>
      </c>
      <c r="D324" s="38">
        <f>120/0.145</f>
        <v>827.58620689655174</v>
      </c>
      <c r="E324" s="38">
        <f>9.38*25.4</f>
        <v>238.25200000000001</v>
      </c>
      <c r="F324" s="38">
        <f>9040/145</f>
        <v>62.344827586206897</v>
      </c>
      <c r="G324" s="38">
        <f t="shared" si="1341"/>
        <v>25.4</v>
      </c>
      <c r="H324" s="38">
        <f t="shared" ref="H324:H325" si="1358">17*25.4</f>
        <v>431.79999999999995</v>
      </c>
      <c r="I324" s="38">
        <f>2.5*25.4</f>
        <v>63.5</v>
      </c>
      <c r="J324" s="39">
        <f>3.4*25.4</f>
        <v>86.36</v>
      </c>
      <c r="K324" s="7">
        <f t="shared" si="1339"/>
        <v>253.99999999999994</v>
      </c>
      <c r="L324" s="38">
        <v>2</v>
      </c>
      <c r="M324" s="4">
        <f t="shared" si="1357"/>
        <v>260.34999999999997</v>
      </c>
      <c r="N324" s="7">
        <f t="shared" si="1224"/>
        <v>3</v>
      </c>
      <c r="O324" s="7">
        <f t="shared" si="1225"/>
        <v>3</v>
      </c>
      <c r="P324" s="38">
        <v>9.5</v>
      </c>
      <c r="Q324" s="4">
        <f t="shared" si="1342"/>
        <v>9.5</v>
      </c>
      <c r="R324" s="4">
        <f t="shared" si="1226"/>
        <v>10.5</v>
      </c>
      <c r="S324" s="7">
        <f t="shared" si="1227"/>
        <v>82.305406869779816</v>
      </c>
      <c r="V324" s="38">
        <f t="shared" si="1054"/>
        <v>568.9655172413793</v>
      </c>
      <c r="W324" s="4">
        <v>82.5</v>
      </c>
      <c r="X324" s="4">
        <f t="shared" si="1228"/>
        <v>0.81958454427477145</v>
      </c>
      <c r="Y324" s="38"/>
      <c r="Z324" s="38"/>
      <c r="AA324" s="39">
        <v>1</v>
      </c>
      <c r="AB324" s="39"/>
      <c r="AC324" s="39"/>
      <c r="AD324" s="7"/>
      <c r="AE324" s="4">
        <f t="shared" si="1229"/>
        <v>238.25200000000001</v>
      </c>
      <c r="AF324" s="4">
        <f t="shared" si="1230"/>
        <v>0.60412224591329067</v>
      </c>
      <c r="AG324" s="4">
        <f t="shared" si="1231"/>
        <v>286.52844070443393</v>
      </c>
      <c r="AH324" s="4">
        <f t="shared" si="1232"/>
        <v>0.76396588486140726</v>
      </c>
      <c r="AI324" s="4">
        <v>1.25</v>
      </c>
      <c r="AJ324" s="4">
        <f t="shared" si="1154"/>
        <v>2.5</v>
      </c>
      <c r="AK324" s="38">
        <f t="shared" si="1340"/>
        <v>413.25351074896452</v>
      </c>
      <c r="AL324" s="38">
        <f t="shared" si="1264"/>
        <v>413.25351074896452</v>
      </c>
      <c r="AM324" s="38">
        <f t="shared" si="1233"/>
        <v>4.4175343619879603</v>
      </c>
      <c r="AN324" s="38">
        <f t="shared" si="1161"/>
        <v>413.25351074896435</v>
      </c>
      <c r="AO324" s="38">
        <f t="shared" si="1115"/>
        <v>1.0000000000000004</v>
      </c>
      <c r="AP324" s="38">
        <f t="shared" si="1162"/>
        <v>2.7899532721832792</v>
      </c>
      <c r="AQ324" s="4">
        <f t="shared" si="1163"/>
        <v>0</v>
      </c>
      <c r="AR324" s="4" t="e">
        <f>#REF!/G324*F324^0.5/0.19</f>
        <v>#REF!</v>
      </c>
      <c r="AS324" s="4">
        <f t="shared" si="1234"/>
        <v>1</v>
      </c>
      <c r="AT324" s="38">
        <f t="shared" si="1235"/>
        <v>1152.957984555301</v>
      </c>
      <c r="AU324" s="4">
        <f t="shared" si="1236"/>
        <v>0.3</v>
      </c>
      <c r="AV324" s="4" t="e">
        <f>AU324*D324*#REF!/(D324*G324/2.75/F324^0.5)</f>
        <v>#REF!</v>
      </c>
      <c r="AW324" s="4" t="e">
        <f t="shared" si="1068"/>
        <v>#REF!</v>
      </c>
      <c r="AY324" s="4">
        <f t="shared" si="1237"/>
        <v>1.375</v>
      </c>
      <c r="AZ324" s="4" t="e">
        <f>(3*#REF!+30)*AY324*F324^0.5</f>
        <v>#REF!</v>
      </c>
      <c r="BB324" s="4">
        <f t="shared" si="1238"/>
        <v>1105.8277047623367</v>
      </c>
      <c r="BC324" s="4">
        <f t="shared" si="1275"/>
        <v>0</v>
      </c>
      <c r="BD324" s="4">
        <f t="shared" si="1069"/>
        <v>0</v>
      </c>
      <c r="BL324" s="4">
        <f t="shared" si="1239"/>
        <v>63.5</v>
      </c>
      <c r="BP324" s="9"/>
      <c r="BR324" s="9"/>
      <c r="BS324" s="9"/>
      <c r="BT324" s="9">
        <f t="shared" si="1240"/>
        <v>63.5</v>
      </c>
      <c r="BU324" s="9">
        <f t="shared" si="1241"/>
        <v>126.99999999999997</v>
      </c>
      <c r="BV324" s="9">
        <f t="shared" si="1242"/>
        <v>1.7543833769624846</v>
      </c>
      <c r="BW324" s="40">
        <f t="shared" si="1343"/>
        <v>0</v>
      </c>
      <c r="BX324" s="9">
        <f t="shared" si="1243"/>
        <v>0</v>
      </c>
      <c r="BY324" s="9">
        <f t="shared" si="1070"/>
        <v>0</v>
      </c>
      <c r="BZ324" s="9">
        <f t="shared" si="1244"/>
        <v>0.99524931562137331</v>
      </c>
      <c r="CA324" s="9">
        <f t="shared" si="1245"/>
        <v>0.68</v>
      </c>
      <c r="CB324" s="9">
        <f t="shared" si="1246"/>
        <v>1.8702904607807274</v>
      </c>
      <c r="CC324" s="9">
        <f t="shared" si="1247"/>
        <v>3.2812064944852137</v>
      </c>
      <c r="CD324" s="40">
        <v>1</v>
      </c>
      <c r="CE324" s="9" t="e">
        <f>4*CC324*#REF!+60*CC324</f>
        <v>#REF!</v>
      </c>
      <c r="CG324" s="4" t="e">
        <f t="shared" si="1071"/>
        <v>#REF!</v>
      </c>
      <c r="CH324" s="4" t="e">
        <f t="shared" si="1072"/>
        <v>#REF!</v>
      </c>
      <c r="CI324" s="4" t="e">
        <f t="shared" si="1073"/>
        <v>#REF!</v>
      </c>
      <c r="CJ324" s="4" t="e">
        <f t="shared" si="1074"/>
        <v>#REF!</v>
      </c>
      <c r="CK324" s="4">
        <f t="shared" si="1075"/>
        <v>0.81958454427477145</v>
      </c>
      <c r="CL324" s="4">
        <f t="shared" si="1076"/>
        <v>0.82535245957938552</v>
      </c>
      <c r="CM324" s="4">
        <f t="shared" si="1310"/>
        <v>1.0824061436066807</v>
      </c>
      <c r="CN324" s="4">
        <f t="shared" si="1344"/>
        <v>0</v>
      </c>
      <c r="CO324" s="4" t="e">
        <f t="shared" ref="CO324" si="1359">CG324</f>
        <v>#REF!</v>
      </c>
      <c r="CP324" s="4" t="e">
        <f t="shared" ref="CP324" si="1360">CH324</f>
        <v>#REF!</v>
      </c>
      <c r="CQ324" s="4" t="e">
        <f t="shared" ref="CQ324" si="1361">CJ324</f>
        <v>#REF!</v>
      </c>
      <c r="CR324" s="4">
        <f t="shared" ref="CR324" si="1362">CM324</f>
        <v>1.0824061436066807</v>
      </c>
      <c r="CS324" s="4">
        <f t="shared" ref="CS324" si="1363">CK324</f>
        <v>0.81958454427477145</v>
      </c>
      <c r="CT324" s="4">
        <f t="shared" ref="CT324" si="1364">CL324</f>
        <v>0.82535245957938552</v>
      </c>
      <c r="DC324" s="4" t="e">
        <f>#REF!</f>
        <v>#REF!</v>
      </c>
      <c r="DF324" s="4">
        <f t="shared" si="1248"/>
        <v>2.0659876811674702E-5</v>
      </c>
      <c r="DG324" s="4">
        <f t="shared" si="1083"/>
        <v>9.9763514377618598</v>
      </c>
      <c r="DH324" s="4">
        <f t="shared" si="1249"/>
        <v>0.22345380848450982</v>
      </c>
      <c r="DI324" s="4">
        <f t="shared" si="1084"/>
        <v>5.4783130292378068</v>
      </c>
      <c r="DJ324" s="4">
        <f t="shared" si="1085"/>
        <v>8.0504837803731188</v>
      </c>
      <c r="DK324" s="4">
        <f t="shared" si="1250"/>
        <v>9.355770870462635</v>
      </c>
      <c r="DL324" s="38">
        <f t="shared" si="1251"/>
        <v>694.21211175332951</v>
      </c>
      <c r="DM324" s="4" t="e">
        <f t="shared" si="1086"/>
        <v>#REF!</v>
      </c>
      <c r="DN324" s="4">
        <f t="shared" si="1252"/>
        <v>3.2403703492039297</v>
      </c>
      <c r="DO324" s="4">
        <f t="shared" si="1309"/>
        <v>413.25351074896435</v>
      </c>
      <c r="DS324" s="4">
        <f t="shared" si="1253"/>
        <v>0.85</v>
      </c>
      <c r="DT324" s="4">
        <f t="shared" si="1254"/>
        <v>0.85</v>
      </c>
      <c r="DU324" s="4">
        <f t="shared" si="1255"/>
        <v>1</v>
      </c>
      <c r="DV324" s="4">
        <f t="shared" si="1087"/>
        <v>0.85</v>
      </c>
      <c r="DX324" s="4">
        <f t="shared" si="1256"/>
        <v>689.36066117902453</v>
      </c>
      <c r="DY324" s="25">
        <f t="shared" si="1146"/>
        <v>408.62613172040579</v>
      </c>
      <c r="EA324" s="4">
        <f t="shared" si="1147"/>
        <v>0.72249999999999992</v>
      </c>
      <c r="EB324" s="4">
        <f t="shared" si="1257"/>
        <v>9.9763514377618598</v>
      </c>
      <c r="EE324" s="4">
        <f t="shared" si="1258"/>
        <v>82.305406869779816</v>
      </c>
      <c r="EF324" s="4">
        <f t="shared" si="1088"/>
        <v>3.2403703492039302</v>
      </c>
      <c r="EG324" s="4">
        <f t="shared" si="1259"/>
        <v>9.6476877856159354E-2</v>
      </c>
      <c r="EJ324" s="4">
        <f t="shared" si="1089"/>
        <v>9.6476877856159354E-2</v>
      </c>
      <c r="EK324" s="4">
        <f t="shared" si="1260"/>
        <v>0.22308090572427774</v>
      </c>
      <c r="EL324" s="4">
        <f t="shared" si="1090"/>
        <v>5.4746542834236758</v>
      </c>
      <c r="EM324" s="4">
        <f t="shared" si="1091"/>
        <v>8.0492483214376556</v>
      </c>
      <c r="EN324" s="4" t="e">
        <f t="shared" si="1092"/>
        <v>#REF!</v>
      </c>
      <c r="EO324" s="4" t="e">
        <f t="shared" si="1093"/>
        <v>#REF!</v>
      </c>
      <c r="EP324" s="4" t="e">
        <f t="shared" si="1261"/>
        <v>#REF!</v>
      </c>
      <c r="EQ324" s="4" t="e">
        <f t="shared" si="1094"/>
        <v>#REF!</v>
      </c>
      <c r="ER324" s="4" t="e">
        <f t="shared" si="1262"/>
        <v>#REF!</v>
      </c>
      <c r="FA324" s="23" t="e">
        <f t="shared" si="1042"/>
        <v>#REF!</v>
      </c>
      <c r="FB324" s="23" t="e">
        <f t="shared" si="1043"/>
        <v>#REF!</v>
      </c>
      <c r="FC324" s="23">
        <f t="shared" si="1317"/>
        <v>1.2</v>
      </c>
      <c r="FD324" s="23" t="e">
        <f t="shared" si="1044"/>
        <v>#REF!</v>
      </c>
      <c r="FE324" s="23">
        <f t="shared" si="1045"/>
        <v>1</v>
      </c>
      <c r="FF324" s="23">
        <f t="shared" si="1046"/>
        <v>1</v>
      </c>
      <c r="FG324" s="23">
        <f t="shared" si="1266"/>
        <v>0</v>
      </c>
      <c r="FH324" s="23"/>
      <c r="FR324" s="4">
        <f t="shared" si="1122"/>
        <v>1</v>
      </c>
      <c r="FS324" s="4">
        <f t="shared" si="1123"/>
        <v>0.5</v>
      </c>
      <c r="FT324" s="4">
        <f t="shared" si="1124"/>
        <v>0</v>
      </c>
      <c r="FU324" s="4">
        <f t="shared" si="1125"/>
        <v>525.6488247059757</v>
      </c>
    </row>
    <row r="325" spans="2:177" ht="12" customHeight="1" x14ac:dyDescent="0.3">
      <c r="B325" s="24"/>
      <c r="C325" s="7" t="s">
        <v>464</v>
      </c>
      <c r="D325" s="38">
        <f>120/0.145</f>
        <v>827.58620689655174</v>
      </c>
      <c r="E325" s="38">
        <f>9.19*25.4</f>
        <v>233.42599999999999</v>
      </c>
      <c r="F325" s="38">
        <f>9040/145</f>
        <v>62.344827586206897</v>
      </c>
      <c r="G325" s="38">
        <f t="shared" si="1341"/>
        <v>25.4</v>
      </c>
      <c r="H325" s="38">
        <f t="shared" si="1358"/>
        <v>431.79999999999995</v>
      </c>
      <c r="I325" s="38">
        <f>2.65*25.4</f>
        <v>67.309999999999988</v>
      </c>
      <c r="J325" s="39">
        <f>3.3*25.4</f>
        <v>83.82</v>
      </c>
      <c r="K325" s="7">
        <f t="shared" si="1339"/>
        <v>246.37999999999997</v>
      </c>
      <c r="L325" s="38">
        <v>2</v>
      </c>
      <c r="M325" s="4">
        <f t="shared" si="1357"/>
        <v>260.34999999999997</v>
      </c>
      <c r="N325" s="7">
        <f t="shared" si="1224"/>
        <v>3.1499999999999995</v>
      </c>
      <c r="O325" s="7">
        <f t="shared" si="1225"/>
        <v>3.1499999999999995</v>
      </c>
      <c r="P325" s="38">
        <v>9.5</v>
      </c>
      <c r="Q325" s="4">
        <f t="shared" si="1342"/>
        <v>9.5</v>
      </c>
      <c r="R325" s="4">
        <f t="shared" si="1226"/>
        <v>10.5</v>
      </c>
      <c r="S325" s="7">
        <f t="shared" si="1227"/>
        <v>82.305406869779816</v>
      </c>
      <c r="V325" s="38">
        <f t="shared" si="1054"/>
        <v>600</v>
      </c>
      <c r="W325" s="4">
        <v>87</v>
      </c>
      <c r="X325" s="4">
        <f t="shared" si="1228"/>
        <v>0.86504992090891586</v>
      </c>
      <c r="Y325" s="38">
        <f>0.375*25.4</f>
        <v>9.5249999999999986</v>
      </c>
      <c r="Z325" s="38">
        <v>4</v>
      </c>
      <c r="AA325" s="39">
        <f>6*25.4</f>
        <v>152.39999999999998</v>
      </c>
      <c r="AB325" s="39">
        <v>1</v>
      </c>
      <c r="AC325" s="39">
        <v>1</v>
      </c>
      <c r="AD325" s="7"/>
      <c r="AE325" s="4">
        <f t="shared" si="1229"/>
        <v>233.42599999999999</v>
      </c>
      <c r="AF325" s="4">
        <f t="shared" si="1230"/>
        <v>0.61661225970257527</v>
      </c>
      <c r="AG325" s="4">
        <f t="shared" si="1231"/>
        <v>277.86685517024648</v>
      </c>
      <c r="AH325" s="4">
        <f t="shared" si="1232"/>
        <v>0.76855277475516859</v>
      </c>
      <c r="AI325" s="4">
        <v>1.25</v>
      </c>
      <c r="AJ325" s="4">
        <f t="shared" si="1154"/>
        <v>2.5</v>
      </c>
      <c r="AK325" s="38">
        <f t="shared" si="1340"/>
        <v>411.5026323235121</v>
      </c>
      <c r="AL325" s="38">
        <f t="shared" si="1264"/>
        <v>411.5026323235121</v>
      </c>
      <c r="AM325" s="38">
        <f t="shared" si="1233"/>
        <v>4.4175343619879603</v>
      </c>
      <c r="AN325" s="38">
        <f t="shared" si="1161"/>
        <v>411.50263232351193</v>
      </c>
      <c r="AO325" s="38">
        <f t="shared" si="1115"/>
        <v>1.0000000000000004</v>
      </c>
      <c r="AP325" s="38">
        <f t="shared" si="1162"/>
        <v>2.9419152848366741</v>
      </c>
      <c r="AQ325" s="4">
        <f t="shared" si="1163"/>
        <v>0</v>
      </c>
      <c r="AR325" s="4" t="e">
        <f>#REF!/G325*F325^0.5/0.19</f>
        <v>#REF!</v>
      </c>
      <c r="AS325" s="4">
        <f t="shared" si="1234"/>
        <v>1</v>
      </c>
      <c r="AT325" s="38">
        <f t="shared" si="1235"/>
        <v>1210.6058837830658</v>
      </c>
      <c r="AU325" s="4">
        <f t="shared" si="1236"/>
        <v>0.3</v>
      </c>
      <c r="AV325" s="4" t="e">
        <f>AU325*D325*#REF!/(D325*G325/2.75/F325^0.5)</f>
        <v>#REF!</v>
      </c>
      <c r="AW325" s="4" t="e">
        <f t="shared" si="1068"/>
        <v>#REF!</v>
      </c>
      <c r="AY325" s="4">
        <f t="shared" si="1237"/>
        <v>1.5</v>
      </c>
      <c r="AZ325" s="4" t="e">
        <f>(3*#REF!+30)*AY325*F325^0.5</f>
        <v>#REF!</v>
      </c>
      <c r="BB325" s="4">
        <f t="shared" si="1238"/>
        <v>1161.1190900004531</v>
      </c>
      <c r="BC325" s="4">
        <f t="shared" si="1275"/>
        <v>0</v>
      </c>
      <c r="BD325" s="4">
        <f t="shared" si="1069"/>
        <v>0</v>
      </c>
      <c r="BL325" s="4">
        <f t="shared" si="1239"/>
        <v>67.309999999999988</v>
      </c>
      <c r="BP325" s="9"/>
      <c r="BR325" s="9"/>
      <c r="BS325" s="9"/>
      <c r="BT325" s="9">
        <f t="shared" si="1240"/>
        <v>67.309999999999988</v>
      </c>
      <c r="BU325" s="9">
        <f t="shared" si="1241"/>
        <v>123.18999999999998</v>
      </c>
      <c r="BV325" s="9">
        <f t="shared" si="1242"/>
        <v>1.7823677548771022</v>
      </c>
      <c r="BW325" s="40">
        <f t="shared" si="1343"/>
        <v>20</v>
      </c>
      <c r="BX325" s="9">
        <f t="shared" si="1243"/>
        <v>0.05</v>
      </c>
      <c r="BY325" s="9">
        <f t="shared" si="1070"/>
        <v>0.8</v>
      </c>
      <c r="BZ325" s="9">
        <f t="shared" si="1244"/>
        <v>0.99524931562137331</v>
      </c>
      <c r="CA325" s="9">
        <f t="shared" si="1245"/>
        <v>0.68</v>
      </c>
      <c r="CB325" s="9">
        <f t="shared" si="1246"/>
        <v>1.8702904607807274</v>
      </c>
      <c r="CC325" s="9">
        <f t="shared" si="1247"/>
        <v>4.6757261519518183</v>
      </c>
      <c r="CD325" s="40">
        <v>1</v>
      </c>
      <c r="CE325" s="9" t="e">
        <f>4*CC325*#REF!+60*CC325</f>
        <v>#REF!</v>
      </c>
      <c r="CG325" s="4" t="e">
        <f t="shared" si="1071"/>
        <v>#REF!</v>
      </c>
      <c r="CH325" s="4" t="e">
        <f t="shared" si="1072"/>
        <v>#REF!</v>
      </c>
      <c r="CI325" s="4" t="e">
        <f t="shared" si="1073"/>
        <v>#REF!</v>
      </c>
      <c r="CJ325" s="4" t="e">
        <f t="shared" si="1074"/>
        <v>#REF!</v>
      </c>
      <c r="CK325" s="4">
        <f t="shared" si="1075"/>
        <v>0.86504992090891586</v>
      </c>
      <c r="CL325" s="4">
        <f t="shared" si="1076"/>
        <v>0.87025939203289582</v>
      </c>
      <c r="CM325" s="4">
        <f t="shared" si="1310"/>
        <v>1.099511672686895</v>
      </c>
      <c r="CN325" s="4">
        <f t="shared" si="1344"/>
        <v>4</v>
      </c>
      <c r="CU325" s="4" t="e">
        <f t="shared" ref="CU325" si="1365">CG325</f>
        <v>#REF!</v>
      </c>
      <c r="CV325" s="4" t="e">
        <f t="shared" ref="CV325" si="1366">CH325</f>
        <v>#REF!</v>
      </c>
      <c r="CW325" s="4" t="e">
        <f t="shared" ref="CW325" si="1367">CJ325</f>
        <v>#REF!</v>
      </c>
      <c r="CX325" s="4">
        <f t="shared" ref="CX325" si="1368">CM325</f>
        <v>1.099511672686895</v>
      </c>
      <c r="CY325" s="4">
        <f t="shared" ref="CY325" si="1369">CK325</f>
        <v>0.86504992090891586</v>
      </c>
      <c r="CZ325" s="4">
        <f t="shared" ref="CZ325" si="1370">CL325</f>
        <v>0.87025939203289582</v>
      </c>
      <c r="DC325" s="4" t="e">
        <f>#REF!</f>
        <v>#REF!</v>
      </c>
      <c r="DF325" s="4">
        <f t="shared" si="1248"/>
        <v>2.0241393166235661E-5</v>
      </c>
      <c r="DG325" s="4">
        <f t="shared" si="1083"/>
        <v>10.25167680187093</v>
      </c>
      <c r="DH325" s="4">
        <f t="shared" si="1249"/>
        <v>0.22250707617084689</v>
      </c>
      <c r="DI325" s="4">
        <f t="shared" si="1084"/>
        <v>5.6199498067632083</v>
      </c>
      <c r="DJ325" s="4">
        <f t="shared" si="1085"/>
        <v>8.2694351166294009</v>
      </c>
      <c r="DK325" s="4">
        <f t="shared" si="1250"/>
        <v>9.6247971060916608</v>
      </c>
      <c r="DL325" s="38">
        <f t="shared" si="1251"/>
        <v>693.6015893389997</v>
      </c>
      <c r="DM325" s="4" t="e">
        <f t="shared" si="1086"/>
        <v>#REF!</v>
      </c>
      <c r="DN325" s="4">
        <f t="shared" si="1252"/>
        <v>3.2403703492039297</v>
      </c>
      <c r="DO325" s="4">
        <f t="shared" si="1309"/>
        <v>411.50263232351193</v>
      </c>
      <c r="DS325" s="4">
        <f t="shared" si="1253"/>
        <v>0.85</v>
      </c>
      <c r="DT325" s="4">
        <f t="shared" si="1254"/>
        <v>0.83499999999999996</v>
      </c>
      <c r="DU325" s="4">
        <f t="shared" si="1255"/>
        <v>0.99062499999999998</v>
      </c>
      <c r="DV325" s="4">
        <f t="shared" si="1087"/>
        <v>0.827171875</v>
      </c>
      <c r="DX325" s="4">
        <f t="shared" si="1256"/>
        <v>689.44961179726056</v>
      </c>
      <c r="DY325" s="25">
        <f t="shared" si="1146"/>
        <v>406.81088236967901</v>
      </c>
      <c r="EA325" s="4">
        <f t="shared" si="1147"/>
        <v>0.70309609374999993</v>
      </c>
      <c r="EB325" s="4">
        <f t="shared" si="1257"/>
        <v>10.25167680187093</v>
      </c>
      <c r="EE325" s="4">
        <f t="shared" si="1258"/>
        <v>82.305406869779816</v>
      </c>
      <c r="EF325" s="4">
        <f t="shared" si="1088"/>
        <v>3.2403703492039302</v>
      </c>
      <c r="EG325" s="4">
        <f t="shared" si="1259"/>
        <v>9.6068123230730482E-2</v>
      </c>
      <c r="EJ325" s="4">
        <f t="shared" si="1089"/>
        <v>9.6068123230730482E-2</v>
      </c>
      <c r="EK325" s="4">
        <f t="shared" si="1260"/>
        <v>0.22213575333039937</v>
      </c>
      <c r="EL325" s="4">
        <f t="shared" si="1090"/>
        <v>5.6161964674192566</v>
      </c>
      <c r="EM325" s="4">
        <f t="shared" si="1091"/>
        <v>8.2681694572947251</v>
      </c>
      <c r="EN325" s="4" t="e">
        <f t="shared" si="1092"/>
        <v>#REF!</v>
      </c>
      <c r="EO325" s="4" t="e">
        <f t="shared" si="1093"/>
        <v>#REF!</v>
      </c>
      <c r="EP325" s="4" t="e">
        <f t="shared" si="1261"/>
        <v>#REF!</v>
      </c>
      <c r="EQ325" s="4" t="e">
        <f t="shared" si="1094"/>
        <v>#REF!</v>
      </c>
      <c r="ER325" s="4" t="e">
        <f t="shared" si="1262"/>
        <v>#REF!</v>
      </c>
      <c r="FA325" s="23" t="e">
        <f t="shared" si="1042"/>
        <v>#REF!</v>
      </c>
      <c r="FB325" s="23" t="e">
        <f t="shared" si="1043"/>
        <v>#REF!</v>
      </c>
      <c r="FC325" s="23">
        <f t="shared" si="1317"/>
        <v>1.2</v>
      </c>
      <c r="FD325" s="23" t="e">
        <f t="shared" si="1044"/>
        <v>#REF!</v>
      </c>
      <c r="FE325" s="23">
        <f t="shared" si="1045"/>
        <v>1</v>
      </c>
      <c r="FF325" s="23">
        <f t="shared" si="1046"/>
        <v>1</v>
      </c>
      <c r="FG325" s="23">
        <f t="shared" si="1266"/>
        <v>0</v>
      </c>
      <c r="FH325" s="23"/>
      <c r="FR325" s="4">
        <f t="shared" si="1122"/>
        <v>1</v>
      </c>
      <c r="FS325" s="4">
        <f t="shared" si="1123"/>
        <v>0.47187499999999999</v>
      </c>
      <c r="FT325" s="4">
        <f t="shared" si="1124"/>
        <v>0.14062499999999997</v>
      </c>
      <c r="FU325" s="4">
        <f t="shared" si="1125"/>
        <v>545.69679877410488</v>
      </c>
    </row>
    <row r="326" spans="2:177" ht="12" customHeight="1" x14ac:dyDescent="0.3">
      <c r="B326" s="24"/>
      <c r="C326" s="7" t="s">
        <v>465</v>
      </c>
      <c r="D326" s="38">
        <f>120/0.145</f>
        <v>827.58620689655174</v>
      </c>
      <c r="E326" s="38">
        <f>9.25*25.4</f>
        <v>234.95</v>
      </c>
      <c r="F326" s="38">
        <f>9040/145</f>
        <v>62.344827586206897</v>
      </c>
      <c r="G326" s="38">
        <f t="shared" si="1341"/>
        <v>25.4</v>
      </c>
      <c r="H326" s="38">
        <f>14*25.4</f>
        <v>355.59999999999997</v>
      </c>
      <c r="I326" s="38">
        <f>2.5*25.4</f>
        <v>63.5</v>
      </c>
      <c r="J326" s="39">
        <f>3.3*25.4</f>
        <v>83.82</v>
      </c>
      <c r="K326" s="7">
        <f t="shared" si="1339"/>
        <v>76.199999999999989</v>
      </c>
      <c r="L326" s="38">
        <v>3</v>
      </c>
      <c r="M326" s="4">
        <f t="shared" si="1357"/>
        <v>260.34999999999997</v>
      </c>
      <c r="N326" s="7">
        <f t="shared" si="1224"/>
        <v>1.9999999999999998</v>
      </c>
      <c r="O326" s="7">
        <f t="shared" si="1225"/>
        <v>3</v>
      </c>
      <c r="P326" s="38">
        <v>9.5</v>
      </c>
      <c r="Q326" s="4">
        <f t="shared" si="1342"/>
        <v>9.5</v>
      </c>
      <c r="R326" s="4">
        <f t="shared" si="1226"/>
        <v>10.5</v>
      </c>
      <c r="S326" s="7">
        <f t="shared" si="1227"/>
        <v>82.305406869779816</v>
      </c>
      <c r="V326" s="38">
        <f t="shared" si="1054"/>
        <v>351.72413793103453</v>
      </c>
      <c r="W326" s="4">
        <v>51</v>
      </c>
      <c r="X326" s="4">
        <f t="shared" si="1228"/>
        <v>0.77187994815402661</v>
      </c>
      <c r="Y326" s="38"/>
      <c r="Z326" s="38"/>
      <c r="AA326" s="39">
        <v>1</v>
      </c>
      <c r="AB326" s="39"/>
      <c r="AC326" s="39"/>
      <c r="AD326" s="7"/>
      <c r="AE326" s="4">
        <f t="shared" si="1229"/>
        <v>234.95</v>
      </c>
      <c r="AF326" s="4">
        <f t="shared" si="1230"/>
        <v>0.50450450450450446</v>
      </c>
      <c r="AG326" s="4">
        <f t="shared" si="1231"/>
        <v>187.06167500766796</v>
      </c>
      <c r="AH326" s="4">
        <f t="shared" si="1232"/>
        <v>0.76486486486486482</v>
      </c>
      <c r="AI326" s="4">
        <v>1.25</v>
      </c>
      <c r="AJ326" s="4">
        <f t="shared" si="1154"/>
        <v>2.5</v>
      </c>
      <c r="AK326" s="38">
        <f t="shared" si="1340"/>
        <v>225.57169356597893</v>
      </c>
      <c r="AL326" s="38">
        <f t="shared" si="1264"/>
        <v>225.57169356597893</v>
      </c>
      <c r="AM326" s="38">
        <f t="shared" si="1233"/>
        <v>4.4175343619879603</v>
      </c>
      <c r="AN326" s="38">
        <f t="shared" si="1161"/>
        <v>225.57169356597893</v>
      </c>
      <c r="AO326" s="38">
        <f t="shared" si="1115"/>
        <v>1</v>
      </c>
      <c r="AP326" s="38">
        <f t="shared" si="1162"/>
        <v>4.089016547523733</v>
      </c>
      <c r="AQ326" s="4">
        <f t="shared" si="1163"/>
        <v>0</v>
      </c>
      <c r="AR326" s="4" t="e">
        <f>#REF!/G326*F326^0.5/0.19</f>
        <v>#REF!</v>
      </c>
      <c r="AS326" s="4">
        <f t="shared" si="1234"/>
        <v>1.2000000000000002</v>
      </c>
      <c r="AT326" s="38">
        <f t="shared" si="1235"/>
        <v>922.36638764424072</v>
      </c>
      <c r="AU326" s="4">
        <f t="shared" si="1236"/>
        <v>0.3</v>
      </c>
      <c r="AV326" s="4" t="e">
        <f>AU326*D326*#REF!/(D326*G326/2.75/F326^0.5)</f>
        <v>#REF!</v>
      </c>
      <c r="AW326" s="4" t="e">
        <f t="shared" si="1068"/>
        <v>#REF!</v>
      </c>
      <c r="AY326" s="4">
        <f t="shared" si="1237"/>
        <v>1.375</v>
      </c>
      <c r="AZ326" s="4" t="e">
        <f>(3*#REF!+30)*AY326*F326^0.5</f>
        <v>#REF!</v>
      </c>
      <c r="BB326" s="4">
        <f t="shared" si="1238"/>
        <v>884.6621638098693</v>
      </c>
      <c r="BC326" s="4">
        <f t="shared" si="1275"/>
        <v>0</v>
      </c>
      <c r="BD326" s="4">
        <f t="shared" si="1069"/>
        <v>0</v>
      </c>
      <c r="BL326" s="4">
        <f t="shared" si="1239"/>
        <v>38.099999999999994</v>
      </c>
      <c r="BP326" s="9"/>
      <c r="BR326" s="9"/>
      <c r="BS326" s="9"/>
      <c r="BT326" s="9">
        <f t="shared" si="1240"/>
        <v>38.099999999999994</v>
      </c>
      <c r="BU326" s="9">
        <f t="shared" si="1241"/>
        <v>63.5</v>
      </c>
      <c r="BV326" s="9">
        <f t="shared" si="1242"/>
        <v>1.3222785168171165</v>
      </c>
      <c r="BW326" s="40">
        <f t="shared" si="1343"/>
        <v>0</v>
      </c>
      <c r="BX326" s="9">
        <f t="shared" si="1243"/>
        <v>0</v>
      </c>
      <c r="BY326" s="9">
        <f t="shared" si="1070"/>
        <v>0</v>
      </c>
      <c r="BZ326" s="9">
        <f t="shared" si="1244"/>
        <v>0.99524931562137331</v>
      </c>
      <c r="CA326" s="9">
        <f t="shared" si="1245"/>
        <v>0.68</v>
      </c>
      <c r="CB326" s="9">
        <f t="shared" si="1246"/>
        <v>1.8702904607807274</v>
      </c>
      <c r="CC326" s="9">
        <f t="shared" si="1247"/>
        <v>2.4730448964983416</v>
      </c>
      <c r="CD326" s="40">
        <v>1</v>
      </c>
      <c r="CE326" s="9" t="e">
        <f>4*CC326*#REF!+60*CC326</f>
        <v>#REF!</v>
      </c>
      <c r="CG326" s="4" t="e">
        <f t="shared" si="1071"/>
        <v>#REF!</v>
      </c>
      <c r="CH326" s="4" t="e">
        <f t="shared" si="1072"/>
        <v>#REF!</v>
      </c>
      <c r="CI326" s="4" t="e">
        <f t="shared" si="1073"/>
        <v>#REF!</v>
      </c>
      <c r="CJ326" s="4" t="e">
        <f t="shared" si="1074"/>
        <v>#REF!</v>
      </c>
      <c r="CK326" s="4">
        <f t="shared" si="1075"/>
        <v>0.77187994815402661</v>
      </c>
      <c r="CL326" s="4">
        <f t="shared" si="1076"/>
        <v>0.74722430214469848</v>
      </c>
      <c r="CM326" s="4">
        <f t="shared" si="1310"/>
        <v>1.1308794998166836</v>
      </c>
      <c r="CN326" s="4">
        <f t="shared" si="1344"/>
        <v>0</v>
      </c>
      <c r="CO326" s="4" t="e">
        <f t="shared" ref="CO326" si="1371">CG326</f>
        <v>#REF!</v>
      </c>
      <c r="CP326" s="4" t="e">
        <f t="shared" ref="CP326" si="1372">CH326</f>
        <v>#REF!</v>
      </c>
      <c r="CQ326" s="4" t="e">
        <f t="shared" ref="CQ326" si="1373">CJ326</f>
        <v>#REF!</v>
      </c>
      <c r="CR326" s="4">
        <f t="shared" ref="CR326" si="1374">CM326</f>
        <v>1.1308794998166836</v>
      </c>
      <c r="CS326" s="4">
        <f t="shared" ref="CS326" si="1375">CK326</f>
        <v>0.77187994815402661</v>
      </c>
      <c r="CT326" s="4">
        <f t="shared" ref="CT326" si="1376">CL326</f>
        <v>0.74722430214469848</v>
      </c>
      <c r="DC326" s="4" t="e">
        <f>#REF!</f>
        <v>#REF!</v>
      </c>
      <c r="DF326" s="4">
        <f t="shared" si="1248"/>
        <v>2.0373545896374304E-5</v>
      </c>
      <c r="DG326" s="4">
        <f t="shared" si="1083"/>
        <v>8.9262091811553486</v>
      </c>
      <c r="DH326" s="4">
        <f t="shared" si="1249"/>
        <v>0.12197078234681423</v>
      </c>
      <c r="DI326" s="4">
        <f t="shared" si="1084"/>
        <v>3.8474181010001449</v>
      </c>
      <c r="DJ326" s="4">
        <f t="shared" si="1085"/>
        <v>6.8798040749591918</v>
      </c>
      <c r="DK326" s="4">
        <f t="shared" si="1250"/>
        <v>8.4854089879150845</v>
      </c>
      <c r="DL326" s="38">
        <f t="shared" si="1251"/>
        <v>455.67207539487595</v>
      </c>
      <c r="DM326" s="4" t="e">
        <f t="shared" si="1086"/>
        <v>#REF!</v>
      </c>
      <c r="DN326" s="4">
        <f t="shared" si="1252"/>
        <v>3.2403703492039297</v>
      </c>
      <c r="DO326" s="4">
        <f t="shared" si="1309"/>
        <v>225.57169356597893</v>
      </c>
      <c r="DS326" s="4">
        <f t="shared" si="1253"/>
        <v>0.85</v>
      </c>
      <c r="DT326" s="4">
        <f t="shared" si="1254"/>
        <v>0.95</v>
      </c>
      <c r="DU326" s="4">
        <f t="shared" si="1255"/>
        <v>1</v>
      </c>
      <c r="DV326" s="4">
        <f t="shared" si="1087"/>
        <v>0.95</v>
      </c>
      <c r="DX326" s="4">
        <f t="shared" si="1256"/>
        <v>470.70757324341395</v>
      </c>
      <c r="DY326" s="25">
        <f t="shared" si="1146"/>
        <v>223.00526846635302</v>
      </c>
      <c r="EA326" s="4">
        <f t="shared" si="1147"/>
        <v>0.8075</v>
      </c>
      <c r="EB326" s="4">
        <f t="shared" si="1257"/>
        <v>8.9262091811553486</v>
      </c>
      <c r="EE326" s="4">
        <f t="shared" si="1258"/>
        <v>82.305406869779816</v>
      </c>
      <c r="EF326" s="4">
        <f t="shared" si="1088"/>
        <v>3.2403703492039302</v>
      </c>
      <c r="EG326" s="4">
        <f t="shared" si="1259"/>
        <v>5.2661265208686421E-2</v>
      </c>
      <c r="EJ326" s="4">
        <f t="shared" si="1089"/>
        <v>5.2661265208686421E-2</v>
      </c>
      <c r="EK326" s="4">
        <f t="shared" si="1260"/>
        <v>0.12176723584334105</v>
      </c>
      <c r="EL326" s="4">
        <f t="shared" si="1090"/>
        <v>3.8448485645758632</v>
      </c>
      <c r="EM326" s="4">
        <f t="shared" si="1091"/>
        <v>6.8791009663372167</v>
      </c>
      <c r="EN326" s="4" t="e">
        <f t="shared" si="1092"/>
        <v>#REF!</v>
      </c>
      <c r="EO326" s="4" t="e">
        <f t="shared" si="1093"/>
        <v>#REF!</v>
      </c>
      <c r="EP326" s="4" t="e">
        <f t="shared" si="1261"/>
        <v>#REF!</v>
      </c>
      <c r="EQ326" s="4" t="e">
        <f t="shared" si="1094"/>
        <v>#REF!</v>
      </c>
      <c r="ER326" s="4" t="e">
        <f t="shared" si="1262"/>
        <v>#REF!</v>
      </c>
      <c r="FA326" s="23" t="e">
        <f t="shared" si="1042"/>
        <v>#REF!</v>
      </c>
      <c r="FB326" s="23" t="e">
        <f t="shared" si="1043"/>
        <v>#REF!</v>
      </c>
      <c r="FC326" s="23">
        <f t="shared" si="1317"/>
        <v>1.2</v>
      </c>
      <c r="FD326" s="23" t="e">
        <f t="shared" si="1044"/>
        <v>#REF!</v>
      </c>
      <c r="FE326" s="23">
        <f t="shared" si="1045"/>
        <v>0.8</v>
      </c>
      <c r="FF326" s="23">
        <f t="shared" si="1046"/>
        <v>0.8</v>
      </c>
      <c r="FG326" s="23">
        <f t="shared" si="1266"/>
        <v>1</v>
      </c>
      <c r="FH326" s="23"/>
      <c r="FR326" s="4">
        <f t="shared" si="1122"/>
        <v>1</v>
      </c>
      <c r="FS326" s="4">
        <f t="shared" si="1123"/>
        <v>0.83333333333333326</v>
      </c>
      <c r="FT326" s="4">
        <f t="shared" si="1124"/>
        <v>0</v>
      </c>
      <c r="FU326" s="4">
        <f t="shared" si="1125"/>
        <v>311.01822783775748</v>
      </c>
    </row>
    <row r="327" spans="2:177" ht="12" customHeight="1" x14ac:dyDescent="0.3">
      <c r="B327" s="24"/>
      <c r="C327" s="7" t="s">
        <v>466</v>
      </c>
      <c r="D327" s="38">
        <f>120/0.145</f>
        <v>827.58620689655174</v>
      </c>
      <c r="E327" s="38">
        <f>9.58*25.4</f>
        <v>243.33199999999999</v>
      </c>
      <c r="F327" s="38">
        <f>9040/145</f>
        <v>62.344827586206897</v>
      </c>
      <c r="G327" s="38">
        <f t="shared" si="1341"/>
        <v>25.4</v>
      </c>
      <c r="H327" s="38">
        <f>14*25.4</f>
        <v>355.59999999999997</v>
      </c>
      <c r="I327" s="38">
        <f t="shared" si="1345"/>
        <v>63.5</v>
      </c>
      <c r="J327" s="39">
        <f>3.2*25.4</f>
        <v>81.28</v>
      </c>
      <c r="K327" s="7">
        <f t="shared" si="1339"/>
        <v>76.199999999999989</v>
      </c>
      <c r="L327" s="38">
        <v>3</v>
      </c>
      <c r="M327" s="4">
        <f t="shared" si="1357"/>
        <v>260.34999999999997</v>
      </c>
      <c r="N327" s="7">
        <f t="shared" si="1224"/>
        <v>1.9999999999999998</v>
      </c>
      <c r="O327" s="7">
        <f t="shared" si="1225"/>
        <v>3</v>
      </c>
      <c r="P327" s="38">
        <v>9.5</v>
      </c>
      <c r="Q327" s="4">
        <f t="shared" si="1342"/>
        <v>9.5</v>
      </c>
      <c r="R327" s="4">
        <f t="shared" si="1226"/>
        <v>10.5</v>
      </c>
      <c r="S327" s="7">
        <f t="shared" si="1227"/>
        <v>82.305406869779816</v>
      </c>
      <c r="V327" s="38">
        <f t="shared" si="1054"/>
        <v>452.41379310344826</v>
      </c>
      <c r="W327" s="4">
        <v>65.599999999999994</v>
      </c>
      <c r="X327" s="4">
        <f t="shared" si="1228"/>
        <v>0.96079814882500592</v>
      </c>
      <c r="Y327" s="38">
        <f>0.375*25.4</f>
        <v>9.5249999999999986</v>
      </c>
      <c r="Z327" s="38">
        <v>4</v>
      </c>
      <c r="AA327" s="39">
        <f>6*25.4</f>
        <v>152.39999999999998</v>
      </c>
      <c r="AB327" s="39">
        <v>1</v>
      </c>
      <c r="AC327" s="39">
        <v>1</v>
      </c>
      <c r="AD327" s="7"/>
      <c r="AE327" s="4">
        <f t="shared" si="1229"/>
        <v>243.33199999999999</v>
      </c>
      <c r="AF327" s="4">
        <f t="shared" si="1230"/>
        <v>0.48712595685455812</v>
      </c>
      <c r="AG327" s="4">
        <f t="shared" si="1231"/>
        <v>197.16075989632159</v>
      </c>
      <c r="AH327" s="4">
        <f t="shared" si="1232"/>
        <v>0.76263048016701451</v>
      </c>
      <c r="AI327" s="4">
        <v>1.25</v>
      </c>
      <c r="AJ327" s="4">
        <f t="shared" si="1154"/>
        <v>2.5</v>
      </c>
      <c r="AK327" s="38">
        <f t="shared" si="1340"/>
        <v>228.88953438778191</v>
      </c>
      <c r="AL327" s="38">
        <f t="shared" si="1264"/>
        <v>228.88953438778191</v>
      </c>
      <c r="AM327" s="38">
        <f t="shared" si="1233"/>
        <v>4.4175343619879603</v>
      </c>
      <c r="AN327" s="38">
        <f t="shared" si="1161"/>
        <v>228.88953438778174</v>
      </c>
      <c r="AO327" s="38">
        <f t="shared" si="1115"/>
        <v>1.0000000000000007</v>
      </c>
      <c r="AP327" s="38">
        <f t="shared" si="1162"/>
        <v>4.0297446980759695</v>
      </c>
      <c r="AQ327" s="4">
        <f t="shared" si="1163"/>
        <v>0</v>
      </c>
      <c r="AR327" s="4" t="e">
        <f>#REF!/G327*F327^0.5/0.19</f>
        <v>#REF!</v>
      </c>
      <c r="AS327" s="4">
        <f t="shared" si="1234"/>
        <v>1.2000000000000002</v>
      </c>
      <c r="AT327" s="38">
        <f t="shared" si="1235"/>
        <v>922.36638764424072</v>
      </c>
      <c r="AU327" s="4">
        <f t="shared" si="1236"/>
        <v>0.3</v>
      </c>
      <c r="AV327" s="4" t="e">
        <f>AU327*D327*#REF!/(D327*G327/2.75/F327^0.5)</f>
        <v>#REF!</v>
      </c>
      <c r="AW327" s="4" t="e">
        <f t="shared" si="1068"/>
        <v>#REF!</v>
      </c>
      <c r="AY327" s="4">
        <f t="shared" si="1237"/>
        <v>1.5</v>
      </c>
      <c r="AZ327" s="4" t="e">
        <f>(3*#REF!+30)*AY327*F327^0.5</f>
        <v>#REF!</v>
      </c>
      <c r="BB327" s="4">
        <f t="shared" si="1238"/>
        <v>884.6621638098693</v>
      </c>
      <c r="BC327" s="4">
        <f t="shared" si="1275"/>
        <v>0</v>
      </c>
      <c r="BD327" s="4">
        <f t="shared" si="1069"/>
        <v>0</v>
      </c>
      <c r="BL327" s="4">
        <f t="shared" si="1239"/>
        <v>38.099999999999994</v>
      </c>
      <c r="BP327" s="9"/>
      <c r="BR327" s="9"/>
      <c r="BS327" s="9"/>
      <c r="BT327" s="9">
        <f t="shared" si="1240"/>
        <v>38.099999999999994</v>
      </c>
      <c r="BU327" s="9">
        <f t="shared" si="1241"/>
        <v>63.5</v>
      </c>
      <c r="BV327" s="9">
        <f t="shared" si="1242"/>
        <v>1.3222785168171165</v>
      </c>
      <c r="BW327" s="40">
        <f t="shared" si="1343"/>
        <v>20</v>
      </c>
      <c r="BX327" s="9">
        <f t="shared" si="1243"/>
        <v>4.9087385212340517E-2</v>
      </c>
      <c r="BY327" s="9">
        <f t="shared" si="1070"/>
        <v>0.78174770424681028</v>
      </c>
      <c r="BZ327" s="9">
        <f t="shared" si="1244"/>
        <v>0.99524931562137331</v>
      </c>
      <c r="CA327" s="9">
        <f t="shared" si="1245"/>
        <v>0.68</v>
      </c>
      <c r="CB327" s="9">
        <f t="shared" si="1246"/>
        <v>1.8702904607807274</v>
      </c>
      <c r="CC327" s="9">
        <f t="shared" si="1247"/>
        <v>3.9351401704883844</v>
      </c>
      <c r="CD327" s="40">
        <v>1</v>
      </c>
      <c r="CE327" s="9" t="e">
        <f>4*CC327*#REF!+60*CC327</f>
        <v>#REF!</v>
      </c>
      <c r="CG327" s="4" t="e">
        <f t="shared" si="1071"/>
        <v>#REF!</v>
      </c>
      <c r="CH327" s="4" t="e">
        <f t="shared" si="1072"/>
        <v>#REF!</v>
      </c>
      <c r="CI327" s="4" t="e">
        <f t="shared" si="1073"/>
        <v>#REF!</v>
      </c>
      <c r="CJ327" s="4" t="e">
        <f t="shared" si="1074"/>
        <v>#REF!</v>
      </c>
      <c r="CK327" s="4">
        <f t="shared" si="1075"/>
        <v>0.96079814882500592</v>
      </c>
      <c r="CL327" s="4">
        <f t="shared" si="1076"/>
        <v>0.93212965513993562</v>
      </c>
      <c r="CM327" s="4">
        <f t="shared" si="1310"/>
        <v>1.1355499502132003</v>
      </c>
      <c r="CN327" s="4">
        <f t="shared" si="1344"/>
        <v>4</v>
      </c>
      <c r="CU327" s="4" t="e">
        <f t="shared" ref="CU327" si="1377">CG327</f>
        <v>#REF!</v>
      </c>
      <c r="CV327" s="4" t="e">
        <f t="shared" ref="CV327" si="1378">CH327</f>
        <v>#REF!</v>
      </c>
      <c r="CW327" s="4" t="e">
        <f t="shared" ref="CW327" si="1379">CJ327</f>
        <v>#REF!</v>
      </c>
      <c r="CX327" s="4">
        <f t="shared" ref="CX327" si="1380">CM327</f>
        <v>1.1355499502132003</v>
      </c>
      <c r="CY327" s="4">
        <f t="shared" ref="CY327" si="1381">CK327</f>
        <v>0.96079814882500592</v>
      </c>
      <c r="CZ327" s="4">
        <f t="shared" ref="CZ327" si="1382">CL327</f>
        <v>0.93212965513993562</v>
      </c>
      <c r="DC327" s="4" t="e">
        <f>#REF!</f>
        <v>#REF!</v>
      </c>
      <c r="DF327" s="4">
        <f t="shared" si="1248"/>
        <v>2.1100385912136846E-5</v>
      </c>
      <c r="DG327" s="4">
        <f t="shared" si="1083"/>
        <v>9.0106843469076061</v>
      </c>
      <c r="DH327" s="4">
        <f t="shared" si="1249"/>
        <v>0.12376480017919407</v>
      </c>
      <c r="DI327" s="4">
        <f t="shared" si="1084"/>
        <v>3.906579207130604</v>
      </c>
      <c r="DJ327" s="4">
        <f t="shared" si="1085"/>
        <v>6.951156618432341</v>
      </c>
      <c r="DK327" s="4">
        <f t="shared" si="1250"/>
        <v>8.5249832580180538</v>
      </c>
      <c r="DL327" s="38">
        <f t="shared" si="1251"/>
        <v>470.87288173558733</v>
      </c>
      <c r="DM327" s="4" t="e">
        <f t="shared" si="1086"/>
        <v>#REF!</v>
      </c>
      <c r="DN327" s="4">
        <f t="shared" si="1252"/>
        <v>3.2403703492039297</v>
      </c>
      <c r="DO327" s="4">
        <f t="shared" si="1309"/>
        <v>228.88953438778174</v>
      </c>
      <c r="DS327" s="4">
        <f t="shared" si="1253"/>
        <v>0.85</v>
      </c>
      <c r="DT327" s="4">
        <f t="shared" si="1254"/>
        <v>0.95</v>
      </c>
      <c r="DU327" s="4">
        <f t="shared" si="1255"/>
        <v>0.99062499999999998</v>
      </c>
      <c r="DV327" s="4">
        <f t="shared" si="1087"/>
        <v>0.94109374999999995</v>
      </c>
      <c r="DX327" s="4">
        <f t="shared" si="1256"/>
        <v>485.35500464850008</v>
      </c>
      <c r="DY327" s="25">
        <f t="shared" si="1146"/>
        <v>226.38793651837554</v>
      </c>
      <c r="EA327" s="4">
        <f t="shared" si="1147"/>
        <v>0.79992968749999993</v>
      </c>
      <c r="EB327" s="4">
        <f t="shared" si="1257"/>
        <v>9.0106843469076061</v>
      </c>
      <c r="EE327" s="4">
        <f t="shared" si="1258"/>
        <v>82.305406869779816</v>
      </c>
      <c r="EF327" s="4">
        <f t="shared" si="1088"/>
        <v>3.2403703492039302</v>
      </c>
      <c r="EG327" s="4">
        <f t="shared" si="1259"/>
        <v>5.3435837996056383E-2</v>
      </c>
      <c r="EJ327" s="4">
        <f t="shared" si="1089"/>
        <v>5.3435837996056383E-2</v>
      </c>
      <c r="EK327" s="4">
        <f t="shared" si="1260"/>
        <v>0.1235582597943181</v>
      </c>
      <c r="EL327" s="4">
        <f t="shared" si="1090"/>
        <v>3.9039701593734981</v>
      </c>
      <c r="EM327" s="4">
        <f t="shared" si="1091"/>
        <v>6.9504388324651538</v>
      </c>
      <c r="EN327" s="4" t="e">
        <f t="shared" si="1092"/>
        <v>#REF!</v>
      </c>
      <c r="EO327" s="4" t="e">
        <f t="shared" si="1093"/>
        <v>#REF!</v>
      </c>
      <c r="EP327" s="4" t="e">
        <f t="shared" si="1261"/>
        <v>#REF!</v>
      </c>
      <c r="EQ327" s="4" t="e">
        <f t="shared" si="1094"/>
        <v>#REF!</v>
      </c>
      <c r="ER327" s="4" t="e">
        <f t="shared" si="1262"/>
        <v>#REF!</v>
      </c>
      <c r="FA327" s="23" t="e">
        <f t="shared" ref="FA327:FA390" si="1383">IF(CG327&lt;0.6,0.6,IF(CG327&lt;0.8,0.8,IF(CG327&lt;1,1,IF(CG327&lt;1.2,1.2,IF(CG327&lt;1.4,1.4,IF(CG327&lt;1.6,1.6,IF(CG327&lt;1.8,1.8,IF(CG327&lt;2,2,2.2))))))))</f>
        <v>#REF!</v>
      </c>
      <c r="FB327" s="23" t="e">
        <f t="shared" ref="FB327:FB390" si="1384">IF(CH327&lt;0.6,0.6,IF(CH327&lt;0.8,0.8,IF(CH327&lt;1,1,IF(CH327&lt;1.2,1.2,IF(CH327&lt;1.4,1.4,IF(CH327&lt;1.6,1.6,IF(CH327&lt;1.8,1.8,IF(CH327&lt;2,2,2.2))))))))</f>
        <v>#REF!</v>
      </c>
      <c r="FC327" s="23">
        <f t="shared" si="1317"/>
        <v>1.2</v>
      </c>
      <c r="FD327" s="23" t="e">
        <f t="shared" ref="FD327:FD390" si="1385">IF(CJ327&lt;0.6,0.6,IF(CJ327&lt;0.8,0.8,IF(CJ327&lt;1,1,IF(CJ327&lt;1.2,1.2,IF(CJ327&lt;1.4,1.4,IF(CJ327&lt;1.6,1.6,IF(CJ327&lt;1.8,1.8,IF(CJ327&lt;2,2,2.2))))))))</f>
        <v>#REF!</v>
      </c>
      <c r="FE327" s="23">
        <f t="shared" ref="FE327:FE390" si="1386">IF(CK327&lt;0.6,0.6,IF(CK327&lt;0.8,0.8,IF(CK327&lt;1,1,IF(CK327&lt;1.2,1.2,IF(CK327&lt;1.4,1.4,IF(CK327&lt;1.6,1.6,IF(CK327&lt;1.8,1.8,IF(CK327&lt;2,2,2.2))))))))</f>
        <v>1</v>
      </c>
      <c r="FF327" s="23">
        <f t="shared" ref="FF327:FF390" si="1387">IF(CL327&lt;0.6,0.6,IF(CL327&lt;0.8,0.8,IF(CL327&lt;1,1,IF(CL327&lt;1.2,1.2,IF(CL327&lt;1.4,1.4,IF(CL327&lt;1.6,1.6,IF(CL327&lt;1.8,1.8,IF(CL327&lt;2,2,2.2))))))))</f>
        <v>1</v>
      </c>
      <c r="FG327" s="23">
        <f t="shared" si="1266"/>
        <v>0</v>
      </c>
      <c r="FH327" s="23"/>
      <c r="FR327" s="4">
        <f t="shared" si="1122"/>
        <v>1</v>
      </c>
      <c r="FS327" s="4">
        <f t="shared" si="1123"/>
        <v>0.67375000000000007</v>
      </c>
      <c r="FT327" s="4">
        <f t="shared" si="1124"/>
        <v>9.3749999999999986E-2</v>
      </c>
      <c r="FU327" s="4">
        <f t="shared" si="1125"/>
        <v>398.40941652853513</v>
      </c>
    </row>
    <row r="328" spans="2:177" ht="12" customHeight="1" x14ac:dyDescent="0.3">
      <c r="B328" s="24"/>
      <c r="C328" s="7" t="s">
        <v>467</v>
      </c>
      <c r="D328" s="38">
        <f t="shared" ref="D328:D338" si="1388">120/0.145</f>
        <v>827.58620689655174</v>
      </c>
      <c r="E328" s="38">
        <f>9.5*25.4</f>
        <v>241.29999999999998</v>
      </c>
      <c r="F328" s="38">
        <f>9940/145</f>
        <v>68.551724137931032</v>
      </c>
      <c r="G328" s="38">
        <f t="shared" si="1341"/>
        <v>25.4</v>
      </c>
      <c r="H328" s="38">
        <f>16*25.4</f>
        <v>406.4</v>
      </c>
      <c r="I328" s="38">
        <f t="shared" si="1345"/>
        <v>63.5</v>
      </c>
      <c r="J328" s="39">
        <f>3.3*25.4</f>
        <v>83.82</v>
      </c>
      <c r="K328" s="7">
        <f t="shared" si="1339"/>
        <v>101.6</v>
      </c>
      <c r="L328" s="38">
        <v>3</v>
      </c>
      <c r="M328" s="4">
        <f t="shared" si="1357"/>
        <v>260.34999999999997</v>
      </c>
      <c r="N328" s="7">
        <f t="shared" si="1224"/>
        <v>2.5</v>
      </c>
      <c r="O328" s="7">
        <f t="shared" si="1225"/>
        <v>3</v>
      </c>
      <c r="P328" s="38">
        <v>9.5</v>
      </c>
      <c r="Q328" s="4">
        <f t="shared" si="1342"/>
        <v>9.5</v>
      </c>
      <c r="R328" s="4">
        <f t="shared" si="1226"/>
        <v>10.5</v>
      </c>
      <c r="S328" s="7">
        <f t="shared" si="1227"/>
        <v>82.305406869779816</v>
      </c>
      <c r="V328" s="38">
        <f t="shared" si="1054"/>
        <v>388.27586206896552</v>
      </c>
      <c r="W328" s="4">
        <v>56.3</v>
      </c>
      <c r="X328" s="4">
        <f t="shared" si="1228"/>
        <v>0.72179535196685451</v>
      </c>
      <c r="Y328" s="38"/>
      <c r="Z328" s="38"/>
      <c r="AA328" s="39">
        <v>1</v>
      </c>
      <c r="AB328" s="39"/>
      <c r="AC328" s="39"/>
      <c r="AD328" s="7"/>
      <c r="AE328" s="4">
        <f t="shared" si="1229"/>
        <v>241.29999999999998</v>
      </c>
      <c r="AF328" s="4">
        <f t="shared" si="1230"/>
        <v>0.56140350877192979</v>
      </c>
      <c r="AG328" s="4">
        <f t="shared" si="1231"/>
        <v>204.15809498223462</v>
      </c>
      <c r="AH328" s="4">
        <f t="shared" si="1232"/>
        <v>0.76315789473684204</v>
      </c>
      <c r="AI328" s="4">
        <v>1.25</v>
      </c>
      <c r="AJ328" s="4">
        <f t="shared" si="1154"/>
        <v>2.5</v>
      </c>
      <c r="AK328" s="38">
        <f t="shared" si="1340"/>
        <v>273.34186308794108</v>
      </c>
      <c r="AL328" s="38">
        <f t="shared" si="1264"/>
        <v>273.34186308794108</v>
      </c>
      <c r="AM328" s="38">
        <f t="shared" si="1233"/>
        <v>4.5752930713880566</v>
      </c>
      <c r="AN328" s="38">
        <f t="shared" si="1161"/>
        <v>273.34186308794119</v>
      </c>
      <c r="AO328" s="38">
        <f t="shared" si="1115"/>
        <v>0.99999999999999956</v>
      </c>
      <c r="AP328" s="38">
        <f t="shared" si="1162"/>
        <v>4.1741475281539566</v>
      </c>
      <c r="AQ328" s="4">
        <f t="shared" si="1163"/>
        <v>0</v>
      </c>
      <c r="AR328" s="4" t="e">
        <f>#REF!/G328*F328^0.5/0.19</f>
        <v>#REF!</v>
      </c>
      <c r="AS328" s="4">
        <f t="shared" si="1234"/>
        <v>1.08</v>
      </c>
      <c r="AT328" s="38">
        <f t="shared" si="1235"/>
        <v>1140.9692621495269</v>
      </c>
      <c r="AU328" s="4">
        <f t="shared" si="1236"/>
        <v>0.3</v>
      </c>
      <c r="AV328" s="4" t="e">
        <f>AU328*D328*#REF!/(D328*G328/2.75/F328^0.5)</f>
        <v>#REF!</v>
      </c>
      <c r="AW328" s="4" t="e">
        <f t="shared" si="1068"/>
        <v>#REF!</v>
      </c>
      <c r="AY328" s="4">
        <f t="shared" si="1237"/>
        <v>1.375</v>
      </c>
      <c r="AZ328" s="4" t="e">
        <f>(3*#REF!+30)*AY328*F328^0.5</f>
        <v>#REF!</v>
      </c>
      <c r="BB328" s="4">
        <f t="shared" si="1238"/>
        <v>1094.329053849985</v>
      </c>
      <c r="BC328" s="4">
        <f t="shared" si="1275"/>
        <v>0</v>
      </c>
      <c r="BD328" s="4">
        <f t="shared" si="1069"/>
        <v>0</v>
      </c>
      <c r="BL328" s="4">
        <f t="shared" si="1239"/>
        <v>50.8</v>
      </c>
      <c r="BP328" s="9"/>
      <c r="BR328" s="9"/>
      <c r="BS328" s="9"/>
      <c r="BT328" s="9">
        <f t="shared" si="1240"/>
        <v>50.8</v>
      </c>
      <c r="BU328" s="9">
        <f t="shared" si="1241"/>
        <v>63.5</v>
      </c>
      <c r="BV328" s="9">
        <f t="shared" si="1242"/>
        <v>1.4623505735569622</v>
      </c>
      <c r="BW328" s="40">
        <f t="shared" si="1343"/>
        <v>0</v>
      </c>
      <c r="BX328" s="9">
        <f t="shared" si="1243"/>
        <v>0</v>
      </c>
      <c r="BY328" s="9">
        <f t="shared" si="1070"/>
        <v>0</v>
      </c>
      <c r="BZ328" s="9">
        <f t="shared" si="1244"/>
        <v>0.99524931562137331</v>
      </c>
      <c r="CA328" s="9">
        <f t="shared" si="1245"/>
        <v>0.68</v>
      </c>
      <c r="CB328" s="9">
        <f t="shared" si="1246"/>
        <v>1.9611826194568933</v>
      </c>
      <c r="CC328" s="9">
        <f t="shared" si="1247"/>
        <v>2.8679365284127334</v>
      </c>
      <c r="CD328" s="40">
        <v>1</v>
      </c>
      <c r="CE328" s="9" t="e">
        <f>4*CC328*#REF!+60*CC328</f>
        <v>#REF!</v>
      </c>
      <c r="CG328" s="4" t="e">
        <f t="shared" si="1071"/>
        <v>#REF!</v>
      </c>
      <c r="CH328" s="4" t="e">
        <f t="shared" si="1072"/>
        <v>#REF!</v>
      </c>
      <c r="CI328" s="4" t="e">
        <f t="shared" si="1073"/>
        <v>#REF!</v>
      </c>
      <c r="CJ328" s="4" t="e">
        <f t="shared" si="1074"/>
        <v>#REF!</v>
      </c>
      <c r="CK328" s="4">
        <f t="shared" si="1075"/>
        <v>0.72179535196685451</v>
      </c>
      <c r="CL328" s="4">
        <f t="shared" si="1076"/>
        <v>0.70351864336481917</v>
      </c>
      <c r="CM328" s="4">
        <f t="shared" si="1310"/>
        <v>1.0683429748972426</v>
      </c>
      <c r="CN328" s="4">
        <f t="shared" si="1344"/>
        <v>0</v>
      </c>
      <c r="CO328" s="4" t="e">
        <f t="shared" ref="CO328" si="1389">CG328</f>
        <v>#REF!</v>
      </c>
      <c r="CP328" s="4" t="e">
        <f t="shared" ref="CP328" si="1390">CH328</f>
        <v>#REF!</v>
      </c>
      <c r="CQ328" s="4" t="e">
        <f t="shared" ref="CQ328" si="1391">CJ328</f>
        <v>#REF!</v>
      </c>
      <c r="CR328" s="4">
        <f t="shared" ref="CR328" si="1392">CM328</f>
        <v>1.0683429748972426</v>
      </c>
      <c r="CS328" s="4">
        <f t="shared" ref="CS328" si="1393">CK328</f>
        <v>0.72179535196685451</v>
      </c>
      <c r="CT328" s="4">
        <f t="shared" ref="CT328" si="1394">CL328</f>
        <v>0.70351864336481917</v>
      </c>
      <c r="DC328" s="4" t="e">
        <f>#REF!</f>
        <v>#REF!</v>
      </c>
      <c r="DF328" s="4">
        <f t="shared" si="1248"/>
        <v>2.172887546527434E-5</v>
      </c>
      <c r="DG328" s="4">
        <f t="shared" si="1083"/>
        <v>9.8800042841059668</v>
      </c>
      <c r="DH328" s="4">
        <f t="shared" si="1249"/>
        <v>0.13441861169554761</v>
      </c>
      <c r="DI328" s="4">
        <f t="shared" si="1084"/>
        <v>4.4273198152976452</v>
      </c>
      <c r="DJ328" s="4">
        <f t="shared" si="1085"/>
        <v>7.6619766176459025</v>
      </c>
      <c r="DK328" s="4">
        <f t="shared" si="1250"/>
        <v>9.2787814635556796</v>
      </c>
      <c r="DL328" s="38">
        <f t="shared" si="1251"/>
        <v>537.93067662590806</v>
      </c>
      <c r="DM328" s="4" t="e">
        <f t="shared" si="1086"/>
        <v>#REF!</v>
      </c>
      <c r="DN328" s="4">
        <f t="shared" si="1252"/>
        <v>3.2403703492039297</v>
      </c>
      <c r="DO328" s="4">
        <f t="shared" si="1309"/>
        <v>273.34186308794119</v>
      </c>
      <c r="DS328" s="4">
        <f t="shared" si="1253"/>
        <v>0.85</v>
      </c>
      <c r="DT328" s="4">
        <f t="shared" si="1254"/>
        <v>0.9</v>
      </c>
      <c r="DU328" s="4">
        <f t="shared" si="1255"/>
        <v>1</v>
      </c>
      <c r="DV328" s="4">
        <f t="shared" si="1087"/>
        <v>0.9</v>
      </c>
      <c r="DX328" s="4">
        <f t="shared" si="1256"/>
        <v>551.90557596583801</v>
      </c>
      <c r="DY328" s="25">
        <f t="shared" si="1146"/>
        <v>270.32545386881799</v>
      </c>
      <c r="EA328" s="4">
        <f t="shared" si="1147"/>
        <v>0.76500000000000001</v>
      </c>
      <c r="EB328" s="4">
        <f t="shared" si="1257"/>
        <v>9.8800042841059668</v>
      </c>
      <c r="EE328" s="4">
        <f t="shared" si="1258"/>
        <v>82.305406869779816</v>
      </c>
      <c r="EF328" s="4">
        <f t="shared" si="1088"/>
        <v>3.2403703492039302</v>
      </c>
      <c r="EG328" s="4">
        <f t="shared" si="1259"/>
        <v>6.0856064294171258E-2</v>
      </c>
      <c r="EJ328" s="4">
        <f t="shared" si="1089"/>
        <v>6.0856064294171258E-2</v>
      </c>
      <c r="EK328" s="4">
        <f t="shared" si="1260"/>
        <v>0.13419429208485137</v>
      </c>
      <c r="EL328" s="4">
        <f t="shared" si="1090"/>
        <v>4.4243629857489157</v>
      </c>
      <c r="EM328" s="4">
        <f t="shared" si="1091"/>
        <v>7.6611381748751528</v>
      </c>
      <c r="EN328" s="4" t="e">
        <f t="shared" si="1092"/>
        <v>#REF!</v>
      </c>
      <c r="EO328" s="4" t="e">
        <f t="shared" si="1093"/>
        <v>#REF!</v>
      </c>
      <c r="EP328" s="4" t="e">
        <f t="shared" si="1261"/>
        <v>#REF!</v>
      </c>
      <c r="EQ328" s="4" t="e">
        <f t="shared" si="1094"/>
        <v>#REF!</v>
      </c>
      <c r="ER328" s="4" t="e">
        <f t="shared" si="1262"/>
        <v>#REF!</v>
      </c>
      <c r="FA328" s="23" t="e">
        <f t="shared" si="1383"/>
        <v>#REF!</v>
      </c>
      <c r="FB328" s="23" t="e">
        <f t="shared" si="1384"/>
        <v>#REF!</v>
      </c>
      <c r="FC328" s="23">
        <f t="shared" si="1317"/>
        <v>1.2</v>
      </c>
      <c r="FD328" s="23" t="e">
        <f t="shared" si="1385"/>
        <v>#REF!</v>
      </c>
      <c r="FE328" s="23">
        <f t="shared" si="1386"/>
        <v>0.8</v>
      </c>
      <c r="FF328" s="23">
        <f t="shared" si="1387"/>
        <v>0.8</v>
      </c>
      <c r="FG328" s="23">
        <f t="shared" si="1266"/>
        <v>1</v>
      </c>
      <c r="FH328" s="23"/>
      <c r="FR328" s="4">
        <f t="shared" si="1122"/>
        <v>1</v>
      </c>
      <c r="FS328" s="4">
        <f t="shared" si="1123"/>
        <v>0.75</v>
      </c>
      <c r="FT328" s="4">
        <f t="shared" si="1124"/>
        <v>0</v>
      </c>
      <c r="FU328" s="4">
        <f t="shared" si="1125"/>
        <v>363.43746455234697</v>
      </c>
    </row>
    <row r="329" spans="2:177" ht="12" customHeight="1" x14ac:dyDescent="0.3">
      <c r="B329" s="24"/>
      <c r="C329" s="7" t="s">
        <v>468</v>
      </c>
      <c r="D329" s="38">
        <f t="shared" si="1388"/>
        <v>827.58620689655174</v>
      </c>
      <c r="E329" s="38">
        <f>9.42*25.4</f>
        <v>239.26799999999997</v>
      </c>
      <c r="F329" s="38">
        <f>9940/145</f>
        <v>68.551724137931032</v>
      </c>
      <c r="G329" s="38">
        <f t="shared" si="1341"/>
        <v>25.4</v>
      </c>
      <c r="H329" s="38">
        <f>16*25.4</f>
        <v>406.4</v>
      </c>
      <c r="I329" s="38">
        <f t="shared" si="1345"/>
        <v>63.5</v>
      </c>
      <c r="J329" s="39">
        <f>3.4*25.4</f>
        <v>86.36</v>
      </c>
      <c r="K329" s="7">
        <f t="shared" si="1339"/>
        <v>101.6</v>
      </c>
      <c r="L329" s="38">
        <v>3</v>
      </c>
      <c r="M329" s="4">
        <f t="shared" si="1357"/>
        <v>260.34999999999997</v>
      </c>
      <c r="N329" s="7">
        <f t="shared" si="1224"/>
        <v>2.5</v>
      </c>
      <c r="O329" s="7">
        <f t="shared" si="1225"/>
        <v>3</v>
      </c>
      <c r="P329" s="38">
        <v>9.5</v>
      </c>
      <c r="Q329" s="4">
        <f t="shared" si="1342"/>
        <v>9.5</v>
      </c>
      <c r="R329" s="4">
        <f t="shared" si="1226"/>
        <v>10.5</v>
      </c>
      <c r="S329" s="7">
        <f t="shared" si="1227"/>
        <v>82.305406869779816</v>
      </c>
      <c r="V329" s="38">
        <f t="shared" ref="V329:V392" si="1395">W329/0.145</f>
        <v>488.27586206896552</v>
      </c>
      <c r="W329" s="4">
        <v>70.8</v>
      </c>
      <c r="X329" s="4">
        <f t="shared" si="1228"/>
        <v>0.90958443196571492</v>
      </c>
      <c r="Y329" s="38">
        <f>0.375*25.4</f>
        <v>9.5249999999999986</v>
      </c>
      <c r="Z329" s="38">
        <v>4</v>
      </c>
      <c r="AA329" s="39">
        <f>6*25.4</f>
        <v>152.39999999999998</v>
      </c>
      <c r="AB329" s="39">
        <v>1</v>
      </c>
      <c r="AC329" s="39">
        <v>1</v>
      </c>
      <c r="AD329" s="7"/>
      <c r="AE329" s="4">
        <f t="shared" si="1229"/>
        <v>239.26799999999997</v>
      </c>
      <c r="AF329" s="4">
        <f t="shared" si="1230"/>
        <v>0.56617126680820962</v>
      </c>
      <c r="AG329" s="4">
        <f t="shared" si="1231"/>
        <v>201.58469266666123</v>
      </c>
      <c r="AH329" s="4">
        <f t="shared" si="1232"/>
        <v>0.76369426751592351</v>
      </c>
      <c r="AI329" s="4">
        <v>1.25</v>
      </c>
      <c r="AJ329" s="4">
        <f t="shared" si="1154"/>
        <v>2.5</v>
      </c>
      <c r="AK329" s="38">
        <f t="shared" si="1340"/>
        <v>272.37981990178423</v>
      </c>
      <c r="AL329" s="38">
        <f t="shared" si="1264"/>
        <v>272.37981990178423</v>
      </c>
      <c r="AM329" s="38">
        <f t="shared" si="1233"/>
        <v>4.5752930713880566</v>
      </c>
      <c r="AN329" s="38">
        <f t="shared" si="1161"/>
        <v>272.37981990178383</v>
      </c>
      <c r="AO329" s="38">
        <f t="shared" si="1115"/>
        <v>1.0000000000000016</v>
      </c>
      <c r="AP329" s="38">
        <f t="shared" si="1162"/>
        <v>4.1888905813982245</v>
      </c>
      <c r="AQ329" s="4">
        <f t="shared" si="1163"/>
        <v>0</v>
      </c>
      <c r="AR329" s="4" t="e">
        <f>#REF!/G329*F329^0.5/0.19</f>
        <v>#REF!</v>
      </c>
      <c r="AS329" s="4">
        <f t="shared" si="1234"/>
        <v>1.08</v>
      </c>
      <c r="AT329" s="38">
        <f t="shared" si="1235"/>
        <v>1140.9692621495269</v>
      </c>
      <c r="AU329" s="4">
        <f t="shared" si="1236"/>
        <v>0.3</v>
      </c>
      <c r="AV329" s="4" t="e">
        <f>AU329*D329*#REF!/(D329*G329/2.75/F329^0.5)</f>
        <v>#REF!</v>
      </c>
      <c r="AW329" s="4" t="e">
        <f t="shared" si="1068"/>
        <v>#REF!</v>
      </c>
      <c r="AY329" s="4">
        <f t="shared" si="1237"/>
        <v>1.5</v>
      </c>
      <c r="AZ329" s="4" t="e">
        <f>(3*#REF!+30)*AY329*F329^0.5</f>
        <v>#REF!</v>
      </c>
      <c r="BB329" s="4">
        <f t="shared" si="1238"/>
        <v>1094.329053849985</v>
      </c>
      <c r="BC329" s="4">
        <f t="shared" si="1275"/>
        <v>0</v>
      </c>
      <c r="BD329" s="4">
        <f t="shared" si="1069"/>
        <v>0</v>
      </c>
      <c r="BL329" s="4">
        <f t="shared" si="1239"/>
        <v>50.8</v>
      </c>
      <c r="BP329" s="9"/>
      <c r="BR329" s="9"/>
      <c r="BS329" s="9"/>
      <c r="BT329" s="9">
        <f t="shared" si="1240"/>
        <v>50.8</v>
      </c>
      <c r="BU329" s="9">
        <f t="shared" si="1241"/>
        <v>63.5</v>
      </c>
      <c r="BV329" s="9">
        <f t="shared" si="1242"/>
        <v>1.4623505735569622</v>
      </c>
      <c r="BW329" s="40">
        <f t="shared" si="1343"/>
        <v>20</v>
      </c>
      <c r="BX329" s="9">
        <f t="shared" si="1243"/>
        <v>4.9087385212340517E-2</v>
      </c>
      <c r="BY329" s="9">
        <f t="shared" si="1070"/>
        <v>0.78174770424681028</v>
      </c>
      <c r="BZ329" s="9">
        <f t="shared" si="1244"/>
        <v>0.99524931562137331</v>
      </c>
      <c r="CA329" s="9">
        <f t="shared" si="1245"/>
        <v>0.68</v>
      </c>
      <c r="CB329" s="9">
        <f t="shared" si="1246"/>
        <v>1.9611826194568933</v>
      </c>
      <c r="CC329" s="9">
        <f t="shared" si="1247"/>
        <v>4.4010865387819056</v>
      </c>
      <c r="CD329" s="40">
        <v>1</v>
      </c>
      <c r="CE329" s="9" t="e">
        <f>4*CC329*#REF!+60*CC329</f>
        <v>#REF!</v>
      </c>
      <c r="CG329" s="4" t="e">
        <f t="shared" si="1071"/>
        <v>#REF!</v>
      </c>
      <c r="CH329" s="4" t="e">
        <f t="shared" si="1072"/>
        <v>#REF!</v>
      </c>
      <c r="CI329" s="4" t="e">
        <f t="shared" si="1073"/>
        <v>#REF!</v>
      </c>
      <c r="CJ329" s="4" t="e">
        <f t="shared" si="1074"/>
        <v>#REF!</v>
      </c>
      <c r="CK329" s="4">
        <f t="shared" si="1075"/>
        <v>0.90958443196571492</v>
      </c>
      <c r="CL329" s="4">
        <f t="shared" si="1076"/>
        <v>0.88584801505264343</v>
      </c>
      <c r="CM329" s="4">
        <f t="shared" si="1310"/>
        <v>1.1302150740598296</v>
      </c>
      <c r="CN329" s="4">
        <f t="shared" si="1344"/>
        <v>4</v>
      </c>
      <c r="CU329" s="4" t="e">
        <f t="shared" ref="CU329" si="1396">CG329</f>
        <v>#REF!</v>
      </c>
      <c r="CV329" s="4" t="e">
        <f t="shared" ref="CV329" si="1397">CH329</f>
        <v>#REF!</v>
      </c>
      <c r="CW329" s="4" t="e">
        <f t="shared" ref="CW329" si="1398">CJ329</f>
        <v>#REF!</v>
      </c>
      <c r="CX329" s="4">
        <f t="shared" ref="CX329" si="1399">CM329</f>
        <v>1.1302150740598296</v>
      </c>
      <c r="CY329" s="4">
        <f t="shared" ref="CY329" si="1400">CK329</f>
        <v>0.90958443196571492</v>
      </c>
      <c r="CZ329" s="4">
        <f t="shared" ref="CZ329" si="1401">CL329</f>
        <v>0.88584801505264343</v>
      </c>
      <c r="DC329" s="4" t="e">
        <f>#REF!</f>
        <v>#REF!</v>
      </c>
      <c r="DF329" s="4">
        <f t="shared" si="1248"/>
        <v>2.154589546135624E-5</v>
      </c>
      <c r="DG329" s="4">
        <f t="shared" si="1083"/>
        <v>9.9735059019366208</v>
      </c>
      <c r="DH329" s="4">
        <f t="shared" si="1249"/>
        <v>0.13394551727812634</v>
      </c>
      <c r="DI329" s="4">
        <f t="shared" si="1084"/>
        <v>4.4629202110573463</v>
      </c>
      <c r="DJ329" s="4">
        <f t="shared" si="1085"/>
        <v>7.732702018789797</v>
      </c>
      <c r="DK329" s="4">
        <f t="shared" si="1250"/>
        <v>9.372320963877053</v>
      </c>
      <c r="DL329" s="38">
        <f t="shared" si="1251"/>
        <v>536.81202635993463</v>
      </c>
      <c r="DM329" s="4" t="e">
        <f t="shared" si="1086"/>
        <v>#REF!</v>
      </c>
      <c r="DN329" s="4">
        <f t="shared" si="1252"/>
        <v>3.2403703492039297</v>
      </c>
      <c r="DO329" s="4">
        <f t="shared" si="1309"/>
        <v>272.37981990178383</v>
      </c>
      <c r="DS329" s="4">
        <f t="shared" si="1253"/>
        <v>0.85</v>
      </c>
      <c r="DT329" s="4">
        <f t="shared" si="1254"/>
        <v>0.9</v>
      </c>
      <c r="DU329" s="4">
        <f t="shared" si="1255"/>
        <v>0.99062499999999998</v>
      </c>
      <c r="DV329" s="4">
        <f t="shared" si="1087"/>
        <v>0.89156250000000004</v>
      </c>
      <c r="DX329" s="4">
        <f t="shared" si="1256"/>
        <v>551.19597693058972</v>
      </c>
      <c r="DY329" s="25">
        <f t="shared" si="1146"/>
        <v>269.34470014186081</v>
      </c>
      <c r="EA329" s="4">
        <f t="shared" si="1147"/>
        <v>0.75782812499999996</v>
      </c>
      <c r="EB329" s="4">
        <f t="shared" si="1257"/>
        <v>9.9735059019366208</v>
      </c>
      <c r="EE329" s="4">
        <f t="shared" si="1258"/>
        <v>82.305406869779816</v>
      </c>
      <c r="EF329" s="4">
        <f t="shared" si="1088"/>
        <v>3.2403703492039302</v>
      </c>
      <c r="EG329" s="4">
        <f t="shared" si="1259"/>
        <v>6.064187770259262E-2</v>
      </c>
      <c r="EJ329" s="4">
        <f t="shared" si="1089"/>
        <v>6.064187770259262E-2</v>
      </c>
      <c r="EK329" s="4">
        <f t="shared" si="1260"/>
        <v>0.13372198717383998</v>
      </c>
      <c r="EL329" s="4">
        <f t="shared" si="1090"/>
        <v>4.4599396054304208</v>
      </c>
      <c r="EM329" s="4">
        <f t="shared" si="1091"/>
        <v>7.7318579159388037</v>
      </c>
      <c r="EN329" s="4" t="e">
        <f t="shared" si="1092"/>
        <v>#REF!</v>
      </c>
      <c r="EO329" s="4" t="e">
        <f t="shared" si="1093"/>
        <v>#REF!</v>
      </c>
      <c r="EP329" s="4" t="e">
        <f t="shared" si="1261"/>
        <v>#REF!</v>
      </c>
      <c r="EQ329" s="4" t="e">
        <f t="shared" si="1094"/>
        <v>#REF!</v>
      </c>
      <c r="ER329" s="4" t="e">
        <f t="shared" si="1262"/>
        <v>#REF!</v>
      </c>
      <c r="FA329" s="23" t="e">
        <f t="shared" si="1383"/>
        <v>#REF!</v>
      </c>
      <c r="FB329" s="23" t="e">
        <f t="shared" si="1384"/>
        <v>#REF!</v>
      </c>
      <c r="FC329" s="23">
        <f t="shared" si="1317"/>
        <v>1.2</v>
      </c>
      <c r="FD329" s="23" t="e">
        <f t="shared" si="1385"/>
        <v>#REF!</v>
      </c>
      <c r="FE329" s="23">
        <f t="shared" si="1386"/>
        <v>1</v>
      </c>
      <c r="FF329" s="23">
        <f t="shared" si="1387"/>
        <v>1</v>
      </c>
      <c r="FG329" s="23">
        <f t="shared" si="1266"/>
        <v>0</v>
      </c>
      <c r="FH329" s="23"/>
      <c r="FR329" s="4">
        <f t="shared" si="1122"/>
        <v>1</v>
      </c>
      <c r="FS329" s="4">
        <f t="shared" si="1123"/>
        <v>0.62562499999999999</v>
      </c>
      <c r="FT329" s="4">
        <f t="shared" si="1124"/>
        <v>9.3749999999999986E-2</v>
      </c>
      <c r="FU329" s="4">
        <f t="shared" si="1125"/>
        <v>432.02030593614074</v>
      </c>
    </row>
    <row r="330" spans="2:177" ht="12" customHeight="1" x14ac:dyDescent="0.3">
      <c r="B330" s="24"/>
      <c r="C330" s="7" t="s">
        <v>469</v>
      </c>
      <c r="D330" s="38">
        <f t="shared" si="1388"/>
        <v>827.58620689655174</v>
      </c>
      <c r="E330" s="38">
        <f>9.5*25.4</f>
        <v>241.29999999999998</v>
      </c>
      <c r="F330" s="38">
        <f>10180/145</f>
        <v>70.206896551724142</v>
      </c>
      <c r="G330" s="38">
        <f t="shared" si="1341"/>
        <v>25.4</v>
      </c>
      <c r="H330" s="38">
        <f>19.9*25.4</f>
        <v>505.45999999999992</v>
      </c>
      <c r="I330" s="38">
        <f t="shared" si="1345"/>
        <v>63.5</v>
      </c>
      <c r="J330" s="39">
        <f>3.1*25.4</f>
        <v>78.739999999999995</v>
      </c>
      <c r="K330" s="7">
        <f t="shared" si="1339"/>
        <v>151.12999999999997</v>
      </c>
      <c r="L330" s="38">
        <v>3</v>
      </c>
      <c r="M330" s="4">
        <f t="shared" si="1357"/>
        <v>260.34999999999997</v>
      </c>
      <c r="N330" s="7">
        <f t="shared" si="1224"/>
        <v>3</v>
      </c>
      <c r="O330" s="7">
        <f t="shared" si="1225"/>
        <v>3</v>
      </c>
      <c r="P330" s="38">
        <v>9.5</v>
      </c>
      <c r="Q330" s="4">
        <f t="shared" si="1342"/>
        <v>9.5</v>
      </c>
      <c r="R330" s="4">
        <f t="shared" si="1226"/>
        <v>10.5</v>
      </c>
      <c r="S330" s="7">
        <f t="shared" si="1227"/>
        <v>82.305406869779816</v>
      </c>
      <c r="V330" s="38">
        <f t="shared" si="1395"/>
        <v>600</v>
      </c>
      <c r="W330" s="4">
        <v>87</v>
      </c>
      <c r="X330" s="4">
        <f t="shared" si="1228"/>
        <v>0.94633885858091515</v>
      </c>
      <c r="Y330" s="38"/>
      <c r="Z330" s="38"/>
      <c r="AA330" s="39">
        <v>1</v>
      </c>
      <c r="AB330" s="39"/>
      <c r="AC330" s="39"/>
      <c r="AD330" s="7"/>
      <c r="AE330" s="4">
        <f t="shared" si="1229"/>
        <v>241.29999999999998</v>
      </c>
      <c r="AF330" s="4">
        <f t="shared" si="1230"/>
        <v>0.69824561403508767</v>
      </c>
      <c r="AG330" s="4">
        <f t="shared" si="1231"/>
        <v>206.60807979855329</v>
      </c>
      <c r="AH330" s="4">
        <f t="shared" si="1232"/>
        <v>0.76315789473684204</v>
      </c>
      <c r="AI330" s="4">
        <v>1.25</v>
      </c>
      <c r="AJ330" s="4">
        <f t="shared" si="1154"/>
        <v>2.5</v>
      </c>
      <c r="AK330" s="38">
        <f t="shared" si="1340"/>
        <v>344.04871552327177</v>
      </c>
      <c r="AL330" s="38">
        <f t="shared" si="1264"/>
        <v>344.04871552327177</v>
      </c>
      <c r="AM330" s="38">
        <f t="shared" si="1233"/>
        <v>4.615452125415529</v>
      </c>
      <c r="AN330" s="38">
        <f t="shared" si="1161"/>
        <v>344.04871552327194</v>
      </c>
      <c r="AO330" s="38">
        <f t="shared" si="1115"/>
        <v>0.99999999999999956</v>
      </c>
      <c r="AP330" s="38">
        <f t="shared" si="1162"/>
        <v>3.7737479317445835</v>
      </c>
      <c r="AQ330" s="4">
        <f t="shared" si="1163"/>
        <v>0</v>
      </c>
      <c r="AR330" s="4" t="e">
        <f>#REF!/G330*F330^0.5/0.19</f>
        <v>#REF!</v>
      </c>
      <c r="AS330" s="4">
        <f t="shared" si="1234"/>
        <v>1</v>
      </c>
      <c r="AT330" s="38">
        <f t="shared" si="1235"/>
        <v>1298.3531286253281</v>
      </c>
      <c r="AU330" s="4">
        <f t="shared" si="1236"/>
        <v>0.3</v>
      </c>
      <c r="AV330" s="4" t="e">
        <f>AU330*D330*#REF!/(D330*G330/2.75/F330^0.5)</f>
        <v>#REF!</v>
      </c>
      <c r="AW330" s="4" t="e">
        <f t="shared" si="1068"/>
        <v>#REF!</v>
      </c>
      <c r="AY330" s="4">
        <f t="shared" si="1237"/>
        <v>1.375</v>
      </c>
      <c r="AZ330" s="4" t="e">
        <f>(3*#REF!+30)*AY330*F330^0.5</f>
        <v>#REF!</v>
      </c>
      <c r="BB330" s="4">
        <f t="shared" si="1238"/>
        <v>1245.2794285929851</v>
      </c>
      <c r="BC330" s="4">
        <f t="shared" si="1275"/>
        <v>0</v>
      </c>
      <c r="BD330" s="4">
        <f t="shared" si="1069"/>
        <v>0</v>
      </c>
      <c r="BL330" s="4">
        <f t="shared" si="1239"/>
        <v>63.5</v>
      </c>
      <c r="BP330" s="9"/>
      <c r="BR330" s="9"/>
      <c r="BS330" s="9"/>
      <c r="BT330" s="9">
        <f t="shared" si="1240"/>
        <v>63.5</v>
      </c>
      <c r="BU330" s="9">
        <f t="shared" si="1241"/>
        <v>75.564999999999984</v>
      </c>
      <c r="BV330" s="9">
        <f t="shared" si="1242"/>
        <v>1.6229384464141692</v>
      </c>
      <c r="BW330" s="40">
        <f t="shared" si="1343"/>
        <v>0</v>
      </c>
      <c r="BX330" s="9">
        <f t="shared" si="1243"/>
        <v>0</v>
      </c>
      <c r="BY330" s="9">
        <f t="shared" si="1070"/>
        <v>0</v>
      </c>
      <c r="BZ330" s="9">
        <f t="shared" si="1244"/>
        <v>0.99524931562137331</v>
      </c>
      <c r="CA330" s="9">
        <f t="shared" si="1245"/>
        <v>0.68</v>
      </c>
      <c r="CB330" s="9">
        <f t="shared" si="1246"/>
        <v>1.9847176531283015</v>
      </c>
      <c r="CC330" s="9">
        <f t="shared" si="1247"/>
        <v>3.2210745845388216</v>
      </c>
      <c r="CD330" s="40">
        <v>1</v>
      </c>
      <c r="CE330" s="9" t="e">
        <f>4*CC330*#REF!+60*CC330</f>
        <v>#REF!</v>
      </c>
      <c r="CG330" s="4" t="e">
        <f t="shared" si="1071"/>
        <v>#REF!</v>
      </c>
      <c r="CH330" s="4" t="e">
        <f t="shared" si="1072"/>
        <v>#REF!</v>
      </c>
      <c r="CI330" s="4" t="e">
        <f t="shared" si="1073"/>
        <v>#REF!</v>
      </c>
      <c r="CJ330" s="4" t="e">
        <f t="shared" si="1074"/>
        <v>#REF!</v>
      </c>
      <c r="CK330" s="4">
        <f t="shared" si="1075"/>
        <v>0.94633885858091515</v>
      </c>
      <c r="CL330" s="4">
        <f t="shared" si="1076"/>
        <v>0.93461795122954905</v>
      </c>
      <c r="CM330" s="4">
        <f t="shared" si="1310"/>
        <v>1.2855169740960342</v>
      </c>
      <c r="CN330" s="4">
        <f t="shared" si="1344"/>
        <v>0</v>
      </c>
      <c r="CO330" s="4" t="e">
        <f t="shared" ref="CO330" si="1402">CG330</f>
        <v>#REF!</v>
      </c>
      <c r="CP330" s="4" t="e">
        <f t="shared" ref="CP330" si="1403">CH330</f>
        <v>#REF!</v>
      </c>
      <c r="CQ330" s="4" t="e">
        <f t="shared" ref="CQ330" si="1404">CJ330</f>
        <v>#REF!</v>
      </c>
      <c r="CR330" s="4">
        <f t="shared" ref="CR330" si="1405">CM330</f>
        <v>1.2855169740960342</v>
      </c>
      <c r="CS330" s="4">
        <f t="shared" ref="CS330" si="1406">CK330</f>
        <v>0.94633885858091515</v>
      </c>
      <c r="CT330" s="4">
        <f t="shared" ref="CT330" si="1407">CL330</f>
        <v>0.93461795122954905</v>
      </c>
      <c r="DC330" s="4" t="e">
        <f>#REF!</f>
        <v>#REF!</v>
      </c>
      <c r="DF330" s="4">
        <f t="shared" si="1248"/>
        <v>2.1947426995855081E-5</v>
      </c>
      <c r="DG330" s="4">
        <f t="shared" si="1083"/>
        <v>10.58671967137796</v>
      </c>
      <c r="DH330" s="4">
        <f t="shared" si="1249"/>
        <v>0.16520066931841088</v>
      </c>
      <c r="DI330" s="4">
        <f t="shared" si="1084"/>
        <v>5.1518846949079204</v>
      </c>
      <c r="DJ330" s="4">
        <f t="shared" si="1085"/>
        <v>8.3301669153224136</v>
      </c>
      <c r="DK330" s="4">
        <f t="shared" si="1250"/>
        <v>9.8693828406686102</v>
      </c>
      <c r="DL330" s="38">
        <f t="shared" si="1251"/>
        <v>634.02236372257983</v>
      </c>
      <c r="DM330" s="4" t="e">
        <f t="shared" si="1086"/>
        <v>#REF!</v>
      </c>
      <c r="DN330" s="4">
        <f t="shared" si="1252"/>
        <v>3.2403703492039297</v>
      </c>
      <c r="DO330" s="4">
        <f t="shared" si="1309"/>
        <v>344.04871552327194</v>
      </c>
      <c r="DS330" s="4">
        <f t="shared" si="1253"/>
        <v>0.85</v>
      </c>
      <c r="DT330" s="4">
        <f t="shared" si="1254"/>
        <v>0.85</v>
      </c>
      <c r="DU330" s="4">
        <f t="shared" si="1255"/>
        <v>1</v>
      </c>
      <c r="DV330" s="4">
        <f t="shared" si="1087"/>
        <v>0.85</v>
      </c>
      <c r="DX330" s="4">
        <f t="shared" si="1256"/>
        <v>641.97354567249863</v>
      </c>
      <c r="DY330" s="25">
        <f t="shared" si="1146"/>
        <v>340.25203503822672</v>
      </c>
      <c r="EA330" s="4">
        <f t="shared" si="1147"/>
        <v>0.72249999999999992</v>
      </c>
      <c r="EB330" s="4">
        <f t="shared" si="1257"/>
        <v>10.58671967137796</v>
      </c>
      <c r="EE330" s="4">
        <f t="shared" si="1258"/>
        <v>82.305406869779816</v>
      </c>
      <c r="EF330" s="4">
        <f t="shared" si="1088"/>
        <v>3.2403703492039302</v>
      </c>
      <c r="EG330" s="4">
        <f t="shared" si="1259"/>
        <v>7.5689729965875502E-2</v>
      </c>
      <c r="EJ330" s="4">
        <f t="shared" si="1089"/>
        <v>7.5689729965875502E-2</v>
      </c>
      <c r="EK330" s="4">
        <f t="shared" si="1260"/>
        <v>0.16492498019053781</v>
      </c>
      <c r="EL330" s="4">
        <f t="shared" si="1090"/>
        <v>5.1484439575017564</v>
      </c>
      <c r="EM330" s="4">
        <f t="shared" si="1091"/>
        <v>8.3291170790317608</v>
      </c>
      <c r="EN330" s="4" t="e">
        <f t="shared" si="1092"/>
        <v>#REF!</v>
      </c>
      <c r="EO330" s="4" t="e">
        <f t="shared" si="1093"/>
        <v>#REF!</v>
      </c>
      <c r="EP330" s="4" t="e">
        <f t="shared" si="1261"/>
        <v>#REF!</v>
      </c>
      <c r="EQ330" s="4" t="e">
        <f t="shared" si="1094"/>
        <v>#REF!</v>
      </c>
      <c r="ER330" s="4" t="e">
        <f t="shared" si="1262"/>
        <v>#REF!</v>
      </c>
      <c r="FA330" s="23" t="e">
        <f t="shared" si="1383"/>
        <v>#REF!</v>
      </c>
      <c r="FB330" s="23" t="e">
        <f t="shared" si="1384"/>
        <v>#REF!</v>
      </c>
      <c r="FC330" s="23">
        <f t="shared" si="1317"/>
        <v>1.4</v>
      </c>
      <c r="FD330" s="23" t="e">
        <f t="shared" si="1385"/>
        <v>#REF!</v>
      </c>
      <c r="FE330" s="23">
        <f t="shared" si="1386"/>
        <v>1</v>
      </c>
      <c r="FF330" s="23">
        <f t="shared" si="1387"/>
        <v>1</v>
      </c>
      <c r="FG330" s="23">
        <f t="shared" si="1266"/>
        <v>0</v>
      </c>
      <c r="FH330" s="23"/>
      <c r="FR330" s="4">
        <f t="shared" si="1122"/>
        <v>1</v>
      </c>
      <c r="FS330" s="4">
        <f t="shared" si="1123"/>
        <v>0.58750000000000002</v>
      </c>
      <c r="FT330" s="4">
        <f t="shared" si="1124"/>
        <v>0</v>
      </c>
      <c r="FU330" s="4">
        <f t="shared" si="1125"/>
        <v>466.73829446858565</v>
      </c>
    </row>
    <row r="331" spans="2:177" ht="12" customHeight="1" x14ac:dyDescent="0.3">
      <c r="B331" s="24"/>
      <c r="C331" s="7" t="s">
        <v>470</v>
      </c>
      <c r="D331" s="38">
        <f t="shared" si="1388"/>
        <v>827.58620689655174</v>
      </c>
      <c r="E331" s="38">
        <f>9.58*25.4</f>
        <v>243.33199999999999</v>
      </c>
      <c r="F331" s="38">
        <f>10180/145</f>
        <v>70.206896551724142</v>
      </c>
      <c r="G331" s="38">
        <f t="shared" si="1341"/>
        <v>25.4</v>
      </c>
      <c r="H331" s="38">
        <f>20.1*25.4</f>
        <v>510.54</v>
      </c>
      <c r="I331" s="38">
        <f t="shared" si="1345"/>
        <v>63.5</v>
      </c>
      <c r="J331" s="39">
        <f>3.2*25.4</f>
        <v>81.28</v>
      </c>
      <c r="K331" s="7">
        <f t="shared" si="1339"/>
        <v>153.67000000000002</v>
      </c>
      <c r="L331" s="38">
        <v>3</v>
      </c>
      <c r="M331" s="4">
        <f t="shared" si="1357"/>
        <v>260.34999999999997</v>
      </c>
      <c r="N331" s="7">
        <f t="shared" si="1224"/>
        <v>3</v>
      </c>
      <c r="O331" s="7">
        <f t="shared" si="1225"/>
        <v>3</v>
      </c>
      <c r="P331" s="38">
        <v>9.5</v>
      </c>
      <c r="Q331" s="4">
        <f t="shared" si="1342"/>
        <v>9.5</v>
      </c>
      <c r="R331" s="4">
        <f t="shared" si="1226"/>
        <v>10.5</v>
      </c>
      <c r="S331" s="7">
        <f t="shared" si="1227"/>
        <v>82.305406869779816</v>
      </c>
      <c r="V331" s="38">
        <f t="shared" si="1395"/>
        <v>590.34482758620686</v>
      </c>
      <c r="W331" s="4">
        <v>85.6</v>
      </c>
      <c r="X331" s="4">
        <f t="shared" si="1228"/>
        <v>0.88772695202762453</v>
      </c>
      <c r="Y331" s="38">
        <f>0.5*25.4</f>
        <v>12.7</v>
      </c>
      <c r="Z331" s="38">
        <v>4</v>
      </c>
      <c r="AA331" s="39">
        <f>6*25.4</f>
        <v>152.39999999999998</v>
      </c>
      <c r="AB331" s="39">
        <v>1</v>
      </c>
      <c r="AC331" s="39">
        <v>1</v>
      </c>
      <c r="AD331" s="7"/>
      <c r="AE331" s="4">
        <f t="shared" si="1229"/>
        <v>243.33199999999999</v>
      </c>
      <c r="AF331" s="4">
        <f t="shared" si="1230"/>
        <v>0.69937369519832993</v>
      </c>
      <c r="AG331" s="4">
        <f t="shared" si="1231"/>
        <v>209.22335266954931</v>
      </c>
      <c r="AH331" s="4">
        <f t="shared" si="1232"/>
        <v>0.76263048016701451</v>
      </c>
      <c r="AI331" s="4">
        <v>1.25</v>
      </c>
      <c r="AJ331" s="4">
        <f t="shared" si="1154"/>
        <v>2.5</v>
      </c>
      <c r="AK331" s="38">
        <f t="shared" si="1340"/>
        <v>348.72544023589438</v>
      </c>
      <c r="AL331" s="38">
        <f t="shared" si="1264"/>
        <v>348.72544023589438</v>
      </c>
      <c r="AM331" s="38">
        <f t="shared" si="1233"/>
        <v>4.615452125415529</v>
      </c>
      <c r="AN331" s="38">
        <f t="shared" si="1161"/>
        <v>348.7254402358941</v>
      </c>
      <c r="AO331" s="38">
        <f t="shared" si="1115"/>
        <v>1.0000000000000009</v>
      </c>
      <c r="AP331" s="38">
        <f t="shared" si="1162"/>
        <v>3.7231385463218905</v>
      </c>
      <c r="AQ331" s="4">
        <f t="shared" si="1163"/>
        <v>0</v>
      </c>
      <c r="AR331" s="4" t="e">
        <f>#REF!/G331*F331^0.5/0.19</f>
        <v>#REF!</v>
      </c>
      <c r="AS331" s="4">
        <f t="shared" si="1234"/>
        <v>1</v>
      </c>
      <c r="AT331" s="38">
        <f t="shared" si="1235"/>
        <v>1298.3531286253281</v>
      </c>
      <c r="AU331" s="4">
        <f t="shared" si="1236"/>
        <v>0.3</v>
      </c>
      <c r="AV331" s="4" t="e">
        <f>AU331*D331*#REF!/(D331*G331/2.75/F331^0.5)</f>
        <v>#REF!</v>
      </c>
      <c r="AW331" s="4" t="e">
        <f t="shared" si="1068"/>
        <v>#REF!</v>
      </c>
      <c r="AY331" s="4">
        <f t="shared" si="1237"/>
        <v>1.5</v>
      </c>
      <c r="AZ331" s="4" t="e">
        <f>(3*#REF!+30)*AY331*F331^0.5</f>
        <v>#REF!</v>
      </c>
      <c r="BB331" s="4">
        <f t="shared" si="1238"/>
        <v>1245.2794285929851</v>
      </c>
      <c r="BC331" s="4">
        <f t="shared" si="1275"/>
        <v>0</v>
      </c>
      <c r="BD331" s="4">
        <f t="shared" si="1069"/>
        <v>0</v>
      </c>
      <c r="BL331" s="4">
        <f t="shared" si="1239"/>
        <v>63.5</v>
      </c>
      <c r="BP331" s="9"/>
      <c r="BR331" s="9"/>
      <c r="BS331" s="9"/>
      <c r="BT331" s="9">
        <f t="shared" si="1240"/>
        <v>63.5</v>
      </c>
      <c r="BU331" s="9">
        <f t="shared" si="1241"/>
        <v>76.835000000000008</v>
      </c>
      <c r="BV331" s="9">
        <f t="shared" si="1242"/>
        <v>1.6270009626009634</v>
      </c>
      <c r="BW331" s="40">
        <f t="shared" si="1343"/>
        <v>20</v>
      </c>
      <c r="BX331" s="9">
        <f t="shared" si="1243"/>
        <v>0.05</v>
      </c>
      <c r="BY331" s="9">
        <f t="shared" si="1070"/>
        <v>0.8</v>
      </c>
      <c r="BZ331" s="9">
        <f t="shared" si="1244"/>
        <v>0.99524931562137331</v>
      </c>
      <c r="CA331" s="9">
        <f t="shared" si="1245"/>
        <v>0.68</v>
      </c>
      <c r="CB331" s="9">
        <f t="shared" si="1246"/>
        <v>1.9847176531283015</v>
      </c>
      <c r="CC331" s="9">
        <f t="shared" si="1247"/>
        <v>4.8169116546335129</v>
      </c>
      <c r="CD331" s="40">
        <v>1</v>
      </c>
      <c r="CE331" s="9" t="e">
        <f>4*CC331*#REF!+60*CC331</f>
        <v>#REF!</v>
      </c>
      <c r="CG331" s="4" t="e">
        <f t="shared" si="1071"/>
        <v>#REF!</v>
      </c>
      <c r="CH331" s="4" t="e">
        <f t="shared" si="1072"/>
        <v>#REF!</v>
      </c>
      <c r="CI331" s="4" t="e">
        <f t="shared" si="1073"/>
        <v>#REF!</v>
      </c>
      <c r="CJ331" s="4" t="e">
        <f t="shared" si="1074"/>
        <v>#REF!</v>
      </c>
      <c r="CK331" s="4">
        <f t="shared" si="1075"/>
        <v>0.88772695202762453</v>
      </c>
      <c r="CL331" s="4">
        <f t="shared" si="1076"/>
        <v>0.8760822339448866</v>
      </c>
      <c r="CM331" s="4">
        <f t="shared" si="1310"/>
        <v>1.0909464990682394</v>
      </c>
      <c r="CN331" s="4">
        <f t="shared" si="1344"/>
        <v>4</v>
      </c>
      <c r="CU331" s="4" t="e">
        <f t="shared" ref="CU331" si="1408">CG331</f>
        <v>#REF!</v>
      </c>
      <c r="CV331" s="4" t="e">
        <f t="shared" ref="CV331" si="1409">CH331</f>
        <v>#REF!</v>
      </c>
      <c r="CW331" s="4" t="e">
        <f t="shared" ref="CW331" si="1410">CJ331</f>
        <v>#REF!</v>
      </c>
      <c r="CX331" s="4">
        <f t="shared" ref="CX331" si="1411">CM331</f>
        <v>1.0909464990682394</v>
      </c>
      <c r="CY331" s="4">
        <f t="shared" ref="CY331" si="1412">CK331</f>
        <v>0.88772695202762453</v>
      </c>
      <c r="CZ331" s="4">
        <f t="shared" ref="CZ331" si="1413">CL331</f>
        <v>0.8760822339448866</v>
      </c>
      <c r="DC331" s="4" t="e">
        <f>#REF!</f>
        <v>#REF!</v>
      </c>
      <c r="DF331" s="4">
        <f t="shared" si="1248"/>
        <v>2.2132247433714916E-5</v>
      </c>
      <c r="DG331" s="4">
        <f t="shared" si="1083"/>
        <v>11.445102347435631</v>
      </c>
      <c r="DH331" s="4">
        <f t="shared" si="1249"/>
        <v>0.16744627587900529</v>
      </c>
      <c r="DI331" s="4">
        <f>DG331*DH331^0.4</f>
        <v>5.5997659814198109</v>
      </c>
      <c r="DJ331" s="4">
        <f t="shared" si="1085"/>
        <v>9.0148128271126939</v>
      </c>
      <c r="DK331" s="4">
        <f t="shared" si="1250"/>
        <v>10.590826696453178</v>
      </c>
      <c r="DL331" s="38">
        <f t="shared" si="1251"/>
        <v>665.00721447943192</v>
      </c>
      <c r="DM331" s="4" t="e">
        <f t="shared" si="1086"/>
        <v>#REF!</v>
      </c>
      <c r="DN331" s="4">
        <f t="shared" si="1252"/>
        <v>3.2403703492039297</v>
      </c>
      <c r="DO331" s="4">
        <f t="shared" si="1309"/>
        <v>348.7254402358941</v>
      </c>
      <c r="DS331" s="4">
        <f t="shared" si="1253"/>
        <v>0.85</v>
      </c>
      <c r="DT331" s="4">
        <f t="shared" si="1254"/>
        <v>0.85</v>
      </c>
      <c r="DU331" s="4">
        <f t="shared" si="1255"/>
        <v>0.92500000000000004</v>
      </c>
      <c r="DV331" s="4">
        <f t="shared" si="1087"/>
        <v>0.78625</v>
      </c>
      <c r="DX331" s="4">
        <f t="shared" si="1256"/>
        <v>673.84636363182415</v>
      </c>
      <c r="DY331" s="25">
        <f t="shared" si="1146"/>
        <v>344.91412216652412</v>
      </c>
      <c r="EA331" s="4">
        <f t="shared" si="1147"/>
        <v>0.66831249999999998</v>
      </c>
      <c r="EB331" s="4">
        <f t="shared" si="1257"/>
        <v>11.445102347435631</v>
      </c>
      <c r="EE331" s="4">
        <f t="shared" si="1258"/>
        <v>82.305406869779816</v>
      </c>
      <c r="EF331" s="4">
        <f t="shared" si="1088"/>
        <v>3.2403703492039302</v>
      </c>
      <c r="EG331" s="4">
        <f t="shared" si="1259"/>
        <v>7.6718595980052401E-2</v>
      </c>
      <c r="EJ331" s="4">
        <f t="shared" si="1089"/>
        <v>7.6718595980052401E-2</v>
      </c>
      <c r="EK331" s="4">
        <f t="shared" si="1260"/>
        <v>0.16716683925230674</v>
      </c>
      <c r="EL331" s="4">
        <f t="shared" si="1090"/>
        <v>5.5960261220442531</v>
      </c>
      <c r="EM331" s="4">
        <f t="shared" si="1091"/>
        <v>9.0136663650658502</v>
      </c>
      <c r="EN331" s="4" t="e">
        <f t="shared" si="1092"/>
        <v>#REF!</v>
      </c>
      <c r="EO331" s="4" t="e">
        <f t="shared" si="1093"/>
        <v>#REF!</v>
      </c>
      <c r="EP331" s="4" t="e">
        <f t="shared" si="1261"/>
        <v>#REF!</v>
      </c>
      <c r="EQ331" s="4" t="e">
        <f t="shared" si="1094"/>
        <v>#REF!</v>
      </c>
      <c r="ER331" s="4" t="e">
        <f t="shared" si="1262"/>
        <v>#REF!</v>
      </c>
      <c r="FA331" s="23" t="e">
        <f t="shared" si="1383"/>
        <v>#REF!</v>
      </c>
      <c r="FB331" s="23" t="e">
        <f t="shared" si="1384"/>
        <v>#REF!</v>
      </c>
      <c r="FC331" s="23">
        <f t="shared" si="1317"/>
        <v>1.2</v>
      </c>
      <c r="FD331" s="23" t="e">
        <f t="shared" si="1385"/>
        <v>#REF!</v>
      </c>
      <c r="FE331" s="23">
        <f t="shared" si="1386"/>
        <v>1</v>
      </c>
      <c r="FF331" s="23">
        <f t="shared" si="1387"/>
        <v>1</v>
      </c>
      <c r="FG331" s="23">
        <f t="shared" si="1266"/>
        <v>0</v>
      </c>
      <c r="FH331" s="23"/>
      <c r="FR331" s="4">
        <f t="shared" si="1122"/>
        <v>1</v>
      </c>
      <c r="FS331" s="4">
        <f t="shared" si="1123"/>
        <v>0.51100000000000001</v>
      </c>
      <c r="FT331" s="4">
        <f t="shared" si="1124"/>
        <v>0.16666666666666669</v>
      </c>
      <c r="FU331" s="4">
        <f t="shared" si="1125"/>
        <v>541.13086947014483</v>
      </c>
    </row>
    <row r="332" spans="2:177" ht="12" customHeight="1" x14ac:dyDescent="0.3">
      <c r="B332" s="24"/>
      <c r="C332" s="7" t="s">
        <v>471</v>
      </c>
      <c r="D332" s="38">
        <f t="shared" si="1388"/>
        <v>827.58620689655174</v>
      </c>
      <c r="E332" s="38">
        <f>14.38*25.4</f>
        <v>365.25200000000001</v>
      </c>
      <c r="F332" s="38">
        <f>10180/145</f>
        <v>70.206896551724142</v>
      </c>
      <c r="G332" s="38">
        <f t="shared" si="1341"/>
        <v>25.4</v>
      </c>
      <c r="H332" s="38">
        <f>17.1*25.4</f>
        <v>434.34000000000003</v>
      </c>
      <c r="I332" s="38">
        <f t="shared" si="1345"/>
        <v>63.5</v>
      </c>
      <c r="J332" s="39">
        <f>3.45*25.4</f>
        <v>87.63</v>
      </c>
      <c r="K332" s="7">
        <f t="shared" si="1339"/>
        <v>256.54000000000002</v>
      </c>
      <c r="L332" s="38">
        <v>2</v>
      </c>
      <c r="M332" s="4">
        <f t="shared" si="1357"/>
        <v>260.34999999999997</v>
      </c>
      <c r="N332" s="7">
        <f t="shared" si="1224"/>
        <v>3</v>
      </c>
      <c r="O332" s="7">
        <f t="shared" si="1225"/>
        <v>3</v>
      </c>
      <c r="P332" s="38">
        <v>9.5</v>
      </c>
      <c r="Q332" s="4">
        <f t="shared" si="1342"/>
        <v>9.5</v>
      </c>
      <c r="R332" s="4">
        <f t="shared" si="1226"/>
        <v>10.5</v>
      </c>
      <c r="S332" s="7">
        <f t="shared" si="1227"/>
        <v>82.305406869779816</v>
      </c>
      <c r="V332" s="38">
        <f t="shared" si="1395"/>
        <v>1037.2413793103449</v>
      </c>
      <c r="W332" s="4">
        <v>150.4</v>
      </c>
      <c r="X332" s="4">
        <f t="shared" si="1228"/>
        <v>1.040321922403797</v>
      </c>
      <c r="Y332" s="38"/>
      <c r="Z332" s="38"/>
      <c r="AA332" s="39">
        <v>1</v>
      </c>
      <c r="AB332" s="39"/>
      <c r="AC332" s="39"/>
      <c r="AD332" s="7"/>
      <c r="AE332" s="4">
        <f t="shared" si="1229"/>
        <v>365.25200000000001</v>
      </c>
      <c r="AF332" s="4">
        <f t="shared" si="1230"/>
        <v>0.39638386648122398</v>
      </c>
      <c r="AG332" s="4">
        <f t="shared" si="1231"/>
        <v>577.15369660722865</v>
      </c>
      <c r="AH332" s="4">
        <f t="shared" si="1232"/>
        <v>0.74172461752433927</v>
      </c>
      <c r="AI332" s="4">
        <v>1.25</v>
      </c>
      <c r="AJ332" s="4">
        <f t="shared" si="1154"/>
        <v>2.5</v>
      </c>
      <c r="AK332" s="38">
        <f t="shared" si="1340"/>
        <v>530.27379558238545</v>
      </c>
      <c r="AL332" s="38">
        <f t="shared" si="1264"/>
        <v>530.27379558238545</v>
      </c>
      <c r="AM332" s="38">
        <f t="shared" si="1233"/>
        <v>4.615452125415529</v>
      </c>
      <c r="AN332" s="38">
        <f t="shared" si="1161"/>
        <v>530.27379558238556</v>
      </c>
      <c r="AO332" s="38">
        <f t="shared" si="1115"/>
        <v>0.99999999999999978</v>
      </c>
      <c r="AP332" s="38">
        <f t="shared" si="1162"/>
        <v>2.4484580219533223</v>
      </c>
      <c r="AQ332" s="4">
        <f t="shared" si="1163"/>
        <v>0</v>
      </c>
      <c r="AR332" s="4" t="e">
        <f>#REF!/G332*F332^0.5/0.19</f>
        <v>#REF!</v>
      </c>
      <c r="AS332" s="4">
        <f t="shared" si="1234"/>
        <v>1</v>
      </c>
      <c r="AT332" s="38">
        <f t="shared" si="1235"/>
        <v>1298.3531286253281</v>
      </c>
      <c r="AU332" s="4">
        <f t="shared" si="1236"/>
        <v>0.3</v>
      </c>
      <c r="AV332" s="4" t="e">
        <f>AU332*D332*#REF!/(D332*G332/2.75/F332^0.5)</f>
        <v>#REF!</v>
      </c>
      <c r="AW332" s="4" t="e">
        <f t="shared" si="1068"/>
        <v>#REF!</v>
      </c>
      <c r="AY332" s="4">
        <f t="shared" si="1237"/>
        <v>1.375</v>
      </c>
      <c r="AZ332" s="4" t="e">
        <f>(3*#REF!+30)*AY332*F332^0.5</f>
        <v>#REF!</v>
      </c>
      <c r="BB332" s="4">
        <f t="shared" si="1238"/>
        <v>1245.2794285929851</v>
      </c>
      <c r="BC332" s="4">
        <f t="shared" si="1275"/>
        <v>0</v>
      </c>
      <c r="BD332" s="4">
        <f t="shared" si="1069"/>
        <v>0</v>
      </c>
      <c r="BL332" s="4">
        <f t="shared" si="1239"/>
        <v>63.5</v>
      </c>
      <c r="BP332" s="9"/>
      <c r="BR332" s="9"/>
      <c r="BS332" s="9"/>
      <c r="BT332" s="9">
        <f t="shared" si="1240"/>
        <v>63.5</v>
      </c>
      <c r="BU332" s="9">
        <f t="shared" si="1241"/>
        <v>128.27000000000001</v>
      </c>
      <c r="BV332" s="9">
        <f t="shared" si="1242"/>
        <v>1.7570038363154448</v>
      </c>
      <c r="BW332" s="40">
        <f t="shared" si="1343"/>
        <v>0</v>
      </c>
      <c r="BX332" s="9">
        <f t="shared" si="1243"/>
        <v>0</v>
      </c>
      <c r="BY332" s="9">
        <f t="shared" si="1070"/>
        <v>0</v>
      </c>
      <c r="BZ332" s="9">
        <f t="shared" si="1244"/>
        <v>0.99524931562137331</v>
      </c>
      <c r="CA332" s="9">
        <f t="shared" si="1245"/>
        <v>0.68</v>
      </c>
      <c r="CB332" s="9">
        <f t="shared" si="1246"/>
        <v>1.9847176531283015</v>
      </c>
      <c r="CC332" s="9">
        <f t="shared" si="1247"/>
        <v>3.4871565305494121</v>
      </c>
      <c r="CD332" s="40">
        <v>1</v>
      </c>
      <c r="CE332" s="9" t="e">
        <f>4*CC332*#REF!+60*CC332</f>
        <v>#REF!</v>
      </c>
      <c r="CG332" s="47" t="e">
        <f t="shared" si="1071"/>
        <v>#REF!</v>
      </c>
      <c r="CH332" s="47" t="e">
        <f t="shared" si="1072"/>
        <v>#REF!</v>
      </c>
      <c r="CI332" s="47" t="e">
        <f t="shared" si="1073"/>
        <v>#REF!</v>
      </c>
      <c r="CJ332" s="47" t="e">
        <f t="shared" si="1074"/>
        <v>#REF!</v>
      </c>
      <c r="CK332" s="47">
        <f t="shared" si="1075"/>
        <v>1.040321922403797</v>
      </c>
      <c r="CL332" s="47">
        <f t="shared" si="1076"/>
        <v>1.0546620803021731</v>
      </c>
      <c r="CM332" s="47">
        <f t="shared" si="1310"/>
        <v>1.2494913437411292</v>
      </c>
      <c r="CN332" s="4">
        <f t="shared" si="1344"/>
        <v>0</v>
      </c>
      <c r="CO332" s="4" t="e">
        <f t="shared" ref="CO332" si="1414">CG332</f>
        <v>#REF!</v>
      </c>
      <c r="CP332" s="4" t="e">
        <f t="shared" ref="CP332" si="1415">CH332</f>
        <v>#REF!</v>
      </c>
      <c r="CQ332" s="4" t="e">
        <f t="shared" ref="CQ332" si="1416">CJ332</f>
        <v>#REF!</v>
      </c>
      <c r="CR332" s="4">
        <f t="shared" ref="CR332:CR333" si="1417">CM332</f>
        <v>1.2494913437411292</v>
      </c>
      <c r="CS332" s="4">
        <f t="shared" ref="CS332" si="1418">CK332</f>
        <v>1.040321922403797</v>
      </c>
      <c r="CT332" s="4">
        <f t="shared" ref="CT332" si="1419">CL332</f>
        <v>1.0546620803021731</v>
      </c>
      <c r="DC332" s="4" t="e">
        <f>#REF!</f>
        <v>#REF!</v>
      </c>
      <c r="DF332" s="4">
        <f t="shared" si="1248"/>
        <v>3.3221473705304853E-5</v>
      </c>
      <c r="DG332" s="4">
        <f>EB332</f>
        <v>10.58671967137796</v>
      </c>
      <c r="DH332" s="4">
        <f t="shared" si="1249"/>
        <v>0.25461971517315196</v>
      </c>
      <c r="DI332" s="4">
        <f t="shared" si="1084"/>
        <v>6.1251710982379599</v>
      </c>
      <c r="DJ332" s="4">
        <f t="shared" si="1085"/>
        <v>8.6505511105408353</v>
      </c>
      <c r="DK332" s="4">
        <f t="shared" si="1250"/>
        <v>8.7839326485591478</v>
      </c>
      <c r="DL332" s="38">
        <f t="shared" si="1251"/>
        <v>997.03885592804386</v>
      </c>
      <c r="DM332" s="4" t="e">
        <f t="shared" si="1086"/>
        <v>#REF!</v>
      </c>
      <c r="DN332" s="4">
        <f t="shared" si="1252"/>
        <v>3.2403703492039297</v>
      </c>
      <c r="DO332" s="4">
        <f t="shared" si="1309"/>
        <v>530.27379558238556</v>
      </c>
      <c r="DS332" s="4">
        <f t="shared" si="1253"/>
        <v>0.85</v>
      </c>
      <c r="DT332" s="4">
        <f t="shared" si="1254"/>
        <v>0.85</v>
      </c>
      <c r="DU332" s="4">
        <f t="shared" si="1255"/>
        <v>1</v>
      </c>
      <c r="DV332" s="4">
        <f t="shared" si="1087"/>
        <v>0.85</v>
      </c>
      <c r="DX332" s="4">
        <f t="shared" si="1256"/>
        <v>983.4821965090116</v>
      </c>
      <c r="DY332" s="25">
        <f t="shared" si="1146"/>
        <v>526.77110988576635</v>
      </c>
      <c r="EA332" s="4">
        <f t="shared" si="1147"/>
        <v>0.72249999999999992</v>
      </c>
      <c r="EB332" s="4">
        <f t="shared" si="1257"/>
        <v>10.58671967137796</v>
      </c>
      <c r="EE332" s="4">
        <f t="shared" si="1258"/>
        <v>82.305406869779816</v>
      </c>
      <c r="EF332" s="4">
        <f t="shared" si="1088"/>
        <v>3.2403703492039302</v>
      </c>
      <c r="EG332" s="4">
        <f t="shared" si="1259"/>
        <v>0.11665871309697058</v>
      </c>
      <c r="EJ332" s="4">
        <f t="shared" si="1089"/>
        <v>0.11665871309697058</v>
      </c>
      <c r="EK332" s="4">
        <f t="shared" si="1260"/>
        <v>0.25419480232319203</v>
      </c>
      <c r="EL332" s="4">
        <f t="shared" si="1090"/>
        <v>6.121080341832311</v>
      </c>
      <c r="EM332" s="4">
        <f t="shared" si="1091"/>
        <v>8.6491111428603649</v>
      </c>
      <c r="EN332" s="4" t="e">
        <f t="shared" si="1092"/>
        <v>#REF!</v>
      </c>
      <c r="EO332" s="4" t="e">
        <f t="shared" si="1093"/>
        <v>#REF!</v>
      </c>
      <c r="EP332" s="4" t="e">
        <f t="shared" si="1261"/>
        <v>#REF!</v>
      </c>
      <c r="EQ332" s="4" t="e">
        <f t="shared" si="1094"/>
        <v>#REF!</v>
      </c>
      <c r="ER332" s="4" t="e">
        <f t="shared" si="1262"/>
        <v>#REF!</v>
      </c>
      <c r="FA332" s="23" t="e">
        <f t="shared" si="1383"/>
        <v>#REF!</v>
      </c>
      <c r="FB332" s="23" t="e">
        <f t="shared" si="1384"/>
        <v>#REF!</v>
      </c>
      <c r="FC332" s="23">
        <f t="shared" si="1317"/>
        <v>1.4</v>
      </c>
      <c r="FD332" s="23" t="e">
        <f t="shared" si="1385"/>
        <v>#REF!</v>
      </c>
      <c r="FE332" s="23">
        <f t="shared" si="1386"/>
        <v>1.2</v>
      </c>
      <c r="FF332" s="23">
        <f t="shared" si="1387"/>
        <v>1.2</v>
      </c>
      <c r="FG332" s="23">
        <f t="shared" si="1266"/>
        <v>0</v>
      </c>
      <c r="FH332" s="23"/>
      <c r="FR332" s="4">
        <f t="shared" si="1122"/>
        <v>1</v>
      </c>
      <c r="FS332" s="4">
        <f t="shared" si="1123"/>
        <v>0.5</v>
      </c>
      <c r="FT332" s="4">
        <f t="shared" si="1124"/>
        <v>0</v>
      </c>
      <c r="FU332" s="4">
        <f t="shared" si="1125"/>
        <v>830.13090447246941</v>
      </c>
    </row>
    <row r="333" spans="2:177" ht="12" customHeight="1" x14ac:dyDescent="0.3">
      <c r="B333" s="24"/>
      <c r="C333" s="7" t="s">
        <v>472</v>
      </c>
      <c r="D333" s="38">
        <f t="shared" si="1388"/>
        <v>827.58620689655174</v>
      </c>
      <c r="E333" s="38">
        <f>14.58*25.4</f>
        <v>370.33199999999999</v>
      </c>
      <c r="F333" s="38">
        <f>9040/145</f>
        <v>62.344827586206897</v>
      </c>
      <c r="G333" s="38">
        <f t="shared" si="1341"/>
        <v>25.4</v>
      </c>
      <c r="H333" s="38">
        <f>14*25.4</f>
        <v>355.59999999999997</v>
      </c>
      <c r="I333" s="38">
        <f t="shared" si="1345"/>
        <v>63.5</v>
      </c>
      <c r="J333" s="39">
        <f>3*25.4</f>
        <v>76.199999999999989</v>
      </c>
      <c r="K333" s="7">
        <f t="shared" si="1339"/>
        <v>76.199999999999989</v>
      </c>
      <c r="L333" s="38">
        <v>3</v>
      </c>
      <c r="M333" s="4">
        <f t="shared" si="1357"/>
        <v>260.34999999999997</v>
      </c>
      <c r="N333" s="7">
        <f t="shared" si="1224"/>
        <v>1.9999999999999998</v>
      </c>
      <c r="O333" s="7">
        <f t="shared" si="1225"/>
        <v>3</v>
      </c>
      <c r="P333" s="38">
        <v>9.5</v>
      </c>
      <c r="Q333" s="4">
        <f t="shared" si="1342"/>
        <v>9.5</v>
      </c>
      <c r="R333" s="4">
        <f t="shared" si="1226"/>
        <v>10.5</v>
      </c>
      <c r="S333" s="7">
        <f t="shared" si="1227"/>
        <v>82.305406869779816</v>
      </c>
      <c r="V333" s="38">
        <f t="shared" si="1395"/>
        <v>668.9655172413793</v>
      </c>
      <c r="W333" s="4">
        <v>97</v>
      </c>
      <c r="X333" s="4">
        <f t="shared" si="1228"/>
        <v>1.0201564955106805</v>
      </c>
      <c r="Y333" s="38"/>
      <c r="Z333" s="38"/>
      <c r="AA333" s="39">
        <v>1</v>
      </c>
      <c r="AB333" s="39"/>
      <c r="AC333" s="39"/>
      <c r="AD333" s="7"/>
      <c r="AE333" s="4">
        <f t="shared" si="1229"/>
        <v>370.33199999999999</v>
      </c>
      <c r="AF333" s="4">
        <f t="shared" si="1230"/>
        <v>0.32007315957933247</v>
      </c>
      <c r="AG333" s="4">
        <f t="shared" si="1231"/>
        <v>370.17621089733694</v>
      </c>
      <c r="AH333" s="4">
        <f t="shared" si="1232"/>
        <v>0.74115226337448559</v>
      </c>
      <c r="AI333" s="4">
        <v>1.25</v>
      </c>
      <c r="AJ333" s="4">
        <f t="shared" si="1154"/>
        <v>2.5</v>
      </c>
      <c r="AK333" s="38">
        <f t="shared" si="1340"/>
        <v>274.419661047906</v>
      </c>
      <c r="AL333" s="38">
        <f t="shared" si="1264"/>
        <v>274.419661047906</v>
      </c>
      <c r="AM333" s="38">
        <f t="shared" si="1233"/>
        <v>4.4175343619879603</v>
      </c>
      <c r="AN333" s="38">
        <f t="shared" si="1161"/>
        <v>274.41966104790606</v>
      </c>
      <c r="AO333" s="38">
        <f t="shared" si="1115"/>
        <v>0.99999999999999978</v>
      </c>
      <c r="AP333" s="38">
        <f t="shared" si="1162"/>
        <v>3.3611527108592307</v>
      </c>
      <c r="AQ333" s="4">
        <f t="shared" si="1163"/>
        <v>0</v>
      </c>
      <c r="AR333" s="4" t="e">
        <f>#REF!/G333*F333^0.5/0.19</f>
        <v>#REF!</v>
      </c>
      <c r="AS333" s="4">
        <f t="shared" si="1234"/>
        <v>1.2000000000000002</v>
      </c>
      <c r="AT333" s="38">
        <f t="shared" si="1235"/>
        <v>922.36638764424072</v>
      </c>
      <c r="AU333" s="4">
        <f t="shared" si="1236"/>
        <v>0.3</v>
      </c>
      <c r="AV333" s="4" t="e">
        <f>AU333*D333*#REF!/(D333*G333/2.75/F333^0.5)</f>
        <v>#REF!</v>
      </c>
      <c r="AW333" s="4" t="e">
        <f t="shared" si="1068"/>
        <v>#REF!</v>
      </c>
      <c r="AY333" s="4">
        <f t="shared" si="1237"/>
        <v>1.375</v>
      </c>
      <c r="AZ333" s="4" t="e">
        <f>(3*#REF!+30)*AY333*F333^0.5</f>
        <v>#REF!</v>
      </c>
      <c r="BB333" s="4">
        <f t="shared" si="1238"/>
        <v>884.6621638098693</v>
      </c>
      <c r="BC333" s="4">
        <f t="shared" si="1275"/>
        <v>0</v>
      </c>
      <c r="BD333" s="4">
        <f t="shared" si="1069"/>
        <v>0</v>
      </c>
      <c r="BL333" s="4">
        <f t="shared" si="1239"/>
        <v>38.099999999999994</v>
      </c>
      <c r="BP333" s="9"/>
      <c r="BR333" s="9"/>
      <c r="BS333" s="9"/>
      <c r="BT333" s="9">
        <f t="shared" si="1240"/>
        <v>38.099999999999994</v>
      </c>
      <c r="BU333" s="9">
        <f t="shared" si="1241"/>
        <v>63.5</v>
      </c>
      <c r="BV333" s="9">
        <f t="shared" si="1242"/>
        <v>1.3222785168171165</v>
      </c>
      <c r="BW333" s="40">
        <f t="shared" si="1343"/>
        <v>0</v>
      </c>
      <c r="BX333" s="9">
        <f t="shared" si="1243"/>
        <v>0</v>
      </c>
      <c r="BY333" s="9">
        <f t="shared" si="1070"/>
        <v>0</v>
      </c>
      <c r="BZ333" s="9">
        <f t="shared" si="1244"/>
        <v>0.99524931562137331</v>
      </c>
      <c r="CA333" s="9">
        <f t="shared" si="1245"/>
        <v>0.68</v>
      </c>
      <c r="CB333" s="9">
        <f t="shared" si="1246"/>
        <v>1.8702904607807274</v>
      </c>
      <c r="CC333" s="9">
        <f t="shared" si="1247"/>
        <v>2.4730448964983416</v>
      </c>
      <c r="CD333" s="40">
        <v>1</v>
      </c>
      <c r="CE333" s="9" t="e">
        <f>4*CC333*#REF!+60*CC333</f>
        <v>#REF!</v>
      </c>
      <c r="CG333" s="4" t="e">
        <f t="shared" si="1071"/>
        <v>#REF!</v>
      </c>
      <c r="CH333" s="4" t="e">
        <f t="shared" si="1072"/>
        <v>#REF!</v>
      </c>
      <c r="CI333" s="4" t="e">
        <f t="shared" si="1073"/>
        <v>#REF!</v>
      </c>
      <c r="CJ333" s="4" t="e">
        <f t="shared" si="1074"/>
        <v>#REF!</v>
      </c>
      <c r="CK333" s="4">
        <f t="shared" si="1075"/>
        <v>1.0201564955106805</v>
      </c>
      <c r="CL333" s="4">
        <f t="shared" si="1076"/>
        <v>1.0088869571220103</v>
      </c>
      <c r="CM333" s="4">
        <f t="shared" si="1310"/>
        <v>1.3645897297002598</v>
      </c>
      <c r="CN333" s="4">
        <f t="shared" si="1344"/>
        <v>0</v>
      </c>
      <c r="CO333" s="4" t="e">
        <f t="shared" ref="CO333" si="1420">CG333</f>
        <v>#REF!</v>
      </c>
      <c r="CP333" s="4" t="e">
        <f t="shared" ref="CP333" si="1421">CH333</f>
        <v>#REF!</v>
      </c>
      <c r="CQ333" s="4" t="e">
        <f t="shared" ref="CQ333" si="1422">CJ333</f>
        <v>#REF!</v>
      </c>
      <c r="CR333" s="4">
        <f t="shared" si="1417"/>
        <v>1.3645897297002598</v>
      </c>
      <c r="CS333" s="4">
        <f t="shared" ref="CS333" si="1423">CK333</f>
        <v>1.0201564955106805</v>
      </c>
      <c r="CT333" s="4">
        <f t="shared" ref="CT333" si="1424">CL333</f>
        <v>1.0088869571220103</v>
      </c>
      <c r="DC333" s="4" t="e">
        <f>#REF!</f>
        <v>#REF!</v>
      </c>
      <c r="DF333" s="4">
        <f t="shared" si="1248"/>
        <v>3.2113113423690527E-5</v>
      </c>
      <c r="DG333" s="4">
        <f t="shared" si="1083"/>
        <v>8.9262091811553486</v>
      </c>
      <c r="DH333" s="4">
        <f t="shared" si="1249"/>
        <v>0.14838378087350965</v>
      </c>
      <c r="DI333" s="4">
        <f t="shared" si="1084"/>
        <v>4.1612291607338747</v>
      </c>
      <c r="DJ333" s="4">
        <f t="shared" si="1085"/>
        <v>6.9688921895952713</v>
      </c>
      <c r="DK333" s="4">
        <f t="shared" si="1250"/>
        <v>7.7435119061401894</v>
      </c>
      <c r="DL333" s="38">
        <f t="shared" si="1251"/>
        <v>655.74793689521289</v>
      </c>
      <c r="DM333" s="4" t="e">
        <f t="shared" si="1086"/>
        <v>#REF!</v>
      </c>
      <c r="DN333" s="4">
        <f t="shared" si="1252"/>
        <v>3.2403703492039297</v>
      </c>
      <c r="DO333" s="4">
        <f t="shared" si="1309"/>
        <v>274.41966104790606</v>
      </c>
      <c r="DS333" s="4">
        <f t="shared" si="1253"/>
        <v>0.85</v>
      </c>
      <c r="DT333" s="4">
        <f t="shared" si="1254"/>
        <v>0.95</v>
      </c>
      <c r="DU333" s="4">
        <f t="shared" si="1255"/>
        <v>1</v>
      </c>
      <c r="DV333" s="4">
        <f t="shared" si="1087"/>
        <v>0.95</v>
      </c>
      <c r="DX333" s="4">
        <f t="shared" si="1256"/>
        <v>663.07281754310316</v>
      </c>
      <c r="DY333" s="25">
        <f t="shared" si="1146"/>
        <v>272.6404279593682</v>
      </c>
      <c r="EA333" s="4">
        <f t="shared" si="1147"/>
        <v>0.8075</v>
      </c>
      <c r="EB333" s="4">
        <f t="shared" si="1257"/>
        <v>8.9262091811553486</v>
      </c>
      <c r="EE333" s="4">
        <f t="shared" si="1258"/>
        <v>82.305406869779816</v>
      </c>
      <c r="EF333" s="4">
        <f t="shared" si="1088"/>
        <v>3.2403703492039302</v>
      </c>
      <c r="EG333" s="4">
        <f t="shared" si="1259"/>
        <v>6.4065159597228735E-2</v>
      </c>
      <c r="EJ333" s="4">
        <f t="shared" si="1089"/>
        <v>6.4065159597228735E-2</v>
      </c>
      <c r="EK333" s="4">
        <f t="shared" si="1260"/>
        <v>0.14813615599820915</v>
      </c>
      <c r="EL333" s="4">
        <f t="shared" si="1090"/>
        <v>4.1584500424738895</v>
      </c>
      <c r="EM333" s="4">
        <f t="shared" si="1091"/>
        <v>6.9680756374616859</v>
      </c>
      <c r="EN333" s="4" t="e">
        <f t="shared" si="1092"/>
        <v>#REF!</v>
      </c>
      <c r="EO333" s="4" t="e">
        <f t="shared" si="1093"/>
        <v>#REF!</v>
      </c>
      <c r="EP333" s="4" t="e">
        <f t="shared" si="1261"/>
        <v>#REF!</v>
      </c>
      <c r="EQ333" s="4" t="e">
        <f t="shared" si="1094"/>
        <v>#REF!</v>
      </c>
      <c r="ER333" s="4" t="e">
        <f t="shared" si="1262"/>
        <v>#REF!</v>
      </c>
      <c r="FA333" s="23" t="e">
        <f t="shared" si="1383"/>
        <v>#REF!</v>
      </c>
      <c r="FB333" s="23" t="e">
        <f t="shared" si="1384"/>
        <v>#REF!</v>
      </c>
      <c r="FC333" s="23">
        <f t="shared" si="1317"/>
        <v>1.4</v>
      </c>
      <c r="FD333" s="23" t="e">
        <f t="shared" si="1385"/>
        <v>#REF!</v>
      </c>
      <c r="FE333" s="23">
        <f t="shared" si="1386"/>
        <v>1.2</v>
      </c>
      <c r="FF333" s="23">
        <f t="shared" si="1387"/>
        <v>1.2</v>
      </c>
      <c r="FG333" s="23">
        <f t="shared" si="1266"/>
        <v>0</v>
      </c>
      <c r="FH333" s="23"/>
      <c r="FR333" s="4">
        <f t="shared" si="1122"/>
        <v>1</v>
      </c>
      <c r="FS333" s="4">
        <f t="shared" si="1123"/>
        <v>0.83333333333333326</v>
      </c>
      <c r="FT333" s="4">
        <f t="shared" si="1124"/>
        <v>0</v>
      </c>
      <c r="FU333" s="4">
        <f t="shared" si="1125"/>
        <v>490.23197425670315</v>
      </c>
    </row>
    <row r="334" spans="2:177" ht="12" customHeight="1" x14ac:dyDescent="0.3">
      <c r="B334" s="24"/>
      <c r="C334" s="7" t="s">
        <v>473</v>
      </c>
      <c r="D334" s="38">
        <f t="shared" si="1388"/>
        <v>827.58620689655174</v>
      </c>
      <c r="E334" s="38">
        <f>14.42*25.4</f>
        <v>366.26799999999997</v>
      </c>
      <c r="F334" s="38">
        <f>9040/145</f>
        <v>62.344827586206897</v>
      </c>
      <c r="G334" s="38">
        <f t="shared" si="1341"/>
        <v>25.4</v>
      </c>
      <c r="H334" s="38">
        <f>14*25.4</f>
        <v>355.59999999999997</v>
      </c>
      <c r="I334" s="38">
        <f t="shared" si="1345"/>
        <v>63.5</v>
      </c>
      <c r="J334" s="39">
        <f>3.1*25.4</f>
        <v>78.739999999999995</v>
      </c>
      <c r="K334" s="7">
        <f t="shared" si="1339"/>
        <v>76.199999999999989</v>
      </c>
      <c r="L334" s="38">
        <v>3</v>
      </c>
      <c r="M334" s="4">
        <f t="shared" si="1357"/>
        <v>260.34999999999997</v>
      </c>
      <c r="N334" s="7">
        <f t="shared" si="1224"/>
        <v>1.9999999999999998</v>
      </c>
      <c r="O334" s="7">
        <f t="shared" si="1225"/>
        <v>3</v>
      </c>
      <c r="P334" s="38">
        <v>9.5</v>
      </c>
      <c r="Q334" s="4">
        <f t="shared" si="1342"/>
        <v>9.5</v>
      </c>
      <c r="R334" s="4">
        <f t="shared" si="1226"/>
        <v>10.5</v>
      </c>
      <c r="S334" s="7">
        <f t="shared" si="1227"/>
        <v>82.305406869779816</v>
      </c>
      <c r="V334" s="38">
        <f t="shared" si="1395"/>
        <v>745.51724137931035</v>
      </c>
      <c r="W334" s="4">
        <v>108.1</v>
      </c>
      <c r="X334" s="4">
        <f t="shared" si="1228"/>
        <v>1.1408969245623375</v>
      </c>
      <c r="Y334" s="38">
        <f>0.375*25.4</f>
        <v>9.5249999999999986</v>
      </c>
      <c r="Z334" s="38">
        <v>4</v>
      </c>
      <c r="AA334" s="39">
        <f>6*25.4</f>
        <v>152.39999999999998</v>
      </c>
      <c r="AB334" s="39">
        <v>1</v>
      </c>
      <c r="AC334" s="39">
        <v>1</v>
      </c>
      <c r="AD334" s="7"/>
      <c r="AE334" s="4">
        <f t="shared" si="1229"/>
        <v>366.26799999999997</v>
      </c>
      <c r="AF334" s="4">
        <f t="shared" si="1230"/>
        <v>0.32362459546925559</v>
      </c>
      <c r="AG334" s="4">
        <f t="shared" si="1231"/>
        <v>364.09952327355796</v>
      </c>
      <c r="AH334" s="4">
        <f t="shared" si="1232"/>
        <v>0.74160887656033281</v>
      </c>
      <c r="AI334" s="4">
        <v>1.25</v>
      </c>
      <c r="AJ334" s="4">
        <f t="shared" si="1154"/>
        <v>2.5</v>
      </c>
      <c r="AK334" s="38">
        <f t="shared" si="1340"/>
        <v>273.07791101441751</v>
      </c>
      <c r="AL334" s="38">
        <f t="shared" si="1264"/>
        <v>273.07791101441751</v>
      </c>
      <c r="AM334" s="38">
        <f t="shared" si="1233"/>
        <v>4.4175343619879603</v>
      </c>
      <c r="AN334" s="38">
        <f t="shared" si="1161"/>
        <v>273.07791101441779</v>
      </c>
      <c r="AO334" s="38">
        <f t="shared" si="1115"/>
        <v>0.999999999999999</v>
      </c>
      <c r="AP334" s="38">
        <f t="shared" si="1162"/>
        <v>3.3776675096783721</v>
      </c>
      <c r="AQ334" s="4">
        <f t="shared" si="1163"/>
        <v>0</v>
      </c>
      <c r="AR334" s="4" t="e">
        <f>#REF!/G334*F334^0.5/0.19</f>
        <v>#REF!</v>
      </c>
      <c r="AS334" s="4">
        <f t="shared" si="1234"/>
        <v>1.2000000000000002</v>
      </c>
      <c r="AT334" s="38">
        <f t="shared" si="1235"/>
        <v>922.36638764424072</v>
      </c>
      <c r="AU334" s="4">
        <f t="shared" si="1236"/>
        <v>0.3</v>
      </c>
      <c r="AV334" s="4" t="e">
        <f>AU334*D334*#REF!/(D334*G334/2.75/F334^0.5)</f>
        <v>#REF!</v>
      </c>
      <c r="AW334" s="4" t="e">
        <f t="shared" si="1068"/>
        <v>#REF!</v>
      </c>
      <c r="AY334" s="4">
        <f t="shared" si="1237"/>
        <v>1.5</v>
      </c>
      <c r="AZ334" s="4" t="e">
        <f>(3*#REF!+30)*AY334*F334^0.5</f>
        <v>#REF!</v>
      </c>
      <c r="BB334" s="4">
        <f t="shared" si="1238"/>
        <v>884.6621638098693</v>
      </c>
      <c r="BC334" s="4">
        <f t="shared" si="1275"/>
        <v>0</v>
      </c>
      <c r="BD334" s="4">
        <f t="shared" si="1069"/>
        <v>0</v>
      </c>
      <c r="BL334" s="4">
        <f t="shared" si="1239"/>
        <v>38.099999999999994</v>
      </c>
      <c r="BP334" s="9"/>
      <c r="BR334" s="9"/>
      <c r="BS334" s="9"/>
      <c r="BT334" s="9">
        <f t="shared" si="1240"/>
        <v>38.099999999999994</v>
      </c>
      <c r="BU334" s="9">
        <f t="shared" si="1241"/>
        <v>63.5</v>
      </c>
      <c r="BV334" s="9">
        <f t="shared" si="1242"/>
        <v>1.3222785168171165</v>
      </c>
      <c r="BW334" s="40">
        <f t="shared" si="1343"/>
        <v>20</v>
      </c>
      <c r="BX334" s="9">
        <f t="shared" si="1243"/>
        <v>4.9087385212340517E-2</v>
      </c>
      <c r="BY334" s="9">
        <f t="shared" si="1070"/>
        <v>0.78174770424681028</v>
      </c>
      <c r="BZ334" s="9">
        <f t="shared" si="1244"/>
        <v>0.99524931562137331</v>
      </c>
      <c r="CA334" s="9">
        <f t="shared" si="1245"/>
        <v>0.68</v>
      </c>
      <c r="CB334" s="9">
        <f t="shared" si="1246"/>
        <v>1.8702904607807274</v>
      </c>
      <c r="CC334" s="9">
        <f t="shared" si="1247"/>
        <v>3.9351401704883844</v>
      </c>
      <c r="CD334" s="40">
        <v>1</v>
      </c>
      <c r="CE334" s="9" t="e">
        <f>4*CC334*#REF!+60*CC334</f>
        <v>#REF!</v>
      </c>
      <c r="CG334" s="4" t="e">
        <f t="shared" si="1071"/>
        <v>#REF!</v>
      </c>
      <c r="CH334" s="4" t="e">
        <f t="shared" si="1072"/>
        <v>#REF!</v>
      </c>
      <c r="CI334" s="4" t="e">
        <f t="shared" si="1073"/>
        <v>#REF!</v>
      </c>
      <c r="CJ334" s="4" t="e">
        <f t="shared" si="1074"/>
        <v>#REF!</v>
      </c>
      <c r="CK334" s="4">
        <f t="shared" si="1075"/>
        <v>1.1408969245623375</v>
      </c>
      <c r="CL334" s="4">
        <f t="shared" si="1076"/>
        <v>1.127721019295898</v>
      </c>
      <c r="CM334" s="4">
        <f t="shared" si="1310"/>
        <v>1.2431637729407938</v>
      </c>
      <c r="CN334" s="4">
        <f t="shared" si="1344"/>
        <v>4</v>
      </c>
      <c r="CU334" s="4" t="e">
        <f t="shared" ref="CU334" si="1425">CG334</f>
        <v>#REF!</v>
      </c>
      <c r="CV334" s="4" t="e">
        <f t="shared" ref="CV334" si="1426">CH334</f>
        <v>#REF!</v>
      </c>
      <c r="CW334" s="4" t="e">
        <f t="shared" ref="CW334" si="1427">CJ334</f>
        <v>#REF!</v>
      </c>
      <c r="CX334" s="4">
        <f t="shared" ref="CX334" si="1428">CM334</f>
        <v>1.2431637729407938</v>
      </c>
      <c r="CY334" s="4">
        <f t="shared" ref="CY334" si="1429">CK334</f>
        <v>1.1408969245623375</v>
      </c>
      <c r="CZ334" s="4">
        <f t="shared" ref="CZ334" si="1430">CL334</f>
        <v>1.127721019295898</v>
      </c>
      <c r="DC334" s="4" t="e">
        <f>#REF!</f>
        <v>#REF!</v>
      </c>
      <c r="DF334" s="4">
        <f t="shared" si="1248"/>
        <v>3.1760706143320806E-5</v>
      </c>
      <c r="DG334" s="4">
        <f t="shared" si="1083"/>
        <v>9.0106843469076061</v>
      </c>
      <c r="DH334" s="4">
        <f t="shared" si="1249"/>
        <v>0.14765827184038907</v>
      </c>
      <c r="DI334" s="4">
        <f t="shared" si="1084"/>
        <v>4.1923823959380124</v>
      </c>
      <c r="DJ334" s="4">
        <f t="shared" si="1085"/>
        <v>7.0324278649770928</v>
      </c>
      <c r="DK334" s="4">
        <f t="shared" si="1250"/>
        <v>7.8334834288186856</v>
      </c>
      <c r="DL334" s="38">
        <f t="shared" si="1251"/>
        <v>653.4483749838314</v>
      </c>
      <c r="DM334" s="4" t="e">
        <f t="shared" si="1086"/>
        <v>#REF!</v>
      </c>
      <c r="DN334" s="4">
        <f t="shared" si="1252"/>
        <v>3.2403703492039297</v>
      </c>
      <c r="DO334" s="4">
        <f t="shared" si="1309"/>
        <v>273.07791101441779</v>
      </c>
      <c r="DS334" s="4">
        <f t="shared" si="1253"/>
        <v>0.85</v>
      </c>
      <c r="DT334" s="4">
        <f t="shared" si="1254"/>
        <v>0.95</v>
      </c>
      <c r="DU334" s="4">
        <f t="shared" si="1255"/>
        <v>0.99062499999999998</v>
      </c>
      <c r="DV334" s="4">
        <f t="shared" si="1087"/>
        <v>0.94109374999999995</v>
      </c>
      <c r="DX334" s="4">
        <f t="shared" si="1256"/>
        <v>661.08304148199727</v>
      </c>
      <c r="DY334" s="25">
        <f t="shared" si="1146"/>
        <v>271.28083663477435</v>
      </c>
      <c r="EA334" s="4">
        <f t="shared" si="1147"/>
        <v>0.79992968749999993</v>
      </c>
      <c r="EB334" s="4">
        <f t="shared" si="1257"/>
        <v>9.0106843469076061</v>
      </c>
      <c r="EE334" s="4">
        <f t="shared" si="1258"/>
        <v>82.305406869779816</v>
      </c>
      <c r="EF334" s="4">
        <f t="shared" si="1088"/>
        <v>3.2403703492039302</v>
      </c>
      <c r="EG334" s="4">
        <f t="shared" si="1259"/>
        <v>6.3751918812269076E-2</v>
      </c>
      <c r="EJ334" s="4">
        <f t="shared" si="1089"/>
        <v>6.3751918812269076E-2</v>
      </c>
      <c r="EK334" s="4">
        <f t="shared" si="1260"/>
        <v>0.14741185770444837</v>
      </c>
      <c r="EL334" s="4">
        <f t="shared" si="1090"/>
        <v>4.1895824716802146</v>
      </c>
      <c r="EM334" s="4">
        <f t="shared" si="1091"/>
        <v>7.0316066334487699</v>
      </c>
      <c r="EN334" s="4" t="e">
        <f t="shared" si="1092"/>
        <v>#REF!</v>
      </c>
      <c r="EO334" s="4" t="e">
        <f t="shared" si="1093"/>
        <v>#REF!</v>
      </c>
      <c r="EP334" s="4" t="e">
        <f t="shared" si="1261"/>
        <v>#REF!</v>
      </c>
      <c r="EQ334" s="4" t="e">
        <f t="shared" si="1094"/>
        <v>#REF!</v>
      </c>
      <c r="ER334" s="4" t="e">
        <f t="shared" si="1262"/>
        <v>#REF!</v>
      </c>
      <c r="FA334" s="23" t="e">
        <f t="shared" si="1383"/>
        <v>#REF!</v>
      </c>
      <c r="FB334" s="23" t="e">
        <f t="shared" si="1384"/>
        <v>#REF!</v>
      </c>
      <c r="FC334" s="23">
        <f t="shared" si="1317"/>
        <v>1.4</v>
      </c>
      <c r="FD334" s="23" t="e">
        <f t="shared" si="1385"/>
        <v>#REF!</v>
      </c>
      <c r="FE334" s="23">
        <f t="shared" si="1386"/>
        <v>1.2</v>
      </c>
      <c r="FF334" s="23">
        <f t="shared" si="1387"/>
        <v>1.2</v>
      </c>
      <c r="FG334" s="23">
        <f t="shared" si="1266"/>
        <v>0</v>
      </c>
      <c r="FH334" s="23"/>
      <c r="FR334" s="4">
        <f t="shared" si="1122"/>
        <v>1</v>
      </c>
      <c r="FS334" s="4">
        <f t="shared" si="1123"/>
        <v>0.67375000000000007</v>
      </c>
      <c r="FT334" s="4">
        <f t="shared" si="1124"/>
        <v>9.3749999999999986E-2</v>
      </c>
      <c r="FU334" s="4">
        <f t="shared" si="1125"/>
        <v>599.69350588115628</v>
      </c>
    </row>
    <row r="335" spans="2:177" ht="12" customHeight="1" x14ac:dyDescent="0.3">
      <c r="B335" s="24"/>
      <c r="C335" s="7" t="s">
        <v>474</v>
      </c>
      <c r="D335" s="38">
        <f t="shared" si="1388"/>
        <v>827.58620689655174</v>
      </c>
      <c r="E335" s="38">
        <f>14.58*25.4</f>
        <v>370.33199999999999</v>
      </c>
      <c r="F335" s="38">
        <f>9940/145</f>
        <v>68.551724137931032</v>
      </c>
      <c r="G335" s="38">
        <f t="shared" si="1341"/>
        <v>25.4</v>
      </c>
      <c r="H335" s="38">
        <f>15.8*25.4</f>
        <v>401.32</v>
      </c>
      <c r="I335" s="38">
        <f t="shared" si="1345"/>
        <v>63.5</v>
      </c>
      <c r="J335" s="39">
        <f>3*25.4</f>
        <v>76.199999999999989</v>
      </c>
      <c r="K335" s="7">
        <f t="shared" si="1339"/>
        <v>99.06</v>
      </c>
      <c r="L335" s="38">
        <v>3</v>
      </c>
      <c r="M335" s="4">
        <f t="shared" si="1357"/>
        <v>260.34999999999997</v>
      </c>
      <c r="N335" s="7">
        <f t="shared" si="1224"/>
        <v>2.4500000000000002</v>
      </c>
      <c r="O335" s="7">
        <f t="shared" si="1225"/>
        <v>3</v>
      </c>
      <c r="P335" s="38">
        <v>9.5</v>
      </c>
      <c r="Q335" s="4">
        <f t="shared" si="1342"/>
        <v>9.5</v>
      </c>
      <c r="R335" s="4">
        <f t="shared" si="1226"/>
        <v>10.5</v>
      </c>
      <c r="S335" s="7">
        <f t="shared" si="1227"/>
        <v>82.305406869779816</v>
      </c>
      <c r="V335" s="38">
        <f t="shared" si="1395"/>
        <v>813.79310344827593</v>
      </c>
      <c r="W335" s="4">
        <v>118</v>
      </c>
      <c r="X335" s="4">
        <f t="shared" si="1228"/>
        <v>1.0927712921092712</v>
      </c>
      <c r="Y335" s="38"/>
      <c r="Z335" s="38"/>
      <c r="AA335" s="39">
        <v>1</v>
      </c>
      <c r="AB335" s="39"/>
      <c r="AC335" s="39"/>
      <c r="AD335" s="7"/>
      <c r="AE335" s="4">
        <f t="shared" si="1229"/>
        <v>370.33199999999999</v>
      </c>
      <c r="AF335" s="4">
        <f t="shared" si="1230"/>
        <v>0.3612254229538181</v>
      </c>
      <c r="AG335" s="4">
        <f t="shared" si="1231"/>
        <v>388.16599141783303</v>
      </c>
      <c r="AH335" s="4">
        <f t="shared" si="1232"/>
        <v>0.74115226337448559</v>
      </c>
      <c r="AI335" s="4">
        <v>1.25</v>
      </c>
      <c r="AJ335" s="4">
        <f t="shared" si="1154"/>
        <v>2.5</v>
      </c>
      <c r="AK335" s="38">
        <f t="shared" si="1340"/>
        <v>324.7530599171514</v>
      </c>
      <c r="AL335" s="38">
        <f t="shared" si="1264"/>
        <v>324.7530599171514</v>
      </c>
      <c r="AM335" s="38">
        <f t="shared" si="1233"/>
        <v>4.5752930713880566</v>
      </c>
      <c r="AN335" s="38">
        <f t="shared" si="1161"/>
        <v>324.75305991715135</v>
      </c>
      <c r="AO335" s="38">
        <f t="shared" si="1115"/>
        <v>1.0000000000000002</v>
      </c>
      <c r="AP335" s="38">
        <f t="shared" si="1162"/>
        <v>3.4743069894130096</v>
      </c>
      <c r="AQ335" s="4">
        <f t="shared" si="1163"/>
        <v>0</v>
      </c>
      <c r="AR335" s="4" t="e">
        <f>#REF!/G335*F335^0.5/0.19</f>
        <v>#REF!</v>
      </c>
      <c r="AS335" s="4">
        <f t="shared" si="1234"/>
        <v>1.0897959183673469</v>
      </c>
      <c r="AT335" s="38">
        <f t="shared" si="1235"/>
        <v>1128.2918259034209</v>
      </c>
      <c r="AU335" s="4">
        <f t="shared" si="1236"/>
        <v>0.3</v>
      </c>
      <c r="AV335" s="4" t="e">
        <f>AU335*D335*#REF!/(D335*G335/2.75/F335^0.5)</f>
        <v>#REF!</v>
      </c>
      <c r="AW335" s="4" t="e">
        <f t="shared" ref="AW335:AW398" si="1431">AT335+AV335</f>
        <v>#REF!</v>
      </c>
      <c r="AY335" s="4">
        <f t="shared" si="1237"/>
        <v>1.375</v>
      </c>
      <c r="AZ335" s="4" t="e">
        <f>(3*#REF!+30)*AY335*F335^0.5</f>
        <v>#REF!</v>
      </c>
      <c r="BB335" s="4">
        <f t="shared" si="1238"/>
        <v>1082.1698421405406</v>
      </c>
      <c r="BC335" s="4">
        <f t="shared" si="1275"/>
        <v>0</v>
      </c>
      <c r="BD335" s="4">
        <f t="shared" ref="BD335:BD398" si="1432">BC335/BB335</f>
        <v>0</v>
      </c>
      <c r="BL335" s="4">
        <f t="shared" si="1239"/>
        <v>49.53</v>
      </c>
      <c r="BP335" s="9"/>
      <c r="BR335" s="9"/>
      <c r="BS335" s="9"/>
      <c r="BT335" s="9">
        <f t="shared" si="1240"/>
        <v>49.53</v>
      </c>
      <c r="BU335" s="9">
        <f t="shared" si="1241"/>
        <v>63.5</v>
      </c>
      <c r="BV335" s="9">
        <f t="shared" si="1242"/>
        <v>1.4494495884306333</v>
      </c>
      <c r="BW335" s="40">
        <f t="shared" si="1343"/>
        <v>0</v>
      </c>
      <c r="BX335" s="9">
        <f t="shared" si="1243"/>
        <v>0</v>
      </c>
      <c r="BY335" s="9">
        <f t="shared" ref="BY335:BY398" si="1433">MAX(0,BW335*(BX335-0.5/50))</f>
        <v>0</v>
      </c>
      <c r="BZ335" s="9">
        <f t="shared" si="1244"/>
        <v>0.99524931562137331</v>
      </c>
      <c r="CA335" s="9">
        <f t="shared" si="1245"/>
        <v>0.68</v>
      </c>
      <c r="CB335" s="9">
        <f t="shared" si="1246"/>
        <v>1.9611826194568933</v>
      </c>
      <c r="CC335" s="9">
        <f t="shared" si="1247"/>
        <v>2.8426353406091054</v>
      </c>
      <c r="CD335" s="40">
        <v>1</v>
      </c>
      <c r="CE335" s="9" t="e">
        <f>4*CC335*#REF!+60*CC335</f>
        <v>#REF!</v>
      </c>
      <c r="CG335" s="4" t="e">
        <f t="shared" ref="CG335:CG398" si="1434">V335/AR335</f>
        <v>#REF!</v>
      </c>
      <c r="CH335" s="4" t="e">
        <f t="shared" ref="CH335:CH398" si="1435">V335/AW335</f>
        <v>#REF!</v>
      </c>
      <c r="CI335" s="4" t="e">
        <f t="shared" ref="CI335:CI398" si="1436">V335/AZ335</f>
        <v>#REF!</v>
      </c>
      <c r="CJ335" s="4" t="e">
        <f t="shared" ref="CJ335:CJ398" si="1437">V335/CE335</f>
        <v>#REF!</v>
      </c>
      <c r="CK335" s="4">
        <f t="shared" ref="CK335:CK398" si="1438">V335/DL335</f>
        <v>1.0927712921092712</v>
      </c>
      <c r="CL335" s="4">
        <f t="shared" ref="CL335:CL398" si="1439">V335/DX335</f>
        <v>1.0815801265431821</v>
      </c>
      <c r="CM335" s="4">
        <f t="shared" si="1310"/>
        <v>1.4751944683659082</v>
      </c>
      <c r="CN335" s="4">
        <f t="shared" si="1344"/>
        <v>0</v>
      </c>
      <c r="CO335" s="4" t="e">
        <f t="shared" ref="CO335" si="1440">CG335</f>
        <v>#REF!</v>
      </c>
      <c r="CP335" s="4" t="e">
        <f t="shared" ref="CP335" si="1441">CH335</f>
        <v>#REF!</v>
      </c>
      <c r="CQ335" s="4" t="e">
        <f t="shared" ref="CQ335" si="1442">CJ335</f>
        <v>#REF!</v>
      </c>
      <c r="CR335" s="4">
        <f t="shared" ref="CR335" si="1443">CM335</f>
        <v>1.4751944683659082</v>
      </c>
      <c r="CS335" s="4">
        <f t="shared" ref="CS335" si="1444">CK335</f>
        <v>1.0927712921092712</v>
      </c>
      <c r="CT335" s="4">
        <f t="shared" ref="CT335" si="1445">CL335</f>
        <v>1.0815801265431821</v>
      </c>
      <c r="DC335" s="4" t="e">
        <f>#REF!</f>
        <v>#REF!</v>
      </c>
      <c r="DF335" s="4">
        <f t="shared" si="1248"/>
        <v>3.3348105714073671E-5</v>
      </c>
      <c r="DG335" s="4">
        <f t="shared" ref="DG335:DG398" si="1446">EB335</f>
        <v>9.8254186250777558</v>
      </c>
      <c r="DH335" s="4">
        <f t="shared" si="1249"/>
        <v>0.1597005850651578</v>
      </c>
      <c r="DI335" s="4">
        <f t="shared" ref="DI335:DI398" si="1447">DG335*DH335^0.4</f>
        <v>4.717084607697652</v>
      </c>
      <c r="DJ335" s="4">
        <f t="shared" ref="DJ335:DJ398" si="1448">MIN(DG335, DG335/1.4*(1-DH335^1.4)/(1-DH335))</f>
        <v>7.7116198041062471</v>
      </c>
      <c r="DK335" s="4">
        <f t="shared" si="1250"/>
        <v>8.3305958558960782</v>
      </c>
      <c r="DL335" s="38">
        <f t="shared" si="1251"/>
        <v>744.70578548736353</v>
      </c>
      <c r="DM335" s="4" t="e">
        <f t="shared" ref="DM335:DM398" si="1449">DL335/ER335</f>
        <v>#REF!</v>
      </c>
      <c r="DN335" s="4">
        <f t="shared" si="1252"/>
        <v>3.2403703492039297</v>
      </c>
      <c r="DO335" s="4">
        <f t="shared" si="1309"/>
        <v>324.75305991715135</v>
      </c>
      <c r="DS335" s="4">
        <f t="shared" si="1253"/>
        <v>0.85</v>
      </c>
      <c r="DT335" s="4">
        <f t="shared" si="1254"/>
        <v>0.90500000000000003</v>
      </c>
      <c r="DU335" s="4">
        <f t="shared" si="1255"/>
        <v>1</v>
      </c>
      <c r="DV335" s="4">
        <f t="shared" ref="DV335:DV398" si="1450">IF(DT335*DU335&lt;0.7,0.7,DT335*DU335)</f>
        <v>0.90500000000000003</v>
      </c>
      <c r="DX335" s="4">
        <f t="shared" si="1256"/>
        <v>752.41129480552195</v>
      </c>
      <c r="DY335" s="25">
        <f t="shared" si="1146"/>
        <v>322.64748414462093</v>
      </c>
      <c r="EA335" s="4">
        <f t="shared" si="1147"/>
        <v>0.76924999999999999</v>
      </c>
      <c r="EB335" s="4">
        <f t="shared" si="1257"/>
        <v>9.8254186250777558</v>
      </c>
      <c r="EE335" s="4">
        <f t="shared" si="1258"/>
        <v>82.305406869779816</v>
      </c>
      <c r="EF335" s="4">
        <f t="shared" ref="EF335:EF398" si="1451">R335^0.5</f>
        <v>3.2403703492039302</v>
      </c>
      <c r="EG335" s="4">
        <f t="shared" si="1259"/>
        <v>7.2302108688300989E-2</v>
      </c>
      <c r="EJ335" s="4">
        <f t="shared" ref="EJ335:EJ398" si="1452">EG335</f>
        <v>7.2302108688300989E-2</v>
      </c>
      <c r="EK335" s="4">
        <f t="shared" si="1260"/>
        <v>0.15943407455282702</v>
      </c>
      <c r="EL335" s="4">
        <f t="shared" ref="EL335:EL398" si="1453">EB335/1*EK335^0.4</f>
        <v>4.7139342558518917</v>
      </c>
      <c r="EM335" s="4">
        <f t="shared" ref="EM335:EM398" si="1454">EB335/1.4*(1-EK335^1.4)/(1-EK335)</f>
        <v>7.710669855011191</v>
      </c>
      <c r="EN335" s="4" t="e">
        <f t="shared" ref="EN335:EN398" si="1455">MAX(0,DC335*EN$9-EE335)</f>
        <v>#REF!</v>
      </c>
      <c r="EO335" s="4" t="e">
        <f t="shared" ref="EO335:EO398" si="1456">MAX(0,DC335-EE335-EN335)</f>
        <v>#REF!</v>
      </c>
      <c r="EP335" s="4" t="e">
        <f t="shared" si="1261"/>
        <v>#REF!</v>
      </c>
      <c r="EQ335" s="4" t="e">
        <f t="shared" ref="EQ335:EQ398" si="1457">MAX(0.5*EB335, (1-2*EP335*(EE335*EL335+EN335*EM335))/(1/EB335+EP335*EO335))</f>
        <v>#REF!</v>
      </c>
      <c r="ER335" s="4" t="e">
        <f t="shared" si="1262"/>
        <v>#REF!</v>
      </c>
      <c r="FA335" s="23" t="e">
        <f t="shared" si="1383"/>
        <v>#REF!</v>
      </c>
      <c r="FB335" s="23" t="e">
        <f t="shared" si="1384"/>
        <v>#REF!</v>
      </c>
      <c r="FC335" s="23">
        <f t="shared" si="1317"/>
        <v>1.6</v>
      </c>
      <c r="FD335" s="23" t="e">
        <f t="shared" si="1385"/>
        <v>#REF!</v>
      </c>
      <c r="FE335" s="23">
        <f t="shared" si="1386"/>
        <v>1.2</v>
      </c>
      <c r="FF335" s="23">
        <f t="shared" si="1387"/>
        <v>1.2</v>
      </c>
      <c r="FG335" s="23">
        <f t="shared" si="1266"/>
        <v>0</v>
      </c>
      <c r="FH335" s="23"/>
      <c r="FR335" s="4">
        <f t="shared" si="1122"/>
        <v>1</v>
      </c>
      <c r="FS335" s="4">
        <f t="shared" si="1123"/>
        <v>0.7583333333333333</v>
      </c>
      <c r="FT335" s="4">
        <f t="shared" si="1124"/>
        <v>0</v>
      </c>
      <c r="FU335" s="4">
        <f t="shared" si="1125"/>
        <v>551.6514065767376</v>
      </c>
    </row>
    <row r="336" spans="2:177" ht="12" customHeight="1" x14ac:dyDescent="0.3">
      <c r="B336" s="24"/>
      <c r="C336" s="7" t="s">
        <v>475</v>
      </c>
      <c r="D336" s="38">
        <f t="shared" si="1388"/>
        <v>827.58620689655174</v>
      </c>
      <c r="E336" s="38">
        <f>14.08*25.4</f>
        <v>357.63200000000001</v>
      </c>
      <c r="F336" s="38">
        <f>9940/145</f>
        <v>68.551724137931032</v>
      </c>
      <c r="G336" s="38">
        <f t="shared" si="1341"/>
        <v>25.4</v>
      </c>
      <c r="H336" s="38">
        <f>15.5*25.4</f>
        <v>393.7</v>
      </c>
      <c r="I336" s="38">
        <f>2.3*25.4</f>
        <v>58.419999999999995</v>
      </c>
      <c r="J336" s="39">
        <f>3.7*25.4</f>
        <v>93.98</v>
      </c>
      <c r="K336" s="7">
        <f t="shared" si="1339"/>
        <v>100.33000000000001</v>
      </c>
      <c r="L336" s="38">
        <v>3</v>
      </c>
      <c r="M336" s="4">
        <f t="shared" si="1357"/>
        <v>260.34999999999997</v>
      </c>
      <c r="N336" s="7">
        <f t="shared" si="1224"/>
        <v>2.4750000000000005</v>
      </c>
      <c r="O336" s="7">
        <f t="shared" si="1225"/>
        <v>2.8</v>
      </c>
      <c r="P336" s="38">
        <v>9.5</v>
      </c>
      <c r="Q336" s="4">
        <f t="shared" si="1342"/>
        <v>9.5</v>
      </c>
      <c r="R336" s="4">
        <f t="shared" si="1226"/>
        <v>10.5</v>
      </c>
      <c r="S336" s="7">
        <f t="shared" si="1227"/>
        <v>82.305406869779816</v>
      </c>
      <c r="V336" s="38">
        <f t="shared" si="1395"/>
        <v>918.62068965517244</v>
      </c>
      <c r="W336" s="4">
        <v>133.19999999999999</v>
      </c>
      <c r="X336" s="4">
        <f t="shared" si="1228"/>
        <v>1.2733735889849789</v>
      </c>
      <c r="Y336" s="38">
        <f>0.375*25.4</f>
        <v>9.5249999999999986</v>
      </c>
      <c r="Z336" s="38">
        <v>4</v>
      </c>
      <c r="AA336" s="39">
        <f>6*25.4</f>
        <v>152.39999999999998</v>
      </c>
      <c r="AB336" s="39">
        <v>1</v>
      </c>
      <c r="AC336" s="39">
        <v>1</v>
      </c>
      <c r="AD336" s="7"/>
      <c r="AE336" s="4">
        <f t="shared" si="1229"/>
        <v>357.63200000000001</v>
      </c>
      <c r="AF336" s="4">
        <f t="shared" si="1230"/>
        <v>0.36695075757575757</v>
      </c>
      <c r="AG336" s="4">
        <f t="shared" si="1231"/>
        <v>368.37078442762726</v>
      </c>
      <c r="AH336" s="4">
        <f t="shared" si="1232"/>
        <v>0.73977272727272725</v>
      </c>
      <c r="AI336" s="4">
        <v>1.25</v>
      </c>
      <c r="AJ336" s="4">
        <f t="shared" si="1154"/>
        <v>2.5</v>
      </c>
      <c r="AK336" s="38">
        <f t="shared" si="1340"/>
        <v>312.49372836589322</v>
      </c>
      <c r="AL336" s="38">
        <f t="shared" si="1264"/>
        <v>312.49372836589322</v>
      </c>
      <c r="AM336" s="38">
        <f t="shared" si="1233"/>
        <v>4.5752930713880566</v>
      </c>
      <c r="AN336" s="38">
        <f t="shared" si="1161"/>
        <v>312.49372836589333</v>
      </c>
      <c r="AO336" s="38">
        <f t="shared" si="1115"/>
        <v>0.99999999999999967</v>
      </c>
      <c r="AP336" s="38">
        <f t="shared" si="1162"/>
        <v>3.5227076496116316</v>
      </c>
      <c r="AQ336" s="4">
        <f t="shared" si="1163"/>
        <v>0</v>
      </c>
      <c r="AR336" s="4" t="e">
        <f>#REF!/G336*F336^0.5/0.19</f>
        <v>#REF!</v>
      </c>
      <c r="AS336" s="4">
        <f t="shared" si="1234"/>
        <v>1.0525252525252524</v>
      </c>
      <c r="AT336" s="38">
        <f t="shared" si="1235"/>
        <v>1100.8240473701917</v>
      </c>
      <c r="AU336" s="4">
        <f t="shared" si="1236"/>
        <v>0.3</v>
      </c>
      <c r="AV336" s="4" t="e">
        <f>AU336*D336*#REF!/(D336*G336/2.75/F336^0.5)</f>
        <v>#REF!</v>
      </c>
      <c r="AW336" s="4" t="e">
        <f t="shared" si="1431"/>
        <v>#REF!</v>
      </c>
      <c r="AY336" s="4">
        <f t="shared" si="1237"/>
        <v>1.5</v>
      </c>
      <c r="AZ336" s="4" t="e">
        <f>(3*#REF!+30)*AY336*F336^0.5</f>
        <v>#REF!</v>
      </c>
      <c r="BB336" s="4">
        <f t="shared" si="1238"/>
        <v>1055.8248834367448</v>
      </c>
      <c r="BC336" s="4">
        <f t="shared" si="1275"/>
        <v>0</v>
      </c>
      <c r="BD336" s="4">
        <f t="shared" si="1432"/>
        <v>0</v>
      </c>
      <c r="BL336" s="4">
        <f t="shared" si="1239"/>
        <v>50.165000000000006</v>
      </c>
      <c r="BP336" s="9"/>
      <c r="BR336" s="9"/>
      <c r="BS336" s="9"/>
      <c r="BT336" s="9">
        <f t="shared" si="1240"/>
        <v>50.165000000000006</v>
      </c>
      <c r="BU336" s="9">
        <f t="shared" si="1241"/>
        <v>58.419999999999995</v>
      </c>
      <c r="BV336" s="9">
        <f t="shared" si="1242"/>
        <v>1.43783039583918</v>
      </c>
      <c r="BW336" s="40">
        <f t="shared" si="1343"/>
        <v>20</v>
      </c>
      <c r="BX336" s="9">
        <f t="shared" si="1243"/>
        <v>4.9087385212340517E-2</v>
      </c>
      <c r="BY336" s="9">
        <f t="shared" si="1433"/>
        <v>0.78174770424681028</v>
      </c>
      <c r="BZ336" s="9">
        <f t="shared" si="1244"/>
        <v>0.99524931562137331</v>
      </c>
      <c r="CA336" s="9">
        <f t="shared" si="1245"/>
        <v>0.68</v>
      </c>
      <c r="CB336" s="9">
        <f t="shared" si="1246"/>
        <v>1.9611826194568933</v>
      </c>
      <c r="CC336" s="9">
        <f t="shared" si="1247"/>
        <v>4.3529979924157969</v>
      </c>
      <c r="CD336" s="40">
        <v>1</v>
      </c>
      <c r="CE336" s="9" t="e">
        <f>4*CC336*#REF!+60*CC336</f>
        <v>#REF!</v>
      </c>
      <c r="CG336" s="4" t="e">
        <f t="shared" si="1434"/>
        <v>#REF!</v>
      </c>
      <c r="CH336" s="4" t="e">
        <f t="shared" si="1435"/>
        <v>#REF!</v>
      </c>
      <c r="CI336" s="4" t="e">
        <f t="shared" si="1436"/>
        <v>#REF!</v>
      </c>
      <c r="CJ336" s="4" t="e">
        <f t="shared" si="1437"/>
        <v>#REF!</v>
      </c>
      <c r="CK336" s="4">
        <f t="shared" si="1438"/>
        <v>1.2733735889849789</v>
      </c>
      <c r="CL336" s="4">
        <f t="shared" si="1439"/>
        <v>1.2575697339160365</v>
      </c>
      <c r="CM336" s="4">
        <f t="shared" si="1310"/>
        <v>1.7850791723869082</v>
      </c>
      <c r="CN336" s="4">
        <f t="shared" si="1344"/>
        <v>4</v>
      </c>
      <c r="CU336" s="4" t="e">
        <f t="shared" ref="CU336" si="1458">CG336</f>
        <v>#REF!</v>
      </c>
      <c r="CV336" s="4" t="e">
        <f t="shared" ref="CV336" si="1459">CH336</f>
        <v>#REF!</v>
      </c>
      <c r="CW336" s="4" t="e">
        <f t="shared" ref="CW336" si="1460">CJ336</f>
        <v>#REF!</v>
      </c>
      <c r="CX336" s="4">
        <f t="shared" ref="CX336" si="1461">CM336</f>
        <v>1.7850791723869082</v>
      </c>
      <c r="CY336" s="4">
        <f t="shared" ref="CY336" si="1462">CK336</f>
        <v>1.2733735889849789</v>
      </c>
      <c r="CZ336" s="4">
        <f t="shared" ref="CZ336" si="1463">CL336</f>
        <v>1.2575697339160365</v>
      </c>
      <c r="DC336" s="4" t="e">
        <f>#REF!</f>
        <v>#REF!</v>
      </c>
      <c r="DF336" s="4">
        <f t="shared" si="1248"/>
        <v>3.2204480689585553E-5</v>
      </c>
      <c r="DG336" s="4">
        <f t="shared" si="1446"/>
        <v>9.9458784617650533</v>
      </c>
      <c r="DH336" s="4">
        <f t="shared" si="1249"/>
        <v>0.15367193541442592</v>
      </c>
      <c r="DI336" s="4">
        <f t="shared" si="1447"/>
        <v>4.7019821086310722</v>
      </c>
      <c r="DJ336" s="4">
        <f t="shared" si="1448"/>
        <v>7.7843131631097142</v>
      </c>
      <c r="DK336" s="4">
        <f t="shared" si="1250"/>
        <v>8.5266700561357052</v>
      </c>
      <c r="DL336" s="38">
        <f t="shared" si="1251"/>
        <v>721.40705414458603</v>
      </c>
      <c r="DM336" s="4" t="e">
        <f t="shared" si="1449"/>
        <v>#REF!</v>
      </c>
      <c r="DN336" s="4">
        <f t="shared" si="1252"/>
        <v>3.2403703492039297</v>
      </c>
      <c r="DO336" s="4">
        <f t="shared" si="1309"/>
        <v>312.49372836589333</v>
      </c>
      <c r="DS336" s="4">
        <f t="shared" si="1253"/>
        <v>0.85</v>
      </c>
      <c r="DT336" s="4">
        <f t="shared" si="1254"/>
        <v>0.90249999999999997</v>
      </c>
      <c r="DU336" s="4">
        <f t="shared" si="1255"/>
        <v>0.99062499999999998</v>
      </c>
      <c r="DV336" s="4">
        <f t="shared" si="1450"/>
        <v>0.89403906249999998</v>
      </c>
      <c r="DX336" s="4">
        <f t="shared" si="1256"/>
        <v>730.47296295420028</v>
      </c>
      <c r="DY336" s="25">
        <f t="shared" si="1146"/>
        <v>310.35905672924446</v>
      </c>
      <c r="EA336" s="4">
        <f t="shared" si="1147"/>
        <v>0.75993320312500001</v>
      </c>
      <c r="EB336" s="4">
        <f t="shared" si="1257"/>
        <v>9.9458784617650533</v>
      </c>
      <c r="EE336" s="4">
        <f t="shared" si="1258"/>
        <v>82.305406869779816</v>
      </c>
      <c r="EF336" s="4">
        <f t="shared" si="1451"/>
        <v>3.2403703492039302</v>
      </c>
      <c r="EG336" s="4">
        <f t="shared" si="1259"/>
        <v>6.9572725561037788E-2</v>
      </c>
      <c r="EJ336" s="4">
        <f t="shared" si="1452"/>
        <v>6.9572725561037788E-2</v>
      </c>
      <c r="EK336" s="4">
        <f t="shared" si="1260"/>
        <v>0.15341548559477464</v>
      </c>
      <c r="EL336" s="4">
        <f t="shared" si="1453"/>
        <v>4.6988418431394399</v>
      </c>
      <c r="EM336" s="4">
        <f t="shared" si="1454"/>
        <v>7.7833789789584849</v>
      </c>
      <c r="EN336" s="4" t="e">
        <f t="shared" si="1455"/>
        <v>#REF!</v>
      </c>
      <c r="EO336" s="4" t="e">
        <f t="shared" si="1456"/>
        <v>#REF!</v>
      </c>
      <c r="EP336" s="4" t="e">
        <f t="shared" si="1261"/>
        <v>#REF!</v>
      </c>
      <c r="EQ336" s="4" t="e">
        <f t="shared" si="1457"/>
        <v>#REF!</v>
      </c>
      <c r="ER336" s="4" t="e">
        <f t="shared" si="1262"/>
        <v>#REF!</v>
      </c>
      <c r="FA336" s="23" t="e">
        <f t="shared" si="1383"/>
        <v>#REF!</v>
      </c>
      <c r="FB336" s="23" t="e">
        <f t="shared" si="1384"/>
        <v>#REF!</v>
      </c>
      <c r="FC336" s="23">
        <f t="shared" si="1317"/>
        <v>1.8</v>
      </c>
      <c r="FD336" s="23" t="e">
        <f t="shared" si="1385"/>
        <v>#REF!</v>
      </c>
      <c r="FE336" s="23">
        <f t="shared" si="1386"/>
        <v>1.4</v>
      </c>
      <c r="FF336" s="23">
        <f t="shared" si="1387"/>
        <v>1.4</v>
      </c>
      <c r="FG336" s="23">
        <f t="shared" si="1266"/>
        <v>0</v>
      </c>
      <c r="FH336" s="23"/>
      <c r="FR336" s="4">
        <f t="shared" si="1122"/>
        <v>1.25</v>
      </c>
      <c r="FS336" s="4">
        <f t="shared" si="1123"/>
        <v>0.62803124999999993</v>
      </c>
      <c r="FT336" s="4">
        <f t="shared" si="1124"/>
        <v>9.3749999999999986E-2</v>
      </c>
      <c r="FU336" s="4">
        <f t="shared" si="1125"/>
        <v>514.61061440028129</v>
      </c>
    </row>
    <row r="337" spans="2:177" ht="12" customHeight="1" x14ac:dyDescent="0.3">
      <c r="B337" s="24"/>
      <c r="C337" s="7" t="s">
        <v>476</v>
      </c>
      <c r="D337" s="38">
        <f t="shared" si="1388"/>
        <v>827.58620689655174</v>
      </c>
      <c r="E337" s="38">
        <f>14.54*25.4</f>
        <v>369.31599999999997</v>
      </c>
      <c r="F337" s="38">
        <f>10180/145</f>
        <v>70.206896551724142</v>
      </c>
      <c r="G337" s="38">
        <f t="shared" si="1341"/>
        <v>25.4</v>
      </c>
      <c r="H337" s="38">
        <f>20*25.4</f>
        <v>508</v>
      </c>
      <c r="I337" s="38">
        <f t="shared" si="1345"/>
        <v>63.5</v>
      </c>
      <c r="J337" s="39">
        <f>3*25.4</f>
        <v>76.199999999999989</v>
      </c>
      <c r="K337" s="7">
        <f t="shared" si="1339"/>
        <v>152.4</v>
      </c>
      <c r="L337" s="38">
        <v>3</v>
      </c>
      <c r="M337" s="4">
        <f t="shared" si="1357"/>
        <v>260.34999999999997</v>
      </c>
      <c r="N337" s="7">
        <f t="shared" si="1224"/>
        <v>3</v>
      </c>
      <c r="O337" s="7">
        <f t="shared" si="1225"/>
        <v>3</v>
      </c>
      <c r="P337" s="38">
        <v>9.5</v>
      </c>
      <c r="Q337" s="4">
        <f t="shared" si="1342"/>
        <v>9.5</v>
      </c>
      <c r="R337" s="4">
        <f t="shared" si="1226"/>
        <v>10.5</v>
      </c>
      <c r="S337" s="7">
        <f t="shared" si="1227"/>
        <v>82.305406869779816</v>
      </c>
      <c r="V337" s="38">
        <f t="shared" si="1395"/>
        <v>907.58620689655174</v>
      </c>
      <c r="W337" s="4">
        <v>131.6</v>
      </c>
      <c r="X337" s="4">
        <f t="shared" si="1228"/>
        <v>1.0374944577148659</v>
      </c>
      <c r="Y337" s="38"/>
      <c r="Z337" s="38"/>
      <c r="AA337" s="39">
        <v>1</v>
      </c>
      <c r="AB337" s="39"/>
      <c r="AC337" s="39"/>
      <c r="AD337" s="7"/>
      <c r="AE337" s="4">
        <f t="shared" si="1229"/>
        <v>369.31599999999997</v>
      </c>
      <c r="AF337" s="4">
        <f t="shared" si="1230"/>
        <v>0.45850527281063735</v>
      </c>
      <c r="AG337" s="4">
        <f t="shared" si="1231"/>
        <v>391.20869898560869</v>
      </c>
      <c r="AH337" s="4">
        <f t="shared" si="1232"/>
        <v>0.74126547455295733</v>
      </c>
      <c r="AI337" s="4">
        <v>1.25</v>
      </c>
      <c r="AJ337" s="4">
        <f t="shared" si="1154"/>
        <v>2.5</v>
      </c>
      <c r="AK337" s="38">
        <f t="shared" si="1340"/>
        <v>415.50536150678056</v>
      </c>
      <c r="AL337" s="38">
        <f t="shared" si="1264"/>
        <v>415.50536150678056</v>
      </c>
      <c r="AM337" s="38">
        <f t="shared" si="1233"/>
        <v>4.615452125415529</v>
      </c>
      <c r="AN337" s="38">
        <f t="shared" si="1161"/>
        <v>415.50536150678073</v>
      </c>
      <c r="AO337" s="38">
        <f t="shared" si="1115"/>
        <v>0.99999999999999956</v>
      </c>
      <c r="AP337" s="38">
        <f t="shared" si="1162"/>
        <v>3.1247566190650464</v>
      </c>
      <c r="AQ337" s="4">
        <f t="shared" si="1163"/>
        <v>0</v>
      </c>
      <c r="AR337" s="4" t="e">
        <f>#REF!/G337*F337^0.5/0.19</f>
        <v>#REF!</v>
      </c>
      <c r="AS337" s="4">
        <f t="shared" si="1234"/>
        <v>1</v>
      </c>
      <c r="AT337" s="38">
        <f t="shared" si="1235"/>
        <v>1298.3531286253281</v>
      </c>
      <c r="AU337" s="4">
        <f t="shared" si="1236"/>
        <v>0.3</v>
      </c>
      <c r="AV337" s="4" t="e">
        <f>AU337*D337*#REF!/(D337*G337/2.75/F337^0.5)</f>
        <v>#REF!</v>
      </c>
      <c r="AW337" s="4" t="e">
        <f t="shared" si="1431"/>
        <v>#REF!</v>
      </c>
      <c r="AY337" s="4">
        <f t="shared" si="1237"/>
        <v>1.375</v>
      </c>
      <c r="AZ337" s="4" t="e">
        <f>(3*#REF!+30)*AY337*F337^0.5</f>
        <v>#REF!</v>
      </c>
      <c r="BB337" s="4">
        <f t="shared" si="1238"/>
        <v>1245.2794285929851</v>
      </c>
      <c r="BC337" s="4">
        <f t="shared" ref="BC337:BC368" si="1464">8/3*T337*U337^2/(S337-G337-22)/G337*(S337^2-G337^2)/(S337^2-(G337+22)^2)</f>
        <v>0</v>
      </c>
      <c r="BD337" s="4">
        <f t="shared" si="1432"/>
        <v>0</v>
      </c>
      <c r="BL337" s="4">
        <f t="shared" si="1239"/>
        <v>63.5</v>
      </c>
      <c r="BP337" s="9"/>
      <c r="BR337" s="9"/>
      <c r="BS337" s="9"/>
      <c r="BT337" s="9">
        <f t="shared" si="1240"/>
        <v>63.5</v>
      </c>
      <c r="BU337" s="9">
        <f t="shared" si="1241"/>
        <v>76.2</v>
      </c>
      <c r="BV337" s="9">
        <f t="shared" si="1242"/>
        <v>1.6249768986352224</v>
      </c>
      <c r="BW337" s="40">
        <f t="shared" si="1343"/>
        <v>0</v>
      </c>
      <c r="BX337" s="9">
        <f t="shared" si="1243"/>
        <v>0</v>
      </c>
      <c r="BY337" s="9">
        <f t="shared" si="1433"/>
        <v>0</v>
      </c>
      <c r="BZ337" s="9">
        <f t="shared" si="1244"/>
        <v>0.99524931562137331</v>
      </c>
      <c r="CA337" s="9">
        <f t="shared" si="1245"/>
        <v>0.68</v>
      </c>
      <c r="CB337" s="9">
        <f t="shared" si="1246"/>
        <v>1.9847176531283015</v>
      </c>
      <c r="CC337" s="9">
        <f t="shared" si="1247"/>
        <v>3.2251203366470045</v>
      </c>
      <c r="CD337" s="40">
        <v>1</v>
      </c>
      <c r="CE337" s="9" t="e">
        <f>4*CC337*#REF!+60*CC337</f>
        <v>#REF!</v>
      </c>
      <c r="CG337" s="4" t="e">
        <f t="shared" si="1434"/>
        <v>#REF!</v>
      </c>
      <c r="CH337" s="4" t="e">
        <f t="shared" si="1435"/>
        <v>#REF!</v>
      </c>
      <c r="CI337" s="4" t="e">
        <f t="shared" si="1436"/>
        <v>#REF!</v>
      </c>
      <c r="CJ337" s="4" t="e">
        <f t="shared" si="1437"/>
        <v>#REF!</v>
      </c>
      <c r="CK337" s="4">
        <f t="shared" si="1438"/>
        <v>1.0374944577148659</v>
      </c>
      <c r="CL337" s="4">
        <f t="shared" si="1439"/>
        <v>1.0377227912290949</v>
      </c>
      <c r="CM337" s="4">
        <f t="shared" si="1310"/>
        <v>1.261486403351207</v>
      </c>
      <c r="CN337" s="4">
        <f t="shared" si="1344"/>
        <v>0</v>
      </c>
      <c r="CO337" s="4" t="e">
        <f t="shared" ref="CO337" si="1465">CG337</f>
        <v>#REF!</v>
      </c>
      <c r="CP337" s="4" t="e">
        <f t="shared" ref="CP337" si="1466">CH337</f>
        <v>#REF!</v>
      </c>
      <c r="CQ337" s="4" t="e">
        <f t="shared" ref="CQ337" si="1467">CJ337</f>
        <v>#REF!</v>
      </c>
      <c r="CR337" s="4">
        <f t="shared" ref="CR337" si="1468">CM337</f>
        <v>1.261486403351207</v>
      </c>
      <c r="CS337" s="4">
        <f t="shared" ref="CS337" si="1469">CK337</f>
        <v>1.0374944577148659</v>
      </c>
      <c r="CT337" s="4">
        <f t="shared" ref="CT337" si="1470">CL337</f>
        <v>1.0377227912290949</v>
      </c>
      <c r="DC337" s="4" t="e">
        <f>#REF!</f>
        <v>#REF!</v>
      </c>
      <c r="DF337" s="4">
        <f t="shared" si="1248"/>
        <v>3.3591114581024516E-5</v>
      </c>
      <c r="DG337" s="4">
        <f t="shared" si="1446"/>
        <v>10.58671967137796</v>
      </c>
      <c r="DH337" s="4">
        <f t="shared" si="1249"/>
        <v>0.19951175728678291</v>
      </c>
      <c r="DI337" s="4">
        <f t="shared" si="1447"/>
        <v>5.5558282405833204</v>
      </c>
      <c r="DJ337" s="4">
        <f t="shared" si="1448"/>
        <v>8.4575763623866695</v>
      </c>
      <c r="DK337" s="4">
        <f t="shared" si="1250"/>
        <v>8.8014216716952376</v>
      </c>
      <c r="DL337" s="38">
        <f t="shared" si="1251"/>
        <v>874.78655924153691</v>
      </c>
      <c r="DM337" s="4" t="e">
        <f t="shared" si="1449"/>
        <v>#REF!</v>
      </c>
      <c r="DN337" s="4">
        <f t="shared" si="1252"/>
        <v>3.2403703492039297</v>
      </c>
      <c r="DO337" s="4">
        <f t="shared" si="1309"/>
        <v>415.50536150678073</v>
      </c>
      <c r="DS337" s="4">
        <f t="shared" si="1253"/>
        <v>0.85</v>
      </c>
      <c r="DT337" s="4">
        <f t="shared" si="1254"/>
        <v>0.85</v>
      </c>
      <c r="DU337" s="4">
        <f t="shared" si="1255"/>
        <v>1</v>
      </c>
      <c r="DV337" s="4">
        <f t="shared" si="1450"/>
        <v>0.85</v>
      </c>
      <c r="DX337" s="4">
        <f t="shared" si="1256"/>
        <v>874.59407711532731</v>
      </c>
      <c r="DY337" s="25">
        <f t="shared" si="1146"/>
        <v>412.80136504982062</v>
      </c>
      <c r="EA337" s="4">
        <f t="shared" si="1147"/>
        <v>0.72249999999999992</v>
      </c>
      <c r="EB337" s="4">
        <f t="shared" si="1257"/>
        <v>10.58671967137796</v>
      </c>
      <c r="EE337" s="4">
        <f t="shared" si="1258"/>
        <v>82.305406869779816</v>
      </c>
      <c r="EF337" s="4">
        <f t="shared" si="1451"/>
        <v>3.2403703492039302</v>
      </c>
      <c r="EG337" s="4">
        <f t="shared" si="1259"/>
        <v>9.1409986995560882E-2</v>
      </c>
      <c r="EJ337" s="4">
        <f t="shared" si="1452"/>
        <v>9.1409986995560882E-2</v>
      </c>
      <c r="EK337" s="4">
        <f t="shared" si="1260"/>
        <v>0.19917880934780813</v>
      </c>
      <c r="EL337" s="4">
        <f t="shared" si="1453"/>
        <v>5.5521177254647478</v>
      </c>
      <c r="EM337" s="4">
        <f t="shared" si="1454"/>
        <v>8.4563691657379376</v>
      </c>
      <c r="EN337" s="4" t="e">
        <f t="shared" si="1455"/>
        <v>#REF!</v>
      </c>
      <c r="EO337" s="4" t="e">
        <f t="shared" si="1456"/>
        <v>#REF!</v>
      </c>
      <c r="EP337" s="4" t="e">
        <f t="shared" si="1261"/>
        <v>#REF!</v>
      </c>
      <c r="EQ337" s="4" t="e">
        <f t="shared" si="1457"/>
        <v>#REF!</v>
      </c>
      <c r="ER337" s="4" t="e">
        <f t="shared" si="1262"/>
        <v>#REF!</v>
      </c>
      <c r="FA337" s="23" t="e">
        <f t="shared" si="1383"/>
        <v>#REF!</v>
      </c>
      <c r="FB337" s="23" t="e">
        <f t="shared" si="1384"/>
        <v>#REF!</v>
      </c>
      <c r="FC337" s="23">
        <f t="shared" si="1317"/>
        <v>1.4</v>
      </c>
      <c r="FD337" s="23" t="e">
        <f t="shared" si="1385"/>
        <v>#REF!</v>
      </c>
      <c r="FE337" s="23">
        <f t="shared" si="1386"/>
        <v>1.2</v>
      </c>
      <c r="FF337" s="23">
        <f t="shared" si="1387"/>
        <v>1.2</v>
      </c>
      <c r="FG337" s="23">
        <f t="shared" si="1266"/>
        <v>0</v>
      </c>
      <c r="FH337" s="23"/>
      <c r="FR337" s="4">
        <f t="shared" si="1122"/>
        <v>1</v>
      </c>
      <c r="FS337" s="4">
        <f t="shared" si="1123"/>
        <v>0.58333333333333326</v>
      </c>
      <c r="FT337" s="4">
        <f t="shared" si="1124"/>
        <v>0</v>
      </c>
      <c r="FU337" s="4">
        <f t="shared" si="1125"/>
        <v>719.45777971565906</v>
      </c>
    </row>
    <row r="338" spans="2:177" ht="12" customHeight="1" x14ac:dyDescent="0.3">
      <c r="B338" s="24"/>
      <c r="C338" s="7" t="s">
        <v>477</v>
      </c>
      <c r="D338" s="38">
        <f t="shared" si="1388"/>
        <v>827.58620689655174</v>
      </c>
      <c r="E338" s="38">
        <f>14.54*25.4</f>
        <v>369.31599999999997</v>
      </c>
      <c r="F338" s="38">
        <f>10180/145</f>
        <v>70.206896551724142</v>
      </c>
      <c r="G338" s="38">
        <f t="shared" si="1341"/>
        <v>25.4</v>
      </c>
      <c r="H338" s="38">
        <f>20*25.4</f>
        <v>508</v>
      </c>
      <c r="I338" s="38">
        <f t="shared" si="1345"/>
        <v>63.5</v>
      </c>
      <c r="J338" s="39">
        <f>3*25.4</f>
        <v>76.199999999999989</v>
      </c>
      <c r="K338" s="7">
        <f t="shared" si="1339"/>
        <v>152.4</v>
      </c>
      <c r="L338" s="38">
        <v>3</v>
      </c>
      <c r="M338" s="4">
        <f t="shared" si="1357"/>
        <v>260.34999999999997</v>
      </c>
      <c r="N338" s="7">
        <f t="shared" si="1224"/>
        <v>3</v>
      </c>
      <c r="O338" s="7">
        <f t="shared" si="1225"/>
        <v>3</v>
      </c>
      <c r="P338" s="38">
        <v>9.5</v>
      </c>
      <c r="Q338" s="4">
        <f t="shared" si="1342"/>
        <v>9.5</v>
      </c>
      <c r="R338" s="4">
        <f t="shared" si="1226"/>
        <v>10.5</v>
      </c>
      <c r="S338" s="7">
        <f t="shared" si="1227"/>
        <v>82.305406869779816</v>
      </c>
      <c r="V338" s="38">
        <f t="shared" si="1395"/>
        <v>989.65517241379314</v>
      </c>
      <c r="W338" s="4">
        <v>143.5</v>
      </c>
      <c r="X338" s="4">
        <f t="shared" si="1228"/>
        <v>1.0877385129806194</v>
      </c>
      <c r="Y338" s="38">
        <f>0.5*25.4</f>
        <v>12.7</v>
      </c>
      <c r="Z338" s="38">
        <v>4</v>
      </c>
      <c r="AA338" s="39">
        <f>6*25.4</f>
        <v>152.39999999999998</v>
      </c>
      <c r="AB338" s="39">
        <v>1</v>
      </c>
      <c r="AC338" s="39">
        <v>1</v>
      </c>
      <c r="AD338" s="7"/>
      <c r="AE338" s="4">
        <f t="shared" si="1229"/>
        <v>369.31599999999997</v>
      </c>
      <c r="AF338" s="4">
        <f t="shared" si="1230"/>
        <v>0.45850527281063735</v>
      </c>
      <c r="AG338" s="4">
        <f t="shared" si="1231"/>
        <v>391.20869898560869</v>
      </c>
      <c r="AH338" s="4">
        <f t="shared" si="1232"/>
        <v>0.74126547455295733</v>
      </c>
      <c r="AI338" s="4">
        <v>1.25</v>
      </c>
      <c r="AJ338" s="4">
        <f t="shared" si="1154"/>
        <v>2.5</v>
      </c>
      <c r="AK338" s="38">
        <f t="shared" si="1340"/>
        <v>415.50536150678056</v>
      </c>
      <c r="AL338" s="38">
        <f t="shared" si="1264"/>
        <v>415.50536150678056</v>
      </c>
      <c r="AM338" s="38">
        <f t="shared" si="1233"/>
        <v>4.615452125415529</v>
      </c>
      <c r="AN338" s="38">
        <f t="shared" si="1161"/>
        <v>415.50536150678073</v>
      </c>
      <c r="AO338" s="38">
        <f t="shared" si="1115"/>
        <v>0.99999999999999956</v>
      </c>
      <c r="AP338" s="38">
        <f t="shared" si="1162"/>
        <v>3.1247566190650464</v>
      </c>
      <c r="AQ338" s="4">
        <f t="shared" si="1163"/>
        <v>0</v>
      </c>
      <c r="AR338" s="4" t="e">
        <f>#REF!/G338*F338^0.5/0.19</f>
        <v>#REF!</v>
      </c>
      <c r="AS338" s="4">
        <f t="shared" si="1234"/>
        <v>1</v>
      </c>
      <c r="AT338" s="38">
        <f t="shared" si="1235"/>
        <v>1298.3531286253281</v>
      </c>
      <c r="AU338" s="4">
        <f t="shared" si="1236"/>
        <v>0.3</v>
      </c>
      <c r="AV338" s="4" t="e">
        <f>AU338*D338*#REF!/(D338*G338/2.75/F338^0.5)</f>
        <v>#REF!</v>
      </c>
      <c r="AW338" s="4" t="e">
        <f t="shared" si="1431"/>
        <v>#REF!</v>
      </c>
      <c r="AY338" s="4">
        <f t="shared" si="1237"/>
        <v>1.5</v>
      </c>
      <c r="AZ338" s="4" t="e">
        <f>(3*#REF!+30)*AY338*F338^0.5</f>
        <v>#REF!</v>
      </c>
      <c r="BB338" s="4">
        <f t="shared" si="1238"/>
        <v>1245.2794285929851</v>
      </c>
      <c r="BC338" s="4">
        <f t="shared" si="1464"/>
        <v>0</v>
      </c>
      <c r="BD338" s="4">
        <f t="shared" si="1432"/>
        <v>0</v>
      </c>
      <c r="BL338" s="4">
        <f t="shared" si="1239"/>
        <v>63.5</v>
      </c>
      <c r="BP338" s="9"/>
      <c r="BR338" s="9"/>
      <c r="BS338" s="9"/>
      <c r="BT338" s="9">
        <f t="shared" si="1240"/>
        <v>63.5</v>
      </c>
      <c r="BU338" s="9">
        <f t="shared" si="1241"/>
        <v>76.2</v>
      </c>
      <c r="BV338" s="9">
        <f t="shared" si="1242"/>
        <v>1.6249768986352224</v>
      </c>
      <c r="BW338" s="40">
        <f t="shared" si="1343"/>
        <v>20</v>
      </c>
      <c r="BX338" s="9">
        <f t="shared" si="1243"/>
        <v>0.05</v>
      </c>
      <c r="BY338" s="9">
        <f t="shared" si="1433"/>
        <v>0.8</v>
      </c>
      <c r="BZ338" s="9">
        <f t="shared" si="1244"/>
        <v>0.99524931562137331</v>
      </c>
      <c r="CA338" s="9">
        <f t="shared" si="1245"/>
        <v>0.68</v>
      </c>
      <c r="CB338" s="9">
        <f t="shared" si="1246"/>
        <v>1.9847176531283015</v>
      </c>
      <c r="CC338" s="9">
        <f t="shared" si="1247"/>
        <v>4.8128944591496454</v>
      </c>
      <c r="CD338" s="40">
        <v>1</v>
      </c>
      <c r="CE338" s="9" t="e">
        <f>4*CC338*#REF!+60*CC338</f>
        <v>#REF!</v>
      </c>
      <c r="CG338" s="4" t="e">
        <f t="shared" si="1434"/>
        <v>#REF!</v>
      </c>
      <c r="CH338" s="4" t="e">
        <f t="shared" si="1435"/>
        <v>#REF!</v>
      </c>
      <c r="CI338" s="4" t="e">
        <f t="shared" si="1436"/>
        <v>#REF!</v>
      </c>
      <c r="CJ338" s="4" t="e">
        <f t="shared" si="1437"/>
        <v>#REF!</v>
      </c>
      <c r="CK338" s="4">
        <f t="shared" si="1438"/>
        <v>1.0877385129806194</v>
      </c>
      <c r="CL338" s="4">
        <f t="shared" si="1439"/>
        <v>1.0851045143939175</v>
      </c>
      <c r="CM338" s="4">
        <f t="shared" si="1310"/>
        <v>1.2104901444923288</v>
      </c>
      <c r="CN338" s="4">
        <f t="shared" si="1344"/>
        <v>4</v>
      </c>
      <c r="CU338" s="4" t="e">
        <f t="shared" ref="CU338" si="1471">CG338</f>
        <v>#REF!</v>
      </c>
      <c r="CV338" s="4" t="e">
        <f t="shared" ref="CV338" si="1472">CH338</f>
        <v>#REF!</v>
      </c>
      <c r="CW338" s="4" t="e">
        <f t="shared" ref="CW338" si="1473">CJ338</f>
        <v>#REF!</v>
      </c>
      <c r="CX338" s="4">
        <f t="shared" ref="CX338" si="1474">CM338</f>
        <v>1.2104901444923288</v>
      </c>
      <c r="CY338" s="4">
        <f t="shared" ref="CY338" si="1475">CK338</f>
        <v>1.0877385129806194</v>
      </c>
      <c r="CZ338" s="4">
        <f t="shared" ref="CZ338" si="1476">CL338</f>
        <v>1.0851045143939175</v>
      </c>
      <c r="DC338" s="4" t="e">
        <f>#REF!</f>
        <v>#REF!</v>
      </c>
      <c r="DF338" s="4">
        <f t="shared" si="1248"/>
        <v>3.3591114581024516E-5</v>
      </c>
      <c r="DG338" s="4">
        <f t="shared" si="1446"/>
        <v>11.445102347435631</v>
      </c>
      <c r="DH338" s="4">
        <f t="shared" si="1249"/>
        <v>0.19951175728678291</v>
      </c>
      <c r="DI338" s="4">
        <f t="shared" si="1447"/>
        <v>6.0063008006306164</v>
      </c>
      <c r="DJ338" s="4">
        <f t="shared" si="1448"/>
        <v>9.1433257971747768</v>
      </c>
      <c r="DK338" s="4">
        <f t="shared" si="1250"/>
        <v>9.3639241751610225</v>
      </c>
      <c r="DL338" s="38">
        <f t="shared" si="1251"/>
        <v>909.82819915233267</v>
      </c>
      <c r="DM338" s="4" t="e">
        <f t="shared" si="1449"/>
        <v>#REF!</v>
      </c>
      <c r="DN338" s="4">
        <f t="shared" si="1252"/>
        <v>3.2403703492039297</v>
      </c>
      <c r="DO338" s="4">
        <f t="shared" si="1309"/>
        <v>415.50536150678073</v>
      </c>
      <c r="DS338" s="4">
        <f t="shared" si="1253"/>
        <v>0.85</v>
      </c>
      <c r="DT338" s="4">
        <f t="shared" si="1254"/>
        <v>0.85</v>
      </c>
      <c r="DU338" s="4">
        <f t="shared" si="1255"/>
        <v>0.92500000000000004</v>
      </c>
      <c r="DV338" s="4">
        <f t="shared" si="1450"/>
        <v>0.78625</v>
      </c>
      <c r="DX338" s="4">
        <f t="shared" si="1256"/>
        <v>912.03672944496282</v>
      </c>
      <c r="DY338" s="25">
        <f t="shared" si="1146"/>
        <v>412.80136504982062</v>
      </c>
      <c r="EA338" s="4">
        <f t="shared" si="1147"/>
        <v>0.66831249999999998</v>
      </c>
      <c r="EB338" s="4">
        <f t="shared" si="1257"/>
        <v>11.445102347435631</v>
      </c>
      <c r="EE338" s="4">
        <f t="shared" si="1258"/>
        <v>82.305406869779816</v>
      </c>
      <c r="EF338" s="4">
        <f t="shared" si="1451"/>
        <v>3.2403703492039302</v>
      </c>
      <c r="EG338" s="4">
        <f t="shared" si="1259"/>
        <v>9.1409986995560882E-2</v>
      </c>
      <c r="EJ338" s="4">
        <f t="shared" si="1452"/>
        <v>9.1409986995560882E-2</v>
      </c>
      <c r="EK338" s="4">
        <f t="shared" si="1260"/>
        <v>0.19917880934780813</v>
      </c>
      <c r="EL338" s="4">
        <f t="shared" si="1453"/>
        <v>6.0022894329348615</v>
      </c>
      <c r="EM338" s="4">
        <f t="shared" si="1454"/>
        <v>9.1420207197166885</v>
      </c>
      <c r="EN338" s="4" t="e">
        <f t="shared" si="1455"/>
        <v>#REF!</v>
      </c>
      <c r="EO338" s="4" t="e">
        <f t="shared" si="1456"/>
        <v>#REF!</v>
      </c>
      <c r="EP338" s="4" t="e">
        <f t="shared" si="1261"/>
        <v>#REF!</v>
      </c>
      <c r="EQ338" s="4" t="e">
        <f t="shared" si="1457"/>
        <v>#REF!</v>
      </c>
      <c r="ER338" s="4" t="e">
        <f t="shared" si="1262"/>
        <v>#REF!</v>
      </c>
      <c r="FA338" s="23" t="e">
        <f t="shared" si="1383"/>
        <v>#REF!</v>
      </c>
      <c r="FB338" s="23" t="e">
        <f t="shared" si="1384"/>
        <v>#REF!</v>
      </c>
      <c r="FC338" s="23">
        <f t="shared" si="1317"/>
        <v>1.4</v>
      </c>
      <c r="FD338" s="23" t="e">
        <f t="shared" si="1385"/>
        <v>#REF!</v>
      </c>
      <c r="FE338" s="23">
        <f t="shared" si="1386"/>
        <v>1.2</v>
      </c>
      <c r="FF338" s="23">
        <f t="shared" si="1387"/>
        <v>1.2</v>
      </c>
      <c r="FG338" s="23">
        <f t="shared" si="1266"/>
        <v>0</v>
      </c>
      <c r="FH338" s="23"/>
      <c r="FR338" s="4">
        <f t="shared" si="1122"/>
        <v>1</v>
      </c>
      <c r="FS338" s="4">
        <f t="shared" si="1123"/>
        <v>0.51333333333333342</v>
      </c>
      <c r="FT338" s="4">
        <f t="shared" si="1124"/>
        <v>0.16666666666666669</v>
      </c>
      <c r="FU338" s="4">
        <f t="shared" si="1125"/>
        <v>817.56565876779416</v>
      </c>
    </row>
    <row r="339" spans="2:177" ht="12" customHeight="1" x14ac:dyDescent="0.3">
      <c r="B339" s="24" t="s">
        <v>478</v>
      </c>
      <c r="C339" s="7" t="s">
        <v>479</v>
      </c>
      <c r="D339" s="38">
        <f>129/0.145</f>
        <v>889.65517241379314</v>
      </c>
      <c r="E339" s="38">
        <f>12.06*25.4</f>
        <v>306.32400000000001</v>
      </c>
      <c r="F339" s="38">
        <f>12080/145</f>
        <v>83.310344827586206</v>
      </c>
      <c r="G339" s="38">
        <f t="shared" si="1341"/>
        <v>25.4</v>
      </c>
      <c r="H339" s="38">
        <f>15*25.4</f>
        <v>381</v>
      </c>
      <c r="I339" s="38">
        <f>2.5*25.4</f>
        <v>63.5</v>
      </c>
      <c r="J339" s="39">
        <f>3*25.4</f>
        <v>76.199999999999989</v>
      </c>
      <c r="K339" s="7">
        <f t="shared" si="1339"/>
        <v>203.2</v>
      </c>
      <c r="L339" s="38">
        <v>2</v>
      </c>
      <c r="M339" s="4">
        <f t="shared" si="1357"/>
        <v>260.34999999999997</v>
      </c>
      <c r="N339" s="7">
        <f t="shared" si="1224"/>
        <v>3</v>
      </c>
      <c r="O339" s="7">
        <f t="shared" si="1225"/>
        <v>3</v>
      </c>
      <c r="P339" s="38">
        <v>4.0999999999999996</v>
      </c>
      <c r="Q339" s="4">
        <f t="shared" si="1342"/>
        <v>4.0999999999999996</v>
      </c>
      <c r="R339" s="4">
        <f t="shared" si="1226"/>
        <v>5.0999999999999996</v>
      </c>
      <c r="S339" s="7">
        <f t="shared" si="1227"/>
        <v>57.361276136431961</v>
      </c>
      <c r="V339" s="38">
        <f t="shared" si="1395"/>
        <v>690.34482758620686</v>
      </c>
      <c r="W339" s="4">
        <v>100.1</v>
      </c>
      <c r="X339" s="4">
        <f t="shared" si="1228"/>
        <v>0.77596899224806193</v>
      </c>
      <c r="Y339" s="38"/>
      <c r="Z339" s="38"/>
      <c r="AA339" s="39">
        <v>1</v>
      </c>
      <c r="AB339" s="39"/>
      <c r="AC339" s="39"/>
      <c r="AD339" s="7"/>
      <c r="AE339" s="4">
        <f t="shared" si="1229"/>
        <v>306.32400000000001</v>
      </c>
      <c r="AF339" s="4">
        <f t="shared" si="1230"/>
        <v>0.41459369817578773</v>
      </c>
      <c r="AG339" s="4">
        <f t="shared" si="1231"/>
        <v>482.87385616153779</v>
      </c>
      <c r="AH339" s="4">
        <f t="shared" si="1232"/>
        <v>0.74975124378109448</v>
      </c>
      <c r="AI339" s="4">
        <v>1.25</v>
      </c>
      <c r="AJ339" s="4">
        <f t="shared" si="1154"/>
        <v>2.5</v>
      </c>
      <c r="AK339" s="38">
        <f t="shared" si="1340"/>
        <v>469.05482256230084</v>
      </c>
      <c r="AL339" s="38">
        <f t="shared" si="1264"/>
        <v>469.05482256230084</v>
      </c>
      <c r="AM339" s="38">
        <f t="shared" si="1233"/>
        <v>4.9090792795570026</v>
      </c>
      <c r="AN339" s="38">
        <f t="shared" si="1161"/>
        <v>469.05482256230096</v>
      </c>
      <c r="AO339" s="38">
        <f t="shared" si="1115"/>
        <v>0.99999999999999978</v>
      </c>
      <c r="AP339" s="38">
        <f t="shared" si="1162"/>
        <v>2.1578363526430446</v>
      </c>
      <c r="AQ339" s="4">
        <f t="shared" si="1163"/>
        <v>0</v>
      </c>
      <c r="AR339" s="4" t="e">
        <f>#REF!/G339*F339^0.5/0.19</f>
        <v>#REF!</v>
      </c>
      <c r="AS339" s="4">
        <f t="shared" si="1234"/>
        <v>1</v>
      </c>
      <c r="AT339" s="38">
        <f t="shared" si="1235"/>
        <v>1012.143547507466</v>
      </c>
      <c r="AU339" s="4">
        <f t="shared" si="1236"/>
        <v>0.42600000000000005</v>
      </c>
      <c r="AV339" s="4" t="e">
        <f>AU339*D339*#REF!/(D339*G339/2.75/F339^0.5)</f>
        <v>#REF!</v>
      </c>
      <c r="AW339" s="4" t="e">
        <f t="shared" si="1431"/>
        <v>#REF!</v>
      </c>
      <c r="AY339" s="4">
        <f t="shared" si="1237"/>
        <v>1.375</v>
      </c>
      <c r="AZ339" s="4" t="e">
        <f>(3*#REF!+30)*AY339*F339^0.5</f>
        <v>#REF!</v>
      </c>
      <c r="BB339" s="4">
        <f t="shared" si="1238"/>
        <v>970.76943914993626</v>
      </c>
      <c r="BC339" s="4">
        <f t="shared" si="1464"/>
        <v>0</v>
      </c>
      <c r="BD339" s="4">
        <f t="shared" si="1432"/>
        <v>0</v>
      </c>
      <c r="BL339" s="4">
        <f t="shared" si="1239"/>
        <v>63.5</v>
      </c>
      <c r="BP339" s="9"/>
      <c r="BR339" s="9"/>
      <c r="BS339" s="9"/>
      <c r="BT339" s="9">
        <f t="shared" si="1240"/>
        <v>63.5</v>
      </c>
      <c r="BU339" s="9">
        <f t="shared" si="1241"/>
        <v>101.6</v>
      </c>
      <c r="BV339" s="9">
        <f t="shared" si="1242"/>
        <v>1.6966333587625264</v>
      </c>
      <c r="BW339" s="40">
        <f t="shared" si="1343"/>
        <v>0</v>
      </c>
      <c r="BX339" s="9">
        <f t="shared" si="1243"/>
        <v>0</v>
      </c>
      <c r="BY339" s="9">
        <f t="shared" si="1433"/>
        <v>0</v>
      </c>
      <c r="BZ339" s="9">
        <f t="shared" si="1244"/>
        <v>0.99524931562137331</v>
      </c>
      <c r="CA339" s="9">
        <f t="shared" si="1245"/>
        <v>0.68</v>
      </c>
      <c r="CB339" s="9">
        <f t="shared" si="1246"/>
        <v>2.1620130482705213</v>
      </c>
      <c r="CC339" s="9">
        <f t="shared" si="1247"/>
        <v>3.6681434597756226</v>
      </c>
      <c r="CD339" s="40">
        <v>1</v>
      </c>
      <c r="CE339" s="9" t="e">
        <f>4*CC339*#REF!+60*CC339</f>
        <v>#REF!</v>
      </c>
      <c r="CG339" s="4" t="e">
        <f t="shared" si="1434"/>
        <v>#REF!</v>
      </c>
      <c r="CH339" s="4" t="e">
        <f t="shared" si="1435"/>
        <v>#REF!</v>
      </c>
      <c r="CI339" s="4" t="e">
        <f t="shared" si="1436"/>
        <v>#REF!</v>
      </c>
      <c r="CJ339" s="4" t="e">
        <f t="shared" si="1437"/>
        <v>#REF!</v>
      </c>
      <c r="CK339" s="4">
        <f t="shared" si="1438"/>
        <v>0.77596899224806193</v>
      </c>
      <c r="CL339" s="4">
        <f t="shared" si="1439"/>
        <v>0.78234204586737066</v>
      </c>
      <c r="CM339" s="4">
        <f t="shared" si="1310"/>
        <v>0.9500605438440255</v>
      </c>
      <c r="CN339" s="4">
        <f t="shared" si="1344"/>
        <v>0</v>
      </c>
      <c r="CO339" s="4" t="e">
        <f t="shared" ref="CO339:CO340" si="1477">CG339</f>
        <v>#REF!</v>
      </c>
      <c r="CP339" s="4" t="e">
        <f t="shared" ref="CP339:CP340" si="1478">CH339</f>
        <v>#REF!</v>
      </c>
      <c r="CQ339" s="4" t="e">
        <f t="shared" ref="CQ339:CQ340" si="1479">CJ339</f>
        <v>#REF!</v>
      </c>
      <c r="CR339" s="4">
        <f t="shared" ref="CR339:CR340" si="1480">CM339</f>
        <v>0.9500605438440255</v>
      </c>
      <c r="CS339" s="4">
        <f t="shared" ref="CS339:CS340" si="1481">CK339</f>
        <v>0.77596899224806193</v>
      </c>
      <c r="CT339" s="4">
        <f t="shared" ref="CT339:CT340" si="1482">CL339</f>
        <v>0.78234204586737066</v>
      </c>
      <c r="DC339" s="4" t="e">
        <f>#REF!</f>
        <v>#REF!</v>
      </c>
      <c r="DF339" s="4">
        <f t="shared" si="1248"/>
        <v>3.0145841666072216E-5</v>
      </c>
      <c r="DG339" s="4">
        <f t="shared" si="1446"/>
        <v>11.53243436507174</v>
      </c>
      <c r="DH339" s="4">
        <f t="shared" si="1249"/>
        <v>0.30649719060126668</v>
      </c>
      <c r="DI339" s="4">
        <f t="shared" si="1447"/>
        <v>7.1860724392438087</v>
      </c>
      <c r="DJ339" s="4">
        <f t="shared" si="1448"/>
        <v>9.6095226647576446</v>
      </c>
      <c r="DK339" s="4">
        <f t="shared" si="1250"/>
        <v>9.8322689969158361</v>
      </c>
      <c r="DL339" s="38">
        <f t="shared" si="1251"/>
        <v>889.65517241379314</v>
      </c>
      <c r="DM339" s="4" t="e">
        <f t="shared" si="1449"/>
        <v>#REF!</v>
      </c>
      <c r="DN339" s="4">
        <f t="shared" si="1252"/>
        <v>2.2583179581272428</v>
      </c>
      <c r="DO339" s="4">
        <f t="shared" si="1309"/>
        <v>469.05482256230096</v>
      </c>
      <c r="DS339" s="4">
        <f t="shared" si="1253"/>
        <v>0.85</v>
      </c>
      <c r="DT339" s="4">
        <f t="shared" si="1254"/>
        <v>0.85</v>
      </c>
      <c r="DU339" s="4">
        <f t="shared" si="1255"/>
        <v>1</v>
      </c>
      <c r="DV339" s="4">
        <f t="shared" si="1450"/>
        <v>0.85</v>
      </c>
      <c r="DX339" s="4">
        <f t="shared" si="1256"/>
        <v>882.40793299154984</v>
      </c>
      <c r="DY339" s="25">
        <f t="shared" si="1146"/>
        <v>465.16445766325421</v>
      </c>
      <c r="EA339" s="4">
        <f t="shared" si="1147"/>
        <v>0.72249999999999992</v>
      </c>
      <c r="EB339" s="4">
        <f t="shared" si="1257"/>
        <v>11.53243436507174</v>
      </c>
      <c r="EE339" s="4">
        <f t="shared" si="1258"/>
        <v>57.361276136431961</v>
      </c>
      <c r="EF339" s="4">
        <f t="shared" si="1451"/>
        <v>2.2583179581272428</v>
      </c>
      <c r="EG339" s="4">
        <f t="shared" si="1259"/>
        <v>0.15297174803885022</v>
      </c>
      <c r="EJ339" s="4">
        <f t="shared" si="1452"/>
        <v>0.15297174803885022</v>
      </c>
      <c r="EK339" s="4">
        <f t="shared" si="1260"/>
        <v>0.30598570391346419</v>
      </c>
      <c r="EL339" s="4">
        <f t="shared" si="1453"/>
        <v>7.181273149331604</v>
      </c>
      <c r="EM339" s="4">
        <f t="shared" si="1454"/>
        <v>9.607734820159413</v>
      </c>
      <c r="EN339" s="4" t="e">
        <f t="shared" si="1455"/>
        <v>#REF!</v>
      </c>
      <c r="EO339" s="4" t="e">
        <f t="shared" si="1456"/>
        <v>#REF!</v>
      </c>
      <c r="EP339" s="4" t="e">
        <f t="shared" si="1261"/>
        <v>#REF!</v>
      </c>
      <c r="EQ339" s="4" t="e">
        <f t="shared" si="1457"/>
        <v>#REF!</v>
      </c>
      <c r="ER339" s="4" t="e">
        <f t="shared" si="1262"/>
        <v>#REF!</v>
      </c>
      <c r="FA339" s="23" t="e">
        <f t="shared" si="1383"/>
        <v>#REF!</v>
      </c>
      <c r="FB339" s="23" t="e">
        <f t="shared" si="1384"/>
        <v>#REF!</v>
      </c>
      <c r="FC339" s="23">
        <f t="shared" si="1317"/>
        <v>1</v>
      </c>
      <c r="FD339" s="23" t="e">
        <f t="shared" si="1385"/>
        <v>#REF!</v>
      </c>
      <c r="FE339" s="23">
        <f t="shared" si="1386"/>
        <v>0.8</v>
      </c>
      <c r="FF339" s="23">
        <f t="shared" si="1387"/>
        <v>0.8</v>
      </c>
      <c r="FG339" s="23">
        <f t="shared" si="1266"/>
        <v>1</v>
      </c>
      <c r="FH339" s="23"/>
      <c r="FR339" s="4">
        <f t="shared" si="1122"/>
        <v>1</v>
      </c>
      <c r="FS339" s="4">
        <f t="shared" si="1123"/>
        <v>0.5</v>
      </c>
      <c r="FT339" s="4">
        <f t="shared" si="1124"/>
        <v>0</v>
      </c>
      <c r="FU339" s="4">
        <f t="shared" si="1125"/>
        <v>726.63245733057511</v>
      </c>
    </row>
    <row r="340" spans="2:177" ht="12" customHeight="1" x14ac:dyDescent="0.3">
      <c r="B340" s="24"/>
      <c r="C340" s="7" t="s">
        <v>480</v>
      </c>
      <c r="D340" s="38">
        <f t="shared" ref="D340:D350" si="1483">129/0.145</f>
        <v>889.65517241379314</v>
      </c>
      <c r="E340" s="38">
        <f>11.88*25.4</f>
        <v>301.75200000000001</v>
      </c>
      <c r="F340" s="38">
        <f>12080/145</f>
        <v>83.310344827586206</v>
      </c>
      <c r="G340" s="38">
        <f t="shared" si="1341"/>
        <v>25.4</v>
      </c>
      <c r="H340" s="38">
        <f>14.9*25.4</f>
        <v>378.46</v>
      </c>
      <c r="I340" s="38">
        <f>2.5*25.4</f>
        <v>63.5</v>
      </c>
      <c r="J340" s="39">
        <f>3.15*25.4</f>
        <v>80.009999999999991</v>
      </c>
      <c r="K340" s="7">
        <f t="shared" si="1339"/>
        <v>200.65999999999997</v>
      </c>
      <c r="L340" s="38">
        <v>2</v>
      </c>
      <c r="M340" s="4">
        <f t="shared" si="1357"/>
        <v>260.34999999999997</v>
      </c>
      <c r="N340" s="7">
        <f t="shared" si="1224"/>
        <v>3</v>
      </c>
      <c r="O340" s="7">
        <f t="shared" si="1225"/>
        <v>3</v>
      </c>
      <c r="P340" s="38">
        <v>9.1</v>
      </c>
      <c r="Q340" s="4">
        <f t="shared" si="1342"/>
        <v>9.1</v>
      </c>
      <c r="R340" s="4">
        <f t="shared" si="1226"/>
        <v>10.1</v>
      </c>
      <c r="S340" s="7">
        <f t="shared" si="1227"/>
        <v>80.72246279691916</v>
      </c>
      <c r="V340" s="38">
        <f t="shared" si="1395"/>
        <v>667.58620689655174</v>
      </c>
      <c r="W340" s="4">
        <v>96.8</v>
      </c>
      <c r="X340" s="4">
        <f t="shared" si="1228"/>
        <v>0.76884181445606981</v>
      </c>
      <c r="Y340" s="38"/>
      <c r="Z340" s="38"/>
      <c r="AA340" s="39">
        <v>1</v>
      </c>
      <c r="AB340" s="39"/>
      <c r="AC340" s="39"/>
      <c r="AD340" s="7"/>
      <c r="AE340" s="4">
        <f t="shared" si="1229"/>
        <v>301.75200000000001</v>
      </c>
      <c r="AF340" s="4">
        <f t="shared" si="1230"/>
        <v>0.41806958473625139</v>
      </c>
      <c r="AG340" s="4">
        <f t="shared" si="1231"/>
        <v>472.10368644310773</v>
      </c>
      <c r="AH340" s="4">
        <f t="shared" si="1232"/>
        <v>0.75050505050505045</v>
      </c>
      <c r="AI340" s="4">
        <v>1.25</v>
      </c>
      <c r="AJ340" s="4">
        <f t="shared" si="1154"/>
        <v>2.5</v>
      </c>
      <c r="AK340" s="38">
        <f t="shared" si="1340"/>
        <v>462.90258447849288</v>
      </c>
      <c r="AL340" s="38">
        <f t="shared" si="1264"/>
        <v>462.90258447849288</v>
      </c>
      <c r="AM340" s="38">
        <f t="shared" si="1233"/>
        <v>4.9090792795570026</v>
      </c>
      <c r="AN340" s="38">
        <f t="shared" si="1161"/>
        <v>462.90258447849283</v>
      </c>
      <c r="AO340" s="38">
        <f t="shared" ref="AO340:AO403" si="1484">AK340/AN340</f>
        <v>1.0000000000000002</v>
      </c>
      <c r="AP340" s="38">
        <f t="shared" si="1162"/>
        <v>3.2574763629697041</v>
      </c>
      <c r="AQ340" s="4">
        <f t="shared" si="1163"/>
        <v>0</v>
      </c>
      <c r="AR340" s="4" t="e">
        <f>#REF!/G340*F340^0.5/0.19</f>
        <v>#REF!</v>
      </c>
      <c r="AS340" s="4">
        <f t="shared" si="1234"/>
        <v>1</v>
      </c>
      <c r="AT340" s="38">
        <f t="shared" si="1235"/>
        <v>1507.894227296277</v>
      </c>
      <c r="AU340" s="4">
        <f t="shared" si="1236"/>
        <v>0.3</v>
      </c>
      <c r="AV340" s="4" t="e">
        <f>AU340*D340*#REF!/(D340*G340/2.75/F340^0.5)</f>
        <v>#REF!</v>
      </c>
      <c r="AW340" s="4" t="e">
        <f t="shared" si="1431"/>
        <v>#REF!</v>
      </c>
      <c r="AY340" s="4">
        <f t="shared" si="1237"/>
        <v>1.375</v>
      </c>
      <c r="AZ340" s="4" t="e">
        <f>(3*#REF!+30)*AY340*F340^0.5</f>
        <v>#REF!</v>
      </c>
      <c r="BB340" s="4">
        <f t="shared" si="1238"/>
        <v>1446.254967424999</v>
      </c>
      <c r="BC340" s="4">
        <f t="shared" si="1464"/>
        <v>0</v>
      </c>
      <c r="BD340" s="4">
        <f t="shared" si="1432"/>
        <v>0</v>
      </c>
      <c r="BL340" s="4">
        <f t="shared" si="1239"/>
        <v>63.5</v>
      </c>
      <c r="BP340" s="9"/>
      <c r="BR340" s="9"/>
      <c r="BS340" s="9"/>
      <c r="BT340" s="9">
        <f t="shared" si="1240"/>
        <v>63.5</v>
      </c>
      <c r="BU340" s="9">
        <f t="shared" si="1241"/>
        <v>100.32999999999998</v>
      </c>
      <c r="BV340" s="9">
        <f t="shared" si="1242"/>
        <v>1.6934351397132028</v>
      </c>
      <c r="BW340" s="40">
        <f t="shared" si="1343"/>
        <v>0</v>
      </c>
      <c r="BX340" s="9">
        <f t="shared" si="1243"/>
        <v>0</v>
      </c>
      <c r="BY340" s="9">
        <f t="shared" si="1433"/>
        <v>0</v>
      </c>
      <c r="BZ340" s="9">
        <f t="shared" si="1244"/>
        <v>0.99524931562137331</v>
      </c>
      <c r="CA340" s="9">
        <f t="shared" si="1245"/>
        <v>0.68</v>
      </c>
      <c r="CB340" s="9">
        <f t="shared" si="1246"/>
        <v>2.1620130482705213</v>
      </c>
      <c r="CC340" s="9">
        <f t="shared" si="1247"/>
        <v>3.6612288684597578</v>
      </c>
      <c r="CD340" s="40">
        <v>1</v>
      </c>
      <c r="CE340" s="9" t="e">
        <f>4*CC340*#REF!+60*CC340</f>
        <v>#REF!</v>
      </c>
      <c r="CG340" s="4" t="e">
        <f t="shared" si="1434"/>
        <v>#REF!</v>
      </c>
      <c r="CH340" s="4" t="e">
        <f t="shared" si="1435"/>
        <v>#REF!</v>
      </c>
      <c r="CI340" s="4" t="e">
        <f t="shared" si="1436"/>
        <v>#REF!</v>
      </c>
      <c r="CJ340" s="4" t="e">
        <f t="shared" si="1437"/>
        <v>#REF!</v>
      </c>
      <c r="CK340" s="4">
        <f t="shared" si="1438"/>
        <v>0.76884181445606981</v>
      </c>
      <c r="CL340" s="4">
        <f t="shared" si="1439"/>
        <v>0.76733459610941368</v>
      </c>
      <c r="CM340" s="4">
        <f t="shared" si="1310"/>
        <v>0.93266016758314585</v>
      </c>
      <c r="CN340" s="4">
        <f t="shared" si="1344"/>
        <v>0</v>
      </c>
      <c r="CO340" s="4" t="e">
        <f t="shared" si="1477"/>
        <v>#REF!</v>
      </c>
      <c r="CP340" s="4" t="e">
        <f t="shared" si="1478"/>
        <v>#REF!</v>
      </c>
      <c r="CQ340" s="4" t="e">
        <f t="shared" si="1479"/>
        <v>#REF!</v>
      </c>
      <c r="CR340" s="4">
        <f t="shared" si="1480"/>
        <v>0.93266016758314585</v>
      </c>
      <c r="CS340" s="4">
        <f t="shared" si="1481"/>
        <v>0.76884181445606981</v>
      </c>
      <c r="CT340" s="4">
        <f t="shared" si="1482"/>
        <v>0.76733459610941368</v>
      </c>
      <c r="DC340" s="4" t="e">
        <f>#REF!</f>
        <v>#REF!</v>
      </c>
      <c r="DF340" s="4">
        <f t="shared" si="1248"/>
        <v>2.9695903730757705E-5</v>
      </c>
      <c r="DG340" s="4">
        <f t="shared" si="1446"/>
        <v>11.53243436507174</v>
      </c>
      <c r="DH340" s="4">
        <f t="shared" si="1249"/>
        <v>0.19178320025437295</v>
      </c>
      <c r="DI340" s="4">
        <f t="shared" si="1447"/>
        <v>5.9572416349546407</v>
      </c>
      <c r="DJ340" s="4">
        <f t="shared" si="1448"/>
        <v>9.1824155376039904</v>
      </c>
      <c r="DK340" s="4">
        <f t="shared" si="1250"/>
        <v>10.028307708666377</v>
      </c>
      <c r="DL340" s="38">
        <f t="shared" si="1251"/>
        <v>868.30111779085132</v>
      </c>
      <c r="DM340" s="4" t="e">
        <f t="shared" si="1449"/>
        <v>#REF!</v>
      </c>
      <c r="DN340" s="4">
        <f t="shared" si="1252"/>
        <v>3.1780497164141401</v>
      </c>
      <c r="DO340" s="4">
        <f t="shared" si="1309"/>
        <v>462.90258447849283</v>
      </c>
      <c r="DS340" s="4">
        <f t="shared" si="1253"/>
        <v>0.85</v>
      </c>
      <c r="DT340" s="4">
        <f t="shared" si="1254"/>
        <v>0.85</v>
      </c>
      <c r="DU340" s="4">
        <f t="shared" si="1255"/>
        <v>1</v>
      </c>
      <c r="DV340" s="4">
        <f t="shared" si="1450"/>
        <v>0.85</v>
      </c>
      <c r="DX340" s="4">
        <f t="shared" si="1256"/>
        <v>870.00665717587572</v>
      </c>
      <c r="DY340" s="25">
        <f t="shared" si="1146"/>
        <v>458.99069640471879</v>
      </c>
      <c r="EA340" s="4">
        <f t="shared" si="1147"/>
        <v>0.72249999999999992</v>
      </c>
      <c r="EB340" s="4">
        <f t="shared" si="1257"/>
        <v>11.53243436507174</v>
      </c>
      <c r="EE340" s="4">
        <f t="shared" si="1258"/>
        <v>80.72246279691916</v>
      </c>
      <c r="EF340" s="4">
        <f t="shared" si="1451"/>
        <v>3.1780497164141406</v>
      </c>
      <c r="EG340" s="4">
        <f t="shared" si="1259"/>
        <v>9.5718369652407015E-2</v>
      </c>
      <c r="EJ340" s="4">
        <f t="shared" si="1452"/>
        <v>9.5718369652407015E-2</v>
      </c>
      <c r="EK340" s="4">
        <f t="shared" si="1260"/>
        <v>0.19146314983667795</v>
      </c>
      <c r="EL340" s="4">
        <f t="shared" si="1453"/>
        <v>5.9532630319103585</v>
      </c>
      <c r="EM340" s="4">
        <f t="shared" si="1454"/>
        <v>9.1811381006820749</v>
      </c>
      <c r="EN340" s="4" t="e">
        <f t="shared" si="1455"/>
        <v>#REF!</v>
      </c>
      <c r="EO340" s="4" t="e">
        <f t="shared" si="1456"/>
        <v>#REF!</v>
      </c>
      <c r="EP340" s="4" t="e">
        <f t="shared" si="1261"/>
        <v>#REF!</v>
      </c>
      <c r="EQ340" s="4" t="e">
        <f t="shared" si="1457"/>
        <v>#REF!</v>
      </c>
      <c r="ER340" s="4" t="e">
        <f t="shared" si="1262"/>
        <v>#REF!</v>
      </c>
      <c r="FA340" s="23" t="e">
        <f t="shared" si="1383"/>
        <v>#REF!</v>
      </c>
      <c r="FB340" s="23" t="e">
        <f t="shared" si="1384"/>
        <v>#REF!</v>
      </c>
      <c r="FC340" s="23">
        <f t="shared" si="1317"/>
        <v>1</v>
      </c>
      <c r="FD340" s="23" t="e">
        <f t="shared" si="1385"/>
        <v>#REF!</v>
      </c>
      <c r="FE340" s="23">
        <f t="shared" si="1386"/>
        <v>0.8</v>
      </c>
      <c r="FF340" s="23">
        <f t="shared" si="1387"/>
        <v>0.8</v>
      </c>
      <c r="FG340" s="23">
        <f t="shared" si="1266"/>
        <v>1</v>
      </c>
      <c r="FH340" s="23"/>
      <c r="FR340" s="4">
        <f t="shared" ref="FR340:FR403" si="1485">IF(I340&gt;=2.5*25.4,1,1.25)</f>
        <v>1</v>
      </c>
      <c r="FS340" s="4">
        <f t="shared" ref="FS340:FS403" si="1486">IF(AA340&gt;1, 0.05*(18-MIN(8,(K340+G340)/G340))*(1-48000/MAX(60000,(D340*145))*(G340/25.4)^0.75*FT340), 1/12*(14-MIN(8,(K340+G340)/G340)))</f>
        <v>0.5</v>
      </c>
      <c r="FT340" s="4">
        <f t="shared" ref="FT340:FT403" si="1487">MIN(0.3, Y340^2*PI()/4*2*AB340/(G340^2*PI()/4*L340))</f>
        <v>0</v>
      </c>
      <c r="FU340" s="4">
        <f t="shared" ref="FU340:FU403" si="1488">(E340/25.4)/(G340/25.4)^1.5/0.0024*(F340*145)^0.25/FR340/FS340/145</f>
        <v>715.78719677340246</v>
      </c>
    </row>
    <row r="341" spans="2:177" ht="12" customHeight="1" x14ac:dyDescent="0.3">
      <c r="B341" s="24"/>
      <c r="C341" s="7" t="s">
        <v>481</v>
      </c>
      <c r="D341" s="38">
        <f t="shared" si="1483"/>
        <v>889.65517241379314</v>
      </c>
      <c r="E341" s="38">
        <f>11.97*25.4</f>
        <v>304.03800000000001</v>
      </c>
      <c r="F341" s="38">
        <f>12080/145</f>
        <v>83.310344827586206</v>
      </c>
      <c r="G341" s="38">
        <f t="shared" si="1341"/>
        <v>25.4</v>
      </c>
      <c r="H341" s="38">
        <f>14.9*25.4</f>
        <v>378.46</v>
      </c>
      <c r="I341" s="38">
        <f>2.5*25.4</f>
        <v>63.5</v>
      </c>
      <c r="J341" s="39">
        <f>3.15*25.4</f>
        <v>80.009999999999991</v>
      </c>
      <c r="K341" s="7">
        <f t="shared" si="1339"/>
        <v>200.65999999999997</v>
      </c>
      <c r="L341" s="38">
        <v>2</v>
      </c>
      <c r="M341" s="4">
        <f t="shared" si="1357"/>
        <v>260.34999999999997</v>
      </c>
      <c r="N341" s="7">
        <f t="shared" si="1224"/>
        <v>3</v>
      </c>
      <c r="O341" s="7">
        <f t="shared" si="1225"/>
        <v>3</v>
      </c>
      <c r="P341" s="38">
        <v>4.0999999999999996</v>
      </c>
      <c r="Q341" s="4">
        <f t="shared" si="1342"/>
        <v>4.0999999999999996</v>
      </c>
      <c r="R341" s="4">
        <f t="shared" si="1226"/>
        <v>5.0999999999999996</v>
      </c>
      <c r="S341" s="7">
        <f t="shared" si="1227"/>
        <v>57.361276136431961</v>
      </c>
      <c r="V341" s="38">
        <f t="shared" si="1395"/>
        <v>976.55172413793105</v>
      </c>
      <c r="W341" s="4">
        <v>141.6</v>
      </c>
      <c r="X341" s="4">
        <f t="shared" si="1228"/>
        <v>1</v>
      </c>
      <c r="Y341" s="38">
        <f>0.5*25.4</f>
        <v>12.7</v>
      </c>
      <c r="Z341" s="38">
        <v>10</v>
      </c>
      <c r="AA341" s="39">
        <f>3*25.4</f>
        <v>76.199999999999989</v>
      </c>
      <c r="AB341" s="39">
        <v>3</v>
      </c>
      <c r="AC341" s="39">
        <f t="shared" ref="AC341:AC342" si="1489">AB341-1</f>
        <v>2</v>
      </c>
      <c r="AD341" s="7"/>
      <c r="AE341" s="4">
        <f t="shared" si="1229"/>
        <v>304.03800000000001</v>
      </c>
      <c r="AF341" s="4">
        <f t="shared" si="1230"/>
        <v>0.41492620439988864</v>
      </c>
      <c r="AG341" s="4">
        <f t="shared" si="1231"/>
        <v>477.47864890275287</v>
      </c>
      <c r="AH341" s="4">
        <f t="shared" si="1232"/>
        <v>0.75012531328320797</v>
      </c>
      <c r="AI341" s="4">
        <v>1.25</v>
      </c>
      <c r="AJ341" s="4">
        <f t="shared" si="1154"/>
        <v>2.5</v>
      </c>
      <c r="AK341" s="38">
        <f t="shared" si="1340"/>
        <v>464.41759209689883</v>
      </c>
      <c r="AL341" s="38">
        <f t="shared" si="1264"/>
        <v>464.41759209689883</v>
      </c>
      <c r="AM341" s="38">
        <f t="shared" si="1233"/>
        <v>4.9090792795570026</v>
      </c>
      <c r="AN341" s="38">
        <f t="shared" si="1161"/>
        <v>464.41759209689849</v>
      </c>
      <c r="AO341" s="38">
        <f t="shared" si="1484"/>
        <v>1.0000000000000007</v>
      </c>
      <c r="AP341" s="38">
        <f t="shared" si="1162"/>
        <v>2.179382445306437</v>
      </c>
      <c r="AQ341" s="4">
        <f t="shared" si="1163"/>
        <v>0</v>
      </c>
      <c r="AR341" s="4" t="e">
        <f>#REF!/G341*F341^0.5/0.19</f>
        <v>#REF!</v>
      </c>
      <c r="AS341" s="4">
        <f t="shared" si="1234"/>
        <v>1</v>
      </c>
      <c r="AT341" s="38">
        <f t="shared" si="1235"/>
        <v>1012.143547507466</v>
      </c>
      <c r="AU341" s="4">
        <f t="shared" si="1236"/>
        <v>0.42600000000000005</v>
      </c>
      <c r="AV341" s="4" t="e">
        <f>AU341*D341*#REF!/(D341*G341/2.75/F341^0.5)</f>
        <v>#REF!</v>
      </c>
      <c r="AW341" s="4" t="e">
        <f t="shared" si="1431"/>
        <v>#REF!</v>
      </c>
      <c r="AY341" s="4">
        <f t="shared" si="1237"/>
        <v>1.5</v>
      </c>
      <c r="AZ341" s="4" t="e">
        <f>(3*#REF!+30)*AY341*F341^0.5</f>
        <v>#REF!</v>
      </c>
      <c r="BB341" s="4">
        <f t="shared" si="1238"/>
        <v>970.76943914993626</v>
      </c>
      <c r="BC341" s="4">
        <f t="shared" si="1464"/>
        <v>0</v>
      </c>
      <c r="BD341" s="4">
        <f t="shared" si="1432"/>
        <v>0</v>
      </c>
      <c r="BL341" s="4">
        <f t="shared" si="1239"/>
        <v>63.5</v>
      </c>
      <c r="BP341" s="9"/>
      <c r="BR341" s="9"/>
      <c r="BS341" s="9"/>
      <c r="BT341" s="9">
        <f t="shared" si="1240"/>
        <v>63.5</v>
      </c>
      <c r="BU341" s="9">
        <f t="shared" si="1241"/>
        <v>100.32999999999998</v>
      </c>
      <c r="BV341" s="9">
        <f t="shared" si="1242"/>
        <v>1.6934351397132028</v>
      </c>
      <c r="BW341" s="40">
        <f t="shared" si="1343"/>
        <v>20</v>
      </c>
      <c r="BX341" s="9">
        <f t="shared" si="1243"/>
        <v>0.05</v>
      </c>
      <c r="BY341" s="9">
        <f t="shared" si="1433"/>
        <v>0.8</v>
      </c>
      <c r="BZ341" s="9">
        <f t="shared" si="1244"/>
        <v>0.99524931562137331</v>
      </c>
      <c r="CA341" s="9">
        <f t="shared" si="1245"/>
        <v>0.68</v>
      </c>
      <c r="CB341" s="9">
        <f t="shared" si="1246"/>
        <v>2.1620130482705213</v>
      </c>
      <c r="CC341" s="9">
        <f t="shared" si="1247"/>
        <v>5.3908393070761749</v>
      </c>
      <c r="CD341" s="40">
        <v>1</v>
      </c>
      <c r="CE341" s="9" t="e">
        <f>4*CC341*#REF!+60*CC341</f>
        <v>#REF!</v>
      </c>
      <c r="CG341" s="4" t="e">
        <f t="shared" si="1434"/>
        <v>#REF!</v>
      </c>
      <c r="CH341" s="4" t="e">
        <f t="shared" si="1435"/>
        <v>#REF!</v>
      </c>
      <c r="CI341" s="4" t="e">
        <f t="shared" si="1436"/>
        <v>#REF!</v>
      </c>
      <c r="CJ341" s="4" t="e">
        <f t="shared" si="1437"/>
        <v>#REF!</v>
      </c>
      <c r="CK341" s="4">
        <f t="shared" si="1438"/>
        <v>1</v>
      </c>
      <c r="CL341" s="4">
        <f t="shared" si="1439"/>
        <v>1.0136499429452763</v>
      </c>
      <c r="CM341" s="4">
        <f t="shared" si="1310"/>
        <v>1.2028972243265701</v>
      </c>
      <c r="CN341" s="4">
        <f t="shared" si="1344"/>
        <v>10</v>
      </c>
      <c r="CU341" s="4" t="e">
        <f t="shared" ref="CU341:CU342" si="1490">CG341</f>
        <v>#REF!</v>
      </c>
      <c r="CV341" s="4" t="e">
        <f t="shared" ref="CV341:CV342" si="1491">CH341</f>
        <v>#REF!</v>
      </c>
      <c r="CW341" s="4" t="e">
        <f t="shared" ref="CW341:CW342" si="1492">CJ341</f>
        <v>#REF!</v>
      </c>
      <c r="CX341" s="4">
        <f t="shared" ref="CX341:CX342" si="1493">CM341</f>
        <v>1.2028972243265701</v>
      </c>
      <c r="CY341" s="4">
        <f t="shared" ref="CY341:CY342" si="1494">CK341</f>
        <v>1</v>
      </c>
      <c r="CZ341" s="4">
        <f t="shared" ref="CZ341:CZ342" si="1495">CL341</f>
        <v>1.0136499429452763</v>
      </c>
      <c r="DC341" s="4" t="e">
        <f>#REF!</f>
        <v>#REF!</v>
      </c>
      <c r="DF341" s="4">
        <f t="shared" si="1248"/>
        <v>2.9920872698414962E-5</v>
      </c>
      <c r="DG341" s="4">
        <f t="shared" si="1446"/>
        <v>14.003670300444258</v>
      </c>
      <c r="DH341" s="4">
        <f t="shared" si="1249"/>
        <v>0.30346705842598626</v>
      </c>
      <c r="DI341" s="4">
        <f t="shared" si="1447"/>
        <v>8.6913351903957725</v>
      </c>
      <c r="DJ341" s="4">
        <f t="shared" si="1448"/>
        <v>11.655828971927715</v>
      </c>
      <c r="DK341" s="4">
        <f t="shared" si="1250"/>
        <v>11.550994362927899</v>
      </c>
      <c r="DL341" s="38">
        <f t="shared" si="1251"/>
        <v>976.55172413793105</v>
      </c>
      <c r="DM341" s="4" t="e">
        <f t="shared" si="1449"/>
        <v>#REF!</v>
      </c>
      <c r="DN341" s="4">
        <f t="shared" si="1252"/>
        <v>2.2583179581272428</v>
      </c>
      <c r="DO341" s="4">
        <f t="shared" si="1309"/>
        <v>464.41759209689849</v>
      </c>
      <c r="DS341" s="4">
        <f t="shared" si="1253"/>
        <v>0.85</v>
      </c>
      <c r="DT341" s="4">
        <f t="shared" si="1254"/>
        <v>0.85</v>
      </c>
      <c r="DU341" s="4">
        <f t="shared" si="1255"/>
        <v>0.77500000000000002</v>
      </c>
      <c r="DV341" s="4">
        <f t="shared" si="1450"/>
        <v>0.7</v>
      </c>
      <c r="DX341" s="4">
        <f t="shared" si="1256"/>
        <v>963.40135066791186</v>
      </c>
      <c r="DY341" s="25">
        <f t="shared" si="1146"/>
        <v>460.52955017895857</v>
      </c>
      <c r="EA341" s="4">
        <f t="shared" si="1147"/>
        <v>0.59499999999999997</v>
      </c>
      <c r="EB341" s="4">
        <f t="shared" si="1257"/>
        <v>14.003670300444258</v>
      </c>
      <c r="EE341" s="4">
        <f t="shared" si="1258"/>
        <v>57.361276136431961</v>
      </c>
      <c r="EF341" s="4">
        <f t="shared" si="1451"/>
        <v>2.2583179581272428</v>
      </c>
      <c r="EG341" s="4">
        <f t="shared" si="1259"/>
        <v>0.15145941895442339</v>
      </c>
      <c r="EJ341" s="4">
        <f t="shared" si="1452"/>
        <v>0.15145941895442339</v>
      </c>
      <c r="EK341" s="4">
        <f t="shared" si="1260"/>
        <v>0.30296062846404442</v>
      </c>
      <c r="EL341" s="4">
        <f t="shared" si="1453"/>
        <v>8.6855305957920397</v>
      </c>
      <c r="EM341" s="4">
        <f t="shared" si="1454"/>
        <v>11.653673027659503</v>
      </c>
      <c r="EN341" s="4" t="e">
        <f t="shared" si="1455"/>
        <v>#REF!</v>
      </c>
      <c r="EO341" s="4" t="e">
        <f t="shared" si="1456"/>
        <v>#REF!</v>
      </c>
      <c r="EP341" s="4" t="e">
        <f t="shared" si="1261"/>
        <v>#REF!</v>
      </c>
      <c r="EQ341" s="4" t="e">
        <f t="shared" si="1457"/>
        <v>#REF!</v>
      </c>
      <c r="ER341" s="4" t="e">
        <f t="shared" si="1262"/>
        <v>#REF!</v>
      </c>
      <c r="FA341" s="23" t="e">
        <f t="shared" si="1383"/>
        <v>#REF!</v>
      </c>
      <c r="FB341" s="23" t="e">
        <f t="shared" si="1384"/>
        <v>#REF!</v>
      </c>
      <c r="FC341" s="23">
        <f t="shared" si="1317"/>
        <v>1.4</v>
      </c>
      <c r="FD341" s="23" t="e">
        <f t="shared" si="1385"/>
        <v>#REF!</v>
      </c>
      <c r="FE341" s="23">
        <f t="shared" si="1386"/>
        <v>1.2</v>
      </c>
      <c r="FF341" s="23">
        <f t="shared" si="1387"/>
        <v>1.2</v>
      </c>
      <c r="FG341" s="23">
        <f t="shared" si="1266"/>
        <v>0</v>
      </c>
      <c r="FH341" s="23"/>
      <c r="FR341" s="4">
        <f t="shared" si="1485"/>
        <v>1</v>
      </c>
      <c r="FS341" s="4">
        <f t="shared" si="1486"/>
        <v>0.44418604651162791</v>
      </c>
      <c r="FT341" s="4">
        <f t="shared" si="1487"/>
        <v>0.3</v>
      </c>
      <c r="FU341" s="4">
        <f t="shared" si="1488"/>
        <v>811.83305139359993</v>
      </c>
    </row>
    <row r="342" spans="2:177" ht="12" customHeight="1" x14ac:dyDescent="0.3">
      <c r="B342" s="24"/>
      <c r="C342" s="7" t="s">
        <v>482</v>
      </c>
      <c r="D342" s="38">
        <f t="shared" si="1483"/>
        <v>889.65517241379314</v>
      </c>
      <c r="E342" s="38">
        <f>12.13*25.4</f>
        <v>308.10199999999998</v>
      </c>
      <c r="F342" s="38">
        <f>12080/145</f>
        <v>83.310344827586206</v>
      </c>
      <c r="G342" s="38">
        <f t="shared" si="1341"/>
        <v>25.4</v>
      </c>
      <c r="H342" s="38">
        <f>14.9*25.4</f>
        <v>378.46</v>
      </c>
      <c r="I342" s="38">
        <f>2.4*25.4</f>
        <v>60.959999999999994</v>
      </c>
      <c r="J342" s="39">
        <f>4.5*25.4</f>
        <v>114.3</v>
      </c>
      <c r="K342" s="7">
        <f t="shared" si="1339"/>
        <v>205.73999999999998</v>
      </c>
      <c r="L342" s="38">
        <v>2</v>
      </c>
      <c r="M342" s="4">
        <f t="shared" si="1357"/>
        <v>260.34999999999997</v>
      </c>
      <c r="N342" s="7">
        <f t="shared" si="1224"/>
        <v>2.9</v>
      </c>
      <c r="O342" s="7">
        <f t="shared" si="1225"/>
        <v>2.9</v>
      </c>
      <c r="P342" s="38">
        <v>9.1</v>
      </c>
      <c r="Q342" s="4">
        <f t="shared" si="1342"/>
        <v>9.1</v>
      </c>
      <c r="R342" s="4">
        <f t="shared" si="1226"/>
        <v>10.1</v>
      </c>
      <c r="S342" s="7">
        <f t="shared" si="1227"/>
        <v>80.72246279691916</v>
      </c>
      <c r="V342" s="38">
        <f t="shared" si="1395"/>
        <v>1057.9310344827588</v>
      </c>
      <c r="W342" s="4">
        <v>153.4</v>
      </c>
      <c r="X342" s="4">
        <f t="shared" si="1228"/>
        <v>1.0970371571867716</v>
      </c>
      <c r="Y342" s="38">
        <f>0.5*25.4</f>
        <v>12.7</v>
      </c>
      <c r="Z342" s="38">
        <v>10</v>
      </c>
      <c r="AA342" s="39">
        <f>3*25.4</f>
        <v>76.199999999999989</v>
      </c>
      <c r="AB342" s="39">
        <v>3</v>
      </c>
      <c r="AC342" s="39">
        <f t="shared" si="1489"/>
        <v>2</v>
      </c>
      <c r="AD342" s="7"/>
      <c r="AE342" s="4">
        <f t="shared" si="1229"/>
        <v>308.10199999999998</v>
      </c>
      <c r="AF342" s="4">
        <f t="shared" si="1230"/>
        <v>0.40945314646881015</v>
      </c>
      <c r="AG342" s="4">
        <f t="shared" si="1231"/>
        <v>487.08407640009438</v>
      </c>
      <c r="AH342" s="4">
        <f t="shared" si="1232"/>
        <v>0.74781533388293486</v>
      </c>
      <c r="AI342" s="4">
        <v>1.25</v>
      </c>
      <c r="AJ342" s="4">
        <f t="shared" si="1154"/>
        <v>2.5</v>
      </c>
      <c r="AK342" s="38">
        <f t="shared" si="1340"/>
        <v>466.07148462925454</v>
      </c>
      <c r="AL342" s="38">
        <f t="shared" si="1264"/>
        <v>466.07148462925454</v>
      </c>
      <c r="AM342" s="38">
        <f t="shared" si="1233"/>
        <v>4.9090792795570026</v>
      </c>
      <c r="AN342" s="38">
        <f t="shared" si="1161"/>
        <v>466.07148462925528</v>
      </c>
      <c r="AO342" s="38">
        <f t="shared" si="1484"/>
        <v>0.99999999999999845</v>
      </c>
      <c r="AP342" s="38">
        <f t="shared" si="1162"/>
        <v>3.1274839471157505</v>
      </c>
      <c r="AQ342" s="4">
        <f t="shared" si="1163"/>
        <v>0</v>
      </c>
      <c r="AR342" s="4" t="e">
        <f>#REF!/G342*F342^0.5/0.19</f>
        <v>#REF!</v>
      </c>
      <c r="AS342" s="4">
        <f t="shared" si="1234"/>
        <v>1</v>
      </c>
      <c r="AT342" s="38">
        <f t="shared" si="1235"/>
        <v>1457.6310863864012</v>
      </c>
      <c r="AU342" s="4">
        <f t="shared" si="1236"/>
        <v>0.3</v>
      </c>
      <c r="AV342" s="4" t="e">
        <f>AU342*D342*#REF!/(D342*G342/2.75/F342^0.5)</f>
        <v>#REF!</v>
      </c>
      <c r="AW342" s="4" t="e">
        <f t="shared" si="1431"/>
        <v>#REF!</v>
      </c>
      <c r="AY342" s="4">
        <f t="shared" si="1237"/>
        <v>1.5</v>
      </c>
      <c r="AZ342" s="4" t="e">
        <f>(3*#REF!+30)*AY342*F342^0.5</f>
        <v>#REF!</v>
      </c>
      <c r="BB342" s="4">
        <f t="shared" si="1238"/>
        <v>1398.0464685108325</v>
      </c>
      <c r="BC342" s="4">
        <f t="shared" si="1464"/>
        <v>0</v>
      </c>
      <c r="BD342" s="4">
        <f t="shared" si="1432"/>
        <v>0</v>
      </c>
      <c r="BL342" s="4">
        <f t="shared" si="1239"/>
        <v>60.959999999999994</v>
      </c>
      <c r="BP342" s="9"/>
      <c r="BR342" s="9"/>
      <c r="BS342" s="9"/>
      <c r="BT342" s="9">
        <f t="shared" si="1240"/>
        <v>60.959999999999994</v>
      </c>
      <c r="BU342" s="9">
        <f t="shared" si="1241"/>
        <v>102.86999999999999</v>
      </c>
      <c r="BV342" s="9">
        <f t="shared" si="1242"/>
        <v>1.6756842515389025</v>
      </c>
      <c r="BW342" s="40">
        <f t="shared" si="1343"/>
        <v>20</v>
      </c>
      <c r="BX342" s="9">
        <f t="shared" si="1243"/>
        <v>0.05</v>
      </c>
      <c r="BY342" s="9">
        <f t="shared" si="1433"/>
        <v>0.8</v>
      </c>
      <c r="BZ342" s="9">
        <f t="shared" si="1244"/>
        <v>0.99524931562137331</v>
      </c>
      <c r="CA342" s="9">
        <f t="shared" si="1245"/>
        <v>0.68</v>
      </c>
      <c r="CB342" s="9">
        <f t="shared" si="1246"/>
        <v>2.1620130482705213</v>
      </c>
      <c r="CC342" s="9">
        <f t="shared" si="1247"/>
        <v>5.3524616552249471</v>
      </c>
      <c r="CD342" s="40">
        <v>1</v>
      </c>
      <c r="CE342" s="9" t="e">
        <f>4*CC342*#REF!+60*CC342</f>
        <v>#REF!</v>
      </c>
      <c r="CG342" s="47" t="e">
        <f t="shared" si="1434"/>
        <v>#REF!</v>
      </c>
      <c r="CH342" s="47" t="e">
        <f t="shared" si="1435"/>
        <v>#REF!</v>
      </c>
      <c r="CI342" s="47" t="e">
        <f t="shared" si="1436"/>
        <v>#REF!</v>
      </c>
      <c r="CJ342" s="47" t="e">
        <f t="shared" si="1437"/>
        <v>#REF!</v>
      </c>
      <c r="CK342" s="47">
        <f t="shared" si="1438"/>
        <v>1.0970371571867716</v>
      </c>
      <c r="CL342" s="47">
        <f t="shared" si="1439"/>
        <v>1.0886125437537382</v>
      </c>
      <c r="CM342" s="47">
        <f t="shared" si="1310"/>
        <v>1.6074371142265871</v>
      </c>
      <c r="CN342" s="4">
        <f t="shared" si="1344"/>
        <v>10</v>
      </c>
      <c r="CU342" s="4" t="e">
        <f t="shared" si="1490"/>
        <v>#REF!</v>
      </c>
      <c r="CV342" s="4" t="e">
        <f t="shared" si="1491"/>
        <v>#REF!</v>
      </c>
      <c r="CW342" s="4" t="e">
        <f t="shared" si="1492"/>
        <v>#REF!</v>
      </c>
      <c r="CX342" s="4">
        <f t="shared" si="1493"/>
        <v>1.6074371142265871</v>
      </c>
      <c r="CY342" s="4">
        <f t="shared" si="1494"/>
        <v>1.0970371571867716</v>
      </c>
      <c r="CZ342" s="4">
        <f t="shared" si="1495"/>
        <v>1.0886125437537382</v>
      </c>
      <c r="DC342" s="4" t="e">
        <f>#REF!</f>
        <v>#REF!</v>
      </c>
      <c r="DF342" s="4">
        <f t="shared" si="1248"/>
        <v>3.0320817529805633E-5</v>
      </c>
      <c r="DG342" s="4">
        <f t="shared" si="1446"/>
        <v>14.003670300444258</v>
      </c>
      <c r="DH342" s="4">
        <f t="shared" si="1249"/>
        <v>0.19309609379305231</v>
      </c>
      <c r="DI342" s="4">
        <f t="shared" si="1447"/>
        <v>7.2535610827259598</v>
      </c>
      <c r="DJ342" s="4">
        <f t="shared" si="1448"/>
        <v>11.156432004510634</v>
      </c>
      <c r="DK342" s="4">
        <f t="shared" si="1250"/>
        <v>11.699339681249116</v>
      </c>
      <c r="DL342" s="38">
        <f t="shared" si="1251"/>
        <v>964.35296430223389</v>
      </c>
      <c r="DM342" s="4" t="e">
        <f t="shared" si="1449"/>
        <v>#REF!</v>
      </c>
      <c r="DN342" s="4">
        <f t="shared" si="1252"/>
        <v>3.1780497164141401</v>
      </c>
      <c r="DO342" s="4">
        <f t="shared" si="1309"/>
        <v>466.07148462925528</v>
      </c>
      <c r="DS342" s="4">
        <f t="shared" si="1253"/>
        <v>0.85</v>
      </c>
      <c r="DT342" s="4">
        <f t="shared" si="1254"/>
        <v>0.86</v>
      </c>
      <c r="DU342" s="4">
        <f t="shared" si="1255"/>
        <v>0.77500000000000002</v>
      </c>
      <c r="DV342" s="4">
        <f t="shared" si="1450"/>
        <v>0.7</v>
      </c>
      <c r="DX342" s="4">
        <f t="shared" si="1256"/>
        <v>971.81595100384948</v>
      </c>
      <c r="DY342" s="25">
        <f t="shared" si="1146"/>
        <v>462.22238877068293</v>
      </c>
      <c r="EA342" s="4">
        <f t="shared" si="1147"/>
        <v>0.59499999999999997</v>
      </c>
      <c r="EB342" s="4">
        <f t="shared" si="1257"/>
        <v>14.003670300444258</v>
      </c>
      <c r="EE342" s="4">
        <f t="shared" si="1258"/>
        <v>80.72246279691916</v>
      </c>
      <c r="EF342" s="4">
        <f t="shared" si="1451"/>
        <v>3.1780497164141406</v>
      </c>
      <c r="EG342" s="4">
        <f t="shared" si="1259"/>
        <v>9.6373630534918542E-2</v>
      </c>
      <c r="EJ342" s="4">
        <f t="shared" si="1452"/>
        <v>9.6373630534918542E-2</v>
      </c>
      <c r="EK342" s="4">
        <f t="shared" si="1260"/>
        <v>0.19277385240073133</v>
      </c>
      <c r="EL342" s="4">
        <f t="shared" si="1453"/>
        <v>7.2487167198523279</v>
      </c>
      <c r="EM342" s="4">
        <f t="shared" si="1454"/>
        <v>11.154873027561752</v>
      </c>
      <c r="EN342" s="4" t="e">
        <f t="shared" si="1455"/>
        <v>#REF!</v>
      </c>
      <c r="EO342" s="4" t="e">
        <f t="shared" si="1456"/>
        <v>#REF!</v>
      </c>
      <c r="EP342" s="4" t="e">
        <f t="shared" si="1261"/>
        <v>#REF!</v>
      </c>
      <c r="EQ342" s="4" t="e">
        <f t="shared" si="1457"/>
        <v>#REF!</v>
      </c>
      <c r="ER342" s="4" t="e">
        <f t="shared" si="1262"/>
        <v>#REF!</v>
      </c>
      <c r="FA342" s="23" t="e">
        <f t="shared" si="1383"/>
        <v>#REF!</v>
      </c>
      <c r="FB342" s="23" t="e">
        <f t="shared" si="1384"/>
        <v>#REF!</v>
      </c>
      <c r="FC342" s="23">
        <f t="shared" si="1317"/>
        <v>1.8</v>
      </c>
      <c r="FD342" s="23" t="e">
        <f t="shared" si="1385"/>
        <v>#REF!</v>
      </c>
      <c r="FE342" s="23">
        <f t="shared" si="1386"/>
        <v>1.2</v>
      </c>
      <c r="FF342" s="23">
        <f t="shared" si="1387"/>
        <v>1.2</v>
      </c>
      <c r="FG342" s="23">
        <f t="shared" si="1266"/>
        <v>0</v>
      </c>
      <c r="FH342" s="23"/>
      <c r="FR342" s="4">
        <f t="shared" si="1485"/>
        <v>1.25</v>
      </c>
      <c r="FS342" s="4">
        <f t="shared" si="1486"/>
        <v>0.44418604651162791</v>
      </c>
      <c r="FT342" s="4">
        <f t="shared" si="1487"/>
        <v>0.3</v>
      </c>
      <c r="FU342" s="4">
        <f t="shared" si="1488"/>
        <v>658.14769680229688</v>
      </c>
    </row>
    <row r="343" spans="2:177" ht="12" customHeight="1" x14ac:dyDescent="0.3">
      <c r="B343" s="24"/>
      <c r="C343" s="7" t="s">
        <v>483</v>
      </c>
      <c r="D343" s="38">
        <f t="shared" si="1483"/>
        <v>889.65517241379314</v>
      </c>
      <c r="E343" s="38">
        <f>12.21*25.4</f>
        <v>310.13400000000001</v>
      </c>
      <c r="F343" s="38">
        <f>12040/145</f>
        <v>83.034482758620683</v>
      </c>
      <c r="G343" s="38">
        <f t="shared" si="1341"/>
        <v>25.4</v>
      </c>
      <c r="H343" s="38">
        <f>14.8*25.4</f>
        <v>375.92</v>
      </c>
      <c r="I343" s="38">
        <f>2.5*25.4</f>
        <v>63.5</v>
      </c>
      <c r="J343" s="39">
        <f>2.83*25.4</f>
        <v>71.881999999999991</v>
      </c>
      <c r="K343" s="7">
        <f t="shared" si="1339"/>
        <v>86.360000000000014</v>
      </c>
      <c r="L343" s="38">
        <v>3</v>
      </c>
      <c r="M343" s="4">
        <f t="shared" si="1357"/>
        <v>260.34999999999997</v>
      </c>
      <c r="N343" s="7">
        <f t="shared" si="1224"/>
        <v>2.2000000000000002</v>
      </c>
      <c r="O343" s="7">
        <f t="shared" si="1225"/>
        <v>3</v>
      </c>
      <c r="P343" s="38">
        <v>4.0999999999999996</v>
      </c>
      <c r="Q343" s="4">
        <f t="shared" si="1342"/>
        <v>4.0999999999999996</v>
      </c>
      <c r="R343" s="4">
        <f t="shared" si="1226"/>
        <v>5.0999999999999996</v>
      </c>
      <c r="S343" s="7">
        <f t="shared" si="1227"/>
        <v>57.361276136431961</v>
      </c>
      <c r="V343" s="38">
        <f t="shared" si="1395"/>
        <v>656.55172413793105</v>
      </c>
      <c r="W343" s="4">
        <v>95.2</v>
      </c>
      <c r="X343" s="4">
        <f t="shared" si="1228"/>
        <v>0.93271114834467483</v>
      </c>
      <c r="Y343" s="38"/>
      <c r="Z343" s="38"/>
      <c r="AA343" s="39">
        <v>1</v>
      </c>
      <c r="AB343" s="39"/>
      <c r="AC343" s="39"/>
      <c r="AD343" s="7"/>
      <c r="AE343" s="4">
        <f t="shared" si="1229"/>
        <v>310.13400000000001</v>
      </c>
      <c r="AF343" s="4">
        <f t="shared" si="1230"/>
        <v>0.40404040404040403</v>
      </c>
      <c r="AG343" s="4">
        <f t="shared" si="1231"/>
        <v>327.39703640569854</v>
      </c>
      <c r="AH343" s="4">
        <f t="shared" si="1232"/>
        <v>0.74914004914004906</v>
      </c>
      <c r="AI343" s="4">
        <v>1.25</v>
      </c>
      <c r="AJ343" s="4">
        <f t="shared" si="1154"/>
        <v>2.5</v>
      </c>
      <c r="AK343" s="38">
        <f t="shared" si="1340"/>
        <v>309.67958578443364</v>
      </c>
      <c r="AL343" s="38">
        <f t="shared" si="1264"/>
        <v>309.67958578443364</v>
      </c>
      <c r="AM343" s="38">
        <f t="shared" si="1233"/>
        <v>4.9032987715448586</v>
      </c>
      <c r="AN343" s="38">
        <f t="shared" si="1161"/>
        <v>309.6795857844337</v>
      </c>
      <c r="AO343" s="38">
        <f t="shared" si="1484"/>
        <v>0.99999999999999978</v>
      </c>
      <c r="AP343" s="38">
        <f t="shared" si="1162"/>
        <v>2.7363293710546137</v>
      </c>
      <c r="AQ343" s="4">
        <f t="shared" si="1163"/>
        <v>0</v>
      </c>
      <c r="AR343" s="4" t="e">
        <f>#REF!/G343*F343^0.5/0.19</f>
        <v>#REF!</v>
      </c>
      <c r="AS343" s="4">
        <f t="shared" si="1234"/>
        <v>1.1454545454545455</v>
      </c>
      <c r="AT343" s="38">
        <f t="shared" si="1235"/>
        <v>847.38534619797281</v>
      </c>
      <c r="AU343" s="4">
        <f t="shared" si="1236"/>
        <v>0.42600000000000005</v>
      </c>
      <c r="AV343" s="4" t="e">
        <f>AU343*D343*#REF!/(D343*G343/2.75/F343^0.5)</f>
        <v>#REF!</v>
      </c>
      <c r="AW343" s="4" t="e">
        <f t="shared" si="1431"/>
        <v>#REF!</v>
      </c>
      <c r="AY343" s="4">
        <f t="shared" si="1237"/>
        <v>1.375</v>
      </c>
      <c r="AZ343" s="4" t="e">
        <f>(3*#REF!+30)*AY343*F343^0.5</f>
        <v>#REF!</v>
      </c>
      <c r="BB343" s="4">
        <f t="shared" si="1238"/>
        <v>812.74617547903938</v>
      </c>
      <c r="BC343" s="4">
        <f t="shared" si="1464"/>
        <v>0</v>
      </c>
      <c r="BD343" s="4">
        <f t="shared" si="1432"/>
        <v>0</v>
      </c>
      <c r="BL343" s="4">
        <f t="shared" si="1239"/>
        <v>43.180000000000007</v>
      </c>
      <c r="BP343" s="9"/>
      <c r="BR343" s="9"/>
      <c r="BS343" s="9"/>
      <c r="BT343" s="9">
        <f t="shared" si="1240"/>
        <v>43.180000000000007</v>
      </c>
      <c r="BU343" s="9">
        <f t="shared" si="1241"/>
        <v>63.5</v>
      </c>
      <c r="BV343" s="9">
        <f t="shared" si="1242"/>
        <v>1.3814912030111532</v>
      </c>
      <c r="BW343" s="40">
        <f t="shared" si="1343"/>
        <v>0</v>
      </c>
      <c r="BX343" s="9">
        <f t="shared" si="1243"/>
        <v>0</v>
      </c>
      <c r="BY343" s="9">
        <f t="shared" si="1433"/>
        <v>0</v>
      </c>
      <c r="BZ343" s="9">
        <f t="shared" si="1244"/>
        <v>0.99524931562137331</v>
      </c>
      <c r="CA343" s="9">
        <f t="shared" si="1245"/>
        <v>0.68</v>
      </c>
      <c r="CB343" s="9">
        <f t="shared" si="1246"/>
        <v>2.1584305883972208</v>
      </c>
      <c r="CC343" s="9">
        <f t="shared" si="1247"/>
        <v>2.9818528701809477</v>
      </c>
      <c r="CD343" s="40">
        <v>1</v>
      </c>
      <c r="CE343" s="9" t="e">
        <f>4*CC343*#REF!+60*CC343</f>
        <v>#REF!</v>
      </c>
      <c r="CG343" s="4" t="e">
        <f t="shared" si="1434"/>
        <v>#REF!</v>
      </c>
      <c r="CH343" s="4" t="e">
        <f t="shared" si="1435"/>
        <v>#REF!</v>
      </c>
      <c r="CI343" s="4" t="e">
        <f t="shared" si="1436"/>
        <v>#REF!</v>
      </c>
      <c r="CJ343" s="4" t="e">
        <f t="shared" si="1437"/>
        <v>#REF!</v>
      </c>
      <c r="CK343" s="4">
        <f t="shared" si="1438"/>
        <v>0.93271114834467483</v>
      </c>
      <c r="CL343" s="4">
        <f t="shared" si="1439"/>
        <v>0.94794472349162318</v>
      </c>
      <c r="CM343" s="4">
        <f t="shared" si="1310"/>
        <v>1.4291107675846266</v>
      </c>
      <c r="CN343" s="4">
        <f t="shared" si="1344"/>
        <v>0</v>
      </c>
      <c r="CO343" s="4" t="e">
        <f t="shared" ref="CO343:CO344" si="1496">CG343</f>
        <v>#REF!</v>
      </c>
      <c r="CP343" s="4" t="e">
        <f t="shared" ref="CP343:CP344" si="1497">CH343</f>
        <v>#REF!</v>
      </c>
      <c r="CQ343" s="4" t="e">
        <f t="shared" ref="CQ343:CQ344" si="1498">CJ343</f>
        <v>#REF!</v>
      </c>
      <c r="CR343" s="4">
        <f t="shared" ref="CR343:CR344" si="1499">CM343</f>
        <v>1.4291107675846266</v>
      </c>
      <c r="CS343" s="4">
        <f t="shared" ref="CS343:CS344" si="1500">CK343</f>
        <v>0.93271114834467483</v>
      </c>
      <c r="CT343" s="4">
        <f t="shared" ref="CT343:CT344" si="1501">CL343</f>
        <v>0.94794472349162318</v>
      </c>
      <c r="DC343" s="4" t="e">
        <f>#REF!</f>
        <v>#REF!</v>
      </c>
      <c r="DF343" s="4">
        <f t="shared" si="1248"/>
        <v>3.0470314501583804E-5</v>
      </c>
      <c r="DG343" s="4">
        <f t="shared" si="1446"/>
        <v>10.522931541773643</v>
      </c>
      <c r="DH343" s="4">
        <f t="shared" si="1249"/>
        <v>0.20302799106025782</v>
      </c>
      <c r="DI343" s="4">
        <f t="shared" si="1447"/>
        <v>5.5610796061263308</v>
      </c>
      <c r="DJ343" s="4">
        <f t="shared" si="1448"/>
        <v>8.4192567222681305</v>
      </c>
      <c r="DK343" s="4">
        <f t="shared" si="1250"/>
        <v>9.1449023297148457</v>
      </c>
      <c r="DL343" s="38">
        <f t="shared" si="1251"/>
        <v>703.91752613136816</v>
      </c>
      <c r="DM343" s="4" t="e">
        <f t="shared" si="1449"/>
        <v>#REF!</v>
      </c>
      <c r="DN343" s="4">
        <f t="shared" si="1252"/>
        <v>2.2583179581272428</v>
      </c>
      <c r="DO343" s="4">
        <f t="shared" si="1309"/>
        <v>309.6795857844337</v>
      </c>
      <c r="DS343" s="4">
        <f t="shared" si="1253"/>
        <v>0.85</v>
      </c>
      <c r="DT343" s="4">
        <f t="shared" si="1254"/>
        <v>0.92999999999999994</v>
      </c>
      <c r="DU343" s="4">
        <f t="shared" si="1255"/>
        <v>1</v>
      </c>
      <c r="DV343" s="4">
        <f t="shared" si="1450"/>
        <v>0.92999999999999994</v>
      </c>
      <c r="DX343" s="4">
        <f t="shared" si="1256"/>
        <v>692.60549467442956</v>
      </c>
      <c r="DY343" s="25">
        <f t="shared" si="1146"/>
        <v>307.15051229926104</v>
      </c>
      <c r="EA343" s="4">
        <f t="shared" si="1147"/>
        <v>0.79049999999999998</v>
      </c>
      <c r="EB343" s="4">
        <f t="shared" si="1257"/>
        <v>10.522931541773643</v>
      </c>
      <c r="EE343" s="4">
        <f t="shared" si="1258"/>
        <v>57.361276136431961</v>
      </c>
      <c r="EF343" s="4">
        <f t="shared" si="1451"/>
        <v>2.2583179581272428</v>
      </c>
      <c r="EG343" s="4">
        <f t="shared" si="1259"/>
        <v>0.10116270304638737</v>
      </c>
      <c r="EJ343" s="4">
        <f t="shared" si="1452"/>
        <v>0.10116270304638737</v>
      </c>
      <c r="EK343" s="4">
        <f t="shared" si="1260"/>
        <v>0.20268917518245202</v>
      </c>
      <c r="EL343" s="4">
        <f t="shared" si="1453"/>
        <v>5.5573655838310794</v>
      </c>
      <c r="EM343" s="4">
        <f t="shared" si="1454"/>
        <v>8.4180413557659541</v>
      </c>
      <c r="EN343" s="4" t="e">
        <f t="shared" si="1455"/>
        <v>#REF!</v>
      </c>
      <c r="EO343" s="4" t="e">
        <f t="shared" si="1456"/>
        <v>#REF!</v>
      </c>
      <c r="EP343" s="4" t="e">
        <f t="shared" si="1261"/>
        <v>#REF!</v>
      </c>
      <c r="EQ343" s="4" t="e">
        <f t="shared" si="1457"/>
        <v>#REF!</v>
      </c>
      <c r="ER343" s="4" t="e">
        <f t="shared" si="1262"/>
        <v>#REF!</v>
      </c>
      <c r="FA343" s="23" t="e">
        <f t="shared" si="1383"/>
        <v>#REF!</v>
      </c>
      <c r="FB343" s="23" t="e">
        <f t="shared" si="1384"/>
        <v>#REF!</v>
      </c>
      <c r="FC343" s="23">
        <f t="shared" si="1317"/>
        <v>1.6</v>
      </c>
      <c r="FD343" s="23" t="e">
        <f t="shared" si="1385"/>
        <v>#REF!</v>
      </c>
      <c r="FE343" s="23">
        <f t="shared" si="1386"/>
        <v>1</v>
      </c>
      <c r="FF343" s="23">
        <f t="shared" si="1387"/>
        <v>1</v>
      </c>
      <c r="FG343" s="23">
        <f t="shared" si="1266"/>
        <v>0</v>
      </c>
      <c r="FH343" s="23"/>
      <c r="FR343" s="4">
        <f t="shared" si="1485"/>
        <v>1</v>
      </c>
      <c r="FS343" s="4">
        <f t="shared" si="1486"/>
        <v>0.79999999999999982</v>
      </c>
      <c r="FT343" s="4">
        <f t="shared" si="1487"/>
        <v>0</v>
      </c>
      <c r="FU343" s="4">
        <f t="shared" si="1488"/>
        <v>459.41276143876826</v>
      </c>
    </row>
    <row r="344" spans="2:177" ht="12" customHeight="1" x14ac:dyDescent="0.3">
      <c r="B344" s="24"/>
      <c r="C344" s="7" t="s">
        <v>484</v>
      </c>
      <c r="D344" s="38">
        <f t="shared" si="1483"/>
        <v>889.65517241379314</v>
      </c>
      <c r="E344" s="38">
        <f>12.04*25.4</f>
        <v>305.81599999999997</v>
      </c>
      <c r="F344" s="38">
        <f>12040/145</f>
        <v>83.034482758620683</v>
      </c>
      <c r="G344" s="38">
        <f t="shared" si="1341"/>
        <v>25.4</v>
      </c>
      <c r="H344" s="38">
        <f>14.8*25.4</f>
        <v>375.92</v>
      </c>
      <c r="I344" s="38">
        <f>2.4*25.4</f>
        <v>60.959999999999994</v>
      </c>
      <c r="J344" s="39">
        <f>3*25.4</f>
        <v>76.199999999999989</v>
      </c>
      <c r="K344" s="7">
        <f t="shared" si="1339"/>
        <v>88.90000000000002</v>
      </c>
      <c r="L344" s="38">
        <v>3</v>
      </c>
      <c r="M344" s="4">
        <f t="shared" si="1357"/>
        <v>260.34999999999997</v>
      </c>
      <c r="N344" s="7">
        <f t="shared" si="1224"/>
        <v>2.2500000000000004</v>
      </c>
      <c r="O344" s="7">
        <f t="shared" si="1225"/>
        <v>2.9</v>
      </c>
      <c r="P344" s="38">
        <v>9.1</v>
      </c>
      <c r="Q344" s="4">
        <f t="shared" si="1342"/>
        <v>9.1</v>
      </c>
      <c r="R344" s="4">
        <f t="shared" si="1226"/>
        <v>10.1</v>
      </c>
      <c r="S344" s="7">
        <f t="shared" si="1227"/>
        <v>80.72246279691916</v>
      </c>
      <c r="V344" s="38">
        <f t="shared" si="1395"/>
        <v>657.93103448275872</v>
      </c>
      <c r="W344" s="4">
        <v>95.4</v>
      </c>
      <c r="X344" s="4">
        <f t="shared" si="1228"/>
        <v>0.98191767642597505</v>
      </c>
      <c r="Y344" s="38"/>
      <c r="Z344" s="38"/>
      <c r="AA344" s="39">
        <v>1</v>
      </c>
      <c r="AB344" s="39"/>
      <c r="AC344" s="39"/>
      <c r="AD344" s="7"/>
      <c r="AE344" s="4">
        <f t="shared" si="1229"/>
        <v>305.81599999999997</v>
      </c>
      <c r="AF344" s="4">
        <f t="shared" si="1230"/>
        <v>0.40974529346622368</v>
      </c>
      <c r="AG344" s="4">
        <f t="shared" si="1231"/>
        <v>320.58336143631669</v>
      </c>
      <c r="AH344" s="4">
        <f t="shared" si="1232"/>
        <v>0.74817275747508305</v>
      </c>
      <c r="AI344" s="4">
        <v>1.25</v>
      </c>
      <c r="AJ344" s="4">
        <f t="shared" si="1154"/>
        <v>2.5</v>
      </c>
      <c r="AK344" s="38">
        <f t="shared" si="1340"/>
        <v>307.11912681610914</v>
      </c>
      <c r="AL344" s="38">
        <f t="shared" si="1264"/>
        <v>307.11912681610914</v>
      </c>
      <c r="AM344" s="38">
        <f t="shared" si="1233"/>
        <v>4.9032987715448586</v>
      </c>
      <c r="AN344" s="38">
        <f t="shared" si="1161"/>
        <v>307.11912681610875</v>
      </c>
      <c r="AO344" s="38">
        <f t="shared" si="1484"/>
        <v>1.0000000000000013</v>
      </c>
      <c r="AP344" s="38">
        <f t="shared" si="1162"/>
        <v>4.0942657997691452</v>
      </c>
      <c r="AQ344" s="4">
        <f t="shared" si="1163"/>
        <v>0</v>
      </c>
      <c r="AR344" s="4" t="e">
        <f>#REF!/G344*F344^0.5/0.19</f>
        <v>#REF!</v>
      </c>
      <c r="AS344" s="4">
        <f t="shared" si="1234"/>
        <v>1.1155555555555554</v>
      </c>
      <c r="AT344" s="38">
        <f t="shared" si="1235"/>
        <v>1257.4273373781571</v>
      </c>
      <c r="AU344" s="4">
        <f t="shared" si="1236"/>
        <v>0.3</v>
      </c>
      <c r="AV344" s="4" t="e">
        <f>AU344*D344*#REF!/(D344*G344/2.75/F344^0.5)</f>
        <v>#REF!</v>
      </c>
      <c r="AW344" s="4" t="e">
        <f t="shared" si="1431"/>
        <v>#REF!</v>
      </c>
      <c r="AY344" s="4">
        <f t="shared" si="1237"/>
        <v>1.35</v>
      </c>
      <c r="AZ344" s="4" t="e">
        <f>(3*#REF!+30)*AY344*F344^0.5</f>
        <v>#REF!</v>
      </c>
      <c r="BB344" s="4">
        <f t="shared" si="1238"/>
        <v>1206.0265898888088</v>
      </c>
      <c r="BC344" s="4">
        <f t="shared" si="1464"/>
        <v>0</v>
      </c>
      <c r="BD344" s="4">
        <f t="shared" si="1432"/>
        <v>0</v>
      </c>
      <c r="BL344" s="4">
        <f t="shared" si="1239"/>
        <v>44.45000000000001</v>
      </c>
      <c r="BP344" s="9"/>
      <c r="BR344" s="9"/>
      <c r="BS344" s="9"/>
      <c r="BT344" s="9">
        <f t="shared" si="1240"/>
        <v>44.45000000000001</v>
      </c>
      <c r="BU344" s="9">
        <f t="shared" si="1241"/>
        <v>60.959999999999994</v>
      </c>
      <c r="BV344" s="9">
        <f t="shared" si="1242"/>
        <v>1.3870592192954589</v>
      </c>
      <c r="BW344" s="40">
        <f t="shared" si="1343"/>
        <v>0</v>
      </c>
      <c r="BX344" s="9">
        <f t="shared" si="1243"/>
        <v>0</v>
      </c>
      <c r="BY344" s="9">
        <f t="shared" si="1433"/>
        <v>0</v>
      </c>
      <c r="BZ344" s="9">
        <f t="shared" si="1244"/>
        <v>0.99524931562137331</v>
      </c>
      <c r="CA344" s="9">
        <f t="shared" si="1245"/>
        <v>0.68</v>
      </c>
      <c r="CB344" s="9">
        <f t="shared" si="1246"/>
        <v>2.1584305883972208</v>
      </c>
      <c r="CC344" s="9">
        <f t="shared" si="1247"/>
        <v>2.9938710468456873</v>
      </c>
      <c r="CD344" s="40">
        <v>1</v>
      </c>
      <c r="CE344" s="9" t="e">
        <f>4*CC344*#REF!+60*CC344</f>
        <v>#REF!</v>
      </c>
      <c r="CG344" s="4" t="e">
        <f t="shared" si="1434"/>
        <v>#REF!</v>
      </c>
      <c r="CH344" s="4" t="e">
        <f t="shared" si="1435"/>
        <v>#REF!</v>
      </c>
      <c r="CI344" s="4" t="e">
        <f t="shared" si="1436"/>
        <v>#REF!</v>
      </c>
      <c r="CJ344" s="4" t="e">
        <f t="shared" si="1437"/>
        <v>#REF!</v>
      </c>
      <c r="CK344" s="4">
        <f t="shared" si="1438"/>
        <v>0.98191767642597505</v>
      </c>
      <c r="CL344" s="4">
        <f t="shared" si="1439"/>
        <v>0.95810293219723919</v>
      </c>
      <c r="CM344" s="4">
        <f t="shared" si="1310"/>
        <v>1.7965068604388503</v>
      </c>
      <c r="CN344" s="4">
        <f t="shared" si="1344"/>
        <v>0</v>
      </c>
      <c r="CO344" s="4" t="e">
        <f t="shared" si="1496"/>
        <v>#REF!</v>
      </c>
      <c r="CP344" s="4" t="e">
        <f t="shared" si="1497"/>
        <v>#REF!</v>
      </c>
      <c r="CQ344" s="4" t="e">
        <f t="shared" si="1498"/>
        <v>#REF!</v>
      </c>
      <c r="CR344" s="4">
        <f t="shared" si="1499"/>
        <v>1.7965068604388503</v>
      </c>
      <c r="CS344" s="4">
        <f t="shared" si="1500"/>
        <v>0.98191767642597505</v>
      </c>
      <c r="CT344" s="4">
        <f t="shared" si="1501"/>
        <v>0.95810293219723919</v>
      </c>
      <c r="DC344" s="4" t="e">
        <f>#REF!</f>
        <v>#REF!</v>
      </c>
      <c r="DF344" s="4">
        <f t="shared" si="1248"/>
        <v>3.0046075888539634E-5</v>
      </c>
      <c r="DG344" s="4">
        <f t="shared" si="1446"/>
        <v>10.579812252810257</v>
      </c>
      <c r="DH344" s="4">
        <f t="shared" si="1249"/>
        <v>0.12766394702668557</v>
      </c>
      <c r="DI344" s="4">
        <f t="shared" si="1447"/>
        <v>4.644139621228903</v>
      </c>
      <c r="DJ344" s="4">
        <f t="shared" si="1448"/>
        <v>8.1774866988974395</v>
      </c>
      <c r="DK344" s="4">
        <f t="shared" si="1250"/>
        <v>9.3416699532155363</v>
      </c>
      <c r="DL344" s="38">
        <f t="shared" si="1251"/>
        <v>670.04704190429038</v>
      </c>
      <c r="DM344" s="4" t="e">
        <f t="shared" si="1449"/>
        <v>#REF!</v>
      </c>
      <c r="DN344" s="4">
        <f t="shared" si="1252"/>
        <v>3.1780497164141401</v>
      </c>
      <c r="DO344" s="4">
        <f t="shared" si="1309"/>
        <v>307.11912681610875</v>
      </c>
      <c r="DS344" s="4">
        <f t="shared" si="1253"/>
        <v>0.85</v>
      </c>
      <c r="DT344" s="4">
        <f t="shared" si="1254"/>
        <v>0.92499999999999993</v>
      </c>
      <c r="DU344" s="4">
        <f t="shared" si="1255"/>
        <v>1</v>
      </c>
      <c r="DV344" s="4">
        <f t="shared" si="1450"/>
        <v>0.92499999999999993</v>
      </c>
      <c r="DX344" s="4">
        <f t="shared" si="1256"/>
        <v>686.70182751023481</v>
      </c>
      <c r="DY344" s="25">
        <f t="shared" ref="DY344:DY407" si="1502">13.3*H344*E344^0.5*F344^0.5/L344/G344^2*(0.7+I344/5/E344)</f>
        <v>304.55900893872837</v>
      </c>
      <c r="EA344" s="4">
        <f t="shared" ref="EA344:EA407" si="1503">DS344*DV344</f>
        <v>0.78624999999999989</v>
      </c>
      <c r="EB344" s="4">
        <f t="shared" si="1257"/>
        <v>10.579812252810257</v>
      </c>
      <c r="EE344" s="4">
        <f t="shared" si="1258"/>
        <v>80.72246279691916</v>
      </c>
      <c r="EF344" s="4">
        <f t="shared" si="1451"/>
        <v>3.1780497164141406</v>
      </c>
      <c r="EG344" s="4">
        <f t="shared" si="1259"/>
        <v>6.3611080892571392E-2</v>
      </c>
      <c r="EJ344" s="4">
        <f t="shared" si="1452"/>
        <v>6.3611080892571392E-2</v>
      </c>
      <c r="EK344" s="4">
        <f t="shared" si="1260"/>
        <v>0.12745089969242338</v>
      </c>
      <c r="EL344" s="4">
        <f t="shared" si="1453"/>
        <v>4.6410379864174711</v>
      </c>
      <c r="EM344" s="4">
        <f t="shared" si="1454"/>
        <v>8.1766235950125274</v>
      </c>
      <c r="EN344" s="4" t="e">
        <f t="shared" si="1455"/>
        <v>#REF!</v>
      </c>
      <c r="EO344" s="4" t="e">
        <f t="shared" si="1456"/>
        <v>#REF!</v>
      </c>
      <c r="EP344" s="4" t="e">
        <f t="shared" si="1261"/>
        <v>#REF!</v>
      </c>
      <c r="EQ344" s="4" t="e">
        <f t="shared" si="1457"/>
        <v>#REF!</v>
      </c>
      <c r="ER344" s="4" t="e">
        <f t="shared" si="1262"/>
        <v>#REF!</v>
      </c>
      <c r="FA344" s="23" t="e">
        <f t="shared" si="1383"/>
        <v>#REF!</v>
      </c>
      <c r="FB344" s="23" t="e">
        <f t="shared" si="1384"/>
        <v>#REF!</v>
      </c>
      <c r="FC344" s="23">
        <f t="shared" si="1317"/>
        <v>1.8</v>
      </c>
      <c r="FD344" s="23" t="e">
        <f t="shared" si="1385"/>
        <v>#REF!</v>
      </c>
      <c r="FE344" s="23">
        <f t="shared" si="1386"/>
        <v>1</v>
      </c>
      <c r="FF344" s="23">
        <f t="shared" si="1387"/>
        <v>1</v>
      </c>
      <c r="FG344" s="23">
        <f t="shared" si="1266"/>
        <v>0</v>
      </c>
      <c r="FH344" s="23"/>
      <c r="FR344" s="4">
        <f t="shared" si="1485"/>
        <v>1.25</v>
      </c>
      <c r="FS344" s="4">
        <f t="shared" si="1486"/>
        <v>0.79166666666666663</v>
      </c>
      <c r="FT344" s="4">
        <f t="shared" si="1487"/>
        <v>0</v>
      </c>
      <c r="FU344" s="4">
        <f t="shared" si="1488"/>
        <v>366.22795546800165</v>
      </c>
    </row>
    <row r="345" spans="2:177" ht="12" customHeight="1" x14ac:dyDescent="0.3">
      <c r="B345" s="24"/>
      <c r="C345" s="7" t="s">
        <v>485</v>
      </c>
      <c r="D345" s="38">
        <f t="shared" si="1483"/>
        <v>889.65517241379314</v>
      </c>
      <c r="E345" s="38">
        <f>12.17*25.4</f>
        <v>309.11799999999999</v>
      </c>
      <c r="F345" s="38">
        <f>12040/145</f>
        <v>83.034482758620683</v>
      </c>
      <c r="G345" s="38">
        <f t="shared" si="1341"/>
        <v>25.4</v>
      </c>
      <c r="H345" s="38">
        <f>15.2*25.4</f>
        <v>386.08</v>
      </c>
      <c r="I345" s="38">
        <f>2.6*25.4</f>
        <v>66.039999999999992</v>
      </c>
      <c r="J345" s="39">
        <f>2.9*25.4</f>
        <v>73.66</v>
      </c>
      <c r="K345" s="7">
        <f t="shared" si="1339"/>
        <v>88.9</v>
      </c>
      <c r="L345" s="38">
        <v>3</v>
      </c>
      <c r="M345" s="4">
        <f t="shared" si="1357"/>
        <v>260.34999999999997</v>
      </c>
      <c r="N345" s="7">
        <f t="shared" si="1224"/>
        <v>2.25</v>
      </c>
      <c r="O345" s="7">
        <f t="shared" si="1225"/>
        <v>3.0999999999999996</v>
      </c>
      <c r="P345" s="38">
        <v>4.0999999999999996</v>
      </c>
      <c r="Q345" s="4">
        <f t="shared" si="1342"/>
        <v>4.0999999999999996</v>
      </c>
      <c r="R345" s="4">
        <f t="shared" si="1226"/>
        <v>5.0999999999999996</v>
      </c>
      <c r="S345" s="7">
        <f t="shared" si="1227"/>
        <v>57.361276136431961</v>
      </c>
      <c r="V345" s="38">
        <f t="shared" si="1395"/>
        <v>765.51724137931035</v>
      </c>
      <c r="W345" s="4">
        <v>111</v>
      </c>
      <c r="X345" s="4">
        <f t="shared" si="1228"/>
        <v>0.92990729725452292</v>
      </c>
      <c r="Y345" s="38">
        <f t="shared" ref="Y345:Y346" si="1504">0.5*25.4</f>
        <v>12.7</v>
      </c>
      <c r="Z345" s="38">
        <v>10</v>
      </c>
      <c r="AA345" s="39">
        <f t="shared" ref="AA345:AA346" si="1505">3*25.4</f>
        <v>76.199999999999989</v>
      </c>
      <c r="AB345" s="39">
        <v>3</v>
      </c>
      <c r="AC345" s="39">
        <f t="shared" ref="AC345:AC346" si="1506">AB345-1</f>
        <v>2</v>
      </c>
      <c r="AD345" s="7"/>
      <c r="AE345" s="4">
        <f t="shared" si="1229"/>
        <v>309.11799999999999</v>
      </c>
      <c r="AF345" s="4">
        <f t="shared" si="1230"/>
        <v>0.41632429471377708</v>
      </c>
      <c r="AG345" s="4">
        <f t="shared" si="1231"/>
        <v>325.78952411390105</v>
      </c>
      <c r="AH345" s="4">
        <f t="shared" si="1232"/>
        <v>0.75094494658997535</v>
      </c>
      <c r="AI345" s="4">
        <v>1.25</v>
      </c>
      <c r="AJ345" s="4">
        <f t="shared" si="1154"/>
        <v>2.5</v>
      </c>
      <c r="AK345" s="38">
        <f t="shared" si="1340"/>
        <v>318.29292926050755</v>
      </c>
      <c r="AL345" s="38">
        <f t="shared" si="1264"/>
        <v>318.29292926050755</v>
      </c>
      <c r="AM345" s="38">
        <f t="shared" si="1233"/>
        <v>4.9032987715448586</v>
      </c>
      <c r="AN345" s="38">
        <f t="shared" si="1161"/>
        <v>318.29292926050721</v>
      </c>
      <c r="AO345" s="38">
        <f t="shared" si="1484"/>
        <v>1.0000000000000011</v>
      </c>
      <c r="AP345" s="38">
        <f t="shared" si="1162"/>
        <v>2.736233663940415</v>
      </c>
      <c r="AQ345" s="4">
        <f t="shared" si="1163"/>
        <v>0</v>
      </c>
      <c r="AR345" s="4" t="e">
        <f>#REF!/G345*F345^0.5/0.19</f>
        <v>#REF!</v>
      </c>
      <c r="AS345" s="4">
        <f t="shared" si="1234"/>
        <v>1.151111111111111</v>
      </c>
      <c r="AT345" s="38">
        <f t="shared" si="1235"/>
        <v>870.92382803680493</v>
      </c>
      <c r="AU345" s="4">
        <f t="shared" si="1236"/>
        <v>0.42600000000000005</v>
      </c>
      <c r="AV345" s="4" t="e">
        <f>AU345*D345*#REF!/(D345*G345/2.75/F345^0.5)</f>
        <v>#REF!</v>
      </c>
      <c r="AW345" s="4" t="e">
        <f t="shared" si="1431"/>
        <v>#REF!</v>
      </c>
      <c r="AY345" s="4">
        <f t="shared" si="1237"/>
        <v>1.5</v>
      </c>
      <c r="AZ345" s="4" t="e">
        <f>(3*#REF!+30)*AY345*F345^0.5</f>
        <v>#REF!</v>
      </c>
      <c r="BB345" s="4">
        <f t="shared" si="1238"/>
        <v>835.32245813123473</v>
      </c>
      <c r="BC345" s="4">
        <f t="shared" si="1464"/>
        <v>0</v>
      </c>
      <c r="BD345" s="4">
        <f t="shared" si="1432"/>
        <v>0</v>
      </c>
      <c r="BL345" s="4">
        <f t="shared" si="1239"/>
        <v>44.45</v>
      </c>
      <c r="BP345" s="9"/>
      <c r="BR345" s="9"/>
      <c r="BS345" s="9"/>
      <c r="BT345" s="9">
        <f t="shared" si="1240"/>
        <v>44.45</v>
      </c>
      <c r="BU345" s="9">
        <f t="shared" si="1241"/>
        <v>66.039999999999992</v>
      </c>
      <c r="BV345" s="9">
        <f t="shared" si="1242"/>
        <v>1.4038131918756702</v>
      </c>
      <c r="BW345" s="40">
        <f t="shared" si="1343"/>
        <v>20</v>
      </c>
      <c r="BX345" s="9">
        <f t="shared" si="1243"/>
        <v>0.05</v>
      </c>
      <c r="BY345" s="9">
        <f t="shared" si="1433"/>
        <v>0.8</v>
      </c>
      <c r="BZ345" s="9">
        <f t="shared" si="1244"/>
        <v>0.99524931562137331</v>
      </c>
      <c r="CA345" s="9">
        <f t="shared" si="1245"/>
        <v>0.68</v>
      </c>
      <c r="CB345" s="9">
        <f t="shared" si="1246"/>
        <v>2.1584305883972208</v>
      </c>
      <c r="CC345" s="9">
        <f t="shared" si="1247"/>
        <v>4.7567778044577604</v>
      </c>
      <c r="CD345" s="40">
        <v>1</v>
      </c>
      <c r="CE345" s="9" t="e">
        <f>4*CC345*#REF!+60*CC345</f>
        <v>#REF!</v>
      </c>
      <c r="CG345" s="4" t="e">
        <f t="shared" si="1434"/>
        <v>#REF!</v>
      </c>
      <c r="CH345" s="4" t="e">
        <f t="shared" si="1435"/>
        <v>#REF!</v>
      </c>
      <c r="CI345" s="4" t="e">
        <f t="shared" si="1436"/>
        <v>#REF!</v>
      </c>
      <c r="CJ345" s="4" t="e">
        <f t="shared" si="1437"/>
        <v>#REF!</v>
      </c>
      <c r="CK345" s="4">
        <f t="shared" si="1438"/>
        <v>0.92990729725452292</v>
      </c>
      <c r="CL345" s="4">
        <f t="shared" si="1439"/>
        <v>0.94032104183423759</v>
      </c>
      <c r="CM345" s="4">
        <f t="shared" si="1310"/>
        <v>1.2530999155051654</v>
      </c>
      <c r="CN345" s="4">
        <f t="shared" si="1344"/>
        <v>10</v>
      </c>
      <c r="CU345" s="4" t="e">
        <f t="shared" ref="CU345:CU346" si="1507">CG345</f>
        <v>#REF!</v>
      </c>
      <c r="CV345" s="4" t="e">
        <f t="shared" ref="CV345:CV346" si="1508">CH345</f>
        <v>#REF!</v>
      </c>
      <c r="CW345" s="4" t="e">
        <f t="shared" ref="CW345:CW346" si="1509">CJ345</f>
        <v>#REF!</v>
      </c>
      <c r="CX345" s="4">
        <f t="shared" ref="CX345:CX346" si="1510">CM345</f>
        <v>1.2530999155051654</v>
      </c>
      <c r="CY345" s="4">
        <f t="shared" ref="CY345:CY346" si="1511">CK345</f>
        <v>0.92990729725452292</v>
      </c>
      <c r="CZ345" s="4">
        <f t="shared" ref="CZ345:CZ346" si="1512">CL345</f>
        <v>0.94032104183423759</v>
      </c>
      <c r="DC345" s="4" t="e">
        <f>#REF!</f>
        <v>#REF!</v>
      </c>
      <c r="DF345" s="4">
        <f t="shared" si="1248"/>
        <v>3.0370493651455761E-5</v>
      </c>
      <c r="DG345" s="4">
        <f t="shared" si="1446"/>
        <v>13.651370648787429</v>
      </c>
      <c r="DH345" s="4">
        <f t="shared" si="1249"/>
        <v>0.20867495618981108</v>
      </c>
      <c r="DI345" s="4">
        <f t="shared" si="1447"/>
        <v>7.2939770207118659</v>
      </c>
      <c r="DJ345" s="4">
        <f t="shared" si="1448"/>
        <v>10.948454122629325</v>
      </c>
      <c r="DK345" s="4">
        <f t="shared" si="1250"/>
        <v>11.356595993470908</v>
      </c>
      <c r="DL345" s="38">
        <f t="shared" si="1251"/>
        <v>823.21887745094477</v>
      </c>
      <c r="DM345" s="4" t="e">
        <f t="shared" si="1449"/>
        <v>#REF!</v>
      </c>
      <c r="DN345" s="4">
        <f t="shared" si="1252"/>
        <v>2.2583179581272428</v>
      </c>
      <c r="DO345" s="4">
        <f t="shared" si="1309"/>
        <v>318.29292926050721</v>
      </c>
      <c r="DS345" s="4">
        <f t="shared" si="1253"/>
        <v>0.85</v>
      </c>
      <c r="DT345" s="4">
        <f t="shared" si="1254"/>
        <v>0.92499999999999993</v>
      </c>
      <c r="DU345" s="4">
        <f t="shared" si="1255"/>
        <v>0.77500000000000002</v>
      </c>
      <c r="DV345" s="4">
        <f t="shared" si="1450"/>
        <v>0.71687499999999993</v>
      </c>
      <c r="DX345" s="4">
        <f t="shared" si="1256"/>
        <v>814.10200061678279</v>
      </c>
      <c r="DY345" s="25">
        <f t="shared" si="1502"/>
        <v>315.69045822955366</v>
      </c>
      <c r="EA345" s="4">
        <f t="shared" si="1503"/>
        <v>0.60934374999999996</v>
      </c>
      <c r="EB345" s="4">
        <f t="shared" si="1257"/>
        <v>13.651370648787429</v>
      </c>
      <c r="EE345" s="4">
        <f t="shared" si="1258"/>
        <v>57.361276136431961</v>
      </c>
      <c r="EF345" s="4">
        <f t="shared" si="1451"/>
        <v>2.2583179581272428</v>
      </c>
      <c r="EG345" s="4">
        <f t="shared" si="1259"/>
        <v>0.10397641485790181</v>
      </c>
      <c r="EJ345" s="4">
        <f t="shared" si="1452"/>
        <v>0.10397641485790181</v>
      </c>
      <c r="EK345" s="4">
        <f t="shared" si="1260"/>
        <v>0.20832671657965524</v>
      </c>
      <c r="EL345" s="4">
        <f t="shared" si="1453"/>
        <v>7.2891056656522935</v>
      </c>
      <c r="EM345" s="4">
        <f t="shared" si="1454"/>
        <v>10.946845527561521</v>
      </c>
      <c r="EN345" s="4" t="e">
        <f t="shared" si="1455"/>
        <v>#REF!</v>
      </c>
      <c r="EO345" s="4" t="e">
        <f t="shared" si="1456"/>
        <v>#REF!</v>
      </c>
      <c r="EP345" s="4" t="e">
        <f t="shared" si="1261"/>
        <v>#REF!</v>
      </c>
      <c r="EQ345" s="4" t="e">
        <f t="shared" si="1457"/>
        <v>#REF!</v>
      </c>
      <c r="ER345" s="4" t="e">
        <f t="shared" si="1262"/>
        <v>#REF!</v>
      </c>
      <c r="FA345" s="23" t="e">
        <f t="shared" si="1383"/>
        <v>#REF!</v>
      </c>
      <c r="FB345" s="23" t="e">
        <f t="shared" si="1384"/>
        <v>#REF!</v>
      </c>
      <c r="FC345" s="23">
        <f t="shared" si="1317"/>
        <v>1.4</v>
      </c>
      <c r="FD345" s="23" t="e">
        <f t="shared" si="1385"/>
        <v>#REF!</v>
      </c>
      <c r="FE345" s="23">
        <f t="shared" si="1386"/>
        <v>1</v>
      </c>
      <c r="FF345" s="23">
        <f t="shared" si="1387"/>
        <v>1</v>
      </c>
      <c r="FG345" s="23">
        <f t="shared" si="1266"/>
        <v>0</v>
      </c>
      <c r="FH345" s="23"/>
      <c r="FR345" s="4">
        <f t="shared" si="1485"/>
        <v>1</v>
      </c>
      <c r="FS345" s="4">
        <f t="shared" si="1486"/>
        <v>0.59965116279069774</v>
      </c>
      <c r="FT345" s="4">
        <f t="shared" si="1487"/>
        <v>0.3</v>
      </c>
      <c r="FU345" s="4">
        <f t="shared" si="1488"/>
        <v>610.89880536038936</v>
      </c>
    </row>
    <row r="346" spans="2:177" ht="12" customHeight="1" x14ac:dyDescent="0.3">
      <c r="B346" s="24"/>
      <c r="C346" s="7" t="s">
        <v>486</v>
      </c>
      <c r="D346" s="38">
        <f t="shared" si="1483"/>
        <v>889.65517241379314</v>
      </c>
      <c r="E346" s="38">
        <f>11.9*25.4</f>
        <v>302.26</v>
      </c>
      <c r="F346" s="38">
        <f>12040/145</f>
        <v>83.034482758620683</v>
      </c>
      <c r="G346" s="38">
        <f t="shared" si="1341"/>
        <v>25.4</v>
      </c>
      <c r="H346" s="38">
        <f>15*25.4</f>
        <v>381</v>
      </c>
      <c r="I346" s="38">
        <f t="shared" si="1345"/>
        <v>63.5</v>
      </c>
      <c r="J346" s="39">
        <f>3.1*25.4</f>
        <v>78.739999999999995</v>
      </c>
      <c r="K346" s="7">
        <f t="shared" si="1339"/>
        <v>88.9</v>
      </c>
      <c r="L346" s="38">
        <v>3</v>
      </c>
      <c r="M346" s="4">
        <f t="shared" si="1357"/>
        <v>260.34999999999997</v>
      </c>
      <c r="N346" s="7">
        <f t="shared" si="1224"/>
        <v>2.25</v>
      </c>
      <c r="O346" s="7">
        <f t="shared" si="1225"/>
        <v>3</v>
      </c>
      <c r="P346" s="38">
        <v>9.1</v>
      </c>
      <c r="Q346" s="4">
        <f t="shared" si="1342"/>
        <v>9.1</v>
      </c>
      <c r="R346" s="4">
        <f t="shared" si="1226"/>
        <v>10.1</v>
      </c>
      <c r="S346" s="7">
        <f t="shared" si="1227"/>
        <v>80.72246279691916</v>
      </c>
      <c r="V346" s="38">
        <f t="shared" si="1395"/>
        <v>947.58620689655186</v>
      </c>
      <c r="W346" s="4">
        <v>137.4</v>
      </c>
      <c r="X346" s="4">
        <f t="shared" si="1228"/>
        <v>1.2334336233137346</v>
      </c>
      <c r="Y346" s="38">
        <f t="shared" si="1504"/>
        <v>12.7</v>
      </c>
      <c r="Z346" s="38">
        <v>10</v>
      </c>
      <c r="AA346" s="39">
        <f t="shared" si="1505"/>
        <v>76.199999999999989</v>
      </c>
      <c r="AB346" s="39">
        <v>3</v>
      </c>
      <c r="AC346" s="39">
        <f t="shared" si="1506"/>
        <v>2</v>
      </c>
      <c r="AD346" s="7"/>
      <c r="AE346" s="4">
        <f t="shared" si="1229"/>
        <v>302.26</v>
      </c>
      <c r="AF346" s="4">
        <f t="shared" si="1230"/>
        <v>0.42016806722689082</v>
      </c>
      <c r="AG346" s="4">
        <f t="shared" si="1231"/>
        <v>315.00807738266639</v>
      </c>
      <c r="AH346" s="4">
        <f t="shared" si="1232"/>
        <v>0.75042016806722689</v>
      </c>
      <c r="AI346" s="4">
        <v>1.25</v>
      </c>
      <c r="AJ346" s="4">
        <f t="shared" ref="AJ346:AJ409" si="1513">AJ345</f>
        <v>2.5</v>
      </c>
      <c r="AK346" s="38">
        <f t="shared" si="1340"/>
        <v>310.38394744227224</v>
      </c>
      <c r="AL346" s="38">
        <f t="shared" si="1264"/>
        <v>310.38394744227224</v>
      </c>
      <c r="AM346" s="38">
        <f t="shared" si="1233"/>
        <v>4.9032987715448586</v>
      </c>
      <c r="AN346" s="38">
        <f t="shared" si="1161"/>
        <v>310.38394744227224</v>
      </c>
      <c r="AO346" s="38">
        <f t="shared" si="1484"/>
        <v>1</v>
      </c>
      <c r="AP346" s="38">
        <f t="shared" si="1162"/>
        <v>4.1157605944912197</v>
      </c>
      <c r="AQ346" s="4">
        <f t="shared" si="1163"/>
        <v>0</v>
      </c>
      <c r="AR346" s="4" t="e">
        <f>#REF!/G346*F346^0.5/0.19</f>
        <v>#REF!</v>
      </c>
      <c r="AS346" s="4">
        <f t="shared" si="1234"/>
        <v>1.1333333333333333</v>
      </c>
      <c r="AT346" s="38">
        <f t="shared" si="1235"/>
        <v>1277.4660200455378</v>
      </c>
      <c r="AU346" s="4">
        <f t="shared" si="1236"/>
        <v>0.3</v>
      </c>
      <c r="AV346" s="4" t="e">
        <f>AU346*D346*#REF!/(D346*G346/2.75/F346^0.5)</f>
        <v>#REF!</v>
      </c>
      <c r="AW346" s="4" t="e">
        <f t="shared" si="1431"/>
        <v>#REF!</v>
      </c>
      <c r="AY346" s="4">
        <f t="shared" si="1237"/>
        <v>1.5</v>
      </c>
      <c r="AZ346" s="4" t="e">
        <f>(3*#REF!+30)*AY346*F346^0.5</f>
        <v>#REF!</v>
      </c>
      <c r="BB346" s="4">
        <f t="shared" si="1238"/>
        <v>1225.246137138033</v>
      </c>
      <c r="BC346" s="4">
        <f t="shared" si="1464"/>
        <v>0</v>
      </c>
      <c r="BD346" s="4">
        <f t="shared" si="1432"/>
        <v>0</v>
      </c>
      <c r="BL346" s="4">
        <f t="shared" si="1239"/>
        <v>44.45</v>
      </c>
      <c r="BP346" s="9"/>
      <c r="BR346" s="9"/>
      <c r="BS346" s="9"/>
      <c r="BT346" s="9">
        <f t="shared" si="1240"/>
        <v>44.45</v>
      </c>
      <c r="BU346" s="9">
        <f t="shared" si="1241"/>
        <v>63.5</v>
      </c>
      <c r="BV346" s="9">
        <f t="shared" si="1242"/>
        <v>1.3955786547794871</v>
      </c>
      <c r="BW346" s="40">
        <f t="shared" si="1343"/>
        <v>20</v>
      </c>
      <c r="BX346" s="9">
        <f t="shared" si="1243"/>
        <v>0.05</v>
      </c>
      <c r="BY346" s="9">
        <f t="shared" si="1433"/>
        <v>0.8</v>
      </c>
      <c r="BZ346" s="9">
        <f t="shared" si="1244"/>
        <v>0.99524931562137331</v>
      </c>
      <c r="CA346" s="9">
        <f t="shared" si="1245"/>
        <v>0.68</v>
      </c>
      <c r="CB346" s="9">
        <f t="shared" si="1246"/>
        <v>2.1584305883972208</v>
      </c>
      <c r="CC346" s="9">
        <f t="shared" si="1247"/>
        <v>4.7390041277080668</v>
      </c>
      <c r="CD346" s="40">
        <v>1</v>
      </c>
      <c r="CE346" s="9" t="e">
        <f>4*CC346*#REF!+60*CC346</f>
        <v>#REF!</v>
      </c>
      <c r="CG346" s="4" t="e">
        <f t="shared" si="1434"/>
        <v>#REF!</v>
      </c>
      <c r="CH346" s="4" t="e">
        <f t="shared" si="1435"/>
        <v>#REF!</v>
      </c>
      <c r="CI346" s="4" t="e">
        <f t="shared" si="1436"/>
        <v>#REF!</v>
      </c>
      <c r="CJ346" s="4" t="e">
        <f t="shared" si="1437"/>
        <v>#REF!</v>
      </c>
      <c r="CK346" s="4">
        <f t="shared" si="1438"/>
        <v>1.2334336233137346</v>
      </c>
      <c r="CL346" s="4">
        <f t="shared" si="1439"/>
        <v>1.1917519000638892</v>
      </c>
      <c r="CM346" s="4">
        <f t="shared" si="1310"/>
        <v>1.5863282977600779</v>
      </c>
      <c r="CN346" s="4">
        <f t="shared" si="1344"/>
        <v>10</v>
      </c>
      <c r="CU346" s="4" t="e">
        <f t="shared" si="1507"/>
        <v>#REF!</v>
      </c>
      <c r="CV346" s="4" t="e">
        <f t="shared" si="1508"/>
        <v>#REF!</v>
      </c>
      <c r="CW346" s="4" t="e">
        <f t="shared" si="1509"/>
        <v>#REF!</v>
      </c>
      <c r="CX346" s="4">
        <f t="shared" si="1510"/>
        <v>1.5863282977600779</v>
      </c>
      <c r="CY346" s="4">
        <f t="shared" si="1511"/>
        <v>1.2334336233137346</v>
      </c>
      <c r="CZ346" s="4">
        <f t="shared" si="1512"/>
        <v>1.1917519000638892</v>
      </c>
      <c r="DC346" s="4" t="e">
        <f>#REF!</f>
        <v>#REF!</v>
      </c>
      <c r="DF346" s="4">
        <f t="shared" si="1248"/>
        <v>2.96967029130915E-5</v>
      </c>
      <c r="DG346" s="4">
        <f t="shared" si="1446"/>
        <v>13.651370648787429</v>
      </c>
      <c r="DH346" s="4">
        <f t="shared" si="1249"/>
        <v>0.12902107476988778</v>
      </c>
      <c r="DI346" s="4">
        <f t="shared" si="1447"/>
        <v>6.0178383896867622</v>
      </c>
      <c r="DJ346" s="4">
        <f t="shared" si="1448"/>
        <v>10.55867984451846</v>
      </c>
      <c r="DK346" s="4">
        <f t="shared" si="1250"/>
        <v>11.650918588340279</v>
      </c>
      <c r="DL346" s="38">
        <f t="shared" si="1251"/>
        <v>768.25066950159271</v>
      </c>
      <c r="DM346" s="4" t="e">
        <f t="shared" si="1449"/>
        <v>#REF!</v>
      </c>
      <c r="DN346" s="4">
        <f t="shared" si="1252"/>
        <v>3.1780497164141401</v>
      </c>
      <c r="DO346" s="4">
        <f t="shared" si="1309"/>
        <v>310.38394744227224</v>
      </c>
      <c r="DS346" s="4">
        <f t="shared" si="1253"/>
        <v>0.85</v>
      </c>
      <c r="DT346" s="4">
        <f t="shared" si="1254"/>
        <v>0.92499999999999993</v>
      </c>
      <c r="DU346" s="4">
        <f t="shared" si="1255"/>
        <v>0.77500000000000002</v>
      </c>
      <c r="DV346" s="4">
        <f t="shared" si="1450"/>
        <v>0.71687499999999993</v>
      </c>
      <c r="DX346" s="4">
        <f t="shared" si="1256"/>
        <v>795.12036594676476</v>
      </c>
      <c r="DY346" s="25">
        <f t="shared" si="1502"/>
        <v>307.76643378505355</v>
      </c>
      <c r="EA346" s="4">
        <f t="shared" si="1503"/>
        <v>0.60934374999999996</v>
      </c>
      <c r="EB346" s="4">
        <f t="shared" si="1257"/>
        <v>13.651370648787429</v>
      </c>
      <c r="EE346" s="4">
        <f t="shared" si="1258"/>
        <v>80.72246279691916</v>
      </c>
      <c r="EF346" s="4">
        <f t="shared" si="1451"/>
        <v>3.1780497164141406</v>
      </c>
      <c r="EG346" s="4">
        <f t="shared" si="1259"/>
        <v>6.428729657182139E-2</v>
      </c>
      <c r="EJ346" s="4">
        <f t="shared" si="1452"/>
        <v>6.428729657182139E-2</v>
      </c>
      <c r="EK346" s="4">
        <f t="shared" si="1260"/>
        <v>0.12880576264235638</v>
      </c>
      <c r="EL346" s="4">
        <f t="shared" si="1453"/>
        <v>6.0138193164974663</v>
      </c>
      <c r="EM346" s="4">
        <f t="shared" si="1454"/>
        <v>10.557557097376879</v>
      </c>
      <c r="EN346" s="4" t="e">
        <f t="shared" si="1455"/>
        <v>#REF!</v>
      </c>
      <c r="EO346" s="4" t="e">
        <f t="shared" si="1456"/>
        <v>#REF!</v>
      </c>
      <c r="EP346" s="4" t="e">
        <f t="shared" si="1261"/>
        <v>#REF!</v>
      </c>
      <c r="EQ346" s="4" t="e">
        <f t="shared" si="1457"/>
        <v>#REF!</v>
      </c>
      <c r="ER346" s="4" t="e">
        <f t="shared" si="1262"/>
        <v>#REF!</v>
      </c>
      <c r="FA346" s="23" t="e">
        <f t="shared" si="1383"/>
        <v>#REF!</v>
      </c>
      <c r="FB346" s="23" t="e">
        <f t="shared" si="1384"/>
        <v>#REF!</v>
      </c>
      <c r="FC346" s="23">
        <f t="shared" si="1317"/>
        <v>1.6</v>
      </c>
      <c r="FD346" s="23" t="e">
        <f t="shared" si="1385"/>
        <v>#REF!</v>
      </c>
      <c r="FE346" s="23">
        <f t="shared" si="1386"/>
        <v>1.4</v>
      </c>
      <c r="FF346" s="23">
        <f t="shared" si="1387"/>
        <v>1.2</v>
      </c>
      <c r="FG346" s="23">
        <f t="shared" si="1266"/>
        <v>0</v>
      </c>
      <c r="FH346" s="23"/>
      <c r="FR346" s="4">
        <f t="shared" si="1485"/>
        <v>1</v>
      </c>
      <c r="FS346" s="4">
        <f t="shared" si="1486"/>
        <v>0.59965116279069774</v>
      </c>
      <c r="FT346" s="4">
        <f t="shared" si="1487"/>
        <v>0.3</v>
      </c>
      <c r="FU346" s="4">
        <f t="shared" si="1488"/>
        <v>597.34558617819494</v>
      </c>
    </row>
    <row r="347" spans="2:177" ht="12" customHeight="1" x14ac:dyDescent="0.3">
      <c r="B347" s="24"/>
      <c r="C347" s="7" t="s">
        <v>487</v>
      </c>
      <c r="D347" s="38">
        <f t="shared" si="1483"/>
        <v>889.65517241379314</v>
      </c>
      <c r="E347" s="38">
        <f>12*25.4</f>
        <v>304.79999999999995</v>
      </c>
      <c r="F347" s="38">
        <f>12040/145</f>
        <v>83.034482758620683</v>
      </c>
      <c r="G347" s="38">
        <f t="shared" si="1341"/>
        <v>25.4</v>
      </c>
      <c r="H347" s="38">
        <f>14.9*25.4</f>
        <v>378.46</v>
      </c>
      <c r="I347" s="38">
        <f>2.45*25.4</f>
        <v>62.230000000000004</v>
      </c>
      <c r="J347" s="39">
        <f t="shared" ref="J347" si="1514">3*25.4</f>
        <v>76.199999999999989</v>
      </c>
      <c r="K347" s="7">
        <f t="shared" si="1339"/>
        <v>50.800000000000004</v>
      </c>
      <c r="L347" s="38">
        <v>4</v>
      </c>
      <c r="M347" s="4">
        <f t="shared" si="1357"/>
        <v>260.34999999999997</v>
      </c>
      <c r="N347" s="7">
        <f t="shared" si="1224"/>
        <v>1.5000000000000002</v>
      </c>
      <c r="O347" s="7">
        <f t="shared" si="1225"/>
        <v>2.95</v>
      </c>
      <c r="P347" s="38">
        <v>4.0999999999999996</v>
      </c>
      <c r="Q347" s="4">
        <f t="shared" si="1342"/>
        <v>4.0999999999999996</v>
      </c>
      <c r="R347" s="4">
        <f t="shared" si="1226"/>
        <v>5.0999999999999996</v>
      </c>
      <c r="S347" s="7">
        <f t="shared" si="1227"/>
        <v>57.361276136431961</v>
      </c>
      <c r="V347" s="38">
        <f t="shared" si="1395"/>
        <v>430.34482758620692</v>
      </c>
      <c r="W347" s="4">
        <v>62.4</v>
      </c>
      <c r="X347" s="4">
        <f t="shared" si="1228"/>
        <v>0.73708254508719195</v>
      </c>
      <c r="Y347" s="38"/>
      <c r="Z347" s="38"/>
      <c r="AA347" s="39">
        <v>1</v>
      </c>
      <c r="AB347" s="39"/>
      <c r="AC347" s="39"/>
      <c r="AD347" s="7"/>
      <c r="AE347" s="4">
        <f t="shared" si="1229"/>
        <v>304.79999999999995</v>
      </c>
      <c r="AF347" s="4">
        <f t="shared" si="1230"/>
        <v>0.41388888888888886</v>
      </c>
      <c r="AG347" s="4">
        <f t="shared" si="1231"/>
        <v>239.24032317976457</v>
      </c>
      <c r="AH347" s="4">
        <f t="shared" si="1232"/>
        <v>0.74916666666666665</v>
      </c>
      <c r="AI347" s="4">
        <v>1.25</v>
      </c>
      <c r="AJ347" s="4">
        <f t="shared" si="1513"/>
        <v>2.5</v>
      </c>
      <c r="AK347" s="38">
        <f t="shared" si="1340"/>
        <v>231.81771216907291</v>
      </c>
      <c r="AL347" s="38">
        <f t="shared" si="1264"/>
        <v>231.81771216907291</v>
      </c>
      <c r="AM347" s="38">
        <f t="shared" si="1233"/>
        <v>4.9032987715448586</v>
      </c>
      <c r="AN347" s="38">
        <f t="shared" si="1161"/>
        <v>231.81771216907282</v>
      </c>
      <c r="AO347" s="38">
        <f t="shared" si="1484"/>
        <v>1.0000000000000004</v>
      </c>
      <c r="AP347" s="38">
        <f t="shared" si="1162"/>
        <v>3.0171515717896407</v>
      </c>
      <c r="AQ347" s="4">
        <f t="shared" si="1163"/>
        <v>0</v>
      </c>
      <c r="AR347" s="4" t="e">
        <f>#REF!/G347*F347^0.5/0.19</f>
        <v>#REF!</v>
      </c>
      <c r="AS347" s="4">
        <f t="shared" si="1234"/>
        <v>1.3866666666666667</v>
      </c>
      <c r="AT347" s="38">
        <f t="shared" si="1235"/>
        <v>699.42917463959657</v>
      </c>
      <c r="AU347" s="4">
        <f t="shared" si="1236"/>
        <v>0.42600000000000005</v>
      </c>
      <c r="AV347" s="4" t="e">
        <f>AU347*D347*#REF!/(D347*G347/2.75/F347^0.5)</f>
        <v>#REF!</v>
      </c>
      <c r="AW347" s="4" t="e">
        <f t="shared" si="1431"/>
        <v>#REF!</v>
      </c>
      <c r="AY347" s="4">
        <f t="shared" si="1237"/>
        <v>1.3625</v>
      </c>
      <c r="AZ347" s="4" t="e">
        <f>(3*#REF!+30)*AY347*F347^0.5</f>
        <v>#REF!</v>
      </c>
      <c r="BB347" s="4">
        <f t="shared" si="1238"/>
        <v>670.83811309381031</v>
      </c>
      <c r="BC347" s="4">
        <f t="shared" si="1464"/>
        <v>0</v>
      </c>
      <c r="BD347" s="4">
        <f t="shared" si="1432"/>
        <v>0</v>
      </c>
      <c r="BL347" s="4">
        <f t="shared" si="1239"/>
        <v>25.400000000000002</v>
      </c>
      <c r="BP347" s="9"/>
      <c r="BR347" s="9"/>
      <c r="BS347" s="9"/>
      <c r="BT347" s="9">
        <f t="shared" si="1240"/>
        <v>25.400000000000002</v>
      </c>
      <c r="BU347" s="9">
        <f t="shared" si="1241"/>
        <v>62.230000000000004</v>
      </c>
      <c r="BV347" s="9">
        <f t="shared" si="1242"/>
        <v>1.143865371392744</v>
      </c>
      <c r="BW347" s="40">
        <f t="shared" si="1343"/>
        <v>0</v>
      </c>
      <c r="BX347" s="9">
        <f t="shared" si="1243"/>
        <v>0</v>
      </c>
      <c r="BY347" s="9">
        <f t="shared" si="1433"/>
        <v>0</v>
      </c>
      <c r="BZ347" s="9">
        <f t="shared" si="1244"/>
        <v>0.99524931562137331</v>
      </c>
      <c r="CA347" s="9">
        <f t="shared" si="1245"/>
        <v>0.68</v>
      </c>
      <c r="CB347" s="9">
        <f t="shared" si="1246"/>
        <v>2.1584305883972208</v>
      </c>
      <c r="CC347" s="9">
        <f t="shared" si="1247"/>
        <v>2.4689540066224458</v>
      </c>
      <c r="CD347" s="40">
        <v>1</v>
      </c>
      <c r="CE347" s="9" t="e">
        <f>4*CC347*#REF!+60*CC347</f>
        <v>#REF!</v>
      </c>
      <c r="CG347" s="4" t="e">
        <f t="shared" si="1434"/>
        <v>#REF!</v>
      </c>
      <c r="CH347" s="4" t="e">
        <f t="shared" si="1435"/>
        <v>#REF!</v>
      </c>
      <c r="CI347" s="4" t="e">
        <f t="shared" si="1436"/>
        <v>#REF!</v>
      </c>
      <c r="CJ347" s="4" t="e">
        <f t="shared" si="1437"/>
        <v>#REF!</v>
      </c>
      <c r="CK347" s="4">
        <f t="shared" si="1438"/>
        <v>0.73708254508719195</v>
      </c>
      <c r="CL347" s="4">
        <f t="shared" si="1439"/>
        <v>0.73918547860307671</v>
      </c>
      <c r="CM347" s="4">
        <f t="shared" si="1310"/>
        <v>1.3651469896302668</v>
      </c>
      <c r="CN347" s="4">
        <f t="shared" si="1344"/>
        <v>0</v>
      </c>
      <c r="CO347" s="4" t="e">
        <f t="shared" ref="CO347:CO348" si="1515">CG347</f>
        <v>#REF!</v>
      </c>
      <c r="CP347" s="4" t="e">
        <f t="shared" ref="CP347:CP348" si="1516">CH347</f>
        <v>#REF!</v>
      </c>
      <c r="CQ347" s="4" t="e">
        <f t="shared" ref="CQ347:CQ348" si="1517">CJ347</f>
        <v>#REF!</v>
      </c>
      <c r="CR347" s="4">
        <f t="shared" ref="CR347:CR348" si="1518">CM347</f>
        <v>1.3651469896302668</v>
      </c>
      <c r="CS347" s="4">
        <f t="shared" ref="CS347:CS348" si="1519">CK347</f>
        <v>0.73708254508719195</v>
      </c>
      <c r="CT347" s="4">
        <f t="shared" ref="CT347:CT348" si="1520">CL347</f>
        <v>0.73918547860307671</v>
      </c>
      <c r="DC347" s="4" t="e">
        <f>#REF!</f>
        <v>#REF!</v>
      </c>
      <c r="DF347" s="4">
        <f t="shared" si="1248"/>
        <v>2.9946255038411594E-5</v>
      </c>
      <c r="DG347" s="4">
        <f t="shared" si="1446"/>
        <v>9.7863263338494875</v>
      </c>
      <c r="DH347" s="4">
        <f t="shared" si="1249"/>
        <v>0.15198123013066148</v>
      </c>
      <c r="DI347" s="4">
        <f t="shared" si="1447"/>
        <v>4.6061245351468303</v>
      </c>
      <c r="DJ347" s="4">
        <f t="shared" si="1448"/>
        <v>7.6533699014560153</v>
      </c>
      <c r="DK347" s="4">
        <f t="shared" si="1250"/>
        <v>8.6697049627497993</v>
      </c>
      <c r="DL347" s="38">
        <f t="shared" si="1251"/>
        <v>583.8488924402626</v>
      </c>
      <c r="DM347" s="4" t="e">
        <f t="shared" si="1449"/>
        <v>#REF!</v>
      </c>
      <c r="DN347" s="4">
        <f t="shared" si="1252"/>
        <v>2.2583179581272428</v>
      </c>
      <c r="DO347" s="4">
        <f t="shared" si="1309"/>
        <v>231.81771216907282</v>
      </c>
      <c r="DS347" s="4">
        <f t="shared" si="1253"/>
        <v>0.85</v>
      </c>
      <c r="DT347" s="4">
        <f t="shared" si="1254"/>
        <v>1</v>
      </c>
      <c r="DU347" s="4">
        <f t="shared" si="1255"/>
        <v>1</v>
      </c>
      <c r="DV347" s="4">
        <f t="shared" si="1450"/>
        <v>1</v>
      </c>
      <c r="DX347" s="4">
        <f t="shared" si="1256"/>
        <v>582.18788117899544</v>
      </c>
      <c r="DY347" s="25">
        <f t="shared" si="1502"/>
        <v>229.88013316041389</v>
      </c>
      <c r="EA347" s="4">
        <f t="shared" si="1503"/>
        <v>0.85</v>
      </c>
      <c r="EB347" s="4">
        <f t="shared" si="1257"/>
        <v>9.7863263338494875</v>
      </c>
      <c r="EE347" s="4">
        <f t="shared" si="1258"/>
        <v>57.361276136431961</v>
      </c>
      <c r="EF347" s="4">
        <f t="shared" si="1451"/>
        <v>2.2583179581272428</v>
      </c>
      <c r="EG347" s="4">
        <f t="shared" si="1259"/>
        <v>7.5727647069952941E-2</v>
      </c>
      <c r="EJ347" s="4">
        <f t="shared" si="1452"/>
        <v>7.5727647069952941E-2</v>
      </c>
      <c r="EK347" s="4">
        <f t="shared" si="1260"/>
        <v>0.15172760178302419</v>
      </c>
      <c r="EL347" s="4">
        <f t="shared" si="1453"/>
        <v>4.6030482890885303</v>
      </c>
      <c r="EM347" s="4">
        <f t="shared" si="1454"/>
        <v>7.652458333597421</v>
      </c>
      <c r="EN347" s="4" t="e">
        <f t="shared" si="1455"/>
        <v>#REF!</v>
      </c>
      <c r="EO347" s="4" t="e">
        <f t="shared" si="1456"/>
        <v>#REF!</v>
      </c>
      <c r="EP347" s="4" t="e">
        <f t="shared" si="1261"/>
        <v>#REF!</v>
      </c>
      <c r="EQ347" s="4" t="e">
        <f t="shared" si="1457"/>
        <v>#REF!</v>
      </c>
      <c r="ER347" s="4" t="e">
        <f t="shared" si="1262"/>
        <v>#REF!</v>
      </c>
      <c r="FA347" s="23" t="e">
        <f t="shared" si="1383"/>
        <v>#REF!</v>
      </c>
      <c r="FB347" s="23" t="e">
        <f t="shared" si="1384"/>
        <v>#REF!</v>
      </c>
      <c r="FC347" s="23">
        <f t="shared" si="1317"/>
        <v>1.4</v>
      </c>
      <c r="FD347" s="23" t="e">
        <f t="shared" si="1385"/>
        <v>#REF!</v>
      </c>
      <c r="FE347" s="23">
        <f t="shared" si="1386"/>
        <v>0.8</v>
      </c>
      <c r="FF347" s="23">
        <f t="shared" si="1387"/>
        <v>0.8</v>
      </c>
      <c r="FG347" s="23">
        <f t="shared" si="1266"/>
        <v>1</v>
      </c>
      <c r="FH347" s="23"/>
      <c r="FR347" s="4">
        <f t="shared" si="1485"/>
        <v>1.25</v>
      </c>
      <c r="FS347" s="4">
        <f t="shared" si="1486"/>
        <v>0.91666666666666663</v>
      </c>
      <c r="FT347" s="4">
        <f t="shared" si="1487"/>
        <v>0</v>
      </c>
      <c r="FU347" s="4">
        <f t="shared" si="1488"/>
        <v>315.23698975651001</v>
      </c>
    </row>
    <row r="348" spans="2:177" ht="12" customHeight="1" x14ac:dyDescent="0.3">
      <c r="B348" s="24"/>
      <c r="C348" s="7" t="s">
        <v>488</v>
      </c>
      <c r="D348" s="38">
        <f t="shared" si="1483"/>
        <v>889.65517241379314</v>
      </c>
      <c r="E348" s="38">
        <f>12.17*25.4</f>
        <v>309.11799999999999</v>
      </c>
      <c r="F348" s="38">
        <f>12360/145</f>
        <v>85.241379310344826</v>
      </c>
      <c r="G348" s="38">
        <f t="shared" si="1341"/>
        <v>25.4</v>
      </c>
      <c r="H348" s="38">
        <f>15*25.4</f>
        <v>381</v>
      </c>
      <c r="I348" s="38">
        <f t="shared" si="1345"/>
        <v>63.5</v>
      </c>
      <c r="J348" s="39">
        <f>3*25.4</f>
        <v>76.199999999999989</v>
      </c>
      <c r="K348" s="7">
        <f t="shared" si="1339"/>
        <v>50.79999999999999</v>
      </c>
      <c r="L348" s="38">
        <v>4</v>
      </c>
      <c r="M348" s="4">
        <f t="shared" si="1357"/>
        <v>260.34999999999997</v>
      </c>
      <c r="N348" s="7">
        <f t="shared" si="1224"/>
        <v>1.5</v>
      </c>
      <c r="O348" s="7">
        <f t="shared" si="1225"/>
        <v>3</v>
      </c>
      <c r="P348" s="38">
        <v>9.1</v>
      </c>
      <c r="Q348" s="4">
        <f t="shared" si="1342"/>
        <v>9.1</v>
      </c>
      <c r="R348" s="4">
        <f t="shared" si="1226"/>
        <v>10.1</v>
      </c>
      <c r="S348" s="7">
        <f t="shared" si="1227"/>
        <v>80.72246279691916</v>
      </c>
      <c r="V348" s="38">
        <f t="shared" si="1395"/>
        <v>439.31034482758628</v>
      </c>
      <c r="W348" s="4">
        <v>63.7</v>
      </c>
      <c r="X348" s="4">
        <f t="shared" si="1228"/>
        <v>0.76475423221277683</v>
      </c>
      <c r="Y348" s="38"/>
      <c r="Z348" s="38"/>
      <c r="AA348" s="39">
        <v>1</v>
      </c>
      <c r="AB348" s="39"/>
      <c r="AC348" s="39"/>
      <c r="AD348" s="7"/>
      <c r="AE348" s="4">
        <f t="shared" si="1229"/>
        <v>309.11799999999999</v>
      </c>
      <c r="AF348" s="4">
        <f t="shared" si="1230"/>
        <v>0.41084634346754317</v>
      </c>
      <c r="AG348" s="4">
        <f t="shared" si="1231"/>
        <v>247.56792156546703</v>
      </c>
      <c r="AH348" s="4">
        <f t="shared" si="1232"/>
        <v>0.74930156121610514</v>
      </c>
      <c r="AI348" s="4">
        <v>1.25</v>
      </c>
      <c r="AJ348" s="4">
        <f t="shared" si="1513"/>
        <v>2.5</v>
      </c>
      <c r="AK348" s="38">
        <f t="shared" si="1340"/>
        <v>238.16638010480526</v>
      </c>
      <c r="AL348" s="38">
        <f t="shared" si="1264"/>
        <v>238.16638010480526</v>
      </c>
      <c r="AM348" s="38">
        <f t="shared" si="1233"/>
        <v>4.9491074410379952</v>
      </c>
      <c r="AN348" s="38">
        <f t="shared" ref="AN348:AN411" si="1521">AJ348* (F348^0.5/AE348^0.5)/(PI()/4*G348^2)/L348/0.72 *(0.7+(MIN(I348,M348)+0.5*G348)/5/E348) *(3*H348*E348)</f>
        <v>238.16638010480509</v>
      </c>
      <c r="AO348" s="38">
        <f t="shared" si="1484"/>
        <v>1.0000000000000007</v>
      </c>
      <c r="AP348" s="38">
        <f t="shared" ref="AP348:AP411" si="1522">AT348/AN348</f>
        <v>4.5346106033999751</v>
      </c>
      <c r="AQ348" s="4">
        <f t="shared" ref="AQ348:AQ411" si="1523">IF(AP348&lt;1,1,0)</f>
        <v>0</v>
      </c>
      <c r="AR348" s="4" t="e">
        <f>#REF!/G348*F348^0.5/0.19</f>
        <v>#REF!</v>
      </c>
      <c r="AS348" s="4">
        <f t="shared" si="1234"/>
        <v>1.4</v>
      </c>
      <c r="AT348" s="38">
        <f t="shared" si="1235"/>
        <v>1079.9917925966381</v>
      </c>
      <c r="AU348" s="4">
        <f t="shared" si="1236"/>
        <v>0.3</v>
      </c>
      <c r="AV348" s="4" t="e">
        <f>AU348*D348*#REF!/(D348*G348/2.75/F348^0.5)</f>
        <v>#REF!</v>
      </c>
      <c r="AW348" s="4" t="e">
        <f t="shared" si="1431"/>
        <v>#REF!</v>
      </c>
      <c r="AY348" s="4">
        <f t="shared" si="1237"/>
        <v>1.375</v>
      </c>
      <c r="AZ348" s="4" t="e">
        <f>(3*#REF!+30)*AY348*F348^0.5</f>
        <v>#REF!</v>
      </c>
      <c r="BB348" s="4">
        <f t="shared" si="1238"/>
        <v>1035.8442034901566</v>
      </c>
      <c r="BC348" s="4">
        <f t="shared" si="1464"/>
        <v>0</v>
      </c>
      <c r="BD348" s="4">
        <f t="shared" si="1432"/>
        <v>0</v>
      </c>
      <c r="BL348" s="4">
        <f t="shared" si="1239"/>
        <v>25.399999999999995</v>
      </c>
      <c r="BP348" s="9"/>
      <c r="BR348" s="9"/>
      <c r="BS348" s="9"/>
      <c r="BT348" s="9">
        <f t="shared" si="1240"/>
        <v>25.399999999999995</v>
      </c>
      <c r="BU348" s="9">
        <f t="shared" si="1241"/>
        <v>63.5</v>
      </c>
      <c r="BV348" s="9">
        <f t="shared" si="1242"/>
        <v>1.1473370055629852</v>
      </c>
      <c r="BW348" s="40">
        <f t="shared" si="1343"/>
        <v>0</v>
      </c>
      <c r="BX348" s="9">
        <f t="shared" si="1243"/>
        <v>0</v>
      </c>
      <c r="BY348" s="9">
        <f t="shared" si="1433"/>
        <v>0</v>
      </c>
      <c r="BZ348" s="9">
        <f t="shared" si="1244"/>
        <v>0.99524931562137331</v>
      </c>
      <c r="CA348" s="9">
        <f t="shared" si="1245"/>
        <v>0.68</v>
      </c>
      <c r="CB348" s="9">
        <f t="shared" si="1246"/>
        <v>2.1869259549958526</v>
      </c>
      <c r="CC348" s="9">
        <f t="shared" si="1247"/>
        <v>2.5091410765929134</v>
      </c>
      <c r="CD348" s="40">
        <v>1</v>
      </c>
      <c r="CE348" s="9" t="e">
        <f>4*CC348*#REF!+60*CC348</f>
        <v>#REF!</v>
      </c>
      <c r="CG348" s="4" t="e">
        <f t="shared" si="1434"/>
        <v>#REF!</v>
      </c>
      <c r="CH348" s="4" t="e">
        <f t="shared" si="1435"/>
        <v>#REF!</v>
      </c>
      <c r="CI348" s="4" t="e">
        <f t="shared" si="1436"/>
        <v>#REF!</v>
      </c>
      <c r="CJ348" s="4" t="e">
        <f t="shared" si="1437"/>
        <v>#REF!</v>
      </c>
      <c r="CK348" s="4">
        <f t="shared" si="1438"/>
        <v>0.76475423221277683</v>
      </c>
      <c r="CL348" s="4">
        <f t="shared" si="1439"/>
        <v>0.73435132953628823</v>
      </c>
      <c r="CM348" s="4">
        <f t="shared" si="1310"/>
        <v>1.0921113414829737</v>
      </c>
      <c r="CN348" s="4">
        <f t="shared" si="1344"/>
        <v>0</v>
      </c>
      <c r="CO348" s="4" t="e">
        <f t="shared" si="1515"/>
        <v>#REF!</v>
      </c>
      <c r="CP348" s="4" t="e">
        <f t="shared" si="1516"/>
        <v>#REF!</v>
      </c>
      <c r="CQ348" s="4" t="e">
        <f t="shared" si="1517"/>
        <v>#REF!</v>
      </c>
      <c r="CR348" s="4">
        <f t="shared" si="1518"/>
        <v>1.0921113414829737</v>
      </c>
      <c r="CS348" s="4">
        <f t="shared" si="1519"/>
        <v>0.76475423221277683</v>
      </c>
      <c r="CT348" s="4">
        <f t="shared" si="1520"/>
        <v>0.73435132953628823</v>
      </c>
      <c r="DC348" s="4" t="e">
        <f>#REF!</f>
        <v>#REF!</v>
      </c>
      <c r="DF348" s="4">
        <f t="shared" si="1248"/>
        <v>3.0775330482386827E-5</v>
      </c>
      <c r="DG348" s="4">
        <f t="shared" si="1446"/>
        <v>9.9155243530194994</v>
      </c>
      <c r="DH348" s="4">
        <f t="shared" si="1249"/>
        <v>9.6438373081566373E-2</v>
      </c>
      <c r="DI348" s="4">
        <f t="shared" si="1447"/>
        <v>3.8905915176890846</v>
      </c>
      <c r="DJ348" s="4">
        <f t="shared" si="1448"/>
        <v>7.5418383622167751</v>
      </c>
      <c r="DK348" s="4">
        <f t="shared" si="1250"/>
        <v>8.8202888686208603</v>
      </c>
      <c r="DL348" s="38">
        <f t="shared" si="1251"/>
        <v>574.44643824521836</v>
      </c>
      <c r="DM348" s="4" t="e">
        <f t="shared" si="1449"/>
        <v>#REF!</v>
      </c>
      <c r="DN348" s="4">
        <f t="shared" si="1252"/>
        <v>3.1780497164141401</v>
      </c>
      <c r="DO348" s="4">
        <f t="shared" si="1309"/>
        <v>238.16638010480509</v>
      </c>
      <c r="DS348" s="4">
        <f t="shared" si="1253"/>
        <v>0.85</v>
      </c>
      <c r="DT348" s="4">
        <f t="shared" si="1254"/>
        <v>1</v>
      </c>
      <c r="DU348" s="4">
        <f t="shared" si="1255"/>
        <v>1</v>
      </c>
      <c r="DV348" s="4">
        <f t="shared" si="1450"/>
        <v>1</v>
      </c>
      <c r="DX348" s="4">
        <f t="shared" si="1256"/>
        <v>598.22911344763565</v>
      </c>
      <c r="DY348" s="25">
        <f t="shared" si="1502"/>
        <v>236.21331931889364</v>
      </c>
      <c r="EA348" s="4">
        <f t="shared" si="1503"/>
        <v>0.85</v>
      </c>
      <c r="EB348" s="4">
        <f t="shared" si="1257"/>
        <v>9.9155243530194994</v>
      </c>
      <c r="EE348" s="4">
        <f t="shared" si="1258"/>
        <v>80.72246279691916</v>
      </c>
      <c r="EF348" s="4">
        <f t="shared" si="1451"/>
        <v>3.1780497164141406</v>
      </c>
      <c r="EG348" s="4">
        <f t="shared" si="1259"/>
        <v>4.868670402844448E-2</v>
      </c>
      <c r="EJ348" s="4">
        <f t="shared" si="1452"/>
        <v>4.868670402844448E-2</v>
      </c>
      <c r="EK348" s="4">
        <f t="shared" si="1260"/>
        <v>9.6277435410562634E-2</v>
      </c>
      <c r="EL348" s="4">
        <f t="shared" si="1453"/>
        <v>3.887993147469297</v>
      </c>
      <c r="EM348" s="4">
        <f t="shared" si="1454"/>
        <v>7.5411879057167894</v>
      </c>
      <c r="EN348" s="4" t="e">
        <f t="shared" si="1455"/>
        <v>#REF!</v>
      </c>
      <c r="EO348" s="4" t="e">
        <f t="shared" si="1456"/>
        <v>#REF!</v>
      </c>
      <c r="EP348" s="4" t="e">
        <f t="shared" si="1261"/>
        <v>#REF!</v>
      </c>
      <c r="EQ348" s="4" t="e">
        <f t="shared" si="1457"/>
        <v>#REF!</v>
      </c>
      <c r="ER348" s="4" t="e">
        <f t="shared" si="1262"/>
        <v>#REF!</v>
      </c>
      <c r="FA348" s="23" t="e">
        <f t="shared" si="1383"/>
        <v>#REF!</v>
      </c>
      <c r="FB348" s="23" t="e">
        <f t="shared" si="1384"/>
        <v>#REF!</v>
      </c>
      <c r="FC348" s="23">
        <f t="shared" si="1317"/>
        <v>1.2</v>
      </c>
      <c r="FD348" s="23" t="e">
        <f t="shared" si="1385"/>
        <v>#REF!</v>
      </c>
      <c r="FE348" s="23">
        <f t="shared" si="1386"/>
        <v>0.8</v>
      </c>
      <c r="FF348" s="23">
        <f t="shared" si="1387"/>
        <v>0.8</v>
      </c>
      <c r="FG348" s="23">
        <f t="shared" si="1266"/>
        <v>1</v>
      </c>
      <c r="FH348" s="23"/>
      <c r="FR348" s="4">
        <f t="shared" si="1485"/>
        <v>1</v>
      </c>
      <c r="FS348" s="4">
        <f t="shared" si="1486"/>
        <v>0.91666666666666663</v>
      </c>
      <c r="FT348" s="4">
        <f t="shared" si="1487"/>
        <v>0</v>
      </c>
      <c r="FU348" s="4">
        <f t="shared" si="1488"/>
        <v>402.25783593735827</v>
      </c>
    </row>
    <row r="349" spans="2:177" ht="12" customHeight="1" x14ac:dyDescent="0.3">
      <c r="B349" s="24"/>
      <c r="C349" s="7" t="s">
        <v>489</v>
      </c>
      <c r="D349" s="38">
        <f t="shared" si="1483"/>
        <v>889.65517241379314</v>
      </c>
      <c r="E349" s="38">
        <f>12.03*25.4</f>
        <v>305.56199999999995</v>
      </c>
      <c r="F349" s="38">
        <f>12360/145</f>
        <v>85.241379310344826</v>
      </c>
      <c r="G349" s="38">
        <f t="shared" si="1341"/>
        <v>25.4</v>
      </c>
      <c r="H349" s="38">
        <f>15.1*25.4</f>
        <v>383.53999999999996</v>
      </c>
      <c r="I349" s="38">
        <f>2.45*25.4</f>
        <v>62.230000000000004</v>
      </c>
      <c r="J349" s="39">
        <f>3.1*25.4</f>
        <v>78.739999999999995</v>
      </c>
      <c r="K349" s="7">
        <f t="shared" si="1339"/>
        <v>52.493333333333311</v>
      </c>
      <c r="L349" s="38">
        <v>4</v>
      </c>
      <c r="M349" s="4">
        <f t="shared" si="1357"/>
        <v>260.34999999999997</v>
      </c>
      <c r="N349" s="7">
        <f t="shared" si="1224"/>
        <v>1.533333333333333</v>
      </c>
      <c r="O349" s="7">
        <f t="shared" si="1225"/>
        <v>2.95</v>
      </c>
      <c r="P349" s="38">
        <v>4.0999999999999996</v>
      </c>
      <c r="Q349" s="4">
        <f t="shared" si="1342"/>
        <v>4.0999999999999996</v>
      </c>
      <c r="R349" s="4">
        <f t="shared" si="1226"/>
        <v>5.0999999999999996</v>
      </c>
      <c r="S349" s="7">
        <f t="shared" si="1227"/>
        <v>57.361276136431961</v>
      </c>
      <c r="V349" s="38">
        <f t="shared" si="1395"/>
        <v>560.00000000000011</v>
      </c>
      <c r="W349" s="4">
        <v>81.2</v>
      </c>
      <c r="X349" s="4">
        <f t="shared" si="1228"/>
        <v>0.80505769112623204</v>
      </c>
      <c r="Y349" s="38">
        <f t="shared" ref="Y349:Y350" si="1524">0.5*25.4</f>
        <v>12.7</v>
      </c>
      <c r="Z349" s="38">
        <v>10</v>
      </c>
      <c r="AA349" s="39">
        <f t="shared" ref="AA349:AA350" si="1525">3*25.4</f>
        <v>76.199999999999989</v>
      </c>
      <c r="AB349" s="39">
        <v>3</v>
      </c>
      <c r="AC349" s="39">
        <f t="shared" ref="AC349:AC350" si="1526">AB349-1</f>
        <v>2</v>
      </c>
      <c r="AD349" s="7"/>
      <c r="AE349" s="4">
        <f t="shared" si="1229"/>
        <v>305.56199999999995</v>
      </c>
      <c r="AF349" s="4">
        <f t="shared" si="1230"/>
        <v>0.41839844832363543</v>
      </c>
      <c r="AG349" s="4">
        <f t="shared" si="1231"/>
        <v>243.30831117709874</v>
      </c>
      <c r="AH349" s="4">
        <f t="shared" si="1232"/>
        <v>0.74904405652535322</v>
      </c>
      <c r="AI349" s="4">
        <v>1.25</v>
      </c>
      <c r="AJ349" s="4">
        <f t="shared" si="1513"/>
        <v>2.5</v>
      </c>
      <c r="AK349" s="38">
        <f t="shared" si="1340"/>
        <v>238.28921881887709</v>
      </c>
      <c r="AL349" s="38">
        <f t="shared" si="1264"/>
        <v>238.28921881887709</v>
      </c>
      <c r="AM349" s="38">
        <f t="shared" si="1233"/>
        <v>4.9491074410379952</v>
      </c>
      <c r="AN349" s="38">
        <f t="shared" si="1521"/>
        <v>238.28921881887737</v>
      </c>
      <c r="AO349" s="38">
        <f t="shared" si="1484"/>
        <v>0.99999999999999878</v>
      </c>
      <c r="AP349" s="38">
        <f t="shared" si="1522"/>
        <v>3.042196719936292</v>
      </c>
      <c r="AQ349" s="4">
        <f t="shared" si="1523"/>
        <v>0</v>
      </c>
      <c r="AR349" s="4" t="e">
        <f>#REF!/G349*F349^0.5/0.19</f>
        <v>#REF!</v>
      </c>
      <c r="AS349" s="4">
        <f t="shared" si="1234"/>
        <v>1.3695652173913047</v>
      </c>
      <c r="AT349" s="38">
        <f t="shared" si="1235"/>
        <v>724.92267988697006</v>
      </c>
      <c r="AU349" s="4">
        <f t="shared" si="1236"/>
        <v>0.42600000000000005</v>
      </c>
      <c r="AV349" s="4" t="e">
        <f>AU349*D349*#REF!/(D349*G349/2.75/F349^0.5)</f>
        <v>#REF!</v>
      </c>
      <c r="AW349" s="4" t="e">
        <f t="shared" si="1431"/>
        <v>#REF!</v>
      </c>
      <c r="AY349" s="4">
        <f t="shared" si="1237"/>
        <v>1.5</v>
      </c>
      <c r="AZ349" s="4" t="e">
        <f>(3*#REF!+30)*AY349*F349^0.5</f>
        <v>#REF!</v>
      </c>
      <c r="BB349" s="4">
        <f t="shared" si="1238"/>
        <v>695.28950227858024</v>
      </c>
      <c r="BC349" s="4">
        <f t="shared" si="1464"/>
        <v>0</v>
      </c>
      <c r="BD349" s="4">
        <f t="shared" si="1432"/>
        <v>0</v>
      </c>
      <c r="BL349" s="4">
        <f t="shared" si="1239"/>
        <v>26.246666666666655</v>
      </c>
      <c r="BP349" s="9"/>
      <c r="BR349" s="9"/>
      <c r="BS349" s="9"/>
      <c r="BT349" s="9">
        <f t="shared" si="1240"/>
        <v>26.246666666666655</v>
      </c>
      <c r="BU349" s="9">
        <f t="shared" si="1241"/>
        <v>62.230000000000004</v>
      </c>
      <c r="BV349" s="9">
        <f t="shared" si="1242"/>
        <v>1.1570684888602492</v>
      </c>
      <c r="BW349" s="40">
        <f t="shared" si="1343"/>
        <v>20</v>
      </c>
      <c r="BX349" s="9">
        <f t="shared" si="1243"/>
        <v>0.05</v>
      </c>
      <c r="BY349" s="9">
        <f t="shared" si="1433"/>
        <v>0.8</v>
      </c>
      <c r="BZ349" s="9">
        <f t="shared" si="1244"/>
        <v>0.99524931562137331</v>
      </c>
      <c r="CA349" s="9">
        <f t="shared" si="1245"/>
        <v>0.68</v>
      </c>
      <c r="CB349" s="9">
        <f t="shared" si="1246"/>
        <v>2.1869259549958526</v>
      </c>
      <c r="CC349" s="9">
        <f t="shared" si="1247"/>
        <v>4.2799638739929904</v>
      </c>
      <c r="CD349" s="40">
        <v>1</v>
      </c>
      <c r="CE349" s="9" t="e">
        <f>4*CC349*#REF!+60*CC349</f>
        <v>#REF!</v>
      </c>
      <c r="CG349" s="4" t="e">
        <f t="shared" si="1434"/>
        <v>#REF!</v>
      </c>
      <c r="CH349" s="4" t="e">
        <f t="shared" si="1435"/>
        <v>#REF!</v>
      </c>
      <c r="CI349" s="4" t="e">
        <f t="shared" si="1436"/>
        <v>#REF!</v>
      </c>
      <c r="CJ349" s="4" t="e">
        <f t="shared" si="1437"/>
        <v>#REF!</v>
      </c>
      <c r="CK349" s="4">
        <f t="shared" si="1438"/>
        <v>0.80505769112623204</v>
      </c>
      <c r="CL349" s="4">
        <f t="shared" si="1439"/>
        <v>0.80046699672781108</v>
      </c>
      <c r="CM349" s="4">
        <f t="shared" si="1310"/>
        <v>1.2738805592629094</v>
      </c>
      <c r="CN349" s="4">
        <f t="shared" si="1344"/>
        <v>10</v>
      </c>
      <c r="CU349" s="4" t="e">
        <f t="shared" ref="CU349:CU350" si="1527">CG349</f>
        <v>#REF!</v>
      </c>
      <c r="CV349" s="4" t="e">
        <f t="shared" ref="CV349:CV350" si="1528">CH349</f>
        <v>#REF!</v>
      </c>
      <c r="CW349" s="4" t="e">
        <f t="shared" ref="CW349:CW350" si="1529">CJ349</f>
        <v>#REF!</v>
      </c>
      <c r="CX349" s="4">
        <f t="shared" ref="CX349:CX350" si="1530">CM349</f>
        <v>1.2738805592629094</v>
      </c>
      <c r="CY349" s="4">
        <f t="shared" ref="CY349:CY350" si="1531">CK349</f>
        <v>0.80505769112623204</v>
      </c>
      <c r="CZ349" s="4">
        <f t="shared" ref="CZ349:CZ350" si="1532">CL349</f>
        <v>0.80046699672781108</v>
      </c>
      <c r="DC349" s="4" t="e">
        <f>#REF!</f>
        <v>#REF!</v>
      </c>
      <c r="DF349" s="4">
        <f t="shared" si="1248"/>
        <v>3.0421300386451396E-5</v>
      </c>
      <c r="DG349" s="4">
        <f t="shared" si="1446"/>
        <v>12.83701502171043</v>
      </c>
      <c r="DH349" s="4">
        <f t="shared" si="1249"/>
        <v>0.1521793587080586</v>
      </c>
      <c r="DI349" s="4">
        <f t="shared" si="1447"/>
        <v>6.0451398062212967</v>
      </c>
      <c r="DJ349" s="4">
        <f t="shared" si="1448"/>
        <v>10.040086430595098</v>
      </c>
      <c r="DK349" s="4">
        <f t="shared" si="1250"/>
        <v>10.893917173358787</v>
      </c>
      <c r="DL349" s="38">
        <f t="shared" si="1251"/>
        <v>695.60232288022803</v>
      </c>
      <c r="DM349" s="4" t="e">
        <f t="shared" si="1449"/>
        <v>#REF!</v>
      </c>
      <c r="DN349" s="4">
        <f t="shared" si="1252"/>
        <v>2.2583179581272428</v>
      </c>
      <c r="DO349" s="4">
        <f t="shared" si="1309"/>
        <v>238.28921881887737</v>
      </c>
      <c r="DS349" s="4">
        <f t="shared" si="1253"/>
        <v>0.85</v>
      </c>
      <c r="DT349" s="4">
        <f t="shared" si="1254"/>
        <v>0.9966666666666667</v>
      </c>
      <c r="DU349" s="4">
        <f t="shared" si="1255"/>
        <v>0.77500000000000002</v>
      </c>
      <c r="DV349" s="4">
        <f t="shared" si="1450"/>
        <v>0.77241666666666675</v>
      </c>
      <c r="DX349" s="4">
        <f t="shared" si="1256"/>
        <v>699.59161625550587</v>
      </c>
      <c r="DY349" s="25">
        <f t="shared" si="1502"/>
        <v>236.30374412197665</v>
      </c>
      <c r="EA349" s="4">
        <f t="shared" si="1503"/>
        <v>0.65655416666666677</v>
      </c>
      <c r="EB349" s="4">
        <f t="shared" si="1257"/>
        <v>12.83701502171043</v>
      </c>
      <c r="EE349" s="4">
        <f t="shared" si="1258"/>
        <v>57.361276136431961</v>
      </c>
      <c r="EF349" s="4">
        <f t="shared" si="1451"/>
        <v>2.2583179581272428</v>
      </c>
      <c r="EG349" s="4">
        <f t="shared" si="1259"/>
        <v>7.6827420039440139E-2</v>
      </c>
      <c r="EJ349" s="4">
        <f t="shared" si="1452"/>
        <v>7.6827420039440139E-2</v>
      </c>
      <c r="EK349" s="4">
        <f t="shared" si="1260"/>
        <v>0.15192539972075178</v>
      </c>
      <c r="EL349" s="4">
        <f t="shared" si="1453"/>
        <v>6.0411024995095755</v>
      </c>
      <c r="EM349" s="4">
        <f t="shared" si="1454"/>
        <v>10.038889525077265</v>
      </c>
      <c r="EN349" s="4" t="e">
        <f t="shared" si="1455"/>
        <v>#REF!</v>
      </c>
      <c r="EO349" s="4" t="e">
        <f t="shared" si="1456"/>
        <v>#REF!</v>
      </c>
      <c r="EP349" s="4" t="e">
        <f t="shared" si="1261"/>
        <v>#REF!</v>
      </c>
      <c r="EQ349" s="4" t="e">
        <f t="shared" si="1457"/>
        <v>#REF!</v>
      </c>
      <c r="ER349" s="4" t="e">
        <f t="shared" si="1262"/>
        <v>#REF!</v>
      </c>
      <c r="FA349" s="23" t="e">
        <f t="shared" si="1383"/>
        <v>#REF!</v>
      </c>
      <c r="FB349" s="23" t="e">
        <f t="shared" si="1384"/>
        <v>#REF!</v>
      </c>
      <c r="FC349" s="23">
        <f t="shared" si="1317"/>
        <v>1.4</v>
      </c>
      <c r="FD349" s="23" t="e">
        <f t="shared" si="1385"/>
        <v>#REF!</v>
      </c>
      <c r="FE349" s="23">
        <f t="shared" si="1386"/>
        <v>1</v>
      </c>
      <c r="FF349" s="23">
        <f t="shared" si="1387"/>
        <v>1</v>
      </c>
      <c r="FG349" s="23">
        <f t="shared" si="1266"/>
        <v>0</v>
      </c>
      <c r="FH349" s="23"/>
      <c r="FR349" s="4">
        <f t="shared" si="1485"/>
        <v>1.25</v>
      </c>
      <c r="FS349" s="4">
        <f t="shared" si="1486"/>
        <v>0.66331782945736439</v>
      </c>
      <c r="FT349" s="4">
        <f t="shared" si="1487"/>
        <v>0.3</v>
      </c>
      <c r="FU349" s="4">
        <f t="shared" si="1488"/>
        <v>439.60165333241787</v>
      </c>
    </row>
    <row r="350" spans="2:177" ht="12" customHeight="1" x14ac:dyDescent="0.3">
      <c r="B350" s="24"/>
      <c r="C350" s="7" t="s">
        <v>490</v>
      </c>
      <c r="D350" s="38">
        <f t="shared" si="1483"/>
        <v>889.65517241379314</v>
      </c>
      <c r="E350" s="38">
        <f>11.95*25.4</f>
        <v>303.52999999999997</v>
      </c>
      <c r="F350" s="38">
        <f>12360/145</f>
        <v>85.241379310344826</v>
      </c>
      <c r="G350" s="38">
        <f t="shared" si="1341"/>
        <v>25.4</v>
      </c>
      <c r="H350" s="38">
        <f>14.9*25.4</f>
        <v>378.46</v>
      </c>
      <c r="I350" s="38">
        <f>2.45*25.4</f>
        <v>62.230000000000004</v>
      </c>
      <c r="J350" s="39">
        <f>3.1*25.4</f>
        <v>78.739999999999995</v>
      </c>
      <c r="K350" s="7">
        <f t="shared" si="1339"/>
        <v>50.800000000000004</v>
      </c>
      <c r="L350" s="38">
        <v>4</v>
      </c>
      <c r="M350" s="4">
        <f t="shared" si="1357"/>
        <v>260.34999999999997</v>
      </c>
      <c r="N350" s="7">
        <f t="shared" si="1224"/>
        <v>1.5000000000000002</v>
      </c>
      <c r="O350" s="7">
        <f t="shared" si="1225"/>
        <v>2.95</v>
      </c>
      <c r="P350" s="38">
        <v>9.1</v>
      </c>
      <c r="Q350" s="4">
        <f t="shared" si="1342"/>
        <v>9.1</v>
      </c>
      <c r="R350" s="4">
        <f t="shared" si="1226"/>
        <v>10.1</v>
      </c>
      <c r="S350" s="7">
        <f t="shared" si="1227"/>
        <v>80.72246279691916</v>
      </c>
      <c r="V350" s="38">
        <f t="shared" si="1395"/>
        <v>766.20689655172418</v>
      </c>
      <c r="W350" s="4">
        <v>111.1</v>
      </c>
      <c r="X350" s="4">
        <f t="shared" si="1228"/>
        <v>1.1698808414795534</v>
      </c>
      <c r="Y350" s="38">
        <f t="shared" si="1524"/>
        <v>12.7</v>
      </c>
      <c r="Z350" s="38">
        <v>10</v>
      </c>
      <c r="AA350" s="39">
        <f t="shared" si="1525"/>
        <v>76.199999999999989</v>
      </c>
      <c r="AB350" s="39">
        <v>3</v>
      </c>
      <c r="AC350" s="39">
        <f t="shared" si="1526"/>
        <v>2</v>
      </c>
      <c r="AD350" s="7"/>
      <c r="AE350" s="4">
        <f t="shared" si="1229"/>
        <v>303.52999999999997</v>
      </c>
      <c r="AF350" s="4">
        <f t="shared" si="1230"/>
        <v>0.41562064156206424</v>
      </c>
      <c r="AG350" s="4">
        <f t="shared" si="1231"/>
        <v>240.88533502614254</v>
      </c>
      <c r="AH350" s="4">
        <f t="shared" si="1232"/>
        <v>0.74937238493723846</v>
      </c>
      <c r="AI350" s="4">
        <v>1.25</v>
      </c>
      <c r="AJ350" s="4">
        <f t="shared" si="1513"/>
        <v>2.5</v>
      </c>
      <c r="AK350" s="38">
        <f t="shared" si="1340"/>
        <v>234.45266634184955</v>
      </c>
      <c r="AL350" s="38">
        <f t="shared" si="1264"/>
        <v>234.45266634184955</v>
      </c>
      <c r="AM350" s="38">
        <f t="shared" si="1233"/>
        <v>4.9491074410379952</v>
      </c>
      <c r="AN350" s="38">
        <f t="shared" si="1521"/>
        <v>234.45266634184975</v>
      </c>
      <c r="AO350" s="38">
        <f t="shared" si="1484"/>
        <v>0.99999999999999911</v>
      </c>
      <c r="AP350" s="38">
        <f t="shared" si="1522"/>
        <v>4.5625676737536338</v>
      </c>
      <c r="AQ350" s="4">
        <f t="shared" si="1523"/>
        <v>0</v>
      </c>
      <c r="AR350" s="4" t="e">
        <f>#REF!/G350*F350^0.5/0.19</f>
        <v>#REF!</v>
      </c>
      <c r="AS350" s="4">
        <f t="shared" si="1234"/>
        <v>1.3866666666666667</v>
      </c>
      <c r="AT350" s="38">
        <f t="shared" si="1235"/>
        <v>1069.7061564766702</v>
      </c>
      <c r="AU350" s="4">
        <f t="shared" si="1236"/>
        <v>0.3</v>
      </c>
      <c r="AV350" s="4" t="e">
        <f>AU350*D350*#REF!/(D350*G350/2.75/F350^0.5)</f>
        <v>#REF!</v>
      </c>
      <c r="AW350" s="4" t="e">
        <f t="shared" si="1431"/>
        <v>#REF!</v>
      </c>
      <c r="AY350" s="4">
        <f t="shared" si="1237"/>
        <v>1.5</v>
      </c>
      <c r="AZ350" s="4" t="e">
        <f>(3*#REF!+30)*AY350*F350^0.5</f>
        <v>#REF!</v>
      </c>
      <c r="BB350" s="4">
        <f t="shared" si="1238"/>
        <v>1025.9790205997742</v>
      </c>
      <c r="BC350" s="4">
        <f t="shared" si="1464"/>
        <v>0</v>
      </c>
      <c r="BD350" s="4">
        <f t="shared" si="1432"/>
        <v>0</v>
      </c>
      <c r="BL350" s="4">
        <f t="shared" si="1239"/>
        <v>25.400000000000002</v>
      </c>
      <c r="BP350" s="9"/>
      <c r="BR350" s="9"/>
      <c r="BS350" s="9"/>
      <c r="BT350" s="9">
        <f t="shared" si="1240"/>
        <v>25.400000000000002</v>
      </c>
      <c r="BU350" s="9">
        <f t="shared" si="1241"/>
        <v>62.230000000000004</v>
      </c>
      <c r="BV350" s="9">
        <f t="shared" si="1242"/>
        <v>1.143865371392744</v>
      </c>
      <c r="BW350" s="40">
        <f t="shared" si="1343"/>
        <v>20</v>
      </c>
      <c r="BX350" s="9">
        <f t="shared" si="1243"/>
        <v>0.05</v>
      </c>
      <c r="BY350" s="9">
        <f t="shared" si="1433"/>
        <v>0.8</v>
      </c>
      <c r="BZ350" s="9">
        <f t="shared" si="1244"/>
        <v>0.99524931562137331</v>
      </c>
      <c r="CA350" s="9">
        <f t="shared" si="1245"/>
        <v>0.68</v>
      </c>
      <c r="CB350" s="9">
        <f t="shared" si="1246"/>
        <v>2.1869259549958526</v>
      </c>
      <c r="CC350" s="9">
        <f t="shared" si="1247"/>
        <v>4.251089633716445</v>
      </c>
      <c r="CD350" s="40">
        <v>1</v>
      </c>
      <c r="CE350" s="9" t="e">
        <f>4*CC350*#REF!+60*CC350</f>
        <v>#REF!</v>
      </c>
      <c r="CG350" s="4" t="e">
        <f t="shared" si="1434"/>
        <v>#REF!</v>
      </c>
      <c r="CH350" s="4" t="e">
        <f t="shared" si="1435"/>
        <v>#REF!</v>
      </c>
      <c r="CI350" s="4" t="e">
        <f t="shared" si="1436"/>
        <v>#REF!</v>
      </c>
      <c r="CJ350" s="4" t="e">
        <f t="shared" si="1437"/>
        <v>#REF!</v>
      </c>
      <c r="CK350" s="4">
        <f t="shared" si="1438"/>
        <v>1.1698808414795534</v>
      </c>
      <c r="CL350" s="4">
        <f t="shared" si="1439"/>
        <v>1.1085878003695551</v>
      </c>
      <c r="CM350" s="4">
        <f t="shared" si="1310"/>
        <v>1.7624587508377958</v>
      </c>
      <c r="CN350" s="4">
        <f t="shared" si="1344"/>
        <v>10</v>
      </c>
      <c r="CU350" s="4" t="e">
        <f t="shared" si="1527"/>
        <v>#REF!</v>
      </c>
      <c r="CV350" s="4" t="e">
        <f t="shared" si="1528"/>
        <v>#REF!</v>
      </c>
      <c r="CW350" s="4" t="e">
        <f t="shared" si="1529"/>
        <v>#REF!</v>
      </c>
      <c r="CX350" s="4">
        <f t="shared" si="1530"/>
        <v>1.7624587508377958</v>
      </c>
      <c r="CY350" s="4">
        <f t="shared" si="1531"/>
        <v>1.1698808414795534</v>
      </c>
      <c r="CZ350" s="4">
        <f t="shared" si="1532"/>
        <v>1.1085878003695551</v>
      </c>
      <c r="DC350" s="4" t="e">
        <f>#REF!</f>
        <v>#REF!</v>
      </c>
      <c r="DF350" s="4">
        <f t="shared" si="1248"/>
        <v>3.0218997474488296E-5</v>
      </c>
      <c r="DG350" s="4">
        <f t="shared" si="1446"/>
        <v>12.794224971638064</v>
      </c>
      <c r="DH350" s="4">
        <f t="shared" si="1249"/>
        <v>9.4934615442757594E-2</v>
      </c>
      <c r="DI350" s="4">
        <f t="shared" si="1447"/>
        <v>4.988659028525408</v>
      </c>
      <c r="DJ350" s="4">
        <f t="shared" si="1448"/>
        <v>9.7235504870790646</v>
      </c>
      <c r="DK350" s="4">
        <f t="shared" si="1250"/>
        <v>11.053834529233329</v>
      </c>
      <c r="DL350" s="38">
        <f t="shared" si="1251"/>
        <v>654.94439209953975</v>
      </c>
      <c r="DM350" s="4" t="e">
        <f t="shared" si="1449"/>
        <v>#REF!</v>
      </c>
      <c r="DN350" s="4">
        <f t="shared" si="1252"/>
        <v>3.1780497164141401</v>
      </c>
      <c r="DO350" s="4">
        <f t="shared" si="1309"/>
        <v>234.45266634184975</v>
      </c>
      <c r="DS350" s="4">
        <f t="shared" si="1253"/>
        <v>0.85</v>
      </c>
      <c r="DT350" s="4">
        <f t="shared" si="1254"/>
        <v>1</v>
      </c>
      <c r="DU350" s="4">
        <f t="shared" si="1255"/>
        <v>0.77500000000000002</v>
      </c>
      <c r="DV350" s="4">
        <f t="shared" si="1450"/>
        <v>0.77500000000000002</v>
      </c>
      <c r="DX350" s="4">
        <f t="shared" si="1256"/>
        <v>691.15580768280518</v>
      </c>
      <c r="DY350" s="25">
        <f t="shared" si="1502"/>
        <v>232.4828424495806</v>
      </c>
      <c r="EA350" s="4">
        <f t="shared" si="1503"/>
        <v>0.65874999999999995</v>
      </c>
      <c r="EB350" s="4">
        <f t="shared" si="1257"/>
        <v>12.794224971638064</v>
      </c>
      <c r="EE350" s="4">
        <f t="shared" si="1258"/>
        <v>80.72246279691916</v>
      </c>
      <c r="EF350" s="4">
        <f t="shared" si="1451"/>
        <v>3.1780497164141406</v>
      </c>
      <c r="EG350" s="4">
        <f t="shared" si="1259"/>
        <v>4.7927535237518568E-2</v>
      </c>
      <c r="EJ350" s="4">
        <f t="shared" si="1452"/>
        <v>4.7927535237518568E-2</v>
      </c>
      <c r="EK350" s="4">
        <f t="shared" si="1260"/>
        <v>9.477618726299071E-2</v>
      </c>
      <c r="EL350" s="4">
        <f t="shared" si="1453"/>
        <v>4.9853273030030936</v>
      </c>
      <c r="EM350" s="4">
        <f t="shared" si="1454"/>
        <v>9.7227215162763319</v>
      </c>
      <c r="EN350" s="4" t="e">
        <f t="shared" si="1455"/>
        <v>#REF!</v>
      </c>
      <c r="EO350" s="4" t="e">
        <f t="shared" si="1456"/>
        <v>#REF!</v>
      </c>
      <c r="EP350" s="4" t="e">
        <f t="shared" si="1261"/>
        <v>#REF!</v>
      </c>
      <c r="EQ350" s="4" t="e">
        <f t="shared" si="1457"/>
        <v>#REF!</v>
      </c>
      <c r="ER350" s="4" t="e">
        <f t="shared" si="1262"/>
        <v>#REF!</v>
      </c>
      <c r="FA350" s="23" t="e">
        <f t="shared" si="1383"/>
        <v>#REF!</v>
      </c>
      <c r="FB350" s="23" t="e">
        <f t="shared" si="1384"/>
        <v>#REF!</v>
      </c>
      <c r="FC350" s="23">
        <f t="shared" si="1317"/>
        <v>1.8</v>
      </c>
      <c r="FD350" s="23" t="e">
        <f t="shared" si="1385"/>
        <v>#REF!</v>
      </c>
      <c r="FE350" s="23">
        <f t="shared" si="1386"/>
        <v>1.2</v>
      </c>
      <c r="FF350" s="23">
        <f t="shared" si="1387"/>
        <v>1.2</v>
      </c>
      <c r="FG350" s="23">
        <f t="shared" si="1266"/>
        <v>0</v>
      </c>
      <c r="FH350" s="23"/>
      <c r="FR350" s="4">
        <f t="shared" si="1485"/>
        <v>1.25</v>
      </c>
      <c r="FS350" s="4">
        <f t="shared" si="1486"/>
        <v>0.66627906976744189</v>
      </c>
      <c r="FT350" s="4">
        <f t="shared" si="1487"/>
        <v>0.3</v>
      </c>
      <c r="FU350" s="4">
        <f t="shared" si="1488"/>
        <v>434.73749169306967</v>
      </c>
    </row>
    <row r="351" spans="2:177" ht="12" customHeight="1" x14ac:dyDescent="0.3">
      <c r="B351" s="24" t="s">
        <v>491</v>
      </c>
      <c r="C351" s="48" t="s">
        <v>492</v>
      </c>
      <c r="D351" s="38">
        <f>115.9/0.145</f>
        <v>799.31034482758628</v>
      </c>
      <c r="E351" s="38">
        <f>9.19*25.4</f>
        <v>233.42599999999999</v>
      </c>
      <c r="F351" s="38">
        <f>6710/145</f>
        <v>46.275862068965516</v>
      </c>
      <c r="G351" s="38">
        <f t="shared" si="1341"/>
        <v>25.4</v>
      </c>
      <c r="H351" s="38">
        <f>17.3*25.4</f>
        <v>439.42</v>
      </c>
      <c r="I351" s="38">
        <f>2.6*25.4</f>
        <v>66.039999999999992</v>
      </c>
      <c r="J351" s="39">
        <f>3.25*25.4</f>
        <v>82.55</v>
      </c>
      <c r="K351" s="7">
        <f t="shared" si="1339"/>
        <v>256.54000000000002</v>
      </c>
      <c r="L351" s="38">
        <v>2</v>
      </c>
      <c r="M351" s="4">
        <f t="shared" si="1357"/>
        <v>260.34999999999997</v>
      </c>
      <c r="N351" s="7">
        <f t="shared" si="1224"/>
        <v>3.0999999999999996</v>
      </c>
      <c r="O351" s="7">
        <f t="shared" si="1225"/>
        <v>3.0999999999999996</v>
      </c>
      <c r="P351" s="38">
        <v>4.5</v>
      </c>
      <c r="Q351" s="4">
        <f t="shared" si="1342"/>
        <v>4.5</v>
      </c>
      <c r="R351" s="4">
        <f t="shared" si="1226"/>
        <v>5.5</v>
      </c>
      <c r="S351" s="7">
        <f t="shared" si="1227"/>
        <v>59.568280149757555</v>
      </c>
      <c r="V351" s="38">
        <f t="shared" si="1395"/>
        <v>509.6551724137932</v>
      </c>
      <c r="W351" s="4">
        <v>73.900000000000006</v>
      </c>
      <c r="X351" s="4">
        <f t="shared" si="1228"/>
        <v>0.81066942187607538</v>
      </c>
      <c r="Y351" s="38"/>
      <c r="Z351" s="38"/>
      <c r="AA351" s="39">
        <v>1</v>
      </c>
      <c r="AB351" s="39"/>
      <c r="AC351" s="39"/>
      <c r="AD351" s="7"/>
      <c r="AE351" s="4">
        <f t="shared" si="1229"/>
        <v>233.42599999999999</v>
      </c>
      <c r="AF351" s="4">
        <f t="shared" si="1230"/>
        <v>0.62749365252085609</v>
      </c>
      <c r="AG351" s="4">
        <f t="shared" si="1231"/>
        <v>239.39429178870478</v>
      </c>
      <c r="AH351" s="4">
        <f t="shared" si="1232"/>
        <v>0.76746463547334054</v>
      </c>
      <c r="AI351" s="4">
        <v>1.25</v>
      </c>
      <c r="AJ351" s="4">
        <f t="shared" si="1513"/>
        <v>2.5</v>
      </c>
      <c r="AK351" s="38">
        <f t="shared" si="1340"/>
        <v>360.27283900740065</v>
      </c>
      <c r="AL351" s="38">
        <f t="shared" si="1264"/>
        <v>360.27283900740065</v>
      </c>
      <c r="AM351" s="38">
        <f t="shared" si="1233"/>
        <v>3.8668524435568052</v>
      </c>
      <c r="AN351" s="38">
        <f t="shared" si="1521"/>
        <v>360.27283900740036</v>
      </c>
      <c r="AO351" s="38">
        <f t="shared" si="1484"/>
        <v>1.0000000000000009</v>
      </c>
      <c r="AP351" s="38">
        <f t="shared" si="1522"/>
        <v>1.6893550813803335</v>
      </c>
      <c r="AQ351" s="4">
        <f t="shared" si="1523"/>
        <v>0</v>
      </c>
      <c r="AR351" s="4" t="e">
        <f>#REF!/G351*F351^0.5/0.19</f>
        <v>#REF!</v>
      </c>
      <c r="AS351" s="4">
        <f t="shared" si="1234"/>
        <v>1</v>
      </c>
      <c r="AT351" s="38">
        <f t="shared" si="1235"/>
        <v>608.62875126047061</v>
      </c>
      <c r="AU351" s="4">
        <f t="shared" si="1236"/>
        <v>0.37</v>
      </c>
      <c r="AV351" s="4" t="e">
        <f>AU351*D351*#REF!/(D351*G351/2.75/F351^0.5)</f>
        <v>#REF!</v>
      </c>
      <c r="AW351" s="4" t="e">
        <f t="shared" si="1431"/>
        <v>#REF!</v>
      </c>
      <c r="AY351" s="4">
        <f t="shared" si="1237"/>
        <v>1.4</v>
      </c>
      <c r="AZ351" s="4" t="e">
        <f>(3*#REF!+30)*AY351*F351^0.5</f>
        <v>#REF!</v>
      </c>
      <c r="BB351" s="4">
        <f t="shared" si="1238"/>
        <v>583.74940290502093</v>
      </c>
      <c r="BC351" s="4">
        <f t="shared" si="1464"/>
        <v>0</v>
      </c>
      <c r="BD351" s="4">
        <f t="shared" si="1432"/>
        <v>0</v>
      </c>
      <c r="BL351" s="4">
        <f t="shared" si="1239"/>
        <v>66.039999999999992</v>
      </c>
      <c r="BP351" s="9"/>
      <c r="BR351" s="9"/>
      <c r="BS351" s="9"/>
      <c r="BT351" s="9">
        <f t="shared" si="1240"/>
        <v>66.039999999999992</v>
      </c>
      <c r="BU351" s="9">
        <f t="shared" si="1241"/>
        <v>128.27000000000001</v>
      </c>
      <c r="BV351" s="9">
        <f t="shared" si="1242"/>
        <v>1.7812889692205971</v>
      </c>
      <c r="BW351" s="40">
        <f t="shared" si="1343"/>
        <v>0</v>
      </c>
      <c r="BX351" s="9">
        <f t="shared" si="1243"/>
        <v>0</v>
      </c>
      <c r="BY351" s="9">
        <f t="shared" si="1433"/>
        <v>0</v>
      </c>
      <c r="BZ351" s="9">
        <f t="shared" si="1244"/>
        <v>0.99524931562137331</v>
      </c>
      <c r="CA351" s="9">
        <f t="shared" si="1245"/>
        <v>0.68048275862068963</v>
      </c>
      <c r="CB351" s="9">
        <f t="shared" si="1246"/>
        <v>1.6124799265763963</v>
      </c>
      <c r="CC351" s="9">
        <f t="shared" si="1247"/>
        <v>2.8722927063001729</v>
      </c>
      <c r="CD351" s="40">
        <v>1</v>
      </c>
      <c r="CE351" s="9" t="e">
        <f>4*CC351*#REF!+60*CC351</f>
        <v>#REF!</v>
      </c>
      <c r="CG351" s="4" t="e">
        <f t="shared" si="1434"/>
        <v>#REF!</v>
      </c>
      <c r="CH351" s="4" t="e">
        <f t="shared" si="1435"/>
        <v>#REF!</v>
      </c>
      <c r="CI351" s="4" t="e">
        <f t="shared" si="1436"/>
        <v>#REF!</v>
      </c>
      <c r="CJ351" s="4" t="e">
        <f t="shared" si="1437"/>
        <v>#REF!</v>
      </c>
      <c r="CK351" s="4">
        <f t="shared" si="1438"/>
        <v>0.81066942187607538</v>
      </c>
      <c r="CL351" s="4">
        <f t="shared" si="1439"/>
        <v>0.85520549534192214</v>
      </c>
      <c r="CM351" s="4">
        <f t="shared" si="1310"/>
        <v>1.066177573233374</v>
      </c>
      <c r="CN351" s="4">
        <f t="shared" si="1344"/>
        <v>0</v>
      </c>
      <c r="CO351" s="4" t="e">
        <f t="shared" ref="CO351:CO356" si="1533">CG351</f>
        <v>#REF!</v>
      </c>
      <c r="CP351" s="4" t="e">
        <f t="shared" ref="CP351:CP356" si="1534">CH351</f>
        <v>#REF!</v>
      </c>
      <c r="CQ351" s="4" t="e">
        <f t="shared" ref="CQ351:CQ356" si="1535">CJ351</f>
        <v>#REF!</v>
      </c>
      <c r="CR351" s="4">
        <f t="shared" ref="CR351:CR379" si="1536">CM351</f>
        <v>1.066177573233374</v>
      </c>
      <c r="CS351" s="4">
        <f t="shared" ref="CS351:CS356" si="1537">CK351</f>
        <v>0.81066942187607538</v>
      </c>
      <c r="CT351" s="4">
        <f t="shared" ref="CT351:CT356" si="1538">CL351</f>
        <v>0.85520549534192214</v>
      </c>
      <c r="DC351" s="4" t="e">
        <f>#REF!</f>
        <v>#REF!</v>
      </c>
      <c r="DF351" s="4">
        <f t="shared" si="1248"/>
        <v>1.8309566495771662E-5</v>
      </c>
      <c r="DG351" s="4">
        <f t="shared" si="1446"/>
        <v>8.6973795750242395</v>
      </c>
      <c r="DH351" s="4">
        <f t="shared" si="1249"/>
        <v>0.40100189799113706</v>
      </c>
      <c r="DI351" s="4">
        <f t="shared" si="1447"/>
        <v>6.0345792547808044</v>
      </c>
      <c r="DJ351" s="4">
        <f t="shared" si="1448"/>
        <v>7.4857163501452408</v>
      </c>
      <c r="DK351" s="4">
        <f t="shared" si="1250"/>
        <v>8.2310311474027262</v>
      </c>
      <c r="DL351" s="38">
        <f t="shared" si="1251"/>
        <v>628.68434242201215</v>
      </c>
      <c r="DM351" s="4" t="e">
        <f t="shared" si="1449"/>
        <v>#REF!</v>
      </c>
      <c r="DN351" s="4">
        <f t="shared" si="1252"/>
        <v>2.3452078799117149</v>
      </c>
      <c r="DO351" s="4">
        <f t="shared" si="1309"/>
        <v>360.27283900740036</v>
      </c>
      <c r="DS351" s="4">
        <f t="shared" si="1253"/>
        <v>0.85</v>
      </c>
      <c r="DT351" s="4">
        <f t="shared" si="1254"/>
        <v>0.84000000000000008</v>
      </c>
      <c r="DU351" s="4">
        <f t="shared" si="1255"/>
        <v>1</v>
      </c>
      <c r="DV351" s="4">
        <f t="shared" si="1450"/>
        <v>0.84000000000000008</v>
      </c>
      <c r="DX351" s="4">
        <f t="shared" si="1256"/>
        <v>595.94468836992974</v>
      </c>
      <c r="DY351" s="25">
        <f t="shared" si="1502"/>
        <v>356.15793348651147</v>
      </c>
      <c r="EA351" s="4">
        <f t="shared" si="1503"/>
        <v>0.71400000000000008</v>
      </c>
      <c r="EB351" s="4">
        <f t="shared" si="1257"/>
        <v>8.6973795750242395</v>
      </c>
      <c r="EE351" s="4">
        <f t="shared" si="1258"/>
        <v>59.568280149757555</v>
      </c>
      <c r="EF351" s="4">
        <f t="shared" si="1451"/>
        <v>2.3452078799117149</v>
      </c>
      <c r="EG351" s="4">
        <f t="shared" si="1259"/>
        <v>0.14916225920929174</v>
      </c>
      <c r="EJ351" s="4">
        <f t="shared" si="1452"/>
        <v>0.14916225920929174</v>
      </c>
      <c r="EK351" s="4">
        <f t="shared" si="1260"/>
        <v>0.40033270055998399</v>
      </c>
      <c r="EL351" s="4">
        <f t="shared" si="1453"/>
        <v>6.0305490010383416</v>
      </c>
      <c r="EM351" s="4">
        <f t="shared" si="1454"/>
        <v>7.4840947084284517</v>
      </c>
      <c r="EN351" s="4" t="e">
        <f t="shared" si="1455"/>
        <v>#REF!</v>
      </c>
      <c r="EO351" s="4" t="e">
        <f t="shared" si="1456"/>
        <v>#REF!</v>
      </c>
      <c r="EP351" s="4" t="e">
        <f t="shared" si="1261"/>
        <v>#REF!</v>
      </c>
      <c r="EQ351" s="4" t="e">
        <f t="shared" si="1457"/>
        <v>#REF!</v>
      </c>
      <c r="ER351" s="4" t="e">
        <f t="shared" si="1262"/>
        <v>#REF!</v>
      </c>
      <c r="EU351" s="4">
        <f t="shared" ref="EU351:EU355" si="1539">5.25*25.4</f>
        <v>133.35</v>
      </c>
      <c r="FA351" s="23" t="e">
        <f t="shared" si="1383"/>
        <v>#REF!</v>
      </c>
      <c r="FB351" s="23" t="e">
        <f t="shared" si="1384"/>
        <v>#REF!</v>
      </c>
      <c r="FC351" s="23">
        <f t="shared" si="1317"/>
        <v>1.2</v>
      </c>
      <c r="FD351" s="23" t="e">
        <f t="shared" si="1385"/>
        <v>#REF!</v>
      </c>
      <c r="FE351" s="23">
        <f t="shared" si="1386"/>
        <v>1</v>
      </c>
      <c r="FF351" s="23">
        <f t="shared" si="1387"/>
        <v>1</v>
      </c>
      <c r="FG351" s="23">
        <f t="shared" si="1266"/>
        <v>0</v>
      </c>
      <c r="FH351" s="23"/>
      <c r="FR351" s="4">
        <f t="shared" si="1485"/>
        <v>1</v>
      </c>
      <c r="FS351" s="4">
        <f t="shared" si="1486"/>
        <v>0.5</v>
      </c>
      <c r="FT351" s="4">
        <f t="shared" si="1487"/>
        <v>0</v>
      </c>
      <c r="FU351" s="4">
        <f t="shared" si="1488"/>
        <v>478.02090871989816</v>
      </c>
    </row>
    <row r="352" spans="2:177" ht="12" customHeight="1" x14ac:dyDescent="0.3">
      <c r="B352" s="24"/>
      <c r="C352" s="48" t="s">
        <v>493</v>
      </c>
      <c r="D352" s="38">
        <f t="shared" ref="D352:D355" si="1540">115.9/0.145</f>
        <v>799.31034482758628</v>
      </c>
      <c r="E352" s="38">
        <f>9*25.4</f>
        <v>228.6</v>
      </c>
      <c r="F352" s="38">
        <f>6710/145</f>
        <v>46.275862068965516</v>
      </c>
      <c r="G352" s="38">
        <f t="shared" si="1341"/>
        <v>25.4</v>
      </c>
      <c r="H352" s="38">
        <f>15.3*25.4</f>
        <v>388.62</v>
      </c>
      <c r="I352" s="38">
        <f>2.55*25.4</f>
        <v>64.77</v>
      </c>
      <c r="J352" s="39">
        <f>3.45*25.4</f>
        <v>87.63</v>
      </c>
      <c r="K352" s="7">
        <f t="shared" si="1339"/>
        <v>208.28</v>
      </c>
      <c r="L352" s="38">
        <v>2</v>
      </c>
      <c r="M352" s="4">
        <f t="shared" si="1357"/>
        <v>260.34999999999997</v>
      </c>
      <c r="N352" s="7">
        <f t="shared" si="1224"/>
        <v>3.05</v>
      </c>
      <c r="O352" s="7">
        <f t="shared" si="1225"/>
        <v>3.05</v>
      </c>
      <c r="P352" s="38">
        <v>4.5</v>
      </c>
      <c r="Q352" s="4">
        <f t="shared" si="1342"/>
        <v>4.5</v>
      </c>
      <c r="R352" s="4">
        <f t="shared" si="1226"/>
        <v>5.5</v>
      </c>
      <c r="S352" s="7">
        <f t="shared" si="1227"/>
        <v>59.568280149757555</v>
      </c>
      <c r="V352" s="38">
        <f t="shared" si="1395"/>
        <v>513.10344827586209</v>
      </c>
      <c r="W352" s="4">
        <v>74.400000000000006</v>
      </c>
      <c r="X352" s="4">
        <f t="shared" si="1228"/>
        <v>0.89753775945612424</v>
      </c>
      <c r="Y352" s="38"/>
      <c r="Z352" s="38"/>
      <c r="AA352" s="39">
        <v>1</v>
      </c>
      <c r="AB352" s="39"/>
      <c r="AC352" s="39"/>
      <c r="AD352" s="7"/>
      <c r="AE352" s="4">
        <f t="shared" si="1229"/>
        <v>228.6</v>
      </c>
      <c r="AF352" s="4">
        <f t="shared" si="1230"/>
        <v>0.56666666666666654</v>
      </c>
      <c r="AG352" s="4">
        <f t="shared" si="1231"/>
        <v>232.00870916574723</v>
      </c>
      <c r="AH352" s="4">
        <f t="shared" si="1232"/>
        <v>0.76777777777777778</v>
      </c>
      <c r="AI352" s="4">
        <v>1.25</v>
      </c>
      <c r="AJ352" s="4">
        <f t="shared" si="1513"/>
        <v>2.5</v>
      </c>
      <c r="AK352" s="38">
        <f t="shared" si="1340"/>
        <v>315.44054474190187</v>
      </c>
      <c r="AL352" s="38">
        <f t="shared" si="1264"/>
        <v>315.44054474190187</v>
      </c>
      <c r="AM352" s="38">
        <f t="shared" si="1233"/>
        <v>3.8668524435568052</v>
      </c>
      <c r="AN352" s="38">
        <f t="shared" si="1521"/>
        <v>315.44054474190187</v>
      </c>
      <c r="AO352" s="38">
        <f t="shared" si="1484"/>
        <v>1</v>
      </c>
      <c r="AP352" s="38">
        <f t="shared" si="1522"/>
        <v>1.898336052482289</v>
      </c>
      <c r="AQ352" s="4">
        <f t="shared" si="1523"/>
        <v>0</v>
      </c>
      <c r="AR352" s="4" t="e">
        <f>#REF!/G352*F352^0.5/0.19</f>
        <v>#REF!</v>
      </c>
      <c r="AS352" s="4">
        <f t="shared" si="1234"/>
        <v>1</v>
      </c>
      <c r="AT352" s="38">
        <f t="shared" si="1235"/>
        <v>598.81215849820489</v>
      </c>
      <c r="AU352" s="4">
        <f t="shared" si="1236"/>
        <v>0.37</v>
      </c>
      <c r="AV352" s="4" t="e">
        <f>AU352*D352*#REF!/(D352*G352/2.75/F352^0.5)</f>
        <v>#REF!</v>
      </c>
      <c r="AW352" s="4" t="e">
        <f t="shared" si="1431"/>
        <v>#REF!</v>
      </c>
      <c r="AY352" s="4">
        <f t="shared" si="1237"/>
        <v>1.3875</v>
      </c>
      <c r="AZ352" s="4" t="e">
        <f>(3*#REF!+30)*AY352*F352^0.5</f>
        <v>#REF!</v>
      </c>
      <c r="BB352" s="4">
        <f t="shared" si="1238"/>
        <v>574.33408995494005</v>
      </c>
      <c r="BC352" s="4">
        <f t="shared" si="1464"/>
        <v>0</v>
      </c>
      <c r="BD352" s="4">
        <f t="shared" si="1432"/>
        <v>0</v>
      </c>
      <c r="BL352" s="4">
        <f t="shared" si="1239"/>
        <v>64.77</v>
      </c>
      <c r="BP352" s="9"/>
      <c r="BR352" s="9"/>
      <c r="BS352" s="9"/>
      <c r="BT352" s="9">
        <f t="shared" si="1240"/>
        <v>64.77</v>
      </c>
      <c r="BU352" s="9">
        <f t="shared" si="1241"/>
        <v>104.14</v>
      </c>
      <c r="BV352" s="9">
        <f t="shared" si="1242"/>
        <v>1.7147730195910189</v>
      </c>
      <c r="BW352" s="40">
        <f t="shared" si="1343"/>
        <v>0</v>
      </c>
      <c r="BX352" s="9">
        <f t="shared" si="1243"/>
        <v>0</v>
      </c>
      <c r="BY352" s="9">
        <f t="shared" si="1433"/>
        <v>0</v>
      </c>
      <c r="BZ352" s="9">
        <f t="shared" si="1244"/>
        <v>0.99524931562137331</v>
      </c>
      <c r="CA352" s="9">
        <f t="shared" si="1245"/>
        <v>0.68048275862068963</v>
      </c>
      <c r="CB352" s="9">
        <f t="shared" si="1246"/>
        <v>1.6124799265763963</v>
      </c>
      <c r="CC352" s="9">
        <f t="shared" si="1247"/>
        <v>2.7650370727253115</v>
      </c>
      <c r="CD352" s="40">
        <v>1</v>
      </c>
      <c r="CE352" s="9" t="e">
        <f>4*CC352*#REF!+60*CC352</f>
        <v>#REF!</v>
      </c>
      <c r="CG352" s="4" t="e">
        <f t="shared" si="1434"/>
        <v>#REF!</v>
      </c>
      <c r="CH352" s="4" t="e">
        <f t="shared" si="1435"/>
        <v>#REF!</v>
      </c>
      <c r="CI352" s="4" t="e">
        <f t="shared" si="1436"/>
        <v>#REF!</v>
      </c>
      <c r="CJ352" s="4" t="e">
        <f t="shared" si="1437"/>
        <v>#REF!</v>
      </c>
      <c r="CK352" s="4">
        <f t="shared" si="1438"/>
        <v>0.89753775945612424</v>
      </c>
      <c r="CL352" s="4">
        <f t="shared" si="1439"/>
        <v>0.94115541649385537</v>
      </c>
      <c r="CM352" s="4">
        <f t="shared" si="1310"/>
        <v>1.0960517053259571</v>
      </c>
      <c r="CN352" s="4">
        <f t="shared" si="1344"/>
        <v>0</v>
      </c>
      <c r="CO352" s="4" t="e">
        <f t="shared" si="1533"/>
        <v>#REF!</v>
      </c>
      <c r="CP352" s="4" t="e">
        <f t="shared" si="1534"/>
        <v>#REF!</v>
      </c>
      <c r="CQ352" s="4" t="e">
        <f t="shared" si="1535"/>
        <v>#REF!</v>
      </c>
      <c r="CR352" s="4">
        <f t="shared" si="1536"/>
        <v>1.0960517053259571</v>
      </c>
      <c r="CS352" s="4">
        <f t="shared" si="1537"/>
        <v>0.89753775945612424</v>
      </c>
      <c r="CT352" s="4">
        <f t="shared" si="1538"/>
        <v>0.94115541649385537</v>
      </c>
      <c r="DC352" s="4" t="e">
        <f>#REF!</f>
        <v>#REF!</v>
      </c>
      <c r="DF352" s="4">
        <f t="shared" si="1248"/>
        <v>1.7931022683563105E-5</v>
      </c>
      <c r="DG352" s="4">
        <f t="shared" si="1446"/>
        <v>8.6459157905566411</v>
      </c>
      <c r="DH352" s="4">
        <f t="shared" si="1249"/>
        <v>0.35110128616235364</v>
      </c>
      <c r="DI352" s="4">
        <f t="shared" si="1447"/>
        <v>5.6883193387798539</v>
      </c>
      <c r="DJ352" s="4">
        <f t="shared" si="1448"/>
        <v>7.3187071889491833</v>
      </c>
      <c r="DK352" s="4">
        <f t="shared" si="1250"/>
        <v>8.2141899726092866</v>
      </c>
      <c r="DL352" s="38">
        <f t="shared" si="1251"/>
        <v>571.67895486289558</v>
      </c>
      <c r="DM352" s="4" t="e">
        <f t="shared" si="1449"/>
        <v>#REF!</v>
      </c>
      <c r="DN352" s="4">
        <f t="shared" si="1252"/>
        <v>2.3452078799117149</v>
      </c>
      <c r="DO352" s="4">
        <f t="shared" si="1309"/>
        <v>315.44054474190187</v>
      </c>
      <c r="DS352" s="4">
        <f t="shared" si="1253"/>
        <v>0.85</v>
      </c>
      <c r="DT352" s="4">
        <f t="shared" si="1254"/>
        <v>0.84499999999999997</v>
      </c>
      <c r="DU352" s="4">
        <f t="shared" si="1255"/>
        <v>1</v>
      </c>
      <c r="DV352" s="4">
        <f t="shared" si="1450"/>
        <v>0.84499999999999997</v>
      </c>
      <c r="DX352" s="4">
        <f t="shared" si="1256"/>
        <v>545.18460955934165</v>
      </c>
      <c r="DY352" s="25">
        <f t="shared" si="1502"/>
        <v>311.74488321431227</v>
      </c>
      <c r="EA352" s="4">
        <f t="shared" si="1503"/>
        <v>0.71824999999999994</v>
      </c>
      <c r="EB352" s="4">
        <f t="shared" si="1257"/>
        <v>8.6459157905566411</v>
      </c>
      <c r="EE352" s="4">
        <f t="shared" si="1258"/>
        <v>59.568280149757555</v>
      </c>
      <c r="EF352" s="4">
        <f t="shared" si="1451"/>
        <v>2.3452078799117149</v>
      </c>
      <c r="EG352" s="4">
        <f t="shared" si="1259"/>
        <v>0.13060053161250176</v>
      </c>
      <c r="EJ352" s="4">
        <f t="shared" si="1452"/>
        <v>0.13060053161250176</v>
      </c>
      <c r="EK352" s="4">
        <f t="shared" si="1260"/>
        <v>0.35051536355213303</v>
      </c>
      <c r="EL352" s="4">
        <f t="shared" si="1453"/>
        <v>5.6845203381643117</v>
      </c>
      <c r="EM352" s="4">
        <f t="shared" si="1454"/>
        <v>7.3172346462199735</v>
      </c>
      <c r="EN352" s="4" t="e">
        <f t="shared" si="1455"/>
        <v>#REF!</v>
      </c>
      <c r="EO352" s="4" t="e">
        <f t="shared" si="1456"/>
        <v>#REF!</v>
      </c>
      <c r="EP352" s="4" t="e">
        <f t="shared" si="1261"/>
        <v>#REF!</v>
      </c>
      <c r="EQ352" s="4" t="e">
        <f t="shared" si="1457"/>
        <v>#REF!</v>
      </c>
      <c r="ER352" s="4" t="e">
        <f t="shared" si="1262"/>
        <v>#REF!</v>
      </c>
      <c r="EU352" s="4">
        <f t="shared" si="1539"/>
        <v>133.35</v>
      </c>
      <c r="FA352" s="23" t="e">
        <f t="shared" si="1383"/>
        <v>#REF!</v>
      </c>
      <c r="FB352" s="23" t="e">
        <f t="shared" si="1384"/>
        <v>#REF!</v>
      </c>
      <c r="FC352" s="23">
        <f t="shared" si="1317"/>
        <v>1.2</v>
      </c>
      <c r="FD352" s="23" t="e">
        <f t="shared" si="1385"/>
        <v>#REF!</v>
      </c>
      <c r="FE352" s="23">
        <f t="shared" si="1386"/>
        <v>1</v>
      </c>
      <c r="FF352" s="23">
        <f t="shared" si="1387"/>
        <v>1</v>
      </c>
      <c r="FG352" s="23">
        <f t="shared" si="1266"/>
        <v>0</v>
      </c>
      <c r="FH352" s="23"/>
      <c r="FR352" s="4">
        <f t="shared" si="1485"/>
        <v>1</v>
      </c>
      <c r="FS352" s="4">
        <f t="shared" si="1486"/>
        <v>0.5</v>
      </c>
      <c r="FT352" s="4">
        <f t="shared" si="1487"/>
        <v>0</v>
      </c>
      <c r="FU352" s="4">
        <f t="shared" si="1488"/>
        <v>468.13799548194601</v>
      </c>
    </row>
    <row r="353" spans="2:177" ht="12" customHeight="1" x14ac:dyDescent="0.3">
      <c r="B353" s="24"/>
      <c r="C353" s="48" t="s">
        <v>494</v>
      </c>
      <c r="D353" s="38">
        <f t="shared" si="1540"/>
        <v>799.31034482758628</v>
      </c>
      <c r="E353" s="38">
        <f>9.25*25.4</f>
        <v>234.95</v>
      </c>
      <c r="F353" s="38">
        <f>6710/145</f>
        <v>46.275862068965516</v>
      </c>
      <c r="G353" s="38">
        <f t="shared" si="1341"/>
        <v>25.4</v>
      </c>
      <c r="H353" s="38">
        <f>13.1*25.4</f>
        <v>332.73999999999995</v>
      </c>
      <c r="I353" s="38">
        <f>2.55*25.4</f>
        <v>64.77</v>
      </c>
      <c r="J353" s="39">
        <f>3.2*25.4</f>
        <v>81.28</v>
      </c>
      <c r="K353" s="7">
        <f t="shared" si="1339"/>
        <v>152.39999999999995</v>
      </c>
      <c r="L353" s="38">
        <v>2</v>
      </c>
      <c r="M353" s="4">
        <f t="shared" si="1357"/>
        <v>260.34999999999997</v>
      </c>
      <c r="N353" s="7">
        <f t="shared" si="1224"/>
        <v>3.05</v>
      </c>
      <c r="O353" s="7">
        <f t="shared" si="1225"/>
        <v>3.05</v>
      </c>
      <c r="P353" s="38">
        <v>4.5</v>
      </c>
      <c r="Q353" s="4">
        <f t="shared" si="1342"/>
        <v>4.5</v>
      </c>
      <c r="R353" s="4">
        <f t="shared" si="1226"/>
        <v>5.5</v>
      </c>
      <c r="S353" s="7">
        <f t="shared" si="1227"/>
        <v>59.568280149757555</v>
      </c>
      <c r="V353" s="38">
        <f t="shared" si="1395"/>
        <v>475.86206896551727</v>
      </c>
      <c r="W353" s="4">
        <v>69</v>
      </c>
      <c r="X353" s="4">
        <f t="shared" si="1228"/>
        <v>0.89515643202731698</v>
      </c>
      <c r="Y353" s="38"/>
      <c r="Z353" s="38"/>
      <c r="AA353" s="39">
        <v>1</v>
      </c>
      <c r="AB353" s="39"/>
      <c r="AC353" s="39"/>
      <c r="AD353" s="7"/>
      <c r="AE353" s="4">
        <f t="shared" si="1229"/>
        <v>234.95</v>
      </c>
      <c r="AF353" s="4">
        <f t="shared" si="1230"/>
        <v>0.47207207207207197</v>
      </c>
      <c r="AG353" s="4">
        <f t="shared" si="1231"/>
        <v>241.74256326019332</v>
      </c>
      <c r="AH353" s="4">
        <f t="shared" si="1232"/>
        <v>0.76594594594594589</v>
      </c>
      <c r="AI353" s="4">
        <v>1.25</v>
      </c>
      <c r="AJ353" s="4">
        <f t="shared" si="1513"/>
        <v>2.5</v>
      </c>
      <c r="AK353" s="38">
        <f t="shared" si="1340"/>
        <v>273.1552641240558</v>
      </c>
      <c r="AL353" s="38">
        <f t="shared" si="1264"/>
        <v>273.1552641240558</v>
      </c>
      <c r="AM353" s="38">
        <f t="shared" si="1233"/>
        <v>3.8668524435568052</v>
      </c>
      <c r="AN353" s="38">
        <f t="shared" si="1521"/>
        <v>273.15526412405586</v>
      </c>
      <c r="AO353" s="38">
        <f t="shared" si="1484"/>
        <v>0.99999999999999978</v>
      </c>
      <c r="AP353" s="38">
        <f t="shared" si="1522"/>
        <v>2.192204350952025</v>
      </c>
      <c r="AQ353" s="4">
        <f t="shared" si="1523"/>
        <v>0</v>
      </c>
      <c r="AR353" s="4" t="e">
        <f>#REF!/G353*F353^0.5/0.19</f>
        <v>#REF!</v>
      </c>
      <c r="AS353" s="4">
        <f t="shared" si="1234"/>
        <v>1</v>
      </c>
      <c r="AT353" s="38">
        <f t="shared" si="1235"/>
        <v>598.81215849820489</v>
      </c>
      <c r="AU353" s="4">
        <f t="shared" si="1236"/>
        <v>0.37</v>
      </c>
      <c r="AV353" s="4" t="e">
        <f>AU353*D353*#REF!/(D353*G353/2.75/F353^0.5)</f>
        <v>#REF!</v>
      </c>
      <c r="AW353" s="4" t="e">
        <f t="shared" si="1431"/>
        <v>#REF!</v>
      </c>
      <c r="AY353" s="4">
        <f t="shared" si="1237"/>
        <v>1.3875</v>
      </c>
      <c r="AZ353" s="4" t="e">
        <f>(3*#REF!+30)*AY353*F353^0.5</f>
        <v>#REF!</v>
      </c>
      <c r="BB353" s="4">
        <f t="shared" si="1238"/>
        <v>574.33408995494005</v>
      </c>
      <c r="BC353" s="4">
        <f t="shared" si="1464"/>
        <v>0</v>
      </c>
      <c r="BD353" s="4">
        <f t="shared" si="1432"/>
        <v>0</v>
      </c>
      <c r="BL353" s="4">
        <f t="shared" si="1239"/>
        <v>64.77</v>
      </c>
      <c r="BP353" s="9"/>
      <c r="BR353" s="9"/>
      <c r="BS353" s="9"/>
      <c r="BT353" s="9">
        <f t="shared" si="1240"/>
        <v>64.77</v>
      </c>
      <c r="BU353" s="9">
        <f t="shared" si="1241"/>
        <v>76.199999999999974</v>
      </c>
      <c r="BV353" s="9">
        <f t="shared" si="1242"/>
        <v>1.636278603156414</v>
      </c>
      <c r="BW353" s="40">
        <f t="shared" si="1343"/>
        <v>0</v>
      </c>
      <c r="BX353" s="9">
        <f t="shared" si="1243"/>
        <v>0</v>
      </c>
      <c r="BY353" s="9">
        <f t="shared" si="1433"/>
        <v>0</v>
      </c>
      <c r="BZ353" s="9">
        <f t="shared" si="1244"/>
        <v>0.99524931562137331</v>
      </c>
      <c r="CA353" s="9">
        <f t="shared" si="1245"/>
        <v>0.68048275862068963</v>
      </c>
      <c r="CB353" s="9">
        <f t="shared" si="1246"/>
        <v>1.6124799265763963</v>
      </c>
      <c r="CC353" s="9">
        <f t="shared" si="1247"/>
        <v>2.6384664018761828</v>
      </c>
      <c r="CD353" s="40">
        <v>1</v>
      </c>
      <c r="CE353" s="9" t="e">
        <f>4*CC353*#REF!+60*CC353</f>
        <v>#REF!</v>
      </c>
      <c r="CG353" s="4" t="e">
        <f t="shared" si="1434"/>
        <v>#REF!</v>
      </c>
      <c r="CH353" s="4" t="e">
        <f t="shared" si="1435"/>
        <v>#REF!</v>
      </c>
      <c r="CI353" s="4" t="e">
        <f t="shared" si="1436"/>
        <v>#REF!</v>
      </c>
      <c r="CJ353" s="4" t="e">
        <f t="shared" si="1437"/>
        <v>#REF!</v>
      </c>
      <c r="CK353" s="4">
        <f t="shared" si="1438"/>
        <v>0.89515643202731698</v>
      </c>
      <c r="CL353" s="4">
        <f t="shared" si="1439"/>
        <v>0.93310480003574625</v>
      </c>
      <c r="CM353" s="4">
        <f t="shared" si="1310"/>
        <v>1.1538643715615464</v>
      </c>
      <c r="CN353" s="4">
        <f t="shared" si="1344"/>
        <v>0</v>
      </c>
      <c r="CO353" s="4" t="e">
        <f t="shared" si="1533"/>
        <v>#REF!</v>
      </c>
      <c r="CP353" s="4" t="e">
        <f t="shared" si="1534"/>
        <v>#REF!</v>
      </c>
      <c r="CQ353" s="4" t="e">
        <f t="shared" si="1535"/>
        <v>#REF!</v>
      </c>
      <c r="CR353" s="4">
        <f t="shared" si="1536"/>
        <v>1.1538643715615464</v>
      </c>
      <c r="CS353" s="4">
        <f t="shared" si="1537"/>
        <v>0.89515643202731698</v>
      </c>
      <c r="CT353" s="4">
        <f t="shared" si="1538"/>
        <v>0.93310480003574625</v>
      </c>
      <c r="DC353" s="4" t="e">
        <f>#REF!</f>
        <v>#REF!</v>
      </c>
      <c r="DF353" s="4">
        <f t="shared" si="1248"/>
        <v>1.8429106646995416E-5</v>
      </c>
      <c r="DG353" s="4">
        <f t="shared" si="1446"/>
        <v>8.6459157905566411</v>
      </c>
      <c r="DH353" s="4">
        <f t="shared" si="1249"/>
        <v>0.30403562939077616</v>
      </c>
      <c r="DI353" s="4">
        <f t="shared" si="1447"/>
        <v>5.3700804699320424</v>
      </c>
      <c r="DJ353" s="4">
        <f t="shared" si="1448"/>
        <v>7.1978438338554191</v>
      </c>
      <c r="DK353" s="4">
        <f t="shared" si="1250"/>
        <v>8.1996818827256952</v>
      </c>
      <c r="DL353" s="38">
        <f t="shared" si="1251"/>
        <v>531.59654775400827</v>
      </c>
      <c r="DM353" s="4" t="e">
        <f t="shared" si="1449"/>
        <v>#REF!</v>
      </c>
      <c r="DN353" s="4">
        <f t="shared" si="1252"/>
        <v>2.3452078799117149</v>
      </c>
      <c r="DO353" s="4">
        <f t="shared" si="1309"/>
        <v>273.15526412405586</v>
      </c>
      <c r="DS353" s="4">
        <f t="shared" si="1253"/>
        <v>0.85</v>
      </c>
      <c r="DT353" s="4">
        <f t="shared" si="1254"/>
        <v>0.84499999999999997</v>
      </c>
      <c r="DU353" s="4">
        <f t="shared" si="1255"/>
        <v>1</v>
      </c>
      <c r="DV353" s="4">
        <f t="shared" si="1450"/>
        <v>0.84499999999999997</v>
      </c>
      <c r="DX353" s="4">
        <f t="shared" si="1256"/>
        <v>509.97708826199107</v>
      </c>
      <c r="DY353" s="25">
        <f t="shared" si="1502"/>
        <v>270.05292507404425</v>
      </c>
      <c r="EA353" s="4">
        <f t="shared" si="1503"/>
        <v>0.71824999999999994</v>
      </c>
      <c r="EB353" s="4">
        <f t="shared" si="1257"/>
        <v>8.6459157905566411</v>
      </c>
      <c r="EE353" s="4">
        <f t="shared" si="1258"/>
        <v>59.568280149757555</v>
      </c>
      <c r="EF353" s="4">
        <f t="shared" si="1451"/>
        <v>2.3452078799117149</v>
      </c>
      <c r="EG353" s="4">
        <f t="shared" si="1259"/>
        <v>0.11309333344115358</v>
      </c>
      <c r="EJ353" s="4">
        <f t="shared" si="1452"/>
        <v>0.11309333344115358</v>
      </c>
      <c r="EK353" s="4">
        <f t="shared" si="1260"/>
        <v>0.30352825058986138</v>
      </c>
      <c r="EL353" s="4">
        <f t="shared" si="1453"/>
        <v>5.3664940083085373</v>
      </c>
      <c r="EM353" s="4">
        <f t="shared" si="1454"/>
        <v>7.1965110043758811</v>
      </c>
      <c r="EN353" s="4" t="e">
        <f t="shared" si="1455"/>
        <v>#REF!</v>
      </c>
      <c r="EO353" s="4" t="e">
        <f t="shared" si="1456"/>
        <v>#REF!</v>
      </c>
      <c r="EP353" s="4" t="e">
        <f t="shared" si="1261"/>
        <v>#REF!</v>
      </c>
      <c r="EQ353" s="4" t="e">
        <f t="shared" si="1457"/>
        <v>#REF!</v>
      </c>
      <c r="ER353" s="4" t="e">
        <f t="shared" si="1262"/>
        <v>#REF!</v>
      </c>
      <c r="EU353" s="4">
        <f t="shared" si="1539"/>
        <v>133.35</v>
      </c>
      <c r="FA353" s="23" t="e">
        <f t="shared" si="1383"/>
        <v>#REF!</v>
      </c>
      <c r="FB353" s="23" t="e">
        <f t="shared" si="1384"/>
        <v>#REF!</v>
      </c>
      <c r="FC353" s="23">
        <f t="shared" si="1317"/>
        <v>1.2</v>
      </c>
      <c r="FD353" s="23" t="e">
        <f t="shared" si="1385"/>
        <v>#REF!</v>
      </c>
      <c r="FE353" s="23">
        <f t="shared" si="1386"/>
        <v>1</v>
      </c>
      <c r="FF353" s="23">
        <f t="shared" si="1387"/>
        <v>1</v>
      </c>
      <c r="FG353" s="23">
        <f t="shared" si="1266"/>
        <v>0</v>
      </c>
      <c r="FH353" s="23"/>
      <c r="FR353" s="4">
        <f t="shared" si="1485"/>
        <v>1</v>
      </c>
      <c r="FS353" s="4">
        <f t="shared" si="1486"/>
        <v>0.58333333333333348</v>
      </c>
      <c r="FT353" s="4">
        <f t="shared" si="1487"/>
        <v>0</v>
      </c>
      <c r="FU353" s="4">
        <f t="shared" si="1488"/>
        <v>412.40728173409514</v>
      </c>
    </row>
    <row r="354" spans="2:177" ht="12" customHeight="1" x14ac:dyDescent="0.3">
      <c r="B354" s="24"/>
      <c r="C354" s="48" t="s">
        <v>495</v>
      </c>
      <c r="D354" s="38">
        <f t="shared" si="1540"/>
        <v>799.31034482758628</v>
      </c>
      <c r="E354" s="38">
        <f>9*25.4</f>
        <v>228.6</v>
      </c>
      <c r="F354" s="38">
        <f>6710/145</f>
        <v>46.275862068965516</v>
      </c>
      <c r="G354" s="38">
        <f t="shared" si="1341"/>
        <v>25.4</v>
      </c>
      <c r="H354" s="38">
        <f>11.3*25.4</f>
        <v>287.02</v>
      </c>
      <c r="I354" s="38">
        <f t="shared" si="1345"/>
        <v>63.5</v>
      </c>
      <c r="J354" s="39">
        <f>3.55*25.4</f>
        <v>90.169999999999987</v>
      </c>
      <c r="K354" s="7">
        <f t="shared" si="1339"/>
        <v>109.21999999999997</v>
      </c>
      <c r="L354" s="38">
        <v>2</v>
      </c>
      <c r="M354" s="4">
        <f t="shared" si="1357"/>
        <v>260.34999999999997</v>
      </c>
      <c r="N354" s="7">
        <f t="shared" si="1224"/>
        <v>2.6499999999999995</v>
      </c>
      <c r="O354" s="7">
        <f t="shared" si="1225"/>
        <v>3</v>
      </c>
      <c r="P354" s="38">
        <v>4.5</v>
      </c>
      <c r="Q354" s="4">
        <f t="shared" si="1342"/>
        <v>4.5</v>
      </c>
      <c r="R354" s="4">
        <f t="shared" si="1226"/>
        <v>5.5</v>
      </c>
      <c r="S354" s="7">
        <f t="shared" si="1227"/>
        <v>59.568280149757555</v>
      </c>
      <c r="V354" s="38">
        <f t="shared" si="1395"/>
        <v>446.89655172413796</v>
      </c>
      <c r="W354" s="4">
        <v>64.8</v>
      </c>
      <c r="X354" s="4">
        <f t="shared" si="1228"/>
        <v>0.95550025830198404</v>
      </c>
      <c r="Y354" s="38"/>
      <c r="Z354" s="38"/>
      <c r="AA354" s="39">
        <v>1</v>
      </c>
      <c r="AB354" s="39"/>
      <c r="AC354" s="39"/>
      <c r="AD354" s="7"/>
      <c r="AE354" s="4">
        <f t="shared" si="1229"/>
        <v>228.6</v>
      </c>
      <c r="AF354" s="4">
        <f t="shared" si="1230"/>
        <v>0.4185185185185184</v>
      </c>
      <c r="AG354" s="4">
        <f t="shared" si="1231"/>
        <v>232.00870916574723</v>
      </c>
      <c r="AH354" s="4">
        <f t="shared" si="1232"/>
        <v>0.76666666666666661</v>
      </c>
      <c r="AI354" s="4">
        <v>1.25</v>
      </c>
      <c r="AJ354" s="4">
        <f t="shared" si="1513"/>
        <v>2.5</v>
      </c>
      <c r="AK354" s="38">
        <f t="shared" si="1340"/>
        <v>232.63527589574724</v>
      </c>
      <c r="AL354" s="38">
        <f t="shared" si="1264"/>
        <v>232.63527589574724</v>
      </c>
      <c r="AM354" s="38">
        <f t="shared" si="1233"/>
        <v>3.8668524435568052</v>
      </c>
      <c r="AN354" s="38">
        <f t="shared" si="1521"/>
        <v>232.63527589574718</v>
      </c>
      <c r="AO354" s="38">
        <f t="shared" si="1484"/>
        <v>1.0000000000000002</v>
      </c>
      <c r="AP354" s="38">
        <f t="shared" si="1522"/>
        <v>2.3546122746229528</v>
      </c>
      <c r="AQ354" s="4">
        <f t="shared" si="1523"/>
        <v>0</v>
      </c>
      <c r="AR354" s="4" t="e">
        <f>#REF!/G354*F354^0.5/0.19</f>
        <v>#REF!</v>
      </c>
      <c r="AS354" s="4">
        <f t="shared" si="1234"/>
        <v>1.0528301886792453</v>
      </c>
      <c r="AT354" s="38">
        <f t="shared" si="1235"/>
        <v>547.76587613442348</v>
      </c>
      <c r="AU354" s="4">
        <f t="shared" si="1236"/>
        <v>0.37</v>
      </c>
      <c r="AV354" s="4" t="e">
        <f>AU354*D354*#REF!/(D354*G354/2.75/F354^0.5)</f>
        <v>#REF!</v>
      </c>
      <c r="AW354" s="4" t="e">
        <f t="shared" si="1431"/>
        <v>#REF!</v>
      </c>
      <c r="AY354" s="4">
        <f t="shared" si="1237"/>
        <v>1.375</v>
      </c>
      <c r="AZ354" s="4" t="e">
        <f>(3*#REF!+30)*AY354*F354^0.5</f>
        <v>#REF!</v>
      </c>
      <c r="BB354" s="4">
        <f t="shared" si="1238"/>
        <v>525.37446261451885</v>
      </c>
      <c r="BC354" s="4">
        <f t="shared" si="1464"/>
        <v>0</v>
      </c>
      <c r="BD354" s="4">
        <f t="shared" si="1432"/>
        <v>0</v>
      </c>
      <c r="BL354" s="4">
        <f t="shared" si="1239"/>
        <v>54.609999999999985</v>
      </c>
      <c r="BP354" s="9"/>
      <c r="BR354" s="9"/>
      <c r="BS354" s="9"/>
      <c r="BT354" s="9">
        <f t="shared" si="1240"/>
        <v>54.609999999999985</v>
      </c>
      <c r="BU354" s="9">
        <f t="shared" si="1241"/>
        <v>63.5</v>
      </c>
      <c r="BV354" s="9">
        <f t="shared" si="1242"/>
        <v>1.4998383783405258</v>
      </c>
      <c r="BW354" s="40">
        <f t="shared" si="1343"/>
        <v>0</v>
      </c>
      <c r="BX354" s="9">
        <f t="shared" si="1243"/>
        <v>0</v>
      </c>
      <c r="BY354" s="9">
        <f t="shared" si="1433"/>
        <v>0</v>
      </c>
      <c r="BZ354" s="9">
        <f t="shared" si="1244"/>
        <v>0.99524931562137331</v>
      </c>
      <c r="CA354" s="9">
        <f t="shared" si="1245"/>
        <v>0.68048275862068963</v>
      </c>
      <c r="CB354" s="9">
        <f t="shared" si="1246"/>
        <v>1.6124799265763963</v>
      </c>
      <c r="CC354" s="9">
        <f t="shared" si="1247"/>
        <v>2.4184592781829921</v>
      </c>
      <c r="CD354" s="40">
        <v>1</v>
      </c>
      <c r="CE354" s="9" t="e">
        <f>4*CC354*#REF!+60*CC354</f>
        <v>#REF!</v>
      </c>
      <c r="CG354" s="4" t="e">
        <f t="shared" si="1434"/>
        <v>#REF!</v>
      </c>
      <c r="CH354" s="4" t="e">
        <f t="shared" si="1435"/>
        <v>#REF!</v>
      </c>
      <c r="CI354" s="4" t="e">
        <f t="shared" si="1436"/>
        <v>#REF!</v>
      </c>
      <c r="CJ354" s="4" t="e">
        <f t="shared" si="1437"/>
        <v>#REF!</v>
      </c>
      <c r="CK354" s="4">
        <f t="shared" si="1438"/>
        <v>0.95550025830198404</v>
      </c>
      <c r="CL354" s="4">
        <f t="shared" si="1439"/>
        <v>0.98697622127594653</v>
      </c>
      <c r="CM354" s="4">
        <f t="shared" si="1310"/>
        <v>1.3842072343068135</v>
      </c>
      <c r="CN354" s="4">
        <f t="shared" si="1344"/>
        <v>0</v>
      </c>
      <c r="CO354" s="4" t="e">
        <f t="shared" si="1533"/>
        <v>#REF!</v>
      </c>
      <c r="CP354" s="4" t="e">
        <f t="shared" si="1534"/>
        <v>#REF!</v>
      </c>
      <c r="CQ354" s="4" t="e">
        <f t="shared" si="1535"/>
        <v>#REF!</v>
      </c>
      <c r="CR354" s="4">
        <f t="shared" si="1536"/>
        <v>1.3842072343068135</v>
      </c>
      <c r="CS354" s="4">
        <f t="shared" si="1537"/>
        <v>0.95550025830198404</v>
      </c>
      <c r="CT354" s="4">
        <f t="shared" si="1538"/>
        <v>0.98697622127594653</v>
      </c>
      <c r="DC354" s="4" t="e">
        <f>#REF!</f>
        <v>#REF!</v>
      </c>
      <c r="DF354" s="4">
        <f t="shared" si="1248"/>
        <v>1.7931022683563105E-5</v>
      </c>
      <c r="DG354" s="4">
        <f t="shared" si="1446"/>
        <v>8.2551399356162278</v>
      </c>
      <c r="DH354" s="4">
        <f t="shared" si="1249"/>
        <v>0.25893483236456305</v>
      </c>
      <c r="DI354" s="4">
        <f t="shared" si="1447"/>
        <v>4.808400460769148</v>
      </c>
      <c r="DJ354" s="4">
        <f t="shared" si="1448"/>
        <v>6.7567583551320318</v>
      </c>
      <c r="DK354" s="4">
        <f t="shared" si="1250"/>
        <v>7.8798854996843941</v>
      </c>
      <c r="DL354" s="38">
        <f t="shared" si="1251"/>
        <v>467.70950383447951</v>
      </c>
      <c r="DM354" s="4" t="e">
        <f t="shared" si="1449"/>
        <v>#REF!</v>
      </c>
      <c r="DN354" s="4">
        <f t="shared" si="1252"/>
        <v>2.3452078799117149</v>
      </c>
      <c r="DO354" s="4">
        <f t="shared" si="1309"/>
        <v>232.63527589574718</v>
      </c>
      <c r="DS354" s="4">
        <f t="shared" si="1253"/>
        <v>0.85</v>
      </c>
      <c r="DT354" s="4">
        <f t="shared" si="1254"/>
        <v>0.88500000000000001</v>
      </c>
      <c r="DU354" s="4">
        <f t="shared" si="1255"/>
        <v>1</v>
      </c>
      <c r="DV354" s="4">
        <f t="shared" si="1450"/>
        <v>0.88500000000000001</v>
      </c>
      <c r="DX354" s="4">
        <f t="shared" si="1256"/>
        <v>452.79363584504347</v>
      </c>
      <c r="DY354" s="25">
        <f t="shared" si="1502"/>
        <v>229.90485758340532</v>
      </c>
      <c r="EA354" s="4">
        <f t="shared" si="1503"/>
        <v>0.75224999999999997</v>
      </c>
      <c r="EB354" s="4">
        <f t="shared" si="1257"/>
        <v>8.2551399356162278</v>
      </c>
      <c r="EE354" s="4">
        <f t="shared" si="1258"/>
        <v>59.568280149757555</v>
      </c>
      <c r="EF354" s="4">
        <f t="shared" si="1451"/>
        <v>2.3452078799117149</v>
      </c>
      <c r="EG354" s="4">
        <f t="shared" si="1259"/>
        <v>9.6317011906839181E-2</v>
      </c>
      <c r="EJ354" s="4">
        <f t="shared" si="1452"/>
        <v>9.6317011906839181E-2</v>
      </c>
      <c r="EK354" s="4">
        <f t="shared" si="1260"/>
        <v>0.25850271838823907</v>
      </c>
      <c r="EL354" s="4">
        <f t="shared" si="1453"/>
        <v>4.8051891227231813</v>
      </c>
      <c r="EM354" s="4">
        <f t="shared" si="1454"/>
        <v>6.755621997097994</v>
      </c>
      <c r="EN354" s="4" t="e">
        <f t="shared" si="1455"/>
        <v>#REF!</v>
      </c>
      <c r="EO354" s="4" t="e">
        <f t="shared" si="1456"/>
        <v>#REF!</v>
      </c>
      <c r="EP354" s="4" t="e">
        <f t="shared" si="1261"/>
        <v>#REF!</v>
      </c>
      <c r="EQ354" s="4" t="e">
        <f t="shared" si="1457"/>
        <v>#REF!</v>
      </c>
      <c r="ER354" s="4" t="e">
        <f t="shared" si="1262"/>
        <v>#REF!</v>
      </c>
      <c r="EU354" s="4">
        <f t="shared" si="1539"/>
        <v>133.35</v>
      </c>
      <c r="FA354" s="23" t="e">
        <f t="shared" si="1383"/>
        <v>#REF!</v>
      </c>
      <c r="FB354" s="23" t="e">
        <f t="shared" si="1384"/>
        <v>#REF!</v>
      </c>
      <c r="FC354" s="23">
        <f t="shared" si="1317"/>
        <v>1.4</v>
      </c>
      <c r="FD354" s="23" t="e">
        <f t="shared" si="1385"/>
        <v>#REF!</v>
      </c>
      <c r="FE354" s="23">
        <f t="shared" si="1386"/>
        <v>1</v>
      </c>
      <c r="FF354" s="23">
        <f t="shared" si="1387"/>
        <v>1</v>
      </c>
      <c r="FG354" s="23">
        <f t="shared" si="1266"/>
        <v>0</v>
      </c>
      <c r="FH354" s="23"/>
      <c r="FR354" s="4">
        <f t="shared" si="1485"/>
        <v>1</v>
      </c>
      <c r="FS354" s="4">
        <f t="shared" si="1486"/>
        <v>0.72500000000000009</v>
      </c>
      <c r="FT354" s="4">
        <f t="shared" si="1487"/>
        <v>0</v>
      </c>
      <c r="FU354" s="4">
        <f t="shared" si="1488"/>
        <v>322.85378998754896</v>
      </c>
    </row>
    <row r="355" spans="2:177" ht="12" customHeight="1" x14ac:dyDescent="0.3">
      <c r="B355" s="24"/>
      <c r="C355" s="48" t="s">
        <v>496</v>
      </c>
      <c r="D355" s="38">
        <f t="shared" si="1540"/>
        <v>799.31034482758628</v>
      </c>
      <c r="E355" s="38">
        <f>9*25.4</f>
        <v>228.6</v>
      </c>
      <c r="F355" s="38">
        <f t="shared" ref="F355" si="1541">6710/145</f>
        <v>46.275862068965516</v>
      </c>
      <c r="G355" s="38">
        <f t="shared" si="1341"/>
        <v>25.4</v>
      </c>
      <c r="H355" s="38">
        <f>9.1*25.4</f>
        <v>231.14</v>
      </c>
      <c r="I355" s="38">
        <f>2.5*25.4</f>
        <v>63.5</v>
      </c>
      <c r="J355" s="39">
        <f>3.5*25.4</f>
        <v>88.899999999999991</v>
      </c>
      <c r="K355" s="7">
        <f t="shared" si="1339"/>
        <v>53.339999999999975</v>
      </c>
      <c r="L355" s="38">
        <v>2</v>
      </c>
      <c r="M355" s="4">
        <f t="shared" si="1357"/>
        <v>260.34999999999997</v>
      </c>
      <c r="N355" s="7">
        <f t="shared" si="1224"/>
        <v>1.5499999999999996</v>
      </c>
      <c r="O355" s="7">
        <f t="shared" si="1225"/>
        <v>3</v>
      </c>
      <c r="P355" s="38">
        <v>4.5</v>
      </c>
      <c r="Q355" s="4">
        <f t="shared" si="1342"/>
        <v>4.5</v>
      </c>
      <c r="R355" s="4">
        <f t="shared" si="1226"/>
        <v>5.5</v>
      </c>
      <c r="S355" s="7">
        <f t="shared" si="1227"/>
        <v>59.568280149757555</v>
      </c>
      <c r="V355" s="38">
        <f t="shared" si="1395"/>
        <v>416.55172413793105</v>
      </c>
      <c r="W355" s="4">
        <v>60.4</v>
      </c>
      <c r="X355" s="4">
        <f t="shared" si="1228"/>
        <v>1.0643352713979048</v>
      </c>
      <c r="Y355" s="38"/>
      <c r="Z355" s="38"/>
      <c r="AA355" s="39">
        <v>1</v>
      </c>
      <c r="AB355" s="39"/>
      <c r="AC355" s="39"/>
      <c r="AD355" s="7"/>
      <c r="AE355" s="4">
        <f t="shared" si="1229"/>
        <v>228.6</v>
      </c>
      <c r="AF355" s="4">
        <f t="shared" si="1230"/>
        <v>0.33703703703703697</v>
      </c>
      <c r="AG355" s="4">
        <f t="shared" si="1231"/>
        <v>232.00870916574723</v>
      </c>
      <c r="AH355" s="4">
        <f t="shared" si="1232"/>
        <v>0.76666666666666661</v>
      </c>
      <c r="AI355" s="4">
        <v>1.25</v>
      </c>
      <c r="AJ355" s="4">
        <f t="shared" si="1513"/>
        <v>2.5</v>
      </c>
      <c r="AK355" s="38">
        <f t="shared" si="1340"/>
        <v>187.34345227002655</v>
      </c>
      <c r="AL355" s="38">
        <f t="shared" si="1264"/>
        <v>187.34345227002655</v>
      </c>
      <c r="AM355" s="38">
        <f t="shared" si="1233"/>
        <v>3.8668524435568052</v>
      </c>
      <c r="AN355" s="38">
        <f t="shared" si="1521"/>
        <v>187.34345227002649</v>
      </c>
      <c r="AO355" s="38">
        <f t="shared" si="1484"/>
        <v>1.0000000000000002</v>
      </c>
      <c r="AP355" s="38">
        <f t="shared" si="1522"/>
        <v>2.232193581389573</v>
      </c>
      <c r="AQ355" s="4">
        <f t="shared" si="1523"/>
        <v>0</v>
      </c>
      <c r="AR355" s="4" t="e">
        <f>#REF!/G355*F355^0.5/0.19</f>
        <v>#REF!</v>
      </c>
      <c r="AS355" s="4">
        <f t="shared" si="1234"/>
        <v>1.3741935483870971</v>
      </c>
      <c r="AT355" s="38">
        <f t="shared" si="1235"/>
        <v>418.18685167251692</v>
      </c>
      <c r="AU355" s="4">
        <f t="shared" si="1236"/>
        <v>0.37</v>
      </c>
      <c r="AV355" s="4" t="e">
        <f>AU355*D355*#REF!/(D355*G355/2.75/F355^0.5)</f>
        <v>#REF!</v>
      </c>
      <c r="AW355" s="4" t="e">
        <f t="shared" si="1431"/>
        <v>#REF!</v>
      </c>
      <c r="AY355" s="4">
        <f t="shared" si="1237"/>
        <v>1.375</v>
      </c>
      <c r="AZ355" s="4" t="e">
        <f>(3*#REF!+30)*AY355*F355^0.5</f>
        <v>#REF!</v>
      </c>
      <c r="BB355" s="4">
        <f t="shared" si="1238"/>
        <v>401.09233167344996</v>
      </c>
      <c r="BC355" s="4">
        <f t="shared" si="1464"/>
        <v>0</v>
      </c>
      <c r="BD355" s="4">
        <f t="shared" si="1432"/>
        <v>0</v>
      </c>
      <c r="BL355" s="4">
        <f t="shared" si="1239"/>
        <v>26.669999999999987</v>
      </c>
      <c r="BP355" s="9"/>
      <c r="BR355" s="9"/>
      <c r="BS355" s="9"/>
      <c r="BT355" s="9">
        <f t="shared" si="1240"/>
        <v>26.669999999999987</v>
      </c>
      <c r="BU355" s="9">
        <f t="shared" si="1241"/>
        <v>63.5</v>
      </c>
      <c r="BV355" s="9">
        <f t="shared" si="1242"/>
        <v>1.1670978149623896</v>
      </c>
      <c r="BW355" s="40">
        <f t="shared" si="1343"/>
        <v>0</v>
      </c>
      <c r="BX355" s="9">
        <f t="shared" si="1243"/>
        <v>0</v>
      </c>
      <c r="BY355" s="9">
        <f t="shared" si="1433"/>
        <v>0</v>
      </c>
      <c r="BZ355" s="9">
        <f t="shared" si="1244"/>
        <v>0.99524931562137331</v>
      </c>
      <c r="CA355" s="9">
        <f t="shared" si="1245"/>
        <v>0.68048275862068963</v>
      </c>
      <c r="CB355" s="9">
        <f t="shared" si="1246"/>
        <v>1.6124799265763963</v>
      </c>
      <c r="CC355" s="9">
        <f t="shared" si="1247"/>
        <v>1.8819217989780266</v>
      </c>
      <c r="CD355" s="40">
        <v>1</v>
      </c>
      <c r="CE355" s="9" t="e">
        <f>4*CC355*#REF!+60*CC355</f>
        <v>#REF!</v>
      </c>
      <c r="CG355" s="4" t="e">
        <f t="shared" si="1434"/>
        <v>#REF!</v>
      </c>
      <c r="CH355" s="4" t="e">
        <f t="shared" si="1435"/>
        <v>#REF!</v>
      </c>
      <c r="CI355" s="4" t="e">
        <f t="shared" si="1436"/>
        <v>#REF!</v>
      </c>
      <c r="CJ355" s="4" t="e">
        <f t="shared" si="1437"/>
        <v>#REF!</v>
      </c>
      <c r="CK355" s="4">
        <f t="shared" si="1438"/>
        <v>1.0643352713979048</v>
      </c>
      <c r="CL355" s="4">
        <f t="shared" si="1439"/>
        <v>1.0864891795569402</v>
      </c>
      <c r="CM355" s="4">
        <f t="shared" si="1310"/>
        <v>1.6164798403189902</v>
      </c>
      <c r="CN355" s="4">
        <f t="shared" si="1344"/>
        <v>0</v>
      </c>
      <c r="CO355" s="4" t="e">
        <f t="shared" si="1533"/>
        <v>#REF!</v>
      </c>
      <c r="CP355" s="4" t="e">
        <f t="shared" si="1534"/>
        <v>#REF!</v>
      </c>
      <c r="CQ355" s="4" t="e">
        <f t="shared" si="1535"/>
        <v>#REF!</v>
      </c>
      <c r="CR355" s="4">
        <f t="shared" si="1536"/>
        <v>1.6164798403189902</v>
      </c>
      <c r="CS355" s="4">
        <f t="shared" si="1537"/>
        <v>1.0643352713979048</v>
      </c>
      <c r="CT355" s="4">
        <f t="shared" si="1538"/>
        <v>1.0864891795569402</v>
      </c>
      <c r="DC355" s="4" t="e">
        <f>#REF!</f>
        <v>#REF!</v>
      </c>
      <c r="DF355" s="4">
        <f t="shared" si="1248"/>
        <v>1.7931022683563105E-5</v>
      </c>
      <c r="DG355" s="4">
        <f t="shared" si="1446"/>
        <v>7.3425114000204648</v>
      </c>
      <c r="DH355" s="4">
        <f t="shared" si="1249"/>
        <v>0.20852274110774549</v>
      </c>
      <c r="DI355" s="4">
        <f t="shared" si="1447"/>
        <v>3.9219856434308356</v>
      </c>
      <c r="DJ355" s="4">
        <f t="shared" si="1448"/>
        <v>5.8883455225764845</v>
      </c>
      <c r="DK355" s="4">
        <f t="shared" si="1250"/>
        <v>7.0544408137106744</v>
      </c>
      <c r="DL355" s="38">
        <f t="shared" si="1251"/>
        <v>391.37265796972918</v>
      </c>
      <c r="DM355" s="4" t="e">
        <f t="shared" si="1449"/>
        <v>#REF!</v>
      </c>
      <c r="DN355" s="4">
        <f t="shared" si="1252"/>
        <v>2.3452078799117149</v>
      </c>
      <c r="DO355" s="4">
        <f t="shared" si="1309"/>
        <v>187.34345227002649</v>
      </c>
      <c r="DS355" s="4">
        <f t="shared" si="1253"/>
        <v>0.85</v>
      </c>
      <c r="DT355" s="4">
        <f t="shared" si="1254"/>
        <v>0.995</v>
      </c>
      <c r="DU355" s="4">
        <f t="shared" si="1255"/>
        <v>1</v>
      </c>
      <c r="DV355" s="4">
        <f t="shared" si="1450"/>
        <v>0.995</v>
      </c>
      <c r="DX355" s="4">
        <f t="shared" si="1256"/>
        <v>383.39242762435686</v>
      </c>
      <c r="DY355" s="25">
        <f t="shared" si="1502"/>
        <v>185.14461982380428</v>
      </c>
      <c r="EA355" s="4">
        <f t="shared" si="1503"/>
        <v>0.84575</v>
      </c>
      <c r="EB355" s="4">
        <f t="shared" si="1257"/>
        <v>7.3425114000204648</v>
      </c>
      <c r="EE355" s="4">
        <f t="shared" si="1258"/>
        <v>59.568280149757555</v>
      </c>
      <c r="EF355" s="4">
        <f t="shared" si="1451"/>
        <v>2.3452078799117149</v>
      </c>
      <c r="EG355" s="4">
        <f t="shared" si="1259"/>
        <v>7.7565027287808549E-2</v>
      </c>
      <c r="EJ355" s="4">
        <f t="shared" si="1452"/>
        <v>7.7565027287808549E-2</v>
      </c>
      <c r="EK355" s="4">
        <f t="shared" si="1260"/>
        <v>0.20817475551619255</v>
      </c>
      <c r="EL355" s="4">
        <f t="shared" si="1453"/>
        <v>3.9193663063320971</v>
      </c>
      <c r="EM355" s="4">
        <f t="shared" si="1454"/>
        <v>5.8874807855904052</v>
      </c>
      <c r="EN355" s="4" t="e">
        <f t="shared" si="1455"/>
        <v>#REF!</v>
      </c>
      <c r="EO355" s="4" t="e">
        <f t="shared" si="1456"/>
        <v>#REF!</v>
      </c>
      <c r="EP355" s="4" t="e">
        <f t="shared" si="1261"/>
        <v>#REF!</v>
      </c>
      <c r="EQ355" s="4" t="e">
        <f t="shared" si="1457"/>
        <v>#REF!</v>
      </c>
      <c r="ER355" s="4" t="e">
        <f t="shared" si="1262"/>
        <v>#REF!</v>
      </c>
      <c r="EU355" s="4">
        <f t="shared" si="1539"/>
        <v>133.35</v>
      </c>
      <c r="FA355" s="23" t="e">
        <f t="shared" si="1383"/>
        <v>#REF!</v>
      </c>
      <c r="FB355" s="23" t="e">
        <f t="shared" si="1384"/>
        <v>#REF!</v>
      </c>
      <c r="FC355" s="23">
        <f t="shared" si="1317"/>
        <v>1.8</v>
      </c>
      <c r="FD355" s="23" t="e">
        <f t="shared" si="1385"/>
        <v>#REF!</v>
      </c>
      <c r="FE355" s="23">
        <f t="shared" si="1386"/>
        <v>1.2</v>
      </c>
      <c r="FF355" s="23">
        <f t="shared" si="1387"/>
        <v>1.2</v>
      </c>
      <c r="FG355" s="23">
        <f t="shared" si="1266"/>
        <v>0</v>
      </c>
      <c r="FH355" s="23"/>
      <c r="FR355" s="4">
        <f t="shared" si="1485"/>
        <v>1</v>
      </c>
      <c r="FS355" s="4">
        <f t="shared" si="1486"/>
        <v>0.90833333333333333</v>
      </c>
      <c r="FT355" s="4">
        <f t="shared" si="1487"/>
        <v>0</v>
      </c>
      <c r="FU355" s="4">
        <f t="shared" si="1488"/>
        <v>257.69063971483263</v>
      </c>
    </row>
    <row r="356" spans="2:177" ht="12" customHeight="1" x14ac:dyDescent="0.3">
      <c r="B356" s="24"/>
      <c r="C356" s="7" t="s">
        <v>497</v>
      </c>
      <c r="D356" s="38">
        <f>120/0.145</f>
        <v>827.58620689655174</v>
      </c>
      <c r="E356" s="38">
        <f>9.38*25.4</f>
        <v>238.25200000000001</v>
      </c>
      <c r="F356" s="38">
        <f>6790/145</f>
        <v>46.827586206896555</v>
      </c>
      <c r="G356" s="38">
        <f t="shared" si="1341"/>
        <v>25.4</v>
      </c>
      <c r="H356" s="38">
        <f>15.1*25.4</f>
        <v>383.53999999999996</v>
      </c>
      <c r="I356" s="38">
        <f>2.5*25.4</f>
        <v>63.5</v>
      </c>
      <c r="J356" s="39">
        <f>3.25*25.4</f>
        <v>82.55</v>
      </c>
      <c r="K356" s="7">
        <f t="shared" si="1339"/>
        <v>205.73999999999995</v>
      </c>
      <c r="L356" s="38">
        <v>2</v>
      </c>
      <c r="M356" s="4">
        <f t="shared" si="1357"/>
        <v>260.34999999999997</v>
      </c>
      <c r="N356" s="7">
        <f t="shared" si="1224"/>
        <v>3</v>
      </c>
      <c r="O356" s="7">
        <f t="shared" si="1225"/>
        <v>3</v>
      </c>
      <c r="P356" s="38">
        <v>4</v>
      </c>
      <c r="Q356" s="4">
        <f t="shared" si="1342"/>
        <v>4</v>
      </c>
      <c r="R356" s="4">
        <f t="shared" si="1226"/>
        <v>5</v>
      </c>
      <c r="S356" s="7">
        <f t="shared" si="1227"/>
        <v>56.796126628494655</v>
      </c>
      <c r="V356" s="38">
        <f t="shared" si="1395"/>
        <v>539.31034482758628</v>
      </c>
      <c r="W356" s="4">
        <v>78.2</v>
      </c>
      <c r="X356" s="4">
        <f t="shared" si="1228"/>
        <v>0.9161935541106252</v>
      </c>
      <c r="Y356" s="38"/>
      <c r="Z356" s="38"/>
      <c r="AA356" s="39">
        <v>1</v>
      </c>
      <c r="AB356" s="39"/>
      <c r="AC356" s="39"/>
      <c r="AD356" s="7"/>
      <c r="AE356" s="4">
        <f t="shared" si="1229"/>
        <v>238.25200000000001</v>
      </c>
      <c r="AF356" s="4">
        <f t="shared" si="1230"/>
        <v>0.53660270078180528</v>
      </c>
      <c r="AG356" s="4">
        <f t="shared" si="1231"/>
        <v>248.32383590087252</v>
      </c>
      <c r="AH356" s="4">
        <f t="shared" si="1232"/>
        <v>0.76396588486140726</v>
      </c>
      <c r="AI356" s="4">
        <v>1.25</v>
      </c>
      <c r="AJ356" s="4">
        <f t="shared" si="1513"/>
        <v>2.5</v>
      </c>
      <c r="AK356" s="38">
        <f t="shared" si="1340"/>
        <v>318.12313202907933</v>
      </c>
      <c r="AL356" s="38">
        <f t="shared" si="1264"/>
        <v>318.12313202907933</v>
      </c>
      <c r="AM356" s="38">
        <f t="shared" si="1233"/>
        <v>3.8975267336121062</v>
      </c>
      <c r="AN356" s="38">
        <f t="shared" si="1521"/>
        <v>318.12313202907904</v>
      </c>
      <c r="AO356" s="38">
        <f t="shared" si="1484"/>
        <v>1.0000000000000009</v>
      </c>
      <c r="AP356" s="38">
        <f t="shared" si="1522"/>
        <v>1.7663947632434147</v>
      </c>
      <c r="AQ356" s="4">
        <f t="shared" si="1523"/>
        <v>0</v>
      </c>
      <c r="AR356" s="4" t="e">
        <f>#REF!/G356*F356^0.5/0.19</f>
        <v>#REF!</v>
      </c>
      <c r="AS356" s="4">
        <f t="shared" si="1234"/>
        <v>1</v>
      </c>
      <c r="AT356" s="38">
        <f t="shared" si="1235"/>
        <v>561.93103448275861</v>
      </c>
      <c r="AU356" s="4">
        <f t="shared" si="1236"/>
        <v>0.44000000000000006</v>
      </c>
      <c r="AV356" s="4" t="e">
        <f>AU356*D356*#REF!/(D356*G356/2.75/F356^0.5)</f>
        <v>#REF!</v>
      </c>
      <c r="AW356" s="4" t="e">
        <f t="shared" si="1431"/>
        <v>#REF!</v>
      </c>
      <c r="AY356" s="4">
        <f t="shared" si="1237"/>
        <v>1.375</v>
      </c>
      <c r="AZ356" s="4" t="e">
        <f>(3*#REF!+30)*AY356*F356^0.5</f>
        <v>#REF!</v>
      </c>
      <c r="BB356" s="4">
        <f t="shared" si="1238"/>
        <v>538.96058175655878</v>
      </c>
      <c r="BC356" s="4">
        <f t="shared" si="1464"/>
        <v>0</v>
      </c>
      <c r="BD356" s="4">
        <f t="shared" si="1432"/>
        <v>0</v>
      </c>
      <c r="BL356" s="4">
        <f t="shared" si="1239"/>
        <v>63.5</v>
      </c>
      <c r="BP356" s="9"/>
      <c r="BR356" s="9"/>
      <c r="BS356" s="9"/>
      <c r="BT356" s="9">
        <f t="shared" si="1240"/>
        <v>63.5</v>
      </c>
      <c r="BU356" s="9">
        <f t="shared" si="1241"/>
        <v>102.86999999999998</v>
      </c>
      <c r="BV356" s="9">
        <f t="shared" si="1242"/>
        <v>1.699797775373473</v>
      </c>
      <c r="BW356" s="40">
        <f t="shared" si="1343"/>
        <v>0</v>
      </c>
      <c r="BX356" s="9">
        <f t="shared" si="1243"/>
        <v>0</v>
      </c>
      <c r="BY356" s="9">
        <f t="shared" si="1433"/>
        <v>0</v>
      </c>
      <c r="BZ356" s="9">
        <f t="shared" si="1244"/>
        <v>0.99524931562137331</v>
      </c>
      <c r="CA356" s="9">
        <f t="shared" si="1245"/>
        <v>0.68</v>
      </c>
      <c r="CB356" s="9">
        <f t="shared" si="1246"/>
        <v>1.6209130944490342</v>
      </c>
      <c r="CC356" s="9">
        <f t="shared" si="1247"/>
        <v>2.7552244720182006</v>
      </c>
      <c r="CD356" s="40">
        <v>1</v>
      </c>
      <c r="CE356" s="9" t="e">
        <f>4*CC356*#REF!+60*CC356</f>
        <v>#REF!</v>
      </c>
      <c r="CG356" s="4" t="e">
        <f t="shared" si="1434"/>
        <v>#REF!</v>
      </c>
      <c r="CH356" s="4" t="e">
        <f t="shared" si="1435"/>
        <v>#REF!</v>
      </c>
      <c r="CI356" s="4" t="e">
        <f t="shared" si="1436"/>
        <v>#REF!</v>
      </c>
      <c r="CJ356" s="4" t="e">
        <f t="shared" si="1437"/>
        <v>#REF!</v>
      </c>
      <c r="CK356" s="4">
        <f t="shared" si="1438"/>
        <v>0.9161935541106252</v>
      </c>
      <c r="CL356" s="4">
        <f t="shared" si="1439"/>
        <v>0.96674260066309403</v>
      </c>
      <c r="CM356" s="4">
        <f t="shared" si="1310"/>
        <v>1.1020916631669231</v>
      </c>
      <c r="CN356" s="4">
        <f t="shared" si="1344"/>
        <v>0</v>
      </c>
      <c r="CO356" s="4" t="e">
        <f t="shared" si="1533"/>
        <v>#REF!</v>
      </c>
      <c r="CP356" s="4" t="e">
        <f t="shared" si="1534"/>
        <v>#REF!</v>
      </c>
      <c r="CQ356" s="4" t="e">
        <f t="shared" si="1535"/>
        <v>#REF!</v>
      </c>
      <c r="CR356" s="4">
        <f t="shared" si="1536"/>
        <v>1.1020916631669231</v>
      </c>
      <c r="CS356" s="4">
        <f t="shared" si="1537"/>
        <v>0.9161935541106252</v>
      </c>
      <c r="CT356" s="4">
        <f t="shared" si="1538"/>
        <v>0.96674260066309403</v>
      </c>
      <c r="DC356" s="4" t="e">
        <f>#REF!</f>
        <v>#REF!</v>
      </c>
      <c r="DF356" s="4">
        <f t="shared" si="1248"/>
        <v>1.8754307597872246E-5</v>
      </c>
      <c r="DG356" s="4">
        <f t="shared" si="1446"/>
        <v>8.6461429491242612</v>
      </c>
      <c r="DH356" s="4">
        <f t="shared" si="1249"/>
        <v>0.37533501502490646</v>
      </c>
      <c r="DI356" s="4">
        <f t="shared" si="1447"/>
        <v>5.8423832730452157</v>
      </c>
      <c r="DJ356" s="4">
        <f t="shared" si="1448"/>
        <v>7.3791461832387251</v>
      </c>
      <c r="DK356" s="4">
        <f t="shared" si="1250"/>
        <v>8.1679413048538798</v>
      </c>
      <c r="DL356" s="38">
        <f t="shared" si="1251"/>
        <v>588.64236973497373</v>
      </c>
      <c r="DM356" s="4" t="e">
        <f t="shared" si="1449"/>
        <v>#REF!</v>
      </c>
      <c r="DN356" s="4">
        <f t="shared" si="1252"/>
        <v>2.2360679774997898</v>
      </c>
      <c r="DO356" s="4">
        <f t="shared" si="1309"/>
        <v>318.12313202907904</v>
      </c>
      <c r="DS356" s="4">
        <f t="shared" si="1253"/>
        <v>0.85</v>
      </c>
      <c r="DT356" s="4">
        <f t="shared" si="1254"/>
        <v>0.85</v>
      </c>
      <c r="DU356" s="4">
        <f t="shared" si="1255"/>
        <v>1</v>
      </c>
      <c r="DV356" s="4">
        <f t="shared" si="1450"/>
        <v>0.85</v>
      </c>
      <c r="DX356" s="4">
        <f t="shared" si="1256"/>
        <v>557.86343175284753</v>
      </c>
      <c r="DY356" s="25">
        <f t="shared" si="1502"/>
        <v>314.56096916449081</v>
      </c>
      <c r="EA356" s="4">
        <f t="shared" si="1503"/>
        <v>0.72249999999999992</v>
      </c>
      <c r="EB356" s="4">
        <f t="shared" si="1257"/>
        <v>8.6461429491242612</v>
      </c>
      <c r="EE356" s="4">
        <f t="shared" si="1258"/>
        <v>56.796126628494655</v>
      </c>
      <c r="EF356" s="4">
        <f t="shared" si="1451"/>
        <v>2.2360679774997898</v>
      </c>
      <c r="EG356" s="4">
        <f t="shared" si="1259"/>
        <v>0.14044466065071942</v>
      </c>
      <c r="EJ356" s="4">
        <f t="shared" si="1452"/>
        <v>0.14044466065071942</v>
      </c>
      <c r="EK356" s="4">
        <f t="shared" si="1260"/>
        <v>0.37470865083776739</v>
      </c>
      <c r="EL356" s="4">
        <f t="shared" si="1453"/>
        <v>5.8384813792996928</v>
      </c>
      <c r="EM356" s="4">
        <f t="shared" si="1454"/>
        <v>7.3776048296736834</v>
      </c>
      <c r="EN356" s="4" t="e">
        <f t="shared" si="1455"/>
        <v>#REF!</v>
      </c>
      <c r="EO356" s="4" t="e">
        <f t="shared" si="1456"/>
        <v>#REF!</v>
      </c>
      <c r="EP356" s="4" t="e">
        <f t="shared" si="1261"/>
        <v>#REF!</v>
      </c>
      <c r="EQ356" s="4" t="e">
        <f t="shared" si="1457"/>
        <v>#REF!</v>
      </c>
      <c r="ER356" s="4" t="e">
        <f t="shared" si="1262"/>
        <v>#REF!</v>
      </c>
      <c r="FA356" s="23" t="e">
        <f t="shared" si="1383"/>
        <v>#REF!</v>
      </c>
      <c r="FB356" s="23" t="e">
        <f t="shared" si="1384"/>
        <v>#REF!</v>
      </c>
      <c r="FC356" s="23">
        <f t="shared" si="1317"/>
        <v>1.2</v>
      </c>
      <c r="FD356" s="23" t="e">
        <f t="shared" si="1385"/>
        <v>#REF!</v>
      </c>
      <c r="FE356" s="23">
        <f t="shared" si="1386"/>
        <v>1</v>
      </c>
      <c r="FF356" s="23">
        <f t="shared" si="1387"/>
        <v>1</v>
      </c>
      <c r="FG356" s="23">
        <f t="shared" si="1266"/>
        <v>0</v>
      </c>
      <c r="FH356" s="23"/>
      <c r="FR356" s="4">
        <f t="shared" si="1485"/>
        <v>1</v>
      </c>
      <c r="FS356" s="4">
        <f t="shared" si="1486"/>
        <v>0.5</v>
      </c>
      <c r="FT356" s="4">
        <f t="shared" si="1487"/>
        <v>0</v>
      </c>
      <c r="FU356" s="4">
        <f t="shared" si="1488"/>
        <v>489.35162369148799</v>
      </c>
    </row>
    <row r="357" spans="2:177" ht="12" customHeight="1" x14ac:dyDescent="0.3">
      <c r="B357" s="24"/>
      <c r="C357" s="7" t="s">
        <v>498</v>
      </c>
      <c r="D357" s="38">
        <f t="shared" ref="D357:D363" si="1542">120/0.145</f>
        <v>827.58620689655174</v>
      </c>
      <c r="E357" s="38">
        <f>9.5*25.4</f>
        <v>241.29999999999998</v>
      </c>
      <c r="F357" s="38">
        <f>6790/145</f>
        <v>46.827586206896555</v>
      </c>
      <c r="G357" s="38">
        <f t="shared" si="1341"/>
        <v>25.4</v>
      </c>
      <c r="H357" s="38">
        <f>15.1*25.4</f>
        <v>383.53999999999996</v>
      </c>
      <c r="I357" s="38">
        <f>2.5*25.4</f>
        <v>63.5</v>
      </c>
      <c r="J357" s="39">
        <f>3*25.4</f>
        <v>76.199999999999989</v>
      </c>
      <c r="K357" s="7">
        <f t="shared" si="1339"/>
        <v>205.73999999999995</v>
      </c>
      <c r="L357" s="38">
        <v>2</v>
      </c>
      <c r="M357" s="4">
        <f t="shared" si="1357"/>
        <v>260.34999999999997</v>
      </c>
      <c r="N357" s="7">
        <f t="shared" si="1224"/>
        <v>3</v>
      </c>
      <c r="O357" s="7">
        <f t="shared" si="1225"/>
        <v>3</v>
      </c>
      <c r="P357" s="38">
        <v>4</v>
      </c>
      <c r="Q357" s="4">
        <f t="shared" si="1342"/>
        <v>4</v>
      </c>
      <c r="R357" s="4">
        <f t="shared" si="1226"/>
        <v>5</v>
      </c>
      <c r="S357" s="7">
        <f t="shared" si="1227"/>
        <v>56.796126628494655</v>
      </c>
      <c r="V357" s="38">
        <f t="shared" si="1395"/>
        <v>669.65517241379314</v>
      </c>
      <c r="W357" s="4">
        <v>97.1</v>
      </c>
      <c r="X357" s="4">
        <f t="shared" si="1228"/>
        <v>1.0276805768179793</v>
      </c>
      <c r="Y357" s="38">
        <f t="shared" ref="Y357" si="1543">0.5*25.4</f>
        <v>12.7</v>
      </c>
      <c r="Z357" s="38">
        <v>10</v>
      </c>
      <c r="AA357" s="39">
        <f t="shared" ref="AA357" si="1544">3*25.4</f>
        <v>76.199999999999989</v>
      </c>
      <c r="AB357" s="39">
        <v>3</v>
      </c>
      <c r="AC357" s="39">
        <f>AB357-1</f>
        <v>2</v>
      </c>
      <c r="AD357" s="7"/>
      <c r="AE357" s="4">
        <f t="shared" si="1229"/>
        <v>241.29999999999998</v>
      </c>
      <c r="AF357" s="4">
        <f t="shared" si="1230"/>
        <v>0.52982456140350875</v>
      </c>
      <c r="AG357" s="4">
        <f t="shared" si="1231"/>
        <v>253.10432048351177</v>
      </c>
      <c r="AH357" s="4">
        <f t="shared" si="1232"/>
        <v>0.76315789473684204</v>
      </c>
      <c r="AI357" s="4">
        <v>1.25</v>
      </c>
      <c r="AJ357" s="4">
        <f t="shared" si="1513"/>
        <v>2.5</v>
      </c>
      <c r="AK357" s="38">
        <f>AF357*AH357*AI357*AJ357*AG357</f>
        <v>319.81296727761367</v>
      </c>
      <c r="AL357" s="38">
        <f t="shared" si="1264"/>
        <v>319.81296727761367</v>
      </c>
      <c r="AM357" s="38">
        <f t="shared" si="1233"/>
        <v>3.8975267336121062</v>
      </c>
      <c r="AN357" s="38">
        <f t="shared" si="1521"/>
        <v>319.81296727761384</v>
      </c>
      <c r="AO357" s="38">
        <f t="shared" si="1484"/>
        <v>0.99999999999999944</v>
      </c>
      <c r="AP357" s="38">
        <f t="shared" si="1522"/>
        <v>1.757061445213302</v>
      </c>
      <c r="AQ357" s="4">
        <f t="shared" si="1523"/>
        <v>0</v>
      </c>
      <c r="AR357" s="4" t="e">
        <f>#REF!/G357*F357^0.5/0.19</f>
        <v>#REF!</v>
      </c>
      <c r="AS357" s="4">
        <f t="shared" si="1234"/>
        <v>1</v>
      </c>
      <c r="AT357" s="38">
        <f t="shared" si="1235"/>
        <v>561.93103448275861</v>
      </c>
      <c r="AU357" s="4">
        <f t="shared" si="1236"/>
        <v>0.44000000000000006</v>
      </c>
      <c r="AV357" s="4" t="e">
        <f>AU357*D357*#REF!/(D357*G357/2.75/F357^0.5)</f>
        <v>#REF!</v>
      </c>
      <c r="AW357" s="4" t="e">
        <f t="shared" si="1431"/>
        <v>#REF!</v>
      </c>
      <c r="AY357" s="4">
        <f t="shared" si="1237"/>
        <v>1.5</v>
      </c>
      <c r="AZ357" s="4" t="e">
        <f>(3*#REF!+30)*AY357*F357^0.5</f>
        <v>#REF!</v>
      </c>
      <c r="BB357" s="4">
        <f t="shared" si="1238"/>
        <v>538.96058175655878</v>
      </c>
      <c r="BC357" s="4">
        <f t="shared" si="1464"/>
        <v>0</v>
      </c>
      <c r="BD357" s="4">
        <f t="shared" si="1432"/>
        <v>0</v>
      </c>
      <c r="BL357" s="4">
        <f t="shared" si="1239"/>
        <v>63.5</v>
      </c>
      <c r="BP357" s="9"/>
      <c r="BR357" s="9"/>
      <c r="BS357" s="9"/>
      <c r="BT357" s="9">
        <f t="shared" si="1240"/>
        <v>63.5</v>
      </c>
      <c r="BU357" s="9">
        <f t="shared" si="1241"/>
        <v>102.86999999999998</v>
      </c>
      <c r="BV357" s="9">
        <f t="shared" si="1242"/>
        <v>1.699797775373473</v>
      </c>
      <c r="BW357" s="40">
        <f t="shared" si="1343"/>
        <v>20</v>
      </c>
      <c r="BX357" s="9">
        <f t="shared" si="1243"/>
        <v>0.05</v>
      </c>
      <c r="BY357" s="9">
        <f t="shared" si="1433"/>
        <v>0.8</v>
      </c>
      <c r="BZ357" s="9">
        <f t="shared" si="1244"/>
        <v>0.99524931562137331</v>
      </c>
      <c r="CA357" s="9">
        <f t="shared" si="1245"/>
        <v>0.68</v>
      </c>
      <c r="CB357" s="9">
        <f t="shared" si="1246"/>
        <v>1.6209130944490342</v>
      </c>
      <c r="CC357" s="9">
        <f t="shared" si="1247"/>
        <v>4.0519549475774275</v>
      </c>
      <c r="CD357" s="40">
        <v>1</v>
      </c>
      <c r="CE357" s="9" t="e">
        <f>4*CC357*#REF!+60*CC357</f>
        <v>#REF!</v>
      </c>
      <c r="CG357" s="4" t="e">
        <f t="shared" si="1434"/>
        <v>#REF!</v>
      </c>
      <c r="CH357" s="4" t="e">
        <f t="shared" si="1435"/>
        <v>#REF!</v>
      </c>
      <c r="CI357" s="4" t="e">
        <f t="shared" si="1436"/>
        <v>#REF!</v>
      </c>
      <c r="CJ357" s="4" t="e">
        <f t="shared" si="1437"/>
        <v>#REF!</v>
      </c>
      <c r="CK357" s="4">
        <f t="shared" si="1438"/>
        <v>1.0276805768179793</v>
      </c>
      <c r="CL357" s="4">
        <f t="shared" si="1439"/>
        <v>1.0879820523592281</v>
      </c>
      <c r="CM357" s="4">
        <f t="shared" si="1310"/>
        <v>1.1890280478040305</v>
      </c>
      <c r="CN357" s="4">
        <f t="shared" si="1344"/>
        <v>10</v>
      </c>
      <c r="CU357" s="4" t="e">
        <f t="shared" ref="CU357" si="1545">CG357</f>
        <v>#REF!</v>
      </c>
      <c r="CV357" s="4" t="e">
        <f t="shared" ref="CV357" si="1546">CH357</f>
        <v>#REF!</v>
      </c>
      <c r="CW357" s="4" t="e">
        <f t="shared" ref="CW357" si="1547">CJ357</f>
        <v>#REF!</v>
      </c>
      <c r="CX357" s="4">
        <f t="shared" ref="CX357" si="1548">CM357</f>
        <v>1.1890280478040305</v>
      </c>
      <c r="CY357" s="4">
        <f t="shared" ref="CY357" si="1549">CK357</f>
        <v>1.0276805768179793</v>
      </c>
      <c r="CZ357" s="4">
        <f t="shared" ref="CZ357" si="1550">CL357</f>
        <v>1.0879820523592281</v>
      </c>
      <c r="DC357" s="4" t="e">
        <f>#REF!</f>
        <v>#REF!</v>
      </c>
      <c r="DF357" s="4">
        <f t="shared" si="1248"/>
        <v>1.8994234773964424E-5</v>
      </c>
      <c r="DG357" s="4">
        <f t="shared" si="1446"/>
        <v>10.498887866793746</v>
      </c>
      <c r="DH357" s="4">
        <f t="shared" si="1249"/>
        <v>0.37732875353223522</v>
      </c>
      <c r="DI357" s="4">
        <f t="shared" si="1447"/>
        <v>7.1093722985602961</v>
      </c>
      <c r="DJ357" s="4">
        <f t="shared" si="1448"/>
        <v>8.9663426766085994</v>
      </c>
      <c r="DK357" s="4">
        <f t="shared" si="1250"/>
        <v>9.776160469501713</v>
      </c>
      <c r="DL357" s="38">
        <f t="shared" si="1251"/>
        <v>651.61801003114715</v>
      </c>
      <c r="DM357" s="4" t="e">
        <f t="shared" si="1449"/>
        <v>#REF!</v>
      </c>
      <c r="DN357" s="4">
        <f t="shared" si="1252"/>
        <v>2.2360679774997898</v>
      </c>
      <c r="DO357" s="4">
        <f t="shared" si="1309"/>
        <v>319.81296727761384</v>
      </c>
      <c r="DS357" s="4">
        <f t="shared" si="1253"/>
        <v>0.85</v>
      </c>
      <c r="DT357" s="4">
        <f t="shared" si="1254"/>
        <v>0.85</v>
      </c>
      <c r="DU357" s="4">
        <f t="shared" si="1255"/>
        <v>0.77500000000000002</v>
      </c>
      <c r="DV357" s="4">
        <f t="shared" si="1450"/>
        <v>0.7</v>
      </c>
      <c r="DX357" s="4">
        <f t="shared" si="1256"/>
        <v>615.50203972729469</v>
      </c>
      <c r="DY357" s="25">
        <f t="shared" si="1502"/>
        <v>316.28373552367282</v>
      </c>
      <c r="EA357" s="4">
        <f t="shared" si="1503"/>
        <v>0.59499999999999997</v>
      </c>
      <c r="EB357" s="4">
        <f t="shared" si="1257"/>
        <v>10.498887866793746</v>
      </c>
      <c r="EE357" s="4">
        <f t="shared" si="1258"/>
        <v>56.796126628494655</v>
      </c>
      <c r="EF357" s="4">
        <f t="shared" si="1451"/>
        <v>2.2360679774997898</v>
      </c>
      <c r="EG357" s="4">
        <f t="shared" si="1259"/>
        <v>0.14119068731191298</v>
      </c>
      <c r="EJ357" s="4">
        <f t="shared" si="1452"/>
        <v>0.14119068731191298</v>
      </c>
      <c r="EK357" s="4">
        <f t="shared" si="1260"/>
        <v>0.37669906216710974</v>
      </c>
      <c r="EL357" s="4">
        <f t="shared" si="1453"/>
        <v>7.1046242335994894</v>
      </c>
      <c r="EM357" s="4">
        <f t="shared" si="1454"/>
        <v>8.9644642695673813</v>
      </c>
      <c r="EN357" s="4" t="e">
        <f t="shared" si="1455"/>
        <v>#REF!</v>
      </c>
      <c r="EO357" s="4" t="e">
        <f t="shared" si="1456"/>
        <v>#REF!</v>
      </c>
      <c r="EP357" s="4" t="e">
        <f t="shared" si="1261"/>
        <v>#REF!</v>
      </c>
      <c r="EQ357" s="4" t="e">
        <f t="shared" si="1457"/>
        <v>#REF!</v>
      </c>
      <c r="ER357" s="4" t="e">
        <f t="shared" si="1262"/>
        <v>#REF!</v>
      </c>
      <c r="FA357" s="23" t="e">
        <f t="shared" si="1383"/>
        <v>#REF!</v>
      </c>
      <c r="FB357" s="23" t="e">
        <f t="shared" si="1384"/>
        <v>#REF!</v>
      </c>
      <c r="FC357" s="23">
        <f t="shared" si="1317"/>
        <v>1.2</v>
      </c>
      <c r="FD357" s="23" t="e">
        <f t="shared" si="1385"/>
        <v>#REF!</v>
      </c>
      <c r="FE357" s="23">
        <f t="shared" si="1386"/>
        <v>1.2</v>
      </c>
      <c r="FF357" s="23">
        <f t="shared" si="1387"/>
        <v>1.2</v>
      </c>
      <c r="FG357" s="23">
        <f t="shared" si="1266"/>
        <v>0</v>
      </c>
      <c r="FH357" s="23"/>
      <c r="FR357" s="4">
        <f t="shared" si="1485"/>
        <v>1</v>
      </c>
      <c r="FS357" s="4">
        <f t="shared" si="1486"/>
        <v>0.44</v>
      </c>
      <c r="FT357" s="4">
        <f t="shared" si="1487"/>
        <v>0.3</v>
      </c>
      <c r="FU357" s="4">
        <f t="shared" si="1488"/>
        <v>563.19543819891646</v>
      </c>
    </row>
    <row r="358" spans="2:177" ht="12" customHeight="1" x14ac:dyDescent="0.3">
      <c r="B358" s="24"/>
      <c r="C358" s="7" t="s">
        <v>499</v>
      </c>
      <c r="D358" s="38">
        <f t="shared" si="1542"/>
        <v>827.58620689655174</v>
      </c>
      <c r="E358" s="38">
        <f>9.33*25.4</f>
        <v>236.982</v>
      </c>
      <c r="F358" s="38">
        <f>6790/145</f>
        <v>46.827586206896555</v>
      </c>
      <c r="G358" s="38">
        <f t="shared" si="1341"/>
        <v>25.4</v>
      </c>
      <c r="H358" s="38">
        <f>15.1*25.4</f>
        <v>383.53999999999996</v>
      </c>
      <c r="I358" s="38">
        <f>2.55*25.4</f>
        <v>64.77</v>
      </c>
      <c r="J358" s="39">
        <f>3.3*25.4</f>
        <v>83.82</v>
      </c>
      <c r="K358" s="7">
        <f t="shared" si="1339"/>
        <v>88.899999999999991</v>
      </c>
      <c r="L358" s="38">
        <v>3</v>
      </c>
      <c r="M358" s="4">
        <f t="shared" si="1357"/>
        <v>260.34999999999997</v>
      </c>
      <c r="N358" s="7">
        <f t="shared" si="1224"/>
        <v>2.25</v>
      </c>
      <c r="O358" s="7">
        <f t="shared" si="1225"/>
        <v>3.05</v>
      </c>
      <c r="P358" s="38">
        <v>4</v>
      </c>
      <c r="Q358" s="4">
        <f t="shared" si="1342"/>
        <v>4</v>
      </c>
      <c r="R358" s="4">
        <f t="shared" si="1226"/>
        <v>5</v>
      </c>
      <c r="S358" s="7">
        <f t="shared" si="1227"/>
        <v>56.796126628494655</v>
      </c>
      <c r="V358" s="38">
        <f t="shared" si="1395"/>
        <v>355.17241379310349</v>
      </c>
      <c r="W358" s="4">
        <v>51.5</v>
      </c>
      <c r="X358" s="4">
        <f t="shared" si="1228"/>
        <v>0.79497862339968595</v>
      </c>
      <c r="Y358" s="38"/>
      <c r="Z358" s="38"/>
      <c r="AA358" s="39">
        <v>1</v>
      </c>
      <c r="AB358" s="39"/>
      <c r="AC358" s="39"/>
      <c r="AD358" s="7"/>
      <c r="AE358" s="4">
        <f t="shared" si="1229"/>
        <v>236.982</v>
      </c>
      <c r="AF358" s="4">
        <f t="shared" si="1230"/>
        <v>0.53947838513754909</v>
      </c>
      <c r="AG358" s="4">
        <f t="shared" si="1231"/>
        <v>164.22730165587976</v>
      </c>
      <c r="AH358" s="4">
        <f t="shared" si="1232"/>
        <v>0.76538049303322608</v>
      </c>
      <c r="AI358" s="4">
        <v>1.25</v>
      </c>
      <c r="AJ358" s="4">
        <f t="shared" si="1513"/>
        <v>2.5</v>
      </c>
      <c r="AK358" s="38">
        <f t="shared" si="1340"/>
        <v>211.90773869847416</v>
      </c>
      <c r="AL358" s="38">
        <f t="shared" si="1264"/>
        <v>211.90773869847416</v>
      </c>
      <c r="AM358" s="38">
        <f t="shared" si="1233"/>
        <v>3.8975267336121062</v>
      </c>
      <c r="AN358" s="38">
        <f t="shared" si="1521"/>
        <v>211.90773869847405</v>
      </c>
      <c r="AO358" s="38">
        <f t="shared" si="1484"/>
        <v>1.0000000000000004</v>
      </c>
      <c r="AP358" s="38">
        <f t="shared" si="1522"/>
        <v>2.27168478680181</v>
      </c>
      <c r="AQ358" s="4">
        <f t="shared" si="1523"/>
        <v>0</v>
      </c>
      <c r="AR358" s="4" t="e">
        <f>#REF!/G358*F358^0.5/0.19</f>
        <v>#REF!</v>
      </c>
      <c r="AS358" s="4">
        <f t="shared" si="1234"/>
        <v>1.1422222222222222</v>
      </c>
      <c r="AT358" s="38">
        <f t="shared" si="1235"/>
        <v>481.38758620689663</v>
      </c>
      <c r="AU358" s="4">
        <f t="shared" si="1236"/>
        <v>0.44000000000000006</v>
      </c>
      <c r="AV358" s="4" t="e">
        <f>AU358*D358*#REF!/(D358*G358/2.75/F358^0.5)</f>
        <v>#REF!</v>
      </c>
      <c r="AW358" s="4" t="e">
        <f t="shared" si="1431"/>
        <v>#REF!</v>
      </c>
      <c r="AY358" s="4">
        <f t="shared" si="1237"/>
        <v>1.3875</v>
      </c>
      <c r="AZ358" s="4" t="e">
        <f>(3*#REF!+30)*AY358*F358^0.5</f>
        <v>#REF!</v>
      </c>
      <c r="BB358" s="4">
        <f t="shared" si="1238"/>
        <v>461.70956503811868</v>
      </c>
      <c r="BC358" s="4">
        <f t="shared" si="1464"/>
        <v>0</v>
      </c>
      <c r="BD358" s="4">
        <f t="shared" si="1432"/>
        <v>0</v>
      </c>
      <c r="BL358" s="4">
        <f t="shared" si="1239"/>
        <v>44.449999999999996</v>
      </c>
      <c r="BP358" s="9"/>
      <c r="BR358" s="9"/>
      <c r="BS358" s="9"/>
      <c r="BT358" s="9">
        <f t="shared" si="1240"/>
        <v>44.449999999999996</v>
      </c>
      <c r="BU358" s="9">
        <f t="shared" si="1241"/>
        <v>64.77</v>
      </c>
      <c r="BV358" s="9">
        <f t="shared" si="1242"/>
        <v>1.3997302362379427</v>
      </c>
      <c r="BW358" s="40">
        <f t="shared" si="1343"/>
        <v>0</v>
      </c>
      <c r="BX358" s="9">
        <f t="shared" si="1243"/>
        <v>0</v>
      </c>
      <c r="BY358" s="9">
        <f t="shared" si="1433"/>
        <v>0</v>
      </c>
      <c r="BZ358" s="9">
        <f t="shared" si="1244"/>
        <v>0.99524931562137331</v>
      </c>
      <c r="CA358" s="9">
        <f t="shared" si="1245"/>
        <v>0.68</v>
      </c>
      <c r="CB358" s="9">
        <f t="shared" si="1246"/>
        <v>1.6209130944490342</v>
      </c>
      <c r="CC358" s="9">
        <f t="shared" si="1247"/>
        <v>2.2688410686143214</v>
      </c>
      <c r="CD358" s="40">
        <v>1</v>
      </c>
      <c r="CE358" s="9" t="e">
        <f>4*CC358*#REF!+60*CC358</f>
        <v>#REF!</v>
      </c>
      <c r="CG358" s="4" t="e">
        <f t="shared" si="1434"/>
        <v>#REF!</v>
      </c>
      <c r="CH358" s="4" t="e">
        <f t="shared" si="1435"/>
        <v>#REF!</v>
      </c>
      <c r="CI358" s="4" t="e">
        <f t="shared" si="1436"/>
        <v>#REF!</v>
      </c>
      <c r="CJ358" s="4" t="e">
        <f t="shared" si="1437"/>
        <v>#REF!</v>
      </c>
      <c r="CK358" s="4">
        <f t="shared" si="1438"/>
        <v>0.79497862339968595</v>
      </c>
      <c r="CL358" s="4">
        <f t="shared" si="1439"/>
        <v>0.82233348350740842</v>
      </c>
      <c r="CM358" s="4">
        <f t="shared" si="1310"/>
        <v>1.1553451423090986</v>
      </c>
      <c r="CN358" s="4">
        <f t="shared" si="1344"/>
        <v>0</v>
      </c>
      <c r="CO358" s="4" t="e">
        <f t="shared" ref="CO358" si="1551">CG358</f>
        <v>#REF!</v>
      </c>
      <c r="CP358" s="4" t="e">
        <f t="shared" ref="CP358" si="1552">CH358</f>
        <v>#REF!</v>
      </c>
      <c r="CQ358" s="4" t="e">
        <f t="shared" ref="CQ358" si="1553">CJ358</f>
        <v>#REF!</v>
      </c>
      <c r="CR358" s="4">
        <f t="shared" si="1536"/>
        <v>1.1553451423090986</v>
      </c>
      <c r="CS358" s="4">
        <f t="shared" ref="CS358" si="1554">CK358</f>
        <v>0.79497862339968595</v>
      </c>
      <c r="CT358" s="4">
        <f t="shared" ref="CT358" si="1555">CL358</f>
        <v>0.82233348350740842</v>
      </c>
      <c r="DC358" s="4" t="e">
        <f>#REF!</f>
        <v>#REF!</v>
      </c>
      <c r="DF358" s="4">
        <f t="shared" si="1248"/>
        <v>1.8654337941167171E-5</v>
      </c>
      <c r="DG358" s="4">
        <f t="shared" si="1446"/>
        <v>7.9451043316276984</v>
      </c>
      <c r="DH358" s="4">
        <f t="shared" si="1249"/>
        <v>0.25001763870794352</v>
      </c>
      <c r="DI358" s="4">
        <f t="shared" si="1447"/>
        <v>4.5633929194179164</v>
      </c>
      <c r="DJ358" s="4">
        <f t="shared" si="1448"/>
        <v>6.4803196530193512</v>
      </c>
      <c r="DK358" s="4">
        <f t="shared" si="1250"/>
        <v>7.5694956542959266</v>
      </c>
      <c r="DL358" s="38">
        <f t="shared" si="1251"/>
        <v>446.76976630418892</v>
      </c>
      <c r="DM358" s="4" t="e">
        <f t="shared" si="1449"/>
        <v>#REF!</v>
      </c>
      <c r="DN358" s="4">
        <f t="shared" si="1252"/>
        <v>2.2360679774997898</v>
      </c>
      <c r="DO358" s="4">
        <f t="shared" si="1309"/>
        <v>211.90773869847405</v>
      </c>
      <c r="DS358" s="4">
        <f t="shared" si="1253"/>
        <v>0.85</v>
      </c>
      <c r="DT358" s="4">
        <f t="shared" si="1254"/>
        <v>0.92500000000000004</v>
      </c>
      <c r="DU358" s="4">
        <f t="shared" si="1255"/>
        <v>1</v>
      </c>
      <c r="DV358" s="4">
        <f t="shared" si="1450"/>
        <v>0.92500000000000004</v>
      </c>
      <c r="DX358" s="4">
        <f t="shared" si="1256"/>
        <v>431.90800437582294</v>
      </c>
      <c r="DY358" s="25">
        <f t="shared" si="1502"/>
        <v>209.52453413356363</v>
      </c>
      <c r="EA358" s="4">
        <f t="shared" si="1503"/>
        <v>0.78625</v>
      </c>
      <c r="EB358" s="4">
        <f t="shared" si="1257"/>
        <v>7.9451043316276984</v>
      </c>
      <c r="EE358" s="4">
        <f t="shared" si="1258"/>
        <v>56.796126628494655</v>
      </c>
      <c r="EF358" s="4">
        <f t="shared" si="1451"/>
        <v>2.2360679774997898</v>
      </c>
      <c r="EG358" s="4">
        <f t="shared" si="1259"/>
        <v>9.3552802215112377E-2</v>
      </c>
      <c r="EJ358" s="4">
        <f t="shared" si="1452"/>
        <v>9.3552802215112377E-2</v>
      </c>
      <c r="EK358" s="4">
        <f t="shared" si="1260"/>
        <v>0.24960040586589352</v>
      </c>
      <c r="EL358" s="4">
        <f t="shared" si="1453"/>
        <v>4.5603452120939565</v>
      </c>
      <c r="EM358" s="4">
        <f t="shared" si="1454"/>
        <v>6.4792529673615737</v>
      </c>
      <c r="EN358" s="4" t="e">
        <f t="shared" si="1455"/>
        <v>#REF!</v>
      </c>
      <c r="EO358" s="4" t="e">
        <f t="shared" si="1456"/>
        <v>#REF!</v>
      </c>
      <c r="EP358" s="4" t="e">
        <f t="shared" si="1261"/>
        <v>#REF!</v>
      </c>
      <c r="EQ358" s="4" t="e">
        <f t="shared" si="1457"/>
        <v>#REF!</v>
      </c>
      <c r="ER358" s="4" t="e">
        <f t="shared" si="1262"/>
        <v>#REF!</v>
      </c>
      <c r="FA358" s="23" t="e">
        <f t="shared" si="1383"/>
        <v>#REF!</v>
      </c>
      <c r="FB358" s="23" t="e">
        <f t="shared" si="1384"/>
        <v>#REF!</v>
      </c>
      <c r="FC358" s="23">
        <f t="shared" si="1317"/>
        <v>1.2</v>
      </c>
      <c r="FD358" s="23" t="e">
        <f t="shared" si="1385"/>
        <v>#REF!</v>
      </c>
      <c r="FE358" s="23">
        <f t="shared" si="1386"/>
        <v>0.8</v>
      </c>
      <c r="FF358" s="23">
        <f t="shared" si="1387"/>
        <v>1</v>
      </c>
      <c r="FG358" s="23">
        <f t="shared" si="1266"/>
        <v>1</v>
      </c>
      <c r="FH358" s="23"/>
      <c r="FR358" s="4">
        <f t="shared" si="1485"/>
        <v>1</v>
      </c>
      <c r="FS358" s="4">
        <f t="shared" si="1486"/>
        <v>0.79166666666666663</v>
      </c>
      <c r="FT358" s="4">
        <f t="shared" si="1487"/>
        <v>0</v>
      </c>
      <c r="FU358" s="4">
        <f t="shared" si="1488"/>
        <v>307.4167197200033</v>
      </c>
    </row>
    <row r="359" spans="2:177" ht="12" customHeight="1" x14ac:dyDescent="0.3">
      <c r="B359" s="24"/>
      <c r="C359" s="7" t="s">
        <v>500</v>
      </c>
      <c r="D359" s="38">
        <f t="shared" si="1542"/>
        <v>827.58620689655174</v>
      </c>
      <c r="E359" s="38">
        <f>9.17*25.4</f>
        <v>232.91799999999998</v>
      </c>
      <c r="F359" s="38">
        <f>6650/145</f>
        <v>45.862068965517238</v>
      </c>
      <c r="G359" s="38">
        <f t="shared" si="1341"/>
        <v>25.4</v>
      </c>
      <c r="H359" s="38">
        <f>15.3*25.4</f>
        <v>388.62</v>
      </c>
      <c r="I359" s="38">
        <f>2.45*25.4</f>
        <v>62.230000000000004</v>
      </c>
      <c r="J359" s="39">
        <f>3.5*25.4</f>
        <v>88.899999999999991</v>
      </c>
      <c r="K359" s="7">
        <f t="shared" si="1339"/>
        <v>93.98</v>
      </c>
      <c r="L359" s="38">
        <v>3</v>
      </c>
      <c r="M359" s="4">
        <f t="shared" si="1357"/>
        <v>260.34999999999997</v>
      </c>
      <c r="N359" s="7">
        <f t="shared" si="1224"/>
        <v>2.35</v>
      </c>
      <c r="O359" s="7">
        <f t="shared" si="1225"/>
        <v>2.95</v>
      </c>
      <c r="P359" s="38">
        <v>4</v>
      </c>
      <c r="Q359" s="4">
        <f t="shared" si="1342"/>
        <v>4</v>
      </c>
      <c r="R359" s="4">
        <f t="shared" si="1226"/>
        <v>5</v>
      </c>
      <c r="S359" s="7">
        <f t="shared" si="1227"/>
        <v>56.796126628494655</v>
      </c>
      <c r="V359" s="38">
        <f t="shared" si="1395"/>
        <v>545.51724137931035</v>
      </c>
      <c r="W359" s="4">
        <v>79.099999999999994</v>
      </c>
      <c r="X359" s="4">
        <f t="shared" si="1228"/>
        <v>1.0750809484919404</v>
      </c>
      <c r="Y359" s="38">
        <f t="shared" ref="Y359" si="1556">0.5*25.4</f>
        <v>12.7</v>
      </c>
      <c r="Z359" s="38">
        <v>10</v>
      </c>
      <c r="AA359" s="39">
        <f t="shared" ref="AA359" si="1557">3*25.4</f>
        <v>76.199999999999989</v>
      </c>
      <c r="AB359" s="39">
        <v>3</v>
      </c>
      <c r="AC359" s="39">
        <f>AB359-1</f>
        <v>2</v>
      </c>
      <c r="AD359" s="7"/>
      <c r="AE359" s="4">
        <f t="shared" si="1229"/>
        <v>232.91799999999998</v>
      </c>
      <c r="AF359" s="4">
        <f t="shared" si="1230"/>
        <v>0.5561613958560524</v>
      </c>
      <c r="AG359" s="4">
        <f t="shared" si="1231"/>
        <v>158.36267557236209</v>
      </c>
      <c r="AH359" s="4">
        <f t="shared" si="1232"/>
        <v>0.76434023991275901</v>
      </c>
      <c r="AI359" s="4">
        <v>1.25</v>
      </c>
      <c r="AJ359" s="4">
        <f t="shared" si="1513"/>
        <v>2.5</v>
      </c>
      <c r="AK359" s="38">
        <f t="shared" si="1340"/>
        <v>210.37320193056468</v>
      </c>
      <c r="AL359" s="38">
        <f t="shared" si="1264"/>
        <v>210.37320193056468</v>
      </c>
      <c r="AM359" s="38">
        <f t="shared" si="1233"/>
        <v>3.8437666713572023</v>
      </c>
      <c r="AN359" s="38">
        <f t="shared" si="1521"/>
        <v>210.37320193056462</v>
      </c>
      <c r="AO359" s="38">
        <f t="shared" si="1484"/>
        <v>1.0000000000000002</v>
      </c>
      <c r="AP359" s="38">
        <f t="shared" si="1522"/>
        <v>2.2585150110496457</v>
      </c>
      <c r="AQ359" s="4">
        <f t="shared" si="1523"/>
        <v>0</v>
      </c>
      <c r="AR359" s="4" t="e">
        <f>#REF!/G359*F359^0.5/0.19</f>
        <v>#REF!</v>
      </c>
      <c r="AS359" s="4">
        <f t="shared" si="1234"/>
        <v>1.102127659574468</v>
      </c>
      <c r="AT359" s="38">
        <f t="shared" si="1235"/>
        <v>475.13103448275854</v>
      </c>
      <c r="AU359" s="4">
        <f t="shared" si="1236"/>
        <v>0.44000000000000006</v>
      </c>
      <c r="AV359" s="4" t="e">
        <f>AU359*D359*#REF!/(D359*G359/2.75/F359^0.5)</f>
        <v>#REF!</v>
      </c>
      <c r="AW359" s="4" t="e">
        <f t="shared" si="1431"/>
        <v>#REF!</v>
      </c>
      <c r="AY359" s="4">
        <f t="shared" si="1237"/>
        <v>1.5</v>
      </c>
      <c r="AZ359" s="4" t="e">
        <f>(3*#REF!+30)*AY359*F359^0.5</f>
        <v>#REF!</v>
      </c>
      <c r="BB359" s="4">
        <f t="shared" si="1238"/>
        <v>455.70876680825171</v>
      </c>
      <c r="BC359" s="4">
        <f t="shared" si="1464"/>
        <v>0</v>
      </c>
      <c r="BD359" s="4">
        <f t="shared" si="1432"/>
        <v>0</v>
      </c>
      <c r="BL359" s="4">
        <f t="shared" si="1239"/>
        <v>46.99</v>
      </c>
      <c r="BP359" s="9"/>
      <c r="BR359" s="9"/>
      <c r="BS359" s="9"/>
      <c r="BT359" s="9">
        <f t="shared" si="1240"/>
        <v>46.99</v>
      </c>
      <c r="BU359" s="9">
        <f t="shared" si="1241"/>
        <v>62.230000000000004</v>
      </c>
      <c r="BV359" s="9">
        <f t="shared" si="1242"/>
        <v>1.4186818663340235</v>
      </c>
      <c r="BW359" s="40">
        <f t="shared" si="1343"/>
        <v>20</v>
      </c>
      <c r="BX359" s="9">
        <f t="shared" si="1243"/>
        <v>0.05</v>
      </c>
      <c r="BY359" s="9">
        <f t="shared" si="1433"/>
        <v>0.8</v>
      </c>
      <c r="BZ359" s="9">
        <f t="shared" si="1244"/>
        <v>0.99524931562137331</v>
      </c>
      <c r="CA359" s="9">
        <f t="shared" si="1245"/>
        <v>0.68</v>
      </c>
      <c r="CB359" s="9">
        <f t="shared" si="1246"/>
        <v>1.6041156142513788</v>
      </c>
      <c r="CC359" s="9">
        <f t="shared" si="1247"/>
        <v>3.5590222248427974</v>
      </c>
      <c r="CD359" s="40">
        <v>1</v>
      </c>
      <c r="CE359" s="9" t="e">
        <f>4*CC359*#REF!+60*CC359</f>
        <v>#REF!</v>
      </c>
      <c r="CG359" s="4" t="e">
        <f t="shared" si="1434"/>
        <v>#REF!</v>
      </c>
      <c r="CH359" s="4" t="e">
        <f t="shared" si="1435"/>
        <v>#REF!</v>
      </c>
      <c r="CI359" s="4" t="e">
        <f t="shared" si="1436"/>
        <v>#REF!</v>
      </c>
      <c r="CJ359" s="4" t="e">
        <f t="shared" si="1437"/>
        <v>#REF!</v>
      </c>
      <c r="CK359" s="4">
        <f t="shared" si="1438"/>
        <v>1.0750809484919404</v>
      </c>
      <c r="CL359" s="4">
        <f t="shared" si="1439"/>
        <v>1.1130622636058647</v>
      </c>
      <c r="CM359" s="4">
        <f t="shared" si="1310"/>
        <v>1.676977781714432</v>
      </c>
      <c r="CN359" s="4">
        <f t="shared" si="1344"/>
        <v>10</v>
      </c>
      <c r="CU359" s="4" t="e">
        <f t="shared" ref="CU359" si="1558">CG359</f>
        <v>#REF!</v>
      </c>
      <c r="CV359" s="4" t="e">
        <f t="shared" ref="CV359" si="1559">CH359</f>
        <v>#REF!</v>
      </c>
      <c r="CW359" s="4" t="e">
        <f t="shared" ref="CW359" si="1560">CJ359</f>
        <v>#REF!</v>
      </c>
      <c r="CX359" s="4">
        <f t="shared" ref="CX359" si="1561">CM359</f>
        <v>1.676977781714432</v>
      </c>
      <c r="CY359" s="4">
        <f t="shared" ref="CY359" si="1562">CK359</f>
        <v>1.0750809484919404</v>
      </c>
      <c r="CZ359" s="4">
        <f t="shared" ref="CZ359" si="1563">CL359</f>
        <v>1.1130622636058647</v>
      </c>
      <c r="DC359" s="4" t="e">
        <f>#REF!</f>
        <v>#REF!</v>
      </c>
      <c r="DF359" s="4">
        <f t="shared" si="1248"/>
        <v>1.8221231027775321E-5</v>
      </c>
      <c r="DG359" s="4">
        <f t="shared" si="1446"/>
        <v>10.256388811022733</v>
      </c>
      <c r="DH359" s="4">
        <f t="shared" si="1249"/>
        <v>0.25343254108029062</v>
      </c>
      <c r="DI359" s="4">
        <f t="shared" si="1447"/>
        <v>5.9229685617203174</v>
      </c>
      <c r="DJ359" s="4">
        <f t="shared" si="1448"/>
        <v>8.3767340140551969</v>
      </c>
      <c r="DK359" s="4">
        <f t="shared" si="1250"/>
        <v>9.6564537119373188</v>
      </c>
      <c r="DL359" s="38">
        <f t="shared" si="1251"/>
        <v>507.419689786643</v>
      </c>
      <c r="DM359" s="4" t="e">
        <f t="shared" si="1449"/>
        <v>#REF!</v>
      </c>
      <c r="DN359" s="4">
        <f t="shared" si="1252"/>
        <v>2.2360679774997898</v>
      </c>
      <c r="DO359" s="4">
        <f t="shared" si="1309"/>
        <v>210.37320193056462</v>
      </c>
      <c r="DS359" s="4">
        <f t="shared" si="1253"/>
        <v>0.85</v>
      </c>
      <c r="DT359" s="4">
        <f t="shared" si="1254"/>
        <v>0.91500000000000004</v>
      </c>
      <c r="DU359" s="4">
        <f t="shared" si="1255"/>
        <v>0.77500000000000002</v>
      </c>
      <c r="DV359" s="4">
        <f t="shared" si="1450"/>
        <v>0.70912500000000001</v>
      </c>
      <c r="DX359" s="4">
        <f t="shared" si="1256"/>
        <v>490.1048748270905</v>
      </c>
      <c r="DY359" s="25">
        <f t="shared" si="1502"/>
        <v>207.95161863585514</v>
      </c>
      <c r="EA359" s="4">
        <f t="shared" si="1503"/>
        <v>0.60275624999999999</v>
      </c>
      <c r="EB359" s="4">
        <f t="shared" si="1257"/>
        <v>10.256388811022733</v>
      </c>
      <c r="EE359" s="4">
        <f t="shared" si="1258"/>
        <v>56.796126628494655</v>
      </c>
      <c r="EF359" s="4">
        <f t="shared" si="1451"/>
        <v>2.2360679774997898</v>
      </c>
      <c r="EG359" s="4">
        <f t="shared" si="1259"/>
        <v>9.3847879695297828E-2</v>
      </c>
      <c r="EJ359" s="4">
        <f t="shared" si="1452"/>
        <v>9.3847879695297828E-2</v>
      </c>
      <c r="EK359" s="4">
        <f t="shared" si="1260"/>
        <v>0.25300960940263245</v>
      </c>
      <c r="EL359" s="4">
        <f t="shared" si="1453"/>
        <v>5.9190128482886895</v>
      </c>
      <c r="EM359" s="4">
        <f t="shared" si="1454"/>
        <v>8.3753436193313071</v>
      </c>
      <c r="EN359" s="4" t="e">
        <f t="shared" si="1455"/>
        <v>#REF!</v>
      </c>
      <c r="EO359" s="4" t="e">
        <f t="shared" si="1456"/>
        <v>#REF!</v>
      </c>
      <c r="EP359" s="4" t="e">
        <f t="shared" si="1261"/>
        <v>#REF!</v>
      </c>
      <c r="EQ359" s="4" t="e">
        <f t="shared" si="1457"/>
        <v>#REF!</v>
      </c>
      <c r="ER359" s="4" t="e">
        <f t="shared" si="1262"/>
        <v>#REF!</v>
      </c>
      <c r="FA359" s="23" t="e">
        <f t="shared" si="1383"/>
        <v>#REF!</v>
      </c>
      <c r="FB359" s="23" t="e">
        <f t="shared" si="1384"/>
        <v>#REF!</v>
      </c>
      <c r="FC359" s="23">
        <f t="shared" si="1317"/>
        <v>1.8</v>
      </c>
      <c r="FD359" s="23" t="e">
        <f t="shared" si="1385"/>
        <v>#REF!</v>
      </c>
      <c r="FE359" s="23">
        <f t="shared" si="1386"/>
        <v>1.2</v>
      </c>
      <c r="FF359" s="23">
        <f t="shared" si="1387"/>
        <v>1.2</v>
      </c>
      <c r="FG359" s="23">
        <f t="shared" si="1266"/>
        <v>0</v>
      </c>
      <c r="FH359" s="23"/>
      <c r="FR359" s="4">
        <f t="shared" si="1485"/>
        <v>1.25</v>
      </c>
      <c r="FS359" s="4">
        <f t="shared" si="1486"/>
        <v>0.58520000000000005</v>
      </c>
      <c r="FT359" s="4">
        <f t="shared" si="1487"/>
        <v>0.3</v>
      </c>
      <c r="FU359" s="4">
        <f t="shared" si="1488"/>
        <v>325.29783478801329</v>
      </c>
    </row>
    <row r="360" spans="2:177" ht="12" customHeight="1" x14ac:dyDescent="0.3">
      <c r="B360" s="24"/>
      <c r="C360" s="7" t="s">
        <v>501</v>
      </c>
      <c r="D360" s="38">
        <f t="shared" si="1542"/>
        <v>827.58620689655174</v>
      </c>
      <c r="E360" s="38">
        <f>9.47*25.4</f>
        <v>240.53800000000001</v>
      </c>
      <c r="F360" s="38">
        <f>6650/145</f>
        <v>45.862068965517238</v>
      </c>
      <c r="G360" s="38">
        <f t="shared" si="1341"/>
        <v>25.4</v>
      </c>
      <c r="H360" s="38">
        <f>14.8*25.4</f>
        <v>375.92</v>
      </c>
      <c r="I360" s="38">
        <f>2.45*25.4</f>
        <v>62.230000000000004</v>
      </c>
      <c r="J360" s="39">
        <f>3.3*25.4</f>
        <v>83.82</v>
      </c>
      <c r="K360" s="7">
        <f t="shared" si="1339"/>
        <v>49.953333333333347</v>
      </c>
      <c r="L360" s="38">
        <v>4</v>
      </c>
      <c r="M360" s="4">
        <f t="shared" si="1357"/>
        <v>260.34999999999997</v>
      </c>
      <c r="N360" s="7">
        <f t="shared" si="1224"/>
        <v>1.4833333333333336</v>
      </c>
      <c r="O360" s="7">
        <f t="shared" si="1225"/>
        <v>2.95</v>
      </c>
      <c r="P360" s="38">
        <v>4</v>
      </c>
      <c r="Q360" s="4">
        <f t="shared" si="1342"/>
        <v>4</v>
      </c>
      <c r="R360" s="4">
        <f t="shared" si="1226"/>
        <v>5</v>
      </c>
      <c r="S360" s="7">
        <f t="shared" si="1227"/>
        <v>56.796126628494655</v>
      </c>
      <c r="V360" s="38">
        <f t="shared" si="1395"/>
        <v>228.27586206896555</v>
      </c>
      <c r="W360" s="4">
        <v>33.1</v>
      </c>
      <c r="X360" s="4">
        <f t="shared" si="1228"/>
        <v>0.62319362436667958</v>
      </c>
      <c r="Y360" s="38"/>
      <c r="Z360" s="38"/>
      <c r="AA360" s="39">
        <v>1</v>
      </c>
      <c r="AB360" s="39"/>
      <c r="AC360" s="39"/>
      <c r="AD360" s="7"/>
      <c r="AE360" s="4">
        <f t="shared" si="1229"/>
        <v>240.53800000000001</v>
      </c>
      <c r="AF360" s="4">
        <f t="shared" si="1230"/>
        <v>0.52094332981344593</v>
      </c>
      <c r="AG360" s="4">
        <f t="shared" si="1231"/>
        <v>124.64792666075199</v>
      </c>
      <c r="AH360" s="4">
        <f t="shared" si="1232"/>
        <v>0.76230200633579726</v>
      </c>
      <c r="AI360" s="4">
        <v>1.25</v>
      </c>
      <c r="AJ360" s="4">
        <f t="shared" si="1513"/>
        <v>2.5</v>
      </c>
      <c r="AK360" s="38">
        <f t="shared" si="1340"/>
        <v>154.68657556433811</v>
      </c>
      <c r="AL360" s="38">
        <f t="shared" si="1264"/>
        <v>154.68657556433811</v>
      </c>
      <c r="AM360" s="38">
        <f t="shared" si="1233"/>
        <v>3.8437666713572023</v>
      </c>
      <c r="AN360" s="38">
        <f t="shared" si="1521"/>
        <v>154.68657556433794</v>
      </c>
      <c r="AO360" s="38">
        <f t="shared" si="1484"/>
        <v>1.0000000000000011</v>
      </c>
      <c r="AP360" s="38">
        <f t="shared" si="1522"/>
        <v>2.4548861441214105</v>
      </c>
      <c r="AQ360" s="4">
        <f t="shared" si="1523"/>
        <v>0</v>
      </c>
      <c r="AR360" s="4" t="e">
        <f>#REF!/G360*F360^0.5/0.19</f>
        <v>#REF!</v>
      </c>
      <c r="AS360" s="4">
        <f t="shared" si="1234"/>
        <v>1.395505617977528</v>
      </c>
      <c r="AT360" s="38">
        <f t="shared" si="1235"/>
        <v>379.73793103448276</v>
      </c>
      <c r="AU360" s="4">
        <f t="shared" si="1236"/>
        <v>0.44000000000000006</v>
      </c>
      <c r="AV360" s="4" t="e">
        <f>AU360*D360*#REF!/(D360*G360/2.75/F360^0.5)</f>
        <v>#REF!</v>
      </c>
      <c r="AW360" s="4" t="e">
        <f t="shared" si="1431"/>
        <v>#REF!</v>
      </c>
      <c r="AY360" s="4">
        <f t="shared" si="1237"/>
        <v>1.3625</v>
      </c>
      <c r="AZ360" s="4" t="e">
        <f>(3*#REF!+30)*AY360*F360^0.5</f>
        <v>#REF!</v>
      </c>
      <c r="BB360" s="4">
        <f t="shared" si="1238"/>
        <v>364.21511478497354</v>
      </c>
      <c r="BC360" s="4">
        <f t="shared" si="1464"/>
        <v>0</v>
      </c>
      <c r="BD360" s="4">
        <f t="shared" si="1432"/>
        <v>0</v>
      </c>
      <c r="BL360" s="4">
        <f t="shared" si="1239"/>
        <v>24.976666666666674</v>
      </c>
      <c r="BP360" s="9"/>
      <c r="BR360" s="9"/>
      <c r="BS360" s="9"/>
      <c r="BT360" s="9">
        <f t="shared" si="1240"/>
        <v>24.976666666666674</v>
      </c>
      <c r="BU360" s="9">
        <f t="shared" si="1241"/>
        <v>62.230000000000004</v>
      </c>
      <c r="BV360" s="9">
        <f t="shared" si="1242"/>
        <v>1.1371563454107663</v>
      </c>
      <c r="BW360" s="40">
        <f t="shared" si="1343"/>
        <v>0</v>
      </c>
      <c r="BX360" s="9">
        <f t="shared" si="1243"/>
        <v>0</v>
      </c>
      <c r="BY360" s="9">
        <f t="shared" si="1433"/>
        <v>0</v>
      </c>
      <c r="BZ360" s="9">
        <f t="shared" si="1244"/>
        <v>0.99524931562137331</v>
      </c>
      <c r="CA360" s="9">
        <f t="shared" si="1245"/>
        <v>0.68</v>
      </c>
      <c r="CB360" s="9">
        <f t="shared" si="1246"/>
        <v>1.6041156142513788</v>
      </c>
      <c r="CC360" s="9">
        <f t="shared" si="1247"/>
        <v>1.8241302495184444</v>
      </c>
      <c r="CD360" s="40">
        <v>1</v>
      </c>
      <c r="CE360" s="9" t="e">
        <f>4*CC360*#REF!+60*CC360</f>
        <v>#REF!</v>
      </c>
      <c r="CG360" s="4" t="e">
        <f t="shared" si="1434"/>
        <v>#REF!</v>
      </c>
      <c r="CH360" s="4" t="e">
        <f t="shared" si="1435"/>
        <v>#REF!</v>
      </c>
      <c r="CI360" s="4" t="e">
        <f t="shared" si="1436"/>
        <v>#REF!</v>
      </c>
      <c r="CJ360" s="4" t="e">
        <f t="shared" si="1437"/>
        <v>#REF!</v>
      </c>
      <c r="CK360" s="4">
        <f t="shared" si="1438"/>
        <v>0.62319362436667958</v>
      </c>
      <c r="CL360" s="4">
        <f t="shared" si="1439"/>
        <v>0.63480838312555887</v>
      </c>
      <c r="CM360" s="4">
        <f t="shared" si="1310"/>
        <v>1.0676265150499875</v>
      </c>
      <c r="CN360" s="4">
        <f t="shared" si="1344"/>
        <v>0</v>
      </c>
      <c r="CO360" s="4" t="e">
        <f t="shared" ref="CO360" si="1564">CG360</f>
        <v>#REF!</v>
      </c>
      <c r="CP360" s="4" t="e">
        <f t="shared" ref="CP360" si="1565">CH360</f>
        <v>#REF!</v>
      </c>
      <c r="CQ360" s="4" t="e">
        <f t="shared" ref="CQ360" si="1566">CJ360</f>
        <v>#REF!</v>
      </c>
      <c r="CR360" s="4">
        <f t="shared" si="1536"/>
        <v>1.0676265150499875</v>
      </c>
      <c r="CS360" s="4">
        <f t="shared" ref="CS360" si="1567">CK360</f>
        <v>0.62319362436667958</v>
      </c>
      <c r="CT360" s="4">
        <f t="shared" ref="CT360" si="1568">CL360</f>
        <v>0.63480838312555887</v>
      </c>
      <c r="DC360" s="4" t="e">
        <f>#REF!</f>
        <v>#REF!</v>
      </c>
      <c r="DF360" s="4">
        <f t="shared" si="1248"/>
        <v>1.8817345456164922E-5</v>
      </c>
      <c r="DG360" s="4">
        <f t="shared" si="1446"/>
        <v>7.2730617156164961</v>
      </c>
      <c r="DH360" s="4">
        <f t="shared" si="1249"/>
        <v>0.18634793574714756</v>
      </c>
      <c r="DI360" s="4">
        <f t="shared" si="1447"/>
        <v>3.7140445371509778</v>
      </c>
      <c r="DJ360" s="4">
        <f t="shared" si="1448"/>
        <v>5.7772651340212935</v>
      </c>
      <c r="DK360" s="4">
        <f t="shared" si="1250"/>
        <v>6.9625541839601279</v>
      </c>
      <c r="DL360" s="38">
        <f t="shared" si="1251"/>
        <v>366.30006011526649</v>
      </c>
      <c r="DM360" s="4" t="e">
        <f t="shared" si="1449"/>
        <v>#REF!</v>
      </c>
      <c r="DN360" s="4">
        <f t="shared" si="1252"/>
        <v>2.2360679774997898</v>
      </c>
      <c r="DO360" s="4">
        <f t="shared" si="1309"/>
        <v>154.68657556433794</v>
      </c>
      <c r="DS360" s="4">
        <f t="shared" si="1253"/>
        <v>0.85</v>
      </c>
      <c r="DT360" s="4">
        <f t="shared" si="1254"/>
        <v>1</v>
      </c>
      <c r="DU360" s="4">
        <f t="shared" si="1255"/>
        <v>1</v>
      </c>
      <c r="DV360" s="4">
        <f t="shared" si="1450"/>
        <v>1</v>
      </c>
      <c r="DX360" s="4">
        <f t="shared" si="1256"/>
        <v>359.59805846454111</v>
      </c>
      <c r="DY360" s="25">
        <f t="shared" si="1502"/>
        <v>152.97037512387644</v>
      </c>
      <c r="EA360" s="4">
        <f t="shared" si="1503"/>
        <v>0.85</v>
      </c>
      <c r="EB360" s="4">
        <f t="shared" si="1257"/>
        <v>7.2730617156164961</v>
      </c>
      <c r="EE360" s="4">
        <f t="shared" si="1258"/>
        <v>56.796126628494655</v>
      </c>
      <c r="EF360" s="4">
        <f t="shared" si="1451"/>
        <v>2.2360679774997898</v>
      </c>
      <c r="EG360" s="4">
        <f t="shared" si="1259"/>
        <v>6.9005971296814891E-2</v>
      </c>
      <c r="EJ360" s="4">
        <f t="shared" si="1452"/>
        <v>6.9005971296814891E-2</v>
      </c>
      <c r="EK360" s="4">
        <f t="shared" si="1260"/>
        <v>0.18603695577291959</v>
      </c>
      <c r="EL360" s="4">
        <f t="shared" si="1453"/>
        <v>3.711564075587122</v>
      </c>
      <c r="EM360" s="4">
        <f t="shared" si="1454"/>
        <v>5.7764763931624632</v>
      </c>
      <c r="EN360" s="4" t="e">
        <f t="shared" si="1455"/>
        <v>#REF!</v>
      </c>
      <c r="EO360" s="4" t="e">
        <f t="shared" si="1456"/>
        <v>#REF!</v>
      </c>
      <c r="EP360" s="4" t="e">
        <f t="shared" si="1261"/>
        <v>#REF!</v>
      </c>
      <c r="EQ360" s="4" t="e">
        <f t="shared" si="1457"/>
        <v>#REF!</v>
      </c>
      <c r="ER360" s="4" t="e">
        <f t="shared" si="1262"/>
        <v>#REF!</v>
      </c>
      <c r="FA360" s="23" t="e">
        <f t="shared" si="1383"/>
        <v>#REF!</v>
      </c>
      <c r="FB360" s="23" t="e">
        <f t="shared" si="1384"/>
        <v>#REF!</v>
      </c>
      <c r="FC360" s="23">
        <f t="shared" si="1317"/>
        <v>1.2</v>
      </c>
      <c r="FD360" s="23" t="e">
        <f t="shared" si="1385"/>
        <v>#REF!</v>
      </c>
      <c r="FE360" s="23">
        <f t="shared" si="1386"/>
        <v>0.8</v>
      </c>
      <c r="FF360" s="23">
        <f t="shared" si="1387"/>
        <v>0.8</v>
      </c>
      <c r="FG360" s="23">
        <f t="shared" si="1266"/>
        <v>1</v>
      </c>
      <c r="FH360" s="23"/>
      <c r="FR360" s="4">
        <f t="shared" si="1485"/>
        <v>1.25</v>
      </c>
      <c r="FS360" s="4">
        <f t="shared" si="1486"/>
        <v>0.91944444444444429</v>
      </c>
      <c r="FT360" s="4">
        <f t="shared" si="1487"/>
        <v>0</v>
      </c>
      <c r="FU360" s="4">
        <f t="shared" si="1488"/>
        <v>213.81621648679024</v>
      </c>
    </row>
    <row r="361" spans="2:177" ht="12" customHeight="1" x14ac:dyDescent="0.3">
      <c r="B361" s="24"/>
      <c r="C361" s="7" t="s">
        <v>502</v>
      </c>
      <c r="D361" s="38">
        <f t="shared" si="1542"/>
        <v>827.58620689655174</v>
      </c>
      <c r="E361" s="38">
        <f>9.66*25.4</f>
        <v>245.36399999999998</v>
      </c>
      <c r="F361" s="38">
        <f>6650/145</f>
        <v>45.862068965517238</v>
      </c>
      <c r="G361" s="38">
        <f t="shared" si="1341"/>
        <v>25.4</v>
      </c>
      <c r="H361" s="38">
        <f>15.3*25.4</f>
        <v>388.62</v>
      </c>
      <c r="I361" s="38">
        <f>2.55*25.4</f>
        <v>64.77</v>
      </c>
      <c r="J361" s="39">
        <f>3*25.4</f>
        <v>76.199999999999989</v>
      </c>
      <c r="K361" s="7">
        <f t="shared" si="1339"/>
        <v>52.493333333333332</v>
      </c>
      <c r="L361" s="38">
        <v>4</v>
      </c>
      <c r="M361" s="4">
        <f t="shared" si="1357"/>
        <v>260.34999999999997</v>
      </c>
      <c r="N361" s="7">
        <f t="shared" ref="N361:N424" si="1569">MIN(I361/G361+0.5, K361/2/G361+0.5)</f>
        <v>1.5333333333333334</v>
      </c>
      <c r="O361" s="7">
        <f t="shared" ref="O361:O424" si="1570">I361/G361+0.5</f>
        <v>3.05</v>
      </c>
      <c r="P361" s="38">
        <v>4</v>
      </c>
      <c r="Q361" s="4">
        <f t="shared" si="1342"/>
        <v>4</v>
      </c>
      <c r="R361" s="4">
        <f t="shared" ref="R361:R424" si="1571">Q361+1</f>
        <v>5</v>
      </c>
      <c r="S361" s="7">
        <f t="shared" ref="S361:S424" si="1572">G361*R361^0.5</f>
        <v>56.796126628494655</v>
      </c>
      <c r="V361" s="38">
        <f t="shared" si="1395"/>
        <v>424.13793103448279</v>
      </c>
      <c r="W361" s="4">
        <v>61.5</v>
      </c>
      <c r="X361" s="4">
        <f t="shared" ref="X361:X424" si="1573">CK361</f>
        <v>0.96051437093285852</v>
      </c>
      <c r="Y361" s="38">
        <f t="shared" ref="Y361" si="1574">0.5*25.4</f>
        <v>12.7</v>
      </c>
      <c r="Z361" s="38">
        <v>10</v>
      </c>
      <c r="AA361" s="39">
        <f t="shared" ref="AA361" si="1575">3*25.4</f>
        <v>76.199999999999989</v>
      </c>
      <c r="AB361" s="39">
        <v>3</v>
      </c>
      <c r="AC361" s="39">
        <f>AB361-1</f>
        <v>2</v>
      </c>
      <c r="AD361" s="7"/>
      <c r="AE361" s="4">
        <f t="shared" ref="AE361:AE424" si="1576">E361</f>
        <v>245.36399999999998</v>
      </c>
      <c r="AF361" s="4">
        <f t="shared" ref="AF361:AF424" si="1577">IF(E361*3&gt;K361+G361, H361, (I361+G361/2)*2+1.5*E361*(2*L361-2))*(3*E361)/(9*E361^2)</f>
        <v>0.5279503105590061</v>
      </c>
      <c r="AG361" s="4">
        <f t="shared" ref="AG361:AG424" si="1578">MIN(10*F361^0.5*E361^1.5,100*3.9*F361^0.5*E361^(5/3))/(PI()/4*G361^2)/L361</f>
        <v>128.41796400921942</v>
      </c>
      <c r="AH361" s="4">
        <f t="shared" ref="AH361:AH424" si="1579">MIN(0.7+0.3*(MIN(I361,M361)+0.5*G361)/1.5/E361,1)</f>
        <v>0.76314699792960661</v>
      </c>
      <c r="AI361" s="4">
        <v>1.25</v>
      </c>
      <c r="AJ361" s="4">
        <f t="shared" si="1513"/>
        <v>2.5</v>
      </c>
      <c r="AK361" s="38">
        <f t="shared" si="1340"/>
        <v>161.68772545960374</v>
      </c>
      <c r="AL361" s="38">
        <f t="shared" si="1264"/>
        <v>161.68772545960374</v>
      </c>
      <c r="AM361" s="38">
        <f t="shared" ref="AM361:AM424" si="1580">IF(F361&lt;50, 0.3*F361^(2/3), 2.12*LN(1+0.1*(F361+8)))</f>
        <v>3.8437666713572023</v>
      </c>
      <c r="AN361" s="38">
        <f t="shared" si="1521"/>
        <v>161.68772545960394</v>
      </c>
      <c r="AO361" s="38">
        <f t="shared" si="1484"/>
        <v>0.99999999999999878</v>
      </c>
      <c r="AP361" s="38">
        <f t="shared" si="1522"/>
        <v>2.4280093571042878</v>
      </c>
      <c r="AQ361" s="4">
        <f t="shared" si="1523"/>
        <v>0</v>
      </c>
      <c r="AR361" s="4" t="e">
        <f>#REF!/G361*F361^0.5/0.19</f>
        <v>#REF!</v>
      </c>
      <c r="AS361" s="4">
        <f t="shared" ref="AS361:AS424" si="1581">MIN(0.6+0.4*(O361/N361),2)</f>
        <v>1.3956521739130434</v>
      </c>
      <c r="AT361" s="38">
        <f t="shared" ref="AT361:AT424" si="1582">2*F361*N361*P361^0.5*AS361*0.7/0.7</f>
        <v>392.57931034482755</v>
      </c>
      <c r="AU361" s="4">
        <f t="shared" ref="AU361:AU424" si="1583">MAX(1-0.7*Q361/5,0.3)</f>
        <v>0.44000000000000006</v>
      </c>
      <c r="AV361" s="4" t="e">
        <f>AU361*D361*#REF!/(D361*G361/2.75/F361^0.5)</f>
        <v>#REF!</v>
      </c>
      <c r="AW361" s="4" t="e">
        <f t="shared" si="1431"/>
        <v>#REF!</v>
      </c>
      <c r="AY361" s="4">
        <f t="shared" ref="AY361:AY424" si="1584">MIN(1.5, 0.75+0.25*MIN(3,MAX(1,I361/G361))+0.4*MIN(1,(40*2*PI()*Y361^2/4/AA361/L361)/G361))</f>
        <v>1.5</v>
      </c>
      <c r="AZ361" s="4" t="e">
        <f>(3*#REF!+30)*AY361*F361^0.5</f>
        <v>#REF!</v>
      </c>
      <c r="BB361" s="4">
        <f t="shared" ref="BB361:BB424" si="1585">3.4/PI()^0.5*F361*N361*Q361^0.5*AS361</f>
        <v>376.5315679419532</v>
      </c>
      <c r="BC361" s="4">
        <f t="shared" si="1464"/>
        <v>0</v>
      </c>
      <c r="BD361" s="4">
        <f t="shared" si="1432"/>
        <v>0</v>
      </c>
      <c r="BL361" s="4">
        <f t="shared" ref="BL361:BL424" si="1586">IF(K361=0,I361,MIN(K361/2,I361))</f>
        <v>26.246666666666666</v>
      </c>
      <c r="BP361" s="9"/>
      <c r="BR361" s="9"/>
      <c r="BS361" s="9"/>
      <c r="BT361" s="9">
        <f t="shared" ref="BT361:BT424" si="1587">IF(K361=0,MIN(I361,J361),MIN(K361/2,I361,J361))</f>
        <v>26.246666666666666</v>
      </c>
      <c r="BU361" s="9">
        <f t="shared" ref="BU361:BU424" si="1588">MAX(K361/2,I361)</f>
        <v>64.77</v>
      </c>
      <c r="BV361" s="9">
        <f t="shared" ref="BV361:BV424" si="1589">(BT361/G361)^0.5*(BU361/BT361)^0.15</f>
        <v>1.1640327001925783</v>
      </c>
      <c r="BW361" s="40">
        <f t="shared" si="1343"/>
        <v>20</v>
      </c>
      <c r="BX361" s="9">
        <f t="shared" ref="BX361:BX424" si="1590">MIN(PI()*Y361^2/4*Z361*2/L361/G361/MAX(0.01,AA361),0.05)</f>
        <v>0.05</v>
      </c>
      <c r="BY361" s="9">
        <f t="shared" si="1433"/>
        <v>0.8</v>
      </c>
      <c r="BZ361" s="9">
        <f t="shared" ref="BZ361:BZ424" si="1591">MIN(1,(25/G361)^0.3)</f>
        <v>0.99524931562137331</v>
      </c>
      <c r="CA361" s="9">
        <f t="shared" ref="CA361:CA424" si="1592">IF(D361&gt;=800,0.68,IF(D361&gt;=700,0.75-(D361-700)*0.07/100,IF(D361&gt;=600,0.85-(D361-600)*0.1/100,IF(D361&gt;=500,1-(D361-500)*0.15/100,1.2-(D361-400)*0.2/100))))</f>
        <v>0.68</v>
      </c>
      <c r="CB361" s="9">
        <f t="shared" ref="CB361:CB424" si="1593">1.75*BZ361*CA361*(F361/25)^0.5</f>
        <v>1.6041156142513788</v>
      </c>
      <c r="CC361" s="9">
        <f t="shared" ref="CC361:CC424" si="1594">MIN((BV361+BY361)*CB361,2.5*CB361,F361^0.5)</f>
        <v>3.1505355212792119</v>
      </c>
      <c r="CD361" s="40">
        <v>1</v>
      </c>
      <c r="CE361" s="9" t="e">
        <f>4*CC361*#REF!+60*CC361</f>
        <v>#REF!</v>
      </c>
      <c r="CG361" s="4" t="e">
        <f t="shared" si="1434"/>
        <v>#REF!</v>
      </c>
      <c r="CH361" s="4" t="e">
        <f t="shared" si="1435"/>
        <v>#REF!</v>
      </c>
      <c r="CI361" s="4" t="e">
        <f t="shared" si="1436"/>
        <v>#REF!</v>
      </c>
      <c r="CJ361" s="4" t="e">
        <f t="shared" si="1437"/>
        <v>#REF!</v>
      </c>
      <c r="CK361" s="4">
        <f t="shared" si="1438"/>
        <v>0.96051437093285852</v>
      </c>
      <c r="CL361" s="4">
        <f t="shared" si="1439"/>
        <v>0.97995058160380566</v>
      </c>
      <c r="CM361" s="4">
        <f t="shared" si="1310"/>
        <v>1.1117656600092876</v>
      </c>
      <c r="CN361" s="4">
        <f t="shared" si="1344"/>
        <v>10</v>
      </c>
      <c r="CU361" s="4" t="e">
        <f t="shared" ref="CU361" si="1595">CG361</f>
        <v>#REF!</v>
      </c>
      <c r="CV361" s="4" t="e">
        <f t="shared" ref="CV361" si="1596">CH361</f>
        <v>#REF!</v>
      </c>
      <c r="CW361" s="4" t="e">
        <f t="shared" ref="CW361" si="1597">CJ361</f>
        <v>#REF!</v>
      </c>
      <c r="CX361" s="4">
        <f t="shared" ref="CX361" si="1598">CM361</f>
        <v>1.1117656600092876</v>
      </c>
      <c r="CY361" s="4">
        <f t="shared" ref="CY361" si="1599">CK361</f>
        <v>0.96051437093285852</v>
      </c>
      <c r="CZ361" s="4">
        <f t="shared" ref="CZ361" si="1600">CL361</f>
        <v>0.97995058160380566</v>
      </c>
      <c r="DC361" s="4" t="e">
        <f>#REF!</f>
        <v>#REF!</v>
      </c>
      <c r="DF361" s="4">
        <f t="shared" ref="DF361:DF424" si="1601">E361/4/(1-0.3*(F361/30)^0.5)/200000/G361</f>
        <v>1.9194884594144994E-5</v>
      </c>
      <c r="DG361" s="4">
        <f t="shared" si="1446"/>
        <v>9.4159823699857537</v>
      </c>
      <c r="DH361" s="4">
        <f t="shared" ref="DH361:DH424" si="1602">DO361*S361/257/F361/P361</f>
        <v>0.19478208606742883</v>
      </c>
      <c r="DI361" s="4">
        <f t="shared" si="1447"/>
        <v>4.8942397704336393</v>
      </c>
      <c r="DJ361" s="4">
        <f t="shared" si="1448"/>
        <v>7.5069937070610697</v>
      </c>
      <c r="DK361" s="4">
        <f t="shared" ref="DK361:DK424" si="1603">MAX(DG361/2, (4-DF361*(8*S361*(DI361-DJ361)+6*E361*DJ361))/(4+DF361*E361*DG361)*DG361)</f>
        <v>8.8718971860366747</v>
      </c>
      <c r="DL361" s="38">
        <f t="shared" ref="DL361:DL424" si="1604">MIN(1/G361*(4*S361*(DI361-DJ361)+(3*DJ361+DK361)*E361)+DO361 -EV361,MAX(D361,V361))</f>
        <v>441.57374826423154</v>
      </c>
      <c r="DM361" s="4" t="e">
        <f t="shared" si="1449"/>
        <v>#REF!</v>
      </c>
      <c r="DN361" s="4">
        <f t="shared" ref="DN361:DN424" si="1605">S361/G361</f>
        <v>2.2360679774997898</v>
      </c>
      <c r="DO361" s="4">
        <f t="shared" si="1309"/>
        <v>161.68772545960394</v>
      </c>
      <c r="DS361" s="4">
        <f t="shared" ref="DS361:DS424" si="1606">IF(J361&gt;1*G361,0.85,1)</f>
        <v>0.85</v>
      </c>
      <c r="DT361" s="4">
        <f t="shared" ref="DT361:DT424" si="1607">MIN(1,MAX(0.7,(1-0.1*(BL361-1*G361)/G361)))</f>
        <v>0.9966666666666667</v>
      </c>
      <c r="DU361" s="4">
        <f t="shared" ref="DU361:DU424" si="1608">MIN(1,MAX(0.7,1-0.3*(PI()*Y361^2/4*AC361*2-0.25*PI()/4*G361^2)/(PI()/4*G361^2)))</f>
        <v>0.77500000000000002</v>
      </c>
      <c r="DV361" s="4">
        <f t="shared" si="1450"/>
        <v>0.77241666666666675</v>
      </c>
      <c r="DX361" s="4">
        <f t="shared" ref="DX361:DX424" si="1609">MIN(DG361/G361*3*E361+DY361-EV361,MAX(D361,V361))</f>
        <v>432.81563274377635</v>
      </c>
      <c r="DY361" s="25">
        <f t="shared" si="1502"/>
        <v>159.94046366158921</v>
      </c>
      <c r="EA361" s="4">
        <f t="shared" si="1503"/>
        <v>0.65655416666666677</v>
      </c>
      <c r="EB361" s="4">
        <f t="shared" ref="EB361:EB424" si="1610">IF(G361&lt;22.2,1.1*5*(F361/30)^0.5,IF(G361&gt;=31.8,0.9*5*(F361/30)^0.5,1*5*(F361/30)^0.5))/DS361/DV361</f>
        <v>9.4159823699857537</v>
      </c>
      <c r="EE361" s="4">
        <f t="shared" ref="EE361:EE424" si="1611">EF361*G361</f>
        <v>56.796126628494655</v>
      </c>
      <c r="EF361" s="4">
        <f t="shared" si="1451"/>
        <v>2.2360679774997898</v>
      </c>
      <c r="EG361" s="4">
        <f t="shared" ref="EG361:EG424" si="1612">MIN(DO361)/(4700*F361^0.5)/Q361*EE361</f>
        <v>7.2129197387733698E-2</v>
      </c>
      <c r="EJ361" s="4">
        <f t="shared" si="1452"/>
        <v>7.2129197387733698E-2</v>
      </c>
      <c r="EK361" s="4">
        <f t="shared" ref="EK361:EK424" si="1613">MIN(0.999, EJ361/(0.3*(F361/30)^0.5))</f>
        <v>0.19445703106822826</v>
      </c>
      <c r="EL361" s="4">
        <f t="shared" si="1453"/>
        <v>4.8909711037514221</v>
      </c>
      <c r="EM361" s="4">
        <f t="shared" si="1454"/>
        <v>7.5059387417506507</v>
      </c>
      <c r="EN361" s="4" t="e">
        <f t="shared" si="1455"/>
        <v>#REF!</v>
      </c>
      <c r="EO361" s="4" t="e">
        <f t="shared" si="1456"/>
        <v>#REF!</v>
      </c>
      <c r="EP361" s="4" t="e">
        <f t="shared" ref="EP361:EP424" si="1614">EO361/(1-0.3*(F361/30)^0.5)/200000/G361</f>
        <v>#REF!</v>
      </c>
      <c r="EQ361" s="4" t="e">
        <f t="shared" si="1457"/>
        <v>#REF!</v>
      </c>
      <c r="ER361" s="4" t="e">
        <f t="shared" ref="ER361:ER424" si="1615">MIN(4/G361*(1*EL361*EE361+EM361*EN361+EO361*EQ361)+DO361,MAX(D361,V361))</f>
        <v>#REF!</v>
      </c>
      <c r="FA361" s="23" t="e">
        <f t="shared" si="1383"/>
        <v>#REF!</v>
      </c>
      <c r="FB361" s="23" t="e">
        <f t="shared" si="1384"/>
        <v>#REF!</v>
      </c>
      <c r="FC361" s="23">
        <f t="shared" si="1317"/>
        <v>1.2</v>
      </c>
      <c r="FD361" s="23" t="e">
        <f t="shared" si="1385"/>
        <v>#REF!</v>
      </c>
      <c r="FE361" s="23">
        <f t="shared" si="1386"/>
        <v>1</v>
      </c>
      <c r="FF361" s="23">
        <f t="shared" si="1387"/>
        <v>1</v>
      </c>
      <c r="FG361" s="23">
        <f t="shared" si="1266"/>
        <v>0</v>
      </c>
      <c r="FH361" s="23"/>
      <c r="FR361" s="4">
        <f t="shared" si="1485"/>
        <v>1</v>
      </c>
      <c r="FS361" s="4">
        <f t="shared" si="1486"/>
        <v>0.65706666666666669</v>
      </c>
      <c r="FT361" s="4">
        <f t="shared" si="1487"/>
        <v>0.3</v>
      </c>
      <c r="FU361" s="4">
        <f t="shared" si="1488"/>
        <v>381.49939892093772</v>
      </c>
    </row>
    <row r="362" spans="2:177" ht="12" customHeight="1" x14ac:dyDescent="0.3">
      <c r="B362" s="24"/>
      <c r="C362" s="7" t="s">
        <v>503</v>
      </c>
      <c r="D362" s="38">
        <f t="shared" si="1542"/>
        <v>827.58620689655174</v>
      </c>
      <c r="E362" s="38">
        <f>9.46*25.4</f>
        <v>240.28400000000002</v>
      </c>
      <c r="F362" s="38">
        <f>6790/145</f>
        <v>46.827586206896555</v>
      </c>
      <c r="G362" s="38">
        <f t="shared" si="1341"/>
        <v>25.4</v>
      </c>
      <c r="H362" s="38">
        <f>12.3*25.4</f>
        <v>312.42</v>
      </c>
      <c r="I362" s="38">
        <f>2.5*25.4</f>
        <v>63.5</v>
      </c>
      <c r="J362" s="39">
        <f>3.1*25.4</f>
        <v>78.739999999999995</v>
      </c>
      <c r="K362" s="7">
        <f t="shared" si="1339"/>
        <v>54.610000000000014</v>
      </c>
      <c r="L362" s="38">
        <v>3</v>
      </c>
      <c r="M362" s="4">
        <f t="shared" si="1357"/>
        <v>260.34999999999997</v>
      </c>
      <c r="N362" s="7">
        <f t="shared" si="1569"/>
        <v>1.5750000000000004</v>
      </c>
      <c r="O362" s="7">
        <f t="shared" si="1570"/>
        <v>3</v>
      </c>
      <c r="P362" s="38">
        <v>4</v>
      </c>
      <c r="Q362" s="4">
        <f t="shared" si="1342"/>
        <v>4</v>
      </c>
      <c r="R362" s="4">
        <f t="shared" si="1571"/>
        <v>5</v>
      </c>
      <c r="S362" s="7">
        <f t="shared" si="1572"/>
        <v>56.796126628494655</v>
      </c>
      <c r="V362" s="38">
        <f t="shared" si="1395"/>
        <v>343.44827586206895</v>
      </c>
      <c r="W362" s="4">
        <v>49.8</v>
      </c>
      <c r="X362" s="4">
        <f t="shared" si="1573"/>
        <v>0.87917179348650509</v>
      </c>
      <c r="Y362" s="38"/>
      <c r="Z362" s="38"/>
      <c r="AA362" s="39">
        <v>1</v>
      </c>
      <c r="AB362" s="39"/>
      <c r="AC362" s="39"/>
      <c r="AD362" s="7"/>
      <c r="AE362" s="4">
        <f t="shared" si="1576"/>
        <v>240.28400000000002</v>
      </c>
      <c r="AF362" s="4">
        <f t="shared" si="1577"/>
        <v>0.43340380549682872</v>
      </c>
      <c r="AG362" s="4">
        <f t="shared" si="1578"/>
        <v>167.67163383410892</v>
      </c>
      <c r="AH362" s="4">
        <f t="shared" si="1579"/>
        <v>0.76342494714587739</v>
      </c>
      <c r="AI362" s="4">
        <v>1.25</v>
      </c>
      <c r="AJ362" s="4">
        <f t="shared" si="1513"/>
        <v>2.5</v>
      </c>
      <c r="AK362" s="38">
        <f t="shared" si="1340"/>
        <v>173.36789891993814</v>
      </c>
      <c r="AL362" s="38">
        <f t="shared" ref="AL362:AL425" si="1616">AK362</f>
        <v>173.36789891993814</v>
      </c>
      <c r="AM362" s="38">
        <f t="shared" si="1580"/>
        <v>3.8975267336121062</v>
      </c>
      <c r="AN362" s="38">
        <f t="shared" si="1521"/>
        <v>173.3678989199382</v>
      </c>
      <c r="AO362" s="38">
        <f t="shared" si="1484"/>
        <v>0.99999999999999967</v>
      </c>
      <c r="AP362" s="38">
        <f t="shared" si="1522"/>
        <v>2.3175033680296027</v>
      </c>
      <c r="AQ362" s="4">
        <f t="shared" si="1523"/>
        <v>0</v>
      </c>
      <c r="AR362" s="4" t="e">
        <f>#REF!/G362*F362^0.5/0.19</f>
        <v>#REF!</v>
      </c>
      <c r="AS362" s="4">
        <f t="shared" si="1581"/>
        <v>1.3619047619047617</v>
      </c>
      <c r="AT362" s="38">
        <f t="shared" si="1582"/>
        <v>401.78068965517252</v>
      </c>
      <c r="AU362" s="4">
        <f t="shared" si="1583"/>
        <v>0.44000000000000006</v>
      </c>
      <c r="AV362" s="4" t="e">
        <f>AU362*D362*#REF!/(D362*G362/2.75/F362^0.5)</f>
        <v>#REF!</v>
      </c>
      <c r="AW362" s="4" t="e">
        <f t="shared" si="1431"/>
        <v>#REF!</v>
      </c>
      <c r="AY362" s="4">
        <f t="shared" si="1584"/>
        <v>1.375</v>
      </c>
      <c r="AZ362" s="4" t="e">
        <f>(3*#REF!+30)*AY362*F362^0.5</f>
        <v>#REF!</v>
      </c>
      <c r="BB362" s="4">
        <f t="shared" si="1585"/>
        <v>385.35681595593957</v>
      </c>
      <c r="BC362" s="4">
        <f t="shared" si="1464"/>
        <v>0</v>
      </c>
      <c r="BD362" s="4">
        <f t="shared" si="1432"/>
        <v>0</v>
      </c>
      <c r="BL362" s="4">
        <f t="shared" si="1586"/>
        <v>27.305000000000007</v>
      </c>
      <c r="BP362" s="9"/>
      <c r="BR362" s="9"/>
      <c r="BS362" s="9"/>
      <c r="BT362" s="9">
        <f t="shared" si="1587"/>
        <v>27.305000000000007</v>
      </c>
      <c r="BU362" s="9">
        <f t="shared" si="1588"/>
        <v>63.5</v>
      </c>
      <c r="BV362" s="9">
        <f t="shared" si="1589"/>
        <v>1.1767493410612269</v>
      </c>
      <c r="BW362" s="40">
        <f t="shared" si="1343"/>
        <v>0</v>
      </c>
      <c r="BX362" s="9">
        <f t="shared" si="1590"/>
        <v>0</v>
      </c>
      <c r="BY362" s="9">
        <f t="shared" si="1433"/>
        <v>0</v>
      </c>
      <c r="BZ362" s="9">
        <f t="shared" si="1591"/>
        <v>0.99524931562137331</v>
      </c>
      <c r="CA362" s="9">
        <f t="shared" si="1592"/>
        <v>0.68</v>
      </c>
      <c r="CB362" s="9">
        <f t="shared" si="1593"/>
        <v>1.6209130944490342</v>
      </c>
      <c r="CC362" s="9">
        <f t="shared" si="1594"/>
        <v>1.9074084158104152</v>
      </c>
      <c r="CD362" s="40">
        <v>1</v>
      </c>
      <c r="CE362" s="9" t="e">
        <f>4*CC362*#REF!+60*CC362</f>
        <v>#REF!</v>
      </c>
      <c r="CG362" s="4" t="e">
        <f t="shared" si="1434"/>
        <v>#REF!</v>
      </c>
      <c r="CH362" s="4" t="e">
        <f t="shared" si="1435"/>
        <v>#REF!</v>
      </c>
      <c r="CI362" s="4" t="e">
        <f t="shared" si="1436"/>
        <v>#REF!</v>
      </c>
      <c r="CJ362" s="4" t="e">
        <f t="shared" si="1437"/>
        <v>#REF!</v>
      </c>
      <c r="CK362" s="4">
        <f t="shared" si="1438"/>
        <v>0.87917179348650509</v>
      </c>
      <c r="CL362" s="4">
        <f t="shared" si="1439"/>
        <v>0.90003950832799662</v>
      </c>
      <c r="CM362" s="4">
        <f t="shared" si="1310"/>
        <v>1.2584341542185216</v>
      </c>
      <c r="CN362" s="4">
        <f t="shared" si="1344"/>
        <v>0</v>
      </c>
      <c r="CO362" s="4" t="e">
        <f t="shared" ref="CO362" si="1617">CG362</f>
        <v>#REF!</v>
      </c>
      <c r="CP362" s="4" t="e">
        <f t="shared" ref="CP362" si="1618">CH362</f>
        <v>#REF!</v>
      </c>
      <c r="CQ362" s="4" t="e">
        <f t="shared" ref="CQ362" si="1619">CJ362</f>
        <v>#REF!</v>
      </c>
      <c r="CR362" s="4">
        <f t="shared" si="1536"/>
        <v>1.2584341542185216</v>
      </c>
      <c r="CS362" s="4">
        <f t="shared" ref="CS362" si="1620">CK362</f>
        <v>0.87917179348650509</v>
      </c>
      <c r="CT362" s="4">
        <f t="shared" ref="CT362" si="1621">CL362</f>
        <v>0.90003950832799662</v>
      </c>
      <c r="DC362" s="4" t="e">
        <f>#REF!</f>
        <v>#REF!</v>
      </c>
      <c r="DF362" s="4">
        <f t="shared" si="1601"/>
        <v>1.8914259048600366E-5</v>
      </c>
      <c r="DG362" s="4">
        <f t="shared" si="1446"/>
        <v>7.4047571856479815</v>
      </c>
      <c r="DH362" s="4">
        <f t="shared" si="1602"/>
        <v>0.20454671916157116</v>
      </c>
      <c r="DI362" s="4">
        <f t="shared" si="1447"/>
        <v>3.9248930677358072</v>
      </c>
      <c r="DJ362" s="4">
        <f t="shared" si="1448"/>
        <v>5.9282759587841678</v>
      </c>
      <c r="DK362" s="4">
        <f t="shared" si="1603"/>
        <v>7.077824520316236</v>
      </c>
      <c r="DL362" s="38">
        <f t="shared" si="1604"/>
        <v>390.64978927504768</v>
      </c>
      <c r="DM362" s="4" t="e">
        <f t="shared" si="1449"/>
        <v>#REF!</v>
      </c>
      <c r="DN362" s="4">
        <f t="shared" si="1605"/>
        <v>2.2360679774997898</v>
      </c>
      <c r="DO362" s="4">
        <f t="shared" si="1309"/>
        <v>173.3678989199382</v>
      </c>
      <c r="DS362" s="4">
        <f t="shared" si="1606"/>
        <v>0.85</v>
      </c>
      <c r="DT362" s="4">
        <f t="shared" si="1607"/>
        <v>0.99249999999999994</v>
      </c>
      <c r="DU362" s="4">
        <f t="shared" si="1608"/>
        <v>1</v>
      </c>
      <c r="DV362" s="4">
        <f t="shared" si="1450"/>
        <v>0.99249999999999994</v>
      </c>
      <c r="DX362" s="4">
        <f t="shared" si="1609"/>
        <v>381.59244420291373</v>
      </c>
      <c r="DY362" s="25">
        <f t="shared" si="1502"/>
        <v>171.44543527422402</v>
      </c>
      <c r="EA362" s="4">
        <f t="shared" si="1503"/>
        <v>0.84362499999999996</v>
      </c>
      <c r="EB362" s="4">
        <f t="shared" si="1610"/>
        <v>7.4047571856479815</v>
      </c>
      <c r="EE362" s="4">
        <f t="shared" si="1611"/>
        <v>56.796126628494655</v>
      </c>
      <c r="EF362" s="4">
        <f t="shared" si="1451"/>
        <v>2.2360679774997898</v>
      </c>
      <c r="EG362" s="4">
        <f t="shared" si="1612"/>
        <v>7.6538274900780523E-2</v>
      </c>
      <c r="EJ362" s="4">
        <f t="shared" si="1452"/>
        <v>7.6538274900780523E-2</v>
      </c>
      <c r="EK362" s="4">
        <f t="shared" si="1613"/>
        <v>0.20420536880961671</v>
      </c>
      <c r="EL362" s="4">
        <f t="shared" si="1453"/>
        <v>3.9222717888848462</v>
      </c>
      <c r="EM362" s="4">
        <f t="shared" si="1454"/>
        <v>5.9274160600858794</v>
      </c>
      <c r="EN362" s="4" t="e">
        <f t="shared" si="1455"/>
        <v>#REF!</v>
      </c>
      <c r="EO362" s="4" t="e">
        <f t="shared" si="1456"/>
        <v>#REF!</v>
      </c>
      <c r="EP362" s="4" t="e">
        <f t="shared" si="1614"/>
        <v>#REF!</v>
      </c>
      <c r="EQ362" s="4" t="e">
        <f t="shared" si="1457"/>
        <v>#REF!</v>
      </c>
      <c r="ER362" s="4" t="e">
        <f t="shared" si="1615"/>
        <v>#REF!</v>
      </c>
      <c r="FA362" s="23" t="e">
        <f t="shared" si="1383"/>
        <v>#REF!</v>
      </c>
      <c r="FB362" s="23" t="e">
        <f t="shared" si="1384"/>
        <v>#REF!</v>
      </c>
      <c r="FC362" s="23">
        <f t="shared" si="1317"/>
        <v>1.4</v>
      </c>
      <c r="FD362" s="23" t="e">
        <f t="shared" si="1385"/>
        <v>#REF!</v>
      </c>
      <c r="FE362" s="23">
        <f t="shared" si="1386"/>
        <v>1</v>
      </c>
      <c r="FF362" s="23">
        <f t="shared" si="1387"/>
        <v>1</v>
      </c>
      <c r="FG362" s="23">
        <f t="shared" si="1266"/>
        <v>0</v>
      </c>
      <c r="FH362" s="23"/>
      <c r="FR362" s="4">
        <f t="shared" si="1485"/>
        <v>1</v>
      </c>
      <c r="FS362" s="4">
        <f t="shared" si="1486"/>
        <v>0.90416666666666656</v>
      </c>
      <c r="FT362" s="4">
        <f t="shared" si="1487"/>
        <v>0</v>
      </c>
      <c r="FU362" s="4">
        <f t="shared" si="1488"/>
        <v>272.91716035420848</v>
      </c>
    </row>
    <row r="363" spans="2:177" ht="12" customHeight="1" x14ac:dyDescent="0.3">
      <c r="B363" s="24"/>
      <c r="C363" s="7" t="s">
        <v>504</v>
      </c>
      <c r="D363" s="38">
        <f t="shared" si="1542"/>
        <v>827.58620689655174</v>
      </c>
      <c r="E363" s="38">
        <f>9.33*25.4</f>
        <v>236.982</v>
      </c>
      <c r="F363" s="38">
        <f>6650/145</f>
        <v>45.862068965517238</v>
      </c>
      <c r="G363" s="38">
        <f t="shared" si="1341"/>
        <v>25.4</v>
      </c>
      <c r="H363" s="38">
        <f>12.1*25.4</f>
        <v>307.33999999999997</v>
      </c>
      <c r="I363" s="38">
        <f t="shared" si="1345"/>
        <v>63.5</v>
      </c>
      <c r="J363" s="39">
        <f>3.23*25.4</f>
        <v>82.042000000000002</v>
      </c>
      <c r="K363" s="7">
        <f t="shared" si="1339"/>
        <v>52.069999999999993</v>
      </c>
      <c r="L363" s="38">
        <v>3</v>
      </c>
      <c r="M363" s="4">
        <f t="shared" si="1357"/>
        <v>260.34999999999997</v>
      </c>
      <c r="N363" s="7">
        <f t="shared" si="1569"/>
        <v>1.5249999999999999</v>
      </c>
      <c r="O363" s="7">
        <f t="shared" si="1570"/>
        <v>3</v>
      </c>
      <c r="P363" s="38">
        <v>4</v>
      </c>
      <c r="Q363" s="4">
        <f t="shared" si="1342"/>
        <v>4</v>
      </c>
      <c r="R363" s="4">
        <f t="shared" si="1571"/>
        <v>5</v>
      </c>
      <c r="S363" s="7">
        <f t="shared" si="1572"/>
        <v>56.796126628494655</v>
      </c>
      <c r="V363" s="38">
        <f t="shared" si="1395"/>
        <v>493.79310344827587</v>
      </c>
      <c r="W363" s="4">
        <v>71.599999999999994</v>
      </c>
      <c r="X363" s="4">
        <f t="shared" si="1573"/>
        <v>1.2347092535127056</v>
      </c>
      <c r="Y363" s="38">
        <f>0.375*25.4</f>
        <v>9.5249999999999986</v>
      </c>
      <c r="Z363" s="38">
        <v>10</v>
      </c>
      <c r="AA363" s="39">
        <f t="shared" ref="AA363" si="1622">3*25.4</f>
        <v>76.199999999999989</v>
      </c>
      <c r="AB363" s="39">
        <v>3</v>
      </c>
      <c r="AC363" s="39">
        <f>AB363-1</f>
        <v>2</v>
      </c>
      <c r="AD363" s="7"/>
      <c r="AE363" s="4">
        <f t="shared" si="1576"/>
        <v>236.982</v>
      </c>
      <c r="AF363" s="4">
        <f t="shared" si="1577"/>
        <v>0.43229724901750621</v>
      </c>
      <c r="AG363" s="4">
        <f t="shared" si="1578"/>
        <v>162.52541840444198</v>
      </c>
      <c r="AH363" s="4">
        <f t="shared" si="1579"/>
        <v>0.7643086816720257</v>
      </c>
      <c r="AI363" s="4">
        <v>1.25</v>
      </c>
      <c r="AJ363" s="4">
        <f t="shared" si="1513"/>
        <v>2.5</v>
      </c>
      <c r="AK363" s="38">
        <f t="shared" si="1340"/>
        <v>167.81183214704026</v>
      </c>
      <c r="AL363" s="38">
        <f t="shared" si="1616"/>
        <v>167.81183214704026</v>
      </c>
      <c r="AM363" s="38">
        <f t="shared" si="1580"/>
        <v>3.8437666713572023</v>
      </c>
      <c r="AN363" s="38">
        <f t="shared" si="1521"/>
        <v>167.81183214704018</v>
      </c>
      <c r="AO363" s="38">
        <f t="shared" si="1484"/>
        <v>1.0000000000000004</v>
      </c>
      <c r="AP363" s="38">
        <f t="shared" si="1522"/>
        <v>2.3120723877700602</v>
      </c>
      <c r="AQ363" s="4">
        <f t="shared" si="1523"/>
        <v>0</v>
      </c>
      <c r="AR363" s="4" t="e">
        <f>#REF!/G363*F363^0.5/0.19</f>
        <v>#REF!</v>
      </c>
      <c r="AS363" s="4">
        <f t="shared" si="1581"/>
        <v>1.3868852459016394</v>
      </c>
      <c r="AT363" s="38">
        <f t="shared" si="1582"/>
        <v>387.99310344827575</v>
      </c>
      <c r="AU363" s="4">
        <f t="shared" si="1583"/>
        <v>0.44000000000000006</v>
      </c>
      <c r="AV363" s="4" t="e">
        <f>AU363*D363*#REF!/(D363*G363/2.75/F363^0.5)</f>
        <v>#REF!</v>
      </c>
      <c r="AW363" s="4" t="e">
        <f t="shared" si="1431"/>
        <v>#REF!</v>
      </c>
      <c r="AY363" s="4">
        <f t="shared" si="1584"/>
        <v>1.5</v>
      </c>
      <c r="AZ363" s="4" t="e">
        <f>(3*#REF!+30)*AY363*F363^0.5</f>
        <v>#REF!</v>
      </c>
      <c r="BB363" s="4">
        <f t="shared" si="1585"/>
        <v>372.13283467160323</v>
      </c>
      <c r="BC363" s="4">
        <f t="shared" si="1464"/>
        <v>0</v>
      </c>
      <c r="BD363" s="4">
        <f t="shared" si="1432"/>
        <v>0</v>
      </c>
      <c r="BL363" s="4">
        <f t="shared" si="1586"/>
        <v>26.034999999999997</v>
      </c>
      <c r="BP363" s="9"/>
      <c r="BR363" s="9"/>
      <c r="BS363" s="9"/>
      <c r="BT363" s="9">
        <f t="shared" si="1587"/>
        <v>26.034999999999997</v>
      </c>
      <c r="BU363" s="9">
        <f t="shared" si="1588"/>
        <v>63.5</v>
      </c>
      <c r="BV363" s="9">
        <f t="shared" si="1589"/>
        <v>1.1572957391947862</v>
      </c>
      <c r="BW363" s="40">
        <f t="shared" si="1343"/>
        <v>20</v>
      </c>
      <c r="BX363" s="9">
        <f t="shared" si="1590"/>
        <v>0.05</v>
      </c>
      <c r="BY363" s="9">
        <f t="shared" si="1433"/>
        <v>0.8</v>
      </c>
      <c r="BZ363" s="9">
        <f t="shared" si="1591"/>
        <v>0.99524931562137331</v>
      </c>
      <c r="CA363" s="9">
        <f t="shared" si="1592"/>
        <v>0.68</v>
      </c>
      <c r="CB363" s="9">
        <f t="shared" si="1593"/>
        <v>1.6041156142513788</v>
      </c>
      <c r="CC363" s="9">
        <f t="shared" si="1594"/>
        <v>3.1397286569500511</v>
      </c>
      <c r="CD363" s="40">
        <v>1</v>
      </c>
      <c r="CE363" s="9" t="e">
        <f>4*CC363*#REF!+60*CC363</f>
        <v>#REF!</v>
      </c>
      <c r="CG363" s="4" t="e">
        <f t="shared" si="1434"/>
        <v>#REF!</v>
      </c>
      <c r="CH363" s="4" t="e">
        <f t="shared" si="1435"/>
        <v>#REF!</v>
      </c>
      <c r="CI363" s="4" t="e">
        <f t="shared" si="1436"/>
        <v>#REF!</v>
      </c>
      <c r="CJ363" s="4" t="e">
        <f t="shared" si="1437"/>
        <v>#REF!</v>
      </c>
      <c r="CK363" s="4">
        <f t="shared" si="1438"/>
        <v>1.2347092535127056</v>
      </c>
      <c r="CL363" s="4">
        <f t="shared" si="1439"/>
        <v>1.2625217719196895</v>
      </c>
      <c r="CM363" s="4">
        <f t="shared" si="1310"/>
        <v>1.3530591037272715</v>
      </c>
      <c r="CN363" s="4">
        <f t="shared" si="1344"/>
        <v>10</v>
      </c>
      <c r="CU363" s="4" t="e">
        <f t="shared" ref="CU363" si="1623">CG363</f>
        <v>#REF!</v>
      </c>
      <c r="CV363" s="4" t="e">
        <f t="shared" ref="CV363" si="1624">CH363</f>
        <v>#REF!</v>
      </c>
      <c r="CW363" s="4" t="e">
        <f t="shared" ref="CW363" si="1625">CJ363</f>
        <v>#REF!</v>
      </c>
      <c r="CX363" s="4">
        <f t="shared" ref="CX363" si="1626">CM363</f>
        <v>1.3530591037272715</v>
      </c>
      <c r="CY363" s="4">
        <f t="shared" ref="CY363" si="1627">CK363</f>
        <v>1.2347092535127056</v>
      </c>
      <c r="CZ363" s="4">
        <f t="shared" ref="CZ363" si="1628">CL363</f>
        <v>1.2625217719196895</v>
      </c>
      <c r="DC363" s="4" t="e">
        <f>#REF!</f>
        <v>#REF!</v>
      </c>
      <c r="DF363" s="4">
        <f t="shared" si="1601"/>
        <v>1.8539158722916439E-5</v>
      </c>
      <c r="DG363" s="4">
        <f t="shared" si="1446"/>
        <v>8.0455613136194923</v>
      </c>
      <c r="DH363" s="4">
        <f t="shared" si="1602"/>
        <v>0.20215967934167123</v>
      </c>
      <c r="DI363" s="4">
        <f t="shared" si="1447"/>
        <v>4.2445745413968154</v>
      </c>
      <c r="DJ363" s="4">
        <f t="shared" si="1448"/>
        <v>6.4347636804050365</v>
      </c>
      <c r="DK363" s="4">
        <f t="shared" si="1603"/>
        <v>7.6736767082776174</v>
      </c>
      <c r="DL363" s="38">
        <f t="shared" si="1604"/>
        <v>399.92662405619086</v>
      </c>
      <c r="DM363" s="4" t="e">
        <f t="shared" si="1449"/>
        <v>#REF!</v>
      </c>
      <c r="DN363" s="4">
        <f t="shared" si="1605"/>
        <v>2.2360679774997898</v>
      </c>
      <c r="DO363" s="4">
        <f t="shared" si="1309"/>
        <v>167.81183214704018</v>
      </c>
      <c r="DS363" s="4">
        <f t="shared" si="1606"/>
        <v>0.85</v>
      </c>
      <c r="DT363" s="4">
        <f t="shared" si="1607"/>
        <v>0.99750000000000005</v>
      </c>
      <c r="DU363" s="4">
        <f t="shared" si="1608"/>
        <v>0.90625</v>
      </c>
      <c r="DV363" s="4">
        <f t="shared" si="1450"/>
        <v>0.90398437500000006</v>
      </c>
      <c r="DX363" s="4">
        <f t="shared" si="1609"/>
        <v>391.11650541871734</v>
      </c>
      <c r="DY363" s="25">
        <f t="shared" si="1502"/>
        <v>165.92124425050773</v>
      </c>
      <c r="EA363" s="4">
        <f t="shared" si="1503"/>
        <v>0.76838671875000009</v>
      </c>
      <c r="EB363" s="4">
        <f t="shared" si="1610"/>
        <v>8.0455613136194923</v>
      </c>
      <c r="EE363" s="4">
        <f t="shared" si="1611"/>
        <v>56.796126628494655</v>
      </c>
      <c r="EF363" s="4">
        <f t="shared" si="1451"/>
        <v>2.2360679774997898</v>
      </c>
      <c r="EG363" s="4">
        <f t="shared" si="1612"/>
        <v>7.4861172859749275E-2</v>
      </c>
      <c r="EJ363" s="4">
        <f t="shared" si="1452"/>
        <v>7.4861172859749275E-2</v>
      </c>
      <c r="EK363" s="4">
        <f t="shared" si="1613"/>
        <v>0.20182231251429236</v>
      </c>
      <c r="EL363" s="4">
        <f t="shared" si="1453"/>
        <v>4.2417397600958529</v>
      </c>
      <c r="EM363" s="4">
        <f t="shared" si="1454"/>
        <v>6.4338373512511406</v>
      </c>
      <c r="EN363" s="4" t="e">
        <f t="shared" si="1455"/>
        <v>#REF!</v>
      </c>
      <c r="EO363" s="4" t="e">
        <f t="shared" si="1456"/>
        <v>#REF!</v>
      </c>
      <c r="EP363" s="4" t="e">
        <f t="shared" si="1614"/>
        <v>#REF!</v>
      </c>
      <c r="EQ363" s="4" t="e">
        <f t="shared" si="1457"/>
        <v>#REF!</v>
      </c>
      <c r="ER363" s="4" t="e">
        <f t="shared" si="1615"/>
        <v>#REF!</v>
      </c>
      <c r="FA363" s="23" t="e">
        <f t="shared" si="1383"/>
        <v>#REF!</v>
      </c>
      <c r="FB363" s="23" t="e">
        <f t="shared" si="1384"/>
        <v>#REF!</v>
      </c>
      <c r="FC363" s="23">
        <f t="shared" si="1317"/>
        <v>1.4</v>
      </c>
      <c r="FD363" s="23" t="e">
        <f t="shared" si="1385"/>
        <v>#REF!</v>
      </c>
      <c r="FE363" s="23">
        <f t="shared" si="1386"/>
        <v>1.4</v>
      </c>
      <c r="FF363" s="23">
        <f t="shared" si="1387"/>
        <v>1.4</v>
      </c>
      <c r="FG363" s="23">
        <f t="shared" ref="FG363:FG426" si="1629">IF(FE363&lt;1,1,0)</f>
        <v>0</v>
      </c>
      <c r="FH363" s="23"/>
      <c r="FR363" s="4">
        <f t="shared" si="1485"/>
        <v>1</v>
      </c>
      <c r="FS363" s="4">
        <f t="shared" si="1486"/>
        <v>0.66340624999999998</v>
      </c>
      <c r="FT363" s="4">
        <f t="shared" si="1487"/>
        <v>0.28124999999999994</v>
      </c>
      <c r="FU363" s="4">
        <f t="shared" si="1488"/>
        <v>364.94570125430897</v>
      </c>
    </row>
    <row r="364" spans="2:177" ht="12" customHeight="1" x14ac:dyDescent="0.3">
      <c r="B364" s="24" t="s">
        <v>505</v>
      </c>
      <c r="C364" s="7" t="s">
        <v>506</v>
      </c>
      <c r="D364" s="38">
        <f>129/0.145</f>
        <v>889.65517241379314</v>
      </c>
      <c r="E364" s="38">
        <f>6.09*25.4</f>
        <v>154.68599999999998</v>
      </c>
      <c r="F364" s="38">
        <f>4930/145</f>
        <v>34</v>
      </c>
      <c r="G364" s="38">
        <f t="shared" si="1341"/>
        <v>25.4</v>
      </c>
      <c r="H364" s="38">
        <f>17.3*25.4</f>
        <v>439.42</v>
      </c>
      <c r="I364" s="38">
        <f>2.65*25.4</f>
        <v>67.309999999999988</v>
      </c>
      <c r="J364" s="39">
        <f>7.15*25.4</f>
        <v>181.60999999999999</v>
      </c>
      <c r="K364" s="7">
        <f t="shared" si="1339"/>
        <v>254.00000000000003</v>
      </c>
      <c r="L364" s="38">
        <v>2</v>
      </c>
      <c r="M364" s="4">
        <f t="shared" si="1357"/>
        <v>260.34999999999997</v>
      </c>
      <c r="N364" s="7">
        <f t="shared" si="1569"/>
        <v>3.1499999999999995</v>
      </c>
      <c r="O364" s="7">
        <f t="shared" si="1570"/>
        <v>3.1499999999999995</v>
      </c>
      <c r="P364" s="38">
        <v>4.0999999999999996</v>
      </c>
      <c r="Q364" s="4">
        <f t="shared" si="1342"/>
        <v>4.0999999999999996</v>
      </c>
      <c r="R364" s="4">
        <f t="shared" si="1571"/>
        <v>5.0999999999999996</v>
      </c>
      <c r="S364" s="7">
        <f t="shared" si="1572"/>
        <v>57.361276136431961</v>
      </c>
      <c r="V364" s="38">
        <f t="shared" si="1395"/>
        <v>250.34482758620689</v>
      </c>
      <c r="W364" s="4">
        <v>36.299999999999997</v>
      </c>
      <c r="X364" s="4">
        <f t="shared" si="1573"/>
        <v>0.60184794055467938</v>
      </c>
      <c r="Y364" s="38"/>
      <c r="Z364" s="38"/>
      <c r="AA364" s="39">
        <v>1</v>
      </c>
      <c r="AB364" s="39"/>
      <c r="AC364" s="39"/>
      <c r="AD364" s="7"/>
      <c r="AE364" s="4">
        <f t="shared" si="1576"/>
        <v>154.68599999999998</v>
      </c>
      <c r="AF364" s="4">
        <f t="shared" si="1577"/>
        <v>0.94690749863163681</v>
      </c>
      <c r="AG364" s="4">
        <f t="shared" si="1578"/>
        <v>110.69516759312566</v>
      </c>
      <c r="AH364" s="4">
        <f t="shared" si="1579"/>
        <v>0.80344827586206891</v>
      </c>
      <c r="AI364" s="4">
        <v>1.25</v>
      </c>
      <c r="AJ364" s="4">
        <f t="shared" si="1513"/>
        <v>2.5</v>
      </c>
      <c r="AK364" s="38">
        <f t="shared" si="1340"/>
        <v>263.1747158588193</v>
      </c>
      <c r="AL364" s="38">
        <f t="shared" si="1616"/>
        <v>263.1747158588193</v>
      </c>
      <c r="AM364" s="38">
        <f t="shared" si="1580"/>
        <v>3.1485253868929024</v>
      </c>
      <c r="AN364" s="38">
        <f t="shared" si="1521"/>
        <v>263.17471585881947</v>
      </c>
      <c r="AO364" s="38">
        <f t="shared" si="1484"/>
        <v>0.99999999999999933</v>
      </c>
      <c r="AP364" s="38">
        <f t="shared" si="1522"/>
        <v>1.6480380410763777</v>
      </c>
      <c r="AQ364" s="4">
        <f t="shared" si="1523"/>
        <v>0</v>
      </c>
      <c r="AR364" s="4" t="e">
        <f>#REF!/G364*F364^0.5/0.19</f>
        <v>#REF!</v>
      </c>
      <c r="AS364" s="4">
        <f t="shared" si="1581"/>
        <v>1</v>
      </c>
      <c r="AT364" s="38">
        <f t="shared" si="1582"/>
        <v>433.72194318480115</v>
      </c>
      <c r="AU364" s="4">
        <f t="shared" si="1583"/>
        <v>0.42600000000000005</v>
      </c>
      <c r="AV364" s="4" t="e">
        <f>AU364*D364*#REF!/(D364*G364/2.75/F364^0.5)</f>
        <v>#REF!</v>
      </c>
      <c r="AW364" s="4" t="e">
        <f t="shared" si="1431"/>
        <v>#REF!</v>
      </c>
      <c r="AY364" s="4">
        <f t="shared" si="1584"/>
        <v>1.4124999999999999</v>
      </c>
      <c r="AZ364" s="4" t="e">
        <f>(3*#REF!+30)*AY364*F364^0.5</f>
        <v>#REF!</v>
      </c>
      <c r="BB364" s="4">
        <f t="shared" si="1585"/>
        <v>415.99238425162616</v>
      </c>
      <c r="BC364" s="4">
        <f t="shared" si="1464"/>
        <v>0</v>
      </c>
      <c r="BD364" s="4">
        <f t="shared" si="1432"/>
        <v>0</v>
      </c>
      <c r="BL364" s="4">
        <f t="shared" si="1586"/>
        <v>67.309999999999988</v>
      </c>
      <c r="BP364" s="9"/>
      <c r="BR364" s="9"/>
      <c r="BS364" s="9"/>
      <c r="BT364" s="9">
        <f t="shared" si="1587"/>
        <v>67.309999999999988</v>
      </c>
      <c r="BU364" s="9">
        <f t="shared" si="1588"/>
        <v>127.00000000000001</v>
      </c>
      <c r="BV364" s="9">
        <f t="shared" si="1589"/>
        <v>1.7905298128039189</v>
      </c>
      <c r="BW364" s="40">
        <f t="shared" si="1343"/>
        <v>0</v>
      </c>
      <c r="BX364" s="9">
        <f t="shared" si="1590"/>
        <v>0</v>
      </c>
      <c r="BY364" s="9">
        <f t="shared" si="1433"/>
        <v>0</v>
      </c>
      <c r="BZ364" s="9">
        <f t="shared" si="1591"/>
        <v>0.99524931562137331</v>
      </c>
      <c r="CA364" s="9">
        <f t="shared" si="1592"/>
        <v>0.68</v>
      </c>
      <c r="CB364" s="9">
        <f t="shared" si="1593"/>
        <v>1.3811737100982926</v>
      </c>
      <c r="CC364" s="9">
        <f t="shared" si="1594"/>
        <v>2.47303270459199</v>
      </c>
      <c r="CD364" s="40">
        <v>1</v>
      </c>
      <c r="CE364" s="9" t="e">
        <f>4*CC364*#REF!+60*CC364</f>
        <v>#REF!</v>
      </c>
      <c r="CG364" s="4" t="e">
        <f t="shared" si="1434"/>
        <v>#REF!</v>
      </c>
      <c r="CH364" s="4" t="e">
        <f t="shared" si="1435"/>
        <v>#REF!</v>
      </c>
      <c r="CI364" s="4" t="e">
        <f t="shared" si="1436"/>
        <v>#REF!</v>
      </c>
      <c r="CJ364" s="4" t="e">
        <f t="shared" si="1437"/>
        <v>#REF!</v>
      </c>
      <c r="CK364" s="4">
        <f t="shared" si="1438"/>
        <v>0.60184794055467938</v>
      </c>
      <c r="CL364" s="4">
        <f t="shared" si="1439"/>
        <v>0.63292489521379602</v>
      </c>
      <c r="CM364" s="4">
        <f t="shared" si="1310"/>
        <v>0.8536087311591446</v>
      </c>
      <c r="CN364" s="4">
        <f t="shared" si="1344"/>
        <v>0</v>
      </c>
      <c r="CO364" s="4" t="e">
        <f t="shared" ref="CO364" si="1630">CG364</f>
        <v>#REF!</v>
      </c>
      <c r="CP364" s="4" t="e">
        <f t="shared" ref="CP364" si="1631">CH364</f>
        <v>#REF!</v>
      </c>
      <c r="CQ364" s="4" t="e">
        <f t="shared" ref="CQ364" si="1632">CJ364</f>
        <v>#REF!</v>
      </c>
      <c r="CR364" s="4">
        <f t="shared" si="1536"/>
        <v>0.8536087311591446</v>
      </c>
      <c r="CS364" s="4">
        <f t="shared" ref="CS364" si="1633">CK364</f>
        <v>0.60184794055467938</v>
      </c>
      <c r="CT364" s="4">
        <f t="shared" ref="CT364" si="1634">CL364</f>
        <v>0.63292489521379602</v>
      </c>
      <c r="DC364" s="4" t="e">
        <f>#REF!</f>
        <v>#REF!</v>
      </c>
      <c r="DF364" s="4">
        <f t="shared" si="1601"/>
        <v>1.1184562953342657E-5</v>
      </c>
      <c r="DG364" s="4">
        <f t="shared" si="1446"/>
        <v>7.4996921088041866</v>
      </c>
      <c r="DH364" s="4">
        <f t="shared" si="1602"/>
        <v>0.42137335519387598</v>
      </c>
      <c r="DI364" s="4">
        <f t="shared" si="1447"/>
        <v>5.3077475974670776</v>
      </c>
      <c r="DJ364" s="4">
        <f t="shared" si="1448"/>
        <v>6.4970943852018177</v>
      </c>
      <c r="DK364" s="4">
        <f t="shared" si="1603"/>
        <v>7.3608087803503537</v>
      </c>
      <c r="DL364" s="38">
        <f t="shared" si="1604"/>
        <v>415.96026291206101</v>
      </c>
      <c r="DM364" s="4" t="e">
        <f t="shared" si="1449"/>
        <v>#REF!</v>
      </c>
      <c r="DN364" s="4">
        <f t="shared" si="1605"/>
        <v>2.2583179581272428</v>
      </c>
      <c r="DO364" s="4">
        <f t="shared" si="1309"/>
        <v>263.17471585881947</v>
      </c>
      <c r="DS364" s="4">
        <f t="shared" si="1606"/>
        <v>0.85</v>
      </c>
      <c r="DT364" s="4">
        <f t="shared" si="1607"/>
        <v>0.83499999999999996</v>
      </c>
      <c r="DU364" s="4">
        <f t="shared" si="1608"/>
        <v>1</v>
      </c>
      <c r="DV364" s="4">
        <f t="shared" si="1450"/>
        <v>0.83499999999999996</v>
      </c>
      <c r="DX364" s="4">
        <f t="shared" si="1609"/>
        <v>395.53638903971819</v>
      </c>
      <c r="DY364" s="25">
        <f t="shared" si="1502"/>
        <v>258.51701421186567</v>
      </c>
      <c r="EA364" s="4">
        <f t="shared" si="1503"/>
        <v>0.70974999999999999</v>
      </c>
      <c r="EB364" s="4">
        <f t="shared" si="1610"/>
        <v>7.4996921088041866</v>
      </c>
      <c r="EE364" s="4">
        <f t="shared" si="1611"/>
        <v>57.361276136431961</v>
      </c>
      <c r="EF364" s="4">
        <f t="shared" si="1451"/>
        <v>2.2583179581272428</v>
      </c>
      <c r="EG364" s="4">
        <f t="shared" si="1612"/>
        <v>0.13435127560076568</v>
      </c>
      <c r="EJ364" s="4">
        <f t="shared" si="1452"/>
        <v>0.13435127560076568</v>
      </c>
      <c r="EK364" s="4">
        <f t="shared" si="1613"/>
        <v>0.42067016159737514</v>
      </c>
      <c r="EL364" s="4">
        <f t="shared" si="1453"/>
        <v>5.3042027654720734</v>
      </c>
      <c r="EM364" s="4">
        <f t="shared" si="1454"/>
        <v>6.4956485988241024</v>
      </c>
      <c r="EN364" s="4" t="e">
        <f t="shared" si="1455"/>
        <v>#REF!</v>
      </c>
      <c r="EO364" s="4" t="e">
        <f t="shared" si="1456"/>
        <v>#REF!</v>
      </c>
      <c r="EP364" s="4" t="e">
        <f t="shared" si="1614"/>
        <v>#REF!</v>
      </c>
      <c r="EQ364" s="4" t="e">
        <f t="shared" si="1457"/>
        <v>#REF!</v>
      </c>
      <c r="ER364" s="4" t="e">
        <f t="shared" si="1615"/>
        <v>#REF!</v>
      </c>
      <c r="FA364" s="23" t="e">
        <f t="shared" si="1383"/>
        <v>#REF!</v>
      </c>
      <c r="FB364" s="23" t="e">
        <f t="shared" si="1384"/>
        <v>#REF!</v>
      </c>
      <c r="FC364" s="23">
        <f t="shared" si="1317"/>
        <v>1</v>
      </c>
      <c r="FD364" s="23" t="e">
        <f t="shared" si="1385"/>
        <v>#REF!</v>
      </c>
      <c r="FE364" s="23">
        <f t="shared" si="1386"/>
        <v>0.8</v>
      </c>
      <c r="FF364" s="23">
        <f t="shared" si="1387"/>
        <v>0.8</v>
      </c>
      <c r="FG364" s="23">
        <f t="shared" si="1629"/>
        <v>1</v>
      </c>
      <c r="FH364" s="23"/>
      <c r="FR364" s="4">
        <f t="shared" si="1485"/>
        <v>1</v>
      </c>
      <c r="FS364" s="4">
        <f t="shared" si="1486"/>
        <v>0.5</v>
      </c>
      <c r="FT364" s="4">
        <f t="shared" si="1487"/>
        <v>0</v>
      </c>
      <c r="FU364" s="4">
        <f t="shared" si="1488"/>
        <v>293.27819461998126</v>
      </c>
    </row>
    <row r="365" spans="2:177" ht="12" customHeight="1" x14ac:dyDescent="0.3">
      <c r="B365" s="24"/>
      <c r="C365" s="7" t="s">
        <v>507</v>
      </c>
      <c r="D365" s="38">
        <f t="shared" ref="D365:D377" si="1635">129/0.145</f>
        <v>889.65517241379314</v>
      </c>
      <c r="E365" s="38">
        <f>6.25*25.4</f>
        <v>158.75</v>
      </c>
      <c r="F365" s="38">
        <f t="shared" ref="F365:F369" si="1636">4930/145</f>
        <v>34</v>
      </c>
      <c r="G365" s="38">
        <f t="shared" si="1341"/>
        <v>25.4</v>
      </c>
      <c r="H365" s="38">
        <f>17.1*25.4</f>
        <v>434.34000000000003</v>
      </c>
      <c r="I365" s="38">
        <f>2.55*25.4</f>
        <v>64.77</v>
      </c>
      <c r="J365" s="39">
        <f>6.8*25.4</f>
        <v>172.72</v>
      </c>
      <c r="K365" s="7">
        <f t="shared" si="1339"/>
        <v>254.00000000000003</v>
      </c>
      <c r="L365" s="38">
        <v>2</v>
      </c>
      <c r="M365" s="4">
        <f t="shared" si="1357"/>
        <v>260.34999999999997</v>
      </c>
      <c r="N365" s="7">
        <f t="shared" si="1569"/>
        <v>3.05</v>
      </c>
      <c r="O365" s="7">
        <f t="shared" si="1570"/>
        <v>3.05</v>
      </c>
      <c r="P365" s="38">
        <v>4.0999999999999996</v>
      </c>
      <c r="Q365" s="4">
        <f t="shared" si="1342"/>
        <v>4.0999999999999996</v>
      </c>
      <c r="R365" s="4">
        <f t="shared" si="1571"/>
        <v>5.0999999999999996</v>
      </c>
      <c r="S365" s="7">
        <f t="shared" si="1572"/>
        <v>57.361276136431961</v>
      </c>
      <c r="V365" s="38">
        <f t="shared" si="1395"/>
        <v>442.06896551724139</v>
      </c>
      <c r="W365" s="4">
        <v>64.099999999999994</v>
      </c>
      <c r="X365" s="4">
        <f t="shared" si="1573"/>
        <v>1.0219610040497915</v>
      </c>
      <c r="Y365" s="38">
        <f>0.375*25.4</f>
        <v>9.5249999999999986</v>
      </c>
      <c r="Z365" s="38">
        <v>10</v>
      </c>
      <c r="AA365" s="39">
        <f t="shared" ref="AA365" si="1637">3*25.4</f>
        <v>76.199999999999989</v>
      </c>
      <c r="AB365" s="39">
        <v>3</v>
      </c>
      <c r="AC365" s="39">
        <f>AB365-1</f>
        <v>2</v>
      </c>
      <c r="AD365" s="7"/>
      <c r="AE365" s="4">
        <f t="shared" si="1576"/>
        <v>158.75</v>
      </c>
      <c r="AF365" s="4">
        <f t="shared" si="1577"/>
        <v>0.91200000000000003</v>
      </c>
      <c r="AG365" s="4">
        <f t="shared" si="1578"/>
        <v>115.08606717057168</v>
      </c>
      <c r="AH365" s="4">
        <f t="shared" si="1579"/>
        <v>0.79759999999999998</v>
      </c>
      <c r="AI365" s="4">
        <v>1.25</v>
      </c>
      <c r="AJ365" s="4">
        <f t="shared" si="1513"/>
        <v>2.5</v>
      </c>
      <c r="AK365" s="38">
        <f t="shared" si="1340"/>
        <v>261.60904444945675</v>
      </c>
      <c r="AL365" s="38">
        <f t="shared" si="1616"/>
        <v>261.60904444945675</v>
      </c>
      <c r="AM365" s="38">
        <f t="shared" si="1580"/>
        <v>3.1485253868929024</v>
      </c>
      <c r="AN365" s="38">
        <f t="shared" si="1521"/>
        <v>261.60904444945697</v>
      </c>
      <c r="AO365" s="38">
        <f t="shared" si="1484"/>
        <v>0.99999999999999911</v>
      </c>
      <c r="AP365" s="38">
        <f t="shared" si="1522"/>
        <v>1.6052693953730679</v>
      </c>
      <c r="AQ365" s="4">
        <f t="shared" si="1523"/>
        <v>0</v>
      </c>
      <c r="AR365" s="4" t="e">
        <f>#REF!/G365*F365^0.5/0.19</f>
        <v>#REF!</v>
      </c>
      <c r="AS365" s="4">
        <f t="shared" si="1581"/>
        <v>1</v>
      </c>
      <c r="AT365" s="38">
        <f t="shared" si="1582"/>
        <v>419.95299260750585</v>
      </c>
      <c r="AU365" s="4">
        <f t="shared" si="1583"/>
        <v>0.42600000000000005</v>
      </c>
      <c r="AV365" s="4" t="e">
        <f>AU365*D365*#REF!/(D365*G365/2.75/F365^0.5)</f>
        <v>#REF!</v>
      </c>
      <c r="AW365" s="4" t="e">
        <f t="shared" si="1431"/>
        <v>#REF!</v>
      </c>
      <c r="AY365" s="4">
        <f t="shared" si="1584"/>
        <v>1.5</v>
      </c>
      <c r="AZ365" s="4" t="e">
        <f>(3*#REF!+30)*AY365*F365^0.5</f>
        <v>#REF!</v>
      </c>
      <c r="BB365" s="4">
        <f t="shared" si="1585"/>
        <v>402.78627681506663</v>
      </c>
      <c r="BC365" s="4">
        <f t="shared" si="1464"/>
        <v>0</v>
      </c>
      <c r="BD365" s="4">
        <f t="shared" si="1432"/>
        <v>0</v>
      </c>
      <c r="BL365" s="4">
        <f t="shared" si="1586"/>
        <v>64.77</v>
      </c>
      <c r="BP365" s="9"/>
      <c r="BR365" s="9"/>
      <c r="BS365" s="9"/>
      <c r="BT365" s="9">
        <f t="shared" si="1587"/>
        <v>64.77</v>
      </c>
      <c r="BU365" s="9">
        <f t="shared" si="1588"/>
        <v>127.00000000000001</v>
      </c>
      <c r="BV365" s="9">
        <f t="shared" si="1589"/>
        <v>1.7665851027593089</v>
      </c>
      <c r="BW365" s="40">
        <f t="shared" si="1343"/>
        <v>20</v>
      </c>
      <c r="BX365" s="9">
        <f t="shared" si="1590"/>
        <v>0.05</v>
      </c>
      <c r="BY365" s="9">
        <f t="shared" si="1433"/>
        <v>0.8</v>
      </c>
      <c r="BZ365" s="9">
        <f t="shared" si="1591"/>
        <v>0.99524931562137331</v>
      </c>
      <c r="CA365" s="9">
        <f t="shared" si="1592"/>
        <v>0.68</v>
      </c>
      <c r="CB365" s="9">
        <f t="shared" si="1593"/>
        <v>1.3811737100982926</v>
      </c>
      <c r="CC365" s="9">
        <f t="shared" si="1594"/>
        <v>3.4529342752457315</v>
      </c>
      <c r="CD365" s="40">
        <v>1</v>
      </c>
      <c r="CE365" s="9" t="e">
        <f>4*CC365*#REF!+60*CC365</f>
        <v>#REF!</v>
      </c>
      <c r="CG365" s="4" t="e">
        <f t="shared" si="1434"/>
        <v>#REF!</v>
      </c>
      <c r="CH365" s="4" t="e">
        <f t="shared" si="1435"/>
        <v>#REF!</v>
      </c>
      <c r="CI365" s="4" t="e">
        <f t="shared" si="1436"/>
        <v>#REF!</v>
      </c>
      <c r="CJ365" s="4" t="e">
        <f t="shared" si="1437"/>
        <v>#REF!</v>
      </c>
      <c r="CK365" s="4">
        <f t="shared" si="1438"/>
        <v>1.0219610040497915</v>
      </c>
      <c r="CL365" s="4">
        <f t="shared" si="1439"/>
        <v>1.0771457263688171</v>
      </c>
      <c r="CM365" s="4">
        <f t="shared" si="1310"/>
        <v>1.3047954564429862</v>
      </c>
      <c r="CN365" s="4">
        <f t="shared" si="1344"/>
        <v>10</v>
      </c>
      <c r="CU365" s="4" t="e">
        <f t="shared" ref="CU365" si="1638">CG365</f>
        <v>#REF!</v>
      </c>
      <c r="CV365" s="4" t="e">
        <f t="shared" ref="CV365" si="1639">CH365</f>
        <v>#REF!</v>
      </c>
      <c r="CW365" s="4" t="e">
        <f t="shared" ref="CW365" si="1640">CJ365</f>
        <v>#REF!</v>
      </c>
      <c r="CX365" s="4">
        <f t="shared" ref="CX365" si="1641">CM365</f>
        <v>1.3047954564429862</v>
      </c>
      <c r="CY365" s="4">
        <f t="shared" ref="CY365" si="1642">CK365</f>
        <v>1.0219610040497915</v>
      </c>
      <c r="CZ365" s="4">
        <f t="shared" ref="CZ365" si="1643">CL365</f>
        <v>1.0771457263688171</v>
      </c>
      <c r="DC365" s="4" t="e">
        <f>#REF!</f>
        <v>#REF!</v>
      </c>
      <c r="DF365" s="4">
        <f t="shared" si="1601"/>
        <v>1.1478410255893533E-5</v>
      </c>
      <c r="DG365" s="4">
        <f t="shared" si="1446"/>
        <v>8.177587151489405</v>
      </c>
      <c r="DH365" s="4">
        <f t="shared" si="1602"/>
        <v>0.41886653301401239</v>
      </c>
      <c r="DI365" s="4">
        <f t="shared" si="1447"/>
        <v>5.7737163759672434</v>
      </c>
      <c r="DJ365" s="4">
        <f t="shared" si="1448"/>
        <v>7.0787409650505388</v>
      </c>
      <c r="DK365" s="4">
        <f t="shared" si="1603"/>
        <v>8.0036021574330611</v>
      </c>
      <c r="DL365" s="38">
        <f t="shared" si="1604"/>
        <v>432.56930916681347</v>
      </c>
      <c r="DM365" s="4" t="e">
        <f t="shared" si="1449"/>
        <v>#REF!</v>
      </c>
      <c r="DN365" s="4">
        <f t="shared" si="1605"/>
        <v>2.2583179581272428</v>
      </c>
      <c r="DO365" s="4">
        <f t="shared" si="1309"/>
        <v>261.60904444945697</v>
      </c>
      <c r="DS365" s="4">
        <f t="shared" si="1606"/>
        <v>0.85</v>
      </c>
      <c r="DT365" s="4">
        <f t="shared" si="1607"/>
        <v>0.84499999999999997</v>
      </c>
      <c r="DU365" s="4">
        <f t="shared" si="1608"/>
        <v>0.90625</v>
      </c>
      <c r="DV365" s="4">
        <f t="shared" si="1450"/>
        <v>0.76578124999999997</v>
      </c>
      <c r="DX365" s="4">
        <f t="shared" si="1609"/>
        <v>410.40776070987818</v>
      </c>
      <c r="DY365" s="25">
        <f t="shared" si="1502"/>
        <v>257.07800161945181</v>
      </c>
      <c r="EA365" s="4">
        <f t="shared" si="1503"/>
        <v>0.65091406249999995</v>
      </c>
      <c r="EB365" s="4">
        <f t="shared" si="1610"/>
        <v>8.177587151489405</v>
      </c>
      <c r="EE365" s="4">
        <f t="shared" si="1611"/>
        <v>57.361276136431961</v>
      </c>
      <c r="EF365" s="4">
        <f t="shared" si="1451"/>
        <v>2.2583179581272428</v>
      </c>
      <c r="EG365" s="4">
        <f t="shared" si="1612"/>
        <v>0.13355199687699823</v>
      </c>
      <c r="EJ365" s="4">
        <f t="shared" si="1452"/>
        <v>0.13355199687699823</v>
      </c>
      <c r="EK365" s="4">
        <f t="shared" si="1613"/>
        <v>0.41816752283652159</v>
      </c>
      <c r="EL365" s="4">
        <f t="shared" si="1453"/>
        <v>5.7698603420915218</v>
      </c>
      <c r="EM365" s="4">
        <f t="shared" si="1454"/>
        <v>7.0771708001252911</v>
      </c>
      <c r="EN365" s="4" t="e">
        <f t="shared" si="1455"/>
        <v>#REF!</v>
      </c>
      <c r="EO365" s="4" t="e">
        <f t="shared" si="1456"/>
        <v>#REF!</v>
      </c>
      <c r="EP365" s="4" t="e">
        <f t="shared" si="1614"/>
        <v>#REF!</v>
      </c>
      <c r="EQ365" s="4" t="e">
        <f t="shared" si="1457"/>
        <v>#REF!</v>
      </c>
      <c r="ER365" s="4" t="e">
        <f t="shared" si="1615"/>
        <v>#REF!</v>
      </c>
      <c r="FA365" s="23" t="e">
        <f t="shared" si="1383"/>
        <v>#REF!</v>
      </c>
      <c r="FB365" s="23" t="e">
        <f t="shared" si="1384"/>
        <v>#REF!</v>
      </c>
      <c r="FC365" s="23">
        <f t="shared" si="1317"/>
        <v>1.4</v>
      </c>
      <c r="FD365" s="23" t="e">
        <f t="shared" si="1385"/>
        <v>#REF!</v>
      </c>
      <c r="FE365" s="23">
        <f t="shared" si="1386"/>
        <v>1.2</v>
      </c>
      <c r="FF365" s="23">
        <f t="shared" si="1387"/>
        <v>1.2</v>
      </c>
      <c r="FG365" s="23">
        <f t="shared" si="1629"/>
        <v>0</v>
      </c>
      <c r="FH365" s="23"/>
      <c r="FR365" s="4">
        <f t="shared" si="1485"/>
        <v>1</v>
      </c>
      <c r="FS365" s="4">
        <f t="shared" si="1486"/>
        <v>0.44418604651162791</v>
      </c>
      <c r="FT365" s="4">
        <f t="shared" si="1487"/>
        <v>0.3</v>
      </c>
      <c r="FU365" s="4">
        <f t="shared" si="1488"/>
        <v>338.80326861527345</v>
      </c>
    </row>
    <row r="366" spans="2:177" ht="12" customHeight="1" x14ac:dyDescent="0.3">
      <c r="B366" s="24"/>
      <c r="C366" s="7" t="s">
        <v>508</v>
      </c>
      <c r="D366" s="38">
        <f t="shared" si="1635"/>
        <v>889.65517241379314</v>
      </c>
      <c r="E366" s="38">
        <f>6.19*25.4</f>
        <v>157.226</v>
      </c>
      <c r="F366" s="38">
        <f t="shared" si="1636"/>
        <v>34</v>
      </c>
      <c r="G366" s="38">
        <f t="shared" si="1341"/>
        <v>25.4</v>
      </c>
      <c r="H366" s="38">
        <f>12.6*25.4</f>
        <v>320.03999999999996</v>
      </c>
      <c r="I366" s="38">
        <f>2.65*25.4</f>
        <v>67.309999999999988</v>
      </c>
      <c r="J366" s="39">
        <f>6.5*25.4</f>
        <v>165.1</v>
      </c>
      <c r="K366" s="7">
        <f t="shared" si="1339"/>
        <v>54.61</v>
      </c>
      <c r="L366" s="38">
        <v>3</v>
      </c>
      <c r="M366" s="4">
        <f t="shared" si="1357"/>
        <v>260.34999999999997</v>
      </c>
      <c r="N366" s="7">
        <f t="shared" si="1569"/>
        <v>1.575</v>
      </c>
      <c r="O366" s="7">
        <f t="shared" si="1570"/>
        <v>3.1499999999999995</v>
      </c>
      <c r="P366" s="38">
        <v>4.0999999999999996</v>
      </c>
      <c r="Q366" s="4">
        <f t="shared" si="1342"/>
        <v>4.0999999999999996</v>
      </c>
      <c r="R366" s="4">
        <f t="shared" si="1571"/>
        <v>5.0999999999999996</v>
      </c>
      <c r="S366" s="7">
        <f t="shared" si="1572"/>
        <v>57.361276136431961</v>
      </c>
      <c r="V366" s="38">
        <f t="shared" si="1395"/>
        <v>180.00000000000003</v>
      </c>
      <c r="W366" s="4">
        <v>26.1</v>
      </c>
      <c r="X366" s="4">
        <f t="shared" si="1573"/>
        <v>0.7330357782373077</v>
      </c>
      <c r="Y366" s="38"/>
      <c r="Z366" s="38"/>
      <c r="AA366" s="39">
        <v>1</v>
      </c>
      <c r="AB366" s="39"/>
      <c r="AC366" s="39"/>
      <c r="AD366" s="7"/>
      <c r="AE366" s="4">
        <f t="shared" si="1576"/>
        <v>157.226</v>
      </c>
      <c r="AF366" s="4">
        <f t="shared" si="1577"/>
        <v>0.67851373182552488</v>
      </c>
      <c r="AG366" s="4">
        <f t="shared" si="1578"/>
        <v>75.621874376410929</v>
      </c>
      <c r="AH366" s="4">
        <f t="shared" si="1579"/>
        <v>0.80177705977382874</v>
      </c>
      <c r="AI366" s="4">
        <v>1.25</v>
      </c>
      <c r="AJ366" s="4">
        <f t="shared" si="1513"/>
        <v>2.5</v>
      </c>
      <c r="AK366" s="38">
        <f t="shared" si="1340"/>
        <v>128.56114357170802</v>
      </c>
      <c r="AL366" s="38">
        <f t="shared" si="1616"/>
        <v>128.56114357170802</v>
      </c>
      <c r="AM366" s="38">
        <f t="shared" si="1580"/>
        <v>3.1485253868929024</v>
      </c>
      <c r="AN366" s="38">
        <f t="shared" si="1521"/>
        <v>128.56114357170804</v>
      </c>
      <c r="AO366" s="38">
        <f t="shared" si="1484"/>
        <v>0.99999999999999978</v>
      </c>
      <c r="AP366" s="38">
        <f t="shared" si="1522"/>
        <v>2.3615639359960867</v>
      </c>
      <c r="AQ366" s="4">
        <f t="shared" si="1523"/>
        <v>0</v>
      </c>
      <c r="AR366" s="4" t="e">
        <f>#REF!/G366*F366^0.5/0.19</f>
        <v>#REF!</v>
      </c>
      <c r="AS366" s="4">
        <f t="shared" si="1581"/>
        <v>1.4</v>
      </c>
      <c r="AT366" s="38">
        <f t="shared" si="1582"/>
        <v>303.60536022936083</v>
      </c>
      <c r="AU366" s="4">
        <f t="shared" si="1583"/>
        <v>0.42600000000000005</v>
      </c>
      <c r="AV366" s="4" t="e">
        <f>AU366*D366*#REF!/(D366*G366/2.75/F366^0.5)</f>
        <v>#REF!</v>
      </c>
      <c r="AW366" s="4" t="e">
        <f t="shared" si="1431"/>
        <v>#REF!</v>
      </c>
      <c r="AY366" s="4">
        <f t="shared" si="1584"/>
        <v>1.4124999999999999</v>
      </c>
      <c r="AZ366" s="4" t="e">
        <f>(3*#REF!+30)*AY366*F366^0.5</f>
        <v>#REF!</v>
      </c>
      <c r="BB366" s="4">
        <f t="shared" si="1585"/>
        <v>291.19466897613836</v>
      </c>
      <c r="BC366" s="4">
        <f t="shared" si="1464"/>
        <v>0</v>
      </c>
      <c r="BD366" s="4">
        <f t="shared" si="1432"/>
        <v>0</v>
      </c>
      <c r="BL366" s="4">
        <f t="shared" si="1586"/>
        <v>27.305</v>
      </c>
      <c r="BP366" s="9"/>
      <c r="BR366" s="9"/>
      <c r="BS366" s="9"/>
      <c r="BT366" s="9">
        <f t="shared" si="1587"/>
        <v>27.305</v>
      </c>
      <c r="BU366" s="9">
        <f t="shared" si="1588"/>
        <v>67.309999999999988</v>
      </c>
      <c r="BV366" s="9">
        <f t="shared" si="1589"/>
        <v>1.1870796051742518</v>
      </c>
      <c r="BW366" s="40">
        <f t="shared" si="1343"/>
        <v>0</v>
      </c>
      <c r="BX366" s="9">
        <f t="shared" si="1590"/>
        <v>0</v>
      </c>
      <c r="BY366" s="9">
        <f t="shared" si="1433"/>
        <v>0</v>
      </c>
      <c r="BZ366" s="9">
        <f t="shared" si="1591"/>
        <v>0.99524931562137331</v>
      </c>
      <c r="CA366" s="9">
        <f t="shared" si="1592"/>
        <v>0.68</v>
      </c>
      <c r="CB366" s="9">
        <f t="shared" si="1593"/>
        <v>1.3811737100982926</v>
      </c>
      <c r="CC366" s="9">
        <f t="shared" si="1594"/>
        <v>1.6395631424605377</v>
      </c>
      <c r="CD366" s="40">
        <v>1</v>
      </c>
      <c r="CE366" s="9" t="e">
        <f>4*CC366*#REF!+60*CC366</f>
        <v>#REF!</v>
      </c>
      <c r="CG366" s="4" t="e">
        <f t="shared" si="1434"/>
        <v>#REF!</v>
      </c>
      <c r="CH366" s="4" t="e">
        <f t="shared" si="1435"/>
        <v>#REF!</v>
      </c>
      <c r="CI366" s="4" t="e">
        <f t="shared" si="1436"/>
        <v>#REF!</v>
      </c>
      <c r="CJ366" s="4" t="e">
        <f t="shared" si="1437"/>
        <v>#REF!</v>
      </c>
      <c r="CK366" s="4">
        <f t="shared" si="1438"/>
        <v>0.7330357782373077</v>
      </c>
      <c r="CL366" s="4">
        <f t="shared" si="1439"/>
        <v>0.73924512696546085</v>
      </c>
      <c r="CM366" s="4">
        <f t="shared" si="1310"/>
        <v>1.0919377043810194</v>
      </c>
      <c r="CN366" s="4">
        <f t="shared" si="1344"/>
        <v>0</v>
      </c>
      <c r="CO366" s="4" t="e">
        <f t="shared" ref="CO366" si="1644">CG366</f>
        <v>#REF!</v>
      </c>
      <c r="CP366" s="4" t="e">
        <f t="shared" ref="CP366" si="1645">CH366</f>
        <v>#REF!</v>
      </c>
      <c r="CQ366" s="4" t="e">
        <f t="shared" ref="CQ366" si="1646">CJ366</f>
        <v>#REF!</v>
      </c>
      <c r="CR366" s="4">
        <f t="shared" si="1536"/>
        <v>1.0919377043810194</v>
      </c>
      <c r="CS366" s="4">
        <f t="shared" ref="CS366" si="1647">CK366</f>
        <v>0.7330357782373077</v>
      </c>
      <c r="CT366" s="4">
        <f t="shared" ref="CT366" si="1648">CL366</f>
        <v>0.73924512696546085</v>
      </c>
      <c r="DC366" s="4" t="e">
        <f>#REF!</f>
        <v>#REF!</v>
      </c>
      <c r="DF366" s="4">
        <f t="shared" si="1601"/>
        <v>1.1368217517436956E-5</v>
      </c>
      <c r="DG366" s="4">
        <f t="shared" si="1446"/>
        <v>6.3095646456942012</v>
      </c>
      <c r="DH366" s="4">
        <f t="shared" si="1602"/>
        <v>0.20584135614088789</v>
      </c>
      <c r="DI366" s="4">
        <f t="shared" si="1447"/>
        <v>3.3528370591019918</v>
      </c>
      <c r="DJ366" s="4">
        <f t="shared" si="1448"/>
        <v>5.0542367447448244</v>
      </c>
      <c r="DK366" s="4">
        <f t="shared" si="1603"/>
        <v>6.2205277389850355</v>
      </c>
      <c r="DL366" s="38">
        <f t="shared" si="1604"/>
        <v>245.55418076977975</v>
      </c>
      <c r="DM366" s="4" t="e">
        <f t="shared" si="1449"/>
        <v>#REF!</v>
      </c>
      <c r="DN366" s="4">
        <f t="shared" si="1605"/>
        <v>2.2583179581272428</v>
      </c>
      <c r="DO366" s="4">
        <f t="shared" si="1309"/>
        <v>128.56114357170804</v>
      </c>
      <c r="DS366" s="4">
        <f t="shared" si="1606"/>
        <v>0.85</v>
      </c>
      <c r="DT366" s="4">
        <f t="shared" si="1607"/>
        <v>0.99250000000000005</v>
      </c>
      <c r="DU366" s="4">
        <f t="shared" si="1608"/>
        <v>1</v>
      </c>
      <c r="DV366" s="4">
        <f t="shared" si="1450"/>
        <v>0.99250000000000005</v>
      </c>
      <c r="DX366" s="4">
        <f t="shared" si="1609"/>
        <v>243.49162873603905</v>
      </c>
      <c r="DY366" s="25">
        <f t="shared" si="1502"/>
        <v>126.32301326549774</v>
      </c>
      <c r="EA366" s="4">
        <f t="shared" si="1503"/>
        <v>0.84362500000000007</v>
      </c>
      <c r="EB366" s="4">
        <f t="shared" si="1610"/>
        <v>6.3095646456942012</v>
      </c>
      <c r="EE366" s="4">
        <f t="shared" si="1611"/>
        <v>57.361276136431961</v>
      </c>
      <c r="EF366" s="4">
        <f t="shared" si="1451"/>
        <v>2.2583179581272428</v>
      </c>
      <c r="EG366" s="4">
        <f t="shared" si="1612"/>
        <v>6.5630748665148883E-2</v>
      </c>
      <c r="EJ366" s="4">
        <f t="shared" si="1452"/>
        <v>6.5630748665148883E-2</v>
      </c>
      <c r="EK366" s="4">
        <f t="shared" si="1613"/>
        <v>0.2054978452811024</v>
      </c>
      <c r="EL366" s="4">
        <f t="shared" si="1453"/>
        <v>3.3505978335429596</v>
      </c>
      <c r="EM366" s="4">
        <f t="shared" si="1454"/>
        <v>5.0535006437785883</v>
      </c>
      <c r="EN366" s="4" t="e">
        <f t="shared" si="1455"/>
        <v>#REF!</v>
      </c>
      <c r="EO366" s="4" t="e">
        <f t="shared" si="1456"/>
        <v>#REF!</v>
      </c>
      <c r="EP366" s="4" t="e">
        <f t="shared" si="1614"/>
        <v>#REF!</v>
      </c>
      <c r="EQ366" s="4" t="e">
        <f t="shared" si="1457"/>
        <v>#REF!</v>
      </c>
      <c r="ER366" s="4" t="e">
        <f t="shared" si="1615"/>
        <v>#REF!</v>
      </c>
      <c r="FA366" s="23" t="e">
        <f t="shared" si="1383"/>
        <v>#REF!</v>
      </c>
      <c r="FB366" s="23" t="e">
        <f t="shared" si="1384"/>
        <v>#REF!</v>
      </c>
      <c r="FC366" s="23">
        <f t="shared" si="1317"/>
        <v>1.2</v>
      </c>
      <c r="FD366" s="23" t="e">
        <f t="shared" si="1385"/>
        <v>#REF!</v>
      </c>
      <c r="FE366" s="23">
        <f t="shared" si="1386"/>
        <v>0.8</v>
      </c>
      <c r="FF366" s="23">
        <f t="shared" si="1387"/>
        <v>0.8</v>
      </c>
      <c r="FG366" s="23">
        <f t="shared" si="1629"/>
        <v>1</v>
      </c>
      <c r="FH366" s="23"/>
      <c r="FR366" s="4">
        <f t="shared" si="1485"/>
        <v>1</v>
      </c>
      <c r="FS366" s="4">
        <f t="shared" si="1486"/>
        <v>0.90416666666666656</v>
      </c>
      <c r="FT366" s="4">
        <f t="shared" si="1487"/>
        <v>0</v>
      </c>
      <c r="FU366" s="4">
        <f t="shared" si="1488"/>
        <v>164.84456876780862</v>
      </c>
    </row>
    <row r="367" spans="2:177" ht="12" customHeight="1" x14ac:dyDescent="0.3">
      <c r="B367" s="24"/>
      <c r="C367" s="7" t="s">
        <v>509</v>
      </c>
      <c r="D367" s="38">
        <f t="shared" si="1635"/>
        <v>889.65517241379314</v>
      </c>
      <c r="E367" s="38">
        <f>6*25.4</f>
        <v>152.39999999999998</v>
      </c>
      <c r="F367" s="38">
        <f t="shared" si="1636"/>
        <v>34</v>
      </c>
      <c r="G367" s="38">
        <f t="shared" si="1341"/>
        <v>25.4</v>
      </c>
      <c r="H367" s="38">
        <f>12.5*25.4</f>
        <v>317.5</v>
      </c>
      <c r="I367" s="38">
        <f>2.55*25.4</f>
        <v>64.77</v>
      </c>
      <c r="J367" s="39">
        <f>7*25.4</f>
        <v>177.79999999999998</v>
      </c>
      <c r="K367" s="7">
        <f t="shared" si="1339"/>
        <v>55.88000000000001</v>
      </c>
      <c r="L367" s="38">
        <v>3</v>
      </c>
      <c r="M367" s="4">
        <f t="shared" si="1357"/>
        <v>260.34999999999997</v>
      </c>
      <c r="N367" s="7">
        <f t="shared" si="1569"/>
        <v>1.6000000000000003</v>
      </c>
      <c r="O367" s="7">
        <f t="shared" si="1570"/>
        <v>3.05</v>
      </c>
      <c r="P367" s="38">
        <v>4.0999999999999996</v>
      </c>
      <c r="Q367" s="4">
        <f t="shared" si="1342"/>
        <v>4.0999999999999996</v>
      </c>
      <c r="R367" s="4">
        <f t="shared" si="1571"/>
        <v>5.0999999999999996</v>
      </c>
      <c r="S367" s="7">
        <f t="shared" si="1572"/>
        <v>57.361276136431961</v>
      </c>
      <c r="V367" s="38">
        <f t="shared" si="1395"/>
        <v>280.00000000000006</v>
      </c>
      <c r="W367" s="4">
        <v>40.6</v>
      </c>
      <c r="X367" s="4">
        <f t="shared" si="1573"/>
        <v>1.1198131819366681</v>
      </c>
      <c r="Y367" s="38">
        <f>0.375*25.4</f>
        <v>9.5249999999999986</v>
      </c>
      <c r="Z367" s="38">
        <v>10</v>
      </c>
      <c r="AA367" s="39">
        <f t="shared" ref="AA367" si="1649">3*25.4</f>
        <v>76.199999999999989</v>
      </c>
      <c r="AB367" s="39">
        <v>3</v>
      </c>
      <c r="AC367" s="39">
        <f>AB367-1</f>
        <v>2</v>
      </c>
      <c r="AD367" s="7"/>
      <c r="AE367" s="4">
        <f t="shared" si="1576"/>
        <v>152.39999999999998</v>
      </c>
      <c r="AF367" s="4">
        <f t="shared" si="1577"/>
        <v>0.69444444444444442</v>
      </c>
      <c r="AG367" s="4">
        <f t="shared" si="1578"/>
        <v>72.166948114322295</v>
      </c>
      <c r="AH367" s="4">
        <f t="shared" si="1579"/>
        <v>0.80166666666666664</v>
      </c>
      <c r="AI367" s="4">
        <v>1.25</v>
      </c>
      <c r="AJ367" s="4">
        <f t="shared" si="1513"/>
        <v>2.5</v>
      </c>
      <c r="AK367" s="38">
        <f t="shared" si="1340"/>
        <v>125.55086097724617</v>
      </c>
      <c r="AL367" s="38">
        <f t="shared" si="1616"/>
        <v>125.55086097724617</v>
      </c>
      <c r="AM367" s="38">
        <f t="shared" si="1580"/>
        <v>3.1485253868929024</v>
      </c>
      <c r="AN367" s="38">
        <f t="shared" si="1521"/>
        <v>125.55086097724615</v>
      </c>
      <c r="AO367" s="38">
        <f t="shared" si="1484"/>
        <v>1.0000000000000002</v>
      </c>
      <c r="AP367" s="38">
        <f t="shared" si="1522"/>
        <v>2.3907691293286812</v>
      </c>
      <c r="AQ367" s="4">
        <f t="shared" si="1523"/>
        <v>0</v>
      </c>
      <c r="AR367" s="4" t="e">
        <f>#REF!/G367*F367^0.5/0.19</f>
        <v>#REF!</v>
      </c>
      <c r="AS367" s="4">
        <f t="shared" si="1581"/>
        <v>1.3624999999999998</v>
      </c>
      <c r="AT367" s="38">
        <f t="shared" si="1582"/>
        <v>300.16312258503706</v>
      </c>
      <c r="AU367" s="4">
        <f t="shared" si="1583"/>
        <v>0.42600000000000005</v>
      </c>
      <c r="AV367" s="4" t="e">
        <f>AU367*D367*#REF!/(D367*G367/2.75/F367^0.5)</f>
        <v>#REF!</v>
      </c>
      <c r="AW367" s="4" t="e">
        <f t="shared" si="1431"/>
        <v>#REF!</v>
      </c>
      <c r="AY367" s="4">
        <f t="shared" si="1584"/>
        <v>1.5</v>
      </c>
      <c r="AZ367" s="4" t="e">
        <f>(3*#REF!+30)*AY367*F367^0.5</f>
        <v>#REF!</v>
      </c>
      <c r="BB367" s="4">
        <f t="shared" si="1585"/>
        <v>287.89314211699849</v>
      </c>
      <c r="BC367" s="4">
        <f t="shared" si="1464"/>
        <v>0</v>
      </c>
      <c r="BD367" s="4">
        <f t="shared" si="1432"/>
        <v>0</v>
      </c>
      <c r="BL367" s="4">
        <f t="shared" si="1586"/>
        <v>27.940000000000005</v>
      </c>
      <c r="BP367" s="9"/>
      <c r="BR367" s="9"/>
      <c r="BS367" s="9"/>
      <c r="BT367" s="9">
        <f t="shared" si="1587"/>
        <v>27.940000000000005</v>
      </c>
      <c r="BU367" s="9">
        <f t="shared" si="1588"/>
        <v>64.77</v>
      </c>
      <c r="BV367" s="9">
        <f t="shared" si="1589"/>
        <v>1.1897849384592458</v>
      </c>
      <c r="BW367" s="40">
        <f t="shared" si="1343"/>
        <v>20</v>
      </c>
      <c r="BX367" s="9">
        <f t="shared" si="1590"/>
        <v>0.05</v>
      </c>
      <c r="BY367" s="9">
        <f t="shared" si="1433"/>
        <v>0.8</v>
      </c>
      <c r="BZ367" s="9">
        <f t="shared" si="1591"/>
        <v>0.99524931562137331</v>
      </c>
      <c r="CA367" s="9">
        <f t="shared" si="1592"/>
        <v>0.68</v>
      </c>
      <c r="CB367" s="9">
        <f t="shared" si="1593"/>
        <v>1.3811737100982926</v>
      </c>
      <c r="CC367" s="9">
        <f t="shared" si="1594"/>
        <v>2.7482386457494594</v>
      </c>
      <c r="CD367" s="40">
        <v>1</v>
      </c>
      <c r="CE367" s="9" t="e">
        <f>4*CC367*#REF!+60*CC367</f>
        <v>#REF!</v>
      </c>
      <c r="CG367" s="4" t="e">
        <f t="shared" si="1434"/>
        <v>#REF!</v>
      </c>
      <c r="CH367" s="4" t="e">
        <f t="shared" si="1435"/>
        <v>#REF!</v>
      </c>
      <c r="CI367" s="4" t="e">
        <f t="shared" si="1436"/>
        <v>#REF!</v>
      </c>
      <c r="CJ367" s="4" t="e">
        <f t="shared" si="1437"/>
        <v>#REF!</v>
      </c>
      <c r="CK367" s="4">
        <f t="shared" si="1438"/>
        <v>1.1198131819366681</v>
      </c>
      <c r="CL367" s="4">
        <f t="shared" si="1439"/>
        <v>1.1248507186141501</v>
      </c>
      <c r="CM367" s="4">
        <f t="shared" si="1310"/>
        <v>1.2840983524179472</v>
      </c>
      <c r="CN367" s="4">
        <f t="shared" si="1344"/>
        <v>10</v>
      </c>
      <c r="CU367" s="4" t="e">
        <f t="shared" ref="CU367" si="1650">CG367</f>
        <v>#REF!</v>
      </c>
      <c r="CV367" s="4" t="e">
        <f t="shared" ref="CV367" si="1651">CH367</f>
        <v>#REF!</v>
      </c>
      <c r="CW367" s="4" t="e">
        <f t="shared" ref="CW367" si="1652">CJ367</f>
        <v>#REF!</v>
      </c>
      <c r="CX367" s="4">
        <f t="shared" ref="CX367" si="1653">CM367</f>
        <v>1.2840983524179472</v>
      </c>
      <c r="CY367" s="4">
        <f t="shared" ref="CY367" si="1654">CK367</f>
        <v>1.1198131819366681</v>
      </c>
      <c r="CZ367" s="4">
        <f t="shared" ref="CZ367" si="1655">CL367</f>
        <v>1.1248507186141501</v>
      </c>
      <c r="DC367" s="4" t="e">
        <f>#REF!</f>
        <v>#REF!</v>
      </c>
      <c r="DF367" s="4">
        <f t="shared" si="1601"/>
        <v>1.1019273845657792E-5</v>
      </c>
      <c r="DG367" s="4">
        <f t="shared" si="1446"/>
        <v>6.9798597404126728</v>
      </c>
      <c r="DH367" s="4">
        <f t="shared" si="1602"/>
        <v>0.20102154329233674</v>
      </c>
      <c r="DI367" s="4">
        <f t="shared" si="1447"/>
        <v>3.6740387860336368</v>
      </c>
      <c r="DJ367" s="4">
        <f t="shared" si="1448"/>
        <v>5.57971310662895</v>
      </c>
      <c r="DK367" s="4">
        <f t="shared" si="1603"/>
        <v>6.8784141138402219</v>
      </c>
      <c r="DL367" s="38">
        <f t="shared" si="1604"/>
        <v>250.04170741743926</v>
      </c>
      <c r="DM367" s="4" t="e">
        <f t="shared" si="1449"/>
        <v>#REF!</v>
      </c>
      <c r="DN367" s="4">
        <f t="shared" si="1605"/>
        <v>2.2583179581272428</v>
      </c>
      <c r="DO367" s="4">
        <f t="shared" si="1309"/>
        <v>125.55086097724615</v>
      </c>
      <c r="DS367" s="4">
        <f t="shared" si="1606"/>
        <v>0.85</v>
      </c>
      <c r="DT367" s="4">
        <f t="shared" si="1607"/>
        <v>0.99</v>
      </c>
      <c r="DU367" s="4">
        <f t="shared" si="1608"/>
        <v>0.90625</v>
      </c>
      <c r="DV367" s="4">
        <f t="shared" si="1450"/>
        <v>0.89718750000000003</v>
      </c>
      <c r="DX367" s="4">
        <f t="shared" si="1609"/>
        <v>248.92191947476238</v>
      </c>
      <c r="DY367" s="25">
        <f t="shared" si="1502"/>
        <v>123.28444414733428</v>
      </c>
      <c r="EA367" s="4">
        <f t="shared" si="1503"/>
        <v>0.76260937500000003</v>
      </c>
      <c r="EB367" s="4">
        <f t="shared" si="1610"/>
        <v>6.9798597404126728</v>
      </c>
      <c r="EE367" s="4">
        <f t="shared" si="1611"/>
        <v>57.361276136431961</v>
      </c>
      <c r="EF367" s="4">
        <f t="shared" si="1451"/>
        <v>2.2583179581272428</v>
      </c>
      <c r="EG367" s="4">
        <f t="shared" si="1612"/>
        <v>6.4093992730351185E-2</v>
      </c>
      <c r="EJ367" s="4">
        <f t="shared" si="1452"/>
        <v>6.4093992730351185E-2</v>
      </c>
      <c r="EK367" s="4">
        <f t="shared" si="1613"/>
        <v>0.20068607580190448</v>
      </c>
      <c r="EL367" s="4">
        <f t="shared" si="1453"/>
        <v>3.6715850427083443</v>
      </c>
      <c r="EM367" s="4">
        <f t="shared" si="1454"/>
        <v>5.578912791171704</v>
      </c>
      <c r="EN367" s="4" t="e">
        <f t="shared" si="1455"/>
        <v>#REF!</v>
      </c>
      <c r="EO367" s="4" t="e">
        <f t="shared" si="1456"/>
        <v>#REF!</v>
      </c>
      <c r="EP367" s="4" t="e">
        <f t="shared" si="1614"/>
        <v>#REF!</v>
      </c>
      <c r="EQ367" s="4" t="e">
        <f t="shared" si="1457"/>
        <v>#REF!</v>
      </c>
      <c r="ER367" s="4" t="e">
        <f t="shared" si="1615"/>
        <v>#REF!</v>
      </c>
      <c r="FA367" s="23" t="e">
        <f t="shared" si="1383"/>
        <v>#REF!</v>
      </c>
      <c r="FB367" s="23" t="e">
        <f t="shared" si="1384"/>
        <v>#REF!</v>
      </c>
      <c r="FC367" s="23">
        <f t="shared" si="1317"/>
        <v>1.4</v>
      </c>
      <c r="FD367" s="23" t="e">
        <f t="shared" si="1385"/>
        <v>#REF!</v>
      </c>
      <c r="FE367" s="23">
        <f t="shared" si="1386"/>
        <v>1.2</v>
      </c>
      <c r="FF367" s="23">
        <f t="shared" si="1387"/>
        <v>1.2</v>
      </c>
      <c r="FG367" s="23">
        <f t="shared" si="1629"/>
        <v>0</v>
      </c>
      <c r="FH367" s="23"/>
      <c r="FR367" s="4">
        <f t="shared" si="1485"/>
        <v>1</v>
      </c>
      <c r="FS367" s="4">
        <f t="shared" si="1486"/>
        <v>0.66255813953488385</v>
      </c>
      <c r="FT367" s="4">
        <f t="shared" si="1487"/>
        <v>0.28124999999999994</v>
      </c>
      <c r="FU367" s="4">
        <f t="shared" si="1488"/>
        <v>218.05183339170418</v>
      </c>
    </row>
    <row r="368" spans="2:177" ht="12" customHeight="1" x14ac:dyDescent="0.3">
      <c r="B368" s="24"/>
      <c r="C368" s="7" t="s">
        <v>510</v>
      </c>
      <c r="D368" s="38">
        <f t="shared" si="1635"/>
        <v>889.65517241379314</v>
      </c>
      <c r="E368" s="38">
        <f>6.33*25.4</f>
        <v>160.78199999999998</v>
      </c>
      <c r="F368" s="38">
        <f t="shared" si="1636"/>
        <v>34</v>
      </c>
      <c r="G368" s="38">
        <f t="shared" si="1341"/>
        <v>25.4</v>
      </c>
      <c r="H368" s="38">
        <f>16.9*25.4</f>
        <v>429.25999999999993</v>
      </c>
      <c r="I368" s="38">
        <f>2.8*25.4</f>
        <v>71.11999999999999</v>
      </c>
      <c r="J368" s="39">
        <f>6.8*25.4</f>
        <v>172.72</v>
      </c>
      <c r="K368" s="7">
        <f t="shared" si="1339"/>
        <v>105.40999999999998</v>
      </c>
      <c r="L368" s="38">
        <v>3</v>
      </c>
      <c r="M368" s="4">
        <f t="shared" si="1357"/>
        <v>260.34999999999997</v>
      </c>
      <c r="N368" s="7">
        <f t="shared" si="1569"/>
        <v>2.5749999999999997</v>
      </c>
      <c r="O368" s="7">
        <f t="shared" si="1570"/>
        <v>3.3</v>
      </c>
      <c r="P368" s="38">
        <v>4.0999999999999996</v>
      </c>
      <c r="Q368" s="4">
        <f t="shared" si="1342"/>
        <v>4.0999999999999996</v>
      </c>
      <c r="R368" s="4">
        <f t="shared" si="1571"/>
        <v>5.0999999999999996</v>
      </c>
      <c r="S368" s="7">
        <f t="shared" si="1572"/>
        <v>57.361276136431961</v>
      </c>
      <c r="V368" s="38">
        <f t="shared" si="1395"/>
        <v>208.96551724137933</v>
      </c>
      <c r="W368" s="4">
        <v>30.3</v>
      </c>
      <c r="X368" s="4">
        <f t="shared" si="1573"/>
        <v>0.66486057633594775</v>
      </c>
      <c r="Y368" s="38"/>
      <c r="Z368" s="38"/>
      <c r="AA368" s="39">
        <v>1</v>
      </c>
      <c r="AB368" s="39"/>
      <c r="AC368" s="39"/>
      <c r="AD368" s="7"/>
      <c r="AE368" s="4">
        <f t="shared" si="1576"/>
        <v>160.78199999999998</v>
      </c>
      <c r="AF368" s="4">
        <f t="shared" si="1577"/>
        <v>0.88994207477619791</v>
      </c>
      <c r="AG368" s="4">
        <f t="shared" si="1578"/>
        <v>78.20185035706578</v>
      </c>
      <c r="AH368" s="4">
        <f t="shared" si="1579"/>
        <v>0.80426540284360182</v>
      </c>
      <c r="AI368" s="4">
        <v>1.25</v>
      </c>
      <c r="AJ368" s="4">
        <f t="shared" si="1513"/>
        <v>2.5</v>
      </c>
      <c r="AK368" s="38">
        <f t="shared" si="1340"/>
        <v>174.91545242580563</v>
      </c>
      <c r="AL368" s="38">
        <f t="shared" si="1616"/>
        <v>174.91545242580563</v>
      </c>
      <c r="AM368" s="38">
        <f t="shared" si="1580"/>
        <v>3.1485253868929024</v>
      </c>
      <c r="AN368" s="38">
        <f t="shared" si="1521"/>
        <v>174.91545242580557</v>
      </c>
      <c r="AO368" s="38">
        <f t="shared" si="1484"/>
        <v>1.0000000000000002</v>
      </c>
      <c r="AP368" s="38">
        <f t="shared" si="1522"/>
        <v>2.2552634919824346</v>
      </c>
      <c r="AQ368" s="4">
        <f t="shared" si="1523"/>
        <v>0</v>
      </c>
      <c r="AR368" s="4" t="e">
        <f>#REF!/G368*F368^0.5/0.19</f>
        <v>#REF!</v>
      </c>
      <c r="AS368" s="4">
        <f t="shared" si="1581"/>
        <v>1.112621359223301</v>
      </c>
      <c r="AT368" s="38">
        <f t="shared" si="1582"/>
        <v>394.4804340395097</v>
      </c>
      <c r="AU368" s="4">
        <f t="shared" si="1583"/>
        <v>0.42600000000000005</v>
      </c>
      <c r="AV368" s="4" t="e">
        <f>AU368*D368*#REF!/(D368*G368/2.75/F368^0.5)</f>
        <v>#REF!</v>
      </c>
      <c r="AW368" s="4" t="e">
        <f t="shared" si="1431"/>
        <v>#REF!</v>
      </c>
      <c r="AY368" s="4">
        <f t="shared" si="1584"/>
        <v>1.45</v>
      </c>
      <c r="AZ368" s="4" t="e">
        <f>(3*#REF!+30)*AY368*F368^0.5</f>
        <v>#REF!</v>
      </c>
      <c r="BB368" s="4">
        <f t="shared" si="1585"/>
        <v>378.35497805743148</v>
      </c>
      <c r="BC368" s="4">
        <f t="shared" si="1464"/>
        <v>0</v>
      </c>
      <c r="BD368" s="4">
        <f t="shared" si="1432"/>
        <v>0</v>
      </c>
      <c r="BL368" s="4">
        <f t="shared" si="1586"/>
        <v>52.704999999999991</v>
      </c>
      <c r="BP368" s="9"/>
      <c r="BR368" s="9"/>
      <c r="BS368" s="9"/>
      <c r="BT368" s="9">
        <f t="shared" si="1587"/>
        <v>52.704999999999991</v>
      </c>
      <c r="BU368" s="9">
        <f t="shared" si="1588"/>
        <v>71.11999999999999</v>
      </c>
      <c r="BV368" s="9">
        <f t="shared" si="1589"/>
        <v>1.5067112815202597</v>
      </c>
      <c r="BW368" s="40">
        <f t="shared" si="1343"/>
        <v>0</v>
      </c>
      <c r="BX368" s="9">
        <f t="shared" si="1590"/>
        <v>0</v>
      </c>
      <c r="BY368" s="9">
        <f t="shared" si="1433"/>
        <v>0</v>
      </c>
      <c r="BZ368" s="9">
        <f t="shared" si="1591"/>
        <v>0.99524931562137331</v>
      </c>
      <c r="CA368" s="9">
        <f t="shared" si="1592"/>
        <v>0.68</v>
      </c>
      <c r="CB368" s="9">
        <f t="shared" si="1593"/>
        <v>1.3811737100982926</v>
      </c>
      <c r="CC368" s="9">
        <f t="shared" si="1594"/>
        <v>2.0810300107442901</v>
      </c>
      <c r="CD368" s="40">
        <v>1</v>
      </c>
      <c r="CE368" s="9" t="e">
        <f>4*CC368*#REF!+60*CC368</f>
        <v>#REF!</v>
      </c>
      <c r="CG368" s="4" t="e">
        <f t="shared" si="1434"/>
        <v>#REF!</v>
      </c>
      <c r="CH368" s="4" t="e">
        <f t="shared" si="1435"/>
        <v>#REF!</v>
      </c>
      <c r="CI368" s="4" t="e">
        <f t="shared" si="1436"/>
        <v>#REF!</v>
      </c>
      <c r="CJ368" s="4" t="e">
        <f t="shared" si="1437"/>
        <v>#REF!</v>
      </c>
      <c r="CK368" s="4">
        <f t="shared" si="1438"/>
        <v>0.66486057633594775</v>
      </c>
      <c r="CL368" s="4">
        <f t="shared" si="1439"/>
        <v>0.68467739710453912</v>
      </c>
      <c r="CM368" s="4">
        <f t="shared" si="1310"/>
        <v>1.0111147713391568</v>
      </c>
      <c r="CN368" s="4">
        <f t="shared" si="1344"/>
        <v>0</v>
      </c>
      <c r="CO368" s="4" t="e">
        <f t="shared" ref="CO368" si="1656">CG368</f>
        <v>#REF!</v>
      </c>
      <c r="CP368" s="4" t="e">
        <f t="shared" ref="CP368" si="1657">CH368</f>
        <v>#REF!</v>
      </c>
      <c r="CQ368" s="4" t="e">
        <f t="shared" ref="CQ368" si="1658">CJ368</f>
        <v>#REF!</v>
      </c>
      <c r="CR368" s="4">
        <f t="shared" si="1536"/>
        <v>1.0111147713391568</v>
      </c>
      <c r="CS368" s="4">
        <f t="shared" ref="CS368" si="1659">CK368</f>
        <v>0.66486057633594775</v>
      </c>
      <c r="CT368" s="4">
        <f t="shared" ref="CT368" si="1660">CL368</f>
        <v>0.68467739710453912</v>
      </c>
      <c r="DC368" s="4" t="e">
        <f>#REF!</f>
        <v>#REF!</v>
      </c>
      <c r="DF368" s="4">
        <f t="shared" si="1601"/>
        <v>1.162533390716897E-5</v>
      </c>
      <c r="DG368" s="4">
        <f t="shared" si="1446"/>
        <v>7.0165186676207227</v>
      </c>
      <c r="DH368" s="4">
        <f t="shared" si="1602"/>
        <v>0.28006000053384883</v>
      </c>
      <c r="DI368" s="4">
        <f t="shared" si="1447"/>
        <v>4.2171798146618968</v>
      </c>
      <c r="DJ368" s="4">
        <f t="shared" si="1448"/>
        <v>5.7896246222922088</v>
      </c>
      <c r="DK368" s="4">
        <f t="shared" si="1603"/>
        <v>6.8947320496980744</v>
      </c>
      <c r="DL368" s="38">
        <f t="shared" si="1604"/>
        <v>314.29975648878155</v>
      </c>
      <c r="DM368" s="4" t="e">
        <f t="shared" si="1449"/>
        <v>#REF!</v>
      </c>
      <c r="DN368" s="4">
        <f t="shared" si="1605"/>
        <v>2.2583179581272428</v>
      </c>
      <c r="DO368" s="4">
        <f t="shared" si="1309"/>
        <v>174.91545242580557</v>
      </c>
      <c r="DS368" s="4">
        <f t="shared" si="1606"/>
        <v>0.85</v>
      </c>
      <c r="DT368" s="4">
        <f t="shared" si="1607"/>
        <v>0.89250000000000007</v>
      </c>
      <c r="DU368" s="4">
        <f t="shared" si="1608"/>
        <v>1</v>
      </c>
      <c r="DV368" s="4">
        <f t="shared" si="1450"/>
        <v>0.89250000000000007</v>
      </c>
      <c r="DX368" s="4">
        <f t="shared" si="1609"/>
        <v>305.20288551233375</v>
      </c>
      <c r="DY368" s="25">
        <f t="shared" si="1502"/>
        <v>171.95919601421622</v>
      </c>
      <c r="EA368" s="4">
        <f t="shared" si="1503"/>
        <v>0.75862499999999999</v>
      </c>
      <c r="EB368" s="4">
        <f t="shared" si="1610"/>
        <v>7.0165186676207227</v>
      </c>
      <c r="EE368" s="4">
        <f t="shared" si="1611"/>
        <v>57.361276136431961</v>
      </c>
      <c r="EF368" s="4">
        <f t="shared" si="1451"/>
        <v>2.2583179581272428</v>
      </c>
      <c r="EG368" s="4">
        <f t="shared" si="1612"/>
        <v>8.929472604921021E-2</v>
      </c>
      <c r="EJ368" s="4">
        <f t="shared" si="1452"/>
        <v>8.929472604921021E-2</v>
      </c>
      <c r="EK368" s="4">
        <f t="shared" si="1613"/>
        <v>0.27959263258904649</v>
      </c>
      <c r="EL368" s="4">
        <f t="shared" si="1453"/>
        <v>4.2143633292015039</v>
      </c>
      <c r="EM368" s="4">
        <f t="shared" si="1454"/>
        <v>5.7886035772711342</v>
      </c>
      <c r="EN368" s="4" t="e">
        <f t="shared" si="1455"/>
        <v>#REF!</v>
      </c>
      <c r="EO368" s="4" t="e">
        <f t="shared" si="1456"/>
        <v>#REF!</v>
      </c>
      <c r="EP368" s="4" t="e">
        <f t="shared" si="1614"/>
        <v>#REF!</v>
      </c>
      <c r="EQ368" s="4" t="e">
        <f t="shared" si="1457"/>
        <v>#REF!</v>
      </c>
      <c r="ER368" s="4" t="e">
        <f t="shared" si="1615"/>
        <v>#REF!</v>
      </c>
      <c r="FA368" s="23" t="e">
        <f t="shared" si="1383"/>
        <v>#REF!</v>
      </c>
      <c r="FB368" s="23" t="e">
        <f t="shared" si="1384"/>
        <v>#REF!</v>
      </c>
      <c r="FC368" s="23">
        <f t="shared" si="1317"/>
        <v>1.2</v>
      </c>
      <c r="FD368" s="23" t="e">
        <f t="shared" si="1385"/>
        <v>#REF!</v>
      </c>
      <c r="FE368" s="23">
        <f t="shared" si="1386"/>
        <v>0.8</v>
      </c>
      <c r="FF368" s="23">
        <f t="shared" si="1387"/>
        <v>0.8</v>
      </c>
      <c r="FG368" s="23">
        <f t="shared" si="1629"/>
        <v>1</v>
      </c>
      <c r="FH368" s="23"/>
      <c r="FR368" s="4">
        <f t="shared" si="1485"/>
        <v>1</v>
      </c>
      <c r="FS368" s="4">
        <f t="shared" si="1486"/>
        <v>0.73750000000000004</v>
      </c>
      <c r="FT368" s="4">
        <f t="shared" si="1487"/>
        <v>0</v>
      </c>
      <c r="FU368" s="4">
        <f t="shared" si="1488"/>
        <v>206.66844473512919</v>
      </c>
    </row>
    <row r="369" spans="2:177" ht="12" customHeight="1" x14ac:dyDescent="0.3">
      <c r="B369" s="24"/>
      <c r="C369" s="7" t="s">
        <v>511</v>
      </c>
      <c r="D369" s="38">
        <f t="shared" si="1635"/>
        <v>889.65517241379314</v>
      </c>
      <c r="E369" s="38">
        <f>6.29*25.4</f>
        <v>159.76599999999999</v>
      </c>
      <c r="F369" s="38">
        <f t="shared" si="1636"/>
        <v>34</v>
      </c>
      <c r="G369" s="38">
        <f t="shared" si="1341"/>
        <v>25.4</v>
      </c>
      <c r="H369" s="38">
        <f>16.8*25.4</f>
        <v>426.71999999999997</v>
      </c>
      <c r="I369" s="38">
        <f>2.8*25.4</f>
        <v>71.11999999999999</v>
      </c>
      <c r="J369" s="39">
        <f>7*25.4</f>
        <v>177.79999999999998</v>
      </c>
      <c r="K369" s="7">
        <f t="shared" si="1339"/>
        <v>104.14</v>
      </c>
      <c r="L369" s="38">
        <v>3</v>
      </c>
      <c r="M369" s="4">
        <f t="shared" si="1357"/>
        <v>260.34999999999997</v>
      </c>
      <c r="N369" s="7">
        <f t="shared" si="1569"/>
        <v>2.5500000000000003</v>
      </c>
      <c r="O369" s="7">
        <f t="shared" si="1570"/>
        <v>3.3</v>
      </c>
      <c r="P369" s="38">
        <v>4.0999999999999996</v>
      </c>
      <c r="Q369" s="4">
        <f t="shared" si="1342"/>
        <v>4.0999999999999996</v>
      </c>
      <c r="R369" s="4">
        <f t="shared" si="1571"/>
        <v>5.0999999999999996</v>
      </c>
      <c r="S369" s="7">
        <f t="shared" si="1572"/>
        <v>57.361276136431961</v>
      </c>
      <c r="V369" s="38">
        <f t="shared" si="1395"/>
        <v>327.58620689655174</v>
      </c>
      <c r="W369" s="4">
        <v>47.5</v>
      </c>
      <c r="X369" s="4">
        <f t="shared" si="1573"/>
        <v>1.0063627542062954</v>
      </c>
      <c r="Y369" s="38">
        <f>0.375*25.4</f>
        <v>9.5249999999999986</v>
      </c>
      <c r="Z369" s="38">
        <v>10</v>
      </c>
      <c r="AA369" s="39">
        <f t="shared" ref="AA369:AA377" si="1661">3*25.4</f>
        <v>76.199999999999989</v>
      </c>
      <c r="AB369" s="39">
        <v>3</v>
      </c>
      <c r="AC369" s="39">
        <f>AB369-1</f>
        <v>2</v>
      </c>
      <c r="AD369" s="7"/>
      <c r="AE369" s="4">
        <f t="shared" si="1576"/>
        <v>159.76599999999999</v>
      </c>
      <c r="AF369" s="4">
        <f t="shared" si="1577"/>
        <v>0.890302066772655</v>
      </c>
      <c r="AG369" s="4">
        <f t="shared" si="1578"/>
        <v>77.461772837561156</v>
      </c>
      <c r="AH369" s="4">
        <f t="shared" si="1579"/>
        <v>0.8049284578696343</v>
      </c>
      <c r="AI369" s="4">
        <v>1.25</v>
      </c>
      <c r="AJ369" s="4">
        <f t="shared" si="1513"/>
        <v>2.5</v>
      </c>
      <c r="AK369" s="38">
        <f t="shared" si="1340"/>
        <v>173.4730912074333</v>
      </c>
      <c r="AL369" s="38">
        <f t="shared" si="1616"/>
        <v>173.4730912074333</v>
      </c>
      <c r="AM369" s="38">
        <f t="shared" si="1580"/>
        <v>3.1485253868929024</v>
      </c>
      <c r="AN369" s="38">
        <f t="shared" si="1521"/>
        <v>173.47309120743344</v>
      </c>
      <c r="AO369" s="38">
        <f t="shared" si="1484"/>
        <v>0.99999999999999922</v>
      </c>
      <c r="AP369" s="38">
        <f t="shared" si="1522"/>
        <v>2.262109291542389</v>
      </c>
      <c r="AQ369" s="4">
        <f t="shared" si="1523"/>
        <v>0</v>
      </c>
      <c r="AR369" s="4" t="e">
        <f>#REF!/G369*F369^0.5/0.19</f>
        <v>#REF!</v>
      </c>
      <c r="AS369" s="4">
        <f t="shared" si="1581"/>
        <v>1.1176470588235294</v>
      </c>
      <c r="AT369" s="38">
        <f t="shared" si="1582"/>
        <v>392.41509145291548</v>
      </c>
      <c r="AU369" s="4">
        <f t="shared" si="1583"/>
        <v>0.42600000000000005</v>
      </c>
      <c r="AV369" s="4" t="e">
        <f>AU369*D369*#REF!/(D369*G369/2.75/F369^0.5)</f>
        <v>#REF!</v>
      </c>
      <c r="AW369" s="4" t="e">
        <f t="shared" si="1431"/>
        <v>#REF!</v>
      </c>
      <c r="AY369" s="4">
        <f t="shared" si="1584"/>
        <v>1.5</v>
      </c>
      <c r="AZ369" s="4" t="e">
        <f>(3*#REF!+30)*AY369*F369^0.5</f>
        <v>#REF!</v>
      </c>
      <c r="BB369" s="4">
        <f t="shared" si="1585"/>
        <v>376.37406194194762</v>
      </c>
      <c r="BC369" s="4">
        <f t="shared" ref="BC369:BC400" si="1662">8/3*T369*U369^2/(S369-G369-22)/G369*(S369^2-G369^2)/(S369^2-(G369+22)^2)</f>
        <v>0</v>
      </c>
      <c r="BD369" s="4">
        <f t="shared" si="1432"/>
        <v>0</v>
      </c>
      <c r="BL369" s="4">
        <f t="shared" si="1586"/>
        <v>52.07</v>
      </c>
      <c r="BP369" s="9"/>
      <c r="BR369" s="9"/>
      <c r="BS369" s="9"/>
      <c r="BT369" s="9">
        <f t="shared" si="1587"/>
        <v>52.07</v>
      </c>
      <c r="BU369" s="9">
        <f t="shared" si="1588"/>
        <v>71.11999999999999</v>
      </c>
      <c r="BV369" s="9">
        <f t="shared" si="1589"/>
        <v>1.5003326349839896</v>
      </c>
      <c r="BW369" s="40">
        <f t="shared" si="1343"/>
        <v>20</v>
      </c>
      <c r="BX369" s="9">
        <f t="shared" si="1590"/>
        <v>0.05</v>
      </c>
      <c r="BY369" s="9">
        <f t="shared" si="1433"/>
        <v>0.8</v>
      </c>
      <c r="BZ369" s="9">
        <f t="shared" si="1591"/>
        <v>0.99524931562137331</v>
      </c>
      <c r="CA369" s="9">
        <f t="shared" si="1592"/>
        <v>0.68</v>
      </c>
      <c r="CB369" s="9">
        <f t="shared" si="1593"/>
        <v>1.3811737100982926</v>
      </c>
      <c r="CC369" s="9">
        <f t="shared" si="1594"/>
        <v>3.1771589599210186</v>
      </c>
      <c r="CD369" s="40">
        <v>1</v>
      </c>
      <c r="CE369" s="9" t="e">
        <f>4*CC369*#REF!+60*CC369</f>
        <v>#REF!</v>
      </c>
      <c r="CG369" s="4" t="e">
        <f t="shared" si="1434"/>
        <v>#REF!</v>
      </c>
      <c r="CH369" s="4" t="e">
        <f t="shared" si="1435"/>
        <v>#REF!</v>
      </c>
      <c r="CI369" s="4" t="e">
        <f t="shared" si="1436"/>
        <v>#REF!</v>
      </c>
      <c r="CJ369" s="4" t="e">
        <f t="shared" si="1437"/>
        <v>#REF!</v>
      </c>
      <c r="CK369" s="4">
        <f t="shared" si="1438"/>
        <v>1.0063627542062954</v>
      </c>
      <c r="CL369" s="4">
        <f t="shared" si="1439"/>
        <v>1.0359680488784047</v>
      </c>
      <c r="CM369" s="4">
        <f t="shared" si="1310"/>
        <v>1.2490921086446241</v>
      </c>
      <c r="CN369" s="4">
        <f t="shared" si="1344"/>
        <v>10</v>
      </c>
      <c r="CU369" s="4" t="e">
        <f t="shared" ref="CU369" si="1663">CG369</f>
        <v>#REF!</v>
      </c>
      <c r="CV369" s="4" t="e">
        <f t="shared" ref="CV369" si="1664">CH369</f>
        <v>#REF!</v>
      </c>
      <c r="CW369" s="4" t="e">
        <f t="shared" ref="CW369" si="1665">CJ369</f>
        <v>#REF!</v>
      </c>
      <c r="CX369" s="4">
        <f t="shared" ref="CX369" si="1666">CM369</f>
        <v>1.2490921086446241</v>
      </c>
      <c r="CY369" s="4">
        <f t="shared" ref="CY369" si="1667">CK369</f>
        <v>1.0063627542062954</v>
      </c>
      <c r="CZ369" s="4">
        <f t="shared" ref="CZ369" si="1668">CL369</f>
        <v>1.0359680488784047</v>
      </c>
      <c r="DC369" s="4" t="e">
        <f>#REF!</f>
        <v>#REF!</v>
      </c>
      <c r="DF369" s="4">
        <f t="shared" si="1601"/>
        <v>1.1551872081531252E-5</v>
      </c>
      <c r="DG369" s="4">
        <f t="shared" si="1446"/>
        <v>7.7207387072721181</v>
      </c>
      <c r="DH369" s="4">
        <f t="shared" si="1602"/>
        <v>0.27775061232380122</v>
      </c>
      <c r="DI369" s="4">
        <f t="shared" si="1447"/>
        <v>4.6250972074841998</v>
      </c>
      <c r="DJ369" s="4">
        <f t="shared" si="1448"/>
        <v>6.3651491691455737</v>
      </c>
      <c r="DK369" s="4">
        <f t="shared" si="1603"/>
        <v>7.5755073264251864</v>
      </c>
      <c r="DL369" s="38">
        <f t="shared" si="1604"/>
        <v>325.5150347400471</v>
      </c>
      <c r="DM369" s="4" t="e">
        <f t="shared" si="1449"/>
        <v>#REF!</v>
      </c>
      <c r="DN369" s="4">
        <f t="shared" si="1605"/>
        <v>2.2583179581272428</v>
      </c>
      <c r="DO369" s="4">
        <f t="shared" si="1309"/>
        <v>173.47309120743344</v>
      </c>
      <c r="DS369" s="4">
        <f t="shared" si="1606"/>
        <v>0.85</v>
      </c>
      <c r="DT369" s="4">
        <f t="shared" si="1607"/>
        <v>0.89500000000000002</v>
      </c>
      <c r="DU369" s="4">
        <f t="shared" si="1608"/>
        <v>0.90625</v>
      </c>
      <c r="DV369" s="4">
        <f t="shared" si="1450"/>
        <v>0.81109375000000006</v>
      </c>
      <c r="DX369" s="4">
        <f t="shared" si="1609"/>
        <v>316.21265467715375</v>
      </c>
      <c r="DY369" s="25">
        <f t="shared" si="1502"/>
        <v>170.52231527092891</v>
      </c>
      <c r="EA369" s="4">
        <f t="shared" si="1503"/>
        <v>0.6894296875</v>
      </c>
      <c r="EB369" s="4">
        <f t="shared" si="1610"/>
        <v>7.7207387072721181</v>
      </c>
      <c r="EE369" s="4">
        <f t="shared" si="1611"/>
        <v>57.361276136431961</v>
      </c>
      <c r="EF369" s="4">
        <f t="shared" si="1451"/>
        <v>2.2583179581272428</v>
      </c>
      <c r="EG369" s="4">
        <f t="shared" si="1612"/>
        <v>8.8558397451179827E-2</v>
      </c>
      <c r="EJ369" s="4">
        <f t="shared" si="1452"/>
        <v>8.8558397451179827E-2</v>
      </c>
      <c r="EK369" s="4">
        <f t="shared" si="1613"/>
        <v>0.27728709831750997</v>
      </c>
      <c r="EL369" s="4">
        <f t="shared" si="1453"/>
        <v>4.622008290338079</v>
      </c>
      <c r="EM369" s="4">
        <f t="shared" si="1454"/>
        <v>6.3640321914181257</v>
      </c>
      <c r="EN369" s="4" t="e">
        <f t="shared" si="1455"/>
        <v>#REF!</v>
      </c>
      <c r="EO369" s="4" t="e">
        <f t="shared" si="1456"/>
        <v>#REF!</v>
      </c>
      <c r="EP369" s="4" t="e">
        <f t="shared" si="1614"/>
        <v>#REF!</v>
      </c>
      <c r="EQ369" s="4" t="e">
        <f t="shared" si="1457"/>
        <v>#REF!</v>
      </c>
      <c r="ER369" s="4" t="e">
        <f t="shared" si="1615"/>
        <v>#REF!</v>
      </c>
      <c r="FA369" s="23" t="e">
        <f t="shared" si="1383"/>
        <v>#REF!</v>
      </c>
      <c r="FB369" s="23" t="e">
        <f t="shared" si="1384"/>
        <v>#REF!</v>
      </c>
      <c r="FC369" s="23">
        <f t="shared" si="1317"/>
        <v>1.4</v>
      </c>
      <c r="FD369" s="23" t="e">
        <f t="shared" si="1385"/>
        <v>#REF!</v>
      </c>
      <c r="FE369" s="23">
        <f t="shared" si="1386"/>
        <v>1.2</v>
      </c>
      <c r="FF369" s="23">
        <f t="shared" si="1387"/>
        <v>1.2</v>
      </c>
      <c r="FG369" s="23">
        <f t="shared" si="1629"/>
        <v>0</v>
      </c>
      <c r="FH369" s="23"/>
      <c r="FR369" s="4">
        <f t="shared" si="1485"/>
        <v>1</v>
      </c>
      <c r="FS369" s="4">
        <f t="shared" si="1486"/>
        <v>0.57750000000000001</v>
      </c>
      <c r="FT369" s="4">
        <f t="shared" si="1487"/>
        <v>0.28124999999999994</v>
      </c>
      <c r="FU369" s="4">
        <f t="shared" si="1488"/>
        <v>262.25944798579496</v>
      </c>
    </row>
    <row r="370" spans="2:177" ht="12" customHeight="1" x14ac:dyDescent="0.3">
      <c r="B370" s="24"/>
      <c r="C370" s="7" t="s">
        <v>512</v>
      </c>
      <c r="D370" s="38">
        <f t="shared" si="1635"/>
        <v>889.65517241379314</v>
      </c>
      <c r="E370" s="38">
        <f>6.25*25.4</f>
        <v>158.75</v>
      </c>
      <c r="F370" s="38">
        <f>4940/145</f>
        <v>34.068965517241381</v>
      </c>
      <c r="G370" s="38">
        <f t="shared" si="1341"/>
        <v>25.4</v>
      </c>
      <c r="H370" s="38">
        <f>20.5*25.4</f>
        <v>520.69999999999993</v>
      </c>
      <c r="I370" s="38">
        <f>2.7*25.4</f>
        <v>68.58</v>
      </c>
      <c r="J370" s="39">
        <f>7*25.4</f>
        <v>177.79999999999998</v>
      </c>
      <c r="K370" s="7">
        <f t="shared" si="1339"/>
        <v>153.66999999999996</v>
      </c>
      <c r="L370" s="38">
        <v>3</v>
      </c>
      <c r="M370" s="4">
        <f t="shared" si="1357"/>
        <v>260.34999999999997</v>
      </c>
      <c r="N370" s="7">
        <f t="shared" si="1569"/>
        <v>3.2</v>
      </c>
      <c r="O370" s="7">
        <f t="shared" si="1570"/>
        <v>3.2</v>
      </c>
      <c r="P370" s="38">
        <v>4.0999999999999996</v>
      </c>
      <c r="Q370" s="4">
        <f t="shared" si="1342"/>
        <v>4.0999999999999996</v>
      </c>
      <c r="R370" s="4">
        <f t="shared" si="1571"/>
        <v>5.0999999999999996</v>
      </c>
      <c r="S370" s="7">
        <f t="shared" si="1572"/>
        <v>57.361276136431961</v>
      </c>
      <c r="V370" s="38">
        <f t="shared" si="1395"/>
        <v>236.55172413793102</v>
      </c>
      <c r="W370" s="4">
        <v>34.299999999999997</v>
      </c>
      <c r="X370" s="4">
        <f t="shared" si="1573"/>
        <v>0.65201390875330911</v>
      </c>
      <c r="Y370" s="38"/>
      <c r="Z370" s="38"/>
      <c r="AA370" s="39">
        <v>1</v>
      </c>
      <c r="AB370" s="39"/>
      <c r="AC370" s="39"/>
      <c r="AD370" s="7"/>
      <c r="AE370" s="4">
        <f t="shared" si="1576"/>
        <v>158.75</v>
      </c>
      <c r="AF370" s="4">
        <f t="shared" si="1577"/>
        <v>1.0933333333333333</v>
      </c>
      <c r="AG370" s="4">
        <f t="shared" si="1578"/>
        <v>76.801818794045587</v>
      </c>
      <c r="AH370" s="4">
        <f t="shared" si="1579"/>
        <v>0.8024</v>
      </c>
      <c r="AI370" s="4">
        <v>1.25</v>
      </c>
      <c r="AJ370" s="4">
        <f t="shared" si="1513"/>
        <v>2.5</v>
      </c>
      <c r="AK370" s="38">
        <f t="shared" si="1340"/>
        <v>210.55474628450247</v>
      </c>
      <c r="AL370" s="38">
        <f t="shared" si="1616"/>
        <v>210.55474628450247</v>
      </c>
      <c r="AM370" s="38">
        <f t="shared" si="1580"/>
        <v>3.152781589644936</v>
      </c>
      <c r="AN370" s="38">
        <f t="shared" si="1521"/>
        <v>210.55474628450261</v>
      </c>
      <c r="AO370" s="38">
        <f t="shared" si="1484"/>
        <v>0.99999999999999933</v>
      </c>
      <c r="AP370" s="38">
        <f t="shared" si="1522"/>
        <v>2.096842513650361</v>
      </c>
      <c r="AQ370" s="4">
        <f t="shared" si="1523"/>
        <v>0</v>
      </c>
      <c r="AR370" s="4" t="e">
        <f>#REF!/G370*F370^0.5/0.19</f>
        <v>#REF!</v>
      </c>
      <c r="AS370" s="4">
        <f t="shared" si="1581"/>
        <v>1</v>
      </c>
      <c r="AT370" s="38">
        <f t="shared" si="1582"/>
        <v>441.50014346021044</v>
      </c>
      <c r="AU370" s="4">
        <f t="shared" si="1583"/>
        <v>0.42600000000000005</v>
      </c>
      <c r="AV370" s="4" t="e">
        <f>AU370*D370*#REF!/(D370*G370/2.75/F370^0.5)</f>
        <v>#REF!</v>
      </c>
      <c r="AW370" s="4" t="e">
        <f t="shared" si="1431"/>
        <v>#REF!</v>
      </c>
      <c r="AY370" s="4">
        <f t="shared" si="1584"/>
        <v>1.425</v>
      </c>
      <c r="AZ370" s="4" t="e">
        <f>(3*#REF!+30)*AY370*F370^0.5</f>
        <v>#REF!</v>
      </c>
      <c r="BB370" s="4">
        <f t="shared" si="1585"/>
        <v>423.45262952765438</v>
      </c>
      <c r="BC370" s="4">
        <f t="shared" si="1662"/>
        <v>0</v>
      </c>
      <c r="BD370" s="4">
        <f t="shared" si="1432"/>
        <v>0</v>
      </c>
      <c r="BL370" s="4">
        <f t="shared" si="1586"/>
        <v>68.58</v>
      </c>
      <c r="BP370" s="9"/>
      <c r="BR370" s="9"/>
      <c r="BS370" s="9"/>
      <c r="BT370" s="9">
        <f t="shared" si="1587"/>
        <v>68.58</v>
      </c>
      <c r="BU370" s="9">
        <f t="shared" si="1588"/>
        <v>76.83499999999998</v>
      </c>
      <c r="BV370" s="9">
        <f t="shared" si="1589"/>
        <v>1.671422038708936</v>
      </c>
      <c r="BW370" s="40">
        <f t="shared" si="1343"/>
        <v>0</v>
      </c>
      <c r="BX370" s="9">
        <f t="shared" si="1590"/>
        <v>0</v>
      </c>
      <c r="BY370" s="9">
        <f t="shared" si="1433"/>
        <v>0</v>
      </c>
      <c r="BZ370" s="9">
        <f t="shared" si="1591"/>
        <v>0.99524931562137331</v>
      </c>
      <c r="CA370" s="9">
        <f t="shared" si="1592"/>
        <v>0.68</v>
      </c>
      <c r="CB370" s="9">
        <f t="shared" si="1593"/>
        <v>1.3825737851765767</v>
      </c>
      <c r="CC370" s="9">
        <f t="shared" si="1594"/>
        <v>2.3108642946853646</v>
      </c>
      <c r="CD370" s="40">
        <v>1</v>
      </c>
      <c r="CE370" s="9" t="e">
        <f>4*CC370*#REF!+60*CC370</f>
        <v>#REF!</v>
      </c>
      <c r="CG370" s="4" t="e">
        <f t="shared" si="1434"/>
        <v>#REF!</v>
      </c>
      <c r="CH370" s="4" t="e">
        <f t="shared" si="1435"/>
        <v>#REF!</v>
      </c>
      <c r="CI370" s="4" t="e">
        <f t="shared" si="1436"/>
        <v>#REF!</v>
      </c>
      <c r="CJ370" s="4" t="e">
        <f t="shared" si="1437"/>
        <v>#REF!</v>
      </c>
      <c r="CK370" s="4">
        <f t="shared" si="1438"/>
        <v>0.65201390875330911</v>
      </c>
      <c r="CL370" s="4">
        <f t="shared" si="1439"/>
        <v>0.67868729013532503</v>
      </c>
      <c r="CM370" s="4">
        <f t="shared" si="1310"/>
        <v>0.90990733440606342</v>
      </c>
      <c r="CN370" s="4">
        <f t="shared" si="1344"/>
        <v>0</v>
      </c>
      <c r="CO370" s="4" t="e">
        <f t="shared" ref="CO370" si="1669">CG370</f>
        <v>#REF!</v>
      </c>
      <c r="CP370" s="4" t="e">
        <f t="shared" ref="CP370" si="1670">CH370</f>
        <v>#REF!</v>
      </c>
      <c r="CQ370" s="4" t="e">
        <f t="shared" ref="CQ370" si="1671">CJ370</f>
        <v>#REF!</v>
      </c>
      <c r="CR370" s="4">
        <f t="shared" si="1536"/>
        <v>0.90990733440606342</v>
      </c>
      <c r="CS370" s="4">
        <f t="shared" ref="CS370" si="1672">CK370</f>
        <v>0.65201390875330911</v>
      </c>
      <c r="CT370" s="4">
        <f t="shared" ref="CT370" si="1673">CL370</f>
        <v>0.67868729013532503</v>
      </c>
      <c r="DC370" s="4" t="e">
        <f>#REF!</f>
        <v>#REF!</v>
      </c>
      <c r="DF370" s="4">
        <f t="shared" si="1601"/>
        <v>1.1483872651980423E-5</v>
      </c>
      <c r="DG370" s="4">
        <f t="shared" si="1446"/>
        <v>7.5525190994983378</v>
      </c>
      <c r="DH370" s="4">
        <f t="shared" si="1602"/>
        <v>0.33644022409599456</v>
      </c>
      <c r="DI370" s="4">
        <f t="shared" si="1447"/>
        <v>4.8848923521754735</v>
      </c>
      <c r="DJ370" s="4">
        <f t="shared" si="1448"/>
        <v>6.3607627445011392</v>
      </c>
      <c r="DK370" s="4">
        <f t="shared" si="1603"/>
        <v>7.4103270565220862</v>
      </c>
      <c r="DL370" s="38">
        <f t="shared" si="1604"/>
        <v>362.80165340373264</v>
      </c>
      <c r="DM370" s="4" t="e">
        <f t="shared" si="1449"/>
        <v>#REF!</v>
      </c>
      <c r="DN370" s="4">
        <f t="shared" si="1605"/>
        <v>2.2583179581272428</v>
      </c>
      <c r="DO370" s="4">
        <f t="shared" si="1309"/>
        <v>210.55474628450261</v>
      </c>
      <c r="DS370" s="4">
        <f t="shared" si="1606"/>
        <v>0.85</v>
      </c>
      <c r="DT370" s="4">
        <f t="shared" si="1607"/>
        <v>0.83</v>
      </c>
      <c r="DU370" s="4">
        <f t="shared" si="1608"/>
        <v>1</v>
      </c>
      <c r="DV370" s="4">
        <f t="shared" si="1450"/>
        <v>0.83</v>
      </c>
      <c r="DX370" s="4">
        <f t="shared" si="1609"/>
        <v>348.54302942783033</v>
      </c>
      <c r="DY370" s="25">
        <f t="shared" si="1502"/>
        <v>206.93329631223651</v>
      </c>
      <c r="EA370" s="4">
        <f t="shared" si="1503"/>
        <v>0.7054999999999999</v>
      </c>
      <c r="EB370" s="4">
        <f t="shared" si="1610"/>
        <v>7.5525190994983378</v>
      </c>
      <c r="EE370" s="4">
        <f t="shared" si="1611"/>
        <v>57.361276136431961</v>
      </c>
      <c r="EF370" s="4">
        <f t="shared" si="1451"/>
        <v>2.2583179581272428</v>
      </c>
      <c r="EG370" s="4">
        <f t="shared" si="1612"/>
        <v>0.10737981522682664</v>
      </c>
      <c r="EJ370" s="4">
        <f t="shared" si="1452"/>
        <v>0.10737981522682664</v>
      </c>
      <c r="EK370" s="4">
        <f t="shared" si="1613"/>
        <v>0.33587876806591221</v>
      </c>
      <c r="EL370" s="4">
        <f t="shared" si="1453"/>
        <v>4.8816299282594589</v>
      </c>
      <c r="EM370" s="4">
        <f t="shared" si="1454"/>
        <v>6.3595136472093712</v>
      </c>
      <c r="EN370" s="4" t="e">
        <f t="shared" si="1455"/>
        <v>#REF!</v>
      </c>
      <c r="EO370" s="4" t="e">
        <f t="shared" si="1456"/>
        <v>#REF!</v>
      </c>
      <c r="EP370" s="4" t="e">
        <f t="shared" si="1614"/>
        <v>#REF!</v>
      </c>
      <c r="EQ370" s="4" t="e">
        <f t="shared" si="1457"/>
        <v>#REF!</v>
      </c>
      <c r="ER370" s="4" t="e">
        <f t="shared" si="1615"/>
        <v>#REF!</v>
      </c>
      <c r="FA370" s="23" t="e">
        <f t="shared" si="1383"/>
        <v>#REF!</v>
      </c>
      <c r="FB370" s="23" t="e">
        <f t="shared" si="1384"/>
        <v>#REF!</v>
      </c>
      <c r="FC370" s="23">
        <f t="shared" si="1317"/>
        <v>1</v>
      </c>
      <c r="FD370" s="23" t="e">
        <f t="shared" si="1385"/>
        <v>#REF!</v>
      </c>
      <c r="FE370" s="23">
        <f t="shared" si="1386"/>
        <v>0.8</v>
      </c>
      <c r="FF370" s="23">
        <f t="shared" si="1387"/>
        <v>0.8</v>
      </c>
      <c r="FG370" s="23">
        <f t="shared" si="1629"/>
        <v>1</v>
      </c>
      <c r="FH370" s="23"/>
      <c r="FR370" s="4">
        <f t="shared" si="1485"/>
        <v>1</v>
      </c>
      <c r="FS370" s="4">
        <f t="shared" si="1486"/>
        <v>0.57916666666666672</v>
      </c>
      <c r="FT370" s="4">
        <f t="shared" si="1487"/>
        <v>0</v>
      </c>
      <c r="FU370" s="4">
        <f t="shared" si="1488"/>
        <v>259.97342277973695</v>
      </c>
    </row>
    <row r="371" spans="2:177" ht="12" customHeight="1" x14ac:dyDescent="0.3">
      <c r="B371" s="24"/>
      <c r="C371" s="7" t="s">
        <v>513</v>
      </c>
      <c r="D371" s="38">
        <f t="shared" si="1635"/>
        <v>889.65517241379314</v>
      </c>
      <c r="E371" s="38">
        <f>6.1*25.4</f>
        <v>154.93999999999997</v>
      </c>
      <c r="F371" s="38">
        <f t="shared" ref="F371:F373" si="1674">4940/145</f>
        <v>34.068965517241381</v>
      </c>
      <c r="G371" s="38">
        <f t="shared" si="1341"/>
        <v>25.4</v>
      </c>
      <c r="H371" s="38">
        <f>20.5*25.4</f>
        <v>520.69999999999993</v>
      </c>
      <c r="I371" s="38">
        <f>2.7*25.4</f>
        <v>68.58</v>
      </c>
      <c r="J371" s="39">
        <f>7*25.4</f>
        <v>177.79999999999998</v>
      </c>
      <c r="K371" s="7">
        <f t="shared" si="1339"/>
        <v>153.66999999999996</v>
      </c>
      <c r="L371" s="38">
        <v>3</v>
      </c>
      <c r="M371" s="4">
        <f t="shared" si="1357"/>
        <v>260.34999999999997</v>
      </c>
      <c r="N371" s="7">
        <f t="shared" si="1569"/>
        <v>3.2</v>
      </c>
      <c r="O371" s="7">
        <f t="shared" si="1570"/>
        <v>3.2</v>
      </c>
      <c r="P371" s="38">
        <v>4.0999999999999996</v>
      </c>
      <c r="Q371" s="4">
        <f t="shared" si="1342"/>
        <v>4.0999999999999996</v>
      </c>
      <c r="R371" s="4">
        <f t="shared" si="1571"/>
        <v>5.0999999999999996</v>
      </c>
      <c r="S371" s="7">
        <f t="shared" si="1572"/>
        <v>57.361276136431961</v>
      </c>
      <c r="V371" s="38">
        <f t="shared" si="1395"/>
        <v>368.96551724137936</v>
      </c>
      <c r="W371" s="4">
        <v>53.5</v>
      </c>
      <c r="X371" s="4">
        <f t="shared" si="1573"/>
        <v>0.96063482258325084</v>
      </c>
      <c r="Y371" s="38">
        <f>0.5*25.4</f>
        <v>12.7</v>
      </c>
      <c r="Z371" s="38">
        <v>10</v>
      </c>
      <c r="AA371" s="39">
        <f t="shared" si="1661"/>
        <v>76.199999999999989</v>
      </c>
      <c r="AB371" s="39">
        <v>3</v>
      </c>
      <c r="AC371" s="39">
        <f>AB371-1</f>
        <v>2</v>
      </c>
      <c r="AD371" s="7"/>
      <c r="AE371" s="4">
        <f t="shared" si="1576"/>
        <v>154.93999999999997</v>
      </c>
      <c r="AF371" s="4">
        <f t="shared" si="1577"/>
        <v>1.1202185792349728</v>
      </c>
      <c r="AG371" s="4">
        <f t="shared" si="1578"/>
        <v>74.053609471570255</v>
      </c>
      <c r="AH371" s="4">
        <f t="shared" si="1579"/>
        <v>0.80491803278688523</v>
      </c>
      <c r="AI371" s="4">
        <v>1.25</v>
      </c>
      <c r="AJ371" s="4">
        <f t="shared" si="1513"/>
        <v>2.5</v>
      </c>
      <c r="AK371" s="38">
        <f t="shared" si="1340"/>
        <v>208.66551502062913</v>
      </c>
      <c r="AL371" s="38">
        <f t="shared" si="1616"/>
        <v>208.66551502062913</v>
      </c>
      <c r="AM371" s="38">
        <f t="shared" si="1580"/>
        <v>3.152781589644936</v>
      </c>
      <c r="AN371" s="38">
        <f t="shared" si="1521"/>
        <v>208.6655150206293</v>
      </c>
      <c r="AO371" s="38">
        <f t="shared" si="1484"/>
        <v>0.99999999999999922</v>
      </c>
      <c r="AP371" s="38">
        <f t="shared" si="1522"/>
        <v>2.1158270613932659</v>
      </c>
      <c r="AQ371" s="4">
        <f t="shared" si="1523"/>
        <v>0</v>
      </c>
      <c r="AR371" s="4" t="e">
        <f>#REF!/G371*F371^0.5/0.19</f>
        <v>#REF!</v>
      </c>
      <c r="AS371" s="4">
        <f t="shared" si="1581"/>
        <v>1</v>
      </c>
      <c r="AT371" s="38">
        <f t="shared" si="1582"/>
        <v>441.50014346021044</v>
      </c>
      <c r="AU371" s="4">
        <f t="shared" si="1583"/>
        <v>0.42600000000000005</v>
      </c>
      <c r="AV371" s="4" t="e">
        <f>AU371*D371*#REF!/(D371*G371/2.75/F371^0.5)</f>
        <v>#REF!</v>
      </c>
      <c r="AW371" s="4" t="e">
        <f t="shared" si="1431"/>
        <v>#REF!</v>
      </c>
      <c r="AY371" s="4">
        <f t="shared" si="1584"/>
        <v>1.5</v>
      </c>
      <c r="AZ371" s="4" t="e">
        <f>(3*#REF!+30)*AY371*F371^0.5</f>
        <v>#REF!</v>
      </c>
      <c r="BB371" s="4">
        <f t="shared" si="1585"/>
        <v>423.45262952765438</v>
      </c>
      <c r="BC371" s="4">
        <f t="shared" si="1662"/>
        <v>0</v>
      </c>
      <c r="BD371" s="4">
        <f t="shared" si="1432"/>
        <v>0</v>
      </c>
      <c r="BL371" s="4">
        <f t="shared" si="1586"/>
        <v>68.58</v>
      </c>
      <c r="BP371" s="9"/>
      <c r="BR371" s="9"/>
      <c r="BS371" s="9"/>
      <c r="BT371" s="9">
        <f t="shared" si="1587"/>
        <v>68.58</v>
      </c>
      <c r="BU371" s="9">
        <f t="shared" si="1588"/>
        <v>76.83499999999998</v>
      </c>
      <c r="BV371" s="9">
        <f t="shared" si="1589"/>
        <v>1.671422038708936</v>
      </c>
      <c r="BW371" s="40">
        <f t="shared" si="1343"/>
        <v>20</v>
      </c>
      <c r="BX371" s="9">
        <f t="shared" si="1590"/>
        <v>0.05</v>
      </c>
      <c r="BY371" s="9">
        <f t="shared" si="1433"/>
        <v>0.8</v>
      </c>
      <c r="BZ371" s="9">
        <f t="shared" si="1591"/>
        <v>0.99524931562137331</v>
      </c>
      <c r="CA371" s="9">
        <f t="shared" si="1592"/>
        <v>0.68</v>
      </c>
      <c r="CB371" s="9">
        <f t="shared" si="1593"/>
        <v>1.3825737851765767</v>
      </c>
      <c r="CC371" s="9">
        <f t="shared" si="1594"/>
        <v>3.4169233228266256</v>
      </c>
      <c r="CD371" s="40">
        <v>1</v>
      </c>
      <c r="CE371" s="9" t="e">
        <f>4*CC371*#REF!+60*CC371</f>
        <v>#REF!</v>
      </c>
      <c r="CG371" s="4" t="e">
        <f t="shared" si="1434"/>
        <v>#REF!</v>
      </c>
      <c r="CH371" s="4" t="e">
        <f t="shared" si="1435"/>
        <v>#REF!</v>
      </c>
      <c r="CI371" s="4" t="e">
        <f t="shared" si="1436"/>
        <v>#REF!</v>
      </c>
      <c r="CJ371" s="4" t="e">
        <f t="shared" si="1437"/>
        <v>#REF!</v>
      </c>
      <c r="CK371" s="4">
        <f t="shared" si="1438"/>
        <v>0.96063482258325084</v>
      </c>
      <c r="CL371" s="4">
        <f t="shared" si="1439"/>
        <v>1.0002692328949259</v>
      </c>
      <c r="CM371" s="4">
        <f t="shared" si="1310"/>
        <v>1.2211878714437694</v>
      </c>
      <c r="CN371" s="4">
        <f t="shared" si="1344"/>
        <v>10</v>
      </c>
      <c r="CU371" s="4" t="e">
        <f t="shared" ref="CU371" si="1675">CG371</f>
        <v>#REF!</v>
      </c>
      <c r="CV371" s="4" t="e">
        <f t="shared" ref="CV371" si="1676">CH371</f>
        <v>#REF!</v>
      </c>
      <c r="CW371" s="4" t="e">
        <f t="shared" ref="CW371" si="1677">CJ371</f>
        <v>#REF!</v>
      </c>
      <c r="CX371" s="4">
        <f t="shared" ref="CX371" si="1678">CM371</f>
        <v>1.2211878714437694</v>
      </c>
      <c r="CY371" s="4">
        <f t="shared" ref="CY371" si="1679">CK371</f>
        <v>0.96063482258325084</v>
      </c>
      <c r="CZ371" s="4">
        <f t="shared" ref="CZ371" si="1680">CL371</f>
        <v>1.0002692328949259</v>
      </c>
      <c r="DC371" s="4" t="e">
        <f>#REF!</f>
        <v>#REF!</v>
      </c>
      <c r="DF371" s="4">
        <f t="shared" si="1601"/>
        <v>1.120825970833289E-5</v>
      </c>
      <c r="DG371" s="4">
        <f t="shared" si="1446"/>
        <v>8.9551297894051718</v>
      </c>
      <c r="DH371" s="4">
        <f t="shared" si="1602"/>
        <v>0.33342146816195423</v>
      </c>
      <c r="DI371" s="4">
        <f t="shared" si="1447"/>
        <v>5.7712423036322535</v>
      </c>
      <c r="DJ371" s="4">
        <f t="shared" si="1448"/>
        <v>7.5340749938373071</v>
      </c>
      <c r="DK371" s="4">
        <f t="shared" si="1603"/>
        <v>8.7655991202131087</v>
      </c>
      <c r="DL371" s="38">
        <f t="shared" si="1604"/>
        <v>384.08509515529659</v>
      </c>
      <c r="DM371" s="4" t="e">
        <f t="shared" si="1449"/>
        <v>#REF!</v>
      </c>
      <c r="DN371" s="4">
        <f t="shared" si="1605"/>
        <v>2.2583179581272428</v>
      </c>
      <c r="DO371" s="4">
        <f t="shared" si="1309"/>
        <v>208.6655150206293</v>
      </c>
      <c r="DS371" s="4">
        <f t="shared" si="1606"/>
        <v>0.85</v>
      </c>
      <c r="DT371" s="4">
        <f t="shared" si="1607"/>
        <v>0.83</v>
      </c>
      <c r="DU371" s="4">
        <f t="shared" si="1608"/>
        <v>0.77500000000000002</v>
      </c>
      <c r="DV371" s="4">
        <f t="shared" si="1450"/>
        <v>0.7</v>
      </c>
      <c r="DX371" s="4">
        <f t="shared" si="1609"/>
        <v>368.86620632481021</v>
      </c>
      <c r="DY371" s="25">
        <f t="shared" si="1502"/>
        <v>204.9873311786956</v>
      </c>
      <c r="EA371" s="4">
        <f t="shared" si="1503"/>
        <v>0.59499999999999997</v>
      </c>
      <c r="EB371" s="4">
        <f t="shared" si="1610"/>
        <v>8.9551297894051718</v>
      </c>
      <c r="EE371" s="4">
        <f t="shared" si="1611"/>
        <v>57.361276136431961</v>
      </c>
      <c r="EF371" s="4">
        <f t="shared" si="1451"/>
        <v>2.2583179581272428</v>
      </c>
      <c r="EG371" s="4">
        <f t="shared" si="1612"/>
        <v>0.10641633514568259</v>
      </c>
      <c r="EJ371" s="4">
        <f t="shared" si="1452"/>
        <v>0.10641633514568259</v>
      </c>
      <c r="EK371" s="4">
        <f t="shared" si="1613"/>
        <v>0.33286504987290622</v>
      </c>
      <c r="EL371" s="4">
        <f t="shared" si="1453"/>
        <v>5.7673879220903359</v>
      </c>
      <c r="EM371" s="4">
        <f t="shared" si="1454"/>
        <v>7.5326031109832208</v>
      </c>
      <c r="EN371" s="4" t="e">
        <f t="shared" si="1455"/>
        <v>#REF!</v>
      </c>
      <c r="EO371" s="4" t="e">
        <f t="shared" si="1456"/>
        <v>#REF!</v>
      </c>
      <c r="EP371" s="4" t="e">
        <f t="shared" si="1614"/>
        <v>#REF!</v>
      </c>
      <c r="EQ371" s="4" t="e">
        <f t="shared" si="1457"/>
        <v>#REF!</v>
      </c>
      <c r="ER371" s="4" t="e">
        <f t="shared" si="1615"/>
        <v>#REF!</v>
      </c>
      <c r="FA371" s="23" t="e">
        <f t="shared" si="1383"/>
        <v>#REF!</v>
      </c>
      <c r="FB371" s="23" t="e">
        <f t="shared" si="1384"/>
        <v>#REF!</v>
      </c>
      <c r="FC371" s="23">
        <f t="shared" si="1317"/>
        <v>1.4</v>
      </c>
      <c r="FD371" s="23" t="e">
        <f t="shared" si="1385"/>
        <v>#REF!</v>
      </c>
      <c r="FE371" s="23">
        <f t="shared" si="1386"/>
        <v>1</v>
      </c>
      <c r="FF371" s="23">
        <f t="shared" si="1387"/>
        <v>1.2</v>
      </c>
      <c r="FG371" s="23">
        <f t="shared" si="1629"/>
        <v>0</v>
      </c>
      <c r="FH371" s="23"/>
      <c r="FR371" s="4">
        <f t="shared" si="1485"/>
        <v>1</v>
      </c>
      <c r="FS371" s="4">
        <f t="shared" si="1486"/>
        <v>0.48638372093023263</v>
      </c>
      <c r="FT371" s="4">
        <f t="shared" si="1487"/>
        <v>0.3</v>
      </c>
      <c r="FU371" s="4">
        <f t="shared" si="1488"/>
        <v>302.13657199621861</v>
      </c>
    </row>
    <row r="372" spans="2:177" ht="12" customHeight="1" x14ac:dyDescent="0.3">
      <c r="B372" s="24"/>
      <c r="C372" s="7" t="s">
        <v>514</v>
      </c>
      <c r="D372" s="38">
        <f t="shared" si="1635"/>
        <v>889.65517241379314</v>
      </c>
      <c r="E372" s="38">
        <f>6.13*25.4</f>
        <v>155.702</v>
      </c>
      <c r="F372" s="38">
        <f t="shared" si="1674"/>
        <v>34.068965517241381</v>
      </c>
      <c r="G372" s="38">
        <f t="shared" si="1341"/>
        <v>25.4</v>
      </c>
      <c r="H372" s="38">
        <f>17.3*25.4</f>
        <v>439.42</v>
      </c>
      <c r="I372" s="38">
        <f>2.8*25.4</f>
        <v>71.11999999999999</v>
      </c>
      <c r="J372" s="39">
        <f>7*25.4</f>
        <v>177.79999999999998</v>
      </c>
      <c r="K372" s="7">
        <f t="shared" si="1339"/>
        <v>246.38000000000002</v>
      </c>
      <c r="L372" s="38">
        <v>2</v>
      </c>
      <c r="M372" s="4">
        <f t="shared" si="1357"/>
        <v>260.34999999999997</v>
      </c>
      <c r="N372" s="7">
        <f t="shared" si="1569"/>
        <v>3.3</v>
      </c>
      <c r="O372" s="7">
        <f t="shared" si="1570"/>
        <v>3.3</v>
      </c>
      <c r="P372" s="38">
        <v>9.1</v>
      </c>
      <c r="Q372" s="4">
        <f t="shared" si="1342"/>
        <v>9.1</v>
      </c>
      <c r="R372" s="4">
        <f t="shared" si="1571"/>
        <v>10.1</v>
      </c>
      <c r="S372" s="7">
        <f t="shared" si="1572"/>
        <v>80.72246279691916</v>
      </c>
      <c r="V372" s="38">
        <f t="shared" si="1395"/>
        <v>291.72413793103448</v>
      </c>
      <c r="W372" s="4">
        <v>42.3</v>
      </c>
      <c r="X372" s="4">
        <f t="shared" si="1573"/>
        <v>0.72042570438964904</v>
      </c>
      <c r="Y372" s="38"/>
      <c r="Z372" s="38"/>
      <c r="AA372" s="39">
        <v>1</v>
      </c>
      <c r="AB372" s="39"/>
      <c r="AC372" s="39"/>
      <c r="AD372" s="7"/>
      <c r="AE372" s="4">
        <f t="shared" si="1576"/>
        <v>155.702</v>
      </c>
      <c r="AF372" s="4">
        <f t="shared" si="1577"/>
        <v>0.94072865687873841</v>
      </c>
      <c r="AG372" s="4">
        <f t="shared" si="1578"/>
        <v>111.90086657680006</v>
      </c>
      <c r="AH372" s="4">
        <f t="shared" si="1579"/>
        <v>0.80766721044045675</v>
      </c>
      <c r="AI372" s="4">
        <v>1.25</v>
      </c>
      <c r="AJ372" s="4">
        <f t="shared" si="1513"/>
        <v>2.5</v>
      </c>
      <c r="AK372" s="38">
        <f t="shared" si="1340"/>
        <v>265.69311294239424</v>
      </c>
      <c r="AL372" s="38">
        <f t="shared" si="1616"/>
        <v>265.69311294239424</v>
      </c>
      <c r="AM372" s="38">
        <f t="shared" si="1580"/>
        <v>3.152781589644936</v>
      </c>
      <c r="AN372" s="38">
        <f t="shared" si="1521"/>
        <v>265.69311294239441</v>
      </c>
      <c r="AO372" s="38">
        <f t="shared" si="1484"/>
        <v>0.99999999999999933</v>
      </c>
      <c r="AP372" s="38">
        <f t="shared" si="1522"/>
        <v>2.5529557142425969</v>
      </c>
      <c r="AQ372" s="4">
        <f t="shared" si="1523"/>
        <v>0</v>
      </c>
      <c r="AR372" s="4" t="e">
        <f>#REF!/G372*F372^0.5/0.19</f>
        <v>#REF!</v>
      </c>
      <c r="AS372" s="4">
        <f t="shared" si="1581"/>
        <v>1</v>
      </c>
      <c r="AT372" s="38">
        <f t="shared" si="1582"/>
        <v>678.3027509211895</v>
      </c>
      <c r="AU372" s="4">
        <f t="shared" si="1583"/>
        <v>0.3</v>
      </c>
      <c r="AV372" s="4" t="e">
        <f>AU372*D372*#REF!/(D372*G372/2.75/F372^0.5)</f>
        <v>#REF!</v>
      </c>
      <c r="AW372" s="4" t="e">
        <f t="shared" si="1431"/>
        <v>#REF!</v>
      </c>
      <c r="AY372" s="4">
        <f t="shared" si="1584"/>
        <v>1.45</v>
      </c>
      <c r="AZ372" s="4" t="e">
        <f>(3*#REF!+30)*AY372*F372^0.5</f>
        <v>#REF!</v>
      </c>
      <c r="BB372" s="4">
        <f t="shared" si="1585"/>
        <v>650.57528915458977</v>
      </c>
      <c r="BC372" s="4">
        <f t="shared" si="1662"/>
        <v>0</v>
      </c>
      <c r="BD372" s="4">
        <f t="shared" si="1432"/>
        <v>0</v>
      </c>
      <c r="BL372" s="4">
        <f t="shared" si="1586"/>
        <v>71.11999999999999</v>
      </c>
      <c r="BP372" s="9"/>
      <c r="BR372" s="9"/>
      <c r="BS372" s="9"/>
      <c r="BT372" s="9">
        <f t="shared" si="1587"/>
        <v>71.11999999999999</v>
      </c>
      <c r="BU372" s="9">
        <f t="shared" si="1588"/>
        <v>123.19000000000001</v>
      </c>
      <c r="BV372" s="9">
        <f t="shared" si="1589"/>
        <v>1.8170487186781425</v>
      </c>
      <c r="BW372" s="40">
        <f t="shared" si="1343"/>
        <v>0</v>
      </c>
      <c r="BX372" s="9">
        <f t="shared" si="1590"/>
        <v>0</v>
      </c>
      <c r="BY372" s="9">
        <f t="shared" si="1433"/>
        <v>0</v>
      </c>
      <c r="BZ372" s="9">
        <f t="shared" si="1591"/>
        <v>0.99524931562137331</v>
      </c>
      <c r="CA372" s="9">
        <f t="shared" si="1592"/>
        <v>0.68</v>
      </c>
      <c r="CB372" s="9">
        <f t="shared" si="1593"/>
        <v>1.3825737851765767</v>
      </c>
      <c r="CC372" s="9">
        <f t="shared" si="1594"/>
        <v>2.5122039248330883</v>
      </c>
      <c r="CD372" s="40">
        <v>1</v>
      </c>
      <c r="CE372" s="9" t="e">
        <f>4*CC372*#REF!+60*CC372</f>
        <v>#REF!</v>
      </c>
      <c r="CG372" s="4" t="e">
        <f t="shared" si="1434"/>
        <v>#REF!</v>
      </c>
      <c r="CH372" s="4" t="e">
        <f t="shared" si="1435"/>
        <v>#REF!</v>
      </c>
      <c r="CI372" s="4" t="e">
        <f t="shared" si="1436"/>
        <v>#REF!</v>
      </c>
      <c r="CJ372" s="4" t="e">
        <f t="shared" si="1437"/>
        <v>#REF!</v>
      </c>
      <c r="CK372" s="4">
        <f t="shared" si="1438"/>
        <v>0.72042570438964904</v>
      </c>
      <c r="CL372" s="4">
        <f t="shared" si="1439"/>
        <v>0.72633374341804824</v>
      </c>
      <c r="CM372" s="4">
        <f t="shared" si="1310"/>
        <v>0.98770988832965423</v>
      </c>
      <c r="CN372" s="4">
        <f t="shared" si="1344"/>
        <v>0</v>
      </c>
      <c r="CO372" s="4" t="e">
        <f t="shared" ref="CO372" si="1681">CG372</f>
        <v>#REF!</v>
      </c>
      <c r="CP372" s="4" t="e">
        <f t="shared" ref="CP372" si="1682">CH372</f>
        <v>#REF!</v>
      </c>
      <c r="CQ372" s="4" t="e">
        <f t="shared" ref="CQ372" si="1683">CJ372</f>
        <v>#REF!</v>
      </c>
      <c r="CR372" s="4">
        <f t="shared" si="1536"/>
        <v>0.98770988832965423</v>
      </c>
      <c r="CS372" s="4">
        <f t="shared" ref="CS372" si="1684">CK372</f>
        <v>0.72042570438964904</v>
      </c>
      <c r="CT372" s="4">
        <f t="shared" ref="CT372" si="1685">CL372</f>
        <v>0.72633374341804824</v>
      </c>
      <c r="DC372" s="4" t="e">
        <f>#REF!</f>
        <v>#REF!</v>
      </c>
      <c r="DF372" s="4">
        <f t="shared" si="1601"/>
        <v>1.12633822970624E-5</v>
      </c>
      <c r="DG372" s="4">
        <f t="shared" si="1446"/>
        <v>7.644622990955634</v>
      </c>
      <c r="DH372" s="4">
        <f t="shared" si="1602"/>
        <v>0.26917903901498447</v>
      </c>
      <c r="DI372" s="4">
        <f t="shared" si="1447"/>
        <v>4.5224374367393656</v>
      </c>
      <c r="DJ372" s="4">
        <f t="shared" si="1448"/>
        <v>6.2818567560611411</v>
      </c>
      <c r="DK372" s="4">
        <f t="shared" si="1603"/>
        <v>7.517556978819071</v>
      </c>
      <c r="DL372" s="38">
        <f t="shared" si="1604"/>
        <v>404.9329946912232</v>
      </c>
      <c r="DM372" s="4" t="e">
        <f t="shared" si="1449"/>
        <v>#REF!</v>
      </c>
      <c r="DN372" s="4">
        <f t="shared" si="1605"/>
        <v>3.1780497164141401</v>
      </c>
      <c r="DO372" s="4">
        <f t="shared" si="1309"/>
        <v>265.69311294239441</v>
      </c>
      <c r="DS372" s="4">
        <f t="shared" si="1606"/>
        <v>0.85</v>
      </c>
      <c r="DT372" s="4">
        <f t="shared" si="1607"/>
        <v>0.82000000000000006</v>
      </c>
      <c r="DU372" s="4">
        <f t="shared" si="1608"/>
        <v>1</v>
      </c>
      <c r="DV372" s="4">
        <f t="shared" si="1450"/>
        <v>0.82000000000000006</v>
      </c>
      <c r="DX372" s="4">
        <f t="shared" si="1609"/>
        <v>401.63924721191137</v>
      </c>
      <c r="DY372" s="25">
        <f t="shared" si="1502"/>
        <v>261.05463040823724</v>
      </c>
      <c r="EA372" s="4">
        <f t="shared" si="1503"/>
        <v>0.69700000000000006</v>
      </c>
      <c r="EB372" s="4">
        <f t="shared" si="1610"/>
        <v>7.644622990955634</v>
      </c>
      <c r="EE372" s="4">
        <f t="shared" si="1611"/>
        <v>80.72246279691916</v>
      </c>
      <c r="EF372" s="4">
        <f t="shared" si="1451"/>
        <v>3.1780497164141406</v>
      </c>
      <c r="EG372" s="4">
        <f t="shared" si="1612"/>
        <v>8.5912424859509881E-2</v>
      </c>
      <c r="EJ372" s="4">
        <f t="shared" si="1452"/>
        <v>8.5912424859509881E-2</v>
      </c>
      <c r="EK372" s="4">
        <f t="shared" si="1613"/>
        <v>0.26872982936702156</v>
      </c>
      <c r="EL372" s="4">
        <f t="shared" si="1453"/>
        <v>4.5194170819416337</v>
      </c>
      <c r="EM372" s="4">
        <f t="shared" si="1454"/>
        <v>6.2807750403864535</v>
      </c>
      <c r="EN372" s="4" t="e">
        <f t="shared" si="1455"/>
        <v>#REF!</v>
      </c>
      <c r="EO372" s="4" t="e">
        <f t="shared" si="1456"/>
        <v>#REF!</v>
      </c>
      <c r="EP372" s="4" t="e">
        <f t="shared" si="1614"/>
        <v>#REF!</v>
      </c>
      <c r="EQ372" s="4" t="e">
        <f t="shared" si="1457"/>
        <v>#REF!</v>
      </c>
      <c r="ER372" s="4" t="e">
        <f t="shared" si="1615"/>
        <v>#REF!</v>
      </c>
      <c r="FA372" s="23" t="e">
        <f t="shared" si="1383"/>
        <v>#REF!</v>
      </c>
      <c r="FB372" s="23" t="e">
        <f t="shared" si="1384"/>
        <v>#REF!</v>
      </c>
      <c r="FC372" s="23">
        <f t="shared" si="1317"/>
        <v>1</v>
      </c>
      <c r="FD372" s="23" t="e">
        <f t="shared" si="1385"/>
        <v>#REF!</v>
      </c>
      <c r="FE372" s="23">
        <f t="shared" si="1386"/>
        <v>0.8</v>
      </c>
      <c r="FF372" s="23">
        <f t="shared" si="1387"/>
        <v>0.8</v>
      </c>
      <c r="FG372" s="23">
        <f t="shared" si="1629"/>
        <v>1</v>
      </c>
      <c r="FH372" s="23"/>
      <c r="FR372" s="4">
        <f t="shared" si="1485"/>
        <v>1</v>
      </c>
      <c r="FS372" s="4">
        <f t="shared" si="1486"/>
        <v>0.5</v>
      </c>
      <c r="FT372" s="4">
        <f t="shared" si="1487"/>
        <v>0</v>
      </c>
      <c r="FU372" s="4">
        <f t="shared" si="1488"/>
        <v>295.3540724639073</v>
      </c>
    </row>
    <row r="373" spans="2:177" ht="12" customHeight="1" x14ac:dyDescent="0.3">
      <c r="B373" s="24"/>
      <c r="C373" s="7" t="s">
        <v>515</v>
      </c>
      <c r="D373" s="38">
        <f t="shared" si="1635"/>
        <v>889.65517241379314</v>
      </c>
      <c r="E373" s="38">
        <f>6.16*25.4</f>
        <v>156.464</v>
      </c>
      <c r="F373" s="38">
        <f t="shared" si="1674"/>
        <v>34.068965517241381</v>
      </c>
      <c r="G373" s="38">
        <f t="shared" si="1341"/>
        <v>25.4</v>
      </c>
      <c r="H373" s="38">
        <f>17*25.4</f>
        <v>431.79999999999995</v>
      </c>
      <c r="I373" s="38">
        <f>2.5*25.4</f>
        <v>63.5</v>
      </c>
      <c r="J373" s="39">
        <f>6.95*25.4</f>
        <v>176.53</v>
      </c>
      <c r="K373" s="7">
        <f t="shared" si="1339"/>
        <v>253.99999999999994</v>
      </c>
      <c r="L373" s="38">
        <v>2</v>
      </c>
      <c r="M373" s="4">
        <f t="shared" si="1357"/>
        <v>260.34999999999997</v>
      </c>
      <c r="N373" s="7">
        <f t="shared" si="1569"/>
        <v>3</v>
      </c>
      <c r="O373" s="7">
        <f t="shared" si="1570"/>
        <v>3</v>
      </c>
      <c r="P373" s="38">
        <v>9.1</v>
      </c>
      <c r="Q373" s="4">
        <f t="shared" si="1342"/>
        <v>9.1</v>
      </c>
      <c r="R373" s="4">
        <f t="shared" si="1571"/>
        <v>10.1</v>
      </c>
      <c r="S373" s="7">
        <f t="shared" si="1572"/>
        <v>80.72246279691916</v>
      </c>
      <c r="V373" s="38">
        <f t="shared" si="1395"/>
        <v>469.65517241379308</v>
      </c>
      <c r="W373" s="4">
        <v>68.099999999999994</v>
      </c>
      <c r="X373" s="4">
        <f t="shared" si="1573"/>
        <v>1.1550340401026544</v>
      </c>
      <c r="Y373" s="38">
        <f>0.375*25.4</f>
        <v>9.5249999999999986</v>
      </c>
      <c r="Z373" s="38">
        <v>10</v>
      </c>
      <c r="AA373" s="39">
        <f t="shared" si="1661"/>
        <v>76.199999999999989</v>
      </c>
      <c r="AB373" s="39">
        <v>3</v>
      </c>
      <c r="AC373" s="39">
        <f>AB373-1</f>
        <v>2</v>
      </c>
      <c r="AD373" s="7"/>
      <c r="AE373" s="4">
        <f t="shared" si="1576"/>
        <v>156.464</v>
      </c>
      <c r="AF373" s="4">
        <f t="shared" si="1577"/>
        <v>0.91991341991341979</v>
      </c>
      <c r="AG373" s="4">
        <f t="shared" si="1578"/>
        <v>112.7233290428203</v>
      </c>
      <c r="AH373" s="4">
        <f t="shared" si="1579"/>
        <v>0.79740259740259734</v>
      </c>
      <c r="AI373" s="4">
        <v>1.25</v>
      </c>
      <c r="AJ373" s="4">
        <f t="shared" si="1513"/>
        <v>2.5</v>
      </c>
      <c r="AK373" s="38">
        <f t="shared" si="1340"/>
        <v>258.39757190753738</v>
      </c>
      <c r="AL373" s="38">
        <f t="shared" si="1616"/>
        <v>258.39757190753738</v>
      </c>
      <c r="AM373" s="38">
        <f t="shared" si="1580"/>
        <v>3.152781589644936</v>
      </c>
      <c r="AN373" s="38">
        <f t="shared" si="1521"/>
        <v>258.39757190753727</v>
      </c>
      <c r="AO373" s="38">
        <f t="shared" si="1484"/>
        <v>1.0000000000000004</v>
      </c>
      <c r="AP373" s="38">
        <f t="shared" si="1522"/>
        <v>2.3863957386351191</v>
      </c>
      <c r="AQ373" s="4">
        <f t="shared" si="1523"/>
        <v>0</v>
      </c>
      <c r="AR373" s="4" t="e">
        <f>#REF!/G373*F373^0.5/0.19</f>
        <v>#REF!</v>
      </c>
      <c r="AS373" s="4">
        <f t="shared" si="1581"/>
        <v>1</v>
      </c>
      <c r="AT373" s="38">
        <f t="shared" si="1582"/>
        <v>616.63886447380867</v>
      </c>
      <c r="AU373" s="4">
        <f t="shared" si="1583"/>
        <v>0.3</v>
      </c>
      <c r="AV373" s="4" t="e">
        <f>AU373*D373*#REF!/(D373*G373/2.75/F373^0.5)</f>
        <v>#REF!</v>
      </c>
      <c r="AW373" s="4" t="e">
        <f t="shared" si="1431"/>
        <v>#REF!</v>
      </c>
      <c r="AY373" s="4">
        <f t="shared" si="1584"/>
        <v>1.5</v>
      </c>
      <c r="AZ373" s="4" t="e">
        <f>(3*#REF!+30)*AY373*F373^0.5</f>
        <v>#REF!</v>
      </c>
      <c r="BB373" s="4">
        <f t="shared" si="1585"/>
        <v>591.43208104962719</v>
      </c>
      <c r="BC373" s="4">
        <f t="shared" si="1662"/>
        <v>0</v>
      </c>
      <c r="BD373" s="4">
        <f t="shared" si="1432"/>
        <v>0</v>
      </c>
      <c r="BL373" s="4">
        <f t="shared" si="1586"/>
        <v>63.5</v>
      </c>
      <c r="BP373" s="9"/>
      <c r="BR373" s="9"/>
      <c r="BS373" s="9"/>
      <c r="BT373" s="9">
        <f t="shared" si="1587"/>
        <v>63.5</v>
      </c>
      <c r="BU373" s="9">
        <f t="shared" si="1588"/>
        <v>126.99999999999997</v>
      </c>
      <c r="BV373" s="9">
        <f t="shared" si="1589"/>
        <v>1.7543833769624846</v>
      </c>
      <c r="BW373" s="40">
        <f t="shared" si="1343"/>
        <v>20</v>
      </c>
      <c r="BX373" s="9">
        <f t="shared" si="1590"/>
        <v>0.05</v>
      </c>
      <c r="BY373" s="9">
        <f t="shared" si="1433"/>
        <v>0.8</v>
      </c>
      <c r="BZ373" s="9">
        <f t="shared" si="1591"/>
        <v>0.99524931562137331</v>
      </c>
      <c r="CA373" s="9">
        <f t="shared" si="1592"/>
        <v>0.68</v>
      </c>
      <c r="CB373" s="9">
        <f t="shared" si="1593"/>
        <v>1.3825737851765767</v>
      </c>
      <c r="CC373" s="9">
        <f t="shared" si="1594"/>
        <v>3.4564344629414419</v>
      </c>
      <c r="CD373" s="40">
        <v>1</v>
      </c>
      <c r="CE373" s="9" t="e">
        <f>4*CC373*#REF!+60*CC373</f>
        <v>#REF!</v>
      </c>
      <c r="CG373" s="4" t="e">
        <f t="shared" si="1434"/>
        <v>#REF!</v>
      </c>
      <c r="CH373" s="4" t="e">
        <f t="shared" si="1435"/>
        <v>#REF!</v>
      </c>
      <c r="CI373" s="4" t="e">
        <f t="shared" si="1436"/>
        <v>#REF!</v>
      </c>
      <c r="CJ373" s="4" t="e">
        <f t="shared" si="1437"/>
        <v>#REF!</v>
      </c>
      <c r="CK373" s="4">
        <f t="shared" si="1438"/>
        <v>1.1550340401026544</v>
      </c>
      <c r="CL373" s="4">
        <f t="shared" si="1439"/>
        <v>1.1618512131976952</v>
      </c>
      <c r="CM373" s="4">
        <f t="shared" si="1310"/>
        <v>1.405758816311484</v>
      </c>
      <c r="CN373" s="4">
        <f t="shared" si="1344"/>
        <v>10</v>
      </c>
      <c r="CU373" s="4" t="e">
        <f t="shared" ref="CU373" si="1686">CG373</f>
        <v>#REF!</v>
      </c>
      <c r="CV373" s="4" t="e">
        <f t="shared" ref="CV373" si="1687">CH373</f>
        <v>#REF!</v>
      </c>
      <c r="CW373" s="4" t="e">
        <f t="shared" ref="CW373" si="1688">CJ373</f>
        <v>#REF!</v>
      </c>
      <c r="CX373" s="4">
        <f t="shared" ref="CX373" si="1689">CM373</f>
        <v>1.405758816311484</v>
      </c>
      <c r="CY373" s="4">
        <f t="shared" ref="CY373" si="1690">CK373</f>
        <v>1.1550340401026544</v>
      </c>
      <c r="CZ373" s="4">
        <f t="shared" ref="CZ373" si="1691">CL373</f>
        <v>1.1618512131976952</v>
      </c>
      <c r="DC373" s="4" t="e">
        <f>#REF!</f>
        <v>#REF!</v>
      </c>
      <c r="DF373" s="4">
        <f t="shared" si="1601"/>
        <v>1.1318504885791904E-5</v>
      </c>
      <c r="DG373" s="4">
        <f t="shared" si="1446"/>
        <v>8.1377244333742738</v>
      </c>
      <c r="DH373" s="4">
        <f t="shared" si="1602"/>
        <v>0.26178777959124849</v>
      </c>
      <c r="DI373" s="4">
        <f t="shared" si="1447"/>
        <v>4.7608305831924742</v>
      </c>
      <c r="DJ373" s="4">
        <f t="shared" si="1448"/>
        <v>6.6680371999399997</v>
      </c>
      <c r="DK373" s="4">
        <f t="shared" si="1603"/>
        <v>7.9931431117716185</v>
      </c>
      <c r="DL373" s="38">
        <f t="shared" si="1604"/>
        <v>406.61587114095107</v>
      </c>
      <c r="DM373" s="4" t="e">
        <f t="shared" si="1449"/>
        <v>#REF!</v>
      </c>
      <c r="DN373" s="4">
        <f t="shared" si="1605"/>
        <v>3.1780497164141401</v>
      </c>
      <c r="DO373" s="4">
        <f t="shared" si="1309"/>
        <v>258.39757190753727</v>
      </c>
      <c r="DS373" s="4">
        <f t="shared" si="1606"/>
        <v>0.85</v>
      </c>
      <c r="DT373" s="4">
        <f t="shared" si="1607"/>
        <v>0.85</v>
      </c>
      <c r="DU373" s="4">
        <f t="shared" si="1608"/>
        <v>0.90625</v>
      </c>
      <c r="DV373" s="4">
        <f t="shared" si="1450"/>
        <v>0.77031249999999996</v>
      </c>
      <c r="DX373" s="4">
        <f t="shared" si="1609"/>
        <v>404.2300486317767</v>
      </c>
      <c r="DY373" s="25">
        <f t="shared" si="1502"/>
        <v>253.84490110302011</v>
      </c>
      <c r="EA373" s="4">
        <f t="shared" si="1503"/>
        <v>0.65476562499999991</v>
      </c>
      <c r="EB373" s="4">
        <f t="shared" si="1610"/>
        <v>8.1377244333742738</v>
      </c>
      <c r="EE373" s="4">
        <f t="shared" si="1611"/>
        <v>80.72246279691916</v>
      </c>
      <c r="EF373" s="4">
        <f t="shared" si="1451"/>
        <v>3.1780497164141406</v>
      </c>
      <c r="EG373" s="4">
        <f t="shared" si="1612"/>
        <v>8.3553396377267913E-2</v>
      </c>
      <c r="EJ373" s="4">
        <f t="shared" si="1452"/>
        <v>8.3553396377267913E-2</v>
      </c>
      <c r="EK373" s="4">
        <f t="shared" si="1613"/>
        <v>0.2613509045777202</v>
      </c>
      <c r="EL373" s="4">
        <f t="shared" si="1453"/>
        <v>4.7576510151621187</v>
      </c>
      <c r="EM373" s="4">
        <f t="shared" si="1454"/>
        <v>6.6669082398660349</v>
      </c>
      <c r="EN373" s="4" t="e">
        <f t="shared" si="1455"/>
        <v>#REF!</v>
      </c>
      <c r="EO373" s="4" t="e">
        <f t="shared" si="1456"/>
        <v>#REF!</v>
      </c>
      <c r="EP373" s="4" t="e">
        <f t="shared" si="1614"/>
        <v>#REF!</v>
      </c>
      <c r="EQ373" s="4" t="e">
        <f t="shared" si="1457"/>
        <v>#REF!</v>
      </c>
      <c r="ER373" s="4" t="e">
        <f t="shared" si="1615"/>
        <v>#REF!</v>
      </c>
      <c r="FA373" s="23" t="e">
        <f t="shared" si="1383"/>
        <v>#REF!</v>
      </c>
      <c r="FB373" s="23" t="e">
        <f t="shared" si="1384"/>
        <v>#REF!</v>
      </c>
      <c r="FC373" s="23">
        <f t="shared" si="1317"/>
        <v>1.6</v>
      </c>
      <c r="FD373" s="23" t="e">
        <f t="shared" si="1385"/>
        <v>#REF!</v>
      </c>
      <c r="FE373" s="23">
        <f t="shared" si="1386"/>
        <v>1.2</v>
      </c>
      <c r="FF373" s="23">
        <f t="shared" si="1387"/>
        <v>1.2</v>
      </c>
      <c r="FG373" s="23">
        <f t="shared" si="1629"/>
        <v>0</v>
      </c>
      <c r="FH373" s="23"/>
      <c r="FR373" s="4">
        <f t="shared" si="1485"/>
        <v>1</v>
      </c>
      <c r="FS373" s="4">
        <f t="shared" si="1486"/>
        <v>0.44418604651162791</v>
      </c>
      <c r="FT373" s="4">
        <f t="shared" si="1487"/>
        <v>0.3</v>
      </c>
      <c r="FU373" s="4">
        <f t="shared" si="1488"/>
        <v>334.0937058080155</v>
      </c>
    </row>
    <row r="374" spans="2:177" ht="12" customHeight="1" x14ac:dyDescent="0.3">
      <c r="B374" s="24"/>
      <c r="C374" s="7" t="s">
        <v>516</v>
      </c>
      <c r="D374" s="38">
        <f t="shared" si="1635"/>
        <v>889.65517241379314</v>
      </c>
      <c r="E374" s="38">
        <f>6.21*25.4</f>
        <v>157.73399999999998</v>
      </c>
      <c r="F374" s="38">
        <f>5160/145</f>
        <v>35.586206896551722</v>
      </c>
      <c r="G374" s="38">
        <f t="shared" si="1341"/>
        <v>25.4</v>
      </c>
      <c r="H374" s="38">
        <f>17.3*25.4</f>
        <v>439.42</v>
      </c>
      <c r="I374" s="38">
        <f>2.65*25.4</f>
        <v>67.309999999999988</v>
      </c>
      <c r="J374" s="39">
        <f>7.15*25.4</f>
        <v>181.60999999999999</v>
      </c>
      <c r="K374" s="7">
        <f t="shared" si="1339"/>
        <v>114.30000000000003</v>
      </c>
      <c r="L374" s="38">
        <v>3</v>
      </c>
      <c r="M374" s="4">
        <f t="shared" si="1357"/>
        <v>260.34999999999997</v>
      </c>
      <c r="N374" s="7">
        <f t="shared" si="1569"/>
        <v>2.7500000000000004</v>
      </c>
      <c r="O374" s="7">
        <f t="shared" si="1570"/>
        <v>3.1499999999999995</v>
      </c>
      <c r="P374" s="38">
        <v>9.1</v>
      </c>
      <c r="Q374" s="4">
        <f t="shared" si="1342"/>
        <v>9.1</v>
      </c>
      <c r="R374" s="4">
        <f t="shared" si="1571"/>
        <v>10.1</v>
      </c>
      <c r="S374" s="7">
        <f t="shared" si="1572"/>
        <v>80.72246279691916</v>
      </c>
      <c r="V374" s="38">
        <f t="shared" si="1395"/>
        <v>200.68965517241381</v>
      </c>
      <c r="W374" s="4">
        <v>29.1</v>
      </c>
      <c r="X374" s="4">
        <f t="shared" si="1573"/>
        <v>0.65535916327208799</v>
      </c>
      <c r="Y374" s="38"/>
      <c r="Z374" s="38"/>
      <c r="AA374" s="39">
        <v>1</v>
      </c>
      <c r="AB374" s="39"/>
      <c r="AC374" s="39"/>
      <c r="AD374" s="7"/>
      <c r="AE374" s="4">
        <f t="shared" si="1576"/>
        <v>157.73399999999998</v>
      </c>
      <c r="AF374" s="4">
        <f t="shared" si="1577"/>
        <v>0.92860976918947957</v>
      </c>
      <c r="AG374" s="4">
        <f t="shared" si="1578"/>
        <v>77.74102377301837</v>
      </c>
      <c r="AH374" s="4">
        <f t="shared" si="1579"/>
        <v>0.8014492753623188</v>
      </c>
      <c r="AI374" s="4">
        <v>1.25</v>
      </c>
      <c r="AJ374" s="4">
        <f t="shared" si="1513"/>
        <v>2.5</v>
      </c>
      <c r="AK374" s="38">
        <f t="shared" si="1340"/>
        <v>180.80463768458466</v>
      </c>
      <c r="AL374" s="38">
        <f t="shared" si="1616"/>
        <v>180.80463768458466</v>
      </c>
      <c r="AM374" s="38">
        <f t="shared" si="1580"/>
        <v>3.2457050730263122</v>
      </c>
      <c r="AN374" s="38">
        <f t="shared" si="1521"/>
        <v>180.80463768458458</v>
      </c>
      <c r="AO374" s="38">
        <f t="shared" si="1484"/>
        <v>1.0000000000000004</v>
      </c>
      <c r="AP374" s="38">
        <f t="shared" si="1522"/>
        <v>3.4555391215647067</v>
      </c>
      <c r="AQ374" s="4">
        <f t="shared" si="1523"/>
        <v>0</v>
      </c>
      <c r="AR374" s="4" t="e">
        <f>#REF!/G374*F374^0.5/0.19</f>
        <v>#REF!</v>
      </c>
      <c r="AS374" s="4">
        <f t="shared" si="1581"/>
        <v>1.0581818181818181</v>
      </c>
      <c r="AT374" s="38">
        <f t="shared" si="1582"/>
        <v>624.77749887941445</v>
      </c>
      <c r="AU374" s="4">
        <f t="shared" si="1583"/>
        <v>0.3</v>
      </c>
      <c r="AV374" s="4" t="e">
        <f>AU374*D374*#REF!/(D374*G374/2.75/F374^0.5)</f>
        <v>#REF!</v>
      </c>
      <c r="AW374" s="4" t="e">
        <f t="shared" si="1431"/>
        <v>#REF!</v>
      </c>
      <c r="AY374" s="4">
        <f t="shared" si="1584"/>
        <v>1.4124999999999999</v>
      </c>
      <c r="AZ374" s="4" t="e">
        <f>(3*#REF!+30)*AY374*F374^0.5</f>
        <v>#REF!</v>
      </c>
      <c r="BB374" s="4">
        <f t="shared" si="1585"/>
        <v>599.23802673473551</v>
      </c>
      <c r="BC374" s="4">
        <f t="shared" si="1662"/>
        <v>0</v>
      </c>
      <c r="BD374" s="4">
        <f t="shared" si="1432"/>
        <v>0</v>
      </c>
      <c r="BL374" s="4">
        <f t="shared" si="1586"/>
        <v>57.150000000000013</v>
      </c>
      <c r="BP374" s="9"/>
      <c r="BR374" s="9"/>
      <c r="BS374" s="9"/>
      <c r="BT374" s="9">
        <f t="shared" si="1587"/>
        <v>57.150000000000013</v>
      </c>
      <c r="BU374" s="9">
        <f t="shared" si="1588"/>
        <v>67.309999999999988</v>
      </c>
      <c r="BV374" s="9">
        <f t="shared" si="1589"/>
        <v>1.5372721608851661</v>
      </c>
      <c r="BW374" s="40">
        <f t="shared" si="1343"/>
        <v>0</v>
      </c>
      <c r="BX374" s="9">
        <f t="shared" si="1590"/>
        <v>0</v>
      </c>
      <c r="BY374" s="9">
        <f t="shared" si="1433"/>
        <v>0</v>
      </c>
      <c r="BZ374" s="9">
        <f t="shared" si="1591"/>
        <v>0.99524931562137331</v>
      </c>
      <c r="CA374" s="9">
        <f t="shared" si="1592"/>
        <v>0.68</v>
      </c>
      <c r="CB374" s="9">
        <f t="shared" si="1593"/>
        <v>1.4130245076626196</v>
      </c>
      <c r="CC374" s="9">
        <f t="shared" si="1594"/>
        <v>2.1722032382782128</v>
      </c>
      <c r="CD374" s="40">
        <v>1</v>
      </c>
      <c r="CE374" s="9" t="e">
        <f>4*CC374*#REF!+60*CC374</f>
        <v>#REF!</v>
      </c>
      <c r="CG374" s="4" t="e">
        <f t="shared" si="1434"/>
        <v>#REF!</v>
      </c>
      <c r="CH374" s="4" t="e">
        <f t="shared" si="1435"/>
        <v>#REF!</v>
      </c>
      <c r="CI374" s="4" t="e">
        <f t="shared" si="1436"/>
        <v>#REF!</v>
      </c>
      <c r="CJ374" s="4" t="e">
        <f t="shared" si="1437"/>
        <v>#REF!</v>
      </c>
      <c r="CK374" s="4">
        <f t="shared" si="1438"/>
        <v>0.65535916327208799</v>
      </c>
      <c r="CL374" s="4">
        <f t="shared" si="1439"/>
        <v>0.63898823880641586</v>
      </c>
      <c r="CM374" s="4">
        <f t="shared" si="1310"/>
        <v>0.93991349427050186</v>
      </c>
      <c r="CN374" s="4">
        <f t="shared" si="1344"/>
        <v>0</v>
      </c>
      <c r="CO374" s="4" t="e">
        <f t="shared" ref="CO374" si="1692">CG374</f>
        <v>#REF!</v>
      </c>
      <c r="CP374" s="4" t="e">
        <f t="shared" ref="CP374" si="1693">CH374</f>
        <v>#REF!</v>
      </c>
      <c r="CQ374" s="4" t="e">
        <f t="shared" ref="CQ374" si="1694">CJ374</f>
        <v>#REF!</v>
      </c>
      <c r="CR374" s="4">
        <f t="shared" si="1536"/>
        <v>0.93991349427050186</v>
      </c>
      <c r="CS374" s="4">
        <f t="shared" ref="CS374" si="1695">CK374</f>
        <v>0.65535916327208799</v>
      </c>
      <c r="CT374" s="4">
        <f t="shared" ref="CT374" si="1696">CL374</f>
        <v>0.63898823880641586</v>
      </c>
      <c r="DC374" s="4" t="e">
        <f>#REF!</f>
        <v>#REF!</v>
      </c>
      <c r="DF374" s="4">
        <f t="shared" si="1601"/>
        <v>1.1529710395163923E-5</v>
      </c>
      <c r="DG374" s="4">
        <f t="shared" si="1446"/>
        <v>7.3218908082293819</v>
      </c>
      <c r="DH374" s="4">
        <f t="shared" si="1602"/>
        <v>0.17536695232656146</v>
      </c>
      <c r="DI374" s="4">
        <f t="shared" si="1447"/>
        <v>3.6492393541682246</v>
      </c>
      <c r="DJ374" s="4">
        <f t="shared" si="1448"/>
        <v>5.7877993154744845</v>
      </c>
      <c r="DK374" s="4">
        <f t="shared" si="1603"/>
        <v>7.2114272284070706</v>
      </c>
      <c r="DL374" s="38">
        <f t="shared" si="1604"/>
        <v>306.22850250602619</v>
      </c>
      <c r="DM374" s="4" t="e">
        <f t="shared" si="1449"/>
        <v>#REF!</v>
      </c>
      <c r="DN374" s="4">
        <f t="shared" si="1605"/>
        <v>3.1780497164141401</v>
      </c>
      <c r="DO374" s="4">
        <f t="shared" ref="DO374:DO437" si="1697">MIN(DN$10*AN374)</f>
        <v>180.80463768458458</v>
      </c>
      <c r="DS374" s="4">
        <f t="shared" si="1606"/>
        <v>0.85</v>
      </c>
      <c r="DT374" s="4">
        <f t="shared" si="1607"/>
        <v>0.87499999999999989</v>
      </c>
      <c r="DU374" s="4">
        <f t="shared" si="1608"/>
        <v>1</v>
      </c>
      <c r="DV374" s="4">
        <f t="shared" si="1450"/>
        <v>0.87499999999999989</v>
      </c>
      <c r="DX374" s="4">
        <f t="shared" si="1609"/>
        <v>314.07409868339312</v>
      </c>
      <c r="DY374" s="25">
        <f t="shared" si="1502"/>
        <v>177.66727292607976</v>
      </c>
      <c r="EA374" s="4">
        <f t="shared" si="1503"/>
        <v>0.74374999999999991</v>
      </c>
      <c r="EB374" s="4">
        <f t="shared" si="1610"/>
        <v>7.3218908082293819</v>
      </c>
      <c r="EE374" s="4">
        <f t="shared" si="1611"/>
        <v>80.72246279691916</v>
      </c>
      <c r="EF374" s="4">
        <f t="shared" si="1451"/>
        <v>3.1780497164141406</v>
      </c>
      <c r="EG374" s="4">
        <f t="shared" si="1612"/>
        <v>5.7203666971321981E-2</v>
      </c>
      <c r="EJ374" s="4">
        <f t="shared" si="1452"/>
        <v>5.7203666971321981E-2</v>
      </c>
      <c r="EK374" s="4">
        <f t="shared" si="1613"/>
        <v>0.1750742975670854</v>
      </c>
      <c r="EL374" s="4">
        <f t="shared" si="1453"/>
        <v>3.6468021733900247</v>
      </c>
      <c r="EM374" s="4">
        <f t="shared" si="1454"/>
        <v>5.7870401970278555</v>
      </c>
      <c r="EN374" s="4" t="e">
        <f t="shared" si="1455"/>
        <v>#REF!</v>
      </c>
      <c r="EO374" s="4" t="e">
        <f t="shared" si="1456"/>
        <v>#REF!</v>
      </c>
      <c r="EP374" s="4" t="e">
        <f t="shared" si="1614"/>
        <v>#REF!</v>
      </c>
      <c r="EQ374" s="4" t="e">
        <f t="shared" si="1457"/>
        <v>#REF!</v>
      </c>
      <c r="ER374" s="4" t="e">
        <f t="shared" si="1615"/>
        <v>#REF!</v>
      </c>
      <c r="FA374" s="23" t="e">
        <f t="shared" si="1383"/>
        <v>#REF!</v>
      </c>
      <c r="FB374" s="23" t="e">
        <f t="shared" si="1384"/>
        <v>#REF!</v>
      </c>
      <c r="FC374" s="23">
        <f t="shared" si="1317"/>
        <v>1</v>
      </c>
      <c r="FD374" s="23" t="e">
        <f t="shared" si="1385"/>
        <v>#REF!</v>
      </c>
      <c r="FE374" s="23">
        <f t="shared" si="1386"/>
        <v>0.8</v>
      </c>
      <c r="FF374" s="23">
        <f t="shared" si="1387"/>
        <v>0.8</v>
      </c>
      <c r="FG374" s="23">
        <f t="shared" si="1629"/>
        <v>1</v>
      </c>
      <c r="FH374" s="23"/>
      <c r="FR374" s="4">
        <f t="shared" si="1485"/>
        <v>1</v>
      </c>
      <c r="FS374" s="4">
        <f t="shared" si="1486"/>
        <v>0.70833333333333326</v>
      </c>
      <c r="FT374" s="4">
        <f t="shared" si="1487"/>
        <v>0</v>
      </c>
      <c r="FU374" s="4">
        <f t="shared" si="1488"/>
        <v>213.51928278056667</v>
      </c>
    </row>
    <row r="375" spans="2:177" ht="12" customHeight="1" x14ac:dyDescent="0.3">
      <c r="B375" s="24"/>
      <c r="C375" s="7" t="s">
        <v>517</v>
      </c>
      <c r="D375" s="38">
        <f t="shared" si="1635"/>
        <v>889.65517241379314</v>
      </c>
      <c r="E375" s="38">
        <f>6.25*25.4</f>
        <v>158.75</v>
      </c>
      <c r="F375" s="38">
        <f t="shared" ref="F375:F377" si="1698">5160/145</f>
        <v>35.586206896551722</v>
      </c>
      <c r="G375" s="38">
        <f t="shared" si="1341"/>
        <v>25.4</v>
      </c>
      <c r="H375" s="38">
        <f>17.3*25.4</f>
        <v>439.42</v>
      </c>
      <c r="I375" s="38">
        <f>2.65*25.4</f>
        <v>67.309999999999988</v>
      </c>
      <c r="J375" s="39">
        <f>7.1*25.4</f>
        <v>180.33999999999997</v>
      </c>
      <c r="K375" s="7">
        <f t="shared" si="1339"/>
        <v>114.30000000000003</v>
      </c>
      <c r="L375" s="38">
        <v>3</v>
      </c>
      <c r="M375" s="4">
        <f t="shared" si="1357"/>
        <v>260.34999999999997</v>
      </c>
      <c r="N375" s="7">
        <f t="shared" si="1569"/>
        <v>2.7500000000000004</v>
      </c>
      <c r="O375" s="7">
        <f t="shared" si="1570"/>
        <v>3.1499999999999995</v>
      </c>
      <c r="P375" s="38">
        <v>9.1</v>
      </c>
      <c r="Q375" s="4">
        <f t="shared" si="1342"/>
        <v>9.1</v>
      </c>
      <c r="R375" s="4">
        <f t="shared" si="1571"/>
        <v>10.1</v>
      </c>
      <c r="S375" s="7">
        <f t="shared" si="1572"/>
        <v>80.72246279691916</v>
      </c>
      <c r="V375" s="38">
        <f t="shared" si="1395"/>
        <v>376.55172413793105</v>
      </c>
      <c r="W375" s="4">
        <v>54.6</v>
      </c>
      <c r="X375" s="4">
        <f t="shared" si="1573"/>
        <v>1.1105084560718819</v>
      </c>
      <c r="Y375" s="38">
        <f>0.5*25.4</f>
        <v>12.7</v>
      </c>
      <c r="Z375" s="38">
        <v>10</v>
      </c>
      <c r="AA375" s="39">
        <f t="shared" si="1661"/>
        <v>76.199999999999989</v>
      </c>
      <c r="AB375" s="39">
        <v>3</v>
      </c>
      <c r="AC375" s="39">
        <f>AB375-1</f>
        <v>2</v>
      </c>
      <c r="AD375" s="7"/>
      <c r="AE375" s="4">
        <f t="shared" si="1576"/>
        <v>158.75</v>
      </c>
      <c r="AF375" s="4">
        <f t="shared" si="1577"/>
        <v>0.92266666666666663</v>
      </c>
      <c r="AG375" s="4">
        <f t="shared" si="1578"/>
        <v>78.493353014927791</v>
      </c>
      <c r="AH375" s="4">
        <f t="shared" si="1579"/>
        <v>0.80079999999999996</v>
      </c>
      <c r="AI375" s="4">
        <v>1.25</v>
      </c>
      <c r="AJ375" s="4">
        <f t="shared" si="1513"/>
        <v>2.5</v>
      </c>
      <c r="AK375" s="38">
        <f t="shared" si="1340"/>
        <v>181.23905895538786</v>
      </c>
      <c r="AL375" s="38">
        <f t="shared" si="1616"/>
        <v>181.23905895538786</v>
      </c>
      <c r="AM375" s="38">
        <f t="shared" si="1580"/>
        <v>3.2457050730263122</v>
      </c>
      <c r="AN375" s="38">
        <f t="shared" si="1521"/>
        <v>181.23905895538806</v>
      </c>
      <c r="AO375" s="38">
        <f t="shared" si="1484"/>
        <v>0.99999999999999889</v>
      </c>
      <c r="AP375" s="38">
        <f t="shared" si="1522"/>
        <v>3.4472563611864881</v>
      </c>
      <c r="AQ375" s="4">
        <f t="shared" si="1523"/>
        <v>0</v>
      </c>
      <c r="AR375" s="4" t="e">
        <f>#REF!/G375*F375^0.5/0.19</f>
        <v>#REF!</v>
      </c>
      <c r="AS375" s="4">
        <f t="shared" si="1581"/>
        <v>1.0581818181818181</v>
      </c>
      <c r="AT375" s="38">
        <f t="shared" si="1582"/>
        <v>624.77749887941445</v>
      </c>
      <c r="AU375" s="4">
        <f t="shared" si="1583"/>
        <v>0.3</v>
      </c>
      <c r="AV375" s="4" t="e">
        <f>AU375*D375*#REF!/(D375*G375/2.75/F375^0.5)</f>
        <v>#REF!</v>
      </c>
      <c r="AW375" s="4" t="e">
        <f t="shared" si="1431"/>
        <v>#REF!</v>
      </c>
      <c r="AY375" s="4">
        <f t="shared" si="1584"/>
        <v>1.5</v>
      </c>
      <c r="AZ375" s="4" t="e">
        <f>(3*#REF!+30)*AY375*F375^0.5</f>
        <v>#REF!</v>
      </c>
      <c r="BB375" s="4">
        <f t="shared" si="1585"/>
        <v>599.23802673473551</v>
      </c>
      <c r="BC375" s="4">
        <f t="shared" si="1662"/>
        <v>0</v>
      </c>
      <c r="BD375" s="4">
        <f t="shared" si="1432"/>
        <v>0</v>
      </c>
      <c r="BL375" s="4">
        <f t="shared" si="1586"/>
        <v>57.150000000000013</v>
      </c>
      <c r="BP375" s="9"/>
      <c r="BR375" s="9"/>
      <c r="BS375" s="9"/>
      <c r="BT375" s="9">
        <f t="shared" si="1587"/>
        <v>57.150000000000013</v>
      </c>
      <c r="BU375" s="9">
        <f t="shared" si="1588"/>
        <v>67.309999999999988</v>
      </c>
      <c r="BV375" s="9">
        <f t="shared" si="1589"/>
        <v>1.5372721608851661</v>
      </c>
      <c r="BW375" s="40">
        <f t="shared" si="1343"/>
        <v>20</v>
      </c>
      <c r="BX375" s="9">
        <f t="shared" si="1590"/>
        <v>0.05</v>
      </c>
      <c r="BY375" s="9">
        <f t="shared" si="1433"/>
        <v>0.8</v>
      </c>
      <c r="BZ375" s="9">
        <f t="shared" si="1591"/>
        <v>0.99524931562137331</v>
      </c>
      <c r="CA375" s="9">
        <f t="shared" si="1592"/>
        <v>0.68</v>
      </c>
      <c r="CB375" s="9">
        <f t="shared" si="1593"/>
        <v>1.4130245076626196</v>
      </c>
      <c r="CC375" s="9">
        <f t="shared" si="1594"/>
        <v>3.3026228444083086</v>
      </c>
      <c r="CD375" s="40">
        <v>1</v>
      </c>
      <c r="CE375" s="9" t="e">
        <f>4*CC375*#REF!+60*CC375</f>
        <v>#REF!</v>
      </c>
      <c r="CG375" s="4" t="e">
        <f t="shared" si="1434"/>
        <v>#REF!</v>
      </c>
      <c r="CH375" s="4" t="e">
        <f t="shared" si="1435"/>
        <v>#REF!</v>
      </c>
      <c r="CI375" s="4" t="e">
        <f t="shared" si="1436"/>
        <v>#REF!</v>
      </c>
      <c r="CJ375" s="4" t="e">
        <f t="shared" si="1437"/>
        <v>#REF!</v>
      </c>
      <c r="CK375" s="4">
        <f t="shared" si="1438"/>
        <v>1.1105084560718819</v>
      </c>
      <c r="CL375" s="4">
        <f t="shared" si="1439"/>
        <v>1.0767191342865152</v>
      </c>
      <c r="CM375" s="4">
        <f t="shared" ref="CM375:CM438" si="1699">V375/FU375</f>
        <v>1.3735243604164213</v>
      </c>
      <c r="CN375" s="4">
        <f t="shared" si="1344"/>
        <v>10</v>
      </c>
      <c r="CU375" s="4" t="e">
        <f t="shared" ref="CU375" si="1700">CG375</f>
        <v>#REF!</v>
      </c>
      <c r="CV375" s="4" t="e">
        <f t="shared" ref="CV375" si="1701">CH375</f>
        <v>#REF!</v>
      </c>
      <c r="CW375" s="4" t="e">
        <f t="shared" ref="CW375" si="1702">CJ375</f>
        <v>#REF!</v>
      </c>
      <c r="CX375" s="4">
        <f t="shared" ref="CX375" si="1703">CM375</f>
        <v>1.3735243604164213</v>
      </c>
      <c r="CY375" s="4">
        <f t="shared" ref="CY375" si="1704">CK375</f>
        <v>1.1105084560718819</v>
      </c>
      <c r="CZ375" s="4">
        <f t="shared" ref="CZ375" si="1705">CL375</f>
        <v>1.0767191342865152</v>
      </c>
      <c r="DC375" s="4" t="e">
        <f>#REF!</f>
        <v>#REF!</v>
      </c>
      <c r="DF375" s="4">
        <f t="shared" si="1601"/>
        <v>1.1603975840543402E-5</v>
      </c>
      <c r="DG375" s="4">
        <f t="shared" si="1446"/>
        <v>9.152363510286726</v>
      </c>
      <c r="DH375" s="4">
        <f t="shared" si="1602"/>
        <v>0.17578830841157264</v>
      </c>
      <c r="DI375" s="4">
        <f t="shared" si="1447"/>
        <v>4.5659300702407801</v>
      </c>
      <c r="DJ375" s="4">
        <f t="shared" si="1448"/>
        <v>7.2361146259315881</v>
      </c>
      <c r="DK375" s="4">
        <f t="shared" si="1603"/>
        <v>8.9773078893679497</v>
      </c>
      <c r="DL375" s="38">
        <f t="shared" si="1604"/>
        <v>339.08046542020867</v>
      </c>
      <c r="DM375" s="4" t="e">
        <f t="shared" si="1449"/>
        <v>#REF!</v>
      </c>
      <c r="DN375" s="4">
        <f t="shared" si="1605"/>
        <v>3.1780497164141401</v>
      </c>
      <c r="DO375" s="4">
        <f t="shared" si="1697"/>
        <v>181.23905895538806</v>
      </c>
      <c r="DS375" s="4">
        <f t="shared" si="1606"/>
        <v>0.85</v>
      </c>
      <c r="DT375" s="4">
        <f t="shared" si="1607"/>
        <v>0.87499999999999989</v>
      </c>
      <c r="DU375" s="4">
        <f t="shared" si="1608"/>
        <v>0.77500000000000002</v>
      </c>
      <c r="DV375" s="4">
        <f t="shared" si="1450"/>
        <v>0.7</v>
      </c>
      <c r="DX375" s="4">
        <f t="shared" si="1609"/>
        <v>349.72140101090702</v>
      </c>
      <c r="DY375" s="25">
        <f t="shared" si="1502"/>
        <v>178.1145851930309</v>
      </c>
      <c r="EA375" s="4">
        <f t="shared" si="1503"/>
        <v>0.59499999999999997</v>
      </c>
      <c r="EB375" s="4">
        <f t="shared" si="1610"/>
        <v>9.152363510286726</v>
      </c>
      <c r="EE375" s="4">
        <f t="shared" si="1611"/>
        <v>80.72246279691916</v>
      </c>
      <c r="EF375" s="4">
        <f t="shared" si="1451"/>
        <v>3.1780497164141406</v>
      </c>
      <c r="EG375" s="4">
        <f t="shared" si="1612"/>
        <v>5.734111084454635E-2</v>
      </c>
      <c r="EJ375" s="4">
        <f t="shared" si="1452"/>
        <v>5.734111084454635E-2</v>
      </c>
      <c r="EK375" s="4">
        <f t="shared" si="1613"/>
        <v>0.17549495048732072</v>
      </c>
      <c r="EL375" s="4">
        <f t="shared" si="1453"/>
        <v>4.5628806684554224</v>
      </c>
      <c r="EM375" s="4">
        <f t="shared" si="1454"/>
        <v>7.2351640350195305</v>
      </c>
      <c r="EN375" s="4" t="e">
        <f t="shared" si="1455"/>
        <v>#REF!</v>
      </c>
      <c r="EO375" s="4" t="e">
        <f t="shared" si="1456"/>
        <v>#REF!</v>
      </c>
      <c r="EP375" s="4" t="e">
        <f t="shared" si="1614"/>
        <v>#REF!</v>
      </c>
      <c r="EQ375" s="4" t="e">
        <f t="shared" si="1457"/>
        <v>#REF!</v>
      </c>
      <c r="ER375" s="4" t="e">
        <f t="shared" si="1615"/>
        <v>#REF!</v>
      </c>
      <c r="FA375" s="23" t="e">
        <f t="shared" si="1383"/>
        <v>#REF!</v>
      </c>
      <c r="FB375" s="23" t="e">
        <f t="shared" si="1384"/>
        <v>#REF!</v>
      </c>
      <c r="FC375" s="23">
        <f t="shared" ref="FC375:FC438" si="1706">IF(CM375&lt;0.6,0.6,IF(CM375&lt;0.8,0.8,IF(CM375&lt;1,1,IF(CM375&lt;1.2,1.2,IF(CM375&lt;1.4,1.4,IF(CM375&lt;1.6,1.6,IF(CM375&lt;1.8,1.8,IF(CM375&lt;2,2,2.2))))))))</f>
        <v>1.4</v>
      </c>
      <c r="FD375" s="23" t="e">
        <f t="shared" si="1385"/>
        <v>#REF!</v>
      </c>
      <c r="FE375" s="23">
        <f t="shared" si="1386"/>
        <v>1.2</v>
      </c>
      <c r="FF375" s="23">
        <f t="shared" si="1387"/>
        <v>1.2</v>
      </c>
      <c r="FG375" s="23">
        <f t="shared" si="1629"/>
        <v>0</v>
      </c>
      <c r="FH375" s="23"/>
      <c r="FR375" s="4">
        <f t="shared" si="1485"/>
        <v>1</v>
      </c>
      <c r="FS375" s="4">
        <f t="shared" si="1486"/>
        <v>0.55523255813953487</v>
      </c>
      <c r="FT375" s="4">
        <f t="shared" si="1487"/>
        <v>0.3</v>
      </c>
      <c r="FU375" s="4">
        <f t="shared" si="1488"/>
        <v>274.15001509239278</v>
      </c>
    </row>
    <row r="376" spans="2:177" ht="12" customHeight="1" x14ac:dyDescent="0.3">
      <c r="B376" s="24"/>
      <c r="C376" s="7" t="s">
        <v>518</v>
      </c>
      <c r="D376" s="38">
        <f>120/0.145</f>
        <v>827.58620689655174</v>
      </c>
      <c r="E376" s="38">
        <f>6.13*25.4</f>
        <v>155.702</v>
      </c>
      <c r="F376" s="38">
        <f t="shared" si="1698"/>
        <v>35.586206896551722</v>
      </c>
      <c r="G376" s="38">
        <f t="shared" si="1341"/>
        <v>25.4</v>
      </c>
      <c r="H376" s="38">
        <f>17*25.4</f>
        <v>431.79999999999995</v>
      </c>
      <c r="I376" s="38">
        <f>2.65*25.4</f>
        <v>67.309999999999988</v>
      </c>
      <c r="J376" s="39">
        <f>6.6*25.4</f>
        <v>167.64</v>
      </c>
      <c r="K376" s="7">
        <f t="shared" si="1339"/>
        <v>65.193333333333314</v>
      </c>
      <c r="L376" s="38">
        <v>4</v>
      </c>
      <c r="M376" s="4">
        <f t="shared" si="1357"/>
        <v>260.34999999999997</v>
      </c>
      <c r="N376" s="7">
        <f t="shared" si="1569"/>
        <v>1.783333333333333</v>
      </c>
      <c r="O376" s="7">
        <f t="shared" si="1570"/>
        <v>3.1499999999999995</v>
      </c>
      <c r="P376" s="38">
        <v>9.5</v>
      </c>
      <c r="Q376" s="4">
        <f t="shared" si="1342"/>
        <v>9.5</v>
      </c>
      <c r="R376" s="4">
        <f t="shared" si="1571"/>
        <v>10.5</v>
      </c>
      <c r="S376" s="7">
        <f t="shared" si="1572"/>
        <v>82.305406869779816</v>
      </c>
      <c r="V376" s="38">
        <f t="shared" si="1395"/>
        <v>189.65517241379311</v>
      </c>
      <c r="W376" s="4">
        <v>27.5</v>
      </c>
      <c r="X376" s="4">
        <f t="shared" si="1573"/>
        <v>0.79874270242833545</v>
      </c>
      <c r="Y376" s="38"/>
      <c r="Z376" s="38"/>
      <c r="AA376" s="39">
        <v>1</v>
      </c>
      <c r="AB376" s="39"/>
      <c r="AC376" s="39"/>
      <c r="AD376" s="7"/>
      <c r="AE376" s="4">
        <f t="shared" si="1576"/>
        <v>155.702</v>
      </c>
      <c r="AF376" s="4">
        <f t="shared" si="1577"/>
        <v>0.92441544317563884</v>
      </c>
      <c r="AG376" s="4">
        <f t="shared" si="1578"/>
        <v>57.182722758449053</v>
      </c>
      <c r="AH376" s="4">
        <f t="shared" si="1579"/>
        <v>0.80277324632952685</v>
      </c>
      <c r="AI376" s="4">
        <v>1.25</v>
      </c>
      <c r="AJ376" s="4">
        <f t="shared" si="1513"/>
        <v>2.5</v>
      </c>
      <c r="AK376" s="38">
        <f t="shared" si="1340"/>
        <v>132.60959076042428</v>
      </c>
      <c r="AL376" s="38">
        <f t="shared" si="1616"/>
        <v>132.60959076042428</v>
      </c>
      <c r="AM376" s="38">
        <f t="shared" si="1580"/>
        <v>3.2457050730263122</v>
      </c>
      <c r="AN376" s="38">
        <f t="shared" si="1521"/>
        <v>132.60959076042434</v>
      </c>
      <c r="AO376" s="38">
        <f t="shared" si="1484"/>
        <v>0.99999999999999956</v>
      </c>
      <c r="AP376" s="38">
        <f t="shared" si="1522"/>
        <v>3.8543795986037743</v>
      </c>
      <c r="AQ376" s="4">
        <f t="shared" si="1523"/>
        <v>0</v>
      </c>
      <c r="AR376" s="4" t="e">
        <f>#REF!/G376*F376^0.5/0.19</f>
        <v>#REF!</v>
      </c>
      <c r="AS376" s="4">
        <f t="shared" si="1581"/>
        <v>1.3065420560747665</v>
      </c>
      <c r="AT376" s="38">
        <f t="shared" si="1582"/>
        <v>511.12770120617512</v>
      </c>
      <c r="AU376" s="4">
        <f t="shared" si="1583"/>
        <v>0.3</v>
      </c>
      <c r="AV376" s="4" t="e">
        <f>AU376*D376*#REF!/(D376*G376/2.75/F376^0.5)</f>
        <v>#REF!</v>
      </c>
      <c r="AW376" s="4" t="e">
        <f t="shared" si="1431"/>
        <v>#REF!</v>
      </c>
      <c r="AY376" s="4">
        <f t="shared" si="1584"/>
        <v>1.4124999999999999</v>
      </c>
      <c r="AZ376" s="4" t="e">
        <f>(3*#REF!+30)*AY376*F376^0.5</f>
        <v>#REF!</v>
      </c>
      <c r="BB376" s="4">
        <f t="shared" si="1585"/>
        <v>490.23397230149772</v>
      </c>
      <c r="BC376" s="4">
        <f t="shared" si="1662"/>
        <v>0</v>
      </c>
      <c r="BD376" s="4">
        <f t="shared" si="1432"/>
        <v>0</v>
      </c>
      <c r="BL376" s="4">
        <f t="shared" si="1586"/>
        <v>32.596666666666657</v>
      </c>
      <c r="BP376" s="9"/>
      <c r="BR376" s="9"/>
      <c r="BS376" s="9"/>
      <c r="BT376" s="9">
        <f t="shared" si="1587"/>
        <v>32.596666666666657</v>
      </c>
      <c r="BU376" s="9">
        <f t="shared" si="1588"/>
        <v>67.309999999999988</v>
      </c>
      <c r="BV376" s="9">
        <f t="shared" si="1589"/>
        <v>1.2630068246419943</v>
      </c>
      <c r="BW376" s="40">
        <f t="shared" si="1343"/>
        <v>0</v>
      </c>
      <c r="BX376" s="9">
        <f t="shared" si="1590"/>
        <v>0</v>
      </c>
      <c r="BY376" s="9">
        <f t="shared" si="1433"/>
        <v>0</v>
      </c>
      <c r="BZ376" s="9">
        <f t="shared" si="1591"/>
        <v>0.99524931562137331</v>
      </c>
      <c r="CA376" s="9">
        <f t="shared" si="1592"/>
        <v>0.68</v>
      </c>
      <c r="CB376" s="9">
        <f t="shared" si="1593"/>
        <v>1.4130245076626196</v>
      </c>
      <c r="CC376" s="9">
        <f t="shared" si="1594"/>
        <v>1.7846595965642824</v>
      </c>
      <c r="CD376" s="40">
        <v>1</v>
      </c>
      <c r="CE376" s="9" t="e">
        <f>4*CC376*#REF!+60*CC376</f>
        <v>#REF!</v>
      </c>
      <c r="CG376" s="4" t="e">
        <f t="shared" si="1434"/>
        <v>#REF!</v>
      </c>
      <c r="CH376" s="4" t="e">
        <f t="shared" si="1435"/>
        <v>#REF!</v>
      </c>
      <c r="CI376" s="4" t="e">
        <f t="shared" si="1436"/>
        <v>#REF!</v>
      </c>
      <c r="CJ376" s="4" t="e">
        <f t="shared" si="1437"/>
        <v>#REF!</v>
      </c>
      <c r="CK376" s="4">
        <f t="shared" si="1438"/>
        <v>0.79874270242833545</v>
      </c>
      <c r="CL376" s="4">
        <f t="shared" si="1439"/>
        <v>0.75400013200926497</v>
      </c>
      <c r="CM376" s="4">
        <f t="shared" si="1699"/>
        <v>1.1044927574542696</v>
      </c>
      <c r="CN376" s="4">
        <f t="shared" si="1344"/>
        <v>0</v>
      </c>
      <c r="CO376" s="4" t="e">
        <f t="shared" ref="CO376" si="1707">CG376</f>
        <v>#REF!</v>
      </c>
      <c r="CP376" s="4" t="e">
        <f t="shared" ref="CP376" si="1708">CH376</f>
        <v>#REF!</v>
      </c>
      <c r="CQ376" s="4" t="e">
        <f t="shared" ref="CQ376" si="1709">CJ376</f>
        <v>#REF!</v>
      </c>
      <c r="CR376" s="4">
        <f t="shared" si="1536"/>
        <v>1.1044927574542696</v>
      </c>
      <c r="CS376" s="4">
        <f t="shared" ref="CS376" si="1710">CK376</f>
        <v>0.79874270242833545</v>
      </c>
      <c r="CT376" s="4">
        <f t="shared" ref="CT376" si="1711">CL376</f>
        <v>0.75400013200926497</v>
      </c>
      <c r="DC376" s="4" t="e">
        <f>#REF!</f>
        <v>#REF!</v>
      </c>
      <c r="DF376" s="4">
        <f t="shared" si="1601"/>
        <v>1.1381179504404969E-5</v>
      </c>
      <c r="DG376" s="4">
        <f t="shared" si="1446"/>
        <v>6.5934694242202827</v>
      </c>
      <c r="DH376" s="4">
        <f t="shared" si="1602"/>
        <v>0.12562175977913401</v>
      </c>
      <c r="DI376" s="4">
        <f t="shared" si="1447"/>
        <v>2.8756759529164433</v>
      </c>
      <c r="DJ376" s="4">
        <f t="shared" si="1448"/>
        <v>5.0911458024701526</v>
      </c>
      <c r="DK376" s="4">
        <f t="shared" si="1603"/>
        <v>6.5125846596970431</v>
      </c>
      <c r="DL376" s="38">
        <f t="shared" si="1604"/>
        <v>237.4421347915968</v>
      </c>
      <c r="DM376" s="4" t="e">
        <f t="shared" si="1449"/>
        <v>#REF!</v>
      </c>
      <c r="DN376" s="4">
        <f t="shared" si="1605"/>
        <v>3.2403703492039297</v>
      </c>
      <c r="DO376" s="4">
        <f t="shared" si="1697"/>
        <v>132.60959076042434</v>
      </c>
      <c r="DS376" s="4">
        <f t="shared" si="1606"/>
        <v>0.85</v>
      </c>
      <c r="DT376" s="4">
        <f t="shared" si="1607"/>
        <v>0.97166666666666668</v>
      </c>
      <c r="DU376" s="4">
        <f t="shared" si="1608"/>
        <v>1</v>
      </c>
      <c r="DV376" s="4">
        <f t="shared" si="1450"/>
        <v>0.97166666666666668</v>
      </c>
      <c r="DX376" s="4">
        <f t="shared" si="1609"/>
        <v>251.53201486636169</v>
      </c>
      <c r="DY376" s="25">
        <f t="shared" si="1502"/>
        <v>130.27811215495069</v>
      </c>
      <c r="EA376" s="4">
        <f t="shared" si="1503"/>
        <v>0.82591666666666663</v>
      </c>
      <c r="EB376" s="4">
        <f t="shared" si="1610"/>
        <v>6.5934694242202827</v>
      </c>
      <c r="EE376" s="4">
        <f t="shared" si="1611"/>
        <v>82.305406869779816</v>
      </c>
      <c r="EF376" s="4">
        <f t="shared" si="1451"/>
        <v>3.2403703492039302</v>
      </c>
      <c r="EG376" s="4">
        <f t="shared" si="1612"/>
        <v>4.0977078151962498E-2</v>
      </c>
      <c r="EJ376" s="4">
        <f t="shared" si="1452"/>
        <v>4.0977078151962498E-2</v>
      </c>
      <c r="EK376" s="4">
        <f t="shared" si="1613"/>
        <v>0.12541212047477598</v>
      </c>
      <c r="EL376" s="4">
        <f t="shared" si="1453"/>
        <v>2.8737554041454305</v>
      </c>
      <c r="EM376" s="4">
        <f t="shared" si="1454"/>
        <v>5.0906145227136008</v>
      </c>
      <c r="EN376" s="4" t="e">
        <f t="shared" si="1455"/>
        <v>#REF!</v>
      </c>
      <c r="EO376" s="4" t="e">
        <f t="shared" si="1456"/>
        <v>#REF!</v>
      </c>
      <c r="EP376" s="4" t="e">
        <f t="shared" si="1614"/>
        <v>#REF!</v>
      </c>
      <c r="EQ376" s="4" t="e">
        <f t="shared" si="1457"/>
        <v>#REF!</v>
      </c>
      <c r="ER376" s="4" t="e">
        <f t="shared" si="1615"/>
        <v>#REF!</v>
      </c>
      <c r="FA376" s="23" t="e">
        <f t="shared" si="1383"/>
        <v>#REF!</v>
      </c>
      <c r="FB376" s="23" t="e">
        <f t="shared" si="1384"/>
        <v>#REF!</v>
      </c>
      <c r="FC376" s="23">
        <f t="shared" si="1706"/>
        <v>1.2</v>
      </c>
      <c r="FD376" s="23" t="e">
        <f t="shared" si="1385"/>
        <v>#REF!</v>
      </c>
      <c r="FE376" s="23">
        <f t="shared" si="1386"/>
        <v>0.8</v>
      </c>
      <c r="FF376" s="23">
        <f t="shared" si="1387"/>
        <v>0.8</v>
      </c>
      <c r="FG376" s="23">
        <f t="shared" si="1629"/>
        <v>1</v>
      </c>
      <c r="FH376" s="23"/>
      <c r="FR376" s="4">
        <f t="shared" si="1485"/>
        <v>1</v>
      </c>
      <c r="FS376" s="4">
        <f t="shared" si="1486"/>
        <v>0.86944444444444446</v>
      </c>
      <c r="FT376" s="4">
        <f t="shared" si="1487"/>
        <v>0</v>
      </c>
      <c r="FU376" s="4">
        <f t="shared" si="1488"/>
        <v>171.71246360268287</v>
      </c>
    </row>
    <row r="377" spans="2:177" ht="12" customHeight="1" x14ac:dyDescent="0.3">
      <c r="B377" s="24"/>
      <c r="C377" s="7" t="s">
        <v>519</v>
      </c>
      <c r="D377" s="38">
        <f t="shared" si="1635"/>
        <v>889.65517241379314</v>
      </c>
      <c r="E377" s="38">
        <f>6.03*25.4</f>
        <v>153.16200000000001</v>
      </c>
      <c r="F377" s="38">
        <f t="shared" si="1698"/>
        <v>35.586206896551722</v>
      </c>
      <c r="G377" s="38">
        <f t="shared" si="1341"/>
        <v>25.4</v>
      </c>
      <c r="H377" s="38">
        <f>17.4*25.4</f>
        <v>441.95999999999992</v>
      </c>
      <c r="I377" s="38">
        <f>2.55*25.4</f>
        <v>64.77</v>
      </c>
      <c r="J377" s="39">
        <f>7.25*25.4</f>
        <v>184.14999999999998</v>
      </c>
      <c r="K377" s="7">
        <f t="shared" si="1339"/>
        <v>70.273333333333298</v>
      </c>
      <c r="L377" s="38">
        <v>4</v>
      </c>
      <c r="M377" s="4">
        <f t="shared" si="1357"/>
        <v>260.34999999999997</v>
      </c>
      <c r="N377" s="7">
        <f t="shared" si="1569"/>
        <v>1.8833333333333326</v>
      </c>
      <c r="O377" s="7">
        <f t="shared" si="1570"/>
        <v>3.05</v>
      </c>
      <c r="P377" s="38">
        <v>9.1</v>
      </c>
      <c r="Q377" s="4">
        <f t="shared" si="1342"/>
        <v>9.1</v>
      </c>
      <c r="R377" s="4">
        <f t="shared" si="1571"/>
        <v>10.1</v>
      </c>
      <c r="S377" s="7">
        <f t="shared" si="1572"/>
        <v>80.72246279691916</v>
      </c>
      <c r="V377" s="38">
        <f t="shared" si="1395"/>
        <v>275.86206896551727</v>
      </c>
      <c r="W377" s="4">
        <v>40</v>
      </c>
      <c r="X377" s="4">
        <f t="shared" si="1573"/>
        <v>1.023547164422965</v>
      </c>
      <c r="Y377" s="38">
        <f>0.5*25.4</f>
        <v>12.7</v>
      </c>
      <c r="Z377" s="38">
        <v>10</v>
      </c>
      <c r="AA377" s="39">
        <f t="shared" si="1661"/>
        <v>76.199999999999989</v>
      </c>
      <c r="AB377" s="39">
        <v>3</v>
      </c>
      <c r="AC377" s="39">
        <f>AB377-1</f>
        <v>2</v>
      </c>
      <c r="AD377" s="7"/>
      <c r="AE377" s="4">
        <f t="shared" si="1576"/>
        <v>153.16200000000001</v>
      </c>
      <c r="AF377" s="4">
        <f t="shared" si="1577"/>
        <v>0.96185737976782737</v>
      </c>
      <c r="AG377" s="4">
        <f t="shared" si="1578"/>
        <v>55.789193974838994</v>
      </c>
      <c r="AH377" s="4">
        <f t="shared" si="1579"/>
        <v>0.80116086235489214</v>
      </c>
      <c r="AI377" s="4">
        <v>1.25</v>
      </c>
      <c r="AJ377" s="4">
        <f t="shared" si="1513"/>
        <v>2.5</v>
      </c>
      <c r="AK377" s="38">
        <f t="shared" si="1340"/>
        <v>134.34778647326121</v>
      </c>
      <c r="AL377" s="38">
        <f t="shared" si="1616"/>
        <v>134.34778647326121</v>
      </c>
      <c r="AM377" s="38">
        <f t="shared" si="1580"/>
        <v>3.2457050730263122</v>
      </c>
      <c r="AN377" s="38">
        <f t="shared" si="1521"/>
        <v>134.34778647326129</v>
      </c>
      <c r="AO377" s="38">
        <f t="shared" si="1484"/>
        <v>0.99999999999999933</v>
      </c>
      <c r="AP377" s="38">
        <f t="shared" si="1522"/>
        <v>3.7555170510795586</v>
      </c>
      <c r="AQ377" s="4">
        <f t="shared" si="1523"/>
        <v>0</v>
      </c>
      <c r="AR377" s="4" t="e">
        <f>#REF!/G377*F377^0.5/0.19</f>
        <v>#REF!</v>
      </c>
      <c r="AS377" s="4">
        <f t="shared" si="1581"/>
        <v>1.2477876106194694</v>
      </c>
      <c r="AT377" s="38">
        <f t="shared" si="1582"/>
        <v>504.54540287512845</v>
      </c>
      <c r="AU377" s="4">
        <f t="shared" si="1583"/>
        <v>0.3</v>
      </c>
      <c r="AV377" s="4" t="e">
        <f>AU377*D377*#REF!/(D377*G377/2.75/F377^0.5)</f>
        <v>#REF!</v>
      </c>
      <c r="AW377" s="4" t="e">
        <f t="shared" si="1431"/>
        <v>#REF!</v>
      </c>
      <c r="AY377" s="4">
        <f t="shared" si="1584"/>
        <v>1.5</v>
      </c>
      <c r="AZ377" s="4" t="e">
        <f>(3*#REF!+30)*AY377*F377^0.5</f>
        <v>#REF!</v>
      </c>
      <c r="BB377" s="4">
        <f t="shared" si="1585"/>
        <v>483.92074323939113</v>
      </c>
      <c r="BC377" s="4">
        <f t="shared" si="1662"/>
        <v>0</v>
      </c>
      <c r="BD377" s="4">
        <f t="shared" si="1432"/>
        <v>0</v>
      </c>
      <c r="BL377" s="4">
        <f t="shared" si="1586"/>
        <v>35.136666666666649</v>
      </c>
      <c r="BP377" s="9"/>
      <c r="BR377" s="9"/>
      <c r="BS377" s="9"/>
      <c r="BT377" s="9">
        <f t="shared" si="1587"/>
        <v>35.136666666666649</v>
      </c>
      <c r="BU377" s="9">
        <f t="shared" si="1588"/>
        <v>64.77</v>
      </c>
      <c r="BV377" s="9">
        <f t="shared" si="1589"/>
        <v>1.2891558441961506</v>
      </c>
      <c r="BW377" s="40">
        <f t="shared" si="1343"/>
        <v>20</v>
      </c>
      <c r="BX377" s="9">
        <f t="shared" si="1590"/>
        <v>0.05</v>
      </c>
      <c r="BY377" s="9">
        <f t="shared" si="1433"/>
        <v>0.8</v>
      </c>
      <c r="BZ377" s="9">
        <f t="shared" si="1591"/>
        <v>0.99524931562137331</v>
      </c>
      <c r="CA377" s="9">
        <f t="shared" si="1592"/>
        <v>0.68</v>
      </c>
      <c r="CB377" s="9">
        <f t="shared" si="1593"/>
        <v>1.4130245076626196</v>
      </c>
      <c r="CC377" s="9">
        <f t="shared" si="1594"/>
        <v>2.95202840817575</v>
      </c>
      <c r="CD377" s="40">
        <v>1</v>
      </c>
      <c r="CE377" s="9" t="e">
        <f>4*CC377*#REF!+60*CC377</f>
        <v>#REF!</v>
      </c>
      <c r="CG377" s="4" t="e">
        <f t="shared" si="1434"/>
        <v>#REF!</v>
      </c>
      <c r="CH377" s="4" t="e">
        <f t="shared" si="1435"/>
        <v>#REF!</v>
      </c>
      <c r="CI377" s="4" t="e">
        <f t="shared" si="1436"/>
        <v>#REF!</v>
      </c>
      <c r="CJ377" s="4" t="e">
        <f t="shared" si="1437"/>
        <v>#REF!</v>
      </c>
      <c r="CK377" s="4">
        <f t="shared" si="1438"/>
        <v>1.023547164422965</v>
      </c>
      <c r="CL377" s="4">
        <f t="shared" si="1439"/>
        <v>0.95972228420837502</v>
      </c>
      <c r="CM377" s="4">
        <f t="shared" si="1699"/>
        <v>1.1875804167963844</v>
      </c>
      <c r="CN377" s="4">
        <f t="shared" si="1344"/>
        <v>10</v>
      </c>
      <c r="CU377" s="4" t="e">
        <f t="shared" ref="CU377" si="1712">CG377</f>
        <v>#REF!</v>
      </c>
      <c r="CV377" s="4" t="e">
        <f t="shared" ref="CV377" si="1713">CH377</f>
        <v>#REF!</v>
      </c>
      <c r="CW377" s="4" t="e">
        <f t="shared" ref="CW377" si="1714">CJ377</f>
        <v>#REF!</v>
      </c>
      <c r="CX377" s="4">
        <f t="shared" ref="CX377" si="1715">CM377</f>
        <v>1.1875804167963844</v>
      </c>
      <c r="CY377" s="4">
        <f t="shared" ref="CY377" si="1716">CK377</f>
        <v>1.023547164422965</v>
      </c>
      <c r="CZ377" s="4">
        <f t="shared" ref="CZ377" si="1717">CL377</f>
        <v>0.95972228420837502</v>
      </c>
      <c r="DC377" s="4" t="e">
        <f>#REF!</f>
        <v>#REF!</v>
      </c>
      <c r="DF377" s="4">
        <f t="shared" si="1601"/>
        <v>1.1195515890956275E-5</v>
      </c>
      <c r="DG377" s="4">
        <f t="shared" si="1446"/>
        <v>8.5961707929120017</v>
      </c>
      <c r="DH377" s="4">
        <f t="shared" si="1602"/>
        <v>0.13030728728726751</v>
      </c>
      <c r="DI377" s="4">
        <f t="shared" si="1447"/>
        <v>3.8044555753490479</v>
      </c>
      <c r="DJ377" s="4">
        <f t="shared" si="1448"/>
        <v>6.6529430361481445</v>
      </c>
      <c r="DK377" s="4">
        <f t="shared" si="1603"/>
        <v>8.4621477029872203</v>
      </c>
      <c r="DL377" s="38">
        <f t="shared" si="1604"/>
        <v>269.51573757818699</v>
      </c>
      <c r="DM377" s="4" t="e">
        <f t="shared" si="1449"/>
        <v>#REF!</v>
      </c>
      <c r="DN377" s="4">
        <f t="shared" si="1605"/>
        <v>3.1780497164141401</v>
      </c>
      <c r="DO377" s="4">
        <f t="shared" si="1697"/>
        <v>134.34778647326129</v>
      </c>
      <c r="DS377" s="4">
        <f t="shared" si="1606"/>
        <v>0.85</v>
      </c>
      <c r="DT377" s="4">
        <f t="shared" si="1607"/>
        <v>0.96166666666666667</v>
      </c>
      <c r="DU377" s="4">
        <f t="shared" si="1608"/>
        <v>0.77500000000000002</v>
      </c>
      <c r="DV377" s="4">
        <f t="shared" si="1450"/>
        <v>0.74529166666666669</v>
      </c>
      <c r="DX377" s="4">
        <f t="shared" si="1609"/>
        <v>287.43947442364697</v>
      </c>
      <c r="DY377" s="25">
        <f t="shared" si="1502"/>
        <v>131.93474477986888</v>
      </c>
      <c r="EA377" s="4">
        <f t="shared" si="1503"/>
        <v>0.63349791666666666</v>
      </c>
      <c r="EB377" s="4">
        <f t="shared" si="1610"/>
        <v>8.5961707929120017</v>
      </c>
      <c r="EE377" s="4">
        <f t="shared" si="1611"/>
        <v>80.72246279691916</v>
      </c>
      <c r="EF377" s="4">
        <f t="shared" si="1451"/>
        <v>3.1780497164141406</v>
      </c>
      <c r="EG377" s="4">
        <f t="shared" si="1612"/>
        <v>4.2505469628260288E-2</v>
      </c>
      <c r="EJ377" s="4">
        <f t="shared" si="1452"/>
        <v>4.2505469628260288E-2</v>
      </c>
      <c r="EK377" s="4">
        <f t="shared" si="1613"/>
        <v>0.13008982871076205</v>
      </c>
      <c r="EL377" s="4">
        <f t="shared" si="1453"/>
        <v>3.8019147318745952</v>
      </c>
      <c r="EM377" s="4">
        <f t="shared" si="1454"/>
        <v>6.6522306588627282</v>
      </c>
      <c r="EN377" s="4" t="e">
        <f t="shared" si="1455"/>
        <v>#REF!</v>
      </c>
      <c r="EO377" s="4" t="e">
        <f t="shared" si="1456"/>
        <v>#REF!</v>
      </c>
      <c r="EP377" s="4" t="e">
        <f t="shared" si="1614"/>
        <v>#REF!</v>
      </c>
      <c r="EQ377" s="4" t="e">
        <f t="shared" si="1457"/>
        <v>#REF!</v>
      </c>
      <c r="ER377" s="4" t="e">
        <f t="shared" si="1615"/>
        <v>#REF!</v>
      </c>
      <c r="FA377" s="23" t="e">
        <f t="shared" si="1383"/>
        <v>#REF!</v>
      </c>
      <c r="FB377" s="23" t="e">
        <f t="shared" si="1384"/>
        <v>#REF!</v>
      </c>
      <c r="FC377" s="23">
        <f t="shared" si="1706"/>
        <v>1.2</v>
      </c>
      <c r="FD377" s="23" t="e">
        <f t="shared" si="1385"/>
        <v>#REF!</v>
      </c>
      <c r="FE377" s="23">
        <f t="shared" si="1386"/>
        <v>1.2</v>
      </c>
      <c r="FF377" s="23">
        <f t="shared" si="1387"/>
        <v>1</v>
      </c>
      <c r="FG377" s="23">
        <f t="shared" si="1629"/>
        <v>0</v>
      </c>
      <c r="FH377" s="23"/>
      <c r="FR377" s="4">
        <f t="shared" si="1485"/>
        <v>1</v>
      </c>
      <c r="FS377" s="4">
        <f t="shared" si="1486"/>
        <v>0.63222480620155053</v>
      </c>
      <c r="FT377" s="4">
        <f t="shared" si="1487"/>
        <v>0.3</v>
      </c>
      <c r="FU377" s="4">
        <f t="shared" si="1488"/>
        <v>232.28916969655197</v>
      </c>
    </row>
    <row r="378" spans="2:177" ht="12" customHeight="1" x14ac:dyDescent="0.3">
      <c r="B378" s="24" t="s">
        <v>520</v>
      </c>
      <c r="C378" s="7" t="s">
        <v>521</v>
      </c>
      <c r="D378" s="38">
        <f>139/0.145</f>
        <v>958.62068965517244</v>
      </c>
      <c r="E378" s="38">
        <f>4.06*25.4</f>
        <v>103.12399999999998</v>
      </c>
      <c r="F378" s="38">
        <f>4810/145</f>
        <v>33.172413793103445</v>
      </c>
      <c r="G378" s="38">
        <f>0.625*25.4</f>
        <v>15.875</v>
      </c>
      <c r="H378" s="38">
        <f>12.9*25.4</f>
        <v>327.65999999999997</v>
      </c>
      <c r="I378" s="38">
        <f>2.5*25.4</f>
        <v>63.5</v>
      </c>
      <c r="J378" s="39">
        <f>5.25*25.4</f>
        <v>133.35</v>
      </c>
      <c r="K378" s="7">
        <f t="shared" si="1339"/>
        <v>168.90999999999997</v>
      </c>
      <c r="L378" s="38">
        <v>2</v>
      </c>
      <c r="M378" s="4">
        <f t="shared" ref="M378:M385" si="1718">5.25*25.4</f>
        <v>133.35</v>
      </c>
      <c r="N378" s="7">
        <f t="shared" si="1569"/>
        <v>4.5</v>
      </c>
      <c r="O378" s="7">
        <f t="shared" si="1570"/>
        <v>4.5</v>
      </c>
      <c r="P378" s="38">
        <v>4</v>
      </c>
      <c r="Q378" s="4">
        <f t="shared" si="1342"/>
        <v>4</v>
      </c>
      <c r="R378" s="4">
        <f t="shared" si="1571"/>
        <v>5</v>
      </c>
      <c r="S378" s="7">
        <f t="shared" si="1572"/>
        <v>35.497579142809165</v>
      </c>
      <c r="V378" s="38">
        <f t="shared" si="1395"/>
        <v>544.82758620689663</v>
      </c>
      <c r="W378" s="4">
        <v>79</v>
      </c>
      <c r="X378" s="4">
        <f t="shared" si="1573"/>
        <v>0.85551395808440578</v>
      </c>
      <c r="Y378" s="38"/>
      <c r="Z378" s="38"/>
      <c r="AA378" s="39">
        <v>1</v>
      </c>
      <c r="AB378" s="39"/>
      <c r="AC378" s="39"/>
      <c r="AD378" s="7"/>
      <c r="AE378" s="4">
        <f t="shared" si="1576"/>
        <v>103.12399999999998</v>
      </c>
      <c r="AF378" s="4">
        <f t="shared" si="1577"/>
        <v>1.059113300492611</v>
      </c>
      <c r="AG378" s="4">
        <f t="shared" si="1578"/>
        <v>152.36345683370544</v>
      </c>
      <c r="AH378" s="4">
        <f t="shared" si="1579"/>
        <v>0.83854679802955667</v>
      </c>
      <c r="AI378" s="4">
        <v>1.25</v>
      </c>
      <c r="AJ378" s="4">
        <f t="shared" si="1513"/>
        <v>2.5</v>
      </c>
      <c r="AK378" s="38">
        <f t="shared" si="1340"/>
        <v>422.86385630992817</v>
      </c>
      <c r="AL378" s="38">
        <f t="shared" si="1616"/>
        <v>422.86385630992817</v>
      </c>
      <c r="AM378" s="38">
        <f t="shared" si="1580"/>
        <v>3.0972241539071201</v>
      </c>
      <c r="AN378" s="38">
        <f t="shared" si="1521"/>
        <v>422.86385630992817</v>
      </c>
      <c r="AO378" s="38">
        <f t="shared" si="1484"/>
        <v>1</v>
      </c>
      <c r="AP378" s="38">
        <f t="shared" si="1522"/>
        <v>1.4120465472892745</v>
      </c>
      <c r="AQ378" s="4">
        <f t="shared" si="1523"/>
        <v>0</v>
      </c>
      <c r="AR378" s="4" t="e">
        <f>#REF!/G378*F378^0.5/0.19</f>
        <v>#REF!</v>
      </c>
      <c r="AS378" s="4">
        <f t="shared" si="1581"/>
        <v>1</v>
      </c>
      <c r="AT378" s="38">
        <f t="shared" si="1582"/>
        <v>597.10344827586198</v>
      </c>
      <c r="AU378" s="4">
        <f t="shared" si="1583"/>
        <v>0.44000000000000006</v>
      </c>
      <c r="AV378" s="4" t="e">
        <f>AU378*D378*#REF!/(D378*G378/2.75/F378^0.5)</f>
        <v>#REF!</v>
      </c>
      <c r="AW378" s="4" t="e">
        <f t="shared" si="1431"/>
        <v>#REF!</v>
      </c>
      <c r="AY378" s="4">
        <f t="shared" si="1584"/>
        <v>1.5</v>
      </c>
      <c r="AZ378" s="4" t="e">
        <f>(3*#REF!+30)*AY378*F378^0.5</f>
        <v>#REF!</v>
      </c>
      <c r="BB378" s="4">
        <f t="shared" si="1585"/>
        <v>572.6952278900693</v>
      </c>
      <c r="BC378" s="4">
        <f t="shared" si="1662"/>
        <v>0</v>
      </c>
      <c r="BD378" s="4">
        <f t="shared" si="1432"/>
        <v>0</v>
      </c>
      <c r="BL378" s="4">
        <f t="shared" si="1586"/>
        <v>63.5</v>
      </c>
      <c r="BP378" s="9"/>
      <c r="BR378" s="9"/>
      <c r="BS378" s="9"/>
      <c r="BT378" s="9">
        <f t="shared" si="1587"/>
        <v>63.5</v>
      </c>
      <c r="BU378" s="9">
        <f t="shared" si="1588"/>
        <v>84.454999999999984</v>
      </c>
      <c r="BV378" s="9">
        <f t="shared" si="1589"/>
        <v>2.0874099141114333</v>
      </c>
      <c r="BW378" s="40">
        <f t="shared" si="1343"/>
        <v>0</v>
      </c>
      <c r="BX378" s="9">
        <f t="shared" si="1590"/>
        <v>0</v>
      </c>
      <c r="BY378" s="9">
        <f t="shared" si="1433"/>
        <v>0</v>
      </c>
      <c r="BZ378" s="9">
        <f t="shared" si="1591"/>
        <v>1</v>
      </c>
      <c r="CA378" s="9">
        <f t="shared" si="1592"/>
        <v>0.68</v>
      </c>
      <c r="CB378" s="9">
        <f t="shared" si="1593"/>
        <v>1.3707728502186465</v>
      </c>
      <c r="CC378" s="9">
        <f t="shared" si="1594"/>
        <v>2.8613648375411893</v>
      </c>
      <c r="CD378" s="40">
        <v>1</v>
      </c>
      <c r="CE378" s="9" t="e">
        <f>4*CC378*#REF!+60*CC378</f>
        <v>#REF!</v>
      </c>
      <c r="CG378" s="4" t="e">
        <f t="shared" si="1434"/>
        <v>#REF!</v>
      </c>
      <c r="CH378" s="4" t="e">
        <f t="shared" si="1435"/>
        <v>#REF!</v>
      </c>
      <c r="CI378" s="4" t="e">
        <f t="shared" si="1436"/>
        <v>#REF!</v>
      </c>
      <c r="CJ378" s="4" t="e">
        <f t="shared" si="1437"/>
        <v>#REF!</v>
      </c>
      <c r="CK378" s="4">
        <f t="shared" si="1438"/>
        <v>0.85551395808440578</v>
      </c>
      <c r="CL378" s="4">
        <f t="shared" si="1439"/>
        <v>0.89951817016281221</v>
      </c>
      <c r="CM378" s="4">
        <f t="shared" si="1699"/>
        <v>1.3853708991438167</v>
      </c>
      <c r="CN378" s="4">
        <f t="shared" si="1344"/>
        <v>0</v>
      </c>
      <c r="CO378" s="4" t="e">
        <f t="shared" ref="CO378:CO379" si="1719">CG378</f>
        <v>#REF!</v>
      </c>
      <c r="CP378" s="4" t="e">
        <f t="shared" ref="CP378:CP379" si="1720">CH378</f>
        <v>#REF!</v>
      </c>
      <c r="CQ378" s="4" t="e">
        <f t="shared" ref="CQ378:CQ379" si="1721">CJ378</f>
        <v>#REF!</v>
      </c>
      <c r="CR378" s="4">
        <f t="shared" si="1536"/>
        <v>1.3853708991438167</v>
      </c>
      <c r="CS378" s="4">
        <f t="shared" ref="CS378:CS379" si="1722">CK378</f>
        <v>0.85551395808440578</v>
      </c>
      <c r="CT378" s="4">
        <f t="shared" ref="CT378:CT379" si="1723">CL378</f>
        <v>0.89951817016281221</v>
      </c>
      <c r="DC378" s="4" t="e">
        <f>#REF!</f>
        <v>#REF!</v>
      </c>
      <c r="DF378" s="4">
        <f t="shared" si="1601"/>
        <v>1.1862041549436264E-5</v>
      </c>
      <c r="DG378" s="4">
        <f t="shared" si="1446"/>
        <v>9.7201649178311715</v>
      </c>
      <c r="DH378" s="4">
        <f t="shared" si="1602"/>
        <v>0.44017879111879804</v>
      </c>
      <c r="DI378" s="4">
        <f t="shared" si="1447"/>
        <v>7.0004390514366941</v>
      </c>
      <c r="DJ378" s="4">
        <f t="shared" si="1448"/>
        <v>8.470459616072743</v>
      </c>
      <c r="DK378" s="4">
        <f t="shared" si="1603"/>
        <v>9.5527275677276045</v>
      </c>
      <c r="DL378" s="38">
        <f t="shared" si="1604"/>
        <v>636.84242794451688</v>
      </c>
      <c r="DM378" s="4" t="e">
        <f t="shared" si="1449"/>
        <v>#REF!</v>
      </c>
      <c r="DN378" s="4">
        <f t="shared" si="1605"/>
        <v>2.2360679774997898</v>
      </c>
      <c r="DO378" s="4">
        <f t="shared" si="1697"/>
        <v>422.86385630992817</v>
      </c>
      <c r="DS378" s="4">
        <f t="shared" si="1606"/>
        <v>0.85</v>
      </c>
      <c r="DT378" s="4">
        <f t="shared" si="1607"/>
        <v>0.7</v>
      </c>
      <c r="DU378" s="4">
        <f t="shared" si="1608"/>
        <v>1</v>
      </c>
      <c r="DV378" s="4">
        <f t="shared" si="1450"/>
        <v>0.7</v>
      </c>
      <c r="DX378" s="4">
        <f t="shared" si="1609"/>
        <v>605.68824986412801</v>
      </c>
      <c r="DY378" s="25">
        <f t="shared" si="1502"/>
        <v>416.26167594543415</v>
      </c>
      <c r="EA378" s="4">
        <f t="shared" si="1503"/>
        <v>0.59499999999999997</v>
      </c>
      <c r="EB378" s="4">
        <f t="shared" si="1610"/>
        <v>9.7201649178311715</v>
      </c>
      <c r="EE378" s="4">
        <f t="shared" si="1611"/>
        <v>35.497579142809165</v>
      </c>
      <c r="EF378" s="4">
        <f t="shared" si="1451"/>
        <v>2.2360679774997898</v>
      </c>
      <c r="EG378" s="4">
        <f t="shared" si="1612"/>
        <v>0.13862862504888454</v>
      </c>
      <c r="EJ378" s="4">
        <f t="shared" si="1452"/>
        <v>0.13862862504888454</v>
      </c>
      <c r="EK378" s="4">
        <f t="shared" si="1613"/>
        <v>0.43944421475459533</v>
      </c>
      <c r="EL378" s="4">
        <f t="shared" si="1453"/>
        <v>6.9957637386278373</v>
      </c>
      <c r="EM378" s="4">
        <f t="shared" si="1454"/>
        <v>8.4685301751669879</v>
      </c>
      <c r="EN378" s="4" t="e">
        <f t="shared" si="1455"/>
        <v>#REF!</v>
      </c>
      <c r="EO378" s="4" t="e">
        <f t="shared" si="1456"/>
        <v>#REF!</v>
      </c>
      <c r="EP378" s="4" t="e">
        <f t="shared" si="1614"/>
        <v>#REF!</v>
      </c>
      <c r="EQ378" s="4" t="e">
        <f t="shared" si="1457"/>
        <v>#REF!</v>
      </c>
      <c r="ER378" s="4" t="e">
        <f t="shared" si="1615"/>
        <v>#REF!</v>
      </c>
      <c r="FA378" s="23" t="e">
        <f t="shared" si="1383"/>
        <v>#REF!</v>
      </c>
      <c r="FB378" s="23" t="e">
        <f t="shared" si="1384"/>
        <v>#REF!</v>
      </c>
      <c r="FC378" s="23">
        <f t="shared" si="1706"/>
        <v>1.4</v>
      </c>
      <c r="FD378" s="23" t="e">
        <f t="shared" si="1385"/>
        <v>#REF!</v>
      </c>
      <c r="FE378" s="23">
        <f t="shared" si="1386"/>
        <v>1</v>
      </c>
      <c r="FF378" s="23">
        <f t="shared" si="1387"/>
        <v>1</v>
      </c>
      <c r="FG378" s="23">
        <f t="shared" si="1629"/>
        <v>0</v>
      </c>
      <c r="FH378" s="23"/>
      <c r="FR378" s="4">
        <f t="shared" si="1485"/>
        <v>1</v>
      </c>
      <c r="FS378" s="4">
        <f t="shared" si="1486"/>
        <v>0.5</v>
      </c>
      <c r="FT378" s="4">
        <f t="shared" si="1487"/>
        <v>0</v>
      </c>
      <c r="FU378" s="4">
        <f t="shared" si="1488"/>
        <v>393.27200141392427</v>
      </c>
    </row>
    <row r="379" spans="2:177" ht="12" customHeight="1" x14ac:dyDescent="0.3">
      <c r="B379" s="24"/>
      <c r="C379" s="7" t="s">
        <v>522</v>
      </c>
      <c r="D379" s="38">
        <f t="shared" ref="D379:D402" si="1724">139/0.145</f>
        <v>958.62068965517244</v>
      </c>
      <c r="E379" s="38">
        <f>4.41*25.4</f>
        <v>112.014</v>
      </c>
      <c r="F379" s="38">
        <f t="shared" ref="F379:F382" si="1725">4810/145</f>
        <v>33.172413793103445</v>
      </c>
      <c r="G379" s="38">
        <f t="shared" ref="G379:G402" si="1726">0.625*25.4</f>
        <v>15.875</v>
      </c>
      <c r="H379" s="38">
        <f>13.1*25.4</f>
        <v>332.73999999999995</v>
      </c>
      <c r="I379" s="38">
        <f>2.5*25.4</f>
        <v>63.5</v>
      </c>
      <c r="J379" s="39">
        <f>4.65*25.4</f>
        <v>118.11</v>
      </c>
      <c r="K379" s="7">
        <f t="shared" si="1339"/>
        <v>173.98999999999995</v>
      </c>
      <c r="L379" s="38">
        <v>2</v>
      </c>
      <c r="M379" s="4">
        <f t="shared" si="1718"/>
        <v>133.35</v>
      </c>
      <c r="N379" s="7">
        <f t="shared" si="1569"/>
        <v>4.5</v>
      </c>
      <c r="O379" s="7">
        <f t="shared" si="1570"/>
        <v>4.5</v>
      </c>
      <c r="P379" s="38">
        <v>13.1</v>
      </c>
      <c r="Q379" s="4">
        <f t="shared" si="1342"/>
        <v>13.1</v>
      </c>
      <c r="R379" s="4">
        <f t="shared" si="1571"/>
        <v>14.1</v>
      </c>
      <c r="S379" s="7">
        <f t="shared" si="1572"/>
        <v>59.610572153771514</v>
      </c>
      <c r="V379" s="38">
        <f t="shared" si="1395"/>
        <v>627.58620689655174</v>
      </c>
      <c r="W379" s="4">
        <v>91</v>
      </c>
      <c r="X379" s="4">
        <f t="shared" si="1573"/>
        <v>0.98139244277365356</v>
      </c>
      <c r="Y379" s="38"/>
      <c r="Z379" s="38"/>
      <c r="AA379" s="39">
        <v>1</v>
      </c>
      <c r="AB379" s="39"/>
      <c r="AC379" s="39"/>
      <c r="AD379" s="7"/>
      <c r="AE379" s="4">
        <f t="shared" si="1576"/>
        <v>112.014</v>
      </c>
      <c r="AF379" s="4">
        <f t="shared" si="1577"/>
        <v>0.99017384731670421</v>
      </c>
      <c r="AG379" s="4">
        <f t="shared" si="1578"/>
        <v>172.48433206051794</v>
      </c>
      <c r="AH379" s="4">
        <f t="shared" si="1579"/>
        <v>0.8275510204081632</v>
      </c>
      <c r="AI379" s="4">
        <v>1.25</v>
      </c>
      <c r="AJ379" s="4">
        <f t="shared" si="1513"/>
        <v>2.5</v>
      </c>
      <c r="AK379" s="38">
        <f t="shared" si="1340"/>
        <v>441.67813764040932</v>
      </c>
      <c r="AL379" s="38">
        <f t="shared" si="1616"/>
        <v>441.67813764040932</v>
      </c>
      <c r="AM379" s="38">
        <f t="shared" si="1580"/>
        <v>3.0972241539071201</v>
      </c>
      <c r="AN379" s="38">
        <f t="shared" si="1521"/>
        <v>441.67813764040881</v>
      </c>
      <c r="AO379" s="38">
        <f t="shared" si="1484"/>
        <v>1.0000000000000011</v>
      </c>
      <c r="AP379" s="38">
        <f t="shared" si="1522"/>
        <v>2.4465231438551203</v>
      </c>
      <c r="AQ379" s="4">
        <f t="shared" si="1523"/>
        <v>0</v>
      </c>
      <c r="AR379" s="4" t="e">
        <f>#REF!/G379*F379^0.5/0.19</f>
        <v>#REF!</v>
      </c>
      <c r="AS379" s="4">
        <f t="shared" si="1581"/>
        <v>1</v>
      </c>
      <c r="AT379" s="38">
        <f t="shared" si="1582"/>
        <v>1080.5757858720874</v>
      </c>
      <c r="AU379" s="4">
        <f t="shared" si="1583"/>
        <v>0.3</v>
      </c>
      <c r="AV379" s="4" t="e">
        <f>AU379*D379*#REF!/(D379*G379/2.75/F379^0.5)</f>
        <v>#REF!</v>
      </c>
      <c r="AW379" s="4" t="e">
        <f t="shared" si="1431"/>
        <v>#REF!</v>
      </c>
      <c r="AY379" s="4">
        <f t="shared" si="1584"/>
        <v>1.5</v>
      </c>
      <c r="AZ379" s="4" t="e">
        <f>(3*#REF!+30)*AY379*F379^0.5</f>
        <v>#REF!</v>
      </c>
      <c r="BB379" s="4">
        <f t="shared" si="1585"/>
        <v>1036.4043244590362</v>
      </c>
      <c r="BC379" s="4">
        <f t="shared" si="1662"/>
        <v>0</v>
      </c>
      <c r="BD379" s="4">
        <f t="shared" si="1432"/>
        <v>0</v>
      </c>
      <c r="BL379" s="4">
        <f t="shared" si="1586"/>
        <v>63.5</v>
      </c>
      <c r="BP379" s="9"/>
      <c r="BR379" s="9"/>
      <c r="BS379" s="9"/>
      <c r="BT379" s="9">
        <f t="shared" si="1587"/>
        <v>63.5</v>
      </c>
      <c r="BU379" s="9">
        <f t="shared" si="1588"/>
        <v>86.994999999999976</v>
      </c>
      <c r="BV379" s="9">
        <f t="shared" si="1589"/>
        <v>2.0967086203206882</v>
      </c>
      <c r="BW379" s="40">
        <f t="shared" si="1343"/>
        <v>0</v>
      </c>
      <c r="BX379" s="9">
        <f t="shared" si="1590"/>
        <v>0</v>
      </c>
      <c r="BY379" s="9">
        <f t="shared" si="1433"/>
        <v>0</v>
      </c>
      <c r="BZ379" s="9">
        <f t="shared" si="1591"/>
        <v>1</v>
      </c>
      <c r="CA379" s="9">
        <f t="shared" si="1592"/>
        <v>0.68</v>
      </c>
      <c r="CB379" s="9">
        <f t="shared" si="1593"/>
        <v>1.3707728502186465</v>
      </c>
      <c r="CC379" s="9">
        <f t="shared" si="1594"/>
        <v>2.8741112515549956</v>
      </c>
      <c r="CD379" s="40">
        <v>1</v>
      </c>
      <c r="CE379" s="9" t="e">
        <f>4*CC379*#REF!+60*CC379</f>
        <v>#REF!</v>
      </c>
      <c r="CG379" s="4" t="e">
        <f t="shared" si="1434"/>
        <v>#REF!</v>
      </c>
      <c r="CH379" s="4" t="e">
        <f t="shared" si="1435"/>
        <v>#REF!</v>
      </c>
      <c r="CI379" s="4" t="e">
        <f t="shared" si="1436"/>
        <v>#REF!</v>
      </c>
      <c r="CJ379" s="4" t="e">
        <f t="shared" si="1437"/>
        <v>#REF!</v>
      </c>
      <c r="CK379" s="4">
        <f t="shared" si="1438"/>
        <v>0.98139244277365356</v>
      </c>
      <c r="CL379" s="4">
        <f t="shared" si="1439"/>
        <v>0.97894457082747688</v>
      </c>
      <c r="CM379" s="4">
        <f t="shared" si="1699"/>
        <v>1.4691556370667194</v>
      </c>
      <c r="CN379" s="4">
        <f t="shared" si="1344"/>
        <v>0</v>
      </c>
      <c r="CO379" s="4" t="e">
        <f t="shared" si="1719"/>
        <v>#REF!</v>
      </c>
      <c r="CP379" s="4" t="e">
        <f t="shared" si="1720"/>
        <v>#REF!</v>
      </c>
      <c r="CQ379" s="4" t="e">
        <f t="shared" si="1721"/>
        <v>#REF!</v>
      </c>
      <c r="CR379" s="4">
        <f t="shared" si="1536"/>
        <v>1.4691556370667194</v>
      </c>
      <c r="CS379" s="4">
        <f t="shared" si="1722"/>
        <v>0.98139244277365356</v>
      </c>
      <c r="CT379" s="4">
        <f t="shared" si="1723"/>
        <v>0.97894457082747688</v>
      </c>
      <c r="DC379" s="4" t="e">
        <f>#REF!</f>
        <v>#REF!</v>
      </c>
      <c r="DF379" s="4">
        <f t="shared" si="1601"/>
        <v>1.2884631338180772E-5</v>
      </c>
      <c r="DG379" s="4">
        <f t="shared" si="1446"/>
        <v>9.7201649178311715</v>
      </c>
      <c r="DH379" s="4">
        <f t="shared" si="1602"/>
        <v>0.23574782794831436</v>
      </c>
      <c r="DI379" s="4">
        <f t="shared" si="1447"/>
        <v>5.4532161660447596</v>
      </c>
      <c r="DJ379" s="4">
        <f t="shared" si="1448"/>
        <v>7.8831319965935673</v>
      </c>
      <c r="DK379" s="4">
        <f t="shared" si="1603"/>
        <v>9.5570432309997315</v>
      </c>
      <c r="DL379" s="38">
        <f t="shared" si="1604"/>
        <v>639.48546936314347</v>
      </c>
      <c r="DM379" s="4" t="e">
        <f t="shared" si="1449"/>
        <v>#REF!</v>
      </c>
      <c r="DN379" s="4">
        <f t="shared" si="1605"/>
        <v>3.7549966711037173</v>
      </c>
      <c r="DO379" s="4">
        <f t="shared" si="1697"/>
        <v>441.67813764040881</v>
      </c>
      <c r="DS379" s="4">
        <f t="shared" si="1606"/>
        <v>0.85</v>
      </c>
      <c r="DT379" s="4">
        <f t="shared" si="1607"/>
        <v>0.7</v>
      </c>
      <c r="DU379" s="4">
        <f t="shared" si="1608"/>
        <v>1</v>
      </c>
      <c r="DV379" s="4">
        <f t="shared" si="1450"/>
        <v>0.7</v>
      </c>
      <c r="DX379" s="4">
        <f t="shared" si="1609"/>
        <v>641.08451652790632</v>
      </c>
      <c r="DY379" s="25">
        <f t="shared" si="1502"/>
        <v>435.32806554725613</v>
      </c>
      <c r="EA379" s="4">
        <f t="shared" si="1503"/>
        <v>0.59499999999999997</v>
      </c>
      <c r="EB379" s="4">
        <f t="shared" si="1610"/>
        <v>9.7201649178311715</v>
      </c>
      <c r="EE379" s="4">
        <f t="shared" si="1611"/>
        <v>59.610572153771514</v>
      </c>
      <c r="EF379" s="4">
        <f t="shared" si="1451"/>
        <v>3.7549966711037173</v>
      </c>
      <c r="EG379" s="4">
        <f t="shared" si="1612"/>
        <v>7.4245733565830904E-2</v>
      </c>
      <c r="EJ379" s="4">
        <f t="shared" si="1452"/>
        <v>7.4245733565830904E-2</v>
      </c>
      <c r="EK379" s="4">
        <f t="shared" si="1613"/>
        <v>0.23535440876089098</v>
      </c>
      <c r="EL379" s="4">
        <f t="shared" si="1453"/>
        <v>5.4495741814201901</v>
      </c>
      <c r="EM379" s="4">
        <f t="shared" si="1454"/>
        <v>7.8818808394350324</v>
      </c>
      <c r="EN379" s="4" t="e">
        <f t="shared" si="1455"/>
        <v>#REF!</v>
      </c>
      <c r="EO379" s="4" t="e">
        <f t="shared" si="1456"/>
        <v>#REF!</v>
      </c>
      <c r="EP379" s="4" t="e">
        <f t="shared" si="1614"/>
        <v>#REF!</v>
      </c>
      <c r="EQ379" s="4" t="e">
        <f t="shared" si="1457"/>
        <v>#REF!</v>
      </c>
      <c r="ER379" s="4" t="e">
        <f t="shared" si="1615"/>
        <v>#REF!</v>
      </c>
      <c r="FA379" s="23" t="e">
        <f t="shared" si="1383"/>
        <v>#REF!</v>
      </c>
      <c r="FB379" s="23" t="e">
        <f t="shared" si="1384"/>
        <v>#REF!</v>
      </c>
      <c r="FC379" s="23">
        <f t="shared" si="1706"/>
        <v>1.6</v>
      </c>
      <c r="FD379" s="23" t="e">
        <f t="shared" si="1385"/>
        <v>#REF!</v>
      </c>
      <c r="FE379" s="23">
        <f t="shared" si="1386"/>
        <v>1</v>
      </c>
      <c r="FF379" s="23">
        <f t="shared" si="1387"/>
        <v>1</v>
      </c>
      <c r="FG379" s="23">
        <f t="shared" si="1629"/>
        <v>0</v>
      </c>
      <c r="FH379" s="23"/>
      <c r="FR379" s="4">
        <f t="shared" si="1485"/>
        <v>1</v>
      </c>
      <c r="FS379" s="4">
        <f t="shared" si="1486"/>
        <v>0.5</v>
      </c>
      <c r="FT379" s="4">
        <f t="shared" si="1487"/>
        <v>0</v>
      </c>
      <c r="FU379" s="4">
        <f t="shared" si="1488"/>
        <v>427.17476015650402</v>
      </c>
    </row>
    <row r="380" spans="2:177" ht="12" customHeight="1" x14ac:dyDescent="0.3">
      <c r="B380" s="24"/>
      <c r="C380" s="7" t="s">
        <v>523</v>
      </c>
      <c r="D380" s="38">
        <f t="shared" si="1724"/>
        <v>958.62068965517244</v>
      </c>
      <c r="E380" s="38">
        <f>3.81*25.4</f>
        <v>96.774000000000001</v>
      </c>
      <c r="F380" s="38">
        <f t="shared" si="1725"/>
        <v>33.172413793103445</v>
      </c>
      <c r="G380" s="38">
        <f t="shared" si="1726"/>
        <v>15.875</v>
      </c>
      <c r="H380" s="38">
        <f>13*25.4</f>
        <v>330.2</v>
      </c>
      <c r="I380" s="38">
        <f>2.5*25.4</f>
        <v>63.5</v>
      </c>
      <c r="J380" s="39">
        <f>5.35*25.4</f>
        <v>135.88999999999999</v>
      </c>
      <c r="K380" s="7">
        <f t="shared" ref="K380:K443" si="1727">(H380-L380*G380-2*I380)/(L380-1)</f>
        <v>171.45</v>
      </c>
      <c r="L380" s="38">
        <v>2</v>
      </c>
      <c r="M380" s="4">
        <f t="shared" si="1718"/>
        <v>133.35</v>
      </c>
      <c r="N380" s="7">
        <f t="shared" si="1569"/>
        <v>4.5</v>
      </c>
      <c r="O380" s="7">
        <f t="shared" si="1570"/>
        <v>4.5</v>
      </c>
      <c r="P380" s="38">
        <v>4</v>
      </c>
      <c r="Q380" s="4">
        <f t="shared" si="1342"/>
        <v>4</v>
      </c>
      <c r="R380" s="4">
        <f t="shared" si="1571"/>
        <v>5</v>
      </c>
      <c r="S380" s="7">
        <f t="shared" si="1572"/>
        <v>35.497579142809165</v>
      </c>
      <c r="V380" s="38">
        <f t="shared" si="1395"/>
        <v>437.93103448275866</v>
      </c>
      <c r="W380" s="4">
        <v>63.5</v>
      </c>
      <c r="X380" s="4">
        <f t="shared" si="1573"/>
        <v>0.70984876435598188</v>
      </c>
      <c r="Y380" s="38">
        <f>0.375*25.4</f>
        <v>9.5249999999999986</v>
      </c>
      <c r="Z380" s="38">
        <v>4</v>
      </c>
      <c r="AA380" s="39">
        <f>3.5*25.4</f>
        <v>88.899999999999991</v>
      </c>
      <c r="AB380" s="39">
        <v>2</v>
      </c>
      <c r="AC380" s="39">
        <f t="shared" ref="AC380:AC383" si="1728">AB380-1</f>
        <v>1</v>
      </c>
      <c r="AD380" s="7"/>
      <c r="AE380" s="4">
        <f t="shared" si="1576"/>
        <v>96.774000000000001</v>
      </c>
      <c r="AF380" s="4">
        <f t="shared" si="1577"/>
        <v>1.137357830271216</v>
      </c>
      <c r="AG380" s="4">
        <f t="shared" si="1578"/>
        <v>138.50939444174517</v>
      </c>
      <c r="AH380" s="4">
        <f t="shared" si="1579"/>
        <v>0.84763779527559047</v>
      </c>
      <c r="AI380" s="4">
        <v>1.25</v>
      </c>
      <c r="AJ380" s="4">
        <f t="shared" si="1513"/>
        <v>2.5</v>
      </c>
      <c r="AK380" s="38">
        <f t="shared" ref="AK380:AK443" si="1729">AF380*AH380*AI380*AJ380*AG380</f>
        <v>417.28876052172291</v>
      </c>
      <c r="AL380" s="38">
        <f t="shared" si="1616"/>
        <v>417.28876052172291</v>
      </c>
      <c r="AM380" s="38">
        <f t="shared" si="1580"/>
        <v>3.0972241539071201</v>
      </c>
      <c r="AN380" s="38">
        <f t="shared" si="1521"/>
        <v>417.28876052172325</v>
      </c>
      <c r="AO380" s="38">
        <f t="shared" si="1484"/>
        <v>0.99999999999999922</v>
      </c>
      <c r="AP380" s="38">
        <f t="shared" si="1522"/>
        <v>1.4309118882792864</v>
      </c>
      <c r="AQ380" s="4">
        <f t="shared" si="1523"/>
        <v>0</v>
      </c>
      <c r="AR380" s="4" t="e">
        <f>#REF!/G380*F380^0.5/0.19</f>
        <v>#REF!</v>
      </c>
      <c r="AS380" s="4">
        <f t="shared" si="1581"/>
        <v>1</v>
      </c>
      <c r="AT380" s="38">
        <f t="shared" si="1582"/>
        <v>597.10344827586198</v>
      </c>
      <c r="AU380" s="4">
        <f t="shared" si="1583"/>
        <v>0.44000000000000006</v>
      </c>
      <c r="AV380" s="4" t="e">
        <f>AU380*D380*#REF!/(D380*G380/2.75/F380^0.5)</f>
        <v>#REF!</v>
      </c>
      <c r="AW380" s="4" t="e">
        <f t="shared" si="1431"/>
        <v>#REF!</v>
      </c>
      <c r="AY380" s="4">
        <f t="shared" si="1584"/>
        <v>1.5</v>
      </c>
      <c r="AZ380" s="4" t="e">
        <f>(3*#REF!+30)*AY380*F380^0.5</f>
        <v>#REF!</v>
      </c>
      <c r="BB380" s="4">
        <f t="shared" si="1585"/>
        <v>572.6952278900693</v>
      </c>
      <c r="BC380" s="4">
        <f t="shared" si="1662"/>
        <v>0</v>
      </c>
      <c r="BD380" s="4">
        <f t="shared" si="1432"/>
        <v>0</v>
      </c>
      <c r="BL380" s="4">
        <f t="shared" si="1586"/>
        <v>63.5</v>
      </c>
      <c r="BP380" s="9"/>
      <c r="BR380" s="9"/>
      <c r="BS380" s="9"/>
      <c r="BT380" s="9">
        <f t="shared" si="1587"/>
        <v>63.5</v>
      </c>
      <c r="BU380" s="9">
        <f t="shared" si="1588"/>
        <v>85.724999999999994</v>
      </c>
      <c r="BV380" s="9">
        <f t="shared" si="1589"/>
        <v>2.0920885420600022</v>
      </c>
      <c r="BW380" s="40">
        <f t="shared" si="1343"/>
        <v>20</v>
      </c>
      <c r="BX380" s="9">
        <f t="shared" si="1590"/>
        <v>0.05</v>
      </c>
      <c r="BY380" s="9">
        <f t="shared" si="1433"/>
        <v>0.8</v>
      </c>
      <c r="BZ380" s="9">
        <f t="shared" si="1591"/>
        <v>1</v>
      </c>
      <c r="CA380" s="9">
        <f t="shared" si="1592"/>
        <v>0.68</v>
      </c>
      <c r="CB380" s="9">
        <f t="shared" si="1593"/>
        <v>1.3707728502186465</v>
      </c>
      <c r="CC380" s="9">
        <f t="shared" si="1594"/>
        <v>3.4269321255466161</v>
      </c>
      <c r="CD380" s="40">
        <v>1</v>
      </c>
      <c r="CE380" s="9" t="e">
        <f>4*CC380*#REF!+60*CC380</f>
        <v>#REF!</v>
      </c>
      <c r="CG380" s="4" t="e">
        <f t="shared" si="1434"/>
        <v>#REF!</v>
      </c>
      <c r="CH380" s="4" t="e">
        <f t="shared" si="1435"/>
        <v>#REF!</v>
      </c>
      <c r="CI380" s="4" t="e">
        <f t="shared" si="1436"/>
        <v>#REF!</v>
      </c>
      <c r="CJ380" s="4" t="e">
        <f t="shared" si="1437"/>
        <v>#REF!</v>
      </c>
      <c r="CK380" s="4">
        <f t="shared" si="1438"/>
        <v>0.70984876435598188</v>
      </c>
      <c r="CL380" s="4">
        <f t="shared" si="1439"/>
        <v>0.74462905197182427</v>
      </c>
      <c r="CM380" s="4">
        <f t="shared" si="1699"/>
        <v>1.1002142240916057</v>
      </c>
      <c r="CN380" s="4">
        <f t="shared" si="1344"/>
        <v>4</v>
      </c>
      <c r="CU380" s="4" t="e">
        <f t="shared" ref="CU380:CU383" si="1730">CG380</f>
        <v>#REF!</v>
      </c>
      <c r="CV380" s="4" t="e">
        <f t="shared" ref="CV380:CV383" si="1731">CH380</f>
        <v>#REF!</v>
      </c>
      <c r="CW380" s="4" t="e">
        <f t="shared" ref="CW380:CW383" si="1732">CJ380</f>
        <v>#REF!</v>
      </c>
      <c r="CX380" s="4">
        <f t="shared" ref="CX380:CX383" si="1733">CM380</f>
        <v>1.1002142240916057</v>
      </c>
      <c r="CY380" s="4">
        <f t="shared" ref="CY380:CY383" si="1734">CK380</f>
        <v>0.70984876435598188</v>
      </c>
      <c r="CZ380" s="4">
        <f t="shared" ref="CZ380:CZ383" si="1735">CL380</f>
        <v>0.74462905197182427</v>
      </c>
      <c r="DC380" s="4" t="e">
        <f>#REF!</f>
        <v>#REF!</v>
      </c>
      <c r="DF380" s="4">
        <f t="shared" si="1601"/>
        <v>1.113162027176162E-5</v>
      </c>
      <c r="DG380" s="4">
        <f t="shared" si="1446"/>
        <v>9.7201649178311715</v>
      </c>
      <c r="DH380" s="4">
        <f t="shared" si="1602"/>
        <v>0.43437541282622311</v>
      </c>
      <c r="DI380" s="4">
        <f t="shared" si="1447"/>
        <v>6.9633740924484089</v>
      </c>
      <c r="DJ380" s="4">
        <f t="shared" si="1448"/>
        <v>8.4551871299038659</v>
      </c>
      <c r="DK380" s="4">
        <f t="shared" si="1603"/>
        <v>9.5737606327462448</v>
      </c>
      <c r="DL380" s="38">
        <f t="shared" si="1604"/>
        <v>616.93568612474292</v>
      </c>
      <c r="DM380" s="4" t="e">
        <f t="shared" si="1449"/>
        <v>#REF!</v>
      </c>
      <c r="DN380" s="4">
        <f t="shared" si="1605"/>
        <v>2.2360679774997898</v>
      </c>
      <c r="DO380" s="4">
        <f t="shared" si="1697"/>
        <v>417.28876052172325</v>
      </c>
      <c r="DS380" s="4">
        <f t="shared" si="1606"/>
        <v>0.85</v>
      </c>
      <c r="DT380" s="4">
        <f t="shared" si="1607"/>
        <v>0.7</v>
      </c>
      <c r="DU380" s="4">
        <f t="shared" si="1608"/>
        <v>0.85899999999999999</v>
      </c>
      <c r="DV380" s="4">
        <f t="shared" si="1450"/>
        <v>0.7</v>
      </c>
      <c r="DX380" s="4">
        <f t="shared" si="1609"/>
        <v>588.11972662507583</v>
      </c>
      <c r="DY380" s="25">
        <f t="shared" si="1502"/>
        <v>410.35735060777938</v>
      </c>
      <c r="EA380" s="4">
        <f t="shared" si="1503"/>
        <v>0.59499999999999997</v>
      </c>
      <c r="EB380" s="4">
        <f t="shared" si="1610"/>
        <v>9.7201649178311715</v>
      </c>
      <c r="EE380" s="4">
        <f t="shared" si="1611"/>
        <v>35.497579142809165</v>
      </c>
      <c r="EF380" s="4">
        <f t="shared" si="1451"/>
        <v>2.2360679774997898</v>
      </c>
      <c r="EG380" s="4">
        <f t="shared" si="1612"/>
        <v>0.13680092601028848</v>
      </c>
      <c r="EJ380" s="4">
        <f t="shared" si="1452"/>
        <v>0.13680092601028848</v>
      </c>
      <c r="EK380" s="4">
        <f t="shared" si="1613"/>
        <v>0.43365052121878805</v>
      </c>
      <c r="EL380" s="4">
        <f t="shared" si="1453"/>
        <v>6.9587235338408613</v>
      </c>
      <c r="EM380" s="4">
        <f t="shared" si="1454"/>
        <v>8.4532747276059581</v>
      </c>
      <c r="EN380" s="4" t="e">
        <f t="shared" si="1455"/>
        <v>#REF!</v>
      </c>
      <c r="EO380" s="4" t="e">
        <f t="shared" si="1456"/>
        <v>#REF!</v>
      </c>
      <c r="EP380" s="4" t="e">
        <f t="shared" si="1614"/>
        <v>#REF!</v>
      </c>
      <c r="EQ380" s="4" t="e">
        <f t="shared" si="1457"/>
        <v>#REF!</v>
      </c>
      <c r="ER380" s="4" t="e">
        <f t="shared" si="1615"/>
        <v>#REF!</v>
      </c>
      <c r="FA380" s="23" t="e">
        <f t="shared" si="1383"/>
        <v>#REF!</v>
      </c>
      <c r="FB380" s="23" t="e">
        <f t="shared" si="1384"/>
        <v>#REF!</v>
      </c>
      <c r="FC380" s="23">
        <f t="shared" si="1706"/>
        <v>1.2</v>
      </c>
      <c r="FD380" s="23" t="e">
        <f t="shared" si="1385"/>
        <v>#REF!</v>
      </c>
      <c r="FE380" s="23">
        <f t="shared" si="1386"/>
        <v>0.8</v>
      </c>
      <c r="FF380" s="23">
        <f t="shared" si="1387"/>
        <v>0.8</v>
      </c>
      <c r="FG380" s="23">
        <f t="shared" si="1629"/>
        <v>1</v>
      </c>
      <c r="FH380" s="23"/>
      <c r="FR380" s="4">
        <f t="shared" si="1485"/>
        <v>1</v>
      </c>
      <c r="FS380" s="4">
        <f t="shared" si="1486"/>
        <v>0.46358941059918601</v>
      </c>
      <c r="FT380" s="4">
        <f t="shared" si="1487"/>
        <v>0.3</v>
      </c>
      <c r="FU380" s="4">
        <f t="shared" si="1488"/>
        <v>398.04160398338547</v>
      </c>
    </row>
    <row r="381" spans="2:177" ht="12" customHeight="1" x14ac:dyDescent="0.3">
      <c r="B381" s="24"/>
      <c r="C381" s="7" t="s">
        <v>524</v>
      </c>
      <c r="D381" s="38">
        <f t="shared" si="1724"/>
        <v>958.62068965517244</v>
      </c>
      <c r="E381" s="38">
        <f>4.09*25.4</f>
        <v>103.886</v>
      </c>
      <c r="F381" s="38">
        <f t="shared" si="1725"/>
        <v>33.172413793103445</v>
      </c>
      <c r="G381" s="38">
        <f t="shared" si="1726"/>
        <v>15.875</v>
      </c>
      <c r="H381" s="38">
        <f>13.1*25.4</f>
        <v>332.73999999999995</v>
      </c>
      <c r="I381" s="38">
        <f>2.6*25.4</f>
        <v>66.039999999999992</v>
      </c>
      <c r="J381" s="39">
        <f>5.25*25.4</f>
        <v>133.35</v>
      </c>
      <c r="K381" s="7">
        <f t="shared" si="1727"/>
        <v>168.90999999999997</v>
      </c>
      <c r="L381" s="38">
        <v>2</v>
      </c>
      <c r="M381" s="4">
        <f t="shared" si="1718"/>
        <v>133.35</v>
      </c>
      <c r="N381" s="7">
        <f t="shared" si="1569"/>
        <v>4.6599999999999993</v>
      </c>
      <c r="O381" s="7">
        <f t="shared" si="1570"/>
        <v>4.6599999999999993</v>
      </c>
      <c r="P381" s="38">
        <v>13.1</v>
      </c>
      <c r="Q381" s="4">
        <f t="shared" ref="Q381:Q444" si="1736">P381</f>
        <v>13.1</v>
      </c>
      <c r="R381" s="4">
        <f t="shared" si="1571"/>
        <v>14.1</v>
      </c>
      <c r="S381" s="7">
        <f t="shared" si="1572"/>
        <v>59.610572153771514</v>
      </c>
      <c r="V381" s="38">
        <f t="shared" si="1395"/>
        <v>642.75862068965523</v>
      </c>
      <c r="W381" s="4">
        <v>93.2</v>
      </c>
      <c r="X381" s="4">
        <f t="shared" si="1573"/>
        <v>1.0481130483497585</v>
      </c>
      <c r="Y381" s="38">
        <f t="shared" ref="Y381:Y383" si="1737">0.375*25.4</f>
        <v>9.5249999999999986</v>
      </c>
      <c r="Z381" s="38">
        <v>4</v>
      </c>
      <c r="AA381" s="39">
        <f>3.5*25.4</f>
        <v>88.899999999999991</v>
      </c>
      <c r="AB381" s="39">
        <v>2</v>
      </c>
      <c r="AC381" s="39">
        <f t="shared" si="1728"/>
        <v>1</v>
      </c>
      <c r="AD381" s="7"/>
      <c r="AE381" s="4">
        <f t="shared" si="1576"/>
        <v>103.886</v>
      </c>
      <c r="AF381" s="4">
        <f t="shared" si="1577"/>
        <v>1.0676446617766908</v>
      </c>
      <c r="AG381" s="4">
        <f t="shared" si="1578"/>
        <v>154.05533015486256</v>
      </c>
      <c r="AH381" s="4">
        <f t="shared" si="1579"/>
        <v>0.84242053789731042</v>
      </c>
      <c r="AI381" s="4">
        <v>1.25</v>
      </c>
      <c r="AJ381" s="4">
        <f t="shared" si="1513"/>
        <v>2.5</v>
      </c>
      <c r="AK381" s="38">
        <f t="shared" si="1729"/>
        <v>432.99454987892017</v>
      </c>
      <c r="AL381" s="38">
        <f t="shared" si="1616"/>
        <v>432.99454987892017</v>
      </c>
      <c r="AM381" s="38">
        <f t="shared" si="1580"/>
        <v>3.0972241539071201</v>
      </c>
      <c r="AN381" s="38">
        <f t="shared" si="1521"/>
        <v>432.99454987892028</v>
      </c>
      <c r="AO381" s="38">
        <f t="shared" si="1484"/>
        <v>0.99999999999999978</v>
      </c>
      <c r="AP381" s="38">
        <f t="shared" si="1522"/>
        <v>2.5843194991058414</v>
      </c>
      <c r="AQ381" s="4">
        <f t="shared" si="1523"/>
        <v>0</v>
      </c>
      <c r="AR381" s="4" t="e">
        <f>#REF!/G381*F381^0.5/0.19</f>
        <v>#REF!</v>
      </c>
      <c r="AS381" s="4">
        <f t="shared" si="1581"/>
        <v>1</v>
      </c>
      <c r="AT381" s="38">
        <f t="shared" si="1582"/>
        <v>1118.9962582586504</v>
      </c>
      <c r="AU381" s="4">
        <f t="shared" si="1583"/>
        <v>0.3</v>
      </c>
      <c r="AV381" s="4" t="e">
        <f>AU381*D381*#REF!/(D381*G381/2.75/F381^0.5)</f>
        <v>#REF!</v>
      </c>
      <c r="AW381" s="4" t="e">
        <f t="shared" si="1431"/>
        <v>#REF!</v>
      </c>
      <c r="AY381" s="4">
        <f t="shared" si="1584"/>
        <v>1.5</v>
      </c>
      <c r="AZ381" s="4" t="e">
        <f>(3*#REF!+30)*AY381*F381^0.5</f>
        <v>#REF!</v>
      </c>
      <c r="BB381" s="4">
        <f t="shared" si="1585"/>
        <v>1073.2542559953574</v>
      </c>
      <c r="BC381" s="4">
        <f t="shared" si="1662"/>
        <v>0</v>
      </c>
      <c r="BD381" s="4">
        <f t="shared" si="1432"/>
        <v>0</v>
      </c>
      <c r="BL381" s="4">
        <f t="shared" si="1586"/>
        <v>66.039999999999992</v>
      </c>
      <c r="BP381" s="9"/>
      <c r="BR381" s="9"/>
      <c r="BS381" s="9"/>
      <c r="BT381" s="9">
        <f t="shared" si="1587"/>
        <v>66.039999999999992</v>
      </c>
      <c r="BU381" s="9">
        <f t="shared" si="1588"/>
        <v>84.454999999999984</v>
      </c>
      <c r="BV381" s="9">
        <f t="shared" si="1589"/>
        <v>2.116261887080392</v>
      </c>
      <c r="BW381" s="40">
        <f t="shared" ref="BW381:BW444" si="1738">IF(AA381&gt;1,20,0)</f>
        <v>20</v>
      </c>
      <c r="BX381" s="9">
        <f t="shared" si="1590"/>
        <v>0.05</v>
      </c>
      <c r="BY381" s="9">
        <f t="shared" si="1433"/>
        <v>0.8</v>
      </c>
      <c r="BZ381" s="9">
        <f t="shared" si="1591"/>
        <v>1</v>
      </c>
      <c r="CA381" s="9">
        <f t="shared" si="1592"/>
        <v>0.68</v>
      </c>
      <c r="CB381" s="9">
        <f t="shared" si="1593"/>
        <v>1.3707728502186465</v>
      </c>
      <c r="CC381" s="9">
        <f t="shared" si="1594"/>
        <v>3.4269321255466161</v>
      </c>
      <c r="CD381" s="40">
        <v>1</v>
      </c>
      <c r="CE381" s="9" t="e">
        <f>4*CC381*#REF!+60*CC381</f>
        <v>#REF!</v>
      </c>
      <c r="CG381" s="4" t="e">
        <f t="shared" si="1434"/>
        <v>#REF!</v>
      </c>
      <c r="CH381" s="4" t="e">
        <f t="shared" si="1435"/>
        <v>#REF!</v>
      </c>
      <c r="CI381" s="4" t="e">
        <f t="shared" si="1436"/>
        <v>#REF!</v>
      </c>
      <c r="CJ381" s="4" t="e">
        <f t="shared" si="1437"/>
        <v>#REF!</v>
      </c>
      <c r="CK381" s="4">
        <f t="shared" si="1438"/>
        <v>1.0481130483497585</v>
      </c>
      <c r="CL381" s="4">
        <f t="shared" si="1439"/>
        <v>1.0414859751276166</v>
      </c>
      <c r="CM381" s="4">
        <f t="shared" si="1699"/>
        <v>1.5042537753350267</v>
      </c>
      <c r="CN381" s="4">
        <f t="shared" ref="CN381:CN444" si="1739">Z381</f>
        <v>4</v>
      </c>
      <c r="CU381" s="4" t="e">
        <f t="shared" si="1730"/>
        <v>#REF!</v>
      </c>
      <c r="CV381" s="4" t="e">
        <f t="shared" si="1731"/>
        <v>#REF!</v>
      </c>
      <c r="CW381" s="4" t="e">
        <f t="shared" si="1732"/>
        <v>#REF!</v>
      </c>
      <c r="CX381" s="4">
        <f t="shared" si="1733"/>
        <v>1.5042537753350267</v>
      </c>
      <c r="CY381" s="4">
        <f t="shared" si="1734"/>
        <v>1.0481130483497585</v>
      </c>
      <c r="CZ381" s="4">
        <f t="shared" si="1735"/>
        <v>1.0414859751276166</v>
      </c>
      <c r="DC381" s="4" t="e">
        <f>#REF!</f>
        <v>#REF!</v>
      </c>
      <c r="DF381" s="4">
        <f t="shared" si="1601"/>
        <v>1.1949692102757226E-5</v>
      </c>
      <c r="DG381" s="4">
        <f t="shared" si="1446"/>
        <v>9.7201649178311715</v>
      </c>
      <c r="DH381" s="4">
        <f t="shared" si="1602"/>
        <v>0.23111292126149946</v>
      </c>
      <c r="DI381" s="4">
        <f t="shared" si="1447"/>
        <v>5.4100754798522344</v>
      </c>
      <c r="DJ381" s="4">
        <f t="shared" si="1448"/>
        <v>7.8683545195642743</v>
      </c>
      <c r="DK381" s="4">
        <f t="shared" si="1603"/>
        <v>9.5828812997624286</v>
      </c>
      <c r="DL381" s="38">
        <f t="shared" si="1604"/>
        <v>613.25314258960043</v>
      </c>
      <c r="DM381" s="4" t="e">
        <f t="shared" si="1449"/>
        <v>#REF!</v>
      </c>
      <c r="DN381" s="4">
        <f t="shared" si="1605"/>
        <v>3.7549966711037173</v>
      </c>
      <c r="DO381" s="4">
        <f t="shared" si="1697"/>
        <v>432.99454987892028</v>
      </c>
      <c r="DS381" s="4">
        <f t="shared" si="1606"/>
        <v>0.85</v>
      </c>
      <c r="DT381" s="4">
        <f t="shared" si="1607"/>
        <v>0.7</v>
      </c>
      <c r="DU381" s="4">
        <f t="shared" si="1608"/>
        <v>0.85899999999999999</v>
      </c>
      <c r="DV381" s="4">
        <f t="shared" si="1450"/>
        <v>0.7</v>
      </c>
      <c r="DX381" s="4">
        <f t="shared" si="1609"/>
        <v>617.1553300186265</v>
      </c>
      <c r="DY381" s="25">
        <f t="shared" si="1502"/>
        <v>426.32905235176491</v>
      </c>
      <c r="EA381" s="4">
        <f t="shared" si="1503"/>
        <v>0.59499999999999997</v>
      </c>
      <c r="EB381" s="4">
        <f t="shared" si="1610"/>
        <v>9.7201649178311715</v>
      </c>
      <c r="EE381" s="4">
        <f t="shared" si="1611"/>
        <v>59.610572153771514</v>
      </c>
      <c r="EF381" s="4">
        <f t="shared" si="1451"/>
        <v>3.7549966711037173</v>
      </c>
      <c r="EG381" s="4">
        <f t="shared" si="1612"/>
        <v>7.2786029567848812E-2</v>
      </c>
      <c r="EJ381" s="4">
        <f t="shared" si="1452"/>
        <v>7.2786029567848812E-2</v>
      </c>
      <c r="EK381" s="4">
        <f t="shared" si="1613"/>
        <v>0.23072723686950719</v>
      </c>
      <c r="EL381" s="4">
        <f t="shared" si="1453"/>
        <v>5.4064623071637818</v>
      </c>
      <c r="EM381" s="4">
        <f t="shared" si="1454"/>
        <v>7.8671211254314866</v>
      </c>
      <c r="EN381" s="4" t="e">
        <f t="shared" si="1455"/>
        <v>#REF!</v>
      </c>
      <c r="EO381" s="4" t="e">
        <f t="shared" si="1456"/>
        <v>#REF!</v>
      </c>
      <c r="EP381" s="4" t="e">
        <f t="shared" si="1614"/>
        <v>#REF!</v>
      </c>
      <c r="EQ381" s="4" t="e">
        <f t="shared" si="1457"/>
        <v>#REF!</v>
      </c>
      <c r="ER381" s="4" t="e">
        <f t="shared" si="1615"/>
        <v>#REF!</v>
      </c>
      <c r="FA381" s="23" t="e">
        <f t="shared" si="1383"/>
        <v>#REF!</v>
      </c>
      <c r="FB381" s="23" t="e">
        <f t="shared" si="1384"/>
        <v>#REF!</v>
      </c>
      <c r="FC381" s="23">
        <f t="shared" si="1706"/>
        <v>1.6</v>
      </c>
      <c r="FD381" s="23" t="e">
        <f t="shared" si="1385"/>
        <v>#REF!</v>
      </c>
      <c r="FE381" s="23">
        <f t="shared" si="1386"/>
        <v>1.2</v>
      </c>
      <c r="FF381" s="23">
        <f t="shared" si="1387"/>
        <v>1.2</v>
      </c>
      <c r="FG381" s="23">
        <f t="shared" si="1629"/>
        <v>0</v>
      </c>
      <c r="FH381" s="23"/>
      <c r="FR381" s="4">
        <f t="shared" si="1485"/>
        <v>1</v>
      </c>
      <c r="FS381" s="4">
        <f t="shared" si="1486"/>
        <v>0.46358941059918601</v>
      </c>
      <c r="FT381" s="4">
        <f t="shared" si="1487"/>
        <v>0.3</v>
      </c>
      <c r="FU381" s="4">
        <f t="shared" si="1488"/>
        <v>427.29400532599647</v>
      </c>
    </row>
    <row r="382" spans="2:177" ht="12" customHeight="1" x14ac:dyDescent="0.3">
      <c r="B382" s="24"/>
      <c r="C382" s="7" t="s">
        <v>525</v>
      </c>
      <c r="D382" s="38">
        <f t="shared" si="1724"/>
        <v>958.62068965517244</v>
      </c>
      <c r="E382" s="38">
        <f>4.16*25.4</f>
        <v>105.664</v>
      </c>
      <c r="F382" s="38">
        <f t="shared" si="1725"/>
        <v>33.172413793103445</v>
      </c>
      <c r="G382" s="38">
        <f t="shared" si="1726"/>
        <v>15.875</v>
      </c>
      <c r="H382" s="38">
        <f>13.1*25.4</f>
        <v>332.73999999999995</v>
      </c>
      <c r="I382" s="38">
        <f>2.55*25.4</f>
        <v>64.77</v>
      </c>
      <c r="J382" s="39">
        <f>5.1*25.4</f>
        <v>129.54</v>
      </c>
      <c r="K382" s="7">
        <f t="shared" si="1727"/>
        <v>171.44999999999996</v>
      </c>
      <c r="L382" s="38">
        <v>2</v>
      </c>
      <c r="M382" s="4">
        <f t="shared" si="1718"/>
        <v>133.35</v>
      </c>
      <c r="N382" s="7">
        <f t="shared" si="1569"/>
        <v>4.58</v>
      </c>
      <c r="O382" s="7">
        <f t="shared" si="1570"/>
        <v>4.58</v>
      </c>
      <c r="P382" s="38">
        <v>4</v>
      </c>
      <c r="Q382" s="4">
        <f t="shared" si="1736"/>
        <v>4</v>
      </c>
      <c r="R382" s="4">
        <f t="shared" si="1571"/>
        <v>5</v>
      </c>
      <c r="S382" s="7">
        <f t="shared" si="1572"/>
        <v>35.497579142809165</v>
      </c>
      <c r="V382" s="38">
        <f t="shared" si="1395"/>
        <v>589.65517241379314</v>
      </c>
      <c r="W382" s="4">
        <v>85.5</v>
      </c>
      <c r="X382" s="4">
        <f t="shared" si="1573"/>
        <v>0.90063459723224326</v>
      </c>
      <c r="Y382" s="38">
        <f t="shared" si="1737"/>
        <v>9.5249999999999986</v>
      </c>
      <c r="Z382" s="38">
        <v>10</v>
      </c>
      <c r="AA382" s="39">
        <f>1.75*25.4</f>
        <v>44.449999999999996</v>
      </c>
      <c r="AB382" s="39">
        <v>3</v>
      </c>
      <c r="AC382" s="39">
        <f t="shared" si="1728"/>
        <v>2</v>
      </c>
      <c r="AD382" s="7"/>
      <c r="AE382" s="4">
        <f t="shared" si="1576"/>
        <v>105.664</v>
      </c>
      <c r="AF382" s="4">
        <f t="shared" si="1577"/>
        <v>1.049679487179487</v>
      </c>
      <c r="AG382" s="4">
        <f t="shared" si="1578"/>
        <v>158.02717010503781</v>
      </c>
      <c r="AH382" s="4">
        <f t="shared" si="1579"/>
        <v>0.83762019230769225</v>
      </c>
      <c r="AI382" s="4">
        <v>1.25</v>
      </c>
      <c r="AJ382" s="4">
        <f t="shared" si="1513"/>
        <v>2.5</v>
      </c>
      <c r="AK382" s="38">
        <f t="shared" si="1729"/>
        <v>434.19581501232227</v>
      </c>
      <c r="AL382" s="38">
        <f t="shared" si="1616"/>
        <v>434.19581501232227</v>
      </c>
      <c r="AM382" s="38">
        <f t="shared" si="1580"/>
        <v>3.0972241539071201</v>
      </c>
      <c r="AN382" s="38">
        <f t="shared" si="1521"/>
        <v>434.1958150123221</v>
      </c>
      <c r="AO382" s="38">
        <f t="shared" si="1484"/>
        <v>1.0000000000000004</v>
      </c>
      <c r="AP382" s="38">
        <f t="shared" si="1522"/>
        <v>1.3996418198374589</v>
      </c>
      <c r="AQ382" s="4">
        <f t="shared" si="1523"/>
        <v>0</v>
      </c>
      <c r="AR382" s="4" t="e">
        <f>#REF!/G382*F382^0.5/0.19</f>
        <v>#REF!</v>
      </c>
      <c r="AS382" s="4">
        <f t="shared" si="1581"/>
        <v>1</v>
      </c>
      <c r="AT382" s="38">
        <f t="shared" si="1582"/>
        <v>607.71862068965515</v>
      </c>
      <c r="AU382" s="4">
        <f t="shared" si="1583"/>
        <v>0.44000000000000006</v>
      </c>
      <c r="AV382" s="4" t="e">
        <f>AU382*D382*#REF!/(D382*G382/2.75/F382^0.5)</f>
        <v>#REF!</v>
      </c>
      <c r="AW382" s="4" t="e">
        <f t="shared" si="1431"/>
        <v>#REF!</v>
      </c>
      <c r="AY382" s="4">
        <f t="shared" si="1584"/>
        <v>1.5</v>
      </c>
      <c r="AZ382" s="4" t="e">
        <f>(3*#REF!+30)*AY382*F382^0.5</f>
        <v>#REF!</v>
      </c>
      <c r="BB382" s="4">
        <f t="shared" si="1585"/>
        <v>582.87647638589272</v>
      </c>
      <c r="BC382" s="4">
        <f t="shared" si="1662"/>
        <v>0</v>
      </c>
      <c r="BD382" s="4">
        <f t="shared" si="1432"/>
        <v>0</v>
      </c>
      <c r="BL382" s="4">
        <f t="shared" si="1586"/>
        <v>64.77</v>
      </c>
      <c r="BP382" s="9"/>
      <c r="BR382" s="9"/>
      <c r="BS382" s="9"/>
      <c r="BT382" s="9">
        <f t="shared" si="1587"/>
        <v>64.77</v>
      </c>
      <c r="BU382" s="9">
        <f t="shared" si="1588"/>
        <v>85.72499999999998</v>
      </c>
      <c r="BV382" s="9">
        <f t="shared" si="1589"/>
        <v>2.1066390052415969</v>
      </c>
      <c r="BW382" s="40">
        <f t="shared" si="1738"/>
        <v>20</v>
      </c>
      <c r="BX382" s="9">
        <f t="shared" si="1590"/>
        <v>0.05</v>
      </c>
      <c r="BY382" s="9">
        <f t="shared" si="1433"/>
        <v>0.8</v>
      </c>
      <c r="BZ382" s="9">
        <f t="shared" si="1591"/>
        <v>1</v>
      </c>
      <c r="CA382" s="9">
        <f t="shared" si="1592"/>
        <v>0.68</v>
      </c>
      <c r="CB382" s="9">
        <f t="shared" si="1593"/>
        <v>1.3707728502186465</v>
      </c>
      <c r="CC382" s="9">
        <f t="shared" si="1594"/>
        <v>3.4269321255466161</v>
      </c>
      <c r="CD382" s="40">
        <v>1</v>
      </c>
      <c r="CE382" s="9" t="e">
        <f>4*CC382*#REF!+60*CC382</f>
        <v>#REF!</v>
      </c>
      <c r="CG382" s="4" t="e">
        <f t="shared" si="1434"/>
        <v>#REF!</v>
      </c>
      <c r="CH382" s="4" t="e">
        <f t="shared" si="1435"/>
        <v>#REF!</v>
      </c>
      <c r="CI382" s="4" t="e">
        <f t="shared" si="1436"/>
        <v>#REF!</v>
      </c>
      <c r="CJ382" s="4" t="e">
        <f t="shared" si="1437"/>
        <v>#REF!</v>
      </c>
      <c r="CK382" s="4">
        <f t="shared" si="1438"/>
        <v>0.90063459723224326</v>
      </c>
      <c r="CL382" s="4">
        <f t="shared" si="1439"/>
        <v>0.94846759987164653</v>
      </c>
      <c r="CM382" s="4">
        <f t="shared" si="1699"/>
        <v>1.356754559997581</v>
      </c>
      <c r="CN382" s="4">
        <f t="shared" si="1739"/>
        <v>10</v>
      </c>
      <c r="CU382" s="4" t="e">
        <f t="shared" si="1730"/>
        <v>#REF!</v>
      </c>
      <c r="CV382" s="4" t="e">
        <f t="shared" si="1731"/>
        <v>#REF!</v>
      </c>
      <c r="CW382" s="4" t="e">
        <f t="shared" si="1732"/>
        <v>#REF!</v>
      </c>
      <c r="CX382" s="4">
        <f t="shared" si="1733"/>
        <v>1.356754559997581</v>
      </c>
      <c r="CY382" s="4">
        <f t="shared" si="1734"/>
        <v>0.90063459723224326</v>
      </c>
      <c r="CZ382" s="4">
        <f t="shared" si="1735"/>
        <v>0.94846759987164653</v>
      </c>
      <c r="DC382" s="4" t="e">
        <f>#REF!</f>
        <v>#REF!</v>
      </c>
      <c r="DF382" s="4">
        <f t="shared" si="1601"/>
        <v>1.2154210060506127E-5</v>
      </c>
      <c r="DG382" s="4">
        <f t="shared" si="1446"/>
        <v>9.7201649178311715</v>
      </c>
      <c r="DH382" s="4">
        <f t="shared" si="1602"/>
        <v>0.45197475761769884</v>
      </c>
      <c r="DI382" s="4">
        <f t="shared" si="1447"/>
        <v>7.0748837090322549</v>
      </c>
      <c r="DJ382" s="4">
        <f t="shared" si="1448"/>
        <v>8.5012977555483715</v>
      </c>
      <c r="DK382" s="4">
        <f t="shared" si="1603"/>
        <v>9.5431608262948266</v>
      </c>
      <c r="DL382" s="38">
        <f t="shared" si="1604"/>
        <v>654.71077196664805</v>
      </c>
      <c r="DM382" s="4" t="e">
        <f t="shared" si="1449"/>
        <v>#REF!</v>
      </c>
      <c r="DN382" s="4">
        <f t="shared" si="1605"/>
        <v>2.2360679774997898</v>
      </c>
      <c r="DO382" s="4">
        <f t="shared" si="1697"/>
        <v>434.1958150123221</v>
      </c>
      <c r="DS382" s="4">
        <f t="shared" si="1606"/>
        <v>0.85</v>
      </c>
      <c r="DT382" s="4">
        <f t="shared" si="1607"/>
        <v>0.7</v>
      </c>
      <c r="DU382" s="4">
        <f t="shared" si="1608"/>
        <v>0.7</v>
      </c>
      <c r="DV382" s="4">
        <f t="shared" si="1450"/>
        <v>0.7</v>
      </c>
      <c r="DX382" s="4">
        <f t="shared" si="1609"/>
        <v>621.69247794399041</v>
      </c>
      <c r="DY382" s="25">
        <f t="shared" si="1502"/>
        <v>427.60022486473753</v>
      </c>
      <c r="EA382" s="4">
        <f t="shared" si="1503"/>
        <v>0.59499999999999997</v>
      </c>
      <c r="EB382" s="4">
        <f t="shared" si="1610"/>
        <v>9.7201649178311715</v>
      </c>
      <c r="EE382" s="4">
        <f t="shared" si="1611"/>
        <v>35.497579142809165</v>
      </c>
      <c r="EF382" s="4">
        <f t="shared" si="1451"/>
        <v>2.2360679774997898</v>
      </c>
      <c r="EG382" s="4">
        <f t="shared" si="1612"/>
        <v>0.14234361234463544</v>
      </c>
      <c r="EJ382" s="4">
        <f t="shared" si="1452"/>
        <v>0.14234361234463544</v>
      </c>
      <c r="EK382" s="4">
        <f t="shared" si="1613"/>
        <v>0.45122049598387881</v>
      </c>
      <c r="EL382" s="4">
        <f t="shared" si="1453"/>
        <v>7.0701586776188012</v>
      </c>
      <c r="EM382" s="4">
        <f t="shared" si="1454"/>
        <v>8.4993339958986827</v>
      </c>
      <c r="EN382" s="4" t="e">
        <f t="shared" si="1455"/>
        <v>#REF!</v>
      </c>
      <c r="EO382" s="4" t="e">
        <f t="shared" si="1456"/>
        <v>#REF!</v>
      </c>
      <c r="EP382" s="4" t="e">
        <f t="shared" si="1614"/>
        <v>#REF!</v>
      </c>
      <c r="EQ382" s="4" t="e">
        <f t="shared" si="1457"/>
        <v>#REF!</v>
      </c>
      <c r="ER382" s="4" t="e">
        <f t="shared" si="1615"/>
        <v>#REF!</v>
      </c>
      <c r="FA382" s="23" t="e">
        <f t="shared" si="1383"/>
        <v>#REF!</v>
      </c>
      <c r="FB382" s="23" t="e">
        <f t="shared" si="1384"/>
        <v>#REF!</v>
      </c>
      <c r="FC382" s="23">
        <f t="shared" si="1706"/>
        <v>1.4</v>
      </c>
      <c r="FD382" s="23" t="e">
        <f t="shared" si="1385"/>
        <v>#REF!</v>
      </c>
      <c r="FE382" s="23">
        <f t="shared" si="1386"/>
        <v>1</v>
      </c>
      <c r="FF382" s="23">
        <f t="shared" si="1387"/>
        <v>1</v>
      </c>
      <c r="FG382" s="23">
        <f t="shared" si="1629"/>
        <v>0</v>
      </c>
      <c r="FH382" s="23"/>
      <c r="FR382" s="4">
        <f t="shared" si="1485"/>
        <v>1</v>
      </c>
      <c r="FS382" s="4">
        <f t="shared" si="1486"/>
        <v>0.46358941059918601</v>
      </c>
      <c r="FT382" s="4">
        <f t="shared" si="1487"/>
        <v>0.3</v>
      </c>
      <c r="FU382" s="4">
        <f t="shared" si="1488"/>
        <v>434.60710566164926</v>
      </c>
    </row>
    <row r="383" spans="2:177" ht="12" customHeight="1" x14ac:dyDescent="0.3">
      <c r="B383" s="24"/>
      <c r="C383" s="7" t="s">
        <v>526</v>
      </c>
      <c r="D383" s="38">
        <f t="shared" si="1724"/>
        <v>958.62068965517244</v>
      </c>
      <c r="E383" s="38">
        <f>4.19*25.4</f>
        <v>106.426</v>
      </c>
      <c r="F383" s="38">
        <f>4690/145</f>
        <v>32.344827586206897</v>
      </c>
      <c r="G383" s="38">
        <f t="shared" si="1726"/>
        <v>15.875</v>
      </c>
      <c r="H383" s="38">
        <f>13*25.4</f>
        <v>330.2</v>
      </c>
      <c r="I383" s="38">
        <f>2.5*25.4</f>
        <v>63.5</v>
      </c>
      <c r="J383" s="39">
        <f>5.05*25.4</f>
        <v>128.26999999999998</v>
      </c>
      <c r="K383" s="7">
        <f t="shared" si="1727"/>
        <v>171.45</v>
      </c>
      <c r="L383" s="38">
        <v>2</v>
      </c>
      <c r="M383" s="4">
        <f t="shared" si="1718"/>
        <v>133.35</v>
      </c>
      <c r="N383" s="7">
        <f t="shared" si="1569"/>
        <v>4.5</v>
      </c>
      <c r="O383" s="7">
        <f t="shared" si="1570"/>
        <v>4.5</v>
      </c>
      <c r="P383" s="38">
        <v>13.1</v>
      </c>
      <c r="Q383" s="4">
        <f t="shared" si="1736"/>
        <v>13.1</v>
      </c>
      <c r="R383" s="4">
        <f t="shared" si="1571"/>
        <v>14.1</v>
      </c>
      <c r="S383" s="7">
        <f t="shared" si="1572"/>
        <v>59.610572153771514</v>
      </c>
      <c r="V383" s="38">
        <f t="shared" si="1395"/>
        <v>782.75862068965523</v>
      </c>
      <c r="W383" s="4">
        <v>113.5</v>
      </c>
      <c r="X383" s="4">
        <f t="shared" si="1573"/>
        <v>1.2858428339267387</v>
      </c>
      <c r="Y383" s="38">
        <f t="shared" si="1737"/>
        <v>9.5249999999999986</v>
      </c>
      <c r="Z383" s="38">
        <v>10</v>
      </c>
      <c r="AA383" s="39">
        <f>1.75*25.4</f>
        <v>44.449999999999996</v>
      </c>
      <c r="AB383" s="39">
        <v>3</v>
      </c>
      <c r="AC383" s="39">
        <f t="shared" si="1728"/>
        <v>2</v>
      </c>
      <c r="AD383" s="7"/>
      <c r="AE383" s="4">
        <f t="shared" si="1576"/>
        <v>106.426</v>
      </c>
      <c r="AF383" s="4">
        <f t="shared" si="1577"/>
        <v>1.0342084327764518</v>
      </c>
      <c r="AG383" s="4">
        <f t="shared" si="1578"/>
        <v>157.73449680371363</v>
      </c>
      <c r="AH383" s="4">
        <f t="shared" si="1579"/>
        <v>0.83424821002386629</v>
      </c>
      <c r="AI383" s="4">
        <v>1.25</v>
      </c>
      <c r="AJ383" s="4">
        <f t="shared" si="1513"/>
        <v>2.5</v>
      </c>
      <c r="AK383" s="38">
        <f t="shared" si="1729"/>
        <v>425.2849992610565</v>
      </c>
      <c r="AL383" s="38">
        <f t="shared" si="1616"/>
        <v>425.2849992610565</v>
      </c>
      <c r="AM383" s="38">
        <f t="shared" si="1580"/>
        <v>3.0454944685430494</v>
      </c>
      <c r="AN383" s="38">
        <f t="shared" si="1521"/>
        <v>425.28499926105661</v>
      </c>
      <c r="AO383" s="38">
        <f t="shared" si="1484"/>
        <v>0.99999999999999978</v>
      </c>
      <c r="AP383" s="38">
        <f t="shared" si="1522"/>
        <v>2.4774387905489403</v>
      </c>
      <c r="AQ383" s="4">
        <f t="shared" si="1523"/>
        <v>0</v>
      </c>
      <c r="AR383" s="4" t="e">
        <f>#REF!/G383*F383^0.5/0.19</f>
        <v>#REF!</v>
      </c>
      <c r="AS383" s="4">
        <f t="shared" si="1581"/>
        <v>1</v>
      </c>
      <c r="AT383" s="38">
        <f t="shared" si="1582"/>
        <v>1053.6175542079191</v>
      </c>
      <c r="AU383" s="4">
        <f t="shared" si="1583"/>
        <v>0.3</v>
      </c>
      <c r="AV383" s="4" t="e">
        <f>AU383*D383*#REF!/(D383*G383/2.75/F383^0.5)</f>
        <v>#REF!</v>
      </c>
      <c r="AW383" s="4" t="e">
        <f t="shared" si="1431"/>
        <v>#REF!</v>
      </c>
      <c r="AY383" s="4">
        <f t="shared" si="1584"/>
        <v>1.5</v>
      </c>
      <c r="AZ383" s="4" t="e">
        <f>(3*#REF!+30)*AY383*F383^0.5</f>
        <v>#REF!</v>
      </c>
      <c r="BB383" s="4">
        <f t="shared" si="1585"/>
        <v>1010.5480835161915</v>
      </c>
      <c r="BC383" s="4">
        <f t="shared" si="1662"/>
        <v>0</v>
      </c>
      <c r="BD383" s="4">
        <f t="shared" si="1432"/>
        <v>0</v>
      </c>
      <c r="BL383" s="4">
        <f t="shared" si="1586"/>
        <v>63.5</v>
      </c>
      <c r="BP383" s="9"/>
      <c r="BR383" s="9"/>
      <c r="BS383" s="9"/>
      <c r="BT383" s="9">
        <f t="shared" si="1587"/>
        <v>63.5</v>
      </c>
      <c r="BU383" s="9">
        <f t="shared" si="1588"/>
        <v>85.724999999999994</v>
      </c>
      <c r="BV383" s="9">
        <f t="shared" si="1589"/>
        <v>2.0920885420600022</v>
      </c>
      <c r="BW383" s="40">
        <f t="shared" si="1738"/>
        <v>20</v>
      </c>
      <c r="BX383" s="9">
        <f t="shared" si="1590"/>
        <v>0.05</v>
      </c>
      <c r="BY383" s="9">
        <f t="shared" si="1433"/>
        <v>0.8</v>
      </c>
      <c r="BZ383" s="9">
        <f t="shared" si="1591"/>
        <v>1</v>
      </c>
      <c r="CA383" s="9">
        <f t="shared" si="1592"/>
        <v>0.68</v>
      </c>
      <c r="CB383" s="9">
        <f t="shared" si="1593"/>
        <v>1.3535658143559566</v>
      </c>
      <c r="CC383" s="9">
        <f t="shared" si="1594"/>
        <v>3.3839145358898914</v>
      </c>
      <c r="CD383" s="40">
        <v>1</v>
      </c>
      <c r="CE383" s="9" t="e">
        <f>4*CC383*#REF!+60*CC383</f>
        <v>#REF!</v>
      </c>
      <c r="CG383" s="4" t="e">
        <f t="shared" si="1434"/>
        <v>#REF!</v>
      </c>
      <c r="CH383" s="4" t="e">
        <f t="shared" si="1435"/>
        <v>#REF!</v>
      </c>
      <c r="CI383" s="4" t="e">
        <f t="shared" si="1436"/>
        <v>#REF!</v>
      </c>
      <c r="CJ383" s="4" t="e">
        <f t="shared" si="1437"/>
        <v>#REF!</v>
      </c>
      <c r="CK383" s="4">
        <f t="shared" si="1438"/>
        <v>1.2858428339267387</v>
      </c>
      <c r="CL383" s="4">
        <f t="shared" si="1439"/>
        <v>1.2792539211145848</v>
      </c>
      <c r="CM383" s="4">
        <f t="shared" si="1699"/>
        <v>1.799506429845696</v>
      </c>
      <c r="CN383" s="4">
        <f t="shared" si="1739"/>
        <v>10</v>
      </c>
      <c r="CU383" s="4" t="e">
        <f t="shared" si="1730"/>
        <v>#REF!</v>
      </c>
      <c r="CV383" s="4" t="e">
        <f t="shared" si="1731"/>
        <v>#REF!</v>
      </c>
      <c r="CW383" s="4" t="e">
        <f t="shared" si="1732"/>
        <v>#REF!</v>
      </c>
      <c r="CX383" s="4">
        <f t="shared" si="1733"/>
        <v>1.799506429845696</v>
      </c>
      <c r="CY383" s="4">
        <f t="shared" si="1734"/>
        <v>1.2858428339267387</v>
      </c>
      <c r="CZ383" s="4">
        <f t="shared" si="1735"/>
        <v>1.2792539211145848</v>
      </c>
      <c r="DC383" s="4" t="e">
        <f>#REF!</f>
        <v>#REF!</v>
      </c>
      <c r="DF383" s="4">
        <f t="shared" si="1601"/>
        <v>1.2171450429620639E-5</v>
      </c>
      <c r="DG383" s="4">
        <f t="shared" si="1446"/>
        <v>9.5981496427943913</v>
      </c>
      <c r="DH383" s="4">
        <f t="shared" si="1602"/>
        <v>0.23280596049007915</v>
      </c>
      <c r="DI383" s="4">
        <f t="shared" si="1447"/>
        <v>5.3577834299564575</v>
      </c>
      <c r="DJ383" s="4">
        <f t="shared" si="1448"/>
        <v>7.7749242184825027</v>
      </c>
      <c r="DK383" s="4">
        <f t="shared" si="1603"/>
        <v>9.4574200035520022</v>
      </c>
      <c r="DL383" s="38">
        <f t="shared" si="1604"/>
        <v>608.75139638897201</v>
      </c>
      <c r="DM383" s="4" t="e">
        <f t="shared" si="1449"/>
        <v>#REF!</v>
      </c>
      <c r="DN383" s="4">
        <f t="shared" si="1605"/>
        <v>3.7549966711037173</v>
      </c>
      <c r="DO383" s="4">
        <f t="shared" si="1697"/>
        <v>425.28499926105661</v>
      </c>
      <c r="DS383" s="4">
        <f t="shared" si="1606"/>
        <v>0.85</v>
      </c>
      <c r="DT383" s="4">
        <f t="shared" si="1607"/>
        <v>0.7</v>
      </c>
      <c r="DU383" s="4">
        <f t="shared" si="1608"/>
        <v>0.7</v>
      </c>
      <c r="DV383" s="4">
        <f t="shared" si="1450"/>
        <v>0.7</v>
      </c>
      <c r="DX383" s="4">
        <f t="shared" si="1609"/>
        <v>611.88682541434423</v>
      </c>
      <c r="DY383" s="25">
        <f t="shared" si="1502"/>
        <v>418.84883979846347</v>
      </c>
      <c r="EA383" s="4">
        <f t="shared" si="1503"/>
        <v>0.59499999999999997</v>
      </c>
      <c r="EB383" s="4">
        <f t="shared" si="1610"/>
        <v>9.5981496427943913</v>
      </c>
      <c r="EE383" s="4">
        <f t="shared" si="1611"/>
        <v>59.610572153771514</v>
      </c>
      <c r="EF383" s="4">
        <f t="shared" si="1451"/>
        <v>3.7549966711037173</v>
      </c>
      <c r="EG383" s="4">
        <f t="shared" si="1612"/>
        <v>7.2398868854731249E-2</v>
      </c>
      <c r="EJ383" s="4">
        <f t="shared" si="1452"/>
        <v>7.2398868854731249E-2</v>
      </c>
      <c r="EK383" s="4">
        <f t="shared" si="1613"/>
        <v>0.23241745073115397</v>
      </c>
      <c r="EL383" s="4">
        <f t="shared" si="1453"/>
        <v>5.3542051810333406</v>
      </c>
      <c r="EM383" s="4">
        <f t="shared" si="1454"/>
        <v>7.7736998840286358</v>
      </c>
      <c r="EN383" s="4" t="e">
        <f t="shared" si="1455"/>
        <v>#REF!</v>
      </c>
      <c r="EO383" s="4" t="e">
        <f t="shared" si="1456"/>
        <v>#REF!</v>
      </c>
      <c r="EP383" s="4" t="e">
        <f t="shared" si="1614"/>
        <v>#REF!</v>
      </c>
      <c r="EQ383" s="4" t="e">
        <f t="shared" si="1457"/>
        <v>#REF!</v>
      </c>
      <c r="ER383" s="4" t="e">
        <f t="shared" si="1615"/>
        <v>#REF!</v>
      </c>
      <c r="FA383" s="23" t="e">
        <f t="shared" si="1383"/>
        <v>#REF!</v>
      </c>
      <c r="FB383" s="23" t="e">
        <f t="shared" si="1384"/>
        <v>#REF!</v>
      </c>
      <c r="FC383" s="23">
        <f t="shared" si="1706"/>
        <v>1.8</v>
      </c>
      <c r="FD383" s="23" t="e">
        <f t="shared" si="1385"/>
        <v>#REF!</v>
      </c>
      <c r="FE383" s="23">
        <f t="shared" si="1386"/>
        <v>1.4</v>
      </c>
      <c r="FF383" s="23">
        <f t="shared" si="1387"/>
        <v>1.4</v>
      </c>
      <c r="FG383" s="23">
        <f t="shared" si="1629"/>
        <v>0</v>
      </c>
      <c r="FH383" s="23"/>
      <c r="FR383" s="4">
        <f t="shared" si="1485"/>
        <v>1</v>
      </c>
      <c r="FS383" s="4">
        <f t="shared" si="1486"/>
        <v>0.46358941059918601</v>
      </c>
      <c r="FT383" s="4">
        <f t="shared" si="1487"/>
        <v>0.3</v>
      </c>
      <c r="FU383" s="4">
        <f t="shared" si="1488"/>
        <v>434.98517577221173</v>
      </c>
    </row>
    <row r="384" spans="2:177" ht="12" customHeight="1" x14ac:dyDescent="0.3">
      <c r="B384" s="24"/>
      <c r="C384" s="7" t="s">
        <v>527</v>
      </c>
      <c r="D384" s="38">
        <f t="shared" si="1724"/>
        <v>958.62068965517244</v>
      </c>
      <c r="E384" s="38">
        <f>6*25.4</f>
        <v>152.39999999999998</v>
      </c>
      <c r="F384" s="38">
        <f t="shared" ref="F384:F388" si="1740">4690/145</f>
        <v>32.344827586206897</v>
      </c>
      <c r="G384" s="38">
        <f t="shared" si="1726"/>
        <v>15.875</v>
      </c>
      <c r="H384" s="38">
        <f>13.1*25.4</f>
        <v>332.73999999999995</v>
      </c>
      <c r="I384" s="38">
        <f>2.55*25.4</f>
        <v>64.77</v>
      </c>
      <c r="J384" s="39">
        <f>3.3*25.4</f>
        <v>83.82</v>
      </c>
      <c r="K384" s="7">
        <f t="shared" si="1727"/>
        <v>171.44999999999996</v>
      </c>
      <c r="L384" s="38">
        <v>2</v>
      </c>
      <c r="M384" s="4">
        <f t="shared" si="1718"/>
        <v>133.35</v>
      </c>
      <c r="N384" s="7">
        <f t="shared" si="1569"/>
        <v>4.58</v>
      </c>
      <c r="O384" s="7">
        <f t="shared" si="1570"/>
        <v>4.58</v>
      </c>
      <c r="P384" s="38">
        <v>4</v>
      </c>
      <c r="Q384" s="4">
        <f t="shared" si="1736"/>
        <v>4</v>
      </c>
      <c r="R384" s="4">
        <f t="shared" si="1571"/>
        <v>5</v>
      </c>
      <c r="S384" s="7">
        <f t="shared" si="1572"/>
        <v>35.497579142809165</v>
      </c>
      <c r="V384" s="38">
        <f t="shared" si="1395"/>
        <v>727.58620689655174</v>
      </c>
      <c r="W384" s="4">
        <v>105.5</v>
      </c>
      <c r="X384" s="4">
        <f t="shared" si="1573"/>
        <v>0.89396556017501727</v>
      </c>
      <c r="Y384" s="38"/>
      <c r="Z384" s="38"/>
      <c r="AA384" s="39">
        <v>1</v>
      </c>
      <c r="AB384" s="39"/>
      <c r="AC384" s="39"/>
      <c r="AD384" s="7"/>
      <c r="AE384" s="4">
        <f t="shared" si="1576"/>
        <v>152.39999999999998</v>
      </c>
      <c r="AF384" s="4">
        <f t="shared" si="1577"/>
        <v>0.72777777777777763</v>
      </c>
      <c r="AG384" s="4">
        <f t="shared" si="1578"/>
        <v>270.29158549016233</v>
      </c>
      <c r="AH384" s="4">
        <f t="shared" si="1579"/>
        <v>0.79541666666666666</v>
      </c>
      <c r="AI384" s="4">
        <v>1.25</v>
      </c>
      <c r="AJ384" s="4">
        <f t="shared" si="1513"/>
        <v>2.5</v>
      </c>
      <c r="AK384" s="38">
        <f t="shared" si="1729"/>
        <v>488.96303101703046</v>
      </c>
      <c r="AL384" s="38">
        <f t="shared" si="1616"/>
        <v>488.96303101703046</v>
      </c>
      <c r="AM384" s="38">
        <f t="shared" si="1580"/>
        <v>3.0454944685430494</v>
      </c>
      <c r="AN384" s="38">
        <f t="shared" si="1521"/>
        <v>488.96303101703029</v>
      </c>
      <c r="AO384" s="38">
        <f t="shared" si="1484"/>
        <v>1.0000000000000004</v>
      </c>
      <c r="AP384" s="38">
        <f t="shared" si="1522"/>
        <v>1.2118651182008726</v>
      </c>
      <c r="AQ384" s="4">
        <f t="shared" si="1523"/>
        <v>0</v>
      </c>
      <c r="AR384" s="4" t="e">
        <f>#REF!/G384*F384^0.5/0.19</f>
        <v>#REF!</v>
      </c>
      <c r="AS384" s="4">
        <f t="shared" si="1581"/>
        <v>1</v>
      </c>
      <c r="AT384" s="38">
        <f t="shared" si="1582"/>
        <v>592.55724137931031</v>
      </c>
      <c r="AU384" s="4">
        <f t="shared" si="1583"/>
        <v>0.44000000000000006</v>
      </c>
      <c r="AV384" s="4" t="e">
        <f>AU384*D384*#REF!/(D384*G384/2.75/F384^0.5)</f>
        <v>#REF!</v>
      </c>
      <c r="AW384" s="4" t="e">
        <f t="shared" si="1431"/>
        <v>#REF!</v>
      </c>
      <c r="AY384" s="4">
        <f t="shared" si="1584"/>
        <v>1.5</v>
      </c>
      <c r="AZ384" s="4" t="e">
        <f>(3*#REF!+30)*AY384*F384^0.5</f>
        <v>#REF!</v>
      </c>
      <c r="BB384" s="4">
        <f t="shared" si="1585"/>
        <v>568.33485951140074</v>
      </c>
      <c r="BC384" s="4">
        <f t="shared" si="1662"/>
        <v>0</v>
      </c>
      <c r="BD384" s="4">
        <f t="shared" si="1432"/>
        <v>0</v>
      </c>
      <c r="BL384" s="4">
        <f t="shared" si="1586"/>
        <v>64.77</v>
      </c>
      <c r="BP384" s="9"/>
      <c r="BR384" s="9"/>
      <c r="BS384" s="9"/>
      <c r="BT384" s="9">
        <f t="shared" si="1587"/>
        <v>64.77</v>
      </c>
      <c r="BU384" s="9">
        <f t="shared" si="1588"/>
        <v>85.72499999999998</v>
      </c>
      <c r="BV384" s="9">
        <f t="shared" si="1589"/>
        <v>2.1066390052415969</v>
      </c>
      <c r="BW384" s="40">
        <f t="shared" si="1738"/>
        <v>0</v>
      </c>
      <c r="BX384" s="9">
        <f t="shared" si="1590"/>
        <v>0</v>
      </c>
      <c r="BY384" s="9">
        <f t="shared" si="1433"/>
        <v>0</v>
      </c>
      <c r="BZ384" s="9">
        <f t="shared" si="1591"/>
        <v>1</v>
      </c>
      <c r="CA384" s="9">
        <f t="shared" si="1592"/>
        <v>0.68</v>
      </c>
      <c r="CB384" s="9">
        <f t="shared" si="1593"/>
        <v>1.3535658143559566</v>
      </c>
      <c r="CC384" s="9">
        <f t="shared" si="1594"/>
        <v>2.8514745406838644</v>
      </c>
      <c r="CD384" s="40">
        <v>1</v>
      </c>
      <c r="CE384" s="9" t="e">
        <f>4*CC384*#REF!+60*CC384</f>
        <v>#REF!</v>
      </c>
      <c r="CG384" s="4" t="e">
        <f t="shared" si="1434"/>
        <v>#REF!</v>
      </c>
      <c r="CH384" s="4" t="e">
        <f t="shared" si="1435"/>
        <v>#REF!</v>
      </c>
      <c r="CI384" s="4" t="e">
        <f t="shared" si="1436"/>
        <v>#REF!</v>
      </c>
      <c r="CJ384" s="4" t="e">
        <f t="shared" si="1437"/>
        <v>#REF!</v>
      </c>
      <c r="CK384" s="4">
        <f t="shared" si="1438"/>
        <v>0.89396556017501727</v>
      </c>
      <c r="CL384" s="4">
        <f t="shared" si="1439"/>
        <v>0.95692750390543657</v>
      </c>
      <c r="CM384" s="4">
        <f t="shared" si="1699"/>
        <v>1.2598222395057197</v>
      </c>
      <c r="CN384" s="4">
        <f t="shared" si="1739"/>
        <v>0</v>
      </c>
      <c r="CO384" s="4" t="e">
        <f t="shared" ref="CO384:CO385" si="1741">CG384</f>
        <v>#REF!</v>
      </c>
      <c r="CP384" s="4" t="e">
        <f t="shared" ref="CP384:CP385" si="1742">CH384</f>
        <v>#REF!</v>
      </c>
      <c r="CQ384" s="4" t="e">
        <f t="shared" ref="CQ384:CQ385" si="1743">CJ384</f>
        <v>#REF!</v>
      </c>
      <c r="CR384" s="4">
        <f t="shared" ref="CR384:CR385" si="1744">CM384</f>
        <v>1.2598222395057197</v>
      </c>
      <c r="CS384" s="4">
        <f t="shared" ref="CS384:CS385" si="1745">CK384</f>
        <v>0.89396556017501727</v>
      </c>
      <c r="CT384" s="4">
        <f t="shared" ref="CT384:CT385" si="1746">CL384</f>
        <v>0.95692750390543657</v>
      </c>
      <c r="DC384" s="4" t="e">
        <f>#REF!</f>
        <v>#REF!</v>
      </c>
      <c r="DF384" s="4">
        <f t="shared" si="1601"/>
        <v>1.7429284624755085E-5</v>
      </c>
      <c r="DG384" s="4">
        <f t="shared" si="1446"/>
        <v>9.5981496427943913</v>
      </c>
      <c r="DH384" s="4">
        <f t="shared" si="1602"/>
        <v>0.52200757557226207</v>
      </c>
      <c r="DI384" s="4">
        <f t="shared" si="1447"/>
        <v>7.4004518777607604</v>
      </c>
      <c r="DJ384" s="4">
        <f t="shared" si="1448"/>
        <v>8.570156296053419</v>
      </c>
      <c r="DK384" s="4">
        <f t="shared" si="1603"/>
        <v>9.2254992877311519</v>
      </c>
      <c r="DL384" s="38">
        <f t="shared" si="1604"/>
        <v>813.88617113405087</v>
      </c>
      <c r="DM384" s="4" t="e">
        <f t="shared" si="1449"/>
        <v>#REF!</v>
      </c>
      <c r="DN384" s="4">
        <f t="shared" si="1605"/>
        <v>2.2360679774997898</v>
      </c>
      <c r="DO384" s="4">
        <f t="shared" si="1697"/>
        <v>488.96303101703029</v>
      </c>
      <c r="DS384" s="4">
        <f t="shared" si="1606"/>
        <v>0.85</v>
      </c>
      <c r="DT384" s="4">
        <f t="shared" si="1607"/>
        <v>0.7</v>
      </c>
      <c r="DU384" s="4">
        <f t="shared" si="1608"/>
        <v>1</v>
      </c>
      <c r="DV384" s="4">
        <f t="shared" si="1450"/>
        <v>0.7</v>
      </c>
      <c r="DX384" s="4">
        <f t="shared" si="1609"/>
        <v>760.3357662175124</v>
      </c>
      <c r="DY384" s="25">
        <f t="shared" si="1502"/>
        <v>483.90905650503407</v>
      </c>
      <c r="EA384" s="4">
        <f t="shared" si="1503"/>
        <v>0.59499999999999997</v>
      </c>
      <c r="EB384" s="4">
        <f t="shared" si="1610"/>
        <v>9.5981496427943913</v>
      </c>
      <c r="EE384" s="4">
        <f t="shared" si="1611"/>
        <v>35.497579142809165</v>
      </c>
      <c r="EF384" s="4">
        <f t="shared" si="1451"/>
        <v>2.2360679774997898</v>
      </c>
      <c r="EG384" s="4">
        <f t="shared" si="1612"/>
        <v>0.16233586943167169</v>
      </c>
      <c r="EJ384" s="4">
        <f t="shared" si="1452"/>
        <v>0.16233586943167169</v>
      </c>
      <c r="EK384" s="4">
        <f t="shared" si="1613"/>
        <v>0.52113644221761857</v>
      </c>
      <c r="EL384" s="4">
        <f t="shared" si="1453"/>
        <v>7.3955094124094876</v>
      </c>
      <c r="EM384" s="4">
        <f t="shared" si="1454"/>
        <v>8.5680239121396582</v>
      </c>
      <c r="EN384" s="4" t="e">
        <f t="shared" si="1455"/>
        <v>#REF!</v>
      </c>
      <c r="EO384" s="4" t="e">
        <f t="shared" si="1456"/>
        <v>#REF!</v>
      </c>
      <c r="EP384" s="4" t="e">
        <f t="shared" si="1614"/>
        <v>#REF!</v>
      </c>
      <c r="EQ384" s="4" t="e">
        <f t="shared" si="1457"/>
        <v>#REF!</v>
      </c>
      <c r="ER384" s="4" t="e">
        <f t="shared" si="1615"/>
        <v>#REF!</v>
      </c>
      <c r="FA384" s="23" t="e">
        <f t="shared" si="1383"/>
        <v>#REF!</v>
      </c>
      <c r="FB384" s="23" t="e">
        <f t="shared" si="1384"/>
        <v>#REF!</v>
      </c>
      <c r="FC384" s="23">
        <f t="shared" si="1706"/>
        <v>1.4</v>
      </c>
      <c r="FD384" s="23" t="e">
        <f t="shared" si="1385"/>
        <v>#REF!</v>
      </c>
      <c r="FE384" s="23">
        <f t="shared" si="1386"/>
        <v>1</v>
      </c>
      <c r="FF384" s="23">
        <f t="shared" si="1387"/>
        <v>1</v>
      </c>
      <c r="FG384" s="23">
        <f t="shared" si="1629"/>
        <v>0</v>
      </c>
      <c r="FH384" s="23"/>
      <c r="FR384" s="4">
        <f t="shared" si="1485"/>
        <v>1</v>
      </c>
      <c r="FS384" s="4">
        <f t="shared" si="1486"/>
        <v>0.5</v>
      </c>
      <c r="FT384" s="4">
        <f t="shared" si="1487"/>
        <v>0</v>
      </c>
      <c r="FU384" s="4">
        <f t="shared" si="1488"/>
        <v>577.53084846479123</v>
      </c>
    </row>
    <row r="385" spans="2:177" ht="12" customHeight="1" x14ac:dyDescent="0.3">
      <c r="B385" s="24"/>
      <c r="C385" s="7" t="s">
        <v>528</v>
      </c>
      <c r="D385" s="38">
        <f t="shared" si="1724"/>
        <v>958.62068965517244</v>
      </c>
      <c r="E385" s="38">
        <f>6.22*25.4</f>
        <v>157.98799999999997</v>
      </c>
      <c r="F385" s="38">
        <f t="shared" si="1740"/>
        <v>32.344827586206897</v>
      </c>
      <c r="G385" s="38">
        <f t="shared" si="1726"/>
        <v>15.875</v>
      </c>
      <c r="H385" s="38">
        <f>13.3*25.4</f>
        <v>337.82</v>
      </c>
      <c r="I385" s="38">
        <f>2.55*25.4</f>
        <v>64.77</v>
      </c>
      <c r="J385" s="39">
        <f>3*25.4</f>
        <v>76.199999999999989</v>
      </c>
      <c r="K385" s="7">
        <f t="shared" si="1727"/>
        <v>176.53</v>
      </c>
      <c r="L385" s="38">
        <v>2</v>
      </c>
      <c r="M385" s="4">
        <f t="shared" si="1718"/>
        <v>133.35</v>
      </c>
      <c r="N385" s="7">
        <f t="shared" si="1569"/>
        <v>4.58</v>
      </c>
      <c r="O385" s="7">
        <f t="shared" si="1570"/>
        <v>4.58</v>
      </c>
      <c r="P385" s="38">
        <v>13.1</v>
      </c>
      <c r="Q385" s="4">
        <f t="shared" si="1736"/>
        <v>13.1</v>
      </c>
      <c r="R385" s="4">
        <f t="shared" si="1571"/>
        <v>14.1</v>
      </c>
      <c r="S385" s="7">
        <f t="shared" si="1572"/>
        <v>59.610572153771514</v>
      </c>
      <c r="V385" s="38">
        <f t="shared" si="1395"/>
        <v>785.51724137931046</v>
      </c>
      <c r="W385" s="4">
        <v>113.9</v>
      </c>
      <c r="X385" s="4">
        <f t="shared" si="1573"/>
        <v>0.98338913792026705</v>
      </c>
      <c r="Y385" s="38"/>
      <c r="Z385" s="38"/>
      <c r="AA385" s="39">
        <v>1</v>
      </c>
      <c r="AB385" s="39"/>
      <c r="AC385" s="39"/>
      <c r="AD385" s="7"/>
      <c r="AE385" s="4">
        <f t="shared" si="1576"/>
        <v>157.98799999999997</v>
      </c>
      <c r="AF385" s="4">
        <f t="shared" si="1577"/>
        <v>0.71275455519828534</v>
      </c>
      <c r="AG385" s="4">
        <f t="shared" si="1578"/>
        <v>285.29307317151796</v>
      </c>
      <c r="AH385" s="4">
        <f t="shared" si="1579"/>
        <v>0.79204180064308682</v>
      </c>
      <c r="AI385" s="4">
        <v>1.25</v>
      </c>
      <c r="AJ385" s="4">
        <f t="shared" si="1513"/>
        <v>2.5</v>
      </c>
      <c r="AK385" s="38">
        <f t="shared" si="1729"/>
        <v>503.30280744753634</v>
      </c>
      <c r="AL385" s="38">
        <f t="shared" si="1616"/>
        <v>503.30280744753634</v>
      </c>
      <c r="AM385" s="38">
        <f t="shared" si="1580"/>
        <v>3.0454944685430494</v>
      </c>
      <c r="AN385" s="38">
        <f t="shared" si="1521"/>
        <v>503.30280744753645</v>
      </c>
      <c r="AO385" s="38">
        <f t="shared" si="1484"/>
        <v>0.99999999999999978</v>
      </c>
      <c r="AP385" s="38">
        <f t="shared" si="1522"/>
        <v>2.130622990934087</v>
      </c>
      <c r="AQ385" s="4">
        <f t="shared" si="1523"/>
        <v>0</v>
      </c>
      <c r="AR385" s="4" t="e">
        <f>#REF!/G385*F385^0.5/0.19</f>
        <v>#REF!</v>
      </c>
      <c r="AS385" s="4">
        <f t="shared" si="1581"/>
        <v>1</v>
      </c>
      <c r="AT385" s="38">
        <f t="shared" si="1582"/>
        <v>1072.3485329493931</v>
      </c>
      <c r="AU385" s="4">
        <f t="shared" si="1583"/>
        <v>0.3</v>
      </c>
      <c r="AV385" s="4" t="e">
        <f>AU385*D385*#REF!/(D385*G385/2.75/F385^0.5)</f>
        <v>#REF!</v>
      </c>
      <c r="AW385" s="4" t="e">
        <f t="shared" si="1431"/>
        <v>#REF!</v>
      </c>
      <c r="AY385" s="4">
        <f t="shared" si="1584"/>
        <v>1.5</v>
      </c>
      <c r="AZ385" s="4" t="e">
        <f>(3*#REF!+30)*AY385*F385^0.5</f>
        <v>#REF!</v>
      </c>
      <c r="BB385" s="4">
        <f t="shared" si="1585"/>
        <v>1028.5133827787015</v>
      </c>
      <c r="BC385" s="4">
        <f t="shared" si="1662"/>
        <v>0</v>
      </c>
      <c r="BD385" s="4">
        <f t="shared" si="1432"/>
        <v>0</v>
      </c>
      <c r="BL385" s="4">
        <f t="shared" si="1586"/>
        <v>64.77</v>
      </c>
      <c r="BP385" s="9"/>
      <c r="BR385" s="9"/>
      <c r="BS385" s="9"/>
      <c r="BT385" s="9">
        <f t="shared" si="1587"/>
        <v>64.77</v>
      </c>
      <c r="BU385" s="9">
        <f t="shared" si="1588"/>
        <v>88.265000000000001</v>
      </c>
      <c r="BV385" s="9">
        <f t="shared" si="1589"/>
        <v>2.1158860526359717</v>
      </c>
      <c r="BW385" s="40">
        <f t="shared" si="1738"/>
        <v>0</v>
      </c>
      <c r="BX385" s="9">
        <f t="shared" si="1590"/>
        <v>0</v>
      </c>
      <c r="BY385" s="9">
        <f t="shared" si="1433"/>
        <v>0</v>
      </c>
      <c r="BZ385" s="9">
        <f t="shared" si="1591"/>
        <v>1</v>
      </c>
      <c r="CA385" s="9">
        <f t="shared" si="1592"/>
        <v>0.68</v>
      </c>
      <c r="CB385" s="9">
        <f t="shared" si="1593"/>
        <v>1.3535658143559566</v>
      </c>
      <c r="CC385" s="9">
        <f t="shared" si="1594"/>
        <v>2.8639910279206195</v>
      </c>
      <c r="CD385" s="40">
        <v>1</v>
      </c>
      <c r="CE385" s="9" t="e">
        <f>4*CC385*#REF!+60*CC385</f>
        <v>#REF!</v>
      </c>
      <c r="CG385" s="4" t="e">
        <f t="shared" si="1434"/>
        <v>#REF!</v>
      </c>
      <c r="CH385" s="4" t="e">
        <f t="shared" si="1435"/>
        <v>#REF!</v>
      </c>
      <c r="CI385" s="4" t="e">
        <f t="shared" si="1436"/>
        <v>#REF!</v>
      </c>
      <c r="CJ385" s="4" t="e">
        <f t="shared" si="1437"/>
        <v>#REF!</v>
      </c>
      <c r="CK385" s="4">
        <f t="shared" si="1438"/>
        <v>0.98338913792026705</v>
      </c>
      <c r="CL385" s="4">
        <f t="shared" si="1439"/>
        <v>1.000825177613299</v>
      </c>
      <c r="CM385" s="4">
        <f t="shared" si="1699"/>
        <v>1.3120228562170784</v>
      </c>
      <c r="CN385" s="4">
        <f t="shared" si="1739"/>
        <v>0</v>
      </c>
      <c r="CO385" s="4" t="e">
        <f t="shared" si="1741"/>
        <v>#REF!</v>
      </c>
      <c r="CP385" s="4" t="e">
        <f t="shared" si="1742"/>
        <v>#REF!</v>
      </c>
      <c r="CQ385" s="4" t="e">
        <f t="shared" si="1743"/>
        <v>#REF!</v>
      </c>
      <c r="CR385" s="4">
        <f t="shared" si="1744"/>
        <v>1.3120228562170784</v>
      </c>
      <c r="CS385" s="4">
        <f t="shared" si="1745"/>
        <v>0.98338913792026705</v>
      </c>
      <c r="CT385" s="4">
        <f t="shared" si="1746"/>
        <v>1.000825177613299</v>
      </c>
      <c r="DC385" s="4" t="e">
        <f>#REF!</f>
        <v>#REF!</v>
      </c>
      <c r="DF385" s="4">
        <f t="shared" si="1601"/>
        <v>1.8068358394329439E-5</v>
      </c>
      <c r="DG385" s="4">
        <f t="shared" si="1446"/>
        <v>9.5981496427943913</v>
      </c>
      <c r="DH385" s="4">
        <f t="shared" si="1602"/>
        <v>0.2755138171079774</v>
      </c>
      <c r="DI385" s="4">
        <f t="shared" si="1447"/>
        <v>5.7311908412492434</v>
      </c>
      <c r="DJ385" s="4">
        <f t="shared" si="1448"/>
        <v>7.9062213498050378</v>
      </c>
      <c r="DK385" s="4">
        <f t="shared" si="1603"/>
        <v>9.2547968955127349</v>
      </c>
      <c r="DL385" s="38">
        <f t="shared" si="1604"/>
        <v>798.7857614947543</v>
      </c>
      <c r="DM385" s="4" t="e">
        <f t="shared" si="1449"/>
        <v>#REF!</v>
      </c>
      <c r="DN385" s="4">
        <f t="shared" si="1605"/>
        <v>3.7549966711037173</v>
      </c>
      <c r="DO385" s="4">
        <f t="shared" si="1697"/>
        <v>503.30280744753645</v>
      </c>
      <c r="DS385" s="4">
        <f t="shared" si="1606"/>
        <v>0.85</v>
      </c>
      <c r="DT385" s="4">
        <f t="shared" si="1607"/>
        <v>0.7</v>
      </c>
      <c r="DU385" s="4">
        <f t="shared" si="1608"/>
        <v>1</v>
      </c>
      <c r="DV385" s="4">
        <f t="shared" si="1450"/>
        <v>0.7</v>
      </c>
      <c r="DX385" s="4">
        <f t="shared" si="1609"/>
        <v>784.86958456876505</v>
      </c>
      <c r="DY385" s="25">
        <f t="shared" si="1502"/>
        <v>498.30722883349574</v>
      </c>
      <c r="EA385" s="4">
        <f t="shared" si="1503"/>
        <v>0.59499999999999997</v>
      </c>
      <c r="EB385" s="4">
        <f t="shared" si="1610"/>
        <v>9.5981496427943913</v>
      </c>
      <c r="EE385" s="4">
        <f t="shared" si="1611"/>
        <v>59.610572153771514</v>
      </c>
      <c r="EF385" s="4">
        <f t="shared" si="1451"/>
        <v>3.7549966711037173</v>
      </c>
      <c r="EG385" s="4">
        <f t="shared" si="1612"/>
        <v>8.5680317937207151E-2</v>
      </c>
      <c r="EJ385" s="4">
        <f t="shared" si="1452"/>
        <v>8.5680317937207151E-2</v>
      </c>
      <c r="EK385" s="4">
        <f t="shared" si="1613"/>
        <v>0.2750540358960194</v>
      </c>
      <c r="EL385" s="4">
        <f t="shared" si="1453"/>
        <v>5.7273632084746113</v>
      </c>
      <c r="EM385" s="4">
        <f t="shared" si="1454"/>
        <v>7.9048406704128062</v>
      </c>
      <c r="EN385" s="4" t="e">
        <f t="shared" si="1455"/>
        <v>#REF!</v>
      </c>
      <c r="EO385" s="4" t="e">
        <f t="shared" si="1456"/>
        <v>#REF!</v>
      </c>
      <c r="EP385" s="4" t="e">
        <f t="shared" si="1614"/>
        <v>#REF!</v>
      </c>
      <c r="EQ385" s="4" t="e">
        <f t="shared" si="1457"/>
        <v>#REF!</v>
      </c>
      <c r="ER385" s="4" t="e">
        <f t="shared" si="1615"/>
        <v>#REF!</v>
      </c>
      <c r="FA385" s="23" t="e">
        <f t="shared" si="1383"/>
        <v>#REF!</v>
      </c>
      <c r="FB385" s="23" t="e">
        <f t="shared" si="1384"/>
        <v>#REF!</v>
      </c>
      <c r="FC385" s="23">
        <f t="shared" si="1706"/>
        <v>1.4</v>
      </c>
      <c r="FD385" s="23" t="e">
        <f t="shared" si="1385"/>
        <v>#REF!</v>
      </c>
      <c r="FE385" s="23">
        <f t="shared" si="1386"/>
        <v>1</v>
      </c>
      <c r="FF385" s="23">
        <f t="shared" si="1387"/>
        <v>1.2</v>
      </c>
      <c r="FG385" s="23">
        <f t="shared" si="1629"/>
        <v>0</v>
      </c>
      <c r="FH385" s="23"/>
      <c r="FR385" s="4">
        <f t="shared" si="1485"/>
        <v>1</v>
      </c>
      <c r="FS385" s="4">
        <f t="shared" si="1486"/>
        <v>0.5</v>
      </c>
      <c r="FT385" s="4">
        <f t="shared" si="1487"/>
        <v>0</v>
      </c>
      <c r="FU385" s="4">
        <f t="shared" si="1488"/>
        <v>598.70697957516688</v>
      </c>
    </row>
    <row r="386" spans="2:177" ht="12" customHeight="1" x14ac:dyDescent="0.3">
      <c r="B386" s="24"/>
      <c r="C386" s="7" t="s">
        <v>529</v>
      </c>
      <c r="D386" s="38">
        <f t="shared" si="1724"/>
        <v>958.62068965517244</v>
      </c>
      <c r="E386" s="38">
        <f>6*25.4</f>
        <v>152.39999999999998</v>
      </c>
      <c r="F386" s="38">
        <f t="shared" si="1740"/>
        <v>32.344827586206897</v>
      </c>
      <c r="G386" s="38">
        <f t="shared" si="1726"/>
        <v>15.875</v>
      </c>
      <c r="H386" s="38">
        <f>13.1*25.4</f>
        <v>332.73999999999995</v>
      </c>
      <c r="I386" s="38">
        <f>2.55*25.4</f>
        <v>64.77</v>
      </c>
      <c r="J386" s="39">
        <f>3.2*25.4</f>
        <v>81.28</v>
      </c>
      <c r="K386" s="7">
        <f t="shared" si="1727"/>
        <v>171.44999999999996</v>
      </c>
      <c r="L386" s="38">
        <v>2</v>
      </c>
      <c r="M386" s="4">
        <f t="shared" ref="M386:M402" si="1747">5.25*25.4</f>
        <v>133.35</v>
      </c>
      <c r="N386" s="7">
        <f t="shared" si="1569"/>
        <v>4.58</v>
      </c>
      <c r="O386" s="7">
        <f t="shared" si="1570"/>
        <v>4.58</v>
      </c>
      <c r="P386" s="38">
        <v>4</v>
      </c>
      <c r="Q386" s="4">
        <f t="shared" si="1736"/>
        <v>4</v>
      </c>
      <c r="R386" s="4">
        <f t="shared" si="1571"/>
        <v>5</v>
      </c>
      <c r="S386" s="7">
        <f t="shared" si="1572"/>
        <v>35.497579142809165</v>
      </c>
      <c r="V386" s="38">
        <f t="shared" si="1395"/>
        <v>843.44827586206895</v>
      </c>
      <c r="W386" s="4">
        <v>122.3</v>
      </c>
      <c r="X386" s="4">
        <f t="shared" si="1573"/>
        <v>1.036322161226584</v>
      </c>
      <c r="Y386" s="38">
        <f t="shared" ref="Y386:Y388" si="1748">0.375*25.4</f>
        <v>9.5249999999999986</v>
      </c>
      <c r="Z386" s="38">
        <v>4</v>
      </c>
      <c r="AA386" s="39">
        <f>3.5*25.4</f>
        <v>88.899999999999991</v>
      </c>
      <c r="AB386" s="39">
        <v>2</v>
      </c>
      <c r="AC386" s="39">
        <f t="shared" ref="AC386:AC388" si="1749">AB386-1</f>
        <v>1</v>
      </c>
      <c r="AD386" s="7"/>
      <c r="AE386" s="4">
        <f t="shared" si="1576"/>
        <v>152.39999999999998</v>
      </c>
      <c r="AF386" s="4">
        <f t="shared" si="1577"/>
        <v>0.72777777777777763</v>
      </c>
      <c r="AG386" s="4">
        <f t="shared" si="1578"/>
        <v>270.29158549016233</v>
      </c>
      <c r="AH386" s="4">
        <f t="shared" si="1579"/>
        <v>0.79541666666666666</v>
      </c>
      <c r="AI386" s="4">
        <v>1.25</v>
      </c>
      <c r="AJ386" s="4">
        <f t="shared" si="1513"/>
        <v>2.5</v>
      </c>
      <c r="AK386" s="38">
        <f t="shared" si="1729"/>
        <v>488.96303101703046</v>
      </c>
      <c r="AL386" s="38">
        <f t="shared" si="1616"/>
        <v>488.96303101703046</v>
      </c>
      <c r="AM386" s="38">
        <f t="shared" si="1580"/>
        <v>3.0454944685430494</v>
      </c>
      <c r="AN386" s="38">
        <f t="shared" si="1521"/>
        <v>488.96303101703029</v>
      </c>
      <c r="AO386" s="38">
        <f t="shared" si="1484"/>
        <v>1.0000000000000004</v>
      </c>
      <c r="AP386" s="38">
        <f t="shared" si="1522"/>
        <v>1.2118651182008726</v>
      </c>
      <c r="AQ386" s="4">
        <f t="shared" si="1523"/>
        <v>0</v>
      </c>
      <c r="AR386" s="4" t="e">
        <f>#REF!/G386*F386^0.5/0.19</f>
        <v>#REF!</v>
      </c>
      <c r="AS386" s="4">
        <f t="shared" si="1581"/>
        <v>1</v>
      </c>
      <c r="AT386" s="38">
        <f t="shared" si="1582"/>
        <v>592.55724137931031</v>
      </c>
      <c r="AU386" s="4">
        <f t="shared" si="1583"/>
        <v>0.44000000000000006</v>
      </c>
      <c r="AV386" s="4" t="e">
        <f>AU386*D386*#REF!/(D386*G386/2.75/F386^0.5)</f>
        <v>#REF!</v>
      </c>
      <c r="AW386" s="4" t="e">
        <f t="shared" si="1431"/>
        <v>#REF!</v>
      </c>
      <c r="AY386" s="4">
        <f t="shared" si="1584"/>
        <v>1.5</v>
      </c>
      <c r="AZ386" s="4" t="e">
        <f>(3*#REF!+30)*AY386*F386^0.5</f>
        <v>#REF!</v>
      </c>
      <c r="BB386" s="4">
        <f t="shared" si="1585"/>
        <v>568.33485951140074</v>
      </c>
      <c r="BC386" s="4">
        <f t="shared" si="1662"/>
        <v>0</v>
      </c>
      <c r="BD386" s="4">
        <f t="shared" si="1432"/>
        <v>0</v>
      </c>
      <c r="BL386" s="4">
        <f t="shared" si="1586"/>
        <v>64.77</v>
      </c>
      <c r="BP386" s="9"/>
      <c r="BR386" s="9"/>
      <c r="BS386" s="9"/>
      <c r="BT386" s="9">
        <f t="shared" si="1587"/>
        <v>64.77</v>
      </c>
      <c r="BU386" s="9">
        <f t="shared" si="1588"/>
        <v>85.72499999999998</v>
      </c>
      <c r="BV386" s="9">
        <f t="shared" si="1589"/>
        <v>2.1066390052415969</v>
      </c>
      <c r="BW386" s="40">
        <f t="shared" si="1738"/>
        <v>20</v>
      </c>
      <c r="BX386" s="9">
        <f t="shared" si="1590"/>
        <v>0.05</v>
      </c>
      <c r="BY386" s="9">
        <f t="shared" si="1433"/>
        <v>0.8</v>
      </c>
      <c r="BZ386" s="9">
        <f t="shared" si="1591"/>
        <v>1</v>
      </c>
      <c r="CA386" s="9">
        <f t="shared" si="1592"/>
        <v>0.68</v>
      </c>
      <c r="CB386" s="9">
        <f t="shared" si="1593"/>
        <v>1.3535658143559566</v>
      </c>
      <c r="CC386" s="9">
        <f t="shared" si="1594"/>
        <v>3.3839145358898914</v>
      </c>
      <c r="CD386" s="40">
        <v>1</v>
      </c>
      <c r="CE386" s="9" t="e">
        <f>4*CC386*#REF!+60*CC386</f>
        <v>#REF!</v>
      </c>
      <c r="CG386" s="4" t="e">
        <f t="shared" si="1434"/>
        <v>#REF!</v>
      </c>
      <c r="CH386" s="4" t="e">
        <f t="shared" si="1435"/>
        <v>#REF!</v>
      </c>
      <c r="CI386" s="4" t="e">
        <f t="shared" si="1436"/>
        <v>#REF!</v>
      </c>
      <c r="CJ386" s="4" t="e">
        <f t="shared" si="1437"/>
        <v>#REF!</v>
      </c>
      <c r="CK386" s="4">
        <f t="shared" si="1438"/>
        <v>1.036322161226584</v>
      </c>
      <c r="CL386" s="4">
        <f t="shared" si="1439"/>
        <v>1.1093102722998569</v>
      </c>
      <c r="CM386" s="4">
        <f t="shared" si="1699"/>
        <v>1.3540876305298664</v>
      </c>
      <c r="CN386" s="4">
        <f t="shared" si="1739"/>
        <v>4</v>
      </c>
      <c r="CU386" s="4" t="e">
        <f t="shared" ref="CU386:CU388" si="1750">CG386</f>
        <v>#REF!</v>
      </c>
      <c r="CV386" s="4" t="e">
        <f t="shared" ref="CV386:CV388" si="1751">CH386</f>
        <v>#REF!</v>
      </c>
      <c r="CW386" s="4" t="e">
        <f t="shared" ref="CW386:CW388" si="1752">CJ386</f>
        <v>#REF!</v>
      </c>
      <c r="CX386" s="4">
        <f t="shared" ref="CX386:CX388" si="1753">CM386</f>
        <v>1.3540876305298664</v>
      </c>
      <c r="CY386" s="4">
        <f t="shared" ref="CY386:CY388" si="1754">CK386</f>
        <v>1.036322161226584</v>
      </c>
      <c r="CZ386" s="4">
        <f t="shared" ref="CZ386:CZ388" si="1755">CL386</f>
        <v>1.1093102722998569</v>
      </c>
      <c r="DC386" s="4" t="e">
        <f>#REF!</f>
        <v>#REF!</v>
      </c>
      <c r="DF386" s="4">
        <f t="shared" si="1601"/>
        <v>1.7429284624755085E-5</v>
      </c>
      <c r="DG386" s="4">
        <f t="shared" si="1446"/>
        <v>9.5981496427943913</v>
      </c>
      <c r="DH386" s="4">
        <f t="shared" si="1602"/>
        <v>0.52200757557226207</v>
      </c>
      <c r="DI386" s="4">
        <f t="shared" si="1447"/>
        <v>7.4004518777607604</v>
      </c>
      <c r="DJ386" s="4">
        <f t="shared" si="1448"/>
        <v>8.570156296053419</v>
      </c>
      <c r="DK386" s="4">
        <f t="shared" si="1603"/>
        <v>9.2254992877311519</v>
      </c>
      <c r="DL386" s="38">
        <f t="shared" si="1604"/>
        <v>813.88617113405087</v>
      </c>
      <c r="DM386" s="4" t="e">
        <f t="shared" si="1449"/>
        <v>#REF!</v>
      </c>
      <c r="DN386" s="4">
        <f t="shared" si="1605"/>
        <v>2.2360679774997898</v>
      </c>
      <c r="DO386" s="4">
        <f t="shared" si="1697"/>
        <v>488.96303101703029</v>
      </c>
      <c r="DS386" s="4">
        <f t="shared" si="1606"/>
        <v>0.85</v>
      </c>
      <c r="DT386" s="4">
        <f t="shared" si="1607"/>
        <v>0.7</v>
      </c>
      <c r="DU386" s="4">
        <f t="shared" si="1608"/>
        <v>0.85899999999999999</v>
      </c>
      <c r="DV386" s="4">
        <f t="shared" si="1450"/>
        <v>0.7</v>
      </c>
      <c r="DX386" s="4">
        <f t="shared" si="1609"/>
        <v>760.3357662175124</v>
      </c>
      <c r="DY386" s="25">
        <f t="shared" si="1502"/>
        <v>483.90905650503407</v>
      </c>
      <c r="EA386" s="4">
        <f t="shared" si="1503"/>
        <v>0.59499999999999997</v>
      </c>
      <c r="EB386" s="4">
        <f t="shared" si="1610"/>
        <v>9.5981496427943913</v>
      </c>
      <c r="EE386" s="4">
        <f t="shared" si="1611"/>
        <v>35.497579142809165</v>
      </c>
      <c r="EF386" s="4">
        <f t="shared" si="1451"/>
        <v>2.2360679774997898</v>
      </c>
      <c r="EG386" s="4">
        <f t="shared" si="1612"/>
        <v>0.16233586943167169</v>
      </c>
      <c r="EJ386" s="4">
        <f t="shared" si="1452"/>
        <v>0.16233586943167169</v>
      </c>
      <c r="EK386" s="4">
        <f t="shared" si="1613"/>
        <v>0.52113644221761857</v>
      </c>
      <c r="EL386" s="4">
        <f t="shared" si="1453"/>
        <v>7.3955094124094876</v>
      </c>
      <c r="EM386" s="4">
        <f t="shared" si="1454"/>
        <v>8.5680239121396582</v>
      </c>
      <c r="EN386" s="4" t="e">
        <f t="shared" si="1455"/>
        <v>#REF!</v>
      </c>
      <c r="EO386" s="4" t="e">
        <f t="shared" si="1456"/>
        <v>#REF!</v>
      </c>
      <c r="EP386" s="4" t="e">
        <f t="shared" si="1614"/>
        <v>#REF!</v>
      </c>
      <c r="EQ386" s="4" t="e">
        <f t="shared" si="1457"/>
        <v>#REF!</v>
      </c>
      <c r="ER386" s="4" t="e">
        <f t="shared" si="1615"/>
        <v>#REF!</v>
      </c>
      <c r="FA386" s="23" t="e">
        <f t="shared" si="1383"/>
        <v>#REF!</v>
      </c>
      <c r="FB386" s="23" t="e">
        <f t="shared" si="1384"/>
        <v>#REF!</v>
      </c>
      <c r="FC386" s="23">
        <f t="shared" si="1706"/>
        <v>1.4</v>
      </c>
      <c r="FD386" s="23" t="e">
        <f t="shared" si="1385"/>
        <v>#REF!</v>
      </c>
      <c r="FE386" s="23">
        <f t="shared" si="1386"/>
        <v>1.2</v>
      </c>
      <c r="FF386" s="23">
        <f t="shared" si="1387"/>
        <v>1.2</v>
      </c>
      <c r="FG386" s="23">
        <f t="shared" si="1629"/>
        <v>0</v>
      </c>
      <c r="FH386" s="23"/>
      <c r="FR386" s="4">
        <f t="shared" si="1485"/>
        <v>1</v>
      </c>
      <c r="FS386" s="4">
        <f t="shared" si="1486"/>
        <v>0.46358941059918601</v>
      </c>
      <c r="FT386" s="4">
        <f t="shared" si="1487"/>
        <v>0.3</v>
      </c>
      <c r="FU386" s="4">
        <f t="shared" si="1488"/>
        <v>622.89046649958709</v>
      </c>
    </row>
    <row r="387" spans="2:177" ht="12" customHeight="1" x14ac:dyDescent="0.3">
      <c r="B387" s="24"/>
      <c r="C387" s="7" t="s">
        <v>530</v>
      </c>
      <c r="D387" s="38">
        <f t="shared" si="1724"/>
        <v>958.62068965517244</v>
      </c>
      <c r="E387" s="38">
        <f>5.94*25.4</f>
        <v>150.876</v>
      </c>
      <c r="F387" s="38">
        <f t="shared" si="1740"/>
        <v>32.344827586206897</v>
      </c>
      <c r="G387" s="38">
        <f t="shared" si="1726"/>
        <v>15.875</v>
      </c>
      <c r="H387" s="38">
        <f>12.9*25.4</f>
        <v>327.65999999999997</v>
      </c>
      <c r="I387" s="38">
        <f>2.55*25.4</f>
        <v>64.77</v>
      </c>
      <c r="J387" s="39">
        <f>3.25*25.4</f>
        <v>82.55</v>
      </c>
      <c r="K387" s="7">
        <f t="shared" si="1727"/>
        <v>166.36999999999998</v>
      </c>
      <c r="L387" s="38">
        <v>2</v>
      </c>
      <c r="M387" s="4">
        <f t="shared" si="1747"/>
        <v>133.35</v>
      </c>
      <c r="N387" s="7">
        <f t="shared" si="1569"/>
        <v>4.58</v>
      </c>
      <c r="O387" s="7">
        <f t="shared" si="1570"/>
        <v>4.58</v>
      </c>
      <c r="P387" s="38">
        <v>13.1</v>
      </c>
      <c r="Q387" s="4">
        <f t="shared" si="1736"/>
        <v>13.1</v>
      </c>
      <c r="R387" s="4">
        <f t="shared" si="1571"/>
        <v>14.1</v>
      </c>
      <c r="S387" s="7">
        <f t="shared" si="1572"/>
        <v>59.610572153771514</v>
      </c>
      <c r="V387" s="38">
        <f t="shared" si="1395"/>
        <v>1032.4137931034484</v>
      </c>
      <c r="W387" s="4">
        <v>149.69999999999999</v>
      </c>
      <c r="X387" s="4">
        <f t="shared" si="1573"/>
        <v>1.3610574349331113</v>
      </c>
      <c r="Y387" s="38">
        <f t="shared" si="1748"/>
        <v>9.5249999999999986</v>
      </c>
      <c r="Z387" s="38">
        <v>4</v>
      </c>
      <c r="AA387" s="39">
        <f>3.5*25.4</f>
        <v>88.899999999999991</v>
      </c>
      <c r="AB387" s="39">
        <v>2</v>
      </c>
      <c r="AC387" s="39">
        <f t="shared" si="1749"/>
        <v>1</v>
      </c>
      <c r="AD387" s="7"/>
      <c r="AE387" s="4">
        <f t="shared" si="1576"/>
        <v>150.876</v>
      </c>
      <c r="AF387" s="4">
        <f t="shared" si="1577"/>
        <v>0.72390572390572394</v>
      </c>
      <c r="AG387" s="4">
        <f t="shared" si="1578"/>
        <v>266.24736459915772</v>
      </c>
      <c r="AH387" s="4">
        <f t="shared" si="1579"/>
        <v>0.7963804713804713</v>
      </c>
      <c r="AI387" s="4">
        <v>1.25</v>
      </c>
      <c r="AJ387" s="4">
        <f t="shared" si="1513"/>
        <v>2.5</v>
      </c>
      <c r="AK387" s="38">
        <f t="shared" si="1729"/>
        <v>479.66491341021003</v>
      </c>
      <c r="AL387" s="38">
        <f t="shared" si="1616"/>
        <v>479.66491341021003</v>
      </c>
      <c r="AM387" s="38">
        <f t="shared" si="1580"/>
        <v>3.0454944685430494</v>
      </c>
      <c r="AN387" s="38">
        <f t="shared" si="1521"/>
        <v>479.66491341021054</v>
      </c>
      <c r="AO387" s="38">
        <f t="shared" si="1484"/>
        <v>0.99999999999999889</v>
      </c>
      <c r="AP387" s="38">
        <f t="shared" si="1522"/>
        <v>2.2356201234846589</v>
      </c>
      <c r="AQ387" s="4">
        <f t="shared" si="1523"/>
        <v>0</v>
      </c>
      <c r="AR387" s="4" t="e">
        <f>#REF!/G387*F387^0.5/0.19</f>
        <v>#REF!</v>
      </c>
      <c r="AS387" s="4">
        <f t="shared" si="1581"/>
        <v>1</v>
      </c>
      <c r="AT387" s="38">
        <f t="shared" si="1582"/>
        <v>1072.3485329493931</v>
      </c>
      <c r="AU387" s="4">
        <f t="shared" si="1583"/>
        <v>0.3</v>
      </c>
      <c r="AV387" s="4" t="e">
        <f>AU387*D387*#REF!/(D387*G387/2.75/F387^0.5)</f>
        <v>#REF!</v>
      </c>
      <c r="AW387" s="4" t="e">
        <f t="shared" si="1431"/>
        <v>#REF!</v>
      </c>
      <c r="AY387" s="4">
        <f t="shared" si="1584"/>
        <v>1.5</v>
      </c>
      <c r="AZ387" s="4" t="e">
        <f>(3*#REF!+30)*AY387*F387^0.5</f>
        <v>#REF!</v>
      </c>
      <c r="BB387" s="4">
        <f t="shared" si="1585"/>
        <v>1028.5133827787015</v>
      </c>
      <c r="BC387" s="4">
        <f t="shared" si="1662"/>
        <v>0</v>
      </c>
      <c r="BD387" s="4">
        <f t="shared" si="1432"/>
        <v>0</v>
      </c>
      <c r="BL387" s="4">
        <f t="shared" si="1586"/>
        <v>64.77</v>
      </c>
      <c r="BP387" s="9"/>
      <c r="BR387" s="9"/>
      <c r="BS387" s="9"/>
      <c r="BT387" s="9">
        <f t="shared" si="1587"/>
        <v>64.77</v>
      </c>
      <c r="BU387" s="9">
        <f t="shared" si="1588"/>
        <v>83.184999999999988</v>
      </c>
      <c r="BV387" s="9">
        <f t="shared" si="1589"/>
        <v>2.0971560619797187</v>
      </c>
      <c r="BW387" s="40">
        <f t="shared" si="1738"/>
        <v>20</v>
      </c>
      <c r="BX387" s="9">
        <f t="shared" si="1590"/>
        <v>0.05</v>
      </c>
      <c r="BY387" s="9">
        <f t="shared" si="1433"/>
        <v>0.8</v>
      </c>
      <c r="BZ387" s="9">
        <f t="shared" si="1591"/>
        <v>1</v>
      </c>
      <c r="CA387" s="9">
        <f t="shared" si="1592"/>
        <v>0.68</v>
      </c>
      <c r="CB387" s="9">
        <f t="shared" si="1593"/>
        <v>1.3535658143559566</v>
      </c>
      <c r="CC387" s="9">
        <f t="shared" si="1594"/>
        <v>3.3839145358898914</v>
      </c>
      <c r="CD387" s="40">
        <v>1</v>
      </c>
      <c r="CE387" s="9" t="e">
        <f>4*CC387*#REF!+60*CC387</f>
        <v>#REF!</v>
      </c>
      <c r="CG387" s="4" t="e">
        <f t="shared" si="1434"/>
        <v>#REF!</v>
      </c>
      <c r="CH387" s="4" t="e">
        <f t="shared" si="1435"/>
        <v>#REF!</v>
      </c>
      <c r="CI387" s="4" t="e">
        <f t="shared" si="1436"/>
        <v>#REF!</v>
      </c>
      <c r="CJ387" s="4" t="e">
        <f t="shared" si="1437"/>
        <v>#REF!</v>
      </c>
      <c r="CK387" s="4">
        <f t="shared" si="1438"/>
        <v>1.3610574349331113</v>
      </c>
      <c r="CL387" s="4">
        <f t="shared" si="1439"/>
        <v>1.3796539954432834</v>
      </c>
      <c r="CM387" s="4">
        <f t="shared" si="1699"/>
        <v>1.6741983885487828</v>
      </c>
      <c r="CN387" s="4">
        <f t="shared" si="1739"/>
        <v>4</v>
      </c>
      <c r="CU387" s="4" t="e">
        <f t="shared" si="1750"/>
        <v>#REF!</v>
      </c>
      <c r="CV387" s="4" t="e">
        <f t="shared" si="1751"/>
        <v>#REF!</v>
      </c>
      <c r="CW387" s="4" t="e">
        <f t="shared" si="1752"/>
        <v>#REF!</v>
      </c>
      <c r="CX387" s="4">
        <f t="shared" si="1753"/>
        <v>1.6741983885487828</v>
      </c>
      <c r="CY387" s="4">
        <f t="shared" si="1754"/>
        <v>1.3610574349331113</v>
      </c>
      <c r="CZ387" s="4">
        <f t="shared" si="1755"/>
        <v>1.3796539954432834</v>
      </c>
      <c r="DC387" s="4" t="e">
        <f>#REF!</f>
        <v>#REF!</v>
      </c>
      <c r="DF387" s="4">
        <f t="shared" si="1601"/>
        <v>1.7254991778507537E-5</v>
      </c>
      <c r="DG387" s="4">
        <f t="shared" si="1446"/>
        <v>9.5981496427943913</v>
      </c>
      <c r="DH387" s="4">
        <f t="shared" si="1602"/>
        <v>0.26257415867919665</v>
      </c>
      <c r="DI387" s="4">
        <f t="shared" si="1447"/>
        <v>5.6219672285104876</v>
      </c>
      <c r="DJ387" s="4">
        <f t="shared" si="1448"/>
        <v>7.8671022829311426</v>
      </c>
      <c r="DK387" s="4">
        <f t="shared" si="1603"/>
        <v>9.289580301332089</v>
      </c>
      <c r="DL387" s="38">
        <f t="shared" si="1604"/>
        <v>758.53800626289217</v>
      </c>
      <c r="DM387" s="4" t="e">
        <f t="shared" si="1449"/>
        <v>#REF!</v>
      </c>
      <c r="DN387" s="4">
        <f t="shared" si="1605"/>
        <v>3.7549966711037173</v>
      </c>
      <c r="DO387" s="4">
        <f t="shared" si="1697"/>
        <v>479.66491341021054</v>
      </c>
      <c r="DS387" s="4">
        <f t="shared" si="1606"/>
        <v>0.85</v>
      </c>
      <c r="DT387" s="4">
        <f t="shared" si="1607"/>
        <v>0.7</v>
      </c>
      <c r="DU387" s="4">
        <f t="shared" si="1608"/>
        <v>0.85899999999999999</v>
      </c>
      <c r="DV387" s="4">
        <f t="shared" si="1450"/>
        <v>0.7</v>
      </c>
      <c r="DX387" s="4">
        <f t="shared" si="1609"/>
        <v>748.31356014863229</v>
      </c>
      <c r="DY387" s="25">
        <f t="shared" si="1502"/>
        <v>474.65111753327864</v>
      </c>
      <c r="EA387" s="4">
        <f t="shared" si="1503"/>
        <v>0.59499999999999997</v>
      </c>
      <c r="EB387" s="4">
        <f t="shared" si="1610"/>
        <v>9.5981496427943913</v>
      </c>
      <c r="EE387" s="4">
        <f t="shared" si="1611"/>
        <v>59.610572153771514</v>
      </c>
      <c r="EF387" s="4">
        <f t="shared" si="1451"/>
        <v>3.7549966711037173</v>
      </c>
      <c r="EG387" s="4">
        <f t="shared" si="1612"/>
        <v>8.1656294533174772E-2</v>
      </c>
      <c r="EJ387" s="4">
        <f t="shared" si="1452"/>
        <v>8.1656294533174772E-2</v>
      </c>
      <c r="EK387" s="4">
        <f t="shared" si="1613"/>
        <v>0.26213597134553179</v>
      </c>
      <c r="EL387" s="4">
        <f t="shared" si="1453"/>
        <v>5.618212541811368</v>
      </c>
      <c r="EM387" s="4">
        <f t="shared" si="1454"/>
        <v>7.8657678741570898</v>
      </c>
      <c r="EN387" s="4" t="e">
        <f t="shared" si="1455"/>
        <v>#REF!</v>
      </c>
      <c r="EO387" s="4" t="e">
        <f t="shared" si="1456"/>
        <v>#REF!</v>
      </c>
      <c r="EP387" s="4" t="e">
        <f t="shared" si="1614"/>
        <v>#REF!</v>
      </c>
      <c r="EQ387" s="4" t="e">
        <f t="shared" si="1457"/>
        <v>#REF!</v>
      </c>
      <c r="ER387" s="4" t="e">
        <f t="shared" si="1615"/>
        <v>#REF!</v>
      </c>
      <c r="FA387" s="23" t="e">
        <f t="shared" si="1383"/>
        <v>#REF!</v>
      </c>
      <c r="FB387" s="23" t="e">
        <f t="shared" si="1384"/>
        <v>#REF!</v>
      </c>
      <c r="FC387" s="23">
        <f t="shared" si="1706"/>
        <v>1.8</v>
      </c>
      <c r="FD387" s="23" t="e">
        <f t="shared" si="1385"/>
        <v>#REF!</v>
      </c>
      <c r="FE387" s="23">
        <f t="shared" si="1386"/>
        <v>1.4</v>
      </c>
      <c r="FF387" s="23">
        <f t="shared" si="1387"/>
        <v>1.4</v>
      </c>
      <c r="FG387" s="23">
        <f t="shared" si="1629"/>
        <v>0</v>
      </c>
      <c r="FH387" s="23"/>
      <c r="FR387" s="4">
        <f t="shared" si="1485"/>
        <v>1</v>
      </c>
      <c r="FS387" s="4">
        <f t="shared" si="1486"/>
        <v>0.46358941059918601</v>
      </c>
      <c r="FT387" s="4">
        <f t="shared" si="1487"/>
        <v>0.3</v>
      </c>
      <c r="FU387" s="4">
        <f t="shared" si="1488"/>
        <v>616.66156183459134</v>
      </c>
    </row>
    <row r="388" spans="2:177" ht="12" customHeight="1" x14ac:dyDescent="0.3">
      <c r="B388" s="24"/>
      <c r="C388" s="7" t="s">
        <v>531</v>
      </c>
      <c r="D388" s="38">
        <f t="shared" si="1724"/>
        <v>958.62068965517244</v>
      </c>
      <c r="E388" s="38">
        <f>6.06*25.4</f>
        <v>153.92399999999998</v>
      </c>
      <c r="F388" s="38">
        <f t="shared" si="1740"/>
        <v>32.344827586206897</v>
      </c>
      <c r="G388" s="38">
        <f t="shared" si="1726"/>
        <v>15.875</v>
      </c>
      <c r="H388" s="38">
        <f>13.1*25.4</f>
        <v>332.73999999999995</v>
      </c>
      <c r="I388" s="38">
        <f>2.55*25.4</f>
        <v>64.77</v>
      </c>
      <c r="J388" s="39">
        <f>3.15*25.4</f>
        <v>80.009999999999991</v>
      </c>
      <c r="K388" s="7">
        <f t="shared" si="1727"/>
        <v>171.44999999999996</v>
      </c>
      <c r="L388" s="38">
        <v>2</v>
      </c>
      <c r="M388" s="4">
        <f t="shared" si="1747"/>
        <v>133.35</v>
      </c>
      <c r="N388" s="7">
        <f t="shared" si="1569"/>
        <v>4.58</v>
      </c>
      <c r="O388" s="7">
        <f t="shared" si="1570"/>
        <v>4.58</v>
      </c>
      <c r="P388" s="38">
        <v>4</v>
      </c>
      <c r="Q388" s="4">
        <f t="shared" si="1736"/>
        <v>4</v>
      </c>
      <c r="R388" s="4">
        <f t="shared" si="1571"/>
        <v>5</v>
      </c>
      <c r="S388" s="7">
        <f t="shared" si="1572"/>
        <v>35.497579142809165</v>
      </c>
      <c r="V388" s="38">
        <f t="shared" si="1395"/>
        <v>967.58620689655186</v>
      </c>
      <c r="W388" s="4">
        <v>140.30000000000001</v>
      </c>
      <c r="X388" s="4">
        <f t="shared" si="1573"/>
        <v>1.1811110675219012</v>
      </c>
      <c r="Y388" s="38">
        <f t="shared" si="1748"/>
        <v>9.5249999999999986</v>
      </c>
      <c r="Z388" s="38">
        <v>10</v>
      </c>
      <c r="AA388" s="39">
        <f>1.75*25.4</f>
        <v>44.449999999999996</v>
      </c>
      <c r="AB388" s="39">
        <v>3</v>
      </c>
      <c r="AC388" s="39">
        <f t="shared" si="1749"/>
        <v>2</v>
      </c>
      <c r="AD388" s="7"/>
      <c r="AE388" s="4">
        <f t="shared" si="1576"/>
        <v>153.92399999999998</v>
      </c>
      <c r="AF388" s="4">
        <f t="shared" si="1577"/>
        <v>0.7205720572057206</v>
      </c>
      <c r="AG388" s="4">
        <f t="shared" si="1578"/>
        <v>274.35607837678128</v>
      </c>
      <c r="AH388" s="4">
        <f t="shared" si="1579"/>
        <v>0.79447194719471947</v>
      </c>
      <c r="AI388" s="4">
        <v>1.25</v>
      </c>
      <c r="AJ388" s="4">
        <f t="shared" si="1513"/>
        <v>2.5</v>
      </c>
      <c r="AK388" s="38">
        <f t="shared" si="1729"/>
        <v>490.81812471577302</v>
      </c>
      <c r="AL388" s="38">
        <f t="shared" si="1616"/>
        <v>490.81812471577302</v>
      </c>
      <c r="AM388" s="38">
        <f t="shared" si="1580"/>
        <v>3.0454944685430494</v>
      </c>
      <c r="AN388" s="38">
        <f t="shared" si="1521"/>
        <v>490.81812471577274</v>
      </c>
      <c r="AO388" s="38">
        <f t="shared" si="1484"/>
        <v>1.0000000000000007</v>
      </c>
      <c r="AP388" s="38">
        <f t="shared" si="1522"/>
        <v>1.2072847589368334</v>
      </c>
      <c r="AQ388" s="4">
        <f t="shared" si="1523"/>
        <v>0</v>
      </c>
      <c r="AR388" s="4" t="e">
        <f>#REF!/G388*F388^0.5/0.19</f>
        <v>#REF!</v>
      </c>
      <c r="AS388" s="4">
        <f t="shared" si="1581"/>
        <v>1</v>
      </c>
      <c r="AT388" s="38">
        <f t="shared" si="1582"/>
        <v>592.55724137931031</v>
      </c>
      <c r="AU388" s="4">
        <f t="shared" si="1583"/>
        <v>0.44000000000000006</v>
      </c>
      <c r="AV388" s="4" t="e">
        <f>AU388*D388*#REF!/(D388*G388/2.75/F388^0.5)</f>
        <v>#REF!</v>
      </c>
      <c r="AW388" s="4" t="e">
        <f t="shared" si="1431"/>
        <v>#REF!</v>
      </c>
      <c r="AY388" s="4">
        <f t="shared" si="1584"/>
        <v>1.5</v>
      </c>
      <c r="AZ388" s="4" t="e">
        <f>(3*#REF!+30)*AY388*F388^0.5</f>
        <v>#REF!</v>
      </c>
      <c r="BB388" s="4">
        <f t="shared" si="1585"/>
        <v>568.33485951140074</v>
      </c>
      <c r="BC388" s="4">
        <f t="shared" si="1662"/>
        <v>0</v>
      </c>
      <c r="BD388" s="4">
        <f t="shared" si="1432"/>
        <v>0</v>
      </c>
      <c r="BL388" s="4">
        <f t="shared" si="1586"/>
        <v>64.77</v>
      </c>
      <c r="BP388" s="9"/>
      <c r="BR388" s="9"/>
      <c r="BS388" s="9"/>
      <c r="BT388" s="9">
        <f t="shared" si="1587"/>
        <v>64.77</v>
      </c>
      <c r="BU388" s="9">
        <f t="shared" si="1588"/>
        <v>85.72499999999998</v>
      </c>
      <c r="BV388" s="9">
        <f t="shared" si="1589"/>
        <v>2.1066390052415969</v>
      </c>
      <c r="BW388" s="40">
        <f t="shared" si="1738"/>
        <v>20</v>
      </c>
      <c r="BX388" s="9">
        <f t="shared" si="1590"/>
        <v>0.05</v>
      </c>
      <c r="BY388" s="9">
        <f t="shared" si="1433"/>
        <v>0.8</v>
      </c>
      <c r="BZ388" s="9">
        <f t="shared" si="1591"/>
        <v>1</v>
      </c>
      <c r="CA388" s="9">
        <f t="shared" si="1592"/>
        <v>0.68</v>
      </c>
      <c r="CB388" s="9">
        <f t="shared" si="1593"/>
        <v>1.3535658143559566</v>
      </c>
      <c r="CC388" s="9">
        <f t="shared" si="1594"/>
        <v>3.3839145358898914</v>
      </c>
      <c r="CD388" s="40">
        <v>1</v>
      </c>
      <c r="CE388" s="9" t="e">
        <f>4*CC388*#REF!+60*CC388</f>
        <v>#REF!</v>
      </c>
      <c r="CG388" s="4" t="e">
        <f t="shared" si="1434"/>
        <v>#REF!</v>
      </c>
      <c r="CH388" s="4" t="e">
        <f t="shared" si="1435"/>
        <v>#REF!</v>
      </c>
      <c r="CI388" s="4" t="e">
        <f t="shared" si="1436"/>
        <v>#REF!</v>
      </c>
      <c r="CJ388" s="4" t="e">
        <f t="shared" si="1437"/>
        <v>#REF!</v>
      </c>
      <c r="CK388" s="4">
        <f t="shared" si="1438"/>
        <v>1.1811110675219012</v>
      </c>
      <c r="CL388" s="4">
        <f t="shared" si="1439"/>
        <v>1.2648314968012164</v>
      </c>
      <c r="CM388" s="4">
        <f t="shared" si="1699"/>
        <v>1.5380009760396056</v>
      </c>
      <c r="CN388" s="4">
        <f t="shared" si="1739"/>
        <v>10</v>
      </c>
      <c r="CU388" s="4" t="e">
        <f t="shared" si="1750"/>
        <v>#REF!</v>
      </c>
      <c r="CV388" s="4" t="e">
        <f t="shared" si="1751"/>
        <v>#REF!</v>
      </c>
      <c r="CW388" s="4" t="e">
        <f t="shared" si="1752"/>
        <v>#REF!</v>
      </c>
      <c r="CX388" s="4">
        <f t="shared" si="1753"/>
        <v>1.5380009760396056</v>
      </c>
      <c r="CY388" s="4">
        <f t="shared" si="1754"/>
        <v>1.1811110675219012</v>
      </c>
      <c r="CZ388" s="4">
        <f t="shared" si="1755"/>
        <v>1.2648314968012164</v>
      </c>
      <c r="DC388" s="4" t="e">
        <f>#REF!</f>
        <v>#REF!</v>
      </c>
      <c r="DF388" s="4">
        <f t="shared" si="1601"/>
        <v>1.7603577471002637E-5</v>
      </c>
      <c r="DG388" s="4">
        <f t="shared" si="1446"/>
        <v>9.5981496427943913</v>
      </c>
      <c r="DH388" s="4">
        <f t="shared" si="1602"/>
        <v>0.52398803810769279</v>
      </c>
      <c r="DI388" s="4">
        <f t="shared" si="1447"/>
        <v>7.4116698527576723</v>
      </c>
      <c r="DJ388" s="4">
        <f t="shared" si="1448"/>
        <v>8.5749995423716712</v>
      </c>
      <c r="DK388" s="4">
        <f t="shared" si="1603"/>
        <v>9.2176543034529121</v>
      </c>
      <c r="DL388" s="38">
        <f t="shared" si="1604"/>
        <v>819.21695046567675</v>
      </c>
      <c r="DM388" s="4" t="e">
        <f t="shared" si="1449"/>
        <v>#REF!</v>
      </c>
      <c r="DN388" s="4">
        <f t="shared" si="1605"/>
        <v>2.2360679774997898</v>
      </c>
      <c r="DO388" s="4">
        <f t="shared" si="1697"/>
        <v>490.81812471577274</v>
      </c>
      <c r="DS388" s="4">
        <f t="shared" si="1606"/>
        <v>0.85</v>
      </c>
      <c r="DT388" s="4">
        <f t="shared" si="1607"/>
        <v>0.7</v>
      </c>
      <c r="DU388" s="4">
        <f t="shared" si="1608"/>
        <v>0.7</v>
      </c>
      <c r="DV388" s="4">
        <f t="shared" si="1450"/>
        <v>0.7</v>
      </c>
      <c r="DX388" s="4">
        <f t="shared" si="1609"/>
        <v>764.99218223423145</v>
      </c>
      <c r="DY388" s="25">
        <f t="shared" si="1502"/>
        <v>485.80120542462834</v>
      </c>
      <c r="EA388" s="4">
        <f t="shared" si="1503"/>
        <v>0.59499999999999997</v>
      </c>
      <c r="EB388" s="4">
        <f t="shared" si="1610"/>
        <v>9.5981496427943913</v>
      </c>
      <c r="EE388" s="4">
        <f t="shared" si="1611"/>
        <v>35.497579142809165</v>
      </c>
      <c r="EF388" s="4">
        <f t="shared" si="1451"/>
        <v>2.2360679774997898</v>
      </c>
      <c r="EG388" s="4">
        <f t="shared" si="1612"/>
        <v>0.16295176108269527</v>
      </c>
      <c r="EJ388" s="4">
        <f t="shared" si="1452"/>
        <v>0.16295176108269527</v>
      </c>
      <c r="EK388" s="4">
        <f t="shared" si="1613"/>
        <v>0.52311359973018579</v>
      </c>
      <c r="EL388" s="4">
        <f t="shared" si="1453"/>
        <v>7.4067198953702853</v>
      </c>
      <c r="EM388" s="4">
        <f t="shared" si="1454"/>
        <v>8.5728618760834348</v>
      </c>
      <c r="EN388" s="4" t="e">
        <f t="shared" si="1455"/>
        <v>#REF!</v>
      </c>
      <c r="EO388" s="4" t="e">
        <f t="shared" si="1456"/>
        <v>#REF!</v>
      </c>
      <c r="EP388" s="4" t="e">
        <f t="shared" si="1614"/>
        <v>#REF!</v>
      </c>
      <c r="EQ388" s="4" t="e">
        <f t="shared" si="1457"/>
        <v>#REF!</v>
      </c>
      <c r="ER388" s="4" t="e">
        <f t="shared" si="1615"/>
        <v>#REF!</v>
      </c>
      <c r="FA388" s="23" t="e">
        <f t="shared" si="1383"/>
        <v>#REF!</v>
      </c>
      <c r="FB388" s="23" t="e">
        <f t="shared" si="1384"/>
        <v>#REF!</v>
      </c>
      <c r="FC388" s="23">
        <f t="shared" si="1706"/>
        <v>1.6</v>
      </c>
      <c r="FD388" s="23" t="e">
        <f t="shared" si="1385"/>
        <v>#REF!</v>
      </c>
      <c r="FE388" s="23">
        <f t="shared" si="1386"/>
        <v>1.2</v>
      </c>
      <c r="FF388" s="23">
        <f t="shared" si="1387"/>
        <v>1.4</v>
      </c>
      <c r="FG388" s="23">
        <f t="shared" si="1629"/>
        <v>0</v>
      </c>
      <c r="FH388" s="23"/>
      <c r="FR388" s="4">
        <f t="shared" si="1485"/>
        <v>1</v>
      </c>
      <c r="FS388" s="4">
        <f t="shared" si="1486"/>
        <v>0.46358941059918601</v>
      </c>
      <c r="FT388" s="4">
        <f t="shared" si="1487"/>
        <v>0.3</v>
      </c>
      <c r="FU388" s="4">
        <f t="shared" si="1488"/>
        <v>629.11937116458319</v>
      </c>
    </row>
    <row r="389" spans="2:177" ht="12" customHeight="1" x14ac:dyDescent="0.3">
      <c r="B389" s="24" t="s">
        <v>532</v>
      </c>
      <c r="C389" s="7" t="s">
        <v>533</v>
      </c>
      <c r="D389" s="38">
        <f t="shared" si="1724"/>
        <v>958.62068965517244</v>
      </c>
      <c r="E389" s="38">
        <f>4.06*25.4</f>
        <v>103.12399999999998</v>
      </c>
      <c r="F389" s="38">
        <f>11030/145</f>
        <v>76.068965517241381</v>
      </c>
      <c r="G389" s="38">
        <f t="shared" si="1726"/>
        <v>15.875</v>
      </c>
      <c r="H389" s="38">
        <f t="shared" ref="H389:H398" si="1756">13.1*25.4</f>
        <v>332.73999999999995</v>
      </c>
      <c r="I389" s="38">
        <f>2.6*25.4</f>
        <v>66.039999999999992</v>
      </c>
      <c r="J389" s="39">
        <f>5.2*25.4</f>
        <v>132.07999999999998</v>
      </c>
      <c r="K389" s="7">
        <f t="shared" si="1727"/>
        <v>168.90999999999997</v>
      </c>
      <c r="L389" s="38">
        <v>2</v>
      </c>
      <c r="M389" s="4">
        <f t="shared" si="1747"/>
        <v>133.35</v>
      </c>
      <c r="N389" s="7">
        <f t="shared" si="1569"/>
        <v>4.6599999999999993</v>
      </c>
      <c r="O389" s="7">
        <f t="shared" si="1570"/>
        <v>4.6599999999999993</v>
      </c>
      <c r="P389" s="38">
        <v>4</v>
      </c>
      <c r="Q389" s="4">
        <f t="shared" si="1736"/>
        <v>4</v>
      </c>
      <c r="R389" s="4">
        <f t="shared" si="1571"/>
        <v>5</v>
      </c>
      <c r="S389" s="7">
        <f t="shared" si="1572"/>
        <v>35.497579142809165</v>
      </c>
      <c r="V389" s="38">
        <f t="shared" si="1395"/>
        <v>629.65517241379314</v>
      </c>
      <c r="W389" s="4">
        <v>91.3</v>
      </c>
      <c r="X389" s="4">
        <f t="shared" si="1573"/>
        <v>0.65825114412661645</v>
      </c>
      <c r="Y389" s="38"/>
      <c r="Z389" s="38"/>
      <c r="AA389" s="39">
        <v>1</v>
      </c>
      <c r="AB389" s="39"/>
      <c r="AC389" s="39"/>
      <c r="AD389" s="7"/>
      <c r="AE389" s="4">
        <f t="shared" si="1576"/>
        <v>103.12399999999998</v>
      </c>
      <c r="AF389" s="4">
        <f t="shared" si="1577"/>
        <v>1.0755336617405586</v>
      </c>
      <c r="AG389" s="4">
        <f t="shared" si="1578"/>
        <v>230.72573356041525</v>
      </c>
      <c r="AH389" s="4">
        <f t="shared" si="1579"/>
        <v>0.84347290640394079</v>
      </c>
      <c r="AI389" s="4">
        <v>1.25</v>
      </c>
      <c r="AJ389" s="4">
        <f t="shared" si="1513"/>
        <v>2.5</v>
      </c>
      <c r="AK389" s="38">
        <f t="shared" si="1729"/>
        <v>654.09556044638771</v>
      </c>
      <c r="AL389" s="38">
        <f t="shared" si="1616"/>
        <v>654.09556044638771</v>
      </c>
      <c r="AM389" s="38">
        <f t="shared" si="1580"/>
        <v>4.7518593634836064</v>
      </c>
      <c r="AN389" s="38">
        <f t="shared" si="1521"/>
        <v>654.09556044638748</v>
      </c>
      <c r="AO389" s="38">
        <f t="shared" si="1484"/>
        <v>1.0000000000000004</v>
      </c>
      <c r="AP389" s="38">
        <f t="shared" si="1522"/>
        <v>2.1677650835509659</v>
      </c>
      <c r="AQ389" s="4">
        <f t="shared" si="1523"/>
        <v>0</v>
      </c>
      <c r="AR389" s="4" t="e">
        <f>#REF!/G389*F389^0.5/0.19</f>
        <v>#REF!</v>
      </c>
      <c r="AS389" s="4">
        <f t="shared" si="1581"/>
        <v>1</v>
      </c>
      <c r="AT389" s="38">
        <f t="shared" si="1582"/>
        <v>1417.9255172413791</v>
      </c>
      <c r="AU389" s="4">
        <f t="shared" si="1583"/>
        <v>0.44000000000000006</v>
      </c>
      <c r="AV389" s="4" t="e">
        <f>AU389*D389*#REF!/(D389*G389/2.75/F389^0.5)</f>
        <v>#REF!</v>
      </c>
      <c r="AW389" s="4" t="e">
        <f t="shared" si="1431"/>
        <v>#REF!</v>
      </c>
      <c r="AY389" s="4">
        <f t="shared" si="1584"/>
        <v>1.5</v>
      </c>
      <c r="AZ389" s="4" t="e">
        <f>(3*#REF!+30)*AY389*F389^0.5</f>
        <v>#REF!</v>
      </c>
      <c r="BB389" s="4">
        <f t="shared" si="1585"/>
        <v>1359.9639720260559</v>
      </c>
      <c r="BC389" s="4">
        <f t="shared" si="1662"/>
        <v>0</v>
      </c>
      <c r="BD389" s="4">
        <f t="shared" si="1432"/>
        <v>0</v>
      </c>
      <c r="BL389" s="4">
        <f t="shared" si="1586"/>
        <v>66.039999999999992</v>
      </c>
      <c r="BP389" s="9"/>
      <c r="BR389" s="9"/>
      <c r="BS389" s="9"/>
      <c r="BT389" s="9">
        <f t="shared" si="1587"/>
        <v>66.039999999999992</v>
      </c>
      <c r="BU389" s="9">
        <f t="shared" si="1588"/>
        <v>84.454999999999984</v>
      </c>
      <c r="BV389" s="9">
        <f t="shared" si="1589"/>
        <v>2.116261887080392</v>
      </c>
      <c r="BW389" s="40">
        <f t="shared" si="1738"/>
        <v>0</v>
      </c>
      <c r="BX389" s="9">
        <f t="shared" si="1590"/>
        <v>0</v>
      </c>
      <c r="BY389" s="9">
        <f t="shared" si="1433"/>
        <v>0</v>
      </c>
      <c r="BZ389" s="9">
        <f t="shared" si="1591"/>
        <v>1</v>
      </c>
      <c r="CA389" s="9">
        <f t="shared" si="1592"/>
        <v>0.68</v>
      </c>
      <c r="CB389" s="9">
        <f t="shared" si="1593"/>
        <v>2.0757770792545673</v>
      </c>
      <c r="CC389" s="9">
        <f t="shared" si="1594"/>
        <v>4.3928879189014953</v>
      </c>
      <c r="CD389" s="40">
        <v>1</v>
      </c>
      <c r="CE389" s="9" t="e">
        <f>4*CC389*#REF!+60*CC389</f>
        <v>#REF!</v>
      </c>
      <c r="CG389" s="4" t="e">
        <f t="shared" si="1434"/>
        <v>#REF!</v>
      </c>
      <c r="CH389" s="4" t="e">
        <f t="shared" si="1435"/>
        <v>#REF!</v>
      </c>
      <c r="CI389" s="4" t="e">
        <f t="shared" si="1436"/>
        <v>#REF!</v>
      </c>
      <c r="CJ389" s="4" t="e">
        <f t="shared" si="1437"/>
        <v>#REF!</v>
      </c>
      <c r="CK389" s="4">
        <f t="shared" si="1438"/>
        <v>0.65825114412661645</v>
      </c>
      <c r="CL389" s="4">
        <f t="shared" si="1439"/>
        <v>0.67646352686461653</v>
      </c>
      <c r="CM389" s="4">
        <f t="shared" si="1699"/>
        <v>1.3010744184441332</v>
      </c>
      <c r="CN389" s="4">
        <f t="shared" si="1739"/>
        <v>0</v>
      </c>
      <c r="CO389" s="4" t="e">
        <f t="shared" ref="CO389:CO390" si="1757">CG389</f>
        <v>#REF!</v>
      </c>
      <c r="CP389" s="4" t="e">
        <f t="shared" ref="CP389:CP390" si="1758">CH389</f>
        <v>#REF!</v>
      </c>
      <c r="CQ389" s="4" t="e">
        <f t="shared" ref="CQ389:CQ390" si="1759">CJ389</f>
        <v>#REF!</v>
      </c>
      <c r="CR389" s="4">
        <f>CM389</f>
        <v>1.3010744184441332</v>
      </c>
      <c r="CS389" s="4">
        <f t="shared" ref="CS389:CS390" si="1760">CK389</f>
        <v>0.65825114412661645</v>
      </c>
      <c r="CT389" s="4">
        <f t="shared" ref="CT389:CT390" si="1761">CL389</f>
        <v>0.67646352686461653</v>
      </c>
      <c r="DC389" s="4" t="e">
        <f>#REF!</f>
        <v>#REF!</v>
      </c>
      <c r="DF389" s="4">
        <f t="shared" si="1601"/>
        <v>1.5546920012851651E-5</v>
      </c>
      <c r="DG389" s="4">
        <f t="shared" si="1446"/>
        <v>14.719357433866572</v>
      </c>
      <c r="DH389" s="4">
        <f t="shared" si="1602"/>
        <v>0.29691990485502351</v>
      </c>
      <c r="DI389" s="4">
        <f t="shared" si="1447"/>
        <v>9.0561702129907751</v>
      </c>
      <c r="DJ389" s="4">
        <f t="shared" si="1448"/>
        <v>12.222139532840403</v>
      </c>
      <c r="DK389" s="4">
        <f t="shared" si="1603"/>
        <v>14.254053602825914</v>
      </c>
      <c r="DL389" s="38">
        <f t="shared" si="1604"/>
        <v>956.55765741088817</v>
      </c>
      <c r="DM389" s="4" t="e">
        <f t="shared" si="1449"/>
        <v>#REF!</v>
      </c>
      <c r="DN389" s="4">
        <f t="shared" si="1605"/>
        <v>2.2360679774997898</v>
      </c>
      <c r="DO389" s="4">
        <f t="shared" si="1697"/>
        <v>654.09556044638748</v>
      </c>
      <c r="DS389" s="4">
        <f t="shared" si="1606"/>
        <v>0.85</v>
      </c>
      <c r="DT389" s="4">
        <f t="shared" si="1607"/>
        <v>0.7</v>
      </c>
      <c r="DU389" s="4">
        <f t="shared" si="1608"/>
        <v>1</v>
      </c>
      <c r="DV389" s="4">
        <f t="shared" si="1450"/>
        <v>0.7</v>
      </c>
      <c r="DX389" s="4">
        <f t="shared" si="1609"/>
        <v>930.8043189441737</v>
      </c>
      <c r="DY389" s="25">
        <f t="shared" si="1502"/>
        <v>643.953481272982</v>
      </c>
      <c r="EA389" s="4">
        <f t="shared" si="1503"/>
        <v>0.59499999999999997</v>
      </c>
      <c r="EB389" s="4">
        <f t="shared" si="1610"/>
        <v>14.719357433866572</v>
      </c>
      <c r="EE389" s="4">
        <f t="shared" si="1611"/>
        <v>35.497579142809165</v>
      </c>
      <c r="EF389" s="4">
        <f t="shared" si="1451"/>
        <v>2.2360679774997898</v>
      </c>
      <c r="EG389" s="4">
        <f t="shared" si="1612"/>
        <v>0.14160491681408338</v>
      </c>
      <c r="EJ389" s="4">
        <f t="shared" si="1452"/>
        <v>0.14160491681408338</v>
      </c>
      <c r="EK389" s="4">
        <f t="shared" si="1613"/>
        <v>0.29642440087216809</v>
      </c>
      <c r="EL389" s="4">
        <f t="shared" si="1453"/>
        <v>9.0501219596905358</v>
      </c>
      <c r="EM389" s="4">
        <f t="shared" si="1454"/>
        <v>12.219907720614318</v>
      </c>
      <c r="EN389" s="4" t="e">
        <f t="shared" si="1455"/>
        <v>#REF!</v>
      </c>
      <c r="EO389" s="4" t="e">
        <f t="shared" si="1456"/>
        <v>#REF!</v>
      </c>
      <c r="EP389" s="4" t="e">
        <f t="shared" si="1614"/>
        <v>#REF!</v>
      </c>
      <c r="EQ389" s="4" t="e">
        <f t="shared" si="1457"/>
        <v>#REF!</v>
      </c>
      <c r="ER389" s="4" t="e">
        <f t="shared" si="1615"/>
        <v>#REF!</v>
      </c>
      <c r="FA389" s="23" t="e">
        <f t="shared" si="1383"/>
        <v>#REF!</v>
      </c>
      <c r="FB389" s="23" t="e">
        <f t="shared" si="1384"/>
        <v>#REF!</v>
      </c>
      <c r="FC389" s="23">
        <f t="shared" si="1706"/>
        <v>1.4</v>
      </c>
      <c r="FD389" s="23" t="e">
        <f t="shared" si="1385"/>
        <v>#REF!</v>
      </c>
      <c r="FE389" s="23">
        <f t="shared" si="1386"/>
        <v>0.8</v>
      </c>
      <c r="FF389" s="23">
        <f t="shared" si="1387"/>
        <v>0.8</v>
      </c>
      <c r="FG389" s="23">
        <f t="shared" si="1629"/>
        <v>1</v>
      </c>
      <c r="FH389" s="23"/>
      <c r="FR389" s="4">
        <f t="shared" si="1485"/>
        <v>1</v>
      </c>
      <c r="FS389" s="4">
        <f t="shared" si="1486"/>
        <v>0.5</v>
      </c>
      <c r="FT389" s="4">
        <f t="shared" si="1487"/>
        <v>0</v>
      </c>
      <c r="FU389" s="4">
        <f t="shared" si="1488"/>
        <v>483.95015956639526</v>
      </c>
    </row>
    <row r="390" spans="2:177" ht="12" customHeight="1" x14ac:dyDescent="0.3">
      <c r="B390" s="24"/>
      <c r="C390" s="7" t="s">
        <v>534</v>
      </c>
      <c r="D390" s="38">
        <f t="shared" si="1724"/>
        <v>958.62068965517244</v>
      </c>
      <c r="E390" s="38">
        <f>4.13*25.4</f>
        <v>104.90199999999999</v>
      </c>
      <c r="F390" s="38">
        <f t="shared" ref="F390:F402" si="1762">11030/145</f>
        <v>76.068965517241381</v>
      </c>
      <c r="G390" s="38">
        <f t="shared" si="1726"/>
        <v>15.875</v>
      </c>
      <c r="H390" s="38">
        <f>13*25.4</f>
        <v>330.2</v>
      </c>
      <c r="I390" s="38">
        <f>2.5*25.4</f>
        <v>63.5</v>
      </c>
      <c r="J390" s="39">
        <f>4.9*25.4</f>
        <v>124.46000000000001</v>
      </c>
      <c r="K390" s="7">
        <f t="shared" si="1727"/>
        <v>171.45</v>
      </c>
      <c r="L390" s="38">
        <v>2</v>
      </c>
      <c r="M390" s="4">
        <f t="shared" si="1747"/>
        <v>133.35</v>
      </c>
      <c r="N390" s="7">
        <f t="shared" si="1569"/>
        <v>4.5</v>
      </c>
      <c r="O390" s="7">
        <f t="shared" si="1570"/>
        <v>4.5</v>
      </c>
      <c r="P390" s="38">
        <v>13.1</v>
      </c>
      <c r="Q390" s="4">
        <f t="shared" si="1736"/>
        <v>13.1</v>
      </c>
      <c r="R390" s="4">
        <f t="shared" si="1571"/>
        <v>14.1</v>
      </c>
      <c r="S390" s="7">
        <f t="shared" si="1572"/>
        <v>59.610572153771514</v>
      </c>
      <c r="V390" s="38">
        <f t="shared" si="1395"/>
        <v>698.62068965517244</v>
      </c>
      <c r="W390" s="4">
        <v>101.3</v>
      </c>
      <c r="X390" s="4">
        <f t="shared" si="1573"/>
        <v>0.77378912538861899</v>
      </c>
      <c r="Y390" s="38"/>
      <c r="Z390" s="38"/>
      <c r="AA390" s="39">
        <v>1</v>
      </c>
      <c r="AB390" s="39"/>
      <c r="AC390" s="39"/>
      <c r="AD390" s="7"/>
      <c r="AE390" s="4">
        <f t="shared" si="1576"/>
        <v>104.90199999999999</v>
      </c>
      <c r="AF390" s="4">
        <f t="shared" si="1577"/>
        <v>1.0492332526230832</v>
      </c>
      <c r="AG390" s="4">
        <f t="shared" si="1578"/>
        <v>236.71842498037796</v>
      </c>
      <c r="AH390" s="4">
        <f t="shared" si="1579"/>
        <v>0.83619854721549636</v>
      </c>
      <c r="AI390" s="4">
        <v>1.25</v>
      </c>
      <c r="AJ390" s="4">
        <f t="shared" si="1513"/>
        <v>2.5</v>
      </c>
      <c r="AK390" s="38">
        <f t="shared" si="1729"/>
        <v>649.02815775840463</v>
      </c>
      <c r="AL390" s="38">
        <f t="shared" si="1616"/>
        <v>649.02815775840463</v>
      </c>
      <c r="AM390" s="38">
        <f t="shared" si="1580"/>
        <v>4.7518593634836064</v>
      </c>
      <c r="AN390" s="38">
        <f t="shared" si="1521"/>
        <v>649.02815775840486</v>
      </c>
      <c r="AO390" s="38">
        <f t="shared" si="1484"/>
        <v>0.99999999999999967</v>
      </c>
      <c r="AP390" s="38">
        <f t="shared" si="1522"/>
        <v>3.8178787224830018</v>
      </c>
      <c r="AQ390" s="4">
        <f t="shared" si="1523"/>
        <v>0</v>
      </c>
      <c r="AR390" s="4" t="e">
        <f>#REF!/G390*F390^0.5/0.19</f>
        <v>#REF!</v>
      </c>
      <c r="AS390" s="4">
        <f t="shared" si="1581"/>
        <v>1</v>
      </c>
      <c r="AT390" s="38">
        <f t="shared" si="1582"/>
        <v>2477.9107937981548</v>
      </c>
      <c r="AU390" s="4">
        <f t="shared" si="1583"/>
        <v>0.3</v>
      </c>
      <c r="AV390" s="4" t="e">
        <f>AU390*D390*#REF!/(D390*G390/2.75/F390^0.5)</f>
        <v>#REF!</v>
      </c>
      <c r="AW390" s="4" t="e">
        <f t="shared" si="1431"/>
        <v>#REF!</v>
      </c>
      <c r="AY390" s="4">
        <f t="shared" si="1584"/>
        <v>1.5</v>
      </c>
      <c r="AZ390" s="4" t="e">
        <f>(3*#REF!+30)*AY390*F390^0.5</f>
        <v>#REF!</v>
      </c>
      <c r="BB390" s="4">
        <f t="shared" si="1585"/>
        <v>2376.619479996501</v>
      </c>
      <c r="BC390" s="4">
        <f t="shared" si="1662"/>
        <v>0</v>
      </c>
      <c r="BD390" s="4">
        <f t="shared" si="1432"/>
        <v>0</v>
      </c>
      <c r="BL390" s="4">
        <f t="shared" si="1586"/>
        <v>63.5</v>
      </c>
      <c r="BP390" s="9"/>
      <c r="BR390" s="9"/>
      <c r="BS390" s="9"/>
      <c r="BT390" s="9">
        <f t="shared" si="1587"/>
        <v>63.5</v>
      </c>
      <c r="BU390" s="9">
        <f t="shared" si="1588"/>
        <v>85.724999999999994</v>
      </c>
      <c r="BV390" s="9">
        <f t="shared" si="1589"/>
        <v>2.0920885420600022</v>
      </c>
      <c r="BW390" s="40">
        <f t="shared" si="1738"/>
        <v>0</v>
      </c>
      <c r="BX390" s="9">
        <f t="shared" si="1590"/>
        <v>0</v>
      </c>
      <c r="BY390" s="9">
        <f t="shared" si="1433"/>
        <v>0</v>
      </c>
      <c r="BZ390" s="9">
        <f t="shared" si="1591"/>
        <v>1</v>
      </c>
      <c r="CA390" s="9">
        <f t="shared" si="1592"/>
        <v>0.68</v>
      </c>
      <c r="CB390" s="9">
        <f t="shared" si="1593"/>
        <v>2.0757770792545673</v>
      </c>
      <c r="CC390" s="9">
        <f t="shared" si="1594"/>
        <v>4.342709443379257</v>
      </c>
      <c r="CD390" s="40">
        <v>1</v>
      </c>
      <c r="CE390" s="9" t="e">
        <f>4*CC390*#REF!+60*CC390</f>
        <v>#REF!</v>
      </c>
      <c r="CG390" s="4" t="e">
        <f t="shared" si="1434"/>
        <v>#REF!</v>
      </c>
      <c r="CH390" s="4" t="e">
        <f t="shared" si="1435"/>
        <v>#REF!</v>
      </c>
      <c r="CI390" s="4" t="e">
        <f t="shared" si="1436"/>
        <v>#REF!</v>
      </c>
      <c r="CJ390" s="4" t="e">
        <f t="shared" si="1437"/>
        <v>#REF!</v>
      </c>
      <c r="CK390" s="4">
        <f t="shared" si="1438"/>
        <v>0.77378912538861899</v>
      </c>
      <c r="CL390" s="4">
        <f t="shared" si="1439"/>
        <v>0.75051026424073697</v>
      </c>
      <c r="CM390" s="4">
        <f t="shared" si="1699"/>
        <v>1.419112376432075</v>
      </c>
      <c r="CN390" s="4">
        <f t="shared" si="1739"/>
        <v>0</v>
      </c>
      <c r="CO390" s="4" t="e">
        <f t="shared" si="1757"/>
        <v>#REF!</v>
      </c>
      <c r="CP390" s="4" t="e">
        <f t="shared" si="1758"/>
        <v>#REF!</v>
      </c>
      <c r="CQ390" s="4" t="e">
        <f t="shared" si="1759"/>
        <v>#REF!</v>
      </c>
      <c r="CR390" s="4">
        <f t="shared" ref="CR390" si="1763">CM390</f>
        <v>1.419112376432075</v>
      </c>
      <c r="CS390" s="4">
        <f t="shared" si="1760"/>
        <v>0.77378912538861899</v>
      </c>
      <c r="CT390" s="4">
        <f t="shared" si="1761"/>
        <v>0.75051026424073697</v>
      </c>
      <c r="DC390" s="4" t="e">
        <f>#REF!</f>
        <v>#REF!</v>
      </c>
      <c r="DF390" s="4">
        <f t="shared" si="1601"/>
        <v>1.5814970357900817E-5</v>
      </c>
      <c r="DG390" s="4">
        <f t="shared" si="1446"/>
        <v>14.719357433866572</v>
      </c>
      <c r="DH390" s="4">
        <f t="shared" si="1602"/>
        <v>0.15106884191806433</v>
      </c>
      <c r="DI390" s="4">
        <f t="shared" si="1447"/>
        <v>6.9112851462819327</v>
      </c>
      <c r="DJ390" s="4">
        <f t="shared" si="1448"/>
        <v>11.506298630815103</v>
      </c>
      <c r="DK390" s="4">
        <f t="shared" si="1603"/>
        <v>14.337879997179973</v>
      </c>
      <c r="DL390" s="38">
        <f t="shared" si="1604"/>
        <v>902.85669148465377</v>
      </c>
      <c r="DM390" s="4" t="e">
        <f t="shared" si="1449"/>
        <v>#REF!</v>
      </c>
      <c r="DN390" s="4">
        <f t="shared" si="1605"/>
        <v>3.7549966711037173</v>
      </c>
      <c r="DO390" s="4">
        <f t="shared" si="1697"/>
        <v>649.02815775840486</v>
      </c>
      <c r="DS390" s="4">
        <f t="shared" si="1606"/>
        <v>0.85</v>
      </c>
      <c r="DT390" s="4">
        <f t="shared" si="1607"/>
        <v>0.7</v>
      </c>
      <c r="DU390" s="4">
        <f t="shared" si="1608"/>
        <v>1</v>
      </c>
      <c r="DV390" s="4">
        <f t="shared" si="1450"/>
        <v>0.7</v>
      </c>
      <c r="DX390" s="4">
        <f t="shared" si="1609"/>
        <v>930.86093947288077</v>
      </c>
      <c r="DY390" s="25">
        <f t="shared" si="1502"/>
        <v>639.06439770390989</v>
      </c>
      <c r="EA390" s="4">
        <f t="shared" si="1503"/>
        <v>0.59499999999999997</v>
      </c>
      <c r="EB390" s="4">
        <f t="shared" si="1610"/>
        <v>14.719357433866572</v>
      </c>
      <c r="EE390" s="4">
        <f t="shared" si="1611"/>
        <v>59.610572153771514</v>
      </c>
      <c r="EF390" s="4">
        <f t="shared" si="1451"/>
        <v>3.7549966711037173</v>
      </c>
      <c r="EG390" s="4">
        <f t="shared" si="1612"/>
        <v>7.2046671318490713E-2</v>
      </c>
      <c r="EJ390" s="4">
        <f t="shared" si="1452"/>
        <v>7.2046671318490713E-2</v>
      </c>
      <c r="EK390" s="4">
        <f t="shared" si="1613"/>
        <v>0.15081673617630778</v>
      </c>
      <c r="EL390" s="4">
        <f t="shared" si="1453"/>
        <v>6.9066693757948734</v>
      </c>
      <c r="EM390" s="4">
        <f t="shared" si="1454"/>
        <v>11.5049337770006</v>
      </c>
      <c r="EN390" s="4" t="e">
        <f t="shared" si="1455"/>
        <v>#REF!</v>
      </c>
      <c r="EO390" s="4" t="e">
        <f t="shared" si="1456"/>
        <v>#REF!</v>
      </c>
      <c r="EP390" s="4" t="e">
        <f t="shared" si="1614"/>
        <v>#REF!</v>
      </c>
      <c r="EQ390" s="4" t="e">
        <f t="shared" si="1457"/>
        <v>#REF!</v>
      </c>
      <c r="ER390" s="4" t="e">
        <f t="shared" si="1615"/>
        <v>#REF!</v>
      </c>
      <c r="FA390" s="23" t="e">
        <f t="shared" si="1383"/>
        <v>#REF!</v>
      </c>
      <c r="FB390" s="23" t="e">
        <f t="shared" si="1384"/>
        <v>#REF!</v>
      </c>
      <c r="FC390" s="23">
        <f t="shared" si="1706"/>
        <v>1.6</v>
      </c>
      <c r="FD390" s="23" t="e">
        <f t="shared" si="1385"/>
        <v>#REF!</v>
      </c>
      <c r="FE390" s="23">
        <f t="shared" si="1386"/>
        <v>0.8</v>
      </c>
      <c r="FF390" s="23">
        <f t="shared" si="1387"/>
        <v>0.8</v>
      </c>
      <c r="FG390" s="23">
        <f t="shared" si="1629"/>
        <v>1</v>
      </c>
      <c r="FH390" s="23"/>
      <c r="FR390" s="4">
        <f t="shared" si="1485"/>
        <v>1</v>
      </c>
      <c r="FS390" s="4">
        <f t="shared" si="1486"/>
        <v>0.5</v>
      </c>
      <c r="FT390" s="4">
        <f t="shared" si="1487"/>
        <v>0</v>
      </c>
      <c r="FU390" s="4">
        <f t="shared" si="1488"/>
        <v>492.29412783478148</v>
      </c>
    </row>
    <row r="391" spans="2:177" ht="12" customHeight="1" x14ac:dyDescent="0.3">
      <c r="B391" s="24"/>
      <c r="C391" s="7" t="s">
        <v>535</v>
      </c>
      <c r="D391" s="38">
        <f t="shared" si="1724"/>
        <v>958.62068965517244</v>
      </c>
      <c r="E391" s="38">
        <f>4.13*25.4</f>
        <v>104.90199999999999</v>
      </c>
      <c r="F391" s="38">
        <f t="shared" si="1762"/>
        <v>76.068965517241381</v>
      </c>
      <c r="G391" s="38">
        <f t="shared" si="1726"/>
        <v>15.875</v>
      </c>
      <c r="H391" s="38">
        <f t="shared" si="1756"/>
        <v>332.73999999999995</v>
      </c>
      <c r="I391" s="38">
        <f>2.65*25.4</f>
        <v>67.309999999999988</v>
      </c>
      <c r="J391" s="39">
        <f>5*25.4</f>
        <v>127</v>
      </c>
      <c r="K391" s="7">
        <f t="shared" si="1727"/>
        <v>166.36999999999998</v>
      </c>
      <c r="L391" s="38">
        <v>2</v>
      </c>
      <c r="M391" s="4">
        <f t="shared" si="1747"/>
        <v>133.35</v>
      </c>
      <c r="N391" s="7">
        <f t="shared" si="1569"/>
        <v>4.7399999999999993</v>
      </c>
      <c r="O391" s="7">
        <f t="shared" si="1570"/>
        <v>4.7399999999999993</v>
      </c>
      <c r="P391" s="38">
        <v>4</v>
      </c>
      <c r="Q391" s="4">
        <f t="shared" si="1736"/>
        <v>4</v>
      </c>
      <c r="R391" s="4">
        <f t="shared" si="1571"/>
        <v>5</v>
      </c>
      <c r="S391" s="7">
        <f t="shared" si="1572"/>
        <v>35.497579142809165</v>
      </c>
      <c r="V391" s="38">
        <f t="shared" si="1395"/>
        <v>727.58620689655174</v>
      </c>
      <c r="W391" s="4">
        <v>105.5</v>
      </c>
      <c r="X391" s="4">
        <f t="shared" si="1573"/>
        <v>0.75899280575539563</v>
      </c>
      <c r="Y391" s="38">
        <f t="shared" ref="Y391:Y394" si="1764">0.375*25.4</f>
        <v>9.5249999999999986</v>
      </c>
      <c r="Z391" s="38">
        <v>4</v>
      </c>
      <c r="AA391" s="39">
        <f>3.5*25.4</f>
        <v>88.899999999999991</v>
      </c>
      <c r="AB391" s="39">
        <v>2</v>
      </c>
      <c r="AC391" s="39">
        <f t="shared" ref="AC391:AC394" si="1765">AB391-1</f>
        <v>1</v>
      </c>
      <c r="AD391" s="7"/>
      <c r="AE391" s="4">
        <f t="shared" si="1576"/>
        <v>104.90199999999999</v>
      </c>
      <c r="AF391" s="4">
        <f t="shared" si="1577"/>
        <v>1.0573042776432606</v>
      </c>
      <c r="AG391" s="4">
        <f t="shared" si="1578"/>
        <v>236.71842498037796</v>
      </c>
      <c r="AH391" s="4">
        <f t="shared" si="1579"/>
        <v>0.84346246973365613</v>
      </c>
      <c r="AI391" s="4">
        <v>1.25</v>
      </c>
      <c r="AJ391" s="4">
        <f t="shared" si="1513"/>
        <v>2.5</v>
      </c>
      <c r="AK391" s="38">
        <f t="shared" si="1729"/>
        <v>659.70205470310771</v>
      </c>
      <c r="AL391" s="38">
        <f t="shared" si="1616"/>
        <v>659.70205470310771</v>
      </c>
      <c r="AM391" s="38">
        <f t="shared" si="1580"/>
        <v>4.7518593634836064</v>
      </c>
      <c r="AN391" s="38">
        <f t="shared" si="1521"/>
        <v>659.70205470310782</v>
      </c>
      <c r="AO391" s="38">
        <f t="shared" si="1484"/>
        <v>0.99999999999999978</v>
      </c>
      <c r="AP391" s="38">
        <f t="shared" si="1522"/>
        <v>2.1862408581643331</v>
      </c>
      <c r="AQ391" s="4">
        <f t="shared" si="1523"/>
        <v>0</v>
      </c>
      <c r="AR391" s="4" t="e">
        <f>#REF!/G391*F391^0.5/0.19</f>
        <v>#REF!</v>
      </c>
      <c r="AS391" s="4">
        <f t="shared" si="1581"/>
        <v>1</v>
      </c>
      <c r="AT391" s="38">
        <f t="shared" si="1582"/>
        <v>1442.2675862068963</v>
      </c>
      <c r="AU391" s="4">
        <f t="shared" si="1583"/>
        <v>0.44000000000000006</v>
      </c>
      <c r="AV391" s="4" t="e">
        <f>AU391*D391*#REF!/(D391*G391/2.75/F391^0.5)</f>
        <v>#REF!</v>
      </c>
      <c r="AW391" s="4" t="e">
        <f t="shared" si="1431"/>
        <v>#REF!</v>
      </c>
      <c r="AY391" s="4">
        <f t="shared" si="1584"/>
        <v>1.5</v>
      </c>
      <c r="AZ391" s="4" t="e">
        <f>(3*#REF!+30)*AY391*F391^0.5</f>
        <v>#REF!</v>
      </c>
      <c r="BB391" s="4">
        <f t="shared" si="1585"/>
        <v>1383.3109930050441</v>
      </c>
      <c r="BC391" s="4">
        <f t="shared" si="1662"/>
        <v>0</v>
      </c>
      <c r="BD391" s="4">
        <f t="shared" si="1432"/>
        <v>0</v>
      </c>
      <c r="BL391" s="4">
        <f t="shared" si="1586"/>
        <v>67.309999999999988</v>
      </c>
      <c r="BP391" s="9"/>
      <c r="BR391" s="9"/>
      <c r="BS391" s="9"/>
      <c r="BT391" s="9">
        <f t="shared" si="1587"/>
        <v>67.309999999999988</v>
      </c>
      <c r="BU391" s="9">
        <f t="shared" si="1588"/>
        <v>83.184999999999988</v>
      </c>
      <c r="BV391" s="9">
        <f t="shared" si="1589"/>
        <v>2.1255814085673048</v>
      </c>
      <c r="BW391" s="40">
        <f t="shared" si="1738"/>
        <v>20</v>
      </c>
      <c r="BX391" s="9">
        <f t="shared" si="1590"/>
        <v>0.05</v>
      </c>
      <c r="BY391" s="9">
        <f t="shared" si="1433"/>
        <v>0.8</v>
      </c>
      <c r="BZ391" s="9">
        <f t="shared" si="1591"/>
        <v>1</v>
      </c>
      <c r="CA391" s="9">
        <f t="shared" si="1592"/>
        <v>0.68</v>
      </c>
      <c r="CB391" s="9">
        <f t="shared" si="1593"/>
        <v>2.0757770792545673</v>
      </c>
      <c r="CC391" s="9">
        <f t="shared" si="1594"/>
        <v>5.1894426981364186</v>
      </c>
      <c r="CD391" s="40">
        <v>1</v>
      </c>
      <c r="CE391" s="9" t="e">
        <f>4*CC391*#REF!+60*CC391</f>
        <v>#REF!</v>
      </c>
      <c r="CG391" s="4" t="e">
        <f t="shared" si="1434"/>
        <v>#REF!</v>
      </c>
      <c r="CH391" s="4" t="e">
        <f t="shared" si="1435"/>
        <v>#REF!</v>
      </c>
      <c r="CI391" s="4" t="e">
        <f t="shared" si="1436"/>
        <v>#REF!</v>
      </c>
      <c r="CJ391" s="4" t="e">
        <f t="shared" si="1437"/>
        <v>#REF!</v>
      </c>
      <c r="CK391" s="4">
        <f t="shared" si="1438"/>
        <v>0.75899280575539563</v>
      </c>
      <c r="CL391" s="4">
        <f t="shared" si="1439"/>
        <v>0.77281597321579087</v>
      </c>
      <c r="CM391" s="4">
        <f t="shared" si="1699"/>
        <v>1.3703241283774616</v>
      </c>
      <c r="CN391" s="4">
        <f t="shared" si="1739"/>
        <v>4</v>
      </c>
      <c r="CU391" s="4" t="e">
        <f t="shared" ref="CU391:CU394" si="1766">CG391</f>
        <v>#REF!</v>
      </c>
      <c r="CV391" s="4" t="e">
        <f t="shared" ref="CV391:CV394" si="1767">CH391</f>
        <v>#REF!</v>
      </c>
      <c r="CW391" s="4" t="e">
        <f t="shared" ref="CW391:CW394" si="1768">CJ391</f>
        <v>#REF!</v>
      </c>
      <c r="CX391" s="4">
        <f t="shared" ref="CX391:CX394" si="1769">CM391</f>
        <v>1.3703241283774616</v>
      </c>
      <c r="CY391" s="4">
        <f t="shared" ref="CY391:CY394" si="1770">CK391</f>
        <v>0.75899280575539563</v>
      </c>
      <c r="CZ391" s="4">
        <f t="shared" ref="CZ391:CZ394" si="1771">CL391</f>
        <v>0.77281597321579087</v>
      </c>
      <c r="DC391" s="4" t="e">
        <f>#REF!</f>
        <v>#REF!</v>
      </c>
      <c r="DF391" s="4">
        <f t="shared" si="1601"/>
        <v>1.5814970357900817E-5</v>
      </c>
      <c r="DG391" s="4">
        <f t="shared" si="1446"/>
        <v>14.719357433866572</v>
      </c>
      <c r="DH391" s="4">
        <f t="shared" si="1602"/>
        <v>0.29946491485347015</v>
      </c>
      <c r="DI391" s="4">
        <f t="shared" si="1447"/>
        <v>9.0871402447161813</v>
      </c>
      <c r="DJ391" s="4">
        <f t="shared" si="1448"/>
        <v>12.233585041549734</v>
      </c>
      <c r="DK391" s="4">
        <f t="shared" si="1603"/>
        <v>14.23633445769425</v>
      </c>
      <c r="DL391" s="38">
        <f t="shared" si="1604"/>
        <v>958.62068965517244</v>
      </c>
      <c r="DM391" s="4" t="e">
        <f t="shared" si="1449"/>
        <v>#REF!</v>
      </c>
      <c r="DN391" s="4">
        <f t="shared" si="1605"/>
        <v>2.2360679774997898</v>
      </c>
      <c r="DO391" s="4">
        <f t="shared" si="1697"/>
        <v>659.70205470310782</v>
      </c>
      <c r="DS391" s="4">
        <f t="shared" si="1606"/>
        <v>0.85</v>
      </c>
      <c r="DT391" s="4">
        <f t="shared" si="1607"/>
        <v>0.7</v>
      </c>
      <c r="DU391" s="4">
        <f t="shared" si="1608"/>
        <v>0.85899999999999999</v>
      </c>
      <c r="DV391" s="4">
        <f t="shared" si="1450"/>
        <v>0.7</v>
      </c>
      <c r="DX391" s="4">
        <f t="shared" si="1609"/>
        <v>941.4740793580753</v>
      </c>
      <c r="DY391" s="25">
        <f t="shared" si="1502"/>
        <v>649.67753758910442</v>
      </c>
      <c r="EA391" s="4">
        <f t="shared" si="1503"/>
        <v>0.59499999999999997</v>
      </c>
      <c r="EB391" s="4">
        <f t="shared" si="1610"/>
        <v>14.719357433866572</v>
      </c>
      <c r="EE391" s="4">
        <f t="shared" si="1611"/>
        <v>35.497579142809165</v>
      </c>
      <c r="EF391" s="4">
        <f t="shared" si="1451"/>
        <v>2.2360679774997898</v>
      </c>
      <c r="EG391" s="4">
        <f t="shared" si="1612"/>
        <v>0.1428186647751607</v>
      </c>
      <c r="EJ391" s="4">
        <f t="shared" si="1452"/>
        <v>0.1428186647751607</v>
      </c>
      <c r="EK391" s="4">
        <f t="shared" si="1613"/>
        <v>0.29896516372325277</v>
      </c>
      <c r="EL391" s="4">
        <f t="shared" si="1453"/>
        <v>9.0810713077723939</v>
      </c>
      <c r="EM391" s="4">
        <f t="shared" si="1454"/>
        <v>12.231339852740703</v>
      </c>
      <c r="EN391" s="4" t="e">
        <f t="shared" si="1455"/>
        <v>#REF!</v>
      </c>
      <c r="EO391" s="4" t="e">
        <f t="shared" si="1456"/>
        <v>#REF!</v>
      </c>
      <c r="EP391" s="4" t="e">
        <f t="shared" si="1614"/>
        <v>#REF!</v>
      </c>
      <c r="EQ391" s="4" t="e">
        <f t="shared" si="1457"/>
        <v>#REF!</v>
      </c>
      <c r="ER391" s="4" t="e">
        <f t="shared" si="1615"/>
        <v>#REF!</v>
      </c>
      <c r="FA391" s="23" t="e">
        <f t="shared" ref="FA391:FA453" si="1772">IF(CG391&lt;0.6,0.6,IF(CG391&lt;0.8,0.8,IF(CG391&lt;1,1,IF(CG391&lt;1.2,1.2,IF(CG391&lt;1.4,1.4,IF(CG391&lt;1.6,1.6,IF(CG391&lt;1.8,1.8,IF(CG391&lt;2,2,2.2))))))))</f>
        <v>#REF!</v>
      </c>
      <c r="FB391" s="23" t="e">
        <f t="shared" ref="FB391:FB453" si="1773">IF(CH391&lt;0.6,0.6,IF(CH391&lt;0.8,0.8,IF(CH391&lt;1,1,IF(CH391&lt;1.2,1.2,IF(CH391&lt;1.4,1.4,IF(CH391&lt;1.6,1.6,IF(CH391&lt;1.8,1.8,IF(CH391&lt;2,2,2.2))))))))</f>
        <v>#REF!</v>
      </c>
      <c r="FC391" s="23">
        <f t="shared" si="1706"/>
        <v>1.4</v>
      </c>
      <c r="FD391" s="23" t="e">
        <f t="shared" ref="FD391:FD453" si="1774">IF(CJ391&lt;0.6,0.6,IF(CJ391&lt;0.8,0.8,IF(CJ391&lt;1,1,IF(CJ391&lt;1.2,1.2,IF(CJ391&lt;1.4,1.4,IF(CJ391&lt;1.6,1.6,IF(CJ391&lt;1.8,1.8,IF(CJ391&lt;2,2,2.2))))))))</f>
        <v>#REF!</v>
      </c>
      <c r="FE391" s="23">
        <f t="shared" ref="FE391:FE453" si="1775">IF(CK391&lt;0.6,0.6,IF(CK391&lt;0.8,0.8,IF(CK391&lt;1,1,IF(CK391&lt;1.2,1.2,IF(CK391&lt;1.4,1.4,IF(CK391&lt;1.6,1.6,IF(CK391&lt;1.8,1.8,IF(CK391&lt;2,2,2.2))))))))</f>
        <v>0.8</v>
      </c>
      <c r="FF391" s="23">
        <f t="shared" ref="FF391:FF453" si="1776">IF(CL391&lt;0.6,0.6,IF(CL391&lt;0.8,0.8,IF(CL391&lt;1,1,IF(CL391&lt;1.2,1.2,IF(CL391&lt;1.4,1.4,IF(CL391&lt;1.6,1.6,IF(CL391&lt;1.8,1.8,IF(CL391&lt;2,2,2.2))))))))</f>
        <v>0.8</v>
      </c>
      <c r="FG391" s="23">
        <f t="shared" si="1629"/>
        <v>1</v>
      </c>
      <c r="FH391" s="23"/>
      <c r="FR391" s="4">
        <f t="shared" si="1485"/>
        <v>1</v>
      </c>
      <c r="FS391" s="4">
        <f t="shared" si="1486"/>
        <v>0.46358941059918601</v>
      </c>
      <c r="FT391" s="4">
        <f t="shared" si="1487"/>
        <v>0.3</v>
      </c>
      <c r="FU391" s="4">
        <f t="shared" si="1488"/>
        <v>530.95920288439595</v>
      </c>
    </row>
    <row r="392" spans="2:177" ht="12" customHeight="1" x14ac:dyDescent="0.3">
      <c r="B392" s="24"/>
      <c r="C392" s="7" t="s">
        <v>536</v>
      </c>
      <c r="D392" s="38">
        <f t="shared" si="1724"/>
        <v>958.62068965517244</v>
      </c>
      <c r="E392" s="38">
        <f>4.09*25.4</f>
        <v>103.886</v>
      </c>
      <c r="F392" s="38">
        <f t="shared" si="1762"/>
        <v>76.068965517241381</v>
      </c>
      <c r="G392" s="38">
        <f t="shared" si="1726"/>
        <v>15.875</v>
      </c>
      <c r="H392" s="38">
        <f t="shared" si="1756"/>
        <v>332.73999999999995</v>
      </c>
      <c r="I392" s="38">
        <f>2.6*25.4</f>
        <v>66.039999999999992</v>
      </c>
      <c r="J392" s="39">
        <f>5.15*25.4</f>
        <v>130.81</v>
      </c>
      <c r="K392" s="7">
        <f t="shared" si="1727"/>
        <v>168.90999999999997</v>
      </c>
      <c r="L392" s="38">
        <v>2</v>
      </c>
      <c r="M392" s="4">
        <f t="shared" si="1747"/>
        <v>133.35</v>
      </c>
      <c r="N392" s="7">
        <f t="shared" si="1569"/>
        <v>4.6599999999999993</v>
      </c>
      <c r="O392" s="7">
        <f t="shared" si="1570"/>
        <v>4.6599999999999993</v>
      </c>
      <c r="P392" s="38">
        <v>13.1</v>
      </c>
      <c r="Q392" s="4">
        <f t="shared" si="1736"/>
        <v>13.1</v>
      </c>
      <c r="R392" s="4">
        <f t="shared" si="1571"/>
        <v>14.1</v>
      </c>
      <c r="S392" s="7">
        <f t="shared" si="1572"/>
        <v>59.610572153771514</v>
      </c>
      <c r="V392" s="38">
        <f t="shared" si="1395"/>
        <v>807.58620689655174</v>
      </c>
      <c r="W392" s="4">
        <v>117.1</v>
      </c>
      <c r="X392" s="4">
        <f t="shared" si="1573"/>
        <v>0.8904869210020433</v>
      </c>
      <c r="Y392" s="38">
        <f t="shared" si="1764"/>
        <v>9.5249999999999986</v>
      </c>
      <c r="Z392" s="38">
        <v>4</v>
      </c>
      <c r="AA392" s="39">
        <f>3.5*25.4</f>
        <v>88.899999999999991</v>
      </c>
      <c r="AB392" s="39">
        <v>2</v>
      </c>
      <c r="AC392" s="39">
        <f t="shared" si="1765"/>
        <v>1</v>
      </c>
      <c r="AD392" s="7"/>
      <c r="AE392" s="4">
        <f t="shared" si="1576"/>
        <v>103.886</v>
      </c>
      <c r="AF392" s="4">
        <f t="shared" si="1577"/>
        <v>1.0676446617766908</v>
      </c>
      <c r="AG392" s="4">
        <f t="shared" si="1578"/>
        <v>233.28775677272216</v>
      </c>
      <c r="AH392" s="4">
        <f t="shared" si="1579"/>
        <v>0.84242053789731042</v>
      </c>
      <c r="AI392" s="4">
        <v>1.25</v>
      </c>
      <c r="AJ392" s="4">
        <f t="shared" si="1513"/>
        <v>2.5</v>
      </c>
      <c r="AK392" s="38">
        <f t="shared" si="1729"/>
        <v>655.68862261712218</v>
      </c>
      <c r="AL392" s="38">
        <f t="shared" si="1616"/>
        <v>655.68862261712218</v>
      </c>
      <c r="AM392" s="38">
        <f t="shared" si="1580"/>
        <v>4.7518593634836064</v>
      </c>
      <c r="AN392" s="38">
        <f t="shared" si="1521"/>
        <v>655.68862261712229</v>
      </c>
      <c r="AO392" s="38">
        <f t="shared" si="1484"/>
        <v>0.99999999999999978</v>
      </c>
      <c r="AP392" s="38">
        <f t="shared" si="1522"/>
        <v>3.9134647150757931</v>
      </c>
      <c r="AQ392" s="4">
        <f t="shared" si="1523"/>
        <v>0</v>
      </c>
      <c r="AR392" s="4" t="e">
        <f>#REF!/G392*F392^0.5/0.19</f>
        <v>#REF!</v>
      </c>
      <c r="AS392" s="4">
        <f t="shared" si="1581"/>
        <v>1</v>
      </c>
      <c r="AT392" s="38">
        <f t="shared" si="1582"/>
        <v>2566.0142886887556</v>
      </c>
      <c r="AU392" s="4">
        <f t="shared" si="1583"/>
        <v>0.3</v>
      </c>
      <c r="AV392" s="4" t="e">
        <f>AU392*D392*#REF!/(D392*G392/2.75/F392^0.5)</f>
        <v>#REF!</v>
      </c>
      <c r="AW392" s="4" t="e">
        <f t="shared" si="1431"/>
        <v>#REF!</v>
      </c>
      <c r="AY392" s="4">
        <f t="shared" si="1584"/>
        <v>1.5</v>
      </c>
      <c r="AZ392" s="4" t="e">
        <f>(3*#REF!+30)*AY392*F392^0.5</f>
        <v>#REF!</v>
      </c>
      <c r="BB392" s="4">
        <f t="shared" si="1585"/>
        <v>2461.1215059519318</v>
      </c>
      <c r="BC392" s="4">
        <f t="shared" si="1662"/>
        <v>0</v>
      </c>
      <c r="BD392" s="4">
        <f t="shared" si="1432"/>
        <v>0</v>
      </c>
      <c r="BL392" s="4">
        <f t="shared" si="1586"/>
        <v>66.039999999999992</v>
      </c>
      <c r="BP392" s="9"/>
      <c r="BR392" s="9"/>
      <c r="BS392" s="9"/>
      <c r="BT392" s="9">
        <f t="shared" si="1587"/>
        <v>66.039999999999992</v>
      </c>
      <c r="BU392" s="9">
        <f t="shared" si="1588"/>
        <v>84.454999999999984</v>
      </c>
      <c r="BV392" s="9">
        <f t="shared" si="1589"/>
        <v>2.116261887080392</v>
      </c>
      <c r="BW392" s="40">
        <f t="shared" si="1738"/>
        <v>20</v>
      </c>
      <c r="BX392" s="9">
        <f t="shared" si="1590"/>
        <v>0.05</v>
      </c>
      <c r="BY392" s="9">
        <f t="shared" si="1433"/>
        <v>0.8</v>
      </c>
      <c r="BZ392" s="9">
        <f t="shared" si="1591"/>
        <v>1</v>
      </c>
      <c r="CA392" s="9">
        <f t="shared" si="1592"/>
        <v>0.68</v>
      </c>
      <c r="CB392" s="9">
        <f t="shared" si="1593"/>
        <v>2.0757770792545673</v>
      </c>
      <c r="CC392" s="9">
        <f t="shared" si="1594"/>
        <v>5.1894426981364186</v>
      </c>
      <c r="CD392" s="40">
        <v>1</v>
      </c>
      <c r="CE392" s="9" t="e">
        <f>4*CC392*#REF!+60*CC392</f>
        <v>#REF!</v>
      </c>
      <c r="CG392" s="4" t="e">
        <f t="shared" si="1434"/>
        <v>#REF!</v>
      </c>
      <c r="CH392" s="4" t="e">
        <f t="shared" si="1435"/>
        <v>#REF!</v>
      </c>
      <c r="CI392" s="4" t="e">
        <f t="shared" si="1436"/>
        <v>#REF!</v>
      </c>
      <c r="CJ392" s="4" t="e">
        <f t="shared" si="1437"/>
        <v>#REF!</v>
      </c>
      <c r="CK392" s="4">
        <f t="shared" si="1438"/>
        <v>0.8904869210020433</v>
      </c>
      <c r="CL392" s="4">
        <f t="shared" si="1439"/>
        <v>0.86413021470864393</v>
      </c>
      <c r="CM392" s="4">
        <f t="shared" si="1699"/>
        <v>1.5358700933690845</v>
      </c>
      <c r="CN392" s="4">
        <f t="shared" si="1739"/>
        <v>4</v>
      </c>
      <c r="CU392" s="4" t="e">
        <f t="shared" si="1766"/>
        <v>#REF!</v>
      </c>
      <c r="CV392" s="4" t="e">
        <f t="shared" si="1767"/>
        <v>#REF!</v>
      </c>
      <c r="CW392" s="4" t="e">
        <f t="shared" si="1768"/>
        <v>#REF!</v>
      </c>
      <c r="CX392" s="4">
        <f t="shared" si="1769"/>
        <v>1.5358700933690845</v>
      </c>
      <c r="CY392" s="4">
        <f t="shared" si="1770"/>
        <v>0.8904869210020433</v>
      </c>
      <c r="CZ392" s="4">
        <f t="shared" si="1771"/>
        <v>0.86413021470864393</v>
      </c>
      <c r="DC392" s="4" t="e">
        <f>#REF!</f>
        <v>#REF!</v>
      </c>
      <c r="DF392" s="4">
        <f t="shared" si="1601"/>
        <v>1.5661798732158438E-5</v>
      </c>
      <c r="DG392" s="4">
        <f t="shared" si="1446"/>
        <v>14.719357433866572</v>
      </c>
      <c r="DH392" s="4">
        <f t="shared" si="1602"/>
        <v>0.1526191424725388</v>
      </c>
      <c r="DI392" s="4">
        <f t="shared" si="1447"/>
        <v>6.9395683100342502</v>
      </c>
      <c r="DJ392" s="4">
        <f t="shared" si="1448"/>
        <v>11.514679402936299</v>
      </c>
      <c r="DK392" s="4">
        <f t="shared" si="1603"/>
        <v>14.345562691705661</v>
      </c>
      <c r="DL392" s="38">
        <f t="shared" si="1604"/>
        <v>906.90406321498199</v>
      </c>
      <c r="DM392" s="4" t="e">
        <f t="shared" si="1449"/>
        <v>#REF!</v>
      </c>
      <c r="DN392" s="4">
        <f t="shared" si="1605"/>
        <v>3.7549966711037173</v>
      </c>
      <c r="DO392" s="4">
        <f t="shared" si="1697"/>
        <v>655.68862261712229</v>
      </c>
      <c r="DS392" s="4">
        <f t="shared" si="1606"/>
        <v>0.85</v>
      </c>
      <c r="DT392" s="4">
        <f t="shared" si="1607"/>
        <v>0.7</v>
      </c>
      <c r="DU392" s="4">
        <f t="shared" si="1608"/>
        <v>0.85899999999999999</v>
      </c>
      <c r="DV392" s="4">
        <f t="shared" si="1450"/>
        <v>0.7</v>
      </c>
      <c r="DX392" s="4">
        <f t="shared" si="1609"/>
        <v>934.56540825718389</v>
      </c>
      <c r="DY392" s="25">
        <f t="shared" si="1502"/>
        <v>645.59498311551533</v>
      </c>
      <c r="EA392" s="4">
        <f t="shared" si="1503"/>
        <v>0.59499999999999997</v>
      </c>
      <c r="EB392" s="4">
        <f t="shared" si="1610"/>
        <v>14.719357433866572</v>
      </c>
      <c r="EE392" s="4">
        <f t="shared" si="1611"/>
        <v>59.610572153771514</v>
      </c>
      <c r="EF392" s="4">
        <f t="shared" si="1451"/>
        <v>3.7549966711037173</v>
      </c>
      <c r="EG392" s="4">
        <f t="shared" si="1612"/>
        <v>7.2786029567848812E-2</v>
      </c>
      <c r="EJ392" s="4">
        <f t="shared" si="1452"/>
        <v>7.2786029567848812E-2</v>
      </c>
      <c r="EK392" s="4">
        <f t="shared" si="1613"/>
        <v>0.15236444956809359</v>
      </c>
      <c r="EL392" s="4">
        <f t="shared" si="1453"/>
        <v>6.9349336503551298</v>
      </c>
      <c r="EM392" s="4">
        <f t="shared" si="1454"/>
        <v>11.513304002340247</v>
      </c>
      <c r="EN392" s="4" t="e">
        <f t="shared" si="1455"/>
        <v>#REF!</v>
      </c>
      <c r="EO392" s="4" t="e">
        <f t="shared" si="1456"/>
        <v>#REF!</v>
      </c>
      <c r="EP392" s="4" t="e">
        <f t="shared" si="1614"/>
        <v>#REF!</v>
      </c>
      <c r="EQ392" s="4" t="e">
        <f t="shared" si="1457"/>
        <v>#REF!</v>
      </c>
      <c r="ER392" s="4" t="e">
        <f t="shared" si="1615"/>
        <v>#REF!</v>
      </c>
      <c r="FA392" s="23" t="e">
        <f t="shared" si="1772"/>
        <v>#REF!</v>
      </c>
      <c r="FB392" s="23" t="e">
        <f t="shared" si="1773"/>
        <v>#REF!</v>
      </c>
      <c r="FC392" s="23">
        <f t="shared" si="1706"/>
        <v>1.6</v>
      </c>
      <c r="FD392" s="23" t="e">
        <f t="shared" si="1774"/>
        <v>#REF!</v>
      </c>
      <c r="FE392" s="23">
        <f t="shared" si="1775"/>
        <v>1</v>
      </c>
      <c r="FF392" s="23">
        <f t="shared" si="1776"/>
        <v>1</v>
      </c>
      <c r="FG392" s="23">
        <f t="shared" si="1629"/>
        <v>0</v>
      </c>
      <c r="FH392" s="23"/>
      <c r="FR392" s="4">
        <f t="shared" si="1485"/>
        <v>1</v>
      </c>
      <c r="FS392" s="4">
        <f t="shared" si="1486"/>
        <v>0.46358941059918601</v>
      </c>
      <c r="FT392" s="4">
        <f t="shared" si="1487"/>
        <v>0.3</v>
      </c>
      <c r="FU392" s="4">
        <f t="shared" si="1488"/>
        <v>525.81674087098781</v>
      </c>
    </row>
    <row r="393" spans="2:177" ht="12" customHeight="1" x14ac:dyDescent="0.3">
      <c r="B393" s="24"/>
      <c r="C393" s="7" t="s">
        <v>537</v>
      </c>
      <c r="D393" s="38">
        <f t="shared" si="1724"/>
        <v>958.62068965517244</v>
      </c>
      <c r="E393" s="38">
        <f>4.22*25.4</f>
        <v>107.18799999999999</v>
      </c>
      <c r="F393" s="38">
        <f t="shared" si="1762"/>
        <v>76.068965517241381</v>
      </c>
      <c r="G393" s="38">
        <f t="shared" si="1726"/>
        <v>15.875</v>
      </c>
      <c r="H393" s="38">
        <f t="shared" si="1756"/>
        <v>332.73999999999995</v>
      </c>
      <c r="I393" s="38">
        <f>2.55*25.4</f>
        <v>64.77</v>
      </c>
      <c r="J393" s="39">
        <f>4.8*25.4</f>
        <v>121.91999999999999</v>
      </c>
      <c r="K393" s="7">
        <f t="shared" si="1727"/>
        <v>171.44999999999996</v>
      </c>
      <c r="L393" s="38">
        <v>2</v>
      </c>
      <c r="M393" s="4">
        <f t="shared" si="1747"/>
        <v>133.35</v>
      </c>
      <c r="N393" s="7">
        <f t="shared" si="1569"/>
        <v>4.58</v>
      </c>
      <c r="O393" s="7">
        <f t="shared" si="1570"/>
        <v>4.58</v>
      </c>
      <c r="P393" s="38">
        <v>4</v>
      </c>
      <c r="Q393" s="4">
        <f t="shared" si="1736"/>
        <v>4</v>
      </c>
      <c r="R393" s="4">
        <f t="shared" si="1571"/>
        <v>5</v>
      </c>
      <c r="S393" s="7">
        <f t="shared" si="1572"/>
        <v>35.497579142809165</v>
      </c>
      <c r="V393" s="38">
        <f t="shared" ref="V393:V453" si="1777">W393/0.145</f>
        <v>865.51724137931035</v>
      </c>
      <c r="W393" s="4">
        <v>125.5</v>
      </c>
      <c r="X393" s="4">
        <f t="shared" si="1573"/>
        <v>0.90287769784172656</v>
      </c>
      <c r="Y393" s="38">
        <f t="shared" si="1764"/>
        <v>9.5249999999999986</v>
      </c>
      <c r="Z393" s="38">
        <v>10</v>
      </c>
      <c r="AA393" s="39">
        <f>1.75*25.4</f>
        <v>44.449999999999996</v>
      </c>
      <c r="AB393" s="39">
        <v>3</v>
      </c>
      <c r="AC393" s="39">
        <f t="shared" si="1765"/>
        <v>2</v>
      </c>
      <c r="AD393" s="7"/>
      <c r="AE393" s="4">
        <f t="shared" si="1576"/>
        <v>107.18799999999999</v>
      </c>
      <c r="AF393" s="4">
        <f t="shared" si="1577"/>
        <v>1.0347551342812007</v>
      </c>
      <c r="AG393" s="4">
        <f t="shared" si="1578"/>
        <v>244.49819737031095</v>
      </c>
      <c r="AH393" s="4">
        <f t="shared" si="1579"/>
        <v>0.83566350710900472</v>
      </c>
      <c r="AI393" s="4">
        <v>1.25</v>
      </c>
      <c r="AJ393" s="4">
        <f t="shared" si="1513"/>
        <v>2.5</v>
      </c>
      <c r="AK393" s="38">
        <f t="shared" si="1729"/>
        <v>660.68540095813057</v>
      </c>
      <c r="AL393" s="38">
        <f t="shared" si="1616"/>
        <v>660.68540095813057</v>
      </c>
      <c r="AM393" s="38">
        <f t="shared" si="1580"/>
        <v>4.7518593634836064</v>
      </c>
      <c r="AN393" s="38">
        <f t="shared" si="1521"/>
        <v>660.6854009581308</v>
      </c>
      <c r="AO393" s="38">
        <f t="shared" si="1484"/>
        <v>0.99999999999999967</v>
      </c>
      <c r="AP393" s="38">
        <f t="shared" si="1522"/>
        <v>2.1092995944134336</v>
      </c>
      <c r="AQ393" s="4">
        <f t="shared" si="1523"/>
        <v>0</v>
      </c>
      <c r="AR393" s="4" t="e">
        <f>#REF!/G393*F393^0.5/0.19</f>
        <v>#REF!</v>
      </c>
      <c r="AS393" s="4">
        <f t="shared" si="1581"/>
        <v>1</v>
      </c>
      <c r="AT393" s="38">
        <f t="shared" si="1582"/>
        <v>1393.5834482758621</v>
      </c>
      <c r="AU393" s="4">
        <f t="shared" si="1583"/>
        <v>0.44000000000000006</v>
      </c>
      <c r="AV393" s="4" t="e">
        <f>AU393*D393*#REF!/(D393*G393/2.75/F393^0.5)</f>
        <v>#REF!</v>
      </c>
      <c r="AW393" s="4" t="e">
        <f t="shared" si="1431"/>
        <v>#REF!</v>
      </c>
      <c r="AY393" s="4">
        <f t="shared" si="1584"/>
        <v>1.5</v>
      </c>
      <c r="AZ393" s="4" t="e">
        <f>(3*#REF!+30)*AY393*F393^0.5</f>
        <v>#REF!</v>
      </c>
      <c r="BB393" s="4">
        <f t="shared" si="1585"/>
        <v>1336.6169510470681</v>
      </c>
      <c r="BC393" s="4">
        <f t="shared" si="1662"/>
        <v>0</v>
      </c>
      <c r="BD393" s="4">
        <f t="shared" si="1432"/>
        <v>0</v>
      </c>
      <c r="BL393" s="4">
        <f t="shared" si="1586"/>
        <v>64.77</v>
      </c>
      <c r="BP393" s="9"/>
      <c r="BR393" s="9"/>
      <c r="BS393" s="9"/>
      <c r="BT393" s="9">
        <f t="shared" si="1587"/>
        <v>64.77</v>
      </c>
      <c r="BU393" s="9">
        <f t="shared" si="1588"/>
        <v>85.72499999999998</v>
      </c>
      <c r="BV393" s="9">
        <f t="shared" si="1589"/>
        <v>2.1066390052415969</v>
      </c>
      <c r="BW393" s="40">
        <f t="shared" si="1738"/>
        <v>20</v>
      </c>
      <c r="BX393" s="9">
        <f t="shared" si="1590"/>
        <v>0.05</v>
      </c>
      <c r="BY393" s="9">
        <f t="shared" si="1433"/>
        <v>0.8</v>
      </c>
      <c r="BZ393" s="9">
        <f t="shared" si="1591"/>
        <v>1</v>
      </c>
      <c r="CA393" s="9">
        <f t="shared" si="1592"/>
        <v>0.68</v>
      </c>
      <c r="CB393" s="9">
        <f t="shared" si="1593"/>
        <v>2.0757770792545673</v>
      </c>
      <c r="CC393" s="9">
        <f t="shared" si="1594"/>
        <v>5.1894426981364186</v>
      </c>
      <c r="CD393" s="40">
        <v>1</v>
      </c>
      <c r="CE393" s="9" t="e">
        <f>4*CC393*#REF!+60*CC393</f>
        <v>#REF!</v>
      </c>
      <c r="CG393" s="4" t="e">
        <f t="shared" si="1434"/>
        <v>#REF!</v>
      </c>
      <c r="CH393" s="4" t="e">
        <f t="shared" si="1435"/>
        <v>#REF!</v>
      </c>
      <c r="CI393" s="4" t="e">
        <f t="shared" si="1436"/>
        <v>#REF!</v>
      </c>
      <c r="CJ393" s="4" t="e">
        <f t="shared" si="1437"/>
        <v>#REF!</v>
      </c>
      <c r="CK393" s="4">
        <f t="shared" si="1438"/>
        <v>0.90287769784172656</v>
      </c>
      <c r="CL393" s="4">
        <f t="shared" si="1439"/>
        <v>0.91208253125064931</v>
      </c>
      <c r="CM393" s="4">
        <f t="shared" si="1699"/>
        <v>1.5953360225510751</v>
      </c>
      <c r="CN393" s="4">
        <f t="shared" si="1739"/>
        <v>10</v>
      </c>
      <c r="CU393" s="4" t="e">
        <f t="shared" si="1766"/>
        <v>#REF!</v>
      </c>
      <c r="CV393" s="4" t="e">
        <f t="shared" si="1767"/>
        <v>#REF!</v>
      </c>
      <c r="CW393" s="4" t="e">
        <f t="shared" si="1768"/>
        <v>#REF!</v>
      </c>
      <c r="CX393" s="4">
        <f t="shared" si="1769"/>
        <v>1.5953360225510751</v>
      </c>
      <c r="CY393" s="4">
        <f t="shared" si="1770"/>
        <v>0.90287769784172656</v>
      </c>
      <c r="CZ393" s="4">
        <f t="shared" si="1771"/>
        <v>0.91208253125064931</v>
      </c>
      <c r="DC393" s="4" t="e">
        <f>#REF!</f>
        <v>#REF!</v>
      </c>
      <c r="DF393" s="4">
        <f t="shared" si="1601"/>
        <v>1.6159606515821178E-5</v>
      </c>
      <c r="DG393" s="4">
        <f t="shared" si="1446"/>
        <v>14.719357433866572</v>
      </c>
      <c r="DH393" s="4">
        <f t="shared" si="1602"/>
        <v>0.29991129470090672</v>
      </c>
      <c r="DI393" s="4">
        <f t="shared" si="1447"/>
        <v>9.0925559092864905</v>
      </c>
      <c r="DJ393" s="4">
        <f t="shared" si="1448"/>
        <v>12.235589502750088</v>
      </c>
      <c r="DK393" s="4">
        <f t="shared" si="1603"/>
        <v>14.213904064637124</v>
      </c>
      <c r="DL393" s="38">
        <f t="shared" si="1604"/>
        <v>958.62068965517244</v>
      </c>
      <c r="DM393" s="4" t="e">
        <f t="shared" si="1449"/>
        <v>#REF!</v>
      </c>
      <c r="DN393" s="4">
        <f t="shared" si="1605"/>
        <v>2.2360679774997898</v>
      </c>
      <c r="DO393" s="4">
        <f t="shared" si="1697"/>
        <v>660.6854009581308</v>
      </c>
      <c r="DS393" s="4">
        <f t="shared" si="1606"/>
        <v>0.85</v>
      </c>
      <c r="DT393" s="4">
        <f t="shared" si="1607"/>
        <v>0.7</v>
      </c>
      <c r="DU393" s="4">
        <f t="shared" si="1608"/>
        <v>0.7</v>
      </c>
      <c r="DV393" s="4">
        <f t="shared" si="1450"/>
        <v>0.7</v>
      </c>
      <c r="DX393" s="4">
        <f t="shared" si="1609"/>
        <v>948.94618822762834</v>
      </c>
      <c r="DY393" s="25">
        <f t="shared" si="1502"/>
        <v>650.79088404722711</v>
      </c>
      <c r="EA393" s="4">
        <f t="shared" si="1503"/>
        <v>0.59499999999999997</v>
      </c>
      <c r="EB393" s="4">
        <f t="shared" si="1610"/>
        <v>14.719357433866572</v>
      </c>
      <c r="EE393" s="4">
        <f t="shared" si="1611"/>
        <v>35.497579142809165</v>
      </c>
      <c r="EF393" s="4">
        <f t="shared" si="1451"/>
        <v>2.2360679774997898</v>
      </c>
      <c r="EG393" s="4">
        <f t="shared" si="1612"/>
        <v>0.14303154905853199</v>
      </c>
      <c r="EJ393" s="4">
        <f t="shared" si="1452"/>
        <v>0.14303154905853199</v>
      </c>
      <c r="EK393" s="4">
        <f t="shared" si="1613"/>
        <v>0.2994107986459178</v>
      </c>
      <c r="EL393" s="4">
        <f t="shared" si="1453"/>
        <v>9.0864833554372844</v>
      </c>
      <c r="EM393" s="4">
        <f t="shared" si="1454"/>
        <v>12.233341972668274</v>
      </c>
      <c r="EN393" s="4" t="e">
        <f t="shared" si="1455"/>
        <v>#REF!</v>
      </c>
      <c r="EO393" s="4" t="e">
        <f t="shared" si="1456"/>
        <v>#REF!</v>
      </c>
      <c r="EP393" s="4" t="e">
        <f t="shared" si="1614"/>
        <v>#REF!</v>
      </c>
      <c r="EQ393" s="4" t="e">
        <f t="shared" si="1457"/>
        <v>#REF!</v>
      </c>
      <c r="ER393" s="4" t="e">
        <f t="shared" si="1615"/>
        <v>#REF!</v>
      </c>
      <c r="FA393" s="23" t="e">
        <f t="shared" si="1772"/>
        <v>#REF!</v>
      </c>
      <c r="FB393" s="23" t="e">
        <f t="shared" si="1773"/>
        <v>#REF!</v>
      </c>
      <c r="FC393" s="23">
        <f t="shared" si="1706"/>
        <v>1.6</v>
      </c>
      <c r="FD393" s="23" t="e">
        <f t="shared" si="1774"/>
        <v>#REF!</v>
      </c>
      <c r="FE393" s="23">
        <f t="shared" si="1775"/>
        <v>1</v>
      </c>
      <c r="FF393" s="23">
        <f t="shared" si="1776"/>
        <v>1</v>
      </c>
      <c r="FG393" s="23">
        <f t="shared" si="1629"/>
        <v>0</v>
      </c>
      <c r="FH393" s="23"/>
      <c r="FR393" s="4">
        <f t="shared" si="1485"/>
        <v>1</v>
      </c>
      <c r="FS393" s="4">
        <f t="shared" si="1486"/>
        <v>0.46358941059918601</v>
      </c>
      <c r="FT393" s="4">
        <f t="shared" si="1487"/>
        <v>0.3</v>
      </c>
      <c r="FU393" s="4">
        <f t="shared" si="1488"/>
        <v>542.52974241456434</v>
      </c>
    </row>
    <row r="394" spans="2:177" ht="12" customHeight="1" x14ac:dyDescent="0.3">
      <c r="B394" s="24"/>
      <c r="C394" s="7" t="s">
        <v>538</v>
      </c>
      <c r="D394" s="38">
        <f t="shared" si="1724"/>
        <v>958.62068965517244</v>
      </c>
      <c r="E394" s="38">
        <f>4.13*25.4</f>
        <v>104.90199999999999</v>
      </c>
      <c r="F394" s="38">
        <f t="shared" si="1762"/>
        <v>76.068965517241381</v>
      </c>
      <c r="G394" s="38">
        <f t="shared" si="1726"/>
        <v>15.875</v>
      </c>
      <c r="H394" s="38">
        <f t="shared" si="1756"/>
        <v>332.73999999999995</v>
      </c>
      <c r="I394" s="38">
        <f>2.55*25.4</f>
        <v>64.77</v>
      </c>
      <c r="J394" s="39">
        <f>5*25.4</f>
        <v>127</v>
      </c>
      <c r="K394" s="7">
        <f t="shared" si="1727"/>
        <v>171.44999999999996</v>
      </c>
      <c r="L394" s="38">
        <v>2</v>
      </c>
      <c r="M394" s="4">
        <f t="shared" si="1747"/>
        <v>133.35</v>
      </c>
      <c r="N394" s="7">
        <f t="shared" si="1569"/>
        <v>4.58</v>
      </c>
      <c r="O394" s="7">
        <f t="shared" si="1570"/>
        <v>4.58</v>
      </c>
      <c r="P394" s="38">
        <v>13.1</v>
      </c>
      <c r="Q394" s="4">
        <f t="shared" si="1736"/>
        <v>13.1</v>
      </c>
      <c r="R394" s="4">
        <f t="shared" si="1571"/>
        <v>14.1</v>
      </c>
      <c r="S394" s="7">
        <f t="shared" si="1572"/>
        <v>59.610572153771514</v>
      </c>
      <c r="V394" s="38">
        <f t="shared" si="1777"/>
        <v>896.55172413793105</v>
      </c>
      <c r="W394" s="4">
        <v>130</v>
      </c>
      <c r="X394" s="4">
        <f t="shared" si="1573"/>
        <v>0.98498574494393953</v>
      </c>
      <c r="Y394" s="38">
        <f t="shared" si="1764"/>
        <v>9.5249999999999986</v>
      </c>
      <c r="Z394" s="38">
        <v>10</v>
      </c>
      <c r="AA394" s="39">
        <f>1.75*25.4</f>
        <v>44.449999999999996</v>
      </c>
      <c r="AB394" s="39">
        <v>3</v>
      </c>
      <c r="AC394" s="39">
        <f t="shared" si="1765"/>
        <v>2</v>
      </c>
      <c r="AD394" s="7"/>
      <c r="AE394" s="4">
        <f t="shared" si="1576"/>
        <v>104.90199999999999</v>
      </c>
      <c r="AF394" s="4">
        <f t="shared" si="1577"/>
        <v>1.0573042776432606</v>
      </c>
      <c r="AG394" s="4">
        <f t="shared" si="1578"/>
        <v>236.71842498037796</v>
      </c>
      <c r="AH394" s="4">
        <f t="shared" si="1579"/>
        <v>0.83861985472154954</v>
      </c>
      <c r="AI394" s="4">
        <v>1.25</v>
      </c>
      <c r="AJ394" s="4">
        <f t="shared" si="1513"/>
        <v>2.5</v>
      </c>
      <c r="AK394" s="38">
        <f t="shared" si="1729"/>
        <v>655.914472933605</v>
      </c>
      <c r="AL394" s="38">
        <f t="shared" si="1616"/>
        <v>655.914472933605</v>
      </c>
      <c r="AM394" s="38">
        <f t="shared" si="1580"/>
        <v>4.7518593634836064</v>
      </c>
      <c r="AN394" s="38">
        <f t="shared" si="1521"/>
        <v>655.91447293360523</v>
      </c>
      <c r="AO394" s="38">
        <f t="shared" si="1484"/>
        <v>0.99999999999999967</v>
      </c>
      <c r="AP394" s="38">
        <f t="shared" si="1522"/>
        <v>3.8449563857980928</v>
      </c>
      <c r="AQ394" s="4">
        <f t="shared" si="1523"/>
        <v>0</v>
      </c>
      <c r="AR394" s="4" t="e">
        <f>#REF!/G394*F394^0.5/0.19</f>
        <v>#REF!</v>
      </c>
      <c r="AS394" s="4">
        <f t="shared" si="1581"/>
        <v>1</v>
      </c>
      <c r="AT394" s="38">
        <f t="shared" si="1582"/>
        <v>2521.9625412434557</v>
      </c>
      <c r="AU394" s="4">
        <f t="shared" si="1583"/>
        <v>0.3</v>
      </c>
      <c r="AV394" s="4" t="e">
        <f>AU394*D394*#REF!/(D394*G394/2.75/F394^0.5)</f>
        <v>#REF!</v>
      </c>
      <c r="AW394" s="4" t="e">
        <f t="shared" si="1431"/>
        <v>#REF!</v>
      </c>
      <c r="AY394" s="4">
        <f t="shared" si="1584"/>
        <v>1.5</v>
      </c>
      <c r="AZ394" s="4" t="e">
        <f>(3*#REF!+30)*AY394*F394^0.5</f>
        <v>#REF!</v>
      </c>
      <c r="BB394" s="4">
        <f t="shared" si="1585"/>
        <v>2418.8704929742166</v>
      </c>
      <c r="BC394" s="4">
        <f t="shared" si="1662"/>
        <v>0</v>
      </c>
      <c r="BD394" s="4">
        <f t="shared" si="1432"/>
        <v>0</v>
      </c>
      <c r="BL394" s="4">
        <f t="shared" si="1586"/>
        <v>64.77</v>
      </c>
      <c r="BP394" s="9"/>
      <c r="BR394" s="9"/>
      <c r="BS394" s="9"/>
      <c r="BT394" s="9">
        <f t="shared" si="1587"/>
        <v>64.77</v>
      </c>
      <c r="BU394" s="9">
        <f t="shared" si="1588"/>
        <v>85.72499999999998</v>
      </c>
      <c r="BV394" s="9">
        <f t="shared" si="1589"/>
        <v>2.1066390052415969</v>
      </c>
      <c r="BW394" s="40">
        <f t="shared" si="1738"/>
        <v>20</v>
      </c>
      <c r="BX394" s="9">
        <f t="shared" si="1590"/>
        <v>0.05</v>
      </c>
      <c r="BY394" s="9">
        <f t="shared" si="1433"/>
        <v>0.8</v>
      </c>
      <c r="BZ394" s="9">
        <f t="shared" si="1591"/>
        <v>1</v>
      </c>
      <c r="CA394" s="9">
        <f t="shared" si="1592"/>
        <v>0.68</v>
      </c>
      <c r="CB394" s="9">
        <f t="shared" si="1593"/>
        <v>2.0757770792545673</v>
      </c>
      <c r="CC394" s="9">
        <f t="shared" si="1594"/>
        <v>5.1894426981364186</v>
      </c>
      <c r="CD394" s="40">
        <v>1</v>
      </c>
      <c r="CE394" s="9" t="e">
        <f>4*CC394*#REF!+60*CC394</f>
        <v>#REF!</v>
      </c>
      <c r="CG394" s="4" t="e">
        <f t="shared" si="1434"/>
        <v>#REF!</v>
      </c>
      <c r="CH394" s="4" t="e">
        <f t="shared" si="1435"/>
        <v>#REF!</v>
      </c>
      <c r="CI394" s="4" t="e">
        <f t="shared" si="1436"/>
        <v>#REF!</v>
      </c>
      <c r="CJ394" s="4" t="e">
        <f t="shared" si="1437"/>
        <v>#REF!</v>
      </c>
      <c r="CK394" s="4">
        <f t="shared" si="1438"/>
        <v>0.98498574494393953</v>
      </c>
      <c r="CL394" s="4">
        <f t="shared" si="1439"/>
        <v>0.95614243505191698</v>
      </c>
      <c r="CM394" s="4">
        <f t="shared" si="1699"/>
        <v>1.6885510586641708</v>
      </c>
      <c r="CN394" s="4">
        <f t="shared" si="1739"/>
        <v>10</v>
      </c>
      <c r="CU394" s="4" t="e">
        <f t="shared" si="1766"/>
        <v>#REF!</v>
      </c>
      <c r="CV394" s="4" t="e">
        <f t="shared" si="1767"/>
        <v>#REF!</v>
      </c>
      <c r="CW394" s="4" t="e">
        <f t="shared" si="1768"/>
        <v>#REF!</v>
      </c>
      <c r="CX394" s="4">
        <f t="shared" si="1769"/>
        <v>1.6885510586641708</v>
      </c>
      <c r="CY394" s="4">
        <f t="shared" si="1770"/>
        <v>0.98498574494393953</v>
      </c>
      <c r="CZ394" s="4">
        <f t="shared" si="1771"/>
        <v>0.95614243505191698</v>
      </c>
      <c r="DC394" s="4" t="e">
        <f>#REF!</f>
        <v>#REF!</v>
      </c>
      <c r="DF394" s="4">
        <f t="shared" si="1601"/>
        <v>1.5814970357900817E-5</v>
      </c>
      <c r="DG394" s="4">
        <f t="shared" si="1446"/>
        <v>14.719357433866572</v>
      </c>
      <c r="DH394" s="4">
        <f t="shared" si="1602"/>
        <v>0.15267171175686037</v>
      </c>
      <c r="DI394" s="4">
        <f t="shared" si="1447"/>
        <v>6.940524338074761</v>
      </c>
      <c r="DJ394" s="4">
        <f t="shared" si="1448"/>
        <v>11.514963218771863</v>
      </c>
      <c r="DK394" s="4">
        <f t="shared" si="1603"/>
        <v>14.336996999621</v>
      </c>
      <c r="DL394" s="38">
        <f t="shared" si="1604"/>
        <v>910.21796887929406</v>
      </c>
      <c r="DM394" s="4" t="e">
        <f t="shared" si="1449"/>
        <v>#REF!</v>
      </c>
      <c r="DN394" s="4">
        <f t="shared" si="1605"/>
        <v>3.7549966711037173</v>
      </c>
      <c r="DO394" s="4">
        <f t="shared" si="1697"/>
        <v>655.91447293360523</v>
      </c>
      <c r="DS394" s="4">
        <f t="shared" si="1606"/>
        <v>0.85</v>
      </c>
      <c r="DT394" s="4">
        <f t="shared" si="1607"/>
        <v>0.7</v>
      </c>
      <c r="DU394" s="4">
        <f t="shared" si="1608"/>
        <v>0.7</v>
      </c>
      <c r="DV394" s="4">
        <f t="shared" si="1450"/>
        <v>0.7</v>
      </c>
      <c r="DX394" s="4">
        <f t="shared" si="1609"/>
        <v>937.67590608950411</v>
      </c>
      <c r="DY394" s="25">
        <f t="shared" si="1502"/>
        <v>645.87936432053323</v>
      </c>
      <c r="EA394" s="4">
        <f t="shared" si="1503"/>
        <v>0.59499999999999997</v>
      </c>
      <c r="EB394" s="4">
        <f t="shared" si="1610"/>
        <v>14.719357433866572</v>
      </c>
      <c r="EE394" s="4">
        <f t="shared" si="1611"/>
        <v>59.610572153771514</v>
      </c>
      <c r="EF394" s="4">
        <f t="shared" si="1451"/>
        <v>3.7549966711037173</v>
      </c>
      <c r="EG394" s="4">
        <f t="shared" si="1612"/>
        <v>7.2811100534838955E-2</v>
      </c>
      <c r="EJ394" s="4">
        <f t="shared" si="1452"/>
        <v>7.2811100534838955E-2</v>
      </c>
      <c r="EK394" s="4">
        <f t="shared" si="1613"/>
        <v>0.15241693112407723</v>
      </c>
      <c r="EL394" s="4">
        <f t="shared" si="1453"/>
        <v>6.9358890399028104</v>
      </c>
      <c r="EM394" s="4">
        <f t="shared" si="1454"/>
        <v>11.513587461198421</v>
      </c>
      <c r="EN394" s="4" t="e">
        <f t="shared" si="1455"/>
        <v>#REF!</v>
      </c>
      <c r="EO394" s="4" t="e">
        <f t="shared" si="1456"/>
        <v>#REF!</v>
      </c>
      <c r="EP394" s="4" t="e">
        <f t="shared" si="1614"/>
        <v>#REF!</v>
      </c>
      <c r="EQ394" s="4" t="e">
        <f t="shared" si="1457"/>
        <v>#REF!</v>
      </c>
      <c r="ER394" s="4" t="e">
        <f t="shared" si="1615"/>
        <v>#REF!</v>
      </c>
      <c r="FA394" s="23" t="e">
        <f t="shared" si="1772"/>
        <v>#REF!</v>
      </c>
      <c r="FB394" s="23" t="e">
        <f t="shared" si="1773"/>
        <v>#REF!</v>
      </c>
      <c r="FC394" s="23">
        <f t="shared" si="1706"/>
        <v>1.8</v>
      </c>
      <c r="FD394" s="23" t="e">
        <f t="shared" si="1774"/>
        <v>#REF!</v>
      </c>
      <c r="FE394" s="23">
        <f t="shared" si="1775"/>
        <v>1</v>
      </c>
      <c r="FF394" s="23">
        <f t="shared" si="1776"/>
        <v>1</v>
      </c>
      <c r="FG394" s="23">
        <f t="shared" si="1629"/>
        <v>0</v>
      </c>
      <c r="FH394" s="23"/>
      <c r="FR394" s="4">
        <f t="shared" si="1485"/>
        <v>1</v>
      </c>
      <c r="FS394" s="4">
        <f t="shared" si="1486"/>
        <v>0.46358941059918601</v>
      </c>
      <c r="FT394" s="4">
        <f t="shared" si="1487"/>
        <v>0.3</v>
      </c>
      <c r="FU394" s="4">
        <f t="shared" si="1488"/>
        <v>530.95920288439595</v>
      </c>
    </row>
    <row r="395" spans="2:177" ht="12" customHeight="1" x14ac:dyDescent="0.3">
      <c r="B395" s="24"/>
      <c r="C395" s="7" t="s">
        <v>539</v>
      </c>
      <c r="D395" s="38">
        <f t="shared" si="1724"/>
        <v>958.62068965517244</v>
      </c>
      <c r="E395" s="38">
        <f>6*25.4</f>
        <v>152.39999999999998</v>
      </c>
      <c r="F395" s="38">
        <f t="shared" si="1762"/>
        <v>76.068965517241381</v>
      </c>
      <c r="G395" s="38">
        <f t="shared" si="1726"/>
        <v>15.875</v>
      </c>
      <c r="H395" s="38">
        <f t="shared" si="1756"/>
        <v>332.73999999999995</v>
      </c>
      <c r="I395" s="38">
        <f>2.55*25.4</f>
        <v>64.77</v>
      </c>
      <c r="J395" s="39">
        <f>3.1*25.4</f>
        <v>78.739999999999995</v>
      </c>
      <c r="K395" s="7">
        <f t="shared" si="1727"/>
        <v>171.44999999999996</v>
      </c>
      <c r="L395" s="38">
        <v>2</v>
      </c>
      <c r="M395" s="4">
        <f t="shared" si="1747"/>
        <v>133.35</v>
      </c>
      <c r="N395" s="7">
        <f t="shared" si="1569"/>
        <v>4.58</v>
      </c>
      <c r="O395" s="7">
        <f t="shared" si="1570"/>
        <v>4.58</v>
      </c>
      <c r="P395" s="38">
        <v>4</v>
      </c>
      <c r="Q395" s="4">
        <f t="shared" si="1736"/>
        <v>4</v>
      </c>
      <c r="R395" s="4">
        <f t="shared" si="1571"/>
        <v>5</v>
      </c>
      <c r="S395" s="7">
        <f t="shared" si="1572"/>
        <v>35.497579142809165</v>
      </c>
      <c r="V395" s="38">
        <f t="shared" si="1777"/>
        <v>927.58620689655174</v>
      </c>
      <c r="W395" s="4">
        <v>134.5</v>
      </c>
      <c r="X395" s="4">
        <f t="shared" si="1573"/>
        <v>0.96762589928057552</v>
      </c>
      <c r="Y395" s="38"/>
      <c r="Z395" s="38"/>
      <c r="AA395" s="39">
        <v>1</v>
      </c>
      <c r="AB395" s="39"/>
      <c r="AC395" s="39"/>
      <c r="AD395" s="7"/>
      <c r="AE395" s="4">
        <f t="shared" si="1576"/>
        <v>152.39999999999998</v>
      </c>
      <c r="AF395" s="4">
        <f t="shared" si="1577"/>
        <v>0.72777777777777763</v>
      </c>
      <c r="AG395" s="4">
        <f t="shared" si="1578"/>
        <v>414.50890080495793</v>
      </c>
      <c r="AH395" s="4">
        <f t="shared" si="1579"/>
        <v>0.79541666666666666</v>
      </c>
      <c r="AI395" s="4">
        <v>1.25</v>
      </c>
      <c r="AJ395" s="4">
        <f t="shared" si="1513"/>
        <v>2.5</v>
      </c>
      <c r="AK395" s="38">
        <f t="shared" si="1729"/>
        <v>749.85511721935075</v>
      </c>
      <c r="AL395" s="38">
        <f t="shared" si="1616"/>
        <v>749.85511721935075</v>
      </c>
      <c r="AM395" s="38">
        <f t="shared" si="1580"/>
        <v>4.7518593634836064</v>
      </c>
      <c r="AN395" s="38">
        <f t="shared" si="1521"/>
        <v>749.8551172193504</v>
      </c>
      <c r="AO395" s="38">
        <f t="shared" si="1484"/>
        <v>1.0000000000000004</v>
      </c>
      <c r="AP395" s="38">
        <f t="shared" si="1522"/>
        <v>1.8584702781566882</v>
      </c>
      <c r="AQ395" s="4">
        <f t="shared" si="1523"/>
        <v>0</v>
      </c>
      <c r="AR395" s="4" t="e">
        <f>#REF!/G395*F395^0.5/0.19</f>
        <v>#REF!</v>
      </c>
      <c r="AS395" s="4">
        <f t="shared" si="1581"/>
        <v>1</v>
      </c>
      <c r="AT395" s="38">
        <f t="shared" si="1582"/>
        <v>1393.5834482758621</v>
      </c>
      <c r="AU395" s="4">
        <f t="shared" si="1583"/>
        <v>0.44000000000000006</v>
      </c>
      <c r="AV395" s="4" t="e">
        <f>AU395*D395*#REF!/(D395*G395/2.75/F395^0.5)</f>
        <v>#REF!</v>
      </c>
      <c r="AW395" s="4" t="e">
        <f t="shared" si="1431"/>
        <v>#REF!</v>
      </c>
      <c r="AY395" s="4">
        <f t="shared" si="1584"/>
        <v>1.5</v>
      </c>
      <c r="AZ395" s="4" t="e">
        <f>(3*#REF!+30)*AY395*F395^0.5</f>
        <v>#REF!</v>
      </c>
      <c r="BB395" s="4">
        <f t="shared" si="1585"/>
        <v>1336.6169510470681</v>
      </c>
      <c r="BC395" s="4">
        <f t="shared" si="1662"/>
        <v>0</v>
      </c>
      <c r="BD395" s="4">
        <f t="shared" si="1432"/>
        <v>0</v>
      </c>
      <c r="BL395" s="4">
        <f t="shared" si="1586"/>
        <v>64.77</v>
      </c>
      <c r="BP395" s="9"/>
      <c r="BR395" s="9"/>
      <c r="BS395" s="9"/>
      <c r="BT395" s="9">
        <f t="shared" si="1587"/>
        <v>64.77</v>
      </c>
      <c r="BU395" s="9">
        <f t="shared" si="1588"/>
        <v>85.72499999999998</v>
      </c>
      <c r="BV395" s="9">
        <f t="shared" si="1589"/>
        <v>2.1066390052415969</v>
      </c>
      <c r="BW395" s="40">
        <f t="shared" si="1738"/>
        <v>0</v>
      </c>
      <c r="BX395" s="9">
        <f t="shared" si="1590"/>
        <v>0</v>
      </c>
      <c r="BY395" s="9">
        <f t="shared" si="1433"/>
        <v>0</v>
      </c>
      <c r="BZ395" s="9">
        <f t="shared" si="1591"/>
        <v>1</v>
      </c>
      <c r="CA395" s="9">
        <f t="shared" si="1592"/>
        <v>0.68</v>
      </c>
      <c r="CB395" s="9">
        <f t="shared" si="1593"/>
        <v>2.0757770792545673</v>
      </c>
      <c r="CC395" s="9">
        <f t="shared" si="1594"/>
        <v>4.3729129613441495</v>
      </c>
      <c r="CD395" s="40">
        <v>1</v>
      </c>
      <c r="CE395" s="9" t="e">
        <f>4*CC395*#REF!+60*CC395</f>
        <v>#REF!</v>
      </c>
      <c r="CG395" s="4" t="e">
        <f t="shared" si="1434"/>
        <v>#REF!</v>
      </c>
      <c r="CH395" s="4" t="e">
        <f t="shared" si="1435"/>
        <v>#REF!</v>
      </c>
      <c r="CI395" s="4" t="e">
        <f t="shared" si="1436"/>
        <v>#REF!</v>
      </c>
      <c r="CJ395" s="4" t="e">
        <f t="shared" si="1437"/>
        <v>#REF!</v>
      </c>
      <c r="CK395" s="4">
        <f t="shared" si="1438"/>
        <v>0.96762589928057552</v>
      </c>
      <c r="CL395" s="4">
        <f t="shared" si="1439"/>
        <v>0.96762589928057552</v>
      </c>
      <c r="CM395" s="4">
        <f t="shared" si="1699"/>
        <v>1.2969655123763921</v>
      </c>
      <c r="CN395" s="4">
        <f t="shared" si="1739"/>
        <v>0</v>
      </c>
      <c r="CO395" s="4" t="e">
        <f t="shared" ref="CO395:CO397" si="1778">CG395</f>
        <v>#REF!</v>
      </c>
      <c r="CP395" s="4" t="e">
        <f t="shared" ref="CP395:CP397" si="1779">CH395</f>
        <v>#REF!</v>
      </c>
      <c r="CQ395" s="4" t="e">
        <f t="shared" ref="CQ395:CQ397" si="1780">CJ395</f>
        <v>#REF!</v>
      </c>
      <c r="CR395" s="4">
        <f t="shared" ref="CR395:CR397" si="1781">CM395</f>
        <v>1.2969655123763921</v>
      </c>
      <c r="CS395" s="4">
        <f t="shared" ref="CS395:CS397" si="1782">CK395</f>
        <v>0.96762589928057552</v>
      </c>
      <c r="CT395" s="4">
        <f t="shared" ref="CT395:CT397" si="1783">CL395</f>
        <v>0.96762589928057552</v>
      </c>
      <c r="DC395" s="4" t="e">
        <f>#REF!</f>
        <v>#REF!</v>
      </c>
      <c r="DF395" s="4">
        <f t="shared" si="1601"/>
        <v>2.2975743861357127E-5</v>
      </c>
      <c r="DG395" s="4">
        <f t="shared" si="1446"/>
        <v>14.719357433866572</v>
      </c>
      <c r="DH395" s="4">
        <f t="shared" si="1602"/>
        <v>0.34038896382032713</v>
      </c>
      <c r="DI395" s="4">
        <f t="shared" si="1447"/>
        <v>9.5648692976355409</v>
      </c>
      <c r="DJ395" s="4">
        <f t="shared" si="1448"/>
        <v>12.413789399888694</v>
      </c>
      <c r="DK395" s="4">
        <f t="shared" si="1603"/>
        <v>13.652143938875277</v>
      </c>
      <c r="DL395" s="38">
        <f t="shared" si="1604"/>
        <v>958.62068965517244</v>
      </c>
      <c r="DM395" s="4" t="e">
        <f t="shared" si="1449"/>
        <v>#REF!</v>
      </c>
      <c r="DN395" s="4">
        <f t="shared" si="1605"/>
        <v>2.2360679774997898</v>
      </c>
      <c r="DO395" s="4">
        <f t="shared" si="1697"/>
        <v>749.8551172193504</v>
      </c>
      <c r="DS395" s="4">
        <f t="shared" si="1606"/>
        <v>0.85</v>
      </c>
      <c r="DT395" s="4">
        <f t="shared" si="1607"/>
        <v>0.7</v>
      </c>
      <c r="DU395" s="4">
        <f t="shared" si="1608"/>
        <v>1</v>
      </c>
      <c r="DV395" s="4">
        <f t="shared" si="1450"/>
        <v>0.7</v>
      </c>
      <c r="DX395" s="4">
        <f t="shared" si="1609"/>
        <v>958.62068965517244</v>
      </c>
      <c r="DY395" s="25">
        <f t="shared" si="1502"/>
        <v>742.1045340265191</v>
      </c>
      <c r="EA395" s="4">
        <f t="shared" si="1503"/>
        <v>0.59499999999999997</v>
      </c>
      <c r="EB395" s="4">
        <f t="shared" si="1610"/>
        <v>14.719357433866572</v>
      </c>
      <c r="EE395" s="4">
        <f t="shared" si="1611"/>
        <v>35.497579142809165</v>
      </c>
      <c r="EF395" s="4">
        <f t="shared" si="1451"/>
        <v>2.2360679774997898</v>
      </c>
      <c r="EG395" s="4">
        <f t="shared" si="1612"/>
        <v>0.16233586943167166</v>
      </c>
      <c r="EJ395" s="4">
        <f t="shared" si="1452"/>
        <v>0.16233586943167166</v>
      </c>
      <c r="EK395" s="4">
        <f t="shared" si="1613"/>
        <v>0.33982091807958992</v>
      </c>
      <c r="EL395" s="4">
        <f t="shared" si="1453"/>
        <v>9.5584813045948618</v>
      </c>
      <c r="EM395" s="4">
        <f t="shared" si="1454"/>
        <v>12.41133532188586</v>
      </c>
      <c r="EN395" s="4" t="e">
        <f t="shared" si="1455"/>
        <v>#REF!</v>
      </c>
      <c r="EO395" s="4" t="e">
        <f t="shared" si="1456"/>
        <v>#REF!</v>
      </c>
      <c r="EP395" s="4" t="e">
        <f t="shared" si="1614"/>
        <v>#REF!</v>
      </c>
      <c r="EQ395" s="4" t="e">
        <f t="shared" si="1457"/>
        <v>#REF!</v>
      </c>
      <c r="ER395" s="4" t="e">
        <f t="shared" si="1615"/>
        <v>#REF!</v>
      </c>
      <c r="FA395" s="23" t="e">
        <f t="shared" si="1772"/>
        <v>#REF!</v>
      </c>
      <c r="FB395" s="23" t="e">
        <f t="shared" si="1773"/>
        <v>#REF!</v>
      </c>
      <c r="FC395" s="23">
        <f t="shared" si="1706"/>
        <v>1.4</v>
      </c>
      <c r="FD395" s="23" t="e">
        <f t="shared" si="1774"/>
        <v>#REF!</v>
      </c>
      <c r="FE395" s="23">
        <f t="shared" si="1775"/>
        <v>1</v>
      </c>
      <c r="FF395" s="23">
        <f t="shared" si="1776"/>
        <v>1</v>
      </c>
      <c r="FG395" s="23">
        <f t="shared" si="1629"/>
        <v>0</v>
      </c>
      <c r="FH395" s="23"/>
      <c r="FR395" s="4">
        <f t="shared" si="1485"/>
        <v>1</v>
      </c>
      <c r="FS395" s="4">
        <f t="shared" si="1486"/>
        <v>0.5</v>
      </c>
      <c r="FT395" s="4">
        <f t="shared" si="1487"/>
        <v>0</v>
      </c>
      <c r="FU395" s="4">
        <f t="shared" si="1488"/>
        <v>715.19728014738234</v>
      </c>
    </row>
    <row r="396" spans="2:177" ht="12" customHeight="1" x14ac:dyDescent="0.3">
      <c r="B396" s="24"/>
      <c r="C396" s="7" t="s">
        <v>540</v>
      </c>
      <c r="D396" s="38">
        <f t="shared" si="1724"/>
        <v>958.62068965517244</v>
      </c>
      <c r="E396" s="38">
        <f>6.03*25.4</f>
        <v>153.16200000000001</v>
      </c>
      <c r="F396" s="38">
        <f t="shared" si="1762"/>
        <v>76.068965517241381</v>
      </c>
      <c r="G396" s="38">
        <f t="shared" si="1726"/>
        <v>15.875</v>
      </c>
      <c r="H396" s="38">
        <f>13*25.4</f>
        <v>330.2</v>
      </c>
      <c r="I396" s="38">
        <f>2.55*25.4</f>
        <v>64.77</v>
      </c>
      <c r="J396" s="39">
        <f>3.15*25.4</f>
        <v>80.009999999999991</v>
      </c>
      <c r="K396" s="7">
        <f t="shared" si="1727"/>
        <v>168.91</v>
      </c>
      <c r="L396" s="38">
        <v>2</v>
      </c>
      <c r="M396" s="4">
        <f t="shared" si="1747"/>
        <v>133.35</v>
      </c>
      <c r="N396" s="7">
        <f t="shared" si="1569"/>
        <v>4.58</v>
      </c>
      <c r="O396" s="7">
        <f t="shared" si="1570"/>
        <v>4.58</v>
      </c>
      <c r="P396" s="38">
        <v>13.1</v>
      </c>
      <c r="Q396" s="4">
        <f t="shared" si="1736"/>
        <v>13.1</v>
      </c>
      <c r="R396" s="4">
        <f t="shared" si="1571"/>
        <v>14.1</v>
      </c>
      <c r="S396" s="7">
        <f t="shared" si="1572"/>
        <v>59.610572153771514</v>
      </c>
      <c r="V396" s="38">
        <f t="shared" si="1777"/>
        <v>983.44827586206895</v>
      </c>
      <c r="W396" s="4">
        <v>142.6</v>
      </c>
      <c r="X396" s="4">
        <f t="shared" si="1573"/>
        <v>1</v>
      </c>
      <c r="Y396" s="38"/>
      <c r="Z396" s="38"/>
      <c r="AA396" s="39">
        <v>1</v>
      </c>
      <c r="AB396" s="39"/>
      <c r="AC396" s="39"/>
      <c r="AD396" s="7"/>
      <c r="AE396" s="4">
        <f t="shared" si="1576"/>
        <v>153.16200000000001</v>
      </c>
      <c r="AF396" s="4">
        <f t="shared" si="1577"/>
        <v>0.71862907683803201</v>
      </c>
      <c r="AG396" s="4">
        <f t="shared" si="1578"/>
        <v>417.6216003496458</v>
      </c>
      <c r="AH396" s="4">
        <f t="shared" si="1579"/>
        <v>0.79494195688225533</v>
      </c>
      <c r="AI396" s="4">
        <v>1.25</v>
      </c>
      <c r="AJ396" s="4">
        <f t="shared" si="1513"/>
        <v>2.5</v>
      </c>
      <c r="AK396" s="38">
        <f t="shared" si="1729"/>
        <v>745.54382926292237</v>
      </c>
      <c r="AL396" s="38">
        <f t="shared" si="1616"/>
        <v>745.54382926292237</v>
      </c>
      <c r="AM396" s="38">
        <f t="shared" si="1580"/>
        <v>4.7518593634836064</v>
      </c>
      <c r="AN396" s="38">
        <f t="shared" si="1521"/>
        <v>745.54382926292283</v>
      </c>
      <c r="AO396" s="38">
        <f t="shared" si="1484"/>
        <v>0.99999999999999944</v>
      </c>
      <c r="AP396" s="38">
        <f t="shared" si="1522"/>
        <v>3.3827153310849316</v>
      </c>
      <c r="AQ396" s="4">
        <f t="shared" si="1523"/>
        <v>0</v>
      </c>
      <c r="AR396" s="4" t="e">
        <f>#REF!/G396*F396^0.5/0.19</f>
        <v>#REF!</v>
      </c>
      <c r="AS396" s="4">
        <f t="shared" si="1581"/>
        <v>1</v>
      </c>
      <c r="AT396" s="38">
        <f t="shared" si="1582"/>
        <v>2521.9625412434557</v>
      </c>
      <c r="AU396" s="4">
        <f t="shared" si="1583"/>
        <v>0.3</v>
      </c>
      <c r="AV396" s="4" t="e">
        <f>AU396*D396*#REF!/(D396*G396/2.75/F396^0.5)</f>
        <v>#REF!</v>
      </c>
      <c r="AW396" s="4" t="e">
        <f t="shared" si="1431"/>
        <v>#REF!</v>
      </c>
      <c r="AY396" s="4">
        <f t="shared" si="1584"/>
        <v>1.5</v>
      </c>
      <c r="AZ396" s="4" t="e">
        <f>(3*#REF!+30)*AY396*F396^0.5</f>
        <v>#REF!</v>
      </c>
      <c r="BB396" s="4">
        <f t="shared" si="1585"/>
        <v>2418.8704929742166</v>
      </c>
      <c r="BC396" s="4">
        <f t="shared" si="1662"/>
        <v>0</v>
      </c>
      <c r="BD396" s="4">
        <f t="shared" si="1432"/>
        <v>0</v>
      </c>
      <c r="BL396" s="4">
        <f t="shared" si="1586"/>
        <v>64.77</v>
      </c>
      <c r="BP396" s="9"/>
      <c r="BR396" s="9"/>
      <c r="BS396" s="9"/>
      <c r="BT396" s="9">
        <f t="shared" si="1587"/>
        <v>64.77</v>
      </c>
      <c r="BU396" s="9">
        <f t="shared" si="1588"/>
        <v>84.454999999999998</v>
      </c>
      <c r="BV396" s="9">
        <f t="shared" si="1589"/>
        <v>2.1019278374638874</v>
      </c>
      <c r="BW396" s="40">
        <f t="shared" si="1738"/>
        <v>0</v>
      </c>
      <c r="BX396" s="9">
        <f t="shared" si="1590"/>
        <v>0</v>
      </c>
      <c r="BY396" s="9">
        <f t="shared" si="1433"/>
        <v>0</v>
      </c>
      <c r="BZ396" s="9">
        <f t="shared" si="1591"/>
        <v>1</v>
      </c>
      <c r="CA396" s="9">
        <f t="shared" si="1592"/>
        <v>0.68</v>
      </c>
      <c r="CB396" s="9">
        <f t="shared" si="1593"/>
        <v>2.0757770792545673</v>
      </c>
      <c r="CC396" s="9">
        <f t="shared" si="1594"/>
        <v>4.3631336272546575</v>
      </c>
      <c r="CD396" s="40">
        <v>1</v>
      </c>
      <c r="CE396" s="9" t="e">
        <f>4*CC396*#REF!+60*CC396</f>
        <v>#REF!</v>
      </c>
      <c r="CG396" s="4" t="e">
        <f t="shared" si="1434"/>
        <v>#REF!</v>
      </c>
      <c r="CH396" s="4" t="e">
        <f t="shared" si="1435"/>
        <v>#REF!</v>
      </c>
      <c r="CI396" s="4" t="e">
        <f t="shared" si="1436"/>
        <v>#REF!</v>
      </c>
      <c r="CJ396" s="4" t="e">
        <f t="shared" si="1437"/>
        <v>#REF!</v>
      </c>
      <c r="CK396" s="4">
        <f t="shared" si="1438"/>
        <v>1</v>
      </c>
      <c r="CL396" s="4">
        <f t="shared" si="1439"/>
        <v>1</v>
      </c>
      <c r="CM396" s="4">
        <f t="shared" si="1699"/>
        <v>1.368231571250613</v>
      </c>
      <c r="CN396" s="4">
        <f t="shared" si="1739"/>
        <v>0</v>
      </c>
      <c r="CO396" s="4" t="e">
        <f t="shared" si="1778"/>
        <v>#REF!</v>
      </c>
      <c r="CP396" s="4" t="e">
        <f t="shared" si="1779"/>
        <v>#REF!</v>
      </c>
      <c r="CQ396" s="4" t="e">
        <f t="shared" si="1780"/>
        <v>#REF!</v>
      </c>
      <c r="CR396" s="4">
        <f t="shared" si="1781"/>
        <v>1.368231571250613</v>
      </c>
      <c r="CS396" s="4">
        <f t="shared" si="1782"/>
        <v>1</v>
      </c>
      <c r="CT396" s="4">
        <f t="shared" si="1783"/>
        <v>1</v>
      </c>
      <c r="DC396" s="4" t="e">
        <f>#REF!</f>
        <v>#REF!</v>
      </c>
      <c r="DF396" s="4">
        <f t="shared" si="1601"/>
        <v>2.3090622580663914E-5</v>
      </c>
      <c r="DG396" s="4">
        <f t="shared" si="1446"/>
        <v>14.719357433866572</v>
      </c>
      <c r="DH396" s="4">
        <f t="shared" si="1602"/>
        <v>0.17353398545126572</v>
      </c>
      <c r="DI396" s="4">
        <f t="shared" si="1447"/>
        <v>7.3053775881808054</v>
      </c>
      <c r="DJ396" s="4">
        <f t="shared" si="1448"/>
        <v>11.62577071614635</v>
      </c>
      <c r="DK396" s="4">
        <f t="shared" si="1603"/>
        <v>13.80694107281577</v>
      </c>
      <c r="DL396" s="38">
        <f t="shared" si="1604"/>
        <v>983.44827586206895</v>
      </c>
      <c r="DM396" s="4" t="e">
        <f t="shared" si="1449"/>
        <v>#REF!</v>
      </c>
      <c r="DN396" s="4">
        <f t="shared" si="1605"/>
        <v>3.7549966711037173</v>
      </c>
      <c r="DO396" s="4">
        <f t="shared" si="1697"/>
        <v>745.54382926292283</v>
      </c>
      <c r="DS396" s="4">
        <f t="shared" si="1606"/>
        <v>0.85</v>
      </c>
      <c r="DT396" s="4">
        <f t="shared" si="1607"/>
        <v>0.7</v>
      </c>
      <c r="DU396" s="4">
        <f t="shared" si="1608"/>
        <v>1</v>
      </c>
      <c r="DV396" s="4">
        <f t="shared" si="1450"/>
        <v>0.7</v>
      </c>
      <c r="DX396" s="4">
        <f t="shared" si="1609"/>
        <v>983.44827586206895</v>
      </c>
      <c r="DY396" s="25">
        <f t="shared" si="1502"/>
        <v>737.88070102182303</v>
      </c>
      <c r="EA396" s="4">
        <f t="shared" si="1503"/>
        <v>0.59499999999999997</v>
      </c>
      <c r="EB396" s="4">
        <f t="shared" si="1610"/>
        <v>14.719357433866572</v>
      </c>
      <c r="EE396" s="4">
        <f t="shared" si="1611"/>
        <v>59.610572153771514</v>
      </c>
      <c r="EF396" s="4">
        <f t="shared" si="1451"/>
        <v>3.7549966711037173</v>
      </c>
      <c r="EG396" s="4">
        <f t="shared" si="1612"/>
        <v>8.2760586853350845E-2</v>
      </c>
      <c r="EJ396" s="4">
        <f t="shared" si="1452"/>
        <v>8.2760586853350845E-2</v>
      </c>
      <c r="EK396" s="4">
        <f t="shared" si="1613"/>
        <v>0.17324438957188587</v>
      </c>
      <c r="EL396" s="4">
        <f t="shared" si="1453"/>
        <v>7.3004986191389216</v>
      </c>
      <c r="EM396" s="4">
        <f t="shared" si="1454"/>
        <v>11.624256514878113</v>
      </c>
      <c r="EN396" s="4" t="e">
        <f t="shared" si="1455"/>
        <v>#REF!</v>
      </c>
      <c r="EO396" s="4" t="e">
        <f t="shared" si="1456"/>
        <v>#REF!</v>
      </c>
      <c r="EP396" s="4" t="e">
        <f t="shared" si="1614"/>
        <v>#REF!</v>
      </c>
      <c r="EQ396" s="4" t="e">
        <f t="shared" si="1457"/>
        <v>#REF!</v>
      </c>
      <c r="ER396" s="4" t="e">
        <f t="shared" si="1615"/>
        <v>#REF!</v>
      </c>
      <c r="FA396" s="23" t="e">
        <f t="shared" si="1772"/>
        <v>#REF!</v>
      </c>
      <c r="FB396" s="23" t="e">
        <f t="shared" si="1773"/>
        <v>#REF!</v>
      </c>
      <c r="FC396" s="23">
        <f t="shared" si="1706"/>
        <v>1.4</v>
      </c>
      <c r="FD396" s="23" t="e">
        <f t="shared" si="1774"/>
        <v>#REF!</v>
      </c>
      <c r="FE396" s="23">
        <f t="shared" si="1775"/>
        <v>1.2</v>
      </c>
      <c r="FF396" s="23">
        <f t="shared" si="1776"/>
        <v>1.2</v>
      </c>
      <c r="FG396" s="23">
        <f t="shared" si="1629"/>
        <v>0</v>
      </c>
      <c r="FH396" s="23"/>
      <c r="FR396" s="4">
        <f t="shared" si="1485"/>
        <v>1</v>
      </c>
      <c r="FS396" s="4">
        <f t="shared" si="1486"/>
        <v>0.5</v>
      </c>
      <c r="FT396" s="4">
        <f t="shared" si="1487"/>
        <v>0</v>
      </c>
      <c r="FU396" s="4">
        <f t="shared" si="1488"/>
        <v>718.7732665481193</v>
      </c>
    </row>
    <row r="397" spans="2:177" ht="12" customHeight="1" x14ac:dyDescent="0.3">
      <c r="B397" s="24"/>
      <c r="C397" s="7" t="s">
        <v>541</v>
      </c>
      <c r="D397" s="38">
        <f t="shared" si="1724"/>
        <v>958.62068965517244</v>
      </c>
      <c r="E397" s="38">
        <f>5.04*25.4</f>
        <v>128.01599999999999</v>
      </c>
      <c r="F397" s="38">
        <f t="shared" si="1762"/>
        <v>76.068965517241381</v>
      </c>
      <c r="G397" s="38">
        <f t="shared" si="1726"/>
        <v>15.875</v>
      </c>
      <c r="H397" s="38">
        <f t="shared" si="1756"/>
        <v>332.73999999999995</v>
      </c>
      <c r="I397" s="38">
        <f t="shared" ref="I397:I403" si="1784">2.5*25.4</f>
        <v>63.5</v>
      </c>
      <c r="J397" s="39">
        <f>4.23*25.4</f>
        <v>107.44200000000001</v>
      </c>
      <c r="K397" s="7">
        <f t="shared" si="1727"/>
        <v>79.057499999999976</v>
      </c>
      <c r="L397" s="38">
        <v>3</v>
      </c>
      <c r="M397" s="4">
        <f t="shared" si="1747"/>
        <v>133.35</v>
      </c>
      <c r="N397" s="7">
        <f t="shared" si="1569"/>
        <v>2.9899999999999993</v>
      </c>
      <c r="O397" s="7">
        <f t="shared" si="1570"/>
        <v>4.5</v>
      </c>
      <c r="P397" s="38">
        <v>4</v>
      </c>
      <c r="Q397" s="4">
        <f t="shared" si="1736"/>
        <v>4</v>
      </c>
      <c r="R397" s="4">
        <f t="shared" si="1571"/>
        <v>5</v>
      </c>
      <c r="S397" s="7">
        <f t="shared" si="1572"/>
        <v>35.497579142809165</v>
      </c>
      <c r="V397" s="38">
        <f t="shared" si="1777"/>
        <v>623.44827586206907</v>
      </c>
      <c r="W397" s="4">
        <v>90.4</v>
      </c>
      <c r="X397" s="4">
        <f t="shared" si="1573"/>
        <v>0.81191613543819985</v>
      </c>
      <c r="Y397" s="38"/>
      <c r="Z397" s="38"/>
      <c r="AA397" s="39">
        <v>1</v>
      </c>
      <c r="AB397" s="39"/>
      <c r="AC397" s="39"/>
      <c r="AD397" s="7"/>
      <c r="AE397" s="4">
        <f t="shared" si="1576"/>
        <v>128.01599999999999</v>
      </c>
      <c r="AF397" s="4">
        <f t="shared" si="1577"/>
        <v>0.86640211640211651</v>
      </c>
      <c r="AG397" s="4">
        <f t="shared" si="1578"/>
        <v>212.74606238722586</v>
      </c>
      <c r="AH397" s="4">
        <f t="shared" si="1579"/>
        <v>0.81160714285714286</v>
      </c>
      <c r="AI397" s="4">
        <v>1.25</v>
      </c>
      <c r="AJ397" s="4">
        <f t="shared" si="1513"/>
        <v>2.5</v>
      </c>
      <c r="AK397" s="38">
        <f t="shared" si="1729"/>
        <v>467.49494304139188</v>
      </c>
      <c r="AL397" s="38">
        <f t="shared" si="1616"/>
        <v>467.49494304139188</v>
      </c>
      <c r="AM397" s="38">
        <f t="shared" si="1580"/>
        <v>4.7518593634836064</v>
      </c>
      <c r="AN397" s="38">
        <f t="shared" si="1521"/>
        <v>467.49494304139216</v>
      </c>
      <c r="AO397" s="38">
        <f t="shared" si="1484"/>
        <v>0.99999999999999944</v>
      </c>
      <c r="AP397" s="38">
        <f t="shared" si="1522"/>
        <v>2.3392070107997665</v>
      </c>
      <c r="AQ397" s="4">
        <f t="shared" si="1523"/>
        <v>0</v>
      </c>
      <c r="AR397" s="4" t="e">
        <f>#REF!/G397*F397^0.5/0.19</f>
        <v>#REF!</v>
      </c>
      <c r="AS397" s="4">
        <f t="shared" si="1581"/>
        <v>1.2020066889632108</v>
      </c>
      <c r="AT397" s="38">
        <f t="shared" si="1582"/>
        <v>1093.567448275862</v>
      </c>
      <c r="AU397" s="4">
        <f t="shared" si="1583"/>
        <v>0.44000000000000006</v>
      </c>
      <c r="AV397" s="4" t="e">
        <f>AU397*D397*#REF!/(D397*G397/2.75/F397^0.5)</f>
        <v>#REF!</v>
      </c>
      <c r="AW397" s="4" t="e">
        <f t="shared" si="1431"/>
        <v>#REF!</v>
      </c>
      <c r="AY397" s="4">
        <f t="shared" si="1584"/>
        <v>1.5</v>
      </c>
      <c r="AZ397" s="4" t="e">
        <f>(3*#REF!+30)*AY397*F397^0.5</f>
        <v>#REF!</v>
      </c>
      <c r="BB397" s="4">
        <f t="shared" si="1585"/>
        <v>1048.8649174810398</v>
      </c>
      <c r="BC397" s="4">
        <f t="shared" si="1662"/>
        <v>0</v>
      </c>
      <c r="BD397" s="4">
        <f t="shared" si="1432"/>
        <v>0</v>
      </c>
      <c r="BL397" s="4">
        <f t="shared" si="1586"/>
        <v>39.528749999999988</v>
      </c>
      <c r="BP397" s="9"/>
      <c r="BR397" s="9"/>
      <c r="BS397" s="9"/>
      <c r="BT397" s="9">
        <f t="shared" si="1587"/>
        <v>39.528749999999988</v>
      </c>
      <c r="BU397" s="9">
        <f t="shared" si="1588"/>
        <v>63.5</v>
      </c>
      <c r="BV397" s="9">
        <f t="shared" si="1589"/>
        <v>1.6942549773761708</v>
      </c>
      <c r="BW397" s="40">
        <f t="shared" si="1738"/>
        <v>0</v>
      </c>
      <c r="BX397" s="9">
        <f t="shared" si="1590"/>
        <v>0</v>
      </c>
      <c r="BY397" s="9">
        <f t="shared" si="1433"/>
        <v>0</v>
      </c>
      <c r="BZ397" s="9">
        <f t="shared" si="1591"/>
        <v>1</v>
      </c>
      <c r="CA397" s="9">
        <f t="shared" si="1592"/>
        <v>0.68</v>
      </c>
      <c r="CB397" s="9">
        <f t="shared" si="1593"/>
        <v>2.0757770792545673</v>
      </c>
      <c r="CC397" s="9">
        <f t="shared" si="1594"/>
        <v>3.5168956484504208</v>
      </c>
      <c r="CD397" s="40">
        <v>1</v>
      </c>
      <c r="CE397" s="9" t="e">
        <f>4*CC397*#REF!+60*CC397</f>
        <v>#REF!</v>
      </c>
      <c r="CG397" s="4" t="e">
        <f t="shared" si="1434"/>
        <v>#REF!</v>
      </c>
      <c r="CH397" s="4" t="e">
        <f t="shared" si="1435"/>
        <v>#REF!</v>
      </c>
      <c r="CI397" s="4" t="e">
        <f t="shared" si="1436"/>
        <v>#REF!</v>
      </c>
      <c r="CJ397" s="4" t="e">
        <f t="shared" si="1437"/>
        <v>#REF!</v>
      </c>
      <c r="CK397" s="4">
        <f t="shared" si="1438"/>
        <v>0.81191613543819985</v>
      </c>
      <c r="CL397" s="4">
        <f t="shared" si="1439"/>
        <v>0.82625634412902194</v>
      </c>
      <c r="CM397" s="4">
        <f t="shared" si="1699"/>
        <v>1.3871339650041066</v>
      </c>
      <c r="CN397" s="4">
        <f t="shared" si="1739"/>
        <v>0</v>
      </c>
      <c r="CO397" s="4" t="e">
        <f t="shared" si="1778"/>
        <v>#REF!</v>
      </c>
      <c r="CP397" s="4" t="e">
        <f t="shared" si="1779"/>
        <v>#REF!</v>
      </c>
      <c r="CQ397" s="4" t="e">
        <f t="shared" si="1780"/>
        <v>#REF!</v>
      </c>
      <c r="CR397" s="4">
        <f t="shared" si="1781"/>
        <v>1.3871339650041066</v>
      </c>
      <c r="CS397" s="4">
        <f t="shared" si="1782"/>
        <v>0.81191613543819985</v>
      </c>
      <c r="CT397" s="4">
        <f t="shared" si="1783"/>
        <v>0.82625634412902194</v>
      </c>
      <c r="DC397" s="4" t="e">
        <f>#REF!</f>
        <v>#REF!</v>
      </c>
      <c r="DF397" s="4">
        <f t="shared" si="1601"/>
        <v>1.9299624843539986E-5</v>
      </c>
      <c r="DG397" s="4">
        <f t="shared" si="1446"/>
        <v>12.10757955782209</v>
      </c>
      <c r="DH397" s="4">
        <f t="shared" si="1602"/>
        <v>0.21221448730415612</v>
      </c>
      <c r="DI397" s="4">
        <f t="shared" si="1447"/>
        <v>6.5127940191019551</v>
      </c>
      <c r="DJ397" s="4">
        <f t="shared" si="1448"/>
        <v>9.7247919654802502</v>
      </c>
      <c r="DK397" s="4">
        <f t="shared" si="1603"/>
        <v>11.637478044456321</v>
      </c>
      <c r="DL397" s="38">
        <f t="shared" si="1604"/>
        <v>767.87275021401979</v>
      </c>
      <c r="DM397" s="4" t="e">
        <f t="shared" si="1449"/>
        <v>#REF!</v>
      </c>
      <c r="DN397" s="4">
        <f t="shared" si="1605"/>
        <v>2.2360679774997898</v>
      </c>
      <c r="DO397" s="4">
        <f t="shared" si="1697"/>
        <v>467.49494304139216</v>
      </c>
      <c r="DS397" s="4">
        <f t="shared" si="1606"/>
        <v>0.85</v>
      </c>
      <c r="DT397" s="4">
        <f t="shared" si="1607"/>
        <v>0.85100000000000009</v>
      </c>
      <c r="DU397" s="4">
        <f t="shared" si="1608"/>
        <v>1</v>
      </c>
      <c r="DV397" s="4">
        <f t="shared" si="1450"/>
        <v>0.85100000000000009</v>
      </c>
      <c r="DX397" s="4">
        <f t="shared" si="1609"/>
        <v>754.54582623418389</v>
      </c>
      <c r="DY397" s="25">
        <f t="shared" si="1502"/>
        <v>461.63926157135188</v>
      </c>
      <c r="EA397" s="4">
        <f t="shared" si="1503"/>
        <v>0.72335000000000005</v>
      </c>
      <c r="EB397" s="4">
        <f t="shared" si="1610"/>
        <v>12.10757955782209</v>
      </c>
      <c r="EE397" s="4">
        <f t="shared" si="1611"/>
        <v>35.497579142809165</v>
      </c>
      <c r="EF397" s="4">
        <f t="shared" si="1451"/>
        <v>2.2360679774997898</v>
      </c>
      <c r="EG397" s="4">
        <f t="shared" si="1612"/>
        <v>0.10120781507094023</v>
      </c>
      <c r="EJ397" s="4">
        <f t="shared" si="1452"/>
        <v>0.10120781507094023</v>
      </c>
      <c r="EK397" s="4">
        <f t="shared" si="1613"/>
        <v>0.21186034087624936</v>
      </c>
      <c r="EL397" s="4">
        <f t="shared" si="1453"/>
        <v>6.5084443848754141</v>
      </c>
      <c r="EM397" s="4">
        <f t="shared" si="1454"/>
        <v>9.7233476939465842</v>
      </c>
      <c r="EN397" s="4" t="e">
        <f t="shared" si="1455"/>
        <v>#REF!</v>
      </c>
      <c r="EO397" s="4" t="e">
        <f t="shared" si="1456"/>
        <v>#REF!</v>
      </c>
      <c r="EP397" s="4" t="e">
        <f t="shared" si="1614"/>
        <v>#REF!</v>
      </c>
      <c r="EQ397" s="4" t="e">
        <f t="shared" si="1457"/>
        <v>#REF!</v>
      </c>
      <c r="ER397" s="4" t="e">
        <f t="shared" si="1615"/>
        <v>#REF!</v>
      </c>
      <c r="FA397" s="23" t="e">
        <f t="shared" si="1772"/>
        <v>#REF!</v>
      </c>
      <c r="FB397" s="23" t="e">
        <f t="shared" si="1773"/>
        <v>#REF!</v>
      </c>
      <c r="FC397" s="23">
        <f t="shared" si="1706"/>
        <v>1.4</v>
      </c>
      <c r="FD397" s="23" t="e">
        <f t="shared" si="1774"/>
        <v>#REF!</v>
      </c>
      <c r="FE397" s="23">
        <f t="shared" si="1775"/>
        <v>1</v>
      </c>
      <c r="FF397" s="23">
        <f t="shared" si="1776"/>
        <v>1</v>
      </c>
      <c r="FG397" s="23">
        <f t="shared" si="1629"/>
        <v>0</v>
      </c>
      <c r="FH397" s="23"/>
      <c r="FR397" s="4">
        <f t="shared" si="1485"/>
        <v>1</v>
      </c>
      <c r="FS397" s="4">
        <f t="shared" si="1486"/>
        <v>0.66833333333333345</v>
      </c>
      <c r="FT397" s="4">
        <f t="shared" si="1487"/>
        <v>0</v>
      </c>
      <c r="FU397" s="4">
        <f t="shared" si="1488"/>
        <v>449.45065984324259</v>
      </c>
    </row>
    <row r="398" spans="2:177" ht="12" customHeight="1" x14ac:dyDescent="0.3">
      <c r="B398" s="14"/>
      <c r="C398" s="7" t="s">
        <v>542</v>
      </c>
      <c r="D398" s="38">
        <f t="shared" si="1724"/>
        <v>958.62068965517244</v>
      </c>
      <c r="E398" s="38">
        <f>5.15*25.4</f>
        <v>130.81</v>
      </c>
      <c r="F398" s="38">
        <f t="shared" si="1762"/>
        <v>76.068965517241381</v>
      </c>
      <c r="G398" s="38">
        <f t="shared" si="1726"/>
        <v>15.875</v>
      </c>
      <c r="H398" s="38">
        <f t="shared" si="1756"/>
        <v>332.73999999999995</v>
      </c>
      <c r="I398" s="38">
        <f t="shared" si="1784"/>
        <v>63.5</v>
      </c>
      <c r="J398" s="39">
        <f>4.03*25.4</f>
        <v>102.36199999999999</v>
      </c>
      <c r="K398" s="7">
        <f t="shared" si="1727"/>
        <v>79.057499999999976</v>
      </c>
      <c r="L398" s="38">
        <v>3</v>
      </c>
      <c r="M398" s="4">
        <f t="shared" si="1747"/>
        <v>133.35</v>
      </c>
      <c r="N398" s="7">
        <f t="shared" si="1569"/>
        <v>2.9899999999999993</v>
      </c>
      <c r="O398" s="7">
        <f t="shared" si="1570"/>
        <v>4.5</v>
      </c>
      <c r="P398" s="38">
        <v>4</v>
      </c>
      <c r="Q398" s="4">
        <f t="shared" si="1736"/>
        <v>4</v>
      </c>
      <c r="R398" s="4">
        <f t="shared" si="1571"/>
        <v>5</v>
      </c>
      <c r="S398" s="7">
        <f t="shared" si="1572"/>
        <v>35.497579142809165</v>
      </c>
      <c r="V398" s="38">
        <f t="shared" si="1777"/>
        <v>781.37931034482767</v>
      </c>
      <c r="W398" s="4">
        <v>113.3</v>
      </c>
      <c r="X398" s="4">
        <f t="shared" si="1573"/>
        <v>0.9430316920738141</v>
      </c>
      <c r="Y398" s="38">
        <f t="shared" ref="Y398:Y399" si="1785">0.375*25.4</f>
        <v>9.5249999999999986</v>
      </c>
      <c r="Z398" s="38">
        <v>4</v>
      </c>
      <c r="AA398" s="39">
        <f>3.5*25.4</f>
        <v>88.899999999999991</v>
      </c>
      <c r="AB398" s="39">
        <v>2</v>
      </c>
      <c r="AC398" s="39">
        <f t="shared" ref="AC398:AC399" si="1786">AB398-1</f>
        <v>1</v>
      </c>
      <c r="AD398" s="7"/>
      <c r="AE398" s="4">
        <f t="shared" si="1576"/>
        <v>130.81</v>
      </c>
      <c r="AF398" s="4">
        <f t="shared" si="1577"/>
        <v>0.84789644012944965</v>
      </c>
      <c r="AG398" s="4">
        <f t="shared" si="1578"/>
        <v>219.74882905147061</v>
      </c>
      <c r="AH398" s="4">
        <f t="shared" si="1579"/>
        <v>0.80922330097087369</v>
      </c>
      <c r="AI398" s="4">
        <v>1.25</v>
      </c>
      <c r="AJ398" s="4">
        <f t="shared" si="1513"/>
        <v>2.5</v>
      </c>
      <c r="AK398" s="38">
        <f t="shared" si="1729"/>
        <v>471.1810141720569</v>
      </c>
      <c r="AL398" s="38">
        <f t="shared" si="1616"/>
        <v>471.1810141720569</v>
      </c>
      <c r="AM398" s="38">
        <f t="shared" si="1580"/>
        <v>4.7518593634836064</v>
      </c>
      <c r="AN398" s="38">
        <f t="shared" si="1521"/>
        <v>471.18101417205736</v>
      </c>
      <c r="AO398" s="38">
        <f t="shared" si="1484"/>
        <v>0.999999999999999</v>
      </c>
      <c r="AP398" s="38">
        <f t="shared" si="1522"/>
        <v>2.320907284851959</v>
      </c>
      <c r="AQ398" s="4">
        <f t="shared" si="1523"/>
        <v>0</v>
      </c>
      <c r="AR398" s="4" t="e">
        <f>#REF!/G398*F398^0.5/0.19</f>
        <v>#REF!</v>
      </c>
      <c r="AS398" s="4">
        <f t="shared" si="1581"/>
        <v>1.2020066889632108</v>
      </c>
      <c r="AT398" s="38">
        <f t="shared" si="1582"/>
        <v>1093.567448275862</v>
      </c>
      <c r="AU398" s="4">
        <f t="shared" si="1583"/>
        <v>0.44000000000000006</v>
      </c>
      <c r="AV398" s="4" t="e">
        <f>AU398*D398*#REF!/(D398*G398/2.75/F398^0.5)</f>
        <v>#REF!</v>
      </c>
      <c r="AW398" s="4" t="e">
        <f t="shared" si="1431"/>
        <v>#REF!</v>
      </c>
      <c r="AY398" s="4">
        <f t="shared" si="1584"/>
        <v>1.5</v>
      </c>
      <c r="AZ398" s="4" t="e">
        <f>(3*#REF!+30)*AY398*F398^0.5</f>
        <v>#REF!</v>
      </c>
      <c r="BB398" s="4">
        <f t="shared" si="1585"/>
        <v>1048.8649174810398</v>
      </c>
      <c r="BC398" s="4">
        <f t="shared" si="1662"/>
        <v>0</v>
      </c>
      <c r="BD398" s="4">
        <f t="shared" si="1432"/>
        <v>0</v>
      </c>
      <c r="BL398" s="4">
        <f t="shared" si="1586"/>
        <v>39.528749999999988</v>
      </c>
      <c r="BP398" s="9"/>
      <c r="BR398" s="9"/>
      <c r="BS398" s="9"/>
      <c r="BT398" s="9">
        <f t="shared" si="1587"/>
        <v>39.528749999999988</v>
      </c>
      <c r="BU398" s="9">
        <f t="shared" si="1588"/>
        <v>63.5</v>
      </c>
      <c r="BV398" s="9">
        <f t="shared" si="1589"/>
        <v>1.6942549773761708</v>
      </c>
      <c r="BW398" s="40">
        <f t="shared" si="1738"/>
        <v>20</v>
      </c>
      <c r="BX398" s="9">
        <f t="shared" si="1590"/>
        <v>0.05</v>
      </c>
      <c r="BY398" s="9">
        <f t="shared" si="1433"/>
        <v>0.8</v>
      </c>
      <c r="BZ398" s="9">
        <f t="shared" si="1591"/>
        <v>1</v>
      </c>
      <c r="CA398" s="9">
        <f t="shared" si="1592"/>
        <v>0.68</v>
      </c>
      <c r="CB398" s="9">
        <f t="shared" si="1593"/>
        <v>2.0757770792545673</v>
      </c>
      <c r="CC398" s="9">
        <f t="shared" si="1594"/>
        <v>5.1775173118540749</v>
      </c>
      <c r="CD398" s="40">
        <v>1</v>
      </c>
      <c r="CE398" s="9" t="e">
        <f>4*CC398*#REF!+60*CC398</f>
        <v>#REF!</v>
      </c>
      <c r="CG398" s="4" t="e">
        <f t="shared" si="1434"/>
        <v>#REF!</v>
      </c>
      <c r="CH398" s="4" t="e">
        <f t="shared" si="1435"/>
        <v>#REF!</v>
      </c>
      <c r="CI398" s="4" t="e">
        <f t="shared" si="1436"/>
        <v>#REF!</v>
      </c>
      <c r="CJ398" s="4" t="e">
        <f t="shared" si="1437"/>
        <v>#REF!</v>
      </c>
      <c r="CK398" s="4">
        <f t="shared" si="1438"/>
        <v>0.9430316920738141</v>
      </c>
      <c r="CL398" s="4">
        <f t="shared" si="1439"/>
        <v>0.9601139047349182</v>
      </c>
      <c r="CM398" s="4">
        <f t="shared" si="1699"/>
        <v>1.418561096358864</v>
      </c>
      <c r="CN398" s="4">
        <f t="shared" si="1739"/>
        <v>4</v>
      </c>
      <c r="CU398" s="4" t="e">
        <f t="shared" ref="CU398:CU399" si="1787">CG398</f>
        <v>#REF!</v>
      </c>
      <c r="CV398" s="4" t="e">
        <f t="shared" ref="CV398:CV399" si="1788">CH398</f>
        <v>#REF!</v>
      </c>
      <c r="CW398" s="4" t="e">
        <f t="shared" ref="CW398:CW399" si="1789">CJ398</f>
        <v>#REF!</v>
      </c>
      <c r="CX398" s="4">
        <f t="shared" ref="CX398:CX399" si="1790">CM398</f>
        <v>1.418561096358864</v>
      </c>
      <c r="CY398" s="4">
        <f t="shared" ref="CY398:CY399" si="1791">CK398</f>
        <v>0.9430316920738141</v>
      </c>
      <c r="CZ398" s="4">
        <f t="shared" ref="CZ398:CZ399" si="1792">CL398</f>
        <v>0.9601139047349182</v>
      </c>
      <c r="DC398" s="4" t="e">
        <f>#REF!</f>
        <v>#REF!</v>
      </c>
      <c r="DF398" s="4">
        <f t="shared" si="1601"/>
        <v>1.9720846814331535E-5</v>
      </c>
      <c r="DG398" s="4">
        <f t="shared" si="1446"/>
        <v>14.094970381632237</v>
      </c>
      <c r="DH398" s="4">
        <f t="shared" si="1602"/>
        <v>0.21388774111535619</v>
      </c>
      <c r="DI398" s="4">
        <f t="shared" si="1447"/>
        <v>7.6056883382842555</v>
      </c>
      <c r="DJ398" s="4">
        <f t="shared" si="1448"/>
        <v>11.328995266091802</v>
      </c>
      <c r="DK398" s="4">
        <f t="shared" si="1603"/>
        <v>13.428486755301332</v>
      </c>
      <c r="DL398" s="38">
        <f t="shared" si="1604"/>
        <v>828.58223844683539</v>
      </c>
      <c r="DM398" s="4" t="e">
        <f t="shared" si="1449"/>
        <v>#REF!</v>
      </c>
      <c r="DN398" s="4">
        <f t="shared" si="1605"/>
        <v>2.2360679774997898</v>
      </c>
      <c r="DO398" s="4">
        <f t="shared" si="1697"/>
        <v>471.18101417205736</v>
      </c>
      <c r="DS398" s="4">
        <f t="shared" si="1606"/>
        <v>0.85</v>
      </c>
      <c r="DT398" s="4">
        <f t="shared" si="1607"/>
        <v>0.85100000000000009</v>
      </c>
      <c r="DU398" s="4">
        <f t="shared" si="1608"/>
        <v>0.85899999999999999</v>
      </c>
      <c r="DV398" s="4">
        <f t="shared" si="1450"/>
        <v>0.73100900000000002</v>
      </c>
      <c r="DX398" s="4">
        <f t="shared" si="1609"/>
        <v>813.84021884420258</v>
      </c>
      <c r="DY398" s="25">
        <f t="shared" si="1502"/>
        <v>465.41255101025371</v>
      </c>
      <c r="EA398" s="4">
        <f t="shared" si="1503"/>
        <v>0.62135764999999998</v>
      </c>
      <c r="EB398" s="4">
        <f t="shared" si="1610"/>
        <v>14.094970381632237</v>
      </c>
      <c r="EE398" s="4">
        <f t="shared" si="1611"/>
        <v>35.497579142809165</v>
      </c>
      <c r="EF398" s="4">
        <f t="shared" si="1451"/>
        <v>2.2360679774997898</v>
      </c>
      <c r="EG398" s="4">
        <f t="shared" si="1612"/>
        <v>0.10200581130786993</v>
      </c>
      <c r="EJ398" s="4">
        <f t="shared" si="1452"/>
        <v>0.10200581130786993</v>
      </c>
      <c r="EK398" s="4">
        <f t="shared" si="1613"/>
        <v>0.21353080233869065</v>
      </c>
      <c r="EL398" s="4">
        <f t="shared" si="1453"/>
        <v>7.6006088037226558</v>
      </c>
      <c r="EM398" s="4">
        <f t="shared" si="1454"/>
        <v>11.327304292034674</v>
      </c>
      <c r="EN398" s="4" t="e">
        <f t="shared" si="1455"/>
        <v>#REF!</v>
      </c>
      <c r="EO398" s="4" t="e">
        <f t="shared" si="1456"/>
        <v>#REF!</v>
      </c>
      <c r="EP398" s="4" t="e">
        <f t="shared" si="1614"/>
        <v>#REF!</v>
      </c>
      <c r="EQ398" s="4" t="e">
        <f t="shared" si="1457"/>
        <v>#REF!</v>
      </c>
      <c r="ER398" s="4" t="e">
        <f t="shared" si="1615"/>
        <v>#REF!</v>
      </c>
      <c r="FA398" s="23" t="e">
        <f t="shared" si="1772"/>
        <v>#REF!</v>
      </c>
      <c r="FB398" s="23" t="e">
        <f t="shared" si="1773"/>
        <v>#REF!</v>
      </c>
      <c r="FC398" s="23">
        <f t="shared" si="1706"/>
        <v>1.6</v>
      </c>
      <c r="FD398" s="23" t="e">
        <f t="shared" si="1774"/>
        <v>#REF!</v>
      </c>
      <c r="FE398" s="23">
        <f t="shared" si="1775"/>
        <v>1</v>
      </c>
      <c r="FF398" s="23">
        <f t="shared" si="1776"/>
        <v>1</v>
      </c>
      <c r="FG398" s="23">
        <f t="shared" si="1629"/>
        <v>0</v>
      </c>
      <c r="FH398" s="23"/>
      <c r="FR398" s="4">
        <f t="shared" si="1485"/>
        <v>1</v>
      </c>
      <c r="FS398" s="4">
        <f t="shared" si="1486"/>
        <v>0.55723447154022165</v>
      </c>
      <c r="FT398" s="4">
        <f t="shared" si="1487"/>
        <v>0.3</v>
      </c>
      <c r="FU398" s="4">
        <f t="shared" si="1488"/>
        <v>550.82527805848997</v>
      </c>
    </row>
    <row r="399" spans="2:177" ht="12" customHeight="1" x14ac:dyDescent="0.3">
      <c r="B399" s="14"/>
      <c r="C399" s="7" t="s">
        <v>543</v>
      </c>
      <c r="D399" s="38">
        <f t="shared" si="1724"/>
        <v>958.62068965517244</v>
      </c>
      <c r="E399" s="38">
        <f>5.02*25.4</f>
        <v>127.50799999999998</v>
      </c>
      <c r="F399" s="38">
        <f t="shared" si="1762"/>
        <v>76.068965517241381</v>
      </c>
      <c r="G399" s="38">
        <f t="shared" si="1726"/>
        <v>15.875</v>
      </c>
      <c r="H399" s="38">
        <f>12.9*25.4</f>
        <v>327.65999999999997</v>
      </c>
      <c r="I399" s="38">
        <f t="shared" si="1784"/>
        <v>63.5</v>
      </c>
      <c r="J399" s="39">
        <f>4.1*25.4</f>
        <v>104.13999999999999</v>
      </c>
      <c r="K399" s="7">
        <f t="shared" si="1727"/>
        <v>76.517499999999984</v>
      </c>
      <c r="L399" s="38">
        <v>3</v>
      </c>
      <c r="M399" s="4">
        <f t="shared" si="1747"/>
        <v>133.35</v>
      </c>
      <c r="N399" s="7">
        <f t="shared" si="1569"/>
        <v>2.9099999999999997</v>
      </c>
      <c r="O399" s="7">
        <f t="shared" si="1570"/>
        <v>4.5</v>
      </c>
      <c r="P399" s="38">
        <v>4</v>
      </c>
      <c r="Q399" s="4">
        <f t="shared" si="1736"/>
        <v>4</v>
      </c>
      <c r="R399" s="4">
        <f t="shared" si="1571"/>
        <v>5</v>
      </c>
      <c r="S399" s="7">
        <f t="shared" si="1572"/>
        <v>35.497579142809165</v>
      </c>
      <c r="V399" s="38">
        <f t="shared" si="1777"/>
        <v>859.31034482758628</v>
      </c>
      <c r="W399" s="4">
        <v>124.6</v>
      </c>
      <c r="X399" s="4">
        <f t="shared" si="1573"/>
        <v>1.0458763223941501</v>
      </c>
      <c r="Y399" s="38">
        <f t="shared" si="1785"/>
        <v>9.5249999999999986</v>
      </c>
      <c r="Z399" s="38">
        <v>10</v>
      </c>
      <c r="AA399" s="39">
        <f>1.75*25.4</f>
        <v>44.449999999999996</v>
      </c>
      <c r="AB399" s="39">
        <v>3</v>
      </c>
      <c r="AC399" s="39">
        <f t="shared" si="1786"/>
        <v>2</v>
      </c>
      <c r="AD399" s="7"/>
      <c r="AE399" s="4">
        <f t="shared" si="1576"/>
        <v>127.50799999999998</v>
      </c>
      <c r="AF399" s="4">
        <f t="shared" si="1577"/>
        <v>0.856573705179283</v>
      </c>
      <c r="AG399" s="4">
        <f t="shared" si="1578"/>
        <v>211.48097390514772</v>
      </c>
      <c r="AH399" s="4">
        <f t="shared" si="1579"/>
        <v>0.81205179282868523</v>
      </c>
      <c r="AI399" s="4">
        <v>1.25</v>
      </c>
      <c r="AJ399" s="4">
        <f t="shared" si="1513"/>
        <v>2.5</v>
      </c>
      <c r="AK399" s="38">
        <f t="shared" si="1729"/>
        <v>459.69501197583168</v>
      </c>
      <c r="AL399" s="38">
        <f t="shared" si="1616"/>
        <v>459.69501197583168</v>
      </c>
      <c r="AM399" s="38">
        <f t="shared" si="1580"/>
        <v>4.7518593634836064</v>
      </c>
      <c r="AN399" s="38">
        <f t="shared" si="1521"/>
        <v>459.69501197583151</v>
      </c>
      <c r="AO399" s="38">
        <f t="shared" si="1484"/>
        <v>1.0000000000000004</v>
      </c>
      <c r="AP399" s="38">
        <f t="shared" si="1522"/>
        <v>2.3471262006064104</v>
      </c>
      <c r="AQ399" s="4">
        <f t="shared" si="1523"/>
        <v>0</v>
      </c>
      <c r="AR399" s="4" t="e">
        <f>#REF!/G399*F399^0.5/0.19</f>
        <v>#REF!</v>
      </c>
      <c r="AS399" s="4">
        <f t="shared" si="1581"/>
        <v>1.2185567010309279</v>
      </c>
      <c r="AT399" s="38">
        <f t="shared" si="1582"/>
        <v>1078.9622068965518</v>
      </c>
      <c r="AU399" s="4">
        <f t="shared" si="1583"/>
        <v>0.44000000000000006</v>
      </c>
      <c r="AV399" s="4" t="e">
        <f>AU399*D399*#REF!/(D399*G399/2.75/F399^0.5)</f>
        <v>#REF!</v>
      </c>
      <c r="AW399" s="4" t="e">
        <f t="shared" ref="AW399:AW453" si="1793">AT399+AV399</f>
        <v>#REF!</v>
      </c>
      <c r="AY399" s="4">
        <f t="shared" si="1584"/>
        <v>1.5</v>
      </c>
      <c r="AZ399" s="4" t="e">
        <f>(3*#REF!+30)*AY399*F399^0.5</f>
        <v>#REF!</v>
      </c>
      <c r="BB399" s="4">
        <f t="shared" si="1585"/>
        <v>1034.856704893647</v>
      </c>
      <c r="BC399" s="4">
        <f t="shared" si="1662"/>
        <v>0</v>
      </c>
      <c r="BD399" s="4">
        <f t="shared" ref="BD399:BD453" si="1794">BC399/BB399</f>
        <v>0</v>
      </c>
      <c r="BL399" s="4">
        <f t="shared" si="1586"/>
        <v>38.258749999999992</v>
      </c>
      <c r="BP399" s="9"/>
      <c r="BR399" s="9"/>
      <c r="BS399" s="9"/>
      <c r="BT399" s="9">
        <f t="shared" si="1587"/>
        <v>38.258749999999992</v>
      </c>
      <c r="BU399" s="9">
        <f t="shared" si="1588"/>
        <v>63.5</v>
      </c>
      <c r="BV399" s="9">
        <f t="shared" si="1589"/>
        <v>1.6750005871158282</v>
      </c>
      <c r="BW399" s="40">
        <f t="shared" si="1738"/>
        <v>20</v>
      </c>
      <c r="BX399" s="9">
        <f t="shared" si="1590"/>
        <v>0.05</v>
      </c>
      <c r="BY399" s="9">
        <f t="shared" ref="BY399:BY453" si="1795">MAX(0,BW399*(BX399-0.5/50))</f>
        <v>0.8</v>
      </c>
      <c r="BZ399" s="9">
        <f t="shared" si="1591"/>
        <v>1</v>
      </c>
      <c r="CA399" s="9">
        <f t="shared" si="1592"/>
        <v>0.68</v>
      </c>
      <c r="CB399" s="9">
        <f t="shared" si="1593"/>
        <v>2.0757770792545673</v>
      </c>
      <c r="CC399" s="9">
        <f t="shared" si="1594"/>
        <v>5.1375494898766334</v>
      </c>
      <c r="CD399" s="40">
        <v>1</v>
      </c>
      <c r="CE399" s="9" t="e">
        <f>4*CC399*#REF!+60*CC399</f>
        <v>#REF!</v>
      </c>
      <c r="CG399" s="4" t="e">
        <f t="shared" ref="CG399:CG453" si="1796">V399/AR399</f>
        <v>#REF!</v>
      </c>
      <c r="CH399" s="4" t="e">
        <f t="shared" ref="CH399:CH453" si="1797">V399/AW399</f>
        <v>#REF!</v>
      </c>
      <c r="CI399" s="4" t="e">
        <f t="shared" ref="CI399:CI453" si="1798">V399/AZ399</f>
        <v>#REF!</v>
      </c>
      <c r="CJ399" s="4" t="e">
        <f t="shared" ref="CJ399:CJ453" si="1799">V399/CE399</f>
        <v>#REF!</v>
      </c>
      <c r="CK399" s="4">
        <f t="shared" ref="CK399:CK453" si="1800">V399/DL399</f>
        <v>1.0458763223941501</v>
      </c>
      <c r="CL399" s="4">
        <f t="shared" ref="CL399:CL453" si="1801">V399/DX399</f>
        <v>1.0627262740118579</v>
      </c>
      <c r="CM399" s="4">
        <f t="shared" si="1699"/>
        <v>1.6217447857525504</v>
      </c>
      <c r="CN399" s="4">
        <f t="shared" si="1739"/>
        <v>10</v>
      </c>
      <c r="CU399" s="4" t="e">
        <f t="shared" si="1787"/>
        <v>#REF!</v>
      </c>
      <c r="CV399" s="4" t="e">
        <f t="shared" si="1788"/>
        <v>#REF!</v>
      </c>
      <c r="CW399" s="4" t="e">
        <f t="shared" si="1789"/>
        <v>#REF!</v>
      </c>
      <c r="CX399" s="4">
        <f t="shared" si="1790"/>
        <v>1.6217447857525504</v>
      </c>
      <c r="CY399" s="4">
        <f t="shared" si="1791"/>
        <v>1.0458763223941501</v>
      </c>
      <c r="CZ399" s="4">
        <f t="shared" si="1792"/>
        <v>1.0627262740118579</v>
      </c>
      <c r="DC399" s="4" t="e">
        <f>#REF!</f>
        <v>#REF!</v>
      </c>
      <c r="DF399" s="4">
        <f t="shared" si="1601"/>
        <v>1.9223039030668795E-5</v>
      </c>
      <c r="DG399" s="4">
        <f t="shared" ref="DG399:DG453" si="1802">EB399</f>
        <v>14.719357433866572</v>
      </c>
      <c r="DH399" s="4">
        <f t="shared" si="1602"/>
        <v>0.20867378938490794</v>
      </c>
      <c r="DI399" s="4">
        <f t="shared" ref="DI399:DI453" si="1803">DG399*DH399^0.4</f>
        <v>7.8645886568405601</v>
      </c>
      <c r="DJ399" s="4">
        <f t="shared" ref="DJ399:DJ453" si="1804">MIN(DG399, DG399/1.4*(1-DH399^1.4)/(1-DH399))</f>
        <v>11.804978006229822</v>
      </c>
      <c r="DK399" s="4">
        <f t="shared" si="1603"/>
        <v>14.033080781393064</v>
      </c>
      <c r="DL399" s="38">
        <f t="shared" si="1604"/>
        <v>821.61755307789213</v>
      </c>
      <c r="DM399" s="4" t="e">
        <f t="shared" ref="DM399:DM453" si="1805">DL399/ER399</f>
        <v>#REF!</v>
      </c>
      <c r="DN399" s="4">
        <f t="shared" si="1605"/>
        <v>2.2360679774997898</v>
      </c>
      <c r="DO399" s="4">
        <f t="shared" si="1697"/>
        <v>459.69501197583151</v>
      </c>
      <c r="DS399" s="4">
        <f t="shared" si="1606"/>
        <v>0.85</v>
      </c>
      <c r="DT399" s="4">
        <f t="shared" si="1607"/>
        <v>0.8590000000000001</v>
      </c>
      <c r="DU399" s="4">
        <f t="shared" si="1608"/>
        <v>0.7</v>
      </c>
      <c r="DV399" s="4">
        <f t="shared" ref="DV399:DV453" si="1806">IF(DT399*DU399&lt;0.7,0.7,DT399*DU399)</f>
        <v>0.7</v>
      </c>
      <c r="DX399" s="4">
        <f t="shared" si="1609"/>
        <v>808.59047700367478</v>
      </c>
      <c r="DY399" s="25">
        <f t="shared" si="1502"/>
        <v>453.912840277226</v>
      </c>
      <c r="EA399" s="4">
        <f t="shared" si="1503"/>
        <v>0.59499999999999997</v>
      </c>
      <c r="EB399" s="4">
        <f t="shared" si="1610"/>
        <v>14.719357433866572</v>
      </c>
      <c r="EE399" s="4">
        <f t="shared" si="1611"/>
        <v>35.497579142809165</v>
      </c>
      <c r="EF399" s="4">
        <f t="shared" ref="EF399:EF453" si="1807">R399^0.5</f>
        <v>2.2360679774997898</v>
      </c>
      <c r="EG399" s="4">
        <f t="shared" si="1612"/>
        <v>9.951921074997444E-2</v>
      </c>
      <c r="EJ399" s="4">
        <f t="shared" ref="EJ399:EJ453" si="1808">EG399</f>
        <v>9.951921074997444E-2</v>
      </c>
      <c r="EK399" s="4">
        <f t="shared" si="1613"/>
        <v>0.20832555172193198</v>
      </c>
      <c r="EL399" s="4">
        <f t="shared" ref="EL399:EL453" si="1809">EB399/1*EK399^0.4</f>
        <v>7.8593362131275946</v>
      </c>
      <c r="EM399" s="4">
        <f t="shared" ref="EM399:EM453" si="1810">EB399/1.4*(1-EK399^1.4)/(1-EK399)</f>
        <v>11.803243573120547</v>
      </c>
      <c r="EN399" s="4" t="e">
        <f t="shared" ref="EN399:EN453" si="1811">MAX(0,DC399*EN$9-EE399)</f>
        <v>#REF!</v>
      </c>
      <c r="EO399" s="4" t="e">
        <f t="shared" ref="EO399:EO453" si="1812">MAX(0,DC399-EE399-EN399)</f>
        <v>#REF!</v>
      </c>
      <c r="EP399" s="4" t="e">
        <f t="shared" si="1614"/>
        <v>#REF!</v>
      </c>
      <c r="EQ399" s="4" t="e">
        <f t="shared" ref="EQ399:EQ453" si="1813">MAX(0.5*EB399, (1-2*EP399*(EE399*EL399+EN399*EM399))/(1/EB399+EP399*EO399))</f>
        <v>#REF!</v>
      </c>
      <c r="ER399" s="4" t="e">
        <f t="shared" si="1615"/>
        <v>#REF!</v>
      </c>
      <c r="FA399" s="23" t="e">
        <f t="shared" si="1772"/>
        <v>#REF!</v>
      </c>
      <c r="FB399" s="23" t="e">
        <f t="shared" si="1773"/>
        <v>#REF!</v>
      </c>
      <c r="FC399" s="23">
        <f t="shared" si="1706"/>
        <v>1.8</v>
      </c>
      <c r="FD399" s="23" t="e">
        <f t="shared" si="1774"/>
        <v>#REF!</v>
      </c>
      <c r="FE399" s="23">
        <f t="shared" si="1775"/>
        <v>1.2</v>
      </c>
      <c r="FF399" s="23">
        <f t="shared" si="1776"/>
        <v>1.2</v>
      </c>
      <c r="FG399" s="23">
        <f t="shared" si="1629"/>
        <v>0</v>
      </c>
      <c r="FH399" s="23"/>
      <c r="FR399" s="4">
        <f t="shared" si="1485"/>
        <v>1</v>
      </c>
      <c r="FS399" s="4">
        <f t="shared" si="1486"/>
        <v>0.56465190210980853</v>
      </c>
      <c r="FT399" s="4">
        <f t="shared" si="1487"/>
        <v>0.3</v>
      </c>
      <c r="FU399" s="4">
        <f t="shared" si="1488"/>
        <v>529.86780187416116</v>
      </c>
    </row>
    <row r="400" spans="2:177" ht="12" customHeight="1" x14ac:dyDescent="0.3">
      <c r="B400" s="14"/>
      <c r="C400" s="7" t="s">
        <v>544</v>
      </c>
      <c r="D400" s="38">
        <f t="shared" si="1724"/>
        <v>958.62068965517244</v>
      </c>
      <c r="E400" s="38">
        <f>5.19*25.4</f>
        <v>131.82599999999999</v>
      </c>
      <c r="F400" s="38">
        <f t="shared" si="1762"/>
        <v>76.068965517241381</v>
      </c>
      <c r="G400" s="38">
        <f t="shared" si="1726"/>
        <v>15.875</v>
      </c>
      <c r="H400" s="38">
        <f>12.8*25.4</f>
        <v>325.12</v>
      </c>
      <c r="I400" s="38">
        <f t="shared" si="1784"/>
        <v>63.5</v>
      </c>
      <c r="J400" s="39">
        <f>3.9*25.4</f>
        <v>99.059999999999988</v>
      </c>
      <c r="K400" s="7">
        <f t="shared" si="1727"/>
        <v>44.873333333333335</v>
      </c>
      <c r="L400" s="38">
        <v>4</v>
      </c>
      <c r="M400" s="4">
        <f t="shared" si="1747"/>
        <v>133.35</v>
      </c>
      <c r="N400" s="7">
        <f t="shared" si="1569"/>
        <v>1.9133333333333333</v>
      </c>
      <c r="O400" s="7">
        <f t="shared" si="1570"/>
        <v>4.5</v>
      </c>
      <c r="P400" s="38">
        <v>4</v>
      </c>
      <c r="Q400" s="4">
        <f t="shared" si="1736"/>
        <v>4</v>
      </c>
      <c r="R400" s="4">
        <f t="shared" si="1571"/>
        <v>5</v>
      </c>
      <c r="S400" s="7">
        <f t="shared" si="1572"/>
        <v>35.497579142809165</v>
      </c>
      <c r="V400" s="38">
        <f t="shared" si="1777"/>
        <v>570.34482758620697</v>
      </c>
      <c r="W400" s="4">
        <v>82.7</v>
      </c>
      <c r="X400" s="4">
        <f t="shared" si="1573"/>
        <v>0.93075915185163327</v>
      </c>
      <c r="Y400" s="38"/>
      <c r="Z400" s="38"/>
      <c r="AA400" s="39">
        <v>1</v>
      </c>
      <c r="AB400" s="39"/>
      <c r="AC400" s="39"/>
      <c r="AD400" s="7"/>
      <c r="AE400" s="4">
        <f t="shared" si="1576"/>
        <v>131.82599999999999</v>
      </c>
      <c r="AF400" s="4">
        <f t="shared" si="1577"/>
        <v>0.82209377007064866</v>
      </c>
      <c r="AG400" s="4">
        <f t="shared" si="1578"/>
        <v>166.73548079390528</v>
      </c>
      <c r="AH400" s="4">
        <f t="shared" si="1579"/>
        <v>0.80838150289017341</v>
      </c>
      <c r="AI400" s="4">
        <v>1.25</v>
      </c>
      <c r="AJ400" s="4">
        <f t="shared" si="1513"/>
        <v>2.5</v>
      </c>
      <c r="AK400" s="38">
        <f t="shared" si="1729"/>
        <v>346.27072202772723</v>
      </c>
      <c r="AL400" s="38">
        <f t="shared" si="1616"/>
        <v>346.27072202772723</v>
      </c>
      <c r="AM400" s="38">
        <f t="shared" si="1580"/>
        <v>4.7518593634836064</v>
      </c>
      <c r="AN400" s="38">
        <f t="shared" si="1521"/>
        <v>346.27072202772706</v>
      </c>
      <c r="AO400" s="38">
        <f t="shared" si="1484"/>
        <v>1.0000000000000004</v>
      </c>
      <c r="AP400" s="38">
        <f t="shared" si="1522"/>
        <v>2.5904738238524363</v>
      </c>
      <c r="AQ400" s="4">
        <f t="shared" si="1523"/>
        <v>0</v>
      </c>
      <c r="AR400" s="4" t="e">
        <f>#REF!/G400*F400^0.5/0.19</f>
        <v>#REF!</v>
      </c>
      <c r="AS400" s="4">
        <f t="shared" si="1581"/>
        <v>1.540766550522648</v>
      </c>
      <c r="AT400" s="38">
        <f t="shared" si="1582"/>
        <v>897.00524137931018</v>
      </c>
      <c r="AU400" s="4">
        <f t="shared" si="1583"/>
        <v>0.44000000000000006</v>
      </c>
      <c r="AV400" s="4" t="e">
        <f>AU400*D400*#REF!/(D400*G400/2.75/F400^0.5)</f>
        <v>#REF!</v>
      </c>
      <c r="AW400" s="4" t="e">
        <f t="shared" si="1793"/>
        <v>#REF!</v>
      </c>
      <c r="AY400" s="4">
        <f t="shared" si="1584"/>
        <v>1.5</v>
      </c>
      <c r="AZ400" s="4" t="e">
        <f>(3*#REF!+30)*AY400*F400^0.5</f>
        <v>#REF!</v>
      </c>
      <c r="BB400" s="4">
        <f t="shared" si="1585"/>
        <v>860.3377230757111</v>
      </c>
      <c r="BC400" s="4">
        <f t="shared" si="1662"/>
        <v>0</v>
      </c>
      <c r="BD400" s="4">
        <f t="shared" si="1794"/>
        <v>0</v>
      </c>
      <c r="BL400" s="4">
        <f t="shared" si="1586"/>
        <v>22.436666666666667</v>
      </c>
      <c r="BP400" s="9"/>
      <c r="BR400" s="9"/>
      <c r="BS400" s="9"/>
      <c r="BT400" s="9">
        <f t="shared" si="1587"/>
        <v>22.436666666666667</v>
      </c>
      <c r="BU400" s="9">
        <f t="shared" si="1588"/>
        <v>63.5</v>
      </c>
      <c r="BV400" s="9">
        <f t="shared" si="1589"/>
        <v>1.3896153710408319</v>
      </c>
      <c r="BW400" s="40">
        <f t="shared" si="1738"/>
        <v>0</v>
      </c>
      <c r="BX400" s="9">
        <f t="shared" si="1590"/>
        <v>0</v>
      </c>
      <c r="BY400" s="9">
        <f t="shared" si="1795"/>
        <v>0</v>
      </c>
      <c r="BZ400" s="9">
        <f t="shared" si="1591"/>
        <v>1</v>
      </c>
      <c r="CA400" s="9">
        <f t="shared" si="1592"/>
        <v>0.68</v>
      </c>
      <c r="CB400" s="9">
        <f t="shared" si="1593"/>
        <v>2.0757770792545673</v>
      </c>
      <c r="CC400" s="9">
        <f t="shared" si="1594"/>
        <v>2.88453173618639</v>
      </c>
      <c r="CD400" s="40">
        <v>1</v>
      </c>
      <c r="CE400" s="9" t="e">
        <f>4*CC400*#REF!+60*CC400</f>
        <v>#REF!</v>
      </c>
      <c r="CG400" s="4" t="e">
        <f t="shared" si="1796"/>
        <v>#REF!</v>
      </c>
      <c r="CH400" s="4" t="e">
        <f t="shared" si="1797"/>
        <v>#REF!</v>
      </c>
      <c r="CI400" s="4" t="e">
        <f t="shared" si="1798"/>
        <v>#REF!</v>
      </c>
      <c r="CJ400" s="4" t="e">
        <f t="shared" si="1799"/>
        <v>#REF!</v>
      </c>
      <c r="CK400" s="4">
        <f t="shared" si="1800"/>
        <v>0.93075915185163327</v>
      </c>
      <c r="CL400" s="4">
        <f t="shared" si="1801"/>
        <v>0.93527480684988118</v>
      </c>
      <c r="CM400" s="4">
        <f t="shared" si="1699"/>
        <v>1.5631748888459425</v>
      </c>
      <c r="CN400" s="4">
        <f t="shared" si="1739"/>
        <v>0</v>
      </c>
      <c r="CO400" s="4" t="e">
        <f t="shared" ref="CO400" si="1814">CG400</f>
        <v>#REF!</v>
      </c>
      <c r="CP400" s="4" t="e">
        <f t="shared" ref="CP400" si="1815">CH400</f>
        <v>#REF!</v>
      </c>
      <c r="CQ400" s="4" t="e">
        <f t="shared" ref="CQ400" si="1816">CJ400</f>
        <v>#REF!</v>
      </c>
      <c r="CR400" s="4">
        <f t="shared" ref="CR400" si="1817">CM400</f>
        <v>1.5631748888459425</v>
      </c>
      <c r="CS400" s="4">
        <f t="shared" ref="CS400" si="1818">CK400</f>
        <v>0.93075915185163327</v>
      </c>
      <c r="CT400" s="4">
        <f t="shared" ref="CT400" si="1819">CL400</f>
        <v>0.93527480684988118</v>
      </c>
      <c r="DC400" s="4" t="e">
        <f>#REF!</f>
        <v>#REF!</v>
      </c>
      <c r="DF400" s="4">
        <f t="shared" si="1601"/>
        <v>1.987401844007391E-5</v>
      </c>
      <c r="DG400" s="4">
        <f t="shared" si="1802"/>
        <v>10.747792284812169</v>
      </c>
      <c r="DH400" s="4">
        <f t="shared" si="1602"/>
        <v>0.15718600775762356</v>
      </c>
      <c r="DI400" s="4">
        <f t="shared" si="1803"/>
        <v>5.1272538285529041</v>
      </c>
      <c r="DJ400" s="4">
        <f t="shared" si="1804"/>
        <v>8.4257362124731756</v>
      </c>
      <c r="DK400" s="4">
        <f t="shared" si="1603"/>
        <v>10.368938630659107</v>
      </c>
      <c r="DL400" s="38">
        <f t="shared" si="1604"/>
        <v>612.77380560972688</v>
      </c>
      <c r="DM400" s="4" t="e">
        <f t="shared" si="1805"/>
        <v>#REF!</v>
      </c>
      <c r="DN400" s="4">
        <f t="shared" si="1605"/>
        <v>2.2360679774997898</v>
      </c>
      <c r="DO400" s="4">
        <f t="shared" si="1697"/>
        <v>346.27072202772706</v>
      </c>
      <c r="DS400" s="4">
        <f t="shared" si="1606"/>
        <v>0.85</v>
      </c>
      <c r="DT400" s="4">
        <f t="shared" si="1607"/>
        <v>0.95866666666666667</v>
      </c>
      <c r="DU400" s="4">
        <f t="shared" si="1608"/>
        <v>1</v>
      </c>
      <c r="DV400" s="4">
        <f t="shared" si="1806"/>
        <v>0.95866666666666667</v>
      </c>
      <c r="DX400" s="4">
        <f t="shared" si="1609"/>
        <v>609.8152365583303</v>
      </c>
      <c r="DY400" s="25">
        <f t="shared" si="1502"/>
        <v>342.0662351590895</v>
      </c>
      <c r="EA400" s="4">
        <f t="shared" si="1503"/>
        <v>0.81486666666666663</v>
      </c>
      <c r="EB400" s="4">
        <f t="shared" si="1610"/>
        <v>10.747792284812169</v>
      </c>
      <c r="EE400" s="4">
        <f t="shared" si="1611"/>
        <v>35.497579142809165</v>
      </c>
      <c r="EF400" s="4">
        <f t="shared" si="1807"/>
        <v>2.2360679774997898</v>
      </c>
      <c r="EG400" s="4">
        <f t="shared" si="1612"/>
        <v>7.4964026287574675E-2</v>
      </c>
      <c r="EJ400" s="4">
        <f t="shared" si="1808"/>
        <v>7.4964026287574675E-2</v>
      </c>
      <c r="EK400" s="4">
        <f t="shared" si="1613"/>
        <v>0.15692369360616554</v>
      </c>
      <c r="EL400" s="4">
        <f t="shared" si="1809"/>
        <v>5.12382954111568</v>
      </c>
      <c r="EM400" s="4">
        <f t="shared" si="1810"/>
        <v>8.4247093924266547</v>
      </c>
      <c r="EN400" s="4" t="e">
        <f t="shared" si="1811"/>
        <v>#REF!</v>
      </c>
      <c r="EO400" s="4" t="e">
        <f t="shared" si="1812"/>
        <v>#REF!</v>
      </c>
      <c r="EP400" s="4" t="e">
        <f t="shared" si="1614"/>
        <v>#REF!</v>
      </c>
      <c r="EQ400" s="4" t="e">
        <f t="shared" si="1813"/>
        <v>#REF!</v>
      </c>
      <c r="ER400" s="4" t="e">
        <f t="shared" si="1615"/>
        <v>#REF!</v>
      </c>
      <c r="FA400" s="23" t="e">
        <f t="shared" si="1772"/>
        <v>#REF!</v>
      </c>
      <c r="FB400" s="23" t="e">
        <f t="shared" si="1773"/>
        <v>#REF!</v>
      </c>
      <c r="FC400" s="23">
        <f t="shared" si="1706"/>
        <v>1.6</v>
      </c>
      <c r="FD400" s="23" t="e">
        <f t="shared" si="1774"/>
        <v>#REF!</v>
      </c>
      <c r="FE400" s="23">
        <f t="shared" si="1775"/>
        <v>1</v>
      </c>
      <c r="FF400" s="23">
        <f t="shared" si="1776"/>
        <v>1</v>
      </c>
      <c r="FG400" s="23">
        <f t="shared" si="1629"/>
        <v>0</v>
      </c>
      <c r="FH400" s="23"/>
      <c r="FR400" s="4">
        <f t="shared" si="1485"/>
        <v>1</v>
      </c>
      <c r="FS400" s="4">
        <f t="shared" si="1486"/>
        <v>0.84777777777777774</v>
      </c>
      <c r="FT400" s="4">
        <f t="shared" si="1487"/>
        <v>0</v>
      </c>
      <c r="FU400" s="4">
        <f t="shared" si="1488"/>
        <v>364.86309475408729</v>
      </c>
    </row>
    <row r="401" spans="2:177" ht="12" customHeight="1" x14ac:dyDescent="0.3">
      <c r="B401" s="14"/>
      <c r="C401" s="7" t="s">
        <v>545</v>
      </c>
      <c r="D401" s="38">
        <f t="shared" si="1724"/>
        <v>958.62068965517244</v>
      </c>
      <c r="E401" s="38">
        <f>5.03*25.4</f>
        <v>127.762</v>
      </c>
      <c r="F401" s="38">
        <f t="shared" si="1762"/>
        <v>76.068965517241381</v>
      </c>
      <c r="G401" s="38">
        <f t="shared" si="1726"/>
        <v>15.875</v>
      </c>
      <c r="H401" s="38">
        <f>13*25.4</f>
        <v>330.2</v>
      </c>
      <c r="I401" s="38">
        <f t="shared" si="1784"/>
        <v>63.5</v>
      </c>
      <c r="J401" s="39">
        <f>4*25.4</f>
        <v>101.6</v>
      </c>
      <c r="K401" s="7">
        <f t="shared" si="1727"/>
        <v>46.566666666666663</v>
      </c>
      <c r="L401" s="38">
        <v>4</v>
      </c>
      <c r="M401" s="4">
        <f t="shared" si="1747"/>
        <v>133.35</v>
      </c>
      <c r="N401" s="7">
        <f t="shared" si="1569"/>
        <v>1.9666666666666666</v>
      </c>
      <c r="O401" s="7">
        <f t="shared" si="1570"/>
        <v>4.5</v>
      </c>
      <c r="P401" s="38">
        <v>4</v>
      </c>
      <c r="Q401" s="4">
        <f t="shared" si="1736"/>
        <v>4</v>
      </c>
      <c r="R401" s="4">
        <f t="shared" si="1571"/>
        <v>5</v>
      </c>
      <c r="S401" s="7">
        <f t="shared" si="1572"/>
        <v>35.497579142809165</v>
      </c>
      <c r="V401" s="38">
        <f t="shared" si="1777"/>
        <v>687.58620689655174</v>
      </c>
      <c r="W401" s="4">
        <v>99.7</v>
      </c>
      <c r="X401" s="4">
        <f t="shared" si="1573"/>
        <v>1.0597976267559761</v>
      </c>
      <c r="Y401" s="38">
        <f t="shared" ref="Y401:Y402" si="1820">0.375*25.4</f>
        <v>9.5249999999999986</v>
      </c>
      <c r="Z401" s="38">
        <v>4</v>
      </c>
      <c r="AA401" s="39">
        <f>3.5*25.4</f>
        <v>88.899999999999991</v>
      </c>
      <c r="AB401" s="39">
        <v>2</v>
      </c>
      <c r="AC401" s="39">
        <f t="shared" ref="AC401:AC402" si="1821">AB401-1</f>
        <v>1</v>
      </c>
      <c r="AD401" s="7"/>
      <c r="AE401" s="4">
        <f t="shared" si="1576"/>
        <v>127.762</v>
      </c>
      <c r="AF401" s="4">
        <f t="shared" si="1577"/>
        <v>0.86149768058316756</v>
      </c>
      <c r="AG401" s="4">
        <f t="shared" si="1578"/>
        <v>159.0849028201888</v>
      </c>
      <c r="AH401" s="4">
        <f t="shared" si="1579"/>
        <v>0.81182902584493033</v>
      </c>
      <c r="AI401" s="4">
        <v>1.25</v>
      </c>
      <c r="AJ401" s="4">
        <f t="shared" si="1513"/>
        <v>2.5</v>
      </c>
      <c r="AK401" s="38">
        <f t="shared" si="1729"/>
        <v>347.69438408733856</v>
      </c>
      <c r="AL401" s="38">
        <f t="shared" si="1616"/>
        <v>347.69438408733856</v>
      </c>
      <c r="AM401" s="38">
        <f t="shared" si="1580"/>
        <v>4.7518593634836064</v>
      </c>
      <c r="AN401" s="38">
        <f t="shared" si="1521"/>
        <v>347.69438408733862</v>
      </c>
      <c r="AO401" s="38">
        <f t="shared" si="1484"/>
        <v>0.99999999999999989</v>
      </c>
      <c r="AP401" s="38">
        <f t="shared" si="1522"/>
        <v>2.6078709075086741</v>
      </c>
      <c r="AQ401" s="4">
        <f t="shared" si="1523"/>
        <v>0</v>
      </c>
      <c r="AR401" s="4" t="e">
        <f>#REF!/G401*F401^0.5/0.19</f>
        <v>#REF!</v>
      </c>
      <c r="AS401" s="4">
        <f t="shared" si="1581"/>
        <v>1.5152542372881357</v>
      </c>
      <c r="AT401" s="38">
        <f t="shared" si="1582"/>
        <v>906.74206896551721</v>
      </c>
      <c r="AU401" s="4">
        <f t="shared" si="1583"/>
        <v>0.44000000000000006</v>
      </c>
      <c r="AV401" s="4" t="e">
        <f>AU401*D401*#REF!/(D401*G401/2.75/F401^0.5)</f>
        <v>#REF!</v>
      </c>
      <c r="AW401" s="4" t="e">
        <f t="shared" si="1793"/>
        <v>#REF!</v>
      </c>
      <c r="AY401" s="4">
        <f t="shared" si="1584"/>
        <v>1.5</v>
      </c>
      <c r="AZ401" s="4" t="e">
        <f>(3*#REF!+30)*AY401*F401^0.5</f>
        <v>#REF!</v>
      </c>
      <c r="BB401" s="4">
        <f t="shared" si="1585"/>
        <v>869.6765314673064</v>
      </c>
      <c r="BC401" s="4">
        <f t="shared" ref="BC401:BC432" si="1822">8/3*T401*U401^2/(S401-G401-22)/G401*(S401^2-G401^2)/(S401^2-(G401+22)^2)</f>
        <v>0</v>
      </c>
      <c r="BD401" s="4">
        <f t="shared" si="1794"/>
        <v>0</v>
      </c>
      <c r="BL401" s="4">
        <f t="shared" si="1586"/>
        <v>23.283333333333331</v>
      </c>
      <c r="BP401" s="9"/>
      <c r="BR401" s="9"/>
      <c r="BS401" s="9"/>
      <c r="BT401" s="9">
        <f t="shared" si="1587"/>
        <v>23.283333333333331</v>
      </c>
      <c r="BU401" s="9">
        <f t="shared" si="1588"/>
        <v>63.5</v>
      </c>
      <c r="BV401" s="9">
        <f t="shared" si="1589"/>
        <v>1.4077482505972425</v>
      </c>
      <c r="BW401" s="40">
        <f t="shared" si="1738"/>
        <v>20</v>
      </c>
      <c r="BX401" s="9">
        <f t="shared" si="1590"/>
        <v>0.05</v>
      </c>
      <c r="BY401" s="9">
        <f t="shared" si="1795"/>
        <v>0.8</v>
      </c>
      <c r="BZ401" s="9">
        <f t="shared" si="1591"/>
        <v>1</v>
      </c>
      <c r="CA401" s="9">
        <f t="shared" si="1592"/>
        <v>0.68</v>
      </c>
      <c r="CB401" s="9">
        <f t="shared" si="1593"/>
        <v>2.0757770792545673</v>
      </c>
      <c r="CC401" s="9">
        <f t="shared" si="1594"/>
        <v>4.5827932153541244</v>
      </c>
      <c r="CD401" s="40">
        <v>1</v>
      </c>
      <c r="CE401" s="9" t="e">
        <f>4*CC401*#REF!+60*CC401</f>
        <v>#REF!</v>
      </c>
      <c r="CG401" s="4" t="e">
        <f t="shared" si="1796"/>
        <v>#REF!</v>
      </c>
      <c r="CH401" s="4" t="e">
        <f t="shared" si="1797"/>
        <v>#REF!</v>
      </c>
      <c r="CI401" s="4" t="e">
        <f t="shared" si="1798"/>
        <v>#REF!</v>
      </c>
      <c r="CJ401" s="4" t="e">
        <f t="shared" si="1799"/>
        <v>#REF!</v>
      </c>
      <c r="CK401" s="4">
        <f t="shared" si="1800"/>
        <v>1.0597976267559761</v>
      </c>
      <c r="CL401" s="4">
        <f t="shared" si="1801"/>
        <v>1.0625500982773062</v>
      </c>
      <c r="CM401" s="4">
        <f t="shared" si="1699"/>
        <v>1.4956819971499853</v>
      </c>
      <c r="CN401" s="4">
        <f t="shared" si="1739"/>
        <v>4</v>
      </c>
      <c r="CU401" s="4" t="e">
        <f t="shared" ref="CU401:CU402" si="1823">CG401</f>
        <v>#REF!</v>
      </c>
      <c r="CV401" s="4" t="e">
        <f t="shared" ref="CV401:CV402" si="1824">CH401</f>
        <v>#REF!</v>
      </c>
      <c r="CW401" s="4" t="e">
        <f t="shared" ref="CW401:CW402" si="1825">CJ401</f>
        <v>#REF!</v>
      </c>
      <c r="CX401" s="4">
        <f t="shared" ref="CX401:CX402" si="1826">CM401</f>
        <v>1.4956819971499853</v>
      </c>
      <c r="CY401" s="4">
        <f t="shared" ref="CY401:CY402" si="1827">CK401</f>
        <v>1.0597976267559761</v>
      </c>
      <c r="CZ401" s="4">
        <f t="shared" ref="CZ401:CZ402" si="1828">CL401</f>
        <v>1.0625500982773062</v>
      </c>
      <c r="DC401" s="4" t="e">
        <f>#REF!</f>
        <v>#REF!</v>
      </c>
      <c r="DF401" s="4">
        <f t="shared" si="1601"/>
        <v>1.9261331937104394E-5</v>
      </c>
      <c r="DG401" s="4">
        <f t="shared" si="1802"/>
        <v>12.581978805701782</v>
      </c>
      <c r="DH401" s="4">
        <f t="shared" si="1602"/>
        <v>0.15783226440397216</v>
      </c>
      <c r="DI401" s="4">
        <f t="shared" si="1803"/>
        <v>6.0121147926331782</v>
      </c>
      <c r="DJ401" s="4">
        <f t="shared" si="1804"/>
        <v>9.8666068378636407</v>
      </c>
      <c r="DK401" s="4">
        <f t="shared" si="1603"/>
        <v>12.096419492605579</v>
      </c>
      <c r="DL401" s="38">
        <f t="shared" si="1604"/>
        <v>648.79009872973802</v>
      </c>
      <c r="DM401" s="4" t="e">
        <f t="shared" si="1805"/>
        <v>#REF!</v>
      </c>
      <c r="DN401" s="4">
        <f t="shared" si="1605"/>
        <v>2.2360679774997898</v>
      </c>
      <c r="DO401" s="4">
        <f t="shared" si="1697"/>
        <v>347.69438408733862</v>
      </c>
      <c r="DS401" s="4">
        <f t="shared" si="1606"/>
        <v>0.85</v>
      </c>
      <c r="DT401" s="4">
        <f t="shared" si="1607"/>
        <v>0.95333333333333337</v>
      </c>
      <c r="DU401" s="4">
        <f t="shared" si="1608"/>
        <v>0.85899999999999999</v>
      </c>
      <c r="DV401" s="4">
        <f t="shared" si="1806"/>
        <v>0.81891333333333338</v>
      </c>
      <c r="DX401" s="4">
        <f t="shared" si="1609"/>
        <v>647.10944736753891</v>
      </c>
      <c r="DY401" s="25">
        <f t="shared" si="1502"/>
        <v>343.33015108267512</v>
      </c>
      <c r="EA401" s="4">
        <f t="shared" si="1503"/>
        <v>0.69607633333333341</v>
      </c>
      <c r="EB401" s="4">
        <f t="shared" si="1610"/>
        <v>12.581978805701782</v>
      </c>
      <c r="EE401" s="4">
        <f t="shared" si="1611"/>
        <v>35.497579142809165</v>
      </c>
      <c r="EF401" s="4">
        <f t="shared" si="1807"/>
        <v>2.2360679774997898</v>
      </c>
      <c r="EG401" s="4">
        <f t="shared" si="1612"/>
        <v>7.5272234383934614E-2</v>
      </c>
      <c r="EJ401" s="4">
        <f t="shared" si="1808"/>
        <v>7.5272234383934614E-2</v>
      </c>
      <c r="EK401" s="4">
        <f t="shared" si="1613"/>
        <v>0.15756887177061726</v>
      </c>
      <c r="EL401" s="4">
        <f t="shared" si="1809"/>
        <v>6.0080995420050707</v>
      </c>
      <c r="EM401" s="4">
        <f t="shared" si="1810"/>
        <v>9.8654010734024293</v>
      </c>
      <c r="EN401" s="4" t="e">
        <f t="shared" si="1811"/>
        <v>#REF!</v>
      </c>
      <c r="EO401" s="4" t="e">
        <f t="shared" si="1812"/>
        <v>#REF!</v>
      </c>
      <c r="EP401" s="4" t="e">
        <f t="shared" si="1614"/>
        <v>#REF!</v>
      </c>
      <c r="EQ401" s="4" t="e">
        <f t="shared" si="1813"/>
        <v>#REF!</v>
      </c>
      <c r="ER401" s="4" t="e">
        <f t="shared" si="1615"/>
        <v>#REF!</v>
      </c>
      <c r="FA401" s="23" t="e">
        <f t="shared" si="1772"/>
        <v>#REF!</v>
      </c>
      <c r="FB401" s="23" t="e">
        <f t="shared" si="1773"/>
        <v>#REF!</v>
      </c>
      <c r="FC401" s="23">
        <f t="shared" si="1706"/>
        <v>1.6</v>
      </c>
      <c r="FD401" s="23" t="e">
        <f t="shared" si="1774"/>
        <v>#REF!</v>
      </c>
      <c r="FE401" s="23">
        <f t="shared" si="1775"/>
        <v>1.2</v>
      </c>
      <c r="FF401" s="23">
        <f t="shared" si="1776"/>
        <v>1.2</v>
      </c>
      <c r="FG401" s="23">
        <f t="shared" si="1629"/>
        <v>0</v>
      </c>
      <c r="FH401" s="23"/>
      <c r="FR401" s="4">
        <f t="shared" si="1485"/>
        <v>1</v>
      </c>
      <c r="FS401" s="4">
        <f t="shared" si="1486"/>
        <v>0.65211577090952166</v>
      </c>
      <c r="FT401" s="4">
        <f t="shared" si="1487"/>
        <v>0.3</v>
      </c>
      <c r="FU401" s="4">
        <f t="shared" si="1488"/>
        <v>459.71416932659741</v>
      </c>
    </row>
    <row r="402" spans="2:177" ht="12" customHeight="1" x14ac:dyDescent="0.3">
      <c r="B402" s="14"/>
      <c r="C402" s="7" t="s">
        <v>546</v>
      </c>
      <c r="D402" s="38">
        <f t="shared" si="1724"/>
        <v>958.62068965517244</v>
      </c>
      <c r="E402" s="38">
        <f>5.19*25.4</f>
        <v>131.82599999999999</v>
      </c>
      <c r="F402" s="38">
        <f t="shared" si="1762"/>
        <v>76.068965517241381</v>
      </c>
      <c r="G402" s="38">
        <f t="shared" si="1726"/>
        <v>15.875</v>
      </c>
      <c r="H402" s="38">
        <f>13.3*25.4</f>
        <v>337.82</v>
      </c>
      <c r="I402" s="38">
        <f t="shared" si="1784"/>
        <v>63.5</v>
      </c>
      <c r="J402" s="39">
        <f>3.8*25.4</f>
        <v>96.52</v>
      </c>
      <c r="K402" s="7">
        <f t="shared" si="1727"/>
        <v>49.106666666666662</v>
      </c>
      <c r="L402" s="38">
        <v>4</v>
      </c>
      <c r="M402" s="4">
        <f t="shared" si="1747"/>
        <v>133.35</v>
      </c>
      <c r="N402" s="7">
        <f t="shared" si="1569"/>
        <v>2.0466666666666664</v>
      </c>
      <c r="O402" s="7">
        <f t="shared" si="1570"/>
        <v>4.5</v>
      </c>
      <c r="P402" s="38">
        <v>4</v>
      </c>
      <c r="Q402" s="4">
        <f t="shared" si="1736"/>
        <v>4</v>
      </c>
      <c r="R402" s="4">
        <f t="shared" si="1571"/>
        <v>5</v>
      </c>
      <c r="S402" s="7">
        <f t="shared" si="1572"/>
        <v>35.497579142809165</v>
      </c>
      <c r="V402" s="38">
        <f t="shared" si="1777"/>
        <v>1070.344827586207</v>
      </c>
      <c r="W402" s="4">
        <v>155.19999999999999</v>
      </c>
      <c r="X402" s="4">
        <f t="shared" si="1573"/>
        <v>1.4770163586145215</v>
      </c>
      <c r="Y402" s="38">
        <f t="shared" si="1820"/>
        <v>9.5249999999999986</v>
      </c>
      <c r="Z402" s="38">
        <v>10</v>
      </c>
      <c r="AA402" s="39">
        <f>1.75*25.4</f>
        <v>44.449999999999996</v>
      </c>
      <c r="AB402" s="39">
        <v>3</v>
      </c>
      <c r="AC402" s="39">
        <f t="shared" si="1821"/>
        <v>2</v>
      </c>
      <c r="AD402" s="7"/>
      <c r="AE402" s="4">
        <f t="shared" si="1576"/>
        <v>131.82599999999999</v>
      </c>
      <c r="AF402" s="4">
        <f t="shared" si="1577"/>
        <v>0.85420680796403337</v>
      </c>
      <c r="AG402" s="4">
        <f t="shared" si="1578"/>
        <v>166.73548079390528</v>
      </c>
      <c r="AH402" s="4">
        <f t="shared" si="1579"/>
        <v>0.80838150289017341</v>
      </c>
      <c r="AI402" s="4">
        <v>1.25</v>
      </c>
      <c r="AJ402" s="4">
        <f t="shared" si="1513"/>
        <v>2.5</v>
      </c>
      <c r="AK402" s="38">
        <f t="shared" si="1729"/>
        <v>359.7969221069352</v>
      </c>
      <c r="AL402" s="38">
        <f t="shared" si="1616"/>
        <v>359.7969221069352</v>
      </c>
      <c r="AM402" s="38">
        <f t="shared" si="1580"/>
        <v>4.7518593634836064</v>
      </c>
      <c r="AN402" s="38">
        <f t="shared" si="1521"/>
        <v>359.7969221069352</v>
      </c>
      <c r="AO402" s="38">
        <f t="shared" si="1484"/>
        <v>1</v>
      </c>
      <c r="AP402" s="38">
        <f t="shared" si="1522"/>
        <v>2.5607426126646908</v>
      </c>
      <c r="AQ402" s="4">
        <f t="shared" si="1523"/>
        <v>0</v>
      </c>
      <c r="AR402" s="4" t="e">
        <f>#REF!/G402*F402^0.5/0.19</f>
        <v>#REF!</v>
      </c>
      <c r="AS402" s="4">
        <f t="shared" si="1581"/>
        <v>1.4794788273615636</v>
      </c>
      <c r="AT402" s="38">
        <f t="shared" si="1582"/>
        <v>921.34731034482752</v>
      </c>
      <c r="AU402" s="4">
        <f t="shared" si="1583"/>
        <v>0.44000000000000006</v>
      </c>
      <c r="AV402" s="4" t="e">
        <f>AU402*D402*#REF!/(D402*G402/2.75/F402^0.5)</f>
        <v>#REF!</v>
      </c>
      <c r="AW402" s="4" t="e">
        <f t="shared" si="1793"/>
        <v>#REF!</v>
      </c>
      <c r="AY402" s="4">
        <f t="shared" si="1584"/>
        <v>1.5</v>
      </c>
      <c r="AZ402" s="4" t="e">
        <f>(3*#REF!+30)*AY402*F402^0.5</f>
        <v>#REF!</v>
      </c>
      <c r="BB402" s="4">
        <f t="shared" si="1585"/>
        <v>883.68474405469908</v>
      </c>
      <c r="BC402" s="4">
        <f t="shared" si="1822"/>
        <v>0</v>
      </c>
      <c r="BD402" s="4">
        <f t="shared" si="1794"/>
        <v>0</v>
      </c>
      <c r="BL402" s="4">
        <f t="shared" si="1586"/>
        <v>24.553333333333331</v>
      </c>
      <c r="BP402" s="9"/>
      <c r="BR402" s="9"/>
      <c r="BS402" s="9"/>
      <c r="BT402" s="9">
        <f t="shared" si="1587"/>
        <v>24.553333333333331</v>
      </c>
      <c r="BU402" s="9">
        <f t="shared" si="1588"/>
        <v>63.5</v>
      </c>
      <c r="BV402" s="9">
        <f t="shared" si="1589"/>
        <v>1.4341608165436117</v>
      </c>
      <c r="BW402" s="40">
        <f t="shared" si="1738"/>
        <v>20</v>
      </c>
      <c r="BX402" s="9">
        <f t="shared" si="1590"/>
        <v>0.05</v>
      </c>
      <c r="BY402" s="9">
        <f t="shared" si="1795"/>
        <v>0.8</v>
      </c>
      <c r="BZ402" s="9">
        <f t="shared" si="1591"/>
        <v>1</v>
      </c>
      <c r="CA402" s="9">
        <f t="shared" si="1592"/>
        <v>0.68</v>
      </c>
      <c r="CB402" s="9">
        <f t="shared" si="1593"/>
        <v>2.0757770792545673</v>
      </c>
      <c r="CC402" s="9">
        <f t="shared" si="1594"/>
        <v>4.6376198143498968</v>
      </c>
      <c r="CD402" s="40">
        <v>1</v>
      </c>
      <c r="CE402" s="9" t="e">
        <f>4*CC402*#REF!+60*CC402</f>
        <v>#REF!</v>
      </c>
      <c r="CG402" s="47" t="e">
        <f t="shared" ref="CG402" si="1829">V402/AR402</f>
        <v>#REF!</v>
      </c>
      <c r="CH402" s="47" t="e">
        <f t="shared" ref="CH402" si="1830">V402/AW402</f>
        <v>#REF!</v>
      </c>
      <c r="CI402" s="47" t="e">
        <f t="shared" ref="CI402" si="1831">V402/AZ402</f>
        <v>#REF!</v>
      </c>
      <c r="CJ402" s="47" t="e">
        <f t="shared" ref="CJ402" si="1832">V402/CE402</f>
        <v>#REF!</v>
      </c>
      <c r="CK402" s="47">
        <f t="shared" ref="CK402" si="1833">V402/DL402</f>
        <v>1.4770163586145215</v>
      </c>
      <c r="CL402" s="47">
        <f t="shared" ref="CL402" si="1834">V402/DX402</f>
        <v>1.4822322141280799</v>
      </c>
      <c r="CM402" s="47">
        <f t="shared" si="1699"/>
        <v>2.2308393728048879</v>
      </c>
      <c r="CN402" s="4">
        <f t="shared" si="1739"/>
        <v>10</v>
      </c>
      <c r="CU402" s="4" t="e">
        <f t="shared" si="1823"/>
        <v>#REF!</v>
      </c>
      <c r="CV402" s="4" t="e">
        <f t="shared" si="1824"/>
        <v>#REF!</v>
      </c>
      <c r="CW402" s="4" t="e">
        <f t="shared" si="1825"/>
        <v>#REF!</v>
      </c>
      <c r="CX402" s="4">
        <f t="shared" si="1826"/>
        <v>2.2308393728048879</v>
      </c>
      <c r="CY402" s="4">
        <f t="shared" si="1827"/>
        <v>1.4770163586145215</v>
      </c>
      <c r="CZ402" s="4">
        <f t="shared" si="1828"/>
        <v>1.4822322141280799</v>
      </c>
      <c r="DC402" s="4" t="e">
        <f>#REF!</f>
        <v>#REF!</v>
      </c>
      <c r="DF402" s="4">
        <f t="shared" si="1601"/>
        <v>1.987401844007391E-5</v>
      </c>
      <c r="DG402" s="4">
        <f t="shared" si="1802"/>
        <v>14.719357433866572</v>
      </c>
      <c r="DH402" s="4">
        <f t="shared" si="1602"/>
        <v>0.16332608618565578</v>
      </c>
      <c r="DI402" s="4">
        <f t="shared" si="1803"/>
        <v>7.1303537009958502</v>
      </c>
      <c r="DJ402" s="4">
        <f t="shared" si="1804"/>
        <v>11.571998230954497</v>
      </c>
      <c r="DK402" s="4">
        <f t="shared" si="1603"/>
        <v>14.007178283150786</v>
      </c>
      <c r="DL402" s="38">
        <f t="shared" si="1604"/>
        <v>724.66687409624717</v>
      </c>
      <c r="DM402" s="4" t="e">
        <f t="shared" si="1805"/>
        <v>#REF!</v>
      </c>
      <c r="DN402" s="4">
        <f t="shared" si="1605"/>
        <v>2.2360679774997898</v>
      </c>
      <c r="DO402" s="4">
        <f t="shared" si="1697"/>
        <v>359.7969221069352</v>
      </c>
      <c r="DS402" s="4">
        <f t="shared" si="1606"/>
        <v>0.85</v>
      </c>
      <c r="DT402" s="4">
        <f t="shared" si="1607"/>
        <v>0.94533333333333336</v>
      </c>
      <c r="DU402" s="4">
        <f t="shared" si="1608"/>
        <v>0.7</v>
      </c>
      <c r="DV402" s="4">
        <f t="shared" si="1806"/>
        <v>0.7</v>
      </c>
      <c r="DX402" s="4">
        <f t="shared" si="1609"/>
        <v>722.11682986247547</v>
      </c>
      <c r="DY402" s="25">
        <f t="shared" si="1502"/>
        <v>355.4281974699914</v>
      </c>
      <c r="EA402" s="4">
        <f t="shared" si="1503"/>
        <v>0.59499999999999997</v>
      </c>
      <c r="EB402" s="4">
        <f t="shared" si="1610"/>
        <v>14.719357433866572</v>
      </c>
      <c r="EE402" s="4">
        <f t="shared" si="1611"/>
        <v>35.497579142809165</v>
      </c>
      <c r="EF402" s="4">
        <f t="shared" si="1807"/>
        <v>2.2360679774997898</v>
      </c>
      <c r="EG402" s="4">
        <f t="shared" si="1612"/>
        <v>7.7892308564433063E-2</v>
      </c>
      <c r="EJ402" s="4">
        <f t="shared" si="1808"/>
        <v>7.7892308564433063E-2</v>
      </c>
      <c r="EK402" s="4">
        <f t="shared" si="1613"/>
        <v>0.16305352538765638</v>
      </c>
      <c r="EL402" s="4">
        <f t="shared" si="1809"/>
        <v>7.1255916233968595</v>
      </c>
      <c r="EM402" s="4">
        <f t="shared" si="1810"/>
        <v>11.57055098542124</v>
      </c>
      <c r="EN402" s="4" t="e">
        <f t="shared" si="1811"/>
        <v>#REF!</v>
      </c>
      <c r="EO402" s="4" t="e">
        <f t="shared" si="1812"/>
        <v>#REF!</v>
      </c>
      <c r="EP402" s="4" t="e">
        <f t="shared" si="1614"/>
        <v>#REF!</v>
      </c>
      <c r="EQ402" s="4" t="e">
        <f t="shared" si="1813"/>
        <v>#REF!</v>
      </c>
      <c r="ER402" s="4" t="e">
        <f t="shared" si="1615"/>
        <v>#REF!</v>
      </c>
      <c r="FA402" s="23" t="e">
        <f t="shared" si="1772"/>
        <v>#REF!</v>
      </c>
      <c r="FB402" s="23" t="e">
        <f t="shared" si="1773"/>
        <v>#REF!</v>
      </c>
      <c r="FC402" s="23">
        <f t="shared" si="1706"/>
        <v>2.2000000000000002</v>
      </c>
      <c r="FD402" s="23" t="e">
        <f t="shared" si="1774"/>
        <v>#REF!</v>
      </c>
      <c r="FE402" s="23">
        <f t="shared" si="1775"/>
        <v>1.6</v>
      </c>
      <c r="FF402" s="23">
        <f t="shared" si="1776"/>
        <v>1.6</v>
      </c>
      <c r="FG402" s="23">
        <f t="shared" si="1629"/>
        <v>0</v>
      </c>
      <c r="FH402" s="23"/>
      <c r="FR402" s="4">
        <f t="shared" si="1485"/>
        <v>1</v>
      </c>
      <c r="FS402" s="4">
        <f t="shared" si="1486"/>
        <v>0.64469834033993467</v>
      </c>
      <c r="FT402" s="4">
        <f t="shared" si="1487"/>
        <v>0.3</v>
      </c>
      <c r="FU402" s="4">
        <f t="shared" si="1488"/>
        <v>479.79466412251668</v>
      </c>
    </row>
    <row r="403" spans="2:177" ht="12" customHeight="1" x14ac:dyDescent="0.3">
      <c r="B403" s="14" t="s">
        <v>547</v>
      </c>
      <c r="C403" s="7" t="s">
        <v>548</v>
      </c>
      <c r="D403" s="38">
        <f>135/0.145</f>
        <v>931.0344827586207</v>
      </c>
      <c r="E403" s="38">
        <f>16.56*25.4</f>
        <v>420.62399999999997</v>
      </c>
      <c r="F403" s="38">
        <f>4050/145</f>
        <v>27.931034482758619</v>
      </c>
      <c r="G403" s="38">
        <f>1.41*25.4</f>
        <v>35.813999999999993</v>
      </c>
      <c r="H403" s="38">
        <f>21.9*25.4</f>
        <v>556.25999999999988</v>
      </c>
      <c r="I403" s="38">
        <f t="shared" si="1784"/>
        <v>63.5</v>
      </c>
      <c r="J403" s="39">
        <f>4*25.4</f>
        <v>101.6</v>
      </c>
      <c r="K403" s="7">
        <f t="shared" si="1727"/>
        <v>357.63199999999989</v>
      </c>
      <c r="L403" s="38">
        <v>2</v>
      </c>
      <c r="M403" s="4">
        <f>20*25.4</f>
        <v>508</v>
      </c>
      <c r="N403" s="7">
        <f t="shared" si="1569"/>
        <v>2.2730496453900715</v>
      </c>
      <c r="O403" s="7">
        <f t="shared" si="1570"/>
        <v>2.2730496453900715</v>
      </c>
      <c r="P403" s="38">
        <v>3.8</v>
      </c>
      <c r="Q403" s="4">
        <f t="shared" si="1736"/>
        <v>3.8</v>
      </c>
      <c r="R403" s="4">
        <f t="shared" si="1571"/>
        <v>4.8</v>
      </c>
      <c r="S403" s="7">
        <f t="shared" si="1572"/>
        <v>78.464542697960056</v>
      </c>
      <c r="V403" s="38">
        <f t="shared" si="1777"/>
        <v>431.0344827586207</v>
      </c>
      <c r="W403" s="4">
        <v>62.5</v>
      </c>
      <c r="X403" s="4">
        <f t="shared" si="1573"/>
        <v>0.9223210736286156</v>
      </c>
      <c r="Y403" s="38"/>
      <c r="Z403" s="38"/>
      <c r="AA403" s="39">
        <v>1</v>
      </c>
      <c r="AB403" s="39"/>
      <c r="AC403" s="39"/>
      <c r="AD403" s="7"/>
      <c r="AE403" s="4">
        <f t="shared" si="1576"/>
        <v>420.62399999999997</v>
      </c>
      <c r="AF403" s="4">
        <f t="shared" si="1577"/>
        <v>0.44082125603864725</v>
      </c>
      <c r="AG403" s="4">
        <f t="shared" si="1578"/>
        <v>226.28671014164769</v>
      </c>
      <c r="AH403" s="4">
        <f t="shared" si="1579"/>
        <v>0.73870772946859897</v>
      </c>
      <c r="AI403" s="4">
        <v>1.25</v>
      </c>
      <c r="AJ403" s="4">
        <f t="shared" si="1513"/>
        <v>2.5</v>
      </c>
      <c r="AK403" s="38">
        <f t="shared" si="1729"/>
        <v>230.27364801496174</v>
      </c>
      <c r="AL403" s="38">
        <f t="shared" si="1616"/>
        <v>230.27364801496174</v>
      </c>
      <c r="AM403" s="38">
        <f t="shared" si="1580"/>
        <v>2.761717606769436</v>
      </c>
      <c r="AN403" s="38">
        <f t="shared" si="1521"/>
        <v>230.27364801496179</v>
      </c>
      <c r="AO403" s="38">
        <f t="shared" si="1484"/>
        <v>0.99999999999999978</v>
      </c>
      <c r="AP403" s="38">
        <f t="shared" si="1522"/>
        <v>1.0749134448372641</v>
      </c>
      <c r="AQ403" s="4">
        <f t="shared" si="1523"/>
        <v>0</v>
      </c>
      <c r="AR403" s="4" t="e">
        <f>#REF!/G403*F403^0.5/0.19</f>
        <v>#REF!</v>
      </c>
      <c r="AS403" s="4">
        <f t="shared" si="1581"/>
        <v>1</v>
      </c>
      <c r="AT403" s="38">
        <f t="shared" si="1582"/>
        <v>247.52424024300623</v>
      </c>
      <c r="AU403" s="4">
        <f t="shared" si="1583"/>
        <v>0.46800000000000008</v>
      </c>
      <c r="AV403" s="4" t="e">
        <f>AU403*D403*#REF!/(D403*G403/2.75/F403^0.5)</f>
        <v>#REF!</v>
      </c>
      <c r="AW403" s="4" t="e">
        <f t="shared" si="1793"/>
        <v>#REF!</v>
      </c>
      <c r="AY403" s="4">
        <f t="shared" si="1584"/>
        <v>1.1932624113475179</v>
      </c>
      <c r="AZ403" s="4" t="e">
        <f>(3*#REF!+30)*AY403*F403^0.5</f>
        <v>#REF!</v>
      </c>
      <c r="BB403" s="4">
        <f t="shared" si="1585"/>
        <v>237.40601663515</v>
      </c>
      <c r="BC403" s="4">
        <f t="shared" si="1822"/>
        <v>0</v>
      </c>
      <c r="BD403" s="4">
        <f t="shared" si="1794"/>
        <v>0</v>
      </c>
      <c r="BL403" s="4">
        <f t="shared" si="1586"/>
        <v>63.5</v>
      </c>
      <c r="BP403" s="9"/>
      <c r="BR403" s="9"/>
      <c r="BS403" s="9"/>
      <c r="BT403" s="9">
        <f t="shared" si="1587"/>
        <v>63.5</v>
      </c>
      <c r="BU403" s="9">
        <f t="shared" si="1588"/>
        <v>178.81599999999995</v>
      </c>
      <c r="BV403" s="9">
        <f t="shared" si="1589"/>
        <v>1.5552683910541685</v>
      </c>
      <c r="BW403" s="40">
        <f t="shared" si="1738"/>
        <v>0</v>
      </c>
      <c r="BX403" s="9">
        <f t="shared" si="1590"/>
        <v>0</v>
      </c>
      <c r="BY403" s="9">
        <f t="shared" si="1795"/>
        <v>0</v>
      </c>
      <c r="BZ403" s="9">
        <f t="shared" si="1591"/>
        <v>0.89777220146327208</v>
      </c>
      <c r="CA403" s="9">
        <f t="shared" si="1592"/>
        <v>0.68</v>
      </c>
      <c r="CB403" s="9">
        <f t="shared" si="1593"/>
        <v>1.129240956903802</v>
      </c>
      <c r="CC403" s="9">
        <f t="shared" si="1594"/>
        <v>1.7562727661562458</v>
      </c>
      <c r="CD403" s="40">
        <v>1</v>
      </c>
      <c r="CE403" s="9" t="e">
        <f>4*CC403*#REF!+60*CC403</f>
        <v>#REF!</v>
      </c>
      <c r="CG403" s="4" t="e">
        <f t="shared" si="1796"/>
        <v>#REF!</v>
      </c>
      <c r="CH403" s="4" t="e">
        <f t="shared" si="1797"/>
        <v>#REF!</v>
      </c>
      <c r="CI403" s="4" t="e">
        <f t="shared" si="1798"/>
        <v>#REF!</v>
      </c>
      <c r="CJ403" s="4" t="e">
        <f t="shared" si="1799"/>
        <v>#REF!</v>
      </c>
      <c r="CK403" s="4">
        <f t="shared" si="1800"/>
        <v>0.9223210736286156</v>
      </c>
      <c r="CL403" s="4">
        <f t="shared" si="1801"/>
        <v>1.0182198876788391</v>
      </c>
      <c r="CM403" s="4">
        <f t="shared" si="1699"/>
        <v>0.95053003455679075</v>
      </c>
      <c r="CN403" s="4">
        <f t="shared" si="1739"/>
        <v>0</v>
      </c>
      <c r="CO403" s="4" t="e">
        <f t="shared" ref="CO403" si="1835">CG403</f>
        <v>#REF!</v>
      </c>
      <c r="CP403" s="4" t="e">
        <f t="shared" ref="CP403" si="1836">CH403</f>
        <v>#REF!</v>
      </c>
      <c r="CQ403" s="4" t="e">
        <f t="shared" ref="CQ403" si="1837">CJ403</f>
        <v>#REF!</v>
      </c>
      <c r="CR403" s="4">
        <f t="shared" ref="CR403" si="1838">CM403</f>
        <v>0.95053003455679075</v>
      </c>
      <c r="CS403" s="4">
        <f t="shared" ref="CS403" si="1839">CK403</f>
        <v>0.9223210736286156</v>
      </c>
      <c r="CT403" s="4">
        <f t="shared" ref="CT403" si="1840">CL403</f>
        <v>1.0182198876788391</v>
      </c>
      <c r="DC403" s="4" t="e">
        <f>#REF!</f>
        <v>#REF!</v>
      </c>
      <c r="DF403" s="4">
        <f t="shared" si="1601"/>
        <v>2.0661842577189241E-5</v>
      </c>
      <c r="DG403" s="4">
        <f t="shared" si="1802"/>
        <v>5.5362830674967025</v>
      </c>
      <c r="DH403" s="4">
        <f t="shared" si="1602"/>
        <v>0.66239027581160248</v>
      </c>
      <c r="DI403" s="4">
        <f t="shared" si="1803"/>
        <v>4.695305626185454</v>
      </c>
      <c r="DJ403" s="4">
        <f t="shared" si="1804"/>
        <v>5.133057714115556</v>
      </c>
      <c r="DK403" s="4">
        <f t="shared" si="1603"/>
        <v>5.1121815424678534</v>
      </c>
      <c r="DL403" s="38">
        <f t="shared" si="1604"/>
        <v>467.33669552061247</v>
      </c>
      <c r="DM403" s="4" t="e">
        <f t="shared" si="1805"/>
        <v>#REF!</v>
      </c>
      <c r="DN403" s="4">
        <f t="shared" si="1605"/>
        <v>2.1908902300206643</v>
      </c>
      <c r="DO403" s="4">
        <f t="shared" si="1697"/>
        <v>230.27364801496179</v>
      </c>
      <c r="DS403" s="4">
        <f t="shared" si="1606"/>
        <v>0.85</v>
      </c>
      <c r="DT403" s="4">
        <f t="shared" si="1607"/>
        <v>0.92269503546099285</v>
      </c>
      <c r="DU403" s="4">
        <f t="shared" si="1608"/>
        <v>1</v>
      </c>
      <c r="DV403" s="4">
        <f t="shared" si="1806"/>
        <v>0.92269503546099285</v>
      </c>
      <c r="DX403" s="4">
        <f t="shared" si="1609"/>
        <v>423.32161056215301</v>
      </c>
      <c r="DY403" s="25">
        <f t="shared" si="1502"/>
        <v>228.25597737546067</v>
      </c>
      <c r="EA403" s="4">
        <f t="shared" si="1503"/>
        <v>0.78429078014184395</v>
      </c>
      <c r="EB403" s="4">
        <f t="shared" si="1610"/>
        <v>5.5362830674967025</v>
      </c>
      <c r="EE403" s="4">
        <f t="shared" si="1611"/>
        <v>78.464542697960056</v>
      </c>
      <c r="EF403" s="4">
        <f t="shared" si="1807"/>
        <v>2.1908902300206643</v>
      </c>
      <c r="EG403" s="4">
        <f t="shared" si="1612"/>
        <v>0.19142238549023421</v>
      </c>
      <c r="EJ403" s="4">
        <f t="shared" si="1808"/>
        <v>0.19142238549023421</v>
      </c>
      <c r="EK403" s="4">
        <f t="shared" si="1613"/>
        <v>0.66128486989403812</v>
      </c>
      <c r="EL403" s="4">
        <f t="shared" si="1809"/>
        <v>4.6921698196489912</v>
      </c>
      <c r="EM403" s="4">
        <f t="shared" si="1810"/>
        <v>5.1316239823884038</v>
      </c>
      <c r="EN403" s="4" t="e">
        <f t="shared" si="1811"/>
        <v>#REF!</v>
      </c>
      <c r="EO403" s="4" t="e">
        <f t="shared" si="1812"/>
        <v>#REF!</v>
      </c>
      <c r="EP403" s="4" t="e">
        <f t="shared" si="1614"/>
        <v>#REF!</v>
      </c>
      <c r="EQ403" s="4" t="e">
        <f t="shared" si="1813"/>
        <v>#REF!</v>
      </c>
      <c r="ER403" s="4" t="e">
        <f t="shared" si="1615"/>
        <v>#REF!</v>
      </c>
      <c r="FA403" s="23" t="e">
        <f t="shared" si="1772"/>
        <v>#REF!</v>
      </c>
      <c r="FB403" s="23" t="e">
        <f t="shared" si="1773"/>
        <v>#REF!</v>
      </c>
      <c r="FC403" s="23">
        <f t="shared" si="1706"/>
        <v>1</v>
      </c>
      <c r="FD403" s="23" t="e">
        <f t="shared" si="1774"/>
        <v>#REF!</v>
      </c>
      <c r="FE403" s="23">
        <f t="shared" si="1775"/>
        <v>1</v>
      </c>
      <c r="FF403" s="23">
        <f t="shared" si="1776"/>
        <v>1.2</v>
      </c>
      <c r="FG403" s="23">
        <f t="shared" si="1629"/>
        <v>0</v>
      </c>
      <c r="FH403" s="23"/>
      <c r="FR403" s="4">
        <f t="shared" si="1485"/>
        <v>1</v>
      </c>
      <c r="FS403" s="4">
        <f t="shared" si="1486"/>
        <v>0.5</v>
      </c>
      <c r="FT403" s="4">
        <f t="shared" si="1487"/>
        <v>0</v>
      </c>
      <c r="FU403" s="4">
        <f t="shared" si="1488"/>
        <v>453.46750453772006</v>
      </c>
    </row>
    <row r="404" spans="2:177" ht="12" customHeight="1" x14ac:dyDescent="0.3">
      <c r="B404" s="14"/>
      <c r="C404" s="7" t="s">
        <v>549</v>
      </c>
      <c r="D404" s="38">
        <f t="shared" ref="D404:D410" si="1841">135/0.145</f>
        <v>931.0344827586207</v>
      </c>
      <c r="E404" s="38">
        <f>17.44*25.4</f>
        <v>442.976</v>
      </c>
      <c r="F404" s="38">
        <f>4050/145</f>
        <v>27.931034482758619</v>
      </c>
      <c r="G404" s="38">
        <f t="shared" ref="G404:G410" si="1842">1.41*25.4</f>
        <v>35.813999999999993</v>
      </c>
      <c r="H404" s="38">
        <f>21.7*25.4</f>
        <v>551.17999999999995</v>
      </c>
      <c r="I404" s="38">
        <f>2.6*25.4</f>
        <v>66.039999999999992</v>
      </c>
      <c r="J404" s="39">
        <f>3*25.4</f>
        <v>76.199999999999989</v>
      </c>
      <c r="K404" s="7">
        <f t="shared" si="1727"/>
        <v>347.47199999999998</v>
      </c>
      <c r="L404" s="38">
        <v>2</v>
      </c>
      <c r="M404" s="4">
        <f t="shared" ref="M404:M453" si="1843">20*25.4</f>
        <v>508</v>
      </c>
      <c r="N404" s="7">
        <f t="shared" si="1569"/>
        <v>2.3439716312056742</v>
      </c>
      <c r="O404" s="7">
        <f t="shared" si="1570"/>
        <v>2.3439716312056742</v>
      </c>
      <c r="P404" s="38">
        <v>3.8</v>
      </c>
      <c r="Q404" s="4">
        <f t="shared" si="1736"/>
        <v>3.8</v>
      </c>
      <c r="R404" s="4">
        <f t="shared" si="1571"/>
        <v>4.8</v>
      </c>
      <c r="S404" s="7">
        <f t="shared" si="1572"/>
        <v>78.464542697960056</v>
      </c>
      <c r="V404" s="38">
        <f t="shared" si="1777"/>
        <v>522.75862068965523</v>
      </c>
      <c r="W404" s="4">
        <v>75.8</v>
      </c>
      <c r="X404" s="4">
        <f t="shared" si="1573"/>
        <v>1.0760378613885915</v>
      </c>
      <c r="Y404" s="38">
        <f>0.5*25.4</f>
        <v>12.7</v>
      </c>
      <c r="Z404" s="38">
        <v>4</v>
      </c>
      <c r="AA404" s="39">
        <f>8*25.4</f>
        <v>203.2</v>
      </c>
      <c r="AB404" s="39">
        <v>2</v>
      </c>
      <c r="AC404" s="39">
        <f t="shared" ref="AC404" si="1844">AB404-1</f>
        <v>1</v>
      </c>
      <c r="AD404" s="7"/>
      <c r="AE404" s="4">
        <f t="shared" si="1576"/>
        <v>442.976</v>
      </c>
      <c r="AF404" s="4">
        <f t="shared" si="1577"/>
        <v>0.4147553516819571</v>
      </c>
      <c r="AG404" s="4">
        <f t="shared" si="1578"/>
        <v>244.56160209111823</v>
      </c>
      <c r="AH404" s="4">
        <f t="shared" si="1579"/>
        <v>0.73790137614678897</v>
      </c>
      <c r="AI404" s="4">
        <v>1.25</v>
      </c>
      <c r="AJ404" s="4">
        <f t="shared" si="1513"/>
        <v>2.5</v>
      </c>
      <c r="AK404" s="38">
        <f t="shared" si="1729"/>
        <v>233.89913258342173</v>
      </c>
      <c r="AL404" s="38">
        <f t="shared" si="1616"/>
        <v>233.89913258342173</v>
      </c>
      <c r="AM404" s="38">
        <f t="shared" si="1580"/>
        <v>2.761717606769436</v>
      </c>
      <c r="AN404" s="38">
        <f t="shared" si="1521"/>
        <v>233.89913258342185</v>
      </c>
      <c r="AO404" s="38">
        <f t="shared" ref="AO404:AO452" si="1845">AK404/AN404</f>
        <v>0.99999999999999956</v>
      </c>
      <c r="AP404" s="38">
        <f t="shared" si="1522"/>
        <v>1.0912708509945452</v>
      </c>
      <c r="AQ404" s="4">
        <f t="shared" si="1523"/>
        <v>0</v>
      </c>
      <c r="AR404" s="4" t="e">
        <f>#REF!/G404*F404^0.5/0.19</f>
        <v>#REF!</v>
      </c>
      <c r="AS404" s="4">
        <f t="shared" si="1581"/>
        <v>1</v>
      </c>
      <c r="AT404" s="38">
        <f t="shared" si="1582"/>
        <v>255.24730546119673</v>
      </c>
      <c r="AU404" s="4">
        <f t="shared" si="1583"/>
        <v>0.46800000000000008</v>
      </c>
      <c r="AV404" s="4" t="e">
        <f>AU404*D404*#REF!/(D404*G404/2.75/F404^0.5)</f>
        <v>#REF!</v>
      </c>
      <c r="AW404" s="4" t="e">
        <f t="shared" si="1793"/>
        <v>#REF!</v>
      </c>
      <c r="AY404" s="4">
        <f t="shared" si="1584"/>
        <v>1.4895028948217903</v>
      </c>
      <c r="AZ404" s="4" t="e">
        <f>(3*#REF!+30)*AY404*F404^0.5</f>
        <v>#REF!</v>
      </c>
      <c r="BB404" s="4">
        <f t="shared" si="1585"/>
        <v>244.81338064872722</v>
      </c>
      <c r="BC404" s="4">
        <f t="shared" si="1822"/>
        <v>0</v>
      </c>
      <c r="BD404" s="4">
        <f t="shared" si="1794"/>
        <v>0</v>
      </c>
      <c r="BL404" s="4">
        <f t="shared" si="1586"/>
        <v>66.039999999999992</v>
      </c>
      <c r="BP404" s="9"/>
      <c r="BR404" s="9"/>
      <c r="BS404" s="9"/>
      <c r="BT404" s="9">
        <f t="shared" si="1587"/>
        <v>66.039999999999992</v>
      </c>
      <c r="BU404" s="9">
        <f t="shared" si="1588"/>
        <v>173.73599999999999</v>
      </c>
      <c r="BV404" s="9">
        <f t="shared" si="1589"/>
        <v>1.5699634099271278</v>
      </c>
      <c r="BW404" s="40">
        <f t="shared" si="1738"/>
        <v>20</v>
      </c>
      <c r="BX404" s="9">
        <f t="shared" si="1590"/>
        <v>0.05</v>
      </c>
      <c r="BY404" s="9">
        <f t="shared" si="1795"/>
        <v>0.8</v>
      </c>
      <c r="BZ404" s="9">
        <f t="shared" si="1591"/>
        <v>0.89777220146327208</v>
      </c>
      <c r="CA404" s="9">
        <f t="shared" si="1592"/>
        <v>0.68</v>
      </c>
      <c r="CB404" s="9">
        <f t="shared" si="1593"/>
        <v>1.129240956903802</v>
      </c>
      <c r="CC404" s="9">
        <f t="shared" si="1594"/>
        <v>2.6762597488531075</v>
      </c>
      <c r="CD404" s="40">
        <v>1</v>
      </c>
      <c r="CE404" s="9" t="e">
        <f>4*CC404*#REF!+60*CC404</f>
        <v>#REF!</v>
      </c>
      <c r="CG404" s="4" t="e">
        <f t="shared" si="1796"/>
        <v>#REF!</v>
      </c>
      <c r="CH404" s="4" t="e">
        <f t="shared" si="1797"/>
        <v>#REF!</v>
      </c>
      <c r="CI404" s="4" t="e">
        <f t="shared" si="1798"/>
        <v>#REF!</v>
      </c>
      <c r="CJ404" s="4" t="e">
        <f t="shared" si="1799"/>
        <v>#REF!</v>
      </c>
      <c r="CK404" s="4">
        <f t="shared" si="1800"/>
        <v>1.0760378613885915</v>
      </c>
      <c r="CL404" s="4">
        <f t="shared" si="1801"/>
        <v>1.1905256945812908</v>
      </c>
      <c r="CM404" s="4">
        <f t="shared" si="1699"/>
        <v>0.96797883882138447</v>
      </c>
      <c r="CN404" s="4">
        <f t="shared" si="1739"/>
        <v>4</v>
      </c>
      <c r="CU404" s="4" t="e">
        <f t="shared" ref="CU404:CU405" si="1846">CG404</f>
        <v>#REF!</v>
      </c>
      <c r="CV404" s="4" t="e">
        <f t="shared" ref="CV404:CV405" si="1847">CH404</f>
        <v>#REF!</v>
      </c>
      <c r="CW404" s="4" t="e">
        <f t="shared" ref="CW404:CW405" si="1848">CJ404</f>
        <v>#REF!</v>
      </c>
      <c r="CX404" s="4">
        <f t="shared" ref="CX404:CX405" si="1849">CM404</f>
        <v>0.96797883882138447</v>
      </c>
      <c r="CY404" s="4">
        <f t="shared" ref="CY404:CY405" si="1850">CK404</f>
        <v>1.0760378613885915</v>
      </c>
      <c r="CZ404" s="4">
        <f t="shared" ref="CZ404:CZ405" si="1851">CL404</f>
        <v>1.1905256945812908</v>
      </c>
      <c r="DC404" s="4" t="e">
        <f>#REF!</f>
        <v>#REF!</v>
      </c>
      <c r="DF404" s="4">
        <f t="shared" si="1601"/>
        <v>2.1759814888054373E-5</v>
      </c>
      <c r="DG404" s="4">
        <f t="shared" si="1802"/>
        <v>5.5816724777772073</v>
      </c>
      <c r="DH404" s="4">
        <f t="shared" si="1602"/>
        <v>0.67281911013092033</v>
      </c>
      <c r="DI404" s="4">
        <f t="shared" si="1803"/>
        <v>4.7634726565456242</v>
      </c>
      <c r="DJ404" s="4">
        <f t="shared" si="1804"/>
        <v>5.1887352956739976</v>
      </c>
      <c r="DK404" s="4">
        <f t="shared" si="1603"/>
        <v>5.1024001629185483</v>
      </c>
      <c r="DL404" s="38">
        <f t="shared" si="1604"/>
        <v>485.81805478020306</v>
      </c>
      <c r="DM404" s="4" t="e">
        <f t="shared" si="1805"/>
        <v>#REF!</v>
      </c>
      <c r="DN404" s="4">
        <f t="shared" si="1605"/>
        <v>2.1908902300206643</v>
      </c>
      <c r="DO404" s="4">
        <f t="shared" si="1697"/>
        <v>233.89913258342185</v>
      </c>
      <c r="DS404" s="4">
        <f t="shared" si="1606"/>
        <v>0.85</v>
      </c>
      <c r="DT404" s="4">
        <f t="shared" si="1607"/>
        <v>0.91560283687943256</v>
      </c>
      <c r="DU404" s="4">
        <f t="shared" si="1608"/>
        <v>0.9995510789195714</v>
      </c>
      <c r="DV404" s="4">
        <f t="shared" si="1806"/>
        <v>0.91519180346465712</v>
      </c>
      <c r="DX404" s="4">
        <f t="shared" si="1609"/>
        <v>439.09898212949531</v>
      </c>
      <c r="DY404" s="25">
        <f t="shared" si="1502"/>
        <v>231.98330550729423</v>
      </c>
      <c r="EA404" s="4">
        <f t="shared" si="1503"/>
        <v>0.7779130329449585</v>
      </c>
      <c r="EB404" s="4">
        <f t="shared" si="1610"/>
        <v>5.5816724777772073</v>
      </c>
      <c r="EE404" s="4">
        <f t="shared" si="1611"/>
        <v>78.464542697960056</v>
      </c>
      <c r="EF404" s="4">
        <f t="shared" si="1807"/>
        <v>2.1908902300206643</v>
      </c>
      <c r="EG404" s="4">
        <f t="shared" si="1612"/>
        <v>0.1944361862904351</v>
      </c>
      <c r="EJ404" s="4">
        <f t="shared" si="1808"/>
        <v>0.1944361862904351</v>
      </c>
      <c r="EK404" s="4">
        <f t="shared" si="1613"/>
        <v>0.6716963004325478</v>
      </c>
      <c r="EL404" s="4">
        <f t="shared" si="1809"/>
        <v>4.7602913239803168</v>
      </c>
      <c r="EM404" s="4">
        <f t="shared" si="1810"/>
        <v>5.1872754439165325</v>
      </c>
      <c r="EN404" s="4" t="e">
        <f t="shared" si="1811"/>
        <v>#REF!</v>
      </c>
      <c r="EO404" s="4" t="e">
        <f t="shared" si="1812"/>
        <v>#REF!</v>
      </c>
      <c r="EP404" s="4" t="e">
        <f t="shared" si="1614"/>
        <v>#REF!</v>
      </c>
      <c r="EQ404" s="4" t="e">
        <f t="shared" si="1813"/>
        <v>#REF!</v>
      </c>
      <c r="ER404" s="4" t="e">
        <f t="shared" si="1615"/>
        <v>#REF!</v>
      </c>
      <c r="FA404" s="23" t="e">
        <f t="shared" si="1772"/>
        <v>#REF!</v>
      </c>
      <c r="FB404" s="23" t="e">
        <f t="shared" si="1773"/>
        <v>#REF!</v>
      </c>
      <c r="FC404" s="23">
        <f t="shared" si="1706"/>
        <v>1</v>
      </c>
      <c r="FD404" s="23" t="e">
        <f t="shared" si="1774"/>
        <v>#REF!</v>
      </c>
      <c r="FE404" s="23">
        <f t="shared" si="1775"/>
        <v>1.2</v>
      </c>
      <c r="FF404" s="23">
        <f t="shared" si="1776"/>
        <v>1.2</v>
      </c>
      <c r="FG404" s="23">
        <f t="shared" si="1629"/>
        <v>0</v>
      </c>
      <c r="FH404" s="23"/>
      <c r="FR404" s="4">
        <f t="shared" ref="FR404:FR453" si="1852">IF(I404&gt;=2.5*25.4,1,1.25)</f>
        <v>1</v>
      </c>
      <c r="FS404" s="4">
        <f t="shared" ref="FS404:FS453" si="1853">IF(AA404&gt;1, 0.05*(18-MIN(8,(K404+G404)/G404))*(1-48000/MAX(60000,(D404*145))*(G404/25.4)^0.75*FT404), 1/12*(14-MIN(8,(K404+G404)/G404)))</f>
        <v>0.44214730608235164</v>
      </c>
      <c r="FT404" s="4">
        <f t="shared" ref="FT404:FT453" si="1854">MIN(0.3, Y404^2*PI()/4*2*AB404/(G404^2*PI()/4*L404))</f>
        <v>0.25149640360142855</v>
      </c>
      <c r="FU404" s="4">
        <f t="shared" ref="FU404:FU453" si="1855">(E404/25.4)/(G404/25.4)^1.5/0.0024*(F404*145)^0.25/FR404/FS404/145</f>
        <v>540.05170332666421</v>
      </c>
    </row>
    <row r="405" spans="2:177" ht="12" customHeight="1" x14ac:dyDescent="0.3">
      <c r="B405" s="14"/>
      <c r="C405" s="7" t="s">
        <v>550</v>
      </c>
      <c r="D405" s="38">
        <f t="shared" si="1841"/>
        <v>931.0344827586207</v>
      </c>
      <c r="E405" s="38">
        <f>16.72*25.4</f>
        <v>424.68799999999993</v>
      </c>
      <c r="F405" s="38">
        <f>4050/145</f>
        <v>27.931034482758619</v>
      </c>
      <c r="G405" s="38">
        <f t="shared" si="1842"/>
        <v>35.813999999999993</v>
      </c>
      <c r="H405" s="38">
        <f>21.4*25.4</f>
        <v>543.55999999999995</v>
      </c>
      <c r="I405" s="38">
        <f>2.5*25.4</f>
        <v>63.5</v>
      </c>
      <c r="J405" s="39">
        <f>3.8*25.4</f>
        <v>96.52</v>
      </c>
      <c r="K405" s="7">
        <f t="shared" si="1727"/>
        <v>344.93199999999996</v>
      </c>
      <c r="L405" s="38">
        <v>2</v>
      </c>
      <c r="M405" s="4">
        <f t="shared" si="1843"/>
        <v>508</v>
      </c>
      <c r="N405" s="7">
        <f t="shared" si="1569"/>
        <v>2.2730496453900715</v>
      </c>
      <c r="O405" s="7">
        <f t="shared" si="1570"/>
        <v>2.2730496453900715</v>
      </c>
      <c r="P405" s="38">
        <v>3.8</v>
      </c>
      <c r="Q405" s="4">
        <f t="shared" si="1736"/>
        <v>3.8</v>
      </c>
      <c r="R405" s="4">
        <f t="shared" si="1571"/>
        <v>4.8</v>
      </c>
      <c r="S405" s="7">
        <f t="shared" si="1572"/>
        <v>78.464542697960056</v>
      </c>
      <c r="V405" s="38">
        <f t="shared" si="1777"/>
        <v>513.79310344827593</v>
      </c>
      <c r="W405" s="4">
        <v>74.5</v>
      </c>
      <c r="X405" s="4">
        <f t="shared" si="1573"/>
        <v>1.0622002196076112</v>
      </c>
      <c r="Y405" s="38">
        <f>0.5*25.4</f>
        <v>12.7</v>
      </c>
      <c r="Z405" s="38">
        <v>12</v>
      </c>
      <c r="AA405" s="39">
        <f>4*25.4</f>
        <v>101.6</v>
      </c>
      <c r="AB405" s="39">
        <v>4</v>
      </c>
      <c r="AC405" s="39">
        <v>2</v>
      </c>
      <c r="AD405" s="7"/>
      <c r="AE405" s="4">
        <f t="shared" si="1576"/>
        <v>424.68799999999993</v>
      </c>
      <c r="AF405" s="4">
        <f t="shared" si="1577"/>
        <v>0.42663476874003192</v>
      </c>
      <c r="AG405" s="4">
        <f t="shared" si="1578"/>
        <v>229.5741365097727</v>
      </c>
      <c r="AH405" s="4">
        <f t="shared" si="1579"/>
        <v>0.73833732057416268</v>
      </c>
      <c r="AI405" s="4">
        <v>1.25</v>
      </c>
      <c r="AJ405" s="4">
        <f t="shared" si="1513"/>
        <v>2.5</v>
      </c>
      <c r="AK405" s="38">
        <f t="shared" si="1729"/>
        <v>225.98730751771248</v>
      </c>
      <c r="AL405" s="38">
        <f t="shared" si="1616"/>
        <v>225.98730751771248</v>
      </c>
      <c r="AM405" s="38">
        <f t="shared" si="1580"/>
        <v>2.761717606769436</v>
      </c>
      <c r="AN405" s="38">
        <f t="shared" si="1521"/>
        <v>225.98730751771248</v>
      </c>
      <c r="AO405" s="38">
        <f t="shared" si="1845"/>
        <v>1</v>
      </c>
      <c r="AP405" s="38">
        <f t="shared" si="1522"/>
        <v>1.095301514770274</v>
      </c>
      <c r="AQ405" s="4">
        <f t="shared" si="1523"/>
        <v>0</v>
      </c>
      <c r="AR405" s="4" t="e">
        <f>#REF!/G405*F405^0.5/0.19</f>
        <v>#REF!</v>
      </c>
      <c r="AS405" s="4">
        <f t="shared" si="1581"/>
        <v>1</v>
      </c>
      <c r="AT405" s="38">
        <f t="shared" si="1582"/>
        <v>247.52424024300623</v>
      </c>
      <c r="AU405" s="4">
        <f t="shared" si="1583"/>
        <v>0.46800000000000008</v>
      </c>
      <c r="AV405" s="4" t="e">
        <f>AU405*D405*#REF!/(D405*G405/2.75/F405^0.5)</f>
        <v>#REF!</v>
      </c>
      <c r="AW405" s="4" t="e">
        <f t="shared" si="1793"/>
        <v>#REF!</v>
      </c>
      <c r="AY405" s="4">
        <f t="shared" si="1584"/>
        <v>1.5</v>
      </c>
      <c r="AZ405" s="4" t="e">
        <f>(3*#REF!+30)*AY405*F405^0.5</f>
        <v>#REF!</v>
      </c>
      <c r="BB405" s="4">
        <f t="shared" si="1585"/>
        <v>237.40601663515</v>
      </c>
      <c r="BC405" s="4">
        <f t="shared" si="1822"/>
        <v>0</v>
      </c>
      <c r="BD405" s="4">
        <f t="shared" si="1794"/>
        <v>0</v>
      </c>
      <c r="BL405" s="4">
        <f t="shared" si="1586"/>
        <v>63.5</v>
      </c>
      <c r="BP405" s="9"/>
      <c r="BR405" s="9"/>
      <c r="BS405" s="9"/>
      <c r="BT405" s="9">
        <f t="shared" si="1587"/>
        <v>63.5</v>
      </c>
      <c r="BU405" s="9">
        <f t="shared" si="1588"/>
        <v>172.46599999999998</v>
      </c>
      <c r="BV405" s="9">
        <f t="shared" si="1589"/>
        <v>1.5468560948614203</v>
      </c>
      <c r="BW405" s="40">
        <f t="shared" si="1738"/>
        <v>20</v>
      </c>
      <c r="BX405" s="9">
        <f t="shared" si="1590"/>
        <v>0.05</v>
      </c>
      <c r="BY405" s="9">
        <f t="shared" si="1795"/>
        <v>0.8</v>
      </c>
      <c r="BZ405" s="9">
        <f t="shared" si="1591"/>
        <v>0.89777220146327208</v>
      </c>
      <c r="CA405" s="9">
        <f t="shared" si="1592"/>
        <v>0.68</v>
      </c>
      <c r="CB405" s="9">
        <f t="shared" si="1593"/>
        <v>1.129240956903802</v>
      </c>
      <c r="CC405" s="9">
        <f t="shared" si="1594"/>
        <v>2.6501660222768302</v>
      </c>
      <c r="CD405" s="40">
        <v>1</v>
      </c>
      <c r="CE405" s="9" t="e">
        <f>4*CC405*#REF!+60*CC405</f>
        <v>#REF!</v>
      </c>
      <c r="CG405" s="4" t="e">
        <f t="shared" si="1796"/>
        <v>#REF!</v>
      </c>
      <c r="CH405" s="4" t="e">
        <f t="shared" si="1797"/>
        <v>#REF!</v>
      </c>
      <c r="CI405" s="4" t="e">
        <f t="shared" si="1798"/>
        <v>#REF!</v>
      </c>
      <c r="CJ405" s="4" t="e">
        <f t="shared" si="1799"/>
        <v>#REF!</v>
      </c>
      <c r="CK405" s="4">
        <f t="shared" si="1800"/>
        <v>1.0622002196076112</v>
      </c>
      <c r="CL405" s="4">
        <f t="shared" si="1801"/>
        <v>1.1753055919076683</v>
      </c>
      <c r="CM405" s="4">
        <f t="shared" si="1699"/>
        <v>0.9673044426554136</v>
      </c>
      <c r="CN405" s="4">
        <f t="shared" si="1739"/>
        <v>12</v>
      </c>
      <c r="CU405" s="4" t="e">
        <f t="shared" si="1846"/>
        <v>#REF!</v>
      </c>
      <c r="CV405" s="4" t="e">
        <f t="shared" si="1847"/>
        <v>#REF!</v>
      </c>
      <c r="CW405" s="4" t="e">
        <f t="shared" si="1848"/>
        <v>#REF!</v>
      </c>
      <c r="CX405" s="4">
        <f t="shared" si="1849"/>
        <v>0.9673044426554136</v>
      </c>
      <c r="CY405" s="4">
        <f t="shared" si="1850"/>
        <v>1.0622002196076112</v>
      </c>
      <c r="CZ405" s="4">
        <f t="shared" si="1851"/>
        <v>1.1753055919076683</v>
      </c>
      <c r="DC405" s="4" t="e">
        <f>#REF!</f>
        <v>#REF!</v>
      </c>
      <c r="DF405" s="4">
        <f t="shared" si="1601"/>
        <v>2.0861473906437448E-5</v>
      </c>
      <c r="DG405" s="4">
        <f t="shared" si="1802"/>
        <v>5.9909859754492585</v>
      </c>
      <c r="DH405" s="4">
        <f t="shared" si="1602"/>
        <v>0.65006046608882018</v>
      </c>
      <c r="DI405" s="4">
        <f t="shared" si="1803"/>
        <v>5.0428935978626948</v>
      </c>
      <c r="DJ405" s="4">
        <f t="shared" si="1804"/>
        <v>5.5372835873877797</v>
      </c>
      <c r="DK405" s="4">
        <f t="shared" si="1603"/>
        <v>5.4870121914231831</v>
      </c>
      <c r="DL405" s="38">
        <f t="shared" si="1604"/>
        <v>483.70645567939812</v>
      </c>
      <c r="DM405" s="4" t="e">
        <f t="shared" si="1805"/>
        <v>#REF!</v>
      </c>
      <c r="DN405" s="4">
        <f t="shared" si="1605"/>
        <v>2.1908902300206643</v>
      </c>
      <c r="DO405" s="4">
        <f t="shared" si="1697"/>
        <v>225.98730751771248</v>
      </c>
      <c r="DS405" s="4">
        <f t="shared" si="1606"/>
        <v>0.85</v>
      </c>
      <c r="DT405" s="4">
        <f t="shared" si="1607"/>
        <v>0.92269503546099285</v>
      </c>
      <c r="DU405" s="4">
        <f t="shared" si="1608"/>
        <v>0.92410215783914285</v>
      </c>
      <c r="DV405" s="4">
        <f t="shared" si="1806"/>
        <v>0.85266447329696793</v>
      </c>
      <c r="DX405" s="4">
        <f t="shared" si="1609"/>
        <v>437.15703131670239</v>
      </c>
      <c r="DY405" s="25">
        <f t="shared" si="1502"/>
        <v>224.03089193476285</v>
      </c>
      <c r="EA405" s="4">
        <f t="shared" si="1503"/>
        <v>0.72476480230242268</v>
      </c>
      <c r="EB405" s="4">
        <f t="shared" si="1610"/>
        <v>5.9909859754492585</v>
      </c>
      <c r="EE405" s="4">
        <f t="shared" si="1611"/>
        <v>78.464542697960056</v>
      </c>
      <c r="EF405" s="4">
        <f t="shared" si="1807"/>
        <v>2.1908902300206643</v>
      </c>
      <c r="EG405" s="4">
        <f t="shared" si="1612"/>
        <v>0.18785922691746718</v>
      </c>
      <c r="EJ405" s="4">
        <f t="shared" si="1808"/>
        <v>0.18785922691746718</v>
      </c>
      <c r="EK405" s="4">
        <f t="shared" si="1613"/>
        <v>0.6489756363257192</v>
      </c>
      <c r="EL405" s="4">
        <f t="shared" si="1809"/>
        <v>5.0395256512441255</v>
      </c>
      <c r="EM405" s="4">
        <f t="shared" si="1810"/>
        <v>5.5357504872666619</v>
      </c>
      <c r="EN405" s="4" t="e">
        <f t="shared" si="1811"/>
        <v>#REF!</v>
      </c>
      <c r="EO405" s="4" t="e">
        <f t="shared" si="1812"/>
        <v>#REF!</v>
      </c>
      <c r="EP405" s="4" t="e">
        <f t="shared" si="1614"/>
        <v>#REF!</v>
      </c>
      <c r="EQ405" s="4" t="e">
        <f t="shared" si="1813"/>
        <v>#REF!</v>
      </c>
      <c r="ER405" s="4" t="e">
        <f t="shared" si="1615"/>
        <v>#REF!</v>
      </c>
      <c r="FA405" s="23" t="e">
        <f t="shared" si="1772"/>
        <v>#REF!</v>
      </c>
      <c r="FB405" s="23" t="e">
        <f t="shared" si="1773"/>
        <v>#REF!</v>
      </c>
      <c r="FC405" s="23">
        <f t="shared" si="1706"/>
        <v>1</v>
      </c>
      <c r="FD405" s="23" t="e">
        <f t="shared" si="1774"/>
        <v>#REF!</v>
      </c>
      <c r="FE405" s="23">
        <f t="shared" si="1775"/>
        <v>1.2</v>
      </c>
      <c r="FF405" s="23">
        <f t="shared" si="1776"/>
        <v>1.2</v>
      </c>
      <c r="FG405" s="23">
        <f t="shared" si="1629"/>
        <v>0</v>
      </c>
      <c r="FH405" s="23"/>
      <c r="FR405" s="4">
        <f t="shared" si="1852"/>
        <v>1</v>
      </c>
      <c r="FS405" s="4">
        <f t="shared" si="1853"/>
        <v>0.43098983553339404</v>
      </c>
      <c r="FT405" s="4">
        <f t="shared" si="1854"/>
        <v>0.3</v>
      </c>
      <c r="FU405" s="4">
        <f t="shared" si="1855"/>
        <v>531.15966472543778</v>
      </c>
    </row>
    <row r="406" spans="2:177" ht="12" customHeight="1" x14ac:dyDescent="0.3">
      <c r="B406" s="14"/>
      <c r="C406" s="7" t="s">
        <v>551</v>
      </c>
      <c r="D406" s="38">
        <f t="shared" si="1841"/>
        <v>931.0344827586207</v>
      </c>
      <c r="E406" s="38">
        <f>12*25.4</f>
        <v>304.79999999999995</v>
      </c>
      <c r="F406" s="38">
        <f>3960/145</f>
        <v>27.310344827586206</v>
      </c>
      <c r="G406" s="38">
        <f t="shared" si="1842"/>
        <v>35.813999999999993</v>
      </c>
      <c r="H406" s="38">
        <f>21.7*25.4</f>
        <v>551.17999999999995</v>
      </c>
      <c r="I406" s="38">
        <f>2.7*25.4</f>
        <v>68.58</v>
      </c>
      <c r="J406" s="39">
        <f>3.1*25.4</f>
        <v>78.739999999999995</v>
      </c>
      <c r="K406" s="7">
        <f t="shared" si="1727"/>
        <v>342.39199999999994</v>
      </c>
      <c r="L406" s="38">
        <v>2</v>
      </c>
      <c r="M406" s="4">
        <f t="shared" si="1843"/>
        <v>508</v>
      </c>
      <c r="N406" s="7">
        <f t="shared" si="1569"/>
        <v>2.4148936170212769</v>
      </c>
      <c r="O406" s="7">
        <f t="shared" si="1570"/>
        <v>2.4148936170212769</v>
      </c>
      <c r="P406" s="38">
        <v>3.8</v>
      </c>
      <c r="Q406" s="4">
        <f t="shared" si="1736"/>
        <v>3.8</v>
      </c>
      <c r="R406" s="4">
        <f t="shared" si="1571"/>
        <v>4.8</v>
      </c>
      <c r="S406" s="7">
        <f t="shared" si="1572"/>
        <v>78.464542697960056</v>
      </c>
      <c r="V406" s="38">
        <f t="shared" si="1777"/>
        <v>251.0344827586207</v>
      </c>
      <c r="W406" s="4">
        <v>36.4</v>
      </c>
      <c r="X406" s="4">
        <f t="shared" si="1573"/>
        <v>0.68598892644176579</v>
      </c>
      <c r="Y406" s="38"/>
      <c r="Z406" s="38"/>
      <c r="AA406" s="39">
        <v>1</v>
      </c>
      <c r="AB406" s="39"/>
      <c r="AC406" s="39"/>
      <c r="AD406" s="7"/>
      <c r="AE406" s="4">
        <f t="shared" si="1576"/>
        <v>304.79999999999995</v>
      </c>
      <c r="AF406" s="4">
        <f t="shared" si="1577"/>
        <v>0.60277777777777775</v>
      </c>
      <c r="AG406" s="4">
        <f t="shared" si="1578"/>
        <v>138.02587222939175</v>
      </c>
      <c r="AH406" s="4">
        <f t="shared" si="1579"/>
        <v>0.75674999999999992</v>
      </c>
      <c r="AI406" s="4">
        <v>1.25</v>
      </c>
      <c r="AJ406" s="4">
        <f t="shared" si="1513"/>
        <v>2.5</v>
      </c>
      <c r="AK406" s="38">
        <f t="shared" si="1729"/>
        <v>196.75246616042975</v>
      </c>
      <c r="AL406" s="38">
        <f t="shared" si="1616"/>
        <v>196.75246616042975</v>
      </c>
      <c r="AM406" s="38">
        <f t="shared" si="1580"/>
        <v>2.7206502209498358</v>
      </c>
      <c r="AN406" s="38">
        <f t="shared" si="1521"/>
        <v>196.75246616042969</v>
      </c>
      <c r="AO406" s="38">
        <f t="shared" si="1845"/>
        <v>1.0000000000000002</v>
      </c>
      <c r="AP406" s="38">
        <f t="shared" si="1522"/>
        <v>1.3068531728320587</v>
      </c>
      <c r="AQ406" s="4">
        <f t="shared" si="1523"/>
        <v>0</v>
      </c>
      <c r="AR406" s="4" t="e">
        <f>#REF!/G406*F406^0.5/0.19</f>
        <v>#REF!</v>
      </c>
      <c r="AS406" s="4">
        <f t="shared" si="1581"/>
        <v>1</v>
      </c>
      <c r="AT406" s="38">
        <f t="shared" si="1582"/>
        <v>257.12658466428979</v>
      </c>
      <c r="AU406" s="4">
        <f t="shared" si="1583"/>
        <v>0.46800000000000008</v>
      </c>
      <c r="AV406" s="4" t="e">
        <f>AU406*D406*#REF!/(D406*G406/2.75/F406^0.5)</f>
        <v>#REF!</v>
      </c>
      <c r="AW406" s="4" t="e">
        <f t="shared" si="1793"/>
        <v>#REF!</v>
      </c>
      <c r="AY406" s="4">
        <f t="shared" si="1584"/>
        <v>1.2287234042553192</v>
      </c>
      <c r="AZ406" s="4" t="e">
        <f>(3*#REF!+30)*AY406*F406^0.5</f>
        <v>#REF!</v>
      </c>
      <c r="BB406" s="4">
        <f t="shared" si="1585"/>
        <v>246.61583922536434</v>
      </c>
      <c r="BC406" s="4">
        <f t="shared" si="1822"/>
        <v>0</v>
      </c>
      <c r="BD406" s="4">
        <f t="shared" si="1794"/>
        <v>0</v>
      </c>
      <c r="BL406" s="4">
        <f t="shared" si="1586"/>
        <v>68.58</v>
      </c>
      <c r="BP406" s="9"/>
      <c r="BR406" s="9"/>
      <c r="BS406" s="9"/>
      <c r="BT406" s="9">
        <f t="shared" si="1587"/>
        <v>68.58</v>
      </c>
      <c r="BU406" s="9">
        <f t="shared" si="1588"/>
        <v>171.19599999999997</v>
      </c>
      <c r="BV406" s="9">
        <f t="shared" si="1589"/>
        <v>1.5873282502249415</v>
      </c>
      <c r="BW406" s="40">
        <f t="shared" si="1738"/>
        <v>0</v>
      </c>
      <c r="BX406" s="9">
        <f t="shared" si="1590"/>
        <v>0</v>
      </c>
      <c r="BY406" s="9">
        <f t="shared" si="1795"/>
        <v>0</v>
      </c>
      <c r="BZ406" s="9">
        <f t="shared" si="1591"/>
        <v>0.89777220146327208</v>
      </c>
      <c r="CA406" s="9">
        <f t="shared" si="1592"/>
        <v>0.68</v>
      </c>
      <c r="CB406" s="9">
        <f t="shared" si="1593"/>
        <v>1.1166233434875248</v>
      </c>
      <c r="CC406" s="9">
        <f t="shared" si="1594"/>
        <v>1.7724477779783765</v>
      </c>
      <c r="CD406" s="40">
        <v>1</v>
      </c>
      <c r="CE406" s="9" t="e">
        <f>4*CC406*#REF!+60*CC406</f>
        <v>#REF!</v>
      </c>
      <c r="CG406" s="4" t="e">
        <f t="shared" si="1796"/>
        <v>#REF!</v>
      </c>
      <c r="CH406" s="4" t="e">
        <f t="shared" si="1797"/>
        <v>#REF!</v>
      </c>
      <c r="CI406" s="4" t="e">
        <f t="shared" si="1798"/>
        <v>#REF!</v>
      </c>
      <c r="CJ406" s="4" t="e">
        <f t="shared" si="1799"/>
        <v>#REF!</v>
      </c>
      <c r="CK406" s="4">
        <f t="shared" si="1800"/>
        <v>0.68598892644176579</v>
      </c>
      <c r="CL406" s="4">
        <f t="shared" si="1801"/>
        <v>0.74669552116938287</v>
      </c>
      <c r="CM406" s="4">
        <f t="shared" si="1699"/>
        <v>0.76825652258018351</v>
      </c>
      <c r="CN406" s="4">
        <f t="shared" si="1739"/>
        <v>0</v>
      </c>
      <c r="CO406" s="4" t="e">
        <f t="shared" ref="CO406" si="1856">CG406</f>
        <v>#REF!</v>
      </c>
      <c r="CP406" s="4" t="e">
        <f t="shared" ref="CP406" si="1857">CH406</f>
        <v>#REF!</v>
      </c>
      <c r="CQ406" s="4" t="e">
        <f t="shared" ref="CQ406" si="1858">CJ406</f>
        <v>#REF!</v>
      </c>
      <c r="CR406" s="4">
        <f t="shared" ref="CR406" si="1859">CM406</f>
        <v>0.76825652258018351</v>
      </c>
      <c r="CS406" s="4">
        <f t="shared" ref="CS406" si="1860">CK406</f>
        <v>0.68598892644176579</v>
      </c>
      <c r="CT406" s="4">
        <f t="shared" ref="CT406" si="1861">CL406</f>
        <v>0.74669552116938287</v>
      </c>
      <c r="DC406" s="4" t="e">
        <f>#REF!</f>
        <v>#REF!</v>
      </c>
      <c r="DF406" s="4">
        <f t="shared" si="1601"/>
        <v>1.4904502788497585E-5</v>
      </c>
      <c r="DG406" s="4">
        <f t="shared" si="1802"/>
        <v>5.5598943030135199</v>
      </c>
      <c r="DH406" s="4">
        <f t="shared" si="1602"/>
        <v>0.57882826340566917</v>
      </c>
      <c r="DI406" s="4">
        <f t="shared" si="1803"/>
        <v>4.4677249354864337</v>
      </c>
      <c r="DJ406" s="4">
        <f t="shared" si="1804"/>
        <v>5.0434954587795096</v>
      </c>
      <c r="DK406" s="4">
        <f t="shared" si="1603"/>
        <v>5.3425632594807206</v>
      </c>
      <c r="DL406" s="38">
        <f t="shared" si="1604"/>
        <v>365.94538640840761</v>
      </c>
      <c r="DM406" s="4" t="e">
        <f t="shared" si="1805"/>
        <v>#REF!</v>
      </c>
      <c r="DN406" s="4">
        <f t="shared" si="1605"/>
        <v>2.1908902300206643</v>
      </c>
      <c r="DO406" s="4">
        <f t="shared" si="1697"/>
        <v>196.75246616042969</v>
      </c>
      <c r="DS406" s="4">
        <f t="shared" si="1606"/>
        <v>0.85</v>
      </c>
      <c r="DT406" s="4">
        <f t="shared" si="1607"/>
        <v>0.90851063829787226</v>
      </c>
      <c r="DU406" s="4">
        <f t="shared" si="1608"/>
        <v>1</v>
      </c>
      <c r="DV406" s="4">
        <f t="shared" si="1806"/>
        <v>0.90851063829787226</v>
      </c>
      <c r="DX406" s="4">
        <f t="shared" si="1609"/>
        <v>336.19390453217306</v>
      </c>
      <c r="DY406" s="25">
        <f t="shared" si="1502"/>
        <v>194.23915637012578</v>
      </c>
      <c r="EA406" s="4">
        <f t="shared" si="1503"/>
        <v>0.77223404255319139</v>
      </c>
      <c r="EB406" s="4">
        <f t="shared" si="1610"/>
        <v>5.5598943030135199</v>
      </c>
      <c r="EE406" s="4">
        <f t="shared" si="1611"/>
        <v>78.464542697960056</v>
      </c>
      <c r="EF406" s="4">
        <f t="shared" si="1807"/>
        <v>2.1908902300206643</v>
      </c>
      <c r="EG406" s="4">
        <f t="shared" si="1612"/>
        <v>0.16540498194388473</v>
      </c>
      <c r="EJ406" s="4">
        <f t="shared" si="1808"/>
        <v>0.16540498194388473</v>
      </c>
      <c r="EK406" s="4">
        <f t="shared" si="1613"/>
        <v>0.57786230691296858</v>
      </c>
      <c r="EL406" s="4">
        <f t="shared" si="1809"/>
        <v>4.4647411209765364</v>
      </c>
      <c r="EM406" s="4">
        <f t="shared" si="1810"/>
        <v>5.0421745387071857</v>
      </c>
      <c r="EN406" s="4" t="e">
        <f t="shared" si="1811"/>
        <v>#REF!</v>
      </c>
      <c r="EO406" s="4" t="e">
        <f t="shared" si="1812"/>
        <v>#REF!</v>
      </c>
      <c r="EP406" s="4" t="e">
        <f t="shared" si="1614"/>
        <v>#REF!</v>
      </c>
      <c r="EQ406" s="4" t="e">
        <f t="shared" si="1813"/>
        <v>#REF!</v>
      </c>
      <c r="ER406" s="4" t="e">
        <f t="shared" si="1615"/>
        <v>#REF!</v>
      </c>
      <c r="FA406" s="23" t="e">
        <f t="shared" si="1772"/>
        <v>#REF!</v>
      </c>
      <c r="FB406" s="23" t="e">
        <f t="shared" si="1773"/>
        <v>#REF!</v>
      </c>
      <c r="FC406" s="23">
        <f t="shared" si="1706"/>
        <v>0.8</v>
      </c>
      <c r="FD406" s="23" t="e">
        <f t="shared" si="1774"/>
        <v>#REF!</v>
      </c>
      <c r="FE406" s="23">
        <f t="shared" si="1775"/>
        <v>0.8</v>
      </c>
      <c r="FF406" s="23">
        <f t="shared" si="1776"/>
        <v>0.8</v>
      </c>
      <c r="FG406" s="23">
        <f t="shared" si="1629"/>
        <v>1</v>
      </c>
      <c r="FH406" s="23"/>
      <c r="FR406" s="4">
        <f t="shared" si="1852"/>
        <v>1</v>
      </c>
      <c r="FS406" s="4">
        <f t="shared" si="1853"/>
        <v>0.5</v>
      </c>
      <c r="FT406" s="4">
        <f t="shared" si="1854"/>
        <v>0</v>
      </c>
      <c r="FU406" s="4">
        <f t="shared" si="1855"/>
        <v>326.75867419325431</v>
      </c>
    </row>
    <row r="407" spans="2:177" ht="12" customHeight="1" x14ac:dyDescent="0.3">
      <c r="B407" s="14"/>
      <c r="C407" s="7" t="s">
        <v>552</v>
      </c>
      <c r="D407" s="38">
        <f t="shared" si="1841"/>
        <v>931.0344827586207</v>
      </c>
      <c r="E407" s="38">
        <f>12*25.4</f>
        <v>304.79999999999995</v>
      </c>
      <c r="F407" s="38">
        <f>3960/145</f>
        <v>27.310344827586206</v>
      </c>
      <c r="G407" s="38">
        <f t="shared" si="1842"/>
        <v>35.813999999999993</v>
      </c>
      <c r="H407" s="38">
        <f t="shared" ref="H407" si="1862">21.4*25.4</f>
        <v>543.55999999999995</v>
      </c>
      <c r="I407" s="38">
        <f>2.4*25.4</f>
        <v>60.959999999999994</v>
      </c>
      <c r="J407" s="39">
        <f>3.7*25.4</f>
        <v>93.98</v>
      </c>
      <c r="K407" s="7">
        <f t="shared" si="1727"/>
        <v>350.01199999999994</v>
      </c>
      <c r="L407" s="38">
        <v>2</v>
      </c>
      <c r="M407" s="4">
        <f t="shared" si="1843"/>
        <v>508</v>
      </c>
      <c r="N407" s="7">
        <f t="shared" si="1569"/>
        <v>2.2021276595744683</v>
      </c>
      <c r="O407" s="7">
        <f t="shared" si="1570"/>
        <v>2.2021276595744683</v>
      </c>
      <c r="P407" s="38">
        <v>3.8</v>
      </c>
      <c r="Q407" s="4">
        <f t="shared" si="1736"/>
        <v>3.8</v>
      </c>
      <c r="R407" s="4">
        <f t="shared" si="1571"/>
        <v>4.8</v>
      </c>
      <c r="S407" s="7">
        <f t="shared" si="1572"/>
        <v>78.464542697960056</v>
      </c>
      <c r="V407" s="38">
        <f t="shared" si="1777"/>
        <v>297.24137931034488</v>
      </c>
      <c r="W407" s="4">
        <v>43.1</v>
      </c>
      <c r="X407" s="4">
        <f t="shared" si="1573"/>
        <v>0.83117670323868909</v>
      </c>
      <c r="Y407" s="38">
        <f>0.5*25.4</f>
        <v>12.7</v>
      </c>
      <c r="Z407" s="38">
        <v>4</v>
      </c>
      <c r="AA407" s="39">
        <f>8*25.4</f>
        <v>203.2</v>
      </c>
      <c r="AB407" s="39">
        <v>2</v>
      </c>
      <c r="AC407" s="39">
        <f t="shared" ref="AC407" si="1863">AB407-1</f>
        <v>1</v>
      </c>
      <c r="AD407" s="7"/>
      <c r="AE407" s="4">
        <f t="shared" si="1576"/>
        <v>304.79999999999995</v>
      </c>
      <c r="AF407" s="4">
        <f t="shared" si="1577"/>
        <v>0.59444444444444433</v>
      </c>
      <c r="AG407" s="4">
        <f t="shared" si="1578"/>
        <v>138.02587222939175</v>
      </c>
      <c r="AH407" s="4">
        <f t="shared" si="1579"/>
        <v>0.75174999999999992</v>
      </c>
      <c r="AI407" s="4">
        <v>1.25</v>
      </c>
      <c r="AJ407" s="4">
        <f t="shared" si="1513"/>
        <v>2.5</v>
      </c>
      <c r="AK407" s="38">
        <f t="shared" si="1729"/>
        <v>192.75037484346592</v>
      </c>
      <c r="AL407" s="38">
        <f t="shared" si="1616"/>
        <v>192.75037484346592</v>
      </c>
      <c r="AM407" s="38">
        <f t="shared" si="1580"/>
        <v>2.7206502209498358</v>
      </c>
      <c r="AN407" s="38">
        <f t="shared" si="1521"/>
        <v>192.75037484346589</v>
      </c>
      <c r="AO407" s="38">
        <f t="shared" si="1845"/>
        <v>1.0000000000000002</v>
      </c>
      <c r="AP407" s="38">
        <f t="shared" si="1522"/>
        <v>1.2164555333014579</v>
      </c>
      <c r="AQ407" s="4">
        <f t="shared" si="1523"/>
        <v>0</v>
      </c>
      <c r="AR407" s="4" t="e">
        <f>#REF!/G407*F407^0.5/0.19</f>
        <v>#REF!</v>
      </c>
      <c r="AS407" s="4">
        <f t="shared" si="1581"/>
        <v>1</v>
      </c>
      <c r="AT407" s="38">
        <f t="shared" si="1582"/>
        <v>234.47226002426424</v>
      </c>
      <c r="AU407" s="4">
        <f t="shared" si="1583"/>
        <v>0.46800000000000008</v>
      </c>
      <c r="AV407" s="4" t="e">
        <f>AU407*D407*#REF!/(D407*G407/2.75/F407^0.5)</f>
        <v>#REF!</v>
      </c>
      <c r="AW407" s="4" t="e">
        <f t="shared" si="1793"/>
        <v>#REF!</v>
      </c>
      <c r="AY407" s="4">
        <f t="shared" si="1584"/>
        <v>1.454041901913989</v>
      </c>
      <c r="AZ407" s="4" t="e">
        <f>(3*#REF!+30)*AY407*F407^0.5</f>
        <v>#REF!</v>
      </c>
      <c r="BB407" s="4">
        <f t="shared" si="1585"/>
        <v>224.8875714522045</v>
      </c>
      <c r="BC407" s="4">
        <f t="shared" si="1822"/>
        <v>0</v>
      </c>
      <c r="BD407" s="4">
        <f t="shared" si="1794"/>
        <v>0</v>
      </c>
      <c r="BL407" s="4">
        <f t="shared" si="1586"/>
        <v>60.959999999999994</v>
      </c>
      <c r="BP407" s="9"/>
      <c r="BR407" s="9"/>
      <c r="BS407" s="9"/>
      <c r="BT407" s="9">
        <f t="shared" si="1587"/>
        <v>60.959999999999994</v>
      </c>
      <c r="BU407" s="9">
        <f t="shared" si="1588"/>
        <v>175.00599999999997</v>
      </c>
      <c r="BV407" s="9">
        <f t="shared" si="1589"/>
        <v>1.5282600539404603</v>
      </c>
      <c r="BW407" s="40">
        <f t="shared" si="1738"/>
        <v>20</v>
      </c>
      <c r="BX407" s="9">
        <f t="shared" si="1590"/>
        <v>0.05</v>
      </c>
      <c r="BY407" s="9">
        <f t="shared" si="1795"/>
        <v>0.8</v>
      </c>
      <c r="BZ407" s="9">
        <f t="shared" si="1591"/>
        <v>0.89777220146327208</v>
      </c>
      <c r="CA407" s="9">
        <f t="shared" si="1592"/>
        <v>0.68</v>
      </c>
      <c r="CB407" s="9">
        <f t="shared" si="1593"/>
        <v>1.1166233434875248</v>
      </c>
      <c r="CC407" s="9">
        <f t="shared" si="1594"/>
        <v>2.5997895259394417</v>
      </c>
      <c r="CD407" s="40">
        <v>1</v>
      </c>
      <c r="CE407" s="9" t="e">
        <f>4*CC407*#REF!+60*CC407</f>
        <v>#REF!</v>
      </c>
      <c r="CG407" s="4" t="e">
        <f t="shared" si="1796"/>
        <v>#REF!</v>
      </c>
      <c r="CH407" s="4" t="e">
        <f t="shared" si="1797"/>
        <v>#REF!</v>
      </c>
      <c r="CI407" s="4" t="e">
        <f t="shared" si="1798"/>
        <v>#REF!</v>
      </c>
      <c r="CJ407" s="4" t="e">
        <f t="shared" si="1799"/>
        <v>#REF!</v>
      </c>
      <c r="CK407" s="4">
        <f t="shared" si="1800"/>
        <v>0.83117670323868909</v>
      </c>
      <c r="CL407" s="4">
        <f t="shared" si="1801"/>
        <v>0.90336797784402101</v>
      </c>
      <c r="CM407" s="4">
        <f t="shared" si="1699"/>
        <v>1.0055163450729336</v>
      </c>
      <c r="CN407" s="4">
        <f t="shared" si="1739"/>
        <v>4</v>
      </c>
      <c r="CU407" s="4" t="e">
        <f t="shared" ref="CU407:CU408" si="1864">CG407</f>
        <v>#REF!</v>
      </c>
      <c r="CV407" s="4" t="e">
        <f t="shared" ref="CV407:CV408" si="1865">CH407</f>
        <v>#REF!</v>
      </c>
      <c r="CW407" s="4" t="e">
        <f t="shared" ref="CW407:CW408" si="1866">CJ407</f>
        <v>#REF!</v>
      </c>
      <c r="CX407" s="4">
        <f t="shared" ref="CX407:CX408" si="1867">CM407</f>
        <v>1.0055163450729336</v>
      </c>
      <c r="CY407" s="4">
        <f t="shared" ref="CY407:CY408" si="1868">CK407</f>
        <v>0.83117670323868909</v>
      </c>
      <c r="CZ407" s="4">
        <f t="shared" ref="CZ407:CZ408" si="1869">CL407</f>
        <v>0.90336797784402101</v>
      </c>
      <c r="DC407" s="4" t="e">
        <f>#REF!</f>
        <v>#REF!</v>
      </c>
      <c r="DF407" s="4">
        <f t="shared" si="1601"/>
        <v>1.4904502788497585E-5</v>
      </c>
      <c r="DG407" s="4">
        <f t="shared" si="1802"/>
        <v>5.4351055338759089</v>
      </c>
      <c r="DH407" s="4">
        <f t="shared" si="1602"/>
        <v>0.5670544665522147</v>
      </c>
      <c r="DI407" s="4">
        <f t="shared" si="1803"/>
        <v>4.3316952161002904</v>
      </c>
      <c r="DJ407" s="4">
        <f t="shared" si="1804"/>
        <v>4.91450537854291</v>
      </c>
      <c r="DK407" s="4">
        <f t="shared" si="1603"/>
        <v>5.2282250018223193</v>
      </c>
      <c r="DL407" s="38">
        <f t="shared" si="1604"/>
        <v>357.61514747964014</v>
      </c>
      <c r="DM407" s="4" t="e">
        <f t="shared" si="1805"/>
        <v>#REF!</v>
      </c>
      <c r="DN407" s="4">
        <f t="shared" si="1605"/>
        <v>2.1908902300206643</v>
      </c>
      <c r="DO407" s="4">
        <f t="shared" si="1697"/>
        <v>192.75037484346589</v>
      </c>
      <c r="DS407" s="4">
        <f t="shared" si="1606"/>
        <v>0.85</v>
      </c>
      <c r="DT407" s="4">
        <f t="shared" si="1607"/>
        <v>0.92978723404255315</v>
      </c>
      <c r="DU407" s="4">
        <f t="shared" si="1608"/>
        <v>0.9995510789195714</v>
      </c>
      <c r="DV407" s="4">
        <f t="shared" si="1806"/>
        <v>0.92936983295287801</v>
      </c>
      <c r="DX407" s="4">
        <f t="shared" si="1609"/>
        <v>329.03687821627403</v>
      </c>
      <c r="DY407" s="25">
        <f t="shared" si="1502"/>
        <v>190.2682262875274</v>
      </c>
      <c r="EA407" s="4">
        <f t="shared" si="1503"/>
        <v>0.78996435800994624</v>
      </c>
      <c r="EB407" s="4">
        <f t="shared" si="1610"/>
        <v>5.4351055338759089</v>
      </c>
      <c r="EE407" s="4">
        <f t="shared" si="1611"/>
        <v>78.464542697960056</v>
      </c>
      <c r="EF407" s="4">
        <f t="shared" si="1807"/>
        <v>2.1908902300206643</v>
      </c>
      <c r="EG407" s="4">
        <f t="shared" si="1612"/>
        <v>0.16204052174199624</v>
      </c>
      <c r="EJ407" s="4">
        <f t="shared" si="1808"/>
        <v>0.16204052174199624</v>
      </c>
      <c r="EK407" s="4">
        <f t="shared" si="1613"/>
        <v>0.56610815833212513</v>
      </c>
      <c r="EL407" s="4">
        <f t="shared" si="1809"/>
        <v>4.3288022503906989</v>
      </c>
      <c r="EM407" s="4">
        <f t="shared" si="1810"/>
        <v>4.9132311286392003</v>
      </c>
      <c r="EN407" s="4" t="e">
        <f t="shared" si="1811"/>
        <v>#REF!</v>
      </c>
      <c r="EO407" s="4" t="e">
        <f t="shared" si="1812"/>
        <v>#REF!</v>
      </c>
      <c r="EP407" s="4" t="e">
        <f t="shared" si="1614"/>
        <v>#REF!</v>
      </c>
      <c r="EQ407" s="4" t="e">
        <f t="shared" si="1813"/>
        <v>#REF!</v>
      </c>
      <c r="ER407" s="4" t="e">
        <f t="shared" si="1615"/>
        <v>#REF!</v>
      </c>
      <c r="FA407" s="23" t="e">
        <f t="shared" si="1772"/>
        <v>#REF!</v>
      </c>
      <c r="FB407" s="23" t="e">
        <f t="shared" si="1773"/>
        <v>#REF!</v>
      </c>
      <c r="FC407" s="23">
        <f t="shared" si="1706"/>
        <v>1.2</v>
      </c>
      <c r="FD407" s="23" t="e">
        <f t="shared" si="1774"/>
        <v>#REF!</v>
      </c>
      <c r="FE407" s="23">
        <f t="shared" si="1775"/>
        <v>1</v>
      </c>
      <c r="FF407" s="23">
        <f t="shared" si="1776"/>
        <v>1</v>
      </c>
      <c r="FG407" s="23">
        <f t="shared" si="1629"/>
        <v>0</v>
      </c>
      <c r="FH407" s="23"/>
      <c r="FR407" s="4">
        <f t="shared" si="1852"/>
        <v>1.25</v>
      </c>
      <c r="FS407" s="4">
        <f t="shared" si="1853"/>
        <v>0.44214730608235164</v>
      </c>
      <c r="FT407" s="4">
        <f t="shared" si="1854"/>
        <v>0.25149640360142855</v>
      </c>
      <c r="FU407" s="4">
        <f t="shared" si="1855"/>
        <v>295.61068874398546</v>
      </c>
    </row>
    <row r="408" spans="2:177" ht="12" customHeight="1" x14ac:dyDescent="0.3">
      <c r="B408" s="14"/>
      <c r="C408" s="7" t="s">
        <v>553</v>
      </c>
      <c r="D408" s="38">
        <f t="shared" si="1841"/>
        <v>931.0344827586207</v>
      </c>
      <c r="E408" s="38">
        <f>12.09*25.4</f>
        <v>307.08599999999996</v>
      </c>
      <c r="F408" s="38">
        <f>3960/145</f>
        <v>27.310344827586206</v>
      </c>
      <c r="G408" s="38">
        <f t="shared" si="1842"/>
        <v>35.813999999999993</v>
      </c>
      <c r="H408" s="38">
        <f>21.6*25.4</f>
        <v>548.64</v>
      </c>
      <c r="I408" s="38">
        <f>2.65*25.4</f>
        <v>67.309999999999988</v>
      </c>
      <c r="J408" s="39">
        <f>3.55*25.4</f>
        <v>90.169999999999987</v>
      </c>
      <c r="K408" s="7">
        <f t="shared" si="1727"/>
        <v>342.39200000000005</v>
      </c>
      <c r="L408" s="38">
        <v>2</v>
      </c>
      <c r="M408" s="4">
        <f t="shared" si="1843"/>
        <v>508</v>
      </c>
      <c r="N408" s="7">
        <f t="shared" si="1569"/>
        <v>2.3794326241134751</v>
      </c>
      <c r="O408" s="7">
        <f t="shared" si="1570"/>
        <v>2.3794326241134751</v>
      </c>
      <c r="P408" s="38">
        <v>3.8</v>
      </c>
      <c r="Q408" s="4">
        <f t="shared" si="1736"/>
        <v>3.8</v>
      </c>
      <c r="R408" s="4">
        <f t="shared" si="1571"/>
        <v>4.8</v>
      </c>
      <c r="S408" s="7">
        <f t="shared" si="1572"/>
        <v>78.464542697960056</v>
      </c>
      <c r="V408" s="38">
        <f t="shared" si="1777"/>
        <v>344.82758620689657</v>
      </c>
      <c r="W408" s="4">
        <v>50</v>
      </c>
      <c r="X408" s="4">
        <f t="shared" si="1573"/>
        <v>0.90798285629871378</v>
      </c>
      <c r="Y408" s="38">
        <f>0.5*25.4</f>
        <v>12.7</v>
      </c>
      <c r="Z408" s="38">
        <v>12</v>
      </c>
      <c r="AA408" s="39">
        <f>4*25.4</f>
        <v>101.6</v>
      </c>
      <c r="AB408" s="39">
        <v>4</v>
      </c>
      <c r="AC408" s="39">
        <v>2</v>
      </c>
      <c r="AD408" s="7"/>
      <c r="AE408" s="4">
        <f t="shared" si="1576"/>
        <v>307.08599999999996</v>
      </c>
      <c r="AF408" s="4">
        <f t="shared" si="1577"/>
        <v>0.59553349875930517</v>
      </c>
      <c r="AG408" s="4">
        <f t="shared" si="1578"/>
        <v>139.58157114605814</v>
      </c>
      <c r="AH408" s="4">
        <f t="shared" si="1579"/>
        <v>0.7555004135649297</v>
      </c>
      <c r="AI408" s="4">
        <v>1.25</v>
      </c>
      <c r="AJ408" s="4">
        <f t="shared" si="1513"/>
        <v>2.5</v>
      </c>
      <c r="AK408" s="38">
        <f t="shared" si="1729"/>
        <v>196.25422095574984</v>
      </c>
      <c r="AL408" s="38">
        <f t="shared" si="1616"/>
        <v>196.25422095574984</v>
      </c>
      <c r="AM408" s="38">
        <f t="shared" si="1580"/>
        <v>2.7206502209498358</v>
      </c>
      <c r="AN408" s="38">
        <f t="shared" si="1521"/>
        <v>196.25422095574979</v>
      </c>
      <c r="AO408" s="38">
        <f t="shared" si="1845"/>
        <v>1.0000000000000002</v>
      </c>
      <c r="AP408" s="38">
        <f t="shared" si="1522"/>
        <v>1.2909320505675961</v>
      </c>
      <c r="AQ408" s="4">
        <f t="shared" si="1523"/>
        <v>0</v>
      </c>
      <c r="AR408" s="4" t="e">
        <f>#REF!/G408*F408^0.5/0.19</f>
        <v>#REF!</v>
      </c>
      <c r="AS408" s="4">
        <f t="shared" si="1581"/>
        <v>1</v>
      </c>
      <c r="AT408" s="38">
        <f t="shared" si="1582"/>
        <v>253.35086389095216</v>
      </c>
      <c r="AU408" s="4">
        <f t="shared" si="1583"/>
        <v>0.46800000000000008</v>
      </c>
      <c r="AV408" s="4" t="e">
        <f>AU408*D408*#REF!/(D408*G408/2.75/F408^0.5)</f>
        <v>#REF!</v>
      </c>
      <c r="AW408" s="4" t="e">
        <f t="shared" si="1793"/>
        <v>#REF!</v>
      </c>
      <c r="AY408" s="4">
        <f t="shared" si="1584"/>
        <v>1.5</v>
      </c>
      <c r="AZ408" s="4" t="e">
        <f>(3*#REF!+30)*AY408*F408^0.5</f>
        <v>#REF!</v>
      </c>
      <c r="BB408" s="4">
        <f t="shared" si="1585"/>
        <v>242.99446126317099</v>
      </c>
      <c r="BC408" s="4">
        <f t="shared" si="1822"/>
        <v>0</v>
      </c>
      <c r="BD408" s="4">
        <f t="shared" si="1794"/>
        <v>0</v>
      </c>
      <c r="BL408" s="4">
        <f t="shared" si="1586"/>
        <v>67.309999999999988</v>
      </c>
      <c r="BP408" s="9"/>
      <c r="BR408" s="9"/>
      <c r="BS408" s="9"/>
      <c r="BT408" s="9">
        <f t="shared" si="1587"/>
        <v>67.309999999999988</v>
      </c>
      <c r="BU408" s="9">
        <f t="shared" si="1588"/>
        <v>171.19600000000003</v>
      </c>
      <c r="BV408" s="9">
        <f t="shared" si="1589"/>
        <v>1.5769774531015164</v>
      </c>
      <c r="BW408" s="40">
        <f t="shared" si="1738"/>
        <v>20</v>
      </c>
      <c r="BX408" s="9">
        <f t="shared" si="1590"/>
        <v>0.05</v>
      </c>
      <c r="BY408" s="9">
        <f t="shared" si="1795"/>
        <v>0.8</v>
      </c>
      <c r="BZ408" s="9">
        <f t="shared" si="1591"/>
        <v>0.89777220146327208</v>
      </c>
      <c r="CA408" s="9">
        <f t="shared" si="1592"/>
        <v>0.68</v>
      </c>
      <c r="CB408" s="9">
        <f t="shared" si="1593"/>
        <v>1.1166233434875248</v>
      </c>
      <c r="CC408" s="9">
        <f t="shared" si="1594"/>
        <v>2.6541885110766765</v>
      </c>
      <c r="CD408" s="40">
        <v>1</v>
      </c>
      <c r="CE408" s="9" t="e">
        <f>4*CC408*#REF!+60*CC408</f>
        <v>#REF!</v>
      </c>
      <c r="CG408" s="4" t="e">
        <f t="shared" si="1796"/>
        <v>#REF!</v>
      </c>
      <c r="CH408" s="4" t="e">
        <f t="shared" si="1797"/>
        <v>#REF!</v>
      </c>
      <c r="CI408" s="4" t="e">
        <f t="shared" si="1798"/>
        <v>#REF!</v>
      </c>
      <c r="CJ408" s="4" t="e">
        <f t="shared" si="1799"/>
        <v>#REF!</v>
      </c>
      <c r="CK408" s="4">
        <f t="shared" si="1800"/>
        <v>0.90798285629871378</v>
      </c>
      <c r="CL408" s="4">
        <f t="shared" si="1801"/>
        <v>0.99108586662496612</v>
      </c>
      <c r="CM408" s="4">
        <f t="shared" si="1699"/>
        <v>0.90287337363807318</v>
      </c>
      <c r="CN408" s="4">
        <f t="shared" si="1739"/>
        <v>12</v>
      </c>
      <c r="CU408" s="4" t="e">
        <f t="shared" si="1864"/>
        <v>#REF!</v>
      </c>
      <c r="CV408" s="4" t="e">
        <f t="shared" si="1865"/>
        <v>#REF!</v>
      </c>
      <c r="CW408" s="4" t="e">
        <f t="shared" si="1866"/>
        <v>#REF!</v>
      </c>
      <c r="CX408" s="4">
        <f t="shared" si="1867"/>
        <v>0.90287337363807318</v>
      </c>
      <c r="CY408" s="4">
        <f t="shared" si="1868"/>
        <v>0.90798285629871378</v>
      </c>
      <c r="CZ408" s="4">
        <f t="shared" si="1869"/>
        <v>0.99108586662496612</v>
      </c>
      <c r="DC408" s="4" t="e">
        <f>#REF!</f>
        <v>#REF!</v>
      </c>
      <c r="DF408" s="4">
        <f t="shared" si="1601"/>
        <v>1.5016286559411316E-5</v>
      </c>
      <c r="DG408" s="4">
        <f t="shared" si="1802"/>
        <v>5.9931439923967753</v>
      </c>
      <c r="DH408" s="4">
        <f t="shared" si="1602"/>
        <v>0.57736247030938381</v>
      </c>
      <c r="DI408" s="4">
        <f t="shared" si="1803"/>
        <v>4.81098643586121</v>
      </c>
      <c r="DJ408" s="4">
        <f t="shared" si="1804"/>
        <v>5.4343442806430158</v>
      </c>
      <c r="DK408" s="4">
        <f t="shared" si="1603"/>
        <v>5.737033797309703</v>
      </c>
      <c r="DL408" s="38">
        <f t="shared" si="1604"/>
        <v>379.77323449976359</v>
      </c>
      <c r="DM408" s="4" t="e">
        <f t="shared" si="1805"/>
        <v>#REF!</v>
      </c>
      <c r="DN408" s="4">
        <f t="shared" si="1605"/>
        <v>2.1908902300206643</v>
      </c>
      <c r="DO408" s="4">
        <f t="shared" si="1697"/>
        <v>196.25422095574979</v>
      </c>
      <c r="DS408" s="4">
        <f t="shared" si="1606"/>
        <v>0.85</v>
      </c>
      <c r="DT408" s="4">
        <f t="shared" si="1607"/>
        <v>0.91205673758865247</v>
      </c>
      <c r="DU408" s="4">
        <f t="shared" si="1608"/>
        <v>0.92410215783914285</v>
      </c>
      <c r="DV408" s="4">
        <f t="shared" si="1806"/>
        <v>0.84283359927740265</v>
      </c>
      <c r="DX408" s="4">
        <f t="shared" si="1609"/>
        <v>347.92907236299209</v>
      </c>
      <c r="DY408" s="25">
        <f t="shared" ref="DY408:DY453" si="1870">13.3*H408*E408^0.5*F408^0.5/L408/G408^2*(0.7+I408/5/E408)</f>
        <v>193.76500668623251</v>
      </c>
      <c r="EA408" s="4">
        <f t="shared" ref="EA408:EA453" si="1871">DS408*DV408</f>
        <v>0.71640855938579218</v>
      </c>
      <c r="EB408" s="4">
        <f t="shared" si="1610"/>
        <v>5.9931439923967753</v>
      </c>
      <c r="EE408" s="4">
        <f t="shared" si="1611"/>
        <v>78.464542697960056</v>
      </c>
      <c r="EF408" s="4">
        <f t="shared" si="1807"/>
        <v>2.1908902300206643</v>
      </c>
      <c r="EG408" s="4">
        <f t="shared" si="1612"/>
        <v>0.16498611939699034</v>
      </c>
      <c r="EJ408" s="4">
        <f t="shared" si="1808"/>
        <v>0.16498611939699034</v>
      </c>
      <c r="EK408" s="4">
        <f t="shared" si="1613"/>
        <v>0.57639895995217427</v>
      </c>
      <c r="EL408" s="4">
        <f t="shared" si="1809"/>
        <v>4.8077733707460721</v>
      </c>
      <c r="EM408" s="4">
        <f t="shared" si="1810"/>
        <v>5.4329227558236886</v>
      </c>
      <c r="EN408" s="4" t="e">
        <f t="shared" si="1811"/>
        <v>#REF!</v>
      </c>
      <c r="EO408" s="4" t="e">
        <f t="shared" si="1812"/>
        <v>#REF!</v>
      </c>
      <c r="EP408" s="4" t="e">
        <f t="shared" si="1614"/>
        <v>#REF!</v>
      </c>
      <c r="EQ408" s="4" t="e">
        <f t="shared" si="1813"/>
        <v>#REF!</v>
      </c>
      <c r="ER408" s="4" t="e">
        <f t="shared" si="1615"/>
        <v>#REF!</v>
      </c>
      <c r="FA408" s="23" t="e">
        <f t="shared" si="1772"/>
        <v>#REF!</v>
      </c>
      <c r="FB408" s="23" t="e">
        <f t="shared" si="1773"/>
        <v>#REF!</v>
      </c>
      <c r="FC408" s="23">
        <f t="shared" si="1706"/>
        <v>1</v>
      </c>
      <c r="FD408" s="23" t="e">
        <f t="shared" si="1774"/>
        <v>#REF!</v>
      </c>
      <c r="FE408" s="23">
        <f t="shared" si="1775"/>
        <v>1</v>
      </c>
      <c r="FF408" s="23">
        <f t="shared" si="1776"/>
        <v>1</v>
      </c>
      <c r="FG408" s="23">
        <f t="shared" si="1629"/>
        <v>0</v>
      </c>
      <c r="FH408" s="23"/>
      <c r="FR408" s="4">
        <f t="shared" si="1852"/>
        <v>1</v>
      </c>
      <c r="FS408" s="4">
        <f t="shared" si="1853"/>
        <v>0.43098983553339404</v>
      </c>
      <c r="FT408" s="4">
        <f t="shared" si="1854"/>
        <v>0.3</v>
      </c>
      <c r="FU408" s="4">
        <f t="shared" si="1855"/>
        <v>381.92242265095808</v>
      </c>
    </row>
    <row r="409" spans="2:177" ht="12" customHeight="1" x14ac:dyDescent="0.3">
      <c r="B409" s="14"/>
      <c r="C409" s="7" t="s">
        <v>554</v>
      </c>
      <c r="D409" s="38">
        <f t="shared" si="1841"/>
        <v>931.0344827586207</v>
      </c>
      <c r="E409" s="38">
        <f>12.13*25.4</f>
        <v>308.10199999999998</v>
      </c>
      <c r="F409" s="38">
        <f>3960/145</f>
        <v>27.310344827586206</v>
      </c>
      <c r="G409" s="38">
        <f t="shared" si="1842"/>
        <v>35.813999999999993</v>
      </c>
      <c r="H409" s="38">
        <f>21.7*25.4</f>
        <v>551.17999999999995</v>
      </c>
      <c r="I409" s="38">
        <f>2.65*25.4</f>
        <v>67.309999999999988</v>
      </c>
      <c r="J409" s="39">
        <f>3.3*25.4</f>
        <v>83.82</v>
      </c>
      <c r="K409" s="7">
        <f t="shared" si="1727"/>
        <v>344.93200000000002</v>
      </c>
      <c r="L409" s="38">
        <v>2</v>
      </c>
      <c r="M409" s="4">
        <f t="shared" si="1843"/>
        <v>508</v>
      </c>
      <c r="N409" s="7">
        <f t="shared" si="1569"/>
        <v>2.3794326241134751</v>
      </c>
      <c r="O409" s="7">
        <f t="shared" si="1570"/>
        <v>2.3794326241134751</v>
      </c>
      <c r="P409" s="38">
        <v>8.6</v>
      </c>
      <c r="Q409" s="4">
        <f t="shared" si="1736"/>
        <v>8.6</v>
      </c>
      <c r="R409" s="4">
        <f t="shared" si="1571"/>
        <v>9.6</v>
      </c>
      <c r="S409" s="7">
        <f t="shared" si="1572"/>
        <v>110.96562044885792</v>
      </c>
      <c r="V409" s="38">
        <f t="shared" si="1777"/>
        <v>282.06896551724139</v>
      </c>
      <c r="W409" s="4">
        <v>40.9</v>
      </c>
      <c r="X409" s="4">
        <f t="shared" si="1573"/>
        <v>0.80065106847835565</v>
      </c>
      <c r="Y409" s="38"/>
      <c r="Z409" s="38"/>
      <c r="AA409" s="39">
        <v>1</v>
      </c>
      <c r="AB409" s="39"/>
      <c r="AC409" s="39"/>
      <c r="AD409" s="7"/>
      <c r="AE409" s="4">
        <f t="shared" si="1576"/>
        <v>308.10199999999998</v>
      </c>
      <c r="AF409" s="4">
        <f t="shared" si="1577"/>
        <v>0.59631766968947519</v>
      </c>
      <c r="AG409" s="4">
        <f t="shared" si="1578"/>
        <v>140.27485630559957</v>
      </c>
      <c r="AH409" s="4">
        <f t="shared" si="1579"/>
        <v>0.75531739488870564</v>
      </c>
      <c r="AI409" s="4">
        <v>1.25</v>
      </c>
      <c r="AJ409" s="4">
        <f t="shared" si="1513"/>
        <v>2.5</v>
      </c>
      <c r="AK409" s="38">
        <f t="shared" si="1729"/>
        <v>197.4408531721443</v>
      </c>
      <c r="AL409" s="38">
        <f t="shared" si="1616"/>
        <v>197.4408531721443</v>
      </c>
      <c r="AM409" s="38">
        <f t="shared" si="1580"/>
        <v>2.7206502209498358</v>
      </c>
      <c r="AN409" s="38">
        <f t="shared" si="1521"/>
        <v>197.44085317214459</v>
      </c>
      <c r="AO409" s="38">
        <f t="shared" si="1845"/>
        <v>0.99999999999999856</v>
      </c>
      <c r="AP409" s="38">
        <f t="shared" si="1522"/>
        <v>1.9303799487364652</v>
      </c>
      <c r="AQ409" s="4">
        <f t="shared" si="1523"/>
        <v>0</v>
      </c>
      <c r="AR409" s="4" t="e">
        <f>#REF!/G409*F409^0.5/0.19</f>
        <v>#REF!</v>
      </c>
      <c r="AS409" s="4">
        <f t="shared" si="1581"/>
        <v>1</v>
      </c>
      <c r="AT409" s="38">
        <f t="shared" si="1582"/>
        <v>381.13586402492842</v>
      </c>
      <c r="AU409" s="4">
        <f t="shared" si="1583"/>
        <v>0.3</v>
      </c>
      <c r="AV409" s="4" t="e">
        <f>AU409*D409*#REF!/(D409*G409/2.75/F409^0.5)</f>
        <v>#REF!</v>
      </c>
      <c r="AW409" s="4" t="e">
        <f t="shared" si="1793"/>
        <v>#REF!</v>
      </c>
      <c r="AY409" s="4">
        <f t="shared" si="1584"/>
        <v>1.2198581560283688</v>
      </c>
      <c r="AZ409" s="4" t="e">
        <f>(3*#REF!+30)*AY409*F409^0.5</f>
        <v>#REF!</v>
      </c>
      <c r="BB409" s="4">
        <f t="shared" si="1585"/>
        <v>365.55590347887568</v>
      </c>
      <c r="BC409" s="4">
        <f t="shared" si="1822"/>
        <v>0</v>
      </c>
      <c r="BD409" s="4">
        <f t="shared" si="1794"/>
        <v>0</v>
      </c>
      <c r="BL409" s="4">
        <f t="shared" si="1586"/>
        <v>67.309999999999988</v>
      </c>
      <c r="BP409" s="9"/>
      <c r="BR409" s="9"/>
      <c r="BS409" s="9"/>
      <c r="BT409" s="9">
        <f t="shared" si="1587"/>
        <v>67.309999999999988</v>
      </c>
      <c r="BU409" s="9">
        <f t="shared" si="1588"/>
        <v>172.46600000000001</v>
      </c>
      <c r="BV409" s="9">
        <f t="shared" si="1589"/>
        <v>1.5787267425904519</v>
      </c>
      <c r="BW409" s="40">
        <f t="shared" si="1738"/>
        <v>0</v>
      </c>
      <c r="BX409" s="9">
        <f t="shared" si="1590"/>
        <v>0</v>
      </c>
      <c r="BY409" s="9">
        <f t="shared" si="1795"/>
        <v>0</v>
      </c>
      <c r="BZ409" s="9">
        <f t="shared" si="1591"/>
        <v>0.89777220146327208</v>
      </c>
      <c r="CA409" s="9">
        <f t="shared" si="1592"/>
        <v>0.68</v>
      </c>
      <c r="CB409" s="9">
        <f t="shared" si="1593"/>
        <v>1.1166233434875248</v>
      </c>
      <c r="CC409" s="9">
        <f t="shared" si="1594"/>
        <v>1.7628431337645192</v>
      </c>
      <c r="CD409" s="40">
        <v>1</v>
      </c>
      <c r="CE409" s="9" t="e">
        <f>4*CC409*#REF!+60*CC409</f>
        <v>#REF!</v>
      </c>
      <c r="CG409" s="4" t="e">
        <f t="shared" si="1796"/>
        <v>#REF!</v>
      </c>
      <c r="CH409" s="4" t="e">
        <f t="shared" si="1797"/>
        <v>#REF!</v>
      </c>
      <c r="CI409" s="4" t="e">
        <f t="shared" si="1798"/>
        <v>#REF!</v>
      </c>
      <c r="CJ409" s="4" t="e">
        <f t="shared" si="1799"/>
        <v>#REF!</v>
      </c>
      <c r="CK409" s="4">
        <f t="shared" si="1800"/>
        <v>0.80065106847835565</v>
      </c>
      <c r="CL409" s="4">
        <f t="shared" si="1801"/>
        <v>0.8348184273807373</v>
      </c>
      <c r="CM409" s="4">
        <f t="shared" si="1699"/>
        <v>0.85398182075671547</v>
      </c>
      <c r="CN409" s="4">
        <f t="shared" si="1739"/>
        <v>0</v>
      </c>
      <c r="CO409" s="4" t="e">
        <f t="shared" ref="CO409" si="1872">CG409</f>
        <v>#REF!</v>
      </c>
      <c r="CP409" s="4" t="e">
        <f t="shared" ref="CP409" si="1873">CH409</f>
        <v>#REF!</v>
      </c>
      <c r="CQ409" s="4" t="e">
        <f t="shared" ref="CQ409" si="1874">CJ409</f>
        <v>#REF!</v>
      </c>
      <c r="CR409" s="4">
        <f t="shared" ref="CR409" si="1875">CM409</f>
        <v>0.85398182075671547</v>
      </c>
      <c r="CS409" s="4">
        <f t="shared" ref="CS409" si="1876">CK409</f>
        <v>0.80065106847835565</v>
      </c>
      <c r="CT409" s="4">
        <f t="shared" ref="CT409" si="1877">CL409</f>
        <v>0.8348184273807373</v>
      </c>
      <c r="DC409" s="4" t="e">
        <f>#REF!</f>
        <v>#REF!</v>
      </c>
      <c r="DF409" s="4">
        <f t="shared" si="1601"/>
        <v>1.5065968235372974E-5</v>
      </c>
      <c r="DG409" s="4">
        <f t="shared" si="1802"/>
        <v>5.5382772956145558</v>
      </c>
      <c r="DH409" s="4">
        <f t="shared" si="1602"/>
        <v>0.36296663612174113</v>
      </c>
      <c r="DI409" s="4">
        <f t="shared" si="1803"/>
        <v>3.6925074416042682</v>
      </c>
      <c r="DJ409" s="4">
        <f t="shared" si="1804"/>
        <v>4.707109693061569</v>
      </c>
      <c r="DK409" s="4">
        <f t="shared" si="1603"/>
        <v>5.3412229365900616</v>
      </c>
      <c r="DL409" s="38">
        <f t="shared" si="1604"/>
        <v>352.29949302798775</v>
      </c>
      <c r="DM409" s="4" t="e">
        <f t="shared" si="1805"/>
        <v>#REF!</v>
      </c>
      <c r="DN409" s="4">
        <f t="shared" si="1605"/>
        <v>3.0983866769659336</v>
      </c>
      <c r="DO409" s="4">
        <f t="shared" si="1697"/>
        <v>197.44085317214459</v>
      </c>
      <c r="DS409" s="4">
        <f t="shared" si="1606"/>
        <v>0.85</v>
      </c>
      <c r="DT409" s="4">
        <f t="shared" si="1607"/>
        <v>0.91205673758865247</v>
      </c>
      <c r="DU409" s="4">
        <f t="shared" si="1608"/>
        <v>1</v>
      </c>
      <c r="DV409" s="4">
        <f t="shared" si="1806"/>
        <v>0.91205673758865247</v>
      </c>
      <c r="DX409" s="4">
        <f t="shared" si="1609"/>
        <v>337.88061722863438</v>
      </c>
      <c r="DY409" s="25">
        <f t="shared" si="1870"/>
        <v>194.94592872692252</v>
      </c>
      <c r="EA409" s="4">
        <f t="shared" si="1871"/>
        <v>0.77524822695035456</v>
      </c>
      <c r="EB409" s="4">
        <f t="shared" si="1610"/>
        <v>5.5382772956145558</v>
      </c>
      <c r="EE409" s="4">
        <f t="shared" si="1611"/>
        <v>110.96562044885792</v>
      </c>
      <c r="EF409" s="4">
        <f t="shared" si="1807"/>
        <v>3.0983866769659336</v>
      </c>
      <c r="EG409" s="4">
        <f t="shared" si="1612"/>
        <v>0.10372072977347489</v>
      </c>
      <c r="EJ409" s="4">
        <f t="shared" si="1808"/>
        <v>0.10372072977347489</v>
      </c>
      <c r="EK409" s="4">
        <f t="shared" si="1613"/>
        <v>0.362360912453839</v>
      </c>
      <c r="EL409" s="4">
        <f t="shared" si="1809"/>
        <v>3.6900413638037644</v>
      </c>
      <c r="EM409" s="4">
        <f t="shared" si="1810"/>
        <v>4.7061447030455348</v>
      </c>
      <c r="EN409" s="4" t="e">
        <f t="shared" si="1811"/>
        <v>#REF!</v>
      </c>
      <c r="EO409" s="4" t="e">
        <f t="shared" si="1812"/>
        <v>#REF!</v>
      </c>
      <c r="EP409" s="4" t="e">
        <f t="shared" si="1614"/>
        <v>#REF!</v>
      </c>
      <c r="EQ409" s="4" t="e">
        <f t="shared" si="1813"/>
        <v>#REF!</v>
      </c>
      <c r="ER409" s="4" t="e">
        <f t="shared" si="1615"/>
        <v>#REF!</v>
      </c>
      <c r="FA409" s="23" t="e">
        <f t="shared" si="1772"/>
        <v>#REF!</v>
      </c>
      <c r="FB409" s="23" t="e">
        <f t="shared" si="1773"/>
        <v>#REF!</v>
      </c>
      <c r="FC409" s="23">
        <f t="shared" si="1706"/>
        <v>1</v>
      </c>
      <c r="FD409" s="23" t="e">
        <f t="shared" si="1774"/>
        <v>#REF!</v>
      </c>
      <c r="FE409" s="23">
        <f t="shared" si="1775"/>
        <v>1</v>
      </c>
      <c r="FF409" s="23">
        <f t="shared" si="1776"/>
        <v>1</v>
      </c>
      <c r="FG409" s="23">
        <f t="shared" si="1629"/>
        <v>0</v>
      </c>
      <c r="FH409" s="23"/>
      <c r="FR409" s="4">
        <f t="shared" si="1852"/>
        <v>1</v>
      </c>
      <c r="FS409" s="4">
        <f t="shared" si="1853"/>
        <v>0.5</v>
      </c>
      <c r="FT409" s="4">
        <f t="shared" si="1854"/>
        <v>0</v>
      </c>
      <c r="FU409" s="4">
        <f t="shared" si="1855"/>
        <v>330.29855983034787</v>
      </c>
    </row>
    <row r="410" spans="2:177" ht="12" customHeight="1" x14ac:dyDescent="0.3">
      <c r="B410" s="14"/>
      <c r="C410" s="7" t="s">
        <v>555</v>
      </c>
      <c r="D410" s="38">
        <f t="shared" si="1841"/>
        <v>931.0344827586207</v>
      </c>
      <c r="E410" s="38">
        <f>12.56*25.4</f>
        <v>319.024</v>
      </c>
      <c r="F410" s="38">
        <f>4050/145</f>
        <v>27.931034482758619</v>
      </c>
      <c r="G410" s="38">
        <f t="shared" si="1842"/>
        <v>35.813999999999993</v>
      </c>
      <c r="H410" s="38">
        <f>22*25.4</f>
        <v>558.79999999999995</v>
      </c>
      <c r="I410" s="38">
        <f>2.75*25.4</f>
        <v>69.849999999999994</v>
      </c>
      <c r="J410" s="39">
        <f>3.4*25.4</f>
        <v>86.36</v>
      </c>
      <c r="K410" s="7">
        <f t="shared" si="1727"/>
        <v>347.47199999999998</v>
      </c>
      <c r="L410" s="38">
        <v>2</v>
      </c>
      <c r="M410" s="4">
        <f t="shared" si="1843"/>
        <v>508</v>
      </c>
      <c r="N410" s="7">
        <f t="shared" si="1569"/>
        <v>2.4503546099290783</v>
      </c>
      <c r="O410" s="7">
        <f t="shared" si="1570"/>
        <v>2.4503546099290783</v>
      </c>
      <c r="P410" s="38">
        <v>8.6</v>
      </c>
      <c r="Q410" s="4">
        <f t="shared" si="1736"/>
        <v>8.6</v>
      </c>
      <c r="R410" s="4">
        <f t="shared" si="1571"/>
        <v>9.6</v>
      </c>
      <c r="S410" s="7">
        <f t="shared" si="1572"/>
        <v>110.96562044885792</v>
      </c>
      <c r="V410" s="38">
        <f t="shared" si="1777"/>
        <v>350.34482758620692</v>
      </c>
      <c r="W410" s="4">
        <v>50.8</v>
      </c>
      <c r="X410" s="4">
        <f t="shared" si="1573"/>
        <v>0.91366453911512724</v>
      </c>
      <c r="Y410" s="38">
        <f>0.5*25.4</f>
        <v>12.7</v>
      </c>
      <c r="Z410" s="38">
        <v>12</v>
      </c>
      <c r="AA410" s="39">
        <f>4*25.4</f>
        <v>101.6</v>
      </c>
      <c r="AB410" s="39">
        <v>4</v>
      </c>
      <c r="AC410" s="39">
        <v>2</v>
      </c>
      <c r="AD410" s="7"/>
      <c r="AE410" s="4">
        <f t="shared" si="1576"/>
        <v>319.024</v>
      </c>
      <c r="AF410" s="4">
        <f t="shared" si="1577"/>
        <v>0.58386411889596601</v>
      </c>
      <c r="AG410" s="4">
        <f t="shared" si="1578"/>
        <v>149.46964702918689</v>
      </c>
      <c r="AH410" s="4">
        <f t="shared" si="1579"/>
        <v>0.75501592356687897</v>
      </c>
      <c r="AI410" s="4">
        <v>1.25</v>
      </c>
      <c r="AJ410" s="4">
        <f t="shared" ref="AJ410:AJ453" si="1878">AJ409</f>
        <v>2.5</v>
      </c>
      <c r="AK410" s="38">
        <f t="shared" si="1729"/>
        <v>205.90691341005282</v>
      </c>
      <c r="AL410" s="38">
        <f t="shared" si="1616"/>
        <v>205.90691341005282</v>
      </c>
      <c r="AM410" s="38">
        <f t="shared" si="1580"/>
        <v>2.761717606769436</v>
      </c>
      <c r="AN410" s="38">
        <f t="shared" si="1521"/>
        <v>205.90691341005299</v>
      </c>
      <c r="AO410" s="38">
        <f t="shared" si="1845"/>
        <v>0.99999999999999922</v>
      </c>
      <c r="AP410" s="38">
        <f t="shared" si="1522"/>
        <v>1.9495045486691553</v>
      </c>
      <c r="AQ410" s="4">
        <f t="shared" si="1523"/>
        <v>0</v>
      </c>
      <c r="AR410" s="4" t="e">
        <f>#REF!/G410*F410^0.5/0.19</f>
        <v>#REF!</v>
      </c>
      <c r="AS410" s="4">
        <f t="shared" si="1581"/>
        <v>1</v>
      </c>
      <c r="AT410" s="38">
        <f t="shared" si="1582"/>
        <v>401.4164642953242</v>
      </c>
      <c r="AU410" s="4">
        <f t="shared" si="1583"/>
        <v>0.3</v>
      </c>
      <c r="AV410" s="4" t="e">
        <f>AU410*D410*#REF!/(D410*G410/2.75/F410^0.5)</f>
        <v>#REF!</v>
      </c>
      <c r="AW410" s="4" t="e">
        <f t="shared" si="1793"/>
        <v>#REF!</v>
      </c>
      <c r="AY410" s="4">
        <f t="shared" si="1584"/>
        <v>1.5</v>
      </c>
      <c r="AZ410" s="4" t="e">
        <f>(3*#REF!+30)*AY410*F410^0.5</f>
        <v>#REF!</v>
      </c>
      <c r="BB410" s="4">
        <f t="shared" si="1585"/>
        <v>385.00747929398597</v>
      </c>
      <c r="BC410" s="4">
        <f t="shared" si="1822"/>
        <v>0</v>
      </c>
      <c r="BD410" s="4">
        <f t="shared" si="1794"/>
        <v>0</v>
      </c>
      <c r="BL410" s="4">
        <f t="shared" si="1586"/>
        <v>69.849999999999994</v>
      </c>
      <c r="BP410" s="9"/>
      <c r="BR410" s="9"/>
      <c r="BS410" s="9"/>
      <c r="BT410" s="9">
        <f t="shared" si="1587"/>
        <v>69.849999999999994</v>
      </c>
      <c r="BU410" s="9">
        <f t="shared" si="1588"/>
        <v>173.73599999999999</v>
      </c>
      <c r="BV410" s="9">
        <f t="shared" si="1589"/>
        <v>1.6010883658280048</v>
      </c>
      <c r="BW410" s="40">
        <f t="shared" si="1738"/>
        <v>20</v>
      </c>
      <c r="BX410" s="9">
        <f t="shared" si="1590"/>
        <v>0.05</v>
      </c>
      <c r="BY410" s="9">
        <f t="shared" si="1795"/>
        <v>0.8</v>
      </c>
      <c r="BZ410" s="9">
        <f t="shared" si="1591"/>
        <v>0.89777220146327208</v>
      </c>
      <c r="CA410" s="9">
        <f t="shared" si="1592"/>
        <v>0.68</v>
      </c>
      <c r="CB410" s="9">
        <f t="shared" si="1593"/>
        <v>1.129240956903802</v>
      </c>
      <c r="CC410" s="9">
        <f t="shared" si="1594"/>
        <v>2.7114073238382024</v>
      </c>
      <c r="CD410" s="40">
        <v>1</v>
      </c>
      <c r="CE410" s="9" t="e">
        <f>4*CC410*#REF!+60*CC410</f>
        <v>#REF!</v>
      </c>
      <c r="CG410" s="4" t="e">
        <f t="shared" si="1796"/>
        <v>#REF!</v>
      </c>
      <c r="CH410" s="4" t="e">
        <f t="shared" si="1797"/>
        <v>#REF!</v>
      </c>
      <c r="CI410" s="4" t="e">
        <f t="shared" si="1798"/>
        <v>#REF!</v>
      </c>
      <c r="CJ410" s="4" t="e">
        <f t="shared" si="1799"/>
        <v>#REF!</v>
      </c>
      <c r="CK410" s="4">
        <f t="shared" si="1800"/>
        <v>0.91366453911512724</v>
      </c>
      <c r="CL410" s="4">
        <f t="shared" si="1801"/>
        <v>0.95553229503146886</v>
      </c>
      <c r="CM410" s="4">
        <f t="shared" si="1699"/>
        <v>0.87804597345881741</v>
      </c>
      <c r="CN410" s="4">
        <f t="shared" si="1739"/>
        <v>12</v>
      </c>
      <c r="CU410" s="4" t="e">
        <f t="shared" ref="CU410" si="1879">CG410</f>
        <v>#REF!</v>
      </c>
      <c r="CV410" s="4" t="e">
        <f t="shared" ref="CV410" si="1880">CH410</f>
        <v>#REF!</v>
      </c>
      <c r="CW410" s="4" t="e">
        <f t="shared" ref="CW410" si="1881">CJ410</f>
        <v>#REF!</v>
      </c>
      <c r="CX410" s="4">
        <f t="shared" ref="CX410" si="1882">CM410</f>
        <v>0.87804597345881741</v>
      </c>
      <c r="CY410" s="4">
        <f t="shared" ref="CY410" si="1883">CK410</f>
        <v>0.91366453911512724</v>
      </c>
      <c r="CZ410" s="4">
        <f t="shared" ref="CZ410" si="1884">CL410</f>
        <v>0.95553229503146886</v>
      </c>
      <c r="DC410" s="4" t="e">
        <f>#REF!</f>
        <v>#REF!</v>
      </c>
      <c r="DF410" s="4">
        <f t="shared" si="1601"/>
        <v>1.5671059345984113E-5</v>
      </c>
      <c r="DG410" s="4">
        <f t="shared" si="1802"/>
        <v>6.1083642273193455</v>
      </c>
      <c r="DH410" s="4">
        <f t="shared" si="1602"/>
        <v>0.37011848748195403</v>
      </c>
      <c r="DI410" s="4">
        <f t="shared" si="1803"/>
        <v>4.10450922978207</v>
      </c>
      <c r="DJ410" s="4">
        <f t="shared" si="1804"/>
        <v>5.2041641258059013</v>
      </c>
      <c r="DK410" s="4">
        <f t="shared" si="1603"/>
        <v>5.8486827334247211</v>
      </c>
      <c r="DL410" s="38">
        <f t="shared" si="1604"/>
        <v>383.45017518739593</v>
      </c>
      <c r="DM410" s="4" t="e">
        <f t="shared" si="1805"/>
        <v>#REF!</v>
      </c>
      <c r="DN410" s="4">
        <f t="shared" si="1605"/>
        <v>3.0983866769659336</v>
      </c>
      <c r="DO410" s="4">
        <f t="shared" si="1697"/>
        <v>205.90691341005299</v>
      </c>
      <c r="DS410" s="4">
        <f t="shared" si="1606"/>
        <v>0.85</v>
      </c>
      <c r="DT410" s="4">
        <f t="shared" si="1607"/>
        <v>0.90496453900709217</v>
      </c>
      <c r="DU410" s="4">
        <f t="shared" si="1608"/>
        <v>0.92410215783914285</v>
      </c>
      <c r="DV410" s="4">
        <f t="shared" si="1806"/>
        <v>0.83627968326435909</v>
      </c>
      <c r="DX410" s="4">
        <f t="shared" si="1609"/>
        <v>366.64886096253701</v>
      </c>
      <c r="DY410" s="25">
        <f t="shared" si="1870"/>
        <v>203.41257437715191</v>
      </c>
      <c r="EA410" s="4">
        <f t="shared" si="1871"/>
        <v>0.71083773077470525</v>
      </c>
      <c r="EB410" s="4">
        <f t="shared" si="1610"/>
        <v>6.1083642273193455</v>
      </c>
      <c r="EE410" s="4">
        <f t="shared" si="1611"/>
        <v>110.96562044885792</v>
      </c>
      <c r="EF410" s="4">
        <f t="shared" si="1807"/>
        <v>3.0983866769659336</v>
      </c>
      <c r="EG410" s="4">
        <f t="shared" si="1612"/>
        <v>0.10695954692424253</v>
      </c>
      <c r="EJ410" s="4">
        <f t="shared" si="1808"/>
        <v>0.10695954692424253</v>
      </c>
      <c r="EK410" s="4">
        <f t="shared" si="1613"/>
        <v>0.36950082870705558</v>
      </c>
      <c r="EL410" s="4">
        <f t="shared" si="1809"/>
        <v>4.1017679924917996</v>
      </c>
      <c r="EM410" s="4">
        <f t="shared" si="1810"/>
        <v>5.2030855233904019</v>
      </c>
      <c r="EN410" s="4" t="e">
        <f t="shared" si="1811"/>
        <v>#REF!</v>
      </c>
      <c r="EO410" s="4" t="e">
        <f t="shared" si="1812"/>
        <v>#REF!</v>
      </c>
      <c r="EP410" s="4" t="e">
        <f t="shared" si="1614"/>
        <v>#REF!</v>
      </c>
      <c r="EQ410" s="4" t="e">
        <f t="shared" si="1813"/>
        <v>#REF!</v>
      </c>
      <c r="ER410" s="4" t="e">
        <f t="shared" si="1615"/>
        <v>#REF!</v>
      </c>
      <c r="FA410" s="23" t="e">
        <f t="shared" si="1772"/>
        <v>#REF!</v>
      </c>
      <c r="FB410" s="23" t="e">
        <f t="shared" si="1773"/>
        <v>#REF!</v>
      </c>
      <c r="FC410" s="23">
        <f t="shared" si="1706"/>
        <v>1</v>
      </c>
      <c r="FD410" s="23" t="e">
        <f t="shared" si="1774"/>
        <v>#REF!</v>
      </c>
      <c r="FE410" s="23">
        <f t="shared" si="1775"/>
        <v>1</v>
      </c>
      <c r="FF410" s="23">
        <f t="shared" si="1776"/>
        <v>1</v>
      </c>
      <c r="FG410" s="23">
        <f t="shared" si="1629"/>
        <v>0</v>
      </c>
      <c r="FH410" s="23"/>
      <c r="FR410" s="4">
        <f t="shared" si="1852"/>
        <v>1</v>
      </c>
      <c r="FS410" s="4">
        <f t="shared" si="1853"/>
        <v>0.43098983553339404</v>
      </c>
      <c r="FT410" s="4">
        <f t="shared" si="1854"/>
        <v>0.3</v>
      </c>
      <c r="FU410" s="4">
        <f t="shared" si="1855"/>
        <v>399.00510699470681</v>
      </c>
    </row>
    <row r="411" spans="2:177" ht="12" customHeight="1" x14ac:dyDescent="0.3">
      <c r="B411" s="14" t="s">
        <v>556</v>
      </c>
      <c r="C411" s="7" t="s">
        <v>557</v>
      </c>
      <c r="D411" s="38">
        <f>129/0.145</f>
        <v>889.65517241379314</v>
      </c>
      <c r="E411" s="38">
        <f>9.88*25.4</f>
        <v>250.952</v>
      </c>
      <c r="F411" s="38">
        <f>7410/145</f>
        <v>51.103448275862071</v>
      </c>
      <c r="G411" s="38">
        <f t="shared" ref="G411:G429" si="1885">1*25.4</f>
        <v>25.4</v>
      </c>
      <c r="H411" s="38">
        <f>17.1*25.4</f>
        <v>434.34000000000003</v>
      </c>
      <c r="I411" s="38">
        <f>2.55*25.4</f>
        <v>64.77</v>
      </c>
      <c r="J411" s="39">
        <f>3.4*25.4</f>
        <v>86.36</v>
      </c>
      <c r="K411" s="7">
        <f t="shared" si="1727"/>
        <v>254.00000000000003</v>
      </c>
      <c r="L411" s="38">
        <v>2</v>
      </c>
      <c r="M411" s="4">
        <f t="shared" si="1843"/>
        <v>508</v>
      </c>
      <c r="N411" s="7">
        <f t="shared" si="1569"/>
        <v>3.05</v>
      </c>
      <c r="O411" s="7">
        <f t="shared" si="1570"/>
        <v>3.05</v>
      </c>
      <c r="P411" s="38">
        <v>4.0999999999999996</v>
      </c>
      <c r="Q411" s="4">
        <f t="shared" si="1736"/>
        <v>4.0999999999999996</v>
      </c>
      <c r="R411" s="4">
        <f t="shared" si="1571"/>
        <v>5.0999999999999996</v>
      </c>
      <c r="S411" s="7">
        <f t="shared" si="1572"/>
        <v>57.361276136431961</v>
      </c>
      <c r="V411" s="38">
        <f t="shared" si="1777"/>
        <v>437.93103448275866</v>
      </c>
      <c r="W411" s="4">
        <v>63.5</v>
      </c>
      <c r="X411" s="4">
        <f t="shared" si="1573"/>
        <v>0.63658061415316614</v>
      </c>
      <c r="Y411" s="38"/>
      <c r="Z411" s="38"/>
      <c r="AA411" s="39">
        <v>1</v>
      </c>
      <c r="AB411" s="39"/>
      <c r="AC411" s="39"/>
      <c r="AD411" s="7"/>
      <c r="AE411" s="4">
        <f t="shared" si="1576"/>
        <v>250.952</v>
      </c>
      <c r="AF411" s="4">
        <f t="shared" si="1577"/>
        <v>0.57692307692307698</v>
      </c>
      <c r="AG411" s="4">
        <f t="shared" si="1578"/>
        <v>280.42955602781353</v>
      </c>
      <c r="AH411" s="4">
        <f t="shared" si="1579"/>
        <v>0.76174089068825901</v>
      </c>
      <c r="AI411" s="4">
        <v>1.25</v>
      </c>
      <c r="AJ411" s="4">
        <f t="shared" si="1878"/>
        <v>2.5</v>
      </c>
      <c r="AK411" s="38">
        <f t="shared" si="1729"/>
        <v>385.12258374508366</v>
      </c>
      <c r="AL411" s="38">
        <f t="shared" si="1616"/>
        <v>385.12258374508366</v>
      </c>
      <c r="AM411" s="38">
        <f t="shared" si="1580"/>
        <v>4.0980014231553801</v>
      </c>
      <c r="AN411" s="38">
        <f t="shared" si="1521"/>
        <v>385.12258374508349</v>
      </c>
      <c r="AO411" s="38">
        <f t="shared" si="1845"/>
        <v>1.0000000000000004</v>
      </c>
      <c r="AP411" s="38">
        <f t="shared" si="1522"/>
        <v>1.6389774658633678</v>
      </c>
      <c r="AQ411" s="4">
        <f t="shared" si="1523"/>
        <v>0</v>
      </c>
      <c r="AR411" s="4" t="e">
        <f>#REF!/G411*F411^0.5/0.19</f>
        <v>#REF!</v>
      </c>
      <c r="AS411" s="4">
        <f t="shared" si="1581"/>
        <v>1</v>
      </c>
      <c r="AT411" s="38">
        <f t="shared" si="1582"/>
        <v>631.20723635326954</v>
      </c>
      <c r="AU411" s="4">
        <f t="shared" si="1583"/>
        <v>0.42600000000000005</v>
      </c>
      <c r="AV411" s="4" t="e">
        <f>AU411*D411*#REF!/(D411*G411/2.75/F411^0.5)</f>
        <v>#REF!</v>
      </c>
      <c r="AW411" s="4" t="e">
        <f t="shared" si="1793"/>
        <v>#REF!</v>
      </c>
      <c r="AY411" s="4">
        <f t="shared" si="1584"/>
        <v>1.3875</v>
      </c>
      <c r="AZ411" s="4" t="e">
        <f>(3*#REF!+30)*AY411*F411^0.5</f>
        <v>#REF!</v>
      </c>
      <c r="BB411" s="4">
        <f t="shared" si="1585"/>
        <v>605.40493127781826</v>
      </c>
      <c r="BC411" s="4">
        <f t="shared" si="1822"/>
        <v>0</v>
      </c>
      <c r="BD411" s="4">
        <f t="shared" si="1794"/>
        <v>0</v>
      </c>
      <c r="BL411" s="4">
        <f t="shared" si="1586"/>
        <v>64.77</v>
      </c>
      <c r="BP411" s="9"/>
      <c r="BR411" s="9"/>
      <c r="BS411" s="9"/>
      <c r="BT411" s="9">
        <f t="shared" si="1587"/>
        <v>64.77</v>
      </c>
      <c r="BU411" s="9">
        <f t="shared" si="1588"/>
        <v>127.00000000000001</v>
      </c>
      <c r="BV411" s="9">
        <f t="shared" si="1589"/>
        <v>1.7665851027593089</v>
      </c>
      <c r="BW411" s="40">
        <f t="shared" si="1738"/>
        <v>0</v>
      </c>
      <c r="BX411" s="9">
        <f t="shared" si="1590"/>
        <v>0</v>
      </c>
      <c r="BY411" s="9">
        <f t="shared" si="1795"/>
        <v>0</v>
      </c>
      <c r="BZ411" s="9">
        <f t="shared" si="1591"/>
        <v>0.99524931562137331</v>
      </c>
      <c r="CA411" s="9">
        <f t="shared" si="1592"/>
        <v>0.68</v>
      </c>
      <c r="CB411" s="9">
        <f t="shared" si="1593"/>
        <v>1.693300152715469</v>
      </c>
      <c r="CC411" s="9">
        <f t="shared" si="1594"/>
        <v>2.99135882428721</v>
      </c>
      <c r="CD411" s="40">
        <v>1</v>
      </c>
      <c r="CE411" s="9" t="e">
        <f>4*CC411*#REF!+60*CC411</f>
        <v>#REF!</v>
      </c>
      <c r="CG411" s="4" t="e">
        <f t="shared" si="1796"/>
        <v>#REF!</v>
      </c>
      <c r="CH411" s="4" t="e">
        <f t="shared" si="1797"/>
        <v>#REF!</v>
      </c>
      <c r="CI411" s="4" t="e">
        <f t="shared" si="1798"/>
        <v>#REF!</v>
      </c>
      <c r="CJ411" s="4" t="e">
        <f t="shared" si="1799"/>
        <v>#REF!</v>
      </c>
      <c r="CK411" s="4">
        <f t="shared" si="1800"/>
        <v>0.63658061415316614</v>
      </c>
      <c r="CL411" s="4">
        <f t="shared" si="1801"/>
        <v>0.67335839175112699</v>
      </c>
      <c r="CM411" s="4">
        <f t="shared" si="1699"/>
        <v>0.8312726172672158</v>
      </c>
      <c r="CN411" s="4">
        <f t="shared" si="1739"/>
        <v>0</v>
      </c>
      <c r="CO411" s="4" t="e">
        <f t="shared" ref="CO411:CO412" si="1886">CG411</f>
        <v>#REF!</v>
      </c>
      <c r="CP411" s="4" t="e">
        <f t="shared" ref="CP411:CP412" si="1887">CH411</f>
        <v>#REF!</v>
      </c>
      <c r="CQ411" s="4" t="e">
        <f t="shared" ref="CQ411:CQ412" si="1888">CJ411</f>
        <v>#REF!</v>
      </c>
      <c r="CR411" s="4">
        <f t="shared" ref="CR411:CR412" si="1889">CM411</f>
        <v>0.8312726172672158</v>
      </c>
      <c r="CS411" s="4">
        <f t="shared" ref="CS411:CS412" si="1890">CK411</f>
        <v>0.63658061415316614</v>
      </c>
      <c r="CT411" s="4">
        <f t="shared" ref="CT411:CT412" si="1891">CL411</f>
        <v>0.67335839175112699</v>
      </c>
      <c r="DC411" s="4" t="e">
        <f>#REF!</f>
        <v>#REF!</v>
      </c>
      <c r="DF411" s="4">
        <f t="shared" si="1601"/>
        <v>2.0297432140333448E-5</v>
      </c>
      <c r="DG411" s="4">
        <f t="shared" si="1802"/>
        <v>9.0857094645609653</v>
      </c>
      <c r="DH411" s="4">
        <f t="shared" si="1602"/>
        <v>0.41025190412805262</v>
      </c>
      <c r="DI411" s="4">
        <f t="shared" si="1803"/>
        <v>6.3617864584628112</v>
      </c>
      <c r="DJ411" s="4">
        <f t="shared" si="1804"/>
        <v>7.843269381391015</v>
      </c>
      <c r="DK411" s="4">
        <f t="shared" si="1603"/>
        <v>8.4745268395009088</v>
      </c>
      <c r="DL411" s="38">
        <f t="shared" si="1604"/>
        <v>687.94277542575173</v>
      </c>
      <c r="DM411" s="4" t="e">
        <f t="shared" si="1805"/>
        <v>#REF!</v>
      </c>
      <c r="DN411" s="4">
        <f t="shared" si="1605"/>
        <v>2.2583179581272428</v>
      </c>
      <c r="DO411" s="4">
        <f t="shared" si="1697"/>
        <v>385.12258374508349</v>
      </c>
      <c r="DS411" s="4">
        <f t="shared" si="1606"/>
        <v>0.85</v>
      </c>
      <c r="DT411" s="4">
        <f t="shared" si="1607"/>
        <v>0.84499999999999997</v>
      </c>
      <c r="DU411" s="4">
        <f t="shared" si="1608"/>
        <v>1</v>
      </c>
      <c r="DV411" s="4">
        <f t="shared" si="1806"/>
        <v>0.84499999999999997</v>
      </c>
      <c r="DX411" s="4">
        <f t="shared" si="1609"/>
        <v>650.36842170167506</v>
      </c>
      <c r="DY411" s="25">
        <f t="shared" si="1870"/>
        <v>381.06799317208811</v>
      </c>
      <c r="EA411" s="4">
        <f t="shared" si="1871"/>
        <v>0.71824999999999994</v>
      </c>
      <c r="EB411" s="4">
        <f t="shared" si="1610"/>
        <v>9.0857094645609653</v>
      </c>
      <c r="EE411" s="4">
        <f t="shared" si="1611"/>
        <v>57.361276136431961</v>
      </c>
      <c r="EF411" s="4">
        <f t="shared" si="1807"/>
        <v>2.2583179581272428</v>
      </c>
      <c r="EG411" s="4">
        <f t="shared" si="1612"/>
        <v>0.1603655114597024</v>
      </c>
      <c r="EJ411" s="4">
        <f t="shared" si="1808"/>
        <v>0.1603655114597024</v>
      </c>
      <c r="EK411" s="4">
        <f t="shared" si="1613"/>
        <v>0.40956727016062394</v>
      </c>
      <c r="EL411" s="4">
        <f t="shared" si="1809"/>
        <v>6.3575376761367446</v>
      </c>
      <c r="EM411" s="4">
        <f t="shared" si="1810"/>
        <v>7.8415490707318991</v>
      </c>
      <c r="EN411" s="4" t="e">
        <f t="shared" si="1811"/>
        <v>#REF!</v>
      </c>
      <c r="EO411" s="4" t="e">
        <f t="shared" si="1812"/>
        <v>#REF!</v>
      </c>
      <c r="EP411" s="4" t="e">
        <f t="shared" si="1614"/>
        <v>#REF!</v>
      </c>
      <c r="EQ411" s="4" t="e">
        <f t="shared" si="1813"/>
        <v>#REF!</v>
      </c>
      <c r="ER411" s="4" t="e">
        <f t="shared" si="1615"/>
        <v>#REF!</v>
      </c>
      <c r="FA411" s="23" t="e">
        <f t="shared" si="1772"/>
        <v>#REF!</v>
      </c>
      <c r="FB411" s="23" t="e">
        <f t="shared" si="1773"/>
        <v>#REF!</v>
      </c>
      <c r="FC411" s="23">
        <f t="shared" si="1706"/>
        <v>1</v>
      </c>
      <c r="FD411" s="23" t="e">
        <f t="shared" si="1774"/>
        <v>#REF!</v>
      </c>
      <c r="FE411" s="23">
        <f t="shared" si="1775"/>
        <v>0.8</v>
      </c>
      <c r="FF411" s="23">
        <f t="shared" si="1776"/>
        <v>0.8</v>
      </c>
      <c r="FG411" s="23">
        <f t="shared" si="1629"/>
        <v>1</v>
      </c>
      <c r="FH411" s="23"/>
      <c r="FR411" s="4">
        <f t="shared" si="1852"/>
        <v>1</v>
      </c>
      <c r="FS411" s="4">
        <f t="shared" si="1853"/>
        <v>0.5</v>
      </c>
      <c r="FT411" s="4">
        <f t="shared" si="1854"/>
        <v>0</v>
      </c>
      <c r="FU411" s="4">
        <f t="shared" si="1855"/>
        <v>526.81999308775983</v>
      </c>
    </row>
    <row r="412" spans="2:177" ht="12" customHeight="1" x14ac:dyDescent="0.3">
      <c r="B412" s="14"/>
      <c r="C412" s="7" t="s">
        <v>558</v>
      </c>
      <c r="D412" s="38">
        <f t="shared" ref="D412:D419" si="1892">129/0.145</f>
        <v>889.65517241379314</v>
      </c>
      <c r="E412" s="38">
        <f>9.81*25.4</f>
        <v>249.17400000000001</v>
      </c>
      <c r="F412" s="38">
        <f>7410/145</f>
        <v>51.103448275862071</v>
      </c>
      <c r="G412" s="38">
        <f t="shared" si="1885"/>
        <v>25.4</v>
      </c>
      <c r="H412" s="38">
        <f>17.3*25.4</f>
        <v>439.42</v>
      </c>
      <c r="I412" s="38">
        <f>2.6*25.4</f>
        <v>66.039999999999992</v>
      </c>
      <c r="J412" s="39">
        <f>3.35*25.4</f>
        <v>85.09</v>
      </c>
      <c r="K412" s="7">
        <f t="shared" si="1727"/>
        <v>256.54000000000002</v>
      </c>
      <c r="L412" s="38">
        <v>2</v>
      </c>
      <c r="M412" s="4">
        <f t="shared" si="1843"/>
        <v>508</v>
      </c>
      <c r="N412" s="7">
        <f t="shared" si="1569"/>
        <v>3.0999999999999996</v>
      </c>
      <c r="O412" s="7">
        <f t="shared" si="1570"/>
        <v>3.0999999999999996</v>
      </c>
      <c r="P412" s="38">
        <v>9.1</v>
      </c>
      <c r="Q412" s="4">
        <f t="shared" si="1736"/>
        <v>9.1</v>
      </c>
      <c r="R412" s="4">
        <f t="shared" si="1571"/>
        <v>10.1</v>
      </c>
      <c r="S412" s="7">
        <f t="shared" si="1572"/>
        <v>80.72246279691916</v>
      </c>
      <c r="V412" s="38">
        <f t="shared" si="1777"/>
        <v>452.41379310344826</v>
      </c>
      <c r="W412" s="4">
        <v>65.599999999999994</v>
      </c>
      <c r="X412" s="4">
        <f t="shared" si="1573"/>
        <v>0.67872485494033818</v>
      </c>
      <c r="Y412" s="38"/>
      <c r="Z412" s="38"/>
      <c r="AA412" s="39">
        <v>1</v>
      </c>
      <c r="AB412" s="39"/>
      <c r="AC412" s="39"/>
      <c r="AD412" s="7"/>
      <c r="AE412" s="4">
        <f t="shared" si="1576"/>
        <v>249.17400000000001</v>
      </c>
      <c r="AF412" s="4">
        <f t="shared" si="1577"/>
        <v>0.58783554196398236</v>
      </c>
      <c r="AG412" s="4">
        <f t="shared" si="1578"/>
        <v>277.45456748084541</v>
      </c>
      <c r="AH412" s="4">
        <f t="shared" si="1579"/>
        <v>0.76320081549439345</v>
      </c>
      <c r="AI412" s="4">
        <v>1.25</v>
      </c>
      <c r="AJ412" s="4">
        <f t="shared" si="1878"/>
        <v>2.5</v>
      </c>
      <c r="AK412" s="38">
        <f t="shared" si="1729"/>
        <v>388.98832530980724</v>
      </c>
      <c r="AL412" s="38">
        <f t="shared" si="1616"/>
        <v>388.98832530980724</v>
      </c>
      <c r="AM412" s="38">
        <f t="shared" si="1580"/>
        <v>4.0980014231553801</v>
      </c>
      <c r="AN412" s="38">
        <f t="shared" ref="AN412:AN453" si="1893">AJ412* (F412^0.5/AE412^0.5)/(PI()/4*G412^2)/L412/0.72 *(0.7+(MIN(I412,M412)+0.5*G412)/5/E412) *(3*H412*E412)</f>
        <v>388.98832530980735</v>
      </c>
      <c r="AO412" s="38">
        <f t="shared" si="1845"/>
        <v>0.99999999999999967</v>
      </c>
      <c r="AP412" s="38">
        <f t="shared" ref="AP412:AP453" si="1894">AT412/AN412</f>
        <v>2.4571180617648873</v>
      </c>
      <c r="AQ412" s="4">
        <f t="shared" ref="AQ412:AQ453" si="1895">IF(AP412&lt;1,1,0)</f>
        <v>0</v>
      </c>
      <c r="AR412" s="4" t="e">
        <f>#REF!/G412*F412^0.5/0.19</f>
        <v>#REF!</v>
      </c>
      <c r="AS412" s="4">
        <f t="shared" si="1581"/>
        <v>1</v>
      </c>
      <c r="AT412" s="38">
        <f t="shared" si="1582"/>
        <v>955.7902399344033</v>
      </c>
      <c r="AU412" s="4">
        <f t="shared" si="1583"/>
        <v>0.3</v>
      </c>
      <c r="AV412" s="4" t="e">
        <f>AU412*D412*#REF!/(D412*G412/2.75/F412^0.5)</f>
        <v>#REF!</v>
      </c>
      <c r="AW412" s="4" t="e">
        <f t="shared" si="1793"/>
        <v>#REF!</v>
      </c>
      <c r="AY412" s="4">
        <f t="shared" si="1584"/>
        <v>1.4</v>
      </c>
      <c r="AZ412" s="4" t="e">
        <f>(3*#REF!+30)*AY412*F412^0.5</f>
        <v>#REF!</v>
      </c>
      <c r="BB412" s="4">
        <f t="shared" si="1585"/>
        <v>916.71972562692179</v>
      </c>
      <c r="BC412" s="4">
        <f t="shared" si="1822"/>
        <v>0</v>
      </c>
      <c r="BD412" s="4">
        <f t="shared" si="1794"/>
        <v>0</v>
      </c>
      <c r="BL412" s="4">
        <f t="shared" si="1586"/>
        <v>66.039999999999992</v>
      </c>
      <c r="BP412" s="9"/>
      <c r="BR412" s="9"/>
      <c r="BS412" s="9"/>
      <c r="BT412" s="9">
        <f t="shared" si="1587"/>
        <v>66.039999999999992</v>
      </c>
      <c r="BU412" s="9">
        <f t="shared" si="1588"/>
        <v>128.27000000000001</v>
      </c>
      <c r="BV412" s="9">
        <f t="shared" si="1589"/>
        <v>1.7812889692205971</v>
      </c>
      <c r="BW412" s="40">
        <f t="shared" si="1738"/>
        <v>0</v>
      </c>
      <c r="BX412" s="9">
        <f t="shared" si="1590"/>
        <v>0</v>
      </c>
      <c r="BY412" s="9">
        <f t="shared" si="1795"/>
        <v>0</v>
      </c>
      <c r="BZ412" s="9">
        <f t="shared" si="1591"/>
        <v>0.99524931562137331</v>
      </c>
      <c r="CA412" s="9">
        <f t="shared" si="1592"/>
        <v>0.68</v>
      </c>
      <c r="CB412" s="9">
        <f t="shared" si="1593"/>
        <v>1.693300152715469</v>
      </c>
      <c r="CC412" s="9">
        <f t="shared" si="1594"/>
        <v>3.0162568836116175</v>
      </c>
      <c r="CD412" s="40">
        <v>1</v>
      </c>
      <c r="CE412" s="9" t="e">
        <f>4*CC412*#REF!+60*CC412</f>
        <v>#REF!</v>
      </c>
      <c r="CG412" s="4" t="e">
        <f t="shared" si="1796"/>
        <v>#REF!</v>
      </c>
      <c r="CH412" s="4" t="e">
        <f t="shared" si="1797"/>
        <v>#REF!</v>
      </c>
      <c r="CI412" s="4" t="e">
        <f t="shared" si="1798"/>
        <v>#REF!</v>
      </c>
      <c r="CJ412" s="4" t="e">
        <f t="shared" si="1799"/>
        <v>#REF!</v>
      </c>
      <c r="CK412" s="4">
        <f t="shared" si="1800"/>
        <v>0.67872485494033818</v>
      </c>
      <c r="CL412" s="4">
        <f t="shared" si="1801"/>
        <v>0.69192281388318311</v>
      </c>
      <c r="CM412" s="4">
        <f t="shared" si="1699"/>
        <v>0.86489129505352247</v>
      </c>
      <c r="CN412" s="4">
        <f t="shared" si="1739"/>
        <v>0</v>
      </c>
      <c r="CO412" s="4" t="e">
        <f t="shared" si="1886"/>
        <v>#REF!</v>
      </c>
      <c r="CP412" s="4" t="e">
        <f t="shared" si="1887"/>
        <v>#REF!</v>
      </c>
      <c r="CQ412" s="4" t="e">
        <f t="shared" si="1888"/>
        <v>#REF!</v>
      </c>
      <c r="CR412" s="4">
        <f t="shared" si="1889"/>
        <v>0.86489129505352247</v>
      </c>
      <c r="CS412" s="4">
        <f t="shared" si="1890"/>
        <v>0.67872485494033818</v>
      </c>
      <c r="CT412" s="4">
        <f t="shared" si="1891"/>
        <v>0.69192281388318311</v>
      </c>
      <c r="DC412" s="4" t="e">
        <f>#REF!</f>
        <v>#REF!</v>
      </c>
      <c r="DF412" s="4">
        <f t="shared" si="1601"/>
        <v>2.0153624422739997E-5</v>
      </c>
      <c r="DG412" s="4">
        <f t="shared" si="1802"/>
        <v>9.1397910685166845</v>
      </c>
      <c r="DH412" s="4">
        <f t="shared" si="1602"/>
        <v>0.26272793307880238</v>
      </c>
      <c r="DI412" s="4">
        <f t="shared" si="1803"/>
        <v>5.3547446764165203</v>
      </c>
      <c r="DJ412" s="4">
        <f t="shared" si="1804"/>
        <v>7.4918554633137289</v>
      </c>
      <c r="DK412" s="4">
        <f t="shared" si="1603"/>
        <v>8.5890007851221988</v>
      </c>
      <c r="DL412" s="38">
        <f t="shared" si="1604"/>
        <v>666.56435197620203</v>
      </c>
      <c r="DM412" s="4" t="e">
        <f t="shared" si="1805"/>
        <v>#REF!</v>
      </c>
      <c r="DN412" s="4">
        <f t="shared" si="1605"/>
        <v>3.1780497164141401</v>
      </c>
      <c r="DO412" s="4">
        <f t="shared" si="1697"/>
        <v>388.98832530980735</v>
      </c>
      <c r="DS412" s="4">
        <f t="shared" si="1606"/>
        <v>0.85</v>
      </c>
      <c r="DT412" s="4">
        <f t="shared" si="1607"/>
        <v>0.84000000000000008</v>
      </c>
      <c r="DU412" s="4">
        <f t="shared" si="1608"/>
        <v>1</v>
      </c>
      <c r="DV412" s="4">
        <f t="shared" si="1806"/>
        <v>0.84000000000000008</v>
      </c>
      <c r="DX412" s="4">
        <f t="shared" si="1609"/>
        <v>653.85008851555085</v>
      </c>
      <c r="DY412" s="25">
        <f t="shared" si="1870"/>
        <v>384.86603736910473</v>
      </c>
      <c r="EA412" s="4">
        <f t="shared" si="1871"/>
        <v>0.71400000000000008</v>
      </c>
      <c r="EB412" s="4">
        <f t="shared" si="1610"/>
        <v>9.1397910685166845</v>
      </c>
      <c r="EE412" s="4">
        <f t="shared" si="1611"/>
        <v>80.72246279691916</v>
      </c>
      <c r="EF412" s="4">
        <f t="shared" si="1807"/>
        <v>3.1780497164141406</v>
      </c>
      <c r="EG412" s="4">
        <f t="shared" si="1612"/>
        <v>0.10269909521195474</v>
      </c>
      <c r="EJ412" s="4">
        <f t="shared" si="1808"/>
        <v>0.10269909521195474</v>
      </c>
      <c r="EK412" s="4">
        <f t="shared" si="1613"/>
        <v>0.26228948912432426</v>
      </c>
      <c r="EL412" s="4">
        <f t="shared" si="1809"/>
        <v>5.3511684569551603</v>
      </c>
      <c r="EM412" s="4">
        <f t="shared" si="1810"/>
        <v>7.4905842503572924</v>
      </c>
      <c r="EN412" s="4" t="e">
        <f t="shared" si="1811"/>
        <v>#REF!</v>
      </c>
      <c r="EO412" s="4" t="e">
        <f t="shared" si="1812"/>
        <v>#REF!</v>
      </c>
      <c r="EP412" s="4" t="e">
        <f t="shared" si="1614"/>
        <v>#REF!</v>
      </c>
      <c r="EQ412" s="4" t="e">
        <f t="shared" si="1813"/>
        <v>#REF!</v>
      </c>
      <c r="ER412" s="4" t="e">
        <f t="shared" si="1615"/>
        <v>#REF!</v>
      </c>
      <c r="FA412" s="23" t="e">
        <f t="shared" si="1772"/>
        <v>#REF!</v>
      </c>
      <c r="FB412" s="23" t="e">
        <f t="shared" si="1773"/>
        <v>#REF!</v>
      </c>
      <c r="FC412" s="23">
        <f t="shared" si="1706"/>
        <v>1</v>
      </c>
      <c r="FD412" s="23" t="e">
        <f t="shared" si="1774"/>
        <v>#REF!</v>
      </c>
      <c r="FE412" s="23">
        <f t="shared" si="1775"/>
        <v>0.8</v>
      </c>
      <c r="FF412" s="23">
        <f t="shared" si="1776"/>
        <v>0.8</v>
      </c>
      <c r="FG412" s="23">
        <f t="shared" si="1629"/>
        <v>1</v>
      </c>
      <c r="FH412" s="23"/>
      <c r="FR412" s="4">
        <f t="shared" si="1852"/>
        <v>1</v>
      </c>
      <c r="FS412" s="4">
        <f t="shared" si="1853"/>
        <v>0.5</v>
      </c>
      <c r="FT412" s="4">
        <f t="shared" si="1854"/>
        <v>0</v>
      </c>
      <c r="FU412" s="4">
        <f t="shared" si="1855"/>
        <v>523.08746277236071</v>
      </c>
    </row>
    <row r="413" spans="2:177" ht="12" customHeight="1" x14ac:dyDescent="0.3">
      <c r="B413" s="14"/>
      <c r="C413" s="7" t="s">
        <v>559</v>
      </c>
      <c r="D413" s="38">
        <f t="shared" si="1892"/>
        <v>889.65517241379314</v>
      </c>
      <c r="E413" s="38">
        <f>9.63*25.4</f>
        <v>244.602</v>
      </c>
      <c r="F413" s="38">
        <f>7410/145</f>
        <v>51.103448275862071</v>
      </c>
      <c r="G413" s="38">
        <f t="shared" si="1885"/>
        <v>25.4</v>
      </c>
      <c r="H413" s="38">
        <f>17.4*25.4</f>
        <v>441.95999999999992</v>
      </c>
      <c r="I413" s="38">
        <f>2.65*25.4</f>
        <v>67.309999999999988</v>
      </c>
      <c r="J413" s="39">
        <f>3.6*25.4</f>
        <v>91.44</v>
      </c>
      <c r="K413" s="7">
        <f t="shared" si="1727"/>
        <v>256.53999999999996</v>
      </c>
      <c r="L413" s="38">
        <v>2</v>
      </c>
      <c r="M413" s="4">
        <f t="shared" si="1843"/>
        <v>508</v>
      </c>
      <c r="N413" s="7">
        <f t="shared" si="1569"/>
        <v>3.1499999999999995</v>
      </c>
      <c r="O413" s="7">
        <f t="shared" si="1570"/>
        <v>3.1499999999999995</v>
      </c>
      <c r="P413" s="38">
        <v>9.1</v>
      </c>
      <c r="Q413" s="4">
        <f t="shared" si="1736"/>
        <v>9.1</v>
      </c>
      <c r="R413" s="4">
        <f t="shared" si="1571"/>
        <v>10.1</v>
      </c>
      <c r="S413" s="7">
        <f t="shared" si="1572"/>
        <v>80.72246279691916</v>
      </c>
      <c r="V413" s="38">
        <f t="shared" si="1777"/>
        <v>595.17241379310349</v>
      </c>
      <c r="W413" s="4">
        <v>86.3</v>
      </c>
      <c r="X413" s="4">
        <f t="shared" si="1573"/>
        <v>0.83340478977310528</v>
      </c>
      <c r="Y413" s="38">
        <f>0.5*25.4</f>
        <v>12.7</v>
      </c>
      <c r="Z413" s="38">
        <v>10</v>
      </c>
      <c r="AA413" s="39">
        <f>5*25.4</f>
        <v>127</v>
      </c>
      <c r="AB413" s="39">
        <v>3</v>
      </c>
      <c r="AC413" s="39">
        <v>2</v>
      </c>
      <c r="AD413" s="7"/>
      <c r="AE413" s="4">
        <f t="shared" si="1576"/>
        <v>244.602</v>
      </c>
      <c r="AF413" s="4">
        <f t="shared" si="1577"/>
        <v>0.60228452751817219</v>
      </c>
      <c r="AG413" s="4">
        <f t="shared" si="1578"/>
        <v>269.85334029886326</v>
      </c>
      <c r="AH413" s="4">
        <f t="shared" si="1579"/>
        <v>0.76542056074766351</v>
      </c>
      <c r="AI413" s="4">
        <v>1.25</v>
      </c>
      <c r="AJ413" s="4">
        <f t="shared" si="1878"/>
        <v>2.5</v>
      </c>
      <c r="AK413" s="38">
        <f t="shared" si="1729"/>
        <v>388.75827858803166</v>
      </c>
      <c r="AL413" s="38">
        <f t="shared" si="1616"/>
        <v>388.75827858803166</v>
      </c>
      <c r="AM413" s="38">
        <f t="shared" si="1580"/>
        <v>4.0980014231553801</v>
      </c>
      <c r="AN413" s="38">
        <f t="shared" si="1893"/>
        <v>388.75827858803183</v>
      </c>
      <c r="AO413" s="38">
        <f t="shared" si="1845"/>
        <v>0.99999999999999956</v>
      </c>
      <c r="AP413" s="38">
        <f t="shared" si="1894"/>
        <v>2.4982264431092367</v>
      </c>
      <c r="AQ413" s="4">
        <f t="shared" si="1895"/>
        <v>0</v>
      </c>
      <c r="AR413" s="4" t="e">
        <f>#REF!/G413*F413^0.5/0.19</f>
        <v>#REF!</v>
      </c>
      <c r="AS413" s="4">
        <f t="shared" si="1581"/>
        <v>1</v>
      </c>
      <c r="AT413" s="38">
        <f t="shared" si="1582"/>
        <v>971.20621154624848</v>
      </c>
      <c r="AU413" s="4">
        <f t="shared" si="1583"/>
        <v>0.3</v>
      </c>
      <c r="AV413" s="4" t="e">
        <f>AU413*D413*#REF!/(D413*G413/2.75/F413^0.5)</f>
        <v>#REF!</v>
      </c>
      <c r="AW413" s="4" t="e">
        <f t="shared" si="1793"/>
        <v>#REF!</v>
      </c>
      <c r="AY413" s="4">
        <f t="shared" si="1584"/>
        <v>1.5</v>
      </c>
      <c r="AZ413" s="4" t="e">
        <f>(3*#REF!+30)*AY413*F413^0.5</f>
        <v>#REF!</v>
      </c>
      <c r="BB413" s="4">
        <f t="shared" si="1585"/>
        <v>931.5055276531624</v>
      </c>
      <c r="BC413" s="4">
        <f t="shared" si="1822"/>
        <v>0</v>
      </c>
      <c r="BD413" s="4">
        <f t="shared" si="1794"/>
        <v>0</v>
      </c>
      <c r="BL413" s="4">
        <f t="shared" si="1586"/>
        <v>67.309999999999988</v>
      </c>
      <c r="BP413" s="9"/>
      <c r="BR413" s="9"/>
      <c r="BS413" s="9"/>
      <c r="BT413" s="9">
        <f t="shared" si="1587"/>
        <v>67.309999999999988</v>
      </c>
      <c r="BU413" s="9">
        <f t="shared" si="1588"/>
        <v>128.26999999999998</v>
      </c>
      <c r="BV413" s="9">
        <f t="shared" si="1589"/>
        <v>1.793204262788072</v>
      </c>
      <c r="BW413" s="40">
        <f t="shared" si="1738"/>
        <v>20</v>
      </c>
      <c r="BX413" s="9">
        <f t="shared" si="1590"/>
        <v>0.05</v>
      </c>
      <c r="BY413" s="9">
        <f t="shared" si="1795"/>
        <v>0.8</v>
      </c>
      <c r="BZ413" s="9">
        <f t="shared" si="1591"/>
        <v>0.99524931562137331</v>
      </c>
      <c r="CA413" s="9">
        <f t="shared" si="1592"/>
        <v>0.68</v>
      </c>
      <c r="CB413" s="9">
        <f t="shared" si="1593"/>
        <v>1.693300152715469</v>
      </c>
      <c r="CC413" s="9">
        <f t="shared" si="1594"/>
        <v>4.2332503817886726</v>
      </c>
      <c r="CD413" s="40">
        <v>1</v>
      </c>
      <c r="CE413" s="9" t="e">
        <f>4*CC413*#REF!+60*CC413</f>
        <v>#REF!</v>
      </c>
      <c r="CG413" s="4" t="e">
        <f t="shared" si="1796"/>
        <v>#REF!</v>
      </c>
      <c r="CH413" s="4" t="e">
        <f t="shared" si="1797"/>
        <v>#REF!</v>
      </c>
      <c r="CI413" s="4" t="e">
        <f t="shared" si="1798"/>
        <v>#REF!</v>
      </c>
      <c r="CJ413" s="4" t="e">
        <f t="shared" si="1799"/>
        <v>#REF!</v>
      </c>
      <c r="CK413" s="4">
        <f t="shared" si="1800"/>
        <v>0.83340478977310528</v>
      </c>
      <c r="CL413" s="4">
        <f t="shared" si="1801"/>
        <v>0.84853134899852589</v>
      </c>
      <c r="CM413" s="4">
        <f t="shared" si="1699"/>
        <v>1.0296890870286513</v>
      </c>
      <c r="CN413" s="4">
        <f t="shared" si="1739"/>
        <v>10</v>
      </c>
      <c r="CU413" s="4" t="e">
        <f t="shared" ref="CU413" si="1896">CG413</f>
        <v>#REF!</v>
      </c>
      <c r="CV413" s="4" t="e">
        <f t="shared" ref="CV413" si="1897">CH413</f>
        <v>#REF!</v>
      </c>
      <c r="CW413" s="4" t="e">
        <f t="shared" ref="CW413" si="1898">CJ413</f>
        <v>#REF!</v>
      </c>
      <c r="CX413" s="4">
        <f t="shared" ref="CX413" si="1899">CM413</f>
        <v>1.0296890870286513</v>
      </c>
      <c r="CY413" s="4">
        <f t="shared" ref="CY413" si="1900">CK413</f>
        <v>0.83340478977310528</v>
      </c>
      <c r="CZ413" s="4">
        <f t="shared" ref="CZ413" si="1901">CL413</f>
        <v>0.84853134899852589</v>
      </c>
      <c r="DC413" s="4" t="e">
        <f>#REF!</f>
        <v>#REF!</v>
      </c>
      <c r="DF413" s="4">
        <f t="shared" si="1601"/>
        <v>1.9783833148928252E-5</v>
      </c>
      <c r="DG413" s="4">
        <f t="shared" si="1802"/>
        <v>10.967749282220023</v>
      </c>
      <c r="DH413" s="4">
        <f t="shared" si="1602"/>
        <v>0.26257255643690569</v>
      </c>
      <c r="DI413" s="4">
        <f t="shared" si="1803"/>
        <v>6.4241732862813743</v>
      </c>
      <c r="DJ413" s="4">
        <f t="shared" si="1804"/>
        <v>8.9896860463643975</v>
      </c>
      <c r="DK413" s="4">
        <f t="shared" si="1603"/>
        <v>10.206506761698176</v>
      </c>
      <c r="DL413" s="38">
        <f t="shared" si="1604"/>
        <v>714.14566018409778</v>
      </c>
      <c r="DM413" s="4" t="e">
        <f t="shared" si="1805"/>
        <v>#REF!</v>
      </c>
      <c r="DN413" s="4">
        <f t="shared" si="1605"/>
        <v>3.1780497164141401</v>
      </c>
      <c r="DO413" s="4">
        <f t="shared" si="1697"/>
        <v>388.75827858803183</v>
      </c>
      <c r="DS413" s="4">
        <f t="shared" si="1606"/>
        <v>0.85</v>
      </c>
      <c r="DT413" s="4">
        <f t="shared" si="1607"/>
        <v>0.83499999999999996</v>
      </c>
      <c r="DU413" s="4">
        <f t="shared" si="1608"/>
        <v>0.77500000000000002</v>
      </c>
      <c r="DV413" s="4">
        <f t="shared" si="1806"/>
        <v>0.7</v>
      </c>
      <c r="DX413" s="4">
        <f t="shared" si="1609"/>
        <v>701.41476151181951</v>
      </c>
      <c r="DY413" s="25">
        <f t="shared" si="1870"/>
        <v>384.55648474848294</v>
      </c>
      <c r="EA413" s="4">
        <f t="shared" si="1871"/>
        <v>0.59499999999999997</v>
      </c>
      <c r="EB413" s="4">
        <f t="shared" si="1610"/>
        <v>10.967749282220023</v>
      </c>
      <c r="EE413" s="4">
        <f t="shared" si="1611"/>
        <v>80.72246279691916</v>
      </c>
      <c r="EF413" s="4">
        <f t="shared" si="1807"/>
        <v>3.1780497164141406</v>
      </c>
      <c r="EG413" s="4">
        <f t="shared" si="1612"/>
        <v>0.10263835922414841</v>
      </c>
      <c r="EJ413" s="4">
        <f t="shared" si="1808"/>
        <v>0.10263835922414841</v>
      </c>
      <c r="EK413" s="4">
        <f t="shared" si="1613"/>
        <v>0.26213437177708465</v>
      </c>
      <c r="EL413" s="4">
        <f t="shared" si="1809"/>
        <v>6.4198828382921871</v>
      </c>
      <c r="EM413" s="4">
        <f t="shared" si="1810"/>
        <v>8.9881612318991966</v>
      </c>
      <c r="EN413" s="4" t="e">
        <f t="shared" si="1811"/>
        <v>#REF!</v>
      </c>
      <c r="EO413" s="4" t="e">
        <f t="shared" si="1812"/>
        <v>#REF!</v>
      </c>
      <c r="EP413" s="4" t="e">
        <f t="shared" si="1614"/>
        <v>#REF!</v>
      </c>
      <c r="EQ413" s="4" t="e">
        <f t="shared" si="1813"/>
        <v>#REF!</v>
      </c>
      <c r="ER413" s="4" t="e">
        <f t="shared" si="1615"/>
        <v>#REF!</v>
      </c>
      <c r="FA413" s="23" t="e">
        <f t="shared" si="1772"/>
        <v>#REF!</v>
      </c>
      <c r="FB413" s="23" t="e">
        <f t="shared" si="1773"/>
        <v>#REF!</v>
      </c>
      <c r="FC413" s="23">
        <f t="shared" si="1706"/>
        <v>1.2</v>
      </c>
      <c r="FD413" s="23" t="e">
        <f t="shared" si="1774"/>
        <v>#REF!</v>
      </c>
      <c r="FE413" s="23">
        <f t="shared" si="1775"/>
        <v>1</v>
      </c>
      <c r="FF413" s="23">
        <f t="shared" si="1776"/>
        <v>1</v>
      </c>
      <c r="FG413" s="23">
        <f t="shared" si="1629"/>
        <v>0</v>
      </c>
      <c r="FH413" s="23"/>
      <c r="FR413" s="4">
        <f t="shared" si="1852"/>
        <v>1</v>
      </c>
      <c r="FS413" s="4">
        <f t="shared" si="1853"/>
        <v>0.44418604651162791</v>
      </c>
      <c r="FT413" s="4">
        <f t="shared" si="1854"/>
        <v>0.3</v>
      </c>
      <c r="FU413" s="4">
        <f t="shared" si="1855"/>
        <v>578.01177199088124</v>
      </c>
    </row>
    <row r="414" spans="2:177" ht="12" customHeight="1" x14ac:dyDescent="0.3">
      <c r="B414" s="14"/>
      <c r="C414" s="7" t="s">
        <v>560</v>
      </c>
      <c r="D414" s="38">
        <f t="shared" si="1892"/>
        <v>889.65517241379314</v>
      </c>
      <c r="E414" s="38">
        <f>9.88*25.4</f>
        <v>250.952</v>
      </c>
      <c r="F414" s="38">
        <f t="shared" ref="F414:F419" si="1902">4880/145</f>
        <v>33.655172413793103</v>
      </c>
      <c r="G414" s="38">
        <f t="shared" si="1885"/>
        <v>25.4</v>
      </c>
      <c r="H414" s="38">
        <f>17.4*25.4</f>
        <v>441.95999999999992</v>
      </c>
      <c r="I414" s="38">
        <f>2.55*25.4</f>
        <v>64.77</v>
      </c>
      <c r="J414" s="39">
        <f>3.3*25.4</f>
        <v>83.82</v>
      </c>
      <c r="K414" s="7">
        <f t="shared" si="1727"/>
        <v>261.61999999999989</v>
      </c>
      <c r="L414" s="38">
        <v>2</v>
      </c>
      <c r="M414" s="4">
        <f t="shared" si="1843"/>
        <v>508</v>
      </c>
      <c r="N414" s="7">
        <f t="shared" si="1569"/>
        <v>3.05</v>
      </c>
      <c r="O414" s="7">
        <f t="shared" si="1570"/>
        <v>3.05</v>
      </c>
      <c r="P414" s="38">
        <v>4.0999999999999996</v>
      </c>
      <c r="Q414" s="4">
        <f t="shared" si="1736"/>
        <v>4.0999999999999996</v>
      </c>
      <c r="R414" s="4">
        <f t="shared" si="1571"/>
        <v>5.0999999999999996</v>
      </c>
      <c r="S414" s="7">
        <f t="shared" si="1572"/>
        <v>57.361276136431961</v>
      </c>
      <c r="V414" s="38">
        <f t="shared" si="1777"/>
        <v>354.48275862068965</v>
      </c>
      <c r="W414" s="4">
        <v>51.4</v>
      </c>
      <c r="X414" s="4">
        <f t="shared" si="1573"/>
        <v>0.61800778838527559</v>
      </c>
      <c r="Y414" s="38"/>
      <c r="Z414" s="38"/>
      <c r="AA414" s="39">
        <v>1</v>
      </c>
      <c r="AB414" s="39"/>
      <c r="AC414" s="39"/>
      <c r="AD414" s="7"/>
      <c r="AE414" s="4">
        <f t="shared" si="1576"/>
        <v>250.952</v>
      </c>
      <c r="AF414" s="4">
        <f t="shared" si="1577"/>
        <v>0.58704453441295534</v>
      </c>
      <c r="AG414" s="4">
        <f t="shared" si="1578"/>
        <v>227.57502097194012</v>
      </c>
      <c r="AH414" s="4">
        <f t="shared" si="1579"/>
        <v>0.76174089068825901</v>
      </c>
      <c r="AI414" s="4">
        <v>1.25</v>
      </c>
      <c r="AJ414" s="4">
        <f t="shared" si="1878"/>
        <v>2.5</v>
      </c>
      <c r="AK414" s="38">
        <f t="shared" si="1729"/>
        <v>318.01890030575532</v>
      </c>
      <c r="AL414" s="38">
        <f t="shared" si="1616"/>
        <v>318.01890030575532</v>
      </c>
      <c r="AM414" s="38">
        <f t="shared" si="1580"/>
        <v>3.1272010355053257</v>
      </c>
      <c r="AN414" s="38">
        <f t="shared" si="1893"/>
        <v>318.01890030575521</v>
      </c>
      <c r="AO414" s="38">
        <f t="shared" si="1845"/>
        <v>1.0000000000000004</v>
      </c>
      <c r="AP414" s="38">
        <f t="shared" si="1894"/>
        <v>1.3071356264291427</v>
      </c>
      <c r="AQ414" s="4">
        <f t="shared" si="1895"/>
        <v>0</v>
      </c>
      <c r="AR414" s="4" t="e">
        <f>#REF!/G414*F414^0.5/0.19</f>
        <v>#REF!</v>
      </c>
      <c r="AS414" s="4">
        <f t="shared" si="1581"/>
        <v>1</v>
      </c>
      <c r="AT414" s="38">
        <f t="shared" si="1582"/>
        <v>415.69383446747042</v>
      </c>
      <c r="AU414" s="4">
        <f t="shared" si="1583"/>
        <v>0.42600000000000005</v>
      </c>
      <c r="AV414" s="4" t="e">
        <f>AU414*D414*#REF!/(D414*G414/2.75/F414^0.5)</f>
        <v>#REF!</v>
      </c>
      <c r="AW414" s="4" t="e">
        <f t="shared" si="1793"/>
        <v>#REF!</v>
      </c>
      <c r="AY414" s="4">
        <f t="shared" si="1584"/>
        <v>1.3875</v>
      </c>
      <c r="AZ414" s="4" t="e">
        <f>(3*#REF!+30)*AY414*F414^0.5</f>
        <v>#REF!</v>
      </c>
      <c r="BB414" s="4">
        <f t="shared" si="1585"/>
        <v>398.70122329767247</v>
      </c>
      <c r="BC414" s="4">
        <f t="shared" si="1822"/>
        <v>0</v>
      </c>
      <c r="BD414" s="4">
        <f t="shared" si="1794"/>
        <v>0</v>
      </c>
      <c r="BL414" s="4">
        <f t="shared" si="1586"/>
        <v>64.77</v>
      </c>
      <c r="BP414" s="9"/>
      <c r="BR414" s="9"/>
      <c r="BS414" s="9"/>
      <c r="BT414" s="9">
        <f t="shared" si="1587"/>
        <v>64.77</v>
      </c>
      <c r="BU414" s="9">
        <f t="shared" si="1588"/>
        <v>130.80999999999995</v>
      </c>
      <c r="BV414" s="9">
        <f t="shared" si="1589"/>
        <v>1.7744352138444073</v>
      </c>
      <c r="BW414" s="40">
        <f t="shared" si="1738"/>
        <v>0</v>
      </c>
      <c r="BX414" s="9">
        <f t="shared" si="1590"/>
        <v>0</v>
      </c>
      <c r="BY414" s="9">
        <f t="shared" si="1795"/>
        <v>0</v>
      </c>
      <c r="BZ414" s="9">
        <f t="shared" si="1591"/>
        <v>0.99524931562137331</v>
      </c>
      <c r="CA414" s="9">
        <f t="shared" si="1592"/>
        <v>0.68</v>
      </c>
      <c r="CB414" s="9">
        <f t="shared" si="1593"/>
        <v>1.3741519375646418</v>
      </c>
      <c r="CC414" s="9">
        <f t="shared" si="1594"/>
        <v>2.4383435871872217</v>
      </c>
      <c r="CD414" s="40">
        <v>1</v>
      </c>
      <c r="CE414" s="9" t="e">
        <f>4*CC414*#REF!+60*CC414</f>
        <v>#REF!</v>
      </c>
      <c r="CG414" s="4" t="e">
        <f t="shared" si="1796"/>
        <v>#REF!</v>
      </c>
      <c r="CH414" s="4" t="e">
        <f t="shared" si="1797"/>
        <v>#REF!</v>
      </c>
      <c r="CI414" s="4" t="e">
        <f t="shared" si="1798"/>
        <v>#REF!</v>
      </c>
      <c r="CJ414" s="4" t="e">
        <f t="shared" si="1799"/>
        <v>#REF!</v>
      </c>
      <c r="CK414" s="4">
        <f t="shared" si="1800"/>
        <v>0.61800778838527559</v>
      </c>
      <c r="CL414" s="4">
        <f t="shared" si="1801"/>
        <v>0.6648035989042731</v>
      </c>
      <c r="CM414" s="4">
        <f t="shared" si="1699"/>
        <v>0.74693440629475993</v>
      </c>
      <c r="CN414" s="4">
        <f t="shared" si="1739"/>
        <v>0</v>
      </c>
      <c r="CO414" s="4" t="e">
        <f t="shared" ref="CO414:CO415" si="1903">CG414</f>
        <v>#REF!</v>
      </c>
      <c r="CP414" s="4" t="e">
        <f t="shared" ref="CP414:CP415" si="1904">CH414</f>
        <v>#REF!</v>
      </c>
      <c r="CQ414" s="4" t="e">
        <f t="shared" ref="CQ414:CQ415" si="1905">CJ414</f>
        <v>#REF!</v>
      </c>
      <c r="CR414" s="4">
        <f t="shared" ref="CR414:CR415" si="1906">CM414</f>
        <v>0.74693440629475993</v>
      </c>
      <c r="CS414" s="4">
        <f t="shared" ref="CS414:CS415" si="1907">CK414</f>
        <v>0.61800778838527559</v>
      </c>
      <c r="CT414" s="4">
        <f t="shared" ref="CT414:CT415" si="1908">CL414</f>
        <v>0.6648035989042731</v>
      </c>
      <c r="DC414" s="4" t="e">
        <f>#REF!</f>
        <v>#REF!</v>
      </c>
      <c r="DF414" s="4">
        <f t="shared" si="1601"/>
        <v>1.8101887802209873E-5</v>
      </c>
      <c r="DG414" s="4">
        <f t="shared" si="1802"/>
        <v>7.3732617603878383</v>
      </c>
      <c r="DH414" s="4">
        <f t="shared" si="1602"/>
        <v>0.51440234096462856</v>
      </c>
      <c r="DI414" s="4">
        <f t="shared" si="1803"/>
        <v>5.651722459899756</v>
      </c>
      <c r="DJ414" s="4">
        <f t="shared" si="1804"/>
        <v>6.5692280921920974</v>
      </c>
      <c r="DK414" s="4">
        <f t="shared" si="1603"/>
        <v>6.9986563688871684</v>
      </c>
      <c r="DL414" s="38">
        <f t="shared" si="1604"/>
        <v>573.58946809857946</v>
      </c>
      <c r="DM414" s="4" t="e">
        <f t="shared" si="1805"/>
        <v>#REF!</v>
      </c>
      <c r="DN414" s="4">
        <f t="shared" si="1605"/>
        <v>2.2583179581272428</v>
      </c>
      <c r="DO414" s="4">
        <f t="shared" si="1697"/>
        <v>318.01890030575521</v>
      </c>
      <c r="DS414" s="4">
        <f t="shared" si="1606"/>
        <v>0.85</v>
      </c>
      <c r="DT414" s="4">
        <f t="shared" si="1607"/>
        <v>0.84499999999999997</v>
      </c>
      <c r="DU414" s="4">
        <f t="shared" si="1608"/>
        <v>1</v>
      </c>
      <c r="DV414" s="4">
        <f t="shared" si="1806"/>
        <v>0.84499999999999997</v>
      </c>
      <c r="DX414" s="4">
        <f t="shared" si="1609"/>
        <v>533.21425937667436</v>
      </c>
      <c r="DY414" s="25">
        <f t="shared" si="1870"/>
        <v>314.67078079877888</v>
      </c>
      <c r="EA414" s="4">
        <f t="shared" si="1871"/>
        <v>0.71824999999999994</v>
      </c>
      <c r="EB414" s="4">
        <f t="shared" si="1610"/>
        <v>7.3732617603878383</v>
      </c>
      <c r="EE414" s="4">
        <f t="shared" si="1611"/>
        <v>57.361276136431961</v>
      </c>
      <c r="EF414" s="4">
        <f t="shared" si="1807"/>
        <v>2.2583179581272428</v>
      </c>
      <c r="EG414" s="4">
        <f t="shared" si="1612"/>
        <v>0.16317894148531115</v>
      </c>
      <c r="EJ414" s="4">
        <f t="shared" si="1808"/>
        <v>0.16317894148531115</v>
      </c>
      <c r="EK414" s="4">
        <f t="shared" si="1613"/>
        <v>0.51354389932912226</v>
      </c>
      <c r="EL414" s="4">
        <f t="shared" si="1809"/>
        <v>5.6479479008735689</v>
      </c>
      <c r="EM414" s="4">
        <f t="shared" si="1810"/>
        <v>6.5676056541484567</v>
      </c>
      <c r="EN414" s="4" t="e">
        <f t="shared" si="1811"/>
        <v>#REF!</v>
      </c>
      <c r="EO414" s="4" t="e">
        <f t="shared" si="1812"/>
        <v>#REF!</v>
      </c>
      <c r="EP414" s="4" t="e">
        <f t="shared" si="1614"/>
        <v>#REF!</v>
      </c>
      <c r="EQ414" s="4" t="e">
        <f t="shared" si="1813"/>
        <v>#REF!</v>
      </c>
      <c r="ER414" s="4" t="e">
        <f t="shared" si="1615"/>
        <v>#REF!</v>
      </c>
      <c r="FA414" s="23" t="e">
        <f t="shared" si="1772"/>
        <v>#REF!</v>
      </c>
      <c r="FB414" s="23" t="e">
        <f t="shared" si="1773"/>
        <v>#REF!</v>
      </c>
      <c r="FC414" s="23">
        <f t="shared" si="1706"/>
        <v>0.8</v>
      </c>
      <c r="FD414" s="23" t="e">
        <f t="shared" si="1774"/>
        <v>#REF!</v>
      </c>
      <c r="FE414" s="23">
        <f t="shared" si="1775"/>
        <v>0.8</v>
      </c>
      <c r="FF414" s="23">
        <f t="shared" si="1776"/>
        <v>0.8</v>
      </c>
      <c r="FG414" s="23">
        <f t="shared" si="1629"/>
        <v>1</v>
      </c>
      <c r="FH414" s="23"/>
      <c r="FR414" s="4">
        <f t="shared" si="1852"/>
        <v>1</v>
      </c>
      <c r="FS414" s="4">
        <f t="shared" si="1853"/>
        <v>0.5</v>
      </c>
      <c r="FT414" s="4">
        <f t="shared" si="1854"/>
        <v>0</v>
      </c>
      <c r="FU414" s="4">
        <f t="shared" si="1855"/>
        <v>474.58351849011149</v>
      </c>
    </row>
    <row r="415" spans="2:177" ht="12" customHeight="1" x14ac:dyDescent="0.3">
      <c r="B415" s="14"/>
      <c r="C415" s="7" t="s">
        <v>561</v>
      </c>
      <c r="D415" s="38">
        <f t="shared" si="1892"/>
        <v>889.65517241379314</v>
      </c>
      <c r="E415" s="38">
        <f>9.75*25.4</f>
        <v>247.64999999999998</v>
      </c>
      <c r="F415" s="38">
        <f t="shared" si="1902"/>
        <v>33.655172413793103</v>
      </c>
      <c r="G415" s="38">
        <f t="shared" si="1885"/>
        <v>25.4</v>
      </c>
      <c r="H415" s="38">
        <f>17.5*25.4</f>
        <v>444.5</v>
      </c>
      <c r="I415" s="38">
        <f>2.6*25.4</f>
        <v>66.039999999999992</v>
      </c>
      <c r="J415" s="39">
        <f>3.5*25.4</f>
        <v>88.899999999999991</v>
      </c>
      <c r="K415" s="7">
        <f t="shared" si="1727"/>
        <v>261.62</v>
      </c>
      <c r="L415" s="38">
        <v>2</v>
      </c>
      <c r="M415" s="4">
        <f t="shared" si="1843"/>
        <v>508</v>
      </c>
      <c r="N415" s="7">
        <f t="shared" si="1569"/>
        <v>3.0999999999999996</v>
      </c>
      <c r="O415" s="7">
        <f t="shared" si="1570"/>
        <v>3.0999999999999996</v>
      </c>
      <c r="P415" s="38">
        <v>9.1</v>
      </c>
      <c r="Q415" s="4">
        <f t="shared" si="1736"/>
        <v>9.1</v>
      </c>
      <c r="R415" s="4">
        <f t="shared" si="1571"/>
        <v>10.1</v>
      </c>
      <c r="S415" s="7">
        <f t="shared" si="1572"/>
        <v>80.72246279691916</v>
      </c>
      <c r="V415" s="38">
        <f t="shared" si="1777"/>
        <v>387.58620689655174</v>
      </c>
      <c r="W415" s="4">
        <v>56.2</v>
      </c>
      <c r="X415" s="4">
        <f t="shared" si="1573"/>
        <v>0.70367808719437008</v>
      </c>
      <c r="Y415" s="38"/>
      <c r="Z415" s="38"/>
      <c r="AA415" s="39">
        <v>1</v>
      </c>
      <c r="AB415" s="39"/>
      <c r="AC415" s="39"/>
      <c r="AD415" s="7"/>
      <c r="AE415" s="4">
        <f t="shared" si="1576"/>
        <v>247.64999999999998</v>
      </c>
      <c r="AF415" s="4">
        <f t="shared" si="1577"/>
        <v>0.59829059829059839</v>
      </c>
      <c r="AG415" s="4">
        <f t="shared" si="1578"/>
        <v>223.09821631857008</v>
      </c>
      <c r="AH415" s="4">
        <f t="shared" si="1579"/>
        <v>0.76358974358974352</v>
      </c>
      <c r="AI415" s="4">
        <v>1.25</v>
      </c>
      <c r="AJ415" s="4">
        <f t="shared" si="1878"/>
        <v>2.5</v>
      </c>
      <c r="AK415" s="38">
        <f t="shared" si="1729"/>
        <v>318.50656211489917</v>
      </c>
      <c r="AL415" s="38">
        <f t="shared" si="1616"/>
        <v>318.50656211489917</v>
      </c>
      <c r="AM415" s="38">
        <f t="shared" si="1580"/>
        <v>3.1272010355053257</v>
      </c>
      <c r="AN415" s="38">
        <f t="shared" si="1893"/>
        <v>318.5065621148994</v>
      </c>
      <c r="AO415" s="38">
        <f t="shared" si="1845"/>
        <v>0.99999999999999933</v>
      </c>
      <c r="AP415" s="38">
        <f t="shared" si="1894"/>
        <v>1.9762679201452078</v>
      </c>
      <c r="AQ415" s="4">
        <f t="shared" si="1895"/>
        <v>0</v>
      </c>
      <c r="AR415" s="4" t="e">
        <f>#REF!/G415*F415^0.5/0.19</f>
        <v>#REF!</v>
      </c>
      <c r="AS415" s="4">
        <f t="shared" si="1581"/>
        <v>1</v>
      </c>
      <c r="AT415" s="38">
        <f t="shared" si="1582"/>
        <v>629.45430106341269</v>
      </c>
      <c r="AU415" s="4">
        <f t="shared" si="1583"/>
        <v>0.3</v>
      </c>
      <c r="AV415" s="4" t="e">
        <f>AU415*D415*#REF!/(D415*G415/2.75/F415^0.5)</f>
        <v>#REF!</v>
      </c>
      <c r="AW415" s="4" t="e">
        <f t="shared" si="1793"/>
        <v>#REF!</v>
      </c>
      <c r="AY415" s="4">
        <f t="shared" si="1584"/>
        <v>1.4</v>
      </c>
      <c r="AZ415" s="4" t="e">
        <f>(3*#REF!+30)*AY415*F415^0.5</f>
        <v>#REF!</v>
      </c>
      <c r="BB415" s="4">
        <f t="shared" si="1585"/>
        <v>603.72365196482838</v>
      </c>
      <c r="BC415" s="4">
        <f t="shared" si="1822"/>
        <v>0</v>
      </c>
      <c r="BD415" s="4">
        <f t="shared" si="1794"/>
        <v>0</v>
      </c>
      <c r="BL415" s="4">
        <f t="shared" si="1586"/>
        <v>66.039999999999992</v>
      </c>
      <c r="BP415" s="9"/>
      <c r="BR415" s="9"/>
      <c r="BS415" s="9"/>
      <c r="BT415" s="9">
        <f t="shared" si="1587"/>
        <v>66.039999999999992</v>
      </c>
      <c r="BU415" s="9">
        <f t="shared" si="1588"/>
        <v>130.81</v>
      </c>
      <c r="BV415" s="9">
        <f t="shared" si="1589"/>
        <v>1.7865359348792491</v>
      </c>
      <c r="BW415" s="40">
        <f t="shared" si="1738"/>
        <v>0</v>
      </c>
      <c r="BX415" s="9">
        <f t="shared" si="1590"/>
        <v>0</v>
      </c>
      <c r="BY415" s="9">
        <f t="shared" si="1795"/>
        <v>0</v>
      </c>
      <c r="BZ415" s="9">
        <f t="shared" si="1591"/>
        <v>0.99524931562137331</v>
      </c>
      <c r="CA415" s="9">
        <f t="shared" si="1592"/>
        <v>0.68</v>
      </c>
      <c r="CB415" s="9">
        <f t="shared" si="1593"/>
        <v>1.3741519375646418</v>
      </c>
      <c r="CC415" s="9">
        <f t="shared" si="1594"/>
        <v>2.4549718164431789</v>
      </c>
      <c r="CD415" s="40">
        <v>1</v>
      </c>
      <c r="CE415" s="9" t="e">
        <f>4*CC415*#REF!+60*CC415</f>
        <v>#REF!</v>
      </c>
      <c r="CG415" s="4" t="e">
        <f t="shared" si="1796"/>
        <v>#REF!</v>
      </c>
      <c r="CH415" s="4" t="e">
        <f t="shared" si="1797"/>
        <v>#REF!</v>
      </c>
      <c r="CI415" s="4" t="e">
        <f t="shared" si="1798"/>
        <v>#REF!</v>
      </c>
      <c r="CJ415" s="4" t="e">
        <f t="shared" si="1799"/>
        <v>#REF!</v>
      </c>
      <c r="CK415" s="4">
        <f t="shared" si="1800"/>
        <v>0.70367808719437008</v>
      </c>
      <c r="CL415" s="4">
        <f t="shared" si="1801"/>
        <v>0.72846501506533778</v>
      </c>
      <c r="CM415" s="4">
        <f t="shared" si="1699"/>
        <v>0.8275761961520568</v>
      </c>
      <c r="CN415" s="4">
        <f t="shared" si="1739"/>
        <v>0</v>
      </c>
      <c r="CO415" s="4" t="e">
        <f t="shared" si="1903"/>
        <v>#REF!</v>
      </c>
      <c r="CP415" s="4" t="e">
        <f t="shared" si="1904"/>
        <v>#REF!</v>
      </c>
      <c r="CQ415" s="4" t="e">
        <f t="shared" si="1905"/>
        <v>#REF!</v>
      </c>
      <c r="CR415" s="4">
        <f t="shared" si="1906"/>
        <v>0.8275761961520568</v>
      </c>
      <c r="CS415" s="4">
        <f t="shared" si="1907"/>
        <v>0.70367808719437008</v>
      </c>
      <c r="CT415" s="4">
        <f t="shared" si="1908"/>
        <v>0.72846501506533778</v>
      </c>
      <c r="DC415" s="4" t="e">
        <f>#REF!</f>
        <v>#REF!</v>
      </c>
      <c r="DF415" s="4">
        <f t="shared" si="1601"/>
        <v>1.7863705067970267E-5</v>
      </c>
      <c r="DG415" s="4">
        <f t="shared" si="1802"/>
        <v>7.4171502232472895</v>
      </c>
      <c r="DH415" s="4">
        <f t="shared" si="1602"/>
        <v>0.32665285061685839</v>
      </c>
      <c r="DI415" s="4">
        <f t="shared" si="1803"/>
        <v>4.7410185666214346</v>
      </c>
      <c r="DJ415" s="4">
        <f t="shared" si="1804"/>
        <v>6.2252785516665377</v>
      </c>
      <c r="DK415" s="4">
        <f t="shared" si="1603"/>
        <v>7.084379290649192</v>
      </c>
      <c r="DL415" s="38">
        <f t="shared" si="1604"/>
        <v>550.80044973674535</v>
      </c>
      <c r="DM415" s="4" t="e">
        <f t="shared" si="1805"/>
        <v>#REF!</v>
      </c>
      <c r="DN415" s="4">
        <f t="shared" si="1605"/>
        <v>3.1780497164141401</v>
      </c>
      <c r="DO415" s="4">
        <f t="shared" si="1697"/>
        <v>318.5065621148994</v>
      </c>
      <c r="DS415" s="4">
        <f t="shared" si="1606"/>
        <v>0.85</v>
      </c>
      <c r="DT415" s="4">
        <f t="shared" si="1607"/>
        <v>0.84000000000000008</v>
      </c>
      <c r="DU415" s="4">
        <f t="shared" si="1608"/>
        <v>1</v>
      </c>
      <c r="DV415" s="4">
        <f t="shared" si="1806"/>
        <v>0.84000000000000008</v>
      </c>
      <c r="DX415" s="4">
        <f t="shared" si="1609"/>
        <v>532.05877959944064</v>
      </c>
      <c r="DY415" s="25">
        <f t="shared" si="1870"/>
        <v>315.1071355694574</v>
      </c>
      <c r="EA415" s="4">
        <f t="shared" si="1871"/>
        <v>0.71400000000000008</v>
      </c>
      <c r="EB415" s="4">
        <f t="shared" si="1610"/>
        <v>7.4171502232472895</v>
      </c>
      <c r="EE415" s="4">
        <f t="shared" si="1611"/>
        <v>80.72246279691916</v>
      </c>
      <c r="EF415" s="4">
        <f t="shared" si="1807"/>
        <v>3.1780497164141406</v>
      </c>
      <c r="EG415" s="4">
        <f t="shared" si="1612"/>
        <v>0.10362096388765003</v>
      </c>
      <c r="EJ415" s="4">
        <f t="shared" si="1808"/>
        <v>0.10362096388765003</v>
      </c>
      <c r="EK415" s="4">
        <f t="shared" si="1613"/>
        <v>0.32610772788899423</v>
      </c>
      <c r="EL415" s="4">
        <f t="shared" si="1809"/>
        <v>4.7378522302432895</v>
      </c>
      <c r="EM415" s="4">
        <f t="shared" si="1810"/>
        <v>6.2240766285072322</v>
      </c>
      <c r="EN415" s="4" t="e">
        <f t="shared" si="1811"/>
        <v>#REF!</v>
      </c>
      <c r="EO415" s="4" t="e">
        <f t="shared" si="1812"/>
        <v>#REF!</v>
      </c>
      <c r="EP415" s="4" t="e">
        <f t="shared" si="1614"/>
        <v>#REF!</v>
      </c>
      <c r="EQ415" s="4" t="e">
        <f t="shared" si="1813"/>
        <v>#REF!</v>
      </c>
      <c r="ER415" s="4" t="e">
        <f t="shared" si="1615"/>
        <v>#REF!</v>
      </c>
      <c r="FA415" s="23" t="e">
        <f t="shared" si="1772"/>
        <v>#REF!</v>
      </c>
      <c r="FB415" s="23" t="e">
        <f t="shared" si="1773"/>
        <v>#REF!</v>
      </c>
      <c r="FC415" s="23">
        <f t="shared" si="1706"/>
        <v>1</v>
      </c>
      <c r="FD415" s="23" t="e">
        <f t="shared" si="1774"/>
        <v>#REF!</v>
      </c>
      <c r="FE415" s="23">
        <f t="shared" si="1775"/>
        <v>0.8</v>
      </c>
      <c r="FF415" s="23">
        <f t="shared" si="1776"/>
        <v>0.8</v>
      </c>
      <c r="FG415" s="23">
        <f t="shared" si="1629"/>
        <v>1</v>
      </c>
      <c r="FH415" s="23"/>
      <c r="FR415" s="4">
        <f t="shared" si="1852"/>
        <v>1</v>
      </c>
      <c r="FS415" s="4">
        <f t="shared" si="1853"/>
        <v>0.5</v>
      </c>
      <c r="FT415" s="4">
        <f t="shared" si="1854"/>
        <v>0</v>
      </c>
      <c r="FU415" s="4">
        <f t="shared" si="1855"/>
        <v>468.33899850997841</v>
      </c>
    </row>
    <row r="416" spans="2:177" ht="12" customHeight="1" x14ac:dyDescent="0.3">
      <c r="B416" s="14"/>
      <c r="C416" s="33" t="s">
        <v>562</v>
      </c>
      <c r="D416" s="38">
        <f t="shared" si="1892"/>
        <v>889.65517241379314</v>
      </c>
      <c r="E416" s="38">
        <f>10.13*25.4</f>
        <v>257.30200000000002</v>
      </c>
      <c r="F416" s="38">
        <f t="shared" si="1902"/>
        <v>33.655172413793103</v>
      </c>
      <c r="G416" s="38">
        <f t="shared" si="1885"/>
        <v>25.4</v>
      </c>
      <c r="H416" s="38">
        <f>17.3*25.4</f>
        <v>439.42</v>
      </c>
      <c r="I416" s="38">
        <f>2.5*25.4</f>
        <v>63.5</v>
      </c>
      <c r="J416" s="39">
        <f>3*25.4</f>
        <v>76.199999999999989</v>
      </c>
      <c r="K416" s="7">
        <f t="shared" si="1727"/>
        <v>261.62</v>
      </c>
      <c r="L416" s="38">
        <v>2</v>
      </c>
      <c r="M416" s="4">
        <f t="shared" si="1843"/>
        <v>508</v>
      </c>
      <c r="N416" s="7">
        <f t="shared" si="1569"/>
        <v>3</v>
      </c>
      <c r="O416" s="7">
        <f t="shared" si="1570"/>
        <v>3</v>
      </c>
      <c r="P416" s="38">
        <v>4.0999999999999996</v>
      </c>
      <c r="Q416" s="4">
        <f t="shared" si="1736"/>
        <v>4.0999999999999996</v>
      </c>
      <c r="R416" s="4">
        <f t="shared" si="1571"/>
        <v>5.0999999999999996</v>
      </c>
      <c r="S416" s="7">
        <f t="shared" si="1572"/>
        <v>57.361276136431961</v>
      </c>
      <c r="V416" s="38">
        <f t="shared" si="1777"/>
        <v>564.13793103448279</v>
      </c>
      <c r="W416" s="4">
        <v>81.8</v>
      </c>
      <c r="X416" s="4">
        <f t="shared" si="1573"/>
        <v>0.9393306132040562</v>
      </c>
      <c r="Y416" s="38">
        <f t="shared" ref="Y416:Y419" si="1909">0.5*25.4</f>
        <v>12.7</v>
      </c>
      <c r="Z416" s="38">
        <v>6</v>
      </c>
      <c r="AA416" s="39">
        <f>7.5*25.4</f>
        <v>190.5</v>
      </c>
      <c r="AB416" s="39">
        <v>1</v>
      </c>
      <c r="AC416" s="39">
        <v>1</v>
      </c>
      <c r="AD416" s="7"/>
      <c r="AE416" s="4">
        <f t="shared" si="1576"/>
        <v>257.30200000000002</v>
      </c>
      <c r="AF416" s="4">
        <f t="shared" si="1577"/>
        <v>0.56926620598881206</v>
      </c>
      <c r="AG416" s="4">
        <f t="shared" si="1578"/>
        <v>236.26714999168641</v>
      </c>
      <c r="AH416" s="4">
        <f t="shared" si="1579"/>
        <v>0.75923000987166822</v>
      </c>
      <c r="AI416" s="4">
        <v>1.25</v>
      </c>
      <c r="AJ416" s="4">
        <f t="shared" si="1878"/>
        <v>2.5</v>
      </c>
      <c r="AK416" s="38">
        <f t="shared" si="1729"/>
        <v>319.11126334066762</v>
      </c>
      <c r="AL416" s="38">
        <f t="shared" si="1616"/>
        <v>319.11126334066762</v>
      </c>
      <c r="AM416" s="38">
        <f t="shared" si="1580"/>
        <v>3.1272010355053257</v>
      </c>
      <c r="AN416" s="38">
        <f t="shared" si="1893"/>
        <v>319.11126334066768</v>
      </c>
      <c r="AO416" s="38">
        <f t="shared" si="1845"/>
        <v>0.99999999999999978</v>
      </c>
      <c r="AP416" s="38">
        <f t="shared" si="1894"/>
        <v>1.2813060158485035</v>
      </c>
      <c r="AQ416" s="4">
        <f t="shared" si="1895"/>
        <v>0</v>
      </c>
      <c r="AR416" s="4" t="e">
        <f>#REF!/G416*F416^0.5/0.19</f>
        <v>#REF!</v>
      </c>
      <c r="AS416" s="4">
        <f t="shared" si="1581"/>
        <v>1</v>
      </c>
      <c r="AT416" s="38">
        <f t="shared" si="1582"/>
        <v>408.87918144341347</v>
      </c>
      <c r="AU416" s="4">
        <f t="shared" si="1583"/>
        <v>0.42600000000000005</v>
      </c>
      <c r="AV416" s="4" t="e">
        <f>AU416*D416*#REF!/(D416*G416/2.75/F416^0.5)</f>
        <v>#REF!</v>
      </c>
      <c r="AW416" s="4" t="e">
        <f t="shared" si="1793"/>
        <v>#REF!</v>
      </c>
      <c r="AY416" s="4">
        <f t="shared" si="1584"/>
        <v>1.5</v>
      </c>
      <c r="AZ416" s="4" t="e">
        <f>(3*#REF!+30)*AY416*F416^0.5</f>
        <v>#REF!</v>
      </c>
      <c r="BB416" s="4">
        <f t="shared" si="1585"/>
        <v>392.16513766984178</v>
      </c>
      <c r="BC416" s="4">
        <f t="shared" si="1822"/>
        <v>0</v>
      </c>
      <c r="BD416" s="4">
        <f t="shared" si="1794"/>
        <v>0</v>
      </c>
      <c r="BL416" s="4">
        <f t="shared" si="1586"/>
        <v>63.5</v>
      </c>
      <c r="BP416" s="9"/>
      <c r="BR416" s="9"/>
      <c r="BS416" s="9"/>
      <c r="BT416" s="9">
        <f t="shared" si="1587"/>
        <v>63.5</v>
      </c>
      <c r="BU416" s="9">
        <f t="shared" si="1588"/>
        <v>130.81</v>
      </c>
      <c r="BV416" s="9">
        <f t="shared" si="1589"/>
        <v>1.7621792676747374</v>
      </c>
      <c r="BW416" s="40">
        <f t="shared" si="1738"/>
        <v>20</v>
      </c>
      <c r="BX416" s="9">
        <f t="shared" si="1590"/>
        <v>0.05</v>
      </c>
      <c r="BY416" s="9">
        <f t="shared" si="1795"/>
        <v>0.8</v>
      </c>
      <c r="BZ416" s="9">
        <f t="shared" si="1591"/>
        <v>0.99524931562137331</v>
      </c>
      <c r="CA416" s="9">
        <f t="shared" si="1592"/>
        <v>0.68</v>
      </c>
      <c r="CB416" s="9">
        <f t="shared" si="1593"/>
        <v>1.3741519375646418</v>
      </c>
      <c r="CC416" s="9">
        <f t="shared" si="1594"/>
        <v>3.4353798439116048</v>
      </c>
      <c r="CD416" s="40">
        <v>1</v>
      </c>
      <c r="CE416" s="9" t="e">
        <f>4*CC416*#REF!+60*CC416</f>
        <v>#REF!</v>
      </c>
      <c r="CG416" s="4" t="e">
        <f t="shared" si="1796"/>
        <v>#REF!</v>
      </c>
      <c r="CH416" s="4" t="e">
        <f t="shared" si="1797"/>
        <v>#REF!</v>
      </c>
      <c r="CI416" s="4" t="e">
        <f t="shared" si="1798"/>
        <v>#REF!</v>
      </c>
      <c r="CJ416" s="4" t="e">
        <f t="shared" si="1799"/>
        <v>#REF!</v>
      </c>
      <c r="CK416" s="4">
        <f t="shared" si="1800"/>
        <v>0.9393306132040562</v>
      </c>
      <c r="CL416" s="4">
        <f t="shared" si="1801"/>
        <v>1.0134345640672162</v>
      </c>
      <c r="CM416" s="4">
        <f t="shared" si="1699"/>
        <v>1.0515170046860745</v>
      </c>
      <c r="CN416" s="4">
        <f t="shared" si="1739"/>
        <v>6</v>
      </c>
      <c r="CU416" s="4" t="e">
        <f t="shared" ref="CU416:CU419" si="1910">CG416</f>
        <v>#REF!</v>
      </c>
      <c r="CV416" s="4" t="e">
        <f t="shared" ref="CV416:CV419" si="1911">CH416</f>
        <v>#REF!</v>
      </c>
      <c r="CW416" s="4" t="e">
        <f t="shared" ref="CW416:CW419" si="1912">CJ416</f>
        <v>#REF!</v>
      </c>
      <c r="CX416" s="4">
        <f t="shared" ref="CX416:CX419" si="1913">CM416</f>
        <v>1.0515170046860745</v>
      </c>
      <c r="CY416" s="4">
        <f t="shared" ref="CY416:CY419" si="1914">CK416</f>
        <v>0.9393306132040562</v>
      </c>
      <c r="CZ416" s="4">
        <f t="shared" ref="CZ416:CZ419" si="1915">CL416</f>
        <v>1.0134345640672162</v>
      </c>
      <c r="DC416" s="4" t="e">
        <f>#REF!</f>
        <v>#REF!</v>
      </c>
      <c r="DF416" s="4">
        <f t="shared" si="1601"/>
        <v>1.855993152190142E-5</v>
      </c>
      <c r="DG416" s="4">
        <f t="shared" si="1802"/>
        <v>7.9242050079843862</v>
      </c>
      <c r="DH416" s="4">
        <f t="shared" si="1602"/>
        <v>0.51616926142690911</v>
      </c>
      <c r="DI416" s="4">
        <f t="shared" si="1803"/>
        <v>6.0823661140843202</v>
      </c>
      <c r="DJ416" s="4">
        <f t="shared" si="1804"/>
        <v>7.063678327525893</v>
      </c>
      <c r="DK416" s="4">
        <f t="shared" si="1603"/>
        <v>7.4691435952565444</v>
      </c>
      <c r="DL416" s="38">
        <f t="shared" si="1604"/>
        <v>600.57441235754959</v>
      </c>
      <c r="DM416" s="4" t="e">
        <f t="shared" si="1805"/>
        <v>#REF!</v>
      </c>
      <c r="DN416" s="4">
        <f t="shared" si="1605"/>
        <v>2.2583179581272428</v>
      </c>
      <c r="DO416" s="4">
        <f t="shared" si="1697"/>
        <v>319.11126334066768</v>
      </c>
      <c r="DS416" s="4">
        <f t="shared" si="1606"/>
        <v>0.85</v>
      </c>
      <c r="DT416" s="4">
        <f t="shared" si="1607"/>
        <v>0.85</v>
      </c>
      <c r="DU416" s="4">
        <f t="shared" si="1608"/>
        <v>0.92500000000000004</v>
      </c>
      <c r="DV416" s="4">
        <f t="shared" si="1806"/>
        <v>0.78625</v>
      </c>
      <c r="DX416" s="4">
        <f t="shared" si="1609"/>
        <v>556.65945393694528</v>
      </c>
      <c r="DY416" s="25">
        <f t="shared" si="1870"/>
        <v>315.84286374429968</v>
      </c>
      <c r="EA416" s="4">
        <f t="shared" si="1871"/>
        <v>0.66831249999999998</v>
      </c>
      <c r="EB416" s="4">
        <f t="shared" si="1610"/>
        <v>7.9242050079843862</v>
      </c>
      <c r="EE416" s="4">
        <f t="shared" si="1611"/>
        <v>57.361276136431961</v>
      </c>
      <c r="EF416" s="4">
        <f t="shared" si="1807"/>
        <v>2.2583179581272428</v>
      </c>
      <c r="EG416" s="4">
        <f t="shared" si="1612"/>
        <v>0.16373944478742095</v>
      </c>
      <c r="EJ416" s="4">
        <f t="shared" si="1808"/>
        <v>0.16373944478742095</v>
      </c>
      <c r="EK416" s="4">
        <f t="shared" si="1613"/>
        <v>0.5153078711304605</v>
      </c>
      <c r="EL416" s="4">
        <f t="shared" si="1809"/>
        <v>6.0783039454128431</v>
      </c>
      <c r="EM416" s="4">
        <f t="shared" si="1810"/>
        <v>7.0619307396611051</v>
      </c>
      <c r="EN416" s="4" t="e">
        <f t="shared" si="1811"/>
        <v>#REF!</v>
      </c>
      <c r="EO416" s="4" t="e">
        <f t="shared" si="1812"/>
        <v>#REF!</v>
      </c>
      <c r="EP416" s="4" t="e">
        <f t="shared" si="1614"/>
        <v>#REF!</v>
      </c>
      <c r="EQ416" s="4" t="e">
        <f t="shared" si="1813"/>
        <v>#REF!</v>
      </c>
      <c r="ER416" s="4" t="e">
        <f t="shared" si="1615"/>
        <v>#REF!</v>
      </c>
      <c r="FA416" s="23" t="e">
        <f t="shared" si="1772"/>
        <v>#REF!</v>
      </c>
      <c r="FB416" s="23" t="e">
        <f t="shared" si="1773"/>
        <v>#REF!</v>
      </c>
      <c r="FC416" s="23">
        <f t="shared" si="1706"/>
        <v>1.2</v>
      </c>
      <c r="FD416" s="23" t="e">
        <f t="shared" si="1774"/>
        <v>#REF!</v>
      </c>
      <c r="FE416" s="23">
        <f t="shared" si="1775"/>
        <v>1</v>
      </c>
      <c r="FF416" s="23">
        <f t="shared" si="1776"/>
        <v>1.2</v>
      </c>
      <c r="FG416" s="23">
        <f t="shared" si="1629"/>
        <v>0</v>
      </c>
      <c r="FH416" s="23"/>
      <c r="FR416" s="4">
        <f t="shared" si="1852"/>
        <v>1</v>
      </c>
      <c r="FS416" s="4">
        <f t="shared" si="1853"/>
        <v>0.45348837209302328</v>
      </c>
      <c r="FT416" s="4">
        <f t="shared" si="1854"/>
        <v>0.25</v>
      </c>
      <c r="FU416" s="4">
        <f t="shared" si="1855"/>
        <v>536.4991041708389</v>
      </c>
    </row>
    <row r="417" spans="2:177" ht="12" customHeight="1" x14ac:dyDescent="0.3">
      <c r="B417" s="14"/>
      <c r="C417" s="33" t="s">
        <v>563</v>
      </c>
      <c r="D417" s="38">
        <f t="shared" si="1892"/>
        <v>889.65517241379314</v>
      </c>
      <c r="E417" s="38">
        <f>9.75*25.4</f>
        <v>247.64999999999998</v>
      </c>
      <c r="F417" s="38">
        <f t="shared" si="1902"/>
        <v>33.655172413793103</v>
      </c>
      <c r="G417" s="38">
        <f t="shared" si="1885"/>
        <v>25.4</v>
      </c>
      <c r="H417" s="38">
        <f>17.3*25.4</f>
        <v>439.42</v>
      </c>
      <c r="I417" s="38">
        <f>2.6*25.4</f>
        <v>66.039999999999992</v>
      </c>
      <c r="J417" s="39">
        <f>3.6*25.4</f>
        <v>91.44</v>
      </c>
      <c r="K417" s="7">
        <f t="shared" si="1727"/>
        <v>256.54000000000002</v>
      </c>
      <c r="L417" s="38">
        <v>2</v>
      </c>
      <c r="M417" s="4">
        <f t="shared" si="1843"/>
        <v>508</v>
      </c>
      <c r="N417" s="7">
        <f t="shared" si="1569"/>
        <v>3.0999999999999996</v>
      </c>
      <c r="O417" s="7">
        <f t="shared" si="1570"/>
        <v>3.0999999999999996</v>
      </c>
      <c r="P417" s="38">
        <v>9.1</v>
      </c>
      <c r="Q417" s="4">
        <f t="shared" si="1736"/>
        <v>9.1</v>
      </c>
      <c r="R417" s="4">
        <f t="shared" si="1571"/>
        <v>10.1</v>
      </c>
      <c r="S417" s="7">
        <f t="shared" si="1572"/>
        <v>80.72246279691916</v>
      </c>
      <c r="V417" s="38">
        <f t="shared" si="1777"/>
        <v>367.58620689655174</v>
      </c>
      <c r="W417" s="4">
        <v>53.3</v>
      </c>
      <c r="X417" s="4">
        <f t="shared" si="1573"/>
        <v>0.65027889870200761</v>
      </c>
      <c r="Y417" s="38">
        <f t="shared" si="1909"/>
        <v>12.7</v>
      </c>
      <c r="Z417" s="38">
        <v>6</v>
      </c>
      <c r="AA417" s="39">
        <f>7.5*25.4</f>
        <v>190.5</v>
      </c>
      <c r="AB417" s="39">
        <v>1</v>
      </c>
      <c r="AC417" s="39">
        <v>1</v>
      </c>
      <c r="AD417" s="7"/>
      <c r="AE417" s="4">
        <f t="shared" si="1576"/>
        <v>247.64999999999998</v>
      </c>
      <c r="AF417" s="4">
        <f t="shared" si="1577"/>
        <v>0.59145299145299157</v>
      </c>
      <c r="AG417" s="4">
        <f t="shared" si="1578"/>
        <v>223.09821631857008</v>
      </c>
      <c r="AH417" s="4">
        <f t="shared" si="1579"/>
        <v>0.76358974358974352</v>
      </c>
      <c r="AI417" s="4">
        <v>1.25</v>
      </c>
      <c r="AJ417" s="4">
        <f t="shared" si="1878"/>
        <v>2.5</v>
      </c>
      <c r="AK417" s="38">
        <f t="shared" si="1729"/>
        <v>314.86648711930036</v>
      </c>
      <c r="AL417" s="38">
        <f t="shared" si="1616"/>
        <v>314.86648711930036</v>
      </c>
      <c r="AM417" s="38">
        <f t="shared" si="1580"/>
        <v>3.1272010355053257</v>
      </c>
      <c r="AN417" s="38">
        <f t="shared" si="1893"/>
        <v>314.86648711930053</v>
      </c>
      <c r="AO417" s="38">
        <f t="shared" si="1845"/>
        <v>0.99999999999999944</v>
      </c>
      <c r="AP417" s="38">
        <f t="shared" si="1894"/>
        <v>1.9991149481237653</v>
      </c>
      <c r="AQ417" s="4">
        <f t="shared" si="1895"/>
        <v>0</v>
      </c>
      <c r="AR417" s="4" t="e">
        <f>#REF!/G417*F417^0.5/0.19</f>
        <v>#REF!</v>
      </c>
      <c r="AS417" s="4">
        <f t="shared" si="1581"/>
        <v>1</v>
      </c>
      <c r="AT417" s="38">
        <f t="shared" si="1582"/>
        <v>629.45430106341269</v>
      </c>
      <c r="AU417" s="4">
        <f t="shared" si="1583"/>
        <v>0.3</v>
      </c>
      <c r="AV417" s="4" t="e">
        <f>AU417*D417*#REF!/(D417*G417/2.75/F417^0.5)</f>
        <v>#REF!</v>
      </c>
      <c r="AW417" s="4" t="e">
        <f t="shared" si="1793"/>
        <v>#REF!</v>
      </c>
      <c r="AY417" s="4">
        <f t="shared" si="1584"/>
        <v>1.5</v>
      </c>
      <c r="AZ417" s="4" t="e">
        <f>(3*#REF!+30)*AY417*F417^0.5</f>
        <v>#REF!</v>
      </c>
      <c r="BB417" s="4">
        <f t="shared" si="1585"/>
        <v>603.72365196482838</v>
      </c>
      <c r="BC417" s="4">
        <f t="shared" si="1822"/>
        <v>0</v>
      </c>
      <c r="BD417" s="4">
        <f t="shared" si="1794"/>
        <v>0</v>
      </c>
      <c r="BL417" s="4">
        <f t="shared" si="1586"/>
        <v>66.039999999999992</v>
      </c>
      <c r="BP417" s="9"/>
      <c r="BR417" s="9"/>
      <c r="BS417" s="9"/>
      <c r="BT417" s="9">
        <f t="shared" si="1587"/>
        <v>66.039999999999992</v>
      </c>
      <c r="BU417" s="9">
        <f t="shared" si="1588"/>
        <v>128.27000000000001</v>
      </c>
      <c r="BV417" s="9">
        <f t="shared" si="1589"/>
        <v>1.7812889692205971</v>
      </c>
      <c r="BW417" s="40">
        <f t="shared" si="1738"/>
        <v>20</v>
      </c>
      <c r="BX417" s="9">
        <f t="shared" si="1590"/>
        <v>0.05</v>
      </c>
      <c r="BY417" s="9">
        <f t="shared" si="1795"/>
        <v>0.8</v>
      </c>
      <c r="BZ417" s="9">
        <f t="shared" si="1591"/>
        <v>0.99524931562137331</v>
      </c>
      <c r="CA417" s="9">
        <f t="shared" si="1592"/>
        <v>0.68</v>
      </c>
      <c r="CB417" s="9">
        <f t="shared" si="1593"/>
        <v>1.3741519375646418</v>
      </c>
      <c r="CC417" s="9">
        <f t="shared" si="1594"/>
        <v>3.4353798439116048</v>
      </c>
      <c r="CD417" s="40">
        <v>1</v>
      </c>
      <c r="CE417" s="9" t="e">
        <f>4*CC417*#REF!+60*CC417</f>
        <v>#REF!</v>
      </c>
      <c r="CG417" s="4" t="e">
        <f t="shared" si="1796"/>
        <v>#REF!</v>
      </c>
      <c r="CH417" s="4" t="e">
        <f t="shared" si="1797"/>
        <v>#REF!</v>
      </c>
      <c r="CI417" s="4" t="e">
        <f t="shared" si="1798"/>
        <v>#REF!</v>
      </c>
      <c r="CJ417" s="4" t="e">
        <f t="shared" si="1799"/>
        <v>#REF!</v>
      </c>
      <c r="CK417" s="4">
        <f t="shared" si="1800"/>
        <v>0.65027889870200761</v>
      </c>
      <c r="CL417" s="4">
        <f t="shared" si="1801"/>
        <v>0.67317534853537886</v>
      </c>
      <c r="CM417" s="4">
        <f t="shared" si="1699"/>
        <v>0.71186072951306811</v>
      </c>
      <c r="CN417" s="4">
        <f t="shared" si="1739"/>
        <v>6</v>
      </c>
      <c r="CU417" s="4" t="e">
        <f t="shared" si="1910"/>
        <v>#REF!</v>
      </c>
      <c r="CV417" s="4" t="e">
        <f t="shared" si="1911"/>
        <v>#REF!</v>
      </c>
      <c r="CW417" s="4" t="e">
        <f t="shared" si="1912"/>
        <v>#REF!</v>
      </c>
      <c r="CX417" s="4">
        <f t="shared" si="1913"/>
        <v>0.71186072951306811</v>
      </c>
      <c r="CY417" s="4">
        <f t="shared" si="1914"/>
        <v>0.65027889870200761</v>
      </c>
      <c r="CZ417" s="4">
        <f t="shared" si="1915"/>
        <v>0.67317534853537886</v>
      </c>
      <c r="DC417" s="4" t="e">
        <f>#REF!</f>
        <v>#REF!</v>
      </c>
      <c r="DF417" s="4">
        <f t="shared" si="1601"/>
        <v>1.7863705067970267E-5</v>
      </c>
      <c r="DG417" s="4">
        <f t="shared" si="1802"/>
        <v>8.0185407818889605</v>
      </c>
      <c r="DH417" s="4">
        <f t="shared" si="1602"/>
        <v>0.32291967518123715</v>
      </c>
      <c r="DI417" s="4">
        <f t="shared" si="1803"/>
        <v>5.1019141344434411</v>
      </c>
      <c r="DJ417" s="4">
        <f t="shared" si="1804"/>
        <v>6.7211189122916251</v>
      </c>
      <c r="DK417" s="4">
        <f t="shared" si="1603"/>
        <v>7.6306804120184868</v>
      </c>
      <c r="DL417" s="38">
        <f t="shared" si="1604"/>
        <v>565.27469618078339</v>
      </c>
      <c r="DM417" s="4" t="e">
        <f t="shared" si="1805"/>
        <v>#REF!</v>
      </c>
      <c r="DN417" s="4">
        <f t="shared" si="1605"/>
        <v>3.1780497164141401</v>
      </c>
      <c r="DO417" s="4">
        <f t="shared" si="1697"/>
        <v>314.86648711930053</v>
      </c>
      <c r="DS417" s="4">
        <f t="shared" si="1606"/>
        <v>0.85</v>
      </c>
      <c r="DT417" s="4">
        <f t="shared" si="1607"/>
        <v>0.84000000000000008</v>
      </c>
      <c r="DU417" s="4">
        <f t="shared" si="1608"/>
        <v>0.92500000000000004</v>
      </c>
      <c r="DV417" s="4">
        <f t="shared" si="1806"/>
        <v>0.77700000000000014</v>
      </c>
      <c r="DX417" s="4">
        <f t="shared" si="1609"/>
        <v>546.04822903320144</v>
      </c>
      <c r="DY417" s="25">
        <f t="shared" si="1870"/>
        <v>311.50591116294936</v>
      </c>
      <c r="EA417" s="4">
        <f t="shared" si="1871"/>
        <v>0.66045000000000009</v>
      </c>
      <c r="EB417" s="4">
        <f t="shared" si="1610"/>
        <v>8.0185407818889605</v>
      </c>
      <c r="EE417" s="4">
        <f t="shared" si="1611"/>
        <v>80.72246279691916</v>
      </c>
      <c r="EF417" s="4">
        <f t="shared" si="1807"/>
        <v>3.1780497164141406</v>
      </c>
      <c r="EG417" s="4">
        <f t="shared" si="1612"/>
        <v>0.1024367243003626</v>
      </c>
      <c r="EJ417" s="4">
        <f t="shared" si="1808"/>
        <v>0.1024367243003626</v>
      </c>
      <c r="EK417" s="4">
        <f t="shared" si="1613"/>
        <v>0.32238078242740575</v>
      </c>
      <c r="EL417" s="4">
        <f t="shared" si="1809"/>
        <v>5.0985067703728175</v>
      </c>
      <c r="EM417" s="4">
        <f t="shared" si="1810"/>
        <v>6.7198298466222051</v>
      </c>
      <c r="EN417" s="4" t="e">
        <f t="shared" si="1811"/>
        <v>#REF!</v>
      </c>
      <c r="EO417" s="4" t="e">
        <f t="shared" si="1812"/>
        <v>#REF!</v>
      </c>
      <c r="EP417" s="4" t="e">
        <f t="shared" si="1614"/>
        <v>#REF!</v>
      </c>
      <c r="EQ417" s="4" t="e">
        <f t="shared" si="1813"/>
        <v>#REF!</v>
      </c>
      <c r="ER417" s="4" t="e">
        <f t="shared" si="1615"/>
        <v>#REF!</v>
      </c>
      <c r="FA417" s="23" t="e">
        <f t="shared" si="1772"/>
        <v>#REF!</v>
      </c>
      <c r="FB417" s="23" t="e">
        <f t="shared" si="1773"/>
        <v>#REF!</v>
      </c>
      <c r="FC417" s="23">
        <f t="shared" si="1706"/>
        <v>0.8</v>
      </c>
      <c r="FD417" s="23" t="e">
        <f t="shared" si="1774"/>
        <v>#REF!</v>
      </c>
      <c r="FE417" s="23">
        <f t="shared" si="1775"/>
        <v>0.8</v>
      </c>
      <c r="FF417" s="23">
        <f t="shared" si="1776"/>
        <v>0.8</v>
      </c>
      <c r="FG417" s="23">
        <f t="shared" si="1629"/>
        <v>1</v>
      </c>
      <c r="FH417" s="23"/>
      <c r="FR417" s="4">
        <f t="shared" si="1852"/>
        <v>1</v>
      </c>
      <c r="FS417" s="4">
        <f t="shared" si="1853"/>
        <v>0.45348837209302328</v>
      </c>
      <c r="FT417" s="4">
        <f t="shared" si="1854"/>
        <v>0.25</v>
      </c>
      <c r="FU417" s="4">
        <f t="shared" si="1855"/>
        <v>516.37376758792493</v>
      </c>
    </row>
    <row r="418" spans="2:177" ht="12" customHeight="1" x14ac:dyDescent="0.3">
      <c r="B418" s="14"/>
      <c r="C418" s="33" t="s">
        <v>564</v>
      </c>
      <c r="D418" s="38">
        <f t="shared" si="1892"/>
        <v>889.65517241379314</v>
      </c>
      <c r="E418" s="38">
        <f>10.1*25.4</f>
        <v>256.53999999999996</v>
      </c>
      <c r="F418" s="38">
        <f t="shared" si="1902"/>
        <v>33.655172413793103</v>
      </c>
      <c r="G418" s="38">
        <f t="shared" si="1885"/>
        <v>25.4</v>
      </c>
      <c r="H418" s="38">
        <f>17.5*25.4</f>
        <v>444.5</v>
      </c>
      <c r="I418" s="38">
        <f>2.7*25.4</f>
        <v>68.58</v>
      </c>
      <c r="J418" s="39">
        <f>3.15*25.4</f>
        <v>80.009999999999991</v>
      </c>
      <c r="K418" s="7">
        <f t="shared" si="1727"/>
        <v>256.53999999999996</v>
      </c>
      <c r="L418" s="38">
        <v>2</v>
      </c>
      <c r="M418" s="4">
        <f t="shared" si="1843"/>
        <v>508</v>
      </c>
      <c r="N418" s="7">
        <f t="shared" si="1569"/>
        <v>3.2</v>
      </c>
      <c r="O418" s="7">
        <f t="shared" si="1570"/>
        <v>3.2</v>
      </c>
      <c r="P418" s="38">
        <v>4.0999999999999996</v>
      </c>
      <c r="Q418" s="4">
        <f t="shared" si="1736"/>
        <v>4.0999999999999996</v>
      </c>
      <c r="R418" s="4">
        <f t="shared" si="1571"/>
        <v>5.0999999999999996</v>
      </c>
      <c r="S418" s="7">
        <f t="shared" si="1572"/>
        <v>57.361276136431961</v>
      </c>
      <c r="V418" s="38">
        <f t="shared" si="1777"/>
        <v>613.10344827586221</v>
      </c>
      <c r="W418" s="4">
        <v>88.9</v>
      </c>
      <c r="X418" s="4">
        <f t="shared" si="1573"/>
        <v>0.95884996399514588</v>
      </c>
      <c r="Y418" s="38">
        <f t="shared" si="1909"/>
        <v>12.7</v>
      </c>
      <c r="Z418" s="38">
        <v>10</v>
      </c>
      <c r="AA418" s="39">
        <f>5*25.4</f>
        <v>127</v>
      </c>
      <c r="AB418" s="39">
        <v>3</v>
      </c>
      <c r="AC418" s="39">
        <f t="shared" ref="AC418:AC419" si="1916">AB418-1</f>
        <v>2</v>
      </c>
      <c r="AD418" s="7"/>
      <c r="AE418" s="4">
        <f t="shared" si="1576"/>
        <v>256.53999999999996</v>
      </c>
      <c r="AF418" s="4">
        <f t="shared" si="1577"/>
        <v>0.57755775577557766</v>
      </c>
      <c r="AG418" s="4">
        <f t="shared" si="1578"/>
        <v>235.21836952025916</v>
      </c>
      <c r="AH418" s="4">
        <f t="shared" si="1579"/>
        <v>0.76336633663366338</v>
      </c>
      <c r="AI418" s="4">
        <v>1.25</v>
      </c>
      <c r="AJ418" s="4">
        <f t="shared" si="1878"/>
        <v>2.5</v>
      </c>
      <c r="AK418" s="38">
        <f t="shared" si="1729"/>
        <v>324.07809801654423</v>
      </c>
      <c r="AL418" s="38">
        <f t="shared" si="1616"/>
        <v>324.07809801654423</v>
      </c>
      <c r="AM418" s="38">
        <f t="shared" si="1580"/>
        <v>3.1272010355053257</v>
      </c>
      <c r="AN418" s="38">
        <f t="shared" si="1893"/>
        <v>324.07809801654435</v>
      </c>
      <c r="AO418" s="38">
        <f t="shared" si="1845"/>
        <v>0.99999999999999967</v>
      </c>
      <c r="AP418" s="38">
        <f t="shared" si="1894"/>
        <v>1.3457799098702932</v>
      </c>
      <c r="AQ418" s="4">
        <f t="shared" si="1895"/>
        <v>0</v>
      </c>
      <c r="AR418" s="4" t="e">
        <f>#REF!/G418*F418^0.5/0.19</f>
        <v>#REF!</v>
      </c>
      <c r="AS418" s="4">
        <f t="shared" si="1581"/>
        <v>1</v>
      </c>
      <c r="AT418" s="38">
        <f t="shared" si="1582"/>
        <v>436.13779353964105</v>
      </c>
      <c r="AU418" s="4">
        <f t="shared" si="1583"/>
        <v>0.42600000000000005</v>
      </c>
      <c r="AV418" s="4" t="e">
        <f>AU418*D418*#REF!/(D418*G418/2.75/F418^0.5)</f>
        <v>#REF!</v>
      </c>
      <c r="AW418" s="4" t="e">
        <f t="shared" si="1793"/>
        <v>#REF!</v>
      </c>
      <c r="AY418" s="4">
        <f t="shared" si="1584"/>
        <v>1.5</v>
      </c>
      <c r="AZ418" s="4" t="e">
        <f>(3*#REF!+30)*AY418*F418^0.5</f>
        <v>#REF!</v>
      </c>
      <c r="BB418" s="4">
        <f t="shared" si="1585"/>
        <v>418.30948018116464</v>
      </c>
      <c r="BC418" s="4">
        <f t="shared" si="1822"/>
        <v>0</v>
      </c>
      <c r="BD418" s="4">
        <f t="shared" si="1794"/>
        <v>0</v>
      </c>
      <c r="BL418" s="4">
        <f t="shared" si="1586"/>
        <v>68.58</v>
      </c>
      <c r="BP418" s="9"/>
      <c r="BR418" s="9"/>
      <c r="BS418" s="9"/>
      <c r="BT418" s="9">
        <f t="shared" si="1587"/>
        <v>68.58</v>
      </c>
      <c r="BU418" s="9">
        <f t="shared" si="1588"/>
        <v>128.26999999999998</v>
      </c>
      <c r="BV418" s="9">
        <f t="shared" si="1589"/>
        <v>1.8049743064805013</v>
      </c>
      <c r="BW418" s="40">
        <f t="shared" si="1738"/>
        <v>20</v>
      </c>
      <c r="BX418" s="9">
        <f t="shared" si="1590"/>
        <v>0.05</v>
      </c>
      <c r="BY418" s="9">
        <f t="shared" si="1795"/>
        <v>0.8</v>
      </c>
      <c r="BZ418" s="9">
        <f t="shared" si="1591"/>
        <v>0.99524931562137331</v>
      </c>
      <c r="CA418" s="9">
        <f t="shared" si="1592"/>
        <v>0.68</v>
      </c>
      <c r="CB418" s="9">
        <f t="shared" si="1593"/>
        <v>1.3741519375646418</v>
      </c>
      <c r="CC418" s="9">
        <f t="shared" si="1594"/>
        <v>3.4353798439116048</v>
      </c>
      <c r="CD418" s="40">
        <v>1</v>
      </c>
      <c r="CE418" s="9" t="e">
        <f>4*CC418*#REF!+60*CC418</f>
        <v>#REF!</v>
      </c>
      <c r="CG418" s="4" t="e">
        <f t="shared" si="1796"/>
        <v>#REF!</v>
      </c>
      <c r="CH418" s="4" t="e">
        <f t="shared" si="1797"/>
        <v>#REF!</v>
      </c>
      <c r="CI418" s="4" t="e">
        <f t="shared" si="1798"/>
        <v>#REF!</v>
      </c>
      <c r="CJ418" s="4" t="e">
        <f t="shared" si="1799"/>
        <v>#REF!</v>
      </c>
      <c r="CK418" s="4">
        <f t="shared" si="1800"/>
        <v>0.95884996399514588</v>
      </c>
      <c r="CL418" s="4">
        <f t="shared" si="1801"/>
        <v>1.0383544149159285</v>
      </c>
      <c r="CM418" s="4">
        <f t="shared" si="1699"/>
        <v>1.1226686234334839</v>
      </c>
      <c r="CN418" s="4">
        <f t="shared" si="1739"/>
        <v>10</v>
      </c>
      <c r="CU418" s="4" t="e">
        <f t="shared" si="1910"/>
        <v>#REF!</v>
      </c>
      <c r="CV418" s="4" t="e">
        <f t="shared" si="1911"/>
        <v>#REF!</v>
      </c>
      <c r="CW418" s="4" t="e">
        <f t="shared" si="1912"/>
        <v>#REF!</v>
      </c>
      <c r="CX418" s="4">
        <f t="shared" si="1913"/>
        <v>1.1226686234334839</v>
      </c>
      <c r="CY418" s="4">
        <f t="shared" si="1914"/>
        <v>0.95884996399514588</v>
      </c>
      <c r="CZ418" s="4">
        <f t="shared" si="1915"/>
        <v>1.0383544149159285</v>
      </c>
      <c r="DC418" s="4" t="e">
        <f>#REF!</f>
        <v>#REF!</v>
      </c>
      <c r="DF418" s="4">
        <f t="shared" si="1601"/>
        <v>1.8504966275538429E-5</v>
      </c>
      <c r="DG418" s="4">
        <f t="shared" si="1802"/>
        <v>8.9005802678967481</v>
      </c>
      <c r="DH418" s="4">
        <f t="shared" si="1602"/>
        <v>0.5242032222449573</v>
      </c>
      <c r="DI418" s="4">
        <f t="shared" si="1803"/>
        <v>6.8741371952114356</v>
      </c>
      <c r="DJ418" s="4">
        <f t="shared" si="1804"/>
        <v>7.9522777785905845</v>
      </c>
      <c r="DK418" s="4">
        <f t="shared" si="1603"/>
        <v>8.3289542482658874</v>
      </c>
      <c r="DL418" s="38">
        <f t="shared" si="1604"/>
        <v>639.41541565200077</v>
      </c>
      <c r="DM418" s="4" t="e">
        <f t="shared" si="1805"/>
        <v>#REF!</v>
      </c>
      <c r="DN418" s="4">
        <f t="shared" si="1605"/>
        <v>2.2583179581272428</v>
      </c>
      <c r="DO418" s="4">
        <f t="shared" si="1697"/>
        <v>324.07809801654435</v>
      </c>
      <c r="DS418" s="4">
        <f t="shared" si="1606"/>
        <v>0.85</v>
      </c>
      <c r="DT418" s="4">
        <f t="shared" si="1607"/>
        <v>0.83</v>
      </c>
      <c r="DU418" s="4">
        <f t="shared" si="1608"/>
        <v>0.77500000000000002</v>
      </c>
      <c r="DV418" s="4">
        <f t="shared" si="1806"/>
        <v>0.7</v>
      </c>
      <c r="DX418" s="4">
        <f t="shared" si="1609"/>
        <v>590.45682232256195</v>
      </c>
      <c r="DY418" s="25">
        <f t="shared" si="1870"/>
        <v>320.76924020529049</v>
      </c>
      <c r="EA418" s="4">
        <f t="shared" si="1871"/>
        <v>0.59499999999999997</v>
      </c>
      <c r="EB418" s="4">
        <f t="shared" si="1610"/>
        <v>8.9005802678967481</v>
      </c>
      <c r="EE418" s="4">
        <f t="shared" si="1611"/>
        <v>57.361276136431961</v>
      </c>
      <c r="EF418" s="4">
        <f t="shared" si="1807"/>
        <v>2.2583179581272428</v>
      </c>
      <c r="EG418" s="4">
        <f t="shared" si="1612"/>
        <v>0.16628798144408777</v>
      </c>
      <c r="EJ418" s="4">
        <f t="shared" si="1808"/>
        <v>0.16628798144408777</v>
      </c>
      <c r="EK418" s="4">
        <f t="shared" si="1613"/>
        <v>0.52332842476523023</v>
      </c>
      <c r="EL418" s="4">
        <f t="shared" si="1809"/>
        <v>6.8695462343527716</v>
      </c>
      <c r="EM418" s="4">
        <f t="shared" si="1810"/>
        <v>7.9502949408059536</v>
      </c>
      <c r="EN418" s="4" t="e">
        <f t="shared" si="1811"/>
        <v>#REF!</v>
      </c>
      <c r="EO418" s="4" t="e">
        <f t="shared" si="1812"/>
        <v>#REF!</v>
      </c>
      <c r="EP418" s="4" t="e">
        <f t="shared" si="1614"/>
        <v>#REF!</v>
      </c>
      <c r="EQ418" s="4" t="e">
        <f t="shared" si="1813"/>
        <v>#REF!</v>
      </c>
      <c r="ER418" s="4" t="e">
        <f t="shared" si="1615"/>
        <v>#REF!</v>
      </c>
      <c r="FA418" s="23" t="e">
        <f t="shared" si="1772"/>
        <v>#REF!</v>
      </c>
      <c r="FB418" s="23" t="e">
        <f t="shared" si="1773"/>
        <v>#REF!</v>
      </c>
      <c r="FC418" s="23">
        <f t="shared" si="1706"/>
        <v>1.2</v>
      </c>
      <c r="FD418" s="23" t="e">
        <f t="shared" si="1774"/>
        <v>#REF!</v>
      </c>
      <c r="FE418" s="23">
        <f t="shared" si="1775"/>
        <v>1</v>
      </c>
      <c r="FF418" s="23">
        <f t="shared" si="1776"/>
        <v>1.2</v>
      </c>
      <c r="FG418" s="23">
        <f t="shared" si="1629"/>
        <v>0</v>
      </c>
      <c r="FH418" s="23"/>
      <c r="FR418" s="4">
        <f t="shared" si="1852"/>
        <v>1</v>
      </c>
      <c r="FS418" s="4">
        <f t="shared" si="1853"/>
        <v>0.44418604651162791</v>
      </c>
      <c r="FT418" s="4">
        <f t="shared" si="1854"/>
        <v>0.3</v>
      </c>
      <c r="FU418" s="4">
        <f t="shared" si="1855"/>
        <v>546.11257095686301</v>
      </c>
    </row>
    <row r="419" spans="2:177" ht="12" customHeight="1" x14ac:dyDescent="0.3">
      <c r="B419" s="14"/>
      <c r="C419" s="33" t="s">
        <v>565</v>
      </c>
      <c r="D419" s="38">
        <f t="shared" si="1892"/>
        <v>889.65517241379314</v>
      </c>
      <c r="E419" s="38">
        <f>9.94*25.4</f>
        <v>252.47599999999997</v>
      </c>
      <c r="F419" s="38">
        <f t="shared" si="1902"/>
        <v>33.655172413793103</v>
      </c>
      <c r="G419" s="38">
        <f t="shared" si="1885"/>
        <v>25.4</v>
      </c>
      <c r="H419" s="38">
        <f>17.3*25.4</f>
        <v>439.42</v>
      </c>
      <c r="I419" s="38">
        <f>2.6*25.4</f>
        <v>66.039999999999992</v>
      </c>
      <c r="J419" s="39">
        <f>3.25*25.4</f>
        <v>82.55</v>
      </c>
      <c r="K419" s="7">
        <f t="shared" si="1727"/>
        <v>256.54000000000002</v>
      </c>
      <c r="L419" s="38">
        <v>2</v>
      </c>
      <c r="M419" s="4">
        <f t="shared" si="1843"/>
        <v>508</v>
      </c>
      <c r="N419" s="7">
        <f t="shared" si="1569"/>
        <v>3.0999999999999996</v>
      </c>
      <c r="O419" s="7">
        <f t="shared" si="1570"/>
        <v>3.0999999999999996</v>
      </c>
      <c r="P419" s="38">
        <v>9.1</v>
      </c>
      <c r="Q419" s="4">
        <f t="shared" si="1736"/>
        <v>9.1</v>
      </c>
      <c r="R419" s="4">
        <f t="shared" si="1571"/>
        <v>10.1</v>
      </c>
      <c r="S419" s="7">
        <f t="shared" si="1572"/>
        <v>80.72246279691916</v>
      </c>
      <c r="V419" s="38">
        <f t="shared" si="1777"/>
        <v>615.17241379310349</v>
      </c>
      <c r="W419" s="4">
        <v>89.2</v>
      </c>
      <c r="X419" s="4">
        <f t="shared" si="1573"/>
        <v>1.0237310466798923</v>
      </c>
      <c r="Y419" s="38">
        <f t="shared" si="1909"/>
        <v>12.7</v>
      </c>
      <c r="Z419" s="38">
        <v>10</v>
      </c>
      <c r="AA419" s="39">
        <f>5*25.4</f>
        <v>127</v>
      </c>
      <c r="AB419" s="39">
        <v>3</v>
      </c>
      <c r="AC419" s="39">
        <f t="shared" si="1916"/>
        <v>2</v>
      </c>
      <c r="AD419" s="7"/>
      <c r="AE419" s="4">
        <f t="shared" si="1576"/>
        <v>252.47599999999997</v>
      </c>
      <c r="AF419" s="4">
        <f t="shared" si="1577"/>
        <v>0.58014755197853785</v>
      </c>
      <c r="AG419" s="4">
        <f t="shared" si="1578"/>
        <v>229.651216949939</v>
      </c>
      <c r="AH419" s="4">
        <f t="shared" si="1579"/>
        <v>0.76237424547283694</v>
      </c>
      <c r="AI419" s="4">
        <v>1.25</v>
      </c>
      <c r="AJ419" s="4">
        <f t="shared" si="1878"/>
        <v>2.5</v>
      </c>
      <c r="AK419" s="38">
        <f t="shared" si="1729"/>
        <v>317.41354346112331</v>
      </c>
      <c r="AL419" s="38">
        <f t="shared" si="1616"/>
        <v>317.41354346112331</v>
      </c>
      <c r="AM419" s="38">
        <f t="shared" si="1580"/>
        <v>3.1272010355053257</v>
      </c>
      <c r="AN419" s="38">
        <f t="shared" si="1893"/>
        <v>317.41354346112354</v>
      </c>
      <c r="AO419" s="38">
        <f t="shared" si="1845"/>
        <v>0.99999999999999933</v>
      </c>
      <c r="AP419" s="38">
        <f t="shared" si="1894"/>
        <v>1.9830732305866701</v>
      </c>
      <c r="AQ419" s="4">
        <f t="shared" si="1895"/>
        <v>0</v>
      </c>
      <c r="AR419" s="4" t="e">
        <f>#REF!/G419*F419^0.5/0.19</f>
        <v>#REF!</v>
      </c>
      <c r="AS419" s="4">
        <f t="shared" si="1581"/>
        <v>1</v>
      </c>
      <c r="AT419" s="38">
        <f t="shared" si="1582"/>
        <v>629.45430106341269</v>
      </c>
      <c r="AU419" s="4">
        <f t="shared" si="1583"/>
        <v>0.3</v>
      </c>
      <c r="AV419" s="4" t="e">
        <f>AU419*D419*#REF!/(D419*G419/2.75/F419^0.5)</f>
        <v>#REF!</v>
      </c>
      <c r="AW419" s="4" t="e">
        <f t="shared" si="1793"/>
        <v>#REF!</v>
      </c>
      <c r="AY419" s="4">
        <f t="shared" si="1584"/>
        <v>1.5</v>
      </c>
      <c r="AZ419" s="4" t="e">
        <f>(3*#REF!+30)*AY419*F419^0.5</f>
        <v>#REF!</v>
      </c>
      <c r="BB419" s="4">
        <f t="shared" si="1585"/>
        <v>603.72365196482838</v>
      </c>
      <c r="BC419" s="4">
        <f t="shared" si="1822"/>
        <v>0</v>
      </c>
      <c r="BD419" s="4">
        <f t="shared" si="1794"/>
        <v>0</v>
      </c>
      <c r="BL419" s="4">
        <f t="shared" si="1586"/>
        <v>66.039999999999992</v>
      </c>
      <c r="BP419" s="9"/>
      <c r="BR419" s="9"/>
      <c r="BS419" s="9"/>
      <c r="BT419" s="9">
        <f t="shared" si="1587"/>
        <v>66.039999999999992</v>
      </c>
      <c r="BU419" s="9">
        <f t="shared" si="1588"/>
        <v>128.27000000000001</v>
      </c>
      <c r="BV419" s="9">
        <f t="shared" si="1589"/>
        <v>1.7812889692205971</v>
      </c>
      <c r="BW419" s="40">
        <f t="shared" si="1738"/>
        <v>20</v>
      </c>
      <c r="BX419" s="9">
        <f t="shared" si="1590"/>
        <v>0.05</v>
      </c>
      <c r="BY419" s="9">
        <f t="shared" si="1795"/>
        <v>0.8</v>
      </c>
      <c r="BZ419" s="9">
        <f t="shared" si="1591"/>
        <v>0.99524931562137331</v>
      </c>
      <c r="CA419" s="9">
        <f t="shared" si="1592"/>
        <v>0.68</v>
      </c>
      <c r="CB419" s="9">
        <f t="shared" si="1593"/>
        <v>1.3741519375646418</v>
      </c>
      <c r="CC419" s="9">
        <f t="shared" si="1594"/>
        <v>3.4353798439116048</v>
      </c>
      <c r="CD419" s="40">
        <v>1</v>
      </c>
      <c r="CE419" s="9" t="e">
        <f>4*CC419*#REF!+60*CC419</f>
        <v>#REF!</v>
      </c>
      <c r="CG419" s="4" t="e">
        <f t="shared" si="1796"/>
        <v>#REF!</v>
      </c>
      <c r="CH419" s="4" t="e">
        <f t="shared" si="1797"/>
        <v>#REF!</v>
      </c>
      <c r="CI419" s="4" t="e">
        <f t="shared" si="1798"/>
        <v>#REF!</v>
      </c>
      <c r="CJ419" s="4" t="e">
        <f t="shared" si="1799"/>
        <v>#REF!</v>
      </c>
      <c r="CK419" s="4">
        <f t="shared" si="1800"/>
        <v>1.0237310466798923</v>
      </c>
      <c r="CL419" s="4">
        <f t="shared" si="1801"/>
        <v>1.0615276951705674</v>
      </c>
      <c r="CM419" s="4">
        <f t="shared" si="1699"/>
        <v>1.1445892636173558</v>
      </c>
      <c r="CN419" s="4">
        <f t="shared" si="1739"/>
        <v>10</v>
      </c>
      <c r="CU419" s="4" t="e">
        <f t="shared" si="1910"/>
        <v>#REF!</v>
      </c>
      <c r="CV419" s="4" t="e">
        <f t="shared" si="1911"/>
        <v>#REF!</v>
      </c>
      <c r="CW419" s="4" t="e">
        <f t="shared" si="1912"/>
        <v>#REF!</v>
      </c>
      <c r="CX419" s="4">
        <f t="shared" si="1913"/>
        <v>1.1445892636173558</v>
      </c>
      <c r="CY419" s="4">
        <f t="shared" si="1914"/>
        <v>1.0237310466798923</v>
      </c>
      <c r="CZ419" s="4">
        <f t="shared" si="1915"/>
        <v>1.0615276951705674</v>
      </c>
      <c r="DC419" s="4" t="e">
        <f>#REF!</f>
        <v>#REF!</v>
      </c>
      <c r="DF419" s="4">
        <f t="shared" si="1601"/>
        <v>1.8211818294935842E-5</v>
      </c>
      <c r="DG419" s="4">
        <f t="shared" si="1802"/>
        <v>8.9005802678967481</v>
      </c>
      <c r="DH419" s="4">
        <f t="shared" si="1602"/>
        <v>0.32553187635289799</v>
      </c>
      <c r="DI419" s="4">
        <f t="shared" si="1803"/>
        <v>5.681404745877507</v>
      </c>
      <c r="DJ419" s="4">
        <f t="shared" si="1804"/>
        <v>7.467367537933904</v>
      </c>
      <c r="DK419" s="4">
        <f t="shared" si="1603"/>
        <v>8.4029386811928486</v>
      </c>
      <c r="DL419" s="38">
        <f t="shared" si="1604"/>
        <v>600.91213975408527</v>
      </c>
      <c r="DM419" s="4" t="e">
        <f t="shared" si="1805"/>
        <v>#REF!</v>
      </c>
      <c r="DN419" s="4">
        <f t="shared" si="1605"/>
        <v>3.1780497164141401</v>
      </c>
      <c r="DO419" s="4">
        <f t="shared" si="1697"/>
        <v>317.41354346112354</v>
      </c>
      <c r="DS419" s="4">
        <f t="shared" si="1606"/>
        <v>0.85</v>
      </c>
      <c r="DT419" s="4">
        <f t="shared" si="1607"/>
        <v>0.84000000000000008</v>
      </c>
      <c r="DU419" s="4">
        <f t="shared" si="1608"/>
        <v>0.77500000000000002</v>
      </c>
      <c r="DV419" s="4">
        <f t="shared" si="1806"/>
        <v>0.7</v>
      </c>
      <c r="DX419" s="4">
        <f t="shared" si="1609"/>
        <v>579.51612246372611</v>
      </c>
      <c r="DY419" s="25">
        <f t="shared" si="1870"/>
        <v>314.10081887504515</v>
      </c>
      <c r="EA419" s="4">
        <f t="shared" si="1871"/>
        <v>0.59499999999999997</v>
      </c>
      <c r="EB419" s="4">
        <f t="shared" si="1610"/>
        <v>8.9005802678967481</v>
      </c>
      <c r="EE419" s="4">
        <f t="shared" si="1611"/>
        <v>80.72246279691916</v>
      </c>
      <c r="EF419" s="4">
        <f t="shared" si="1807"/>
        <v>3.1780497164141406</v>
      </c>
      <c r="EG419" s="4">
        <f t="shared" si="1612"/>
        <v>0.10326536792849809</v>
      </c>
      <c r="EJ419" s="4">
        <f t="shared" si="1808"/>
        <v>0.10326536792849809</v>
      </c>
      <c r="EK419" s="4">
        <f t="shared" si="1613"/>
        <v>0.32498862432215925</v>
      </c>
      <c r="EL419" s="4">
        <f t="shared" si="1809"/>
        <v>5.6776103632415724</v>
      </c>
      <c r="EM419" s="4">
        <f t="shared" si="1810"/>
        <v>7.4659286608579007</v>
      </c>
      <c r="EN419" s="4" t="e">
        <f t="shared" si="1811"/>
        <v>#REF!</v>
      </c>
      <c r="EO419" s="4" t="e">
        <f t="shared" si="1812"/>
        <v>#REF!</v>
      </c>
      <c r="EP419" s="4" t="e">
        <f t="shared" si="1614"/>
        <v>#REF!</v>
      </c>
      <c r="EQ419" s="4" t="e">
        <f t="shared" si="1813"/>
        <v>#REF!</v>
      </c>
      <c r="ER419" s="4" t="e">
        <f t="shared" si="1615"/>
        <v>#REF!</v>
      </c>
      <c r="FA419" s="23" t="e">
        <f t="shared" si="1772"/>
        <v>#REF!</v>
      </c>
      <c r="FB419" s="23" t="e">
        <f t="shared" si="1773"/>
        <v>#REF!</v>
      </c>
      <c r="FC419" s="23">
        <f t="shared" si="1706"/>
        <v>1.2</v>
      </c>
      <c r="FD419" s="23" t="e">
        <f t="shared" si="1774"/>
        <v>#REF!</v>
      </c>
      <c r="FE419" s="23">
        <f t="shared" si="1775"/>
        <v>1.2</v>
      </c>
      <c r="FF419" s="23">
        <f t="shared" si="1776"/>
        <v>1.2</v>
      </c>
      <c r="FG419" s="23">
        <f t="shared" si="1629"/>
        <v>0</v>
      </c>
      <c r="FH419" s="23"/>
      <c r="FR419" s="4">
        <f t="shared" si="1852"/>
        <v>1</v>
      </c>
      <c r="FS419" s="4">
        <f t="shared" si="1853"/>
        <v>0.44418604651162791</v>
      </c>
      <c r="FT419" s="4">
        <f t="shared" si="1854"/>
        <v>0.3</v>
      </c>
      <c r="FU419" s="4">
        <f t="shared" si="1855"/>
        <v>537.46128270408099</v>
      </c>
    </row>
    <row r="420" spans="2:177" ht="12" customHeight="1" x14ac:dyDescent="0.3">
      <c r="B420" s="14" t="s">
        <v>566</v>
      </c>
      <c r="C420" s="33" t="s">
        <v>567</v>
      </c>
      <c r="D420" s="38">
        <f>135/0.145</f>
        <v>931.0344827586207</v>
      </c>
      <c r="E420" s="38">
        <f>14.5*25.4</f>
        <v>368.29999999999995</v>
      </c>
      <c r="F420" s="38">
        <f>8660/145</f>
        <v>59.724137931034484</v>
      </c>
      <c r="G420" s="38">
        <f t="shared" ref="G420:G425" si="1917">1.41*25.4</f>
        <v>35.813999999999993</v>
      </c>
      <c r="H420" s="38">
        <f>21.8*25.4</f>
        <v>553.72</v>
      </c>
      <c r="I420" s="38">
        <f>2.65*25.4</f>
        <v>67.309999999999988</v>
      </c>
      <c r="J420" s="39">
        <f>3.4*25.4</f>
        <v>86.36</v>
      </c>
      <c r="K420" s="7">
        <f t="shared" si="1727"/>
        <v>347.47200000000009</v>
      </c>
      <c r="L420" s="38">
        <v>2</v>
      </c>
      <c r="M420" s="4">
        <f t="shared" si="1843"/>
        <v>508</v>
      </c>
      <c r="N420" s="7">
        <f t="shared" si="1569"/>
        <v>2.3794326241134751</v>
      </c>
      <c r="O420" s="7">
        <f t="shared" si="1570"/>
        <v>2.3794326241134751</v>
      </c>
      <c r="P420" s="38">
        <v>3.8</v>
      </c>
      <c r="Q420" s="4">
        <f t="shared" si="1736"/>
        <v>3.8</v>
      </c>
      <c r="R420" s="4">
        <f t="shared" si="1571"/>
        <v>4.8</v>
      </c>
      <c r="S420" s="7">
        <f t="shared" si="1572"/>
        <v>78.464542697960056</v>
      </c>
      <c r="V420" s="38">
        <f t="shared" si="1777"/>
        <v>349.65517241379314</v>
      </c>
      <c r="W420" s="4">
        <v>50.7</v>
      </c>
      <c r="X420" s="4">
        <f t="shared" si="1573"/>
        <v>0.58197921135499686</v>
      </c>
      <c r="Y420" s="38"/>
      <c r="Z420" s="38"/>
      <c r="AA420" s="39">
        <v>1</v>
      </c>
      <c r="AB420" s="39"/>
      <c r="AC420" s="39"/>
      <c r="AD420" s="7"/>
      <c r="AE420" s="4">
        <f t="shared" si="1576"/>
        <v>368.29999999999995</v>
      </c>
      <c r="AF420" s="4">
        <f t="shared" si="1577"/>
        <v>0.50114942528735651</v>
      </c>
      <c r="AG420" s="4">
        <f t="shared" si="1578"/>
        <v>271.11402683702772</v>
      </c>
      <c r="AH420" s="4">
        <f t="shared" si="1579"/>
        <v>0.74627586206896546</v>
      </c>
      <c r="AI420" s="4">
        <v>1.25</v>
      </c>
      <c r="AJ420" s="4">
        <f t="shared" si="1878"/>
        <v>2.5</v>
      </c>
      <c r="AK420" s="38">
        <f t="shared" si="1729"/>
        <v>316.86089219181434</v>
      </c>
      <c r="AL420" s="38">
        <f t="shared" si="1616"/>
        <v>316.86089219181434</v>
      </c>
      <c r="AM420" s="38">
        <f t="shared" si="1580"/>
        <v>4.3472312358327088</v>
      </c>
      <c r="AN420" s="38">
        <f t="shared" si="1893"/>
        <v>316.86089219181434</v>
      </c>
      <c r="AO420" s="38">
        <f t="shared" si="1845"/>
        <v>1</v>
      </c>
      <c r="AP420" s="38">
        <f t="shared" si="1894"/>
        <v>1.7485435555071853</v>
      </c>
      <c r="AQ420" s="4">
        <f t="shared" si="1895"/>
        <v>0</v>
      </c>
      <c r="AR420" s="4" t="e">
        <f>#REF!/G420*F420^0.5/0.19</f>
        <v>#REF!</v>
      </c>
      <c r="AS420" s="4">
        <f t="shared" si="1581"/>
        <v>1</v>
      </c>
      <c r="AT420" s="38">
        <f t="shared" si="1582"/>
        <v>554.04507103425397</v>
      </c>
      <c r="AU420" s="4">
        <f t="shared" si="1583"/>
        <v>0.46800000000000008</v>
      </c>
      <c r="AV420" s="4" t="e">
        <f>AU420*D420*#REF!/(D420*G420/2.75/F420^0.5)</f>
        <v>#REF!</v>
      </c>
      <c r="AW420" s="4" t="e">
        <f t="shared" si="1793"/>
        <v>#REF!</v>
      </c>
      <c r="AY420" s="4">
        <f t="shared" si="1584"/>
        <v>1.2198581560283688</v>
      </c>
      <c r="AZ420" s="4" t="e">
        <f>(3*#REF!+30)*AY420*F420^0.5</f>
        <v>#REF!</v>
      </c>
      <c r="BB420" s="4">
        <f t="shared" si="1585"/>
        <v>531.39697841895475</v>
      </c>
      <c r="BC420" s="4">
        <f t="shared" si="1822"/>
        <v>0</v>
      </c>
      <c r="BD420" s="4">
        <f t="shared" si="1794"/>
        <v>0</v>
      </c>
      <c r="BL420" s="4">
        <f t="shared" si="1586"/>
        <v>67.309999999999988</v>
      </c>
      <c r="BP420" s="9"/>
      <c r="BR420" s="9"/>
      <c r="BS420" s="9"/>
      <c r="BT420" s="9">
        <f t="shared" si="1587"/>
        <v>67.309999999999988</v>
      </c>
      <c r="BU420" s="9">
        <f t="shared" si="1588"/>
        <v>173.73600000000005</v>
      </c>
      <c r="BV420" s="9">
        <f t="shared" si="1589"/>
        <v>1.5804651169733801</v>
      </c>
      <c r="BW420" s="40">
        <f t="shared" si="1738"/>
        <v>0</v>
      </c>
      <c r="BX420" s="9">
        <f t="shared" si="1590"/>
        <v>0</v>
      </c>
      <c r="BY420" s="9">
        <f t="shared" si="1795"/>
        <v>0</v>
      </c>
      <c r="BZ420" s="9">
        <f t="shared" si="1591"/>
        <v>0.89777220146327208</v>
      </c>
      <c r="CA420" s="9">
        <f t="shared" si="1592"/>
        <v>0.68</v>
      </c>
      <c r="CB420" s="9">
        <f t="shared" si="1593"/>
        <v>1.6512698668680077</v>
      </c>
      <c r="CC420" s="9">
        <f t="shared" si="1594"/>
        <v>2.6097744232941635</v>
      </c>
      <c r="CD420" s="40">
        <v>1</v>
      </c>
      <c r="CE420" s="9" t="e">
        <f>4*CC420*#REF!+60*CC420</f>
        <v>#REF!</v>
      </c>
      <c r="CG420" s="4" t="e">
        <f t="shared" si="1796"/>
        <v>#REF!</v>
      </c>
      <c r="CH420" s="4" t="e">
        <f t="shared" si="1797"/>
        <v>#REF!</v>
      </c>
      <c r="CI420" s="4" t="e">
        <f t="shared" si="1798"/>
        <v>#REF!</v>
      </c>
      <c r="CJ420" s="4" t="e">
        <f t="shared" si="1799"/>
        <v>#REF!</v>
      </c>
      <c r="CK420" s="4">
        <f t="shared" si="1800"/>
        <v>0.58197921135499686</v>
      </c>
      <c r="CL420" s="4">
        <f t="shared" si="1801"/>
        <v>0.61746193238869718</v>
      </c>
      <c r="CM420" s="4">
        <f t="shared" si="1699"/>
        <v>0.72823307370272738</v>
      </c>
      <c r="CN420" s="4">
        <f t="shared" si="1739"/>
        <v>0</v>
      </c>
      <c r="CO420" s="4" t="e">
        <f t="shared" ref="CO420" si="1918">CG420</f>
        <v>#REF!</v>
      </c>
      <c r="CP420" s="4" t="e">
        <f t="shared" ref="CP420" si="1919">CH420</f>
        <v>#REF!</v>
      </c>
      <c r="CQ420" s="4" t="e">
        <f t="shared" ref="CQ420" si="1920">CJ420</f>
        <v>#REF!</v>
      </c>
      <c r="CR420" s="4">
        <f t="shared" ref="CR420" si="1921">CM420</f>
        <v>0.72823307370272738</v>
      </c>
      <c r="CS420" s="4">
        <f t="shared" ref="CS420" si="1922">CK420</f>
        <v>0.58197921135499686</v>
      </c>
      <c r="CT420" s="4">
        <f t="shared" ref="CT420" si="1923">CL420</f>
        <v>0.61746193238869718</v>
      </c>
      <c r="DC420" s="4" t="e">
        <f>#REF!</f>
        <v>#REF!</v>
      </c>
      <c r="DF420" s="4">
        <f t="shared" si="1601"/>
        <v>2.2289464375323425E-5</v>
      </c>
      <c r="DG420" s="4">
        <f t="shared" si="1802"/>
        <v>8.1900405055518455</v>
      </c>
      <c r="DH420" s="4">
        <f t="shared" si="1602"/>
        <v>0.42626088173198085</v>
      </c>
      <c r="DI420" s="4">
        <f t="shared" si="1803"/>
        <v>5.8231267217522005</v>
      </c>
      <c r="DJ420" s="4">
        <f t="shared" si="1804"/>
        <v>7.1061034946776394</v>
      </c>
      <c r="DK420" s="4">
        <f t="shared" si="1603"/>
        <v>7.3859926828278253</v>
      </c>
      <c r="DL420" s="38">
        <f t="shared" si="1604"/>
        <v>600.80354348002606</v>
      </c>
      <c r="DM420" s="4" t="e">
        <f t="shared" si="1805"/>
        <v>#REF!</v>
      </c>
      <c r="DN420" s="4">
        <f t="shared" si="1605"/>
        <v>2.1908902300206643</v>
      </c>
      <c r="DO420" s="4">
        <f t="shared" si="1697"/>
        <v>316.86089219181434</v>
      </c>
      <c r="DS420" s="4">
        <f t="shared" si="1606"/>
        <v>0.85</v>
      </c>
      <c r="DT420" s="4">
        <f t="shared" si="1607"/>
        <v>0.91205673758865247</v>
      </c>
      <c r="DU420" s="4">
        <f t="shared" si="1608"/>
        <v>1</v>
      </c>
      <c r="DV420" s="4">
        <f t="shared" si="1806"/>
        <v>0.91205673758865247</v>
      </c>
      <c r="DX420" s="4">
        <f t="shared" si="1609"/>
        <v>566.27810407862103</v>
      </c>
      <c r="DY420" s="25">
        <f t="shared" si="1870"/>
        <v>313.6066416732981</v>
      </c>
      <c r="EA420" s="4">
        <f t="shared" si="1871"/>
        <v>0.77524822695035456</v>
      </c>
      <c r="EB420" s="4">
        <f t="shared" si="1610"/>
        <v>8.1900405055518455</v>
      </c>
      <c r="EE420" s="4">
        <f t="shared" si="1611"/>
        <v>78.464542697960056</v>
      </c>
      <c r="EF420" s="4">
        <f t="shared" si="1807"/>
        <v>2.1908902300206643</v>
      </c>
      <c r="EG420" s="4">
        <f t="shared" si="1612"/>
        <v>0.18012985077882213</v>
      </c>
      <c r="EJ420" s="4">
        <f t="shared" si="1808"/>
        <v>0.18012985077882213</v>
      </c>
      <c r="EK420" s="4">
        <f t="shared" si="1613"/>
        <v>0.42554953176459903</v>
      </c>
      <c r="EL420" s="4">
        <f t="shared" si="1809"/>
        <v>5.8192376886858801</v>
      </c>
      <c r="EM420" s="4">
        <f t="shared" si="1810"/>
        <v>7.1045123592589068</v>
      </c>
      <c r="EN420" s="4" t="e">
        <f t="shared" si="1811"/>
        <v>#REF!</v>
      </c>
      <c r="EO420" s="4" t="e">
        <f t="shared" si="1812"/>
        <v>#REF!</v>
      </c>
      <c r="EP420" s="4" t="e">
        <f t="shared" si="1614"/>
        <v>#REF!</v>
      </c>
      <c r="EQ420" s="4" t="e">
        <f t="shared" si="1813"/>
        <v>#REF!</v>
      </c>
      <c r="ER420" s="4" t="e">
        <f t="shared" si="1615"/>
        <v>#REF!</v>
      </c>
      <c r="FA420" s="23" t="e">
        <f t="shared" si="1772"/>
        <v>#REF!</v>
      </c>
      <c r="FB420" s="23" t="e">
        <f t="shared" si="1773"/>
        <v>#REF!</v>
      </c>
      <c r="FC420" s="23">
        <f t="shared" si="1706"/>
        <v>0.8</v>
      </c>
      <c r="FD420" s="23" t="e">
        <f t="shared" si="1774"/>
        <v>#REF!</v>
      </c>
      <c r="FE420" s="23">
        <f t="shared" si="1775"/>
        <v>0.6</v>
      </c>
      <c r="FF420" s="23">
        <f t="shared" si="1776"/>
        <v>0.8</v>
      </c>
      <c r="FG420" s="23">
        <f t="shared" si="1629"/>
        <v>1</v>
      </c>
      <c r="FH420" s="23"/>
      <c r="FR420" s="4">
        <f t="shared" si="1852"/>
        <v>1</v>
      </c>
      <c r="FS420" s="4">
        <f t="shared" si="1853"/>
        <v>0.5</v>
      </c>
      <c r="FT420" s="4">
        <f t="shared" si="1854"/>
        <v>0</v>
      </c>
      <c r="FU420" s="4">
        <f t="shared" si="1855"/>
        <v>480.14184612071898</v>
      </c>
    </row>
    <row r="421" spans="2:177" ht="12" customHeight="1" x14ac:dyDescent="0.3">
      <c r="B421" s="14"/>
      <c r="C421" s="33" t="s">
        <v>568</v>
      </c>
      <c r="D421" s="38">
        <f t="shared" ref="D421:D425" si="1924">135/0.145</f>
        <v>931.0344827586207</v>
      </c>
      <c r="E421" s="38">
        <f>14.69*25.4</f>
        <v>373.12599999999998</v>
      </c>
      <c r="F421" s="38">
        <f>8660/145</f>
        <v>59.724137931034484</v>
      </c>
      <c r="G421" s="38">
        <f t="shared" si="1917"/>
        <v>35.813999999999993</v>
      </c>
      <c r="H421" s="38">
        <f>21.8*25.4</f>
        <v>553.72</v>
      </c>
      <c r="I421" s="38">
        <f>2.55*25.4</f>
        <v>64.77</v>
      </c>
      <c r="J421" s="39">
        <f>3.2*25.4</f>
        <v>81.28</v>
      </c>
      <c r="K421" s="7">
        <f t="shared" si="1727"/>
        <v>352.55200000000002</v>
      </c>
      <c r="L421" s="38">
        <v>2</v>
      </c>
      <c r="M421" s="4">
        <f t="shared" si="1843"/>
        <v>508</v>
      </c>
      <c r="N421" s="7">
        <f t="shared" si="1569"/>
        <v>2.3085106382978724</v>
      </c>
      <c r="O421" s="7">
        <f t="shared" si="1570"/>
        <v>2.3085106382978724</v>
      </c>
      <c r="P421" s="38">
        <v>3.8</v>
      </c>
      <c r="Q421" s="4">
        <f t="shared" si="1736"/>
        <v>3.8</v>
      </c>
      <c r="R421" s="4">
        <f t="shared" si="1571"/>
        <v>4.8</v>
      </c>
      <c r="S421" s="7">
        <f t="shared" si="1572"/>
        <v>78.464542697960056</v>
      </c>
      <c r="V421" s="38">
        <f t="shared" si="1777"/>
        <v>391.03448275862075</v>
      </c>
      <c r="W421" s="4">
        <v>56.7</v>
      </c>
      <c r="X421" s="4">
        <f t="shared" si="1573"/>
        <v>0.64761509962742803</v>
      </c>
      <c r="Y421" s="38">
        <f t="shared" ref="Y421:Y422" si="1925">0.5*25.4</f>
        <v>12.7</v>
      </c>
      <c r="Z421" s="38">
        <v>4</v>
      </c>
      <c r="AA421" s="39">
        <f>8*25.4</f>
        <v>203.2</v>
      </c>
      <c r="AB421" s="39">
        <v>2</v>
      </c>
      <c r="AC421" s="39">
        <f t="shared" ref="AC421:AC422" si="1926">AB421-1</f>
        <v>1</v>
      </c>
      <c r="AD421" s="7"/>
      <c r="AE421" s="4">
        <f t="shared" si="1576"/>
        <v>373.12599999999998</v>
      </c>
      <c r="AF421" s="4">
        <f t="shared" si="1577"/>
        <v>0.49466757431359204</v>
      </c>
      <c r="AG421" s="4">
        <f t="shared" si="1578"/>
        <v>276.46023823193622</v>
      </c>
      <c r="AH421" s="4">
        <f t="shared" si="1579"/>
        <v>0.74431586113002035</v>
      </c>
      <c r="AI421" s="4">
        <v>1.25</v>
      </c>
      <c r="AJ421" s="4">
        <f t="shared" si="1878"/>
        <v>2.5</v>
      </c>
      <c r="AK421" s="38">
        <f t="shared" si="1729"/>
        <v>318.09249051752539</v>
      </c>
      <c r="AL421" s="38">
        <f t="shared" si="1616"/>
        <v>318.09249051752539</v>
      </c>
      <c r="AM421" s="38">
        <f t="shared" si="1580"/>
        <v>4.3472312358327088</v>
      </c>
      <c r="AN421" s="38">
        <f t="shared" si="1893"/>
        <v>318.09249051752539</v>
      </c>
      <c r="AO421" s="38">
        <f t="shared" si="1845"/>
        <v>1</v>
      </c>
      <c r="AP421" s="38">
        <f t="shared" si="1894"/>
        <v>1.689857748922543</v>
      </c>
      <c r="AQ421" s="4">
        <f t="shared" si="1895"/>
        <v>0</v>
      </c>
      <c r="AR421" s="4" t="e">
        <f>#REF!/G421*F421^0.5/0.19</f>
        <v>#REF!</v>
      </c>
      <c r="AS421" s="4">
        <f t="shared" si="1581"/>
        <v>1</v>
      </c>
      <c r="AT421" s="38">
        <f t="shared" si="1582"/>
        <v>537.53105997511079</v>
      </c>
      <c r="AU421" s="4">
        <f t="shared" si="1583"/>
        <v>0.46800000000000008</v>
      </c>
      <c r="AV421" s="4" t="e">
        <f>AU421*D421*#REF!/(D421*G421/2.75/F421^0.5)</f>
        <v>#REF!</v>
      </c>
      <c r="AW421" s="4" t="e">
        <f t="shared" si="1793"/>
        <v>#REF!</v>
      </c>
      <c r="AY421" s="4">
        <f t="shared" si="1584"/>
        <v>1.4806376465948399</v>
      </c>
      <c r="AZ421" s="4" t="e">
        <f>(3*#REF!+30)*AY421*F421^0.5</f>
        <v>#REF!</v>
      </c>
      <c r="BB421" s="4">
        <f t="shared" si="1585"/>
        <v>515.55802228128107</v>
      </c>
      <c r="BC421" s="4">
        <f t="shared" si="1822"/>
        <v>0</v>
      </c>
      <c r="BD421" s="4">
        <f t="shared" si="1794"/>
        <v>0</v>
      </c>
      <c r="BL421" s="4">
        <f t="shared" si="1586"/>
        <v>64.77</v>
      </c>
      <c r="BP421" s="9"/>
      <c r="BR421" s="9"/>
      <c r="BS421" s="9"/>
      <c r="BT421" s="9">
        <f t="shared" si="1587"/>
        <v>64.77</v>
      </c>
      <c r="BU421" s="9">
        <f t="shared" si="1588"/>
        <v>176.27600000000001</v>
      </c>
      <c r="BV421" s="9">
        <f t="shared" si="1589"/>
        <v>1.5627281214384319</v>
      </c>
      <c r="BW421" s="40">
        <f t="shared" si="1738"/>
        <v>20</v>
      </c>
      <c r="BX421" s="9">
        <f t="shared" si="1590"/>
        <v>0.05</v>
      </c>
      <c r="BY421" s="9">
        <f t="shared" si="1795"/>
        <v>0.8</v>
      </c>
      <c r="BZ421" s="9">
        <f t="shared" si="1591"/>
        <v>0.89777220146327208</v>
      </c>
      <c r="CA421" s="9">
        <f t="shared" si="1592"/>
        <v>0.68</v>
      </c>
      <c r="CB421" s="9">
        <f t="shared" si="1593"/>
        <v>1.6512698668680077</v>
      </c>
      <c r="CC421" s="9">
        <f t="shared" si="1594"/>
        <v>3.9015017505329372</v>
      </c>
      <c r="CD421" s="40">
        <v>1</v>
      </c>
      <c r="CE421" s="9" t="e">
        <f>4*CC421*#REF!+60*CC421</f>
        <v>#REF!</v>
      </c>
      <c r="CG421" s="4" t="e">
        <f t="shared" si="1796"/>
        <v>#REF!</v>
      </c>
      <c r="CH421" s="4" t="e">
        <f t="shared" si="1797"/>
        <v>#REF!</v>
      </c>
      <c r="CI421" s="4" t="e">
        <f t="shared" si="1798"/>
        <v>#REF!</v>
      </c>
      <c r="CJ421" s="4" t="e">
        <f t="shared" si="1799"/>
        <v>#REF!</v>
      </c>
      <c r="CK421" s="4">
        <f t="shared" si="1800"/>
        <v>0.64761509962742803</v>
      </c>
      <c r="CL421" s="4">
        <f t="shared" si="1801"/>
        <v>0.68724341538301104</v>
      </c>
      <c r="CM421" s="4">
        <f t="shared" si="1699"/>
        <v>0.71086754061834379</v>
      </c>
      <c r="CN421" s="4">
        <f t="shared" si="1739"/>
        <v>4</v>
      </c>
      <c r="CU421" s="4" t="e">
        <f t="shared" ref="CU421:CU422" si="1927">CG421</f>
        <v>#REF!</v>
      </c>
      <c r="CV421" s="4" t="e">
        <f t="shared" ref="CV421:CV422" si="1928">CH421</f>
        <v>#REF!</v>
      </c>
      <c r="CW421" s="4" t="e">
        <f t="shared" ref="CW421:CW422" si="1929">CJ421</f>
        <v>#REF!</v>
      </c>
      <c r="CX421" s="4">
        <f t="shared" ref="CX421:CX422" si="1930">CM421</f>
        <v>0.71086754061834379</v>
      </c>
      <c r="CY421" s="4">
        <f t="shared" ref="CY421:CY422" si="1931">CK421</f>
        <v>0.64761509962742803</v>
      </c>
      <c r="CZ421" s="4">
        <f t="shared" ref="CZ421:CZ422" si="1932">CL421</f>
        <v>0.68724341538301104</v>
      </c>
      <c r="DC421" s="4" t="e">
        <f>#REF!</f>
        <v>#REF!</v>
      </c>
      <c r="DF421" s="4">
        <f t="shared" si="1601"/>
        <v>2.2581533218862147E-5</v>
      </c>
      <c r="DG421" s="4">
        <f t="shared" si="1802"/>
        <v>8.1304956994783915</v>
      </c>
      <c r="DH421" s="4">
        <f t="shared" si="1602"/>
        <v>0.42791770401959656</v>
      </c>
      <c r="DI421" s="4">
        <f t="shared" si="1803"/>
        <v>5.7897675296534361</v>
      </c>
      <c r="DJ421" s="4">
        <f t="shared" si="1804"/>
        <v>7.0581149788874846</v>
      </c>
      <c r="DK421" s="4">
        <f t="shared" si="1603"/>
        <v>7.3164544580678683</v>
      </c>
      <c r="DL421" s="38">
        <f t="shared" si="1604"/>
        <v>603.80692634186926</v>
      </c>
      <c r="DM421" s="4" t="e">
        <f t="shared" si="1805"/>
        <v>#REF!</v>
      </c>
      <c r="DN421" s="4">
        <f t="shared" si="1605"/>
        <v>2.1908902300206643</v>
      </c>
      <c r="DO421" s="4">
        <f t="shared" si="1697"/>
        <v>318.09249051752539</v>
      </c>
      <c r="DS421" s="4">
        <f t="shared" si="1606"/>
        <v>0.85</v>
      </c>
      <c r="DT421" s="4">
        <f t="shared" si="1607"/>
        <v>0.91914893617021276</v>
      </c>
      <c r="DU421" s="4">
        <f t="shared" si="1608"/>
        <v>0.9995510789195714</v>
      </c>
      <c r="DV421" s="4">
        <f t="shared" si="1806"/>
        <v>0.91873631083671248</v>
      </c>
      <c r="DX421" s="4">
        <f t="shared" si="1609"/>
        <v>568.98978441385486</v>
      </c>
      <c r="DY421" s="25">
        <f t="shared" si="1870"/>
        <v>314.86854648760465</v>
      </c>
      <c r="EA421" s="4">
        <f t="shared" si="1871"/>
        <v>0.78092586421120558</v>
      </c>
      <c r="EB421" s="4">
        <f t="shared" si="1610"/>
        <v>8.1304956994783915</v>
      </c>
      <c r="EE421" s="4">
        <f t="shared" si="1611"/>
        <v>78.464542697960056</v>
      </c>
      <c r="EF421" s="4">
        <f t="shared" si="1807"/>
        <v>2.1908902300206643</v>
      </c>
      <c r="EG421" s="4">
        <f t="shared" si="1612"/>
        <v>0.18082999279096884</v>
      </c>
      <c r="EJ421" s="4">
        <f t="shared" si="1808"/>
        <v>0.18082999279096884</v>
      </c>
      <c r="EK421" s="4">
        <f t="shared" si="1613"/>
        <v>0.42720358912460649</v>
      </c>
      <c r="EL421" s="4">
        <f t="shared" si="1809"/>
        <v>5.7859007758551693</v>
      </c>
      <c r="EM421" s="4">
        <f t="shared" si="1810"/>
        <v>7.0565312988731881</v>
      </c>
      <c r="EN421" s="4" t="e">
        <f t="shared" si="1811"/>
        <v>#REF!</v>
      </c>
      <c r="EO421" s="4" t="e">
        <f t="shared" si="1812"/>
        <v>#REF!</v>
      </c>
      <c r="EP421" s="4" t="e">
        <f t="shared" si="1614"/>
        <v>#REF!</v>
      </c>
      <c r="EQ421" s="4" t="e">
        <f t="shared" si="1813"/>
        <v>#REF!</v>
      </c>
      <c r="ER421" s="4" t="e">
        <f t="shared" si="1615"/>
        <v>#REF!</v>
      </c>
      <c r="FA421" s="23" t="e">
        <f t="shared" si="1772"/>
        <v>#REF!</v>
      </c>
      <c r="FB421" s="23" t="e">
        <f t="shared" si="1773"/>
        <v>#REF!</v>
      </c>
      <c r="FC421" s="23">
        <f t="shared" si="1706"/>
        <v>0.8</v>
      </c>
      <c r="FD421" s="23" t="e">
        <f t="shared" si="1774"/>
        <v>#REF!</v>
      </c>
      <c r="FE421" s="23">
        <f t="shared" si="1775"/>
        <v>0.8</v>
      </c>
      <c r="FF421" s="23">
        <f t="shared" si="1776"/>
        <v>0.8</v>
      </c>
      <c r="FG421" s="23">
        <f t="shared" si="1629"/>
        <v>1</v>
      </c>
      <c r="FH421" s="23"/>
      <c r="FR421" s="4">
        <f t="shared" si="1852"/>
        <v>1</v>
      </c>
      <c r="FS421" s="4">
        <f t="shared" si="1853"/>
        <v>0.44214730608235164</v>
      </c>
      <c r="FT421" s="4">
        <f t="shared" si="1854"/>
        <v>0.25149640360142855</v>
      </c>
      <c r="FU421" s="4">
        <f t="shared" si="1855"/>
        <v>550.08065555853318</v>
      </c>
    </row>
    <row r="422" spans="2:177" ht="12" customHeight="1" x14ac:dyDescent="0.3">
      <c r="B422" s="14"/>
      <c r="C422" s="7" t="s">
        <v>569</v>
      </c>
      <c r="D422" s="38">
        <f t="shared" si="1924"/>
        <v>931.0344827586207</v>
      </c>
      <c r="E422" s="38">
        <f>14.69*25.4</f>
        <v>373.12599999999998</v>
      </c>
      <c r="F422" s="38">
        <f>8660/145</f>
        <v>59.724137931034484</v>
      </c>
      <c r="G422" s="38">
        <f t="shared" si="1917"/>
        <v>35.813999999999993</v>
      </c>
      <c r="H422" s="38">
        <f>21.7*25.4</f>
        <v>551.17999999999995</v>
      </c>
      <c r="I422" s="38">
        <f>2.45*25.4</f>
        <v>62.230000000000004</v>
      </c>
      <c r="J422" s="39">
        <f>3.4*25.4</f>
        <v>86.36</v>
      </c>
      <c r="K422" s="7">
        <f t="shared" si="1727"/>
        <v>355.09199999999998</v>
      </c>
      <c r="L422" s="38">
        <v>2</v>
      </c>
      <c r="M422" s="4">
        <f t="shared" si="1843"/>
        <v>508</v>
      </c>
      <c r="N422" s="7">
        <f t="shared" si="1569"/>
        <v>2.2375886524822697</v>
      </c>
      <c r="O422" s="7">
        <f t="shared" si="1570"/>
        <v>2.2375886524822697</v>
      </c>
      <c r="P422" s="38">
        <v>3.8</v>
      </c>
      <c r="Q422" s="4">
        <f t="shared" si="1736"/>
        <v>3.8</v>
      </c>
      <c r="R422" s="4">
        <f t="shared" si="1571"/>
        <v>4.8</v>
      </c>
      <c r="S422" s="7">
        <f t="shared" si="1572"/>
        <v>78.464542697960056</v>
      </c>
      <c r="V422" s="38">
        <f t="shared" si="1777"/>
        <v>497.93103448275866</v>
      </c>
      <c r="W422" s="4">
        <v>72.2</v>
      </c>
      <c r="X422" s="4">
        <f t="shared" si="1573"/>
        <v>0.80079303363680798</v>
      </c>
      <c r="Y422" s="38">
        <f t="shared" si="1925"/>
        <v>12.7</v>
      </c>
      <c r="Z422" s="38">
        <v>12</v>
      </c>
      <c r="AA422" s="39">
        <f>4*25.4</f>
        <v>101.6</v>
      </c>
      <c r="AB422" s="39">
        <v>3</v>
      </c>
      <c r="AC422" s="39">
        <f t="shared" si="1926"/>
        <v>2</v>
      </c>
      <c r="AD422" s="7"/>
      <c r="AE422" s="4">
        <f t="shared" si="1576"/>
        <v>373.12599999999998</v>
      </c>
      <c r="AF422" s="4">
        <f t="shared" si="1577"/>
        <v>0.49239845700022689</v>
      </c>
      <c r="AG422" s="4">
        <f t="shared" si="1578"/>
        <v>276.46023823193622</v>
      </c>
      <c r="AH422" s="4">
        <f t="shared" si="1579"/>
        <v>0.74295439074200131</v>
      </c>
      <c r="AI422" s="4">
        <v>1.25</v>
      </c>
      <c r="AJ422" s="4">
        <f t="shared" si="1878"/>
        <v>2.5</v>
      </c>
      <c r="AK422" s="38">
        <f t="shared" si="1729"/>
        <v>316.05417861937889</v>
      </c>
      <c r="AL422" s="38">
        <f t="shared" si="1616"/>
        <v>316.05417861937889</v>
      </c>
      <c r="AM422" s="38">
        <f t="shared" si="1580"/>
        <v>4.3472312358327088</v>
      </c>
      <c r="AN422" s="38">
        <f t="shared" si="1893"/>
        <v>316.05417861937889</v>
      </c>
      <c r="AO422" s="38">
        <f t="shared" si="1845"/>
        <v>1</v>
      </c>
      <c r="AP422" s="38">
        <f t="shared" si="1894"/>
        <v>1.6485054910266623</v>
      </c>
      <c r="AQ422" s="4">
        <f t="shared" si="1895"/>
        <v>0</v>
      </c>
      <c r="AR422" s="4" t="e">
        <f>#REF!/G422*F422^0.5/0.19</f>
        <v>#REF!</v>
      </c>
      <c r="AS422" s="4">
        <f t="shared" si="1581"/>
        <v>1</v>
      </c>
      <c r="AT422" s="38">
        <f t="shared" si="1582"/>
        <v>521.01704891596762</v>
      </c>
      <c r="AU422" s="4">
        <f t="shared" si="1583"/>
        <v>0.46800000000000008</v>
      </c>
      <c r="AV422" s="4" t="e">
        <f>AU422*D422*#REF!/(D422*G422/2.75/F422^0.5)</f>
        <v>#REF!</v>
      </c>
      <c r="AW422" s="4" t="e">
        <f t="shared" si="1793"/>
        <v>#REF!</v>
      </c>
      <c r="AY422" s="4">
        <f t="shared" si="1584"/>
        <v>1.5</v>
      </c>
      <c r="AZ422" s="4" t="e">
        <f>(3*#REF!+30)*AY422*F422^0.5</f>
        <v>#REF!</v>
      </c>
      <c r="BB422" s="4">
        <f t="shared" si="1585"/>
        <v>499.71906614360728</v>
      </c>
      <c r="BC422" s="4">
        <f t="shared" si="1822"/>
        <v>0</v>
      </c>
      <c r="BD422" s="4">
        <f t="shared" si="1794"/>
        <v>0</v>
      </c>
      <c r="BL422" s="4">
        <f t="shared" si="1586"/>
        <v>62.230000000000004</v>
      </c>
      <c r="BP422" s="9"/>
      <c r="BR422" s="9"/>
      <c r="BS422" s="9"/>
      <c r="BT422" s="9">
        <f t="shared" si="1587"/>
        <v>62.230000000000004</v>
      </c>
      <c r="BU422" s="9">
        <f t="shared" si="1588"/>
        <v>177.54599999999999</v>
      </c>
      <c r="BV422" s="9">
        <f t="shared" si="1589"/>
        <v>1.5426597542601972</v>
      </c>
      <c r="BW422" s="40">
        <f t="shared" si="1738"/>
        <v>20</v>
      </c>
      <c r="BX422" s="9">
        <f t="shared" si="1590"/>
        <v>0.05</v>
      </c>
      <c r="BY422" s="9">
        <f t="shared" si="1795"/>
        <v>0.8</v>
      </c>
      <c r="BZ422" s="9">
        <f t="shared" si="1591"/>
        <v>0.89777220146327208</v>
      </c>
      <c r="CA422" s="9">
        <f t="shared" si="1592"/>
        <v>0.68</v>
      </c>
      <c r="CB422" s="9">
        <f t="shared" si="1593"/>
        <v>1.6512698668680077</v>
      </c>
      <c r="CC422" s="9">
        <f t="shared" si="1594"/>
        <v>3.8683634605342756</v>
      </c>
      <c r="CD422" s="40">
        <v>1</v>
      </c>
      <c r="CE422" s="9" t="e">
        <f>4*CC422*#REF!+60*CC422</f>
        <v>#REF!</v>
      </c>
      <c r="CG422" s="4" t="e">
        <f t="shared" si="1796"/>
        <v>#REF!</v>
      </c>
      <c r="CH422" s="4" t="e">
        <f t="shared" si="1797"/>
        <v>#REF!</v>
      </c>
      <c r="CI422" s="4" t="e">
        <f t="shared" si="1798"/>
        <v>#REF!</v>
      </c>
      <c r="CJ422" s="4" t="e">
        <f t="shared" si="1799"/>
        <v>#REF!</v>
      </c>
      <c r="CK422" s="4">
        <f t="shared" si="1800"/>
        <v>0.80079303363680798</v>
      </c>
      <c r="CL422" s="4">
        <f t="shared" si="1801"/>
        <v>0.85028063832166845</v>
      </c>
      <c r="CM422" s="4">
        <f t="shared" si="1699"/>
        <v>1.102942521630832</v>
      </c>
      <c r="CN422" s="4">
        <f t="shared" si="1739"/>
        <v>12</v>
      </c>
      <c r="CU422" s="4" t="e">
        <f t="shared" si="1927"/>
        <v>#REF!</v>
      </c>
      <c r="CV422" s="4" t="e">
        <f t="shared" si="1928"/>
        <v>#REF!</v>
      </c>
      <c r="CW422" s="4" t="e">
        <f t="shared" si="1929"/>
        <v>#REF!</v>
      </c>
      <c r="CX422" s="4">
        <f t="shared" si="1930"/>
        <v>1.102942521630832</v>
      </c>
      <c r="CY422" s="4">
        <f t="shared" si="1931"/>
        <v>0.80079303363680798</v>
      </c>
      <c r="CZ422" s="4">
        <f t="shared" si="1932"/>
        <v>0.85028063832166845</v>
      </c>
      <c r="DC422" s="4" t="e">
        <f>#REF!</f>
        <v>#REF!</v>
      </c>
      <c r="DF422" s="4">
        <f t="shared" si="1601"/>
        <v>2.2581533218862147E-5</v>
      </c>
      <c r="DG422" s="4">
        <f t="shared" si="1802"/>
        <v>8.7269775139135497</v>
      </c>
      <c r="DH422" s="4">
        <f t="shared" si="1602"/>
        <v>0.4251756407092947</v>
      </c>
      <c r="DI422" s="4">
        <f t="shared" si="1803"/>
        <v>6.1985656734611458</v>
      </c>
      <c r="DJ422" s="4">
        <f t="shared" si="1804"/>
        <v>7.5693908977413145</v>
      </c>
      <c r="DK422" s="4">
        <f t="shared" si="1603"/>
        <v>7.7912639473019434</v>
      </c>
      <c r="DL422" s="38">
        <f t="shared" si="1604"/>
        <v>621.79741027641171</v>
      </c>
      <c r="DM422" s="4" t="e">
        <f t="shared" si="1805"/>
        <v>#REF!</v>
      </c>
      <c r="DN422" s="4">
        <f t="shared" si="1605"/>
        <v>2.1908902300206643</v>
      </c>
      <c r="DO422" s="4">
        <f t="shared" si="1697"/>
        <v>316.05417861937889</v>
      </c>
      <c r="DS422" s="4">
        <f t="shared" si="1606"/>
        <v>0.85</v>
      </c>
      <c r="DT422" s="4">
        <f t="shared" si="1607"/>
        <v>0.92624113475177294</v>
      </c>
      <c r="DU422" s="4">
        <f t="shared" si="1608"/>
        <v>0.92410215783914285</v>
      </c>
      <c r="DV422" s="4">
        <f t="shared" si="1806"/>
        <v>0.85594143130348965</v>
      </c>
      <c r="DX422" s="4">
        <f t="shared" si="1609"/>
        <v>585.60787114428808</v>
      </c>
      <c r="DY422" s="25">
        <f t="shared" si="1870"/>
        <v>312.84340374133052</v>
      </c>
      <c r="EA422" s="4">
        <f t="shared" si="1871"/>
        <v>0.72755021660796615</v>
      </c>
      <c r="EB422" s="4">
        <f t="shared" si="1610"/>
        <v>8.7269775139135497</v>
      </c>
      <c r="EE422" s="4">
        <f t="shared" si="1611"/>
        <v>78.464542697960056</v>
      </c>
      <c r="EF422" s="4">
        <f t="shared" si="1807"/>
        <v>2.1908902300206643</v>
      </c>
      <c r="EG422" s="4">
        <f t="shared" si="1612"/>
        <v>0.17967124828477851</v>
      </c>
      <c r="EJ422" s="4">
        <f t="shared" si="1808"/>
        <v>0.17967124828477851</v>
      </c>
      <c r="EK422" s="4">
        <f t="shared" si="1613"/>
        <v>0.42446610180691829</v>
      </c>
      <c r="EL422" s="4">
        <f t="shared" si="1809"/>
        <v>6.1944258997588486</v>
      </c>
      <c r="EM422" s="4">
        <f t="shared" si="1810"/>
        <v>7.5676983436658878</v>
      </c>
      <c r="EN422" s="4" t="e">
        <f t="shared" si="1811"/>
        <v>#REF!</v>
      </c>
      <c r="EO422" s="4" t="e">
        <f t="shared" si="1812"/>
        <v>#REF!</v>
      </c>
      <c r="EP422" s="4" t="e">
        <f t="shared" si="1614"/>
        <v>#REF!</v>
      </c>
      <c r="EQ422" s="4" t="e">
        <f t="shared" si="1813"/>
        <v>#REF!</v>
      </c>
      <c r="ER422" s="4" t="e">
        <f t="shared" si="1615"/>
        <v>#REF!</v>
      </c>
      <c r="FA422" s="23" t="e">
        <f t="shared" si="1772"/>
        <v>#REF!</v>
      </c>
      <c r="FB422" s="23" t="e">
        <f t="shared" si="1773"/>
        <v>#REF!</v>
      </c>
      <c r="FC422" s="23">
        <f t="shared" si="1706"/>
        <v>1.2</v>
      </c>
      <c r="FD422" s="23" t="e">
        <f t="shared" si="1774"/>
        <v>#REF!</v>
      </c>
      <c r="FE422" s="23">
        <f t="shared" si="1775"/>
        <v>1</v>
      </c>
      <c r="FF422" s="23">
        <f t="shared" si="1776"/>
        <v>1</v>
      </c>
      <c r="FG422" s="23">
        <f t="shared" si="1629"/>
        <v>0</v>
      </c>
      <c r="FH422" s="23"/>
      <c r="FR422" s="4">
        <f t="shared" si="1852"/>
        <v>1.25</v>
      </c>
      <c r="FS422" s="4">
        <f t="shared" si="1853"/>
        <v>0.43098983553339404</v>
      </c>
      <c r="FT422" s="4">
        <f t="shared" si="1854"/>
        <v>0.3</v>
      </c>
      <c r="FU422" s="4">
        <f t="shared" si="1855"/>
        <v>451.45692066211052</v>
      </c>
    </row>
    <row r="423" spans="2:177" ht="12" customHeight="1" x14ac:dyDescent="0.3">
      <c r="B423" s="14"/>
      <c r="C423" s="7" t="s">
        <v>570</v>
      </c>
      <c r="D423" s="38">
        <f t="shared" si="1924"/>
        <v>931.0344827586207</v>
      </c>
      <c r="E423" s="38">
        <f>14.63*25.4</f>
        <v>371.60199999999998</v>
      </c>
      <c r="F423" s="38">
        <f>8720/145</f>
        <v>60.137931034482762</v>
      </c>
      <c r="G423" s="38">
        <f t="shared" si="1917"/>
        <v>35.813999999999993</v>
      </c>
      <c r="H423" s="38">
        <f>22*25.4</f>
        <v>558.79999999999995</v>
      </c>
      <c r="I423" s="38">
        <f>2.8*25.4</f>
        <v>71.11999999999999</v>
      </c>
      <c r="J423" s="39">
        <f>3.3*25.4</f>
        <v>83.82</v>
      </c>
      <c r="K423" s="7">
        <f t="shared" si="1727"/>
        <v>154.55899999999997</v>
      </c>
      <c r="L423" s="38">
        <v>3</v>
      </c>
      <c r="M423" s="4">
        <f t="shared" si="1843"/>
        <v>508</v>
      </c>
      <c r="N423" s="7">
        <f t="shared" si="1569"/>
        <v>2.4858156028368796</v>
      </c>
      <c r="O423" s="7">
        <f t="shared" si="1570"/>
        <v>2.4858156028368796</v>
      </c>
      <c r="P423" s="38">
        <v>3.8</v>
      </c>
      <c r="Q423" s="4">
        <f t="shared" si="1736"/>
        <v>3.8</v>
      </c>
      <c r="R423" s="4">
        <f t="shared" si="1571"/>
        <v>4.8</v>
      </c>
      <c r="S423" s="7">
        <f t="shared" si="1572"/>
        <v>78.464542697960056</v>
      </c>
      <c r="V423" s="38">
        <f t="shared" si="1777"/>
        <v>233.79310344827587</v>
      </c>
      <c r="W423" s="4">
        <v>33.9</v>
      </c>
      <c r="X423" s="4">
        <f t="shared" si="1573"/>
        <v>0.47564989032534455</v>
      </c>
      <c r="Y423" s="38"/>
      <c r="Z423" s="38"/>
      <c r="AA423" s="39">
        <v>1</v>
      </c>
      <c r="AB423" s="39"/>
      <c r="AC423" s="39"/>
      <c r="AD423" s="7"/>
      <c r="AE423" s="4">
        <f t="shared" si="1576"/>
        <v>371.60199999999998</v>
      </c>
      <c r="AF423" s="4">
        <f t="shared" si="1577"/>
        <v>0.50125313283208028</v>
      </c>
      <c r="AG423" s="4">
        <f t="shared" si="1578"/>
        <v>183.81227524875013</v>
      </c>
      <c r="AH423" s="4">
        <f t="shared" si="1579"/>
        <v>0.74791524265208476</v>
      </c>
      <c r="AI423" s="4">
        <v>1.25</v>
      </c>
      <c r="AJ423" s="4">
        <f t="shared" si="1878"/>
        <v>2.5</v>
      </c>
      <c r="AK423" s="38">
        <f t="shared" si="1729"/>
        <v>215.34461535886712</v>
      </c>
      <c r="AL423" s="38">
        <f t="shared" si="1616"/>
        <v>215.34461535886712</v>
      </c>
      <c r="AM423" s="38">
        <f t="shared" si="1580"/>
        <v>4.3584878994477556</v>
      </c>
      <c r="AN423" s="38">
        <f t="shared" si="1893"/>
        <v>215.3446153588668</v>
      </c>
      <c r="AO423" s="38">
        <f t="shared" si="1845"/>
        <v>1.0000000000000016</v>
      </c>
      <c r="AP423" s="38">
        <f t="shared" si="1894"/>
        <v>2.706482164766975</v>
      </c>
      <c r="AQ423" s="4">
        <f t="shared" si="1895"/>
        <v>0</v>
      </c>
      <c r="AR423" s="4" t="e">
        <f>#REF!/G423*F423^0.5/0.19</f>
        <v>#REF!</v>
      </c>
      <c r="AS423" s="4">
        <f t="shared" si="1581"/>
        <v>1</v>
      </c>
      <c r="AT423" s="38">
        <f t="shared" si="1582"/>
        <v>582.82636074737741</v>
      </c>
      <c r="AU423" s="4">
        <f t="shared" si="1583"/>
        <v>0.46800000000000008</v>
      </c>
      <c r="AV423" s="4" t="e">
        <f>AU423*D423*#REF!/(D423*G423/2.75/F423^0.5)</f>
        <v>#REF!</v>
      </c>
      <c r="AW423" s="4" t="e">
        <f t="shared" si="1793"/>
        <v>#REF!</v>
      </c>
      <c r="AY423" s="4">
        <f t="shared" si="1584"/>
        <v>1.2464539007092199</v>
      </c>
      <c r="AZ423" s="4" t="e">
        <f>(3*#REF!+30)*AY423*F423^0.5</f>
        <v>#REF!</v>
      </c>
      <c r="BB423" s="4">
        <f t="shared" si="1585"/>
        <v>559.00175497621922</v>
      </c>
      <c r="BC423" s="4">
        <f t="shared" si="1822"/>
        <v>0</v>
      </c>
      <c r="BD423" s="4">
        <f t="shared" si="1794"/>
        <v>0</v>
      </c>
      <c r="BL423" s="4">
        <f t="shared" si="1586"/>
        <v>71.11999999999999</v>
      </c>
      <c r="BP423" s="9"/>
      <c r="BR423" s="9"/>
      <c r="BS423" s="9"/>
      <c r="BT423" s="9">
        <f t="shared" si="1587"/>
        <v>71.11999999999999</v>
      </c>
      <c r="BU423" s="9">
        <f t="shared" si="1588"/>
        <v>77.279499999999985</v>
      </c>
      <c r="BV423" s="9">
        <f t="shared" si="1589"/>
        <v>1.4268566467933428</v>
      </c>
      <c r="BW423" s="40">
        <f t="shared" si="1738"/>
        <v>0</v>
      </c>
      <c r="BX423" s="9">
        <f t="shared" si="1590"/>
        <v>0</v>
      </c>
      <c r="BY423" s="9">
        <f t="shared" si="1795"/>
        <v>0</v>
      </c>
      <c r="BZ423" s="9">
        <f t="shared" si="1591"/>
        <v>0.89777220146327208</v>
      </c>
      <c r="CA423" s="9">
        <f t="shared" si="1592"/>
        <v>0.68</v>
      </c>
      <c r="CB423" s="9">
        <f t="shared" si="1593"/>
        <v>1.656980327255414</v>
      </c>
      <c r="CC423" s="9">
        <f t="shared" si="1594"/>
        <v>2.3642733935501958</v>
      </c>
      <c r="CD423" s="40">
        <v>1</v>
      </c>
      <c r="CE423" s="9" t="e">
        <f>4*CC423*#REF!+60*CC423</f>
        <v>#REF!</v>
      </c>
      <c r="CG423" s="4" t="e">
        <f t="shared" si="1796"/>
        <v>#REF!</v>
      </c>
      <c r="CH423" s="4" t="e">
        <f t="shared" si="1797"/>
        <v>#REF!</v>
      </c>
      <c r="CI423" s="4" t="e">
        <f t="shared" si="1798"/>
        <v>#REF!</v>
      </c>
      <c r="CJ423" s="4" t="e">
        <f t="shared" si="1799"/>
        <v>#REF!</v>
      </c>
      <c r="CK423" s="4">
        <f t="shared" si="1800"/>
        <v>0.47564989032534455</v>
      </c>
      <c r="CL423" s="4">
        <f t="shared" si="1801"/>
        <v>0.49532268932934714</v>
      </c>
      <c r="CM423" s="4">
        <f t="shared" si="1699"/>
        <v>0.69730791094744238</v>
      </c>
      <c r="CN423" s="4">
        <f t="shared" si="1739"/>
        <v>0</v>
      </c>
      <c r="CO423" s="4" t="e">
        <f t="shared" ref="CO423" si="1933">CG423</f>
        <v>#REF!</v>
      </c>
      <c r="CP423" s="4" t="e">
        <f t="shared" ref="CP423" si="1934">CH423</f>
        <v>#REF!</v>
      </c>
      <c r="CQ423" s="4" t="e">
        <f t="shared" ref="CQ423" si="1935">CJ423</f>
        <v>#REF!</v>
      </c>
      <c r="CR423" s="4">
        <f t="shared" ref="CR423" si="1936">CM423</f>
        <v>0.69730791094744238</v>
      </c>
      <c r="CS423" s="4">
        <f t="shared" ref="CS423" si="1937">CK423</f>
        <v>0.47564989032534455</v>
      </c>
      <c r="CT423" s="4">
        <f t="shared" ref="CT423" si="1938">CL423</f>
        <v>0.49532268932934714</v>
      </c>
      <c r="DC423" s="4" t="e">
        <f>#REF!</f>
        <v>#REF!</v>
      </c>
      <c r="DF423" s="4">
        <f t="shared" si="1601"/>
        <v>2.2546529017550049E-5</v>
      </c>
      <c r="DG423" s="4">
        <f t="shared" si="1802"/>
        <v>8.3153544113293236</v>
      </c>
      <c r="DH423" s="4">
        <f t="shared" si="1602"/>
        <v>0.28770159004621326</v>
      </c>
      <c r="DI423" s="4">
        <f t="shared" si="1803"/>
        <v>5.0519340097069563</v>
      </c>
      <c r="DJ423" s="4">
        <f t="shared" si="1804"/>
        <v>6.8810495994762375</v>
      </c>
      <c r="DK423" s="4">
        <f t="shared" si="1603"/>
        <v>7.5191156474869798</v>
      </c>
      <c r="DL423" s="38">
        <f t="shared" si="1604"/>
        <v>491.52350963092073</v>
      </c>
      <c r="DM423" s="4" t="e">
        <f t="shared" si="1805"/>
        <v>#REF!</v>
      </c>
      <c r="DN423" s="4">
        <f t="shared" si="1605"/>
        <v>2.1908902300206643</v>
      </c>
      <c r="DO423" s="4">
        <f t="shared" si="1697"/>
        <v>215.3446153588668</v>
      </c>
      <c r="DS423" s="4">
        <f t="shared" si="1606"/>
        <v>0.85</v>
      </c>
      <c r="DT423" s="4">
        <f t="shared" si="1607"/>
        <v>0.90141843971631208</v>
      </c>
      <c r="DU423" s="4">
        <f t="shared" si="1608"/>
        <v>1</v>
      </c>
      <c r="DV423" s="4">
        <f t="shared" si="1806"/>
        <v>0.90141843971631208</v>
      </c>
      <c r="DX423" s="4">
        <f t="shared" si="1609"/>
        <v>472.00160316666512</v>
      </c>
      <c r="DY423" s="25">
        <f t="shared" si="1870"/>
        <v>213.16408180975441</v>
      </c>
      <c r="EA423" s="4">
        <f t="shared" si="1871"/>
        <v>0.76620567375886528</v>
      </c>
      <c r="EB423" s="4">
        <f t="shared" si="1610"/>
        <v>8.3153544113293236</v>
      </c>
      <c r="EE423" s="4">
        <f t="shared" si="1611"/>
        <v>78.464542697960056</v>
      </c>
      <c r="EF423" s="4">
        <f t="shared" si="1807"/>
        <v>2.1908902300206643</v>
      </c>
      <c r="EG423" s="4">
        <f t="shared" si="1612"/>
        <v>0.12199773533478737</v>
      </c>
      <c r="EJ423" s="4">
        <f t="shared" si="1808"/>
        <v>0.12199773533478737</v>
      </c>
      <c r="EK423" s="4">
        <f t="shared" si="1613"/>
        <v>0.28722146971271345</v>
      </c>
      <c r="EL423" s="4">
        <f t="shared" si="1809"/>
        <v>5.0485600253594702</v>
      </c>
      <c r="EM423" s="4">
        <f t="shared" si="1810"/>
        <v>6.8798163897573916</v>
      </c>
      <c r="EN423" s="4" t="e">
        <f t="shared" si="1811"/>
        <v>#REF!</v>
      </c>
      <c r="EO423" s="4" t="e">
        <f t="shared" si="1812"/>
        <v>#REF!</v>
      </c>
      <c r="EP423" s="4" t="e">
        <f t="shared" si="1614"/>
        <v>#REF!</v>
      </c>
      <c r="EQ423" s="4" t="e">
        <f t="shared" si="1813"/>
        <v>#REF!</v>
      </c>
      <c r="ER423" s="4" t="e">
        <f t="shared" si="1615"/>
        <v>#REF!</v>
      </c>
      <c r="FA423" s="23" t="e">
        <f t="shared" si="1772"/>
        <v>#REF!</v>
      </c>
      <c r="FB423" s="23" t="e">
        <f t="shared" si="1773"/>
        <v>#REF!</v>
      </c>
      <c r="FC423" s="23">
        <f t="shared" si="1706"/>
        <v>0.8</v>
      </c>
      <c r="FD423" s="23" t="e">
        <f t="shared" si="1774"/>
        <v>#REF!</v>
      </c>
      <c r="FE423" s="23">
        <f t="shared" si="1775"/>
        <v>0.6</v>
      </c>
      <c r="FF423" s="23">
        <f t="shared" si="1776"/>
        <v>0.6</v>
      </c>
      <c r="FG423" s="23">
        <f t="shared" si="1629"/>
        <v>1</v>
      </c>
      <c r="FH423" s="23"/>
      <c r="FR423" s="4">
        <f t="shared" si="1852"/>
        <v>1</v>
      </c>
      <c r="FS423" s="4">
        <f t="shared" si="1853"/>
        <v>0.72369976359338062</v>
      </c>
      <c r="FT423" s="4">
        <f t="shared" si="1854"/>
        <v>0</v>
      </c>
      <c r="FU423" s="4">
        <f t="shared" si="1855"/>
        <v>335.27957990698513</v>
      </c>
    </row>
    <row r="424" spans="2:177" ht="12" customHeight="1" x14ac:dyDescent="0.3">
      <c r="B424" s="14"/>
      <c r="C424" s="7" t="s">
        <v>571</v>
      </c>
      <c r="D424" s="38">
        <f t="shared" si="1924"/>
        <v>931.0344827586207</v>
      </c>
      <c r="E424" s="38">
        <f>14.54*25.4</f>
        <v>369.31599999999997</v>
      </c>
      <c r="F424" s="38">
        <f>8720/145</f>
        <v>60.137931034482762</v>
      </c>
      <c r="G424" s="38">
        <f t="shared" si="1917"/>
        <v>35.813999999999993</v>
      </c>
      <c r="H424" s="38">
        <f>21.8*25.4</f>
        <v>553.72</v>
      </c>
      <c r="I424" s="38">
        <f>2.55*25.4</f>
        <v>64.77</v>
      </c>
      <c r="J424" s="39">
        <f>3.26*25.4</f>
        <v>82.803999999999988</v>
      </c>
      <c r="K424" s="7">
        <f t="shared" si="1727"/>
        <v>158.36900000000003</v>
      </c>
      <c r="L424" s="38">
        <v>3</v>
      </c>
      <c r="M424" s="4">
        <f t="shared" si="1843"/>
        <v>508</v>
      </c>
      <c r="N424" s="7">
        <f t="shared" si="1569"/>
        <v>2.3085106382978724</v>
      </c>
      <c r="O424" s="7">
        <f t="shared" si="1570"/>
        <v>2.3085106382978724</v>
      </c>
      <c r="P424" s="38">
        <v>3.8</v>
      </c>
      <c r="Q424" s="4">
        <f t="shared" si="1736"/>
        <v>3.8</v>
      </c>
      <c r="R424" s="4">
        <f t="shared" si="1571"/>
        <v>4.8</v>
      </c>
      <c r="S424" s="7">
        <f t="shared" si="1572"/>
        <v>78.464542697960056</v>
      </c>
      <c r="V424" s="38">
        <f t="shared" si="1777"/>
        <v>320.68965517241384</v>
      </c>
      <c r="W424" s="4">
        <v>46.5</v>
      </c>
      <c r="X424" s="4">
        <f t="shared" si="1573"/>
        <v>0.66704150177213273</v>
      </c>
      <c r="Y424" s="38">
        <f t="shared" ref="Y424:Y425" si="1939">0.5*25.4</f>
        <v>12.7</v>
      </c>
      <c r="Z424" s="38">
        <v>4</v>
      </c>
      <c r="AA424" s="39">
        <f>8*25.4</f>
        <v>203.2</v>
      </c>
      <c r="AB424" s="39">
        <v>2</v>
      </c>
      <c r="AC424" s="39">
        <f t="shared" ref="AC424:AC425" si="1940">AB424-1</f>
        <v>1</v>
      </c>
      <c r="AD424" s="7"/>
      <c r="AE424" s="4">
        <f t="shared" si="1576"/>
        <v>369.31599999999997</v>
      </c>
      <c r="AF424" s="4">
        <f t="shared" si="1577"/>
        <v>0.49977074736359473</v>
      </c>
      <c r="AG424" s="4">
        <f t="shared" si="1578"/>
        <v>182.1187376827082</v>
      </c>
      <c r="AH424" s="4">
        <f t="shared" si="1579"/>
        <v>0.74477303988995869</v>
      </c>
      <c r="AI424" s="4">
        <v>1.25</v>
      </c>
      <c r="AJ424" s="4">
        <f t="shared" si="1878"/>
        <v>2.5</v>
      </c>
      <c r="AK424" s="38">
        <f t="shared" si="1729"/>
        <v>211.83583679291482</v>
      </c>
      <c r="AL424" s="38">
        <f t="shared" si="1616"/>
        <v>211.83583679291482</v>
      </c>
      <c r="AM424" s="38">
        <f t="shared" si="1580"/>
        <v>4.3584878994477556</v>
      </c>
      <c r="AN424" s="38">
        <f t="shared" si="1893"/>
        <v>211.8358367929149</v>
      </c>
      <c r="AO424" s="38">
        <f t="shared" si="1845"/>
        <v>0.99999999999999956</v>
      </c>
      <c r="AP424" s="38">
        <f t="shared" si="1894"/>
        <v>2.5550695380031971</v>
      </c>
      <c r="AQ424" s="4">
        <f t="shared" si="1895"/>
        <v>0</v>
      </c>
      <c r="AR424" s="4" t="e">
        <f>#REF!/G424*F424^0.5/0.19</f>
        <v>#REF!</v>
      </c>
      <c r="AS424" s="4">
        <f t="shared" si="1581"/>
        <v>1</v>
      </c>
      <c r="AT424" s="38">
        <f t="shared" si="1582"/>
        <v>541.25529364699378</v>
      </c>
      <c r="AU424" s="4">
        <f t="shared" si="1583"/>
        <v>0.46800000000000008</v>
      </c>
      <c r="AV424" s="4" t="e">
        <f>AU424*D424*#REF!/(D424*G424/2.75/F424^0.5)</f>
        <v>#REF!</v>
      </c>
      <c r="AW424" s="4" t="e">
        <f t="shared" si="1793"/>
        <v>#REF!</v>
      </c>
      <c r="AY424" s="4">
        <f t="shared" si="1584"/>
        <v>1.3878009842547159</v>
      </c>
      <c r="AZ424" s="4" t="e">
        <f>(3*#REF!+30)*AY424*F424^0.5</f>
        <v>#REF!</v>
      </c>
      <c r="BB424" s="4">
        <f t="shared" si="1585"/>
        <v>519.1300178167171</v>
      </c>
      <c r="BC424" s="4">
        <f t="shared" si="1822"/>
        <v>0</v>
      </c>
      <c r="BD424" s="4">
        <f t="shared" si="1794"/>
        <v>0</v>
      </c>
      <c r="BL424" s="4">
        <f t="shared" si="1586"/>
        <v>64.77</v>
      </c>
      <c r="BP424" s="9"/>
      <c r="BR424" s="9"/>
      <c r="BS424" s="9"/>
      <c r="BT424" s="9">
        <f t="shared" si="1587"/>
        <v>64.77</v>
      </c>
      <c r="BU424" s="9">
        <f t="shared" si="1588"/>
        <v>79.184500000000014</v>
      </c>
      <c r="BV424" s="9">
        <f t="shared" si="1589"/>
        <v>1.3859592972879591</v>
      </c>
      <c r="BW424" s="40">
        <f t="shared" si="1738"/>
        <v>20</v>
      </c>
      <c r="BX424" s="9">
        <f t="shared" si="1590"/>
        <v>4.6418331170061958E-2</v>
      </c>
      <c r="BY424" s="9">
        <f t="shared" si="1795"/>
        <v>0.72836662340123914</v>
      </c>
      <c r="BZ424" s="9">
        <f t="shared" si="1591"/>
        <v>0.89777220146327208</v>
      </c>
      <c r="CA424" s="9">
        <f t="shared" si="1592"/>
        <v>0.68</v>
      </c>
      <c r="CB424" s="9">
        <f t="shared" si="1593"/>
        <v>1.656980327255414</v>
      </c>
      <c r="CC424" s="9">
        <f t="shared" si="1594"/>
        <v>3.503396455988192</v>
      </c>
      <c r="CD424" s="40">
        <v>1</v>
      </c>
      <c r="CE424" s="9" t="e">
        <f>4*CC424*#REF!+60*CC424</f>
        <v>#REF!</v>
      </c>
      <c r="CG424" s="4" t="e">
        <f t="shared" si="1796"/>
        <v>#REF!</v>
      </c>
      <c r="CH424" s="4" t="e">
        <f t="shared" si="1797"/>
        <v>#REF!</v>
      </c>
      <c r="CI424" s="4" t="e">
        <f t="shared" si="1798"/>
        <v>#REF!</v>
      </c>
      <c r="CJ424" s="4" t="e">
        <f t="shared" si="1799"/>
        <v>#REF!</v>
      </c>
      <c r="CK424" s="4">
        <f t="shared" si="1800"/>
        <v>0.66704150177213273</v>
      </c>
      <c r="CL424" s="4">
        <f t="shared" si="1801"/>
        <v>0.69404556824261776</v>
      </c>
      <c r="CM424" s="4">
        <f t="shared" si="1699"/>
        <v>0.7718247303008392</v>
      </c>
      <c r="CN424" s="4">
        <f t="shared" si="1739"/>
        <v>4</v>
      </c>
      <c r="CU424" s="4" t="e">
        <f t="shared" ref="CU424:CU425" si="1941">CG424</f>
        <v>#REF!</v>
      </c>
      <c r="CV424" s="4" t="e">
        <f t="shared" ref="CV424:CV425" si="1942">CH424</f>
        <v>#REF!</v>
      </c>
      <c r="CW424" s="4" t="e">
        <f t="shared" ref="CW424:CW425" si="1943">CJ424</f>
        <v>#REF!</v>
      </c>
      <c r="CX424" s="4">
        <f t="shared" ref="CX424:CX425" si="1944">CM424</f>
        <v>0.7718247303008392</v>
      </c>
      <c r="CY424" s="4">
        <f t="shared" ref="CY424:CY425" si="1945">CK424</f>
        <v>0.66704150177213273</v>
      </c>
      <c r="CZ424" s="4">
        <f t="shared" ref="CZ424:CZ425" si="1946">CL424</f>
        <v>0.69404556824261776</v>
      </c>
      <c r="DC424" s="4" t="e">
        <f>#REF!</f>
        <v>#REF!</v>
      </c>
      <c r="DF424" s="4">
        <f t="shared" si="1601"/>
        <v>2.2407828565630739E-5</v>
      </c>
      <c r="DG424" s="4">
        <f t="shared" si="1802"/>
        <v>8.1586127714079559</v>
      </c>
      <c r="DH424" s="4">
        <f t="shared" si="1602"/>
        <v>0.28301384259145501</v>
      </c>
      <c r="DI424" s="4">
        <f t="shared" si="1803"/>
        <v>4.9242420460742977</v>
      </c>
      <c r="DJ424" s="4">
        <f t="shared" si="1804"/>
        <v>6.7395045997114531</v>
      </c>
      <c r="DK424" s="4">
        <f t="shared" si="1603"/>
        <v>7.4031824594414859</v>
      </c>
      <c r="DL424" s="38">
        <f t="shared" si="1604"/>
        <v>480.76417182504525</v>
      </c>
      <c r="DM424" s="4" t="e">
        <f t="shared" si="1805"/>
        <v>#REF!</v>
      </c>
      <c r="DN424" s="4">
        <f t="shared" si="1605"/>
        <v>2.1908902300206643</v>
      </c>
      <c r="DO424" s="4">
        <f t="shared" si="1697"/>
        <v>211.8358367929149</v>
      </c>
      <c r="DS424" s="4">
        <f t="shared" si="1606"/>
        <v>0.85</v>
      </c>
      <c r="DT424" s="4">
        <f t="shared" si="1607"/>
        <v>0.91914893617021276</v>
      </c>
      <c r="DU424" s="4">
        <f t="shared" si="1608"/>
        <v>0.9995510789195714</v>
      </c>
      <c r="DV424" s="4">
        <f t="shared" si="1806"/>
        <v>0.91873631083671248</v>
      </c>
      <c r="DX424" s="4">
        <f t="shared" si="1609"/>
        <v>462.0585014099683</v>
      </c>
      <c r="DY424" s="25">
        <f t="shared" si="1870"/>
        <v>209.66226801364556</v>
      </c>
      <c r="EA424" s="4">
        <f t="shared" si="1871"/>
        <v>0.78092586421120558</v>
      </c>
      <c r="EB424" s="4">
        <f t="shared" si="1610"/>
        <v>8.1586127714079559</v>
      </c>
      <c r="EE424" s="4">
        <f t="shared" si="1611"/>
        <v>78.464542697960056</v>
      </c>
      <c r="EF424" s="4">
        <f t="shared" si="1807"/>
        <v>2.1908902300206643</v>
      </c>
      <c r="EG424" s="4">
        <f t="shared" si="1612"/>
        <v>0.12000993063336024</v>
      </c>
      <c r="EJ424" s="4">
        <f t="shared" si="1808"/>
        <v>0.12000993063336024</v>
      </c>
      <c r="EK424" s="4">
        <f t="shared" si="1613"/>
        <v>0.28254154523477981</v>
      </c>
      <c r="EL424" s="4">
        <f t="shared" si="1809"/>
        <v>4.9209533420740552</v>
      </c>
      <c r="EM424" s="4">
        <f t="shared" si="1810"/>
        <v>6.7383085441162534</v>
      </c>
      <c r="EN424" s="4" t="e">
        <f t="shared" si="1811"/>
        <v>#REF!</v>
      </c>
      <c r="EO424" s="4" t="e">
        <f t="shared" si="1812"/>
        <v>#REF!</v>
      </c>
      <c r="EP424" s="4" t="e">
        <f t="shared" si="1614"/>
        <v>#REF!</v>
      </c>
      <c r="EQ424" s="4" t="e">
        <f t="shared" si="1813"/>
        <v>#REF!</v>
      </c>
      <c r="ER424" s="4" t="e">
        <f t="shared" si="1615"/>
        <v>#REF!</v>
      </c>
      <c r="FA424" s="23" t="e">
        <f t="shared" si="1772"/>
        <v>#REF!</v>
      </c>
      <c r="FB424" s="23" t="e">
        <f t="shared" si="1773"/>
        <v>#REF!</v>
      </c>
      <c r="FC424" s="23">
        <f t="shared" si="1706"/>
        <v>0.8</v>
      </c>
      <c r="FD424" s="23" t="e">
        <f t="shared" si="1774"/>
        <v>#REF!</v>
      </c>
      <c r="FE424" s="23">
        <f t="shared" si="1775"/>
        <v>0.8</v>
      </c>
      <c r="FF424" s="23">
        <f t="shared" si="1776"/>
        <v>0.8</v>
      </c>
      <c r="FG424" s="23">
        <f t="shared" si="1629"/>
        <v>1</v>
      </c>
      <c r="FH424" s="23"/>
      <c r="FR424" s="4">
        <f t="shared" si="1852"/>
        <v>1</v>
      </c>
      <c r="FS424" s="4">
        <f t="shared" si="1853"/>
        <v>0.58038924223974031</v>
      </c>
      <c r="FT424" s="4">
        <f t="shared" si="1854"/>
        <v>0.16766426906761905</v>
      </c>
      <c r="FU424" s="4">
        <f t="shared" si="1855"/>
        <v>415.49543903240379</v>
      </c>
    </row>
    <row r="425" spans="2:177" ht="12" customHeight="1" x14ac:dyDescent="0.3">
      <c r="B425" s="14"/>
      <c r="C425" s="7" t="s">
        <v>572</v>
      </c>
      <c r="D425" s="38">
        <f t="shared" si="1924"/>
        <v>931.0344827586207</v>
      </c>
      <c r="E425" s="38">
        <f>14.92*25.4</f>
        <v>378.96799999999996</v>
      </c>
      <c r="F425" s="38">
        <f>8720/145</f>
        <v>60.137931034482762</v>
      </c>
      <c r="G425" s="38">
        <f t="shared" si="1917"/>
        <v>35.813999999999993</v>
      </c>
      <c r="H425" s="38">
        <f>22.2*25.4</f>
        <v>563.88</v>
      </c>
      <c r="I425" s="38">
        <f>2.8*25.4</f>
        <v>71.11999999999999</v>
      </c>
      <c r="J425" s="39">
        <f>3.3*25.4</f>
        <v>83.82</v>
      </c>
      <c r="K425" s="7">
        <f t="shared" si="1727"/>
        <v>157.09899999999999</v>
      </c>
      <c r="L425" s="38">
        <v>3</v>
      </c>
      <c r="M425" s="4">
        <f t="shared" si="1843"/>
        <v>508</v>
      </c>
      <c r="N425" s="7">
        <f t="shared" ref="N425:N453" si="1947">MIN(I425/G425+0.5, K425/2/G425+0.5)</f>
        <v>2.4858156028368796</v>
      </c>
      <c r="O425" s="7">
        <f t="shared" ref="O425:O453" si="1948">I425/G425+0.5</f>
        <v>2.4858156028368796</v>
      </c>
      <c r="P425" s="38">
        <v>3.8</v>
      </c>
      <c r="Q425" s="4">
        <f t="shared" si="1736"/>
        <v>3.8</v>
      </c>
      <c r="R425" s="4">
        <f t="shared" ref="R425:R453" si="1949">Q425+1</f>
        <v>4.8</v>
      </c>
      <c r="S425" s="7">
        <f t="shared" ref="S425:S453" si="1950">G425*R425^0.5</f>
        <v>78.464542697960056</v>
      </c>
      <c r="V425" s="38">
        <f t="shared" si="1777"/>
        <v>370.34482758620692</v>
      </c>
      <c r="W425" s="4">
        <v>53.7</v>
      </c>
      <c r="X425" s="4">
        <f t="shared" ref="X425:X453" si="1951">CK425</f>
        <v>0.70702684009784134</v>
      </c>
      <c r="Y425" s="38">
        <f t="shared" si="1939"/>
        <v>12.7</v>
      </c>
      <c r="Z425" s="38">
        <v>12</v>
      </c>
      <c r="AA425" s="39">
        <f>4*25.4</f>
        <v>101.6</v>
      </c>
      <c r="AB425" s="39">
        <v>3</v>
      </c>
      <c r="AC425" s="39">
        <f t="shared" si="1940"/>
        <v>2</v>
      </c>
      <c r="AD425" s="7"/>
      <c r="AE425" s="4">
        <f t="shared" ref="AE425:AE453" si="1952">E425</f>
        <v>378.96799999999996</v>
      </c>
      <c r="AF425" s="4">
        <f t="shared" ref="AF425:AF453" si="1953">IF(E425*3&gt;K425+G425, H425, (I425+G425/2)*2+1.5*E425*(2*L425-2))*(3*E425)/(9*E425^2)</f>
        <v>0.49597855227882043</v>
      </c>
      <c r="AG425" s="4">
        <f t="shared" ref="AG425:AG453" si="1954">MIN(10*F425^0.5*E425^1.5,100*3.9*F425^0.5*E425^(5/3))/(PI()/4*G425^2)/L425</f>
        <v>189.30463885208755</v>
      </c>
      <c r="AH425" s="4">
        <f t="shared" ref="AH425:AH453" si="1955">MIN(0.7+0.3*(MIN(I425,M425)+0.5*G425)/1.5/E425,1)</f>
        <v>0.74698391420911525</v>
      </c>
      <c r="AI425" s="4">
        <v>1.25</v>
      </c>
      <c r="AJ425" s="4">
        <f t="shared" si="1878"/>
        <v>2.5</v>
      </c>
      <c r="AK425" s="38">
        <f t="shared" si="1729"/>
        <v>219.1721784510718</v>
      </c>
      <c r="AL425" s="38">
        <f t="shared" si="1616"/>
        <v>219.1721784510718</v>
      </c>
      <c r="AM425" s="38">
        <f t="shared" ref="AM425:AM453" si="1956">IF(F425&lt;50, 0.3*F425^(2/3), 2.12*LN(1+0.1*(F425+8)))</f>
        <v>4.3584878994477556</v>
      </c>
      <c r="AN425" s="38">
        <f t="shared" si="1893"/>
        <v>219.1721784510718</v>
      </c>
      <c r="AO425" s="38">
        <f t="shared" si="1845"/>
        <v>1</v>
      </c>
      <c r="AP425" s="38">
        <f t="shared" si="1894"/>
        <v>2.6592168990896266</v>
      </c>
      <c r="AQ425" s="4">
        <f t="shared" si="1895"/>
        <v>0</v>
      </c>
      <c r="AR425" s="4" t="e">
        <f>#REF!/G425*F425^0.5/0.19</f>
        <v>#REF!</v>
      </c>
      <c r="AS425" s="4">
        <f t="shared" ref="AS425:AS453" si="1957">MIN(0.6+0.4*(O425/N425),2)</f>
        <v>1</v>
      </c>
      <c r="AT425" s="38">
        <f t="shared" ref="AT425:AT453" si="1958">2*F425*N425*P425^0.5*AS425*0.7/0.7</f>
        <v>582.82636074737741</v>
      </c>
      <c r="AU425" s="4">
        <f t="shared" ref="AU425:AU453" si="1959">MAX(1-0.7*Q425/5,0.3)</f>
        <v>0.46800000000000008</v>
      </c>
      <c r="AV425" s="4" t="e">
        <f>AU425*D425*#REF!/(D425*G425/2.75/F425^0.5)</f>
        <v>#REF!</v>
      </c>
      <c r="AW425" s="4" t="e">
        <f t="shared" si="1793"/>
        <v>#REF!</v>
      </c>
      <c r="AY425" s="4">
        <f t="shared" ref="AY425:AY453" si="1960">MIN(1.5, 0.75+0.25*MIN(3,MAX(1,I425/G425))+0.4*MIN(1,(40*2*PI()*Y425^2/4/AA425/L425)/G425))</f>
        <v>1.5</v>
      </c>
      <c r="AZ425" s="4" t="e">
        <f>(3*#REF!+30)*AY425*F425^0.5</f>
        <v>#REF!</v>
      </c>
      <c r="BB425" s="4">
        <f t="shared" ref="BB425:BB453" si="1961">3.4/PI()^0.5*F425*N425*Q425^0.5*AS425</f>
        <v>559.00175497621922</v>
      </c>
      <c r="BC425" s="4">
        <f t="shared" si="1822"/>
        <v>0</v>
      </c>
      <c r="BD425" s="4">
        <f t="shared" si="1794"/>
        <v>0</v>
      </c>
      <c r="BL425" s="4">
        <f t="shared" ref="BL425:BL453" si="1962">IF(K425=0,I425,MIN(K425/2,I425))</f>
        <v>71.11999999999999</v>
      </c>
      <c r="BP425" s="9"/>
      <c r="BR425" s="9"/>
      <c r="BS425" s="9"/>
      <c r="BT425" s="9">
        <f t="shared" ref="BT425:BT453" si="1963">IF(K425=0,MIN(I425,J425),MIN(K425/2,I425,J425))</f>
        <v>71.11999999999999</v>
      </c>
      <c r="BU425" s="9">
        <f t="shared" ref="BU425:BU453" si="1964">MAX(K425/2,I425)</f>
        <v>78.549499999999995</v>
      </c>
      <c r="BV425" s="9">
        <f t="shared" ref="BV425:BV453" si="1965">(BT425/G425)^0.5*(BU425/BT425)^0.15</f>
        <v>1.4303496396121349</v>
      </c>
      <c r="BW425" s="40">
        <f t="shared" si="1738"/>
        <v>20</v>
      </c>
      <c r="BX425" s="9">
        <f t="shared" ref="BX425:BX453" si="1966">MIN(PI()*Y425^2/4*Z425*2/L425/G425/MAX(0.01,AA425),0.05)</f>
        <v>0.05</v>
      </c>
      <c r="BY425" s="9">
        <f t="shared" si="1795"/>
        <v>0.8</v>
      </c>
      <c r="BZ425" s="9">
        <f t="shared" ref="BZ425:BZ453" si="1967">MIN(1,(25/G425)^0.3)</f>
        <v>0.89777220146327208</v>
      </c>
      <c r="CA425" s="9">
        <f t="shared" ref="CA425:CA453" si="1968">IF(D425&gt;=800,0.68,IF(D425&gt;=700,0.75-(D425-700)*0.07/100,IF(D425&gt;=600,0.85-(D425-600)*0.1/100,IF(D425&gt;=500,1-(D425-500)*0.15/100,1.2-(D425-400)*0.2/100))))</f>
        <v>0.68</v>
      </c>
      <c r="CB425" s="9">
        <f t="shared" ref="CB425:CB453" si="1969">1.75*BZ425*CA425*(F425/25)^0.5</f>
        <v>1.656980327255414</v>
      </c>
      <c r="CC425" s="9">
        <f t="shared" ref="CC425:CC453" si="1970">MIN((BV425+BY425)*CB425,2.5*CB425,F425^0.5)</f>
        <v>3.6956454757385102</v>
      </c>
      <c r="CD425" s="40">
        <v>1</v>
      </c>
      <c r="CE425" s="9" t="e">
        <f>4*CC425*#REF!+60*CC425</f>
        <v>#REF!</v>
      </c>
      <c r="CG425" s="4" t="e">
        <f t="shared" si="1796"/>
        <v>#REF!</v>
      </c>
      <c r="CH425" s="4" t="e">
        <f t="shared" si="1797"/>
        <v>#REF!</v>
      </c>
      <c r="CI425" s="4" t="e">
        <f t="shared" si="1798"/>
        <v>#REF!</v>
      </c>
      <c r="CJ425" s="4" t="e">
        <f t="shared" si="1799"/>
        <v>#REF!</v>
      </c>
      <c r="CK425" s="4">
        <f t="shared" si="1800"/>
        <v>0.70702684009784134</v>
      </c>
      <c r="CL425" s="4">
        <f t="shared" si="1801"/>
        <v>0.73678053201601534</v>
      </c>
      <c r="CM425" s="4">
        <f t="shared" si="1699"/>
        <v>0.8346761269586771</v>
      </c>
      <c r="CN425" s="4">
        <f t="shared" si="1739"/>
        <v>12</v>
      </c>
      <c r="CU425" s="4" t="e">
        <f t="shared" si="1941"/>
        <v>#REF!</v>
      </c>
      <c r="CV425" s="4" t="e">
        <f t="shared" si="1942"/>
        <v>#REF!</v>
      </c>
      <c r="CW425" s="4" t="e">
        <f t="shared" si="1943"/>
        <v>#REF!</v>
      </c>
      <c r="CX425" s="4">
        <f t="shared" si="1944"/>
        <v>0.8346761269586771</v>
      </c>
      <c r="CY425" s="4">
        <f t="shared" si="1945"/>
        <v>0.70702684009784134</v>
      </c>
      <c r="CZ425" s="4">
        <f t="shared" si="1946"/>
        <v>0.73678053201601534</v>
      </c>
      <c r="DC425" s="4" t="e">
        <f>#REF!</f>
        <v>#REF!</v>
      </c>
      <c r="DF425" s="4">
        <f t="shared" ref="DF425:DF453" si="1971">E425/4/(1-0.3*(F425/30)^0.5)/200000/G425</f>
        <v>2.2993452695956715E-5</v>
      </c>
      <c r="DG425" s="4">
        <f t="shared" si="1802"/>
        <v>8.9983064543138589</v>
      </c>
      <c r="DH425" s="4">
        <f t="shared" ref="DH425:DH453" si="1972">DO425*S425/257/F425/P425</f>
        <v>0.29281523538066689</v>
      </c>
      <c r="DI425" s="4">
        <f t="shared" si="1803"/>
        <v>5.505518770359167</v>
      </c>
      <c r="DJ425" s="4">
        <f t="shared" si="1804"/>
        <v>7.4603727031590674</v>
      </c>
      <c r="DK425" s="4">
        <f t="shared" ref="DK425:DK453" si="1973">MAX(DG425/2, (4-DF425*(8*S425*(DI425-DJ425)+6*E425*DJ425))/(4+DF425*E425*DG425)*DG425)</f>
        <v>8.026987180468911</v>
      </c>
      <c r="DL425" s="38">
        <f t="shared" ref="DL425:DL453" si="1974">MIN(1/G425*(4*S425*(DI425-DJ425)+(3*DJ425+DK425)*E425)+DO425 -EV425,MAX(D425,V425))</f>
        <v>523.80589615941176</v>
      </c>
      <c r="DM425" s="4" t="e">
        <f t="shared" si="1805"/>
        <v>#REF!</v>
      </c>
      <c r="DN425" s="4">
        <f t="shared" ref="DN425:DN453" si="1975">S425/G425</f>
        <v>2.1908902300206643</v>
      </c>
      <c r="DO425" s="4">
        <f t="shared" si="1697"/>
        <v>219.1721784510718</v>
      </c>
      <c r="DS425" s="4">
        <f t="shared" ref="DS425:DS453" si="1976">IF(J425&gt;1*G425,0.85,1)</f>
        <v>0.85</v>
      </c>
      <c r="DT425" s="4">
        <f t="shared" ref="DT425:DT453" si="1977">MIN(1,MAX(0.7,(1-0.1*(BL425-1*G425)/G425)))</f>
        <v>0.90141843971631208</v>
      </c>
      <c r="DU425" s="4">
        <f t="shared" ref="DU425:DU453" si="1978">MIN(1,MAX(0.7,1-0.3*(PI()*Y425^2/4*AC425*2-0.25*PI()/4*G425^2)/(PI()/4*G425^2)))</f>
        <v>0.92410215783914285</v>
      </c>
      <c r="DV425" s="4">
        <f t="shared" si="1806"/>
        <v>0.83300272525783725</v>
      </c>
      <c r="DX425" s="4">
        <f t="shared" ref="DX425:DX453" si="1979">MIN(DG425/G425*3*E425+DY425-EV425,MAX(D425,V425))</f>
        <v>502.65284096588584</v>
      </c>
      <c r="DY425" s="25">
        <f t="shared" si="1870"/>
        <v>217.00447437362462</v>
      </c>
      <c r="EA425" s="4">
        <f t="shared" si="1871"/>
        <v>0.70805231646916167</v>
      </c>
      <c r="EB425" s="4">
        <f t="shared" ref="EB425:EB453" si="1980">IF(G425&lt;22.2,1.1*5*(F425/30)^0.5,IF(G425&gt;=31.8,0.9*5*(F425/30)^0.5,1*5*(F425/30)^0.5))/DS425/DV425</f>
        <v>8.9983064543138589</v>
      </c>
      <c r="EE425" s="4">
        <f t="shared" ref="EE425:EE453" si="1981">EF425*G425</f>
        <v>78.464542697960056</v>
      </c>
      <c r="EF425" s="4">
        <f t="shared" si="1807"/>
        <v>2.1908902300206643</v>
      </c>
      <c r="EG425" s="4">
        <f t="shared" ref="EG425:EG453" si="1982">MIN(DO425)/(4700*F425^0.5)/Q425*EE425</f>
        <v>0.12416613888795661</v>
      </c>
      <c r="EJ425" s="4">
        <f t="shared" si="1808"/>
        <v>0.12416613888795661</v>
      </c>
      <c r="EK425" s="4">
        <f t="shared" ref="EK425:EK453" si="1983">MIN(0.999, EJ425/(0.3*(F425/30)^0.5))</f>
        <v>0.29232658132615785</v>
      </c>
      <c r="EL425" s="4">
        <f t="shared" si="1809"/>
        <v>5.5018418549203876</v>
      </c>
      <c r="EM425" s="4">
        <f t="shared" si="1810"/>
        <v>7.4590215919052358</v>
      </c>
      <c r="EN425" s="4" t="e">
        <f t="shared" si="1811"/>
        <v>#REF!</v>
      </c>
      <c r="EO425" s="4" t="e">
        <f t="shared" si="1812"/>
        <v>#REF!</v>
      </c>
      <c r="EP425" s="4" t="e">
        <f t="shared" ref="EP425:EP453" si="1984">EO425/(1-0.3*(F425/30)^0.5)/200000/G425</f>
        <v>#REF!</v>
      </c>
      <c r="EQ425" s="4" t="e">
        <f t="shared" si="1813"/>
        <v>#REF!</v>
      </c>
      <c r="ER425" s="4" t="e">
        <f t="shared" ref="ER425:ER453" si="1985">MIN(4/G425*(1*EL425*EE425+EM425*EN425+EO425*EQ425)+DO425,MAX(D425,V425))</f>
        <v>#REF!</v>
      </c>
      <c r="FA425" s="23" t="e">
        <f t="shared" si="1772"/>
        <v>#REF!</v>
      </c>
      <c r="FB425" s="23" t="e">
        <f t="shared" si="1773"/>
        <v>#REF!</v>
      </c>
      <c r="FC425" s="23">
        <f t="shared" si="1706"/>
        <v>1</v>
      </c>
      <c r="FD425" s="23" t="e">
        <f t="shared" si="1774"/>
        <v>#REF!</v>
      </c>
      <c r="FE425" s="23">
        <f t="shared" si="1775"/>
        <v>0.8</v>
      </c>
      <c r="FF425" s="23">
        <f t="shared" si="1776"/>
        <v>0.8</v>
      </c>
      <c r="FG425" s="23">
        <f t="shared" si="1629"/>
        <v>1</v>
      </c>
      <c r="FH425" s="23"/>
      <c r="FR425" s="4">
        <f t="shared" si="1852"/>
        <v>1</v>
      </c>
      <c r="FS425" s="4">
        <f t="shared" si="1853"/>
        <v>0.55770140699820026</v>
      </c>
      <c r="FT425" s="4">
        <f t="shared" si="1854"/>
        <v>0.25149640360142861</v>
      </c>
      <c r="FU425" s="4">
        <f t="shared" si="1855"/>
        <v>443.6988379380615</v>
      </c>
    </row>
    <row r="426" spans="2:177" ht="12" customHeight="1" x14ac:dyDescent="0.3">
      <c r="B426" s="14"/>
      <c r="C426" s="48" t="s">
        <v>573</v>
      </c>
      <c r="D426" s="38">
        <f>115.9/0.145</f>
        <v>799.31034482758628</v>
      </c>
      <c r="E426" s="38">
        <f>9.69*25.4</f>
        <v>246.12599999999998</v>
      </c>
      <c r="F426" s="38">
        <f>8800/145</f>
        <v>60.689655172413794</v>
      </c>
      <c r="G426" s="38">
        <f t="shared" si="1885"/>
        <v>25.4</v>
      </c>
      <c r="H426" s="38">
        <f>16.9*25.4</f>
        <v>429.25999999999993</v>
      </c>
      <c r="I426" s="38">
        <f>2.5*25.4</f>
        <v>63.5</v>
      </c>
      <c r="J426" s="39">
        <f>2.95*25.4</f>
        <v>74.930000000000007</v>
      </c>
      <c r="K426" s="7">
        <f t="shared" si="1727"/>
        <v>251.45999999999992</v>
      </c>
      <c r="L426" s="38">
        <v>2</v>
      </c>
      <c r="M426" s="4">
        <f t="shared" si="1843"/>
        <v>508</v>
      </c>
      <c r="N426" s="7">
        <f t="shared" si="1947"/>
        <v>3</v>
      </c>
      <c r="O426" s="7">
        <f t="shared" si="1948"/>
        <v>3</v>
      </c>
      <c r="P426" s="38">
        <v>12.9</v>
      </c>
      <c r="Q426" s="4">
        <f t="shared" si="1736"/>
        <v>12.9</v>
      </c>
      <c r="R426" s="4">
        <f t="shared" si="1949"/>
        <v>13.9</v>
      </c>
      <c r="S426" s="7">
        <f t="shared" si="1950"/>
        <v>94.698067562120812</v>
      </c>
      <c r="V426" s="38">
        <f t="shared" si="1777"/>
        <v>743.44827586206895</v>
      </c>
      <c r="W426" s="4">
        <v>107.8</v>
      </c>
      <c r="X426" s="4">
        <f t="shared" si="1951"/>
        <v>1.0814969925658282</v>
      </c>
      <c r="Y426" s="38"/>
      <c r="Z426" s="38"/>
      <c r="AA426" s="39">
        <v>1</v>
      </c>
      <c r="AB426" s="39"/>
      <c r="AC426" s="39"/>
      <c r="AD426" s="7"/>
      <c r="AE426" s="4">
        <f t="shared" si="1952"/>
        <v>246.12599999999998</v>
      </c>
      <c r="AF426" s="4">
        <f t="shared" si="1953"/>
        <v>0.58135534915720666</v>
      </c>
      <c r="AG426" s="4">
        <f t="shared" si="1954"/>
        <v>296.82895641194636</v>
      </c>
      <c r="AH426" s="4">
        <f t="shared" si="1955"/>
        <v>0.76191950464396285</v>
      </c>
      <c r="AI426" s="4">
        <v>1.25</v>
      </c>
      <c r="AJ426" s="4">
        <f t="shared" si="1878"/>
        <v>2.5</v>
      </c>
      <c r="AK426" s="38">
        <f t="shared" si="1729"/>
        <v>410.87247777176111</v>
      </c>
      <c r="AL426" s="38">
        <f t="shared" ref="AL426:AL453" si="1986">AK426</f>
        <v>410.87247777176111</v>
      </c>
      <c r="AM426" s="38">
        <f t="shared" si="1956"/>
        <v>4.3734044077759826</v>
      </c>
      <c r="AN426" s="38">
        <f t="shared" si="1893"/>
        <v>410.87247777176123</v>
      </c>
      <c r="AO426" s="38">
        <f t="shared" si="1845"/>
        <v>0.99999999999999978</v>
      </c>
      <c r="AP426" s="38">
        <f t="shared" si="1894"/>
        <v>3.183125226035874</v>
      </c>
      <c r="AQ426" s="4">
        <f t="shared" si="1895"/>
        <v>0</v>
      </c>
      <c r="AR426" s="4" t="e">
        <f>#REF!/G426*F426^0.5/0.19</f>
        <v>#REF!</v>
      </c>
      <c r="AS426" s="4">
        <f t="shared" si="1957"/>
        <v>1</v>
      </c>
      <c r="AT426" s="38">
        <f t="shared" si="1958"/>
        <v>1307.8585486791571</v>
      </c>
      <c r="AU426" s="4">
        <f t="shared" si="1959"/>
        <v>0.3</v>
      </c>
      <c r="AV426" s="4" t="e">
        <f>AU426*D426*#REF!/(D426*G426/2.75/F426^0.5)</f>
        <v>#REF!</v>
      </c>
      <c r="AW426" s="4" t="e">
        <f t="shared" si="1793"/>
        <v>#REF!</v>
      </c>
      <c r="AY426" s="4">
        <f t="shared" si="1960"/>
        <v>1.375</v>
      </c>
      <c r="AZ426" s="4" t="e">
        <f>(3*#REF!+30)*AY426*F426^0.5</f>
        <v>#REF!</v>
      </c>
      <c r="BB426" s="4">
        <f t="shared" si="1961"/>
        <v>1254.3962888617332</v>
      </c>
      <c r="BC426" s="4">
        <f t="shared" si="1822"/>
        <v>0</v>
      </c>
      <c r="BD426" s="4">
        <f t="shared" si="1794"/>
        <v>0</v>
      </c>
      <c r="BL426" s="4">
        <f t="shared" si="1962"/>
        <v>63.5</v>
      </c>
      <c r="BP426" s="9"/>
      <c r="BR426" s="9"/>
      <c r="BS426" s="9"/>
      <c r="BT426" s="9">
        <f t="shared" si="1963"/>
        <v>63.5</v>
      </c>
      <c r="BU426" s="9">
        <f t="shared" si="1964"/>
        <v>125.72999999999996</v>
      </c>
      <c r="BV426" s="9">
        <f t="shared" si="1965"/>
        <v>1.7517405482385959</v>
      </c>
      <c r="BW426" s="40">
        <f t="shared" si="1738"/>
        <v>0</v>
      </c>
      <c r="BX426" s="9">
        <f t="shared" si="1966"/>
        <v>0</v>
      </c>
      <c r="BY426" s="9">
        <f t="shared" si="1795"/>
        <v>0</v>
      </c>
      <c r="BZ426" s="9">
        <f t="shared" si="1967"/>
        <v>0.99524931562137331</v>
      </c>
      <c r="CA426" s="9">
        <f t="shared" si="1968"/>
        <v>0.68048275862068963</v>
      </c>
      <c r="CB426" s="9">
        <f t="shared" si="1969"/>
        <v>1.8466066401443861</v>
      </c>
      <c r="CC426" s="9">
        <f t="shared" si="1970"/>
        <v>3.2347757281875587</v>
      </c>
      <c r="CD426" s="40">
        <v>1</v>
      </c>
      <c r="CE426" s="9" t="e">
        <f>4*CC426*#REF!+60*CC426</f>
        <v>#REF!</v>
      </c>
      <c r="CG426" s="4" t="e">
        <f t="shared" si="1796"/>
        <v>#REF!</v>
      </c>
      <c r="CH426" s="4" t="e">
        <f t="shared" si="1797"/>
        <v>#REF!</v>
      </c>
      <c r="CI426" s="4" t="e">
        <f t="shared" si="1798"/>
        <v>#REF!</v>
      </c>
      <c r="CJ426" s="4" t="e">
        <f t="shared" si="1799"/>
        <v>#REF!</v>
      </c>
      <c r="CK426" s="4">
        <f t="shared" si="1800"/>
        <v>1.0814969925658282</v>
      </c>
      <c r="CL426" s="4">
        <f t="shared" si="1801"/>
        <v>1.0734511207027237</v>
      </c>
      <c r="CM426" s="4">
        <f t="shared" si="1699"/>
        <v>1.378337467570502</v>
      </c>
      <c r="CN426" s="4">
        <f t="shared" si="1739"/>
        <v>0</v>
      </c>
      <c r="CO426" s="4" t="e">
        <f t="shared" ref="CO426:CO427" si="1987">CG426</f>
        <v>#REF!</v>
      </c>
      <c r="CP426" s="4" t="e">
        <f t="shared" ref="CP426:CP427" si="1988">CH426</f>
        <v>#REF!</v>
      </c>
      <c r="CQ426" s="4" t="e">
        <f t="shared" ref="CQ426:CQ427" si="1989">CJ426</f>
        <v>#REF!</v>
      </c>
      <c r="CR426" s="4">
        <f t="shared" ref="CR426:CR427" si="1990">CM426</f>
        <v>1.378337467570502</v>
      </c>
      <c r="CS426" s="4">
        <f t="shared" ref="CS426:CS427" si="1991">CK426</f>
        <v>1.0814969925658282</v>
      </c>
      <c r="CT426" s="4">
        <f t="shared" ref="CT426:CT427" si="1992">CL426</f>
        <v>1.0734511207027237</v>
      </c>
      <c r="DC426" s="4" t="e">
        <f>#REF!</f>
        <v>#REF!</v>
      </c>
      <c r="DF426" s="4">
        <f t="shared" si="1971"/>
        <v>2.1127512369735255E-5</v>
      </c>
      <c r="DG426" s="4">
        <f t="shared" si="1802"/>
        <v>9.8430311725779873</v>
      </c>
      <c r="DH426" s="4">
        <f t="shared" si="1972"/>
        <v>0.19337960299149198</v>
      </c>
      <c r="DI426" s="4">
        <f t="shared" si="1803"/>
        <v>5.1014440303118125</v>
      </c>
      <c r="DJ426" s="4">
        <f t="shared" si="1804"/>
        <v>7.8427012828187666</v>
      </c>
      <c r="DK426" s="4">
        <f t="shared" si="1973"/>
        <v>9.2307511883463249</v>
      </c>
      <c r="DL426" s="38">
        <f t="shared" si="1974"/>
        <v>687.42519024325156</v>
      </c>
      <c r="DM426" s="4" t="e">
        <f t="shared" si="1805"/>
        <v>#REF!</v>
      </c>
      <c r="DN426" s="4">
        <f t="shared" si="1975"/>
        <v>3.7282703764614493</v>
      </c>
      <c r="DO426" s="4">
        <f t="shared" si="1697"/>
        <v>410.87247777176123</v>
      </c>
      <c r="DS426" s="4">
        <f t="shared" si="1976"/>
        <v>0.85</v>
      </c>
      <c r="DT426" s="4">
        <f t="shared" si="1977"/>
        <v>0.85</v>
      </c>
      <c r="DU426" s="4">
        <f t="shared" si="1978"/>
        <v>1</v>
      </c>
      <c r="DV426" s="4">
        <f t="shared" si="1806"/>
        <v>0.85</v>
      </c>
      <c r="DX426" s="4">
        <f t="shared" si="1979"/>
        <v>692.57766983873307</v>
      </c>
      <c r="DY426" s="25">
        <f t="shared" si="1870"/>
        <v>406.44075365189104</v>
      </c>
      <c r="EA426" s="4">
        <f t="shared" si="1871"/>
        <v>0.72249999999999992</v>
      </c>
      <c r="EB426" s="4">
        <f t="shared" si="1980"/>
        <v>9.8430311725779873</v>
      </c>
      <c r="EE426" s="4">
        <f t="shared" si="1981"/>
        <v>94.698067562120812</v>
      </c>
      <c r="EF426" s="4">
        <f t="shared" si="1807"/>
        <v>3.7282703764614498</v>
      </c>
      <c r="EG426" s="4">
        <f t="shared" si="1982"/>
        <v>8.237648650767096E-2</v>
      </c>
      <c r="EJ426" s="4">
        <f t="shared" si="1808"/>
        <v>8.237648650767096E-2</v>
      </c>
      <c r="EK426" s="4">
        <f t="shared" si="1983"/>
        <v>0.19305688847515784</v>
      </c>
      <c r="EL426" s="4">
        <f t="shared" si="1809"/>
        <v>5.0980369802049079</v>
      </c>
      <c r="EM426" s="4">
        <f t="shared" si="1810"/>
        <v>7.8416043118474654</v>
      </c>
      <c r="EN426" s="4" t="e">
        <f t="shared" si="1811"/>
        <v>#REF!</v>
      </c>
      <c r="EO426" s="4" t="e">
        <f t="shared" si="1812"/>
        <v>#REF!</v>
      </c>
      <c r="EP426" s="4" t="e">
        <f t="shared" si="1984"/>
        <v>#REF!</v>
      </c>
      <c r="EQ426" s="4" t="e">
        <f t="shared" si="1813"/>
        <v>#REF!</v>
      </c>
      <c r="ER426" s="4" t="e">
        <f t="shared" si="1985"/>
        <v>#REF!</v>
      </c>
      <c r="EU426" s="4">
        <f>5.25*25.4</f>
        <v>133.35</v>
      </c>
      <c r="FA426" s="23" t="e">
        <f t="shared" si="1772"/>
        <v>#REF!</v>
      </c>
      <c r="FB426" s="23" t="e">
        <f t="shared" si="1773"/>
        <v>#REF!</v>
      </c>
      <c r="FC426" s="23">
        <f t="shared" si="1706"/>
        <v>1.4</v>
      </c>
      <c r="FD426" s="23" t="e">
        <f t="shared" si="1774"/>
        <v>#REF!</v>
      </c>
      <c r="FE426" s="23">
        <f t="shared" si="1775"/>
        <v>1.2</v>
      </c>
      <c r="FF426" s="23">
        <f t="shared" si="1776"/>
        <v>1.2</v>
      </c>
      <c r="FG426" s="23">
        <f t="shared" si="1629"/>
        <v>0</v>
      </c>
      <c r="FH426" s="23"/>
      <c r="FR426" s="4">
        <f t="shared" si="1852"/>
        <v>1</v>
      </c>
      <c r="FS426" s="4">
        <f t="shared" si="1853"/>
        <v>0.5</v>
      </c>
      <c r="FT426" s="4">
        <f t="shared" si="1854"/>
        <v>0</v>
      </c>
      <c r="FU426" s="4">
        <f t="shared" si="1855"/>
        <v>539.3804444513089</v>
      </c>
    </row>
    <row r="427" spans="2:177" ht="12" customHeight="1" x14ac:dyDescent="0.3">
      <c r="B427" s="14"/>
      <c r="C427" s="7" t="s">
        <v>574</v>
      </c>
      <c r="D427" s="38">
        <f>115.9/0.145</f>
        <v>799.31034482758628</v>
      </c>
      <c r="E427" s="38">
        <f>8.25*25.4</f>
        <v>209.54999999999998</v>
      </c>
      <c r="F427" s="38">
        <f>8800/145</f>
        <v>60.689655172413794</v>
      </c>
      <c r="G427" s="38">
        <f t="shared" si="1885"/>
        <v>25.4</v>
      </c>
      <c r="H427" s="38">
        <f>17.3*25.4</f>
        <v>439.42</v>
      </c>
      <c r="I427" s="38">
        <f>2.6*25.4</f>
        <v>66.039999999999992</v>
      </c>
      <c r="J427" s="39">
        <f>3.3*25.4</f>
        <v>83.82</v>
      </c>
      <c r="K427" s="7">
        <f t="shared" si="1727"/>
        <v>256.54000000000002</v>
      </c>
      <c r="L427" s="38">
        <v>2</v>
      </c>
      <c r="M427" s="4">
        <f t="shared" si="1843"/>
        <v>508</v>
      </c>
      <c r="N427" s="7">
        <f t="shared" si="1947"/>
        <v>3.0999999999999996</v>
      </c>
      <c r="O427" s="7">
        <f t="shared" si="1948"/>
        <v>3.0999999999999996</v>
      </c>
      <c r="P427" s="38">
        <v>14.9</v>
      </c>
      <c r="Q427" s="4">
        <f t="shared" si="1736"/>
        <v>14.9</v>
      </c>
      <c r="R427" s="4">
        <f t="shared" si="1949"/>
        <v>15.9</v>
      </c>
      <c r="S427" s="7">
        <f t="shared" si="1950"/>
        <v>101.28200234987457</v>
      </c>
      <c r="V427" s="38">
        <f t="shared" si="1777"/>
        <v>618.62068965517244</v>
      </c>
      <c r="W427" s="4">
        <v>89.7</v>
      </c>
      <c r="X427" s="4">
        <f t="shared" si="1951"/>
        <v>0.99576500752813224</v>
      </c>
      <c r="Y427" s="38"/>
      <c r="Z427" s="38"/>
      <c r="AA427" s="39">
        <v>1</v>
      </c>
      <c r="AB427" s="39"/>
      <c r="AC427" s="39"/>
      <c r="AD427" s="7"/>
      <c r="AE427" s="4">
        <f t="shared" si="1952"/>
        <v>209.54999999999998</v>
      </c>
      <c r="AF427" s="4">
        <f t="shared" si="1953"/>
        <v>0.69898989898989905</v>
      </c>
      <c r="AG427" s="4">
        <f t="shared" si="1954"/>
        <v>233.18548975839079</v>
      </c>
      <c r="AH427" s="4">
        <f t="shared" si="1955"/>
        <v>0.77515151515151515</v>
      </c>
      <c r="AI427" s="4">
        <v>1.25</v>
      </c>
      <c r="AJ427" s="4">
        <f t="shared" si="1878"/>
        <v>2.5</v>
      </c>
      <c r="AK427" s="38">
        <f t="shared" si="1729"/>
        <v>394.82900032422606</v>
      </c>
      <c r="AL427" s="38">
        <f t="shared" si="1986"/>
        <v>394.82900032422606</v>
      </c>
      <c r="AM427" s="38">
        <f t="shared" si="1956"/>
        <v>4.3734044077759826</v>
      </c>
      <c r="AN427" s="38">
        <f t="shared" si="1893"/>
        <v>394.82900032422566</v>
      </c>
      <c r="AO427" s="38">
        <f t="shared" si="1845"/>
        <v>1.0000000000000011</v>
      </c>
      <c r="AP427" s="38">
        <f t="shared" si="1894"/>
        <v>3.6786667707318781</v>
      </c>
      <c r="AQ427" s="4">
        <f t="shared" si="1895"/>
        <v>0</v>
      </c>
      <c r="AR427" s="4" t="e">
        <f>#REF!/G427*F427^0.5/0.19</f>
        <v>#REF!</v>
      </c>
      <c r="AS427" s="4">
        <f t="shared" si="1957"/>
        <v>1</v>
      </c>
      <c r="AT427" s="38">
        <f t="shared" si="1958"/>
        <v>1452.4443236140148</v>
      </c>
      <c r="AU427" s="4">
        <f t="shared" si="1959"/>
        <v>0.3</v>
      </c>
      <c r="AV427" s="4" t="e">
        <f>AU427*D427*#REF!/(D427*G427/2.75/F427^0.5)</f>
        <v>#REF!</v>
      </c>
      <c r="AW427" s="4" t="e">
        <f t="shared" si="1793"/>
        <v>#REF!</v>
      </c>
      <c r="AY427" s="4">
        <f t="shared" si="1960"/>
        <v>1.4</v>
      </c>
      <c r="AZ427" s="4" t="e">
        <f>(3*#REF!+30)*AY427*F427^0.5</f>
        <v>#REF!</v>
      </c>
      <c r="BB427" s="4">
        <f t="shared" si="1961"/>
        <v>1393.0717287123591</v>
      </c>
      <c r="BC427" s="4">
        <f t="shared" si="1822"/>
        <v>0</v>
      </c>
      <c r="BD427" s="4">
        <f t="shared" si="1794"/>
        <v>0</v>
      </c>
      <c r="BL427" s="4">
        <f t="shared" si="1962"/>
        <v>66.039999999999992</v>
      </c>
      <c r="BP427" s="9"/>
      <c r="BR427" s="9"/>
      <c r="BS427" s="9"/>
      <c r="BT427" s="9">
        <f t="shared" si="1963"/>
        <v>66.039999999999992</v>
      </c>
      <c r="BU427" s="9">
        <f t="shared" si="1964"/>
        <v>128.27000000000001</v>
      </c>
      <c r="BV427" s="9">
        <f t="shared" si="1965"/>
        <v>1.7812889692205971</v>
      </c>
      <c r="BW427" s="40">
        <f t="shared" si="1738"/>
        <v>0</v>
      </c>
      <c r="BX427" s="9">
        <f t="shared" si="1966"/>
        <v>0</v>
      </c>
      <c r="BY427" s="9">
        <f t="shared" si="1795"/>
        <v>0</v>
      </c>
      <c r="BZ427" s="9">
        <f t="shared" si="1967"/>
        <v>0.99524931562137331</v>
      </c>
      <c r="CA427" s="9">
        <f t="shared" si="1968"/>
        <v>0.68048275862068963</v>
      </c>
      <c r="CB427" s="9">
        <f t="shared" si="1969"/>
        <v>1.8466066401443861</v>
      </c>
      <c r="CC427" s="9">
        <f t="shared" si="1970"/>
        <v>3.2893400385787035</v>
      </c>
      <c r="CD427" s="40">
        <v>1</v>
      </c>
      <c r="CE427" s="9" t="e">
        <f>4*CC427*#REF!+60*CC427</f>
        <v>#REF!</v>
      </c>
      <c r="CG427" s="4" t="e">
        <f t="shared" si="1796"/>
        <v>#REF!</v>
      </c>
      <c r="CH427" s="4" t="e">
        <f t="shared" si="1797"/>
        <v>#REF!</v>
      </c>
      <c r="CI427" s="4" t="e">
        <f t="shared" si="1798"/>
        <v>#REF!</v>
      </c>
      <c r="CJ427" s="4" t="e">
        <f t="shared" si="1799"/>
        <v>#REF!</v>
      </c>
      <c r="CK427" s="4">
        <f t="shared" si="1800"/>
        <v>0.99576500752813224</v>
      </c>
      <c r="CL427" s="4">
        <f t="shared" si="1801"/>
        <v>0.97228115444619168</v>
      </c>
      <c r="CM427" s="4">
        <f t="shared" si="1699"/>
        <v>1.3470976313599901</v>
      </c>
      <c r="CN427" s="4">
        <f t="shared" si="1739"/>
        <v>0</v>
      </c>
      <c r="CO427" s="4" t="e">
        <f t="shared" si="1987"/>
        <v>#REF!</v>
      </c>
      <c r="CP427" s="4" t="e">
        <f t="shared" si="1988"/>
        <v>#REF!</v>
      </c>
      <c r="CQ427" s="4" t="e">
        <f t="shared" si="1989"/>
        <v>#REF!</v>
      </c>
      <c r="CR427" s="4">
        <f t="shared" si="1990"/>
        <v>1.3470976313599901</v>
      </c>
      <c r="CS427" s="4">
        <f t="shared" si="1991"/>
        <v>0.99576500752813224</v>
      </c>
      <c r="CT427" s="4">
        <f t="shared" si="1992"/>
        <v>0.97228115444619168</v>
      </c>
      <c r="DC427" s="4" t="e">
        <f>#REF!</f>
        <v>#REF!</v>
      </c>
      <c r="DF427" s="4">
        <f t="shared" si="1971"/>
        <v>1.7987820129031567E-5</v>
      </c>
      <c r="DG427" s="4">
        <f t="shared" si="1802"/>
        <v>9.9602101151086764</v>
      </c>
      <c r="DH427" s="4">
        <f t="shared" si="1972"/>
        <v>0.17207083308907464</v>
      </c>
      <c r="DI427" s="4">
        <f t="shared" si="1803"/>
        <v>4.926646535132214</v>
      </c>
      <c r="DJ427" s="4">
        <f t="shared" si="1804"/>
        <v>7.8616783602674873</v>
      </c>
      <c r="DK427" s="4">
        <f t="shared" si="1973"/>
        <v>9.5345059053681016</v>
      </c>
      <c r="DL427" s="38">
        <f t="shared" si="1974"/>
        <v>621.25168586795837</v>
      </c>
      <c r="DM427" s="4" t="e">
        <f t="shared" si="1805"/>
        <v>#REF!</v>
      </c>
      <c r="DN427" s="4">
        <f t="shared" si="1975"/>
        <v>3.9874804074753771</v>
      </c>
      <c r="DO427" s="4">
        <f t="shared" si="1697"/>
        <v>394.82900032422566</v>
      </c>
      <c r="DS427" s="4">
        <f t="shared" si="1976"/>
        <v>0.85</v>
      </c>
      <c r="DT427" s="4">
        <f t="shared" si="1977"/>
        <v>0.84000000000000008</v>
      </c>
      <c r="DU427" s="4">
        <f t="shared" si="1978"/>
        <v>1</v>
      </c>
      <c r="DV427" s="4">
        <f t="shared" si="1806"/>
        <v>0.84000000000000008</v>
      </c>
      <c r="DX427" s="4">
        <f t="shared" si="1979"/>
        <v>636.25699914705933</v>
      </c>
      <c r="DY427" s="25">
        <f t="shared" si="1870"/>
        <v>389.74179879811953</v>
      </c>
      <c r="EA427" s="4">
        <f t="shared" si="1871"/>
        <v>0.71400000000000008</v>
      </c>
      <c r="EB427" s="4">
        <f t="shared" si="1980"/>
        <v>9.9602101151086764</v>
      </c>
      <c r="EE427" s="4">
        <f t="shared" si="1981"/>
        <v>101.28200234987457</v>
      </c>
      <c r="EF427" s="4">
        <f t="shared" si="1807"/>
        <v>3.9874804074753771</v>
      </c>
      <c r="EG427" s="4">
        <f t="shared" si="1982"/>
        <v>7.3299305826734412E-2</v>
      </c>
      <c r="EJ427" s="4">
        <f t="shared" si="1808"/>
        <v>7.3299305826734412E-2</v>
      </c>
      <c r="EK427" s="4">
        <f t="shared" si="1983"/>
        <v>0.17178367893829274</v>
      </c>
      <c r="EL427" s="4">
        <f t="shared" si="1809"/>
        <v>4.9233562252700516</v>
      </c>
      <c r="EM427" s="4">
        <f t="shared" si="1810"/>
        <v>7.8606601734919019</v>
      </c>
      <c r="EN427" s="4" t="e">
        <f t="shared" si="1811"/>
        <v>#REF!</v>
      </c>
      <c r="EO427" s="4" t="e">
        <f t="shared" si="1812"/>
        <v>#REF!</v>
      </c>
      <c r="EP427" s="4" t="e">
        <f t="shared" si="1984"/>
        <v>#REF!</v>
      </c>
      <c r="EQ427" s="4" t="e">
        <f t="shared" si="1813"/>
        <v>#REF!</v>
      </c>
      <c r="ER427" s="4" t="e">
        <f t="shared" si="1985"/>
        <v>#REF!</v>
      </c>
      <c r="FA427" s="23" t="e">
        <f t="shared" si="1772"/>
        <v>#REF!</v>
      </c>
      <c r="FB427" s="23" t="e">
        <f t="shared" si="1773"/>
        <v>#REF!</v>
      </c>
      <c r="FC427" s="23">
        <f t="shared" si="1706"/>
        <v>1.4</v>
      </c>
      <c r="FD427" s="23" t="e">
        <f t="shared" si="1774"/>
        <v>#REF!</v>
      </c>
      <c r="FE427" s="23">
        <f t="shared" si="1775"/>
        <v>1</v>
      </c>
      <c r="FF427" s="23">
        <f t="shared" si="1776"/>
        <v>1</v>
      </c>
      <c r="FG427" s="23">
        <f t="shared" ref="FG427:FG453" si="1993">IF(FE427&lt;1,1,0)</f>
        <v>0</v>
      </c>
      <c r="FH427" s="23"/>
      <c r="FR427" s="4">
        <f t="shared" si="1852"/>
        <v>1</v>
      </c>
      <c r="FS427" s="4">
        <f t="shared" si="1853"/>
        <v>0.5</v>
      </c>
      <c r="FT427" s="4">
        <f t="shared" si="1854"/>
        <v>0</v>
      </c>
      <c r="FU427" s="4">
        <f t="shared" si="1855"/>
        <v>459.22483660715164</v>
      </c>
    </row>
    <row r="428" spans="2:177" ht="12" customHeight="1" x14ac:dyDescent="0.3">
      <c r="B428" s="14"/>
      <c r="C428" s="48" t="s">
        <v>575</v>
      </c>
      <c r="D428" s="38">
        <f>115.9/0.145</f>
        <v>799.31034482758628</v>
      </c>
      <c r="E428" s="38">
        <f>9.38*25.4</f>
        <v>238.25200000000001</v>
      </c>
      <c r="F428" s="38">
        <f>8800/145</f>
        <v>60.689655172413794</v>
      </c>
      <c r="G428" s="38">
        <f t="shared" si="1885"/>
        <v>25.4</v>
      </c>
      <c r="H428" s="38">
        <f>17.1*25.4</f>
        <v>434.34000000000003</v>
      </c>
      <c r="I428" s="38">
        <f>2.55*25.4</f>
        <v>64.77</v>
      </c>
      <c r="J428" s="39">
        <f>3.2*25.4</f>
        <v>81.28</v>
      </c>
      <c r="K428" s="7">
        <f t="shared" si="1727"/>
        <v>254.00000000000003</v>
      </c>
      <c r="L428" s="38">
        <v>2</v>
      </c>
      <c r="M428" s="4">
        <f t="shared" si="1843"/>
        <v>508</v>
      </c>
      <c r="N428" s="7">
        <f t="shared" si="1947"/>
        <v>3.05</v>
      </c>
      <c r="O428" s="7">
        <f t="shared" si="1948"/>
        <v>3.05</v>
      </c>
      <c r="P428" s="38">
        <v>12.9</v>
      </c>
      <c r="Q428" s="4">
        <f t="shared" si="1736"/>
        <v>12.9</v>
      </c>
      <c r="R428" s="4">
        <f t="shared" si="1949"/>
        <v>13.9</v>
      </c>
      <c r="S428" s="7">
        <f t="shared" si="1950"/>
        <v>94.698067562120812</v>
      </c>
      <c r="V428" s="38">
        <f t="shared" si="1777"/>
        <v>728.96551724137942</v>
      </c>
      <c r="W428" s="4">
        <v>105.7</v>
      </c>
      <c r="X428" s="4">
        <f t="shared" si="1951"/>
        <v>0.99413885294838056</v>
      </c>
      <c r="Y428" s="38">
        <f t="shared" ref="Y428:Y437" si="1994">0.5*25.4</f>
        <v>12.7</v>
      </c>
      <c r="Z428" s="38">
        <v>10</v>
      </c>
      <c r="AA428" s="39">
        <f>3*25.4</f>
        <v>76.199999999999989</v>
      </c>
      <c r="AB428" s="39">
        <v>3</v>
      </c>
      <c r="AC428" s="39">
        <f t="shared" ref="AC428:AC429" si="1995">AB428-1</f>
        <v>2</v>
      </c>
      <c r="AD428" s="7"/>
      <c r="AE428" s="4">
        <f t="shared" si="1952"/>
        <v>238.25200000000001</v>
      </c>
      <c r="AF428" s="4">
        <f t="shared" si="1953"/>
        <v>0.60767590618336897</v>
      </c>
      <c r="AG428" s="4">
        <f t="shared" si="1954"/>
        <v>282.69938075844567</v>
      </c>
      <c r="AH428" s="4">
        <f t="shared" si="1955"/>
        <v>0.76503198294243069</v>
      </c>
      <c r="AI428" s="4">
        <v>1.25</v>
      </c>
      <c r="AJ428" s="4">
        <f t="shared" si="1878"/>
        <v>2.5</v>
      </c>
      <c r="AK428" s="38">
        <f t="shared" si="1729"/>
        <v>410.70168799237626</v>
      </c>
      <c r="AL428" s="38">
        <f t="shared" si="1986"/>
        <v>410.70168799237626</v>
      </c>
      <c r="AM428" s="38">
        <f t="shared" si="1956"/>
        <v>4.3734044077759826</v>
      </c>
      <c r="AN428" s="38">
        <f t="shared" si="1893"/>
        <v>410.70168799237581</v>
      </c>
      <c r="AO428" s="38">
        <f t="shared" si="1845"/>
        <v>1.0000000000000011</v>
      </c>
      <c r="AP428" s="38">
        <f t="shared" si="1894"/>
        <v>3.2375230733939095</v>
      </c>
      <c r="AQ428" s="4">
        <f t="shared" si="1895"/>
        <v>0</v>
      </c>
      <c r="AR428" s="4" t="e">
        <f>#REF!/G428*F428^0.5/0.19</f>
        <v>#REF!</v>
      </c>
      <c r="AS428" s="4">
        <f t="shared" si="1957"/>
        <v>1</v>
      </c>
      <c r="AT428" s="38">
        <f t="shared" si="1958"/>
        <v>1329.656191157143</v>
      </c>
      <c r="AU428" s="4">
        <f t="shared" si="1959"/>
        <v>0.3</v>
      </c>
      <c r="AV428" s="4" t="e">
        <f>AU428*D428*#REF!/(D428*G428/2.75/F428^0.5)</f>
        <v>#REF!</v>
      </c>
      <c r="AW428" s="4" t="e">
        <f t="shared" si="1793"/>
        <v>#REF!</v>
      </c>
      <c r="AY428" s="4">
        <f t="shared" si="1960"/>
        <v>1.5</v>
      </c>
      <c r="AZ428" s="4" t="e">
        <f>(3*#REF!+30)*AY428*F428^0.5</f>
        <v>#REF!</v>
      </c>
      <c r="BB428" s="4">
        <f t="shared" si="1961"/>
        <v>1275.3028936760954</v>
      </c>
      <c r="BC428" s="4">
        <f t="shared" si="1822"/>
        <v>0</v>
      </c>
      <c r="BD428" s="4">
        <f t="shared" si="1794"/>
        <v>0</v>
      </c>
      <c r="BL428" s="4">
        <f t="shared" si="1962"/>
        <v>64.77</v>
      </c>
      <c r="BP428" s="9"/>
      <c r="BR428" s="9"/>
      <c r="BS428" s="9"/>
      <c r="BT428" s="9">
        <f t="shared" si="1963"/>
        <v>64.77</v>
      </c>
      <c r="BU428" s="9">
        <f t="shared" si="1964"/>
        <v>127.00000000000001</v>
      </c>
      <c r="BV428" s="9">
        <f t="shared" si="1965"/>
        <v>1.7665851027593089</v>
      </c>
      <c r="BW428" s="40">
        <f t="shared" si="1738"/>
        <v>20</v>
      </c>
      <c r="BX428" s="9">
        <f t="shared" si="1966"/>
        <v>0.05</v>
      </c>
      <c r="BY428" s="9">
        <f t="shared" si="1795"/>
        <v>0.8</v>
      </c>
      <c r="BZ428" s="9">
        <f t="shared" si="1967"/>
        <v>0.99524931562137331</v>
      </c>
      <c r="CA428" s="9">
        <f t="shared" si="1968"/>
        <v>0.68048275862068963</v>
      </c>
      <c r="CB428" s="9">
        <f t="shared" si="1969"/>
        <v>1.8466066401443861</v>
      </c>
      <c r="CC428" s="9">
        <f t="shared" si="1970"/>
        <v>4.6165166003609652</v>
      </c>
      <c r="CD428" s="40">
        <v>1</v>
      </c>
      <c r="CE428" s="9" t="e">
        <f>4*CC428*#REF!+60*CC428</f>
        <v>#REF!</v>
      </c>
      <c r="CG428" s="4" t="e">
        <f t="shared" si="1796"/>
        <v>#REF!</v>
      </c>
      <c r="CH428" s="4" t="e">
        <f t="shared" si="1797"/>
        <v>#REF!</v>
      </c>
      <c r="CI428" s="4" t="e">
        <f t="shared" si="1798"/>
        <v>#REF!</v>
      </c>
      <c r="CJ428" s="4" t="e">
        <f t="shared" si="1799"/>
        <v>#REF!</v>
      </c>
      <c r="CK428" s="4">
        <f t="shared" si="1800"/>
        <v>0.99413885294838056</v>
      </c>
      <c r="CL428" s="4">
        <f t="shared" si="1801"/>
        <v>0.98184147159351287</v>
      </c>
      <c r="CM428" s="4">
        <f t="shared" si="1699"/>
        <v>1.2226871085348725</v>
      </c>
      <c r="CN428" s="4">
        <f t="shared" si="1739"/>
        <v>10</v>
      </c>
      <c r="CU428" s="4" t="e">
        <f t="shared" ref="CU428:CU429" si="1996">CG428</f>
        <v>#REF!</v>
      </c>
      <c r="CV428" s="4" t="e">
        <f t="shared" ref="CV428:CV429" si="1997">CH428</f>
        <v>#REF!</v>
      </c>
      <c r="CW428" s="4" t="e">
        <f t="shared" ref="CW428:CW429" si="1998">CJ428</f>
        <v>#REF!</v>
      </c>
      <c r="CX428" s="4">
        <f t="shared" ref="CX428:CX429" si="1999">CM428</f>
        <v>1.2226871085348725</v>
      </c>
      <c r="CY428" s="4">
        <f t="shared" ref="CY428:CY429" si="2000">CK428</f>
        <v>0.99413885294838056</v>
      </c>
      <c r="CZ428" s="4">
        <f t="shared" ref="CZ428:CZ429" si="2001">CL428</f>
        <v>0.98184147159351287</v>
      </c>
      <c r="DC428" s="4" t="e">
        <f>#REF!</f>
        <v>#REF!</v>
      </c>
      <c r="DF428" s="4">
        <f t="shared" si="1971"/>
        <v>2.0451606401250436E-5</v>
      </c>
      <c r="DG428" s="4">
        <f t="shared" si="1802"/>
        <v>11.952252138130413</v>
      </c>
      <c r="DH428" s="4">
        <f t="shared" si="1972"/>
        <v>0.19329921975455272</v>
      </c>
      <c r="DI428" s="4">
        <f t="shared" si="1803"/>
        <v>6.1935804996758534</v>
      </c>
      <c r="DJ428" s="4">
        <f t="shared" si="1804"/>
        <v>9.5229483944501201</v>
      </c>
      <c r="DK428" s="4">
        <f t="shared" si="1973"/>
        <v>11.112682316132476</v>
      </c>
      <c r="DL428" s="38">
        <f t="shared" si="1974"/>
        <v>733.26328115981005</v>
      </c>
      <c r="DM428" s="4" t="e">
        <f t="shared" si="1805"/>
        <v>#REF!</v>
      </c>
      <c r="DN428" s="4">
        <f t="shared" si="1975"/>
        <v>3.7282703764614493</v>
      </c>
      <c r="DO428" s="4">
        <f t="shared" si="1697"/>
        <v>410.70168799237581</v>
      </c>
      <c r="DS428" s="4">
        <f t="shared" si="1976"/>
        <v>0.85</v>
      </c>
      <c r="DT428" s="4">
        <f t="shared" si="1977"/>
        <v>0.84499999999999997</v>
      </c>
      <c r="DU428" s="4">
        <f t="shared" si="1978"/>
        <v>0.77500000000000002</v>
      </c>
      <c r="DV428" s="4">
        <f t="shared" si="1806"/>
        <v>0.7</v>
      </c>
      <c r="DX428" s="4">
        <f t="shared" si="1979"/>
        <v>742.44726703006359</v>
      </c>
      <c r="DY428" s="25">
        <f t="shared" si="1870"/>
        <v>406.11089186307373</v>
      </c>
      <c r="EA428" s="4">
        <f t="shared" si="1871"/>
        <v>0.59499999999999997</v>
      </c>
      <c r="EB428" s="4">
        <f t="shared" si="1980"/>
        <v>11.952252138130413</v>
      </c>
      <c r="EE428" s="4">
        <f t="shared" si="1981"/>
        <v>94.698067562120812</v>
      </c>
      <c r="EF428" s="4">
        <f t="shared" si="1807"/>
        <v>3.7282703764614498</v>
      </c>
      <c r="EG428" s="4">
        <f t="shared" si="1982"/>
        <v>8.2342244589026295E-2</v>
      </c>
      <c r="EJ428" s="4">
        <f t="shared" si="1808"/>
        <v>8.2342244589026295E-2</v>
      </c>
      <c r="EK428" s="4">
        <f t="shared" si="1983"/>
        <v>0.19297663938285961</v>
      </c>
      <c r="EL428" s="4">
        <f t="shared" si="1809"/>
        <v>6.1894440553714247</v>
      </c>
      <c r="EM428" s="4">
        <f t="shared" si="1810"/>
        <v>9.5216167653525225</v>
      </c>
      <c r="EN428" s="4" t="e">
        <f t="shared" si="1811"/>
        <v>#REF!</v>
      </c>
      <c r="EO428" s="4" t="e">
        <f t="shared" si="1812"/>
        <v>#REF!</v>
      </c>
      <c r="EP428" s="4" t="e">
        <f t="shared" si="1984"/>
        <v>#REF!</v>
      </c>
      <c r="EQ428" s="4" t="e">
        <f t="shared" si="1813"/>
        <v>#REF!</v>
      </c>
      <c r="ER428" s="4" t="e">
        <f t="shared" si="1985"/>
        <v>#REF!</v>
      </c>
      <c r="EU428" s="4">
        <f>5.25*25.4</f>
        <v>133.35</v>
      </c>
      <c r="FA428" s="23" t="e">
        <f t="shared" si="1772"/>
        <v>#REF!</v>
      </c>
      <c r="FB428" s="23" t="e">
        <f t="shared" si="1773"/>
        <v>#REF!</v>
      </c>
      <c r="FC428" s="23">
        <f t="shared" si="1706"/>
        <v>1.4</v>
      </c>
      <c r="FD428" s="23" t="e">
        <f t="shared" si="1774"/>
        <v>#REF!</v>
      </c>
      <c r="FE428" s="23">
        <f t="shared" si="1775"/>
        <v>1</v>
      </c>
      <c r="FF428" s="23">
        <f t="shared" si="1776"/>
        <v>1</v>
      </c>
      <c r="FG428" s="23">
        <f t="shared" si="1993"/>
        <v>0</v>
      </c>
      <c r="FH428" s="23"/>
      <c r="FR428" s="4">
        <f t="shared" si="1852"/>
        <v>1</v>
      </c>
      <c r="FS428" s="4">
        <f t="shared" si="1853"/>
        <v>0.43787748058671272</v>
      </c>
      <c r="FT428" s="4">
        <f t="shared" si="1854"/>
        <v>0.3</v>
      </c>
      <c r="FU428" s="4">
        <f t="shared" si="1855"/>
        <v>596.1995609121027</v>
      </c>
    </row>
    <row r="429" spans="2:177" ht="12" customHeight="1" x14ac:dyDescent="0.3">
      <c r="B429" s="14"/>
      <c r="C429" s="7" t="s">
        <v>576</v>
      </c>
      <c r="D429" s="38">
        <f>115.9/0.145</f>
        <v>799.31034482758628</v>
      </c>
      <c r="E429" s="38">
        <f>8.25*25.4</f>
        <v>209.54999999999998</v>
      </c>
      <c r="F429" s="38">
        <f>8800/145</f>
        <v>60.689655172413794</v>
      </c>
      <c r="G429" s="38">
        <f t="shared" si="1885"/>
        <v>25.4</v>
      </c>
      <c r="H429" s="38">
        <f>17.3*25.4</f>
        <v>439.42</v>
      </c>
      <c r="I429" s="38">
        <f>2.65*25.4</f>
        <v>67.309999999999988</v>
      </c>
      <c r="J429" s="39">
        <f>3.1*25.4</f>
        <v>78.739999999999995</v>
      </c>
      <c r="K429" s="7">
        <f t="shared" si="1727"/>
        <v>254.00000000000003</v>
      </c>
      <c r="L429" s="38">
        <v>2</v>
      </c>
      <c r="M429" s="4">
        <f t="shared" si="1843"/>
        <v>508</v>
      </c>
      <c r="N429" s="7">
        <f t="shared" si="1947"/>
        <v>3.1499999999999995</v>
      </c>
      <c r="O429" s="7">
        <f t="shared" si="1948"/>
        <v>3.1499999999999995</v>
      </c>
      <c r="P429" s="38">
        <v>14.9</v>
      </c>
      <c r="Q429" s="4">
        <f t="shared" si="1736"/>
        <v>14.9</v>
      </c>
      <c r="R429" s="4">
        <f t="shared" si="1949"/>
        <v>15.9</v>
      </c>
      <c r="S429" s="7">
        <f t="shared" si="1950"/>
        <v>101.28200234987457</v>
      </c>
      <c r="V429" s="38">
        <f t="shared" si="1777"/>
        <v>759.31034482758616</v>
      </c>
      <c r="W429" s="4">
        <v>110.1</v>
      </c>
      <c r="X429" s="4">
        <f t="shared" si="1951"/>
        <v>1.1394424782402843</v>
      </c>
      <c r="Y429" s="38">
        <f t="shared" si="1994"/>
        <v>12.7</v>
      </c>
      <c r="Z429" s="38">
        <v>10</v>
      </c>
      <c r="AA429" s="39">
        <f>3*25.4</f>
        <v>76.199999999999989</v>
      </c>
      <c r="AB429" s="39">
        <v>3</v>
      </c>
      <c r="AC429" s="39">
        <f t="shared" si="1995"/>
        <v>2</v>
      </c>
      <c r="AD429" s="7"/>
      <c r="AE429" s="4">
        <f t="shared" si="1952"/>
        <v>209.54999999999998</v>
      </c>
      <c r="AF429" s="4">
        <f t="shared" si="1953"/>
        <v>0.69898989898989905</v>
      </c>
      <c r="AG429" s="4">
        <f t="shared" si="1954"/>
        <v>233.18548975839079</v>
      </c>
      <c r="AH429" s="4">
        <f t="shared" si="1955"/>
        <v>0.77636363636363637</v>
      </c>
      <c r="AI429" s="4">
        <v>1.25</v>
      </c>
      <c r="AJ429" s="4">
        <f t="shared" si="1878"/>
        <v>2.5</v>
      </c>
      <c r="AK429" s="38">
        <f t="shared" si="1729"/>
        <v>395.44640298305984</v>
      </c>
      <c r="AL429" s="38">
        <f t="shared" si="1986"/>
        <v>395.44640298305984</v>
      </c>
      <c r="AM429" s="38">
        <f t="shared" si="1956"/>
        <v>4.3734044077759826</v>
      </c>
      <c r="AN429" s="38">
        <f t="shared" si="1893"/>
        <v>395.44640298305944</v>
      </c>
      <c r="AO429" s="38">
        <f t="shared" si="1845"/>
        <v>1.0000000000000011</v>
      </c>
      <c r="AP429" s="38">
        <f t="shared" si="1894"/>
        <v>3.7321640400048164</v>
      </c>
      <c r="AQ429" s="4">
        <f t="shared" si="1895"/>
        <v>0</v>
      </c>
      <c r="AR429" s="4" t="e">
        <f>#REF!/G429*F429^0.5/0.19</f>
        <v>#REF!</v>
      </c>
      <c r="AS429" s="4">
        <f t="shared" si="1957"/>
        <v>1</v>
      </c>
      <c r="AT429" s="38">
        <f t="shared" si="1958"/>
        <v>1475.8708449626279</v>
      </c>
      <c r="AU429" s="4">
        <f t="shared" si="1959"/>
        <v>0.3</v>
      </c>
      <c r="AV429" s="4" t="e">
        <f>AU429*D429*#REF!/(D429*G429/2.75/F429^0.5)</f>
        <v>#REF!</v>
      </c>
      <c r="AW429" s="4" t="e">
        <f t="shared" si="1793"/>
        <v>#REF!</v>
      </c>
      <c r="AY429" s="4">
        <f t="shared" si="1960"/>
        <v>1.5</v>
      </c>
      <c r="AZ429" s="4" t="e">
        <f>(3*#REF!+30)*AY429*F429^0.5</f>
        <v>#REF!</v>
      </c>
      <c r="BB429" s="4">
        <f t="shared" si="1961"/>
        <v>1415.5406275625585</v>
      </c>
      <c r="BC429" s="4">
        <f t="shared" si="1822"/>
        <v>0</v>
      </c>
      <c r="BD429" s="4">
        <f t="shared" si="1794"/>
        <v>0</v>
      </c>
      <c r="BL429" s="4">
        <f t="shared" si="1962"/>
        <v>67.309999999999988</v>
      </c>
      <c r="BP429" s="9"/>
      <c r="BR429" s="9"/>
      <c r="BS429" s="9"/>
      <c r="BT429" s="9">
        <f t="shared" si="1963"/>
        <v>67.309999999999988</v>
      </c>
      <c r="BU429" s="9">
        <f t="shared" si="1964"/>
        <v>127.00000000000001</v>
      </c>
      <c r="BV429" s="9">
        <f t="shared" si="1965"/>
        <v>1.7905298128039189</v>
      </c>
      <c r="BW429" s="40">
        <f t="shared" si="1738"/>
        <v>20</v>
      </c>
      <c r="BX429" s="9">
        <f t="shared" si="1966"/>
        <v>0.05</v>
      </c>
      <c r="BY429" s="9">
        <f t="shared" si="1795"/>
        <v>0.8</v>
      </c>
      <c r="BZ429" s="9">
        <f t="shared" si="1967"/>
        <v>0.99524931562137331</v>
      </c>
      <c r="CA429" s="9">
        <f t="shared" si="1968"/>
        <v>0.68048275862068963</v>
      </c>
      <c r="CB429" s="9">
        <f t="shared" si="1969"/>
        <v>1.8466066401443861</v>
      </c>
      <c r="CC429" s="9">
        <f t="shared" si="1970"/>
        <v>4.6165166003609652</v>
      </c>
      <c r="CD429" s="40">
        <v>1</v>
      </c>
      <c r="CE429" s="9" t="e">
        <f>4*CC429*#REF!+60*CC429</f>
        <v>#REF!</v>
      </c>
      <c r="CG429" s="4" t="e">
        <f t="shared" si="1796"/>
        <v>#REF!</v>
      </c>
      <c r="CH429" s="4" t="e">
        <f t="shared" si="1797"/>
        <v>#REF!</v>
      </c>
      <c r="CI429" s="4" t="e">
        <f t="shared" si="1798"/>
        <v>#REF!</v>
      </c>
      <c r="CJ429" s="4" t="e">
        <f t="shared" si="1799"/>
        <v>#REF!</v>
      </c>
      <c r="CK429" s="4">
        <f t="shared" si="1800"/>
        <v>1.1394424782402843</v>
      </c>
      <c r="CL429" s="4">
        <f t="shared" si="1801"/>
        <v>1.1065773777959143</v>
      </c>
      <c r="CM429" s="4">
        <f t="shared" si="1699"/>
        <v>1.4480266495732195</v>
      </c>
      <c r="CN429" s="4">
        <f t="shared" si="1739"/>
        <v>10</v>
      </c>
      <c r="CU429" s="4" t="e">
        <f t="shared" si="1996"/>
        <v>#REF!</v>
      </c>
      <c r="CV429" s="4" t="e">
        <f t="shared" si="1997"/>
        <v>#REF!</v>
      </c>
      <c r="CW429" s="4" t="e">
        <f t="shared" si="1998"/>
        <v>#REF!</v>
      </c>
      <c r="CX429" s="4">
        <f t="shared" si="1999"/>
        <v>1.4480266495732195</v>
      </c>
      <c r="CY429" s="4">
        <f t="shared" si="2000"/>
        <v>1.1394424782402843</v>
      </c>
      <c r="CZ429" s="4">
        <f t="shared" si="2001"/>
        <v>1.1065773777959143</v>
      </c>
      <c r="DC429" s="4" t="e">
        <f>#REF!</f>
        <v>#REF!</v>
      </c>
      <c r="DF429" s="4">
        <f t="shared" si="1971"/>
        <v>1.7987820129031567E-5</v>
      </c>
      <c r="DG429" s="4">
        <f t="shared" si="1802"/>
        <v>11.952252138130413</v>
      </c>
      <c r="DH429" s="4">
        <f t="shared" si="1972"/>
        <v>0.17233990397740784</v>
      </c>
      <c r="DI429" s="4">
        <f t="shared" si="1803"/>
        <v>5.9156719827356019</v>
      </c>
      <c r="DJ429" s="4">
        <f t="shared" si="1804"/>
        <v>9.435158440042839</v>
      </c>
      <c r="DK429" s="4">
        <f t="shared" si="1973"/>
        <v>11.34018962755985</v>
      </c>
      <c r="DL429" s="38">
        <f t="shared" si="1974"/>
        <v>666.38760562993832</v>
      </c>
      <c r="DM429" s="4" t="e">
        <f t="shared" si="1805"/>
        <v>#REF!</v>
      </c>
      <c r="DN429" s="4">
        <f t="shared" si="1975"/>
        <v>3.9874804074753771</v>
      </c>
      <c r="DO429" s="4">
        <f t="shared" si="1697"/>
        <v>395.44640298305944</v>
      </c>
      <c r="DS429" s="4">
        <f t="shared" si="1976"/>
        <v>0.85</v>
      </c>
      <c r="DT429" s="4">
        <f t="shared" si="1977"/>
        <v>0.83499999999999996</v>
      </c>
      <c r="DU429" s="4">
        <f t="shared" si="1978"/>
        <v>0.77500000000000002</v>
      </c>
      <c r="DV429" s="4">
        <f t="shared" si="1806"/>
        <v>0.7</v>
      </c>
      <c r="DX429" s="4">
        <f t="shared" si="1979"/>
        <v>686.17916836505719</v>
      </c>
      <c r="DY429" s="25">
        <f t="shared" si="1870"/>
        <v>390.36092794632941</v>
      </c>
      <c r="EA429" s="4">
        <f t="shared" si="1871"/>
        <v>0.59499999999999997</v>
      </c>
      <c r="EB429" s="4">
        <f t="shared" si="1980"/>
        <v>11.952252138130413</v>
      </c>
      <c r="EE429" s="4">
        <f t="shared" si="1981"/>
        <v>101.28200234987457</v>
      </c>
      <c r="EF429" s="4">
        <f t="shared" si="1807"/>
        <v>3.9874804074753771</v>
      </c>
      <c r="EG429" s="4">
        <f t="shared" si="1982"/>
        <v>7.3413925538738684E-2</v>
      </c>
      <c r="EJ429" s="4">
        <f t="shared" si="1808"/>
        <v>7.3413925538738684E-2</v>
      </c>
      <c r="EK429" s="4">
        <f t="shared" si="1983"/>
        <v>0.17205230079746128</v>
      </c>
      <c r="EL429" s="4">
        <f t="shared" si="1809"/>
        <v>5.9117211423967806</v>
      </c>
      <c r="EM429" s="4">
        <f t="shared" si="1810"/>
        <v>9.4339351942507346</v>
      </c>
      <c r="EN429" s="4" t="e">
        <f t="shared" si="1811"/>
        <v>#REF!</v>
      </c>
      <c r="EO429" s="4" t="e">
        <f t="shared" si="1812"/>
        <v>#REF!</v>
      </c>
      <c r="EP429" s="4" t="e">
        <f t="shared" si="1984"/>
        <v>#REF!</v>
      </c>
      <c r="EQ429" s="4" t="e">
        <f t="shared" si="1813"/>
        <v>#REF!</v>
      </c>
      <c r="ER429" s="4" t="e">
        <f t="shared" si="1985"/>
        <v>#REF!</v>
      </c>
      <c r="FA429" s="23" t="e">
        <f t="shared" si="1772"/>
        <v>#REF!</v>
      </c>
      <c r="FB429" s="23" t="e">
        <f t="shared" si="1773"/>
        <v>#REF!</v>
      </c>
      <c r="FC429" s="23">
        <f t="shared" si="1706"/>
        <v>1.6</v>
      </c>
      <c r="FD429" s="23" t="e">
        <f t="shared" si="1774"/>
        <v>#REF!</v>
      </c>
      <c r="FE429" s="23">
        <f t="shared" si="1775"/>
        <v>1.2</v>
      </c>
      <c r="FF429" s="23">
        <f t="shared" si="1776"/>
        <v>1.2</v>
      </c>
      <c r="FG429" s="23">
        <f t="shared" si="1993"/>
        <v>0</v>
      </c>
      <c r="FH429" s="23"/>
      <c r="FR429" s="4">
        <f t="shared" si="1852"/>
        <v>1</v>
      </c>
      <c r="FS429" s="4">
        <f t="shared" si="1853"/>
        <v>0.43787748058671272</v>
      </c>
      <c r="FT429" s="4">
        <f t="shared" si="1854"/>
        <v>0.3</v>
      </c>
      <c r="FU429" s="4">
        <f t="shared" si="1855"/>
        <v>524.37594643122043</v>
      </c>
    </row>
    <row r="430" spans="2:177" ht="12" customHeight="1" x14ac:dyDescent="0.3">
      <c r="B430" s="14" t="s">
        <v>577</v>
      </c>
      <c r="C430" s="7" t="s">
        <v>578</v>
      </c>
      <c r="D430" s="38">
        <f>135/0.145</f>
        <v>931.0344827586207</v>
      </c>
      <c r="E430" s="38">
        <f>12.13*25.4</f>
        <v>308.10199999999998</v>
      </c>
      <c r="F430" s="38">
        <f>5760/145</f>
        <v>39.724137931034484</v>
      </c>
      <c r="G430" s="38">
        <f>1.41*25.4</f>
        <v>35.813999999999993</v>
      </c>
      <c r="H430" s="38">
        <f>21.7*25.4</f>
        <v>551.17999999999995</v>
      </c>
      <c r="I430" s="38">
        <f>2.65*25.4</f>
        <v>67.309999999999988</v>
      </c>
      <c r="J430" s="39">
        <f>3.5*25.4</f>
        <v>88.899999999999991</v>
      </c>
      <c r="K430" s="7">
        <f t="shared" si="1727"/>
        <v>344.93200000000002</v>
      </c>
      <c r="L430" s="38">
        <v>2</v>
      </c>
      <c r="M430" s="4">
        <f t="shared" si="1843"/>
        <v>508</v>
      </c>
      <c r="N430" s="7">
        <f t="shared" si="1947"/>
        <v>2.3794326241134751</v>
      </c>
      <c r="O430" s="7">
        <f t="shared" si="1948"/>
        <v>2.3794326241134751</v>
      </c>
      <c r="P430" s="38">
        <v>3.9</v>
      </c>
      <c r="Q430" s="4">
        <f t="shared" si="1736"/>
        <v>3.9</v>
      </c>
      <c r="R430" s="4">
        <f t="shared" si="1949"/>
        <v>4.9000000000000004</v>
      </c>
      <c r="S430" s="7">
        <f t="shared" si="1950"/>
        <v>79.277668484889219</v>
      </c>
      <c r="V430" s="38">
        <f t="shared" si="1777"/>
        <v>293.79310344827587</v>
      </c>
      <c r="W430" s="4">
        <v>42.6</v>
      </c>
      <c r="X430" s="4">
        <f t="shared" si="1951"/>
        <v>0.67339603919552049</v>
      </c>
      <c r="Y430" s="38"/>
      <c r="Z430" s="38"/>
      <c r="AA430" s="39">
        <v>1</v>
      </c>
      <c r="AB430" s="39"/>
      <c r="AC430" s="39"/>
      <c r="AD430" s="7"/>
      <c r="AE430" s="4">
        <f t="shared" si="1952"/>
        <v>308.10199999999998</v>
      </c>
      <c r="AF430" s="4">
        <f t="shared" si="1953"/>
        <v>0.59631766968947519</v>
      </c>
      <c r="AG430" s="4">
        <f t="shared" si="1954"/>
        <v>169.17784214061564</v>
      </c>
      <c r="AH430" s="4">
        <f t="shared" si="1955"/>
        <v>0.75531739488870564</v>
      </c>
      <c r="AI430" s="4">
        <v>1.25</v>
      </c>
      <c r="AJ430" s="4">
        <f t="shared" si="1878"/>
        <v>2.5</v>
      </c>
      <c r="AK430" s="38">
        <f t="shared" si="1729"/>
        <v>238.12262845805614</v>
      </c>
      <c r="AL430" s="38">
        <f t="shared" si="1986"/>
        <v>238.12262845805614</v>
      </c>
      <c r="AM430" s="38">
        <f t="shared" si="1956"/>
        <v>3.4926701740126327</v>
      </c>
      <c r="AN430" s="38">
        <f t="shared" si="1893"/>
        <v>238.12262845805651</v>
      </c>
      <c r="AO430" s="38">
        <f t="shared" si="1845"/>
        <v>0.99999999999999845</v>
      </c>
      <c r="AP430" s="38">
        <f t="shared" si="1894"/>
        <v>1.5677959002994157</v>
      </c>
      <c r="AQ430" s="4">
        <f t="shared" si="1895"/>
        <v>0</v>
      </c>
      <c r="AR430" s="4" t="e">
        <f>#REF!/G430*F430^0.5/0.19</f>
        <v>#REF!</v>
      </c>
      <c r="AS430" s="4">
        <f t="shared" si="1957"/>
        <v>1</v>
      </c>
      <c r="AT430" s="38">
        <f t="shared" si="1958"/>
        <v>373.32768066506196</v>
      </c>
      <c r="AU430" s="4">
        <f t="shared" si="1959"/>
        <v>0.45399999999999996</v>
      </c>
      <c r="AV430" s="4" t="e">
        <f>AU430*D430*#REF!/(D430*G430/2.75/F430^0.5)</f>
        <v>#REF!</v>
      </c>
      <c r="AW430" s="4" t="e">
        <f t="shared" si="1793"/>
        <v>#REF!</v>
      </c>
      <c r="AY430" s="4">
        <f t="shared" si="1960"/>
        <v>1.2198581560283688</v>
      </c>
      <c r="AZ430" s="4" t="e">
        <f>(3*#REF!+30)*AY430*F430^0.5</f>
        <v>#REF!</v>
      </c>
      <c r="BB430" s="4">
        <f t="shared" si="1961"/>
        <v>358.06690075816078</v>
      </c>
      <c r="BC430" s="4">
        <f t="shared" si="1822"/>
        <v>0</v>
      </c>
      <c r="BD430" s="4">
        <f t="shared" si="1794"/>
        <v>0</v>
      </c>
      <c r="BL430" s="4">
        <f t="shared" si="1962"/>
        <v>67.309999999999988</v>
      </c>
      <c r="BP430" s="9"/>
      <c r="BR430" s="9"/>
      <c r="BS430" s="9"/>
      <c r="BT430" s="9">
        <f t="shared" si="1963"/>
        <v>67.309999999999988</v>
      </c>
      <c r="BU430" s="9">
        <f t="shared" si="1964"/>
        <v>172.46600000000001</v>
      </c>
      <c r="BV430" s="9">
        <f t="shared" si="1965"/>
        <v>1.5787267425904519</v>
      </c>
      <c r="BW430" s="40">
        <f t="shared" si="1738"/>
        <v>0</v>
      </c>
      <c r="BX430" s="9">
        <f t="shared" si="1966"/>
        <v>0</v>
      </c>
      <c r="BY430" s="9">
        <f t="shared" si="1795"/>
        <v>0</v>
      </c>
      <c r="BZ430" s="9">
        <f t="shared" si="1967"/>
        <v>0.89777220146327208</v>
      </c>
      <c r="CA430" s="9">
        <f t="shared" si="1968"/>
        <v>0.68</v>
      </c>
      <c r="CB430" s="9">
        <f t="shared" si="1969"/>
        <v>1.3466984227273664</v>
      </c>
      <c r="CC430" s="9">
        <f t="shared" si="1970"/>
        <v>2.1260688141640744</v>
      </c>
      <c r="CD430" s="40">
        <v>1</v>
      </c>
      <c r="CE430" s="9" t="e">
        <f>4*CC430*#REF!+60*CC430</f>
        <v>#REF!</v>
      </c>
      <c r="CG430" s="4" t="e">
        <f t="shared" si="1796"/>
        <v>#REF!</v>
      </c>
      <c r="CH430" s="4" t="e">
        <f t="shared" si="1797"/>
        <v>#REF!</v>
      </c>
      <c r="CI430" s="4" t="e">
        <f t="shared" si="1798"/>
        <v>#REF!</v>
      </c>
      <c r="CJ430" s="4" t="e">
        <f t="shared" si="1799"/>
        <v>#REF!</v>
      </c>
      <c r="CK430" s="4">
        <f t="shared" si="1800"/>
        <v>0.67339603919552049</v>
      </c>
      <c r="CL430" s="4">
        <f t="shared" si="1801"/>
        <v>0.72096580896252627</v>
      </c>
      <c r="CM430" s="4">
        <f t="shared" si="1699"/>
        <v>0.80994045632785505</v>
      </c>
      <c r="CN430" s="4">
        <f t="shared" si="1739"/>
        <v>0</v>
      </c>
      <c r="CO430" s="4" t="e">
        <f t="shared" ref="CO430" si="2002">CG430</f>
        <v>#REF!</v>
      </c>
      <c r="CP430" s="4" t="e">
        <f t="shared" ref="CP430" si="2003">CH430</f>
        <v>#REF!</v>
      </c>
      <c r="CQ430" s="4" t="e">
        <f t="shared" ref="CQ430" si="2004">CJ430</f>
        <v>#REF!</v>
      </c>
      <c r="CR430" s="4">
        <f t="shared" ref="CR430" si="2005">CM430</f>
        <v>0.80994045632785505</v>
      </c>
      <c r="CS430" s="4">
        <f t="shared" ref="CS430" si="2006">CK430</f>
        <v>0.67339603919552049</v>
      </c>
      <c r="CT430" s="4">
        <f t="shared" ref="CT430" si="2007">CL430</f>
        <v>0.72096580896252627</v>
      </c>
      <c r="DC430" s="4" t="e">
        <f>#REF!</f>
        <v>#REF!</v>
      </c>
      <c r="DF430" s="4">
        <f t="shared" si="1971"/>
        <v>1.6422982705051898E-5</v>
      </c>
      <c r="DG430" s="4">
        <f t="shared" si="1802"/>
        <v>6.6794137361809804</v>
      </c>
      <c r="DH430" s="4">
        <f t="shared" si="1972"/>
        <v>0.47413206320930545</v>
      </c>
      <c r="DI430" s="4">
        <f t="shared" si="1803"/>
        <v>4.9556208963323414</v>
      </c>
      <c r="DJ430" s="4">
        <f t="shared" si="1804"/>
        <v>5.8811547174806602</v>
      </c>
      <c r="DK430" s="4">
        <f t="shared" si="1973"/>
        <v>6.343757885764715</v>
      </c>
      <c r="DL430" s="38">
        <f t="shared" si="1974"/>
        <v>436.28576104970682</v>
      </c>
      <c r="DM430" s="4" t="e">
        <f t="shared" si="1805"/>
        <v>#REF!</v>
      </c>
      <c r="DN430" s="4">
        <f t="shared" si="1975"/>
        <v>2.2135943621178655</v>
      </c>
      <c r="DO430" s="4">
        <f t="shared" si="1697"/>
        <v>238.12262845805651</v>
      </c>
      <c r="DS430" s="4">
        <f t="shared" si="1976"/>
        <v>0.85</v>
      </c>
      <c r="DT430" s="4">
        <f t="shared" si="1977"/>
        <v>0.91205673758865247</v>
      </c>
      <c r="DU430" s="4">
        <f t="shared" si="1978"/>
        <v>1</v>
      </c>
      <c r="DV430" s="4">
        <f t="shared" si="1806"/>
        <v>0.91205673758865247</v>
      </c>
      <c r="DX430" s="4">
        <f t="shared" si="1979"/>
        <v>407.49935682948092</v>
      </c>
      <c r="DY430" s="25">
        <f t="shared" si="1870"/>
        <v>235.11363636166115</v>
      </c>
      <c r="EA430" s="4">
        <f t="shared" si="1871"/>
        <v>0.77524822695035456</v>
      </c>
      <c r="EB430" s="4">
        <f t="shared" si="1980"/>
        <v>6.6794137361809804</v>
      </c>
      <c r="EE430" s="4">
        <f t="shared" si="1981"/>
        <v>79.277668484889219</v>
      </c>
      <c r="EF430" s="4">
        <f t="shared" si="1807"/>
        <v>2.2135943621178655</v>
      </c>
      <c r="EG430" s="4">
        <f t="shared" si="1982"/>
        <v>0.1634036794271963</v>
      </c>
      <c r="EJ430" s="4">
        <f t="shared" si="1808"/>
        <v>0.1634036794271963</v>
      </c>
      <c r="EK430" s="4">
        <f t="shared" si="1983"/>
        <v>0.47334082516201326</v>
      </c>
      <c r="EL430" s="4">
        <f t="shared" si="1809"/>
        <v>4.9523112356550287</v>
      </c>
      <c r="EM430" s="4">
        <f t="shared" si="1810"/>
        <v>5.879761735540094</v>
      </c>
      <c r="EN430" s="4" t="e">
        <f t="shared" si="1811"/>
        <v>#REF!</v>
      </c>
      <c r="EO430" s="4" t="e">
        <f t="shared" si="1812"/>
        <v>#REF!</v>
      </c>
      <c r="EP430" s="4" t="e">
        <f t="shared" si="1984"/>
        <v>#REF!</v>
      </c>
      <c r="EQ430" s="4" t="e">
        <f t="shared" si="1813"/>
        <v>#REF!</v>
      </c>
      <c r="ER430" s="4" t="e">
        <f t="shared" si="1985"/>
        <v>#REF!</v>
      </c>
      <c r="FA430" s="23" t="e">
        <f t="shared" si="1772"/>
        <v>#REF!</v>
      </c>
      <c r="FB430" s="23" t="e">
        <f t="shared" si="1773"/>
        <v>#REF!</v>
      </c>
      <c r="FC430" s="23">
        <f t="shared" si="1706"/>
        <v>1</v>
      </c>
      <c r="FD430" s="23" t="e">
        <f t="shared" si="1774"/>
        <v>#REF!</v>
      </c>
      <c r="FE430" s="23">
        <f t="shared" si="1775"/>
        <v>0.8</v>
      </c>
      <c r="FF430" s="23">
        <f t="shared" si="1776"/>
        <v>0.8</v>
      </c>
      <c r="FG430" s="23">
        <f t="shared" si="1993"/>
        <v>1</v>
      </c>
      <c r="FH430" s="23"/>
      <c r="FR430" s="4">
        <f t="shared" si="1852"/>
        <v>1</v>
      </c>
      <c r="FS430" s="4">
        <f t="shared" si="1853"/>
        <v>0.5</v>
      </c>
      <c r="FT430" s="4">
        <f t="shared" si="1854"/>
        <v>0</v>
      </c>
      <c r="FU430" s="4">
        <f t="shared" si="1855"/>
        <v>362.73419996858587</v>
      </c>
    </row>
    <row r="431" spans="2:177" ht="12" customHeight="1" x14ac:dyDescent="0.3">
      <c r="B431" s="14"/>
      <c r="C431" s="7" t="s">
        <v>579</v>
      </c>
      <c r="D431" s="38">
        <f t="shared" ref="D431:D437" si="2008">135/0.145</f>
        <v>931.0344827586207</v>
      </c>
      <c r="E431" s="38">
        <f>12.5*25.4</f>
        <v>317.5</v>
      </c>
      <c r="F431" s="38">
        <f>5760/145</f>
        <v>39.724137931034484</v>
      </c>
      <c r="G431" s="38">
        <f t="shared" ref="G431:G453" si="2009">1.41*25.4</f>
        <v>35.813999999999993</v>
      </c>
      <c r="H431" s="38">
        <f>21.8*25.4</f>
        <v>553.72</v>
      </c>
      <c r="I431" s="38">
        <f>2.7*25.4</f>
        <v>68.58</v>
      </c>
      <c r="J431" s="39">
        <f>3.1*25.4</f>
        <v>78.739999999999995</v>
      </c>
      <c r="K431" s="7">
        <f t="shared" si="1727"/>
        <v>344.93200000000002</v>
      </c>
      <c r="L431" s="38">
        <v>2</v>
      </c>
      <c r="M431" s="4">
        <f t="shared" si="1843"/>
        <v>508</v>
      </c>
      <c r="N431" s="7">
        <f t="shared" si="1947"/>
        <v>2.4148936170212769</v>
      </c>
      <c r="O431" s="7">
        <f t="shared" si="1948"/>
        <v>2.4148936170212769</v>
      </c>
      <c r="P431" s="38">
        <v>3.9</v>
      </c>
      <c r="Q431" s="4">
        <f t="shared" si="1736"/>
        <v>3.9</v>
      </c>
      <c r="R431" s="4">
        <f t="shared" si="1949"/>
        <v>4.9000000000000004</v>
      </c>
      <c r="S431" s="7">
        <f t="shared" si="1950"/>
        <v>79.277668484889219</v>
      </c>
      <c r="V431" s="38">
        <f t="shared" si="1777"/>
        <v>390.34482758620692</v>
      </c>
      <c r="W431" s="4">
        <v>56.6</v>
      </c>
      <c r="X431" s="4">
        <f t="shared" si="1951"/>
        <v>0.8706995887826271</v>
      </c>
      <c r="Y431" s="38">
        <f t="shared" si="1994"/>
        <v>12.7</v>
      </c>
      <c r="Z431" s="38">
        <v>12</v>
      </c>
      <c r="AA431" s="39">
        <f>4*25.4</f>
        <v>101.6</v>
      </c>
      <c r="AB431" s="39">
        <v>2</v>
      </c>
      <c r="AC431" s="39">
        <f>AB431-1</f>
        <v>1</v>
      </c>
      <c r="AD431" s="7"/>
      <c r="AE431" s="4">
        <f t="shared" si="1952"/>
        <v>317.5</v>
      </c>
      <c r="AF431" s="4">
        <f t="shared" si="1953"/>
        <v>0.58133333333333337</v>
      </c>
      <c r="AG431" s="4">
        <f t="shared" si="1954"/>
        <v>176.97719173373653</v>
      </c>
      <c r="AH431" s="4">
        <f t="shared" si="1955"/>
        <v>0.75447999999999993</v>
      </c>
      <c r="AI431" s="4">
        <v>1.25</v>
      </c>
      <c r="AJ431" s="4">
        <f t="shared" si="1878"/>
        <v>2.5</v>
      </c>
      <c r="AK431" s="38">
        <f t="shared" si="1729"/>
        <v>242.57178210833959</v>
      </c>
      <c r="AL431" s="38">
        <f t="shared" si="1986"/>
        <v>242.57178210833959</v>
      </c>
      <c r="AM431" s="38">
        <f t="shared" si="1956"/>
        <v>3.4926701740126327</v>
      </c>
      <c r="AN431" s="38">
        <f t="shared" si="1893"/>
        <v>242.57178210833953</v>
      </c>
      <c r="AO431" s="38">
        <f t="shared" si="1845"/>
        <v>1.0000000000000002</v>
      </c>
      <c r="AP431" s="38">
        <f t="shared" si="1894"/>
        <v>1.5619765341272129</v>
      </c>
      <c r="AQ431" s="4">
        <f t="shared" si="1895"/>
        <v>0</v>
      </c>
      <c r="AR431" s="4" t="e">
        <f>#REF!/G431*F431^0.5/0.19</f>
        <v>#REF!</v>
      </c>
      <c r="AS431" s="4">
        <f t="shared" si="1957"/>
        <v>1</v>
      </c>
      <c r="AT431" s="38">
        <f t="shared" si="1958"/>
        <v>378.89143149464564</v>
      </c>
      <c r="AU431" s="4">
        <f t="shared" si="1959"/>
        <v>0.45399999999999996</v>
      </c>
      <c r="AV431" s="4" t="e">
        <f>AU431*D431*#REF!/(D431*G431/2.75/F431^0.5)</f>
        <v>#REF!</v>
      </c>
      <c r="AW431" s="4" t="e">
        <f t="shared" si="1793"/>
        <v>#REF!</v>
      </c>
      <c r="AY431" s="4">
        <f t="shared" si="1960"/>
        <v>1.5</v>
      </c>
      <c r="AZ431" s="4" t="e">
        <f>(3*#REF!+30)*AY431*F431^0.5</f>
        <v>#REF!</v>
      </c>
      <c r="BB431" s="4">
        <f t="shared" si="1961"/>
        <v>363.40321820612149</v>
      </c>
      <c r="BC431" s="4">
        <f t="shared" si="1822"/>
        <v>0</v>
      </c>
      <c r="BD431" s="4">
        <f t="shared" si="1794"/>
        <v>0</v>
      </c>
      <c r="BL431" s="4">
        <f t="shared" si="1962"/>
        <v>68.58</v>
      </c>
      <c r="BP431" s="9"/>
      <c r="BR431" s="9"/>
      <c r="BS431" s="9"/>
      <c r="BT431" s="9">
        <f t="shared" si="1963"/>
        <v>68.58</v>
      </c>
      <c r="BU431" s="9">
        <f t="shared" si="1964"/>
        <v>172.46600000000001</v>
      </c>
      <c r="BV431" s="9">
        <f t="shared" si="1965"/>
        <v>1.5890890215144411</v>
      </c>
      <c r="BW431" s="40">
        <f t="shared" si="1738"/>
        <v>20</v>
      </c>
      <c r="BX431" s="9">
        <f t="shared" si="1966"/>
        <v>0.05</v>
      </c>
      <c r="BY431" s="9">
        <f t="shared" si="1795"/>
        <v>0.8</v>
      </c>
      <c r="BZ431" s="9">
        <f t="shared" si="1967"/>
        <v>0.89777220146327208</v>
      </c>
      <c r="CA431" s="9">
        <f t="shared" si="1968"/>
        <v>0.68</v>
      </c>
      <c r="CB431" s="9">
        <f t="shared" si="1969"/>
        <v>1.3466984227273664</v>
      </c>
      <c r="CC431" s="9">
        <f t="shared" si="1970"/>
        <v>3.217382417028765</v>
      </c>
      <c r="CD431" s="40">
        <v>1</v>
      </c>
      <c r="CE431" s="9" t="e">
        <f>4*CC431*#REF!+60*CC431</f>
        <v>#REF!</v>
      </c>
      <c r="CG431" s="4" t="e">
        <f t="shared" si="1796"/>
        <v>#REF!</v>
      </c>
      <c r="CH431" s="4" t="e">
        <f t="shared" si="1797"/>
        <v>#REF!</v>
      </c>
      <c r="CI431" s="4" t="e">
        <f t="shared" si="1798"/>
        <v>#REF!</v>
      </c>
      <c r="CJ431" s="4" t="e">
        <f t="shared" si="1799"/>
        <v>#REF!</v>
      </c>
      <c r="CK431" s="4">
        <f t="shared" si="1800"/>
        <v>0.8706995887826271</v>
      </c>
      <c r="CL431" s="4">
        <f t="shared" si="1801"/>
        <v>0.93377048827409681</v>
      </c>
      <c r="CM431" s="4">
        <f t="shared" si="1699"/>
        <v>0.92343789210776062</v>
      </c>
      <c r="CN431" s="4">
        <f t="shared" si="1739"/>
        <v>12</v>
      </c>
      <c r="CU431" s="4" t="e">
        <f t="shared" ref="CU431" si="2010">CG431</f>
        <v>#REF!</v>
      </c>
      <c r="CV431" s="4" t="e">
        <f t="shared" ref="CV431" si="2011">CH431</f>
        <v>#REF!</v>
      </c>
      <c r="CW431" s="4" t="e">
        <f t="shared" ref="CW431" si="2012">CJ431</f>
        <v>#REF!</v>
      </c>
      <c r="CX431" s="4">
        <f t="shared" ref="CX431" si="2013">CM431</f>
        <v>0.92343789210776062</v>
      </c>
      <c r="CY431" s="4">
        <f t="shared" ref="CY431" si="2014">CK431</f>
        <v>0.8706995887826271</v>
      </c>
      <c r="CZ431" s="4">
        <f t="shared" ref="CZ431" si="2015">CL431</f>
        <v>0.93377048827409681</v>
      </c>
      <c r="DC431" s="4" t="e">
        <f>#REF!</f>
        <v>#REF!</v>
      </c>
      <c r="DF431" s="4">
        <f t="shared" si="1971"/>
        <v>1.6923931064562959E-5</v>
      </c>
      <c r="DG431" s="4">
        <f t="shared" si="1802"/>
        <v>6.7084964135054195</v>
      </c>
      <c r="DH431" s="4">
        <f t="shared" si="1972"/>
        <v>0.48299088697336229</v>
      </c>
      <c r="DI431" s="4">
        <f t="shared" si="1803"/>
        <v>5.0141897708041316</v>
      </c>
      <c r="DJ431" s="4">
        <f t="shared" si="1804"/>
        <v>5.92237204977069</v>
      </c>
      <c r="DK431" s="4">
        <f t="shared" si="1973"/>
        <v>6.3474171439442504</v>
      </c>
      <c r="DL431" s="38">
        <f t="shared" si="1974"/>
        <v>448.31171694013256</v>
      </c>
      <c r="DM431" s="4" t="e">
        <f t="shared" si="1805"/>
        <v>#REF!</v>
      </c>
      <c r="DN431" s="4">
        <f t="shared" si="1975"/>
        <v>2.2135943621178655</v>
      </c>
      <c r="DO431" s="4">
        <f t="shared" si="1697"/>
        <v>242.57178210833953</v>
      </c>
      <c r="DS431" s="4">
        <f t="shared" si="1976"/>
        <v>0.85</v>
      </c>
      <c r="DT431" s="4">
        <f t="shared" si="1977"/>
        <v>0.90851063829787226</v>
      </c>
      <c r="DU431" s="4">
        <f t="shared" si="1978"/>
        <v>0.9995510789195714</v>
      </c>
      <c r="DV431" s="4">
        <f t="shared" si="1806"/>
        <v>0.90810278872054673</v>
      </c>
      <c r="DX431" s="4">
        <f t="shared" si="1979"/>
        <v>418.03080359466878</v>
      </c>
      <c r="DY431" s="25">
        <f t="shared" si="1870"/>
        <v>239.61334578867351</v>
      </c>
      <c r="EA431" s="4">
        <f t="shared" si="1871"/>
        <v>0.77188737041246469</v>
      </c>
      <c r="EB431" s="4">
        <f t="shared" si="1980"/>
        <v>6.7084964135054195</v>
      </c>
      <c r="EE431" s="4">
        <f t="shared" si="1981"/>
        <v>79.277668484889219</v>
      </c>
      <c r="EF431" s="4">
        <f t="shared" si="1807"/>
        <v>2.2135943621178655</v>
      </c>
      <c r="EG431" s="4">
        <f t="shared" si="1982"/>
        <v>0.16645676212454794</v>
      </c>
      <c r="EJ431" s="4">
        <f t="shared" si="1808"/>
        <v>0.16645676212454794</v>
      </c>
      <c r="EK431" s="4">
        <f t="shared" si="1983"/>
        <v>0.4821848652002681</v>
      </c>
      <c r="EL431" s="4">
        <f t="shared" si="1809"/>
        <v>5.0108409943217955</v>
      </c>
      <c r="EM431" s="4">
        <f t="shared" si="1810"/>
        <v>5.9209557835987123</v>
      </c>
      <c r="EN431" s="4" t="e">
        <f t="shared" si="1811"/>
        <v>#REF!</v>
      </c>
      <c r="EO431" s="4" t="e">
        <f t="shared" si="1812"/>
        <v>#REF!</v>
      </c>
      <c r="EP431" s="4" t="e">
        <f t="shared" si="1984"/>
        <v>#REF!</v>
      </c>
      <c r="EQ431" s="4" t="e">
        <f t="shared" si="1813"/>
        <v>#REF!</v>
      </c>
      <c r="ER431" s="4" t="e">
        <f t="shared" si="1985"/>
        <v>#REF!</v>
      </c>
      <c r="FA431" s="23" t="e">
        <f t="shared" si="1772"/>
        <v>#REF!</v>
      </c>
      <c r="FB431" s="23" t="e">
        <f t="shared" si="1773"/>
        <v>#REF!</v>
      </c>
      <c r="FC431" s="23">
        <f t="shared" si="1706"/>
        <v>1</v>
      </c>
      <c r="FD431" s="23" t="e">
        <f t="shared" si="1774"/>
        <v>#REF!</v>
      </c>
      <c r="FE431" s="23">
        <f t="shared" si="1775"/>
        <v>1</v>
      </c>
      <c r="FF431" s="23">
        <f t="shared" si="1776"/>
        <v>1</v>
      </c>
      <c r="FG431" s="23">
        <f t="shared" si="1993"/>
        <v>0</v>
      </c>
      <c r="FH431" s="23"/>
      <c r="FR431" s="4">
        <f t="shared" si="1852"/>
        <v>1</v>
      </c>
      <c r="FS431" s="4">
        <f t="shared" si="1853"/>
        <v>0.44214730608235164</v>
      </c>
      <c r="FT431" s="4">
        <f t="shared" si="1854"/>
        <v>0.25149640360142855</v>
      </c>
      <c r="FU431" s="4">
        <f t="shared" si="1855"/>
        <v>422.7082632436049</v>
      </c>
    </row>
    <row r="432" spans="2:177" ht="12" customHeight="1" x14ac:dyDescent="0.3">
      <c r="B432" s="14"/>
      <c r="C432" s="7" t="s">
        <v>580</v>
      </c>
      <c r="D432" s="38">
        <f t="shared" si="2008"/>
        <v>931.0344827586207</v>
      </c>
      <c r="E432" s="38">
        <f>17.25*25.4</f>
        <v>438.15</v>
      </c>
      <c r="F432" s="38">
        <f>5760/145</f>
        <v>39.724137931034484</v>
      </c>
      <c r="G432" s="38">
        <f t="shared" si="2009"/>
        <v>35.813999999999993</v>
      </c>
      <c r="H432" s="38">
        <f>21.9*25.4</f>
        <v>556.25999999999988</v>
      </c>
      <c r="I432" s="38">
        <f>2.75*25.4</f>
        <v>69.849999999999994</v>
      </c>
      <c r="J432" s="39">
        <f>3.25*25.4</f>
        <v>82.55</v>
      </c>
      <c r="K432" s="7">
        <f t="shared" si="1727"/>
        <v>344.9319999999999</v>
      </c>
      <c r="L432" s="38">
        <v>2</v>
      </c>
      <c r="M432" s="4">
        <f t="shared" si="1843"/>
        <v>508</v>
      </c>
      <c r="N432" s="7">
        <f t="shared" si="1947"/>
        <v>2.4503546099290783</v>
      </c>
      <c r="O432" s="7">
        <f t="shared" si="1948"/>
        <v>2.4503546099290783</v>
      </c>
      <c r="P432" s="38">
        <v>3.9</v>
      </c>
      <c r="Q432" s="4">
        <f t="shared" si="1736"/>
        <v>3.9</v>
      </c>
      <c r="R432" s="4">
        <f t="shared" si="1949"/>
        <v>4.9000000000000004</v>
      </c>
      <c r="S432" s="7">
        <f t="shared" si="1950"/>
        <v>79.277668484889219</v>
      </c>
      <c r="V432" s="38">
        <f t="shared" si="1777"/>
        <v>586.89655172413791</v>
      </c>
      <c r="W432" s="4">
        <v>85.1</v>
      </c>
      <c r="X432" s="4">
        <f t="shared" si="1951"/>
        <v>1.0281950348313329</v>
      </c>
      <c r="Y432" s="38"/>
      <c r="Z432" s="38"/>
      <c r="AA432" s="39">
        <v>1</v>
      </c>
      <c r="AB432" s="39"/>
      <c r="AC432" s="39"/>
      <c r="AD432" s="7"/>
      <c r="AE432" s="4">
        <f t="shared" si="1952"/>
        <v>438.15</v>
      </c>
      <c r="AF432" s="4">
        <f t="shared" si="1953"/>
        <v>0.42318840579710132</v>
      </c>
      <c r="AG432" s="4">
        <f t="shared" si="1954"/>
        <v>286.90355464864228</v>
      </c>
      <c r="AH432" s="4">
        <f t="shared" si="1955"/>
        <v>0.74005797101449267</v>
      </c>
      <c r="AI432" s="4">
        <v>1.25</v>
      </c>
      <c r="AJ432" s="4">
        <f t="shared" si="1878"/>
        <v>2.5</v>
      </c>
      <c r="AK432" s="38">
        <f t="shared" si="1729"/>
        <v>280.79246675178877</v>
      </c>
      <c r="AL432" s="38">
        <f t="shared" si="1986"/>
        <v>280.79246675178877</v>
      </c>
      <c r="AM432" s="38">
        <f t="shared" si="1956"/>
        <v>3.4926701740126327</v>
      </c>
      <c r="AN432" s="38">
        <f t="shared" si="1893"/>
        <v>280.79246675178882</v>
      </c>
      <c r="AO432" s="38">
        <f t="shared" si="1845"/>
        <v>0.99999999999999978</v>
      </c>
      <c r="AP432" s="38">
        <f t="shared" si="1894"/>
        <v>1.3691791192677361</v>
      </c>
      <c r="AQ432" s="4">
        <f t="shared" si="1895"/>
        <v>0</v>
      </c>
      <c r="AR432" s="4" t="e">
        <f>#REF!/G432*F432^0.5/0.19</f>
        <v>#REF!</v>
      </c>
      <c r="AS432" s="4">
        <f t="shared" si="1957"/>
        <v>1</v>
      </c>
      <c r="AT432" s="38">
        <f t="shared" si="1958"/>
        <v>384.45518232422927</v>
      </c>
      <c r="AU432" s="4">
        <f t="shared" si="1959"/>
        <v>0.45399999999999996</v>
      </c>
      <c r="AV432" s="4" t="e">
        <f>AU432*D432*#REF!/(D432*G432/2.75/F432^0.5)</f>
        <v>#REF!</v>
      </c>
      <c r="AW432" s="4" t="e">
        <f t="shared" si="1793"/>
        <v>#REF!</v>
      </c>
      <c r="AY432" s="4">
        <f t="shared" si="1960"/>
        <v>1.2375886524822697</v>
      </c>
      <c r="AZ432" s="4" t="e">
        <f>(3*#REF!+30)*AY432*F432^0.5</f>
        <v>#REF!</v>
      </c>
      <c r="BB432" s="4">
        <f t="shared" si="1961"/>
        <v>368.7395356540822</v>
      </c>
      <c r="BC432" s="4">
        <f t="shared" si="1822"/>
        <v>0</v>
      </c>
      <c r="BD432" s="4">
        <f t="shared" si="1794"/>
        <v>0</v>
      </c>
      <c r="BL432" s="4">
        <f t="shared" si="1962"/>
        <v>69.849999999999994</v>
      </c>
      <c r="BP432" s="9"/>
      <c r="BR432" s="9"/>
      <c r="BS432" s="9"/>
      <c r="BT432" s="9">
        <f t="shared" si="1963"/>
        <v>69.849999999999994</v>
      </c>
      <c r="BU432" s="9">
        <f t="shared" si="1964"/>
        <v>172.46599999999995</v>
      </c>
      <c r="BV432" s="9">
        <f t="shared" si="1965"/>
        <v>1.5993273076622354</v>
      </c>
      <c r="BW432" s="40">
        <f t="shared" si="1738"/>
        <v>0</v>
      </c>
      <c r="BX432" s="9">
        <f t="shared" si="1966"/>
        <v>0</v>
      </c>
      <c r="BY432" s="9">
        <f t="shared" si="1795"/>
        <v>0</v>
      </c>
      <c r="BZ432" s="9">
        <f t="shared" si="1967"/>
        <v>0.89777220146327208</v>
      </c>
      <c r="CA432" s="9">
        <f t="shared" si="1968"/>
        <v>0.68</v>
      </c>
      <c r="CB432" s="9">
        <f t="shared" si="1969"/>
        <v>1.3466984227273664</v>
      </c>
      <c r="CC432" s="9">
        <f t="shared" si="1970"/>
        <v>2.1538115626535377</v>
      </c>
      <c r="CD432" s="40">
        <v>1</v>
      </c>
      <c r="CE432" s="9" t="e">
        <f>4*CC432*#REF!+60*CC432</f>
        <v>#REF!</v>
      </c>
      <c r="CG432" s="4" t="e">
        <f t="shared" si="1796"/>
        <v>#REF!</v>
      </c>
      <c r="CH432" s="4" t="e">
        <f t="shared" si="1797"/>
        <v>#REF!</v>
      </c>
      <c r="CI432" s="4" t="e">
        <f t="shared" si="1798"/>
        <v>#REF!</v>
      </c>
      <c r="CJ432" s="4" t="e">
        <f t="shared" si="1799"/>
        <v>#REF!</v>
      </c>
      <c r="CK432" s="4">
        <f t="shared" si="1800"/>
        <v>1.0281950348313329</v>
      </c>
      <c r="CL432" s="4">
        <f t="shared" si="1801"/>
        <v>1.1167546869959355</v>
      </c>
      <c r="CM432" s="4">
        <f t="shared" si="1699"/>
        <v>1.1377445264616732</v>
      </c>
      <c r="CN432" s="4">
        <f t="shared" si="1739"/>
        <v>0</v>
      </c>
      <c r="CO432" s="4" t="e">
        <f t="shared" ref="CO432" si="2016">CG432</f>
        <v>#REF!</v>
      </c>
      <c r="CP432" s="4" t="e">
        <f t="shared" ref="CP432" si="2017">CH432</f>
        <v>#REF!</v>
      </c>
      <c r="CQ432" s="4" t="e">
        <f t="shared" ref="CQ432" si="2018">CJ432</f>
        <v>#REF!</v>
      </c>
      <c r="CR432" s="4">
        <f t="shared" ref="CR432" si="2019">CM432</f>
        <v>1.1377445264616732</v>
      </c>
      <c r="CS432" s="4">
        <f t="shared" ref="CS432" si="2020">CK432</f>
        <v>1.0281950348313329</v>
      </c>
      <c r="CT432" s="4">
        <f t="shared" ref="CT432" si="2021">CL432</f>
        <v>1.1167546869959355</v>
      </c>
      <c r="DC432" s="4" t="e">
        <f>#REF!</f>
        <v>#REF!</v>
      </c>
      <c r="DF432" s="4">
        <f t="shared" si="1971"/>
        <v>2.3355024869096883E-5</v>
      </c>
      <c r="DG432" s="4">
        <f t="shared" si="1802"/>
        <v>6.7317602388156281</v>
      </c>
      <c r="DH432" s="4">
        <f t="shared" si="1972"/>
        <v>0.55909307089689819</v>
      </c>
      <c r="DI432" s="4">
        <f t="shared" si="1803"/>
        <v>5.3348508677845992</v>
      </c>
      <c r="DJ432" s="4">
        <f t="shared" si="1804"/>
        <v>6.0736531857113283</v>
      </c>
      <c r="DK432" s="4">
        <f t="shared" si="1973"/>
        <v>6.0189362004704252</v>
      </c>
      <c r="DL432" s="38">
        <f t="shared" si="1974"/>
        <v>570.80274835251817</v>
      </c>
      <c r="DM432" s="4" t="e">
        <f t="shared" si="1805"/>
        <v>#REF!</v>
      </c>
      <c r="DN432" s="4">
        <f t="shared" si="1975"/>
        <v>2.2135943621178655</v>
      </c>
      <c r="DO432" s="4">
        <f t="shared" si="1697"/>
        <v>280.79246675178882</v>
      </c>
      <c r="DS432" s="4">
        <f t="shared" si="1976"/>
        <v>0.85</v>
      </c>
      <c r="DT432" s="4">
        <f t="shared" si="1977"/>
        <v>0.90496453900709217</v>
      </c>
      <c r="DU432" s="4">
        <f t="shared" si="1978"/>
        <v>1</v>
      </c>
      <c r="DV432" s="4">
        <f t="shared" si="1806"/>
        <v>0.90496453900709217</v>
      </c>
      <c r="DX432" s="4">
        <f t="shared" si="1979"/>
        <v>525.53757647786256</v>
      </c>
      <c r="DY432" s="25">
        <f t="shared" si="1870"/>
        <v>278.46765281920381</v>
      </c>
      <c r="EA432" s="4">
        <f t="shared" si="1871"/>
        <v>0.76921985815602834</v>
      </c>
      <c r="EB432" s="4">
        <f t="shared" si="1980"/>
        <v>6.7317602388156281</v>
      </c>
      <c r="EE432" s="4">
        <f t="shared" si="1981"/>
        <v>79.277668484889219</v>
      </c>
      <c r="EF432" s="4">
        <f t="shared" si="1807"/>
        <v>2.2135943621178655</v>
      </c>
      <c r="EG432" s="4">
        <f t="shared" si="1982"/>
        <v>0.19268442701052596</v>
      </c>
      <c r="EJ432" s="4">
        <f t="shared" si="1808"/>
        <v>0.19268442701052596</v>
      </c>
      <c r="EK432" s="4">
        <f t="shared" si="1983"/>
        <v>0.5581600487623547</v>
      </c>
      <c r="EL432" s="4">
        <f t="shared" si="1809"/>
        <v>5.3312879346010904</v>
      </c>
      <c r="EM432" s="4">
        <f t="shared" si="1810"/>
        <v>6.0720893144862593</v>
      </c>
      <c r="EN432" s="4" t="e">
        <f t="shared" si="1811"/>
        <v>#REF!</v>
      </c>
      <c r="EO432" s="4" t="e">
        <f t="shared" si="1812"/>
        <v>#REF!</v>
      </c>
      <c r="EP432" s="4" t="e">
        <f t="shared" si="1984"/>
        <v>#REF!</v>
      </c>
      <c r="EQ432" s="4" t="e">
        <f t="shared" si="1813"/>
        <v>#REF!</v>
      </c>
      <c r="ER432" s="4" t="e">
        <f t="shared" si="1985"/>
        <v>#REF!</v>
      </c>
      <c r="FA432" s="23" t="e">
        <f t="shared" si="1772"/>
        <v>#REF!</v>
      </c>
      <c r="FB432" s="23" t="e">
        <f t="shared" si="1773"/>
        <v>#REF!</v>
      </c>
      <c r="FC432" s="23">
        <f t="shared" si="1706"/>
        <v>1.2</v>
      </c>
      <c r="FD432" s="23" t="e">
        <f t="shared" si="1774"/>
        <v>#REF!</v>
      </c>
      <c r="FE432" s="23">
        <f t="shared" si="1775"/>
        <v>1.2</v>
      </c>
      <c r="FF432" s="23">
        <f t="shared" si="1776"/>
        <v>1.2</v>
      </c>
      <c r="FG432" s="23">
        <f t="shared" si="1993"/>
        <v>0</v>
      </c>
      <c r="FH432" s="23"/>
      <c r="FR432" s="4">
        <f t="shared" si="1852"/>
        <v>1</v>
      </c>
      <c r="FS432" s="4">
        <f t="shared" si="1853"/>
        <v>0.5</v>
      </c>
      <c r="FT432" s="4">
        <f t="shared" si="1854"/>
        <v>0</v>
      </c>
      <c r="FU432" s="4">
        <f t="shared" si="1855"/>
        <v>515.84212279127007</v>
      </c>
    </row>
    <row r="433" spans="2:177" ht="12" customHeight="1" x14ac:dyDescent="0.3">
      <c r="B433" s="14"/>
      <c r="C433" s="7" t="s">
        <v>581</v>
      </c>
      <c r="D433" s="38">
        <f t="shared" si="2008"/>
        <v>931.0344827586207</v>
      </c>
      <c r="E433" s="38">
        <f>16.94*25.4</f>
        <v>430.27600000000001</v>
      </c>
      <c r="F433" s="38">
        <f>5970/145</f>
        <v>41.172413793103445</v>
      </c>
      <c r="G433" s="38">
        <f t="shared" si="2009"/>
        <v>35.813999999999993</v>
      </c>
      <c r="H433" s="38">
        <f>21.5*25.4</f>
        <v>546.1</v>
      </c>
      <c r="I433" s="38">
        <f>2.55*25.4</f>
        <v>64.77</v>
      </c>
      <c r="J433" s="39">
        <f>3.7*25.4</f>
        <v>93.98</v>
      </c>
      <c r="K433" s="7">
        <f t="shared" si="1727"/>
        <v>344.93200000000002</v>
      </c>
      <c r="L433" s="38">
        <v>2</v>
      </c>
      <c r="M433" s="4">
        <f t="shared" si="1843"/>
        <v>508</v>
      </c>
      <c r="N433" s="7">
        <f t="shared" si="1947"/>
        <v>2.3085106382978724</v>
      </c>
      <c r="O433" s="7">
        <f t="shared" si="1948"/>
        <v>2.3085106382978724</v>
      </c>
      <c r="P433" s="38">
        <v>3.9</v>
      </c>
      <c r="Q433" s="4">
        <f t="shared" si="1736"/>
        <v>3.9</v>
      </c>
      <c r="R433" s="4">
        <f t="shared" si="1949"/>
        <v>4.9000000000000004</v>
      </c>
      <c r="S433" s="7">
        <f t="shared" si="1950"/>
        <v>79.277668484889219</v>
      </c>
      <c r="V433" s="38">
        <f t="shared" si="1777"/>
        <v>671.72413793103453</v>
      </c>
      <c r="W433" s="4">
        <v>97.4</v>
      </c>
      <c r="X433" s="4">
        <f t="shared" si="1951"/>
        <v>1.1970277979743196</v>
      </c>
      <c r="Y433" s="38">
        <f t="shared" si="1994"/>
        <v>12.7</v>
      </c>
      <c r="Z433" s="38">
        <v>12</v>
      </c>
      <c r="AA433" s="39">
        <f>4*25.4</f>
        <v>101.6</v>
      </c>
      <c r="AB433" s="39">
        <v>2</v>
      </c>
      <c r="AC433" s="39">
        <f>AB433-1</f>
        <v>1</v>
      </c>
      <c r="AD433" s="7"/>
      <c r="AE433" s="4">
        <f t="shared" si="1952"/>
        <v>430.27600000000001</v>
      </c>
      <c r="AF433" s="4">
        <f t="shared" si="1953"/>
        <v>0.42306178669815031</v>
      </c>
      <c r="AG433" s="4">
        <f t="shared" si="1954"/>
        <v>284.24858588831904</v>
      </c>
      <c r="AH433" s="4">
        <f t="shared" si="1955"/>
        <v>0.73842975206611561</v>
      </c>
      <c r="AI433" s="4">
        <v>1.25</v>
      </c>
      <c r="AJ433" s="4">
        <f t="shared" si="1878"/>
        <v>2.5</v>
      </c>
      <c r="AK433" s="38">
        <f t="shared" si="1729"/>
        <v>277.49893467489983</v>
      </c>
      <c r="AL433" s="38">
        <f t="shared" si="1986"/>
        <v>277.49893467489983</v>
      </c>
      <c r="AM433" s="38">
        <f t="shared" si="1956"/>
        <v>3.5770538153249696</v>
      </c>
      <c r="AN433" s="38">
        <f t="shared" si="1893"/>
        <v>277.49893467490006</v>
      </c>
      <c r="AO433" s="38">
        <f t="shared" si="1845"/>
        <v>0.99999999999999922</v>
      </c>
      <c r="AP433" s="38">
        <f t="shared" si="1894"/>
        <v>1.3528174236246544</v>
      </c>
      <c r="AQ433" s="4">
        <f t="shared" si="1895"/>
        <v>0</v>
      </c>
      <c r="AR433" s="4" t="e">
        <f>#REF!/G433*F433^0.5/0.19</f>
        <v>#REF!</v>
      </c>
      <c r="AS433" s="4">
        <f t="shared" si="1957"/>
        <v>1</v>
      </c>
      <c r="AT433" s="38">
        <f t="shared" si="1958"/>
        <v>375.4053938654846</v>
      </c>
      <c r="AU433" s="4">
        <f t="shared" si="1959"/>
        <v>0.45399999999999996</v>
      </c>
      <c r="AV433" s="4" t="e">
        <f>AU433*D433*#REF!/(D433*G433/2.75/F433^0.5)</f>
        <v>#REF!</v>
      </c>
      <c r="AW433" s="4" t="e">
        <f t="shared" si="1793"/>
        <v>#REF!</v>
      </c>
      <c r="AY433" s="4">
        <f t="shared" si="1960"/>
        <v>1.5</v>
      </c>
      <c r="AZ433" s="4" t="e">
        <f>(3*#REF!+30)*AY433*F433^0.5</f>
        <v>#REF!</v>
      </c>
      <c r="BB433" s="4">
        <f t="shared" si="1961"/>
        <v>360.05968180513355</v>
      </c>
      <c r="BC433" s="4">
        <f t="shared" ref="BC433:BC453" si="2022">8/3*T433*U433^2/(S433-G433-22)/G433*(S433^2-G433^2)/(S433^2-(G433+22)^2)</f>
        <v>0</v>
      </c>
      <c r="BD433" s="4">
        <f t="shared" si="1794"/>
        <v>0</v>
      </c>
      <c r="BL433" s="4">
        <f t="shared" si="1962"/>
        <v>64.77</v>
      </c>
      <c r="BP433" s="9"/>
      <c r="BR433" s="9"/>
      <c r="BS433" s="9"/>
      <c r="BT433" s="9">
        <f t="shared" si="1963"/>
        <v>64.77</v>
      </c>
      <c r="BU433" s="9">
        <f t="shared" si="1964"/>
        <v>172.46600000000001</v>
      </c>
      <c r="BV433" s="9">
        <f t="shared" si="1965"/>
        <v>1.5576144696639249</v>
      </c>
      <c r="BW433" s="40">
        <f t="shared" si="1738"/>
        <v>20</v>
      </c>
      <c r="BX433" s="9">
        <f t="shared" si="1966"/>
        <v>0.05</v>
      </c>
      <c r="BY433" s="9">
        <f t="shared" si="1795"/>
        <v>0.8</v>
      </c>
      <c r="BZ433" s="9">
        <f t="shared" si="1967"/>
        <v>0.89777220146327208</v>
      </c>
      <c r="CA433" s="9">
        <f t="shared" si="1968"/>
        <v>0.68</v>
      </c>
      <c r="CB433" s="9">
        <f t="shared" si="1969"/>
        <v>1.3710278453315501</v>
      </c>
      <c r="CC433" s="9">
        <f t="shared" si="1970"/>
        <v>3.2323550864658164</v>
      </c>
      <c r="CD433" s="40">
        <v>1</v>
      </c>
      <c r="CE433" s="9" t="e">
        <f>4*CC433*#REF!+60*CC433</f>
        <v>#REF!</v>
      </c>
      <c r="CG433" s="4" t="e">
        <f t="shared" si="1796"/>
        <v>#REF!</v>
      </c>
      <c r="CH433" s="4" t="e">
        <f t="shared" si="1797"/>
        <v>#REF!</v>
      </c>
      <c r="CI433" s="4" t="e">
        <f t="shared" si="1798"/>
        <v>#REF!</v>
      </c>
      <c r="CJ433" s="4" t="e">
        <f t="shared" si="1799"/>
        <v>#REF!</v>
      </c>
      <c r="CK433" s="4">
        <f t="shared" si="1800"/>
        <v>1.1970277979743196</v>
      </c>
      <c r="CL433" s="4">
        <f t="shared" si="1801"/>
        <v>1.2956424138648808</v>
      </c>
      <c r="CM433" s="4">
        <f t="shared" si="1699"/>
        <v>1.1621411039397247</v>
      </c>
      <c r="CN433" s="4">
        <f t="shared" si="1739"/>
        <v>12</v>
      </c>
      <c r="CU433" s="4" t="e">
        <f t="shared" ref="CU433" si="2023">CG433</f>
        <v>#REF!</v>
      </c>
      <c r="CV433" s="4" t="e">
        <f t="shared" ref="CV433" si="2024">CH433</f>
        <v>#REF!</v>
      </c>
      <c r="CW433" s="4" t="e">
        <f t="shared" ref="CW433" si="2025">CJ433</f>
        <v>#REF!</v>
      </c>
      <c r="CX433" s="4">
        <f t="shared" ref="CX433" si="2026">CM433</f>
        <v>1.1621411039397247</v>
      </c>
      <c r="CY433" s="4">
        <f t="shared" ref="CY433" si="2027">CK433</f>
        <v>1.1970277979743196</v>
      </c>
      <c r="CZ433" s="4">
        <f t="shared" ref="CZ433" si="2028">CL433</f>
        <v>1.2956424138648808</v>
      </c>
      <c r="DC433" s="4" t="e">
        <f>#REF!</f>
        <v>#REF!</v>
      </c>
      <c r="DF433" s="4">
        <f t="shared" si="1971"/>
        <v>2.3155863189575028E-5</v>
      </c>
      <c r="DG433" s="4">
        <f t="shared" si="1802"/>
        <v>6.7506445941972286</v>
      </c>
      <c r="DH433" s="4">
        <f t="shared" si="1972"/>
        <v>0.53309932205670096</v>
      </c>
      <c r="DI433" s="4">
        <f t="shared" si="1803"/>
        <v>5.248902383941342</v>
      </c>
      <c r="DJ433" s="4">
        <f t="shared" si="1804"/>
        <v>6.0466489501837426</v>
      </c>
      <c r="DK433" s="4">
        <f t="shared" si="1973"/>
        <v>6.0585023027312088</v>
      </c>
      <c r="DL433" s="38">
        <f t="shared" si="1974"/>
        <v>561.16001572207881</v>
      </c>
      <c r="DM433" s="4" t="e">
        <f t="shared" si="1805"/>
        <v>#REF!</v>
      </c>
      <c r="DN433" s="4">
        <f t="shared" si="1975"/>
        <v>2.2135943621178655</v>
      </c>
      <c r="DO433" s="4">
        <f t="shared" si="1697"/>
        <v>277.49893467490006</v>
      </c>
      <c r="DS433" s="4">
        <f t="shared" si="1976"/>
        <v>0.85</v>
      </c>
      <c r="DT433" s="4">
        <f t="shared" si="1977"/>
        <v>0.91914893617021276</v>
      </c>
      <c r="DU433" s="4">
        <f t="shared" si="1978"/>
        <v>0.9995510789195714</v>
      </c>
      <c r="DV433" s="4">
        <f t="shared" si="1806"/>
        <v>0.91873631083671248</v>
      </c>
      <c r="DX433" s="4">
        <f t="shared" si="1979"/>
        <v>518.44870987766762</v>
      </c>
      <c r="DY433" s="25">
        <f t="shared" si="1870"/>
        <v>275.13824301447386</v>
      </c>
      <c r="EA433" s="4">
        <f t="shared" si="1871"/>
        <v>0.78092586421120558</v>
      </c>
      <c r="EB433" s="4">
        <f t="shared" si="1980"/>
        <v>6.7506445941972286</v>
      </c>
      <c r="EE433" s="4">
        <f t="shared" si="1981"/>
        <v>79.277668484889219</v>
      </c>
      <c r="EF433" s="4">
        <f t="shared" si="1807"/>
        <v>2.2135943621178655</v>
      </c>
      <c r="EG433" s="4">
        <f t="shared" si="1982"/>
        <v>0.1870451967137802</v>
      </c>
      <c r="EJ433" s="4">
        <f t="shared" si="1808"/>
        <v>0.1870451967137802</v>
      </c>
      <c r="EK433" s="4">
        <f t="shared" si="1983"/>
        <v>0.53220967864439561</v>
      </c>
      <c r="EL433" s="4">
        <f t="shared" si="1809"/>
        <v>5.2453968523071453</v>
      </c>
      <c r="EM433" s="4">
        <f t="shared" si="1810"/>
        <v>6.0451284632882327</v>
      </c>
      <c r="EN433" s="4" t="e">
        <f t="shared" si="1811"/>
        <v>#REF!</v>
      </c>
      <c r="EO433" s="4" t="e">
        <f t="shared" si="1812"/>
        <v>#REF!</v>
      </c>
      <c r="EP433" s="4" t="e">
        <f t="shared" si="1984"/>
        <v>#REF!</v>
      </c>
      <c r="EQ433" s="4" t="e">
        <f t="shared" si="1813"/>
        <v>#REF!</v>
      </c>
      <c r="ER433" s="4" t="e">
        <f t="shared" si="1985"/>
        <v>#REF!</v>
      </c>
      <c r="FA433" s="23" t="e">
        <f t="shared" si="1772"/>
        <v>#REF!</v>
      </c>
      <c r="FB433" s="23" t="e">
        <f t="shared" si="1773"/>
        <v>#REF!</v>
      </c>
      <c r="FC433" s="23">
        <f t="shared" si="1706"/>
        <v>1.2</v>
      </c>
      <c r="FD433" s="23" t="e">
        <f t="shared" si="1774"/>
        <v>#REF!</v>
      </c>
      <c r="FE433" s="23">
        <f t="shared" si="1775"/>
        <v>1.2</v>
      </c>
      <c r="FF433" s="23">
        <f t="shared" si="1776"/>
        <v>1.4</v>
      </c>
      <c r="FG433" s="23">
        <f t="shared" si="1993"/>
        <v>0</v>
      </c>
      <c r="FH433" s="23"/>
      <c r="FR433" s="4">
        <f t="shared" si="1852"/>
        <v>1</v>
      </c>
      <c r="FS433" s="4">
        <f t="shared" si="1853"/>
        <v>0.44214730608235164</v>
      </c>
      <c r="FT433" s="4">
        <f t="shared" si="1854"/>
        <v>0.25149640360142855</v>
      </c>
      <c r="FU433" s="4">
        <f t="shared" si="1855"/>
        <v>578.00566183732019</v>
      </c>
    </row>
    <row r="434" spans="2:177" ht="12" customHeight="1" x14ac:dyDescent="0.3">
      <c r="B434" s="14"/>
      <c r="C434" s="7" t="s">
        <v>582</v>
      </c>
      <c r="D434" s="38">
        <f t="shared" si="2008"/>
        <v>931.0344827586207</v>
      </c>
      <c r="E434" s="38">
        <f>14.5*25.4</f>
        <v>368.29999999999995</v>
      </c>
      <c r="F434" s="38">
        <f>5970/145</f>
        <v>41.172413793103445</v>
      </c>
      <c r="G434" s="38">
        <f t="shared" si="2009"/>
        <v>35.813999999999993</v>
      </c>
      <c r="H434" s="38">
        <f>21.7*25.4</f>
        <v>551.17999999999995</v>
      </c>
      <c r="I434" s="38">
        <f>2.55*25.4</f>
        <v>64.77</v>
      </c>
      <c r="J434" s="39">
        <f>3.3*25.4</f>
        <v>83.82</v>
      </c>
      <c r="K434" s="7">
        <f t="shared" si="1727"/>
        <v>350.01199999999994</v>
      </c>
      <c r="L434" s="38">
        <v>2</v>
      </c>
      <c r="M434" s="4">
        <f t="shared" si="1843"/>
        <v>508</v>
      </c>
      <c r="N434" s="7">
        <f t="shared" si="1947"/>
        <v>2.3085106382978724</v>
      </c>
      <c r="O434" s="7">
        <f t="shared" si="1948"/>
        <v>2.3085106382978724</v>
      </c>
      <c r="P434" s="38">
        <v>8.6</v>
      </c>
      <c r="Q434" s="4">
        <f t="shared" si="1736"/>
        <v>8.6</v>
      </c>
      <c r="R434" s="4">
        <f t="shared" si="1949"/>
        <v>9.6</v>
      </c>
      <c r="S434" s="7">
        <f t="shared" si="1950"/>
        <v>110.96562044885792</v>
      </c>
      <c r="V434" s="38">
        <f t="shared" si="1777"/>
        <v>366.20689655172418</v>
      </c>
      <c r="W434" s="4">
        <v>53.1</v>
      </c>
      <c r="X434" s="4">
        <f t="shared" si="1951"/>
        <v>0.75774169091366828</v>
      </c>
      <c r="Y434" s="38"/>
      <c r="Z434" s="38"/>
      <c r="AA434" s="39">
        <v>1</v>
      </c>
      <c r="AB434" s="39"/>
      <c r="AC434" s="39"/>
      <c r="AD434" s="7"/>
      <c r="AE434" s="4">
        <f t="shared" si="1952"/>
        <v>368.29999999999995</v>
      </c>
      <c r="AF434" s="4">
        <f t="shared" si="1953"/>
        <v>0.49885057471264377</v>
      </c>
      <c r="AG434" s="4">
        <f t="shared" si="1954"/>
        <v>225.10244237578763</v>
      </c>
      <c r="AH434" s="4">
        <f t="shared" si="1955"/>
        <v>0.74489655172413793</v>
      </c>
      <c r="AI434" s="4">
        <v>1.25</v>
      </c>
      <c r="AJ434" s="4">
        <f t="shared" si="1878"/>
        <v>2.5</v>
      </c>
      <c r="AK434" s="38">
        <f t="shared" si="1729"/>
        <v>261.39463494941117</v>
      </c>
      <c r="AL434" s="38">
        <f t="shared" si="1986"/>
        <v>261.39463494941117</v>
      </c>
      <c r="AM434" s="38">
        <f t="shared" si="1956"/>
        <v>3.5770538153249696</v>
      </c>
      <c r="AN434" s="38">
        <f t="shared" si="1893"/>
        <v>261.39463494941111</v>
      </c>
      <c r="AO434" s="38">
        <f t="shared" si="1845"/>
        <v>1.0000000000000002</v>
      </c>
      <c r="AP434" s="38">
        <f t="shared" si="1894"/>
        <v>2.1326557642509187</v>
      </c>
      <c r="AQ434" s="4">
        <f t="shared" si="1895"/>
        <v>0</v>
      </c>
      <c r="AR434" s="4" t="e">
        <f>#REF!/G434*F434^0.5/0.19</f>
        <v>#REF!</v>
      </c>
      <c r="AS434" s="4">
        <f t="shared" si="1957"/>
        <v>1</v>
      </c>
      <c r="AT434" s="38">
        <f t="shared" si="1958"/>
        <v>557.46477496912632</v>
      </c>
      <c r="AU434" s="4">
        <f t="shared" si="1959"/>
        <v>0.3</v>
      </c>
      <c r="AV434" s="4" t="e">
        <f>AU434*D434*#REF!/(D434*G434/2.75/F434^0.5)</f>
        <v>#REF!</v>
      </c>
      <c r="AW434" s="4" t="e">
        <f t="shared" si="1793"/>
        <v>#REF!</v>
      </c>
      <c r="AY434" s="4">
        <f t="shared" si="1960"/>
        <v>1.2021276595744681</v>
      </c>
      <c r="AZ434" s="4" t="e">
        <f>(3*#REF!+30)*AY434*F434^0.5</f>
        <v>#REF!</v>
      </c>
      <c r="BB434" s="4">
        <f t="shared" si="1961"/>
        <v>534.67689269503751</v>
      </c>
      <c r="BC434" s="4">
        <f t="shared" si="2022"/>
        <v>0</v>
      </c>
      <c r="BD434" s="4">
        <f t="shared" si="1794"/>
        <v>0</v>
      </c>
      <c r="BL434" s="4">
        <f t="shared" si="1962"/>
        <v>64.77</v>
      </c>
      <c r="BP434" s="9"/>
      <c r="BR434" s="9"/>
      <c r="BS434" s="9"/>
      <c r="BT434" s="9">
        <f t="shared" si="1963"/>
        <v>64.77</v>
      </c>
      <c r="BU434" s="9">
        <f t="shared" si="1964"/>
        <v>175.00599999999997</v>
      </c>
      <c r="BV434" s="9">
        <f t="shared" si="1965"/>
        <v>1.561034100003972</v>
      </c>
      <c r="BW434" s="40">
        <f t="shared" si="1738"/>
        <v>0</v>
      </c>
      <c r="BX434" s="9">
        <f t="shared" si="1966"/>
        <v>0</v>
      </c>
      <c r="BY434" s="9">
        <f t="shared" si="1795"/>
        <v>0</v>
      </c>
      <c r="BZ434" s="9">
        <f t="shared" si="1967"/>
        <v>0.89777220146327208</v>
      </c>
      <c r="CA434" s="9">
        <f t="shared" si="1968"/>
        <v>0.68</v>
      </c>
      <c r="CB434" s="9">
        <f t="shared" si="1969"/>
        <v>1.3710278453315501</v>
      </c>
      <c r="CC434" s="9">
        <f t="shared" si="1970"/>
        <v>2.1402212186175213</v>
      </c>
      <c r="CD434" s="40">
        <v>1</v>
      </c>
      <c r="CE434" s="9" t="e">
        <f>4*CC434*#REF!+60*CC434</f>
        <v>#REF!</v>
      </c>
      <c r="CG434" s="4" t="e">
        <f t="shared" si="1796"/>
        <v>#REF!</v>
      </c>
      <c r="CH434" s="4" t="e">
        <f t="shared" si="1797"/>
        <v>#REF!</v>
      </c>
      <c r="CI434" s="4" t="e">
        <f t="shared" si="1798"/>
        <v>#REF!</v>
      </c>
      <c r="CJ434" s="4" t="e">
        <f t="shared" si="1799"/>
        <v>#REF!</v>
      </c>
      <c r="CK434" s="4">
        <f t="shared" si="1800"/>
        <v>0.75774169091366828</v>
      </c>
      <c r="CL434" s="4">
        <f t="shared" si="1801"/>
        <v>0.78437925291382093</v>
      </c>
      <c r="CM434" s="4">
        <f t="shared" si="1699"/>
        <v>0.83703352176496904</v>
      </c>
      <c r="CN434" s="4">
        <f t="shared" si="1739"/>
        <v>0</v>
      </c>
      <c r="CO434" s="4" t="e">
        <f t="shared" ref="CO434" si="2029">CG434</f>
        <v>#REF!</v>
      </c>
      <c r="CP434" s="4" t="e">
        <f t="shared" ref="CP434" si="2030">CH434</f>
        <v>#REF!</v>
      </c>
      <c r="CQ434" s="4" t="e">
        <f t="shared" ref="CQ434" si="2031">CJ434</f>
        <v>#REF!</v>
      </c>
      <c r="CR434" s="4">
        <f t="shared" ref="CR434" si="2032">CM434</f>
        <v>0.83703352176496904</v>
      </c>
      <c r="CS434" s="4">
        <f t="shared" ref="CS434" si="2033">CK434</f>
        <v>0.75774169091366828</v>
      </c>
      <c r="CT434" s="4">
        <f t="shared" ref="CT434" si="2034">CL434</f>
        <v>0.78437925291382093</v>
      </c>
      <c r="DC434" s="4" t="e">
        <f>#REF!</f>
        <v>#REF!</v>
      </c>
      <c r="DF434" s="4">
        <f t="shared" si="1971"/>
        <v>1.9820544052469766E-5</v>
      </c>
      <c r="DG434" s="4">
        <f t="shared" si="1802"/>
        <v>6.747614087532412</v>
      </c>
      <c r="DH434" s="4">
        <f t="shared" si="1972"/>
        <v>0.31874781170116245</v>
      </c>
      <c r="DI434" s="4">
        <f t="shared" si="1803"/>
        <v>4.2709955706034792</v>
      </c>
      <c r="DJ434" s="4">
        <f t="shared" si="1804"/>
        <v>5.6474194433333995</v>
      </c>
      <c r="DK434" s="4">
        <f t="shared" si="1973"/>
        <v>6.2937040988749562</v>
      </c>
      <c r="DL434" s="38">
        <f t="shared" si="1974"/>
        <v>483.28724807283595</v>
      </c>
      <c r="DM434" s="4" t="e">
        <f t="shared" si="1805"/>
        <v>#REF!</v>
      </c>
      <c r="DN434" s="4">
        <f t="shared" si="1975"/>
        <v>3.0983866769659336</v>
      </c>
      <c r="DO434" s="4">
        <f t="shared" si="1697"/>
        <v>261.39463494941111</v>
      </c>
      <c r="DS434" s="4">
        <f t="shared" si="1976"/>
        <v>0.85</v>
      </c>
      <c r="DT434" s="4">
        <f t="shared" si="1977"/>
        <v>0.91914893617021276</v>
      </c>
      <c r="DU434" s="4">
        <f t="shared" si="1978"/>
        <v>1</v>
      </c>
      <c r="DV434" s="4">
        <f t="shared" si="1806"/>
        <v>0.91914893617021276</v>
      </c>
      <c r="DX434" s="4">
        <f t="shared" si="1979"/>
        <v>466.87478689847376</v>
      </c>
      <c r="DY434" s="25">
        <f t="shared" si="1870"/>
        <v>258.70371398523974</v>
      </c>
      <c r="EA434" s="4">
        <f t="shared" si="1871"/>
        <v>0.78127659574468078</v>
      </c>
      <c r="EB434" s="4">
        <f t="shared" si="1980"/>
        <v>6.747614087532412</v>
      </c>
      <c r="EE434" s="4">
        <f t="shared" si="1981"/>
        <v>110.96562044885792</v>
      </c>
      <c r="EF434" s="4">
        <f t="shared" si="1807"/>
        <v>3.0983866769659336</v>
      </c>
      <c r="EG434" s="4">
        <f t="shared" si="1982"/>
        <v>0.11183703425417155</v>
      </c>
      <c r="EJ434" s="4">
        <f t="shared" si="1808"/>
        <v>0.11183703425417155</v>
      </c>
      <c r="EK434" s="4">
        <f t="shared" si="1983"/>
        <v>0.31821588100994969</v>
      </c>
      <c r="EL434" s="4">
        <f t="shared" si="1809"/>
        <v>4.2681431437555215</v>
      </c>
      <c r="EM434" s="4">
        <f t="shared" si="1810"/>
        <v>5.6463444393818696</v>
      </c>
      <c r="EN434" s="4" t="e">
        <f t="shared" si="1811"/>
        <v>#REF!</v>
      </c>
      <c r="EO434" s="4" t="e">
        <f t="shared" si="1812"/>
        <v>#REF!</v>
      </c>
      <c r="EP434" s="4" t="e">
        <f t="shared" si="1984"/>
        <v>#REF!</v>
      </c>
      <c r="EQ434" s="4" t="e">
        <f t="shared" si="1813"/>
        <v>#REF!</v>
      </c>
      <c r="ER434" s="4" t="e">
        <f t="shared" si="1985"/>
        <v>#REF!</v>
      </c>
      <c r="FA434" s="23" t="e">
        <f t="shared" si="1772"/>
        <v>#REF!</v>
      </c>
      <c r="FB434" s="23" t="e">
        <f t="shared" si="1773"/>
        <v>#REF!</v>
      </c>
      <c r="FC434" s="23">
        <f t="shared" si="1706"/>
        <v>1</v>
      </c>
      <c r="FD434" s="23" t="e">
        <f t="shared" si="1774"/>
        <v>#REF!</v>
      </c>
      <c r="FE434" s="23">
        <f t="shared" si="1775"/>
        <v>0.8</v>
      </c>
      <c r="FF434" s="23">
        <f t="shared" si="1776"/>
        <v>0.8</v>
      </c>
      <c r="FG434" s="23">
        <f t="shared" si="1993"/>
        <v>1</v>
      </c>
      <c r="FH434" s="23"/>
      <c r="FR434" s="4">
        <f t="shared" si="1852"/>
        <v>1</v>
      </c>
      <c r="FS434" s="4">
        <f t="shared" si="1853"/>
        <v>0.5</v>
      </c>
      <c r="FT434" s="4">
        <f t="shared" si="1854"/>
        <v>0</v>
      </c>
      <c r="FU434" s="4">
        <f t="shared" si="1855"/>
        <v>437.50565184001266</v>
      </c>
    </row>
    <row r="435" spans="2:177" ht="12" customHeight="1" x14ac:dyDescent="0.3">
      <c r="B435" s="14"/>
      <c r="C435" s="7" t="s">
        <v>583</v>
      </c>
      <c r="D435" s="38">
        <f t="shared" si="2008"/>
        <v>931.0344827586207</v>
      </c>
      <c r="E435" s="38">
        <f>14.63*25.4</f>
        <v>371.60199999999998</v>
      </c>
      <c r="F435" s="38">
        <f>5970/145</f>
        <v>41.172413793103445</v>
      </c>
      <c r="G435" s="38">
        <f t="shared" si="2009"/>
        <v>35.813999999999993</v>
      </c>
      <c r="H435" s="38">
        <f>21.5*25.4</f>
        <v>546.1</v>
      </c>
      <c r="I435" s="38">
        <f>2.6*25.4</f>
        <v>66.039999999999992</v>
      </c>
      <c r="J435" s="39">
        <f>3.5*25.4</f>
        <v>88.899999999999991</v>
      </c>
      <c r="K435" s="7">
        <f t="shared" si="1727"/>
        <v>342.39200000000005</v>
      </c>
      <c r="L435" s="38">
        <v>2</v>
      </c>
      <c r="M435" s="4">
        <f t="shared" si="1843"/>
        <v>508</v>
      </c>
      <c r="N435" s="7">
        <f t="shared" si="1947"/>
        <v>2.3439716312056742</v>
      </c>
      <c r="O435" s="7">
        <f t="shared" si="1948"/>
        <v>2.3439716312056742</v>
      </c>
      <c r="P435" s="38">
        <v>8.6</v>
      </c>
      <c r="Q435" s="4">
        <f t="shared" si="1736"/>
        <v>8.6</v>
      </c>
      <c r="R435" s="4">
        <f t="shared" si="1949"/>
        <v>9.6</v>
      </c>
      <c r="S435" s="7">
        <f t="shared" si="1950"/>
        <v>110.96562044885792</v>
      </c>
      <c r="V435" s="38">
        <f t="shared" si="1777"/>
        <v>496.55172413793105</v>
      </c>
      <c r="W435" s="4">
        <v>72</v>
      </c>
      <c r="X435" s="4">
        <f t="shared" si="1951"/>
        <v>1.0238289667935871</v>
      </c>
      <c r="Y435" s="38">
        <f t="shared" si="1994"/>
        <v>12.7</v>
      </c>
      <c r="Z435" s="38">
        <v>12</v>
      </c>
      <c r="AA435" s="39">
        <f>4*25.4</f>
        <v>101.6</v>
      </c>
      <c r="AB435" s="39">
        <v>2</v>
      </c>
      <c r="AC435" s="39">
        <f>AB435-1</f>
        <v>1</v>
      </c>
      <c r="AD435" s="7"/>
      <c r="AE435" s="4">
        <f t="shared" si="1952"/>
        <v>371.60199999999998</v>
      </c>
      <c r="AF435" s="4">
        <f t="shared" si="1953"/>
        <v>0.48986101617680572</v>
      </c>
      <c r="AG435" s="4">
        <f t="shared" si="1954"/>
        <v>228.13645720575076</v>
      </c>
      <c r="AH435" s="4">
        <f t="shared" si="1955"/>
        <v>0.74518113465481883</v>
      </c>
      <c r="AI435" s="4">
        <v>1.25</v>
      </c>
      <c r="AJ435" s="4">
        <f t="shared" si="1878"/>
        <v>2.5</v>
      </c>
      <c r="AK435" s="38">
        <f t="shared" si="1729"/>
        <v>260.24323285410298</v>
      </c>
      <c r="AL435" s="38">
        <f t="shared" si="1986"/>
        <v>260.24323285410298</v>
      </c>
      <c r="AM435" s="38">
        <f t="shared" si="1956"/>
        <v>3.5770538153249696</v>
      </c>
      <c r="AN435" s="38">
        <f t="shared" si="1893"/>
        <v>260.24323285410264</v>
      </c>
      <c r="AO435" s="38">
        <f t="shared" si="1845"/>
        <v>1.0000000000000013</v>
      </c>
      <c r="AP435" s="38">
        <f t="shared" si="1894"/>
        <v>2.1749959672351045</v>
      </c>
      <c r="AQ435" s="4">
        <f t="shared" si="1895"/>
        <v>0</v>
      </c>
      <c r="AR435" s="4" t="e">
        <f>#REF!/G435*F435^0.5/0.19</f>
        <v>#REF!</v>
      </c>
      <c r="AS435" s="4">
        <f t="shared" si="1957"/>
        <v>1</v>
      </c>
      <c r="AT435" s="38">
        <f t="shared" si="1958"/>
        <v>566.02798195789944</v>
      </c>
      <c r="AU435" s="4">
        <f t="shared" si="1959"/>
        <v>0.3</v>
      </c>
      <c r="AV435" s="4" t="e">
        <f>AU435*D435*#REF!/(D435*G435/2.75/F435^0.5)</f>
        <v>#REF!</v>
      </c>
      <c r="AW435" s="4" t="e">
        <f t="shared" si="1793"/>
        <v>#REF!</v>
      </c>
      <c r="AY435" s="4">
        <f t="shared" si="1960"/>
        <v>1.5</v>
      </c>
      <c r="AZ435" s="4" t="e">
        <f>(3*#REF!+30)*AY435*F435^0.5</f>
        <v>#REF!</v>
      </c>
      <c r="BB435" s="4">
        <f t="shared" si="1961"/>
        <v>542.89005540924711</v>
      </c>
      <c r="BC435" s="4">
        <f t="shared" si="2022"/>
        <v>0</v>
      </c>
      <c r="BD435" s="4">
        <f t="shared" si="1794"/>
        <v>0</v>
      </c>
      <c r="BL435" s="4">
        <f t="shared" si="1962"/>
        <v>66.039999999999992</v>
      </c>
      <c r="BP435" s="9"/>
      <c r="BR435" s="9"/>
      <c r="BS435" s="9"/>
      <c r="BT435" s="9">
        <f t="shared" si="1963"/>
        <v>66.039999999999992</v>
      </c>
      <c r="BU435" s="9">
        <f t="shared" si="1964"/>
        <v>171.19600000000003</v>
      </c>
      <c r="BV435" s="9">
        <f t="shared" si="1965"/>
        <v>1.5664989205143935</v>
      </c>
      <c r="BW435" s="40">
        <f t="shared" si="1738"/>
        <v>20</v>
      </c>
      <c r="BX435" s="9">
        <f t="shared" si="1966"/>
        <v>0.05</v>
      </c>
      <c r="BY435" s="9">
        <f t="shared" si="1795"/>
        <v>0.8</v>
      </c>
      <c r="BZ435" s="9">
        <f t="shared" si="1967"/>
        <v>0.89777220146327208</v>
      </c>
      <c r="CA435" s="9">
        <f t="shared" si="1968"/>
        <v>0.68</v>
      </c>
      <c r="CB435" s="9">
        <f t="shared" si="1969"/>
        <v>1.3710278453315501</v>
      </c>
      <c r="CC435" s="9">
        <f t="shared" si="1970"/>
        <v>3.2445359159722882</v>
      </c>
      <c r="CD435" s="40">
        <v>1</v>
      </c>
      <c r="CE435" s="9" t="e">
        <f>4*CC435*#REF!+60*CC435</f>
        <v>#REF!</v>
      </c>
      <c r="CG435" s="4" t="e">
        <f t="shared" si="1796"/>
        <v>#REF!</v>
      </c>
      <c r="CH435" s="4" t="e">
        <f t="shared" si="1797"/>
        <v>#REF!</v>
      </c>
      <c r="CI435" s="4" t="e">
        <f t="shared" si="1798"/>
        <v>#REF!</v>
      </c>
      <c r="CJ435" s="4" t="e">
        <f t="shared" si="1799"/>
        <v>#REF!</v>
      </c>
      <c r="CK435" s="4">
        <f t="shared" si="1800"/>
        <v>1.0238289667935871</v>
      </c>
      <c r="CL435" s="4">
        <f t="shared" si="1801"/>
        <v>1.059782127050285</v>
      </c>
      <c r="CM435" s="4">
        <f t="shared" si="1699"/>
        <v>0.99472144636362514</v>
      </c>
      <c r="CN435" s="4">
        <f t="shared" si="1739"/>
        <v>12</v>
      </c>
      <c r="CU435" s="4" t="e">
        <f t="shared" ref="CU435" si="2035">CG435</f>
        <v>#REF!</v>
      </c>
      <c r="CV435" s="4" t="e">
        <f t="shared" ref="CV435" si="2036">CH435</f>
        <v>#REF!</v>
      </c>
      <c r="CW435" s="4" t="e">
        <f t="shared" ref="CW435" si="2037">CJ435</f>
        <v>#REF!</v>
      </c>
      <c r="CX435" s="4">
        <f t="shared" ref="CX435" si="2038">CM435</f>
        <v>0.99472144636362514</v>
      </c>
      <c r="CY435" s="4">
        <f t="shared" ref="CY435" si="2039">CK435</f>
        <v>1.0238289667935871</v>
      </c>
      <c r="CZ435" s="4">
        <f t="shared" ref="CZ435" si="2040">CL435</f>
        <v>1.059782127050285</v>
      </c>
      <c r="DC435" s="4" t="e">
        <f>#REF!</f>
        <v>#REF!</v>
      </c>
      <c r="DF435" s="4">
        <f t="shared" si="1971"/>
        <v>1.9998245481905705E-5</v>
      </c>
      <c r="DG435" s="4">
        <f t="shared" si="1802"/>
        <v>6.7767896158633691</v>
      </c>
      <c r="DH435" s="4">
        <f t="shared" si="1972"/>
        <v>0.31734377791776541</v>
      </c>
      <c r="DI435" s="4">
        <f t="shared" si="1803"/>
        <v>4.2818948513947275</v>
      </c>
      <c r="DJ435" s="4">
        <f t="shared" si="1804"/>
        <v>5.668986978278669</v>
      </c>
      <c r="DK435" s="4">
        <f t="shared" si="1973"/>
        <v>6.310811171007674</v>
      </c>
      <c r="DL435" s="38">
        <f t="shared" si="1974"/>
        <v>484.99479917336646</v>
      </c>
      <c r="DM435" s="4" t="e">
        <f t="shared" si="1805"/>
        <v>#REF!</v>
      </c>
      <c r="DN435" s="4">
        <f t="shared" si="1975"/>
        <v>3.0983866769659336</v>
      </c>
      <c r="DO435" s="4">
        <f t="shared" si="1697"/>
        <v>260.24323285410264</v>
      </c>
      <c r="DS435" s="4">
        <f t="shared" si="1976"/>
        <v>0.85</v>
      </c>
      <c r="DT435" s="4">
        <f t="shared" si="1977"/>
        <v>0.91560283687943256</v>
      </c>
      <c r="DU435" s="4">
        <f t="shared" si="1978"/>
        <v>0.9995510789195714</v>
      </c>
      <c r="DV435" s="4">
        <f t="shared" si="1806"/>
        <v>0.91519180346465712</v>
      </c>
      <c r="DX435" s="4">
        <f t="shared" si="1979"/>
        <v>468.54132699896951</v>
      </c>
      <c r="DY435" s="25">
        <f t="shared" si="1870"/>
        <v>257.59572682858419</v>
      </c>
      <c r="EA435" s="4">
        <f t="shared" si="1871"/>
        <v>0.7779130329449585</v>
      </c>
      <c r="EB435" s="4">
        <f t="shared" si="1980"/>
        <v>6.7767896158633691</v>
      </c>
      <c r="EE435" s="4">
        <f t="shared" si="1981"/>
        <v>110.96562044885792</v>
      </c>
      <c r="EF435" s="4">
        <f t="shared" si="1807"/>
        <v>3.0983866769659336</v>
      </c>
      <c r="EG435" s="4">
        <f t="shared" si="1982"/>
        <v>0.11134440977625042</v>
      </c>
      <c r="EJ435" s="4">
        <f t="shared" si="1808"/>
        <v>0.11134440977625042</v>
      </c>
      <c r="EK435" s="4">
        <f t="shared" si="1983"/>
        <v>0.31681419029726077</v>
      </c>
      <c r="EL435" s="4">
        <f t="shared" si="1809"/>
        <v>4.2790351453537481</v>
      </c>
      <c r="EM435" s="4">
        <f t="shared" si="1810"/>
        <v>5.6679106328475442</v>
      </c>
      <c r="EN435" s="4" t="e">
        <f t="shared" si="1811"/>
        <v>#REF!</v>
      </c>
      <c r="EO435" s="4" t="e">
        <f t="shared" si="1812"/>
        <v>#REF!</v>
      </c>
      <c r="EP435" s="4" t="e">
        <f t="shared" si="1984"/>
        <v>#REF!</v>
      </c>
      <c r="EQ435" s="4" t="e">
        <f t="shared" si="1813"/>
        <v>#REF!</v>
      </c>
      <c r="ER435" s="4" t="e">
        <f t="shared" si="1985"/>
        <v>#REF!</v>
      </c>
      <c r="FA435" s="23" t="e">
        <f t="shared" si="1772"/>
        <v>#REF!</v>
      </c>
      <c r="FB435" s="23" t="e">
        <f t="shared" si="1773"/>
        <v>#REF!</v>
      </c>
      <c r="FC435" s="23">
        <f t="shared" si="1706"/>
        <v>1</v>
      </c>
      <c r="FD435" s="23" t="e">
        <f t="shared" si="1774"/>
        <v>#REF!</v>
      </c>
      <c r="FE435" s="23">
        <f t="shared" si="1775"/>
        <v>1.2</v>
      </c>
      <c r="FF435" s="23">
        <f t="shared" si="1776"/>
        <v>1.2</v>
      </c>
      <c r="FG435" s="23">
        <f t="shared" si="1993"/>
        <v>0</v>
      </c>
      <c r="FH435" s="23"/>
      <c r="FR435" s="4">
        <f t="shared" si="1852"/>
        <v>1</v>
      </c>
      <c r="FS435" s="4">
        <f t="shared" si="1853"/>
        <v>0.44214730608235164</v>
      </c>
      <c r="FT435" s="4">
        <f t="shared" si="1854"/>
        <v>0.25149640360142855</v>
      </c>
      <c r="FU435" s="4">
        <f t="shared" si="1855"/>
        <v>499.18670795041271</v>
      </c>
    </row>
    <row r="436" spans="2:177" ht="12" customHeight="1" x14ac:dyDescent="0.3">
      <c r="B436" s="14"/>
      <c r="C436" s="7" t="s">
        <v>584</v>
      </c>
      <c r="D436" s="38">
        <f t="shared" si="2008"/>
        <v>931.0344827586207</v>
      </c>
      <c r="E436" s="38">
        <f>14.71*25.4</f>
        <v>373.63400000000001</v>
      </c>
      <c r="F436" s="38">
        <f>6240/145</f>
        <v>43.03448275862069</v>
      </c>
      <c r="G436" s="38">
        <f t="shared" si="2009"/>
        <v>35.813999999999993</v>
      </c>
      <c r="H436" s="38">
        <f>21.3*25.4</f>
        <v>541.02</v>
      </c>
      <c r="I436" s="38">
        <f>2.55*25.4</f>
        <v>64.77</v>
      </c>
      <c r="J436" s="39">
        <f>3.1*25.4</f>
        <v>78.739999999999995</v>
      </c>
      <c r="K436" s="7">
        <f t="shared" si="1727"/>
        <v>152.01900000000001</v>
      </c>
      <c r="L436" s="38">
        <v>3</v>
      </c>
      <c r="M436" s="4">
        <f t="shared" si="1843"/>
        <v>508</v>
      </c>
      <c r="N436" s="7">
        <f t="shared" si="1947"/>
        <v>2.3085106382978724</v>
      </c>
      <c r="O436" s="7">
        <f t="shared" si="1948"/>
        <v>2.3085106382978724</v>
      </c>
      <c r="P436" s="38">
        <v>8.6</v>
      </c>
      <c r="Q436" s="4">
        <f t="shared" si="1736"/>
        <v>8.6</v>
      </c>
      <c r="R436" s="4">
        <f t="shared" si="1949"/>
        <v>9.6</v>
      </c>
      <c r="S436" s="7">
        <f t="shared" si="1950"/>
        <v>110.96562044885792</v>
      </c>
      <c r="V436" s="38">
        <f t="shared" si="1777"/>
        <v>287.58620689655174</v>
      </c>
      <c r="W436" s="4">
        <v>41.7</v>
      </c>
      <c r="X436" s="4">
        <f t="shared" si="1951"/>
        <v>0.73182258163771818</v>
      </c>
      <c r="Y436" s="38"/>
      <c r="Z436" s="38"/>
      <c r="AA436" s="39">
        <v>1</v>
      </c>
      <c r="AB436" s="39"/>
      <c r="AC436" s="39"/>
      <c r="AD436" s="7"/>
      <c r="AE436" s="4">
        <f t="shared" si="1952"/>
        <v>373.63400000000001</v>
      </c>
      <c r="AF436" s="4">
        <f t="shared" si="1953"/>
        <v>0.48266485384092445</v>
      </c>
      <c r="AG436" s="4">
        <f t="shared" si="1954"/>
        <v>156.76932308663888</v>
      </c>
      <c r="AH436" s="4">
        <f t="shared" si="1955"/>
        <v>0.74425560842963967</v>
      </c>
      <c r="AI436" s="4">
        <v>1.25</v>
      </c>
      <c r="AJ436" s="4">
        <f t="shared" si="1878"/>
        <v>2.5</v>
      </c>
      <c r="AK436" s="38">
        <f t="shared" si="1729"/>
        <v>175.98631465676814</v>
      </c>
      <c r="AL436" s="38">
        <f t="shared" si="1986"/>
        <v>175.98631465676814</v>
      </c>
      <c r="AM436" s="38">
        <f t="shared" si="1956"/>
        <v>3.684107660000056</v>
      </c>
      <c r="AN436" s="38">
        <f t="shared" si="1893"/>
        <v>175.98631465676814</v>
      </c>
      <c r="AO436" s="38">
        <f t="shared" si="1845"/>
        <v>1</v>
      </c>
      <c r="AP436" s="38">
        <f t="shared" si="1894"/>
        <v>3.3109208000229291</v>
      </c>
      <c r="AQ436" s="4">
        <f t="shared" si="1895"/>
        <v>0</v>
      </c>
      <c r="AR436" s="4" t="e">
        <f>#REF!/G436*F436^0.5/0.19</f>
        <v>#REF!</v>
      </c>
      <c r="AS436" s="4">
        <f t="shared" si="1957"/>
        <v>1</v>
      </c>
      <c r="AT436" s="38">
        <f t="shared" si="1958"/>
        <v>582.67674971647375</v>
      </c>
      <c r="AU436" s="4">
        <f t="shared" si="1959"/>
        <v>0.3</v>
      </c>
      <c r="AV436" s="4" t="e">
        <f>AU436*D436*#REF!/(D436*G436/2.75/F436^0.5)</f>
        <v>#REF!</v>
      </c>
      <c r="AW436" s="4" t="e">
        <f t="shared" si="1793"/>
        <v>#REF!</v>
      </c>
      <c r="AY436" s="4">
        <f t="shared" si="1960"/>
        <v>1.2021276595744681</v>
      </c>
      <c r="AZ436" s="4" t="e">
        <f>(3*#REF!+30)*AY436*F436^0.5</f>
        <v>#REF!</v>
      </c>
      <c r="BB436" s="4">
        <f t="shared" si="1961"/>
        <v>558.8582597013459</v>
      </c>
      <c r="BC436" s="4">
        <f t="shared" si="2022"/>
        <v>0</v>
      </c>
      <c r="BD436" s="4">
        <f t="shared" si="1794"/>
        <v>0</v>
      </c>
      <c r="BL436" s="4">
        <f t="shared" si="1962"/>
        <v>64.77</v>
      </c>
      <c r="BP436" s="9"/>
      <c r="BR436" s="9"/>
      <c r="BS436" s="9"/>
      <c r="BT436" s="9">
        <f t="shared" si="1963"/>
        <v>64.77</v>
      </c>
      <c r="BU436" s="9">
        <f t="shared" si="1964"/>
        <v>76.009500000000003</v>
      </c>
      <c r="BV436" s="9">
        <f t="shared" si="1965"/>
        <v>1.3774778709669167</v>
      </c>
      <c r="BW436" s="40">
        <f t="shared" si="1738"/>
        <v>0</v>
      </c>
      <c r="BX436" s="9">
        <f t="shared" si="1966"/>
        <v>0</v>
      </c>
      <c r="BY436" s="9">
        <f t="shared" si="1795"/>
        <v>0</v>
      </c>
      <c r="BZ436" s="9">
        <f t="shared" si="1967"/>
        <v>0.89777220146327208</v>
      </c>
      <c r="CA436" s="9">
        <f t="shared" si="1968"/>
        <v>0.68</v>
      </c>
      <c r="CB436" s="9">
        <f t="shared" si="1969"/>
        <v>1.4016881590631138</v>
      </c>
      <c r="CC436" s="9">
        <f t="shared" si="1970"/>
        <v>1.9307944211057948</v>
      </c>
      <c r="CD436" s="40">
        <v>1</v>
      </c>
      <c r="CE436" s="9" t="e">
        <f>4*CC436*#REF!+60*CC436</f>
        <v>#REF!</v>
      </c>
      <c r="CG436" s="4" t="e">
        <f t="shared" si="1796"/>
        <v>#REF!</v>
      </c>
      <c r="CH436" s="4" t="e">
        <f t="shared" si="1797"/>
        <v>#REF!</v>
      </c>
      <c r="CI436" s="4" t="e">
        <f t="shared" si="1798"/>
        <v>#REF!</v>
      </c>
      <c r="CJ436" s="4" t="e">
        <f t="shared" si="1799"/>
        <v>#REF!</v>
      </c>
      <c r="CK436" s="4">
        <f t="shared" si="1800"/>
        <v>0.73182258163771818</v>
      </c>
      <c r="CL436" s="4">
        <f t="shared" si="1801"/>
        <v>0.73718451657272832</v>
      </c>
      <c r="CM436" s="4">
        <f t="shared" si="1699"/>
        <v>0.93509962123722112</v>
      </c>
      <c r="CN436" s="4">
        <f t="shared" si="1739"/>
        <v>0</v>
      </c>
      <c r="CO436" s="4" t="e">
        <f t="shared" ref="CO436" si="2041">CG436</f>
        <v>#REF!</v>
      </c>
      <c r="CP436" s="4" t="e">
        <f t="shared" ref="CP436" si="2042">CH436</f>
        <v>#REF!</v>
      </c>
      <c r="CQ436" s="4" t="e">
        <f t="shared" ref="CQ436" si="2043">CJ436</f>
        <v>#REF!</v>
      </c>
      <c r="CR436" s="4">
        <f t="shared" ref="CR436" si="2044">CM436</f>
        <v>0.93509962123722112</v>
      </c>
      <c r="CS436" s="4">
        <f t="shared" ref="CS436" si="2045">CK436</f>
        <v>0.73182258163771818</v>
      </c>
      <c r="CT436" s="4">
        <f t="shared" ref="CT436" si="2046">CL436</f>
        <v>0.73718451657272832</v>
      </c>
      <c r="DC436" s="4" t="e">
        <f>#REF!</f>
        <v>#REF!</v>
      </c>
      <c r="DF436" s="4">
        <f t="shared" si="1971"/>
        <v>2.0354264447591749E-5</v>
      </c>
      <c r="DG436" s="4">
        <f t="shared" si="1802"/>
        <v>6.8985110700902181</v>
      </c>
      <c r="DH436" s="4">
        <f t="shared" si="1972"/>
        <v>0.20531429140864466</v>
      </c>
      <c r="DI436" s="4">
        <f t="shared" si="1803"/>
        <v>3.6620396124227161</v>
      </c>
      <c r="DJ436" s="4">
        <f t="shared" si="1804"/>
        <v>5.5247735367075226</v>
      </c>
      <c r="DK436" s="4">
        <f t="shared" si="1973"/>
        <v>6.4373532609562742</v>
      </c>
      <c r="DL436" s="38">
        <f t="shared" si="1974"/>
        <v>392.9725784806659</v>
      </c>
      <c r="DM436" s="4" t="e">
        <f t="shared" si="1805"/>
        <v>#REF!</v>
      </c>
      <c r="DN436" s="4">
        <f t="shared" si="1975"/>
        <v>3.0983866769659336</v>
      </c>
      <c r="DO436" s="4">
        <f t="shared" si="1697"/>
        <v>175.98631465676814</v>
      </c>
      <c r="DS436" s="4">
        <f t="shared" si="1976"/>
        <v>0.85</v>
      </c>
      <c r="DT436" s="4">
        <f t="shared" si="1977"/>
        <v>0.91914893617021276</v>
      </c>
      <c r="DU436" s="4">
        <f t="shared" si="1978"/>
        <v>1</v>
      </c>
      <c r="DV436" s="4">
        <f t="shared" si="1806"/>
        <v>0.91914893617021276</v>
      </c>
      <c r="DX436" s="4">
        <f t="shared" si="1979"/>
        <v>390.11427998186855</v>
      </c>
      <c r="DY436" s="25">
        <f t="shared" si="1870"/>
        <v>174.20556117117252</v>
      </c>
      <c r="EA436" s="4">
        <f t="shared" si="1871"/>
        <v>0.78127659574468078</v>
      </c>
      <c r="EB436" s="4">
        <f t="shared" si="1980"/>
        <v>6.8985110700902181</v>
      </c>
      <c r="EE436" s="4">
        <f t="shared" si="1981"/>
        <v>110.96562044885792</v>
      </c>
      <c r="EF436" s="4">
        <f t="shared" si="1807"/>
        <v>3.0983866769659336</v>
      </c>
      <c r="EG436" s="4">
        <f t="shared" si="1982"/>
        <v>7.3648302216110448E-2</v>
      </c>
      <c r="EJ436" s="4">
        <f t="shared" si="1808"/>
        <v>7.3648302216110448E-2</v>
      </c>
      <c r="EK436" s="4">
        <f t="shared" si="1983"/>
        <v>0.20497166012166579</v>
      </c>
      <c r="EL436" s="4">
        <f t="shared" si="1809"/>
        <v>3.6595938828647983</v>
      </c>
      <c r="EM436" s="4">
        <f t="shared" si="1810"/>
        <v>5.5239702322069224</v>
      </c>
      <c r="EN436" s="4" t="e">
        <f t="shared" si="1811"/>
        <v>#REF!</v>
      </c>
      <c r="EO436" s="4" t="e">
        <f t="shared" si="1812"/>
        <v>#REF!</v>
      </c>
      <c r="EP436" s="4" t="e">
        <f t="shared" si="1984"/>
        <v>#REF!</v>
      </c>
      <c r="EQ436" s="4" t="e">
        <f t="shared" si="1813"/>
        <v>#REF!</v>
      </c>
      <c r="ER436" s="4" t="e">
        <f t="shared" si="1985"/>
        <v>#REF!</v>
      </c>
      <c r="FA436" s="23" t="e">
        <f t="shared" si="1772"/>
        <v>#REF!</v>
      </c>
      <c r="FB436" s="23" t="e">
        <f t="shared" si="1773"/>
        <v>#REF!</v>
      </c>
      <c r="FC436" s="23">
        <f t="shared" si="1706"/>
        <v>1</v>
      </c>
      <c r="FD436" s="23" t="e">
        <f t="shared" si="1774"/>
        <v>#REF!</v>
      </c>
      <c r="FE436" s="23">
        <f t="shared" si="1775"/>
        <v>0.8</v>
      </c>
      <c r="FF436" s="23">
        <f t="shared" si="1776"/>
        <v>0.8</v>
      </c>
      <c r="FG436" s="23">
        <f t="shared" si="1993"/>
        <v>1</v>
      </c>
      <c r="FH436" s="23"/>
      <c r="FR436" s="4">
        <f t="shared" si="1852"/>
        <v>1</v>
      </c>
      <c r="FS436" s="4">
        <f t="shared" si="1853"/>
        <v>0.72960992907801414</v>
      </c>
      <c r="FT436" s="4">
        <f t="shared" si="1854"/>
        <v>0</v>
      </c>
      <c r="FU436" s="4">
        <f t="shared" si="1855"/>
        <v>307.54606286338696</v>
      </c>
    </row>
    <row r="437" spans="2:177" ht="12" customHeight="1" x14ac:dyDescent="0.3">
      <c r="B437" s="14"/>
      <c r="C437" s="7" t="s">
        <v>585</v>
      </c>
      <c r="D437" s="38">
        <f t="shared" si="2008"/>
        <v>931.0344827586207</v>
      </c>
      <c r="E437" s="38">
        <f>14.54*25.4</f>
        <v>369.31599999999997</v>
      </c>
      <c r="F437" s="38">
        <f>6240/145</f>
        <v>43.03448275862069</v>
      </c>
      <c r="G437" s="38">
        <f t="shared" si="2009"/>
        <v>35.813999999999993</v>
      </c>
      <c r="H437" s="38">
        <f>21.4*25.4</f>
        <v>543.55999999999995</v>
      </c>
      <c r="I437" s="38">
        <f>2.65*25.4</f>
        <v>67.309999999999988</v>
      </c>
      <c r="J437" s="39">
        <f>3.2*25.4</f>
        <v>81.28</v>
      </c>
      <c r="K437" s="7">
        <f t="shared" si="1727"/>
        <v>150.74899999999997</v>
      </c>
      <c r="L437" s="38">
        <v>3</v>
      </c>
      <c r="M437" s="4">
        <f t="shared" si="1843"/>
        <v>508</v>
      </c>
      <c r="N437" s="7">
        <f t="shared" si="1947"/>
        <v>2.3794326241134751</v>
      </c>
      <c r="O437" s="7">
        <f t="shared" si="1948"/>
        <v>2.3794326241134751</v>
      </c>
      <c r="P437" s="38">
        <v>8.6</v>
      </c>
      <c r="Q437" s="4">
        <f t="shared" si="1736"/>
        <v>8.6</v>
      </c>
      <c r="R437" s="4">
        <f t="shared" si="1949"/>
        <v>9.6</v>
      </c>
      <c r="S437" s="7">
        <f t="shared" si="1950"/>
        <v>110.96562044885792</v>
      </c>
      <c r="V437" s="38">
        <f t="shared" si="1777"/>
        <v>334.48275862068965</v>
      </c>
      <c r="W437" s="4">
        <v>48.5</v>
      </c>
      <c r="X437" s="4">
        <f t="shared" si="1951"/>
        <v>0.85256630700679548</v>
      </c>
      <c r="Y437" s="38">
        <f t="shared" si="1994"/>
        <v>12.7</v>
      </c>
      <c r="Z437" s="38">
        <v>12</v>
      </c>
      <c r="AA437" s="39">
        <f>4*25.4</f>
        <v>101.6</v>
      </c>
      <c r="AB437" s="39">
        <v>2</v>
      </c>
      <c r="AC437" s="39">
        <f>AB437-1</f>
        <v>1</v>
      </c>
      <c r="AD437" s="7"/>
      <c r="AE437" s="4">
        <f t="shared" si="1952"/>
        <v>369.31599999999997</v>
      </c>
      <c r="AF437" s="4">
        <f t="shared" si="1953"/>
        <v>0.4906006419073819</v>
      </c>
      <c r="AG437" s="4">
        <f t="shared" si="1954"/>
        <v>154.05957086781055</v>
      </c>
      <c r="AH437" s="4">
        <f t="shared" si="1955"/>
        <v>0.74614855570839056</v>
      </c>
      <c r="AI437" s="4">
        <v>1.25</v>
      </c>
      <c r="AJ437" s="4">
        <f t="shared" si="1878"/>
        <v>2.5</v>
      </c>
      <c r="AK437" s="38">
        <f t="shared" si="1729"/>
        <v>176.23498271549212</v>
      </c>
      <c r="AL437" s="38">
        <f t="shared" si="1986"/>
        <v>176.23498271549212</v>
      </c>
      <c r="AM437" s="38">
        <f t="shared" si="1956"/>
        <v>3.684107660000056</v>
      </c>
      <c r="AN437" s="38">
        <f t="shared" si="1893"/>
        <v>176.23498271549224</v>
      </c>
      <c r="AO437" s="38">
        <f t="shared" si="1845"/>
        <v>0.99999999999999933</v>
      </c>
      <c r="AP437" s="38">
        <f t="shared" si="1894"/>
        <v>3.4078235539634179</v>
      </c>
      <c r="AQ437" s="4">
        <f t="shared" si="1895"/>
        <v>0</v>
      </c>
      <c r="AR437" s="4" t="e">
        <f>#REF!/G437*F437^0.5/0.19</f>
        <v>#REF!</v>
      </c>
      <c r="AS437" s="4">
        <f t="shared" si="1957"/>
        <v>1</v>
      </c>
      <c r="AT437" s="38">
        <f t="shared" si="1958"/>
        <v>600.57772513019029</v>
      </c>
      <c r="AU437" s="4">
        <f t="shared" si="1959"/>
        <v>0.3</v>
      </c>
      <c r="AV437" s="4" t="e">
        <f>AU437*D437*#REF!/(D437*G437/2.75/F437^0.5)</f>
        <v>#REF!</v>
      </c>
      <c r="AW437" s="4" t="e">
        <f t="shared" si="1793"/>
        <v>#REF!</v>
      </c>
      <c r="AY437" s="4">
        <f t="shared" si="1960"/>
        <v>1.5</v>
      </c>
      <c r="AZ437" s="4" t="e">
        <f>(3*#REF!+30)*AY437*F437^0.5</f>
        <v>#REF!</v>
      </c>
      <c r="BB437" s="4">
        <f t="shared" si="1961"/>
        <v>576.02748426974358</v>
      </c>
      <c r="BC437" s="4">
        <f t="shared" si="2022"/>
        <v>0</v>
      </c>
      <c r="BD437" s="4">
        <f t="shared" si="1794"/>
        <v>0</v>
      </c>
      <c r="BL437" s="4">
        <f t="shared" si="1962"/>
        <v>67.309999999999988</v>
      </c>
      <c r="BP437" s="9"/>
      <c r="BR437" s="9"/>
      <c r="BS437" s="9"/>
      <c r="BT437" s="9">
        <f t="shared" si="1963"/>
        <v>67.309999999999988</v>
      </c>
      <c r="BU437" s="9">
        <f t="shared" si="1964"/>
        <v>75.374499999999983</v>
      </c>
      <c r="BV437" s="9">
        <f t="shared" si="1965"/>
        <v>1.3943927264184584</v>
      </c>
      <c r="BW437" s="40">
        <f t="shared" si="1738"/>
        <v>20</v>
      </c>
      <c r="BX437" s="9">
        <f t="shared" si="1966"/>
        <v>0.05</v>
      </c>
      <c r="BY437" s="9">
        <f t="shared" si="1795"/>
        <v>0.8</v>
      </c>
      <c r="BZ437" s="9">
        <f t="shared" si="1967"/>
        <v>0.89777220146327208</v>
      </c>
      <c r="CA437" s="9">
        <f t="shared" si="1968"/>
        <v>0.68</v>
      </c>
      <c r="CB437" s="9">
        <f t="shared" si="1969"/>
        <v>1.4016881590631138</v>
      </c>
      <c r="CC437" s="9">
        <f t="shared" si="1970"/>
        <v>3.0758543009549761</v>
      </c>
      <c r="CD437" s="40">
        <v>1</v>
      </c>
      <c r="CE437" s="9" t="e">
        <f>4*CC437*#REF!+60*CC437</f>
        <v>#REF!</v>
      </c>
      <c r="CG437" s="4" t="e">
        <f t="shared" si="1796"/>
        <v>#REF!</v>
      </c>
      <c r="CH437" s="4" t="e">
        <f t="shared" si="1797"/>
        <v>#REF!</v>
      </c>
      <c r="CI437" s="4" t="e">
        <f t="shared" si="1798"/>
        <v>#REF!</v>
      </c>
      <c r="CJ437" s="4" t="e">
        <f t="shared" si="1799"/>
        <v>#REF!</v>
      </c>
      <c r="CK437" s="4">
        <f t="shared" si="1800"/>
        <v>0.85256630700679548</v>
      </c>
      <c r="CL437" s="4">
        <f t="shared" si="1801"/>
        <v>0.85852739822939572</v>
      </c>
      <c r="CM437" s="4">
        <f t="shared" si="1699"/>
        <v>0.8900725411588033</v>
      </c>
      <c r="CN437" s="4">
        <f t="shared" si="1739"/>
        <v>12</v>
      </c>
      <c r="CU437" s="4" t="e">
        <f t="shared" ref="CU437" si="2047">CG437</f>
        <v>#REF!</v>
      </c>
      <c r="CV437" s="4" t="e">
        <f t="shared" ref="CV437" si="2048">CH437</f>
        <v>#REF!</v>
      </c>
      <c r="CW437" s="4" t="e">
        <f t="shared" ref="CW437" si="2049">CJ437</f>
        <v>#REF!</v>
      </c>
      <c r="CX437" s="4">
        <f t="shared" ref="CX437" si="2050">CM437</f>
        <v>0.8900725411588033</v>
      </c>
      <c r="CY437" s="4">
        <f t="shared" ref="CY437" si="2051">CK437</f>
        <v>0.85256630700679548</v>
      </c>
      <c r="CZ437" s="4">
        <f t="shared" ref="CZ437" si="2052">CL437</f>
        <v>0.85852739822939572</v>
      </c>
      <c r="DC437" s="4" t="e">
        <f>#REF!</f>
        <v>#REF!</v>
      </c>
      <c r="DF437" s="4">
        <f t="shared" si="1971"/>
        <v>2.0119035014818761E-5</v>
      </c>
      <c r="DG437" s="4">
        <f t="shared" si="1802"/>
        <v>6.9552766057760431</v>
      </c>
      <c r="DH437" s="4">
        <f t="shared" si="1972"/>
        <v>0.20560439979788206</v>
      </c>
      <c r="DI437" s="4">
        <f t="shared" si="1803"/>
        <v>3.6942592364830715</v>
      </c>
      <c r="DJ437" s="4">
        <f t="shared" si="1804"/>
        <v>5.5709205222766514</v>
      </c>
      <c r="DK437" s="4">
        <f t="shared" si="1973"/>
        <v>6.4977521014947346</v>
      </c>
      <c r="DL437" s="38">
        <f t="shared" si="1974"/>
        <v>392.32462727151102</v>
      </c>
      <c r="DM437" s="4" t="e">
        <f t="shared" si="1805"/>
        <v>#REF!</v>
      </c>
      <c r="DN437" s="4">
        <f t="shared" si="1975"/>
        <v>3.0983866769659336</v>
      </c>
      <c r="DO437" s="4">
        <f t="shared" si="1697"/>
        <v>176.23498271549224</v>
      </c>
      <c r="DS437" s="4">
        <f t="shared" si="1976"/>
        <v>0.85</v>
      </c>
      <c r="DT437" s="4">
        <f t="shared" si="1977"/>
        <v>0.91205673758865247</v>
      </c>
      <c r="DU437" s="4">
        <f t="shared" si="1978"/>
        <v>0.9995510789195714</v>
      </c>
      <c r="DV437" s="4">
        <f t="shared" si="1806"/>
        <v>0.91164729609260198</v>
      </c>
      <c r="DX437" s="4">
        <f t="shared" si="1979"/>
        <v>389.600564071127</v>
      </c>
      <c r="DY437" s="25">
        <f t="shared" si="1870"/>
        <v>174.4309431179702</v>
      </c>
      <c r="EA437" s="4">
        <f t="shared" si="1871"/>
        <v>0.77490020167871165</v>
      </c>
      <c r="EB437" s="4">
        <f t="shared" si="1980"/>
        <v>6.9552766057760431</v>
      </c>
      <c r="EE437" s="4">
        <f t="shared" si="1981"/>
        <v>110.96562044885792</v>
      </c>
      <c r="EF437" s="4">
        <f t="shared" si="1807"/>
        <v>3.0983866769659336</v>
      </c>
      <c r="EG437" s="4">
        <f t="shared" si="1982"/>
        <v>7.375236701442231E-2</v>
      </c>
      <c r="EJ437" s="4">
        <f t="shared" si="1808"/>
        <v>7.375236701442231E-2</v>
      </c>
      <c r="EK437" s="4">
        <f t="shared" si="1983"/>
        <v>0.2052612843740704</v>
      </c>
      <c r="EL437" s="4">
        <f t="shared" si="1809"/>
        <v>3.6917919887289439</v>
      </c>
      <c r="EM437" s="4">
        <f t="shared" si="1810"/>
        <v>5.5701097719955328</v>
      </c>
      <c r="EN437" s="4" t="e">
        <f t="shared" si="1811"/>
        <v>#REF!</v>
      </c>
      <c r="EO437" s="4" t="e">
        <f t="shared" si="1812"/>
        <v>#REF!</v>
      </c>
      <c r="EP437" s="4" t="e">
        <f t="shared" si="1984"/>
        <v>#REF!</v>
      </c>
      <c r="EQ437" s="4" t="e">
        <f t="shared" si="1813"/>
        <v>#REF!</v>
      </c>
      <c r="ER437" s="4" t="e">
        <f t="shared" si="1985"/>
        <v>#REF!</v>
      </c>
      <c r="FA437" s="23" t="e">
        <f t="shared" si="1772"/>
        <v>#REF!</v>
      </c>
      <c r="FB437" s="23" t="e">
        <f t="shared" si="1773"/>
        <v>#REF!</v>
      </c>
      <c r="FC437" s="23">
        <f t="shared" si="1706"/>
        <v>1</v>
      </c>
      <c r="FD437" s="23" t="e">
        <f t="shared" si="1774"/>
        <v>#REF!</v>
      </c>
      <c r="FE437" s="23">
        <f t="shared" si="1775"/>
        <v>1</v>
      </c>
      <c r="FF437" s="23">
        <f t="shared" si="1776"/>
        <v>1</v>
      </c>
      <c r="FG437" s="23">
        <f t="shared" si="1993"/>
        <v>0</v>
      </c>
      <c r="FH437" s="23"/>
      <c r="FR437" s="4">
        <f t="shared" si="1852"/>
        <v>1</v>
      </c>
      <c r="FS437" s="4">
        <f t="shared" si="1853"/>
        <v>0.59020693452459627</v>
      </c>
      <c r="FT437" s="4">
        <f t="shared" si="1854"/>
        <v>0.16766426906761905</v>
      </c>
      <c r="FU437" s="4">
        <f t="shared" si="1855"/>
        <v>375.79269458781397</v>
      </c>
    </row>
    <row r="438" spans="2:177" ht="12" customHeight="1" x14ac:dyDescent="0.3">
      <c r="B438" s="14" t="s">
        <v>586</v>
      </c>
      <c r="C438" s="48" t="s">
        <v>587</v>
      </c>
      <c r="D438" s="38">
        <f>115.9/0.145</f>
        <v>799.31034482758628</v>
      </c>
      <c r="E438" s="38">
        <f>17.13*25.4</f>
        <v>435.10199999999998</v>
      </c>
      <c r="F438" s="38">
        <f>10860/145</f>
        <v>74.896551724137936</v>
      </c>
      <c r="G438" s="38">
        <f t="shared" si="2009"/>
        <v>35.813999999999993</v>
      </c>
      <c r="H438" s="38">
        <f>21.9*25.4</f>
        <v>556.25999999999988</v>
      </c>
      <c r="I438" s="38">
        <f>2.8*25.4</f>
        <v>71.11999999999999</v>
      </c>
      <c r="J438" s="39">
        <f>3.9*25.4</f>
        <v>99.059999999999988</v>
      </c>
      <c r="K438" s="7">
        <f t="shared" si="1727"/>
        <v>342.39199999999994</v>
      </c>
      <c r="L438" s="38">
        <v>2</v>
      </c>
      <c r="M438" s="4">
        <f t="shared" si="1843"/>
        <v>508</v>
      </c>
      <c r="N438" s="7">
        <f t="shared" si="1947"/>
        <v>2.4858156028368796</v>
      </c>
      <c r="O438" s="7">
        <f t="shared" si="1948"/>
        <v>2.4858156028368796</v>
      </c>
      <c r="P438" s="38">
        <v>4.5</v>
      </c>
      <c r="Q438" s="4">
        <f t="shared" si="1736"/>
        <v>4.5</v>
      </c>
      <c r="R438" s="4">
        <f t="shared" si="1949"/>
        <v>5.5</v>
      </c>
      <c r="S438" s="7">
        <f t="shared" si="1950"/>
        <v>83.991275011158137</v>
      </c>
      <c r="V438" s="38">
        <f t="shared" si="1777"/>
        <v>749.65517241379314</v>
      </c>
      <c r="W438" s="4">
        <v>108.7</v>
      </c>
      <c r="X438" s="4">
        <f t="shared" si="1951"/>
        <v>0.99737956201403044</v>
      </c>
      <c r="Y438" s="38"/>
      <c r="Z438" s="38"/>
      <c r="AA438" s="39">
        <v>1</v>
      </c>
      <c r="AB438" s="39"/>
      <c r="AC438" s="39"/>
      <c r="AD438" s="7"/>
      <c r="AE438" s="4">
        <f t="shared" si="1952"/>
        <v>435.10199999999998</v>
      </c>
      <c r="AF438" s="4">
        <f t="shared" si="1953"/>
        <v>0.42615294804436654</v>
      </c>
      <c r="AG438" s="4">
        <f t="shared" si="1954"/>
        <v>389.84502406210481</v>
      </c>
      <c r="AH438" s="4">
        <f t="shared" si="1955"/>
        <v>0.74092235843549326</v>
      </c>
      <c r="AI438" s="4">
        <v>1.25</v>
      </c>
      <c r="AJ438" s="4">
        <f t="shared" si="1878"/>
        <v>2.5</v>
      </c>
      <c r="AK438" s="38">
        <f t="shared" si="1729"/>
        <v>384.66282307406311</v>
      </c>
      <c r="AL438" s="38">
        <f t="shared" si="1986"/>
        <v>384.66282307406311</v>
      </c>
      <c r="AM438" s="38">
        <f t="shared" si="1956"/>
        <v>4.7252710400583542</v>
      </c>
      <c r="AN438" s="38">
        <f t="shared" si="1893"/>
        <v>384.662823074063</v>
      </c>
      <c r="AO438" s="38">
        <f t="shared" si="1845"/>
        <v>1.0000000000000002</v>
      </c>
      <c r="AP438" s="38">
        <f t="shared" si="1894"/>
        <v>2.0534624733612792</v>
      </c>
      <c r="AQ438" s="4">
        <f t="shared" si="1895"/>
        <v>0</v>
      </c>
      <c r="AR438" s="4" t="e">
        <f>#REF!/G438*F438^0.5/0.19</f>
        <v>#REF!</v>
      </c>
      <c r="AS438" s="4">
        <f t="shared" si="1957"/>
        <v>1</v>
      </c>
      <c r="AT438" s="38">
        <f t="shared" si="1958"/>
        <v>789.89067207979758</v>
      </c>
      <c r="AU438" s="4">
        <f t="shared" si="1959"/>
        <v>0.37</v>
      </c>
      <c r="AV438" s="4" t="e">
        <f>AU438*D438*#REF!/(D438*G438/2.75/F438^0.5)</f>
        <v>#REF!</v>
      </c>
      <c r="AW438" s="4" t="e">
        <f t="shared" si="1793"/>
        <v>#REF!</v>
      </c>
      <c r="AY438" s="4">
        <f t="shared" si="1960"/>
        <v>1.2464539007092199</v>
      </c>
      <c r="AZ438" s="4" t="e">
        <f>(3*#REF!+30)*AY438*F438^0.5</f>
        <v>#REF!</v>
      </c>
      <c r="BB438" s="4">
        <f t="shared" si="1961"/>
        <v>757.60175185922924</v>
      </c>
      <c r="BC438" s="4">
        <f t="shared" si="2022"/>
        <v>0</v>
      </c>
      <c r="BD438" s="4">
        <f t="shared" si="1794"/>
        <v>0</v>
      </c>
      <c r="BL438" s="4">
        <f t="shared" si="1962"/>
        <v>71.11999999999999</v>
      </c>
      <c r="BP438" s="9"/>
      <c r="BR438" s="9"/>
      <c r="BS438" s="9"/>
      <c r="BT438" s="9">
        <f t="shared" si="1963"/>
        <v>71.11999999999999</v>
      </c>
      <c r="BU438" s="9">
        <f t="shared" si="1964"/>
        <v>171.19599999999997</v>
      </c>
      <c r="BV438" s="9">
        <f t="shared" si="1965"/>
        <v>1.6076619725091519</v>
      </c>
      <c r="BW438" s="40">
        <f t="shared" si="1738"/>
        <v>0</v>
      </c>
      <c r="BX438" s="9">
        <f t="shared" si="1966"/>
        <v>0</v>
      </c>
      <c r="BY438" s="9">
        <f t="shared" si="1795"/>
        <v>0</v>
      </c>
      <c r="BZ438" s="9">
        <f t="shared" si="1967"/>
        <v>0.89777220146327208</v>
      </c>
      <c r="CA438" s="9">
        <f t="shared" si="1968"/>
        <v>0.68048275862068963</v>
      </c>
      <c r="CB438" s="9">
        <f t="shared" si="1969"/>
        <v>1.8504707967044269</v>
      </c>
      <c r="CC438" s="9">
        <f t="shared" si="1970"/>
        <v>2.9749315311004207</v>
      </c>
      <c r="CD438" s="40">
        <v>1</v>
      </c>
      <c r="CE438" s="9" t="e">
        <f>4*CC438*#REF!+60*CC438</f>
        <v>#REF!</v>
      </c>
      <c r="CG438" s="4" t="e">
        <f t="shared" si="1796"/>
        <v>#REF!</v>
      </c>
      <c r="CH438" s="4" t="e">
        <f t="shared" si="1797"/>
        <v>#REF!</v>
      </c>
      <c r="CI438" s="4" t="e">
        <f t="shared" si="1798"/>
        <v>#REF!</v>
      </c>
      <c r="CJ438" s="4" t="e">
        <f t="shared" si="1799"/>
        <v>#REF!</v>
      </c>
      <c r="CK438" s="4">
        <f t="shared" si="1800"/>
        <v>0.99737956201403044</v>
      </c>
      <c r="CL438" s="4">
        <f t="shared" si="1801"/>
        <v>1.0416632154626597</v>
      </c>
      <c r="CM438" s="4">
        <f t="shared" si="1699"/>
        <v>1.2488912988332597</v>
      </c>
      <c r="CN438" s="4">
        <f t="shared" si="1739"/>
        <v>0</v>
      </c>
      <c r="CO438" s="4" t="e">
        <f t="shared" ref="CO438:CO439" si="2053">CG438</f>
        <v>#REF!</v>
      </c>
      <c r="CP438" s="4" t="e">
        <f t="shared" ref="CP438:CP439" si="2054">CH438</f>
        <v>#REF!</v>
      </c>
      <c r="CQ438" s="4" t="e">
        <f t="shared" ref="CQ438:CQ439" si="2055">CJ438</f>
        <v>#REF!</v>
      </c>
      <c r="CR438" s="4">
        <f t="shared" ref="CR438:CR439" si="2056">CM438</f>
        <v>1.2488912988332597</v>
      </c>
      <c r="CS438" s="4">
        <f t="shared" ref="CS438:CS439" si="2057">CK438</f>
        <v>0.99737956201403044</v>
      </c>
      <c r="CT438" s="4">
        <f t="shared" ref="CT438:CT439" si="2058">CL438</f>
        <v>1.0416632154626597</v>
      </c>
      <c r="DC438" s="4" t="e">
        <f>#REF!</f>
        <v>#REF!</v>
      </c>
      <c r="DF438" s="4">
        <f t="shared" si="1971"/>
        <v>2.8871836657560902E-5</v>
      </c>
      <c r="DG438" s="4">
        <f t="shared" si="1802"/>
        <v>9.2797747433667563</v>
      </c>
      <c r="DH438" s="4">
        <f t="shared" si="1972"/>
        <v>0.37299836532167074</v>
      </c>
      <c r="DI438" s="4">
        <f t="shared" si="1803"/>
        <v>6.2548976220947603</v>
      </c>
      <c r="DJ438" s="4">
        <f t="shared" si="1804"/>
        <v>7.9137503349969922</v>
      </c>
      <c r="DK438" s="4">
        <f t="shared" si="1973"/>
        <v>7.7449094179753031</v>
      </c>
      <c r="DL438" s="38">
        <f t="shared" si="1974"/>
        <v>751.62475848211488</v>
      </c>
      <c r="DM438" s="4" t="e">
        <f t="shared" si="1805"/>
        <v>#REF!</v>
      </c>
      <c r="DN438" s="4">
        <f t="shared" si="1975"/>
        <v>2.3452078799117149</v>
      </c>
      <c r="DO438" s="4">
        <f t="shared" ref="DO438:DO453" si="2059">MIN(DN$10*AN438)</f>
        <v>384.662823074063</v>
      </c>
      <c r="DS438" s="4">
        <f t="shared" si="1976"/>
        <v>0.85</v>
      </c>
      <c r="DT438" s="4">
        <f t="shared" si="1977"/>
        <v>0.90141843971631208</v>
      </c>
      <c r="DU438" s="4">
        <f t="shared" si="1978"/>
        <v>1</v>
      </c>
      <c r="DV438" s="4">
        <f t="shared" si="1806"/>
        <v>0.90141843971631208</v>
      </c>
      <c r="DX438" s="4">
        <f t="shared" si="1979"/>
        <v>719.67134990058207</v>
      </c>
      <c r="DY438" s="25">
        <f t="shared" si="1870"/>
        <v>381.45317680723616</v>
      </c>
      <c r="EA438" s="4">
        <f t="shared" si="1871"/>
        <v>0.76620567375886528</v>
      </c>
      <c r="EB438" s="4">
        <f t="shared" si="1980"/>
        <v>9.2797747433667563</v>
      </c>
      <c r="EE438" s="4">
        <f t="shared" si="1981"/>
        <v>83.991275011158137</v>
      </c>
      <c r="EF438" s="4">
        <f t="shared" si="1807"/>
        <v>2.3452078799117149</v>
      </c>
      <c r="EG438" s="4">
        <f t="shared" si="1982"/>
        <v>0.17651154056078713</v>
      </c>
      <c r="EJ438" s="4">
        <f t="shared" si="1808"/>
        <v>0.17651154056078713</v>
      </c>
      <c r="EK438" s="4">
        <f t="shared" si="1983"/>
        <v>0.37237590056739411</v>
      </c>
      <c r="EL438" s="4">
        <f t="shared" si="1809"/>
        <v>6.2507202265405981</v>
      </c>
      <c r="EM438" s="4">
        <f t="shared" si="1810"/>
        <v>7.9121030475986087</v>
      </c>
      <c r="EN438" s="4" t="e">
        <f t="shared" si="1811"/>
        <v>#REF!</v>
      </c>
      <c r="EO438" s="4" t="e">
        <f t="shared" si="1812"/>
        <v>#REF!</v>
      </c>
      <c r="EP438" s="4" t="e">
        <f t="shared" si="1984"/>
        <v>#REF!</v>
      </c>
      <c r="EQ438" s="4" t="e">
        <f t="shared" si="1813"/>
        <v>#REF!</v>
      </c>
      <c r="ER438" s="4" t="e">
        <f t="shared" si="1985"/>
        <v>#REF!</v>
      </c>
      <c r="EU438" s="4">
        <f>6.75*25.4</f>
        <v>171.45</v>
      </c>
      <c r="FA438" s="23" t="e">
        <f t="shared" si="1772"/>
        <v>#REF!</v>
      </c>
      <c r="FB438" s="23" t="e">
        <f t="shared" si="1773"/>
        <v>#REF!</v>
      </c>
      <c r="FC438" s="23">
        <f t="shared" si="1706"/>
        <v>1.4</v>
      </c>
      <c r="FD438" s="23" t="e">
        <f t="shared" si="1774"/>
        <v>#REF!</v>
      </c>
      <c r="FE438" s="23">
        <f t="shared" si="1775"/>
        <v>1</v>
      </c>
      <c r="FF438" s="23">
        <f t="shared" si="1776"/>
        <v>1.2</v>
      </c>
      <c r="FG438" s="23">
        <f t="shared" si="1993"/>
        <v>0</v>
      </c>
      <c r="FH438" s="23"/>
      <c r="FR438" s="4">
        <f t="shared" si="1852"/>
        <v>1</v>
      </c>
      <c r="FS438" s="4">
        <f t="shared" si="1853"/>
        <v>0.5</v>
      </c>
      <c r="FT438" s="4">
        <f t="shared" si="1854"/>
        <v>0</v>
      </c>
      <c r="FU438" s="4">
        <f t="shared" si="1855"/>
        <v>600.25654203383169</v>
      </c>
    </row>
    <row r="439" spans="2:177" ht="12" customHeight="1" x14ac:dyDescent="0.3">
      <c r="B439" s="14"/>
      <c r="C439" s="7" t="s">
        <v>588</v>
      </c>
      <c r="D439" s="38">
        <f>135/0.145</f>
        <v>931.0344827586207</v>
      </c>
      <c r="E439" s="38">
        <f>16.94*25.4</f>
        <v>430.27600000000001</v>
      </c>
      <c r="F439" s="38">
        <f>10120/145</f>
        <v>69.793103448275858</v>
      </c>
      <c r="G439" s="38">
        <f t="shared" si="2009"/>
        <v>35.813999999999993</v>
      </c>
      <c r="H439" s="38">
        <f>22.3*25.4</f>
        <v>566.41999999999996</v>
      </c>
      <c r="I439" s="38">
        <f>2.85*25.4</f>
        <v>72.39</v>
      </c>
      <c r="J439" s="39">
        <f>3.4*25.4</f>
        <v>86.36</v>
      </c>
      <c r="K439" s="7">
        <f t="shared" si="1727"/>
        <v>350.01199999999994</v>
      </c>
      <c r="L439" s="38">
        <v>2</v>
      </c>
      <c r="M439" s="4">
        <f t="shared" si="1843"/>
        <v>508</v>
      </c>
      <c r="N439" s="7">
        <f t="shared" si="1947"/>
        <v>2.5212765957446814</v>
      </c>
      <c r="O439" s="7">
        <f t="shared" si="1948"/>
        <v>2.5212765957446814</v>
      </c>
      <c r="P439" s="38">
        <v>5.5</v>
      </c>
      <c r="Q439" s="4">
        <f t="shared" si="1736"/>
        <v>5.5</v>
      </c>
      <c r="R439" s="4">
        <f t="shared" si="1949"/>
        <v>6.5</v>
      </c>
      <c r="S439" s="7">
        <f t="shared" si="1950"/>
        <v>91.308142429905971</v>
      </c>
      <c r="V439" s="38">
        <f t="shared" si="1777"/>
        <v>777.93103448275861</v>
      </c>
      <c r="W439" s="4">
        <v>112.8</v>
      </c>
      <c r="X439" s="4">
        <f t="shared" si="1951"/>
        <v>1.0728433505360115</v>
      </c>
      <c r="Y439" s="38"/>
      <c r="Z439" s="38"/>
      <c r="AA439" s="39">
        <v>1</v>
      </c>
      <c r="AB439" s="39"/>
      <c r="AC439" s="39"/>
      <c r="AD439" s="7"/>
      <c r="AE439" s="4">
        <f t="shared" si="1952"/>
        <v>430.27600000000001</v>
      </c>
      <c r="AF439" s="4">
        <f t="shared" si="1953"/>
        <v>0.43880362062180234</v>
      </c>
      <c r="AG439" s="4">
        <f t="shared" si="1954"/>
        <v>370.08493226495057</v>
      </c>
      <c r="AH439" s="4">
        <f t="shared" si="1955"/>
        <v>0.74197166469893738</v>
      </c>
      <c r="AI439" s="4">
        <v>1.25</v>
      </c>
      <c r="AJ439" s="4">
        <f t="shared" si="1878"/>
        <v>2.5</v>
      </c>
      <c r="AK439" s="38">
        <f t="shared" si="1729"/>
        <v>376.53811811168083</v>
      </c>
      <c r="AL439" s="38">
        <f t="shared" si="1986"/>
        <v>376.53811811168083</v>
      </c>
      <c r="AM439" s="38">
        <f t="shared" si="1956"/>
        <v>4.6054834550100843</v>
      </c>
      <c r="AN439" s="38">
        <f t="shared" si="1893"/>
        <v>376.53811811168123</v>
      </c>
      <c r="AO439" s="38">
        <f t="shared" si="1845"/>
        <v>0.99999999999999889</v>
      </c>
      <c r="AP439" s="38">
        <f t="shared" si="1894"/>
        <v>2.191973984270188</v>
      </c>
      <c r="AQ439" s="4">
        <f t="shared" si="1895"/>
        <v>0</v>
      </c>
      <c r="AR439" s="4" t="e">
        <f>#REF!/G439*F439^0.5/0.19</f>
        <v>#REF!</v>
      </c>
      <c r="AS439" s="4">
        <f t="shared" si="1957"/>
        <v>1</v>
      </c>
      <c r="AT439" s="38">
        <f t="shared" si="1958"/>
        <v>825.36175898686054</v>
      </c>
      <c r="AU439" s="4">
        <f t="shared" si="1959"/>
        <v>0.3</v>
      </c>
      <c r="AV439" s="4" t="e">
        <f>AU439*D439*#REF!/(D439*G439/2.75/F439^0.5)</f>
        <v>#REF!</v>
      </c>
      <c r="AW439" s="4" t="e">
        <f t="shared" si="1793"/>
        <v>#REF!</v>
      </c>
      <c r="AY439" s="4">
        <f t="shared" si="1960"/>
        <v>1.2553191489361704</v>
      </c>
      <c r="AZ439" s="4" t="e">
        <f>(3*#REF!+30)*AY439*F439^0.5</f>
        <v>#REF!</v>
      </c>
      <c r="BB439" s="4">
        <f t="shared" si="1961"/>
        <v>791.62286203436884</v>
      </c>
      <c r="BC439" s="4">
        <f t="shared" si="2022"/>
        <v>0</v>
      </c>
      <c r="BD439" s="4">
        <f t="shared" si="1794"/>
        <v>0</v>
      </c>
      <c r="BL439" s="4">
        <f t="shared" si="1962"/>
        <v>72.39</v>
      </c>
      <c r="BP439" s="9"/>
      <c r="BR439" s="9"/>
      <c r="BS439" s="9"/>
      <c r="BT439" s="9">
        <f t="shared" si="1963"/>
        <v>72.39</v>
      </c>
      <c r="BU439" s="9">
        <f t="shared" si="1964"/>
        <v>175.00599999999997</v>
      </c>
      <c r="BV439" s="9">
        <f t="shared" si="1965"/>
        <v>1.6230018989509365</v>
      </c>
      <c r="BW439" s="40">
        <f t="shared" si="1738"/>
        <v>0</v>
      </c>
      <c r="BX439" s="9">
        <f t="shared" si="1966"/>
        <v>0</v>
      </c>
      <c r="BY439" s="9">
        <f t="shared" si="1795"/>
        <v>0</v>
      </c>
      <c r="BZ439" s="9">
        <f t="shared" si="1967"/>
        <v>0.89777220146327208</v>
      </c>
      <c r="CA439" s="9">
        <f t="shared" si="1968"/>
        <v>0.68</v>
      </c>
      <c r="CB439" s="9">
        <f t="shared" si="1969"/>
        <v>1.7850458101214393</v>
      </c>
      <c r="CC439" s="9">
        <f t="shared" si="1970"/>
        <v>2.8971327395415085</v>
      </c>
      <c r="CD439" s="40">
        <v>1</v>
      </c>
      <c r="CE439" s="9" t="e">
        <f>4*CC439*#REF!+60*CC439</f>
        <v>#REF!</v>
      </c>
      <c r="CG439" s="4" t="e">
        <f t="shared" si="1796"/>
        <v>#REF!</v>
      </c>
      <c r="CH439" s="4" t="e">
        <f t="shared" si="1797"/>
        <v>#REF!</v>
      </c>
      <c r="CI439" s="4" t="e">
        <f t="shared" si="1798"/>
        <v>#REF!</v>
      </c>
      <c r="CJ439" s="4" t="e">
        <f t="shared" si="1799"/>
        <v>#REF!</v>
      </c>
      <c r="CK439" s="4">
        <f t="shared" si="1800"/>
        <v>1.0728433505360115</v>
      </c>
      <c r="CL439" s="4">
        <f t="shared" si="1801"/>
        <v>1.1153119606929831</v>
      </c>
      <c r="CM439" s="4">
        <f t="shared" ref="CM439:CM453" si="2060">V439/FU439</f>
        <v>1.3338607110128451</v>
      </c>
      <c r="CN439" s="4">
        <f t="shared" si="1739"/>
        <v>0</v>
      </c>
      <c r="CO439" s="4" t="e">
        <f t="shared" si="2053"/>
        <v>#REF!</v>
      </c>
      <c r="CP439" s="4" t="e">
        <f t="shared" si="2054"/>
        <v>#REF!</v>
      </c>
      <c r="CQ439" s="4" t="e">
        <f t="shared" si="2055"/>
        <v>#REF!</v>
      </c>
      <c r="CR439" s="4">
        <f t="shared" si="2056"/>
        <v>1.3338607110128451</v>
      </c>
      <c r="CS439" s="4">
        <f t="shared" si="2057"/>
        <v>1.0728433505360115</v>
      </c>
      <c r="CT439" s="4">
        <f t="shared" si="2058"/>
        <v>1.1153119606929831</v>
      </c>
      <c r="DC439" s="4" t="e">
        <f>#REF!</f>
        <v>#REF!</v>
      </c>
      <c r="DF439" s="4">
        <f t="shared" si="1971"/>
        <v>2.7686527188922619E-5</v>
      </c>
      <c r="DG439" s="4">
        <f t="shared" si="1802"/>
        <v>8.9934147612306088</v>
      </c>
      <c r="DH439" s="4">
        <f t="shared" si="1972"/>
        <v>0.34850589790084407</v>
      </c>
      <c r="DI439" s="4">
        <f t="shared" si="1803"/>
        <v>5.8994112997014136</v>
      </c>
      <c r="DJ439" s="4">
        <f t="shared" si="1804"/>
        <v>7.6060716291421739</v>
      </c>
      <c r="DK439" s="4">
        <f t="shared" si="1973"/>
        <v>7.6439407512249238</v>
      </c>
      <c r="DL439" s="38">
        <f t="shared" si="1974"/>
        <v>725.11148444373589</v>
      </c>
      <c r="DM439" s="4" t="e">
        <f t="shared" si="1805"/>
        <v>#REF!</v>
      </c>
      <c r="DN439" s="4">
        <f t="shared" si="1975"/>
        <v>2.5495097567963922</v>
      </c>
      <c r="DO439" s="4">
        <f t="shared" si="2059"/>
        <v>376.53811811168123</v>
      </c>
      <c r="DS439" s="4">
        <f t="shared" si="1976"/>
        <v>0.85</v>
      </c>
      <c r="DT439" s="4">
        <f t="shared" si="1977"/>
        <v>0.89787234042553188</v>
      </c>
      <c r="DU439" s="4">
        <f t="shared" si="1978"/>
        <v>1</v>
      </c>
      <c r="DV439" s="4">
        <f t="shared" si="1806"/>
        <v>0.89787234042553188</v>
      </c>
      <c r="DX439" s="4">
        <f t="shared" si="1979"/>
        <v>697.50084451654436</v>
      </c>
      <c r="DY439" s="25">
        <f t="shared" si="1870"/>
        <v>373.3552146117645</v>
      </c>
      <c r="EA439" s="4">
        <f t="shared" si="1871"/>
        <v>0.76319148936170211</v>
      </c>
      <c r="EB439" s="4">
        <f t="shared" si="1980"/>
        <v>8.9934147612306088</v>
      </c>
      <c r="EE439" s="4">
        <f t="shared" si="1981"/>
        <v>91.308142429905971</v>
      </c>
      <c r="EF439" s="4">
        <f t="shared" si="1807"/>
        <v>2.5495097567963922</v>
      </c>
      <c r="EG439" s="4">
        <f t="shared" si="1982"/>
        <v>0.1592031486457379</v>
      </c>
      <c r="EJ439" s="4">
        <f t="shared" si="1808"/>
        <v>0.1592031486457379</v>
      </c>
      <c r="EK439" s="4">
        <f t="shared" si="1983"/>
        <v>0.34792430650991729</v>
      </c>
      <c r="EL439" s="4">
        <f t="shared" si="1809"/>
        <v>5.8954713192213966</v>
      </c>
      <c r="EM439" s="4">
        <f t="shared" si="1810"/>
        <v>7.6045476887426728</v>
      </c>
      <c r="EN439" s="4" t="e">
        <f t="shared" si="1811"/>
        <v>#REF!</v>
      </c>
      <c r="EO439" s="4" t="e">
        <f t="shared" si="1812"/>
        <v>#REF!</v>
      </c>
      <c r="EP439" s="4" t="e">
        <f t="shared" si="1984"/>
        <v>#REF!</v>
      </c>
      <c r="EQ439" s="4" t="e">
        <f t="shared" si="1813"/>
        <v>#REF!</v>
      </c>
      <c r="ER439" s="4" t="e">
        <f t="shared" si="1985"/>
        <v>#REF!</v>
      </c>
      <c r="FA439" s="23" t="e">
        <f t="shared" si="1772"/>
        <v>#REF!</v>
      </c>
      <c r="FB439" s="23" t="e">
        <f t="shared" si="1773"/>
        <v>#REF!</v>
      </c>
      <c r="FC439" s="23">
        <f t="shared" ref="FC439:FC453" si="2061">IF(CM439&lt;0.6,0.6,IF(CM439&lt;0.8,0.8,IF(CM439&lt;1,1,IF(CM439&lt;1.2,1.2,IF(CM439&lt;1.4,1.4,IF(CM439&lt;1.6,1.6,IF(CM439&lt;1.8,1.8,IF(CM439&lt;2,2,2.2))))))))</f>
        <v>1.4</v>
      </c>
      <c r="FD439" s="23" t="e">
        <f t="shared" si="1774"/>
        <v>#REF!</v>
      </c>
      <c r="FE439" s="23">
        <f t="shared" si="1775"/>
        <v>1.2</v>
      </c>
      <c r="FF439" s="23">
        <f t="shared" si="1776"/>
        <v>1.2</v>
      </c>
      <c r="FG439" s="23">
        <f t="shared" si="1993"/>
        <v>0</v>
      </c>
      <c r="FH439" s="23"/>
      <c r="FR439" s="4">
        <f t="shared" si="1852"/>
        <v>1</v>
      </c>
      <c r="FS439" s="4">
        <f t="shared" si="1853"/>
        <v>0.5</v>
      </c>
      <c r="FT439" s="4">
        <f t="shared" si="1854"/>
        <v>0</v>
      </c>
      <c r="FU439" s="4">
        <f t="shared" si="1855"/>
        <v>583.21759390607554</v>
      </c>
    </row>
    <row r="440" spans="2:177" ht="12" customHeight="1" x14ac:dyDescent="0.3">
      <c r="B440" s="14"/>
      <c r="C440" s="48" t="s">
        <v>589</v>
      </c>
      <c r="D440" s="38">
        <f>115.9/0.145</f>
        <v>799.31034482758628</v>
      </c>
      <c r="E440" s="38">
        <f>16.81*25.4</f>
        <v>426.97399999999993</v>
      </c>
      <c r="F440" s="38">
        <f>10860/145</f>
        <v>74.896551724137936</v>
      </c>
      <c r="G440" s="38">
        <f t="shared" si="2009"/>
        <v>35.813999999999993</v>
      </c>
      <c r="H440" s="38">
        <f>21.7*25.4</f>
        <v>551.17999999999995</v>
      </c>
      <c r="I440" s="38">
        <f>2.65*25.4</f>
        <v>67.309999999999988</v>
      </c>
      <c r="J440" s="39">
        <f>4.2*25.4</f>
        <v>106.67999999999999</v>
      </c>
      <c r="K440" s="7">
        <f t="shared" si="1727"/>
        <v>344.93200000000002</v>
      </c>
      <c r="L440" s="38">
        <v>2</v>
      </c>
      <c r="M440" s="4">
        <f t="shared" si="1843"/>
        <v>508</v>
      </c>
      <c r="N440" s="7">
        <f t="shared" si="1947"/>
        <v>2.3794326241134751</v>
      </c>
      <c r="O440" s="7">
        <f t="shared" si="1948"/>
        <v>2.3794326241134751</v>
      </c>
      <c r="P440" s="38">
        <v>4.5</v>
      </c>
      <c r="Q440" s="4">
        <f t="shared" si="1736"/>
        <v>4.5</v>
      </c>
      <c r="R440" s="4">
        <f t="shared" si="1949"/>
        <v>5.5</v>
      </c>
      <c r="S440" s="7">
        <f t="shared" si="1950"/>
        <v>83.991275011158137</v>
      </c>
      <c r="V440" s="38">
        <f t="shared" si="1777"/>
        <v>891.0344827586207</v>
      </c>
      <c r="W440" s="4">
        <v>129.19999999999999</v>
      </c>
      <c r="X440" s="4">
        <f t="shared" si="1951"/>
        <v>1.2159686517391213</v>
      </c>
      <c r="Y440" s="38">
        <f t="shared" ref="Y440:Y441" si="2062">0.5*25.4</f>
        <v>12.7</v>
      </c>
      <c r="Z440" s="38">
        <v>12</v>
      </c>
      <c r="AA440" s="39">
        <f t="shared" ref="AA440:AA441" si="2063">4*25.4</f>
        <v>101.6</v>
      </c>
      <c r="AB440" s="39">
        <v>2</v>
      </c>
      <c r="AC440" s="39">
        <f t="shared" ref="AC440:AC441" si="2064">AB440-1</f>
        <v>1</v>
      </c>
      <c r="AD440" s="7"/>
      <c r="AE440" s="4">
        <f t="shared" si="1952"/>
        <v>426.97399999999993</v>
      </c>
      <c r="AF440" s="4">
        <f t="shared" si="1953"/>
        <v>0.43029942494546902</v>
      </c>
      <c r="AG440" s="4">
        <f t="shared" si="1954"/>
        <v>378.97234670320694</v>
      </c>
      <c r="AH440" s="4">
        <f t="shared" si="1955"/>
        <v>0.73991671624033306</v>
      </c>
      <c r="AI440" s="4">
        <v>1.25</v>
      </c>
      <c r="AJ440" s="4">
        <f t="shared" si="1878"/>
        <v>2.5</v>
      </c>
      <c r="AK440" s="38">
        <f t="shared" si="1729"/>
        <v>377.06059406058517</v>
      </c>
      <c r="AL440" s="38">
        <f t="shared" si="1986"/>
        <v>377.06059406058517</v>
      </c>
      <c r="AM440" s="38">
        <f t="shared" si="1956"/>
        <v>4.7252710400583542</v>
      </c>
      <c r="AN440" s="38">
        <f t="shared" si="1893"/>
        <v>377.06059406058517</v>
      </c>
      <c r="AO440" s="38">
        <f t="shared" si="1845"/>
        <v>1</v>
      </c>
      <c r="AP440" s="38">
        <f t="shared" si="1894"/>
        <v>2.0052122080112209</v>
      </c>
      <c r="AQ440" s="4">
        <f t="shared" si="1895"/>
        <v>0</v>
      </c>
      <c r="AR440" s="4" t="e">
        <f>#REF!/G440*F440^0.5/0.19</f>
        <v>#REF!</v>
      </c>
      <c r="AS440" s="4">
        <f t="shared" si="1957"/>
        <v>1</v>
      </c>
      <c r="AT440" s="38">
        <f t="shared" si="1958"/>
        <v>756.08650637024857</v>
      </c>
      <c r="AU440" s="4">
        <f t="shared" si="1959"/>
        <v>0.37</v>
      </c>
      <c r="AV440" s="4" t="e">
        <f>AU440*D440*#REF!/(D440*G440/2.75/F440^0.5)</f>
        <v>#REF!</v>
      </c>
      <c r="AW440" s="4" t="e">
        <f t="shared" si="1793"/>
        <v>#REF!</v>
      </c>
      <c r="AY440" s="4">
        <f t="shared" si="1960"/>
        <v>1.5</v>
      </c>
      <c r="AZ440" s="4" t="e">
        <f>(3*#REF!+30)*AY440*F440^0.5</f>
        <v>#REF!</v>
      </c>
      <c r="BB440" s="4">
        <f t="shared" si="1961"/>
        <v>725.17942296368437</v>
      </c>
      <c r="BC440" s="4">
        <f t="shared" si="2022"/>
        <v>0</v>
      </c>
      <c r="BD440" s="4">
        <f t="shared" si="1794"/>
        <v>0</v>
      </c>
      <c r="BL440" s="4">
        <f t="shared" si="1962"/>
        <v>67.309999999999988</v>
      </c>
      <c r="BP440" s="9"/>
      <c r="BR440" s="9"/>
      <c r="BS440" s="9"/>
      <c r="BT440" s="9">
        <f t="shared" si="1963"/>
        <v>67.309999999999988</v>
      </c>
      <c r="BU440" s="9">
        <f t="shared" si="1964"/>
        <v>172.46600000000001</v>
      </c>
      <c r="BV440" s="9">
        <f t="shared" si="1965"/>
        <v>1.5787267425904519</v>
      </c>
      <c r="BW440" s="40">
        <f t="shared" si="1738"/>
        <v>20</v>
      </c>
      <c r="BX440" s="9">
        <f t="shared" si="1966"/>
        <v>0.05</v>
      </c>
      <c r="BY440" s="9">
        <f t="shared" si="1795"/>
        <v>0.8</v>
      </c>
      <c r="BZ440" s="9">
        <f t="shared" si="1967"/>
        <v>0.89777220146327208</v>
      </c>
      <c r="CA440" s="9">
        <f t="shared" si="1968"/>
        <v>0.68048275862068963</v>
      </c>
      <c r="CB440" s="9">
        <f t="shared" si="1969"/>
        <v>1.8504707967044269</v>
      </c>
      <c r="CC440" s="9">
        <f t="shared" si="1970"/>
        <v>4.4017643705034795</v>
      </c>
      <c r="CD440" s="40">
        <v>1</v>
      </c>
      <c r="CE440" s="9" t="e">
        <f>4*CC440*#REF!+60*CC440</f>
        <v>#REF!</v>
      </c>
      <c r="CG440" s="4" t="e">
        <f t="shared" si="1796"/>
        <v>#REF!</v>
      </c>
      <c r="CH440" s="4" t="e">
        <f t="shared" si="1797"/>
        <v>#REF!</v>
      </c>
      <c r="CI440" s="4" t="e">
        <f t="shared" si="1798"/>
        <v>#REF!</v>
      </c>
      <c r="CJ440" s="4" t="e">
        <f t="shared" si="1799"/>
        <v>#REF!</v>
      </c>
      <c r="CK440" s="4">
        <f t="shared" si="1800"/>
        <v>1.2159686517391213</v>
      </c>
      <c r="CL440" s="4">
        <f t="shared" si="1801"/>
        <v>1.2692714892463186</v>
      </c>
      <c r="CM440" s="4">
        <f t="shared" si="2060"/>
        <v>1.3088116847320996</v>
      </c>
      <c r="CN440" s="4">
        <f t="shared" si="1739"/>
        <v>12</v>
      </c>
      <c r="CU440" s="4" t="e">
        <f t="shared" ref="CU440:CU441" si="2065">CG440</f>
        <v>#REF!</v>
      </c>
      <c r="CV440" s="4" t="e">
        <f t="shared" ref="CV440:CV441" si="2066">CH440</f>
        <v>#REF!</v>
      </c>
      <c r="CW440" s="4" t="e">
        <f t="shared" ref="CW440:CW441" si="2067">CJ440</f>
        <v>#REF!</v>
      </c>
      <c r="CX440" s="4">
        <f t="shared" ref="CX440:CX441" si="2068">CM440</f>
        <v>1.3088116847320996</v>
      </c>
      <c r="CY440" s="4">
        <f t="shared" ref="CY440:CY441" si="2069">CK440</f>
        <v>1.2159686517391213</v>
      </c>
      <c r="CZ440" s="4">
        <f t="shared" ref="CZ440:CZ441" si="2070">CL440</f>
        <v>1.2692714892463186</v>
      </c>
      <c r="DC440" s="4" t="e">
        <f>#REF!</f>
        <v>#REF!</v>
      </c>
      <c r="DF440" s="4">
        <f t="shared" si="1971"/>
        <v>2.8332491197524731E-5</v>
      </c>
      <c r="DG440" s="4">
        <f t="shared" si="1802"/>
        <v>9.175653902487765</v>
      </c>
      <c r="DH440" s="4">
        <f t="shared" si="1972"/>
        <v>0.36562666516056047</v>
      </c>
      <c r="DI440" s="4">
        <f t="shared" si="1803"/>
        <v>6.1355311948268501</v>
      </c>
      <c r="DJ440" s="4">
        <f t="shared" si="1804"/>
        <v>7.8056110225120436</v>
      </c>
      <c r="DK440" s="4">
        <f t="shared" si="1973"/>
        <v>7.7343241921128305</v>
      </c>
      <c r="DL440" s="38">
        <f t="shared" si="1974"/>
        <v>732.77751156185786</v>
      </c>
      <c r="DM440" s="4" t="e">
        <f t="shared" si="1805"/>
        <v>#REF!</v>
      </c>
      <c r="DN440" s="4">
        <f t="shared" si="1975"/>
        <v>2.3452078799117149</v>
      </c>
      <c r="DO440" s="4">
        <f t="shared" si="2059"/>
        <v>377.06059406058517</v>
      </c>
      <c r="DS440" s="4">
        <f t="shared" si="1976"/>
        <v>0.85</v>
      </c>
      <c r="DT440" s="4">
        <f t="shared" si="1977"/>
        <v>0.91205673758865247</v>
      </c>
      <c r="DU440" s="4">
        <f t="shared" si="1978"/>
        <v>0.9995510789195714</v>
      </c>
      <c r="DV440" s="4">
        <f t="shared" si="1806"/>
        <v>0.91164729609260198</v>
      </c>
      <c r="DX440" s="4">
        <f t="shared" si="1979"/>
        <v>702.00464621458445</v>
      </c>
      <c r="DY440" s="25">
        <f t="shared" si="1870"/>
        <v>373.82859919156465</v>
      </c>
      <c r="EA440" s="4">
        <f t="shared" si="1871"/>
        <v>0.77490020167871165</v>
      </c>
      <c r="EB440" s="4">
        <f t="shared" si="1980"/>
        <v>9.175653902487765</v>
      </c>
      <c r="EE440" s="4">
        <f t="shared" si="1981"/>
        <v>83.991275011158137</v>
      </c>
      <c r="EF440" s="4">
        <f t="shared" si="1807"/>
        <v>2.3452078799117149</v>
      </c>
      <c r="EG440" s="4">
        <f t="shared" si="1982"/>
        <v>0.17302307982485968</v>
      </c>
      <c r="EJ440" s="4">
        <f t="shared" si="1808"/>
        <v>0.17302307982485968</v>
      </c>
      <c r="EK440" s="4">
        <f t="shared" si="1983"/>
        <v>0.36501650239995459</v>
      </c>
      <c r="EL440" s="4">
        <f t="shared" si="1809"/>
        <v>6.1314335193277074</v>
      </c>
      <c r="EM440" s="4">
        <f t="shared" si="1810"/>
        <v>7.8040042556627496</v>
      </c>
      <c r="EN440" s="4" t="e">
        <f t="shared" si="1811"/>
        <v>#REF!</v>
      </c>
      <c r="EO440" s="4" t="e">
        <f t="shared" si="1812"/>
        <v>#REF!</v>
      </c>
      <c r="EP440" s="4" t="e">
        <f t="shared" si="1984"/>
        <v>#REF!</v>
      </c>
      <c r="EQ440" s="4" t="e">
        <f t="shared" si="1813"/>
        <v>#REF!</v>
      </c>
      <c r="ER440" s="4" t="e">
        <f t="shared" si="1985"/>
        <v>#REF!</v>
      </c>
      <c r="EU440" s="4">
        <f>6.75*25.4</f>
        <v>171.45</v>
      </c>
      <c r="FA440" s="23" t="e">
        <f t="shared" si="1772"/>
        <v>#REF!</v>
      </c>
      <c r="FB440" s="23" t="e">
        <f t="shared" si="1773"/>
        <v>#REF!</v>
      </c>
      <c r="FC440" s="23">
        <f t="shared" si="2061"/>
        <v>1.4</v>
      </c>
      <c r="FD440" s="23" t="e">
        <f t="shared" si="1774"/>
        <v>#REF!</v>
      </c>
      <c r="FE440" s="23">
        <f t="shared" si="1775"/>
        <v>1.4</v>
      </c>
      <c r="FF440" s="23">
        <f t="shared" si="1776"/>
        <v>1.4</v>
      </c>
      <c r="FG440" s="23">
        <f t="shared" si="1993"/>
        <v>0</v>
      </c>
      <c r="FH440" s="23"/>
      <c r="FR440" s="4">
        <f t="shared" si="1852"/>
        <v>1</v>
      </c>
      <c r="FS440" s="4">
        <f t="shared" si="1853"/>
        <v>0.43261334185606104</v>
      </c>
      <c r="FT440" s="4">
        <f t="shared" si="1854"/>
        <v>0.25149640360142855</v>
      </c>
      <c r="FU440" s="4">
        <f t="shared" si="1855"/>
        <v>680.79655243986178</v>
      </c>
    </row>
    <row r="441" spans="2:177" ht="12" customHeight="1" x14ac:dyDescent="0.3">
      <c r="B441" s="14"/>
      <c r="C441" s="7" t="s">
        <v>590</v>
      </c>
      <c r="D441" s="38">
        <f>135/0.145</f>
        <v>931.0344827586207</v>
      </c>
      <c r="E441" s="38">
        <f>16.81*25.4</f>
        <v>426.97399999999993</v>
      </c>
      <c r="F441" s="38">
        <f>10120/145</f>
        <v>69.793103448275858</v>
      </c>
      <c r="G441" s="38">
        <f t="shared" si="2009"/>
        <v>35.813999999999993</v>
      </c>
      <c r="H441" s="38">
        <f>22.4*25.4</f>
        <v>568.95999999999992</v>
      </c>
      <c r="I441" s="38">
        <f>2.8*25.4</f>
        <v>71.11999999999999</v>
      </c>
      <c r="J441" s="39">
        <f>3.1*25.4</f>
        <v>78.739999999999995</v>
      </c>
      <c r="K441" s="7">
        <f t="shared" si="1727"/>
        <v>355.09199999999998</v>
      </c>
      <c r="L441" s="38">
        <v>2</v>
      </c>
      <c r="M441" s="4">
        <f t="shared" si="1843"/>
        <v>508</v>
      </c>
      <c r="N441" s="7">
        <f t="shared" si="1947"/>
        <v>2.4858156028368796</v>
      </c>
      <c r="O441" s="7">
        <f t="shared" si="1948"/>
        <v>2.4858156028368796</v>
      </c>
      <c r="P441" s="38">
        <v>5.5</v>
      </c>
      <c r="Q441" s="4">
        <f t="shared" si="1736"/>
        <v>5.5</v>
      </c>
      <c r="R441" s="4">
        <f t="shared" si="1949"/>
        <v>6.5</v>
      </c>
      <c r="S441" s="7">
        <f t="shared" si="1950"/>
        <v>91.308142429905971</v>
      </c>
      <c r="V441" s="38">
        <f t="shared" si="1777"/>
        <v>872.41379310344837</v>
      </c>
      <c r="W441" s="4">
        <v>126.5</v>
      </c>
      <c r="X441" s="4">
        <f t="shared" si="1951"/>
        <v>1.2091576243153148</v>
      </c>
      <c r="Y441" s="38">
        <f t="shared" si="2062"/>
        <v>12.7</v>
      </c>
      <c r="Z441" s="38">
        <v>12</v>
      </c>
      <c r="AA441" s="39">
        <f t="shared" si="2063"/>
        <v>101.6</v>
      </c>
      <c r="AB441" s="39">
        <v>2</v>
      </c>
      <c r="AC441" s="39">
        <f t="shared" si="2064"/>
        <v>1</v>
      </c>
      <c r="AD441" s="7"/>
      <c r="AE441" s="4">
        <f t="shared" si="1952"/>
        <v>426.97399999999993</v>
      </c>
      <c r="AF441" s="4">
        <f t="shared" si="1953"/>
        <v>0.44418005155661316</v>
      </c>
      <c r="AG441" s="4">
        <f t="shared" si="1954"/>
        <v>365.83298834249337</v>
      </c>
      <c r="AH441" s="4">
        <f t="shared" si="1955"/>
        <v>0.74170136823319444</v>
      </c>
      <c r="AI441" s="4">
        <v>1.25</v>
      </c>
      <c r="AJ441" s="4">
        <f t="shared" si="1878"/>
        <v>2.5</v>
      </c>
      <c r="AK441" s="38">
        <f t="shared" si="1729"/>
        <v>376.63529565521696</v>
      </c>
      <c r="AL441" s="38">
        <f t="shared" si="1986"/>
        <v>376.63529565521696</v>
      </c>
      <c r="AM441" s="38">
        <f t="shared" si="1956"/>
        <v>4.6054834550100843</v>
      </c>
      <c r="AN441" s="38">
        <f t="shared" si="1893"/>
        <v>376.63529565521696</v>
      </c>
      <c r="AO441" s="38">
        <f t="shared" si="1845"/>
        <v>1</v>
      </c>
      <c r="AP441" s="38">
        <f t="shared" si="1894"/>
        <v>2.1605869253783649</v>
      </c>
      <c r="AQ441" s="4">
        <f t="shared" si="1895"/>
        <v>0</v>
      </c>
      <c r="AR441" s="4" t="e">
        <f>#REF!/G441*F441^0.5/0.19</f>
        <v>#REF!</v>
      </c>
      <c r="AS441" s="4">
        <f t="shared" si="1957"/>
        <v>1</v>
      </c>
      <c r="AT441" s="38">
        <f t="shared" si="1958"/>
        <v>813.75329542867667</v>
      </c>
      <c r="AU441" s="4">
        <f t="shared" si="1959"/>
        <v>0.3</v>
      </c>
      <c r="AV441" s="4" t="e">
        <f>AU441*D441*#REF!/(D441*G441/2.75/F441^0.5)</f>
        <v>#REF!</v>
      </c>
      <c r="AW441" s="4" t="e">
        <f t="shared" si="1793"/>
        <v>#REF!</v>
      </c>
      <c r="AY441" s="4">
        <f t="shared" si="1960"/>
        <v>1.5</v>
      </c>
      <c r="AZ441" s="4" t="e">
        <f>(3*#REF!+30)*AY441*F441^0.5</f>
        <v>#REF!</v>
      </c>
      <c r="BB441" s="4">
        <f t="shared" si="1961"/>
        <v>780.48892585948306</v>
      </c>
      <c r="BC441" s="4">
        <f t="shared" si="2022"/>
        <v>0</v>
      </c>
      <c r="BD441" s="4">
        <f t="shared" si="1794"/>
        <v>0</v>
      </c>
      <c r="BL441" s="4">
        <f t="shared" si="1962"/>
        <v>71.11999999999999</v>
      </c>
      <c r="BP441" s="9"/>
      <c r="BR441" s="9"/>
      <c r="BS441" s="9"/>
      <c r="BT441" s="9">
        <f t="shared" si="1963"/>
        <v>71.11999999999999</v>
      </c>
      <c r="BU441" s="9">
        <f t="shared" si="1964"/>
        <v>177.54599999999999</v>
      </c>
      <c r="BV441" s="9">
        <f t="shared" si="1965"/>
        <v>1.6164688165154646</v>
      </c>
      <c r="BW441" s="40">
        <f t="shared" si="1738"/>
        <v>20</v>
      </c>
      <c r="BX441" s="9">
        <f t="shared" si="1966"/>
        <v>0.05</v>
      </c>
      <c r="BY441" s="9">
        <f t="shared" si="1795"/>
        <v>0.8</v>
      </c>
      <c r="BZ441" s="9">
        <f t="shared" si="1967"/>
        <v>0.89777220146327208</v>
      </c>
      <c r="CA441" s="9">
        <f t="shared" si="1968"/>
        <v>0.68</v>
      </c>
      <c r="CB441" s="9">
        <f t="shared" si="1969"/>
        <v>1.7850458101214393</v>
      </c>
      <c r="CC441" s="9">
        <f t="shared" si="1970"/>
        <v>4.313507536210043</v>
      </c>
      <c r="CD441" s="40">
        <v>1</v>
      </c>
      <c r="CE441" s="9" t="e">
        <f>4*CC441*#REF!+60*CC441</f>
        <v>#REF!</v>
      </c>
      <c r="CG441" s="4" t="e">
        <f t="shared" si="1796"/>
        <v>#REF!</v>
      </c>
      <c r="CH441" s="4" t="e">
        <f t="shared" si="1797"/>
        <v>#REF!</v>
      </c>
      <c r="CI441" s="4" t="e">
        <f t="shared" si="1798"/>
        <v>#REF!</v>
      </c>
      <c r="CJ441" s="4" t="e">
        <f t="shared" si="1799"/>
        <v>#REF!</v>
      </c>
      <c r="CK441" s="4">
        <f t="shared" si="1800"/>
        <v>1.2091576243153148</v>
      </c>
      <c r="CL441" s="4">
        <f t="shared" si="1801"/>
        <v>1.2571639757274684</v>
      </c>
      <c r="CM441" s="4">
        <f t="shared" si="2060"/>
        <v>1.3330135927123574</v>
      </c>
      <c r="CN441" s="4">
        <f t="shared" si="1739"/>
        <v>12</v>
      </c>
      <c r="CU441" s="4" t="e">
        <f t="shared" si="2065"/>
        <v>#REF!</v>
      </c>
      <c r="CV441" s="4" t="e">
        <f t="shared" si="2066"/>
        <v>#REF!</v>
      </c>
      <c r="CW441" s="4" t="e">
        <f t="shared" si="2067"/>
        <v>#REF!</v>
      </c>
      <c r="CX441" s="4">
        <f t="shared" si="2068"/>
        <v>1.3330135927123574</v>
      </c>
      <c r="CY441" s="4">
        <f t="shared" si="2069"/>
        <v>1.2091576243153148</v>
      </c>
      <c r="CZ441" s="4">
        <f t="shared" si="2070"/>
        <v>1.2571639757274684</v>
      </c>
      <c r="DC441" s="4" t="e">
        <f>#REF!</f>
        <v>#REF!</v>
      </c>
      <c r="DF441" s="4">
        <f t="shared" si="1971"/>
        <v>2.7474056791368898E-5</v>
      </c>
      <c r="DG441" s="4">
        <f t="shared" si="1802"/>
        <v>8.9620587312961906</v>
      </c>
      <c r="DH441" s="4">
        <f t="shared" si="1972"/>
        <v>0.34859584084536072</v>
      </c>
      <c r="DI441" s="4">
        <f t="shared" si="1803"/>
        <v>5.8794495225591783</v>
      </c>
      <c r="DJ441" s="4">
        <f t="shared" si="1804"/>
        <v>7.5797874309844042</v>
      </c>
      <c r="DK441" s="4">
        <f t="shared" si="1973"/>
        <v>7.6423420206231123</v>
      </c>
      <c r="DL441" s="38">
        <f t="shared" si="1974"/>
        <v>721.50543118598989</v>
      </c>
      <c r="DM441" s="4" t="e">
        <f t="shared" si="1805"/>
        <v>#REF!</v>
      </c>
      <c r="DN441" s="4">
        <f t="shared" si="1975"/>
        <v>2.5495097567963922</v>
      </c>
      <c r="DO441" s="4">
        <f t="shared" si="2059"/>
        <v>376.63529565521696</v>
      </c>
      <c r="DS441" s="4">
        <f t="shared" si="1976"/>
        <v>0.85</v>
      </c>
      <c r="DT441" s="4">
        <f t="shared" si="1977"/>
        <v>0.90141843971631208</v>
      </c>
      <c r="DU441" s="4">
        <f t="shared" si="1978"/>
        <v>0.9995510789195714</v>
      </c>
      <c r="DV441" s="4">
        <f t="shared" si="1806"/>
        <v>0.90101377397643634</v>
      </c>
      <c r="DX441" s="4">
        <f t="shared" si="1979"/>
        <v>693.95385959784517</v>
      </c>
      <c r="DY441" s="25">
        <f t="shared" si="1870"/>
        <v>373.417248378507</v>
      </c>
      <c r="EA441" s="4">
        <f t="shared" si="1871"/>
        <v>0.76586170787997088</v>
      </c>
      <c r="EB441" s="4">
        <f t="shared" si="1980"/>
        <v>8.9620587312961906</v>
      </c>
      <c r="EE441" s="4">
        <f t="shared" si="1981"/>
        <v>91.308142429905971</v>
      </c>
      <c r="EF441" s="4">
        <f t="shared" si="1807"/>
        <v>2.5495097567963922</v>
      </c>
      <c r="EG441" s="4">
        <f t="shared" si="1982"/>
        <v>0.1592442360421113</v>
      </c>
      <c r="EJ441" s="4">
        <f t="shared" si="1808"/>
        <v>0.1592442360421113</v>
      </c>
      <c r="EK441" s="4">
        <f t="shared" si="1983"/>
        <v>0.34801409935642263</v>
      </c>
      <c r="EL441" s="4">
        <f t="shared" si="1809"/>
        <v>5.875522873750457</v>
      </c>
      <c r="EM441" s="4">
        <f t="shared" si="1810"/>
        <v>7.5782685345449767</v>
      </c>
      <c r="EN441" s="4" t="e">
        <f t="shared" si="1811"/>
        <v>#REF!</v>
      </c>
      <c r="EO441" s="4" t="e">
        <f t="shared" si="1812"/>
        <v>#REF!</v>
      </c>
      <c r="EP441" s="4" t="e">
        <f t="shared" si="1984"/>
        <v>#REF!</v>
      </c>
      <c r="EQ441" s="4" t="e">
        <f t="shared" si="1813"/>
        <v>#REF!</v>
      </c>
      <c r="ER441" s="4" t="e">
        <f t="shared" si="1985"/>
        <v>#REF!</v>
      </c>
      <c r="FA441" s="23" t="e">
        <f t="shared" si="1772"/>
        <v>#REF!</v>
      </c>
      <c r="FB441" s="23" t="e">
        <f t="shared" si="1773"/>
        <v>#REF!</v>
      </c>
      <c r="FC441" s="23">
        <f t="shared" si="2061"/>
        <v>1.4</v>
      </c>
      <c r="FD441" s="23" t="e">
        <f t="shared" si="1774"/>
        <v>#REF!</v>
      </c>
      <c r="FE441" s="23">
        <f t="shared" si="1775"/>
        <v>1.4</v>
      </c>
      <c r="FF441" s="23">
        <f t="shared" si="1776"/>
        <v>1.4</v>
      </c>
      <c r="FG441" s="23">
        <f t="shared" si="1993"/>
        <v>0</v>
      </c>
      <c r="FH441" s="23"/>
      <c r="FR441" s="4">
        <f t="shared" si="1852"/>
        <v>1</v>
      </c>
      <c r="FS441" s="4">
        <f t="shared" si="1853"/>
        <v>0.44214730608235164</v>
      </c>
      <c r="FT441" s="4">
        <f t="shared" si="1854"/>
        <v>0.25149640360142855</v>
      </c>
      <c r="FU441" s="4">
        <f t="shared" si="1855"/>
        <v>654.46728966078967</v>
      </c>
    </row>
    <row r="442" spans="2:177" ht="12" customHeight="1" x14ac:dyDescent="0.3">
      <c r="B442" s="14"/>
      <c r="C442" s="48" t="s">
        <v>591</v>
      </c>
      <c r="D442" s="38">
        <f>115.9/0.145</f>
        <v>799.31034482758628</v>
      </c>
      <c r="E442" s="38">
        <f>16.92*25.4</f>
        <v>429.76800000000003</v>
      </c>
      <c r="F442" s="38">
        <f>10860/145</f>
        <v>74.896551724137936</v>
      </c>
      <c r="G442" s="38">
        <f t="shared" si="2009"/>
        <v>35.813999999999993</v>
      </c>
      <c r="H442" s="38">
        <f>21.8*25.4</f>
        <v>553.72</v>
      </c>
      <c r="I442" s="38">
        <f>2.75*25.4</f>
        <v>69.849999999999994</v>
      </c>
      <c r="J442" s="39">
        <f>3.9*25.4</f>
        <v>99.059999999999988</v>
      </c>
      <c r="K442" s="7">
        <f t="shared" si="1727"/>
        <v>153.28900000000002</v>
      </c>
      <c r="L442" s="38">
        <v>3</v>
      </c>
      <c r="M442" s="4">
        <f t="shared" si="1843"/>
        <v>508</v>
      </c>
      <c r="N442" s="7">
        <f t="shared" si="1947"/>
        <v>2.4503546099290783</v>
      </c>
      <c r="O442" s="7">
        <f t="shared" si="1948"/>
        <v>2.4503546099290783</v>
      </c>
      <c r="P442" s="38">
        <v>4.5</v>
      </c>
      <c r="Q442" s="4">
        <f t="shared" si="1736"/>
        <v>4.5</v>
      </c>
      <c r="R442" s="4">
        <f t="shared" si="1949"/>
        <v>5.5</v>
      </c>
      <c r="S442" s="7">
        <f t="shared" si="1950"/>
        <v>83.991275011158137</v>
      </c>
      <c r="V442" s="38">
        <f t="shared" si="1777"/>
        <v>472.41379310344831</v>
      </c>
      <c r="W442" s="4">
        <v>68.5</v>
      </c>
      <c r="X442" s="4">
        <f t="shared" si="1951"/>
        <v>0.79048475314469613</v>
      </c>
      <c r="Y442" s="38"/>
      <c r="Z442" s="38"/>
      <c r="AA442" s="39">
        <v>1</v>
      </c>
      <c r="AB442" s="39"/>
      <c r="AC442" s="39"/>
      <c r="AD442" s="7"/>
      <c r="AE442" s="4">
        <f t="shared" si="1952"/>
        <v>429.76800000000003</v>
      </c>
      <c r="AF442" s="4">
        <f t="shared" si="1953"/>
        <v>0.42947202521670608</v>
      </c>
      <c r="AG442" s="4">
        <f t="shared" si="1954"/>
        <v>255.13217408187629</v>
      </c>
      <c r="AH442" s="4">
        <f t="shared" si="1955"/>
        <v>0.74083924349881791</v>
      </c>
      <c r="AI442" s="4">
        <v>1.25</v>
      </c>
      <c r="AJ442" s="4">
        <f t="shared" si="1878"/>
        <v>2.5</v>
      </c>
      <c r="AK442" s="38">
        <f t="shared" si="1729"/>
        <v>253.67292190521363</v>
      </c>
      <c r="AL442" s="38">
        <f t="shared" si="1986"/>
        <v>253.67292190521363</v>
      </c>
      <c r="AM442" s="38">
        <f t="shared" si="1956"/>
        <v>4.7252710400583542</v>
      </c>
      <c r="AN442" s="38">
        <f t="shared" si="1893"/>
        <v>253.67292190521368</v>
      </c>
      <c r="AO442" s="38">
        <f t="shared" si="1845"/>
        <v>0.99999999999999978</v>
      </c>
      <c r="AP442" s="38">
        <f t="shared" si="1894"/>
        <v>3.0693958621812145</v>
      </c>
      <c r="AQ442" s="4">
        <f t="shared" si="1895"/>
        <v>0</v>
      </c>
      <c r="AR442" s="4" t="e">
        <f>#REF!/G442*F442^0.5/0.19</f>
        <v>#REF!</v>
      </c>
      <c r="AS442" s="4">
        <f t="shared" si="1957"/>
        <v>1</v>
      </c>
      <c r="AT442" s="38">
        <f t="shared" si="1958"/>
        <v>778.62261684328121</v>
      </c>
      <c r="AU442" s="4">
        <f t="shared" si="1959"/>
        <v>0.37</v>
      </c>
      <c r="AV442" s="4" t="e">
        <f>AU442*D442*#REF!/(D442*G442/2.75/F442^0.5)</f>
        <v>#REF!</v>
      </c>
      <c r="AW442" s="4" t="e">
        <f t="shared" si="1793"/>
        <v>#REF!</v>
      </c>
      <c r="AY442" s="4">
        <f t="shared" si="1960"/>
        <v>1.2375886524822697</v>
      </c>
      <c r="AZ442" s="4" t="e">
        <f>(3*#REF!+30)*AY442*F442^0.5</f>
        <v>#REF!</v>
      </c>
      <c r="BB442" s="4">
        <f t="shared" si="1961"/>
        <v>746.79430889404762</v>
      </c>
      <c r="BC442" s="4">
        <f t="shared" si="2022"/>
        <v>0</v>
      </c>
      <c r="BD442" s="4">
        <f t="shared" si="1794"/>
        <v>0</v>
      </c>
      <c r="BL442" s="4">
        <f t="shared" si="1962"/>
        <v>69.849999999999994</v>
      </c>
      <c r="BP442" s="9"/>
      <c r="BR442" s="9"/>
      <c r="BS442" s="9"/>
      <c r="BT442" s="9">
        <f t="shared" si="1963"/>
        <v>69.849999999999994</v>
      </c>
      <c r="BU442" s="9">
        <f t="shared" si="1964"/>
        <v>76.644500000000008</v>
      </c>
      <c r="BV442" s="9">
        <f t="shared" si="1965"/>
        <v>1.4161327883964441</v>
      </c>
      <c r="BW442" s="40">
        <f t="shared" si="1738"/>
        <v>0</v>
      </c>
      <c r="BX442" s="9">
        <f t="shared" si="1966"/>
        <v>0</v>
      </c>
      <c r="BY442" s="9">
        <f t="shared" si="1795"/>
        <v>0</v>
      </c>
      <c r="BZ442" s="9">
        <f t="shared" si="1967"/>
        <v>0.89777220146327208</v>
      </c>
      <c r="CA442" s="9">
        <f t="shared" si="1968"/>
        <v>0.68048275862068963</v>
      </c>
      <c r="CB442" s="9">
        <f t="shared" si="1969"/>
        <v>1.8504707967044269</v>
      </c>
      <c r="CC442" s="9">
        <f t="shared" si="1970"/>
        <v>2.6205123691832295</v>
      </c>
      <c r="CD442" s="40">
        <v>1</v>
      </c>
      <c r="CE442" s="9" t="e">
        <f>4*CC442*#REF!+60*CC442</f>
        <v>#REF!</v>
      </c>
      <c r="CG442" s="4" t="e">
        <f t="shared" si="1796"/>
        <v>#REF!</v>
      </c>
      <c r="CH442" s="4" t="e">
        <f t="shared" si="1797"/>
        <v>#REF!</v>
      </c>
      <c r="CI442" s="4" t="e">
        <f t="shared" si="1798"/>
        <v>#REF!</v>
      </c>
      <c r="CJ442" s="4" t="e">
        <f t="shared" si="1799"/>
        <v>#REF!</v>
      </c>
      <c r="CK442" s="4">
        <f t="shared" si="1800"/>
        <v>0.79048475314469613</v>
      </c>
      <c r="CL442" s="4">
        <f t="shared" si="1801"/>
        <v>0.8085349544542425</v>
      </c>
      <c r="CM442" s="4">
        <f t="shared" si="2060"/>
        <v>1.1579794213606953</v>
      </c>
      <c r="CN442" s="4">
        <f t="shared" si="1739"/>
        <v>0</v>
      </c>
      <c r="CO442" s="4" t="e">
        <f t="shared" ref="CO442:CO443" si="2071">CG442</f>
        <v>#REF!</v>
      </c>
      <c r="CP442" s="4" t="e">
        <f t="shared" ref="CP442:CP443" si="2072">CH442</f>
        <v>#REF!</v>
      </c>
      <c r="CQ442" s="4" t="e">
        <f t="shared" ref="CQ442:CQ443" si="2073">CJ442</f>
        <v>#REF!</v>
      </c>
      <c r="CR442" s="4">
        <f t="shared" ref="CR442:CR443" si="2074">CM442</f>
        <v>1.1579794213606953</v>
      </c>
      <c r="CS442" s="4">
        <f t="shared" ref="CS442:CS443" si="2075">CK442</f>
        <v>0.79048475314469613</v>
      </c>
      <c r="CT442" s="4">
        <f t="shared" ref="CT442:CT443" si="2076">CL442</f>
        <v>0.8085349544542425</v>
      </c>
      <c r="DC442" s="4" t="e">
        <f>#REF!</f>
        <v>#REF!</v>
      </c>
      <c r="DF442" s="4">
        <f t="shared" si="1971"/>
        <v>2.8517891199412165E-5</v>
      </c>
      <c r="DG442" s="4">
        <f t="shared" si="1802"/>
        <v>9.2434119896701787</v>
      </c>
      <c r="DH442" s="4">
        <f t="shared" si="1972"/>
        <v>0.24598058226905511</v>
      </c>
      <c r="DI442" s="4">
        <f t="shared" si="1803"/>
        <v>5.2746377732798102</v>
      </c>
      <c r="DJ442" s="4">
        <f t="shared" si="1804"/>
        <v>7.5272346460747395</v>
      </c>
      <c r="DK442" s="4">
        <f t="shared" si="1973"/>
        <v>7.8419413222228735</v>
      </c>
      <c r="DL442" s="38">
        <f t="shared" si="1974"/>
        <v>597.62543328520621</v>
      </c>
      <c r="DM442" s="4" t="e">
        <f t="shared" si="1805"/>
        <v>#REF!</v>
      </c>
      <c r="DN442" s="4">
        <f t="shared" si="1975"/>
        <v>2.3452078799117149</v>
      </c>
      <c r="DO442" s="4">
        <f t="shared" si="2059"/>
        <v>253.67292190521368</v>
      </c>
      <c r="DS442" s="4">
        <f t="shared" si="1976"/>
        <v>0.85</v>
      </c>
      <c r="DT442" s="4">
        <f t="shared" si="1977"/>
        <v>0.90496453900709217</v>
      </c>
      <c r="DU442" s="4">
        <f t="shared" si="1978"/>
        <v>1</v>
      </c>
      <c r="DV442" s="4">
        <f t="shared" si="1806"/>
        <v>0.90496453900709217</v>
      </c>
      <c r="DX442" s="4">
        <f t="shared" si="1979"/>
        <v>584.28369794145203</v>
      </c>
      <c r="DY442" s="25">
        <f t="shared" si="1870"/>
        <v>251.52086631332557</v>
      </c>
      <c r="EA442" s="4">
        <f t="shared" si="1871"/>
        <v>0.76921985815602834</v>
      </c>
      <c r="EB442" s="4">
        <f t="shared" si="1980"/>
        <v>9.2434119896701787</v>
      </c>
      <c r="EE442" s="4">
        <f t="shared" si="1981"/>
        <v>83.991275011158137</v>
      </c>
      <c r="EF442" s="4">
        <f t="shared" si="1807"/>
        <v>2.3452078799117149</v>
      </c>
      <c r="EG442" s="4">
        <f t="shared" si="1982"/>
        <v>0.11640375819584806</v>
      </c>
      <c r="EJ442" s="4">
        <f t="shared" si="1808"/>
        <v>0.11640375819584806</v>
      </c>
      <c r="EK442" s="4">
        <f t="shared" si="1983"/>
        <v>0.24557008652179657</v>
      </c>
      <c r="EL442" s="4">
        <f t="shared" si="1809"/>
        <v>5.2711150540100196</v>
      </c>
      <c r="EM442" s="4">
        <f t="shared" si="1810"/>
        <v>7.5260080187500336</v>
      </c>
      <c r="EN442" s="4" t="e">
        <f t="shared" si="1811"/>
        <v>#REF!</v>
      </c>
      <c r="EO442" s="4" t="e">
        <f t="shared" si="1812"/>
        <v>#REF!</v>
      </c>
      <c r="EP442" s="4" t="e">
        <f t="shared" si="1984"/>
        <v>#REF!</v>
      </c>
      <c r="EQ442" s="4" t="e">
        <f t="shared" si="1813"/>
        <v>#REF!</v>
      </c>
      <c r="ER442" s="4" t="e">
        <f t="shared" si="1985"/>
        <v>#REF!</v>
      </c>
      <c r="EU442" s="4">
        <f>6.75*25.4</f>
        <v>171.45</v>
      </c>
      <c r="FA442" s="23" t="e">
        <f t="shared" si="1772"/>
        <v>#REF!</v>
      </c>
      <c r="FB442" s="23" t="e">
        <f t="shared" si="1773"/>
        <v>#REF!</v>
      </c>
      <c r="FC442" s="23">
        <f t="shared" si="2061"/>
        <v>1.2</v>
      </c>
      <c r="FD442" s="23" t="e">
        <f t="shared" si="1774"/>
        <v>#REF!</v>
      </c>
      <c r="FE442" s="23">
        <f t="shared" si="1775"/>
        <v>0.8</v>
      </c>
      <c r="FF442" s="23">
        <f t="shared" si="1776"/>
        <v>1</v>
      </c>
      <c r="FG442" s="23">
        <f t="shared" si="1993"/>
        <v>1</v>
      </c>
      <c r="FH442" s="23"/>
      <c r="FR442" s="4">
        <f t="shared" si="1852"/>
        <v>1</v>
      </c>
      <c r="FS442" s="4">
        <f t="shared" si="1853"/>
        <v>0.72665484633569721</v>
      </c>
      <c r="FT442" s="4">
        <f t="shared" si="1854"/>
        <v>0</v>
      </c>
      <c r="FU442" s="4">
        <f t="shared" si="1855"/>
        <v>407.96389330333153</v>
      </c>
    </row>
    <row r="443" spans="2:177" ht="12" customHeight="1" x14ac:dyDescent="0.3">
      <c r="B443" s="14"/>
      <c r="C443" s="7" t="s">
        <v>592</v>
      </c>
      <c r="D443" s="38">
        <f>135/0.145</f>
        <v>931.0344827586207</v>
      </c>
      <c r="E443" s="38">
        <f>16.92*25.4</f>
        <v>429.76800000000003</v>
      </c>
      <c r="F443" s="38">
        <f>10120/145</f>
        <v>69.793103448275858</v>
      </c>
      <c r="G443" s="38">
        <f t="shared" si="2009"/>
        <v>35.813999999999993</v>
      </c>
      <c r="H443" s="38">
        <f>21.9*25.4</f>
        <v>556.25999999999988</v>
      </c>
      <c r="I443" s="38">
        <f>2.8*25.4</f>
        <v>71.11999999999999</v>
      </c>
      <c r="J443" s="39">
        <f>3.5*25.4</f>
        <v>88.899999999999991</v>
      </c>
      <c r="K443" s="7">
        <f t="shared" si="1727"/>
        <v>153.28899999999993</v>
      </c>
      <c r="L443" s="38">
        <v>3</v>
      </c>
      <c r="M443" s="4">
        <f t="shared" si="1843"/>
        <v>508</v>
      </c>
      <c r="N443" s="7">
        <f t="shared" si="1947"/>
        <v>2.4858156028368796</v>
      </c>
      <c r="O443" s="7">
        <f t="shared" si="1948"/>
        <v>2.4858156028368796</v>
      </c>
      <c r="P443" s="38">
        <v>5.5</v>
      </c>
      <c r="Q443" s="4">
        <f t="shared" si="1736"/>
        <v>5.5</v>
      </c>
      <c r="R443" s="4">
        <f t="shared" si="1949"/>
        <v>6.5</v>
      </c>
      <c r="S443" s="7">
        <f t="shared" si="1950"/>
        <v>91.308142429905971</v>
      </c>
      <c r="V443" s="38">
        <f t="shared" si="1777"/>
        <v>482.06896551724145</v>
      </c>
      <c r="W443" s="4">
        <v>69.900000000000006</v>
      </c>
      <c r="X443" s="4">
        <f t="shared" si="1951"/>
        <v>0.83691102883897983</v>
      </c>
      <c r="Y443" s="38"/>
      <c r="Z443" s="38"/>
      <c r="AA443" s="39">
        <v>1</v>
      </c>
      <c r="AB443" s="39"/>
      <c r="AC443" s="39"/>
      <c r="AD443" s="7"/>
      <c r="AE443" s="4">
        <f t="shared" si="1952"/>
        <v>429.76800000000003</v>
      </c>
      <c r="AF443" s="4">
        <f t="shared" si="1953"/>
        <v>0.43144208037825049</v>
      </c>
      <c r="AG443" s="4">
        <f t="shared" si="1954"/>
        <v>246.2864810022304</v>
      </c>
      <c r="AH443" s="4">
        <f t="shared" si="1955"/>
        <v>0.7414302600472813</v>
      </c>
      <c r="AI443" s="4">
        <v>1.25</v>
      </c>
      <c r="AJ443" s="4">
        <f t="shared" si="1878"/>
        <v>2.5</v>
      </c>
      <c r="AK443" s="38">
        <f t="shared" si="1729"/>
        <v>246.19736674164787</v>
      </c>
      <c r="AL443" s="38">
        <f t="shared" si="1986"/>
        <v>246.19736674164787</v>
      </c>
      <c r="AM443" s="38">
        <f t="shared" si="1956"/>
        <v>4.6054834550100843</v>
      </c>
      <c r="AN443" s="38">
        <f t="shared" si="1893"/>
        <v>246.19736674164798</v>
      </c>
      <c r="AO443" s="38">
        <f t="shared" si="1845"/>
        <v>0.99999999999999956</v>
      </c>
      <c r="AP443" s="38">
        <f t="shared" si="1894"/>
        <v>3.3052883798006034</v>
      </c>
      <c r="AQ443" s="4">
        <f t="shared" si="1895"/>
        <v>0</v>
      </c>
      <c r="AR443" s="4" t="e">
        <f>#REF!/G443*F443^0.5/0.19</f>
        <v>#REF!</v>
      </c>
      <c r="AS443" s="4">
        <f t="shared" si="1957"/>
        <v>1</v>
      </c>
      <c r="AT443" s="38">
        <f t="shared" si="1958"/>
        <v>813.75329542867667</v>
      </c>
      <c r="AU443" s="4">
        <f t="shared" si="1959"/>
        <v>0.3</v>
      </c>
      <c r="AV443" s="4" t="e">
        <f>AU443*D443*#REF!/(D443*G443/2.75/F443^0.5)</f>
        <v>#REF!</v>
      </c>
      <c r="AW443" s="4" t="e">
        <f t="shared" si="1793"/>
        <v>#REF!</v>
      </c>
      <c r="AY443" s="4">
        <f t="shared" si="1960"/>
        <v>1.2464539007092199</v>
      </c>
      <c r="AZ443" s="4" t="e">
        <f>(3*#REF!+30)*AY443*F443^0.5</f>
        <v>#REF!</v>
      </c>
      <c r="BB443" s="4">
        <f t="shared" si="1961"/>
        <v>780.48892585948306</v>
      </c>
      <c r="BC443" s="4">
        <f t="shared" si="2022"/>
        <v>0</v>
      </c>
      <c r="BD443" s="4">
        <f t="shared" si="1794"/>
        <v>0</v>
      </c>
      <c r="BL443" s="4">
        <f t="shared" si="1962"/>
        <v>71.11999999999999</v>
      </c>
      <c r="BP443" s="9"/>
      <c r="BR443" s="9"/>
      <c r="BS443" s="9"/>
      <c r="BT443" s="9">
        <f t="shared" si="1963"/>
        <v>71.11999999999999</v>
      </c>
      <c r="BU443" s="9">
        <f t="shared" si="1964"/>
        <v>76.644499999999965</v>
      </c>
      <c r="BV443" s="9">
        <f t="shared" si="1965"/>
        <v>1.4250918174124854</v>
      </c>
      <c r="BW443" s="40">
        <f t="shared" si="1738"/>
        <v>0</v>
      </c>
      <c r="BX443" s="9">
        <f t="shared" si="1966"/>
        <v>0</v>
      </c>
      <c r="BY443" s="9">
        <f t="shared" si="1795"/>
        <v>0</v>
      </c>
      <c r="BZ443" s="9">
        <f t="shared" si="1967"/>
        <v>0.89777220146327208</v>
      </c>
      <c r="CA443" s="9">
        <f t="shared" si="1968"/>
        <v>0.68</v>
      </c>
      <c r="CB443" s="9">
        <f t="shared" si="1969"/>
        <v>1.7850458101214393</v>
      </c>
      <c r="CC443" s="9">
        <f t="shared" si="1970"/>
        <v>2.5438541777105041</v>
      </c>
      <c r="CD443" s="40">
        <v>1</v>
      </c>
      <c r="CE443" s="9" t="e">
        <f>4*CC443*#REF!+60*CC443</f>
        <v>#REF!</v>
      </c>
      <c r="CG443" s="4" t="e">
        <f t="shared" si="1796"/>
        <v>#REF!</v>
      </c>
      <c r="CH443" s="4" t="e">
        <f t="shared" si="1797"/>
        <v>#REF!</v>
      </c>
      <c r="CI443" s="4" t="e">
        <f t="shared" si="1798"/>
        <v>#REF!</v>
      </c>
      <c r="CJ443" s="4" t="e">
        <f t="shared" si="1799"/>
        <v>#REF!</v>
      </c>
      <c r="CK443" s="4">
        <f t="shared" si="1800"/>
        <v>0.83691102883897983</v>
      </c>
      <c r="CL443" s="4">
        <f t="shared" si="1801"/>
        <v>0.85080970194489203</v>
      </c>
      <c r="CM443" s="4">
        <f t="shared" si="2060"/>
        <v>1.2026791278589977</v>
      </c>
      <c r="CN443" s="4">
        <f t="shared" si="1739"/>
        <v>0</v>
      </c>
      <c r="CO443" s="4" t="e">
        <f t="shared" si="2071"/>
        <v>#REF!</v>
      </c>
      <c r="CP443" s="4" t="e">
        <f t="shared" si="2072"/>
        <v>#REF!</v>
      </c>
      <c r="CQ443" s="4" t="e">
        <f t="shared" si="2073"/>
        <v>#REF!</v>
      </c>
      <c r="CR443" s="4">
        <f t="shared" si="2074"/>
        <v>1.2026791278589977</v>
      </c>
      <c r="CS443" s="4">
        <f t="shared" si="2075"/>
        <v>0.83691102883897983</v>
      </c>
      <c r="CT443" s="4">
        <f t="shared" si="2076"/>
        <v>0.85080970194489203</v>
      </c>
      <c r="DC443" s="4" t="e">
        <f>#REF!</f>
        <v>#REF!</v>
      </c>
      <c r="DF443" s="4">
        <f t="shared" si="1971"/>
        <v>2.7653839435452814E-5</v>
      </c>
      <c r="DG443" s="4">
        <f t="shared" si="1802"/>
        <v>8.9580354742076711</v>
      </c>
      <c r="DH443" s="4">
        <f t="shared" si="1972"/>
        <v>0.22786865453997082</v>
      </c>
      <c r="DI443" s="4">
        <f t="shared" si="1803"/>
        <v>4.9577727165186403</v>
      </c>
      <c r="DJ443" s="4">
        <f t="shared" si="1804"/>
        <v>7.2418419869406607</v>
      </c>
      <c r="DK443" s="4">
        <f t="shared" si="1973"/>
        <v>7.6999302204328206</v>
      </c>
      <c r="DL443" s="38">
        <f t="shared" si="1974"/>
        <v>576.00981335614665</v>
      </c>
      <c r="DM443" s="4" t="e">
        <f t="shared" si="1805"/>
        <v>#REF!</v>
      </c>
      <c r="DN443" s="4">
        <f t="shared" si="1975"/>
        <v>2.5495097567963922</v>
      </c>
      <c r="DO443" s="4">
        <f t="shared" si="2059"/>
        <v>246.19736674164798</v>
      </c>
      <c r="DS443" s="4">
        <f t="shared" si="1976"/>
        <v>0.85</v>
      </c>
      <c r="DT443" s="4">
        <f t="shared" si="1977"/>
        <v>0.90141843971631208</v>
      </c>
      <c r="DU443" s="4">
        <f t="shared" si="1978"/>
        <v>1</v>
      </c>
      <c r="DV443" s="4">
        <f t="shared" si="1806"/>
        <v>0.90141843971631208</v>
      </c>
      <c r="DX443" s="4">
        <f t="shared" si="1979"/>
        <v>566.6002214305563</v>
      </c>
      <c r="DY443" s="25">
        <f t="shared" si="1870"/>
        <v>244.11094435908009</v>
      </c>
      <c r="EA443" s="4">
        <f t="shared" si="1871"/>
        <v>0.76620567375886528</v>
      </c>
      <c r="EB443" s="4">
        <f t="shared" si="1980"/>
        <v>8.9580354742076711</v>
      </c>
      <c r="EE443" s="4">
        <f t="shared" si="1981"/>
        <v>91.308142429905971</v>
      </c>
      <c r="EF443" s="4">
        <f t="shared" si="1807"/>
        <v>2.5495097567963922</v>
      </c>
      <c r="EG443" s="4">
        <f t="shared" si="1982"/>
        <v>0.10409409854737328</v>
      </c>
      <c r="EJ443" s="4">
        <f t="shared" si="1808"/>
        <v>0.10409409854737328</v>
      </c>
      <c r="EK443" s="4">
        <f t="shared" si="1983"/>
        <v>0.22748838422448764</v>
      </c>
      <c r="EL443" s="4">
        <f t="shared" si="1809"/>
        <v>4.9544616187268264</v>
      </c>
      <c r="EM443" s="4">
        <f t="shared" si="1810"/>
        <v>7.2407168346772508</v>
      </c>
      <c r="EN443" s="4" t="e">
        <f t="shared" si="1811"/>
        <v>#REF!</v>
      </c>
      <c r="EO443" s="4" t="e">
        <f t="shared" si="1812"/>
        <v>#REF!</v>
      </c>
      <c r="EP443" s="4" t="e">
        <f t="shared" si="1984"/>
        <v>#REF!</v>
      </c>
      <c r="EQ443" s="4" t="e">
        <f t="shared" si="1813"/>
        <v>#REF!</v>
      </c>
      <c r="ER443" s="4" t="e">
        <f t="shared" si="1985"/>
        <v>#REF!</v>
      </c>
      <c r="FA443" s="23" t="e">
        <f t="shared" si="1772"/>
        <v>#REF!</v>
      </c>
      <c r="FB443" s="23" t="e">
        <f t="shared" si="1773"/>
        <v>#REF!</v>
      </c>
      <c r="FC443" s="23">
        <f t="shared" si="2061"/>
        <v>1.4</v>
      </c>
      <c r="FD443" s="23" t="e">
        <f t="shared" si="1774"/>
        <v>#REF!</v>
      </c>
      <c r="FE443" s="23">
        <f t="shared" si="1775"/>
        <v>1</v>
      </c>
      <c r="FF443" s="23">
        <f t="shared" si="1776"/>
        <v>1</v>
      </c>
      <c r="FG443" s="23">
        <f t="shared" si="1993"/>
        <v>0</v>
      </c>
      <c r="FH443" s="23"/>
      <c r="FR443" s="4">
        <f t="shared" si="1852"/>
        <v>1</v>
      </c>
      <c r="FS443" s="4">
        <f t="shared" si="1853"/>
        <v>0.72665484633569744</v>
      </c>
      <c r="FT443" s="4">
        <f t="shared" si="1854"/>
        <v>0</v>
      </c>
      <c r="FU443" s="4">
        <f t="shared" si="1855"/>
        <v>400.82924393592646</v>
      </c>
    </row>
    <row r="444" spans="2:177" ht="12" customHeight="1" x14ac:dyDescent="0.3">
      <c r="B444" s="14"/>
      <c r="C444" s="48" t="s">
        <v>593</v>
      </c>
      <c r="D444" s="38">
        <f>115.9/0.145</f>
        <v>799.31034482758628</v>
      </c>
      <c r="E444" s="38">
        <f>17*25.4</f>
        <v>431.79999999999995</v>
      </c>
      <c r="F444" s="38">
        <f>10860/145</f>
        <v>74.896551724137936</v>
      </c>
      <c r="G444" s="38">
        <f t="shared" si="2009"/>
        <v>35.813999999999993</v>
      </c>
      <c r="H444" s="38">
        <f>21.8*25.4</f>
        <v>553.72</v>
      </c>
      <c r="I444" s="38">
        <f>2.65*25.4</f>
        <v>67.309999999999988</v>
      </c>
      <c r="J444" s="39">
        <f>3.8*25.4</f>
        <v>96.52</v>
      </c>
      <c r="K444" s="7">
        <f t="shared" ref="K444:K453" si="2077">(H444-L444*G444-2*I444)/(L444-1)</f>
        <v>155.82900000000001</v>
      </c>
      <c r="L444" s="38">
        <v>3</v>
      </c>
      <c r="M444" s="4">
        <f t="shared" si="1843"/>
        <v>508</v>
      </c>
      <c r="N444" s="7">
        <f t="shared" si="1947"/>
        <v>2.3794326241134751</v>
      </c>
      <c r="O444" s="7">
        <f t="shared" si="1948"/>
        <v>2.3794326241134751</v>
      </c>
      <c r="P444" s="38">
        <v>4.5</v>
      </c>
      <c r="Q444" s="4">
        <f t="shared" si="1736"/>
        <v>4.5</v>
      </c>
      <c r="R444" s="4">
        <f t="shared" si="1949"/>
        <v>5.5</v>
      </c>
      <c r="S444" s="7">
        <f t="shared" si="1950"/>
        <v>83.991275011158137</v>
      </c>
      <c r="V444" s="38">
        <f t="shared" si="1777"/>
        <v>600.68965517241384</v>
      </c>
      <c r="W444" s="4">
        <v>87.1</v>
      </c>
      <c r="X444" s="4">
        <f t="shared" si="1951"/>
        <v>1.006304469333855</v>
      </c>
      <c r="Y444" s="38">
        <f t="shared" ref="Y444:Y445" si="2078">0.5*25.4</f>
        <v>12.7</v>
      </c>
      <c r="Z444" s="38">
        <v>12</v>
      </c>
      <c r="AA444" s="39">
        <f t="shared" ref="AA444:AA445" si="2079">4*25.4</f>
        <v>101.6</v>
      </c>
      <c r="AB444" s="39">
        <v>2</v>
      </c>
      <c r="AC444" s="39">
        <f t="shared" ref="AC444:AC445" si="2080">AB444-1</f>
        <v>1</v>
      </c>
      <c r="AD444" s="7"/>
      <c r="AE444" s="4">
        <f t="shared" si="1952"/>
        <v>431.79999999999995</v>
      </c>
      <c r="AF444" s="4">
        <f t="shared" si="1953"/>
        <v>0.4274509803921569</v>
      </c>
      <c r="AG444" s="4">
        <f t="shared" si="1954"/>
        <v>256.94375927002261</v>
      </c>
      <c r="AH444" s="4">
        <f t="shared" si="1955"/>
        <v>0.7394705882352941</v>
      </c>
      <c r="AI444" s="4">
        <v>1.25</v>
      </c>
      <c r="AJ444" s="4">
        <f t="shared" si="1878"/>
        <v>2.5</v>
      </c>
      <c r="AK444" s="38">
        <f t="shared" ref="AK444:AK453" si="2081">AF444*AH444*AI444*AJ444*AG444</f>
        <v>253.80216245559149</v>
      </c>
      <c r="AL444" s="38">
        <f t="shared" si="1986"/>
        <v>253.80216245559149</v>
      </c>
      <c r="AM444" s="38">
        <f t="shared" si="1956"/>
        <v>4.7252710400583542</v>
      </c>
      <c r="AN444" s="38">
        <f t="shared" si="1893"/>
        <v>253.80216245559126</v>
      </c>
      <c r="AO444" s="38">
        <f t="shared" si="1845"/>
        <v>1.0000000000000009</v>
      </c>
      <c r="AP444" s="38">
        <f t="shared" si="1894"/>
        <v>2.9790388665523837</v>
      </c>
      <c r="AQ444" s="4">
        <f t="shared" si="1895"/>
        <v>0</v>
      </c>
      <c r="AR444" s="4" t="e">
        <f>#REF!/G444*F444^0.5/0.19</f>
        <v>#REF!</v>
      </c>
      <c r="AS444" s="4">
        <f t="shared" si="1957"/>
        <v>1</v>
      </c>
      <c r="AT444" s="38">
        <f t="shared" si="1958"/>
        <v>756.08650637024857</v>
      </c>
      <c r="AU444" s="4">
        <f t="shared" si="1959"/>
        <v>0.37</v>
      </c>
      <c r="AV444" s="4" t="e">
        <f>AU444*D444*#REF!/(D444*G444/2.75/F444^0.5)</f>
        <v>#REF!</v>
      </c>
      <c r="AW444" s="4" t="e">
        <f t="shared" si="1793"/>
        <v>#REF!</v>
      </c>
      <c r="AY444" s="4">
        <f t="shared" si="1960"/>
        <v>1.5</v>
      </c>
      <c r="AZ444" s="4" t="e">
        <f>(3*#REF!+30)*AY444*F444^0.5</f>
        <v>#REF!</v>
      </c>
      <c r="BB444" s="4">
        <f t="shared" si="1961"/>
        <v>725.17942296368437</v>
      </c>
      <c r="BC444" s="4">
        <f t="shared" si="2022"/>
        <v>0</v>
      </c>
      <c r="BD444" s="4">
        <f t="shared" si="1794"/>
        <v>0</v>
      </c>
      <c r="BL444" s="4">
        <f t="shared" si="1962"/>
        <v>67.309999999999988</v>
      </c>
      <c r="BP444" s="9"/>
      <c r="BR444" s="9"/>
      <c r="BS444" s="9"/>
      <c r="BT444" s="9">
        <f t="shared" si="1963"/>
        <v>67.309999999999988</v>
      </c>
      <c r="BU444" s="9">
        <f t="shared" si="1964"/>
        <v>77.914500000000004</v>
      </c>
      <c r="BV444" s="9">
        <f t="shared" si="1965"/>
        <v>1.40134215068795</v>
      </c>
      <c r="BW444" s="40">
        <f t="shared" si="1738"/>
        <v>20</v>
      </c>
      <c r="BX444" s="9">
        <f t="shared" si="1966"/>
        <v>0.05</v>
      </c>
      <c r="BY444" s="9">
        <f t="shared" si="1795"/>
        <v>0.8</v>
      </c>
      <c r="BZ444" s="9">
        <f t="shared" si="1967"/>
        <v>0.89777220146327208</v>
      </c>
      <c r="CA444" s="9">
        <f t="shared" si="1968"/>
        <v>0.68048275862068963</v>
      </c>
      <c r="CB444" s="9">
        <f t="shared" si="1969"/>
        <v>1.8504707967044269</v>
      </c>
      <c r="CC444" s="9">
        <f t="shared" si="1970"/>
        <v>4.0735193634025677</v>
      </c>
      <c r="CD444" s="40">
        <v>1</v>
      </c>
      <c r="CE444" s="9" t="e">
        <f>4*CC444*#REF!+60*CC444</f>
        <v>#REF!</v>
      </c>
      <c r="CG444" s="4" t="e">
        <f t="shared" si="1796"/>
        <v>#REF!</v>
      </c>
      <c r="CH444" s="4" t="e">
        <f t="shared" si="1797"/>
        <v>#REF!</v>
      </c>
      <c r="CI444" s="4" t="e">
        <f t="shared" si="1798"/>
        <v>#REF!</v>
      </c>
      <c r="CJ444" s="4" t="e">
        <f t="shared" si="1799"/>
        <v>#REF!</v>
      </c>
      <c r="CK444" s="4">
        <f t="shared" si="1800"/>
        <v>1.006304469333855</v>
      </c>
      <c r="CL444" s="4">
        <f t="shared" si="1801"/>
        <v>1.0293844757547645</v>
      </c>
      <c r="CM444" s="4">
        <f t="shared" si="2060"/>
        <v>1.1608850073852048</v>
      </c>
      <c r="CN444" s="4">
        <f t="shared" si="1739"/>
        <v>12</v>
      </c>
      <c r="CU444" s="4" t="e">
        <f t="shared" ref="CU444:CU445" si="2082">CG444</f>
        <v>#REF!</v>
      </c>
      <c r="CV444" s="4" t="e">
        <f t="shared" ref="CV444:CV445" si="2083">CH444</f>
        <v>#REF!</v>
      </c>
      <c r="CW444" s="4" t="e">
        <f t="shared" ref="CW444:CW445" si="2084">CJ444</f>
        <v>#REF!</v>
      </c>
      <c r="CX444" s="4">
        <f t="shared" ref="CX444:CX445" si="2085">CM444</f>
        <v>1.1608850073852048</v>
      </c>
      <c r="CY444" s="4">
        <f t="shared" ref="CY444:CY445" si="2086">CK444</f>
        <v>1.006304469333855</v>
      </c>
      <c r="CZ444" s="4">
        <f t="shared" ref="CZ444:CZ445" si="2087">CL444</f>
        <v>1.0293844757547645</v>
      </c>
      <c r="DC444" s="4" t="e">
        <f>#REF!</f>
        <v>#REF!</v>
      </c>
      <c r="DF444" s="4">
        <f t="shared" si="1971"/>
        <v>2.8652727564421202E-5</v>
      </c>
      <c r="DG444" s="4">
        <f t="shared" si="1802"/>
        <v>9.175653902487765</v>
      </c>
      <c r="DH444" s="4">
        <f t="shared" si="1972"/>
        <v>0.24610590374836747</v>
      </c>
      <c r="DI444" s="4">
        <f t="shared" si="1803"/>
        <v>5.2370393460986371</v>
      </c>
      <c r="DJ444" s="4">
        <f t="shared" si="1804"/>
        <v>7.4724284792628914</v>
      </c>
      <c r="DK444" s="4">
        <f t="shared" si="1973"/>
        <v>7.7810990756344607</v>
      </c>
      <c r="DL444" s="38">
        <f t="shared" si="1974"/>
        <v>596.92635129609766</v>
      </c>
      <c r="DM444" s="4" t="e">
        <f t="shared" si="1805"/>
        <v>#REF!</v>
      </c>
      <c r="DN444" s="4">
        <f t="shared" si="1975"/>
        <v>2.3452078799117149</v>
      </c>
      <c r="DO444" s="4">
        <f t="shared" si="2059"/>
        <v>253.80216245559126</v>
      </c>
      <c r="DS444" s="4">
        <f t="shared" si="1976"/>
        <v>0.85</v>
      </c>
      <c r="DT444" s="4">
        <f t="shared" si="1977"/>
        <v>0.91205673758865247</v>
      </c>
      <c r="DU444" s="4">
        <f t="shared" si="1978"/>
        <v>0.9995510789195714</v>
      </c>
      <c r="DV444" s="4">
        <f t="shared" si="1806"/>
        <v>0.91164729609260198</v>
      </c>
      <c r="DX444" s="4">
        <f t="shared" si="1979"/>
        <v>583.54256288154784</v>
      </c>
      <c r="DY444" s="25">
        <f t="shared" si="1870"/>
        <v>251.65720896177749</v>
      </c>
      <c r="EA444" s="4">
        <f t="shared" si="1871"/>
        <v>0.77490020167871165</v>
      </c>
      <c r="EB444" s="4">
        <f t="shared" si="1980"/>
        <v>9.175653902487765</v>
      </c>
      <c r="EE444" s="4">
        <f t="shared" si="1981"/>
        <v>83.991275011158137</v>
      </c>
      <c r="EF444" s="4">
        <f t="shared" si="1807"/>
        <v>2.3452078799117149</v>
      </c>
      <c r="EG444" s="4">
        <f t="shared" si="1982"/>
        <v>0.11646306324765357</v>
      </c>
      <c r="EJ444" s="4">
        <f t="shared" si="1808"/>
        <v>0.11646306324765357</v>
      </c>
      <c r="EK444" s="4">
        <f t="shared" si="1983"/>
        <v>0.24569519886291669</v>
      </c>
      <c r="EL444" s="4">
        <f t="shared" si="1809"/>
        <v>5.233541737312188</v>
      </c>
      <c r="EM444" s="4">
        <f t="shared" si="1810"/>
        <v>7.4712103995701256</v>
      </c>
      <c r="EN444" s="4" t="e">
        <f t="shared" si="1811"/>
        <v>#REF!</v>
      </c>
      <c r="EO444" s="4" t="e">
        <f t="shared" si="1812"/>
        <v>#REF!</v>
      </c>
      <c r="EP444" s="4" t="e">
        <f t="shared" si="1984"/>
        <v>#REF!</v>
      </c>
      <c r="EQ444" s="4" t="e">
        <f t="shared" si="1813"/>
        <v>#REF!</v>
      </c>
      <c r="ER444" s="4" t="e">
        <f t="shared" si="1985"/>
        <v>#REF!</v>
      </c>
      <c r="EU444" s="4">
        <f>6.75*25.4</f>
        <v>171.45</v>
      </c>
      <c r="FA444" s="23" t="e">
        <f t="shared" si="1772"/>
        <v>#REF!</v>
      </c>
      <c r="FB444" s="23" t="e">
        <f t="shared" si="1773"/>
        <v>#REF!</v>
      </c>
      <c r="FC444" s="23">
        <f t="shared" si="2061"/>
        <v>1.2</v>
      </c>
      <c r="FD444" s="23" t="e">
        <f t="shared" si="1774"/>
        <v>#REF!</v>
      </c>
      <c r="FE444" s="23">
        <f t="shared" si="1775"/>
        <v>1.2</v>
      </c>
      <c r="FF444" s="23">
        <f t="shared" si="1776"/>
        <v>1.2</v>
      </c>
      <c r="FG444" s="23">
        <f t="shared" si="1993"/>
        <v>0</v>
      </c>
      <c r="FH444" s="23"/>
      <c r="FR444" s="4">
        <f t="shared" si="1852"/>
        <v>1</v>
      </c>
      <c r="FS444" s="4">
        <f t="shared" si="1853"/>
        <v>0.57562217267152949</v>
      </c>
      <c r="FT444" s="4">
        <f t="shared" si="1854"/>
        <v>0.16766426906761905</v>
      </c>
      <c r="FU444" s="4">
        <f t="shared" si="1855"/>
        <v>517.4411344370933</v>
      </c>
    </row>
    <row r="445" spans="2:177" ht="12" customHeight="1" x14ac:dyDescent="0.3">
      <c r="B445" s="14"/>
      <c r="C445" s="7" t="s">
        <v>594</v>
      </c>
      <c r="D445" s="38">
        <f>135/0.145</f>
        <v>931.0344827586207</v>
      </c>
      <c r="E445" s="38">
        <f>16.75*25.4</f>
        <v>425.45</v>
      </c>
      <c r="F445" s="38">
        <f>10120/145</f>
        <v>69.793103448275858</v>
      </c>
      <c r="G445" s="38">
        <f t="shared" si="2009"/>
        <v>35.813999999999993</v>
      </c>
      <c r="H445" s="38">
        <f>21.9*25.4</f>
        <v>556.25999999999988</v>
      </c>
      <c r="I445" s="38">
        <f>2.8*25.4</f>
        <v>71.11999999999999</v>
      </c>
      <c r="J445" s="39">
        <f>3.3*25.4</f>
        <v>83.82</v>
      </c>
      <c r="K445" s="7">
        <f t="shared" si="2077"/>
        <v>153.28899999999993</v>
      </c>
      <c r="L445" s="38">
        <v>3</v>
      </c>
      <c r="M445" s="4">
        <f t="shared" si="1843"/>
        <v>508</v>
      </c>
      <c r="N445" s="7">
        <f t="shared" si="1947"/>
        <v>2.4858156028368796</v>
      </c>
      <c r="O445" s="7">
        <f t="shared" si="1948"/>
        <v>2.4858156028368796</v>
      </c>
      <c r="P445" s="38">
        <v>5.5</v>
      </c>
      <c r="Q445" s="4">
        <f t="shared" ref="Q445:Q453" si="2088">P445</f>
        <v>5.5</v>
      </c>
      <c r="R445" s="4">
        <f t="shared" si="1949"/>
        <v>6.5</v>
      </c>
      <c r="S445" s="7">
        <f t="shared" si="1950"/>
        <v>91.308142429905971</v>
      </c>
      <c r="V445" s="38">
        <f t="shared" si="1777"/>
        <v>680</v>
      </c>
      <c r="W445" s="4">
        <v>98.6</v>
      </c>
      <c r="X445" s="4">
        <f t="shared" si="1951"/>
        <v>1.189548271882735</v>
      </c>
      <c r="Y445" s="38">
        <f t="shared" si="2078"/>
        <v>12.7</v>
      </c>
      <c r="Z445" s="38">
        <v>12</v>
      </c>
      <c r="AA445" s="39">
        <f t="shared" si="2079"/>
        <v>101.6</v>
      </c>
      <c r="AB445" s="39">
        <v>2</v>
      </c>
      <c r="AC445" s="39">
        <f t="shared" si="2080"/>
        <v>1</v>
      </c>
      <c r="AD445" s="7"/>
      <c r="AE445" s="4">
        <f t="shared" si="1952"/>
        <v>425.45</v>
      </c>
      <c r="AF445" s="4">
        <f t="shared" si="1953"/>
        <v>0.43582089552238795</v>
      </c>
      <c r="AG445" s="4">
        <f t="shared" si="1954"/>
        <v>242.58405561741927</v>
      </c>
      <c r="AH445" s="4">
        <f t="shared" si="1955"/>
        <v>0.74185074626865666</v>
      </c>
      <c r="AI445" s="4">
        <v>1.25</v>
      </c>
      <c r="AJ445" s="4">
        <f t="shared" si="1878"/>
        <v>2.5</v>
      </c>
      <c r="AK445" s="38">
        <f t="shared" si="2081"/>
        <v>245.09635963739103</v>
      </c>
      <c r="AL445" s="38">
        <f t="shared" si="1986"/>
        <v>245.09635963739103</v>
      </c>
      <c r="AM445" s="38">
        <f t="shared" si="1956"/>
        <v>4.6054834550100843</v>
      </c>
      <c r="AN445" s="38">
        <f t="shared" si="1893"/>
        <v>245.0963596373912</v>
      </c>
      <c r="AO445" s="38">
        <f t="shared" si="1845"/>
        <v>0.99999999999999933</v>
      </c>
      <c r="AP445" s="38">
        <f t="shared" si="1894"/>
        <v>3.3201361971780701</v>
      </c>
      <c r="AQ445" s="4">
        <f t="shared" si="1895"/>
        <v>0</v>
      </c>
      <c r="AR445" s="4" t="e">
        <f>#REF!/G445*F445^0.5/0.19</f>
        <v>#REF!</v>
      </c>
      <c r="AS445" s="4">
        <f t="shared" si="1957"/>
        <v>1</v>
      </c>
      <c r="AT445" s="38">
        <f t="shared" si="1958"/>
        <v>813.75329542867667</v>
      </c>
      <c r="AU445" s="4">
        <f t="shared" si="1959"/>
        <v>0.3</v>
      </c>
      <c r="AV445" s="4" t="e">
        <f>AU445*D445*#REF!/(D445*G445/2.75/F445^0.5)</f>
        <v>#REF!</v>
      </c>
      <c r="AW445" s="4" t="e">
        <f t="shared" si="1793"/>
        <v>#REF!</v>
      </c>
      <c r="AY445" s="4">
        <f t="shared" si="1960"/>
        <v>1.5</v>
      </c>
      <c r="AZ445" s="4" t="e">
        <f>(3*#REF!+30)*AY445*F445^0.5</f>
        <v>#REF!</v>
      </c>
      <c r="BB445" s="4">
        <f t="shared" si="1961"/>
        <v>780.48892585948306</v>
      </c>
      <c r="BC445" s="4">
        <f t="shared" si="2022"/>
        <v>0</v>
      </c>
      <c r="BD445" s="4">
        <f t="shared" si="1794"/>
        <v>0</v>
      </c>
      <c r="BL445" s="4">
        <f t="shared" si="1962"/>
        <v>71.11999999999999</v>
      </c>
      <c r="BP445" s="9"/>
      <c r="BR445" s="9"/>
      <c r="BS445" s="9"/>
      <c r="BT445" s="9">
        <f t="shared" si="1963"/>
        <v>71.11999999999999</v>
      </c>
      <c r="BU445" s="9">
        <f t="shared" si="1964"/>
        <v>76.644499999999965</v>
      </c>
      <c r="BV445" s="9">
        <f t="shared" si="1965"/>
        <v>1.4250918174124854</v>
      </c>
      <c r="BW445" s="40">
        <f t="shared" ref="BW445:BW453" si="2089">IF(AA445&gt;1,20,0)</f>
        <v>20</v>
      </c>
      <c r="BX445" s="9">
        <f t="shared" si="1966"/>
        <v>0.05</v>
      </c>
      <c r="BY445" s="9">
        <f t="shared" si="1795"/>
        <v>0.8</v>
      </c>
      <c r="BZ445" s="9">
        <f t="shared" si="1967"/>
        <v>0.89777220146327208</v>
      </c>
      <c r="CA445" s="9">
        <f t="shared" si="1968"/>
        <v>0.68</v>
      </c>
      <c r="CB445" s="9">
        <f t="shared" si="1969"/>
        <v>1.7850458101214393</v>
      </c>
      <c r="CC445" s="9">
        <f t="shared" si="1970"/>
        <v>3.9718908258076553</v>
      </c>
      <c r="CD445" s="40">
        <v>1</v>
      </c>
      <c r="CE445" s="9" t="e">
        <f>4*CC445*#REF!+60*CC445</f>
        <v>#REF!</v>
      </c>
      <c r="CG445" s="4" t="e">
        <f t="shared" si="1796"/>
        <v>#REF!</v>
      </c>
      <c r="CH445" s="4" t="e">
        <f t="shared" si="1797"/>
        <v>#REF!</v>
      </c>
      <c r="CI445" s="4" t="e">
        <f t="shared" si="1798"/>
        <v>#REF!</v>
      </c>
      <c r="CJ445" s="4" t="e">
        <f t="shared" si="1799"/>
        <v>#REF!</v>
      </c>
      <c r="CK445" s="4">
        <f t="shared" si="1800"/>
        <v>1.189548271882735</v>
      </c>
      <c r="CL445" s="4">
        <f t="shared" si="1801"/>
        <v>1.2091353781823571</v>
      </c>
      <c r="CM445" s="4">
        <f t="shared" si="2060"/>
        <v>1.3841922978836163</v>
      </c>
      <c r="CN445" s="4">
        <f t="shared" ref="CN445:CN453" si="2090">Z445</f>
        <v>12</v>
      </c>
      <c r="CU445" s="4" t="e">
        <f t="shared" si="2082"/>
        <v>#REF!</v>
      </c>
      <c r="CV445" s="4" t="e">
        <f t="shared" si="2083"/>
        <v>#REF!</v>
      </c>
      <c r="CW445" s="4" t="e">
        <f t="shared" si="2084"/>
        <v>#REF!</v>
      </c>
      <c r="CX445" s="4">
        <f t="shared" si="2085"/>
        <v>1.3841922978836163</v>
      </c>
      <c r="CY445" s="4">
        <f t="shared" si="2086"/>
        <v>1.189548271882735</v>
      </c>
      <c r="CZ445" s="4">
        <f t="shared" si="2087"/>
        <v>1.2091353781823571</v>
      </c>
      <c r="DC445" s="4" t="e">
        <f>#REF!</f>
        <v>#REF!</v>
      </c>
      <c r="DF445" s="4">
        <f t="shared" si="1971"/>
        <v>2.737599353095949E-5</v>
      </c>
      <c r="DG445" s="4">
        <f t="shared" si="1802"/>
        <v>8.9620587312961906</v>
      </c>
      <c r="DH445" s="4">
        <f t="shared" si="1972"/>
        <v>0.22684961436579537</v>
      </c>
      <c r="DI445" s="4">
        <f t="shared" si="1803"/>
        <v>4.951114885337712</v>
      </c>
      <c r="DJ445" s="4">
        <f t="shared" si="1804"/>
        <v>7.2420767721723385</v>
      </c>
      <c r="DK445" s="4">
        <f t="shared" si="1973"/>
        <v>7.7290930335956531</v>
      </c>
      <c r="DL445" s="38">
        <f t="shared" si="1974"/>
        <v>571.64557006479686</v>
      </c>
      <c r="DM445" s="4" t="e">
        <f t="shared" si="1805"/>
        <v>#REF!</v>
      </c>
      <c r="DN445" s="4">
        <f t="shared" si="1975"/>
        <v>2.5495097567963922</v>
      </c>
      <c r="DO445" s="4">
        <f t="shared" si="2059"/>
        <v>245.0963596373912</v>
      </c>
      <c r="DS445" s="4">
        <f t="shared" si="1976"/>
        <v>0.85</v>
      </c>
      <c r="DT445" s="4">
        <f t="shared" si="1977"/>
        <v>0.90141843971631208</v>
      </c>
      <c r="DU445" s="4">
        <f t="shared" si="1978"/>
        <v>0.9995510789195714</v>
      </c>
      <c r="DV445" s="4">
        <f t="shared" si="1806"/>
        <v>0.90101377397643634</v>
      </c>
      <c r="DX445" s="4">
        <f t="shared" si="1979"/>
        <v>562.38533109685011</v>
      </c>
      <c r="DY445" s="25">
        <f t="shared" si="1870"/>
        <v>242.99281248150706</v>
      </c>
      <c r="EA445" s="4">
        <f t="shared" si="1871"/>
        <v>0.76586170787997088</v>
      </c>
      <c r="EB445" s="4">
        <f t="shared" si="1980"/>
        <v>8.9620587312961906</v>
      </c>
      <c r="EE445" s="4">
        <f t="shared" si="1981"/>
        <v>91.308142429905971</v>
      </c>
      <c r="EF445" s="4">
        <f t="shared" si="1807"/>
        <v>2.5495097567963922</v>
      </c>
      <c r="EG445" s="4">
        <f t="shared" si="1982"/>
        <v>0.10362858446195203</v>
      </c>
      <c r="EJ445" s="4">
        <f t="shared" si="1808"/>
        <v>0.10362858446195203</v>
      </c>
      <c r="EK445" s="4">
        <f t="shared" si="1983"/>
        <v>0.22647104463843967</v>
      </c>
      <c r="EL445" s="4">
        <f t="shared" si="1809"/>
        <v>4.9478082340446354</v>
      </c>
      <c r="EM445" s="4">
        <f t="shared" si="1810"/>
        <v>7.2409547526210769</v>
      </c>
      <c r="EN445" s="4" t="e">
        <f t="shared" si="1811"/>
        <v>#REF!</v>
      </c>
      <c r="EO445" s="4" t="e">
        <f t="shared" si="1812"/>
        <v>#REF!</v>
      </c>
      <c r="EP445" s="4" t="e">
        <f t="shared" si="1984"/>
        <v>#REF!</v>
      </c>
      <c r="EQ445" s="4" t="e">
        <f t="shared" si="1813"/>
        <v>#REF!</v>
      </c>
      <c r="ER445" s="4" t="e">
        <f t="shared" si="1985"/>
        <v>#REF!</v>
      </c>
      <c r="FA445" s="23" t="e">
        <f t="shared" si="1772"/>
        <v>#REF!</v>
      </c>
      <c r="FB445" s="23" t="e">
        <f t="shared" si="1773"/>
        <v>#REF!</v>
      </c>
      <c r="FC445" s="23">
        <f t="shared" si="2061"/>
        <v>1.4</v>
      </c>
      <c r="FD445" s="23" t="e">
        <f t="shared" si="1774"/>
        <v>#REF!</v>
      </c>
      <c r="FE445" s="23">
        <f t="shared" si="1775"/>
        <v>1.2</v>
      </c>
      <c r="FF445" s="23">
        <f t="shared" si="1776"/>
        <v>1.4</v>
      </c>
      <c r="FG445" s="23">
        <f t="shared" si="1993"/>
        <v>0</v>
      </c>
      <c r="FH445" s="23"/>
      <c r="FR445" s="4">
        <f t="shared" si="1852"/>
        <v>1</v>
      </c>
      <c r="FS445" s="4">
        <f t="shared" si="1853"/>
        <v>0.58693437042964436</v>
      </c>
      <c r="FT445" s="4">
        <f t="shared" si="1854"/>
        <v>0.16766426906761905</v>
      </c>
      <c r="FU445" s="4">
        <f t="shared" si="1855"/>
        <v>491.2612221869008</v>
      </c>
    </row>
    <row r="446" spans="2:177" ht="12" customHeight="1" x14ac:dyDescent="0.3">
      <c r="B446" s="14" t="s">
        <v>595</v>
      </c>
      <c r="C446" s="48" t="s">
        <v>596</v>
      </c>
      <c r="D446" s="38">
        <f>115.9/0.145</f>
        <v>799.31034482758628</v>
      </c>
      <c r="E446" s="38">
        <f>19.44*25.4</f>
        <v>493.77600000000001</v>
      </c>
      <c r="F446" s="38">
        <f>5430/145</f>
        <v>37.448275862068968</v>
      </c>
      <c r="G446" s="38">
        <f t="shared" si="2009"/>
        <v>35.813999999999993</v>
      </c>
      <c r="H446" s="38">
        <f t="shared" ref="H446" si="2091">21.9*25.4</f>
        <v>556.25999999999988</v>
      </c>
      <c r="I446" s="38">
        <f>2.7*25.4</f>
        <v>68.58</v>
      </c>
      <c r="J446" s="39">
        <f>4.1*25.4</f>
        <v>104.13999999999999</v>
      </c>
      <c r="K446" s="7">
        <f t="shared" si="2077"/>
        <v>347.47199999999987</v>
      </c>
      <c r="L446" s="38">
        <v>2</v>
      </c>
      <c r="M446" s="4">
        <f t="shared" si="1843"/>
        <v>508</v>
      </c>
      <c r="N446" s="7">
        <f t="shared" si="1947"/>
        <v>2.4148936170212769</v>
      </c>
      <c r="O446" s="7">
        <f t="shared" si="1948"/>
        <v>2.4148936170212769</v>
      </c>
      <c r="P446" s="38">
        <v>4.5</v>
      </c>
      <c r="Q446" s="4">
        <f t="shared" si="2088"/>
        <v>4.5</v>
      </c>
      <c r="R446" s="4">
        <f t="shared" si="1949"/>
        <v>5.5</v>
      </c>
      <c r="S446" s="7">
        <f t="shared" si="1950"/>
        <v>83.991275011158137</v>
      </c>
      <c r="V446" s="38">
        <f t="shared" si="1777"/>
        <v>697.93103448275872</v>
      </c>
      <c r="W446" s="4">
        <v>101.2</v>
      </c>
      <c r="X446" s="4">
        <f t="shared" si="1951"/>
        <v>1.1596127136690846</v>
      </c>
      <c r="Y446" s="38"/>
      <c r="Z446" s="38"/>
      <c r="AA446" s="39">
        <v>1</v>
      </c>
      <c r="AB446" s="39"/>
      <c r="AC446" s="39"/>
      <c r="AD446" s="7"/>
      <c r="AE446" s="4">
        <f t="shared" si="1952"/>
        <v>493.77600000000001</v>
      </c>
      <c r="AF446" s="4">
        <f t="shared" si="1953"/>
        <v>0.375514403292181</v>
      </c>
      <c r="AG446" s="4">
        <f t="shared" si="1954"/>
        <v>333.26165284168025</v>
      </c>
      <c r="AH446" s="4">
        <f t="shared" si="1955"/>
        <v>0.73503086419753083</v>
      </c>
      <c r="AI446" s="4">
        <v>1.25</v>
      </c>
      <c r="AJ446" s="4">
        <f t="shared" si="1878"/>
        <v>2.5</v>
      </c>
      <c r="AK446" s="38">
        <f t="shared" si="2081"/>
        <v>287.45346017432786</v>
      </c>
      <c r="AL446" s="38">
        <f t="shared" si="1986"/>
        <v>287.45346017432786</v>
      </c>
      <c r="AM446" s="38">
        <f t="shared" si="1956"/>
        <v>3.3579622250305636</v>
      </c>
      <c r="AN446" s="38">
        <f t="shared" si="1893"/>
        <v>287.45346017432786</v>
      </c>
      <c r="AO446" s="38">
        <f t="shared" si="1845"/>
        <v>1</v>
      </c>
      <c r="AP446" s="38">
        <f t="shared" si="1894"/>
        <v>1.3347457378690069</v>
      </c>
      <c r="AQ446" s="4">
        <f t="shared" si="1895"/>
        <v>0</v>
      </c>
      <c r="AR446" s="4" t="e">
        <f>#REF!/G446*F446^0.5/0.19</f>
        <v>#REF!</v>
      </c>
      <c r="AS446" s="4">
        <f t="shared" si="1957"/>
        <v>1</v>
      </c>
      <c r="AT446" s="38">
        <f t="shared" si="1958"/>
        <v>383.67728080338242</v>
      </c>
      <c r="AU446" s="4">
        <f t="shared" si="1959"/>
        <v>0.37</v>
      </c>
      <c r="AV446" s="4" t="e">
        <f>AU446*D446*#REF!/(D446*G446/2.75/F446^0.5)</f>
        <v>#REF!</v>
      </c>
      <c r="AW446" s="4" t="e">
        <f t="shared" si="1793"/>
        <v>#REF!</v>
      </c>
      <c r="AY446" s="4">
        <f t="shared" si="1960"/>
        <v>1.2287234042553192</v>
      </c>
      <c r="AZ446" s="4" t="e">
        <f>(3*#REF!+30)*AY446*F446^0.5</f>
        <v>#REF!</v>
      </c>
      <c r="BB446" s="4">
        <f t="shared" si="1961"/>
        <v>367.993432964433</v>
      </c>
      <c r="BC446" s="4">
        <f t="shared" si="2022"/>
        <v>0</v>
      </c>
      <c r="BD446" s="4">
        <f t="shared" si="1794"/>
        <v>0</v>
      </c>
      <c r="BL446" s="4">
        <f t="shared" si="1962"/>
        <v>68.58</v>
      </c>
      <c r="BP446" s="9"/>
      <c r="BR446" s="9"/>
      <c r="BS446" s="9"/>
      <c r="BT446" s="9">
        <f t="shared" si="1963"/>
        <v>68.58</v>
      </c>
      <c r="BU446" s="9">
        <f t="shared" si="1964"/>
        <v>173.73599999999993</v>
      </c>
      <c r="BV446" s="9">
        <f t="shared" si="1965"/>
        <v>1.5908388060545191</v>
      </c>
      <c r="BW446" s="40">
        <f t="shared" si="2089"/>
        <v>0</v>
      </c>
      <c r="BX446" s="9">
        <f t="shared" si="1966"/>
        <v>0</v>
      </c>
      <c r="BY446" s="9">
        <f t="shared" si="1795"/>
        <v>0</v>
      </c>
      <c r="BZ446" s="9">
        <f t="shared" si="1967"/>
        <v>0.89777220146327208</v>
      </c>
      <c r="CA446" s="9">
        <f t="shared" si="1968"/>
        <v>0.68048275862068963</v>
      </c>
      <c r="CB446" s="9">
        <f t="shared" si="1969"/>
        <v>1.3084804487373733</v>
      </c>
      <c r="CC446" s="9">
        <f t="shared" si="1970"/>
        <v>2.0815814748150445</v>
      </c>
      <c r="CD446" s="40">
        <v>1</v>
      </c>
      <c r="CE446" s="9" t="e">
        <f>4*CC446*#REF!+60*CC446</f>
        <v>#REF!</v>
      </c>
      <c r="CG446" s="4" t="e">
        <f t="shared" si="1796"/>
        <v>#REF!</v>
      </c>
      <c r="CH446" s="4" t="e">
        <f t="shared" si="1797"/>
        <v>#REF!</v>
      </c>
      <c r="CI446" s="4" t="e">
        <f t="shared" si="1798"/>
        <v>#REF!</v>
      </c>
      <c r="CJ446" s="4" t="e">
        <f t="shared" si="1799"/>
        <v>#REF!</v>
      </c>
      <c r="CK446" s="4">
        <f t="shared" si="1800"/>
        <v>1.1596127136690846</v>
      </c>
      <c r="CL446" s="4">
        <f t="shared" si="1801"/>
        <v>1.2582112350998493</v>
      </c>
      <c r="CM446" s="4">
        <f t="shared" si="2060"/>
        <v>1.2184121174982501</v>
      </c>
      <c r="CN446" s="4">
        <f t="shared" si="2090"/>
        <v>0</v>
      </c>
      <c r="CO446" s="4" t="e">
        <f t="shared" ref="CO446:CO447" si="2092">CG446</f>
        <v>#REF!</v>
      </c>
      <c r="CP446" s="4" t="e">
        <f t="shared" ref="CP446:CP447" si="2093">CH446</f>
        <v>#REF!</v>
      </c>
      <c r="CQ446" s="4" t="e">
        <f t="shared" ref="CQ446:CQ447" si="2094">CJ446</f>
        <v>#REF!</v>
      </c>
      <c r="CR446" s="4">
        <f t="shared" ref="CR446:CR447" si="2095">CM446</f>
        <v>1.2184121174982501</v>
      </c>
      <c r="CS446" s="4">
        <f t="shared" ref="CS446:CS447" si="2096">CK446</f>
        <v>1.1596127136690846</v>
      </c>
      <c r="CT446" s="4">
        <f t="shared" ref="CT446:CT447" si="2097">CL446</f>
        <v>1.2582112350998493</v>
      </c>
      <c r="DC446" s="4" t="e">
        <f>#REF!</f>
        <v>#REF!</v>
      </c>
      <c r="DF446" s="4">
        <f t="shared" si="1971"/>
        <v>2.5922823367202814E-5</v>
      </c>
      <c r="DG446" s="4">
        <f t="shared" si="1802"/>
        <v>6.5105676703943356</v>
      </c>
      <c r="DH446" s="4">
        <f t="shared" si="1972"/>
        <v>0.55747352912469106</v>
      </c>
      <c r="DI446" s="4">
        <f t="shared" si="1803"/>
        <v>5.1535744861924577</v>
      </c>
      <c r="DJ446" s="4">
        <f t="shared" si="1804"/>
        <v>5.8714587929856847</v>
      </c>
      <c r="DK446" s="4">
        <f t="shared" si="1973"/>
        <v>5.6786582394970564</v>
      </c>
      <c r="DL446" s="38">
        <f t="shared" si="1974"/>
        <v>601.86562828762271</v>
      </c>
      <c r="DM446" s="4" t="e">
        <f t="shared" si="1805"/>
        <v>#REF!</v>
      </c>
      <c r="DN446" s="4">
        <f t="shared" si="1975"/>
        <v>2.3452078799117149</v>
      </c>
      <c r="DO446" s="4">
        <f t="shared" si="2059"/>
        <v>287.45346017432786</v>
      </c>
      <c r="DS446" s="4">
        <f t="shared" si="1976"/>
        <v>0.85</v>
      </c>
      <c r="DT446" s="4">
        <f t="shared" si="1977"/>
        <v>0.90851063829787226</v>
      </c>
      <c r="DU446" s="4">
        <f t="shared" si="1978"/>
        <v>1</v>
      </c>
      <c r="DV446" s="4">
        <f t="shared" si="1806"/>
        <v>0.90851063829787226</v>
      </c>
      <c r="DX446" s="4">
        <f t="shared" si="1979"/>
        <v>554.70100330758225</v>
      </c>
      <c r="DY446" s="25">
        <f t="shared" si="1870"/>
        <v>285.41284264276118</v>
      </c>
      <c r="EA446" s="4">
        <f t="shared" si="1871"/>
        <v>0.77223404255319139</v>
      </c>
      <c r="EB446" s="4">
        <f t="shared" si="1980"/>
        <v>6.5105676703943356</v>
      </c>
      <c r="EE446" s="4">
        <f t="shared" si="1981"/>
        <v>83.991275011158137</v>
      </c>
      <c r="EF446" s="4">
        <f t="shared" si="1807"/>
        <v>2.3452078799117149</v>
      </c>
      <c r="EG446" s="4">
        <f t="shared" si="1982"/>
        <v>0.18654148485840832</v>
      </c>
      <c r="EJ446" s="4">
        <f t="shared" si="1808"/>
        <v>0.18654148485840832</v>
      </c>
      <c r="EK446" s="4">
        <f t="shared" si="1983"/>
        <v>0.55654320970352378</v>
      </c>
      <c r="EL446" s="4">
        <f t="shared" si="1809"/>
        <v>5.1501326202423856</v>
      </c>
      <c r="EM446" s="4">
        <f t="shared" si="1810"/>
        <v>5.8699491476777874</v>
      </c>
      <c r="EN446" s="4" t="e">
        <f t="shared" si="1811"/>
        <v>#REF!</v>
      </c>
      <c r="EO446" s="4" t="e">
        <f t="shared" si="1812"/>
        <v>#REF!</v>
      </c>
      <c r="EP446" s="4" t="e">
        <f t="shared" si="1984"/>
        <v>#REF!</v>
      </c>
      <c r="EQ446" s="4" t="e">
        <f t="shared" si="1813"/>
        <v>#REF!</v>
      </c>
      <c r="ER446" s="4" t="e">
        <f t="shared" si="1985"/>
        <v>#REF!</v>
      </c>
      <c r="EU446" s="4">
        <f>6.75*25.4</f>
        <v>171.45</v>
      </c>
      <c r="FA446" s="23" t="e">
        <f t="shared" si="1772"/>
        <v>#REF!</v>
      </c>
      <c r="FB446" s="23" t="e">
        <f t="shared" si="1773"/>
        <v>#REF!</v>
      </c>
      <c r="FC446" s="23">
        <f t="shared" si="2061"/>
        <v>1.4</v>
      </c>
      <c r="FD446" s="23" t="e">
        <f t="shared" si="1774"/>
        <v>#REF!</v>
      </c>
      <c r="FE446" s="23">
        <f t="shared" si="1775"/>
        <v>1.2</v>
      </c>
      <c r="FF446" s="23">
        <f t="shared" si="1776"/>
        <v>1.4</v>
      </c>
      <c r="FG446" s="23">
        <f t="shared" si="1993"/>
        <v>0</v>
      </c>
      <c r="FH446" s="23"/>
      <c r="FR446" s="4">
        <f t="shared" si="1852"/>
        <v>1</v>
      </c>
      <c r="FS446" s="4">
        <f t="shared" si="1853"/>
        <v>0.5</v>
      </c>
      <c r="FT446" s="4">
        <f t="shared" si="1854"/>
        <v>0</v>
      </c>
      <c r="FU446" s="4">
        <f t="shared" si="1855"/>
        <v>572.82016852870072</v>
      </c>
    </row>
    <row r="447" spans="2:177" ht="12" customHeight="1" x14ac:dyDescent="0.3">
      <c r="B447" s="14"/>
      <c r="C447" s="7" t="s">
        <v>597</v>
      </c>
      <c r="D447" s="38">
        <f>135/0.145</f>
        <v>931.0344827586207</v>
      </c>
      <c r="E447" s="38">
        <f>19.38*25.4</f>
        <v>492.25199999999995</v>
      </c>
      <c r="F447" s="38">
        <f>6320/145</f>
        <v>43.586206896551722</v>
      </c>
      <c r="G447" s="38">
        <f t="shared" si="2009"/>
        <v>35.813999999999993</v>
      </c>
      <c r="H447" s="38">
        <f>22*25.4</f>
        <v>558.79999999999995</v>
      </c>
      <c r="I447" s="38">
        <f>2.75*25.4</f>
        <v>69.849999999999994</v>
      </c>
      <c r="J447" s="39">
        <f>3.3*25.4</f>
        <v>83.82</v>
      </c>
      <c r="K447" s="7">
        <f t="shared" si="2077"/>
        <v>347.47199999999998</v>
      </c>
      <c r="L447" s="38">
        <v>2</v>
      </c>
      <c r="M447" s="4">
        <f t="shared" si="1843"/>
        <v>508</v>
      </c>
      <c r="N447" s="7">
        <f t="shared" si="1947"/>
        <v>2.4503546099290783</v>
      </c>
      <c r="O447" s="7">
        <f t="shared" si="1948"/>
        <v>2.4503546099290783</v>
      </c>
      <c r="P447" s="38">
        <v>5.5</v>
      </c>
      <c r="Q447" s="4">
        <f t="shared" si="2088"/>
        <v>5.5</v>
      </c>
      <c r="R447" s="4">
        <f t="shared" si="1949"/>
        <v>6.5</v>
      </c>
      <c r="S447" s="7">
        <f t="shared" si="1950"/>
        <v>91.308142429905971</v>
      </c>
      <c r="V447" s="38">
        <f t="shared" si="1777"/>
        <v>781.37931034482767</v>
      </c>
      <c r="W447" s="4">
        <v>113.3</v>
      </c>
      <c r="X447" s="4">
        <f t="shared" si="1951"/>
        <v>1.2217011324137843</v>
      </c>
      <c r="Y447" s="38"/>
      <c r="Z447" s="38"/>
      <c r="AA447" s="39">
        <v>1</v>
      </c>
      <c r="AB447" s="39"/>
      <c r="AC447" s="39"/>
      <c r="AD447" s="7"/>
      <c r="AE447" s="4">
        <f t="shared" si="1952"/>
        <v>492.25199999999995</v>
      </c>
      <c r="AF447" s="4">
        <f t="shared" si="1953"/>
        <v>0.37839697282421741</v>
      </c>
      <c r="AG447" s="4">
        <f t="shared" si="1954"/>
        <v>357.87407330106765</v>
      </c>
      <c r="AH447" s="4">
        <f t="shared" si="1955"/>
        <v>0.73565531475748192</v>
      </c>
      <c r="AI447" s="4">
        <v>1.25</v>
      </c>
      <c r="AJ447" s="4">
        <f t="shared" si="1878"/>
        <v>2.5</v>
      </c>
      <c r="AK447" s="38">
        <f t="shared" si="2081"/>
        <v>311.31660694188923</v>
      </c>
      <c r="AL447" s="38">
        <f t="shared" si="1986"/>
        <v>311.31660694188923</v>
      </c>
      <c r="AM447" s="38">
        <f t="shared" si="1956"/>
        <v>3.7155288579258352</v>
      </c>
      <c r="AN447" s="38">
        <f t="shared" si="1893"/>
        <v>311.31660694188946</v>
      </c>
      <c r="AO447" s="38">
        <f t="shared" si="1845"/>
        <v>0.99999999999999922</v>
      </c>
      <c r="AP447" s="38">
        <f t="shared" si="1894"/>
        <v>1.609114940007129</v>
      </c>
      <c r="AQ447" s="4">
        <f t="shared" si="1895"/>
        <v>0</v>
      </c>
      <c r="AR447" s="4" t="e">
        <f>#REF!/G447*F447^0.5/0.19</f>
        <v>#REF!</v>
      </c>
      <c r="AS447" s="4">
        <f t="shared" si="1957"/>
        <v>1</v>
      </c>
      <c r="AT447" s="38">
        <f t="shared" si="1958"/>
        <v>500.94420330252137</v>
      </c>
      <c r="AU447" s="4">
        <f t="shared" si="1959"/>
        <v>0.3</v>
      </c>
      <c r="AV447" s="4" t="e">
        <f>AU447*D447*#REF!/(D447*G447/2.75/F447^0.5)</f>
        <v>#REF!</v>
      </c>
      <c r="AW447" s="4" t="e">
        <f t="shared" si="1793"/>
        <v>#REF!</v>
      </c>
      <c r="AY447" s="4">
        <f t="shared" si="1960"/>
        <v>1.2375886524822697</v>
      </c>
      <c r="AZ447" s="4" t="e">
        <f>(3*#REF!+30)*AY447*F447^0.5</f>
        <v>#REF!</v>
      </c>
      <c r="BB447" s="4">
        <f t="shared" si="1961"/>
        <v>480.46675245125056</v>
      </c>
      <c r="BC447" s="4">
        <f t="shared" si="2022"/>
        <v>0</v>
      </c>
      <c r="BD447" s="4">
        <f t="shared" si="1794"/>
        <v>0</v>
      </c>
      <c r="BL447" s="4">
        <f t="shared" si="1962"/>
        <v>69.849999999999994</v>
      </c>
      <c r="BP447" s="9"/>
      <c r="BR447" s="9"/>
      <c r="BS447" s="9"/>
      <c r="BT447" s="9">
        <f t="shared" si="1963"/>
        <v>69.849999999999994</v>
      </c>
      <c r="BU447" s="9">
        <f t="shared" si="1964"/>
        <v>173.73599999999999</v>
      </c>
      <c r="BV447" s="9">
        <f t="shared" si="1965"/>
        <v>1.6010883658280048</v>
      </c>
      <c r="BW447" s="40">
        <f t="shared" si="2089"/>
        <v>0</v>
      </c>
      <c r="BX447" s="9">
        <f t="shared" si="1966"/>
        <v>0</v>
      </c>
      <c r="BY447" s="9">
        <f t="shared" si="1795"/>
        <v>0</v>
      </c>
      <c r="BZ447" s="9">
        <f t="shared" si="1967"/>
        <v>0.89777220146327208</v>
      </c>
      <c r="CA447" s="9">
        <f t="shared" si="1968"/>
        <v>0.68</v>
      </c>
      <c r="CB447" s="9">
        <f t="shared" si="1969"/>
        <v>1.4106447240551518</v>
      </c>
      <c r="CC447" s="9">
        <f t="shared" si="1970"/>
        <v>2.2585668560013601</v>
      </c>
      <c r="CD447" s="40">
        <v>1</v>
      </c>
      <c r="CE447" s="9" t="e">
        <f>4*CC447*#REF!+60*CC447</f>
        <v>#REF!</v>
      </c>
      <c r="CG447" s="4" t="e">
        <f t="shared" si="1796"/>
        <v>#REF!</v>
      </c>
      <c r="CH447" s="4" t="e">
        <f t="shared" si="1797"/>
        <v>#REF!</v>
      </c>
      <c r="CI447" s="4" t="e">
        <f t="shared" si="1798"/>
        <v>#REF!</v>
      </c>
      <c r="CJ447" s="4" t="e">
        <f t="shared" si="1799"/>
        <v>#REF!</v>
      </c>
      <c r="CK447" s="4">
        <f t="shared" si="1800"/>
        <v>1.2217011324137843</v>
      </c>
      <c r="CL447" s="4">
        <f t="shared" si="1801"/>
        <v>1.3026075869753657</v>
      </c>
      <c r="CM447" s="4">
        <f t="shared" si="2060"/>
        <v>1.3173670073694528</v>
      </c>
      <c r="CN447" s="4">
        <f t="shared" si="2090"/>
        <v>0</v>
      </c>
      <c r="CO447" s="4" t="e">
        <f t="shared" si="2092"/>
        <v>#REF!</v>
      </c>
      <c r="CP447" s="4" t="e">
        <f t="shared" si="2093"/>
        <v>#REF!</v>
      </c>
      <c r="CQ447" s="4" t="e">
        <f t="shared" si="2094"/>
        <v>#REF!</v>
      </c>
      <c r="CR447" s="4">
        <f t="shared" si="2095"/>
        <v>1.3173670073694528</v>
      </c>
      <c r="CS447" s="4">
        <f t="shared" si="2096"/>
        <v>1.2217011324137843</v>
      </c>
      <c r="CT447" s="4">
        <f t="shared" si="2097"/>
        <v>1.3026075869753657</v>
      </c>
      <c r="DC447" s="4" t="e">
        <f>#REF!</f>
        <v>#REF!</v>
      </c>
      <c r="DF447" s="4">
        <f t="shared" si="1971"/>
        <v>2.6912597390312449E-5</v>
      </c>
      <c r="DG447" s="4">
        <f t="shared" si="1802"/>
        <v>7.0514095095305276</v>
      </c>
      <c r="DH447" s="4">
        <f t="shared" si="1972"/>
        <v>0.46138865032032206</v>
      </c>
      <c r="DI447" s="4">
        <f t="shared" si="1803"/>
        <v>5.1749087932933691</v>
      </c>
      <c r="DJ447" s="4">
        <f t="shared" si="1804"/>
        <v>6.1849067031831817</v>
      </c>
      <c r="DK447" s="4">
        <f t="shared" si="1973"/>
        <v>6.0778212680975621</v>
      </c>
      <c r="DL447" s="38">
        <f t="shared" si="1974"/>
        <v>639.58302862584094</v>
      </c>
      <c r="DM447" s="4" t="e">
        <f t="shared" si="1805"/>
        <v>#REF!</v>
      </c>
      <c r="DN447" s="4">
        <f t="shared" si="1975"/>
        <v>2.5495097567963922</v>
      </c>
      <c r="DO447" s="4">
        <f t="shared" si="2059"/>
        <v>311.31660694188946</v>
      </c>
      <c r="DS447" s="4">
        <f t="shared" si="1976"/>
        <v>0.85</v>
      </c>
      <c r="DT447" s="4">
        <f t="shared" si="1977"/>
        <v>0.90496453900709217</v>
      </c>
      <c r="DU447" s="4">
        <f t="shared" si="1978"/>
        <v>1</v>
      </c>
      <c r="DV447" s="4">
        <f t="shared" si="1806"/>
        <v>0.90496453900709217</v>
      </c>
      <c r="DX447" s="4">
        <f t="shared" si="1979"/>
        <v>599.85779152352256</v>
      </c>
      <c r="DY447" s="25">
        <f t="shared" si="1870"/>
        <v>309.09967174756156</v>
      </c>
      <c r="EA447" s="4">
        <f t="shared" si="1871"/>
        <v>0.76921985815602834</v>
      </c>
      <c r="EB447" s="4">
        <f t="shared" si="1980"/>
        <v>7.0514095095305276</v>
      </c>
      <c r="EE447" s="4">
        <f t="shared" si="1981"/>
        <v>91.308142429905971</v>
      </c>
      <c r="EF447" s="4">
        <f t="shared" si="1807"/>
        <v>2.5495097567963922</v>
      </c>
      <c r="EG447" s="4">
        <f t="shared" si="1982"/>
        <v>0.16656230050522144</v>
      </c>
      <c r="EJ447" s="4">
        <f t="shared" si="1808"/>
        <v>0.16656230050522144</v>
      </c>
      <c r="EK447" s="4">
        <f t="shared" si="1983"/>
        <v>0.46061867865409239</v>
      </c>
      <c r="EL447" s="4">
        <f t="shared" si="1809"/>
        <v>5.1714526790142257</v>
      </c>
      <c r="EM447" s="4">
        <f t="shared" si="1810"/>
        <v>6.1834624557175362</v>
      </c>
      <c r="EN447" s="4" t="e">
        <f t="shared" si="1811"/>
        <v>#REF!</v>
      </c>
      <c r="EO447" s="4" t="e">
        <f t="shared" si="1812"/>
        <v>#REF!</v>
      </c>
      <c r="EP447" s="4" t="e">
        <f t="shared" si="1984"/>
        <v>#REF!</v>
      </c>
      <c r="EQ447" s="4" t="e">
        <f t="shared" si="1813"/>
        <v>#REF!</v>
      </c>
      <c r="ER447" s="4" t="e">
        <f t="shared" si="1985"/>
        <v>#REF!</v>
      </c>
      <c r="FA447" s="23" t="e">
        <f t="shared" si="1772"/>
        <v>#REF!</v>
      </c>
      <c r="FB447" s="23" t="e">
        <f t="shared" si="1773"/>
        <v>#REF!</v>
      </c>
      <c r="FC447" s="23">
        <f t="shared" si="2061"/>
        <v>1.4</v>
      </c>
      <c r="FD447" s="23" t="e">
        <f t="shared" si="1774"/>
        <v>#REF!</v>
      </c>
      <c r="FE447" s="23">
        <f t="shared" si="1775"/>
        <v>1.4</v>
      </c>
      <c r="FF447" s="23">
        <f t="shared" si="1776"/>
        <v>1.4</v>
      </c>
      <c r="FG447" s="23">
        <f t="shared" si="1993"/>
        <v>0</v>
      </c>
      <c r="FH447" s="23"/>
      <c r="FR447" s="4">
        <f t="shared" si="1852"/>
        <v>1</v>
      </c>
      <c r="FS447" s="4">
        <f t="shared" si="1853"/>
        <v>0.5</v>
      </c>
      <c r="FT447" s="4">
        <f t="shared" si="1854"/>
        <v>0</v>
      </c>
      <c r="FU447" s="4">
        <f t="shared" si="1855"/>
        <v>593.13714854989644</v>
      </c>
    </row>
    <row r="448" spans="2:177" ht="12" customHeight="1" x14ac:dyDescent="0.3">
      <c r="B448" s="14"/>
      <c r="C448" s="48" t="s">
        <v>598</v>
      </c>
      <c r="D448" s="38">
        <f t="shared" ref="D448" si="2098">115.9/0.145</f>
        <v>799.31034482758628</v>
      </c>
      <c r="E448" s="38">
        <f>19.63*25.4</f>
        <v>498.60199999999992</v>
      </c>
      <c r="F448" s="38">
        <f>5430/145</f>
        <v>37.448275862068968</v>
      </c>
      <c r="G448" s="38">
        <f t="shared" si="2009"/>
        <v>35.813999999999993</v>
      </c>
      <c r="H448" s="38">
        <f>21.7*25.4</f>
        <v>551.17999999999995</v>
      </c>
      <c r="I448" s="38">
        <f>2.65*25.4</f>
        <v>67.309999999999988</v>
      </c>
      <c r="J448" s="39">
        <f>3.8*25.4</f>
        <v>96.52</v>
      </c>
      <c r="K448" s="7">
        <f t="shared" si="2077"/>
        <v>344.93200000000002</v>
      </c>
      <c r="L448" s="38">
        <v>2</v>
      </c>
      <c r="M448" s="4">
        <f t="shared" si="1843"/>
        <v>508</v>
      </c>
      <c r="N448" s="7">
        <f t="shared" si="1947"/>
        <v>2.3794326241134751</v>
      </c>
      <c r="O448" s="7">
        <f t="shared" si="1948"/>
        <v>2.3794326241134751</v>
      </c>
      <c r="P448" s="38">
        <v>4.5</v>
      </c>
      <c r="Q448" s="4">
        <f t="shared" si="2088"/>
        <v>4.5</v>
      </c>
      <c r="R448" s="4">
        <f t="shared" si="1949"/>
        <v>5.5</v>
      </c>
      <c r="S448" s="7">
        <f t="shared" si="1950"/>
        <v>83.991275011158137</v>
      </c>
      <c r="V448" s="38">
        <f t="shared" si="1777"/>
        <v>802.06896551724139</v>
      </c>
      <c r="W448" s="4">
        <v>116.3</v>
      </c>
      <c r="X448" s="4">
        <f t="shared" si="1951"/>
        <v>1.3325481105008794</v>
      </c>
      <c r="Y448" s="38">
        <f t="shared" ref="Y448:Y449" si="2099">0.5*25.4</f>
        <v>12.7</v>
      </c>
      <c r="Z448" s="38">
        <v>12</v>
      </c>
      <c r="AA448" s="39">
        <f t="shared" ref="AA448:AA449" si="2100">4*25.4</f>
        <v>101.6</v>
      </c>
      <c r="AB448" s="39">
        <v>2</v>
      </c>
      <c r="AC448" s="39">
        <f t="shared" ref="AC448:AC449" si="2101">AB448-1</f>
        <v>1</v>
      </c>
      <c r="AD448" s="7"/>
      <c r="AE448" s="4">
        <f t="shared" si="1952"/>
        <v>498.60199999999992</v>
      </c>
      <c r="AF448" s="4">
        <f t="shared" si="1953"/>
        <v>0.36848361351672609</v>
      </c>
      <c r="AG448" s="4">
        <f t="shared" si="1954"/>
        <v>338.15935186284662</v>
      </c>
      <c r="AH448" s="4">
        <f t="shared" si="1955"/>
        <v>0.73418237391747321</v>
      </c>
      <c r="AI448" s="4">
        <v>1.25</v>
      </c>
      <c r="AJ448" s="4">
        <f t="shared" si="1878"/>
        <v>2.5</v>
      </c>
      <c r="AK448" s="38">
        <f t="shared" si="2081"/>
        <v>285.88644055513333</v>
      </c>
      <c r="AL448" s="38">
        <f t="shared" si="1986"/>
        <v>285.88644055513333</v>
      </c>
      <c r="AM448" s="38">
        <f t="shared" si="1956"/>
        <v>3.3579622250305636</v>
      </c>
      <c r="AN448" s="38">
        <f t="shared" si="1893"/>
        <v>285.88644055513362</v>
      </c>
      <c r="AO448" s="38">
        <f t="shared" si="1845"/>
        <v>0.999999999999999</v>
      </c>
      <c r="AP448" s="38">
        <f t="shared" si="1894"/>
        <v>1.3223546120307097</v>
      </c>
      <c r="AQ448" s="4">
        <f t="shared" si="1895"/>
        <v>0</v>
      </c>
      <c r="AR448" s="4" t="e">
        <f>#REF!/G448*F448^0.5/0.19</f>
        <v>#REF!</v>
      </c>
      <c r="AS448" s="4">
        <f t="shared" si="1957"/>
        <v>1</v>
      </c>
      <c r="AT448" s="38">
        <f t="shared" si="1958"/>
        <v>378.04325318512429</v>
      </c>
      <c r="AU448" s="4">
        <f t="shared" si="1959"/>
        <v>0.37</v>
      </c>
      <c r="AV448" s="4" t="e">
        <f>AU448*D448*#REF!/(D448*G448/2.75/F448^0.5)</f>
        <v>#REF!</v>
      </c>
      <c r="AW448" s="4" t="e">
        <f t="shared" si="1793"/>
        <v>#REF!</v>
      </c>
      <c r="AY448" s="4">
        <f t="shared" si="1960"/>
        <v>1.5</v>
      </c>
      <c r="AZ448" s="4" t="e">
        <f>(3*#REF!+30)*AY448*F448^0.5</f>
        <v>#REF!</v>
      </c>
      <c r="BB448" s="4">
        <f t="shared" si="1961"/>
        <v>362.58971148184219</v>
      </c>
      <c r="BC448" s="4">
        <f t="shared" si="2022"/>
        <v>0</v>
      </c>
      <c r="BD448" s="4">
        <f t="shared" si="1794"/>
        <v>0</v>
      </c>
      <c r="BL448" s="4">
        <f t="shared" si="1962"/>
        <v>67.309999999999988</v>
      </c>
      <c r="BP448" s="9"/>
      <c r="BR448" s="9"/>
      <c r="BS448" s="9"/>
      <c r="BT448" s="9">
        <f t="shared" si="1963"/>
        <v>67.309999999999988</v>
      </c>
      <c r="BU448" s="9">
        <f t="shared" si="1964"/>
        <v>172.46600000000001</v>
      </c>
      <c r="BV448" s="9">
        <f t="shared" si="1965"/>
        <v>1.5787267425904519</v>
      </c>
      <c r="BW448" s="40">
        <f t="shared" si="2089"/>
        <v>20</v>
      </c>
      <c r="BX448" s="9">
        <f t="shared" si="1966"/>
        <v>0.05</v>
      </c>
      <c r="BY448" s="9">
        <f t="shared" si="1795"/>
        <v>0.8</v>
      </c>
      <c r="BZ448" s="9">
        <f t="shared" si="1967"/>
        <v>0.89777220146327208</v>
      </c>
      <c r="CA448" s="9">
        <f t="shared" si="1968"/>
        <v>0.68048275862068963</v>
      </c>
      <c r="CB448" s="9">
        <f t="shared" si="1969"/>
        <v>1.3084804487373733</v>
      </c>
      <c r="CC448" s="9">
        <f t="shared" si="1970"/>
        <v>3.1125174355683445</v>
      </c>
      <c r="CD448" s="40">
        <v>1</v>
      </c>
      <c r="CE448" s="9" t="e">
        <f>4*CC448*#REF!+60*CC448</f>
        <v>#REF!</v>
      </c>
      <c r="CG448" s="4" t="e">
        <f t="shared" si="1796"/>
        <v>#REF!</v>
      </c>
      <c r="CH448" s="4" t="e">
        <f t="shared" si="1797"/>
        <v>#REF!</v>
      </c>
      <c r="CI448" s="4" t="e">
        <f t="shared" si="1798"/>
        <v>#REF!</v>
      </c>
      <c r="CJ448" s="4" t="e">
        <f t="shared" si="1799"/>
        <v>#REF!</v>
      </c>
      <c r="CK448" s="4">
        <f t="shared" si="1800"/>
        <v>1.3325481105008794</v>
      </c>
      <c r="CL448" s="4">
        <f t="shared" si="1801"/>
        <v>1.4455193526381414</v>
      </c>
      <c r="CM448" s="4">
        <f t="shared" si="2060"/>
        <v>1.1997735337343924</v>
      </c>
      <c r="CN448" s="4">
        <f t="shared" si="2090"/>
        <v>12</v>
      </c>
      <c r="CU448" s="4" t="e">
        <f t="shared" ref="CU448:CU449" si="2102">CG448</f>
        <v>#REF!</v>
      </c>
      <c r="CV448" s="4" t="e">
        <f t="shared" ref="CV448:CV449" si="2103">CH448</f>
        <v>#REF!</v>
      </c>
      <c r="CW448" s="4" t="e">
        <f t="shared" ref="CW448:CW449" si="2104">CJ448</f>
        <v>#REF!</v>
      </c>
      <c r="CX448" s="4">
        <f t="shared" ref="CX448:CX449" si="2105">CM448</f>
        <v>1.1997735337343924</v>
      </c>
      <c r="CY448" s="4">
        <f t="shared" ref="CY448:CY449" si="2106">CK448</f>
        <v>1.3325481105008794</v>
      </c>
      <c r="CZ448" s="4">
        <f t="shared" ref="CZ448:CZ449" si="2107">CL448</f>
        <v>1.4455193526381414</v>
      </c>
      <c r="DC448" s="4" t="e">
        <f>#REF!</f>
        <v>#REF!</v>
      </c>
      <c r="DF448" s="4">
        <f t="shared" si="1971"/>
        <v>2.6176184295174446E-5</v>
      </c>
      <c r="DG448" s="4">
        <f t="shared" si="1802"/>
        <v>6.4881670962699065</v>
      </c>
      <c r="DH448" s="4">
        <f t="shared" si="1972"/>
        <v>0.55443452602210153</v>
      </c>
      <c r="DI448" s="4">
        <f t="shared" si="1803"/>
        <v>5.1246254963864439</v>
      </c>
      <c r="DJ448" s="4">
        <f t="shared" si="1804"/>
        <v>5.8463394128645252</v>
      </c>
      <c r="DK448" s="4">
        <f t="shared" si="1973"/>
        <v>5.6466132783961722</v>
      </c>
      <c r="DL448" s="38">
        <f t="shared" si="1974"/>
        <v>601.90619700459365</v>
      </c>
      <c r="DM448" s="4" t="e">
        <f t="shared" si="1805"/>
        <v>#REF!</v>
      </c>
      <c r="DN448" s="4">
        <f t="shared" si="1975"/>
        <v>2.3452078799117149</v>
      </c>
      <c r="DO448" s="4">
        <f t="shared" si="2059"/>
        <v>285.88644055513362</v>
      </c>
      <c r="DS448" s="4">
        <f t="shared" si="1976"/>
        <v>0.85</v>
      </c>
      <c r="DT448" s="4">
        <f t="shared" si="1977"/>
        <v>0.91205673758865247</v>
      </c>
      <c r="DU448" s="4">
        <f t="shared" si="1978"/>
        <v>0.9995510789195714</v>
      </c>
      <c r="DV448" s="4">
        <f t="shared" si="1806"/>
        <v>0.91164729609260198</v>
      </c>
      <c r="DX448" s="4">
        <f t="shared" si="1979"/>
        <v>554.86560180147535</v>
      </c>
      <c r="DY448" s="25">
        <f t="shared" si="1870"/>
        <v>283.88109095088328</v>
      </c>
      <c r="EA448" s="4">
        <f t="shared" si="1871"/>
        <v>0.77490020167871165</v>
      </c>
      <c r="EB448" s="4">
        <f t="shared" si="1980"/>
        <v>6.4881670962699065</v>
      </c>
      <c r="EE448" s="4">
        <f t="shared" si="1981"/>
        <v>83.991275011158137</v>
      </c>
      <c r="EF448" s="4">
        <f t="shared" si="1807"/>
        <v>2.3452078799117149</v>
      </c>
      <c r="EG448" s="4">
        <f t="shared" si="1982"/>
        <v>0.1855245753162881</v>
      </c>
      <c r="EJ448" s="4">
        <f t="shared" si="1808"/>
        <v>0.1855245753162881</v>
      </c>
      <c r="EK448" s="4">
        <f t="shared" si="1983"/>
        <v>0.55350927813071948</v>
      </c>
      <c r="EL448" s="4">
        <f t="shared" si="1809"/>
        <v>5.121202964306983</v>
      </c>
      <c r="EM448" s="4">
        <f t="shared" si="1810"/>
        <v>5.8448402834818527</v>
      </c>
      <c r="EN448" s="4" t="e">
        <f t="shared" si="1811"/>
        <v>#REF!</v>
      </c>
      <c r="EO448" s="4" t="e">
        <f t="shared" si="1812"/>
        <v>#REF!</v>
      </c>
      <c r="EP448" s="4" t="e">
        <f t="shared" si="1984"/>
        <v>#REF!</v>
      </c>
      <c r="EQ448" s="4" t="e">
        <f t="shared" si="1813"/>
        <v>#REF!</v>
      </c>
      <c r="ER448" s="4" t="e">
        <f t="shared" si="1985"/>
        <v>#REF!</v>
      </c>
      <c r="EU448" s="4">
        <f>6.75*25.4</f>
        <v>171.45</v>
      </c>
      <c r="FA448" s="23" t="e">
        <f t="shared" si="1772"/>
        <v>#REF!</v>
      </c>
      <c r="FB448" s="23" t="e">
        <f t="shared" si="1773"/>
        <v>#REF!</v>
      </c>
      <c r="FC448" s="23">
        <f t="shared" si="2061"/>
        <v>1.2</v>
      </c>
      <c r="FD448" s="23" t="e">
        <f t="shared" si="1774"/>
        <v>#REF!</v>
      </c>
      <c r="FE448" s="23">
        <f t="shared" si="1775"/>
        <v>1.4</v>
      </c>
      <c r="FF448" s="23">
        <f t="shared" si="1776"/>
        <v>1.6</v>
      </c>
      <c r="FG448" s="23">
        <f t="shared" si="1993"/>
        <v>0</v>
      </c>
      <c r="FH448" s="23"/>
      <c r="FR448" s="4">
        <f t="shared" si="1852"/>
        <v>1</v>
      </c>
      <c r="FS448" s="4">
        <f t="shared" si="1853"/>
        <v>0.43261334185606104</v>
      </c>
      <c r="FT448" s="4">
        <f t="shared" si="1854"/>
        <v>0.25149640360142855</v>
      </c>
      <c r="FU448" s="4">
        <f t="shared" si="1855"/>
        <v>668.51696838213854</v>
      </c>
    </row>
    <row r="449" spans="2:177" ht="12" customHeight="1" x14ac:dyDescent="0.3">
      <c r="B449" s="14"/>
      <c r="C449" s="7" t="s">
        <v>599</v>
      </c>
      <c r="D449" s="38">
        <f t="shared" ref="D449" si="2108">135/0.145</f>
        <v>931.0344827586207</v>
      </c>
      <c r="E449" s="38">
        <f>19.13*25.4</f>
        <v>485.90199999999993</v>
      </c>
      <c r="F449" s="38">
        <f>6320/145</f>
        <v>43.586206896551722</v>
      </c>
      <c r="G449" s="38">
        <f t="shared" si="2009"/>
        <v>35.813999999999993</v>
      </c>
      <c r="H449" s="38">
        <f>22.2*25.4</f>
        <v>563.88</v>
      </c>
      <c r="I449" s="38">
        <f>2.8*25.4</f>
        <v>71.11999999999999</v>
      </c>
      <c r="J449" s="39">
        <f>3.4*25.4</f>
        <v>86.36</v>
      </c>
      <c r="K449" s="7">
        <f t="shared" si="2077"/>
        <v>350.01200000000006</v>
      </c>
      <c r="L449" s="38">
        <v>2</v>
      </c>
      <c r="M449" s="4">
        <f t="shared" si="1843"/>
        <v>508</v>
      </c>
      <c r="N449" s="7">
        <f t="shared" si="1947"/>
        <v>2.4858156028368796</v>
      </c>
      <c r="O449" s="7">
        <f t="shared" si="1948"/>
        <v>2.4858156028368796</v>
      </c>
      <c r="P449" s="38">
        <v>5.5</v>
      </c>
      <c r="Q449" s="4">
        <f t="shared" si="2088"/>
        <v>5.5</v>
      </c>
      <c r="R449" s="4">
        <f t="shared" si="1949"/>
        <v>6.5</v>
      </c>
      <c r="S449" s="7">
        <f t="shared" si="1950"/>
        <v>91.308142429905971</v>
      </c>
      <c r="V449" s="38">
        <f t="shared" si="1777"/>
        <v>837.93103448275872</v>
      </c>
      <c r="W449" s="4">
        <v>121.5</v>
      </c>
      <c r="X449" s="4">
        <f t="shared" si="1951"/>
        <v>1.3127262358757383</v>
      </c>
      <c r="Y449" s="38">
        <f t="shared" si="2099"/>
        <v>12.7</v>
      </c>
      <c r="Z449" s="38">
        <v>12</v>
      </c>
      <c r="AA449" s="39">
        <f t="shared" si="2100"/>
        <v>101.6</v>
      </c>
      <c r="AB449" s="39">
        <v>2</v>
      </c>
      <c r="AC449" s="39">
        <f t="shared" si="2101"/>
        <v>1</v>
      </c>
      <c r="AD449" s="7"/>
      <c r="AE449" s="4">
        <f t="shared" si="1952"/>
        <v>485.90199999999993</v>
      </c>
      <c r="AF449" s="4">
        <f t="shared" si="1953"/>
        <v>0.38682697334030319</v>
      </c>
      <c r="AG449" s="4">
        <f t="shared" si="1954"/>
        <v>350.9716459559333</v>
      </c>
      <c r="AH449" s="4">
        <f t="shared" si="1955"/>
        <v>0.73664401463669626</v>
      </c>
      <c r="AI449" s="4">
        <v>1.25</v>
      </c>
      <c r="AJ449" s="4">
        <f t="shared" si="1878"/>
        <v>2.5</v>
      </c>
      <c r="AK449" s="38">
        <f t="shared" si="2081"/>
        <v>312.53342280198751</v>
      </c>
      <c r="AL449" s="38">
        <f t="shared" si="1986"/>
        <v>312.53342280198751</v>
      </c>
      <c r="AM449" s="38">
        <f t="shared" si="1956"/>
        <v>3.7155288579258352</v>
      </c>
      <c r="AN449" s="38">
        <f t="shared" si="1893"/>
        <v>312.53342280198746</v>
      </c>
      <c r="AO449" s="38">
        <f t="shared" si="1845"/>
        <v>1.0000000000000002</v>
      </c>
      <c r="AP449" s="38">
        <f t="shared" si="1894"/>
        <v>1.626046113927045</v>
      </c>
      <c r="AQ449" s="4">
        <f t="shared" si="1895"/>
        <v>0</v>
      </c>
      <c r="AR449" s="4" t="e">
        <f>#REF!/G449*F449^0.5/0.19</f>
        <v>#REF!</v>
      </c>
      <c r="AS449" s="4">
        <f t="shared" si="1957"/>
        <v>1</v>
      </c>
      <c r="AT449" s="38">
        <f t="shared" si="1958"/>
        <v>508.19375761948982</v>
      </c>
      <c r="AU449" s="4">
        <f t="shared" si="1959"/>
        <v>0.3</v>
      </c>
      <c r="AV449" s="4" t="e">
        <f>AU449*D449*#REF!/(D449*G449/2.75/F449^0.5)</f>
        <v>#REF!</v>
      </c>
      <c r="AW449" s="4" t="e">
        <f t="shared" si="1793"/>
        <v>#REF!</v>
      </c>
      <c r="AY449" s="4">
        <f t="shared" si="1960"/>
        <v>1.5</v>
      </c>
      <c r="AZ449" s="4" t="e">
        <f>(3*#REF!+30)*AY449*F449^0.5</f>
        <v>#REF!</v>
      </c>
      <c r="BB449" s="4">
        <f t="shared" si="1961"/>
        <v>487.41996160394592</v>
      </c>
      <c r="BC449" s="4">
        <f t="shared" si="2022"/>
        <v>0</v>
      </c>
      <c r="BD449" s="4">
        <f t="shared" si="1794"/>
        <v>0</v>
      </c>
      <c r="BL449" s="4">
        <f t="shared" si="1962"/>
        <v>71.11999999999999</v>
      </c>
      <c r="BP449" s="9"/>
      <c r="BR449" s="9"/>
      <c r="BS449" s="9"/>
      <c r="BT449" s="9">
        <f t="shared" si="1963"/>
        <v>71.11999999999999</v>
      </c>
      <c r="BU449" s="9">
        <f t="shared" si="1964"/>
        <v>175.00600000000003</v>
      </c>
      <c r="BV449" s="9">
        <f t="shared" si="1965"/>
        <v>1.6129787205235528</v>
      </c>
      <c r="BW449" s="40">
        <f t="shared" si="2089"/>
        <v>20</v>
      </c>
      <c r="BX449" s="9">
        <f t="shared" si="1966"/>
        <v>0.05</v>
      </c>
      <c r="BY449" s="9">
        <f t="shared" si="1795"/>
        <v>0.8</v>
      </c>
      <c r="BZ449" s="9">
        <f t="shared" si="1967"/>
        <v>0.89777220146327208</v>
      </c>
      <c r="CA449" s="9">
        <f t="shared" si="1968"/>
        <v>0.68</v>
      </c>
      <c r="CB449" s="9">
        <f t="shared" si="1969"/>
        <v>1.4106447240551518</v>
      </c>
      <c r="CC449" s="9">
        <f t="shared" si="1970"/>
        <v>3.4038557013639004</v>
      </c>
      <c r="CD449" s="40">
        <v>1</v>
      </c>
      <c r="CE449" s="9" t="e">
        <f>4*CC449*#REF!+60*CC449</f>
        <v>#REF!</v>
      </c>
      <c r="CG449" s="4" t="e">
        <f t="shared" si="1796"/>
        <v>#REF!</v>
      </c>
      <c r="CH449" s="4" t="e">
        <f t="shared" si="1797"/>
        <v>#REF!</v>
      </c>
      <c r="CI449" s="4" t="e">
        <f t="shared" si="1798"/>
        <v>#REF!</v>
      </c>
      <c r="CJ449" s="4" t="e">
        <f t="shared" si="1799"/>
        <v>#REF!</v>
      </c>
      <c r="CK449" s="4">
        <f t="shared" si="1800"/>
        <v>1.3127262358757383</v>
      </c>
      <c r="CL449" s="4">
        <f t="shared" si="1801"/>
        <v>1.3999644400429421</v>
      </c>
      <c r="CM449" s="4">
        <f t="shared" si="2060"/>
        <v>1.265578045451847</v>
      </c>
      <c r="CN449" s="4">
        <f t="shared" si="2090"/>
        <v>12</v>
      </c>
      <c r="CU449" s="4" t="e">
        <f t="shared" si="2102"/>
        <v>#REF!</v>
      </c>
      <c r="CV449" s="4" t="e">
        <f t="shared" si="2103"/>
        <v>#REF!</v>
      </c>
      <c r="CW449" s="4" t="e">
        <f t="shared" si="2104"/>
        <v>#REF!</v>
      </c>
      <c r="CX449" s="4">
        <f t="shared" si="2105"/>
        <v>1.265578045451847</v>
      </c>
      <c r="CY449" s="4">
        <f t="shared" si="2106"/>
        <v>1.3127262358757383</v>
      </c>
      <c r="CZ449" s="4">
        <f t="shared" si="2107"/>
        <v>1.3999644400429421</v>
      </c>
      <c r="DC449" s="4" t="e">
        <f>#REF!</f>
        <v>#REF!</v>
      </c>
      <c r="DF449" s="4">
        <f t="shared" si="1971"/>
        <v>2.656542766133525E-5</v>
      </c>
      <c r="DG449" s="4">
        <f t="shared" si="1802"/>
        <v>7.0823285286528881</v>
      </c>
      <c r="DH449" s="4">
        <f t="shared" si="1972"/>
        <v>0.46319203958661892</v>
      </c>
      <c r="DI449" s="4">
        <f t="shared" si="1803"/>
        <v>5.2057163841338339</v>
      </c>
      <c r="DJ449" s="4">
        <f t="shared" si="1804"/>
        <v>6.215420575543555</v>
      </c>
      <c r="DK449" s="4">
        <f t="shared" si="1973"/>
        <v>6.1247184421615026</v>
      </c>
      <c r="DL449" s="38">
        <f t="shared" si="1974"/>
        <v>638.31361907973371</v>
      </c>
      <c r="DM449" s="4" t="e">
        <f t="shared" si="1805"/>
        <v>#REF!</v>
      </c>
      <c r="DN449" s="4">
        <f t="shared" si="1975"/>
        <v>2.5495097567963922</v>
      </c>
      <c r="DO449" s="4">
        <f t="shared" si="2059"/>
        <v>312.53342280198746</v>
      </c>
      <c r="DS449" s="4">
        <f t="shared" si="1976"/>
        <v>0.85</v>
      </c>
      <c r="DT449" s="4">
        <f t="shared" si="1977"/>
        <v>0.90141843971631208</v>
      </c>
      <c r="DU449" s="4">
        <f t="shared" si="1978"/>
        <v>0.9995510789195714</v>
      </c>
      <c r="DV449" s="4">
        <f t="shared" si="1806"/>
        <v>0.90101377397643634</v>
      </c>
      <c r="DX449" s="4">
        <f t="shared" si="1979"/>
        <v>598.537370318532</v>
      </c>
      <c r="DY449" s="25">
        <f t="shared" si="1870"/>
        <v>310.27153041825591</v>
      </c>
      <c r="EA449" s="4">
        <f t="shared" si="1871"/>
        <v>0.76586170787997088</v>
      </c>
      <c r="EB449" s="4">
        <f t="shared" si="1980"/>
        <v>7.0823285286528881</v>
      </c>
      <c r="EE449" s="4">
        <f t="shared" si="1981"/>
        <v>91.308142429905971</v>
      </c>
      <c r="EF449" s="4">
        <f t="shared" si="1807"/>
        <v>2.5495097567963922</v>
      </c>
      <c r="EG449" s="4">
        <f t="shared" si="1982"/>
        <v>0.16721332793013166</v>
      </c>
      <c r="EJ449" s="4">
        <f t="shared" si="1808"/>
        <v>0.16721332793013166</v>
      </c>
      <c r="EK449" s="4">
        <f t="shared" si="1983"/>
        <v>0.4624190583998099</v>
      </c>
      <c r="EL449" s="4">
        <f t="shared" si="1809"/>
        <v>5.2022396946989016</v>
      </c>
      <c r="EM449" s="4">
        <f t="shared" si="1810"/>
        <v>6.2139662348721574</v>
      </c>
      <c r="EN449" s="4" t="e">
        <f t="shared" si="1811"/>
        <v>#REF!</v>
      </c>
      <c r="EO449" s="4" t="e">
        <f t="shared" si="1812"/>
        <v>#REF!</v>
      </c>
      <c r="EP449" s="4" t="e">
        <f t="shared" si="1984"/>
        <v>#REF!</v>
      </c>
      <c r="EQ449" s="4" t="e">
        <f t="shared" si="1813"/>
        <v>#REF!</v>
      </c>
      <c r="ER449" s="4" t="e">
        <f t="shared" si="1985"/>
        <v>#REF!</v>
      </c>
      <c r="FA449" s="23" t="e">
        <f t="shared" si="1772"/>
        <v>#REF!</v>
      </c>
      <c r="FB449" s="23" t="e">
        <f t="shared" si="1773"/>
        <v>#REF!</v>
      </c>
      <c r="FC449" s="23">
        <f t="shared" si="2061"/>
        <v>1.4</v>
      </c>
      <c r="FD449" s="23" t="e">
        <f t="shared" si="1774"/>
        <v>#REF!</v>
      </c>
      <c r="FE449" s="23">
        <f t="shared" si="1775"/>
        <v>1.4</v>
      </c>
      <c r="FF449" s="23">
        <f t="shared" si="1776"/>
        <v>1.4</v>
      </c>
      <c r="FG449" s="23">
        <f t="shared" si="1993"/>
        <v>0</v>
      </c>
      <c r="FH449" s="23"/>
      <c r="FR449" s="4">
        <f t="shared" si="1852"/>
        <v>1</v>
      </c>
      <c r="FS449" s="4">
        <f t="shared" si="1853"/>
        <v>0.44214730608235164</v>
      </c>
      <c r="FT449" s="4">
        <f t="shared" si="1854"/>
        <v>0.25149640360142855</v>
      </c>
      <c r="FU449" s="4">
        <f t="shared" si="1855"/>
        <v>662.09352911427425</v>
      </c>
    </row>
    <row r="450" spans="2:177" ht="12" customHeight="1" x14ac:dyDescent="0.3">
      <c r="B450" s="14"/>
      <c r="C450" s="48" t="s">
        <v>600</v>
      </c>
      <c r="D450" s="38">
        <f t="shared" ref="D450" si="2109">115.9/0.145</f>
        <v>799.31034482758628</v>
      </c>
      <c r="E450" s="38">
        <f>19.5*25.4</f>
        <v>495.29999999999995</v>
      </c>
      <c r="F450" s="38">
        <f>5430/145</f>
        <v>37.448275862068968</v>
      </c>
      <c r="G450" s="38">
        <f t="shared" si="2009"/>
        <v>35.813999999999993</v>
      </c>
      <c r="H450" s="38">
        <f>22*25.4</f>
        <v>558.79999999999995</v>
      </c>
      <c r="I450" s="38">
        <f>2.8*25.4</f>
        <v>71.11999999999999</v>
      </c>
      <c r="J450" s="39">
        <f>3.7*25.4</f>
        <v>93.98</v>
      </c>
      <c r="K450" s="7">
        <f t="shared" si="2077"/>
        <v>154.55899999999997</v>
      </c>
      <c r="L450" s="38">
        <v>3</v>
      </c>
      <c r="M450" s="4">
        <f t="shared" si="1843"/>
        <v>508</v>
      </c>
      <c r="N450" s="7">
        <f t="shared" si="1947"/>
        <v>2.4858156028368796</v>
      </c>
      <c r="O450" s="7">
        <f t="shared" si="1948"/>
        <v>2.4858156028368796</v>
      </c>
      <c r="P450" s="38">
        <v>4.5</v>
      </c>
      <c r="Q450" s="4">
        <f t="shared" si="2088"/>
        <v>4.5</v>
      </c>
      <c r="R450" s="4">
        <f t="shared" si="1949"/>
        <v>5.5</v>
      </c>
      <c r="S450" s="7">
        <f t="shared" si="1950"/>
        <v>83.991275011158137</v>
      </c>
      <c r="V450" s="38">
        <f t="shared" si="1777"/>
        <v>568.9655172413793</v>
      </c>
      <c r="W450" s="4">
        <v>82.5</v>
      </c>
      <c r="X450" s="4">
        <f t="shared" si="1951"/>
        <v>1.1515856076091984</v>
      </c>
      <c r="Y450" s="38"/>
      <c r="Z450" s="38"/>
      <c r="AA450" s="39">
        <v>1</v>
      </c>
      <c r="AB450" s="39"/>
      <c r="AC450" s="39"/>
      <c r="AD450" s="7"/>
      <c r="AE450" s="4">
        <f t="shared" si="1952"/>
        <v>495.29999999999995</v>
      </c>
      <c r="AF450" s="4">
        <f t="shared" si="1953"/>
        <v>0.37606837606837606</v>
      </c>
      <c r="AG450" s="4">
        <f t="shared" si="1954"/>
        <v>223.2038138298075</v>
      </c>
      <c r="AH450" s="4">
        <f t="shared" si="1955"/>
        <v>0.73594871794871786</v>
      </c>
      <c r="AI450" s="4">
        <v>1.25</v>
      </c>
      <c r="AJ450" s="4">
        <f t="shared" si="1878"/>
        <v>2.5</v>
      </c>
      <c r="AK450" s="38">
        <f t="shared" si="2081"/>
        <v>193.04830843188273</v>
      </c>
      <c r="AL450" s="38">
        <f t="shared" si="1986"/>
        <v>193.04830843188273</v>
      </c>
      <c r="AM450" s="38">
        <f t="shared" si="1956"/>
        <v>3.3579622250305636</v>
      </c>
      <c r="AN450" s="38">
        <f t="shared" si="1893"/>
        <v>193.0483084318827</v>
      </c>
      <c r="AO450" s="38">
        <f t="shared" si="1845"/>
        <v>1.0000000000000002</v>
      </c>
      <c r="AP450" s="38">
        <f t="shared" si="1894"/>
        <v>2.0458368128061357</v>
      </c>
      <c r="AQ450" s="4">
        <f t="shared" si="1895"/>
        <v>0</v>
      </c>
      <c r="AR450" s="4" t="e">
        <f>#REF!/G450*F450^0.5/0.19</f>
        <v>#REF!</v>
      </c>
      <c r="AS450" s="4">
        <f t="shared" si="1957"/>
        <v>1</v>
      </c>
      <c r="AT450" s="38">
        <f t="shared" si="1958"/>
        <v>394.94533603989879</v>
      </c>
      <c r="AU450" s="4">
        <f t="shared" si="1959"/>
        <v>0.37</v>
      </c>
      <c r="AV450" s="4" t="e">
        <f>AU450*D450*#REF!/(D450*G450/2.75/F450^0.5)</f>
        <v>#REF!</v>
      </c>
      <c r="AW450" s="4" t="e">
        <f t="shared" si="1793"/>
        <v>#REF!</v>
      </c>
      <c r="AY450" s="4">
        <f t="shared" si="1960"/>
        <v>1.2464539007092199</v>
      </c>
      <c r="AZ450" s="4" t="e">
        <f>(3*#REF!+30)*AY450*F450^0.5</f>
        <v>#REF!</v>
      </c>
      <c r="BB450" s="4">
        <f t="shared" si="1961"/>
        <v>378.80087592961462</v>
      </c>
      <c r="BC450" s="4">
        <f t="shared" si="2022"/>
        <v>0</v>
      </c>
      <c r="BD450" s="4">
        <f t="shared" si="1794"/>
        <v>0</v>
      </c>
      <c r="BL450" s="4">
        <f t="shared" si="1962"/>
        <v>71.11999999999999</v>
      </c>
      <c r="BP450" s="9"/>
      <c r="BR450" s="9"/>
      <c r="BS450" s="9"/>
      <c r="BT450" s="9">
        <f t="shared" si="1963"/>
        <v>71.11999999999999</v>
      </c>
      <c r="BU450" s="9">
        <f t="shared" si="1964"/>
        <v>77.279499999999985</v>
      </c>
      <c r="BV450" s="9">
        <f t="shared" si="1965"/>
        <v>1.4268566467933428</v>
      </c>
      <c r="BW450" s="40">
        <f t="shared" si="2089"/>
        <v>0</v>
      </c>
      <c r="BX450" s="9">
        <f t="shared" si="1966"/>
        <v>0</v>
      </c>
      <c r="BY450" s="9">
        <f t="shared" si="1795"/>
        <v>0</v>
      </c>
      <c r="BZ450" s="9">
        <f t="shared" si="1967"/>
        <v>0.89777220146327208</v>
      </c>
      <c r="CA450" s="9">
        <f t="shared" si="1968"/>
        <v>0.68048275862068963</v>
      </c>
      <c r="CB450" s="9">
        <f t="shared" si="1969"/>
        <v>1.3084804487373733</v>
      </c>
      <c r="CC450" s="9">
        <f t="shared" si="1970"/>
        <v>1.8670140254800569</v>
      </c>
      <c r="CD450" s="40">
        <v>1</v>
      </c>
      <c r="CE450" s="9" t="e">
        <f>4*CC450*#REF!+60*CC450</f>
        <v>#REF!</v>
      </c>
      <c r="CG450" s="4" t="e">
        <f t="shared" si="1796"/>
        <v>#REF!</v>
      </c>
      <c r="CH450" s="4" t="e">
        <f t="shared" si="1797"/>
        <v>#REF!</v>
      </c>
      <c r="CI450" s="4" t="e">
        <f t="shared" si="1798"/>
        <v>#REF!</v>
      </c>
      <c r="CJ450" s="4" t="e">
        <f t="shared" si="1799"/>
        <v>#REF!</v>
      </c>
      <c r="CK450" s="4">
        <f t="shared" si="1800"/>
        <v>1.1515856076091984</v>
      </c>
      <c r="CL450" s="4">
        <f t="shared" si="1801"/>
        <v>1.2264020383181997</v>
      </c>
      <c r="CM450" s="4">
        <f t="shared" si="2060"/>
        <v>1.4332360429327682</v>
      </c>
      <c r="CN450" s="4">
        <f t="shared" si="2090"/>
        <v>0</v>
      </c>
      <c r="CO450" s="4" t="e">
        <f t="shared" ref="CO450:CO451" si="2110">CG450</f>
        <v>#REF!</v>
      </c>
      <c r="CP450" s="4" t="e">
        <f t="shared" ref="CP450:CP451" si="2111">CH450</f>
        <v>#REF!</v>
      </c>
      <c r="CQ450" s="4" t="e">
        <f t="shared" ref="CQ450:CQ451" si="2112">CJ450</f>
        <v>#REF!</v>
      </c>
      <c r="CR450" s="4">
        <f t="shared" ref="CR450:CR451" si="2113">CM450</f>
        <v>1.4332360429327682</v>
      </c>
      <c r="CS450" s="4">
        <f t="shared" ref="CS450:CS451" si="2114">CK450</f>
        <v>1.1515856076091984</v>
      </c>
      <c r="CT450" s="4">
        <f t="shared" ref="CT450:CT451" si="2115">CL450</f>
        <v>1.2264020383181997</v>
      </c>
      <c r="DC450" s="4" t="e">
        <f>#REF!</f>
        <v>#REF!</v>
      </c>
      <c r="DF450" s="4">
        <f t="shared" si="1971"/>
        <v>2.6002832081299119E-5</v>
      </c>
      <c r="DG450" s="4">
        <f t="shared" si="1802"/>
        <v>6.5617916489182875</v>
      </c>
      <c r="DH450" s="4">
        <f t="shared" si="1972"/>
        <v>0.374388680963545</v>
      </c>
      <c r="DI450" s="4">
        <f t="shared" si="1803"/>
        <v>4.4294675101243914</v>
      </c>
      <c r="DJ450" s="4">
        <f t="shared" si="1804"/>
        <v>5.5984659680939437</v>
      </c>
      <c r="DK450" s="4">
        <f t="shared" si="1973"/>
        <v>5.7638264156492829</v>
      </c>
      <c r="DL450" s="38">
        <f t="shared" si="1974"/>
        <v>494.07140336062901</v>
      </c>
      <c r="DM450" s="4" t="e">
        <f t="shared" si="1805"/>
        <v>#REF!</v>
      </c>
      <c r="DN450" s="4">
        <f t="shared" si="1975"/>
        <v>2.3452078799117149</v>
      </c>
      <c r="DO450" s="4">
        <f t="shared" si="2059"/>
        <v>193.0483084318827</v>
      </c>
      <c r="DS450" s="4">
        <f t="shared" si="1976"/>
        <v>0.85</v>
      </c>
      <c r="DT450" s="4">
        <f t="shared" si="1977"/>
        <v>0.90141843971631208</v>
      </c>
      <c r="DU450" s="4">
        <f t="shared" si="1978"/>
        <v>1</v>
      </c>
      <c r="DV450" s="4">
        <f t="shared" si="1806"/>
        <v>0.90141843971631208</v>
      </c>
      <c r="DX450" s="4">
        <f t="shared" si="1979"/>
        <v>463.93066829994672</v>
      </c>
      <c r="DY450" s="25">
        <f t="shared" si="1870"/>
        <v>191.6861211639752</v>
      </c>
      <c r="EA450" s="4">
        <f t="shared" si="1871"/>
        <v>0.76620567375886528</v>
      </c>
      <c r="EB450" s="4">
        <f t="shared" si="1980"/>
        <v>6.5617916489182875</v>
      </c>
      <c r="EE450" s="4">
        <f t="shared" si="1981"/>
        <v>83.991275011158137</v>
      </c>
      <c r="EF450" s="4">
        <f t="shared" si="1807"/>
        <v>2.3452078799117149</v>
      </c>
      <c r="EG450" s="4">
        <f t="shared" si="1982"/>
        <v>0.12527773394151523</v>
      </c>
      <c r="EJ450" s="4">
        <f t="shared" si="1808"/>
        <v>0.12527773394151523</v>
      </c>
      <c r="EK450" s="4">
        <f t="shared" si="1983"/>
        <v>0.37376389603158156</v>
      </c>
      <c r="EL450" s="4">
        <f t="shared" si="1809"/>
        <v>4.4265092462163222</v>
      </c>
      <c r="EM450" s="4">
        <f t="shared" si="1810"/>
        <v>5.5972982030890188</v>
      </c>
      <c r="EN450" s="4" t="e">
        <f t="shared" si="1811"/>
        <v>#REF!</v>
      </c>
      <c r="EO450" s="4" t="e">
        <f t="shared" si="1812"/>
        <v>#REF!</v>
      </c>
      <c r="EP450" s="4" t="e">
        <f t="shared" si="1984"/>
        <v>#REF!</v>
      </c>
      <c r="EQ450" s="4" t="e">
        <f t="shared" si="1813"/>
        <v>#REF!</v>
      </c>
      <c r="ER450" s="4" t="e">
        <f t="shared" si="1985"/>
        <v>#REF!</v>
      </c>
      <c r="EU450" s="4">
        <f>6.75*25.4</f>
        <v>171.45</v>
      </c>
      <c r="FA450" s="23" t="e">
        <f t="shared" si="1772"/>
        <v>#REF!</v>
      </c>
      <c r="FB450" s="23" t="e">
        <f t="shared" si="1773"/>
        <v>#REF!</v>
      </c>
      <c r="FC450" s="23">
        <f t="shared" si="2061"/>
        <v>1.6</v>
      </c>
      <c r="FD450" s="23" t="e">
        <f t="shared" si="1774"/>
        <v>#REF!</v>
      </c>
      <c r="FE450" s="23">
        <f t="shared" si="1775"/>
        <v>1.2</v>
      </c>
      <c r="FF450" s="23">
        <f t="shared" si="1776"/>
        <v>1.4</v>
      </c>
      <c r="FG450" s="23">
        <f t="shared" si="1993"/>
        <v>0</v>
      </c>
      <c r="FH450" s="23"/>
      <c r="FR450" s="4">
        <f t="shared" si="1852"/>
        <v>1</v>
      </c>
      <c r="FS450" s="4">
        <f t="shared" si="1853"/>
        <v>0.72369976359338062</v>
      </c>
      <c r="FT450" s="4">
        <f t="shared" si="1854"/>
        <v>0</v>
      </c>
      <c r="FU450" s="4">
        <f t="shared" si="1855"/>
        <v>396.9796322433603</v>
      </c>
    </row>
    <row r="451" spans="2:177" ht="12" customHeight="1" x14ac:dyDescent="0.3">
      <c r="B451" s="14"/>
      <c r="C451" s="7" t="s">
        <v>601</v>
      </c>
      <c r="D451" s="38">
        <f t="shared" ref="D451" si="2116">135/0.145</f>
        <v>931.0344827586207</v>
      </c>
      <c r="E451" s="38">
        <f>19.29*25.4</f>
        <v>489.96599999999995</v>
      </c>
      <c r="F451" s="38">
        <f>6320/145</f>
        <v>43.586206896551722</v>
      </c>
      <c r="G451" s="38">
        <f t="shared" si="2009"/>
        <v>35.813999999999993</v>
      </c>
      <c r="H451" s="38">
        <f>21.9*25.4</f>
        <v>556.25999999999988</v>
      </c>
      <c r="I451" s="38">
        <f t="shared" ref="I451" si="2117">2.8*25.4</f>
        <v>71.11999999999999</v>
      </c>
      <c r="J451" s="39">
        <f>3.45*25.4</f>
        <v>87.63</v>
      </c>
      <c r="K451" s="7">
        <f t="shared" si="2077"/>
        <v>153.28899999999993</v>
      </c>
      <c r="L451" s="38">
        <v>3</v>
      </c>
      <c r="M451" s="4">
        <f t="shared" si="1843"/>
        <v>508</v>
      </c>
      <c r="N451" s="7">
        <f t="shared" si="1947"/>
        <v>2.4858156028368796</v>
      </c>
      <c r="O451" s="7">
        <f t="shared" si="1948"/>
        <v>2.4858156028368796</v>
      </c>
      <c r="P451" s="38">
        <v>5.5</v>
      </c>
      <c r="Q451" s="4">
        <f t="shared" si="2088"/>
        <v>5.5</v>
      </c>
      <c r="R451" s="4">
        <f t="shared" si="1949"/>
        <v>6.5</v>
      </c>
      <c r="S451" s="7">
        <f t="shared" si="1950"/>
        <v>91.308142429905971</v>
      </c>
      <c r="V451" s="38">
        <f t="shared" si="1777"/>
        <v>607.58620689655174</v>
      </c>
      <c r="W451" s="4">
        <v>88.1</v>
      </c>
      <c r="X451" s="4">
        <f t="shared" si="1951"/>
        <v>1.1740740153975369</v>
      </c>
      <c r="Y451" s="38"/>
      <c r="Z451" s="38"/>
      <c r="AA451" s="39">
        <v>1</v>
      </c>
      <c r="AB451" s="39"/>
      <c r="AC451" s="39"/>
      <c r="AD451" s="7"/>
      <c r="AE451" s="4">
        <f t="shared" si="1952"/>
        <v>489.96599999999995</v>
      </c>
      <c r="AF451" s="4">
        <f t="shared" si="1953"/>
        <v>0.37843442198030064</v>
      </c>
      <c r="AG451" s="4">
        <f t="shared" si="1954"/>
        <v>236.92269264234707</v>
      </c>
      <c r="AH451" s="4">
        <f t="shared" si="1955"/>
        <v>0.73634007257646439</v>
      </c>
      <c r="AI451" s="4">
        <v>1.25</v>
      </c>
      <c r="AJ451" s="4">
        <f t="shared" si="1878"/>
        <v>2.5</v>
      </c>
      <c r="AK451" s="38">
        <f t="shared" si="2081"/>
        <v>206.31259893006796</v>
      </c>
      <c r="AL451" s="38">
        <f t="shared" si="1986"/>
        <v>206.31259893006796</v>
      </c>
      <c r="AM451" s="38">
        <f t="shared" si="1956"/>
        <v>3.7155288579258352</v>
      </c>
      <c r="AN451" s="38">
        <f t="shared" si="1893"/>
        <v>206.31259893006799</v>
      </c>
      <c r="AO451" s="38">
        <f t="shared" si="1845"/>
        <v>0.99999999999999989</v>
      </c>
      <c r="AP451" s="38">
        <f t="shared" si="1894"/>
        <v>2.4632221214553547</v>
      </c>
      <c r="AQ451" s="4">
        <f t="shared" si="1895"/>
        <v>0</v>
      </c>
      <c r="AR451" s="4" t="e">
        <f>#REF!/G451*F451^0.5/0.19</f>
        <v>#REF!</v>
      </c>
      <c r="AS451" s="4">
        <f t="shared" si="1957"/>
        <v>1</v>
      </c>
      <c r="AT451" s="38">
        <f t="shared" si="1958"/>
        <v>508.19375761948982</v>
      </c>
      <c r="AU451" s="4">
        <f t="shared" si="1959"/>
        <v>0.3</v>
      </c>
      <c r="AV451" s="4" t="e">
        <f>AU451*D451*#REF!/(D451*G451/2.75/F451^0.5)</f>
        <v>#REF!</v>
      </c>
      <c r="AW451" s="4" t="e">
        <f t="shared" si="1793"/>
        <v>#REF!</v>
      </c>
      <c r="AY451" s="4">
        <f t="shared" si="1960"/>
        <v>1.2464539007092199</v>
      </c>
      <c r="AZ451" s="4" t="e">
        <f>(3*#REF!+30)*AY451*F451^0.5</f>
        <v>#REF!</v>
      </c>
      <c r="BB451" s="4">
        <f t="shared" si="1961"/>
        <v>487.41996160394592</v>
      </c>
      <c r="BC451" s="4">
        <f t="shared" si="2022"/>
        <v>0</v>
      </c>
      <c r="BD451" s="4">
        <f t="shared" si="1794"/>
        <v>0</v>
      </c>
      <c r="BL451" s="4">
        <f t="shared" si="1962"/>
        <v>71.11999999999999</v>
      </c>
      <c r="BP451" s="9"/>
      <c r="BR451" s="9"/>
      <c r="BS451" s="9"/>
      <c r="BT451" s="9">
        <f t="shared" si="1963"/>
        <v>71.11999999999999</v>
      </c>
      <c r="BU451" s="9">
        <f t="shared" si="1964"/>
        <v>76.644499999999965</v>
      </c>
      <c r="BV451" s="9">
        <f t="shared" si="1965"/>
        <v>1.4250918174124854</v>
      </c>
      <c r="BW451" s="40">
        <f t="shared" si="2089"/>
        <v>0</v>
      </c>
      <c r="BX451" s="9">
        <f t="shared" si="1966"/>
        <v>0</v>
      </c>
      <c r="BY451" s="9">
        <f t="shared" si="1795"/>
        <v>0</v>
      </c>
      <c r="BZ451" s="9">
        <f t="shared" si="1967"/>
        <v>0.89777220146327208</v>
      </c>
      <c r="CA451" s="9">
        <f t="shared" si="1968"/>
        <v>0.68</v>
      </c>
      <c r="CB451" s="9">
        <f t="shared" si="1969"/>
        <v>1.4106447240551518</v>
      </c>
      <c r="CC451" s="9">
        <f t="shared" si="1970"/>
        <v>2.0102982535270901</v>
      </c>
      <c r="CD451" s="40">
        <v>1</v>
      </c>
      <c r="CE451" s="9" t="e">
        <f>4*CC451*#REF!+60*CC451</f>
        <v>#REF!</v>
      </c>
      <c r="CG451" s="4" t="e">
        <f t="shared" si="1796"/>
        <v>#REF!</v>
      </c>
      <c r="CH451" s="4" t="e">
        <f t="shared" si="1797"/>
        <v>#REF!</v>
      </c>
      <c r="CI451" s="4" t="e">
        <f t="shared" si="1798"/>
        <v>#REF!</v>
      </c>
      <c r="CJ451" s="4" t="e">
        <f t="shared" si="1799"/>
        <v>#REF!</v>
      </c>
      <c r="CK451" s="4">
        <f t="shared" si="1800"/>
        <v>1.1740740153975369</v>
      </c>
      <c r="CL451" s="4">
        <f t="shared" si="1801"/>
        <v>1.2265000402860071</v>
      </c>
      <c r="CM451" s="4">
        <f t="shared" si="2060"/>
        <v>1.495658681836104</v>
      </c>
      <c r="CN451" s="4">
        <f t="shared" si="2090"/>
        <v>0</v>
      </c>
      <c r="CO451" s="4" t="e">
        <f t="shared" si="2110"/>
        <v>#REF!</v>
      </c>
      <c r="CP451" s="4" t="e">
        <f t="shared" si="2111"/>
        <v>#REF!</v>
      </c>
      <c r="CQ451" s="4" t="e">
        <f t="shared" si="2112"/>
        <v>#REF!</v>
      </c>
      <c r="CR451" s="4">
        <f t="shared" si="2113"/>
        <v>1.495658681836104</v>
      </c>
      <c r="CS451" s="4">
        <f t="shared" si="2114"/>
        <v>1.1740740153975369</v>
      </c>
      <c r="CT451" s="4">
        <f t="shared" si="2115"/>
        <v>1.2265000402860071</v>
      </c>
      <c r="DC451" s="4" t="e">
        <f>#REF!</f>
        <v>#REF!</v>
      </c>
      <c r="DF451" s="4">
        <f t="shared" si="1971"/>
        <v>2.6787616287880659E-5</v>
      </c>
      <c r="DG451" s="4">
        <f t="shared" si="1802"/>
        <v>7.0791491220778546</v>
      </c>
      <c r="DH451" s="4">
        <f t="shared" si="1972"/>
        <v>0.30576682850134701</v>
      </c>
      <c r="DI451" s="4">
        <f t="shared" si="1803"/>
        <v>4.4069407164747778</v>
      </c>
      <c r="DJ451" s="4">
        <f t="shared" si="1804"/>
        <v>5.8972084710745278</v>
      </c>
      <c r="DK451" s="4">
        <f t="shared" si="1973"/>
        <v>6.1656391419605026</v>
      </c>
      <c r="DL451" s="38">
        <f t="shared" si="1974"/>
        <v>517.50247337756252</v>
      </c>
      <c r="DM451" s="4" t="e">
        <f t="shared" si="1805"/>
        <v>#REF!</v>
      </c>
      <c r="DN451" s="4">
        <f t="shared" si="1975"/>
        <v>2.5495097567963922</v>
      </c>
      <c r="DO451" s="4">
        <f t="shared" si="2059"/>
        <v>206.31259893006799</v>
      </c>
      <c r="DS451" s="4">
        <f t="shared" si="1976"/>
        <v>0.85</v>
      </c>
      <c r="DT451" s="4">
        <f t="shared" si="1977"/>
        <v>0.90141843971631208</v>
      </c>
      <c r="DU451" s="4">
        <f t="shared" si="1978"/>
        <v>1</v>
      </c>
      <c r="DV451" s="4">
        <f t="shared" si="1806"/>
        <v>0.90141843971631208</v>
      </c>
      <c r="DX451" s="4">
        <f t="shared" si="1979"/>
        <v>495.38213366456063</v>
      </c>
      <c r="DY451" s="25">
        <f t="shared" si="1870"/>
        <v>204.83577927119507</v>
      </c>
      <c r="EA451" s="4">
        <f t="shared" si="1871"/>
        <v>0.76620567375886528</v>
      </c>
      <c r="EB451" s="4">
        <f t="shared" si="1980"/>
        <v>7.0791491220778546</v>
      </c>
      <c r="EE451" s="4">
        <f t="shared" si="1981"/>
        <v>91.308142429905971</v>
      </c>
      <c r="EF451" s="4">
        <f t="shared" si="1807"/>
        <v>2.5495097567963922</v>
      </c>
      <c r="EG451" s="4">
        <f t="shared" si="1982"/>
        <v>0.11038248630089174</v>
      </c>
      <c r="EJ451" s="4">
        <f t="shared" si="1808"/>
        <v>0.11038248630089174</v>
      </c>
      <c r="EK451" s="4">
        <f t="shared" si="1983"/>
        <v>0.30525656065176843</v>
      </c>
      <c r="EL451" s="4">
        <f t="shared" si="1809"/>
        <v>4.4039974973097769</v>
      </c>
      <c r="EM451" s="4">
        <f t="shared" si="1810"/>
        <v>5.8961128342265017</v>
      </c>
      <c r="EN451" s="4" t="e">
        <f t="shared" si="1811"/>
        <v>#REF!</v>
      </c>
      <c r="EO451" s="4" t="e">
        <f t="shared" si="1812"/>
        <v>#REF!</v>
      </c>
      <c r="EP451" s="4" t="e">
        <f t="shared" si="1984"/>
        <v>#REF!</v>
      </c>
      <c r="EQ451" s="4" t="e">
        <f t="shared" si="1813"/>
        <v>#REF!</v>
      </c>
      <c r="ER451" s="4" t="e">
        <f t="shared" si="1985"/>
        <v>#REF!</v>
      </c>
      <c r="FA451" s="23" t="e">
        <f t="shared" si="1772"/>
        <v>#REF!</v>
      </c>
      <c r="FB451" s="23" t="e">
        <f t="shared" si="1773"/>
        <v>#REF!</v>
      </c>
      <c r="FC451" s="23">
        <f t="shared" si="2061"/>
        <v>1.6</v>
      </c>
      <c r="FD451" s="23" t="e">
        <f t="shared" si="1774"/>
        <v>#REF!</v>
      </c>
      <c r="FE451" s="23">
        <f t="shared" si="1775"/>
        <v>1.2</v>
      </c>
      <c r="FF451" s="23">
        <f t="shared" si="1776"/>
        <v>1.4</v>
      </c>
      <c r="FG451" s="23">
        <f t="shared" si="1993"/>
        <v>0</v>
      </c>
      <c r="FH451" s="23"/>
      <c r="FR451" s="4">
        <f t="shared" si="1852"/>
        <v>1</v>
      </c>
      <c r="FS451" s="4">
        <f t="shared" si="1853"/>
        <v>0.72665484633569744</v>
      </c>
      <c r="FT451" s="4">
        <f t="shared" si="1854"/>
        <v>0</v>
      </c>
      <c r="FU451" s="4">
        <f t="shared" si="1855"/>
        <v>406.23319630028516</v>
      </c>
    </row>
    <row r="452" spans="2:177" ht="12" customHeight="1" x14ac:dyDescent="0.3">
      <c r="B452" s="14"/>
      <c r="C452" s="48" t="s">
        <v>602</v>
      </c>
      <c r="D452" s="38">
        <f t="shared" ref="D452" si="2118">115.9/0.145</f>
        <v>799.31034482758628</v>
      </c>
      <c r="E452" s="38">
        <f>19.38*25.4</f>
        <v>492.25199999999995</v>
      </c>
      <c r="F452" s="38">
        <f>5430/145</f>
        <v>37.448275862068968</v>
      </c>
      <c r="G452" s="38">
        <f t="shared" si="2009"/>
        <v>35.813999999999993</v>
      </c>
      <c r="H452" s="38">
        <f>21.8*25.4</f>
        <v>553.72</v>
      </c>
      <c r="I452" s="38">
        <f>2.55*25.4</f>
        <v>64.77</v>
      </c>
      <c r="J452" s="39">
        <f>3.8*25.4</f>
        <v>96.52</v>
      </c>
      <c r="K452" s="7">
        <f t="shared" si="2077"/>
        <v>158.36900000000003</v>
      </c>
      <c r="L452" s="38">
        <v>3</v>
      </c>
      <c r="M452" s="4">
        <f t="shared" si="1843"/>
        <v>508</v>
      </c>
      <c r="N452" s="7">
        <f t="shared" si="1947"/>
        <v>2.3085106382978724</v>
      </c>
      <c r="O452" s="7">
        <f t="shared" si="1948"/>
        <v>2.3085106382978724</v>
      </c>
      <c r="P452" s="38">
        <v>4.5</v>
      </c>
      <c r="Q452" s="4">
        <f t="shared" si="2088"/>
        <v>4.5</v>
      </c>
      <c r="R452" s="4">
        <f t="shared" si="1949"/>
        <v>5.5</v>
      </c>
      <c r="S452" s="7">
        <f t="shared" si="1950"/>
        <v>83.991275011158137</v>
      </c>
      <c r="V452" s="38">
        <f t="shared" si="1777"/>
        <v>626.20689655172418</v>
      </c>
      <c r="W452" s="4">
        <v>90.8</v>
      </c>
      <c r="X452" s="4">
        <f t="shared" si="1951"/>
        <v>1.2956263023911716</v>
      </c>
      <c r="Y452" s="38">
        <f t="shared" ref="Y452:Y453" si="2119">0.5*25.4</f>
        <v>12.7</v>
      </c>
      <c r="Z452" s="38">
        <v>12</v>
      </c>
      <c r="AA452" s="39">
        <f t="shared" ref="AA452:AA453" si="2120">4*25.4</f>
        <v>101.6</v>
      </c>
      <c r="AB452" s="39">
        <v>2</v>
      </c>
      <c r="AC452" s="39">
        <f t="shared" ref="AC452:AC453" si="2121">AB452-1</f>
        <v>1</v>
      </c>
      <c r="AE452" s="4">
        <f t="shared" si="1952"/>
        <v>492.25199999999995</v>
      </c>
      <c r="AF452" s="4">
        <f t="shared" si="1953"/>
        <v>0.37495700034399726</v>
      </c>
      <c r="AG452" s="4">
        <f t="shared" si="1954"/>
        <v>221.14664394977936</v>
      </c>
      <c r="AH452" s="4">
        <f t="shared" si="1955"/>
        <v>0.73359133126934983</v>
      </c>
      <c r="AI452" s="4">
        <v>1.25</v>
      </c>
      <c r="AJ452" s="4">
        <f t="shared" si="1878"/>
        <v>2.5</v>
      </c>
      <c r="AK452" s="38">
        <f t="shared" si="2081"/>
        <v>190.09295926378746</v>
      </c>
      <c r="AL452" s="38">
        <f t="shared" si="1986"/>
        <v>190.09295926378746</v>
      </c>
      <c r="AM452" s="38">
        <f t="shared" si="1956"/>
        <v>3.3579622250305636</v>
      </c>
      <c r="AN452" s="38">
        <f t="shared" si="1893"/>
        <v>190.09295926378758</v>
      </c>
      <c r="AO452" s="38">
        <f t="shared" si="1845"/>
        <v>0.99999999999999944</v>
      </c>
      <c r="AP452" s="38">
        <f t="shared" si="1894"/>
        <v>1.9294517764839594</v>
      </c>
      <c r="AQ452" s="4">
        <f t="shared" si="1895"/>
        <v>0</v>
      </c>
      <c r="AR452" s="4" t="e">
        <f>#REF!/G452*F452^0.5/0.19</f>
        <v>#REF!</v>
      </c>
      <c r="AS452" s="4">
        <f t="shared" si="1957"/>
        <v>1</v>
      </c>
      <c r="AT452" s="38">
        <f t="shared" si="1958"/>
        <v>366.77519794860785</v>
      </c>
      <c r="AU452" s="4">
        <f t="shared" si="1959"/>
        <v>0.37</v>
      </c>
      <c r="AV452" s="4" t="e">
        <f>AU452*D452*#REF!/(D452*G452/2.75/F452^0.5)</f>
        <v>#REF!</v>
      </c>
      <c r="AW452" s="4" t="e">
        <f t="shared" si="1793"/>
        <v>#REF!</v>
      </c>
      <c r="AY452" s="4">
        <f t="shared" si="1960"/>
        <v>1.5</v>
      </c>
      <c r="AZ452" s="4" t="e">
        <f>(3*#REF!+30)*AY452*F452^0.5</f>
        <v>#REF!</v>
      </c>
      <c r="BB452" s="4">
        <f t="shared" si="1961"/>
        <v>351.78226851666062</v>
      </c>
      <c r="BC452" s="4">
        <f t="shared" si="2022"/>
        <v>0</v>
      </c>
      <c r="BD452" s="4">
        <f t="shared" si="1794"/>
        <v>0</v>
      </c>
      <c r="BL452" s="4">
        <f t="shared" si="1962"/>
        <v>64.77</v>
      </c>
      <c r="BP452" s="9"/>
      <c r="BR452" s="9"/>
      <c r="BS452" s="9"/>
      <c r="BT452" s="9">
        <f t="shared" si="1963"/>
        <v>64.77</v>
      </c>
      <c r="BU452" s="9">
        <f t="shared" si="1964"/>
        <v>79.184500000000014</v>
      </c>
      <c r="BV452" s="9">
        <f t="shared" si="1965"/>
        <v>1.3859592972879591</v>
      </c>
      <c r="BW452" s="40">
        <f t="shared" si="2089"/>
        <v>20</v>
      </c>
      <c r="BX452" s="9">
        <f t="shared" si="1966"/>
        <v>0.05</v>
      </c>
      <c r="BY452" s="9">
        <f t="shared" si="1795"/>
        <v>0.8</v>
      </c>
      <c r="BZ452" s="9">
        <f t="shared" si="1967"/>
        <v>0.89777220146327208</v>
      </c>
      <c r="CA452" s="9">
        <f t="shared" si="1968"/>
        <v>0.68048275862068963</v>
      </c>
      <c r="CB452" s="9">
        <f t="shared" si="1969"/>
        <v>1.3084804487373733</v>
      </c>
      <c r="CC452" s="9">
        <f t="shared" si="1970"/>
        <v>2.8602850022369819</v>
      </c>
      <c r="CD452" s="40">
        <v>1</v>
      </c>
      <c r="CE452" s="9" t="e">
        <f>4*CC452*#REF!+60*CC452</f>
        <v>#REF!</v>
      </c>
      <c r="CG452" s="4" t="e">
        <f t="shared" si="1796"/>
        <v>#REF!</v>
      </c>
      <c r="CH452" s="4" t="e">
        <f t="shared" si="1797"/>
        <v>#REF!</v>
      </c>
      <c r="CI452" s="4" t="e">
        <f t="shared" si="1798"/>
        <v>#REF!</v>
      </c>
      <c r="CJ452" s="4" t="e">
        <f t="shared" si="1799"/>
        <v>#REF!</v>
      </c>
      <c r="CK452" s="4">
        <f t="shared" si="1800"/>
        <v>1.2956263023911716</v>
      </c>
      <c r="CL452" s="4">
        <f t="shared" si="1801"/>
        <v>1.3786937883911297</v>
      </c>
      <c r="CM452" s="4">
        <f t="shared" si="2060"/>
        <v>1.255358081169357</v>
      </c>
      <c r="CN452" s="4">
        <f t="shared" si="2090"/>
        <v>12</v>
      </c>
      <c r="CU452" s="4" t="e">
        <f t="shared" ref="CU452:CU453" si="2122">CG452</f>
        <v>#REF!</v>
      </c>
      <c r="CV452" s="4" t="e">
        <f t="shared" ref="CV452:CV453" si="2123">CH452</f>
        <v>#REF!</v>
      </c>
      <c r="CW452" s="4" t="e">
        <f t="shared" ref="CW452:CW453" si="2124">CJ452</f>
        <v>#REF!</v>
      </c>
      <c r="CX452" s="4">
        <f t="shared" ref="CX452:CX453" si="2125">CM452</f>
        <v>1.255358081169357</v>
      </c>
      <c r="CY452" s="4">
        <f t="shared" ref="CY452:CY453" si="2126">CK452</f>
        <v>1.2956263023911716</v>
      </c>
      <c r="CZ452" s="4">
        <f t="shared" ref="CZ452:CZ453" si="2127">CL452</f>
        <v>1.3786937883911297</v>
      </c>
      <c r="DC452" s="4" t="e">
        <f>#REF!</f>
        <v>#REF!</v>
      </c>
      <c r="DF452" s="4">
        <f t="shared" si="1971"/>
        <v>2.584281465310651E-5</v>
      </c>
      <c r="DG452" s="4">
        <f t="shared" si="1802"/>
        <v>6.438104078551774</v>
      </c>
      <c r="DH452" s="4">
        <f t="shared" si="1972"/>
        <v>0.3686572177571722</v>
      </c>
      <c r="DI452" s="4">
        <f t="shared" si="1803"/>
        <v>4.3192375459773444</v>
      </c>
      <c r="DJ452" s="4">
        <f t="shared" si="1804"/>
        <v>5.4824032186546567</v>
      </c>
      <c r="DK452" s="4">
        <f t="shared" si="1973"/>
        <v>5.6807832669566087</v>
      </c>
      <c r="DL452" s="38">
        <f t="shared" si="1974"/>
        <v>483.32369865910744</v>
      </c>
      <c r="DM452" s="4" t="e">
        <f t="shared" si="1805"/>
        <v>#REF!</v>
      </c>
      <c r="DN452" s="4">
        <f t="shared" si="1975"/>
        <v>2.3452078799117149</v>
      </c>
      <c r="DO452" s="4">
        <f t="shared" si="2059"/>
        <v>190.09295926378758</v>
      </c>
      <c r="DS452" s="4">
        <f t="shared" si="1976"/>
        <v>0.85</v>
      </c>
      <c r="DT452" s="4">
        <f t="shared" si="1977"/>
        <v>0.91914893617021276</v>
      </c>
      <c r="DU452" s="4">
        <f t="shared" si="1978"/>
        <v>0.9995510789195714</v>
      </c>
      <c r="DV452" s="4">
        <f t="shared" si="1806"/>
        <v>0.91873631083671248</v>
      </c>
      <c r="DX452" s="4">
        <f t="shared" si="1979"/>
        <v>454.20303030630026</v>
      </c>
      <c r="DY452" s="25">
        <f t="shared" si="1870"/>
        <v>188.73397276942069</v>
      </c>
      <c r="EA452" s="4">
        <f t="shared" si="1871"/>
        <v>0.78092586421120558</v>
      </c>
      <c r="EB452" s="4">
        <f t="shared" si="1980"/>
        <v>6.438104078551774</v>
      </c>
      <c r="EE452" s="4">
        <f t="shared" si="1981"/>
        <v>83.991275011158137</v>
      </c>
      <c r="EF452" s="4">
        <f t="shared" si="1807"/>
        <v>2.3452078799117149</v>
      </c>
      <c r="EG452" s="4">
        <f t="shared" si="1982"/>
        <v>0.12335987488441015</v>
      </c>
      <c r="EJ452" s="4">
        <f t="shared" si="1808"/>
        <v>0.12335987488441015</v>
      </c>
      <c r="EK452" s="4">
        <f t="shared" si="1983"/>
        <v>0.36804199756910061</v>
      </c>
      <c r="EL452" s="4">
        <f t="shared" si="1809"/>
        <v>4.3163529002465797</v>
      </c>
      <c r="EM452" s="4">
        <f t="shared" si="1810"/>
        <v>5.4812694562858182</v>
      </c>
      <c r="EN452" s="4" t="e">
        <f t="shared" si="1811"/>
        <v>#REF!</v>
      </c>
      <c r="EO452" s="4" t="e">
        <f t="shared" si="1812"/>
        <v>#REF!</v>
      </c>
      <c r="EP452" s="4" t="e">
        <f t="shared" si="1984"/>
        <v>#REF!</v>
      </c>
      <c r="EQ452" s="4" t="e">
        <f t="shared" si="1813"/>
        <v>#REF!</v>
      </c>
      <c r="ER452" s="4" t="e">
        <f t="shared" si="1985"/>
        <v>#REF!</v>
      </c>
      <c r="EU452" s="4">
        <f>6.75*25.4</f>
        <v>171.45</v>
      </c>
      <c r="FA452" s="23" t="e">
        <f t="shared" si="1772"/>
        <v>#REF!</v>
      </c>
      <c r="FB452" s="23" t="e">
        <f t="shared" si="1773"/>
        <v>#REF!</v>
      </c>
      <c r="FC452" s="23">
        <f t="shared" si="2061"/>
        <v>1.4</v>
      </c>
      <c r="FD452" s="23" t="e">
        <f t="shared" si="1774"/>
        <v>#REF!</v>
      </c>
      <c r="FE452" s="23">
        <f t="shared" si="1775"/>
        <v>1.4</v>
      </c>
      <c r="FF452" s="23">
        <f t="shared" si="1776"/>
        <v>1.4</v>
      </c>
      <c r="FG452" s="23">
        <f t="shared" si="1993"/>
        <v>0</v>
      </c>
      <c r="FH452" s="23"/>
      <c r="FR452" s="4">
        <f t="shared" si="1852"/>
        <v>1</v>
      </c>
      <c r="FS452" s="4">
        <f t="shared" si="1853"/>
        <v>0.57239468642161906</v>
      </c>
      <c r="FT452" s="4">
        <f t="shared" si="1854"/>
        <v>0.16766426906761905</v>
      </c>
      <c r="FU452" s="4">
        <f t="shared" si="1855"/>
        <v>498.82731146193521</v>
      </c>
    </row>
    <row r="453" spans="2:177" ht="12" customHeight="1" x14ac:dyDescent="0.3">
      <c r="B453" s="14"/>
      <c r="C453" s="7" t="s">
        <v>609</v>
      </c>
      <c r="D453" s="38">
        <f t="shared" ref="D453" si="2128">135/0.145</f>
        <v>931.0344827586207</v>
      </c>
      <c r="E453" s="38">
        <f>19.25*25.4</f>
        <v>488.95</v>
      </c>
      <c r="F453" s="38">
        <f>6320/145</f>
        <v>43.586206896551722</v>
      </c>
      <c r="G453" s="38">
        <f t="shared" si="2009"/>
        <v>35.813999999999993</v>
      </c>
      <c r="H453" s="38">
        <f>21.8*25.4</f>
        <v>553.72</v>
      </c>
      <c r="I453" s="38">
        <f>2.7*25.4</f>
        <v>68.58</v>
      </c>
      <c r="J453" s="39">
        <f>3.4*25.4</f>
        <v>86.36</v>
      </c>
      <c r="K453" s="7">
        <f t="shared" si="2077"/>
        <v>154.55900000000003</v>
      </c>
      <c r="L453" s="38">
        <v>3</v>
      </c>
      <c r="M453" s="4">
        <f t="shared" si="1843"/>
        <v>508</v>
      </c>
      <c r="N453" s="7">
        <f t="shared" si="1947"/>
        <v>2.4148936170212769</v>
      </c>
      <c r="O453" s="7">
        <f t="shared" si="1948"/>
        <v>2.4148936170212769</v>
      </c>
      <c r="P453" s="38">
        <v>5.5</v>
      </c>
      <c r="Q453" s="4">
        <f t="shared" si="2088"/>
        <v>5.5</v>
      </c>
      <c r="R453" s="4">
        <f t="shared" si="1949"/>
        <v>6.5</v>
      </c>
      <c r="S453" s="7">
        <f t="shared" si="1950"/>
        <v>91.308142429905971</v>
      </c>
      <c r="V453" s="38">
        <f t="shared" si="1777"/>
        <v>675.86206896551732</v>
      </c>
      <c r="W453" s="4">
        <v>98</v>
      </c>
      <c r="X453" s="4">
        <f t="shared" si="1951"/>
        <v>1.3174526875888106</v>
      </c>
      <c r="Y453" s="38">
        <f t="shared" si="2119"/>
        <v>12.7</v>
      </c>
      <c r="Z453" s="38">
        <v>12</v>
      </c>
      <c r="AA453" s="39">
        <f t="shared" si="2120"/>
        <v>101.6</v>
      </c>
      <c r="AB453" s="39">
        <v>2</v>
      </c>
      <c r="AC453" s="39">
        <f t="shared" si="2121"/>
        <v>1</v>
      </c>
      <c r="AE453" s="4">
        <f t="shared" si="1952"/>
        <v>488.95</v>
      </c>
      <c r="AF453" s="4">
        <f t="shared" si="1953"/>
        <v>0.37748917748917754</v>
      </c>
      <c r="AG453" s="4">
        <f t="shared" si="1954"/>
        <v>236.18614574140781</v>
      </c>
      <c r="AH453" s="4">
        <f t="shared" si="1955"/>
        <v>0.73537662337662335</v>
      </c>
      <c r="AI453" s="4">
        <v>1.25</v>
      </c>
      <c r="AJ453" s="4">
        <f t="shared" si="1878"/>
        <v>2.5</v>
      </c>
      <c r="AK453" s="38">
        <f t="shared" si="2081"/>
        <v>204.88905808937724</v>
      </c>
      <c r="AL453" s="38">
        <f t="shared" si="1986"/>
        <v>204.88905808937724</v>
      </c>
      <c r="AM453" s="38">
        <f t="shared" si="1956"/>
        <v>3.7155288579258352</v>
      </c>
      <c r="AN453" s="38">
        <f t="shared" si="1893"/>
        <v>204.88905808937713</v>
      </c>
      <c r="AO453" s="38">
        <f>AK453/AN453</f>
        <v>1.0000000000000004</v>
      </c>
      <c r="AP453" s="38">
        <f t="shared" si="1894"/>
        <v>2.4095705919551471</v>
      </c>
      <c r="AQ453" s="4">
        <f t="shared" si="1895"/>
        <v>0</v>
      </c>
      <c r="AR453" s="4" t="e">
        <f>#REF!/G453*F453^0.5/0.19</f>
        <v>#REF!</v>
      </c>
      <c r="AS453" s="4">
        <f t="shared" si="1957"/>
        <v>1</v>
      </c>
      <c r="AT453" s="38">
        <f t="shared" si="1958"/>
        <v>493.69464898555299</v>
      </c>
      <c r="AU453" s="4">
        <f t="shared" si="1959"/>
        <v>0.3</v>
      </c>
      <c r="AV453" s="4" t="e">
        <f>AU453*D453*#REF!/(D453*G453/2.75/F453^0.5)</f>
        <v>#REF!</v>
      </c>
      <c r="AW453" s="4" t="e">
        <f t="shared" si="1793"/>
        <v>#REF!</v>
      </c>
      <c r="AY453" s="4">
        <f t="shared" si="1960"/>
        <v>1.5</v>
      </c>
      <c r="AZ453" s="4" t="e">
        <f>(3*#REF!+30)*AY453*F453^0.5</f>
        <v>#REF!</v>
      </c>
      <c r="BB453" s="4">
        <f t="shared" si="1961"/>
        <v>473.51354329855519</v>
      </c>
      <c r="BC453" s="4">
        <f t="shared" si="2022"/>
        <v>0</v>
      </c>
      <c r="BD453" s="4">
        <f t="shared" si="1794"/>
        <v>0</v>
      </c>
      <c r="BL453" s="4">
        <f t="shared" si="1962"/>
        <v>68.58</v>
      </c>
      <c r="BP453" s="9"/>
      <c r="BR453" s="9"/>
      <c r="BS453" s="9"/>
      <c r="BT453" s="9">
        <f t="shared" si="1963"/>
        <v>68.58</v>
      </c>
      <c r="BU453" s="9">
        <f t="shared" si="1964"/>
        <v>77.279500000000013</v>
      </c>
      <c r="BV453" s="9">
        <f t="shared" si="1965"/>
        <v>1.4088097518045952</v>
      </c>
      <c r="BW453" s="40">
        <f t="shared" si="2089"/>
        <v>20</v>
      </c>
      <c r="BX453" s="9">
        <f t="shared" si="1966"/>
        <v>0.05</v>
      </c>
      <c r="BY453" s="9">
        <f t="shared" si="1795"/>
        <v>0.8</v>
      </c>
      <c r="BZ453" s="9">
        <f t="shared" si="1967"/>
        <v>0.89777220146327208</v>
      </c>
      <c r="CA453" s="9">
        <f t="shared" si="1968"/>
        <v>0.68</v>
      </c>
      <c r="CB453" s="9">
        <f t="shared" si="1969"/>
        <v>1.4106447240551518</v>
      </c>
      <c r="CC453" s="9">
        <f t="shared" si="1970"/>
        <v>3.1158458228247214</v>
      </c>
      <c r="CD453" s="40">
        <v>1</v>
      </c>
      <c r="CE453" s="9" t="e">
        <f>4*CC453*#REF!+60*CC453</f>
        <v>#REF!</v>
      </c>
      <c r="CG453" s="4" t="e">
        <f t="shared" si="1796"/>
        <v>#REF!</v>
      </c>
      <c r="CH453" s="4" t="e">
        <f t="shared" si="1797"/>
        <v>#REF!</v>
      </c>
      <c r="CI453" s="4" t="e">
        <f t="shared" si="1798"/>
        <v>#REF!</v>
      </c>
      <c r="CJ453" s="4" t="e">
        <f t="shared" si="1799"/>
        <v>#REF!</v>
      </c>
      <c r="CK453" s="4">
        <f t="shared" si="1800"/>
        <v>1.3174526875888106</v>
      </c>
      <c r="CL453" s="4">
        <f t="shared" si="1801"/>
        <v>1.375870186901017</v>
      </c>
      <c r="CM453" s="4">
        <f t="shared" si="2060"/>
        <v>1.3428672695579413</v>
      </c>
      <c r="CN453" s="4">
        <f t="shared" si="2090"/>
        <v>12</v>
      </c>
      <c r="CU453" s="4" t="e">
        <f t="shared" si="2122"/>
        <v>#REF!</v>
      </c>
      <c r="CV453" s="4" t="e">
        <f t="shared" si="2123"/>
        <v>#REF!</v>
      </c>
      <c r="CW453" s="4" t="e">
        <f t="shared" si="2124"/>
        <v>#REF!</v>
      </c>
      <c r="CX453" s="4">
        <f t="shared" si="2125"/>
        <v>1.3428672695579413</v>
      </c>
      <c r="CY453" s="4">
        <f t="shared" si="2126"/>
        <v>1.3174526875888106</v>
      </c>
      <c r="CZ453" s="4">
        <f t="shared" si="2127"/>
        <v>1.375870186901017</v>
      </c>
      <c r="DC453" s="4" t="e">
        <f>#REF!</f>
        <v>#REF!</v>
      </c>
      <c r="DF453" s="4">
        <f t="shared" si="1971"/>
        <v>2.6732069131244309E-5</v>
      </c>
      <c r="DG453" s="4">
        <f t="shared" si="1802"/>
        <v>7.0270410303808131</v>
      </c>
      <c r="DH453" s="4">
        <f t="shared" si="1972"/>
        <v>0.30365706123382441</v>
      </c>
      <c r="DI453" s="4">
        <f t="shared" si="1803"/>
        <v>4.3624036014569079</v>
      </c>
      <c r="DJ453" s="4">
        <f t="shared" si="1804"/>
        <v>5.8493001235347482</v>
      </c>
      <c r="DK453" s="4">
        <f t="shared" si="1973"/>
        <v>6.1313891816785455</v>
      </c>
      <c r="DL453" s="38">
        <f t="shared" si="1974"/>
        <v>513.00671009482221</v>
      </c>
      <c r="DM453" s="4" t="e">
        <f t="shared" si="1805"/>
        <v>#REF!</v>
      </c>
      <c r="DN453" s="4">
        <f t="shared" si="1975"/>
        <v>2.5495097567963922</v>
      </c>
      <c r="DO453" s="4">
        <f t="shared" si="2059"/>
        <v>204.88905808937713</v>
      </c>
      <c r="DS453" s="4">
        <f t="shared" si="1976"/>
        <v>0.85</v>
      </c>
      <c r="DT453" s="4">
        <f t="shared" si="1977"/>
        <v>0.90851063829787226</v>
      </c>
      <c r="DU453" s="4">
        <f t="shared" si="1978"/>
        <v>0.9995510789195714</v>
      </c>
      <c r="DV453" s="4">
        <f t="shared" si="1806"/>
        <v>0.90810278872054673</v>
      </c>
      <c r="DX453" s="4">
        <f t="shared" si="1979"/>
        <v>491.22517182221657</v>
      </c>
      <c r="DY453" s="25">
        <f t="shared" si="1870"/>
        <v>203.41551259917256</v>
      </c>
      <c r="EA453" s="4">
        <f t="shared" si="1871"/>
        <v>0.77188737041246469</v>
      </c>
      <c r="EB453" s="4">
        <f t="shared" si="1980"/>
        <v>7.0270410303808131</v>
      </c>
      <c r="EE453" s="4">
        <f t="shared" si="1981"/>
        <v>91.308142429905971</v>
      </c>
      <c r="EF453" s="4">
        <f t="shared" si="1807"/>
        <v>2.5495097567963922</v>
      </c>
      <c r="EG453" s="4">
        <f t="shared" si="1982"/>
        <v>0.10962085575500549</v>
      </c>
      <c r="EJ453" s="4">
        <f t="shared" si="1808"/>
        <v>0.10962085575500549</v>
      </c>
      <c r="EK453" s="4">
        <f t="shared" si="1983"/>
        <v>0.30315031419260807</v>
      </c>
      <c r="EL453" s="4">
        <f t="shared" si="1809"/>
        <v>4.3594901268468966</v>
      </c>
      <c r="EM453" s="4">
        <f t="shared" si="1810"/>
        <v>5.8482177976005572</v>
      </c>
      <c r="EN453" s="4" t="e">
        <f t="shared" si="1811"/>
        <v>#REF!</v>
      </c>
      <c r="EO453" s="4" t="e">
        <f t="shared" si="1812"/>
        <v>#REF!</v>
      </c>
      <c r="EP453" s="4" t="e">
        <f t="shared" si="1984"/>
        <v>#REF!</v>
      </c>
      <c r="EQ453" s="4" t="e">
        <f t="shared" si="1813"/>
        <v>#REF!</v>
      </c>
      <c r="ER453" s="4" t="e">
        <f t="shared" si="1985"/>
        <v>#REF!</v>
      </c>
      <c r="FA453" s="23" t="e">
        <f t="shared" si="1772"/>
        <v>#REF!</v>
      </c>
      <c r="FB453" s="23" t="e">
        <f t="shared" si="1773"/>
        <v>#REF!</v>
      </c>
      <c r="FC453" s="23">
        <f t="shared" si="2061"/>
        <v>1.4</v>
      </c>
      <c r="FD453" s="23" t="e">
        <f t="shared" si="1774"/>
        <v>#REF!</v>
      </c>
      <c r="FE453" s="23">
        <f t="shared" si="1775"/>
        <v>1.4</v>
      </c>
      <c r="FF453" s="23">
        <f t="shared" si="1776"/>
        <v>1.4</v>
      </c>
      <c r="FG453" s="23">
        <f t="shared" si="1993"/>
        <v>0</v>
      </c>
      <c r="FH453" s="23"/>
      <c r="FR453" s="4">
        <f t="shared" si="1852"/>
        <v>1</v>
      </c>
      <c r="FS453" s="4">
        <f t="shared" si="1853"/>
        <v>0.58529808838216824</v>
      </c>
      <c r="FT453" s="4">
        <f t="shared" si="1854"/>
        <v>0.16766426906761905</v>
      </c>
      <c r="FU453" s="4">
        <f t="shared" si="1855"/>
        <v>503.29774527009243</v>
      </c>
    </row>
    <row r="454" spans="2:177" ht="12" customHeight="1" x14ac:dyDescent="0.3">
      <c r="B454" s="14"/>
      <c r="C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AE454" s="7"/>
      <c r="AF454" s="7"/>
      <c r="AG454" s="7"/>
      <c r="AH454" s="7"/>
      <c r="AI454" s="7"/>
      <c r="AJ454" s="7"/>
      <c r="AK454" s="39"/>
      <c r="AL454" s="39"/>
      <c r="AM454" s="39"/>
      <c r="AO454" s="39"/>
      <c r="AP454" s="39"/>
      <c r="AQ454" s="7"/>
      <c r="BP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FA454" s="23"/>
      <c r="FB454" s="23"/>
      <c r="FC454" s="23"/>
      <c r="FD454" s="23"/>
      <c r="FE454" s="23"/>
      <c r="FF454" s="23"/>
      <c r="FG454" s="23"/>
      <c r="FH454" s="23"/>
    </row>
    <row r="455" spans="2:177" ht="12" customHeight="1" x14ac:dyDescent="0.3">
      <c r="B455" s="14"/>
      <c r="C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AE455" s="7"/>
      <c r="AF455" s="7"/>
      <c r="AG455" s="7"/>
      <c r="AH455" s="7"/>
      <c r="AI455" s="7"/>
      <c r="AJ455" s="7"/>
      <c r="AK455" s="39"/>
      <c r="AL455" s="39"/>
      <c r="AM455" s="39"/>
      <c r="AO455" s="39"/>
      <c r="AP455" s="39"/>
      <c r="AQ455" s="7"/>
      <c r="BP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FA455" s="23"/>
      <c r="FB455" s="23"/>
      <c r="FC455" s="23"/>
      <c r="FD455" s="23"/>
      <c r="FE455" s="23"/>
      <c r="FF455" s="23"/>
      <c r="FG455" s="23"/>
      <c r="FH455" s="23"/>
    </row>
    <row r="456" spans="2:177" ht="12" customHeight="1" x14ac:dyDescent="0.3">
      <c r="B456" s="14"/>
      <c r="C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AE456" s="7"/>
      <c r="AF456" s="7"/>
      <c r="AG456" s="7"/>
      <c r="AH456" s="7"/>
      <c r="AI456" s="7"/>
      <c r="AJ456" s="7"/>
      <c r="AK456" s="39"/>
      <c r="AL456" s="39"/>
      <c r="AM456" s="39"/>
      <c r="AO456" s="39"/>
      <c r="AP456" s="39"/>
      <c r="AQ456" s="7"/>
      <c r="BP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FA456" s="23"/>
      <c r="FB456" s="23"/>
      <c r="FC456" s="23"/>
      <c r="FD456" s="23"/>
      <c r="FE456" s="23"/>
      <c r="FF456" s="23"/>
      <c r="FG456" s="23"/>
      <c r="FH456" s="23"/>
    </row>
    <row r="457" spans="2:177" ht="12" customHeight="1" x14ac:dyDescent="0.3">
      <c r="B457" s="14"/>
      <c r="C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AE457" s="7"/>
      <c r="AF457" s="7"/>
      <c r="AG457" s="7"/>
      <c r="AH457" s="7"/>
      <c r="AI457" s="7"/>
      <c r="AJ457" s="7"/>
      <c r="AK457" s="39"/>
      <c r="AL457" s="39"/>
      <c r="AM457" s="39"/>
      <c r="AO457" s="39"/>
      <c r="AP457" s="39"/>
      <c r="AQ457" s="7"/>
      <c r="BP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FA457" s="23"/>
      <c r="FB457" s="23"/>
      <c r="FC457" s="23"/>
      <c r="FD457" s="23"/>
      <c r="FE457" s="23"/>
      <c r="FF457" s="23"/>
      <c r="FG457" s="23"/>
      <c r="FH457" s="23"/>
    </row>
    <row r="458" spans="2:177" ht="12" customHeight="1" x14ac:dyDescent="0.3">
      <c r="B458" s="14"/>
      <c r="C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AE458" s="7"/>
      <c r="AF458" s="7"/>
      <c r="AG458" s="7"/>
      <c r="AH458" s="7"/>
      <c r="AI458" s="7"/>
      <c r="AJ458" s="7"/>
      <c r="AK458" s="39"/>
      <c r="AL458" s="39"/>
      <c r="AM458" s="39"/>
      <c r="AO458" s="39"/>
      <c r="AP458" s="39"/>
      <c r="AQ458" s="7"/>
      <c r="BP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FA458" s="23"/>
      <c r="FB458" s="23"/>
      <c r="FC458" s="23"/>
      <c r="FD458" s="23"/>
      <c r="FE458" s="23"/>
      <c r="FF458" s="23"/>
      <c r="FG458" s="23"/>
      <c r="FH458" s="23"/>
    </row>
    <row r="459" spans="2:177" ht="12" customHeight="1" x14ac:dyDescent="0.3">
      <c r="B459" s="14"/>
      <c r="C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AE459" s="7"/>
      <c r="AF459" s="7"/>
      <c r="AG459" s="7"/>
      <c r="AH459" s="7"/>
      <c r="AI459" s="7"/>
      <c r="AJ459" s="7"/>
      <c r="AK459" s="39"/>
      <c r="AL459" s="39"/>
      <c r="AM459" s="39"/>
      <c r="AO459" s="39"/>
      <c r="AP459" s="39"/>
      <c r="AQ459" s="7"/>
      <c r="BP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FA459" s="23"/>
      <c r="FB459" s="23"/>
      <c r="FC459" s="23"/>
      <c r="FD459" s="23"/>
      <c r="FE459" s="23"/>
      <c r="FF459" s="23"/>
      <c r="FG459" s="23"/>
      <c r="FH459" s="23"/>
    </row>
    <row r="460" spans="2:177" ht="12" customHeight="1" x14ac:dyDescent="0.3">
      <c r="B460" s="14"/>
      <c r="C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AE460" s="7"/>
      <c r="AF460" s="7"/>
      <c r="AG460" s="7"/>
      <c r="AH460" s="7"/>
      <c r="AI460" s="7"/>
      <c r="AJ460" s="7"/>
      <c r="AK460" s="39"/>
      <c r="AL460" s="39"/>
      <c r="AM460" s="39"/>
      <c r="AO460" s="39"/>
      <c r="AP460" s="39"/>
      <c r="AQ460" s="7"/>
      <c r="BP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FA460" s="23"/>
      <c r="FB460" s="23"/>
      <c r="FC460" s="23"/>
      <c r="FD460" s="23"/>
      <c r="FE460" s="23"/>
      <c r="FF460" s="23"/>
      <c r="FG460" s="23"/>
      <c r="FH460" s="23"/>
    </row>
    <row r="461" spans="2:177" ht="12" customHeight="1" x14ac:dyDescent="0.3">
      <c r="B461" s="14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AE461" s="7"/>
      <c r="AF461" s="7"/>
      <c r="AG461" s="7"/>
      <c r="AH461" s="7"/>
      <c r="AI461" s="7"/>
      <c r="AJ461" s="7"/>
      <c r="AK461" s="39"/>
      <c r="AL461" s="39"/>
      <c r="AM461" s="39"/>
      <c r="AO461" s="39"/>
      <c r="AP461" s="39"/>
      <c r="AQ461" s="7"/>
      <c r="BP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FA461" s="23"/>
      <c r="FB461" s="23"/>
      <c r="FC461" s="23"/>
      <c r="FD461" s="23"/>
      <c r="FE461" s="23"/>
      <c r="FF461" s="23"/>
      <c r="FG461" s="23"/>
      <c r="FH461" s="23"/>
    </row>
    <row r="462" spans="2:177" ht="12" customHeight="1" x14ac:dyDescent="0.3">
      <c r="B462" s="14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AE462" s="7"/>
      <c r="AF462" s="7"/>
      <c r="AG462" s="7"/>
      <c r="AH462" s="7"/>
      <c r="AI462" s="7"/>
      <c r="AJ462" s="7"/>
      <c r="AK462" s="39"/>
      <c r="AL462" s="39"/>
      <c r="AM462" s="39"/>
      <c r="AO462" s="39"/>
      <c r="AP462" s="39"/>
      <c r="AQ462" s="7"/>
      <c r="BP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FA462" s="23"/>
      <c r="FB462" s="23"/>
      <c r="FC462" s="23"/>
      <c r="FD462" s="23"/>
      <c r="FE462" s="23"/>
      <c r="FF462" s="23"/>
      <c r="FG462" s="23"/>
      <c r="FH462" s="23"/>
    </row>
    <row r="463" spans="2:177" ht="12" customHeight="1" x14ac:dyDescent="0.3">
      <c r="B463" s="14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AE463" s="7"/>
      <c r="AF463" s="7"/>
      <c r="AG463" s="7"/>
      <c r="AH463" s="7"/>
      <c r="AI463" s="7"/>
      <c r="AJ463" s="7"/>
      <c r="AK463" s="39"/>
      <c r="AL463" s="39"/>
      <c r="AM463" s="39"/>
      <c r="AO463" s="39"/>
      <c r="AP463" s="39"/>
      <c r="AQ463" s="7"/>
      <c r="BP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FA463" s="23"/>
      <c r="FB463" s="23"/>
      <c r="FC463" s="23"/>
      <c r="FD463" s="23"/>
      <c r="FE463" s="23"/>
      <c r="FF463" s="23"/>
      <c r="FG463" s="23"/>
      <c r="FH463" s="23"/>
    </row>
    <row r="464" spans="2:177" ht="12" customHeight="1" x14ac:dyDescent="0.3">
      <c r="B464" s="14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AE464" s="7"/>
      <c r="AF464" s="7"/>
      <c r="AG464" s="7"/>
      <c r="AH464" s="7"/>
      <c r="AI464" s="7"/>
      <c r="AJ464" s="7"/>
      <c r="AK464" s="39"/>
      <c r="AL464" s="39"/>
      <c r="AM464" s="39"/>
      <c r="AO464" s="39"/>
      <c r="AP464" s="39"/>
      <c r="AQ464" s="7"/>
      <c r="BP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FA464" s="23"/>
      <c r="FB464" s="23"/>
      <c r="FC464" s="23"/>
      <c r="FD464" s="23"/>
      <c r="FE464" s="23"/>
      <c r="FF464" s="23"/>
      <c r="FG464" s="23"/>
      <c r="FH464" s="23"/>
    </row>
    <row r="465" spans="1:177" ht="12" customHeight="1" x14ac:dyDescent="0.3">
      <c r="B465" s="14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AE465" s="7"/>
      <c r="AF465" s="7"/>
      <c r="AG465" s="7"/>
      <c r="AH465" s="7"/>
      <c r="AI465" s="7"/>
      <c r="AJ465" s="7"/>
      <c r="AK465" s="39"/>
      <c r="AL465" s="39"/>
      <c r="AM465" s="39"/>
      <c r="AO465" s="39"/>
      <c r="AP465" s="39"/>
      <c r="AQ465" s="7"/>
      <c r="BP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FA465" s="23"/>
      <c r="FB465" s="23"/>
      <c r="FC465" s="23"/>
      <c r="FD465" s="23"/>
      <c r="FE465" s="23"/>
      <c r="FF465" s="23"/>
      <c r="FG465" s="23"/>
      <c r="FH465" s="23"/>
    </row>
    <row r="466" spans="1:177" ht="12" customHeight="1" x14ac:dyDescent="0.3">
      <c r="B466" s="14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AE466" s="7"/>
      <c r="AF466" s="7"/>
      <c r="AG466" s="7"/>
      <c r="AH466" s="7"/>
      <c r="AI466" s="7"/>
      <c r="AJ466" s="7"/>
      <c r="AK466" s="39"/>
      <c r="AL466" s="39"/>
      <c r="AM466" s="39"/>
      <c r="AO466" s="39"/>
      <c r="AP466" s="39"/>
      <c r="AQ466" s="7"/>
      <c r="BP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FA466" s="23"/>
      <c r="FB466" s="23"/>
      <c r="FC466" s="23"/>
      <c r="FD466" s="23"/>
      <c r="FE466" s="23"/>
      <c r="FF466" s="23"/>
      <c r="FG466" s="23"/>
      <c r="FH466" s="23"/>
    </row>
    <row r="467" spans="1:177" ht="12" customHeight="1" x14ac:dyDescent="0.3">
      <c r="B467" s="14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AE467" s="7"/>
      <c r="AF467" s="7"/>
      <c r="AG467" s="7"/>
      <c r="AH467" s="7"/>
      <c r="AI467" s="7"/>
      <c r="AJ467" s="7"/>
      <c r="AK467" s="39"/>
      <c r="AL467" s="39"/>
      <c r="AM467" s="39"/>
      <c r="AO467" s="39"/>
      <c r="AP467" s="39"/>
      <c r="AQ467" s="7"/>
      <c r="BP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FA467" s="23"/>
      <c r="FB467" s="23"/>
      <c r="FC467" s="23"/>
      <c r="FD467" s="23"/>
      <c r="FE467" s="23"/>
      <c r="FF467" s="23"/>
      <c r="FG467" s="23"/>
      <c r="FH467" s="23"/>
    </row>
    <row r="468" spans="1:177" ht="12" customHeight="1" x14ac:dyDescent="0.3">
      <c r="B468" s="14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AE468" s="7"/>
      <c r="AF468" s="7"/>
      <c r="AG468" s="7"/>
      <c r="AH468" s="7"/>
      <c r="AI468" s="7"/>
      <c r="AJ468" s="7"/>
      <c r="AK468" s="39"/>
      <c r="AL468" s="39"/>
      <c r="AM468" s="39"/>
      <c r="AO468" s="39"/>
      <c r="AP468" s="39"/>
      <c r="AQ468" s="7"/>
      <c r="BP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FA468" s="23"/>
      <c r="FB468" s="23"/>
      <c r="FC468" s="23"/>
      <c r="FD468" s="23"/>
      <c r="FE468" s="23"/>
      <c r="FF468" s="23"/>
      <c r="FG468" s="23"/>
      <c r="FH468" s="23"/>
    </row>
    <row r="469" spans="1:177" ht="12" customHeight="1" x14ac:dyDescent="0.3">
      <c r="B469" s="14" t="s">
        <v>611</v>
      </c>
      <c r="C469" s="43" t="s">
        <v>623</v>
      </c>
      <c r="D469" s="38">
        <f t="shared" ref="D469:D500" si="2129">129/0.145</f>
        <v>889.65517241379314</v>
      </c>
      <c r="E469" s="45">
        <v>203.2</v>
      </c>
      <c r="F469" s="45">
        <v>48.551724137931032</v>
      </c>
      <c r="G469" s="7">
        <v>25.4</v>
      </c>
      <c r="H469" s="45">
        <v>1219.1999999999998</v>
      </c>
      <c r="I469" s="45">
        <v>596.9</v>
      </c>
      <c r="J469" s="45">
        <v>596.9</v>
      </c>
      <c r="K469" s="7"/>
      <c r="L469" s="38">
        <v>1</v>
      </c>
      <c r="N469" s="7">
        <f t="shared" ref="N469:N500" si="2130">MIN(I469/G469+0.5)</f>
        <v>24</v>
      </c>
      <c r="O469" s="7">
        <f t="shared" ref="O469:O500" si="2131">I469/G469+0.5</f>
        <v>24</v>
      </c>
      <c r="P469" s="45">
        <v>9.5</v>
      </c>
      <c r="Q469" s="4">
        <f t="shared" ref="Q469:Q500" si="2132">P469</f>
        <v>9.5</v>
      </c>
      <c r="R469" s="4">
        <f t="shared" ref="R469:R500" si="2133">Q469+1</f>
        <v>10.5</v>
      </c>
      <c r="S469" s="7">
        <f t="shared" ref="S469:S500" si="2134">G469*R469^0.5</f>
        <v>82.305406869779816</v>
      </c>
      <c r="V469" s="45">
        <v>572.41379310344837</v>
      </c>
      <c r="Y469" s="38">
        <f>25.4*5/8</f>
        <v>15.875</v>
      </c>
      <c r="Z469" s="38">
        <v>4</v>
      </c>
      <c r="AA469" s="39">
        <f>6*25.4</f>
        <v>152.39999999999998</v>
      </c>
      <c r="AB469" s="39">
        <v>2</v>
      </c>
      <c r="AC469" s="39"/>
      <c r="AE469" s="4">
        <f t="shared" ref="AE469:AE500" si="2135">E469</f>
        <v>203.2</v>
      </c>
      <c r="AF469" s="4">
        <f t="shared" ref="AF469:AF500" si="2136">MIN(9*E469^2,MIN(H469,3*E469)*(3*E469))/(9*E469^2)</f>
        <v>0.99999999999999989</v>
      </c>
      <c r="AG469" s="4">
        <f t="shared" ref="AG469:AG500" si="2137">MIN(10*F469^0.5*E469^1.5,100*3.9*F469^0.5*E469^(5/3))/(PI()/4*G469^2)/L469</f>
        <v>398.31858389679627</v>
      </c>
      <c r="AH469" s="4">
        <f t="shared" ref="AH469:AH500" si="2138">MIN(0.7+0.3*(I469+G469/2)/1.5/E469,1)</f>
        <v>1</v>
      </c>
      <c r="AI469" s="4">
        <v>1.25</v>
      </c>
      <c r="AJ469" s="4">
        <v>1</v>
      </c>
      <c r="AK469" s="38">
        <f t="shared" ref="AK469:AK500" si="2139">AF469*AH469*AI469*AJ469*AG469</f>
        <v>497.89822987099524</v>
      </c>
      <c r="AL469" s="38">
        <f>AM469*E469*(PI()*E469*1)*MIN(1, (300/(E469+J469))^0.25)/ (PI()/4*G469^2)/L469/1.25</f>
        <v>639.85547595156208</v>
      </c>
      <c r="AM469" s="38">
        <f t="shared" ref="AM469:AM500" si="2140">IF(F469&lt;50, 0.3*F469^(2/3), 2.12*LN(1+0.1*(F469+8)))</f>
        <v>3.9926173774513112</v>
      </c>
      <c r="AR469" s="4" t="e">
        <f>#REF!/G469*F469^0.5/0.19</f>
        <v>#REF!</v>
      </c>
      <c r="AS469" s="4">
        <f t="shared" ref="AS469:AS500" si="2141">MIN(0.6+0.4*(O469/N469),2)</f>
        <v>1</v>
      </c>
      <c r="AT469" s="38">
        <f t="shared" ref="AT469:AT500" si="2142">2*F469*N469*P469^0.5*AS469*0.7/0.7</f>
        <v>7183.0302754595714</v>
      </c>
      <c r="AU469" s="4">
        <f t="shared" ref="AU469:AU500" si="2143">MAX(1-0.7*Q469/5,0.3)</f>
        <v>0.3</v>
      </c>
      <c r="AV469" s="4" t="e">
        <f>AU469*D469*#REF!/(D469*G469/2.75/F469^0.5)</f>
        <v>#REF!</v>
      </c>
      <c r="AW469" s="4" t="e">
        <f t="shared" ref="AW469:AW500" si="2144">AT469+AV469</f>
        <v>#REF!</v>
      </c>
      <c r="AY469" s="4">
        <f t="shared" ref="AY469:AY500" si="2145">MIN(1.5, 0.75+0.25*MIN(3,MAX(1,I469/G469))+0.4*MIN(1,(40*2*PI()*Y469^2/4/AA469/L469)/G469))</f>
        <v>1.5</v>
      </c>
      <c r="AZ469" s="4" t="e">
        <f>(3*#REF!+30)*AY469*F469^0.5</f>
        <v>#REF!</v>
      </c>
      <c r="BB469" s="4">
        <f t="shared" ref="BB469:BB500" si="2146">3.4/PI()^0.5*F469*N469*Q469^0.5*AS469</f>
        <v>6889.4044615281846</v>
      </c>
      <c r="BC469" s="4">
        <f t="shared" ref="BC469:BC500" si="2147">8/3*T469*U469^2/(S469-G469-22)/G469*(S469^2-G469^2)/(S469^2-(G469+22)^2)</f>
        <v>0</v>
      </c>
      <c r="BD469" s="4">
        <f t="shared" ref="BD469:BD500" si="2148">BC469/BB469</f>
        <v>0</v>
      </c>
      <c r="BL469" s="4">
        <f t="shared" ref="BL469:BL500" si="2149">IF(K469=0,I469,MIN(K469/2,I469))</f>
        <v>596.9</v>
      </c>
      <c r="BP469" s="9"/>
      <c r="BR469" s="9"/>
      <c r="BS469" s="9"/>
      <c r="BT469" s="9">
        <f t="shared" ref="BT469:BT500" si="2150">IF(K469=0,MIN(I469,J469),MIN(K469/2,I469,J469))</f>
        <v>596.9</v>
      </c>
      <c r="BU469" s="9">
        <f t="shared" ref="BU469:BU500" si="2151">MAX(K469/2,I469)</f>
        <v>596.9</v>
      </c>
      <c r="BV469" s="9">
        <f t="shared" ref="BV469:BV500" si="2152">(BT469/G469)^0.5*(BU469/BT469)^0.15</f>
        <v>4.8476798574163293</v>
      </c>
      <c r="BW469" s="40">
        <f t="shared" ref="BW469:BW500" si="2153">IF(AA469&gt;1,20,0)</f>
        <v>20</v>
      </c>
      <c r="BX469" s="9">
        <f t="shared" ref="BX469:BX500" si="2154">MIN(PI()*Y469^2/4*Z469*2/L469/G469/MAX(0.01,AA469),0.05)</f>
        <v>0.05</v>
      </c>
      <c r="BY469" s="9">
        <f t="shared" ref="BY469:BY500" si="2155">MAX(0,BW469*(BX469-0.5/50))</f>
        <v>0.8</v>
      </c>
      <c r="BZ469" s="9">
        <f t="shared" ref="BZ469:BZ500" si="2156">MIN(1,(25/G469)^0.3)</f>
        <v>0.99524931562137331</v>
      </c>
      <c r="CA469" s="9">
        <f t="shared" ref="CA469:CA500" si="2157">IF(D469&gt;=800,0.68,IF(D469&gt;=700,0.75-(D469-700)*0.07/100,IF(D469&gt;=600,0.85-(D469-600)*0.1/100,IF(D469&gt;=500,1-(D469-500)*0.15/100,1.2-(D469-400)*0.2/100))))</f>
        <v>0.68</v>
      </c>
      <c r="CB469" s="9">
        <f t="shared" ref="CB469:CB500" si="2158">1.75*BZ469*CA469*(F469/25)^0.5</f>
        <v>1.6504834472137122</v>
      </c>
      <c r="CC469" s="9">
        <f t="shared" ref="CC469:CC500" si="2159">MIN((BV469+BY469)*CB469,2.5*CB469,F469^0.5)</f>
        <v>4.1262086180342807</v>
      </c>
      <c r="CD469" s="40">
        <v>1</v>
      </c>
      <c r="CE469" s="9" t="e">
        <f>4*CC469*#REF!+60*CC469</f>
        <v>#REF!</v>
      </c>
      <c r="DC469" s="4" t="e">
        <f>#REF!</f>
        <v>#REF!</v>
      </c>
      <c r="DF469" s="4">
        <f t="shared" ref="DF469:DF500" si="2160">E469/4/(1-0.3*(F469/30)^0.5)/200000/G469</f>
        <v>1.617201772180078E-5</v>
      </c>
      <c r="DG469" s="4">
        <f t="shared" ref="DG469:DG500" si="2161">EB469</f>
        <v>10.690419306030725</v>
      </c>
      <c r="DH469" s="4">
        <f t="shared" ref="DH469:DH500" si="2162">EK469</f>
        <v>0.44353052005319737</v>
      </c>
      <c r="DI469" s="4">
        <f t="shared" ref="DI469:DI500" si="2163">DG469*DH469^0.4</f>
        <v>7.7226107205649352</v>
      </c>
      <c r="DJ469" s="4">
        <f t="shared" ref="DJ469:DJ500" si="2164">MIN(DG469, DG469/1.4*(1-DH469^1.4)/(1-DH469))</f>
        <v>9.3256375606551067</v>
      </c>
      <c r="DK469" s="4">
        <f t="shared" ref="DK469:DK500" si="2165">MAX(DG469/2, (4-DF469*(8*S469*(DI469-DJ469)+6*E469*DJ469))/(4+DF469*E469*DG469)*DG469)</f>
        <v>10.155429056789377</v>
      </c>
      <c r="DL469" s="38">
        <f t="shared" ref="DL469:DL500" si="2166">MIN(1/G469*(4*S469*(DI469-DJ469)+(3*DJ469+DK469)*E469)+MIN(DN$10*AL469, DN$11/0.7*2.8*F469*N469*Q469^0.5*MIN(0.3+0.2*O469/N469,1)) -EV469,MAX(D469,V469))</f>
        <v>889.65517241379314</v>
      </c>
      <c r="DM469" s="4" t="e">
        <f t="shared" ref="DM469:DM500" si="2167">DL469/ER469</f>
        <v>#REF!</v>
      </c>
      <c r="DN469" s="4">
        <f t="shared" ref="DN469:DN500" si="2168">S469/G469</f>
        <v>3.2403703492039297</v>
      </c>
      <c r="DO469" s="4">
        <f t="shared" ref="DO469:DO500" si="2169">MIN(DN$10*AL469, DN$11*AT469)</f>
        <v>639.85547595156208</v>
      </c>
      <c r="DS469" s="4">
        <f t="shared" ref="DS469:DS500" si="2170">IF(J469&gt;1*G469,0.85,1)</f>
        <v>0.85</v>
      </c>
      <c r="DT469" s="4">
        <f t="shared" ref="DT469:DT500" si="2171">MIN(1,MAX(0.7,(1-0.1*(BL469-1*G469)/G469)))</f>
        <v>0.7</v>
      </c>
      <c r="DU469" s="4">
        <f t="shared" ref="DU469:DU500" si="2172">MIN(1,MAX(0.7,1-0.3*(PI()*Y469^2/4*AC469*2-0.25*PI()/4*G469^2)/(PI()/4*G469^2)))</f>
        <v>1</v>
      </c>
      <c r="DV469" s="4">
        <f t="shared" ref="DV469:DV500" si="2173">IF(DT469*DU469&lt;0.7,0.7,DT469*DU469)</f>
        <v>0.7</v>
      </c>
      <c r="DX469" s="4">
        <f t="shared" ref="DX469:DX500" si="2174">MIN(DG469/G469*(3.1*E469-0*1.4*G469)+2.8*F469*N469-EV469,MAX(D469,V469))</f>
        <v>889.65517241379314</v>
      </c>
      <c r="EB469" s="4">
        <f t="shared" ref="EB469:EB500" si="2175">IF(G469&lt;22.2,1.1*5*(F469/30)^0.5,IF(G469&gt;=31.8,0.9*5*(F469/30)^0.5,1*5*(F469/30)^0.5))/DV469/DS469</f>
        <v>10.690419306030725</v>
      </c>
      <c r="EE469" s="4">
        <f t="shared" ref="EE469:EE500" si="2176">EF469*G469</f>
        <v>82.305406869779816</v>
      </c>
      <c r="EF469" s="4">
        <f t="shared" ref="EF469:EF500" si="2177">R469^0.5</f>
        <v>3.2403703492039302</v>
      </c>
      <c r="EG469" s="4">
        <f t="shared" ref="EG469:EG500" si="2178">MIN(DO469)/(4700*F469^0.5)/Q469*EE469</f>
        <v>0.16927252226774256</v>
      </c>
      <c r="EJ469" s="4">
        <f t="shared" ref="EJ469:EJ500" si="2179">EG469</f>
        <v>0.16927252226774256</v>
      </c>
      <c r="EK469" s="4">
        <f t="shared" ref="EK469:EK500" si="2180">MIN(0.999, EJ469/(0.3*(F469/30)^0.5))</f>
        <v>0.44353052005319737</v>
      </c>
      <c r="EL469" s="4">
        <f t="shared" ref="EL469:EL500" si="2181">EB469/1*EK469^0.4</f>
        <v>7.7226107205649352</v>
      </c>
      <c r="EM469" s="4">
        <f t="shared" ref="EM469:EM500" si="2182">EB469/1.4*(1-EK469^1.4)/(1-EK469)</f>
        <v>9.3256375606551067</v>
      </c>
      <c r="EN469" s="4" t="e">
        <f t="shared" ref="EN469:EN500" si="2183">MAX(0,DC469*EN$9-EE469)</f>
        <v>#REF!</v>
      </c>
      <c r="EO469" s="4" t="e">
        <f t="shared" ref="EO469:EO500" si="2184">MAX(0,DC469-EE469-EN469)</f>
        <v>#REF!</v>
      </c>
      <c r="EP469" s="4" t="e">
        <f t="shared" ref="EP469:EP500" si="2185">EO469/(1-0.3*(F469/30)^0.5)/200000/G469</f>
        <v>#REF!</v>
      </c>
      <c r="EQ469" s="4" t="e">
        <f t="shared" ref="EQ469:EQ500" si="2186">MAX(0.5*EB469, (1-2*EP469*(EE469*EL469+EN469*EM469))/(1/EB469+EP469*EO469))</f>
        <v>#REF!</v>
      </c>
      <c r="ER469" s="4" t="e">
        <f t="shared" ref="ER469:ER500" si="2187">MIN(4/G469*(1*EL469*EE469+EM469*EN469+EO469*EQ469)+DO469,MAX(D469,V469))</f>
        <v>#REF!</v>
      </c>
      <c r="FA469" s="23"/>
      <c r="FB469" s="23"/>
      <c r="FC469" s="23"/>
      <c r="FD469" s="23"/>
      <c r="FE469" s="23"/>
      <c r="FF469" s="23"/>
      <c r="FG469" s="23"/>
      <c r="FH469" s="23"/>
      <c r="FR469" s="4">
        <f t="shared" ref="FR469:FR500" si="2188">IF(I469&gt;=2.5*25.4,1,1.25)</f>
        <v>1</v>
      </c>
      <c r="FS469" s="4">
        <f t="shared" ref="FS469:FS500" si="2189">IF(AA469&gt;1, 0.05*(18-MIN(8,(K469+G469)/G469))*(1-48000/MAX(60000,(D469*145))*(G469/25.4)^0.75*FT469), 1/12*(14-MIN(8,(K469+G469)/G469)))</f>
        <v>0.75511627906976753</v>
      </c>
      <c r="FT469" s="4">
        <f t="shared" ref="FT469:FT500" si="2190">MIN(0.3, Y469^2*PI()/4*2*AB469/(G469^2*PI()/4*L469))</f>
        <v>0.3</v>
      </c>
      <c r="FU469" s="4">
        <f t="shared" ref="FU469:FU500" si="2191">(E469/25.4)/(G469/25.4)^1.5/0.0024*(F469*145)^0.25/FR469/FS469/145</f>
        <v>278.86247321680872</v>
      </c>
    </row>
    <row r="470" spans="1:177" ht="12" customHeight="1" x14ac:dyDescent="0.3">
      <c r="B470" s="14" t="s">
        <v>622</v>
      </c>
      <c r="C470" s="43" t="s">
        <v>623</v>
      </c>
      <c r="D470" s="38">
        <f t="shared" si="2129"/>
        <v>889.65517241379314</v>
      </c>
      <c r="E470" s="45">
        <v>210.82</v>
      </c>
      <c r="F470" s="45">
        <v>48.551724137931032</v>
      </c>
      <c r="G470" s="7">
        <v>25.4</v>
      </c>
      <c r="H470" s="45">
        <v>1219.1999999999998</v>
      </c>
      <c r="I470" s="45">
        <v>596.9</v>
      </c>
      <c r="J470" s="45">
        <v>596.9</v>
      </c>
      <c r="K470" s="7"/>
      <c r="L470" s="38">
        <v>1</v>
      </c>
      <c r="N470" s="7">
        <f t="shared" si="2130"/>
        <v>24</v>
      </c>
      <c r="O470" s="7">
        <f t="shared" si="2131"/>
        <v>24</v>
      </c>
      <c r="P470" s="45">
        <v>9.5</v>
      </c>
      <c r="Q470" s="4">
        <f t="shared" si="2132"/>
        <v>9.5</v>
      </c>
      <c r="R470" s="4">
        <f t="shared" si="2133"/>
        <v>10.5</v>
      </c>
      <c r="S470" s="7">
        <f t="shared" si="2134"/>
        <v>82.305406869779816</v>
      </c>
      <c r="V470" s="45">
        <v>591.72413793103453</v>
      </c>
      <c r="Y470" s="38"/>
      <c r="Z470" s="38"/>
      <c r="AA470" s="39">
        <v>1</v>
      </c>
      <c r="AB470" s="39"/>
      <c r="AC470" s="39"/>
      <c r="AE470" s="4">
        <f t="shared" si="2135"/>
        <v>210.82</v>
      </c>
      <c r="AF470" s="4">
        <f t="shared" si="2136"/>
        <v>1</v>
      </c>
      <c r="AG470" s="4">
        <f t="shared" si="2137"/>
        <v>420.93276036185819</v>
      </c>
      <c r="AH470" s="4">
        <f t="shared" si="2138"/>
        <v>1</v>
      </c>
      <c r="AI470" s="4">
        <v>1.25</v>
      </c>
      <c r="AJ470" s="4">
        <v>1</v>
      </c>
      <c r="AK470" s="38">
        <f t="shared" si="2139"/>
        <v>526.1659504523227</v>
      </c>
      <c r="AL470" s="38">
        <f t="shared" ref="AL470:AL500" si="2192">AK470</f>
        <v>526.1659504523227</v>
      </c>
      <c r="AM470" s="38">
        <f t="shared" si="2140"/>
        <v>3.9926173774513112</v>
      </c>
      <c r="AR470" s="4" t="e">
        <f>#REF!/G470*F470^0.5/0.19</f>
        <v>#REF!</v>
      </c>
      <c r="AS470" s="4">
        <f t="shared" si="2141"/>
        <v>1</v>
      </c>
      <c r="AT470" s="38">
        <f t="shared" si="2142"/>
        <v>7183.0302754595714</v>
      </c>
      <c r="AU470" s="4">
        <f t="shared" si="2143"/>
        <v>0.3</v>
      </c>
      <c r="AV470" s="4" t="e">
        <f>AU470*D470*#REF!/(D470*G470/2.75/F470^0.5)</f>
        <v>#REF!</v>
      </c>
      <c r="AW470" s="4" t="e">
        <f t="shared" si="2144"/>
        <v>#REF!</v>
      </c>
      <c r="AY470" s="4">
        <f t="shared" si="2145"/>
        <v>1.5</v>
      </c>
      <c r="AZ470" s="4" t="e">
        <f>(3*#REF!+30)*AY470*F470^0.5</f>
        <v>#REF!</v>
      </c>
      <c r="BB470" s="4">
        <f t="shared" si="2146"/>
        <v>6889.4044615281846</v>
      </c>
      <c r="BC470" s="4">
        <f t="shared" si="2147"/>
        <v>0</v>
      </c>
      <c r="BD470" s="4">
        <f t="shared" si="2148"/>
        <v>0</v>
      </c>
      <c r="BL470" s="4">
        <f t="shared" si="2149"/>
        <v>596.9</v>
      </c>
      <c r="BP470" s="9"/>
      <c r="BR470" s="9"/>
      <c r="BS470" s="9"/>
      <c r="BT470" s="9">
        <f t="shared" si="2150"/>
        <v>596.9</v>
      </c>
      <c r="BU470" s="9">
        <f t="shared" si="2151"/>
        <v>596.9</v>
      </c>
      <c r="BV470" s="9">
        <f t="shared" si="2152"/>
        <v>4.8476798574163293</v>
      </c>
      <c r="BW470" s="40">
        <f t="shared" si="2153"/>
        <v>0</v>
      </c>
      <c r="BX470" s="9">
        <f t="shared" si="2154"/>
        <v>0</v>
      </c>
      <c r="BY470" s="9">
        <f t="shared" si="2155"/>
        <v>0</v>
      </c>
      <c r="BZ470" s="9">
        <f t="shared" si="2156"/>
        <v>0.99524931562137331</v>
      </c>
      <c r="CA470" s="9">
        <f t="shared" si="2157"/>
        <v>0.68</v>
      </c>
      <c r="CB470" s="9">
        <f t="shared" si="2158"/>
        <v>1.6504834472137122</v>
      </c>
      <c r="CC470" s="9">
        <f t="shared" si="2159"/>
        <v>4.1262086180342807</v>
      </c>
      <c r="CD470" s="40">
        <v>1</v>
      </c>
      <c r="CE470" s="9" t="e">
        <f>4*CC470*#REF!+60*CC470</f>
        <v>#REF!</v>
      </c>
      <c r="DC470" s="4" t="e">
        <f>#REF!</f>
        <v>#REF!</v>
      </c>
      <c r="DF470" s="4">
        <f t="shared" si="2160"/>
        <v>1.6778468386368307E-5</v>
      </c>
      <c r="DG470" s="4">
        <f t="shared" si="2161"/>
        <v>10.690419306030725</v>
      </c>
      <c r="DH470" s="4">
        <f t="shared" si="2162"/>
        <v>0.36472401410857042</v>
      </c>
      <c r="DI470" s="4">
        <f t="shared" si="2163"/>
        <v>7.1413527097240266</v>
      </c>
      <c r="DJ470" s="4">
        <f t="shared" si="2164"/>
        <v>9.0914327666231785</v>
      </c>
      <c r="DK470" s="4">
        <f t="shared" si="2165"/>
        <v>10.136488236253166</v>
      </c>
      <c r="DL470" s="38">
        <f t="shared" si="2166"/>
        <v>811.39955232234138</v>
      </c>
      <c r="DM470" s="4" t="e">
        <f t="shared" si="2167"/>
        <v>#REF!</v>
      </c>
      <c r="DN470" s="4">
        <f t="shared" si="2168"/>
        <v>3.2403703492039297</v>
      </c>
      <c r="DO470" s="4">
        <f t="shared" si="2169"/>
        <v>526.1659504523227</v>
      </c>
      <c r="DS470" s="4">
        <f t="shared" si="2170"/>
        <v>0.85</v>
      </c>
      <c r="DT470" s="4">
        <f t="shared" si="2171"/>
        <v>0.7</v>
      </c>
      <c r="DU470" s="4">
        <f t="shared" si="2172"/>
        <v>1</v>
      </c>
      <c r="DV470" s="4">
        <f t="shared" si="2173"/>
        <v>0.7</v>
      </c>
      <c r="DX470" s="4">
        <f t="shared" si="2174"/>
        <v>889.65517241379314</v>
      </c>
      <c r="EB470" s="4">
        <f t="shared" si="2175"/>
        <v>10.690419306030725</v>
      </c>
      <c r="EE470" s="4">
        <f t="shared" si="2176"/>
        <v>82.305406869779816</v>
      </c>
      <c r="EF470" s="4">
        <f t="shared" si="2177"/>
        <v>3.2403703492039302</v>
      </c>
      <c r="EG470" s="4">
        <f t="shared" si="2178"/>
        <v>0.13919617931223441</v>
      </c>
      <c r="EJ470" s="4">
        <f t="shared" si="2179"/>
        <v>0.13919617931223441</v>
      </c>
      <c r="EK470" s="4">
        <f t="shared" si="2180"/>
        <v>0.36472401410857042</v>
      </c>
      <c r="EL470" s="4">
        <f t="shared" si="2181"/>
        <v>7.1413527097240266</v>
      </c>
      <c r="EM470" s="4">
        <f t="shared" si="2182"/>
        <v>9.0914327666231785</v>
      </c>
      <c r="EN470" s="4" t="e">
        <f t="shared" si="2183"/>
        <v>#REF!</v>
      </c>
      <c r="EO470" s="4" t="e">
        <f t="shared" si="2184"/>
        <v>#REF!</v>
      </c>
      <c r="EP470" s="4" t="e">
        <f t="shared" si="2185"/>
        <v>#REF!</v>
      </c>
      <c r="EQ470" s="4" t="e">
        <f t="shared" si="2186"/>
        <v>#REF!</v>
      </c>
      <c r="ER470" s="4" t="e">
        <f t="shared" si="2187"/>
        <v>#REF!</v>
      </c>
      <c r="FA470" s="23"/>
      <c r="FB470" s="23"/>
      <c r="FC470" s="23"/>
      <c r="FD470" s="23"/>
      <c r="FE470" s="23"/>
      <c r="FF470" s="23"/>
      <c r="FG470" s="23"/>
      <c r="FH470" s="23"/>
      <c r="FR470" s="4">
        <f t="shared" si="2188"/>
        <v>1</v>
      </c>
      <c r="FS470" s="4">
        <f t="shared" si="2189"/>
        <v>1.0833333333333333</v>
      </c>
      <c r="FT470" s="4">
        <f t="shared" si="2190"/>
        <v>0</v>
      </c>
      <c r="FU470" s="4">
        <f t="shared" si="2191"/>
        <v>201.66471036065258</v>
      </c>
    </row>
    <row r="471" spans="1:177" ht="12" customHeight="1" x14ac:dyDescent="0.3">
      <c r="B471" s="14"/>
      <c r="C471" s="43" t="s">
        <v>624</v>
      </c>
      <c r="D471" s="38">
        <f t="shared" si="2129"/>
        <v>889.65517241379314</v>
      </c>
      <c r="E471" s="45">
        <v>215.89999999999998</v>
      </c>
      <c r="F471" s="45">
        <v>48.551724137931032</v>
      </c>
      <c r="G471" s="7">
        <v>25.4</v>
      </c>
      <c r="H471" s="45">
        <v>1219.1999999999998</v>
      </c>
      <c r="I471" s="45">
        <v>596.9</v>
      </c>
      <c r="J471" s="45">
        <v>596.9</v>
      </c>
      <c r="K471" s="7"/>
      <c r="L471" s="38">
        <v>1</v>
      </c>
      <c r="N471" s="7">
        <f t="shared" si="2130"/>
        <v>24</v>
      </c>
      <c r="O471" s="7">
        <f t="shared" si="2131"/>
        <v>24</v>
      </c>
      <c r="P471" s="45">
        <v>4</v>
      </c>
      <c r="Q471" s="4">
        <f t="shared" si="2132"/>
        <v>4</v>
      </c>
      <c r="R471" s="4">
        <f t="shared" si="2133"/>
        <v>5</v>
      </c>
      <c r="S471" s="7">
        <f t="shared" si="2134"/>
        <v>56.796126628494655</v>
      </c>
      <c r="V471" s="45">
        <v>539.31034482758628</v>
      </c>
      <c r="Y471" s="38"/>
      <c r="Z471" s="38"/>
      <c r="AA471" s="39">
        <v>1</v>
      </c>
      <c r="AB471" s="39"/>
      <c r="AC471" s="39"/>
      <c r="AE471" s="4">
        <f t="shared" si="2135"/>
        <v>215.89999999999998</v>
      </c>
      <c r="AF471" s="4">
        <f t="shared" si="2136"/>
        <v>1</v>
      </c>
      <c r="AG471" s="4">
        <f t="shared" si="2137"/>
        <v>436.23848592031243</v>
      </c>
      <c r="AH471" s="4">
        <f t="shared" si="2138"/>
        <v>1</v>
      </c>
      <c r="AI471" s="4">
        <v>1.25</v>
      </c>
      <c r="AJ471" s="4">
        <v>1</v>
      </c>
      <c r="AK471" s="38">
        <f t="shared" si="2139"/>
        <v>545.29810740039056</v>
      </c>
      <c r="AL471" s="38">
        <f t="shared" si="2192"/>
        <v>545.29810740039056</v>
      </c>
      <c r="AM471" s="38">
        <f t="shared" si="2140"/>
        <v>3.9926173774513112</v>
      </c>
      <c r="AR471" s="4" t="e">
        <f>#REF!/G471*F471^0.5/0.19</f>
        <v>#REF!</v>
      </c>
      <c r="AS471" s="4">
        <f t="shared" si="2141"/>
        <v>1</v>
      </c>
      <c r="AT471" s="38">
        <f t="shared" si="2142"/>
        <v>4660.9655172413786</v>
      </c>
      <c r="AU471" s="4">
        <f t="shared" si="2143"/>
        <v>0.44000000000000006</v>
      </c>
      <c r="AV471" s="4" t="e">
        <f>AU471*D471*#REF!/(D471*G471/2.75/F471^0.5)</f>
        <v>#REF!</v>
      </c>
      <c r="AW471" s="4" t="e">
        <f t="shared" si="2144"/>
        <v>#REF!</v>
      </c>
      <c r="AY471" s="4">
        <f t="shared" si="2145"/>
        <v>1.5</v>
      </c>
      <c r="AZ471" s="4" t="e">
        <f>(3*#REF!+30)*AY471*F471^0.5</f>
        <v>#REF!</v>
      </c>
      <c r="BB471" s="4">
        <f t="shared" si="2146"/>
        <v>4470.4359299748721</v>
      </c>
      <c r="BC471" s="4">
        <f t="shared" si="2147"/>
        <v>0</v>
      </c>
      <c r="BD471" s="4">
        <f t="shared" si="2148"/>
        <v>0</v>
      </c>
      <c r="BL471" s="4">
        <f t="shared" si="2149"/>
        <v>596.9</v>
      </c>
      <c r="BP471" s="9"/>
      <c r="BR471" s="9"/>
      <c r="BS471" s="9"/>
      <c r="BT471" s="9">
        <f t="shared" si="2150"/>
        <v>596.9</v>
      </c>
      <c r="BU471" s="9">
        <f t="shared" si="2151"/>
        <v>596.9</v>
      </c>
      <c r="BV471" s="9">
        <f t="shared" si="2152"/>
        <v>4.8476798574163293</v>
      </c>
      <c r="BW471" s="40">
        <f t="shared" si="2153"/>
        <v>0</v>
      </c>
      <c r="BX471" s="9">
        <f t="shared" si="2154"/>
        <v>0</v>
      </c>
      <c r="BY471" s="9">
        <f t="shared" si="2155"/>
        <v>0</v>
      </c>
      <c r="BZ471" s="9">
        <f t="shared" si="2156"/>
        <v>0.99524931562137331</v>
      </c>
      <c r="CA471" s="9">
        <f t="shared" si="2157"/>
        <v>0.68</v>
      </c>
      <c r="CB471" s="9">
        <f t="shared" si="2158"/>
        <v>1.6504834472137122</v>
      </c>
      <c r="CC471" s="9">
        <f t="shared" si="2159"/>
        <v>4.1262086180342807</v>
      </c>
      <c r="CD471" s="40">
        <v>1</v>
      </c>
      <c r="CE471" s="9" t="e">
        <f>4*CC471*#REF!+60*CC471</f>
        <v>#REF!</v>
      </c>
      <c r="DC471" s="4" t="e">
        <f>#REF!</f>
        <v>#REF!</v>
      </c>
      <c r="DF471" s="4">
        <f t="shared" si="2160"/>
        <v>1.7182768829413324E-5</v>
      </c>
      <c r="DG471" s="4">
        <f t="shared" si="2161"/>
        <v>10.690419306030725</v>
      </c>
      <c r="DH471" s="4">
        <f t="shared" si="2162"/>
        <v>0.61948326067862303</v>
      </c>
      <c r="DI471" s="4">
        <f t="shared" si="2163"/>
        <v>8.8268667378225558</v>
      </c>
      <c r="DJ471" s="4">
        <f t="shared" si="2164"/>
        <v>9.8030662330807399</v>
      </c>
      <c r="DK471" s="4">
        <f t="shared" si="2165"/>
        <v>10.028193756194481</v>
      </c>
      <c r="DL471" s="38">
        <f t="shared" si="2166"/>
        <v>871.78454954760934</v>
      </c>
      <c r="DM471" s="4" t="e">
        <f t="shared" si="2167"/>
        <v>#REF!</v>
      </c>
      <c r="DN471" s="4">
        <f t="shared" si="2168"/>
        <v>2.2360679774997898</v>
      </c>
      <c r="DO471" s="4">
        <f t="shared" si="2169"/>
        <v>545.29810740039056</v>
      </c>
      <c r="DS471" s="4">
        <f t="shared" si="2170"/>
        <v>0.85</v>
      </c>
      <c r="DT471" s="4">
        <f t="shared" si="2171"/>
        <v>0.7</v>
      </c>
      <c r="DU471" s="4">
        <f t="shared" si="2172"/>
        <v>1</v>
      </c>
      <c r="DV471" s="4">
        <f t="shared" si="2173"/>
        <v>0.7</v>
      </c>
      <c r="DX471" s="4">
        <f t="shared" si="2174"/>
        <v>889.65517241379314</v>
      </c>
      <c r="EB471" s="4">
        <f t="shared" si="2175"/>
        <v>10.690419306030725</v>
      </c>
      <c r="EE471" s="4">
        <f t="shared" si="2176"/>
        <v>56.796126628494655</v>
      </c>
      <c r="EF471" s="4">
        <f t="shared" si="2177"/>
        <v>2.2360679774997898</v>
      </c>
      <c r="EG471" s="4">
        <f t="shared" si="2178"/>
        <v>0.23642452840706166</v>
      </c>
      <c r="EJ471" s="4">
        <f t="shared" si="2179"/>
        <v>0.23642452840706166</v>
      </c>
      <c r="EK471" s="4">
        <f t="shared" si="2180"/>
        <v>0.61948326067862303</v>
      </c>
      <c r="EL471" s="4">
        <f t="shared" si="2181"/>
        <v>8.8268667378225558</v>
      </c>
      <c r="EM471" s="4">
        <f t="shared" si="2182"/>
        <v>9.8030662330807399</v>
      </c>
      <c r="EN471" s="4" t="e">
        <f t="shared" si="2183"/>
        <v>#REF!</v>
      </c>
      <c r="EO471" s="4" t="e">
        <f t="shared" si="2184"/>
        <v>#REF!</v>
      </c>
      <c r="EP471" s="4" t="e">
        <f t="shared" si="2185"/>
        <v>#REF!</v>
      </c>
      <c r="EQ471" s="4" t="e">
        <f t="shared" si="2186"/>
        <v>#REF!</v>
      </c>
      <c r="ER471" s="4" t="e">
        <f t="shared" si="2187"/>
        <v>#REF!</v>
      </c>
      <c r="FA471" s="23"/>
      <c r="FB471" s="23"/>
      <c r="FC471" s="23"/>
      <c r="FD471" s="23"/>
      <c r="FE471" s="23"/>
      <c r="FF471" s="23"/>
      <c r="FG471" s="23"/>
      <c r="FH471" s="23"/>
      <c r="FR471" s="4">
        <f t="shared" si="2188"/>
        <v>1</v>
      </c>
      <c r="FS471" s="4">
        <f t="shared" si="2189"/>
        <v>1.0833333333333333</v>
      </c>
      <c r="FT471" s="4">
        <f t="shared" si="2190"/>
        <v>0</v>
      </c>
      <c r="FU471" s="4">
        <f t="shared" si="2191"/>
        <v>206.52410097175263</v>
      </c>
    </row>
    <row r="472" spans="1:177" ht="12" customHeight="1" x14ac:dyDescent="0.3">
      <c r="B472" s="14"/>
      <c r="C472" s="43" t="s">
        <v>624</v>
      </c>
      <c r="D472" s="38">
        <f t="shared" si="2129"/>
        <v>889.65517241379314</v>
      </c>
      <c r="E472" s="45">
        <v>190.5</v>
      </c>
      <c r="F472" s="45">
        <v>48.551724137931032</v>
      </c>
      <c r="G472" s="7">
        <v>25.4</v>
      </c>
      <c r="H472" s="45">
        <v>1219.1999999999998</v>
      </c>
      <c r="I472" s="45">
        <v>596.9</v>
      </c>
      <c r="J472" s="45">
        <v>596.9</v>
      </c>
      <c r="K472" s="7"/>
      <c r="L472" s="38">
        <v>1</v>
      </c>
      <c r="N472" s="7">
        <f t="shared" si="2130"/>
        <v>24</v>
      </c>
      <c r="O472" s="7">
        <f t="shared" si="2131"/>
        <v>24</v>
      </c>
      <c r="P472" s="45">
        <v>4</v>
      </c>
      <c r="Q472" s="4">
        <f t="shared" si="2132"/>
        <v>4</v>
      </c>
      <c r="R472" s="4">
        <f t="shared" si="2133"/>
        <v>5</v>
      </c>
      <c r="S472" s="7">
        <f t="shared" si="2134"/>
        <v>56.796126628494655</v>
      </c>
      <c r="V472" s="45">
        <v>491.72413793103448</v>
      </c>
      <c r="Y472" s="38"/>
      <c r="Z472" s="38"/>
      <c r="AA472" s="39">
        <v>1</v>
      </c>
      <c r="AB472" s="39"/>
      <c r="AC472" s="39"/>
      <c r="AE472" s="4">
        <f t="shared" si="2135"/>
        <v>190.5</v>
      </c>
      <c r="AF472" s="4">
        <f t="shared" si="2136"/>
        <v>1</v>
      </c>
      <c r="AG472" s="4">
        <f t="shared" si="2137"/>
        <v>361.56591607434706</v>
      </c>
      <c r="AH472" s="4">
        <f t="shared" si="2138"/>
        <v>1</v>
      </c>
      <c r="AI472" s="4">
        <v>1.25</v>
      </c>
      <c r="AJ472" s="4">
        <v>1</v>
      </c>
      <c r="AK472" s="38">
        <f t="shared" si="2139"/>
        <v>451.95739509293384</v>
      </c>
      <c r="AL472" s="38">
        <f t="shared" si="2192"/>
        <v>451.95739509293384</v>
      </c>
      <c r="AM472" s="38">
        <f t="shared" si="2140"/>
        <v>3.9926173774513112</v>
      </c>
      <c r="AR472" s="4" t="e">
        <f>#REF!/G472*F472^0.5/0.19</f>
        <v>#REF!</v>
      </c>
      <c r="AS472" s="4">
        <f t="shared" si="2141"/>
        <v>1</v>
      </c>
      <c r="AT472" s="38">
        <f t="shared" si="2142"/>
        <v>4660.9655172413786</v>
      </c>
      <c r="AU472" s="4">
        <f t="shared" si="2143"/>
        <v>0.44000000000000006</v>
      </c>
      <c r="AV472" s="4" t="e">
        <f>AU472*D472*#REF!/(D472*G472/2.75/F472^0.5)</f>
        <v>#REF!</v>
      </c>
      <c r="AW472" s="4" t="e">
        <f t="shared" si="2144"/>
        <v>#REF!</v>
      </c>
      <c r="AY472" s="4">
        <f t="shared" si="2145"/>
        <v>1.5</v>
      </c>
      <c r="AZ472" s="4" t="e">
        <f>(3*#REF!+30)*AY472*F472^0.5</f>
        <v>#REF!</v>
      </c>
      <c r="BB472" s="4">
        <f t="shared" si="2146"/>
        <v>4470.4359299748721</v>
      </c>
      <c r="BC472" s="4">
        <f t="shared" si="2147"/>
        <v>0</v>
      </c>
      <c r="BD472" s="4">
        <f t="shared" si="2148"/>
        <v>0</v>
      </c>
      <c r="BL472" s="4">
        <f t="shared" si="2149"/>
        <v>596.9</v>
      </c>
      <c r="BP472" s="9"/>
      <c r="BR472" s="9"/>
      <c r="BS472" s="9"/>
      <c r="BT472" s="9">
        <f t="shared" si="2150"/>
        <v>596.9</v>
      </c>
      <c r="BU472" s="9">
        <f t="shared" si="2151"/>
        <v>596.9</v>
      </c>
      <c r="BV472" s="9">
        <f t="shared" si="2152"/>
        <v>4.8476798574163293</v>
      </c>
      <c r="BW472" s="40">
        <f t="shared" si="2153"/>
        <v>0</v>
      </c>
      <c r="BX472" s="9">
        <f t="shared" si="2154"/>
        <v>0</v>
      </c>
      <c r="BY472" s="9">
        <f t="shared" si="2155"/>
        <v>0</v>
      </c>
      <c r="BZ472" s="9">
        <f t="shared" si="2156"/>
        <v>0.99524931562137331</v>
      </c>
      <c r="CA472" s="9">
        <f t="shared" si="2157"/>
        <v>0.68</v>
      </c>
      <c r="CB472" s="9">
        <f t="shared" si="2158"/>
        <v>1.6504834472137122</v>
      </c>
      <c r="CC472" s="9">
        <f t="shared" si="2159"/>
        <v>4.1262086180342807</v>
      </c>
      <c r="CD472" s="40">
        <v>1</v>
      </c>
      <c r="CE472" s="9" t="e">
        <f>4*CC472*#REF!+60*CC472</f>
        <v>#REF!</v>
      </c>
      <c r="DC472" s="4" t="e">
        <f>#REF!</f>
        <v>#REF!</v>
      </c>
      <c r="DF472" s="4">
        <f t="shared" si="2160"/>
        <v>1.5161266614188229E-5</v>
      </c>
      <c r="DG472" s="4">
        <f t="shared" si="2161"/>
        <v>10.690419306030725</v>
      </c>
      <c r="DH472" s="4">
        <f t="shared" si="2162"/>
        <v>0.51344399879680713</v>
      </c>
      <c r="DI472" s="4">
        <f t="shared" si="2163"/>
        <v>8.1882665666777861</v>
      </c>
      <c r="DJ472" s="4">
        <f t="shared" si="2164"/>
        <v>9.5220326434042857</v>
      </c>
      <c r="DK472" s="4">
        <f t="shared" si="2165"/>
        <v>10.195269662186318</v>
      </c>
      <c r="DL472" s="38">
        <f t="shared" si="2166"/>
        <v>730.73808558135306</v>
      </c>
      <c r="DM472" s="4" t="e">
        <f t="shared" si="2167"/>
        <v>#REF!</v>
      </c>
      <c r="DN472" s="4">
        <f t="shared" si="2168"/>
        <v>2.2360679774997898</v>
      </c>
      <c r="DO472" s="4">
        <f t="shared" si="2169"/>
        <v>451.95739509293384</v>
      </c>
      <c r="DS472" s="4">
        <f t="shared" si="2170"/>
        <v>0.85</v>
      </c>
      <c r="DT472" s="4">
        <f t="shared" si="2171"/>
        <v>0.7</v>
      </c>
      <c r="DU472" s="4">
        <f t="shared" si="2172"/>
        <v>1</v>
      </c>
      <c r="DV472" s="4">
        <f t="shared" si="2173"/>
        <v>0.7</v>
      </c>
      <c r="DX472" s="4">
        <f t="shared" si="2174"/>
        <v>889.65517241379314</v>
      </c>
      <c r="EB472" s="4">
        <f t="shared" si="2175"/>
        <v>10.690419306030725</v>
      </c>
      <c r="EE472" s="4">
        <f t="shared" si="2176"/>
        <v>56.796126628494655</v>
      </c>
      <c r="EF472" s="4">
        <f t="shared" si="2177"/>
        <v>2.2360679774997898</v>
      </c>
      <c r="EG472" s="4">
        <f t="shared" si="2178"/>
        <v>0.1959548594517172</v>
      </c>
      <c r="EJ472" s="4">
        <f t="shared" si="2179"/>
        <v>0.1959548594517172</v>
      </c>
      <c r="EK472" s="4">
        <f t="shared" si="2180"/>
        <v>0.51344399879680713</v>
      </c>
      <c r="EL472" s="4">
        <f t="shared" si="2181"/>
        <v>8.1882665666777861</v>
      </c>
      <c r="EM472" s="4">
        <f t="shared" si="2182"/>
        <v>9.5220326434042857</v>
      </c>
      <c r="EN472" s="4" t="e">
        <f t="shared" si="2183"/>
        <v>#REF!</v>
      </c>
      <c r="EO472" s="4" t="e">
        <f t="shared" si="2184"/>
        <v>#REF!</v>
      </c>
      <c r="EP472" s="4" t="e">
        <f t="shared" si="2185"/>
        <v>#REF!</v>
      </c>
      <c r="EQ472" s="4" t="e">
        <f t="shared" si="2186"/>
        <v>#REF!</v>
      </c>
      <c r="ER472" s="4" t="e">
        <f t="shared" si="2187"/>
        <v>#REF!</v>
      </c>
      <c r="FA472" s="23"/>
      <c r="FB472" s="23"/>
      <c r="FC472" s="23"/>
      <c r="FD472" s="23"/>
      <c r="FE472" s="23"/>
      <c r="FF472" s="23"/>
      <c r="FG472" s="23"/>
      <c r="FH472" s="23"/>
      <c r="FR472" s="4">
        <f t="shared" si="2188"/>
        <v>1</v>
      </c>
      <c r="FS472" s="4">
        <f t="shared" si="2189"/>
        <v>1.0833333333333333</v>
      </c>
      <c r="FT472" s="4">
        <f t="shared" si="2190"/>
        <v>0</v>
      </c>
      <c r="FU472" s="4">
        <f t="shared" si="2191"/>
        <v>182.22714791625231</v>
      </c>
    </row>
    <row r="473" spans="1:177" ht="12" customHeight="1" x14ac:dyDescent="0.3">
      <c r="B473" s="14"/>
      <c r="C473" s="43" t="s">
        <v>625</v>
      </c>
      <c r="D473" s="38">
        <f t="shared" si="2129"/>
        <v>889.65517241379314</v>
      </c>
      <c r="E473" s="45">
        <v>187.96</v>
      </c>
      <c r="F473" s="45">
        <v>36</v>
      </c>
      <c r="G473" s="7">
        <v>25.4</v>
      </c>
      <c r="H473" s="45">
        <v>1219.1999999999998</v>
      </c>
      <c r="I473" s="45">
        <v>596.9</v>
      </c>
      <c r="J473" s="45">
        <v>596.9</v>
      </c>
      <c r="K473" s="7"/>
      <c r="L473" s="38">
        <v>1</v>
      </c>
      <c r="N473" s="7">
        <f t="shared" si="2130"/>
        <v>24</v>
      </c>
      <c r="O473" s="7">
        <f t="shared" si="2131"/>
        <v>24</v>
      </c>
      <c r="P473" s="45">
        <v>4.0999999999999996</v>
      </c>
      <c r="Q473" s="4">
        <f t="shared" si="2132"/>
        <v>4.0999999999999996</v>
      </c>
      <c r="R473" s="4">
        <f t="shared" si="2133"/>
        <v>5.0999999999999996</v>
      </c>
      <c r="S473" s="7">
        <f t="shared" si="2134"/>
        <v>57.361276136431961</v>
      </c>
      <c r="V473" s="45">
        <v>601.37931034482767</v>
      </c>
      <c r="Y473" s="38"/>
      <c r="Z473" s="38"/>
      <c r="AA473" s="39">
        <v>1</v>
      </c>
      <c r="AB473" s="39"/>
      <c r="AC473" s="39"/>
      <c r="AE473" s="4">
        <f t="shared" si="2135"/>
        <v>187.96</v>
      </c>
      <c r="AF473" s="4">
        <f t="shared" si="2136"/>
        <v>1</v>
      </c>
      <c r="AG473" s="4">
        <f t="shared" si="2137"/>
        <v>305.13504551575329</v>
      </c>
      <c r="AH473" s="4">
        <f t="shared" si="2138"/>
        <v>1</v>
      </c>
      <c r="AI473" s="4">
        <v>1.25</v>
      </c>
      <c r="AJ473" s="4">
        <v>1</v>
      </c>
      <c r="AK473" s="38">
        <f t="shared" si="2139"/>
        <v>381.41880689469161</v>
      </c>
      <c r="AL473" s="38">
        <f t="shared" si="2192"/>
        <v>381.41880689469161</v>
      </c>
      <c r="AM473" s="38">
        <f t="shared" si="2140"/>
        <v>3.2708170670978505</v>
      </c>
      <c r="AR473" s="4" t="e">
        <f>#REF!/G473*F473^0.5/0.19</f>
        <v>#REF!</v>
      </c>
      <c r="AS473" s="4">
        <f t="shared" si="2141"/>
        <v>1</v>
      </c>
      <c r="AT473" s="38">
        <f t="shared" si="2142"/>
        <v>3498.9333231715059</v>
      </c>
      <c r="AU473" s="4">
        <f t="shared" si="2143"/>
        <v>0.42600000000000005</v>
      </c>
      <c r="AV473" s="4" t="e">
        <f>AU473*D473*#REF!/(D473*G473/2.75/F473^0.5)</f>
        <v>#REF!</v>
      </c>
      <c r="AW473" s="4" t="e">
        <f t="shared" si="2144"/>
        <v>#REF!</v>
      </c>
      <c r="AY473" s="4">
        <f t="shared" si="2145"/>
        <v>1.5</v>
      </c>
      <c r="AZ473" s="4" t="e">
        <f>(3*#REF!+30)*AY473*F473^0.5</f>
        <v>#REF!</v>
      </c>
      <c r="BB473" s="4">
        <f t="shared" si="2146"/>
        <v>3355.904948584548</v>
      </c>
      <c r="BC473" s="4">
        <f t="shared" si="2147"/>
        <v>0</v>
      </c>
      <c r="BD473" s="4">
        <f t="shared" si="2148"/>
        <v>0</v>
      </c>
      <c r="BL473" s="4">
        <f t="shared" si="2149"/>
        <v>596.9</v>
      </c>
      <c r="BP473" s="9"/>
      <c r="BR473" s="9"/>
      <c r="BS473" s="9"/>
      <c r="BT473" s="9">
        <f t="shared" si="2150"/>
        <v>596.9</v>
      </c>
      <c r="BU473" s="9">
        <f t="shared" si="2151"/>
        <v>596.9</v>
      </c>
      <c r="BV473" s="9">
        <f t="shared" si="2152"/>
        <v>4.8476798574163293</v>
      </c>
      <c r="BW473" s="40">
        <f t="shared" si="2153"/>
        <v>0</v>
      </c>
      <c r="BX473" s="9">
        <f t="shared" si="2154"/>
        <v>0</v>
      </c>
      <c r="BY473" s="9">
        <f t="shared" si="2155"/>
        <v>0</v>
      </c>
      <c r="BZ473" s="9">
        <f t="shared" si="2156"/>
        <v>0.99524931562137331</v>
      </c>
      <c r="CA473" s="9">
        <f t="shared" si="2157"/>
        <v>0.68</v>
      </c>
      <c r="CB473" s="9">
        <f t="shared" si="2158"/>
        <v>1.4212160227073209</v>
      </c>
      <c r="CC473" s="9">
        <f t="shared" si="2159"/>
        <v>3.5530400567683023</v>
      </c>
      <c r="CD473" s="40">
        <v>1</v>
      </c>
      <c r="CE473" s="9" t="e">
        <f>4*CC473*#REF!+60*CC473</f>
        <v>#REF!</v>
      </c>
      <c r="DC473" s="4" t="e">
        <f>#REF!</f>
        <v>#REF!</v>
      </c>
      <c r="DF473" s="4">
        <f t="shared" si="2160"/>
        <v>1.377787017281802E-5</v>
      </c>
      <c r="DG473" s="4">
        <f t="shared" si="2161"/>
        <v>9.2054211345406056</v>
      </c>
      <c r="DH473" s="4">
        <f t="shared" si="2162"/>
        <v>0.57580583984844791</v>
      </c>
      <c r="DI473" s="4">
        <f t="shared" si="2163"/>
        <v>7.3816608504860692</v>
      </c>
      <c r="DJ473" s="4">
        <f t="shared" si="2164"/>
        <v>8.3435810675533659</v>
      </c>
      <c r="DK473" s="4">
        <f t="shared" si="2165"/>
        <v>8.8682086466934464</v>
      </c>
      <c r="DL473" s="38">
        <f t="shared" si="2166"/>
        <v>623.58176377795292</v>
      </c>
      <c r="DM473" s="4" t="e">
        <f t="shared" si="2167"/>
        <v>#REF!</v>
      </c>
      <c r="DN473" s="4">
        <f t="shared" si="2168"/>
        <v>2.2583179581272428</v>
      </c>
      <c r="DO473" s="4">
        <f t="shared" si="2169"/>
        <v>381.41880689469161</v>
      </c>
      <c r="DS473" s="4">
        <f t="shared" si="2170"/>
        <v>0.85</v>
      </c>
      <c r="DT473" s="4">
        <f t="shared" si="2171"/>
        <v>0.7</v>
      </c>
      <c r="DU473" s="4">
        <f t="shared" si="2172"/>
        <v>1</v>
      </c>
      <c r="DV473" s="4">
        <f t="shared" si="2173"/>
        <v>0.7</v>
      </c>
      <c r="DX473" s="4">
        <f t="shared" si="2174"/>
        <v>889.65517241379314</v>
      </c>
      <c r="EB473" s="4">
        <f t="shared" si="2175"/>
        <v>9.2054211345406056</v>
      </c>
      <c r="EE473" s="4">
        <f t="shared" si="2176"/>
        <v>57.361276136431961</v>
      </c>
      <c r="EF473" s="4">
        <f t="shared" si="2177"/>
        <v>2.2583179581272428</v>
      </c>
      <c r="EG473" s="4">
        <f t="shared" si="2178"/>
        <v>0.18922910833692116</v>
      </c>
      <c r="EJ473" s="4">
        <f t="shared" si="2179"/>
        <v>0.18922910833692116</v>
      </c>
      <c r="EK473" s="4">
        <f t="shared" si="2180"/>
        <v>0.57580583984844791</v>
      </c>
      <c r="EL473" s="4">
        <f t="shared" si="2181"/>
        <v>7.3816608504860692</v>
      </c>
      <c r="EM473" s="4">
        <f t="shared" si="2182"/>
        <v>8.3435810675533659</v>
      </c>
      <c r="EN473" s="4" t="e">
        <f t="shared" si="2183"/>
        <v>#REF!</v>
      </c>
      <c r="EO473" s="4" t="e">
        <f t="shared" si="2184"/>
        <v>#REF!</v>
      </c>
      <c r="EP473" s="4" t="e">
        <f t="shared" si="2185"/>
        <v>#REF!</v>
      </c>
      <c r="EQ473" s="4" t="e">
        <f t="shared" si="2186"/>
        <v>#REF!</v>
      </c>
      <c r="ER473" s="4" t="e">
        <f t="shared" si="2187"/>
        <v>#REF!</v>
      </c>
      <c r="FA473" s="23"/>
      <c r="FB473" s="23"/>
      <c r="FC473" s="23"/>
      <c r="FD473" s="23"/>
      <c r="FE473" s="23"/>
      <c r="FF473" s="23"/>
      <c r="FG473" s="23"/>
      <c r="FH473" s="23"/>
      <c r="FR473" s="4">
        <f t="shared" si="2188"/>
        <v>1</v>
      </c>
      <c r="FS473" s="4">
        <f t="shared" si="2189"/>
        <v>1.0833333333333333</v>
      </c>
      <c r="FT473" s="4">
        <f t="shared" si="2190"/>
        <v>0</v>
      </c>
      <c r="FU473" s="4">
        <f t="shared" si="2191"/>
        <v>166.84300191817573</v>
      </c>
    </row>
    <row r="474" spans="1:177" ht="12" customHeight="1" x14ac:dyDescent="0.3">
      <c r="B474" s="14"/>
      <c r="C474" s="43" t="s">
        <v>625</v>
      </c>
      <c r="D474" s="38">
        <f t="shared" si="2129"/>
        <v>889.65517241379314</v>
      </c>
      <c r="E474" s="45">
        <v>187.96</v>
      </c>
      <c r="F474" s="45">
        <v>36</v>
      </c>
      <c r="G474" s="7">
        <v>25.4</v>
      </c>
      <c r="H474" s="45">
        <v>1219.1999999999998</v>
      </c>
      <c r="I474" s="45">
        <v>596.9</v>
      </c>
      <c r="J474" s="45">
        <v>596.9</v>
      </c>
      <c r="K474" s="7"/>
      <c r="L474" s="38">
        <v>1</v>
      </c>
      <c r="N474" s="7">
        <f t="shared" si="2130"/>
        <v>24</v>
      </c>
      <c r="O474" s="7">
        <f t="shared" si="2131"/>
        <v>24</v>
      </c>
      <c r="P474" s="45">
        <v>4.0999999999999996</v>
      </c>
      <c r="Q474" s="4">
        <f t="shared" si="2132"/>
        <v>4.0999999999999996</v>
      </c>
      <c r="R474" s="4">
        <f t="shared" si="2133"/>
        <v>5.0999999999999996</v>
      </c>
      <c r="S474" s="7">
        <f t="shared" si="2134"/>
        <v>57.361276136431961</v>
      </c>
      <c r="V474" s="45">
        <v>562.06896551724139</v>
      </c>
      <c r="Y474" s="38"/>
      <c r="Z474" s="38"/>
      <c r="AA474" s="39">
        <v>1</v>
      </c>
      <c r="AB474" s="39"/>
      <c r="AC474" s="39"/>
      <c r="AE474" s="4">
        <f t="shared" si="2135"/>
        <v>187.96</v>
      </c>
      <c r="AF474" s="4">
        <f t="shared" si="2136"/>
        <v>1</v>
      </c>
      <c r="AG474" s="4">
        <f t="shared" si="2137"/>
        <v>305.13504551575329</v>
      </c>
      <c r="AH474" s="4">
        <f t="shared" si="2138"/>
        <v>1</v>
      </c>
      <c r="AI474" s="4">
        <v>1.25</v>
      </c>
      <c r="AJ474" s="4">
        <v>1</v>
      </c>
      <c r="AK474" s="38">
        <f t="shared" si="2139"/>
        <v>381.41880689469161</v>
      </c>
      <c r="AL474" s="38">
        <f t="shared" si="2192"/>
        <v>381.41880689469161</v>
      </c>
      <c r="AM474" s="38">
        <f t="shared" si="2140"/>
        <v>3.2708170670978505</v>
      </c>
      <c r="AR474" s="4" t="e">
        <f>#REF!/G474*F474^0.5/0.19</f>
        <v>#REF!</v>
      </c>
      <c r="AS474" s="4">
        <f t="shared" si="2141"/>
        <v>1</v>
      </c>
      <c r="AT474" s="38">
        <f t="shared" si="2142"/>
        <v>3498.9333231715059</v>
      </c>
      <c r="AU474" s="4">
        <f t="shared" si="2143"/>
        <v>0.42600000000000005</v>
      </c>
      <c r="AV474" s="4" t="e">
        <f>AU474*D474*#REF!/(D474*G474/2.75/F474^0.5)</f>
        <v>#REF!</v>
      </c>
      <c r="AW474" s="4" t="e">
        <f t="shared" si="2144"/>
        <v>#REF!</v>
      </c>
      <c r="AY474" s="4">
        <f t="shared" si="2145"/>
        <v>1.5</v>
      </c>
      <c r="AZ474" s="4" t="e">
        <f>(3*#REF!+30)*AY474*F474^0.5</f>
        <v>#REF!</v>
      </c>
      <c r="BB474" s="4">
        <f t="shared" si="2146"/>
        <v>3355.904948584548</v>
      </c>
      <c r="BC474" s="4">
        <f t="shared" si="2147"/>
        <v>0</v>
      </c>
      <c r="BD474" s="4">
        <f t="shared" si="2148"/>
        <v>0</v>
      </c>
      <c r="BL474" s="4">
        <f t="shared" si="2149"/>
        <v>596.9</v>
      </c>
      <c r="BP474" s="9"/>
      <c r="BR474" s="9"/>
      <c r="BS474" s="9"/>
      <c r="BT474" s="9">
        <f t="shared" si="2150"/>
        <v>596.9</v>
      </c>
      <c r="BU474" s="9">
        <f t="shared" si="2151"/>
        <v>596.9</v>
      </c>
      <c r="BV474" s="9">
        <f t="shared" si="2152"/>
        <v>4.8476798574163293</v>
      </c>
      <c r="BW474" s="40">
        <f t="shared" si="2153"/>
        <v>0</v>
      </c>
      <c r="BX474" s="9">
        <f t="shared" si="2154"/>
        <v>0</v>
      </c>
      <c r="BY474" s="9">
        <f t="shared" si="2155"/>
        <v>0</v>
      </c>
      <c r="BZ474" s="9">
        <f t="shared" si="2156"/>
        <v>0.99524931562137331</v>
      </c>
      <c r="CA474" s="9">
        <f t="shared" si="2157"/>
        <v>0.68</v>
      </c>
      <c r="CB474" s="9">
        <f t="shared" si="2158"/>
        <v>1.4212160227073209</v>
      </c>
      <c r="CC474" s="9">
        <f t="shared" si="2159"/>
        <v>3.5530400567683023</v>
      </c>
      <c r="CD474" s="40">
        <v>1</v>
      </c>
      <c r="CE474" s="9" t="e">
        <f>4*CC474*#REF!+60*CC474</f>
        <v>#REF!</v>
      </c>
      <c r="DC474" s="4" t="e">
        <f>#REF!</f>
        <v>#REF!</v>
      </c>
      <c r="DF474" s="4">
        <f t="shared" si="2160"/>
        <v>1.377787017281802E-5</v>
      </c>
      <c r="DG474" s="4">
        <f t="shared" si="2161"/>
        <v>9.2054211345406056</v>
      </c>
      <c r="DH474" s="4">
        <f t="shared" si="2162"/>
        <v>0.57580583984844791</v>
      </c>
      <c r="DI474" s="4">
        <f t="shared" si="2163"/>
        <v>7.3816608504860692</v>
      </c>
      <c r="DJ474" s="4">
        <f t="shared" si="2164"/>
        <v>8.3435810675533659</v>
      </c>
      <c r="DK474" s="4">
        <f t="shared" si="2165"/>
        <v>8.8682086466934464</v>
      </c>
      <c r="DL474" s="38">
        <f t="shared" si="2166"/>
        <v>623.58176377795292</v>
      </c>
      <c r="DM474" s="4" t="e">
        <f t="shared" si="2167"/>
        <v>#REF!</v>
      </c>
      <c r="DN474" s="4">
        <f t="shared" si="2168"/>
        <v>2.2583179581272428</v>
      </c>
      <c r="DO474" s="4">
        <f t="shared" si="2169"/>
        <v>381.41880689469161</v>
      </c>
      <c r="DS474" s="4">
        <f t="shared" si="2170"/>
        <v>0.85</v>
      </c>
      <c r="DT474" s="4">
        <f t="shared" si="2171"/>
        <v>0.7</v>
      </c>
      <c r="DU474" s="4">
        <f t="shared" si="2172"/>
        <v>1</v>
      </c>
      <c r="DV474" s="4">
        <f t="shared" si="2173"/>
        <v>0.7</v>
      </c>
      <c r="DX474" s="4">
        <f t="shared" si="2174"/>
        <v>889.65517241379314</v>
      </c>
      <c r="EB474" s="4">
        <f t="shared" si="2175"/>
        <v>9.2054211345406056</v>
      </c>
      <c r="EE474" s="4">
        <f t="shared" si="2176"/>
        <v>57.361276136431961</v>
      </c>
      <c r="EF474" s="4">
        <f t="shared" si="2177"/>
        <v>2.2583179581272428</v>
      </c>
      <c r="EG474" s="4">
        <f t="shared" si="2178"/>
        <v>0.18922910833692116</v>
      </c>
      <c r="EJ474" s="4">
        <f t="shared" si="2179"/>
        <v>0.18922910833692116</v>
      </c>
      <c r="EK474" s="4">
        <f t="shared" si="2180"/>
        <v>0.57580583984844791</v>
      </c>
      <c r="EL474" s="4">
        <f t="shared" si="2181"/>
        <v>7.3816608504860692</v>
      </c>
      <c r="EM474" s="4">
        <f t="shared" si="2182"/>
        <v>8.3435810675533659</v>
      </c>
      <c r="EN474" s="4" t="e">
        <f t="shared" si="2183"/>
        <v>#REF!</v>
      </c>
      <c r="EO474" s="4" t="e">
        <f t="shared" si="2184"/>
        <v>#REF!</v>
      </c>
      <c r="EP474" s="4" t="e">
        <f t="shared" si="2185"/>
        <v>#REF!</v>
      </c>
      <c r="EQ474" s="4" t="e">
        <f t="shared" si="2186"/>
        <v>#REF!</v>
      </c>
      <c r="ER474" s="4" t="e">
        <f t="shared" si="2187"/>
        <v>#REF!</v>
      </c>
      <c r="FA474" s="23"/>
      <c r="FB474" s="23"/>
      <c r="FC474" s="23"/>
      <c r="FD474" s="23"/>
      <c r="FE474" s="23"/>
      <c r="FF474" s="23"/>
      <c r="FG474" s="23"/>
      <c r="FH474" s="23"/>
      <c r="FR474" s="4">
        <f t="shared" si="2188"/>
        <v>1</v>
      </c>
      <c r="FS474" s="4">
        <f t="shared" si="2189"/>
        <v>1.0833333333333333</v>
      </c>
      <c r="FT474" s="4">
        <f t="shared" si="2190"/>
        <v>0</v>
      </c>
      <c r="FU474" s="4">
        <f t="shared" si="2191"/>
        <v>166.84300191817573</v>
      </c>
    </row>
    <row r="475" spans="1:177" ht="12" customHeight="1" x14ac:dyDescent="0.3">
      <c r="A475" s="113"/>
      <c r="B475" s="24"/>
      <c r="C475" s="43" t="s">
        <v>626</v>
      </c>
      <c r="D475" s="38">
        <f t="shared" si="2129"/>
        <v>889.65517241379314</v>
      </c>
      <c r="E475" s="45">
        <v>180.33999999999997</v>
      </c>
      <c r="F475" s="45">
        <v>36</v>
      </c>
      <c r="G475" s="7">
        <v>25.4</v>
      </c>
      <c r="H475" s="45">
        <v>1219.1999999999998</v>
      </c>
      <c r="I475" s="45">
        <v>596.9</v>
      </c>
      <c r="J475" s="45">
        <v>596.9</v>
      </c>
      <c r="K475" s="7"/>
      <c r="L475" s="38">
        <v>1</v>
      </c>
      <c r="N475" s="7">
        <f t="shared" si="2130"/>
        <v>24</v>
      </c>
      <c r="O475" s="7">
        <f t="shared" si="2131"/>
        <v>24</v>
      </c>
      <c r="P475" s="45">
        <v>9.1</v>
      </c>
      <c r="Q475" s="4">
        <f t="shared" si="2132"/>
        <v>9.1</v>
      </c>
      <c r="R475" s="4">
        <f t="shared" si="2133"/>
        <v>10.1</v>
      </c>
      <c r="S475" s="7">
        <f t="shared" si="2134"/>
        <v>80.72246279691916</v>
      </c>
      <c r="V475" s="45">
        <v>610.34482758620697</v>
      </c>
      <c r="Y475" s="38"/>
      <c r="Z475" s="38"/>
      <c r="AA475" s="39">
        <v>1</v>
      </c>
      <c r="AB475" s="39"/>
      <c r="AC475" s="39"/>
      <c r="AE475" s="4">
        <f t="shared" si="2135"/>
        <v>180.33999999999997</v>
      </c>
      <c r="AF475" s="4">
        <f t="shared" si="2136"/>
        <v>1</v>
      </c>
      <c r="AG475" s="4">
        <f t="shared" si="2137"/>
        <v>286.76888899995987</v>
      </c>
      <c r="AH475" s="4">
        <f t="shared" si="2138"/>
        <v>1</v>
      </c>
      <c r="AI475" s="4">
        <v>1.25</v>
      </c>
      <c r="AJ475" s="4">
        <v>1</v>
      </c>
      <c r="AK475" s="38">
        <f t="shared" si="2139"/>
        <v>358.46111124994985</v>
      </c>
      <c r="AL475" s="38">
        <f t="shared" si="2192"/>
        <v>358.46111124994985</v>
      </c>
      <c r="AM475" s="38">
        <f t="shared" si="2140"/>
        <v>3.2708170670978505</v>
      </c>
      <c r="AR475" s="4" t="e">
        <f>#REF!/G475*F475^0.5/0.19</f>
        <v>#REF!</v>
      </c>
      <c r="AS475" s="4">
        <f t="shared" si="2141"/>
        <v>1</v>
      </c>
      <c r="AT475" s="38">
        <f t="shared" si="2142"/>
        <v>5212.7204413818317</v>
      </c>
      <c r="AU475" s="4">
        <f t="shared" si="2143"/>
        <v>0.3</v>
      </c>
      <c r="AV475" s="4" t="e">
        <f>AU475*D475*#REF!/(D475*G475/2.75/F475^0.5)</f>
        <v>#REF!</v>
      </c>
      <c r="AW475" s="4" t="e">
        <f t="shared" si="2144"/>
        <v>#REF!</v>
      </c>
      <c r="AY475" s="4">
        <f t="shared" si="2145"/>
        <v>1.5</v>
      </c>
      <c r="AZ475" s="4" t="e">
        <f>(3*#REF!+30)*AY475*F475^0.5</f>
        <v>#REF!</v>
      </c>
      <c r="BB475" s="4">
        <f t="shared" si="2146"/>
        <v>4999.6363774559568</v>
      </c>
      <c r="BC475" s="4">
        <f t="shared" si="2147"/>
        <v>0</v>
      </c>
      <c r="BD475" s="4">
        <f t="shared" si="2148"/>
        <v>0</v>
      </c>
      <c r="BL475" s="4">
        <f t="shared" si="2149"/>
        <v>596.9</v>
      </c>
      <c r="BP475" s="9"/>
      <c r="BR475" s="9"/>
      <c r="BS475" s="9"/>
      <c r="BT475" s="9">
        <f t="shared" si="2150"/>
        <v>596.9</v>
      </c>
      <c r="BU475" s="9">
        <f t="shared" si="2151"/>
        <v>596.9</v>
      </c>
      <c r="BV475" s="9">
        <f t="shared" si="2152"/>
        <v>4.8476798574163293</v>
      </c>
      <c r="BW475" s="40">
        <f t="shared" si="2153"/>
        <v>0</v>
      </c>
      <c r="BX475" s="9">
        <f t="shared" si="2154"/>
        <v>0</v>
      </c>
      <c r="BY475" s="9">
        <f t="shared" si="2155"/>
        <v>0</v>
      </c>
      <c r="BZ475" s="9">
        <f t="shared" si="2156"/>
        <v>0.99524931562137331</v>
      </c>
      <c r="CA475" s="9">
        <f t="shared" si="2157"/>
        <v>0.68</v>
      </c>
      <c r="CB475" s="9">
        <f t="shared" si="2158"/>
        <v>1.4212160227073209</v>
      </c>
      <c r="CC475" s="9">
        <f t="shared" si="2159"/>
        <v>3.5530400567683023</v>
      </c>
      <c r="CD475" s="40">
        <v>1</v>
      </c>
      <c r="CE475" s="9" t="e">
        <f>4*CC475*#REF!+60*CC475</f>
        <v>#REF!</v>
      </c>
      <c r="DC475" s="4" t="e">
        <f>#REF!</f>
        <v>#REF!</v>
      </c>
      <c r="DF475" s="4">
        <f t="shared" si="2160"/>
        <v>1.3219307868514583E-5</v>
      </c>
      <c r="DG475" s="4">
        <f t="shared" si="2161"/>
        <v>9.2054211345406056</v>
      </c>
      <c r="DH475" s="4">
        <f t="shared" si="2162"/>
        <v>0.34311054994209239</v>
      </c>
      <c r="DI475" s="4">
        <f t="shared" si="2163"/>
        <v>6.0009124459143566</v>
      </c>
      <c r="DJ475" s="4">
        <f t="shared" si="2164"/>
        <v>7.7708713439840205</v>
      </c>
      <c r="DK475" s="4">
        <f t="shared" si="2165"/>
        <v>8.9353684179504107</v>
      </c>
      <c r="DL475" s="38">
        <f t="shared" si="2166"/>
        <v>564.92171714795745</v>
      </c>
      <c r="DM475" s="4" t="e">
        <f t="shared" si="2167"/>
        <v>#REF!</v>
      </c>
      <c r="DN475" s="4">
        <f t="shared" si="2168"/>
        <v>3.1780497164141401</v>
      </c>
      <c r="DO475" s="4">
        <f t="shared" si="2169"/>
        <v>358.46111124994985</v>
      </c>
      <c r="DS475" s="4">
        <f t="shared" si="2170"/>
        <v>0.85</v>
      </c>
      <c r="DT475" s="4">
        <f t="shared" si="2171"/>
        <v>0.7</v>
      </c>
      <c r="DU475" s="4">
        <f t="shared" si="2172"/>
        <v>1</v>
      </c>
      <c r="DV475" s="4">
        <f t="shared" si="2173"/>
        <v>0.7</v>
      </c>
      <c r="DX475" s="4">
        <f t="shared" si="2174"/>
        <v>889.65517241379314</v>
      </c>
      <c r="EB475" s="4">
        <f t="shared" si="2175"/>
        <v>9.2054211345406056</v>
      </c>
      <c r="EE475" s="4">
        <f t="shared" si="2176"/>
        <v>80.72246279691916</v>
      </c>
      <c r="EF475" s="4">
        <f t="shared" si="2177"/>
        <v>3.1780497164141406</v>
      </c>
      <c r="EG475" s="4">
        <f t="shared" si="2178"/>
        <v>0.11275763275277211</v>
      </c>
      <c r="EJ475" s="4">
        <f t="shared" si="2179"/>
        <v>0.11275763275277211</v>
      </c>
      <c r="EK475" s="4">
        <f t="shared" si="2180"/>
        <v>0.34311054994209239</v>
      </c>
      <c r="EL475" s="4">
        <f t="shared" si="2181"/>
        <v>6.0009124459143566</v>
      </c>
      <c r="EM475" s="4">
        <f t="shared" si="2182"/>
        <v>7.7708713439840205</v>
      </c>
      <c r="EN475" s="4" t="e">
        <f t="shared" si="2183"/>
        <v>#REF!</v>
      </c>
      <c r="EO475" s="4" t="e">
        <f t="shared" si="2184"/>
        <v>#REF!</v>
      </c>
      <c r="EP475" s="4" t="e">
        <f t="shared" si="2185"/>
        <v>#REF!</v>
      </c>
      <c r="EQ475" s="4" t="e">
        <f t="shared" si="2186"/>
        <v>#REF!</v>
      </c>
      <c r="ER475" s="4" t="e">
        <f t="shared" si="2187"/>
        <v>#REF!</v>
      </c>
      <c r="FA475" s="23"/>
      <c r="FB475" s="23"/>
      <c r="FC475" s="23"/>
      <c r="FD475" s="23"/>
      <c r="FE475" s="23"/>
      <c r="FF475" s="23"/>
      <c r="FG475" s="23"/>
      <c r="FH475" s="23"/>
      <c r="FR475" s="4">
        <f t="shared" si="2188"/>
        <v>1</v>
      </c>
      <c r="FS475" s="4">
        <f t="shared" si="2189"/>
        <v>1.0833333333333333</v>
      </c>
      <c r="FT475" s="4">
        <f t="shared" si="2190"/>
        <v>0</v>
      </c>
      <c r="FU475" s="4">
        <f t="shared" si="2191"/>
        <v>160.07909643500642</v>
      </c>
    </row>
    <row r="476" spans="1:177" ht="12" customHeight="1" x14ac:dyDescent="0.3">
      <c r="A476" s="113"/>
      <c r="B476" s="24"/>
      <c r="C476" s="43" t="s">
        <v>626</v>
      </c>
      <c r="D476" s="38">
        <f t="shared" si="2129"/>
        <v>889.65517241379314</v>
      </c>
      <c r="E476" s="45">
        <v>177.79999999999998</v>
      </c>
      <c r="F476" s="45">
        <v>36</v>
      </c>
      <c r="G476" s="7">
        <v>25.4</v>
      </c>
      <c r="H476" s="45">
        <v>1219.1999999999998</v>
      </c>
      <c r="I476" s="45">
        <v>596.9</v>
      </c>
      <c r="J476" s="45">
        <v>596.9</v>
      </c>
      <c r="K476" s="7"/>
      <c r="L476" s="38">
        <v>1</v>
      </c>
      <c r="N476" s="7">
        <f t="shared" si="2130"/>
        <v>24</v>
      </c>
      <c r="O476" s="7">
        <f t="shared" si="2131"/>
        <v>24</v>
      </c>
      <c r="P476" s="45">
        <v>9.1</v>
      </c>
      <c r="Q476" s="4">
        <f t="shared" si="2132"/>
        <v>9.1</v>
      </c>
      <c r="R476" s="4">
        <f t="shared" si="2133"/>
        <v>10.1</v>
      </c>
      <c r="S476" s="7">
        <f t="shared" si="2134"/>
        <v>80.72246279691916</v>
      </c>
      <c r="V476" s="45">
        <v>479.31034482758622</v>
      </c>
      <c r="Y476" s="38"/>
      <c r="Z476" s="38"/>
      <c r="AA476" s="39">
        <v>1</v>
      </c>
      <c r="AB476" s="39"/>
      <c r="AC476" s="39"/>
      <c r="AE476" s="4">
        <f t="shared" si="2135"/>
        <v>177.79999999999998</v>
      </c>
      <c r="AF476" s="4">
        <f t="shared" si="2136"/>
        <v>1</v>
      </c>
      <c r="AG476" s="4">
        <f t="shared" si="2137"/>
        <v>280.73177442647159</v>
      </c>
      <c r="AH476" s="4">
        <f t="shared" si="2138"/>
        <v>1</v>
      </c>
      <c r="AI476" s="4">
        <v>1.25</v>
      </c>
      <c r="AJ476" s="4">
        <v>1</v>
      </c>
      <c r="AK476" s="38">
        <f t="shared" si="2139"/>
        <v>350.91471803308946</v>
      </c>
      <c r="AL476" s="38">
        <f t="shared" si="2192"/>
        <v>350.91471803308946</v>
      </c>
      <c r="AM476" s="38">
        <f t="shared" si="2140"/>
        <v>3.2708170670978505</v>
      </c>
      <c r="AR476" s="4" t="e">
        <f>#REF!/G476*F476^0.5/0.19</f>
        <v>#REF!</v>
      </c>
      <c r="AS476" s="4">
        <f t="shared" si="2141"/>
        <v>1</v>
      </c>
      <c r="AT476" s="38">
        <f t="shared" si="2142"/>
        <v>5212.7204413818317</v>
      </c>
      <c r="AU476" s="4">
        <f t="shared" si="2143"/>
        <v>0.3</v>
      </c>
      <c r="AV476" s="4" t="e">
        <f>AU476*D476*#REF!/(D476*G476/2.75/F476^0.5)</f>
        <v>#REF!</v>
      </c>
      <c r="AW476" s="4" t="e">
        <f t="shared" si="2144"/>
        <v>#REF!</v>
      </c>
      <c r="AY476" s="4">
        <f t="shared" si="2145"/>
        <v>1.5</v>
      </c>
      <c r="AZ476" s="4" t="e">
        <f>(3*#REF!+30)*AY476*F476^0.5</f>
        <v>#REF!</v>
      </c>
      <c r="BB476" s="4">
        <f t="shared" si="2146"/>
        <v>4999.6363774559568</v>
      </c>
      <c r="BC476" s="4">
        <f t="shared" si="2147"/>
        <v>0</v>
      </c>
      <c r="BD476" s="4">
        <f t="shared" si="2148"/>
        <v>0</v>
      </c>
      <c r="BL476" s="4">
        <f t="shared" si="2149"/>
        <v>596.9</v>
      </c>
      <c r="BP476" s="9"/>
      <c r="BR476" s="9"/>
      <c r="BS476" s="9"/>
      <c r="BT476" s="9">
        <f t="shared" si="2150"/>
        <v>596.9</v>
      </c>
      <c r="BU476" s="9">
        <f t="shared" si="2151"/>
        <v>596.9</v>
      </c>
      <c r="BV476" s="9">
        <f t="shared" si="2152"/>
        <v>4.8476798574163293</v>
      </c>
      <c r="BW476" s="40">
        <f t="shared" si="2153"/>
        <v>0</v>
      </c>
      <c r="BX476" s="9">
        <f t="shared" si="2154"/>
        <v>0</v>
      </c>
      <c r="BY476" s="9">
        <f t="shared" si="2155"/>
        <v>0</v>
      </c>
      <c r="BZ476" s="9">
        <f t="shared" si="2156"/>
        <v>0.99524931562137331</v>
      </c>
      <c r="CA476" s="9">
        <f t="shared" si="2157"/>
        <v>0.68</v>
      </c>
      <c r="CB476" s="9">
        <f t="shared" si="2158"/>
        <v>1.4212160227073209</v>
      </c>
      <c r="CC476" s="9">
        <f t="shared" si="2159"/>
        <v>3.5530400567683023</v>
      </c>
      <c r="CD476" s="40">
        <v>1</v>
      </c>
      <c r="CE476" s="9" t="e">
        <f>4*CC476*#REF!+60*CC476</f>
        <v>#REF!</v>
      </c>
      <c r="DC476" s="4" t="e">
        <f>#REF!</f>
        <v>#REF!</v>
      </c>
      <c r="DF476" s="4">
        <f t="shared" si="2160"/>
        <v>1.3033120433746772E-5</v>
      </c>
      <c r="DG476" s="4">
        <f t="shared" si="2161"/>
        <v>9.2054211345406056</v>
      </c>
      <c r="DH476" s="4">
        <f t="shared" si="2162"/>
        <v>0.33588731973536912</v>
      </c>
      <c r="DI476" s="4">
        <f t="shared" si="2163"/>
        <v>5.9500567122923123</v>
      </c>
      <c r="DJ476" s="4">
        <f t="shared" si="2164"/>
        <v>7.7513443849227031</v>
      </c>
      <c r="DK476" s="4">
        <f t="shared" si="2165"/>
        <v>8.9445872946317113</v>
      </c>
      <c r="DL476" s="38">
        <f t="shared" si="2166"/>
        <v>553.40673407015493</v>
      </c>
      <c r="DM476" s="4" t="e">
        <f t="shared" si="2167"/>
        <v>#REF!</v>
      </c>
      <c r="DN476" s="4">
        <f t="shared" si="2168"/>
        <v>3.1780497164141401</v>
      </c>
      <c r="DO476" s="4">
        <f t="shared" si="2169"/>
        <v>350.91471803308946</v>
      </c>
      <c r="DS476" s="4">
        <f t="shared" si="2170"/>
        <v>0.85</v>
      </c>
      <c r="DT476" s="4">
        <f t="shared" si="2171"/>
        <v>0.7</v>
      </c>
      <c r="DU476" s="4">
        <f t="shared" si="2172"/>
        <v>1</v>
      </c>
      <c r="DV476" s="4">
        <f t="shared" si="2173"/>
        <v>0.7</v>
      </c>
      <c r="DX476" s="4">
        <f t="shared" si="2174"/>
        <v>889.65517241379314</v>
      </c>
      <c r="EB476" s="4">
        <f t="shared" si="2175"/>
        <v>9.2054211345406056</v>
      </c>
      <c r="EE476" s="4">
        <f t="shared" si="2176"/>
        <v>80.72246279691916</v>
      </c>
      <c r="EF476" s="4">
        <f t="shared" si="2177"/>
        <v>3.1780497164141406</v>
      </c>
      <c r="EG476" s="4">
        <f t="shared" si="2178"/>
        <v>0.11038383707940708</v>
      </c>
      <c r="EJ476" s="4">
        <f t="shared" si="2179"/>
        <v>0.11038383707940708</v>
      </c>
      <c r="EK476" s="4">
        <f t="shared" si="2180"/>
        <v>0.33588731973536912</v>
      </c>
      <c r="EL476" s="4">
        <f t="shared" si="2181"/>
        <v>5.9500567122923123</v>
      </c>
      <c r="EM476" s="4">
        <f t="shared" si="2182"/>
        <v>7.7513443849227031</v>
      </c>
      <c r="EN476" s="4" t="e">
        <f t="shared" si="2183"/>
        <v>#REF!</v>
      </c>
      <c r="EO476" s="4" t="e">
        <f t="shared" si="2184"/>
        <v>#REF!</v>
      </c>
      <c r="EP476" s="4" t="e">
        <f t="shared" si="2185"/>
        <v>#REF!</v>
      </c>
      <c r="EQ476" s="4" t="e">
        <f t="shared" si="2186"/>
        <v>#REF!</v>
      </c>
      <c r="ER476" s="4" t="e">
        <f t="shared" si="2187"/>
        <v>#REF!</v>
      </c>
      <c r="FA476" s="23"/>
      <c r="FB476" s="23"/>
      <c r="FC476" s="23"/>
      <c r="FD476" s="23"/>
      <c r="FE476" s="23"/>
      <c r="FF476" s="23"/>
      <c r="FG476" s="23"/>
      <c r="FH476" s="23"/>
      <c r="FR476" s="4">
        <f t="shared" si="2188"/>
        <v>1</v>
      </c>
      <c r="FS476" s="4">
        <f t="shared" si="2189"/>
        <v>1.0833333333333333</v>
      </c>
      <c r="FT476" s="4">
        <f t="shared" si="2190"/>
        <v>0</v>
      </c>
      <c r="FU476" s="4">
        <f t="shared" si="2191"/>
        <v>157.82446127394999</v>
      </c>
    </row>
    <row r="477" spans="1:177" ht="12" customHeight="1" x14ac:dyDescent="0.3">
      <c r="A477" s="113"/>
      <c r="B477" s="24"/>
      <c r="C477" s="43" t="s">
        <v>627</v>
      </c>
      <c r="D477" s="38">
        <f t="shared" si="2129"/>
        <v>889.65517241379314</v>
      </c>
      <c r="E477" s="45">
        <v>152.39999999999998</v>
      </c>
      <c r="F477" s="45">
        <v>50.96551724137931</v>
      </c>
      <c r="G477" s="7">
        <v>25.4</v>
      </c>
      <c r="H477" s="45">
        <v>1219.1999999999998</v>
      </c>
      <c r="I477" s="45">
        <v>596.9</v>
      </c>
      <c r="J477" s="45">
        <v>596.9</v>
      </c>
      <c r="K477" s="7"/>
      <c r="L477" s="38">
        <v>1</v>
      </c>
      <c r="N477" s="7">
        <f t="shared" si="2130"/>
        <v>24</v>
      </c>
      <c r="O477" s="7">
        <f t="shared" si="2131"/>
        <v>24</v>
      </c>
      <c r="P477" s="45">
        <v>4.0999999999999996</v>
      </c>
      <c r="Q477" s="4">
        <f t="shared" si="2132"/>
        <v>4.0999999999999996</v>
      </c>
      <c r="R477" s="4">
        <f t="shared" si="2133"/>
        <v>5.0999999999999996</v>
      </c>
      <c r="S477" s="7">
        <f t="shared" si="2134"/>
        <v>57.361276136431961</v>
      </c>
      <c r="V477" s="45">
        <v>562.06896551724139</v>
      </c>
      <c r="Y477" s="38"/>
      <c r="Z477" s="38"/>
      <c r="AA477" s="39">
        <v>1</v>
      </c>
      <c r="AB477" s="39"/>
      <c r="AC477" s="39"/>
      <c r="AE477" s="4">
        <f t="shared" si="2135"/>
        <v>152.39999999999998</v>
      </c>
      <c r="AF477" s="4">
        <f t="shared" si="2136"/>
        <v>0.99999999999999989</v>
      </c>
      <c r="AG477" s="4">
        <f t="shared" si="2137"/>
        <v>265.0686425289295</v>
      </c>
      <c r="AH477" s="4">
        <f t="shared" si="2138"/>
        <v>1</v>
      </c>
      <c r="AI477" s="4">
        <v>1.25</v>
      </c>
      <c r="AJ477" s="4">
        <v>1</v>
      </c>
      <c r="AK477" s="38">
        <f t="shared" si="2139"/>
        <v>331.33580316116183</v>
      </c>
      <c r="AL477" s="38">
        <f t="shared" si="2192"/>
        <v>331.33580316116183</v>
      </c>
      <c r="AM477" s="38">
        <f t="shared" si="2140"/>
        <v>4.093765657510513</v>
      </c>
      <c r="AR477" s="4" t="e">
        <f>#REF!/G477*F477^0.5/0.19</f>
        <v>#REF!</v>
      </c>
      <c r="AS477" s="4">
        <f t="shared" si="2141"/>
        <v>1</v>
      </c>
      <c r="AT477" s="38">
        <f t="shared" si="2142"/>
        <v>4953.4707391259444</v>
      </c>
      <c r="AU477" s="4">
        <f t="shared" si="2143"/>
        <v>0.42600000000000005</v>
      </c>
      <c r="AV477" s="4" t="e">
        <f>AU477*D477*#REF!/(D477*G477/2.75/F477^0.5)</f>
        <v>#REF!</v>
      </c>
      <c r="AW477" s="4" t="e">
        <f t="shared" si="2144"/>
        <v>#REF!</v>
      </c>
      <c r="AY477" s="4">
        <f t="shared" si="2145"/>
        <v>1.5</v>
      </c>
      <c r="AZ477" s="4" t="e">
        <f>(3*#REF!+30)*AY477*F477^0.5</f>
        <v>#REF!</v>
      </c>
      <c r="BB477" s="4">
        <f t="shared" si="2146"/>
        <v>4750.9842088198866</v>
      </c>
      <c r="BC477" s="4">
        <f t="shared" si="2147"/>
        <v>0</v>
      </c>
      <c r="BD477" s="4">
        <f t="shared" si="2148"/>
        <v>0</v>
      </c>
      <c r="BL477" s="4">
        <f t="shared" si="2149"/>
        <v>596.9</v>
      </c>
      <c r="BP477" s="9"/>
      <c r="BR477" s="9"/>
      <c r="BS477" s="9"/>
      <c r="BT477" s="9">
        <f t="shared" si="2150"/>
        <v>596.9</v>
      </c>
      <c r="BU477" s="9">
        <f t="shared" si="2151"/>
        <v>596.9</v>
      </c>
      <c r="BV477" s="9">
        <f t="shared" si="2152"/>
        <v>4.8476798574163293</v>
      </c>
      <c r="BW477" s="40">
        <f t="shared" si="2153"/>
        <v>0</v>
      </c>
      <c r="BX477" s="9">
        <f t="shared" si="2154"/>
        <v>0</v>
      </c>
      <c r="BY477" s="9">
        <f t="shared" si="2155"/>
        <v>0</v>
      </c>
      <c r="BZ477" s="9">
        <f t="shared" si="2156"/>
        <v>0.99524931562137331</v>
      </c>
      <c r="CA477" s="9">
        <f t="shared" si="2157"/>
        <v>0.68</v>
      </c>
      <c r="CB477" s="9">
        <f t="shared" si="2158"/>
        <v>1.6910134532890686</v>
      </c>
      <c r="CC477" s="9">
        <f t="shared" si="2159"/>
        <v>4.2275336332226718</v>
      </c>
      <c r="CD477" s="40">
        <v>1</v>
      </c>
      <c r="CE477" s="9" t="e">
        <f>4*CC477*#REF!+60*CC477</f>
        <v>#REF!</v>
      </c>
      <c r="DC477" s="4" t="e">
        <f>#REF!</f>
        <v>#REF!</v>
      </c>
      <c r="DF477" s="4">
        <f t="shared" si="2160"/>
        <v>1.2315673098492836E-5</v>
      </c>
      <c r="DG477" s="4">
        <f t="shared" si="2161"/>
        <v>10.952938000267244</v>
      </c>
      <c r="DH477" s="4">
        <f t="shared" si="2162"/>
        <v>0.35332013969964099</v>
      </c>
      <c r="DI477" s="4">
        <f t="shared" si="2163"/>
        <v>7.2243368340770866</v>
      </c>
      <c r="DJ477" s="4">
        <f t="shared" si="2164"/>
        <v>9.2786409214601537</v>
      </c>
      <c r="DK477" s="4">
        <f t="shared" si="2165"/>
        <v>10.643904646822243</v>
      </c>
      <c r="DL477" s="38">
        <f t="shared" si="2166"/>
        <v>543.65768038041256</v>
      </c>
      <c r="DM477" s="4" t="e">
        <f t="shared" si="2167"/>
        <v>#REF!</v>
      </c>
      <c r="DN477" s="4">
        <f t="shared" si="2168"/>
        <v>2.2583179581272428</v>
      </c>
      <c r="DO477" s="4">
        <f t="shared" si="2169"/>
        <v>331.33580316116183</v>
      </c>
      <c r="DS477" s="4">
        <f t="shared" si="2170"/>
        <v>0.85</v>
      </c>
      <c r="DT477" s="4">
        <f t="shared" si="2171"/>
        <v>0.7</v>
      </c>
      <c r="DU477" s="4">
        <f t="shared" si="2172"/>
        <v>1</v>
      </c>
      <c r="DV477" s="4">
        <f t="shared" si="2173"/>
        <v>0.7</v>
      </c>
      <c r="DX477" s="4">
        <f t="shared" si="2174"/>
        <v>889.65517241379314</v>
      </c>
      <c r="EB477" s="4">
        <f t="shared" si="2175"/>
        <v>10.952938000267244</v>
      </c>
      <c r="EE477" s="4">
        <f t="shared" si="2176"/>
        <v>57.361276136431961</v>
      </c>
      <c r="EF477" s="4">
        <f t="shared" si="2177"/>
        <v>2.2583179581272428</v>
      </c>
      <c r="EG477" s="4">
        <f t="shared" si="2178"/>
        <v>0.13815520096222064</v>
      </c>
      <c r="EJ477" s="4">
        <f t="shared" si="2179"/>
        <v>0.13815520096222064</v>
      </c>
      <c r="EK477" s="4">
        <f t="shared" si="2180"/>
        <v>0.35332013969964099</v>
      </c>
      <c r="EL477" s="4">
        <f t="shared" si="2181"/>
        <v>7.2243368340770866</v>
      </c>
      <c r="EM477" s="4">
        <f t="shared" si="2182"/>
        <v>9.2786409214601537</v>
      </c>
      <c r="EN477" s="4" t="e">
        <f t="shared" si="2183"/>
        <v>#REF!</v>
      </c>
      <c r="EO477" s="4" t="e">
        <f t="shared" si="2184"/>
        <v>#REF!</v>
      </c>
      <c r="EP477" s="4" t="e">
        <f t="shared" si="2185"/>
        <v>#REF!</v>
      </c>
      <c r="EQ477" s="4" t="e">
        <f t="shared" si="2186"/>
        <v>#REF!</v>
      </c>
      <c r="ER477" s="4" t="e">
        <f t="shared" si="2187"/>
        <v>#REF!</v>
      </c>
      <c r="FA477" s="23"/>
      <c r="FB477" s="23"/>
      <c r="FC477" s="23"/>
      <c r="FD477" s="23"/>
      <c r="FE477" s="23"/>
      <c r="FF477" s="23"/>
      <c r="FG477" s="23"/>
      <c r="FH477" s="23"/>
      <c r="FR477" s="4">
        <f t="shared" si="2188"/>
        <v>1</v>
      </c>
      <c r="FS477" s="4">
        <f t="shared" si="2189"/>
        <v>1.0833333333333333</v>
      </c>
      <c r="FT477" s="4">
        <f t="shared" si="2190"/>
        <v>0</v>
      </c>
      <c r="FU477" s="4">
        <f t="shared" si="2191"/>
        <v>147.56080295276789</v>
      </c>
    </row>
    <row r="478" spans="1:177" ht="12" customHeight="1" x14ac:dyDescent="0.3">
      <c r="A478" s="113"/>
      <c r="B478" s="24"/>
      <c r="C478" s="43" t="s">
        <v>628</v>
      </c>
      <c r="D478" s="38">
        <f t="shared" si="2129"/>
        <v>889.65517241379314</v>
      </c>
      <c r="E478" s="45">
        <v>152.39999999999998</v>
      </c>
      <c r="F478" s="45">
        <v>50.96551724137931</v>
      </c>
      <c r="G478" s="7">
        <v>25.4</v>
      </c>
      <c r="H478" s="45">
        <v>1219.1999999999998</v>
      </c>
      <c r="I478" s="45">
        <v>596.9</v>
      </c>
      <c r="J478" s="45">
        <v>596.9</v>
      </c>
      <c r="K478" s="7"/>
      <c r="L478" s="38">
        <v>1</v>
      </c>
      <c r="N478" s="7">
        <f t="shared" si="2130"/>
        <v>24</v>
      </c>
      <c r="O478" s="7">
        <f t="shared" si="2131"/>
        <v>24</v>
      </c>
      <c r="P478" s="45">
        <v>9.1</v>
      </c>
      <c r="Q478" s="4">
        <f t="shared" si="2132"/>
        <v>9.1</v>
      </c>
      <c r="R478" s="4">
        <f t="shared" si="2133"/>
        <v>10.1</v>
      </c>
      <c r="S478" s="7">
        <f t="shared" si="2134"/>
        <v>80.72246279691916</v>
      </c>
      <c r="V478" s="45">
        <v>567.58620689655174</v>
      </c>
      <c r="Y478" s="38"/>
      <c r="Z478" s="38"/>
      <c r="AA478" s="39">
        <v>1</v>
      </c>
      <c r="AB478" s="39"/>
      <c r="AC478" s="39"/>
      <c r="AE478" s="4">
        <f t="shared" si="2135"/>
        <v>152.39999999999998</v>
      </c>
      <c r="AF478" s="4">
        <f t="shared" si="2136"/>
        <v>0.99999999999999989</v>
      </c>
      <c r="AG478" s="4">
        <f t="shared" si="2137"/>
        <v>265.0686425289295</v>
      </c>
      <c r="AH478" s="4">
        <f t="shared" si="2138"/>
        <v>1</v>
      </c>
      <c r="AI478" s="4">
        <v>1.25</v>
      </c>
      <c r="AJ478" s="4">
        <v>1</v>
      </c>
      <c r="AK478" s="38">
        <f t="shared" si="2139"/>
        <v>331.33580316116183</v>
      </c>
      <c r="AL478" s="38">
        <f t="shared" si="2192"/>
        <v>331.33580316116183</v>
      </c>
      <c r="AM478" s="38">
        <f t="shared" si="2140"/>
        <v>4.093765657510513</v>
      </c>
      <c r="AR478" s="4" t="e">
        <f>#REF!/G478*F478^0.5/0.19</f>
        <v>#REF!</v>
      </c>
      <c r="AS478" s="4">
        <f t="shared" si="2141"/>
        <v>1</v>
      </c>
      <c r="AT478" s="38">
        <f t="shared" si="2142"/>
        <v>7379.6942647148926</v>
      </c>
      <c r="AU478" s="4">
        <f t="shared" si="2143"/>
        <v>0.3</v>
      </c>
      <c r="AV478" s="4" t="e">
        <f>AU478*D478*#REF!/(D478*G478/2.75/F478^0.5)</f>
        <v>#REF!</v>
      </c>
      <c r="AW478" s="4" t="e">
        <f t="shared" si="2144"/>
        <v>#REF!</v>
      </c>
      <c r="AY478" s="4">
        <f t="shared" si="2145"/>
        <v>1.5</v>
      </c>
      <c r="AZ478" s="4" t="e">
        <f>(3*#REF!+30)*AY478*F478^0.5</f>
        <v>#REF!</v>
      </c>
      <c r="BB478" s="4">
        <f t="shared" si="2146"/>
        <v>7078.029277662743</v>
      </c>
      <c r="BC478" s="4">
        <f t="shared" si="2147"/>
        <v>0</v>
      </c>
      <c r="BD478" s="4">
        <f t="shared" si="2148"/>
        <v>0</v>
      </c>
      <c r="BL478" s="4">
        <f t="shared" si="2149"/>
        <v>596.9</v>
      </c>
      <c r="BP478" s="9"/>
      <c r="BR478" s="9"/>
      <c r="BS478" s="9"/>
      <c r="BT478" s="9">
        <f t="shared" si="2150"/>
        <v>596.9</v>
      </c>
      <c r="BU478" s="9">
        <f t="shared" si="2151"/>
        <v>596.9</v>
      </c>
      <c r="BV478" s="9">
        <f t="shared" si="2152"/>
        <v>4.8476798574163293</v>
      </c>
      <c r="BW478" s="40">
        <f t="shared" si="2153"/>
        <v>0</v>
      </c>
      <c r="BX478" s="9">
        <f t="shared" si="2154"/>
        <v>0</v>
      </c>
      <c r="BY478" s="9">
        <f t="shared" si="2155"/>
        <v>0</v>
      </c>
      <c r="BZ478" s="9">
        <f t="shared" si="2156"/>
        <v>0.99524931562137331</v>
      </c>
      <c r="CA478" s="9">
        <f t="shared" si="2157"/>
        <v>0.68</v>
      </c>
      <c r="CB478" s="9">
        <f t="shared" si="2158"/>
        <v>1.6910134532890686</v>
      </c>
      <c r="CC478" s="9">
        <f t="shared" si="2159"/>
        <v>4.2275336332226718</v>
      </c>
      <c r="CD478" s="40">
        <v>1</v>
      </c>
      <c r="CE478" s="9" t="e">
        <f>4*CC478*#REF!+60*CC478</f>
        <v>#REF!</v>
      </c>
      <c r="DC478" s="4" t="e">
        <f>#REF!</f>
        <v>#REF!</v>
      </c>
      <c r="DF478" s="4">
        <f t="shared" si="2160"/>
        <v>1.2315673098492836E-5</v>
      </c>
      <c r="DG478" s="4">
        <f t="shared" si="2161"/>
        <v>10.952938000267244</v>
      </c>
      <c r="DH478" s="4">
        <f t="shared" si="2162"/>
        <v>0.2240198265930059</v>
      </c>
      <c r="DI478" s="4">
        <f t="shared" si="2163"/>
        <v>6.0206753837110494</v>
      </c>
      <c r="DJ478" s="4">
        <f t="shared" si="2164"/>
        <v>8.8406045061947474</v>
      </c>
      <c r="DK478" s="4">
        <f t="shared" si="2165"/>
        <v>10.68681250650315</v>
      </c>
      <c r="DL478" s="38">
        <f t="shared" si="2166"/>
        <v>518.74005951961703</v>
      </c>
      <c r="DM478" s="4" t="e">
        <f t="shared" si="2167"/>
        <v>#REF!</v>
      </c>
      <c r="DN478" s="4">
        <f t="shared" si="2168"/>
        <v>3.1780497164141401</v>
      </c>
      <c r="DO478" s="4">
        <f t="shared" si="2169"/>
        <v>331.33580316116183</v>
      </c>
      <c r="DS478" s="4">
        <f t="shared" si="2170"/>
        <v>0.85</v>
      </c>
      <c r="DT478" s="4">
        <f t="shared" si="2171"/>
        <v>0.7</v>
      </c>
      <c r="DU478" s="4">
        <f t="shared" si="2172"/>
        <v>1</v>
      </c>
      <c r="DV478" s="4">
        <f t="shared" si="2173"/>
        <v>0.7</v>
      </c>
      <c r="DX478" s="4">
        <f t="shared" si="2174"/>
        <v>889.65517241379314</v>
      </c>
      <c r="EB478" s="4">
        <f t="shared" si="2175"/>
        <v>10.952938000267244</v>
      </c>
      <c r="EE478" s="4">
        <f t="shared" si="2176"/>
        <v>80.72246279691916</v>
      </c>
      <c r="EF478" s="4">
        <f t="shared" si="2177"/>
        <v>3.1780497164141406</v>
      </c>
      <c r="EG478" s="4">
        <f t="shared" si="2178"/>
        <v>8.7596207192686099E-2</v>
      </c>
      <c r="EJ478" s="4">
        <f t="shared" si="2179"/>
        <v>8.7596207192686099E-2</v>
      </c>
      <c r="EK478" s="4">
        <f t="shared" si="2180"/>
        <v>0.2240198265930059</v>
      </c>
      <c r="EL478" s="4">
        <f t="shared" si="2181"/>
        <v>6.0206753837110494</v>
      </c>
      <c r="EM478" s="4">
        <f t="shared" si="2182"/>
        <v>8.8406045061947474</v>
      </c>
      <c r="EN478" s="4" t="e">
        <f t="shared" si="2183"/>
        <v>#REF!</v>
      </c>
      <c r="EO478" s="4" t="e">
        <f t="shared" si="2184"/>
        <v>#REF!</v>
      </c>
      <c r="EP478" s="4" t="e">
        <f t="shared" si="2185"/>
        <v>#REF!</v>
      </c>
      <c r="EQ478" s="4" t="e">
        <f t="shared" si="2186"/>
        <v>#REF!</v>
      </c>
      <c r="ER478" s="4" t="e">
        <f t="shared" si="2187"/>
        <v>#REF!</v>
      </c>
      <c r="FA478" s="23"/>
      <c r="FB478" s="23"/>
      <c r="FC478" s="23"/>
      <c r="FD478" s="23"/>
      <c r="FE478" s="23"/>
      <c r="FF478" s="23"/>
      <c r="FG478" s="23"/>
      <c r="FH478" s="23"/>
      <c r="FR478" s="4">
        <f t="shared" si="2188"/>
        <v>1</v>
      </c>
      <c r="FS478" s="4">
        <f t="shared" si="2189"/>
        <v>1.0833333333333333</v>
      </c>
      <c r="FT478" s="4">
        <f t="shared" si="2190"/>
        <v>0</v>
      </c>
      <c r="FU478" s="4">
        <f t="shared" si="2191"/>
        <v>147.56080295276789</v>
      </c>
    </row>
    <row r="479" spans="1:177" ht="12" customHeight="1" x14ac:dyDescent="0.3">
      <c r="A479" s="113"/>
      <c r="B479" s="24"/>
      <c r="C479" s="43" t="s">
        <v>629</v>
      </c>
      <c r="D479" s="38">
        <f t="shared" si="2129"/>
        <v>889.65517241379314</v>
      </c>
      <c r="E479" s="45">
        <v>154.93999999999997</v>
      </c>
      <c r="F479" s="45">
        <v>50.96551724137931</v>
      </c>
      <c r="G479" s="7">
        <v>25.4</v>
      </c>
      <c r="H479" s="45">
        <v>1219.1999999999998</v>
      </c>
      <c r="I479" s="45">
        <v>596.9</v>
      </c>
      <c r="J479" s="45">
        <v>596.9</v>
      </c>
      <c r="K479" s="7"/>
      <c r="L479" s="38">
        <v>1</v>
      </c>
      <c r="N479" s="7">
        <f t="shared" si="2130"/>
        <v>24</v>
      </c>
      <c r="O479" s="7">
        <f t="shared" si="2131"/>
        <v>24</v>
      </c>
      <c r="P479" s="45">
        <v>4</v>
      </c>
      <c r="Q479" s="4">
        <f t="shared" si="2132"/>
        <v>4</v>
      </c>
      <c r="R479" s="4">
        <f t="shared" si="2133"/>
        <v>5</v>
      </c>
      <c r="S479" s="7">
        <f t="shared" si="2134"/>
        <v>56.796126628494655</v>
      </c>
      <c r="V479" s="45">
        <v>528.27586206896547</v>
      </c>
      <c r="Y479" s="38"/>
      <c r="Z479" s="38"/>
      <c r="AA479" s="39">
        <v>1</v>
      </c>
      <c r="AB479" s="39"/>
      <c r="AC479" s="39"/>
      <c r="AE479" s="4">
        <f t="shared" si="2135"/>
        <v>154.93999999999997</v>
      </c>
      <c r="AF479" s="4">
        <f t="shared" si="2136"/>
        <v>1</v>
      </c>
      <c r="AG479" s="4">
        <f t="shared" si="2137"/>
        <v>271.72289368638678</v>
      </c>
      <c r="AH479" s="4">
        <f t="shared" si="2138"/>
        <v>1</v>
      </c>
      <c r="AI479" s="4">
        <v>1.25</v>
      </c>
      <c r="AJ479" s="4">
        <v>1</v>
      </c>
      <c r="AK479" s="38">
        <f t="shared" si="2139"/>
        <v>339.65361710798345</v>
      </c>
      <c r="AL479" s="38">
        <f t="shared" si="2192"/>
        <v>339.65361710798345</v>
      </c>
      <c r="AM479" s="38">
        <f t="shared" si="2140"/>
        <v>4.093765657510513</v>
      </c>
      <c r="AR479" s="4" t="e">
        <f>#REF!/G479*F479^0.5/0.19</f>
        <v>#REF!</v>
      </c>
      <c r="AS479" s="4">
        <f t="shared" si="2141"/>
        <v>1</v>
      </c>
      <c r="AT479" s="38">
        <f t="shared" si="2142"/>
        <v>4892.6896551724139</v>
      </c>
      <c r="AU479" s="4">
        <f t="shared" si="2143"/>
        <v>0.44000000000000006</v>
      </c>
      <c r="AV479" s="4" t="e">
        <f>AU479*D479*#REF!/(D479*G479/2.75/F479^0.5)</f>
        <v>#REF!</v>
      </c>
      <c r="AW479" s="4" t="e">
        <f t="shared" si="2144"/>
        <v>#REF!</v>
      </c>
      <c r="AY479" s="4">
        <f t="shared" si="2145"/>
        <v>1.5</v>
      </c>
      <c r="AZ479" s="4" t="e">
        <f>(3*#REF!+30)*AY479*F479^0.5</f>
        <v>#REF!</v>
      </c>
      <c r="BB479" s="4">
        <f t="shared" si="2146"/>
        <v>4692.6877162662367</v>
      </c>
      <c r="BC479" s="4">
        <f t="shared" si="2147"/>
        <v>0</v>
      </c>
      <c r="BD479" s="4">
        <f t="shared" si="2148"/>
        <v>0</v>
      </c>
      <c r="BL479" s="4">
        <f t="shared" si="2149"/>
        <v>596.9</v>
      </c>
      <c r="BP479" s="9"/>
      <c r="BR479" s="9"/>
      <c r="BS479" s="9"/>
      <c r="BT479" s="9">
        <f t="shared" si="2150"/>
        <v>596.9</v>
      </c>
      <c r="BU479" s="9">
        <f t="shared" si="2151"/>
        <v>596.9</v>
      </c>
      <c r="BV479" s="9">
        <f t="shared" si="2152"/>
        <v>4.8476798574163293</v>
      </c>
      <c r="BW479" s="40">
        <f t="shared" si="2153"/>
        <v>0</v>
      </c>
      <c r="BX479" s="9">
        <f t="shared" si="2154"/>
        <v>0</v>
      </c>
      <c r="BY479" s="9">
        <f t="shared" si="2155"/>
        <v>0</v>
      </c>
      <c r="BZ479" s="9">
        <f t="shared" si="2156"/>
        <v>0.99524931562137331</v>
      </c>
      <c r="CA479" s="9">
        <f t="shared" si="2157"/>
        <v>0.68</v>
      </c>
      <c r="CB479" s="9">
        <f t="shared" si="2158"/>
        <v>1.6910134532890686</v>
      </c>
      <c r="CC479" s="9">
        <f t="shared" si="2159"/>
        <v>4.2275336332226718</v>
      </c>
      <c r="CD479" s="40">
        <v>1</v>
      </c>
      <c r="CE479" s="9" t="e">
        <f>4*CC479*#REF!+60*CC479</f>
        <v>#REF!</v>
      </c>
      <c r="DC479" s="4" t="e">
        <f>#REF!</f>
        <v>#REF!</v>
      </c>
      <c r="DF479" s="4">
        <f t="shared" si="2160"/>
        <v>1.2520934316801049E-5</v>
      </c>
      <c r="DG479" s="4">
        <f t="shared" si="2161"/>
        <v>10.952938000267244</v>
      </c>
      <c r="DH479" s="4">
        <f t="shared" si="2162"/>
        <v>0.36758692053052205</v>
      </c>
      <c r="DI479" s="4">
        <f t="shared" si="2163"/>
        <v>7.3396381486517051</v>
      </c>
      <c r="DJ479" s="4">
        <f t="shared" si="2164"/>
        <v>9.3236788279505589</v>
      </c>
      <c r="DK479" s="4">
        <f t="shared" si="2165"/>
        <v>10.630203294189718</v>
      </c>
      <c r="DL479" s="38">
        <f t="shared" si="2166"/>
        <v>557.37538043788754</v>
      </c>
      <c r="DM479" s="4" t="e">
        <f t="shared" si="2167"/>
        <v>#REF!</v>
      </c>
      <c r="DN479" s="4">
        <f t="shared" si="2168"/>
        <v>2.2360679774997898</v>
      </c>
      <c r="DO479" s="4">
        <f t="shared" si="2169"/>
        <v>339.65361710798345</v>
      </c>
      <c r="DS479" s="4">
        <f t="shared" si="2170"/>
        <v>0.85</v>
      </c>
      <c r="DT479" s="4">
        <f t="shared" si="2171"/>
        <v>0.7</v>
      </c>
      <c r="DU479" s="4">
        <f t="shared" si="2172"/>
        <v>1</v>
      </c>
      <c r="DV479" s="4">
        <f t="shared" si="2173"/>
        <v>0.7</v>
      </c>
      <c r="DX479" s="4">
        <f t="shared" si="2174"/>
        <v>889.65517241379314</v>
      </c>
      <c r="EB479" s="4">
        <f t="shared" si="2175"/>
        <v>10.952938000267244</v>
      </c>
      <c r="EE479" s="4">
        <f t="shared" si="2176"/>
        <v>56.796126628494655</v>
      </c>
      <c r="EF479" s="4">
        <f t="shared" si="2177"/>
        <v>2.2360679774997898</v>
      </c>
      <c r="EG479" s="4">
        <f t="shared" si="2178"/>
        <v>0.14373379598499492</v>
      </c>
      <c r="EJ479" s="4">
        <f t="shared" si="2179"/>
        <v>0.14373379598499492</v>
      </c>
      <c r="EK479" s="4">
        <f t="shared" si="2180"/>
        <v>0.36758692053052205</v>
      </c>
      <c r="EL479" s="4">
        <f t="shared" si="2181"/>
        <v>7.3396381486517051</v>
      </c>
      <c r="EM479" s="4">
        <f t="shared" si="2182"/>
        <v>9.3236788279505589</v>
      </c>
      <c r="EN479" s="4" t="e">
        <f t="shared" si="2183"/>
        <v>#REF!</v>
      </c>
      <c r="EO479" s="4" t="e">
        <f t="shared" si="2184"/>
        <v>#REF!</v>
      </c>
      <c r="EP479" s="4" t="e">
        <f t="shared" si="2185"/>
        <v>#REF!</v>
      </c>
      <c r="EQ479" s="4" t="e">
        <f t="shared" si="2186"/>
        <v>#REF!</v>
      </c>
      <c r="ER479" s="4" t="e">
        <f t="shared" si="2187"/>
        <v>#REF!</v>
      </c>
      <c r="FA479" s="23"/>
      <c r="FB479" s="23"/>
      <c r="FC479" s="23"/>
      <c r="FD479" s="23"/>
      <c r="FE479" s="23"/>
      <c r="FF479" s="23"/>
      <c r="FG479" s="23"/>
      <c r="FH479" s="23"/>
      <c r="FR479" s="4">
        <f t="shared" si="2188"/>
        <v>1</v>
      </c>
      <c r="FS479" s="4">
        <f t="shared" si="2189"/>
        <v>1.0833333333333333</v>
      </c>
      <c r="FT479" s="4">
        <f t="shared" si="2190"/>
        <v>0</v>
      </c>
      <c r="FU479" s="4">
        <f t="shared" si="2191"/>
        <v>150.02014966864735</v>
      </c>
    </row>
    <row r="480" spans="1:177" ht="12" customHeight="1" x14ac:dyDescent="0.3">
      <c r="A480" s="113"/>
      <c r="B480" s="24"/>
      <c r="C480" s="43" t="s">
        <v>630</v>
      </c>
      <c r="D480" s="38">
        <f t="shared" si="2129"/>
        <v>889.65517241379314</v>
      </c>
      <c r="E480" s="45">
        <v>154.93999999999997</v>
      </c>
      <c r="F480" s="45">
        <v>50.96551724137931</v>
      </c>
      <c r="G480" s="7">
        <v>25.4</v>
      </c>
      <c r="H480" s="45">
        <v>1219.1999999999998</v>
      </c>
      <c r="I480" s="45">
        <v>596.9</v>
      </c>
      <c r="J480" s="45">
        <v>596.9</v>
      </c>
      <c r="K480" s="7"/>
      <c r="L480" s="38">
        <v>1</v>
      </c>
      <c r="N480" s="7">
        <f t="shared" si="2130"/>
        <v>24</v>
      </c>
      <c r="O480" s="7">
        <f t="shared" si="2131"/>
        <v>24</v>
      </c>
      <c r="P480" s="45">
        <v>9.5</v>
      </c>
      <c r="Q480" s="4">
        <f t="shared" si="2132"/>
        <v>9.5</v>
      </c>
      <c r="R480" s="4">
        <f t="shared" si="2133"/>
        <v>10.5</v>
      </c>
      <c r="S480" s="7">
        <f t="shared" si="2134"/>
        <v>82.305406869779816</v>
      </c>
      <c r="V480" s="45">
        <v>503.44827586206901</v>
      </c>
      <c r="Y480" s="38"/>
      <c r="Z480" s="38"/>
      <c r="AA480" s="39">
        <v>1</v>
      </c>
      <c r="AB480" s="39"/>
      <c r="AC480" s="39"/>
      <c r="AE480" s="4">
        <f t="shared" si="2135"/>
        <v>154.93999999999997</v>
      </c>
      <c r="AF480" s="4">
        <f t="shared" si="2136"/>
        <v>1</v>
      </c>
      <c r="AG480" s="4">
        <f t="shared" si="2137"/>
        <v>271.72289368638678</v>
      </c>
      <c r="AH480" s="4">
        <f t="shared" si="2138"/>
        <v>1</v>
      </c>
      <c r="AI480" s="4">
        <v>1.25</v>
      </c>
      <c r="AJ480" s="4">
        <v>1</v>
      </c>
      <c r="AK480" s="38">
        <f t="shared" si="2139"/>
        <v>339.65361710798345</v>
      </c>
      <c r="AL480" s="38">
        <f t="shared" si="2192"/>
        <v>339.65361710798345</v>
      </c>
      <c r="AM480" s="38">
        <f t="shared" si="2140"/>
        <v>4.093765657510513</v>
      </c>
      <c r="AR480" s="4" t="e">
        <f>#REF!/G480*F480^0.5/0.19</f>
        <v>#REF!</v>
      </c>
      <c r="AS480" s="4">
        <f t="shared" si="2141"/>
        <v>1</v>
      </c>
      <c r="AT480" s="38">
        <f t="shared" si="2142"/>
        <v>7540.1411556315707</v>
      </c>
      <c r="AU480" s="4">
        <f t="shared" si="2143"/>
        <v>0.3</v>
      </c>
      <c r="AV480" s="4" t="e">
        <f>AU480*D480*#REF!/(D480*G480/2.75/F480^0.5)</f>
        <v>#REF!</v>
      </c>
      <c r="AW480" s="4" t="e">
        <f t="shared" si="2144"/>
        <v>#REF!</v>
      </c>
      <c r="AY480" s="4">
        <f t="shared" si="2145"/>
        <v>1.5</v>
      </c>
      <c r="AZ480" s="4" t="e">
        <f>(3*#REF!+30)*AY480*F480^0.5</f>
        <v>#REF!</v>
      </c>
      <c r="BB480" s="4">
        <f t="shared" si="2146"/>
        <v>7231.9174674280239</v>
      </c>
      <c r="BC480" s="4">
        <f t="shared" si="2147"/>
        <v>0</v>
      </c>
      <c r="BD480" s="4">
        <f t="shared" si="2148"/>
        <v>0</v>
      </c>
      <c r="BL480" s="4">
        <f t="shared" si="2149"/>
        <v>596.9</v>
      </c>
      <c r="BP480" s="9"/>
      <c r="BR480" s="9"/>
      <c r="BS480" s="9"/>
      <c r="BT480" s="9">
        <f t="shared" si="2150"/>
        <v>596.9</v>
      </c>
      <c r="BU480" s="9">
        <f t="shared" si="2151"/>
        <v>596.9</v>
      </c>
      <c r="BV480" s="9">
        <f t="shared" si="2152"/>
        <v>4.8476798574163293</v>
      </c>
      <c r="BW480" s="40">
        <f t="shared" si="2153"/>
        <v>0</v>
      </c>
      <c r="BX480" s="9">
        <f t="shared" si="2154"/>
        <v>0</v>
      </c>
      <c r="BY480" s="9">
        <f t="shared" si="2155"/>
        <v>0</v>
      </c>
      <c r="BZ480" s="9">
        <f t="shared" si="2156"/>
        <v>0.99524931562137331</v>
      </c>
      <c r="CA480" s="9">
        <f t="shared" si="2157"/>
        <v>0.68</v>
      </c>
      <c r="CB480" s="9">
        <f t="shared" si="2158"/>
        <v>1.6910134532890686</v>
      </c>
      <c r="CC480" s="9">
        <f t="shared" si="2159"/>
        <v>4.2275336332226718</v>
      </c>
      <c r="CD480" s="40">
        <v>1</v>
      </c>
      <c r="CE480" s="9" t="e">
        <f>4*CC480*#REF!+60*CC480</f>
        <v>#REF!</v>
      </c>
      <c r="DC480" s="4" t="e">
        <f>#REF!</f>
        <v>#REF!</v>
      </c>
      <c r="DF480" s="4">
        <f t="shared" si="2160"/>
        <v>1.2520934316801049E-5</v>
      </c>
      <c r="DG480" s="4">
        <f t="shared" si="2161"/>
        <v>10.952938000267244</v>
      </c>
      <c r="DH480" s="4">
        <f t="shared" si="2162"/>
        <v>0.22428802325807964</v>
      </c>
      <c r="DI480" s="4">
        <f t="shared" si="2163"/>
        <v>6.0235575312584908</v>
      </c>
      <c r="DJ480" s="4">
        <f t="shared" si="2164"/>
        <v>8.841578977482591</v>
      </c>
      <c r="DK480" s="4">
        <f t="shared" si="2165"/>
        <v>10.678024043481885</v>
      </c>
      <c r="DL480" s="38">
        <f t="shared" si="2166"/>
        <v>530.0647265100929</v>
      </c>
      <c r="DM480" s="4" t="e">
        <f t="shared" si="2167"/>
        <v>#REF!</v>
      </c>
      <c r="DN480" s="4">
        <f t="shared" si="2168"/>
        <v>3.2403703492039297</v>
      </c>
      <c r="DO480" s="4">
        <f t="shared" si="2169"/>
        <v>339.65361710798345</v>
      </c>
      <c r="DS480" s="4">
        <f t="shared" si="2170"/>
        <v>0.85</v>
      </c>
      <c r="DT480" s="4">
        <f t="shared" si="2171"/>
        <v>0.7</v>
      </c>
      <c r="DU480" s="4">
        <f t="shared" si="2172"/>
        <v>1</v>
      </c>
      <c r="DV480" s="4">
        <f t="shared" si="2173"/>
        <v>0.7</v>
      </c>
      <c r="DX480" s="4">
        <f t="shared" si="2174"/>
        <v>889.65517241379314</v>
      </c>
      <c r="EB480" s="4">
        <f t="shared" si="2175"/>
        <v>10.952938000267244</v>
      </c>
      <c r="EE480" s="4">
        <f t="shared" si="2176"/>
        <v>82.305406869779816</v>
      </c>
      <c r="EF480" s="4">
        <f t="shared" si="2177"/>
        <v>3.2403703492039302</v>
      </c>
      <c r="EG480" s="4">
        <f t="shared" si="2178"/>
        <v>8.7701077422252291E-2</v>
      </c>
      <c r="EJ480" s="4">
        <f t="shared" si="2179"/>
        <v>8.7701077422252291E-2</v>
      </c>
      <c r="EK480" s="4">
        <f t="shared" si="2180"/>
        <v>0.22428802325807964</v>
      </c>
      <c r="EL480" s="4">
        <f t="shared" si="2181"/>
        <v>6.0235575312584908</v>
      </c>
      <c r="EM480" s="4">
        <f t="shared" si="2182"/>
        <v>8.841578977482591</v>
      </c>
      <c r="EN480" s="4" t="e">
        <f t="shared" si="2183"/>
        <v>#REF!</v>
      </c>
      <c r="EO480" s="4" t="e">
        <f t="shared" si="2184"/>
        <v>#REF!</v>
      </c>
      <c r="EP480" s="4" t="e">
        <f t="shared" si="2185"/>
        <v>#REF!</v>
      </c>
      <c r="EQ480" s="4" t="e">
        <f t="shared" si="2186"/>
        <v>#REF!</v>
      </c>
      <c r="ER480" s="4" t="e">
        <f t="shared" si="2187"/>
        <v>#REF!</v>
      </c>
      <c r="FA480" s="23"/>
      <c r="FB480" s="23"/>
      <c r="FC480" s="23"/>
      <c r="FD480" s="23"/>
      <c r="FE480" s="23"/>
      <c r="FF480" s="23"/>
      <c r="FG480" s="23"/>
      <c r="FH480" s="23"/>
      <c r="FR480" s="4">
        <f t="shared" si="2188"/>
        <v>1</v>
      </c>
      <c r="FS480" s="4">
        <f t="shared" si="2189"/>
        <v>1.0833333333333333</v>
      </c>
      <c r="FT480" s="4">
        <f t="shared" si="2190"/>
        <v>0</v>
      </c>
      <c r="FU480" s="4">
        <f t="shared" si="2191"/>
        <v>150.02014966864735</v>
      </c>
    </row>
    <row r="481" spans="1:178" ht="12" customHeight="1" x14ac:dyDescent="0.3">
      <c r="A481" s="113"/>
      <c r="B481" s="24"/>
      <c r="C481" s="43" t="s">
        <v>631</v>
      </c>
      <c r="D481" s="38">
        <f t="shared" si="2129"/>
        <v>889.65517241379314</v>
      </c>
      <c r="E481" s="45">
        <v>160.01999999999998</v>
      </c>
      <c r="F481" s="45">
        <v>59.448275862068968</v>
      </c>
      <c r="G481" s="7">
        <v>25.4</v>
      </c>
      <c r="H481" s="45">
        <v>1219.1999999999998</v>
      </c>
      <c r="I481" s="45">
        <v>596.9</v>
      </c>
      <c r="J481" s="45">
        <v>596.9</v>
      </c>
      <c r="K481" s="7"/>
      <c r="L481" s="38">
        <v>1</v>
      </c>
      <c r="N481" s="7">
        <f t="shared" si="2130"/>
        <v>24</v>
      </c>
      <c r="O481" s="7">
        <f t="shared" si="2131"/>
        <v>24</v>
      </c>
      <c r="P481" s="45">
        <v>12.9</v>
      </c>
      <c r="Q481" s="4">
        <f t="shared" si="2132"/>
        <v>12.9</v>
      </c>
      <c r="R481" s="4">
        <f t="shared" si="2133"/>
        <v>13.9</v>
      </c>
      <c r="S481" s="7">
        <f t="shared" si="2134"/>
        <v>94.698067562120812</v>
      </c>
      <c r="V481" s="45">
        <v>689.65517241379314</v>
      </c>
      <c r="Y481" s="38"/>
      <c r="Z481" s="38"/>
      <c r="AA481" s="39">
        <v>1</v>
      </c>
      <c r="AB481" s="39"/>
      <c r="AC481" s="39"/>
      <c r="AE481" s="4">
        <f t="shared" si="2135"/>
        <v>160.01999999999998</v>
      </c>
      <c r="AF481" s="4">
        <f t="shared" si="2136"/>
        <v>1</v>
      </c>
      <c r="AG481" s="4">
        <f t="shared" si="2137"/>
        <v>308.01631180193135</v>
      </c>
      <c r="AH481" s="4">
        <f t="shared" si="2138"/>
        <v>1</v>
      </c>
      <c r="AI481" s="4">
        <v>1.25</v>
      </c>
      <c r="AJ481" s="4">
        <v>1</v>
      </c>
      <c r="AK481" s="38">
        <f t="shared" si="2139"/>
        <v>385.02038975241419</v>
      </c>
      <c r="AL481" s="38">
        <f t="shared" si="2192"/>
        <v>385.02038975241419</v>
      </c>
      <c r="AM481" s="38">
        <f t="shared" si="2140"/>
        <v>4.3396934501138817</v>
      </c>
      <c r="AR481" s="4" t="e">
        <f>#REF!/G481*F481^0.5/0.19</f>
        <v>#REF!</v>
      </c>
      <c r="AS481" s="4">
        <f t="shared" si="2141"/>
        <v>1</v>
      </c>
      <c r="AT481" s="38">
        <f t="shared" si="2142"/>
        <v>10248.855172376669</v>
      </c>
      <c r="AU481" s="4">
        <f t="shared" si="2143"/>
        <v>0.3</v>
      </c>
      <c r="AV481" s="4" t="e">
        <f>AU481*D481*#REF!/(D481*G481/2.75/F481^0.5)</f>
        <v>#REF!</v>
      </c>
      <c r="AW481" s="4" t="e">
        <f t="shared" si="2144"/>
        <v>#REF!</v>
      </c>
      <c r="AY481" s="4">
        <f t="shared" si="2145"/>
        <v>1.5</v>
      </c>
      <c r="AZ481" s="4" t="e">
        <f>(3*#REF!+30)*AY481*F481^0.5</f>
        <v>#REF!</v>
      </c>
      <c r="BB481" s="4">
        <f t="shared" si="2146"/>
        <v>9829.9054636255823</v>
      </c>
      <c r="BC481" s="4">
        <f t="shared" si="2147"/>
        <v>0</v>
      </c>
      <c r="BD481" s="4">
        <f t="shared" si="2148"/>
        <v>0</v>
      </c>
      <c r="BL481" s="4">
        <f t="shared" si="2149"/>
        <v>596.9</v>
      </c>
      <c r="BP481" s="9"/>
      <c r="BR481" s="9"/>
      <c r="BS481" s="9"/>
      <c r="BT481" s="9">
        <f t="shared" si="2150"/>
        <v>596.9</v>
      </c>
      <c r="BU481" s="9">
        <f t="shared" si="2151"/>
        <v>596.9</v>
      </c>
      <c r="BV481" s="9">
        <f t="shared" si="2152"/>
        <v>4.8476798574163293</v>
      </c>
      <c r="BW481" s="40">
        <f t="shared" si="2153"/>
        <v>0</v>
      </c>
      <c r="BX481" s="9">
        <f t="shared" si="2154"/>
        <v>0</v>
      </c>
      <c r="BY481" s="9">
        <f t="shared" si="2155"/>
        <v>0</v>
      </c>
      <c r="BZ481" s="9">
        <f t="shared" si="2156"/>
        <v>0.99524931562137331</v>
      </c>
      <c r="CA481" s="9">
        <f t="shared" si="2157"/>
        <v>0.68</v>
      </c>
      <c r="CB481" s="9">
        <f t="shared" si="2158"/>
        <v>1.8263267342054628</v>
      </c>
      <c r="CC481" s="9">
        <f t="shared" si="2159"/>
        <v>4.5658168355136572</v>
      </c>
      <c r="CD481" s="40">
        <v>1</v>
      </c>
      <c r="CE481" s="9" t="e">
        <f>4*CC481*#REF!+60*CC481</f>
        <v>#REF!</v>
      </c>
      <c r="DC481" s="4" t="e">
        <f>#REF!</f>
        <v>#REF!</v>
      </c>
      <c r="DF481" s="4">
        <f t="shared" si="2160"/>
        <v>1.3631853306974178E-5</v>
      </c>
      <c r="DG481" s="4">
        <f t="shared" si="2161"/>
        <v>11.829381634472119</v>
      </c>
      <c r="DH481" s="4">
        <f t="shared" si="2162"/>
        <v>0.18468745080108853</v>
      </c>
      <c r="DI481" s="4">
        <f t="shared" si="2163"/>
        <v>6.0191753840793982</v>
      </c>
      <c r="DJ481" s="4">
        <f t="shared" si="2164"/>
        <v>9.3896641998498129</v>
      </c>
      <c r="DK481" s="4">
        <f t="shared" si="2165"/>
        <v>11.494727829289342</v>
      </c>
      <c r="DL481" s="38">
        <f t="shared" si="2166"/>
        <v>584.63745402997267</v>
      </c>
      <c r="DM481" s="4" t="e">
        <f t="shared" si="2167"/>
        <v>#REF!</v>
      </c>
      <c r="DN481" s="4">
        <f t="shared" si="2168"/>
        <v>3.7282703764614493</v>
      </c>
      <c r="DO481" s="4">
        <f t="shared" si="2169"/>
        <v>385.02038975241419</v>
      </c>
      <c r="DS481" s="4">
        <f t="shared" si="2170"/>
        <v>0.85</v>
      </c>
      <c r="DT481" s="4">
        <f t="shared" si="2171"/>
        <v>0.7</v>
      </c>
      <c r="DU481" s="4">
        <f t="shared" si="2172"/>
        <v>1</v>
      </c>
      <c r="DV481" s="4">
        <f t="shared" si="2173"/>
        <v>0.7</v>
      </c>
      <c r="DX481" s="4">
        <f t="shared" si="2174"/>
        <v>889.65517241379314</v>
      </c>
      <c r="EB481" s="4">
        <f t="shared" si="2175"/>
        <v>11.829381634472119</v>
      </c>
      <c r="EE481" s="4">
        <f t="shared" si="2176"/>
        <v>94.698067562120812</v>
      </c>
      <c r="EF481" s="4">
        <f t="shared" si="2177"/>
        <v>3.7282703764614498</v>
      </c>
      <c r="EG481" s="4">
        <f t="shared" si="2178"/>
        <v>7.7995158688872135E-2</v>
      </c>
      <c r="EJ481" s="4">
        <f t="shared" si="2179"/>
        <v>7.7995158688872135E-2</v>
      </c>
      <c r="EK481" s="4">
        <f t="shared" si="2180"/>
        <v>0.18468745080108853</v>
      </c>
      <c r="EL481" s="4">
        <f t="shared" si="2181"/>
        <v>6.0191753840793982</v>
      </c>
      <c r="EM481" s="4">
        <f t="shared" si="2182"/>
        <v>9.3896641998498129</v>
      </c>
      <c r="EN481" s="4" t="e">
        <f t="shared" si="2183"/>
        <v>#REF!</v>
      </c>
      <c r="EO481" s="4" t="e">
        <f t="shared" si="2184"/>
        <v>#REF!</v>
      </c>
      <c r="EP481" s="4" t="e">
        <f t="shared" si="2185"/>
        <v>#REF!</v>
      </c>
      <c r="EQ481" s="4" t="e">
        <f t="shared" si="2186"/>
        <v>#REF!</v>
      </c>
      <c r="ER481" s="4" t="e">
        <f t="shared" si="2187"/>
        <v>#REF!</v>
      </c>
      <c r="FA481" s="23"/>
      <c r="FB481" s="23"/>
      <c r="FC481" s="23"/>
      <c r="FD481" s="23"/>
      <c r="FE481" s="23"/>
      <c r="FF481" s="23"/>
      <c r="FG481" s="23"/>
      <c r="FH481" s="23"/>
      <c r="FR481" s="4">
        <f t="shared" si="2188"/>
        <v>1</v>
      </c>
      <c r="FS481" s="4">
        <f t="shared" si="2189"/>
        <v>1.0833333333333333</v>
      </c>
      <c r="FT481" s="4">
        <f t="shared" si="2190"/>
        <v>0</v>
      </c>
      <c r="FU481" s="4">
        <f t="shared" si="2191"/>
        <v>161.01858866173305</v>
      </c>
    </row>
    <row r="482" spans="1:178" ht="12" customHeight="1" x14ac:dyDescent="0.3">
      <c r="A482" s="113"/>
      <c r="B482" s="24"/>
      <c r="C482" s="43" t="s">
        <v>632</v>
      </c>
      <c r="D482" s="38">
        <f t="shared" si="2129"/>
        <v>889.65517241379314</v>
      </c>
      <c r="E482" s="45">
        <v>160.01999999999998</v>
      </c>
      <c r="F482" s="45">
        <v>59.448275862068968</v>
      </c>
      <c r="G482" s="7">
        <v>25.4</v>
      </c>
      <c r="H482" s="45">
        <v>1219.1999999999998</v>
      </c>
      <c r="I482" s="45">
        <v>596.9</v>
      </c>
      <c r="J482" s="45">
        <v>596.9</v>
      </c>
      <c r="K482" s="7"/>
      <c r="L482" s="38">
        <v>1</v>
      </c>
      <c r="N482" s="7">
        <f t="shared" si="2130"/>
        <v>24</v>
      </c>
      <c r="O482" s="7">
        <f t="shared" si="2131"/>
        <v>24</v>
      </c>
      <c r="P482" s="45">
        <v>9.1</v>
      </c>
      <c r="Q482" s="4">
        <f t="shared" si="2132"/>
        <v>9.1</v>
      </c>
      <c r="R482" s="4">
        <f t="shared" si="2133"/>
        <v>10.1</v>
      </c>
      <c r="S482" s="7">
        <f t="shared" si="2134"/>
        <v>80.72246279691916</v>
      </c>
      <c r="V482" s="45">
        <v>618.62068965517244</v>
      </c>
      <c r="Y482" s="38"/>
      <c r="Z482" s="38"/>
      <c r="AA482" s="39">
        <v>1</v>
      </c>
      <c r="AB482" s="39"/>
      <c r="AC482" s="39"/>
      <c r="AE482" s="4">
        <f t="shared" si="2135"/>
        <v>160.01999999999998</v>
      </c>
      <c r="AF482" s="4">
        <f t="shared" si="2136"/>
        <v>1</v>
      </c>
      <c r="AG482" s="4">
        <f t="shared" si="2137"/>
        <v>308.01631180193135</v>
      </c>
      <c r="AH482" s="4">
        <f t="shared" si="2138"/>
        <v>1</v>
      </c>
      <c r="AI482" s="4">
        <v>1.25</v>
      </c>
      <c r="AJ482" s="4">
        <v>1</v>
      </c>
      <c r="AK482" s="38">
        <f t="shared" si="2139"/>
        <v>385.02038975241419</v>
      </c>
      <c r="AL482" s="38">
        <f t="shared" si="2192"/>
        <v>385.02038975241419</v>
      </c>
      <c r="AM482" s="38">
        <f t="shared" si="2140"/>
        <v>4.3396934501138817</v>
      </c>
      <c r="AR482" s="4" t="e">
        <f>#REF!/G482*F482^0.5/0.19</f>
        <v>#REF!</v>
      </c>
      <c r="AS482" s="4">
        <f t="shared" si="2141"/>
        <v>1</v>
      </c>
      <c r="AT482" s="38">
        <f t="shared" si="2142"/>
        <v>8607.978966419807</v>
      </c>
      <c r="AU482" s="4">
        <f t="shared" si="2143"/>
        <v>0.3</v>
      </c>
      <c r="AV482" s="4" t="e">
        <f>AU482*D482*#REF!/(D482*G482/2.75/F482^0.5)</f>
        <v>#REF!</v>
      </c>
      <c r="AW482" s="4" t="e">
        <f t="shared" si="2144"/>
        <v>#REF!</v>
      </c>
      <c r="AY482" s="4">
        <f t="shared" si="2145"/>
        <v>1.5</v>
      </c>
      <c r="AZ482" s="4" t="e">
        <f>(3*#REF!+30)*AY482*F482^0.5</f>
        <v>#REF!</v>
      </c>
      <c r="BB482" s="4">
        <f t="shared" si="2146"/>
        <v>8256.1045160288031</v>
      </c>
      <c r="BC482" s="4">
        <f t="shared" si="2147"/>
        <v>0</v>
      </c>
      <c r="BD482" s="4">
        <f t="shared" si="2148"/>
        <v>0</v>
      </c>
      <c r="BL482" s="4">
        <f t="shared" si="2149"/>
        <v>596.9</v>
      </c>
      <c r="BP482" s="9"/>
      <c r="BR482" s="9"/>
      <c r="BS482" s="9"/>
      <c r="BT482" s="9">
        <f t="shared" si="2150"/>
        <v>596.9</v>
      </c>
      <c r="BU482" s="9">
        <f t="shared" si="2151"/>
        <v>596.9</v>
      </c>
      <c r="BV482" s="9">
        <f t="shared" si="2152"/>
        <v>4.8476798574163293</v>
      </c>
      <c r="BW482" s="40">
        <f t="shared" si="2153"/>
        <v>0</v>
      </c>
      <c r="BX482" s="9">
        <f t="shared" si="2154"/>
        <v>0</v>
      </c>
      <c r="BY482" s="9">
        <f t="shared" si="2155"/>
        <v>0</v>
      </c>
      <c r="BZ482" s="9">
        <f t="shared" si="2156"/>
        <v>0.99524931562137331</v>
      </c>
      <c r="CA482" s="9">
        <f t="shared" si="2157"/>
        <v>0.68</v>
      </c>
      <c r="CB482" s="9">
        <f t="shared" si="2158"/>
        <v>1.8263267342054628</v>
      </c>
      <c r="CC482" s="9">
        <f t="shared" si="2159"/>
        <v>4.5658168355136572</v>
      </c>
      <c r="CD482" s="40">
        <v>1</v>
      </c>
      <c r="CE482" s="9" t="e">
        <f>4*CC482*#REF!+60*CC482</f>
        <v>#REF!</v>
      </c>
      <c r="DC482" s="4" t="e">
        <f>#REF!</f>
        <v>#REF!</v>
      </c>
      <c r="DF482" s="4">
        <f t="shared" si="2160"/>
        <v>1.3631853306974178E-5</v>
      </c>
      <c r="DG482" s="4">
        <f t="shared" si="2161"/>
        <v>11.829381634472119</v>
      </c>
      <c r="DH482" s="4">
        <f t="shared" si="2162"/>
        <v>0.22317163317275795</v>
      </c>
      <c r="DI482" s="4">
        <f t="shared" si="2163"/>
        <v>6.4925849346268336</v>
      </c>
      <c r="DJ482" s="4">
        <f t="shared" si="2164"/>
        <v>9.5446904861318114</v>
      </c>
      <c r="DK482" s="4">
        <f t="shared" si="2165"/>
        <v>11.465435649076939</v>
      </c>
      <c r="DL482" s="38">
        <f t="shared" si="2166"/>
        <v>598.84831179978437</v>
      </c>
      <c r="DM482" s="4" t="e">
        <f t="shared" si="2167"/>
        <v>#REF!</v>
      </c>
      <c r="DN482" s="4">
        <f t="shared" si="2168"/>
        <v>3.1780497164141401</v>
      </c>
      <c r="DO482" s="4">
        <f t="shared" si="2169"/>
        <v>385.02038975241419</v>
      </c>
      <c r="DS482" s="4">
        <f t="shared" si="2170"/>
        <v>0.85</v>
      </c>
      <c r="DT482" s="4">
        <f t="shared" si="2171"/>
        <v>0.7</v>
      </c>
      <c r="DU482" s="4">
        <f t="shared" si="2172"/>
        <v>1</v>
      </c>
      <c r="DV482" s="4">
        <f t="shared" si="2173"/>
        <v>0.7</v>
      </c>
      <c r="DX482" s="4">
        <f t="shared" si="2174"/>
        <v>889.65517241379314</v>
      </c>
      <c r="EB482" s="4">
        <f t="shared" si="2175"/>
        <v>11.829381634472119</v>
      </c>
      <c r="EE482" s="4">
        <f t="shared" si="2176"/>
        <v>80.72246279691916</v>
      </c>
      <c r="EF482" s="4">
        <f t="shared" si="2177"/>
        <v>3.1780497164141406</v>
      </c>
      <c r="EG482" s="4">
        <f t="shared" si="2178"/>
        <v>9.4247372350766273E-2</v>
      </c>
      <c r="EJ482" s="4">
        <f t="shared" si="2179"/>
        <v>9.4247372350766273E-2</v>
      </c>
      <c r="EK482" s="4">
        <f t="shared" si="2180"/>
        <v>0.22317163317275795</v>
      </c>
      <c r="EL482" s="4">
        <f t="shared" si="2181"/>
        <v>6.4925849346268336</v>
      </c>
      <c r="EM482" s="4">
        <f t="shared" si="2182"/>
        <v>9.5446904861318114</v>
      </c>
      <c r="EN482" s="4" t="e">
        <f t="shared" si="2183"/>
        <v>#REF!</v>
      </c>
      <c r="EO482" s="4" t="e">
        <f t="shared" si="2184"/>
        <v>#REF!</v>
      </c>
      <c r="EP482" s="4" t="e">
        <f t="shared" si="2185"/>
        <v>#REF!</v>
      </c>
      <c r="EQ482" s="4" t="e">
        <f t="shared" si="2186"/>
        <v>#REF!</v>
      </c>
      <c r="ER482" s="4" t="e">
        <f t="shared" si="2187"/>
        <v>#REF!</v>
      </c>
      <c r="FA482" s="23"/>
      <c r="FB482" s="23"/>
      <c r="FC482" s="23"/>
      <c r="FD482" s="23"/>
      <c r="FE482" s="23"/>
      <c r="FF482" s="23"/>
      <c r="FG482" s="23"/>
      <c r="FH482" s="23"/>
      <c r="FR482" s="4">
        <f t="shared" si="2188"/>
        <v>1</v>
      </c>
      <c r="FS482" s="4">
        <f t="shared" si="2189"/>
        <v>1.0833333333333333</v>
      </c>
      <c r="FT482" s="4">
        <f t="shared" si="2190"/>
        <v>0</v>
      </c>
      <c r="FU482" s="4">
        <f t="shared" si="2191"/>
        <v>161.01858866173305</v>
      </c>
    </row>
    <row r="483" spans="1:178" ht="12" customHeight="1" x14ac:dyDescent="0.3">
      <c r="A483" s="113"/>
      <c r="B483" s="24"/>
      <c r="C483" s="43" t="s">
        <v>633</v>
      </c>
      <c r="D483" s="38">
        <f t="shared" si="2129"/>
        <v>889.65517241379314</v>
      </c>
      <c r="E483" s="45">
        <v>162.56</v>
      </c>
      <c r="F483" s="45">
        <v>59.448275862068968</v>
      </c>
      <c r="G483" s="7">
        <v>25.4</v>
      </c>
      <c r="H483" s="45">
        <v>1219.1999999999998</v>
      </c>
      <c r="I483" s="45">
        <v>596.9</v>
      </c>
      <c r="J483" s="45">
        <v>596.9</v>
      </c>
      <c r="K483" s="7"/>
      <c r="L483" s="38">
        <v>1</v>
      </c>
      <c r="N483" s="7">
        <f t="shared" si="2130"/>
        <v>24</v>
      </c>
      <c r="O483" s="7">
        <f t="shared" si="2131"/>
        <v>24</v>
      </c>
      <c r="P483" s="45">
        <v>6.5</v>
      </c>
      <c r="Q483" s="4">
        <f t="shared" si="2132"/>
        <v>6.5</v>
      </c>
      <c r="R483" s="4">
        <f t="shared" si="2133"/>
        <v>7.5</v>
      </c>
      <c r="S483" s="7">
        <f t="shared" si="2134"/>
        <v>69.56076480315609</v>
      </c>
      <c r="V483" s="45">
        <v>806.89655172413802</v>
      </c>
      <c r="Y483" s="38"/>
      <c r="Z483" s="38"/>
      <c r="AA483" s="39">
        <v>1</v>
      </c>
      <c r="AB483" s="39"/>
      <c r="AC483" s="39"/>
      <c r="AE483" s="4">
        <f t="shared" si="2135"/>
        <v>162.56</v>
      </c>
      <c r="AF483" s="4">
        <f t="shared" si="2136"/>
        <v>1</v>
      </c>
      <c r="AG483" s="4">
        <f t="shared" si="2137"/>
        <v>315.37905904684118</v>
      </c>
      <c r="AH483" s="4">
        <f t="shared" si="2138"/>
        <v>1</v>
      </c>
      <c r="AI483" s="4">
        <v>1.25</v>
      </c>
      <c r="AJ483" s="4">
        <v>1</v>
      </c>
      <c r="AK483" s="38">
        <f t="shared" si="2139"/>
        <v>394.22382380855146</v>
      </c>
      <c r="AL483" s="38">
        <f t="shared" si="2192"/>
        <v>394.22382380855146</v>
      </c>
      <c r="AM483" s="38">
        <f t="shared" si="2140"/>
        <v>4.3396934501138817</v>
      </c>
      <c r="AR483" s="4" t="e">
        <f>#REF!/G483*F483^0.5/0.19</f>
        <v>#REF!</v>
      </c>
      <c r="AS483" s="4">
        <f t="shared" si="2141"/>
        <v>1</v>
      </c>
      <c r="AT483" s="38">
        <f t="shared" si="2142"/>
        <v>7275.0700480832784</v>
      </c>
      <c r="AU483" s="4">
        <f t="shared" si="2143"/>
        <v>0.3</v>
      </c>
      <c r="AV483" s="4" t="e">
        <f>AU483*D483*#REF!/(D483*G483/2.75/F483^0.5)</f>
        <v>#REF!</v>
      </c>
      <c r="AW483" s="4" t="e">
        <f t="shared" si="2144"/>
        <v>#REF!</v>
      </c>
      <c r="AY483" s="4">
        <f t="shared" si="2145"/>
        <v>1.5</v>
      </c>
      <c r="AZ483" s="4" t="e">
        <f>(3*#REF!+30)*AY483*F483^0.5</f>
        <v>#REF!</v>
      </c>
      <c r="BB483" s="4">
        <f t="shared" si="2146"/>
        <v>6977.6818592050622</v>
      </c>
      <c r="BC483" s="4">
        <f t="shared" si="2147"/>
        <v>0</v>
      </c>
      <c r="BD483" s="4">
        <f t="shared" si="2148"/>
        <v>0</v>
      </c>
      <c r="BL483" s="4">
        <f t="shared" si="2149"/>
        <v>596.9</v>
      </c>
      <c r="BP483" s="9"/>
      <c r="BR483" s="9"/>
      <c r="BS483" s="9"/>
      <c r="BT483" s="9">
        <f t="shared" si="2150"/>
        <v>596.9</v>
      </c>
      <c r="BU483" s="9">
        <f t="shared" si="2151"/>
        <v>596.9</v>
      </c>
      <c r="BV483" s="9">
        <f t="shared" si="2152"/>
        <v>4.8476798574163293</v>
      </c>
      <c r="BW483" s="40">
        <f t="shared" si="2153"/>
        <v>0</v>
      </c>
      <c r="BX483" s="9">
        <f t="shared" si="2154"/>
        <v>0</v>
      </c>
      <c r="BY483" s="9">
        <f t="shared" si="2155"/>
        <v>0</v>
      </c>
      <c r="BZ483" s="9">
        <f t="shared" si="2156"/>
        <v>0.99524931562137331</v>
      </c>
      <c r="CA483" s="9">
        <f t="shared" si="2157"/>
        <v>0.68</v>
      </c>
      <c r="CB483" s="9">
        <f t="shared" si="2158"/>
        <v>1.8263267342054628</v>
      </c>
      <c r="CC483" s="9">
        <f t="shared" si="2159"/>
        <v>4.5658168355136572</v>
      </c>
      <c r="CD483" s="40">
        <v>1</v>
      </c>
      <c r="CE483" s="9" t="e">
        <f>4*CC483*#REF!+60*CC483</f>
        <v>#REF!</v>
      </c>
      <c r="DC483" s="4" t="e">
        <f>#REF!</f>
        <v>#REF!</v>
      </c>
      <c r="DF483" s="4">
        <f t="shared" si="2160"/>
        <v>1.3848231930894405E-5</v>
      </c>
      <c r="DG483" s="4">
        <f t="shared" si="2161"/>
        <v>11.829381634472119</v>
      </c>
      <c r="DH483" s="4">
        <f t="shared" si="2162"/>
        <v>0.27567419108435354</v>
      </c>
      <c r="DI483" s="4">
        <f t="shared" si="2163"/>
        <v>7.0651353558258458</v>
      </c>
      <c r="DJ483" s="4">
        <f t="shared" si="2164"/>
        <v>9.7447329036587558</v>
      </c>
      <c r="DK483" s="4">
        <f t="shared" si="2165"/>
        <v>11.425135548573715</v>
      </c>
      <c r="DL483" s="38">
        <f t="shared" si="2166"/>
        <v>625.09004262999906</v>
      </c>
      <c r="DM483" s="4" t="e">
        <f t="shared" si="2167"/>
        <v>#REF!</v>
      </c>
      <c r="DN483" s="4">
        <f t="shared" si="2168"/>
        <v>2.7386127875258306</v>
      </c>
      <c r="DO483" s="4">
        <f t="shared" si="2169"/>
        <v>394.22382380855146</v>
      </c>
      <c r="DS483" s="4">
        <f t="shared" si="2170"/>
        <v>0.85</v>
      </c>
      <c r="DT483" s="4">
        <f t="shared" si="2171"/>
        <v>0.7</v>
      </c>
      <c r="DU483" s="4">
        <f t="shared" si="2172"/>
        <v>1</v>
      </c>
      <c r="DV483" s="4">
        <f t="shared" si="2173"/>
        <v>0.7</v>
      </c>
      <c r="DX483" s="4">
        <f t="shared" si="2174"/>
        <v>889.65517241379314</v>
      </c>
      <c r="EB483" s="4">
        <f t="shared" si="2175"/>
        <v>11.829381634472119</v>
      </c>
      <c r="EE483" s="4">
        <f t="shared" si="2176"/>
        <v>69.56076480315609</v>
      </c>
      <c r="EF483" s="4">
        <f t="shared" si="2177"/>
        <v>2.7386127875258306</v>
      </c>
      <c r="EG483" s="4">
        <f t="shared" si="2178"/>
        <v>0.11641967110807015</v>
      </c>
      <c r="EJ483" s="4">
        <f t="shared" si="2179"/>
        <v>0.11641967110807015</v>
      </c>
      <c r="EK483" s="4">
        <f t="shared" si="2180"/>
        <v>0.27567419108435354</v>
      </c>
      <c r="EL483" s="4">
        <f t="shared" si="2181"/>
        <v>7.0651353558258458</v>
      </c>
      <c r="EM483" s="4">
        <f t="shared" si="2182"/>
        <v>9.7447329036587558</v>
      </c>
      <c r="EN483" s="4" t="e">
        <f t="shared" si="2183"/>
        <v>#REF!</v>
      </c>
      <c r="EO483" s="4" t="e">
        <f t="shared" si="2184"/>
        <v>#REF!</v>
      </c>
      <c r="EP483" s="4" t="e">
        <f t="shared" si="2185"/>
        <v>#REF!</v>
      </c>
      <c r="EQ483" s="4" t="e">
        <f t="shared" si="2186"/>
        <v>#REF!</v>
      </c>
      <c r="ER483" s="4" t="e">
        <f t="shared" si="2187"/>
        <v>#REF!</v>
      </c>
      <c r="FA483" s="23"/>
      <c r="FB483" s="23"/>
      <c r="FC483" s="23"/>
      <c r="FD483" s="23"/>
      <c r="FE483" s="23"/>
      <c r="FF483" s="23"/>
      <c r="FG483" s="23"/>
      <c r="FH483" s="23"/>
      <c r="FR483" s="4">
        <f t="shared" si="2188"/>
        <v>1</v>
      </c>
      <c r="FS483" s="4">
        <f t="shared" si="2189"/>
        <v>1.0833333333333333</v>
      </c>
      <c r="FT483" s="4">
        <f t="shared" si="2190"/>
        <v>0</v>
      </c>
      <c r="FU483" s="4">
        <f t="shared" si="2191"/>
        <v>163.57443927541135</v>
      </c>
    </row>
    <row r="484" spans="1:178" ht="12" customHeight="1" x14ac:dyDescent="0.3">
      <c r="A484" s="113"/>
      <c r="B484" s="24"/>
      <c r="C484" s="43" t="s">
        <v>634</v>
      </c>
      <c r="D484" s="38">
        <f t="shared" si="2129"/>
        <v>889.65517241379314</v>
      </c>
      <c r="E484" s="45">
        <v>165.1</v>
      </c>
      <c r="F484" s="45">
        <v>59.448275862068968</v>
      </c>
      <c r="G484" s="7">
        <v>25.4</v>
      </c>
      <c r="H484" s="45">
        <v>1219.1999999999998</v>
      </c>
      <c r="I484" s="45">
        <v>596.9</v>
      </c>
      <c r="J484" s="45">
        <v>596.9</v>
      </c>
      <c r="K484" s="7"/>
      <c r="L484" s="38">
        <v>1</v>
      </c>
      <c r="N484" s="7">
        <f t="shared" si="2130"/>
        <v>24</v>
      </c>
      <c r="O484" s="7">
        <f t="shared" si="2131"/>
        <v>24</v>
      </c>
      <c r="P484" s="45">
        <v>4.5</v>
      </c>
      <c r="Q484" s="4">
        <f t="shared" si="2132"/>
        <v>4.5</v>
      </c>
      <c r="R484" s="4">
        <f t="shared" si="2133"/>
        <v>5.5</v>
      </c>
      <c r="S484" s="7">
        <f t="shared" si="2134"/>
        <v>59.568280149757555</v>
      </c>
      <c r="V484" s="45">
        <v>646.20689655172418</v>
      </c>
      <c r="Y484" s="38"/>
      <c r="Z484" s="38"/>
      <c r="AA484" s="39">
        <v>1</v>
      </c>
      <c r="AB484" s="39"/>
      <c r="AC484" s="39"/>
      <c r="AE484" s="4">
        <f t="shared" si="2135"/>
        <v>165.1</v>
      </c>
      <c r="AF484" s="4">
        <f t="shared" si="2136"/>
        <v>0.99999999999999989</v>
      </c>
      <c r="AG484" s="4">
        <f t="shared" si="2137"/>
        <v>322.79955480341323</v>
      </c>
      <c r="AH484" s="4">
        <f t="shared" si="2138"/>
        <v>1</v>
      </c>
      <c r="AI484" s="4">
        <v>1.25</v>
      </c>
      <c r="AJ484" s="4">
        <v>1</v>
      </c>
      <c r="AK484" s="38">
        <f t="shared" si="2139"/>
        <v>403.49944350426648</v>
      </c>
      <c r="AL484" s="38">
        <f t="shared" si="2192"/>
        <v>403.49944350426648</v>
      </c>
      <c r="AM484" s="38">
        <f t="shared" si="2140"/>
        <v>4.3396934501138817</v>
      </c>
      <c r="AR484" s="4" t="e">
        <f>#REF!/G484*F484^0.5/0.19</f>
        <v>#REF!</v>
      </c>
      <c r="AS484" s="4">
        <f t="shared" si="2141"/>
        <v>1</v>
      </c>
      <c r="AT484" s="38">
        <f t="shared" si="2142"/>
        <v>6053.2241748361221</v>
      </c>
      <c r="AU484" s="4">
        <f t="shared" si="2143"/>
        <v>0.37</v>
      </c>
      <c r="AV484" s="4" t="e">
        <f>AU484*D484*#REF!/(D484*G484/2.75/F484^0.5)</f>
        <v>#REF!</v>
      </c>
      <c r="AW484" s="4" t="e">
        <f t="shared" si="2144"/>
        <v>#REF!</v>
      </c>
      <c r="AY484" s="4">
        <f t="shared" si="2145"/>
        <v>1.5</v>
      </c>
      <c r="AZ484" s="4" t="e">
        <f>(3*#REF!+30)*AY484*F484^0.5</f>
        <v>#REF!</v>
      </c>
      <c r="BB484" s="4">
        <f t="shared" si="2146"/>
        <v>5805.7822447474036</v>
      </c>
      <c r="BC484" s="4">
        <f t="shared" si="2147"/>
        <v>0</v>
      </c>
      <c r="BD484" s="4">
        <f t="shared" si="2148"/>
        <v>0</v>
      </c>
      <c r="BL484" s="4">
        <f t="shared" si="2149"/>
        <v>596.9</v>
      </c>
      <c r="BP484" s="9"/>
      <c r="BR484" s="9"/>
      <c r="BS484" s="9"/>
      <c r="BT484" s="9">
        <f t="shared" si="2150"/>
        <v>596.9</v>
      </c>
      <c r="BU484" s="9">
        <f t="shared" si="2151"/>
        <v>596.9</v>
      </c>
      <c r="BV484" s="9">
        <f t="shared" si="2152"/>
        <v>4.8476798574163293</v>
      </c>
      <c r="BW484" s="40">
        <f t="shared" si="2153"/>
        <v>0</v>
      </c>
      <c r="BX484" s="9">
        <f t="shared" si="2154"/>
        <v>0</v>
      </c>
      <c r="BY484" s="9">
        <f t="shared" si="2155"/>
        <v>0</v>
      </c>
      <c r="BZ484" s="9">
        <f t="shared" si="2156"/>
        <v>0.99524931562137331</v>
      </c>
      <c r="CA484" s="9">
        <f t="shared" si="2157"/>
        <v>0.68</v>
      </c>
      <c r="CB484" s="9">
        <f t="shared" si="2158"/>
        <v>1.8263267342054628</v>
      </c>
      <c r="CC484" s="9">
        <f t="shared" si="2159"/>
        <v>4.5658168355136572</v>
      </c>
      <c r="CD484" s="40">
        <v>1</v>
      </c>
      <c r="CE484" s="9" t="e">
        <f>4*CC484*#REF!+60*CC484</f>
        <v>#REF!</v>
      </c>
      <c r="DC484" s="4" t="e">
        <f>#REF!</f>
        <v>#REF!</v>
      </c>
      <c r="DF484" s="4">
        <f t="shared" si="2160"/>
        <v>1.406461055481463E-5</v>
      </c>
      <c r="DG484" s="4">
        <f t="shared" si="2161"/>
        <v>11.829381634472119</v>
      </c>
      <c r="DH484" s="4">
        <f t="shared" si="2162"/>
        <v>0.34901793030288153</v>
      </c>
      <c r="DI484" s="4">
        <f t="shared" si="2163"/>
        <v>7.7642791021983317</v>
      </c>
      <c r="DJ484" s="4">
        <f t="shared" si="2164"/>
        <v>10.006320161093534</v>
      </c>
      <c r="DK484" s="4">
        <f t="shared" si="2165"/>
        <v>11.383361078397993</v>
      </c>
      <c r="DL484" s="38">
        <f t="shared" si="2166"/>
        <v>651.58232422155083</v>
      </c>
      <c r="DM484" s="4" t="e">
        <f t="shared" si="2167"/>
        <v>#REF!</v>
      </c>
      <c r="DN484" s="4">
        <f t="shared" si="2168"/>
        <v>2.3452078799117149</v>
      </c>
      <c r="DO484" s="4">
        <f t="shared" si="2169"/>
        <v>403.49944350426648</v>
      </c>
      <c r="DS484" s="4">
        <f t="shared" si="2170"/>
        <v>0.85</v>
      </c>
      <c r="DT484" s="4">
        <f t="shared" si="2171"/>
        <v>0.7</v>
      </c>
      <c r="DU484" s="4">
        <f t="shared" si="2172"/>
        <v>1</v>
      </c>
      <c r="DV484" s="4">
        <f t="shared" si="2173"/>
        <v>0.7</v>
      </c>
      <c r="DX484" s="4">
        <f t="shared" si="2174"/>
        <v>889.65517241379314</v>
      </c>
      <c r="EB484" s="4">
        <f t="shared" si="2175"/>
        <v>11.829381634472119</v>
      </c>
      <c r="EE484" s="4">
        <f t="shared" si="2176"/>
        <v>59.568280149757555</v>
      </c>
      <c r="EF484" s="4">
        <f t="shared" si="2177"/>
        <v>2.3452078799117149</v>
      </c>
      <c r="EG484" s="4">
        <f t="shared" si="2178"/>
        <v>0.14739338672530164</v>
      </c>
      <c r="EJ484" s="4">
        <f t="shared" si="2179"/>
        <v>0.14739338672530164</v>
      </c>
      <c r="EK484" s="4">
        <f t="shared" si="2180"/>
        <v>0.34901793030288153</v>
      </c>
      <c r="EL484" s="4">
        <f t="shared" si="2181"/>
        <v>7.7642791021983317</v>
      </c>
      <c r="EM484" s="4">
        <f t="shared" si="2182"/>
        <v>10.006320161093534</v>
      </c>
      <c r="EN484" s="4" t="e">
        <f t="shared" si="2183"/>
        <v>#REF!</v>
      </c>
      <c r="EO484" s="4" t="e">
        <f t="shared" si="2184"/>
        <v>#REF!</v>
      </c>
      <c r="EP484" s="4" t="e">
        <f t="shared" si="2185"/>
        <v>#REF!</v>
      </c>
      <c r="EQ484" s="4" t="e">
        <f t="shared" si="2186"/>
        <v>#REF!</v>
      </c>
      <c r="ER484" s="4" t="e">
        <f t="shared" si="2187"/>
        <v>#REF!</v>
      </c>
      <c r="FA484" s="23"/>
      <c r="FB484" s="23"/>
      <c r="FC484" s="23"/>
      <c r="FD484" s="23"/>
      <c r="FE484" s="23"/>
      <c r="FF484" s="23"/>
      <c r="FG484" s="23"/>
      <c r="FH484" s="23"/>
      <c r="FR484" s="4">
        <f t="shared" si="2188"/>
        <v>1</v>
      </c>
      <c r="FS484" s="4">
        <f t="shared" si="2189"/>
        <v>1.0833333333333333</v>
      </c>
      <c r="FT484" s="4">
        <f t="shared" si="2190"/>
        <v>0</v>
      </c>
      <c r="FU484" s="4">
        <f t="shared" si="2191"/>
        <v>166.13028988908965</v>
      </c>
    </row>
    <row r="485" spans="1:178" ht="12" customHeight="1" x14ac:dyDescent="0.3">
      <c r="A485" s="113"/>
      <c r="B485" s="24"/>
      <c r="C485" s="43" t="s">
        <v>635</v>
      </c>
      <c r="D485" s="38">
        <f t="shared" si="2129"/>
        <v>889.65517241379314</v>
      </c>
      <c r="E485" s="45">
        <v>165.1</v>
      </c>
      <c r="F485" s="45">
        <v>28.96551724137931</v>
      </c>
      <c r="G485" s="7">
        <v>25.4</v>
      </c>
      <c r="H485" s="45">
        <v>1219.1999999999998</v>
      </c>
      <c r="I485" s="45">
        <v>596.9</v>
      </c>
      <c r="J485" s="45">
        <v>596.9</v>
      </c>
      <c r="K485" s="7"/>
      <c r="L485" s="38">
        <v>1</v>
      </c>
      <c r="N485" s="7">
        <f t="shared" si="2130"/>
        <v>24</v>
      </c>
      <c r="O485" s="7">
        <f t="shared" si="2131"/>
        <v>24</v>
      </c>
      <c r="P485" s="45">
        <v>14</v>
      </c>
      <c r="Q485" s="4">
        <f t="shared" si="2132"/>
        <v>14</v>
      </c>
      <c r="R485" s="4">
        <f t="shared" si="2133"/>
        <v>15</v>
      </c>
      <c r="S485" s="7">
        <f t="shared" si="2134"/>
        <v>98.373776993668386</v>
      </c>
      <c r="V485" s="45">
        <v>539.31034482758628</v>
      </c>
      <c r="Y485" s="38"/>
      <c r="Z485" s="38"/>
      <c r="AA485" s="39">
        <v>1</v>
      </c>
      <c r="AB485" s="39"/>
      <c r="AC485" s="39"/>
      <c r="AE485" s="4">
        <f t="shared" si="2135"/>
        <v>165.1</v>
      </c>
      <c r="AF485" s="4">
        <f t="shared" si="2136"/>
        <v>0.99999999999999989</v>
      </c>
      <c r="AG485" s="4">
        <f t="shared" si="2137"/>
        <v>225.32217739115345</v>
      </c>
      <c r="AH485" s="4">
        <f t="shared" si="2138"/>
        <v>1</v>
      </c>
      <c r="AI485" s="4">
        <v>1.25</v>
      </c>
      <c r="AJ485" s="4">
        <v>1</v>
      </c>
      <c r="AK485" s="38">
        <f t="shared" si="2139"/>
        <v>281.65272173894175</v>
      </c>
      <c r="AL485" s="38">
        <f t="shared" si="2192"/>
        <v>281.65272173894175</v>
      </c>
      <c r="AM485" s="38">
        <f t="shared" si="2140"/>
        <v>2.8294940183703567</v>
      </c>
      <c r="AR485" s="4" t="e">
        <f>#REF!/G485*F485^0.5/0.19</f>
        <v>#REF!</v>
      </c>
      <c r="AS485" s="4">
        <f t="shared" si="2141"/>
        <v>1</v>
      </c>
      <c r="AT485" s="38">
        <f t="shared" si="2142"/>
        <v>5202.1939943008729</v>
      </c>
      <c r="AU485" s="4">
        <f t="shared" si="2143"/>
        <v>0.3</v>
      </c>
      <c r="AV485" s="4" t="e">
        <f>AU485*D485*#REF!/(D485*G485/2.75/F485^0.5)</f>
        <v>#REF!</v>
      </c>
      <c r="AW485" s="4" t="e">
        <f t="shared" si="2144"/>
        <v>#REF!</v>
      </c>
      <c r="AY485" s="4">
        <f t="shared" si="2145"/>
        <v>1.5</v>
      </c>
      <c r="AZ485" s="4" t="e">
        <f>(3*#REF!+30)*AY485*F485^0.5</f>
        <v>#REF!</v>
      </c>
      <c r="BB485" s="4">
        <f t="shared" si="2146"/>
        <v>4989.5402274047219</v>
      </c>
      <c r="BC485" s="4">
        <f t="shared" si="2147"/>
        <v>0</v>
      </c>
      <c r="BD485" s="4">
        <f t="shared" si="2148"/>
        <v>0</v>
      </c>
      <c r="BL485" s="4">
        <f t="shared" si="2149"/>
        <v>596.9</v>
      </c>
      <c r="BP485" s="9"/>
      <c r="BR485" s="9"/>
      <c r="BS485" s="9"/>
      <c r="BT485" s="9">
        <f t="shared" si="2150"/>
        <v>596.9</v>
      </c>
      <c r="BU485" s="9">
        <f t="shared" si="2151"/>
        <v>596.9</v>
      </c>
      <c r="BV485" s="9">
        <f t="shared" si="2152"/>
        <v>4.8476798574163293</v>
      </c>
      <c r="BW485" s="40">
        <f t="shared" si="2153"/>
        <v>0</v>
      </c>
      <c r="BX485" s="9">
        <f t="shared" si="2154"/>
        <v>0</v>
      </c>
      <c r="BY485" s="9">
        <f t="shared" si="2155"/>
        <v>0</v>
      </c>
      <c r="BZ485" s="9">
        <f t="shared" si="2156"/>
        <v>0.99524931562137331</v>
      </c>
      <c r="CA485" s="9">
        <f t="shared" si="2157"/>
        <v>0.68</v>
      </c>
      <c r="CB485" s="9">
        <f t="shared" si="2158"/>
        <v>1.2748218213295317</v>
      </c>
      <c r="CC485" s="9">
        <f t="shared" si="2159"/>
        <v>3.1870545533238293</v>
      </c>
      <c r="CD485" s="40">
        <v>1</v>
      </c>
      <c r="CE485" s="9" t="e">
        <f>4*CC485*#REF!+60*CC485</f>
        <v>#REF!</v>
      </c>
      <c r="DC485" s="4" t="e">
        <f>#REF!</f>
        <v>#REF!</v>
      </c>
      <c r="DF485" s="4">
        <f t="shared" si="2160"/>
        <v>1.1521263534281654E-5</v>
      </c>
      <c r="DG485" s="4">
        <f t="shared" si="2161"/>
        <v>8.2572047805129003</v>
      </c>
      <c r="DH485" s="4">
        <f t="shared" si="2162"/>
        <v>0.26541501582698523</v>
      </c>
      <c r="DI485" s="4">
        <f t="shared" si="2163"/>
        <v>4.8573930946961532</v>
      </c>
      <c r="DJ485" s="4">
        <f t="shared" si="2164"/>
        <v>6.7754289501989868</v>
      </c>
      <c r="DK485" s="4">
        <f t="shared" si="2165"/>
        <v>8.1016652006466714</v>
      </c>
      <c r="DL485" s="38">
        <f t="shared" si="2166"/>
        <v>436.7203263688607</v>
      </c>
      <c r="DM485" s="4" t="e">
        <f t="shared" si="2167"/>
        <v>#REF!</v>
      </c>
      <c r="DN485" s="4">
        <f t="shared" si="2168"/>
        <v>3.872983346207417</v>
      </c>
      <c r="DO485" s="4">
        <f t="shared" si="2169"/>
        <v>281.65272173894175</v>
      </c>
      <c r="DS485" s="4">
        <f t="shared" si="2170"/>
        <v>0.85</v>
      </c>
      <c r="DT485" s="4">
        <f t="shared" si="2171"/>
        <v>0.7</v>
      </c>
      <c r="DU485" s="4">
        <f t="shared" si="2172"/>
        <v>1</v>
      </c>
      <c r="DV485" s="4">
        <f t="shared" si="2173"/>
        <v>0.7</v>
      </c>
      <c r="DX485" s="4">
        <f t="shared" si="2174"/>
        <v>889.65517241379314</v>
      </c>
      <c r="EB485" s="4">
        <f t="shared" si="2175"/>
        <v>8.2572047805129003</v>
      </c>
      <c r="EE485" s="4">
        <f t="shared" si="2176"/>
        <v>98.373776993668386</v>
      </c>
      <c r="EF485" s="4">
        <f t="shared" si="2177"/>
        <v>3.872983346207417</v>
      </c>
      <c r="EG485" s="4">
        <f t="shared" si="2178"/>
        <v>7.8239625108981664E-2</v>
      </c>
      <c r="EJ485" s="4">
        <f t="shared" si="2179"/>
        <v>7.8239625108981664E-2</v>
      </c>
      <c r="EK485" s="4">
        <f t="shared" si="2180"/>
        <v>0.26541501582698523</v>
      </c>
      <c r="EL485" s="4">
        <f t="shared" si="2181"/>
        <v>4.8573930946961532</v>
      </c>
      <c r="EM485" s="4">
        <f t="shared" si="2182"/>
        <v>6.7754289501989868</v>
      </c>
      <c r="EN485" s="4" t="e">
        <f t="shared" si="2183"/>
        <v>#REF!</v>
      </c>
      <c r="EO485" s="4" t="e">
        <f t="shared" si="2184"/>
        <v>#REF!</v>
      </c>
      <c r="EP485" s="4" t="e">
        <f t="shared" si="2185"/>
        <v>#REF!</v>
      </c>
      <c r="EQ485" s="4" t="e">
        <f t="shared" si="2186"/>
        <v>#REF!</v>
      </c>
      <c r="ER485" s="4" t="e">
        <f t="shared" si="2187"/>
        <v>#REF!</v>
      </c>
      <c r="FA485" s="23"/>
      <c r="FB485" s="23"/>
      <c r="FC485" s="23"/>
      <c r="FD485" s="23"/>
      <c r="FE485" s="23"/>
      <c r="FF485" s="23"/>
      <c r="FG485" s="23"/>
      <c r="FH485" s="23"/>
      <c r="FR485" s="4">
        <f t="shared" si="2188"/>
        <v>1</v>
      </c>
      <c r="FS485" s="4">
        <f t="shared" si="2189"/>
        <v>1.0833333333333333</v>
      </c>
      <c r="FT485" s="4">
        <f t="shared" si="2190"/>
        <v>0</v>
      </c>
      <c r="FU485" s="4">
        <f t="shared" si="2191"/>
        <v>138.79835820431603</v>
      </c>
    </row>
    <row r="486" spans="1:178" ht="12" customHeight="1" x14ac:dyDescent="0.3">
      <c r="A486" s="113"/>
      <c r="B486" s="24"/>
      <c r="C486" s="43" t="s">
        <v>636</v>
      </c>
      <c r="D486" s="38">
        <f t="shared" si="2129"/>
        <v>889.65517241379314</v>
      </c>
      <c r="E486" s="45">
        <v>165.1</v>
      </c>
      <c r="F486" s="45">
        <v>28.96551724137931</v>
      </c>
      <c r="G486" s="7">
        <v>25.4</v>
      </c>
      <c r="H486" s="45">
        <v>1219.1999999999998</v>
      </c>
      <c r="I486" s="45">
        <v>596.9</v>
      </c>
      <c r="J486" s="45">
        <v>596.9</v>
      </c>
      <c r="K486" s="7"/>
      <c r="L486" s="38">
        <v>1</v>
      </c>
      <c r="N486" s="7">
        <f t="shared" si="2130"/>
        <v>24</v>
      </c>
      <c r="O486" s="7">
        <f t="shared" si="2131"/>
        <v>24</v>
      </c>
      <c r="P486" s="45">
        <v>6.5</v>
      </c>
      <c r="Q486" s="4">
        <f t="shared" si="2132"/>
        <v>6.5</v>
      </c>
      <c r="R486" s="4">
        <f t="shared" si="2133"/>
        <v>7.5</v>
      </c>
      <c r="S486" s="7">
        <f t="shared" si="2134"/>
        <v>69.56076480315609</v>
      </c>
      <c r="V486" s="45">
        <v>429.65517241379314</v>
      </c>
      <c r="Y486" s="38"/>
      <c r="Z486" s="38"/>
      <c r="AA486" s="39">
        <v>1</v>
      </c>
      <c r="AB486" s="39"/>
      <c r="AC486" s="39"/>
      <c r="AE486" s="4">
        <f t="shared" si="2135"/>
        <v>165.1</v>
      </c>
      <c r="AF486" s="4">
        <f t="shared" si="2136"/>
        <v>0.99999999999999989</v>
      </c>
      <c r="AG486" s="4">
        <f t="shared" si="2137"/>
        <v>225.32217739115345</v>
      </c>
      <c r="AH486" s="4">
        <f t="shared" si="2138"/>
        <v>1</v>
      </c>
      <c r="AI486" s="4">
        <v>1.25</v>
      </c>
      <c r="AJ486" s="4">
        <v>1</v>
      </c>
      <c r="AK486" s="38">
        <f t="shared" si="2139"/>
        <v>281.65272173894175</v>
      </c>
      <c r="AL486" s="38">
        <f t="shared" si="2192"/>
        <v>281.65272173894175</v>
      </c>
      <c r="AM486" s="38">
        <f t="shared" si="2140"/>
        <v>2.8294940183703567</v>
      </c>
      <c r="AR486" s="4" t="e">
        <f>#REF!/G486*F486^0.5/0.19</f>
        <v>#REF!</v>
      </c>
      <c r="AS486" s="4">
        <f t="shared" si="2141"/>
        <v>1</v>
      </c>
      <c r="AT486" s="38">
        <f t="shared" si="2142"/>
        <v>3544.697703242432</v>
      </c>
      <c r="AU486" s="4">
        <f t="shared" si="2143"/>
        <v>0.3</v>
      </c>
      <c r="AV486" s="4" t="e">
        <f>AU486*D486*#REF!/(D486*G486/2.75/F486^0.5)</f>
        <v>#REF!</v>
      </c>
      <c r="AW486" s="4" t="e">
        <f t="shared" si="2144"/>
        <v>#REF!</v>
      </c>
      <c r="AY486" s="4">
        <f t="shared" si="2145"/>
        <v>1.5</v>
      </c>
      <c r="AZ486" s="4" t="e">
        <f>(3*#REF!+30)*AY486*F486^0.5</f>
        <v>#REF!</v>
      </c>
      <c r="BB486" s="4">
        <f t="shared" si="2146"/>
        <v>3399.7985856915611</v>
      </c>
      <c r="BC486" s="4">
        <f t="shared" si="2147"/>
        <v>0</v>
      </c>
      <c r="BD486" s="4">
        <f t="shared" si="2148"/>
        <v>0</v>
      </c>
      <c r="BL486" s="4">
        <f t="shared" si="2149"/>
        <v>596.9</v>
      </c>
      <c r="BP486" s="9"/>
      <c r="BR486" s="9"/>
      <c r="BS486" s="9"/>
      <c r="BT486" s="9">
        <f t="shared" si="2150"/>
        <v>596.9</v>
      </c>
      <c r="BU486" s="9">
        <f t="shared" si="2151"/>
        <v>596.9</v>
      </c>
      <c r="BV486" s="9">
        <f t="shared" si="2152"/>
        <v>4.8476798574163293</v>
      </c>
      <c r="BW486" s="40">
        <f t="shared" si="2153"/>
        <v>0</v>
      </c>
      <c r="BX486" s="9">
        <f t="shared" si="2154"/>
        <v>0</v>
      </c>
      <c r="BY486" s="9">
        <f t="shared" si="2155"/>
        <v>0</v>
      </c>
      <c r="BZ486" s="9">
        <f t="shared" si="2156"/>
        <v>0.99524931562137331</v>
      </c>
      <c r="CA486" s="9">
        <f t="shared" si="2157"/>
        <v>0.68</v>
      </c>
      <c r="CB486" s="9">
        <f t="shared" si="2158"/>
        <v>1.2748218213295317</v>
      </c>
      <c r="CC486" s="9">
        <f t="shared" si="2159"/>
        <v>3.1870545533238293</v>
      </c>
      <c r="CD486" s="40">
        <v>1</v>
      </c>
      <c r="CE486" s="9" t="e">
        <f>4*CC486*#REF!+60*CC486</f>
        <v>#REF!</v>
      </c>
      <c r="DC486" s="4" t="e">
        <f>#REF!</f>
        <v>#REF!</v>
      </c>
      <c r="DF486" s="4">
        <f t="shared" si="2160"/>
        <v>1.1521263534281654E-5</v>
      </c>
      <c r="DG486" s="4">
        <f t="shared" si="2161"/>
        <v>8.2572047805129003</v>
      </c>
      <c r="DH486" s="4">
        <f t="shared" si="2162"/>
        <v>0.40422686235076083</v>
      </c>
      <c r="DI486" s="4">
        <f t="shared" si="2163"/>
        <v>5.7475548374367609</v>
      </c>
      <c r="DJ486" s="4">
        <f t="shared" si="2164"/>
        <v>7.114271652605928</v>
      </c>
      <c r="DK486" s="4">
        <f t="shared" si="2165"/>
        <v>8.0759712771072891</v>
      </c>
      <c r="DL486" s="38">
        <f t="shared" si="2166"/>
        <v>457.90319967815924</v>
      </c>
      <c r="DM486" s="4" t="e">
        <f t="shared" si="2167"/>
        <v>#REF!</v>
      </c>
      <c r="DN486" s="4">
        <f t="shared" si="2168"/>
        <v>2.7386127875258306</v>
      </c>
      <c r="DO486" s="4">
        <f t="shared" si="2169"/>
        <v>281.65272173894175</v>
      </c>
      <c r="DS486" s="4">
        <f t="shared" si="2170"/>
        <v>0.85</v>
      </c>
      <c r="DT486" s="4">
        <f t="shared" si="2171"/>
        <v>0.7</v>
      </c>
      <c r="DU486" s="4">
        <f t="shared" si="2172"/>
        <v>1</v>
      </c>
      <c r="DV486" s="4">
        <f t="shared" si="2173"/>
        <v>0.7</v>
      </c>
      <c r="DX486" s="4">
        <f t="shared" si="2174"/>
        <v>889.65517241379314</v>
      </c>
      <c r="EB486" s="4">
        <f t="shared" si="2175"/>
        <v>8.2572047805129003</v>
      </c>
      <c r="EE486" s="4">
        <f t="shared" si="2176"/>
        <v>69.56076480315609</v>
      </c>
      <c r="EF486" s="4">
        <f t="shared" si="2177"/>
        <v>2.7386127875258306</v>
      </c>
      <c r="EG486" s="4">
        <f t="shared" si="2178"/>
        <v>0.11915888809365521</v>
      </c>
      <c r="EJ486" s="4">
        <f t="shared" si="2179"/>
        <v>0.11915888809365521</v>
      </c>
      <c r="EK486" s="4">
        <f t="shared" si="2180"/>
        <v>0.40422686235076083</v>
      </c>
      <c r="EL486" s="4">
        <f t="shared" si="2181"/>
        <v>5.7475548374367609</v>
      </c>
      <c r="EM486" s="4">
        <f t="shared" si="2182"/>
        <v>7.114271652605928</v>
      </c>
      <c r="EN486" s="4" t="e">
        <f t="shared" si="2183"/>
        <v>#REF!</v>
      </c>
      <c r="EO486" s="4" t="e">
        <f t="shared" si="2184"/>
        <v>#REF!</v>
      </c>
      <c r="EP486" s="4" t="e">
        <f t="shared" si="2185"/>
        <v>#REF!</v>
      </c>
      <c r="EQ486" s="4" t="e">
        <f t="shared" si="2186"/>
        <v>#REF!</v>
      </c>
      <c r="ER486" s="4" t="e">
        <f t="shared" si="2187"/>
        <v>#REF!</v>
      </c>
      <c r="FA486" s="23"/>
      <c r="FB486" s="23"/>
      <c r="FC486" s="23"/>
      <c r="FD486" s="23"/>
      <c r="FE486" s="23"/>
      <c r="FF486" s="23"/>
      <c r="FG486" s="23"/>
      <c r="FH486" s="23"/>
      <c r="FR486" s="4">
        <f t="shared" si="2188"/>
        <v>1</v>
      </c>
      <c r="FS486" s="4">
        <f t="shared" si="2189"/>
        <v>1.0833333333333333</v>
      </c>
      <c r="FT486" s="4">
        <f t="shared" si="2190"/>
        <v>0</v>
      </c>
      <c r="FU486" s="4">
        <f t="shared" si="2191"/>
        <v>138.79835820431603</v>
      </c>
    </row>
    <row r="487" spans="1:178" ht="12" customHeight="1" x14ac:dyDescent="0.3">
      <c r="A487" s="113"/>
      <c r="B487" s="24"/>
      <c r="C487" s="43" t="s">
        <v>637</v>
      </c>
      <c r="D487" s="38">
        <f t="shared" si="2129"/>
        <v>889.65517241379314</v>
      </c>
      <c r="E487" s="45">
        <v>167.64</v>
      </c>
      <c r="F487" s="45">
        <v>28.96551724137931</v>
      </c>
      <c r="G487" s="7">
        <v>25.4</v>
      </c>
      <c r="H487" s="45">
        <v>1219.1999999999998</v>
      </c>
      <c r="I487" s="45">
        <v>596.9</v>
      </c>
      <c r="J487" s="45">
        <v>596.9</v>
      </c>
      <c r="K487" s="7"/>
      <c r="L487" s="38">
        <v>1</v>
      </c>
      <c r="N487" s="7">
        <f t="shared" si="2130"/>
        <v>24</v>
      </c>
      <c r="O487" s="7">
        <f t="shared" si="2131"/>
        <v>24</v>
      </c>
      <c r="P487" s="45">
        <v>12.9</v>
      </c>
      <c r="Q487" s="4">
        <f t="shared" si="2132"/>
        <v>12.9</v>
      </c>
      <c r="R487" s="4">
        <f t="shared" si="2133"/>
        <v>13.9</v>
      </c>
      <c r="S487" s="7">
        <f t="shared" si="2134"/>
        <v>94.698067562120812</v>
      </c>
      <c r="V487" s="45">
        <v>457.24137931034483</v>
      </c>
      <c r="Y487" s="38"/>
      <c r="Z487" s="38"/>
      <c r="AA487" s="39">
        <v>1</v>
      </c>
      <c r="AB487" s="39"/>
      <c r="AC487" s="39"/>
      <c r="AE487" s="4">
        <f t="shared" si="2135"/>
        <v>167.64</v>
      </c>
      <c r="AF487" s="4">
        <f t="shared" si="2136"/>
        <v>1</v>
      </c>
      <c r="AG487" s="4">
        <f t="shared" si="2137"/>
        <v>230.54186797023712</v>
      </c>
      <c r="AH487" s="4">
        <f t="shared" si="2138"/>
        <v>1</v>
      </c>
      <c r="AI487" s="4">
        <v>1.25</v>
      </c>
      <c r="AJ487" s="4">
        <v>1</v>
      </c>
      <c r="AK487" s="38">
        <f t="shared" si="2139"/>
        <v>288.17733496279641</v>
      </c>
      <c r="AL487" s="38">
        <f t="shared" si="2192"/>
        <v>288.17733496279641</v>
      </c>
      <c r="AM487" s="38">
        <f t="shared" si="2140"/>
        <v>2.8294940183703567</v>
      </c>
      <c r="AR487" s="4" t="e">
        <f>#REF!/G487*F487^0.5/0.19</f>
        <v>#REF!</v>
      </c>
      <c r="AS487" s="4">
        <f t="shared" si="2141"/>
        <v>1</v>
      </c>
      <c r="AT487" s="38">
        <f t="shared" si="2142"/>
        <v>4993.6417313204183</v>
      </c>
      <c r="AU487" s="4">
        <f t="shared" si="2143"/>
        <v>0.3</v>
      </c>
      <c r="AV487" s="4" t="e">
        <f>AU487*D487*#REF!/(D487*G487/2.75/F487^0.5)</f>
        <v>#REF!</v>
      </c>
      <c r="AW487" s="4" t="e">
        <f t="shared" si="2144"/>
        <v>#REF!</v>
      </c>
      <c r="AY487" s="4">
        <f t="shared" si="2145"/>
        <v>1.5</v>
      </c>
      <c r="AZ487" s="4" t="e">
        <f>(3*#REF!+30)*AY487*F487^0.5</f>
        <v>#REF!</v>
      </c>
      <c r="BB487" s="4">
        <f t="shared" si="2146"/>
        <v>4789.5131029266167</v>
      </c>
      <c r="BC487" s="4">
        <f t="shared" si="2147"/>
        <v>0</v>
      </c>
      <c r="BD487" s="4">
        <f t="shared" si="2148"/>
        <v>0</v>
      </c>
      <c r="BL487" s="4">
        <f t="shared" si="2149"/>
        <v>596.9</v>
      </c>
      <c r="BP487" s="9"/>
      <c r="BR487" s="9"/>
      <c r="BS487" s="9"/>
      <c r="BT487" s="9">
        <f t="shared" si="2150"/>
        <v>596.9</v>
      </c>
      <c r="BU487" s="9">
        <f t="shared" si="2151"/>
        <v>596.9</v>
      </c>
      <c r="BV487" s="9">
        <f t="shared" si="2152"/>
        <v>4.8476798574163293</v>
      </c>
      <c r="BW487" s="40">
        <f t="shared" si="2153"/>
        <v>0</v>
      </c>
      <c r="BX487" s="9">
        <f t="shared" si="2154"/>
        <v>0</v>
      </c>
      <c r="BY487" s="9">
        <f t="shared" si="2155"/>
        <v>0</v>
      </c>
      <c r="BZ487" s="9">
        <f t="shared" si="2156"/>
        <v>0.99524931562137331</v>
      </c>
      <c r="CA487" s="9">
        <f t="shared" si="2157"/>
        <v>0.68</v>
      </c>
      <c r="CB487" s="9">
        <f t="shared" si="2158"/>
        <v>1.2748218213295317</v>
      </c>
      <c r="CC487" s="9">
        <f t="shared" si="2159"/>
        <v>3.1870545533238293</v>
      </c>
      <c r="CD487" s="40">
        <v>1</v>
      </c>
      <c r="CE487" s="9" t="e">
        <f>4*CC487*#REF!+60*CC487</f>
        <v>#REF!</v>
      </c>
      <c r="DC487" s="4" t="e">
        <f>#REF!</f>
        <v>#REF!</v>
      </c>
      <c r="DF487" s="4">
        <f t="shared" si="2160"/>
        <v>1.1698513742501371E-5</v>
      </c>
      <c r="DG487" s="4">
        <f t="shared" si="2161"/>
        <v>8.2572047805129003</v>
      </c>
      <c r="DH487" s="4">
        <f t="shared" si="2162"/>
        <v>0.2837079160613234</v>
      </c>
      <c r="DI487" s="4">
        <f t="shared" si="2163"/>
        <v>4.9886339367525627</v>
      </c>
      <c r="DJ487" s="4">
        <f t="shared" si="2164"/>
        <v>6.8227253695393193</v>
      </c>
      <c r="DK487" s="4">
        <f t="shared" si="2165"/>
        <v>8.0922731041582345</v>
      </c>
      <c r="DL487" s="38">
        <f t="shared" si="2166"/>
        <v>449.32434474079685</v>
      </c>
      <c r="DM487" s="4" t="e">
        <f t="shared" si="2167"/>
        <v>#REF!</v>
      </c>
      <c r="DN487" s="4">
        <f t="shared" si="2168"/>
        <v>3.7282703764614493</v>
      </c>
      <c r="DO487" s="4">
        <f t="shared" si="2169"/>
        <v>288.17733496279641</v>
      </c>
      <c r="DS487" s="4">
        <f t="shared" si="2170"/>
        <v>0.85</v>
      </c>
      <c r="DT487" s="4">
        <f t="shared" si="2171"/>
        <v>0.7</v>
      </c>
      <c r="DU487" s="4">
        <f t="shared" si="2172"/>
        <v>1</v>
      </c>
      <c r="DV487" s="4">
        <f t="shared" si="2173"/>
        <v>0.7</v>
      </c>
      <c r="DX487" s="4">
        <f t="shared" si="2174"/>
        <v>889.65517241379314</v>
      </c>
      <c r="EB487" s="4">
        <f t="shared" si="2175"/>
        <v>8.2572047805129003</v>
      </c>
      <c r="EE487" s="4">
        <f t="shared" si="2176"/>
        <v>94.698067562120812</v>
      </c>
      <c r="EF487" s="4">
        <f t="shared" si="2177"/>
        <v>3.7282703764614498</v>
      </c>
      <c r="EG487" s="4">
        <f t="shared" si="2178"/>
        <v>8.3632046679521552E-2</v>
      </c>
      <c r="EJ487" s="4">
        <f t="shared" si="2179"/>
        <v>8.3632046679521552E-2</v>
      </c>
      <c r="EK487" s="4">
        <f t="shared" si="2180"/>
        <v>0.2837079160613234</v>
      </c>
      <c r="EL487" s="4">
        <f t="shared" si="2181"/>
        <v>4.9886339367525627</v>
      </c>
      <c r="EM487" s="4">
        <f t="shared" si="2182"/>
        <v>6.8227253695393193</v>
      </c>
      <c r="EN487" s="4" t="e">
        <f t="shared" si="2183"/>
        <v>#REF!</v>
      </c>
      <c r="EO487" s="4" t="e">
        <f t="shared" si="2184"/>
        <v>#REF!</v>
      </c>
      <c r="EP487" s="4" t="e">
        <f t="shared" si="2185"/>
        <v>#REF!</v>
      </c>
      <c r="EQ487" s="4" t="e">
        <f t="shared" si="2186"/>
        <v>#REF!</v>
      </c>
      <c r="ER487" s="4" t="e">
        <f t="shared" si="2187"/>
        <v>#REF!</v>
      </c>
      <c r="FA487" s="23"/>
      <c r="FB487" s="23"/>
      <c r="FC487" s="23"/>
      <c r="FD487" s="23"/>
      <c r="FE487" s="23"/>
      <c r="FF487" s="23"/>
      <c r="FG487" s="23"/>
      <c r="FH487" s="23"/>
      <c r="FR487" s="4">
        <f t="shared" si="2188"/>
        <v>1</v>
      </c>
      <c r="FS487" s="4">
        <f t="shared" si="2189"/>
        <v>1.0833333333333333</v>
      </c>
      <c r="FT487" s="4">
        <f t="shared" si="2190"/>
        <v>0</v>
      </c>
      <c r="FU487" s="4">
        <f t="shared" si="2191"/>
        <v>140.93371756130549</v>
      </c>
    </row>
    <row r="488" spans="1:178" ht="12" customHeight="1" x14ac:dyDescent="0.3">
      <c r="A488" s="113"/>
      <c r="B488" s="24"/>
      <c r="C488" s="43" t="s">
        <v>638</v>
      </c>
      <c r="D488" s="38">
        <f t="shared" si="2129"/>
        <v>889.65517241379314</v>
      </c>
      <c r="E488" s="45">
        <v>165.1</v>
      </c>
      <c r="F488" s="45">
        <v>28.96551724137931</v>
      </c>
      <c r="G488" s="7">
        <v>25.4</v>
      </c>
      <c r="H488" s="45">
        <v>1219.1999999999998</v>
      </c>
      <c r="I488" s="45">
        <v>596.9</v>
      </c>
      <c r="J488" s="45">
        <v>596.9</v>
      </c>
      <c r="K488" s="7"/>
      <c r="L488" s="38">
        <v>1</v>
      </c>
      <c r="N488" s="7">
        <f t="shared" si="2130"/>
        <v>24</v>
      </c>
      <c r="O488" s="7">
        <f t="shared" si="2131"/>
        <v>24</v>
      </c>
      <c r="P488" s="45">
        <v>4.5</v>
      </c>
      <c r="Q488" s="4">
        <f t="shared" si="2132"/>
        <v>4.5</v>
      </c>
      <c r="R488" s="4">
        <f t="shared" si="2133"/>
        <v>5.5</v>
      </c>
      <c r="S488" s="7">
        <f t="shared" si="2134"/>
        <v>59.568280149757555</v>
      </c>
      <c r="V488" s="45">
        <v>437.24137931034483</v>
      </c>
      <c r="Y488" s="38"/>
      <c r="Z488" s="38"/>
      <c r="AA488" s="39">
        <v>1</v>
      </c>
      <c r="AB488" s="39"/>
      <c r="AC488" s="39"/>
      <c r="AE488" s="4">
        <f t="shared" si="2135"/>
        <v>165.1</v>
      </c>
      <c r="AF488" s="4">
        <f t="shared" si="2136"/>
        <v>0.99999999999999989</v>
      </c>
      <c r="AG488" s="4">
        <f t="shared" si="2137"/>
        <v>225.32217739115345</v>
      </c>
      <c r="AH488" s="4">
        <f t="shared" si="2138"/>
        <v>1</v>
      </c>
      <c r="AI488" s="4">
        <v>1.25</v>
      </c>
      <c r="AJ488" s="4">
        <v>1</v>
      </c>
      <c r="AK488" s="38">
        <f t="shared" si="2139"/>
        <v>281.65272173894175</v>
      </c>
      <c r="AL488" s="38">
        <f t="shared" si="2192"/>
        <v>281.65272173894175</v>
      </c>
      <c r="AM488" s="38">
        <f t="shared" si="2140"/>
        <v>2.8294940183703567</v>
      </c>
      <c r="AR488" s="4" t="e">
        <f>#REF!/G488*F488^0.5/0.19</f>
        <v>#REF!</v>
      </c>
      <c r="AS488" s="4">
        <f t="shared" si="2141"/>
        <v>1</v>
      </c>
      <c r="AT488" s="38">
        <f t="shared" si="2142"/>
        <v>2949.3667673215441</v>
      </c>
      <c r="AU488" s="4">
        <f t="shared" si="2143"/>
        <v>0.37</v>
      </c>
      <c r="AV488" s="4" t="e">
        <f>AU488*D488*#REF!/(D488*G488/2.75/F488^0.5)</f>
        <v>#REF!</v>
      </c>
      <c r="AW488" s="4" t="e">
        <f t="shared" si="2144"/>
        <v>#REF!</v>
      </c>
      <c r="AY488" s="4">
        <f t="shared" si="2145"/>
        <v>1.5</v>
      </c>
      <c r="AZ488" s="4" t="e">
        <f>(3*#REF!+30)*AY488*F488^0.5</f>
        <v>#REF!</v>
      </c>
      <c r="BB488" s="4">
        <f t="shared" si="2146"/>
        <v>2828.8034139140482</v>
      </c>
      <c r="BC488" s="4">
        <f t="shared" si="2147"/>
        <v>0</v>
      </c>
      <c r="BD488" s="4">
        <f t="shared" si="2148"/>
        <v>0</v>
      </c>
      <c r="BL488" s="4">
        <f t="shared" si="2149"/>
        <v>596.9</v>
      </c>
      <c r="BP488" s="9"/>
      <c r="BR488" s="9"/>
      <c r="BS488" s="9"/>
      <c r="BT488" s="9">
        <f t="shared" si="2150"/>
        <v>596.9</v>
      </c>
      <c r="BU488" s="9">
        <f t="shared" si="2151"/>
        <v>596.9</v>
      </c>
      <c r="BV488" s="9">
        <f t="shared" si="2152"/>
        <v>4.8476798574163293</v>
      </c>
      <c r="BW488" s="40">
        <f t="shared" si="2153"/>
        <v>0</v>
      </c>
      <c r="BX488" s="9">
        <f t="shared" si="2154"/>
        <v>0</v>
      </c>
      <c r="BY488" s="9">
        <f t="shared" si="2155"/>
        <v>0</v>
      </c>
      <c r="BZ488" s="9">
        <f t="shared" si="2156"/>
        <v>0.99524931562137331</v>
      </c>
      <c r="CA488" s="9">
        <f t="shared" si="2157"/>
        <v>0.68</v>
      </c>
      <c r="CB488" s="9">
        <f t="shared" si="2158"/>
        <v>1.2748218213295317</v>
      </c>
      <c r="CC488" s="9">
        <f t="shared" si="2159"/>
        <v>3.1870545533238293</v>
      </c>
      <c r="CD488" s="40">
        <v>1</v>
      </c>
      <c r="CE488" s="9" t="e">
        <f>4*CC488*#REF!+60*CC488</f>
        <v>#REF!</v>
      </c>
      <c r="DC488" s="4" t="e">
        <f>#REF!</f>
        <v>#REF!</v>
      </c>
      <c r="DF488" s="4">
        <f t="shared" si="2160"/>
        <v>1.1521263534281654E-5</v>
      </c>
      <c r="DG488" s="4">
        <f t="shared" si="2161"/>
        <v>8.2572047805129003</v>
      </c>
      <c r="DH488" s="4">
        <f t="shared" si="2162"/>
        <v>0.50000773924973707</v>
      </c>
      <c r="DI488" s="4">
        <f t="shared" si="2163"/>
        <v>6.257829783752344</v>
      </c>
      <c r="DJ488" s="4">
        <f t="shared" si="2164"/>
        <v>7.3261726234865572</v>
      </c>
      <c r="DK488" s="4">
        <f t="shared" si="2165"/>
        <v>8.0650416635962614</v>
      </c>
      <c r="DL488" s="38">
        <f t="shared" si="2166"/>
        <v>466.91391452553756</v>
      </c>
      <c r="DM488" s="4" t="e">
        <f t="shared" si="2167"/>
        <v>#REF!</v>
      </c>
      <c r="DN488" s="4">
        <f t="shared" si="2168"/>
        <v>2.3452078799117149</v>
      </c>
      <c r="DO488" s="4">
        <f t="shared" si="2169"/>
        <v>281.65272173894175</v>
      </c>
      <c r="DS488" s="4">
        <f t="shared" si="2170"/>
        <v>0.85</v>
      </c>
      <c r="DT488" s="4">
        <f t="shared" si="2171"/>
        <v>0.7</v>
      </c>
      <c r="DU488" s="4">
        <f t="shared" si="2172"/>
        <v>1</v>
      </c>
      <c r="DV488" s="4">
        <f t="shared" si="2173"/>
        <v>0.7</v>
      </c>
      <c r="DX488" s="4">
        <f t="shared" si="2174"/>
        <v>889.65517241379314</v>
      </c>
      <c r="EB488" s="4">
        <f t="shared" si="2175"/>
        <v>8.2572047805129003</v>
      </c>
      <c r="EE488" s="4">
        <f t="shared" si="2176"/>
        <v>59.568280149757555</v>
      </c>
      <c r="EF488" s="4">
        <f t="shared" si="2177"/>
        <v>2.3452078799117149</v>
      </c>
      <c r="EG488" s="4">
        <f t="shared" si="2178"/>
        <v>0.14739338672530161</v>
      </c>
      <c r="EJ488" s="4">
        <f t="shared" si="2179"/>
        <v>0.14739338672530161</v>
      </c>
      <c r="EK488" s="4">
        <f t="shared" si="2180"/>
        <v>0.50000773924973707</v>
      </c>
      <c r="EL488" s="4">
        <f t="shared" si="2181"/>
        <v>6.257829783752344</v>
      </c>
      <c r="EM488" s="4">
        <f t="shared" si="2182"/>
        <v>7.3261726234865572</v>
      </c>
      <c r="EN488" s="4" t="e">
        <f t="shared" si="2183"/>
        <v>#REF!</v>
      </c>
      <c r="EO488" s="4" t="e">
        <f t="shared" si="2184"/>
        <v>#REF!</v>
      </c>
      <c r="EP488" s="4" t="e">
        <f t="shared" si="2185"/>
        <v>#REF!</v>
      </c>
      <c r="EQ488" s="4" t="e">
        <f t="shared" si="2186"/>
        <v>#REF!</v>
      </c>
      <c r="ER488" s="4" t="e">
        <f t="shared" si="2187"/>
        <v>#REF!</v>
      </c>
      <c r="FA488" s="23"/>
      <c r="FB488" s="23"/>
      <c r="FC488" s="23"/>
      <c r="FD488" s="23"/>
      <c r="FE488" s="23"/>
      <c r="FF488" s="23"/>
      <c r="FG488" s="23"/>
      <c r="FH488" s="23"/>
      <c r="FR488" s="4">
        <f t="shared" si="2188"/>
        <v>1</v>
      </c>
      <c r="FS488" s="4">
        <f t="shared" si="2189"/>
        <v>1.0833333333333333</v>
      </c>
      <c r="FT488" s="4">
        <f t="shared" si="2190"/>
        <v>0</v>
      </c>
      <c r="FU488" s="4">
        <f t="shared" si="2191"/>
        <v>138.79835820431603</v>
      </c>
    </row>
    <row r="489" spans="1:178" ht="12" customHeight="1" x14ac:dyDescent="0.3">
      <c r="A489" s="113"/>
      <c r="B489" s="24"/>
      <c r="C489" s="43" t="s">
        <v>639</v>
      </c>
      <c r="D489" s="38">
        <f t="shared" si="2129"/>
        <v>889.65517241379314</v>
      </c>
      <c r="E489" s="45">
        <v>165.1</v>
      </c>
      <c r="F489" s="45">
        <v>28.96551724137931</v>
      </c>
      <c r="G489" s="7">
        <v>25.4</v>
      </c>
      <c r="H489" s="45">
        <v>1219.1999999999998</v>
      </c>
      <c r="I489" s="45">
        <v>596.9</v>
      </c>
      <c r="J489" s="45">
        <v>596.9</v>
      </c>
      <c r="K489" s="7"/>
      <c r="L489" s="38">
        <v>1</v>
      </c>
      <c r="N489" s="7">
        <f t="shared" si="2130"/>
        <v>24</v>
      </c>
      <c r="O489" s="7">
        <f t="shared" si="2131"/>
        <v>24</v>
      </c>
      <c r="P489" s="45">
        <v>9.5</v>
      </c>
      <c r="Q489" s="4">
        <f t="shared" si="2132"/>
        <v>9.5</v>
      </c>
      <c r="R489" s="4">
        <f t="shared" si="2133"/>
        <v>10.5</v>
      </c>
      <c r="S489" s="7">
        <f t="shared" si="2134"/>
        <v>82.305406869779816</v>
      </c>
      <c r="V489" s="45">
        <v>426.89655172413796</v>
      </c>
      <c r="Y489" s="38"/>
      <c r="Z489" s="38"/>
      <c r="AA489" s="39">
        <v>1</v>
      </c>
      <c r="AB489" s="39"/>
      <c r="AC489" s="39"/>
      <c r="AE489" s="4">
        <f t="shared" si="2135"/>
        <v>165.1</v>
      </c>
      <c r="AF489" s="4">
        <f t="shared" si="2136"/>
        <v>0.99999999999999989</v>
      </c>
      <c r="AG489" s="4">
        <f t="shared" si="2137"/>
        <v>225.32217739115345</v>
      </c>
      <c r="AH489" s="4">
        <f t="shared" si="2138"/>
        <v>1</v>
      </c>
      <c r="AI489" s="4">
        <v>1.25</v>
      </c>
      <c r="AJ489" s="4">
        <v>1</v>
      </c>
      <c r="AK489" s="38">
        <f t="shared" si="2139"/>
        <v>281.65272173894175</v>
      </c>
      <c r="AL489" s="38">
        <f t="shared" si="2192"/>
        <v>281.65272173894175</v>
      </c>
      <c r="AM489" s="38">
        <f t="shared" si="2140"/>
        <v>2.8294940183703567</v>
      </c>
      <c r="AR489" s="4" t="e">
        <f>#REF!/G489*F489^0.5/0.19</f>
        <v>#REF!</v>
      </c>
      <c r="AS489" s="4">
        <f t="shared" si="2141"/>
        <v>1</v>
      </c>
      <c r="AT489" s="38">
        <f t="shared" si="2142"/>
        <v>4285.3305620639503</v>
      </c>
      <c r="AU489" s="4">
        <f t="shared" si="2143"/>
        <v>0.3</v>
      </c>
      <c r="AV489" s="4" t="e">
        <f>AU489*D489*#REF!/(D489*G489/2.75/F489^0.5)</f>
        <v>#REF!</v>
      </c>
      <c r="AW489" s="4" t="e">
        <f t="shared" si="2144"/>
        <v>#REF!</v>
      </c>
      <c r="AY489" s="4">
        <f t="shared" si="2145"/>
        <v>1.5</v>
      </c>
      <c r="AZ489" s="4" t="e">
        <f>(3*#REF!+30)*AY489*F489^0.5</f>
        <v>#REF!</v>
      </c>
      <c r="BB489" s="4">
        <f t="shared" si="2146"/>
        <v>4110.1560707980652</v>
      </c>
      <c r="BC489" s="4">
        <f t="shared" si="2147"/>
        <v>0</v>
      </c>
      <c r="BD489" s="4">
        <f t="shared" si="2148"/>
        <v>0</v>
      </c>
      <c r="BL489" s="4">
        <f t="shared" si="2149"/>
        <v>596.9</v>
      </c>
      <c r="BP489" s="9"/>
      <c r="BR489" s="9"/>
      <c r="BS489" s="9"/>
      <c r="BT489" s="9">
        <f t="shared" si="2150"/>
        <v>596.9</v>
      </c>
      <c r="BU489" s="9">
        <f t="shared" si="2151"/>
        <v>596.9</v>
      </c>
      <c r="BV489" s="9">
        <f t="shared" si="2152"/>
        <v>4.8476798574163293</v>
      </c>
      <c r="BW489" s="40">
        <f t="shared" si="2153"/>
        <v>0</v>
      </c>
      <c r="BX489" s="9">
        <f t="shared" si="2154"/>
        <v>0</v>
      </c>
      <c r="BY489" s="9">
        <f t="shared" si="2155"/>
        <v>0</v>
      </c>
      <c r="BZ489" s="9">
        <f t="shared" si="2156"/>
        <v>0.99524931562137331</v>
      </c>
      <c r="CA489" s="9">
        <f t="shared" si="2157"/>
        <v>0.68</v>
      </c>
      <c r="CB489" s="9">
        <f t="shared" si="2158"/>
        <v>1.2748218213295317</v>
      </c>
      <c r="CC489" s="9">
        <f t="shared" si="2159"/>
        <v>3.1870545533238293</v>
      </c>
      <c r="CD489" s="40">
        <v>1</v>
      </c>
      <c r="CE489" s="9" t="e">
        <f>4*CC489*#REF!+60*CC489</f>
        <v>#REF!</v>
      </c>
      <c r="DC489" s="4" t="e">
        <f>#REF!</f>
        <v>#REF!</v>
      </c>
      <c r="DF489" s="4">
        <f t="shared" si="2160"/>
        <v>1.1521263534281654E-5</v>
      </c>
      <c r="DG489" s="4">
        <f t="shared" si="2161"/>
        <v>8.2572047805129003</v>
      </c>
      <c r="DH489" s="4">
        <f t="shared" si="2162"/>
        <v>0.32724946090324902</v>
      </c>
      <c r="DI489" s="4">
        <f t="shared" si="2163"/>
        <v>5.2818325815863334</v>
      </c>
      <c r="DJ489" s="4">
        <f t="shared" si="2164"/>
        <v>6.9318072770896242</v>
      </c>
      <c r="DK489" s="4">
        <f t="shared" si="2165"/>
        <v>8.0879729188138541</v>
      </c>
      <c r="DL489" s="38">
        <f t="shared" si="2166"/>
        <v>448.00867129349689</v>
      </c>
      <c r="DM489" s="4" t="e">
        <f t="shared" si="2167"/>
        <v>#REF!</v>
      </c>
      <c r="DN489" s="4">
        <f t="shared" si="2168"/>
        <v>3.2403703492039297</v>
      </c>
      <c r="DO489" s="4">
        <f t="shared" si="2169"/>
        <v>281.65272173894175</v>
      </c>
      <c r="DS489" s="4">
        <f t="shared" si="2170"/>
        <v>0.85</v>
      </c>
      <c r="DT489" s="4">
        <f t="shared" si="2171"/>
        <v>0.7</v>
      </c>
      <c r="DU489" s="4">
        <f t="shared" si="2172"/>
        <v>1</v>
      </c>
      <c r="DV489" s="4">
        <f t="shared" si="2173"/>
        <v>0.7</v>
      </c>
      <c r="DX489" s="4">
        <f t="shared" si="2174"/>
        <v>889.65517241379314</v>
      </c>
      <c r="EB489" s="4">
        <f t="shared" si="2175"/>
        <v>8.2572047805129003</v>
      </c>
      <c r="EE489" s="4">
        <f t="shared" si="2176"/>
        <v>82.305406869779816</v>
      </c>
      <c r="EF489" s="4">
        <f t="shared" si="2177"/>
        <v>3.2403703492039302</v>
      </c>
      <c r="EG489" s="4">
        <f t="shared" si="2178"/>
        <v>9.6467319523763598E-2</v>
      </c>
      <c r="EJ489" s="4">
        <f t="shared" si="2179"/>
        <v>9.6467319523763598E-2</v>
      </c>
      <c r="EK489" s="4">
        <f t="shared" si="2180"/>
        <v>0.32724946090324902</v>
      </c>
      <c r="EL489" s="4">
        <f t="shared" si="2181"/>
        <v>5.2818325815863334</v>
      </c>
      <c r="EM489" s="4">
        <f t="shared" si="2182"/>
        <v>6.9318072770896242</v>
      </c>
      <c r="EN489" s="4" t="e">
        <f t="shared" si="2183"/>
        <v>#REF!</v>
      </c>
      <c r="EO489" s="4" t="e">
        <f t="shared" si="2184"/>
        <v>#REF!</v>
      </c>
      <c r="EP489" s="4" t="e">
        <f t="shared" si="2185"/>
        <v>#REF!</v>
      </c>
      <c r="EQ489" s="4" t="e">
        <f t="shared" si="2186"/>
        <v>#REF!</v>
      </c>
      <c r="ER489" s="4" t="e">
        <f t="shared" si="2187"/>
        <v>#REF!</v>
      </c>
      <c r="FA489" s="23"/>
      <c r="FB489" s="23"/>
      <c r="FC489" s="23"/>
      <c r="FD489" s="23"/>
      <c r="FE489" s="23"/>
      <c r="FF489" s="23"/>
      <c r="FG489" s="23"/>
      <c r="FH489" s="23"/>
      <c r="FR489" s="4">
        <f t="shared" si="2188"/>
        <v>1</v>
      </c>
      <c r="FS489" s="4">
        <f t="shared" si="2189"/>
        <v>1.0833333333333333</v>
      </c>
      <c r="FT489" s="4">
        <f t="shared" si="2190"/>
        <v>0</v>
      </c>
      <c r="FU489" s="4">
        <f t="shared" si="2191"/>
        <v>138.79835820431603</v>
      </c>
    </row>
    <row r="490" spans="1:178" ht="12" customHeight="1" x14ac:dyDescent="0.3">
      <c r="A490" s="113"/>
      <c r="B490" s="24"/>
      <c r="C490" s="43" t="s">
        <v>639</v>
      </c>
      <c r="D490" s="38">
        <f t="shared" si="2129"/>
        <v>889.65517241379314</v>
      </c>
      <c r="E490" s="45">
        <v>162.56</v>
      </c>
      <c r="F490" s="45">
        <v>28.96551724137931</v>
      </c>
      <c r="G490" s="7">
        <v>25.4</v>
      </c>
      <c r="H490" s="45">
        <v>1219.1999999999998</v>
      </c>
      <c r="I490" s="45">
        <v>596.9</v>
      </c>
      <c r="J490" s="45">
        <v>596.9</v>
      </c>
      <c r="K490" s="7"/>
      <c r="L490" s="38">
        <v>1</v>
      </c>
      <c r="N490" s="7">
        <f t="shared" si="2130"/>
        <v>24</v>
      </c>
      <c r="O490" s="7">
        <f t="shared" si="2131"/>
        <v>24</v>
      </c>
      <c r="P490" s="45">
        <v>9.5</v>
      </c>
      <c r="Q490" s="4">
        <f t="shared" si="2132"/>
        <v>9.5</v>
      </c>
      <c r="R490" s="4">
        <f t="shared" si="2133"/>
        <v>10.5</v>
      </c>
      <c r="S490" s="7">
        <f t="shared" si="2134"/>
        <v>82.305406869779816</v>
      </c>
      <c r="V490" s="45">
        <v>475.86206896551727</v>
      </c>
      <c r="Y490" s="38"/>
      <c r="Z490" s="38"/>
      <c r="AA490" s="39">
        <v>1</v>
      </c>
      <c r="AB490" s="39"/>
      <c r="AC490" s="39"/>
      <c r="AE490" s="4">
        <f t="shared" si="2135"/>
        <v>162.56</v>
      </c>
      <c r="AF490" s="4">
        <f t="shared" si="2136"/>
        <v>1</v>
      </c>
      <c r="AG490" s="4">
        <f t="shared" si="2137"/>
        <v>220.14248542345268</v>
      </c>
      <c r="AH490" s="4">
        <f t="shared" si="2138"/>
        <v>1</v>
      </c>
      <c r="AI490" s="4">
        <v>1.25</v>
      </c>
      <c r="AJ490" s="4">
        <v>1</v>
      </c>
      <c r="AK490" s="38">
        <f t="shared" si="2139"/>
        <v>275.17810677931584</v>
      </c>
      <c r="AL490" s="38">
        <f t="shared" si="2192"/>
        <v>275.17810677931584</v>
      </c>
      <c r="AM490" s="38">
        <f t="shared" si="2140"/>
        <v>2.8294940183703567</v>
      </c>
      <c r="AR490" s="4" t="e">
        <f>#REF!/G490*F490^0.5/0.19</f>
        <v>#REF!</v>
      </c>
      <c r="AS490" s="4">
        <f t="shared" si="2141"/>
        <v>1</v>
      </c>
      <c r="AT490" s="38">
        <f t="shared" si="2142"/>
        <v>4285.3305620639503</v>
      </c>
      <c r="AU490" s="4">
        <f t="shared" si="2143"/>
        <v>0.3</v>
      </c>
      <c r="AV490" s="4" t="e">
        <f>AU490*D490*#REF!/(D490*G490/2.75/F490^0.5)</f>
        <v>#REF!</v>
      </c>
      <c r="AW490" s="4" t="e">
        <f t="shared" si="2144"/>
        <v>#REF!</v>
      </c>
      <c r="AY490" s="4">
        <f t="shared" si="2145"/>
        <v>1.5</v>
      </c>
      <c r="AZ490" s="4" t="e">
        <f>(3*#REF!+30)*AY490*F490^0.5</f>
        <v>#REF!</v>
      </c>
      <c r="BB490" s="4">
        <f t="shared" si="2146"/>
        <v>4110.1560707980652</v>
      </c>
      <c r="BC490" s="4">
        <f t="shared" si="2147"/>
        <v>0</v>
      </c>
      <c r="BD490" s="4">
        <f t="shared" si="2148"/>
        <v>0</v>
      </c>
      <c r="BL490" s="4">
        <f t="shared" si="2149"/>
        <v>596.9</v>
      </c>
      <c r="BP490" s="9"/>
      <c r="BR490" s="9"/>
      <c r="BS490" s="9"/>
      <c r="BT490" s="9">
        <f t="shared" si="2150"/>
        <v>596.9</v>
      </c>
      <c r="BU490" s="9">
        <f t="shared" si="2151"/>
        <v>596.9</v>
      </c>
      <c r="BV490" s="9">
        <f t="shared" si="2152"/>
        <v>4.8476798574163293</v>
      </c>
      <c r="BW490" s="40">
        <f t="shared" si="2153"/>
        <v>0</v>
      </c>
      <c r="BX490" s="9">
        <f t="shared" si="2154"/>
        <v>0</v>
      </c>
      <c r="BY490" s="9">
        <f t="shared" si="2155"/>
        <v>0</v>
      </c>
      <c r="BZ490" s="9">
        <f t="shared" si="2156"/>
        <v>0.99524931562137331</v>
      </c>
      <c r="CA490" s="9">
        <f t="shared" si="2157"/>
        <v>0.68</v>
      </c>
      <c r="CB490" s="9">
        <f t="shared" si="2158"/>
        <v>1.2748218213295317</v>
      </c>
      <c r="CC490" s="9">
        <f t="shared" si="2159"/>
        <v>3.1870545533238293</v>
      </c>
      <c r="CD490" s="40">
        <v>1</v>
      </c>
      <c r="CE490" s="9" t="e">
        <f>4*CC490*#REF!+60*CC490</f>
        <v>#REF!</v>
      </c>
      <c r="DC490" s="4" t="e">
        <f>#REF!</f>
        <v>#REF!</v>
      </c>
      <c r="DF490" s="4">
        <f t="shared" si="2160"/>
        <v>1.1344013326061937E-5</v>
      </c>
      <c r="DG490" s="4">
        <f t="shared" si="2161"/>
        <v>8.2572047805129003</v>
      </c>
      <c r="DH490" s="4">
        <f t="shared" si="2162"/>
        <v>0.31972667098660273</v>
      </c>
      <c r="DI490" s="4">
        <f t="shared" si="2163"/>
        <v>5.2329261002744616</v>
      </c>
      <c r="DJ490" s="4">
        <f t="shared" si="2164"/>
        <v>6.9132912758781213</v>
      </c>
      <c r="DK490" s="4">
        <f t="shared" si="2165"/>
        <v>8.0943984457206888</v>
      </c>
      <c r="DL490" s="38">
        <f t="shared" si="2166"/>
        <v>437.93742736534432</v>
      </c>
      <c r="DM490" s="4" t="e">
        <f t="shared" si="2167"/>
        <v>#REF!</v>
      </c>
      <c r="DN490" s="4">
        <f t="shared" si="2168"/>
        <v>3.2403703492039297</v>
      </c>
      <c r="DO490" s="4">
        <f t="shared" si="2169"/>
        <v>275.17810677931584</v>
      </c>
      <c r="DS490" s="4">
        <f t="shared" si="2170"/>
        <v>0.85</v>
      </c>
      <c r="DT490" s="4">
        <f t="shared" si="2171"/>
        <v>0.7</v>
      </c>
      <c r="DU490" s="4">
        <f t="shared" si="2172"/>
        <v>1</v>
      </c>
      <c r="DV490" s="4">
        <f t="shared" si="2173"/>
        <v>0.7</v>
      </c>
      <c r="DX490" s="4">
        <f t="shared" si="2174"/>
        <v>889.65517241379314</v>
      </c>
      <c r="EB490" s="4">
        <f t="shared" si="2175"/>
        <v>8.2572047805129003</v>
      </c>
      <c r="EE490" s="4">
        <f t="shared" si="2176"/>
        <v>82.305406869779816</v>
      </c>
      <c r="EF490" s="4">
        <f t="shared" si="2177"/>
        <v>3.2403703492039302</v>
      </c>
      <c r="EG490" s="4">
        <f t="shared" si="2178"/>
        <v>9.4249734881771408E-2</v>
      </c>
      <c r="EJ490" s="4">
        <f t="shared" si="2179"/>
        <v>9.4249734881771408E-2</v>
      </c>
      <c r="EK490" s="4">
        <f t="shared" si="2180"/>
        <v>0.31972667098660273</v>
      </c>
      <c r="EL490" s="4">
        <f t="shared" si="2181"/>
        <v>5.2329261002744616</v>
      </c>
      <c r="EM490" s="4">
        <f t="shared" si="2182"/>
        <v>6.9132912758781213</v>
      </c>
      <c r="EN490" s="4" t="e">
        <f t="shared" si="2183"/>
        <v>#REF!</v>
      </c>
      <c r="EO490" s="4" t="e">
        <f t="shared" si="2184"/>
        <v>#REF!</v>
      </c>
      <c r="EP490" s="4" t="e">
        <f t="shared" si="2185"/>
        <v>#REF!</v>
      </c>
      <c r="EQ490" s="4" t="e">
        <f t="shared" si="2186"/>
        <v>#REF!</v>
      </c>
      <c r="ER490" s="4" t="e">
        <f t="shared" si="2187"/>
        <v>#REF!</v>
      </c>
      <c r="FA490" s="23"/>
      <c r="FB490" s="23"/>
      <c r="FC490" s="23"/>
      <c r="FD490" s="23"/>
      <c r="FE490" s="23"/>
      <c r="FF490" s="23"/>
      <c r="FG490" s="23"/>
      <c r="FH490" s="23"/>
      <c r="FR490" s="4">
        <f t="shared" si="2188"/>
        <v>1</v>
      </c>
      <c r="FS490" s="4">
        <f t="shared" si="2189"/>
        <v>1.0833333333333333</v>
      </c>
      <c r="FT490" s="4">
        <f t="shared" si="2190"/>
        <v>0</v>
      </c>
      <c r="FU490" s="4">
        <f t="shared" si="2191"/>
        <v>136.66299884732655</v>
      </c>
    </row>
    <row r="491" spans="1:178" ht="12" customHeight="1" x14ac:dyDescent="0.3">
      <c r="A491" s="113"/>
      <c r="B491" s="24"/>
      <c r="C491" s="43" t="s">
        <v>640</v>
      </c>
      <c r="D491" s="38">
        <f t="shared" si="2129"/>
        <v>889.65517241379314</v>
      </c>
      <c r="E491" s="45">
        <v>213.35999999999999</v>
      </c>
      <c r="F491" s="45">
        <v>28.96551724137931</v>
      </c>
      <c r="G491" s="7">
        <v>25.4</v>
      </c>
      <c r="H491" s="45">
        <v>1219.1999999999998</v>
      </c>
      <c r="I491" s="45">
        <v>596.9</v>
      </c>
      <c r="J491" s="45">
        <v>596.9</v>
      </c>
      <c r="K491" s="7"/>
      <c r="L491" s="38">
        <v>1</v>
      </c>
      <c r="N491" s="7">
        <f t="shared" si="2130"/>
        <v>24</v>
      </c>
      <c r="O491" s="7">
        <f t="shared" si="2131"/>
        <v>24</v>
      </c>
      <c r="P491" s="45">
        <v>4.0999999999999996</v>
      </c>
      <c r="Q491" s="4">
        <f t="shared" si="2132"/>
        <v>4.0999999999999996</v>
      </c>
      <c r="R491" s="4">
        <f t="shared" si="2133"/>
        <v>5.0999999999999996</v>
      </c>
      <c r="S491" s="7">
        <f t="shared" si="2134"/>
        <v>57.361276136431961</v>
      </c>
      <c r="V491" s="45">
        <v>341.37931034482762</v>
      </c>
      <c r="Y491" s="38"/>
      <c r="Z491" s="38"/>
      <c r="AA491" s="39">
        <v>1</v>
      </c>
      <c r="AB491" s="39"/>
      <c r="AC491" s="39"/>
      <c r="AE491" s="4">
        <f t="shared" si="2135"/>
        <v>213.35999999999999</v>
      </c>
      <c r="AF491" s="4">
        <f t="shared" si="2136"/>
        <v>1</v>
      </c>
      <c r="AG491" s="4">
        <f t="shared" si="2137"/>
        <v>331.01893227659951</v>
      </c>
      <c r="AH491" s="4">
        <f t="shared" si="2138"/>
        <v>1</v>
      </c>
      <c r="AI491" s="4">
        <v>1.25</v>
      </c>
      <c r="AJ491" s="4">
        <v>1</v>
      </c>
      <c r="AK491" s="38">
        <f t="shared" si="2139"/>
        <v>413.77366534574941</v>
      </c>
      <c r="AL491" s="38">
        <f t="shared" si="2192"/>
        <v>413.77366534574941</v>
      </c>
      <c r="AM491" s="38">
        <f t="shared" si="2140"/>
        <v>2.8294940183703567</v>
      </c>
      <c r="AR491" s="4" t="e">
        <f>#REF!/G491*F491^0.5/0.19</f>
        <v>#REF!</v>
      </c>
      <c r="AS491" s="4">
        <f t="shared" si="2141"/>
        <v>1</v>
      </c>
      <c r="AT491" s="38">
        <f t="shared" si="2142"/>
        <v>2815.2337082989129</v>
      </c>
      <c r="AU491" s="4">
        <f t="shared" si="2143"/>
        <v>0.42600000000000005</v>
      </c>
      <c r="AV491" s="4" t="e">
        <f>AU491*D491*#REF!/(D491*G491/2.75/F491^0.5)</f>
        <v>#REF!</v>
      </c>
      <c r="AW491" s="4" t="e">
        <f t="shared" si="2144"/>
        <v>#REF!</v>
      </c>
      <c r="AY491" s="4">
        <f t="shared" si="2145"/>
        <v>1.5</v>
      </c>
      <c r="AZ491" s="4" t="e">
        <f>(3*#REF!+30)*AY491*F491^0.5</f>
        <v>#REF!</v>
      </c>
      <c r="BB491" s="4">
        <f t="shared" si="2146"/>
        <v>2700.1534069071072</v>
      </c>
      <c r="BC491" s="4">
        <f t="shared" si="2147"/>
        <v>0</v>
      </c>
      <c r="BD491" s="4">
        <f t="shared" si="2148"/>
        <v>0</v>
      </c>
      <c r="BL491" s="4">
        <f t="shared" si="2149"/>
        <v>596.9</v>
      </c>
      <c r="BP491" s="9"/>
      <c r="BR491" s="9"/>
      <c r="BS491" s="9"/>
      <c r="BT491" s="9">
        <f t="shared" si="2150"/>
        <v>596.9</v>
      </c>
      <c r="BU491" s="9">
        <f t="shared" si="2151"/>
        <v>596.9</v>
      </c>
      <c r="BV491" s="9">
        <f t="shared" si="2152"/>
        <v>4.8476798574163293</v>
      </c>
      <c r="BW491" s="40">
        <f t="shared" si="2153"/>
        <v>0</v>
      </c>
      <c r="BX491" s="9">
        <f t="shared" si="2154"/>
        <v>0</v>
      </c>
      <c r="BY491" s="9">
        <f t="shared" si="2155"/>
        <v>0</v>
      </c>
      <c r="BZ491" s="9">
        <f t="shared" si="2156"/>
        <v>0.99524931562137331</v>
      </c>
      <c r="CA491" s="9">
        <f t="shared" si="2157"/>
        <v>0.68</v>
      </c>
      <c r="CB491" s="9">
        <f t="shared" si="2158"/>
        <v>1.2748218213295317</v>
      </c>
      <c r="CC491" s="9">
        <f t="shared" si="2159"/>
        <v>3.1870545533238293</v>
      </c>
      <c r="CD491" s="40">
        <v>1</v>
      </c>
      <c r="CE491" s="9" t="e">
        <f>4*CC491*#REF!+60*CC491</f>
        <v>#REF!</v>
      </c>
      <c r="DC491" s="4" t="e">
        <f>#REF!</f>
        <v>#REF!</v>
      </c>
      <c r="DF491" s="4">
        <f t="shared" si="2160"/>
        <v>1.4889017490456289E-5</v>
      </c>
      <c r="DG491" s="4">
        <f t="shared" si="2161"/>
        <v>8.2572047805129003</v>
      </c>
      <c r="DH491" s="4">
        <f t="shared" si="2162"/>
        <v>0.77635082883803019</v>
      </c>
      <c r="DI491" s="4">
        <f t="shared" si="2163"/>
        <v>7.4620175087624512</v>
      </c>
      <c r="DJ491" s="4">
        <f t="shared" si="2164"/>
        <v>7.8696638067407143</v>
      </c>
      <c r="DK491" s="4">
        <f t="shared" si="2165"/>
        <v>7.901496818500239</v>
      </c>
      <c r="DL491" s="38">
        <f t="shared" si="2166"/>
        <v>674.77938672986375</v>
      </c>
      <c r="DM491" s="4" t="e">
        <f t="shared" si="2167"/>
        <v>#REF!</v>
      </c>
      <c r="DN491" s="4">
        <f t="shared" si="2168"/>
        <v>2.2583179581272428</v>
      </c>
      <c r="DO491" s="4">
        <f t="shared" si="2169"/>
        <v>413.77366534574941</v>
      </c>
      <c r="DS491" s="4">
        <f t="shared" si="2170"/>
        <v>0.85</v>
      </c>
      <c r="DT491" s="4">
        <f t="shared" si="2171"/>
        <v>0.7</v>
      </c>
      <c r="DU491" s="4">
        <f t="shared" si="2172"/>
        <v>1</v>
      </c>
      <c r="DV491" s="4">
        <f t="shared" si="2173"/>
        <v>0.7</v>
      </c>
      <c r="DX491" s="4">
        <f t="shared" si="2174"/>
        <v>889.65517241379314</v>
      </c>
      <c r="EB491" s="4">
        <f t="shared" si="2175"/>
        <v>8.2572047805129003</v>
      </c>
      <c r="EE491" s="4">
        <f t="shared" si="2176"/>
        <v>57.361276136431961</v>
      </c>
      <c r="EF491" s="4">
        <f t="shared" si="2177"/>
        <v>2.2583179581272428</v>
      </c>
      <c r="EG491" s="4">
        <f t="shared" si="2178"/>
        <v>0.22885441357594427</v>
      </c>
      <c r="EJ491" s="4">
        <f t="shared" si="2179"/>
        <v>0.22885441357594427</v>
      </c>
      <c r="EK491" s="4">
        <f t="shared" si="2180"/>
        <v>0.77635082883803019</v>
      </c>
      <c r="EL491" s="4">
        <f t="shared" si="2181"/>
        <v>7.4620175087624512</v>
      </c>
      <c r="EM491" s="4">
        <f t="shared" si="2182"/>
        <v>7.8696638067407143</v>
      </c>
      <c r="EN491" s="4" t="e">
        <f t="shared" si="2183"/>
        <v>#REF!</v>
      </c>
      <c r="EO491" s="4" t="e">
        <f t="shared" si="2184"/>
        <v>#REF!</v>
      </c>
      <c r="EP491" s="4" t="e">
        <f t="shared" si="2185"/>
        <v>#REF!</v>
      </c>
      <c r="EQ491" s="4" t="e">
        <f t="shared" si="2186"/>
        <v>#REF!</v>
      </c>
      <c r="ER491" s="4" t="e">
        <f t="shared" si="2187"/>
        <v>#REF!</v>
      </c>
      <c r="FA491" s="23"/>
      <c r="FB491" s="23"/>
      <c r="FC491" s="23"/>
      <c r="FD491" s="23"/>
      <c r="FE491" s="23"/>
      <c r="FF491" s="23"/>
      <c r="FG491" s="23"/>
      <c r="FH491" s="23"/>
      <c r="FR491" s="4">
        <f t="shared" si="2188"/>
        <v>1</v>
      </c>
      <c r="FS491" s="4">
        <f t="shared" si="2189"/>
        <v>1.0833333333333333</v>
      </c>
      <c r="FT491" s="4">
        <f t="shared" si="2190"/>
        <v>0</v>
      </c>
      <c r="FU491" s="4">
        <f t="shared" si="2191"/>
        <v>179.37018598711612</v>
      </c>
    </row>
    <row r="492" spans="1:178" ht="12" customHeight="1" x14ac:dyDescent="0.3">
      <c r="A492" s="113"/>
      <c r="B492" s="24"/>
      <c r="C492" s="43" t="s">
        <v>641</v>
      </c>
      <c r="D492" s="38">
        <f t="shared" si="2129"/>
        <v>889.65517241379314</v>
      </c>
      <c r="E492" s="45">
        <v>165.1</v>
      </c>
      <c r="F492" s="45">
        <v>35.724137931034484</v>
      </c>
      <c r="G492" s="7">
        <v>25.4</v>
      </c>
      <c r="H492" s="45">
        <v>1524</v>
      </c>
      <c r="I492" s="45">
        <v>769.62</v>
      </c>
      <c r="J492" s="45">
        <v>769.62</v>
      </c>
      <c r="K492" s="7"/>
      <c r="L492" s="38">
        <v>1</v>
      </c>
      <c r="N492" s="7">
        <f t="shared" si="2130"/>
        <v>30.8</v>
      </c>
      <c r="O492" s="7">
        <f t="shared" si="2131"/>
        <v>30.8</v>
      </c>
      <c r="P492" s="45">
        <v>4.0999999999999996</v>
      </c>
      <c r="Q492" s="4">
        <f t="shared" si="2132"/>
        <v>4.0999999999999996</v>
      </c>
      <c r="R492" s="4">
        <f t="shared" si="2133"/>
        <v>5.0999999999999996</v>
      </c>
      <c r="S492" s="7">
        <f t="shared" si="2134"/>
        <v>57.361276136431961</v>
      </c>
      <c r="V492" s="45">
        <v>440.68965517241384</v>
      </c>
      <c r="Y492" s="38"/>
      <c r="Z492" s="38"/>
      <c r="AA492" s="39">
        <v>1</v>
      </c>
      <c r="AB492" s="39"/>
      <c r="AC492" s="39"/>
      <c r="AE492" s="4">
        <f t="shared" si="2135"/>
        <v>165.1</v>
      </c>
      <c r="AF492" s="4">
        <f t="shared" si="2136"/>
        <v>0.99999999999999989</v>
      </c>
      <c r="AG492" s="4">
        <f t="shared" si="2137"/>
        <v>250.23276458121583</v>
      </c>
      <c r="AH492" s="4">
        <f t="shared" si="2138"/>
        <v>1</v>
      </c>
      <c r="AI492" s="4">
        <v>1.25</v>
      </c>
      <c r="AJ492" s="4">
        <v>1</v>
      </c>
      <c r="AK492" s="38">
        <f t="shared" si="2139"/>
        <v>312.79095572651971</v>
      </c>
      <c r="AL492" s="38">
        <f t="shared" si="2192"/>
        <v>312.79095572651971</v>
      </c>
      <c r="AM492" s="38">
        <f t="shared" si="2140"/>
        <v>3.2540864993004175</v>
      </c>
      <c r="AR492" s="4" t="e">
        <f>#REF!/G492*F492^0.5/0.19</f>
        <v>#REF!</v>
      </c>
      <c r="AS492" s="4">
        <f t="shared" si="2141"/>
        <v>1</v>
      </c>
      <c r="AT492" s="38">
        <f t="shared" si="2142"/>
        <v>4455.8893527464461</v>
      </c>
      <c r="AU492" s="4">
        <f t="shared" si="2143"/>
        <v>0.42600000000000005</v>
      </c>
      <c r="AV492" s="4" t="e">
        <f>AU492*D492*#REF!/(D492*G492/2.75/F492^0.5)</f>
        <v>#REF!</v>
      </c>
      <c r="AW492" s="4" t="e">
        <f t="shared" si="2144"/>
        <v>#REF!</v>
      </c>
      <c r="AY492" s="4">
        <f t="shared" si="2145"/>
        <v>1.5</v>
      </c>
      <c r="AZ492" s="4" t="e">
        <f>(3*#REF!+30)*AY492*F492^0.5</f>
        <v>#REF!</v>
      </c>
      <c r="BB492" s="4">
        <f t="shared" si="2146"/>
        <v>4273.7428090435269</v>
      </c>
      <c r="BC492" s="4">
        <f t="shared" si="2147"/>
        <v>0</v>
      </c>
      <c r="BD492" s="4">
        <f t="shared" si="2148"/>
        <v>0</v>
      </c>
      <c r="BL492" s="4">
        <f t="shared" si="2149"/>
        <v>769.62</v>
      </c>
      <c r="BP492" s="9"/>
      <c r="BR492" s="9"/>
      <c r="BS492" s="9"/>
      <c r="BT492" s="9">
        <f t="shared" si="2150"/>
        <v>769.62</v>
      </c>
      <c r="BU492" s="9">
        <f t="shared" si="2151"/>
        <v>769.62</v>
      </c>
      <c r="BV492" s="9">
        <f t="shared" si="2152"/>
        <v>5.5045435778091543</v>
      </c>
      <c r="BW492" s="40">
        <f t="shared" si="2153"/>
        <v>0</v>
      </c>
      <c r="BX492" s="9">
        <f t="shared" si="2154"/>
        <v>0</v>
      </c>
      <c r="BY492" s="9">
        <f t="shared" si="2155"/>
        <v>0</v>
      </c>
      <c r="BZ492" s="9">
        <f t="shared" si="2156"/>
        <v>0.99524931562137331</v>
      </c>
      <c r="CA492" s="9">
        <f t="shared" si="2157"/>
        <v>0.68</v>
      </c>
      <c r="CB492" s="9">
        <f t="shared" si="2158"/>
        <v>1.4157602788737922</v>
      </c>
      <c r="CC492" s="9">
        <f t="shared" si="2159"/>
        <v>3.5394006971844805</v>
      </c>
      <c r="CD492" s="40">
        <v>1</v>
      </c>
      <c r="CE492" s="9" t="e">
        <f>4*CC492*#REF!+60*CC492</f>
        <v>#REF!</v>
      </c>
      <c r="DC492" s="4" t="e">
        <f>#REF!</f>
        <v>#REF!</v>
      </c>
      <c r="DF492" s="4">
        <f t="shared" si="2160"/>
        <v>1.2079484897608146E-5</v>
      </c>
      <c r="DG492" s="4">
        <f t="shared" si="2161"/>
        <v>9.1700834949507204</v>
      </c>
      <c r="DH492" s="4">
        <f t="shared" si="2162"/>
        <v>0.47584870550152752</v>
      </c>
      <c r="DI492" s="4">
        <f t="shared" si="2163"/>
        <v>6.8133523183375004</v>
      </c>
      <c r="DJ492" s="4">
        <f t="shared" si="2164"/>
        <v>8.0783090634384216</v>
      </c>
      <c r="DK492" s="4">
        <f t="shared" si="2165"/>
        <v>8.9237531933943313</v>
      </c>
      <c r="DL492" s="38">
        <f t="shared" si="2166"/>
        <v>516.89568008576975</v>
      </c>
      <c r="DM492" s="4" t="e">
        <f t="shared" si="2167"/>
        <v>#REF!</v>
      </c>
      <c r="DN492" s="4">
        <f t="shared" si="2168"/>
        <v>2.2583179581272428</v>
      </c>
      <c r="DO492" s="4">
        <f t="shared" si="2169"/>
        <v>312.79095572651971</v>
      </c>
      <c r="DS492" s="4">
        <f t="shared" si="2170"/>
        <v>0.85</v>
      </c>
      <c r="DT492" s="4">
        <f t="shared" si="2171"/>
        <v>0.7</v>
      </c>
      <c r="DU492" s="4">
        <f t="shared" si="2172"/>
        <v>1</v>
      </c>
      <c r="DV492" s="4">
        <f t="shared" si="2173"/>
        <v>0.7</v>
      </c>
      <c r="DX492" s="4">
        <f t="shared" si="2174"/>
        <v>889.65517241379314</v>
      </c>
      <c r="EB492" s="4">
        <f t="shared" si="2175"/>
        <v>9.1700834949507204</v>
      </c>
      <c r="EE492" s="4">
        <f t="shared" si="2176"/>
        <v>57.361276136431961</v>
      </c>
      <c r="EF492" s="4">
        <f t="shared" si="2177"/>
        <v>2.2583179581272428</v>
      </c>
      <c r="EG492" s="4">
        <f t="shared" si="2178"/>
        <v>0.15577953326675206</v>
      </c>
      <c r="EJ492" s="4">
        <f t="shared" si="2179"/>
        <v>0.15577953326675206</v>
      </c>
      <c r="EK492" s="4">
        <f t="shared" si="2180"/>
        <v>0.47584870550152752</v>
      </c>
      <c r="EL492" s="4">
        <f t="shared" si="2181"/>
        <v>6.8133523183375004</v>
      </c>
      <c r="EM492" s="4">
        <f t="shared" si="2182"/>
        <v>8.0783090634384216</v>
      </c>
      <c r="EN492" s="4" t="e">
        <f t="shared" si="2183"/>
        <v>#REF!</v>
      </c>
      <c r="EO492" s="4" t="e">
        <f t="shared" si="2184"/>
        <v>#REF!</v>
      </c>
      <c r="EP492" s="4" t="e">
        <f t="shared" si="2185"/>
        <v>#REF!</v>
      </c>
      <c r="EQ492" s="4" t="e">
        <f t="shared" si="2186"/>
        <v>#REF!</v>
      </c>
      <c r="ER492" s="4" t="e">
        <f t="shared" si="2187"/>
        <v>#REF!</v>
      </c>
      <c r="FA492" s="23"/>
      <c r="FB492" s="23"/>
      <c r="FC492" s="23"/>
      <c r="FD492" s="23"/>
      <c r="FE492" s="23"/>
      <c r="FF492" s="23"/>
      <c r="FG492" s="23"/>
      <c r="FH492" s="23"/>
      <c r="FR492" s="4">
        <f t="shared" si="2188"/>
        <v>1</v>
      </c>
      <c r="FS492" s="4">
        <f t="shared" si="2189"/>
        <v>1.0833333333333333</v>
      </c>
      <c r="FT492" s="4">
        <f t="shared" si="2190"/>
        <v>0</v>
      </c>
      <c r="FU492" s="4">
        <f t="shared" si="2191"/>
        <v>146.26972550267718</v>
      </c>
    </row>
    <row r="493" spans="1:178" ht="12" customHeight="1" x14ac:dyDescent="0.3">
      <c r="A493" s="113"/>
      <c r="B493" s="24"/>
      <c r="C493" s="43" t="s">
        <v>641</v>
      </c>
      <c r="D493" s="38">
        <f t="shared" si="2129"/>
        <v>889.65517241379314</v>
      </c>
      <c r="E493" s="45">
        <v>160.01999999999998</v>
      </c>
      <c r="F493" s="45">
        <v>35.724137931034484</v>
      </c>
      <c r="G493" s="7">
        <v>25.4</v>
      </c>
      <c r="H493" s="45">
        <v>1524</v>
      </c>
      <c r="I493" s="45">
        <v>774.69999999999993</v>
      </c>
      <c r="J493" s="45">
        <v>774.69999999999993</v>
      </c>
      <c r="K493" s="7"/>
      <c r="L493" s="38">
        <v>1</v>
      </c>
      <c r="N493" s="7">
        <f t="shared" si="2130"/>
        <v>31</v>
      </c>
      <c r="O493" s="7">
        <f t="shared" si="2131"/>
        <v>31</v>
      </c>
      <c r="P493" s="45">
        <v>4.0999999999999996</v>
      </c>
      <c r="Q493" s="4">
        <f t="shared" si="2132"/>
        <v>4.0999999999999996</v>
      </c>
      <c r="R493" s="4">
        <f t="shared" si="2133"/>
        <v>5.0999999999999996</v>
      </c>
      <c r="S493" s="7">
        <f t="shared" si="2134"/>
        <v>57.361276136431961</v>
      </c>
      <c r="V493" s="45">
        <v>426.89655172413796</v>
      </c>
      <c r="Y493" s="38"/>
      <c r="Z493" s="38"/>
      <c r="AA493" s="39">
        <v>1</v>
      </c>
      <c r="AB493" s="39"/>
      <c r="AC493" s="39"/>
      <c r="AE493" s="4">
        <f t="shared" si="2135"/>
        <v>160.01999999999998</v>
      </c>
      <c r="AF493" s="4">
        <f t="shared" si="2136"/>
        <v>1</v>
      </c>
      <c r="AG493" s="4">
        <f t="shared" si="2137"/>
        <v>238.77286102592873</v>
      </c>
      <c r="AH493" s="4">
        <f t="shared" si="2138"/>
        <v>1</v>
      </c>
      <c r="AI493" s="4">
        <v>1.25</v>
      </c>
      <c r="AJ493" s="4">
        <v>1</v>
      </c>
      <c r="AK493" s="38">
        <f t="shared" si="2139"/>
        <v>298.46607628241094</v>
      </c>
      <c r="AL493" s="38">
        <f t="shared" si="2192"/>
        <v>298.46607628241094</v>
      </c>
      <c r="AM493" s="38">
        <f t="shared" si="2140"/>
        <v>3.2540864993004175</v>
      </c>
      <c r="AR493" s="4" t="e">
        <f>#REF!/G493*F493^0.5/0.19</f>
        <v>#REF!</v>
      </c>
      <c r="AS493" s="4">
        <f t="shared" si="2141"/>
        <v>1</v>
      </c>
      <c r="AT493" s="38">
        <f t="shared" si="2142"/>
        <v>4484.8236991928516</v>
      </c>
      <c r="AU493" s="4">
        <f t="shared" si="2143"/>
        <v>0.42600000000000005</v>
      </c>
      <c r="AV493" s="4" t="e">
        <f>AU493*D493*#REF!/(D493*G493/2.75/F493^0.5)</f>
        <v>#REF!</v>
      </c>
      <c r="AW493" s="4" t="e">
        <f t="shared" si="2144"/>
        <v>#REF!</v>
      </c>
      <c r="AY493" s="4">
        <f t="shared" si="2145"/>
        <v>1.5</v>
      </c>
      <c r="AZ493" s="4" t="e">
        <f>(3*#REF!+30)*AY493*F493^0.5</f>
        <v>#REF!</v>
      </c>
      <c r="BB493" s="4">
        <f t="shared" si="2146"/>
        <v>4301.4943857256276</v>
      </c>
      <c r="BC493" s="4">
        <f t="shared" si="2147"/>
        <v>0</v>
      </c>
      <c r="BD493" s="4">
        <f t="shared" si="2148"/>
        <v>0</v>
      </c>
      <c r="BL493" s="4">
        <f t="shared" si="2149"/>
        <v>774.69999999999993</v>
      </c>
      <c r="BP493" s="9"/>
      <c r="BR493" s="9"/>
      <c r="BS493" s="9"/>
      <c r="BT493" s="9">
        <f t="shared" si="2150"/>
        <v>774.69999999999993</v>
      </c>
      <c r="BU493" s="9">
        <f t="shared" si="2151"/>
        <v>774.69999999999993</v>
      </c>
      <c r="BV493" s="9">
        <f t="shared" si="2152"/>
        <v>5.5226805085936306</v>
      </c>
      <c r="BW493" s="40">
        <f t="shared" si="2153"/>
        <v>0</v>
      </c>
      <c r="BX493" s="9">
        <f t="shared" si="2154"/>
        <v>0</v>
      </c>
      <c r="BY493" s="9">
        <f t="shared" si="2155"/>
        <v>0</v>
      </c>
      <c r="BZ493" s="9">
        <f t="shared" si="2156"/>
        <v>0.99524931562137331</v>
      </c>
      <c r="CA493" s="9">
        <f t="shared" si="2157"/>
        <v>0.68</v>
      </c>
      <c r="CB493" s="9">
        <f t="shared" si="2158"/>
        <v>1.4157602788737922</v>
      </c>
      <c r="CC493" s="9">
        <f t="shared" si="2159"/>
        <v>3.5394006971844805</v>
      </c>
      <c r="CD493" s="40">
        <v>1</v>
      </c>
      <c r="CE493" s="9" t="e">
        <f>4*CC493*#REF!+60*CC493</f>
        <v>#REF!</v>
      </c>
      <c r="DC493" s="4" t="e">
        <f>#REF!</f>
        <v>#REF!</v>
      </c>
      <c r="DF493" s="4">
        <f t="shared" si="2160"/>
        <v>1.1707808439220202E-5</v>
      </c>
      <c r="DG493" s="4">
        <f t="shared" si="2161"/>
        <v>9.1700834949507204</v>
      </c>
      <c r="DH493" s="4">
        <f t="shared" si="2162"/>
        <v>0.45405627443806551</v>
      </c>
      <c r="DI493" s="4">
        <f t="shared" si="2163"/>
        <v>6.6867819668177608</v>
      </c>
      <c r="DJ493" s="4">
        <f t="shared" si="2164"/>
        <v>8.0253014837540988</v>
      </c>
      <c r="DK493" s="4">
        <f t="shared" si="2165"/>
        <v>8.9413546249557605</v>
      </c>
      <c r="DL493" s="38">
        <f t="shared" si="2166"/>
        <v>494.38359781298016</v>
      </c>
      <c r="DM493" s="4" t="e">
        <f t="shared" si="2167"/>
        <v>#REF!</v>
      </c>
      <c r="DN493" s="4">
        <f t="shared" si="2168"/>
        <v>2.2583179581272428</v>
      </c>
      <c r="DO493" s="4">
        <f t="shared" si="2169"/>
        <v>298.46607628241094</v>
      </c>
      <c r="DS493" s="4">
        <f t="shared" si="2170"/>
        <v>0.85</v>
      </c>
      <c r="DT493" s="4">
        <f t="shared" si="2171"/>
        <v>0.7</v>
      </c>
      <c r="DU493" s="4">
        <f t="shared" si="2172"/>
        <v>1</v>
      </c>
      <c r="DV493" s="4">
        <f t="shared" si="2173"/>
        <v>0.7</v>
      </c>
      <c r="DX493" s="4">
        <f t="shared" si="2174"/>
        <v>889.65517241379314</v>
      </c>
      <c r="EB493" s="4">
        <f t="shared" si="2175"/>
        <v>9.1700834949507204</v>
      </c>
      <c r="EE493" s="4">
        <f t="shared" si="2176"/>
        <v>57.361276136431961</v>
      </c>
      <c r="EF493" s="4">
        <f t="shared" si="2177"/>
        <v>2.2583179581272428</v>
      </c>
      <c r="EG493" s="4">
        <f t="shared" si="2178"/>
        <v>0.14864530194371847</v>
      </c>
      <c r="EJ493" s="4">
        <f t="shared" si="2179"/>
        <v>0.14864530194371847</v>
      </c>
      <c r="EK493" s="4">
        <f t="shared" si="2180"/>
        <v>0.45405627443806551</v>
      </c>
      <c r="EL493" s="4">
        <f t="shared" si="2181"/>
        <v>6.6867819668177608</v>
      </c>
      <c r="EM493" s="4">
        <f t="shared" si="2182"/>
        <v>8.0253014837540988</v>
      </c>
      <c r="EN493" s="4" t="e">
        <f t="shared" si="2183"/>
        <v>#REF!</v>
      </c>
      <c r="EO493" s="4" t="e">
        <f t="shared" si="2184"/>
        <v>#REF!</v>
      </c>
      <c r="EP493" s="4" t="e">
        <f t="shared" si="2185"/>
        <v>#REF!</v>
      </c>
      <c r="EQ493" s="4" t="e">
        <f t="shared" si="2186"/>
        <v>#REF!</v>
      </c>
      <c r="ER493" s="4" t="e">
        <f t="shared" si="2187"/>
        <v>#REF!</v>
      </c>
      <c r="FA493" s="23"/>
      <c r="FB493" s="23"/>
      <c r="FC493" s="23"/>
      <c r="FD493" s="23"/>
      <c r="FE493" s="23"/>
      <c r="FF493" s="23"/>
      <c r="FG493" s="23"/>
      <c r="FH493" s="23"/>
      <c r="FR493" s="4">
        <f t="shared" si="2188"/>
        <v>1</v>
      </c>
      <c r="FS493" s="4">
        <f t="shared" si="2189"/>
        <v>1.0833333333333333</v>
      </c>
      <c r="FT493" s="4">
        <f t="shared" si="2190"/>
        <v>0</v>
      </c>
      <c r="FU493" s="4">
        <f t="shared" si="2191"/>
        <v>141.76911856413327</v>
      </c>
    </row>
    <row r="494" spans="1:178" ht="12" customHeight="1" x14ac:dyDescent="0.3">
      <c r="A494" s="113"/>
      <c r="B494" s="24"/>
      <c r="C494" s="43" t="s">
        <v>642</v>
      </c>
      <c r="D494" s="38">
        <f t="shared" si="2129"/>
        <v>889.65517241379314</v>
      </c>
      <c r="E494" s="45">
        <v>172.72</v>
      </c>
      <c r="F494" s="45">
        <v>35.724137931034484</v>
      </c>
      <c r="G494" s="7">
        <v>25.4</v>
      </c>
      <c r="H494" s="45">
        <v>1524</v>
      </c>
      <c r="I494" s="45">
        <v>769.62</v>
      </c>
      <c r="J494" s="45">
        <v>769.62</v>
      </c>
      <c r="K494" s="7"/>
      <c r="L494" s="38">
        <v>1</v>
      </c>
      <c r="N494" s="7">
        <f t="shared" si="2130"/>
        <v>30.8</v>
      </c>
      <c r="O494" s="7">
        <f t="shared" si="2131"/>
        <v>30.8</v>
      </c>
      <c r="P494" s="45">
        <v>4.0999999999999996</v>
      </c>
      <c r="Q494" s="4">
        <f t="shared" si="2132"/>
        <v>4.0999999999999996</v>
      </c>
      <c r="R494" s="4">
        <f t="shared" si="2133"/>
        <v>5.0999999999999996</v>
      </c>
      <c r="S494" s="7">
        <f t="shared" si="2134"/>
        <v>57.361276136431961</v>
      </c>
      <c r="V494" s="45">
        <v>536.55172413793105</v>
      </c>
      <c r="Y494" s="38"/>
      <c r="Z494" s="38"/>
      <c r="AA494" s="39">
        <v>1</v>
      </c>
      <c r="AB494" s="39"/>
      <c r="AC494" s="39"/>
      <c r="AE494" s="4">
        <f t="shared" si="2135"/>
        <v>172.72</v>
      </c>
      <c r="AF494" s="4">
        <f t="shared" si="2136"/>
        <v>0.99999999999999978</v>
      </c>
      <c r="AG494" s="4">
        <f t="shared" si="2137"/>
        <v>267.75494983665135</v>
      </c>
      <c r="AH494" s="4">
        <f t="shared" si="2138"/>
        <v>1</v>
      </c>
      <c r="AI494" s="4">
        <v>1.25</v>
      </c>
      <c r="AJ494" s="4">
        <v>1</v>
      </c>
      <c r="AK494" s="38">
        <f t="shared" si="2139"/>
        <v>334.69368729581413</v>
      </c>
      <c r="AL494" s="38">
        <f t="shared" si="2192"/>
        <v>334.69368729581413</v>
      </c>
      <c r="AM494" s="38">
        <f t="shared" si="2140"/>
        <v>3.2540864993004175</v>
      </c>
      <c r="AR494" s="4" t="e">
        <f>#REF!/G494*F494^0.5/0.19</f>
        <v>#REF!</v>
      </c>
      <c r="AS494" s="4">
        <f t="shared" si="2141"/>
        <v>1</v>
      </c>
      <c r="AT494" s="38">
        <f t="shared" si="2142"/>
        <v>4455.8893527464461</v>
      </c>
      <c r="AU494" s="4">
        <f t="shared" si="2143"/>
        <v>0.42600000000000005</v>
      </c>
      <c r="AV494" s="4" t="e">
        <f>AU494*D494*#REF!/(D494*G494/2.75/F494^0.5)</f>
        <v>#REF!</v>
      </c>
      <c r="AW494" s="4" t="e">
        <f t="shared" si="2144"/>
        <v>#REF!</v>
      </c>
      <c r="AY494" s="4">
        <f t="shared" si="2145"/>
        <v>1.5</v>
      </c>
      <c r="AZ494" s="4" t="e">
        <f>(3*#REF!+30)*AY494*F494^0.5</f>
        <v>#REF!</v>
      </c>
      <c r="BB494" s="4">
        <f t="shared" si="2146"/>
        <v>4273.7428090435269</v>
      </c>
      <c r="BC494" s="4">
        <f t="shared" si="2147"/>
        <v>0</v>
      </c>
      <c r="BD494" s="4">
        <f t="shared" si="2148"/>
        <v>0</v>
      </c>
      <c r="BL494" s="4">
        <f t="shared" si="2149"/>
        <v>769.62</v>
      </c>
      <c r="BP494" s="9"/>
      <c r="BR494" s="9"/>
      <c r="BS494" s="9"/>
      <c r="BT494" s="9">
        <f t="shared" si="2150"/>
        <v>769.62</v>
      </c>
      <c r="BU494" s="9">
        <f t="shared" si="2151"/>
        <v>769.62</v>
      </c>
      <c r="BV494" s="9">
        <f t="shared" si="2152"/>
        <v>5.5045435778091543</v>
      </c>
      <c r="BW494" s="40">
        <f t="shared" si="2153"/>
        <v>0</v>
      </c>
      <c r="BX494" s="9">
        <f t="shared" si="2154"/>
        <v>0</v>
      </c>
      <c r="BY494" s="9">
        <f t="shared" si="2155"/>
        <v>0</v>
      </c>
      <c r="BZ494" s="9">
        <f t="shared" si="2156"/>
        <v>0.99524931562137331</v>
      </c>
      <c r="CA494" s="9">
        <f t="shared" si="2157"/>
        <v>0.68</v>
      </c>
      <c r="CB494" s="9">
        <f t="shared" si="2158"/>
        <v>1.4157602788737922</v>
      </c>
      <c r="CC494" s="9">
        <f t="shared" si="2159"/>
        <v>3.5394006971844805</v>
      </c>
      <c r="CD494" s="40">
        <v>1</v>
      </c>
      <c r="CE494" s="9" t="e">
        <f>4*CC494*#REF!+60*CC494</f>
        <v>#REF!</v>
      </c>
      <c r="DC494" s="4" t="e">
        <f>#REF!</f>
        <v>#REF!</v>
      </c>
      <c r="DF494" s="4">
        <f t="shared" si="2160"/>
        <v>1.2636999585190061E-5</v>
      </c>
      <c r="DG494" s="4">
        <f t="shared" si="2161"/>
        <v>9.1700834949507204</v>
      </c>
      <c r="DH494" s="4">
        <f t="shared" si="2162"/>
        <v>0.50916931875259841</v>
      </c>
      <c r="DI494" s="4">
        <f t="shared" si="2163"/>
        <v>7.000324634104059</v>
      </c>
      <c r="DJ494" s="4">
        <f t="shared" si="2164"/>
        <v>8.1577927613746901</v>
      </c>
      <c r="DK494" s="4">
        <f t="shared" si="2165"/>
        <v>8.8960375003236987</v>
      </c>
      <c r="DL494" s="38">
        <f t="shared" si="2166"/>
        <v>551.14999039895827</v>
      </c>
      <c r="DM494" s="4" t="e">
        <f t="shared" si="2167"/>
        <v>#REF!</v>
      </c>
      <c r="DN494" s="4">
        <f t="shared" si="2168"/>
        <v>2.2583179581272428</v>
      </c>
      <c r="DO494" s="4">
        <f t="shared" si="2169"/>
        <v>334.69368729581413</v>
      </c>
      <c r="DS494" s="4">
        <f t="shared" si="2170"/>
        <v>0.85</v>
      </c>
      <c r="DT494" s="4">
        <f t="shared" si="2171"/>
        <v>0.7</v>
      </c>
      <c r="DU494" s="4">
        <f t="shared" si="2172"/>
        <v>1</v>
      </c>
      <c r="DV494" s="4">
        <f t="shared" si="2173"/>
        <v>0.7</v>
      </c>
      <c r="DX494" s="4">
        <f t="shared" si="2174"/>
        <v>889.65517241379314</v>
      </c>
      <c r="EB494" s="4">
        <f t="shared" si="2175"/>
        <v>9.1700834949507204</v>
      </c>
      <c r="EE494" s="4">
        <f t="shared" si="2176"/>
        <v>57.361276136431961</v>
      </c>
      <c r="EF494" s="4">
        <f t="shared" si="2177"/>
        <v>2.2583179581272428</v>
      </c>
      <c r="EG494" s="4">
        <f t="shared" si="2178"/>
        <v>0.16668776842721761</v>
      </c>
      <c r="EJ494" s="4">
        <f t="shared" si="2179"/>
        <v>0.16668776842721761</v>
      </c>
      <c r="EK494" s="4">
        <f t="shared" si="2180"/>
        <v>0.50916931875259841</v>
      </c>
      <c r="EL494" s="4">
        <f t="shared" si="2181"/>
        <v>7.000324634104059</v>
      </c>
      <c r="EM494" s="4">
        <f t="shared" si="2182"/>
        <v>8.1577927613746901</v>
      </c>
      <c r="EN494" s="4" t="e">
        <f t="shared" si="2183"/>
        <v>#REF!</v>
      </c>
      <c r="EO494" s="4" t="e">
        <f t="shared" si="2184"/>
        <v>#REF!</v>
      </c>
      <c r="EP494" s="4" t="e">
        <f t="shared" si="2185"/>
        <v>#REF!</v>
      </c>
      <c r="EQ494" s="4" t="e">
        <f t="shared" si="2186"/>
        <v>#REF!</v>
      </c>
      <c r="ER494" s="4" t="e">
        <f t="shared" si="2187"/>
        <v>#REF!</v>
      </c>
      <c r="FA494" s="23"/>
      <c r="FB494" s="23"/>
      <c r="FC494" s="23"/>
      <c r="FD494" s="23"/>
      <c r="FE494" s="23"/>
      <c r="FF494" s="23"/>
      <c r="FG494" s="23"/>
      <c r="FH494" s="23"/>
      <c r="FR494" s="4">
        <f t="shared" si="2188"/>
        <v>1</v>
      </c>
      <c r="FS494" s="4">
        <f t="shared" si="2189"/>
        <v>1.0833333333333333</v>
      </c>
      <c r="FT494" s="4">
        <f t="shared" si="2190"/>
        <v>0</v>
      </c>
      <c r="FU494" s="4">
        <f t="shared" si="2191"/>
        <v>153.02063591049304</v>
      </c>
      <c r="FV494" s="4">
        <f>FU494*0.145*PI()/4</f>
        <v>17.426408328871574</v>
      </c>
    </row>
    <row r="495" spans="1:178" ht="12" customHeight="1" x14ac:dyDescent="0.3">
      <c r="A495" s="113"/>
      <c r="B495" s="24"/>
      <c r="C495" s="43" t="s">
        <v>643</v>
      </c>
      <c r="D495" s="38">
        <f t="shared" si="2129"/>
        <v>889.65517241379314</v>
      </c>
      <c r="E495" s="45">
        <v>152.39999999999998</v>
      </c>
      <c r="F495" s="45">
        <v>35.724137931034484</v>
      </c>
      <c r="G495" s="7">
        <v>25.4</v>
      </c>
      <c r="H495" s="45">
        <v>1524</v>
      </c>
      <c r="I495" s="45">
        <v>762</v>
      </c>
      <c r="J495" s="45">
        <v>762</v>
      </c>
      <c r="K495" s="7"/>
      <c r="L495" s="38">
        <v>1</v>
      </c>
      <c r="N495" s="7">
        <f t="shared" si="2130"/>
        <v>30.5</v>
      </c>
      <c r="O495" s="7">
        <f t="shared" si="2131"/>
        <v>30.5</v>
      </c>
      <c r="P495" s="45">
        <v>4.0999999999999996</v>
      </c>
      <c r="Q495" s="4">
        <f t="shared" si="2132"/>
        <v>4.0999999999999996</v>
      </c>
      <c r="R495" s="4">
        <f t="shared" si="2133"/>
        <v>5.0999999999999996</v>
      </c>
      <c r="S495" s="7">
        <f t="shared" si="2134"/>
        <v>57.361276136431961</v>
      </c>
      <c r="V495" s="45">
        <v>466.20689655172413</v>
      </c>
      <c r="Y495" s="38">
        <f t="shared" ref="Y495:Y497" si="2193">25.4*5/8</f>
        <v>15.875</v>
      </c>
      <c r="Z495" s="38">
        <v>2</v>
      </c>
      <c r="AA495" s="39">
        <v>25.4</v>
      </c>
      <c r="AB495" s="39">
        <v>2</v>
      </c>
      <c r="AC495" s="39">
        <v>2</v>
      </c>
      <c r="AE495" s="4">
        <f t="shared" si="2135"/>
        <v>152.39999999999998</v>
      </c>
      <c r="AF495" s="4">
        <f t="shared" si="2136"/>
        <v>0.99999999999999989</v>
      </c>
      <c r="AG495" s="4">
        <f t="shared" si="2137"/>
        <v>221.92233570793715</v>
      </c>
      <c r="AH495" s="4">
        <f t="shared" si="2138"/>
        <v>1</v>
      </c>
      <c r="AI495" s="4">
        <v>1.25</v>
      </c>
      <c r="AJ495" s="4">
        <v>1</v>
      </c>
      <c r="AK495" s="38">
        <f t="shared" si="2139"/>
        <v>277.40291963492137</v>
      </c>
      <c r="AL495" s="38">
        <f t="shared" si="2192"/>
        <v>277.40291963492137</v>
      </c>
      <c r="AM495" s="38">
        <f t="shared" si="2140"/>
        <v>3.2540864993004175</v>
      </c>
      <c r="AR495" s="4" t="e">
        <f>#REF!/G495*F495^0.5/0.19</f>
        <v>#REF!</v>
      </c>
      <c r="AS495" s="4">
        <f t="shared" si="2141"/>
        <v>1</v>
      </c>
      <c r="AT495" s="38">
        <f t="shared" si="2142"/>
        <v>4412.4878330768379</v>
      </c>
      <c r="AU495" s="4">
        <f t="shared" si="2143"/>
        <v>0.42600000000000005</v>
      </c>
      <c r="AV495" s="4" t="e">
        <f>AU495*D495*#REF!/(D495*G495/2.75/F495^0.5)</f>
        <v>#REF!</v>
      </c>
      <c r="AW495" s="4" t="e">
        <f t="shared" si="2144"/>
        <v>#REF!</v>
      </c>
      <c r="AY495" s="4">
        <f t="shared" si="2145"/>
        <v>1.5</v>
      </c>
      <c r="AZ495" s="4" t="e">
        <f>(3*#REF!+30)*AY495*F495^0.5</f>
        <v>#REF!</v>
      </c>
      <c r="BB495" s="4">
        <f t="shared" si="2146"/>
        <v>4232.1154440203763</v>
      </c>
      <c r="BC495" s="4">
        <f t="shared" si="2147"/>
        <v>0</v>
      </c>
      <c r="BD495" s="4">
        <f t="shared" si="2148"/>
        <v>0</v>
      </c>
      <c r="BL495" s="4">
        <f t="shared" si="2149"/>
        <v>762</v>
      </c>
      <c r="BP495" s="9"/>
      <c r="BR495" s="9"/>
      <c r="BS495" s="9"/>
      <c r="BT495" s="9">
        <f t="shared" si="2150"/>
        <v>762</v>
      </c>
      <c r="BU495" s="9">
        <f t="shared" si="2151"/>
        <v>762</v>
      </c>
      <c r="BV495" s="9">
        <f t="shared" si="2152"/>
        <v>5.4772255750516612</v>
      </c>
      <c r="BW495" s="40">
        <f t="shared" si="2153"/>
        <v>20</v>
      </c>
      <c r="BX495" s="9">
        <f t="shared" si="2154"/>
        <v>0.05</v>
      </c>
      <c r="BY495" s="9">
        <f t="shared" si="2155"/>
        <v>0.8</v>
      </c>
      <c r="BZ495" s="9">
        <f t="shared" si="2156"/>
        <v>0.99524931562137331</v>
      </c>
      <c r="CA495" s="9">
        <f t="shared" si="2157"/>
        <v>0.68</v>
      </c>
      <c r="CB495" s="9">
        <f t="shared" si="2158"/>
        <v>1.4157602788737922</v>
      </c>
      <c r="CC495" s="9">
        <f t="shared" si="2159"/>
        <v>3.5394006971844805</v>
      </c>
      <c r="CD495" s="40">
        <v>1</v>
      </c>
      <c r="CE495" s="9" t="e">
        <f>4*CC495*#REF!+60*CC495</f>
        <v>#REF!</v>
      </c>
      <c r="DC495" s="4" t="e">
        <f>#REF!</f>
        <v>#REF!</v>
      </c>
      <c r="DF495" s="4">
        <f t="shared" si="2160"/>
        <v>1.1150293751638287E-5</v>
      </c>
      <c r="DG495" s="4">
        <f t="shared" si="2161"/>
        <v>9.1700834949507204</v>
      </c>
      <c r="DH495" s="4">
        <f t="shared" si="2162"/>
        <v>0.42201290604461672</v>
      </c>
      <c r="DI495" s="4">
        <f t="shared" si="2163"/>
        <v>6.4938698928930743</v>
      </c>
      <c r="DJ495" s="4">
        <f t="shared" si="2164"/>
        <v>7.9457861568390831</v>
      </c>
      <c r="DK495" s="4">
        <f t="shared" si="2165"/>
        <v>8.9664583264786533</v>
      </c>
      <c r="DL495" s="38">
        <f t="shared" si="2166"/>
        <v>461.11026612663159</v>
      </c>
      <c r="DM495" s="4" t="e">
        <f t="shared" si="2167"/>
        <v>#REF!</v>
      </c>
      <c r="DN495" s="4">
        <f t="shared" si="2168"/>
        <v>2.2583179581272428</v>
      </c>
      <c r="DO495" s="4">
        <f t="shared" si="2169"/>
        <v>277.40291963492137</v>
      </c>
      <c r="DS495" s="4">
        <f t="shared" si="2170"/>
        <v>0.85</v>
      </c>
      <c r="DT495" s="4">
        <f t="shared" si="2171"/>
        <v>0.7</v>
      </c>
      <c r="DU495" s="4">
        <f t="shared" si="2172"/>
        <v>0.7</v>
      </c>
      <c r="DV495" s="4">
        <f t="shared" si="2173"/>
        <v>0.7</v>
      </c>
      <c r="DX495" s="4">
        <f t="shared" si="2174"/>
        <v>889.65517241379314</v>
      </c>
      <c r="EB495" s="4">
        <f t="shared" si="2175"/>
        <v>9.1700834949507204</v>
      </c>
      <c r="EE495" s="4">
        <f t="shared" si="2176"/>
        <v>57.361276136431961</v>
      </c>
      <c r="EF495" s="4">
        <f t="shared" si="2177"/>
        <v>2.2583179581272428</v>
      </c>
      <c r="EG495" s="4">
        <f t="shared" si="2178"/>
        <v>0.13815520096222064</v>
      </c>
      <c r="EJ495" s="4">
        <f t="shared" si="2179"/>
        <v>0.13815520096222064</v>
      </c>
      <c r="EK495" s="4">
        <f t="shared" si="2180"/>
        <v>0.42201290604461672</v>
      </c>
      <c r="EL495" s="4">
        <f t="shared" si="2181"/>
        <v>6.4938698928930743</v>
      </c>
      <c r="EM495" s="4">
        <f t="shared" si="2182"/>
        <v>7.9457861568390831</v>
      </c>
      <c r="EN495" s="4" t="e">
        <f t="shared" si="2183"/>
        <v>#REF!</v>
      </c>
      <c r="EO495" s="4" t="e">
        <f t="shared" si="2184"/>
        <v>#REF!</v>
      </c>
      <c r="EP495" s="4" t="e">
        <f t="shared" si="2185"/>
        <v>#REF!</v>
      </c>
      <c r="EQ495" s="4" t="e">
        <f t="shared" si="2186"/>
        <v>#REF!</v>
      </c>
      <c r="ER495" s="4" t="e">
        <f t="shared" si="2187"/>
        <v>#REF!</v>
      </c>
      <c r="FA495" s="23"/>
      <c r="FB495" s="23"/>
      <c r="FC495" s="23"/>
      <c r="FD495" s="23"/>
      <c r="FE495" s="23"/>
      <c r="FF495" s="23"/>
      <c r="FG495" s="23"/>
      <c r="FH495" s="23"/>
      <c r="FR495" s="4">
        <f t="shared" si="2188"/>
        <v>1</v>
      </c>
      <c r="FS495" s="4">
        <f t="shared" si="2189"/>
        <v>0.75511627906976753</v>
      </c>
      <c r="FT495" s="4">
        <f t="shared" si="2190"/>
        <v>0.3</v>
      </c>
      <c r="FU495" s="4">
        <f t="shared" si="2191"/>
        <v>193.70490288312646</v>
      </c>
    </row>
    <row r="496" spans="1:178" ht="12" customHeight="1" x14ac:dyDescent="0.3">
      <c r="A496" s="113"/>
      <c r="B496" s="24"/>
      <c r="C496" s="43" t="s">
        <v>643</v>
      </c>
      <c r="D496" s="38">
        <f t="shared" si="2129"/>
        <v>889.65517241379314</v>
      </c>
      <c r="E496" s="45">
        <v>154.93999999999997</v>
      </c>
      <c r="F496" s="45">
        <v>35.724137931034484</v>
      </c>
      <c r="G496" s="7">
        <v>25.4</v>
      </c>
      <c r="H496" s="45">
        <v>1524</v>
      </c>
      <c r="I496" s="45">
        <v>769.62</v>
      </c>
      <c r="J496" s="45">
        <v>769.62</v>
      </c>
      <c r="K496" s="7"/>
      <c r="L496" s="38">
        <v>1</v>
      </c>
      <c r="N496" s="7">
        <f t="shared" si="2130"/>
        <v>30.8</v>
      </c>
      <c r="O496" s="7">
        <f t="shared" si="2131"/>
        <v>30.8</v>
      </c>
      <c r="P496" s="45">
        <v>4.0999999999999996</v>
      </c>
      <c r="Q496" s="4">
        <f t="shared" si="2132"/>
        <v>4.0999999999999996</v>
      </c>
      <c r="R496" s="4">
        <f t="shared" si="2133"/>
        <v>5.0999999999999996</v>
      </c>
      <c r="S496" s="7">
        <f t="shared" si="2134"/>
        <v>57.361276136431961</v>
      </c>
      <c r="V496" s="45">
        <v>457.24137931034483</v>
      </c>
      <c r="Y496" s="38">
        <f t="shared" si="2193"/>
        <v>15.875</v>
      </c>
      <c r="Z496" s="38">
        <v>2</v>
      </c>
      <c r="AA496" s="39">
        <v>25.4</v>
      </c>
      <c r="AB496" s="39">
        <v>2</v>
      </c>
      <c r="AC496" s="39">
        <v>2</v>
      </c>
      <c r="AE496" s="4">
        <f t="shared" si="2135"/>
        <v>154.93999999999997</v>
      </c>
      <c r="AF496" s="4">
        <f t="shared" si="2136"/>
        <v>1</v>
      </c>
      <c r="AG496" s="4">
        <f t="shared" si="2137"/>
        <v>227.49344719498902</v>
      </c>
      <c r="AH496" s="4">
        <f t="shared" si="2138"/>
        <v>1</v>
      </c>
      <c r="AI496" s="4">
        <v>1.25</v>
      </c>
      <c r="AJ496" s="4">
        <v>1</v>
      </c>
      <c r="AK496" s="38">
        <f t="shared" si="2139"/>
        <v>284.3668089937363</v>
      </c>
      <c r="AL496" s="38">
        <f t="shared" si="2192"/>
        <v>284.3668089937363</v>
      </c>
      <c r="AM496" s="38">
        <f t="shared" si="2140"/>
        <v>3.2540864993004175</v>
      </c>
      <c r="AR496" s="4" t="e">
        <f>#REF!/G496*F496^0.5/0.19</f>
        <v>#REF!</v>
      </c>
      <c r="AS496" s="4">
        <f t="shared" si="2141"/>
        <v>1</v>
      </c>
      <c r="AT496" s="38">
        <f t="shared" si="2142"/>
        <v>4455.8893527464461</v>
      </c>
      <c r="AU496" s="4">
        <f t="shared" si="2143"/>
        <v>0.42600000000000005</v>
      </c>
      <c r="AV496" s="4" t="e">
        <f>AU496*D496*#REF!/(D496*G496/2.75/F496^0.5)</f>
        <v>#REF!</v>
      </c>
      <c r="AW496" s="4" t="e">
        <f t="shared" si="2144"/>
        <v>#REF!</v>
      </c>
      <c r="AY496" s="4">
        <f t="shared" si="2145"/>
        <v>1.5</v>
      </c>
      <c r="AZ496" s="4" t="e">
        <f>(3*#REF!+30)*AY496*F496^0.5</f>
        <v>#REF!</v>
      </c>
      <c r="BB496" s="4">
        <f t="shared" si="2146"/>
        <v>4273.7428090435269</v>
      </c>
      <c r="BC496" s="4">
        <f t="shared" si="2147"/>
        <v>0</v>
      </c>
      <c r="BD496" s="4">
        <f t="shared" si="2148"/>
        <v>0</v>
      </c>
      <c r="BL496" s="4">
        <f t="shared" si="2149"/>
        <v>769.62</v>
      </c>
      <c r="BP496" s="9"/>
      <c r="BR496" s="9"/>
      <c r="BS496" s="9"/>
      <c r="BT496" s="9">
        <f t="shared" si="2150"/>
        <v>769.62</v>
      </c>
      <c r="BU496" s="9">
        <f t="shared" si="2151"/>
        <v>769.62</v>
      </c>
      <c r="BV496" s="9">
        <f t="shared" si="2152"/>
        <v>5.5045435778091543</v>
      </c>
      <c r="BW496" s="40">
        <f t="shared" si="2153"/>
        <v>20</v>
      </c>
      <c r="BX496" s="9">
        <f t="shared" si="2154"/>
        <v>0.05</v>
      </c>
      <c r="BY496" s="9">
        <f t="shared" si="2155"/>
        <v>0.8</v>
      </c>
      <c r="BZ496" s="9">
        <f t="shared" si="2156"/>
        <v>0.99524931562137331</v>
      </c>
      <c r="CA496" s="9">
        <f t="shared" si="2157"/>
        <v>0.68</v>
      </c>
      <c r="CB496" s="9">
        <f t="shared" si="2158"/>
        <v>1.4157602788737922</v>
      </c>
      <c r="CC496" s="9">
        <f t="shared" si="2159"/>
        <v>3.5394006971844805</v>
      </c>
      <c r="CD496" s="40">
        <v>1</v>
      </c>
      <c r="CE496" s="9" t="e">
        <f>4*CC496*#REF!+60*CC496</f>
        <v>#REF!</v>
      </c>
      <c r="DC496" s="4" t="e">
        <f>#REF!</f>
        <v>#REF!</v>
      </c>
      <c r="DF496" s="4">
        <f t="shared" si="2160"/>
        <v>1.1336131980832258E-5</v>
      </c>
      <c r="DG496" s="4">
        <f t="shared" si="2161"/>
        <v>9.1700834949507204</v>
      </c>
      <c r="DH496" s="4">
        <f t="shared" si="2162"/>
        <v>0.43260706702011897</v>
      </c>
      <c r="DI496" s="4">
        <f t="shared" si="2163"/>
        <v>6.5585937964406824</v>
      </c>
      <c r="DJ496" s="4">
        <f t="shared" si="2164"/>
        <v>7.9722900767464155</v>
      </c>
      <c r="DK496" s="4">
        <f t="shared" si="2165"/>
        <v>8.9582625401394136</v>
      </c>
      <c r="DL496" s="38">
        <f t="shared" si="2166"/>
        <v>472.13481610443762</v>
      </c>
      <c r="DM496" s="4" t="e">
        <f t="shared" si="2167"/>
        <v>#REF!</v>
      </c>
      <c r="DN496" s="4">
        <f t="shared" si="2168"/>
        <v>2.2583179581272428</v>
      </c>
      <c r="DO496" s="4">
        <f t="shared" si="2169"/>
        <v>284.3668089937363</v>
      </c>
      <c r="DS496" s="4">
        <f t="shared" si="2170"/>
        <v>0.85</v>
      </c>
      <c r="DT496" s="4">
        <f t="shared" si="2171"/>
        <v>0.7</v>
      </c>
      <c r="DU496" s="4">
        <f t="shared" si="2172"/>
        <v>0.7</v>
      </c>
      <c r="DV496" s="4">
        <f t="shared" si="2173"/>
        <v>0.7</v>
      </c>
      <c r="DX496" s="4">
        <f t="shared" si="2174"/>
        <v>889.65517241379314</v>
      </c>
      <c r="EB496" s="4">
        <f t="shared" si="2175"/>
        <v>9.1700834949507204</v>
      </c>
      <c r="EE496" s="4">
        <f t="shared" si="2176"/>
        <v>57.361276136431961</v>
      </c>
      <c r="EF496" s="4">
        <f t="shared" si="2177"/>
        <v>2.2583179581272428</v>
      </c>
      <c r="EG496" s="4">
        <f t="shared" si="2178"/>
        <v>0.14162343242536429</v>
      </c>
      <c r="EJ496" s="4">
        <f t="shared" si="2179"/>
        <v>0.14162343242536429</v>
      </c>
      <c r="EK496" s="4">
        <f t="shared" si="2180"/>
        <v>0.43260706702011897</v>
      </c>
      <c r="EL496" s="4">
        <f t="shared" si="2181"/>
        <v>6.5585937964406824</v>
      </c>
      <c r="EM496" s="4">
        <f t="shared" si="2182"/>
        <v>7.9722900767464155</v>
      </c>
      <c r="EN496" s="4" t="e">
        <f t="shared" si="2183"/>
        <v>#REF!</v>
      </c>
      <c r="EO496" s="4" t="e">
        <f t="shared" si="2184"/>
        <v>#REF!</v>
      </c>
      <c r="EP496" s="4" t="e">
        <f t="shared" si="2185"/>
        <v>#REF!</v>
      </c>
      <c r="EQ496" s="4" t="e">
        <f t="shared" si="2186"/>
        <v>#REF!</v>
      </c>
      <c r="ER496" s="4" t="e">
        <f t="shared" si="2187"/>
        <v>#REF!</v>
      </c>
      <c r="FA496" s="23"/>
      <c r="FB496" s="23"/>
      <c r="FC496" s="23"/>
      <c r="FD496" s="23"/>
      <c r="FE496" s="23"/>
      <c r="FF496" s="23"/>
      <c r="FG496" s="23"/>
      <c r="FH496" s="23"/>
      <c r="FR496" s="4">
        <f t="shared" si="2188"/>
        <v>1</v>
      </c>
      <c r="FS496" s="4">
        <f t="shared" si="2189"/>
        <v>0.75511627906976753</v>
      </c>
      <c r="FT496" s="4">
        <f t="shared" si="2190"/>
        <v>0.3</v>
      </c>
      <c r="FU496" s="4">
        <f t="shared" si="2191"/>
        <v>196.93331793117858</v>
      </c>
    </row>
    <row r="497" spans="1:178" ht="12" customHeight="1" x14ac:dyDescent="0.3">
      <c r="A497" s="113"/>
      <c r="B497" s="24"/>
      <c r="C497" s="43" t="s">
        <v>643</v>
      </c>
      <c r="D497" s="38">
        <f t="shared" si="2129"/>
        <v>889.65517241379314</v>
      </c>
      <c r="E497" s="45">
        <v>172.72</v>
      </c>
      <c r="F497" s="45">
        <v>37.655172413793103</v>
      </c>
      <c r="G497" s="7">
        <v>25.4</v>
      </c>
      <c r="H497" s="45">
        <v>1524</v>
      </c>
      <c r="I497" s="45">
        <v>769.62</v>
      </c>
      <c r="J497" s="45">
        <v>769.62</v>
      </c>
      <c r="K497" s="7"/>
      <c r="L497" s="38">
        <v>1</v>
      </c>
      <c r="N497" s="7">
        <f t="shared" si="2130"/>
        <v>30.8</v>
      </c>
      <c r="O497" s="7">
        <f t="shared" si="2131"/>
        <v>30.8</v>
      </c>
      <c r="P497" s="45">
        <v>4.0999999999999996</v>
      </c>
      <c r="Q497" s="4">
        <f t="shared" si="2132"/>
        <v>4.0999999999999996</v>
      </c>
      <c r="R497" s="4">
        <f t="shared" si="2133"/>
        <v>5.0999999999999996</v>
      </c>
      <c r="S497" s="7">
        <f t="shared" si="2134"/>
        <v>57.361276136431961</v>
      </c>
      <c r="V497" s="45">
        <v>466.89655172413796</v>
      </c>
      <c r="Y497" s="38">
        <f t="shared" si="2193"/>
        <v>15.875</v>
      </c>
      <c r="Z497" s="38">
        <v>2</v>
      </c>
      <c r="AA497" s="39">
        <v>25.4</v>
      </c>
      <c r="AB497" s="39">
        <v>2</v>
      </c>
      <c r="AC497" s="39">
        <v>2</v>
      </c>
      <c r="AE497" s="4">
        <f t="shared" si="2135"/>
        <v>172.72</v>
      </c>
      <c r="AF497" s="4">
        <f t="shared" si="2136"/>
        <v>0.99999999999999978</v>
      </c>
      <c r="AG497" s="4">
        <f t="shared" si="2137"/>
        <v>274.89633492385769</v>
      </c>
      <c r="AH497" s="4">
        <f t="shared" si="2138"/>
        <v>1</v>
      </c>
      <c r="AI497" s="4">
        <v>1.25</v>
      </c>
      <c r="AJ497" s="4">
        <v>1</v>
      </c>
      <c r="AK497" s="38">
        <f t="shared" si="2139"/>
        <v>343.62041865482206</v>
      </c>
      <c r="AL497" s="38">
        <f t="shared" si="2192"/>
        <v>343.62041865482206</v>
      </c>
      <c r="AM497" s="38">
        <f t="shared" si="2140"/>
        <v>3.3703190491443937</v>
      </c>
      <c r="AR497" s="4" t="e">
        <f>#REF!/G497*F497^0.5/0.19</f>
        <v>#REF!</v>
      </c>
      <c r="AS497" s="4">
        <f t="shared" si="2141"/>
        <v>1</v>
      </c>
      <c r="AT497" s="38">
        <f t="shared" si="2142"/>
        <v>4696.7482366786853</v>
      </c>
      <c r="AU497" s="4">
        <f t="shared" si="2143"/>
        <v>0.42600000000000005</v>
      </c>
      <c r="AV497" s="4" t="e">
        <f>AU497*D497*#REF!/(D497*G497/2.75/F497^0.5)</f>
        <v>#REF!</v>
      </c>
      <c r="AW497" s="4" t="e">
        <f t="shared" si="2144"/>
        <v>#REF!</v>
      </c>
      <c r="AY497" s="4">
        <f t="shared" si="2145"/>
        <v>1.5</v>
      </c>
      <c r="AZ497" s="4" t="e">
        <f>(3*#REF!+30)*AY497*F497^0.5</f>
        <v>#REF!</v>
      </c>
      <c r="BB497" s="4">
        <f t="shared" si="2146"/>
        <v>4504.7559338566916</v>
      </c>
      <c r="BC497" s="4">
        <f t="shared" si="2147"/>
        <v>0</v>
      </c>
      <c r="BD497" s="4">
        <f t="shared" si="2148"/>
        <v>0</v>
      </c>
      <c r="BL497" s="4">
        <f t="shared" si="2149"/>
        <v>769.62</v>
      </c>
      <c r="BP497" s="9"/>
      <c r="BR497" s="9"/>
      <c r="BS497" s="9"/>
      <c r="BT497" s="9">
        <f t="shared" si="2150"/>
        <v>769.62</v>
      </c>
      <c r="BU497" s="9">
        <f t="shared" si="2151"/>
        <v>769.62</v>
      </c>
      <c r="BV497" s="9">
        <f t="shared" si="2152"/>
        <v>5.5045435778091543</v>
      </c>
      <c r="BW497" s="40">
        <f t="shared" si="2153"/>
        <v>20</v>
      </c>
      <c r="BX497" s="9">
        <f t="shared" si="2154"/>
        <v>0.05</v>
      </c>
      <c r="BY497" s="9">
        <f t="shared" si="2155"/>
        <v>0.8</v>
      </c>
      <c r="BZ497" s="9">
        <f t="shared" si="2156"/>
        <v>0.99524931562137331</v>
      </c>
      <c r="CA497" s="9">
        <f t="shared" si="2157"/>
        <v>0.68</v>
      </c>
      <c r="CB497" s="9">
        <f t="shared" si="2158"/>
        <v>1.4535205120600561</v>
      </c>
      <c r="CC497" s="9">
        <f t="shared" si="2159"/>
        <v>3.63380128015014</v>
      </c>
      <c r="CD497" s="40">
        <v>1</v>
      </c>
      <c r="CE497" s="9" t="e">
        <f>4*CC497*#REF!+60*CC497</f>
        <v>#REF!</v>
      </c>
      <c r="DC497" s="4" t="e">
        <f>#REF!</f>
        <v>#REF!</v>
      </c>
      <c r="DF497" s="4">
        <f t="shared" si="2160"/>
        <v>1.2803199194359958E-5</v>
      </c>
      <c r="DG497" s="4">
        <f t="shared" si="2161"/>
        <v>9.414661970751931</v>
      </c>
      <c r="DH497" s="4">
        <f t="shared" si="2162"/>
        <v>0.49594188092295277</v>
      </c>
      <c r="DI497" s="4">
        <f t="shared" si="2163"/>
        <v>7.111759235242249</v>
      </c>
      <c r="DJ497" s="4">
        <f t="shared" si="2164"/>
        <v>8.3432027494528445</v>
      </c>
      <c r="DK497" s="4">
        <f t="shared" si="2165"/>
        <v>9.1236545658066053</v>
      </c>
      <c r="DL497" s="38">
        <f t="shared" si="2166"/>
        <v>564.73864178090059</v>
      </c>
      <c r="DM497" s="4" t="e">
        <f t="shared" si="2167"/>
        <v>#REF!</v>
      </c>
      <c r="DN497" s="4">
        <f t="shared" si="2168"/>
        <v>2.2583179581272428</v>
      </c>
      <c r="DO497" s="4">
        <f t="shared" si="2169"/>
        <v>343.62041865482206</v>
      </c>
      <c r="DS497" s="4">
        <f t="shared" si="2170"/>
        <v>0.85</v>
      </c>
      <c r="DT497" s="4">
        <f t="shared" si="2171"/>
        <v>0.7</v>
      </c>
      <c r="DU497" s="4">
        <f t="shared" si="2172"/>
        <v>0.7</v>
      </c>
      <c r="DV497" s="4">
        <f t="shared" si="2173"/>
        <v>0.7</v>
      </c>
      <c r="DX497" s="4">
        <f t="shared" si="2174"/>
        <v>889.65517241379314</v>
      </c>
      <c r="EB497" s="4">
        <f t="shared" si="2175"/>
        <v>9.414661970751931</v>
      </c>
      <c r="EE497" s="4">
        <f t="shared" si="2176"/>
        <v>57.361276136431961</v>
      </c>
      <c r="EF497" s="4">
        <f t="shared" si="2177"/>
        <v>2.2583179581272428</v>
      </c>
      <c r="EG497" s="4">
        <f t="shared" si="2178"/>
        <v>0.16668776842721764</v>
      </c>
      <c r="EJ497" s="4">
        <f t="shared" si="2179"/>
        <v>0.16668776842721764</v>
      </c>
      <c r="EK497" s="4">
        <f t="shared" si="2180"/>
        <v>0.49594188092295277</v>
      </c>
      <c r="EL497" s="4">
        <f t="shared" si="2181"/>
        <v>7.111759235242249</v>
      </c>
      <c r="EM497" s="4">
        <f t="shared" si="2182"/>
        <v>8.3432027494528445</v>
      </c>
      <c r="EN497" s="4" t="e">
        <f t="shared" si="2183"/>
        <v>#REF!</v>
      </c>
      <c r="EO497" s="4" t="e">
        <f t="shared" si="2184"/>
        <v>#REF!</v>
      </c>
      <c r="EP497" s="4" t="e">
        <f t="shared" si="2185"/>
        <v>#REF!</v>
      </c>
      <c r="EQ497" s="4" t="e">
        <f t="shared" si="2186"/>
        <v>#REF!</v>
      </c>
      <c r="ER497" s="4" t="e">
        <f t="shared" si="2187"/>
        <v>#REF!</v>
      </c>
      <c r="FA497" s="23"/>
      <c r="FB497" s="23"/>
      <c r="FC497" s="23"/>
      <c r="FD497" s="23"/>
      <c r="FE497" s="23"/>
      <c r="FF497" s="23"/>
      <c r="FG497" s="23"/>
      <c r="FH497" s="23"/>
      <c r="FR497" s="4">
        <f t="shared" si="2188"/>
        <v>1</v>
      </c>
      <c r="FS497" s="4">
        <f t="shared" si="2189"/>
        <v>0.75511627906976753</v>
      </c>
      <c r="FT497" s="4">
        <f t="shared" si="2190"/>
        <v>0.3</v>
      </c>
      <c r="FU497" s="4">
        <f t="shared" si="2191"/>
        <v>222.44056852042061</v>
      </c>
    </row>
    <row r="498" spans="1:178" ht="12" customHeight="1" x14ac:dyDescent="0.3">
      <c r="A498" s="113"/>
      <c r="B498" s="24"/>
      <c r="C498" s="43" t="s">
        <v>644</v>
      </c>
      <c r="D498" s="38">
        <f t="shared" si="2129"/>
        <v>889.65517241379314</v>
      </c>
      <c r="E498" s="45">
        <v>160.01999999999998</v>
      </c>
      <c r="F498" s="45">
        <v>37.655172413793103</v>
      </c>
      <c r="G498" s="7">
        <v>25.4</v>
      </c>
      <c r="H498" s="45">
        <v>1524</v>
      </c>
      <c r="I498" s="45">
        <v>774.69999999999993</v>
      </c>
      <c r="J498" s="45">
        <v>774.69999999999993</v>
      </c>
      <c r="K498" s="7"/>
      <c r="L498" s="38">
        <v>1</v>
      </c>
      <c r="N498" s="7">
        <f t="shared" si="2130"/>
        <v>31</v>
      </c>
      <c r="O498" s="7">
        <f t="shared" si="2131"/>
        <v>31</v>
      </c>
      <c r="P498" s="45">
        <v>4.0999999999999996</v>
      </c>
      <c r="Q498" s="4">
        <f t="shared" si="2132"/>
        <v>4.0999999999999996</v>
      </c>
      <c r="R498" s="4">
        <f t="shared" si="2133"/>
        <v>5.0999999999999996</v>
      </c>
      <c r="S498" s="7">
        <f t="shared" si="2134"/>
        <v>57.361276136431961</v>
      </c>
      <c r="V498" s="45">
        <v>412.41379310344826</v>
      </c>
      <c r="Y498" s="38">
        <f t="shared" ref="Y498:Y499" si="2194">25.4*5/8</f>
        <v>15.875</v>
      </c>
      <c r="Z498" s="38">
        <v>3</v>
      </c>
      <c r="AA498" s="39">
        <v>25.4</v>
      </c>
      <c r="AB498" s="39">
        <v>3</v>
      </c>
      <c r="AC498" s="39">
        <v>1</v>
      </c>
      <c r="AE498" s="4">
        <f t="shared" si="2135"/>
        <v>160.01999999999998</v>
      </c>
      <c r="AF498" s="4">
        <f t="shared" si="2136"/>
        <v>1</v>
      </c>
      <c r="AG498" s="4">
        <f t="shared" si="2137"/>
        <v>245.14125477551366</v>
      </c>
      <c r="AH498" s="4">
        <f t="shared" si="2138"/>
        <v>1</v>
      </c>
      <c r="AI498" s="4">
        <v>1.25</v>
      </c>
      <c r="AJ498" s="4">
        <v>1</v>
      </c>
      <c r="AK498" s="38">
        <f t="shared" si="2139"/>
        <v>306.42656846939207</v>
      </c>
      <c r="AL498" s="38">
        <f t="shared" si="2192"/>
        <v>306.42656846939207</v>
      </c>
      <c r="AM498" s="38">
        <f t="shared" si="2140"/>
        <v>3.3703190491443937</v>
      </c>
      <c r="AR498" s="4" t="e">
        <f>#REF!/G498*F498^0.5/0.19</f>
        <v>#REF!</v>
      </c>
      <c r="AS498" s="4">
        <f t="shared" si="2141"/>
        <v>1</v>
      </c>
      <c r="AT498" s="38">
        <f t="shared" si="2142"/>
        <v>4727.2466018519244</v>
      </c>
      <c r="AU498" s="4">
        <f t="shared" si="2143"/>
        <v>0.42600000000000005</v>
      </c>
      <c r="AV498" s="4" t="e">
        <f>AU498*D498*#REF!/(D498*G498/2.75/F498^0.5)</f>
        <v>#REF!</v>
      </c>
      <c r="AW498" s="4" t="e">
        <f t="shared" si="2144"/>
        <v>#REF!</v>
      </c>
      <c r="AY498" s="4">
        <f t="shared" si="2145"/>
        <v>1.5</v>
      </c>
      <c r="AZ498" s="4" t="e">
        <f>(3*#REF!+30)*AY498*F498^0.5</f>
        <v>#REF!</v>
      </c>
      <c r="BB498" s="4">
        <f t="shared" si="2146"/>
        <v>4534.0075957648514</v>
      </c>
      <c r="BC498" s="4">
        <f t="shared" si="2147"/>
        <v>0</v>
      </c>
      <c r="BD498" s="4">
        <f t="shared" si="2148"/>
        <v>0</v>
      </c>
      <c r="BL498" s="4">
        <f t="shared" si="2149"/>
        <v>774.69999999999993</v>
      </c>
      <c r="BP498" s="9"/>
      <c r="BR498" s="9"/>
      <c r="BS498" s="9"/>
      <c r="BT498" s="9">
        <f t="shared" si="2150"/>
        <v>774.69999999999993</v>
      </c>
      <c r="BU498" s="9">
        <f t="shared" si="2151"/>
        <v>774.69999999999993</v>
      </c>
      <c r="BV498" s="9">
        <f t="shared" si="2152"/>
        <v>5.5226805085936306</v>
      </c>
      <c r="BW498" s="40">
        <f t="shared" si="2153"/>
        <v>20</v>
      </c>
      <c r="BX498" s="9">
        <f t="shared" si="2154"/>
        <v>0.05</v>
      </c>
      <c r="BY498" s="9">
        <f t="shared" si="2155"/>
        <v>0.8</v>
      </c>
      <c r="BZ498" s="9">
        <f t="shared" si="2156"/>
        <v>0.99524931562137331</v>
      </c>
      <c r="CA498" s="9">
        <f t="shared" si="2157"/>
        <v>0.68</v>
      </c>
      <c r="CB498" s="9">
        <f t="shared" si="2158"/>
        <v>1.4535205120600561</v>
      </c>
      <c r="CC498" s="9">
        <f t="shared" si="2159"/>
        <v>3.63380128015014</v>
      </c>
      <c r="CD498" s="40">
        <v>1</v>
      </c>
      <c r="CE498" s="9" t="e">
        <f>4*CC498*#REF!+60*CC498</f>
        <v>#REF!</v>
      </c>
      <c r="DC498" s="4" t="e">
        <f>#REF!</f>
        <v>#REF!</v>
      </c>
      <c r="DF498" s="4">
        <f t="shared" si="2160"/>
        <v>1.1861787488892311E-5</v>
      </c>
      <c r="DG498" s="4">
        <f t="shared" si="2161"/>
        <v>9.414661970751931</v>
      </c>
      <c r="DH498" s="4">
        <f t="shared" si="2162"/>
        <v>0.44226058895567227</v>
      </c>
      <c r="DI498" s="4">
        <f t="shared" si="2163"/>
        <v>6.7932254419875013</v>
      </c>
      <c r="DJ498" s="4">
        <f t="shared" si="2164"/>
        <v>8.2095252459350316</v>
      </c>
      <c r="DK498" s="4">
        <f t="shared" si="2165"/>
        <v>9.1717730741209333</v>
      </c>
      <c r="DL498" s="38">
        <f t="shared" si="2166"/>
        <v>506.57494485913878</v>
      </c>
      <c r="DM498" s="4" t="e">
        <f t="shared" si="2167"/>
        <v>#REF!</v>
      </c>
      <c r="DN498" s="4">
        <f t="shared" si="2168"/>
        <v>2.2583179581272428</v>
      </c>
      <c r="DO498" s="4">
        <f t="shared" si="2169"/>
        <v>306.42656846939207</v>
      </c>
      <c r="DS498" s="4">
        <f t="shared" si="2170"/>
        <v>0.85</v>
      </c>
      <c r="DT498" s="4">
        <f t="shared" si="2171"/>
        <v>0.7</v>
      </c>
      <c r="DU498" s="4">
        <f t="shared" si="2172"/>
        <v>0.84062499999999996</v>
      </c>
      <c r="DV498" s="4">
        <f t="shared" si="2173"/>
        <v>0.7</v>
      </c>
      <c r="DX498" s="4">
        <f t="shared" si="2174"/>
        <v>889.65517241379314</v>
      </c>
      <c r="EB498" s="4">
        <f t="shared" si="2175"/>
        <v>9.414661970751931</v>
      </c>
      <c r="EE498" s="4">
        <f t="shared" si="2176"/>
        <v>57.361276136431961</v>
      </c>
      <c r="EF498" s="4">
        <f t="shared" si="2177"/>
        <v>2.2583179581272428</v>
      </c>
      <c r="EG498" s="4">
        <f t="shared" si="2178"/>
        <v>0.14864530194371847</v>
      </c>
      <c r="EJ498" s="4">
        <f t="shared" si="2179"/>
        <v>0.14864530194371847</v>
      </c>
      <c r="EK498" s="4">
        <f t="shared" si="2180"/>
        <v>0.44226058895567227</v>
      </c>
      <c r="EL498" s="4">
        <f t="shared" si="2181"/>
        <v>6.7932254419875013</v>
      </c>
      <c r="EM498" s="4">
        <f t="shared" si="2182"/>
        <v>8.2095252459350316</v>
      </c>
      <c r="EN498" s="4" t="e">
        <f t="shared" si="2183"/>
        <v>#REF!</v>
      </c>
      <c r="EO498" s="4" t="e">
        <f t="shared" si="2184"/>
        <v>#REF!</v>
      </c>
      <c r="EP498" s="4" t="e">
        <f t="shared" si="2185"/>
        <v>#REF!</v>
      </c>
      <c r="EQ498" s="4" t="e">
        <f t="shared" si="2186"/>
        <v>#REF!</v>
      </c>
      <c r="ER498" s="4" t="e">
        <f t="shared" si="2187"/>
        <v>#REF!</v>
      </c>
      <c r="FA498" s="23"/>
      <c r="FB498" s="23"/>
      <c r="FC498" s="23"/>
      <c r="FD498" s="23"/>
      <c r="FE498" s="23"/>
      <c r="FF498" s="23"/>
      <c r="FG498" s="23"/>
      <c r="FH498" s="23"/>
      <c r="FR498" s="4">
        <f t="shared" si="2188"/>
        <v>1</v>
      </c>
      <c r="FS498" s="4">
        <f t="shared" si="2189"/>
        <v>0.75511627906976753</v>
      </c>
      <c r="FT498" s="4">
        <f t="shared" si="2190"/>
        <v>0.3</v>
      </c>
      <c r="FU498" s="4">
        <f t="shared" si="2191"/>
        <v>206.08464436450731</v>
      </c>
    </row>
    <row r="499" spans="1:178" ht="12" customHeight="1" x14ac:dyDescent="0.3">
      <c r="A499" s="113"/>
      <c r="B499" s="24"/>
      <c r="C499" s="43" t="s">
        <v>644</v>
      </c>
      <c r="D499" s="38">
        <f t="shared" si="2129"/>
        <v>889.65517241379314</v>
      </c>
      <c r="E499" s="45">
        <v>167.64</v>
      </c>
      <c r="F499" s="45">
        <v>37.655172413793103</v>
      </c>
      <c r="G499" s="7">
        <v>25.4</v>
      </c>
      <c r="H499" s="45">
        <v>1524</v>
      </c>
      <c r="I499" s="45">
        <v>762</v>
      </c>
      <c r="J499" s="45">
        <v>762</v>
      </c>
      <c r="K499" s="7"/>
      <c r="L499" s="38">
        <v>1</v>
      </c>
      <c r="N499" s="7">
        <f t="shared" si="2130"/>
        <v>30.5</v>
      </c>
      <c r="O499" s="7">
        <f t="shared" si="2131"/>
        <v>30.5</v>
      </c>
      <c r="P499" s="45">
        <v>4.0999999999999996</v>
      </c>
      <c r="Q499" s="4">
        <f t="shared" si="2132"/>
        <v>4.0999999999999996</v>
      </c>
      <c r="R499" s="4">
        <f t="shared" si="2133"/>
        <v>5.0999999999999996</v>
      </c>
      <c r="S499" s="7">
        <f t="shared" si="2134"/>
        <v>57.361276136431961</v>
      </c>
      <c r="V499" s="45">
        <v>488.27586206896552</v>
      </c>
      <c r="Y499" s="38">
        <f t="shared" si="2194"/>
        <v>15.875</v>
      </c>
      <c r="Z499" s="38">
        <v>3</v>
      </c>
      <c r="AA499" s="39">
        <v>25.4</v>
      </c>
      <c r="AB499" s="39">
        <v>3</v>
      </c>
      <c r="AC499" s="39">
        <v>1</v>
      </c>
      <c r="AE499" s="4">
        <f t="shared" si="2135"/>
        <v>167.64</v>
      </c>
      <c r="AF499" s="4">
        <f t="shared" si="2136"/>
        <v>1</v>
      </c>
      <c r="AG499" s="4">
        <f t="shared" si="2137"/>
        <v>262.85817231611441</v>
      </c>
      <c r="AH499" s="4">
        <f t="shared" si="2138"/>
        <v>1</v>
      </c>
      <c r="AI499" s="4">
        <v>1.25</v>
      </c>
      <c r="AJ499" s="4">
        <v>1</v>
      </c>
      <c r="AK499" s="38">
        <f t="shared" si="2139"/>
        <v>328.57271539514301</v>
      </c>
      <c r="AL499" s="38">
        <f t="shared" si="2192"/>
        <v>328.57271539514301</v>
      </c>
      <c r="AM499" s="38">
        <f t="shared" si="2140"/>
        <v>3.3703190491443937</v>
      </c>
      <c r="AR499" s="4" t="e">
        <f>#REF!/G499*F499^0.5/0.19</f>
        <v>#REF!</v>
      </c>
      <c r="AS499" s="4">
        <f t="shared" si="2141"/>
        <v>1</v>
      </c>
      <c r="AT499" s="38">
        <f t="shared" si="2142"/>
        <v>4651.000688918828</v>
      </c>
      <c r="AU499" s="4">
        <f t="shared" si="2143"/>
        <v>0.42600000000000005</v>
      </c>
      <c r="AV499" s="4" t="e">
        <f>AU499*D499*#REF!/(D499*G499/2.75/F499^0.5)</f>
        <v>#REF!</v>
      </c>
      <c r="AW499" s="4" t="e">
        <f t="shared" si="2144"/>
        <v>#REF!</v>
      </c>
      <c r="AY499" s="4">
        <f t="shared" si="2145"/>
        <v>1.5</v>
      </c>
      <c r="AZ499" s="4" t="e">
        <f>(3*#REF!+30)*AY499*F499^0.5</f>
        <v>#REF!</v>
      </c>
      <c r="BB499" s="4">
        <f t="shared" si="2146"/>
        <v>4460.878440994451</v>
      </c>
      <c r="BC499" s="4">
        <f t="shared" si="2147"/>
        <v>0</v>
      </c>
      <c r="BD499" s="4">
        <f t="shared" si="2148"/>
        <v>0</v>
      </c>
      <c r="BL499" s="4">
        <f t="shared" si="2149"/>
        <v>762</v>
      </c>
      <c r="BP499" s="9"/>
      <c r="BR499" s="9"/>
      <c r="BS499" s="9"/>
      <c r="BT499" s="9">
        <f t="shared" si="2150"/>
        <v>762</v>
      </c>
      <c r="BU499" s="9">
        <f t="shared" si="2151"/>
        <v>762</v>
      </c>
      <c r="BV499" s="9">
        <f t="shared" si="2152"/>
        <v>5.4772255750516612</v>
      </c>
      <c r="BW499" s="40">
        <f t="shared" si="2153"/>
        <v>20</v>
      </c>
      <c r="BX499" s="9">
        <f t="shared" si="2154"/>
        <v>0.05</v>
      </c>
      <c r="BY499" s="9">
        <f t="shared" si="2155"/>
        <v>0.8</v>
      </c>
      <c r="BZ499" s="9">
        <f t="shared" si="2156"/>
        <v>0.99524931562137331</v>
      </c>
      <c r="CA499" s="9">
        <f t="shared" si="2157"/>
        <v>0.68</v>
      </c>
      <c r="CB499" s="9">
        <f t="shared" si="2158"/>
        <v>1.4535205120600561</v>
      </c>
      <c r="CC499" s="9">
        <f t="shared" si="2159"/>
        <v>3.63380128015014</v>
      </c>
      <c r="CD499" s="40">
        <v>1</v>
      </c>
      <c r="CE499" s="9" t="e">
        <f>4*CC499*#REF!+60*CC499</f>
        <v>#REF!</v>
      </c>
      <c r="DC499" s="4" t="e">
        <f>#REF!</f>
        <v>#REF!</v>
      </c>
      <c r="DF499" s="4">
        <f t="shared" si="2160"/>
        <v>1.2426634512172898E-5</v>
      </c>
      <c r="DG499" s="4">
        <f t="shared" si="2161"/>
        <v>9.414661970751931</v>
      </c>
      <c r="DH499" s="4">
        <f t="shared" si="2162"/>
        <v>0.47422377031884377</v>
      </c>
      <c r="DI499" s="4">
        <f t="shared" si="2163"/>
        <v>6.985509041533815</v>
      </c>
      <c r="DJ499" s="4">
        <f t="shared" si="2164"/>
        <v>8.2897399950379445</v>
      </c>
      <c r="DK499" s="4">
        <f t="shared" si="2165"/>
        <v>9.1434596716302359</v>
      </c>
      <c r="DL499" s="38">
        <f t="shared" si="2166"/>
        <v>541.27492839427873</v>
      </c>
      <c r="DM499" s="4" t="e">
        <f t="shared" si="2167"/>
        <v>#REF!</v>
      </c>
      <c r="DN499" s="4">
        <f t="shared" si="2168"/>
        <v>2.2583179581272428</v>
      </c>
      <c r="DO499" s="4">
        <f t="shared" si="2169"/>
        <v>328.57271539514301</v>
      </c>
      <c r="DS499" s="4">
        <f t="shared" si="2170"/>
        <v>0.85</v>
      </c>
      <c r="DT499" s="4">
        <f t="shared" si="2171"/>
        <v>0.7</v>
      </c>
      <c r="DU499" s="4">
        <f t="shared" si="2172"/>
        <v>0.84062499999999996</v>
      </c>
      <c r="DV499" s="4">
        <f t="shared" si="2173"/>
        <v>0.7</v>
      </c>
      <c r="DX499" s="4">
        <f t="shared" si="2174"/>
        <v>889.65517241379314</v>
      </c>
      <c r="EB499" s="4">
        <f t="shared" si="2175"/>
        <v>9.414661970751931</v>
      </c>
      <c r="EE499" s="4">
        <f t="shared" si="2176"/>
        <v>57.361276136431961</v>
      </c>
      <c r="EF499" s="4">
        <f t="shared" si="2177"/>
        <v>2.2583179581272428</v>
      </c>
      <c r="EG499" s="4">
        <f t="shared" si="2178"/>
        <v>0.15938823690889276</v>
      </c>
      <c r="EJ499" s="4">
        <f t="shared" si="2179"/>
        <v>0.15938823690889276</v>
      </c>
      <c r="EK499" s="4">
        <f t="shared" si="2180"/>
        <v>0.47422377031884377</v>
      </c>
      <c r="EL499" s="4">
        <f t="shared" si="2181"/>
        <v>6.985509041533815</v>
      </c>
      <c r="EM499" s="4">
        <f t="shared" si="2182"/>
        <v>8.2897399950379445</v>
      </c>
      <c r="EN499" s="4" t="e">
        <f t="shared" si="2183"/>
        <v>#REF!</v>
      </c>
      <c r="EO499" s="4" t="e">
        <f t="shared" si="2184"/>
        <v>#REF!</v>
      </c>
      <c r="EP499" s="4" t="e">
        <f t="shared" si="2185"/>
        <v>#REF!</v>
      </c>
      <c r="EQ499" s="4" t="e">
        <f t="shared" si="2186"/>
        <v>#REF!</v>
      </c>
      <c r="ER499" s="4" t="e">
        <f t="shared" si="2187"/>
        <v>#REF!</v>
      </c>
      <c r="FA499" s="23"/>
      <c r="FB499" s="23"/>
      <c r="FC499" s="23"/>
      <c r="FD499" s="23"/>
      <c r="FE499" s="23"/>
      <c r="FF499" s="23"/>
      <c r="FG499" s="23"/>
      <c r="FH499" s="23"/>
      <c r="FR499" s="4">
        <f t="shared" si="2188"/>
        <v>1</v>
      </c>
      <c r="FS499" s="4">
        <f t="shared" si="2189"/>
        <v>0.75511627906976753</v>
      </c>
      <c r="FT499" s="4">
        <f t="shared" si="2190"/>
        <v>0.3</v>
      </c>
      <c r="FU499" s="4">
        <f t="shared" si="2191"/>
        <v>215.89819885805528</v>
      </c>
    </row>
    <row r="500" spans="1:178" ht="12" customHeight="1" x14ac:dyDescent="0.3">
      <c r="A500" s="113"/>
      <c r="B500" s="24"/>
      <c r="C500" s="43" t="s">
        <v>644</v>
      </c>
      <c r="D500" s="38">
        <f t="shared" si="2129"/>
        <v>889.65517241379314</v>
      </c>
      <c r="E500" s="45">
        <v>175.26</v>
      </c>
      <c r="F500" s="45">
        <v>37.655172413793103</v>
      </c>
      <c r="G500" s="7">
        <v>25.4</v>
      </c>
      <c r="H500" s="45">
        <v>1524</v>
      </c>
      <c r="I500" s="45">
        <v>769.62</v>
      </c>
      <c r="J500" s="45">
        <v>769.62</v>
      </c>
      <c r="K500" s="7"/>
      <c r="L500" s="38">
        <v>1</v>
      </c>
      <c r="N500" s="7">
        <f t="shared" si="2130"/>
        <v>30.8</v>
      </c>
      <c r="O500" s="7">
        <f t="shared" si="2131"/>
        <v>30.8</v>
      </c>
      <c r="P500" s="45">
        <v>4.0999999999999996</v>
      </c>
      <c r="Q500" s="4">
        <f t="shared" si="2132"/>
        <v>4.0999999999999996</v>
      </c>
      <c r="R500" s="4">
        <f t="shared" si="2133"/>
        <v>5.0999999999999996</v>
      </c>
      <c r="S500" s="7">
        <f t="shared" si="2134"/>
        <v>57.361276136431961</v>
      </c>
      <c r="V500" s="45">
        <v>459.31034482758622</v>
      </c>
      <c r="X500" s="4">
        <f>V500*0.145*PI()/4</f>
        <v>52.307517682270053</v>
      </c>
      <c r="Y500" s="38">
        <f>25.4*5/8</f>
        <v>15.875</v>
      </c>
      <c r="Z500" s="38">
        <v>3</v>
      </c>
      <c r="AA500" s="39">
        <v>25.4</v>
      </c>
      <c r="AB500" s="39">
        <v>3</v>
      </c>
      <c r="AC500" s="39">
        <v>1</v>
      </c>
      <c r="AE500" s="4">
        <f t="shared" si="2135"/>
        <v>175.26</v>
      </c>
      <c r="AF500" s="4">
        <f t="shared" si="2136"/>
        <v>1</v>
      </c>
      <c r="AG500" s="4">
        <f t="shared" si="2137"/>
        <v>280.98246403479141</v>
      </c>
      <c r="AH500" s="4">
        <f t="shared" si="2138"/>
        <v>1</v>
      </c>
      <c r="AI500" s="4">
        <v>1.25</v>
      </c>
      <c r="AJ500" s="4">
        <v>1</v>
      </c>
      <c r="AK500" s="38">
        <f t="shared" si="2139"/>
        <v>351.22808004348929</v>
      </c>
      <c r="AL500" s="38">
        <f t="shared" si="2192"/>
        <v>351.22808004348929</v>
      </c>
      <c r="AM500" s="38">
        <f t="shared" si="2140"/>
        <v>3.3703190491443937</v>
      </c>
      <c r="AR500" s="4" t="e">
        <f>#REF!/G500*F500^0.5/0.19</f>
        <v>#REF!</v>
      </c>
      <c r="AS500" s="4">
        <f t="shared" si="2141"/>
        <v>1</v>
      </c>
      <c r="AT500" s="38">
        <f t="shared" si="2142"/>
        <v>4696.7482366786853</v>
      </c>
      <c r="AU500" s="4">
        <f t="shared" si="2143"/>
        <v>0.42600000000000005</v>
      </c>
      <c r="AV500" s="4" t="e">
        <f>AU500*D500*#REF!/(D500*G500/2.75/F500^0.5)</f>
        <v>#REF!</v>
      </c>
      <c r="AW500" s="4" t="e">
        <f t="shared" si="2144"/>
        <v>#REF!</v>
      </c>
      <c r="AY500" s="4">
        <f t="shared" si="2145"/>
        <v>1.5</v>
      </c>
      <c r="AZ500" s="4" t="e">
        <f>(3*#REF!+30)*AY500*F500^0.5</f>
        <v>#REF!</v>
      </c>
      <c r="BB500" s="4">
        <f t="shared" si="2146"/>
        <v>4504.7559338566916</v>
      </c>
      <c r="BC500" s="4">
        <f t="shared" si="2147"/>
        <v>0</v>
      </c>
      <c r="BD500" s="4">
        <f t="shared" si="2148"/>
        <v>0</v>
      </c>
      <c r="BL500" s="4">
        <f t="shared" si="2149"/>
        <v>769.62</v>
      </c>
      <c r="BP500" s="9"/>
      <c r="BR500" s="9"/>
      <c r="BS500" s="9"/>
      <c r="BT500" s="9">
        <f t="shared" si="2150"/>
        <v>769.62</v>
      </c>
      <c r="BU500" s="9">
        <f t="shared" si="2151"/>
        <v>769.62</v>
      </c>
      <c r="BV500" s="9">
        <f t="shared" si="2152"/>
        <v>5.5045435778091543</v>
      </c>
      <c r="BW500" s="40">
        <f t="shared" si="2153"/>
        <v>20</v>
      </c>
      <c r="BX500" s="9">
        <f t="shared" si="2154"/>
        <v>0.05</v>
      </c>
      <c r="BY500" s="9">
        <f t="shared" si="2155"/>
        <v>0.8</v>
      </c>
      <c r="BZ500" s="9">
        <f t="shared" si="2156"/>
        <v>0.99524931562137331</v>
      </c>
      <c r="CA500" s="9">
        <f t="shared" si="2157"/>
        <v>0.68</v>
      </c>
      <c r="CB500" s="9">
        <f t="shared" si="2158"/>
        <v>1.4535205120600561</v>
      </c>
      <c r="CC500" s="9">
        <f t="shared" si="2159"/>
        <v>3.63380128015014</v>
      </c>
      <c r="CD500" s="40">
        <v>1</v>
      </c>
      <c r="CE500" s="9" t="e">
        <f>4*CC500*#REF!+60*CC500</f>
        <v>#REF!</v>
      </c>
      <c r="DC500" s="4" t="e">
        <f>#REF!</f>
        <v>#REF!</v>
      </c>
      <c r="DF500" s="4">
        <f t="shared" si="2160"/>
        <v>1.2991481535453484E-5</v>
      </c>
      <c r="DG500" s="4">
        <f t="shared" si="2161"/>
        <v>9.414661970751931</v>
      </c>
      <c r="DH500" s="4">
        <f t="shared" si="2162"/>
        <v>0.50692189751594396</v>
      </c>
      <c r="DI500" s="4">
        <f t="shared" si="2163"/>
        <v>7.1743267463293359</v>
      </c>
      <c r="DJ500" s="4">
        <f t="shared" si="2164"/>
        <v>8.3699267548594403</v>
      </c>
      <c r="DK500" s="4">
        <f t="shared" si="2165"/>
        <v>9.1134708215683489</v>
      </c>
      <c r="DL500" s="38">
        <f t="shared" si="2166"/>
        <v>576.56833265789874</v>
      </c>
      <c r="DM500" s="4" t="e">
        <f t="shared" si="2167"/>
        <v>#REF!</v>
      </c>
      <c r="DN500" s="4">
        <f t="shared" si="2168"/>
        <v>2.2583179581272428</v>
      </c>
      <c r="DO500" s="4">
        <f t="shared" si="2169"/>
        <v>351.22808004348929</v>
      </c>
      <c r="DS500" s="4">
        <f t="shared" si="2170"/>
        <v>0.85</v>
      </c>
      <c r="DT500" s="4">
        <f t="shared" si="2171"/>
        <v>0.7</v>
      </c>
      <c r="DU500" s="4">
        <f t="shared" si="2172"/>
        <v>0.84062499999999996</v>
      </c>
      <c r="DV500" s="4">
        <f t="shared" si="2173"/>
        <v>0.7</v>
      </c>
      <c r="DX500" s="4">
        <f t="shared" si="2174"/>
        <v>889.65517241379314</v>
      </c>
      <c r="EB500" s="4">
        <f t="shared" si="2175"/>
        <v>9.414661970751931</v>
      </c>
      <c r="EE500" s="4">
        <f t="shared" si="2176"/>
        <v>57.361276136431961</v>
      </c>
      <c r="EF500" s="4">
        <f t="shared" si="2177"/>
        <v>2.2583179581272428</v>
      </c>
      <c r="EG500" s="4">
        <f t="shared" si="2178"/>
        <v>0.17037818969144611</v>
      </c>
      <c r="EJ500" s="4">
        <f t="shared" si="2179"/>
        <v>0.17037818969144611</v>
      </c>
      <c r="EK500" s="4">
        <f t="shared" si="2180"/>
        <v>0.50692189751594396</v>
      </c>
      <c r="EL500" s="4">
        <f t="shared" si="2181"/>
        <v>7.1743267463293359</v>
      </c>
      <c r="EM500" s="4">
        <f t="shared" si="2182"/>
        <v>8.3699267548594403</v>
      </c>
      <c r="EN500" s="4" t="e">
        <f t="shared" si="2183"/>
        <v>#REF!</v>
      </c>
      <c r="EO500" s="4" t="e">
        <f t="shared" si="2184"/>
        <v>#REF!</v>
      </c>
      <c r="EP500" s="4" t="e">
        <f t="shared" si="2185"/>
        <v>#REF!</v>
      </c>
      <c r="EQ500" s="4" t="e">
        <f t="shared" si="2186"/>
        <v>#REF!</v>
      </c>
      <c r="ER500" s="4" t="e">
        <f t="shared" si="2187"/>
        <v>#REF!</v>
      </c>
      <c r="FA500" s="23"/>
      <c r="FB500" s="23"/>
      <c r="FC500" s="23"/>
      <c r="FD500" s="23"/>
      <c r="FE500" s="23"/>
      <c r="FF500" s="23"/>
      <c r="FG500" s="23"/>
      <c r="FH500" s="23"/>
      <c r="FR500" s="4">
        <f t="shared" si="2188"/>
        <v>1</v>
      </c>
      <c r="FS500" s="4">
        <f t="shared" si="2189"/>
        <v>0.75511627906976753</v>
      </c>
      <c r="FT500" s="4">
        <f t="shared" si="2190"/>
        <v>0.3</v>
      </c>
      <c r="FU500" s="4">
        <f t="shared" si="2191"/>
        <v>225.71175335160328</v>
      </c>
      <c r="FV500" s="4">
        <f>FU500*0.145*PI()/4</f>
        <v>25.704671498237222</v>
      </c>
    </row>
    <row r="501" spans="1:178" ht="12" customHeight="1" x14ac:dyDescent="0.3">
      <c r="A501" s="113"/>
      <c r="B501" s="24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BP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FA501" s="23"/>
      <c r="FB501" s="23"/>
      <c r="FC501" s="23"/>
      <c r="FD501" s="23"/>
      <c r="FE501" s="23"/>
      <c r="FF501" s="23"/>
      <c r="FG501" s="23"/>
      <c r="FH501" s="23"/>
    </row>
    <row r="502" spans="1:178" ht="12" customHeight="1" x14ac:dyDescent="0.3">
      <c r="A502" s="113"/>
      <c r="B502" s="24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BP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FA502" s="23"/>
      <c r="FB502" s="23"/>
      <c r="FC502" s="23"/>
      <c r="FD502" s="23"/>
      <c r="FE502" s="23"/>
      <c r="FF502" s="23"/>
      <c r="FG502" s="23"/>
      <c r="FH502" s="23"/>
    </row>
    <row r="503" spans="1:178" ht="12" customHeight="1" x14ac:dyDescent="0.3">
      <c r="A503" s="113"/>
      <c r="B503" s="24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34"/>
      <c r="Z503" s="7"/>
      <c r="AA503" s="7"/>
      <c r="AB503" s="7"/>
      <c r="AC503" s="7"/>
      <c r="AD503" s="7"/>
      <c r="BP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FA503" s="23"/>
      <c r="FB503" s="23"/>
      <c r="FC503" s="23"/>
      <c r="FD503" s="23"/>
      <c r="FE503" s="23"/>
      <c r="FF503" s="23"/>
      <c r="FG503" s="23"/>
      <c r="FH503" s="23"/>
    </row>
    <row r="504" spans="1:178" ht="12" customHeight="1" x14ac:dyDescent="0.3">
      <c r="A504" s="113"/>
      <c r="B504" s="24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34"/>
      <c r="Z504" s="7"/>
      <c r="AA504" s="7"/>
      <c r="AB504" s="7"/>
      <c r="AC504" s="7"/>
      <c r="AD504" s="7"/>
      <c r="BP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FA504" s="23"/>
      <c r="FB504" s="23"/>
      <c r="FC504" s="23"/>
      <c r="FD504" s="23"/>
      <c r="FE504" s="23"/>
      <c r="FF504" s="23"/>
      <c r="FG504" s="23"/>
      <c r="FH504" s="23"/>
    </row>
    <row r="505" spans="1:178" ht="12" customHeight="1" x14ac:dyDescent="0.3">
      <c r="A505" s="113"/>
      <c r="B505" s="24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BP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FA505" s="23"/>
      <c r="FB505" s="23"/>
      <c r="FC505" s="23"/>
      <c r="FD505" s="23"/>
      <c r="FE505" s="23"/>
      <c r="FF505" s="23"/>
      <c r="FG505" s="23"/>
      <c r="FH505" s="23"/>
    </row>
    <row r="506" spans="1:178" ht="12" customHeight="1" x14ac:dyDescent="0.3">
      <c r="A506" s="113"/>
      <c r="B506" s="24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BP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FA506" s="23"/>
      <c r="FB506" s="23"/>
      <c r="FC506" s="23"/>
      <c r="FD506" s="23"/>
      <c r="FE506" s="23"/>
      <c r="FF506" s="23"/>
      <c r="FG506" s="23"/>
      <c r="FH506" s="23"/>
    </row>
    <row r="507" spans="1:178" ht="12" customHeight="1" x14ac:dyDescent="0.3">
      <c r="A507" s="113"/>
      <c r="B507" s="24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34"/>
      <c r="Z507" s="7"/>
      <c r="AA507" s="7"/>
      <c r="AB507" s="7"/>
      <c r="AC507" s="7"/>
      <c r="AD507" s="7"/>
      <c r="BP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FA507" s="23"/>
      <c r="FB507" s="23"/>
      <c r="FC507" s="23"/>
      <c r="FD507" s="23"/>
      <c r="FE507" s="23"/>
      <c r="FF507" s="23"/>
      <c r="FG507" s="23"/>
      <c r="FH507" s="23"/>
    </row>
    <row r="508" spans="1:178" ht="12" customHeight="1" x14ac:dyDescent="0.3">
      <c r="A508" s="113"/>
      <c r="B508" s="24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34"/>
      <c r="Z508" s="7"/>
      <c r="AA508" s="7"/>
      <c r="AB508" s="7"/>
      <c r="AC508" s="7"/>
      <c r="AD508" s="7"/>
      <c r="BP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FA508" s="23"/>
      <c r="FB508" s="23"/>
      <c r="FC508" s="23"/>
      <c r="FD508" s="23"/>
      <c r="FE508" s="23"/>
      <c r="FF508" s="23"/>
      <c r="FG508" s="23"/>
      <c r="FH508" s="23"/>
    </row>
    <row r="509" spans="1:178" ht="12" customHeight="1" x14ac:dyDescent="0.3">
      <c r="A509" s="113"/>
      <c r="B509" s="24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34"/>
      <c r="Z509" s="7"/>
      <c r="AA509" s="7"/>
      <c r="AB509" s="7"/>
      <c r="AC509" s="7"/>
      <c r="AD509" s="7"/>
      <c r="BP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FA509" s="23"/>
      <c r="FB509" s="23"/>
      <c r="FC509" s="23"/>
      <c r="FD509" s="23"/>
      <c r="FE509" s="23"/>
      <c r="FF509" s="23"/>
      <c r="FG509" s="23"/>
      <c r="FH509" s="23"/>
    </row>
    <row r="510" spans="1:178" ht="12" customHeight="1" x14ac:dyDescent="0.3">
      <c r="A510" s="113"/>
      <c r="B510" s="24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34"/>
      <c r="Z510" s="7"/>
      <c r="AA510" s="7"/>
      <c r="AB510" s="7"/>
      <c r="AC510" s="7"/>
      <c r="AD510" s="7"/>
      <c r="BP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FA510" s="23"/>
      <c r="FB510" s="23"/>
      <c r="FC510" s="23"/>
      <c r="FD510" s="23"/>
      <c r="FE510" s="23"/>
      <c r="FF510" s="23"/>
      <c r="FG510" s="23"/>
      <c r="FH510" s="23"/>
    </row>
    <row r="511" spans="1:178" ht="12" customHeight="1" x14ac:dyDescent="0.3">
      <c r="A511" s="113"/>
      <c r="B511" s="24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34"/>
      <c r="Z511" s="7"/>
      <c r="AA511" s="7"/>
      <c r="AB511" s="7"/>
      <c r="AC511" s="7"/>
      <c r="AD511" s="7"/>
      <c r="BP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FA511" s="23"/>
      <c r="FB511" s="23"/>
      <c r="FC511" s="23"/>
      <c r="FD511" s="23"/>
      <c r="FE511" s="23"/>
      <c r="FF511" s="23"/>
      <c r="FG511" s="23"/>
      <c r="FH511" s="23"/>
    </row>
    <row r="512" spans="1:178" ht="12" customHeight="1" x14ac:dyDescent="0.3">
      <c r="A512" s="113"/>
      <c r="B512" s="24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34"/>
      <c r="Z512" s="7"/>
      <c r="AA512" s="7"/>
      <c r="AB512" s="7"/>
      <c r="AC512" s="7"/>
      <c r="AD512" s="7"/>
      <c r="BP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FA512" s="23"/>
      <c r="FB512" s="23"/>
      <c r="FC512" s="23"/>
      <c r="FD512" s="23"/>
      <c r="FE512" s="23"/>
      <c r="FF512" s="23"/>
      <c r="FG512" s="23"/>
      <c r="FH512" s="23"/>
    </row>
    <row r="513" spans="1:164" ht="12" customHeight="1" x14ac:dyDescent="0.3">
      <c r="A513" s="113"/>
      <c r="B513" s="24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BP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FA513" s="23"/>
      <c r="FB513" s="23"/>
      <c r="FC513" s="23"/>
      <c r="FD513" s="23"/>
      <c r="FE513" s="23"/>
      <c r="FF513" s="23"/>
      <c r="FG513" s="23"/>
      <c r="FH513" s="23"/>
    </row>
    <row r="514" spans="1:164" ht="12" customHeight="1" x14ac:dyDescent="0.3">
      <c r="A514" s="113"/>
      <c r="B514" s="24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BP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FA514" s="23"/>
      <c r="FB514" s="23"/>
      <c r="FC514" s="23"/>
      <c r="FD514" s="23"/>
      <c r="FE514" s="23"/>
      <c r="FF514" s="23"/>
      <c r="FG514" s="23"/>
      <c r="FH514" s="23"/>
    </row>
    <row r="515" spans="1:164" ht="12" customHeight="1" x14ac:dyDescent="0.3">
      <c r="A515" s="113"/>
      <c r="B515" s="24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BP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FA515" s="23"/>
      <c r="FB515" s="23"/>
      <c r="FC515" s="23"/>
      <c r="FD515" s="23"/>
      <c r="FE515" s="23"/>
      <c r="FF515" s="23"/>
      <c r="FG515" s="23"/>
      <c r="FH515" s="23"/>
    </row>
    <row r="516" spans="1:164" ht="12" customHeight="1" x14ac:dyDescent="0.3">
      <c r="A516" s="113"/>
      <c r="B516" s="24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BP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FA516" s="23"/>
      <c r="FB516" s="23"/>
      <c r="FC516" s="23"/>
      <c r="FD516" s="23"/>
      <c r="FE516" s="23"/>
      <c r="FF516" s="23"/>
      <c r="FG516" s="23"/>
      <c r="FH516" s="23"/>
    </row>
    <row r="517" spans="1:164" ht="12" customHeight="1" x14ac:dyDescent="0.3">
      <c r="A517" s="113"/>
      <c r="B517" s="24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BP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FA517" s="23"/>
      <c r="FB517" s="23"/>
      <c r="FC517" s="23"/>
      <c r="FD517" s="23"/>
      <c r="FE517" s="23"/>
      <c r="FF517" s="23"/>
      <c r="FG517" s="23"/>
      <c r="FH517" s="23"/>
    </row>
    <row r="518" spans="1:164" ht="12" customHeight="1" x14ac:dyDescent="0.3">
      <c r="A518" s="113"/>
      <c r="B518" s="24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BP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FA518" s="23"/>
      <c r="FB518" s="23"/>
      <c r="FC518" s="23"/>
      <c r="FD518" s="23"/>
      <c r="FE518" s="23"/>
      <c r="FF518" s="23"/>
      <c r="FG518" s="23"/>
      <c r="FH518" s="23"/>
    </row>
    <row r="519" spans="1:164" ht="12" customHeight="1" x14ac:dyDescent="0.3">
      <c r="A519" s="113"/>
      <c r="B519" s="24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BP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FA519" s="23"/>
      <c r="FB519" s="23"/>
      <c r="FC519" s="23"/>
      <c r="FD519" s="23"/>
      <c r="FE519" s="23"/>
      <c r="FF519" s="23"/>
      <c r="FG519" s="23"/>
      <c r="FH519" s="23"/>
    </row>
    <row r="520" spans="1:164" ht="12" customHeight="1" x14ac:dyDescent="0.3">
      <c r="A520" s="113"/>
      <c r="B520" s="24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BP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FA520" s="23"/>
      <c r="FB520" s="23"/>
      <c r="FC520" s="23"/>
      <c r="FD520" s="23"/>
      <c r="FE520" s="23"/>
      <c r="FF520" s="23"/>
      <c r="FG520" s="23"/>
      <c r="FH520" s="23"/>
    </row>
    <row r="521" spans="1:164" ht="12" customHeight="1" x14ac:dyDescent="0.3">
      <c r="A521" s="113"/>
      <c r="B521" s="24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BP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FA521" s="23"/>
      <c r="FB521" s="23"/>
      <c r="FC521" s="23"/>
      <c r="FD521" s="23"/>
      <c r="FE521" s="23"/>
      <c r="FF521" s="23"/>
      <c r="FG521" s="23"/>
      <c r="FH521" s="23"/>
    </row>
    <row r="522" spans="1:164" ht="12" customHeight="1" x14ac:dyDescent="0.3">
      <c r="A522" s="113"/>
      <c r="B522" s="24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BP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FA522" s="23"/>
      <c r="FB522" s="23"/>
      <c r="FC522" s="23"/>
      <c r="FD522" s="23"/>
      <c r="FE522" s="23"/>
      <c r="FF522" s="23"/>
      <c r="FG522" s="23"/>
      <c r="FH522" s="23"/>
    </row>
    <row r="523" spans="1:164" ht="12" customHeight="1" x14ac:dyDescent="0.3">
      <c r="A523" s="113"/>
      <c r="B523" s="24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BP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FA523" s="23"/>
      <c r="FB523" s="23"/>
      <c r="FC523" s="23"/>
      <c r="FD523" s="23"/>
      <c r="FE523" s="23"/>
      <c r="FF523" s="23"/>
      <c r="FG523" s="23"/>
      <c r="FH523" s="23"/>
    </row>
    <row r="524" spans="1:164" ht="12" customHeight="1" x14ac:dyDescent="0.3">
      <c r="A524" s="113"/>
      <c r="B524" s="24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BP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FA524" s="23"/>
      <c r="FB524" s="23"/>
      <c r="FC524" s="23"/>
      <c r="FD524" s="23"/>
      <c r="FE524" s="23"/>
      <c r="FF524" s="23"/>
      <c r="FG524" s="23"/>
      <c r="FH524" s="23"/>
    </row>
    <row r="525" spans="1:164" ht="12" customHeight="1" x14ac:dyDescent="0.3">
      <c r="B525" s="14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BP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FA525" s="23"/>
      <c r="FB525" s="23"/>
      <c r="FC525" s="23"/>
      <c r="FD525" s="23"/>
      <c r="FE525" s="23"/>
      <c r="FF525" s="23"/>
      <c r="FG525" s="23"/>
      <c r="FH525" s="23"/>
    </row>
    <row r="526" spans="1:164" ht="12" customHeight="1" x14ac:dyDescent="0.3">
      <c r="B526" s="14"/>
      <c r="C526" s="7"/>
      <c r="D526" s="7"/>
      <c r="E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Y526" s="7"/>
      <c r="Z526" s="7"/>
      <c r="AA526" s="7"/>
      <c r="AB526" s="7"/>
      <c r="AC526" s="7"/>
      <c r="AD526" s="7"/>
      <c r="BP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FA526" s="23"/>
      <c r="FB526" s="23"/>
      <c r="FC526" s="23"/>
      <c r="FD526" s="23"/>
      <c r="FE526" s="23"/>
      <c r="FF526" s="23"/>
      <c r="FG526" s="23"/>
      <c r="FH526" s="23"/>
    </row>
    <row r="527" spans="1:164" ht="12" customHeight="1" x14ac:dyDescent="0.3">
      <c r="B527" s="14"/>
      <c r="C527" s="7"/>
      <c r="D527" s="7"/>
      <c r="E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Y527" s="7"/>
      <c r="Z527" s="7"/>
      <c r="AA527" s="7"/>
      <c r="AB527" s="7"/>
      <c r="AC527" s="7"/>
      <c r="AD527" s="7"/>
      <c r="BP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FA527" s="23"/>
      <c r="FB527" s="23"/>
      <c r="FC527" s="23"/>
      <c r="FD527" s="23"/>
      <c r="FE527" s="23"/>
      <c r="FF527" s="23"/>
      <c r="FG527" s="23"/>
      <c r="FH527" s="23"/>
    </row>
    <row r="528" spans="1:164" ht="12" customHeight="1" x14ac:dyDescent="0.3">
      <c r="B528" s="14"/>
      <c r="C528" s="7"/>
      <c r="D528" s="7"/>
      <c r="E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Y528" s="7"/>
      <c r="Z528" s="7"/>
      <c r="AA528" s="7"/>
      <c r="AB528" s="7"/>
      <c r="AC528" s="7"/>
      <c r="AD528" s="7"/>
      <c r="BP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FA528" s="23"/>
      <c r="FB528" s="23"/>
      <c r="FC528" s="23"/>
      <c r="FD528" s="23"/>
      <c r="FE528" s="23"/>
      <c r="FF528" s="23"/>
      <c r="FG528" s="23"/>
      <c r="FH528" s="23"/>
    </row>
    <row r="529" spans="2:164" ht="12" customHeight="1" x14ac:dyDescent="0.3">
      <c r="B529" s="14"/>
      <c r="C529" s="7"/>
      <c r="D529" s="7"/>
      <c r="E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Y529" s="7"/>
      <c r="Z529" s="7"/>
      <c r="AA529" s="7"/>
      <c r="AB529" s="7"/>
      <c r="AC529" s="7"/>
      <c r="AD529" s="7"/>
      <c r="BP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FA529" s="23"/>
      <c r="FB529" s="23"/>
      <c r="FC529" s="23"/>
      <c r="FD529" s="23"/>
      <c r="FE529" s="23"/>
      <c r="FF529" s="23"/>
      <c r="FG529" s="23"/>
      <c r="FH529" s="23"/>
    </row>
    <row r="530" spans="2:164" ht="12" customHeight="1" x14ac:dyDescent="0.3">
      <c r="B530" s="14"/>
      <c r="C530" s="7"/>
      <c r="D530" s="7"/>
      <c r="E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Y530" s="7"/>
      <c r="Z530" s="7"/>
      <c r="AA530" s="7"/>
      <c r="AB530" s="7"/>
      <c r="AC530" s="7"/>
      <c r="AD530" s="7"/>
      <c r="BP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FA530" s="23"/>
      <c r="FB530" s="23"/>
      <c r="FC530" s="23"/>
      <c r="FD530" s="23"/>
      <c r="FE530" s="23"/>
      <c r="FF530" s="23"/>
      <c r="FG530" s="23"/>
      <c r="FH530" s="23"/>
    </row>
    <row r="531" spans="2:164" ht="12" customHeight="1" x14ac:dyDescent="0.3">
      <c r="B531" s="14"/>
      <c r="C531" s="7"/>
      <c r="D531" s="7"/>
      <c r="E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Y531" s="7"/>
      <c r="Z531" s="7"/>
      <c r="AA531" s="7"/>
      <c r="AB531" s="7"/>
      <c r="AC531" s="7"/>
      <c r="AD531" s="7"/>
      <c r="BP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FA531" s="23"/>
      <c r="FB531" s="23"/>
      <c r="FC531" s="23"/>
      <c r="FD531" s="23"/>
      <c r="FE531" s="23"/>
      <c r="FF531" s="23"/>
      <c r="FG531" s="23"/>
      <c r="FH531" s="23"/>
    </row>
    <row r="532" spans="2:164" ht="12" customHeight="1" x14ac:dyDescent="0.3">
      <c r="B532" s="14"/>
      <c r="C532" s="7"/>
      <c r="D532" s="7"/>
      <c r="E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Y532" s="7"/>
      <c r="Z532" s="7"/>
      <c r="AA532" s="7"/>
      <c r="AB532" s="7"/>
      <c r="AC532" s="7"/>
      <c r="AD532" s="7"/>
      <c r="BP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FA532" s="23"/>
      <c r="FB532" s="23"/>
      <c r="FC532" s="23"/>
      <c r="FD532" s="23"/>
      <c r="FE532" s="23"/>
      <c r="FF532" s="23"/>
      <c r="FG532" s="23"/>
      <c r="FH532" s="23"/>
    </row>
    <row r="533" spans="2:164" ht="12" customHeight="1" x14ac:dyDescent="0.3">
      <c r="B533" s="14"/>
      <c r="C533" s="7"/>
      <c r="D533" s="7"/>
      <c r="E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Y533" s="7"/>
      <c r="Z533" s="7"/>
      <c r="AA533" s="7"/>
      <c r="AB533" s="7"/>
      <c r="AC533" s="7"/>
      <c r="AD533" s="7"/>
      <c r="BP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FA533" s="23"/>
      <c r="FB533" s="23"/>
      <c r="FC533" s="23"/>
      <c r="FD533" s="23"/>
      <c r="FE533" s="23"/>
      <c r="FF533" s="23"/>
      <c r="FG533" s="23"/>
      <c r="FH533" s="23"/>
    </row>
    <row r="534" spans="2:164" ht="12" customHeight="1" x14ac:dyDescent="0.3">
      <c r="B534" s="14"/>
      <c r="C534" s="7"/>
      <c r="D534" s="7"/>
      <c r="E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Y534" s="7"/>
      <c r="Z534" s="7"/>
      <c r="AA534" s="7"/>
      <c r="AB534" s="7"/>
      <c r="AC534" s="7"/>
      <c r="AD534" s="7"/>
      <c r="BP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FA534" s="23"/>
      <c r="FB534" s="23"/>
      <c r="FC534" s="23"/>
      <c r="FD534" s="23"/>
      <c r="FE534" s="23"/>
      <c r="FF534" s="23"/>
      <c r="FG534" s="23"/>
      <c r="FH534" s="23"/>
    </row>
    <row r="535" spans="2:164" ht="12" customHeight="1" x14ac:dyDescent="0.3">
      <c r="B535" s="14"/>
      <c r="C535" s="7"/>
      <c r="D535" s="7"/>
      <c r="E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Y535" s="7"/>
      <c r="Z535" s="7"/>
      <c r="AA535" s="7"/>
      <c r="AB535" s="7"/>
      <c r="AC535" s="7"/>
      <c r="AD535" s="7"/>
      <c r="BP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FA535" s="23"/>
      <c r="FB535" s="23"/>
      <c r="FC535" s="23"/>
      <c r="FD535" s="23"/>
      <c r="FE535" s="23"/>
      <c r="FF535" s="23"/>
      <c r="FG535" s="23"/>
      <c r="FH535" s="23"/>
    </row>
    <row r="536" spans="2:164" ht="12" customHeight="1" x14ac:dyDescent="0.3">
      <c r="B536" s="14"/>
      <c r="C536" s="7"/>
      <c r="D536" s="7"/>
      <c r="E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Y536" s="7"/>
      <c r="Z536" s="7"/>
      <c r="AA536" s="7"/>
      <c r="AB536" s="7"/>
      <c r="AC536" s="7"/>
      <c r="AD536" s="7"/>
      <c r="BP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FA536" s="23"/>
      <c r="FB536" s="23"/>
      <c r="FC536" s="23"/>
      <c r="FD536" s="23"/>
      <c r="FE536" s="23"/>
      <c r="FF536" s="23"/>
      <c r="FG536" s="23"/>
      <c r="FH536" s="23"/>
    </row>
    <row r="537" spans="2:164" ht="12" customHeight="1" x14ac:dyDescent="0.3">
      <c r="B537" s="14"/>
      <c r="C537" s="7"/>
      <c r="D537" s="7"/>
      <c r="E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Y537" s="7"/>
      <c r="Z537" s="7"/>
      <c r="AA537" s="7"/>
      <c r="AB537" s="7"/>
      <c r="AC537" s="7"/>
      <c r="AD537" s="7"/>
      <c r="BP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FA537" s="23"/>
      <c r="FB537" s="23"/>
      <c r="FC537" s="23"/>
      <c r="FD537" s="23"/>
      <c r="FE537" s="23"/>
      <c r="FF537" s="23"/>
      <c r="FG537" s="23"/>
      <c r="FH537" s="23"/>
    </row>
    <row r="538" spans="2:164" ht="12" customHeight="1" x14ac:dyDescent="0.3">
      <c r="FA538" s="23"/>
      <c r="FB538" s="23"/>
      <c r="FC538" s="23"/>
      <c r="FD538" s="23"/>
      <c r="FE538" s="23"/>
      <c r="FF538" s="23"/>
    </row>
    <row r="539" spans="2:164" ht="12" customHeight="1" x14ac:dyDescent="0.3">
      <c r="FA539" s="23"/>
      <c r="FB539" s="23"/>
      <c r="FC539" s="23"/>
      <c r="FD539" s="23"/>
      <c r="FE539" s="23"/>
      <c r="FF539" s="23"/>
    </row>
    <row r="540" spans="2:164" ht="12" customHeight="1" x14ac:dyDescent="0.3">
      <c r="FA540" s="23"/>
      <c r="FB540" s="23"/>
      <c r="FC540" s="23"/>
      <c r="FD540" s="23"/>
      <c r="FE540" s="23"/>
      <c r="FF540" s="23"/>
    </row>
    <row r="541" spans="2:164" ht="12" customHeight="1" x14ac:dyDescent="0.3">
      <c r="B541" s="24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X541" s="7"/>
      <c r="Y541" s="7"/>
      <c r="Z541" s="7"/>
      <c r="AA541" s="7"/>
      <c r="AB541" s="7"/>
      <c r="AC541" s="7"/>
      <c r="AD541" s="7"/>
      <c r="BP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FA541" s="23"/>
      <c r="FB541" s="23"/>
      <c r="FC541" s="23"/>
      <c r="FD541" s="23"/>
      <c r="FE541" s="23"/>
      <c r="FF541" s="23"/>
      <c r="FG541" s="23"/>
      <c r="FH541" s="23"/>
    </row>
    <row r="542" spans="2:164" ht="12" customHeight="1" x14ac:dyDescent="0.3">
      <c r="B542" s="24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X542" s="7"/>
      <c r="Y542" s="7"/>
      <c r="Z542" s="7"/>
      <c r="AA542" s="7"/>
      <c r="AB542" s="7"/>
      <c r="AC542" s="7"/>
      <c r="AD542" s="7"/>
      <c r="BP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FA542" s="23"/>
      <c r="FB542" s="23"/>
      <c r="FC542" s="23"/>
      <c r="FD542" s="23"/>
      <c r="FE542" s="23"/>
      <c r="FF542" s="23"/>
      <c r="FG542" s="23"/>
      <c r="FH542" s="23"/>
    </row>
    <row r="543" spans="2:164" ht="12" customHeight="1" x14ac:dyDescent="0.3">
      <c r="B543" s="24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X543" s="7"/>
      <c r="Y543" s="7"/>
      <c r="Z543" s="7"/>
      <c r="AA543" s="7"/>
      <c r="AB543" s="7"/>
      <c r="AC543" s="7"/>
      <c r="AD543" s="7"/>
      <c r="BP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FA543" s="23"/>
      <c r="FB543" s="23"/>
      <c r="FC543" s="23"/>
      <c r="FD543" s="23"/>
      <c r="FE543" s="23"/>
      <c r="FF543" s="23"/>
      <c r="FG543" s="23"/>
      <c r="FH543" s="23"/>
    </row>
    <row r="544" spans="2:164" ht="12" customHeight="1" x14ac:dyDescent="0.3">
      <c r="B544" s="24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X544" s="7"/>
      <c r="Y544" s="7"/>
      <c r="Z544" s="7"/>
      <c r="AA544" s="7"/>
      <c r="AB544" s="7"/>
      <c r="AC544" s="7"/>
      <c r="AD544" s="7"/>
      <c r="AE544" s="35"/>
      <c r="AF544" s="35"/>
      <c r="AG544" s="35"/>
      <c r="AH544" s="35"/>
      <c r="AI544" s="35"/>
      <c r="AJ544" s="35"/>
      <c r="AK544" s="42"/>
      <c r="AL544" s="42"/>
      <c r="AM544" s="42"/>
      <c r="AN544" s="42"/>
      <c r="AO544" s="42"/>
      <c r="AP544" s="42"/>
      <c r="AQ544" s="35"/>
      <c r="BP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FA544" s="23"/>
      <c r="FB544" s="23"/>
      <c r="FC544" s="23"/>
      <c r="FD544" s="23"/>
      <c r="FE544" s="23"/>
      <c r="FF544" s="23"/>
      <c r="FG544" s="23"/>
      <c r="FH544" s="23"/>
    </row>
    <row r="545" spans="2:164" ht="12" customHeight="1" x14ac:dyDescent="0.3">
      <c r="B545" s="24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X545" s="7"/>
      <c r="Y545" s="7"/>
      <c r="Z545" s="7"/>
      <c r="AA545" s="7"/>
      <c r="AB545" s="7"/>
      <c r="AC545" s="7"/>
      <c r="AD545" s="7"/>
      <c r="AE545" s="35"/>
      <c r="AF545" s="35"/>
      <c r="AG545" s="35"/>
      <c r="AH545" s="35"/>
      <c r="AI545" s="35"/>
      <c r="AJ545" s="35"/>
      <c r="AK545" s="42"/>
      <c r="AL545" s="42"/>
      <c r="AM545" s="42"/>
      <c r="AN545" s="42"/>
      <c r="AO545" s="42"/>
      <c r="AP545" s="42"/>
      <c r="AQ545" s="35"/>
      <c r="BP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FA545" s="23"/>
      <c r="FB545" s="23"/>
      <c r="FC545" s="23"/>
      <c r="FD545" s="23"/>
      <c r="FE545" s="23"/>
      <c r="FF545" s="23"/>
      <c r="FG545" s="23"/>
      <c r="FH545" s="23"/>
    </row>
    <row r="546" spans="2:164" ht="12" customHeight="1" x14ac:dyDescent="0.3">
      <c r="B546" s="24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X546" s="7"/>
      <c r="Y546" s="7"/>
      <c r="Z546" s="7"/>
      <c r="AA546" s="7"/>
      <c r="AB546" s="7"/>
      <c r="AC546" s="7"/>
      <c r="AD546" s="7"/>
      <c r="AE546" s="35"/>
      <c r="AF546" s="35"/>
      <c r="AG546" s="35"/>
      <c r="AH546" s="35"/>
      <c r="AI546" s="35"/>
      <c r="AJ546" s="35"/>
      <c r="AK546" s="42"/>
      <c r="AL546" s="42"/>
      <c r="AM546" s="42"/>
      <c r="AN546" s="42"/>
      <c r="AO546" s="42"/>
      <c r="AP546" s="42"/>
      <c r="AQ546" s="35"/>
      <c r="BP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FA546" s="23"/>
      <c r="FB546" s="23"/>
      <c r="FC546" s="23"/>
      <c r="FD546" s="23"/>
      <c r="FE546" s="23"/>
      <c r="FF546" s="23"/>
      <c r="FG546" s="23"/>
      <c r="FH546" s="23"/>
    </row>
    <row r="547" spans="2:164" ht="12" customHeight="1" x14ac:dyDescent="0.3">
      <c r="B547" s="24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X547" s="7"/>
      <c r="Y547" s="7"/>
      <c r="Z547" s="7"/>
      <c r="AA547" s="7"/>
      <c r="AB547" s="7"/>
      <c r="AC547" s="7"/>
      <c r="AD547" s="7"/>
      <c r="AE547" s="35"/>
      <c r="AF547" s="35"/>
      <c r="AG547" s="35"/>
      <c r="AH547" s="35"/>
      <c r="AI547" s="35"/>
      <c r="AJ547" s="35"/>
      <c r="AK547" s="42"/>
      <c r="AL547" s="42"/>
      <c r="AM547" s="42"/>
      <c r="AN547" s="42"/>
      <c r="AO547" s="42"/>
      <c r="AP547" s="42"/>
      <c r="AQ547" s="35"/>
      <c r="BP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FA547" s="23"/>
      <c r="FB547" s="23"/>
      <c r="FC547" s="23"/>
      <c r="FD547" s="23"/>
      <c r="FE547" s="23"/>
      <c r="FF547" s="23"/>
      <c r="FG547" s="23"/>
      <c r="FH547" s="23"/>
    </row>
    <row r="548" spans="2:164" ht="12" customHeight="1" x14ac:dyDescent="0.3">
      <c r="B548" s="24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X548" s="7"/>
      <c r="Y548" s="7"/>
      <c r="Z548" s="7"/>
      <c r="AA548" s="7"/>
      <c r="AB548" s="7"/>
      <c r="AC548" s="7"/>
      <c r="AD548" s="7"/>
      <c r="AE548" s="35"/>
      <c r="AF548" s="35"/>
      <c r="AG548" s="35"/>
      <c r="AH548" s="35"/>
      <c r="AI548" s="35"/>
      <c r="AJ548" s="35"/>
      <c r="AK548" s="42"/>
      <c r="AL548" s="42"/>
      <c r="AM548" s="42"/>
      <c r="AN548" s="42"/>
      <c r="AO548" s="42"/>
      <c r="AP548" s="42"/>
      <c r="AQ548" s="35"/>
      <c r="BP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FA548" s="23"/>
      <c r="FB548" s="23"/>
      <c r="FC548" s="23"/>
      <c r="FD548" s="23"/>
      <c r="FE548" s="23"/>
      <c r="FF548" s="23"/>
      <c r="FG548" s="23"/>
      <c r="FH548" s="23"/>
    </row>
    <row r="549" spans="2:164" ht="12" customHeight="1" x14ac:dyDescent="0.3">
      <c r="B549" s="24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X549" s="7"/>
      <c r="Y549" s="7"/>
      <c r="Z549" s="7"/>
      <c r="AA549" s="7"/>
      <c r="AB549" s="7"/>
      <c r="AC549" s="7"/>
      <c r="AD549" s="7"/>
      <c r="AE549" s="35"/>
      <c r="AF549" s="35"/>
      <c r="AG549" s="35"/>
      <c r="AH549" s="35"/>
      <c r="AI549" s="35"/>
      <c r="AJ549" s="35"/>
      <c r="AK549" s="42"/>
      <c r="AL549" s="42"/>
      <c r="AM549" s="42"/>
      <c r="AN549" s="42"/>
      <c r="AO549" s="42"/>
      <c r="AP549" s="42"/>
      <c r="AQ549" s="35"/>
      <c r="BP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FA549" s="23"/>
      <c r="FB549" s="23"/>
      <c r="FC549" s="23"/>
      <c r="FD549" s="23"/>
      <c r="FE549" s="23"/>
      <c r="FF549" s="23"/>
      <c r="FG549" s="23"/>
      <c r="FH549" s="23"/>
    </row>
    <row r="550" spans="2:164" ht="12" customHeight="1" x14ac:dyDescent="0.3">
      <c r="B550" s="24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X550" s="7"/>
      <c r="Y550" s="7"/>
      <c r="Z550" s="7"/>
      <c r="AA550" s="7"/>
      <c r="AB550" s="7"/>
      <c r="AC550" s="7"/>
      <c r="AD550" s="7"/>
      <c r="AE550" s="35"/>
      <c r="AF550" s="35"/>
      <c r="AG550" s="35"/>
      <c r="AH550" s="35"/>
      <c r="AI550" s="35"/>
      <c r="AJ550" s="35"/>
      <c r="AK550" s="42"/>
      <c r="AL550" s="42"/>
      <c r="AM550" s="42"/>
      <c r="AN550" s="42"/>
      <c r="AO550" s="42"/>
      <c r="AP550" s="42"/>
      <c r="AQ550" s="35"/>
      <c r="BP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FA550" s="23"/>
      <c r="FB550" s="23"/>
      <c r="FC550" s="23"/>
      <c r="FD550" s="23"/>
      <c r="FE550" s="23"/>
      <c r="FF550" s="23"/>
      <c r="FG550" s="23"/>
      <c r="FH550" s="23"/>
    </row>
    <row r="551" spans="2:164" ht="12" customHeight="1" x14ac:dyDescent="0.3">
      <c r="B551" s="24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X551" s="7"/>
      <c r="Y551" s="7"/>
      <c r="Z551" s="7"/>
      <c r="AA551" s="7"/>
      <c r="AB551" s="7"/>
      <c r="AC551" s="7"/>
      <c r="AD551" s="7"/>
      <c r="AE551" s="35"/>
      <c r="AF551" s="35"/>
      <c r="AG551" s="35"/>
      <c r="AH551" s="35"/>
      <c r="AI551" s="35"/>
      <c r="AJ551" s="35"/>
      <c r="AK551" s="42"/>
      <c r="AL551" s="42"/>
      <c r="AM551" s="42"/>
      <c r="AN551" s="42"/>
      <c r="AO551" s="42"/>
      <c r="AP551" s="42"/>
      <c r="AQ551" s="35"/>
      <c r="BP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FA551" s="23"/>
      <c r="FB551" s="23"/>
      <c r="FC551" s="23"/>
      <c r="FD551" s="23"/>
      <c r="FE551" s="23"/>
      <c r="FF551" s="23"/>
      <c r="FG551" s="23"/>
      <c r="FH551" s="23"/>
    </row>
    <row r="552" spans="2:164" ht="12" customHeight="1" x14ac:dyDescent="0.3">
      <c r="B552" s="24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X552" s="7"/>
      <c r="Y552" s="7"/>
      <c r="Z552" s="7"/>
      <c r="AA552" s="7"/>
      <c r="AB552" s="7"/>
      <c r="AC552" s="7"/>
      <c r="AD552" s="7"/>
      <c r="AE552" s="35"/>
      <c r="AF552" s="35"/>
      <c r="AG552" s="35"/>
      <c r="AH552" s="35"/>
      <c r="AI552" s="35"/>
      <c r="AJ552" s="35"/>
      <c r="AK552" s="42"/>
      <c r="AL552" s="42"/>
      <c r="AM552" s="42"/>
      <c r="AN552" s="42"/>
      <c r="AO552" s="42"/>
      <c r="AP552" s="42"/>
      <c r="AQ552" s="35"/>
      <c r="BP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FA552" s="23"/>
      <c r="FB552" s="23"/>
      <c r="FC552" s="23"/>
      <c r="FD552" s="23"/>
      <c r="FE552" s="23"/>
      <c r="FF552" s="23"/>
      <c r="FG552" s="23"/>
      <c r="FH552" s="23"/>
    </row>
    <row r="553" spans="2:164" ht="12" customHeight="1" x14ac:dyDescent="0.3">
      <c r="B553" s="24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X553" s="7"/>
      <c r="Y553" s="7"/>
      <c r="Z553" s="7"/>
      <c r="AA553" s="7"/>
      <c r="AB553" s="7"/>
      <c r="AC553" s="7"/>
      <c r="AD553" s="7"/>
      <c r="AE553" s="35"/>
      <c r="AF553" s="35"/>
      <c r="AG553" s="35"/>
      <c r="AH553" s="35"/>
      <c r="AI553" s="35"/>
      <c r="AJ553" s="35"/>
      <c r="AK553" s="42"/>
      <c r="AL553" s="42"/>
      <c r="AM553" s="42"/>
      <c r="AN553" s="42"/>
      <c r="AO553" s="42"/>
      <c r="AP553" s="42"/>
      <c r="AQ553" s="35"/>
      <c r="BP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FA553" s="23"/>
      <c r="FB553" s="23"/>
      <c r="FC553" s="23"/>
      <c r="FD553" s="23"/>
      <c r="FE553" s="23"/>
      <c r="FF553" s="23"/>
      <c r="FG553" s="23"/>
      <c r="FH553" s="23"/>
    </row>
    <row r="554" spans="2:164" ht="12" customHeight="1" x14ac:dyDescent="0.3">
      <c r="B554" s="24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X554" s="7"/>
      <c r="Y554" s="7"/>
      <c r="Z554" s="7"/>
      <c r="AA554" s="7"/>
      <c r="AB554" s="7"/>
      <c r="AC554" s="7"/>
      <c r="AD554" s="7"/>
      <c r="AE554" s="35"/>
      <c r="AF554" s="35"/>
      <c r="AG554" s="35"/>
      <c r="AH554" s="35"/>
      <c r="AI554" s="35"/>
      <c r="AJ554" s="35"/>
      <c r="AK554" s="42"/>
      <c r="AL554" s="42"/>
      <c r="AM554" s="42"/>
      <c r="AN554" s="42"/>
      <c r="AO554" s="42"/>
      <c r="AP554" s="42"/>
      <c r="AQ554" s="35"/>
      <c r="BP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FA554" s="23"/>
      <c r="FB554" s="23"/>
      <c r="FC554" s="23"/>
      <c r="FD554" s="23"/>
      <c r="FE554" s="23"/>
      <c r="FF554" s="23"/>
      <c r="FG554" s="23"/>
      <c r="FH554" s="23"/>
    </row>
    <row r="555" spans="2:164" ht="12" customHeight="1" x14ac:dyDescent="0.3">
      <c r="B555" s="24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X555" s="7"/>
      <c r="Y555" s="7"/>
      <c r="Z555" s="7"/>
      <c r="AA555" s="7"/>
      <c r="AB555" s="7"/>
      <c r="AC555" s="7"/>
      <c r="AD555" s="7"/>
      <c r="AE555" s="35"/>
      <c r="AF555" s="35"/>
      <c r="AG555" s="35"/>
      <c r="AH555" s="35"/>
      <c r="AI555" s="35"/>
      <c r="AJ555" s="35"/>
      <c r="AK555" s="42"/>
      <c r="AL555" s="42"/>
      <c r="AM555" s="42"/>
      <c r="AN555" s="42"/>
      <c r="AO555" s="42"/>
      <c r="AP555" s="42"/>
      <c r="AQ555" s="35"/>
      <c r="BP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FA555" s="23"/>
      <c r="FB555" s="23"/>
      <c r="FC555" s="23"/>
      <c r="FD555" s="23"/>
      <c r="FE555" s="23"/>
      <c r="FF555" s="23"/>
      <c r="FG555" s="23"/>
      <c r="FH555" s="23"/>
    </row>
    <row r="556" spans="2:164" ht="12" customHeight="1" x14ac:dyDescent="0.3">
      <c r="B556" s="24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X556" s="7"/>
      <c r="Y556" s="7"/>
      <c r="Z556" s="7"/>
      <c r="AA556" s="7"/>
      <c r="AB556" s="7"/>
      <c r="AC556" s="7"/>
      <c r="AD556" s="7"/>
      <c r="AE556" s="35"/>
      <c r="AF556" s="35"/>
      <c r="AG556" s="35"/>
      <c r="AH556" s="35"/>
      <c r="AI556" s="35"/>
      <c r="AJ556" s="35"/>
      <c r="AK556" s="42"/>
      <c r="AL556" s="42"/>
      <c r="AM556" s="42"/>
      <c r="AN556" s="42"/>
      <c r="AO556" s="42"/>
      <c r="AP556" s="42"/>
      <c r="AQ556" s="35"/>
      <c r="BP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FA556" s="23"/>
      <c r="FB556" s="23"/>
      <c r="FC556" s="23"/>
      <c r="FD556" s="23"/>
      <c r="FE556" s="23"/>
      <c r="FF556" s="23"/>
      <c r="FG556" s="23"/>
      <c r="FH556" s="23"/>
    </row>
    <row r="557" spans="2:164" ht="12" customHeight="1" x14ac:dyDescent="0.3">
      <c r="B557" s="24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X557" s="7"/>
      <c r="Y557" s="7"/>
      <c r="Z557" s="7"/>
      <c r="AA557" s="7"/>
      <c r="AB557" s="7"/>
      <c r="AC557" s="7"/>
      <c r="AD557" s="7"/>
      <c r="AE557" s="35"/>
      <c r="AF557" s="35"/>
      <c r="AG557" s="35"/>
      <c r="AH557" s="35"/>
      <c r="AI557" s="35"/>
      <c r="AJ557" s="35"/>
      <c r="AK557" s="42"/>
      <c r="AL557" s="42"/>
      <c r="AM557" s="42"/>
      <c r="AN557" s="42"/>
      <c r="AO557" s="42"/>
      <c r="AP557" s="42"/>
      <c r="AQ557" s="35"/>
      <c r="BP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FA557" s="23"/>
      <c r="FB557" s="23"/>
      <c r="FC557" s="23"/>
      <c r="FD557" s="23"/>
      <c r="FE557" s="23"/>
      <c r="FF557" s="23"/>
      <c r="FG557" s="23"/>
      <c r="FH557" s="23"/>
    </row>
    <row r="558" spans="2:164" ht="12" customHeight="1" x14ac:dyDescent="0.3">
      <c r="B558" s="24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X558" s="7"/>
      <c r="Y558" s="7"/>
      <c r="Z558" s="7"/>
      <c r="AA558" s="7"/>
      <c r="AB558" s="7"/>
      <c r="AC558" s="7"/>
      <c r="AD558" s="7"/>
      <c r="AE558" s="35"/>
      <c r="AF558" s="35"/>
      <c r="AG558" s="35"/>
      <c r="AH558" s="35"/>
      <c r="AI558" s="35"/>
      <c r="AJ558" s="35"/>
      <c r="AK558" s="42"/>
      <c r="AL558" s="42"/>
      <c r="AM558" s="42"/>
      <c r="AN558" s="42"/>
      <c r="AO558" s="42"/>
      <c r="AP558" s="42"/>
      <c r="AQ558" s="35"/>
      <c r="BP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FA558" s="23"/>
      <c r="FB558" s="23"/>
      <c r="FC558" s="23"/>
      <c r="FD558" s="23"/>
      <c r="FE558" s="23"/>
      <c r="FF558" s="23"/>
      <c r="FG558" s="23"/>
      <c r="FH558" s="23"/>
    </row>
    <row r="559" spans="2:164" ht="12" customHeight="1" x14ac:dyDescent="0.3">
      <c r="B559" s="24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X559" s="7"/>
      <c r="Y559" s="7"/>
      <c r="Z559" s="7"/>
      <c r="AA559" s="7"/>
      <c r="AB559" s="7"/>
      <c r="AC559" s="7"/>
      <c r="AD559" s="7"/>
      <c r="AE559" s="35"/>
      <c r="AF559" s="35"/>
      <c r="AG559" s="35"/>
      <c r="AH559" s="35"/>
      <c r="AI559" s="35"/>
      <c r="AJ559" s="35"/>
      <c r="AK559" s="42"/>
      <c r="AL559" s="42"/>
      <c r="AM559" s="42"/>
      <c r="AN559" s="42"/>
      <c r="AO559" s="42"/>
      <c r="AP559" s="42"/>
      <c r="AQ559" s="35"/>
      <c r="BP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FA559" s="23"/>
      <c r="FB559" s="23"/>
      <c r="FC559" s="23"/>
      <c r="FD559" s="23"/>
      <c r="FE559" s="23"/>
      <c r="FF559" s="23"/>
      <c r="FG559" s="23"/>
      <c r="FH559" s="23"/>
    </row>
    <row r="560" spans="2:164" ht="12" customHeight="1" x14ac:dyDescent="0.3">
      <c r="B560" s="24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X560" s="7"/>
      <c r="Y560" s="7"/>
      <c r="Z560" s="7"/>
      <c r="AA560" s="7"/>
      <c r="AB560" s="7"/>
      <c r="AC560" s="7"/>
      <c r="AD560" s="7"/>
      <c r="AE560" s="35"/>
      <c r="AF560" s="35"/>
      <c r="AG560" s="35"/>
      <c r="AH560" s="35"/>
      <c r="AI560" s="35"/>
      <c r="AJ560" s="35"/>
      <c r="AK560" s="42"/>
      <c r="AL560" s="42"/>
      <c r="AM560" s="42"/>
      <c r="AN560" s="42"/>
      <c r="AO560" s="42"/>
      <c r="AP560" s="42"/>
      <c r="AQ560" s="35"/>
      <c r="BP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FA560" s="23"/>
      <c r="FB560" s="23"/>
      <c r="FC560" s="23"/>
      <c r="FD560" s="23"/>
      <c r="FE560" s="23"/>
      <c r="FF560" s="23"/>
      <c r="FG560" s="23"/>
      <c r="FH560" s="23"/>
    </row>
    <row r="561" spans="2:164" ht="12" customHeight="1" x14ac:dyDescent="0.3">
      <c r="B561" s="24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X561" s="7"/>
      <c r="Y561" s="7"/>
      <c r="Z561" s="7"/>
      <c r="AA561" s="7"/>
      <c r="AB561" s="7"/>
      <c r="AC561" s="7"/>
      <c r="AD561" s="7"/>
      <c r="AE561" s="35"/>
      <c r="AF561" s="35"/>
      <c r="AG561" s="35"/>
      <c r="AH561" s="35"/>
      <c r="AI561" s="35"/>
      <c r="AJ561" s="35"/>
      <c r="AK561" s="42"/>
      <c r="AL561" s="42"/>
      <c r="AM561" s="42"/>
      <c r="AN561" s="42"/>
      <c r="AO561" s="42"/>
      <c r="AP561" s="42"/>
      <c r="AQ561" s="35"/>
      <c r="BP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FA561" s="23"/>
      <c r="FB561" s="23"/>
      <c r="FC561" s="23"/>
      <c r="FD561" s="23"/>
      <c r="FE561" s="23"/>
      <c r="FF561" s="23"/>
      <c r="FG561" s="23"/>
      <c r="FH561" s="23"/>
    </row>
    <row r="562" spans="2:164" ht="12" customHeight="1" x14ac:dyDescent="0.3">
      <c r="B562" s="24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X562" s="7"/>
      <c r="Y562" s="7"/>
      <c r="Z562" s="7"/>
      <c r="AA562" s="7"/>
      <c r="AB562" s="7"/>
      <c r="AC562" s="7"/>
      <c r="AD562" s="7"/>
      <c r="AE562" s="35"/>
      <c r="AF562" s="35"/>
      <c r="AG562" s="35"/>
      <c r="AH562" s="35"/>
      <c r="AI562" s="35"/>
      <c r="AJ562" s="35"/>
      <c r="AK562" s="42"/>
      <c r="AL562" s="42"/>
      <c r="AM562" s="42"/>
      <c r="AN562" s="42"/>
      <c r="AO562" s="42"/>
      <c r="AP562" s="42"/>
      <c r="AQ562" s="35"/>
      <c r="BP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FA562" s="23"/>
      <c r="FB562" s="23"/>
      <c r="FC562" s="23"/>
      <c r="FD562" s="23"/>
      <c r="FE562" s="23"/>
      <c r="FF562" s="23"/>
      <c r="FG562" s="23"/>
      <c r="FH562" s="23"/>
    </row>
    <row r="563" spans="2:164" ht="12" customHeight="1" x14ac:dyDescent="0.3">
      <c r="B563" s="24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X563" s="7"/>
      <c r="Y563" s="7"/>
      <c r="Z563" s="7"/>
      <c r="AA563" s="7"/>
      <c r="AB563" s="7"/>
      <c r="AC563" s="7"/>
      <c r="AD563" s="7"/>
      <c r="AE563" s="35"/>
      <c r="AF563" s="35"/>
      <c r="AG563" s="35"/>
      <c r="AH563" s="35"/>
      <c r="AI563" s="35"/>
      <c r="AJ563" s="35"/>
      <c r="AK563" s="42"/>
      <c r="AL563" s="42"/>
      <c r="AM563" s="42"/>
      <c r="AN563" s="42"/>
      <c r="AO563" s="42"/>
      <c r="AP563" s="42"/>
      <c r="AQ563" s="35"/>
      <c r="BP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FA563" s="23"/>
      <c r="FB563" s="23"/>
      <c r="FC563" s="23"/>
      <c r="FD563" s="23"/>
      <c r="FE563" s="23"/>
      <c r="FF563" s="23"/>
      <c r="FG563" s="23"/>
      <c r="FH563" s="23"/>
    </row>
    <row r="564" spans="2:164" ht="12" customHeight="1" x14ac:dyDescent="0.3">
      <c r="B564" s="24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X564" s="7"/>
      <c r="Y564" s="7"/>
      <c r="Z564" s="7"/>
      <c r="AA564" s="7"/>
      <c r="AB564" s="7"/>
      <c r="AC564" s="7"/>
      <c r="AD564" s="7"/>
      <c r="AE564" s="35"/>
      <c r="AF564" s="35"/>
      <c r="AG564" s="35"/>
      <c r="AH564" s="35"/>
      <c r="AI564" s="35"/>
      <c r="AJ564" s="35"/>
      <c r="AK564" s="42"/>
      <c r="AL564" s="42"/>
      <c r="AM564" s="42"/>
      <c r="AN564" s="42"/>
      <c r="AO564" s="42"/>
      <c r="AP564" s="42"/>
      <c r="AQ564" s="35"/>
      <c r="BP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FA564" s="23"/>
      <c r="FB564" s="23"/>
      <c r="FC564" s="23"/>
      <c r="FD564" s="23"/>
      <c r="FE564" s="23"/>
      <c r="FF564" s="23"/>
      <c r="FG564" s="23"/>
      <c r="FH564" s="23"/>
    </row>
    <row r="565" spans="2:164" ht="12" customHeight="1" x14ac:dyDescent="0.3">
      <c r="B565" s="24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X565" s="7"/>
      <c r="Y565" s="7"/>
      <c r="Z565" s="7"/>
      <c r="AA565" s="7"/>
      <c r="AB565" s="7"/>
      <c r="AC565" s="7"/>
      <c r="AD565" s="7"/>
      <c r="AE565" s="35"/>
      <c r="AF565" s="35"/>
      <c r="AG565" s="35"/>
      <c r="AH565" s="35"/>
      <c r="AI565" s="35"/>
      <c r="AJ565" s="35"/>
      <c r="AK565" s="42"/>
      <c r="AL565" s="42"/>
      <c r="AM565" s="42"/>
      <c r="AN565" s="42"/>
      <c r="AO565" s="42"/>
      <c r="AP565" s="42"/>
      <c r="AQ565" s="35"/>
      <c r="BP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FA565" s="23"/>
      <c r="FB565" s="23"/>
      <c r="FC565" s="23"/>
      <c r="FD565" s="23"/>
      <c r="FE565" s="23"/>
      <c r="FF565" s="23"/>
      <c r="FG565" s="23"/>
      <c r="FH565" s="23"/>
    </row>
    <row r="566" spans="2:164" ht="12" customHeight="1" x14ac:dyDescent="0.3">
      <c r="B566" s="24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X566" s="7"/>
      <c r="Y566" s="7"/>
      <c r="Z566" s="7"/>
      <c r="AA566" s="7"/>
      <c r="AB566" s="7"/>
      <c r="AC566" s="7"/>
      <c r="AD566" s="7"/>
      <c r="AE566" s="35"/>
      <c r="AF566" s="35"/>
      <c r="AG566" s="35"/>
      <c r="AH566" s="35"/>
      <c r="AI566" s="35"/>
      <c r="AJ566" s="35"/>
      <c r="AK566" s="42"/>
      <c r="AL566" s="42"/>
      <c r="AM566" s="42"/>
      <c r="AN566" s="42"/>
      <c r="AO566" s="42"/>
      <c r="AP566" s="42"/>
      <c r="AQ566" s="35"/>
      <c r="BP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FA566" s="23"/>
      <c r="FB566" s="23"/>
      <c r="FC566" s="23"/>
      <c r="FD566" s="23"/>
      <c r="FE566" s="23"/>
      <c r="FF566" s="23"/>
      <c r="FG566" s="23"/>
      <c r="FH566" s="23"/>
    </row>
    <row r="567" spans="2:164" ht="12" customHeight="1" x14ac:dyDescent="0.3">
      <c r="B567" s="24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X567" s="7"/>
      <c r="Y567" s="7"/>
      <c r="Z567" s="7"/>
      <c r="AA567" s="7"/>
      <c r="AB567" s="7"/>
      <c r="AC567" s="7"/>
      <c r="AD567" s="7"/>
      <c r="AE567" s="35"/>
      <c r="AF567" s="35"/>
      <c r="AG567" s="35"/>
      <c r="AH567" s="35"/>
      <c r="AI567" s="35"/>
      <c r="AJ567" s="35"/>
      <c r="AK567" s="42"/>
      <c r="AL567" s="42"/>
      <c r="AM567" s="42"/>
      <c r="AN567" s="42"/>
      <c r="AO567" s="42"/>
      <c r="AP567" s="42"/>
      <c r="AQ567" s="35"/>
      <c r="BP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FA567" s="23"/>
      <c r="FB567" s="23"/>
      <c r="FC567" s="23"/>
      <c r="FD567" s="23"/>
      <c r="FE567" s="23"/>
      <c r="FF567" s="23"/>
      <c r="FG567" s="23"/>
      <c r="FH567" s="23"/>
    </row>
    <row r="568" spans="2:164" ht="12" customHeight="1" x14ac:dyDescent="0.3">
      <c r="B568" s="24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X568" s="7"/>
      <c r="Y568" s="7"/>
      <c r="Z568" s="7"/>
      <c r="AA568" s="7"/>
      <c r="AB568" s="7"/>
      <c r="AC568" s="7"/>
      <c r="AD568" s="7"/>
      <c r="AE568" s="35"/>
      <c r="AF568" s="35"/>
      <c r="AG568" s="35"/>
      <c r="AH568" s="35"/>
      <c r="AI568" s="35"/>
      <c r="AJ568" s="35"/>
      <c r="AK568" s="42"/>
      <c r="AL568" s="42"/>
      <c r="AM568" s="42"/>
      <c r="AN568" s="42"/>
      <c r="AO568" s="42"/>
      <c r="AP568" s="42"/>
      <c r="AQ568" s="35"/>
      <c r="BP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FA568" s="23"/>
      <c r="FB568" s="23"/>
      <c r="FC568" s="23"/>
      <c r="FD568" s="23"/>
      <c r="FE568" s="23"/>
      <c r="FF568" s="23"/>
      <c r="FG568" s="23"/>
      <c r="FH568" s="23"/>
    </row>
    <row r="569" spans="2:164" ht="12" customHeight="1" x14ac:dyDescent="0.3">
      <c r="B569" s="24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X569" s="7"/>
      <c r="Y569" s="7"/>
      <c r="Z569" s="7"/>
      <c r="AA569" s="7"/>
      <c r="AB569" s="7"/>
      <c r="AC569" s="7"/>
      <c r="AD569" s="7"/>
      <c r="AE569" s="35"/>
      <c r="AF569" s="35"/>
      <c r="AG569" s="35"/>
      <c r="AH569" s="35"/>
      <c r="AI569" s="35"/>
      <c r="AJ569" s="35"/>
      <c r="AK569" s="42"/>
      <c r="AL569" s="42"/>
      <c r="AM569" s="42"/>
      <c r="AN569" s="42"/>
      <c r="AO569" s="42"/>
      <c r="AP569" s="42"/>
      <c r="AQ569" s="35"/>
      <c r="BP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FA569" s="23"/>
      <c r="FB569" s="23"/>
      <c r="FC569" s="23"/>
      <c r="FD569" s="23"/>
      <c r="FE569" s="23"/>
      <c r="FF569" s="23"/>
      <c r="FG569" s="23"/>
      <c r="FH569" s="23"/>
    </row>
    <row r="570" spans="2:164" ht="12" customHeight="1" x14ac:dyDescent="0.3">
      <c r="B570" s="24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X570" s="7"/>
      <c r="Y570" s="7"/>
      <c r="Z570" s="7"/>
      <c r="AA570" s="7"/>
      <c r="AB570" s="7"/>
      <c r="AC570" s="7"/>
      <c r="AD570" s="7"/>
      <c r="AE570" s="35"/>
      <c r="AF570" s="35"/>
      <c r="AG570" s="35"/>
      <c r="AH570" s="35"/>
      <c r="AI570" s="35"/>
      <c r="AJ570" s="35"/>
      <c r="AK570" s="42"/>
      <c r="AL570" s="42"/>
      <c r="AM570" s="42"/>
      <c r="AN570" s="42"/>
      <c r="AO570" s="42"/>
      <c r="AP570" s="42"/>
      <c r="AQ570" s="35"/>
      <c r="BP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FA570" s="23"/>
      <c r="FB570" s="23"/>
      <c r="FC570" s="23"/>
      <c r="FD570" s="23"/>
      <c r="FE570" s="23"/>
      <c r="FF570" s="23"/>
      <c r="FG570" s="23"/>
      <c r="FH570" s="23"/>
    </row>
    <row r="571" spans="2:164" ht="12" customHeight="1" x14ac:dyDescent="0.3">
      <c r="B571" s="24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X571" s="7"/>
      <c r="Y571" s="7"/>
      <c r="Z571" s="7"/>
      <c r="AA571" s="7"/>
      <c r="AB571" s="7"/>
      <c r="AC571" s="7"/>
      <c r="AD571" s="7"/>
      <c r="AE571" s="35"/>
      <c r="AF571" s="35"/>
      <c r="AG571" s="35"/>
      <c r="AH571" s="35"/>
      <c r="AI571" s="35"/>
      <c r="AJ571" s="35"/>
      <c r="AK571" s="42"/>
      <c r="AL571" s="42"/>
      <c r="AM571" s="42"/>
      <c r="AN571" s="42"/>
      <c r="AO571" s="42"/>
      <c r="AP571" s="42"/>
      <c r="AQ571" s="35"/>
      <c r="BP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FA571" s="23"/>
      <c r="FB571" s="23"/>
      <c r="FC571" s="23"/>
      <c r="FD571" s="23"/>
      <c r="FE571" s="23"/>
      <c r="FF571" s="23"/>
      <c r="FG571" s="23"/>
      <c r="FH571" s="23"/>
    </row>
    <row r="572" spans="2:164" ht="12" customHeight="1" x14ac:dyDescent="0.3">
      <c r="B572" s="24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X572" s="7"/>
      <c r="Y572" s="7"/>
      <c r="Z572" s="7"/>
      <c r="AA572" s="7"/>
      <c r="AB572" s="7"/>
      <c r="AC572" s="7"/>
      <c r="AD572" s="7"/>
      <c r="AE572" s="35"/>
      <c r="AF572" s="35"/>
      <c r="AG572" s="35"/>
      <c r="AH572" s="35"/>
      <c r="AI572" s="35"/>
      <c r="AJ572" s="35"/>
      <c r="AK572" s="42"/>
      <c r="AL572" s="42"/>
      <c r="AM572" s="42"/>
      <c r="AN572" s="42"/>
      <c r="AO572" s="42"/>
      <c r="AP572" s="42"/>
      <c r="AQ572" s="35"/>
      <c r="BP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FA572" s="23"/>
      <c r="FB572" s="23"/>
      <c r="FC572" s="23"/>
      <c r="FD572" s="23"/>
      <c r="FE572" s="23"/>
      <c r="FF572" s="23"/>
      <c r="FG572" s="23"/>
      <c r="FH572" s="23"/>
    </row>
    <row r="573" spans="2:164" ht="12" customHeight="1" x14ac:dyDescent="0.3">
      <c r="B573" s="24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X573" s="7"/>
      <c r="Y573" s="7"/>
      <c r="Z573" s="7"/>
      <c r="AA573" s="7"/>
      <c r="AB573" s="7"/>
      <c r="AC573" s="7"/>
      <c r="AD573" s="7"/>
      <c r="AE573" s="35"/>
      <c r="AF573" s="35"/>
      <c r="AG573" s="35"/>
      <c r="AH573" s="35"/>
      <c r="AI573" s="35"/>
      <c r="AJ573" s="35"/>
      <c r="AK573" s="42"/>
      <c r="AL573" s="42"/>
      <c r="AM573" s="42"/>
      <c r="AN573" s="42"/>
      <c r="AO573" s="42"/>
      <c r="AP573" s="42"/>
      <c r="AQ573" s="35"/>
      <c r="BP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FA573" s="23"/>
      <c r="FB573" s="23"/>
      <c r="FC573" s="23"/>
      <c r="FD573" s="23"/>
      <c r="FE573" s="23"/>
      <c r="FF573" s="23"/>
      <c r="FG573" s="23"/>
      <c r="FH573" s="23"/>
    </row>
    <row r="574" spans="2:164" ht="12" customHeight="1" x14ac:dyDescent="0.3">
      <c r="B574" s="24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X574" s="7"/>
      <c r="Y574" s="7"/>
      <c r="Z574" s="7"/>
      <c r="AA574" s="7"/>
      <c r="AB574" s="7"/>
      <c r="AC574" s="7"/>
      <c r="AD574" s="7"/>
      <c r="AE574" s="35"/>
      <c r="AF574" s="35"/>
      <c r="AG574" s="35"/>
      <c r="AH574" s="35"/>
      <c r="AI574" s="35"/>
      <c r="AJ574" s="35"/>
      <c r="AK574" s="42"/>
      <c r="AL574" s="42"/>
      <c r="AM574" s="42"/>
      <c r="AN574" s="42"/>
      <c r="AO574" s="42"/>
      <c r="AP574" s="42"/>
      <c r="AQ574" s="35"/>
      <c r="BP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FA574" s="23"/>
      <c r="FB574" s="23"/>
      <c r="FC574" s="23"/>
      <c r="FD574" s="23"/>
      <c r="FE574" s="23"/>
      <c r="FF574" s="23"/>
      <c r="FG574" s="23"/>
      <c r="FH574" s="23"/>
    </row>
    <row r="575" spans="2:164" ht="12" customHeight="1" x14ac:dyDescent="0.3">
      <c r="B575" s="24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X575" s="7"/>
      <c r="Y575" s="7"/>
      <c r="Z575" s="7"/>
      <c r="AA575" s="7"/>
      <c r="AB575" s="7"/>
      <c r="AC575" s="7"/>
      <c r="AD575" s="7"/>
      <c r="AE575" s="35"/>
      <c r="AF575" s="35"/>
      <c r="AG575" s="35"/>
      <c r="AH575" s="35"/>
      <c r="AI575" s="35"/>
      <c r="AJ575" s="35"/>
      <c r="AK575" s="42"/>
      <c r="AL575" s="42"/>
      <c r="AM575" s="42"/>
      <c r="AN575" s="42"/>
      <c r="AO575" s="42"/>
      <c r="AP575" s="42"/>
      <c r="AQ575" s="35"/>
      <c r="BP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FA575" s="23"/>
      <c r="FB575" s="23"/>
      <c r="FC575" s="23"/>
      <c r="FD575" s="23"/>
      <c r="FE575" s="23"/>
      <c r="FF575" s="23"/>
      <c r="FG575" s="23"/>
      <c r="FH575" s="23"/>
    </row>
    <row r="576" spans="2:164" ht="12" customHeight="1" x14ac:dyDescent="0.3">
      <c r="B576" s="24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X576" s="7"/>
      <c r="Y576" s="7"/>
      <c r="Z576" s="7"/>
      <c r="AA576" s="7"/>
      <c r="AB576" s="7"/>
      <c r="AC576" s="7"/>
      <c r="AD576" s="7"/>
      <c r="AE576" s="35"/>
      <c r="AF576" s="35"/>
      <c r="AG576" s="35"/>
      <c r="AH576" s="35"/>
      <c r="AI576" s="35"/>
      <c r="AJ576" s="35"/>
      <c r="AK576" s="42"/>
      <c r="AL576" s="42"/>
      <c r="AM576" s="42"/>
      <c r="AN576" s="42"/>
      <c r="AO576" s="42"/>
      <c r="AP576" s="42"/>
      <c r="AQ576" s="35"/>
      <c r="BP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FA576" s="23"/>
      <c r="FB576" s="23"/>
      <c r="FC576" s="23"/>
      <c r="FD576" s="23"/>
      <c r="FE576" s="23"/>
      <c r="FF576" s="23"/>
      <c r="FG576" s="23"/>
      <c r="FH576" s="23"/>
    </row>
    <row r="577" spans="2:164" ht="12" customHeight="1" x14ac:dyDescent="0.3">
      <c r="B577" s="24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X577" s="7"/>
      <c r="Y577" s="7"/>
      <c r="Z577" s="7"/>
      <c r="AA577" s="7"/>
      <c r="AB577" s="7"/>
      <c r="AC577" s="7"/>
      <c r="AD577" s="7"/>
      <c r="AE577" s="35"/>
      <c r="AF577" s="35"/>
      <c r="AG577" s="35"/>
      <c r="AH577" s="35"/>
      <c r="AI577" s="35"/>
      <c r="AJ577" s="35"/>
      <c r="AK577" s="42"/>
      <c r="AL577" s="42"/>
      <c r="AM577" s="42"/>
      <c r="AN577" s="42"/>
      <c r="AO577" s="42"/>
      <c r="AP577" s="42"/>
      <c r="AQ577" s="35"/>
      <c r="BP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FA577" s="23"/>
      <c r="FB577" s="23"/>
      <c r="FC577" s="23"/>
      <c r="FD577" s="23"/>
      <c r="FE577" s="23"/>
      <c r="FF577" s="23"/>
      <c r="FG577" s="23"/>
      <c r="FH577" s="23"/>
    </row>
    <row r="578" spans="2:164" ht="12" customHeight="1" x14ac:dyDescent="0.3">
      <c r="B578" s="24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X578" s="7"/>
      <c r="Y578" s="7"/>
      <c r="Z578" s="7"/>
      <c r="AA578" s="7"/>
      <c r="AB578" s="7"/>
      <c r="AC578" s="7"/>
      <c r="AD578" s="7"/>
      <c r="AE578" s="35"/>
      <c r="AF578" s="35"/>
      <c r="AG578" s="35"/>
      <c r="AH578" s="35"/>
      <c r="AI578" s="35"/>
      <c r="AJ578" s="35"/>
      <c r="AK578" s="42"/>
      <c r="AL578" s="42"/>
      <c r="AM578" s="42"/>
      <c r="AN578" s="42"/>
      <c r="AO578" s="42"/>
      <c r="AP578" s="42"/>
      <c r="AQ578" s="35"/>
      <c r="BP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FA578" s="23"/>
      <c r="FB578" s="23"/>
      <c r="FC578" s="23"/>
      <c r="FD578" s="23"/>
      <c r="FE578" s="23"/>
      <c r="FF578" s="23"/>
      <c r="FG578" s="23"/>
      <c r="FH578" s="23"/>
    </row>
    <row r="579" spans="2:164" ht="12" customHeight="1" x14ac:dyDescent="0.3">
      <c r="B579" s="24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X579" s="7"/>
      <c r="Y579" s="7"/>
      <c r="Z579" s="7"/>
      <c r="AA579" s="7"/>
      <c r="AB579" s="7"/>
      <c r="AC579" s="7"/>
      <c r="AD579" s="7"/>
      <c r="AE579" s="35"/>
      <c r="AF579" s="35"/>
      <c r="AG579" s="35"/>
      <c r="AH579" s="35"/>
      <c r="AI579" s="35"/>
      <c r="AJ579" s="35"/>
      <c r="AK579" s="42"/>
      <c r="AL579" s="42"/>
      <c r="AM579" s="42"/>
      <c r="AN579" s="42"/>
      <c r="AO579" s="42"/>
      <c r="AP579" s="42"/>
      <c r="AQ579" s="35"/>
      <c r="BP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FA579" s="23"/>
      <c r="FB579" s="23"/>
      <c r="FC579" s="23"/>
      <c r="FD579" s="23"/>
      <c r="FE579" s="23"/>
      <c r="FF579" s="23"/>
      <c r="FG579" s="23"/>
      <c r="FH579" s="23"/>
    </row>
    <row r="580" spans="2:164" ht="12" customHeight="1" x14ac:dyDescent="0.3">
      <c r="B580" s="24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X580" s="7"/>
      <c r="Y580" s="7"/>
      <c r="Z580" s="7"/>
      <c r="AA580" s="7"/>
      <c r="AB580" s="7"/>
      <c r="AC580" s="7"/>
      <c r="AD580" s="7"/>
      <c r="AE580" s="35"/>
      <c r="AF580" s="35"/>
      <c r="AG580" s="35"/>
      <c r="AH580" s="35"/>
      <c r="AI580" s="35"/>
      <c r="AJ580" s="35"/>
      <c r="AK580" s="42"/>
      <c r="AL580" s="42"/>
      <c r="AM580" s="42"/>
      <c r="AN580" s="42"/>
      <c r="AO580" s="42"/>
      <c r="AP580" s="42"/>
      <c r="AQ580" s="35"/>
      <c r="BP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FA580" s="23"/>
      <c r="FB580" s="23"/>
      <c r="FC580" s="23"/>
      <c r="FD580" s="23"/>
      <c r="FE580" s="23"/>
      <c r="FF580" s="23"/>
      <c r="FG580" s="23"/>
      <c r="FH580" s="23"/>
    </row>
    <row r="581" spans="2:164" ht="12" customHeight="1" x14ac:dyDescent="0.3">
      <c r="B581" s="24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X581" s="7"/>
      <c r="Y581" s="7"/>
      <c r="Z581" s="7"/>
      <c r="AA581" s="7"/>
      <c r="AB581" s="7"/>
      <c r="AC581" s="7"/>
      <c r="AD581" s="7"/>
      <c r="AE581" s="35"/>
      <c r="AF581" s="35"/>
      <c r="AG581" s="35"/>
      <c r="AH581" s="35"/>
      <c r="AI581" s="35"/>
      <c r="AJ581" s="35"/>
      <c r="AK581" s="42"/>
      <c r="AL581" s="42"/>
      <c r="AM581" s="42"/>
      <c r="AN581" s="42"/>
      <c r="AO581" s="42"/>
      <c r="AP581" s="42"/>
      <c r="AQ581" s="35"/>
      <c r="BP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FA581" s="23"/>
      <c r="FB581" s="23"/>
      <c r="FC581" s="23"/>
      <c r="FD581" s="23"/>
      <c r="FE581" s="23"/>
      <c r="FF581" s="23"/>
      <c r="FG581" s="23"/>
      <c r="FH581" s="23"/>
    </row>
    <row r="582" spans="2:164" ht="12" customHeight="1" x14ac:dyDescent="0.3">
      <c r="B582" s="24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X582" s="7"/>
      <c r="Y582" s="7"/>
      <c r="Z582" s="7"/>
      <c r="AA582" s="7"/>
      <c r="AB582" s="7"/>
      <c r="AC582" s="7"/>
      <c r="AD582" s="7"/>
      <c r="AE582" s="35"/>
      <c r="AF582" s="35"/>
      <c r="AG582" s="35"/>
      <c r="AH582" s="35"/>
      <c r="AI582" s="35"/>
      <c r="AJ582" s="35"/>
      <c r="AK582" s="42"/>
      <c r="AL582" s="42"/>
      <c r="AM582" s="42"/>
      <c r="AN582" s="42"/>
      <c r="AO582" s="42"/>
      <c r="AP582" s="42"/>
      <c r="AQ582" s="35"/>
      <c r="BP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FA582" s="23"/>
      <c r="FB582" s="23"/>
      <c r="FC582" s="23"/>
      <c r="FD582" s="23"/>
      <c r="FE582" s="23"/>
      <c r="FF582" s="23"/>
      <c r="FG582" s="23"/>
      <c r="FH582" s="23"/>
    </row>
    <row r="583" spans="2:164" ht="12" customHeight="1" x14ac:dyDescent="0.3">
      <c r="B583" s="24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X583" s="7"/>
      <c r="Y583" s="7"/>
      <c r="Z583" s="7"/>
      <c r="AA583" s="7"/>
      <c r="AB583" s="7"/>
      <c r="AC583" s="7"/>
      <c r="AD583" s="7"/>
      <c r="AE583" s="35"/>
      <c r="AF583" s="35"/>
      <c r="AG583" s="35"/>
      <c r="AH583" s="35"/>
      <c r="AI583" s="35"/>
      <c r="AJ583" s="35"/>
      <c r="AK583" s="42"/>
      <c r="AL583" s="42"/>
      <c r="AM583" s="42"/>
      <c r="AN583" s="42"/>
      <c r="AO583" s="42"/>
      <c r="AP583" s="42"/>
      <c r="AQ583" s="35"/>
      <c r="BP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FA583" s="23"/>
      <c r="FB583" s="23"/>
      <c r="FC583" s="23"/>
      <c r="FD583" s="23"/>
      <c r="FE583" s="23"/>
      <c r="FF583" s="23"/>
      <c r="FG583" s="23"/>
      <c r="FH583" s="23"/>
    </row>
    <row r="584" spans="2:164" ht="12" customHeight="1" x14ac:dyDescent="0.3">
      <c r="B584" s="24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X584" s="7"/>
      <c r="Y584" s="7"/>
      <c r="Z584" s="7"/>
      <c r="AA584" s="7"/>
      <c r="AB584" s="7"/>
      <c r="AC584" s="7"/>
      <c r="AD584" s="7"/>
      <c r="AE584" s="35"/>
      <c r="AF584" s="35"/>
      <c r="AG584" s="35"/>
      <c r="AH584" s="35"/>
      <c r="AI584" s="35"/>
      <c r="AJ584" s="35"/>
      <c r="AK584" s="42"/>
      <c r="AL584" s="42"/>
      <c r="AM584" s="42"/>
      <c r="AN584" s="42"/>
      <c r="AO584" s="42"/>
      <c r="AP584" s="42"/>
      <c r="AQ584" s="35"/>
      <c r="BP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FA584" s="23"/>
      <c r="FB584" s="23"/>
      <c r="FC584" s="23"/>
      <c r="FD584" s="23"/>
      <c r="FE584" s="23"/>
      <c r="FF584" s="23"/>
      <c r="FG584" s="23"/>
      <c r="FH584" s="23"/>
    </row>
    <row r="585" spans="2:164" ht="12" customHeight="1" x14ac:dyDescent="0.3">
      <c r="B585" s="24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X585" s="7"/>
      <c r="Y585" s="7"/>
      <c r="Z585" s="7"/>
      <c r="AA585" s="7"/>
      <c r="AB585" s="7"/>
      <c r="AC585" s="7"/>
      <c r="AD585" s="7"/>
      <c r="AE585" s="35"/>
      <c r="AF585" s="35"/>
      <c r="AG585" s="35"/>
      <c r="AH585" s="35"/>
      <c r="AI585" s="35"/>
      <c r="AJ585" s="35"/>
      <c r="AK585" s="42"/>
      <c r="AL585" s="42"/>
      <c r="AM585" s="42"/>
      <c r="AN585" s="42"/>
      <c r="AO585" s="42"/>
      <c r="AP585" s="42"/>
      <c r="AQ585" s="35"/>
      <c r="BP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FA585" s="23"/>
      <c r="FB585" s="23"/>
      <c r="FC585" s="23"/>
      <c r="FD585" s="23"/>
      <c r="FE585" s="23"/>
      <c r="FF585" s="23"/>
      <c r="FG585" s="23"/>
      <c r="FH585" s="23"/>
    </row>
    <row r="586" spans="2:164" ht="12" customHeight="1" x14ac:dyDescent="0.3">
      <c r="B586" s="24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X586" s="7"/>
      <c r="Y586" s="7"/>
      <c r="Z586" s="7"/>
      <c r="AA586" s="7"/>
      <c r="AB586" s="7"/>
      <c r="AC586" s="7"/>
      <c r="AD586" s="7"/>
      <c r="AE586" s="35"/>
      <c r="AF586" s="35"/>
      <c r="AG586" s="35"/>
      <c r="AH586" s="35"/>
      <c r="AI586" s="35"/>
      <c r="AJ586" s="35"/>
      <c r="AK586" s="42"/>
      <c r="AL586" s="42"/>
      <c r="AM586" s="42"/>
      <c r="AN586" s="42"/>
      <c r="AO586" s="42"/>
      <c r="AP586" s="42"/>
      <c r="AQ586" s="35"/>
      <c r="BP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FA586" s="23"/>
      <c r="FB586" s="23"/>
      <c r="FC586" s="23"/>
      <c r="FD586" s="23"/>
      <c r="FE586" s="23"/>
      <c r="FF586" s="23"/>
      <c r="FG586" s="23"/>
      <c r="FH586" s="23"/>
    </row>
    <row r="587" spans="2:164" ht="12" customHeight="1" x14ac:dyDescent="0.3">
      <c r="B587" s="24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X587" s="7"/>
      <c r="Y587" s="7"/>
      <c r="Z587" s="7"/>
      <c r="AA587" s="7"/>
      <c r="AB587" s="7"/>
      <c r="AC587" s="7"/>
      <c r="AD587" s="7"/>
      <c r="AE587" s="35"/>
      <c r="AF587" s="35"/>
      <c r="AG587" s="35"/>
      <c r="AH587" s="35"/>
      <c r="AI587" s="35"/>
      <c r="AJ587" s="35"/>
      <c r="AK587" s="42"/>
      <c r="AL587" s="42"/>
      <c r="AM587" s="42"/>
      <c r="AN587" s="42"/>
      <c r="AO587" s="42"/>
      <c r="AP587" s="42"/>
      <c r="AQ587" s="35"/>
      <c r="BP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FA587" s="23"/>
      <c r="FB587" s="23"/>
      <c r="FC587" s="23"/>
      <c r="FD587" s="23"/>
      <c r="FE587" s="23"/>
      <c r="FF587" s="23"/>
      <c r="FG587" s="23"/>
      <c r="FH587" s="23"/>
    </row>
    <row r="588" spans="2:164" ht="12" customHeight="1" x14ac:dyDescent="0.3">
      <c r="B588" s="24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X588" s="7"/>
      <c r="Y588" s="7"/>
      <c r="Z588" s="7"/>
      <c r="AA588" s="7"/>
      <c r="AB588" s="7"/>
      <c r="AC588" s="7"/>
      <c r="AD588" s="7"/>
      <c r="AE588" s="35"/>
      <c r="AF588" s="35"/>
      <c r="AG588" s="35"/>
      <c r="AH588" s="35"/>
      <c r="AI588" s="35"/>
      <c r="AJ588" s="35"/>
      <c r="AK588" s="42"/>
      <c r="AL588" s="42"/>
      <c r="AM588" s="42"/>
      <c r="AN588" s="42"/>
      <c r="AO588" s="42"/>
      <c r="AP588" s="42"/>
      <c r="AQ588" s="35"/>
      <c r="BP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FA588" s="23"/>
      <c r="FB588" s="23"/>
      <c r="FC588" s="23"/>
      <c r="FD588" s="23"/>
      <c r="FE588" s="23"/>
      <c r="FF588" s="23"/>
      <c r="FG588" s="23"/>
      <c r="FH588" s="23"/>
    </row>
    <row r="589" spans="2:164" ht="12" customHeight="1" x14ac:dyDescent="0.3">
      <c r="B589" s="24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X589" s="7"/>
      <c r="Y589" s="7"/>
      <c r="Z589" s="7"/>
      <c r="AA589" s="7"/>
      <c r="AB589" s="7"/>
      <c r="AC589" s="7"/>
      <c r="AD589" s="7"/>
      <c r="AE589" s="35"/>
      <c r="AF589" s="35"/>
      <c r="AG589" s="35"/>
      <c r="AH589" s="35"/>
      <c r="AI589" s="35"/>
      <c r="AJ589" s="35"/>
      <c r="AK589" s="42"/>
      <c r="AL589" s="42"/>
      <c r="AM589" s="42"/>
      <c r="AN589" s="42"/>
      <c r="AO589" s="42"/>
      <c r="AP589" s="42"/>
      <c r="AQ589" s="35"/>
      <c r="BP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FA589" s="23"/>
      <c r="FB589" s="23"/>
      <c r="FC589" s="23"/>
      <c r="FD589" s="23"/>
      <c r="FE589" s="23"/>
      <c r="FF589" s="23"/>
      <c r="FG589" s="23"/>
      <c r="FH589" s="23"/>
    </row>
    <row r="590" spans="2:164" ht="12" customHeight="1" x14ac:dyDescent="0.3">
      <c r="B590" s="24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X590" s="7"/>
      <c r="Y590" s="7"/>
      <c r="Z590" s="7"/>
      <c r="AA590" s="7"/>
      <c r="AB590" s="7"/>
      <c r="AC590" s="7"/>
      <c r="AD590" s="7"/>
      <c r="AE590" s="35"/>
      <c r="AF590" s="35"/>
      <c r="AG590" s="35"/>
      <c r="AH590" s="35"/>
      <c r="AI590" s="35"/>
      <c r="AJ590" s="35"/>
      <c r="AK590" s="42"/>
      <c r="AL590" s="42"/>
      <c r="AM590" s="42"/>
      <c r="AN590" s="42"/>
      <c r="AO590" s="42"/>
      <c r="AP590" s="42"/>
      <c r="AQ590" s="35"/>
      <c r="BP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FA590" s="23"/>
      <c r="FB590" s="23"/>
      <c r="FC590" s="23"/>
      <c r="FD590" s="23"/>
      <c r="FE590" s="23"/>
      <c r="FF590" s="23"/>
      <c r="FG590" s="23"/>
      <c r="FH590" s="23"/>
    </row>
    <row r="591" spans="2:164" ht="12" customHeight="1" x14ac:dyDescent="0.3">
      <c r="B591" s="24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X591" s="7"/>
      <c r="Y591" s="7"/>
      <c r="Z591" s="7"/>
      <c r="AA591" s="7"/>
      <c r="AB591" s="7"/>
      <c r="AC591" s="7"/>
      <c r="AD591" s="7"/>
      <c r="AE591" s="35"/>
      <c r="AF591" s="35"/>
      <c r="AG591" s="35"/>
      <c r="AH591" s="35"/>
      <c r="AI591" s="35"/>
      <c r="AJ591" s="35"/>
      <c r="AK591" s="42"/>
      <c r="AL591" s="42"/>
      <c r="AM591" s="42"/>
      <c r="AN591" s="42"/>
      <c r="AO591" s="42"/>
      <c r="AP591" s="42"/>
      <c r="AQ591" s="35"/>
      <c r="BP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FA591" s="23"/>
      <c r="FB591" s="23"/>
      <c r="FC591" s="23"/>
      <c r="FD591" s="23"/>
      <c r="FE591" s="23"/>
      <c r="FF591" s="23"/>
      <c r="FG591" s="23"/>
      <c r="FH591" s="23"/>
    </row>
    <row r="592" spans="2:164" ht="12" customHeight="1" x14ac:dyDescent="0.3">
      <c r="B592" s="24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X592" s="7"/>
      <c r="Y592" s="7"/>
      <c r="Z592" s="7"/>
      <c r="AA592" s="7"/>
      <c r="AB592" s="7"/>
      <c r="AC592" s="7"/>
      <c r="AD592" s="7"/>
      <c r="AE592" s="35"/>
      <c r="AF592" s="35"/>
      <c r="AG592" s="35"/>
      <c r="AH592" s="35"/>
      <c r="AI592" s="35"/>
      <c r="AJ592" s="35"/>
      <c r="AK592" s="42"/>
      <c r="AL592" s="42"/>
      <c r="AM592" s="42"/>
      <c r="AN592" s="42"/>
      <c r="AO592" s="42"/>
      <c r="AP592" s="42"/>
      <c r="AQ592" s="35"/>
      <c r="BP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FA592" s="23"/>
      <c r="FB592" s="23"/>
      <c r="FC592" s="23"/>
      <c r="FD592" s="23"/>
      <c r="FE592" s="23"/>
      <c r="FF592" s="23"/>
      <c r="FG592" s="23"/>
      <c r="FH592" s="23"/>
    </row>
    <row r="593" spans="2:164" ht="12" customHeight="1" x14ac:dyDescent="0.3">
      <c r="B593" s="24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X593" s="7"/>
      <c r="Y593" s="7"/>
      <c r="Z593" s="7"/>
      <c r="AA593" s="7"/>
      <c r="AB593" s="7"/>
      <c r="AC593" s="7"/>
      <c r="AD593" s="7"/>
      <c r="AE593" s="35"/>
      <c r="AF593" s="35"/>
      <c r="AG593" s="35"/>
      <c r="AH593" s="35"/>
      <c r="AI593" s="35"/>
      <c r="AJ593" s="35"/>
      <c r="AK593" s="42"/>
      <c r="AL593" s="42"/>
      <c r="AM593" s="42"/>
      <c r="AN593" s="42"/>
      <c r="AO593" s="42"/>
      <c r="AP593" s="42"/>
      <c r="AQ593" s="35"/>
      <c r="BP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FA593" s="23"/>
      <c r="FB593" s="23"/>
      <c r="FC593" s="23"/>
      <c r="FD593" s="23"/>
      <c r="FE593" s="23"/>
      <c r="FF593" s="23"/>
      <c r="FG593" s="23"/>
      <c r="FH593" s="23"/>
    </row>
    <row r="594" spans="2:164" ht="12" customHeight="1" x14ac:dyDescent="0.3">
      <c r="B594" s="24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X594" s="7"/>
      <c r="Y594" s="7"/>
      <c r="Z594" s="7"/>
      <c r="AA594" s="7"/>
      <c r="AB594" s="7"/>
      <c r="AC594" s="7"/>
      <c r="AD594" s="7"/>
      <c r="AE594" s="35"/>
      <c r="AF594" s="35"/>
      <c r="AG594" s="35"/>
      <c r="AH594" s="35"/>
      <c r="AI594" s="35"/>
      <c r="AJ594" s="35"/>
      <c r="AK594" s="42"/>
      <c r="AL594" s="42"/>
      <c r="AM594" s="42"/>
      <c r="AN594" s="42"/>
      <c r="AO594" s="42"/>
      <c r="AP594" s="42"/>
      <c r="AQ594" s="35"/>
      <c r="BP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FA594" s="23"/>
      <c r="FB594" s="23"/>
      <c r="FC594" s="23"/>
      <c r="FD594" s="23"/>
      <c r="FE594" s="23"/>
      <c r="FF594" s="23"/>
      <c r="FG594" s="23"/>
      <c r="FH594" s="23"/>
    </row>
    <row r="595" spans="2:164" ht="12" customHeight="1" x14ac:dyDescent="0.3">
      <c r="B595" s="24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X595" s="7"/>
      <c r="Y595" s="7"/>
      <c r="Z595" s="7"/>
      <c r="AA595" s="7"/>
      <c r="AB595" s="7"/>
      <c r="AC595" s="7"/>
      <c r="AD595" s="7"/>
      <c r="AE595" s="35"/>
      <c r="AF595" s="35"/>
      <c r="AG595" s="35"/>
      <c r="AH595" s="35"/>
      <c r="AI595" s="35"/>
      <c r="AJ595" s="35"/>
      <c r="AK595" s="42"/>
      <c r="AL595" s="42"/>
      <c r="AM595" s="42"/>
      <c r="AN595" s="42"/>
      <c r="AO595" s="42"/>
      <c r="AP595" s="42"/>
      <c r="AQ595" s="35"/>
      <c r="BP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FA595" s="23"/>
      <c r="FB595" s="23"/>
      <c r="FC595" s="23"/>
      <c r="FD595" s="23"/>
      <c r="FE595" s="23"/>
      <c r="FF595" s="23"/>
      <c r="FG595" s="23"/>
      <c r="FH595" s="23"/>
    </row>
    <row r="596" spans="2:164" ht="12" customHeight="1" x14ac:dyDescent="0.3">
      <c r="B596" s="24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X596" s="7"/>
      <c r="Y596" s="7"/>
      <c r="Z596" s="7"/>
      <c r="AA596" s="7"/>
      <c r="AB596" s="7"/>
      <c r="AC596" s="7"/>
      <c r="AD596" s="7"/>
      <c r="AE596" s="35"/>
      <c r="AF596" s="35"/>
      <c r="AG596" s="35"/>
      <c r="AH596" s="35"/>
      <c r="AI596" s="35"/>
      <c r="AJ596" s="35"/>
      <c r="AK596" s="42"/>
      <c r="AL596" s="42"/>
      <c r="AM596" s="42"/>
      <c r="AN596" s="42"/>
      <c r="AO596" s="42"/>
      <c r="AP596" s="42"/>
      <c r="AQ596" s="35"/>
      <c r="BP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FA596" s="23"/>
      <c r="FB596" s="23"/>
      <c r="FC596" s="23"/>
      <c r="FD596" s="23"/>
      <c r="FE596" s="23"/>
      <c r="FF596" s="23"/>
      <c r="FG596" s="23"/>
      <c r="FH596" s="23"/>
    </row>
    <row r="597" spans="2:164" ht="12" customHeight="1" x14ac:dyDescent="0.3">
      <c r="B597" s="24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X597" s="7"/>
      <c r="Y597" s="7"/>
      <c r="Z597" s="7"/>
      <c r="AA597" s="7"/>
      <c r="AB597" s="7"/>
      <c r="AC597" s="7"/>
      <c r="AD597" s="7"/>
      <c r="AE597" s="35"/>
      <c r="AF597" s="35"/>
      <c r="AG597" s="35"/>
      <c r="AH597" s="35"/>
      <c r="AI597" s="35"/>
      <c r="AJ597" s="35"/>
      <c r="AK597" s="42"/>
      <c r="AL597" s="42"/>
      <c r="AM597" s="42"/>
      <c r="AN597" s="42"/>
      <c r="AO597" s="42"/>
      <c r="AP597" s="42"/>
      <c r="AQ597" s="35"/>
      <c r="BP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FA597" s="23"/>
      <c r="FB597" s="23"/>
      <c r="FC597" s="23"/>
      <c r="FD597" s="23"/>
      <c r="FE597" s="23"/>
      <c r="FF597" s="23"/>
      <c r="FG597" s="23"/>
      <c r="FH597" s="23"/>
    </row>
    <row r="598" spans="2:164" ht="12" customHeight="1" x14ac:dyDescent="0.3">
      <c r="B598" s="24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X598" s="7"/>
      <c r="Y598" s="7"/>
      <c r="Z598" s="7"/>
      <c r="AA598" s="7"/>
      <c r="AB598" s="7"/>
      <c r="AC598" s="7"/>
      <c r="AD598" s="7"/>
      <c r="AE598" s="35"/>
      <c r="AF598" s="35"/>
      <c r="AG598" s="35"/>
      <c r="AH598" s="35"/>
      <c r="AI598" s="35"/>
      <c r="AJ598" s="35"/>
      <c r="AK598" s="42"/>
      <c r="AL598" s="42"/>
      <c r="AM598" s="42"/>
      <c r="AN598" s="42"/>
      <c r="AO598" s="42"/>
      <c r="AP598" s="42"/>
      <c r="AQ598" s="35"/>
      <c r="BP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FA598" s="23"/>
      <c r="FB598" s="23"/>
      <c r="FC598" s="23"/>
      <c r="FD598" s="23"/>
      <c r="FE598" s="23"/>
      <c r="FF598" s="23"/>
      <c r="FG598" s="23"/>
      <c r="FH598" s="23"/>
    </row>
    <row r="599" spans="2:164" ht="12" customHeight="1" x14ac:dyDescent="0.3">
      <c r="B599" s="24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X599" s="7"/>
      <c r="Y599" s="7"/>
      <c r="Z599" s="7"/>
      <c r="AA599" s="7"/>
      <c r="AB599" s="7"/>
      <c r="AC599" s="7"/>
      <c r="AD599" s="7"/>
      <c r="AE599" s="35"/>
      <c r="AF599" s="35"/>
      <c r="AG599" s="35"/>
      <c r="AH599" s="35"/>
      <c r="AI599" s="35"/>
      <c r="AJ599" s="35"/>
      <c r="AK599" s="42"/>
      <c r="AL599" s="42"/>
      <c r="AM599" s="42"/>
      <c r="AN599" s="42"/>
      <c r="AO599" s="42"/>
      <c r="AP599" s="42"/>
      <c r="AQ599" s="35"/>
      <c r="BP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FA599" s="23"/>
      <c r="FB599" s="23"/>
      <c r="FC599" s="23"/>
      <c r="FD599" s="23"/>
      <c r="FE599" s="23"/>
      <c r="FF599" s="23"/>
      <c r="FG599" s="23"/>
      <c r="FH599" s="23"/>
    </row>
    <row r="600" spans="2:164" ht="12" customHeight="1" x14ac:dyDescent="0.3">
      <c r="B600" s="24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X600" s="7"/>
      <c r="Y600" s="7"/>
      <c r="Z600" s="7"/>
      <c r="AA600" s="7"/>
      <c r="AB600" s="7"/>
      <c r="AC600" s="7"/>
      <c r="AD600" s="7"/>
      <c r="AE600" s="35"/>
      <c r="AF600" s="35"/>
      <c r="AG600" s="35"/>
      <c r="AH600" s="35"/>
      <c r="AI600" s="35"/>
      <c r="AJ600" s="35"/>
      <c r="AK600" s="42"/>
      <c r="AL600" s="42"/>
      <c r="AM600" s="42"/>
      <c r="AN600" s="42"/>
      <c r="AO600" s="42"/>
      <c r="AP600" s="42"/>
      <c r="AQ600" s="35"/>
      <c r="BP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FA600" s="23"/>
      <c r="FB600" s="23"/>
      <c r="FC600" s="23"/>
      <c r="FD600" s="23"/>
      <c r="FE600" s="23"/>
      <c r="FF600" s="23"/>
      <c r="FG600" s="23"/>
      <c r="FH600" s="23"/>
    </row>
    <row r="601" spans="2:164" ht="12" customHeight="1" x14ac:dyDescent="0.3">
      <c r="B601" s="24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X601" s="7"/>
      <c r="Y601" s="7"/>
      <c r="Z601" s="7"/>
      <c r="AA601" s="7"/>
      <c r="AB601" s="7"/>
      <c r="AC601" s="7"/>
      <c r="AD601" s="7"/>
      <c r="AE601" s="35"/>
      <c r="AF601" s="35"/>
      <c r="AG601" s="35"/>
      <c r="AH601" s="35"/>
      <c r="AI601" s="35"/>
      <c r="AJ601" s="35"/>
      <c r="AK601" s="42"/>
      <c r="AL601" s="42"/>
      <c r="AM601" s="42"/>
      <c r="AN601" s="42"/>
      <c r="AO601" s="42"/>
      <c r="AP601" s="42"/>
      <c r="AQ601" s="35"/>
      <c r="BP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FA601" s="23"/>
      <c r="FB601" s="23"/>
      <c r="FC601" s="23"/>
      <c r="FD601" s="23"/>
      <c r="FE601" s="23"/>
      <c r="FF601" s="23"/>
      <c r="FG601" s="23"/>
      <c r="FH601" s="23"/>
    </row>
    <row r="602" spans="2:164" ht="12" customHeight="1" x14ac:dyDescent="0.3">
      <c r="B602" s="24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X602" s="7"/>
      <c r="Y602" s="7"/>
      <c r="Z602" s="7"/>
      <c r="AA602" s="7"/>
      <c r="AB602" s="7"/>
      <c r="AC602" s="7"/>
      <c r="AD602" s="7"/>
      <c r="AE602" s="35"/>
      <c r="AF602" s="35"/>
      <c r="AG602" s="35"/>
      <c r="AH602" s="35"/>
      <c r="AI602" s="35"/>
      <c r="AJ602" s="35"/>
      <c r="AK602" s="42"/>
      <c r="AL602" s="42"/>
      <c r="AM602" s="42"/>
      <c r="AN602" s="42"/>
      <c r="AO602" s="42"/>
      <c r="AP602" s="42"/>
      <c r="AQ602" s="35"/>
      <c r="BP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FA602" s="23"/>
      <c r="FB602" s="23"/>
      <c r="FC602" s="23"/>
      <c r="FD602" s="23"/>
      <c r="FE602" s="23"/>
      <c r="FF602" s="23"/>
      <c r="FG602" s="23"/>
      <c r="FH602" s="23"/>
    </row>
    <row r="603" spans="2:164" ht="12" customHeight="1" x14ac:dyDescent="0.3">
      <c r="B603" s="24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X603" s="7"/>
      <c r="Y603" s="7"/>
      <c r="Z603" s="7"/>
      <c r="AA603" s="7"/>
      <c r="AB603" s="7"/>
      <c r="AC603" s="7"/>
      <c r="AD603" s="7"/>
      <c r="AE603" s="35"/>
      <c r="AF603" s="35"/>
      <c r="AG603" s="35"/>
      <c r="AH603" s="35"/>
      <c r="AI603" s="35"/>
      <c r="AJ603" s="35"/>
      <c r="AK603" s="42"/>
      <c r="AL603" s="42"/>
      <c r="AM603" s="42"/>
      <c r="AN603" s="42"/>
      <c r="AO603" s="42"/>
      <c r="AP603" s="42"/>
      <c r="AQ603" s="35"/>
      <c r="BP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FA603" s="23"/>
      <c r="FB603" s="23"/>
      <c r="FC603" s="23"/>
      <c r="FD603" s="23"/>
      <c r="FE603" s="23"/>
      <c r="FF603" s="23"/>
      <c r="FG603" s="23"/>
      <c r="FH603" s="23"/>
    </row>
    <row r="604" spans="2:164" ht="12" customHeight="1" x14ac:dyDescent="0.3">
      <c r="B604" s="14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Y604" s="7"/>
      <c r="Z604" s="7"/>
      <c r="AA604" s="7"/>
      <c r="AB604" s="7"/>
      <c r="AC604" s="7"/>
      <c r="AD604" s="7"/>
      <c r="BP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FA604" s="23"/>
      <c r="FB604" s="23"/>
      <c r="FC604" s="23"/>
      <c r="FD604" s="23"/>
      <c r="FE604" s="23"/>
      <c r="FF604" s="23"/>
      <c r="FG604" s="23"/>
      <c r="FH604" s="23"/>
    </row>
    <row r="605" spans="2:164" ht="12" customHeight="1" x14ac:dyDescent="0.3">
      <c r="B605" s="14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Y605" s="7"/>
      <c r="Z605" s="7"/>
      <c r="AA605" s="7"/>
      <c r="AB605" s="7"/>
      <c r="AC605" s="7"/>
      <c r="AD605" s="7"/>
      <c r="BP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FA605" s="23"/>
      <c r="FB605" s="23"/>
      <c r="FC605" s="23"/>
      <c r="FD605" s="23"/>
      <c r="FE605" s="23"/>
      <c r="FF605" s="23"/>
      <c r="FG605" s="23"/>
      <c r="FH605" s="23"/>
    </row>
    <row r="606" spans="2:164" ht="12" customHeight="1" x14ac:dyDescent="0.3">
      <c r="B606" s="14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39"/>
      <c r="AL606" s="39"/>
      <c r="AM606" s="39"/>
      <c r="AN606" s="39"/>
      <c r="AO606" s="39"/>
      <c r="AP606" s="39"/>
      <c r="AQ606" s="7"/>
      <c r="BP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FA606" s="23"/>
      <c r="FB606" s="23"/>
      <c r="FC606" s="23"/>
      <c r="FD606" s="23"/>
      <c r="FE606" s="23"/>
      <c r="FF606" s="23"/>
      <c r="FG606" s="23"/>
      <c r="FH606" s="23"/>
    </row>
    <row r="607" spans="2:164" ht="12" customHeight="1" x14ac:dyDescent="0.3">
      <c r="B607" s="14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39"/>
      <c r="AL607" s="39"/>
      <c r="AM607" s="39"/>
      <c r="AN607" s="39"/>
      <c r="AO607" s="39"/>
      <c r="AP607" s="39"/>
      <c r="AQ607" s="7"/>
      <c r="BP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FA607" s="23"/>
      <c r="FB607" s="23"/>
      <c r="FC607" s="23"/>
      <c r="FD607" s="23"/>
      <c r="FE607" s="23"/>
      <c r="FF607" s="23"/>
      <c r="FG607" s="23"/>
      <c r="FH607" s="23"/>
    </row>
    <row r="608" spans="2:164" ht="12" customHeight="1" x14ac:dyDescent="0.3">
      <c r="B608" s="14"/>
      <c r="C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39"/>
      <c r="AL608" s="39"/>
      <c r="AM608" s="39"/>
      <c r="AN608" s="39"/>
      <c r="AO608" s="39"/>
      <c r="AP608" s="39"/>
      <c r="AQ608" s="7"/>
      <c r="BP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FA608" s="23"/>
      <c r="FB608" s="23"/>
      <c r="FC608" s="23"/>
      <c r="FD608" s="23"/>
      <c r="FE608" s="23"/>
      <c r="FF608" s="23"/>
      <c r="FG608" s="23"/>
      <c r="FH608" s="23"/>
    </row>
    <row r="609" spans="2:164" ht="12" customHeight="1" x14ac:dyDescent="0.3">
      <c r="B609" s="14"/>
      <c r="C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AE609" s="7"/>
      <c r="AF609" s="7"/>
      <c r="AG609" s="7"/>
      <c r="AH609" s="7"/>
      <c r="AI609" s="7"/>
      <c r="AJ609" s="7"/>
      <c r="AK609" s="39"/>
      <c r="AL609" s="39"/>
      <c r="AM609" s="39"/>
      <c r="AN609" s="39"/>
      <c r="AO609" s="39"/>
      <c r="AP609" s="39"/>
      <c r="AQ609" s="7"/>
      <c r="BP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FA609" s="23"/>
      <c r="FB609" s="23"/>
      <c r="FC609" s="23"/>
      <c r="FD609" s="23"/>
      <c r="FE609" s="23"/>
      <c r="FF609" s="23"/>
      <c r="FG609" s="23"/>
      <c r="FH609" s="23"/>
    </row>
    <row r="610" spans="2:164" ht="12" customHeight="1" x14ac:dyDescent="0.3">
      <c r="B610" s="24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X610" s="7"/>
      <c r="Y610" s="7"/>
      <c r="Z610" s="7"/>
      <c r="AA610" s="7"/>
      <c r="AB610" s="7"/>
      <c r="AC610" s="7"/>
      <c r="AD610" s="7"/>
      <c r="BP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FA610" s="23"/>
      <c r="FB610" s="23"/>
      <c r="FC610" s="23"/>
      <c r="FD610" s="23"/>
      <c r="FE610" s="23"/>
      <c r="FF610" s="23"/>
      <c r="FG610" s="23"/>
      <c r="FH610" s="23"/>
    </row>
    <row r="611" spans="2:164" ht="12" customHeight="1" x14ac:dyDescent="0.3">
      <c r="B611" s="24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X611" s="7"/>
      <c r="Y611" s="7"/>
      <c r="Z611" s="7"/>
      <c r="AA611" s="7"/>
      <c r="AB611" s="7"/>
      <c r="AC611" s="7"/>
      <c r="AD611" s="7"/>
      <c r="BP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FA611" s="23"/>
      <c r="FB611" s="23"/>
      <c r="FC611" s="23"/>
      <c r="FD611" s="23"/>
      <c r="FE611" s="23"/>
      <c r="FF611" s="23"/>
      <c r="FG611" s="23"/>
      <c r="FH611" s="23"/>
    </row>
    <row r="612" spans="2:164" ht="12" customHeight="1" x14ac:dyDescent="0.3">
      <c r="B612" s="24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X612" s="7"/>
      <c r="Y612" s="34"/>
      <c r="Z612" s="7"/>
      <c r="AA612" s="7"/>
      <c r="AB612" s="7"/>
      <c r="AC612" s="7"/>
      <c r="AD612" s="7"/>
      <c r="BP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FA612" s="23"/>
      <c r="FB612" s="23"/>
      <c r="FC612" s="23"/>
      <c r="FD612" s="23"/>
      <c r="FE612" s="23"/>
      <c r="FF612" s="23"/>
      <c r="FG612" s="23"/>
      <c r="FH612" s="23"/>
    </row>
    <row r="613" spans="2:164" ht="12" customHeight="1" x14ac:dyDescent="0.3">
      <c r="B613" s="24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X613" s="7"/>
      <c r="Y613" s="34"/>
      <c r="Z613" s="7"/>
      <c r="AA613" s="7"/>
      <c r="AB613" s="7"/>
      <c r="AC613" s="7"/>
      <c r="AD613" s="7"/>
      <c r="BP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FA613" s="23"/>
      <c r="FB613" s="23"/>
      <c r="FC613" s="23"/>
      <c r="FD613" s="23"/>
      <c r="FE613" s="23"/>
      <c r="FF613" s="23"/>
      <c r="FG613" s="23"/>
      <c r="FH613" s="23"/>
    </row>
    <row r="614" spans="2:164" ht="12" customHeight="1" x14ac:dyDescent="0.3">
      <c r="B614" s="24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X614" s="7"/>
      <c r="Y614" s="7"/>
      <c r="Z614" s="7"/>
      <c r="AA614" s="7"/>
      <c r="AB614" s="7"/>
      <c r="AC614" s="7"/>
      <c r="AD614" s="7"/>
      <c r="BP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FA614" s="23"/>
      <c r="FB614" s="23"/>
      <c r="FC614" s="23"/>
      <c r="FD614" s="23"/>
      <c r="FE614" s="23"/>
      <c r="FF614" s="23"/>
      <c r="FG614" s="23"/>
      <c r="FH614" s="23"/>
    </row>
    <row r="615" spans="2:164" ht="12" customHeight="1" x14ac:dyDescent="0.3">
      <c r="B615" s="24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X615" s="7"/>
      <c r="Y615" s="7"/>
      <c r="Z615" s="7"/>
      <c r="AA615" s="7"/>
      <c r="AB615" s="7"/>
      <c r="AC615" s="7"/>
      <c r="AD615" s="7"/>
      <c r="BP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FA615" s="23"/>
      <c r="FB615" s="23"/>
      <c r="FC615" s="23"/>
      <c r="FD615" s="23"/>
      <c r="FE615" s="23"/>
      <c r="FF615" s="23"/>
      <c r="FG615" s="23"/>
      <c r="FH615" s="23"/>
    </row>
    <row r="616" spans="2:164" ht="12" customHeight="1" x14ac:dyDescent="0.3">
      <c r="B616" s="24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X616" s="7"/>
      <c r="Y616" s="34"/>
      <c r="Z616" s="7"/>
      <c r="AA616" s="7"/>
      <c r="AB616" s="7"/>
      <c r="AC616" s="7"/>
      <c r="AD616" s="7"/>
      <c r="BP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FA616" s="23"/>
      <c r="FB616" s="23"/>
      <c r="FC616" s="23"/>
      <c r="FD616" s="23"/>
      <c r="FE616" s="23"/>
      <c r="FF616" s="23"/>
      <c r="FG616" s="23"/>
      <c r="FH616" s="23"/>
    </row>
    <row r="617" spans="2:164" ht="12" customHeight="1" x14ac:dyDescent="0.3">
      <c r="B617" s="24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X617" s="7"/>
      <c r="Y617" s="34"/>
      <c r="Z617" s="7"/>
      <c r="AA617" s="7"/>
      <c r="AB617" s="7"/>
      <c r="AC617" s="7"/>
      <c r="AD617" s="7"/>
      <c r="BP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FA617" s="23"/>
      <c r="FB617" s="23"/>
      <c r="FC617" s="23"/>
      <c r="FD617" s="23"/>
      <c r="FE617" s="23"/>
      <c r="FF617" s="23"/>
      <c r="FG617" s="23"/>
      <c r="FH617" s="23"/>
    </row>
    <row r="618" spans="2:164" ht="12" customHeight="1" x14ac:dyDescent="0.3">
      <c r="B618" s="24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X618" s="7"/>
      <c r="Y618" s="7"/>
      <c r="Z618" s="7"/>
      <c r="AA618" s="7"/>
      <c r="AB618" s="7"/>
      <c r="AC618" s="7"/>
      <c r="AD618" s="7"/>
      <c r="BP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FA618" s="23"/>
      <c r="FB618" s="23"/>
      <c r="FC618" s="23"/>
      <c r="FD618" s="23"/>
      <c r="FE618" s="23"/>
      <c r="FF618" s="23"/>
      <c r="FG618" s="23"/>
      <c r="FH618" s="23"/>
    </row>
    <row r="619" spans="2:164" ht="12" customHeight="1" x14ac:dyDescent="0.3">
      <c r="B619" s="24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X619" s="7"/>
      <c r="Y619" s="7"/>
      <c r="Z619" s="7"/>
      <c r="AA619" s="7"/>
      <c r="AB619" s="7"/>
      <c r="AC619" s="7"/>
      <c r="AD619" s="7"/>
      <c r="BP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FA619" s="23"/>
      <c r="FB619" s="23"/>
      <c r="FC619" s="23"/>
      <c r="FD619" s="23"/>
      <c r="FE619" s="23"/>
      <c r="FF619" s="23"/>
      <c r="FG619" s="23"/>
      <c r="FH619" s="23"/>
    </row>
    <row r="620" spans="2:164" ht="12" customHeight="1" x14ac:dyDescent="0.3">
      <c r="B620" s="24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X620" s="7"/>
      <c r="Y620" s="7"/>
      <c r="Z620" s="7"/>
      <c r="AA620" s="7"/>
      <c r="AB620" s="7"/>
      <c r="AC620" s="7"/>
      <c r="AD620" s="7"/>
      <c r="BP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FA620" s="23"/>
      <c r="FB620" s="23"/>
      <c r="FC620" s="23"/>
      <c r="FD620" s="23"/>
      <c r="FE620" s="23"/>
      <c r="FF620" s="23"/>
      <c r="FG620" s="23"/>
      <c r="FH620" s="23"/>
    </row>
    <row r="621" spans="2:164" ht="12" customHeight="1" x14ac:dyDescent="0.3">
      <c r="B621" s="24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X621" s="7"/>
      <c r="Y621" s="7"/>
      <c r="Z621" s="7"/>
      <c r="AA621" s="7"/>
      <c r="AB621" s="7"/>
      <c r="AC621" s="7"/>
      <c r="AD621" s="7"/>
      <c r="BP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FA621" s="23"/>
      <c r="FB621" s="23"/>
      <c r="FC621" s="23"/>
      <c r="FD621" s="23"/>
      <c r="FE621" s="23"/>
      <c r="FF621" s="23"/>
      <c r="FG621" s="23"/>
      <c r="FH621" s="23"/>
    </row>
    <row r="622" spans="2:164" ht="12" customHeight="1" x14ac:dyDescent="0.3">
      <c r="B622" s="24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X622" s="7"/>
      <c r="Y622" s="34"/>
      <c r="Z622" s="7"/>
      <c r="AA622" s="7"/>
      <c r="AB622" s="7"/>
      <c r="AC622" s="7"/>
      <c r="AD622" s="7"/>
      <c r="BP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FA622" s="23"/>
      <c r="FB622" s="23"/>
      <c r="FC622" s="23"/>
      <c r="FD622" s="23"/>
      <c r="FE622" s="23"/>
      <c r="FF622" s="23"/>
      <c r="FG622" s="23"/>
      <c r="FH622" s="23"/>
    </row>
    <row r="623" spans="2:164" ht="12" customHeight="1" x14ac:dyDescent="0.3">
      <c r="B623" s="24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X623" s="7"/>
      <c r="Y623" s="34"/>
      <c r="Z623" s="7"/>
      <c r="AA623" s="7"/>
      <c r="AB623" s="7"/>
      <c r="AC623" s="7"/>
      <c r="AD623" s="7"/>
      <c r="BP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FA623" s="23"/>
      <c r="FB623" s="23"/>
      <c r="FC623" s="23"/>
      <c r="FD623" s="23"/>
      <c r="FE623" s="23"/>
      <c r="FF623" s="23"/>
      <c r="FG623" s="23"/>
      <c r="FH623" s="23"/>
    </row>
    <row r="624" spans="2:164" ht="12" customHeight="1" x14ac:dyDescent="0.3">
      <c r="FA624" s="23"/>
      <c r="FB624" s="23"/>
      <c r="FC624" s="23"/>
      <c r="FD624" s="23"/>
      <c r="FE624" s="23"/>
      <c r="FF624" s="23"/>
    </row>
  </sheetData>
  <mergeCells count="5">
    <mergeCell ref="DX9:DZ9"/>
    <mergeCell ref="DF9:DL9"/>
    <mergeCell ref="BL2:BS2"/>
    <mergeCell ref="BE2:BJ2"/>
    <mergeCell ref="A475:A524"/>
  </mergeCells>
  <phoneticPr fontId="4" type="noConversion"/>
  <pageMargins left="0.75" right="0.75" top="1" bottom="1" header="0.51180555555555596" footer="0.51180555555555596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DAAA5-7140-4D5B-87F4-D60DD4D685C5}">
  <sheetPr filterMode="1">
    <pageSetUpPr autoPageBreaks="0"/>
  </sheetPr>
  <dimension ref="A1:GF620"/>
  <sheetViews>
    <sheetView zoomScale="85" zoomScaleNormal="85" workbookViewId="0">
      <pane xSplit="6" ySplit="18" topLeftCell="FC244" activePane="bottomRight" state="frozen"/>
      <selection pane="topRight" activeCell="E1" sqref="E1"/>
      <selection pane="bottomLeft" activeCell="A3" sqref="A3"/>
      <selection pane="bottomRight" activeCell="GC18" sqref="GC18"/>
    </sheetView>
  </sheetViews>
  <sheetFormatPr defaultColWidth="9" defaultRowHeight="12" customHeight="1" x14ac:dyDescent="0.3"/>
  <cols>
    <col min="1" max="1" width="3.75" style="4" bestFit="1" customWidth="1"/>
    <col min="2" max="2" width="8.375" style="4" bestFit="1" customWidth="1"/>
    <col min="3" max="5" width="8.375" style="4" customWidth="1"/>
    <col min="6" max="6" width="28.75" style="4" bestFit="1" customWidth="1"/>
    <col min="7" max="19" width="5" style="4" customWidth="1"/>
    <col min="20" max="20" width="5.25" style="4" customWidth="1"/>
    <col min="21" max="28" width="5" style="4" customWidth="1"/>
    <col min="29" max="29" width="4" style="4" customWidth="1"/>
    <col min="30" max="30" width="5.375" style="4" customWidth="1"/>
    <col min="31" max="31" width="4.75" style="4" customWidth="1"/>
    <col min="32" max="32" width="4.75" style="4" bestFit="1" customWidth="1"/>
    <col min="33" max="36" width="4.75" style="4" customWidth="1"/>
    <col min="37" max="42" width="4.125" style="4" customWidth="1"/>
    <col min="43" max="44" width="6.25" style="38" customWidth="1"/>
    <col min="45" max="47" width="4.25" style="38" customWidth="1"/>
    <col min="48" max="48" width="4.75" style="38" customWidth="1"/>
    <col min="49" max="49" width="2.875" style="4" customWidth="1"/>
    <col min="50" max="51" width="5.625" style="4" customWidth="1"/>
    <col min="52" max="52" width="5.625" style="38" customWidth="1"/>
    <col min="53" max="62" width="5.625" style="4" customWidth="1"/>
    <col min="63" max="67" width="4.625" style="4" customWidth="1"/>
    <col min="68" max="68" width="7.25" style="4" customWidth="1"/>
    <col min="69" max="69" width="4.625" style="4" customWidth="1"/>
    <col min="70" max="97" width="6.5" style="4" customWidth="1"/>
    <col min="98" max="98" width="2.625" style="4" customWidth="1"/>
    <col min="99" max="110" width="4.375" style="4" customWidth="1"/>
    <col min="111" max="111" width="9" style="4"/>
    <col min="112" max="112" width="6.125" style="4" customWidth="1"/>
    <col min="113" max="115" width="9" style="4"/>
    <col min="116" max="116" width="6.5" style="4" customWidth="1"/>
    <col min="117" max="123" width="7" style="4" customWidth="1"/>
    <col min="124" max="124" width="9" style="4"/>
    <col min="125" max="125" width="7" style="4" customWidth="1"/>
    <col min="126" max="128" width="9" style="4"/>
    <col min="129" max="137" width="5.625" style="4" customWidth="1"/>
    <col min="138" max="139" width="9" style="4"/>
    <col min="140" max="140" width="4.125" style="4" customWidth="1"/>
    <col min="141" max="177" width="6.25" style="4" customWidth="1"/>
    <col min="178" max="179" width="9" style="4"/>
    <col min="180" max="183" width="4.875" style="4" customWidth="1"/>
    <col min="184" max="16384" width="9" style="4"/>
  </cols>
  <sheetData>
    <row r="1" spans="7:173" ht="12" customHeight="1" x14ac:dyDescent="0.3">
      <c r="R1" s="4" t="str">
        <f>CK1</f>
        <v>Total</v>
      </c>
      <c r="S1" s="4" t="str">
        <f>CL1</f>
        <v>avg</v>
      </c>
      <c r="T1" s="4">
        <f>CQ1</f>
        <v>1.056096550409896</v>
      </c>
      <c r="BE1" s="4" t="s">
        <v>128</v>
      </c>
      <c r="CD1" s="4">
        <f t="shared" ref="CD1:CI1" si="0">AVERAGE(CM19:CM633)</f>
        <v>1.6782626178573583</v>
      </c>
      <c r="CE1" s="4">
        <f t="shared" si="0"/>
        <v>0.95300717452398231</v>
      </c>
      <c r="CF1" s="4">
        <f t="shared" si="0"/>
        <v>1.2156305950114661</v>
      </c>
      <c r="CG1" s="4">
        <f t="shared" si="0"/>
        <v>1.8817218178144222</v>
      </c>
      <c r="CH1" s="4">
        <f t="shared" si="0"/>
        <v>1.056096550409896</v>
      </c>
      <c r="CI1" s="4">
        <f t="shared" si="0"/>
        <v>1.1033176043872563</v>
      </c>
      <c r="CK1" s="4" t="s">
        <v>198</v>
      </c>
      <c r="CL1" s="5" t="s">
        <v>27</v>
      </c>
      <c r="CM1" s="5">
        <f t="shared" ref="CM1:CS1" si="1">AVERAGE(CM19:CM1247)</f>
        <v>1.6782626178573583</v>
      </c>
      <c r="CN1" s="5">
        <f t="shared" si="1"/>
        <v>0.95300717452398231</v>
      </c>
      <c r="CO1" s="5">
        <f t="shared" si="1"/>
        <v>1.2156305950114661</v>
      </c>
      <c r="CP1" s="5">
        <f t="shared" si="1"/>
        <v>1.8817218178144222</v>
      </c>
      <c r="CQ1" s="5">
        <f t="shared" si="1"/>
        <v>1.056096550409896</v>
      </c>
      <c r="CR1" s="5">
        <f t="shared" si="1"/>
        <v>1.1033176043872563</v>
      </c>
      <c r="CS1" s="5">
        <f t="shared" si="1"/>
        <v>1.4338215823432034</v>
      </c>
      <c r="CT1" s="5"/>
      <c r="CU1" s="5">
        <f t="shared" ref="CU1:DF1" si="2">AVERAGE(CU19:CU1247)</f>
        <v>1.6264688144681267</v>
      </c>
      <c r="CV1" s="5">
        <f t="shared" si="2"/>
        <v>0.92871449891049684</v>
      </c>
      <c r="CW1" s="5">
        <f t="shared" si="2"/>
        <v>2.029709456924492</v>
      </c>
      <c r="CX1" s="5">
        <f t="shared" si="2"/>
        <v>1.5162001782155048</v>
      </c>
      <c r="CY1" s="5">
        <f t="shared" si="2"/>
        <v>1.0534566143088782</v>
      </c>
      <c r="CZ1" s="5">
        <f t="shared" si="2"/>
        <v>1.1081129801433647</v>
      </c>
      <c r="DA1" s="5">
        <f t="shared" si="2"/>
        <v>1.7478815613740522</v>
      </c>
      <c r="DB1" s="5">
        <f t="shared" si="2"/>
        <v>0.98566031642002905</v>
      </c>
      <c r="DC1" s="5">
        <f t="shared" si="2"/>
        <v>1.6828033678417915</v>
      </c>
      <c r="DD1" s="5">
        <f t="shared" si="2"/>
        <v>1.3230919112680954</v>
      </c>
      <c r="DE1" s="5">
        <f t="shared" si="2"/>
        <v>1.059645035948277</v>
      </c>
      <c r="DF1" s="5">
        <f t="shared" si="2"/>
        <v>1.0968718720397586</v>
      </c>
      <c r="DI1" s="4" t="e">
        <f>FC1</f>
        <v>#DIV/0!</v>
      </c>
      <c r="DN1" s="6">
        <f>AVERAGE(DN19:DN1533)</f>
        <v>0.34892217289788346</v>
      </c>
      <c r="DP1" s="4">
        <f>3*PI()/8</f>
        <v>1.1780972450961724</v>
      </c>
      <c r="DQ1" s="4">
        <f>3*3.141592/8/(3*3.141592-4)/12.7/0.3^0.5</f>
        <v>3.122014327313467E-2</v>
      </c>
      <c r="DR1" s="4">
        <f>1/DQ1</f>
        <v>32.030602526430833</v>
      </c>
      <c r="DT1" s="4">
        <f>0.24*PI()/4</f>
        <v>0.18849555921538758</v>
      </c>
      <c r="DU1" s="4">
        <f>1/DT1</f>
        <v>5.3051647697298447</v>
      </c>
      <c r="DV1" s="4">
        <f>DU1*2.5</f>
        <v>13.262911924324612</v>
      </c>
      <c r="DW1" s="4" t="e">
        <f>AVERAGE(DW19:DW560)</f>
        <v>#DIV/0!</v>
      </c>
      <c r="DY1" s="4">
        <f>CH1</f>
        <v>1.056096550409896</v>
      </c>
      <c r="DZ1" s="4">
        <f>1-1/22.45</f>
        <v>0.95545657015590202</v>
      </c>
      <c r="EA1" s="4">
        <f>1-1/17.8</f>
        <v>0.9438202247191011</v>
      </c>
      <c r="EB1" s="4">
        <f>3.1/3.5</f>
        <v>0.88571428571428579</v>
      </c>
      <c r="EE1" s="4" t="e">
        <f>AVERAGE(EE19:EE670)</f>
        <v>#DIV/0!</v>
      </c>
      <c r="EF1" s="4" t="e">
        <f>AVERAGE(EF19:EF670)</f>
        <v>#DIV/0!</v>
      </c>
      <c r="EH1" s="4">
        <f>CQ6</f>
        <v>1.2833475794749885</v>
      </c>
      <c r="EK1" s="4">
        <v>1.0780224324532159</v>
      </c>
      <c r="EN1" s="4">
        <f>AVERAGE(EN19:EN560)</f>
        <v>269.875</v>
      </c>
      <c r="EP1" s="4">
        <f>4700*0.003^0.5</f>
        <v>257.42960202742807</v>
      </c>
      <c r="FC1" s="4" t="e">
        <f>AVERAGE(FC19:FC670)</f>
        <v>#DIV/0!</v>
      </c>
      <c r="FD1" s="4" t="e">
        <f>AVERAGE(FD19:FD670)</f>
        <v>#DIV/0!</v>
      </c>
      <c r="FQ1" s="4" t="s">
        <v>605</v>
      </c>
    </row>
    <row r="2" spans="7:173" ht="12" customHeight="1" x14ac:dyDescent="0.3">
      <c r="S2" s="4" t="str">
        <f>CL2</f>
        <v>cov</v>
      </c>
      <c r="T2" s="4">
        <f>CQ2</f>
        <v>0.20738367794348314</v>
      </c>
      <c r="AY2" s="4" t="s">
        <v>214</v>
      </c>
      <c r="BK2" s="113" t="s">
        <v>215</v>
      </c>
      <c r="BL2" s="113"/>
      <c r="BM2" s="113"/>
      <c r="BN2" s="113"/>
      <c r="BO2" s="113"/>
      <c r="BP2" s="113"/>
      <c r="BR2" s="113" t="s">
        <v>216</v>
      </c>
      <c r="BS2" s="113"/>
      <c r="BT2" s="113"/>
      <c r="BU2" s="113"/>
      <c r="BV2" s="113"/>
      <c r="BW2" s="113"/>
      <c r="BX2" s="113"/>
      <c r="BY2" s="113"/>
      <c r="BZ2" s="7" t="s">
        <v>40</v>
      </c>
      <c r="CA2" s="7"/>
      <c r="CB2" s="7"/>
      <c r="CC2" s="7"/>
      <c r="CD2" s="7">
        <f t="shared" ref="CD2:CI2" si="3">STDEVP(CM19:CM633)/CM1</f>
        <v>0.38591498806886199</v>
      </c>
      <c r="CE2" s="7">
        <f t="shared" si="3"/>
        <v>0.3786238886999081</v>
      </c>
      <c r="CF2" s="7">
        <f t="shared" si="3"/>
        <v>0.47257792553020578</v>
      </c>
      <c r="CG2" s="7">
        <f t="shared" si="3"/>
        <v>0.28230105625285867</v>
      </c>
      <c r="CH2" s="7">
        <f t="shared" si="3"/>
        <v>0.20738367794348314</v>
      </c>
      <c r="CI2" s="7">
        <f t="shared" si="3"/>
        <v>0.2245803838061915</v>
      </c>
      <c r="CJ2" s="7"/>
      <c r="CK2" s="7"/>
      <c r="CL2" s="8" t="s">
        <v>217</v>
      </c>
      <c r="CM2" s="5">
        <f t="shared" ref="CM2:CS2" si="4">STDEVP(CM19:CM1247)/CM1</f>
        <v>0.38591498806886199</v>
      </c>
      <c r="CN2" s="5">
        <f t="shared" si="4"/>
        <v>0.3786238886999081</v>
      </c>
      <c r="CO2" s="5">
        <f t="shared" si="4"/>
        <v>0.47257792553020578</v>
      </c>
      <c r="CP2" s="5">
        <f t="shared" si="4"/>
        <v>0.28230105625285867</v>
      </c>
      <c r="CQ2" s="5">
        <f t="shared" si="4"/>
        <v>0.20738367794348314</v>
      </c>
      <c r="CR2" s="5">
        <f t="shared" si="4"/>
        <v>0.2245803838061915</v>
      </c>
      <c r="CS2" s="5">
        <f t="shared" si="4"/>
        <v>0.36644451539729217</v>
      </c>
      <c r="CT2" s="5"/>
      <c r="CU2" s="5">
        <f t="shared" ref="CU2:DF2" si="5">STDEVP(CU19:CU1247)/CU1</f>
        <v>0.40152484677778294</v>
      </c>
      <c r="CV2" s="5">
        <f t="shared" si="5"/>
        <v>0.38055189275349616</v>
      </c>
      <c r="CW2" s="5">
        <f t="shared" si="5"/>
        <v>0.25927404713422825</v>
      </c>
      <c r="CX2" s="5">
        <f t="shared" si="5"/>
        <v>0.40140677437367722</v>
      </c>
      <c r="CY2" s="5">
        <f t="shared" si="5"/>
        <v>0.22212324371066888</v>
      </c>
      <c r="CZ2" s="5">
        <f t="shared" si="5"/>
        <v>0.24363584087003703</v>
      </c>
      <c r="DA2" s="5">
        <f t="shared" si="5"/>
        <v>0.36255356727067367</v>
      </c>
      <c r="DB2" s="5">
        <f t="shared" si="5"/>
        <v>0.3733912807304916</v>
      </c>
      <c r="DC2" s="5">
        <f t="shared" si="5"/>
        <v>0.27887315563098203</v>
      </c>
      <c r="DD2" s="5">
        <f t="shared" si="5"/>
        <v>0.27025839617561165</v>
      </c>
      <c r="DE2" s="5">
        <f t="shared" si="5"/>
        <v>0.18594941660962594</v>
      </c>
      <c r="DF2" s="5">
        <f t="shared" si="5"/>
        <v>0.19527764876088602</v>
      </c>
      <c r="DI2" s="4" t="e">
        <f t="shared" ref="DI2:DI4" si="6">FC2</f>
        <v>#DIV/0!</v>
      </c>
      <c r="DO2" s="4">
        <v>0.75</v>
      </c>
      <c r="DP2" s="4">
        <f>1/DP1</f>
        <v>0.84882636315677518</v>
      </c>
      <c r="DQ2" s="4">
        <f>3*3.141592/8/12.7/0.3^0.5</f>
        <v>0.16936228394466243</v>
      </c>
      <c r="DR2" s="4">
        <f>1/DQ2</f>
        <v>5.9045023290235079</v>
      </c>
      <c r="DT2" s="4">
        <f>0.72*PI()/4</f>
        <v>0.56548667764616278</v>
      </c>
      <c r="DU2" s="4">
        <f>1/DT2</f>
        <v>1.7683882565766149</v>
      </c>
      <c r="DV2" s="4">
        <f>5*DU2</f>
        <v>8.8419412828830737</v>
      </c>
      <c r="DW2" s="4" t="e">
        <f>STDEVP(DW19:DW560)/DW1</f>
        <v>#DIV/0!</v>
      </c>
      <c r="DY2" s="4">
        <f>CH2</f>
        <v>0.20738367794348314</v>
      </c>
      <c r="DZ2" s="4">
        <f>3.45/DZ1</f>
        <v>3.610839160839161</v>
      </c>
      <c r="EA2" s="4">
        <f>3.5/EA1</f>
        <v>3.7083333333333335</v>
      </c>
      <c r="EE2" s="4" t="e">
        <f>STDEVP(EE19:EE670)/EE1</f>
        <v>#DIV/0!</v>
      </c>
      <c r="EF2" s="4" t="e">
        <f>STDEVP(EF19:EF670)/EF1</f>
        <v>#DIV/0!</v>
      </c>
      <c r="EH2" s="4">
        <f t="shared" ref="EH2:EH3" si="7">CQ7</f>
        <v>0.14427891700440762</v>
      </c>
      <c r="EK2" s="4">
        <v>0.17292711593762511</v>
      </c>
      <c r="FC2" s="4" t="e">
        <f>STDEVP(FC19:FC670)/FC1</f>
        <v>#DIV/0!</v>
      </c>
      <c r="FD2" s="4" t="e">
        <f>STDEVP(FD19:FD670)/FD1</f>
        <v>#DIV/0!</v>
      </c>
    </row>
    <row r="3" spans="7:173" ht="12" customHeight="1" x14ac:dyDescent="0.3">
      <c r="T3" s="4">
        <f>CQ3</f>
        <v>1.7054171816068107</v>
      </c>
      <c r="AX3" s="7"/>
      <c r="AY3" s="7"/>
      <c r="AZ3" s="39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>
        <f t="shared" ref="CD3:CI3" si="8">MAX(CM19:CM633)</f>
        <v>3.9007223111414722</v>
      </c>
      <c r="CE3" s="7">
        <f t="shared" si="8"/>
        <v>2.2796227071273441</v>
      </c>
      <c r="CF3" s="7">
        <f t="shared" si="8"/>
        <v>3.8981849746145723</v>
      </c>
      <c r="CG3" s="7">
        <f t="shared" si="8"/>
        <v>4.1928664127323829</v>
      </c>
      <c r="CH3" s="7">
        <f t="shared" si="8"/>
        <v>1.7054171816068107</v>
      </c>
      <c r="CI3" s="7">
        <f t="shared" si="8"/>
        <v>1.8118062019953518</v>
      </c>
      <c r="CJ3" s="7"/>
      <c r="CK3" s="7"/>
      <c r="CL3" s="7" t="s">
        <v>28</v>
      </c>
      <c r="CM3" s="4">
        <f t="shared" ref="CM3:CS3" si="9">MAX(CM19:CM1247)</f>
        <v>3.9007223111414722</v>
      </c>
      <c r="CN3" s="4">
        <f t="shared" si="9"/>
        <v>2.2796227071273441</v>
      </c>
      <c r="CO3" s="4">
        <f t="shared" si="9"/>
        <v>3.8981849746145723</v>
      </c>
      <c r="CP3" s="4">
        <f t="shared" si="9"/>
        <v>4.1928664127323829</v>
      </c>
      <c r="CQ3" s="4">
        <f t="shared" si="9"/>
        <v>1.7054171816068107</v>
      </c>
      <c r="CR3" s="4">
        <f t="shared" si="9"/>
        <v>1.8118062019953518</v>
      </c>
      <c r="CS3" s="4">
        <f t="shared" si="9"/>
        <v>3.7678109166826239</v>
      </c>
      <c r="CU3" s="4">
        <f t="shared" ref="CU3:DF3" si="10">MAX(CU19:CU1247)</f>
        <v>3.0270006048647482</v>
      </c>
      <c r="CV3" s="4">
        <f t="shared" si="10"/>
        <v>2.2796227071273441</v>
      </c>
      <c r="CW3" s="4">
        <f t="shared" si="10"/>
        <v>4.1928664127323829</v>
      </c>
      <c r="CX3" s="4">
        <f t="shared" si="10"/>
        <v>3.7678109166826239</v>
      </c>
      <c r="CY3" s="4">
        <f t="shared" si="10"/>
        <v>1.7054171816068107</v>
      </c>
      <c r="CZ3" s="4">
        <f t="shared" si="10"/>
        <v>1.8118062019953518</v>
      </c>
      <c r="DA3" s="4">
        <f t="shared" si="10"/>
        <v>3.9007223111414722</v>
      </c>
      <c r="DB3" s="4">
        <f t="shared" si="10"/>
        <v>1.9697711735090395</v>
      </c>
      <c r="DC3" s="4">
        <f t="shared" si="10"/>
        <v>3.7310919948288381</v>
      </c>
      <c r="DD3" s="4">
        <f t="shared" si="10"/>
        <v>3.0790396611328834</v>
      </c>
      <c r="DE3" s="4">
        <f t="shared" si="10"/>
        <v>1.634175742192578</v>
      </c>
      <c r="DF3" s="4">
        <f t="shared" si="10"/>
        <v>1.7241744032031006</v>
      </c>
      <c r="DI3" s="4">
        <f t="shared" si="6"/>
        <v>0</v>
      </c>
      <c r="DJ3" s="4">
        <f>CR3*CR4</f>
        <v>0.89742872051592804</v>
      </c>
      <c r="DL3" s="4">
        <f>2*PI()*0.689</f>
        <v>4.3291146766467348</v>
      </c>
      <c r="DN3" s="4">
        <f>DN1^0.4/1.4</f>
        <v>0.46877386574818541</v>
      </c>
      <c r="DP3" s="4">
        <f>2*0.696*PI()</f>
        <v>4.3730969737969918</v>
      </c>
      <c r="DS3" s="4">
        <f>2*0.696*PI()</f>
        <v>4.3730969737969918</v>
      </c>
      <c r="DV3" s="4">
        <f>DU1*5</f>
        <v>26.525823848649225</v>
      </c>
      <c r="DZ3" s="4">
        <f>3.96/3.45</f>
        <v>1.1478260869565218</v>
      </c>
      <c r="EE3" s="4" t="e">
        <f>MAX(EE19:EE663)</f>
        <v>#DIV/0!</v>
      </c>
      <c r="EF3" s="4">
        <f>MAX(EF19:EF663)</f>
        <v>0</v>
      </c>
      <c r="EH3" s="4">
        <f t="shared" si="7"/>
        <v>1.6794082019601415</v>
      </c>
      <c r="EK3" s="4">
        <v>1.634314671293621</v>
      </c>
      <c r="EN3" s="4">
        <f>MAX(EN19:EN533)</f>
        <v>285.75</v>
      </c>
      <c r="FC3" s="4">
        <f>MAX(FC19:FC663)</f>
        <v>0</v>
      </c>
      <c r="FD3" s="4">
        <f>MAX(FD19:FD663)</f>
        <v>0</v>
      </c>
    </row>
    <row r="4" spans="7:173" ht="12" customHeight="1" x14ac:dyDescent="0.3">
      <c r="J4" s="4">
        <f>500*0.145</f>
        <v>72.5</v>
      </c>
      <c r="M4" s="4">
        <f>43/25.4</f>
        <v>1.6929133858267718</v>
      </c>
      <c r="T4" s="4">
        <f>CQ4</f>
        <v>0.47564989032534455</v>
      </c>
      <c r="AX4" s="7"/>
      <c r="AY4" s="7"/>
      <c r="AZ4" s="39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>
        <f t="shared" ref="CD4:CI4" si="11">MIN(CM19:CM633)</f>
        <v>0.44463766638918378</v>
      </c>
      <c r="CE4" s="7">
        <f t="shared" si="11"/>
        <v>0.23714039746372731</v>
      </c>
      <c r="CF4" s="7">
        <f t="shared" si="11"/>
        <v>0.39567942283543261</v>
      </c>
      <c r="CG4" s="7">
        <f t="shared" si="11"/>
        <v>0.86666480781610633</v>
      </c>
      <c r="CH4" s="7">
        <f t="shared" si="11"/>
        <v>0.47564989032534455</v>
      </c>
      <c r="CI4" s="7">
        <f t="shared" si="11"/>
        <v>0.49532268932934714</v>
      </c>
      <c r="CJ4" s="7"/>
      <c r="CK4" s="7"/>
      <c r="CL4" s="7" t="s">
        <v>29</v>
      </c>
      <c r="CM4" s="4">
        <f t="shared" ref="CM4:CS4" si="12">MIN(CM19:CM1247)</f>
        <v>0.44463766638918378</v>
      </c>
      <c r="CN4" s="4">
        <f t="shared" si="12"/>
        <v>0.23714039746372731</v>
      </c>
      <c r="CO4" s="4">
        <f t="shared" si="12"/>
        <v>0.39567942283543261</v>
      </c>
      <c r="CP4" s="4">
        <f t="shared" si="12"/>
        <v>0.86666480781610633</v>
      </c>
      <c r="CQ4" s="4">
        <f t="shared" si="12"/>
        <v>0.47564989032534455</v>
      </c>
      <c r="CR4" s="4">
        <f t="shared" si="12"/>
        <v>0.49532268932934714</v>
      </c>
      <c r="CS4" s="4">
        <f t="shared" si="12"/>
        <v>0.69730791094744238</v>
      </c>
      <c r="CU4" s="4">
        <f t="shared" ref="CU4:DF4" si="13">MIN(CU19:CU1247)</f>
        <v>0.44463766638918378</v>
      </c>
      <c r="CV4" s="4">
        <f t="shared" si="13"/>
        <v>0.27663125137739181</v>
      </c>
      <c r="CW4" s="4">
        <f t="shared" si="13"/>
        <v>0.97421045534617501</v>
      </c>
      <c r="CX4" s="4">
        <f t="shared" si="13"/>
        <v>0.69730791094744238</v>
      </c>
      <c r="CY4" s="4">
        <f t="shared" si="13"/>
        <v>0.47564989032534455</v>
      </c>
      <c r="CZ4" s="4">
        <f t="shared" si="13"/>
        <v>0.49532268932934714</v>
      </c>
      <c r="DA4" s="4">
        <f t="shared" si="13"/>
        <v>0.68409475652881924</v>
      </c>
      <c r="DB4" s="4">
        <f t="shared" si="13"/>
        <v>0.23714039746372731</v>
      </c>
      <c r="DC4" s="4">
        <f t="shared" si="13"/>
        <v>0.86666480781610633</v>
      </c>
      <c r="DD4" s="4">
        <f t="shared" si="13"/>
        <v>0.71086754061834379</v>
      </c>
      <c r="DE4" s="4">
        <f t="shared" si="13"/>
        <v>0.64304013454181963</v>
      </c>
      <c r="DF4" s="4">
        <f t="shared" si="13"/>
        <v>0.65440646347147291</v>
      </c>
      <c r="DI4" s="4">
        <f t="shared" si="6"/>
        <v>0</v>
      </c>
      <c r="DJ4" s="4">
        <f>DG3*DG4</f>
        <v>0</v>
      </c>
      <c r="DL4" s="4">
        <f>3*0.982+0.5</f>
        <v>3.4459999999999997</v>
      </c>
      <c r="DN4" s="4">
        <f>1/1.4*(1-DN1^1.4)/(1-DN1)</f>
        <v>0.84585912087087634</v>
      </c>
      <c r="DP4" s="4">
        <f>3*0.988+0.5</f>
        <v>3.464</v>
      </c>
      <c r="DQ4" s="4">
        <f>(1-1/13.8)/3.46</f>
        <v>0.2680740554578202</v>
      </c>
      <c r="DR4" s="4">
        <f>1/DQ4</f>
        <v>3.7303125000000001</v>
      </c>
      <c r="DS4" s="4">
        <f>3*0.988+0.5</f>
        <v>3.464</v>
      </c>
      <c r="DT4" s="4">
        <f>(1-1/18.4)/3.46</f>
        <v>0.27330987685348079</v>
      </c>
      <c r="DU4" s="4">
        <f>1/DT4</f>
        <v>3.6588505747126434</v>
      </c>
      <c r="EE4" s="4" t="e">
        <f>MIN(EE19:EE663)</f>
        <v>#DIV/0!</v>
      </c>
      <c r="EF4" s="4">
        <f>MIN(EF19:EF663)</f>
        <v>0</v>
      </c>
      <c r="EH4" s="4">
        <f>CQ9</f>
        <v>0.88170720161183924</v>
      </c>
      <c r="EK4" s="4">
        <v>0.66282847381341337</v>
      </c>
      <c r="EN4" s="4">
        <f>MIN(EN19:EN533)</f>
        <v>254</v>
      </c>
      <c r="FC4" s="4">
        <f>MIN(FC19:FC663)</f>
        <v>0</v>
      </c>
      <c r="FD4" s="4">
        <f>MIN(FD19:FD663)</f>
        <v>0</v>
      </c>
    </row>
    <row r="5" spans="7:173" ht="12" customHeight="1" x14ac:dyDescent="0.3">
      <c r="J5" s="4">
        <f>28.7/25.4</f>
        <v>1.1299212598425197</v>
      </c>
      <c r="M5" s="4">
        <f>57.3/25.4</f>
        <v>2.2559055118110236</v>
      </c>
      <c r="AX5" s="7"/>
      <c r="AY5" s="7"/>
      <c r="AZ5" s="39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DL5" s="4">
        <f>4.33-3.45</f>
        <v>0.87999999999999989</v>
      </c>
      <c r="DP5" s="4">
        <f>4.37-3.46</f>
        <v>0.91000000000000014</v>
      </c>
      <c r="DQ5" s="4">
        <f>3.19/3.46</f>
        <v>0.9219653179190751</v>
      </c>
      <c r="DR5" s="4">
        <f>1/DQ5</f>
        <v>1.084639498432602</v>
      </c>
      <c r="DS5" s="4">
        <f>4.37-3.46</f>
        <v>0.91000000000000014</v>
      </c>
      <c r="DT5" s="4">
        <f>4.1/3.46</f>
        <v>1.1849710982658959</v>
      </c>
      <c r="DU5" s="4">
        <f>1/DT5</f>
        <v>0.84390243902439033</v>
      </c>
      <c r="DV5" s="4">
        <f>1/3.1</f>
        <v>0.32258064516129031</v>
      </c>
    </row>
    <row r="6" spans="7:173" ht="12" customHeight="1" x14ac:dyDescent="0.3">
      <c r="G6" s="9"/>
      <c r="H6" s="9"/>
      <c r="J6" s="4">
        <f>130*0.145</f>
        <v>18.849999999999998</v>
      </c>
      <c r="R6" s="4" t="str">
        <f>CK6</f>
        <v>CCT</v>
      </c>
      <c r="S6" s="4" t="str">
        <f>CL6</f>
        <v>avg</v>
      </c>
      <c r="T6" s="4">
        <f t="shared" ref="T6:T17" si="14">CQ6</f>
        <v>1.2833475794749885</v>
      </c>
      <c r="AX6" s="7"/>
      <c r="AY6" s="7"/>
      <c r="AZ6" s="39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 t="s">
        <v>55</v>
      </c>
      <c r="CL6" s="5" t="s">
        <v>27</v>
      </c>
      <c r="CM6" s="5">
        <f t="shared" ref="CM6:CS6" si="15">AVERAGE(CM19:CM103)</f>
        <v>2.2817899242208832</v>
      </c>
      <c r="CN6" s="5">
        <f t="shared" si="15"/>
        <v>1.2446302262494444</v>
      </c>
      <c r="CO6" s="5">
        <f t="shared" si="15"/>
        <v>2.3962790075813931</v>
      </c>
      <c r="CP6" s="5">
        <f t="shared" si="15"/>
        <v>2.1440962859626134</v>
      </c>
      <c r="CQ6" s="5">
        <f t="shared" si="15"/>
        <v>1.2833475794749885</v>
      </c>
      <c r="CR6" s="5">
        <f t="shared" si="15"/>
        <v>1.4097758472861859</v>
      </c>
      <c r="CS6" s="5">
        <f t="shared" si="15"/>
        <v>1.7000387287419887</v>
      </c>
      <c r="CT6" s="5"/>
      <c r="CU6" s="5">
        <f t="shared" ref="CU6:DF6" si="16">AVERAGE(CU19:CU103)</f>
        <v>2.2769445009017959</v>
      </c>
      <c r="CV6" s="5">
        <f t="shared" si="16"/>
        <v>1.2514609999841295</v>
      </c>
      <c r="CW6" s="5">
        <f t="shared" si="16"/>
        <v>2.1831657646810618</v>
      </c>
      <c r="CX6" s="5">
        <f t="shared" si="16"/>
        <v>1.7335735354059274</v>
      </c>
      <c r="CY6" s="5">
        <f t="shared" si="16"/>
        <v>1.2864455584321524</v>
      </c>
      <c r="CZ6" s="5">
        <f t="shared" si="16"/>
        <v>1.4115094025178012</v>
      </c>
      <c r="DA6" s="5">
        <f t="shared" si="16"/>
        <v>2.3980800838789804</v>
      </c>
      <c r="DB6" s="5">
        <f t="shared" si="16"/>
        <v>1.0806916566170006</v>
      </c>
      <c r="DC6" s="5">
        <f t="shared" si="16"/>
        <v>1.2064287967198433</v>
      </c>
      <c r="DD6" s="5">
        <f t="shared" si="16"/>
        <v>0.89520336880745377</v>
      </c>
      <c r="DE6" s="5">
        <f t="shared" si="16"/>
        <v>1.2089960845030583</v>
      </c>
      <c r="DF6" s="5">
        <f t="shared" si="16"/>
        <v>1.3681705217274174</v>
      </c>
      <c r="DL6" s="4">
        <f>0.88*4.5</f>
        <v>3.96</v>
      </c>
      <c r="DP6" s="4">
        <f>0.91*3.5</f>
        <v>3.1850000000000001</v>
      </c>
      <c r="DQ6" s="4">
        <f>4.6*3</f>
        <v>13.799999999999999</v>
      </c>
      <c r="DS6" s="4">
        <f>0.91*4.5</f>
        <v>4.0949999999999998</v>
      </c>
      <c r="DT6" s="4">
        <f>4.6*4</f>
        <v>18.399999999999999</v>
      </c>
    </row>
    <row r="7" spans="7:173" ht="12" customHeight="1" x14ac:dyDescent="0.3">
      <c r="G7" s="9"/>
      <c r="H7" s="9"/>
      <c r="J7" s="4">
        <f>226*0.145</f>
        <v>32.769999999999996</v>
      </c>
      <c r="S7" s="4" t="str">
        <f>CL7</f>
        <v>cov</v>
      </c>
      <c r="T7" s="4">
        <f t="shared" si="14"/>
        <v>0.14427891700440762</v>
      </c>
      <c r="AX7" s="7"/>
      <c r="AY7" s="7"/>
      <c r="AZ7" s="39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8" t="s">
        <v>217</v>
      </c>
      <c r="CM7" s="5">
        <f t="shared" ref="CM7:CS7" si="17">STDEVP(CM19:CM103)/CM6</f>
        <v>0.11214664336210099</v>
      </c>
      <c r="CN7" s="5">
        <f t="shared" si="17"/>
        <v>0.25926576533104256</v>
      </c>
      <c r="CO7" s="5">
        <f t="shared" si="17"/>
        <v>0.19110733671463734</v>
      </c>
      <c r="CP7" s="5">
        <f t="shared" si="17"/>
        <v>0.34157126164590873</v>
      </c>
      <c r="CQ7" s="5">
        <f t="shared" si="17"/>
        <v>0.14427891700440762</v>
      </c>
      <c r="CR7" s="5">
        <f t="shared" si="17"/>
        <v>0.14762196597760932</v>
      </c>
      <c r="CS7" s="5">
        <f t="shared" si="17"/>
        <v>0.2785268190443011</v>
      </c>
      <c r="CT7" s="5"/>
      <c r="CU7" s="5">
        <f t="shared" ref="CU7:DF7" si="18">STDEVP(CU19:CU103)/CU6</f>
        <v>0.11413613135489725</v>
      </c>
      <c r="CV7" s="5">
        <f t="shared" si="18"/>
        <v>0.26172765716051666</v>
      </c>
      <c r="CW7" s="5">
        <f t="shared" si="18"/>
        <v>0.33046980749033161</v>
      </c>
      <c r="CX7" s="5">
        <f t="shared" si="18"/>
        <v>0.26144668984660624</v>
      </c>
      <c r="CY7" s="5">
        <f t="shared" si="18"/>
        <v>0.1464041129891939</v>
      </c>
      <c r="CZ7" s="5">
        <f t="shared" si="18"/>
        <v>0.15035535689457027</v>
      </c>
      <c r="DA7" s="5">
        <f t="shared" si="18"/>
        <v>1.8867924528301862E-2</v>
      </c>
      <c r="DB7" s="5">
        <f t="shared" si="18"/>
        <v>1.8867924528301862E-2</v>
      </c>
      <c r="DC7" s="5">
        <f t="shared" si="18"/>
        <v>1.8867924528301865E-2</v>
      </c>
      <c r="DD7" s="5">
        <f t="shared" si="18"/>
        <v>1.88679245283019E-2</v>
      </c>
      <c r="DE7" s="5">
        <f t="shared" si="18"/>
        <v>2.8516451327094939E-3</v>
      </c>
      <c r="DF7" s="5">
        <f t="shared" si="18"/>
        <v>1.4970356728979098E-3</v>
      </c>
      <c r="DL7" s="4">
        <f>0.85*4.5*(3*PI()-4+2/4.5)</f>
        <v>22.449775699942876</v>
      </c>
      <c r="EL7" s="4">
        <f>SQRT(EL8-1)*1.4</f>
        <v>2.7854122361862532</v>
      </c>
    </row>
    <row r="8" spans="7:173" ht="12" customHeight="1" x14ac:dyDescent="0.3">
      <c r="T8" s="4">
        <f t="shared" si="14"/>
        <v>1.6794082019601415</v>
      </c>
      <c r="AX8" s="7"/>
      <c r="AY8" s="7"/>
      <c r="AZ8" s="39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>
        <f>500*0.154</f>
        <v>77</v>
      </c>
      <c r="CK8" s="7"/>
      <c r="CL8" s="7" t="s">
        <v>28</v>
      </c>
      <c r="CM8" s="4">
        <f t="shared" ref="CM8:CS8" si="19">MAX(CM19:CM103)</f>
        <v>3.0270006048647482</v>
      </c>
      <c r="CN8" s="4">
        <f t="shared" si="19"/>
        <v>2.2796227071273441</v>
      </c>
      <c r="CO8" s="4">
        <f t="shared" si="19"/>
        <v>3.8981849746145723</v>
      </c>
      <c r="CP8" s="4">
        <f t="shared" si="19"/>
        <v>4.1928664127323829</v>
      </c>
      <c r="CQ8" s="4">
        <f t="shared" si="19"/>
        <v>1.6794082019601415</v>
      </c>
      <c r="CR8" s="4">
        <f t="shared" si="19"/>
        <v>1.8118062019953518</v>
      </c>
      <c r="CS8" s="4">
        <f t="shared" si="19"/>
        <v>2.3452641252972923</v>
      </c>
      <c r="CU8" s="4">
        <f t="shared" ref="CU8:DF8" si="20">MAX(CU19:CU103)</f>
        <v>3.0270006048647482</v>
      </c>
      <c r="CV8" s="4">
        <f t="shared" si="20"/>
        <v>2.2796227071273441</v>
      </c>
      <c r="CW8" s="4">
        <f t="shared" si="20"/>
        <v>4.1928664127323829</v>
      </c>
      <c r="CX8" s="4">
        <f t="shared" si="20"/>
        <v>2.3452641252972923</v>
      </c>
      <c r="CY8" s="4">
        <f t="shared" si="20"/>
        <v>1.6794082019601415</v>
      </c>
      <c r="CZ8" s="4">
        <f t="shared" si="20"/>
        <v>1.8118062019953518</v>
      </c>
      <c r="DA8" s="4">
        <f t="shared" si="20"/>
        <v>2.443326877914433</v>
      </c>
      <c r="DB8" s="4">
        <f t="shared" si="20"/>
        <v>1.1010820652324156</v>
      </c>
      <c r="DC8" s="4">
        <f t="shared" si="20"/>
        <v>1.2291916042051232</v>
      </c>
      <c r="DD8" s="4">
        <f t="shared" si="20"/>
        <v>0.91209399840759442</v>
      </c>
      <c r="DE8" s="4">
        <f t="shared" si="20"/>
        <v>1.2124437123028964</v>
      </c>
      <c r="DF8" s="4">
        <f t="shared" si="20"/>
        <v>1.3702187218050508</v>
      </c>
      <c r="DI8" s="4">
        <f>1.4/3.1</f>
        <v>0.45161290322580638</v>
      </c>
      <c r="EL8" s="4">
        <f>EL9^2</f>
        <v>4.9584292477020941</v>
      </c>
      <c r="ER8" s="4" t="e">
        <f>(ER9-ES9)*4*EL9</f>
        <v>#DIV/0!</v>
      </c>
      <c r="ES8" s="4" t="e">
        <f>3*ES9+0.5</f>
        <v>#DIV/0!</v>
      </c>
      <c r="ET8" s="4" t="s">
        <v>30</v>
      </c>
    </row>
    <row r="9" spans="7:173" ht="12" customHeight="1" x14ac:dyDescent="0.3">
      <c r="T9" s="4">
        <f t="shared" si="14"/>
        <v>0.88170720161183924</v>
      </c>
      <c r="AX9" s="7"/>
      <c r="AY9" s="7"/>
      <c r="AZ9" s="39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 t="s">
        <v>29</v>
      </c>
      <c r="CM9" s="4">
        <f t="shared" ref="CM9:CS9" si="21">MIN(CM19:CM103)</f>
        <v>1.7364297769457027</v>
      </c>
      <c r="CN9" s="4">
        <f t="shared" si="21"/>
        <v>0.7325953836940865</v>
      </c>
      <c r="CO9" s="4">
        <f t="shared" si="21"/>
        <v>1.2185908491732296</v>
      </c>
      <c r="CP9" s="4">
        <f t="shared" si="21"/>
        <v>1.1836659892345631</v>
      </c>
      <c r="CQ9" s="4">
        <f t="shared" si="21"/>
        <v>0.88170720161183924</v>
      </c>
      <c r="CR9" s="4">
        <f t="shared" si="21"/>
        <v>0.92555359594594022</v>
      </c>
      <c r="CS9" s="4">
        <f t="shared" si="21"/>
        <v>0.778335876421405</v>
      </c>
      <c r="CU9" s="4">
        <f t="shared" ref="CU9:DF9" si="22">MIN(CU19:CU103)</f>
        <v>1.7364297769457027</v>
      </c>
      <c r="CV9" s="4">
        <f t="shared" si="22"/>
        <v>0.7325953836940865</v>
      </c>
      <c r="CW9" s="4">
        <f t="shared" si="22"/>
        <v>1.4705608967501955</v>
      </c>
      <c r="CX9" s="4">
        <f t="shared" si="22"/>
        <v>0.778335876421405</v>
      </c>
      <c r="CY9" s="4">
        <f t="shared" si="22"/>
        <v>0.88170720161183924</v>
      </c>
      <c r="CZ9" s="4">
        <f t="shared" si="22"/>
        <v>0.92555359594594022</v>
      </c>
      <c r="DA9" s="4">
        <f t="shared" si="22"/>
        <v>2.3528332898435282</v>
      </c>
      <c r="DB9" s="4">
        <f t="shared" si="22"/>
        <v>1.0603012480015854</v>
      </c>
      <c r="DC9" s="4">
        <f t="shared" si="22"/>
        <v>1.1836659892345631</v>
      </c>
      <c r="DD9" s="4">
        <f t="shared" si="22"/>
        <v>0.87831273920731312</v>
      </c>
      <c r="DE9" s="4">
        <f t="shared" si="22"/>
        <v>1.2055484567032204</v>
      </c>
      <c r="DF9" s="4">
        <f t="shared" si="22"/>
        <v>1.3661223216497842</v>
      </c>
      <c r="DL9" s="114" t="s">
        <v>219</v>
      </c>
      <c r="DM9" s="114"/>
      <c r="DN9" s="114"/>
      <c r="DO9" s="114"/>
      <c r="DP9" s="114"/>
      <c r="DQ9" s="114"/>
      <c r="DR9" s="114"/>
      <c r="DZ9" s="4" t="e">
        <f>MIN(1,MAX(0.85,(1-0.2*(BR9-2*#REF!)/#REF!)*IF(P9&gt;=2,0.7,1)))</f>
        <v>#REF!</v>
      </c>
      <c r="ED9" s="114" t="s">
        <v>51</v>
      </c>
      <c r="EE9" s="114"/>
      <c r="EF9" s="114"/>
      <c r="EH9" s="4" t="s">
        <v>196</v>
      </c>
      <c r="EI9" s="4" t="s">
        <v>197</v>
      </c>
      <c r="EL9" s="4">
        <f>AVERAGE(EL52:EL298)</f>
        <v>2.226753072907298</v>
      </c>
      <c r="EO9" s="4">
        <f>0.00045*EK9</f>
        <v>0</v>
      </c>
      <c r="EQ9" s="4" t="e">
        <f>AVERAGE(EQ52:EQ298)</f>
        <v>#DIV/0!</v>
      </c>
      <c r="ER9" s="4" t="e">
        <f>EQ9^0.4</f>
        <v>#DIV/0!</v>
      </c>
      <c r="ES9" s="4" t="e">
        <f>1/1.4*(1-EQ9^1.4)/(1-EQ9)</f>
        <v>#DIV/0!</v>
      </c>
      <c r="ET9" s="4">
        <v>0.75</v>
      </c>
      <c r="FC9" s="4" t="s">
        <v>41</v>
      </c>
    </row>
    <row r="10" spans="7:173" ht="12" customHeight="1" x14ac:dyDescent="0.3">
      <c r="R10" s="4" t="str">
        <f>CK10</f>
        <v>Splice</v>
      </c>
      <c r="S10" s="4" t="str">
        <f>CL10</f>
        <v>avg</v>
      </c>
      <c r="T10" s="4">
        <f t="shared" si="14"/>
        <v>1.0300130388436419</v>
      </c>
      <c r="AX10" s="7"/>
      <c r="AY10" s="7"/>
      <c r="AZ10" s="39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 t="s">
        <v>199</v>
      </c>
      <c r="CL10" s="5" t="s">
        <v>27</v>
      </c>
      <c r="CM10" s="5">
        <f t="shared" ref="CM10:CS10" si="23">AVERAGE(CM104:CM152)</f>
        <v>0.98633113248028081</v>
      </c>
      <c r="CN10" s="5">
        <f t="shared" si="23"/>
        <v>1.1543090513133545</v>
      </c>
      <c r="CO10" s="5">
        <f t="shared" si="23"/>
        <v>1.2417841640681262</v>
      </c>
      <c r="CP10" s="5">
        <f t="shared" si="23"/>
        <v>1.8189278742084238</v>
      </c>
      <c r="CQ10" s="5">
        <f t="shared" si="23"/>
        <v>1.0300130388436419</v>
      </c>
      <c r="CR10" s="5">
        <f t="shared" si="23"/>
        <v>1.0676176870118286</v>
      </c>
      <c r="CS10" s="5">
        <f t="shared" si="23"/>
        <v>1.0662582187882401</v>
      </c>
      <c r="CT10" s="5"/>
      <c r="CU10" s="5">
        <f t="shared" ref="CU10:DF10" si="24">AVERAGE(CU104:CU152)</f>
        <v>0.79949301278601104</v>
      </c>
      <c r="CV10" s="5">
        <f t="shared" si="24"/>
        <v>1.0194457866935724</v>
      </c>
      <c r="CW10" s="5">
        <f t="shared" si="24"/>
        <v>1.753104988483839</v>
      </c>
      <c r="CX10" s="5">
        <f t="shared" si="24"/>
        <v>0.97069743080401749</v>
      </c>
      <c r="CY10" s="5">
        <f t="shared" si="24"/>
        <v>1.0713177337312305</v>
      </c>
      <c r="CZ10" s="5">
        <f t="shared" si="24"/>
        <v>1.1131878473096661</v>
      </c>
      <c r="DA10" s="5">
        <f t="shared" si="24"/>
        <v>1.1928364226686854</v>
      </c>
      <c r="DB10" s="5">
        <f t="shared" si="24"/>
        <v>1.3033684490510089</v>
      </c>
      <c r="DC10" s="5">
        <f t="shared" si="24"/>
        <v>1.8916794847461227</v>
      </c>
      <c r="DD10" s="5">
        <f t="shared" si="24"/>
        <v>1.1718780370865911</v>
      </c>
      <c r="DE10" s="5">
        <f t="shared" si="24"/>
        <v>0.98436048133630683</v>
      </c>
      <c r="DF10" s="5">
        <f t="shared" si="24"/>
        <v>1.0172506677352713</v>
      </c>
      <c r="DI10" s="4">
        <f>1/3.1</f>
        <v>0.32258064516129031</v>
      </c>
      <c r="DL10" s="10"/>
      <c r="DM10" s="10"/>
      <c r="DN10" s="10"/>
      <c r="DO10" s="10"/>
      <c r="DP10" s="10"/>
      <c r="DQ10" s="10"/>
      <c r="DR10" s="10"/>
      <c r="DT10" s="4">
        <v>1</v>
      </c>
      <c r="ED10" s="10"/>
      <c r="EE10" s="10"/>
      <c r="EF10" s="10"/>
    </row>
    <row r="11" spans="7:173" ht="12" customHeight="1" x14ac:dyDescent="0.3">
      <c r="S11" s="4" t="str">
        <f>CL11</f>
        <v>cov</v>
      </c>
      <c r="T11" s="4">
        <f t="shared" si="14"/>
        <v>0.15934382407073391</v>
      </c>
      <c r="AX11" s="7"/>
      <c r="AY11" s="7"/>
      <c r="AZ11" s="39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8" t="s">
        <v>217</v>
      </c>
      <c r="CM11" s="5">
        <f t="shared" ref="CM11:CS11" si="25">STDEVP(CM104:CM152)/CM10</f>
        <v>0.55207244761722296</v>
      </c>
      <c r="CN11" s="5">
        <f t="shared" si="25"/>
        <v>0.2430018890487293</v>
      </c>
      <c r="CO11" s="5">
        <f t="shared" si="25"/>
        <v>0.26423267654880483</v>
      </c>
      <c r="CP11" s="5">
        <f t="shared" si="25"/>
        <v>0.30043336407413007</v>
      </c>
      <c r="CQ11" s="5">
        <f t="shared" si="25"/>
        <v>0.15934382407073391</v>
      </c>
      <c r="CR11" s="5">
        <f t="shared" si="25"/>
        <v>0.14982983429619767</v>
      </c>
      <c r="CS11" s="5">
        <f t="shared" si="25"/>
        <v>0.20381858053625176</v>
      </c>
      <c r="CT11" s="5"/>
      <c r="CU11" s="5">
        <f t="shared" ref="CU11:DF11" si="26">STDEVP(CU104:CU152)/CU10</f>
        <v>0.57931133326434092</v>
      </c>
      <c r="CV11" s="5">
        <f t="shared" si="26"/>
        <v>0.15886659523565255</v>
      </c>
      <c r="CW11" s="5">
        <f t="shared" si="26"/>
        <v>0.19216965788990065</v>
      </c>
      <c r="CX11" s="5">
        <f t="shared" si="26"/>
        <v>0.16038080646605674</v>
      </c>
      <c r="CY11" s="5">
        <f t="shared" si="26"/>
        <v>0.14171909034808791</v>
      </c>
      <c r="CZ11" s="5">
        <f t="shared" si="26"/>
        <v>0.13222150845223379</v>
      </c>
      <c r="DA11" s="5">
        <f t="shared" si="26"/>
        <v>0.46367622315518181</v>
      </c>
      <c r="DB11" s="5">
        <f t="shared" si="26"/>
        <v>0.23564435910799594</v>
      </c>
      <c r="DC11" s="5">
        <f t="shared" si="26"/>
        <v>0.37123279914485935</v>
      </c>
      <c r="DD11" s="5">
        <f t="shared" si="26"/>
        <v>0.19345180345513405</v>
      </c>
      <c r="DE11" s="5">
        <f t="shared" si="26"/>
        <v>0.16773814683173383</v>
      </c>
      <c r="DF11" s="5">
        <f t="shared" si="26"/>
        <v>0.15571776093937953</v>
      </c>
      <c r="DI11" s="4">
        <f>2.8/3.1</f>
        <v>0.90322580645161277</v>
      </c>
      <c r="DL11" s="10"/>
      <c r="DM11" s="10"/>
      <c r="DN11" s="10"/>
      <c r="DO11" s="10"/>
      <c r="DP11" s="10"/>
      <c r="DQ11" s="10"/>
      <c r="DR11" s="10"/>
      <c r="DT11" s="4">
        <v>1</v>
      </c>
      <c r="ED11" s="10"/>
      <c r="EE11" s="10"/>
      <c r="EF11" s="10"/>
    </row>
    <row r="12" spans="7:173" ht="12" customHeight="1" x14ac:dyDescent="0.3">
      <c r="T12" s="4">
        <f t="shared" si="14"/>
        <v>1.3945416640120281</v>
      </c>
      <c r="AX12" s="7"/>
      <c r="AY12" s="7"/>
      <c r="AZ12" s="39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 t="s">
        <v>28</v>
      </c>
      <c r="CM12" s="4">
        <f t="shared" ref="CM12:CS12" si="27">MAX(CM104:CM152)</f>
        <v>2.5273971248800322</v>
      </c>
      <c r="CN12" s="4">
        <f t="shared" si="27"/>
        <v>1.9697711735090395</v>
      </c>
      <c r="CO12" s="4">
        <f t="shared" si="27"/>
        <v>1.9806924856322257</v>
      </c>
      <c r="CP12" s="4">
        <f t="shared" si="27"/>
        <v>3.7310919948288381</v>
      </c>
      <c r="CQ12" s="4">
        <f t="shared" si="27"/>
        <v>1.3945416640120281</v>
      </c>
      <c r="CR12" s="4">
        <f t="shared" si="27"/>
        <v>1.4007274122258497</v>
      </c>
      <c r="CS12" s="4">
        <f t="shared" si="27"/>
        <v>1.5946717872855112</v>
      </c>
      <c r="CU12" s="4">
        <f t="shared" ref="CU12:DF12" si="28">MAX(CU104:CU152)</f>
        <v>1.831237871729706</v>
      </c>
      <c r="CV12" s="4">
        <f t="shared" si="28"/>
        <v>1.4385492279045442</v>
      </c>
      <c r="CW12" s="4">
        <f t="shared" si="28"/>
        <v>2.1513002317439862</v>
      </c>
      <c r="CX12" s="4">
        <f t="shared" si="28"/>
        <v>1.2506633936616351</v>
      </c>
      <c r="CY12" s="4">
        <f t="shared" si="28"/>
        <v>1.2715293577383433</v>
      </c>
      <c r="CZ12" s="4">
        <f t="shared" si="28"/>
        <v>1.317244290552404</v>
      </c>
      <c r="DA12" s="4">
        <f t="shared" si="28"/>
        <v>2.5273971248800322</v>
      </c>
      <c r="DB12" s="4">
        <f t="shared" si="28"/>
        <v>1.9697711735090395</v>
      </c>
      <c r="DC12" s="4">
        <f t="shared" si="28"/>
        <v>3.7310919948288381</v>
      </c>
      <c r="DD12" s="4">
        <f t="shared" si="28"/>
        <v>1.5946717872855112</v>
      </c>
      <c r="DE12" s="4">
        <f t="shared" si="28"/>
        <v>1.3945416640120281</v>
      </c>
      <c r="DF12" s="4">
        <f t="shared" si="28"/>
        <v>1.4007274122258497</v>
      </c>
      <c r="DL12" s="10"/>
      <c r="DM12" s="10"/>
      <c r="DN12" s="10"/>
      <c r="DO12" s="10"/>
      <c r="DP12" s="10"/>
      <c r="DQ12" s="10"/>
      <c r="DR12" s="10"/>
      <c r="ED12" s="10"/>
      <c r="EE12" s="10"/>
      <c r="EF12" s="10"/>
      <c r="EG12" s="4">
        <f>MIN(EG248:EG449)</f>
        <v>0.59499999999999997</v>
      </c>
    </row>
    <row r="13" spans="7:173" ht="12" customHeight="1" x14ac:dyDescent="0.3">
      <c r="T13" s="4">
        <f t="shared" si="14"/>
        <v>0.69659629554846381</v>
      </c>
      <c r="AX13" s="7"/>
      <c r="AY13" s="7"/>
      <c r="AZ13" s="39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 t="s">
        <v>29</v>
      </c>
      <c r="CM13" s="4">
        <f t="shared" ref="CM13:CS13" si="29">MIN(CM104:CM152)</f>
        <v>0.44463766638918378</v>
      </c>
      <c r="CN13" s="4">
        <f t="shared" si="29"/>
        <v>0.7169147487158688</v>
      </c>
      <c r="CO13" s="4">
        <f t="shared" si="29"/>
        <v>0.84329893260419375</v>
      </c>
      <c r="CP13" s="4">
        <f t="shared" si="29"/>
        <v>0.86666480781610633</v>
      </c>
      <c r="CQ13" s="4">
        <f t="shared" si="29"/>
        <v>0.69659629554846381</v>
      </c>
      <c r="CR13" s="4">
        <f t="shared" si="29"/>
        <v>0.72336424582212799</v>
      </c>
      <c r="CS13" s="4">
        <f t="shared" si="29"/>
        <v>0.70688457473746746</v>
      </c>
      <c r="CU13" s="4">
        <f t="shared" ref="CU13:DF13" si="30">MIN(CU104:CU152)</f>
        <v>0.44463766638918378</v>
      </c>
      <c r="CV13" s="4">
        <f t="shared" si="30"/>
        <v>0.77377372810250911</v>
      </c>
      <c r="CW13" s="4">
        <f t="shared" si="30"/>
        <v>1.1308190177150246</v>
      </c>
      <c r="CX13" s="4">
        <f t="shared" si="30"/>
        <v>0.70688457473746746</v>
      </c>
      <c r="CY13" s="4">
        <f t="shared" si="30"/>
        <v>0.74963962286101182</v>
      </c>
      <c r="CZ13" s="4">
        <f t="shared" si="30"/>
        <v>0.80409497946677988</v>
      </c>
      <c r="DA13" s="4">
        <f t="shared" si="30"/>
        <v>0.68409475652881924</v>
      </c>
      <c r="DB13" s="4">
        <f t="shared" si="30"/>
        <v>0.7169147487158688</v>
      </c>
      <c r="DC13" s="4">
        <f t="shared" si="30"/>
        <v>0.86666480781610633</v>
      </c>
      <c r="DD13" s="4">
        <f t="shared" si="30"/>
        <v>0.77573488574208971</v>
      </c>
      <c r="DE13" s="4">
        <f t="shared" si="30"/>
        <v>0.69659629554846381</v>
      </c>
      <c r="DF13" s="4">
        <f t="shared" si="30"/>
        <v>0.72336424582212799</v>
      </c>
      <c r="DL13" s="10"/>
      <c r="DM13" s="10"/>
      <c r="DN13" s="10"/>
      <c r="DO13" s="10"/>
      <c r="DP13" s="10"/>
      <c r="DQ13" s="10"/>
      <c r="DR13" s="10"/>
      <c r="DT13" s="4">
        <f>DT14/2</f>
        <v>4.4708269225635169</v>
      </c>
      <c r="ED13" s="10"/>
      <c r="EE13" s="10"/>
      <c r="EF13" s="10"/>
      <c r="EG13" s="4">
        <f>MAX(EG248:EG449)</f>
        <v>0.85</v>
      </c>
    </row>
    <row r="14" spans="7:173" ht="12" customHeight="1" x14ac:dyDescent="0.3">
      <c r="R14" s="4" t="str">
        <f>CK14</f>
        <v>Joint</v>
      </c>
      <c r="S14" s="4" t="str">
        <f>CL14</f>
        <v>avg</v>
      </c>
      <c r="T14" s="4">
        <f t="shared" si="14"/>
        <v>1.0180182810718719</v>
      </c>
      <c r="V14" s="4">
        <f>MIN(V52:V449)</f>
        <v>1.1000000000000001</v>
      </c>
      <c r="AX14" s="7"/>
      <c r="AY14" s="7"/>
      <c r="AZ14" s="39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 t="s">
        <v>200</v>
      </c>
      <c r="CL14" s="5" t="s">
        <v>27</v>
      </c>
      <c r="CM14" s="5">
        <f t="shared" ref="CM14:CS14" si="31">AVERAGE(CM153:CM1250)</f>
        <v>1.669040824857015</v>
      </c>
      <c r="CN14" s="5">
        <f t="shared" si="31"/>
        <v>0.86948972929207036</v>
      </c>
      <c r="CO14" s="5">
        <f t="shared" si="31"/>
        <v>0.99393847917839173</v>
      </c>
      <c r="CP14" s="5">
        <f t="shared" si="31"/>
        <v>1.8425817231163766</v>
      </c>
      <c r="CQ14" s="5">
        <f t="shared" si="31"/>
        <v>1.0180182810718719</v>
      </c>
      <c r="CR14" s="5">
        <f t="shared" si="31"/>
        <v>1.0520448536495079</v>
      </c>
      <c r="CS14" s="5">
        <f t="shared" si="31"/>
        <v>1.4389569226467425</v>
      </c>
      <c r="CT14" s="5"/>
      <c r="CU14" s="5">
        <f t="shared" ref="CU14:DF14" si="32">AVERAGE(CU153:CU250)</f>
        <v>1.7380213993724096</v>
      </c>
      <c r="CV14" s="5">
        <f t="shared" si="32"/>
        <v>0.96528440360240864</v>
      </c>
      <c r="CW14" s="5">
        <f t="shared" si="32"/>
        <v>2.0760603347966615</v>
      </c>
      <c r="CX14" s="5">
        <f t="shared" si="32"/>
        <v>2.0679009828844626</v>
      </c>
      <c r="CY14" s="5">
        <f t="shared" si="32"/>
        <v>1.1124209478300024</v>
      </c>
      <c r="CZ14" s="5">
        <f t="shared" si="32"/>
        <v>1.1577133888431765</v>
      </c>
      <c r="DA14" s="5">
        <f t="shared" si="32"/>
        <v>1.7807708572615539</v>
      </c>
      <c r="DB14" s="5">
        <f t="shared" si="32"/>
        <v>1.2751613219537503</v>
      </c>
      <c r="DC14" s="5">
        <f t="shared" si="32"/>
        <v>1.6023782214677935</v>
      </c>
      <c r="DD14" s="5">
        <f t="shared" si="32"/>
        <v>1.5458349786497587</v>
      </c>
      <c r="DE14" s="5">
        <f t="shared" si="32"/>
        <v>1.1967439817282877</v>
      </c>
      <c r="DF14" s="5">
        <f t="shared" si="32"/>
        <v>1.2573647713056622</v>
      </c>
      <c r="DL14" s="10"/>
      <c r="DM14" s="10"/>
      <c r="DN14" s="10"/>
      <c r="DO14" s="10"/>
      <c r="DP14" s="10"/>
      <c r="DQ14" s="10"/>
      <c r="DR14" s="10"/>
      <c r="DT14" s="4">
        <f>4*SQRT(DT16-1)</f>
        <v>8.9416538451270338</v>
      </c>
      <c r="ED14" s="10"/>
      <c r="EE14" s="10"/>
      <c r="EF14" s="10"/>
      <c r="FA14" s="4">
        <f>CQ14</f>
        <v>1.0180182810718719</v>
      </c>
    </row>
    <row r="15" spans="7:173" ht="12" customHeight="1" x14ac:dyDescent="0.3">
      <c r="G15" s="4">
        <f>MIN(G248:G449)</f>
        <v>799.31034482758628</v>
      </c>
      <c r="H15" s="4">
        <f>MIN(H248:H449)</f>
        <v>96.774000000000001</v>
      </c>
      <c r="J15" s="4">
        <f t="shared" ref="J15:K15" si="33">MIN(J248:J449)</f>
        <v>27.310344827586206</v>
      </c>
      <c r="K15" s="4">
        <f t="shared" si="33"/>
        <v>15.875</v>
      </c>
      <c r="L15" s="4">
        <f>MIN(L19:L449)</f>
        <v>0.5</v>
      </c>
      <c r="S15" s="4" t="str">
        <f>CL15</f>
        <v>cov</v>
      </c>
      <c r="T15" s="4">
        <f t="shared" si="14"/>
        <v>0.20255153606460594</v>
      </c>
      <c r="V15" s="4">
        <f>MAX(V52:V449)</f>
        <v>14.9</v>
      </c>
      <c r="AX15" s="7"/>
      <c r="AY15" s="7"/>
      <c r="AZ15" s="39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8" t="s">
        <v>217</v>
      </c>
      <c r="CM15" s="5">
        <f t="shared" ref="CM15:CS15" si="34">STDEVP(CM153:CM1250)/CM14</f>
        <v>0.36196459445130136</v>
      </c>
      <c r="CN15" s="5">
        <f t="shared" si="34"/>
        <v>0.38826128710075614</v>
      </c>
      <c r="CO15" s="5">
        <f t="shared" si="34"/>
        <v>0.28209464377030802</v>
      </c>
      <c r="CP15" s="5">
        <f t="shared" si="34"/>
        <v>0.25342623023887761</v>
      </c>
      <c r="CQ15" s="5">
        <f t="shared" si="34"/>
        <v>0.20255153606460594</v>
      </c>
      <c r="CR15" s="5">
        <f t="shared" si="34"/>
        <v>0.21227716493069995</v>
      </c>
      <c r="CS15" s="5">
        <f t="shared" si="34"/>
        <v>0.37188573220880466</v>
      </c>
      <c r="CT15" s="5"/>
      <c r="CU15" s="5">
        <f t="shared" ref="CU15:DF15" si="35">STDEVP(CU153:CU250)/CU14</f>
        <v>0.38544619722563678</v>
      </c>
      <c r="CV15" s="5">
        <f t="shared" si="35"/>
        <v>0.26123251548085896</v>
      </c>
      <c r="CW15" s="5">
        <f t="shared" si="35"/>
        <v>0.15907989993243515</v>
      </c>
      <c r="CX15" s="5">
        <f t="shared" si="35"/>
        <v>0.36758877623706776</v>
      </c>
      <c r="CY15" s="5">
        <f t="shared" si="35"/>
        <v>0.1561058888850923</v>
      </c>
      <c r="CZ15" s="5">
        <f t="shared" si="35"/>
        <v>0.16287841064143715</v>
      </c>
      <c r="DA15" s="5">
        <f t="shared" si="35"/>
        <v>0.36482030465642928</v>
      </c>
      <c r="DB15" s="5">
        <f t="shared" si="35"/>
        <v>0.20384204654847091</v>
      </c>
      <c r="DC15" s="5">
        <f t="shared" si="35"/>
        <v>0.20100269345354277</v>
      </c>
      <c r="DD15" s="5">
        <f t="shared" si="35"/>
        <v>0.42698748516502844</v>
      </c>
      <c r="DE15" s="5">
        <f t="shared" si="35"/>
        <v>0.18877140626779254</v>
      </c>
      <c r="DF15" s="5">
        <f t="shared" si="35"/>
        <v>0.20559257407560289</v>
      </c>
      <c r="DL15" s="10"/>
      <c r="DM15" s="10"/>
      <c r="DN15" s="10"/>
      <c r="DO15" s="10"/>
      <c r="DP15" s="10"/>
      <c r="DQ15" s="10"/>
      <c r="DR15" s="10"/>
      <c r="ED15" s="10"/>
      <c r="EE15" s="10"/>
      <c r="EF15" s="10"/>
      <c r="FA15" s="4">
        <f t="shared" ref="FA15:FA17" si="36">CQ15</f>
        <v>0.20255153606460594</v>
      </c>
    </row>
    <row r="16" spans="7:173" ht="12" customHeight="1" x14ac:dyDescent="0.3">
      <c r="G16" s="4">
        <f>MAX(G248:G449)</f>
        <v>958.62068965517244</v>
      </c>
      <c r="H16" s="4">
        <f>MAX(H248:H449)</f>
        <v>498.60199999999992</v>
      </c>
      <c r="J16" s="4">
        <f t="shared" ref="J16:K16" si="37">MAX(J248:J449)</f>
        <v>110.55172413793103</v>
      </c>
      <c r="K16" s="4">
        <f t="shared" si="37"/>
        <v>35.813999999999993</v>
      </c>
      <c r="L16" s="4">
        <f>MAX(L19:L449)</f>
        <v>30</v>
      </c>
      <c r="T16" s="4">
        <f t="shared" si="14"/>
        <v>1.7054171816068107</v>
      </c>
      <c r="AU16" s="4"/>
      <c r="AV16" s="4">
        <f>MIN(AV19:AV449)</f>
        <v>0.77786069301609739</v>
      </c>
      <c r="AX16" s="7"/>
      <c r="AY16" s="7"/>
      <c r="AZ16" s="39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 t="s">
        <v>378</v>
      </c>
      <c r="CI16" s="7"/>
      <c r="CJ16" s="7"/>
      <c r="CK16" s="7"/>
      <c r="CL16" s="7" t="s">
        <v>28</v>
      </c>
      <c r="CM16" s="4">
        <f t="shared" ref="CM16:CS16" si="38">MAX(CM153:CM1250)</f>
        <v>3.9007223111414722</v>
      </c>
      <c r="CN16" s="4">
        <f t="shared" si="38"/>
        <v>1.725882500076503</v>
      </c>
      <c r="CO16" s="4">
        <f t="shared" si="38"/>
        <v>2.068307828817685</v>
      </c>
      <c r="CP16" s="4">
        <f t="shared" si="38"/>
        <v>3.1127012279879973</v>
      </c>
      <c r="CQ16" s="4">
        <f t="shared" si="38"/>
        <v>1.7054171816068107</v>
      </c>
      <c r="CR16" s="4">
        <f t="shared" si="38"/>
        <v>1.7241744032031006</v>
      </c>
      <c r="CS16" s="4">
        <f t="shared" si="38"/>
        <v>3.7678109166826239</v>
      </c>
      <c r="CU16" s="4">
        <f t="shared" ref="CU16:DF16" si="39">MAX(CU153:CU250)</f>
        <v>3.0236147192488074</v>
      </c>
      <c r="CV16" s="4">
        <f t="shared" si="39"/>
        <v>1.6206841797361613</v>
      </c>
      <c r="CW16" s="4">
        <f t="shared" si="39"/>
        <v>2.7475233917965838</v>
      </c>
      <c r="CX16" s="4">
        <f t="shared" si="39"/>
        <v>3.7678109166826239</v>
      </c>
      <c r="CY16" s="4">
        <f t="shared" si="39"/>
        <v>1.7054171816068107</v>
      </c>
      <c r="CZ16" s="4">
        <f t="shared" si="39"/>
        <v>1.7084704294313242</v>
      </c>
      <c r="DA16" s="4">
        <f t="shared" si="39"/>
        <v>3.0173632759974316</v>
      </c>
      <c r="DB16" s="4">
        <f t="shared" si="39"/>
        <v>1.713760559030215</v>
      </c>
      <c r="DC16" s="4">
        <f t="shared" si="39"/>
        <v>2.1073737173267033</v>
      </c>
      <c r="DD16" s="4">
        <f t="shared" si="39"/>
        <v>3.0790396611328834</v>
      </c>
      <c r="DE16" s="4">
        <f t="shared" si="39"/>
        <v>1.634175742192578</v>
      </c>
      <c r="DF16" s="4">
        <f t="shared" si="39"/>
        <v>1.7241744032031006</v>
      </c>
      <c r="DL16" s="10"/>
      <c r="DM16" s="10"/>
      <c r="DO16" s="4">
        <f>(DO17-DP17)*4*DT17</f>
        <v>-1.87987201748873</v>
      </c>
      <c r="DP16" s="4">
        <f>3*DP17+0.5</f>
        <v>3.0331702057417442</v>
      </c>
      <c r="DQ16" s="10"/>
      <c r="DR16" s="10"/>
      <c r="DT16" s="4">
        <f>DT17^2</f>
        <v>5.9970733428796921</v>
      </c>
      <c r="ED16" s="10"/>
      <c r="EE16" s="10"/>
      <c r="EF16" s="10"/>
      <c r="FA16" s="4">
        <f t="shared" si="36"/>
        <v>1.7054171816068107</v>
      </c>
    </row>
    <row r="17" spans="1:184" ht="12" customHeight="1" x14ac:dyDescent="0.3">
      <c r="T17" s="4">
        <f t="shared" si="14"/>
        <v>0.47564989032534455</v>
      </c>
      <c r="AH17" s="4" t="s">
        <v>607</v>
      </c>
      <c r="AI17" s="4" t="s">
        <v>41</v>
      </c>
      <c r="AU17" s="4"/>
      <c r="AV17" s="4">
        <f>MAX(AV19:AV449)</f>
        <v>6.2806915932931462</v>
      </c>
      <c r="AW17" s="4">
        <f>SUM(AW52:AW449)</f>
        <v>17</v>
      </c>
      <c r="AX17" s="7"/>
      <c r="AY17" s="7"/>
      <c r="AZ17" s="39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 t="s">
        <v>29</v>
      </c>
      <c r="CM17" s="4">
        <f t="shared" ref="CM17:CS17" si="40">MIN(CM153:CM1250)</f>
        <v>0.55205944197966095</v>
      </c>
      <c r="CN17" s="4">
        <f t="shared" si="40"/>
        <v>0.23714039746372731</v>
      </c>
      <c r="CO17" s="4">
        <f t="shared" si="40"/>
        <v>0.39567942283543261</v>
      </c>
      <c r="CP17" s="4">
        <f t="shared" si="40"/>
        <v>0.90408286404901339</v>
      </c>
      <c r="CQ17" s="4">
        <f t="shared" si="40"/>
        <v>0.47564989032534455</v>
      </c>
      <c r="CR17" s="4">
        <f t="shared" si="40"/>
        <v>0.49532268932934714</v>
      </c>
      <c r="CS17" s="4">
        <f t="shared" si="40"/>
        <v>0.69730791094744238</v>
      </c>
      <c r="CU17" s="4">
        <f t="shared" ref="CU17:DF17" si="41">MIN(CU153:CU250)</f>
        <v>0.9367326404971309</v>
      </c>
      <c r="CV17" s="4">
        <f t="shared" si="41"/>
        <v>0.48047226670328519</v>
      </c>
      <c r="CW17" s="4">
        <f t="shared" si="41"/>
        <v>1.2578535434363767</v>
      </c>
      <c r="CX17" s="4">
        <f t="shared" si="41"/>
        <v>0.92942217759542134</v>
      </c>
      <c r="CY17" s="4">
        <f t="shared" si="41"/>
        <v>0.84833333333333338</v>
      </c>
      <c r="CZ17" s="4">
        <f t="shared" si="41"/>
        <v>0.91851247644247092</v>
      </c>
      <c r="DA17" s="4">
        <f t="shared" si="41"/>
        <v>0.77877380307996769</v>
      </c>
      <c r="DB17" s="4">
        <f t="shared" si="41"/>
        <v>0.86152845806583767</v>
      </c>
      <c r="DC17" s="4">
        <f t="shared" si="41"/>
        <v>1.1032364714470975</v>
      </c>
      <c r="DD17" s="4">
        <f t="shared" si="41"/>
        <v>0.83618018255731019</v>
      </c>
      <c r="DE17" s="4">
        <f t="shared" si="41"/>
        <v>0.84308759932066202</v>
      </c>
      <c r="DF17" s="4">
        <f t="shared" si="41"/>
        <v>0.88558461738800009</v>
      </c>
      <c r="DL17" s="10"/>
      <c r="DM17" s="10"/>
      <c r="DN17" s="4">
        <f>AVERAGE(DN19:DN449)</f>
        <v>0.34388828740873584</v>
      </c>
      <c r="DO17" s="4">
        <f>DN17^0.4</f>
        <v>0.65247962384151792</v>
      </c>
      <c r="DP17" s="4">
        <f>1/1.4*(1-DN17^1.4)/(1-DN17)</f>
        <v>0.84439006858058141</v>
      </c>
      <c r="DQ17" s="10"/>
      <c r="DR17" s="10"/>
      <c r="DT17" s="4">
        <f>AVERAGE(DT52:DT449)</f>
        <v>2.4488922685327936</v>
      </c>
      <c r="ED17" s="10"/>
      <c r="EE17" s="10"/>
      <c r="EF17" s="10"/>
      <c r="FA17" s="4">
        <f t="shared" si="36"/>
        <v>0.47564989032534455</v>
      </c>
    </row>
    <row r="18" spans="1:184" ht="80.25" customHeight="1" x14ac:dyDescent="0.3">
      <c r="A18" s="4" t="s">
        <v>685</v>
      </c>
      <c r="B18" s="4" t="s">
        <v>681</v>
      </c>
      <c r="C18" s="4" t="s">
        <v>682</v>
      </c>
      <c r="D18" s="4" t="s">
        <v>683</v>
      </c>
      <c r="E18" s="4" t="s">
        <v>684</v>
      </c>
      <c r="F18" s="10" t="s">
        <v>0</v>
      </c>
      <c r="G18" s="50" t="s">
        <v>4</v>
      </c>
      <c r="H18" s="50" t="s">
        <v>220</v>
      </c>
      <c r="I18" s="11" t="s">
        <v>74</v>
      </c>
      <c r="J18" s="50" t="s">
        <v>221</v>
      </c>
      <c r="K18" s="50" t="s">
        <v>52</v>
      </c>
      <c r="L18" s="11" t="s">
        <v>76</v>
      </c>
      <c r="M18" s="11" t="s">
        <v>75</v>
      </c>
      <c r="N18" s="50" t="s">
        <v>222</v>
      </c>
      <c r="O18" s="50" t="s">
        <v>223</v>
      </c>
      <c r="P18" s="50" t="s">
        <v>224</v>
      </c>
      <c r="Q18" s="49" t="s">
        <v>53</v>
      </c>
      <c r="R18" s="49" t="s">
        <v>225</v>
      </c>
      <c r="S18" s="49" t="s">
        <v>58</v>
      </c>
      <c r="T18" s="12" t="s">
        <v>59</v>
      </c>
      <c r="U18" s="12" t="s">
        <v>60</v>
      </c>
      <c r="V18" s="12" t="s">
        <v>56</v>
      </c>
      <c r="W18" s="12" t="s">
        <v>377</v>
      </c>
      <c r="X18" s="49" t="s">
        <v>57</v>
      </c>
      <c r="Y18" s="12" t="s">
        <v>65</v>
      </c>
      <c r="Z18" s="12" t="s">
        <v>187</v>
      </c>
      <c r="AA18" s="12" t="s">
        <v>186</v>
      </c>
      <c r="AB18" s="50" t="s">
        <v>78</v>
      </c>
      <c r="AC18" s="13"/>
      <c r="AD18" s="13" t="s">
        <v>226</v>
      </c>
      <c r="AE18" s="49" t="s">
        <v>227</v>
      </c>
      <c r="AF18" s="49" t="s">
        <v>228</v>
      </c>
      <c r="AG18" s="49" t="s">
        <v>73</v>
      </c>
      <c r="AH18" s="49" t="s">
        <v>228</v>
      </c>
      <c r="AI18" s="49" t="s">
        <v>228</v>
      </c>
      <c r="AJ18" s="12"/>
      <c r="AK18" s="12" t="s">
        <v>125</v>
      </c>
      <c r="AL18" s="12" t="s">
        <v>126</v>
      </c>
      <c r="AM18" s="12" t="s">
        <v>124</v>
      </c>
      <c r="AP18" s="14" t="s">
        <v>652</v>
      </c>
      <c r="AQ18" s="38" t="s">
        <v>229</v>
      </c>
      <c r="AR18" s="38" t="s">
        <v>603</v>
      </c>
      <c r="AS18" s="38" t="s">
        <v>604</v>
      </c>
      <c r="AX18" s="14" t="s">
        <v>1</v>
      </c>
      <c r="AY18" s="14" t="s">
        <v>61</v>
      </c>
      <c r="AZ18" s="41" t="s">
        <v>62</v>
      </c>
      <c r="BA18" s="14" t="s">
        <v>63</v>
      </c>
      <c r="BB18" s="14" t="s">
        <v>64</v>
      </c>
      <c r="BC18" s="14" t="s">
        <v>39</v>
      </c>
      <c r="BD18" s="14"/>
      <c r="BE18" s="14" t="s">
        <v>61</v>
      </c>
      <c r="BF18" s="14" t="s">
        <v>39</v>
      </c>
      <c r="BG18" s="14"/>
      <c r="BH18" s="15" t="s">
        <v>184</v>
      </c>
      <c r="BI18" s="15" t="s">
        <v>185</v>
      </c>
      <c r="BJ18" s="15"/>
      <c r="BK18" s="14" t="s">
        <v>190</v>
      </c>
      <c r="BL18" s="14" t="s">
        <v>191</v>
      </c>
      <c r="BM18" s="14" t="s">
        <v>192</v>
      </c>
      <c r="BN18" s="14" t="s">
        <v>193</v>
      </c>
      <c r="BO18" s="14" t="s">
        <v>194</v>
      </c>
      <c r="BP18" s="14" t="s">
        <v>195</v>
      </c>
      <c r="BQ18" s="14"/>
      <c r="BR18" s="14" t="s">
        <v>230</v>
      </c>
      <c r="BS18" s="14" t="s">
        <v>8</v>
      </c>
      <c r="BT18" s="14" t="s">
        <v>9</v>
      </c>
      <c r="BU18" s="14" t="s">
        <v>231</v>
      </c>
      <c r="BV18" s="14" t="s">
        <v>13</v>
      </c>
      <c r="BW18" s="4" t="s">
        <v>10</v>
      </c>
      <c r="BX18" s="9" t="s">
        <v>11</v>
      </c>
      <c r="BY18" s="9" t="s">
        <v>12</v>
      </c>
      <c r="BZ18" s="9" t="s">
        <v>14</v>
      </c>
      <c r="CA18" s="9" t="s">
        <v>15</v>
      </c>
      <c r="CB18" s="9" t="s">
        <v>16</v>
      </c>
      <c r="CC18" s="9" t="s">
        <v>208</v>
      </c>
      <c r="CD18" s="9" t="s">
        <v>209</v>
      </c>
      <c r="CE18" s="9" t="s">
        <v>210</v>
      </c>
      <c r="CF18" s="9" t="s">
        <v>211</v>
      </c>
      <c r="CG18" s="9" t="s">
        <v>212</v>
      </c>
      <c r="CH18" s="9" t="s">
        <v>17</v>
      </c>
      <c r="CI18" s="9" t="s">
        <v>18</v>
      </c>
      <c r="CJ18" s="9" t="s">
        <v>8</v>
      </c>
      <c r="CK18" s="9" t="s">
        <v>19</v>
      </c>
      <c r="CL18" s="14"/>
      <c r="CM18" s="4" t="s">
        <v>6</v>
      </c>
      <c r="CN18" s="9" t="s">
        <v>236</v>
      </c>
      <c r="CO18" s="4" t="s">
        <v>376</v>
      </c>
      <c r="CP18" s="4" t="s">
        <v>20</v>
      </c>
      <c r="CQ18" s="4" t="s">
        <v>25</v>
      </c>
      <c r="CR18" s="4" t="s">
        <v>51</v>
      </c>
      <c r="CS18" s="4" t="s">
        <v>605</v>
      </c>
      <c r="CU18" s="14" t="s">
        <v>240</v>
      </c>
      <c r="CV18" s="14" t="s">
        <v>241</v>
      </c>
      <c r="CW18" s="14" t="s">
        <v>242</v>
      </c>
      <c r="CX18" s="14" t="s">
        <v>655</v>
      </c>
      <c r="CY18" s="14" t="s">
        <v>243</v>
      </c>
      <c r="CZ18" s="14" t="s">
        <v>244</v>
      </c>
      <c r="DA18" s="14" t="s">
        <v>201</v>
      </c>
      <c r="DB18" s="14" t="s">
        <v>202</v>
      </c>
      <c r="DC18" s="14" t="s">
        <v>366</v>
      </c>
      <c r="DD18" s="14" t="s">
        <v>656</v>
      </c>
      <c r="DE18" s="14" t="s">
        <v>203</v>
      </c>
      <c r="DF18" s="14" t="s">
        <v>204</v>
      </c>
      <c r="DG18" s="14"/>
      <c r="DH18" s="14"/>
      <c r="DI18" s="14" t="s">
        <v>7</v>
      </c>
      <c r="DJ18" s="14"/>
      <c r="DK18" s="14" t="s">
        <v>26</v>
      </c>
      <c r="DL18" s="4" t="s">
        <v>21</v>
      </c>
      <c r="DM18" s="16" t="s">
        <v>248</v>
      </c>
      <c r="DN18" s="17" t="s">
        <v>37</v>
      </c>
      <c r="DO18" s="9" t="s">
        <v>22</v>
      </c>
      <c r="DP18" s="9" t="s">
        <v>23</v>
      </c>
      <c r="DQ18" s="9" t="s">
        <v>251</v>
      </c>
      <c r="DR18" s="9" t="s">
        <v>24</v>
      </c>
      <c r="DS18" s="9"/>
      <c r="DT18" s="18" t="s">
        <v>369</v>
      </c>
      <c r="DU18" s="18" t="s">
        <v>368</v>
      </c>
      <c r="DV18" s="9" t="s">
        <v>24</v>
      </c>
      <c r="DW18" s="9" t="s">
        <v>252</v>
      </c>
      <c r="DX18" s="9"/>
      <c r="DY18" s="9" t="s">
        <v>8</v>
      </c>
      <c r="DZ18" s="9" t="s">
        <v>9</v>
      </c>
      <c r="EA18" s="9" t="s">
        <v>231</v>
      </c>
      <c r="EB18" s="14" t="s">
        <v>13</v>
      </c>
      <c r="EC18" s="14"/>
      <c r="ED18" s="9" t="s">
        <v>24</v>
      </c>
      <c r="EE18" s="9" t="s">
        <v>653</v>
      </c>
      <c r="EF18" s="9"/>
      <c r="EG18" s="14"/>
      <c r="EH18" s="16" t="s">
        <v>248</v>
      </c>
      <c r="EI18" s="16"/>
      <c r="EJ18" s="17" t="s">
        <v>30</v>
      </c>
      <c r="EK18" s="17" t="s">
        <v>31</v>
      </c>
      <c r="EL18" s="17"/>
      <c r="EM18" s="17" t="s">
        <v>34</v>
      </c>
      <c r="EN18" s="17" t="s">
        <v>35</v>
      </c>
      <c r="EO18" s="17" t="s">
        <v>36</v>
      </c>
      <c r="EP18" s="17" t="s">
        <v>261</v>
      </c>
      <c r="EQ18" s="17" t="s">
        <v>37</v>
      </c>
      <c r="ER18" s="17" t="s">
        <v>262</v>
      </c>
      <c r="ES18" s="17" t="s">
        <v>38</v>
      </c>
      <c r="ET18" s="17" t="s">
        <v>32</v>
      </c>
      <c r="EU18" s="17" t="s">
        <v>33</v>
      </c>
      <c r="EV18" s="17" t="s">
        <v>21</v>
      </c>
      <c r="EW18" s="17" t="s">
        <v>251</v>
      </c>
      <c r="EX18" s="16" t="s">
        <v>39</v>
      </c>
      <c r="EY18" s="17" t="s">
        <v>189</v>
      </c>
      <c r="EZ18" s="17" t="s">
        <v>188</v>
      </c>
      <c r="FA18" s="17"/>
      <c r="FB18" s="9" t="s">
        <v>367</v>
      </c>
      <c r="FC18" s="9" t="s">
        <v>252</v>
      </c>
      <c r="FD18" s="9" t="s">
        <v>255</v>
      </c>
      <c r="FE18" s="9"/>
      <c r="FF18" s="9"/>
      <c r="FG18" s="9" t="s">
        <v>2</v>
      </c>
      <c r="FH18" s="4" t="s">
        <v>214</v>
      </c>
      <c r="FI18" s="4" t="s">
        <v>605</v>
      </c>
      <c r="FJ18" s="4" t="s">
        <v>40</v>
      </c>
      <c r="FK18" s="4" t="s">
        <v>41</v>
      </c>
      <c r="FL18" s="4" t="s">
        <v>51</v>
      </c>
      <c r="FM18" s="9">
        <f>SUM(FM19:FM619)</f>
        <v>45</v>
      </c>
      <c r="FN18" s="9"/>
      <c r="FO18" s="9"/>
      <c r="FQ18" s="1" t="s">
        <v>606</v>
      </c>
      <c r="FR18" s="1" t="s">
        <v>3</v>
      </c>
      <c r="FS18" s="1"/>
      <c r="FT18" s="2" t="s">
        <v>5</v>
      </c>
      <c r="FX18" s="1" t="s">
        <v>606</v>
      </c>
      <c r="FY18" s="1" t="s">
        <v>3</v>
      </c>
      <c r="FZ18" s="1"/>
      <c r="GA18" s="2" t="s">
        <v>5</v>
      </c>
    </row>
    <row r="19" spans="1:184" s="25" customFormat="1" ht="12" hidden="1" customHeight="1" x14ac:dyDescent="0.3">
      <c r="A19" s="25">
        <v>1</v>
      </c>
      <c r="B19" s="26" t="s">
        <v>81</v>
      </c>
      <c r="C19" s="26"/>
      <c r="D19" s="26" t="s">
        <v>82</v>
      </c>
      <c r="E19" s="26"/>
      <c r="F19" s="27" t="s">
        <v>299</v>
      </c>
      <c r="G19" s="28">
        <f>75*6.9</f>
        <v>517.5</v>
      </c>
      <c r="H19" s="28">
        <f>0.5*25.4</f>
        <v>12.7</v>
      </c>
      <c r="I19" s="28">
        <f>H19</f>
        <v>12.7</v>
      </c>
      <c r="J19" s="28">
        <v>28.46</v>
      </c>
      <c r="K19" s="28">
        <v>25.4</v>
      </c>
      <c r="L19" s="28">
        <f>H19/K19</f>
        <v>0.5</v>
      </c>
      <c r="M19" s="28">
        <f>I19/K19</f>
        <v>0.5</v>
      </c>
      <c r="N19" s="28">
        <v>229</v>
      </c>
      <c r="O19" s="28">
        <f>(N19-K19)/2</f>
        <v>101.8</v>
      </c>
      <c r="P19" s="28">
        <v>305</v>
      </c>
      <c r="Q19" s="28">
        <v>0</v>
      </c>
      <c r="R19" s="28">
        <v>1</v>
      </c>
      <c r="S19" s="28">
        <v>45.47</v>
      </c>
      <c r="T19" s="7">
        <f t="shared" ref="T19:T82" si="42">MIN(N19/2/K19, (S19+K19/2)/K19)</f>
        <v>2.2901574803149609</v>
      </c>
      <c r="U19" s="28">
        <f>T19</f>
        <v>2.2901574803149609</v>
      </c>
      <c r="V19" s="28">
        <f>(44+25)^2/(PI()/4*K19^2)-1</f>
        <v>8.3959536742577185</v>
      </c>
      <c r="W19" s="7">
        <f t="shared" ref="W19:W51" si="43">MIN(W$16,V19)</f>
        <v>8.3959536742577185</v>
      </c>
      <c r="X19" s="28">
        <f t="shared" ref="X19:X82" si="44">W19+1</f>
        <v>9.3959536742577185</v>
      </c>
      <c r="Y19" s="28">
        <f t="shared" ref="Y19:Y59" si="45">K19*X19^0.5</f>
        <v>77.858162529590359</v>
      </c>
      <c r="Z19" s="28"/>
      <c r="AA19" s="28"/>
      <c r="AB19" s="28">
        <f>190.6/(PI()/4*K19^2)*1000</f>
        <v>376.15391100893112</v>
      </c>
      <c r="AC19" s="28"/>
      <c r="AD19" s="28"/>
      <c r="AE19" s="28"/>
      <c r="AF19" s="28"/>
      <c r="AG19" s="28">
        <v>1</v>
      </c>
      <c r="AH19" s="28"/>
      <c r="AI19" s="28"/>
      <c r="AJ19" s="28"/>
      <c r="AK19" s="4">
        <v>35</v>
      </c>
      <c r="AL19" s="25">
        <f>MIN(9*AK19^2,N19*(1.5*AK19+S19+K19/2))/(9*AK19^2)</f>
        <v>1</v>
      </c>
      <c r="AM19" s="25">
        <f>MIN(10*J19^0.5*AK19^1.5,100*3.9*J19^0.5*AK19^(5/3))/(PI()/4*K19^2)/R19</f>
        <v>21.800286431765276</v>
      </c>
      <c r="AN19" s="4">
        <f>MIN(0.7+0.3*(MIN(O19,S19)+0.5*K19)/1.5/H19,1)</f>
        <v>1</v>
      </c>
      <c r="AO19" s="25">
        <v>1.25</v>
      </c>
      <c r="AP19" s="25">
        <v>5</v>
      </c>
      <c r="AQ19" s="38">
        <f>AL19*AN19*AO19*AP19*AM19</f>
        <v>136.25179019853297</v>
      </c>
      <c r="AR19" s="38">
        <f>AQ19</f>
        <v>136.25179019853297</v>
      </c>
      <c r="AS19" s="38"/>
      <c r="AT19" s="38">
        <f t="shared" ref="AT19:AT49" si="46">AP19* (J19^0.5/AK19^0.5)/(PI()/4*K19^2)/R19/0.72 *(0.7+(MIN(O19,S19)+0.5*K19)/5/H19) *(N19*MIN(S19+0.5*K19+1.5*H19,1000))</f>
        <v>353.17274725274638</v>
      </c>
      <c r="AU19" s="38">
        <f t="shared" ref="AU19:AU82" si="47">AQ19/AT19</f>
        <v>0.38579361306444476</v>
      </c>
      <c r="AV19" s="38"/>
      <c r="AX19" s="25">
        <f t="shared" ref="AX19:AX51" si="48">I19/K19*J19^0.5/0.19</f>
        <v>14.038924914051726</v>
      </c>
      <c r="AY19" s="25">
        <f t="shared" ref="AY19:AY59" si="49">MIN(0.6+0.4*(U19/T19),2)</f>
        <v>1</v>
      </c>
      <c r="AZ19" s="38">
        <f>2*J19*T19*V19^0.5*AY19*0.7/0.7</f>
        <v>377.71589001257809</v>
      </c>
      <c r="BA19" s="25">
        <f t="shared" ref="BA19:BA59" si="50">MAX(1-0.7*W19/5,0.3)</f>
        <v>0.3</v>
      </c>
      <c r="BB19" s="25">
        <f t="shared" ref="BB19:BB82" si="51">BA19*G19*I19/(G19*K19/2.75/J19^0.5)</f>
        <v>2.2006014802776082</v>
      </c>
      <c r="BC19" s="25">
        <f t="shared" ref="BC19:BC82" si="52">AZ19+BB19</f>
        <v>379.9164914928557</v>
      </c>
      <c r="BE19" s="36">
        <f t="shared" ref="BE19:BE82" si="53">MAX(1, (0.9+0.1*MIN(2,T19-0.5))*(0.9+0.1*MIN(3.5,O19/O19))+0.45*MIN(2.5,(40*2*PI()*AE19^2/4/AG19/R19)/K19))</f>
        <v>1.0790157480314961</v>
      </c>
      <c r="BF19" s="36">
        <f t="shared" ref="BF19:BF82" si="54">(1.6*M19+22)*BE19*J19^0.5</f>
        <v>131.24418733049674</v>
      </c>
      <c r="BK19" s="25">
        <f t="shared" ref="BK19:BK51" si="55">IF(R19=1,O19,MIN(O19,Q19/2+6.4))</f>
        <v>101.8</v>
      </c>
      <c r="BL19" s="25">
        <f t="shared" ref="BL19:BL51" si="56">MIN(S19,BK19)</f>
        <v>45.47</v>
      </c>
      <c r="BM19" s="25">
        <f t="shared" ref="BM19:BM51" si="57">MAX(S19,BK19)</f>
        <v>101.8</v>
      </c>
      <c r="BN19" s="25">
        <f t="shared" ref="BN19:BN51" si="58">BL19+K19/2</f>
        <v>58.17</v>
      </c>
      <c r="BO19" s="25">
        <f t="shared" ref="BO19:BO51" si="59">MIN(1.25, 0.1*BM19/BL19+0.9)</f>
        <v>1.1238838794809765</v>
      </c>
      <c r="BP19" s="25">
        <f>MIN(4, (BN19*BO19+(6*J19^0.5*(0.03*K19+0.22)*(AE19^2/4*PI())*2/AG19/R19))/K19)</f>
        <v>2.573871073598756</v>
      </c>
      <c r="BR19" s="25">
        <f t="shared" ref="BR19:BR51" si="60">IF(Q19=0,O19,MIN(Q19/2,O19))</f>
        <v>101.8</v>
      </c>
      <c r="BV19" s="29"/>
      <c r="BX19" s="29"/>
      <c r="BY19" s="29"/>
      <c r="BZ19" s="29">
        <f t="shared" ref="BZ19:BZ51" si="61">IF(Q19=0,MIN(O19,P19),MIN(Q19/2,O19,P19))</f>
        <v>101.8</v>
      </c>
      <c r="CA19" s="29">
        <f t="shared" ref="CA19:CA51" si="62">MAX(Q19/2,O19)</f>
        <v>101.8</v>
      </c>
      <c r="CB19" s="29">
        <f t="shared" ref="CB19:CB82" si="63">(BZ19/K19)^0.5*(CA19/BZ19)^0.15</f>
        <v>2.001967536137395</v>
      </c>
      <c r="CC19" s="29">
        <v>0</v>
      </c>
      <c r="CD19" s="29">
        <f t="shared" ref="CD19:CD37" si="64">MIN(PI()*AE19^2/4*AF19*2/R19/K19/MAX(0.01,AG19),0.05)</f>
        <v>0</v>
      </c>
      <c r="CE19" s="29">
        <f t="shared" ref="CE19:CE82" si="65">MAX(0,CC19*(CD19-0.5/50))</f>
        <v>0</v>
      </c>
      <c r="CF19" s="29">
        <f t="shared" ref="CF19:CF51" si="66">MIN(1,(25/K19)^0.3)</f>
        <v>0.99524931562137331</v>
      </c>
      <c r="CG19" s="29">
        <f t="shared" ref="CG19:CG51" si="67">IF(G19&gt;=800,0.68,IF(G19&gt;=700,0.75-(G19-700)*0.07/100,IF(G19&gt;=600,0.85-(G19-600)*0.1/100,IF(G19&gt;=500,1-(G19-500)*0.15/100,1.2-(G19-400)*0.2/100))))</f>
        <v>0.97375</v>
      </c>
      <c r="CH19" s="29">
        <f t="shared" ref="CH19:CH82" si="68">1.75*CF19*CG19*(J19/25)^0.5</f>
        <v>1.8095260954698043</v>
      </c>
      <c r="CI19" s="29">
        <f t="shared" ref="CI19:CI82" si="69">MIN((CB19+CE19)*CH19,2.5*CH19,J19^0.5)</f>
        <v>3.6226124989240045</v>
      </c>
      <c r="CJ19" s="29">
        <v>1</v>
      </c>
      <c r="CK19" s="29">
        <f t="shared" ref="CK19:CK82" si="70">4*CI19*M19+60*CI19</f>
        <v>224.60197493328826</v>
      </c>
      <c r="CM19" s="4"/>
      <c r="CN19" s="4"/>
      <c r="CO19" s="4"/>
      <c r="CP19" s="4"/>
      <c r="CQ19" s="4"/>
      <c r="CR19" s="4"/>
      <c r="CS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H19" s="4">
        <f t="shared" ref="DH19:DH51" si="71">AF19</f>
        <v>0</v>
      </c>
      <c r="DI19" s="25">
        <f t="shared" ref="DI19:DI51" si="72">H19</f>
        <v>12.7</v>
      </c>
      <c r="DJ19" s="25">
        <f t="shared" ref="DJ19:DJ51" si="73">I19/H19</f>
        <v>1</v>
      </c>
      <c r="DL19" s="4">
        <f t="shared" ref="DL19:DL51" si="74">H19/4/(1-0.3*(J19/30)^0.5)/200000/K19</f>
        <v>8.8301600844121163E-7</v>
      </c>
      <c r="DM19" s="4">
        <f t="shared" ref="DM19:DM51" si="75">EH19</f>
        <v>8.1848336869692275</v>
      </c>
      <c r="DN19" s="4"/>
      <c r="DO19" s="4">
        <f t="shared" ref="DO19:DO82" si="76">DM19*DN19^0.4</f>
        <v>0</v>
      </c>
      <c r="DP19" s="4">
        <f t="shared" ref="DP19:DP82" si="77">MIN(DM19, DM19/1.4*(1-DN19^1.4)/(1-DN19))</f>
        <v>5.8463097764065912</v>
      </c>
      <c r="DQ19" s="4">
        <f t="shared" ref="DQ19:DQ82" si="78">MAX(DM19/2, (4-DL19*(8*Y19*(DO19-DP19)+6*H19*DP19))/(4+DL19*H19*DM19)*DM19)</f>
        <v>8.1904203412824206</v>
      </c>
      <c r="DR19" s="38">
        <f>MIN(1/K19*(4*Y19*(DO19-DP19)+(3*DP19+DQ19)*H19)+DU19 -FB19,MAX(G19,AB19))</f>
        <v>294.35506984078529</v>
      </c>
      <c r="DS19" s="4">
        <f t="shared" ref="DS19:DS82" si="79">DR19/EX19</f>
        <v>0.691143573247057</v>
      </c>
      <c r="DT19" s="4"/>
      <c r="DU19" s="4">
        <f>MIN(DT$10*AT19)</f>
        <v>353.17274725274638</v>
      </c>
      <c r="DY19" s="25">
        <f t="shared" ref="DY19:DY51" si="80">IF(P19&gt;1*K19,0.85,1)</f>
        <v>0.85</v>
      </c>
      <c r="DZ19" s="25">
        <f t="shared" ref="DZ19:DZ82" si="81">MIN(1,MAX(0.7,(1-0.1*(BR19-1*K19)/K19)))</f>
        <v>0.7</v>
      </c>
      <c r="EA19" s="25">
        <f t="shared" ref="EA19:EA82" si="82">MIN(1,MAX(0.7,1-0.3*(PI()*AE19^2/4*AF19*2-0.25*PI()/4*K19^2)/(PI()/4*K19^2)))</f>
        <v>1</v>
      </c>
      <c r="EB19" s="25">
        <f t="shared" ref="EB19:EB82" si="83">IF(DZ19*EA19&lt;0.7,0.7,DZ19*EA19)</f>
        <v>0.7</v>
      </c>
      <c r="ED19" s="4">
        <f>MIN(DM19/K19*3*H19+EE19-FB19,MAX(G19,AB19))</f>
        <v>517.5</v>
      </c>
      <c r="EE19" s="25">
        <f>8.8*N19*508*J19^0.5/R19/K19^2/H19^0.5*(0.7+MIN(S19,O19)/5/H19)</f>
        <v>3363.6638970811728</v>
      </c>
      <c r="EH19" s="4">
        <f t="shared" ref="EH19:EH82" si="84">IF(K19&lt;22.2,1.1*5*(J19/30)^0.5,IF(K19&gt;=31.8,0.9*5*(J19/30)^0.5,1*5*(J19/30)^0.5))/DY19/EB19</f>
        <v>8.1848336869692275</v>
      </c>
      <c r="EI19" s="25">
        <f t="shared" ref="EI19:EI51" si="85">IF(K19&lt;22.2,1.1*5*(J19/30)^0.5,IF(K19&gt;=31.8,0.9*5*(J19/30)^0.5,1*5*(J19/30)^0.5))*BP19/2.5</f>
        <v>5.0138761872474067</v>
      </c>
      <c r="EK19" s="4">
        <f t="shared" ref="EK19:EK51" si="86">EL19*K19</f>
        <v>77.858162529590359</v>
      </c>
      <c r="EL19" s="4">
        <f t="shared" ref="EL19:EL51" si="87">X19^0.5</f>
        <v>3.0652819893539514</v>
      </c>
      <c r="EM19" s="4">
        <f t="shared" ref="EM19:EM51" si="88">MIN(DU19)/(4700*J19^0.5)/W19*EK19</f>
        <v>0.130618891639665</v>
      </c>
      <c r="EP19" s="25">
        <f t="shared" ref="EP19:EP51" si="89">EM19</f>
        <v>0.130618891639665</v>
      </c>
      <c r="EQ19" s="25">
        <f t="shared" ref="EQ19:EQ51" si="90">MIN(0.999, EP19/(0.3*(J19/30)^0.5))</f>
        <v>0.44702099307513243</v>
      </c>
      <c r="ER19" s="4">
        <f t="shared" ref="ER19:ER51" si="91">EH19/1*EQ19^0.4</f>
        <v>5.9311789414130152</v>
      </c>
      <c r="ES19" s="25">
        <f t="shared" ref="ES19:ES51" si="92">EH19/1.4*(1-EQ19^1.4)/(1-EQ19)</f>
        <v>7.1476133518602776</v>
      </c>
      <c r="ET19" s="4">
        <f t="shared" ref="ET19:ET51" si="93">MAX(0,DI19*ET$9-EK19)</f>
        <v>0</v>
      </c>
      <c r="EU19" s="4">
        <f t="shared" ref="EU19:EU51" si="94">MAX(0,DI19-EK19-ET19)</f>
        <v>0</v>
      </c>
      <c r="EV19" s="25">
        <f t="shared" ref="EV19:EV82" si="95">EU19/(1-0.3*(J19/30)^0.5)/200000/K19</f>
        <v>0</v>
      </c>
      <c r="EW19" s="25">
        <f t="shared" ref="EW19:EW51" si="96">MAX(0.5*EH19, (1-2*EV19*(EK19*ER19+ET19*ES19))/(1/EH19+EV19*EU19))</f>
        <v>8.1848336869692275</v>
      </c>
      <c r="EX19" s="4">
        <f t="shared" ref="EX19:EX51" si="97">MIN(4/K19*(1*ER19*EK19+ES19*EY19+EZ19*EW19)+DU19,MAX(G19,AB19))</f>
        <v>425.89569119174138</v>
      </c>
      <c r="EY19" s="4">
        <f t="shared" ref="EY19:EY51" si="98">IF(DJ19&lt;=ET$9, MAX(0,DI19*DJ19-EK19), MAX(0,DI19*ET$9-EK19))</f>
        <v>0</v>
      </c>
      <c r="EZ19" s="4">
        <f t="shared" ref="EZ19:EZ51" si="99">MAX(0, DI19*DJ19-EY19-EK19)</f>
        <v>0</v>
      </c>
      <c r="FB19" s="4">
        <f t="shared" ref="FB19:FB82" si="100">4/K19*(1*ER19*EK19+ES19*ET19+EU19*EW19)+DU19 - (4/K19*(1*ER19*EK19+ES19*EY19+EZ19*EW19)+DU19)</f>
        <v>0</v>
      </c>
      <c r="FG19" s="23"/>
      <c r="FH19" s="23"/>
      <c r="FI19" s="23"/>
      <c r="FJ19" s="23"/>
      <c r="FK19" s="23"/>
      <c r="FL19" s="23"/>
      <c r="FM19" s="30"/>
      <c r="FN19" s="30"/>
      <c r="FX19" s="4">
        <f t="shared" ref="FX19:FX82" si="101">IF(O19&gt;=2.5*25.4,1,1.25)</f>
        <v>1</v>
      </c>
      <c r="FY19" s="4">
        <f t="shared" ref="FY19:FY82" si="102">IF(AG19&gt;1, 0.05*(18-MIN(8,(Q19+K19)/K19))*(1-48000/MAX(60000,(G19*145))*(K19/25.4)^0.75*FZ19), 1/12*(14-MIN(8,(Q19+K19)/K19)))</f>
        <v>1.0833333333333333</v>
      </c>
      <c r="FZ19" s="4">
        <f t="shared" ref="FZ19:FZ82" si="103">MIN(0.3, AE19^2*PI()/4*2*AH19/(K19^2*PI()/4*R19))</f>
        <v>0</v>
      </c>
      <c r="GA19" s="4">
        <f t="shared" ref="GA19:GA82" si="104">(H19/25.4)/(K19/25.4)^1.5/0.0024*(J19*145)^0.25/FX19/FY19/145</f>
        <v>10.629904887340729</v>
      </c>
      <c r="GB19" s="4"/>
    </row>
    <row r="20" spans="1:184" s="25" customFormat="1" ht="12" hidden="1" customHeight="1" x14ac:dyDescent="0.3">
      <c r="A20" s="25">
        <v>2</v>
      </c>
      <c r="B20" s="26" t="s">
        <v>81</v>
      </c>
      <c r="C20" s="26"/>
      <c r="D20" s="26" t="s">
        <v>82</v>
      </c>
      <c r="E20" s="26"/>
      <c r="F20" s="28" t="s">
        <v>300</v>
      </c>
      <c r="G20" s="28">
        <f t="shared" ref="G20:G51" si="105">75*6.9</f>
        <v>517.5</v>
      </c>
      <c r="H20" s="28">
        <f>0.5*25.4</f>
        <v>12.7</v>
      </c>
      <c r="I20" s="28">
        <f>H20</f>
        <v>12.7</v>
      </c>
      <c r="J20" s="28">
        <v>28.46</v>
      </c>
      <c r="K20" s="28">
        <v>25.4</v>
      </c>
      <c r="L20" s="28">
        <f t="shared" ref="L20:L51" si="106">H20/K20</f>
        <v>0.5</v>
      </c>
      <c r="M20" s="28">
        <f t="shared" ref="M20:M51" si="107">I20/K20</f>
        <v>0.5</v>
      </c>
      <c r="N20" s="28">
        <v>229</v>
      </c>
      <c r="O20" s="28">
        <f t="shared" ref="O20:O83" si="108">(N20-K20)/2</f>
        <v>101.8</v>
      </c>
      <c r="P20" s="28">
        <v>305</v>
      </c>
      <c r="Q20" s="28">
        <v>0</v>
      </c>
      <c r="R20" s="28">
        <v>1</v>
      </c>
      <c r="S20" s="28">
        <v>45.39</v>
      </c>
      <c r="T20" s="7">
        <f t="shared" si="42"/>
        <v>2.2870078740157482</v>
      </c>
      <c r="U20" s="28">
        <f t="shared" ref="U20:U51" si="109">T20</f>
        <v>2.2870078740157482</v>
      </c>
      <c r="V20" s="28">
        <f t="shared" ref="V20:V51" si="110">(44+25)^2/(PI()/4*K20^2)-1</f>
        <v>8.3959536742577185</v>
      </c>
      <c r="W20" s="7">
        <f t="shared" si="43"/>
        <v>8.3959536742577185</v>
      </c>
      <c r="X20" s="28">
        <f t="shared" si="44"/>
        <v>9.3959536742577185</v>
      </c>
      <c r="Y20" s="28">
        <f t="shared" si="45"/>
        <v>77.858162529590359</v>
      </c>
      <c r="Z20" s="28"/>
      <c r="AA20" s="28"/>
      <c r="AB20" s="28">
        <f>196.74/(PI()/4*K20^2)*1000</f>
        <v>388.27135599106572</v>
      </c>
      <c r="AC20" s="28"/>
      <c r="AD20" s="28"/>
      <c r="AE20" s="28"/>
      <c r="AF20" s="28"/>
      <c r="AG20" s="28">
        <v>1</v>
      </c>
      <c r="AH20" s="28"/>
      <c r="AI20" s="28"/>
      <c r="AJ20" s="28"/>
      <c r="AK20" s="4">
        <v>1</v>
      </c>
      <c r="AL20" s="25">
        <f t="shared" ref="AL20:AL51" si="111">MIN(9*AK20^2,N20*(1.5*AK20+S20+K20/2))/(9*AK20^2)</f>
        <v>1</v>
      </c>
      <c r="AM20" s="25">
        <f t="shared" ref="AM20:AM83" si="112">MIN(10*J20^0.5*AK20^1.5,100*3.9*J20^0.5*AK20^(5/3))/(PI()/4*K20^2)/R20</f>
        <v>0.10528345618346728</v>
      </c>
      <c r="AN20" s="4">
        <f t="shared" ref="AN20:AN83" si="113">MIN(0.7+0.3*(MIN(O20,S20)+0.5*K20)/1.5/H20,1)</f>
        <v>1</v>
      </c>
      <c r="AO20" s="25">
        <v>1.25</v>
      </c>
      <c r="AP20" s="25">
        <f t="shared" ref="AP20:AP83" si="114">AP19</f>
        <v>5</v>
      </c>
      <c r="AQ20" s="38">
        <f t="shared" ref="AQ20:AQ83" si="115">AL20*AN20*AO20*AP20*AM20</f>
        <v>0.65802160114667052</v>
      </c>
      <c r="AR20" s="38">
        <f t="shared" ref="AR20:AR83" si="116">AQ20</f>
        <v>0.65802160114667052</v>
      </c>
      <c r="AS20" s="38"/>
      <c r="AT20" s="38">
        <f t="shared" si="46"/>
        <v>2085.6063759609842</v>
      </c>
      <c r="AU20" s="38">
        <f t="shared" si="47"/>
        <v>3.155061322841776E-4</v>
      </c>
      <c r="AV20" s="38"/>
      <c r="AX20" s="25">
        <f t="shared" si="48"/>
        <v>14.038924914051726</v>
      </c>
      <c r="AY20" s="25">
        <f t="shared" si="49"/>
        <v>1</v>
      </c>
      <c r="AZ20" s="38">
        <f t="shared" ref="AZ20:AZ83" si="117">2*J20*T20*V20^0.5*AY20*0.7/0.7</f>
        <v>377.19642514751001</v>
      </c>
      <c r="BA20" s="25">
        <f t="shared" si="50"/>
        <v>0.3</v>
      </c>
      <c r="BB20" s="25">
        <f t="shared" si="51"/>
        <v>2.2006014802776082</v>
      </c>
      <c r="BC20" s="25">
        <f t="shared" si="52"/>
        <v>379.39702662778762</v>
      </c>
      <c r="BE20" s="36">
        <f t="shared" si="53"/>
        <v>1.0787007874015748</v>
      </c>
      <c r="BF20" s="36">
        <f t="shared" si="54"/>
        <v>131.20587764688875</v>
      </c>
      <c r="BK20" s="25">
        <f t="shared" si="55"/>
        <v>101.8</v>
      </c>
      <c r="BL20" s="25">
        <f t="shared" si="56"/>
        <v>45.39</v>
      </c>
      <c r="BM20" s="25">
        <f t="shared" si="57"/>
        <v>101.8</v>
      </c>
      <c r="BN20" s="25">
        <f t="shared" si="58"/>
        <v>58.09</v>
      </c>
      <c r="BO20" s="25">
        <f t="shared" si="59"/>
        <v>1.1242784754351178</v>
      </c>
      <c r="BP20" s="25">
        <f t="shared" ref="BP20:BP83" si="118">MIN(4, (BN20*BO20+(6*J20^0.5*(0.03*K20+0.22)*(AE20^2/4*PI())*2/AG20/R20))/K20)</f>
        <v>2.5712337259065356</v>
      </c>
      <c r="BR20" s="25">
        <f t="shared" si="60"/>
        <v>101.8</v>
      </c>
      <c r="BV20" s="29"/>
      <c r="BX20" s="29"/>
      <c r="BY20" s="29"/>
      <c r="BZ20" s="29">
        <f t="shared" si="61"/>
        <v>101.8</v>
      </c>
      <c r="CA20" s="29">
        <f t="shared" si="62"/>
        <v>101.8</v>
      </c>
      <c r="CB20" s="29">
        <f t="shared" si="63"/>
        <v>2.001967536137395</v>
      </c>
      <c r="CC20" s="29">
        <v>0</v>
      </c>
      <c r="CD20" s="29">
        <f t="shared" si="64"/>
        <v>0</v>
      </c>
      <c r="CE20" s="29">
        <f t="shared" si="65"/>
        <v>0</v>
      </c>
      <c r="CF20" s="29">
        <f t="shared" si="66"/>
        <v>0.99524931562137331</v>
      </c>
      <c r="CG20" s="29">
        <f t="shared" si="67"/>
        <v>0.97375</v>
      </c>
      <c r="CH20" s="29">
        <f t="shared" si="68"/>
        <v>1.8095260954698043</v>
      </c>
      <c r="CI20" s="29">
        <f t="shared" si="69"/>
        <v>3.6226124989240045</v>
      </c>
      <c r="CJ20" s="29">
        <v>1</v>
      </c>
      <c r="CK20" s="29">
        <f t="shared" si="70"/>
        <v>224.60197493328826</v>
      </c>
      <c r="CM20" s="4"/>
      <c r="CN20" s="4"/>
      <c r="CO20" s="4"/>
      <c r="CP20" s="4"/>
      <c r="CQ20" s="4"/>
      <c r="CR20" s="4"/>
      <c r="CS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H20" s="4">
        <f t="shared" si="71"/>
        <v>0</v>
      </c>
      <c r="DI20" s="25">
        <f t="shared" si="72"/>
        <v>12.7</v>
      </c>
      <c r="DJ20" s="25">
        <f t="shared" si="73"/>
        <v>1</v>
      </c>
      <c r="DL20" s="4">
        <f t="shared" si="74"/>
        <v>8.8301600844121163E-7</v>
      </c>
      <c r="DM20" s="4">
        <f t="shared" si="75"/>
        <v>8.1848336869692275</v>
      </c>
      <c r="DN20" s="4"/>
      <c r="DO20" s="4">
        <f t="shared" si="76"/>
        <v>0</v>
      </c>
      <c r="DP20" s="4">
        <f t="shared" si="77"/>
        <v>5.8463097764065912</v>
      </c>
      <c r="DQ20" s="4">
        <f t="shared" si="78"/>
        <v>8.1904203412824206</v>
      </c>
      <c r="DR20" s="38">
        <f t="shared" ref="DR20:DR83" si="119">MIN(1/K20*(4*Y20*(DO20-DP20)+(3*DP20+DQ20)*H20)+DU20 -FB20,MAX(G20,AB20))</f>
        <v>517.5</v>
      </c>
      <c r="DS20" s="4">
        <f t="shared" si="79"/>
        <v>1</v>
      </c>
      <c r="DT20" s="4"/>
      <c r="DU20" s="4">
        <f t="shared" ref="DU20:DU83" si="120">MIN(DT$10*AT20)</f>
        <v>2085.6063759609842</v>
      </c>
      <c r="DY20" s="25">
        <f t="shared" si="80"/>
        <v>0.85</v>
      </c>
      <c r="DZ20" s="25">
        <f t="shared" si="81"/>
        <v>0.7</v>
      </c>
      <c r="EA20" s="25">
        <f t="shared" si="82"/>
        <v>1</v>
      </c>
      <c r="EB20" s="25">
        <f t="shared" si="83"/>
        <v>0.7</v>
      </c>
      <c r="ED20" s="4">
        <f t="shared" ref="ED20:ED83" si="121">MIN(DM20/K20*3*H20+EE20-FB20,MAX(G20,AB20))</f>
        <v>517.5</v>
      </c>
      <c r="EE20" s="25">
        <f t="shared" ref="EE20:EE83" si="122">8.8*N20*508*J20^0.5/R20/K20^2/H20^0.5*(0.7+MIN(S20,O20)/5/H20)</f>
        <v>3360.6713135428445</v>
      </c>
      <c r="EH20" s="4">
        <f t="shared" si="84"/>
        <v>8.1848336869692275</v>
      </c>
      <c r="EI20" s="25">
        <f t="shared" si="85"/>
        <v>5.0087386592153482</v>
      </c>
      <c r="EK20" s="4">
        <f t="shared" si="86"/>
        <v>77.858162529590359</v>
      </c>
      <c r="EL20" s="4">
        <f t="shared" si="87"/>
        <v>3.0652819893539514</v>
      </c>
      <c r="EM20" s="4">
        <f t="shared" si="88"/>
        <v>0.77134941850336602</v>
      </c>
      <c r="EP20" s="25">
        <f t="shared" si="89"/>
        <v>0.77134941850336602</v>
      </c>
      <c r="EQ20" s="25">
        <f t="shared" si="90"/>
        <v>0.999</v>
      </c>
      <c r="ER20" s="4">
        <f t="shared" si="91"/>
        <v>8.1815587707902271</v>
      </c>
      <c r="ES20" s="25">
        <f t="shared" si="92"/>
        <v>8.1831963927074298</v>
      </c>
      <c r="ET20" s="4">
        <f t="shared" si="93"/>
        <v>0</v>
      </c>
      <c r="EU20" s="4">
        <f t="shared" si="94"/>
        <v>0</v>
      </c>
      <c r="EV20" s="25">
        <f t="shared" si="95"/>
        <v>0</v>
      </c>
      <c r="EW20" s="25">
        <f t="shared" si="96"/>
        <v>8.1848336869692275</v>
      </c>
      <c r="EX20" s="4">
        <f t="shared" si="97"/>
        <v>517.5</v>
      </c>
      <c r="EY20" s="4">
        <f t="shared" si="98"/>
        <v>0</v>
      </c>
      <c r="EZ20" s="4">
        <f t="shared" si="99"/>
        <v>0</v>
      </c>
      <c r="FB20" s="4">
        <f t="shared" si="100"/>
        <v>0</v>
      </c>
      <c r="FG20" s="23"/>
      <c r="FH20" s="23"/>
      <c r="FI20" s="23"/>
      <c r="FJ20" s="23"/>
      <c r="FK20" s="23"/>
      <c r="FL20" s="23"/>
      <c r="FM20" s="30"/>
      <c r="FN20" s="30"/>
      <c r="FX20" s="4">
        <f t="shared" si="101"/>
        <v>1</v>
      </c>
      <c r="FY20" s="4">
        <f t="shared" si="102"/>
        <v>1.0833333333333333</v>
      </c>
      <c r="FZ20" s="4">
        <f t="shared" si="103"/>
        <v>0</v>
      </c>
      <c r="GA20" s="4">
        <f t="shared" si="104"/>
        <v>10.629904887340729</v>
      </c>
      <c r="GB20" s="4"/>
    </row>
    <row r="21" spans="1:184" s="25" customFormat="1" ht="12" hidden="1" customHeight="1" x14ac:dyDescent="0.3">
      <c r="A21" s="25">
        <v>3</v>
      </c>
      <c r="B21" s="26" t="s">
        <v>81</v>
      </c>
      <c r="C21" s="26"/>
      <c r="D21" s="26" t="s">
        <v>82</v>
      </c>
      <c r="E21" s="26"/>
      <c r="F21" s="28" t="s">
        <v>301</v>
      </c>
      <c r="G21" s="28">
        <f t="shared" si="105"/>
        <v>517.5</v>
      </c>
      <c r="H21" s="28">
        <f>0.5*25.4</f>
        <v>12.7</v>
      </c>
      <c r="I21" s="28">
        <f t="shared" ref="I21:I51" si="123">H21</f>
        <v>12.7</v>
      </c>
      <c r="J21" s="28">
        <v>28.46</v>
      </c>
      <c r="K21" s="28">
        <v>25.4</v>
      </c>
      <c r="L21" s="28">
        <f t="shared" si="106"/>
        <v>0.5</v>
      </c>
      <c r="M21" s="28">
        <f t="shared" si="107"/>
        <v>0.5</v>
      </c>
      <c r="N21" s="28">
        <v>229</v>
      </c>
      <c r="O21" s="28">
        <f t="shared" si="108"/>
        <v>101.8</v>
      </c>
      <c r="P21" s="28">
        <v>305</v>
      </c>
      <c r="Q21" s="28">
        <v>0</v>
      </c>
      <c r="R21" s="28">
        <v>1</v>
      </c>
      <c r="S21" s="28">
        <v>47.12</v>
      </c>
      <c r="T21" s="7">
        <f t="shared" si="42"/>
        <v>2.3551181102362202</v>
      </c>
      <c r="U21" s="28">
        <f t="shared" si="109"/>
        <v>2.3551181102362202</v>
      </c>
      <c r="V21" s="28">
        <f t="shared" si="110"/>
        <v>8.3959536742577185</v>
      </c>
      <c r="W21" s="7">
        <f t="shared" si="43"/>
        <v>8.3959536742577185</v>
      </c>
      <c r="X21" s="28">
        <f t="shared" si="44"/>
        <v>9.3959536742577185</v>
      </c>
      <c r="Y21" s="28">
        <f t="shared" si="45"/>
        <v>77.858162529590359</v>
      </c>
      <c r="Z21" s="28"/>
      <c r="AA21" s="28"/>
      <c r="AB21" s="28">
        <f>184.68/(PI()/4*K21^2)*1000</f>
        <v>364.47064157990252</v>
      </c>
      <c r="AC21" s="28"/>
      <c r="AD21" s="28"/>
      <c r="AE21" s="28"/>
      <c r="AF21" s="28"/>
      <c r="AG21" s="28">
        <v>1</v>
      </c>
      <c r="AH21" s="28"/>
      <c r="AI21" s="28"/>
      <c r="AJ21" s="28"/>
      <c r="AK21" s="4">
        <v>1</v>
      </c>
      <c r="AL21" s="25">
        <f t="shared" si="111"/>
        <v>1</v>
      </c>
      <c r="AM21" s="25">
        <f t="shared" si="112"/>
        <v>0.10528345618346728</v>
      </c>
      <c r="AN21" s="4">
        <f t="shared" si="113"/>
        <v>1</v>
      </c>
      <c r="AO21" s="25">
        <v>1.25</v>
      </c>
      <c r="AP21" s="25">
        <f t="shared" si="114"/>
        <v>5</v>
      </c>
      <c r="AQ21" s="38">
        <f t="shared" si="115"/>
        <v>0.65802160114667052</v>
      </c>
      <c r="AR21" s="38">
        <f t="shared" si="116"/>
        <v>0.65802160114667052</v>
      </c>
      <c r="AS21" s="38"/>
      <c r="AT21" s="38">
        <f t="shared" si="46"/>
        <v>2168.3561324959337</v>
      </c>
      <c r="AU21" s="38">
        <f t="shared" si="47"/>
        <v>3.0346564906256443E-4</v>
      </c>
      <c r="AV21" s="38"/>
      <c r="AX21" s="25">
        <f t="shared" si="48"/>
        <v>14.038924914051726</v>
      </c>
      <c r="AY21" s="25">
        <f t="shared" si="49"/>
        <v>1</v>
      </c>
      <c r="AZ21" s="38">
        <f t="shared" si="117"/>
        <v>388.42985285460571</v>
      </c>
      <c r="BA21" s="25">
        <f t="shared" si="50"/>
        <v>0.3</v>
      </c>
      <c r="BB21" s="25">
        <f t="shared" si="51"/>
        <v>2.2006014802776082</v>
      </c>
      <c r="BC21" s="25">
        <f t="shared" si="52"/>
        <v>390.63045433488332</v>
      </c>
      <c r="BE21" s="36">
        <f t="shared" si="53"/>
        <v>1.0855118110236219</v>
      </c>
      <c r="BF21" s="36">
        <f t="shared" si="54"/>
        <v>132.03432455491136</v>
      </c>
      <c r="BK21" s="25">
        <f t="shared" si="55"/>
        <v>101.8</v>
      </c>
      <c r="BL21" s="25">
        <f t="shared" si="56"/>
        <v>47.12</v>
      </c>
      <c r="BM21" s="25">
        <f t="shared" si="57"/>
        <v>101.8</v>
      </c>
      <c r="BN21" s="25">
        <f t="shared" si="58"/>
        <v>59.819999999999993</v>
      </c>
      <c r="BO21" s="25">
        <f t="shared" si="59"/>
        <v>1.1160441426146011</v>
      </c>
      <c r="BP21" s="25">
        <f t="shared" si="118"/>
        <v>2.6284157720947023</v>
      </c>
      <c r="BR21" s="25">
        <f t="shared" si="60"/>
        <v>101.8</v>
      </c>
      <c r="BV21" s="29"/>
      <c r="BX21" s="29"/>
      <c r="BY21" s="29"/>
      <c r="BZ21" s="29">
        <f t="shared" si="61"/>
        <v>101.8</v>
      </c>
      <c r="CA21" s="29">
        <f t="shared" si="62"/>
        <v>101.8</v>
      </c>
      <c r="CB21" s="29">
        <f t="shared" si="63"/>
        <v>2.001967536137395</v>
      </c>
      <c r="CC21" s="29">
        <v>0</v>
      </c>
      <c r="CD21" s="29">
        <f t="shared" si="64"/>
        <v>0</v>
      </c>
      <c r="CE21" s="29">
        <f t="shared" si="65"/>
        <v>0</v>
      </c>
      <c r="CF21" s="29">
        <f t="shared" si="66"/>
        <v>0.99524931562137331</v>
      </c>
      <c r="CG21" s="29">
        <f t="shared" si="67"/>
        <v>0.97375</v>
      </c>
      <c r="CH21" s="29">
        <f t="shared" si="68"/>
        <v>1.8095260954698043</v>
      </c>
      <c r="CI21" s="29">
        <f t="shared" si="69"/>
        <v>3.6226124989240045</v>
      </c>
      <c r="CJ21" s="29">
        <v>1</v>
      </c>
      <c r="CK21" s="29">
        <f t="shared" si="70"/>
        <v>224.60197493328826</v>
      </c>
      <c r="CM21" s="4"/>
      <c r="CN21" s="4"/>
      <c r="CO21" s="4"/>
      <c r="CP21" s="4"/>
      <c r="CQ21" s="4"/>
      <c r="CR21" s="4"/>
      <c r="CS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H21" s="4">
        <f t="shared" si="71"/>
        <v>0</v>
      </c>
      <c r="DI21" s="25">
        <f t="shared" si="72"/>
        <v>12.7</v>
      </c>
      <c r="DJ21" s="25">
        <f t="shared" si="73"/>
        <v>1</v>
      </c>
      <c r="DL21" s="4">
        <f t="shared" si="74"/>
        <v>8.8301600844121163E-7</v>
      </c>
      <c r="DM21" s="4">
        <f t="shared" si="75"/>
        <v>8.1848336869692275</v>
      </c>
      <c r="DN21" s="4"/>
      <c r="DO21" s="4">
        <f t="shared" si="76"/>
        <v>0</v>
      </c>
      <c r="DP21" s="4">
        <f t="shared" si="77"/>
        <v>5.8463097764065912</v>
      </c>
      <c r="DQ21" s="4">
        <f t="shared" si="78"/>
        <v>8.1904203412824206</v>
      </c>
      <c r="DR21" s="38">
        <f t="shared" si="119"/>
        <v>517.5</v>
      </c>
      <c r="DS21" s="4">
        <f t="shared" si="79"/>
        <v>1</v>
      </c>
      <c r="DT21" s="4"/>
      <c r="DU21" s="4">
        <f t="shared" si="120"/>
        <v>2168.3561324959337</v>
      </c>
      <c r="DY21" s="25">
        <f t="shared" si="80"/>
        <v>0.85</v>
      </c>
      <c r="DZ21" s="25">
        <f t="shared" si="81"/>
        <v>0.7</v>
      </c>
      <c r="EA21" s="25">
        <f t="shared" si="82"/>
        <v>1</v>
      </c>
      <c r="EB21" s="25">
        <f t="shared" si="83"/>
        <v>0.7</v>
      </c>
      <c r="ED21" s="4">
        <f t="shared" si="121"/>
        <v>517.5</v>
      </c>
      <c r="EE21" s="25">
        <f t="shared" si="122"/>
        <v>3425.3859325591975</v>
      </c>
      <c r="EH21" s="4">
        <f t="shared" si="84"/>
        <v>8.1848336869692275</v>
      </c>
      <c r="EI21" s="25">
        <f t="shared" si="85"/>
        <v>5.1201287372428643</v>
      </c>
      <c r="EK21" s="4">
        <f t="shared" si="86"/>
        <v>77.858162529590359</v>
      </c>
      <c r="EL21" s="4">
        <f t="shared" si="87"/>
        <v>3.0652819893539514</v>
      </c>
      <c r="EM21" s="4">
        <f t="shared" si="88"/>
        <v>0.80195393588508823</v>
      </c>
      <c r="EP21" s="25">
        <f t="shared" si="89"/>
        <v>0.80195393588508823</v>
      </c>
      <c r="EQ21" s="25">
        <f t="shared" si="90"/>
        <v>0.999</v>
      </c>
      <c r="ER21" s="4">
        <f t="shared" si="91"/>
        <v>8.1815587707902271</v>
      </c>
      <c r="ES21" s="25">
        <f t="shared" si="92"/>
        <v>8.1831963927074298</v>
      </c>
      <c r="ET21" s="4">
        <f t="shared" si="93"/>
        <v>0</v>
      </c>
      <c r="EU21" s="4">
        <f t="shared" si="94"/>
        <v>0</v>
      </c>
      <c r="EV21" s="25">
        <f t="shared" si="95"/>
        <v>0</v>
      </c>
      <c r="EW21" s="25">
        <f t="shared" si="96"/>
        <v>8.1848336869692275</v>
      </c>
      <c r="EX21" s="4">
        <f t="shared" si="97"/>
        <v>517.5</v>
      </c>
      <c r="EY21" s="4">
        <f t="shared" si="98"/>
        <v>0</v>
      </c>
      <c r="EZ21" s="4">
        <f t="shared" si="99"/>
        <v>0</v>
      </c>
      <c r="FB21" s="4">
        <f t="shared" si="100"/>
        <v>0</v>
      </c>
      <c r="FG21" s="23"/>
      <c r="FH21" s="23"/>
      <c r="FI21" s="23"/>
      <c r="FJ21" s="23"/>
      <c r="FK21" s="23"/>
      <c r="FL21" s="23"/>
      <c r="FM21" s="30"/>
      <c r="FN21" s="30"/>
      <c r="FX21" s="4">
        <f t="shared" si="101"/>
        <v>1</v>
      </c>
      <c r="FY21" s="4">
        <f t="shared" si="102"/>
        <v>1.0833333333333333</v>
      </c>
      <c r="FZ21" s="4">
        <f t="shared" si="103"/>
        <v>0</v>
      </c>
      <c r="GA21" s="4">
        <f t="shared" si="104"/>
        <v>10.629904887340729</v>
      </c>
      <c r="GB21" s="4"/>
    </row>
    <row r="22" spans="1:184" ht="12" hidden="1" customHeight="1" x14ac:dyDescent="0.3">
      <c r="A22" s="25">
        <v>4</v>
      </c>
      <c r="B22" s="26" t="s">
        <v>81</v>
      </c>
      <c r="C22" s="26"/>
      <c r="D22" s="26" t="s">
        <v>82</v>
      </c>
      <c r="E22" s="26"/>
      <c r="F22" s="7" t="s">
        <v>84</v>
      </c>
      <c r="G22" s="28">
        <f t="shared" si="105"/>
        <v>517.5</v>
      </c>
      <c r="H22" s="7">
        <f t="shared" ref="H22:H23" si="124">11.25*25.4</f>
        <v>285.75</v>
      </c>
      <c r="I22" s="7">
        <f t="shared" si="123"/>
        <v>285.75</v>
      </c>
      <c r="J22" s="7">
        <v>33.630000000000003</v>
      </c>
      <c r="K22" s="7">
        <v>25.4</v>
      </c>
      <c r="L22" s="7">
        <f t="shared" si="106"/>
        <v>11.25</v>
      </c>
      <c r="M22" s="7">
        <f t="shared" si="107"/>
        <v>11.25</v>
      </c>
      <c r="N22" s="7">
        <v>229</v>
      </c>
      <c r="O22" s="7">
        <f t="shared" si="108"/>
        <v>101.8</v>
      </c>
      <c r="P22" s="7">
        <v>305</v>
      </c>
      <c r="Q22" s="7">
        <v>0</v>
      </c>
      <c r="R22" s="7">
        <v>1</v>
      </c>
      <c r="S22" s="7">
        <v>47.96</v>
      </c>
      <c r="T22" s="7">
        <f t="shared" si="42"/>
        <v>2.3881889763779527</v>
      </c>
      <c r="U22" s="28">
        <f t="shared" si="109"/>
        <v>2.3881889763779527</v>
      </c>
      <c r="V22" s="28">
        <f t="shared" si="110"/>
        <v>8.3959536742577185</v>
      </c>
      <c r="W22" s="7">
        <f t="shared" si="43"/>
        <v>8.3959536742577185</v>
      </c>
      <c r="X22" s="7">
        <f t="shared" si="44"/>
        <v>9.3959536742577185</v>
      </c>
      <c r="Y22" s="7">
        <f t="shared" si="45"/>
        <v>77.858162529590359</v>
      </c>
      <c r="Z22" s="7"/>
      <c r="AA22" s="7"/>
      <c r="AB22" s="7">
        <f>244.28/(PI()/4*K22^2)*1000</f>
        <v>482.09274596674555</v>
      </c>
      <c r="AC22" s="7"/>
      <c r="AD22" s="7"/>
      <c r="AE22" s="7">
        <v>9.5</v>
      </c>
      <c r="AF22" s="7">
        <v>3</v>
      </c>
      <c r="AG22" s="7">
        <v>127</v>
      </c>
      <c r="AH22" s="7">
        <v>3</v>
      </c>
      <c r="AI22" s="7"/>
      <c r="AJ22" s="7"/>
      <c r="AK22" s="4">
        <f t="shared" ref="AK22:AK85" si="125">H22</f>
        <v>285.75</v>
      </c>
      <c r="AL22" s="4">
        <f t="shared" si="111"/>
        <v>0.15246929654353136</v>
      </c>
      <c r="AM22" s="25">
        <f t="shared" si="112"/>
        <v>552.82220346472604</v>
      </c>
      <c r="AN22" s="4">
        <f t="shared" si="113"/>
        <v>0.74245669291338579</v>
      </c>
      <c r="AO22" s="4">
        <v>1.25</v>
      </c>
      <c r="AP22" s="25">
        <f t="shared" si="114"/>
        <v>5</v>
      </c>
      <c r="AQ22" s="38">
        <f t="shared" si="115"/>
        <v>391.12809986115502</v>
      </c>
      <c r="AR22" s="38">
        <f t="shared" si="116"/>
        <v>391.12809986115502</v>
      </c>
      <c r="AT22" s="38">
        <f t="shared" si="46"/>
        <v>391.12809986115491</v>
      </c>
      <c r="AU22" s="38">
        <f t="shared" si="47"/>
        <v>1.0000000000000002</v>
      </c>
      <c r="AX22" s="4">
        <f t="shared" si="48"/>
        <v>343.37000528047849</v>
      </c>
      <c r="AY22" s="4">
        <f t="shared" si="49"/>
        <v>1</v>
      </c>
      <c r="AZ22" s="38">
        <f t="shared" si="117"/>
        <v>465.43664045428261</v>
      </c>
      <c r="BA22" s="4">
        <f t="shared" si="50"/>
        <v>0.3</v>
      </c>
      <c r="BB22" s="4">
        <f t="shared" si="51"/>
        <v>53.823248327714992</v>
      </c>
      <c r="BC22" s="4">
        <f t="shared" si="52"/>
        <v>519.25988878199757</v>
      </c>
      <c r="BE22" s="36">
        <f t="shared" si="53"/>
        <v>1.8798656559235878</v>
      </c>
      <c r="BF22" s="36">
        <f t="shared" si="54"/>
        <v>436.06400440250223</v>
      </c>
      <c r="BK22" s="4">
        <f t="shared" si="55"/>
        <v>101.8</v>
      </c>
      <c r="BL22" s="4">
        <f t="shared" si="56"/>
        <v>47.96</v>
      </c>
      <c r="BM22" s="4">
        <f t="shared" si="57"/>
        <v>101.8</v>
      </c>
      <c r="BN22" s="4">
        <f t="shared" si="58"/>
        <v>60.66</v>
      </c>
      <c r="BO22" s="4">
        <f t="shared" si="59"/>
        <v>1.1122602168473728</v>
      </c>
      <c r="BP22" s="25">
        <f t="shared" si="118"/>
        <v>4</v>
      </c>
      <c r="BR22" s="4">
        <f t="shared" si="60"/>
        <v>101.8</v>
      </c>
      <c r="BV22" s="9"/>
      <c r="BX22" s="9"/>
      <c r="BY22" s="9"/>
      <c r="BZ22" s="9">
        <f t="shared" si="61"/>
        <v>101.8</v>
      </c>
      <c r="CA22" s="9">
        <f t="shared" si="62"/>
        <v>101.8</v>
      </c>
      <c r="CB22" s="9">
        <f t="shared" si="63"/>
        <v>2.001967536137395</v>
      </c>
      <c r="CC22" s="9">
        <v>20</v>
      </c>
      <c r="CD22" s="9">
        <f t="shared" si="64"/>
        <v>0.05</v>
      </c>
      <c r="CE22" s="9">
        <f t="shared" si="65"/>
        <v>0.8</v>
      </c>
      <c r="CF22" s="9">
        <f t="shared" si="66"/>
        <v>0.99524931562137331</v>
      </c>
      <c r="CG22" s="9">
        <f t="shared" si="67"/>
        <v>0.97375</v>
      </c>
      <c r="CH22" s="9">
        <f t="shared" si="68"/>
        <v>1.9670293329614872</v>
      </c>
      <c r="CI22" s="9">
        <f t="shared" si="69"/>
        <v>4.9175733324037179</v>
      </c>
      <c r="CJ22" s="9">
        <v>1</v>
      </c>
      <c r="CK22" s="9">
        <f t="shared" si="70"/>
        <v>516.34519990239039</v>
      </c>
      <c r="DH22" s="4">
        <f t="shared" si="71"/>
        <v>3</v>
      </c>
      <c r="DI22" s="4">
        <f t="shared" si="72"/>
        <v>285.75</v>
      </c>
      <c r="DJ22" s="4">
        <f t="shared" si="73"/>
        <v>1</v>
      </c>
      <c r="DL22" s="4">
        <f t="shared" si="74"/>
        <v>2.0608377244988005E-5</v>
      </c>
      <c r="DM22" s="4">
        <f t="shared" si="75"/>
        <v>8.8972510471034791</v>
      </c>
      <c r="DO22" s="4">
        <f t="shared" si="76"/>
        <v>0</v>
      </c>
      <c r="DP22" s="4">
        <f t="shared" si="77"/>
        <v>6.3551793193596282</v>
      </c>
      <c r="DQ22" s="4">
        <f t="shared" si="78"/>
        <v>8.4683147824653329</v>
      </c>
      <c r="DR22" s="38">
        <f t="shared" si="119"/>
        <v>517.5</v>
      </c>
      <c r="DS22" s="4">
        <f t="shared" si="79"/>
        <v>1</v>
      </c>
      <c r="DU22" s="4">
        <f t="shared" si="120"/>
        <v>391.12809986115491</v>
      </c>
      <c r="DY22" s="4">
        <f t="shared" si="80"/>
        <v>0.85</v>
      </c>
      <c r="DZ22" s="4">
        <f t="shared" si="81"/>
        <v>0.7</v>
      </c>
      <c r="EA22" s="4">
        <f t="shared" si="82"/>
        <v>0.82320199640399283</v>
      </c>
      <c r="EB22" s="4">
        <f t="shared" si="83"/>
        <v>0.7</v>
      </c>
      <c r="ED22" s="4">
        <f t="shared" si="121"/>
        <v>517.5</v>
      </c>
      <c r="EE22" s="25">
        <f t="shared" si="122"/>
        <v>399.32362943258647</v>
      </c>
      <c r="EH22" s="4">
        <f t="shared" si="84"/>
        <v>8.8972510471034791</v>
      </c>
      <c r="EI22" s="4">
        <f t="shared" si="85"/>
        <v>8.470182996842512</v>
      </c>
      <c r="EK22" s="4">
        <f t="shared" si="86"/>
        <v>77.858162529590359</v>
      </c>
      <c r="EL22" s="4">
        <f t="shared" si="87"/>
        <v>3.0652819893539514</v>
      </c>
      <c r="EM22" s="4">
        <f t="shared" si="88"/>
        <v>0.13307358072180214</v>
      </c>
      <c r="EP22" s="4">
        <f t="shared" si="89"/>
        <v>0.13307358072180214</v>
      </c>
      <c r="EQ22" s="4">
        <f t="shared" si="90"/>
        <v>0.41895538981517921</v>
      </c>
      <c r="ER22" s="4">
        <f t="shared" si="91"/>
        <v>6.2823620020062467</v>
      </c>
      <c r="ES22" s="4">
        <f t="shared" si="92"/>
        <v>7.7019186230321308</v>
      </c>
      <c r="ET22" s="4">
        <f t="shared" si="93"/>
        <v>136.45433747040965</v>
      </c>
      <c r="EU22" s="4">
        <f t="shared" si="94"/>
        <v>71.4375</v>
      </c>
      <c r="EV22" s="4">
        <f t="shared" si="95"/>
        <v>2.0608377244988005E-5</v>
      </c>
      <c r="EW22" s="4">
        <f t="shared" si="96"/>
        <v>8.2247416076663136</v>
      </c>
      <c r="EX22" s="4">
        <f t="shared" si="97"/>
        <v>517.5</v>
      </c>
      <c r="EY22" s="4">
        <f t="shared" si="98"/>
        <v>136.45433747040965</v>
      </c>
      <c r="EZ22" s="4">
        <f t="shared" si="99"/>
        <v>71.437499999999986</v>
      </c>
      <c r="FB22" s="4">
        <f t="shared" si="100"/>
        <v>0</v>
      </c>
      <c r="FG22" s="23"/>
      <c r="FH22" s="23"/>
      <c r="FI22" s="23"/>
      <c r="FJ22" s="23"/>
      <c r="FK22" s="23"/>
      <c r="FL22" s="23"/>
      <c r="FM22" s="23"/>
      <c r="FN22" s="23"/>
      <c r="FX22" s="4">
        <f t="shared" si="101"/>
        <v>1</v>
      </c>
      <c r="FY22" s="4">
        <f t="shared" si="102"/>
        <v>0.68688155922038985</v>
      </c>
      <c r="FZ22" s="4">
        <f t="shared" si="103"/>
        <v>0.3</v>
      </c>
      <c r="GA22" s="4">
        <f t="shared" si="104"/>
        <v>393.29202394425954</v>
      </c>
    </row>
    <row r="23" spans="1:184" ht="12" hidden="1" customHeight="1" x14ac:dyDescent="0.3">
      <c r="A23" s="25">
        <v>5</v>
      </c>
      <c r="B23" s="26" t="s">
        <v>81</v>
      </c>
      <c r="C23" s="26"/>
      <c r="D23" s="26" t="s">
        <v>82</v>
      </c>
      <c r="E23" s="26"/>
      <c r="F23" s="7" t="s">
        <v>303</v>
      </c>
      <c r="G23" s="28">
        <f t="shared" si="105"/>
        <v>517.5</v>
      </c>
      <c r="H23" s="7">
        <f t="shared" si="124"/>
        <v>285.75</v>
      </c>
      <c r="I23" s="7">
        <f t="shared" si="123"/>
        <v>285.75</v>
      </c>
      <c r="J23" s="7">
        <v>33.630000000000003</v>
      </c>
      <c r="K23" s="7">
        <v>25.4</v>
      </c>
      <c r="L23" s="7">
        <f t="shared" si="106"/>
        <v>11.25</v>
      </c>
      <c r="M23" s="7">
        <f t="shared" si="107"/>
        <v>11.25</v>
      </c>
      <c r="N23" s="7">
        <v>229</v>
      </c>
      <c r="O23" s="7">
        <f t="shared" si="108"/>
        <v>101.8</v>
      </c>
      <c r="P23" s="7">
        <v>305</v>
      </c>
      <c r="Q23" s="7">
        <v>0</v>
      </c>
      <c r="R23" s="7">
        <v>1</v>
      </c>
      <c r="S23" s="7">
        <v>50.8</v>
      </c>
      <c r="T23" s="7">
        <f t="shared" si="42"/>
        <v>2.5</v>
      </c>
      <c r="U23" s="28">
        <f t="shared" si="109"/>
        <v>2.5</v>
      </c>
      <c r="V23" s="28">
        <f t="shared" si="110"/>
        <v>8.3959536742577185</v>
      </c>
      <c r="W23" s="7">
        <f t="shared" si="43"/>
        <v>8.3959536742577185</v>
      </c>
      <c r="X23" s="7">
        <f t="shared" si="44"/>
        <v>9.3959536742577185</v>
      </c>
      <c r="Y23" s="7">
        <f t="shared" si="45"/>
        <v>77.858162529590359</v>
      </c>
      <c r="Z23" s="7"/>
      <c r="AA23" s="7"/>
      <c r="AB23" s="7">
        <f>234.45/(PI()/4*K23^2)*1000</f>
        <v>462.692992843882</v>
      </c>
      <c r="AC23" s="7"/>
      <c r="AD23" s="7"/>
      <c r="AE23" s="7">
        <v>9.5</v>
      </c>
      <c r="AF23" s="7">
        <v>3</v>
      </c>
      <c r="AG23" s="7">
        <v>127</v>
      </c>
      <c r="AH23" s="7">
        <v>3</v>
      </c>
      <c r="AI23" s="7"/>
      <c r="AJ23" s="7"/>
      <c r="AK23" s="4">
        <f t="shared" si="125"/>
        <v>285.75</v>
      </c>
      <c r="AL23" s="4">
        <f t="shared" si="111"/>
        <v>0.15335428750418542</v>
      </c>
      <c r="AM23" s="25">
        <f t="shared" si="112"/>
        <v>552.82220346472604</v>
      </c>
      <c r="AN23" s="4">
        <f t="shared" si="113"/>
        <v>0.74444444444444435</v>
      </c>
      <c r="AO23" s="4">
        <v>1.25</v>
      </c>
      <c r="AP23" s="25">
        <f t="shared" si="114"/>
        <v>5</v>
      </c>
      <c r="AQ23" s="38">
        <f t="shared" si="115"/>
        <v>394.45158983551403</v>
      </c>
      <c r="AR23" s="38">
        <f t="shared" si="116"/>
        <v>394.45158983551403</v>
      </c>
      <c r="AT23" s="38">
        <f t="shared" si="46"/>
        <v>394.45158983551386</v>
      </c>
      <c r="AU23" s="38">
        <f t="shared" si="47"/>
        <v>1.0000000000000004</v>
      </c>
      <c r="AX23" s="4">
        <f t="shared" si="48"/>
        <v>343.37000528047849</v>
      </c>
      <c r="AY23" s="4">
        <f t="shared" si="49"/>
        <v>1</v>
      </c>
      <c r="AZ23" s="38">
        <f t="shared" si="117"/>
        <v>487.22760746533044</v>
      </c>
      <c r="BA23" s="4">
        <f t="shared" si="50"/>
        <v>0.3</v>
      </c>
      <c r="BB23" s="4">
        <f t="shared" si="51"/>
        <v>53.823248327714992</v>
      </c>
      <c r="BC23" s="4">
        <f t="shared" si="52"/>
        <v>541.05085579304546</v>
      </c>
      <c r="BE23" s="36">
        <f t="shared" si="53"/>
        <v>1.8910467582857926</v>
      </c>
      <c r="BF23" s="36">
        <f t="shared" si="54"/>
        <v>438.65763456662262</v>
      </c>
      <c r="BK23" s="4">
        <f t="shared" si="55"/>
        <v>101.8</v>
      </c>
      <c r="BL23" s="4">
        <f t="shared" si="56"/>
        <v>50.8</v>
      </c>
      <c r="BM23" s="4">
        <f t="shared" si="57"/>
        <v>101.8</v>
      </c>
      <c r="BN23" s="4">
        <f t="shared" si="58"/>
        <v>63.5</v>
      </c>
      <c r="BO23" s="4">
        <f t="shared" si="59"/>
        <v>1.1003937007874016</v>
      </c>
      <c r="BP23" s="25">
        <f t="shared" si="118"/>
        <v>4</v>
      </c>
      <c r="BR23" s="4">
        <f t="shared" si="60"/>
        <v>101.8</v>
      </c>
      <c r="BV23" s="9"/>
      <c r="BX23" s="9"/>
      <c r="BY23" s="9"/>
      <c r="BZ23" s="9">
        <f t="shared" si="61"/>
        <v>101.8</v>
      </c>
      <c r="CA23" s="9">
        <f t="shared" si="62"/>
        <v>101.8</v>
      </c>
      <c r="CB23" s="9">
        <f t="shared" si="63"/>
        <v>2.001967536137395</v>
      </c>
      <c r="CC23" s="9">
        <v>20</v>
      </c>
      <c r="CD23" s="9">
        <f t="shared" si="64"/>
        <v>0.05</v>
      </c>
      <c r="CE23" s="9">
        <f t="shared" si="65"/>
        <v>0.8</v>
      </c>
      <c r="CF23" s="9">
        <f t="shared" si="66"/>
        <v>0.99524931562137331</v>
      </c>
      <c r="CG23" s="9">
        <f t="shared" si="67"/>
        <v>0.97375</v>
      </c>
      <c r="CH23" s="9">
        <f t="shared" si="68"/>
        <v>1.9670293329614872</v>
      </c>
      <c r="CI23" s="9">
        <f t="shared" si="69"/>
        <v>4.9175733324037179</v>
      </c>
      <c r="CJ23" s="9">
        <v>1</v>
      </c>
      <c r="CK23" s="9">
        <f t="shared" si="70"/>
        <v>516.34519990239039</v>
      </c>
      <c r="DH23" s="4">
        <f t="shared" si="71"/>
        <v>3</v>
      </c>
      <c r="DI23" s="4">
        <f t="shared" si="72"/>
        <v>285.75</v>
      </c>
      <c r="DJ23" s="4">
        <f t="shared" si="73"/>
        <v>1</v>
      </c>
      <c r="DL23" s="4">
        <f t="shared" si="74"/>
        <v>2.0608377244988005E-5</v>
      </c>
      <c r="DM23" s="4">
        <f t="shared" si="75"/>
        <v>8.8972510471034791</v>
      </c>
      <c r="DO23" s="4">
        <f t="shared" si="76"/>
        <v>0</v>
      </c>
      <c r="DP23" s="4">
        <f t="shared" si="77"/>
        <v>6.3551793193596282</v>
      </c>
      <c r="DQ23" s="4">
        <f t="shared" si="78"/>
        <v>8.4683147824653329</v>
      </c>
      <c r="DR23" s="38">
        <f t="shared" si="119"/>
        <v>517.5</v>
      </c>
      <c r="DS23" s="4">
        <f t="shared" si="79"/>
        <v>1</v>
      </c>
      <c r="DU23" s="4">
        <f t="shared" si="120"/>
        <v>394.45158983551386</v>
      </c>
      <c r="DY23" s="4">
        <f t="shared" si="80"/>
        <v>0.85</v>
      </c>
      <c r="DZ23" s="4">
        <f t="shared" si="81"/>
        <v>0.7</v>
      </c>
      <c r="EA23" s="4">
        <f t="shared" si="82"/>
        <v>0.82320199640399283</v>
      </c>
      <c r="EB23" s="4">
        <f t="shared" si="83"/>
        <v>0.7</v>
      </c>
      <c r="ED23" s="4">
        <f t="shared" si="121"/>
        <v>517.5</v>
      </c>
      <c r="EE23" s="25">
        <f t="shared" si="122"/>
        <v>400.40567822403813</v>
      </c>
      <c r="EH23" s="4">
        <f t="shared" si="84"/>
        <v>8.8972510471034791</v>
      </c>
      <c r="EI23" s="4">
        <f t="shared" si="85"/>
        <v>8.470182996842512</v>
      </c>
      <c r="EK23" s="4">
        <f t="shared" si="86"/>
        <v>77.858162529590359</v>
      </c>
      <c r="EL23" s="4">
        <f t="shared" si="87"/>
        <v>3.0652819893539514</v>
      </c>
      <c r="EM23" s="4">
        <f t="shared" si="88"/>
        <v>0.13420433228769058</v>
      </c>
      <c r="EP23" s="4">
        <f t="shared" si="89"/>
        <v>0.13420433228769058</v>
      </c>
      <c r="EQ23" s="4">
        <f t="shared" si="90"/>
        <v>0.42251533357337173</v>
      </c>
      <c r="ER23" s="4">
        <f t="shared" si="91"/>
        <v>6.3036607859393676</v>
      </c>
      <c r="ES23" s="4">
        <f t="shared" si="92"/>
        <v>7.7106038725457431</v>
      </c>
      <c r="ET23" s="4">
        <f t="shared" si="93"/>
        <v>136.45433747040965</v>
      </c>
      <c r="EU23" s="4">
        <f t="shared" si="94"/>
        <v>71.4375</v>
      </c>
      <c r="EV23" s="4">
        <f t="shared" si="95"/>
        <v>2.0608377244988005E-5</v>
      </c>
      <c r="EW23" s="4">
        <f t="shared" si="96"/>
        <v>8.2237123607947922</v>
      </c>
      <c r="EX23" s="4">
        <f t="shared" si="97"/>
        <v>517.5</v>
      </c>
      <c r="EY23" s="4">
        <f t="shared" si="98"/>
        <v>136.45433747040965</v>
      </c>
      <c r="EZ23" s="4">
        <f t="shared" si="99"/>
        <v>71.437499999999986</v>
      </c>
      <c r="FB23" s="4">
        <f t="shared" si="100"/>
        <v>0</v>
      </c>
      <c r="FG23" s="23"/>
      <c r="FH23" s="23"/>
      <c r="FI23" s="23"/>
      <c r="FJ23" s="23"/>
      <c r="FK23" s="23"/>
      <c r="FL23" s="23"/>
      <c r="FM23" s="23"/>
      <c r="FN23" s="23"/>
      <c r="FX23" s="4">
        <f t="shared" si="101"/>
        <v>1</v>
      </c>
      <c r="FY23" s="4">
        <f t="shared" si="102"/>
        <v>0.68688155922038985</v>
      </c>
      <c r="FZ23" s="4">
        <f t="shared" si="103"/>
        <v>0.3</v>
      </c>
      <c r="GA23" s="4">
        <f t="shared" si="104"/>
        <v>393.29202394425954</v>
      </c>
    </row>
    <row r="24" spans="1:184" ht="12" hidden="1" customHeight="1" x14ac:dyDescent="0.3">
      <c r="A24" s="25">
        <v>6</v>
      </c>
      <c r="B24" s="26" t="s">
        <v>81</v>
      </c>
      <c r="C24" s="26"/>
      <c r="D24" s="26" t="s">
        <v>82</v>
      </c>
      <c r="E24" s="26"/>
      <c r="F24" s="7" t="s">
        <v>83</v>
      </c>
      <c r="G24" s="28">
        <f t="shared" si="105"/>
        <v>517.5</v>
      </c>
      <c r="H24" s="7">
        <f>11.5*25.4</f>
        <v>292.09999999999997</v>
      </c>
      <c r="I24" s="7">
        <f t="shared" si="123"/>
        <v>292.09999999999997</v>
      </c>
      <c r="J24" s="7">
        <v>33.630000000000003</v>
      </c>
      <c r="K24" s="7">
        <v>25.4</v>
      </c>
      <c r="L24" s="7">
        <f t="shared" si="106"/>
        <v>11.5</v>
      </c>
      <c r="M24" s="7">
        <f t="shared" si="107"/>
        <v>11.5</v>
      </c>
      <c r="N24" s="7">
        <v>229</v>
      </c>
      <c r="O24" s="7">
        <f t="shared" si="108"/>
        <v>101.8</v>
      </c>
      <c r="P24" s="7">
        <v>305</v>
      </c>
      <c r="Q24" s="7">
        <v>0</v>
      </c>
      <c r="R24" s="7">
        <v>1</v>
      </c>
      <c r="S24" s="7">
        <v>47.73</v>
      </c>
      <c r="T24" s="7">
        <f t="shared" si="42"/>
        <v>2.3791338582677164</v>
      </c>
      <c r="U24" s="28">
        <f t="shared" si="109"/>
        <v>2.3791338582677164</v>
      </c>
      <c r="V24" s="28">
        <f t="shared" si="110"/>
        <v>8.3959536742577185</v>
      </c>
      <c r="W24" s="7">
        <f t="shared" si="43"/>
        <v>8.3959536742577185</v>
      </c>
      <c r="X24" s="7">
        <f t="shared" si="44"/>
        <v>9.3959536742577185</v>
      </c>
      <c r="Y24" s="7">
        <f t="shared" si="45"/>
        <v>77.858162529590359</v>
      </c>
      <c r="Z24" s="7"/>
      <c r="AA24" s="7"/>
      <c r="AB24" s="7">
        <f>229.78/(PI()/4*K24^2)*1000</f>
        <v>453.47662996659079</v>
      </c>
      <c r="AC24" s="7"/>
      <c r="AD24" s="7"/>
      <c r="AE24" s="7">
        <v>9.5</v>
      </c>
      <c r="AF24" s="7">
        <v>3</v>
      </c>
      <c r="AG24" s="7">
        <v>127</v>
      </c>
      <c r="AH24" s="7">
        <v>3</v>
      </c>
      <c r="AI24" s="7"/>
      <c r="AJ24" s="7"/>
      <c r="AK24" s="4">
        <f t="shared" si="125"/>
        <v>292.09999999999997</v>
      </c>
      <c r="AL24" s="4">
        <f t="shared" si="111"/>
        <v>0.14868416294278508</v>
      </c>
      <c r="AM24" s="25">
        <f t="shared" si="112"/>
        <v>571.35160868930427</v>
      </c>
      <c r="AN24" s="4">
        <f t="shared" si="113"/>
        <v>0.74137624101335153</v>
      </c>
      <c r="AO24" s="4">
        <v>1.25</v>
      </c>
      <c r="AP24" s="25">
        <f t="shared" si="114"/>
        <v>5</v>
      </c>
      <c r="AQ24" s="38">
        <f t="shared" si="115"/>
        <v>393.62878354973896</v>
      </c>
      <c r="AR24" s="38">
        <f t="shared" si="116"/>
        <v>393.62878354973896</v>
      </c>
      <c r="AT24" s="38">
        <f t="shared" si="46"/>
        <v>393.62878354973918</v>
      </c>
      <c r="AU24" s="38">
        <f t="shared" si="47"/>
        <v>0.99999999999999944</v>
      </c>
      <c r="AX24" s="4">
        <f t="shared" si="48"/>
        <v>351.0004498422669</v>
      </c>
      <c r="AY24" s="4">
        <f t="shared" si="49"/>
        <v>1</v>
      </c>
      <c r="AZ24" s="38">
        <f t="shared" si="117"/>
        <v>463.67187904141605</v>
      </c>
      <c r="BA24" s="4">
        <f t="shared" si="50"/>
        <v>0.3</v>
      </c>
      <c r="BB24" s="4">
        <f t="shared" si="51"/>
        <v>55.019320512775316</v>
      </c>
      <c r="BC24" s="4">
        <f t="shared" si="52"/>
        <v>518.69119955419137</v>
      </c>
      <c r="BE24" s="36">
        <f t="shared" si="53"/>
        <v>1.8789601441125643</v>
      </c>
      <c r="BF24" s="36">
        <f t="shared" si="54"/>
        <v>440.21249645810303</v>
      </c>
      <c r="BK24" s="4">
        <f t="shared" si="55"/>
        <v>101.8</v>
      </c>
      <c r="BL24" s="4">
        <f t="shared" si="56"/>
        <v>47.73</v>
      </c>
      <c r="BM24" s="4">
        <f t="shared" si="57"/>
        <v>101.8</v>
      </c>
      <c r="BN24" s="4">
        <f t="shared" si="58"/>
        <v>60.429999999999993</v>
      </c>
      <c r="BO24" s="4">
        <f t="shared" si="59"/>
        <v>1.1132830504923528</v>
      </c>
      <c r="BP24" s="25">
        <f t="shared" si="118"/>
        <v>4</v>
      </c>
      <c r="BR24" s="4">
        <f t="shared" si="60"/>
        <v>101.8</v>
      </c>
      <c r="BV24" s="9"/>
      <c r="BX24" s="9"/>
      <c r="BY24" s="9"/>
      <c r="BZ24" s="9">
        <f t="shared" si="61"/>
        <v>101.8</v>
      </c>
      <c r="CA24" s="9">
        <f t="shared" si="62"/>
        <v>101.8</v>
      </c>
      <c r="CB24" s="9">
        <f t="shared" si="63"/>
        <v>2.001967536137395</v>
      </c>
      <c r="CC24" s="9">
        <v>20</v>
      </c>
      <c r="CD24" s="9">
        <f t="shared" si="64"/>
        <v>0.05</v>
      </c>
      <c r="CE24" s="9">
        <f t="shared" si="65"/>
        <v>0.8</v>
      </c>
      <c r="CF24" s="9">
        <f t="shared" si="66"/>
        <v>0.99524931562137331</v>
      </c>
      <c r="CG24" s="9">
        <f t="shared" si="67"/>
        <v>0.97375</v>
      </c>
      <c r="CH24" s="9">
        <f t="shared" si="68"/>
        <v>1.9670293329614872</v>
      </c>
      <c r="CI24" s="9">
        <f t="shared" si="69"/>
        <v>4.9175733324037179</v>
      </c>
      <c r="CJ24" s="9">
        <v>1</v>
      </c>
      <c r="CK24" s="9">
        <f t="shared" si="70"/>
        <v>521.26277323479405</v>
      </c>
      <c r="DH24" s="4">
        <f t="shared" si="71"/>
        <v>3</v>
      </c>
      <c r="DI24" s="4">
        <f t="shared" si="72"/>
        <v>292.09999999999997</v>
      </c>
      <c r="DJ24" s="4">
        <f t="shared" si="73"/>
        <v>1</v>
      </c>
      <c r="DL24" s="4">
        <f t="shared" si="74"/>
        <v>2.1066341183765516E-5</v>
      </c>
      <c r="DM24" s="4">
        <f t="shared" si="75"/>
        <v>8.8972510471034791</v>
      </c>
      <c r="DO24" s="4">
        <f t="shared" si="76"/>
        <v>0</v>
      </c>
      <c r="DP24" s="4">
        <f t="shared" si="77"/>
        <v>6.3551793193596282</v>
      </c>
      <c r="DQ24" s="4">
        <f t="shared" si="78"/>
        <v>8.445233180953025</v>
      </c>
      <c r="DR24" s="38">
        <f t="shared" si="119"/>
        <v>517.5</v>
      </c>
      <c r="DS24" s="4">
        <f t="shared" si="79"/>
        <v>1</v>
      </c>
      <c r="DU24" s="4">
        <f t="shared" si="120"/>
        <v>393.62878354973918</v>
      </c>
      <c r="DY24" s="4">
        <f t="shared" si="80"/>
        <v>0.85</v>
      </c>
      <c r="DZ24" s="4">
        <f t="shared" si="81"/>
        <v>0.7</v>
      </c>
      <c r="EA24" s="4">
        <f t="shared" si="82"/>
        <v>0.82320199640399283</v>
      </c>
      <c r="EB24" s="4">
        <f t="shared" si="83"/>
        <v>0.7</v>
      </c>
      <c r="ED24" s="4">
        <f t="shared" si="121"/>
        <v>517.5</v>
      </c>
      <c r="EE24" s="25">
        <f t="shared" si="122"/>
        <v>394.48162132390439</v>
      </c>
      <c r="EH24" s="4">
        <f t="shared" si="84"/>
        <v>8.8972510471034791</v>
      </c>
      <c r="EI24" s="4">
        <f t="shared" si="85"/>
        <v>8.470182996842512</v>
      </c>
      <c r="EK24" s="4">
        <f t="shared" si="86"/>
        <v>77.858162529590359</v>
      </c>
      <c r="EL24" s="4">
        <f t="shared" si="87"/>
        <v>3.0652819893539514</v>
      </c>
      <c r="EM24" s="4">
        <f t="shared" si="88"/>
        <v>0.13392438876349141</v>
      </c>
      <c r="EP24" s="4">
        <f t="shared" si="89"/>
        <v>0.13392438876349141</v>
      </c>
      <c r="EQ24" s="4">
        <f t="shared" si="90"/>
        <v>0.42163398772191918</v>
      </c>
      <c r="ER24" s="4">
        <f t="shared" si="91"/>
        <v>6.2983978424284564</v>
      </c>
      <c r="ES24" s="4">
        <f t="shared" si="92"/>
        <v>7.7084558863593733</v>
      </c>
      <c r="ET24" s="4">
        <f t="shared" si="93"/>
        <v>141.21683747040964</v>
      </c>
      <c r="EU24" s="4">
        <f t="shared" si="94"/>
        <v>73.024999999999977</v>
      </c>
      <c r="EV24" s="4">
        <f t="shared" si="95"/>
        <v>2.1066341183765513E-5</v>
      </c>
      <c r="EW24" s="4">
        <f t="shared" si="96"/>
        <v>8.1932168886722874</v>
      </c>
      <c r="EX24" s="4">
        <f t="shared" si="97"/>
        <v>517.5</v>
      </c>
      <c r="EY24" s="4">
        <f t="shared" si="98"/>
        <v>141.21683747040964</v>
      </c>
      <c r="EZ24" s="4">
        <f t="shared" si="99"/>
        <v>73.024999999999963</v>
      </c>
      <c r="FB24" s="4">
        <f t="shared" si="100"/>
        <v>0</v>
      </c>
      <c r="FG24" s="23"/>
      <c r="FH24" s="23"/>
      <c r="FI24" s="23"/>
      <c r="FJ24" s="23"/>
      <c r="FK24" s="23"/>
      <c r="FL24" s="23"/>
      <c r="FM24" s="23"/>
      <c r="FN24" s="23"/>
      <c r="FX24" s="4">
        <f t="shared" si="101"/>
        <v>1</v>
      </c>
      <c r="FY24" s="4">
        <f t="shared" si="102"/>
        <v>0.68688155922038985</v>
      </c>
      <c r="FZ24" s="4">
        <f t="shared" si="103"/>
        <v>0.3</v>
      </c>
      <c r="GA24" s="4">
        <f t="shared" si="104"/>
        <v>402.03184669857649</v>
      </c>
    </row>
    <row r="25" spans="1:184" s="25" customFormat="1" ht="12" hidden="1" customHeight="1" x14ac:dyDescent="0.3">
      <c r="A25" s="25">
        <v>7</v>
      </c>
      <c r="B25" s="26" t="s">
        <v>81</v>
      </c>
      <c r="C25" s="26"/>
      <c r="D25" s="26" t="s">
        <v>82</v>
      </c>
      <c r="E25" s="26"/>
      <c r="F25" s="28" t="s">
        <v>85</v>
      </c>
      <c r="G25" s="28">
        <f t="shared" si="105"/>
        <v>517.5</v>
      </c>
      <c r="H25" s="28">
        <f>11.38*25.4</f>
        <v>289.05200000000002</v>
      </c>
      <c r="I25" s="28">
        <f t="shared" si="123"/>
        <v>289.05200000000002</v>
      </c>
      <c r="J25" s="28">
        <v>33.630000000000003</v>
      </c>
      <c r="K25" s="28">
        <v>25.4</v>
      </c>
      <c r="L25" s="28">
        <f t="shared" si="106"/>
        <v>11.38</v>
      </c>
      <c r="M25" s="28">
        <f t="shared" si="107"/>
        <v>11.38</v>
      </c>
      <c r="N25" s="28">
        <v>229</v>
      </c>
      <c r="O25" s="28">
        <f t="shared" si="108"/>
        <v>101.8</v>
      </c>
      <c r="P25" s="28">
        <v>305</v>
      </c>
      <c r="Q25" s="28">
        <v>0</v>
      </c>
      <c r="R25" s="28">
        <v>1</v>
      </c>
      <c r="S25" s="28">
        <v>47.68</v>
      </c>
      <c r="T25" s="7">
        <f t="shared" si="42"/>
        <v>2.3771653543307085</v>
      </c>
      <c r="U25" s="28">
        <f t="shared" si="109"/>
        <v>2.3771653543307085</v>
      </c>
      <c r="V25" s="28">
        <f t="shared" si="110"/>
        <v>8.3959536742577185</v>
      </c>
      <c r="W25" s="7">
        <f t="shared" si="43"/>
        <v>8.3959536742577185</v>
      </c>
      <c r="X25" s="28">
        <f t="shared" si="44"/>
        <v>9.3959536742577185</v>
      </c>
      <c r="Y25" s="28">
        <f t="shared" si="45"/>
        <v>77.858162529590359</v>
      </c>
      <c r="Z25" s="28"/>
      <c r="AA25" s="28"/>
      <c r="AB25" s="28">
        <f>148.74/(PI()/4*K25^2)*1000</f>
        <v>293.5421444043464</v>
      </c>
      <c r="AC25" s="28"/>
      <c r="AD25" s="28"/>
      <c r="AE25" s="28"/>
      <c r="AF25" s="28"/>
      <c r="AG25" s="28">
        <v>1</v>
      </c>
      <c r="AH25" s="28"/>
      <c r="AI25" s="28"/>
      <c r="AJ25" s="28"/>
      <c r="AK25" s="4">
        <f t="shared" si="125"/>
        <v>289.05200000000002</v>
      </c>
      <c r="AL25" s="25">
        <f t="shared" si="111"/>
        <v>0.15042881662835439</v>
      </c>
      <c r="AM25" s="25">
        <f t="shared" si="112"/>
        <v>562.43208396751641</v>
      </c>
      <c r="AN25" s="4">
        <f t="shared" si="113"/>
        <v>0.74177794998823732</v>
      </c>
      <c r="AO25" s="25">
        <v>1.25</v>
      </c>
      <c r="AP25" s="25">
        <f t="shared" si="114"/>
        <v>5</v>
      </c>
      <c r="AQ25" s="38">
        <f t="shared" si="115"/>
        <v>392.24287446554456</v>
      </c>
      <c r="AR25" s="38">
        <f t="shared" si="116"/>
        <v>392.24287446554456</v>
      </c>
      <c r="AS25" s="38"/>
      <c r="AT25" s="38">
        <f t="shared" si="46"/>
        <v>392.24287446554479</v>
      </c>
      <c r="AU25" s="38">
        <f t="shared" si="47"/>
        <v>0.99999999999999944</v>
      </c>
      <c r="AV25" s="38"/>
      <c r="AX25" s="25">
        <f t="shared" si="48"/>
        <v>347.33783645260843</v>
      </c>
      <c r="AY25" s="25">
        <f t="shared" si="49"/>
        <v>1</v>
      </c>
      <c r="AZ25" s="38">
        <f t="shared" si="117"/>
        <v>463.2882352560103</v>
      </c>
      <c r="BA25" s="25">
        <f t="shared" si="50"/>
        <v>0.3</v>
      </c>
      <c r="BB25" s="25">
        <f t="shared" si="51"/>
        <v>54.44520586394637</v>
      </c>
      <c r="BC25" s="25">
        <f t="shared" si="52"/>
        <v>517.73344111995664</v>
      </c>
      <c r="BE25" s="36">
        <f t="shared" si="53"/>
        <v>1.0877165354330709</v>
      </c>
      <c r="BF25" s="36">
        <f t="shared" si="54"/>
        <v>253.62475214092589</v>
      </c>
      <c r="BK25" s="25">
        <f t="shared" si="55"/>
        <v>101.8</v>
      </c>
      <c r="BL25" s="25">
        <f t="shared" si="56"/>
        <v>47.68</v>
      </c>
      <c r="BM25" s="25">
        <f t="shared" si="57"/>
        <v>101.8</v>
      </c>
      <c r="BN25" s="25">
        <f t="shared" si="58"/>
        <v>60.379999999999995</v>
      </c>
      <c r="BO25" s="25">
        <f t="shared" si="59"/>
        <v>1.1135067114093959</v>
      </c>
      <c r="BP25" s="25">
        <f t="shared" si="118"/>
        <v>2.6469895761771389</v>
      </c>
      <c r="BR25" s="25">
        <f t="shared" si="60"/>
        <v>101.8</v>
      </c>
      <c r="BV25" s="29"/>
      <c r="BX25" s="29"/>
      <c r="BY25" s="29"/>
      <c r="BZ25" s="29">
        <f t="shared" si="61"/>
        <v>101.8</v>
      </c>
      <c r="CA25" s="29">
        <f t="shared" si="62"/>
        <v>101.8</v>
      </c>
      <c r="CB25" s="29">
        <f t="shared" si="63"/>
        <v>2.001967536137395</v>
      </c>
      <c r="CC25" s="29">
        <v>0</v>
      </c>
      <c r="CD25" s="29">
        <f t="shared" si="64"/>
        <v>0</v>
      </c>
      <c r="CE25" s="29">
        <f t="shared" si="65"/>
        <v>0</v>
      </c>
      <c r="CF25" s="29">
        <f t="shared" si="66"/>
        <v>0.99524931562137331</v>
      </c>
      <c r="CG25" s="29">
        <f t="shared" si="67"/>
        <v>0.97375</v>
      </c>
      <c r="CH25" s="29">
        <f t="shared" si="68"/>
        <v>1.9670293329614872</v>
      </c>
      <c r="CI25" s="29">
        <f t="shared" si="69"/>
        <v>3.9379288672188921</v>
      </c>
      <c r="CJ25" s="29">
        <v>1</v>
      </c>
      <c r="CK25" s="29">
        <f t="shared" si="70"/>
        <v>415.5302540689375</v>
      </c>
      <c r="CM25" s="4"/>
      <c r="CN25" s="4"/>
      <c r="CO25" s="4"/>
      <c r="CP25" s="4"/>
      <c r="CQ25" s="4"/>
      <c r="CR25" s="4"/>
      <c r="CS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H25" s="4">
        <f t="shared" si="71"/>
        <v>0</v>
      </c>
      <c r="DI25" s="25">
        <f t="shared" si="72"/>
        <v>289.05200000000002</v>
      </c>
      <c r="DJ25" s="25">
        <f t="shared" si="73"/>
        <v>1</v>
      </c>
      <c r="DL25" s="4">
        <f t="shared" si="74"/>
        <v>2.0846518493152316E-5</v>
      </c>
      <c r="DM25" s="4">
        <f t="shared" si="75"/>
        <v>8.8972510471034791</v>
      </c>
      <c r="DN25" s="4"/>
      <c r="DO25" s="4">
        <f t="shared" si="76"/>
        <v>0</v>
      </c>
      <c r="DP25" s="4">
        <f t="shared" si="77"/>
        <v>6.3551793193596282</v>
      </c>
      <c r="DQ25" s="4">
        <f t="shared" si="78"/>
        <v>8.4563832251512334</v>
      </c>
      <c r="DR25" s="38">
        <f t="shared" si="119"/>
        <v>517.5</v>
      </c>
      <c r="DS25" s="4">
        <f t="shared" si="79"/>
        <v>1</v>
      </c>
      <c r="DT25" s="4"/>
      <c r="DU25" s="4">
        <f t="shared" si="120"/>
        <v>392.24287446554479</v>
      </c>
      <c r="DY25" s="25">
        <f t="shared" si="80"/>
        <v>0.85</v>
      </c>
      <c r="DZ25" s="25">
        <f t="shared" si="81"/>
        <v>0.7</v>
      </c>
      <c r="EA25" s="25">
        <f t="shared" si="82"/>
        <v>1</v>
      </c>
      <c r="EB25" s="25">
        <f t="shared" si="83"/>
        <v>0.7</v>
      </c>
      <c r="ED25" s="4">
        <f t="shared" si="121"/>
        <v>517.5</v>
      </c>
      <c r="EE25" s="25">
        <f t="shared" si="122"/>
        <v>396.72382751434384</v>
      </c>
      <c r="EH25" s="4">
        <f t="shared" si="84"/>
        <v>8.8972510471034791</v>
      </c>
      <c r="EI25" s="25">
        <f t="shared" si="85"/>
        <v>5.6051215252387419</v>
      </c>
      <c r="EK25" s="4">
        <f t="shared" si="86"/>
        <v>77.858162529590359</v>
      </c>
      <c r="EL25" s="4">
        <f t="shared" si="87"/>
        <v>3.0652819893539514</v>
      </c>
      <c r="EM25" s="4">
        <f t="shared" si="88"/>
        <v>0.13345286067728618</v>
      </c>
      <c r="EP25" s="25">
        <f t="shared" si="89"/>
        <v>0.13345286067728618</v>
      </c>
      <c r="EQ25" s="25">
        <f t="shared" si="90"/>
        <v>0.42014947643054645</v>
      </c>
      <c r="ER25" s="4">
        <f t="shared" si="91"/>
        <v>6.2895181623147547</v>
      </c>
      <c r="ES25" s="25">
        <f t="shared" si="92"/>
        <v>7.7048345465996162</v>
      </c>
      <c r="ET25" s="4">
        <f t="shared" si="93"/>
        <v>138.93083747040964</v>
      </c>
      <c r="EU25" s="4">
        <f t="shared" si="94"/>
        <v>72.263000000000034</v>
      </c>
      <c r="EV25" s="25">
        <f t="shared" si="95"/>
        <v>2.0846518493152323E-5</v>
      </c>
      <c r="EW25" s="25">
        <f t="shared" si="96"/>
        <v>8.2084963735849374</v>
      </c>
      <c r="EX25" s="4">
        <f t="shared" si="97"/>
        <v>517.5</v>
      </c>
      <c r="EY25" s="4">
        <f t="shared" si="98"/>
        <v>138.93083747040964</v>
      </c>
      <c r="EZ25" s="4">
        <f t="shared" si="99"/>
        <v>72.263000000000019</v>
      </c>
      <c r="FB25" s="4">
        <f t="shared" si="100"/>
        <v>0</v>
      </c>
      <c r="FG25" s="23"/>
      <c r="FH25" s="23"/>
      <c r="FI25" s="23"/>
      <c r="FJ25" s="23"/>
      <c r="FK25" s="23"/>
      <c r="FL25" s="23"/>
      <c r="FM25" s="30"/>
      <c r="FN25" s="30"/>
      <c r="FX25" s="4">
        <f t="shared" si="101"/>
        <v>1</v>
      </c>
      <c r="FY25" s="4">
        <f t="shared" si="102"/>
        <v>1.0833333333333333</v>
      </c>
      <c r="FZ25" s="4">
        <f t="shared" si="103"/>
        <v>0</v>
      </c>
      <c r="GA25" s="4">
        <f t="shared" si="104"/>
        <v>252.24619812719015</v>
      </c>
      <c r="GB25" s="4"/>
    </row>
    <row r="26" spans="1:184" s="25" customFormat="1" ht="12" hidden="1" customHeight="1" x14ac:dyDescent="0.3">
      <c r="A26" s="25">
        <v>8</v>
      </c>
      <c r="B26" s="26" t="s">
        <v>81</v>
      </c>
      <c r="C26" s="26"/>
      <c r="D26" s="26" t="s">
        <v>82</v>
      </c>
      <c r="E26" s="26"/>
      <c r="F26" s="28" t="s">
        <v>86</v>
      </c>
      <c r="G26" s="28">
        <f t="shared" si="105"/>
        <v>517.5</v>
      </c>
      <c r="H26" s="28">
        <f>11.38*25.4</f>
        <v>289.05200000000002</v>
      </c>
      <c r="I26" s="28">
        <f t="shared" si="123"/>
        <v>289.05200000000002</v>
      </c>
      <c r="J26" s="28">
        <v>33.630000000000003</v>
      </c>
      <c r="K26" s="28">
        <v>25.4</v>
      </c>
      <c r="L26" s="28">
        <f t="shared" si="106"/>
        <v>11.38</v>
      </c>
      <c r="M26" s="28">
        <f t="shared" si="107"/>
        <v>11.38</v>
      </c>
      <c r="N26" s="28">
        <v>229</v>
      </c>
      <c r="O26" s="28">
        <f t="shared" si="108"/>
        <v>101.8</v>
      </c>
      <c r="P26" s="28">
        <v>305</v>
      </c>
      <c r="Q26" s="28">
        <v>0</v>
      </c>
      <c r="R26" s="28">
        <v>1</v>
      </c>
      <c r="S26" s="28">
        <v>47.68</v>
      </c>
      <c r="T26" s="7">
        <f t="shared" si="42"/>
        <v>2.3771653543307085</v>
      </c>
      <c r="U26" s="28">
        <f t="shared" si="109"/>
        <v>2.3771653543307085</v>
      </c>
      <c r="V26" s="28">
        <f t="shared" si="110"/>
        <v>8.3959536742577185</v>
      </c>
      <c r="W26" s="7">
        <f t="shared" si="43"/>
        <v>8.3959536742577185</v>
      </c>
      <c r="X26" s="28">
        <f t="shared" si="44"/>
        <v>9.3959536742577185</v>
      </c>
      <c r="Y26" s="28">
        <f t="shared" si="45"/>
        <v>77.858162529590359</v>
      </c>
      <c r="Z26" s="28"/>
      <c r="AA26" s="28"/>
      <c r="AB26" s="28">
        <f>155.72/(PI()/4*K26^2)*1000</f>
        <v>307.31735058924846</v>
      </c>
      <c r="AC26" s="28"/>
      <c r="AD26" s="28"/>
      <c r="AE26" s="28"/>
      <c r="AF26" s="28"/>
      <c r="AG26" s="28">
        <v>1</v>
      </c>
      <c r="AH26" s="28"/>
      <c r="AI26" s="28"/>
      <c r="AJ26" s="28"/>
      <c r="AK26" s="4">
        <f t="shared" si="125"/>
        <v>289.05200000000002</v>
      </c>
      <c r="AL26" s="25">
        <f t="shared" si="111"/>
        <v>0.15042881662835439</v>
      </c>
      <c r="AM26" s="25">
        <f t="shared" si="112"/>
        <v>562.43208396751641</v>
      </c>
      <c r="AN26" s="4">
        <f t="shared" si="113"/>
        <v>0.74177794998823732</v>
      </c>
      <c r="AO26" s="25">
        <v>1.25</v>
      </c>
      <c r="AP26" s="25">
        <f t="shared" si="114"/>
        <v>5</v>
      </c>
      <c r="AQ26" s="38">
        <f t="shared" si="115"/>
        <v>392.24287446554456</v>
      </c>
      <c r="AR26" s="38">
        <f t="shared" si="116"/>
        <v>392.24287446554456</v>
      </c>
      <c r="AS26" s="38"/>
      <c r="AT26" s="38">
        <f t="shared" si="46"/>
        <v>392.24287446554479</v>
      </c>
      <c r="AU26" s="38">
        <f t="shared" si="47"/>
        <v>0.99999999999999944</v>
      </c>
      <c r="AV26" s="38"/>
      <c r="AX26" s="25">
        <f t="shared" si="48"/>
        <v>347.33783645260843</v>
      </c>
      <c r="AY26" s="25">
        <f t="shared" si="49"/>
        <v>1</v>
      </c>
      <c r="AZ26" s="38">
        <f t="shared" si="117"/>
        <v>463.2882352560103</v>
      </c>
      <c r="BA26" s="25">
        <f t="shared" si="50"/>
        <v>0.3</v>
      </c>
      <c r="BB26" s="25">
        <f t="shared" si="51"/>
        <v>54.44520586394637</v>
      </c>
      <c r="BC26" s="25">
        <f t="shared" si="52"/>
        <v>517.73344111995664</v>
      </c>
      <c r="BE26" s="36">
        <f t="shared" si="53"/>
        <v>1.0877165354330709</v>
      </c>
      <c r="BF26" s="36">
        <f t="shared" si="54"/>
        <v>253.62475214092589</v>
      </c>
      <c r="BK26" s="25">
        <f t="shared" si="55"/>
        <v>101.8</v>
      </c>
      <c r="BL26" s="25">
        <f t="shared" si="56"/>
        <v>47.68</v>
      </c>
      <c r="BM26" s="25">
        <f t="shared" si="57"/>
        <v>101.8</v>
      </c>
      <c r="BN26" s="25">
        <f t="shared" si="58"/>
        <v>60.379999999999995</v>
      </c>
      <c r="BO26" s="25">
        <f t="shared" si="59"/>
        <v>1.1135067114093959</v>
      </c>
      <c r="BP26" s="25">
        <f t="shared" si="118"/>
        <v>2.6469895761771389</v>
      </c>
      <c r="BR26" s="25">
        <f t="shared" si="60"/>
        <v>101.8</v>
      </c>
      <c r="BV26" s="29"/>
      <c r="BX26" s="29"/>
      <c r="BY26" s="29"/>
      <c r="BZ26" s="29">
        <f t="shared" si="61"/>
        <v>101.8</v>
      </c>
      <c r="CA26" s="29">
        <f t="shared" si="62"/>
        <v>101.8</v>
      </c>
      <c r="CB26" s="29">
        <f t="shared" si="63"/>
        <v>2.001967536137395</v>
      </c>
      <c r="CC26" s="29">
        <v>0</v>
      </c>
      <c r="CD26" s="29">
        <f t="shared" si="64"/>
        <v>0</v>
      </c>
      <c r="CE26" s="29">
        <f t="shared" si="65"/>
        <v>0</v>
      </c>
      <c r="CF26" s="29">
        <f t="shared" si="66"/>
        <v>0.99524931562137331</v>
      </c>
      <c r="CG26" s="29">
        <f t="shared" si="67"/>
        <v>0.97375</v>
      </c>
      <c r="CH26" s="29">
        <f t="shared" si="68"/>
        <v>1.9670293329614872</v>
      </c>
      <c r="CI26" s="29">
        <f t="shared" si="69"/>
        <v>3.9379288672188921</v>
      </c>
      <c r="CJ26" s="29">
        <v>1</v>
      </c>
      <c r="CK26" s="29">
        <f t="shared" si="70"/>
        <v>415.5302540689375</v>
      </c>
      <c r="CM26" s="4"/>
      <c r="CN26" s="4"/>
      <c r="CO26" s="4"/>
      <c r="CP26" s="4"/>
      <c r="CQ26" s="4"/>
      <c r="CR26" s="4"/>
      <c r="CS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H26" s="4">
        <f t="shared" si="71"/>
        <v>0</v>
      </c>
      <c r="DI26" s="25">
        <f t="shared" si="72"/>
        <v>289.05200000000002</v>
      </c>
      <c r="DJ26" s="25">
        <f t="shared" si="73"/>
        <v>1</v>
      </c>
      <c r="DL26" s="4">
        <f t="shared" si="74"/>
        <v>2.0846518493152316E-5</v>
      </c>
      <c r="DM26" s="4">
        <f t="shared" si="75"/>
        <v>8.8972510471034791</v>
      </c>
      <c r="DN26" s="4"/>
      <c r="DO26" s="4">
        <f t="shared" si="76"/>
        <v>0</v>
      </c>
      <c r="DP26" s="4">
        <f t="shared" si="77"/>
        <v>6.3551793193596282</v>
      </c>
      <c r="DQ26" s="4">
        <f t="shared" si="78"/>
        <v>8.4563832251512334</v>
      </c>
      <c r="DR26" s="38">
        <f t="shared" si="119"/>
        <v>517.5</v>
      </c>
      <c r="DS26" s="4">
        <f t="shared" si="79"/>
        <v>1</v>
      </c>
      <c r="DT26" s="4"/>
      <c r="DU26" s="4">
        <f t="shared" si="120"/>
        <v>392.24287446554479</v>
      </c>
      <c r="DY26" s="25">
        <f t="shared" si="80"/>
        <v>0.85</v>
      </c>
      <c r="DZ26" s="25">
        <f t="shared" si="81"/>
        <v>0.7</v>
      </c>
      <c r="EA26" s="25">
        <f t="shared" si="82"/>
        <v>1</v>
      </c>
      <c r="EB26" s="25">
        <f t="shared" si="83"/>
        <v>0.7</v>
      </c>
      <c r="ED26" s="4">
        <f t="shared" si="121"/>
        <v>517.5</v>
      </c>
      <c r="EE26" s="25">
        <f t="shared" si="122"/>
        <v>396.72382751434384</v>
      </c>
      <c r="EH26" s="4">
        <f t="shared" si="84"/>
        <v>8.8972510471034791</v>
      </c>
      <c r="EI26" s="25">
        <f t="shared" si="85"/>
        <v>5.6051215252387419</v>
      </c>
      <c r="EK26" s="4">
        <f t="shared" si="86"/>
        <v>77.858162529590359</v>
      </c>
      <c r="EL26" s="4">
        <f t="shared" si="87"/>
        <v>3.0652819893539514</v>
      </c>
      <c r="EM26" s="4">
        <f t="shared" si="88"/>
        <v>0.13345286067728618</v>
      </c>
      <c r="EP26" s="25">
        <f t="shared" si="89"/>
        <v>0.13345286067728618</v>
      </c>
      <c r="EQ26" s="25">
        <f t="shared" si="90"/>
        <v>0.42014947643054645</v>
      </c>
      <c r="ER26" s="4">
        <f t="shared" si="91"/>
        <v>6.2895181623147547</v>
      </c>
      <c r="ES26" s="25">
        <f t="shared" si="92"/>
        <v>7.7048345465996162</v>
      </c>
      <c r="ET26" s="4">
        <f t="shared" si="93"/>
        <v>138.93083747040964</v>
      </c>
      <c r="EU26" s="4">
        <f t="shared" si="94"/>
        <v>72.263000000000034</v>
      </c>
      <c r="EV26" s="25">
        <f t="shared" si="95"/>
        <v>2.0846518493152323E-5</v>
      </c>
      <c r="EW26" s="25">
        <f t="shared" si="96"/>
        <v>8.2084963735849374</v>
      </c>
      <c r="EX26" s="4">
        <f t="shared" si="97"/>
        <v>517.5</v>
      </c>
      <c r="EY26" s="4">
        <f t="shared" si="98"/>
        <v>138.93083747040964</v>
      </c>
      <c r="EZ26" s="4">
        <f t="shared" si="99"/>
        <v>72.263000000000019</v>
      </c>
      <c r="FB26" s="4">
        <f t="shared" si="100"/>
        <v>0</v>
      </c>
      <c r="FG26" s="23"/>
      <c r="FH26" s="23"/>
      <c r="FI26" s="23"/>
      <c r="FJ26" s="23"/>
      <c r="FK26" s="23"/>
      <c r="FL26" s="23"/>
      <c r="FM26" s="30"/>
      <c r="FN26" s="30"/>
      <c r="FX26" s="4">
        <f t="shared" si="101"/>
        <v>1</v>
      </c>
      <c r="FY26" s="4">
        <f t="shared" si="102"/>
        <v>1.0833333333333333</v>
      </c>
      <c r="FZ26" s="4">
        <f t="shared" si="103"/>
        <v>0</v>
      </c>
      <c r="GA26" s="4">
        <f t="shared" si="104"/>
        <v>252.24619812719015</v>
      </c>
      <c r="GB26" s="4"/>
    </row>
    <row r="27" spans="1:184" s="25" customFormat="1" ht="12" hidden="1" customHeight="1" x14ac:dyDescent="0.3">
      <c r="A27" s="25">
        <v>9</v>
      </c>
      <c r="B27" s="26" t="s">
        <v>81</v>
      </c>
      <c r="C27" s="26"/>
      <c r="D27" s="26" t="s">
        <v>82</v>
      </c>
      <c r="E27" s="26"/>
      <c r="F27" s="28" t="s">
        <v>87</v>
      </c>
      <c r="G27" s="28">
        <f t="shared" si="105"/>
        <v>517.5</v>
      </c>
      <c r="H27" s="28">
        <f>11.38*25.4</f>
        <v>289.05200000000002</v>
      </c>
      <c r="I27" s="28">
        <f t="shared" si="123"/>
        <v>289.05200000000002</v>
      </c>
      <c r="J27" s="28">
        <v>33.630000000000003</v>
      </c>
      <c r="K27" s="28">
        <v>25.4</v>
      </c>
      <c r="L27" s="28">
        <f t="shared" si="106"/>
        <v>11.38</v>
      </c>
      <c r="M27" s="28">
        <f t="shared" si="107"/>
        <v>11.38</v>
      </c>
      <c r="N27" s="28">
        <v>229</v>
      </c>
      <c r="O27" s="28">
        <f t="shared" si="108"/>
        <v>101.8</v>
      </c>
      <c r="P27" s="28">
        <v>305</v>
      </c>
      <c r="Q27" s="28">
        <v>0</v>
      </c>
      <c r="R27" s="28">
        <v>1</v>
      </c>
      <c r="S27" s="28">
        <v>49.48</v>
      </c>
      <c r="T27" s="7">
        <f t="shared" si="42"/>
        <v>2.4480314960629919</v>
      </c>
      <c r="U27" s="28">
        <f t="shared" si="109"/>
        <v>2.4480314960629919</v>
      </c>
      <c r="V27" s="28">
        <f t="shared" si="110"/>
        <v>8.3959536742577185</v>
      </c>
      <c r="W27" s="7">
        <f t="shared" si="43"/>
        <v>8.3959536742577185</v>
      </c>
      <c r="X27" s="28">
        <f t="shared" si="44"/>
        <v>9.3959536742577185</v>
      </c>
      <c r="Y27" s="28">
        <f t="shared" si="45"/>
        <v>77.858162529590359</v>
      </c>
      <c r="Z27" s="28"/>
      <c r="AA27" s="28"/>
      <c r="AB27" s="28">
        <f>167.51/(PI()/4*K27^2)*1000</f>
        <v>330.5852131852364</v>
      </c>
      <c r="AC27" s="28"/>
      <c r="AD27" s="28"/>
      <c r="AE27" s="28"/>
      <c r="AF27" s="28"/>
      <c r="AG27" s="28">
        <v>1</v>
      </c>
      <c r="AH27" s="28"/>
      <c r="AI27" s="28"/>
      <c r="AJ27" s="28"/>
      <c r="AK27" s="4">
        <f t="shared" si="125"/>
        <v>289.05200000000002</v>
      </c>
      <c r="AL27" s="25">
        <f t="shared" si="111"/>
        <v>0.15097698442790625</v>
      </c>
      <c r="AM27" s="25">
        <f t="shared" si="112"/>
        <v>562.43208396751641</v>
      </c>
      <c r="AN27" s="4">
        <f t="shared" si="113"/>
        <v>0.74302340063379591</v>
      </c>
      <c r="AO27" s="25">
        <v>1.25</v>
      </c>
      <c r="AP27" s="25">
        <f t="shared" si="114"/>
        <v>5</v>
      </c>
      <c r="AQ27" s="38">
        <f t="shared" si="115"/>
        <v>394.33319959841521</v>
      </c>
      <c r="AR27" s="38">
        <f t="shared" si="116"/>
        <v>394.33319959841521</v>
      </c>
      <c r="AS27" s="38"/>
      <c r="AT27" s="38">
        <f t="shared" si="46"/>
        <v>394.33319959841538</v>
      </c>
      <c r="AU27" s="38">
        <f t="shared" si="47"/>
        <v>0.99999999999999956</v>
      </c>
      <c r="AV27" s="38"/>
      <c r="AX27" s="25">
        <f t="shared" si="48"/>
        <v>347.33783645260843</v>
      </c>
      <c r="AY27" s="25">
        <f t="shared" si="49"/>
        <v>1</v>
      </c>
      <c r="AZ27" s="38">
        <f t="shared" si="117"/>
        <v>477.09941153061794</v>
      </c>
      <c r="BA27" s="25">
        <f t="shared" si="50"/>
        <v>0.3</v>
      </c>
      <c r="BB27" s="25">
        <f t="shared" si="51"/>
        <v>54.44520586394637</v>
      </c>
      <c r="BC27" s="25">
        <f t="shared" si="52"/>
        <v>531.54461739456428</v>
      </c>
      <c r="BE27" s="36">
        <f t="shared" si="53"/>
        <v>1.0948031496062991</v>
      </c>
      <c r="BF27" s="36">
        <f t="shared" si="54"/>
        <v>255.27715026548674</v>
      </c>
      <c r="BK27" s="25">
        <f t="shared" si="55"/>
        <v>101.8</v>
      </c>
      <c r="BL27" s="25">
        <f t="shared" si="56"/>
        <v>49.48</v>
      </c>
      <c r="BM27" s="25">
        <f t="shared" si="57"/>
        <v>101.8</v>
      </c>
      <c r="BN27" s="25">
        <f t="shared" si="58"/>
        <v>62.179999999999993</v>
      </c>
      <c r="BO27" s="25">
        <f t="shared" si="59"/>
        <v>1.1057396928051739</v>
      </c>
      <c r="BP27" s="25">
        <f t="shared" si="118"/>
        <v>2.7068855944340835</v>
      </c>
      <c r="BR27" s="25">
        <f t="shared" si="60"/>
        <v>101.8</v>
      </c>
      <c r="BV27" s="29"/>
      <c r="BX27" s="29"/>
      <c r="BY27" s="29"/>
      <c r="BZ27" s="29">
        <f t="shared" si="61"/>
        <v>101.8</v>
      </c>
      <c r="CA27" s="29">
        <f t="shared" si="62"/>
        <v>101.8</v>
      </c>
      <c r="CB27" s="29">
        <f t="shared" si="63"/>
        <v>2.001967536137395</v>
      </c>
      <c r="CC27" s="29">
        <v>0</v>
      </c>
      <c r="CD27" s="29">
        <f t="shared" si="64"/>
        <v>0</v>
      </c>
      <c r="CE27" s="29">
        <f t="shared" si="65"/>
        <v>0</v>
      </c>
      <c r="CF27" s="29">
        <f t="shared" si="66"/>
        <v>0.99524931562137331</v>
      </c>
      <c r="CG27" s="29">
        <f t="shared" si="67"/>
        <v>0.97375</v>
      </c>
      <c r="CH27" s="29">
        <f t="shared" si="68"/>
        <v>1.9670293329614872</v>
      </c>
      <c r="CI27" s="29">
        <f t="shared" si="69"/>
        <v>3.9379288672188921</v>
      </c>
      <c r="CJ27" s="29">
        <v>1</v>
      </c>
      <c r="CK27" s="29">
        <f t="shared" si="70"/>
        <v>415.5302540689375</v>
      </c>
      <c r="CM27" s="4"/>
      <c r="CN27" s="4"/>
      <c r="CO27" s="4"/>
      <c r="CP27" s="4"/>
      <c r="CQ27" s="4"/>
      <c r="CR27" s="4"/>
      <c r="CS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H27" s="4">
        <f t="shared" si="71"/>
        <v>0</v>
      </c>
      <c r="DI27" s="25">
        <f t="shared" si="72"/>
        <v>289.05200000000002</v>
      </c>
      <c r="DJ27" s="25">
        <f t="shared" si="73"/>
        <v>1</v>
      </c>
      <c r="DL27" s="4">
        <f t="shared" si="74"/>
        <v>2.0846518493152316E-5</v>
      </c>
      <c r="DM27" s="4">
        <f t="shared" si="75"/>
        <v>8.8972510471034791</v>
      </c>
      <c r="DN27" s="4"/>
      <c r="DO27" s="4">
        <f t="shared" si="76"/>
        <v>0</v>
      </c>
      <c r="DP27" s="4">
        <f t="shared" si="77"/>
        <v>6.3551793193596282</v>
      </c>
      <c r="DQ27" s="4">
        <f t="shared" si="78"/>
        <v>8.4563832251512334</v>
      </c>
      <c r="DR27" s="38">
        <f t="shared" si="119"/>
        <v>517.5</v>
      </c>
      <c r="DS27" s="4">
        <f t="shared" si="79"/>
        <v>1</v>
      </c>
      <c r="DT27" s="4"/>
      <c r="DU27" s="4">
        <f t="shared" si="120"/>
        <v>394.33319959841538</v>
      </c>
      <c r="DY27" s="25">
        <f t="shared" si="80"/>
        <v>0.85</v>
      </c>
      <c r="DZ27" s="25">
        <f t="shared" si="81"/>
        <v>0.7</v>
      </c>
      <c r="EA27" s="25">
        <f t="shared" si="82"/>
        <v>1</v>
      </c>
      <c r="EB27" s="25">
        <f t="shared" si="83"/>
        <v>0.7</v>
      </c>
      <c r="ED27" s="4">
        <f t="shared" si="121"/>
        <v>517.5</v>
      </c>
      <c r="EE27" s="25">
        <f t="shared" si="122"/>
        <v>397.39791521007561</v>
      </c>
      <c r="EH27" s="4">
        <f t="shared" si="84"/>
        <v>8.8972510471034791</v>
      </c>
      <c r="EI27" s="25">
        <f t="shared" si="85"/>
        <v>5.7319540840933767</v>
      </c>
      <c r="EK27" s="4">
        <f t="shared" si="86"/>
        <v>77.858162529590359</v>
      </c>
      <c r="EL27" s="4">
        <f t="shared" si="87"/>
        <v>3.0652819893539514</v>
      </c>
      <c r="EM27" s="4">
        <f t="shared" si="88"/>
        <v>0.13416405235694975</v>
      </c>
      <c r="EP27" s="25">
        <f t="shared" si="89"/>
        <v>0.13416405235694975</v>
      </c>
      <c r="EQ27" s="25">
        <f t="shared" si="90"/>
        <v>0.42238852031717383</v>
      </c>
      <c r="ER27" s="4">
        <f t="shared" si="91"/>
        <v>6.3029039284467085</v>
      </c>
      <c r="ES27" s="25">
        <f t="shared" si="92"/>
        <v>7.7102948983845332</v>
      </c>
      <c r="ET27" s="4">
        <f t="shared" si="93"/>
        <v>138.93083747040964</v>
      </c>
      <c r="EU27" s="4">
        <f t="shared" si="94"/>
        <v>72.263000000000034</v>
      </c>
      <c r="EV27" s="25">
        <f t="shared" si="95"/>
        <v>2.0846518493152323E-5</v>
      </c>
      <c r="EW27" s="25">
        <f t="shared" si="96"/>
        <v>8.20783719482192</v>
      </c>
      <c r="EX27" s="4">
        <f t="shared" si="97"/>
        <v>517.5</v>
      </c>
      <c r="EY27" s="4">
        <f t="shared" si="98"/>
        <v>138.93083747040964</v>
      </c>
      <c r="EZ27" s="4">
        <f t="shared" si="99"/>
        <v>72.263000000000019</v>
      </c>
      <c r="FB27" s="4">
        <f t="shared" si="100"/>
        <v>0</v>
      </c>
      <c r="FG27" s="23"/>
      <c r="FH27" s="23"/>
      <c r="FI27" s="23"/>
      <c r="FJ27" s="23"/>
      <c r="FK27" s="23"/>
      <c r="FL27" s="23"/>
      <c r="FM27" s="30"/>
      <c r="FN27" s="30"/>
      <c r="FX27" s="4">
        <f t="shared" si="101"/>
        <v>1</v>
      </c>
      <c r="FY27" s="4">
        <f t="shared" si="102"/>
        <v>1.0833333333333333</v>
      </c>
      <c r="FZ27" s="4">
        <f t="shared" si="103"/>
        <v>0</v>
      </c>
      <c r="GA27" s="4">
        <f t="shared" si="104"/>
        <v>252.24619812719015</v>
      </c>
      <c r="GB27" s="4"/>
    </row>
    <row r="28" spans="1:184" ht="12" hidden="1" customHeight="1" x14ac:dyDescent="0.3">
      <c r="A28" s="25">
        <v>10</v>
      </c>
      <c r="B28" s="26" t="s">
        <v>81</v>
      </c>
      <c r="C28" s="26"/>
      <c r="D28" s="26" t="s">
        <v>82</v>
      </c>
      <c r="E28" s="26"/>
      <c r="F28" s="7" t="s">
        <v>88</v>
      </c>
      <c r="G28" s="28">
        <f t="shared" si="105"/>
        <v>517.5</v>
      </c>
      <c r="H28" s="7">
        <f t="shared" ref="H28:H33" si="126">11.25*25.4</f>
        <v>285.75</v>
      </c>
      <c r="I28" s="7">
        <f t="shared" si="123"/>
        <v>285.75</v>
      </c>
      <c r="J28" s="7">
        <v>33.44</v>
      </c>
      <c r="K28" s="7">
        <v>25.4</v>
      </c>
      <c r="L28" s="7">
        <f t="shared" si="106"/>
        <v>11.25</v>
      </c>
      <c r="M28" s="7">
        <f t="shared" si="107"/>
        <v>11.25</v>
      </c>
      <c r="N28" s="7">
        <v>229</v>
      </c>
      <c r="O28" s="7">
        <f t="shared" si="108"/>
        <v>101.8</v>
      </c>
      <c r="P28" s="7">
        <v>305</v>
      </c>
      <c r="Q28" s="7">
        <v>0</v>
      </c>
      <c r="R28" s="7">
        <v>1</v>
      </c>
      <c r="S28" s="7">
        <v>82.19</v>
      </c>
      <c r="T28" s="7">
        <f t="shared" si="42"/>
        <v>3.7358267716535436</v>
      </c>
      <c r="U28" s="28">
        <f t="shared" si="109"/>
        <v>3.7358267716535436</v>
      </c>
      <c r="V28" s="28">
        <f t="shared" si="110"/>
        <v>8.3959536742577185</v>
      </c>
      <c r="W28" s="7">
        <f t="shared" si="43"/>
        <v>8.3959536742577185</v>
      </c>
      <c r="X28" s="7">
        <f t="shared" si="44"/>
        <v>9.3959536742577185</v>
      </c>
      <c r="Y28" s="7">
        <f t="shared" si="45"/>
        <v>77.858162529590359</v>
      </c>
      <c r="Z28" s="7"/>
      <c r="AA28" s="7"/>
      <c r="AB28" s="7">
        <f>243.35/(PI()/4*K28^2)*1000</f>
        <v>480.25736749225291</v>
      </c>
      <c r="AC28" s="7"/>
      <c r="AD28" s="7"/>
      <c r="AE28" s="7">
        <v>9.5</v>
      </c>
      <c r="AF28" s="7">
        <v>3</v>
      </c>
      <c r="AG28" s="7">
        <v>76</v>
      </c>
      <c r="AH28" s="7">
        <v>3</v>
      </c>
      <c r="AI28" s="7"/>
      <c r="AJ28" s="7"/>
      <c r="AK28" s="4">
        <f t="shared" si="125"/>
        <v>285.75</v>
      </c>
      <c r="AL28" s="4">
        <f t="shared" si="111"/>
        <v>0.16313593055169648</v>
      </c>
      <c r="AM28" s="25">
        <f t="shared" si="112"/>
        <v>551.25834685648249</v>
      </c>
      <c r="AN28" s="4">
        <f t="shared" si="113"/>
        <v>0.76641469816272956</v>
      </c>
      <c r="AO28" s="4">
        <v>1.25</v>
      </c>
      <c r="AP28" s="25">
        <f t="shared" si="114"/>
        <v>5</v>
      </c>
      <c r="AQ28" s="38">
        <f t="shared" si="115"/>
        <v>430.77316912253309</v>
      </c>
      <c r="AR28" s="38">
        <f t="shared" si="116"/>
        <v>430.77316912253309</v>
      </c>
      <c r="AT28" s="38">
        <f t="shared" si="46"/>
        <v>430.77316912253286</v>
      </c>
      <c r="AU28" s="38">
        <f t="shared" si="47"/>
        <v>1.0000000000000004</v>
      </c>
      <c r="AX28" s="4">
        <f t="shared" si="48"/>
        <v>342.39865961370697</v>
      </c>
      <c r="AY28" s="4">
        <f t="shared" si="49"/>
        <v>1</v>
      </c>
      <c r="AZ28" s="38">
        <f t="shared" si="117"/>
        <v>723.96573427107933</v>
      </c>
      <c r="BA28" s="4">
        <f t="shared" si="50"/>
        <v>0.3</v>
      </c>
      <c r="BB28" s="4">
        <f t="shared" si="51"/>
        <v>53.67098989444856</v>
      </c>
      <c r="BC28" s="4">
        <f t="shared" si="52"/>
        <v>777.63672416552788</v>
      </c>
      <c r="BE28" s="36">
        <f t="shared" si="53"/>
        <v>2.2250000000000001</v>
      </c>
      <c r="BF28" s="36">
        <f t="shared" si="54"/>
        <v>514.66322969491421</v>
      </c>
      <c r="BK28" s="4">
        <f t="shared" si="55"/>
        <v>101.8</v>
      </c>
      <c r="BL28" s="4">
        <f t="shared" si="56"/>
        <v>82.19</v>
      </c>
      <c r="BM28" s="4">
        <f t="shared" si="57"/>
        <v>101.8</v>
      </c>
      <c r="BN28" s="4">
        <f t="shared" si="58"/>
        <v>94.89</v>
      </c>
      <c r="BO28" s="4">
        <f t="shared" si="59"/>
        <v>1.0238593502859228</v>
      </c>
      <c r="BP28" s="25">
        <f t="shared" si="118"/>
        <v>4</v>
      </c>
      <c r="BR28" s="4">
        <f t="shared" si="60"/>
        <v>101.8</v>
      </c>
      <c r="BV28" s="9"/>
      <c r="BX28" s="9"/>
      <c r="BY28" s="9"/>
      <c r="BZ28" s="9">
        <f t="shared" si="61"/>
        <v>101.8</v>
      </c>
      <c r="CA28" s="9">
        <f t="shared" si="62"/>
        <v>101.8</v>
      </c>
      <c r="CB28" s="9">
        <f t="shared" si="63"/>
        <v>2.001967536137395</v>
      </c>
      <c r="CC28" s="9">
        <v>20</v>
      </c>
      <c r="CD28" s="9">
        <f t="shared" si="64"/>
        <v>0.05</v>
      </c>
      <c r="CE28" s="9">
        <f t="shared" si="65"/>
        <v>0.8</v>
      </c>
      <c r="CF28" s="9">
        <f t="shared" si="66"/>
        <v>0.99524931562137331</v>
      </c>
      <c r="CG28" s="9">
        <f t="shared" si="67"/>
        <v>0.97375</v>
      </c>
      <c r="CH28" s="9">
        <f t="shared" si="68"/>
        <v>1.961464882399115</v>
      </c>
      <c r="CI28" s="9">
        <f t="shared" si="69"/>
        <v>4.9036622059977875</v>
      </c>
      <c r="CJ28" s="9">
        <v>1</v>
      </c>
      <c r="CK28" s="9">
        <f t="shared" si="70"/>
        <v>514.88453162976771</v>
      </c>
      <c r="DH28" s="4">
        <f t="shared" si="71"/>
        <v>3</v>
      </c>
      <c r="DI28" s="4">
        <f t="shared" si="72"/>
        <v>285.75</v>
      </c>
      <c r="DJ28" s="4">
        <f t="shared" si="73"/>
        <v>1</v>
      </c>
      <c r="DL28" s="4">
        <f t="shared" si="74"/>
        <v>2.058127601073333E-5</v>
      </c>
      <c r="DM28" s="4">
        <f t="shared" si="75"/>
        <v>8.8720819696713296</v>
      </c>
      <c r="DO28" s="4">
        <f t="shared" si="76"/>
        <v>0</v>
      </c>
      <c r="DP28" s="4">
        <f t="shared" si="77"/>
        <v>6.3372014069080933</v>
      </c>
      <c r="DQ28" s="4">
        <f t="shared" si="78"/>
        <v>8.446107161096263</v>
      </c>
      <c r="DR28" s="38">
        <f t="shared" si="119"/>
        <v>517.5</v>
      </c>
      <c r="DS28" s="4">
        <f t="shared" si="79"/>
        <v>1</v>
      </c>
      <c r="DU28" s="4">
        <f t="shared" si="120"/>
        <v>430.77316912253286</v>
      </c>
      <c r="DY28" s="4">
        <f t="shared" si="80"/>
        <v>0.85</v>
      </c>
      <c r="DZ28" s="4">
        <f t="shared" si="81"/>
        <v>0.7</v>
      </c>
      <c r="EA28" s="4">
        <f t="shared" si="82"/>
        <v>0.82320199640399283</v>
      </c>
      <c r="EB28" s="4">
        <f t="shared" si="83"/>
        <v>0.7</v>
      </c>
      <c r="ED28" s="4">
        <f t="shared" si="121"/>
        <v>517.5</v>
      </c>
      <c r="EE28" s="25">
        <f t="shared" si="122"/>
        <v>411.19884151443893</v>
      </c>
      <c r="EH28" s="4">
        <f t="shared" si="84"/>
        <v>8.8720819696713296</v>
      </c>
      <c r="EI28" s="4">
        <f t="shared" si="85"/>
        <v>8.4462220351271053</v>
      </c>
      <c r="EK28" s="4">
        <f t="shared" si="86"/>
        <v>77.858162529590359</v>
      </c>
      <c r="EL28" s="4">
        <f t="shared" si="87"/>
        <v>3.0652819893539514</v>
      </c>
      <c r="EM28" s="4">
        <f t="shared" si="88"/>
        <v>0.14697780910112584</v>
      </c>
      <c r="EP28" s="4">
        <f t="shared" si="89"/>
        <v>0.14697780910112584</v>
      </c>
      <c r="EQ28" s="4">
        <f t="shared" si="90"/>
        <v>0.46404276686028506</v>
      </c>
      <c r="ER28" s="4">
        <f t="shared" si="91"/>
        <v>6.526025233208558</v>
      </c>
      <c r="ES28" s="4">
        <f t="shared" si="92"/>
        <v>7.7881042986793609</v>
      </c>
      <c r="ET28" s="4">
        <f t="shared" si="93"/>
        <v>136.45433747040965</v>
      </c>
      <c r="EU28" s="4">
        <f t="shared" si="94"/>
        <v>71.4375</v>
      </c>
      <c r="EV28" s="4">
        <f t="shared" si="95"/>
        <v>2.058127601073333E-5</v>
      </c>
      <c r="EW28" s="4">
        <f t="shared" si="96"/>
        <v>8.1915665048717425</v>
      </c>
      <c r="EX28" s="4">
        <f t="shared" si="97"/>
        <v>517.5</v>
      </c>
      <c r="EY28" s="4">
        <f t="shared" si="98"/>
        <v>136.45433747040965</v>
      </c>
      <c r="EZ28" s="4">
        <f t="shared" si="99"/>
        <v>71.437499999999986</v>
      </c>
      <c r="FB28" s="4">
        <f t="shared" si="100"/>
        <v>0</v>
      </c>
      <c r="FG28" s="23"/>
      <c r="FH28" s="23"/>
      <c r="FI28" s="23"/>
      <c r="FJ28" s="23"/>
      <c r="FK28" s="23"/>
      <c r="FL28" s="23"/>
      <c r="FM28" s="23"/>
      <c r="FN28" s="23"/>
      <c r="FX28" s="4">
        <f t="shared" si="101"/>
        <v>1</v>
      </c>
      <c r="FY28" s="4">
        <f t="shared" si="102"/>
        <v>0.68688155922038985</v>
      </c>
      <c r="FZ28" s="4">
        <f t="shared" si="103"/>
        <v>0.3</v>
      </c>
      <c r="GA28" s="4">
        <f t="shared" si="104"/>
        <v>392.73534594062755</v>
      </c>
    </row>
    <row r="29" spans="1:184" ht="12" hidden="1" customHeight="1" x14ac:dyDescent="0.3">
      <c r="A29" s="25">
        <v>11</v>
      </c>
      <c r="B29" s="26" t="s">
        <v>81</v>
      </c>
      <c r="C29" s="26"/>
      <c r="D29" s="26" t="s">
        <v>82</v>
      </c>
      <c r="E29" s="26"/>
      <c r="F29" s="7" t="s">
        <v>89</v>
      </c>
      <c r="G29" s="28">
        <f t="shared" si="105"/>
        <v>517.5</v>
      </c>
      <c r="H29" s="7">
        <f t="shared" si="126"/>
        <v>285.75</v>
      </c>
      <c r="I29" s="7">
        <f t="shared" si="123"/>
        <v>285.75</v>
      </c>
      <c r="J29" s="7">
        <v>33.44</v>
      </c>
      <c r="K29" s="7">
        <v>25.4</v>
      </c>
      <c r="L29" s="7">
        <f t="shared" si="106"/>
        <v>11.25</v>
      </c>
      <c r="M29" s="7">
        <f t="shared" si="107"/>
        <v>11.25</v>
      </c>
      <c r="N29" s="7">
        <v>229</v>
      </c>
      <c r="O29" s="7">
        <f t="shared" si="108"/>
        <v>101.8</v>
      </c>
      <c r="P29" s="7">
        <v>305</v>
      </c>
      <c r="Q29" s="7">
        <v>0</v>
      </c>
      <c r="R29" s="7">
        <v>1</v>
      </c>
      <c r="S29" s="7">
        <v>83.24</v>
      </c>
      <c r="T29" s="7">
        <f t="shared" si="42"/>
        <v>3.7771653543307089</v>
      </c>
      <c r="U29" s="28">
        <f t="shared" si="109"/>
        <v>3.7771653543307089</v>
      </c>
      <c r="V29" s="28">
        <f t="shared" si="110"/>
        <v>8.3959536742577185</v>
      </c>
      <c r="W29" s="7">
        <f t="shared" si="43"/>
        <v>8.3959536742577185</v>
      </c>
      <c r="X29" s="7">
        <f t="shared" si="44"/>
        <v>9.3959536742577185</v>
      </c>
      <c r="Y29" s="7">
        <f t="shared" si="45"/>
        <v>77.858162529590359</v>
      </c>
      <c r="Z29" s="7"/>
      <c r="AA29" s="7"/>
      <c r="AB29" s="7">
        <f>246.33/(PI()/4*K29^2)*1000</f>
        <v>486.13847271159506</v>
      </c>
      <c r="AC29" s="7"/>
      <c r="AD29" s="7"/>
      <c r="AE29" s="7">
        <v>9.5</v>
      </c>
      <c r="AF29" s="7">
        <v>3</v>
      </c>
      <c r="AG29" s="7">
        <v>76</v>
      </c>
      <c r="AH29" s="7">
        <v>3</v>
      </c>
      <c r="AI29" s="7"/>
      <c r="AJ29" s="7"/>
      <c r="AK29" s="4">
        <f t="shared" si="125"/>
        <v>285.75</v>
      </c>
      <c r="AL29" s="4">
        <f t="shared" si="111"/>
        <v>0.16346312791391016</v>
      </c>
      <c r="AM29" s="25">
        <f t="shared" si="112"/>
        <v>551.25834685648249</v>
      </c>
      <c r="AN29" s="4">
        <f t="shared" si="113"/>
        <v>0.76714960629921258</v>
      </c>
      <c r="AO29" s="4">
        <v>1.25</v>
      </c>
      <c r="AP29" s="25">
        <f t="shared" si="114"/>
        <v>5</v>
      </c>
      <c r="AQ29" s="38">
        <f t="shared" si="115"/>
        <v>432.05105229491716</v>
      </c>
      <c r="AR29" s="38">
        <f t="shared" si="116"/>
        <v>432.05105229491716</v>
      </c>
      <c r="AT29" s="38">
        <f t="shared" si="46"/>
        <v>432.05105229491693</v>
      </c>
      <c r="AU29" s="38">
        <f t="shared" si="47"/>
        <v>1.0000000000000004</v>
      </c>
      <c r="AX29" s="4">
        <f t="shared" si="48"/>
        <v>342.39865961370697</v>
      </c>
      <c r="AY29" s="4">
        <f t="shared" si="49"/>
        <v>1</v>
      </c>
      <c r="AZ29" s="38">
        <f t="shared" si="117"/>
        <v>731.97673670531515</v>
      </c>
      <c r="BA29" s="4">
        <f t="shared" si="50"/>
        <v>0.3</v>
      </c>
      <c r="BB29" s="4">
        <f t="shared" si="51"/>
        <v>53.67098989444856</v>
      </c>
      <c r="BC29" s="4">
        <f t="shared" si="52"/>
        <v>785.6477265997637</v>
      </c>
      <c r="BE29" s="36">
        <f t="shared" si="53"/>
        <v>2.2250000000000001</v>
      </c>
      <c r="BF29" s="36">
        <f t="shared" si="54"/>
        <v>514.66322969491421</v>
      </c>
      <c r="BK29" s="4">
        <f t="shared" si="55"/>
        <v>101.8</v>
      </c>
      <c r="BL29" s="4">
        <f t="shared" si="56"/>
        <v>83.24</v>
      </c>
      <c r="BM29" s="4">
        <f t="shared" si="57"/>
        <v>101.8</v>
      </c>
      <c r="BN29" s="4">
        <f t="shared" si="58"/>
        <v>95.94</v>
      </c>
      <c r="BO29" s="4">
        <f t="shared" si="59"/>
        <v>1.0222969726093225</v>
      </c>
      <c r="BP29" s="25">
        <f t="shared" si="118"/>
        <v>4</v>
      </c>
      <c r="BR29" s="4">
        <f t="shared" si="60"/>
        <v>101.8</v>
      </c>
      <c r="BV29" s="9"/>
      <c r="BX29" s="9"/>
      <c r="BY29" s="9"/>
      <c r="BZ29" s="9">
        <f t="shared" si="61"/>
        <v>101.8</v>
      </c>
      <c r="CA29" s="9">
        <f t="shared" si="62"/>
        <v>101.8</v>
      </c>
      <c r="CB29" s="9">
        <f t="shared" si="63"/>
        <v>2.001967536137395</v>
      </c>
      <c r="CC29" s="9">
        <v>20</v>
      </c>
      <c r="CD29" s="9">
        <f t="shared" si="64"/>
        <v>0.05</v>
      </c>
      <c r="CE29" s="9">
        <f t="shared" si="65"/>
        <v>0.8</v>
      </c>
      <c r="CF29" s="9">
        <f t="shared" si="66"/>
        <v>0.99524931562137331</v>
      </c>
      <c r="CG29" s="9">
        <f t="shared" si="67"/>
        <v>0.97375</v>
      </c>
      <c r="CH29" s="9">
        <f t="shared" si="68"/>
        <v>1.961464882399115</v>
      </c>
      <c r="CI29" s="9">
        <f t="shared" si="69"/>
        <v>4.9036622059977875</v>
      </c>
      <c r="CJ29" s="9">
        <v>1</v>
      </c>
      <c r="CK29" s="9">
        <f t="shared" si="70"/>
        <v>514.88453162976771</v>
      </c>
      <c r="DH29" s="4">
        <f t="shared" si="71"/>
        <v>3</v>
      </c>
      <c r="DI29" s="4">
        <f t="shared" si="72"/>
        <v>285.75</v>
      </c>
      <c r="DJ29" s="4">
        <f t="shared" si="73"/>
        <v>1</v>
      </c>
      <c r="DL29" s="4">
        <f t="shared" si="74"/>
        <v>2.058127601073333E-5</v>
      </c>
      <c r="DM29" s="4">
        <f t="shared" si="75"/>
        <v>8.8720819696713296</v>
      </c>
      <c r="DO29" s="4">
        <f t="shared" si="76"/>
        <v>0</v>
      </c>
      <c r="DP29" s="4">
        <f t="shared" si="77"/>
        <v>6.3372014069080933</v>
      </c>
      <c r="DQ29" s="4">
        <f t="shared" si="78"/>
        <v>8.446107161096263</v>
      </c>
      <c r="DR29" s="38">
        <f t="shared" si="119"/>
        <v>517.5</v>
      </c>
      <c r="DS29" s="4">
        <f t="shared" si="79"/>
        <v>1</v>
      </c>
      <c r="DU29" s="4">
        <f t="shared" si="120"/>
        <v>432.05105229491693</v>
      </c>
      <c r="DY29" s="4">
        <f t="shared" si="80"/>
        <v>0.85</v>
      </c>
      <c r="DZ29" s="4">
        <f t="shared" si="81"/>
        <v>0.7</v>
      </c>
      <c r="EA29" s="4">
        <f t="shared" si="82"/>
        <v>0.82320199640399283</v>
      </c>
      <c r="EB29" s="4">
        <f t="shared" si="83"/>
        <v>0.7</v>
      </c>
      <c r="ED29" s="4">
        <f t="shared" si="121"/>
        <v>517.5</v>
      </c>
      <c r="EE29" s="25">
        <f t="shared" si="122"/>
        <v>411.59776307016909</v>
      </c>
      <c r="EH29" s="4">
        <f t="shared" si="84"/>
        <v>8.8720819696713296</v>
      </c>
      <c r="EI29" s="4">
        <f t="shared" si="85"/>
        <v>8.4462220351271053</v>
      </c>
      <c r="EK29" s="4">
        <f t="shared" si="86"/>
        <v>77.858162529590359</v>
      </c>
      <c r="EL29" s="4">
        <f t="shared" si="87"/>
        <v>3.0652819893539514</v>
      </c>
      <c r="EM29" s="4">
        <f t="shared" si="88"/>
        <v>0.14741381691783081</v>
      </c>
      <c r="EP29" s="4">
        <f t="shared" si="89"/>
        <v>0.14741381691783081</v>
      </c>
      <c r="EQ29" s="4">
        <f t="shared" si="90"/>
        <v>0.46541934387469186</v>
      </c>
      <c r="ER29" s="4">
        <f t="shared" si="91"/>
        <v>6.5337621011847986</v>
      </c>
      <c r="ES29" s="4">
        <f t="shared" si="92"/>
        <v>7.7913442630090861</v>
      </c>
      <c r="ET29" s="4">
        <f t="shared" si="93"/>
        <v>136.45433747040965</v>
      </c>
      <c r="EU29" s="4">
        <f t="shared" si="94"/>
        <v>71.4375</v>
      </c>
      <c r="EV29" s="4">
        <f t="shared" si="95"/>
        <v>2.058127601073333E-5</v>
      </c>
      <c r="EW29" s="4">
        <f t="shared" si="96"/>
        <v>8.1911899729698998</v>
      </c>
      <c r="EX29" s="4">
        <f t="shared" si="97"/>
        <v>517.5</v>
      </c>
      <c r="EY29" s="4">
        <f t="shared" si="98"/>
        <v>136.45433747040965</v>
      </c>
      <c r="EZ29" s="4">
        <f t="shared" si="99"/>
        <v>71.437499999999986</v>
      </c>
      <c r="FB29" s="4">
        <f t="shared" si="100"/>
        <v>0</v>
      </c>
      <c r="FG29" s="23"/>
      <c r="FH29" s="23"/>
      <c r="FI29" s="23"/>
      <c r="FJ29" s="23"/>
      <c r="FK29" s="23"/>
      <c r="FL29" s="23"/>
      <c r="FM29" s="23"/>
      <c r="FN29" s="23"/>
      <c r="FX29" s="4">
        <f t="shared" si="101"/>
        <v>1</v>
      </c>
      <c r="FY29" s="4">
        <f t="shared" si="102"/>
        <v>0.68688155922038985</v>
      </c>
      <c r="FZ29" s="4">
        <f t="shared" si="103"/>
        <v>0.3</v>
      </c>
      <c r="GA29" s="4">
        <f t="shared" si="104"/>
        <v>392.73534594062755</v>
      </c>
    </row>
    <row r="30" spans="1:184" ht="12" hidden="1" customHeight="1" x14ac:dyDescent="0.3">
      <c r="A30" s="25">
        <v>12</v>
      </c>
      <c r="B30" s="26" t="s">
        <v>81</v>
      </c>
      <c r="C30" s="26"/>
      <c r="D30" s="26" t="s">
        <v>82</v>
      </c>
      <c r="E30" s="26"/>
      <c r="F30" s="7" t="s">
        <v>90</v>
      </c>
      <c r="G30" s="28">
        <f t="shared" si="105"/>
        <v>517.5</v>
      </c>
      <c r="H30" s="7">
        <f t="shared" si="126"/>
        <v>285.75</v>
      </c>
      <c r="I30" s="7">
        <f t="shared" si="123"/>
        <v>285.75</v>
      </c>
      <c r="J30" s="7">
        <v>33.44</v>
      </c>
      <c r="K30" s="7">
        <v>25.4</v>
      </c>
      <c r="L30" s="7">
        <f t="shared" si="106"/>
        <v>11.25</v>
      </c>
      <c r="M30" s="7">
        <f t="shared" si="107"/>
        <v>11.25</v>
      </c>
      <c r="N30" s="7">
        <v>229</v>
      </c>
      <c r="O30" s="7">
        <f t="shared" si="108"/>
        <v>101.8</v>
      </c>
      <c r="P30" s="7">
        <v>305</v>
      </c>
      <c r="Q30" s="7">
        <v>0</v>
      </c>
      <c r="R30" s="7">
        <v>1</v>
      </c>
      <c r="S30" s="7">
        <v>81.69</v>
      </c>
      <c r="T30" s="7">
        <f t="shared" si="42"/>
        <v>3.7161417322834649</v>
      </c>
      <c r="U30" s="28">
        <f t="shared" si="109"/>
        <v>3.7161417322834649</v>
      </c>
      <c r="V30" s="28">
        <f t="shared" si="110"/>
        <v>8.3959536742577185</v>
      </c>
      <c r="W30" s="7">
        <f t="shared" si="43"/>
        <v>8.3959536742577185</v>
      </c>
      <c r="X30" s="7">
        <f t="shared" si="44"/>
        <v>9.3959536742577185</v>
      </c>
      <c r="Y30" s="7">
        <f t="shared" si="45"/>
        <v>77.858162529590359</v>
      </c>
      <c r="Z30" s="7"/>
      <c r="AA30" s="7"/>
      <c r="AB30" s="7">
        <f>225.65/(PI()/4*K30^2)*1000</f>
        <v>445.32597071965017</v>
      </c>
      <c r="AC30" s="7"/>
      <c r="AD30" s="7"/>
      <c r="AE30" s="7">
        <v>9.5</v>
      </c>
      <c r="AF30" s="7">
        <v>3</v>
      </c>
      <c r="AG30" s="7">
        <v>76</v>
      </c>
      <c r="AH30" s="7">
        <v>3</v>
      </c>
      <c r="AI30" s="7"/>
      <c r="AJ30" s="7"/>
      <c r="AK30" s="4">
        <f t="shared" si="125"/>
        <v>285.75</v>
      </c>
      <c r="AL30" s="4">
        <f t="shared" si="111"/>
        <v>0.16298012228397571</v>
      </c>
      <c r="AM30" s="25">
        <f t="shared" si="112"/>
        <v>551.25834685648249</v>
      </c>
      <c r="AN30" s="4">
        <f t="shared" si="113"/>
        <v>0.76606474190726159</v>
      </c>
      <c r="AO30" s="4">
        <v>1.25</v>
      </c>
      <c r="AP30" s="25">
        <f t="shared" si="114"/>
        <v>5</v>
      </c>
      <c r="AQ30" s="38">
        <f t="shared" si="115"/>
        <v>430.16523569904933</v>
      </c>
      <c r="AR30" s="38">
        <f t="shared" si="116"/>
        <v>430.16523569904933</v>
      </c>
      <c r="AT30" s="38">
        <f t="shared" si="46"/>
        <v>430.16523569904911</v>
      </c>
      <c r="AU30" s="38">
        <f t="shared" si="47"/>
        <v>1.0000000000000004</v>
      </c>
      <c r="AX30" s="4">
        <f t="shared" si="48"/>
        <v>342.39865961370697</v>
      </c>
      <c r="AY30" s="4">
        <f t="shared" si="49"/>
        <v>1</v>
      </c>
      <c r="AZ30" s="38">
        <f t="shared" si="117"/>
        <v>720.15097120715757</v>
      </c>
      <c r="BA30" s="4">
        <f t="shared" si="50"/>
        <v>0.3</v>
      </c>
      <c r="BB30" s="4">
        <f t="shared" si="51"/>
        <v>53.67098989444856</v>
      </c>
      <c r="BC30" s="4">
        <f t="shared" si="52"/>
        <v>773.82196110160612</v>
      </c>
      <c r="BE30" s="36">
        <f t="shared" si="53"/>
        <v>2.2250000000000001</v>
      </c>
      <c r="BF30" s="36">
        <f t="shared" si="54"/>
        <v>514.66322969491421</v>
      </c>
      <c r="BK30" s="4">
        <f t="shared" si="55"/>
        <v>101.8</v>
      </c>
      <c r="BL30" s="4">
        <f t="shared" si="56"/>
        <v>81.69</v>
      </c>
      <c r="BM30" s="4">
        <f t="shared" si="57"/>
        <v>101.8</v>
      </c>
      <c r="BN30" s="4">
        <f t="shared" si="58"/>
        <v>94.39</v>
      </c>
      <c r="BO30" s="4">
        <f t="shared" si="59"/>
        <v>1.0246174562369936</v>
      </c>
      <c r="BP30" s="25">
        <f t="shared" si="118"/>
        <v>4</v>
      </c>
      <c r="BR30" s="4">
        <f t="shared" si="60"/>
        <v>101.8</v>
      </c>
      <c r="BV30" s="9"/>
      <c r="BX30" s="9"/>
      <c r="BY30" s="9"/>
      <c r="BZ30" s="9">
        <f t="shared" si="61"/>
        <v>101.8</v>
      </c>
      <c r="CA30" s="9">
        <f t="shared" si="62"/>
        <v>101.8</v>
      </c>
      <c r="CB30" s="9">
        <f t="shared" si="63"/>
        <v>2.001967536137395</v>
      </c>
      <c r="CC30" s="9">
        <v>20</v>
      </c>
      <c r="CD30" s="9">
        <f t="shared" si="64"/>
        <v>0.05</v>
      </c>
      <c r="CE30" s="9">
        <f t="shared" si="65"/>
        <v>0.8</v>
      </c>
      <c r="CF30" s="9">
        <f t="shared" si="66"/>
        <v>0.99524931562137331</v>
      </c>
      <c r="CG30" s="9">
        <f t="shared" si="67"/>
        <v>0.97375</v>
      </c>
      <c r="CH30" s="9">
        <f t="shared" si="68"/>
        <v>1.961464882399115</v>
      </c>
      <c r="CI30" s="9">
        <f t="shared" si="69"/>
        <v>4.9036622059977875</v>
      </c>
      <c r="CJ30" s="9">
        <v>1</v>
      </c>
      <c r="CK30" s="9">
        <f t="shared" si="70"/>
        <v>514.88453162976771</v>
      </c>
      <c r="DH30" s="4">
        <f t="shared" si="71"/>
        <v>3</v>
      </c>
      <c r="DI30" s="4">
        <f t="shared" si="72"/>
        <v>285.75</v>
      </c>
      <c r="DJ30" s="4">
        <f t="shared" si="73"/>
        <v>1</v>
      </c>
      <c r="DL30" s="4">
        <f t="shared" si="74"/>
        <v>2.058127601073333E-5</v>
      </c>
      <c r="DM30" s="4">
        <f t="shared" si="75"/>
        <v>8.8720819696713296</v>
      </c>
      <c r="DO30" s="4">
        <f t="shared" si="76"/>
        <v>0</v>
      </c>
      <c r="DP30" s="4">
        <f t="shared" si="77"/>
        <v>6.3372014069080933</v>
      </c>
      <c r="DQ30" s="4">
        <f t="shared" si="78"/>
        <v>8.446107161096263</v>
      </c>
      <c r="DR30" s="38">
        <f t="shared" si="119"/>
        <v>517.5</v>
      </c>
      <c r="DS30" s="4">
        <f t="shared" si="79"/>
        <v>1</v>
      </c>
      <c r="DU30" s="4">
        <f t="shared" si="120"/>
        <v>430.16523569904911</v>
      </c>
      <c r="DY30" s="4">
        <f t="shared" si="80"/>
        <v>0.85</v>
      </c>
      <c r="DZ30" s="4">
        <f t="shared" si="81"/>
        <v>0.7</v>
      </c>
      <c r="EA30" s="4">
        <f t="shared" si="82"/>
        <v>0.82320199640399283</v>
      </c>
      <c r="EB30" s="4">
        <f t="shared" si="83"/>
        <v>0.7</v>
      </c>
      <c r="ED30" s="4">
        <f t="shared" si="121"/>
        <v>517.5</v>
      </c>
      <c r="EE30" s="25">
        <f t="shared" si="122"/>
        <v>411.00887886885306</v>
      </c>
      <c r="EH30" s="4">
        <f t="shared" si="84"/>
        <v>8.8720819696713296</v>
      </c>
      <c r="EI30" s="4">
        <f t="shared" si="85"/>
        <v>8.4462220351271053</v>
      </c>
      <c r="EK30" s="4">
        <f t="shared" si="86"/>
        <v>77.858162529590359</v>
      </c>
      <c r="EL30" s="4">
        <f t="shared" si="87"/>
        <v>3.0652819893539514</v>
      </c>
      <c r="EM30" s="4">
        <f t="shared" si="88"/>
        <v>0.14677038503419751</v>
      </c>
      <c r="EP30" s="4">
        <f t="shared" si="89"/>
        <v>0.14677038503419751</v>
      </c>
      <c r="EQ30" s="4">
        <f t="shared" si="90"/>
        <v>0.46338788134716236</v>
      </c>
      <c r="ER30" s="4">
        <f t="shared" si="91"/>
        <v>6.5223397020583498</v>
      </c>
      <c r="ES30" s="4">
        <f t="shared" si="92"/>
        <v>7.7865617991761473</v>
      </c>
      <c r="ET30" s="4">
        <f t="shared" si="93"/>
        <v>136.45433747040965</v>
      </c>
      <c r="EU30" s="4">
        <f t="shared" si="94"/>
        <v>71.4375</v>
      </c>
      <c r="EV30" s="4">
        <f t="shared" si="95"/>
        <v>2.058127601073333E-5</v>
      </c>
      <c r="EW30" s="4">
        <f t="shared" si="96"/>
        <v>8.1917458257410534</v>
      </c>
      <c r="EX30" s="4">
        <f t="shared" si="97"/>
        <v>517.5</v>
      </c>
      <c r="EY30" s="4">
        <f t="shared" si="98"/>
        <v>136.45433747040965</v>
      </c>
      <c r="EZ30" s="4">
        <f t="shared" si="99"/>
        <v>71.437499999999986</v>
      </c>
      <c r="FB30" s="4">
        <f t="shared" si="100"/>
        <v>0</v>
      </c>
      <c r="FG30" s="23"/>
      <c r="FH30" s="23"/>
      <c r="FI30" s="23"/>
      <c r="FJ30" s="23"/>
      <c r="FK30" s="23"/>
      <c r="FL30" s="23"/>
      <c r="FM30" s="23"/>
      <c r="FN30" s="23"/>
      <c r="FX30" s="4">
        <f t="shared" si="101"/>
        <v>1</v>
      </c>
      <c r="FY30" s="4">
        <f t="shared" si="102"/>
        <v>0.68688155922038985</v>
      </c>
      <c r="FZ30" s="4">
        <f t="shared" si="103"/>
        <v>0.3</v>
      </c>
      <c r="GA30" s="4">
        <f t="shared" si="104"/>
        <v>392.73534594062755</v>
      </c>
    </row>
    <row r="31" spans="1:184" ht="12" hidden="1" customHeight="1" x14ac:dyDescent="0.3">
      <c r="A31" s="25">
        <v>13</v>
      </c>
      <c r="B31" s="26" t="s">
        <v>81</v>
      </c>
      <c r="C31" s="26"/>
      <c r="D31" s="26" t="s">
        <v>82</v>
      </c>
      <c r="E31" s="26"/>
      <c r="F31" s="7" t="s">
        <v>91</v>
      </c>
      <c r="G31" s="28">
        <f t="shared" si="105"/>
        <v>517.5</v>
      </c>
      <c r="H31" s="7">
        <f t="shared" si="126"/>
        <v>285.75</v>
      </c>
      <c r="I31" s="7">
        <f t="shared" si="123"/>
        <v>285.75</v>
      </c>
      <c r="J31" s="7">
        <v>33.44</v>
      </c>
      <c r="K31" s="7">
        <v>25.4</v>
      </c>
      <c r="L31" s="7">
        <f t="shared" si="106"/>
        <v>11.25</v>
      </c>
      <c r="M31" s="7">
        <f t="shared" si="107"/>
        <v>11.25</v>
      </c>
      <c r="N31" s="7">
        <v>229</v>
      </c>
      <c r="O31" s="7">
        <f t="shared" si="108"/>
        <v>101.8</v>
      </c>
      <c r="P31" s="7">
        <v>305</v>
      </c>
      <c r="Q31" s="7">
        <v>0</v>
      </c>
      <c r="R31" s="7">
        <v>1</v>
      </c>
      <c r="S31" s="7">
        <v>53.72</v>
      </c>
      <c r="T31" s="7">
        <f t="shared" si="42"/>
        <v>2.61496062992126</v>
      </c>
      <c r="U31" s="28">
        <f t="shared" si="109"/>
        <v>2.61496062992126</v>
      </c>
      <c r="V31" s="28">
        <f t="shared" si="110"/>
        <v>8.3959536742577185</v>
      </c>
      <c r="W31" s="7">
        <f t="shared" si="43"/>
        <v>8.3959536742577185</v>
      </c>
      <c r="X31" s="7">
        <f t="shared" si="44"/>
        <v>9.3959536742577185</v>
      </c>
      <c r="Y31" s="7">
        <f t="shared" si="45"/>
        <v>77.858162529590359</v>
      </c>
      <c r="Z31" s="7"/>
      <c r="AA31" s="7"/>
      <c r="AB31" s="7">
        <f>228.81/(PI()/4*K31^2)*1000</f>
        <v>451.56231048244251</v>
      </c>
      <c r="AC31" s="7"/>
      <c r="AD31" s="7"/>
      <c r="AE31" s="7">
        <v>9.5</v>
      </c>
      <c r="AF31" s="7">
        <v>3</v>
      </c>
      <c r="AG31" s="7">
        <v>76</v>
      </c>
      <c r="AH31" s="7">
        <v>3</v>
      </c>
      <c r="AI31" s="7"/>
      <c r="AJ31" s="7"/>
      <c r="AK31" s="4">
        <f t="shared" si="125"/>
        <v>285.75</v>
      </c>
      <c r="AL31" s="4">
        <f t="shared" si="111"/>
        <v>0.15426420778767486</v>
      </c>
      <c r="AM31" s="25">
        <f t="shared" si="112"/>
        <v>551.25834685648249</v>
      </c>
      <c r="AN31" s="4">
        <f t="shared" si="113"/>
        <v>0.74648818897637792</v>
      </c>
      <c r="AO31" s="4">
        <v>1.25</v>
      </c>
      <c r="AP31" s="25">
        <f t="shared" si="114"/>
        <v>5</v>
      </c>
      <c r="AQ31" s="38">
        <f t="shared" si="115"/>
        <v>396.7558231737641</v>
      </c>
      <c r="AR31" s="38">
        <f t="shared" si="116"/>
        <v>396.7558231737641</v>
      </c>
      <c r="AT31" s="38">
        <f t="shared" si="46"/>
        <v>396.75582317376393</v>
      </c>
      <c r="AU31" s="38">
        <f t="shared" si="47"/>
        <v>1.0000000000000004</v>
      </c>
      <c r="AX31" s="4">
        <f t="shared" si="48"/>
        <v>342.39865961370697</v>
      </c>
      <c r="AY31" s="4">
        <f t="shared" si="49"/>
        <v>1</v>
      </c>
      <c r="AZ31" s="38">
        <f t="shared" si="117"/>
        <v>506.75312541137197</v>
      </c>
      <c r="BA31" s="4">
        <f t="shared" si="50"/>
        <v>0.3</v>
      </c>
      <c r="BB31" s="4">
        <f t="shared" si="51"/>
        <v>53.67098989444856</v>
      </c>
      <c r="BC31" s="4">
        <f t="shared" si="52"/>
        <v>560.42411530582058</v>
      </c>
      <c r="BE31" s="36">
        <f t="shared" si="53"/>
        <v>2.2250000000000001</v>
      </c>
      <c r="BF31" s="36">
        <f t="shared" si="54"/>
        <v>514.66322969491421</v>
      </c>
      <c r="BK31" s="4">
        <f t="shared" si="55"/>
        <v>101.8</v>
      </c>
      <c r="BL31" s="4">
        <f t="shared" si="56"/>
        <v>53.72</v>
      </c>
      <c r="BM31" s="4">
        <f t="shared" si="57"/>
        <v>101.8</v>
      </c>
      <c r="BN31" s="4">
        <f t="shared" si="58"/>
        <v>66.42</v>
      </c>
      <c r="BO31" s="4">
        <f t="shared" si="59"/>
        <v>1.0895011169024573</v>
      </c>
      <c r="BP31" s="25">
        <f t="shared" si="118"/>
        <v>4</v>
      </c>
      <c r="BR31" s="4">
        <f t="shared" si="60"/>
        <v>101.8</v>
      </c>
      <c r="BV31" s="9"/>
      <c r="BX31" s="9"/>
      <c r="BY31" s="9"/>
      <c r="BZ31" s="9">
        <f t="shared" si="61"/>
        <v>101.8</v>
      </c>
      <c r="CA31" s="9">
        <f t="shared" si="62"/>
        <v>101.8</v>
      </c>
      <c r="CB31" s="9">
        <f t="shared" si="63"/>
        <v>2.001967536137395</v>
      </c>
      <c r="CC31" s="9">
        <v>20</v>
      </c>
      <c r="CD31" s="9">
        <f t="shared" si="64"/>
        <v>0.05</v>
      </c>
      <c r="CE31" s="9">
        <f t="shared" si="65"/>
        <v>0.8</v>
      </c>
      <c r="CF31" s="9">
        <f t="shared" si="66"/>
        <v>0.99524931562137331</v>
      </c>
      <c r="CG31" s="9">
        <f t="shared" si="67"/>
        <v>0.97375</v>
      </c>
      <c r="CH31" s="9">
        <f t="shared" si="68"/>
        <v>1.961464882399115</v>
      </c>
      <c r="CI31" s="9">
        <f t="shared" si="69"/>
        <v>4.9036622059977875</v>
      </c>
      <c r="CJ31" s="9">
        <v>1</v>
      </c>
      <c r="CK31" s="9">
        <f t="shared" si="70"/>
        <v>514.88453162976771</v>
      </c>
      <c r="DH31" s="4">
        <f t="shared" si="71"/>
        <v>3</v>
      </c>
      <c r="DI31" s="4">
        <f t="shared" si="72"/>
        <v>285.75</v>
      </c>
      <c r="DJ31" s="4">
        <f t="shared" si="73"/>
        <v>1</v>
      </c>
      <c r="DL31" s="4">
        <f t="shared" si="74"/>
        <v>2.058127601073333E-5</v>
      </c>
      <c r="DM31" s="4">
        <f t="shared" si="75"/>
        <v>8.8720819696713296</v>
      </c>
      <c r="DO31" s="4">
        <f t="shared" si="76"/>
        <v>0</v>
      </c>
      <c r="DP31" s="4">
        <f t="shared" si="77"/>
        <v>6.3372014069080933</v>
      </c>
      <c r="DQ31" s="4">
        <f t="shared" si="78"/>
        <v>8.446107161096263</v>
      </c>
      <c r="DR31" s="38">
        <f t="shared" si="119"/>
        <v>517.5</v>
      </c>
      <c r="DS31" s="4">
        <f t="shared" si="79"/>
        <v>1</v>
      </c>
      <c r="DU31" s="4">
        <f t="shared" si="120"/>
        <v>396.75582317376393</v>
      </c>
      <c r="DY31" s="4">
        <f t="shared" si="80"/>
        <v>0.85</v>
      </c>
      <c r="DZ31" s="4">
        <f t="shared" si="81"/>
        <v>0.7</v>
      </c>
      <c r="EA31" s="4">
        <f t="shared" si="82"/>
        <v>0.82320199640399283</v>
      </c>
      <c r="EB31" s="4">
        <f t="shared" si="83"/>
        <v>0.7</v>
      </c>
      <c r="ED31" s="4">
        <f t="shared" si="121"/>
        <v>517.5</v>
      </c>
      <c r="EE31" s="25">
        <f t="shared" si="122"/>
        <v>400.38236847478214</v>
      </c>
      <c r="EH31" s="4">
        <f t="shared" si="84"/>
        <v>8.8720819696713296</v>
      </c>
      <c r="EI31" s="4">
        <f t="shared" si="85"/>
        <v>8.4462220351271053</v>
      </c>
      <c r="EK31" s="4">
        <f t="shared" si="86"/>
        <v>77.858162529590359</v>
      </c>
      <c r="EL31" s="4">
        <f t="shared" si="87"/>
        <v>3.0652819893539514</v>
      </c>
      <c r="EM31" s="4">
        <f t="shared" si="88"/>
        <v>0.13537124829983568</v>
      </c>
      <c r="EP31" s="4">
        <f t="shared" si="89"/>
        <v>0.13537124829983568</v>
      </c>
      <c r="EQ31" s="4">
        <f t="shared" si="90"/>
        <v>0.42739818343029867</v>
      </c>
      <c r="ER31" s="4">
        <f t="shared" si="91"/>
        <v>6.3147856649016321</v>
      </c>
      <c r="ES31" s="4">
        <f t="shared" si="92"/>
        <v>7.7006317842330088</v>
      </c>
      <c r="ET31" s="4">
        <f t="shared" si="93"/>
        <v>136.45433747040965</v>
      </c>
      <c r="EU31" s="4">
        <f t="shared" si="94"/>
        <v>71.4375</v>
      </c>
      <c r="EV31" s="4">
        <f t="shared" si="95"/>
        <v>2.058127601073333E-5</v>
      </c>
      <c r="EW31" s="4">
        <f t="shared" si="96"/>
        <v>8.2017983392923259</v>
      </c>
      <c r="EX31" s="4">
        <f t="shared" si="97"/>
        <v>517.5</v>
      </c>
      <c r="EY31" s="4">
        <f t="shared" si="98"/>
        <v>136.45433747040965</v>
      </c>
      <c r="EZ31" s="4">
        <f t="shared" si="99"/>
        <v>71.437499999999986</v>
      </c>
      <c r="FB31" s="4">
        <f t="shared" si="100"/>
        <v>0</v>
      </c>
      <c r="FG31" s="23"/>
      <c r="FH31" s="23"/>
      <c r="FI31" s="23"/>
      <c r="FJ31" s="23"/>
      <c r="FK31" s="23"/>
      <c r="FL31" s="23"/>
      <c r="FM31" s="23"/>
      <c r="FN31" s="23"/>
      <c r="FX31" s="4">
        <f t="shared" si="101"/>
        <v>1</v>
      </c>
      <c r="FY31" s="4">
        <f t="shared" si="102"/>
        <v>0.68688155922038985</v>
      </c>
      <c r="FZ31" s="4">
        <f t="shared" si="103"/>
        <v>0.3</v>
      </c>
      <c r="GA31" s="4">
        <f t="shared" si="104"/>
        <v>392.73534594062755</v>
      </c>
    </row>
    <row r="32" spans="1:184" ht="12" hidden="1" customHeight="1" x14ac:dyDescent="0.3">
      <c r="A32" s="25">
        <v>14</v>
      </c>
      <c r="B32" s="26" t="s">
        <v>81</v>
      </c>
      <c r="C32" s="26"/>
      <c r="D32" s="26" t="s">
        <v>82</v>
      </c>
      <c r="E32" s="26"/>
      <c r="F32" s="7" t="s">
        <v>92</v>
      </c>
      <c r="G32" s="28">
        <f t="shared" si="105"/>
        <v>517.5</v>
      </c>
      <c r="H32" s="7">
        <f t="shared" si="126"/>
        <v>285.75</v>
      </c>
      <c r="I32" s="7">
        <f t="shared" si="123"/>
        <v>285.75</v>
      </c>
      <c r="J32" s="7">
        <v>33.44</v>
      </c>
      <c r="K32" s="7">
        <v>25.4</v>
      </c>
      <c r="L32" s="7">
        <f t="shared" si="106"/>
        <v>11.25</v>
      </c>
      <c r="M32" s="7">
        <f t="shared" si="107"/>
        <v>11.25</v>
      </c>
      <c r="N32" s="7">
        <v>229</v>
      </c>
      <c r="O32" s="7">
        <f t="shared" si="108"/>
        <v>101.8</v>
      </c>
      <c r="P32" s="7">
        <v>305</v>
      </c>
      <c r="Q32" s="7">
        <v>0</v>
      </c>
      <c r="R32" s="7">
        <v>1</v>
      </c>
      <c r="S32" s="7">
        <v>51.33</v>
      </c>
      <c r="T32" s="7">
        <f t="shared" si="42"/>
        <v>2.5208661417322835</v>
      </c>
      <c r="U32" s="28">
        <f t="shared" si="109"/>
        <v>2.5208661417322835</v>
      </c>
      <c r="V32" s="28">
        <f t="shared" si="110"/>
        <v>8.3959536742577185</v>
      </c>
      <c r="W32" s="7">
        <f t="shared" si="43"/>
        <v>8.3959536742577185</v>
      </c>
      <c r="X32" s="7">
        <f t="shared" si="44"/>
        <v>9.3959536742577185</v>
      </c>
      <c r="Y32" s="7">
        <f t="shared" si="45"/>
        <v>77.858162529590359</v>
      </c>
      <c r="Z32" s="7"/>
      <c r="AA32" s="7"/>
      <c r="AB32" s="7">
        <f>226.27/(PI()/4*K32^2)*1000</f>
        <v>446.54955636931197</v>
      </c>
      <c r="AC32" s="7"/>
      <c r="AD32" s="7"/>
      <c r="AE32" s="7">
        <v>9.5</v>
      </c>
      <c r="AF32" s="7">
        <v>3</v>
      </c>
      <c r="AG32" s="7">
        <v>76</v>
      </c>
      <c r="AH32" s="7">
        <v>3</v>
      </c>
      <c r="AI32" s="7"/>
      <c r="AJ32" s="7"/>
      <c r="AK32" s="4">
        <f t="shared" si="125"/>
        <v>285.75</v>
      </c>
      <c r="AL32" s="4">
        <f t="shared" si="111"/>
        <v>0.15351944426796946</v>
      </c>
      <c r="AM32" s="25">
        <f t="shared" si="112"/>
        <v>551.25834685648249</v>
      </c>
      <c r="AN32" s="4">
        <f t="shared" si="113"/>
        <v>0.74481539807524055</v>
      </c>
      <c r="AO32" s="4">
        <v>1.25</v>
      </c>
      <c r="AP32" s="25">
        <f t="shared" si="114"/>
        <v>5</v>
      </c>
      <c r="AQ32" s="38">
        <f t="shared" si="115"/>
        <v>393.95555790376119</v>
      </c>
      <c r="AR32" s="38">
        <f t="shared" si="116"/>
        <v>393.95555790376119</v>
      </c>
      <c r="AT32" s="38">
        <f t="shared" si="46"/>
        <v>393.95555790376096</v>
      </c>
      <c r="AU32" s="38">
        <f t="shared" si="47"/>
        <v>1.0000000000000007</v>
      </c>
      <c r="AX32" s="4">
        <f t="shared" si="48"/>
        <v>342.39865961370697</v>
      </c>
      <c r="AY32" s="4">
        <f t="shared" si="49"/>
        <v>1</v>
      </c>
      <c r="AZ32" s="38">
        <f t="shared" si="117"/>
        <v>488.51855796582578</v>
      </c>
      <c r="BA32" s="4">
        <f t="shared" si="50"/>
        <v>0.3</v>
      </c>
      <c r="BB32" s="4">
        <f t="shared" si="51"/>
        <v>53.67098989444856</v>
      </c>
      <c r="BC32" s="4">
        <f t="shared" si="52"/>
        <v>542.18954786027439</v>
      </c>
      <c r="BE32" s="36">
        <f t="shared" si="53"/>
        <v>2.2250000000000001</v>
      </c>
      <c r="BF32" s="36">
        <f t="shared" si="54"/>
        <v>514.66322969491421</v>
      </c>
      <c r="BK32" s="4">
        <f t="shared" si="55"/>
        <v>101.8</v>
      </c>
      <c r="BL32" s="4">
        <f t="shared" si="56"/>
        <v>51.33</v>
      </c>
      <c r="BM32" s="4">
        <f t="shared" si="57"/>
        <v>101.8</v>
      </c>
      <c r="BN32" s="4">
        <f t="shared" si="58"/>
        <v>64.03</v>
      </c>
      <c r="BO32" s="4">
        <f t="shared" si="59"/>
        <v>1.0983245665302941</v>
      </c>
      <c r="BP32" s="25">
        <f t="shared" si="118"/>
        <v>4</v>
      </c>
      <c r="BR32" s="4">
        <f t="shared" si="60"/>
        <v>101.8</v>
      </c>
      <c r="BV32" s="9"/>
      <c r="BX32" s="9"/>
      <c r="BY32" s="9"/>
      <c r="BZ32" s="9">
        <f t="shared" si="61"/>
        <v>101.8</v>
      </c>
      <c r="CA32" s="9">
        <f t="shared" si="62"/>
        <v>101.8</v>
      </c>
      <c r="CB32" s="9">
        <f t="shared" si="63"/>
        <v>2.001967536137395</v>
      </c>
      <c r="CC32" s="9">
        <v>20</v>
      </c>
      <c r="CD32" s="9">
        <f t="shared" si="64"/>
        <v>0.05</v>
      </c>
      <c r="CE32" s="9">
        <f t="shared" si="65"/>
        <v>0.8</v>
      </c>
      <c r="CF32" s="9">
        <f t="shared" si="66"/>
        <v>0.99524931562137331</v>
      </c>
      <c r="CG32" s="9">
        <f t="shared" si="67"/>
        <v>0.97375</v>
      </c>
      <c r="CH32" s="9">
        <f t="shared" si="68"/>
        <v>1.961464882399115</v>
      </c>
      <c r="CI32" s="9">
        <f t="shared" si="69"/>
        <v>4.9036622059977875</v>
      </c>
      <c r="CJ32" s="9">
        <v>1</v>
      </c>
      <c r="CK32" s="9">
        <f t="shared" si="70"/>
        <v>514.88453162976771</v>
      </c>
      <c r="DH32" s="4">
        <f t="shared" si="71"/>
        <v>3</v>
      </c>
      <c r="DI32" s="4">
        <f t="shared" si="72"/>
        <v>285.75</v>
      </c>
      <c r="DJ32" s="4">
        <f t="shared" si="73"/>
        <v>1</v>
      </c>
      <c r="DL32" s="4">
        <f t="shared" si="74"/>
        <v>2.058127601073333E-5</v>
      </c>
      <c r="DM32" s="4">
        <f t="shared" si="75"/>
        <v>8.8720819696713296</v>
      </c>
      <c r="DO32" s="4">
        <f t="shared" si="76"/>
        <v>0</v>
      </c>
      <c r="DP32" s="4">
        <f t="shared" si="77"/>
        <v>6.3372014069080933</v>
      </c>
      <c r="DQ32" s="4">
        <f t="shared" si="78"/>
        <v>8.446107161096263</v>
      </c>
      <c r="DR32" s="38">
        <f t="shared" si="119"/>
        <v>517.5</v>
      </c>
      <c r="DS32" s="4">
        <f t="shared" si="79"/>
        <v>1</v>
      </c>
      <c r="DU32" s="4">
        <f t="shared" si="120"/>
        <v>393.95555790376096</v>
      </c>
      <c r="DY32" s="4">
        <f t="shared" si="80"/>
        <v>0.85</v>
      </c>
      <c r="DZ32" s="4">
        <f t="shared" si="81"/>
        <v>0.7</v>
      </c>
      <c r="EA32" s="4">
        <f t="shared" si="82"/>
        <v>0.82320199640399283</v>
      </c>
      <c r="EB32" s="4">
        <f t="shared" si="83"/>
        <v>0.7</v>
      </c>
      <c r="ED32" s="4">
        <f t="shared" si="121"/>
        <v>517.5</v>
      </c>
      <c r="EE32" s="25">
        <f t="shared" si="122"/>
        <v>399.47434702888194</v>
      </c>
      <c r="EH32" s="4">
        <f t="shared" si="84"/>
        <v>8.8720819696713296</v>
      </c>
      <c r="EI32" s="4">
        <f t="shared" si="85"/>
        <v>8.4462220351271053</v>
      </c>
      <c r="EK32" s="4">
        <f t="shared" si="86"/>
        <v>77.858162529590359</v>
      </c>
      <c r="EL32" s="4">
        <f t="shared" si="87"/>
        <v>3.0652819893539514</v>
      </c>
      <c r="EM32" s="4">
        <f t="shared" si="88"/>
        <v>0.13441581076614395</v>
      </c>
      <c r="EP32" s="4">
        <f t="shared" si="89"/>
        <v>0.13441581076614395</v>
      </c>
      <c r="EQ32" s="4">
        <f t="shared" si="90"/>
        <v>0.42438164726468319</v>
      </c>
      <c r="ER32" s="4">
        <f t="shared" si="91"/>
        <v>6.2969201091294611</v>
      </c>
      <c r="ES32" s="4">
        <f t="shared" si="92"/>
        <v>7.6933224587384004</v>
      </c>
      <c r="ET32" s="4">
        <f t="shared" si="93"/>
        <v>136.45433747040965</v>
      </c>
      <c r="EU32" s="4">
        <f t="shared" si="94"/>
        <v>71.4375</v>
      </c>
      <c r="EV32" s="4">
        <f t="shared" si="95"/>
        <v>2.058127601073333E-5</v>
      </c>
      <c r="EW32" s="4">
        <f t="shared" si="96"/>
        <v>8.2026593344228811</v>
      </c>
      <c r="EX32" s="4">
        <f t="shared" si="97"/>
        <v>517.5</v>
      </c>
      <c r="EY32" s="4">
        <f t="shared" si="98"/>
        <v>136.45433747040965</v>
      </c>
      <c r="EZ32" s="4">
        <f t="shared" si="99"/>
        <v>71.437499999999986</v>
      </c>
      <c r="FB32" s="4">
        <f t="shared" si="100"/>
        <v>0</v>
      </c>
      <c r="FG32" s="23"/>
      <c r="FH32" s="23"/>
      <c r="FI32" s="23"/>
      <c r="FJ32" s="23"/>
      <c r="FK32" s="23"/>
      <c r="FL32" s="23"/>
      <c r="FM32" s="23"/>
      <c r="FN32" s="23"/>
      <c r="FX32" s="4">
        <f t="shared" si="101"/>
        <v>1</v>
      </c>
      <c r="FY32" s="4">
        <f t="shared" si="102"/>
        <v>0.68688155922038985</v>
      </c>
      <c r="FZ32" s="4">
        <f t="shared" si="103"/>
        <v>0.3</v>
      </c>
      <c r="GA32" s="4">
        <f t="shared" si="104"/>
        <v>392.73534594062755</v>
      </c>
    </row>
    <row r="33" spans="1:184" ht="12" hidden="1" customHeight="1" x14ac:dyDescent="0.3">
      <c r="A33" s="25">
        <v>15</v>
      </c>
      <c r="B33" s="26" t="s">
        <v>81</v>
      </c>
      <c r="C33" s="26"/>
      <c r="D33" s="26" t="s">
        <v>82</v>
      </c>
      <c r="E33" s="26"/>
      <c r="F33" s="7" t="s">
        <v>93</v>
      </c>
      <c r="G33" s="28">
        <f t="shared" si="105"/>
        <v>517.5</v>
      </c>
      <c r="H33" s="7">
        <f t="shared" si="126"/>
        <v>285.75</v>
      </c>
      <c r="I33" s="7">
        <f t="shared" si="123"/>
        <v>285.75</v>
      </c>
      <c r="J33" s="7">
        <v>33.44</v>
      </c>
      <c r="K33" s="7">
        <v>25.4</v>
      </c>
      <c r="L33" s="7">
        <f t="shared" si="106"/>
        <v>11.25</v>
      </c>
      <c r="M33" s="7">
        <f t="shared" si="107"/>
        <v>11.25</v>
      </c>
      <c r="N33" s="7">
        <v>229</v>
      </c>
      <c r="O33" s="7">
        <f t="shared" si="108"/>
        <v>101.8</v>
      </c>
      <c r="P33" s="7">
        <v>305</v>
      </c>
      <c r="Q33" s="7">
        <v>0</v>
      </c>
      <c r="R33" s="7">
        <v>1</v>
      </c>
      <c r="S33" s="7">
        <v>52.65</v>
      </c>
      <c r="T33" s="7">
        <f t="shared" si="42"/>
        <v>2.5728346456692912</v>
      </c>
      <c r="U33" s="28">
        <f t="shared" si="109"/>
        <v>2.5728346456692912</v>
      </c>
      <c r="V33" s="28">
        <f t="shared" si="110"/>
        <v>8.3959536742577185</v>
      </c>
      <c r="W33" s="7">
        <f t="shared" si="43"/>
        <v>8.3959536742577185</v>
      </c>
      <c r="X33" s="7">
        <f t="shared" si="44"/>
        <v>9.3959536742577185</v>
      </c>
      <c r="Y33" s="7">
        <f t="shared" si="45"/>
        <v>77.858162529590359</v>
      </c>
      <c r="Z33" s="7"/>
      <c r="AA33" s="7"/>
      <c r="AB33" s="7">
        <f>226.71/(PI()/4*K33^2)*1000</f>
        <v>447.41790747552358</v>
      </c>
      <c r="AC33" s="7"/>
      <c r="AD33" s="7"/>
      <c r="AE33" s="7">
        <v>9.5</v>
      </c>
      <c r="AF33" s="7">
        <v>3</v>
      </c>
      <c r="AG33" s="7">
        <v>76</v>
      </c>
      <c r="AH33" s="7">
        <v>3</v>
      </c>
      <c r="AI33" s="7"/>
      <c r="AJ33" s="7"/>
      <c r="AK33" s="4">
        <f t="shared" si="125"/>
        <v>285.75</v>
      </c>
      <c r="AL33" s="4">
        <f t="shared" si="111"/>
        <v>0.15393077809475234</v>
      </c>
      <c r="AM33" s="25">
        <f t="shared" si="112"/>
        <v>551.25834685648249</v>
      </c>
      <c r="AN33" s="4">
        <f t="shared" si="113"/>
        <v>0.74573928258967626</v>
      </c>
      <c r="AO33" s="4">
        <v>1.25</v>
      </c>
      <c r="AP33" s="25">
        <f t="shared" si="114"/>
        <v>5</v>
      </c>
      <c r="AQ33" s="38">
        <f t="shared" si="115"/>
        <v>395.50108658094928</v>
      </c>
      <c r="AR33" s="38">
        <f t="shared" si="116"/>
        <v>395.50108658094928</v>
      </c>
      <c r="AT33" s="38">
        <f t="shared" si="46"/>
        <v>395.50108658094916</v>
      </c>
      <c r="AU33" s="38">
        <f t="shared" si="47"/>
        <v>1.0000000000000002</v>
      </c>
      <c r="AX33" s="4">
        <f t="shared" si="48"/>
        <v>342.39865961370697</v>
      </c>
      <c r="AY33" s="4">
        <f t="shared" si="49"/>
        <v>1</v>
      </c>
      <c r="AZ33" s="38">
        <f t="shared" si="117"/>
        <v>498.58953245457928</v>
      </c>
      <c r="BA33" s="4">
        <f t="shared" si="50"/>
        <v>0.3</v>
      </c>
      <c r="BB33" s="4">
        <f t="shared" si="51"/>
        <v>53.67098989444856</v>
      </c>
      <c r="BC33" s="4">
        <f t="shared" si="52"/>
        <v>552.26052234902784</v>
      </c>
      <c r="BE33" s="36">
        <f t="shared" si="53"/>
        <v>2.2250000000000001</v>
      </c>
      <c r="BF33" s="36">
        <f t="shared" si="54"/>
        <v>514.66322969491421</v>
      </c>
      <c r="BK33" s="4">
        <f t="shared" si="55"/>
        <v>101.8</v>
      </c>
      <c r="BL33" s="4">
        <f t="shared" si="56"/>
        <v>52.65</v>
      </c>
      <c r="BM33" s="4">
        <f t="shared" si="57"/>
        <v>101.8</v>
      </c>
      <c r="BN33" s="4">
        <f t="shared" si="58"/>
        <v>65.349999999999994</v>
      </c>
      <c r="BO33" s="4">
        <f t="shared" si="59"/>
        <v>1.09335232668566</v>
      </c>
      <c r="BP33" s="25">
        <f t="shared" si="118"/>
        <v>4</v>
      </c>
      <c r="BR33" s="4">
        <f t="shared" si="60"/>
        <v>101.8</v>
      </c>
      <c r="BV33" s="9"/>
      <c r="BX33" s="9"/>
      <c r="BY33" s="9"/>
      <c r="BZ33" s="9">
        <f t="shared" si="61"/>
        <v>101.8</v>
      </c>
      <c r="CA33" s="9">
        <f t="shared" si="62"/>
        <v>101.8</v>
      </c>
      <c r="CB33" s="9">
        <f t="shared" si="63"/>
        <v>2.001967536137395</v>
      </c>
      <c r="CC33" s="9">
        <v>20</v>
      </c>
      <c r="CD33" s="9">
        <f t="shared" si="64"/>
        <v>0.05</v>
      </c>
      <c r="CE33" s="9">
        <f t="shared" si="65"/>
        <v>0.8</v>
      </c>
      <c r="CF33" s="9">
        <f t="shared" si="66"/>
        <v>0.99524931562137331</v>
      </c>
      <c r="CG33" s="9">
        <f t="shared" si="67"/>
        <v>0.97375</v>
      </c>
      <c r="CH33" s="9">
        <f t="shared" si="68"/>
        <v>1.961464882399115</v>
      </c>
      <c r="CI33" s="9">
        <f t="shared" si="69"/>
        <v>4.9036622059977875</v>
      </c>
      <c r="CJ33" s="9">
        <v>1</v>
      </c>
      <c r="CK33" s="9">
        <f t="shared" si="70"/>
        <v>514.88453162976771</v>
      </c>
      <c r="DH33" s="4">
        <f t="shared" si="71"/>
        <v>3</v>
      </c>
      <c r="DI33" s="4">
        <f t="shared" si="72"/>
        <v>285.75</v>
      </c>
      <c r="DJ33" s="4">
        <f t="shared" si="73"/>
        <v>1</v>
      </c>
      <c r="DL33" s="4">
        <f t="shared" si="74"/>
        <v>2.058127601073333E-5</v>
      </c>
      <c r="DM33" s="4">
        <f t="shared" si="75"/>
        <v>8.8720819696713296</v>
      </c>
      <c r="DO33" s="4">
        <f t="shared" si="76"/>
        <v>0</v>
      </c>
      <c r="DP33" s="4">
        <f t="shared" si="77"/>
        <v>6.3372014069080933</v>
      </c>
      <c r="DQ33" s="4">
        <f t="shared" si="78"/>
        <v>8.446107161096263</v>
      </c>
      <c r="DR33" s="38">
        <f t="shared" si="119"/>
        <v>517.5</v>
      </c>
      <c r="DS33" s="4">
        <f t="shared" si="79"/>
        <v>1</v>
      </c>
      <c r="DU33" s="4">
        <f t="shared" si="120"/>
        <v>395.50108658094916</v>
      </c>
      <c r="DY33" s="4">
        <f t="shared" si="80"/>
        <v>0.85</v>
      </c>
      <c r="DZ33" s="4">
        <f t="shared" si="81"/>
        <v>0.7</v>
      </c>
      <c r="EA33" s="4">
        <f t="shared" si="82"/>
        <v>0.82320199640399283</v>
      </c>
      <c r="EB33" s="4">
        <f t="shared" si="83"/>
        <v>0.7</v>
      </c>
      <c r="ED33" s="4">
        <f t="shared" si="121"/>
        <v>517.5</v>
      </c>
      <c r="EE33" s="25">
        <f t="shared" si="122"/>
        <v>399.9758484132285</v>
      </c>
      <c r="EH33" s="4">
        <f t="shared" si="84"/>
        <v>8.8720819696713296</v>
      </c>
      <c r="EI33" s="4">
        <f t="shared" si="85"/>
        <v>8.4462220351271053</v>
      </c>
      <c r="EK33" s="4">
        <f t="shared" si="86"/>
        <v>77.858162529590359</v>
      </c>
      <c r="EL33" s="4">
        <f t="shared" si="87"/>
        <v>3.0652819893539514</v>
      </c>
      <c r="EM33" s="4">
        <f t="shared" si="88"/>
        <v>0.13494313798881846</v>
      </c>
      <c r="EP33" s="4">
        <f t="shared" si="89"/>
        <v>0.13494313798881846</v>
      </c>
      <c r="EQ33" s="4">
        <f t="shared" si="90"/>
        <v>0.42604654065877551</v>
      </c>
      <c r="ER33" s="4">
        <f t="shared" si="91"/>
        <v>6.3067898930054849</v>
      </c>
      <c r="ES33" s="4">
        <f t="shared" si="92"/>
        <v>7.6973587472627116</v>
      </c>
      <c r="ET33" s="4">
        <f t="shared" si="93"/>
        <v>136.45433747040965</v>
      </c>
      <c r="EU33" s="4">
        <f t="shared" si="94"/>
        <v>71.4375</v>
      </c>
      <c r="EV33" s="4">
        <f t="shared" si="95"/>
        <v>2.058127601073333E-5</v>
      </c>
      <c r="EW33" s="4">
        <f t="shared" si="96"/>
        <v>8.2021837648564127</v>
      </c>
      <c r="EX33" s="4">
        <f t="shared" si="97"/>
        <v>517.5</v>
      </c>
      <c r="EY33" s="4">
        <f t="shared" si="98"/>
        <v>136.45433747040965</v>
      </c>
      <c r="EZ33" s="4">
        <f t="shared" si="99"/>
        <v>71.437499999999986</v>
      </c>
      <c r="FB33" s="4">
        <f t="shared" si="100"/>
        <v>0</v>
      </c>
      <c r="FG33" s="23"/>
      <c r="FH33" s="23"/>
      <c r="FI33" s="23"/>
      <c r="FJ33" s="23"/>
      <c r="FK33" s="23"/>
      <c r="FL33" s="23"/>
      <c r="FM33" s="23"/>
      <c r="FN33" s="23"/>
      <c r="FX33" s="4">
        <f t="shared" si="101"/>
        <v>1</v>
      </c>
      <c r="FY33" s="4">
        <f t="shared" si="102"/>
        <v>0.68688155922038985</v>
      </c>
      <c r="FZ33" s="4">
        <f t="shared" si="103"/>
        <v>0.3</v>
      </c>
      <c r="GA33" s="4">
        <f t="shared" si="104"/>
        <v>392.73534594062755</v>
      </c>
    </row>
    <row r="34" spans="1:184" s="25" customFormat="1" ht="12" hidden="1" customHeight="1" x14ac:dyDescent="0.3">
      <c r="A34" s="25">
        <v>16</v>
      </c>
      <c r="B34" s="26" t="s">
        <v>81</v>
      </c>
      <c r="C34" s="26"/>
      <c r="D34" s="26" t="s">
        <v>82</v>
      </c>
      <c r="E34" s="26"/>
      <c r="F34" s="28" t="s">
        <v>94</v>
      </c>
      <c r="G34" s="28">
        <f t="shared" si="105"/>
        <v>517.5</v>
      </c>
      <c r="H34" s="28">
        <f t="shared" ref="H34:H36" si="127">0.5*25.4</f>
        <v>12.7</v>
      </c>
      <c r="I34" s="28">
        <f t="shared" si="123"/>
        <v>12.7</v>
      </c>
      <c r="J34" s="28">
        <v>34.659999999999997</v>
      </c>
      <c r="K34" s="28">
        <v>25.4</v>
      </c>
      <c r="L34" s="28">
        <f t="shared" si="106"/>
        <v>0.5</v>
      </c>
      <c r="M34" s="28">
        <f t="shared" si="107"/>
        <v>0.5</v>
      </c>
      <c r="N34" s="28">
        <v>229</v>
      </c>
      <c r="O34" s="28">
        <f t="shared" si="108"/>
        <v>101.8</v>
      </c>
      <c r="P34" s="28">
        <v>305</v>
      </c>
      <c r="Q34" s="28">
        <v>0</v>
      </c>
      <c r="R34" s="28">
        <v>1</v>
      </c>
      <c r="S34" s="28">
        <v>73.459999999999994</v>
      </c>
      <c r="T34" s="7">
        <f t="shared" si="42"/>
        <v>3.3921259842519684</v>
      </c>
      <c r="U34" s="28">
        <f t="shared" si="109"/>
        <v>3.3921259842519684</v>
      </c>
      <c r="V34" s="28">
        <f t="shared" si="110"/>
        <v>8.3959536742577185</v>
      </c>
      <c r="W34" s="7">
        <f t="shared" si="43"/>
        <v>8.3959536742577185</v>
      </c>
      <c r="X34" s="28">
        <f t="shared" si="44"/>
        <v>9.3959536742577185</v>
      </c>
      <c r="Y34" s="28">
        <f t="shared" si="45"/>
        <v>77.858162529590359</v>
      </c>
      <c r="Z34" s="28"/>
      <c r="AA34" s="28"/>
      <c r="AB34" s="28">
        <f>270.13/(PI()/4*K34^2)*1000</f>
        <v>533.10837345667676</v>
      </c>
      <c r="AC34" s="28"/>
      <c r="AD34" s="28"/>
      <c r="AE34" s="28"/>
      <c r="AF34" s="28"/>
      <c r="AG34" s="28">
        <v>1</v>
      </c>
      <c r="AH34" s="28"/>
      <c r="AI34" s="28"/>
      <c r="AJ34" s="28"/>
      <c r="AK34" s="4">
        <f t="shared" si="125"/>
        <v>12.7</v>
      </c>
      <c r="AL34" s="25">
        <f t="shared" si="111"/>
        <v>1</v>
      </c>
      <c r="AM34" s="25">
        <f t="shared" si="112"/>
        <v>5.2585080853609538</v>
      </c>
      <c r="AN34" s="4">
        <f t="shared" si="113"/>
        <v>1</v>
      </c>
      <c r="AO34" s="25">
        <v>1.25</v>
      </c>
      <c r="AP34" s="25">
        <f t="shared" si="114"/>
        <v>5</v>
      </c>
      <c r="AQ34" s="38">
        <f t="shared" si="115"/>
        <v>32.865675533505964</v>
      </c>
      <c r="AR34" s="38">
        <f t="shared" si="116"/>
        <v>32.865675533505964</v>
      </c>
      <c r="AS34" s="38"/>
      <c r="AT34" s="38">
        <f t="shared" si="46"/>
        <v>1121.9869848998135</v>
      </c>
      <c r="AU34" s="38">
        <f t="shared" si="47"/>
        <v>2.929238571910945E-2</v>
      </c>
      <c r="AV34" s="38"/>
      <c r="AX34" s="25">
        <f t="shared" si="48"/>
        <v>15.492827399510553</v>
      </c>
      <c r="AY34" s="25">
        <f t="shared" si="49"/>
        <v>1</v>
      </c>
      <c r="AZ34" s="38">
        <f t="shared" si="117"/>
        <v>681.34260170232233</v>
      </c>
      <c r="BA34" s="25">
        <f t="shared" si="50"/>
        <v>0.3</v>
      </c>
      <c r="BB34" s="25">
        <f t="shared" si="51"/>
        <v>2.428500694873279</v>
      </c>
      <c r="BC34" s="25">
        <f t="shared" si="52"/>
        <v>683.77110239719559</v>
      </c>
      <c r="BE34" s="36">
        <f t="shared" si="53"/>
        <v>1.1000000000000001</v>
      </c>
      <c r="BF34" s="36">
        <f t="shared" si="54"/>
        <v>147.65284224829537</v>
      </c>
      <c r="BK34" s="25">
        <f t="shared" si="55"/>
        <v>101.8</v>
      </c>
      <c r="BL34" s="25">
        <f t="shared" si="56"/>
        <v>73.459999999999994</v>
      </c>
      <c r="BM34" s="25">
        <f t="shared" si="57"/>
        <v>101.8</v>
      </c>
      <c r="BN34" s="25">
        <f t="shared" si="58"/>
        <v>86.16</v>
      </c>
      <c r="BO34" s="25">
        <f t="shared" si="59"/>
        <v>1.0385788184045739</v>
      </c>
      <c r="BP34" s="25">
        <f t="shared" si="118"/>
        <v>3.5229901966038617</v>
      </c>
      <c r="BR34" s="25">
        <f t="shared" si="60"/>
        <v>101.8</v>
      </c>
      <c r="BV34" s="29"/>
      <c r="BX34" s="29"/>
      <c r="BY34" s="29"/>
      <c r="BZ34" s="29">
        <f t="shared" si="61"/>
        <v>101.8</v>
      </c>
      <c r="CA34" s="29">
        <f t="shared" si="62"/>
        <v>101.8</v>
      </c>
      <c r="CB34" s="29">
        <f t="shared" si="63"/>
        <v>2.001967536137395</v>
      </c>
      <c r="CC34" s="29">
        <v>0</v>
      </c>
      <c r="CD34" s="29">
        <f t="shared" si="64"/>
        <v>0</v>
      </c>
      <c r="CE34" s="29">
        <f t="shared" si="65"/>
        <v>0</v>
      </c>
      <c r="CF34" s="29">
        <f t="shared" si="66"/>
        <v>0.99524931562137331</v>
      </c>
      <c r="CG34" s="29">
        <f t="shared" si="67"/>
        <v>0.97375</v>
      </c>
      <c r="CH34" s="29">
        <f t="shared" si="68"/>
        <v>1.9969246679255115</v>
      </c>
      <c r="CI34" s="29">
        <f t="shared" si="69"/>
        <v>3.9977783572988219</v>
      </c>
      <c r="CJ34" s="29">
        <v>1</v>
      </c>
      <c r="CK34" s="29">
        <f t="shared" si="70"/>
        <v>247.86225815252698</v>
      </c>
      <c r="CM34" s="4"/>
      <c r="CN34" s="4"/>
      <c r="CO34" s="4"/>
      <c r="CP34" s="4"/>
      <c r="CQ34" s="4"/>
      <c r="CR34" s="4"/>
      <c r="CS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H34" s="4">
        <f t="shared" si="71"/>
        <v>0</v>
      </c>
      <c r="DI34" s="25">
        <f t="shared" si="72"/>
        <v>12.7</v>
      </c>
      <c r="DJ34" s="25">
        <f t="shared" si="73"/>
        <v>1</v>
      </c>
      <c r="DL34" s="4">
        <f t="shared" si="74"/>
        <v>9.2245380945552914E-7</v>
      </c>
      <c r="DM34" s="4">
        <f t="shared" si="75"/>
        <v>9.0324733825588019</v>
      </c>
      <c r="DN34" s="4"/>
      <c r="DO34" s="4">
        <f t="shared" si="76"/>
        <v>0</v>
      </c>
      <c r="DP34" s="4">
        <f t="shared" si="77"/>
        <v>6.4517667018277161</v>
      </c>
      <c r="DQ34" s="4">
        <f t="shared" si="78"/>
        <v>9.0395809336509103</v>
      </c>
      <c r="DR34" s="38">
        <f t="shared" si="119"/>
        <v>533.10837345667676</v>
      </c>
      <c r="DS34" s="4">
        <f t="shared" si="79"/>
        <v>1</v>
      </c>
      <c r="DT34" s="4"/>
      <c r="DU34" s="4">
        <f t="shared" si="120"/>
        <v>1121.9869848998135</v>
      </c>
      <c r="DY34" s="25">
        <f t="shared" si="80"/>
        <v>0.85</v>
      </c>
      <c r="DZ34" s="25">
        <f t="shared" si="81"/>
        <v>0.7</v>
      </c>
      <c r="EA34" s="25">
        <f t="shared" si="82"/>
        <v>1</v>
      </c>
      <c r="EB34" s="25">
        <f t="shared" si="83"/>
        <v>0.7</v>
      </c>
      <c r="ED34" s="4">
        <f t="shared" si="121"/>
        <v>533.10837345667676</v>
      </c>
      <c r="EE34" s="25">
        <f t="shared" si="122"/>
        <v>4867.4754115107617</v>
      </c>
      <c r="EH34" s="4">
        <f t="shared" si="84"/>
        <v>9.0324733825588019</v>
      </c>
      <c r="EI34" s="25">
        <f t="shared" si="85"/>
        <v>7.5734730123259153</v>
      </c>
      <c r="EK34" s="4">
        <f t="shared" si="86"/>
        <v>77.858162529590359</v>
      </c>
      <c r="EL34" s="4">
        <f t="shared" si="87"/>
        <v>3.0652819893539514</v>
      </c>
      <c r="EM34" s="4">
        <f t="shared" si="88"/>
        <v>0.37601900718293008</v>
      </c>
      <c r="EP34" s="25">
        <f t="shared" si="89"/>
        <v>0.37601900718293008</v>
      </c>
      <c r="EQ34" s="25">
        <f t="shared" si="90"/>
        <v>0.999</v>
      </c>
      <c r="ER34" s="4">
        <f t="shared" si="91"/>
        <v>9.0288593087305173</v>
      </c>
      <c r="ES34" s="25">
        <f t="shared" si="92"/>
        <v>9.0306665264387256</v>
      </c>
      <c r="ET34" s="4">
        <f t="shared" si="93"/>
        <v>0</v>
      </c>
      <c r="EU34" s="4">
        <f t="shared" si="94"/>
        <v>0</v>
      </c>
      <c r="EV34" s="25">
        <f t="shared" si="95"/>
        <v>0</v>
      </c>
      <c r="EW34" s="25">
        <f t="shared" si="96"/>
        <v>9.0324733825588019</v>
      </c>
      <c r="EX34" s="4">
        <f t="shared" si="97"/>
        <v>533.10837345667676</v>
      </c>
      <c r="EY34" s="4">
        <f t="shared" si="98"/>
        <v>0</v>
      </c>
      <c r="EZ34" s="4">
        <f t="shared" si="99"/>
        <v>0</v>
      </c>
      <c r="FB34" s="4">
        <f t="shared" si="100"/>
        <v>0</v>
      </c>
      <c r="FG34" s="23"/>
      <c r="FH34" s="23"/>
      <c r="FI34" s="23"/>
      <c r="FJ34" s="23"/>
      <c r="FK34" s="23"/>
      <c r="FL34" s="23"/>
      <c r="FM34" s="30"/>
      <c r="FN34" s="30"/>
      <c r="FX34" s="4">
        <f t="shared" si="101"/>
        <v>1</v>
      </c>
      <c r="FY34" s="4">
        <f t="shared" si="102"/>
        <v>1.0833333333333333</v>
      </c>
      <c r="FZ34" s="4">
        <f t="shared" si="103"/>
        <v>0</v>
      </c>
      <c r="GA34" s="4">
        <f t="shared" si="104"/>
        <v>11.166775737485116</v>
      </c>
      <c r="GB34" s="4"/>
    </row>
    <row r="35" spans="1:184" s="25" customFormat="1" ht="12" hidden="1" customHeight="1" x14ac:dyDescent="0.3">
      <c r="A35" s="25">
        <v>17</v>
      </c>
      <c r="B35" s="26" t="s">
        <v>81</v>
      </c>
      <c r="C35" s="26"/>
      <c r="D35" s="26" t="s">
        <v>82</v>
      </c>
      <c r="E35" s="26"/>
      <c r="F35" s="28" t="s">
        <v>95</v>
      </c>
      <c r="G35" s="28">
        <f t="shared" si="105"/>
        <v>517.5</v>
      </c>
      <c r="H35" s="28">
        <f t="shared" si="127"/>
        <v>12.7</v>
      </c>
      <c r="I35" s="28">
        <f t="shared" si="123"/>
        <v>12.7</v>
      </c>
      <c r="J35" s="28">
        <v>34.659999999999997</v>
      </c>
      <c r="K35" s="28">
        <v>25.4</v>
      </c>
      <c r="L35" s="28">
        <f t="shared" si="106"/>
        <v>0.5</v>
      </c>
      <c r="M35" s="28">
        <f t="shared" si="107"/>
        <v>0.5</v>
      </c>
      <c r="N35" s="28">
        <v>229</v>
      </c>
      <c r="O35" s="28">
        <f t="shared" si="108"/>
        <v>101.8</v>
      </c>
      <c r="P35" s="28">
        <v>305</v>
      </c>
      <c r="Q35" s="28">
        <v>0</v>
      </c>
      <c r="R35" s="28">
        <v>1</v>
      </c>
      <c r="S35" s="28">
        <v>68.86</v>
      </c>
      <c r="T35" s="7">
        <f t="shared" si="42"/>
        <v>3.2110236220472443</v>
      </c>
      <c r="U35" s="28">
        <f t="shared" si="109"/>
        <v>3.2110236220472443</v>
      </c>
      <c r="V35" s="28">
        <f t="shared" si="110"/>
        <v>8.3959536742577185</v>
      </c>
      <c r="W35" s="7">
        <f t="shared" si="43"/>
        <v>8.3959536742577185</v>
      </c>
      <c r="X35" s="28">
        <f t="shared" si="44"/>
        <v>9.3959536742577185</v>
      </c>
      <c r="Y35" s="28">
        <f t="shared" si="45"/>
        <v>77.858162529590359</v>
      </c>
      <c r="Z35" s="28"/>
      <c r="AA35" s="28"/>
      <c r="AB35" s="28">
        <f>262.79/(PI()/4*K35^2)*1000</f>
        <v>518.62269818487425</v>
      </c>
      <c r="AC35" s="28"/>
      <c r="AD35" s="28"/>
      <c r="AE35" s="28"/>
      <c r="AF35" s="28"/>
      <c r="AG35" s="28">
        <v>1</v>
      </c>
      <c r="AH35" s="28"/>
      <c r="AI35" s="28"/>
      <c r="AJ35" s="28"/>
      <c r="AK35" s="4">
        <f t="shared" si="125"/>
        <v>12.7</v>
      </c>
      <c r="AL35" s="25">
        <f t="shared" si="111"/>
        <v>1</v>
      </c>
      <c r="AM35" s="25">
        <f t="shared" si="112"/>
        <v>5.2585080853609538</v>
      </c>
      <c r="AN35" s="4">
        <f t="shared" si="113"/>
        <v>1</v>
      </c>
      <c r="AO35" s="25">
        <v>1.25</v>
      </c>
      <c r="AP35" s="25">
        <f t="shared" si="114"/>
        <v>5</v>
      </c>
      <c r="AQ35" s="38">
        <f t="shared" si="115"/>
        <v>32.865675533505964</v>
      </c>
      <c r="AR35" s="38">
        <f t="shared" si="116"/>
        <v>32.865675533505964</v>
      </c>
      <c r="AS35" s="38"/>
      <c r="AT35" s="38">
        <f t="shared" si="46"/>
        <v>1035.1434290393081</v>
      </c>
      <c r="AU35" s="38">
        <f t="shared" si="47"/>
        <v>3.1749876018638122E-2</v>
      </c>
      <c r="AV35" s="38"/>
      <c r="AX35" s="25">
        <f t="shared" si="48"/>
        <v>15.492827399510553</v>
      </c>
      <c r="AY35" s="25">
        <f t="shared" si="49"/>
        <v>1</v>
      </c>
      <c r="AZ35" s="38">
        <f t="shared" si="117"/>
        <v>644.96637180642313</v>
      </c>
      <c r="BA35" s="25">
        <f t="shared" si="50"/>
        <v>0.3</v>
      </c>
      <c r="BB35" s="25">
        <f t="shared" si="51"/>
        <v>2.428500694873279</v>
      </c>
      <c r="BC35" s="25">
        <f t="shared" si="52"/>
        <v>647.39487250129639</v>
      </c>
      <c r="BE35" s="36">
        <f t="shared" si="53"/>
        <v>1.1000000000000001</v>
      </c>
      <c r="BF35" s="36">
        <f t="shared" si="54"/>
        <v>147.65284224829537</v>
      </c>
      <c r="BK35" s="25">
        <f t="shared" si="55"/>
        <v>101.8</v>
      </c>
      <c r="BL35" s="25">
        <f t="shared" si="56"/>
        <v>68.86</v>
      </c>
      <c r="BM35" s="25">
        <f t="shared" si="57"/>
        <v>101.8</v>
      </c>
      <c r="BN35" s="25">
        <f t="shared" si="58"/>
        <v>81.56</v>
      </c>
      <c r="BO35" s="25">
        <f t="shared" si="59"/>
        <v>1.0478361893697357</v>
      </c>
      <c r="BP35" s="25">
        <f t="shared" si="118"/>
        <v>3.364626756102191</v>
      </c>
      <c r="BR35" s="25">
        <f t="shared" si="60"/>
        <v>101.8</v>
      </c>
      <c r="BV35" s="29"/>
      <c r="BX35" s="29"/>
      <c r="BY35" s="29"/>
      <c r="BZ35" s="29">
        <f t="shared" si="61"/>
        <v>101.8</v>
      </c>
      <c r="CA35" s="29">
        <f t="shared" si="62"/>
        <v>101.8</v>
      </c>
      <c r="CB35" s="29">
        <f t="shared" si="63"/>
        <v>2.001967536137395</v>
      </c>
      <c r="CC35" s="29">
        <v>0</v>
      </c>
      <c r="CD35" s="29">
        <f t="shared" si="64"/>
        <v>0</v>
      </c>
      <c r="CE35" s="29">
        <f t="shared" si="65"/>
        <v>0</v>
      </c>
      <c r="CF35" s="29">
        <f t="shared" si="66"/>
        <v>0.99524931562137331</v>
      </c>
      <c r="CG35" s="29">
        <f t="shared" si="67"/>
        <v>0.97375</v>
      </c>
      <c r="CH35" s="29">
        <f t="shared" si="68"/>
        <v>1.9969246679255115</v>
      </c>
      <c r="CI35" s="29">
        <f t="shared" si="69"/>
        <v>3.9977783572988219</v>
      </c>
      <c r="CJ35" s="29">
        <v>1</v>
      </c>
      <c r="CK35" s="29">
        <f t="shared" si="70"/>
        <v>247.86225815252698</v>
      </c>
      <c r="CM35" s="4"/>
      <c r="CN35" s="4"/>
      <c r="CO35" s="4"/>
      <c r="CP35" s="4"/>
      <c r="CQ35" s="4"/>
      <c r="CR35" s="4"/>
      <c r="CS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H35" s="4">
        <f t="shared" si="71"/>
        <v>0</v>
      </c>
      <c r="DI35" s="25">
        <f t="shared" si="72"/>
        <v>12.7</v>
      </c>
      <c r="DJ35" s="25">
        <f t="shared" si="73"/>
        <v>1</v>
      </c>
      <c r="DL35" s="4">
        <f t="shared" si="74"/>
        <v>9.2245380945552914E-7</v>
      </c>
      <c r="DM35" s="4">
        <f t="shared" si="75"/>
        <v>9.0324733825588019</v>
      </c>
      <c r="DN35" s="4"/>
      <c r="DO35" s="4">
        <f t="shared" si="76"/>
        <v>0</v>
      </c>
      <c r="DP35" s="4">
        <f t="shared" si="77"/>
        <v>6.4517667018277161</v>
      </c>
      <c r="DQ35" s="4">
        <f t="shared" si="78"/>
        <v>9.0395809336509103</v>
      </c>
      <c r="DR35" s="38">
        <f t="shared" si="119"/>
        <v>518.62269818487425</v>
      </c>
      <c r="DS35" s="4">
        <f t="shared" si="79"/>
        <v>1</v>
      </c>
      <c r="DT35" s="4"/>
      <c r="DU35" s="4">
        <f t="shared" si="120"/>
        <v>1035.1434290393081</v>
      </c>
      <c r="DY35" s="25">
        <f t="shared" si="80"/>
        <v>0.85</v>
      </c>
      <c r="DZ35" s="25">
        <f t="shared" si="81"/>
        <v>0.7</v>
      </c>
      <c r="EA35" s="25">
        <f t="shared" si="82"/>
        <v>1</v>
      </c>
      <c r="EB35" s="25">
        <f t="shared" si="83"/>
        <v>0.7</v>
      </c>
      <c r="ED35" s="4">
        <f t="shared" si="121"/>
        <v>518.62269818487425</v>
      </c>
      <c r="EE35" s="25">
        <f t="shared" si="122"/>
        <v>4677.5815357330548</v>
      </c>
      <c r="EH35" s="4">
        <f t="shared" si="84"/>
        <v>9.0324733825588019</v>
      </c>
      <c r="EI35" s="25">
        <f t="shared" si="85"/>
        <v>7.2330345847836925</v>
      </c>
      <c r="EK35" s="4">
        <f t="shared" si="86"/>
        <v>77.858162529590359</v>
      </c>
      <c r="EL35" s="4">
        <f t="shared" si="87"/>
        <v>3.0652819893539514</v>
      </c>
      <c r="EM35" s="4">
        <f t="shared" si="88"/>
        <v>0.34691454510414893</v>
      </c>
      <c r="EP35" s="25">
        <f t="shared" si="89"/>
        <v>0.34691454510414893</v>
      </c>
      <c r="EQ35" s="25">
        <f t="shared" si="90"/>
        <v>0.999</v>
      </c>
      <c r="ER35" s="4">
        <f t="shared" si="91"/>
        <v>9.0288593087305173</v>
      </c>
      <c r="ES35" s="25">
        <f t="shared" si="92"/>
        <v>9.0306665264387256</v>
      </c>
      <c r="ET35" s="4">
        <f t="shared" si="93"/>
        <v>0</v>
      </c>
      <c r="EU35" s="4">
        <f t="shared" si="94"/>
        <v>0</v>
      </c>
      <c r="EV35" s="25">
        <f t="shared" si="95"/>
        <v>0</v>
      </c>
      <c r="EW35" s="25">
        <f t="shared" si="96"/>
        <v>9.0324733825588019</v>
      </c>
      <c r="EX35" s="4">
        <f t="shared" si="97"/>
        <v>518.62269818487425</v>
      </c>
      <c r="EY35" s="4">
        <f t="shared" si="98"/>
        <v>0</v>
      </c>
      <c r="EZ35" s="4">
        <f t="shared" si="99"/>
        <v>0</v>
      </c>
      <c r="FB35" s="4">
        <f t="shared" si="100"/>
        <v>0</v>
      </c>
      <c r="FG35" s="23"/>
      <c r="FH35" s="23"/>
      <c r="FI35" s="23"/>
      <c r="FJ35" s="23"/>
      <c r="FK35" s="23"/>
      <c r="FL35" s="23"/>
      <c r="FM35" s="30"/>
      <c r="FN35" s="30"/>
      <c r="FX35" s="4">
        <f t="shared" si="101"/>
        <v>1</v>
      </c>
      <c r="FY35" s="4">
        <f t="shared" si="102"/>
        <v>1.0833333333333333</v>
      </c>
      <c r="FZ35" s="4">
        <f t="shared" si="103"/>
        <v>0</v>
      </c>
      <c r="GA35" s="4">
        <f t="shared" si="104"/>
        <v>11.166775737485116</v>
      </c>
      <c r="GB35" s="4"/>
    </row>
    <row r="36" spans="1:184" s="25" customFormat="1" ht="12" hidden="1" customHeight="1" x14ac:dyDescent="0.3">
      <c r="A36" s="25">
        <v>18</v>
      </c>
      <c r="B36" s="26" t="s">
        <v>81</v>
      </c>
      <c r="C36" s="26"/>
      <c r="D36" s="26" t="s">
        <v>82</v>
      </c>
      <c r="E36" s="26"/>
      <c r="F36" s="27" t="s">
        <v>96</v>
      </c>
      <c r="G36" s="28">
        <f t="shared" si="105"/>
        <v>517.5</v>
      </c>
      <c r="H36" s="28">
        <f t="shared" si="127"/>
        <v>12.7</v>
      </c>
      <c r="I36" s="28">
        <f t="shared" si="123"/>
        <v>12.7</v>
      </c>
      <c r="J36" s="28">
        <v>34.659999999999997</v>
      </c>
      <c r="K36" s="28">
        <v>25.4</v>
      </c>
      <c r="L36" s="28">
        <f t="shared" si="106"/>
        <v>0.5</v>
      </c>
      <c r="M36" s="28">
        <f t="shared" si="107"/>
        <v>0.5</v>
      </c>
      <c r="N36" s="28">
        <v>229</v>
      </c>
      <c r="O36" s="28">
        <f t="shared" si="108"/>
        <v>101.8</v>
      </c>
      <c r="P36" s="28">
        <v>305</v>
      </c>
      <c r="Q36" s="28">
        <v>0</v>
      </c>
      <c r="R36" s="28">
        <v>1</v>
      </c>
      <c r="S36" s="28">
        <v>69.16</v>
      </c>
      <c r="T36" s="7">
        <f t="shared" si="42"/>
        <v>3.2228346456692916</v>
      </c>
      <c r="U36" s="28">
        <f t="shared" si="109"/>
        <v>3.2228346456692916</v>
      </c>
      <c r="V36" s="28">
        <f t="shared" si="110"/>
        <v>8.3959536742577185</v>
      </c>
      <c r="W36" s="7">
        <f t="shared" si="43"/>
        <v>8.3959536742577185</v>
      </c>
      <c r="X36" s="28">
        <f t="shared" si="44"/>
        <v>9.3959536742577185</v>
      </c>
      <c r="Y36" s="28">
        <f t="shared" si="45"/>
        <v>77.858162529590359</v>
      </c>
      <c r="Z36" s="28"/>
      <c r="AA36" s="28"/>
      <c r="AB36" s="28">
        <f>262.08/(PI()/4*K36^2)*1000</f>
        <v>517.22149526348721</v>
      </c>
      <c r="AC36" s="28"/>
      <c r="AD36" s="28"/>
      <c r="AE36" s="28"/>
      <c r="AF36" s="28"/>
      <c r="AG36" s="28">
        <v>1</v>
      </c>
      <c r="AH36" s="28"/>
      <c r="AI36" s="28"/>
      <c r="AJ36" s="28"/>
      <c r="AK36" s="4">
        <f t="shared" si="125"/>
        <v>12.7</v>
      </c>
      <c r="AL36" s="25">
        <f t="shared" si="111"/>
        <v>1</v>
      </c>
      <c r="AM36" s="25">
        <f t="shared" si="112"/>
        <v>5.2585080853609538</v>
      </c>
      <c r="AN36" s="4">
        <f t="shared" si="113"/>
        <v>1</v>
      </c>
      <c r="AO36" s="25">
        <v>1.25</v>
      </c>
      <c r="AP36" s="25">
        <f t="shared" si="114"/>
        <v>5</v>
      </c>
      <c r="AQ36" s="38">
        <f t="shared" si="115"/>
        <v>32.865675533505964</v>
      </c>
      <c r="AR36" s="38">
        <f t="shared" si="116"/>
        <v>32.865675533505964</v>
      </c>
      <c r="AS36" s="38"/>
      <c r="AT36" s="38">
        <f t="shared" si="46"/>
        <v>1040.7018111455272</v>
      </c>
      <c r="AU36" s="38">
        <f t="shared" si="47"/>
        <v>3.158030012202042E-2</v>
      </c>
      <c r="AV36" s="38"/>
      <c r="AX36" s="25">
        <f t="shared" si="48"/>
        <v>15.492827399510553</v>
      </c>
      <c r="AY36" s="25">
        <f t="shared" si="49"/>
        <v>1</v>
      </c>
      <c r="AZ36" s="38">
        <f t="shared" si="117"/>
        <v>647.33873462572092</v>
      </c>
      <c r="BA36" s="25">
        <f t="shared" si="50"/>
        <v>0.3</v>
      </c>
      <c r="BB36" s="25">
        <f t="shared" si="51"/>
        <v>2.428500694873279</v>
      </c>
      <c r="BC36" s="25">
        <f t="shared" si="52"/>
        <v>649.76723532059418</v>
      </c>
      <c r="BE36" s="36">
        <f t="shared" si="53"/>
        <v>1.1000000000000001</v>
      </c>
      <c r="BF36" s="36">
        <f t="shared" si="54"/>
        <v>147.65284224829537</v>
      </c>
      <c r="BK36" s="25">
        <f t="shared" si="55"/>
        <v>101.8</v>
      </c>
      <c r="BL36" s="25">
        <f t="shared" si="56"/>
        <v>69.16</v>
      </c>
      <c r="BM36" s="25">
        <f t="shared" si="57"/>
        <v>101.8</v>
      </c>
      <c r="BN36" s="25">
        <f t="shared" si="58"/>
        <v>81.86</v>
      </c>
      <c r="BO36" s="25">
        <f t="shared" si="59"/>
        <v>1.0471949103528051</v>
      </c>
      <c r="BP36" s="25">
        <f t="shared" si="118"/>
        <v>3.3749360378535678</v>
      </c>
      <c r="BR36" s="25">
        <f t="shared" si="60"/>
        <v>101.8</v>
      </c>
      <c r="BV36" s="29"/>
      <c r="BX36" s="29"/>
      <c r="BY36" s="29"/>
      <c r="BZ36" s="29">
        <f t="shared" si="61"/>
        <v>101.8</v>
      </c>
      <c r="CA36" s="29">
        <f t="shared" si="62"/>
        <v>101.8</v>
      </c>
      <c r="CB36" s="29">
        <f t="shared" si="63"/>
        <v>2.001967536137395</v>
      </c>
      <c r="CC36" s="29">
        <v>0</v>
      </c>
      <c r="CD36" s="29">
        <f t="shared" si="64"/>
        <v>0</v>
      </c>
      <c r="CE36" s="29">
        <f t="shared" si="65"/>
        <v>0</v>
      </c>
      <c r="CF36" s="29">
        <f t="shared" si="66"/>
        <v>0.99524931562137331</v>
      </c>
      <c r="CG36" s="29">
        <f t="shared" si="67"/>
        <v>0.97375</v>
      </c>
      <c r="CH36" s="29">
        <f t="shared" si="68"/>
        <v>1.9969246679255115</v>
      </c>
      <c r="CI36" s="29">
        <f t="shared" si="69"/>
        <v>3.9977783572988219</v>
      </c>
      <c r="CJ36" s="29">
        <v>1</v>
      </c>
      <c r="CK36" s="29">
        <f t="shared" si="70"/>
        <v>247.86225815252698</v>
      </c>
      <c r="CM36" s="4"/>
      <c r="CN36" s="4"/>
      <c r="CO36" s="4"/>
      <c r="CP36" s="4"/>
      <c r="CQ36" s="4"/>
      <c r="CR36" s="4"/>
      <c r="CS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H36" s="4">
        <f t="shared" si="71"/>
        <v>0</v>
      </c>
      <c r="DI36" s="25">
        <f t="shared" si="72"/>
        <v>12.7</v>
      </c>
      <c r="DJ36" s="25">
        <f t="shared" si="73"/>
        <v>1</v>
      </c>
      <c r="DL36" s="4">
        <f t="shared" si="74"/>
        <v>9.2245380945552914E-7</v>
      </c>
      <c r="DM36" s="4">
        <f t="shared" si="75"/>
        <v>9.0324733825588019</v>
      </c>
      <c r="DN36" s="4"/>
      <c r="DO36" s="4">
        <f t="shared" si="76"/>
        <v>0</v>
      </c>
      <c r="DP36" s="4">
        <f t="shared" si="77"/>
        <v>6.4517667018277161</v>
      </c>
      <c r="DQ36" s="4">
        <f t="shared" si="78"/>
        <v>9.0395809336509103</v>
      </c>
      <c r="DR36" s="38">
        <f t="shared" si="119"/>
        <v>517.5</v>
      </c>
      <c r="DS36" s="4">
        <f t="shared" si="79"/>
        <v>1</v>
      </c>
      <c r="DT36" s="4"/>
      <c r="DU36" s="4">
        <f t="shared" si="120"/>
        <v>1040.7018111455272</v>
      </c>
      <c r="DY36" s="25">
        <f t="shared" si="80"/>
        <v>0.85</v>
      </c>
      <c r="DZ36" s="25">
        <f t="shared" si="81"/>
        <v>0.7</v>
      </c>
      <c r="EA36" s="25">
        <f t="shared" si="82"/>
        <v>1</v>
      </c>
      <c r="EB36" s="25">
        <f t="shared" si="83"/>
        <v>0.7</v>
      </c>
      <c r="ED36" s="4">
        <f t="shared" si="121"/>
        <v>517.5</v>
      </c>
      <c r="EE36" s="25">
        <f t="shared" si="122"/>
        <v>4689.9659189359481</v>
      </c>
      <c r="EH36" s="4">
        <f t="shared" si="84"/>
        <v>9.0324733825588019</v>
      </c>
      <c r="EI36" s="25">
        <f t="shared" si="85"/>
        <v>7.2551967432806936</v>
      </c>
      <c r="EK36" s="4">
        <f t="shared" si="86"/>
        <v>77.858162529590359</v>
      </c>
      <c r="EL36" s="4">
        <f t="shared" si="87"/>
        <v>3.0652819893539514</v>
      </c>
      <c r="EM36" s="4">
        <f t="shared" si="88"/>
        <v>0.34877736289905453</v>
      </c>
      <c r="EP36" s="25">
        <f t="shared" si="89"/>
        <v>0.34877736289905453</v>
      </c>
      <c r="EQ36" s="25">
        <f t="shared" si="90"/>
        <v>0.999</v>
      </c>
      <c r="ER36" s="4">
        <f t="shared" si="91"/>
        <v>9.0288593087305173</v>
      </c>
      <c r="ES36" s="25">
        <f t="shared" si="92"/>
        <v>9.0306665264387256</v>
      </c>
      <c r="ET36" s="4">
        <f t="shared" si="93"/>
        <v>0</v>
      </c>
      <c r="EU36" s="4">
        <f t="shared" si="94"/>
        <v>0</v>
      </c>
      <c r="EV36" s="25">
        <f t="shared" si="95"/>
        <v>0</v>
      </c>
      <c r="EW36" s="25">
        <f t="shared" si="96"/>
        <v>9.0324733825588019</v>
      </c>
      <c r="EX36" s="4">
        <f t="shared" si="97"/>
        <v>517.5</v>
      </c>
      <c r="EY36" s="4">
        <f t="shared" si="98"/>
        <v>0</v>
      </c>
      <c r="EZ36" s="4">
        <f t="shared" si="99"/>
        <v>0</v>
      </c>
      <c r="FB36" s="4">
        <f t="shared" si="100"/>
        <v>0</v>
      </c>
      <c r="FG36" s="23"/>
      <c r="FH36" s="23"/>
      <c r="FI36" s="23"/>
      <c r="FJ36" s="23"/>
      <c r="FK36" s="23"/>
      <c r="FL36" s="23"/>
      <c r="FM36" s="30"/>
      <c r="FN36" s="30"/>
      <c r="FX36" s="4">
        <f t="shared" si="101"/>
        <v>1</v>
      </c>
      <c r="FY36" s="4">
        <f t="shared" si="102"/>
        <v>1.0833333333333333</v>
      </c>
      <c r="FZ36" s="4">
        <f t="shared" si="103"/>
        <v>0</v>
      </c>
      <c r="GA36" s="4">
        <f t="shared" si="104"/>
        <v>11.166775737485116</v>
      </c>
      <c r="GB36" s="4"/>
    </row>
    <row r="37" spans="1:184" ht="12" hidden="1" customHeight="1" x14ac:dyDescent="0.3">
      <c r="A37" s="25">
        <v>19</v>
      </c>
      <c r="B37" s="26" t="s">
        <v>81</v>
      </c>
      <c r="C37" s="26"/>
      <c r="D37" s="26" t="s">
        <v>82</v>
      </c>
      <c r="E37" s="26"/>
      <c r="F37" s="7" t="s">
        <v>97</v>
      </c>
      <c r="G37" s="28">
        <f t="shared" si="105"/>
        <v>517.5</v>
      </c>
      <c r="H37" s="7">
        <f t="shared" ref="H37:H51" si="128">11.25*25.4</f>
        <v>285.75</v>
      </c>
      <c r="I37" s="7">
        <f t="shared" si="123"/>
        <v>285.75</v>
      </c>
      <c r="J37" s="7">
        <v>34.49</v>
      </c>
      <c r="K37" s="7">
        <v>25.4</v>
      </c>
      <c r="L37" s="7">
        <f t="shared" si="106"/>
        <v>11.25</v>
      </c>
      <c r="M37" s="7">
        <f t="shared" si="107"/>
        <v>11.25</v>
      </c>
      <c r="N37" s="7">
        <v>229</v>
      </c>
      <c r="O37" s="7">
        <f t="shared" si="108"/>
        <v>101.8</v>
      </c>
      <c r="P37" s="7">
        <v>305</v>
      </c>
      <c r="Q37" s="7">
        <v>0</v>
      </c>
      <c r="R37" s="7">
        <v>1</v>
      </c>
      <c r="S37" s="7">
        <v>81.97</v>
      </c>
      <c r="T37" s="7">
        <f t="shared" si="42"/>
        <v>3.7271653543307091</v>
      </c>
      <c r="U37" s="28">
        <f t="shared" si="109"/>
        <v>3.7271653543307091</v>
      </c>
      <c r="V37" s="28">
        <f t="shared" si="110"/>
        <v>8.3959536742577185</v>
      </c>
      <c r="W37" s="7">
        <f t="shared" si="43"/>
        <v>8.3959536742577185</v>
      </c>
      <c r="X37" s="7">
        <f t="shared" si="44"/>
        <v>9.3959536742577185</v>
      </c>
      <c r="Y37" s="7">
        <f t="shared" si="45"/>
        <v>77.858162529590359</v>
      </c>
      <c r="Z37" s="7"/>
      <c r="AA37" s="7"/>
      <c r="AB37" s="7">
        <f>265.95/(PI()/4*K37^2)*1000</f>
        <v>524.85903794766648</v>
      </c>
      <c r="AC37" s="7"/>
      <c r="AD37" s="7"/>
      <c r="AE37" s="7">
        <v>9.5</v>
      </c>
      <c r="AF37" s="7">
        <v>3</v>
      </c>
      <c r="AG37" s="7">
        <v>127</v>
      </c>
      <c r="AH37" s="7">
        <v>3</v>
      </c>
      <c r="AI37" s="7"/>
      <c r="AJ37" s="7"/>
      <c r="AK37" s="4">
        <f t="shared" si="125"/>
        <v>285.75</v>
      </c>
      <c r="AL37" s="4">
        <f t="shared" si="111"/>
        <v>0.16306737491389939</v>
      </c>
      <c r="AM37" s="25">
        <f t="shared" si="112"/>
        <v>559.8460793819969</v>
      </c>
      <c r="AN37" s="4">
        <f t="shared" si="113"/>
        <v>0.76626071741032364</v>
      </c>
      <c r="AO37" s="4">
        <v>1.25</v>
      </c>
      <c r="AP37" s="25">
        <f t="shared" si="114"/>
        <v>5</v>
      </c>
      <c r="AQ37" s="38">
        <f t="shared" si="115"/>
        <v>437.21222848148204</v>
      </c>
      <c r="AR37" s="38">
        <f t="shared" si="116"/>
        <v>437.21222848148204</v>
      </c>
      <c r="AT37" s="38">
        <f t="shared" si="46"/>
        <v>437.2122284814817</v>
      </c>
      <c r="AU37" s="38">
        <f t="shared" si="47"/>
        <v>1.0000000000000009</v>
      </c>
      <c r="AX37" s="4">
        <f t="shared" si="48"/>
        <v>347.73268879009004</v>
      </c>
      <c r="AY37" s="4">
        <f t="shared" si="49"/>
        <v>1</v>
      </c>
      <c r="AZ37" s="38">
        <f t="shared" si="117"/>
        <v>744.96671222059445</v>
      </c>
      <c r="BA37" s="4">
        <f t="shared" si="50"/>
        <v>0.3</v>
      </c>
      <c r="BB37" s="4">
        <f t="shared" si="51"/>
        <v>54.507098967846609</v>
      </c>
      <c r="BC37" s="4">
        <f t="shared" si="52"/>
        <v>799.473811188441</v>
      </c>
      <c r="BE37" s="36">
        <f t="shared" si="53"/>
        <v>1.8910467582857926</v>
      </c>
      <c r="BF37" s="36">
        <f t="shared" si="54"/>
        <v>444.23099391443697</v>
      </c>
      <c r="BK37" s="4">
        <f t="shared" si="55"/>
        <v>101.8</v>
      </c>
      <c r="BL37" s="4">
        <f t="shared" si="56"/>
        <v>81.97</v>
      </c>
      <c r="BM37" s="4">
        <f t="shared" si="57"/>
        <v>101.8</v>
      </c>
      <c r="BN37" s="4">
        <f t="shared" si="58"/>
        <v>94.67</v>
      </c>
      <c r="BO37" s="4">
        <f t="shared" si="59"/>
        <v>1.0241917774795657</v>
      </c>
      <c r="BP37" s="25">
        <f t="shared" si="118"/>
        <v>4</v>
      </c>
      <c r="BR37" s="4">
        <f t="shared" si="60"/>
        <v>101.8</v>
      </c>
      <c r="BV37" s="9"/>
      <c r="BX37" s="9"/>
      <c r="BY37" s="9"/>
      <c r="BZ37" s="9">
        <f t="shared" si="61"/>
        <v>101.8</v>
      </c>
      <c r="CA37" s="9">
        <f t="shared" si="62"/>
        <v>101.8</v>
      </c>
      <c r="CB37" s="9">
        <f t="shared" si="63"/>
        <v>2.001967536137395</v>
      </c>
      <c r="CC37" s="9">
        <v>20</v>
      </c>
      <c r="CD37" s="9">
        <f t="shared" si="64"/>
        <v>0.05</v>
      </c>
      <c r="CE37" s="9">
        <f t="shared" si="65"/>
        <v>0.8</v>
      </c>
      <c r="CF37" s="9">
        <f t="shared" si="66"/>
        <v>0.99524931562137331</v>
      </c>
      <c r="CG37" s="9">
        <f t="shared" si="67"/>
        <v>0.97375</v>
      </c>
      <c r="CH37" s="9">
        <f t="shared" si="68"/>
        <v>1.9920214007072519</v>
      </c>
      <c r="CI37" s="9">
        <f t="shared" si="69"/>
        <v>4.98005350176813</v>
      </c>
      <c r="CJ37" s="9">
        <v>1</v>
      </c>
      <c r="CK37" s="9">
        <f t="shared" si="70"/>
        <v>522.90561768565362</v>
      </c>
      <c r="DH37" s="4">
        <f t="shared" si="71"/>
        <v>3</v>
      </c>
      <c r="DI37" s="4">
        <f t="shared" si="72"/>
        <v>285.75</v>
      </c>
      <c r="DJ37" s="4">
        <f t="shared" si="73"/>
        <v>1</v>
      </c>
      <c r="DL37" s="4">
        <f t="shared" si="74"/>
        <v>2.0730984622674179E-5</v>
      </c>
      <c r="DM37" s="4">
        <f t="shared" si="75"/>
        <v>9.0102949642399413</v>
      </c>
      <c r="DO37" s="4">
        <f t="shared" si="76"/>
        <v>0</v>
      </c>
      <c r="DP37" s="4">
        <f t="shared" si="77"/>
        <v>6.4359249744571017</v>
      </c>
      <c r="DQ37" s="4">
        <f t="shared" si="78"/>
        <v>8.5678797379957317</v>
      </c>
      <c r="DR37" s="38">
        <f t="shared" si="119"/>
        <v>524.85903794766648</v>
      </c>
      <c r="DS37" s="4">
        <f t="shared" si="79"/>
        <v>1</v>
      </c>
      <c r="DU37" s="4">
        <f t="shared" si="120"/>
        <v>437.2122284814817</v>
      </c>
      <c r="DY37" s="4">
        <f t="shared" si="80"/>
        <v>0.85</v>
      </c>
      <c r="DZ37" s="4">
        <f t="shared" si="81"/>
        <v>0.7</v>
      </c>
      <c r="EA37" s="4">
        <f t="shared" si="82"/>
        <v>0.82320199640399283</v>
      </c>
      <c r="EB37" s="4">
        <f t="shared" si="83"/>
        <v>0.7</v>
      </c>
      <c r="ED37" s="4">
        <f t="shared" si="121"/>
        <v>524.85903794766648</v>
      </c>
      <c r="EE37" s="25">
        <f t="shared" si="122"/>
        <v>417.51978296586339</v>
      </c>
      <c r="EH37" s="4">
        <f t="shared" si="84"/>
        <v>9.0102949642399413</v>
      </c>
      <c r="EI37" s="4">
        <f t="shared" si="85"/>
        <v>8.5778008059564232</v>
      </c>
      <c r="EK37" s="4">
        <f t="shared" si="86"/>
        <v>77.858162529590359</v>
      </c>
      <c r="EL37" s="4">
        <f t="shared" si="87"/>
        <v>3.0652819893539514</v>
      </c>
      <c r="EM37" s="4">
        <f t="shared" si="88"/>
        <v>0.14688652671799926</v>
      </c>
      <c r="EN37" s="4">
        <f>DI37</f>
        <v>285.75</v>
      </c>
      <c r="EO37" s="4">
        <f>EK37+EY37+EZ37</f>
        <v>285.75</v>
      </c>
      <c r="EP37" s="4">
        <f t="shared" si="89"/>
        <v>0.14688652671799926</v>
      </c>
      <c r="EQ37" s="4">
        <f t="shared" si="90"/>
        <v>0.45664082606037759</v>
      </c>
      <c r="ER37" s="4">
        <f t="shared" si="91"/>
        <v>6.58519899538069</v>
      </c>
      <c r="ES37" s="4">
        <f t="shared" si="92"/>
        <v>7.8916811030629992</v>
      </c>
      <c r="ET37" s="4">
        <f t="shared" si="93"/>
        <v>136.45433747040965</v>
      </c>
      <c r="EU37" s="4">
        <f t="shared" si="94"/>
        <v>71.4375</v>
      </c>
      <c r="EV37" s="4">
        <f t="shared" si="95"/>
        <v>2.0730984622674179E-5</v>
      </c>
      <c r="EW37" s="4">
        <f t="shared" si="96"/>
        <v>8.305627695351431</v>
      </c>
      <c r="EX37" s="4">
        <f t="shared" si="97"/>
        <v>524.85903794766648</v>
      </c>
      <c r="EY37" s="4">
        <f t="shared" si="98"/>
        <v>136.45433747040965</v>
      </c>
      <c r="EZ37" s="4">
        <f t="shared" si="99"/>
        <v>71.437499999999986</v>
      </c>
      <c r="FB37" s="4">
        <f t="shared" si="100"/>
        <v>0</v>
      </c>
      <c r="FG37" s="23"/>
      <c r="FH37" s="23"/>
      <c r="FI37" s="23"/>
      <c r="FJ37" s="23"/>
      <c r="FK37" s="23"/>
      <c r="FL37" s="23"/>
      <c r="FM37" s="23"/>
      <c r="FN37" s="23"/>
      <c r="FX37" s="4">
        <f t="shared" si="101"/>
        <v>1</v>
      </c>
      <c r="FY37" s="4">
        <f t="shared" si="102"/>
        <v>0.68688155922038985</v>
      </c>
      <c r="FZ37" s="4">
        <f t="shared" si="103"/>
        <v>0.3</v>
      </c>
      <c r="GA37" s="4">
        <f t="shared" si="104"/>
        <v>395.78262141162713</v>
      </c>
    </row>
    <row r="38" spans="1:184" ht="12" hidden="1" customHeight="1" x14ac:dyDescent="0.3">
      <c r="A38" s="25">
        <v>20</v>
      </c>
      <c r="B38" s="26" t="s">
        <v>81</v>
      </c>
      <c r="C38" s="26"/>
      <c r="D38" s="26" t="s">
        <v>82</v>
      </c>
      <c r="E38" s="26"/>
      <c r="F38" s="7" t="s">
        <v>98</v>
      </c>
      <c r="G38" s="28">
        <f t="shared" si="105"/>
        <v>517.5</v>
      </c>
      <c r="H38" s="7">
        <f t="shared" si="128"/>
        <v>285.75</v>
      </c>
      <c r="I38" s="7">
        <f t="shared" si="123"/>
        <v>285.75</v>
      </c>
      <c r="J38" s="7">
        <v>34.49</v>
      </c>
      <c r="K38" s="7">
        <v>25.4</v>
      </c>
      <c r="L38" s="7">
        <f t="shared" si="106"/>
        <v>11.25</v>
      </c>
      <c r="M38" s="7">
        <f t="shared" si="107"/>
        <v>11.25</v>
      </c>
      <c r="N38" s="7">
        <v>229</v>
      </c>
      <c r="O38" s="7">
        <f t="shared" si="108"/>
        <v>101.8</v>
      </c>
      <c r="P38" s="7">
        <v>305</v>
      </c>
      <c r="Q38" s="7">
        <v>0</v>
      </c>
      <c r="R38" s="7">
        <v>1</v>
      </c>
      <c r="S38" s="7">
        <v>80.06</v>
      </c>
      <c r="T38" s="7">
        <f t="shared" si="42"/>
        <v>3.6519685039370082</v>
      </c>
      <c r="U38" s="28">
        <f t="shared" si="109"/>
        <v>3.6519685039370082</v>
      </c>
      <c r="V38" s="28">
        <f t="shared" si="110"/>
        <v>8.3959536742577185</v>
      </c>
      <c r="W38" s="7">
        <f t="shared" si="43"/>
        <v>8.3959536742577185</v>
      </c>
      <c r="X38" s="7">
        <f t="shared" si="44"/>
        <v>9.3959536742577185</v>
      </c>
      <c r="Y38" s="7">
        <f t="shared" si="45"/>
        <v>77.858162529590359</v>
      </c>
      <c r="Z38" s="7"/>
      <c r="AA38" s="7"/>
      <c r="AB38" s="7">
        <f>255.8/(PI()/4*K38^2)*1000</f>
        <v>504.82775674755823</v>
      </c>
      <c r="AC38" s="7"/>
      <c r="AD38" s="7"/>
      <c r="AE38" s="7">
        <v>9.5</v>
      </c>
      <c r="AF38" s="7">
        <v>3</v>
      </c>
      <c r="AG38" s="7">
        <v>127</v>
      </c>
      <c r="AH38" s="7">
        <v>3</v>
      </c>
      <c r="AI38" s="7"/>
      <c r="AJ38" s="7"/>
      <c r="AK38" s="4">
        <f t="shared" si="125"/>
        <v>285.75</v>
      </c>
      <c r="AL38" s="4">
        <f t="shared" si="111"/>
        <v>0.16247218733120594</v>
      </c>
      <c r="AM38" s="25">
        <f t="shared" si="112"/>
        <v>559.8460793819969</v>
      </c>
      <c r="AN38" s="4">
        <f t="shared" si="113"/>
        <v>0.7649238845144356</v>
      </c>
      <c r="AO38" s="4">
        <v>1.25</v>
      </c>
      <c r="AP38" s="25">
        <f t="shared" si="114"/>
        <v>5</v>
      </c>
      <c r="AQ38" s="38">
        <f t="shared" si="115"/>
        <v>434.85644156616553</v>
      </c>
      <c r="AR38" s="38">
        <f t="shared" si="116"/>
        <v>434.85644156616553</v>
      </c>
      <c r="AT38" s="38">
        <f t="shared" si="46"/>
        <v>434.85644156616524</v>
      </c>
      <c r="AU38" s="38">
        <f t="shared" si="47"/>
        <v>1.0000000000000007</v>
      </c>
      <c r="AX38" s="4">
        <f t="shared" si="48"/>
        <v>347.73268879009004</v>
      </c>
      <c r="AY38" s="4">
        <f t="shared" si="49"/>
        <v>1</v>
      </c>
      <c r="AZ38" s="38">
        <f t="shared" si="117"/>
        <v>729.93675108885964</v>
      </c>
      <c r="BA38" s="4">
        <f t="shared" si="50"/>
        <v>0.3</v>
      </c>
      <c r="BB38" s="4">
        <f t="shared" si="51"/>
        <v>54.507098967846609</v>
      </c>
      <c r="BC38" s="4">
        <f t="shared" si="52"/>
        <v>784.4438500567062</v>
      </c>
      <c r="BE38" s="36">
        <f t="shared" si="53"/>
        <v>1.8910467582857926</v>
      </c>
      <c r="BF38" s="36">
        <f t="shared" si="54"/>
        <v>444.23099391443697</v>
      </c>
      <c r="BK38" s="4">
        <f t="shared" si="55"/>
        <v>101.8</v>
      </c>
      <c r="BL38" s="4">
        <f t="shared" si="56"/>
        <v>80.06</v>
      </c>
      <c r="BM38" s="4">
        <f t="shared" si="57"/>
        <v>101.8</v>
      </c>
      <c r="BN38" s="4">
        <f t="shared" si="58"/>
        <v>92.76</v>
      </c>
      <c r="BO38" s="4">
        <f t="shared" si="59"/>
        <v>1.0271546340244817</v>
      </c>
      <c r="BP38" s="25">
        <f t="shared" si="118"/>
        <v>4</v>
      </c>
      <c r="BR38" s="4">
        <f t="shared" si="60"/>
        <v>101.8</v>
      </c>
      <c r="BV38" s="9"/>
      <c r="BX38" s="9"/>
      <c r="BY38" s="9"/>
      <c r="BZ38" s="9">
        <f t="shared" si="61"/>
        <v>101.8</v>
      </c>
      <c r="CA38" s="9">
        <f t="shared" si="62"/>
        <v>101.8</v>
      </c>
      <c r="CB38" s="9">
        <f t="shared" si="63"/>
        <v>2.001967536137395</v>
      </c>
      <c r="CC38" s="9">
        <v>20</v>
      </c>
      <c r="CD38" s="9">
        <f>MIN(PI()*AE38^2/4*AF38*2/R38/K38/MAX(0.01,AG38),0.05)</f>
        <v>0.05</v>
      </c>
      <c r="CE38" s="9">
        <f t="shared" si="65"/>
        <v>0.8</v>
      </c>
      <c r="CF38" s="9">
        <f t="shared" si="66"/>
        <v>0.99524931562137331</v>
      </c>
      <c r="CG38" s="9">
        <f t="shared" si="67"/>
        <v>0.97375</v>
      </c>
      <c r="CH38" s="9">
        <f t="shared" si="68"/>
        <v>1.9920214007072519</v>
      </c>
      <c r="CI38" s="9">
        <f t="shared" si="69"/>
        <v>4.98005350176813</v>
      </c>
      <c r="CJ38" s="9">
        <v>1</v>
      </c>
      <c r="CK38" s="9">
        <f t="shared" si="70"/>
        <v>522.90561768565362</v>
      </c>
      <c r="DH38" s="4">
        <f t="shared" si="71"/>
        <v>3</v>
      </c>
      <c r="DI38" s="4">
        <f t="shared" si="72"/>
        <v>285.75</v>
      </c>
      <c r="DJ38" s="4">
        <f t="shared" si="73"/>
        <v>1</v>
      </c>
      <c r="DL38" s="4">
        <f t="shared" si="74"/>
        <v>2.0730984622674179E-5</v>
      </c>
      <c r="DM38" s="4">
        <f t="shared" si="75"/>
        <v>9.0102949642399413</v>
      </c>
      <c r="DO38" s="4">
        <f t="shared" si="76"/>
        <v>0</v>
      </c>
      <c r="DP38" s="4">
        <f t="shared" si="77"/>
        <v>6.4359249744571017</v>
      </c>
      <c r="DQ38" s="4">
        <f t="shared" si="78"/>
        <v>8.5678797379957317</v>
      </c>
      <c r="DR38" s="38">
        <f t="shared" si="119"/>
        <v>517.5</v>
      </c>
      <c r="DS38" s="4">
        <f t="shared" si="79"/>
        <v>1</v>
      </c>
      <c r="DU38" s="4">
        <f t="shared" si="120"/>
        <v>434.85644156616524</v>
      </c>
      <c r="DY38" s="4">
        <f t="shared" si="80"/>
        <v>0.85</v>
      </c>
      <c r="DZ38" s="4">
        <f t="shared" si="81"/>
        <v>0.7</v>
      </c>
      <c r="EA38" s="4">
        <f t="shared" si="82"/>
        <v>0.82320199640399283</v>
      </c>
      <c r="EB38" s="4">
        <f t="shared" si="83"/>
        <v>0.7</v>
      </c>
      <c r="ED38" s="4">
        <f t="shared" si="121"/>
        <v>517.5</v>
      </c>
      <c r="EE38" s="25">
        <f t="shared" si="122"/>
        <v>416.78282106744894</v>
      </c>
      <c r="EH38" s="4">
        <f t="shared" si="84"/>
        <v>9.0102949642399413</v>
      </c>
      <c r="EI38" s="4">
        <f t="shared" si="85"/>
        <v>8.5778008059564232</v>
      </c>
      <c r="EK38" s="4">
        <f t="shared" si="86"/>
        <v>77.858162529590359</v>
      </c>
      <c r="EL38" s="4">
        <f t="shared" si="87"/>
        <v>3.0652819893539514</v>
      </c>
      <c r="EM38" s="4">
        <f t="shared" si="88"/>
        <v>0.14609507273950373</v>
      </c>
      <c r="EP38" s="4">
        <f t="shared" si="89"/>
        <v>0.14609507273950373</v>
      </c>
      <c r="EQ38" s="4">
        <f t="shared" si="90"/>
        <v>0.45418035397621681</v>
      </c>
      <c r="ER38" s="4">
        <f t="shared" si="91"/>
        <v>6.5709830392821145</v>
      </c>
      <c r="ES38" s="4">
        <f t="shared" si="92"/>
        <v>7.8857596557302916</v>
      </c>
      <c r="ET38" s="4">
        <f t="shared" si="93"/>
        <v>136.45433747040965</v>
      </c>
      <c r="EU38" s="4">
        <f t="shared" si="94"/>
        <v>71.4375</v>
      </c>
      <c r="EV38" s="4">
        <f t="shared" si="95"/>
        <v>2.0730984622674179E-5</v>
      </c>
      <c r="EW38" s="4">
        <f t="shared" si="96"/>
        <v>8.3063336283618412</v>
      </c>
      <c r="EX38" s="4">
        <f t="shared" si="97"/>
        <v>517.5</v>
      </c>
      <c r="EY38" s="4">
        <f t="shared" si="98"/>
        <v>136.45433747040965</v>
      </c>
      <c r="EZ38" s="4">
        <f t="shared" si="99"/>
        <v>71.437499999999986</v>
      </c>
      <c r="FB38" s="4">
        <f t="shared" si="100"/>
        <v>0</v>
      </c>
      <c r="FG38" s="23"/>
      <c r="FH38" s="23"/>
      <c r="FI38" s="23"/>
      <c r="FJ38" s="23"/>
      <c r="FK38" s="23"/>
      <c r="FL38" s="23"/>
      <c r="FM38" s="23"/>
      <c r="FN38" s="23"/>
      <c r="FX38" s="4">
        <f t="shared" si="101"/>
        <v>1</v>
      </c>
      <c r="FY38" s="4">
        <f t="shared" si="102"/>
        <v>0.68688155922038985</v>
      </c>
      <c r="FZ38" s="4">
        <f t="shared" si="103"/>
        <v>0.3</v>
      </c>
      <c r="GA38" s="4">
        <f t="shared" si="104"/>
        <v>395.78262141162713</v>
      </c>
    </row>
    <row r="39" spans="1:184" ht="12" hidden="1" customHeight="1" x14ac:dyDescent="0.3">
      <c r="A39" s="25">
        <v>21</v>
      </c>
      <c r="B39" s="26" t="s">
        <v>81</v>
      </c>
      <c r="C39" s="26"/>
      <c r="D39" s="26" t="s">
        <v>82</v>
      </c>
      <c r="E39" s="26"/>
      <c r="F39" s="7" t="s">
        <v>99</v>
      </c>
      <c r="G39" s="28">
        <f t="shared" si="105"/>
        <v>517.5</v>
      </c>
      <c r="H39" s="7">
        <f t="shared" si="128"/>
        <v>285.75</v>
      </c>
      <c r="I39" s="7">
        <f t="shared" si="123"/>
        <v>285.75</v>
      </c>
      <c r="J39" s="7">
        <v>34.49</v>
      </c>
      <c r="K39" s="7">
        <v>25.4</v>
      </c>
      <c r="L39" s="7">
        <f t="shared" si="106"/>
        <v>11.25</v>
      </c>
      <c r="M39" s="7">
        <f t="shared" si="107"/>
        <v>11.25</v>
      </c>
      <c r="N39" s="7">
        <v>229</v>
      </c>
      <c r="O39" s="7">
        <f t="shared" si="108"/>
        <v>101.8</v>
      </c>
      <c r="P39" s="7">
        <v>305</v>
      </c>
      <c r="Q39" s="7">
        <v>0</v>
      </c>
      <c r="R39" s="7">
        <v>1</v>
      </c>
      <c r="S39" s="7">
        <v>82.4</v>
      </c>
      <c r="T39" s="7">
        <f t="shared" si="42"/>
        <v>3.7440944881889768</v>
      </c>
      <c r="U39" s="28">
        <f t="shared" si="109"/>
        <v>3.7440944881889768</v>
      </c>
      <c r="V39" s="28">
        <f t="shared" si="110"/>
        <v>8.3959536742577185</v>
      </c>
      <c r="W39" s="7">
        <f t="shared" si="43"/>
        <v>8.3959536742577185</v>
      </c>
      <c r="X39" s="7">
        <f t="shared" si="44"/>
        <v>9.3959536742577185</v>
      </c>
      <c r="Y39" s="7">
        <f t="shared" si="45"/>
        <v>77.858162529590359</v>
      </c>
      <c r="Z39" s="7"/>
      <c r="AA39" s="7"/>
      <c r="AB39" s="7">
        <f>246.02/(PI()/4*K39^2)*1000</f>
        <v>485.52667988676416</v>
      </c>
      <c r="AC39" s="7"/>
      <c r="AD39" s="7"/>
      <c r="AE39" s="7">
        <v>9.5</v>
      </c>
      <c r="AF39" s="7">
        <v>3</v>
      </c>
      <c r="AG39" s="7">
        <v>127</v>
      </c>
      <c r="AH39" s="7">
        <v>3</v>
      </c>
      <c r="AI39" s="7"/>
      <c r="AJ39" s="7"/>
      <c r="AK39" s="4">
        <f t="shared" si="125"/>
        <v>285.75</v>
      </c>
      <c r="AL39" s="4">
        <f t="shared" si="111"/>
        <v>0.16320137002413923</v>
      </c>
      <c r="AM39" s="25">
        <f t="shared" si="112"/>
        <v>559.8460793819969</v>
      </c>
      <c r="AN39" s="4">
        <f t="shared" si="113"/>
        <v>0.76656167979002621</v>
      </c>
      <c r="AO39" s="4">
        <v>1.25</v>
      </c>
      <c r="AP39" s="25">
        <f t="shared" si="114"/>
        <v>5</v>
      </c>
      <c r="AQ39" s="38">
        <f t="shared" si="115"/>
        <v>437.74335677333755</v>
      </c>
      <c r="AR39" s="38">
        <f t="shared" si="116"/>
        <v>437.74335677333755</v>
      </c>
      <c r="AT39" s="38">
        <f t="shared" si="46"/>
        <v>437.74335677333738</v>
      </c>
      <c r="AU39" s="38">
        <f t="shared" si="47"/>
        <v>1.0000000000000004</v>
      </c>
      <c r="AX39" s="4">
        <f t="shared" si="48"/>
        <v>347.73268879009004</v>
      </c>
      <c r="AY39" s="4">
        <f t="shared" si="49"/>
        <v>1</v>
      </c>
      <c r="AZ39" s="38">
        <f t="shared" si="117"/>
        <v>748.35042074763419</v>
      </c>
      <c r="BA39" s="4">
        <f t="shared" si="50"/>
        <v>0.3</v>
      </c>
      <c r="BB39" s="4">
        <f t="shared" si="51"/>
        <v>54.507098967846609</v>
      </c>
      <c r="BC39" s="4">
        <f t="shared" si="52"/>
        <v>802.85751971548075</v>
      </c>
      <c r="BE39" s="36">
        <f t="shared" si="53"/>
        <v>1.8910467582857926</v>
      </c>
      <c r="BF39" s="36">
        <f t="shared" si="54"/>
        <v>444.23099391443697</v>
      </c>
      <c r="BK39" s="4">
        <f t="shared" si="55"/>
        <v>101.8</v>
      </c>
      <c r="BL39" s="4">
        <f t="shared" si="56"/>
        <v>82.4</v>
      </c>
      <c r="BM39" s="4">
        <f t="shared" si="57"/>
        <v>101.8</v>
      </c>
      <c r="BN39" s="4">
        <f t="shared" si="58"/>
        <v>95.100000000000009</v>
      </c>
      <c r="BO39" s="4">
        <f t="shared" si="59"/>
        <v>1.0235436893203884</v>
      </c>
      <c r="BP39" s="25">
        <f t="shared" si="118"/>
        <v>4</v>
      </c>
      <c r="BR39" s="4">
        <f t="shared" si="60"/>
        <v>101.8</v>
      </c>
      <c r="BV39" s="9"/>
      <c r="BX39" s="9"/>
      <c r="BY39" s="9"/>
      <c r="BZ39" s="9">
        <f t="shared" si="61"/>
        <v>101.8</v>
      </c>
      <c r="CA39" s="9">
        <f t="shared" si="62"/>
        <v>101.8</v>
      </c>
      <c r="CB39" s="9">
        <f t="shared" si="63"/>
        <v>2.001967536137395</v>
      </c>
      <c r="CC39" s="9">
        <v>20</v>
      </c>
      <c r="CD39" s="9">
        <f t="shared" ref="CD39:CD102" si="129">MIN(PI()*AE39^2/4*AF39*2/R39/K39/MAX(0.01,AG39),0.05)</f>
        <v>0.05</v>
      </c>
      <c r="CE39" s="9">
        <f t="shared" si="65"/>
        <v>0.8</v>
      </c>
      <c r="CF39" s="9">
        <f t="shared" si="66"/>
        <v>0.99524931562137331</v>
      </c>
      <c r="CG39" s="9">
        <f t="shared" si="67"/>
        <v>0.97375</v>
      </c>
      <c r="CH39" s="9">
        <f t="shared" si="68"/>
        <v>1.9920214007072519</v>
      </c>
      <c r="CI39" s="9">
        <f t="shared" si="69"/>
        <v>4.98005350176813</v>
      </c>
      <c r="CJ39" s="9">
        <v>1</v>
      </c>
      <c r="CK39" s="9">
        <f t="shared" si="70"/>
        <v>522.90561768565362</v>
      </c>
      <c r="DH39" s="4">
        <f t="shared" si="71"/>
        <v>3</v>
      </c>
      <c r="DI39" s="4">
        <f t="shared" si="72"/>
        <v>285.75</v>
      </c>
      <c r="DJ39" s="4">
        <f t="shared" si="73"/>
        <v>1</v>
      </c>
      <c r="DL39" s="4">
        <f t="shared" si="74"/>
        <v>2.0730984622674179E-5</v>
      </c>
      <c r="DM39" s="4">
        <f t="shared" si="75"/>
        <v>9.0102949642399413</v>
      </c>
      <c r="DO39" s="4">
        <f t="shared" si="76"/>
        <v>0</v>
      </c>
      <c r="DP39" s="4">
        <f t="shared" si="77"/>
        <v>6.4359249744571017</v>
      </c>
      <c r="DQ39" s="4">
        <f t="shared" si="78"/>
        <v>8.5678797379957317</v>
      </c>
      <c r="DR39" s="38">
        <f t="shared" si="119"/>
        <v>517.5</v>
      </c>
      <c r="DS39" s="4">
        <f t="shared" si="79"/>
        <v>1</v>
      </c>
      <c r="DU39" s="4">
        <f t="shared" si="120"/>
        <v>437.74335677333738</v>
      </c>
      <c r="DY39" s="4">
        <f t="shared" si="80"/>
        <v>0.85</v>
      </c>
      <c r="DZ39" s="4">
        <f t="shared" si="81"/>
        <v>0.7</v>
      </c>
      <c r="EA39" s="4">
        <f t="shared" si="82"/>
        <v>0.82320199640399283</v>
      </c>
      <c r="EB39" s="4">
        <f t="shared" si="83"/>
        <v>0.7</v>
      </c>
      <c r="ED39" s="4">
        <f t="shared" si="121"/>
        <v>517.5</v>
      </c>
      <c r="EE39" s="25">
        <f t="shared" si="122"/>
        <v>417.68569585398814</v>
      </c>
      <c r="EH39" s="4">
        <f t="shared" si="84"/>
        <v>9.0102949642399413</v>
      </c>
      <c r="EI39" s="4">
        <f t="shared" si="85"/>
        <v>8.5778008059564232</v>
      </c>
      <c r="EK39" s="4">
        <f t="shared" si="86"/>
        <v>77.858162529590359</v>
      </c>
      <c r="EL39" s="4">
        <f t="shared" si="87"/>
        <v>3.0652819893539514</v>
      </c>
      <c r="EM39" s="4">
        <f t="shared" si="88"/>
        <v>0.14706496543711581</v>
      </c>
      <c r="EP39" s="4">
        <f t="shared" si="89"/>
        <v>0.14706496543711581</v>
      </c>
      <c r="EQ39" s="4">
        <f t="shared" si="90"/>
        <v>0.45719555634040504</v>
      </c>
      <c r="ER39" s="4">
        <f t="shared" si="91"/>
        <v>6.5883977271859084</v>
      </c>
      <c r="ES39" s="4">
        <f t="shared" si="92"/>
        <v>7.8930146548964295</v>
      </c>
      <c r="ET39" s="4">
        <f t="shared" si="93"/>
        <v>136.45433747040965</v>
      </c>
      <c r="EU39" s="4">
        <f t="shared" si="94"/>
        <v>71.4375</v>
      </c>
      <c r="EV39" s="4">
        <f t="shared" si="95"/>
        <v>2.0730984622674179E-5</v>
      </c>
      <c r="EW39" s="4">
        <f t="shared" si="96"/>
        <v>8.3054687946729437</v>
      </c>
      <c r="EX39" s="4">
        <f t="shared" si="97"/>
        <v>517.5</v>
      </c>
      <c r="EY39" s="4">
        <f t="shared" si="98"/>
        <v>136.45433747040965</v>
      </c>
      <c r="EZ39" s="4">
        <f t="shared" si="99"/>
        <v>71.437499999999986</v>
      </c>
      <c r="FB39" s="4">
        <f t="shared" si="100"/>
        <v>0</v>
      </c>
      <c r="FG39" s="23"/>
      <c r="FH39" s="23"/>
      <c r="FI39" s="23"/>
      <c r="FJ39" s="23"/>
      <c r="FK39" s="23"/>
      <c r="FL39" s="23"/>
      <c r="FM39" s="23"/>
      <c r="FN39" s="23"/>
      <c r="FX39" s="4">
        <f t="shared" si="101"/>
        <v>1</v>
      </c>
      <c r="FY39" s="4">
        <f t="shared" si="102"/>
        <v>0.68688155922038985</v>
      </c>
      <c r="FZ39" s="4">
        <f t="shared" si="103"/>
        <v>0.3</v>
      </c>
      <c r="GA39" s="4">
        <f t="shared" si="104"/>
        <v>395.78262141162713</v>
      </c>
    </row>
    <row r="40" spans="1:184" ht="12" hidden="1" customHeight="1" x14ac:dyDescent="0.3">
      <c r="A40" s="25">
        <v>22</v>
      </c>
      <c r="B40" s="26" t="s">
        <v>81</v>
      </c>
      <c r="C40" s="26"/>
      <c r="D40" s="26" t="s">
        <v>82</v>
      </c>
      <c r="E40" s="26"/>
      <c r="F40" s="7" t="s">
        <v>100</v>
      </c>
      <c r="G40" s="28">
        <f t="shared" si="105"/>
        <v>517.5</v>
      </c>
      <c r="H40" s="7">
        <f t="shared" si="128"/>
        <v>285.75</v>
      </c>
      <c r="I40" s="7">
        <f t="shared" si="123"/>
        <v>285.75</v>
      </c>
      <c r="J40" s="7">
        <v>34.659999999999997</v>
      </c>
      <c r="K40" s="7">
        <v>25.4</v>
      </c>
      <c r="L40" s="7">
        <f t="shared" si="106"/>
        <v>11.25</v>
      </c>
      <c r="M40" s="7">
        <f t="shared" si="107"/>
        <v>11.25</v>
      </c>
      <c r="N40" s="7">
        <v>229</v>
      </c>
      <c r="O40" s="7">
        <f t="shared" si="108"/>
        <v>101.8</v>
      </c>
      <c r="P40" s="7">
        <v>305</v>
      </c>
      <c r="Q40" s="7">
        <v>0</v>
      </c>
      <c r="R40" s="7">
        <v>1</v>
      </c>
      <c r="S40" s="7">
        <v>76.86</v>
      </c>
      <c r="T40" s="7">
        <f t="shared" si="42"/>
        <v>3.5259842519685041</v>
      </c>
      <c r="U40" s="28">
        <f t="shared" si="109"/>
        <v>3.5259842519685041</v>
      </c>
      <c r="V40" s="28">
        <f t="shared" si="110"/>
        <v>8.3959536742577185</v>
      </c>
      <c r="W40" s="7">
        <f t="shared" si="43"/>
        <v>8.3959536742577185</v>
      </c>
      <c r="X40" s="7">
        <f t="shared" si="44"/>
        <v>9.3959536742577185</v>
      </c>
      <c r="Y40" s="7">
        <f t="shared" si="45"/>
        <v>77.858162529590359</v>
      </c>
      <c r="Z40" s="7"/>
      <c r="AA40" s="7"/>
      <c r="AB40" s="7">
        <f>258.56/(PI()/4*K40^2)*1000</f>
        <v>510.2746864137946</v>
      </c>
      <c r="AC40" s="7"/>
      <c r="AD40" s="7"/>
      <c r="AE40" s="7">
        <v>9.5</v>
      </c>
      <c r="AF40" s="7">
        <v>4</v>
      </c>
      <c r="AG40" s="7">
        <v>76</v>
      </c>
      <c r="AH40" s="7">
        <v>4</v>
      </c>
      <c r="AI40" s="7"/>
      <c r="AJ40" s="7"/>
      <c r="AK40" s="4">
        <f t="shared" si="125"/>
        <v>285.75</v>
      </c>
      <c r="AL40" s="4">
        <f t="shared" si="111"/>
        <v>0.16147501441779291</v>
      </c>
      <c r="AM40" s="25">
        <f t="shared" si="112"/>
        <v>561.22411424012159</v>
      </c>
      <c r="AN40" s="4">
        <f t="shared" si="113"/>
        <v>0.76268416447943999</v>
      </c>
      <c r="AO40" s="4">
        <v>1.25</v>
      </c>
      <c r="AP40" s="25">
        <f t="shared" si="114"/>
        <v>5</v>
      </c>
      <c r="AQ40" s="38">
        <f t="shared" si="115"/>
        <v>431.98274696563578</v>
      </c>
      <c r="AR40" s="38">
        <f t="shared" si="116"/>
        <v>431.98274696563578</v>
      </c>
      <c r="AT40" s="38">
        <f t="shared" si="46"/>
        <v>431.9827469656355</v>
      </c>
      <c r="AU40" s="38">
        <f t="shared" si="47"/>
        <v>1.0000000000000007</v>
      </c>
      <c r="AX40" s="4">
        <f t="shared" si="48"/>
        <v>348.58861648898744</v>
      </c>
      <c r="AY40" s="4">
        <f t="shared" si="49"/>
        <v>1</v>
      </c>
      <c r="AZ40" s="38">
        <f t="shared" si="117"/>
        <v>708.22938032103059</v>
      </c>
      <c r="BA40" s="4">
        <f t="shared" si="50"/>
        <v>0.3</v>
      </c>
      <c r="BB40" s="4">
        <f t="shared" si="51"/>
        <v>54.641265634648782</v>
      </c>
      <c r="BC40" s="4">
        <f t="shared" si="52"/>
        <v>762.87064595567938</v>
      </c>
      <c r="BE40" s="36">
        <f t="shared" si="53"/>
        <v>2.2250000000000001</v>
      </c>
      <c r="BF40" s="36">
        <f t="shared" si="54"/>
        <v>523.9674226514469</v>
      </c>
      <c r="BK40" s="4">
        <f t="shared" si="55"/>
        <v>101.8</v>
      </c>
      <c r="BL40" s="4">
        <f t="shared" si="56"/>
        <v>76.86</v>
      </c>
      <c r="BM40" s="4">
        <f t="shared" si="57"/>
        <v>101.8</v>
      </c>
      <c r="BN40" s="4">
        <f t="shared" si="58"/>
        <v>89.56</v>
      </c>
      <c r="BO40" s="4">
        <f t="shared" si="59"/>
        <v>1.0324486078584441</v>
      </c>
      <c r="BP40" s="25">
        <f t="shared" si="118"/>
        <v>4</v>
      </c>
      <c r="BR40" s="4">
        <f t="shared" si="60"/>
        <v>101.8</v>
      </c>
      <c r="BV40" s="9"/>
      <c r="BX40" s="9"/>
      <c r="BY40" s="9"/>
      <c r="BZ40" s="9">
        <f t="shared" si="61"/>
        <v>101.8</v>
      </c>
      <c r="CA40" s="9">
        <f t="shared" si="62"/>
        <v>101.8</v>
      </c>
      <c r="CB40" s="9">
        <f t="shared" si="63"/>
        <v>2.001967536137395</v>
      </c>
      <c r="CC40" s="9">
        <v>20</v>
      </c>
      <c r="CD40" s="9">
        <f t="shared" si="129"/>
        <v>0.05</v>
      </c>
      <c r="CE40" s="9">
        <f t="shared" si="65"/>
        <v>0.8</v>
      </c>
      <c r="CF40" s="9">
        <f t="shared" si="66"/>
        <v>0.99524931562137331</v>
      </c>
      <c r="CG40" s="9">
        <f t="shared" si="67"/>
        <v>0.97375</v>
      </c>
      <c r="CH40" s="9">
        <f t="shared" si="68"/>
        <v>1.9969246679255115</v>
      </c>
      <c r="CI40" s="9">
        <f t="shared" si="69"/>
        <v>4.9923116698137786</v>
      </c>
      <c r="CJ40" s="9">
        <v>1</v>
      </c>
      <c r="CK40" s="9">
        <f t="shared" si="70"/>
        <v>524.19272533044682</v>
      </c>
      <c r="DH40" s="4">
        <f t="shared" si="71"/>
        <v>4</v>
      </c>
      <c r="DI40" s="4">
        <f t="shared" si="72"/>
        <v>285.75</v>
      </c>
      <c r="DJ40" s="4">
        <f t="shared" si="73"/>
        <v>1</v>
      </c>
      <c r="DL40" s="4">
        <f t="shared" si="74"/>
        <v>2.0755210712749404E-5</v>
      </c>
      <c r="DM40" s="4">
        <f t="shared" si="75"/>
        <v>9.0324733825588019</v>
      </c>
      <c r="DO40" s="4">
        <f t="shared" si="76"/>
        <v>0</v>
      </c>
      <c r="DP40" s="4">
        <f t="shared" si="77"/>
        <v>6.4517667018277161</v>
      </c>
      <c r="DQ40" s="4">
        <f t="shared" si="78"/>
        <v>8.5873792483918443</v>
      </c>
      <c r="DR40" s="38">
        <f t="shared" si="119"/>
        <v>517.5</v>
      </c>
      <c r="DS40" s="4">
        <f t="shared" si="79"/>
        <v>1</v>
      </c>
      <c r="DU40" s="4">
        <f t="shared" si="120"/>
        <v>431.9827469656355</v>
      </c>
      <c r="DY40" s="4">
        <f t="shared" si="80"/>
        <v>0.85</v>
      </c>
      <c r="DZ40" s="4">
        <f t="shared" si="81"/>
        <v>0.7</v>
      </c>
      <c r="EA40" s="4">
        <f t="shared" si="82"/>
        <v>0.73926932853865712</v>
      </c>
      <c r="EB40" s="4">
        <f t="shared" si="83"/>
        <v>0.7</v>
      </c>
      <c r="ED40" s="4">
        <f t="shared" si="121"/>
        <v>517.5</v>
      </c>
      <c r="EE40" s="25">
        <f t="shared" si="122"/>
        <v>416.57097270702945</v>
      </c>
      <c r="EH40" s="4">
        <f t="shared" si="84"/>
        <v>9.0324733825588019</v>
      </c>
      <c r="EI40" s="4">
        <f t="shared" si="85"/>
        <v>8.5989146601959785</v>
      </c>
      <c r="EK40" s="4">
        <f t="shared" si="86"/>
        <v>77.858162529590359</v>
      </c>
      <c r="EL40" s="4">
        <f t="shared" si="87"/>
        <v>3.0652819893539514</v>
      </c>
      <c r="EM40" s="4">
        <f t="shared" si="88"/>
        <v>0.14477326904881829</v>
      </c>
      <c r="EP40" s="4">
        <f t="shared" si="89"/>
        <v>0.14477326904881829</v>
      </c>
      <c r="EQ40" s="4">
        <f t="shared" si="90"/>
        <v>0.4489660219375291</v>
      </c>
      <c r="ER40" s="4">
        <f t="shared" si="91"/>
        <v>6.556802166961301</v>
      </c>
      <c r="ES40" s="4">
        <f t="shared" si="92"/>
        <v>7.8925545162461042</v>
      </c>
      <c r="ET40" s="4">
        <f t="shared" si="93"/>
        <v>136.45433747040965</v>
      </c>
      <c r="EU40" s="4">
        <f t="shared" si="94"/>
        <v>71.4375</v>
      </c>
      <c r="EV40" s="4">
        <f t="shared" si="95"/>
        <v>2.0755210712749404E-5</v>
      </c>
      <c r="EW40" s="4">
        <f t="shared" si="96"/>
        <v>8.3257607628853858</v>
      </c>
      <c r="EX40" s="4">
        <f t="shared" si="97"/>
        <v>517.5</v>
      </c>
      <c r="EY40" s="4">
        <f t="shared" si="98"/>
        <v>136.45433747040965</v>
      </c>
      <c r="EZ40" s="4">
        <f t="shared" si="99"/>
        <v>71.437499999999986</v>
      </c>
      <c r="FB40" s="4">
        <f t="shared" si="100"/>
        <v>0</v>
      </c>
      <c r="FG40" s="23"/>
      <c r="FH40" s="23"/>
      <c r="FI40" s="23"/>
      <c r="FJ40" s="23"/>
      <c r="FK40" s="23"/>
      <c r="FL40" s="23"/>
      <c r="FM40" s="23"/>
      <c r="FN40" s="23"/>
      <c r="FX40" s="4">
        <f t="shared" si="101"/>
        <v>1</v>
      </c>
      <c r="FY40" s="4">
        <f t="shared" si="102"/>
        <v>0.68688155922038985</v>
      </c>
      <c r="FZ40" s="4">
        <f t="shared" si="103"/>
        <v>0.3</v>
      </c>
      <c r="GA40" s="4">
        <f t="shared" si="104"/>
        <v>396.26942221324936</v>
      </c>
    </row>
    <row r="41" spans="1:184" ht="12" hidden="1" customHeight="1" x14ac:dyDescent="0.3">
      <c r="A41" s="25">
        <v>23</v>
      </c>
      <c r="B41" s="26" t="s">
        <v>81</v>
      </c>
      <c r="C41" s="26"/>
      <c r="D41" s="26" t="s">
        <v>82</v>
      </c>
      <c r="E41" s="26"/>
      <c r="F41" s="7" t="s">
        <v>101</v>
      </c>
      <c r="G41" s="28">
        <f t="shared" si="105"/>
        <v>517.5</v>
      </c>
      <c r="H41" s="7">
        <f t="shared" si="128"/>
        <v>285.75</v>
      </c>
      <c r="I41" s="7">
        <f t="shared" si="123"/>
        <v>285.75</v>
      </c>
      <c r="J41" s="7">
        <v>34.659999999999997</v>
      </c>
      <c r="K41" s="7">
        <v>25.4</v>
      </c>
      <c r="L41" s="7">
        <f t="shared" si="106"/>
        <v>11.25</v>
      </c>
      <c r="M41" s="7">
        <f t="shared" si="107"/>
        <v>11.25</v>
      </c>
      <c r="N41" s="7">
        <v>229</v>
      </c>
      <c r="O41" s="7">
        <f t="shared" si="108"/>
        <v>101.8</v>
      </c>
      <c r="P41" s="7">
        <v>305</v>
      </c>
      <c r="Q41" s="7">
        <v>0</v>
      </c>
      <c r="R41" s="7">
        <v>1</v>
      </c>
      <c r="S41" s="7">
        <v>80.19</v>
      </c>
      <c r="T41" s="7">
        <f t="shared" si="42"/>
        <v>3.6570866141732288</v>
      </c>
      <c r="U41" s="28">
        <f t="shared" si="109"/>
        <v>3.6570866141732288</v>
      </c>
      <c r="V41" s="28">
        <f t="shared" si="110"/>
        <v>8.3959536742577185</v>
      </c>
      <c r="W41" s="7">
        <f t="shared" si="43"/>
        <v>8.3959536742577185</v>
      </c>
      <c r="X41" s="7">
        <f t="shared" si="44"/>
        <v>9.3959536742577185</v>
      </c>
      <c r="Y41" s="7">
        <f t="shared" si="45"/>
        <v>77.858162529590359</v>
      </c>
      <c r="Z41" s="7"/>
      <c r="AA41" s="7"/>
      <c r="AB41" s="7">
        <f>253.27/(PI()/4*K41^2)*1000</f>
        <v>499.83473788684159</v>
      </c>
      <c r="AC41" s="7"/>
      <c r="AD41" s="7"/>
      <c r="AE41" s="7">
        <v>9.5</v>
      </c>
      <c r="AF41" s="7">
        <v>4</v>
      </c>
      <c r="AG41" s="7">
        <v>76</v>
      </c>
      <c r="AH41" s="7">
        <v>4</v>
      </c>
      <c r="AI41" s="7"/>
      <c r="AJ41" s="7"/>
      <c r="AK41" s="4">
        <f t="shared" si="125"/>
        <v>285.75</v>
      </c>
      <c r="AL41" s="4">
        <f t="shared" si="111"/>
        <v>0.16251269748081335</v>
      </c>
      <c r="AM41" s="25">
        <f t="shared" si="112"/>
        <v>561.22411424012159</v>
      </c>
      <c r="AN41" s="4">
        <f t="shared" si="113"/>
        <v>0.76501487314085737</v>
      </c>
      <c r="AO41" s="4">
        <v>1.25</v>
      </c>
      <c r="AP41" s="25">
        <f t="shared" si="114"/>
        <v>5</v>
      </c>
      <c r="AQ41" s="38">
        <f t="shared" si="115"/>
        <v>436.0873794570511</v>
      </c>
      <c r="AR41" s="38">
        <f t="shared" si="116"/>
        <v>436.0873794570511</v>
      </c>
      <c r="AT41" s="38">
        <f t="shared" si="46"/>
        <v>436.08737945705087</v>
      </c>
      <c r="AU41" s="38">
        <f t="shared" si="47"/>
        <v>1.0000000000000004</v>
      </c>
      <c r="AX41" s="4">
        <f t="shared" si="48"/>
        <v>348.58861648898744</v>
      </c>
      <c r="AY41" s="4">
        <f t="shared" si="49"/>
        <v>1</v>
      </c>
      <c r="AZ41" s="38">
        <f t="shared" si="117"/>
        <v>734.56260761523595</v>
      </c>
      <c r="BA41" s="4">
        <f t="shared" si="50"/>
        <v>0.3</v>
      </c>
      <c r="BB41" s="4">
        <f t="shared" si="51"/>
        <v>54.641265634648782</v>
      </c>
      <c r="BC41" s="4">
        <f t="shared" si="52"/>
        <v>789.20387324988474</v>
      </c>
      <c r="BE41" s="36">
        <f t="shared" si="53"/>
        <v>2.2250000000000001</v>
      </c>
      <c r="BF41" s="36">
        <f t="shared" si="54"/>
        <v>523.9674226514469</v>
      </c>
      <c r="BK41" s="4">
        <f t="shared" si="55"/>
        <v>101.8</v>
      </c>
      <c r="BL41" s="4">
        <f t="shared" si="56"/>
        <v>80.19</v>
      </c>
      <c r="BM41" s="4">
        <f t="shared" si="57"/>
        <v>101.8</v>
      </c>
      <c r="BN41" s="4">
        <f t="shared" si="58"/>
        <v>92.89</v>
      </c>
      <c r="BO41" s="4">
        <f t="shared" si="59"/>
        <v>1.0269484973188676</v>
      </c>
      <c r="BP41" s="25">
        <f t="shared" si="118"/>
        <v>4</v>
      </c>
      <c r="BR41" s="4">
        <f t="shared" si="60"/>
        <v>101.8</v>
      </c>
      <c r="BV41" s="9"/>
      <c r="BX41" s="9"/>
      <c r="BY41" s="9"/>
      <c r="BZ41" s="9">
        <f t="shared" si="61"/>
        <v>101.8</v>
      </c>
      <c r="CA41" s="9">
        <f t="shared" si="62"/>
        <v>101.8</v>
      </c>
      <c r="CB41" s="9">
        <f t="shared" si="63"/>
        <v>2.001967536137395</v>
      </c>
      <c r="CC41" s="9">
        <v>20</v>
      </c>
      <c r="CD41" s="9">
        <f t="shared" si="129"/>
        <v>0.05</v>
      </c>
      <c r="CE41" s="9">
        <f t="shared" si="65"/>
        <v>0.8</v>
      </c>
      <c r="CF41" s="9">
        <f t="shared" si="66"/>
        <v>0.99524931562137331</v>
      </c>
      <c r="CG41" s="9">
        <f t="shared" si="67"/>
        <v>0.97375</v>
      </c>
      <c r="CH41" s="9">
        <f t="shared" si="68"/>
        <v>1.9969246679255115</v>
      </c>
      <c r="CI41" s="9">
        <f t="shared" si="69"/>
        <v>4.9923116698137786</v>
      </c>
      <c r="CJ41" s="9">
        <v>1</v>
      </c>
      <c r="CK41" s="9">
        <f t="shared" si="70"/>
        <v>524.19272533044682</v>
      </c>
      <c r="DH41" s="4">
        <f t="shared" si="71"/>
        <v>4</v>
      </c>
      <c r="DI41" s="4">
        <f t="shared" si="72"/>
        <v>285.75</v>
      </c>
      <c r="DJ41" s="4">
        <f t="shared" si="73"/>
        <v>1</v>
      </c>
      <c r="DL41" s="4">
        <f t="shared" si="74"/>
        <v>2.0755210712749404E-5</v>
      </c>
      <c r="DM41" s="4">
        <f t="shared" si="75"/>
        <v>9.0324733825588019</v>
      </c>
      <c r="DO41" s="4">
        <f t="shared" si="76"/>
        <v>0</v>
      </c>
      <c r="DP41" s="4">
        <f t="shared" si="77"/>
        <v>6.4517667018277161</v>
      </c>
      <c r="DQ41" s="4">
        <f t="shared" si="78"/>
        <v>8.5873792483918443</v>
      </c>
      <c r="DR41" s="38">
        <f t="shared" si="119"/>
        <v>517.5</v>
      </c>
      <c r="DS41" s="4">
        <f t="shared" si="79"/>
        <v>1</v>
      </c>
      <c r="DU41" s="4">
        <f t="shared" si="120"/>
        <v>436.08737945705087</v>
      </c>
      <c r="DY41" s="4">
        <f t="shared" si="80"/>
        <v>0.85</v>
      </c>
      <c r="DZ41" s="4">
        <f t="shared" si="81"/>
        <v>0.7</v>
      </c>
      <c r="EA41" s="4">
        <f t="shared" si="82"/>
        <v>0.73926932853865712</v>
      </c>
      <c r="EB41" s="4">
        <f t="shared" si="83"/>
        <v>0.7</v>
      </c>
      <c r="ED41" s="4">
        <f t="shared" si="121"/>
        <v>517.5</v>
      </c>
      <c r="EE41" s="25">
        <f t="shared" si="122"/>
        <v>417.85899560346201</v>
      </c>
      <c r="EH41" s="4">
        <f t="shared" si="84"/>
        <v>9.0324733825588019</v>
      </c>
      <c r="EI41" s="4">
        <f t="shared" si="85"/>
        <v>8.5989146601959785</v>
      </c>
      <c r="EK41" s="4">
        <f t="shared" si="86"/>
        <v>77.858162529590359</v>
      </c>
      <c r="EL41" s="4">
        <f t="shared" si="87"/>
        <v>3.0652819893539514</v>
      </c>
      <c r="EM41" s="4">
        <f t="shared" si="88"/>
        <v>0.14614888200604936</v>
      </c>
      <c r="EP41" s="4">
        <f t="shared" si="89"/>
        <v>0.14614888200604936</v>
      </c>
      <c r="EQ41" s="4">
        <f t="shared" si="90"/>
        <v>0.45323202685122277</v>
      </c>
      <c r="ER41" s="4">
        <f t="shared" si="91"/>
        <v>6.5816521704497388</v>
      </c>
      <c r="ES41" s="4">
        <f t="shared" si="92"/>
        <v>7.9028793178392709</v>
      </c>
      <c r="ET41" s="4">
        <f t="shared" si="93"/>
        <v>136.45433747040965</v>
      </c>
      <c r="EU41" s="4">
        <f t="shared" si="94"/>
        <v>71.4375</v>
      </c>
      <c r="EV41" s="4">
        <f t="shared" si="95"/>
        <v>2.0755210712749404E-5</v>
      </c>
      <c r="EW41" s="4">
        <f t="shared" si="96"/>
        <v>8.3245236605571389</v>
      </c>
      <c r="EX41" s="4">
        <f t="shared" si="97"/>
        <v>517.5</v>
      </c>
      <c r="EY41" s="4">
        <f t="shared" si="98"/>
        <v>136.45433747040965</v>
      </c>
      <c r="EZ41" s="4">
        <f t="shared" si="99"/>
        <v>71.437499999999986</v>
      </c>
      <c r="FB41" s="4">
        <f t="shared" si="100"/>
        <v>0</v>
      </c>
      <c r="FG41" s="23"/>
      <c r="FH41" s="23"/>
      <c r="FI41" s="23"/>
      <c r="FJ41" s="23"/>
      <c r="FK41" s="23"/>
      <c r="FL41" s="23"/>
      <c r="FM41" s="23"/>
      <c r="FN41" s="23"/>
      <c r="FX41" s="4">
        <f t="shared" si="101"/>
        <v>1</v>
      </c>
      <c r="FY41" s="4">
        <f t="shared" si="102"/>
        <v>0.68688155922038985</v>
      </c>
      <c r="FZ41" s="4">
        <f t="shared" si="103"/>
        <v>0.3</v>
      </c>
      <c r="GA41" s="4">
        <f t="shared" si="104"/>
        <v>396.26942221324936</v>
      </c>
    </row>
    <row r="42" spans="1:184" ht="12" hidden="1" customHeight="1" x14ac:dyDescent="0.3">
      <c r="A42" s="25">
        <v>24</v>
      </c>
      <c r="B42" s="26" t="s">
        <v>81</v>
      </c>
      <c r="C42" s="26"/>
      <c r="D42" s="26" t="s">
        <v>82</v>
      </c>
      <c r="E42" s="26"/>
      <c r="F42" s="7" t="s">
        <v>102</v>
      </c>
      <c r="G42" s="28">
        <f t="shared" si="105"/>
        <v>517.5</v>
      </c>
      <c r="H42" s="7">
        <f t="shared" si="128"/>
        <v>285.75</v>
      </c>
      <c r="I42" s="7">
        <f t="shared" si="123"/>
        <v>285.75</v>
      </c>
      <c r="J42" s="7">
        <v>34.659999999999997</v>
      </c>
      <c r="K42" s="7">
        <v>25.4</v>
      </c>
      <c r="L42" s="7">
        <f t="shared" si="106"/>
        <v>11.25</v>
      </c>
      <c r="M42" s="7">
        <f t="shared" si="107"/>
        <v>11.25</v>
      </c>
      <c r="N42" s="7">
        <v>229</v>
      </c>
      <c r="O42" s="7">
        <f t="shared" si="108"/>
        <v>101.8</v>
      </c>
      <c r="P42" s="7">
        <v>305</v>
      </c>
      <c r="Q42" s="7">
        <v>0</v>
      </c>
      <c r="R42" s="7">
        <v>1</v>
      </c>
      <c r="S42" s="7">
        <v>82.22</v>
      </c>
      <c r="T42" s="7">
        <f t="shared" si="42"/>
        <v>3.7370078740157484</v>
      </c>
      <c r="U42" s="28">
        <f t="shared" si="109"/>
        <v>3.7370078740157484</v>
      </c>
      <c r="V42" s="28">
        <f t="shared" si="110"/>
        <v>8.3959536742577185</v>
      </c>
      <c r="W42" s="7">
        <f t="shared" si="43"/>
        <v>8.3959536742577185</v>
      </c>
      <c r="X42" s="7">
        <f t="shared" si="44"/>
        <v>9.3959536742577185</v>
      </c>
      <c r="Y42" s="7">
        <f t="shared" si="45"/>
        <v>77.858162529590359</v>
      </c>
      <c r="Z42" s="7"/>
      <c r="AA42" s="7"/>
      <c r="AB42" s="7">
        <f>248.6/(PI()/4*K42^2)*1000</f>
        <v>490.61837500955028</v>
      </c>
      <c r="AC42" s="7"/>
      <c r="AD42" s="7"/>
      <c r="AE42" s="7">
        <v>9.5</v>
      </c>
      <c r="AF42" s="7">
        <v>4</v>
      </c>
      <c r="AG42" s="7">
        <v>76</v>
      </c>
      <c r="AH42" s="7">
        <v>4</v>
      </c>
      <c r="AI42" s="7"/>
      <c r="AJ42" s="7"/>
      <c r="AK42" s="4">
        <f t="shared" si="125"/>
        <v>285.75</v>
      </c>
      <c r="AL42" s="4">
        <f t="shared" si="111"/>
        <v>0.16314527904775977</v>
      </c>
      <c r="AM42" s="25">
        <f t="shared" si="112"/>
        <v>561.22411424012159</v>
      </c>
      <c r="AN42" s="4">
        <f t="shared" si="113"/>
        <v>0.76643569553805768</v>
      </c>
      <c r="AO42" s="4">
        <v>1.25</v>
      </c>
      <c r="AP42" s="25">
        <f t="shared" si="114"/>
        <v>5</v>
      </c>
      <c r="AQ42" s="38">
        <f t="shared" si="115"/>
        <v>438.5979270469054</v>
      </c>
      <c r="AR42" s="38">
        <f t="shared" si="116"/>
        <v>438.5979270469054</v>
      </c>
      <c r="AT42" s="38">
        <f t="shared" si="46"/>
        <v>438.59792704690506</v>
      </c>
      <c r="AU42" s="38">
        <f t="shared" si="47"/>
        <v>1.0000000000000009</v>
      </c>
      <c r="AX42" s="4">
        <f t="shared" si="48"/>
        <v>348.58861648898744</v>
      </c>
      <c r="AY42" s="4">
        <f t="shared" si="49"/>
        <v>1</v>
      </c>
      <c r="AZ42" s="38">
        <f t="shared" si="117"/>
        <v>750.61559602581758</v>
      </c>
      <c r="BA42" s="4">
        <f t="shared" si="50"/>
        <v>0.3</v>
      </c>
      <c r="BB42" s="4">
        <f t="shared" si="51"/>
        <v>54.641265634648782</v>
      </c>
      <c r="BC42" s="4">
        <f t="shared" si="52"/>
        <v>805.25686166046637</v>
      </c>
      <c r="BE42" s="36">
        <f t="shared" si="53"/>
        <v>2.2250000000000001</v>
      </c>
      <c r="BF42" s="36">
        <f t="shared" si="54"/>
        <v>523.9674226514469</v>
      </c>
      <c r="BK42" s="4">
        <f t="shared" si="55"/>
        <v>101.8</v>
      </c>
      <c r="BL42" s="4">
        <f t="shared" si="56"/>
        <v>82.22</v>
      </c>
      <c r="BM42" s="4">
        <f t="shared" si="57"/>
        <v>101.8</v>
      </c>
      <c r="BN42" s="4">
        <f t="shared" si="58"/>
        <v>94.92</v>
      </c>
      <c r="BO42" s="4">
        <f t="shared" si="59"/>
        <v>1.0238141571393822</v>
      </c>
      <c r="BP42" s="25">
        <f t="shared" si="118"/>
        <v>4</v>
      </c>
      <c r="BR42" s="4">
        <f t="shared" si="60"/>
        <v>101.8</v>
      </c>
      <c r="BV42" s="9"/>
      <c r="BX42" s="9"/>
      <c r="BY42" s="9"/>
      <c r="BZ42" s="9">
        <f t="shared" si="61"/>
        <v>101.8</v>
      </c>
      <c r="CA42" s="9">
        <f t="shared" si="62"/>
        <v>101.8</v>
      </c>
      <c r="CB42" s="9">
        <f t="shared" si="63"/>
        <v>2.001967536137395</v>
      </c>
      <c r="CC42" s="9">
        <v>20</v>
      </c>
      <c r="CD42" s="9">
        <f t="shared" si="129"/>
        <v>0.05</v>
      </c>
      <c r="CE42" s="9">
        <f t="shared" si="65"/>
        <v>0.8</v>
      </c>
      <c r="CF42" s="9">
        <f t="shared" si="66"/>
        <v>0.99524931562137331</v>
      </c>
      <c r="CG42" s="9">
        <f t="shared" si="67"/>
        <v>0.97375</v>
      </c>
      <c r="CH42" s="9">
        <f t="shared" si="68"/>
        <v>1.9969246679255115</v>
      </c>
      <c r="CI42" s="9">
        <f t="shared" si="69"/>
        <v>4.9923116698137786</v>
      </c>
      <c r="CJ42" s="9">
        <v>1</v>
      </c>
      <c r="CK42" s="9">
        <f t="shared" si="70"/>
        <v>524.19272533044682</v>
      </c>
      <c r="DH42" s="4">
        <f t="shared" si="71"/>
        <v>4</v>
      </c>
      <c r="DI42" s="4">
        <f t="shared" si="72"/>
        <v>285.75</v>
      </c>
      <c r="DJ42" s="4">
        <f t="shared" si="73"/>
        <v>1</v>
      </c>
      <c r="DL42" s="4">
        <f t="shared" si="74"/>
        <v>2.0755210712749404E-5</v>
      </c>
      <c r="DM42" s="4">
        <f t="shared" si="75"/>
        <v>9.0324733825588019</v>
      </c>
      <c r="DO42" s="4">
        <f t="shared" si="76"/>
        <v>0</v>
      </c>
      <c r="DP42" s="4">
        <f t="shared" si="77"/>
        <v>6.4517667018277161</v>
      </c>
      <c r="DQ42" s="4">
        <f t="shared" si="78"/>
        <v>8.5873792483918443</v>
      </c>
      <c r="DR42" s="38">
        <f t="shared" si="119"/>
        <v>517.5</v>
      </c>
      <c r="DS42" s="4">
        <f t="shared" si="79"/>
        <v>1</v>
      </c>
      <c r="DU42" s="4">
        <f t="shared" si="120"/>
        <v>438.59792704690506</v>
      </c>
      <c r="DY42" s="4">
        <f t="shared" si="80"/>
        <v>0.85</v>
      </c>
      <c r="DZ42" s="4">
        <f t="shared" si="81"/>
        <v>0.7</v>
      </c>
      <c r="EA42" s="4">
        <f t="shared" si="82"/>
        <v>0.73926932853865712</v>
      </c>
      <c r="EB42" s="4">
        <f t="shared" si="83"/>
        <v>0.7</v>
      </c>
      <c r="ED42" s="4">
        <f t="shared" si="121"/>
        <v>517.5</v>
      </c>
      <c r="EE42" s="25">
        <f t="shared" si="122"/>
        <v>418.64418673852452</v>
      </c>
      <c r="EH42" s="4">
        <f t="shared" si="84"/>
        <v>9.0324733825588019</v>
      </c>
      <c r="EI42" s="4">
        <f t="shared" si="85"/>
        <v>8.5989146601959785</v>
      </c>
      <c r="EK42" s="4">
        <f t="shared" si="86"/>
        <v>77.858162529590359</v>
      </c>
      <c r="EL42" s="4">
        <f t="shared" si="87"/>
        <v>3.0652819893539514</v>
      </c>
      <c r="EM42" s="4">
        <f t="shared" si="88"/>
        <v>0.14699025862175652</v>
      </c>
      <c r="EP42" s="4">
        <f t="shared" si="89"/>
        <v>0.14699025862175652</v>
      </c>
      <c r="EQ42" s="4">
        <f t="shared" si="90"/>
        <v>0.45584127588308598</v>
      </c>
      <c r="ER42" s="4">
        <f t="shared" si="91"/>
        <v>6.5967822579745006</v>
      </c>
      <c r="ES42" s="4">
        <f t="shared" si="92"/>
        <v>7.9091783259944446</v>
      </c>
      <c r="ET42" s="4">
        <f t="shared" si="93"/>
        <v>136.45433747040965</v>
      </c>
      <c r="EU42" s="4">
        <f t="shared" si="94"/>
        <v>71.4375</v>
      </c>
      <c r="EV42" s="4">
        <f t="shared" si="95"/>
        <v>2.0755210712749404E-5</v>
      </c>
      <c r="EW42" s="4">
        <f t="shared" si="96"/>
        <v>8.3237698022751303</v>
      </c>
      <c r="EX42" s="4">
        <f t="shared" si="97"/>
        <v>517.5</v>
      </c>
      <c r="EY42" s="4">
        <f t="shared" si="98"/>
        <v>136.45433747040965</v>
      </c>
      <c r="EZ42" s="4">
        <f t="shared" si="99"/>
        <v>71.437499999999986</v>
      </c>
      <c r="FB42" s="4">
        <f t="shared" si="100"/>
        <v>0</v>
      </c>
      <c r="FG42" s="23"/>
      <c r="FH42" s="23"/>
      <c r="FI42" s="23"/>
      <c r="FJ42" s="23"/>
      <c r="FK42" s="23"/>
      <c r="FL42" s="23"/>
      <c r="FM42" s="23"/>
      <c r="FN42" s="23"/>
      <c r="FX42" s="4">
        <f t="shared" si="101"/>
        <v>1</v>
      </c>
      <c r="FY42" s="4">
        <f t="shared" si="102"/>
        <v>0.68688155922038985</v>
      </c>
      <c r="FZ42" s="4">
        <f t="shared" si="103"/>
        <v>0.3</v>
      </c>
      <c r="GA42" s="4">
        <f t="shared" si="104"/>
        <v>396.26942221324936</v>
      </c>
    </row>
    <row r="43" spans="1:184" ht="12" hidden="1" customHeight="1" x14ac:dyDescent="0.3">
      <c r="A43" s="25">
        <v>25</v>
      </c>
      <c r="B43" s="26" t="s">
        <v>81</v>
      </c>
      <c r="C43" s="26"/>
      <c r="D43" s="26" t="s">
        <v>82</v>
      </c>
      <c r="E43" s="26"/>
      <c r="F43" s="7" t="s">
        <v>103</v>
      </c>
      <c r="G43" s="28">
        <f t="shared" si="105"/>
        <v>517.5</v>
      </c>
      <c r="H43" s="7">
        <f t="shared" si="128"/>
        <v>285.75</v>
      </c>
      <c r="I43" s="7">
        <f t="shared" si="123"/>
        <v>285.75</v>
      </c>
      <c r="J43" s="7">
        <v>34.659999999999997</v>
      </c>
      <c r="K43" s="7">
        <v>25.4</v>
      </c>
      <c r="L43" s="7">
        <f t="shared" si="106"/>
        <v>11.25</v>
      </c>
      <c r="M43" s="7">
        <f t="shared" si="107"/>
        <v>11.25</v>
      </c>
      <c r="N43" s="7">
        <v>229</v>
      </c>
      <c r="O43" s="7">
        <f t="shared" si="108"/>
        <v>101.8</v>
      </c>
      <c r="P43" s="7">
        <v>305</v>
      </c>
      <c r="Q43" s="7">
        <v>0</v>
      </c>
      <c r="R43" s="7">
        <v>1</v>
      </c>
      <c r="S43" s="7">
        <v>55.45</v>
      </c>
      <c r="T43" s="7">
        <f t="shared" si="42"/>
        <v>2.6830708661417328</v>
      </c>
      <c r="U43" s="28">
        <f t="shared" si="109"/>
        <v>2.6830708661417328</v>
      </c>
      <c r="V43" s="28">
        <f t="shared" si="110"/>
        <v>8.3959536742577185</v>
      </c>
      <c r="W43" s="7">
        <f t="shared" si="43"/>
        <v>8.3959536742577185</v>
      </c>
      <c r="X43" s="7">
        <f t="shared" si="44"/>
        <v>9.3959536742577185</v>
      </c>
      <c r="Y43" s="7">
        <f t="shared" si="45"/>
        <v>77.858162529590359</v>
      </c>
      <c r="Z43" s="7"/>
      <c r="AA43" s="7"/>
      <c r="AB43" s="7">
        <f>249.62/(PI()/4*K43^2)*1000</f>
        <v>492.6313707557681</v>
      </c>
      <c r="AC43" s="7"/>
      <c r="AD43" s="7"/>
      <c r="AE43" s="7">
        <v>9.5</v>
      </c>
      <c r="AF43" s="7">
        <v>4</v>
      </c>
      <c r="AG43" s="7">
        <v>76</v>
      </c>
      <c r="AH43" s="7">
        <v>4</v>
      </c>
      <c r="AI43" s="7"/>
      <c r="AJ43" s="7"/>
      <c r="AK43" s="4">
        <f t="shared" si="125"/>
        <v>285.75</v>
      </c>
      <c r="AL43" s="4">
        <f t="shared" si="111"/>
        <v>0.15480330439398876</v>
      </c>
      <c r="AM43" s="25">
        <f t="shared" si="112"/>
        <v>561.22411424012159</v>
      </c>
      <c r="AN43" s="4">
        <f t="shared" si="113"/>
        <v>0.74769903762029744</v>
      </c>
      <c r="AO43" s="4">
        <v>1.25</v>
      </c>
      <c r="AP43" s="25">
        <f t="shared" si="114"/>
        <v>5</v>
      </c>
      <c r="AQ43" s="38">
        <f t="shared" si="115"/>
        <v>405.99752770345503</v>
      </c>
      <c r="AR43" s="38">
        <f t="shared" si="116"/>
        <v>405.99752770345503</v>
      </c>
      <c r="AT43" s="38">
        <f t="shared" si="46"/>
        <v>405.99752770345469</v>
      </c>
      <c r="AU43" s="38">
        <f t="shared" si="47"/>
        <v>1.0000000000000009</v>
      </c>
      <c r="AX43" s="4">
        <f t="shared" si="48"/>
        <v>348.58861648898744</v>
      </c>
      <c r="AY43" s="4">
        <f t="shared" si="49"/>
        <v>1</v>
      </c>
      <c r="AZ43" s="38">
        <f t="shared" si="117"/>
        <v>538.92175378381239</v>
      </c>
      <c r="BA43" s="4">
        <f t="shared" si="50"/>
        <v>0.3</v>
      </c>
      <c r="BB43" s="4">
        <f t="shared" si="51"/>
        <v>54.641265634648782</v>
      </c>
      <c r="BC43" s="4">
        <f t="shared" si="52"/>
        <v>593.56301941846118</v>
      </c>
      <c r="BE43" s="36">
        <f t="shared" si="53"/>
        <v>2.2250000000000001</v>
      </c>
      <c r="BF43" s="36">
        <f t="shared" si="54"/>
        <v>523.9674226514469</v>
      </c>
      <c r="BK43" s="4">
        <f t="shared" si="55"/>
        <v>101.8</v>
      </c>
      <c r="BL43" s="4">
        <f t="shared" si="56"/>
        <v>55.45</v>
      </c>
      <c r="BM43" s="4">
        <f t="shared" si="57"/>
        <v>101.8</v>
      </c>
      <c r="BN43" s="4">
        <f t="shared" si="58"/>
        <v>68.150000000000006</v>
      </c>
      <c r="BO43" s="4">
        <f t="shared" si="59"/>
        <v>1.0835888187556357</v>
      </c>
      <c r="BP43" s="25">
        <f t="shared" si="118"/>
        <v>4</v>
      </c>
      <c r="BR43" s="4">
        <f t="shared" si="60"/>
        <v>101.8</v>
      </c>
      <c r="BV43" s="9"/>
      <c r="BX43" s="9"/>
      <c r="BY43" s="9"/>
      <c r="BZ43" s="9">
        <f t="shared" si="61"/>
        <v>101.8</v>
      </c>
      <c r="CA43" s="9">
        <f t="shared" si="62"/>
        <v>101.8</v>
      </c>
      <c r="CB43" s="9">
        <f t="shared" si="63"/>
        <v>2.001967536137395</v>
      </c>
      <c r="CC43" s="9">
        <v>20</v>
      </c>
      <c r="CD43" s="9">
        <f t="shared" si="129"/>
        <v>0.05</v>
      </c>
      <c r="CE43" s="9">
        <f t="shared" si="65"/>
        <v>0.8</v>
      </c>
      <c r="CF43" s="9">
        <f t="shared" si="66"/>
        <v>0.99524931562137331</v>
      </c>
      <c r="CG43" s="9">
        <f t="shared" si="67"/>
        <v>0.97375</v>
      </c>
      <c r="CH43" s="9">
        <f t="shared" si="68"/>
        <v>1.9969246679255115</v>
      </c>
      <c r="CI43" s="9">
        <f t="shared" si="69"/>
        <v>4.9923116698137786</v>
      </c>
      <c r="CJ43" s="9">
        <v>1</v>
      </c>
      <c r="CK43" s="9">
        <f t="shared" si="70"/>
        <v>524.19272533044682</v>
      </c>
      <c r="DH43" s="4">
        <f t="shared" si="71"/>
        <v>4</v>
      </c>
      <c r="DI43" s="4">
        <f t="shared" si="72"/>
        <v>285.75</v>
      </c>
      <c r="DJ43" s="4">
        <f t="shared" si="73"/>
        <v>1</v>
      </c>
      <c r="DL43" s="4">
        <f t="shared" si="74"/>
        <v>2.0755210712749404E-5</v>
      </c>
      <c r="DM43" s="4">
        <f t="shared" si="75"/>
        <v>9.0324733825588019</v>
      </c>
      <c r="DO43" s="4">
        <f t="shared" si="76"/>
        <v>0</v>
      </c>
      <c r="DP43" s="4">
        <f t="shared" si="77"/>
        <v>6.4517667018277161</v>
      </c>
      <c r="DQ43" s="4">
        <f t="shared" si="78"/>
        <v>8.5873792483918443</v>
      </c>
      <c r="DR43" s="38">
        <f t="shared" si="119"/>
        <v>517.5</v>
      </c>
      <c r="DS43" s="4">
        <f t="shared" si="79"/>
        <v>1</v>
      </c>
      <c r="DU43" s="4">
        <f t="shared" si="120"/>
        <v>405.99752770345469</v>
      </c>
      <c r="DY43" s="4">
        <f t="shared" si="80"/>
        <v>0.85</v>
      </c>
      <c r="DZ43" s="4">
        <f t="shared" si="81"/>
        <v>0.7</v>
      </c>
      <c r="EA43" s="4">
        <f t="shared" si="82"/>
        <v>0.73926932853865712</v>
      </c>
      <c r="EB43" s="4">
        <f t="shared" si="83"/>
        <v>0.7</v>
      </c>
      <c r="ED43" s="4">
        <f t="shared" si="121"/>
        <v>517.5</v>
      </c>
      <c r="EE43" s="25">
        <f t="shared" si="122"/>
        <v>408.28972039092707</v>
      </c>
      <c r="EH43" s="4">
        <f t="shared" si="84"/>
        <v>9.0324733825588019</v>
      </c>
      <c r="EI43" s="4">
        <f t="shared" si="85"/>
        <v>8.5989146601959785</v>
      </c>
      <c r="EK43" s="4">
        <f t="shared" si="86"/>
        <v>77.858162529590359</v>
      </c>
      <c r="EL43" s="4">
        <f t="shared" si="87"/>
        <v>3.0652819893539514</v>
      </c>
      <c r="EM43" s="4">
        <f t="shared" si="88"/>
        <v>0.13606466861058017</v>
      </c>
      <c r="EP43" s="4">
        <f t="shared" si="89"/>
        <v>0.13606466861058017</v>
      </c>
      <c r="EQ43" s="4">
        <f t="shared" si="90"/>
        <v>0.42195920140299542</v>
      </c>
      <c r="ER43" s="4">
        <f t="shared" si="91"/>
        <v>6.3960945508971907</v>
      </c>
      <c r="ES43" s="4">
        <f t="shared" si="92"/>
        <v>7.8264154773661634</v>
      </c>
      <c r="ET43" s="4">
        <f t="shared" si="93"/>
        <v>136.45433747040965</v>
      </c>
      <c r="EU43" s="4">
        <f t="shared" si="94"/>
        <v>71.4375</v>
      </c>
      <c r="EV43" s="4">
        <f t="shared" si="95"/>
        <v>2.0755210712749404E-5</v>
      </c>
      <c r="EW43" s="4">
        <f t="shared" si="96"/>
        <v>8.3337293000677306</v>
      </c>
      <c r="EX43" s="4">
        <f t="shared" si="97"/>
        <v>517.5</v>
      </c>
      <c r="EY43" s="4">
        <f t="shared" si="98"/>
        <v>136.45433747040965</v>
      </c>
      <c r="EZ43" s="4">
        <f t="shared" si="99"/>
        <v>71.437499999999986</v>
      </c>
      <c r="FB43" s="4">
        <f t="shared" si="100"/>
        <v>0</v>
      </c>
      <c r="FG43" s="23"/>
      <c r="FH43" s="23"/>
      <c r="FI43" s="23"/>
      <c r="FJ43" s="23"/>
      <c r="FK43" s="23"/>
      <c r="FL43" s="23"/>
      <c r="FM43" s="23"/>
      <c r="FN43" s="23"/>
      <c r="FX43" s="4">
        <f t="shared" si="101"/>
        <v>1</v>
      </c>
      <c r="FY43" s="4">
        <f t="shared" si="102"/>
        <v>0.68688155922038985</v>
      </c>
      <c r="FZ43" s="4">
        <f t="shared" si="103"/>
        <v>0.3</v>
      </c>
      <c r="GA43" s="4">
        <f t="shared" si="104"/>
        <v>396.26942221324936</v>
      </c>
    </row>
    <row r="44" spans="1:184" ht="12" hidden="1" customHeight="1" x14ac:dyDescent="0.3">
      <c r="A44" s="25">
        <v>26</v>
      </c>
      <c r="B44" s="26" t="s">
        <v>81</v>
      </c>
      <c r="C44" s="26"/>
      <c r="D44" s="26" t="s">
        <v>82</v>
      </c>
      <c r="E44" s="26"/>
      <c r="F44" s="7" t="s">
        <v>104</v>
      </c>
      <c r="G44" s="28">
        <f t="shared" si="105"/>
        <v>517.5</v>
      </c>
      <c r="H44" s="7">
        <f t="shared" si="128"/>
        <v>285.75</v>
      </c>
      <c r="I44" s="7">
        <f t="shared" si="123"/>
        <v>285.75</v>
      </c>
      <c r="J44" s="7">
        <v>34.659999999999997</v>
      </c>
      <c r="K44" s="7">
        <v>25.4</v>
      </c>
      <c r="L44" s="7">
        <f t="shared" si="106"/>
        <v>11.25</v>
      </c>
      <c r="M44" s="7">
        <f t="shared" si="107"/>
        <v>11.25</v>
      </c>
      <c r="N44" s="7">
        <v>229</v>
      </c>
      <c r="O44" s="7">
        <f t="shared" si="108"/>
        <v>101.8</v>
      </c>
      <c r="P44" s="7">
        <v>305</v>
      </c>
      <c r="Q44" s="7">
        <v>0</v>
      </c>
      <c r="R44" s="7">
        <v>1</v>
      </c>
      <c r="S44" s="7">
        <v>55.7</v>
      </c>
      <c r="T44" s="7">
        <f t="shared" si="42"/>
        <v>2.6929133858267722</v>
      </c>
      <c r="U44" s="28">
        <f t="shared" si="109"/>
        <v>2.6929133858267722</v>
      </c>
      <c r="V44" s="28">
        <f t="shared" si="110"/>
        <v>8.3959536742577185</v>
      </c>
      <c r="W44" s="7">
        <f t="shared" si="43"/>
        <v>8.3959536742577185</v>
      </c>
      <c r="X44" s="7">
        <f t="shared" si="44"/>
        <v>9.3959536742577185</v>
      </c>
      <c r="Y44" s="7">
        <f t="shared" si="45"/>
        <v>77.858162529590359</v>
      </c>
      <c r="Z44" s="7"/>
      <c r="AA44" s="7"/>
      <c r="AB44" s="7">
        <f>231.87/(PI()/4*K44^2)*1000</f>
        <v>457.60129772109588</v>
      </c>
      <c r="AC44" s="7"/>
      <c r="AD44" s="7"/>
      <c r="AE44" s="7">
        <v>9.5</v>
      </c>
      <c r="AF44" s="7">
        <v>4</v>
      </c>
      <c r="AG44" s="7">
        <v>76</v>
      </c>
      <c r="AH44" s="7">
        <v>4</v>
      </c>
      <c r="AI44" s="7"/>
      <c r="AJ44" s="7"/>
      <c r="AK44" s="4">
        <f t="shared" si="125"/>
        <v>285.75</v>
      </c>
      <c r="AL44" s="4">
        <f t="shared" si="111"/>
        <v>0.15488120852784915</v>
      </c>
      <c r="AM44" s="25">
        <f t="shared" si="112"/>
        <v>561.22411424012159</v>
      </c>
      <c r="AN44" s="4">
        <f t="shared" si="113"/>
        <v>0.74787401574803147</v>
      </c>
      <c r="AO44" s="4">
        <v>1.25</v>
      </c>
      <c r="AP44" s="25">
        <f t="shared" si="114"/>
        <v>5</v>
      </c>
      <c r="AQ44" s="38">
        <f t="shared" si="115"/>
        <v>406.29690453368073</v>
      </c>
      <c r="AR44" s="38">
        <f t="shared" si="116"/>
        <v>406.29690453368073</v>
      </c>
      <c r="AT44" s="38">
        <f t="shared" si="46"/>
        <v>406.29690453368045</v>
      </c>
      <c r="AU44" s="38">
        <f t="shared" si="47"/>
        <v>1.0000000000000007</v>
      </c>
      <c r="AX44" s="4">
        <f t="shared" si="48"/>
        <v>348.58861648898744</v>
      </c>
      <c r="AY44" s="4">
        <f t="shared" si="49"/>
        <v>1</v>
      </c>
      <c r="AZ44" s="38">
        <f t="shared" si="117"/>
        <v>540.8987227998939</v>
      </c>
      <c r="BA44" s="4">
        <f t="shared" si="50"/>
        <v>0.3</v>
      </c>
      <c r="BB44" s="4">
        <f t="shared" si="51"/>
        <v>54.641265634648782</v>
      </c>
      <c r="BC44" s="4">
        <f t="shared" si="52"/>
        <v>595.53998843454269</v>
      </c>
      <c r="BE44" s="36">
        <f t="shared" si="53"/>
        <v>2.2250000000000001</v>
      </c>
      <c r="BF44" s="36">
        <f t="shared" si="54"/>
        <v>523.9674226514469</v>
      </c>
      <c r="BK44" s="4">
        <f t="shared" si="55"/>
        <v>101.8</v>
      </c>
      <c r="BL44" s="4">
        <f t="shared" si="56"/>
        <v>55.7</v>
      </c>
      <c r="BM44" s="4">
        <f t="shared" si="57"/>
        <v>101.8</v>
      </c>
      <c r="BN44" s="4">
        <f t="shared" si="58"/>
        <v>68.400000000000006</v>
      </c>
      <c r="BO44" s="4">
        <f t="shared" si="59"/>
        <v>1.0827648114901256</v>
      </c>
      <c r="BP44" s="25">
        <f t="shared" si="118"/>
        <v>4</v>
      </c>
      <c r="BR44" s="4">
        <f t="shared" si="60"/>
        <v>101.8</v>
      </c>
      <c r="BV44" s="9"/>
      <c r="BX44" s="9"/>
      <c r="BY44" s="9"/>
      <c r="BZ44" s="9">
        <f t="shared" si="61"/>
        <v>101.8</v>
      </c>
      <c r="CA44" s="9">
        <f t="shared" si="62"/>
        <v>101.8</v>
      </c>
      <c r="CB44" s="9">
        <f t="shared" si="63"/>
        <v>2.001967536137395</v>
      </c>
      <c r="CC44" s="9">
        <v>20</v>
      </c>
      <c r="CD44" s="9">
        <f t="shared" si="129"/>
        <v>0.05</v>
      </c>
      <c r="CE44" s="9">
        <f t="shared" si="65"/>
        <v>0.8</v>
      </c>
      <c r="CF44" s="9">
        <f t="shared" si="66"/>
        <v>0.99524931562137331</v>
      </c>
      <c r="CG44" s="9">
        <f t="shared" si="67"/>
        <v>0.97375</v>
      </c>
      <c r="CH44" s="9">
        <f t="shared" si="68"/>
        <v>1.9969246679255115</v>
      </c>
      <c r="CI44" s="9">
        <f t="shared" si="69"/>
        <v>4.9923116698137786</v>
      </c>
      <c r="CJ44" s="9">
        <v>1</v>
      </c>
      <c r="CK44" s="9">
        <f t="shared" si="70"/>
        <v>524.19272533044682</v>
      </c>
      <c r="DH44" s="4">
        <f t="shared" si="71"/>
        <v>4</v>
      </c>
      <c r="DI44" s="4">
        <f t="shared" si="72"/>
        <v>285.75</v>
      </c>
      <c r="DJ44" s="4">
        <f t="shared" si="73"/>
        <v>1</v>
      </c>
      <c r="DL44" s="4">
        <f t="shared" si="74"/>
        <v>2.0755210712749404E-5</v>
      </c>
      <c r="DM44" s="4">
        <f t="shared" si="75"/>
        <v>9.0324733825588019</v>
      </c>
      <c r="DO44" s="4">
        <f t="shared" si="76"/>
        <v>0</v>
      </c>
      <c r="DP44" s="4">
        <f t="shared" si="77"/>
        <v>6.4517667018277161</v>
      </c>
      <c r="DQ44" s="4">
        <f t="shared" si="78"/>
        <v>8.5873792483918443</v>
      </c>
      <c r="DR44" s="38">
        <f t="shared" si="119"/>
        <v>517.5</v>
      </c>
      <c r="DS44" s="4">
        <f t="shared" si="79"/>
        <v>1</v>
      </c>
      <c r="DU44" s="4">
        <f t="shared" si="120"/>
        <v>406.29690453368045</v>
      </c>
      <c r="DY44" s="4">
        <f t="shared" si="80"/>
        <v>0.85</v>
      </c>
      <c r="DZ44" s="4">
        <f t="shared" si="81"/>
        <v>0.7</v>
      </c>
      <c r="EA44" s="4">
        <f t="shared" si="82"/>
        <v>0.73926932853865712</v>
      </c>
      <c r="EB44" s="4">
        <f t="shared" si="83"/>
        <v>0.7</v>
      </c>
      <c r="ED44" s="4">
        <f t="shared" si="121"/>
        <v>517.5</v>
      </c>
      <c r="EE44" s="25">
        <f t="shared" si="122"/>
        <v>408.38641880657519</v>
      </c>
      <c r="EH44" s="4">
        <f t="shared" si="84"/>
        <v>9.0324733825588019</v>
      </c>
      <c r="EI44" s="4">
        <f t="shared" si="85"/>
        <v>8.5989146601959785</v>
      </c>
      <c r="EK44" s="4">
        <f t="shared" si="86"/>
        <v>77.858162529590359</v>
      </c>
      <c r="EL44" s="4">
        <f t="shared" si="87"/>
        <v>3.0652819893539514</v>
      </c>
      <c r="EM44" s="4">
        <f t="shared" si="88"/>
        <v>0.13616500077128266</v>
      </c>
      <c r="EP44" s="4">
        <f t="shared" si="89"/>
        <v>0.13616500077128266</v>
      </c>
      <c r="EQ44" s="4">
        <f t="shared" si="90"/>
        <v>0.42227034814547731</v>
      </c>
      <c r="ER44" s="4">
        <f t="shared" si="91"/>
        <v>6.3979806895606242</v>
      </c>
      <c r="ES44" s="4">
        <f t="shared" si="92"/>
        <v>7.8271852945998246</v>
      </c>
      <c r="ET44" s="4">
        <f t="shared" si="93"/>
        <v>136.45433747040965</v>
      </c>
      <c r="EU44" s="4">
        <f t="shared" si="94"/>
        <v>71.4375</v>
      </c>
      <c r="EV44" s="4">
        <f t="shared" si="95"/>
        <v>2.0755210712749404E-5</v>
      </c>
      <c r="EW44" s="4">
        <f t="shared" si="96"/>
        <v>8.3336361018153582</v>
      </c>
      <c r="EX44" s="4">
        <f t="shared" si="97"/>
        <v>517.5</v>
      </c>
      <c r="EY44" s="4">
        <f t="shared" si="98"/>
        <v>136.45433747040965</v>
      </c>
      <c r="EZ44" s="4">
        <f t="shared" si="99"/>
        <v>71.437499999999986</v>
      </c>
      <c r="FB44" s="4">
        <f t="shared" si="100"/>
        <v>0</v>
      </c>
      <c r="FG44" s="23"/>
      <c r="FH44" s="23"/>
      <c r="FI44" s="23"/>
      <c r="FJ44" s="23"/>
      <c r="FK44" s="23"/>
      <c r="FL44" s="23"/>
      <c r="FM44" s="23"/>
      <c r="FN44" s="23"/>
      <c r="FX44" s="4">
        <f t="shared" si="101"/>
        <v>1</v>
      </c>
      <c r="FY44" s="4">
        <f t="shared" si="102"/>
        <v>0.68688155922038985</v>
      </c>
      <c r="FZ44" s="4">
        <f t="shared" si="103"/>
        <v>0.3</v>
      </c>
      <c r="GA44" s="4">
        <f t="shared" si="104"/>
        <v>396.26942221324936</v>
      </c>
    </row>
    <row r="45" spans="1:184" ht="12" hidden="1" customHeight="1" x14ac:dyDescent="0.3">
      <c r="A45" s="25">
        <v>27</v>
      </c>
      <c r="B45" s="26" t="s">
        <v>81</v>
      </c>
      <c r="C45" s="26"/>
      <c r="D45" s="26" t="s">
        <v>82</v>
      </c>
      <c r="E45" s="26"/>
      <c r="F45" s="7" t="s">
        <v>105</v>
      </c>
      <c r="G45" s="28">
        <f t="shared" si="105"/>
        <v>517.5</v>
      </c>
      <c r="H45" s="7">
        <f t="shared" si="128"/>
        <v>285.75</v>
      </c>
      <c r="I45" s="7">
        <f t="shared" si="123"/>
        <v>285.75</v>
      </c>
      <c r="J45" s="7">
        <v>34.659999999999997</v>
      </c>
      <c r="K45" s="7">
        <v>25.4</v>
      </c>
      <c r="L45" s="7">
        <f t="shared" si="106"/>
        <v>11.25</v>
      </c>
      <c r="M45" s="7">
        <f t="shared" si="107"/>
        <v>11.25</v>
      </c>
      <c r="N45" s="7">
        <v>229</v>
      </c>
      <c r="O45" s="7">
        <f t="shared" si="108"/>
        <v>101.8</v>
      </c>
      <c r="P45" s="7">
        <v>305</v>
      </c>
      <c r="Q45" s="7">
        <v>0</v>
      </c>
      <c r="R45" s="7">
        <v>1</v>
      </c>
      <c r="S45" s="7">
        <v>56.57</v>
      </c>
      <c r="T45" s="7">
        <f t="shared" si="42"/>
        <v>2.7271653543307086</v>
      </c>
      <c r="U45" s="28">
        <f t="shared" si="109"/>
        <v>2.7271653543307086</v>
      </c>
      <c r="V45" s="28">
        <f t="shared" si="110"/>
        <v>8.3959536742577185</v>
      </c>
      <c r="W45" s="7">
        <f t="shared" si="43"/>
        <v>8.3959536742577185</v>
      </c>
      <c r="X45" s="7">
        <f t="shared" si="44"/>
        <v>9.3959536742577185</v>
      </c>
      <c r="Y45" s="7">
        <f t="shared" si="45"/>
        <v>77.858162529590359</v>
      </c>
      <c r="Z45" s="7"/>
      <c r="AA45" s="7"/>
      <c r="AB45" s="7">
        <f>257.14/(PI()/4*K45^2)*1000</f>
        <v>507.4722805710208</v>
      </c>
      <c r="AC45" s="7"/>
      <c r="AD45" s="7"/>
      <c r="AE45" s="7">
        <v>9.5</v>
      </c>
      <c r="AF45" s="7">
        <v>4</v>
      </c>
      <c r="AG45" s="7">
        <v>76</v>
      </c>
      <c r="AH45" s="7">
        <v>4</v>
      </c>
      <c r="AI45" s="7"/>
      <c r="AJ45" s="7"/>
      <c r="AK45" s="4">
        <f t="shared" si="125"/>
        <v>285.75</v>
      </c>
      <c r="AL45" s="4">
        <f t="shared" si="111"/>
        <v>0.15515231491368334</v>
      </c>
      <c r="AM45" s="25">
        <f t="shared" si="112"/>
        <v>561.22411424012159</v>
      </c>
      <c r="AN45" s="4">
        <f t="shared" si="113"/>
        <v>0.74848293963254586</v>
      </c>
      <c r="AO45" s="4">
        <v>1.25</v>
      </c>
      <c r="AP45" s="25">
        <f t="shared" si="114"/>
        <v>5</v>
      </c>
      <c r="AQ45" s="38">
        <f t="shared" si="115"/>
        <v>407.33948135174751</v>
      </c>
      <c r="AR45" s="38">
        <f t="shared" si="116"/>
        <v>407.33948135174751</v>
      </c>
      <c r="AT45" s="38">
        <f t="shared" si="46"/>
        <v>407.33948135174728</v>
      </c>
      <c r="AU45" s="38">
        <f t="shared" si="47"/>
        <v>1.0000000000000007</v>
      </c>
      <c r="AX45" s="4">
        <f t="shared" si="48"/>
        <v>348.58861648898744</v>
      </c>
      <c r="AY45" s="4">
        <f t="shared" si="49"/>
        <v>1</v>
      </c>
      <c r="AZ45" s="38">
        <f t="shared" si="117"/>
        <v>547.7785749758574</v>
      </c>
      <c r="BA45" s="4">
        <f t="shared" si="50"/>
        <v>0.3</v>
      </c>
      <c r="BB45" s="4">
        <f t="shared" si="51"/>
        <v>54.641265634648782</v>
      </c>
      <c r="BC45" s="4">
        <f t="shared" si="52"/>
        <v>602.41984061050618</v>
      </c>
      <c r="BE45" s="36">
        <f t="shared" si="53"/>
        <v>2.2250000000000001</v>
      </c>
      <c r="BF45" s="36">
        <f t="shared" si="54"/>
        <v>523.9674226514469</v>
      </c>
      <c r="BK45" s="4">
        <f t="shared" si="55"/>
        <v>101.8</v>
      </c>
      <c r="BL45" s="4">
        <f t="shared" si="56"/>
        <v>56.57</v>
      </c>
      <c r="BM45" s="4">
        <f t="shared" si="57"/>
        <v>101.8</v>
      </c>
      <c r="BN45" s="4">
        <f t="shared" si="58"/>
        <v>69.27</v>
      </c>
      <c r="BO45" s="4">
        <f t="shared" si="59"/>
        <v>1.0799540392434153</v>
      </c>
      <c r="BP45" s="25">
        <f t="shared" si="118"/>
        <v>4</v>
      </c>
      <c r="BR45" s="4">
        <f t="shared" si="60"/>
        <v>101.8</v>
      </c>
      <c r="BV45" s="9"/>
      <c r="BX45" s="9"/>
      <c r="BY45" s="9"/>
      <c r="BZ45" s="9">
        <f t="shared" si="61"/>
        <v>101.8</v>
      </c>
      <c r="CA45" s="9">
        <f t="shared" si="62"/>
        <v>101.8</v>
      </c>
      <c r="CB45" s="9">
        <f t="shared" si="63"/>
        <v>2.001967536137395</v>
      </c>
      <c r="CC45" s="9">
        <v>20</v>
      </c>
      <c r="CD45" s="9">
        <f t="shared" si="129"/>
        <v>0.05</v>
      </c>
      <c r="CE45" s="9">
        <f t="shared" si="65"/>
        <v>0.8</v>
      </c>
      <c r="CF45" s="9">
        <f t="shared" si="66"/>
        <v>0.99524931562137331</v>
      </c>
      <c r="CG45" s="9">
        <f t="shared" si="67"/>
        <v>0.97375</v>
      </c>
      <c r="CH45" s="9">
        <f t="shared" si="68"/>
        <v>1.9969246679255115</v>
      </c>
      <c r="CI45" s="9">
        <f t="shared" si="69"/>
        <v>4.9923116698137786</v>
      </c>
      <c r="CJ45" s="9">
        <v>1</v>
      </c>
      <c r="CK45" s="9">
        <f t="shared" si="70"/>
        <v>524.19272533044682</v>
      </c>
      <c r="DH45" s="4">
        <f t="shared" si="71"/>
        <v>4</v>
      </c>
      <c r="DI45" s="4">
        <f t="shared" si="72"/>
        <v>285.75</v>
      </c>
      <c r="DJ45" s="4">
        <f t="shared" si="73"/>
        <v>1</v>
      </c>
      <c r="DL45" s="4">
        <f t="shared" si="74"/>
        <v>2.0755210712749404E-5</v>
      </c>
      <c r="DM45" s="4">
        <f t="shared" si="75"/>
        <v>9.0324733825588019</v>
      </c>
      <c r="DO45" s="4">
        <f t="shared" si="76"/>
        <v>0</v>
      </c>
      <c r="DP45" s="4">
        <f t="shared" si="77"/>
        <v>6.4517667018277161</v>
      </c>
      <c r="DQ45" s="4">
        <f t="shared" si="78"/>
        <v>8.5873792483918443</v>
      </c>
      <c r="DR45" s="38">
        <f t="shared" si="119"/>
        <v>517.5</v>
      </c>
      <c r="DS45" s="4">
        <f t="shared" si="79"/>
        <v>1</v>
      </c>
      <c r="DU45" s="4">
        <f t="shared" si="120"/>
        <v>407.33948135174728</v>
      </c>
      <c r="DY45" s="4">
        <f t="shared" si="80"/>
        <v>0.85</v>
      </c>
      <c r="DZ45" s="4">
        <f t="shared" si="81"/>
        <v>0.7</v>
      </c>
      <c r="EA45" s="4">
        <f t="shared" si="82"/>
        <v>0.73926932853865712</v>
      </c>
      <c r="EB45" s="4">
        <f t="shared" si="83"/>
        <v>0.7</v>
      </c>
      <c r="ED45" s="4">
        <f t="shared" si="121"/>
        <v>517.5</v>
      </c>
      <c r="EE45" s="25">
        <f t="shared" si="122"/>
        <v>408.72292929303057</v>
      </c>
      <c r="EH45" s="4">
        <f t="shared" si="84"/>
        <v>9.0324733825588019</v>
      </c>
      <c r="EI45" s="4">
        <f t="shared" si="85"/>
        <v>8.5989146601959785</v>
      </c>
      <c r="EK45" s="4">
        <f t="shared" si="86"/>
        <v>77.858162529590359</v>
      </c>
      <c r="EL45" s="4">
        <f t="shared" si="87"/>
        <v>3.0652819893539514</v>
      </c>
      <c r="EM45" s="4">
        <f t="shared" si="88"/>
        <v>0.13651440651779981</v>
      </c>
      <c r="EP45" s="4">
        <f t="shared" si="89"/>
        <v>0.13651440651779981</v>
      </c>
      <c r="EQ45" s="4">
        <f t="shared" si="90"/>
        <v>0.42335391356529956</v>
      </c>
      <c r="ER45" s="4">
        <f t="shared" si="91"/>
        <v>6.4045426479058536</v>
      </c>
      <c r="ES45" s="4">
        <f t="shared" si="92"/>
        <v>7.8298647207808791</v>
      </c>
      <c r="ET45" s="4">
        <f t="shared" si="93"/>
        <v>136.45433747040965</v>
      </c>
      <c r="EU45" s="4">
        <f t="shared" si="94"/>
        <v>71.4375</v>
      </c>
      <c r="EV45" s="4">
        <f t="shared" si="95"/>
        <v>2.0755210712749404E-5</v>
      </c>
      <c r="EW45" s="4">
        <f t="shared" si="96"/>
        <v>8.3333118005347053</v>
      </c>
      <c r="EX45" s="4">
        <f t="shared" si="97"/>
        <v>517.5</v>
      </c>
      <c r="EY45" s="4">
        <f t="shared" si="98"/>
        <v>136.45433747040965</v>
      </c>
      <c r="EZ45" s="4">
        <f t="shared" si="99"/>
        <v>71.437499999999986</v>
      </c>
      <c r="FB45" s="4">
        <f t="shared" si="100"/>
        <v>0</v>
      </c>
      <c r="FG45" s="23"/>
      <c r="FH45" s="23"/>
      <c r="FI45" s="23"/>
      <c r="FJ45" s="23"/>
      <c r="FK45" s="23"/>
      <c r="FL45" s="23"/>
      <c r="FM45" s="23"/>
      <c r="FN45" s="23"/>
      <c r="FX45" s="4">
        <f t="shared" si="101"/>
        <v>1</v>
      </c>
      <c r="FY45" s="4">
        <f t="shared" si="102"/>
        <v>0.68688155922038985</v>
      </c>
      <c r="FZ45" s="4">
        <f t="shared" si="103"/>
        <v>0.3</v>
      </c>
      <c r="GA45" s="4">
        <f t="shared" si="104"/>
        <v>396.26942221324936</v>
      </c>
    </row>
    <row r="46" spans="1:184" ht="12" hidden="1" customHeight="1" x14ac:dyDescent="0.3">
      <c r="A46" s="25">
        <v>28</v>
      </c>
      <c r="B46" s="26" t="s">
        <v>81</v>
      </c>
      <c r="C46" s="26"/>
      <c r="D46" s="26" t="s">
        <v>82</v>
      </c>
      <c r="E46" s="26"/>
      <c r="F46" s="7" t="s">
        <v>106</v>
      </c>
      <c r="G46" s="28">
        <f t="shared" si="105"/>
        <v>517.5</v>
      </c>
      <c r="H46" s="7">
        <f t="shared" si="128"/>
        <v>285.75</v>
      </c>
      <c r="I46" s="7">
        <f t="shared" si="123"/>
        <v>285.75</v>
      </c>
      <c r="J46" s="7">
        <v>34.659999999999997</v>
      </c>
      <c r="K46" s="7">
        <v>25.4</v>
      </c>
      <c r="L46" s="7">
        <f t="shared" si="106"/>
        <v>11.25</v>
      </c>
      <c r="M46" s="7">
        <f t="shared" si="107"/>
        <v>11.25</v>
      </c>
      <c r="N46" s="7">
        <v>229</v>
      </c>
      <c r="O46" s="7">
        <f t="shared" si="108"/>
        <v>101.8</v>
      </c>
      <c r="P46" s="7">
        <v>305</v>
      </c>
      <c r="Q46" s="7">
        <v>0</v>
      </c>
      <c r="R46" s="7">
        <v>1</v>
      </c>
      <c r="S46" s="7">
        <v>78.97</v>
      </c>
      <c r="T46" s="7">
        <f t="shared" si="42"/>
        <v>3.6090551181102364</v>
      </c>
      <c r="U46" s="28">
        <f t="shared" si="109"/>
        <v>3.6090551181102364</v>
      </c>
      <c r="V46" s="28">
        <f t="shared" si="110"/>
        <v>8.3959536742577185</v>
      </c>
      <c r="W46" s="7">
        <f t="shared" si="43"/>
        <v>8.3959536742577185</v>
      </c>
      <c r="X46" s="7">
        <f t="shared" si="44"/>
        <v>9.3959536742577185</v>
      </c>
      <c r="Y46" s="7">
        <f t="shared" si="45"/>
        <v>77.858162529590359</v>
      </c>
      <c r="Z46" s="7"/>
      <c r="AA46" s="7"/>
      <c r="AB46" s="7">
        <f>261.45/(PI()/4*K46^2)*1000</f>
        <v>515.97817436141156</v>
      </c>
      <c r="AC46" s="7"/>
      <c r="AD46" s="7"/>
      <c r="AE46" s="7">
        <v>9.5</v>
      </c>
      <c r="AF46" s="7">
        <v>5</v>
      </c>
      <c r="AG46" s="7">
        <v>64</v>
      </c>
      <c r="AH46" s="7">
        <v>5</v>
      </c>
      <c r="AI46" s="7"/>
      <c r="AJ46" s="7"/>
      <c r="AK46" s="4">
        <f t="shared" si="125"/>
        <v>285.75</v>
      </c>
      <c r="AL46" s="4">
        <f t="shared" si="111"/>
        <v>0.16213252530757466</v>
      </c>
      <c r="AM46" s="25">
        <f t="shared" si="112"/>
        <v>561.22411424012159</v>
      </c>
      <c r="AN46" s="4">
        <f t="shared" si="113"/>
        <v>0.7641609798775153</v>
      </c>
      <c r="AO46" s="4">
        <v>1.25</v>
      </c>
      <c r="AP46" s="25">
        <f t="shared" si="114"/>
        <v>5</v>
      </c>
      <c r="AQ46" s="38">
        <f t="shared" si="115"/>
        <v>434.58161081603589</v>
      </c>
      <c r="AR46" s="38">
        <f t="shared" si="116"/>
        <v>434.58161081603589</v>
      </c>
      <c r="AT46" s="38">
        <f t="shared" si="46"/>
        <v>434.58161081603555</v>
      </c>
      <c r="AU46" s="38">
        <f t="shared" si="47"/>
        <v>1.0000000000000009</v>
      </c>
      <c r="AX46" s="4">
        <f t="shared" si="48"/>
        <v>348.58861648898744</v>
      </c>
      <c r="AY46" s="4">
        <f t="shared" si="49"/>
        <v>1</v>
      </c>
      <c r="AZ46" s="38">
        <f t="shared" si="117"/>
        <v>724.91499881675827</v>
      </c>
      <c r="BA46" s="4">
        <f t="shared" si="50"/>
        <v>0.3</v>
      </c>
      <c r="BB46" s="4">
        <f t="shared" si="51"/>
        <v>54.641265634648782</v>
      </c>
      <c r="BC46" s="4">
        <f t="shared" si="52"/>
        <v>779.55626445140706</v>
      </c>
      <c r="BE46" s="36">
        <f t="shared" si="53"/>
        <v>2.2250000000000001</v>
      </c>
      <c r="BF46" s="36">
        <f t="shared" si="54"/>
        <v>523.9674226514469</v>
      </c>
      <c r="BK46" s="4">
        <f t="shared" si="55"/>
        <v>101.8</v>
      </c>
      <c r="BL46" s="4">
        <f t="shared" si="56"/>
        <v>78.97</v>
      </c>
      <c r="BM46" s="4">
        <f t="shared" si="57"/>
        <v>101.8</v>
      </c>
      <c r="BN46" s="4">
        <f t="shared" si="58"/>
        <v>91.67</v>
      </c>
      <c r="BO46" s="4">
        <f t="shared" si="59"/>
        <v>1.0289097125490694</v>
      </c>
      <c r="BP46" s="25">
        <f t="shared" si="118"/>
        <v>4</v>
      </c>
      <c r="BR46" s="4">
        <f t="shared" si="60"/>
        <v>101.8</v>
      </c>
      <c r="BV46" s="9"/>
      <c r="BX46" s="9"/>
      <c r="BY46" s="9"/>
      <c r="BZ46" s="9">
        <f t="shared" si="61"/>
        <v>101.8</v>
      </c>
      <c r="CA46" s="9">
        <f t="shared" si="62"/>
        <v>101.8</v>
      </c>
      <c r="CB46" s="9">
        <f t="shared" si="63"/>
        <v>2.001967536137395</v>
      </c>
      <c r="CC46" s="9">
        <v>20</v>
      </c>
      <c r="CD46" s="9">
        <f t="shared" si="129"/>
        <v>0.05</v>
      </c>
      <c r="CE46" s="9">
        <f t="shared" si="65"/>
        <v>0.8</v>
      </c>
      <c r="CF46" s="9">
        <f t="shared" si="66"/>
        <v>0.99524931562137331</v>
      </c>
      <c r="CG46" s="9">
        <f t="shared" si="67"/>
        <v>0.97375</v>
      </c>
      <c r="CH46" s="9">
        <f t="shared" si="68"/>
        <v>1.9969246679255115</v>
      </c>
      <c r="CI46" s="9">
        <f t="shared" si="69"/>
        <v>4.9923116698137786</v>
      </c>
      <c r="CJ46" s="9">
        <v>1</v>
      </c>
      <c r="CK46" s="9">
        <f t="shared" si="70"/>
        <v>524.19272533044682</v>
      </c>
      <c r="DH46" s="4">
        <f t="shared" si="71"/>
        <v>5</v>
      </c>
      <c r="DI46" s="4">
        <f t="shared" si="72"/>
        <v>285.75</v>
      </c>
      <c r="DJ46" s="4">
        <f t="shared" si="73"/>
        <v>1</v>
      </c>
      <c r="DL46" s="4">
        <f t="shared" si="74"/>
        <v>2.0755210712749404E-5</v>
      </c>
      <c r="DM46" s="4">
        <f t="shared" si="75"/>
        <v>9.0324733825588019</v>
      </c>
      <c r="DO46" s="4">
        <f t="shared" si="76"/>
        <v>0</v>
      </c>
      <c r="DP46" s="4">
        <f t="shared" si="77"/>
        <v>6.4517667018277161</v>
      </c>
      <c r="DQ46" s="4">
        <f t="shared" si="78"/>
        <v>8.5873792483918443</v>
      </c>
      <c r="DR46" s="38">
        <f t="shared" si="119"/>
        <v>517.5</v>
      </c>
      <c r="DS46" s="4">
        <f t="shared" si="79"/>
        <v>1</v>
      </c>
      <c r="DU46" s="4">
        <f t="shared" si="120"/>
        <v>434.58161081603555</v>
      </c>
      <c r="DY46" s="4">
        <f>IF(P46&gt;1*K46,0.85,1)</f>
        <v>0.85</v>
      </c>
      <c r="DZ46" s="4">
        <f t="shared" si="81"/>
        <v>0.7</v>
      </c>
      <c r="EA46" s="4">
        <f t="shared" si="82"/>
        <v>0.7</v>
      </c>
      <c r="EB46" s="4">
        <f t="shared" si="83"/>
        <v>0.7</v>
      </c>
      <c r="ED46" s="4">
        <f t="shared" si="121"/>
        <v>517.5</v>
      </c>
      <c r="EE46" s="25">
        <f t="shared" si="122"/>
        <v>417.38710733509936</v>
      </c>
      <c r="EH46" s="4">
        <f t="shared" si="84"/>
        <v>9.0324733825588019</v>
      </c>
      <c r="EI46" s="4">
        <f t="shared" si="85"/>
        <v>8.5989146601959785</v>
      </c>
      <c r="EK46" s="4">
        <f t="shared" si="86"/>
        <v>77.858162529590359</v>
      </c>
      <c r="EL46" s="4">
        <f t="shared" si="87"/>
        <v>3.0652819893539514</v>
      </c>
      <c r="EM46" s="4">
        <f t="shared" si="88"/>
        <v>0.14564424368398154</v>
      </c>
      <c r="EP46" s="4">
        <f t="shared" si="89"/>
        <v>0.14564424368398154</v>
      </c>
      <c r="EQ46" s="4">
        <f t="shared" si="90"/>
        <v>0.45166705935781332</v>
      </c>
      <c r="ER46" s="4">
        <f t="shared" si="91"/>
        <v>6.5725524066777705</v>
      </c>
      <c r="ES46" s="4">
        <f t="shared" si="92"/>
        <v>7.8990954935645004</v>
      </c>
      <c r="ET46" s="4">
        <f t="shared" si="93"/>
        <v>136.45433747040965</v>
      </c>
      <c r="EU46" s="4">
        <f t="shared" si="94"/>
        <v>71.4375</v>
      </c>
      <c r="EV46" s="4">
        <f t="shared" si="95"/>
        <v>2.0755210712749404E-5</v>
      </c>
      <c r="EW46" s="4">
        <f t="shared" si="96"/>
        <v>8.324976824069628</v>
      </c>
      <c r="EX46" s="4">
        <f t="shared" si="97"/>
        <v>517.5</v>
      </c>
      <c r="EY46" s="4">
        <f t="shared" si="98"/>
        <v>136.45433747040965</v>
      </c>
      <c r="EZ46" s="4">
        <f t="shared" si="99"/>
        <v>71.437499999999986</v>
      </c>
      <c r="FB46" s="4">
        <f t="shared" si="100"/>
        <v>0</v>
      </c>
      <c r="FG46" s="23"/>
      <c r="FH46" s="23"/>
      <c r="FI46" s="23"/>
      <c r="FJ46" s="23"/>
      <c r="FK46" s="23"/>
      <c r="FL46" s="23"/>
      <c r="FM46" s="23"/>
      <c r="FN46" s="23"/>
      <c r="FX46" s="4">
        <f t="shared" si="101"/>
        <v>1</v>
      </c>
      <c r="FY46" s="4">
        <f t="shared" si="102"/>
        <v>0.68688155922038985</v>
      </c>
      <c r="FZ46" s="4">
        <f t="shared" si="103"/>
        <v>0.3</v>
      </c>
      <c r="GA46" s="4">
        <f t="shared" si="104"/>
        <v>396.26942221324936</v>
      </c>
    </row>
    <row r="47" spans="1:184" ht="12" hidden="1" customHeight="1" x14ac:dyDescent="0.3">
      <c r="A47" s="25">
        <v>29</v>
      </c>
      <c r="B47" s="26" t="s">
        <v>81</v>
      </c>
      <c r="C47" s="26"/>
      <c r="D47" s="26" t="s">
        <v>82</v>
      </c>
      <c r="E47" s="26"/>
      <c r="F47" s="31" t="s">
        <v>110</v>
      </c>
      <c r="G47" s="28">
        <f t="shared" si="105"/>
        <v>517.5</v>
      </c>
      <c r="H47" s="7">
        <f t="shared" si="128"/>
        <v>285.75</v>
      </c>
      <c r="I47" s="7">
        <f t="shared" si="123"/>
        <v>285.75</v>
      </c>
      <c r="J47" s="7">
        <v>34.659999999999997</v>
      </c>
      <c r="K47" s="7">
        <v>25.4</v>
      </c>
      <c r="L47" s="7">
        <f t="shared" si="106"/>
        <v>11.25</v>
      </c>
      <c r="M47" s="7">
        <f t="shared" si="107"/>
        <v>11.25</v>
      </c>
      <c r="N47" s="7">
        <v>229</v>
      </c>
      <c r="O47" s="7">
        <f t="shared" si="108"/>
        <v>101.8</v>
      </c>
      <c r="P47" s="7">
        <v>305</v>
      </c>
      <c r="Q47" s="7">
        <v>0</v>
      </c>
      <c r="R47" s="7">
        <v>1</v>
      </c>
      <c r="S47" s="7">
        <v>78.790000000000006</v>
      </c>
      <c r="T47" s="7">
        <f t="shared" si="42"/>
        <v>3.6019685039370084</v>
      </c>
      <c r="U47" s="28">
        <f t="shared" si="109"/>
        <v>3.6019685039370084</v>
      </c>
      <c r="V47" s="28">
        <f t="shared" si="110"/>
        <v>8.3959536742577185</v>
      </c>
      <c r="W47" s="7">
        <f t="shared" si="43"/>
        <v>8.3959536742577185</v>
      </c>
      <c r="X47" s="7">
        <f t="shared" si="44"/>
        <v>9.3959536742577185</v>
      </c>
      <c r="Y47" s="7">
        <f t="shared" si="45"/>
        <v>77.858162529590359</v>
      </c>
      <c r="Z47" s="7"/>
      <c r="AA47" s="7"/>
      <c r="AB47" s="7">
        <f>263.9/(PI()/4*K47^2)*1000</f>
        <v>520.81331120281709</v>
      </c>
      <c r="AC47" s="7"/>
      <c r="AD47" s="7"/>
      <c r="AE47" s="7">
        <v>9.5</v>
      </c>
      <c r="AF47" s="7">
        <v>5</v>
      </c>
      <c r="AG47" s="7">
        <v>64</v>
      </c>
      <c r="AH47" s="7">
        <v>5</v>
      </c>
      <c r="AI47" s="7"/>
      <c r="AJ47" s="7"/>
      <c r="AK47" s="4">
        <f t="shared" si="125"/>
        <v>285.75</v>
      </c>
      <c r="AL47" s="4">
        <f t="shared" si="111"/>
        <v>0.16207643433119515</v>
      </c>
      <c r="AM47" s="25">
        <f t="shared" si="112"/>
        <v>561.22411424012159</v>
      </c>
      <c r="AN47" s="4">
        <f t="shared" si="113"/>
        <v>0.76403499562554678</v>
      </c>
      <c r="AO47" s="4">
        <v>1.25</v>
      </c>
      <c r="AP47" s="25">
        <f t="shared" si="114"/>
        <v>5</v>
      </c>
      <c r="AQ47" s="38">
        <f t="shared" si="115"/>
        <v>434.35964101816023</v>
      </c>
      <c r="AR47" s="38">
        <f t="shared" si="116"/>
        <v>434.35964101816023</v>
      </c>
      <c r="AT47" s="38">
        <f t="shared" si="46"/>
        <v>434.35964101816</v>
      </c>
      <c r="AU47" s="38">
        <f t="shared" si="47"/>
        <v>1.0000000000000004</v>
      </c>
      <c r="AX47" s="4">
        <f t="shared" si="48"/>
        <v>348.58861648898744</v>
      </c>
      <c r="AY47" s="4">
        <f t="shared" si="49"/>
        <v>1</v>
      </c>
      <c r="AZ47" s="38">
        <f t="shared" si="117"/>
        <v>723.49158112517978</v>
      </c>
      <c r="BA47" s="4">
        <f t="shared" si="50"/>
        <v>0.3</v>
      </c>
      <c r="BB47" s="4">
        <f t="shared" si="51"/>
        <v>54.641265634648782</v>
      </c>
      <c r="BC47" s="4">
        <f t="shared" si="52"/>
        <v>778.13284675982857</v>
      </c>
      <c r="BE47" s="36">
        <f t="shared" si="53"/>
        <v>2.2250000000000001</v>
      </c>
      <c r="BF47" s="36">
        <f t="shared" si="54"/>
        <v>523.9674226514469</v>
      </c>
      <c r="BK47" s="4">
        <f t="shared" si="55"/>
        <v>101.8</v>
      </c>
      <c r="BL47" s="4">
        <f t="shared" si="56"/>
        <v>78.790000000000006</v>
      </c>
      <c r="BM47" s="4">
        <f t="shared" si="57"/>
        <v>101.8</v>
      </c>
      <c r="BN47" s="4">
        <f t="shared" si="58"/>
        <v>91.490000000000009</v>
      </c>
      <c r="BO47" s="4">
        <f t="shared" si="59"/>
        <v>1.0292042137327071</v>
      </c>
      <c r="BP47" s="25">
        <f t="shared" si="118"/>
        <v>4</v>
      </c>
      <c r="BR47" s="4">
        <f t="shared" si="60"/>
        <v>101.8</v>
      </c>
      <c r="BV47" s="9"/>
      <c r="BX47" s="9"/>
      <c r="BY47" s="9"/>
      <c r="BZ47" s="9">
        <f t="shared" si="61"/>
        <v>101.8</v>
      </c>
      <c r="CA47" s="9">
        <f t="shared" si="62"/>
        <v>101.8</v>
      </c>
      <c r="CB47" s="9">
        <f t="shared" si="63"/>
        <v>2.001967536137395</v>
      </c>
      <c r="CC47" s="9">
        <v>20</v>
      </c>
      <c r="CD47" s="9">
        <f t="shared" si="129"/>
        <v>0.05</v>
      </c>
      <c r="CE47" s="9">
        <f t="shared" si="65"/>
        <v>0.8</v>
      </c>
      <c r="CF47" s="9">
        <f t="shared" si="66"/>
        <v>0.99524931562137331</v>
      </c>
      <c r="CG47" s="9">
        <f t="shared" si="67"/>
        <v>0.97375</v>
      </c>
      <c r="CH47" s="9">
        <f t="shared" si="68"/>
        <v>1.9969246679255115</v>
      </c>
      <c r="CI47" s="9">
        <f t="shared" si="69"/>
        <v>4.9923116698137786</v>
      </c>
      <c r="CJ47" s="9">
        <v>1</v>
      </c>
      <c r="CK47" s="9">
        <f t="shared" si="70"/>
        <v>524.19272533044682</v>
      </c>
      <c r="DH47" s="4">
        <f t="shared" si="71"/>
        <v>5</v>
      </c>
      <c r="DI47" s="4">
        <f t="shared" si="72"/>
        <v>285.75</v>
      </c>
      <c r="DJ47" s="4">
        <f t="shared" si="73"/>
        <v>1</v>
      </c>
      <c r="DL47" s="4">
        <f t="shared" si="74"/>
        <v>2.0755210712749404E-5</v>
      </c>
      <c r="DM47" s="4">
        <f t="shared" si="75"/>
        <v>9.0324733825588019</v>
      </c>
      <c r="DO47" s="4">
        <f t="shared" si="76"/>
        <v>0</v>
      </c>
      <c r="DP47" s="4">
        <f t="shared" si="77"/>
        <v>6.4517667018277161</v>
      </c>
      <c r="DQ47" s="4">
        <f t="shared" si="78"/>
        <v>8.5873792483918443</v>
      </c>
      <c r="DR47" s="38">
        <f t="shared" si="119"/>
        <v>520.81331120281709</v>
      </c>
      <c r="DS47" s="4">
        <f t="shared" si="79"/>
        <v>1</v>
      </c>
      <c r="DU47" s="4">
        <f t="shared" si="120"/>
        <v>434.35964101816</v>
      </c>
      <c r="DY47" s="4">
        <f t="shared" si="80"/>
        <v>0.85</v>
      </c>
      <c r="DZ47" s="4">
        <f t="shared" si="81"/>
        <v>0.7</v>
      </c>
      <c r="EA47" s="4">
        <f t="shared" si="82"/>
        <v>0.7</v>
      </c>
      <c r="EB47" s="4">
        <f t="shared" si="83"/>
        <v>0.7</v>
      </c>
      <c r="ED47" s="4">
        <f t="shared" si="121"/>
        <v>520.81331120281709</v>
      </c>
      <c r="EE47" s="25">
        <f t="shared" si="122"/>
        <v>417.31748447583271</v>
      </c>
      <c r="EH47" s="4">
        <f t="shared" si="84"/>
        <v>9.0324733825588019</v>
      </c>
      <c r="EI47" s="4">
        <f t="shared" si="85"/>
        <v>8.5989146601959785</v>
      </c>
      <c r="EK47" s="4">
        <f t="shared" si="86"/>
        <v>77.858162529590359</v>
      </c>
      <c r="EL47" s="4">
        <f t="shared" si="87"/>
        <v>3.0652819893539514</v>
      </c>
      <c r="EM47" s="4">
        <f t="shared" si="88"/>
        <v>0.14556985346007961</v>
      </c>
      <c r="EP47" s="4">
        <f t="shared" si="89"/>
        <v>0.14556985346007961</v>
      </c>
      <c r="EQ47" s="4">
        <f t="shared" si="90"/>
        <v>0.45143636288245065</v>
      </c>
      <c r="ER47" s="4">
        <f t="shared" si="91"/>
        <v>6.5712093846056652</v>
      </c>
      <c r="ES47" s="4">
        <f t="shared" si="92"/>
        <v>7.8985373382272543</v>
      </c>
      <c r="ET47" s="4">
        <f t="shared" si="93"/>
        <v>136.45433747040965</v>
      </c>
      <c r="EU47" s="4">
        <f t="shared" si="94"/>
        <v>71.4375</v>
      </c>
      <c r="EV47" s="4">
        <f t="shared" si="95"/>
        <v>2.0755210712749404E-5</v>
      </c>
      <c r="EW47" s="4">
        <f t="shared" si="96"/>
        <v>8.3250436910150292</v>
      </c>
      <c r="EX47" s="4">
        <f t="shared" si="97"/>
        <v>520.81331120281709</v>
      </c>
      <c r="EY47" s="4">
        <f t="shared" si="98"/>
        <v>136.45433747040965</v>
      </c>
      <c r="EZ47" s="4">
        <f t="shared" si="99"/>
        <v>71.437499999999986</v>
      </c>
      <c r="FB47" s="4">
        <f t="shared" si="100"/>
        <v>0</v>
      </c>
      <c r="FG47" s="23"/>
      <c r="FH47" s="23"/>
      <c r="FI47" s="23"/>
      <c r="FJ47" s="23"/>
      <c r="FK47" s="23"/>
      <c r="FL47" s="23"/>
      <c r="FM47" s="23"/>
      <c r="FN47" s="23"/>
      <c r="FX47" s="4">
        <f t="shared" si="101"/>
        <v>1</v>
      </c>
      <c r="FY47" s="4">
        <f t="shared" si="102"/>
        <v>0.68688155922038985</v>
      </c>
      <c r="FZ47" s="4">
        <f t="shared" si="103"/>
        <v>0.3</v>
      </c>
      <c r="GA47" s="4">
        <f t="shared" si="104"/>
        <v>396.26942221324936</v>
      </c>
    </row>
    <row r="48" spans="1:184" ht="12" hidden="1" customHeight="1" x14ac:dyDescent="0.3">
      <c r="A48" s="25">
        <v>30</v>
      </c>
      <c r="B48" s="26" t="s">
        <v>81</v>
      </c>
      <c r="C48" s="26"/>
      <c r="D48" s="26" t="s">
        <v>82</v>
      </c>
      <c r="E48" s="26"/>
      <c r="F48" s="7" t="s">
        <v>107</v>
      </c>
      <c r="G48" s="28">
        <f t="shared" si="105"/>
        <v>517.5</v>
      </c>
      <c r="H48" s="7">
        <f t="shared" si="128"/>
        <v>285.75</v>
      </c>
      <c r="I48" s="7">
        <f t="shared" si="123"/>
        <v>285.75</v>
      </c>
      <c r="J48" s="7">
        <v>34.659999999999997</v>
      </c>
      <c r="K48" s="7">
        <v>25.4</v>
      </c>
      <c r="L48" s="7">
        <f t="shared" si="106"/>
        <v>11.25</v>
      </c>
      <c r="M48" s="7">
        <f t="shared" si="107"/>
        <v>11.25</v>
      </c>
      <c r="N48" s="7">
        <v>229</v>
      </c>
      <c r="O48" s="7">
        <f t="shared" si="108"/>
        <v>101.8</v>
      </c>
      <c r="P48" s="7">
        <v>305</v>
      </c>
      <c r="Q48" s="7">
        <v>0</v>
      </c>
      <c r="R48" s="7">
        <v>1</v>
      </c>
      <c r="S48" s="7">
        <v>79.319999999999993</v>
      </c>
      <c r="T48" s="7">
        <f t="shared" si="42"/>
        <v>3.6228346456692915</v>
      </c>
      <c r="U48" s="28">
        <f t="shared" si="109"/>
        <v>3.6228346456692915</v>
      </c>
      <c r="V48" s="28">
        <f t="shared" si="110"/>
        <v>8.3959536742577185</v>
      </c>
      <c r="W48" s="7">
        <f t="shared" si="43"/>
        <v>8.3959536742577185</v>
      </c>
      <c r="X48" s="7">
        <f t="shared" si="44"/>
        <v>9.3959536742577185</v>
      </c>
      <c r="Y48" s="7">
        <f t="shared" si="45"/>
        <v>77.858162529590359</v>
      </c>
      <c r="Z48" s="7"/>
      <c r="AA48" s="7"/>
      <c r="AB48" s="7">
        <f>267.24/(PI()/4*K48^2)*1000</f>
        <v>527.40488550905957</v>
      </c>
      <c r="AC48" s="7"/>
      <c r="AD48" s="7"/>
      <c r="AE48" s="7">
        <v>9.5</v>
      </c>
      <c r="AF48" s="7">
        <v>5</v>
      </c>
      <c r="AG48" s="7">
        <v>64</v>
      </c>
      <c r="AH48" s="7">
        <v>5</v>
      </c>
      <c r="AI48" s="7"/>
      <c r="AJ48" s="7"/>
      <c r="AK48" s="4">
        <f t="shared" si="125"/>
        <v>285.75</v>
      </c>
      <c r="AL48" s="4">
        <f t="shared" si="111"/>
        <v>0.16224159109497918</v>
      </c>
      <c r="AM48" s="25">
        <f t="shared" si="112"/>
        <v>561.22411424012159</v>
      </c>
      <c r="AN48" s="4">
        <f t="shared" si="113"/>
        <v>0.76440594925634286</v>
      </c>
      <c r="AO48" s="4">
        <v>1.25</v>
      </c>
      <c r="AP48" s="25">
        <f t="shared" si="114"/>
        <v>5</v>
      </c>
      <c r="AQ48" s="38">
        <f t="shared" si="115"/>
        <v>435.01336067010908</v>
      </c>
      <c r="AR48" s="38">
        <f t="shared" si="116"/>
        <v>435.01336067010908</v>
      </c>
      <c r="AT48" s="38">
        <f t="shared" si="46"/>
        <v>435.01336067010885</v>
      </c>
      <c r="AU48" s="38">
        <f t="shared" si="47"/>
        <v>1.0000000000000004</v>
      </c>
      <c r="AX48" s="4">
        <f t="shared" si="48"/>
        <v>348.58861648898744</v>
      </c>
      <c r="AY48" s="4">
        <f t="shared" si="49"/>
        <v>1</v>
      </c>
      <c r="AZ48" s="38">
        <f t="shared" si="117"/>
        <v>727.68275543927234</v>
      </c>
      <c r="BA48" s="4">
        <f t="shared" si="50"/>
        <v>0.3</v>
      </c>
      <c r="BB48" s="4">
        <f t="shared" si="51"/>
        <v>54.641265634648782</v>
      </c>
      <c r="BC48" s="4">
        <f t="shared" si="52"/>
        <v>782.32402107392113</v>
      </c>
      <c r="BE48" s="36">
        <f t="shared" si="53"/>
        <v>2.2250000000000001</v>
      </c>
      <c r="BF48" s="36">
        <f t="shared" si="54"/>
        <v>523.9674226514469</v>
      </c>
      <c r="BK48" s="4">
        <f t="shared" si="55"/>
        <v>101.8</v>
      </c>
      <c r="BL48" s="4">
        <f t="shared" si="56"/>
        <v>79.319999999999993</v>
      </c>
      <c r="BM48" s="4">
        <f t="shared" si="57"/>
        <v>101.8</v>
      </c>
      <c r="BN48" s="4">
        <f t="shared" si="58"/>
        <v>92.02</v>
      </c>
      <c r="BO48" s="4">
        <f t="shared" si="59"/>
        <v>1.0283408976298538</v>
      </c>
      <c r="BP48" s="25">
        <f t="shared" si="118"/>
        <v>4</v>
      </c>
      <c r="BR48" s="4">
        <f t="shared" si="60"/>
        <v>101.8</v>
      </c>
      <c r="BV48" s="9"/>
      <c r="BX48" s="9"/>
      <c r="BY48" s="9"/>
      <c r="BZ48" s="9">
        <f t="shared" si="61"/>
        <v>101.8</v>
      </c>
      <c r="CA48" s="9">
        <f t="shared" si="62"/>
        <v>101.8</v>
      </c>
      <c r="CB48" s="9">
        <f t="shared" si="63"/>
        <v>2.001967536137395</v>
      </c>
      <c r="CC48" s="9">
        <v>20</v>
      </c>
      <c r="CD48" s="9">
        <f t="shared" si="129"/>
        <v>0.05</v>
      </c>
      <c r="CE48" s="9">
        <f t="shared" si="65"/>
        <v>0.8</v>
      </c>
      <c r="CF48" s="9">
        <f t="shared" si="66"/>
        <v>0.99524931562137331</v>
      </c>
      <c r="CG48" s="9">
        <f t="shared" si="67"/>
        <v>0.97375</v>
      </c>
      <c r="CH48" s="9">
        <f t="shared" si="68"/>
        <v>1.9969246679255115</v>
      </c>
      <c r="CI48" s="9">
        <f t="shared" si="69"/>
        <v>4.9923116698137786</v>
      </c>
      <c r="CJ48" s="9">
        <v>1</v>
      </c>
      <c r="CK48" s="9">
        <f t="shared" si="70"/>
        <v>524.19272533044682</v>
      </c>
      <c r="DH48" s="4">
        <f t="shared" si="71"/>
        <v>5</v>
      </c>
      <c r="DI48" s="4">
        <f t="shared" si="72"/>
        <v>285.75</v>
      </c>
      <c r="DJ48" s="4">
        <f t="shared" si="73"/>
        <v>1</v>
      </c>
      <c r="DL48" s="4">
        <f t="shared" si="74"/>
        <v>2.0755210712749404E-5</v>
      </c>
      <c r="DM48" s="4">
        <f t="shared" si="75"/>
        <v>9.0324733825588019</v>
      </c>
      <c r="DO48" s="4">
        <f t="shared" si="76"/>
        <v>0</v>
      </c>
      <c r="DP48" s="4">
        <f t="shared" si="77"/>
        <v>6.4517667018277161</v>
      </c>
      <c r="DQ48" s="4">
        <f t="shared" si="78"/>
        <v>8.5873792483918443</v>
      </c>
      <c r="DR48" s="38">
        <f t="shared" si="119"/>
        <v>527.40488550905957</v>
      </c>
      <c r="DS48" s="4">
        <f t="shared" si="79"/>
        <v>1</v>
      </c>
      <c r="DU48" s="4">
        <f t="shared" si="120"/>
        <v>435.01336067010885</v>
      </c>
      <c r="DY48" s="4">
        <f t="shared" si="80"/>
        <v>0.85</v>
      </c>
      <c r="DZ48" s="4">
        <f t="shared" si="81"/>
        <v>0.7</v>
      </c>
      <c r="EA48" s="4">
        <f t="shared" si="82"/>
        <v>0.7</v>
      </c>
      <c r="EB48" s="4">
        <f t="shared" si="83"/>
        <v>0.7</v>
      </c>
      <c r="ED48" s="4">
        <f t="shared" si="121"/>
        <v>527.40488550905957</v>
      </c>
      <c r="EE48" s="25">
        <f t="shared" si="122"/>
        <v>417.52248511700668</v>
      </c>
      <c r="EH48" s="4">
        <f t="shared" si="84"/>
        <v>9.0324733825588019</v>
      </c>
      <c r="EI48" s="4">
        <f t="shared" si="85"/>
        <v>8.5989146601959785</v>
      </c>
      <c r="EK48" s="4">
        <f t="shared" si="86"/>
        <v>77.858162529590359</v>
      </c>
      <c r="EL48" s="4">
        <f t="shared" si="87"/>
        <v>3.0652819893539514</v>
      </c>
      <c r="EM48" s="4">
        <f t="shared" si="88"/>
        <v>0.14578893890207673</v>
      </c>
      <c r="EP48" s="4">
        <f t="shared" si="89"/>
        <v>0.14578893890207673</v>
      </c>
      <c r="EQ48" s="4">
        <f t="shared" si="90"/>
        <v>0.45211578333074282</v>
      </c>
      <c r="ER48" s="4">
        <f t="shared" si="91"/>
        <v>6.5751635187518467</v>
      </c>
      <c r="ES48" s="4">
        <f t="shared" si="92"/>
        <v>7.9001808794428525</v>
      </c>
      <c r="ET48" s="4">
        <f t="shared" si="93"/>
        <v>136.45433747040965</v>
      </c>
      <c r="EU48" s="4">
        <f t="shared" si="94"/>
        <v>71.4375</v>
      </c>
      <c r="EV48" s="4">
        <f t="shared" si="95"/>
        <v>2.0755210712749404E-5</v>
      </c>
      <c r="EW48" s="4">
        <f t="shared" si="96"/>
        <v>8.3248468099870543</v>
      </c>
      <c r="EX48" s="4">
        <f t="shared" si="97"/>
        <v>527.40488550905957</v>
      </c>
      <c r="EY48" s="4">
        <f t="shared" si="98"/>
        <v>136.45433747040965</v>
      </c>
      <c r="EZ48" s="4">
        <f t="shared" si="99"/>
        <v>71.437499999999986</v>
      </c>
      <c r="FB48" s="4">
        <f t="shared" si="100"/>
        <v>0</v>
      </c>
      <c r="FG48" s="23"/>
      <c r="FH48" s="23"/>
      <c r="FI48" s="23"/>
      <c r="FJ48" s="23"/>
      <c r="FK48" s="23"/>
      <c r="FL48" s="23"/>
      <c r="FM48" s="23"/>
      <c r="FN48" s="23"/>
      <c r="FX48" s="4">
        <f t="shared" si="101"/>
        <v>1</v>
      </c>
      <c r="FY48" s="4">
        <f t="shared" si="102"/>
        <v>0.68688155922038985</v>
      </c>
      <c r="FZ48" s="4">
        <f t="shared" si="103"/>
        <v>0.3</v>
      </c>
      <c r="GA48" s="4">
        <f t="shared" si="104"/>
        <v>396.26942221324936</v>
      </c>
    </row>
    <row r="49" spans="1:183" ht="12" hidden="1" customHeight="1" x14ac:dyDescent="0.3">
      <c r="A49" s="25">
        <v>31</v>
      </c>
      <c r="B49" s="26" t="s">
        <v>81</v>
      </c>
      <c r="C49" s="26"/>
      <c r="D49" s="26" t="s">
        <v>82</v>
      </c>
      <c r="E49" s="26"/>
      <c r="F49" s="31" t="s">
        <v>111</v>
      </c>
      <c r="G49" s="28">
        <f t="shared" si="105"/>
        <v>517.5</v>
      </c>
      <c r="H49" s="7">
        <f t="shared" si="128"/>
        <v>285.75</v>
      </c>
      <c r="I49" s="7">
        <f t="shared" si="123"/>
        <v>285.75</v>
      </c>
      <c r="J49" s="7">
        <v>34.659999999999997</v>
      </c>
      <c r="K49" s="7">
        <v>25.4</v>
      </c>
      <c r="L49" s="7">
        <f t="shared" si="106"/>
        <v>11.25</v>
      </c>
      <c r="M49" s="7">
        <f t="shared" si="107"/>
        <v>11.25</v>
      </c>
      <c r="N49" s="7">
        <v>229</v>
      </c>
      <c r="O49" s="7">
        <f t="shared" si="108"/>
        <v>101.8</v>
      </c>
      <c r="P49" s="7">
        <v>305</v>
      </c>
      <c r="Q49" s="7">
        <v>0</v>
      </c>
      <c r="R49" s="7">
        <v>1</v>
      </c>
      <c r="S49" s="7">
        <v>49.56</v>
      </c>
      <c r="T49" s="7">
        <f t="shared" si="42"/>
        <v>2.451181102362205</v>
      </c>
      <c r="U49" s="28">
        <f t="shared" si="109"/>
        <v>2.451181102362205</v>
      </c>
      <c r="V49" s="28">
        <f t="shared" si="110"/>
        <v>8.3959536742577185</v>
      </c>
      <c r="W49" s="7">
        <f t="shared" si="43"/>
        <v>8.3959536742577185</v>
      </c>
      <c r="X49" s="7">
        <f t="shared" si="44"/>
        <v>9.3959536742577185</v>
      </c>
      <c r="Y49" s="7">
        <f t="shared" si="45"/>
        <v>77.858162529590359</v>
      </c>
      <c r="Z49" s="7"/>
      <c r="AA49" s="7"/>
      <c r="AB49" s="7">
        <f>248.64/(PI()/4*K49^2)*1000</f>
        <v>490.69731601920591</v>
      </c>
      <c r="AC49" s="7"/>
      <c r="AD49" s="7"/>
      <c r="AE49" s="7">
        <v>9.5</v>
      </c>
      <c r="AF49" s="7">
        <v>5</v>
      </c>
      <c r="AG49" s="7">
        <v>64</v>
      </c>
      <c r="AH49" s="7">
        <v>5</v>
      </c>
      <c r="AI49" s="7"/>
      <c r="AJ49" s="7"/>
      <c r="AK49" s="4">
        <f t="shared" si="125"/>
        <v>285.75</v>
      </c>
      <c r="AL49" s="4">
        <f t="shared" si="111"/>
        <v>0.15296788300023786</v>
      </c>
      <c r="AM49" s="25">
        <f t="shared" si="112"/>
        <v>561.22411424012159</v>
      </c>
      <c r="AN49" s="4">
        <f t="shared" si="113"/>
        <v>0.74357655293088354</v>
      </c>
      <c r="AO49" s="4">
        <v>1.25</v>
      </c>
      <c r="AP49" s="25">
        <f t="shared" si="114"/>
        <v>5</v>
      </c>
      <c r="AQ49" s="38">
        <f t="shared" si="115"/>
        <v>398.97187672270633</v>
      </c>
      <c r="AR49" s="38">
        <f t="shared" si="116"/>
        <v>398.97187672270633</v>
      </c>
      <c r="AT49" s="38">
        <f t="shared" si="46"/>
        <v>398.97187672270616</v>
      </c>
      <c r="AU49" s="38">
        <f t="shared" si="47"/>
        <v>1.0000000000000004</v>
      </c>
      <c r="AX49" s="4">
        <f t="shared" si="48"/>
        <v>348.58861648898744</v>
      </c>
      <c r="AY49" s="4">
        <f t="shared" si="49"/>
        <v>1</v>
      </c>
      <c r="AZ49" s="38">
        <f t="shared" si="117"/>
        <v>492.34436376493267</v>
      </c>
      <c r="BA49" s="4">
        <f t="shared" si="50"/>
        <v>0.3</v>
      </c>
      <c r="BB49" s="4">
        <f t="shared" si="51"/>
        <v>54.641265634648782</v>
      </c>
      <c r="BC49" s="4">
        <f t="shared" si="52"/>
        <v>546.9856293995814</v>
      </c>
      <c r="BE49" s="36">
        <f t="shared" si="53"/>
        <v>2.2201181102362204</v>
      </c>
      <c r="BF49" s="36">
        <f t="shared" si="54"/>
        <v>522.81778166394304</v>
      </c>
      <c r="BK49" s="4">
        <f t="shared" si="55"/>
        <v>101.8</v>
      </c>
      <c r="BL49" s="4">
        <f t="shared" si="56"/>
        <v>49.56</v>
      </c>
      <c r="BM49" s="4">
        <f t="shared" si="57"/>
        <v>101.8</v>
      </c>
      <c r="BN49" s="4">
        <f t="shared" si="58"/>
        <v>62.260000000000005</v>
      </c>
      <c r="BO49" s="4">
        <f t="shared" si="59"/>
        <v>1.1054075867635189</v>
      </c>
      <c r="BP49" s="25">
        <f t="shared" si="118"/>
        <v>4</v>
      </c>
      <c r="BR49" s="4">
        <f t="shared" si="60"/>
        <v>101.8</v>
      </c>
      <c r="BV49" s="9"/>
      <c r="BX49" s="9"/>
      <c r="BY49" s="9"/>
      <c r="BZ49" s="9">
        <f t="shared" si="61"/>
        <v>101.8</v>
      </c>
      <c r="CA49" s="9">
        <f t="shared" si="62"/>
        <v>101.8</v>
      </c>
      <c r="CB49" s="9">
        <f t="shared" si="63"/>
        <v>2.001967536137395</v>
      </c>
      <c r="CC49" s="9">
        <v>20</v>
      </c>
      <c r="CD49" s="9">
        <f t="shared" si="129"/>
        <v>0.05</v>
      </c>
      <c r="CE49" s="9">
        <f t="shared" si="65"/>
        <v>0.8</v>
      </c>
      <c r="CF49" s="9">
        <f t="shared" si="66"/>
        <v>0.99524931562137331</v>
      </c>
      <c r="CG49" s="9">
        <f t="shared" si="67"/>
        <v>0.97375</v>
      </c>
      <c r="CH49" s="9">
        <f t="shared" si="68"/>
        <v>1.9969246679255115</v>
      </c>
      <c r="CI49" s="9">
        <f t="shared" si="69"/>
        <v>4.9923116698137786</v>
      </c>
      <c r="CJ49" s="9">
        <v>1</v>
      </c>
      <c r="CK49" s="9">
        <f t="shared" si="70"/>
        <v>524.19272533044682</v>
      </c>
      <c r="DH49" s="4">
        <f t="shared" si="71"/>
        <v>5</v>
      </c>
      <c r="DI49" s="4">
        <f t="shared" si="72"/>
        <v>285.75</v>
      </c>
      <c r="DJ49" s="4">
        <f t="shared" si="73"/>
        <v>1</v>
      </c>
      <c r="DL49" s="4">
        <f t="shared" si="74"/>
        <v>2.0755210712749404E-5</v>
      </c>
      <c r="DM49" s="4">
        <f t="shared" si="75"/>
        <v>9.0324733825588019</v>
      </c>
      <c r="DO49" s="4">
        <f t="shared" si="76"/>
        <v>0</v>
      </c>
      <c r="DP49" s="4">
        <f t="shared" si="77"/>
        <v>6.4517667018277161</v>
      </c>
      <c r="DQ49" s="4">
        <f t="shared" si="78"/>
        <v>8.5873792483918443</v>
      </c>
      <c r="DR49" s="38">
        <f t="shared" si="119"/>
        <v>517.5</v>
      </c>
      <c r="DS49" s="4">
        <f t="shared" si="79"/>
        <v>1</v>
      </c>
      <c r="DU49" s="4">
        <f t="shared" si="120"/>
        <v>398.97187672270616</v>
      </c>
      <c r="DY49" s="4">
        <f t="shared" si="80"/>
        <v>0.85</v>
      </c>
      <c r="DZ49" s="4">
        <f t="shared" si="81"/>
        <v>0.7</v>
      </c>
      <c r="EA49" s="4">
        <f t="shared" si="82"/>
        <v>0.7</v>
      </c>
      <c r="EB49" s="4">
        <f t="shared" si="83"/>
        <v>0.7</v>
      </c>
      <c r="ED49" s="4">
        <f t="shared" si="121"/>
        <v>517.5</v>
      </c>
      <c r="EE49" s="25">
        <f t="shared" si="122"/>
        <v>406.01150571825815</v>
      </c>
      <c r="EH49" s="4">
        <f t="shared" si="84"/>
        <v>9.0324733825588019</v>
      </c>
      <c r="EI49" s="4">
        <f t="shared" si="85"/>
        <v>8.5989146601959785</v>
      </c>
      <c r="EK49" s="4">
        <f t="shared" si="86"/>
        <v>77.858162529590359</v>
      </c>
      <c r="EL49" s="4">
        <f t="shared" si="87"/>
        <v>3.0652819893539514</v>
      </c>
      <c r="EM49" s="4">
        <f t="shared" si="88"/>
        <v>0.1337101151780101</v>
      </c>
      <c r="EP49" s="4">
        <f t="shared" si="89"/>
        <v>0.1337101151780101</v>
      </c>
      <c r="EQ49" s="4">
        <f t="shared" si="90"/>
        <v>0.4146573390149611</v>
      </c>
      <c r="ER49" s="4">
        <f t="shared" si="91"/>
        <v>6.3515896592037286</v>
      </c>
      <c r="ES49" s="4">
        <f t="shared" si="92"/>
        <v>7.8082958220823215</v>
      </c>
      <c r="ET49" s="4">
        <f t="shared" si="93"/>
        <v>136.45433747040965</v>
      </c>
      <c r="EU49" s="4">
        <f t="shared" si="94"/>
        <v>71.4375</v>
      </c>
      <c r="EV49" s="4">
        <f t="shared" si="95"/>
        <v>2.0755210712749404E-5</v>
      </c>
      <c r="EW49" s="4">
        <f t="shared" si="96"/>
        <v>8.3359261239969022</v>
      </c>
      <c r="EX49" s="4">
        <f t="shared" si="97"/>
        <v>517.5</v>
      </c>
      <c r="EY49" s="4">
        <f t="shared" si="98"/>
        <v>136.45433747040965</v>
      </c>
      <c r="EZ49" s="4">
        <f t="shared" si="99"/>
        <v>71.437499999999986</v>
      </c>
      <c r="FB49" s="4">
        <f t="shared" si="100"/>
        <v>0</v>
      </c>
      <c r="FG49" s="23"/>
      <c r="FH49" s="23"/>
      <c r="FI49" s="23"/>
      <c r="FJ49" s="23"/>
      <c r="FK49" s="23"/>
      <c r="FL49" s="23"/>
      <c r="FM49" s="23"/>
      <c r="FN49" s="23"/>
      <c r="FX49" s="4">
        <f t="shared" si="101"/>
        <v>1</v>
      </c>
      <c r="FY49" s="4">
        <f t="shared" si="102"/>
        <v>0.68688155922038985</v>
      </c>
      <c r="FZ49" s="4">
        <f t="shared" si="103"/>
        <v>0.3</v>
      </c>
      <c r="GA49" s="4">
        <f t="shared" si="104"/>
        <v>396.26942221324936</v>
      </c>
    </row>
    <row r="50" spans="1:183" ht="12" hidden="1" customHeight="1" x14ac:dyDescent="0.3">
      <c r="A50" s="25">
        <v>32</v>
      </c>
      <c r="B50" s="26" t="s">
        <v>81</v>
      </c>
      <c r="C50" s="26"/>
      <c r="D50" s="26" t="s">
        <v>82</v>
      </c>
      <c r="E50" s="26"/>
      <c r="F50" s="7" t="s">
        <v>108</v>
      </c>
      <c r="G50" s="28">
        <f t="shared" si="105"/>
        <v>517.5</v>
      </c>
      <c r="H50" s="7">
        <f t="shared" si="128"/>
        <v>285.75</v>
      </c>
      <c r="I50" s="7">
        <f t="shared" si="123"/>
        <v>285.75</v>
      </c>
      <c r="J50" s="7">
        <v>34.659999999999997</v>
      </c>
      <c r="K50" s="7">
        <v>25.4</v>
      </c>
      <c r="L50" s="7">
        <f t="shared" si="106"/>
        <v>11.25</v>
      </c>
      <c r="M50" s="7">
        <f t="shared" si="107"/>
        <v>11.25</v>
      </c>
      <c r="N50" s="7">
        <v>229</v>
      </c>
      <c r="O50" s="7">
        <f t="shared" si="108"/>
        <v>101.8</v>
      </c>
      <c r="P50" s="7">
        <v>305</v>
      </c>
      <c r="Q50" s="7">
        <v>0</v>
      </c>
      <c r="R50" s="7">
        <v>1</v>
      </c>
      <c r="S50" s="7">
        <v>55.37</v>
      </c>
      <c r="T50" s="7">
        <f t="shared" si="42"/>
        <v>2.6799212598425197</v>
      </c>
      <c r="U50" s="28">
        <f t="shared" si="109"/>
        <v>2.6799212598425197</v>
      </c>
      <c r="V50" s="28">
        <f t="shared" si="110"/>
        <v>8.3959536742577185</v>
      </c>
      <c r="W50" s="7">
        <f t="shared" si="43"/>
        <v>8.3959536742577185</v>
      </c>
      <c r="X50" s="7">
        <f t="shared" si="44"/>
        <v>9.3959536742577185</v>
      </c>
      <c r="Y50" s="7">
        <f t="shared" si="45"/>
        <v>77.858162529590359</v>
      </c>
      <c r="Z50" s="7"/>
      <c r="AA50" s="7"/>
      <c r="AB50" s="7">
        <f>254.51/(PI()/4*K50^2)*1000</f>
        <v>502.28190918616514</v>
      </c>
      <c r="AC50" s="7"/>
      <c r="AD50" s="7"/>
      <c r="AE50" s="7">
        <v>9.5</v>
      </c>
      <c r="AF50" s="7">
        <v>5</v>
      </c>
      <c r="AG50" s="7">
        <v>64</v>
      </c>
      <c r="AH50" s="7">
        <v>5</v>
      </c>
      <c r="AI50" s="7"/>
      <c r="AJ50" s="7"/>
      <c r="AK50" s="4">
        <f t="shared" si="125"/>
        <v>285.75</v>
      </c>
      <c r="AL50" s="4">
        <f t="shared" si="111"/>
        <v>0.15477837507115344</v>
      </c>
      <c r="AM50" s="25">
        <f t="shared" si="112"/>
        <v>561.22411424012159</v>
      </c>
      <c r="AN50" s="4">
        <f t="shared" si="113"/>
        <v>0.74764304461942255</v>
      </c>
      <c r="AO50" s="4">
        <v>1.25</v>
      </c>
      <c r="AP50" s="25">
        <f t="shared" si="114"/>
        <v>5</v>
      </c>
      <c r="AQ50" s="38">
        <f t="shared" si="115"/>
        <v>405.90174731467357</v>
      </c>
      <c r="AR50" s="38">
        <f t="shared" si="116"/>
        <v>405.90174731467357</v>
      </c>
      <c r="AT50" s="38">
        <f t="shared" ref="AT50:AT92" si="130">AP50* (J50^0.5/AK50^0.5)/(PI()/4*K50^2)/R50/0.72 *(0.7+(MIN(O50,S50)+0.5*K50)/5/H50) *(N50*MIN(S50+0.5*K50+1.5*H50,508))</f>
        <v>405.90174731467334</v>
      </c>
      <c r="AU50" s="38">
        <f t="shared" si="47"/>
        <v>1.0000000000000007</v>
      </c>
      <c r="AX50" s="4">
        <f t="shared" si="48"/>
        <v>348.58861648898744</v>
      </c>
      <c r="AY50" s="4">
        <f t="shared" si="49"/>
        <v>1</v>
      </c>
      <c r="AZ50" s="38">
        <f t="shared" si="117"/>
        <v>538.28912369866623</v>
      </c>
      <c r="BA50" s="4">
        <f t="shared" si="50"/>
        <v>0.3</v>
      </c>
      <c r="BB50" s="4">
        <f t="shared" si="51"/>
        <v>54.641265634648782</v>
      </c>
      <c r="BC50" s="4">
        <f t="shared" si="52"/>
        <v>592.93038933331502</v>
      </c>
      <c r="BE50" s="36">
        <f t="shared" si="53"/>
        <v>2.2250000000000001</v>
      </c>
      <c r="BF50" s="36">
        <f t="shared" si="54"/>
        <v>523.9674226514469</v>
      </c>
      <c r="BK50" s="4">
        <f t="shared" si="55"/>
        <v>101.8</v>
      </c>
      <c r="BL50" s="4">
        <f t="shared" si="56"/>
        <v>55.37</v>
      </c>
      <c r="BM50" s="4">
        <f t="shared" si="57"/>
        <v>101.8</v>
      </c>
      <c r="BN50" s="4">
        <f t="shared" si="58"/>
        <v>68.069999999999993</v>
      </c>
      <c r="BO50" s="4">
        <f t="shared" si="59"/>
        <v>1.0838540726024923</v>
      </c>
      <c r="BP50" s="25">
        <f t="shared" si="118"/>
        <v>4</v>
      </c>
      <c r="BR50" s="4">
        <f t="shared" si="60"/>
        <v>101.8</v>
      </c>
      <c r="BV50" s="9"/>
      <c r="BX50" s="9"/>
      <c r="BY50" s="9"/>
      <c r="BZ50" s="9">
        <f t="shared" si="61"/>
        <v>101.8</v>
      </c>
      <c r="CA50" s="9">
        <f t="shared" si="62"/>
        <v>101.8</v>
      </c>
      <c r="CB50" s="9">
        <f t="shared" si="63"/>
        <v>2.001967536137395</v>
      </c>
      <c r="CC50" s="9">
        <v>20</v>
      </c>
      <c r="CD50" s="9">
        <f t="shared" si="129"/>
        <v>0.05</v>
      </c>
      <c r="CE50" s="9">
        <f t="shared" si="65"/>
        <v>0.8</v>
      </c>
      <c r="CF50" s="9">
        <f t="shared" si="66"/>
        <v>0.99524931562137331</v>
      </c>
      <c r="CG50" s="9">
        <f t="shared" si="67"/>
        <v>0.97375</v>
      </c>
      <c r="CH50" s="9">
        <f t="shared" si="68"/>
        <v>1.9969246679255115</v>
      </c>
      <c r="CI50" s="9">
        <f t="shared" si="69"/>
        <v>4.9923116698137786</v>
      </c>
      <c r="CJ50" s="9">
        <v>1</v>
      </c>
      <c r="CK50" s="9">
        <f t="shared" si="70"/>
        <v>524.19272533044682</v>
      </c>
      <c r="DH50" s="4">
        <f t="shared" si="71"/>
        <v>5</v>
      </c>
      <c r="DI50" s="4">
        <f t="shared" si="72"/>
        <v>285.75</v>
      </c>
      <c r="DJ50" s="4">
        <f t="shared" si="73"/>
        <v>1</v>
      </c>
      <c r="DL50" s="4">
        <f t="shared" si="74"/>
        <v>2.0755210712749404E-5</v>
      </c>
      <c r="DM50" s="4">
        <f t="shared" si="75"/>
        <v>9.0324733825588019</v>
      </c>
      <c r="DO50" s="4">
        <f t="shared" si="76"/>
        <v>0</v>
      </c>
      <c r="DP50" s="4">
        <f t="shared" si="77"/>
        <v>6.4517667018277161</v>
      </c>
      <c r="DQ50" s="4">
        <f t="shared" si="78"/>
        <v>8.5873792483918443</v>
      </c>
      <c r="DR50" s="38">
        <f t="shared" si="119"/>
        <v>517.5</v>
      </c>
      <c r="DS50" s="4">
        <f t="shared" si="79"/>
        <v>1</v>
      </c>
      <c r="DU50" s="4">
        <f t="shared" si="120"/>
        <v>405.90174731467334</v>
      </c>
      <c r="DY50" s="4">
        <f t="shared" si="80"/>
        <v>0.85</v>
      </c>
      <c r="DZ50" s="4">
        <f t="shared" si="81"/>
        <v>0.7</v>
      </c>
      <c r="EA50" s="4">
        <f t="shared" si="82"/>
        <v>0.7</v>
      </c>
      <c r="EB50" s="4">
        <f t="shared" si="83"/>
        <v>0.7</v>
      </c>
      <c r="ED50" s="4">
        <f t="shared" si="121"/>
        <v>517.5</v>
      </c>
      <c r="EE50" s="25">
        <f t="shared" si="122"/>
        <v>408.25877689791969</v>
      </c>
      <c r="EH50" s="4">
        <f t="shared" si="84"/>
        <v>9.0324733825588019</v>
      </c>
      <c r="EI50" s="4">
        <f t="shared" si="85"/>
        <v>8.5989146601959785</v>
      </c>
      <c r="EK50" s="4">
        <f t="shared" si="86"/>
        <v>77.858162529590359</v>
      </c>
      <c r="EL50" s="4">
        <f t="shared" si="87"/>
        <v>3.0652819893539514</v>
      </c>
      <c r="EM50" s="4">
        <f t="shared" si="88"/>
        <v>0.13603256908787462</v>
      </c>
      <c r="EP50" s="4">
        <f t="shared" si="89"/>
        <v>0.13603256908787462</v>
      </c>
      <c r="EQ50" s="4">
        <f t="shared" si="90"/>
        <v>0.42185965543632703</v>
      </c>
      <c r="ER50" s="4">
        <f t="shared" si="91"/>
        <v>6.3954909375802735</v>
      </c>
      <c r="ES50" s="4">
        <f t="shared" si="92"/>
        <v>7.8261691483847384</v>
      </c>
      <c r="ET50" s="4">
        <f t="shared" si="93"/>
        <v>136.45433747040965</v>
      </c>
      <c r="EU50" s="4">
        <f t="shared" si="94"/>
        <v>71.4375</v>
      </c>
      <c r="EV50" s="4">
        <f t="shared" si="95"/>
        <v>2.0755210712749404E-5</v>
      </c>
      <c r="EW50" s="4">
        <f t="shared" si="96"/>
        <v>8.3337591242856508</v>
      </c>
      <c r="EX50" s="4">
        <f t="shared" si="97"/>
        <v>517.5</v>
      </c>
      <c r="EY50" s="4">
        <f t="shared" si="98"/>
        <v>136.45433747040965</v>
      </c>
      <c r="EZ50" s="4">
        <f t="shared" si="99"/>
        <v>71.437499999999986</v>
      </c>
      <c r="FB50" s="4">
        <f t="shared" si="100"/>
        <v>0</v>
      </c>
      <c r="FG50" s="23"/>
      <c r="FH50" s="23"/>
      <c r="FI50" s="23"/>
      <c r="FJ50" s="23"/>
      <c r="FK50" s="23"/>
      <c r="FL50" s="23"/>
      <c r="FM50" s="23"/>
      <c r="FN50" s="23"/>
      <c r="FX50" s="4">
        <f t="shared" si="101"/>
        <v>1</v>
      </c>
      <c r="FY50" s="4">
        <f t="shared" si="102"/>
        <v>0.68688155922038985</v>
      </c>
      <c r="FZ50" s="4">
        <f t="shared" si="103"/>
        <v>0.3</v>
      </c>
      <c r="GA50" s="4">
        <f t="shared" si="104"/>
        <v>396.26942221324936</v>
      </c>
    </row>
    <row r="51" spans="1:183" ht="12" hidden="1" customHeight="1" x14ac:dyDescent="0.3">
      <c r="A51" s="25">
        <v>33</v>
      </c>
      <c r="B51" s="26" t="s">
        <v>81</v>
      </c>
      <c r="C51" s="26"/>
      <c r="D51" s="26" t="s">
        <v>82</v>
      </c>
      <c r="E51" s="26"/>
      <c r="F51" s="7" t="s">
        <v>109</v>
      </c>
      <c r="G51" s="28">
        <f t="shared" si="105"/>
        <v>517.5</v>
      </c>
      <c r="H51" s="7">
        <f t="shared" si="128"/>
        <v>285.75</v>
      </c>
      <c r="I51" s="7">
        <f t="shared" si="123"/>
        <v>285.75</v>
      </c>
      <c r="J51" s="7">
        <v>34.659999999999997</v>
      </c>
      <c r="K51" s="7">
        <v>25.4</v>
      </c>
      <c r="L51" s="7">
        <f t="shared" si="106"/>
        <v>11.25</v>
      </c>
      <c r="M51" s="7">
        <f t="shared" si="107"/>
        <v>11.25</v>
      </c>
      <c r="N51" s="7">
        <v>229</v>
      </c>
      <c r="O51" s="7">
        <f t="shared" si="108"/>
        <v>101.8</v>
      </c>
      <c r="P51" s="7">
        <v>305</v>
      </c>
      <c r="Q51" s="7">
        <v>0</v>
      </c>
      <c r="R51" s="7">
        <v>1</v>
      </c>
      <c r="S51" s="7">
        <v>51.69</v>
      </c>
      <c r="T51" s="7">
        <f t="shared" si="42"/>
        <v>2.5350393700787404</v>
      </c>
      <c r="U51" s="28">
        <f t="shared" si="109"/>
        <v>2.5350393700787404</v>
      </c>
      <c r="V51" s="28">
        <f t="shared" si="110"/>
        <v>8.3959536742577185</v>
      </c>
      <c r="W51" s="7">
        <f t="shared" si="43"/>
        <v>8.3959536742577185</v>
      </c>
      <c r="X51" s="7">
        <f t="shared" si="44"/>
        <v>9.3959536742577185</v>
      </c>
      <c r="Y51" s="7">
        <f t="shared" si="45"/>
        <v>77.858162529590359</v>
      </c>
      <c r="Z51" s="7"/>
      <c r="AA51" s="7"/>
      <c r="AB51" s="7">
        <f>265.15/(PI()/4*K51^2)*1000</f>
        <v>523.28021775455443</v>
      </c>
      <c r="AC51" s="7"/>
      <c r="AD51" s="7"/>
      <c r="AE51" s="7">
        <v>9.5</v>
      </c>
      <c r="AF51" s="7">
        <v>5</v>
      </c>
      <c r="AG51" s="7">
        <v>64</v>
      </c>
      <c r="AH51" s="7">
        <v>5</v>
      </c>
      <c r="AI51" s="7"/>
      <c r="AJ51" s="7"/>
      <c r="AK51" s="4">
        <f t="shared" si="125"/>
        <v>285.75</v>
      </c>
      <c r="AL51" s="4">
        <f t="shared" si="111"/>
        <v>0.15363162622072843</v>
      </c>
      <c r="AM51" s="25">
        <f t="shared" si="112"/>
        <v>561.22411424012159</v>
      </c>
      <c r="AN51" s="4">
        <f t="shared" si="113"/>
        <v>0.7450673665791776</v>
      </c>
      <c r="AO51" s="4">
        <v>1.25</v>
      </c>
      <c r="AP51" s="25">
        <f t="shared" si="114"/>
        <v>5</v>
      </c>
      <c r="AQ51" s="38">
        <f t="shared" si="115"/>
        <v>401.50643504965132</v>
      </c>
      <c r="AR51" s="38">
        <f t="shared" si="116"/>
        <v>401.50643504965132</v>
      </c>
      <c r="AT51" s="38">
        <f t="shared" si="130"/>
        <v>401.50643504965109</v>
      </c>
      <c r="AU51" s="38">
        <f t="shared" si="47"/>
        <v>1.0000000000000007</v>
      </c>
      <c r="AX51" s="4">
        <f t="shared" si="48"/>
        <v>348.58861648898744</v>
      </c>
      <c r="AY51" s="4">
        <f t="shared" si="49"/>
        <v>1</v>
      </c>
      <c r="AZ51" s="38">
        <f t="shared" si="117"/>
        <v>509.18813978194686</v>
      </c>
      <c r="BA51" s="4">
        <f t="shared" si="50"/>
        <v>0.3</v>
      </c>
      <c r="BB51" s="4">
        <f t="shared" si="51"/>
        <v>54.641265634648782</v>
      </c>
      <c r="BC51" s="4">
        <f t="shared" si="52"/>
        <v>563.82940541659559</v>
      </c>
      <c r="BE51" s="36">
        <f t="shared" si="53"/>
        <v>2.2250000000000001</v>
      </c>
      <c r="BF51" s="36">
        <f t="shared" si="54"/>
        <v>523.9674226514469</v>
      </c>
      <c r="BK51" s="4">
        <f t="shared" si="55"/>
        <v>101.8</v>
      </c>
      <c r="BL51" s="4">
        <f t="shared" si="56"/>
        <v>51.69</v>
      </c>
      <c r="BM51" s="4">
        <f t="shared" si="57"/>
        <v>101.8</v>
      </c>
      <c r="BN51" s="4">
        <f t="shared" si="58"/>
        <v>64.39</v>
      </c>
      <c r="BO51" s="4">
        <f t="shared" si="59"/>
        <v>1.0969433159218418</v>
      </c>
      <c r="BP51" s="25">
        <f t="shared" si="118"/>
        <v>4</v>
      </c>
      <c r="BR51" s="4">
        <f t="shared" si="60"/>
        <v>101.8</v>
      </c>
      <c r="BV51" s="9"/>
      <c r="BX51" s="9"/>
      <c r="BY51" s="9"/>
      <c r="BZ51" s="9">
        <f t="shared" si="61"/>
        <v>101.8</v>
      </c>
      <c r="CA51" s="9">
        <f t="shared" si="62"/>
        <v>101.8</v>
      </c>
      <c r="CB51" s="9">
        <f t="shared" si="63"/>
        <v>2.001967536137395</v>
      </c>
      <c r="CC51" s="9">
        <v>20</v>
      </c>
      <c r="CD51" s="9">
        <f t="shared" si="129"/>
        <v>0.05</v>
      </c>
      <c r="CE51" s="9">
        <f t="shared" si="65"/>
        <v>0.8</v>
      </c>
      <c r="CF51" s="9">
        <f t="shared" si="66"/>
        <v>0.99524931562137331</v>
      </c>
      <c r="CG51" s="9">
        <f t="shared" si="67"/>
        <v>0.97375</v>
      </c>
      <c r="CH51" s="9">
        <f t="shared" si="68"/>
        <v>1.9969246679255115</v>
      </c>
      <c r="CI51" s="9">
        <f t="shared" si="69"/>
        <v>4.9923116698137786</v>
      </c>
      <c r="CJ51" s="9">
        <v>1</v>
      </c>
      <c r="CK51" s="9">
        <f t="shared" si="70"/>
        <v>524.19272533044682</v>
      </c>
      <c r="DH51" s="4">
        <f t="shared" si="71"/>
        <v>5</v>
      </c>
      <c r="DI51" s="4">
        <f t="shared" si="72"/>
        <v>285.75</v>
      </c>
      <c r="DJ51" s="4">
        <f t="shared" si="73"/>
        <v>1</v>
      </c>
      <c r="DL51" s="4">
        <f t="shared" si="74"/>
        <v>2.0755210712749404E-5</v>
      </c>
      <c r="DM51" s="4">
        <f t="shared" si="75"/>
        <v>9.0324733825588019</v>
      </c>
      <c r="DO51" s="4">
        <f t="shared" si="76"/>
        <v>0</v>
      </c>
      <c r="DP51" s="4">
        <f t="shared" si="77"/>
        <v>6.4517667018277161</v>
      </c>
      <c r="DQ51" s="4">
        <f t="shared" si="78"/>
        <v>8.5873792483918443</v>
      </c>
      <c r="DR51" s="38">
        <f t="shared" si="119"/>
        <v>523.28021775455443</v>
      </c>
      <c r="DS51" s="4">
        <f t="shared" si="79"/>
        <v>1</v>
      </c>
      <c r="DU51" s="4">
        <f t="shared" si="120"/>
        <v>401.50643504965109</v>
      </c>
      <c r="DY51" s="4">
        <f t="shared" si="80"/>
        <v>0.85</v>
      </c>
      <c r="DZ51" s="4">
        <f t="shared" si="81"/>
        <v>0.7</v>
      </c>
      <c r="EA51" s="4">
        <f t="shared" si="82"/>
        <v>0.7</v>
      </c>
      <c r="EB51" s="4">
        <f t="shared" si="83"/>
        <v>0.7</v>
      </c>
      <c r="ED51" s="4">
        <f t="shared" si="121"/>
        <v>523.28021775455443</v>
      </c>
      <c r="EE51" s="25">
        <f t="shared" si="122"/>
        <v>406.83537621957981</v>
      </c>
      <c r="EH51" s="4">
        <f t="shared" si="84"/>
        <v>9.0324733825588019</v>
      </c>
      <c r="EI51" s="4">
        <f t="shared" si="85"/>
        <v>8.5989146601959785</v>
      </c>
      <c r="EK51" s="4">
        <f t="shared" si="86"/>
        <v>77.858162529590359</v>
      </c>
      <c r="EL51" s="4">
        <f t="shared" si="87"/>
        <v>3.0652819893539514</v>
      </c>
      <c r="EM51" s="4">
        <f t="shared" si="88"/>
        <v>0.13455953867273107</v>
      </c>
      <c r="EP51" s="4">
        <f t="shared" si="89"/>
        <v>0.13455953867273107</v>
      </c>
      <c r="EQ51" s="4">
        <f t="shared" si="90"/>
        <v>0.41729154275900004</v>
      </c>
      <c r="ER51" s="4">
        <f t="shared" si="91"/>
        <v>6.3676989623094746</v>
      </c>
      <c r="ES51" s="4">
        <f t="shared" si="92"/>
        <v>7.8148446026109291</v>
      </c>
      <c r="ET51" s="4">
        <f t="shared" si="93"/>
        <v>136.45433747040965</v>
      </c>
      <c r="EU51" s="4">
        <f t="shared" si="94"/>
        <v>71.4375</v>
      </c>
      <c r="EV51" s="4">
        <f t="shared" si="95"/>
        <v>2.0755210712749404E-5</v>
      </c>
      <c r="EW51" s="4">
        <f t="shared" si="96"/>
        <v>8.3351314478706442</v>
      </c>
      <c r="EX51" s="4">
        <f t="shared" si="97"/>
        <v>523.28021775455443</v>
      </c>
      <c r="EY51" s="4">
        <f t="shared" si="98"/>
        <v>136.45433747040965</v>
      </c>
      <c r="EZ51" s="4">
        <f t="shared" si="99"/>
        <v>71.437499999999986</v>
      </c>
      <c r="FB51" s="4">
        <f t="shared" si="100"/>
        <v>0</v>
      </c>
      <c r="FG51" s="23"/>
      <c r="FH51" s="23"/>
      <c r="FI51" s="23"/>
      <c r="FJ51" s="23"/>
      <c r="FK51" s="23"/>
      <c r="FL51" s="23"/>
      <c r="FM51" s="23"/>
      <c r="FN51" s="23"/>
      <c r="FX51" s="4">
        <f t="shared" si="101"/>
        <v>1</v>
      </c>
      <c r="FY51" s="4">
        <f t="shared" si="102"/>
        <v>0.68688155922038985</v>
      </c>
      <c r="FZ51" s="4">
        <f t="shared" si="103"/>
        <v>0.3</v>
      </c>
      <c r="GA51" s="4">
        <f t="shared" si="104"/>
        <v>396.26942221324936</v>
      </c>
    </row>
    <row r="52" spans="1:183" ht="12" hidden="1" customHeight="1" x14ac:dyDescent="0.3">
      <c r="A52" s="25">
        <v>34</v>
      </c>
      <c r="B52" s="20" t="s">
        <v>54</v>
      </c>
      <c r="C52" s="20">
        <v>2006</v>
      </c>
      <c r="D52" s="24" t="s">
        <v>55</v>
      </c>
      <c r="E52" s="24"/>
      <c r="F52" s="7" t="s">
        <v>77</v>
      </c>
      <c r="G52" s="7">
        <v>472</v>
      </c>
      <c r="H52" s="7">
        <f>10*25.4</f>
        <v>254</v>
      </c>
      <c r="I52" s="7">
        <f t="shared" ref="I52:I115" si="131">K52*M52</f>
        <v>177.79999999999998</v>
      </c>
      <c r="J52" s="7">
        <v>27</v>
      </c>
      <c r="K52" s="7">
        <v>25.4</v>
      </c>
      <c r="L52" s="7">
        <f>H52/K52</f>
        <v>10</v>
      </c>
      <c r="M52" s="7">
        <v>7</v>
      </c>
      <c r="N52" s="7">
        <f t="shared" ref="N52:N78" si="132">6*25.4</f>
        <v>152.39999999999998</v>
      </c>
      <c r="O52" s="7">
        <f t="shared" si="108"/>
        <v>63.499999999999986</v>
      </c>
      <c r="P52" s="7">
        <f t="shared" ref="P52:P103" si="133">2*25.4</f>
        <v>50.8</v>
      </c>
      <c r="Q52" s="7">
        <v>0</v>
      </c>
      <c r="R52" s="7">
        <v>1</v>
      </c>
      <c r="S52" s="7">
        <f t="shared" ref="S52:S93" si="134">4*25.4-K52/2</f>
        <v>88.899999999999991</v>
      </c>
      <c r="T52" s="7">
        <f t="shared" si="42"/>
        <v>2.9999999999999996</v>
      </c>
      <c r="U52" s="7">
        <f t="shared" ref="U52:U92" si="135">MAX(N52/2/K52, (S52+K52/2)/K52)</f>
        <v>4</v>
      </c>
      <c r="V52" s="7">
        <v>1.18</v>
      </c>
      <c r="W52" s="7">
        <f>MIN(W$16,V52)</f>
        <v>1.18</v>
      </c>
      <c r="X52" s="7">
        <f t="shared" si="44"/>
        <v>2.1799999999999997</v>
      </c>
      <c r="Y52" s="7">
        <f t="shared" si="45"/>
        <v>37.502650572992827</v>
      </c>
      <c r="Z52" s="7"/>
      <c r="AA52" s="7"/>
      <c r="AB52" s="7">
        <v>426</v>
      </c>
      <c r="AC52" s="7"/>
      <c r="AD52" s="7"/>
      <c r="AE52" s="7"/>
      <c r="AF52" s="7"/>
      <c r="AG52" s="7">
        <v>1</v>
      </c>
      <c r="AH52" s="7"/>
      <c r="AI52" s="7"/>
      <c r="AJ52" s="7"/>
      <c r="AK52" s="4">
        <f t="shared" si="125"/>
        <v>254</v>
      </c>
      <c r="AL52" s="44">
        <f>MIN(N52)*(MIN(508-S52-0.5*K52,1.5*AK52)+S52+K52/2)/(3*H52)^2</f>
        <v>0.12666666666666665</v>
      </c>
      <c r="AM52" s="25">
        <f t="shared" si="112"/>
        <v>415.1214191673746</v>
      </c>
      <c r="AN52" s="4">
        <f t="shared" si="113"/>
        <v>0.7599999999999999</v>
      </c>
      <c r="AO52" s="4">
        <v>1.25</v>
      </c>
      <c r="AP52" s="25">
        <f t="shared" si="114"/>
        <v>5</v>
      </c>
      <c r="AQ52" s="38">
        <f t="shared" si="115"/>
        <v>249.76472053237029</v>
      </c>
      <c r="AR52" s="38">
        <f t="shared" si="116"/>
        <v>249.76472053237029</v>
      </c>
      <c r="AT52" s="38">
        <f t="shared" si="130"/>
        <v>249.76472053237032</v>
      </c>
      <c r="AU52" s="38">
        <f t="shared" si="47"/>
        <v>0.99999999999999989</v>
      </c>
      <c r="AV52" s="38">
        <f t="shared" ref="AV52:AV115" si="136">AZ52/AT52</f>
        <v>0.79851409515855842</v>
      </c>
      <c r="AW52" s="4">
        <f>IF(AV52&lt;1,1,0)</f>
        <v>1</v>
      </c>
      <c r="AX52" s="4">
        <f>I52/K52*J52^0.5/0.19</f>
        <v>191.43719452077065</v>
      </c>
      <c r="AY52" s="4">
        <f t="shared" si="49"/>
        <v>1.1333333333333333</v>
      </c>
      <c r="AZ52" s="38">
        <f t="shared" si="117"/>
        <v>199.4406498184359</v>
      </c>
      <c r="BA52" s="4">
        <f t="shared" si="50"/>
        <v>0.83479999999999999</v>
      </c>
      <c r="BB52" s="4">
        <f t="shared" si="51"/>
        <v>83.501649817653302</v>
      </c>
      <c r="BC52" s="4">
        <f t="shared" si="52"/>
        <v>282.94229963608922</v>
      </c>
      <c r="BE52" s="36">
        <f t="shared" si="53"/>
        <v>1.1000000000000001</v>
      </c>
      <c r="BF52" s="36">
        <f t="shared" si="54"/>
        <v>189.7634864772462</v>
      </c>
      <c r="BK52" s="4">
        <f>IF(R52=1,O52,MIN(O52,Q52/2+6.4))</f>
        <v>63.499999999999986</v>
      </c>
      <c r="BL52" s="4">
        <f>MIN(S52,BK52)</f>
        <v>63.499999999999986</v>
      </c>
      <c r="BM52" s="4">
        <f>MAX(S52,BK52)</f>
        <v>88.899999999999991</v>
      </c>
      <c r="BN52" s="4">
        <f>BL52+K52/2</f>
        <v>76.199999999999989</v>
      </c>
      <c r="BO52" s="4">
        <f>MIN(1.25, 0.1*BM52/BL52+0.9)</f>
        <v>1.04</v>
      </c>
      <c r="BP52" s="25">
        <f t="shared" si="118"/>
        <v>3.1199999999999997</v>
      </c>
      <c r="BR52" s="4">
        <f>IF(Q52=0,O52,MIN(Q52/2,O52))</f>
        <v>63.499999999999986</v>
      </c>
      <c r="BV52" s="9"/>
      <c r="BX52" s="9"/>
      <c r="BY52" s="9"/>
      <c r="BZ52" s="9">
        <f>IF(Q52=0,MIN(O52,P52),MIN(Q52/2,O52,P52))</f>
        <v>50.8</v>
      </c>
      <c r="CA52" s="9">
        <f>MAX(Q52/2,O52)</f>
        <v>63.499999999999986</v>
      </c>
      <c r="CB52" s="9">
        <f t="shared" si="63"/>
        <v>1.4623505735569622</v>
      </c>
      <c r="CC52" s="9">
        <v>0</v>
      </c>
      <c r="CD52" s="9">
        <f t="shared" si="129"/>
        <v>0</v>
      </c>
      <c r="CE52" s="9">
        <f t="shared" si="65"/>
        <v>0</v>
      </c>
      <c r="CF52" s="9">
        <f>MIN(1,(25/K52)^0.3)</f>
        <v>0.99524931562137331</v>
      </c>
      <c r="CG52" s="9">
        <f>IF(G52&gt;=800,0.68,IF(G52&gt;=700,0.75-(G52-700)*0.07/100,IF(G52&gt;=600,0.85-(G52-600)*0.1/100,IF(G52&gt;=500,1-(G52-500)*0.15/100,1.2-(G52-400)*0.2/100))))</f>
        <v>1.056</v>
      </c>
      <c r="CH52" s="9">
        <f t="shared" si="68"/>
        <v>1.911374255891328</v>
      </c>
      <c r="CI52" s="9">
        <f t="shared" si="69"/>
        <v>2.7950992393846952</v>
      </c>
      <c r="CJ52" s="9">
        <v>1</v>
      </c>
      <c r="CK52" s="9">
        <f t="shared" si="70"/>
        <v>245.96873306585317</v>
      </c>
      <c r="CM52" s="4">
        <f t="shared" ref="CM52:CM61" si="137">AB52/AX52</f>
        <v>2.2252728946765861</v>
      </c>
      <c r="CN52" s="4">
        <f t="shared" ref="CN52:CN61" si="138">AB52/BC52</f>
        <v>1.5056073289427092</v>
      </c>
      <c r="CO52" s="4">
        <f t="shared" ref="CO52:CO61" si="139">AB52/BF52</f>
        <v>2.2448997323364419</v>
      </c>
      <c r="CP52" s="4">
        <f t="shared" ref="CP52:CP61" si="140">AB52/CK52</f>
        <v>1.7319274474042483</v>
      </c>
      <c r="CQ52" s="4">
        <f t="shared" ref="CQ52:CQ61" si="141">AB52/DR52</f>
        <v>0.97772168955200822</v>
      </c>
      <c r="CR52" s="4">
        <f t="shared" ref="CR52:CR61" si="142">AB52/ED52</f>
        <v>1.121877261169794</v>
      </c>
      <c r="CS52" s="4">
        <f t="shared" ref="CS52:CS115" si="143">AB52/GA52</f>
        <v>2.0303364325354463</v>
      </c>
      <c r="CU52" s="4">
        <f t="shared" ref="CU52:CV61" si="144">CM52</f>
        <v>2.2252728946765861</v>
      </c>
      <c r="CV52" s="4">
        <f t="shared" si="144"/>
        <v>1.5056073289427092</v>
      </c>
      <c r="CW52" s="4">
        <f t="shared" ref="CW52:CW61" si="145">CP52</f>
        <v>1.7319274474042483</v>
      </c>
      <c r="CX52" s="4">
        <f>CS52</f>
        <v>2.0303364325354463</v>
      </c>
      <c r="CY52" s="4">
        <f t="shared" ref="CY52:CZ61" si="146">CQ52</f>
        <v>0.97772168955200822</v>
      </c>
      <c r="CZ52" s="4">
        <f t="shared" si="146"/>
        <v>1.121877261169794</v>
      </c>
      <c r="DH52" s="4">
        <f>AF52</f>
        <v>0</v>
      </c>
      <c r="DI52" s="4">
        <f>H52</f>
        <v>254</v>
      </c>
      <c r="DJ52" s="4">
        <f>I52/H52</f>
        <v>0.7</v>
      </c>
      <c r="DL52" s="4">
        <f>H52/4/(1-0.3*(J52/30)^0.5)/200000/K52</f>
        <v>1.7472864382687078E-5</v>
      </c>
      <c r="DM52" s="4">
        <f>EH52</f>
        <v>6.5652823394499222</v>
      </c>
      <c r="DN52" s="4">
        <f>DU52*Y52/257/J52/V52</f>
        <v>1.1439687543003914</v>
      </c>
      <c r="DO52" s="4">
        <f t="shared" si="76"/>
        <v>6.928178566683842</v>
      </c>
      <c r="DP52" s="4">
        <f t="shared" si="77"/>
        <v>6.5652823394499222</v>
      </c>
      <c r="DQ52" s="4">
        <f t="shared" si="78"/>
        <v>6.2298363875986897</v>
      </c>
      <c r="DR52" s="38">
        <f t="shared" si="119"/>
        <v>435.70681161342861</v>
      </c>
      <c r="DS52" s="4">
        <f t="shared" si="79"/>
        <v>1.0049791856082171</v>
      </c>
      <c r="DT52" s="4">
        <f t="shared" ref="DT52:DT115" si="147">Y52/K52</f>
        <v>1.4764823060233399</v>
      </c>
      <c r="DU52" s="4">
        <f t="shared" si="120"/>
        <v>249.76472053237032</v>
      </c>
      <c r="DY52" s="4">
        <f>IF(P52&gt;1*K52,0.85,1)</f>
        <v>0.85</v>
      </c>
      <c r="DZ52" s="4">
        <f t="shared" si="81"/>
        <v>0.85000000000000009</v>
      </c>
      <c r="EA52" s="4">
        <f t="shared" si="82"/>
        <v>1</v>
      </c>
      <c r="EB52" s="4">
        <f t="shared" si="83"/>
        <v>0.85000000000000009</v>
      </c>
      <c r="ED52" s="4">
        <f t="shared" si="121"/>
        <v>379.72068313052802</v>
      </c>
      <c r="EE52" s="25">
        <f t="shared" si="122"/>
        <v>258.22019535919065</v>
      </c>
      <c r="EG52" s="4">
        <f t="shared" ref="EG52:EG92" si="148">DY52*EB52</f>
        <v>0.72250000000000003</v>
      </c>
      <c r="EH52" s="4">
        <f t="shared" si="84"/>
        <v>6.5652823394499222</v>
      </c>
      <c r="EI52" s="4">
        <f>IF(K52&lt;22.2,1.1*5*(J52/30)^0.5,IF(K52&gt;=31.8,0.9*5*(J52/30)^0.5,1*5*(J52/30)^0.5))*BP52/2.5</f>
        <v>5.9197837798352051</v>
      </c>
      <c r="EK52" s="4">
        <f>EL52*K52</f>
        <v>37.502650572992827</v>
      </c>
      <c r="EL52" s="4">
        <f>X52^0.5</f>
        <v>1.4764823060233399</v>
      </c>
      <c r="EM52" s="4">
        <f>MIN(DU52)/(4700*J52^0.5)/W52*EK52</f>
        <v>0.32503588417846324</v>
      </c>
      <c r="EN52" s="4">
        <f>DI52</f>
        <v>254</v>
      </c>
      <c r="EO52" s="4">
        <f>EK52+ET52+EU52</f>
        <v>254</v>
      </c>
      <c r="EP52" s="4">
        <f>EM52</f>
        <v>0.32503588417846324</v>
      </c>
      <c r="EQ52" s="4">
        <f>MIN(0.999, EP52/(0.3*(J52/30)^0.5))</f>
        <v>0.999</v>
      </c>
      <c r="ER52" s="4">
        <f>EH52/1*EQ52^0.4</f>
        <v>6.5626554382598101</v>
      </c>
      <c r="ES52" s="4">
        <f>EH52/1.4*(1-EQ52^1.4)/(1-EQ52)</f>
        <v>6.5639690202656151</v>
      </c>
      <c r="ET52" s="4">
        <f>MAX(0,DI52*ET$9-EK52)</f>
        <v>152.99734942700718</v>
      </c>
      <c r="EU52" s="4">
        <f>MAX(0,DI52-EK52-ET52)</f>
        <v>63.5</v>
      </c>
      <c r="EV52" s="4">
        <f t="shared" si="95"/>
        <v>1.7472864382687078E-5</v>
      </c>
      <c r="EW52" s="4">
        <f>MAX(0.5*EH52, (1-2*EV52*(EK52*ER52+ET52*ES52))/(1/EH52+EV52*EU52))</f>
        <v>6.2330044371629034</v>
      </c>
      <c r="EX52" s="4">
        <f>MIN(4/K52*(1*ER52*EK52+ES52*EY52+EZ52*EW52)+DU52,MAX(G52,AB52))</f>
        <v>433.54809517745116</v>
      </c>
      <c r="EY52" s="4">
        <f>IF(DJ52&lt;=ET$9, MAX(0,DI52*DJ52-EK52), MAX(0,DI52*ET$9-EK52))</f>
        <v>140.29734942700716</v>
      </c>
      <c r="EZ52" s="4">
        <f>MAX(0, DI52*DJ52-EY52-EK52)</f>
        <v>0</v>
      </c>
      <c r="FB52" s="4">
        <f t="shared" si="100"/>
        <v>75.457982412160277</v>
      </c>
      <c r="FG52" s="23">
        <f>IF(CM52&lt;0.6,0.6,IF(CM52&lt;0.8,0.8,IF(CM52&lt;1,1,IF(CM52&lt;1.2,1.2,IF(CM52&lt;1.4,1.4,IF(CM52&lt;1.6,1.6,IF(CM52&lt;1.8,1.8,IF(CM52&lt;2,2,2.2))))))))</f>
        <v>2.2000000000000002</v>
      </c>
      <c r="FH52" s="23">
        <f>IF(CN52&lt;0.6,0.6,IF(CN52&lt;0.8,0.8,IF(CN52&lt;1,1,IF(CN52&lt;1.2,1.2,IF(CN52&lt;1.4,1.4,IF(CN52&lt;1.6,1.6,IF(CN52&lt;1.8,1.8,IF(CN52&lt;2,2,2.2))))))))</f>
        <v>1.6</v>
      </c>
      <c r="FI52" s="23">
        <f>IF(CS52&lt;0.6,0.6,IF(CS52&lt;0.8,0.8,IF(CS52&lt;1,1,IF(CS52&lt;1.2,1.2,IF(CS52&lt;1.4,1.4,IF(CS52&lt;1.6,1.6,IF(CS52&lt;1.8,1.8,IF(CS52&lt;2,2,2.2))))))))</f>
        <v>2.2000000000000002</v>
      </c>
      <c r="FJ52" s="23">
        <f>IF(CP52&lt;0.6,0.6,IF(CP52&lt;0.8,0.8,IF(CP52&lt;1,1,IF(CP52&lt;1.2,1.2,IF(CP52&lt;1.4,1.4,IF(CP52&lt;1.6,1.6,IF(CP52&lt;1.8,1.8,IF(CP52&lt;2,2,2.2))))))))</f>
        <v>1.8</v>
      </c>
      <c r="FK52" s="23">
        <f t="shared" ref="FK52:FL61" si="149">IF(CQ52&lt;0.6,0.6,IF(CQ52&lt;0.8,0.8,IF(CQ52&lt;1,1,IF(CQ52&lt;1.2,1.2,IF(CQ52&lt;1.4,1.4,IF(CQ52&lt;1.6,1.6,IF(CQ52&lt;1.8,1.8,IF(CQ52&lt;2,2,2.2))))))))</f>
        <v>1</v>
      </c>
      <c r="FL52" s="23">
        <f t="shared" si="149"/>
        <v>1.2</v>
      </c>
      <c r="FM52" s="23">
        <f>IF(FK52&lt;1,1,0)</f>
        <v>0</v>
      </c>
      <c r="FN52" s="23"/>
      <c r="FO52"/>
      <c r="FP52" s="3" t="s">
        <v>371</v>
      </c>
      <c r="FQ52" s="1" t="s">
        <v>372</v>
      </c>
      <c r="FR52" s="1" t="s">
        <v>658</v>
      </c>
      <c r="FS52" s="1" t="s">
        <v>373</v>
      </c>
      <c r="FT52" s="1" t="s">
        <v>379</v>
      </c>
      <c r="FU52" s="1" t="s">
        <v>380</v>
      </c>
      <c r="FX52" s="4">
        <f t="shared" si="101"/>
        <v>1</v>
      </c>
      <c r="FY52" s="4">
        <f t="shared" si="102"/>
        <v>1.0833333333333333</v>
      </c>
      <c r="FZ52" s="4">
        <f t="shared" si="103"/>
        <v>0</v>
      </c>
      <c r="GA52" s="4">
        <f t="shared" si="104"/>
        <v>209.81744363815565</v>
      </c>
    </row>
    <row r="53" spans="1:183" ht="12" hidden="1" customHeight="1" x14ac:dyDescent="0.3">
      <c r="A53" s="25">
        <v>35</v>
      </c>
      <c r="B53" s="20" t="s">
        <v>54</v>
      </c>
      <c r="C53" s="20">
        <v>2006</v>
      </c>
      <c r="D53" s="24" t="s">
        <v>55</v>
      </c>
      <c r="E53" s="24"/>
      <c r="F53" s="7" t="s">
        <v>69</v>
      </c>
      <c r="G53" s="7">
        <v>472</v>
      </c>
      <c r="H53" s="7">
        <f t="shared" ref="H53:H61" si="150">10*25.4</f>
        <v>254</v>
      </c>
      <c r="I53" s="7">
        <f t="shared" si="131"/>
        <v>177.79999999999998</v>
      </c>
      <c r="J53" s="7">
        <v>27</v>
      </c>
      <c r="K53" s="7">
        <v>25.4</v>
      </c>
      <c r="L53" s="7">
        <f t="shared" ref="L53:L93" si="151">H53/K53</f>
        <v>10</v>
      </c>
      <c r="M53" s="7">
        <v>7</v>
      </c>
      <c r="N53" s="7">
        <f t="shared" si="132"/>
        <v>152.39999999999998</v>
      </c>
      <c r="O53" s="7">
        <f t="shared" si="108"/>
        <v>63.499999999999986</v>
      </c>
      <c r="P53" s="7">
        <f t="shared" si="133"/>
        <v>50.8</v>
      </c>
      <c r="Q53" s="7">
        <v>0</v>
      </c>
      <c r="R53" s="7">
        <v>1</v>
      </c>
      <c r="S53" s="7">
        <f t="shared" si="134"/>
        <v>88.899999999999991</v>
      </c>
      <c r="T53" s="7">
        <f t="shared" si="42"/>
        <v>2.9999999999999996</v>
      </c>
      <c r="U53" s="7">
        <f t="shared" si="135"/>
        <v>4</v>
      </c>
      <c r="V53" s="7">
        <v>1.85</v>
      </c>
      <c r="W53" s="7">
        <f t="shared" ref="W53:W126" si="152">MIN(W$16,V53)</f>
        <v>1.85</v>
      </c>
      <c r="X53" s="7">
        <f t="shared" si="44"/>
        <v>2.85</v>
      </c>
      <c r="Y53" s="7">
        <f t="shared" si="45"/>
        <v>42.880135260980694</v>
      </c>
      <c r="Z53" s="7"/>
      <c r="AA53" s="7"/>
      <c r="AB53" s="7">
        <v>456</v>
      </c>
      <c r="AC53" s="7"/>
      <c r="AD53" s="7"/>
      <c r="AE53" s="7"/>
      <c r="AF53" s="7"/>
      <c r="AG53" s="7">
        <v>1</v>
      </c>
      <c r="AH53" s="7"/>
      <c r="AI53" s="7"/>
      <c r="AJ53" s="7"/>
      <c r="AK53" s="4">
        <f t="shared" si="125"/>
        <v>254</v>
      </c>
      <c r="AL53" s="44">
        <f t="shared" ref="AL53:AL93" si="153">MIN(N53)*(MIN(508-S53-0.5*K53,1.5*AK53)+S53+K53/2)/(3*H53)^2</f>
        <v>0.12666666666666665</v>
      </c>
      <c r="AM53" s="25">
        <f t="shared" si="112"/>
        <v>415.1214191673746</v>
      </c>
      <c r="AN53" s="4">
        <f t="shared" si="113"/>
        <v>0.7599999999999999</v>
      </c>
      <c r="AO53" s="4">
        <v>1.25</v>
      </c>
      <c r="AP53" s="25">
        <f t="shared" si="114"/>
        <v>5</v>
      </c>
      <c r="AQ53" s="38">
        <f t="shared" si="115"/>
        <v>249.76472053237029</v>
      </c>
      <c r="AR53" s="38">
        <f t="shared" si="116"/>
        <v>249.76472053237029</v>
      </c>
      <c r="AT53" s="38">
        <f t="shared" si="130"/>
        <v>249.76472053237032</v>
      </c>
      <c r="AU53" s="38">
        <f t="shared" si="47"/>
        <v>0.99999999999999989</v>
      </c>
      <c r="AV53" s="38">
        <f t="shared" si="136"/>
        <v>0.99983295482284784</v>
      </c>
      <c r="AW53" s="4">
        <f t="shared" ref="AW53:AW103" si="154">IF(AV53&lt;1,1,0)</f>
        <v>1</v>
      </c>
      <c r="AX53" s="4">
        <f t="shared" ref="AX53:AX59" si="155">I53/K53*J53^0.5/0.19</f>
        <v>191.43719452077065</v>
      </c>
      <c r="AY53" s="4">
        <f t="shared" si="49"/>
        <v>1.1333333333333333</v>
      </c>
      <c r="AZ53" s="38">
        <f t="shared" si="117"/>
        <v>249.72299854038263</v>
      </c>
      <c r="BA53" s="4">
        <f t="shared" si="50"/>
        <v>0.74099999999999999</v>
      </c>
      <c r="BB53" s="4">
        <f t="shared" si="51"/>
        <v>74.11921719559308</v>
      </c>
      <c r="BC53" s="4">
        <f t="shared" si="52"/>
        <v>323.84221573597574</v>
      </c>
      <c r="BE53" s="36">
        <f t="shared" si="53"/>
        <v>1.1000000000000001</v>
      </c>
      <c r="BF53" s="36">
        <f t="shared" si="54"/>
        <v>189.7634864772462</v>
      </c>
      <c r="BK53" s="4">
        <f t="shared" ref="BK53:BK126" si="156">IF(R53=1,O53,MIN(O53,Q53/2+6.4))</f>
        <v>63.499999999999986</v>
      </c>
      <c r="BL53" s="4">
        <f t="shared" ref="BL53:BL126" si="157">MIN(S53,BK53)</f>
        <v>63.499999999999986</v>
      </c>
      <c r="BM53" s="4">
        <f t="shared" ref="BM53:BM126" si="158">MAX(S53,BK53)</f>
        <v>88.899999999999991</v>
      </c>
      <c r="BN53" s="4">
        <f t="shared" ref="BN53:BN126" si="159">BL53+K53/2</f>
        <v>76.199999999999989</v>
      </c>
      <c r="BO53" s="4">
        <f t="shared" ref="BO53:BO126" si="160">MIN(1.25, 0.1*BM53/BL53+0.9)</f>
        <v>1.04</v>
      </c>
      <c r="BP53" s="25">
        <f t="shared" si="118"/>
        <v>3.1199999999999997</v>
      </c>
      <c r="BR53" s="4">
        <f t="shared" ref="BR53:BR116" si="161">IF(Q53=0,O53,MIN(Q53/2,O53))</f>
        <v>63.499999999999986</v>
      </c>
      <c r="BV53" s="9"/>
      <c r="BX53" s="9"/>
      <c r="BY53" s="9"/>
      <c r="BZ53" s="9">
        <f t="shared" ref="BZ53:BZ61" si="162">IF(Q53=0,MIN(O53,P53),MIN(Q53/2,O53,P53))</f>
        <v>50.8</v>
      </c>
      <c r="CA53" s="9">
        <f t="shared" ref="CA53:CA61" si="163">MAX(Q53/2,O53)</f>
        <v>63.499999999999986</v>
      </c>
      <c r="CB53" s="9">
        <f t="shared" si="63"/>
        <v>1.4623505735569622</v>
      </c>
      <c r="CC53" s="9">
        <v>0</v>
      </c>
      <c r="CD53" s="9">
        <f t="shared" si="129"/>
        <v>0</v>
      </c>
      <c r="CE53" s="9">
        <f t="shared" si="65"/>
        <v>0</v>
      </c>
      <c r="CF53" s="9">
        <f t="shared" ref="CF53:CF61" si="164">MIN(1,(25/K53)^0.3)</f>
        <v>0.99524931562137331</v>
      </c>
      <c r="CG53" s="9">
        <f t="shared" ref="CG53:CG61" si="165">IF(G53&gt;=800,0.68,IF(G53&gt;=700,0.75-(G53-700)*0.07/100,IF(G53&gt;=600,0.85-(G53-600)*0.1/100,IF(G53&gt;=500,1-(G53-500)*0.15/100,1.2-(G53-400)*0.2/100))))</f>
        <v>1.056</v>
      </c>
      <c r="CH53" s="9">
        <f t="shared" si="68"/>
        <v>1.911374255891328</v>
      </c>
      <c r="CI53" s="9">
        <f t="shared" si="69"/>
        <v>2.7950992393846952</v>
      </c>
      <c r="CJ53" s="9">
        <v>1</v>
      </c>
      <c r="CK53" s="9">
        <f t="shared" si="70"/>
        <v>245.96873306585317</v>
      </c>
      <c r="CM53" s="4">
        <f t="shared" si="137"/>
        <v>2.3819822534566275</v>
      </c>
      <c r="CN53" s="4">
        <f t="shared" si="138"/>
        <v>1.4080931325265225</v>
      </c>
      <c r="CO53" s="4">
        <f t="shared" si="139"/>
        <v>2.4029912627826699</v>
      </c>
      <c r="CP53" s="4">
        <f t="shared" si="140"/>
        <v>1.8538941690524346</v>
      </c>
      <c r="CQ53" s="4">
        <f t="shared" si="141"/>
        <v>1.0711542892578541</v>
      </c>
      <c r="CR53" s="4">
        <f t="shared" si="142"/>
        <v>1.1998368896021039</v>
      </c>
      <c r="CS53" s="4">
        <f t="shared" si="143"/>
        <v>2.1733178714463932</v>
      </c>
      <c r="CU53" s="4">
        <f t="shared" si="144"/>
        <v>2.3819822534566275</v>
      </c>
      <c r="CV53" s="4">
        <f t="shared" si="144"/>
        <v>1.4080931325265225</v>
      </c>
      <c r="CW53" s="4">
        <f t="shared" si="145"/>
        <v>1.8538941690524346</v>
      </c>
      <c r="CX53" s="4">
        <f t="shared" ref="CX53:CX61" si="166">CS53</f>
        <v>2.1733178714463932</v>
      </c>
      <c r="CY53" s="4">
        <f t="shared" si="146"/>
        <v>1.0711542892578541</v>
      </c>
      <c r="CZ53" s="4">
        <f t="shared" si="146"/>
        <v>1.1998368896021039</v>
      </c>
      <c r="DH53" s="4">
        <f t="shared" ref="DH53:DH126" si="167">AF53</f>
        <v>0</v>
      </c>
      <c r="DI53" s="4">
        <f t="shared" ref="DI53:DI126" si="168">H53</f>
        <v>254</v>
      </c>
      <c r="DJ53" s="4">
        <f t="shared" ref="DJ53:DJ126" si="169">I53/H53</f>
        <v>0.7</v>
      </c>
      <c r="DL53" s="4">
        <f t="shared" ref="DL53:DL126" si="170">H53/4/(1-0.3*(J53/30)^0.5)/200000/K53</f>
        <v>1.7472864382687078E-5</v>
      </c>
      <c r="DM53" s="4">
        <f t="shared" ref="DM53:DM126" si="171">EH53</f>
        <v>6.5652823394499222</v>
      </c>
      <c r="DN53" s="4">
        <f t="shared" ref="DN53:DN103" si="172">DU53*Y53/257/J53/V53</f>
        <v>0.83429304789996861</v>
      </c>
      <c r="DO53" s="4">
        <f t="shared" si="76"/>
        <v>6.1063382482034685</v>
      </c>
      <c r="DP53" s="4">
        <f t="shared" si="77"/>
        <v>6.3399650157285841</v>
      </c>
      <c r="DQ53" s="4">
        <f t="shared" si="78"/>
        <v>6.2449945492245247</v>
      </c>
      <c r="DR53" s="38">
        <f t="shared" si="119"/>
        <v>425.70898009094299</v>
      </c>
      <c r="DS53" s="4">
        <f t="shared" si="79"/>
        <v>1.0001694595504687</v>
      </c>
      <c r="DT53" s="4">
        <f t="shared" si="147"/>
        <v>1.6881943016134133</v>
      </c>
      <c r="DU53" s="4">
        <f t="shared" si="120"/>
        <v>249.76472053237032</v>
      </c>
      <c r="DY53" s="4">
        <f t="shared" ref="DY53:DY61" si="173">IF(P53&gt;1*K53,0.85,1)</f>
        <v>0.85</v>
      </c>
      <c r="DZ53" s="4">
        <f t="shared" si="81"/>
        <v>0.85000000000000009</v>
      </c>
      <c r="EA53" s="4">
        <f t="shared" si="82"/>
        <v>1</v>
      </c>
      <c r="EB53" s="4">
        <f t="shared" si="83"/>
        <v>0.85000000000000009</v>
      </c>
      <c r="ED53" s="4">
        <f t="shared" si="121"/>
        <v>380.05165864771925</v>
      </c>
      <c r="EE53" s="25">
        <f t="shared" si="122"/>
        <v>258.22019535919065</v>
      </c>
      <c r="EG53" s="4">
        <f t="shared" si="148"/>
        <v>0.72250000000000003</v>
      </c>
      <c r="EH53" s="4">
        <f t="shared" si="84"/>
        <v>6.5652823394499222</v>
      </c>
      <c r="EI53" s="4">
        <f t="shared" ref="EI53:EI126" si="174">IF(K53&lt;22.2,1.1*5*(J53/30)^0.5,IF(K53&gt;=31.8,0.9*5*(J53/30)^0.5,1*5*(J53/30)^0.5))*BP53/2.5</f>
        <v>5.9197837798352051</v>
      </c>
      <c r="EK53" s="4">
        <f t="shared" ref="EK53:EK126" si="175">EL53*K53</f>
        <v>42.880135260980694</v>
      </c>
      <c r="EL53" s="4">
        <f t="shared" ref="EL53:EL126" si="176">X53^0.5</f>
        <v>1.6881943016134133</v>
      </c>
      <c r="EM53" s="4">
        <f t="shared" ref="EM53:EM126" si="177">MIN(DU53)/(4700*J53^0.5)/W53*EK53</f>
        <v>0.23704771434421898</v>
      </c>
      <c r="EP53" s="4">
        <f t="shared" ref="EP53:EP116" si="178">EM53</f>
        <v>0.23704771434421898</v>
      </c>
      <c r="EQ53" s="4">
        <f t="shared" ref="EQ53:EQ116" si="179">MIN(0.999, EP53/(0.3*(J53/30)^0.5))</f>
        <v>0.83290076829411031</v>
      </c>
      <c r="ER53" s="4">
        <f t="shared" ref="ER53:ER126" si="180">EH53/1*EQ53^0.4</f>
        <v>6.102260069503922</v>
      </c>
      <c r="ES53" s="4">
        <f t="shared" ref="ES53:ES61" si="181">EH53/1.4*(1-EQ53^1.4)/(1-EQ53)</f>
        <v>6.3380014382255325</v>
      </c>
      <c r="ET53" s="4">
        <f t="shared" ref="ET53:ET126" si="182">MAX(0,DI53*ET$9-EK53)</f>
        <v>147.61986473901931</v>
      </c>
      <c r="EU53" s="4">
        <f t="shared" ref="EU53:EU126" si="183">MAX(0,DI53-EK53-ET53)</f>
        <v>63.5</v>
      </c>
      <c r="EV53" s="4">
        <f t="shared" si="95"/>
        <v>1.7472864382687078E-5</v>
      </c>
      <c r="EW53" s="4">
        <f t="shared" ref="EW53:EW61" si="184">MAX(0.5*EH53, (1-2*EV53*(EK53*ER53+ET53*ES53))/(1/EH53+EV53*EU53))</f>
        <v>6.2451004018517979</v>
      </c>
      <c r="EX53" s="4">
        <f t="shared" ref="EX53:EX126" si="185">MIN(4/K53*(1*ER53*EK53+ES53*EY53+EZ53*EW53)+DU53,MAX(G53,AB53))</f>
        <v>425.63685186136371</v>
      </c>
      <c r="EY53" s="4">
        <f t="shared" ref="EY53:EY126" si="186">IF(DJ53&lt;=ET$9, MAX(0,DI53*DJ53-EK53), MAX(0,DI53*ET$9-EK53))</f>
        <v>134.91986473901929</v>
      </c>
      <c r="EZ53" s="4">
        <f t="shared" ref="EZ53:EZ126" si="187">MAX(0, DI53*DJ53-EY53-EK53)</f>
        <v>0</v>
      </c>
      <c r="FB53" s="4">
        <f t="shared" si="100"/>
        <v>75.127006894969043</v>
      </c>
      <c r="FG53" s="23">
        <f t="shared" ref="FG53:FH61" si="188">IF(CM53&lt;0.6,0.6,IF(CM53&lt;0.8,0.8,IF(CM53&lt;1,1,IF(CM53&lt;1.2,1.2,IF(CM53&lt;1.4,1.4,IF(CM53&lt;1.6,1.6,IF(CM53&lt;1.8,1.8,IF(CM53&lt;2,2,2.2))))))))</f>
        <v>2.2000000000000002</v>
      </c>
      <c r="FH53" s="23">
        <f t="shared" si="188"/>
        <v>1.6</v>
      </c>
      <c r="FI53" s="23">
        <f t="shared" ref="FI53:FI61" si="189">IF(CS53&lt;0.6,0.6,IF(CS53&lt;0.8,0.8,IF(CS53&lt;1,1,IF(CS53&lt;1.2,1.2,IF(CS53&lt;1.4,1.4,IF(CS53&lt;1.6,1.6,IF(CS53&lt;1.8,1.8,IF(CS53&lt;2,2,2.2))))))))</f>
        <v>2.2000000000000002</v>
      </c>
      <c r="FJ53" s="23">
        <f t="shared" ref="FJ53:FJ61" si="190">IF(CP53&lt;0.6,0.6,IF(CP53&lt;0.8,0.8,IF(CP53&lt;1,1,IF(CP53&lt;1.2,1.2,IF(CP53&lt;1.4,1.4,IF(CP53&lt;1.6,1.6,IF(CP53&lt;1.8,1.8,IF(CP53&lt;2,2,2.2))))))))</f>
        <v>2</v>
      </c>
      <c r="FK53" s="23">
        <f t="shared" si="149"/>
        <v>1.2</v>
      </c>
      <c r="FL53" s="23">
        <f t="shared" si="149"/>
        <v>1.2</v>
      </c>
      <c r="FM53" s="23">
        <f t="shared" ref="FM53:FM61" si="191">IF(FK53&lt;1,1,0)</f>
        <v>0</v>
      </c>
      <c r="FN53" s="23"/>
      <c r="FO53" s="1" t="s">
        <v>42</v>
      </c>
      <c r="FP53">
        <f t="shared" ref="FP53:FU53" si="192">COUNTIF(FG19:FG570,0.6)</f>
        <v>12</v>
      </c>
      <c r="FQ53">
        <f t="shared" si="192"/>
        <v>67</v>
      </c>
      <c r="FR53">
        <f t="shared" si="192"/>
        <v>0</v>
      </c>
      <c r="FS53">
        <f t="shared" si="192"/>
        <v>0</v>
      </c>
      <c r="FT53">
        <f t="shared" si="192"/>
        <v>2</v>
      </c>
      <c r="FU53">
        <f t="shared" si="192"/>
        <v>1</v>
      </c>
      <c r="FX53" s="4">
        <f t="shared" si="101"/>
        <v>1</v>
      </c>
      <c r="FY53" s="4">
        <f t="shared" si="102"/>
        <v>1.0833333333333333</v>
      </c>
      <c r="FZ53" s="4">
        <f t="shared" si="103"/>
        <v>0</v>
      </c>
      <c r="GA53" s="4">
        <f t="shared" si="104"/>
        <v>209.81744363815565</v>
      </c>
    </row>
    <row r="54" spans="1:183" ht="12" hidden="1" customHeight="1" x14ac:dyDescent="0.3">
      <c r="A54" s="25">
        <v>36</v>
      </c>
      <c r="B54" s="20" t="s">
        <v>54</v>
      </c>
      <c r="C54" s="20">
        <v>2006</v>
      </c>
      <c r="D54" s="24" t="s">
        <v>55</v>
      </c>
      <c r="E54" s="24"/>
      <c r="F54" s="7" t="s">
        <v>67</v>
      </c>
      <c r="G54" s="7">
        <v>472</v>
      </c>
      <c r="H54" s="7">
        <f t="shared" si="150"/>
        <v>254</v>
      </c>
      <c r="I54" s="7">
        <f t="shared" si="131"/>
        <v>177.79999999999998</v>
      </c>
      <c r="J54" s="7">
        <v>27</v>
      </c>
      <c r="K54" s="7">
        <v>25.4</v>
      </c>
      <c r="L54" s="7">
        <f t="shared" si="151"/>
        <v>10</v>
      </c>
      <c r="M54" s="7">
        <v>7</v>
      </c>
      <c r="N54" s="7">
        <f t="shared" si="132"/>
        <v>152.39999999999998</v>
      </c>
      <c r="O54" s="7">
        <f t="shared" si="108"/>
        <v>63.499999999999986</v>
      </c>
      <c r="P54" s="7">
        <f t="shared" si="133"/>
        <v>50.8</v>
      </c>
      <c r="Q54" s="7">
        <v>0</v>
      </c>
      <c r="R54" s="7">
        <v>1</v>
      </c>
      <c r="S54" s="7">
        <f t="shared" si="134"/>
        <v>88.899999999999991</v>
      </c>
      <c r="T54" s="7">
        <f t="shared" si="42"/>
        <v>2.9999999999999996</v>
      </c>
      <c r="U54" s="7">
        <f t="shared" si="135"/>
        <v>4</v>
      </c>
      <c r="V54" s="7">
        <v>2.8</v>
      </c>
      <c r="W54" s="7">
        <f t="shared" si="152"/>
        <v>2.8</v>
      </c>
      <c r="X54" s="7">
        <f t="shared" si="44"/>
        <v>3.8</v>
      </c>
      <c r="Y54" s="7">
        <f t="shared" si="45"/>
        <v>49.513715271629529</v>
      </c>
      <c r="Z54" s="7"/>
      <c r="AA54" s="7"/>
      <c r="AB54" s="7">
        <v>471</v>
      </c>
      <c r="AC54" s="7"/>
      <c r="AD54" s="7"/>
      <c r="AE54" s="7"/>
      <c r="AF54" s="7"/>
      <c r="AG54" s="7">
        <v>1</v>
      </c>
      <c r="AH54" s="7"/>
      <c r="AI54" s="7"/>
      <c r="AJ54" s="7"/>
      <c r="AK54" s="4">
        <f t="shared" si="125"/>
        <v>254</v>
      </c>
      <c r="AL54" s="44">
        <f t="shared" si="153"/>
        <v>0.12666666666666665</v>
      </c>
      <c r="AM54" s="25">
        <f t="shared" si="112"/>
        <v>415.1214191673746</v>
      </c>
      <c r="AN54" s="4">
        <f t="shared" si="113"/>
        <v>0.7599999999999999</v>
      </c>
      <c r="AO54" s="4">
        <v>1.25</v>
      </c>
      <c r="AP54" s="25">
        <f t="shared" si="114"/>
        <v>5</v>
      </c>
      <c r="AQ54" s="38">
        <f t="shared" si="115"/>
        <v>249.76472053237029</v>
      </c>
      <c r="AR54" s="38">
        <f t="shared" si="116"/>
        <v>249.76472053237029</v>
      </c>
      <c r="AT54" s="38">
        <f t="shared" si="130"/>
        <v>249.76472053237032</v>
      </c>
      <c r="AU54" s="38">
        <f t="shared" si="47"/>
        <v>0.99999999999999989</v>
      </c>
      <c r="AV54" s="38">
        <f t="shared" si="136"/>
        <v>1.2300438632344617</v>
      </c>
      <c r="AW54" s="4">
        <f t="shared" si="154"/>
        <v>0</v>
      </c>
      <c r="AX54" s="4">
        <f t="shared" si="155"/>
        <v>191.43719452077065</v>
      </c>
      <c r="AY54" s="4">
        <f t="shared" si="49"/>
        <v>1.1333333333333333</v>
      </c>
      <c r="AZ54" s="38">
        <f t="shared" si="117"/>
        <v>307.22156174331246</v>
      </c>
      <c r="BA54" s="4">
        <f t="shared" si="50"/>
        <v>0.6080000000000001</v>
      </c>
      <c r="BB54" s="4">
        <f t="shared" si="51"/>
        <v>60.815767955358432</v>
      </c>
      <c r="BC54" s="4">
        <f t="shared" si="52"/>
        <v>368.03732969867087</v>
      </c>
      <c r="BE54" s="36">
        <f t="shared" si="53"/>
        <v>1.1000000000000001</v>
      </c>
      <c r="BF54" s="36">
        <f t="shared" si="54"/>
        <v>189.7634864772462</v>
      </c>
      <c r="BK54" s="4">
        <f t="shared" si="156"/>
        <v>63.499999999999986</v>
      </c>
      <c r="BL54" s="4">
        <f t="shared" si="157"/>
        <v>63.499999999999986</v>
      </c>
      <c r="BM54" s="4">
        <f t="shared" si="158"/>
        <v>88.899999999999991</v>
      </c>
      <c r="BN54" s="4">
        <f t="shared" si="159"/>
        <v>76.199999999999989</v>
      </c>
      <c r="BO54" s="4">
        <f t="shared" si="160"/>
        <v>1.04</v>
      </c>
      <c r="BP54" s="25">
        <f t="shared" si="118"/>
        <v>3.1199999999999997</v>
      </c>
      <c r="BR54" s="4">
        <f t="shared" si="161"/>
        <v>63.499999999999986</v>
      </c>
      <c r="BV54" s="9"/>
      <c r="BX54" s="9"/>
      <c r="BY54" s="9"/>
      <c r="BZ54" s="9">
        <f t="shared" si="162"/>
        <v>50.8</v>
      </c>
      <c r="CA54" s="9">
        <f t="shared" si="163"/>
        <v>63.499999999999986</v>
      </c>
      <c r="CB54" s="9">
        <f t="shared" si="63"/>
        <v>1.4623505735569622</v>
      </c>
      <c r="CC54" s="9">
        <v>0</v>
      </c>
      <c r="CD54" s="9">
        <f t="shared" si="129"/>
        <v>0</v>
      </c>
      <c r="CE54" s="9">
        <f t="shared" si="65"/>
        <v>0</v>
      </c>
      <c r="CF54" s="9">
        <f t="shared" si="164"/>
        <v>0.99524931562137331</v>
      </c>
      <c r="CG54" s="9">
        <f t="shared" si="165"/>
        <v>1.056</v>
      </c>
      <c r="CH54" s="9">
        <f t="shared" si="68"/>
        <v>1.911374255891328</v>
      </c>
      <c r="CI54" s="9">
        <f t="shared" si="69"/>
        <v>2.7950992393846952</v>
      </c>
      <c r="CJ54" s="9">
        <v>1</v>
      </c>
      <c r="CK54" s="9">
        <f t="shared" si="70"/>
        <v>245.96873306585317</v>
      </c>
      <c r="CM54" s="4">
        <f t="shared" si="137"/>
        <v>2.4603369328466482</v>
      </c>
      <c r="CN54" s="4">
        <f t="shared" si="138"/>
        <v>1.2797614861123718</v>
      </c>
      <c r="CO54" s="4">
        <f t="shared" si="139"/>
        <v>2.4820370280057844</v>
      </c>
      <c r="CP54" s="4">
        <f t="shared" si="140"/>
        <v>1.9148775298765279</v>
      </c>
      <c r="CQ54" s="4">
        <f t="shared" si="141"/>
        <v>1.1358656375632361</v>
      </c>
      <c r="CR54" s="4">
        <f t="shared" si="142"/>
        <v>1.2379464417646227</v>
      </c>
      <c r="CS54" s="4">
        <f t="shared" si="143"/>
        <v>2.2448085909018665</v>
      </c>
      <c r="CU54" s="4">
        <f t="shared" si="144"/>
        <v>2.4603369328466482</v>
      </c>
      <c r="CV54" s="4">
        <f t="shared" si="144"/>
        <v>1.2797614861123718</v>
      </c>
      <c r="CW54" s="4">
        <f t="shared" si="145"/>
        <v>1.9148775298765279</v>
      </c>
      <c r="CX54" s="4">
        <f t="shared" si="166"/>
        <v>2.2448085909018665</v>
      </c>
      <c r="CY54" s="4">
        <f t="shared" si="146"/>
        <v>1.1358656375632361</v>
      </c>
      <c r="CZ54" s="4">
        <f t="shared" si="146"/>
        <v>1.2379464417646227</v>
      </c>
      <c r="DH54" s="4">
        <f t="shared" si="167"/>
        <v>0</v>
      </c>
      <c r="DI54" s="4">
        <f t="shared" si="168"/>
        <v>254</v>
      </c>
      <c r="DJ54" s="4">
        <f t="shared" si="169"/>
        <v>0.7</v>
      </c>
      <c r="DL54" s="4">
        <f t="shared" si="170"/>
        <v>1.7472864382687078E-5</v>
      </c>
      <c r="DM54" s="4">
        <f t="shared" si="171"/>
        <v>6.5652823394499222</v>
      </c>
      <c r="DN54" s="4">
        <f t="shared" si="172"/>
        <v>0.63650481014853455</v>
      </c>
      <c r="DO54" s="4">
        <f t="shared" si="76"/>
        <v>5.4799182998901728</v>
      </c>
      <c r="DP54" s="4">
        <f t="shared" si="77"/>
        <v>6.0470204445706219</v>
      </c>
      <c r="DQ54" s="4">
        <f t="shared" si="78"/>
        <v>6.2618192677258611</v>
      </c>
      <c r="DR54" s="38">
        <f t="shared" si="119"/>
        <v>414.66172091483702</v>
      </c>
      <c r="DS54" s="4">
        <f t="shared" si="79"/>
        <v>1.0001553245307295</v>
      </c>
      <c r="DT54" s="4">
        <f t="shared" si="147"/>
        <v>1.9493588689617927</v>
      </c>
      <c r="DU54" s="4">
        <f t="shared" si="120"/>
        <v>249.76472053237032</v>
      </c>
      <c r="DY54" s="4">
        <f t="shared" si="173"/>
        <v>0.85</v>
      </c>
      <c r="DZ54" s="4">
        <f t="shared" si="81"/>
        <v>0.85000000000000009</v>
      </c>
      <c r="EA54" s="4">
        <f t="shared" si="82"/>
        <v>1</v>
      </c>
      <c r="EB54" s="4">
        <f t="shared" si="83"/>
        <v>0.85000000000000009</v>
      </c>
      <c r="ED54" s="4">
        <f t="shared" si="121"/>
        <v>380.46880229213804</v>
      </c>
      <c r="EE54" s="25">
        <f t="shared" si="122"/>
        <v>258.22019535919065</v>
      </c>
      <c r="EG54" s="4">
        <f t="shared" si="148"/>
        <v>0.72250000000000003</v>
      </c>
      <c r="EH54" s="4">
        <f t="shared" si="84"/>
        <v>6.5652823394499222</v>
      </c>
      <c r="EI54" s="4">
        <f t="shared" si="174"/>
        <v>5.9197837798352051</v>
      </c>
      <c r="EK54" s="4">
        <f t="shared" si="175"/>
        <v>49.513715271629529</v>
      </c>
      <c r="EL54" s="4">
        <f t="shared" si="176"/>
        <v>1.9493588689617927</v>
      </c>
      <c r="EM54" s="4">
        <f t="shared" si="177"/>
        <v>0.18085013508694833</v>
      </c>
      <c r="EP54" s="4">
        <f t="shared" si="178"/>
        <v>0.18085013508694833</v>
      </c>
      <c r="EQ54" s="4">
        <f t="shared" si="179"/>
        <v>0.63544260224876703</v>
      </c>
      <c r="ER54" s="4">
        <f t="shared" si="180"/>
        <v>5.4762584819800804</v>
      </c>
      <c r="ES54" s="4">
        <f t="shared" si="181"/>
        <v>6.0453627528027827</v>
      </c>
      <c r="ET54" s="4">
        <f t="shared" si="182"/>
        <v>140.98628472837046</v>
      </c>
      <c r="EU54" s="4">
        <f t="shared" si="183"/>
        <v>63.5</v>
      </c>
      <c r="EV54" s="4">
        <f t="shared" si="95"/>
        <v>1.7472864382687078E-5</v>
      </c>
      <c r="EW54" s="4">
        <f t="shared" si="184"/>
        <v>6.2619137744944693</v>
      </c>
      <c r="EX54" s="4">
        <f t="shared" si="185"/>
        <v>414.59732378007914</v>
      </c>
      <c r="EY54" s="4">
        <f t="shared" si="186"/>
        <v>128.28628472837045</v>
      </c>
      <c r="EZ54" s="4">
        <f t="shared" si="187"/>
        <v>7.1054273576010019E-15</v>
      </c>
      <c r="FB54" s="4">
        <f t="shared" si="100"/>
        <v>74.709863250550256</v>
      </c>
      <c r="FG54" s="23">
        <f t="shared" si="188"/>
        <v>2.2000000000000002</v>
      </c>
      <c r="FH54" s="23">
        <f t="shared" si="188"/>
        <v>1.4</v>
      </c>
      <c r="FI54" s="23">
        <f t="shared" si="189"/>
        <v>2.2000000000000002</v>
      </c>
      <c r="FJ54" s="23">
        <f t="shared" si="190"/>
        <v>2</v>
      </c>
      <c r="FK54" s="23">
        <f t="shared" si="149"/>
        <v>1.2</v>
      </c>
      <c r="FL54" s="23">
        <f t="shared" si="149"/>
        <v>1.4</v>
      </c>
      <c r="FM54" s="23">
        <f t="shared" si="191"/>
        <v>0</v>
      </c>
      <c r="FN54" s="23"/>
      <c r="FO54" s="1" t="s">
        <v>43</v>
      </c>
      <c r="FP54">
        <f t="shared" ref="FP54:FU54" si="193">COUNTIF(FG19:FG570,0.8)</f>
        <v>14</v>
      </c>
      <c r="FQ54">
        <f t="shared" si="193"/>
        <v>64</v>
      </c>
      <c r="FR54">
        <f t="shared" si="193"/>
        <v>12</v>
      </c>
      <c r="FS54">
        <f t="shared" si="193"/>
        <v>0</v>
      </c>
      <c r="FT54">
        <f t="shared" si="193"/>
        <v>43</v>
      </c>
      <c r="FU54">
        <f t="shared" si="193"/>
        <v>40</v>
      </c>
      <c r="FX54" s="4">
        <f t="shared" si="101"/>
        <v>1</v>
      </c>
      <c r="FY54" s="4">
        <f t="shared" si="102"/>
        <v>1.0833333333333333</v>
      </c>
      <c r="FZ54" s="4">
        <f t="shared" si="103"/>
        <v>0</v>
      </c>
      <c r="GA54" s="4">
        <f t="shared" si="104"/>
        <v>209.81744363815565</v>
      </c>
    </row>
    <row r="55" spans="1:183" ht="12" hidden="1" customHeight="1" x14ac:dyDescent="0.3">
      <c r="A55" s="25">
        <v>37</v>
      </c>
      <c r="B55" s="20" t="s">
        <v>54</v>
      </c>
      <c r="C55" s="20">
        <v>2006</v>
      </c>
      <c r="D55" s="24" t="s">
        <v>55</v>
      </c>
      <c r="E55" s="24"/>
      <c r="F55" s="7" t="s">
        <v>277</v>
      </c>
      <c r="G55" s="7">
        <v>472</v>
      </c>
      <c r="H55" s="7">
        <f t="shared" si="150"/>
        <v>254</v>
      </c>
      <c r="I55" s="7">
        <f t="shared" si="131"/>
        <v>177.79999999999998</v>
      </c>
      <c r="J55" s="7">
        <v>27</v>
      </c>
      <c r="K55" s="7">
        <v>25.4</v>
      </c>
      <c r="L55" s="7">
        <f t="shared" si="151"/>
        <v>10</v>
      </c>
      <c r="M55" s="7">
        <v>7</v>
      </c>
      <c r="N55" s="7">
        <f t="shared" si="132"/>
        <v>152.39999999999998</v>
      </c>
      <c r="O55" s="7">
        <f t="shared" si="108"/>
        <v>63.499999999999986</v>
      </c>
      <c r="P55" s="7">
        <f t="shared" si="133"/>
        <v>50.8</v>
      </c>
      <c r="Q55" s="7">
        <v>0</v>
      </c>
      <c r="R55" s="7">
        <v>1</v>
      </c>
      <c r="S55" s="7">
        <f t="shared" si="134"/>
        <v>88.899999999999991</v>
      </c>
      <c r="T55" s="7">
        <f t="shared" si="42"/>
        <v>2.9999999999999996</v>
      </c>
      <c r="U55" s="7">
        <f t="shared" si="135"/>
        <v>4</v>
      </c>
      <c r="V55" s="7">
        <v>2.8</v>
      </c>
      <c r="W55" s="7">
        <f t="shared" si="152"/>
        <v>2.8</v>
      </c>
      <c r="X55" s="7">
        <f t="shared" si="44"/>
        <v>3.8</v>
      </c>
      <c r="Y55" s="7">
        <f t="shared" si="45"/>
        <v>49.513715271629529</v>
      </c>
      <c r="Z55" s="7"/>
      <c r="AA55" s="7"/>
      <c r="AB55" s="7">
        <v>451</v>
      </c>
      <c r="AC55" s="7"/>
      <c r="AD55" s="7"/>
      <c r="AE55" s="7"/>
      <c r="AF55" s="7"/>
      <c r="AG55" s="7">
        <v>1</v>
      </c>
      <c r="AH55" s="7"/>
      <c r="AI55" s="7"/>
      <c r="AJ55" s="7"/>
      <c r="AK55" s="4">
        <f t="shared" si="125"/>
        <v>254</v>
      </c>
      <c r="AL55" s="44">
        <f t="shared" si="153"/>
        <v>0.12666666666666665</v>
      </c>
      <c r="AM55" s="25">
        <f t="shared" si="112"/>
        <v>415.1214191673746</v>
      </c>
      <c r="AN55" s="4">
        <f t="shared" si="113"/>
        <v>0.7599999999999999</v>
      </c>
      <c r="AO55" s="4">
        <v>1.25</v>
      </c>
      <c r="AP55" s="25">
        <f t="shared" si="114"/>
        <v>5</v>
      </c>
      <c r="AQ55" s="38">
        <f t="shared" si="115"/>
        <v>249.76472053237029</v>
      </c>
      <c r="AR55" s="38">
        <f t="shared" si="116"/>
        <v>249.76472053237029</v>
      </c>
      <c r="AT55" s="38">
        <f t="shared" si="130"/>
        <v>249.76472053237032</v>
      </c>
      <c r="AU55" s="38">
        <f t="shared" si="47"/>
        <v>0.99999999999999989</v>
      </c>
      <c r="AV55" s="38">
        <f t="shared" si="136"/>
        <v>1.2300438632344617</v>
      </c>
      <c r="AW55" s="4">
        <f t="shared" si="154"/>
        <v>0</v>
      </c>
      <c r="AX55" s="4">
        <f t="shared" si="155"/>
        <v>191.43719452077065</v>
      </c>
      <c r="AY55" s="4">
        <f t="shared" si="49"/>
        <v>1.1333333333333333</v>
      </c>
      <c r="AZ55" s="38">
        <f t="shared" si="117"/>
        <v>307.22156174331246</v>
      </c>
      <c r="BA55" s="4">
        <f t="shared" si="50"/>
        <v>0.6080000000000001</v>
      </c>
      <c r="BB55" s="4">
        <f t="shared" si="51"/>
        <v>60.815767955358432</v>
      </c>
      <c r="BC55" s="4">
        <f t="shared" si="52"/>
        <v>368.03732969867087</v>
      </c>
      <c r="BE55" s="36">
        <f t="shared" si="53"/>
        <v>1.1000000000000001</v>
      </c>
      <c r="BF55" s="36">
        <f t="shared" si="54"/>
        <v>189.7634864772462</v>
      </c>
      <c r="BK55" s="4">
        <f t="shared" si="156"/>
        <v>63.499999999999986</v>
      </c>
      <c r="BL55" s="4">
        <f t="shared" si="157"/>
        <v>63.499999999999986</v>
      </c>
      <c r="BM55" s="4">
        <f t="shared" si="158"/>
        <v>88.899999999999991</v>
      </c>
      <c r="BN55" s="4">
        <f t="shared" si="159"/>
        <v>76.199999999999989</v>
      </c>
      <c r="BO55" s="4">
        <f t="shared" si="160"/>
        <v>1.04</v>
      </c>
      <c r="BP55" s="25">
        <f t="shared" si="118"/>
        <v>3.1199999999999997</v>
      </c>
      <c r="BR55" s="4">
        <f t="shared" si="161"/>
        <v>63.499999999999986</v>
      </c>
      <c r="BV55" s="9"/>
      <c r="BX55" s="9"/>
      <c r="BY55" s="9"/>
      <c r="BZ55" s="9">
        <f t="shared" si="162"/>
        <v>50.8</v>
      </c>
      <c r="CA55" s="9">
        <f t="shared" si="163"/>
        <v>63.499999999999986</v>
      </c>
      <c r="CB55" s="9">
        <f t="shared" si="63"/>
        <v>1.4623505735569622</v>
      </c>
      <c r="CC55" s="9">
        <v>0</v>
      </c>
      <c r="CD55" s="9">
        <f t="shared" si="129"/>
        <v>0</v>
      </c>
      <c r="CE55" s="9">
        <f t="shared" si="65"/>
        <v>0</v>
      </c>
      <c r="CF55" s="9">
        <f t="shared" si="164"/>
        <v>0.99524931562137331</v>
      </c>
      <c r="CG55" s="9">
        <f t="shared" si="165"/>
        <v>1.056</v>
      </c>
      <c r="CH55" s="9">
        <f t="shared" si="68"/>
        <v>1.911374255891328</v>
      </c>
      <c r="CI55" s="9">
        <f t="shared" si="69"/>
        <v>2.7950992393846952</v>
      </c>
      <c r="CJ55" s="9">
        <v>1</v>
      </c>
      <c r="CK55" s="9">
        <f t="shared" si="70"/>
        <v>245.96873306585317</v>
      </c>
      <c r="CM55" s="4">
        <f t="shared" si="137"/>
        <v>2.3558640269932871</v>
      </c>
      <c r="CN55" s="4">
        <f t="shared" si="138"/>
        <v>1.2254191724770269</v>
      </c>
      <c r="CO55" s="4">
        <f t="shared" si="139"/>
        <v>2.3766426743749656</v>
      </c>
      <c r="CP55" s="4">
        <f t="shared" si="140"/>
        <v>1.8335663821110704</v>
      </c>
      <c r="CQ55" s="4">
        <f t="shared" si="141"/>
        <v>1.0876335510425041</v>
      </c>
      <c r="CR55" s="4">
        <f t="shared" si="142"/>
        <v>1.1853797138765283</v>
      </c>
      <c r="CS55" s="4">
        <f t="shared" si="143"/>
        <v>2.1494876316279021</v>
      </c>
      <c r="CU55" s="4">
        <f t="shared" si="144"/>
        <v>2.3558640269932871</v>
      </c>
      <c r="CV55" s="4">
        <f t="shared" si="144"/>
        <v>1.2254191724770269</v>
      </c>
      <c r="CW55" s="4">
        <f t="shared" si="145"/>
        <v>1.8335663821110704</v>
      </c>
      <c r="CX55" s="4">
        <f t="shared" si="166"/>
        <v>2.1494876316279021</v>
      </c>
      <c r="CY55" s="4">
        <f t="shared" si="146"/>
        <v>1.0876335510425041</v>
      </c>
      <c r="CZ55" s="4">
        <f t="shared" si="146"/>
        <v>1.1853797138765283</v>
      </c>
      <c r="DH55" s="4">
        <f t="shared" si="167"/>
        <v>0</v>
      </c>
      <c r="DI55" s="4">
        <f t="shared" si="168"/>
        <v>254</v>
      </c>
      <c r="DJ55" s="4">
        <f t="shared" si="169"/>
        <v>0.7</v>
      </c>
      <c r="DL55" s="4">
        <f t="shared" si="170"/>
        <v>1.7472864382687078E-5</v>
      </c>
      <c r="DM55" s="4">
        <f t="shared" si="171"/>
        <v>6.5652823394499222</v>
      </c>
      <c r="DN55" s="4">
        <f t="shared" si="172"/>
        <v>0.63650481014853455</v>
      </c>
      <c r="DO55" s="4">
        <f t="shared" si="76"/>
        <v>5.4799182998901728</v>
      </c>
      <c r="DP55" s="4">
        <f t="shared" si="77"/>
        <v>6.0470204445706219</v>
      </c>
      <c r="DQ55" s="4">
        <f t="shared" si="78"/>
        <v>6.2618192677258611</v>
      </c>
      <c r="DR55" s="38">
        <f t="shared" si="119"/>
        <v>414.66172091483702</v>
      </c>
      <c r="DS55" s="4">
        <f t="shared" si="79"/>
        <v>1.0001553245307295</v>
      </c>
      <c r="DT55" s="4">
        <f t="shared" si="147"/>
        <v>1.9493588689617927</v>
      </c>
      <c r="DU55" s="4">
        <f t="shared" si="120"/>
        <v>249.76472053237032</v>
      </c>
      <c r="DY55" s="4">
        <f t="shared" si="173"/>
        <v>0.85</v>
      </c>
      <c r="DZ55" s="4">
        <f t="shared" si="81"/>
        <v>0.85000000000000009</v>
      </c>
      <c r="EA55" s="4">
        <f t="shared" si="82"/>
        <v>1</v>
      </c>
      <c r="EB55" s="4">
        <f t="shared" si="83"/>
        <v>0.85000000000000009</v>
      </c>
      <c r="ED55" s="4">
        <f t="shared" si="121"/>
        <v>380.46880229213804</v>
      </c>
      <c r="EE55" s="25">
        <f t="shared" si="122"/>
        <v>258.22019535919065</v>
      </c>
      <c r="EG55" s="4">
        <f t="shared" si="148"/>
        <v>0.72250000000000003</v>
      </c>
      <c r="EH55" s="4">
        <f t="shared" si="84"/>
        <v>6.5652823394499222</v>
      </c>
      <c r="EI55" s="4">
        <f t="shared" si="174"/>
        <v>5.9197837798352051</v>
      </c>
      <c r="EK55" s="4">
        <f t="shared" si="175"/>
        <v>49.513715271629529</v>
      </c>
      <c r="EL55" s="4">
        <f t="shared" si="176"/>
        <v>1.9493588689617927</v>
      </c>
      <c r="EM55" s="4">
        <f t="shared" si="177"/>
        <v>0.18085013508694833</v>
      </c>
      <c r="EP55" s="4">
        <f t="shared" si="178"/>
        <v>0.18085013508694833</v>
      </c>
      <c r="EQ55" s="4">
        <f t="shared" si="179"/>
        <v>0.63544260224876703</v>
      </c>
      <c r="ER55" s="4">
        <f t="shared" si="180"/>
        <v>5.4762584819800804</v>
      </c>
      <c r="ES55" s="4">
        <f t="shared" si="181"/>
        <v>6.0453627528027827</v>
      </c>
      <c r="ET55" s="4">
        <f t="shared" si="182"/>
        <v>140.98628472837046</v>
      </c>
      <c r="EU55" s="4">
        <f t="shared" si="183"/>
        <v>63.5</v>
      </c>
      <c r="EV55" s="4">
        <f t="shared" si="95"/>
        <v>1.7472864382687078E-5</v>
      </c>
      <c r="EW55" s="4">
        <f t="shared" si="184"/>
        <v>6.2619137744944693</v>
      </c>
      <c r="EX55" s="4">
        <f t="shared" si="185"/>
        <v>414.59732378007914</v>
      </c>
      <c r="EY55" s="4">
        <f t="shared" si="186"/>
        <v>128.28628472837045</v>
      </c>
      <c r="EZ55" s="4">
        <f t="shared" si="187"/>
        <v>7.1054273576010019E-15</v>
      </c>
      <c r="FB55" s="4">
        <f t="shared" si="100"/>
        <v>74.709863250550256</v>
      </c>
      <c r="FG55" s="23">
        <f t="shared" si="188"/>
        <v>2.2000000000000002</v>
      </c>
      <c r="FH55" s="23">
        <f t="shared" si="188"/>
        <v>1.4</v>
      </c>
      <c r="FI55" s="23">
        <f t="shared" si="189"/>
        <v>2.2000000000000002</v>
      </c>
      <c r="FJ55" s="23">
        <f t="shared" si="190"/>
        <v>2</v>
      </c>
      <c r="FK55" s="23">
        <f t="shared" si="149"/>
        <v>1.2</v>
      </c>
      <c r="FL55" s="23">
        <f t="shared" si="149"/>
        <v>1.2</v>
      </c>
      <c r="FM55" s="23">
        <f t="shared" si="191"/>
        <v>0</v>
      </c>
      <c r="FN55" s="23"/>
      <c r="FO55" s="1" t="s">
        <v>44</v>
      </c>
      <c r="FP55">
        <f t="shared" ref="FP55:FU55" si="194">COUNTIF(FG19:FG569,1)</f>
        <v>22</v>
      </c>
      <c r="FQ55">
        <f t="shared" si="194"/>
        <v>72</v>
      </c>
      <c r="FR55">
        <f t="shared" si="194"/>
        <v>43</v>
      </c>
      <c r="FS55">
        <f t="shared" si="194"/>
        <v>6</v>
      </c>
      <c r="FT55">
        <f t="shared" si="194"/>
        <v>99</v>
      </c>
      <c r="FU55">
        <f t="shared" si="194"/>
        <v>79</v>
      </c>
      <c r="FX55" s="4">
        <f t="shared" si="101"/>
        <v>1</v>
      </c>
      <c r="FY55" s="4">
        <f t="shared" si="102"/>
        <v>1.0833333333333333</v>
      </c>
      <c r="FZ55" s="4">
        <f t="shared" si="103"/>
        <v>0</v>
      </c>
      <c r="GA55" s="4">
        <f t="shared" si="104"/>
        <v>209.81744363815565</v>
      </c>
    </row>
    <row r="56" spans="1:183" ht="12" hidden="1" customHeight="1" x14ac:dyDescent="0.3">
      <c r="A56" s="25">
        <v>38</v>
      </c>
      <c r="B56" s="20" t="s">
        <v>54</v>
      </c>
      <c r="C56" s="20">
        <v>2006</v>
      </c>
      <c r="D56" s="24" t="s">
        <v>55</v>
      </c>
      <c r="E56" s="24"/>
      <c r="F56" s="7" t="s">
        <v>68</v>
      </c>
      <c r="G56" s="7">
        <v>472</v>
      </c>
      <c r="H56" s="7">
        <f t="shared" si="150"/>
        <v>254</v>
      </c>
      <c r="I56" s="7">
        <f t="shared" si="131"/>
        <v>177.79999999999998</v>
      </c>
      <c r="J56" s="7">
        <v>21</v>
      </c>
      <c r="K56" s="7">
        <v>25.4</v>
      </c>
      <c r="L56" s="7">
        <f t="shared" si="151"/>
        <v>10</v>
      </c>
      <c r="M56" s="7">
        <v>7</v>
      </c>
      <c r="N56" s="7">
        <f t="shared" si="132"/>
        <v>152.39999999999998</v>
      </c>
      <c r="O56" s="7">
        <f t="shared" si="108"/>
        <v>63.499999999999986</v>
      </c>
      <c r="P56" s="7">
        <f t="shared" si="133"/>
        <v>50.8</v>
      </c>
      <c r="Q56" s="7">
        <v>0</v>
      </c>
      <c r="R56" s="7">
        <v>1</v>
      </c>
      <c r="S56" s="7">
        <f t="shared" si="134"/>
        <v>88.899999999999991</v>
      </c>
      <c r="T56" s="7">
        <f t="shared" si="42"/>
        <v>2.9999999999999996</v>
      </c>
      <c r="U56" s="7">
        <f t="shared" si="135"/>
        <v>4</v>
      </c>
      <c r="V56" s="7">
        <v>4.04</v>
      </c>
      <c r="W56" s="7">
        <f t="shared" si="152"/>
        <v>4.04</v>
      </c>
      <c r="X56" s="7">
        <f t="shared" si="44"/>
        <v>5.04</v>
      </c>
      <c r="Y56" s="7">
        <f t="shared" si="45"/>
        <v>57.022858574434863</v>
      </c>
      <c r="Z56" s="7"/>
      <c r="AA56" s="7"/>
      <c r="AB56" s="7">
        <v>319</v>
      </c>
      <c r="AC56" s="7"/>
      <c r="AD56" s="7"/>
      <c r="AE56" s="7"/>
      <c r="AF56" s="7"/>
      <c r="AG56" s="7">
        <v>1</v>
      </c>
      <c r="AH56" s="7"/>
      <c r="AI56" s="7"/>
      <c r="AJ56" s="7"/>
      <c r="AK56" s="4">
        <f t="shared" si="125"/>
        <v>254</v>
      </c>
      <c r="AL56" s="44">
        <f t="shared" si="153"/>
        <v>0.12666666666666665</v>
      </c>
      <c r="AM56" s="25">
        <f t="shared" si="112"/>
        <v>366.10267967102493</v>
      </c>
      <c r="AN56" s="4">
        <f t="shared" si="113"/>
        <v>0.7599999999999999</v>
      </c>
      <c r="AO56" s="4">
        <v>1.25</v>
      </c>
      <c r="AP56" s="25">
        <f t="shared" si="114"/>
        <v>5</v>
      </c>
      <c r="AQ56" s="38">
        <f t="shared" si="115"/>
        <v>220.27177893539994</v>
      </c>
      <c r="AR56" s="38">
        <f t="shared" si="116"/>
        <v>220.27177893539994</v>
      </c>
      <c r="AT56" s="38">
        <f t="shared" si="130"/>
        <v>220.27177893539994</v>
      </c>
      <c r="AU56" s="38">
        <f t="shared" si="47"/>
        <v>1</v>
      </c>
      <c r="AV56" s="38">
        <f t="shared" si="136"/>
        <v>1.3030468502430785</v>
      </c>
      <c r="AW56" s="4">
        <f t="shared" si="154"/>
        <v>0</v>
      </c>
      <c r="AX56" s="4">
        <f t="shared" si="155"/>
        <v>168.83173612995199</v>
      </c>
      <c r="AY56" s="4">
        <f t="shared" si="49"/>
        <v>1.1333333333333333</v>
      </c>
      <c r="AZ56" s="38">
        <f t="shared" si="117"/>
        <v>287.02444773921258</v>
      </c>
      <c r="BA56" s="4">
        <f t="shared" si="50"/>
        <v>0.43440000000000001</v>
      </c>
      <c r="BB56" s="4">
        <f t="shared" si="51"/>
        <v>38.32041447635973</v>
      </c>
      <c r="BC56" s="4">
        <f t="shared" si="52"/>
        <v>325.34486221557233</v>
      </c>
      <c r="BE56" s="36">
        <f t="shared" si="53"/>
        <v>1.1000000000000001</v>
      </c>
      <c r="BF56" s="36">
        <f t="shared" si="54"/>
        <v>167.35566437978727</v>
      </c>
      <c r="BK56" s="4">
        <f t="shared" si="156"/>
        <v>63.499999999999986</v>
      </c>
      <c r="BL56" s="4">
        <f t="shared" si="157"/>
        <v>63.499999999999986</v>
      </c>
      <c r="BM56" s="4">
        <f t="shared" si="158"/>
        <v>88.899999999999991</v>
      </c>
      <c r="BN56" s="4">
        <f t="shared" si="159"/>
        <v>76.199999999999989</v>
      </c>
      <c r="BO56" s="4">
        <f t="shared" si="160"/>
        <v>1.04</v>
      </c>
      <c r="BP56" s="25">
        <f t="shared" si="118"/>
        <v>3.1199999999999997</v>
      </c>
      <c r="BR56" s="4">
        <f t="shared" si="161"/>
        <v>63.499999999999986</v>
      </c>
      <c r="BV56" s="9"/>
      <c r="BX56" s="9"/>
      <c r="BY56" s="9"/>
      <c r="BZ56" s="9">
        <f t="shared" si="162"/>
        <v>50.8</v>
      </c>
      <c r="CA56" s="9">
        <f t="shared" si="163"/>
        <v>63.499999999999986</v>
      </c>
      <c r="CB56" s="9">
        <f t="shared" si="63"/>
        <v>1.4623505735569622</v>
      </c>
      <c r="CC56" s="9">
        <v>0</v>
      </c>
      <c r="CD56" s="9">
        <f t="shared" si="129"/>
        <v>0</v>
      </c>
      <c r="CE56" s="9">
        <f t="shared" si="65"/>
        <v>0</v>
      </c>
      <c r="CF56" s="9">
        <f t="shared" si="164"/>
        <v>0.99524931562137331</v>
      </c>
      <c r="CG56" s="9">
        <f t="shared" si="165"/>
        <v>1.056</v>
      </c>
      <c r="CH56" s="9">
        <f t="shared" si="68"/>
        <v>1.6856736478198622</v>
      </c>
      <c r="CI56" s="9">
        <f t="shared" si="69"/>
        <v>2.465045825719232</v>
      </c>
      <c r="CJ56" s="9">
        <v>1</v>
      </c>
      <c r="CK56" s="9">
        <f t="shared" si="70"/>
        <v>216.92403266329242</v>
      </c>
      <c r="CM56" s="4">
        <f t="shared" si="137"/>
        <v>1.8894551896004999</v>
      </c>
      <c r="CN56" s="4">
        <f t="shared" si="138"/>
        <v>0.98049804084083481</v>
      </c>
      <c r="CO56" s="4">
        <f t="shared" si="139"/>
        <v>1.9061201255553553</v>
      </c>
      <c r="CP56" s="4">
        <f t="shared" si="140"/>
        <v>1.4705608967501955</v>
      </c>
      <c r="CQ56" s="4">
        <f t="shared" si="141"/>
        <v>0.88170720161183924</v>
      </c>
      <c r="CR56" s="4">
        <f t="shared" si="142"/>
        <v>0.95155081061725866</v>
      </c>
      <c r="CS56" s="4">
        <f t="shared" si="143"/>
        <v>1.6189566089937328</v>
      </c>
      <c r="CU56" s="4">
        <f t="shared" si="144"/>
        <v>1.8894551896004999</v>
      </c>
      <c r="CV56" s="4">
        <f t="shared" si="144"/>
        <v>0.98049804084083481</v>
      </c>
      <c r="CW56" s="4">
        <f t="shared" si="145"/>
        <v>1.4705608967501955</v>
      </c>
      <c r="CX56" s="4">
        <f t="shared" si="166"/>
        <v>1.6189566089937328</v>
      </c>
      <c r="CY56" s="4">
        <f t="shared" si="146"/>
        <v>0.88170720161183924</v>
      </c>
      <c r="CZ56" s="4">
        <f t="shared" si="146"/>
        <v>0.95155081061725866</v>
      </c>
      <c r="DH56" s="4">
        <f t="shared" si="167"/>
        <v>0</v>
      </c>
      <c r="DI56" s="4">
        <f t="shared" si="168"/>
        <v>254</v>
      </c>
      <c r="DJ56" s="4">
        <f t="shared" si="169"/>
        <v>0.7</v>
      </c>
      <c r="DL56" s="4">
        <f t="shared" si="170"/>
        <v>1.668887417236156E-5</v>
      </c>
      <c r="DM56" s="4">
        <f t="shared" si="171"/>
        <v>5.7900347857029448</v>
      </c>
      <c r="DN56" s="4">
        <f t="shared" si="172"/>
        <v>0.57606841067610404</v>
      </c>
      <c r="DO56" s="4">
        <f t="shared" si="76"/>
        <v>4.6437710234872753</v>
      </c>
      <c r="DP56" s="4">
        <f t="shared" si="77"/>
        <v>5.248328253060607</v>
      </c>
      <c r="DQ56" s="4">
        <f t="shared" si="78"/>
        <v>5.5693031817357328</v>
      </c>
      <c r="DR56" s="38">
        <f t="shared" si="119"/>
        <v>361.79811100197389</v>
      </c>
      <c r="DS56" s="4">
        <f t="shared" si="79"/>
        <v>1.0001547654350216</v>
      </c>
      <c r="DT56" s="4">
        <f t="shared" si="147"/>
        <v>2.2449944320643649</v>
      </c>
      <c r="DU56" s="4">
        <f t="shared" si="120"/>
        <v>220.27177893539994</v>
      </c>
      <c r="DY56" s="4">
        <f t="shared" si="173"/>
        <v>0.85</v>
      </c>
      <c r="DZ56" s="4">
        <f t="shared" si="81"/>
        <v>0.85000000000000009</v>
      </c>
      <c r="EA56" s="4">
        <f t="shared" si="82"/>
        <v>1</v>
      </c>
      <c r="EB56" s="4">
        <f t="shared" si="83"/>
        <v>0.85000000000000009</v>
      </c>
      <c r="ED56" s="4">
        <f t="shared" si="121"/>
        <v>335.24221349049014</v>
      </c>
      <c r="EE56" s="25">
        <f t="shared" si="122"/>
        <v>227.72880680497778</v>
      </c>
      <c r="EG56" s="4">
        <f t="shared" si="148"/>
        <v>0.72250000000000003</v>
      </c>
      <c r="EH56" s="4">
        <f t="shared" si="84"/>
        <v>5.7900347857029448</v>
      </c>
      <c r="EI56" s="4">
        <f t="shared" si="174"/>
        <v>5.2207585655726314</v>
      </c>
      <c r="EK56" s="4">
        <f t="shared" si="175"/>
        <v>57.022858574434863</v>
      </c>
      <c r="EL56" s="4">
        <f t="shared" si="176"/>
        <v>2.2449944320643649</v>
      </c>
      <c r="EM56" s="4">
        <f t="shared" si="177"/>
        <v>0.14435072638953436</v>
      </c>
      <c r="EP56" s="4">
        <f t="shared" si="178"/>
        <v>0.14435072638953436</v>
      </c>
      <c r="EQ56" s="4">
        <f t="shared" si="179"/>
        <v>0.5751070598632424</v>
      </c>
      <c r="ER56" s="4">
        <f t="shared" si="180"/>
        <v>4.6406696348475087</v>
      </c>
      <c r="ES56" s="4">
        <f t="shared" si="181"/>
        <v>5.2469568909096118</v>
      </c>
      <c r="ET56" s="4">
        <f t="shared" si="182"/>
        <v>133.47714142556515</v>
      </c>
      <c r="EU56" s="4">
        <f t="shared" si="183"/>
        <v>63.5</v>
      </c>
      <c r="EV56" s="4">
        <f t="shared" si="95"/>
        <v>1.668887417236156E-5</v>
      </c>
      <c r="EW56" s="4">
        <f t="shared" si="184"/>
        <v>5.5693723103756767</v>
      </c>
      <c r="EX56" s="4">
        <f t="shared" si="185"/>
        <v>361.74212582450502</v>
      </c>
      <c r="EY56" s="4">
        <f t="shared" si="186"/>
        <v>120.77714142556512</v>
      </c>
      <c r="EZ56" s="4">
        <f t="shared" si="187"/>
        <v>0</v>
      </c>
      <c r="FB56" s="4">
        <f t="shared" si="100"/>
        <v>66.187636885576012</v>
      </c>
      <c r="FG56" s="23">
        <f t="shared" si="188"/>
        <v>2</v>
      </c>
      <c r="FH56" s="23">
        <f t="shared" si="188"/>
        <v>1</v>
      </c>
      <c r="FI56" s="23">
        <f t="shared" si="189"/>
        <v>1.8</v>
      </c>
      <c r="FJ56" s="23">
        <f t="shared" si="190"/>
        <v>1.6</v>
      </c>
      <c r="FK56" s="23">
        <f t="shared" si="149"/>
        <v>1</v>
      </c>
      <c r="FL56" s="23">
        <f t="shared" si="149"/>
        <v>1</v>
      </c>
      <c r="FM56" s="23">
        <f t="shared" si="191"/>
        <v>0</v>
      </c>
      <c r="FN56" s="23"/>
      <c r="FO56" s="1" t="s">
        <v>45</v>
      </c>
      <c r="FP56">
        <f t="shared" ref="FP56:FU56" si="195">COUNTIF(FG19:FG572,1.2)</f>
        <v>42</v>
      </c>
      <c r="FQ56">
        <f t="shared" si="195"/>
        <v>67</v>
      </c>
      <c r="FR56">
        <f t="shared" si="195"/>
        <v>64</v>
      </c>
      <c r="FS56">
        <f t="shared" si="195"/>
        <v>18</v>
      </c>
      <c r="FT56">
        <f t="shared" si="195"/>
        <v>131</v>
      </c>
      <c r="FU56">
        <f t="shared" si="195"/>
        <v>132</v>
      </c>
      <c r="FX56" s="4">
        <f t="shared" si="101"/>
        <v>1</v>
      </c>
      <c r="FY56" s="4">
        <f t="shared" si="102"/>
        <v>1.0833333333333333</v>
      </c>
      <c r="FZ56" s="4">
        <f t="shared" si="103"/>
        <v>0</v>
      </c>
      <c r="GA56" s="4">
        <f t="shared" si="104"/>
        <v>197.04048782275603</v>
      </c>
    </row>
    <row r="57" spans="1:183" ht="12" hidden="1" customHeight="1" x14ac:dyDescent="0.3">
      <c r="A57" s="25">
        <v>39</v>
      </c>
      <c r="B57" s="20" t="s">
        <v>54</v>
      </c>
      <c r="C57" s="20">
        <v>2006</v>
      </c>
      <c r="D57" s="24" t="s">
        <v>55</v>
      </c>
      <c r="E57" s="24"/>
      <c r="F57" s="7" t="s">
        <v>279</v>
      </c>
      <c r="G57" s="7">
        <v>472</v>
      </c>
      <c r="H57" s="7">
        <f t="shared" si="150"/>
        <v>254</v>
      </c>
      <c r="I57" s="7">
        <f t="shared" si="131"/>
        <v>177.79999999999998</v>
      </c>
      <c r="J57" s="7">
        <v>21</v>
      </c>
      <c r="K57" s="7">
        <v>25.4</v>
      </c>
      <c r="L57" s="7">
        <f t="shared" si="151"/>
        <v>10</v>
      </c>
      <c r="M57" s="7">
        <v>7</v>
      </c>
      <c r="N57" s="7">
        <f t="shared" si="132"/>
        <v>152.39999999999998</v>
      </c>
      <c r="O57" s="7">
        <f t="shared" si="108"/>
        <v>63.499999999999986</v>
      </c>
      <c r="P57" s="7">
        <f t="shared" si="133"/>
        <v>50.8</v>
      </c>
      <c r="Q57" s="7">
        <v>0</v>
      </c>
      <c r="R57" s="7">
        <v>1</v>
      </c>
      <c r="S57" s="7">
        <f t="shared" si="134"/>
        <v>88.899999999999991</v>
      </c>
      <c r="T57" s="7">
        <f t="shared" si="42"/>
        <v>2.9999999999999996</v>
      </c>
      <c r="U57" s="7">
        <f t="shared" si="135"/>
        <v>4</v>
      </c>
      <c r="V57" s="7">
        <v>4.0599999999999996</v>
      </c>
      <c r="W57" s="7">
        <f t="shared" si="152"/>
        <v>4.0599999999999996</v>
      </c>
      <c r="X57" s="7">
        <f t="shared" si="44"/>
        <v>5.0599999999999996</v>
      </c>
      <c r="Y57" s="7">
        <f t="shared" si="45"/>
        <v>57.135887146346114</v>
      </c>
      <c r="Z57" s="7"/>
      <c r="AA57" s="7"/>
      <c r="AB57" s="7">
        <v>386</v>
      </c>
      <c r="AC57" s="7"/>
      <c r="AD57" s="7"/>
      <c r="AE57" s="7"/>
      <c r="AF57" s="7"/>
      <c r="AG57" s="7">
        <v>1</v>
      </c>
      <c r="AH57" s="7"/>
      <c r="AI57" s="7"/>
      <c r="AJ57" s="7"/>
      <c r="AK57" s="4">
        <f t="shared" si="125"/>
        <v>254</v>
      </c>
      <c r="AL57" s="44">
        <f t="shared" si="153"/>
        <v>0.12666666666666665</v>
      </c>
      <c r="AM57" s="25">
        <f t="shared" si="112"/>
        <v>366.10267967102493</v>
      </c>
      <c r="AN57" s="4">
        <f t="shared" si="113"/>
        <v>0.7599999999999999</v>
      </c>
      <c r="AO57" s="4">
        <v>1.25</v>
      </c>
      <c r="AP57" s="25">
        <f t="shared" si="114"/>
        <v>5</v>
      </c>
      <c r="AQ57" s="38">
        <f t="shared" si="115"/>
        <v>220.27177893539994</v>
      </c>
      <c r="AR57" s="38">
        <f t="shared" si="116"/>
        <v>220.27177893539994</v>
      </c>
      <c r="AT57" s="38">
        <f t="shared" si="130"/>
        <v>220.27177893539994</v>
      </c>
      <c r="AU57" s="38">
        <f t="shared" si="47"/>
        <v>1</v>
      </c>
      <c r="AV57" s="38">
        <f t="shared" si="136"/>
        <v>1.3062682317974748</v>
      </c>
      <c r="AW57" s="4">
        <f t="shared" si="154"/>
        <v>0</v>
      </c>
      <c r="AX57" s="4">
        <f t="shared" si="155"/>
        <v>168.83173612995199</v>
      </c>
      <c r="AY57" s="4">
        <f t="shared" si="49"/>
        <v>1.1333333333333333</v>
      </c>
      <c r="AZ57" s="38">
        <f t="shared" si="117"/>
        <v>287.73402718482913</v>
      </c>
      <c r="BA57" s="4">
        <f t="shared" si="50"/>
        <v>0.43160000000000009</v>
      </c>
      <c r="BB57" s="4">
        <f t="shared" si="51"/>
        <v>38.073413646401619</v>
      </c>
      <c r="BC57" s="4">
        <f t="shared" si="52"/>
        <v>325.80744083123074</v>
      </c>
      <c r="BE57" s="36">
        <f t="shared" si="53"/>
        <v>1.1000000000000001</v>
      </c>
      <c r="BF57" s="36">
        <f t="shared" si="54"/>
        <v>167.35566437978727</v>
      </c>
      <c r="BK57" s="4">
        <f t="shared" si="156"/>
        <v>63.499999999999986</v>
      </c>
      <c r="BL57" s="4">
        <f t="shared" si="157"/>
        <v>63.499999999999986</v>
      </c>
      <c r="BM57" s="4">
        <f t="shared" si="158"/>
        <v>88.899999999999991</v>
      </c>
      <c r="BN57" s="4">
        <f t="shared" si="159"/>
        <v>76.199999999999989</v>
      </c>
      <c r="BO57" s="4">
        <f t="shared" si="160"/>
        <v>1.04</v>
      </c>
      <c r="BP57" s="25">
        <f t="shared" si="118"/>
        <v>3.1199999999999997</v>
      </c>
      <c r="BR57" s="4">
        <f t="shared" si="161"/>
        <v>63.499999999999986</v>
      </c>
      <c r="BV57" s="9"/>
      <c r="BX57" s="9"/>
      <c r="BY57" s="9"/>
      <c r="BZ57" s="9">
        <f t="shared" si="162"/>
        <v>50.8</v>
      </c>
      <c r="CA57" s="9">
        <f t="shared" si="163"/>
        <v>63.499999999999986</v>
      </c>
      <c r="CB57" s="9">
        <f t="shared" si="63"/>
        <v>1.4623505735569622</v>
      </c>
      <c r="CC57" s="9">
        <v>0</v>
      </c>
      <c r="CD57" s="9">
        <f t="shared" si="129"/>
        <v>0</v>
      </c>
      <c r="CE57" s="9">
        <f t="shared" si="65"/>
        <v>0</v>
      </c>
      <c r="CF57" s="9">
        <f t="shared" si="164"/>
        <v>0.99524931562137331</v>
      </c>
      <c r="CG57" s="9">
        <f t="shared" si="165"/>
        <v>1.056</v>
      </c>
      <c r="CH57" s="9">
        <f t="shared" si="68"/>
        <v>1.6856736478198622</v>
      </c>
      <c r="CI57" s="9">
        <f t="shared" si="69"/>
        <v>2.465045825719232</v>
      </c>
      <c r="CJ57" s="9">
        <v>1</v>
      </c>
      <c r="CK57" s="9">
        <f t="shared" si="70"/>
        <v>216.92403266329242</v>
      </c>
      <c r="CM57" s="4">
        <f t="shared" si="137"/>
        <v>2.2863000099868116</v>
      </c>
      <c r="CN57" s="4">
        <f t="shared" si="138"/>
        <v>1.1847488780956026</v>
      </c>
      <c r="CO57" s="4">
        <f t="shared" si="139"/>
        <v>2.3064651049039719</v>
      </c>
      <c r="CP57" s="4">
        <f t="shared" si="140"/>
        <v>1.7794247841554089</v>
      </c>
      <c r="CQ57" s="4">
        <f t="shared" si="141"/>
        <v>1.0672069378723441</v>
      </c>
      <c r="CR57" s="4">
        <f t="shared" si="142"/>
        <v>1.1513943056540974</v>
      </c>
      <c r="CS57" s="4">
        <f t="shared" si="143"/>
        <v>1.9589882478732941</v>
      </c>
      <c r="CU57" s="4">
        <f t="shared" si="144"/>
        <v>2.2863000099868116</v>
      </c>
      <c r="CV57" s="4">
        <f t="shared" si="144"/>
        <v>1.1847488780956026</v>
      </c>
      <c r="CW57" s="4">
        <f t="shared" si="145"/>
        <v>1.7794247841554089</v>
      </c>
      <c r="CX57" s="4">
        <f t="shared" si="166"/>
        <v>1.9589882478732941</v>
      </c>
      <c r="CY57" s="4">
        <f t="shared" si="146"/>
        <v>1.0672069378723441</v>
      </c>
      <c r="CZ57" s="4">
        <f t="shared" si="146"/>
        <v>1.1513943056540974</v>
      </c>
      <c r="DH57" s="4">
        <f t="shared" si="167"/>
        <v>0</v>
      </c>
      <c r="DI57" s="4">
        <f t="shared" si="168"/>
        <v>254</v>
      </c>
      <c r="DJ57" s="4">
        <f t="shared" si="169"/>
        <v>0.7</v>
      </c>
      <c r="DL57" s="4">
        <f t="shared" si="170"/>
        <v>1.668887417236156E-5</v>
      </c>
      <c r="DM57" s="4">
        <f t="shared" si="171"/>
        <v>5.7900347857029448</v>
      </c>
      <c r="DN57" s="4">
        <f t="shared" si="172"/>
        <v>0.57436687152312826</v>
      </c>
      <c r="DO57" s="4">
        <f t="shared" si="76"/>
        <v>4.6382796125420667</v>
      </c>
      <c r="DP57" s="4">
        <f t="shared" si="77"/>
        <v>5.2459004619170866</v>
      </c>
      <c r="DQ57" s="4">
        <f t="shared" si="78"/>
        <v>5.5694387648810642</v>
      </c>
      <c r="DR57" s="38">
        <f t="shared" si="119"/>
        <v>361.69180156339286</v>
      </c>
      <c r="DS57" s="4">
        <f t="shared" si="79"/>
        <v>1.0001546548260865</v>
      </c>
      <c r="DT57" s="4">
        <f t="shared" si="147"/>
        <v>2.2494443758403984</v>
      </c>
      <c r="DU57" s="4">
        <f t="shared" si="120"/>
        <v>220.27177893539994</v>
      </c>
      <c r="DY57" s="4">
        <f t="shared" si="173"/>
        <v>0.85</v>
      </c>
      <c r="DZ57" s="4">
        <f t="shared" si="81"/>
        <v>0.85000000000000009</v>
      </c>
      <c r="EA57" s="4">
        <f t="shared" si="82"/>
        <v>1</v>
      </c>
      <c r="EB57" s="4">
        <f t="shared" si="83"/>
        <v>0.85000000000000009</v>
      </c>
      <c r="ED57" s="4">
        <f t="shared" si="121"/>
        <v>335.24570870681583</v>
      </c>
      <c r="EE57" s="25">
        <f t="shared" si="122"/>
        <v>227.72880680497778</v>
      </c>
      <c r="EG57" s="4">
        <f t="shared" si="148"/>
        <v>0.72250000000000003</v>
      </c>
      <c r="EH57" s="4">
        <f t="shared" si="84"/>
        <v>5.7900347857029448</v>
      </c>
      <c r="EI57" s="4">
        <f t="shared" si="174"/>
        <v>5.2207585655726314</v>
      </c>
      <c r="EK57" s="4">
        <f t="shared" si="175"/>
        <v>57.135887146346114</v>
      </c>
      <c r="EL57" s="4">
        <f t="shared" si="176"/>
        <v>2.2494443758403984</v>
      </c>
      <c r="EM57" s="4">
        <f t="shared" si="177"/>
        <v>0.14392435617349697</v>
      </c>
      <c r="EP57" s="4">
        <f t="shared" si="178"/>
        <v>0.14392435617349697</v>
      </c>
      <c r="EQ57" s="4">
        <f t="shared" si="179"/>
        <v>0.57340836026198916</v>
      </c>
      <c r="ER57" s="4">
        <f t="shared" si="180"/>
        <v>4.6351818913956864</v>
      </c>
      <c r="ES57" s="4">
        <f t="shared" si="181"/>
        <v>5.2445317154987805</v>
      </c>
      <c r="ET57" s="4">
        <f t="shared" si="182"/>
        <v>133.36411285365389</v>
      </c>
      <c r="EU57" s="4">
        <f t="shared" si="183"/>
        <v>63.5</v>
      </c>
      <c r="EV57" s="4">
        <f t="shared" si="95"/>
        <v>1.668887417236156E-5</v>
      </c>
      <c r="EW57" s="4">
        <f t="shared" si="184"/>
        <v>5.5695078238252744</v>
      </c>
      <c r="EX57" s="4">
        <f t="shared" si="185"/>
        <v>361.63587283037361</v>
      </c>
      <c r="EY57" s="4">
        <f t="shared" si="186"/>
        <v>120.66411285365388</v>
      </c>
      <c r="EZ57" s="4">
        <f t="shared" si="187"/>
        <v>0</v>
      </c>
      <c r="FB57" s="4">
        <f t="shared" si="100"/>
        <v>66.184141669250323</v>
      </c>
      <c r="FG57" s="23">
        <f t="shared" si="188"/>
        <v>2.2000000000000002</v>
      </c>
      <c r="FH57" s="23">
        <f t="shared" si="188"/>
        <v>1.2</v>
      </c>
      <c r="FI57" s="23">
        <f t="shared" si="189"/>
        <v>2</v>
      </c>
      <c r="FJ57" s="23">
        <f t="shared" si="190"/>
        <v>1.8</v>
      </c>
      <c r="FK57" s="23">
        <f t="shared" si="149"/>
        <v>1.2</v>
      </c>
      <c r="FL57" s="23">
        <f t="shared" si="149"/>
        <v>1.2</v>
      </c>
      <c r="FM57" s="23">
        <f t="shared" si="191"/>
        <v>0</v>
      </c>
      <c r="FN57" s="23"/>
      <c r="FO57" s="1" t="s">
        <v>46</v>
      </c>
      <c r="FP57">
        <f t="shared" ref="FP57:FU57" si="196">COUNTIF(FG19:FG570,1.4)</f>
        <v>50</v>
      </c>
      <c r="FQ57">
        <f t="shared" si="196"/>
        <v>47</v>
      </c>
      <c r="FR57">
        <f t="shared" si="196"/>
        <v>98</v>
      </c>
      <c r="FS57">
        <f t="shared" si="196"/>
        <v>37</v>
      </c>
      <c r="FT57">
        <f t="shared" si="196"/>
        <v>61</v>
      </c>
      <c r="FU57">
        <f t="shared" si="196"/>
        <v>59</v>
      </c>
      <c r="FX57" s="4">
        <f t="shared" si="101"/>
        <v>1</v>
      </c>
      <c r="FY57" s="4">
        <f t="shared" si="102"/>
        <v>1.0833333333333333</v>
      </c>
      <c r="FZ57" s="4">
        <f t="shared" si="103"/>
        <v>0</v>
      </c>
      <c r="GA57" s="4">
        <f t="shared" si="104"/>
        <v>197.04048782275603</v>
      </c>
    </row>
    <row r="58" spans="1:183" ht="12" hidden="1" customHeight="1" x14ac:dyDescent="0.3">
      <c r="A58" s="25">
        <v>40</v>
      </c>
      <c r="B58" s="20" t="s">
        <v>54</v>
      </c>
      <c r="C58" s="20">
        <v>2006</v>
      </c>
      <c r="D58" s="24" t="s">
        <v>55</v>
      </c>
      <c r="E58" s="24"/>
      <c r="F58" s="7" t="s">
        <v>66</v>
      </c>
      <c r="G58" s="7">
        <v>472</v>
      </c>
      <c r="H58" s="7">
        <f t="shared" si="150"/>
        <v>254</v>
      </c>
      <c r="I58" s="7">
        <f t="shared" si="131"/>
        <v>177.79999999999998</v>
      </c>
      <c r="J58" s="7">
        <v>28</v>
      </c>
      <c r="K58" s="7">
        <v>25.4</v>
      </c>
      <c r="L58" s="7">
        <f t="shared" si="151"/>
        <v>10</v>
      </c>
      <c r="M58" s="7">
        <v>7</v>
      </c>
      <c r="N58" s="7">
        <f t="shared" si="132"/>
        <v>152.39999999999998</v>
      </c>
      <c r="O58" s="7">
        <f t="shared" si="108"/>
        <v>63.499999999999986</v>
      </c>
      <c r="P58" s="7">
        <f t="shared" si="133"/>
        <v>50.8</v>
      </c>
      <c r="Q58" s="7">
        <v>0</v>
      </c>
      <c r="R58" s="7">
        <v>1</v>
      </c>
      <c r="S58" s="7">
        <f t="shared" si="134"/>
        <v>88.899999999999991</v>
      </c>
      <c r="T58" s="7">
        <f t="shared" si="42"/>
        <v>2.9999999999999996</v>
      </c>
      <c r="U58" s="7">
        <f t="shared" si="135"/>
        <v>4</v>
      </c>
      <c r="V58" s="7">
        <v>4.7</v>
      </c>
      <c r="W58" s="7">
        <f t="shared" si="152"/>
        <v>4.7</v>
      </c>
      <c r="X58" s="7">
        <f t="shared" si="44"/>
        <v>5.7</v>
      </c>
      <c r="Y58" s="7">
        <f t="shared" si="45"/>
        <v>60.641668842471674</v>
      </c>
      <c r="Z58" s="7"/>
      <c r="AA58" s="7"/>
      <c r="AB58" s="7">
        <v>458</v>
      </c>
      <c r="AC58" s="7"/>
      <c r="AD58" s="7"/>
      <c r="AE58" s="7"/>
      <c r="AF58" s="7"/>
      <c r="AG58" s="7">
        <v>1</v>
      </c>
      <c r="AH58" s="7"/>
      <c r="AI58" s="7"/>
      <c r="AJ58" s="7"/>
      <c r="AK58" s="4">
        <f t="shared" si="125"/>
        <v>254</v>
      </c>
      <c r="AL58" s="44">
        <f t="shared" si="153"/>
        <v>0.12666666666666665</v>
      </c>
      <c r="AM58" s="25">
        <f t="shared" si="112"/>
        <v>422.7389613182192</v>
      </c>
      <c r="AN58" s="4">
        <f t="shared" si="113"/>
        <v>0.7599999999999999</v>
      </c>
      <c r="AO58" s="4">
        <v>1.25</v>
      </c>
      <c r="AP58" s="25">
        <f t="shared" si="114"/>
        <v>5</v>
      </c>
      <c r="AQ58" s="38">
        <f t="shared" si="115"/>
        <v>254.34794172646178</v>
      </c>
      <c r="AR58" s="38">
        <f t="shared" si="116"/>
        <v>254.34794172646178</v>
      </c>
      <c r="AT58" s="38">
        <f t="shared" si="130"/>
        <v>254.34794172646181</v>
      </c>
      <c r="AU58" s="38">
        <f t="shared" si="47"/>
        <v>0.99999999999999989</v>
      </c>
      <c r="AV58" s="38">
        <f t="shared" si="136"/>
        <v>1.6228846237897425</v>
      </c>
      <c r="AW58" s="4">
        <f t="shared" si="154"/>
        <v>0</v>
      </c>
      <c r="AX58" s="4">
        <f t="shared" si="155"/>
        <v>194.95009660475932</v>
      </c>
      <c r="AY58" s="4">
        <f t="shared" si="49"/>
        <v>1.1333333333333333</v>
      </c>
      <c r="AZ58" s="38">
        <f t="shared" si="117"/>
        <v>412.77736372044433</v>
      </c>
      <c r="BA58" s="4">
        <f t="shared" si="50"/>
        <v>0.34199999999999997</v>
      </c>
      <c r="BB58" s="4">
        <f t="shared" si="51"/>
        <v>34.836607512787459</v>
      </c>
      <c r="BC58" s="4">
        <f t="shared" si="52"/>
        <v>447.61397123323178</v>
      </c>
      <c r="BE58" s="36">
        <f t="shared" si="53"/>
        <v>1.1000000000000001</v>
      </c>
      <c r="BF58" s="36">
        <f t="shared" si="54"/>
        <v>193.24567576015772</v>
      </c>
      <c r="BK58" s="4">
        <f t="shared" si="156"/>
        <v>63.499999999999986</v>
      </c>
      <c r="BL58" s="4">
        <f t="shared" si="157"/>
        <v>63.499999999999986</v>
      </c>
      <c r="BM58" s="4">
        <f t="shared" si="158"/>
        <v>88.899999999999991</v>
      </c>
      <c r="BN58" s="4">
        <f t="shared" si="159"/>
        <v>76.199999999999989</v>
      </c>
      <c r="BO58" s="4">
        <f t="shared" si="160"/>
        <v>1.04</v>
      </c>
      <c r="BP58" s="25">
        <f t="shared" si="118"/>
        <v>3.1199999999999997</v>
      </c>
      <c r="BR58" s="4">
        <f t="shared" si="161"/>
        <v>63.499999999999986</v>
      </c>
      <c r="BV58" s="9"/>
      <c r="BX58" s="9"/>
      <c r="BY58" s="9"/>
      <c r="BZ58" s="9">
        <f t="shared" si="162"/>
        <v>50.8</v>
      </c>
      <c r="CA58" s="9">
        <f t="shared" si="163"/>
        <v>63.499999999999986</v>
      </c>
      <c r="CB58" s="9">
        <f t="shared" si="63"/>
        <v>1.4623505735569622</v>
      </c>
      <c r="CC58" s="9">
        <v>0</v>
      </c>
      <c r="CD58" s="9">
        <f t="shared" si="129"/>
        <v>0</v>
      </c>
      <c r="CE58" s="9">
        <f t="shared" si="65"/>
        <v>0</v>
      </c>
      <c r="CF58" s="9">
        <f t="shared" si="164"/>
        <v>0.99524931562137331</v>
      </c>
      <c r="CG58" s="9">
        <f t="shared" si="165"/>
        <v>1.056</v>
      </c>
      <c r="CH58" s="9">
        <f t="shared" si="68"/>
        <v>1.9464482686693119</v>
      </c>
      <c r="CI58" s="9">
        <f t="shared" si="69"/>
        <v>2.8463897420875242</v>
      </c>
      <c r="CJ58" s="9">
        <v>1</v>
      </c>
      <c r="CK58" s="9">
        <f t="shared" si="70"/>
        <v>250.48229730370213</v>
      </c>
      <c r="CM58" s="4">
        <f t="shared" si="137"/>
        <v>2.3493191743759252</v>
      </c>
      <c r="CN58" s="4">
        <f t="shared" si="138"/>
        <v>1.0232030933667093</v>
      </c>
      <c r="CO58" s="4">
        <f t="shared" si="139"/>
        <v>2.3700400963612549</v>
      </c>
      <c r="CP58" s="4">
        <f t="shared" si="140"/>
        <v>1.8284725305145577</v>
      </c>
      <c r="CQ58" s="4">
        <f t="shared" si="141"/>
        <v>1.1197809722276568</v>
      </c>
      <c r="CR58" s="4">
        <f t="shared" si="142"/>
        <v>1.1806252210562127</v>
      </c>
      <c r="CS58" s="4">
        <f t="shared" si="143"/>
        <v>2.1630936371420115</v>
      </c>
      <c r="CU58" s="4">
        <f t="shared" si="144"/>
        <v>2.3493191743759252</v>
      </c>
      <c r="CV58" s="4">
        <f t="shared" si="144"/>
        <v>1.0232030933667093</v>
      </c>
      <c r="CW58" s="4">
        <f t="shared" si="145"/>
        <v>1.8284725305145577</v>
      </c>
      <c r="CX58" s="4">
        <f t="shared" si="166"/>
        <v>2.1630936371420115</v>
      </c>
      <c r="CY58" s="4">
        <f t="shared" si="146"/>
        <v>1.1197809722276568</v>
      </c>
      <c r="CZ58" s="4">
        <f t="shared" si="146"/>
        <v>1.1806252210562127</v>
      </c>
      <c r="DH58" s="4">
        <f t="shared" si="167"/>
        <v>0</v>
      </c>
      <c r="DI58" s="4">
        <f t="shared" si="168"/>
        <v>254</v>
      </c>
      <c r="DJ58" s="4">
        <f t="shared" si="169"/>
        <v>0.7</v>
      </c>
      <c r="DL58" s="4">
        <f t="shared" si="170"/>
        <v>1.7601358282256944E-5</v>
      </c>
      <c r="DM58" s="4">
        <f t="shared" si="171"/>
        <v>6.6857562842857838</v>
      </c>
      <c r="DN58" s="4">
        <f t="shared" si="172"/>
        <v>0.45604779407414225</v>
      </c>
      <c r="DO58" s="4">
        <f t="shared" si="76"/>
        <v>4.8837641772607956</v>
      </c>
      <c r="DP58" s="4">
        <f t="shared" si="77"/>
        <v>5.8546719413635264</v>
      </c>
      <c r="DQ58" s="4">
        <f t="shared" si="78"/>
        <v>6.3893714675739641</v>
      </c>
      <c r="DR58" s="38">
        <f t="shared" si="119"/>
        <v>409.00855735105887</v>
      </c>
      <c r="DS58" s="4">
        <f t="shared" si="79"/>
        <v>1.0001419780087477</v>
      </c>
      <c r="DT58" s="4">
        <f t="shared" si="147"/>
        <v>2.3874672772626644</v>
      </c>
      <c r="DU58" s="4">
        <f t="shared" si="120"/>
        <v>254.34794172646181</v>
      </c>
      <c r="DY58" s="4">
        <f t="shared" si="173"/>
        <v>0.85</v>
      </c>
      <c r="DZ58" s="4">
        <f t="shared" si="81"/>
        <v>0.85000000000000009</v>
      </c>
      <c r="EA58" s="4">
        <f t="shared" si="82"/>
        <v>1</v>
      </c>
      <c r="EB58" s="4">
        <f t="shared" si="83"/>
        <v>0.85000000000000009</v>
      </c>
      <c r="ED58" s="4">
        <f t="shared" si="121"/>
        <v>387.93004912283965</v>
      </c>
      <c r="EE58" s="25">
        <f t="shared" si="122"/>
        <v>262.95857582217241</v>
      </c>
      <c r="EG58" s="4">
        <f t="shared" si="148"/>
        <v>0.72250000000000003</v>
      </c>
      <c r="EH58" s="4">
        <f t="shared" si="84"/>
        <v>6.6857562842857838</v>
      </c>
      <c r="EI58" s="4">
        <f t="shared" si="174"/>
        <v>6.028412726414806</v>
      </c>
      <c r="EK58" s="4">
        <f t="shared" si="175"/>
        <v>60.641668842471674</v>
      </c>
      <c r="EL58" s="4">
        <f t="shared" si="176"/>
        <v>2.3874672772626644</v>
      </c>
      <c r="EM58" s="4">
        <f t="shared" si="177"/>
        <v>0.13195463217595851</v>
      </c>
      <c r="EP58" s="4">
        <f t="shared" si="178"/>
        <v>0.13195463217595851</v>
      </c>
      <c r="EQ58" s="4">
        <f t="shared" si="179"/>
        <v>0.45528673530158714</v>
      </c>
      <c r="ER58" s="4">
        <f t="shared" si="180"/>
        <v>4.8805025068076127</v>
      </c>
      <c r="ES58" s="4">
        <f t="shared" si="181"/>
        <v>5.8533131368817264</v>
      </c>
      <c r="ET58" s="4">
        <f t="shared" si="182"/>
        <v>129.85833115752831</v>
      </c>
      <c r="EU58" s="4">
        <f t="shared" si="183"/>
        <v>63.5</v>
      </c>
      <c r="EV58" s="4">
        <f t="shared" si="95"/>
        <v>1.7601358282256944E-5</v>
      </c>
      <c r="EW58" s="4">
        <f t="shared" si="184"/>
        <v>6.3894588954142764</v>
      </c>
      <c r="EX58" s="4">
        <f t="shared" si="185"/>
        <v>408.95049537404924</v>
      </c>
      <c r="EY58" s="4">
        <f t="shared" si="186"/>
        <v>117.15833115752831</v>
      </c>
      <c r="EZ58" s="4">
        <f t="shared" si="187"/>
        <v>0</v>
      </c>
      <c r="FB58" s="4">
        <f t="shared" si="100"/>
        <v>75.601215227906266</v>
      </c>
      <c r="FG58" s="23">
        <f t="shared" si="188"/>
        <v>2.2000000000000002</v>
      </c>
      <c r="FH58" s="23">
        <f t="shared" si="188"/>
        <v>1.2</v>
      </c>
      <c r="FI58" s="23">
        <f t="shared" si="189"/>
        <v>2.2000000000000002</v>
      </c>
      <c r="FJ58" s="23">
        <f t="shared" si="190"/>
        <v>2</v>
      </c>
      <c r="FK58" s="23">
        <f t="shared" si="149"/>
        <v>1.2</v>
      </c>
      <c r="FL58" s="23">
        <f t="shared" si="149"/>
        <v>1.2</v>
      </c>
      <c r="FM58" s="23">
        <f t="shared" si="191"/>
        <v>0</v>
      </c>
      <c r="FN58" s="23"/>
      <c r="FO58" s="1" t="s">
        <v>47</v>
      </c>
      <c r="FP58">
        <f t="shared" ref="FP58:FU58" si="197">COUNTIF(FG19:FG570,1.6)</f>
        <v>39</v>
      </c>
      <c r="FQ58">
        <f t="shared" si="197"/>
        <v>29</v>
      </c>
      <c r="FR58">
        <f t="shared" si="197"/>
        <v>58</v>
      </c>
      <c r="FS58">
        <f t="shared" si="197"/>
        <v>48</v>
      </c>
      <c r="FT58">
        <f t="shared" si="197"/>
        <v>20</v>
      </c>
      <c r="FU58">
        <f t="shared" si="197"/>
        <v>33</v>
      </c>
      <c r="FX58" s="4">
        <f t="shared" si="101"/>
        <v>1</v>
      </c>
      <c r="FY58" s="4">
        <f t="shared" si="102"/>
        <v>1.0833333333333333</v>
      </c>
      <c r="FZ58" s="4">
        <f t="shared" si="103"/>
        <v>0</v>
      </c>
      <c r="GA58" s="4">
        <f t="shared" si="104"/>
        <v>211.73378356617641</v>
      </c>
    </row>
    <row r="59" spans="1:183" ht="12" hidden="1" customHeight="1" x14ac:dyDescent="0.3">
      <c r="A59" s="25">
        <v>41</v>
      </c>
      <c r="B59" s="20" t="s">
        <v>54</v>
      </c>
      <c r="C59" s="20">
        <v>2006</v>
      </c>
      <c r="D59" s="24" t="s">
        <v>55</v>
      </c>
      <c r="E59" s="24"/>
      <c r="F59" s="7" t="s">
        <v>66</v>
      </c>
      <c r="G59" s="7">
        <v>472</v>
      </c>
      <c r="H59" s="7">
        <f t="shared" si="150"/>
        <v>254</v>
      </c>
      <c r="I59" s="7">
        <f t="shared" si="131"/>
        <v>177.79999999999998</v>
      </c>
      <c r="J59" s="7">
        <v>21</v>
      </c>
      <c r="K59" s="7">
        <v>25.4</v>
      </c>
      <c r="L59" s="7">
        <f t="shared" si="151"/>
        <v>10</v>
      </c>
      <c r="M59" s="7">
        <v>7</v>
      </c>
      <c r="N59" s="7">
        <f t="shared" si="132"/>
        <v>152.39999999999998</v>
      </c>
      <c r="O59" s="7">
        <f t="shared" si="108"/>
        <v>63.499999999999986</v>
      </c>
      <c r="P59" s="7">
        <f t="shared" si="133"/>
        <v>50.8</v>
      </c>
      <c r="Q59" s="7">
        <v>0</v>
      </c>
      <c r="R59" s="7">
        <v>1</v>
      </c>
      <c r="S59" s="7">
        <f t="shared" si="134"/>
        <v>88.899999999999991</v>
      </c>
      <c r="T59" s="7">
        <f t="shared" si="42"/>
        <v>2.9999999999999996</v>
      </c>
      <c r="U59" s="7">
        <f t="shared" si="135"/>
        <v>4</v>
      </c>
      <c r="V59" s="7">
        <v>4.7</v>
      </c>
      <c r="W59" s="7">
        <f t="shared" si="152"/>
        <v>4.7</v>
      </c>
      <c r="X59" s="7">
        <f t="shared" si="44"/>
        <v>5.7</v>
      </c>
      <c r="Y59" s="7">
        <f t="shared" si="45"/>
        <v>60.641668842471674</v>
      </c>
      <c r="Z59" s="7"/>
      <c r="AA59" s="7"/>
      <c r="AB59" s="7">
        <v>458</v>
      </c>
      <c r="AC59" s="7"/>
      <c r="AD59" s="7"/>
      <c r="AE59" s="7"/>
      <c r="AF59" s="7"/>
      <c r="AG59" s="7">
        <v>1</v>
      </c>
      <c r="AH59" s="7"/>
      <c r="AI59" s="7"/>
      <c r="AJ59" s="7"/>
      <c r="AK59" s="4">
        <f t="shared" si="125"/>
        <v>254</v>
      </c>
      <c r="AL59" s="44">
        <f t="shared" si="153"/>
        <v>0.12666666666666665</v>
      </c>
      <c r="AM59" s="25">
        <f t="shared" si="112"/>
        <v>366.10267967102493</v>
      </c>
      <c r="AN59" s="4">
        <f t="shared" si="113"/>
        <v>0.7599999999999999</v>
      </c>
      <c r="AO59" s="4">
        <v>1.25</v>
      </c>
      <c r="AP59" s="25">
        <f t="shared" si="114"/>
        <v>5</v>
      </c>
      <c r="AQ59" s="38">
        <f t="shared" si="115"/>
        <v>220.27177893539994</v>
      </c>
      <c r="AR59" s="38">
        <f t="shared" si="116"/>
        <v>220.27177893539994</v>
      </c>
      <c r="AT59" s="38">
        <f t="shared" si="130"/>
        <v>220.27177893539994</v>
      </c>
      <c r="AU59" s="38">
        <f t="shared" si="47"/>
        <v>1</v>
      </c>
      <c r="AV59" s="38">
        <f t="shared" si="136"/>
        <v>1.4054593116130687</v>
      </c>
      <c r="AW59" s="4">
        <f t="shared" si="154"/>
        <v>0</v>
      </c>
      <c r="AX59" s="4">
        <f t="shared" si="155"/>
        <v>168.83173612995199</v>
      </c>
      <c r="AY59" s="4">
        <f t="shared" si="49"/>
        <v>1.1333333333333333</v>
      </c>
      <c r="AZ59" s="38">
        <f t="shared" si="117"/>
        <v>309.58302279033325</v>
      </c>
      <c r="BA59" s="4">
        <f t="shared" si="50"/>
        <v>0.34199999999999997</v>
      </c>
      <c r="BB59" s="4">
        <f t="shared" si="51"/>
        <v>30.169387087741768</v>
      </c>
      <c r="BC59" s="4">
        <f t="shared" si="52"/>
        <v>339.75240987807501</v>
      </c>
      <c r="BE59" s="36">
        <f t="shared" si="53"/>
        <v>1.1000000000000001</v>
      </c>
      <c r="BF59" s="36">
        <f t="shared" si="54"/>
        <v>167.35566437978727</v>
      </c>
      <c r="BK59" s="4">
        <f t="shared" si="156"/>
        <v>63.499999999999986</v>
      </c>
      <c r="BL59" s="4">
        <f t="shared" si="157"/>
        <v>63.499999999999986</v>
      </c>
      <c r="BM59" s="4">
        <f t="shared" si="158"/>
        <v>88.899999999999991</v>
      </c>
      <c r="BN59" s="4">
        <f t="shared" si="159"/>
        <v>76.199999999999989</v>
      </c>
      <c r="BO59" s="4">
        <f t="shared" si="160"/>
        <v>1.04</v>
      </c>
      <c r="BP59" s="25">
        <f t="shared" si="118"/>
        <v>3.1199999999999997</v>
      </c>
      <c r="BR59" s="4">
        <f t="shared" si="161"/>
        <v>63.499999999999986</v>
      </c>
      <c r="BV59" s="9"/>
      <c r="BX59" s="9"/>
      <c r="BY59" s="9"/>
      <c r="BZ59" s="9">
        <f t="shared" si="162"/>
        <v>50.8</v>
      </c>
      <c r="CA59" s="9">
        <f t="shared" si="163"/>
        <v>63.499999999999986</v>
      </c>
      <c r="CB59" s="9">
        <f t="shared" si="63"/>
        <v>1.4623505735569622</v>
      </c>
      <c r="CC59" s="9">
        <v>0</v>
      </c>
      <c r="CD59" s="9">
        <f t="shared" si="129"/>
        <v>0</v>
      </c>
      <c r="CE59" s="9">
        <f t="shared" si="65"/>
        <v>0</v>
      </c>
      <c r="CF59" s="9">
        <f t="shared" si="164"/>
        <v>0.99524931562137331</v>
      </c>
      <c r="CG59" s="9">
        <f t="shared" si="165"/>
        <v>1.056</v>
      </c>
      <c r="CH59" s="9">
        <f t="shared" si="68"/>
        <v>1.6856736478198622</v>
      </c>
      <c r="CI59" s="9">
        <f t="shared" si="69"/>
        <v>2.465045825719232</v>
      </c>
      <c r="CJ59" s="9">
        <v>1</v>
      </c>
      <c r="CK59" s="9">
        <f t="shared" si="70"/>
        <v>216.92403266329242</v>
      </c>
      <c r="CM59" s="4">
        <f t="shared" si="137"/>
        <v>2.7127601154765797</v>
      </c>
      <c r="CN59" s="4">
        <f t="shared" si="138"/>
        <v>1.3480404750163797</v>
      </c>
      <c r="CO59" s="4">
        <f t="shared" si="139"/>
        <v>2.7366865752487546</v>
      </c>
      <c r="CP59" s="4">
        <f t="shared" si="140"/>
        <v>2.1113382153968323</v>
      </c>
      <c r="CQ59" s="4">
        <f t="shared" si="141"/>
        <v>1.2773071017135704</v>
      </c>
      <c r="CR59" s="4">
        <f t="shared" si="142"/>
        <v>1.3657607623619461</v>
      </c>
      <c r="CS59" s="4">
        <f t="shared" si="143"/>
        <v>2.324395382191629</v>
      </c>
      <c r="CU59" s="4">
        <f t="shared" si="144"/>
        <v>2.7127601154765797</v>
      </c>
      <c r="CV59" s="4">
        <f t="shared" si="144"/>
        <v>1.3480404750163797</v>
      </c>
      <c r="CW59" s="4">
        <f t="shared" si="145"/>
        <v>2.1113382153968323</v>
      </c>
      <c r="CX59" s="4">
        <f t="shared" si="166"/>
        <v>2.324395382191629</v>
      </c>
      <c r="CY59" s="4">
        <f t="shared" si="146"/>
        <v>1.2773071017135704</v>
      </c>
      <c r="CZ59" s="4">
        <f t="shared" si="146"/>
        <v>1.3657607623619461</v>
      </c>
      <c r="DH59" s="4">
        <f t="shared" si="167"/>
        <v>0</v>
      </c>
      <c r="DI59" s="4">
        <f t="shared" si="168"/>
        <v>254</v>
      </c>
      <c r="DJ59" s="4">
        <f t="shared" si="169"/>
        <v>0.7</v>
      </c>
      <c r="DL59" s="4">
        <f t="shared" si="170"/>
        <v>1.668887417236156E-5</v>
      </c>
      <c r="DM59" s="4">
        <f t="shared" si="171"/>
        <v>5.7900347857029448</v>
      </c>
      <c r="DN59" s="4">
        <f t="shared" si="172"/>
        <v>0.52659863334408208</v>
      </c>
      <c r="DO59" s="4">
        <f t="shared" si="76"/>
        <v>4.4799489379953377</v>
      </c>
      <c r="DP59" s="4">
        <f t="shared" si="77"/>
        <v>5.1766701262685118</v>
      </c>
      <c r="DQ59" s="4">
        <f t="shared" si="78"/>
        <v>5.5734189946502246</v>
      </c>
      <c r="DR59" s="38">
        <f t="shared" si="119"/>
        <v>358.56686257014496</v>
      </c>
      <c r="DS59" s="4">
        <f t="shared" si="79"/>
        <v>1.000151622901764</v>
      </c>
      <c r="DT59" s="4">
        <f t="shared" si="147"/>
        <v>2.3874672772626644</v>
      </c>
      <c r="DU59" s="4">
        <f t="shared" si="120"/>
        <v>220.27177893539994</v>
      </c>
      <c r="DY59" s="4">
        <f t="shared" si="173"/>
        <v>0.85</v>
      </c>
      <c r="DZ59" s="4">
        <f t="shared" si="81"/>
        <v>0.85000000000000009</v>
      </c>
      <c r="EA59" s="4">
        <f t="shared" si="82"/>
        <v>1</v>
      </c>
      <c r="EB59" s="4">
        <f t="shared" si="83"/>
        <v>0.85000000000000009</v>
      </c>
      <c r="ED59" s="4">
        <f t="shared" si="121"/>
        <v>335.34423642976458</v>
      </c>
      <c r="EE59" s="25">
        <f t="shared" si="122"/>
        <v>227.72880680497778</v>
      </c>
      <c r="EG59" s="4">
        <f t="shared" si="148"/>
        <v>0.72250000000000003</v>
      </c>
      <c r="EH59" s="4">
        <f t="shared" si="84"/>
        <v>5.7900347857029448</v>
      </c>
      <c r="EI59" s="4">
        <f t="shared" si="174"/>
        <v>5.2207585655726314</v>
      </c>
      <c r="EK59" s="4">
        <f t="shared" si="175"/>
        <v>60.641668842471674</v>
      </c>
      <c r="EL59" s="4">
        <f t="shared" si="176"/>
        <v>2.3874672772626644</v>
      </c>
      <c r="EM59" s="4">
        <f t="shared" si="177"/>
        <v>0.13195463217595851</v>
      </c>
      <c r="EP59" s="4">
        <f t="shared" si="178"/>
        <v>0.13195463217595851</v>
      </c>
      <c r="EQ59" s="4">
        <f t="shared" si="179"/>
        <v>0.52571983836967451</v>
      </c>
      <c r="ER59" s="4">
        <f t="shared" si="180"/>
        <v>4.4769569595638528</v>
      </c>
      <c r="ES59" s="4">
        <f t="shared" si="181"/>
        <v>5.1753763982640848</v>
      </c>
      <c r="ET59" s="4">
        <f t="shared" si="182"/>
        <v>129.85833115752831</v>
      </c>
      <c r="EU59" s="4">
        <f t="shared" si="183"/>
        <v>63.5</v>
      </c>
      <c r="EV59" s="4">
        <f t="shared" si="95"/>
        <v>1.668887417236156E-5</v>
      </c>
      <c r="EW59" s="4">
        <f t="shared" si="184"/>
        <v>5.5734861149773431</v>
      </c>
      <c r="EX59" s="4">
        <f t="shared" si="185"/>
        <v>358.51250386399045</v>
      </c>
      <c r="EY59" s="4">
        <f t="shared" si="186"/>
        <v>117.15833115752831</v>
      </c>
      <c r="EZ59" s="4">
        <f t="shared" si="187"/>
        <v>0</v>
      </c>
      <c r="FB59" s="4">
        <f t="shared" si="100"/>
        <v>66.085613946301578</v>
      </c>
      <c r="FG59" s="23">
        <f t="shared" si="188"/>
        <v>2.2000000000000002</v>
      </c>
      <c r="FH59" s="23">
        <f t="shared" si="188"/>
        <v>1.4</v>
      </c>
      <c r="FI59" s="23">
        <f t="shared" si="189"/>
        <v>2.2000000000000002</v>
      </c>
      <c r="FJ59" s="23">
        <f t="shared" si="190"/>
        <v>2.2000000000000002</v>
      </c>
      <c r="FK59" s="23">
        <f t="shared" si="149"/>
        <v>1.4</v>
      </c>
      <c r="FL59" s="23">
        <f t="shared" si="149"/>
        <v>1.4</v>
      </c>
      <c r="FM59" s="23">
        <f t="shared" si="191"/>
        <v>0</v>
      </c>
      <c r="FN59" s="23"/>
      <c r="FO59" s="1" t="s">
        <v>48</v>
      </c>
      <c r="FP59">
        <f t="shared" ref="FP59:FU59" si="198">COUNTIF(FG19:FG570,1.8)</f>
        <v>36</v>
      </c>
      <c r="FQ59">
        <f t="shared" si="198"/>
        <v>11</v>
      </c>
      <c r="FR59">
        <f t="shared" si="198"/>
        <v>26</v>
      </c>
      <c r="FS59">
        <f t="shared" si="198"/>
        <v>59</v>
      </c>
      <c r="FT59">
        <f t="shared" si="198"/>
        <v>5</v>
      </c>
      <c r="FU59">
        <f t="shared" si="198"/>
        <v>16</v>
      </c>
      <c r="FX59" s="4">
        <f t="shared" si="101"/>
        <v>1</v>
      </c>
      <c r="FY59" s="4">
        <f t="shared" si="102"/>
        <v>1.0833333333333333</v>
      </c>
      <c r="FZ59" s="4">
        <f t="shared" si="103"/>
        <v>0</v>
      </c>
      <c r="GA59" s="4">
        <f t="shared" si="104"/>
        <v>197.04048782275603</v>
      </c>
    </row>
    <row r="60" spans="1:183" ht="12" hidden="1" customHeight="1" x14ac:dyDescent="0.3">
      <c r="A60" s="25">
        <v>42</v>
      </c>
      <c r="B60" s="20" t="s">
        <v>54</v>
      </c>
      <c r="C60" s="20">
        <v>2006</v>
      </c>
      <c r="D60" s="24" t="s">
        <v>55</v>
      </c>
      <c r="E60" s="24"/>
      <c r="F60" s="7" t="s">
        <v>281</v>
      </c>
      <c r="G60" s="7">
        <v>472</v>
      </c>
      <c r="H60" s="7">
        <f t="shared" si="150"/>
        <v>254</v>
      </c>
      <c r="I60" s="7">
        <f t="shared" si="131"/>
        <v>177.79999999999998</v>
      </c>
      <c r="J60" s="7">
        <v>27</v>
      </c>
      <c r="K60" s="7">
        <v>25.4</v>
      </c>
      <c r="L60" s="7">
        <f t="shared" si="151"/>
        <v>10</v>
      </c>
      <c r="M60" s="7">
        <v>7</v>
      </c>
      <c r="N60" s="7">
        <f t="shared" si="132"/>
        <v>152.39999999999998</v>
      </c>
      <c r="O60" s="7">
        <f t="shared" si="108"/>
        <v>63.499999999999986</v>
      </c>
      <c r="P60" s="7">
        <f t="shared" si="133"/>
        <v>50.8</v>
      </c>
      <c r="Q60" s="7">
        <v>0</v>
      </c>
      <c r="R60" s="7">
        <v>1</v>
      </c>
      <c r="S60" s="7">
        <f t="shared" si="134"/>
        <v>88.899999999999991</v>
      </c>
      <c r="T60" s="7">
        <f t="shared" si="42"/>
        <v>2.9999999999999996</v>
      </c>
      <c r="U60" s="7">
        <f t="shared" si="135"/>
        <v>4</v>
      </c>
      <c r="V60" s="7">
        <v>4.7</v>
      </c>
      <c r="W60" s="7">
        <f t="shared" si="152"/>
        <v>4.7</v>
      </c>
      <c r="X60" s="7">
        <f t="shared" si="44"/>
        <v>5.7</v>
      </c>
      <c r="Y60" s="7">
        <f>K60*X60^0.5</f>
        <v>60.641668842471674</v>
      </c>
      <c r="Z60" s="7"/>
      <c r="AA60" s="7"/>
      <c r="AB60" s="7">
        <v>472</v>
      </c>
      <c r="AC60" s="7"/>
      <c r="AD60" s="7"/>
      <c r="AE60" s="7"/>
      <c r="AF60" s="7"/>
      <c r="AG60" s="7">
        <v>1</v>
      </c>
      <c r="AH60" s="7"/>
      <c r="AI60" s="7"/>
      <c r="AJ60" s="7"/>
      <c r="AK60" s="4">
        <f t="shared" si="125"/>
        <v>254</v>
      </c>
      <c r="AL60" s="44">
        <f t="shared" si="153"/>
        <v>0.12666666666666665</v>
      </c>
      <c r="AM60" s="25">
        <f t="shared" si="112"/>
        <v>415.1214191673746</v>
      </c>
      <c r="AN60" s="4">
        <f t="shared" si="113"/>
        <v>0.7599999999999999</v>
      </c>
      <c r="AO60" s="4">
        <v>1.25</v>
      </c>
      <c r="AP60" s="25">
        <f t="shared" si="114"/>
        <v>5</v>
      </c>
      <c r="AQ60" s="38">
        <f t="shared" si="115"/>
        <v>249.76472053237029</v>
      </c>
      <c r="AR60" s="38">
        <f t="shared" si="116"/>
        <v>249.76472053237029</v>
      </c>
      <c r="AT60" s="38">
        <f t="shared" si="130"/>
        <v>249.76472053237032</v>
      </c>
      <c r="AU60" s="38">
        <f t="shared" si="47"/>
        <v>0.99999999999999989</v>
      </c>
      <c r="AV60" s="38">
        <f t="shared" si="136"/>
        <v>1.5936410641492338</v>
      </c>
      <c r="AW60" s="4">
        <f t="shared" si="154"/>
        <v>0</v>
      </c>
      <c r="AX60" s="4">
        <f>I60/K60*J60^0.5/0.19</f>
        <v>191.43719452077065</v>
      </c>
      <c r="AY60" s="4">
        <f>MIN(0.6+0.4*(U60/T60),2)</f>
        <v>1.1333333333333333</v>
      </c>
      <c r="AZ60" s="38">
        <f t="shared" si="117"/>
        <v>398.03531501614259</v>
      </c>
      <c r="BA60" s="4">
        <f>MAX(1-0.7*W60/5,0.3)</f>
        <v>0.34199999999999997</v>
      </c>
      <c r="BB60" s="4">
        <f t="shared" si="51"/>
        <v>34.208869474889106</v>
      </c>
      <c r="BC60" s="4">
        <f t="shared" si="52"/>
        <v>432.24418449103172</v>
      </c>
      <c r="BE60" s="36">
        <f t="shared" si="53"/>
        <v>1.1000000000000001</v>
      </c>
      <c r="BF60" s="36">
        <f t="shared" si="54"/>
        <v>189.7634864772462</v>
      </c>
      <c r="BK60" s="4">
        <f t="shared" si="156"/>
        <v>63.499999999999986</v>
      </c>
      <c r="BL60" s="4">
        <f t="shared" si="157"/>
        <v>63.499999999999986</v>
      </c>
      <c r="BM60" s="4">
        <f t="shared" si="158"/>
        <v>88.899999999999991</v>
      </c>
      <c r="BN60" s="4">
        <f t="shared" si="159"/>
        <v>76.199999999999989</v>
      </c>
      <c r="BO60" s="4">
        <f t="shared" si="160"/>
        <v>1.04</v>
      </c>
      <c r="BP60" s="25">
        <f t="shared" si="118"/>
        <v>3.1199999999999997</v>
      </c>
      <c r="BR60" s="4">
        <f t="shared" si="161"/>
        <v>63.499999999999986</v>
      </c>
      <c r="BV60" s="9"/>
      <c r="BX60" s="9"/>
      <c r="BY60" s="9"/>
      <c r="BZ60" s="9">
        <f t="shared" si="162"/>
        <v>50.8</v>
      </c>
      <c r="CA60" s="9">
        <f t="shared" si="163"/>
        <v>63.499999999999986</v>
      </c>
      <c r="CB60" s="9">
        <f t="shared" si="63"/>
        <v>1.4623505735569622</v>
      </c>
      <c r="CC60" s="9">
        <v>0</v>
      </c>
      <c r="CD60" s="9">
        <f t="shared" si="129"/>
        <v>0</v>
      </c>
      <c r="CE60" s="9">
        <f t="shared" si="65"/>
        <v>0</v>
      </c>
      <c r="CF60" s="9">
        <f t="shared" si="164"/>
        <v>0.99524931562137331</v>
      </c>
      <c r="CG60" s="9">
        <f t="shared" si="165"/>
        <v>1.056</v>
      </c>
      <c r="CH60" s="9">
        <f t="shared" si="68"/>
        <v>1.911374255891328</v>
      </c>
      <c r="CI60" s="9">
        <f t="shared" si="69"/>
        <v>2.7950992393846952</v>
      </c>
      <c r="CJ60" s="9">
        <v>1</v>
      </c>
      <c r="CK60" s="9">
        <f t="shared" si="70"/>
        <v>245.96873306585317</v>
      </c>
      <c r="CM60" s="4">
        <f t="shared" si="137"/>
        <v>2.465560578139316</v>
      </c>
      <c r="CN60" s="4">
        <f t="shared" si="138"/>
        <v>1.0919753623886943</v>
      </c>
      <c r="CO60" s="4">
        <f t="shared" si="139"/>
        <v>2.487306745687325</v>
      </c>
      <c r="CP60" s="4">
        <f t="shared" si="140"/>
        <v>1.9189430872648008</v>
      </c>
      <c r="CQ60" s="4">
        <f t="shared" si="141"/>
        <v>1.1734211874058873</v>
      </c>
      <c r="CR60" s="4">
        <f t="shared" si="142"/>
        <v>1.2393430683283218</v>
      </c>
      <c r="CS60" s="4">
        <f t="shared" si="143"/>
        <v>2.2495746388655649</v>
      </c>
      <c r="CU60" s="4">
        <f t="shared" si="144"/>
        <v>2.465560578139316</v>
      </c>
      <c r="CV60" s="4">
        <f t="shared" si="144"/>
        <v>1.0919753623886943</v>
      </c>
      <c r="CW60" s="4">
        <f t="shared" si="145"/>
        <v>1.9189430872648008</v>
      </c>
      <c r="CX60" s="4">
        <f t="shared" si="166"/>
        <v>2.2495746388655649</v>
      </c>
      <c r="CY60" s="4">
        <f t="shared" si="146"/>
        <v>1.1734211874058873</v>
      </c>
      <c r="CZ60" s="4">
        <f t="shared" si="146"/>
        <v>1.2393430683283218</v>
      </c>
      <c r="DH60" s="4">
        <f t="shared" si="167"/>
        <v>0</v>
      </c>
      <c r="DI60" s="4">
        <f t="shared" si="168"/>
        <v>254</v>
      </c>
      <c r="DJ60" s="4">
        <f t="shared" si="169"/>
        <v>0.7</v>
      </c>
      <c r="DL60" s="4">
        <f t="shared" si="170"/>
        <v>1.7472864382687078E-5</v>
      </c>
      <c r="DM60" s="4">
        <f t="shared" si="171"/>
        <v>6.5652823394499222</v>
      </c>
      <c r="DN60" s="4">
        <f t="shared" si="172"/>
        <v>0.46441634152497552</v>
      </c>
      <c r="DO60" s="4">
        <f t="shared" si="76"/>
        <v>4.8307704919126984</v>
      </c>
      <c r="DP60" s="4">
        <f t="shared" si="77"/>
        <v>5.7637968710281546</v>
      </c>
      <c r="DQ60" s="4">
        <f t="shared" si="78"/>
        <v>6.2806000030155449</v>
      </c>
      <c r="DR60" s="38">
        <f t="shared" si="119"/>
        <v>402.24260910395071</v>
      </c>
      <c r="DS60" s="4">
        <f t="shared" si="79"/>
        <v>1.0001431777712819</v>
      </c>
      <c r="DT60" s="4">
        <f t="shared" si="147"/>
        <v>2.3874672772626644</v>
      </c>
      <c r="DU60" s="4">
        <f t="shared" si="120"/>
        <v>249.76472053237032</v>
      </c>
      <c r="DY60" s="4">
        <f t="shared" si="173"/>
        <v>0.85</v>
      </c>
      <c r="DZ60" s="4">
        <f t="shared" si="81"/>
        <v>0.85000000000000009</v>
      </c>
      <c r="EA60" s="4">
        <f t="shared" si="82"/>
        <v>1</v>
      </c>
      <c r="EB60" s="4">
        <f t="shared" si="83"/>
        <v>0.85000000000000009</v>
      </c>
      <c r="ED60" s="4">
        <f t="shared" si="121"/>
        <v>380.84692774911269</v>
      </c>
      <c r="EE60" s="25">
        <f t="shared" si="122"/>
        <v>258.22019535919065</v>
      </c>
      <c r="EG60" s="4">
        <f t="shared" si="148"/>
        <v>0.72250000000000003</v>
      </c>
      <c r="EH60" s="4">
        <f t="shared" si="84"/>
        <v>6.5652823394499222</v>
      </c>
      <c r="EI60" s="4">
        <f t="shared" si="174"/>
        <v>5.9197837798352051</v>
      </c>
      <c r="EK60" s="4">
        <f t="shared" si="175"/>
        <v>60.641668842471674</v>
      </c>
      <c r="EL60" s="4">
        <f t="shared" si="176"/>
        <v>2.3874672772626644</v>
      </c>
      <c r="EM60" s="4">
        <f t="shared" si="177"/>
        <v>0.13195463217595849</v>
      </c>
      <c r="EP60" s="4">
        <f t="shared" si="178"/>
        <v>0.13195463217595849</v>
      </c>
      <c r="EQ60" s="4">
        <f t="shared" si="179"/>
        <v>0.46364131720641022</v>
      </c>
      <c r="ER60" s="4">
        <f t="shared" si="180"/>
        <v>4.8275442138190625</v>
      </c>
      <c r="ES60" s="4">
        <f t="shared" si="181"/>
        <v>5.7624463416714153</v>
      </c>
      <c r="ET60" s="4">
        <f t="shared" si="182"/>
        <v>129.85833115752831</v>
      </c>
      <c r="EU60" s="4">
        <f t="shared" si="183"/>
        <v>63.5</v>
      </c>
      <c r="EV60" s="4">
        <f t="shared" si="95"/>
        <v>1.7472864382687078E-5</v>
      </c>
      <c r="EW60" s="4">
        <f t="shared" si="184"/>
        <v>6.2806845110232778</v>
      </c>
      <c r="EX60" s="4">
        <f t="shared" si="185"/>
        <v>402.18502514840702</v>
      </c>
      <c r="EY60" s="4">
        <f t="shared" si="186"/>
        <v>117.15833115752831</v>
      </c>
      <c r="EZ60" s="4">
        <f t="shared" si="187"/>
        <v>0</v>
      </c>
      <c r="FB60" s="4">
        <f t="shared" si="100"/>
        <v>74.331737793575599</v>
      </c>
      <c r="FG60" s="23">
        <f t="shared" si="188"/>
        <v>2.2000000000000002</v>
      </c>
      <c r="FH60" s="23">
        <f t="shared" si="188"/>
        <v>1.2</v>
      </c>
      <c r="FI60" s="23">
        <f t="shared" si="189"/>
        <v>2.2000000000000002</v>
      </c>
      <c r="FJ60" s="23">
        <f t="shared" si="190"/>
        <v>2</v>
      </c>
      <c r="FK60" s="23">
        <f t="shared" si="149"/>
        <v>1.2</v>
      </c>
      <c r="FL60" s="23">
        <f t="shared" si="149"/>
        <v>1.4</v>
      </c>
      <c r="FM60" s="23">
        <f t="shared" si="191"/>
        <v>0</v>
      </c>
      <c r="FN60" s="23"/>
      <c r="FO60" s="1" t="s">
        <v>49</v>
      </c>
      <c r="FP60">
        <f t="shared" ref="FP60:FU60" si="199">COUNTIF(FG19:FG570,2)</f>
        <v>38</v>
      </c>
      <c r="FQ60">
        <f t="shared" si="199"/>
        <v>3</v>
      </c>
      <c r="FR60">
        <f t="shared" si="199"/>
        <v>17</v>
      </c>
      <c r="FS60">
        <f t="shared" si="199"/>
        <v>70</v>
      </c>
      <c r="FT60">
        <f t="shared" si="199"/>
        <v>0</v>
      </c>
      <c r="FU60">
        <f t="shared" si="199"/>
        <v>1</v>
      </c>
      <c r="FX60" s="4">
        <f t="shared" si="101"/>
        <v>1</v>
      </c>
      <c r="FY60" s="4">
        <f t="shared" si="102"/>
        <v>1.0833333333333333</v>
      </c>
      <c r="FZ60" s="4">
        <f t="shared" si="103"/>
        <v>0</v>
      </c>
      <c r="GA60" s="4">
        <f t="shared" si="104"/>
        <v>209.81744363815565</v>
      </c>
    </row>
    <row r="61" spans="1:183" ht="12" hidden="1" customHeight="1" x14ac:dyDescent="0.3">
      <c r="A61" s="25">
        <v>43</v>
      </c>
      <c r="B61" s="20" t="s">
        <v>54</v>
      </c>
      <c r="C61" s="20">
        <v>2006</v>
      </c>
      <c r="D61" s="24" t="s">
        <v>55</v>
      </c>
      <c r="E61" s="24"/>
      <c r="F61" s="7" t="s">
        <v>282</v>
      </c>
      <c r="G61" s="7">
        <v>472</v>
      </c>
      <c r="H61" s="7">
        <f t="shared" si="150"/>
        <v>254</v>
      </c>
      <c r="I61" s="7">
        <f t="shared" si="131"/>
        <v>177.79999999999998</v>
      </c>
      <c r="J61" s="7">
        <v>28</v>
      </c>
      <c r="K61" s="7">
        <v>25.4</v>
      </c>
      <c r="L61" s="7">
        <f t="shared" si="151"/>
        <v>10</v>
      </c>
      <c r="M61" s="7">
        <v>7</v>
      </c>
      <c r="N61" s="7">
        <f t="shared" si="132"/>
        <v>152.39999999999998</v>
      </c>
      <c r="O61" s="7">
        <f t="shared" si="108"/>
        <v>63.499999999999986</v>
      </c>
      <c r="P61" s="7">
        <f t="shared" si="133"/>
        <v>50.8</v>
      </c>
      <c r="Q61" s="7">
        <v>0</v>
      </c>
      <c r="R61" s="7">
        <v>1</v>
      </c>
      <c r="S61" s="7">
        <f t="shared" si="134"/>
        <v>88.899999999999991</v>
      </c>
      <c r="T61" s="7">
        <f t="shared" si="42"/>
        <v>2.9999999999999996</v>
      </c>
      <c r="U61" s="7">
        <f t="shared" si="135"/>
        <v>4</v>
      </c>
      <c r="V61" s="7">
        <v>10.39</v>
      </c>
      <c r="W61" s="7">
        <f t="shared" si="152"/>
        <v>10.39</v>
      </c>
      <c r="X61" s="7">
        <f t="shared" si="44"/>
        <v>11.39</v>
      </c>
      <c r="Y61" s="7">
        <f t="shared" ref="Y61:Y124" si="200">K61*X61^0.5</f>
        <v>85.722648115885917</v>
      </c>
      <c r="Z61" s="7"/>
      <c r="AA61" s="7"/>
      <c r="AB61" s="7">
        <v>472</v>
      </c>
      <c r="AC61" s="7"/>
      <c r="AD61" s="7"/>
      <c r="AE61" s="7"/>
      <c r="AF61" s="7"/>
      <c r="AG61" s="7">
        <v>1</v>
      </c>
      <c r="AH61" s="7"/>
      <c r="AI61" s="7"/>
      <c r="AJ61" s="7"/>
      <c r="AK61" s="4">
        <f t="shared" si="125"/>
        <v>254</v>
      </c>
      <c r="AL61" s="44">
        <f t="shared" si="153"/>
        <v>0.12666666666666665</v>
      </c>
      <c r="AM61" s="25">
        <f t="shared" si="112"/>
        <v>422.7389613182192</v>
      </c>
      <c r="AN61" s="4">
        <f t="shared" si="113"/>
        <v>0.7599999999999999</v>
      </c>
      <c r="AO61" s="4">
        <v>1.25</v>
      </c>
      <c r="AP61" s="25">
        <f t="shared" si="114"/>
        <v>5</v>
      </c>
      <c r="AQ61" s="38">
        <f t="shared" si="115"/>
        <v>254.34794172646178</v>
      </c>
      <c r="AR61" s="38">
        <f t="shared" si="116"/>
        <v>254.34794172646178</v>
      </c>
      <c r="AT61" s="38">
        <f t="shared" si="130"/>
        <v>254.34794172646181</v>
      </c>
      <c r="AU61" s="38">
        <f t="shared" si="47"/>
        <v>0.99999999999999989</v>
      </c>
      <c r="AV61" s="38">
        <f t="shared" si="136"/>
        <v>2.4129398188950528</v>
      </c>
      <c r="AW61" s="4">
        <f t="shared" si="154"/>
        <v>0</v>
      </c>
      <c r="AX61" s="4">
        <f t="shared" ref="AX61" si="201">I61/K61*J61^0.5/0.19</f>
        <v>194.95009660475932</v>
      </c>
      <c r="AY61" s="4">
        <f t="shared" ref="AY61" si="202">MIN(0.6+0.4*(U61/T61),2)</f>
        <v>1.1333333333333333</v>
      </c>
      <c r="AZ61" s="38">
        <f t="shared" si="117"/>
        <v>613.72627644577824</v>
      </c>
      <c r="BA61" s="4">
        <f t="shared" ref="BA61" si="203">MAX(1-0.7*W61/5,0.3)</f>
        <v>0.3</v>
      </c>
      <c r="BB61" s="4">
        <f t="shared" si="51"/>
        <v>30.558427642796019</v>
      </c>
      <c r="BC61" s="4">
        <f t="shared" si="52"/>
        <v>644.28470408857424</v>
      </c>
      <c r="BE61" s="36">
        <f t="shared" si="53"/>
        <v>1.1000000000000001</v>
      </c>
      <c r="BF61" s="36">
        <f t="shared" si="54"/>
        <v>193.24567576015772</v>
      </c>
      <c r="BK61" s="4">
        <f t="shared" si="156"/>
        <v>63.499999999999986</v>
      </c>
      <c r="BL61" s="4">
        <f t="shared" si="157"/>
        <v>63.499999999999986</v>
      </c>
      <c r="BM61" s="4">
        <f t="shared" si="158"/>
        <v>88.899999999999991</v>
      </c>
      <c r="BN61" s="4">
        <f t="shared" si="159"/>
        <v>76.199999999999989</v>
      </c>
      <c r="BO61" s="4">
        <f t="shared" si="160"/>
        <v>1.04</v>
      </c>
      <c r="BP61" s="25">
        <f t="shared" si="118"/>
        <v>3.1199999999999997</v>
      </c>
      <c r="BR61" s="4">
        <f t="shared" si="161"/>
        <v>63.499999999999986</v>
      </c>
      <c r="BV61" s="9"/>
      <c r="BX61" s="9"/>
      <c r="BY61" s="9"/>
      <c r="BZ61" s="9">
        <f t="shared" si="162"/>
        <v>50.8</v>
      </c>
      <c r="CA61" s="9">
        <f t="shared" si="163"/>
        <v>63.499999999999986</v>
      </c>
      <c r="CB61" s="9">
        <f t="shared" si="63"/>
        <v>1.4623505735569622</v>
      </c>
      <c r="CC61" s="9">
        <v>0</v>
      </c>
      <c r="CD61" s="9">
        <f t="shared" si="129"/>
        <v>0</v>
      </c>
      <c r="CE61" s="9">
        <f t="shared" si="65"/>
        <v>0</v>
      </c>
      <c r="CF61" s="9">
        <f t="shared" si="164"/>
        <v>0.99524931562137331</v>
      </c>
      <c r="CG61" s="9">
        <f t="shared" si="165"/>
        <v>1.056</v>
      </c>
      <c r="CH61" s="9">
        <f t="shared" si="68"/>
        <v>1.9464482686693119</v>
      </c>
      <c r="CI61" s="9">
        <f t="shared" si="69"/>
        <v>2.8463897420875242</v>
      </c>
      <c r="CJ61" s="9">
        <v>1</v>
      </c>
      <c r="CK61" s="9">
        <f t="shared" si="70"/>
        <v>250.48229730370213</v>
      </c>
      <c r="CM61" s="4">
        <f t="shared" si="137"/>
        <v>2.4211324242476784</v>
      </c>
      <c r="CN61" s="4">
        <f t="shared" si="138"/>
        <v>0.7325953836940865</v>
      </c>
      <c r="CO61" s="4">
        <f t="shared" si="139"/>
        <v>2.4424867368613805</v>
      </c>
      <c r="CP61" s="4">
        <f t="shared" si="140"/>
        <v>1.8843647039364</v>
      </c>
      <c r="CQ61" s="4">
        <f t="shared" si="141"/>
        <v>1.2108105529790076</v>
      </c>
      <c r="CR61" s="4">
        <f t="shared" si="142"/>
        <v>1.2156689397553775</v>
      </c>
      <c r="CS61" s="4">
        <f t="shared" si="143"/>
        <v>2.2292144033428589</v>
      </c>
      <c r="CU61" s="4">
        <f t="shared" si="144"/>
        <v>2.4211324242476784</v>
      </c>
      <c r="CV61" s="4">
        <f t="shared" si="144"/>
        <v>0.7325953836940865</v>
      </c>
      <c r="CW61" s="4">
        <f t="shared" si="145"/>
        <v>1.8843647039364</v>
      </c>
      <c r="CX61" s="4">
        <f t="shared" si="166"/>
        <v>2.2292144033428589</v>
      </c>
      <c r="CY61" s="4">
        <f t="shared" si="146"/>
        <v>1.2108105529790076</v>
      </c>
      <c r="CZ61" s="4">
        <f t="shared" si="146"/>
        <v>1.2156689397553775</v>
      </c>
      <c r="DH61" s="4">
        <f t="shared" si="167"/>
        <v>0</v>
      </c>
      <c r="DI61" s="4">
        <f t="shared" si="168"/>
        <v>254</v>
      </c>
      <c r="DJ61" s="4">
        <f t="shared" si="169"/>
        <v>0.7</v>
      </c>
      <c r="DL61" s="4">
        <f t="shared" si="170"/>
        <v>1.7601358282256944E-5</v>
      </c>
      <c r="DM61" s="4">
        <f t="shared" si="171"/>
        <v>6.6857562842857838</v>
      </c>
      <c r="DN61" s="4">
        <f t="shared" si="172"/>
        <v>0.29161986457583566</v>
      </c>
      <c r="DO61" s="4">
        <f t="shared" si="76"/>
        <v>4.083921473569565</v>
      </c>
      <c r="DP61" s="4">
        <f t="shared" si="77"/>
        <v>5.5406123899996746</v>
      </c>
      <c r="DQ61" s="4">
        <f t="shared" si="78"/>
        <v>6.4187649496664125</v>
      </c>
      <c r="DR61" s="38">
        <f t="shared" si="119"/>
        <v>389.82151158058434</v>
      </c>
      <c r="DS61" s="4">
        <f t="shared" si="79"/>
        <v>1.0001348124900087</v>
      </c>
      <c r="DT61" s="4">
        <f t="shared" si="147"/>
        <v>3.3749074061372411</v>
      </c>
      <c r="DU61" s="4">
        <f t="shared" si="120"/>
        <v>254.34794172646181</v>
      </c>
      <c r="DY61" s="4">
        <f t="shared" si="173"/>
        <v>0.85</v>
      </c>
      <c r="DZ61" s="4">
        <f t="shared" si="81"/>
        <v>0.85000000000000009</v>
      </c>
      <c r="EA61" s="4">
        <f t="shared" si="82"/>
        <v>1</v>
      </c>
      <c r="EB61" s="4">
        <f t="shared" si="83"/>
        <v>0.85000000000000009</v>
      </c>
      <c r="ED61" s="4">
        <f t="shared" si="121"/>
        <v>388.26360085746535</v>
      </c>
      <c r="EE61" s="25">
        <f t="shared" si="122"/>
        <v>262.95857582217241</v>
      </c>
      <c r="EG61" s="4">
        <f t="shared" si="148"/>
        <v>0.72250000000000003</v>
      </c>
      <c r="EH61" s="4">
        <f t="shared" si="84"/>
        <v>6.6857562842857838</v>
      </c>
      <c r="EI61" s="4">
        <f t="shared" si="174"/>
        <v>6.028412726414806</v>
      </c>
      <c r="EK61" s="4">
        <f t="shared" si="175"/>
        <v>85.722648115885917</v>
      </c>
      <c r="EL61" s="4">
        <f t="shared" si="176"/>
        <v>3.3749074061372411</v>
      </c>
      <c r="EM61" s="4">
        <f t="shared" si="177"/>
        <v>8.437841924754759E-2</v>
      </c>
      <c r="EP61" s="4">
        <f t="shared" si="178"/>
        <v>8.437841924754759E-2</v>
      </c>
      <c r="EQ61" s="4">
        <f t="shared" si="179"/>
        <v>0.291133205372413</v>
      </c>
      <c r="ER61" s="4">
        <f t="shared" si="180"/>
        <v>4.0811939860169337</v>
      </c>
      <c r="ES61" s="4">
        <f t="shared" si="181"/>
        <v>5.5396113900741408</v>
      </c>
      <c r="ET61" s="4">
        <f t="shared" si="182"/>
        <v>104.77735188411408</v>
      </c>
      <c r="EU61" s="4">
        <f t="shared" si="183"/>
        <v>63.499999999999986</v>
      </c>
      <c r="EV61" s="4">
        <f t="shared" si="95"/>
        <v>1.760135828225694E-5</v>
      </c>
      <c r="EW61" s="4">
        <f t="shared" si="184"/>
        <v>6.4188440713132247</v>
      </c>
      <c r="EX61" s="4">
        <f t="shared" si="185"/>
        <v>389.76896585576924</v>
      </c>
      <c r="EY61" s="4">
        <f t="shared" si="186"/>
        <v>92.077351884114066</v>
      </c>
      <c r="EZ61" s="4">
        <f t="shared" si="187"/>
        <v>0</v>
      </c>
      <c r="FB61" s="4">
        <f t="shared" si="100"/>
        <v>75.267663493280565</v>
      </c>
      <c r="FG61" s="23">
        <f t="shared" si="188"/>
        <v>2.2000000000000002</v>
      </c>
      <c r="FH61" s="23">
        <f t="shared" si="188"/>
        <v>0.8</v>
      </c>
      <c r="FI61" s="23">
        <f t="shared" si="189"/>
        <v>2.2000000000000002</v>
      </c>
      <c r="FJ61" s="23">
        <f t="shared" si="190"/>
        <v>2</v>
      </c>
      <c r="FK61" s="23">
        <f t="shared" si="149"/>
        <v>1.4</v>
      </c>
      <c r="FL61" s="23">
        <f t="shared" si="149"/>
        <v>1.4</v>
      </c>
      <c r="FM61" s="23">
        <f t="shared" si="191"/>
        <v>0</v>
      </c>
      <c r="FN61" s="23"/>
      <c r="FO61" s="1" t="s">
        <v>50</v>
      </c>
      <c r="FP61">
        <f t="shared" ref="FP61:FU61" si="204">COUNTIF(FG19:FG570,2.2)</f>
        <v>108</v>
      </c>
      <c r="FQ61">
        <f t="shared" si="204"/>
        <v>1</v>
      </c>
      <c r="FR61">
        <f t="shared" si="204"/>
        <v>43</v>
      </c>
      <c r="FS61">
        <f t="shared" si="204"/>
        <v>123</v>
      </c>
      <c r="FT61">
        <f t="shared" si="204"/>
        <v>0</v>
      </c>
      <c r="FU61">
        <f t="shared" si="204"/>
        <v>0</v>
      </c>
      <c r="FX61" s="4">
        <f t="shared" si="101"/>
        <v>1</v>
      </c>
      <c r="FY61" s="4">
        <f t="shared" si="102"/>
        <v>1.0833333333333333</v>
      </c>
      <c r="FZ61" s="4">
        <f t="shared" si="103"/>
        <v>0</v>
      </c>
      <c r="GA61" s="4">
        <f t="shared" si="104"/>
        <v>211.73378356617641</v>
      </c>
    </row>
    <row r="62" spans="1:183" ht="12" hidden="1" customHeight="1" x14ac:dyDescent="0.3">
      <c r="A62" s="25">
        <v>44</v>
      </c>
      <c r="B62" s="20" t="s">
        <v>54</v>
      </c>
      <c r="C62" s="20">
        <v>2006</v>
      </c>
      <c r="D62" s="24" t="s">
        <v>55</v>
      </c>
      <c r="E62" s="24"/>
      <c r="F62" s="7" t="s">
        <v>77</v>
      </c>
      <c r="G62" s="7">
        <v>472</v>
      </c>
      <c r="H62" s="7">
        <f>15*25.4</f>
        <v>381</v>
      </c>
      <c r="I62" s="7">
        <f t="shared" si="131"/>
        <v>177.79999999999998</v>
      </c>
      <c r="J62" s="7">
        <v>28</v>
      </c>
      <c r="K62" s="7">
        <v>25.4</v>
      </c>
      <c r="L62" s="7">
        <f t="shared" si="151"/>
        <v>15</v>
      </c>
      <c r="M62" s="7">
        <v>7</v>
      </c>
      <c r="N62" s="7">
        <f t="shared" si="132"/>
        <v>152.39999999999998</v>
      </c>
      <c r="O62" s="7">
        <f t="shared" si="108"/>
        <v>63.499999999999986</v>
      </c>
      <c r="P62" s="7">
        <f t="shared" si="133"/>
        <v>50.8</v>
      </c>
      <c r="Q62" s="7">
        <v>0</v>
      </c>
      <c r="R62" s="7">
        <v>1</v>
      </c>
      <c r="S62" s="7">
        <f t="shared" si="134"/>
        <v>88.899999999999991</v>
      </c>
      <c r="T62" s="7">
        <f t="shared" si="42"/>
        <v>2.9999999999999996</v>
      </c>
      <c r="U62" s="7">
        <f t="shared" si="135"/>
        <v>4</v>
      </c>
      <c r="V62" s="7">
        <v>1.18</v>
      </c>
      <c r="W62" s="7">
        <f t="shared" si="152"/>
        <v>1.18</v>
      </c>
      <c r="X62" s="7">
        <f t="shared" si="44"/>
        <v>2.1799999999999997</v>
      </c>
      <c r="Y62" s="7">
        <f t="shared" si="200"/>
        <v>37.502650572992827</v>
      </c>
      <c r="Z62" s="7"/>
      <c r="AA62" s="7"/>
      <c r="AB62" s="7">
        <v>0</v>
      </c>
      <c r="AC62" s="7"/>
      <c r="AD62" s="7"/>
      <c r="AE62" s="7"/>
      <c r="AF62" s="7"/>
      <c r="AG62" s="7">
        <v>1</v>
      </c>
      <c r="AH62" s="7"/>
      <c r="AI62" s="7"/>
      <c r="AJ62" s="7"/>
      <c r="AK62" s="4">
        <f t="shared" si="125"/>
        <v>381</v>
      </c>
      <c r="AL62" s="44">
        <f t="shared" si="153"/>
        <v>5.9259259259259248E-2</v>
      </c>
      <c r="AM62" s="25">
        <f t="shared" si="112"/>
        <v>776.62106221784506</v>
      </c>
      <c r="AN62" s="4">
        <f t="shared" si="113"/>
        <v>0.74</v>
      </c>
      <c r="AO62" s="4">
        <v>1.25</v>
      </c>
      <c r="AP62" s="25">
        <f t="shared" si="114"/>
        <v>5</v>
      </c>
      <c r="AQ62" s="38">
        <f t="shared" si="115"/>
        <v>212.85169853377971</v>
      </c>
      <c r="AR62" s="38">
        <f t="shared" si="116"/>
        <v>212.85169853377971</v>
      </c>
      <c r="AT62" s="38">
        <f t="shared" si="130"/>
        <v>212.85169853377948</v>
      </c>
      <c r="AU62" s="38">
        <f t="shared" si="47"/>
        <v>1.0000000000000011</v>
      </c>
      <c r="AV62" s="38">
        <f t="shared" si="136"/>
        <v>0.9716969231496575</v>
      </c>
      <c r="AW62" s="4">
        <f t="shared" si="154"/>
        <v>1</v>
      </c>
      <c r="AX62" s="4">
        <f>I62/K62*J62^0.5/0.19</f>
        <v>194.95009660475932</v>
      </c>
      <c r="AY62" s="4">
        <f>MIN(0.6+0.4*(U62/T62),2)</f>
        <v>1.1333333333333333</v>
      </c>
      <c r="AZ62" s="38">
        <f t="shared" si="117"/>
        <v>206.827340552452</v>
      </c>
      <c r="BA62" s="4">
        <f>MAX(1-0.7*W62/5,0.3)</f>
        <v>0.83479999999999999</v>
      </c>
      <c r="BB62" s="4">
        <f t="shared" si="51"/>
        <v>85.033917987353718</v>
      </c>
      <c r="BC62" s="4">
        <f t="shared" si="52"/>
        <v>291.8612585398057</v>
      </c>
      <c r="BE62" s="36">
        <f t="shared" si="53"/>
        <v>1.1000000000000001</v>
      </c>
      <c r="BF62" s="36">
        <f t="shared" si="54"/>
        <v>193.24567576015772</v>
      </c>
      <c r="BK62" s="4">
        <f t="shared" si="156"/>
        <v>63.499999999999986</v>
      </c>
      <c r="BL62" s="4">
        <f t="shared" si="157"/>
        <v>63.499999999999986</v>
      </c>
      <c r="BM62" s="4">
        <f t="shared" si="158"/>
        <v>88.899999999999991</v>
      </c>
      <c r="BN62" s="4">
        <f t="shared" si="159"/>
        <v>76.199999999999989</v>
      </c>
      <c r="BO62" s="4">
        <f t="shared" si="160"/>
        <v>1.04</v>
      </c>
      <c r="BP62" s="25">
        <f t="shared" si="118"/>
        <v>3.1199999999999997</v>
      </c>
      <c r="BR62" s="4">
        <f t="shared" si="161"/>
        <v>63.499999999999986</v>
      </c>
      <c r="BV62" s="9"/>
      <c r="BX62" s="9"/>
      <c r="BY62" s="9"/>
      <c r="BZ62" s="9">
        <f>IF(Q62=0,MIN(O62,P62),MIN(Q62/2,O62,P62))</f>
        <v>50.8</v>
      </c>
      <c r="CA62" s="9">
        <f>MAX(Q62/2,O62)</f>
        <v>63.499999999999986</v>
      </c>
      <c r="CB62" s="9">
        <f t="shared" si="63"/>
        <v>1.4623505735569622</v>
      </c>
      <c r="CC62" s="9">
        <v>0</v>
      </c>
      <c r="CD62" s="9">
        <f t="shared" si="129"/>
        <v>0</v>
      </c>
      <c r="CE62" s="9">
        <f t="shared" si="65"/>
        <v>0</v>
      </c>
      <c r="CF62" s="9">
        <f>MIN(1,(25/K62)^0.3)</f>
        <v>0.99524931562137331</v>
      </c>
      <c r="CG62" s="9">
        <f>IF(G62&gt;=800,0.68,IF(G62&gt;=700,0.75-(G62-700)*0.07/100,IF(G62&gt;=600,0.85-(G62-600)*0.1/100,IF(G62&gt;=500,1-(G62-500)*0.15/100,1.2-(G62-400)*0.2/100))))</f>
        <v>1.056</v>
      </c>
      <c r="CH62" s="9">
        <f t="shared" si="68"/>
        <v>1.9464482686693119</v>
      </c>
      <c r="CI62" s="9">
        <f t="shared" si="69"/>
        <v>2.8463897420875242</v>
      </c>
      <c r="CJ62" s="9">
        <v>1</v>
      </c>
      <c r="CK62" s="9">
        <f t="shared" si="70"/>
        <v>250.48229730370213</v>
      </c>
      <c r="DH62" s="4">
        <f t="shared" si="167"/>
        <v>0</v>
      </c>
      <c r="DI62" s="4">
        <f t="shared" si="168"/>
        <v>381</v>
      </c>
      <c r="DJ62" s="4">
        <f t="shared" si="169"/>
        <v>0.46666666666666662</v>
      </c>
      <c r="DL62" s="4">
        <f t="shared" si="170"/>
        <v>2.6402037423385414E-5</v>
      </c>
      <c r="DM62" s="4">
        <f t="shared" si="171"/>
        <v>6.6857562842857838</v>
      </c>
      <c r="DN62" s="4">
        <f t="shared" si="172"/>
        <v>0.9400823991177234</v>
      </c>
      <c r="DO62" s="4">
        <f t="shared" si="76"/>
        <v>6.5225423839155505</v>
      </c>
      <c r="DP62" s="4">
        <f t="shared" si="77"/>
        <v>6.6046535278620073</v>
      </c>
      <c r="DQ62" s="4">
        <f t="shared" si="78"/>
        <v>5.9210154692863419</v>
      </c>
      <c r="DR62" s="38">
        <f t="shared" si="119"/>
        <v>397.32998405897229</v>
      </c>
      <c r="DS62" s="4">
        <f t="shared" si="79"/>
        <v>1.0002672863210411</v>
      </c>
      <c r="DT62" s="4">
        <f t="shared" si="147"/>
        <v>1.4764823060233399</v>
      </c>
      <c r="DU62" s="4">
        <f t="shared" si="120"/>
        <v>212.85169853377948</v>
      </c>
      <c r="DY62" s="4">
        <f>IF(P62&gt;1*K62,0.85,1)</f>
        <v>0.85</v>
      </c>
      <c r="DZ62" s="4">
        <f t="shared" si="81"/>
        <v>0.85000000000000009</v>
      </c>
      <c r="EA62" s="4">
        <f t="shared" si="82"/>
        <v>1</v>
      </c>
      <c r="EB62" s="4">
        <f t="shared" si="83"/>
        <v>0.85000000000000009</v>
      </c>
      <c r="ED62" s="4">
        <f t="shared" si="121"/>
        <v>309.73118092328752</v>
      </c>
      <c r="EE62" s="25">
        <f t="shared" si="122"/>
        <v>209.93356079366291</v>
      </c>
      <c r="EG62" s="4">
        <f t="shared" si="148"/>
        <v>0.72250000000000003</v>
      </c>
      <c r="EH62" s="4">
        <f t="shared" si="84"/>
        <v>6.6857562842857838</v>
      </c>
      <c r="EI62" s="4">
        <f t="shared" si="174"/>
        <v>6.028412726414806</v>
      </c>
      <c r="EK62" s="4">
        <f t="shared" si="175"/>
        <v>37.502650572992827</v>
      </c>
      <c r="EL62" s="4">
        <f t="shared" si="176"/>
        <v>1.4764823060233399</v>
      </c>
      <c r="EM62" s="4">
        <f t="shared" si="177"/>
        <v>0.27200707645678157</v>
      </c>
      <c r="EP62" s="4">
        <f t="shared" si="178"/>
        <v>0.27200707645678157</v>
      </c>
      <c r="EQ62" s="4">
        <f t="shared" si="179"/>
        <v>0.93851357680113745</v>
      </c>
      <c r="ER62" s="4">
        <f t="shared" si="180"/>
        <v>6.5181862391466634</v>
      </c>
      <c r="ES62" s="4">
        <f>EH62/1.4*(1-EQ62^1.4)/(1-EQ62)</f>
        <v>6.602502902959194</v>
      </c>
      <c r="ET62" s="4">
        <f t="shared" si="182"/>
        <v>248.24734942700718</v>
      </c>
      <c r="EU62" s="4">
        <f t="shared" si="183"/>
        <v>95.25</v>
      </c>
      <c r="EV62" s="4">
        <f t="shared" si="95"/>
        <v>2.6402037423385414E-5</v>
      </c>
      <c r="EW62" s="4">
        <f>MAX(0.5*EH62, (1-2*EV62*(EK62*ER62+ET62*ES62))/(1/EH62+EV62*EU62))</f>
        <v>5.9212575541952805</v>
      </c>
      <c r="EX62" s="4">
        <f t="shared" si="185"/>
        <v>397.22381156774838</v>
      </c>
      <c r="EY62" s="4">
        <f t="shared" si="186"/>
        <v>140.29734942700716</v>
      </c>
      <c r="EZ62" s="4">
        <f t="shared" si="187"/>
        <v>0</v>
      </c>
      <c r="FB62" s="4">
        <f t="shared" si="100"/>
        <v>201.06141266323561</v>
      </c>
      <c r="FG62" s="23"/>
      <c r="FH62" s="23"/>
      <c r="FI62" s="23"/>
      <c r="FJ62" s="23"/>
      <c r="FK62" s="23"/>
      <c r="FL62" s="23"/>
      <c r="FM62" s="23"/>
      <c r="FN62" s="23"/>
      <c r="FO62"/>
      <c r="FP62"/>
      <c r="FQ62"/>
      <c r="FR62"/>
      <c r="FS62"/>
      <c r="FT62"/>
      <c r="FU62"/>
      <c r="FX62" s="4">
        <f t="shared" si="101"/>
        <v>1</v>
      </c>
      <c r="FY62" s="4">
        <f t="shared" si="102"/>
        <v>1.0833333333333333</v>
      </c>
      <c r="FZ62" s="4">
        <f t="shared" si="103"/>
        <v>0</v>
      </c>
      <c r="GA62" s="4">
        <f t="shared" si="104"/>
        <v>317.60067534926469</v>
      </c>
    </row>
    <row r="63" spans="1:183" ht="12" hidden="1" customHeight="1" x14ac:dyDescent="0.3">
      <c r="A63" s="25">
        <v>45</v>
      </c>
      <c r="B63" s="20" t="s">
        <v>54</v>
      </c>
      <c r="C63" s="20">
        <v>2006</v>
      </c>
      <c r="D63" s="24" t="s">
        <v>55</v>
      </c>
      <c r="E63" s="24"/>
      <c r="F63" s="7" t="s">
        <v>69</v>
      </c>
      <c r="G63" s="7">
        <v>472</v>
      </c>
      <c r="H63" s="7">
        <f t="shared" ref="H63:H73" si="205">15*25.4</f>
        <v>381</v>
      </c>
      <c r="I63" s="7">
        <f t="shared" si="131"/>
        <v>177.79999999999998</v>
      </c>
      <c r="J63" s="7">
        <v>28</v>
      </c>
      <c r="K63" s="7">
        <v>25.4</v>
      </c>
      <c r="L63" s="7">
        <f t="shared" si="151"/>
        <v>15</v>
      </c>
      <c r="M63" s="7">
        <v>7</v>
      </c>
      <c r="N63" s="7">
        <f t="shared" si="132"/>
        <v>152.39999999999998</v>
      </c>
      <c r="O63" s="7">
        <f t="shared" si="108"/>
        <v>63.499999999999986</v>
      </c>
      <c r="P63" s="7">
        <f t="shared" si="133"/>
        <v>50.8</v>
      </c>
      <c r="Q63" s="7">
        <v>0</v>
      </c>
      <c r="R63" s="7">
        <v>1</v>
      </c>
      <c r="S63" s="7">
        <f t="shared" si="134"/>
        <v>88.899999999999991</v>
      </c>
      <c r="T63" s="7">
        <f t="shared" si="42"/>
        <v>2.9999999999999996</v>
      </c>
      <c r="U63" s="7">
        <f t="shared" si="135"/>
        <v>4</v>
      </c>
      <c r="V63" s="7">
        <v>1.85</v>
      </c>
      <c r="W63" s="7">
        <f t="shared" si="152"/>
        <v>1.85</v>
      </c>
      <c r="X63" s="7">
        <f t="shared" si="44"/>
        <v>2.85</v>
      </c>
      <c r="Y63" s="7">
        <f t="shared" si="200"/>
        <v>42.880135260980694</v>
      </c>
      <c r="Z63" s="7"/>
      <c r="AA63" s="7"/>
      <c r="AB63" s="7">
        <v>0</v>
      </c>
      <c r="AC63" s="7"/>
      <c r="AD63" s="7"/>
      <c r="AE63" s="7"/>
      <c r="AF63" s="7"/>
      <c r="AG63" s="7">
        <v>1</v>
      </c>
      <c r="AH63" s="7"/>
      <c r="AI63" s="7"/>
      <c r="AJ63" s="7"/>
      <c r="AK63" s="4">
        <f t="shared" si="125"/>
        <v>381</v>
      </c>
      <c r="AL63" s="44">
        <f t="shared" si="153"/>
        <v>5.9259259259259248E-2</v>
      </c>
      <c r="AM63" s="25">
        <f t="shared" si="112"/>
        <v>776.62106221784506</v>
      </c>
      <c r="AN63" s="4">
        <f t="shared" si="113"/>
        <v>0.74</v>
      </c>
      <c r="AO63" s="4">
        <v>1.25</v>
      </c>
      <c r="AP63" s="25">
        <f t="shared" si="114"/>
        <v>5</v>
      </c>
      <c r="AQ63" s="38">
        <f t="shared" si="115"/>
        <v>212.85169853377971</v>
      </c>
      <c r="AR63" s="38">
        <f t="shared" si="116"/>
        <v>212.85169853377971</v>
      </c>
      <c r="AT63" s="38">
        <f t="shared" si="130"/>
        <v>212.85169853377948</v>
      </c>
      <c r="AU63" s="38">
        <f t="shared" si="47"/>
        <v>1.0000000000000011</v>
      </c>
      <c r="AV63" s="38">
        <f t="shared" si="136"/>
        <v>1.2166780921657716</v>
      </c>
      <c r="AW63" s="4">
        <f t="shared" si="154"/>
        <v>0</v>
      </c>
      <c r="AX63" s="4">
        <f>I63/K63*J63^0.5/0.19</f>
        <v>194.95009660475932</v>
      </c>
      <c r="AY63" s="4">
        <f>MIN(0.6+0.4*(U63/T63),2)</f>
        <v>1.1333333333333333</v>
      </c>
      <c r="AZ63" s="38">
        <f t="shared" si="117"/>
        <v>258.97199848632278</v>
      </c>
      <c r="BA63" s="4">
        <f>MAX(1-0.7*W63/5,0.3)</f>
        <v>0.74099999999999999</v>
      </c>
      <c r="BB63" s="4">
        <f t="shared" si="51"/>
        <v>75.479316277706175</v>
      </c>
      <c r="BC63" s="4">
        <f t="shared" si="52"/>
        <v>334.45131476402895</v>
      </c>
      <c r="BE63" s="36">
        <f t="shared" si="53"/>
        <v>1.1000000000000001</v>
      </c>
      <c r="BF63" s="36">
        <f t="shared" si="54"/>
        <v>193.24567576015772</v>
      </c>
      <c r="BK63" s="4">
        <f t="shared" si="156"/>
        <v>63.499999999999986</v>
      </c>
      <c r="BL63" s="4">
        <f t="shared" si="157"/>
        <v>63.499999999999986</v>
      </c>
      <c r="BM63" s="4">
        <f t="shared" si="158"/>
        <v>88.899999999999991</v>
      </c>
      <c r="BN63" s="4">
        <f t="shared" si="159"/>
        <v>76.199999999999989</v>
      </c>
      <c r="BO63" s="4">
        <f t="shared" si="160"/>
        <v>1.04</v>
      </c>
      <c r="BP63" s="25">
        <f t="shared" si="118"/>
        <v>3.1199999999999997</v>
      </c>
      <c r="BR63" s="4">
        <f t="shared" si="161"/>
        <v>63.499999999999986</v>
      </c>
      <c r="BV63" s="9"/>
      <c r="BX63" s="9"/>
      <c r="BY63" s="9"/>
      <c r="BZ63" s="9">
        <f>IF(Q63=0,MIN(O63,P63),MIN(Q63/2,O63,P63))</f>
        <v>50.8</v>
      </c>
      <c r="CA63" s="9">
        <f>MAX(Q63/2,O63)</f>
        <v>63.499999999999986</v>
      </c>
      <c r="CB63" s="9">
        <f t="shared" si="63"/>
        <v>1.4623505735569622</v>
      </c>
      <c r="CC63" s="9">
        <v>0</v>
      </c>
      <c r="CD63" s="9">
        <f t="shared" si="129"/>
        <v>0</v>
      </c>
      <c r="CE63" s="9">
        <f t="shared" si="65"/>
        <v>0</v>
      </c>
      <c r="CF63" s="9">
        <f>MIN(1,(25/K63)^0.3)</f>
        <v>0.99524931562137331</v>
      </c>
      <c r="CG63" s="9">
        <f>IF(G63&gt;=800,0.68,IF(G63&gt;=700,0.75-(G63-700)*0.07/100,IF(G63&gt;=600,0.85-(G63-600)*0.1/100,IF(G63&gt;=500,1-(G63-500)*0.15/100,1.2-(G63-400)*0.2/100))))</f>
        <v>1.056</v>
      </c>
      <c r="CH63" s="9">
        <f t="shared" si="68"/>
        <v>1.9464482686693119</v>
      </c>
      <c r="CI63" s="9">
        <f t="shared" si="69"/>
        <v>2.8463897420875242</v>
      </c>
      <c r="CJ63" s="9">
        <v>1</v>
      </c>
      <c r="CK63" s="9">
        <f t="shared" si="70"/>
        <v>250.48229730370213</v>
      </c>
      <c r="DH63" s="4">
        <f t="shared" si="167"/>
        <v>0</v>
      </c>
      <c r="DI63" s="4">
        <f t="shared" si="168"/>
        <v>381</v>
      </c>
      <c r="DJ63" s="4">
        <f t="shared" si="169"/>
        <v>0.46666666666666662</v>
      </c>
      <c r="DL63" s="4">
        <f t="shared" si="170"/>
        <v>2.6402037423385414E-5</v>
      </c>
      <c r="DM63" s="4">
        <f t="shared" si="171"/>
        <v>6.6857562842857838</v>
      </c>
      <c r="DN63" s="4">
        <f t="shared" si="172"/>
        <v>0.68559932873052221</v>
      </c>
      <c r="DO63" s="4">
        <f t="shared" si="76"/>
        <v>5.7488197873479097</v>
      </c>
      <c r="DP63" s="4">
        <f t="shared" si="77"/>
        <v>6.2349223865162244</v>
      </c>
      <c r="DQ63" s="4">
        <f t="shared" si="78"/>
        <v>5.9638650161149709</v>
      </c>
      <c r="DR63" s="38">
        <f t="shared" si="119"/>
        <v>384.17396911408935</v>
      </c>
      <c r="DS63" s="4">
        <f t="shared" si="79"/>
        <v>1.0002356530690875</v>
      </c>
      <c r="DT63" s="4">
        <f t="shared" si="147"/>
        <v>1.6881943016134133</v>
      </c>
      <c r="DU63" s="4">
        <f t="shared" si="120"/>
        <v>212.85169853377948</v>
      </c>
      <c r="DY63" s="4">
        <f>IF(P63&gt;1*K63,0.85,1)</f>
        <v>0.85</v>
      </c>
      <c r="DZ63" s="4">
        <f t="shared" si="81"/>
        <v>0.85000000000000009</v>
      </c>
      <c r="EA63" s="4">
        <f t="shared" si="82"/>
        <v>1</v>
      </c>
      <c r="EB63" s="4">
        <f t="shared" si="83"/>
        <v>0.85000000000000009</v>
      </c>
      <c r="ED63" s="4">
        <f t="shared" si="121"/>
        <v>315.36792408353995</v>
      </c>
      <c r="EE63" s="25">
        <f t="shared" si="122"/>
        <v>209.93356079366291</v>
      </c>
      <c r="EG63" s="4">
        <f t="shared" si="148"/>
        <v>0.72250000000000003</v>
      </c>
      <c r="EH63" s="4">
        <f t="shared" si="84"/>
        <v>6.6857562842857838</v>
      </c>
      <c r="EI63" s="4">
        <f t="shared" si="174"/>
        <v>6.028412726414806</v>
      </c>
      <c r="EK63" s="4">
        <f t="shared" si="175"/>
        <v>42.880135260980694</v>
      </c>
      <c r="EL63" s="4">
        <f t="shared" si="176"/>
        <v>1.6881943016134133</v>
      </c>
      <c r="EM63" s="4">
        <f t="shared" si="177"/>
        <v>0.19837396083975403</v>
      </c>
      <c r="EP63" s="4">
        <f t="shared" si="178"/>
        <v>0.19837396083975403</v>
      </c>
      <c r="EQ63" s="4">
        <f t="shared" si="179"/>
        <v>0.68445519122921572</v>
      </c>
      <c r="ER63" s="4">
        <f t="shared" si="180"/>
        <v>5.7449803809063837</v>
      </c>
      <c r="ES63" s="4">
        <f>EH63/1.4*(1-EQ63^1.4)/(1-EQ63)</f>
        <v>6.2331528620769934</v>
      </c>
      <c r="ET63" s="4">
        <f t="shared" si="182"/>
        <v>242.86986473901931</v>
      </c>
      <c r="EU63" s="4">
        <f t="shared" si="183"/>
        <v>95.25</v>
      </c>
      <c r="EV63" s="4">
        <f t="shared" si="95"/>
        <v>2.6402037423385414E-5</v>
      </c>
      <c r="EW63" s="4">
        <f>MAX(0.5*EH63, (1-2*EV63*(EK63*ER63+ET63*ES63))/(1/EH63+EV63*EU63))</f>
        <v>5.9640713898449462</v>
      </c>
      <c r="EX63" s="4">
        <f t="shared" si="185"/>
        <v>384.08345866826846</v>
      </c>
      <c r="EY63" s="4">
        <f t="shared" si="186"/>
        <v>134.91986473901929</v>
      </c>
      <c r="EZ63" s="4">
        <f t="shared" si="187"/>
        <v>0</v>
      </c>
      <c r="FB63" s="4">
        <f t="shared" si="100"/>
        <v>195.42466950298319</v>
      </c>
      <c r="FG63" s="23"/>
      <c r="FH63" s="23"/>
      <c r="FI63" s="23"/>
      <c r="FJ63" s="23"/>
      <c r="FK63" s="23"/>
      <c r="FL63" s="23"/>
      <c r="FM63" s="23"/>
      <c r="FN63" s="23"/>
      <c r="FO63"/>
      <c r="FP63"/>
      <c r="FQ63"/>
      <c r="FR63"/>
      <c r="FS63"/>
      <c r="FT63"/>
      <c r="FU63"/>
      <c r="FX63" s="4">
        <f t="shared" si="101"/>
        <v>1</v>
      </c>
      <c r="FY63" s="4">
        <f t="shared" si="102"/>
        <v>1.0833333333333333</v>
      </c>
      <c r="FZ63" s="4">
        <f t="shared" si="103"/>
        <v>0</v>
      </c>
      <c r="GA63" s="4">
        <f t="shared" si="104"/>
        <v>317.60067534926469</v>
      </c>
    </row>
    <row r="64" spans="1:183" ht="12" hidden="1" customHeight="1" x14ac:dyDescent="0.3">
      <c r="A64" s="25">
        <v>46</v>
      </c>
      <c r="B64" s="20" t="s">
        <v>54</v>
      </c>
      <c r="C64" s="20">
        <v>2006</v>
      </c>
      <c r="D64" s="24" t="s">
        <v>55</v>
      </c>
      <c r="E64" s="24"/>
      <c r="F64" s="7" t="s">
        <v>69</v>
      </c>
      <c r="G64" s="7">
        <v>472</v>
      </c>
      <c r="H64" s="7">
        <f t="shared" si="205"/>
        <v>381</v>
      </c>
      <c r="I64" s="7">
        <f t="shared" si="131"/>
        <v>177.79999999999998</v>
      </c>
      <c r="J64" s="7">
        <v>21</v>
      </c>
      <c r="K64" s="7">
        <v>25.4</v>
      </c>
      <c r="L64" s="7">
        <f t="shared" si="151"/>
        <v>15</v>
      </c>
      <c r="M64" s="7">
        <v>7</v>
      </c>
      <c r="N64" s="7">
        <f t="shared" si="132"/>
        <v>152.39999999999998</v>
      </c>
      <c r="O64" s="7">
        <f t="shared" si="108"/>
        <v>63.499999999999986</v>
      </c>
      <c r="P64" s="7">
        <f t="shared" si="133"/>
        <v>50.8</v>
      </c>
      <c r="Q64" s="7">
        <v>0</v>
      </c>
      <c r="R64" s="7">
        <v>1</v>
      </c>
      <c r="S64" s="7">
        <f t="shared" si="134"/>
        <v>88.899999999999991</v>
      </c>
      <c r="T64" s="7">
        <f t="shared" si="42"/>
        <v>2.9999999999999996</v>
      </c>
      <c r="U64" s="7">
        <f t="shared" si="135"/>
        <v>4</v>
      </c>
      <c r="V64" s="7">
        <v>1.85</v>
      </c>
      <c r="W64" s="7">
        <f t="shared" si="152"/>
        <v>1.85</v>
      </c>
      <c r="X64" s="7">
        <f t="shared" si="44"/>
        <v>2.85</v>
      </c>
      <c r="Y64" s="7">
        <f t="shared" si="200"/>
        <v>42.880135260980694</v>
      </c>
      <c r="Z64" s="7"/>
      <c r="AA64" s="7"/>
      <c r="AB64" s="7">
        <v>420</v>
      </c>
      <c r="AC64" s="7"/>
      <c r="AD64" s="7"/>
      <c r="AE64" s="7"/>
      <c r="AF64" s="7"/>
      <c r="AG64" s="7">
        <v>1</v>
      </c>
      <c r="AH64" s="7"/>
      <c r="AI64" s="7"/>
      <c r="AJ64" s="7"/>
      <c r="AK64" s="4">
        <f t="shared" si="125"/>
        <v>381</v>
      </c>
      <c r="AL64" s="44">
        <f t="shared" si="153"/>
        <v>5.9259259259259248E-2</v>
      </c>
      <c r="AM64" s="25">
        <f t="shared" si="112"/>
        <v>672.57356899470892</v>
      </c>
      <c r="AN64" s="4">
        <f t="shared" si="113"/>
        <v>0.74</v>
      </c>
      <c r="AO64" s="4">
        <v>1.25</v>
      </c>
      <c r="AP64" s="25">
        <f t="shared" si="114"/>
        <v>5</v>
      </c>
      <c r="AQ64" s="38">
        <f t="shared" si="115"/>
        <v>184.3349781689202</v>
      </c>
      <c r="AR64" s="38">
        <f t="shared" si="116"/>
        <v>184.3349781689202</v>
      </c>
      <c r="AT64" s="38">
        <f t="shared" si="130"/>
        <v>184.33497816892</v>
      </c>
      <c r="AU64" s="38">
        <f t="shared" si="47"/>
        <v>1.0000000000000011</v>
      </c>
      <c r="AV64" s="38">
        <f t="shared" si="136"/>
        <v>1.0536741360435427</v>
      </c>
      <c r="AW64" s="4">
        <f t="shared" si="154"/>
        <v>0</v>
      </c>
      <c r="AX64" s="4">
        <f>I64/K64*J64^0.5/0.19</f>
        <v>168.83173612995199</v>
      </c>
      <c r="AY64" s="4">
        <f>MIN(0.6+0.4*(U64/T64),2)</f>
        <v>1.1333333333333333</v>
      </c>
      <c r="AZ64" s="38">
        <f t="shared" si="117"/>
        <v>194.22899886474207</v>
      </c>
      <c r="BA64" s="4">
        <f>MAX(1-0.7*W64/5,0.3)</f>
        <v>0.74099999999999999</v>
      </c>
      <c r="BB64" s="4">
        <f t="shared" si="51"/>
        <v>65.367005356773845</v>
      </c>
      <c r="BC64" s="4">
        <f t="shared" si="52"/>
        <v>259.5960042215159</v>
      </c>
      <c r="BE64" s="36">
        <f t="shared" si="53"/>
        <v>1.1000000000000001</v>
      </c>
      <c r="BF64" s="36">
        <f t="shared" si="54"/>
        <v>167.35566437978727</v>
      </c>
      <c r="BK64" s="4">
        <f t="shared" si="156"/>
        <v>63.499999999999986</v>
      </c>
      <c r="BL64" s="4">
        <f t="shared" si="157"/>
        <v>63.499999999999986</v>
      </c>
      <c r="BM64" s="4">
        <f t="shared" si="158"/>
        <v>88.899999999999991</v>
      </c>
      <c r="BN64" s="4">
        <f t="shared" si="159"/>
        <v>76.199999999999989</v>
      </c>
      <c r="BO64" s="4">
        <f t="shared" si="160"/>
        <v>1.04</v>
      </c>
      <c r="BP64" s="25">
        <f t="shared" si="118"/>
        <v>3.1199999999999997</v>
      </c>
      <c r="BR64" s="4">
        <f t="shared" si="161"/>
        <v>63.499999999999986</v>
      </c>
      <c r="BV64" s="9"/>
      <c r="BX64" s="9"/>
      <c r="BY64" s="9"/>
      <c r="BZ64" s="9">
        <f>IF(Q64=0,MIN(O64,P64),MIN(Q64/2,O64,P64))</f>
        <v>50.8</v>
      </c>
      <c r="CA64" s="9">
        <f>MAX(Q64/2,O64)</f>
        <v>63.499999999999986</v>
      </c>
      <c r="CB64" s="9">
        <f t="shared" si="63"/>
        <v>1.4623505735569622</v>
      </c>
      <c r="CC64" s="9">
        <v>0</v>
      </c>
      <c r="CD64" s="9">
        <f t="shared" si="129"/>
        <v>0</v>
      </c>
      <c r="CE64" s="9">
        <f t="shared" si="65"/>
        <v>0</v>
      </c>
      <c r="CF64" s="9">
        <f>MIN(1,(25/K64)^0.3)</f>
        <v>0.99524931562137331</v>
      </c>
      <c r="CG64" s="9">
        <f>IF(G64&gt;=800,0.68,IF(G64&gt;=700,0.75-(G64-700)*0.07/100,IF(G64&gt;=600,0.85-(G64-600)*0.1/100,IF(G64&gt;=500,1-(G64-500)*0.15/100,1.2-(G64-400)*0.2/100))))</f>
        <v>1.056</v>
      </c>
      <c r="CH64" s="9">
        <f t="shared" si="68"/>
        <v>1.6856736478198622</v>
      </c>
      <c r="CI64" s="9">
        <f t="shared" si="69"/>
        <v>2.465045825719232</v>
      </c>
      <c r="CJ64" s="9">
        <v>1</v>
      </c>
      <c r="CK64" s="9">
        <f t="shared" si="70"/>
        <v>216.92403266329242</v>
      </c>
      <c r="CM64" s="4">
        <f t="shared" ref="CM64:CM116" si="206">AB64/AX64</f>
        <v>2.4876839486903131</v>
      </c>
      <c r="CN64" s="4">
        <f t="shared" ref="CN64:CN103" si="207">AB64/BC64</f>
        <v>1.6178985545617635</v>
      </c>
      <c r="CO64" s="4">
        <f t="shared" ref="CO64:CO137" si="208">AB64/BF64</f>
        <v>2.5096252436778972</v>
      </c>
      <c r="CP64" s="4">
        <f t="shared" ref="CP64:CP116" si="209">AB64/CK64</f>
        <v>1.9361616822416368</v>
      </c>
      <c r="CQ64" s="4">
        <f t="shared" ref="CQ64:CQ137" si="210">AB64/DR64</f>
        <v>1.2439497251559821</v>
      </c>
      <c r="CR64" s="4">
        <f t="shared" ref="CR64:CR137" si="211">AB64/ED64</f>
        <v>1.5595184773545239</v>
      </c>
      <c r="CS64" s="4">
        <f t="shared" si="143"/>
        <v>1.4210277445713013</v>
      </c>
      <c r="CU64" s="4">
        <f t="shared" ref="CU64:CV126" si="212">CM64</f>
        <v>2.4876839486903131</v>
      </c>
      <c r="CV64" s="4">
        <f t="shared" si="212"/>
        <v>1.6178985545617635</v>
      </c>
      <c r="CW64" s="4">
        <f t="shared" ref="CW64:CW127" si="213">CP64</f>
        <v>1.9361616822416368</v>
      </c>
      <c r="CX64" s="4">
        <f t="shared" ref="CX64:CX88" si="214">CS64</f>
        <v>1.4210277445713013</v>
      </c>
      <c r="CY64" s="4">
        <f t="shared" ref="CY64:CZ126" si="215">CQ64</f>
        <v>1.2439497251559821</v>
      </c>
      <c r="CZ64" s="4">
        <f t="shared" si="215"/>
        <v>1.5595184773545239</v>
      </c>
      <c r="DH64" s="4">
        <f t="shared" si="167"/>
        <v>0</v>
      </c>
      <c r="DI64" s="4">
        <f t="shared" si="168"/>
        <v>381</v>
      </c>
      <c r="DJ64" s="4">
        <f t="shared" si="169"/>
        <v>0.46666666666666662</v>
      </c>
      <c r="DL64" s="4">
        <f t="shared" si="170"/>
        <v>2.5033311258542346E-5</v>
      </c>
      <c r="DM64" s="4">
        <f t="shared" si="171"/>
        <v>5.7900347857029448</v>
      </c>
      <c r="DN64" s="4">
        <f t="shared" si="172"/>
        <v>0.79166191399758756</v>
      </c>
      <c r="DO64" s="4">
        <f t="shared" si="76"/>
        <v>5.2734772127144325</v>
      </c>
      <c r="DP64" s="4">
        <f t="shared" si="77"/>
        <v>5.5377835718020325</v>
      </c>
      <c r="DQ64" s="4">
        <f t="shared" si="78"/>
        <v>5.2619500758916633</v>
      </c>
      <c r="DR64" s="38">
        <f t="shared" si="119"/>
        <v>337.63422388098127</v>
      </c>
      <c r="DS64" s="4">
        <f t="shared" si="79"/>
        <v>1.0002533360754802</v>
      </c>
      <c r="DT64" s="4">
        <f t="shared" si="147"/>
        <v>1.6881943016134133</v>
      </c>
      <c r="DU64" s="4">
        <f t="shared" si="120"/>
        <v>184.33497816892</v>
      </c>
      <c r="DY64" s="4">
        <f>IF(P64&gt;1*K64,0.85,1)</f>
        <v>0.85</v>
      </c>
      <c r="DZ64" s="4">
        <f t="shared" si="81"/>
        <v>0.85000000000000009</v>
      </c>
      <c r="EA64" s="4">
        <f t="shared" si="82"/>
        <v>1</v>
      </c>
      <c r="EB64" s="4">
        <f t="shared" si="83"/>
        <v>0.85000000000000009</v>
      </c>
      <c r="ED64" s="4">
        <f t="shared" si="121"/>
        <v>269.31389791063168</v>
      </c>
      <c r="EE64" s="25">
        <f t="shared" si="122"/>
        <v>181.80779675423688</v>
      </c>
      <c r="EG64" s="4">
        <f t="shared" si="148"/>
        <v>0.72250000000000003</v>
      </c>
      <c r="EH64" s="4">
        <f t="shared" si="84"/>
        <v>5.7900347857029448</v>
      </c>
      <c r="EI64" s="4">
        <f t="shared" si="174"/>
        <v>5.2207585655726314</v>
      </c>
      <c r="EK64" s="4">
        <f t="shared" si="175"/>
        <v>42.880135260980694</v>
      </c>
      <c r="EL64" s="4">
        <f t="shared" si="176"/>
        <v>1.6881943016134133</v>
      </c>
      <c r="EM64" s="4">
        <f t="shared" si="177"/>
        <v>0.19837396083975409</v>
      </c>
      <c r="EP64" s="4">
        <f t="shared" si="178"/>
        <v>0.19837396083975409</v>
      </c>
      <c r="EQ64" s="4">
        <f t="shared" si="179"/>
        <v>0.79034077780884915</v>
      </c>
      <c r="ER64" s="4">
        <f t="shared" si="180"/>
        <v>5.2699552685365516</v>
      </c>
      <c r="ES64" s="4">
        <f>EH64/1.4*(1-EQ64^1.4)/(1-EQ64)</f>
        <v>5.5361069902159068</v>
      </c>
      <c r="ET64" s="4">
        <f t="shared" si="182"/>
        <v>242.86986473901931</v>
      </c>
      <c r="EU64" s="4">
        <f t="shared" si="183"/>
        <v>95.25</v>
      </c>
      <c r="EV64" s="4">
        <f t="shared" si="95"/>
        <v>2.5033311258542346E-5</v>
      </c>
      <c r="EW64" s="4">
        <f>MAX(0.5*EH64, (1-2*EV64*(EK64*ER64+ET64*ES64))/(1/EH64+EV64*EU64))</f>
        <v>5.2621096911044809</v>
      </c>
      <c r="EX64" s="4">
        <f t="shared" si="185"/>
        <v>337.54871061535061</v>
      </c>
      <c r="EY64" s="4">
        <f t="shared" si="186"/>
        <v>134.91986473901929</v>
      </c>
      <c r="EZ64" s="4">
        <f t="shared" si="187"/>
        <v>0</v>
      </c>
      <c r="FB64" s="4">
        <f t="shared" si="100"/>
        <v>173.04546420023769</v>
      </c>
      <c r="FG64" s="23">
        <f t="shared" ref="FG64:FH116" si="216">IF(CM64&lt;0.6,0.6,IF(CM64&lt;0.8,0.8,IF(CM64&lt;1,1,IF(CM64&lt;1.2,1.2,IF(CM64&lt;1.4,1.4,IF(CM64&lt;1.6,1.6,IF(CM64&lt;1.8,1.8,IF(CM64&lt;2,2,2.2))))))))</f>
        <v>2.2000000000000002</v>
      </c>
      <c r="FH64" s="23">
        <f t="shared" si="216"/>
        <v>1.8</v>
      </c>
      <c r="FI64" s="23">
        <f>IF(CS64&lt;0.6,0.6,IF(CS64&lt;0.8,0.8,IF(CS64&lt;1,1,IF(CS64&lt;1.2,1.2,IF(CS64&lt;1.4,1.4,IF(CS64&lt;1.6,1.6,IF(CS64&lt;1.8,1.8,IF(CS64&lt;2,2,2.2))))))))</f>
        <v>1.6</v>
      </c>
      <c r="FJ64" s="23">
        <f t="shared" ref="FJ64:FL116" si="217">IF(CP64&lt;0.6,0.6,IF(CP64&lt;0.8,0.8,IF(CP64&lt;1,1,IF(CP64&lt;1.2,1.2,IF(CP64&lt;1.4,1.4,IF(CP64&lt;1.6,1.6,IF(CP64&lt;1.8,1.8,IF(CP64&lt;2,2,2.2))))))))</f>
        <v>2</v>
      </c>
      <c r="FK64" s="23">
        <f t="shared" si="217"/>
        <v>1.4</v>
      </c>
      <c r="FL64" s="23">
        <f t="shared" si="217"/>
        <v>1.6</v>
      </c>
      <c r="FM64" s="23">
        <f t="shared" ref="FM64:FM137" si="218">IF(FK64&lt;1,1,0)</f>
        <v>0</v>
      </c>
      <c r="FN64" s="23"/>
      <c r="FO64"/>
      <c r="FP64">
        <f t="shared" ref="FP64:FU64" si="219">SUM(FP53:FP63)</f>
        <v>361</v>
      </c>
      <c r="FQ64">
        <f t="shared" si="219"/>
        <v>361</v>
      </c>
      <c r="FR64">
        <f t="shared" si="219"/>
        <v>361</v>
      </c>
      <c r="FS64">
        <f t="shared" si="219"/>
        <v>361</v>
      </c>
      <c r="FT64">
        <f t="shared" si="219"/>
        <v>361</v>
      </c>
      <c r="FU64">
        <f t="shared" si="219"/>
        <v>361</v>
      </c>
      <c r="FV64" s="4">
        <f>40+42+69</f>
        <v>151</v>
      </c>
      <c r="FX64" s="4">
        <f t="shared" si="101"/>
        <v>1</v>
      </c>
      <c r="FY64" s="4">
        <f t="shared" si="102"/>
        <v>1.0833333333333333</v>
      </c>
      <c r="FZ64" s="4">
        <f t="shared" si="103"/>
        <v>0</v>
      </c>
      <c r="GA64" s="4">
        <f t="shared" si="104"/>
        <v>295.56073173413409</v>
      </c>
    </row>
    <row r="65" spans="1:185" ht="12" hidden="1" customHeight="1" x14ac:dyDescent="0.3">
      <c r="A65" s="25">
        <v>47</v>
      </c>
      <c r="B65" s="20" t="s">
        <v>54</v>
      </c>
      <c r="C65" s="20">
        <v>2006</v>
      </c>
      <c r="D65" s="24" t="s">
        <v>55</v>
      </c>
      <c r="E65" s="24"/>
      <c r="F65" s="7" t="s">
        <v>67</v>
      </c>
      <c r="G65" s="7">
        <v>472</v>
      </c>
      <c r="H65" s="7">
        <f t="shared" si="205"/>
        <v>381</v>
      </c>
      <c r="I65" s="7">
        <f t="shared" si="131"/>
        <v>177.79999999999998</v>
      </c>
      <c r="J65" s="7">
        <v>28</v>
      </c>
      <c r="K65" s="7">
        <v>25.4</v>
      </c>
      <c r="L65" s="7">
        <f t="shared" si="151"/>
        <v>15</v>
      </c>
      <c r="M65" s="7">
        <v>7</v>
      </c>
      <c r="N65" s="7">
        <f t="shared" si="132"/>
        <v>152.39999999999998</v>
      </c>
      <c r="O65" s="7">
        <f t="shared" si="108"/>
        <v>63.499999999999986</v>
      </c>
      <c r="P65" s="7">
        <f t="shared" si="133"/>
        <v>50.8</v>
      </c>
      <c r="Q65" s="7">
        <v>0</v>
      </c>
      <c r="R65" s="7">
        <v>1</v>
      </c>
      <c r="S65" s="7">
        <f t="shared" si="134"/>
        <v>88.899999999999991</v>
      </c>
      <c r="T65" s="7">
        <f t="shared" si="42"/>
        <v>2.9999999999999996</v>
      </c>
      <c r="U65" s="7">
        <f t="shared" si="135"/>
        <v>4</v>
      </c>
      <c r="V65" s="7">
        <v>2.8</v>
      </c>
      <c r="W65" s="7">
        <f t="shared" si="152"/>
        <v>2.8</v>
      </c>
      <c r="X65" s="7">
        <f t="shared" si="44"/>
        <v>3.8</v>
      </c>
      <c r="Y65" s="7">
        <f t="shared" si="200"/>
        <v>49.513715271629529</v>
      </c>
      <c r="Z65" s="7"/>
      <c r="AA65" s="7"/>
      <c r="AB65" s="7">
        <v>472</v>
      </c>
      <c r="AC65" s="7"/>
      <c r="AD65" s="7"/>
      <c r="AE65" s="7"/>
      <c r="AF65" s="7"/>
      <c r="AG65" s="7">
        <v>1</v>
      </c>
      <c r="AH65" s="7"/>
      <c r="AI65" s="7"/>
      <c r="AJ65" s="7"/>
      <c r="AK65" s="4">
        <f t="shared" si="125"/>
        <v>381</v>
      </c>
      <c r="AL65" s="44">
        <f t="shared" si="153"/>
        <v>5.9259259259259248E-2</v>
      </c>
      <c r="AM65" s="25">
        <f t="shared" si="112"/>
        <v>776.62106221784506</v>
      </c>
      <c r="AN65" s="4">
        <f t="shared" si="113"/>
        <v>0.74</v>
      </c>
      <c r="AO65" s="4">
        <v>1.25</v>
      </c>
      <c r="AP65" s="25">
        <f t="shared" si="114"/>
        <v>5</v>
      </c>
      <c r="AQ65" s="38">
        <f t="shared" si="115"/>
        <v>212.85169853377971</v>
      </c>
      <c r="AR65" s="38">
        <f t="shared" si="116"/>
        <v>212.85169853377971</v>
      </c>
      <c r="AT65" s="38">
        <f t="shared" si="130"/>
        <v>212.85169853377948</v>
      </c>
      <c r="AU65" s="38">
        <f t="shared" si="47"/>
        <v>1.0000000000000011</v>
      </c>
      <c r="AV65" s="38">
        <f t="shared" si="136"/>
        <v>1.4968174569375785</v>
      </c>
      <c r="AW65" s="4">
        <f t="shared" si="154"/>
        <v>0</v>
      </c>
      <c r="AX65" s="4">
        <f t="shared" ref="AX65:AX128" si="220">I65/K65*J65^0.5/0.19</f>
        <v>194.95009660475932</v>
      </c>
      <c r="AY65" s="4">
        <f t="shared" ref="AY65:AY128" si="221">MIN(0.6+0.4*(U65/T65),2)</f>
        <v>1.1333333333333333</v>
      </c>
      <c r="AZ65" s="38">
        <f t="shared" si="117"/>
        <v>318.60013810417593</v>
      </c>
      <c r="BA65" s="4">
        <f t="shared" ref="BA65:BA128" si="222">MAX(1-0.7*W65/5,0.3)</f>
        <v>0.6080000000000001</v>
      </c>
      <c r="BB65" s="4">
        <f t="shared" si="51"/>
        <v>61.931746689399951</v>
      </c>
      <c r="BC65" s="4">
        <f t="shared" si="52"/>
        <v>380.5318847935759</v>
      </c>
      <c r="BE65" s="36">
        <f t="shared" si="53"/>
        <v>1.1000000000000001</v>
      </c>
      <c r="BF65" s="36">
        <f t="shared" si="54"/>
        <v>193.24567576015772</v>
      </c>
      <c r="BK65" s="4">
        <f t="shared" si="156"/>
        <v>63.499999999999986</v>
      </c>
      <c r="BL65" s="4">
        <f t="shared" si="157"/>
        <v>63.499999999999986</v>
      </c>
      <c r="BM65" s="4">
        <f t="shared" si="158"/>
        <v>88.899999999999991</v>
      </c>
      <c r="BN65" s="4">
        <f t="shared" si="159"/>
        <v>76.199999999999989</v>
      </c>
      <c r="BO65" s="4">
        <f t="shared" si="160"/>
        <v>1.04</v>
      </c>
      <c r="BP65" s="25">
        <f t="shared" si="118"/>
        <v>3.1199999999999997</v>
      </c>
      <c r="BR65" s="4">
        <f t="shared" si="161"/>
        <v>63.499999999999986</v>
      </c>
      <c r="BV65" s="9"/>
      <c r="BX65" s="9"/>
      <c r="BY65" s="9"/>
      <c r="BZ65" s="9">
        <f t="shared" ref="BZ65" si="223">IF(Q65=0,MIN(O65,P65),MIN(Q65/2,O65,P65))</f>
        <v>50.8</v>
      </c>
      <c r="CA65" s="9">
        <f t="shared" ref="CA65" si="224">MAX(Q65/2,O65)</f>
        <v>63.499999999999986</v>
      </c>
      <c r="CB65" s="9">
        <f t="shared" si="63"/>
        <v>1.4623505735569622</v>
      </c>
      <c r="CC65" s="9">
        <v>0</v>
      </c>
      <c r="CD65" s="9">
        <f t="shared" si="129"/>
        <v>0</v>
      </c>
      <c r="CE65" s="9">
        <f t="shared" si="65"/>
        <v>0</v>
      </c>
      <c r="CF65" s="9">
        <f t="shared" ref="CF65" si="225">MIN(1,(25/K65)^0.3)</f>
        <v>0.99524931562137331</v>
      </c>
      <c r="CG65" s="9">
        <f t="shared" ref="CG65" si="226">IF(G65&gt;=800,0.68,IF(G65&gt;=700,0.75-(G65-700)*0.07/100,IF(G65&gt;=600,0.85-(G65-600)*0.1/100,IF(G65&gt;=500,1-(G65-500)*0.15/100,1.2-(G65-400)*0.2/100))))</f>
        <v>1.056</v>
      </c>
      <c r="CH65" s="9">
        <f t="shared" si="68"/>
        <v>1.9464482686693119</v>
      </c>
      <c r="CI65" s="9">
        <f t="shared" si="69"/>
        <v>2.8463897420875242</v>
      </c>
      <c r="CJ65" s="9">
        <v>1</v>
      </c>
      <c r="CK65" s="9">
        <f t="shared" si="70"/>
        <v>250.48229730370213</v>
      </c>
      <c r="CM65" s="4">
        <f t="shared" si="206"/>
        <v>2.4211324242476784</v>
      </c>
      <c r="CN65" s="4">
        <f t="shared" si="207"/>
        <v>1.2403691224351465</v>
      </c>
      <c r="CO65" s="4">
        <f t="shared" si="208"/>
        <v>2.4424867368613805</v>
      </c>
      <c r="CP65" s="4">
        <f t="shared" si="209"/>
        <v>1.8843647039364</v>
      </c>
      <c r="CQ65" s="4">
        <f t="shared" si="210"/>
        <v>1.2629060562532859</v>
      </c>
      <c r="CR65" s="4">
        <f t="shared" si="211"/>
        <v>1.4780071547414189</v>
      </c>
      <c r="CS65" s="4">
        <f t="shared" si="143"/>
        <v>1.4861429355619056</v>
      </c>
      <c r="CU65" s="4">
        <f t="shared" si="212"/>
        <v>2.4211324242476784</v>
      </c>
      <c r="CV65" s="4">
        <f t="shared" si="212"/>
        <v>1.2403691224351465</v>
      </c>
      <c r="CW65" s="4">
        <f t="shared" si="213"/>
        <v>1.8843647039364</v>
      </c>
      <c r="CX65" s="4">
        <f t="shared" si="214"/>
        <v>1.4861429355619056</v>
      </c>
      <c r="CY65" s="4">
        <f t="shared" si="215"/>
        <v>1.2629060562532859</v>
      </c>
      <c r="CZ65" s="4">
        <f t="shared" si="215"/>
        <v>1.4780071547414189</v>
      </c>
      <c r="DH65" s="4">
        <f t="shared" si="167"/>
        <v>0</v>
      </c>
      <c r="DI65" s="4">
        <f t="shared" si="168"/>
        <v>381</v>
      </c>
      <c r="DJ65" s="4">
        <f t="shared" si="169"/>
        <v>0.46666666666666662</v>
      </c>
      <c r="DL65" s="4">
        <f t="shared" si="170"/>
        <v>2.6402037423385414E-5</v>
      </c>
      <c r="DM65" s="4">
        <f t="shared" si="171"/>
        <v>6.6857562842857838</v>
      </c>
      <c r="DN65" s="4">
        <f t="shared" si="172"/>
        <v>0.52306233603412022</v>
      </c>
      <c r="DO65" s="4">
        <f t="shared" si="76"/>
        <v>5.1590759428904853</v>
      </c>
      <c r="DP65" s="4">
        <f t="shared" si="77"/>
        <v>5.97148712814551</v>
      </c>
      <c r="DQ65" s="4">
        <f t="shared" si="78"/>
        <v>5.9967300417133593</v>
      </c>
      <c r="DR65" s="38">
        <f t="shared" si="119"/>
        <v>373.7411802428926</v>
      </c>
      <c r="DS65" s="4">
        <f t="shared" si="79"/>
        <v>1.0002127051142102</v>
      </c>
      <c r="DT65" s="4">
        <f t="shared" si="147"/>
        <v>1.9493588689617927</v>
      </c>
      <c r="DU65" s="4">
        <f t="shared" si="120"/>
        <v>212.85169853377948</v>
      </c>
      <c r="DY65" s="4">
        <f t="shared" ref="DY65" si="227">IF(P65&gt;1*K65,0.85,1)</f>
        <v>0.85</v>
      </c>
      <c r="DZ65" s="4">
        <f t="shared" si="81"/>
        <v>0.85000000000000009</v>
      </c>
      <c r="EA65" s="4">
        <f t="shared" si="82"/>
        <v>1</v>
      </c>
      <c r="EB65" s="4">
        <f t="shared" si="83"/>
        <v>0.85000000000000009</v>
      </c>
      <c r="ED65" s="4">
        <f t="shared" si="121"/>
        <v>319.34892770027056</v>
      </c>
      <c r="EE65" s="25">
        <f t="shared" si="122"/>
        <v>209.93356079366291</v>
      </c>
      <c r="EG65" s="4">
        <f t="shared" si="148"/>
        <v>0.72250000000000003</v>
      </c>
      <c r="EH65" s="4">
        <f t="shared" si="84"/>
        <v>6.6857562842857838</v>
      </c>
      <c r="EI65" s="4">
        <f t="shared" si="174"/>
        <v>6.028412726414806</v>
      </c>
      <c r="EK65" s="4">
        <f t="shared" si="175"/>
        <v>49.513715271629529</v>
      </c>
      <c r="EL65" s="4">
        <f t="shared" si="176"/>
        <v>1.9493588689617927</v>
      </c>
      <c r="EM65" s="4">
        <f t="shared" si="177"/>
        <v>0.15134487887745135</v>
      </c>
      <c r="EP65" s="4">
        <f t="shared" si="178"/>
        <v>0.15134487887745135</v>
      </c>
      <c r="EQ65" s="4">
        <f t="shared" si="179"/>
        <v>0.52218944248084664</v>
      </c>
      <c r="ER65" s="4">
        <f t="shared" si="180"/>
        <v>5.1556304027378701</v>
      </c>
      <c r="ES65" s="4">
        <f t="shared" ref="ES65" si="228">EH65/1.4*(1-EQ65^1.4)/(1-EQ65)</f>
        <v>5.9699998189624841</v>
      </c>
      <c r="ET65" s="4">
        <f t="shared" si="182"/>
        <v>236.23628472837046</v>
      </c>
      <c r="EU65" s="4">
        <f t="shared" si="183"/>
        <v>95.250000000000028</v>
      </c>
      <c r="EV65" s="4">
        <f t="shared" si="95"/>
        <v>2.6402037423385424E-5</v>
      </c>
      <c r="EW65" s="4">
        <f t="shared" ref="EW65" si="229">MAX(0.5*EH65, (1-2*EV65*(EK65*ER65+ET65*ES65))/(1/EH65+EV65*EU65))</f>
        <v>5.9969112642593512</v>
      </c>
      <c r="EX65" s="4">
        <f t="shared" si="185"/>
        <v>373.66170048821425</v>
      </c>
      <c r="EY65" s="4">
        <f t="shared" si="186"/>
        <v>128.28628472837045</v>
      </c>
      <c r="EZ65" s="4">
        <f t="shared" si="187"/>
        <v>7.1054273576010019E-15</v>
      </c>
      <c r="FB65" s="4">
        <f t="shared" si="100"/>
        <v>191.44366588625257</v>
      </c>
      <c r="FG65" s="23">
        <f t="shared" si="216"/>
        <v>2.2000000000000002</v>
      </c>
      <c r="FH65" s="23">
        <f t="shared" si="216"/>
        <v>1.4</v>
      </c>
      <c r="FI65" s="23">
        <f t="shared" ref="FI65:FI128" si="230">IF(CS65&lt;0.6,0.6,IF(CS65&lt;0.8,0.8,IF(CS65&lt;1,1,IF(CS65&lt;1.2,1.2,IF(CS65&lt;1.4,1.4,IF(CS65&lt;1.6,1.6,IF(CS65&lt;1.8,1.8,IF(CS65&lt;2,2,2.2))))))))</f>
        <v>1.6</v>
      </c>
      <c r="FJ65" s="23">
        <f t="shared" si="217"/>
        <v>2</v>
      </c>
      <c r="FK65" s="23">
        <f t="shared" si="217"/>
        <v>1.4</v>
      </c>
      <c r="FL65" s="23">
        <f t="shared" si="217"/>
        <v>1.6</v>
      </c>
      <c r="FM65" s="23">
        <f t="shared" si="218"/>
        <v>0</v>
      </c>
      <c r="FN65" s="23"/>
      <c r="FX65" s="4">
        <f t="shared" si="101"/>
        <v>1</v>
      </c>
      <c r="FY65" s="4">
        <f t="shared" si="102"/>
        <v>1.0833333333333333</v>
      </c>
      <c r="FZ65" s="4">
        <f t="shared" si="103"/>
        <v>0</v>
      </c>
      <c r="GA65" s="4">
        <f t="shared" si="104"/>
        <v>317.60067534926469</v>
      </c>
    </row>
    <row r="66" spans="1:185" ht="12" hidden="1" customHeight="1" x14ac:dyDescent="0.3">
      <c r="A66" s="25">
        <v>48</v>
      </c>
      <c r="B66" s="20" t="s">
        <v>54</v>
      </c>
      <c r="C66" s="20">
        <v>2006</v>
      </c>
      <c r="D66" s="24" t="s">
        <v>55</v>
      </c>
      <c r="E66" s="24"/>
      <c r="F66" s="7" t="s">
        <v>67</v>
      </c>
      <c r="G66" s="7">
        <v>472</v>
      </c>
      <c r="H66" s="7">
        <f t="shared" si="205"/>
        <v>381</v>
      </c>
      <c r="I66" s="7">
        <f t="shared" si="131"/>
        <v>177.79999999999998</v>
      </c>
      <c r="J66" s="7">
        <v>21</v>
      </c>
      <c r="K66" s="7">
        <v>25.4</v>
      </c>
      <c r="L66" s="7">
        <f t="shared" si="151"/>
        <v>15</v>
      </c>
      <c r="M66" s="7">
        <v>7</v>
      </c>
      <c r="N66" s="7">
        <f t="shared" si="132"/>
        <v>152.39999999999998</v>
      </c>
      <c r="O66" s="7">
        <f t="shared" si="108"/>
        <v>63.499999999999986</v>
      </c>
      <c r="P66" s="7">
        <f t="shared" si="133"/>
        <v>50.8</v>
      </c>
      <c r="Q66" s="7">
        <v>0</v>
      </c>
      <c r="R66" s="7">
        <v>1</v>
      </c>
      <c r="S66" s="7">
        <f t="shared" si="134"/>
        <v>88.899999999999991</v>
      </c>
      <c r="T66" s="7">
        <f t="shared" si="42"/>
        <v>2.9999999999999996</v>
      </c>
      <c r="U66" s="7">
        <f t="shared" si="135"/>
        <v>4</v>
      </c>
      <c r="V66" s="7">
        <v>2.8</v>
      </c>
      <c r="W66" s="7">
        <f t="shared" si="152"/>
        <v>2.8</v>
      </c>
      <c r="X66" s="7">
        <f t="shared" si="44"/>
        <v>3.8</v>
      </c>
      <c r="Y66" s="7">
        <f t="shared" si="200"/>
        <v>49.513715271629529</v>
      </c>
      <c r="Z66" s="7"/>
      <c r="AA66" s="7"/>
      <c r="AB66" s="7">
        <v>413</v>
      </c>
      <c r="AC66" s="7"/>
      <c r="AD66" s="7"/>
      <c r="AE66" s="7"/>
      <c r="AF66" s="7"/>
      <c r="AG66" s="7">
        <v>1</v>
      </c>
      <c r="AH66" s="7"/>
      <c r="AI66" s="7"/>
      <c r="AJ66" s="7"/>
      <c r="AK66" s="4">
        <f t="shared" si="125"/>
        <v>381</v>
      </c>
      <c r="AL66" s="44">
        <f t="shared" si="153"/>
        <v>5.9259259259259248E-2</v>
      </c>
      <c r="AM66" s="25">
        <f t="shared" si="112"/>
        <v>672.57356899470892</v>
      </c>
      <c r="AN66" s="4">
        <f t="shared" si="113"/>
        <v>0.74</v>
      </c>
      <c r="AO66" s="4">
        <v>1.25</v>
      </c>
      <c r="AP66" s="25">
        <f t="shared" si="114"/>
        <v>5</v>
      </c>
      <c r="AQ66" s="38">
        <f t="shared" si="115"/>
        <v>184.3349781689202</v>
      </c>
      <c r="AR66" s="38">
        <f t="shared" si="116"/>
        <v>184.3349781689202</v>
      </c>
      <c r="AT66" s="38">
        <f t="shared" si="130"/>
        <v>184.33497816892</v>
      </c>
      <c r="AU66" s="38">
        <f t="shared" si="47"/>
        <v>1.0000000000000011</v>
      </c>
      <c r="AV66" s="38">
        <f t="shared" si="136"/>
        <v>1.2962819425359629</v>
      </c>
      <c r="AW66" s="4">
        <f t="shared" si="154"/>
        <v>0</v>
      </c>
      <c r="AX66" s="4">
        <f t="shared" si="220"/>
        <v>168.83173612995199</v>
      </c>
      <c r="AY66" s="4">
        <f t="shared" si="221"/>
        <v>1.1333333333333333</v>
      </c>
      <c r="AZ66" s="38">
        <f t="shared" si="117"/>
        <v>238.95010357813194</v>
      </c>
      <c r="BA66" s="4">
        <f t="shared" si="222"/>
        <v>0.6080000000000001</v>
      </c>
      <c r="BB66" s="4">
        <f t="shared" si="51"/>
        <v>53.63446593376316</v>
      </c>
      <c r="BC66" s="4">
        <f t="shared" si="52"/>
        <v>292.5845695118951</v>
      </c>
      <c r="BE66" s="36">
        <f t="shared" si="53"/>
        <v>1.1000000000000001</v>
      </c>
      <c r="BF66" s="36">
        <f t="shared" si="54"/>
        <v>167.35566437978727</v>
      </c>
      <c r="BK66" s="4">
        <f t="shared" si="156"/>
        <v>63.499999999999986</v>
      </c>
      <c r="BL66" s="4">
        <f t="shared" si="157"/>
        <v>63.499999999999986</v>
      </c>
      <c r="BM66" s="4">
        <f t="shared" si="158"/>
        <v>88.899999999999991</v>
      </c>
      <c r="BN66" s="4">
        <f t="shared" si="159"/>
        <v>76.199999999999989</v>
      </c>
      <c r="BO66" s="4">
        <f t="shared" si="160"/>
        <v>1.04</v>
      </c>
      <c r="BP66" s="25">
        <f t="shared" si="118"/>
        <v>3.1199999999999997</v>
      </c>
      <c r="BR66" s="4">
        <f t="shared" si="161"/>
        <v>63.499999999999986</v>
      </c>
      <c r="BV66" s="9"/>
      <c r="BX66" s="9"/>
      <c r="BY66" s="9"/>
      <c r="BZ66" s="9">
        <f>IF(Q66=0,MIN(O66,P66),MIN(Q66/2,O66,P66))</f>
        <v>50.8</v>
      </c>
      <c r="CA66" s="9">
        <f>MAX(Q66/2,O66)</f>
        <v>63.499999999999986</v>
      </c>
      <c r="CB66" s="9">
        <f t="shared" si="63"/>
        <v>1.4623505735569622</v>
      </c>
      <c r="CC66" s="9">
        <v>0</v>
      </c>
      <c r="CD66" s="9">
        <f t="shared" si="129"/>
        <v>0</v>
      </c>
      <c r="CE66" s="9">
        <f t="shared" si="65"/>
        <v>0</v>
      </c>
      <c r="CF66" s="9">
        <f>MIN(1,(25/K66)^0.3)</f>
        <v>0.99524931562137331</v>
      </c>
      <c r="CG66" s="9">
        <f>IF(G66&gt;=800,0.68,IF(G66&gt;=700,0.75-(G66-700)*0.07/100,IF(G66&gt;=600,0.85-(G66-600)*0.1/100,IF(G66&gt;=500,1-(G66-500)*0.15/100,1.2-(G66-400)*0.2/100))))</f>
        <v>1.056</v>
      </c>
      <c r="CH66" s="9">
        <f t="shared" si="68"/>
        <v>1.6856736478198622</v>
      </c>
      <c r="CI66" s="9">
        <f t="shared" si="69"/>
        <v>2.465045825719232</v>
      </c>
      <c r="CJ66" s="9">
        <v>1</v>
      </c>
      <c r="CK66" s="9">
        <f t="shared" si="70"/>
        <v>216.92403266329242</v>
      </c>
      <c r="CM66" s="4">
        <f t="shared" si="206"/>
        <v>2.4462225495454746</v>
      </c>
      <c r="CN66" s="4">
        <f t="shared" si="207"/>
        <v>1.4115576931790634</v>
      </c>
      <c r="CO66" s="4">
        <f t="shared" si="208"/>
        <v>2.4677981562832656</v>
      </c>
      <c r="CP66" s="4">
        <f t="shared" si="209"/>
        <v>1.9038923208709428</v>
      </c>
      <c r="CQ66" s="4">
        <f t="shared" si="210"/>
        <v>1.2588189822404476</v>
      </c>
      <c r="CR66" s="4">
        <f t="shared" si="211"/>
        <v>1.5118027134906338</v>
      </c>
      <c r="CS66" s="4">
        <f t="shared" si="143"/>
        <v>1.3973439488284463</v>
      </c>
      <c r="CU66" s="4">
        <f t="shared" si="212"/>
        <v>2.4462225495454746</v>
      </c>
      <c r="CV66" s="4">
        <f t="shared" si="212"/>
        <v>1.4115576931790634</v>
      </c>
      <c r="CW66" s="4">
        <f t="shared" si="213"/>
        <v>1.9038923208709428</v>
      </c>
      <c r="CX66" s="4">
        <f t="shared" si="214"/>
        <v>1.3973439488284463</v>
      </c>
      <c r="CY66" s="4">
        <f t="shared" si="215"/>
        <v>1.2588189822404476</v>
      </c>
      <c r="CZ66" s="4">
        <f t="shared" si="215"/>
        <v>1.5118027134906338</v>
      </c>
      <c r="DH66" s="4">
        <f t="shared" si="167"/>
        <v>0</v>
      </c>
      <c r="DI66" s="4">
        <f t="shared" si="168"/>
        <v>381</v>
      </c>
      <c r="DJ66" s="4">
        <f t="shared" si="169"/>
        <v>0.46666666666666662</v>
      </c>
      <c r="DL66" s="4">
        <f t="shared" si="170"/>
        <v>2.5033311258542346E-5</v>
      </c>
      <c r="DM66" s="4">
        <f t="shared" si="171"/>
        <v>5.7900347857029448</v>
      </c>
      <c r="DN66" s="4">
        <f t="shared" si="172"/>
        <v>0.60398036102450769</v>
      </c>
      <c r="DO66" s="4">
        <f t="shared" si="76"/>
        <v>4.7324964827341036</v>
      </c>
      <c r="DP66" s="4">
        <f t="shared" si="77"/>
        <v>5.2877966555582434</v>
      </c>
      <c r="DQ66" s="4">
        <f t="shared" si="78"/>
        <v>5.2869970450842949</v>
      </c>
      <c r="DR66" s="38">
        <f t="shared" si="119"/>
        <v>328.08529727200494</v>
      </c>
      <c r="DS66" s="4">
        <f t="shared" si="79"/>
        <v>1.0002290668671658</v>
      </c>
      <c r="DT66" s="4">
        <f t="shared" si="147"/>
        <v>1.9493588689617927</v>
      </c>
      <c r="DU66" s="4">
        <f t="shared" si="120"/>
        <v>184.33497816892</v>
      </c>
      <c r="DY66" s="4">
        <f>IF(P66&gt;1*K66,0.85,1)</f>
        <v>0.85</v>
      </c>
      <c r="DZ66" s="4">
        <f t="shared" si="81"/>
        <v>0.85000000000000009</v>
      </c>
      <c r="EA66" s="4">
        <f t="shared" si="82"/>
        <v>1</v>
      </c>
      <c r="EB66" s="4">
        <f t="shared" si="83"/>
        <v>0.85000000000000009</v>
      </c>
      <c r="ED66" s="4">
        <f t="shared" si="121"/>
        <v>273.18379330489188</v>
      </c>
      <c r="EE66" s="25">
        <f t="shared" si="122"/>
        <v>181.80779675423688</v>
      </c>
      <c r="EG66" s="4">
        <f t="shared" si="148"/>
        <v>0.72250000000000003</v>
      </c>
      <c r="EH66" s="4">
        <f t="shared" si="84"/>
        <v>5.7900347857029448</v>
      </c>
      <c r="EI66" s="4">
        <f t="shared" si="174"/>
        <v>5.2207585655726314</v>
      </c>
      <c r="EK66" s="4">
        <f t="shared" si="175"/>
        <v>49.513715271629529</v>
      </c>
      <c r="EL66" s="4">
        <f t="shared" si="176"/>
        <v>1.9493588689617927</v>
      </c>
      <c r="EM66" s="4">
        <f t="shared" si="177"/>
        <v>0.15134487887745141</v>
      </c>
      <c r="EP66" s="4">
        <f t="shared" si="178"/>
        <v>0.15134487887745141</v>
      </c>
      <c r="EQ66" s="4">
        <f t="shared" si="179"/>
        <v>0.60297243036859505</v>
      </c>
      <c r="ER66" s="4">
        <f t="shared" si="180"/>
        <v>4.7293358379143973</v>
      </c>
      <c r="ES66" s="4">
        <f>EH66/1.4*(1-EQ66^1.4)/(1-EQ66)</f>
        <v>5.2863829082527172</v>
      </c>
      <c r="ET66" s="4">
        <f t="shared" si="182"/>
        <v>236.23628472837046</v>
      </c>
      <c r="EU66" s="4">
        <f t="shared" si="183"/>
        <v>95.250000000000028</v>
      </c>
      <c r="EV66" s="4">
        <f t="shared" si="95"/>
        <v>2.503331125854235E-5</v>
      </c>
      <c r="EW66" s="4">
        <f>MAX(0.5*EH66, (1-2*EV66*(EK66*ER66+ET66*ES66))/(1/EH66+EV66*EU66))</f>
        <v>5.2871372910454193</v>
      </c>
      <c r="EX66" s="4">
        <f t="shared" si="185"/>
        <v>328.01016101202333</v>
      </c>
      <c r="EY66" s="4">
        <f t="shared" si="186"/>
        <v>128.28628472837045</v>
      </c>
      <c r="EZ66" s="4">
        <f t="shared" si="187"/>
        <v>7.1054273576010019E-15</v>
      </c>
      <c r="FB66" s="4">
        <f t="shared" si="100"/>
        <v>169.17556880597749</v>
      </c>
      <c r="FG66" s="23">
        <f t="shared" si="216"/>
        <v>2.2000000000000002</v>
      </c>
      <c r="FH66" s="23">
        <f t="shared" si="216"/>
        <v>1.6</v>
      </c>
      <c r="FI66" s="23">
        <f t="shared" si="230"/>
        <v>1.4</v>
      </c>
      <c r="FJ66" s="23">
        <f t="shared" si="217"/>
        <v>2</v>
      </c>
      <c r="FK66" s="23">
        <f t="shared" si="217"/>
        <v>1.4</v>
      </c>
      <c r="FL66" s="23">
        <f t="shared" si="217"/>
        <v>1.6</v>
      </c>
      <c r="FM66" s="23">
        <f t="shared" si="218"/>
        <v>0</v>
      </c>
      <c r="FN66" s="23"/>
      <c r="FX66" s="4">
        <f t="shared" si="101"/>
        <v>1</v>
      </c>
      <c r="FY66" s="4">
        <f t="shared" si="102"/>
        <v>1.0833333333333333</v>
      </c>
      <c r="FZ66" s="4">
        <f t="shared" si="103"/>
        <v>0</v>
      </c>
      <c r="GA66" s="4">
        <f t="shared" si="104"/>
        <v>295.56073173413409</v>
      </c>
    </row>
    <row r="67" spans="1:185" ht="12" hidden="1" customHeight="1" x14ac:dyDescent="0.3">
      <c r="A67" s="25">
        <v>49</v>
      </c>
      <c r="B67" s="20" t="s">
        <v>54</v>
      </c>
      <c r="C67" s="20">
        <v>2006</v>
      </c>
      <c r="D67" s="24" t="s">
        <v>55</v>
      </c>
      <c r="E67" s="24"/>
      <c r="F67" s="7" t="s">
        <v>277</v>
      </c>
      <c r="G67" s="7">
        <v>472</v>
      </c>
      <c r="H67" s="7">
        <f t="shared" si="205"/>
        <v>381</v>
      </c>
      <c r="I67" s="7">
        <f t="shared" si="131"/>
        <v>177.79999999999998</v>
      </c>
      <c r="J67" s="7">
        <v>27</v>
      </c>
      <c r="K67" s="7">
        <v>25.4</v>
      </c>
      <c r="L67" s="7">
        <f t="shared" si="151"/>
        <v>15</v>
      </c>
      <c r="M67" s="7">
        <v>7</v>
      </c>
      <c r="N67" s="7">
        <f t="shared" si="132"/>
        <v>152.39999999999998</v>
      </c>
      <c r="O67" s="7">
        <f t="shared" si="108"/>
        <v>63.499999999999986</v>
      </c>
      <c r="P67" s="7">
        <f t="shared" si="133"/>
        <v>50.8</v>
      </c>
      <c r="Q67" s="7">
        <v>0</v>
      </c>
      <c r="R67" s="7">
        <v>1</v>
      </c>
      <c r="S67" s="7">
        <f t="shared" si="134"/>
        <v>88.899999999999991</v>
      </c>
      <c r="T67" s="7">
        <f t="shared" si="42"/>
        <v>2.9999999999999996</v>
      </c>
      <c r="U67" s="7">
        <f t="shared" si="135"/>
        <v>4</v>
      </c>
      <c r="V67" s="7">
        <v>2.8</v>
      </c>
      <c r="W67" s="7">
        <f t="shared" si="152"/>
        <v>2.8</v>
      </c>
      <c r="X67" s="7">
        <f t="shared" si="44"/>
        <v>3.8</v>
      </c>
      <c r="Y67" s="7">
        <f t="shared" si="200"/>
        <v>49.513715271629529</v>
      </c>
      <c r="Z67" s="7"/>
      <c r="AA67" s="7"/>
      <c r="AB67" s="7">
        <v>458</v>
      </c>
      <c r="AC67" s="7"/>
      <c r="AD67" s="7"/>
      <c r="AE67" s="7"/>
      <c r="AF67" s="7"/>
      <c r="AG67" s="7">
        <v>1</v>
      </c>
      <c r="AH67" s="7"/>
      <c r="AI67" s="7"/>
      <c r="AJ67" s="7"/>
      <c r="AK67" s="4">
        <f t="shared" si="125"/>
        <v>381</v>
      </c>
      <c r="AL67" s="44">
        <f t="shared" si="153"/>
        <v>5.9259259259259248E-2</v>
      </c>
      <c r="AM67" s="25">
        <f t="shared" si="112"/>
        <v>762.62674369506078</v>
      </c>
      <c r="AN67" s="4">
        <f t="shared" si="113"/>
        <v>0.74</v>
      </c>
      <c r="AO67" s="4">
        <v>1.25</v>
      </c>
      <c r="AP67" s="25">
        <f t="shared" si="114"/>
        <v>5</v>
      </c>
      <c r="AQ67" s="38">
        <f t="shared" si="115"/>
        <v>209.01621864234997</v>
      </c>
      <c r="AR67" s="38">
        <f t="shared" si="116"/>
        <v>209.01621864234997</v>
      </c>
      <c r="AT67" s="38">
        <f t="shared" si="130"/>
        <v>209.0162186423498</v>
      </c>
      <c r="AU67" s="38">
        <f t="shared" si="47"/>
        <v>1.0000000000000009</v>
      </c>
      <c r="AV67" s="38">
        <f t="shared" si="136"/>
        <v>1.4698455638459473</v>
      </c>
      <c r="AW67" s="4">
        <f t="shared" si="154"/>
        <v>0</v>
      </c>
      <c r="AX67" s="4">
        <f t="shared" si="220"/>
        <v>191.43719452077065</v>
      </c>
      <c r="AY67" s="4">
        <f t="shared" si="221"/>
        <v>1.1333333333333333</v>
      </c>
      <c r="AZ67" s="38">
        <f t="shared" si="117"/>
        <v>307.22156174331246</v>
      </c>
      <c r="BA67" s="4">
        <f t="shared" si="222"/>
        <v>0.6080000000000001</v>
      </c>
      <c r="BB67" s="4">
        <f t="shared" si="51"/>
        <v>60.815767955358432</v>
      </c>
      <c r="BC67" s="4">
        <f t="shared" si="52"/>
        <v>368.03732969867087</v>
      </c>
      <c r="BE67" s="36">
        <f t="shared" si="53"/>
        <v>1.1000000000000001</v>
      </c>
      <c r="BF67" s="36">
        <f t="shared" si="54"/>
        <v>189.7634864772462</v>
      </c>
      <c r="BK67" s="4">
        <f t="shared" si="156"/>
        <v>63.499999999999986</v>
      </c>
      <c r="BL67" s="4">
        <f t="shared" si="157"/>
        <v>63.499999999999986</v>
      </c>
      <c r="BM67" s="4">
        <f t="shared" si="158"/>
        <v>88.899999999999991</v>
      </c>
      <c r="BN67" s="4">
        <f t="shared" si="159"/>
        <v>76.199999999999989</v>
      </c>
      <c r="BO67" s="4">
        <f t="shared" si="160"/>
        <v>1.04</v>
      </c>
      <c r="BP67" s="25">
        <f t="shared" si="118"/>
        <v>3.1199999999999997</v>
      </c>
      <c r="BR67" s="4">
        <f t="shared" si="161"/>
        <v>63.499999999999986</v>
      </c>
      <c r="BV67" s="9"/>
      <c r="BX67" s="9"/>
      <c r="BY67" s="9"/>
      <c r="BZ67" s="9">
        <f>IF(Q67=0,MIN(O67,P67),MIN(Q67/2,O67,P67))</f>
        <v>50.8</v>
      </c>
      <c r="CA67" s="9">
        <f>MAX(Q67/2,O67)</f>
        <v>63.499999999999986</v>
      </c>
      <c r="CB67" s="9">
        <f t="shared" si="63"/>
        <v>1.4623505735569622</v>
      </c>
      <c r="CC67" s="9">
        <v>0</v>
      </c>
      <c r="CD67" s="9">
        <f t="shared" si="129"/>
        <v>0</v>
      </c>
      <c r="CE67" s="9">
        <f t="shared" si="65"/>
        <v>0</v>
      </c>
      <c r="CF67" s="9">
        <f>MIN(1,(25/K67)^0.3)</f>
        <v>0.99524931562137331</v>
      </c>
      <c r="CG67" s="9">
        <f>IF(G67&gt;=800,0.68,IF(G67&gt;=700,0.75-(G67-700)*0.07/100,IF(G67&gt;=600,0.85-(G67-600)*0.1/100,IF(G67&gt;=500,1-(G67-500)*0.15/100,1.2-(G67-400)*0.2/100))))</f>
        <v>1.056</v>
      </c>
      <c r="CH67" s="9">
        <f t="shared" si="68"/>
        <v>1.911374255891328</v>
      </c>
      <c r="CI67" s="9">
        <f t="shared" si="69"/>
        <v>2.7950992393846952</v>
      </c>
      <c r="CJ67" s="9">
        <v>1</v>
      </c>
      <c r="CK67" s="9">
        <f t="shared" si="70"/>
        <v>245.96873306585317</v>
      </c>
      <c r="CM67" s="4">
        <f t="shared" si="206"/>
        <v>2.3924295440419634</v>
      </c>
      <c r="CN67" s="4">
        <f t="shared" si="207"/>
        <v>1.2444389822493978</v>
      </c>
      <c r="CO67" s="4">
        <f t="shared" si="208"/>
        <v>2.4135306981457521</v>
      </c>
      <c r="CP67" s="4">
        <f t="shared" si="209"/>
        <v>1.8620252838289806</v>
      </c>
      <c r="CQ67" s="4">
        <f t="shared" si="210"/>
        <v>1.245856482021686</v>
      </c>
      <c r="CR67" s="4">
        <f t="shared" si="211"/>
        <v>1.462792979371798</v>
      </c>
      <c r="CS67" s="4">
        <f t="shared" si="143"/>
        <v>1.4552333115825267</v>
      </c>
      <c r="CU67" s="4">
        <f t="shared" si="212"/>
        <v>2.3924295440419634</v>
      </c>
      <c r="CV67" s="4">
        <f t="shared" si="212"/>
        <v>1.2444389822493978</v>
      </c>
      <c r="CW67" s="4">
        <f t="shared" si="213"/>
        <v>1.8620252838289806</v>
      </c>
      <c r="CX67" s="4">
        <f t="shared" si="214"/>
        <v>1.4552333115825267</v>
      </c>
      <c r="CY67" s="4">
        <f t="shared" si="215"/>
        <v>1.245856482021686</v>
      </c>
      <c r="CZ67" s="4">
        <f t="shared" si="215"/>
        <v>1.462792979371798</v>
      </c>
      <c r="DH67" s="4">
        <f t="shared" si="167"/>
        <v>0</v>
      </c>
      <c r="DI67" s="4">
        <f t="shared" si="168"/>
        <v>381</v>
      </c>
      <c r="DJ67" s="4">
        <f t="shared" si="169"/>
        <v>0.46666666666666662</v>
      </c>
      <c r="DL67" s="4">
        <f t="shared" si="170"/>
        <v>2.6209296574030622E-5</v>
      </c>
      <c r="DM67" s="4">
        <f t="shared" si="171"/>
        <v>6.5652823394499222</v>
      </c>
      <c r="DN67" s="4">
        <f t="shared" si="172"/>
        <v>0.5326606106792855</v>
      </c>
      <c r="DO67" s="4">
        <f t="shared" si="76"/>
        <v>5.103094851813764</v>
      </c>
      <c r="DP67" s="4">
        <f t="shared" si="77"/>
        <v>5.8798882220115054</v>
      </c>
      <c r="DQ67" s="4">
        <f t="shared" si="78"/>
        <v>5.9035395914032618</v>
      </c>
      <c r="DR67" s="38">
        <f t="shared" si="119"/>
        <v>367.61858738077973</v>
      </c>
      <c r="DS67" s="4">
        <f t="shared" si="79"/>
        <v>1.0002147463510491</v>
      </c>
      <c r="DT67" s="4">
        <f t="shared" si="147"/>
        <v>1.9493588689617927</v>
      </c>
      <c r="DU67" s="4">
        <f t="shared" si="120"/>
        <v>209.0162186423498</v>
      </c>
      <c r="DY67" s="4">
        <f>IF(P67&gt;1*K67,0.85,1)</f>
        <v>0.85</v>
      </c>
      <c r="DZ67" s="4">
        <f t="shared" si="81"/>
        <v>0.85000000000000009</v>
      </c>
      <c r="EA67" s="4">
        <f t="shared" si="82"/>
        <v>1</v>
      </c>
      <c r="EB67" s="4">
        <f t="shared" si="83"/>
        <v>0.85000000000000009</v>
      </c>
      <c r="ED67" s="4">
        <f t="shared" si="121"/>
        <v>313.09967060184402</v>
      </c>
      <c r="EE67" s="25">
        <f t="shared" si="122"/>
        <v>206.15066426755152</v>
      </c>
      <c r="EG67" s="4">
        <f t="shared" si="148"/>
        <v>0.72250000000000003</v>
      </c>
      <c r="EH67" s="4">
        <f t="shared" si="84"/>
        <v>6.5652823394499222</v>
      </c>
      <c r="EI67" s="4">
        <f t="shared" si="174"/>
        <v>5.9197837798352051</v>
      </c>
      <c r="EK67" s="4">
        <f t="shared" si="175"/>
        <v>49.513715271629529</v>
      </c>
      <c r="EL67" s="4">
        <f t="shared" si="176"/>
        <v>1.9493588689617927</v>
      </c>
      <c r="EM67" s="4">
        <f t="shared" si="177"/>
        <v>0.15134487887745141</v>
      </c>
      <c r="EP67" s="4">
        <f t="shared" si="178"/>
        <v>0.15134487887745141</v>
      </c>
      <c r="EQ67" s="4">
        <f t="shared" si="179"/>
        <v>0.5317716993945043</v>
      </c>
      <c r="ER67" s="4">
        <f t="shared" si="180"/>
        <v>5.0996866991893075</v>
      </c>
      <c r="ES67" s="4">
        <f>EH67/1.4*(1-EQ67^1.4)/(1-EQ67)</f>
        <v>5.8784102786418222</v>
      </c>
      <c r="ET67" s="4">
        <f t="shared" si="182"/>
        <v>236.23628472837046</v>
      </c>
      <c r="EU67" s="4">
        <f t="shared" si="183"/>
        <v>95.250000000000028</v>
      </c>
      <c r="EV67" s="4">
        <f t="shared" si="95"/>
        <v>2.6209296574030629E-5</v>
      </c>
      <c r="EW67" s="4">
        <f>MAX(0.5*EH67, (1-2*EV67*(EK67*ER67+ET67*ES67))/(1/EH67+EV67*EU67))</f>
        <v>5.9037149469361943</v>
      </c>
      <c r="EX67" s="4">
        <f t="shared" si="185"/>
        <v>367.53965958001908</v>
      </c>
      <c r="EY67" s="4">
        <f t="shared" si="186"/>
        <v>128.28628472837045</v>
      </c>
      <c r="EZ67" s="4">
        <f t="shared" si="187"/>
        <v>7.1054273576010019E-15</v>
      </c>
      <c r="FB67" s="4">
        <f t="shared" si="100"/>
        <v>188.48869894095395</v>
      </c>
      <c r="FG67" s="23">
        <f t="shared" si="216"/>
        <v>2.2000000000000002</v>
      </c>
      <c r="FH67" s="23">
        <f t="shared" si="216"/>
        <v>1.4</v>
      </c>
      <c r="FI67" s="23">
        <f t="shared" si="230"/>
        <v>1.6</v>
      </c>
      <c r="FJ67" s="23">
        <f t="shared" si="217"/>
        <v>2</v>
      </c>
      <c r="FK67" s="23">
        <f t="shared" si="217"/>
        <v>1.4</v>
      </c>
      <c r="FL67" s="23">
        <f t="shared" si="217"/>
        <v>1.6</v>
      </c>
      <c r="FM67" s="23">
        <f t="shared" si="218"/>
        <v>0</v>
      </c>
      <c r="FN67" s="23"/>
      <c r="FX67" s="4">
        <f t="shared" si="101"/>
        <v>1</v>
      </c>
      <c r="FY67" s="4">
        <f t="shared" si="102"/>
        <v>1.0833333333333333</v>
      </c>
      <c r="FZ67" s="4">
        <f t="shared" si="103"/>
        <v>0</v>
      </c>
      <c r="GA67" s="4">
        <f t="shared" si="104"/>
        <v>314.72616545723344</v>
      </c>
    </row>
    <row r="68" spans="1:185" ht="12" hidden="1" customHeight="1" x14ac:dyDescent="0.3">
      <c r="A68" s="25">
        <v>50</v>
      </c>
      <c r="B68" s="20" t="s">
        <v>54</v>
      </c>
      <c r="C68" s="20">
        <v>2006</v>
      </c>
      <c r="D68" s="24" t="s">
        <v>55</v>
      </c>
      <c r="E68" s="24"/>
      <c r="F68" s="7" t="s">
        <v>68</v>
      </c>
      <c r="G68" s="7">
        <v>472</v>
      </c>
      <c r="H68" s="7">
        <f t="shared" si="205"/>
        <v>381</v>
      </c>
      <c r="I68" s="7">
        <f t="shared" si="131"/>
        <v>177.79999999999998</v>
      </c>
      <c r="J68" s="7">
        <v>28</v>
      </c>
      <c r="K68" s="7">
        <v>25.4</v>
      </c>
      <c r="L68" s="7">
        <f t="shared" si="151"/>
        <v>15</v>
      </c>
      <c r="M68" s="7">
        <v>7</v>
      </c>
      <c r="N68" s="7">
        <f t="shared" si="132"/>
        <v>152.39999999999998</v>
      </c>
      <c r="O68" s="7">
        <f t="shared" si="108"/>
        <v>63.499999999999986</v>
      </c>
      <c r="P68" s="7">
        <f t="shared" si="133"/>
        <v>50.8</v>
      </c>
      <c r="Q68" s="7">
        <v>0</v>
      </c>
      <c r="R68" s="7">
        <v>1</v>
      </c>
      <c r="S68" s="7">
        <f t="shared" si="134"/>
        <v>88.899999999999991</v>
      </c>
      <c r="T68" s="7">
        <f t="shared" si="42"/>
        <v>2.9999999999999996</v>
      </c>
      <c r="U68" s="7">
        <f t="shared" si="135"/>
        <v>4</v>
      </c>
      <c r="V68" s="7">
        <v>4.04</v>
      </c>
      <c r="W68" s="7">
        <f t="shared" si="152"/>
        <v>4.04</v>
      </c>
      <c r="X68" s="7">
        <f t="shared" si="44"/>
        <v>5.04</v>
      </c>
      <c r="Y68" s="7">
        <f t="shared" si="200"/>
        <v>57.022858574434863</v>
      </c>
      <c r="Z68" s="7"/>
      <c r="AA68" s="7"/>
      <c r="AB68" s="7">
        <v>421</v>
      </c>
      <c r="AC68" s="7"/>
      <c r="AD68" s="7"/>
      <c r="AE68" s="7"/>
      <c r="AF68" s="7"/>
      <c r="AG68" s="7">
        <v>1</v>
      </c>
      <c r="AH68" s="7"/>
      <c r="AI68" s="7"/>
      <c r="AJ68" s="7"/>
      <c r="AK68" s="4">
        <f t="shared" si="125"/>
        <v>381</v>
      </c>
      <c r="AL68" s="44">
        <f t="shared" si="153"/>
        <v>5.9259259259259248E-2</v>
      </c>
      <c r="AM68" s="25">
        <f t="shared" si="112"/>
        <v>776.62106221784506</v>
      </c>
      <c r="AN68" s="4">
        <f t="shared" si="113"/>
        <v>0.74</v>
      </c>
      <c r="AO68" s="4">
        <v>1.25</v>
      </c>
      <c r="AP68" s="25">
        <f t="shared" si="114"/>
        <v>5</v>
      </c>
      <c r="AQ68" s="38">
        <f t="shared" si="115"/>
        <v>212.85169853377971</v>
      </c>
      <c r="AR68" s="38">
        <f t="shared" si="116"/>
        <v>212.85169853377971</v>
      </c>
      <c r="AT68" s="38">
        <f t="shared" si="130"/>
        <v>212.85169853377948</v>
      </c>
      <c r="AU68" s="38">
        <f t="shared" si="47"/>
        <v>1.0000000000000011</v>
      </c>
      <c r="AV68" s="38">
        <f t="shared" si="136"/>
        <v>1.7979619908532192</v>
      </c>
      <c r="AW68" s="4">
        <f t="shared" si="154"/>
        <v>0</v>
      </c>
      <c r="AX68" s="4">
        <f t="shared" si="220"/>
        <v>194.95009660475932</v>
      </c>
      <c r="AY68" s="4">
        <f t="shared" si="221"/>
        <v>1.1333333333333333</v>
      </c>
      <c r="AZ68" s="38">
        <f t="shared" si="117"/>
        <v>382.69926365228338</v>
      </c>
      <c r="BA68" s="4">
        <f t="shared" si="222"/>
        <v>0.43440000000000001</v>
      </c>
      <c r="BB68" s="4">
        <f t="shared" si="51"/>
        <v>44.248603226768637</v>
      </c>
      <c r="BC68" s="4">
        <f t="shared" si="52"/>
        <v>426.94786687905201</v>
      </c>
      <c r="BE68" s="36">
        <f t="shared" si="53"/>
        <v>1.1000000000000001</v>
      </c>
      <c r="BF68" s="36">
        <f t="shared" si="54"/>
        <v>193.24567576015772</v>
      </c>
      <c r="BK68" s="4">
        <f t="shared" si="156"/>
        <v>63.499999999999986</v>
      </c>
      <c r="BL68" s="4">
        <f t="shared" si="157"/>
        <v>63.499999999999986</v>
      </c>
      <c r="BM68" s="4">
        <f t="shared" si="158"/>
        <v>88.899999999999991</v>
      </c>
      <c r="BN68" s="4">
        <f t="shared" si="159"/>
        <v>76.199999999999989</v>
      </c>
      <c r="BO68" s="4">
        <f t="shared" si="160"/>
        <v>1.04</v>
      </c>
      <c r="BP68" s="25">
        <f t="shared" si="118"/>
        <v>3.1199999999999997</v>
      </c>
      <c r="BR68" s="4">
        <f t="shared" si="161"/>
        <v>63.499999999999986</v>
      </c>
      <c r="BV68" s="9"/>
      <c r="BX68" s="9"/>
      <c r="BY68" s="9"/>
      <c r="BZ68" s="9">
        <f t="shared" ref="BZ68:BZ131" si="231">IF(Q68=0,MIN(O68,P68),MIN(Q68/2,O68,P68))</f>
        <v>50.8</v>
      </c>
      <c r="CA68" s="9">
        <f t="shared" ref="CA68:CA131" si="232">MAX(Q68/2,O68)</f>
        <v>63.499999999999986</v>
      </c>
      <c r="CB68" s="9">
        <f t="shared" si="63"/>
        <v>1.4623505735569622</v>
      </c>
      <c r="CC68" s="9">
        <v>0</v>
      </c>
      <c r="CD68" s="9">
        <f t="shared" si="129"/>
        <v>0</v>
      </c>
      <c r="CE68" s="9">
        <f t="shared" si="65"/>
        <v>0</v>
      </c>
      <c r="CF68" s="9">
        <f t="shared" ref="CF68:CF131" si="233">MIN(1,(25/K68)^0.3)</f>
        <v>0.99524931562137331</v>
      </c>
      <c r="CG68" s="9">
        <f t="shared" ref="CG68:CG131" si="234">IF(G68&gt;=800,0.68,IF(G68&gt;=700,0.75-(G68-700)*0.07/100,IF(G68&gt;=600,0.85-(G68-600)*0.1/100,IF(G68&gt;=500,1-(G68-500)*0.15/100,1.2-(G68-400)*0.2/100))))</f>
        <v>1.056</v>
      </c>
      <c r="CH68" s="9">
        <f t="shared" si="68"/>
        <v>1.9464482686693119</v>
      </c>
      <c r="CI68" s="9">
        <f t="shared" si="69"/>
        <v>2.8463897420875242</v>
      </c>
      <c r="CJ68" s="9">
        <v>1</v>
      </c>
      <c r="CK68" s="9">
        <f t="shared" si="70"/>
        <v>250.48229730370213</v>
      </c>
      <c r="CM68" s="4">
        <f t="shared" si="206"/>
        <v>2.1595270140005773</v>
      </c>
      <c r="CN68" s="4">
        <f t="shared" si="207"/>
        <v>0.98606886849551367</v>
      </c>
      <c r="CO68" s="4">
        <f t="shared" si="208"/>
        <v>2.1785739750394941</v>
      </c>
      <c r="CP68" s="4">
        <f t="shared" si="209"/>
        <v>1.6807575007568314</v>
      </c>
      <c r="CQ68" s="4">
        <f t="shared" si="210"/>
        <v>1.1526891216084647</v>
      </c>
      <c r="CR68" s="4">
        <f t="shared" si="211"/>
        <v>1.3069168110853688</v>
      </c>
      <c r="CS68" s="4">
        <f t="shared" si="143"/>
        <v>1.325563931931276</v>
      </c>
      <c r="CU68" s="4">
        <f t="shared" si="212"/>
        <v>2.1595270140005773</v>
      </c>
      <c r="CV68" s="4">
        <f t="shared" si="212"/>
        <v>0.98606886849551367</v>
      </c>
      <c r="CW68" s="4">
        <f t="shared" si="213"/>
        <v>1.6807575007568314</v>
      </c>
      <c r="CX68" s="4">
        <f t="shared" si="214"/>
        <v>1.325563931931276</v>
      </c>
      <c r="CY68" s="4">
        <f t="shared" si="215"/>
        <v>1.1526891216084647</v>
      </c>
      <c r="CZ68" s="4">
        <f t="shared" si="215"/>
        <v>1.3069168110853688</v>
      </c>
      <c r="DH68" s="4">
        <f t="shared" si="167"/>
        <v>0</v>
      </c>
      <c r="DI68" s="4">
        <f t="shared" si="168"/>
        <v>381</v>
      </c>
      <c r="DJ68" s="4">
        <f t="shared" si="169"/>
        <v>0.46666666666666662</v>
      </c>
      <c r="DL68" s="4">
        <f t="shared" si="170"/>
        <v>2.6402037423385414E-5</v>
      </c>
      <c r="DM68" s="4">
        <f t="shared" si="171"/>
        <v>6.6857562842857838</v>
      </c>
      <c r="DN68" s="4">
        <f t="shared" si="172"/>
        <v>0.41749721733539918</v>
      </c>
      <c r="DO68" s="4">
        <f t="shared" si="76"/>
        <v>4.7142431131926301</v>
      </c>
      <c r="DP68" s="4">
        <f t="shared" si="77"/>
        <v>5.7848563659647452</v>
      </c>
      <c r="DQ68" s="4">
        <f t="shared" si="78"/>
        <v>6.0224760215150344</v>
      </c>
      <c r="DR68" s="38">
        <f t="shared" si="119"/>
        <v>365.23290808239409</v>
      </c>
      <c r="DS68" s="4">
        <f t="shared" si="79"/>
        <v>1.000197037064424</v>
      </c>
      <c r="DT68" s="4">
        <f t="shared" si="147"/>
        <v>2.2449944320643649</v>
      </c>
      <c r="DU68" s="4">
        <f t="shared" si="120"/>
        <v>212.85169853377948</v>
      </c>
      <c r="DY68" s="4">
        <f t="shared" ref="DY68:DY131" si="235">IF(P68&gt;1*K68,0.85,1)</f>
        <v>0.85</v>
      </c>
      <c r="DZ68" s="4">
        <f t="shared" si="81"/>
        <v>0.85000000000000009</v>
      </c>
      <c r="EA68" s="4">
        <f t="shared" si="82"/>
        <v>1</v>
      </c>
      <c r="EB68" s="4">
        <f t="shared" si="83"/>
        <v>0.85000000000000009</v>
      </c>
      <c r="ED68" s="4">
        <f t="shared" si="121"/>
        <v>322.13220950946965</v>
      </c>
      <c r="EE68" s="25">
        <f t="shared" si="122"/>
        <v>209.93356079366291</v>
      </c>
      <c r="EG68" s="4">
        <f t="shared" si="148"/>
        <v>0.72250000000000003</v>
      </c>
      <c r="EH68" s="4">
        <f t="shared" si="84"/>
        <v>6.6857562842857838</v>
      </c>
      <c r="EI68" s="4">
        <f t="shared" si="174"/>
        <v>6.028412726414806</v>
      </c>
      <c r="EK68" s="4">
        <f t="shared" si="175"/>
        <v>57.022858574434863</v>
      </c>
      <c r="EL68" s="4">
        <f t="shared" si="176"/>
        <v>2.2449944320643649</v>
      </c>
      <c r="EM68" s="4">
        <f t="shared" si="177"/>
        <v>0.12080025923559758</v>
      </c>
      <c r="EP68" s="4">
        <f t="shared" si="178"/>
        <v>0.12080025923559758</v>
      </c>
      <c r="EQ68" s="4">
        <f t="shared" si="179"/>
        <v>0.41680049229057015</v>
      </c>
      <c r="ER68" s="4">
        <f t="shared" si="180"/>
        <v>4.7110946590672214</v>
      </c>
      <c r="ES68" s="4">
        <f t="shared" ref="ES68:ES131" si="236">EH68/1.4*(1-EQ68^1.4)/(1-EQ68)</f>
        <v>5.7835754669295278</v>
      </c>
      <c r="ET68" s="4">
        <f t="shared" si="182"/>
        <v>228.72714142556515</v>
      </c>
      <c r="EU68" s="4">
        <f t="shared" si="183"/>
        <v>95.25</v>
      </c>
      <c r="EV68" s="4">
        <f t="shared" si="95"/>
        <v>2.6402037423385414E-5</v>
      </c>
      <c r="EW68" s="4">
        <f t="shared" ref="EW68:EW131" si="237">MAX(0.5*EH68, (1-2*EV68*(EK68*ER68+ET68*ES68))/(1/EH68+EV68*EU68))</f>
        <v>6.0226400759500986</v>
      </c>
      <c r="EX68" s="4">
        <f t="shared" si="185"/>
        <v>365.16095783921918</v>
      </c>
      <c r="EY68" s="4">
        <f t="shared" si="186"/>
        <v>120.77714142556512</v>
      </c>
      <c r="EZ68" s="4">
        <f t="shared" si="187"/>
        <v>0</v>
      </c>
      <c r="FB68" s="4">
        <f t="shared" si="100"/>
        <v>188.66038407705349</v>
      </c>
      <c r="FG68" s="23">
        <f t="shared" si="216"/>
        <v>2.2000000000000002</v>
      </c>
      <c r="FH68" s="23">
        <f t="shared" si="216"/>
        <v>1</v>
      </c>
      <c r="FI68" s="23">
        <f t="shared" si="230"/>
        <v>1.4</v>
      </c>
      <c r="FJ68" s="23">
        <f t="shared" si="217"/>
        <v>1.8</v>
      </c>
      <c r="FK68" s="23">
        <f t="shared" si="217"/>
        <v>1.2</v>
      </c>
      <c r="FL68" s="23">
        <f t="shared" si="217"/>
        <v>1.4</v>
      </c>
      <c r="FM68" s="23">
        <f t="shared" si="218"/>
        <v>0</v>
      </c>
      <c r="FN68" s="23"/>
      <c r="FX68" s="4">
        <f t="shared" si="101"/>
        <v>1</v>
      </c>
      <c r="FY68" s="4">
        <f t="shared" si="102"/>
        <v>1.0833333333333333</v>
      </c>
      <c r="FZ68" s="4">
        <f t="shared" si="103"/>
        <v>0</v>
      </c>
      <c r="GA68" s="4">
        <f t="shared" si="104"/>
        <v>317.60067534926469</v>
      </c>
    </row>
    <row r="69" spans="1:185" ht="12" hidden="1" customHeight="1" x14ac:dyDescent="0.3">
      <c r="A69" s="25">
        <v>51</v>
      </c>
      <c r="B69" s="20" t="s">
        <v>54</v>
      </c>
      <c r="C69" s="20">
        <v>2006</v>
      </c>
      <c r="D69" s="24" t="s">
        <v>55</v>
      </c>
      <c r="E69" s="24"/>
      <c r="F69" s="7" t="s">
        <v>279</v>
      </c>
      <c r="G69" s="7">
        <v>472</v>
      </c>
      <c r="H69" s="7">
        <f t="shared" si="205"/>
        <v>381</v>
      </c>
      <c r="I69" s="7">
        <f t="shared" si="131"/>
        <v>177.79999999999998</v>
      </c>
      <c r="J69" s="7">
        <v>21</v>
      </c>
      <c r="K69" s="7">
        <v>25.4</v>
      </c>
      <c r="L69" s="7">
        <f t="shared" si="151"/>
        <v>15</v>
      </c>
      <c r="M69" s="7">
        <v>7</v>
      </c>
      <c r="N69" s="7">
        <f t="shared" si="132"/>
        <v>152.39999999999998</v>
      </c>
      <c r="O69" s="7">
        <f t="shared" si="108"/>
        <v>63.499999999999986</v>
      </c>
      <c r="P69" s="7">
        <f t="shared" si="133"/>
        <v>50.8</v>
      </c>
      <c r="Q69" s="7">
        <v>0</v>
      </c>
      <c r="R69" s="7">
        <v>1</v>
      </c>
      <c r="S69" s="7">
        <f t="shared" si="134"/>
        <v>88.899999999999991</v>
      </c>
      <c r="T69" s="7">
        <f t="shared" si="42"/>
        <v>2.9999999999999996</v>
      </c>
      <c r="U69" s="7">
        <f t="shared" si="135"/>
        <v>4</v>
      </c>
      <c r="V69" s="7">
        <v>4.0599999999999996</v>
      </c>
      <c r="W69" s="7">
        <f t="shared" si="152"/>
        <v>4.0599999999999996</v>
      </c>
      <c r="X69" s="7">
        <f t="shared" si="44"/>
        <v>5.0599999999999996</v>
      </c>
      <c r="Y69" s="7">
        <f t="shared" si="200"/>
        <v>57.135887146346114</v>
      </c>
      <c r="Z69" s="7"/>
      <c r="AA69" s="7"/>
      <c r="AB69" s="7">
        <v>459</v>
      </c>
      <c r="AC69" s="7"/>
      <c r="AD69" s="7"/>
      <c r="AE69" s="7"/>
      <c r="AF69" s="7"/>
      <c r="AG69" s="7">
        <v>1</v>
      </c>
      <c r="AH69" s="7"/>
      <c r="AI69" s="7"/>
      <c r="AJ69" s="7"/>
      <c r="AK69" s="4">
        <f t="shared" si="125"/>
        <v>381</v>
      </c>
      <c r="AL69" s="44">
        <f t="shared" si="153"/>
        <v>5.9259259259259248E-2</v>
      </c>
      <c r="AM69" s="25">
        <f t="shared" si="112"/>
        <v>672.57356899470892</v>
      </c>
      <c r="AN69" s="4">
        <f t="shared" si="113"/>
        <v>0.74</v>
      </c>
      <c r="AO69" s="4">
        <v>1.25</v>
      </c>
      <c r="AP69" s="25">
        <f t="shared" si="114"/>
        <v>5</v>
      </c>
      <c r="AQ69" s="38">
        <f t="shared" si="115"/>
        <v>184.3349781689202</v>
      </c>
      <c r="AR69" s="38">
        <f t="shared" si="116"/>
        <v>184.3349781689202</v>
      </c>
      <c r="AT69" s="38">
        <f t="shared" si="130"/>
        <v>184.33497816892</v>
      </c>
      <c r="AU69" s="38">
        <f t="shared" si="47"/>
        <v>1.0000000000000011</v>
      </c>
      <c r="AV69" s="38">
        <f t="shared" si="136"/>
        <v>1.5609301611827398</v>
      </c>
      <c r="AW69" s="4">
        <f t="shared" si="154"/>
        <v>0</v>
      </c>
      <c r="AX69" s="4">
        <f t="shared" si="220"/>
        <v>168.83173612995199</v>
      </c>
      <c r="AY69" s="4">
        <f t="shared" si="221"/>
        <v>1.1333333333333333</v>
      </c>
      <c r="AZ69" s="38">
        <f t="shared" si="117"/>
        <v>287.73402718482913</v>
      </c>
      <c r="BA69" s="4">
        <f t="shared" si="222"/>
        <v>0.43160000000000009</v>
      </c>
      <c r="BB69" s="4">
        <f t="shared" si="51"/>
        <v>38.073413646401619</v>
      </c>
      <c r="BC69" s="4">
        <f t="shared" si="52"/>
        <v>325.80744083123074</v>
      </c>
      <c r="BE69" s="36">
        <f t="shared" si="53"/>
        <v>1.1000000000000001</v>
      </c>
      <c r="BF69" s="36">
        <f t="shared" si="54"/>
        <v>167.35566437978727</v>
      </c>
      <c r="BK69" s="4">
        <f t="shared" si="156"/>
        <v>63.499999999999986</v>
      </c>
      <c r="BL69" s="4">
        <f t="shared" si="157"/>
        <v>63.499999999999986</v>
      </c>
      <c r="BM69" s="4">
        <f t="shared" si="158"/>
        <v>88.899999999999991</v>
      </c>
      <c r="BN69" s="4">
        <f t="shared" si="159"/>
        <v>76.199999999999989</v>
      </c>
      <c r="BO69" s="4">
        <f t="shared" si="160"/>
        <v>1.04</v>
      </c>
      <c r="BP69" s="25">
        <f t="shared" si="118"/>
        <v>3.1199999999999997</v>
      </c>
      <c r="BR69" s="4">
        <f t="shared" si="161"/>
        <v>63.499999999999986</v>
      </c>
      <c r="BV69" s="9"/>
      <c r="BX69" s="9"/>
      <c r="BY69" s="9"/>
      <c r="BZ69" s="9">
        <f t="shared" si="231"/>
        <v>50.8</v>
      </c>
      <c r="CA69" s="9">
        <f t="shared" si="232"/>
        <v>63.499999999999986</v>
      </c>
      <c r="CB69" s="9">
        <f t="shared" si="63"/>
        <v>1.4623505735569622</v>
      </c>
      <c r="CC69" s="9">
        <v>0</v>
      </c>
      <c r="CD69" s="9">
        <f t="shared" si="129"/>
        <v>0</v>
      </c>
      <c r="CE69" s="9">
        <f t="shared" si="65"/>
        <v>0</v>
      </c>
      <c r="CF69" s="9">
        <f t="shared" si="233"/>
        <v>0.99524931562137331</v>
      </c>
      <c r="CG69" s="9">
        <f t="shared" si="234"/>
        <v>1.056</v>
      </c>
      <c r="CH69" s="9">
        <f t="shared" si="68"/>
        <v>1.6856736478198622</v>
      </c>
      <c r="CI69" s="9">
        <f t="shared" si="69"/>
        <v>2.465045825719232</v>
      </c>
      <c r="CJ69" s="9">
        <v>1</v>
      </c>
      <c r="CK69" s="9">
        <f t="shared" si="70"/>
        <v>216.92403266329242</v>
      </c>
      <c r="CM69" s="4">
        <f t="shared" si="206"/>
        <v>2.7186831724972711</v>
      </c>
      <c r="CN69" s="4">
        <f t="shared" si="207"/>
        <v>1.408807603745807</v>
      </c>
      <c r="CO69" s="4">
        <f t="shared" si="208"/>
        <v>2.7426618734479877</v>
      </c>
      <c r="CP69" s="4">
        <f t="shared" si="209"/>
        <v>2.1159481241640745</v>
      </c>
      <c r="CQ69" s="4">
        <f t="shared" si="210"/>
        <v>1.4331139899777334</v>
      </c>
      <c r="CR69" s="4">
        <f t="shared" si="211"/>
        <v>1.6633962074813795</v>
      </c>
      <c r="CS69" s="4">
        <f t="shared" si="143"/>
        <v>1.552980320852922</v>
      </c>
      <c r="CU69" s="4">
        <f t="shared" si="212"/>
        <v>2.7186831724972711</v>
      </c>
      <c r="CV69" s="4">
        <f t="shared" si="212"/>
        <v>1.408807603745807</v>
      </c>
      <c r="CW69" s="4">
        <f t="shared" si="213"/>
        <v>2.1159481241640745</v>
      </c>
      <c r="CX69" s="4">
        <f t="shared" si="214"/>
        <v>1.552980320852922</v>
      </c>
      <c r="CY69" s="4">
        <f t="shared" si="215"/>
        <v>1.4331139899777334</v>
      </c>
      <c r="CZ69" s="4">
        <f t="shared" si="215"/>
        <v>1.6633962074813795</v>
      </c>
      <c r="DH69" s="4">
        <f t="shared" si="167"/>
        <v>0</v>
      </c>
      <c r="DI69" s="4">
        <f t="shared" si="168"/>
        <v>381</v>
      </c>
      <c r="DJ69" s="4">
        <f t="shared" si="169"/>
        <v>0.46666666666666662</v>
      </c>
      <c r="DL69" s="4">
        <f t="shared" si="170"/>
        <v>2.5033311258542346E-5</v>
      </c>
      <c r="DM69" s="4">
        <f t="shared" si="171"/>
        <v>5.7900347857029448</v>
      </c>
      <c r="DN69" s="4">
        <f t="shared" si="172"/>
        <v>0.48066032441776124</v>
      </c>
      <c r="DO69" s="4">
        <f t="shared" si="76"/>
        <v>4.3193309674909806</v>
      </c>
      <c r="DP69" s="4">
        <f t="shared" si="77"/>
        <v>5.1080025768674968</v>
      </c>
      <c r="DQ69" s="4">
        <f t="shared" si="78"/>
        <v>5.3067104906481672</v>
      </c>
      <c r="DR69" s="38">
        <f t="shared" si="119"/>
        <v>320.28157090779052</v>
      </c>
      <c r="DS69" s="4">
        <f t="shared" si="79"/>
        <v>1.0002121140175244</v>
      </c>
      <c r="DT69" s="4">
        <f t="shared" si="147"/>
        <v>2.2494443758403984</v>
      </c>
      <c r="DU69" s="4">
        <f t="shared" si="120"/>
        <v>184.33497816892</v>
      </c>
      <c r="DY69" s="4">
        <f t="shared" si="235"/>
        <v>0.85</v>
      </c>
      <c r="DZ69" s="4">
        <f t="shared" si="81"/>
        <v>0.85000000000000009</v>
      </c>
      <c r="EA69" s="4">
        <f t="shared" si="82"/>
        <v>1</v>
      </c>
      <c r="EB69" s="4">
        <f t="shared" si="83"/>
        <v>0.85000000000000009</v>
      </c>
      <c r="ED69" s="4">
        <f t="shared" si="121"/>
        <v>275.94147319536808</v>
      </c>
      <c r="EE69" s="25">
        <f t="shared" si="122"/>
        <v>181.80779675423688</v>
      </c>
      <c r="EG69" s="4">
        <f t="shared" si="148"/>
        <v>0.72250000000000003</v>
      </c>
      <c r="EH69" s="4">
        <f t="shared" si="84"/>
        <v>5.7900347857029448</v>
      </c>
      <c r="EI69" s="4">
        <f t="shared" si="174"/>
        <v>5.2207585655726314</v>
      </c>
      <c r="EK69" s="4">
        <f t="shared" si="175"/>
        <v>57.135887146346114</v>
      </c>
      <c r="EL69" s="4">
        <f t="shared" si="176"/>
        <v>2.2494443758403984</v>
      </c>
      <c r="EM69" s="4">
        <f t="shared" si="177"/>
        <v>0.1204434502751171</v>
      </c>
      <c r="EP69" s="4">
        <f t="shared" si="178"/>
        <v>0.1204434502751171</v>
      </c>
      <c r="EQ69" s="4">
        <f t="shared" si="179"/>
        <v>0.47985819191921475</v>
      </c>
      <c r="ER69" s="4">
        <f t="shared" si="180"/>
        <v>4.3164462593677309</v>
      </c>
      <c r="ES69" s="4">
        <f t="shared" si="236"/>
        <v>5.1067841093562398</v>
      </c>
      <c r="ET69" s="4">
        <f t="shared" si="182"/>
        <v>228.61411285365389</v>
      </c>
      <c r="EU69" s="4">
        <f t="shared" si="183"/>
        <v>95.249999999999972</v>
      </c>
      <c r="EV69" s="4">
        <f t="shared" si="95"/>
        <v>2.5033311258542336E-5</v>
      </c>
      <c r="EW69" s="4">
        <f t="shared" si="237"/>
        <v>5.3068372704296802</v>
      </c>
      <c r="EX69" s="4">
        <f t="shared" si="185"/>
        <v>320.21364910421289</v>
      </c>
      <c r="EY69" s="4">
        <f t="shared" si="186"/>
        <v>120.66411285365388</v>
      </c>
      <c r="EZ69" s="4">
        <f t="shared" si="187"/>
        <v>0</v>
      </c>
      <c r="FB69" s="4">
        <f t="shared" si="100"/>
        <v>166.41788891550129</v>
      </c>
      <c r="FG69" s="23">
        <f t="shared" si="216"/>
        <v>2.2000000000000002</v>
      </c>
      <c r="FH69" s="23">
        <f t="shared" si="216"/>
        <v>1.6</v>
      </c>
      <c r="FI69" s="23">
        <f t="shared" si="230"/>
        <v>1.6</v>
      </c>
      <c r="FJ69" s="23">
        <f t="shared" si="217"/>
        <v>2.2000000000000002</v>
      </c>
      <c r="FK69" s="23">
        <f t="shared" si="217"/>
        <v>1.6</v>
      </c>
      <c r="FL69" s="23">
        <f t="shared" si="217"/>
        <v>1.8</v>
      </c>
      <c r="FM69" s="23">
        <f t="shared" si="218"/>
        <v>0</v>
      </c>
      <c r="FN69" s="23"/>
      <c r="FX69" s="4">
        <f t="shared" si="101"/>
        <v>1</v>
      </c>
      <c r="FY69" s="4">
        <f t="shared" si="102"/>
        <v>1.0833333333333333</v>
      </c>
      <c r="FZ69" s="4">
        <f t="shared" si="103"/>
        <v>0</v>
      </c>
      <c r="GA69" s="4">
        <f t="shared" si="104"/>
        <v>295.56073173413409</v>
      </c>
    </row>
    <row r="70" spans="1:185" ht="12" hidden="1" customHeight="1" x14ac:dyDescent="0.3">
      <c r="A70" s="25">
        <v>52</v>
      </c>
      <c r="B70" s="20" t="s">
        <v>54</v>
      </c>
      <c r="C70" s="20">
        <v>2006</v>
      </c>
      <c r="D70" s="24" t="s">
        <v>55</v>
      </c>
      <c r="E70" s="24"/>
      <c r="F70" s="7" t="s">
        <v>66</v>
      </c>
      <c r="G70" s="7">
        <v>472</v>
      </c>
      <c r="H70" s="7">
        <f t="shared" si="205"/>
        <v>381</v>
      </c>
      <c r="I70" s="7">
        <f t="shared" si="131"/>
        <v>177.79999999999998</v>
      </c>
      <c r="J70" s="7">
        <v>21</v>
      </c>
      <c r="K70" s="7">
        <v>25.4</v>
      </c>
      <c r="L70" s="7">
        <f t="shared" si="151"/>
        <v>15</v>
      </c>
      <c r="M70" s="7">
        <v>7</v>
      </c>
      <c r="N70" s="7">
        <f t="shared" si="132"/>
        <v>152.39999999999998</v>
      </c>
      <c r="O70" s="7">
        <f t="shared" si="108"/>
        <v>63.499999999999986</v>
      </c>
      <c r="P70" s="7">
        <f t="shared" si="133"/>
        <v>50.8</v>
      </c>
      <c r="Q70" s="7">
        <v>0</v>
      </c>
      <c r="R70" s="7">
        <v>1</v>
      </c>
      <c r="S70" s="7">
        <f t="shared" si="134"/>
        <v>88.899999999999991</v>
      </c>
      <c r="T70" s="7">
        <f t="shared" si="42"/>
        <v>2.9999999999999996</v>
      </c>
      <c r="U70" s="7">
        <f t="shared" si="135"/>
        <v>4</v>
      </c>
      <c r="V70" s="7">
        <v>4.7</v>
      </c>
      <c r="W70" s="7">
        <f t="shared" si="152"/>
        <v>4.7</v>
      </c>
      <c r="X70" s="7">
        <f t="shared" si="44"/>
        <v>5.7</v>
      </c>
      <c r="Y70" s="7">
        <f t="shared" si="200"/>
        <v>60.641668842471674</v>
      </c>
      <c r="Z70" s="7"/>
      <c r="AA70" s="7"/>
      <c r="AB70" s="7">
        <v>413</v>
      </c>
      <c r="AC70" s="7"/>
      <c r="AD70" s="7"/>
      <c r="AE70" s="7"/>
      <c r="AF70" s="7"/>
      <c r="AG70" s="7">
        <v>1</v>
      </c>
      <c r="AH70" s="7"/>
      <c r="AI70" s="7"/>
      <c r="AJ70" s="7"/>
      <c r="AK70" s="4">
        <f t="shared" si="125"/>
        <v>381</v>
      </c>
      <c r="AL70" s="44">
        <f t="shared" si="153"/>
        <v>5.9259259259259248E-2</v>
      </c>
      <c r="AM70" s="25">
        <f t="shared" si="112"/>
        <v>672.57356899470892</v>
      </c>
      <c r="AN70" s="4">
        <f t="shared" si="113"/>
        <v>0.74</v>
      </c>
      <c r="AO70" s="4">
        <v>1.25</v>
      </c>
      <c r="AP70" s="25">
        <f t="shared" si="114"/>
        <v>5</v>
      </c>
      <c r="AQ70" s="38">
        <f t="shared" si="115"/>
        <v>184.3349781689202</v>
      </c>
      <c r="AR70" s="38">
        <f t="shared" si="116"/>
        <v>184.3349781689202</v>
      </c>
      <c r="AT70" s="38">
        <f t="shared" si="130"/>
        <v>184.33497816892</v>
      </c>
      <c r="AU70" s="38">
        <f t="shared" si="47"/>
        <v>1.0000000000000011</v>
      </c>
      <c r="AV70" s="38">
        <f t="shared" si="136"/>
        <v>1.6794589169432566</v>
      </c>
      <c r="AW70" s="4">
        <f t="shared" si="154"/>
        <v>0</v>
      </c>
      <c r="AX70" s="4">
        <f t="shared" si="220"/>
        <v>168.83173612995199</v>
      </c>
      <c r="AY70" s="4">
        <f t="shared" si="221"/>
        <v>1.1333333333333333</v>
      </c>
      <c r="AZ70" s="38">
        <f t="shared" si="117"/>
        <v>309.58302279033325</v>
      </c>
      <c r="BA70" s="4">
        <f t="shared" si="222"/>
        <v>0.34199999999999997</v>
      </c>
      <c r="BB70" s="4">
        <f t="shared" si="51"/>
        <v>30.169387087741768</v>
      </c>
      <c r="BC70" s="4">
        <f t="shared" si="52"/>
        <v>339.75240987807501</v>
      </c>
      <c r="BE70" s="36">
        <f t="shared" si="53"/>
        <v>1.1000000000000001</v>
      </c>
      <c r="BF70" s="36">
        <f t="shared" si="54"/>
        <v>167.35566437978727</v>
      </c>
      <c r="BK70" s="4">
        <f t="shared" si="156"/>
        <v>63.499999999999986</v>
      </c>
      <c r="BL70" s="4">
        <f t="shared" si="157"/>
        <v>63.499999999999986</v>
      </c>
      <c r="BM70" s="4">
        <f t="shared" si="158"/>
        <v>88.899999999999991</v>
      </c>
      <c r="BN70" s="4">
        <f t="shared" si="159"/>
        <v>76.199999999999989</v>
      </c>
      <c r="BO70" s="4">
        <f t="shared" si="160"/>
        <v>1.04</v>
      </c>
      <c r="BP70" s="25">
        <f t="shared" si="118"/>
        <v>3.1199999999999997</v>
      </c>
      <c r="BR70" s="4">
        <f t="shared" si="161"/>
        <v>63.499999999999986</v>
      </c>
      <c r="BV70" s="9"/>
      <c r="BX70" s="9"/>
      <c r="BY70" s="9"/>
      <c r="BZ70" s="9">
        <f t="shared" si="231"/>
        <v>50.8</v>
      </c>
      <c r="CA70" s="9">
        <f t="shared" si="232"/>
        <v>63.499999999999986</v>
      </c>
      <c r="CB70" s="9">
        <f t="shared" si="63"/>
        <v>1.4623505735569622</v>
      </c>
      <c r="CC70" s="9">
        <v>0</v>
      </c>
      <c r="CD70" s="9">
        <f t="shared" si="129"/>
        <v>0</v>
      </c>
      <c r="CE70" s="9">
        <f t="shared" si="65"/>
        <v>0</v>
      </c>
      <c r="CF70" s="9">
        <f t="shared" si="233"/>
        <v>0.99524931562137331</v>
      </c>
      <c r="CG70" s="9">
        <f t="shared" si="234"/>
        <v>1.056</v>
      </c>
      <c r="CH70" s="9">
        <f t="shared" si="68"/>
        <v>1.6856736478198622</v>
      </c>
      <c r="CI70" s="9">
        <f t="shared" si="69"/>
        <v>2.465045825719232</v>
      </c>
      <c r="CJ70" s="9">
        <v>1</v>
      </c>
      <c r="CK70" s="9">
        <f t="shared" si="70"/>
        <v>216.92403266329242</v>
      </c>
      <c r="CM70" s="4">
        <f t="shared" si="206"/>
        <v>2.4462225495454746</v>
      </c>
      <c r="CN70" s="4">
        <f t="shared" si="207"/>
        <v>1.2155910833662988</v>
      </c>
      <c r="CO70" s="4">
        <f t="shared" si="208"/>
        <v>2.4677981562832656</v>
      </c>
      <c r="CP70" s="4">
        <f t="shared" si="209"/>
        <v>1.9038923208709428</v>
      </c>
      <c r="CQ70" s="4">
        <f t="shared" si="210"/>
        <v>1.3016046889462036</v>
      </c>
      <c r="CR70" s="4">
        <f t="shared" si="211"/>
        <v>1.4916330668423277</v>
      </c>
      <c r="CS70" s="4">
        <f t="shared" si="143"/>
        <v>1.3973439488284463</v>
      </c>
      <c r="CU70" s="4">
        <f t="shared" si="212"/>
        <v>2.4462225495454746</v>
      </c>
      <c r="CV70" s="4">
        <f t="shared" si="212"/>
        <v>1.2155910833662988</v>
      </c>
      <c r="CW70" s="4">
        <f t="shared" si="213"/>
        <v>1.9038923208709428</v>
      </c>
      <c r="CX70" s="4">
        <f t="shared" si="214"/>
        <v>1.3973439488284463</v>
      </c>
      <c r="CY70" s="4">
        <f t="shared" si="215"/>
        <v>1.3016046889462036</v>
      </c>
      <c r="CZ70" s="4">
        <f t="shared" si="215"/>
        <v>1.4916330668423277</v>
      </c>
      <c r="DH70" s="4">
        <f t="shared" si="167"/>
        <v>0</v>
      </c>
      <c r="DI70" s="4">
        <f t="shared" si="168"/>
        <v>381</v>
      </c>
      <c r="DJ70" s="4">
        <f t="shared" si="169"/>
        <v>0.46666666666666662</v>
      </c>
      <c r="DL70" s="4">
        <f t="shared" si="170"/>
        <v>2.5033311258542346E-5</v>
      </c>
      <c r="DM70" s="4">
        <f t="shared" si="171"/>
        <v>5.7900347857029448</v>
      </c>
      <c r="DN70" s="4">
        <f t="shared" si="172"/>
        <v>0.44068535720017393</v>
      </c>
      <c r="DO70" s="4">
        <f t="shared" si="76"/>
        <v>4.1718878112344715</v>
      </c>
      <c r="DP70" s="4">
        <f t="shared" si="77"/>
        <v>5.0464119235403171</v>
      </c>
      <c r="DQ70" s="4">
        <f t="shared" si="78"/>
        <v>5.3140221662208873</v>
      </c>
      <c r="DR70" s="38">
        <f t="shared" si="119"/>
        <v>317.30063936260882</v>
      </c>
      <c r="DS70" s="4">
        <f t="shared" si="79"/>
        <v>1.0002066216475634</v>
      </c>
      <c r="DT70" s="4">
        <f t="shared" si="147"/>
        <v>2.3874672772626644</v>
      </c>
      <c r="DU70" s="4">
        <f t="shared" si="120"/>
        <v>184.33497816892</v>
      </c>
      <c r="DY70" s="4">
        <f t="shared" si="235"/>
        <v>0.85</v>
      </c>
      <c r="DZ70" s="4">
        <f t="shared" si="81"/>
        <v>0.85000000000000009</v>
      </c>
      <c r="EA70" s="4">
        <f t="shared" si="82"/>
        <v>1</v>
      </c>
      <c r="EB70" s="4">
        <f t="shared" si="83"/>
        <v>0.85000000000000009</v>
      </c>
      <c r="ED70" s="4">
        <f t="shared" si="121"/>
        <v>276.87774505716021</v>
      </c>
      <c r="EE70" s="25">
        <f t="shared" si="122"/>
        <v>181.80779675423688</v>
      </c>
      <c r="EG70" s="4">
        <f t="shared" si="148"/>
        <v>0.72250000000000003</v>
      </c>
      <c r="EH70" s="4">
        <f t="shared" si="84"/>
        <v>5.7900347857029448</v>
      </c>
      <c r="EI70" s="4">
        <f t="shared" si="174"/>
        <v>5.2207585655726314</v>
      </c>
      <c r="EK70" s="4">
        <f t="shared" si="175"/>
        <v>60.641668842471674</v>
      </c>
      <c r="EL70" s="4">
        <f t="shared" si="176"/>
        <v>2.3874672772626644</v>
      </c>
      <c r="EM70" s="4">
        <f t="shared" si="177"/>
        <v>0.11042655740559822</v>
      </c>
      <c r="EP70" s="4">
        <f t="shared" si="178"/>
        <v>0.11042655740559822</v>
      </c>
      <c r="EQ70" s="4">
        <f t="shared" si="179"/>
        <v>0.4399499354715925</v>
      </c>
      <c r="ER70" s="4">
        <f t="shared" si="180"/>
        <v>4.1691015744887965</v>
      </c>
      <c r="ES70" s="4">
        <f t="shared" si="236"/>
        <v>5.0452617256677321</v>
      </c>
      <c r="ET70" s="4">
        <f t="shared" si="182"/>
        <v>225.10833115752831</v>
      </c>
      <c r="EU70" s="4">
        <f t="shared" si="183"/>
        <v>95.25</v>
      </c>
      <c r="EV70" s="4">
        <f t="shared" si="95"/>
        <v>2.5033311258542346E-5</v>
      </c>
      <c r="EW70" s="4">
        <f t="shared" si="237"/>
        <v>5.3141445144905157</v>
      </c>
      <c r="EX70" s="4">
        <f t="shared" si="185"/>
        <v>317.23509172529162</v>
      </c>
      <c r="EY70" s="4">
        <f t="shared" si="186"/>
        <v>117.15833115752831</v>
      </c>
      <c r="EZ70" s="4">
        <f t="shared" si="187"/>
        <v>0</v>
      </c>
      <c r="FB70" s="4">
        <f t="shared" si="100"/>
        <v>165.48161705370916</v>
      </c>
      <c r="FG70" s="23">
        <f t="shared" si="216"/>
        <v>2.2000000000000002</v>
      </c>
      <c r="FH70" s="23">
        <f t="shared" si="216"/>
        <v>1.4</v>
      </c>
      <c r="FI70" s="23">
        <f t="shared" si="230"/>
        <v>1.4</v>
      </c>
      <c r="FJ70" s="23">
        <f t="shared" si="217"/>
        <v>2</v>
      </c>
      <c r="FK70" s="23">
        <f t="shared" si="217"/>
        <v>1.4</v>
      </c>
      <c r="FL70" s="23">
        <f t="shared" si="217"/>
        <v>1.6</v>
      </c>
      <c r="FM70" s="23">
        <f t="shared" si="218"/>
        <v>0</v>
      </c>
      <c r="FN70" s="23"/>
      <c r="FX70" s="4">
        <f t="shared" si="101"/>
        <v>1</v>
      </c>
      <c r="FY70" s="4">
        <f t="shared" si="102"/>
        <v>1.0833333333333333</v>
      </c>
      <c r="FZ70" s="4">
        <f t="shared" si="103"/>
        <v>0</v>
      </c>
      <c r="GA70" s="4">
        <f t="shared" si="104"/>
        <v>295.56073173413409</v>
      </c>
    </row>
    <row r="71" spans="1:185" ht="12" hidden="1" customHeight="1" x14ac:dyDescent="0.3">
      <c r="A71" s="25">
        <v>53</v>
      </c>
      <c r="B71" s="20" t="s">
        <v>54</v>
      </c>
      <c r="C71" s="20">
        <v>2006</v>
      </c>
      <c r="D71" s="24" t="s">
        <v>55</v>
      </c>
      <c r="E71" s="24"/>
      <c r="F71" s="7" t="s">
        <v>281</v>
      </c>
      <c r="G71" s="7">
        <v>472</v>
      </c>
      <c r="H71" s="7">
        <f t="shared" si="205"/>
        <v>381</v>
      </c>
      <c r="I71" s="7">
        <f t="shared" si="131"/>
        <v>177.79999999999998</v>
      </c>
      <c r="J71" s="7">
        <v>27</v>
      </c>
      <c r="K71" s="7">
        <v>25.4</v>
      </c>
      <c r="L71" s="7">
        <f t="shared" si="151"/>
        <v>15</v>
      </c>
      <c r="M71" s="7">
        <v>7</v>
      </c>
      <c r="N71" s="7">
        <f t="shared" si="132"/>
        <v>152.39999999999998</v>
      </c>
      <c r="O71" s="7">
        <f t="shared" si="108"/>
        <v>63.499999999999986</v>
      </c>
      <c r="P71" s="7">
        <f t="shared" si="133"/>
        <v>50.8</v>
      </c>
      <c r="Q71" s="7">
        <v>0</v>
      </c>
      <c r="R71" s="7">
        <v>1</v>
      </c>
      <c r="S71" s="7">
        <f t="shared" si="134"/>
        <v>88.899999999999991</v>
      </c>
      <c r="T71" s="7">
        <f t="shared" si="42"/>
        <v>2.9999999999999996</v>
      </c>
      <c r="U71" s="7">
        <f t="shared" si="135"/>
        <v>4</v>
      </c>
      <c r="V71" s="7">
        <v>4.7</v>
      </c>
      <c r="W71" s="7">
        <f t="shared" si="152"/>
        <v>4.7</v>
      </c>
      <c r="X71" s="7">
        <f t="shared" si="44"/>
        <v>5.7</v>
      </c>
      <c r="Y71" s="7">
        <f t="shared" si="200"/>
        <v>60.641668842471674</v>
      </c>
      <c r="Z71" s="7"/>
      <c r="AA71" s="7"/>
      <c r="AB71" s="7">
        <v>471</v>
      </c>
      <c r="AC71" s="7"/>
      <c r="AD71" s="7"/>
      <c r="AE71" s="7"/>
      <c r="AF71" s="7"/>
      <c r="AG71" s="7">
        <v>1</v>
      </c>
      <c r="AH71" s="7"/>
      <c r="AI71" s="7"/>
      <c r="AJ71" s="7"/>
      <c r="AK71" s="4">
        <f t="shared" si="125"/>
        <v>381</v>
      </c>
      <c r="AL71" s="44">
        <f t="shared" si="153"/>
        <v>5.9259259259259248E-2</v>
      </c>
      <c r="AM71" s="25">
        <f t="shared" si="112"/>
        <v>762.62674369506078</v>
      </c>
      <c r="AN71" s="4">
        <f t="shared" si="113"/>
        <v>0.74</v>
      </c>
      <c r="AO71" s="4">
        <v>1.25</v>
      </c>
      <c r="AP71" s="25">
        <f t="shared" si="114"/>
        <v>5</v>
      </c>
      <c r="AQ71" s="38">
        <f t="shared" si="115"/>
        <v>209.01621864234997</v>
      </c>
      <c r="AR71" s="38">
        <f t="shared" si="116"/>
        <v>209.01621864234997</v>
      </c>
      <c r="AT71" s="38">
        <f t="shared" si="130"/>
        <v>209.0162186423498</v>
      </c>
      <c r="AU71" s="38">
        <f t="shared" si="47"/>
        <v>1.0000000000000009</v>
      </c>
      <c r="AV71" s="38">
        <f t="shared" si="136"/>
        <v>1.9043274134493156</v>
      </c>
      <c r="AW71" s="4">
        <f t="shared" si="154"/>
        <v>0</v>
      </c>
      <c r="AX71" s="4">
        <f t="shared" si="220"/>
        <v>191.43719452077065</v>
      </c>
      <c r="AY71" s="4">
        <f t="shared" si="221"/>
        <v>1.1333333333333333</v>
      </c>
      <c r="AZ71" s="38">
        <f t="shared" si="117"/>
        <v>398.03531501614259</v>
      </c>
      <c r="BA71" s="4">
        <f t="shared" si="222"/>
        <v>0.34199999999999997</v>
      </c>
      <c r="BB71" s="4">
        <f t="shared" si="51"/>
        <v>34.208869474889106</v>
      </c>
      <c r="BC71" s="4">
        <f t="shared" si="52"/>
        <v>432.24418449103172</v>
      </c>
      <c r="BE71" s="36">
        <f t="shared" si="53"/>
        <v>1.1000000000000001</v>
      </c>
      <c r="BF71" s="36">
        <f t="shared" si="54"/>
        <v>189.7634864772462</v>
      </c>
      <c r="BK71" s="4">
        <f t="shared" si="156"/>
        <v>63.499999999999986</v>
      </c>
      <c r="BL71" s="4">
        <f t="shared" si="157"/>
        <v>63.499999999999986</v>
      </c>
      <c r="BM71" s="4">
        <f t="shared" si="158"/>
        <v>88.899999999999991</v>
      </c>
      <c r="BN71" s="4">
        <f t="shared" si="159"/>
        <v>76.199999999999989</v>
      </c>
      <c r="BO71" s="4">
        <f t="shared" si="160"/>
        <v>1.04</v>
      </c>
      <c r="BP71" s="25">
        <f t="shared" si="118"/>
        <v>3.1199999999999997</v>
      </c>
      <c r="BR71" s="4">
        <f t="shared" si="161"/>
        <v>63.499999999999986</v>
      </c>
      <c r="BV71" s="9"/>
      <c r="BX71" s="9"/>
      <c r="BY71" s="9"/>
      <c r="BZ71" s="9">
        <f t="shared" si="231"/>
        <v>50.8</v>
      </c>
      <c r="CA71" s="9">
        <f t="shared" si="232"/>
        <v>63.499999999999986</v>
      </c>
      <c r="CB71" s="9">
        <f t="shared" si="63"/>
        <v>1.4623505735569622</v>
      </c>
      <c r="CC71" s="9">
        <v>0</v>
      </c>
      <c r="CD71" s="9">
        <f t="shared" si="129"/>
        <v>0</v>
      </c>
      <c r="CE71" s="9">
        <f t="shared" si="65"/>
        <v>0</v>
      </c>
      <c r="CF71" s="9">
        <f t="shared" si="233"/>
        <v>0.99524931562137331</v>
      </c>
      <c r="CG71" s="9">
        <f t="shared" si="234"/>
        <v>1.056</v>
      </c>
      <c r="CH71" s="9">
        <f t="shared" si="68"/>
        <v>1.911374255891328</v>
      </c>
      <c r="CI71" s="9">
        <f t="shared" si="69"/>
        <v>2.7950992393846952</v>
      </c>
      <c r="CJ71" s="9">
        <v>1</v>
      </c>
      <c r="CK71" s="9">
        <f t="shared" si="70"/>
        <v>245.96873306585317</v>
      </c>
      <c r="CM71" s="4">
        <f t="shared" si="206"/>
        <v>2.4603369328466482</v>
      </c>
      <c r="CN71" s="4">
        <f t="shared" si="207"/>
        <v>1.0896618552649895</v>
      </c>
      <c r="CO71" s="4">
        <f t="shared" si="208"/>
        <v>2.4820370280057844</v>
      </c>
      <c r="CP71" s="4">
        <f t="shared" si="209"/>
        <v>1.9148775298765279</v>
      </c>
      <c r="CQ71" s="4">
        <f t="shared" si="210"/>
        <v>1.3236602712925347</v>
      </c>
      <c r="CR71" s="4">
        <f t="shared" si="211"/>
        <v>1.4864600348804182</v>
      </c>
      <c r="CS71" s="4">
        <f t="shared" si="143"/>
        <v>1.4965390606012445</v>
      </c>
      <c r="CU71" s="4">
        <f t="shared" si="212"/>
        <v>2.4603369328466482</v>
      </c>
      <c r="CV71" s="4">
        <f t="shared" si="212"/>
        <v>1.0896618552649895</v>
      </c>
      <c r="CW71" s="4">
        <f t="shared" si="213"/>
        <v>1.9148775298765279</v>
      </c>
      <c r="CX71" s="4">
        <f t="shared" si="214"/>
        <v>1.4965390606012445</v>
      </c>
      <c r="CY71" s="4">
        <f t="shared" si="215"/>
        <v>1.3236602712925347</v>
      </c>
      <c r="CZ71" s="4">
        <f t="shared" si="215"/>
        <v>1.4864600348804182</v>
      </c>
      <c r="DH71" s="4">
        <f t="shared" si="167"/>
        <v>0</v>
      </c>
      <c r="DI71" s="4">
        <f t="shared" si="168"/>
        <v>381</v>
      </c>
      <c r="DJ71" s="4">
        <f t="shared" si="169"/>
        <v>0.46666666666666662</v>
      </c>
      <c r="DL71" s="4">
        <f t="shared" si="170"/>
        <v>2.6209296574030622E-5</v>
      </c>
      <c r="DM71" s="4">
        <f t="shared" si="171"/>
        <v>6.5652823394499222</v>
      </c>
      <c r="DN71" s="4">
        <f t="shared" si="172"/>
        <v>0.38864795385977591</v>
      </c>
      <c r="DO71" s="4">
        <f t="shared" si="76"/>
        <v>4.4985853216219667</v>
      </c>
      <c r="DP71" s="4">
        <f t="shared" si="77"/>
        <v>5.6279431202056429</v>
      </c>
      <c r="DQ71" s="4">
        <f t="shared" si="78"/>
        <v>5.9380820517460586</v>
      </c>
      <c r="DR71" s="38">
        <f t="shared" si="119"/>
        <v>355.83148502302288</v>
      </c>
      <c r="DS71" s="4">
        <f t="shared" si="79"/>
        <v>1.0001936169023238</v>
      </c>
      <c r="DT71" s="4">
        <f t="shared" si="147"/>
        <v>2.3874672772626644</v>
      </c>
      <c r="DU71" s="4">
        <f t="shared" si="120"/>
        <v>209.0162186423498</v>
      </c>
      <c r="DY71" s="4">
        <f t="shared" si="235"/>
        <v>0.85</v>
      </c>
      <c r="DZ71" s="4">
        <f t="shared" si="81"/>
        <v>0.85000000000000009</v>
      </c>
      <c r="EA71" s="4">
        <f t="shared" si="82"/>
        <v>1</v>
      </c>
      <c r="EB71" s="4">
        <f t="shared" si="83"/>
        <v>0.85000000000000009</v>
      </c>
      <c r="ED71" s="4">
        <f t="shared" si="121"/>
        <v>316.86018389178605</v>
      </c>
      <c r="EE71" s="25">
        <f t="shared" si="122"/>
        <v>206.15066426755152</v>
      </c>
      <c r="EG71" s="4">
        <f t="shared" si="148"/>
        <v>0.72250000000000003</v>
      </c>
      <c r="EH71" s="4">
        <f t="shared" si="84"/>
        <v>6.5652823394499222</v>
      </c>
      <c r="EI71" s="4">
        <f t="shared" si="174"/>
        <v>5.9197837798352051</v>
      </c>
      <c r="EK71" s="4">
        <f t="shared" si="175"/>
        <v>60.641668842471674</v>
      </c>
      <c r="EL71" s="4">
        <f t="shared" si="176"/>
        <v>2.3874672772626644</v>
      </c>
      <c r="EM71" s="4">
        <f t="shared" si="177"/>
        <v>0.11042655740559822</v>
      </c>
      <c r="EP71" s="4">
        <f t="shared" si="178"/>
        <v>0.11042655740559822</v>
      </c>
      <c r="EQ71" s="4">
        <f t="shared" si="179"/>
        <v>0.387999372858916</v>
      </c>
      <c r="ER71" s="4">
        <f t="shared" si="180"/>
        <v>4.4955808966964188</v>
      </c>
      <c r="ES71" s="4">
        <f t="shared" si="236"/>
        <v>5.6267446669320007</v>
      </c>
      <c r="ET71" s="4">
        <f t="shared" si="182"/>
        <v>225.10833115752831</v>
      </c>
      <c r="EU71" s="4">
        <f t="shared" si="183"/>
        <v>95.25</v>
      </c>
      <c r="EV71" s="4">
        <f t="shared" si="95"/>
        <v>2.6209296574030622E-5</v>
      </c>
      <c r="EW71" s="4">
        <f t="shared" si="237"/>
        <v>5.9382350875445296</v>
      </c>
      <c r="EX71" s="4">
        <f t="shared" si="185"/>
        <v>355.76260336979578</v>
      </c>
      <c r="EY71" s="4">
        <f t="shared" si="186"/>
        <v>117.15833115752831</v>
      </c>
      <c r="EZ71" s="4">
        <f t="shared" si="187"/>
        <v>0</v>
      </c>
      <c r="FB71" s="4">
        <f t="shared" si="100"/>
        <v>184.72818565101193</v>
      </c>
      <c r="FG71" s="23">
        <f t="shared" si="216"/>
        <v>2.2000000000000002</v>
      </c>
      <c r="FH71" s="23">
        <f t="shared" si="216"/>
        <v>1.2</v>
      </c>
      <c r="FI71" s="23">
        <f t="shared" si="230"/>
        <v>1.6</v>
      </c>
      <c r="FJ71" s="23">
        <f t="shared" si="217"/>
        <v>2</v>
      </c>
      <c r="FK71" s="23">
        <f t="shared" si="217"/>
        <v>1.4</v>
      </c>
      <c r="FL71" s="23">
        <f t="shared" si="217"/>
        <v>1.6</v>
      </c>
      <c r="FM71" s="23">
        <f t="shared" si="218"/>
        <v>0</v>
      </c>
      <c r="FN71" s="23"/>
      <c r="FX71" s="4">
        <f t="shared" si="101"/>
        <v>1</v>
      </c>
      <c r="FY71" s="4">
        <f t="shared" si="102"/>
        <v>1.0833333333333333</v>
      </c>
      <c r="FZ71" s="4">
        <f t="shared" si="103"/>
        <v>0</v>
      </c>
      <c r="GA71" s="4">
        <f t="shared" si="104"/>
        <v>314.72616545723344</v>
      </c>
    </row>
    <row r="72" spans="1:185" ht="12" hidden="1" customHeight="1" x14ac:dyDescent="0.3">
      <c r="A72" s="25">
        <v>54</v>
      </c>
      <c r="B72" s="20" t="s">
        <v>54</v>
      </c>
      <c r="C72" s="20">
        <v>2006</v>
      </c>
      <c r="D72" s="24" t="s">
        <v>55</v>
      </c>
      <c r="E72" s="24"/>
      <c r="F72" s="7" t="s">
        <v>282</v>
      </c>
      <c r="G72" s="7">
        <v>472</v>
      </c>
      <c r="H72" s="7">
        <f t="shared" si="205"/>
        <v>381</v>
      </c>
      <c r="I72" s="7">
        <f t="shared" si="131"/>
        <v>177.79999999999998</v>
      </c>
      <c r="J72" s="7">
        <v>21</v>
      </c>
      <c r="K72" s="7">
        <v>25.4</v>
      </c>
      <c r="L72" s="7">
        <f t="shared" si="151"/>
        <v>15</v>
      </c>
      <c r="M72" s="7">
        <v>7</v>
      </c>
      <c r="N72" s="7">
        <f t="shared" si="132"/>
        <v>152.39999999999998</v>
      </c>
      <c r="O72" s="7">
        <f t="shared" si="108"/>
        <v>63.499999999999986</v>
      </c>
      <c r="P72" s="7">
        <f t="shared" si="133"/>
        <v>50.8</v>
      </c>
      <c r="Q72" s="7">
        <v>0</v>
      </c>
      <c r="R72" s="7">
        <v>1</v>
      </c>
      <c r="S72" s="7">
        <f t="shared" si="134"/>
        <v>88.899999999999991</v>
      </c>
      <c r="T72" s="7">
        <f t="shared" si="42"/>
        <v>2.9999999999999996</v>
      </c>
      <c r="U72" s="7">
        <f t="shared" si="135"/>
        <v>4</v>
      </c>
      <c r="V72" s="7">
        <v>10.39</v>
      </c>
      <c r="W72" s="7">
        <f t="shared" si="152"/>
        <v>10.39</v>
      </c>
      <c r="X72" s="7">
        <f t="shared" si="44"/>
        <v>11.39</v>
      </c>
      <c r="Y72" s="7">
        <f t="shared" si="200"/>
        <v>85.722648115885917</v>
      </c>
      <c r="Z72" s="7"/>
      <c r="AA72" s="7"/>
      <c r="AB72" s="7">
        <v>376</v>
      </c>
      <c r="AC72" s="7"/>
      <c r="AD72" s="7"/>
      <c r="AE72" s="7"/>
      <c r="AF72" s="7"/>
      <c r="AG72" s="7">
        <v>1</v>
      </c>
      <c r="AH72" s="7"/>
      <c r="AI72" s="7"/>
      <c r="AJ72" s="7"/>
      <c r="AK72" s="4">
        <f t="shared" si="125"/>
        <v>381</v>
      </c>
      <c r="AL72" s="44">
        <f t="shared" si="153"/>
        <v>5.9259259259259248E-2</v>
      </c>
      <c r="AM72" s="25">
        <f t="shared" si="112"/>
        <v>672.57356899470892</v>
      </c>
      <c r="AN72" s="4">
        <f t="shared" si="113"/>
        <v>0.74</v>
      </c>
      <c r="AO72" s="4">
        <v>1.25</v>
      </c>
      <c r="AP72" s="25">
        <f t="shared" si="114"/>
        <v>5</v>
      </c>
      <c r="AQ72" s="38">
        <f t="shared" si="115"/>
        <v>184.3349781689202</v>
      </c>
      <c r="AR72" s="38">
        <f t="shared" si="116"/>
        <v>184.3349781689202</v>
      </c>
      <c r="AT72" s="38">
        <f t="shared" si="130"/>
        <v>184.33497816892</v>
      </c>
      <c r="AU72" s="38">
        <f t="shared" si="47"/>
        <v>1.0000000000000011</v>
      </c>
      <c r="AV72" s="38">
        <f t="shared" si="136"/>
        <v>2.4970556966813486</v>
      </c>
      <c r="AW72" s="4">
        <f t="shared" si="154"/>
        <v>0</v>
      </c>
      <c r="AX72" s="4">
        <f t="shared" si="220"/>
        <v>168.83173612995199</v>
      </c>
      <c r="AY72" s="4">
        <f t="shared" si="221"/>
        <v>1.1333333333333333</v>
      </c>
      <c r="AZ72" s="38">
        <f t="shared" si="117"/>
        <v>460.29470733433374</v>
      </c>
      <c r="BA72" s="4">
        <f t="shared" si="222"/>
        <v>0.3</v>
      </c>
      <c r="BB72" s="4">
        <f t="shared" si="51"/>
        <v>26.464374638369975</v>
      </c>
      <c r="BC72" s="4">
        <f t="shared" si="52"/>
        <v>486.75908197270371</v>
      </c>
      <c r="BE72" s="36">
        <f t="shared" si="53"/>
        <v>1.1000000000000001</v>
      </c>
      <c r="BF72" s="36">
        <f t="shared" si="54"/>
        <v>167.35566437978727</v>
      </c>
      <c r="BK72" s="4">
        <f t="shared" si="156"/>
        <v>63.499999999999986</v>
      </c>
      <c r="BL72" s="4">
        <f t="shared" si="157"/>
        <v>63.499999999999986</v>
      </c>
      <c r="BM72" s="4">
        <f t="shared" si="158"/>
        <v>88.899999999999991</v>
      </c>
      <c r="BN72" s="4">
        <f t="shared" si="159"/>
        <v>76.199999999999989</v>
      </c>
      <c r="BO72" s="4">
        <f t="shared" si="160"/>
        <v>1.04</v>
      </c>
      <c r="BP72" s="25">
        <f t="shared" si="118"/>
        <v>3.1199999999999997</v>
      </c>
      <c r="BR72" s="4">
        <f t="shared" si="161"/>
        <v>63.499999999999986</v>
      </c>
      <c r="BV72" s="9"/>
      <c r="BX72" s="9"/>
      <c r="BY72" s="9"/>
      <c r="BZ72" s="9">
        <f t="shared" si="231"/>
        <v>50.8</v>
      </c>
      <c r="CA72" s="9">
        <f t="shared" si="232"/>
        <v>63.499999999999986</v>
      </c>
      <c r="CB72" s="9">
        <f t="shared" si="63"/>
        <v>1.4623505735569622</v>
      </c>
      <c r="CC72" s="9">
        <v>0</v>
      </c>
      <c r="CD72" s="9">
        <f t="shared" si="129"/>
        <v>0</v>
      </c>
      <c r="CE72" s="9">
        <f t="shared" si="65"/>
        <v>0</v>
      </c>
      <c r="CF72" s="9">
        <f t="shared" si="233"/>
        <v>0.99524931562137331</v>
      </c>
      <c r="CG72" s="9">
        <f t="shared" si="234"/>
        <v>1.056</v>
      </c>
      <c r="CH72" s="9">
        <f t="shared" si="68"/>
        <v>1.6856736478198622</v>
      </c>
      <c r="CI72" s="9">
        <f t="shared" si="69"/>
        <v>2.465045825719232</v>
      </c>
      <c r="CJ72" s="9">
        <v>1</v>
      </c>
      <c r="CK72" s="9">
        <f t="shared" si="70"/>
        <v>216.92403266329242</v>
      </c>
      <c r="CM72" s="4">
        <f t="shared" si="206"/>
        <v>2.2270694397798994</v>
      </c>
      <c r="CN72" s="4">
        <f t="shared" si="207"/>
        <v>0.772456054597221</v>
      </c>
      <c r="CO72" s="4">
        <f t="shared" si="208"/>
        <v>2.2467121229116414</v>
      </c>
      <c r="CP72" s="4">
        <f t="shared" si="209"/>
        <v>1.7333256964829891</v>
      </c>
      <c r="CQ72" s="4">
        <f t="shared" si="210"/>
        <v>1.2501439525632614</v>
      </c>
      <c r="CR72" s="4">
        <f t="shared" si="211"/>
        <v>1.3389539545467144</v>
      </c>
      <c r="CS72" s="4">
        <f t="shared" si="143"/>
        <v>1.2721581713304984</v>
      </c>
      <c r="CU72" s="4">
        <f t="shared" si="212"/>
        <v>2.2270694397798994</v>
      </c>
      <c r="CV72" s="4">
        <f t="shared" si="212"/>
        <v>0.772456054597221</v>
      </c>
      <c r="CW72" s="4">
        <f t="shared" si="213"/>
        <v>1.7333256964829891</v>
      </c>
      <c r="CX72" s="4">
        <f t="shared" si="214"/>
        <v>1.2721581713304984</v>
      </c>
      <c r="CY72" s="4">
        <f t="shared" si="215"/>
        <v>1.2501439525632614</v>
      </c>
      <c r="CZ72" s="4">
        <f t="shared" si="215"/>
        <v>1.3389539545467144</v>
      </c>
      <c r="DH72" s="4">
        <f t="shared" si="167"/>
        <v>0</v>
      </c>
      <c r="DI72" s="4">
        <f t="shared" si="168"/>
        <v>381</v>
      </c>
      <c r="DJ72" s="4">
        <f t="shared" si="169"/>
        <v>0.46666666666666662</v>
      </c>
      <c r="DL72" s="4">
        <f t="shared" si="170"/>
        <v>2.5033311258542346E-5</v>
      </c>
      <c r="DM72" s="4">
        <f t="shared" si="171"/>
        <v>5.7900347857029448</v>
      </c>
      <c r="DN72" s="4">
        <f t="shared" si="172"/>
        <v>0.28179635085873361</v>
      </c>
      <c r="DO72" s="4">
        <f t="shared" si="76"/>
        <v>3.4886332753232305</v>
      </c>
      <c r="DP72" s="4">
        <f t="shared" si="77"/>
        <v>4.7807278468599366</v>
      </c>
      <c r="DQ72" s="4">
        <f t="shared" si="78"/>
        <v>5.3522375648153364</v>
      </c>
      <c r="DR72" s="38">
        <f t="shared" si="119"/>
        <v>300.76536324401661</v>
      </c>
      <c r="DS72" s="4">
        <f t="shared" si="79"/>
        <v>1.0001879806537954</v>
      </c>
      <c r="DT72" s="4">
        <f t="shared" si="147"/>
        <v>3.3749074061372411</v>
      </c>
      <c r="DU72" s="4">
        <f t="shared" si="120"/>
        <v>184.33497816892</v>
      </c>
      <c r="DY72" s="4">
        <f t="shared" si="235"/>
        <v>0.85</v>
      </c>
      <c r="DZ72" s="4">
        <f t="shared" si="81"/>
        <v>0.85000000000000009</v>
      </c>
      <c r="EA72" s="4">
        <f t="shared" si="82"/>
        <v>1</v>
      </c>
      <c r="EB72" s="4">
        <f t="shared" si="83"/>
        <v>0.85000000000000009</v>
      </c>
      <c r="ED72" s="4">
        <f t="shared" si="121"/>
        <v>280.81622876067456</v>
      </c>
      <c r="EE72" s="25">
        <f t="shared" si="122"/>
        <v>181.80779675423688</v>
      </c>
      <c r="EG72" s="4">
        <f t="shared" si="148"/>
        <v>0.72250000000000003</v>
      </c>
      <c r="EH72" s="4">
        <f t="shared" si="84"/>
        <v>5.7900347857029448</v>
      </c>
      <c r="EI72" s="4">
        <f t="shared" si="174"/>
        <v>5.2207585655726314</v>
      </c>
      <c r="EK72" s="4">
        <f t="shared" si="175"/>
        <v>85.722648115885917</v>
      </c>
      <c r="EL72" s="4">
        <f t="shared" si="176"/>
        <v>3.3749074061372411</v>
      </c>
      <c r="EM72" s="4">
        <f t="shared" si="177"/>
        <v>7.0612286989729281E-2</v>
      </c>
      <c r="EP72" s="4">
        <f t="shared" si="178"/>
        <v>7.0612286989729281E-2</v>
      </c>
      <c r="EQ72" s="4">
        <f t="shared" si="179"/>
        <v>0.28132608526885078</v>
      </c>
      <c r="ER72" s="4">
        <f t="shared" si="180"/>
        <v>3.4863033569113027</v>
      </c>
      <c r="ES72" s="4">
        <f t="shared" si="236"/>
        <v>4.7798816002491602</v>
      </c>
      <c r="ET72" s="4">
        <f t="shared" si="182"/>
        <v>200.02735188411407</v>
      </c>
      <c r="EU72" s="4">
        <f t="shared" si="183"/>
        <v>95.25</v>
      </c>
      <c r="EV72" s="4">
        <f t="shared" si="95"/>
        <v>2.5033311258542346E-5</v>
      </c>
      <c r="EW72" s="4">
        <f t="shared" si="237"/>
        <v>5.3523430763972728</v>
      </c>
      <c r="EX72" s="4">
        <f t="shared" si="185"/>
        <v>300.70883580046075</v>
      </c>
      <c r="EY72" s="4">
        <f t="shared" si="186"/>
        <v>92.077351884114066</v>
      </c>
      <c r="EZ72" s="4">
        <f t="shared" si="187"/>
        <v>0</v>
      </c>
      <c r="FB72" s="4">
        <f t="shared" si="100"/>
        <v>161.54313335019481</v>
      </c>
      <c r="FG72" s="23">
        <f t="shared" si="216"/>
        <v>2.2000000000000002</v>
      </c>
      <c r="FH72" s="23">
        <f t="shared" si="216"/>
        <v>0.8</v>
      </c>
      <c r="FI72" s="23">
        <f t="shared" si="230"/>
        <v>1.4</v>
      </c>
      <c r="FJ72" s="23">
        <f t="shared" si="217"/>
        <v>1.8</v>
      </c>
      <c r="FK72" s="23">
        <f t="shared" si="217"/>
        <v>1.4</v>
      </c>
      <c r="FL72" s="23">
        <f t="shared" si="217"/>
        <v>1.4</v>
      </c>
      <c r="FM72" s="23">
        <f t="shared" si="218"/>
        <v>0</v>
      </c>
      <c r="FN72" s="23"/>
      <c r="FX72" s="4">
        <f t="shared" si="101"/>
        <v>1</v>
      </c>
      <c r="FY72" s="4">
        <f t="shared" si="102"/>
        <v>1.0833333333333333</v>
      </c>
      <c r="FZ72" s="4">
        <f t="shared" si="103"/>
        <v>0</v>
      </c>
      <c r="GA72" s="4">
        <f t="shared" si="104"/>
        <v>295.56073173413409</v>
      </c>
    </row>
    <row r="73" spans="1:185" ht="12" hidden="1" customHeight="1" x14ac:dyDescent="0.3">
      <c r="A73" s="25">
        <v>55</v>
      </c>
      <c r="B73" s="20" t="s">
        <v>54</v>
      </c>
      <c r="C73" s="20">
        <v>2006</v>
      </c>
      <c r="D73" s="24" t="s">
        <v>55</v>
      </c>
      <c r="E73" s="24"/>
      <c r="F73" s="7" t="s">
        <v>282</v>
      </c>
      <c r="G73" s="7">
        <v>472</v>
      </c>
      <c r="H73" s="7">
        <f t="shared" si="205"/>
        <v>381</v>
      </c>
      <c r="I73" s="7">
        <f t="shared" si="131"/>
        <v>177.79999999999998</v>
      </c>
      <c r="J73" s="7">
        <v>26</v>
      </c>
      <c r="K73" s="7">
        <v>25.4</v>
      </c>
      <c r="L73" s="7">
        <f t="shared" si="151"/>
        <v>15</v>
      </c>
      <c r="M73" s="7">
        <v>7</v>
      </c>
      <c r="N73" s="7">
        <f t="shared" si="132"/>
        <v>152.39999999999998</v>
      </c>
      <c r="O73" s="7">
        <f t="shared" si="108"/>
        <v>63.499999999999986</v>
      </c>
      <c r="P73" s="7">
        <f t="shared" si="133"/>
        <v>50.8</v>
      </c>
      <c r="Q73" s="7">
        <v>0</v>
      </c>
      <c r="R73" s="7">
        <v>1</v>
      </c>
      <c r="S73" s="7">
        <f t="shared" si="134"/>
        <v>88.899999999999991</v>
      </c>
      <c r="T73" s="7">
        <f t="shared" si="42"/>
        <v>2.9999999999999996</v>
      </c>
      <c r="U73" s="7">
        <f t="shared" si="135"/>
        <v>4</v>
      </c>
      <c r="V73" s="7">
        <v>10.39</v>
      </c>
      <c r="W73" s="7">
        <f t="shared" si="152"/>
        <v>10.39</v>
      </c>
      <c r="X73" s="7">
        <f t="shared" si="44"/>
        <v>11.39</v>
      </c>
      <c r="Y73" s="7">
        <f t="shared" si="200"/>
        <v>85.722648115885917</v>
      </c>
      <c r="Z73" s="7"/>
      <c r="AA73" s="7"/>
      <c r="AB73" s="7">
        <v>460</v>
      </c>
      <c r="AC73" s="7"/>
      <c r="AD73" s="7"/>
      <c r="AE73" s="7"/>
      <c r="AF73" s="7"/>
      <c r="AG73" s="7">
        <v>1</v>
      </c>
      <c r="AH73" s="7"/>
      <c r="AI73" s="7"/>
      <c r="AJ73" s="7"/>
      <c r="AK73" s="4">
        <f t="shared" si="125"/>
        <v>381</v>
      </c>
      <c r="AL73" s="44">
        <f t="shared" si="153"/>
        <v>5.9259259259259248E-2</v>
      </c>
      <c r="AM73" s="25">
        <f t="shared" si="112"/>
        <v>748.37078117567501</v>
      </c>
      <c r="AN73" s="4">
        <f t="shared" si="113"/>
        <v>0.74</v>
      </c>
      <c r="AO73" s="4">
        <v>1.25</v>
      </c>
      <c r="AP73" s="25">
        <f t="shared" si="114"/>
        <v>5</v>
      </c>
      <c r="AQ73" s="38">
        <f t="shared" si="115"/>
        <v>205.10902891481459</v>
      </c>
      <c r="AR73" s="38">
        <f t="shared" si="116"/>
        <v>205.10902891481459</v>
      </c>
      <c r="AT73" s="38">
        <f t="shared" si="130"/>
        <v>205.10902891481439</v>
      </c>
      <c r="AU73" s="38">
        <f t="shared" si="47"/>
        <v>1.0000000000000009</v>
      </c>
      <c r="AV73" s="38">
        <f t="shared" si="136"/>
        <v>2.7784670830252196</v>
      </c>
      <c r="AW73" s="4">
        <f t="shared" si="154"/>
        <v>0</v>
      </c>
      <c r="AX73" s="4">
        <f t="shared" si="220"/>
        <v>187.85861365868152</v>
      </c>
      <c r="AY73" s="4">
        <f t="shared" si="221"/>
        <v>1.1333333333333333</v>
      </c>
      <c r="AZ73" s="38">
        <f t="shared" si="117"/>
        <v>569.88868527107979</v>
      </c>
      <c r="BA73" s="4">
        <f t="shared" si="222"/>
        <v>0.3</v>
      </c>
      <c r="BB73" s="4">
        <f t="shared" si="51"/>
        <v>29.446837690998329</v>
      </c>
      <c r="BC73" s="4">
        <f t="shared" si="52"/>
        <v>599.33552296207813</v>
      </c>
      <c r="BE73" s="36">
        <f t="shared" si="53"/>
        <v>1.1000000000000001</v>
      </c>
      <c r="BF73" s="36">
        <f t="shared" si="54"/>
        <v>186.21619263640849</v>
      </c>
      <c r="BK73" s="4">
        <f t="shared" si="156"/>
        <v>63.499999999999986</v>
      </c>
      <c r="BL73" s="4">
        <f t="shared" si="157"/>
        <v>63.499999999999986</v>
      </c>
      <c r="BM73" s="4">
        <f t="shared" si="158"/>
        <v>88.899999999999991</v>
      </c>
      <c r="BN73" s="4">
        <f t="shared" si="159"/>
        <v>76.199999999999989</v>
      </c>
      <c r="BO73" s="4">
        <f t="shared" si="160"/>
        <v>1.04</v>
      </c>
      <c r="BP73" s="25">
        <f t="shared" si="118"/>
        <v>3.1199999999999997</v>
      </c>
      <c r="BR73" s="4">
        <f t="shared" si="161"/>
        <v>63.499999999999986</v>
      </c>
      <c r="BV73" s="9"/>
      <c r="BX73" s="9"/>
      <c r="BY73" s="9"/>
      <c r="BZ73" s="9">
        <f t="shared" si="231"/>
        <v>50.8</v>
      </c>
      <c r="CA73" s="9">
        <f t="shared" si="232"/>
        <v>63.499999999999986</v>
      </c>
      <c r="CB73" s="9">
        <f t="shared" si="63"/>
        <v>1.4623505735569622</v>
      </c>
      <c r="CC73" s="9">
        <v>0</v>
      </c>
      <c r="CD73" s="9">
        <f t="shared" si="129"/>
        <v>0</v>
      </c>
      <c r="CE73" s="9">
        <f t="shared" si="65"/>
        <v>0</v>
      </c>
      <c r="CF73" s="9">
        <f t="shared" si="233"/>
        <v>0.99524931562137331</v>
      </c>
      <c r="CG73" s="9">
        <f t="shared" si="234"/>
        <v>1.056</v>
      </c>
      <c r="CH73" s="9">
        <f t="shared" si="68"/>
        <v>1.8756444837875041</v>
      </c>
      <c r="CI73" s="9">
        <f t="shared" si="69"/>
        <v>2.7428497866556087</v>
      </c>
      <c r="CJ73" s="9">
        <v>1</v>
      </c>
      <c r="CK73" s="9">
        <f t="shared" si="70"/>
        <v>241.37078122569358</v>
      </c>
      <c r="CM73" s="4">
        <f t="shared" si="206"/>
        <v>2.4486500301538983</v>
      </c>
      <c r="CN73" s="4">
        <f t="shared" si="207"/>
        <v>0.76751666199686563</v>
      </c>
      <c r="CO73" s="4">
        <f t="shared" si="208"/>
        <v>2.4702470471950893</v>
      </c>
      <c r="CP73" s="4">
        <f t="shared" si="209"/>
        <v>1.9057816263596434</v>
      </c>
      <c r="CQ73" s="4">
        <f t="shared" si="210"/>
        <v>1.3871008429046237</v>
      </c>
      <c r="CR73" s="4">
        <f t="shared" si="211"/>
        <v>1.462886612654708</v>
      </c>
      <c r="CS73" s="4">
        <f t="shared" si="143"/>
        <v>1.4754435061569753</v>
      </c>
      <c r="CU73" s="4">
        <f t="shared" si="212"/>
        <v>2.4486500301538983</v>
      </c>
      <c r="CV73" s="4">
        <f t="shared" si="212"/>
        <v>0.76751666199686563</v>
      </c>
      <c r="CW73" s="4">
        <f t="shared" si="213"/>
        <v>1.9057816263596434</v>
      </c>
      <c r="CX73" s="4">
        <f t="shared" si="214"/>
        <v>1.4754435061569753</v>
      </c>
      <c r="CY73" s="4">
        <f t="shared" si="215"/>
        <v>1.3871008429046237</v>
      </c>
      <c r="CZ73" s="4">
        <f t="shared" si="215"/>
        <v>1.462886612654708</v>
      </c>
      <c r="DH73" s="4">
        <f t="shared" si="167"/>
        <v>0</v>
      </c>
      <c r="DI73" s="4">
        <f t="shared" si="168"/>
        <v>381</v>
      </c>
      <c r="DJ73" s="4">
        <f t="shared" si="169"/>
        <v>0.46666666666666662</v>
      </c>
      <c r="DL73" s="4">
        <f t="shared" si="170"/>
        <v>2.6015824312812745E-5</v>
      </c>
      <c r="DM73" s="4">
        <f t="shared" si="171"/>
        <v>6.4425559602163514</v>
      </c>
      <c r="DN73" s="4">
        <f t="shared" si="172"/>
        <v>0.25325518071269149</v>
      </c>
      <c r="DO73" s="4">
        <f t="shared" si="76"/>
        <v>3.7194740651305009</v>
      </c>
      <c r="DP73" s="4">
        <f t="shared" si="77"/>
        <v>5.2614836149260835</v>
      </c>
      <c r="DQ73" s="4">
        <f t="shared" si="78"/>
        <v>5.8888646217889873</v>
      </c>
      <c r="DR73" s="38">
        <f t="shared" si="119"/>
        <v>331.62693422977708</v>
      </c>
      <c r="DS73" s="4">
        <f t="shared" si="79"/>
        <v>1.000178286690298</v>
      </c>
      <c r="DT73" s="4">
        <f t="shared" si="147"/>
        <v>3.3749074061372411</v>
      </c>
      <c r="DU73" s="4">
        <f t="shared" si="120"/>
        <v>205.10902891481439</v>
      </c>
      <c r="DY73" s="4">
        <f t="shared" si="235"/>
        <v>0.85</v>
      </c>
      <c r="DZ73" s="4">
        <f t="shared" si="81"/>
        <v>0.85000000000000009</v>
      </c>
      <c r="EA73" s="4">
        <f t="shared" si="82"/>
        <v>1</v>
      </c>
      <c r="EB73" s="4">
        <f t="shared" si="83"/>
        <v>0.85000000000000009</v>
      </c>
      <c r="ED73" s="4">
        <f t="shared" si="121"/>
        <v>314.44679035324248</v>
      </c>
      <c r="EE73" s="25">
        <f t="shared" si="122"/>
        <v>202.29704102729465</v>
      </c>
      <c r="EG73" s="4">
        <f t="shared" si="148"/>
        <v>0.72250000000000003</v>
      </c>
      <c r="EH73" s="4">
        <f t="shared" si="84"/>
        <v>6.4425559602163514</v>
      </c>
      <c r="EI73" s="4">
        <f t="shared" si="174"/>
        <v>5.8091238582078786</v>
      </c>
      <c r="EK73" s="4">
        <f t="shared" si="175"/>
        <v>85.722648115885917</v>
      </c>
      <c r="EL73" s="4">
        <f t="shared" si="176"/>
        <v>3.3749074061372411</v>
      </c>
      <c r="EM73" s="4">
        <f t="shared" si="177"/>
        <v>7.0612286989729267E-2</v>
      </c>
      <c r="EP73" s="4">
        <f t="shared" si="178"/>
        <v>7.0612286989729267E-2</v>
      </c>
      <c r="EQ73" s="4">
        <f t="shared" si="179"/>
        <v>0.25283254501643132</v>
      </c>
      <c r="ER73" s="4">
        <f t="shared" si="180"/>
        <v>3.7169899774024113</v>
      </c>
      <c r="ES73" s="4">
        <f t="shared" si="236"/>
        <v>5.2606106739009268</v>
      </c>
      <c r="ET73" s="4">
        <f t="shared" si="182"/>
        <v>200.02735188411407</v>
      </c>
      <c r="EU73" s="4">
        <f t="shared" si="183"/>
        <v>95.25</v>
      </c>
      <c r="EV73" s="4">
        <f t="shared" si="95"/>
        <v>2.6015824312812745E-5</v>
      </c>
      <c r="EW73" s="4">
        <f t="shared" si="237"/>
        <v>5.8889924951648212</v>
      </c>
      <c r="EX73" s="4">
        <f t="shared" si="185"/>
        <v>331.56782010052206</v>
      </c>
      <c r="EY73" s="4">
        <f t="shared" si="186"/>
        <v>92.077351884114066</v>
      </c>
      <c r="EZ73" s="4">
        <f t="shared" si="187"/>
        <v>0</v>
      </c>
      <c r="FB73" s="4">
        <f t="shared" si="100"/>
        <v>177.765268883788</v>
      </c>
      <c r="FG73" s="23">
        <f t="shared" si="216"/>
        <v>2.2000000000000002</v>
      </c>
      <c r="FH73" s="23">
        <f t="shared" si="216"/>
        <v>0.8</v>
      </c>
      <c r="FI73" s="23">
        <f t="shared" si="230"/>
        <v>1.6</v>
      </c>
      <c r="FJ73" s="23">
        <f t="shared" si="217"/>
        <v>2</v>
      </c>
      <c r="FK73" s="23">
        <f t="shared" si="217"/>
        <v>1.4</v>
      </c>
      <c r="FL73" s="23">
        <f t="shared" si="217"/>
        <v>1.6</v>
      </c>
      <c r="FM73" s="23">
        <f t="shared" si="218"/>
        <v>0</v>
      </c>
      <c r="FN73" s="23"/>
      <c r="FX73" s="4">
        <f t="shared" si="101"/>
        <v>1</v>
      </c>
      <c r="FY73" s="4">
        <f t="shared" si="102"/>
        <v>1.0833333333333333</v>
      </c>
      <c r="FZ73" s="4">
        <f t="shared" si="103"/>
        <v>0</v>
      </c>
      <c r="GA73" s="4">
        <f t="shared" si="104"/>
        <v>311.77066290944771</v>
      </c>
      <c r="GC73" s="4">
        <f>60000/145</f>
        <v>413.79310344827587</v>
      </c>
    </row>
    <row r="74" spans="1:185" ht="12" hidden="1" customHeight="1" x14ac:dyDescent="0.3">
      <c r="A74" s="25">
        <v>56</v>
      </c>
      <c r="B74" s="20" t="s">
        <v>54</v>
      </c>
      <c r="C74" s="20">
        <v>2006</v>
      </c>
      <c r="D74" s="24" t="s">
        <v>55</v>
      </c>
      <c r="E74" s="24"/>
      <c r="F74" s="7" t="s">
        <v>77</v>
      </c>
      <c r="G74" s="7">
        <v>472</v>
      </c>
      <c r="H74" s="7">
        <f>25*25.4</f>
        <v>635</v>
      </c>
      <c r="I74" s="7">
        <f t="shared" si="131"/>
        <v>177.79999999999998</v>
      </c>
      <c r="J74" s="7">
        <v>28</v>
      </c>
      <c r="K74" s="7">
        <v>25.4</v>
      </c>
      <c r="L74" s="7">
        <f t="shared" si="151"/>
        <v>25</v>
      </c>
      <c r="M74" s="7">
        <v>7</v>
      </c>
      <c r="N74" s="7">
        <f t="shared" si="132"/>
        <v>152.39999999999998</v>
      </c>
      <c r="O74" s="7">
        <f t="shared" si="108"/>
        <v>63.499999999999986</v>
      </c>
      <c r="P74" s="7">
        <f t="shared" si="133"/>
        <v>50.8</v>
      </c>
      <c r="Q74" s="7">
        <v>0</v>
      </c>
      <c r="R74" s="7">
        <v>1</v>
      </c>
      <c r="S74" s="7">
        <f t="shared" si="134"/>
        <v>88.899999999999991</v>
      </c>
      <c r="T74" s="7">
        <f t="shared" si="42"/>
        <v>2.9999999999999996</v>
      </c>
      <c r="U74" s="7">
        <f t="shared" si="135"/>
        <v>4</v>
      </c>
      <c r="V74" s="7">
        <v>1.18</v>
      </c>
      <c r="W74" s="7">
        <f t="shared" si="152"/>
        <v>1.18</v>
      </c>
      <c r="X74" s="7">
        <f t="shared" si="44"/>
        <v>2.1799999999999997</v>
      </c>
      <c r="Y74" s="7">
        <f t="shared" si="200"/>
        <v>37.502650572992827</v>
      </c>
      <c r="Z74" s="7"/>
      <c r="AA74" s="7"/>
      <c r="AB74" s="7">
        <v>412</v>
      </c>
      <c r="AC74" s="7"/>
      <c r="AD74" s="7"/>
      <c r="AE74" s="7"/>
      <c r="AF74" s="7"/>
      <c r="AG74" s="7">
        <v>1</v>
      </c>
      <c r="AH74" s="7"/>
      <c r="AI74" s="7"/>
      <c r="AJ74" s="7"/>
      <c r="AK74" s="4">
        <f t="shared" si="125"/>
        <v>635</v>
      </c>
      <c r="AL74" s="44">
        <f t="shared" si="153"/>
        <v>2.1333333333333329E-2</v>
      </c>
      <c r="AM74" s="25">
        <f t="shared" si="112"/>
        <v>1671.0224668242358</v>
      </c>
      <c r="AN74" s="4">
        <f t="shared" si="113"/>
        <v>0.72399999999999998</v>
      </c>
      <c r="AO74" s="4">
        <v>1.25</v>
      </c>
      <c r="AP74" s="25">
        <f t="shared" si="114"/>
        <v>5</v>
      </c>
      <c r="AQ74" s="38">
        <f t="shared" si="115"/>
        <v>161.30936879743288</v>
      </c>
      <c r="AR74" s="38">
        <f t="shared" si="116"/>
        <v>161.30936879743288</v>
      </c>
      <c r="AT74" s="38">
        <f t="shared" si="130"/>
        <v>161.30936879743294</v>
      </c>
      <c r="AU74" s="38">
        <f t="shared" si="47"/>
        <v>0.99999999999999967</v>
      </c>
      <c r="AV74" s="38">
        <f t="shared" si="136"/>
        <v>1.2821781034440662</v>
      </c>
      <c r="AW74" s="4">
        <f t="shared" si="154"/>
        <v>0</v>
      </c>
      <c r="AX74" s="4">
        <f t="shared" si="220"/>
        <v>194.95009660475932</v>
      </c>
      <c r="AY74" s="4">
        <f t="shared" si="221"/>
        <v>1.1333333333333333</v>
      </c>
      <c r="AZ74" s="38">
        <f t="shared" si="117"/>
        <v>206.827340552452</v>
      </c>
      <c r="BA74" s="4">
        <f t="shared" si="222"/>
        <v>0.83479999999999999</v>
      </c>
      <c r="BB74" s="4">
        <f t="shared" si="51"/>
        <v>85.033917987353718</v>
      </c>
      <c r="BC74" s="4">
        <f t="shared" si="52"/>
        <v>291.8612585398057</v>
      </c>
      <c r="BE74" s="36">
        <f t="shared" si="53"/>
        <v>1.1000000000000001</v>
      </c>
      <c r="BF74" s="36">
        <f t="shared" si="54"/>
        <v>193.24567576015772</v>
      </c>
      <c r="BK74" s="4">
        <f t="shared" si="156"/>
        <v>63.499999999999986</v>
      </c>
      <c r="BL74" s="4">
        <f t="shared" si="157"/>
        <v>63.499999999999986</v>
      </c>
      <c r="BM74" s="4">
        <f t="shared" si="158"/>
        <v>88.899999999999991</v>
      </c>
      <c r="BN74" s="4">
        <f t="shared" si="159"/>
        <v>76.199999999999989</v>
      </c>
      <c r="BO74" s="4">
        <f t="shared" si="160"/>
        <v>1.04</v>
      </c>
      <c r="BP74" s="25">
        <f t="shared" si="118"/>
        <v>3.1199999999999997</v>
      </c>
      <c r="BR74" s="4">
        <f t="shared" si="161"/>
        <v>63.499999999999986</v>
      </c>
      <c r="BV74" s="9"/>
      <c r="BX74" s="9"/>
      <c r="BY74" s="9"/>
      <c r="BZ74" s="9">
        <f t="shared" si="231"/>
        <v>50.8</v>
      </c>
      <c r="CA74" s="9">
        <f t="shared" si="232"/>
        <v>63.499999999999986</v>
      </c>
      <c r="CB74" s="9">
        <f t="shared" si="63"/>
        <v>1.4623505735569622</v>
      </c>
      <c r="CC74" s="9">
        <v>0</v>
      </c>
      <c r="CD74" s="9">
        <f t="shared" si="129"/>
        <v>0</v>
      </c>
      <c r="CE74" s="9">
        <f t="shared" si="65"/>
        <v>0</v>
      </c>
      <c r="CF74" s="9">
        <f t="shared" si="233"/>
        <v>0.99524931562137331</v>
      </c>
      <c r="CG74" s="9">
        <f t="shared" si="234"/>
        <v>1.056</v>
      </c>
      <c r="CH74" s="9">
        <f t="shared" si="68"/>
        <v>1.9464482686693119</v>
      </c>
      <c r="CI74" s="9">
        <f t="shared" si="69"/>
        <v>2.8463897420875242</v>
      </c>
      <c r="CJ74" s="9">
        <v>1</v>
      </c>
      <c r="CK74" s="9">
        <f t="shared" si="70"/>
        <v>250.48229730370213</v>
      </c>
      <c r="CM74" s="4">
        <f t="shared" si="206"/>
        <v>2.1133613533687359</v>
      </c>
      <c r="CN74" s="4">
        <f t="shared" si="207"/>
        <v>1.4116296286161909</v>
      </c>
      <c r="CO74" s="4">
        <f t="shared" si="208"/>
        <v>2.1320011347179846</v>
      </c>
      <c r="CP74" s="4">
        <f t="shared" si="209"/>
        <v>1.6448268178427898</v>
      </c>
      <c r="CQ74" s="4">
        <f t="shared" si="210"/>
        <v>1.2315999827566606</v>
      </c>
      <c r="CR74" s="4">
        <f t="shared" si="211"/>
        <v>1.6594714708343867</v>
      </c>
      <c r="CS74" s="4">
        <f t="shared" si="143"/>
        <v>0.778335876421405</v>
      </c>
      <c r="CU74" s="4">
        <f t="shared" si="212"/>
        <v>2.1133613533687359</v>
      </c>
      <c r="CV74" s="4">
        <f t="shared" si="212"/>
        <v>1.4116296286161909</v>
      </c>
      <c r="CW74" s="4">
        <f t="shared" si="213"/>
        <v>1.6448268178427898</v>
      </c>
      <c r="CX74" s="4">
        <f t="shared" si="214"/>
        <v>0.778335876421405</v>
      </c>
      <c r="CY74" s="4">
        <f t="shared" si="215"/>
        <v>1.2315999827566606</v>
      </c>
      <c r="CZ74" s="4">
        <f t="shared" si="215"/>
        <v>1.6594714708343867</v>
      </c>
      <c r="DH74" s="4">
        <f t="shared" si="167"/>
        <v>0</v>
      </c>
      <c r="DI74" s="4">
        <f t="shared" si="168"/>
        <v>635</v>
      </c>
      <c r="DJ74" s="4">
        <f t="shared" si="169"/>
        <v>0.27999999999999997</v>
      </c>
      <c r="DL74" s="4">
        <f t="shared" si="170"/>
        <v>4.4003395705642358E-5</v>
      </c>
      <c r="DM74" s="4">
        <f t="shared" si="171"/>
        <v>6.6857562842857838</v>
      </c>
      <c r="DN74" s="4">
        <f t="shared" si="172"/>
        <v>0.71244016121952869</v>
      </c>
      <c r="DO74" s="4">
        <f t="shared" si="76"/>
        <v>5.8378092254880025</v>
      </c>
      <c r="DP74" s="4">
        <f t="shared" si="77"/>
        <v>6.2761261130049659</v>
      </c>
      <c r="DQ74" s="4">
        <f t="shared" si="78"/>
        <v>4.7164466615171561</v>
      </c>
      <c r="DR74" s="38">
        <f t="shared" si="119"/>
        <v>334.52420085118086</v>
      </c>
      <c r="DS74" s="4">
        <f t="shared" si="79"/>
        <v>1.0004038645523856</v>
      </c>
      <c r="DT74" s="4">
        <f t="shared" si="147"/>
        <v>1.4764823060233399</v>
      </c>
      <c r="DU74" s="4">
        <f t="shared" si="120"/>
        <v>161.30936879743294</v>
      </c>
      <c r="DY74" s="4">
        <f t="shared" si="235"/>
        <v>0.85</v>
      </c>
      <c r="DZ74" s="4">
        <f t="shared" si="81"/>
        <v>0.85000000000000009</v>
      </c>
      <c r="EA74" s="4">
        <f t="shared" si="82"/>
        <v>1</v>
      </c>
      <c r="EB74" s="4">
        <f t="shared" si="83"/>
        <v>0.85000000000000009</v>
      </c>
      <c r="ED74" s="4">
        <f t="shared" si="121"/>
        <v>248.27181861273294</v>
      </c>
      <c r="EE74" s="25">
        <f t="shared" si="122"/>
        <v>159.65722173545257</v>
      </c>
      <c r="EG74" s="4">
        <f t="shared" si="148"/>
        <v>0.72250000000000003</v>
      </c>
      <c r="EH74" s="4">
        <f t="shared" si="84"/>
        <v>6.6857562842857838</v>
      </c>
      <c r="EI74" s="4">
        <f t="shared" si="174"/>
        <v>6.028412726414806</v>
      </c>
      <c r="EK74" s="4">
        <f t="shared" si="175"/>
        <v>37.502650572992827</v>
      </c>
      <c r="EL74" s="4">
        <f t="shared" si="176"/>
        <v>1.4764823060233399</v>
      </c>
      <c r="EM74" s="4">
        <f t="shared" si="177"/>
        <v>0.20614019109983853</v>
      </c>
      <c r="EP74" s="4">
        <f t="shared" si="178"/>
        <v>0.20614019109983853</v>
      </c>
      <c r="EQ74" s="4">
        <f t="shared" si="179"/>
        <v>0.71125123137124935</v>
      </c>
      <c r="ER74" s="4">
        <f t="shared" si="180"/>
        <v>5.8339103865656092</v>
      </c>
      <c r="ES74" s="4">
        <f t="shared" si="236"/>
        <v>6.2743133074683879</v>
      </c>
      <c r="ET74" s="4">
        <f t="shared" si="182"/>
        <v>438.74734942700718</v>
      </c>
      <c r="EU74" s="4">
        <f t="shared" si="183"/>
        <v>158.75</v>
      </c>
      <c r="EV74" s="4">
        <f t="shared" si="95"/>
        <v>4.4003395705642358E-5</v>
      </c>
      <c r="EW74" s="4">
        <f t="shared" si="237"/>
        <v>4.7169759597255663</v>
      </c>
      <c r="EX74" s="4">
        <f t="shared" si="185"/>
        <v>334.389152925612</v>
      </c>
      <c r="EY74" s="4">
        <f t="shared" si="186"/>
        <v>140.29734942700716</v>
      </c>
      <c r="EZ74" s="4">
        <f t="shared" si="187"/>
        <v>0</v>
      </c>
      <c r="FB74" s="4">
        <f t="shared" si="100"/>
        <v>412.81712444415342</v>
      </c>
      <c r="FG74" s="23">
        <f t="shared" si="216"/>
        <v>2.2000000000000002</v>
      </c>
      <c r="FH74" s="23">
        <f t="shared" si="216"/>
        <v>1.6</v>
      </c>
      <c r="FI74" s="23">
        <f t="shared" si="230"/>
        <v>0.8</v>
      </c>
      <c r="FJ74" s="23">
        <f t="shared" si="217"/>
        <v>1.8</v>
      </c>
      <c r="FK74" s="23">
        <f t="shared" si="217"/>
        <v>1.4</v>
      </c>
      <c r="FL74" s="23">
        <f t="shared" si="217"/>
        <v>1.8</v>
      </c>
      <c r="FM74" s="23">
        <f t="shared" si="218"/>
        <v>0</v>
      </c>
      <c r="FN74" s="23"/>
      <c r="FX74" s="4">
        <f t="shared" si="101"/>
        <v>1</v>
      </c>
      <c r="FY74" s="4">
        <f t="shared" si="102"/>
        <v>1.0833333333333333</v>
      </c>
      <c r="FZ74" s="4">
        <f t="shared" si="103"/>
        <v>0</v>
      </c>
      <c r="GA74" s="4">
        <f t="shared" si="104"/>
        <v>529.33445891544102</v>
      </c>
    </row>
    <row r="75" spans="1:185" ht="12" hidden="1" customHeight="1" x14ac:dyDescent="0.3">
      <c r="A75" s="25">
        <v>57</v>
      </c>
      <c r="B75" s="20" t="s">
        <v>54</v>
      </c>
      <c r="C75" s="20">
        <v>2006</v>
      </c>
      <c r="D75" s="24" t="s">
        <v>55</v>
      </c>
      <c r="E75" s="24"/>
      <c r="F75" s="7" t="s">
        <v>69</v>
      </c>
      <c r="G75" s="7">
        <v>472</v>
      </c>
      <c r="H75" s="7">
        <f t="shared" ref="H75:H78" si="238">25*25.4</f>
        <v>635</v>
      </c>
      <c r="I75" s="7">
        <f t="shared" si="131"/>
        <v>177.79999999999998</v>
      </c>
      <c r="J75" s="7">
        <v>28</v>
      </c>
      <c r="K75" s="7">
        <v>25.4</v>
      </c>
      <c r="L75" s="7">
        <f t="shared" si="151"/>
        <v>25</v>
      </c>
      <c r="M75" s="7">
        <v>7</v>
      </c>
      <c r="N75" s="7">
        <f t="shared" si="132"/>
        <v>152.39999999999998</v>
      </c>
      <c r="O75" s="7">
        <f t="shared" si="108"/>
        <v>63.499999999999986</v>
      </c>
      <c r="P75" s="7">
        <f t="shared" si="133"/>
        <v>50.8</v>
      </c>
      <c r="Q75" s="7">
        <v>0</v>
      </c>
      <c r="R75" s="7">
        <v>1</v>
      </c>
      <c r="S75" s="7">
        <f t="shared" si="134"/>
        <v>88.899999999999991</v>
      </c>
      <c r="T75" s="7">
        <f t="shared" si="42"/>
        <v>2.9999999999999996</v>
      </c>
      <c r="U75" s="7">
        <f t="shared" si="135"/>
        <v>4</v>
      </c>
      <c r="V75" s="7">
        <v>1.85</v>
      </c>
      <c r="W75" s="7">
        <f t="shared" si="152"/>
        <v>1.85</v>
      </c>
      <c r="X75" s="7">
        <f t="shared" si="44"/>
        <v>2.85</v>
      </c>
      <c r="Y75" s="7">
        <f t="shared" si="200"/>
        <v>42.880135260980694</v>
      </c>
      <c r="Z75" s="7"/>
      <c r="AA75" s="7"/>
      <c r="AB75" s="7">
        <v>472</v>
      </c>
      <c r="AC75" s="7"/>
      <c r="AD75" s="7"/>
      <c r="AE75" s="7"/>
      <c r="AF75" s="7"/>
      <c r="AG75" s="7">
        <v>1</v>
      </c>
      <c r="AH75" s="7"/>
      <c r="AI75" s="7"/>
      <c r="AJ75" s="7"/>
      <c r="AK75" s="4">
        <f t="shared" si="125"/>
        <v>635</v>
      </c>
      <c r="AL75" s="44">
        <f t="shared" si="153"/>
        <v>2.1333333333333329E-2</v>
      </c>
      <c r="AM75" s="25">
        <f t="shared" si="112"/>
        <v>1671.0224668242358</v>
      </c>
      <c r="AN75" s="4">
        <f t="shared" si="113"/>
        <v>0.72399999999999998</v>
      </c>
      <c r="AO75" s="4">
        <v>1.25</v>
      </c>
      <c r="AP75" s="25">
        <f t="shared" si="114"/>
        <v>5</v>
      </c>
      <c r="AQ75" s="38">
        <f t="shared" si="115"/>
        <v>161.30936879743288</v>
      </c>
      <c r="AR75" s="38">
        <f t="shared" si="116"/>
        <v>161.30936879743288</v>
      </c>
      <c r="AT75" s="38">
        <f t="shared" si="130"/>
        <v>161.30936879743294</v>
      </c>
      <c r="AU75" s="38">
        <f t="shared" si="47"/>
        <v>0.99999999999999967</v>
      </c>
      <c r="AV75" s="38">
        <f t="shared" si="136"/>
        <v>1.6054368101305474</v>
      </c>
      <c r="AW75" s="4">
        <f t="shared" si="154"/>
        <v>0</v>
      </c>
      <c r="AX75" s="4">
        <f t="shared" si="220"/>
        <v>194.95009660475932</v>
      </c>
      <c r="AY75" s="4">
        <f t="shared" si="221"/>
        <v>1.1333333333333333</v>
      </c>
      <c r="AZ75" s="38">
        <f t="shared" si="117"/>
        <v>258.97199848632278</v>
      </c>
      <c r="BA75" s="4">
        <f t="shared" si="222"/>
        <v>0.74099999999999999</v>
      </c>
      <c r="BB75" s="4">
        <f t="shared" si="51"/>
        <v>75.479316277706175</v>
      </c>
      <c r="BC75" s="4">
        <f t="shared" si="52"/>
        <v>334.45131476402895</v>
      </c>
      <c r="BE75" s="36">
        <f t="shared" si="53"/>
        <v>1.1000000000000001</v>
      </c>
      <c r="BF75" s="36">
        <f t="shared" si="54"/>
        <v>193.24567576015772</v>
      </c>
      <c r="BK75" s="4">
        <f t="shared" si="156"/>
        <v>63.499999999999986</v>
      </c>
      <c r="BL75" s="4">
        <f t="shared" si="157"/>
        <v>63.499999999999986</v>
      </c>
      <c r="BM75" s="4">
        <f t="shared" si="158"/>
        <v>88.899999999999991</v>
      </c>
      <c r="BN75" s="4">
        <f t="shared" si="159"/>
        <v>76.199999999999989</v>
      </c>
      <c r="BO75" s="4">
        <f t="shared" si="160"/>
        <v>1.04</v>
      </c>
      <c r="BP75" s="25">
        <f t="shared" si="118"/>
        <v>3.1199999999999997</v>
      </c>
      <c r="BR75" s="4">
        <f t="shared" si="161"/>
        <v>63.499999999999986</v>
      </c>
      <c r="BV75" s="9"/>
      <c r="BX75" s="9"/>
      <c r="BY75" s="9"/>
      <c r="BZ75" s="9">
        <f t="shared" si="231"/>
        <v>50.8</v>
      </c>
      <c r="CA75" s="9">
        <f t="shared" si="232"/>
        <v>63.499999999999986</v>
      </c>
      <c r="CB75" s="9">
        <f t="shared" si="63"/>
        <v>1.4623505735569622</v>
      </c>
      <c r="CC75" s="9">
        <v>0</v>
      </c>
      <c r="CD75" s="9">
        <f t="shared" si="129"/>
        <v>0</v>
      </c>
      <c r="CE75" s="9">
        <f t="shared" si="65"/>
        <v>0</v>
      </c>
      <c r="CF75" s="9">
        <f t="shared" si="233"/>
        <v>0.99524931562137331</v>
      </c>
      <c r="CG75" s="9">
        <f t="shared" si="234"/>
        <v>1.056</v>
      </c>
      <c r="CH75" s="9">
        <f t="shared" si="68"/>
        <v>1.9464482686693119</v>
      </c>
      <c r="CI75" s="9">
        <f t="shared" si="69"/>
        <v>2.8463897420875242</v>
      </c>
      <c r="CJ75" s="9">
        <v>1</v>
      </c>
      <c r="CK75" s="9">
        <f t="shared" si="70"/>
        <v>250.48229730370213</v>
      </c>
      <c r="CM75" s="4">
        <f t="shared" si="206"/>
        <v>2.4211324242476784</v>
      </c>
      <c r="CN75" s="4">
        <f t="shared" si="207"/>
        <v>1.4112666901399926</v>
      </c>
      <c r="CO75" s="4">
        <f t="shared" si="208"/>
        <v>2.4424867368613805</v>
      </c>
      <c r="CP75" s="4">
        <f t="shared" si="209"/>
        <v>1.8843647039364</v>
      </c>
      <c r="CQ75" s="4">
        <f t="shared" si="210"/>
        <v>1.4619141424540527</v>
      </c>
      <c r="CR75" s="4">
        <f t="shared" si="211"/>
        <v>1.8118062019953518</v>
      </c>
      <c r="CS75" s="4">
        <f t="shared" si="143"/>
        <v>0.89168576133714361</v>
      </c>
      <c r="CU75" s="4">
        <f t="shared" si="212"/>
        <v>2.4211324242476784</v>
      </c>
      <c r="CV75" s="4">
        <f t="shared" si="212"/>
        <v>1.4112666901399926</v>
      </c>
      <c r="CW75" s="4">
        <f t="shared" si="213"/>
        <v>1.8843647039364</v>
      </c>
      <c r="CX75" s="4">
        <f t="shared" si="214"/>
        <v>0.89168576133714361</v>
      </c>
      <c r="CY75" s="4">
        <f t="shared" si="215"/>
        <v>1.4619141424540527</v>
      </c>
      <c r="CZ75" s="4">
        <f t="shared" si="215"/>
        <v>1.8118062019953518</v>
      </c>
      <c r="DH75" s="4">
        <f t="shared" si="167"/>
        <v>0</v>
      </c>
      <c r="DI75" s="4">
        <f t="shared" si="168"/>
        <v>635</v>
      </c>
      <c r="DJ75" s="4">
        <f t="shared" si="169"/>
        <v>0.27999999999999997</v>
      </c>
      <c r="DL75" s="4">
        <f t="shared" si="170"/>
        <v>4.4003395705642358E-5</v>
      </c>
      <c r="DM75" s="4">
        <f t="shared" si="171"/>
        <v>6.6857562842857838</v>
      </c>
      <c r="DN75" s="4">
        <f t="shared" si="172"/>
        <v>0.51958051416683015</v>
      </c>
      <c r="DO75" s="4">
        <f t="shared" si="76"/>
        <v>5.1453116307848159</v>
      </c>
      <c r="DP75" s="4">
        <f t="shared" si="77"/>
        <v>5.9655493642715705</v>
      </c>
      <c r="DQ75" s="4">
        <f t="shared" si="78"/>
        <v>4.8101247445158783</v>
      </c>
      <c r="DR75" s="38">
        <f t="shared" si="119"/>
        <v>322.86437779969333</v>
      </c>
      <c r="DS75" s="4">
        <f t="shared" si="79"/>
        <v>1.0003506660726607</v>
      </c>
      <c r="DT75" s="4">
        <f t="shared" si="147"/>
        <v>1.6881943016134133</v>
      </c>
      <c r="DU75" s="4">
        <f t="shared" si="120"/>
        <v>161.30936879743294</v>
      </c>
      <c r="DY75" s="4">
        <f t="shared" si="235"/>
        <v>0.85</v>
      </c>
      <c r="DZ75" s="4">
        <f t="shared" si="81"/>
        <v>0.85000000000000009</v>
      </c>
      <c r="EA75" s="4">
        <f t="shared" si="82"/>
        <v>1</v>
      </c>
      <c r="EB75" s="4">
        <f t="shared" si="83"/>
        <v>0.85000000000000009</v>
      </c>
      <c r="ED75" s="4">
        <f t="shared" si="121"/>
        <v>260.51351379644461</v>
      </c>
      <c r="EE75" s="25">
        <f t="shared" si="122"/>
        <v>159.65722173545257</v>
      </c>
      <c r="EG75" s="4">
        <f t="shared" si="148"/>
        <v>0.72250000000000003</v>
      </c>
      <c r="EH75" s="4">
        <f t="shared" si="84"/>
        <v>6.6857562842857838</v>
      </c>
      <c r="EI75" s="4">
        <f t="shared" si="174"/>
        <v>6.028412726414806</v>
      </c>
      <c r="EK75" s="4">
        <f t="shared" si="175"/>
        <v>42.880135260980694</v>
      </c>
      <c r="EL75" s="4">
        <f t="shared" si="176"/>
        <v>1.6881943016134133</v>
      </c>
      <c r="EM75" s="4">
        <f t="shared" si="177"/>
        <v>0.15033743507491476</v>
      </c>
      <c r="EP75" s="4">
        <f t="shared" si="178"/>
        <v>0.15033743507491476</v>
      </c>
      <c r="EQ75" s="4">
        <f t="shared" si="179"/>
        <v>0.51871343112532964</v>
      </c>
      <c r="ER75" s="4">
        <f t="shared" si="180"/>
        <v>5.1418752832648664</v>
      </c>
      <c r="ES75" s="4">
        <f t="shared" si="236"/>
        <v>5.9640685338779997</v>
      </c>
      <c r="ET75" s="4">
        <f t="shared" si="182"/>
        <v>433.36986473901931</v>
      </c>
      <c r="EU75" s="4">
        <f t="shared" si="183"/>
        <v>158.74999999999994</v>
      </c>
      <c r="EV75" s="4">
        <f t="shared" si="95"/>
        <v>4.4003395705642344E-5</v>
      </c>
      <c r="EW75" s="4">
        <f t="shared" si="237"/>
        <v>4.8105683267270267</v>
      </c>
      <c r="EX75" s="4">
        <f t="shared" si="185"/>
        <v>322.7511999039765</v>
      </c>
      <c r="EY75" s="4">
        <f t="shared" si="186"/>
        <v>134.91986473901929</v>
      </c>
      <c r="EZ75" s="4">
        <f t="shared" si="187"/>
        <v>0</v>
      </c>
      <c r="FB75" s="4">
        <f t="shared" si="100"/>
        <v>400.57542926044175</v>
      </c>
      <c r="FG75" s="23">
        <f t="shared" si="216"/>
        <v>2.2000000000000002</v>
      </c>
      <c r="FH75" s="23">
        <f t="shared" si="216"/>
        <v>1.6</v>
      </c>
      <c r="FI75" s="23">
        <f t="shared" si="230"/>
        <v>1</v>
      </c>
      <c r="FJ75" s="23">
        <f t="shared" si="217"/>
        <v>2</v>
      </c>
      <c r="FK75" s="23">
        <f t="shared" si="217"/>
        <v>1.6</v>
      </c>
      <c r="FL75" s="23">
        <f t="shared" si="217"/>
        <v>2</v>
      </c>
      <c r="FM75" s="23">
        <f t="shared" si="218"/>
        <v>0</v>
      </c>
      <c r="FN75" s="23"/>
      <c r="FX75" s="4">
        <f t="shared" si="101"/>
        <v>1</v>
      </c>
      <c r="FY75" s="4">
        <f t="shared" si="102"/>
        <v>1.0833333333333333</v>
      </c>
      <c r="FZ75" s="4">
        <f t="shared" si="103"/>
        <v>0</v>
      </c>
      <c r="GA75" s="4">
        <f t="shared" si="104"/>
        <v>529.33445891544102</v>
      </c>
    </row>
    <row r="76" spans="1:185" ht="12" hidden="1" customHeight="1" x14ac:dyDescent="0.3">
      <c r="A76" s="25">
        <v>58</v>
      </c>
      <c r="B76" s="20" t="s">
        <v>54</v>
      </c>
      <c r="C76" s="20">
        <v>2006</v>
      </c>
      <c r="D76" s="24" t="s">
        <v>55</v>
      </c>
      <c r="E76" s="24"/>
      <c r="F76" s="7" t="s">
        <v>68</v>
      </c>
      <c r="G76" s="7">
        <v>472</v>
      </c>
      <c r="H76" s="7">
        <f t="shared" si="238"/>
        <v>635</v>
      </c>
      <c r="I76" s="7">
        <f t="shared" si="131"/>
        <v>177.79999999999998</v>
      </c>
      <c r="J76" s="7">
        <v>28</v>
      </c>
      <c r="K76" s="7">
        <v>25.4</v>
      </c>
      <c r="L76" s="7">
        <f t="shared" si="151"/>
        <v>25</v>
      </c>
      <c r="M76" s="7">
        <v>7</v>
      </c>
      <c r="N76" s="7">
        <f t="shared" si="132"/>
        <v>152.39999999999998</v>
      </c>
      <c r="O76" s="7">
        <f t="shared" si="108"/>
        <v>63.499999999999986</v>
      </c>
      <c r="P76" s="7">
        <f t="shared" si="133"/>
        <v>50.8</v>
      </c>
      <c r="Q76" s="7">
        <v>0</v>
      </c>
      <c r="R76" s="7">
        <v>1</v>
      </c>
      <c r="S76" s="7">
        <f t="shared" si="134"/>
        <v>88.899999999999991</v>
      </c>
      <c r="T76" s="7">
        <f t="shared" si="42"/>
        <v>2.9999999999999996</v>
      </c>
      <c r="U76" s="7">
        <f t="shared" si="135"/>
        <v>4</v>
      </c>
      <c r="V76" s="7">
        <v>4.04</v>
      </c>
      <c r="W76" s="7">
        <f t="shared" si="152"/>
        <v>4.04</v>
      </c>
      <c r="X76" s="7">
        <f t="shared" si="44"/>
        <v>5.04</v>
      </c>
      <c r="Y76" s="7">
        <f t="shared" si="200"/>
        <v>57.022858574434863</v>
      </c>
      <c r="Z76" s="7"/>
      <c r="AA76" s="7"/>
      <c r="AB76" s="7">
        <v>421</v>
      </c>
      <c r="AC76" s="7"/>
      <c r="AD76" s="7"/>
      <c r="AE76" s="7"/>
      <c r="AF76" s="7"/>
      <c r="AG76" s="7">
        <v>1</v>
      </c>
      <c r="AH76" s="7"/>
      <c r="AI76" s="7"/>
      <c r="AJ76" s="7"/>
      <c r="AK76" s="4">
        <f t="shared" si="125"/>
        <v>635</v>
      </c>
      <c r="AL76" s="44">
        <f t="shared" si="153"/>
        <v>2.1333333333333329E-2</v>
      </c>
      <c r="AM76" s="25">
        <f t="shared" si="112"/>
        <v>1671.0224668242358</v>
      </c>
      <c r="AN76" s="4">
        <f t="shared" si="113"/>
        <v>0.72399999999999998</v>
      </c>
      <c r="AO76" s="4">
        <v>1.25</v>
      </c>
      <c r="AP76" s="25">
        <f t="shared" si="114"/>
        <v>5</v>
      </c>
      <c r="AQ76" s="38">
        <f t="shared" si="115"/>
        <v>161.30936879743288</v>
      </c>
      <c r="AR76" s="38">
        <f t="shared" si="116"/>
        <v>161.30936879743288</v>
      </c>
      <c r="AT76" s="38">
        <f t="shared" si="130"/>
        <v>161.30936879743294</v>
      </c>
      <c r="AU76" s="38">
        <f t="shared" si="47"/>
        <v>0.99999999999999967</v>
      </c>
      <c r="AV76" s="38">
        <f t="shared" si="136"/>
        <v>2.3724552795991949</v>
      </c>
      <c r="AW76" s="4">
        <f t="shared" si="154"/>
        <v>0</v>
      </c>
      <c r="AX76" s="4">
        <f t="shared" si="220"/>
        <v>194.95009660475932</v>
      </c>
      <c r="AY76" s="4">
        <f t="shared" si="221"/>
        <v>1.1333333333333333</v>
      </c>
      <c r="AZ76" s="38">
        <f t="shared" si="117"/>
        <v>382.69926365228338</v>
      </c>
      <c r="BA76" s="4">
        <f t="shared" si="222"/>
        <v>0.43440000000000001</v>
      </c>
      <c r="BB76" s="4">
        <f t="shared" si="51"/>
        <v>44.248603226768637</v>
      </c>
      <c r="BC76" s="4">
        <f t="shared" si="52"/>
        <v>426.94786687905201</v>
      </c>
      <c r="BE76" s="36">
        <f t="shared" si="53"/>
        <v>1.1000000000000001</v>
      </c>
      <c r="BF76" s="36">
        <f t="shared" si="54"/>
        <v>193.24567576015772</v>
      </c>
      <c r="BK76" s="4">
        <f t="shared" si="156"/>
        <v>63.499999999999986</v>
      </c>
      <c r="BL76" s="4">
        <f t="shared" si="157"/>
        <v>63.499999999999986</v>
      </c>
      <c r="BM76" s="4">
        <f t="shared" si="158"/>
        <v>88.899999999999991</v>
      </c>
      <c r="BN76" s="4">
        <f t="shared" si="159"/>
        <v>76.199999999999989</v>
      </c>
      <c r="BO76" s="4">
        <f t="shared" si="160"/>
        <v>1.04</v>
      </c>
      <c r="BP76" s="25">
        <f t="shared" si="118"/>
        <v>3.1199999999999997</v>
      </c>
      <c r="BR76" s="4">
        <f t="shared" si="161"/>
        <v>63.499999999999986</v>
      </c>
      <c r="BV76" s="9"/>
      <c r="BX76" s="9"/>
      <c r="BY76" s="9"/>
      <c r="BZ76" s="9">
        <f t="shared" si="231"/>
        <v>50.8</v>
      </c>
      <c r="CA76" s="9">
        <f t="shared" si="232"/>
        <v>63.499999999999986</v>
      </c>
      <c r="CB76" s="9">
        <f t="shared" si="63"/>
        <v>1.4623505735569622</v>
      </c>
      <c r="CC76" s="9">
        <v>0</v>
      </c>
      <c r="CD76" s="9">
        <f t="shared" si="129"/>
        <v>0</v>
      </c>
      <c r="CE76" s="9">
        <f t="shared" si="65"/>
        <v>0</v>
      </c>
      <c r="CF76" s="9">
        <f t="shared" si="233"/>
        <v>0.99524931562137331</v>
      </c>
      <c r="CG76" s="9">
        <f t="shared" si="234"/>
        <v>1.056</v>
      </c>
      <c r="CH76" s="9">
        <f t="shared" si="68"/>
        <v>1.9464482686693119</v>
      </c>
      <c r="CI76" s="9">
        <f t="shared" si="69"/>
        <v>2.8463897420875242</v>
      </c>
      <c r="CJ76" s="9">
        <v>1</v>
      </c>
      <c r="CK76" s="9">
        <f t="shared" si="70"/>
        <v>250.48229730370213</v>
      </c>
      <c r="CM76" s="4">
        <f t="shared" si="206"/>
        <v>2.1595270140005773</v>
      </c>
      <c r="CN76" s="4">
        <f t="shared" si="207"/>
        <v>0.98606886849551367</v>
      </c>
      <c r="CO76" s="4">
        <f t="shared" si="208"/>
        <v>2.1785739750394941</v>
      </c>
      <c r="CP76" s="4">
        <f t="shared" si="209"/>
        <v>1.6807575007568314</v>
      </c>
      <c r="CQ76" s="4">
        <f t="shared" si="210"/>
        <v>1.3777074136323781</v>
      </c>
      <c r="CR76" s="4">
        <f t="shared" si="211"/>
        <v>1.5309604404548034</v>
      </c>
      <c r="CS76" s="4">
        <f t="shared" si="143"/>
        <v>0.79533835915876583</v>
      </c>
      <c r="CU76" s="4">
        <f t="shared" si="212"/>
        <v>2.1595270140005773</v>
      </c>
      <c r="CV76" s="4">
        <f t="shared" si="212"/>
        <v>0.98606886849551367</v>
      </c>
      <c r="CW76" s="4">
        <f t="shared" si="213"/>
        <v>1.6807575007568314</v>
      </c>
      <c r="CX76" s="4">
        <f t="shared" si="214"/>
        <v>0.79533835915876583</v>
      </c>
      <c r="CY76" s="4">
        <f t="shared" si="215"/>
        <v>1.3777074136323781</v>
      </c>
      <c r="CZ76" s="4">
        <f t="shared" si="215"/>
        <v>1.5309604404548034</v>
      </c>
      <c r="DH76" s="4">
        <f t="shared" si="167"/>
        <v>0</v>
      </c>
      <c r="DI76" s="4">
        <f t="shared" si="168"/>
        <v>635</v>
      </c>
      <c r="DJ76" s="4">
        <f t="shared" si="169"/>
        <v>0.27999999999999997</v>
      </c>
      <c r="DL76" s="4">
        <f t="shared" si="170"/>
        <v>4.4003395705642358E-5</v>
      </c>
      <c r="DM76" s="4">
        <f t="shared" si="171"/>
        <v>6.6857562842857838</v>
      </c>
      <c r="DN76" s="4">
        <f t="shared" si="172"/>
        <v>0.31639969550146724</v>
      </c>
      <c r="DO76" s="4">
        <f t="shared" si="76"/>
        <v>4.219344285942098</v>
      </c>
      <c r="DP76" s="4">
        <f t="shared" si="77"/>
        <v>5.5909415004503167</v>
      </c>
      <c r="DQ76" s="4">
        <f t="shared" si="78"/>
        <v>4.9346088081125474</v>
      </c>
      <c r="DR76" s="38">
        <f t="shared" si="119"/>
        <v>305.58012233527688</v>
      </c>
      <c r="DS76" s="4">
        <f t="shared" si="79"/>
        <v>1.0002840135222777</v>
      </c>
      <c r="DT76" s="4">
        <f t="shared" si="147"/>
        <v>2.2449944320643649</v>
      </c>
      <c r="DU76" s="4">
        <f t="shared" si="120"/>
        <v>161.30936879743294</v>
      </c>
      <c r="DY76" s="4">
        <f t="shared" si="235"/>
        <v>0.85</v>
      </c>
      <c r="DZ76" s="4">
        <f t="shared" si="81"/>
        <v>0.85000000000000009</v>
      </c>
      <c r="EA76" s="4">
        <f t="shared" si="82"/>
        <v>1</v>
      </c>
      <c r="EB76" s="4">
        <f t="shared" si="83"/>
        <v>0.85000000000000009</v>
      </c>
      <c r="ED76" s="4">
        <f t="shared" si="121"/>
        <v>274.99077629656665</v>
      </c>
      <c r="EE76" s="25">
        <f t="shared" si="122"/>
        <v>159.65722173545257</v>
      </c>
      <c r="EG76" s="4">
        <f t="shared" si="148"/>
        <v>0.72250000000000003</v>
      </c>
      <c r="EH76" s="4">
        <f t="shared" si="84"/>
        <v>6.6857562842857838</v>
      </c>
      <c r="EI76" s="4">
        <f t="shared" si="174"/>
        <v>6.028412726414806</v>
      </c>
      <c r="EK76" s="4">
        <f t="shared" si="175"/>
        <v>57.022858574434863</v>
      </c>
      <c r="EL76" s="4">
        <f t="shared" si="176"/>
        <v>2.2449944320643649</v>
      </c>
      <c r="EM76" s="4">
        <f t="shared" si="177"/>
        <v>9.1548311345836214E-2</v>
      </c>
      <c r="EP76" s="4">
        <f t="shared" si="178"/>
        <v>9.1548311345836214E-2</v>
      </c>
      <c r="EQ76" s="4">
        <f t="shared" si="179"/>
        <v>0.31587168337856231</v>
      </c>
      <c r="ER76" s="4">
        <f t="shared" si="180"/>
        <v>4.2165263549180425</v>
      </c>
      <c r="ES76" s="4">
        <f t="shared" si="236"/>
        <v>5.5898818106728223</v>
      </c>
      <c r="ET76" s="4">
        <f t="shared" si="182"/>
        <v>419.22714142556515</v>
      </c>
      <c r="EU76" s="4">
        <f t="shared" si="183"/>
        <v>158.75</v>
      </c>
      <c r="EV76" s="4">
        <f t="shared" si="95"/>
        <v>4.4003395705642358E-5</v>
      </c>
      <c r="EW76" s="4">
        <f t="shared" si="237"/>
        <v>4.9349488663478827</v>
      </c>
      <c r="EX76" s="4">
        <f t="shared" si="185"/>
        <v>305.49335809061313</v>
      </c>
      <c r="EY76" s="4">
        <f t="shared" si="186"/>
        <v>120.77714142556512</v>
      </c>
      <c r="EZ76" s="4">
        <f t="shared" si="187"/>
        <v>0</v>
      </c>
      <c r="FB76" s="4">
        <f t="shared" si="100"/>
        <v>386.09816676031971</v>
      </c>
      <c r="FG76" s="23">
        <f t="shared" si="216"/>
        <v>2.2000000000000002</v>
      </c>
      <c r="FH76" s="23">
        <f t="shared" si="216"/>
        <v>1</v>
      </c>
      <c r="FI76" s="23">
        <f t="shared" si="230"/>
        <v>0.8</v>
      </c>
      <c r="FJ76" s="23">
        <f t="shared" si="217"/>
        <v>1.8</v>
      </c>
      <c r="FK76" s="23">
        <f t="shared" si="217"/>
        <v>1.4</v>
      </c>
      <c r="FL76" s="23">
        <f t="shared" si="217"/>
        <v>1.6</v>
      </c>
      <c r="FM76" s="23">
        <f t="shared" si="218"/>
        <v>0</v>
      </c>
      <c r="FN76" s="23"/>
      <c r="FX76" s="4">
        <f t="shared" si="101"/>
        <v>1</v>
      </c>
      <c r="FY76" s="4">
        <f t="shared" si="102"/>
        <v>1.0833333333333333</v>
      </c>
      <c r="FZ76" s="4">
        <f t="shared" si="103"/>
        <v>0</v>
      </c>
      <c r="GA76" s="4">
        <f t="shared" si="104"/>
        <v>529.33445891544102</v>
      </c>
    </row>
    <row r="77" spans="1:185" ht="12" hidden="1" customHeight="1" x14ac:dyDescent="0.3">
      <c r="A77" s="25">
        <v>59</v>
      </c>
      <c r="B77" s="20" t="s">
        <v>54</v>
      </c>
      <c r="C77" s="20">
        <v>2006</v>
      </c>
      <c r="D77" s="24" t="s">
        <v>55</v>
      </c>
      <c r="E77" s="24"/>
      <c r="F77" s="7" t="s">
        <v>279</v>
      </c>
      <c r="G77" s="7">
        <v>472</v>
      </c>
      <c r="H77" s="7">
        <f t="shared" si="238"/>
        <v>635</v>
      </c>
      <c r="I77" s="7">
        <f t="shared" si="131"/>
        <v>177.79999999999998</v>
      </c>
      <c r="J77" s="7">
        <v>28</v>
      </c>
      <c r="K77" s="7">
        <v>25.4</v>
      </c>
      <c r="L77" s="7">
        <f t="shared" si="151"/>
        <v>25</v>
      </c>
      <c r="M77" s="7">
        <v>7</v>
      </c>
      <c r="N77" s="7">
        <f t="shared" si="132"/>
        <v>152.39999999999998</v>
      </c>
      <c r="O77" s="7">
        <f t="shared" si="108"/>
        <v>63.499999999999986</v>
      </c>
      <c r="P77" s="7">
        <f t="shared" si="133"/>
        <v>50.8</v>
      </c>
      <c r="Q77" s="7">
        <v>0</v>
      </c>
      <c r="R77" s="7">
        <v>1</v>
      </c>
      <c r="S77" s="7">
        <f t="shared" si="134"/>
        <v>88.899999999999991</v>
      </c>
      <c r="T77" s="7">
        <f t="shared" si="42"/>
        <v>2.9999999999999996</v>
      </c>
      <c r="U77" s="7">
        <f t="shared" si="135"/>
        <v>4</v>
      </c>
      <c r="V77" s="7">
        <v>4.0599999999999996</v>
      </c>
      <c r="W77" s="7">
        <f t="shared" si="152"/>
        <v>4.0599999999999996</v>
      </c>
      <c r="X77" s="7">
        <f t="shared" si="44"/>
        <v>5.0599999999999996</v>
      </c>
      <c r="Y77" s="7">
        <f t="shared" si="200"/>
        <v>57.135887146346114</v>
      </c>
      <c r="Z77" s="7"/>
      <c r="AA77" s="7"/>
      <c r="AB77" s="7">
        <v>472</v>
      </c>
      <c r="AC77" s="7"/>
      <c r="AD77" s="7"/>
      <c r="AE77" s="7"/>
      <c r="AF77" s="7"/>
      <c r="AG77" s="7">
        <v>1</v>
      </c>
      <c r="AH77" s="7"/>
      <c r="AI77" s="7"/>
      <c r="AJ77" s="7"/>
      <c r="AK77" s="4">
        <f t="shared" si="125"/>
        <v>635</v>
      </c>
      <c r="AL77" s="44">
        <f t="shared" si="153"/>
        <v>2.1333333333333329E-2</v>
      </c>
      <c r="AM77" s="25">
        <f t="shared" si="112"/>
        <v>1671.0224668242358</v>
      </c>
      <c r="AN77" s="4">
        <f t="shared" si="113"/>
        <v>0.72399999999999998</v>
      </c>
      <c r="AO77" s="4">
        <v>1.25</v>
      </c>
      <c r="AP77" s="25">
        <f t="shared" si="114"/>
        <v>5</v>
      </c>
      <c r="AQ77" s="38">
        <f t="shared" si="115"/>
        <v>161.30936879743288</v>
      </c>
      <c r="AR77" s="38">
        <f t="shared" si="116"/>
        <v>161.30936879743288</v>
      </c>
      <c r="AT77" s="38">
        <f t="shared" si="130"/>
        <v>161.30936879743294</v>
      </c>
      <c r="AU77" s="38">
        <f t="shared" si="47"/>
        <v>0.99999999999999967</v>
      </c>
      <c r="AV77" s="38">
        <f t="shared" si="136"/>
        <v>2.3783204437526595</v>
      </c>
      <c r="AW77" s="4">
        <f t="shared" si="154"/>
        <v>0</v>
      </c>
      <c r="AX77" s="4">
        <f t="shared" si="220"/>
        <v>194.95009660475932</v>
      </c>
      <c r="AY77" s="4">
        <f t="shared" si="221"/>
        <v>1.1333333333333333</v>
      </c>
      <c r="AZ77" s="38">
        <f t="shared" si="117"/>
        <v>383.64536957977214</v>
      </c>
      <c r="BA77" s="4">
        <f t="shared" si="222"/>
        <v>0.43160000000000009</v>
      </c>
      <c r="BB77" s="4">
        <f t="shared" si="51"/>
        <v>43.963391235435886</v>
      </c>
      <c r="BC77" s="4">
        <f t="shared" si="52"/>
        <v>427.60876081520803</v>
      </c>
      <c r="BE77" s="36">
        <f t="shared" si="53"/>
        <v>1.1000000000000001</v>
      </c>
      <c r="BF77" s="36">
        <f t="shared" si="54"/>
        <v>193.24567576015772</v>
      </c>
      <c r="BK77" s="4">
        <f t="shared" si="156"/>
        <v>63.499999999999986</v>
      </c>
      <c r="BL77" s="4">
        <f t="shared" si="157"/>
        <v>63.499999999999986</v>
      </c>
      <c r="BM77" s="4">
        <f t="shared" si="158"/>
        <v>88.899999999999991</v>
      </c>
      <c r="BN77" s="4">
        <f t="shared" si="159"/>
        <v>76.199999999999989</v>
      </c>
      <c r="BO77" s="4">
        <f t="shared" si="160"/>
        <v>1.04</v>
      </c>
      <c r="BP77" s="25">
        <f t="shared" si="118"/>
        <v>3.1199999999999997</v>
      </c>
      <c r="BR77" s="4">
        <f t="shared" si="161"/>
        <v>63.499999999999986</v>
      </c>
      <c r="BV77" s="9"/>
      <c r="BX77" s="9"/>
      <c r="BY77" s="9"/>
      <c r="BZ77" s="9">
        <f t="shared" si="231"/>
        <v>50.8</v>
      </c>
      <c r="CA77" s="9">
        <f t="shared" si="232"/>
        <v>63.499999999999986</v>
      </c>
      <c r="CB77" s="9">
        <f t="shared" si="63"/>
        <v>1.4623505735569622</v>
      </c>
      <c r="CC77" s="9">
        <v>0</v>
      </c>
      <c r="CD77" s="9">
        <f t="shared" si="129"/>
        <v>0</v>
      </c>
      <c r="CE77" s="9">
        <f t="shared" si="65"/>
        <v>0</v>
      </c>
      <c r="CF77" s="9">
        <f t="shared" si="233"/>
        <v>0.99524931562137331</v>
      </c>
      <c r="CG77" s="9">
        <f t="shared" si="234"/>
        <v>1.056</v>
      </c>
      <c r="CH77" s="9">
        <f t="shared" si="68"/>
        <v>1.9464482686693119</v>
      </c>
      <c r="CI77" s="9">
        <f t="shared" si="69"/>
        <v>2.8463897420875242</v>
      </c>
      <c r="CJ77" s="9">
        <v>1</v>
      </c>
      <c r="CK77" s="9">
        <f t="shared" si="70"/>
        <v>250.48229730370213</v>
      </c>
      <c r="CM77" s="4">
        <f t="shared" si="206"/>
        <v>2.4211324242476784</v>
      </c>
      <c r="CN77" s="4">
        <f t="shared" si="207"/>
        <v>1.1038127448562163</v>
      </c>
      <c r="CO77" s="4">
        <f t="shared" si="208"/>
        <v>2.4424867368613805</v>
      </c>
      <c r="CP77" s="4">
        <f t="shared" si="209"/>
        <v>1.8843647039364</v>
      </c>
      <c r="CQ77" s="4">
        <f t="shared" si="210"/>
        <v>1.5451342388757128</v>
      </c>
      <c r="CR77" s="4">
        <f t="shared" si="211"/>
        <v>1.7159791174041488</v>
      </c>
      <c r="CS77" s="4">
        <f t="shared" si="143"/>
        <v>0.89168576133714361</v>
      </c>
      <c r="CU77" s="4">
        <f t="shared" si="212"/>
        <v>2.4211324242476784</v>
      </c>
      <c r="CV77" s="4">
        <f t="shared" si="212"/>
        <v>1.1038127448562163</v>
      </c>
      <c r="CW77" s="4">
        <f t="shared" si="213"/>
        <v>1.8843647039364</v>
      </c>
      <c r="CX77" s="4">
        <f t="shared" si="214"/>
        <v>0.89168576133714361</v>
      </c>
      <c r="CY77" s="4">
        <f t="shared" si="215"/>
        <v>1.5451342388757128</v>
      </c>
      <c r="CZ77" s="4">
        <f t="shared" si="215"/>
        <v>1.7159791174041488</v>
      </c>
      <c r="DH77" s="4">
        <f t="shared" si="167"/>
        <v>0</v>
      </c>
      <c r="DI77" s="4">
        <f t="shared" si="168"/>
        <v>635</v>
      </c>
      <c r="DJ77" s="4">
        <f t="shared" si="169"/>
        <v>0.27999999999999997</v>
      </c>
      <c r="DL77" s="4">
        <f t="shared" si="170"/>
        <v>4.4003395705642358E-5</v>
      </c>
      <c r="DM77" s="4">
        <f t="shared" si="171"/>
        <v>6.6857562842857838</v>
      </c>
      <c r="DN77" s="4">
        <f t="shared" si="172"/>
        <v>0.3154651424867419</v>
      </c>
      <c r="DO77" s="4">
        <f t="shared" si="76"/>
        <v>4.2143547734798679</v>
      </c>
      <c r="DP77" s="4">
        <f t="shared" si="77"/>
        <v>5.5890655388539159</v>
      </c>
      <c r="DQ77" s="4">
        <f t="shared" si="78"/>
        <v>4.9352981872014201</v>
      </c>
      <c r="DR77" s="38">
        <f t="shared" si="119"/>
        <v>305.47507661434111</v>
      </c>
      <c r="DS77" s="4">
        <f t="shared" si="79"/>
        <v>1.0002836863845934</v>
      </c>
      <c r="DT77" s="4">
        <f t="shared" si="147"/>
        <v>2.2494443758403984</v>
      </c>
      <c r="DU77" s="4">
        <f t="shared" si="120"/>
        <v>161.30936879743294</v>
      </c>
      <c r="DY77" s="4">
        <f t="shared" si="235"/>
        <v>0.85</v>
      </c>
      <c r="DZ77" s="4">
        <f t="shared" si="81"/>
        <v>0.85000000000000009</v>
      </c>
      <c r="EA77" s="4">
        <f t="shared" si="82"/>
        <v>1</v>
      </c>
      <c r="EB77" s="4">
        <f t="shared" si="83"/>
        <v>0.85000000000000009</v>
      </c>
      <c r="ED77" s="4">
        <f t="shared" si="121"/>
        <v>275.06162237802698</v>
      </c>
      <c r="EE77" s="25">
        <f t="shared" si="122"/>
        <v>159.65722173545257</v>
      </c>
      <c r="EG77" s="4">
        <f t="shared" si="148"/>
        <v>0.72250000000000003</v>
      </c>
      <c r="EH77" s="4">
        <f t="shared" si="84"/>
        <v>6.6857562842857838</v>
      </c>
      <c r="EI77" s="4">
        <f t="shared" si="174"/>
        <v>6.028412726414806</v>
      </c>
      <c r="EK77" s="4">
        <f t="shared" si="175"/>
        <v>57.135887146346114</v>
      </c>
      <c r="EL77" s="4">
        <f t="shared" si="176"/>
        <v>2.2494443758403984</v>
      </c>
      <c r="EM77" s="4">
        <f t="shared" si="177"/>
        <v>9.127790416284047E-2</v>
      </c>
      <c r="EP77" s="4">
        <f t="shared" si="178"/>
        <v>9.127790416284047E-2</v>
      </c>
      <c r="EQ77" s="4">
        <f t="shared" si="179"/>
        <v>0.31493868995864155</v>
      </c>
      <c r="ER77" s="4">
        <f t="shared" si="180"/>
        <v>4.2115401747513097</v>
      </c>
      <c r="ES77" s="4">
        <f t="shared" si="236"/>
        <v>5.5880080266286809</v>
      </c>
      <c r="ET77" s="4">
        <f t="shared" si="182"/>
        <v>419.11411285365386</v>
      </c>
      <c r="EU77" s="4">
        <f t="shared" si="183"/>
        <v>158.75</v>
      </c>
      <c r="EV77" s="4">
        <f t="shared" si="95"/>
        <v>4.4003395705642358E-5</v>
      </c>
      <c r="EW77" s="4">
        <f t="shared" si="237"/>
        <v>4.9356377370924536</v>
      </c>
      <c r="EX77" s="4">
        <f t="shared" si="185"/>
        <v>305.38844207131331</v>
      </c>
      <c r="EY77" s="4">
        <f t="shared" si="186"/>
        <v>120.66411285365388</v>
      </c>
      <c r="EZ77" s="4">
        <f t="shared" si="187"/>
        <v>0</v>
      </c>
      <c r="FB77" s="4">
        <f t="shared" si="100"/>
        <v>386.02732067885938</v>
      </c>
      <c r="FG77" s="23">
        <f t="shared" si="216"/>
        <v>2.2000000000000002</v>
      </c>
      <c r="FH77" s="23">
        <f t="shared" si="216"/>
        <v>1.2</v>
      </c>
      <c r="FI77" s="23">
        <f t="shared" si="230"/>
        <v>1</v>
      </c>
      <c r="FJ77" s="23">
        <f t="shared" si="217"/>
        <v>2</v>
      </c>
      <c r="FK77" s="23">
        <f t="shared" si="217"/>
        <v>1.6</v>
      </c>
      <c r="FL77" s="23">
        <f t="shared" si="217"/>
        <v>1.8</v>
      </c>
      <c r="FM77" s="23">
        <f t="shared" si="218"/>
        <v>0</v>
      </c>
      <c r="FN77" s="23"/>
      <c r="FX77" s="4">
        <f t="shared" si="101"/>
        <v>1</v>
      </c>
      <c r="FY77" s="4">
        <f t="shared" si="102"/>
        <v>1.0833333333333333</v>
      </c>
      <c r="FZ77" s="4">
        <f t="shared" si="103"/>
        <v>0</v>
      </c>
      <c r="GA77" s="4">
        <f t="shared" si="104"/>
        <v>529.33445891544102</v>
      </c>
    </row>
    <row r="78" spans="1:185" ht="12" hidden="1" customHeight="1" x14ac:dyDescent="0.3">
      <c r="A78" s="25">
        <v>60</v>
      </c>
      <c r="B78" s="20" t="s">
        <v>54</v>
      </c>
      <c r="C78" s="20">
        <v>2006</v>
      </c>
      <c r="D78" s="24" t="s">
        <v>55</v>
      </c>
      <c r="E78" s="24"/>
      <c r="F78" s="7" t="s">
        <v>282</v>
      </c>
      <c r="G78" s="7">
        <v>472</v>
      </c>
      <c r="H78" s="7">
        <f t="shared" si="238"/>
        <v>635</v>
      </c>
      <c r="I78" s="7">
        <f t="shared" si="131"/>
        <v>177.79999999999998</v>
      </c>
      <c r="J78" s="7">
        <v>28</v>
      </c>
      <c r="K78" s="7">
        <v>25.4</v>
      </c>
      <c r="L78" s="7">
        <f t="shared" si="151"/>
        <v>25</v>
      </c>
      <c r="M78" s="7">
        <v>7</v>
      </c>
      <c r="N78" s="7">
        <f t="shared" si="132"/>
        <v>152.39999999999998</v>
      </c>
      <c r="O78" s="7">
        <f t="shared" si="108"/>
        <v>63.499999999999986</v>
      </c>
      <c r="P78" s="7">
        <f t="shared" si="133"/>
        <v>50.8</v>
      </c>
      <c r="Q78" s="7">
        <v>0</v>
      </c>
      <c r="R78" s="7">
        <v>1</v>
      </c>
      <c r="S78" s="7">
        <f t="shared" si="134"/>
        <v>88.899999999999991</v>
      </c>
      <c r="T78" s="7">
        <f t="shared" si="42"/>
        <v>2.9999999999999996</v>
      </c>
      <c r="U78" s="7">
        <f t="shared" si="135"/>
        <v>4</v>
      </c>
      <c r="V78" s="7">
        <v>10.39</v>
      </c>
      <c r="W78" s="7">
        <f t="shared" si="152"/>
        <v>10.39</v>
      </c>
      <c r="X78" s="7">
        <f t="shared" si="44"/>
        <v>11.39</v>
      </c>
      <c r="Y78" s="7">
        <f t="shared" si="200"/>
        <v>85.722648115885917</v>
      </c>
      <c r="Z78" s="7"/>
      <c r="AA78" s="7"/>
      <c r="AB78" s="7">
        <v>472</v>
      </c>
      <c r="AC78" s="7"/>
      <c r="AD78" s="7"/>
      <c r="AE78" s="7"/>
      <c r="AF78" s="7"/>
      <c r="AG78" s="7">
        <v>1</v>
      </c>
      <c r="AH78" s="7"/>
      <c r="AI78" s="7"/>
      <c r="AJ78" s="7"/>
      <c r="AK78" s="4">
        <f t="shared" si="125"/>
        <v>635</v>
      </c>
      <c r="AL78" s="44">
        <f t="shared" si="153"/>
        <v>2.1333333333333329E-2</v>
      </c>
      <c r="AM78" s="25">
        <f t="shared" si="112"/>
        <v>1671.0224668242358</v>
      </c>
      <c r="AN78" s="4">
        <f t="shared" si="113"/>
        <v>0.72399999999999998</v>
      </c>
      <c r="AO78" s="4">
        <v>1.25</v>
      </c>
      <c r="AP78" s="25">
        <f t="shared" si="114"/>
        <v>5</v>
      </c>
      <c r="AQ78" s="38">
        <f t="shared" si="115"/>
        <v>161.30936879743288</v>
      </c>
      <c r="AR78" s="38">
        <f t="shared" si="116"/>
        <v>161.30936879743288</v>
      </c>
      <c r="AT78" s="38">
        <f t="shared" si="130"/>
        <v>161.30936879743294</v>
      </c>
      <c r="AU78" s="38">
        <f t="shared" si="47"/>
        <v>0.99999999999999967</v>
      </c>
      <c r="AV78" s="38">
        <f t="shared" si="136"/>
        <v>3.8046536355645637</v>
      </c>
      <c r="AW78" s="4">
        <f t="shared" si="154"/>
        <v>0</v>
      </c>
      <c r="AX78" s="4">
        <f t="shared" si="220"/>
        <v>194.95009660475932</v>
      </c>
      <c r="AY78" s="4">
        <f t="shared" si="221"/>
        <v>1.1333333333333333</v>
      </c>
      <c r="AZ78" s="38">
        <f t="shared" si="117"/>
        <v>613.72627644577824</v>
      </c>
      <c r="BA78" s="4">
        <f t="shared" si="222"/>
        <v>0.3</v>
      </c>
      <c r="BB78" s="4">
        <f t="shared" si="51"/>
        <v>30.558427642796019</v>
      </c>
      <c r="BC78" s="4">
        <f t="shared" si="52"/>
        <v>644.28470408857424</v>
      </c>
      <c r="BE78" s="36">
        <f t="shared" si="53"/>
        <v>1.1000000000000001</v>
      </c>
      <c r="BF78" s="36">
        <f t="shared" si="54"/>
        <v>193.24567576015772</v>
      </c>
      <c r="BK78" s="4">
        <f t="shared" si="156"/>
        <v>63.499999999999986</v>
      </c>
      <c r="BL78" s="4">
        <f t="shared" si="157"/>
        <v>63.499999999999986</v>
      </c>
      <c r="BM78" s="4">
        <f t="shared" si="158"/>
        <v>88.899999999999991</v>
      </c>
      <c r="BN78" s="4">
        <f t="shared" si="159"/>
        <v>76.199999999999989</v>
      </c>
      <c r="BO78" s="4">
        <f t="shared" si="160"/>
        <v>1.04</v>
      </c>
      <c r="BP78" s="25">
        <f t="shared" si="118"/>
        <v>3.1199999999999997</v>
      </c>
      <c r="BR78" s="4">
        <f t="shared" si="161"/>
        <v>63.499999999999986</v>
      </c>
      <c r="BV78" s="9"/>
      <c r="BX78" s="9"/>
      <c r="BY78" s="9"/>
      <c r="BZ78" s="9">
        <f t="shared" si="231"/>
        <v>50.8</v>
      </c>
      <c r="CA78" s="9">
        <f t="shared" si="232"/>
        <v>63.499999999999986</v>
      </c>
      <c r="CB78" s="9">
        <f t="shared" si="63"/>
        <v>1.4623505735569622</v>
      </c>
      <c r="CC78" s="9">
        <v>0</v>
      </c>
      <c r="CD78" s="9">
        <f t="shared" si="129"/>
        <v>0</v>
      </c>
      <c r="CE78" s="9">
        <f t="shared" si="65"/>
        <v>0</v>
      </c>
      <c r="CF78" s="9">
        <f t="shared" si="233"/>
        <v>0.99524931562137331</v>
      </c>
      <c r="CG78" s="9">
        <f t="shared" si="234"/>
        <v>1.056</v>
      </c>
      <c r="CH78" s="9">
        <f t="shared" si="68"/>
        <v>1.9464482686693119</v>
      </c>
      <c r="CI78" s="9">
        <f t="shared" si="69"/>
        <v>2.8463897420875242</v>
      </c>
      <c r="CJ78" s="9">
        <v>1</v>
      </c>
      <c r="CK78" s="9">
        <f t="shared" si="70"/>
        <v>250.48229730370213</v>
      </c>
      <c r="CM78" s="4">
        <f t="shared" si="206"/>
        <v>2.4211324242476784</v>
      </c>
      <c r="CN78" s="4">
        <f t="shared" si="207"/>
        <v>0.7325953836940865</v>
      </c>
      <c r="CO78" s="4">
        <f t="shared" si="208"/>
        <v>2.4424867368613805</v>
      </c>
      <c r="CP78" s="4">
        <f t="shared" si="209"/>
        <v>1.8843647039364</v>
      </c>
      <c r="CQ78" s="4">
        <f t="shared" si="210"/>
        <v>1.6605239427889933</v>
      </c>
      <c r="CR78" s="4">
        <f t="shared" si="211"/>
        <v>1.6549322135268125</v>
      </c>
      <c r="CS78" s="4">
        <f t="shared" si="143"/>
        <v>0.89168576133714361</v>
      </c>
      <c r="CU78" s="4">
        <f t="shared" si="212"/>
        <v>2.4211324242476784</v>
      </c>
      <c r="CV78" s="4">
        <f t="shared" si="212"/>
        <v>0.7325953836940865</v>
      </c>
      <c r="CW78" s="4">
        <f t="shared" si="213"/>
        <v>1.8843647039364</v>
      </c>
      <c r="CX78" s="4">
        <f t="shared" si="214"/>
        <v>0.89168576133714361</v>
      </c>
      <c r="CY78" s="4">
        <f t="shared" si="215"/>
        <v>1.6605239427889933</v>
      </c>
      <c r="CZ78" s="4">
        <f t="shared" si="215"/>
        <v>1.6549322135268125</v>
      </c>
      <c r="DH78" s="4">
        <f t="shared" si="167"/>
        <v>0</v>
      </c>
      <c r="DI78" s="4">
        <f t="shared" si="168"/>
        <v>635</v>
      </c>
      <c r="DJ78" s="4">
        <f t="shared" si="169"/>
        <v>0.27999999999999997</v>
      </c>
      <c r="DL78" s="4">
        <f t="shared" si="170"/>
        <v>4.4003395705642358E-5</v>
      </c>
      <c r="DM78" s="4">
        <f t="shared" si="171"/>
        <v>6.6857562842857838</v>
      </c>
      <c r="DN78" s="4">
        <f t="shared" si="172"/>
        <v>0.1849475013016269</v>
      </c>
      <c r="DO78" s="4">
        <f t="shared" si="76"/>
        <v>3.4038461991995663</v>
      </c>
      <c r="DP78" s="4">
        <f t="shared" si="77"/>
        <v>5.3074788298917506</v>
      </c>
      <c r="DQ78" s="4">
        <f t="shared" si="78"/>
        <v>5.0582629585034002</v>
      </c>
      <c r="DR78" s="38">
        <f t="shared" si="119"/>
        <v>284.24763283282459</v>
      </c>
      <c r="DS78" s="4">
        <f t="shared" si="79"/>
        <v>1.0002404677277599</v>
      </c>
      <c r="DT78" s="4">
        <f t="shared" si="147"/>
        <v>3.3749074061372411</v>
      </c>
      <c r="DU78" s="4">
        <f t="shared" si="120"/>
        <v>161.30936879743294</v>
      </c>
      <c r="DY78" s="4">
        <f t="shared" si="235"/>
        <v>0.85</v>
      </c>
      <c r="DZ78" s="4">
        <f t="shared" si="81"/>
        <v>0.85000000000000009</v>
      </c>
      <c r="EA78" s="4">
        <f t="shared" si="82"/>
        <v>1</v>
      </c>
      <c r="EB78" s="4">
        <f t="shared" si="83"/>
        <v>0.85000000000000009</v>
      </c>
      <c r="ED78" s="4">
        <f t="shared" si="121"/>
        <v>285.20805634336205</v>
      </c>
      <c r="EE78" s="25">
        <f t="shared" si="122"/>
        <v>159.65722173545257</v>
      </c>
      <c r="EG78" s="4">
        <f t="shared" si="148"/>
        <v>0.72250000000000003</v>
      </c>
      <c r="EH78" s="4">
        <f t="shared" si="84"/>
        <v>6.6857562842857838</v>
      </c>
      <c r="EI78" s="4">
        <f t="shared" si="174"/>
        <v>6.028412726414806</v>
      </c>
      <c r="EK78" s="4">
        <f t="shared" si="175"/>
        <v>85.722648115885917</v>
      </c>
      <c r="EL78" s="4">
        <f t="shared" si="176"/>
        <v>3.3749074061372411</v>
      </c>
      <c r="EM78" s="4">
        <f t="shared" si="177"/>
        <v>5.3513425178746021E-2</v>
      </c>
      <c r="EP78" s="4">
        <f t="shared" si="178"/>
        <v>5.3513425178746021E-2</v>
      </c>
      <c r="EQ78" s="4">
        <f t="shared" si="179"/>
        <v>0.18463885839148297</v>
      </c>
      <c r="ER78" s="4">
        <f t="shared" si="180"/>
        <v>3.4015729066792599</v>
      </c>
      <c r="ES78" s="4">
        <f t="shared" si="236"/>
        <v>5.3067578077039173</v>
      </c>
      <c r="ET78" s="4">
        <f t="shared" si="182"/>
        <v>390.52735188411407</v>
      </c>
      <c r="EU78" s="4">
        <f t="shared" si="183"/>
        <v>158.75</v>
      </c>
      <c r="EV78" s="4">
        <f t="shared" si="95"/>
        <v>4.4003395705642358E-5</v>
      </c>
      <c r="EW78" s="4">
        <f t="shared" si="237"/>
        <v>5.0585307900576097</v>
      </c>
      <c r="EX78" s="4">
        <f t="shared" si="185"/>
        <v>284.17929688302672</v>
      </c>
      <c r="EY78" s="4">
        <f t="shared" si="186"/>
        <v>92.077351884114066</v>
      </c>
      <c r="EZ78" s="4">
        <f t="shared" si="187"/>
        <v>0</v>
      </c>
      <c r="FB78" s="4">
        <f t="shared" si="100"/>
        <v>375.88088671352432</v>
      </c>
      <c r="FG78" s="23">
        <f t="shared" si="216"/>
        <v>2.2000000000000002</v>
      </c>
      <c r="FH78" s="23">
        <f t="shared" si="216"/>
        <v>0.8</v>
      </c>
      <c r="FI78" s="23">
        <f t="shared" si="230"/>
        <v>1</v>
      </c>
      <c r="FJ78" s="23">
        <f t="shared" si="217"/>
        <v>2</v>
      </c>
      <c r="FK78" s="23">
        <f t="shared" si="217"/>
        <v>1.8</v>
      </c>
      <c r="FL78" s="23">
        <f t="shared" si="217"/>
        <v>1.8</v>
      </c>
      <c r="FM78" s="23">
        <f t="shared" si="218"/>
        <v>0</v>
      </c>
      <c r="FN78" s="23"/>
      <c r="FX78" s="4">
        <f t="shared" si="101"/>
        <v>1</v>
      </c>
      <c r="FY78" s="4">
        <f t="shared" si="102"/>
        <v>1.0833333333333333</v>
      </c>
      <c r="FZ78" s="4">
        <f t="shared" si="103"/>
        <v>0</v>
      </c>
      <c r="GA78" s="4">
        <f t="shared" si="104"/>
        <v>529.33445891544102</v>
      </c>
    </row>
    <row r="79" spans="1:185" ht="12" hidden="1" customHeight="1" x14ac:dyDescent="0.3">
      <c r="A79" s="25">
        <v>61</v>
      </c>
      <c r="B79" s="20" t="s">
        <v>54</v>
      </c>
      <c r="C79" s="20">
        <v>2006</v>
      </c>
      <c r="D79" s="24" t="s">
        <v>55</v>
      </c>
      <c r="E79" s="24"/>
      <c r="F79" s="7" t="s">
        <v>283</v>
      </c>
      <c r="G79" s="7">
        <v>433</v>
      </c>
      <c r="H79" s="7">
        <f>15*25.4</f>
        <v>381</v>
      </c>
      <c r="I79" s="7">
        <f t="shared" si="131"/>
        <v>252</v>
      </c>
      <c r="J79" s="7">
        <v>28</v>
      </c>
      <c r="K79" s="7">
        <v>36</v>
      </c>
      <c r="L79" s="7">
        <f t="shared" si="151"/>
        <v>10.583333333333334</v>
      </c>
      <c r="M79" s="7">
        <v>7</v>
      </c>
      <c r="N79" s="7">
        <f t="shared" ref="N79:N89" si="239">8.5*25.4</f>
        <v>215.89999999999998</v>
      </c>
      <c r="O79" s="7">
        <f t="shared" si="108"/>
        <v>89.949999999999989</v>
      </c>
      <c r="P79" s="7">
        <f t="shared" si="133"/>
        <v>50.8</v>
      </c>
      <c r="Q79" s="7">
        <v>0</v>
      </c>
      <c r="R79" s="7">
        <v>1</v>
      </c>
      <c r="S79" s="7">
        <f t="shared" si="134"/>
        <v>83.6</v>
      </c>
      <c r="T79" s="7">
        <f t="shared" si="42"/>
        <v>2.822222222222222</v>
      </c>
      <c r="U79" s="7">
        <f t="shared" si="135"/>
        <v>2.9986111111111109</v>
      </c>
      <c r="V79" s="7">
        <v>1.1000000000000001</v>
      </c>
      <c r="W79" s="7">
        <f t="shared" si="152"/>
        <v>1.1000000000000001</v>
      </c>
      <c r="X79" s="7">
        <f t="shared" si="44"/>
        <v>2.1</v>
      </c>
      <c r="Y79" s="7">
        <f t="shared" si="200"/>
        <v>52.168956286281983</v>
      </c>
      <c r="Z79" s="7"/>
      <c r="AA79" s="7"/>
      <c r="AB79" s="7">
        <v>354</v>
      </c>
      <c r="AC79" s="7"/>
      <c r="AD79" s="7"/>
      <c r="AE79" s="7"/>
      <c r="AF79" s="7"/>
      <c r="AG79" s="7">
        <v>1</v>
      </c>
      <c r="AH79" s="7"/>
      <c r="AI79" s="7"/>
      <c r="AJ79" s="7"/>
      <c r="AK79" s="4">
        <f t="shared" si="125"/>
        <v>381</v>
      </c>
      <c r="AL79" s="44">
        <f t="shared" si="153"/>
        <v>8.3950617283950604E-2</v>
      </c>
      <c r="AM79" s="25">
        <f t="shared" si="112"/>
        <v>386.60867631208708</v>
      </c>
      <c r="AN79" s="4">
        <f t="shared" si="113"/>
        <v>0.7533333333333333</v>
      </c>
      <c r="AO79" s="4">
        <v>1.25</v>
      </c>
      <c r="AP79" s="25">
        <f t="shared" si="114"/>
        <v>5</v>
      </c>
      <c r="AQ79" s="38">
        <f t="shared" si="115"/>
        <v>152.81384098673232</v>
      </c>
      <c r="AR79" s="38">
        <f t="shared" si="116"/>
        <v>152.81384098673232</v>
      </c>
      <c r="AT79" s="38">
        <f t="shared" si="130"/>
        <v>152.8138409867322</v>
      </c>
      <c r="AU79" s="38">
        <f t="shared" si="47"/>
        <v>1.0000000000000007</v>
      </c>
      <c r="AV79" s="38">
        <f t="shared" si="136"/>
        <v>1.111825806705935</v>
      </c>
      <c r="AW79" s="4">
        <f t="shared" si="154"/>
        <v>0</v>
      </c>
      <c r="AX79" s="4">
        <f t="shared" si="220"/>
        <v>194.95009660475932</v>
      </c>
      <c r="AY79" s="4">
        <f t="shared" si="221"/>
        <v>1.0249999999999999</v>
      </c>
      <c r="AZ79" s="38">
        <f t="shared" si="117"/>
        <v>169.90237203090601</v>
      </c>
      <c r="BA79" s="4">
        <f t="shared" si="222"/>
        <v>0.84599999999999997</v>
      </c>
      <c r="BB79" s="4">
        <f t="shared" si="51"/>
        <v>86.17476595268478</v>
      </c>
      <c r="BC79" s="4">
        <f t="shared" si="52"/>
        <v>256.07713798359077</v>
      </c>
      <c r="BE79" s="36">
        <f t="shared" si="53"/>
        <v>1.1000000000000001</v>
      </c>
      <c r="BF79" s="36">
        <f t="shared" si="54"/>
        <v>193.24567576015772</v>
      </c>
      <c r="BK79" s="4">
        <f t="shared" si="156"/>
        <v>89.949999999999989</v>
      </c>
      <c r="BL79" s="4">
        <f t="shared" si="157"/>
        <v>83.6</v>
      </c>
      <c r="BM79" s="4">
        <f t="shared" si="158"/>
        <v>89.949999999999989</v>
      </c>
      <c r="BN79" s="4">
        <f t="shared" si="159"/>
        <v>101.6</v>
      </c>
      <c r="BO79" s="4">
        <f t="shared" si="160"/>
        <v>1.0075956937799044</v>
      </c>
      <c r="BP79" s="25">
        <f t="shared" si="118"/>
        <v>2.8436589580010634</v>
      </c>
      <c r="BR79" s="4">
        <f t="shared" si="161"/>
        <v>89.949999999999989</v>
      </c>
      <c r="BV79" s="9"/>
      <c r="BX79" s="9"/>
      <c r="BY79" s="9"/>
      <c r="BZ79" s="9">
        <f t="shared" si="231"/>
        <v>50.8</v>
      </c>
      <c r="CA79" s="9">
        <f t="shared" si="232"/>
        <v>89.949999999999989</v>
      </c>
      <c r="CB79" s="9">
        <f t="shared" si="63"/>
        <v>1.2941994891728255</v>
      </c>
      <c r="CC79" s="9">
        <v>0</v>
      </c>
      <c r="CD79" s="9">
        <f t="shared" si="129"/>
        <v>0</v>
      </c>
      <c r="CE79" s="9">
        <f t="shared" si="65"/>
        <v>0</v>
      </c>
      <c r="CF79" s="9">
        <f t="shared" si="233"/>
        <v>0.89637813077714179</v>
      </c>
      <c r="CG79" s="9">
        <f t="shared" si="234"/>
        <v>1.1339999999999999</v>
      </c>
      <c r="CH79" s="9">
        <f t="shared" si="68"/>
        <v>1.8825710113593779</v>
      </c>
      <c r="CI79" s="9">
        <f t="shared" si="69"/>
        <v>2.4364224412328763</v>
      </c>
      <c r="CJ79" s="9">
        <v>1</v>
      </c>
      <c r="CK79" s="9">
        <f t="shared" si="70"/>
        <v>214.4051748284931</v>
      </c>
      <c r="CM79" s="4">
        <f t="shared" si="206"/>
        <v>1.8158493181857587</v>
      </c>
      <c r="CN79" s="4">
        <f t="shared" si="207"/>
        <v>1.3823959561071166</v>
      </c>
      <c r="CO79" s="4">
        <f t="shared" si="208"/>
        <v>1.8318650526460354</v>
      </c>
      <c r="CP79" s="4">
        <f t="shared" si="209"/>
        <v>1.6510795519892256</v>
      </c>
      <c r="CQ79" s="4">
        <f t="shared" si="210"/>
        <v>1.1015400381976519</v>
      </c>
      <c r="CR79" s="4">
        <f t="shared" si="211"/>
        <v>1.3632451207336602</v>
      </c>
      <c r="CS79" s="4">
        <f t="shared" si="143"/>
        <v>1.8807238023462929</v>
      </c>
      <c r="CU79" s="4">
        <f t="shared" si="212"/>
        <v>1.8158493181857587</v>
      </c>
      <c r="CV79" s="4">
        <f t="shared" si="212"/>
        <v>1.3823959561071166</v>
      </c>
      <c r="CW79" s="4">
        <f t="shared" si="213"/>
        <v>1.6510795519892256</v>
      </c>
      <c r="CX79" s="4">
        <f t="shared" si="214"/>
        <v>1.8807238023462929</v>
      </c>
      <c r="CY79" s="4">
        <f t="shared" si="215"/>
        <v>1.1015400381976519</v>
      </c>
      <c r="CZ79" s="4">
        <f t="shared" si="215"/>
        <v>1.3632451207336602</v>
      </c>
      <c r="DH79" s="4">
        <f t="shared" si="167"/>
        <v>0</v>
      </c>
      <c r="DI79" s="4">
        <f t="shared" si="168"/>
        <v>381</v>
      </c>
      <c r="DJ79" s="4">
        <f t="shared" si="169"/>
        <v>0.66141732283464572</v>
      </c>
      <c r="DL79" s="4">
        <f t="shared" si="170"/>
        <v>1.8628104182055264E-5</v>
      </c>
      <c r="DM79" s="4">
        <f t="shared" si="171"/>
        <v>6.0161976170308948</v>
      </c>
      <c r="DN79" s="4">
        <f t="shared" si="172"/>
        <v>1.0071426790610538</v>
      </c>
      <c r="DO79" s="4">
        <f t="shared" si="76"/>
        <v>6.0333496321639828</v>
      </c>
      <c r="DP79" s="4">
        <f t="shared" si="77"/>
        <v>6.0161976170308948</v>
      </c>
      <c r="DQ79" s="4">
        <f t="shared" si="78"/>
        <v>5.5711994852791937</v>
      </c>
      <c r="DR79" s="38">
        <f t="shared" si="119"/>
        <v>321.3682551014827</v>
      </c>
      <c r="DS79" s="4">
        <f t="shared" si="79"/>
        <v>1.0004406723229435</v>
      </c>
      <c r="DT79" s="4">
        <f t="shared" si="147"/>
        <v>1.4491376746189439</v>
      </c>
      <c r="DU79" s="4">
        <f t="shared" si="120"/>
        <v>152.8138409867322</v>
      </c>
      <c r="DY79" s="4">
        <f t="shared" si="235"/>
        <v>0.85</v>
      </c>
      <c r="DZ79" s="4">
        <f t="shared" si="81"/>
        <v>0.85013888888888889</v>
      </c>
      <c r="EA79" s="4">
        <f t="shared" si="82"/>
        <v>1</v>
      </c>
      <c r="EB79" s="4">
        <f t="shared" si="83"/>
        <v>0.85013888888888889</v>
      </c>
      <c r="ED79" s="4">
        <f t="shared" si="121"/>
        <v>259.674503591465</v>
      </c>
      <c r="EE79" s="25">
        <f t="shared" si="122"/>
        <v>150.18137322121927</v>
      </c>
      <c r="EG79" s="4">
        <f t="shared" si="148"/>
        <v>0.72261805555555558</v>
      </c>
      <c r="EH79" s="4">
        <f t="shared" si="84"/>
        <v>6.0161976170308948</v>
      </c>
      <c r="EI79" s="4">
        <f t="shared" si="174"/>
        <v>4.9450239957683877</v>
      </c>
      <c r="EK79" s="4">
        <f t="shared" si="175"/>
        <v>52.168956286281983</v>
      </c>
      <c r="EL79" s="4">
        <f t="shared" si="176"/>
        <v>1.4491376746189439</v>
      </c>
      <c r="EM79" s="4">
        <f t="shared" si="177"/>
        <v>0.29141055716323655</v>
      </c>
      <c r="EP79" s="4">
        <f t="shared" si="178"/>
        <v>0.29141055716323655</v>
      </c>
      <c r="EQ79" s="4">
        <f t="shared" si="179"/>
        <v>0.999</v>
      </c>
      <c r="ER79" s="4">
        <f t="shared" si="180"/>
        <v>6.0137904156550812</v>
      </c>
      <c r="ES79" s="4">
        <f t="shared" si="236"/>
        <v>6.0149941367632529</v>
      </c>
      <c r="ET79" s="4">
        <f t="shared" si="182"/>
        <v>233.58104371371803</v>
      </c>
      <c r="EU79" s="4">
        <f t="shared" si="183"/>
        <v>95.25</v>
      </c>
      <c r="EV79" s="4">
        <f t="shared" si="95"/>
        <v>1.8628104182055264E-5</v>
      </c>
      <c r="EW79" s="4">
        <f t="shared" si="237"/>
        <v>5.5714881219801278</v>
      </c>
      <c r="EX79" s="4">
        <f t="shared" si="185"/>
        <v>321.22669938567293</v>
      </c>
      <c r="EY79" s="4">
        <f t="shared" si="186"/>
        <v>199.83104371371803</v>
      </c>
      <c r="EZ79" s="4">
        <f t="shared" si="187"/>
        <v>1.4210854715202004E-14</v>
      </c>
      <c r="FB79" s="4">
        <f t="shared" si="100"/>
        <v>81.521143970485184</v>
      </c>
      <c r="FG79" s="23">
        <f t="shared" si="216"/>
        <v>2</v>
      </c>
      <c r="FH79" s="23">
        <f t="shared" si="216"/>
        <v>1.4</v>
      </c>
      <c r="FI79" s="23">
        <f t="shared" si="230"/>
        <v>2</v>
      </c>
      <c r="FJ79" s="23">
        <f t="shared" si="217"/>
        <v>1.8</v>
      </c>
      <c r="FK79" s="23">
        <f t="shared" si="217"/>
        <v>1.2</v>
      </c>
      <c r="FL79" s="23">
        <f t="shared" si="217"/>
        <v>1.4</v>
      </c>
      <c r="FM79" s="23">
        <f t="shared" si="218"/>
        <v>0</v>
      </c>
      <c r="FN79" s="23"/>
      <c r="FX79" s="4">
        <f t="shared" si="101"/>
        <v>1</v>
      </c>
      <c r="FY79" s="4">
        <f t="shared" si="102"/>
        <v>1.0833333333333333</v>
      </c>
      <c r="FZ79" s="4">
        <f t="shared" si="103"/>
        <v>0</v>
      </c>
      <c r="GA79" s="4">
        <f t="shared" si="104"/>
        <v>188.22540532446502</v>
      </c>
    </row>
    <row r="80" spans="1:185" ht="12" hidden="1" customHeight="1" x14ac:dyDescent="0.3">
      <c r="A80" s="25">
        <v>62</v>
      </c>
      <c r="B80" s="20" t="s">
        <v>54</v>
      </c>
      <c r="C80" s="20">
        <v>2006</v>
      </c>
      <c r="D80" s="24" t="s">
        <v>55</v>
      </c>
      <c r="E80" s="24"/>
      <c r="F80" s="7" t="s">
        <v>279</v>
      </c>
      <c r="G80" s="7">
        <v>433</v>
      </c>
      <c r="H80" s="7">
        <f t="shared" ref="H80:H93" si="240">15*25.4</f>
        <v>381</v>
      </c>
      <c r="I80" s="7">
        <f t="shared" si="131"/>
        <v>252</v>
      </c>
      <c r="J80" s="7">
        <v>28</v>
      </c>
      <c r="K80" s="7">
        <v>36</v>
      </c>
      <c r="L80" s="7">
        <f t="shared" si="151"/>
        <v>10.583333333333334</v>
      </c>
      <c r="M80" s="7">
        <v>7</v>
      </c>
      <c r="N80" s="7">
        <f t="shared" si="239"/>
        <v>215.89999999999998</v>
      </c>
      <c r="O80" s="7">
        <f t="shared" si="108"/>
        <v>89.949999999999989</v>
      </c>
      <c r="P80" s="7">
        <f t="shared" si="133"/>
        <v>50.8</v>
      </c>
      <c r="Q80" s="7">
        <v>0</v>
      </c>
      <c r="R80" s="7">
        <v>1</v>
      </c>
      <c r="S80" s="7">
        <f t="shared" si="134"/>
        <v>83.6</v>
      </c>
      <c r="T80" s="7">
        <f t="shared" si="42"/>
        <v>2.822222222222222</v>
      </c>
      <c r="U80" s="7">
        <f t="shared" si="135"/>
        <v>2.9986111111111109</v>
      </c>
      <c r="V80" s="7">
        <v>1.56</v>
      </c>
      <c r="W80" s="7">
        <f t="shared" si="152"/>
        <v>1.56</v>
      </c>
      <c r="X80" s="7">
        <f t="shared" si="44"/>
        <v>2.56</v>
      </c>
      <c r="Y80" s="7">
        <f t="shared" si="200"/>
        <v>57.6</v>
      </c>
      <c r="Z80" s="7"/>
      <c r="AA80" s="7"/>
      <c r="AB80" s="7">
        <v>370</v>
      </c>
      <c r="AC80" s="7"/>
      <c r="AD80" s="7"/>
      <c r="AE80" s="7"/>
      <c r="AF80" s="7"/>
      <c r="AG80" s="7">
        <v>1</v>
      </c>
      <c r="AH80" s="7"/>
      <c r="AI80" s="7"/>
      <c r="AJ80" s="7"/>
      <c r="AK80" s="4">
        <f t="shared" si="125"/>
        <v>381</v>
      </c>
      <c r="AL80" s="44">
        <f t="shared" si="153"/>
        <v>8.3950617283950604E-2</v>
      </c>
      <c r="AM80" s="25">
        <f t="shared" si="112"/>
        <v>386.60867631208708</v>
      </c>
      <c r="AN80" s="4">
        <f t="shared" si="113"/>
        <v>0.7533333333333333</v>
      </c>
      <c r="AO80" s="4">
        <v>1.25</v>
      </c>
      <c r="AP80" s="25">
        <f t="shared" si="114"/>
        <v>5</v>
      </c>
      <c r="AQ80" s="38">
        <f t="shared" si="115"/>
        <v>152.81384098673232</v>
      </c>
      <c r="AR80" s="38">
        <f t="shared" si="116"/>
        <v>152.81384098673232</v>
      </c>
      <c r="AT80" s="38">
        <f t="shared" si="130"/>
        <v>152.8138409867322</v>
      </c>
      <c r="AU80" s="38">
        <f t="shared" si="47"/>
        <v>1.0000000000000007</v>
      </c>
      <c r="AV80" s="38">
        <f t="shared" si="136"/>
        <v>1.3240448818791442</v>
      </c>
      <c r="AW80" s="4">
        <f t="shared" si="154"/>
        <v>0</v>
      </c>
      <c r="AX80" s="4">
        <f t="shared" si="220"/>
        <v>194.95009660475932</v>
      </c>
      <c r="AY80" s="4">
        <f t="shared" si="221"/>
        <v>1.0249999999999999</v>
      </c>
      <c r="AZ80" s="38">
        <f t="shared" si="117"/>
        <v>202.33238403877615</v>
      </c>
      <c r="BA80" s="4">
        <f t="shared" si="222"/>
        <v>0.78160000000000007</v>
      </c>
      <c r="BB80" s="4">
        <f t="shared" si="51"/>
        <v>79.614890152031251</v>
      </c>
      <c r="BC80" s="4">
        <f t="shared" si="52"/>
        <v>281.94727419080743</v>
      </c>
      <c r="BE80" s="36">
        <f t="shared" si="53"/>
        <v>1.1000000000000001</v>
      </c>
      <c r="BF80" s="36">
        <f t="shared" si="54"/>
        <v>193.24567576015772</v>
      </c>
      <c r="BK80" s="4">
        <f t="shared" si="156"/>
        <v>89.949999999999989</v>
      </c>
      <c r="BL80" s="4">
        <f t="shared" si="157"/>
        <v>83.6</v>
      </c>
      <c r="BM80" s="4">
        <f t="shared" si="158"/>
        <v>89.949999999999989</v>
      </c>
      <c r="BN80" s="4">
        <f t="shared" si="159"/>
        <v>101.6</v>
      </c>
      <c r="BO80" s="4">
        <f t="shared" si="160"/>
        <v>1.0075956937799044</v>
      </c>
      <c r="BP80" s="25">
        <f t="shared" si="118"/>
        <v>2.8436589580010634</v>
      </c>
      <c r="BR80" s="4">
        <f t="shared" si="161"/>
        <v>89.949999999999989</v>
      </c>
      <c r="BV80" s="9"/>
      <c r="BX80" s="9"/>
      <c r="BY80" s="9"/>
      <c r="BZ80" s="9">
        <f t="shared" si="231"/>
        <v>50.8</v>
      </c>
      <c r="CA80" s="9">
        <f t="shared" si="232"/>
        <v>89.949999999999989</v>
      </c>
      <c r="CB80" s="9">
        <f t="shared" si="63"/>
        <v>1.2941994891728255</v>
      </c>
      <c r="CC80" s="9">
        <v>0</v>
      </c>
      <c r="CD80" s="9">
        <f t="shared" si="129"/>
        <v>0</v>
      </c>
      <c r="CE80" s="9">
        <f t="shared" si="65"/>
        <v>0</v>
      </c>
      <c r="CF80" s="9">
        <f t="shared" si="233"/>
        <v>0.89637813077714179</v>
      </c>
      <c r="CG80" s="9">
        <f t="shared" si="234"/>
        <v>1.1339999999999999</v>
      </c>
      <c r="CH80" s="9">
        <f t="shared" si="68"/>
        <v>1.8825710113593779</v>
      </c>
      <c r="CI80" s="9">
        <f t="shared" si="69"/>
        <v>2.4364224412328763</v>
      </c>
      <c r="CJ80" s="9">
        <v>1</v>
      </c>
      <c r="CK80" s="9">
        <f t="shared" si="70"/>
        <v>214.4051748284931</v>
      </c>
      <c r="CM80" s="4">
        <f t="shared" si="206"/>
        <v>1.8979216037534765</v>
      </c>
      <c r="CN80" s="4">
        <f t="shared" si="207"/>
        <v>1.312302099964985</v>
      </c>
      <c r="CO80" s="4">
        <f t="shared" si="208"/>
        <v>1.9146612132176075</v>
      </c>
      <c r="CP80" s="4">
        <f t="shared" si="209"/>
        <v>1.7257046164859138</v>
      </c>
      <c r="CQ80" s="4">
        <f t="shared" si="210"/>
        <v>1.1865605272060056</v>
      </c>
      <c r="CR80" s="4">
        <f t="shared" si="211"/>
        <v>1.4204803422427006</v>
      </c>
      <c r="CS80" s="4">
        <f t="shared" si="143"/>
        <v>1.9657282679890631</v>
      </c>
      <c r="CU80" s="4">
        <f t="shared" si="212"/>
        <v>1.8979216037534765</v>
      </c>
      <c r="CV80" s="4">
        <f t="shared" si="212"/>
        <v>1.312302099964985</v>
      </c>
      <c r="CW80" s="4">
        <f t="shared" si="213"/>
        <v>1.7257046164859138</v>
      </c>
      <c r="CX80" s="4">
        <f t="shared" si="214"/>
        <v>1.9657282679890631</v>
      </c>
      <c r="CY80" s="4">
        <f t="shared" si="215"/>
        <v>1.1865605272060056</v>
      </c>
      <c r="CZ80" s="4">
        <f t="shared" si="215"/>
        <v>1.4204803422427006</v>
      </c>
      <c r="DH80" s="4">
        <f t="shared" si="167"/>
        <v>0</v>
      </c>
      <c r="DI80" s="4">
        <f t="shared" si="168"/>
        <v>381</v>
      </c>
      <c r="DJ80" s="4">
        <f t="shared" si="169"/>
        <v>0.66141732283464572</v>
      </c>
      <c r="DL80" s="4">
        <f t="shared" si="170"/>
        <v>1.8628104182055264E-5</v>
      </c>
      <c r="DM80" s="4">
        <f t="shared" si="171"/>
        <v>6.0161976170308948</v>
      </c>
      <c r="DN80" s="4">
        <f t="shared" si="172"/>
        <v>0.78409633208226204</v>
      </c>
      <c r="DO80" s="4">
        <f t="shared" si="76"/>
        <v>5.4584566077996932</v>
      </c>
      <c r="DP80" s="4">
        <f t="shared" si="77"/>
        <v>5.7441021490542692</v>
      </c>
      <c r="DQ80" s="4">
        <f t="shared" si="78"/>
        <v>5.5922899678380382</v>
      </c>
      <c r="DR80" s="38">
        <f t="shared" si="119"/>
        <v>311.82564354406691</v>
      </c>
      <c r="DS80" s="4">
        <f t="shared" si="79"/>
        <v>1.0002110936527455</v>
      </c>
      <c r="DT80" s="4">
        <f t="shared" si="147"/>
        <v>1.6</v>
      </c>
      <c r="DU80" s="4">
        <f t="shared" si="120"/>
        <v>152.8138409867322</v>
      </c>
      <c r="DY80" s="4">
        <f t="shared" si="235"/>
        <v>0.85</v>
      </c>
      <c r="DZ80" s="4">
        <f t="shared" si="81"/>
        <v>0.85013888888888889</v>
      </c>
      <c r="EA80" s="4">
        <f t="shared" si="82"/>
        <v>1</v>
      </c>
      <c r="EB80" s="4">
        <f t="shared" si="83"/>
        <v>0.85013888888888889</v>
      </c>
      <c r="ED80" s="4">
        <f t="shared" si="121"/>
        <v>260.4752695245553</v>
      </c>
      <c r="EE80" s="25">
        <f t="shared" si="122"/>
        <v>150.18137322121927</v>
      </c>
      <c r="EG80" s="4">
        <f t="shared" si="148"/>
        <v>0.72261805555555558</v>
      </c>
      <c r="EH80" s="4">
        <f t="shared" si="84"/>
        <v>6.0161976170308948</v>
      </c>
      <c r="EI80" s="4">
        <f t="shared" si="174"/>
        <v>4.9450239957683877</v>
      </c>
      <c r="EK80" s="4">
        <f t="shared" si="175"/>
        <v>57.6</v>
      </c>
      <c r="EL80" s="4">
        <f t="shared" si="176"/>
        <v>1.6</v>
      </c>
      <c r="EM80" s="4">
        <f t="shared" si="177"/>
        <v>0.22687346465623337</v>
      </c>
      <c r="EP80" s="4">
        <f t="shared" si="178"/>
        <v>0.22687346465623337</v>
      </c>
      <c r="EQ80" s="4">
        <f t="shared" si="179"/>
        <v>0.7827878214397076</v>
      </c>
      <c r="ER80" s="4">
        <f t="shared" si="180"/>
        <v>5.4548111232940046</v>
      </c>
      <c r="ES80" s="4">
        <f t="shared" si="236"/>
        <v>5.7423704095518984</v>
      </c>
      <c r="ET80" s="4">
        <f t="shared" si="182"/>
        <v>228.15</v>
      </c>
      <c r="EU80" s="4">
        <f t="shared" si="183"/>
        <v>95.249999999999972</v>
      </c>
      <c r="EV80" s="4">
        <f t="shared" si="95"/>
        <v>1.8628104182055258E-5</v>
      </c>
      <c r="EW80" s="4">
        <f t="shared" si="237"/>
        <v>5.5924241576291642</v>
      </c>
      <c r="EX80" s="4">
        <f t="shared" si="185"/>
        <v>311.7598330221349</v>
      </c>
      <c r="EY80" s="4">
        <f t="shared" si="186"/>
        <v>194.40000000000003</v>
      </c>
      <c r="EZ80" s="4">
        <f t="shared" si="187"/>
        <v>0</v>
      </c>
      <c r="FB80" s="4">
        <f t="shared" si="100"/>
        <v>80.72037803739488</v>
      </c>
      <c r="FG80" s="23">
        <f t="shared" si="216"/>
        <v>2</v>
      </c>
      <c r="FH80" s="23">
        <f t="shared" si="216"/>
        <v>1.4</v>
      </c>
      <c r="FI80" s="23">
        <f t="shared" si="230"/>
        <v>2</v>
      </c>
      <c r="FJ80" s="23">
        <f t="shared" si="217"/>
        <v>1.8</v>
      </c>
      <c r="FK80" s="23">
        <f t="shared" si="217"/>
        <v>1.2</v>
      </c>
      <c r="FL80" s="23">
        <f t="shared" si="217"/>
        <v>1.6</v>
      </c>
      <c r="FM80" s="23">
        <f t="shared" si="218"/>
        <v>0</v>
      </c>
      <c r="FN80" s="23"/>
      <c r="FX80" s="4">
        <f t="shared" si="101"/>
        <v>1</v>
      </c>
      <c r="FY80" s="4">
        <f t="shared" si="102"/>
        <v>1.0833333333333333</v>
      </c>
      <c r="FZ80" s="4">
        <f t="shared" si="103"/>
        <v>0</v>
      </c>
      <c r="GA80" s="4">
        <f t="shared" si="104"/>
        <v>188.22540532446502</v>
      </c>
    </row>
    <row r="81" spans="1:184" ht="12" hidden="1" customHeight="1" x14ac:dyDescent="0.3">
      <c r="A81" s="25">
        <v>63</v>
      </c>
      <c r="B81" s="20" t="s">
        <v>54</v>
      </c>
      <c r="C81" s="20">
        <v>2006</v>
      </c>
      <c r="D81" s="24" t="s">
        <v>55</v>
      </c>
      <c r="E81" s="24"/>
      <c r="F81" s="7" t="s">
        <v>284</v>
      </c>
      <c r="G81" s="7">
        <v>433</v>
      </c>
      <c r="H81" s="7">
        <f t="shared" si="240"/>
        <v>381</v>
      </c>
      <c r="I81" s="7">
        <f t="shared" si="131"/>
        <v>252</v>
      </c>
      <c r="J81" s="7">
        <v>28</v>
      </c>
      <c r="K81" s="7">
        <v>36</v>
      </c>
      <c r="L81" s="7">
        <f t="shared" si="151"/>
        <v>10.583333333333334</v>
      </c>
      <c r="M81" s="7">
        <v>7</v>
      </c>
      <c r="N81" s="7">
        <f t="shared" si="239"/>
        <v>215.89999999999998</v>
      </c>
      <c r="O81" s="7">
        <f t="shared" si="108"/>
        <v>89.949999999999989</v>
      </c>
      <c r="P81" s="7">
        <f t="shared" si="133"/>
        <v>50.8</v>
      </c>
      <c r="Q81" s="7">
        <v>0</v>
      </c>
      <c r="R81" s="7">
        <v>1</v>
      </c>
      <c r="S81" s="7">
        <f t="shared" si="134"/>
        <v>83.6</v>
      </c>
      <c r="T81" s="7">
        <f t="shared" si="42"/>
        <v>2.822222222222222</v>
      </c>
      <c r="U81" s="7">
        <f t="shared" si="135"/>
        <v>2.9986111111111109</v>
      </c>
      <c r="V81" s="7">
        <v>2.85</v>
      </c>
      <c r="W81" s="7">
        <f t="shared" si="152"/>
        <v>2.85</v>
      </c>
      <c r="X81" s="7">
        <f t="shared" si="44"/>
        <v>3.85</v>
      </c>
      <c r="Y81" s="7">
        <f t="shared" si="200"/>
        <v>70.637100733254911</v>
      </c>
      <c r="Z81" s="7"/>
      <c r="AA81" s="7"/>
      <c r="AB81" s="7">
        <v>345</v>
      </c>
      <c r="AC81" s="7"/>
      <c r="AD81" s="7"/>
      <c r="AE81" s="7"/>
      <c r="AF81" s="7"/>
      <c r="AG81" s="7">
        <v>1</v>
      </c>
      <c r="AH81" s="7"/>
      <c r="AI81" s="7"/>
      <c r="AJ81" s="7"/>
      <c r="AK81" s="4">
        <f t="shared" si="125"/>
        <v>381</v>
      </c>
      <c r="AL81" s="44">
        <f t="shared" si="153"/>
        <v>8.3950617283950604E-2</v>
      </c>
      <c r="AM81" s="25">
        <f t="shared" si="112"/>
        <v>386.60867631208708</v>
      </c>
      <c r="AN81" s="4">
        <f t="shared" si="113"/>
        <v>0.7533333333333333</v>
      </c>
      <c r="AO81" s="4">
        <v>1.25</v>
      </c>
      <c r="AP81" s="25">
        <f t="shared" si="114"/>
        <v>5</v>
      </c>
      <c r="AQ81" s="38">
        <f t="shared" si="115"/>
        <v>152.81384098673232</v>
      </c>
      <c r="AR81" s="38">
        <f t="shared" si="116"/>
        <v>152.81384098673232</v>
      </c>
      <c r="AT81" s="38">
        <f t="shared" si="130"/>
        <v>152.8138409867322</v>
      </c>
      <c r="AU81" s="38">
        <f t="shared" si="47"/>
        <v>1.0000000000000007</v>
      </c>
      <c r="AV81" s="38">
        <f t="shared" si="136"/>
        <v>1.7896282955110878</v>
      </c>
      <c r="AW81" s="4">
        <f t="shared" si="154"/>
        <v>0</v>
      </c>
      <c r="AX81" s="4">
        <f t="shared" si="220"/>
        <v>194.95009660475932</v>
      </c>
      <c r="AY81" s="4">
        <f t="shared" si="221"/>
        <v>1.0249999999999999</v>
      </c>
      <c r="AZ81" s="38">
        <f t="shared" si="117"/>
        <v>273.47997377558795</v>
      </c>
      <c r="BA81" s="4">
        <f t="shared" si="222"/>
        <v>0.60099999999999998</v>
      </c>
      <c r="BB81" s="4">
        <f t="shared" si="51"/>
        <v>61.218716711068033</v>
      </c>
      <c r="BC81" s="4">
        <f t="shared" si="52"/>
        <v>334.69869048665601</v>
      </c>
      <c r="BE81" s="36">
        <f t="shared" si="53"/>
        <v>1.1000000000000001</v>
      </c>
      <c r="BF81" s="36">
        <f t="shared" si="54"/>
        <v>193.24567576015772</v>
      </c>
      <c r="BK81" s="4">
        <f t="shared" si="156"/>
        <v>89.949999999999989</v>
      </c>
      <c r="BL81" s="4">
        <f t="shared" si="157"/>
        <v>83.6</v>
      </c>
      <c r="BM81" s="4">
        <f t="shared" si="158"/>
        <v>89.949999999999989</v>
      </c>
      <c r="BN81" s="4">
        <f t="shared" si="159"/>
        <v>101.6</v>
      </c>
      <c r="BO81" s="4">
        <f t="shared" si="160"/>
        <v>1.0075956937799044</v>
      </c>
      <c r="BP81" s="25">
        <f t="shared" si="118"/>
        <v>2.8436589580010634</v>
      </c>
      <c r="BR81" s="4">
        <f t="shared" si="161"/>
        <v>89.949999999999989</v>
      </c>
      <c r="BV81" s="9"/>
      <c r="BX81" s="9"/>
      <c r="BY81" s="9"/>
      <c r="BZ81" s="9">
        <f t="shared" si="231"/>
        <v>50.8</v>
      </c>
      <c r="CA81" s="9">
        <f t="shared" si="232"/>
        <v>89.949999999999989</v>
      </c>
      <c r="CB81" s="9">
        <f t="shared" si="63"/>
        <v>1.2941994891728255</v>
      </c>
      <c r="CC81" s="9">
        <v>0</v>
      </c>
      <c r="CD81" s="9">
        <f t="shared" si="129"/>
        <v>0</v>
      </c>
      <c r="CE81" s="9">
        <f t="shared" si="65"/>
        <v>0</v>
      </c>
      <c r="CF81" s="9">
        <f t="shared" si="233"/>
        <v>0.89637813077714179</v>
      </c>
      <c r="CG81" s="9">
        <f t="shared" si="234"/>
        <v>1.1339999999999999</v>
      </c>
      <c r="CH81" s="9">
        <f t="shared" si="68"/>
        <v>1.8825710113593779</v>
      </c>
      <c r="CI81" s="9">
        <f t="shared" si="69"/>
        <v>2.4364224412328763</v>
      </c>
      <c r="CJ81" s="9">
        <v>1</v>
      </c>
      <c r="CK81" s="9">
        <f t="shared" si="70"/>
        <v>214.4051748284931</v>
      </c>
      <c r="CM81" s="4">
        <f t="shared" si="206"/>
        <v>1.7696836575539174</v>
      </c>
      <c r="CN81" s="4">
        <f t="shared" si="207"/>
        <v>1.0307778602251647</v>
      </c>
      <c r="CO81" s="4">
        <f t="shared" si="208"/>
        <v>1.7852922123245258</v>
      </c>
      <c r="CP81" s="4">
        <f t="shared" si="209"/>
        <v>1.6091029532098386</v>
      </c>
      <c r="CQ81" s="4">
        <f t="shared" si="210"/>
        <v>1.1587731438285154</v>
      </c>
      <c r="CR81" s="4">
        <f t="shared" si="211"/>
        <v>1.3192185620272767</v>
      </c>
      <c r="CS81" s="4">
        <f t="shared" si="143"/>
        <v>1.8329087904222345</v>
      </c>
      <c r="CU81" s="4">
        <f t="shared" si="212"/>
        <v>1.7696836575539174</v>
      </c>
      <c r="CV81" s="4">
        <f t="shared" si="212"/>
        <v>1.0307778602251647</v>
      </c>
      <c r="CW81" s="4">
        <f t="shared" si="213"/>
        <v>1.6091029532098386</v>
      </c>
      <c r="CX81" s="4">
        <f t="shared" si="214"/>
        <v>1.8329087904222345</v>
      </c>
      <c r="CY81" s="4">
        <f t="shared" si="215"/>
        <v>1.1587731438285154</v>
      </c>
      <c r="CZ81" s="4">
        <f t="shared" si="215"/>
        <v>1.3192185620272767</v>
      </c>
      <c r="DH81" s="4">
        <f t="shared" si="167"/>
        <v>0</v>
      </c>
      <c r="DI81" s="4">
        <f t="shared" si="168"/>
        <v>381</v>
      </c>
      <c r="DJ81" s="4">
        <f t="shared" si="169"/>
        <v>0.66141732283464572</v>
      </c>
      <c r="DL81" s="4">
        <f t="shared" si="170"/>
        <v>1.8628104182055264E-5</v>
      </c>
      <c r="DM81" s="4">
        <f t="shared" si="171"/>
        <v>6.0161976170308948</v>
      </c>
      <c r="DN81" s="4">
        <f t="shared" si="172"/>
        <v>0.52633171836280401</v>
      </c>
      <c r="DO81" s="4">
        <f t="shared" si="76"/>
        <v>4.6539949788353114</v>
      </c>
      <c r="DP81" s="4">
        <f t="shared" si="77"/>
        <v>5.3784662944781267</v>
      </c>
      <c r="DQ81" s="4">
        <f t="shared" si="78"/>
        <v>5.623161220484743</v>
      </c>
      <c r="DR81" s="38">
        <f t="shared" si="119"/>
        <v>297.7286812672765</v>
      </c>
      <c r="DS81" s="4">
        <f t="shared" si="79"/>
        <v>1.0001858426308585</v>
      </c>
      <c r="DT81" s="4">
        <f t="shared" si="147"/>
        <v>1.9621416870348587</v>
      </c>
      <c r="DU81" s="4">
        <f t="shared" si="120"/>
        <v>152.8138409867322</v>
      </c>
      <c r="DY81" s="4">
        <f t="shared" si="235"/>
        <v>0.85</v>
      </c>
      <c r="DZ81" s="4">
        <f t="shared" si="81"/>
        <v>0.85013888888888889</v>
      </c>
      <c r="EA81" s="4">
        <f t="shared" si="82"/>
        <v>1</v>
      </c>
      <c r="EB81" s="4">
        <f t="shared" si="83"/>
        <v>0.85013888888888889</v>
      </c>
      <c r="ED81" s="4">
        <f t="shared" si="121"/>
        <v>261.51845488728549</v>
      </c>
      <c r="EE81" s="25">
        <f t="shared" si="122"/>
        <v>150.18137322121927</v>
      </c>
      <c r="EG81" s="4">
        <f t="shared" si="148"/>
        <v>0.72261805555555558</v>
      </c>
      <c r="EH81" s="4">
        <f t="shared" si="84"/>
        <v>6.0161976170308948</v>
      </c>
      <c r="EI81" s="4">
        <f t="shared" si="174"/>
        <v>4.9450239957683877</v>
      </c>
      <c r="EK81" s="4">
        <f t="shared" si="175"/>
        <v>70.637100733254911</v>
      </c>
      <c r="EL81" s="4">
        <f t="shared" si="176"/>
        <v>1.9621416870348585</v>
      </c>
      <c r="EM81" s="4">
        <f t="shared" si="177"/>
        <v>0.15229085460242964</v>
      </c>
      <c r="EP81" s="4">
        <f t="shared" si="178"/>
        <v>0.15229085460242964</v>
      </c>
      <c r="EQ81" s="4">
        <f t="shared" si="179"/>
        <v>0.5254533688197538</v>
      </c>
      <c r="ER81" s="4">
        <f t="shared" si="180"/>
        <v>4.6508867620253334</v>
      </c>
      <c r="ES81" s="4">
        <f t="shared" si="236"/>
        <v>5.3771224773913264</v>
      </c>
      <c r="ET81" s="4">
        <f t="shared" si="182"/>
        <v>215.1128992667451</v>
      </c>
      <c r="EU81" s="4">
        <f t="shared" si="183"/>
        <v>95.25</v>
      </c>
      <c r="EV81" s="4">
        <f t="shared" si="95"/>
        <v>1.8628104182055264E-5</v>
      </c>
      <c r="EW81" s="4">
        <f t="shared" si="237"/>
        <v>5.6232740205776892</v>
      </c>
      <c r="EX81" s="4">
        <f t="shared" si="185"/>
        <v>297.67336086675652</v>
      </c>
      <c r="EY81" s="4">
        <f t="shared" si="186"/>
        <v>181.3628992667451</v>
      </c>
      <c r="EZ81" s="4">
        <f t="shared" si="187"/>
        <v>1.4210854715202004E-14</v>
      </c>
      <c r="FB81" s="4">
        <f t="shared" si="100"/>
        <v>79.677192674664695</v>
      </c>
      <c r="FG81" s="23">
        <f t="shared" si="216"/>
        <v>1.8</v>
      </c>
      <c r="FH81" s="23">
        <f t="shared" si="216"/>
        <v>1.2</v>
      </c>
      <c r="FI81" s="23">
        <f t="shared" si="230"/>
        <v>2</v>
      </c>
      <c r="FJ81" s="23">
        <f t="shared" si="217"/>
        <v>1.8</v>
      </c>
      <c r="FK81" s="23">
        <f t="shared" si="217"/>
        <v>1.2</v>
      </c>
      <c r="FL81" s="23">
        <f t="shared" si="217"/>
        <v>1.4</v>
      </c>
      <c r="FM81" s="23">
        <f t="shared" si="218"/>
        <v>0</v>
      </c>
      <c r="FN81" s="23"/>
      <c r="FX81" s="4">
        <f t="shared" si="101"/>
        <v>1</v>
      </c>
      <c r="FY81" s="4">
        <f t="shared" si="102"/>
        <v>1.0833333333333333</v>
      </c>
      <c r="FZ81" s="4">
        <f t="shared" si="103"/>
        <v>0</v>
      </c>
      <c r="GA81" s="4">
        <f t="shared" si="104"/>
        <v>188.22540532446502</v>
      </c>
    </row>
    <row r="82" spans="1:184" ht="12" hidden="1" customHeight="1" x14ac:dyDescent="0.3">
      <c r="A82" s="25">
        <v>64</v>
      </c>
      <c r="B82" s="20" t="s">
        <v>54</v>
      </c>
      <c r="C82" s="20">
        <v>2006</v>
      </c>
      <c r="D82" s="24" t="s">
        <v>55</v>
      </c>
      <c r="E82" s="24"/>
      <c r="F82" s="7" t="s">
        <v>285</v>
      </c>
      <c r="G82" s="7">
        <v>433</v>
      </c>
      <c r="H82" s="7">
        <f t="shared" si="240"/>
        <v>381</v>
      </c>
      <c r="I82" s="7">
        <f t="shared" si="131"/>
        <v>252</v>
      </c>
      <c r="J82" s="7">
        <v>28</v>
      </c>
      <c r="K82" s="7">
        <v>36</v>
      </c>
      <c r="L82" s="7">
        <f t="shared" si="151"/>
        <v>10.583333333333334</v>
      </c>
      <c r="M82" s="7">
        <v>7</v>
      </c>
      <c r="N82" s="7">
        <f t="shared" si="239"/>
        <v>215.89999999999998</v>
      </c>
      <c r="O82" s="7">
        <f t="shared" si="108"/>
        <v>89.949999999999989</v>
      </c>
      <c r="P82" s="7">
        <f t="shared" si="133"/>
        <v>50.8</v>
      </c>
      <c r="Q82" s="7">
        <v>0</v>
      </c>
      <c r="R82" s="7">
        <v>1</v>
      </c>
      <c r="S82" s="7">
        <f t="shared" si="134"/>
        <v>83.6</v>
      </c>
      <c r="T82" s="7">
        <f t="shared" si="42"/>
        <v>2.822222222222222</v>
      </c>
      <c r="U82" s="7">
        <f t="shared" si="135"/>
        <v>2.9986111111111109</v>
      </c>
      <c r="V82" s="7">
        <v>2.85</v>
      </c>
      <c r="W82" s="7">
        <f t="shared" si="152"/>
        <v>2.85</v>
      </c>
      <c r="X82" s="7">
        <f t="shared" si="44"/>
        <v>3.85</v>
      </c>
      <c r="Y82" s="7">
        <f t="shared" si="200"/>
        <v>70.637100733254911</v>
      </c>
      <c r="Z82" s="7"/>
      <c r="AA82" s="7"/>
      <c r="AB82" s="7">
        <v>375</v>
      </c>
      <c r="AC82" s="7"/>
      <c r="AD82" s="7"/>
      <c r="AE82" s="7"/>
      <c r="AF82" s="7"/>
      <c r="AG82" s="7">
        <v>1</v>
      </c>
      <c r="AH82" s="7"/>
      <c r="AI82" s="7"/>
      <c r="AJ82" s="7"/>
      <c r="AK82" s="4">
        <f t="shared" si="125"/>
        <v>381</v>
      </c>
      <c r="AL82" s="44">
        <f t="shared" si="153"/>
        <v>8.3950617283950604E-2</v>
      </c>
      <c r="AM82" s="25">
        <f t="shared" si="112"/>
        <v>386.60867631208708</v>
      </c>
      <c r="AN82" s="4">
        <f t="shared" si="113"/>
        <v>0.7533333333333333</v>
      </c>
      <c r="AO82" s="4">
        <v>1.25</v>
      </c>
      <c r="AP82" s="25">
        <f t="shared" si="114"/>
        <v>5</v>
      </c>
      <c r="AQ82" s="38">
        <f t="shared" si="115"/>
        <v>152.81384098673232</v>
      </c>
      <c r="AR82" s="38">
        <f t="shared" si="116"/>
        <v>152.81384098673232</v>
      </c>
      <c r="AT82" s="38">
        <f t="shared" si="130"/>
        <v>152.8138409867322</v>
      </c>
      <c r="AU82" s="38">
        <f t="shared" si="47"/>
        <v>1.0000000000000007</v>
      </c>
      <c r="AV82" s="38">
        <f t="shared" si="136"/>
        <v>1.7896282955110878</v>
      </c>
      <c r="AW82" s="4">
        <f t="shared" si="154"/>
        <v>0</v>
      </c>
      <c r="AX82" s="4">
        <f t="shared" si="220"/>
        <v>194.95009660475932</v>
      </c>
      <c r="AY82" s="4">
        <f t="shared" si="221"/>
        <v>1.0249999999999999</v>
      </c>
      <c r="AZ82" s="38">
        <f t="shared" si="117"/>
        <v>273.47997377558795</v>
      </c>
      <c r="BA82" s="4">
        <f t="shared" si="222"/>
        <v>0.60099999999999998</v>
      </c>
      <c r="BB82" s="4">
        <f t="shared" si="51"/>
        <v>61.218716711068033</v>
      </c>
      <c r="BC82" s="4">
        <f t="shared" si="52"/>
        <v>334.69869048665601</v>
      </c>
      <c r="BE82" s="36">
        <f t="shared" si="53"/>
        <v>1.1000000000000001</v>
      </c>
      <c r="BF82" s="36">
        <f t="shared" si="54"/>
        <v>193.24567576015772</v>
      </c>
      <c r="BK82" s="4">
        <f t="shared" si="156"/>
        <v>89.949999999999989</v>
      </c>
      <c r="BL82" s="4">
        <f t="shared" si="157"/>
        <v>83.6</v>
      </c>
      <c r="BM82" s="4">
        <f t="shared" si="158"/>
        <v>89.949999999999989</v>
      </c>
      <c r="BN82" s="4">
        <f t="shared" si="159"/>
        <v>101.6</v>
      </c>
      <c r="BO82" s="4">
        <f t="shared" si="160"/>
        <v>1.0075956937799044</v>
      </c>
      <c r="BP82" s="25">
        <f t="shared" si="118"/>
        <v>2.8436589580010634</v>
      </c>
      <c r="BR82" s="4">
        <f t="shared" si="161"/>
        <v>89.949999999999989</v>
      </c>
      <c r="BV82" s="9"/>
      <c r="BX82" s="9"/>
      <c r="BY82" s="9"/>
      <c r="BZ82" s="9">
        <f t="shared" si="231"/>
        <v>50.8</v>
      </c>
      <c r="CA82" s="9">
        <f t="shared" si="232"/>
        <v>89.949999999999989</v>
      </c>
      <c r="CB82" s="9">
        <f t="shared" si="63"/>
        <v>1.2941994891728255</v>
      </c>
      <c r="CC82" s="9">
        <v>0</v>
      </c>
      <c r="CD82" s="9">
        <f t="shared" si="129"/>
        <v>0</v>
      </c>
      <c r="CE82" s="9">
        <f t="shared" si="65"/>
        <v>0</v>
      </c>
      <c r="CF82" s="9">
        <f t="shared" si="233"/>
        <v>0.89637813077714179</v>
      </c>
      <c r="CG82" s="9">
        <f t="shared" si="234"/>
        <v>1.1339999999999999</v>
      </c>
      <c r="CH82" s="9">
        <f t="shared" si="68"/>
        <v>1.8825710113593779</v>
      </c>
      <c r="CI82" s="9">
        <f t="shared" si="69"/>
        <v>2.4364224412328763</v>
      </c>
      <c r="CJ82" s="9">
        <v>1</v>
      </c>
      <c r="CK82" s="9">
        <f t="shared" si="70"/>
        <v>214.4051748284931</v>
      </c>
      <c r="CM82" s="4">
        <f t="shared" si="206"/>
        <v>1.9235691929933885</v>
      </c>
      <c r="CN82" s="4">
        <f t="shared" si="207"/>
        <v>1.1204107176360487</v>
      </c>
      <c r="CO82" s="4">
        <f t="shared" si="208"/>
        <v>1.9405350133962238</v>
      </c>
      <c r="CP82" s="4">
        <f t="shared" si="209"/>
        <v>1.7490249491411289</v>
      </c>
      <c r="CQ82" s="4">
        <f t="shared" si="210"/>
        <v>1.2595360259005601</v>
      </c>
      <c r="CR82" s="4">
        <f t="shared" si="211"/>
        <v>1.433933219594866</v>
      </c>
      <c r="CS82" s="4">
        <f t="shared" si="143"/>
        <v>1.9922921635024289</v>
      </c>
      <c r="CU82" s="4">
        <f t="shared" si="212"/>
        <v>1.9235691929933885</v>
      </c>
      <c r="CV82" s="4">
        <f t="shared" si="212"/>
        <v>1.1204107176360487</v>
      </c>
      <c r="CW82" s="4">
        <f t="shared" si="213"/>
        <v>1.7490249491411289</v>
      </c>
      <c r="CX82" s="4">
        <f t="shared" si="214"/>
        <v>1.9922921635024289</v>
      </c>
      <c r="CY82" s="4">
        <f t="shared" si="215"/>
        <v>1.2595360259005601</v>
      </c>
      <c r="CZ82" s="4">
        <f t="shared" si="215"/>
        <v>1.433933219594866</v>
      </c>
      <c r="DH82" s="4">
        <f t="shared" si="167"/>
        <v>0</v>
      </c>
      <c r="DI82" s="4">
        <f t="shared" si="168"/>
        <v>381</v>
      </c>
      <c r="DJ82" s="4">
        <f t="shared" si="169"/>
        <v>0.66141732283464572</v>
      </c>
      <c r="DL82" s="4">
        <f t="shared" si="170"/>
        <v>1.8628104182055264E-5</v>
      </c>
      <c r="DM82" s="4">
        <f t="shared" si="171"/>
        <v>6.0161976170308948</v>
      </c>
      <c r="DN82" s="4">
        <f t="shared" si="172"/>
        <v>0.52633171836280401</v>
      </c>
      <c r="DO82" s="4">
        <f t="shared" si="76"/>
        <v>4.6539949788353114</v>
      </c>
      <c r="DP82" s="4">
        <f t="shared" si="77"/>
        <v>5.3784662944781267</v>
      </c>
      <c r="DQ82" s="4">
        <f t="shared" si="78"/>
        <v>5.623161220484743</v>
      </c>
      <c r="DR82" s="38">
        <f t="shared" si="119"/>
        <v>297.7286812672765</v>
      </c>
      <c r="DS82" s="4">
        <f t="shared" si="79"/>
        <v>1.0001858426308585</v>
      </c>
      <c r="DT82" s="4">
        <f t="shared" si="147"/>
        <v>1.9621416870348587</v>
      </c>
      <c r="DU82" s="4">
        <f t="shared" si="120"/>
        <v>152.8138409867322</v>
      </c>
      <c r="DY82" s="4">
        <f t="shared" si="235"/>
        <v>0.85</v>
      </c>
      <c r="DZ82" s="4">
        <f t="shared" si="81"/>
        <v>0.85013888888888889</v>
      </c>
      <c r="EA82" s="4">
        <f t="shared" si="82"/>
        <v>1</v>
      </c>
      <c r="EB82" s="4">
        <f t="shared" si="83"/>
        <v>0.85013888888888889</v>
      </c>
      <c r="ED82" s="4">
        <f t="shared" si="121"/>
        <v>261.51845488728549</v>
      </c>
      <c r="EE82" s="25">
        <f t="shared" si="122"/>
        <v>150.18137322121927</v>
      </c>
      <c r="EG82" s="4">
        <f t="shared" si="148"/>
        <v>0.72261805555555558</v>
      </c>
      <c r="EH82" s="4">
        <f t="shared" si="84"/>
        <v>6.0161976170308948</v>
      </c>
      <c r="EI82" s="4">
        <f t="shared" si="174"/>
        <v>4.9450239957683877</v>
      </c>
      <c r="EK82" s="4">
        <f t="shared" si="175"/>
        <v>70.637100733254911</v>
      </c>
      <c r="EL82" s="4">
        <f t="shared" si="176"/>
        <v>1.9621416870348585</v>
      </c>
      <c r="EM82" s="4">
        <f t="shared" si="177"/>
        <v>0.15229085460242964</v>
      </c>
      <c r="EP82" s="4">
        <f t="shared" si="178"/>
        <v>0.15229085460242964</v>
      </c>
      <c r="EQ82" s="4">
        <f t="shared" si="179"/>
        <v>0.5254533688197538</v>
      </c>
      <c r="ER82" s="4">
        <f t="shared" si="180"/>
        <v>4.6508867620253334</v>
      </c>
      <c r="ES82" s="4">
        <f t="shared" si="236"/>
        <v>5.3771224773913264</v>
      </c>
      <c r="ET82" s="4">
        <f t="shared" si="182"/>
        <v>215.1128992667451</v>
      </c>
      <c r="EU82" s="4">
        <f t="shared" si="183"/>
        <v>95.25</v>
      </c>
      <c r="EV82" s="4">
        <f t="shared" si="95"/>
        <v>1.8628104182055264E-5</v>
      </c>
      <c r="EW82" s="4">
        <f t="shared" si="237"/>
        <v>5.6232740205776892</v>
      </c>
      <c r="EX82" s="4">
        <f t="shared" si="185"/>
        <v>297.67336086675652</v>
      </c>
      <c r="EY82" s="4">
        <f t="shared" si="186"/>
        <v>181.3628992667451</v>
      </c>
      <c r="EZ82" s="4">
        <f t="shared" si="187"/>
        <v>1.4210854715202004E-14</v>
      </c>
      <c r="FB82" s="4">
        <f t="shared" si="100"/>
        <v>79.677192674664695</v>
      </c>
      <c r="FG82" s="23">
        <f t="shared" si="216"/>
        <v>2</v>
      </c>
      <c r="FH82" s="23">
        <f t="shared" si="216"/>
        <v>1.2</v>
      </c>
      <c r="FI82" s="23">
        <f t="shared" si="230"/>
        <v>2</v>
      </c>
      <c r="FJ82" s="23">
        <f t="shared" si="217"/>
        <v>1.8</v>
      </c>
      <c r="FK82" s="23">
        <f t="shared" si="217"/>
        <v>1.4</v>
      </c>
      <c r="FL82" s="23">
        <f t="shared" si="217"/>
        <v>1.6</v>
      </c>
      <c r="FM82" s="23">
        <f t="shared" si="218"/>
        <v>0</v>
      </c>
      <c r="FN82" s="23"/>
      <c r="FX82" s="4">
        <f t="shared" si="101"/>
        <v>1</v>
      </c>
      <c r="FY82" s="4">
        <f t="shared" si="102"/>
        <v>1.0833333333333333</v>
      </c>
      <c r="FZ82" s="4">
        <f t="shared" si="103"/>
        <v>0</v>
      </c>
      <c r="GA82" s="4">
        <f t="shared" si="104"/>
        <v>188.22540532446502</v>
      </c>
    </row>
    <row r="83" spans="1:184" ht="12" hidden="1" customHeight="1" x14ac:dyDescent="0.3">
      <c r="A83" s="25">
        <v>65</v>
      </c>
      <c r="B83" s="20" t="s">
        <v>54</v>
      </c>
      <c r="C83" s="20">
        <v>2006</v>
      </c>
      <c r="D83" s="24" t="s">
        <v>55</v>
      </c>
      <c r="E83" s="24"/>
      <c r="F83" s="7" t="s">
        <v>286</v>
      </c>
      <c r="G83" s="7">
        <v>433</v>
      </c>
      <c r="H83" s="7">
        <f t="shared" si="240"/>
        <v>381</v>
      </c>
      <c r="I83" s="7">
        <f t="shared" si="131"/>
        <v>252</v>
      </c>
      <c r="J83" s="7">
        <v>28</v>
      </c>
      <c r="K83" s="7">
        <v>36</v>
      </c>
      <c r="L83" s="7">
        <f t="shared" si="151"/>
        <v>10.583333333333334</v>
      </c>
      <c r="M83" s="7">
        <v>7</v>
      </c>
      <c r="N83" s="7">
        <f t="shared" si="239"/>
        <v>215.89999999999998</v>
      </c>
      <c r="O83" s="7">
        <f t="shared" si="108"/>
        <v>89.949999999999989</v>
      </c>
      <c r="P83" s="7">
        <f t="shared" si="133"/>
        <v>50.8</v>
      </c>
      <c r="Q83" s="7">
        <v>0</v>
      </c>
      <c r="R83" s="7">
        <v>1</v>
      </c>
      <c r="S83" s="7">
        <f t="shared" si="134"/>
        <v>83.6</v>
      </c>
      <c r="T83" s="7">
        <f t="shared" ref="T83:T93" si="241">MIN(N83/2/K83, (S83+K83/2)/K83)</f>
        <v>2.822222222222222</v>
      </c>
      <c r="U83" s="7">
        <f t="shared" si="135"/>
        <v>2.9986111111111109</v>
      </c>
      <c r="V83" s="7">
        <v>3.53</v>
      </c>
      <c r="W83" s="7">
        <f t="shared" si="152"/>
        <v>3.53</v>
      </c>
      <c r="X83" s="7">
        <f t="shared" ref="X83:X122" si="242">W83+1</f>
        <v>4.5299999999999994</v>
      </c>
      <c r="Y83" s="7">
        <f t="shared" si="200"/>
        <v>76.62166795365394</v>
      </c>
      <c r="Z83" s="7"/>
      <c r="AA83" s="7"/>
      <c r="AB83" s="7">
        <v>387</v>
      </c>
      <c r="AC83" s="7"/>
      <c r="AD83" s="7"/>
      <c r="AE83" s="7"/>
      <c r="AF83" s="7"/>
      <c r="AG83" s="7">
        <v>1</v>
      </c>
      <c r="AH83" s="7"/>
      <c r="AI83" s="7"/>
      <c r="AJ83" s="7"/>
      <c r="AK83" s="4">
        <f t="shared" si="125"/>
        <v>381</v>
      </c>
      <c r="AL83" s="44">
        <f t="shared" si="153"/>
        <v>8.3950617283950604E-2</v>
      </c>
      <c r="AM83" s="25">
        <f t="shared" si="112"/>
        <v>386.60867631208708</v>
      </c>
      <c r="AN83" s="4">
        <f t="shared" si="113"/>
        <v>0.7533333333333333</v>
      </c>
      <c r="AO83" s="4">
        <v>1.25</v>
      </c>
      <c r="AP83" s="25">
        <f t="shared" si="114"/>
        <v>5</v>
      </c>
      <c r="AQ83" s="38">
        <f t="shared" si="115"/>
        <v>152.81384098673232</v>
      </c>
      <c r="AR83" s="38">
        <f t="shared" si="116"/>
        <v>152.81384098673232</v>
      </c>
      <c r="AT83" s="38">
        <f t="shared" si="130"/>
        <v>152.8138409867322</v>
      </c>
      <c r="AU83" s="38">
        <f t="shared" ref="AU83:AU146" si="243">AQ83/AT83</f>
        <v>1.0000000000000007</v>
      </c>
      <c r="AV83" s="38">
        <f t="shared" si="136"/>
        <v>1.9917175968892866</v>
      </c>
      <c r="AW83" s="4">
        <f t="shared" si="154"/>
        <v>0</v>
      </c>
      <c r="AX83" s="4">
        <f t="shared" si="220"/>
        <v>194.95009660475932</v>
      </c>
      <c r="AY83" s="4">
        <f t="shared" si="221"/>
        <v>1.0249999999999999</v>
      </c>
      <c r="AZ83" s="38">
        <f t="shared" si="117"/>
        <v>304.36201614151582</v>
      </c>
      <c r="BA83" s="4">
        <f t="shared" si="222"/>
        <v>0.50580000000000003</v>
      </c>
      <c r="BB83" s="4">
        <f t="shared" ref="BB83:BB146" si="244">BA83*G83*I83/(G83*K83/2.75/J83^0.5)</f>
        <v>51.521509005754098</v>
      </c>
      <c r="BC83" s="4">
        <f t="shared" ref="BC83:BC146" si="245">AZ83+BB83</f>
        <v>355.88352514726989</v>
      </c>
      <c r="BE83" s="36">
        <f t="shared" ref="BE83:BE92" si="246">MAX(1, (0.9+0.1*MIN(2,T83-0.5))*(0.9+0.1*MIN(3.5,O83/O83))+0.45*MIN(2.5,(40*2*PI()*AE83^2/4/AG83/R83)/K83))</f>
        <v>1.1000000000000001</v>
      </c>
      <c r="BF83" s="36">
        <f t="shared" ref="BF83:BF92" si="247">(1.6*M83+22)*BE83*J83^0.5</f>
        <v>193.24567576015772</v>
      </c>
      <c r="BK83" s="4">
        <f t="shared" si="156"/>
        <v>89.949999999999989</v>
      </c>
      <c r="BL83" s="4">
        <f t="shared" si="157"/>
        <v>83.6</v>
      </c>
      <c r="BM83" s="4">
        <f t="shared" si="158"/>
        <v>89.949999999999989</v>
      </c>
      <c r="BN83" s="4">
        <f t="shared" si="159"/>
        <v>101.6</v>
      </c>
      <c r="BO83" s="4">
        <f t="shared" si="160"/>
        <v>1.0075956937799044</v>
      </c>
      <c r="BP83" s="25">
        <f t="shared" si="118"/>
        <v>2.8436589580010634</v>
      </c>
      <c r="BR83" s="4">
        <f t="shared" si="161"/>
        <v>89.949999999999989</v>
      </c>
      <c r="BV83" s="9"/>
      <c r="BX83" s="9"/>
      <c r="BY83" s="9"/>
      <c r="BZ83" s="9">
        <f t="shared" si="231"/>
        <v>50.8</v>
      </c>
      <c r="CA83" s="9">
        <f t="shared" si="232"/>
        <v>89.949999999999989</v>
      </c>
      <c r="CB83" s="9">
        <f t="shared" ref="CB83:CB146" si="248">(BZ83/K83)^0.5*(CA83/BZ83)^0.15</f>
        <v>1.2941994891728255</v>
      </c>
      <c r="CC83" s="9">
        <v>0</v>
      </c>
      <c r="CD83" s="9">
        <f t="shared" si="129"/>
        <v>0</v>
      </c>
      <c r="CE83" s="9">
        <f t="shared" ref="CE83:CE146" si="249">MAX(0,CC83*(CD83-0.5/50))</f>
        <v>0</v>
      </c>
      <c r="CF83" s="9">
        <f t="shared" si="233"/>
        <v>0.89637813077714179</v>
      </c>
      <c r="CG83" s="9">
        <f t="shared" si="234"/>
        <v>1.1339999999999999</v>
      </c>
      <c r="CH83" s="9">
        <f t="shared" ref="CH83:CH146" si="250">1.75*CF83*CG83*(J83/25)^0.5</f>
        <v>1.8825710113593779</v>
      </c>
      <c r="CI83" s="9">
        <f t="shared" ref="CI83:CI146" si="251">MIN((CB83+CE83)*CH83,2.5*CH83,J83^0.5)</f>
        <v>2.4364224412328763</v>
      </c>
      <c r="CJ83" s="9">
        <v>1</v>
      </c>
      <c r="CK83" s="9">
        <f t="shared" ref="CK83:CK146" si="252">4*CI83*M83+60*CI83</f>
        <v>214.4051748284931</v>
      </c>
      <c r="CM83" s="4">
        <f t="shared" si="206"/>
        <v>1.9851234071691768</v>
      </c>
      <c r="CN83" s="4">
        <f t="shared" si="207"/>
        <v>1.0874344347349421</v>
      </c>
      <c r="CO83" s="4">
        <f t="shared" si="208"/>
        <v>2.0026321338249029</v>
      </c>
      <c r="CP83" s="4">
        <f t="shared" si="209"/>
        <v>1.8049937475136451</v>
      </c>
      <c r="CQ83" s="4">
        <f t="shared" si="210"/>
        <v>1.3198908746235813</v>
      </c>
      <c r="CR83" s="4">
        <f t="shared" si="211"/>
        <v>1.4782390424361687</v>
      </c>
      <c r="CS83" s="4">
        <f t="shared" si="143"/>
        <v>2.0560455127345065</v>
      </c>
      <c r="CU83" s="4">
        <f t="shared" si="212"/>
        <v>1.9851234071691768</v>
      </c>
      <c r="CV83" s="4">
        <f t="shared" si="212"/>
        <v>1.0874344347349421</v>
      </c>
      <c r="CW83" s="4">
        <f t="shared" si="213"/>
        <v>1.8049937475136451</v>
      </c>
      <c r="CX83" s="4">
        <f t="shared" si="214"/>
        <v>2.0560455127345065</v>
      </c>
      <c r="CY83" s="4">
        <f t="shared" si="215"/>
        <v>1.3198908746235813</v>
      </c>
      <c r="CZ83" s="4">
        <f t="shared" si="215"/>
        <v>1.4782390424361687</v>
      </c>
      <c r="DH83" s="4">
        <f t="shared" si="167"/>
        <v>0</v>
      </c>
      <c r="DI83" s="4">
        <f t="shared" si="168"/>
        <v>381</v>
      </c>
      <c r="DJ83" s="4">
        <f t="shared" si="169"/>
        <v>0.66141732283464572</v>
      </c>
      <c r="DL83" s="4">
        <f t="shared" si="170"/>
        <v>1.8628104182055264E-5</v>
      </c>
      <c r="DM83" s="4">
        <f t="shared" si="171"/>
        <v>6.0161976170308948</v>
      </c>
      <c r="DN83" s="4">
        <f t="shared" si="172"/>
        <v>0.4609442837619841</v>
      </c>
      <c r="DO83" s="4">
        <f t="shared" ref="DO83:DO146" si="253">DM83*DN83^0.4</f>
        <v>4.4134830878635238</v>
      </c>
      <c r="DP83" s="4">
        <f t="shared" ref="DP83:DP146" si="254">MIN(DM83, DM83/1.4*(1-DN83^1.4)/(1-DN83))</f>
        <v>5.2761943527954989</v>
      </c>
      <c r="DQ83" s="4">
        <f t="shared" ref="DQ83:DQ146" si="255">MAX(DM83/2, (4-DL83*(8*Y83*(DO83-DP83)+6*H83*DP83))/(4+DL83*H83*DM83)*DM83)</f>
        <v>5.6329529640118547</v>
      </c>
      <c r="DR83" s="38">
        <f t="shared" si="119"/>
        <v>293.20605774349963</v>
      </c>
      <c r="DS83" s="4">
        <f t="shared" ref="DS83:DS146" si="256">DR83/EX83</f>
        <v>1.0001793392708846</v>
      </c>
      <c r="DT83" s="4">
        <f t="shared" si="147"/>
        <v>2.1283796653792759</v>
      </c>
      <c r="DU83" s="4">
        <f t="shared" si="120"/>
        <v>152.8138409867322</v>
      </c>
      <c r="DY83" s="4">
        <f t="shared" si="235"/>
        <v>0.85</v>
      </c>
      <c r="DZ83" s="4">
        <f t="shared" ref="DZ83:DZ146" si="257">MIN(1,MAX(0.7,(1-0.1*(BR83-1*K83)/K83)))</f>
        <v>0.85013888888888889</v>
      </c>
      <c r="EA83" s="4">
        <f t="shared" ref="EA83:EA146" si="258">MIN(1,MAX(0.7,1-0.3*(PI()*AE83^2/4*AF83*2-0.25*PI()/4*K83^2)/(PI()/4*K83^2)))</f>
        <v>1</v>
      </c>
      <c r="EB83" s="4">
        <f t="shared" ref="EB83:EB146" si="259">IF(DZ83*EA83&lt;0.7,0.7,DZ83*EA83)</f>
        <v>0.85013888888888889</v>
      </c>
      <c r="ED83" s="4">
        <f t="shared" si="121"/>
        <v>261.79798320183448</v>
      </c>
      <c r="EE83" s="25">
        <f t="shared" si="122"/>
        <v>150.18137322121927</v>
      </c>
      <c r="EG83" s="4">
        <f t="shared" si="148"/>
        <v>0.72261805555555558</v>
      </c>
      <c r="EH83" s="4">
        <f t="shared" ref="EH83:EH103" si="260">IF(K83&lt;22.2,1.1*5*(J83/30)^0.5,IF(K83&gt;=31.8,0.9*5*(J83/30)^0.5,1*5*(J83/30)^0.5))/DY83/EB83</f>
        <v>6.0161976170308948</v>
      </c>
      <c r="EI83" s="4">
        <f t="shared" si="174"/>
        <v>4.9450239957683877</v>
      </c>
      <c r="EK83" s="4">
        <f t="shared" si="175"/>
        <v>76.62166795365394</v>
      </c>
      <c r="EL83" s="4">
        <f t="shared" si="176"/>
        <v>2.1283796653792759</v>
      </c>
      <c r="EM83" s="4">
        <f t="shared" si="177"/>
        <v>0.13337140143590914</v>
      </c>
      <c r="EP83" s="4">
        <f t="shared" si="178"/>
        <v>0.13337140143590914</v>
      </c>
      <c r="EQ83" s="4">
        <f t="shared" si="179"/>
        <v>0.46017505366072153</v>
      </c>
      <c r="ER83" s="4">
        <f t="shared" si="180"/>
        <v>4.4105354993107566</v>
      </c>
      <c r="ES83" s="4">
        <f t="shared" si="236"/>
        <v>5.2749629221701388</v>
      </c>
      <c r="ET83" s="4">
        <f t="shared" si="182"/>
        <v>209.12833204634606</v>
      </c>
      <c r="EU83" s="4">
        <f t="shared" si="183"/>
        <v>95.249999999999972</v>
      </c>
      <c r="EV83" s="4">
        <f t="shared" ref="EV83:EV146" si="261">EU83/(1-0.3*(J83/30)^0.5)/200000/K83</f>
        <v>1.8628104182055258E-5</v>
      </c>
      <c r="EW83" s="4">
        <f t="shared" si="237"/>
        <v>5.6330601639663991</v>
      </c>
      <c r="EX83" s="4">
        <f t="shared" si="185"/>
        <v>293.1534838114556</v>
      </c>
      <c r="EY83" s="4">
        <f t="shared" si="186"/>
        <v>175.37833204634609</v>
      </c>
      <c r="EZ83" s="4">
        <f t="shared" si="187"/>
        <v>0</v>
      </c>
      <c r="FB83" s="4">
        <f t="shared" ref="FB83:FB116" si="262">4/K83*(1*ER83*EK83+ES83*ET83+EU83*EW83)+DU83 - (4/K83*(1*ER83*EK83+ES83*EY83+EZ83*EW83)+DU83)</f>
        <v>79.397664360115698</v>
      </c>
      <c r="FG83" s="23">
        <f t="shared" si="216"/>
        <v>2</v>
      </c>
      <c r="FH83" s="23">
        <f t="shared" si="216"/>
        <v>1.2</v>
      </c>
      <c r="FI83" s="23">
        <f t="shared" si="230"/>
        <v>2.2000000000000002</v>
      </c>
      <c r="FJ83" s="23">
        <f t="shared" si="217"/>
        <v>2</v>
      </c>
      <c r="FK83" s="23">
        <f t="shared" si="217"/>
        <v>1.4</v>
      </c>
      <c r="FL83" s="23">
        <f t="shared" si="217"/>
        <v>1.6</v>
      </c>
      <c r="FM83" s="23">
        <f t="shared" si="218"/>
        <v>0</v>
      </c>
      <c r="FN83" s="23"/>
      <c r="FX83" s="4">
        <f t="shared" ref="FX83:FX146" si="263">IF(O83&gt;=2.5*25.4,1,1.25)</f>
        <v>1</v>
      </c>
      <c r="FY83" s="4">
        <f t="shared" ref="FY83:FY93" si="264">IF(AG83&gt;1, 0.05*(18-MIN(8,(Q83+K83)/K83))*(1-48000/MAX(60000,(G83*145))*(K83/25.4)^0.75*FZ83), 1/12*(14-MIN(8,(Q83+K83)/K83)))</f>
        <v>1.0833333333333333</v>
      </c>
      <c r="FZ83" s="4">
        <f t="shared" ref="FZ83:FZ146" si="265">MIN(0.3, AE83^2*PI()/4*2*AH83/(K83^2*PI()/4*R83))</f>
        <v>0</v>
      </c>
      <c r="GA83" s="4">
        <f t="shared" ref="GA83:GA146" si="266">(H83/25.4)/(K83/25.4)^1.5/0.0024*(J83*145)^0.25/FX83/FY83/145</f>
        <v>188.22540532446502</v>
      </c>
    </row>
    <row r="84" spans="1:184" ht="12" hidden="1" customHeight="1" x14ac:dyDescent="0.3">
      <c r="A84" s="25">
        <v>66</v>
      </c>
      <c r="B84" s="20" t="s">
        <v>54</v>
      </c>
      <c r="C84" s="20">
        <v>2006</v>
      </c>
      <c r="D84" s="24" t="s">
        <v>55</v>
      </c>
      <c r="E84" s="24"/>
      <c r="F84" s="7" t="s">
        <v>287</v>
      </c>
      <c r="G84" s="7">
        <v>433</v>
      </c>
      <c r="H84" s="7">
        <f t="shared" si="240"/>
        <v>381</v>
      </c>
      <c r="I84" s="7">
        <f t="shared" si="131"/>
        <v>252</v>
      </c>
      <c r="J84" s="7">
        <v>28</v>
      </c>
      <c r="K84" s="7">
        <v>36</v>
      </c>
      <c r="L84" s="7">
        <f t="shared" si="151"/>
        <v>10.583333333333334</v>
      </c>
      <c r="M84" s="7">
        <v>7</v>
      </c>
      <c r="N84" s="7">
        <f t="shared" si="239"/>
        <v>215.89999999999998</v>
      </c>
      <c r="O84" s="7">
        <f t="shared" ref="O84:O93" si="267">(N84-K84)/2</f>
        <v>89.949999999999989</v>
      </c>
      <c r="P84" s="7">
        <f t="shared" si="133"/>
        <v>50.8</v>
      </c>
      <c r="Q84" s="7">
        <v>0</v>
      </c>
      <c r="R84" s="7">
        <v>1</v>
      </c>
      <c r="S84" s="7">
        <f t="shared" si="134"/>
        <v>83.6</v>
      </c>
      <c r="T84" s="7">
        <f t="shared" si="241"/>
        <v>2.822222222222222</v>
      </c>
      <c r="U84" s="7">
        <f t="shared" si="135"/>
        <v>2.9986111111111109</v>
      </c>
      <c r="V84" s="7">
        <v>4.13</v>
      </c>
      <c r="W84" s="7">
        <f t="shared" si="152"/>
        <v>4.13</v>
      </c>
      <c r="X84" s="7">
        <f t="shared" si="242"/>
        <v>5.13</v>
      </c>
      <c r="Y84" s="7">
        <f t="shared" si="200"/>
        <v>81.538211900924097</v>
      </c>
      <c r="Z84" s="7"/>
      <c r="AA84" s="7"/>
      <c r="AB84" s="7">
        <v>427</v>
      </c>
      <c r="AC84" s="7"/>
      <c r="AD84" s="7"/>
      <c r="AE84" s="7"/>
      <c r="AF84" s="7"/>
      <c r="AG84" s="7">
        <v>1</v>
      </c>
      <c r="AH84" s="7"/>
      <c r="AI84" s="7"/>
      <c r="AJ84" s="7"/>
      <c r="AK84" s="4">
        <f t="shared" si="125"/>
        <v>381</v>
      </c>
      <c r="AL84" s="44">
        <f t="shared" si="153"/>
        <v>8.3950617283950604E-2</v>
      </c>
      <c r="AM84" s="25">
        <f t="shared" ref="AM84:AM147" si="268">MIN(10*J84^0.5*AK84^1.5,100*3.9*J84^0.5*AK84^(5/3))/(PI()/4*K84^2)/R84</f>
        <v>386.60867631208708</v>
      </c>
      <c r="AN84" s="4">
        <f t="shared" ref="AN84:AN147" si="269">MIN(0.7+0.3*(MIN(O84,S84)+0.5*K84)/1.5/H84,1)</f>
        <v>0.7533333333333333</v>
      </c>
      <c r="AO84" s="4">
        <v>1.25</v>
      </c>
      <c r="AP84" s="25">
        <f t="shared" ref="AP84:AP102" si="270">AP83</f>
        <v>5</v>
      </c>
      <c r="AQ84" s="38">
        <f t="shared" ref="AQ84:AQ145" si="271">AL84*AN84*AO84*AP84*AM84</f>
        <v>152.81384098673232</v>
      </c>
      <c r="AR84" s="38">
        <f t="shared" ref="AR84:AR147" si="272">AQ84</f>
        <v>152.81384098673232</v>
      </c>
      <c r="AT84" s="38">
        <f t="shared" si="130"/>
        <v>152.8138409867322</v>
      </c>
      <c r="AU84" s="38">
        <f t="shared" si="243"/>
        <v>1.0000000000000007</v>
      </c>
      <c r="AV84" s="38">
        <f t="shared" si="136"/>
        <v>2.1543458950369176</v>
      </c>
      <c r="AW84" s="4">
        <f t="shared" si="154"/>
        <v>0</v>
      </c>
      <c r="AX84" s="4">
        <f t="shared" si="220"/>
        <v>194.95009660475932</v>
      </c>
      <c r="AY84" s="4">
        <f t="shared" si="221"/>
        <v>1.0249999999999999</v>
      </c>
      <c r="AZ84" s="38">
        <f t="shared" ref="AZ84:AZ147" si="273">2*J84*T84*V84^0.5*AY84*0.7/0.7</f>
        <v>329.2138710345908</v>
      </c>
      <c r="BA84" s="4">
        <f t="shared" si="222"/>
        <v>0.42180000000000006</v>
      </c>
      <c r="BB84" s="4">
        <f t="shared" si="244"/>
        <v>42.96514926577121</v>
      </c>
      <c r="BC84" s="4">
        <f t="shared" si="245"/>
        <v>372.17902030036203</v>
      </c>
      <c r="BE84" s="36">
        <f t="shared" si="246"/>
        <v>1.1000000000000001</v>
      </c>
      <c r="BF84" s="36">
        <f t="shared" si="247"/>
        <v>193.24567576015772</v>
      </c>
      <c r="BK84" s="4">
        <f t="shared" si="156"/>
        <v>89.949999999999989</v>
      </c>
      <c r="BL84" s="4">
        <f t="shared" si="157"/>
        <v>83.6</v>
      </c>
      <c r="BM84" s="4">
        <f t="shared" si="158"/>
        <v>89.949999999999989</v>
      </c>
      <c r="BN84" s="4">
        <f t="shared" si="159"/>
        <v>101.6</v>
      </c>
      <c r="BO84" s="4">
        <f t="shared" si="160"/>
        <v>1.0075956937799044</v>
      </c>
      <c r="BP84" s="25">
        <f t="shared" ref="BP84:BP147" si="274">MIN(4, (BN84*BO84+(6*J84^0.5*(0.03*K84+0.22)*(AE84^2/4*PI())*2/AG84/R84))/K84)</f>
        <v>2.8436589580010634</v>
      </c>
      <c r="BR84" s="4">
        <f t="shared" si="161"/>
        <v>89.949999999999989</v>
      </c>
      <c r="BV84" s="9"/>
      <c r="BX84" s="9"/>
      <c r="BY84" s="9"/>
      <c r="BZ84" s="9">
        <f t="shared" si="231"/>
        <v>50.8</v>
      </c>
      <c r="CA84" s="9">
        <f t="shared" si="232"/>
        <v>89.949999999999989</v>
      </c>
      <c r="CB84" s="9">
        <f t="shared" si="248"/>
        <v>1.2941994891728255</v>
      </c>
      <c r="CC84" s="9">
        <v>0</v>
      </c>
      <c r="CD84" s="9">
        <f t="shared" si="129"/>
        <v>0</v>
      </c>
      <c r="CE84" s="9">
        <f t="shared" si="249"/>
        <v>0</v>
      </c>
      <c r="CF84" s="9">
        <f t="shared" si="233"/>
        <v>0.89637813077714179</v>
      </c>
      <c r="CG84" s="9">
        <f t="shared" si="234"/>
        <v>1.1339999999999999</v>
      </c>
      <c r="CH84" s="9">
        <f t="shared" si="250"/>
        <v>1.8825710113593779</v>
      </c>
      <c r="CI84" s="9">
        <f t="shared" si="251"/>
        <v>2.4364224412328763</v>
      </c>
      <c r="CJ84" s="9">
        <v>1</v>
      </c>
      <c r="CK84" s="9">
        <f t="shared" si="252"/>
        <v>214.4051748284931</v>
      </c>
      <c r="CM84" s="4">
        <f t="shared" si="206"/>
        <v>2.1903041210884715</v>
      </c>
      <c r="CN84" s="4">
        <f t="shared" si="207"/>
        <v>1.1472973400150159</v>
      </c>
      <c r="CO84" s="4">
        <f t="shared" si="208"/>
        <v>2.2096225352538337</v>
      </c>
      <c r="CP84" s="4">
        <f t="shared" si="209"/>
        <v>1.9915564087553654</v>
      </c>
      <c r="CQ84" s="4">
        <f t="shared" si="210"/>
        <v>1.4725994513297929</v>
      </c>
      <c r="CR84" s="4">
        <f t="shared" si="211"/>
        <v>1.6299079458025423</v>
      </c>
      <c r="CS84" s="4">
        <f t="shared" si="143"/>
        <v>2.2685566768414325</v>
      </c>
      <c r="CU84" s="4">
        <f t="shared" si="212"/>
        <v>2.1903041210884715</v>
      </c>
      <c r="CV84" s="4">
        <f t="shared" si="212"/>
        <v>1.1472973400150159</v>
      </c>
      <c r="CW84" s="4">
        <f t="shared" si="213"/>
        <v>1.9915564087553654</v>
      </c>
      <c r="CX84" s="4">
        <f t="shared" si="214"/>
        <v>2.2685566768414325</v>
      </c>
      <c r="CY84" s="4">
        <f t="shared" si="215"/>
        <v>1.4725994513297929</v>
      </c>
      <c r="CZ84" s="4">
        <f t="shared" si="215"/>
        <v>1.6299079458025423</v>
      </c>
      <c r="DH84" s="4">
        <f t="shared" si="167"/>
        <v>0</v>
      </c>
      <c r="DI84" s="4">
        <f t="shared" si="168"/>
        <v>381</v>
      </c>
      <c r="DJ84" s="4">
        <f t="shared" si="169"/>
        <v>0.66141732283464572</v>
      </c>
      <c r="DL84" s="4">
        <f t="shared" si="170"/>
        <v>1.8628104182055264E-5</v>
      </c>
      <c r="DM84" s="4">
        <f t="shared" si="171"/>
        <v>6.0161976170308948</v>
      </c>
      <c r="DN84" s="4">
        <f t="shared" si="172"/>
        <v>0.4192592652284054</v>
      </c>
      <c r="DO84" s="4">
        <f t="shared" si="253"/>
        <v>4.2492781569476614</v>
      </c>
      <c r="DP84" s="4">
        <f t="shared" si="254"/>
        <v>5.2084323712436884</v>
      </c>
      <c r="DQ84" s="4">
        <f t="shared" si="255"/>
        <v>5.6399318008403121</v>
      </c>
      <c r="DR84" s="38">
        <f t="shared" ref="DR84:DR147" si="275">MIN(1/K84*(4*Y84*(DO84-DP84)+(3*DP84+DQ84)*H84)+DU84 -FB84,MAX(G84,AB84))</f>
        <v>289.96343820066528</v>
      </c>
      <c r="DS84" s="4">
        <f t="shared" si="256"/>
        <v>1.0001753673247638</v>
      </c>
      <c r="DT84" s="4">
        <f t="shared" si="147"/>
        <v>2.2649503305812249</v>
      </c>
      <c r="DU84" s="4">
        <f t="shared" ref="DU84:DU147" si="276">MIN(DT$10*AT84)</f>
        <v>152.8138409867322</v>
      </c>
      <c r="DY84" s="4">
        <f t="shared" si="235"/>
        <v>0.85</v>
      </c>
      <c r="DZ84" s="4">
        <f t="shared" si="257"/>
        <v>0.85013888888888889</v>
      </c>
      <c r="EA84" s="4">
        <f t="shared" si="258"/>
        <v>1</v>
      </c>
      <c r="EB84" s="4">
        <f t="shared" si="259"/>
        <v>0.85013888888888889</v>
      </c>
      <c r="ED84" s="4">
        <f t="shared" ref="ED84:ED147" si="277">MIN(DM84/K84*3*H84+EE84-FB84,MAX(G84,AB84))</f>
        <v>261.97798538232882</v>
      </c>
      <c r="EE84" s="25">
        <f t="shared" ref="EE84:EE92" si="278">8.8*N84*508*J84^0.5/R84/K84^2/H84^0.5*(0.7+MIN(S84,O84)/5/H84)</f>
        <v>150.18137322121927</v>
      </c>
      <c r="EG84" s="4">
        <f t="shared" si="148"/>
        <v>0.72261805555555558</v>
      </c>
      <c r="EH84" s="4">
        <f t="shared" si="260"/>
        <v>6.0161976170308948</v>
      </c>
      <c r="EI84" s="4">
        <f t="shared" si="174"/>
        <v>4.9450239957683877</v>
      </c>
      <c r="EK84" s="4">
        <f t="shared" si="175"/>
        <v>81.538211900924097</v>
      </c>
      <c r="EL84" s="4">
        <f t="shared" si="176"/>
        <v>2.2649503305812249</v>
      </c>
      <c r="EM84" s="4">
        <f t="shared" si="177"/>
        <v>0.12131009698641951</v>
      </c>
      <c r="EP84" s="4">
        <f t="shared" si="178"/>
        <v>0.12131009698641951</v>
      </c>
      <c r="EQ84" s="4">
        <f t="shared" si="179"/>
        <v>0.4185595996540441</v>
      </c>
      <c r="ER84" s="4">
        <f t="shared" si="180"/>
        <v>4.2464402342902972</v>
      </c>
      <c r="ES84" s="4">
        <f t="shared" si="236"/>
        <v>5.2072764835268703</v>
      </c>
      <c r="ET84" s="4">
        <f t="shared" si="182"/>
        <v>204.2117880990759</v>
      </c>
      <c r="EU84" s="4">
        <f t="shared" si="183"/>
        <v>95.249999999999972</v>
      </c>
      <c r="EV84" s="4">
        <f t="shared" si="261"/>
        <v>1.8628104182055258E-5</v>
      </c>
      <c r="EW84" s="4">
        <f t="shared" si="237"/>
        <v>5.6400354676909252</v>
      </c>
      <c r="EX84" s="4">
        <f t="shared" si="185"/>
        <v>289.91259700411337</v>
      </c>
      <c r="EY84" s="4">
        <f t="shared" si="186"/>
        <v>170.46178809907593</v>
      </c>
      <c r="EZ84" s="4">
        <f t="shared" si="187"/>
        <v>0</v>
      </c>
      <c r="FB84" s="4">
        <f t="shared" si="262"/>
        <v>79.217662179621357</v>
      </c>
      <c r="FG84" s="23">
        <f t="shared" si="216"/>
        <v>2.2000000000000002</v>
      </c>
      <c r="FH84" s="23">
        <f t="shared" si="216"/>
        <v>1.2</v>
      </c>
      <c r="FI84" s="23">
        <f t="shared" si="230"/>
        <v>2.2000000000000002</v>
      </c>
      <c r="FJ84" s="23">
        <f t="shared" si="217"/>
        <v>2</v>
      </c>
      <c r="FK84" s="23">
        <f t="shared" si="217"/>
        <v>1.6</v>
      </c>
      <c r="FL84" s="23">
        <f t="shared" si="217"/>
        <v>1.8</v>
      </c>
      <c r="FM84" s="23">
        <f t="shared" si="218"/>
        <v>0</v>
      </c>
      <c r="FN84" s="23"/>
      <c r="FX84" s="4">
        <f t="shared" si="263"/>
        <v>1</v>
      </c>
      <c r="FY84" s="4">
        <f t="shared" si="264"/>
        <v>1.0833333333333333</v>
      </c>
      <c r="FZ84" s="4">
        <f t="shared" si="265"/>
        <v>0</v>
      </c>
      <c r="GA84" s="4">
        <f t="shared" si="266"/>
        <v>188.22540532446502</v>
      </c>
    </row>
    <row r="85" spans="1:184" ht="12" hidden="1" customHeight="1" x14ac:dyDescent="0.3">
      <c r="A85" s="25">
        <v>67</v>
      </c>
      <c r="B85" s="20" t="s">
        <v>54</v>
      </c>
      <c r="C85" s="20">
        <v>2006</v>
      </c>
      <c r="D85" s="24" t="s">
        <v>55</v>
      </c>
      <c r="E85" s="24"/>
      <c r="F85" s="7" t="s">
        <v>288</v>
      </c>
      <c r="G85" s="7">
        <v>433</v>
      </c>
      <c r="H85" s="7">
        <f t="shared" si="240"/>
        <v>381</v>
      </c>
      <c r="I85" s="7">
        <f t="shared" si="131"/>
        <v>252</v>
      </c>
      <c r="J85" s="7">
        <v>28</v>
      </c>
      <c r="K85" s="7">
        <v>36</v>
      </c>
      <c r="L85" s="7">
        <f t="shared" si="151"/>
        <v>10.583333333333334</v>
      </c>
      <c r="M85" s="7">
        <v>7</v>
      </c>
      <c r="N85" s="7">
        <f t="shared" si="239"/>
        <v>215.89999999999998</v>
      </c>
      <c r="O85" s="7">
        <f t="shared" si="267"/>
        <v>89.949999999999989</v>
      </c>
      <c r="P85" s="7">
        <f t="shared" si="133"/>
        <v>50.8</v>
      </c>
      <c r="Q85" s="7">
        <v>0</v>
      </c>
      <c r="R85" s="7">
        <v>1</v>
      </c>
      <c r="S85" s="7">
        <f t="shared" si="134"/>
        <v>83.6</v>
      </c>
      <c r="T85" s="7">
        <f t="shared" si="241"/>
        <v>2.822222222222222</v>
      </c>
      <c r="U85" s="7">
        <f t="shared" si="135"/>
        <v>2.9986111111111109</v>
      </c>
      <c r="V85" s="7">
        <v>4.13</v>
      </c>
      <c r="W85" s="7">
        <f t="shared" si="152"/>
        <v>4.13</v>
      </c>
      <c r="X85" s="7">
        <f t="shared" si="242"/>
        <v>5.13</v>
      </c>
      <c r="Y85" s="7">
        <f t="shared" si="200"/>
        <v>81.538211900924097</v>
      </c>
      <c r="Z85" s="7"/>
      <c r="AA85" s="7"/>
      <c r="AB85" s="7">
        <v>393</v>
      </c>
      <c r="AC85" s="7"/>
      <c r="AD85" s="7"/>
      <c r="AE85" s="7"/>
      <c r="AF85" s="7"/>
      <c r="AG85" s="7">
        <v>1</v>
      </c>
      <c r="AH85" s="7"/>
      <c r="AI85" s="7"/>
      <c r="AJ85" s="7"/>
      <c r="AK85" s="4">
        <f t="shared" si="125"/>
        <v>381</v>
      </c>
      <c r="AL85" s="44">
        <f t="shared" si="153"/>
        <v>8.3950617283950604E-2</v>
      </c>
      <c r="AM85" s="25">
        <f t="shared" si="268"/>
        <v>386.60867631208708</v>
      </c>
      <c r="AN85" s="4">
        <f t="shared" si="269"/>
        <v>0.7533333333333333</v>
      </c>
      <c r="AO85" s="4">
        <v>1.25</v>
      </c>
      <c r="AP85" s="25">
        <f t="shared" si="270"/>
        <v>5</v>
      </c>
      <c r="AQ85" s="38">
        <f t="shared" si="271"/>
        <v>152.81384098673232</v>
      </c>
      <c r="AR85" s="38">
        <f t="shared" si="272"/>
        <v>152.81384098673232</v>
      </c>
      <c r="AT85" s="38">
        <f t="shared" si="130"/>
        <v>152.8138409867322</v>
      </c>
      <c r="AU85" s="38">
        <f t="shared" si="243"/>
        <v>1.0000000000000007</v>
      </c>
      <c r="AV85" s="38">
        <f t="shared" si="136"/>
        <v>2.1543458950369176</v>
      </c>
      <c r="AW85" s="4">
        <f t="shared" si="154"/>
        <v>0</v>
      </c>
      <c r="AX85" s="4">
        <f t="shared" si="220"/>
        <v>194.95009660475932</v>
      </c>
      <c r="AY85" s="4">
        <f t="shared" si="221"/>
        <v>1.0249999999999999</v>
      </c>
      <c r="AZ85" s="38">
        <f t="shared" si="273"/>
        <v>329.2138710345908</v>
      </c>
      <c r="BA85" s="4">
        <f t="shared" si="222"/>
        <v>0.42180000000000006</v>
      </c>
      <c r="BB85" s="4">
        <f t="shared" si="244"/>
        <v>42.96514926577121</v>
      </c>
      <c r="BC85" s="4">
        <f t="shared" si="245"/>
        <v>372.17902030036203</v>
      </c>
      <c r="BE85" s="36">
        <f t="shared" si="246"/>
        <v>1.1000000000000001</v>
      </c>
      <c r="BF85" s="36">
        <f t="shared" si="247"/>
        <v>193.24567576015772</v>
      </c>
      <c r="BK85" s="4">
        <f t="shared" si="156"/>
        <v>89.949999999999989</v>
      </c>
      <c r="BL85" s="4">
        <f t="shared" si="157"/>
        <v>83.6</v>
      </c>
      <c r="BM85" s="4">
        <f t="shared" si="158"/>
        <v>89.949999999999989</v>
      </c>
      <c r="BN85" s="4">
        <f t="shared" si="159"/>
        <v>101.6</v>
      </c>
      <c r="BO85" s="4">
        <f t="shared" si="160"/>
        <v>1.0075956937799044</v>
      </c>
      <c r="BP85" s="25">
        <f t="shared" si="274"/>
        <v>2.8436589580010634</v>
      </c>
      <c r="BR85" s="4">
        <f t="shared" si="161"/>
        <v>89.949999999999989</v>
      </c>
      <c r="BV85" s="9"/>
      <c r="BX85" s="9"/>
      <c r="BY85" s="9"/>
      <c r="BZ85" s="9">
        <f t="shared" si="231"/>
        <v>50.8</v>
      </c>
      <c r="CA85" s="9">
        <f t="shared" si="232"/>
        <v>89.949999999999989</v>
      </c>
      <c r="CB85" s="9">
        <f t="shared" si="248"/>
        <v>1.2941994891728255</v>
      </c>
      <c r="CC85" s="9">
        <v>0</v>
      </c>
      <c r="CD85" s="9">
        <f t="shared" si="129"/>
        <v>0</v>
      </c>
      <c r="CE85" s="9">
        <f t="shared" si="249"/>
        <v>0</v>
      </c>
      <c r="CF85" s="9">
        <f t="shared" si="233"/>
        <v>0.89637813077714179</v>
      </c>
      <c r="CG85" s="9">
        <f t="shared" si="234"/>
        <v>1.1339999999999999</v>
      </c>
      <c r="CH85" s="9">
        <f t="shared" si="250"/>
        <v>1.8825710113593779</v>
      </c>
      <c r="CI85" s="9">
        <f t="shared" si="251"/>
        <v>2.4364224412328763</v>
      </c>
      <c r="CJ85" s="9">
        <v>1</v>
      </c>
      <c r="CK85" s="9">
        <f t="shared" si="252"/>
        <v>214.4051748284931</v>
      </c>
      <c r="CM85" s="4">
        <f t="shared" si="206"/>
        <v>2.015900514257071</v>
      </c>
      <c r="CN85" s="4">
        <f t="shared" si="207"/>
        <v>1.0559434534564434</v>
      </c>
      <c r="CO85" s="4">
        <f t="shared" si="208"/>
        <v>2.0336806940392425</v>
      </c>
      <c r="CP85" s="4">
        <f t="shared" si="209"/>
        <v>1.8329781466999031</v>
      </c>
      <c r="CQ85" s="4">
        <f t="shared" si="210"/>
        <v>1.3553432889288257</v>
      </c>
      <c r="CR85" s="4">
        <f t="shared" si="211"/>
        <v>1.5001260484786865</v>
      </c>
      <c r="CS85" s="4">
        <f t="shared" si="143"/>
        <v>2.0879221873505456</v>
      </c>
      <c r="CU85" s="4">
        <f t="shared" si="212"/>
        <v>2.015900514257071</v>
      </c>
      <c r="CV85" s="4">
        <f t="shared" si="212"/>
        <v>1.0559434534564434</v>
      </c>
      <c r="CW85" s="4">
        <f t="shared" si="213"/>
        <v>1.8329781466999031</v>
      </c>
      <c r="CX85" s="4">
        <f t="shared" si="214"/>
        <v>2.0879221873505456</v>
      </c>
      <c r="CY85" s="4">
        <f t="shared" si="215"/>
        <v>1.3553432889288257</v>
      </c>
      <c r="CZ85" s="4">
        <f t="shared" si="215"/>
        <v>1.5001260484786865</v>
      </c>
      <c r="DH85" s="4">
        <f t="shared" si="167"/>
        <v>0</v>
      </c>
      <c r="DI85" s="4">
        <f t="shared" si="168"/>
        <v>381</v>
      </c>
      <c r="DJ85" s="4">
        <f t="shared" si="169"/>
        <v>0.66141732283464572</v>
      </c>
      <c r="DL85" s="4">
        <f t="shared" si="170"/>
        <v>1.8628104182055264E-5</v>
      </c>
      <c r="DM85" s="4">
        <f t="shared" si="171"/>
        <v>6.0161976170308948</v>
      </c>
      <c r="DN85" s="4">
        <f t="shared" si="172"/>
        <v>0.4192592652284054</v>
      </c>
      <c r="DO85" s="4">
        <f t="shared" si="253"/>
        <v>4.2492781569476614</v>
      </c>
      <c r="DP85" s="4">
        <f t="shared" si="254"/>
        <v>5.2084323712436884</v>
      </c>
      <c r="DQ85" s="4">
        <f t="shared" si="255"/>
        <v>5.6399318008403121</v>
      </c>
      <c r="DR85" s="38">
        <f t="shared" si="275"/>
        <v>289.96343820066528</v>
      </c>
      <c r="DS85" s="4">
        <f t="shared" si="256"/>
        <v>1.0001753673247638</v>
      </c>
      <c r="DT85" s="4">
        <f t="shared" si="147"/>
        <v>2.2649503305812249</v>
      </c>
      <c r="DU85" s="4">
        <f t="shared" si="276"/>
        <v>152.8138409867322</v>
      </c>
      <c r="DY85" s="4">
        <f t="shared" si="235"/>
        <v>0.85</v>
      </c>
      <c r="DZ85" s="4">
        <f t="shared" si="257"/>
        <v>0.85013888888888889</v>
      </c>
      <c r="EA85" s="4">
        <f t="shared" si="258"/>
        <v>1</v>
      </c>
      <c r="EB85" s="4">
        <f t="shared" si="259"/>
        <v>0.85013888888888889</v>
      </c>
      <c r="ED85" s="4">
        <f t="shared" si="277"/>
        <v>261.97798538232882</v>
      </c>
      <c r="EE85" s="25">
        <f t="shared" si="278"/>
        <v>150.18137322121927</v>
      </c>
      <c r="EG85" s="4">
        <f t="shared" si="148"/>
        <v>0.72261805555555558</v>
      </c>
      <c r="EH85" s="4">
        <f t="shared" si="260"/>
        <v>6.0161976170308948</v>
      </c>
      <c r="EI85" s="4">
        <f t="shared" si="174"/>
        <v>4.9450239957683877</v>
      </c>
      <c r="EK85" s="4">
        <f t="shared" si="175"/>
        <v>81.538211900924097</v>
      </c>
      <c r="EL85" s="4">
        <f t="shared" si="176"/>
        <v>2.2649503305812249</v>
      </c>
      <c r="EM85" s="4">
        <f t="shared" si="177"/>
        <v>0.12131009698641951</v>
      </c>
      <c r="EP85" s="4">
        <f t="shared" si="178"/>
        <v>0.12131009698641951</v>
      </c>
      <c r="EQ85" s="4">
        <f t="shared" si="179"/>
        <v>0.4185595996540441</v>
      </c>
      <c r="ER85" s="4">
        <f t="shared" si="180"/>
        <v>4.2464402342902972</v>
      </c>
      <c r="ES85" s="4">
        <f t="shared" si="236"/>
        <v>5.2072764835268703</v>
      </c>
      <c r="ET85" s="4">
        <f t="shared" si="182"/>
        <v>204.2117880990759</v>
      </c>
      <c r="EU85" s="4">
        <f t="shared" si="183"/>
        <v>95.249999999999972</v>
      </c>
      <c r="EV85" s="4">
        <f t="shared" si="261"/>
        <v>1.8628104182055258E-5</v>
      </c>
      <c r="EW85" s="4">
        <f t="shared" si="237"/>
        <v>5.6400354676909252</v>
      </c>
      <c r="EX85" s="4">
        <f t="shared" si="185"/>
        <v>289.91259700411337</v>
      </c>
      <c r="EY85" s="4">
        <f t="shared" si="186"/>
        <v>170.46178809907593</v>
      </c>
      <c r="EZ85" s="4">
        <f t="shared" si="187"/>
        <v>0</v>
      </c>
      <c r="FB85" s="4">
        <f t="shared" si="262"/>
        <v>79.217662179621357</v>
      </c>
      <c r="FG85" s="23">
        <f t="shared" si="216"/>
        <v>2.2000000000000002</v>
      </c>
      <c r="FH85" s="23">
        <f t="shared" si="216"/>
        <v>1.2</v>
      </c>
      <c r="FI85" s="23">
        <f t="shared" si="230"/>
        <v>2.2000000000000002</v>
      </c>
      <c r="FJ85" s="23">
        <f t="shared" si="217"/>
        <v>2</v>
      </c>
      <c r="FK85" s="23">
        <f t="shared" si="217"/>
        <v>1.4</v>
      </c>
      <c r="FL85" s="23">
        <f t="shared" si="217"/>
        <v>1.6</v>
      </c>
      <c r="FM85" s="23">
        <f t="shared" si="218"/>
        <v>0</v>
      </c>
      <c r="FN85" s="23"/>
      <c r="FX85" s="4">
        <f t="shared" si="263"/>
        <v>1</v>
      </c>
      <c r="FY85" s="4">
        <f t="shared" si="264"/>
        <v>1.0833333333333333</v>
      </c>
      <c r="FZ85" s="4">
        <f t="shared" si="265"/>
        <v>0</v>
      </c>
      <c r="GA85" s="4">
        <f t="shared" si="266"/>
        <v>188.22540532446502</v>
      </c>
    </row>
    <row r="86" spans="1:184" ht="12" hidden="1" customHeight="1" x14ac:dyDescent="0.3">
      <c r="A86" s="25">
        <v>68</v>
      </c>
      <c r="B86" s="20" t="s">
        <v>54</v>
      </c>
      <c r="C86" s="20">
        <v>2006</v>
      </c>
      <c r="D86" s="24" t="s">
        <v>55</v>
      </c>
      <c r="E86" s="24"/>
      <c r="F86" s="7" t="s">
        <v>282</v>
      </c>
      <c r="G86" s="7">
        <v>433</v>
      </c>
      <c r="H86" s="7">
        <f t="shared" si="240"/>
        <v>381</v>
      </c>
      <c r="I86" s="7">
        <f t="shared" si="131"/>
        <v>252</v>
      </c>
      <c r="J86" s="7">
        <v>28</v>
      </c>
      <c r="K86" s="7">
        <v>36</v>
      </c>
      <c r="L86" s="7">
        <f t="shared" si="151"/>
        <v>10.583333333333334</v>
      </c>
      <c r="M86" s="7">
        <v>7</v>
      </c>
      <c r="N86" s="7">
        <f t="shared" si="239"/>
        <v>215.89999999999998</v>
      </c>
      <c r="O86" s="7">
        <f t="shared" si="267"/>
        <v>89.949999999999989</v>
      </c>
      <c r="P86" s="7">
        <f t="shared" si="133"/>
        <v>50.8</v>
      </c>
      <c r="Q86" s="7">
        <v>0</v>
      </c>
      <c r="R86" s="7">
        <v>1</v>
      </c>
      <c r="S86" s="7">
        <f t="shared" si="134"/>
        <v>83.6</v>
      </c>
      <c r="T86" s="7">
        <f t="shared" si="241"/>
        <v>2.822222222222222</v>
      </c>
      <c r="U86" s="7">
        <f t="shared" si="135"/>
        <v>2.9986111111111109</v>
      </c>
      <c r="V86" s="7">
        <v>4.7699999999999996</v>
      </c>
      <c r="W86" s="7">
        <f t="shared" si="152"/>
        <v>4.7699999999999996</v>
      </c>
      <c r="X86" s="7">
        <f t="shared" si="242"/>
        <v>5.77</v>
      </c>
      <c r="Y86" s="7">
        <f t="shared" si="200"/>
        <v>86.474967476143064</v>
      </c>
      <c r="Z86" s="7"/>
      <c r="AA86" s="7"/>
      <c r="AB86" s="7">
        <v>392</v>
      </c>
      <c r="AC86" s="7"/>
      <c r="AD86" s="7"/>
      <c r="AE86" s="7"/>
      <c r="AF86" s="7"/>
      <c r="AG86" s="7">
        <v>1</v>
      </c>
      <c r="AH86" s="7"/>
      <c r="AI86" s="7"/>
      <c r="AJ86" s="7"/>
      <c r="AK86" s="4">
        <f t="shared" ref="AK86:AK149" si="279">H86</f>
        <v>381</v>
      </c>
      <c r="AL86" s="44">
        <f t="shared" si="153"/>
        <v>8.3950617283950604E-2</v>
      </c>
      <c r="AM86" s="25">
        <f t="shared" si="268"/>
        <v>386.60867631208708</v>
      </c>
      <c r="AN86" s="4">
        <f t="shared" si="269"/>
        <v>0.7533333333333333</v>
      </c>
      <c r="AO86" s="4">
        <v>1.25</v>
      </c>
      <c r="AP86" s="25">
        <f t="shared" si="270"/>
        <v>5</v>
      </c>
      <c r="AQ86" s="38">
        <f t="shared" si="271"/>
        <v>152.81384098673232</v>
      </c>
      <c r="AR86" s="38">
        <f t="shared" si="272"/>
        <v>152.81384098673232</v>
      </c>
      <c r="AT86" s="38">
        <f t="shared" si="130"/>
        <v>152.8138409867322</v>
      </c>
      <c r="AU86" s="38">
        <f t="shared" si="243"/>
        <v>1.0000000000000007</v>
      </c>
      <c r="AV86" s="38">
        <f t="shared" si="136"/>
        <v>2.3152590859656867</v>
      </c>
      <c r="AW86" s="4">
        <f t="shared" si="154"/>
        <v>0</v>
      </c>
      <c r="AX86" s="4">
        <f t="shared" si="220"/>
        <v>194.95009660475932</v>
      </c>
      <c r="AY86" s="4">
        <f t="shared" si="221"/>
        <v>1.0249999999999999</v>
      </c>
      <c r="AZ86" s="38">
        <f t="shared" si="273"/>
        <v>353.80363380584743</v>
      </c>
      <c r="BA86" s="4">
        <f t="shared" si="222"/>
        <v>0.33220000000000005</v>
      </c>
      <c r="BB86" s="4">
        <f t="shared" si="244"/>
        <v>33.838365543122805</v>
      </c>
      <c r="BC86" s="4">
        <f t="shared" si="245"/>
        <v>387.64199934897022</v>
      </c>
      <c r="BE86" s="36">
        <f t="shared" si="246"/>
        <v>1.1000000000000001</v>
      </c>
      <c r="BF86" s="36">
        <f t="shared" si="247"/>
        <v>193.24567576015772</v>
      </c>
      <c r="BK86" s="4">
        <f t="shared" si="156"/>
        <v>89.949999999999989</v>
      </c>
      <c r="BL86" s="4">
        <f t="shared" si="157"/>
        <v>83.6</v>
      </c>
      <c r="BM86" s="4">
        <f t="shared" si="158"/>
        <v>89.949999999999989</v>
      </c>
      <c r="BN86" s="4">
        <f t="shared" si="159"/>
        <v>101.6</v>
      </c>
      <c r="BO86" s="4">
        <f t="shared" si="160"/>
        <v>1.0075956937799044</v>
      </c>
      <c r="BP86" s="25">
        <f t="shared" si="274"/>
        <v>2.8436589580010634</v>
      </c>
      <c r="BR86" s="4">
        <f t="shared" si="161"/>
        <v>89.949999999999989</v>
      </c>
      <c r="BV86" s="9"/>
      <c r="BX86" s="9"/>
      <c r="BY86" s="9"/>
      <c r="BZ86" s="9">
        <f t="shared" si="231"/>
        <v>50.8</v>
      </c>
      <c r="CA86" s="9">
        <f t="shared" si="232"/>
        <v>89.949999999999989</v>
      </c>
      <c r="CB86" s="9">
        <f t="shared" si="248"/>
        <v>1.2941994891728255</v>
      </c>
      <c r="CC86" s="9">
        <v>0</v>
      </c>
      <c r="CD86" s="9">
        <f t="shared" si="129"/>
        <v>0</v>
      </c>
      <c r="CE86" s="9">
        <f t="shared" si="249"/>
        <v>0</v>
      </c>
      <c r="CF86" s="9">
        <f t="shared" si="233"/>
        <v>0.89637813077714179</v>
      </c>
      <c r="CG86" s="9">
        <f t="shared" si="234"/>
        <v>1.1339999999999999</v>
      </c>
      <c r="CH86" s="9">
        <f t="shared" si="250"/>
        <v>1.8825710113593779</v>
      </c>
      <c r="CI86" s="9">
        <f t="shared" si="251"/>
        <v>2.4364224412328763</v>
      </c>
      <c r="CJ86" s="9">
        <v>1</v>
      </c>
      <c r="CK86" s="9">
        <f t="shared" si="252"/>
        <v>214.4051748284931</v>
      </c>
      <c r="CM86" s="4">
        <f t="shared" si="206"/>
        <v>2.0107709964090885</v>
      </c>
      <c r="CN86" s="4">
        <f t="shared" si="207"/>
        <v>1.0112423335406093</v>
      </c>
      <c r="CO86" s="4">
        <f t="shared" si="208"/>
        <v>2.0285059340035194</v>
      </c>
      <c r="CP86" s="4">
        <f t="shared" si="209"/>
        <v>1.82831408016886</v>
      </c>
      <c r="CQ86" s="4">
        <f t="shared" si="210"/>
        <v>1.3657953537061176</v>
      </c>
      <c r="CR86" s="4">
        <f t="shared" si="211"/>
        <v>1.4954634150959114</v>
      </c>
      <c r="CS86" s="4">
        <f t="shared" si="143"/>
        <v>2.0826094082478721</v>
      </c>
      <c r="CU86" s="4">
        <f t="shared" si="212"/>
        <v>2.0107709964090885</v>
      </c>
      <c r="CV86" s="4">
        <f t="shared" si="212"/>
        <v>1.0112423335406093</v>
      </c>
      <c r="CW86" s="4">
        <f t="shared" si="213"/>
        <v>1.82831408016886</v>
      </c>
      <c r="CX86" s="4">
        <f t="shared" si="214"/>
        <v>2.0826094082478721</v>
      </c>
      <c r="CY86" s="4">
        <f t="shared" si="215"/>
        <v>1.3657953537061176</v>
      </c>
      <c r="CZ86" s="4">
        <f t="shared" si="215"/>
        <v>1.4954634150959114</v>
      </c>
      <c r="DH86" s="4">
        <f t="shared" si="167"/>
        <v>0</v>
      </c>
      <c r="DI86" s="4">
        <f t="shared" si="168"/>
        <v>381</v>
      </c>
      <c r="DJ86" s="4">
        <f t="shared" si="169"/>
        <v>0.66141732283464572</v>
      </c>
      <c r="DL86" s="4">
        <f t="shared" si="170"/>
        <v>1.8628104182055264E-5</v>
      </c>
      <c r="DM86" s="4">
        <f t="shared" si="171"/>
        <v>6.0161976170308948</v>
      </c>
      <c r="DN86" s="4">
        <f t="shared" si="172"/>
        <v>0.38498478450152734</v>
      </c>
      <c r="DO86" s="4">
        <f t="shared" si="253"/>
        <v>4.1067618551540557</v>
      </c>
      <c r="DP86" s="4">
        <f t="shared" si="254"/>
        <v>5.1510418853512236</v>
      </c>
      <c r="DQ86" s="4">
        <f t="shared" si="255"/>
        <v>5.6462513861654875</v>
      </c>
      <c r="DR86" s="38">
        <f t="shared" si="275"/>
        <v>287.01225182550144</v>
      </c>
      <c r="DS86" s="4">
        <f t="shared" si="256"/>
        <v>1.0001723108511535</v>
      </c>
      <c r="DT86" s="4">
        <f t="shared" si="147"/>
        <v>2.4020824298928627</v>
      </c>
      <c r="DU86" s="4">
        <f t="shared" si="276"/>
        <v>152.8138409867322</v>
      </c>
      <c r="DY86" s="4">
        <f t="shared" si="235"/>
        <v>0.85</v>
      </c>
      <c r="DZ86" s="4">
        <f t="shared" si="257"/>
        <v>0.85013888888888889</v>
      </c>
      <c r="EA86" s="4">
        <f t="shared" si="258"/>
        <v>1</v>
      </c>
      <c r="EB86" s="4">
        <f t="shared" si="259"/>
        <v>0.85013888888888889</v>
      </c>
      <c r="ED86" s="4">
        <f t="shared" si="277"/>
        <v>262.12610488693173</v>
      </c>
      <c r="EE86" s="25">
        <f t="shared" si="278"/>
        <v>150.18137322121927</v>
      </c>
      <c r="EG86" s="4">
        <f t="shared" si="148"/>
        <v>0.72261805555555558</v>
      </c>
      <c r="EH86" s="4">
        <f t="shared" si="260"/>
        <v>6.0161976170308948</v>
      </c>
      <c r="EI86" s="4">
        <f t="shared" si="174"/>
        <v>4.9450239957683877</v>
      </c>
      <c r="EK86" s="4">
        <f t="shared" si="175"/>
        <v>86.474967476143064</v>
      </c>
      <c r="EL86" s="4">
        <f t="shared" si="176"/>
        <v>2.4020824298928627</v>
      </c>
      <c r="EM86" s="4">
        <f t="shared" si="177"/>
        <v>0.11139298620087341</v>
      </c>
      <c r="EP86" s="4">
        <f t="shared" si="178"/>
        <v>0.11139298620087341</v>
      </c>
      <c r="EQ86" s="4">
        <f t="shared" si="179"/>
        <v>0.38434231664760432</v>
      </c>
      <c r="ER86" s="4">
        <f t="shared" si="180"/>
        <v>4.1040191134255366</v>
      </c>
      <c r="ES86" s="4">
        <f t="shared" si="236"/>
        <v>5.1499506989945818</v>
      </c>
      <c r="ET86" s="4">
        <f t="shared" si="182"/>
        <v>199.27503252385694</v>
      </c>
      <c r="EU86" s="4">
        <f t="shared" si="183"/>
        <v>95.249999999999972</v>
      </c>
      <c r="EV86" s="4">
        <f t="shared" si="261"/>
        <v>1.8628104182055258E-5</v>
      </c>
      <c r="EW86" s="4">
        <f t="shared" si="237"/>
        <v>5.646352209806822</v>
      </c>
      <c r="EX86" s="4">
        <f t="shared" si="185"/>
        <v>286.96280502031897</v>
      </c>
      <c r="EY86" s="4">
        <f t="shared" si="186"/>
        <v>165.52503252385696</v>
      </c>
      <c r="EZ86" s="4">
        <f t="shared" si="187"/>
        <v>0</v>
      </c>
      <c r="FB86" s="4">
        <f t="shared" si="262"/>
        <v>79.069542675018454</v>
      </c>
      <c r="FG86" s="23">
        <f t="shared" si="216"/>
        <v>2.2000000000000002</v>
      </c>
      <c r="FH86" s="23">
        <f t="shared" si="216"/>
        <v>1.2</v>
      </c>
      <c r="FI86" s="23">
        <f t="shared" si="230"/>
        <v>2.2000000000000002</v>
      </c>
      <c r="FJ86" s="23">
        <f t="shared" si="217"/>
        <v>2</v>
      </c>
      <c r="FK86" s="23">
        <f t="shared" si="217"/>
        <v>1.4</v>
      </c>
      <c r="FL86" s="23">
        <f t="shared" si="217"/>
        <v>1.6</v>
      </c>
      <c r="FM86" s="23">
        <f t="shared" si="218"/>
        <v>0</v>
      </c>
      <c r="FN86" s="23"/>
      <c r="FX86" s="4">
        <f t="shared" si="263"/>
        <v>1</v>
      </c>
      <c r="FY86" s="4">
        <f t="shared" si="264"/>
        <v>1.0833333333333333</v>
      </c>
      <c r="FZ86" s="4">
        <f t="shared" si="265"/>
        <v>0</v>
      </c>
      <c r="GA86" s="4">
        <f t="shared" si="266"/>
        <v>188.22540532446502</v>
      </c>
    </row>
    <row r="87" spans="1:184" ht="12" hidden="1" customHeight="1" x14ac:dyDescent="0.3">
      <c r="A87" s="25">
        <v>69</v>
      </c>
      <c r="B87" s="20" t="s">
        <v>54</v>
      </c>
      <c r="C87" s="20">
        <v>2006</v>
      </c>
      <c r="D87" s="24" t="s">
        <v>55</v>
      </c>
      <c r="E87" s="24"/>
      <c r="F87" s="7" t="s">
        <v>70</v>
      </c>
      <c r="G87" s="7">
        <v>433</v>
      </c>
      <c r="H87" s="7">
        <f t="shared" si="240"/>
        <v>381</v>
      </c>
      <c r="I87" s="7">
        <f t="shared" si="131"/>
        <v>252</v>
      </c>
      <c r="J87" s="7">
        <v>28</v>
      </c>
      <c r="K87" s="7">
        <v>36</v>
      </c>
      <c r="L87" s="7">
        <f t="shared" si="151"/>
        <v>10.583333333333334</v>
      </c>
      <c r="M87" s="7">
        <v>7</v>
      </c>
      <c r="N87" s="7">
        <f t="shared" si="239"/>
        <v>215.89999999999998</v>
      </c>
      <c r="O87" s="7">
        <f t="shared" si="267"/>
        <v>89.949999999999989</v>
      </c>
      <c r="P87" s="7">
        <f t="shared" si="133"/>
        <v>50.8</v>
      </c>
      <c r="Q87" s="7">
        <v>0</v>
      </c>
      <c r="R87" s="7">
        <v>1</v>
      </c>
      <c r="S87" s="7">
        <f t="shared" si="134"/>
        <v>83.6</v>
      </c>
      <c r="T87" s="7">
        <f t="shared" si="241"/>
        <v>2.822222222222222</v>
      </c>
      <c r="U87" s="7">
        <f t="shared" si="135"/>
        <v>2.9986111111111109</v>
      </c>
      <c r="V87" s="7">
        <v>6.69</v>
      </c>
      <c r="W87" s="7">
        <f t="shared" si="152"/>
        <v>6.69</v>
      </c>
      <c r="X87" s="7">
        <f t="shared" si="242"/>
        <v>7.69</v>
      </c>
      <c r="Y87" s="7">
        <f t="shared" si="200"/>
        <v>99.831057291806744</v>
      </c>
      <c r="Z87" s="7"/>
      <c r="AA87" s="7"/>
      <c r="AB87" s="7">
        <v>433</v>
      </c>
      <c r="AC87" s="7"/>
      <c r="AD87" s="7"/>
      <c r="AE87" s="7"/>
      <c r="AF87" s="7"/>
      <c r="AG87" s="7">
        <v>1</v>
      </c>
      <c r="AH87" s="7"/>
      <c r="AI87" s="7"/>
      <c r="AJ87" s="7"/>
      <c r="AK87" s="4">
        <f t="shared" si="279"/>
        <v>381</v>
      </c>
      <c r="AL87" s="44">
        <f t="shared" si="153"/>
        <v>8.3950617283950604E-2</v>
      </c>
      <c r="AM87" s="25">
        <f t="shared" si="268"/>
        <v>386.60867631208708</v>
      </c>
      <c r="AN87" s="4">
        <f t="shared" si="269"/>
        <v>0.7533333333333333</v>
      </c>
      <c r="AO87" s="4">
        <v>1.25</v>
      </c>
      <c r="AP87" s="25">
        <f t="shared" si="270"/>
        <v>5</v>
      </c>
      <c r="AQ87" s="38">
        <f t="shared" si="271"/>
        <v>152.81384098673232</v>
      </c>
      <c r="AR87" s="38">
        <f t="shared" si="272"/>
        <v>152.81384098673232</v>
      </c>
      <c r="AT87" s="38">
        <f t="shared" si="130"/>
        <v>152.8138409867322</v>
      </c>
      <c r="AU87" s="38">
        <f t="shared" si="243"/>
        <v>1.0000000000000007</v>
      </c>
      <c r="AV87" s="38">
        <f t="shared" si="136"/>
        <v>2.7419117115982075</v>
      </c>
      <c r="AW87" s="4">
        <f t="shared" si="154"/>
        <v>0</v>
      </c>
      <c r="AX87" s="4">
        <f t="shared" si="220"/>
        <v>194.95009660475932</v>
      </c>
      <c r="AY87" s="4">
        <f t="shared" si="221"/>
        <v>1.0249999999999999</v>
      </c>
      <c r="AZ87" s="38">
        <f t="shared" si="273"/>
        <v>419.00206029582722</v>
      </c>
      <c r="BA87" s="4">
        <f t="shared" si="222"/>
        <v>0.3</v>
      </c>
      <c r="BB87" s="4">
        <f t="shared" si="244"/>
        <v>30.558427642796026</v>
      </c>
      <c r="BC87" s="4">
        <f t="shared" si="245"/>
        <v>449.56048793862323</v>
      </c>
      <c r="BE87" s="36">
        <f t="shared" si="246"/>
        <v>1.1000000000000001</v>
      </c>
      <c r="BF87" s="36">
        <f t="shared" si="247"/>
        <v>193.24567576015772</v>
      </c>
      <c r="BK87" s="4">
        <f t="shared" si="156"/>
        <v>89.949999999999989</v>
      </c>
      <c r="BL87" s="4">
        <f t="shared" si="157"/>
        <v>83.6</v>
      </c>
      <c r="BM87" s="4">
        <f t="shared" si="158"/>
        <v>89.949999999999989</v>
      </c>
      <c r="BN87" s="4">
        <f t="shared" si="159"/>
        <v>101.6</v>
      </c>
      <c r="BO87" s="4">
        <f t="shared" si="160"/>
        <v>1.0075956937799044</v>
      </c>
      <c r="BP87" s="25">
        <f t="shared" si="274"/>
        <v>2.8436589580010634</v>
      </c>
      <c r="BR87" s="4">
        <f t="shared" si="161"/>
        <v>89.949999999999989</v>
      </c>
      <c r="BV87" s="9"/>
      <c r="BX87" s="9"/>
      <c r="BY87" s="9"/>
      <c r="BZ87" s="9">
        <f t="shared" si="231"/>
        <v>50.8</v>
      </c>
      <c r="CA87" s="9">
        <f t="shared" si="232"/>
        <v>89.949999999999989</v>
      </c>
      <c r="CB87" s="9">
        <f t="shared" si="248"/>
        <v>1.2941994891728255</v>
      </c>
      <c r="CC87" s="9">
        <v>0</v>
      </c>
      <c r="CD87" s="9">
        <f t="shared" si="129"/>
        <v>0</v>
      </c>
      <c r="CE87" s="9">
        <f t="shared" si="249"/>
        <v>0</v>
      </c>
      <c r="CF87" s="9">
        <f t="shared" si="233"/>
        <v>0.89637813077714179</v>
      </c>
      <c r="CG87" s="9">
        <f t="shared" si="234"/>
        <v>1.1339999999999999</v>
      </c>
      <c r="CH87" s="9">
        <f t="shared" si="250"/>
        <v>1.8825710113593779</v>
      </c>
      <c r="CI87" s="9">
        <f t="shared" si="251"/>
        <v>2.4364224412328763</v>
      </c>
      <c r="CJ87" s="9">
        <v>1</v>
      </c>
      <c r="CK87" s="9">
        <f t="shared" si="252"/>
        <v>214.4051748284931</v>
      </c>
      <c r="CM87" s="4">
        <f t="shared" si="206"/>
        <v>2.2210812281763657</v>
      </c>
      <c r="CN87" s="4">
        <f t="shared" si="207"/>
        <v>0.96316293717324164</v>
      </c>
      <c r="CO87" s="4">
        <f t="shared" si="208"/>
        <v>2.2406710954681732</v>
      </c>
      <c r="CP87" s="4">
        <f t="shared" si="209"/>
        <v>2.0195408079416235</v>
      </c>
      <c r="CQ87" s="4">
        <f t="shared" si="210"/>
        <v>1.5462310523396727</v>
      </c>
      <c r="CR87" s="4">
        <f t="shared" si="211"/>
        <v>1.6500544563540349</v>
      </c>
      <c r="CS87" s="4">
        <f t="shared" si="143"/>
        <v>2.3004333514574711</v>
      </c>
      <c r="CU87" s="4">
        <f t="shared" si="212"/>
        <v>2.2210812281763657</v>
      </c>
      <c r="CV87" s="4">
        <f t="shared" si="212"/>
        <v>0.96316293717324164</v>
      </c>
      <c r="CW87" s="4">
        <f t="shared" si="213"/>
        <v>2.0195408079416235</v>
      </c>
      <c r="CX87" s="4">
        <f t="shared" si="214"/>
        <v>2.3004333514574711</v>
      </c>
      <c r="CY87" s="4">
        <f t="shared" si="215"/>
        <v>1.5462310523396727</v>
      </c>
      <c r="CZ87" s="4">
        <f t="shared" si="215"/>
        <v>1.6500544563540349</v>
      </c>
      <c r="DH87" s="4">
        <f t="shared" si="167"/>
        <v>0</v>
      </c>
      <c r="DI87" s="4">
        <f t="shared" si="168"/>
        <v>381</v>
      </c>
      <c r="DJ87" s="4">
        <f t="shared" si="169"/>
        <v>0.66141732283464572</v>
      </c>
      <c r="DL87" s="4">
        <f t="shared" si="170"/>
        <v>1.8628104182055264E-5</v>
      </c>
      <c r="DM87" s="4">
        <f t="shared" si="171"/>
        <v>6.0161976170308948</v>
      </c>
      <c r="DN87" s="4">
        <f t="shared" si="172"/>
        <v>0.31689186474065706</v>
      </c>
      <c r="DO87" s="4">
        <f t="shared" si="253"/>
        <v>3.7991507734546111</v>
      </c>
      <c r="DP87" s="4">
        <f t="shared" si="254"/>
        <v>5.0319136852040129</v>
      </c>
      <c r="DQ87" s="4">
        <f t="shared" si="255"/>
        <v>5.6610669161628726</v>
      </c>
      <c r="DR87" s="38">
        <f t="shared" si="275"/>
        <v>280.03576784000552</v>
      </c>
      <c r="DS87" s="4">
        <f t="shared" si="256"/>
        <v>1.0001673396150337</v>
      </c>
      <c r="DT87" s="4">
        <f t="shared" si="147"/>
        <v>2.7730849247724096</v>
      </c>
      <c r="DU87" s="4">
        <f t="shared" si="276"/>
        <v>152.8138409867322</v>
      </c>
      <c r="DY87" s="4">
        <f t="shared" si="235"/>
        <v>0.85</v>
      </c>
      <c r="DZ87" s="4">
        <f t="shared" si="257"/>
        <v>0.85013888888888889</v>
      </c>
      <c r="EA87" s="4">
        <f t="shared" si="258"/>
        <v>1</v>
      </c>
      <c r="EB87" s="4">
        <f t="shared" si="259"/>
        <v>0.85013888888888889</v>
      </c>
      <c r="ED87" s="4">
        <f t="shared" si="277"/>
        <v>262.41558169950224</v>
      </c>
      <c r="EE87" s="25">
        <f t="shared" si="278"/>
        <v>150.18137322121927</v>
      </c>
      <c r="EG87" s="4">
        <f t="shared" si="148"/>
        <v>0.72261805555555558</v>
      </c>
      <c r="EH87" s="4">
        <f t="shared" si="260"/>
        <v>6.0161976170308948</v>
      </c>
      <c r="EI87" s="4">
        <f t="shared" si="174"/>
        <v>4.9450239957683877</v>
      </c>
      <c r="EK87" s="4">
        <f t="shared" si="175"/>
        <v>99.831057291806744</v>
      </c>
      <c r="EL87" s="4">
        <f t="shared" si="176"/>
        <v>2.7730849247724096</v>
      </c>
      <c r="EM87" s="4">
        <f t="shared" si="177"/>
        <v>9.1690717496615795E-2</v>
      </c>
      <c r="EP87" s="4">
        <f t="shared" si="178"/>
        <v>9.1690717496615795E-2</v>
      </c>
      <c r="EQ87" s="4">
        <f t="shared" si="179"/>
        <v>0.31636303127901982</v>
      </c>
      <c r="ER87" s="4">
        <f t="shared" si="180"/>
        <v>3.796613472844836</v>
      </c>
      <c r="ES87" s="4">
        <f t="shared" si="236"/>
        <v>5.0309590892700076</v>
      </c>
      <c r="ET87" s="4">
        <f t="shared" si="182"/>
        <v>185.91894270819324</v>
      </c>
      <c r="EU87" s="4">
        <f t="shared" si="183"/>
        <v>95.25</v>
      </c>
      <c r="EV87" s="4">
        <f t="shared" si="261"/>
        <v>1.8628104182055264E-5</v>
      </c>
      <c r="EW87" s="4">
        <f t="shared" si="237"/>
        <v>5.6611624514348415</v>
      </c>
      <c r="EX87" s="4">
        <f t="shared" si="185"/>
        <v>279.98891460282221</v>
      </c>
      <c r="EY87" s="4">
        <f t="shared" si="186"/>
        <v>152.1689427081933</v>
      </c>
      <c r="EZ87" s="4">
        <f t="shared" si="187"/>
        <v>0</v>
      </c>
      <c r="FB87" s="4">
        <f t="shared" si="262"/>
        <v>78.780065862447941</v>
      </c>
      <c r="FG87" s="23">
        <f t="shared" si="216"/>
        <v>2.2000000000000002</v>
      </c>
      <c r="FH87" s="23">
        <f t="shared" si="216"/>
        <v>1</v>
      </c>
      <c r="FI87" s="23">
        <f t="shared" si="230"/>
        <v>2.2000000000000002</v>
      </c>
      <c r="FJ87" s="23">
        <f t="shared" si="217"/>
        <v>2.2000000000000002</v>
      </c>
      <c r="FK87" s="23">
        <f t="shared" si="217"/>
        <v>1.6</v>
      </c>
      <c r="FL87" s="23">
        <f t="shared" si="217"/>
        <v>1.8</v>
      </c>
      <c r="FM87" s="23">
        <f t="shared" si="218"/>
        <v>0</v>
      </c>
      <c r="FN87" s="23"/>
      <c r="FX87" s="4">
        <f t="shared" si="263"/>
        <v>1</v>
      </c>
      <c r="FY87" s="4">
        <f t="shared" si="264"/>
        <v>1.0833333333333333</v>
      </c>
      <c r="FZ87" s="4">
        <f t="shared" si="265"/>
        <v>0</v>
      </c>
      <c r="GA87" s="4">
        <f t="shared" si="266"/>
        <v>188.22540532446502</v>
      </c>
    </row>
    <row r="88" spans="1:184" ht="12" hidden="1" customHeight="1" x14ac:dyDescent="0.3">
      <c r="A88" s="25">
        <v>70</v>
      </c>
      <c r="B88" s="20" t="s">
        <v>54</v>
      </c>
      <c r="C88" s="20">
        <v>2006</v>
      </c>
      <c r="D88" s="24" t="s">
        <v>55</v>
      </c>
      <c r="E88" s="24"/>
      <c r="F88" s="7" t="s">
        <v>71</v>
      </c>
      <c r="G88" s="7">
        <v>433</v>
      </c>
      <c r="H88" s="7">
        <f t="shared" si="240"/>
        <v>381</v>
      </c>
      <c r="I88" s="7">
        <f t="shared" si="131"/>
        <v>252</v>
      </c>
      <c r="J88" s="7">
        <v>28</v>
      </c>
      <c r="K88" s="7">
        <v>36</v>
      </c>
      <c r="L88" s="7">
        <f t="shared" si="151"/>
        <v>10.583333333333334</v>
      </c>
      <c r="M88" s="7">
        <v>7</v>
      </c>
      <c r="N88" s="7">
        <f t="shared" si="239"/>
        <v>215.89999999999998</v>
      </c>
      <c r="O88" s="7">
        <f t="shared" si="267"/>
        <v>89.949999999999989</v>
      </c>
      <c r="P88" s="7">
        <f t="shared" si="133"/>
        <v>50.8</v>
      </c>
      <c r="Q88" s="7">
        <v>0</v>
      </c>
      <c r="R88" s="7">
        <v>1</v>
      </c>
      <c r="S88" s="7">
        <f t="shared" si="134"/>
        <v>83.6</v>
      </c>
      <c r="T88" s="7">
        <f t="shared" si="241"/>
        <v>2.822222222222222</v>
      </c>
      <c r="U88" s="7">
        <f t="shared" si="135"/>
        <v>2.9986111111111109</v>
      </c>
      <c r="V88" s="7">
        <v>6.69</v>
      </c>
      <c r="W88" s="7">
        <f t="shared" si="152"/>
        <v>6.69</v>
      </c>
      <c r="X88" s="7">
        <f t="shared" si="242"/>
        <v>7.69</v>
      </c>
      <c r="Y88" s="7">
        <f t="shared" si="200"/>
        <v>99.831057291806744</v>
      </c>
      <c r="Z88" s="7"/>
      <c r="AA88" s="7"/>
      <c r="AB88" s="7">
        <v>433</v>
      </c>
      <c r="AC88" s="7"/>
      <c r="AD88" s="7"/>
      <c r="AE88" s="7"/>
      <c r="AF88" s="7"/>
      <c r="AG88" s="7">
        <v>1</v>
      </c>
      <c r="AH88" s="7"/>
      <c r="AI88" s="7"/>
      <c r="AJ88" s="7"/>
      <c r="AK88" s="4">
        <f t="shared" si="279"/>
        <v>381</v>
      </c>
      <c r="AL88" s="44">
        <f t="shared" si="153"/>
        <v>8.3950617283950604E-2</v>
      </c>
      <c r="AM88" s="25">
        <f t="shared" si="268"/>
        <v>386.60867631208708</v>
      </c>
      <c r="AN88" s="4">
        <f t="shared" si="269"/>
        <v>0.7533333333333333</v>
      </c>
      <c r="AO88" s="4">
        <v>1.25</v>
      </c>
      <c r="AP88" s="25">
        <f t="shared" si="270"/>
        <v>5</v>
      </c>
      <c r="AQ88" s="38">
        <f t="shared" si="271"/>
        <v>152.81384098673232</v>
      </c>
      <c r="AR88" s="38">
        <f t="shared" si="272"/>
        <v>152.81384098673232</v>
      </c>
      <c r="AT88" s="38">
        <f t="shared" si="130"/>
        <v>152.8138409867322</v>
      </c>
      <c r="AU88" s="38">
        <f t="shared" si="243"/>
        <v>1.0000000000000007</v>
      </c>
      <c r="AV88" s="38">
        <f t="shared" si="136"/>
        <v>2.7419117115982075</v>
      </c>
      <c r="AW88" s="4">
        <f t="shared" si="154"/>
        <v>0</v>
      </c>
      <c r="AX88" s="4">
        <f t="shared" si="220"/>
        <v>194.95009660475932</v>
      </c>
      <c r="AY88" s="4">
        <f t="shared" si="221"/>
        <v>1.0249999999999999</v>
      </c>
      <c r="AZ88" s="38">
        <f t="shared" si="273"/>
        <v>419.00206029582722</v>
      </c>
      <c r="BA88" s="4">
        <f t="shared" si="222"/>
        <v>0.3</v>
      </c>
      <c r="BB88" s="4">
        <f t="shared" si="244"/>
        <v>30.558427642796026</v>
      </c>
      <c r="BC88" s="4">
        <f t="shared" si="245"/>
        <v>449.56048793862323</v>
      </c>
      <c r="BE88" s="36">
        <f t="shared" si="246"/>
        <v>1.1000000000000001</v>
      </c>
      <c r="BF88" s="36">
        <f t="shared" si="247"/>
        <v>193.24567576015772</v>
      </c>
      <c r="BK88" s="4">
        <f t="shared" si="156"/>
        <v>89.949999999999989</v>
      </c>
      <c r="BL88" s="4">
        <f t="shared" si="157"/>
        <v>83.6</v>
      </c>
      <c r="BM88" s="4">
        <f t="shared" si="158"/>
        <v>89.949999999999989</v>
      </c>
      <c r="BN88" s="4">
        <f t="shared" si="159"/>
        <v>101.6</v>
      </c>
      <c r="BO88" s="4">
        <f t="shared" si="160"/>
        <v>1.0075956937799044</v>
      </c>
      <c r="BP88" s="25">
        <f t="shared" si="274"/>
        <v>2.8436589580010634</v>
      </c>
      <c r="BR88" s="4">
        <f t="shared" si="161"/>
        <v>89.949999999999989</v>
      </c>
      <c r="BV88" s="9"/>
      <c r="BX88" s="9"/>
      <c r="BY88" s="9"/>
      <c r="BZ88" s="9">
        <f t="shared" si="231"/>
        <v>50.8</v>
      </c>
      <c r="CA88" s="9">
        <f t="shared" si="232"/>
        <v>89.949999999999989</v>
      </c>
      <c r="CB88" s="9">
        <f t="shared" si="248"/>
        <v>1.2941994891728255</v>
      </c>
      <c r="CC88" s="9">
        <v>0</v>
      </c>
      <c r="CD88" s="9">
        <f t="shared" si="129"/>
        <v>0</v>
      </c>
      <c r="CE88" s="9">
        <f t="shared" si="249"/>
        <v>0</v>
      </c>
      <c r="CF88" s="9">
        <f t="shared" si="233"/>
        <v>0.89637813077714179</v>
      </c>
      <c r="CG88" s="9">
        <f t="shared" si="234"/>
        <v>1.1339999999999999</v>
      </c>
      <c r="CH88" s="9">
        <f t="shared" si="250"/>
        <v>1.8825710113593779</v>
      </c>
      <c r="CI88" s="9">
        <f t="shared" si="251"/>
        <v>2.4364224412328763</v>
      </c>
      <c r="CJ88" s="9">
        <v>1</v>
      </c>
      <c r="CK88" s="9">
        <f t="shared" si="252"/>
        <v>214.4051748284931</v>
      </c>
      <c r="CM88" s="4">
        <f t="shared" si="206"/>
        <v>2.2210812281763657</v>
      </c>
      <c r="CN88" s="4">
        <f t="shared" si="207"/>
        <v>0.96316293717324164</v>
      </c>
      <c r="CO88" s="4">
        <f t="shared" si="208"/>
        <v>2.2406710954681732</v>
      </c>
      <c r="CP88" s="4">
        <f t="shared" si="209"/>
        <v>2.0195408079416235</v>
      </c>
      <c r="CQ88" s="4">
        <f t="shared" si="210"/>
        <v>1.5462310523396727</v>
      </c>
      <c r="CR88" s="4">
        <f t="shared" si="211"/>
        <v>1.6500544563540349</v>
      </c>
      <c r="CS88" s="4">
        <f t="shared" si="143"/>
        <v>2.3004333514574711</v>
      </c>
      <c r="CU88" s="4">
        <f t="shared" si="212"/>
        <v>2.2210812281763657</v>
      </c>
      <c r="CV88" s="4">
        <f t="shared" si="212"/>
        <v>0.96316293717324164</v>
      </c>
      <c r="CW88" s="4">
        <f t="shared" si="213"/>
        <v>2.0195408079416235</v>
      </c>
      <c r="CX88" s="4">
        <f t="shared" si="214"/>
        <v>2.3004333514574711</v>
      </c>
      <c r="CY88" s="4">
        <f t="shared" si="215"/>
        <v>1.5462310523396727</v>
      </c>
      <c r="CZ88" s="4">
        <f t="shared" si="215"/>
        <v>1.6500544563540349</v>
      </c>
      <c r="DH88" s="4">
        <f t="shared" si="167"/>
        <v>0</v>
      </c>
      <c r="DI88" s="4">
        <f t="shared" si="168"/>
        <v>381</v>
      </c>
      <c r="DJ88" s="4">
        <f t="shared" si="169"/>
        <v>0.66141732283464572</v>
      </c>
      <c r="DL88" s="4">
        <f t="shared" si="170"/>
        <v>1.8628104182055264E-5</v>
      </c>
      <c r="DM88" s="4">
        <f t="shared" si="171"/>
        <v>6.0161976170308948</v>
      </c>
      <c r="DN88" s="4">
        <f t="shared" si="172"/>
        <v>0.31689186474065706</v>
      </c>
      <c r="DO88" s="4">
        <f t="shared" si="253"/>
        <v>3.7991507734546111</v>
      </c>
      <c r="DP88" s="4">
        <f t="shared" si="254"/>
        <v>5.0319136852040129</v>
      </c>
      <c r="DQ88" s="4">
        <f t="shared" si="255"/>
        <v>5.6610669161628726</v>
      </c>
      <c r="DR88" s="38">
        <f t="shared" si="275"/>
        <v>280.03576784000552</v>
      </c>
      <c r="DS88" s="4">
        <f t="shared" si="256"/>
        <v>1.0001673396150337</v>
      </c>
      <c r="DT88" s="4">
        <f t="shared" si="147"/>
        <v>2.7730849247724096</v>
      </c>
      <c r="DU88" s="4">
        <f t="shared" si="276"/>
        <v>152.8138409867322</v>
      </c>
      <c r="DY88" s="4">
        <f t="shared" si="235"/>
        <v>0.85</v>
      </c>
      <c r="DZ88" s="4">
        <f t="shared" si="257"/>
        <v>0.85013888888888889</v>
      </c>
      <c r="EA88" s="4">
        <f t="shared" si="258"/>
        <v>1</v>
      </c>
      <c r="EB88" s="4">
        <f t="shared" si="259"/>
        <v>0.85013888888888889</v>
      </c>
      <c r="ED88" s="4">
        <f t="shared" si="277"/>
        <v>262.41558169950224</v>
      </c>
      <c r="EE88" s="25">
        <f t="shared" si="278"/>
        <v>150.18137322121927</v>
      </c>
      <c r="EG88" s="4">
        <f t="shared" si="148"/>
        <v>0.72261805555555558</v>
      </c>
      <c r="EH88" s="4">
        <f t="shared" si="260"/>
        <v>6.0161976170308948</v>
      </c>
      <c r="EI88" s="4">
        <f>IF(K88&lt;22.2,1.1*5*(J88/30)^0.5,IF(K88&gt;=31.8,0.9*5*(J88/30)^0.5,1*5*(J88/30)^0.5))*BP88/2.5</f>
        <v>4.9450239957683877</v>
      </c>
      <c r="EK88" s="4">
        <f t="shared" si="175"/>
        <v>99.831057291806744</v>
      </c>
      <c r="EL88" s="4">
        <f t="shared" si="176"/>
        <v>2.7730849247724096</v>
      </c>
      <c r="EM88" s="4">
        <f t="shared" si="177"/>
        <v>9.1690717496615795E-2</v>
      </c>
      <c r="EP88" s="4">
        <f t="shared" si="178"/>
        <v>9.1690717496615795E-2</v>
      </c>
      <c r="EQ88" s="4">
        <f t="shared" si="179"/>
        <v>0.31636303127901982</v>
      </c>
      <c r="ER88" s="4">
        <f t="shared" si="180"/>
        <v>3.796613472844836</v>
      </c>
      <c r="ES88" s="4">
        <f t="shared" si="236"/>
        <v>5.0309590892700076</v>
      </c>
      <c r="ET88" s="4">
        <f t="shared" si="182"/>
        <v>185.91894270819324</v>
      </c>
      <c r="EU88" s="4">
        <f t="shared" si="183"/>
        <v>95.25</v>
      </c>
      <c r="EV88" s="4">
        <f t="shared" si="261"/>
        <v>1.8628104182055264E-5</v>
      </c>
      <c r="EW88" s="4">
        <f t="shared" si="237"/>
        <v>5.6611624514348415</v>
      </c>
      <c r="EX88" s="4">
        <f t="shared" si="185"/>
        <v>279.98891460282221</v>
      </c>
      <c r="EY88" s="4">
        <f t="shared" si="186"/>
        <v>152.1689427081933</v>
      </c>
      <c r="EZ88" s="4">
        <f t="shared" si="187"/>
        <v>0</v>
      </c>
      <c r="FB88" s="4">
        <f t="shared" si="262"/>
        <v>78.780065862447941</v>
      </c>
      <c r="FG88" s="23">
        <f t="shared" si="216"/>
        <v>2.2000000000000002</v>
      </c>
      <c r="FH88" s="23">
        <f t="shared" si="216"/>
        <v>1</v>
      </c>
      <c r="FI88" s="23">
        <f t="shared" si="230"/>
        <v>2.2000000000000002</v>
      </c>
      <c r="FJ88" s="23">
        <f t="shared" si="217"/>
        <v>2.2000000000000002</v>
      </c>
      <c r="FK88" s="23">
        <f t="shared" si="217"/>
        <v>1.6</v>
      </c>
      <c r="FL88" s="23">
        <f t="shared" si="217"/>
        <v>1.8</v>
      </c>
      <c r="FM88" s="23">
        <f t="shared" si="218"/>
        <v>0</v>
      </c>
      <c r="FN88" s="23"/>
      <c r="FX88" s="4">
        <f t="shared" si="263"/>
        <v>1</v>
      </c>
      <c r="FY88" s="4">
        <f t="shared" si="264"/>
        <v>1.0833333333333333</v>
      </c>
      <c r="FZ88" s="4">
        <f t="shared" si="265"/>
        <v>0</v>
      </c>
      <c r="GA88" s="4">
        <f t="shared" si="266"/>
        <v>188.22540532446502</v>
      </c>
    </row>
    <row r="89" spans="1:184" ht="12" hidden="1" customHeight="1" x14ac:dyDescent="0.3">
      <c r="A89" s="25">
        <v>71</v>
      </c>
      <c r="B89" s="20" t="s">
        <v>54</v>
      </c>
      <c r="C89" s="20">
        <v>2006</v>
      </c>
      <c r="D89" s="24" t="s">
        <v>55</v>
      </c>
      <c r="E89" s="24"/>
      <c r="F89" s="7" t="s">
        <v>291</v>
      </c>
      <c r="G89" s="7">
        <v>433</v>
      </c>
      <c r="H89" s="7">
        <f t="shared" si="240"/>
        <v>381</v>
      </c>
      <c r="I89" s="7">
        <f t="shared" si="131"/>
        <v>252</v>
      </c>
      <c r="J89" s="7">
        <v>28</v>
      </c>
      <c r="K89" s="7">
        <v>36</v>
      </c>
      <c r="L89" s="7">
        <f t="shared" si="151"/>
        <v>10.583333333333334</v>
      </c>
      <c r="M89" s="7">
        <v>7</v>
      </c>
      <c r="N89" s="7">
        <f t="shared" si="239"/>
        <v>215.89999999999998</v>
      </c>
      <c r="O89" s="7">
        <f t="shared" si="267"/>
        <v>89.949999999999989</v>
      </c>
      <c r="P89" s="7">
        <f t="shared" si="133"/>
        <v>50.8</v>
      </c>
      <c r="Q89" s="7">
        <v>0</v>
      </c>
      <c r="R89" s="7">
        <v>1</v>
      </c>
      <c r="S89" s="7">
        <f t="shared" si="134"/>
        <v>83.6</v>
      </c>
      <c r="T89" s="7">
        <f t="shared" si="241"/>
        <v>2.822222222222222</v>
      </c>
      <c r="U89" s="7">
        <f t="shared" si="135"/>
        <v>2.9986111111111109</v>
      </c>
      <c r="V89" s="7">
        <v>9.26</v>
      </c>
      <c r="W89" s="7">
        <f t="shared" si="152"/>
        <v>9.26</v>
      </c>
      <c r="X89" s="7">
        <f t="shared" si="242"/>
        <v>10.26</v>
      </c>
      <c r="Y89" s="7">
        <f t="shared" si="200"/>
        <v>115.31244512193817</v>
      </c>
      <c r="Z89" s="7"/>
      <c r="AA89" s="7"/>
      <c r="AB89" s="7">
        <v>433</v>
      </c>
      <c r="AC89" s="7"/>
      <c r="AD89" s="7"/>
      <c r="AE89" s="7"/>
      <c r="AF89" s="7"/>
      <c r="AG89" s="7">
        <v>1</v>
      </c>
      <c r="AH89" s="7"/>
      <c r="AI89" s="7"/>
      <c r="AJ89" s="7"/>
      <c r="AK89" s="4">
        <f t="shared" si="279"/>
        <v>381</v>
      </c>
      <c r="AL89" s="44">
        <f t="shared" si="153"/>
        <v>8.3950617283950604E-2</v>
      </c>
      <c r="AM89" s="25">
        <f t="shared" si="268"/>
        <v>386.60867631208708</v>
      </c>
      <c r="AN89" s="4">
        <f t="shared" si="269"/>
        <v>0.7533333333333333</v>
      </c>
      <c r="AO89" s="4">
        <v>1.25</v>
      </c>
      <c r="AP89" s="25">
        <f t="shared" si="270"/>
        <v>5</v>
      </c>
      <c r="AQ89" s="38">
        <f t="shared" si="271"/>
        <v>152.81384098673232</v>
      </c>
      <c r="AR89" s="38">
        <f t="shared" si="272"/>
        <v>152.81384098673232</v>
      </c>
      <c r="AT89" s="38">
        <f t="shared" si="130"/>
        <v>152.8138409867322</v>
      </c>
      <c r="AU89" s="38">
        <f t="shared" si="243"/>
        <v>1.0000000000000007</v>
      </c>
      <c r="AV89" s="38">
        <f t="shared" si="136"/>
        <v>3.2258628644800567</v>
      </c>
      <c r="AW89" s="4">
        <f t="shared" si="154"/>
        <v>0</v>
      </c>
      <c r="AX89" s="4">
        <f t="shared" si="220"/>
        <v>194.95009660475932</v>
      </c>
      <c r="AY89" s="4">
        <f t="shared" si="221"/>
        <v>1.0249999999999999</v>
      </c>
      <c r="AZ89" s="38">
        <f t="shared" si="273"/>
        <v>492.9564948176598</v>
      </c>
      <c r="BA89" s="4">
        <f t="shared" si="222"/>
        <v>0.3</v>
      </c>
      <c r="BB89" s="4">
        <f t="shared" si="244"/>
        <v>30.558427642796026</v>
      </c>
      <c r="BC89" s="4">
        <f t="shared" si="245"/>
        <v>523.51492246045586</v>
      </c>
      <c r="BE89" s="36">
        <f t="shared" si="246"/>
        <v>1.1000000000000001</v>
      </c>
      <c r="BF89" s="36">
        <f t="shared" si="247"/>
        <v>193.24567576015772</v>
      </c>
      <c r="BK89" s="4">
        <f t="shared" si="156"/>
        <v>89.949999999999989</v>
      </c>
      <c r="BL89" s="4">
        <f t="shared" si="157"/>
        <v>83.6</v>
      </c>
      <c r="BM89" s="4">
        <f t="shared" si="158"/>
        <v>89.949999999999989</v>
      </c>
      <c r="BN89" s="4">
        <f t="shared" si="159"/>
        <v>101.6</v>
      </c>
      <c r="BO89" s="4">
        <f t="shared" si="160"/>
        <v>1.0075956937799044</v>
      </c>
      <c r="BP89" s="25">
        <f t="shared" si="274"/>
        <v>2.8436589580010634</v>
      </c>
      <c r="BR89" s="4">
        <f t="shared" si="161"/>
        <v>89.949999999999989</v>
      </c>
      <c r="BV89" s="9"/>
      <c r="BX89" s="9"/>
      <c r="BY89" s="9"/>
      <c r="BZ89" s="9">
        <f t="shared" si="231"/>
        <v>50.8</v>
      </c>
      <c r="CA89" s="9">
        <f t="shared" si="232"/>
        <v>89.949999999999989</v>
      </c>
      <c r="CB89" s="9">
        <f t="shared" si="248"/>
        <v>1.2941994891728255</v>
      </c>
      <c r="CC89" s="9">
        <v>0</v>
      </c>
      <c r="CD89" s="9">
        <f t="shared" si="129"/>
        <v>0</v>
      </c>
      <c r="CE89" s="9">
        <f t="shared" si="249"/>
        <v>0</v>
      </c>
      <c r="CF89" s="9">
        <f t="shared" si="233"/>
        <v>0.89637813077714179</v>
      </c>
      <c r="CG89" s="9">
        <f t="shared" si="234"/>
        <v>1.1339999999999999</v>
      </c>
      <c r="CH89" s="9">
        <f t="shared" si="250"/>
        <v>1.8825710113593779</v>
      </c>
      <c r="CI89" s="9">
        <f t="shared" si="251"/>
        <v>2.4364224412328763</v>
      </c>
      <c r="CJ89" s="9">
        <v>1</v>
      </c>
      <c r="CK89" s="9">
        <f t="shared" si="252"/>
        <v>214.4051748284931</v>
      </c>
      <c r="CM89" s="4">
        <f t="shared" si="206"/>
        <v>2.2210812281763657</v>
      </c>
      <c r="CN89" s="4">
        <f t="shared" si="207"/>
        <v>0.82710154271238945</v>
      </c>
      <c r="CO89" s="4">
        <f t="shared" si="208"/>
        <v>2.2406710954681732</v>
      </c>
      <c r="CP89" s="4">
        <f t="shared" si="209"/>
        <v>2.0195408079416235</v>
      </c>
      <c r="CQ89" s="4">
        <f t="shared" si="210"/>
        <v>1.5858446483348607</v>
      </c>
      <c r="CR89" s="4">
        <f t="shared" si="211"/>
        <v>1.6487439106558772</v>
      </c>
      <c r="CS89" s="4">
        <f t="shared" si="143"/>
        <v>2.3004333514574711</v>
      </c>
      <c r="CU89" s="4">
        <f t="shared" si="212"/>
        <v>2.2210812281763657</v>
      </c>
      <c r="CV89" s="4">
        <f t="shared" si="212"/>
        <v>0.82710154271238945</v>
      </c>
      <c r="CW89" s="4">
        <f t="shared" si="213"/>
        <v>2.0195408079416235</v>
      </c>
      <c r="CX89" s="4">
        <f>CS89</f>
        <v>2.3004333514574711</v>
      </c>
      <c r="CY89" s="4">
        <f t="shared" si="215"/>
        <v>1.5858446483348607</v>
      </c>
      <c r="CZ89" s="4">
        <f t="shared" si="215"/>
        <v>1.6487439106558772</v>
      </c>
      <c r="DH89" s="4">
        <f t="shared" si="167"/>
        <v>0</v>
      </c>
      <c r="DI89" s="4">
        <f t="shared" si="168"/>
        <v>381</v>
      </c>
      <c r="DJ89" s="4">
        <f t="shared" si="169"/>
        <v>0.66141732283464572</v>
      </c>
      <c r="DL89" s="4">
        <f t="shared" si="170"/>
        <v>1.8628104182055264E-5</v>
      </c>
      <c r="DM89" s="4">
        <f t="shared" si="171"/>
        <v>6.0161976170308948</v>
      </c>
      <c r="DN89" s="4">
        <f t="shared" si="172"/>
        <v>0.26444583522906207</v>
      </c>
      <c r="DO89" s="4">
        <f t="shared" si="253"/>
        <v>3.533920587061155</v>
      </c>
      <c r="DP89" s="4">
        <f t="shared" si="254"/>
        <v>4.9347313117653027</v>
      </c>
      <c r="DQ89" s="4">
        <f t="shared" si="255"/>
        <v>5.6757555744502399</v>
      </c>
      <c r="DR89" s="38">
        <f t="shared" si="275"/>
        <v>273.04061621335399</v>
      </c>
      <c r="DS89" s="4">
        <f t="shared" si="256"/>
        <v>1.0001655130606142</v>
      </c>
      <c r="DT89" s="4">
        <f t="shared" si="147"/>
        <v>3.2031234756093934</v>
      </c>
      <c r="DU89" s="4">
        <f t="shared" si="276"/>
        <v>152.8138409867322</v>
      </c>
      <c r="DY89" s="4">
        <f t="shared" si="235"/>
        <v>0.85</v>
      </c>
      <c r="DZ89" s="4">
        <f t="shared" si="257"/>
        <v>0.85013888888888889</v>
      </c>
      <c r="EA89" s="4">
        <f t="shared" si="258"/>
        <v>1</v>
      </c>
      <c r="EB89" s="4">
        <f t="shared" si="259"/>
        <v>0.85013888888888889</v>
      </c>
      <c r="ED89" s="4">
        <f t="shared" si="277"/>
        <v>262.62416934583297</v>
      </c>
      <c r="EE89" s="25">
        <f t="shared" si="278"/>
        <v>150.18137322121927</v>
      </c>
      <c r="EG89" s="4">
        <f t="shared" si="148"/>
        <v>0.72261805555555558</v>
      </c>
      <c r="EH89" s="4">
        <f t="shared" si="260"/>
        <v>6.0161976170308948</v>
      </c>
      <c r="EI89" s="4">
        <f t="shared" si="174"/>
        <v>4.9450239957683877</v>
      </c>
      <c r="EK89" s="4">
        <f t="shared" si="175"/>
        <v>115.31244512193817</v>
      </c>
      <c r="EL89" s="4">
        <f t="shared" si="176"/>
        <v>3.2031234756093934</v>
      </c>
      <c r="EM89" s="4">
        <f t="shared" si="177"/>
        <v>7.6515780520236359E-2</v>
      </c>
      <c r="EP89" s="4">
        <f t="shared" si="178"/>
        <v>7.6515780520236359E-2</v>
      </c>
      <c r="EQ89" s="4">
        <f t="shared" si="179"/>
        <v>0.26400452441606859</v>
      </c>
      <c r="ER89" s="4">
        <f t="shared" si="180"/>
        <v>3.5315604230679014</v>
      </c>
      <c r="ES89" s="4">
        <f t="shared" si="236"/>
        <v>4.9338906630979427</v>
      </c>
      <c r="ET89" s="4">
        <f t="shared" si="182"/>
        <v>170.43755487806183</v>
      </c>
      <c r="EU89" s="4">
        <f t="shared" si="183"/>
        <v>95.250000000000028</v>
      </c>
      <c r="EV89" s="4">
        <f t="shared" si="261"/>
        <v>1.8628104182055271E-5</v>
      </c>
      <c r="EW89" s="4">
        <f t="shared" si="237"/>
        <v>5.6758477067244071</v>
      </c>
      <c r="EX89" s="4">
        <f t="shared" si="185"/>
        <v>272.9954319038859</v>
      </c>
      <c r="EY89" s="4">
        <f t="shared" si="186"/>
        <v>136.68755487806186</v>
      </c>
      <c r="EZ89" s="4">
        <f t="shared" si="187"/>
        <v>0</v>
      </c>
      <c r="FB89" s="4">
        <f t="shared" si="262"/>
        <v>78.571478216117214</v>
      </c>
      <c r="FG89" s="23">
        <f t="shared" si="216"/>
        <v>2.2000000000000002</v>
      </c>
      <c r="FH89" s="23">
        <f t="shared" si="216"/>
        <v>1</v>
      </c>
      <c r="FI89" s="23">
        <f t="shared" si="230"/>
        <v>2.2000000000000002</v>
      </c>
      <c r="FJ89" s="23">
        <f t="shared" si="217"/>
        <v>2.2000000000000002</v>
      </c>
      <c r="FK89" s="23">
        <f t="shared" si="217"/>
        <v>1.6</v>
      </c>
      <c r="FL89" s="23">
        <f t="shared" si="217"/>
        <v>1.8</v>
      </c>
      <c r="FM89" s="23">
        <f t="shared" si="218"/>
        <v>0</v>
      </c>
      <c r="FN89" s="23"/>
      <c r="FX89" s="4">
        <f t="shared" si="263"/>
        <v>1</v>
      </c>
      <c r="FY89" s="4">
        <f t="shared" si="264"/>
        <v>1.0833333333333333</v>
      </c>
      <c r="FZ89" s="4">
        <f t="shared" si="265"/>
        <v>0</v>
      </c>
      <c r="GA89" s="4">
        <f t="shared" si="266"/>
        <v>188.22540532446502</v>
      </c>
    </row>
    <row r="90" spans="1:184" ht="12" hidden="1" customHeight="1" x14ac:dyDescent="0.3">
      <c r="A90" s="25">
        <v>72</v>
      </c>
      <c r="B90" s="20" t="s">
        <v>54</v>
      </c>
      <c r="C90" s="20">
        <v>2006</v>
      </c>
      <c r="D90" s="24" t="s">
        <v>55</v>
      </c>
      <c r="E90" s="24" t="s">
        <v>72</v>
      </c>
      <c r="F90" s="7" t="s">
        <v>281</v>
      </c>
      <c r="G90" s="7">
        <v>472</v>
      </c>
      <c r="H90" s="7">
        <f t="shared" si="240"/>
        <v>381</v>
      </c>
      <c r="I90" s="7">
        <f t="shared" si="131"/>
        <v>177.79999999999998</v>
      </c>
      <c r="J90" s="7">
        <v>26</v>
      </c>
      <c r="K90" s="7">
        <v>25.4</v>
      </c>
      <c r="L90" s="7">
        <f t="shared" si="151"/>
        <v>15</v>
      </c>
      <c r="M90" s="7">
        <v>7</v>
      </c>
      <c r="N90" s="7">
        <f t="shared" ref="N90:N93" si="280">6*25.4</f>
        <v>152.39999999999998</v>
      </c>
      <c r="O90" s="7">
        <f t="shared" si="267"/>
        <v>63.499999999999986</v>
      </c>
      <c r="P90" s="7">
        <f t="shared" si="133"/>
        <v>50.8</v>
      </c>
      <c r="Q90" s="7">
        <v>0</v>
      </c>
      <c r="R90" s="7">
        <v>1</v>
      </c>
      <c r="S90" s="7">
        <f t="shared" si="134"/>
        <v>88.899999999999991</v>
      </c>
      <c r="T90" s="7">
        <f t="shared" si="241"/>
        <v>2.9999999999999996</v>
      </c>
      <c r="U90" s="7">
        <f t="shared" si="135"/>
        <v>4</v>
      </c>
      <c r="V90" s="7">
        <v>4.7</v>
      </c>
      <c r="W90" s="7">
        <f t="shared" si="152"/>
        <v>4.7</v>
      </c>
      <c r="X90" s="7">
        <f t="shared" si="242"/>
        <v>5.7</v>
      </c>
      <c r="Y90" s="7">
        <f t="shared" si="200"/>
        <v>60.641668842471674</v>
      </c>
      <c r="Z90" s="7"/>
      <c r="AA90" s="7"/>
      <c r="AB90" s="7">
        <v>442</v>
      </c>
      <c r="AC90" s="7"/>
      <c r="AD90" s="7"/>
      <c r="AE90" s="7">
        <v>9.5</v>
      </c>
      <c r="AF90" s="7">
        <v>2</v>
      </c>
      <c r="AG90" s="7">
        <v>152</v>
      </c>
      <c r="AH90" s="7">
        <v>2</v>
      </c>
      <c r="AI90" s="7">
        <v>2</v>
      </c>
      <c r="AJ90" s="7"/>
      <c r="AK90" s="4">
        <f t="shared" si="279"/>
        <v>381</v>
      </c>
      <c r="AL90" s="44">
        <f t="shared" si="153"/>
        <v>5.9259259259259248E-2</v>
      </c>
      <c r="AM90" s="25">
        <f t="shared" si="268"/>
        <v>748.37078117567501</v>
      </c>
      <c r="AN90" s="4">
        <f t="shared" si="269"/>
        <v>0.74</v>
      </c>
      <c r="AO90" s="4">
        <v>1.25</v>
      </c>
      <c r="AP90" s="25">
        <f t="shared" si="270"/>
        <v>5</v>
      </c>
      <c r="AQ90" s="38">
        <f t="shared" si="271"/>
        <v>205.10902891481459</v>
      </c>
      <c r="AR90" s="38">
        <f t="shared" si="272"/>
        <v>205.10902891481459</v>
      </c>
      <c r="AT90" s="38">
        <f t="shared" si="130"/>
        <v>205.10902891481439</v>
      </c>
      <c r="AU90" s="38">
        <f t="shared" si="243"/>
        <v>1.0000000000000009</v>
      </c>
      <c r="AV90" s="38">
        <f t="shared" si="136"/>
        <v>1.868729369641889</v>
      </c>
      <c r="AW90" s="4">
        <f t="shared" si="154"/>
        <v>0</v>
      </c>
      <c r="AX90" s="4">
        <f t="shared" si="220"/>
        <v>187.85861365868152</v>
      </c>
      <c r="AY90" s="4">
        <f t="shared" si="221"/>
        <v>1.1333333333333333</v>
      </c>
      <c r="AZ90" s="38">
        <f t="shared" si="273"/>
        <v>383.29326631184108</v>
      </c>
      <c r="BA90" s="4">
        <f t="shared" si="222"/>
        <v>0.34199999999999997</v>
      </c>
      <c r="BB90" s="4">
        <f t="shared" si="244"/>
        <v>33.569394967738091</v>
      </c>
      <c r="BC90" s="4">
        <f t="shared" si="245"/>
        <v>416.86266127957919</v>
      </c>
      <c r="BE90" s="36">
        <f t="shared" si="246"/>
        <v>1.7609403835677346</v>
      </c>
      <c r="BF90" s="36">
        <f t="shared" si="247"/>
        <v>298.10510335243669</v>
      </c>
      <c r="BK90" s="4">
        <f t="shared" si="156"/>
        <v>63.499999999999986</v>
      </c>
      <c r="BL90" s="4">
        <f t="shared" si="157"/>
        <v>63.499999999999986</v>
      </c>
      <c r="BM90" s="4">
        <f t="shared" si="158"/>
        <v>88.899999999999991</v>
      </c>
      <c r="BN90" s="4">
        <f t="shared" si="159"/>
        <v>76.199999999999989</v>
      </c>
      <c r="BO90" s="4">
        <f t="shared" si="160"/>
        <v>1.04</v>
      </c>
      <c r="BP90" s="25">
        <f t="shared" si="274"/>
        <v>4</v>
      </c>
      <c r="BR90" s="4">
        <f t="shared" si="161"/>
        <v>63.499999999999986</v>
      </c>
      <c r="BV90" s="9"/>
      <c r="BX90" s="9"/>
      <c r="BY90" s="9"/>
      <c r="BZ90" s="9">
        <f t="shared" si="231"/>
        <v>50.8</v>
      </c>
      <c r="CA90" s="9">
        <f t="shared" si="232"/>
        <v>63.499999999999986</v>
      </c>
      <c r="CB90" s="9">
        <f t="shared" si="248"/>
        <v>1.4623505735569622</v>
      </c>
      <c r="CC90" s="9">
        <v>20</v>
      </c>
      <c r="CD90" s="9">
        <f t="shared" si="129"/>
        <v>0.05</v>
      </c>
      <c r="CE90" s="9">
        <f t="shared" si="249"/>
        <v>0.8</v>
      </c>
      <c r="CF90" s="9">
        <f t="shared" si="233"/>
        <v>0.99524931562137331</v>
      </c>
      <c r="CG90" s="9">
        <f t="shared" si="234"/>
        <v>1.056</v>
      </c>
      <c r="CH90" s="9">
        <f t="shared" si="250"/>
        <v>1.8756444837875041</v>
      </c>
      <c r="CI90" s="9">
        <f t="shared" si="251"/>
        <v>4.243365373685613</v>
      </c>
      <c r="CJ90" s="9">
        <v>1</v>
      </c>
      <c r="CK90" s="9">
        <f t="shared" si="252"/>
        <v>373.41615288433394</v>
      </c>
      <c r="CM90" s="4">
        <f t="shared" si="206"/>
        <v>2.3528332898435282</v>
      </c>
      <c r="CN90" s="4">
        <f t="shared" si="207"/>
        <v>1.0603012480015854</v>
      </c>
      <c r="CO90" s="4">
        <f t="shared" si="208"/>
        <v>1.4826985349440416</v>
      </c>
      <c r="CP90" s="4">
        <f t="shared" si="209"/>
        <v>1.1836659892345631</v>
      </c>
      <c r="CQ90" s="4">
        <f t="shared" si="210"/>
        <v>1.2124437123028964</v>
      </c>
      <c r="CR90" s="4">
        <f t="shared" si="211"/>
        <v>1.3702187218050508</v>
      </c>
      <c r="CS90" s="4">
        <f t="shared" si="143"/>
        <v>0.87831273920731312</v>
      </c>
      <c r="DA90" s="4">
        <f t="shared" ref="DA90:DB122" si="281">CM90</f>
        <v>2.3528332898435282</v>
      </c>
      <c r="DB90" s="4">
        <f t="shared" si="281"/>
        <v>1.0603012480015854</v>
      </c>
      <c r="DC90" s="4">
        <f t="shared" ref="DC90:DC122" si="282">CP90</f>
        <v>1.1836659892345631</v>
      </c>
      <c r="DD90" s="4">
        <f t="shared" ref="DD90:DD91" si="283">CS90</f>
        <v>0.87831273920731312</v>
      </c>
      <c r="DE90" s="4">
        <f t="shared" ref="DE90:DF122" si="284">CQ90</f>
        <v>1.2124437123028964</v>
      </c>
      <c r="DF90" s="4">
        <f t="shared" si="284"/>
        <v>1.3702187218050508</v>
      </c>
      <c r="DH90" s="4">
        <f t="shared" si="167"/>
        <v>2</v>
      </c>
      <c r="DI90" s="4">
        <f t="shared" si="168"/>
        <v>381</v>
      </c>
      <c r="DJ90" s="4">
        <f t="shared" si="169"/>
        <v>0.46666666666666662</v>
      </c>
      <c r="DL90" s="4">
        <f t="shared" si="170"/>
        <v>2.6015824312812745E-5</v>
      </c>
      <c r="DM90" s="4">
        <f t="shared" si="171"/>
        <v>7.1020943350297925</v>
      </c>
      <c r="DN90" s="4">
        <f t="shared" si="172"/>
        <v>0.3960514372704414</v>
      </c>
      <c r="DO90" s="4">
        <f t="shared" si="253"/>
        <v>4.9032842891802595</v>
      </c>
      <c r="DP90" s="4">
        <f t="shared" si="254"/>
        <v>6.1028630858810287</v>
      </c>
      <c r="DQ90" s="4">
        <f t="shared" si="255"/>
        <v>6.3724004838122834</v>
      </c>
      <c r="DR90" s="38">
        <f t="shared" si="275"/>
        <v>364.55300606118215</v>
      </c>
      <c r="DS90" s="4">
        <f t="shared" si="256"/>
        <v>1.0002061347589606</v>
      </c>
      <c r="DT90" s="4">
        <f t="shared" si="147"/>
        <v>2.3874672772626644</v>
      </c>
      <c r="DU90" s="4">
        <f t="shared" si="276"/>
        <v>205.10902891481439</v>
      </c>
      <c r="DY90" s="4">
        <f t="shared" si="235"/>
        <v>0.85</v>
      </c>
      <c r="DZ90" s="4">
        <f t="shared" si="257"/>
        <v>0.85000000000000009</v>
      </c>
      <c r="EA90" s="4">
        <f t="shared" si="258"/>
        <v>0.90713466426932854</v>
      </c>
      <c r="EB90" s="4">
        <f t="shared" si="259"/>
        <v>0.7710644646289293</v>
      </c>
      <c r="ED90" s="4">
        <f t="shared" si="277"/>
        <v>322.57623762265746</v>
      </c>
      <c r="EE90" s="25">
        <f t="shared" si="278"/>
        <v>202.29704102729465</v>
      </c>
      <c r="EG90" s="4">
        <f t="shared" si="148"/>
        <v>0.65540479493458992</v>
      </c>
      <c r="EH90" s="4">
        <f t="shared" si="260"/>
        <v>7.1020943350297925</v>
      </c>
      <c r="EI90" s="4">
        <f t="shared" si="174"/>
        <v>7.447594690010102</v>
      </c>
      <c r="EK90" s="4">
        <f t="shared" si="175"/>
        <v>60.641668842471674</v>
      </c>
      <c r="EL90" s="4">
        <f t="shared" si="176"/>
        <v>2.3874672772626644</v>
      </c>
      <c r="EM90" s="4">
        <f t="shared" si="177"/>
        <v>0.11042655740559819</v>
      </c>
      <c r="EP90" s="4">
        <f t="shared" si="178"/>
        <v>0.11042655740559819</v>
      </c>
      <c r="EQ90" s="4">
        <f t="shared" si="179"/>
        <v>0.39539050123559077</v>
      </c>
      <c r="ER90" s="4">
        <f t="shared" si="180"/>
        <v>4.9000095820262892</v>
      </c>
      <c r="ES90" s="4">
        <f t="shared" si="236"/>
        <v>6.1015499625175389</v>
      </c>
      <c r="ET90" s="4">
        <f t="shared" si="182"/>
        <v>225.10833115752831</v>
      </c>
      <c r="EU90" s="4">
        <f t="shared" si="183"/>
        <v>95.25</v>
      </c>
      <c r="EV90" s="4">
        <f t="shared" si="261"/>
        <v>2.6015824312812745E-5</v>
      </c>
      <c r="EW90" s="4">
        <f t="shared" si="237"/>
        <v>6.3725799412119812</v>
      </c>
      <c r="EX90" s="4">
        <f t="shared" si="185"/>
        <v>364.47787450237513</v>
      </c>
      <c r="EY90" s="4">
        <f t="shared" si="186"/>
        <v>117.15833115752831</v>
      </c>
      <c r="EZ90" s="4">
        <f t="shared" si="187"/>
        <v>0</v>
      </c>
      <c r="FB90" s="4">
        <f t="shared" si="262"/>
        <v>199.31504848097791</v>
      </c>
      <c r="FG90" s="23">
        <f t="shared" si="216"/>
        <v>2.2000000000000002</v>
      </c>
      <c r="FH90" s="23">
        <f t="shared" si="216"/>
        <v>1.2</v>
      </c>
      <c r="FI90" s="23">
        <f t="shared" si="230"/>
        <v>1</v>
      </c>
      <c r="FJ90" s="23">
        <f t="shared" si="217"/>
        <v>1.2</v>
      </c>
      <c r="FK90" s="23">
        <f t="shared" si="217"/>
        <v>1.4</v>
      </c>
      <c r="FL90" s="23">
        <f t="shared" si="217"/>
        <v>1.4</v>
      </c>
      <c r="FM90" s="23">
        <f t="shared" si="218"/>
        <v>0</v>
      </c>
      <c r="FN90" s="23"/>
      <c r="FX90" s="4">
        <f t="shared" si="263"/>
        <v>1</v>
      </c>
      <c r="FY90" s="4">
        <f t="shared" si="264"/>
        <v>0.6711572180011689</v>
      </c>
      <c r="FZ90" s="4">
        <f t="shared" si="265"/>
        <v>0.3</v>
      </c>
      <c r="GA90" s="4">
        <f t="shared" si="266"/>
        <v>503.23760577457847</v>
      </c>
    </row>
    <row r="91" spans="1:184" ht="12" hidden="1" customHeight="1" x14ac:dyDescent="0.3">
      <c r="A91" s="25">
        <v>73</v>
      </c>
      <c r="B91" s="20" t="s">
        <v>54</v>
      </c>
      <c r="C91" s="20">
        <v>2006</v>
      </c>
      <c r="D91" s="24" t="s">
        <v>55</v>
      </c>
      <c r="E91" s="24"/>
      <c r="F91" s="7" t="s">
        <v>281</v>
      </c>
      <c r="G91" s="7">
        <v>472</v>
      </c>
      <c r="H91" s="7">
        <f t="shared" si="240"/>
        <v>381</v>
      </c>
      <c r="I91" s="7">
        <f t="shared" si="131"/>
        <v>177.79999999999998</v>
      </c>
      <c r="J91" s="7">
        <v>26</v>
      </c>
      <c r="K91" s="7">
        <v>25.4</v>
      </c>
      <c r="L91" s="7">
        <f t="shared" si="151"/>
        <v>15</v>
      </c>
      <c r="M91" s="7">
        <v>7</v>
      </c>
      <c r="N91" s="7">
        <f t="shared" si="280"/>
        <v>152.39999999999998</v>
      </c>
      <c r="O91" s="7">
        <f t="shared" si="267"/>
        <v>63.499999999999986</v>
      </c>
      <c r="P91" s="7">
        <f t="shared" si="133"/>
        <v>50.8</v>
      </c>
      <c r="Q91" s="7">
        <v>0</v>
      </c>
      <c r="R91" s="7">
        <v>1</v>
      </c>
      <c r="S91" s="7">
        <f t="shared" si="134"/>
        <v>88.899999999999991</v>
      </c>
      <c r="T91" s="7">
        <f t="shared" si="241"/>
        <v>2.9999999999999996</v>
      </c>
      <c r="U91" s="7">
        <f t="shared" si="135"/>
        <v>4</v>
      </c>
      <c r="V91" s="7">
        <v>4.7</v>
      </c>
      <c r="W91" s="7">
        <f t="shared" si="152"/>
        <v>4.7</v>
      </c>
      <c r="X91" s="7">
        <f t="shared" si="242"/>
        <v>5.7</v>
      </c>
      <c r="Y91" s="7">
        <f t="shared" si="200"/>
        <v>60.641668842471674</v>
      </c>
      <c r="Z91" s="7"/>
      <c r="AA91" s="7"/>
      <c r="AB91" s="7">
        <v>459</v>
      </c>
      <c r="AC91" s="7"/>
      <c r="AD91" s="7"/>
      <c r="AE91" s="7">
        <v>9.5</v>
      </c>
      <c r="AF91" s="7">
        <v>3</v>
      </c>
      <c r="AG91" s="7">
        <v>76</v>
      </c>
      <c r="AH91" s="7">
        <v>3</v>
      </c>
      <c r="AI91" s="7">
        <v>3</v>
      </c>
      <c r="AJ91" s="7"/>
      <c r="AK91" s="4">
        <f t="shared" si="279"/>
        <v>381</v>
      </c>
      <c r="AL91" s="44">
        <f t="shared" si="153"/>
        <v>5.9259259259259248E-2</v>
      </c>
      <c r="AM91" s="25">
        <f t="shared" si="268"/>
        <v>748.37078117567501</v>
      </c>
      <c r="AN91" s="4">
        <f t="shared" si="269"/>
        <v>0.74</v>
      </c>
      <c r="AO91" s="4">
        <v>1.25</v>
      </c>
      <c r="AP91" s="25">
        <f t="shared" si="270"/>
        <v>5</v>
      </c>
      <c r="AQ91" s="38">
        <f t="shared" si="271"/>
        <v>205.10902891481459</v>
      </c>
      <c r="AR91" s="38">
        <f t="shared" si="272"/>
        <v>205.10902891481459</v>
      </c>
      <c r="AT91" s="38">
        <f t="shared" si="130"/>
        <v>205.10902891481439</v>
      </c>
      <c r="AU91" s="38">
        <f t="shared" si="243"/>
        <v>1.0000000000000009</v>
      </c>
      <c r="AV91" s="38">
        <f t="shared" si="136"/>
        <v>1.868729369641889</v>
      </c>
      <c r="AW91" s="4">
        <f t="shared" si="154"/>
        <v>0</v>
      </c>
      <c r="AX91" s="4">
        <f t="shared" si="220"/>
        <v>187.85861365868152</v>
      </c>
      <c r="AY91" s="4">
        <f t="shared" si="221"/>
        <v>1.1333333333333333</v>
      </c>
      <c r="AZ91" s="38">
        <f t="shared" si="273"/>
        <v>383.29326631184108</v>
      </c>
      <c r="BA91" s="4">
        <f t="shared" si="222"/>
        <v>0.34199999999999997</v>
      </c>
      <c r="BB91" s="4">
        <f t="shared" si="244"/>
        <v>33.569394967738091</v>
      </c>
      <c r="BC91" s="4">
        <f t="shared" si="245"/>
        <v>416.86266127957919</v>
      </c>
      <c r="BE91" s="36">
        <f t="shared" si="246"/>
        <v>2.2250000000000001</v>
      </c>
      <c r="BF91" s="36">
        <f t="shared" si="247"/>
        <v>376.66457146909903</v>
      </c>
      <c r="BK91" s="4">
        <f t="shared" si="156"/>
        <v>63.499999999999986</v>
      </c>
      <c r="BL91" s="4">
        <f t="shared" si="157"/>
        <v>63.499999999999986</v>
      </c>
      <c r="BM91" s="4">
        <f t="shared" si="158"/>
        <v>88.899999999999991</v>
      </c>
      <c r="BN91" s="4">
        <f t="shared" si="159"/>
        <v>76.199999999999989</v>
      </c>
      <c r="BO91" s="4">
        <f t="shared" si="160"/>
        <v>1.04</v>
      </c>
      <c r="BP91" s="25">
        <f t="shared" si="274"/>
        <v>4</v>
      </c>
      <c r="BR91" s="4">
        <f t="shared" si="161"/>
        <v>63.499999999999986</v>
      </c>
      <c r="BV91" s="9"/>
      <c r="BX91" s="9"/>
      <c r="BY91" s="9"/>
      <c r="BZ91" s="9">
        <f t="shared" si="231"/>
        <v>50.8</v>
      </c>
      <c r="CA91" s="9">
        <f t="shared" si="232"/>
        <v>63.499999999999986</v>
      </c>
      <c r="CB91" s="9">
        <f t="shared" si="248"/>
        <v>1.4623505735569622</v>
      </c>
      <c r="CC91" s="9">
        <v>20</v>
      </c>
      <c r="CD91" s="9">
        <f t="shared" si="129"/>
        <v>0.05</v>
      </c>
      <c r="CE91" s="9">
        <f t="shared" si="249"/>
        <v>0.8</v>
      </c>
      <c r="CF91" s="9">
        <f t="shared" si="233"/>
        <v>0.99524931562137331</v>
      </c>
      <c r="CG91" s="9">
        <f t="shared" si="234"/>
        <v>1.056</v>
      </c>
      <c r="CH91" s="9">
        <f t="shared" si="250"/>
        <v>1.8756444837875041</v>
      </c>
      <c r="CI91" s="9">
        <f t="shared" si="251"/>
        <v>4.243365373685613</v>
      </c>
      <c r="CJ91" s="9">
        <v>1</v>
      </c>
      <c r="CK91" s="9">
        <f t="shared" si="252"/>
        <v>373.41615288433394</v>
      </c>
      <c r="CM91" s="4">
        <f t="shared" si="206"/>
        <v>2.443326877914433</v>
      </c>
      <c r="CN91" s="4">
        <f t="shared" si="207"/>
        <v>1.1010820652324156</v>
      </c>
      <c r="CO91" s="4">
        <f t="shared" si="208"/>
        <v>1.2185908491732296</v>
      </c>
      <c r="CP91" s="4">
        <f t="shared" si="209"/>
        <v>1.2291916042051232</v>
      </c>
      <c r="CQ91" s="4">
        <f t="shared" si="210"/>
        <v>1.2055484567032204</v>
      </c>
      <c r="CR91" s="4">
        <f t="shared" si="211"/>
        <v>1.3661223216497842</v>
      </c>
      <c r="CS91" s="4">
        <f t="shared" si="143"/>
        <v>0.91209399840759442</v>
      </c>
      <c r="DA91" s="4">
        <f t="shared" si="281"/>
        <v>2.443326877914433</v>
      </c>
      <c r="DB91" s="4">
        <f t="shared" si="281"/>
        <v>1.1010820652324156</v>
      </c>
      <c r="DC91" s="4">
        <f t="shared" si="282"/>
        <v>1.2291916042051232</v>
      </c>
      <c r="DD91" s="4">
        <f t="shared" si="283"/>
        <v>0.91209399840759442</v>
      </c>
      <c r="DE91" s="4">
        <f t="shared" si="284"/>
        <v>1.2055484567032204</v>
      </c>
      <c r="DF91" s="4">
        <f t="shared" si="284"/>
        <v>1.3661223216497842</v>
      </c>
      <c r="DH91" s="4">
        <f t="shared" si="167"/>
        <v>3</v>
      </c>
      <c r="DI91" s="4">
        <f t="shared" si="168"/>
        <v>381</v>
      </c>
      <c r="DJ91" s="4">
        <f t="shared" si="169"/>
        <v>0.46666666666666662</v>
      </c>
      <c r="DL91" s="4">
        <f t="shared" si="170"/>
        <v>2.6015824312812745E-5</v>
      </c>
      <c r="DM91" s="4">
        <f t="shared" si="171"/>
        <v>7.8231036659769986</v>
      </c>
      <c r="DN91" s="4">
        <f t="shared" si="172"/>
        <v>0.3960514372704414</v>
      </c>
      <c r="DO91" s="4">
        <f t="shared" si="253"/>
        <v>5.4010689648003103</v>
      </c>
      <c r="DP91" s="4">
        <f t="shared" si="254"/>
        <v>6.7224297971693012</v>
      </c>
      <c r="DQ91" s="4">
        <f t="shared" si="255"/>
        <v>6.9392830395578722</v>
      </c>
      <c r="DR91" s="38">
        <f t="shared" si="275"/>
        <v>380.73956915445314</v>
      </c>
      <c r="DS91" s="4">
        <f t="shared" si="256"/>
        <v>1.0002166350368193</v>
      </c>
      <c r="DT91" s="4">
        <f t="shared" si="147"/>
        <v>2.3874672772626644</v>
      </c>
      <c r="DU91" s="4">
        <f t="shared" si="276"/>
        <v>205.10902891481439</v>
      </c>
      <c r="DY91" s="4">
        <f t="shared" si="235"/>
        <v>0.85</v>
      </c>
      <c r="DZ91" s="4">
        <f t="shared" si="257"/>
        <v>0.85000000000000009</v>
      </c>
      <c r="EA91" s="4">
        <f t="shared" si="258"/>
        <v>0.82320199640399283</v>
      </c>
      <c r="EB91" s="4">
        <f t="shared" si="259"/>
        <v>0.7</v>
      </c>
      <c r="ED91" s="4">
        <f t="shared" si="277"/>
        <v>335.98748276486191</v>
      </c>
      <c r="EE91" s="25">
        <f t="shared" si="278"/>
        <v>202.29704102729465</v>
      </c>
      <c r="EG91" s="4">
        <f t="shared" si="148"/>
        <v>0.59499999999999997</v>
      </c>
      <c r="EH91" s="4">
        <f t="shared" si="260"/>
        <v>7.8231036659769986</v>
      </c>
      <c r="EI91" s="4">
        <f t="shared" si="174"/>
        <v>7.447594690010102</v>
      </c>
      <c r="EK91" s="4">
        <f t="shared" si="175"/>
        <v>60.641668842471674</v>
      </c>
      <c r="EL91" s="4">
        <f t="shared" si="176"/>
        <v>2.3874672772626644</v>
      </c>
      <c r="EM91" s="4">
        <f t="shared" si="177"/>
        <v>0.11042655740559819</v>
      </c>
      <c r="EP91" s="4">
        <f t="shared" si="178"/>
        <v>0.11042655740559819</v>
      </c>
      <c r="EQ91" s="4">
        <f t="shared" si="179"/>
        <v>0.39539050123559077</v>
      </c>
      <c r="ER91" s="4">
        <f t="shared" si="180"/>
        <v>5.3974618072024638</v>
      </c>
      <c r="ES91" s="4">
        <f t="shared" si="236"/>
        <v>6.7209833646503565</v>
      </c>
      <c r="ET91" s="4">
        <f t="shared" si="182"/>
        <v>225.10833115752831</v>
      </c>
      <c r="EU91" s="4">
        <f t="shared" si="183"/>
        <v>95.25</v>
      </c>
      <c r="EV91" s="4">
        <f t="shared" si="261"/>
        <v>2.6015824312812745E-5</v>
      </c>
      <c r="EW91" s="4">
        <f t="shared" si="237"/>
        <v>6.9395004021561064</v>
      </c>
      <c r="EX91" s="4">
        <f t="shared" si="185"/>
        <v>380.65710548839007</v>
      </c>
      <c r="EY91" s="4">
        <f t="shared" si="186"/>
        <v>117.15833115752831</v>
      </c>
      <c r="EZ91" s="4">
        <f t="shared" si="187"/>
        <v>0</v>
      </c>
      <c r="FB91" s="4">
        <f t="shared" si="262"/>
        <v>218.34922323139773</v>
      </c>
      <c r="FG91" s="23">
        <f t="shared" si="216"/>
        <v>2.2000000000000002</v>
      </c>
      <c r="FH91" s="23">
        <f t="shared" si="216"/>
        <v>1.2</v>
      </c>
      <c r="FI91" s="23">
        <f t="shared" si="230"/>
        <v>1</v>
      </c>
      <c r="FJ91" s="23">
        <f t="shared" si="217"/>
        <v>1.4</v>
      </c>
      <c r="FK91" s="23">
        <f t="shared" si="217"/>
        <v>1.4</v>
      </c>
      <c r="FL91" s="23">
        <f t="shared" si="217"/>
        <v>1.4</v>
      </c>
      <c r="FM91" s="23">
        <f t="shared" si="218"/>
        <v>0</v>
      </c>
      <c r="FN91" s="23"/>
      <c r="FX91" s="4">
        <f t="shared" si="263"/>
        <v>1</v>
      </c>
      <c r="FY91" s="4">
        <f t="shared" si="264"/>
        <v>0.6711572180011689</v>
      </c>
      <c r="FZ91" s="4">
        <f t="shared" si="265"/>
        <v>0.3</v>
      </c>
      <c r="GA91" s="4">
        <f t="shared" si="266"/>
        <v>503.23760577457847</v>
      </c>
    </row>
    <row r="92" spans="1:184" ht="12" hidden="1" customHeight="1" x14ac:dyDescent="0.3">
      <c r="A92" s="25">
        <v>74</v>
      </c>
      <c r="B92" s="20" t="s">
        <v>54</v>
      </c>
      <c r="C92" s="20">
        <v>2006</v>
      </c>
      <c r="D92" s="24" t="s">
        <v>55</v>
      </c>
      <c r="E92" s="24"/>
      <c r="F92" s="7" t="s">
        <v>281</v>
      </c>
      <c r="G92" s="7">
        <v>472</v>
      </c>
      <c r="H92" s="7">
        <f t="shared" si="240"/>
        <v>381</v>
      </c>
      <c r="I92" s="7">
        <f t="shared" si="131"/>
        <v>177.79999999999998</v>
      </c>
      <c r="J92" s="7">
        <v>28</v>
      </c>
      <c r="K92" s="7">
        <v>25.4</v>
      </c>
      <c r="L92" s="7">
        <f t="shared" si="151"/>
        <v>15</v>
      </c>
      <c r="M92" s="7">
        <v>7</v>
      </c>
      <c r="N92" s="7">
        <f t="shared" si="280"/>
        <v>152.39999999999998</v>
      </c>
      <c r="O92" s="7">
        <f t="shared" si="267"/>
        <v>63.499999999999986</v>
      </c>
      <c r="P92" s="7">
        <f t="shared" si="133"/>
        <v>50.8</v>
      </c>
      <c r="Q92" s="7">
        <v>0</v>
      </c>
      <c r="R92" s="7">
        <v>1</v>
      </c>
      <c r="S92" s="7">
        <f t="shared" si="134"/>
        <v>88.899999999999991</v>
      </c>
      <c r="T92" s="7">
        <f>MIN(N92/2/K92, (S92+K92/2)/K92)</f>
        <v>2.9999999999999996</v>
      </c>
      <c r="U92" s="7">
        <f t="shared" si="135"/>
        <v>4</v>
      </c>
      <c r="V92" s="7">
        <v>4.7</v>
      </c>
      <c r="W92" s="7">
        <f t="shared" si="152"/>
        <v>4.7</v>
      </c>
      <c r="X92" s="7">
        <f t="shared" si="242"/>
        <v>5.7</v>
      </c>
      <c r="Y92" s="7">
        <f t="shared" si="200"/>
        <v>60.641668842471674</v>
      </c>
      <c r="Z92" s="7"/>
      <c r="AA92" s="7"/>
      <c r="AB92" s="7">
        <v>400</v>
      </c>
      <c r="AC92" s="7"/>
      <c r="AD92" s="7"/>
      <c r="AE92" s="7"/>
      <c r="AF92" s="7"/>
      <c r="AG92" s="7">
        <v>1</v>
      </c>
      <c r="AH92" s="7"/>
      <c r="AI92" s="7"/>
      <c r="AJ92" s="7"/>
      <c r="AK92" s="4">
        <f t="shared" si="279"/>
        <v>381</v>
      </c>
      <c r="AL92" s="44">
        <f t="shared" si="153"/>
        <v>5.9259259259259248E-2</v>
      </c>
      <c r="AM92" s="25">
        <f t="shared" si="268"/>
        <v>776.62106221784506</v>
      </c>
      <c r="AN92" s="4">
        <f t="shared" si="269"/>
        <v>0.74</v>
      </c>
      <c r="AO92" s="4">
        <v>1.25</v>
      </c>
      <c r="AP92" s="25">
        <f t="shared" si="270"/>
        <v>5</v>
      </c>
      <c r="AQ92" s="38">
        <f t="shared" si="271"/>
        <v>212.85169853377971</v>
      </c>
      <c r="AR92" s="38">
        <f t="shared" si="272"/>
        <v>212.85169853377971</v>
      </c>
      <c r="AT92" s="38">
        <f t="shared" si="130"/>
        <v>212.85169853377948</v>
      </c>
      <c r="AU92" s="38">
        <f t="shared" si="243"/>
        <v>1.0000000000000011</v>
      </c>
      <c r="AV92" s="38">
        <f t="shared" si="136"/>
        <v>1.9392721155802133</v>
      </c>
      <c r="AW92" s="4">
        <f t="shared" si="154"/>
        <v>0</v>
      </c>
      <c r="AX92" s="4">
        <f t="shared" si="220"/>
        <v>194.95009660475932</v>
      </c>
      <c r="AY92" s="4">
        <f t="shared" si="221"/>
        <v>1.1333333333333333</v>
      </c>
      <c r="AZ92" s="38">
        <f t="shared" si="273"/>
        <v>412.77736372044433</v>
      </c>
      <c r="BA92" s="4">
        <f t="shared" si="222"/>
        <v>0.34199999999999997</v>
      </c>
      <c r="BB92" s="4">
        <f t="shared" si="244"/>
        <v>34.836607512787459</v>
      </c>
      <c r="BC92" s="4">
        <f t="shared" si="245"/>
        <v>447.61397123323178</v>
      </c>
      <c r="BE92" s="36">
        <f t="shared" si="246"/>
        <v>1.1000000000000001</v>
      </c>
      <c r="BF92" s="36">
        <f t="shared" si="247"/>
        <v>193.24567576015772</v>
      </c>
      <c r="BK92" s="4">
        <f t="shared" si="156"/>
        <v>63.499999999999986</v>
      </c>
      <c r="BL92" s="4">
        <f t="shared" si="157"/>
        <v>63.499999999999986</v>
      </c>
      <c r="BM92" s="4">
        <f t="shared" si="158"/>
        <v>88.899999999999991</v>
      </c>
      <c r="BN92" s="4">
        <f t="shared" si="159"/>
        <v>76.199999999999989</v>
      </c>
      <c r="BO92" s="4">
        <f t="shared" si="160"/>
        <v>1.04</v>
      </c>
      <c r="BP92" s="25">
        <f t="shared" si="274"/>
        <v>3.1199999999999997</v>
      </c>
      <c r="BR92" s="4">
        <f t="shared" si="161"/>
        <v>63.499999999999986</v>
      </c>
      <c r="BV92" s="9"/>
      <c r="BX92" s="9"/>
      <c r="BY92" s="9"/>
      <c r="BZ92" s="9">
        <f t="shared" si="231"/>
        <v>50.8</v>
      </c>
      <c r="CA92" s="9">
        <f t="shared" si="232"/>
        <v>63.499999999999986</v>
      </c>
      <c r="CB92" s="9">
        <f t="shared" si="248"/>
        <v>1.4623505735569622</v>
      </c>
      <c r="CC92" s="9">
        <v>0</v>
      </c>
      <c r="CD92" s="9">
        <f t="shared" si="129"/>
        <v>0</v>
      </c>
      <c r="CE92" s="9">
        <f t="shared" si="249"/>
        <v>0</v>
      </c>
      <c r="CF92" s="9">
        <f t="shared" si="233"/>
        <v>0.99524931562137331</v>
      </c>
      <c r="CG92" s="9">
        <f t="shared" si="234"/>
        <v>1.056</v>
      </c>
      <c r="CH92" s="9">
        <f t="shared" si="250"/>
        <v>1.9464482686693119</v>
      </c>
      <c r="CI92" s="9">
        <f t="shared" si="251"/>
        <v>2.8463897420875242</v>
      </c>
      <c r="CJ92" s="9">
        <v>1</v>
      </c>
      <c r="CK92" s="9">
        <f t="shared" si="252"/>
        <v>250.48229730370213</v>
      </c>
      <c r="CM92" s="4">
        <f t="shared" si="206"/>
        <v>2.0518071391929475</v>
      </c>
      <c r="CN92" s="4">
        <f t="shared" si="207"/>
        <v>0.89362715577878549</v>
      </c>
      <c r="CO92" s="4">
        <f t="shared" si="208"/>
        <v>2.0699040142893055</v>
      </c>
      <c r="CP92" s="4">
        <f t="shared" si="209"/>
        <v>1.5969192406240678</v>
      </c>
      <c r="CQ92" s="4">
        <f t="shared" si="210"/>
        <v>1.1055834412003578</v>
      </c>
      <c r="CR92" s="4">
        <f t="shared" si="211"/>
        <v>1.2379438411590769</v>
      </c>
      <c r="CS92" s="4">
        <f t="shared" si="143"/>
        <v>1.2594431657304286</v>
      </c>
      <c r="CU92" s="4">
        <f t="shared" si="212"/>
        <v>2.0518071391929475</v>
      </c>
      <c r="CV92" s="4">
        <f t="shared" si="212"/>
        <v>0.89362715577878549</v>
      </c>
      <c r="CW92" s="4">
        <f t="shared" si="213"/>
        <v>1.5969192406240678</v>
      </c>
      <c r="CX92" s="4">
        <f>CS92</f>
        <v>1.2594431657304286</v>
      </c>
      <c r="CY92" s="4">
        <f t="shared" si="215"/>
        <v>1.1055834412003578</v>
      </c>
      <c r="CZ92" s="4">
        <f t="shared" si="215"/>
        <v>1.2379438411590769</v>
      </c>
      <c r="DH92" s="4">
        <f t="shared" si="167"/>
        <v>0</v>
      </c>
      <c r="DI92" s="4">
        <f t="shared" si="168"/>
        <v>381</v>
      </c>
      <c r="DJ92" s="4">
        <f t="shared" si="169"/>
        <v>0.46666666666666662</v>
      </c>
      <c r="DL92" s="4">
        <f t="shared" si="170"/>
        <v>2.6402037423385414E-5</v>
      </c>
      <c r="DM92" s="4">
        <f t="shared" si="171"/>
        <v>6.6857562842857838</v>
      </c>
      <c r="DN92" s="4">
        <f t="shared" si="172"/>
        <v>0.38164471441117015</v>
      </c>
      <c r="DO92" s="4">
        <f t="shared" si="253"/>
        <v>4.5479349265027409</v>
      </c>
      <c r="DP92" s="4">
        <f t="shared" si="254"/>
        <v>5.718003726364846</v>
      </c>
      <c r="DQ92" s="4">
        <f t="shared" si="255"/>
        <v>6.0325477522062965</v>
      </c>
      <c r="DR92" s="38">
        <f t="shared" si="275"/>
        <v>361.7999194757391</v>
      </c>
      <c r="DS92" s="4">
        <f t="shared" si="256"/>
        <v>1.0001917675827809</v>
      </c>
      <c r="DT92" s="4">
        <f t="shared" si="147"/>
        <v>2.3874672772626644</v>
      </c>
      <c r="DU92" s="4">
        <f t="shared" si="276"/>
        <v>212.85169853377948</v>
      </c>
      <c r="DY92" s="4">
        <f t="shared" si="235"/>
        <v>0.85</v>
      </c>
      <c r="DZ92" s="4">
        <f t="shared" si="257"/>
        <v>0.85000000000000009</v>
      </c>
      <c r="EA92" s="4">
        <f t="shared" si="258"/>
        <v>1</v>
      </c>
      <c r="EB92" s="4">
        <f t="shared" si="259"/>
        <v>0.85000000000000009</v>
      </c>
      <c r="ED92" s="4">
        <f t="shared" si="277"/>
        <v>323.11643444623724</v>
      </c>
      <c r="EE92" s="25">
        <f t="shared" si="278"/>
        <v>209.93356079366291</v>
      </c>
      <c r="EG92" s="4">
        <f t="shared" si="148"/>
        <v>0.72250000000000003</v>
      </c>
      <c r="EH92" s="4">
        <f t="shared" si="260"/>
        <v>6.6857562842857838</v>
      </c>
      <c r="EI92" s="4">
        <f t="shared" si="174"/>
        <v>6.028412726414806</v>
      </c>
      <c r="EK92" s="4">
        <f t="shared" si="175"/>
        <v>60.641668842471674</v>
      </c>
      <c r="EL92" s="4">
        <f t="shared" si="176"/>
        <v>2.3874672772626644</v>
      </c>
      <c r="EM92" s="4">
        <f t="shared" si="177"/>
        <v>0.11042655740559816</v>
      </c>
      <c r="EP92" s="4">
        <f t="shared" si="178"/>
        <v>0.11042655740559816</v>
      </c>
      <c r="EQ92" s="4">
        <f t="shared" si="179"/>
        <v>0.38100782051172344</v>
      </c>
      <c r="ER92" s="4">
        <f t="shared" si="180"/>
        <v>4.5448975429530103</v>
      </c>
      <c r="ES92" s="4">
        <f t="shared" si="236"/>
        <v>5.7167982559416854</v>
      </c>
      <c r="ET92" s="4">
        <f t="shared" si="182"/>
        <v>225.10833115752831</v>
      </c>
      <c r="EU92" s="4">
        <f t="shared" si="183"/>
        <v>95.25</v>
      </c>
      <c r="EV92" s="4">
        <f t="shared" si="261"/>
        <v>2.6402037423385414E-5</v>
      </c>
      <c r="EW92" s="4">
        <f t="shared" si="237"/>
        <v>6.0327059192851493</v>
      </c>
      <c r="EX92" s="4">
        <f t="shared" si="185"/>
        <v>361.73055128230169</v>
      </c>
      <c r="EY92" s="4">
        <f t="shared" si="186"/>
        <v>117.15833115752831</v>
      </c>
      <c r="EZ92" s="4">
        <f t="shared" si="187"/>
        <v>0</v>
      </c>
      <c r="FB92" s="4">
        <f t="shared" si="262"/>
        <v>187.6761591402859</v>
      </c>
      <c r="FG92" s="23">
        <f t="shared" si="216"/>
        <v>2.2000000000000002</v>
      </c>
      <c r="FH92" s="23">
        <f t="shared" si="216"/>
        <v>1</v>
      </c>
      <c r="FI92" s="23">
        <f t="shared" si="230"/>
        <v>1.4</v>
      </c>
      <c r="FJ92" s="23">
        <f t="shared" si="217"/>
        <v>1.6</v>
      </c>
      <c r="FK92" s="23">
        <f t="shared" si="217"/>
        <v>1.2</v>
      </c>
      <c r="FL92" s="23">
        <f t="shared" si="217"/>
        <v>1.4</v>
      </c>
      <c r="FM92" s="23">
        <f t="shared" si="218"/>
        <v>0</v>
      </c>
      <c r="FN92" s="23"/>
      <c r="FX92" s="4">
        <f t="shared" si="263"/>
        <v>1</v>
      </c>
      <c r="FY92" s="4">
        <f t="shared" si="264"/>
        <v>1.0833333333333333</v>
      </c>
      <c r="FZ92" s="4">
        <f t="shared" si="265"/>
        <v>0</v>
      </c>
      <c r="GA92" s="4">
        <f t="shared" si="266"/>
        <v>317.60067534926469</v>
      </c>
    </row>
    <row r="93" spans="1:184" ht="12" hidden="1" customHeight="1" x14ac:dyDescent="0.3">
      <c r="A93" s="25">
        <v>75</v>
      </c>
      <c r="B93" s="20" t="s">
        <v>54</v>
      </c>
      <c r="C93" s="20">
        <v>2006</v>
      </c>
      <c r="D93" s="24" t="s">
        <v>55</v>
      </c>
      <c r="E93" s="24"/>
      <c r="F93" s="7" t="s">
        <v>66</v>
      </c>
      <c r="G93" s="7">
        <v>472</v>
      </c>
      <c r="H93" s="7">
        <f t="shared" si="240"/>
        <v>381</v>
      </c>
      <c r="I93" s="7">
        <f t="shared" si="131"/>
        <v>177.79999999999998</v>
      </c>
      <c r="J93" s="7">
        <v>26</v>
      </c>
      <c r="K93" s="7">
        <v>25.4</v>
      </c>
      <c r="L93" s="7">
        <f t="shared" si="151"/>
        <v>15</v>
      </c>
      <c r="M93" s="7">
        <v>7</v>
      </c>
      <c r="N93" s="7">
        <f t="shared" si="280"/>
        <v>152.39999999999998</v>
      </c>
      <c r="O93" s="7">
        <f t="shared" si="267"/>
        <v>63.499999999999986</v>
      </c>
      <c r="P93" s="7">
        <f t="shared" si="133"/>
        <v>50.8</v>
      </c>
      <c r="Q93" s="7">
        <v>0</v>
      </c>
      <c r="R93" s="7">
        <v>1</v>
      </c>
      <c r="S93" s="7">
        <f t="shared" si="134"/>
        <v>88.899999999999991</v>
      </c>
      <c r="T93" s="7">
        <f t="shared" si="241"/>
        <v>2.9999999999999996</v>
      </c>
      <c r="U93" s="7">
        <f>MAX(N93/2/K93, (S93+K93/2)/K93)</f>
        <v>4</v>
      </c>
      <c r="V93" s="7">
        <v>4.7</v>
      </c>
      <c r="W93" s="7">
        <f t="shared" si="152"/>
        <v>4.7</v>
      </c>
      <c r="X93" s="7">
        <f t="shared" si="242"/>
        <v>5.7</v>
      </c>
      <c r="Y93" s="7">
        <f t="shared" si="200"/>
        <v>60.641668842471674</v>
      </c>
      <c r="Z93" s="7"/>
      <c r="AA93" s="7"/>
      <c r="AB93" s="7">
        <v>455</v>
      </c>
      <c r="AC93" s="7"/>
      <c r="AD93" s="7"/>
      <c r="AE93" s="7"/>
      <c r="AF93" s="7"/>
      <c r="AG93" s="7">
        <v>1</v>
      </c>
      <c r="AH93" s="7"/>
      <c r="AI93" s="7"/>
      <c r="AJ93" s="7"/>
      <c r="AK93" s="4">
        <f t="shared" si="279"/>
        <v>381</v>
      </c>
      <c r="AL93" s="44">
        <f t="shared" si="153"/>
        <v>5.9259259259259248E-2</v>
      </c>
      <c r="AM93" s="25">
        <f t="shared" si="268"/>
        <v>748.37078117567501</v>
      </c>
      <c r="AN93" s="4">
        <f t="shared" si="269"/>
        <v>0.74</v>
      </c>
      <c r="AO93" s="4">
        <v>1.25</v>
      </c>
      <c r="AP93" s="25">
        <f t="shared" si="270"/>
        <v>5</v>
      </c>
      <c r="AQ93" s="38">
        <f t="shared" si="271"/>
        <v>205.10902891481459</v>
      </c>
      <c r="AR93" s="38">
        <f t="shared" si="272"/>
        <v>205.10902891481459</v>
      </c>
      <c r="AT93" s="38">
        <f>AP93* (J93^0.5/AK93^0.5)/(PI()/4*K93^2)/R93/0.72 *(0.7+(MIN(O93,S93)+0.5*K93)/5/H93) *(N93*MIN(S93+0.5*K93+1.5*H93,508))</f>
        <v>205.10902891481439</v>
      </c>
      <c r="AU93" s="38">
        <f t="shared" si="243"/>
        <v>1.0000000000000009</v>
      </c>
      <c r="AV93" s="38">
        <f t="shared" si="136"/>
        <v>1.868729369641889</v>
      </c>
      <c r="AW93" s="4">
        <f t="shared" si="154"/>
        <v>0</v>
      </c>
      <c r="AX93" s="4">
        <f t="shared" si="220"/>
        <v>187.85861365868152</v>
      </c>
      <c r="AY93" s="4">
        <f t="shared" si="221"/>
        <v>1.1333333333333333</v>
      </c>
      <c r="AZ93" s="38">
        <f t="shared" si="273"/>
        <v>383.29326631184108</v>
      </c>
      <c r="BA93" s="4">
        <f t="shared" si="222"/>
        <v>0.34199999999999997</v>
      </c>
      <c r="BB93" s="4">
        <f t="shared" si="244"/>
        <v>33.569394967738091</v>
      </c>
      <c r="BC93" s="4">
        <f t="shared" si="245"/>
        <v>416.86266127957919</v>
      </c>
      <c r="BE93" s="36">
        <f>MAX(1, (0.9+0.1*MIN(2,T93-0.5))*(0.9+0.1*MIN(3.5,O93/O93))+0.45*MIN(2.5,(40*2*PI()*AE93^2/4/AG93/R93)/K93))</f>
        <v>1.1000000000000001</v>
      </c>
      <c r="BF93" s="36">
        <f>(1.6*M93+22)*BE93*J93^0.5</f>
        <v>186.21619263640849</v>
      </c>
      <c r="BK93" s="4">
        <f t="shared" si="156"/>
        <v>63.499999999999986</v>
      </c>
      <c r="BL93" s="4">
        <f t="shared" si="157"/>
        <v>63.499999999999986</v>
      </c>
      <c r="BM93" s="4">
        <f t="shared" si="158"/>
        <v>88.899999999999991</v>
      </c>
      <c r="BN93" s="4">
        <f t="shared" si="159"/>
        <v>76.199999999999989</v>
      </c>
      <c r="BO93" s="4">
        <f t="shared" si="160"/>
        <v>1.04</v>
      </c>
      <c r="BP93" s="25">
        <f t="shared" si="274"/>
        <v>3.1199999999999997</v>
      </c>
      <c r="BR93" s="4">
        <f t="shared" si="161"/>
        <v>63.499999999999986</v>
      </c>
      <c r="BV93" s="9"/>
      <c r="BX93" s="9"/>
      <c r="BY93" s="9"/>
      <c r="BZ93" s="9">
        <f t="shared" si="231"/>
        <v>50.8</v>
      </c>
      <c r="CA93" s="9">
        <f t="shared" si="232"/>
        <v>63.499999999999986</v>
      </c>
      <c r="CB93" s="9">
        <f t="shared" si="248"/>
        <v>1.4623505735569622</v>
      </c>
      <c r="CC93" s="9">
        <v>0</v>
      </c>
      <c r="CD93" s="9">
        <f t="shared" si="129"/>
        <v>0</v>
      </c>
      <c r="CE93" s="9">
        <f t="shared" si="249"/>
        <v>0</v>
      </c>
      <c r="CF93" s="9">
        <f t="shared" si="233"/>
        <v>0.99524931562137331</v>
      </c>
      <c r="CG93" s="9">
        <f t="shared" si="234"/>
        <v>1.056</v>
      </c>
      <c r="CH93" s="9">
        <f t="shared" si="250"/>
        <v>1.8756444837875041</v>
      </c>
      <c r="CI93" s="9">
        <f t="shared" si="251"/>
        <v>2.7428497866556087</v>
      </c>
      <c r="CJ93" s="9">
        <v>1</v>
      </c>
      <c r="CK93" s="9">
        <f t="shared" si="252"/>
        <v>241.37078122569358</v>
      </c>
      <c r="CM93" s="4">
        <f t="shared" si="206"/>
        <v>2.422034268956573</v>
      </c>
      <c r="CN93" s="4">
        <f t="shared" si="207"/>
        <v>1.0914865788251615</v>
      </c>
      <c r="CO93" s="4">
        <f t="shared" si="208"/>
        <v>2.4433965358125338</v>
      </c>
      <c r="CP93" s="4">
        <f t="shared" si="209"/>
        <v>1.8850666086818213</v>
      </c>
      <c r="CQ93" s="4">
        <f t="shared" si="210"/>
        <v>1.300942585699558</v>
      </c>
      <c r="CR93" s="4">
        <f t="shared" si="211"/>
        <v>1.4653825476444258</v>
      </c>
      <c r="CS93" s="4">
        <f t="shared" si="143"/>
        <v>1.4594060767422257</v>
      </c>
      <c r="CU93" s="4">
        <f t="shared" si="212"/>
        <v>2.422034268956573</v>
      </c>
      <c r="CV93" s="4">
        <f t="shared" si="212"/>
        <v>1.0914865788251615</v>
      </c>
      <c r="CW93" s="4">
        <f t="shared" si="213"/>
        <v>1.8850666086818213</v>
      </c>
      <c r="CX93" s="4">
        <f t="shared" ref="CX93:CX103" si="285">CS93</f>
        <v>1.4594060767422257</v>
      </c>
      <c r="CY93" s="4">
        <f t="shared" si="215"/>
        <v>1.300942585699558</v>
      </c>
      <c r="CZ93" s="4">
        <f t="shared" si="215"/>
        <v>1.4653825476444258</v>
      </c>
      <c r="DH93" s="4">
        <f t="shared" si="167"/>
        <v>0</v>
      </c>
      <c r="DI93" s="4">
        <f t="shared" si="168"/>
        <v>381</v>
      </c>
      <c r="DJ93" s="4">
        <f t="shared" si="169"/>
        <v>0.46666666666666662</v>
      </c>
      <c r="DL93" s="4">
        <f t="shared" si="170"/>
        <v>2.6015824312812745E-5</v>
      </c>
      <c r="DM93" s="4">
        <f t="shared" si="171"/>
        <v>6.4425559602163514</v>
      </c>
      <c r="DN93" s="4">
        <f t="shared" si="172"/>
        <v>0.3960514372704414</v>
      </c>
      <c r="DO93" s="4">
        <f t="shared" si="253"/>
        <v>4.4479391474826082</v>
      </c>
      <c r="DP93" s="4">
        <f t="shared" si="254"/>
        <v>5.5361186564923655</v>
      </c>
      <c r="DQ93" s="4">
        <f t="shared" si="255"/>
        <v>5.841129843893162</v>
      </c>
      <c r="DR93" s="38">
        <f t="shared" si="275"/>
        <v>349.74641079593232</v>
      </c>
      <c r="DS93" s="4">
        <f t="shared" si="256"/>
        <v>1.000195544579793</v>
      </c>
      <c r="DT93" s="4">
        <f t="shared" si="147"/>
        <v>2.3874672772626644</v>
      </c>
      <c r="DU93" s="4">
        <f t="shared" si="276"/>
        <v>205.10902891481439</v>
      </c>
      <c r="DY93" s="4">
        <f t="shared" si="235"/>
        <v>0.85</v>
      </c>
      <c r="DZ93" s="4">
        <f t="shared" si="257"/>
        <v>0.85000000000000009</v>
      </c>
      <c r="EA93" s="4">
        <f t="shared" si="258"/>
        <v>1</v>
      </c>
      <c r="EB93" s="4">
        <f t="shared" si="259"/>
        <v>0.85000000000000009</v>
      </c>
      <c r="ED93" s="4">
        <f t="shared" si="277"/>
        <v>310.49912579578876</v>
      </c>
      <c r="EE93" s="25">
        <f>8.8*N93*508*J93^0.5/R93/K93^2/H93^0.5*(0.7+MIN(S93,O93)/5/H93)</f>
        <v>202.29704102729465</v>
      </c>
      <c r="EG93" s="4">
        <f>DY93*EB93</f>
        <v>0.72250000000000003</v>
      </c>
      <c r="EH93" s="4">
        <f t="shared" si="260"/>
        <v>6.4425559602163514</v>
      </c>
      <c r="EI93" s="4">
        <f t="shared" si="174"/>
        <v>5.8091238582078786</v>
      </c>
      <c r="EK93" s="4">
        <f t="shared" si="175"/>
        <v>60.641668842471674</v>
      </c>
      <c r="EL93" s="4">
        <f t="shared" si="176"/>
        <v>2.3874672772626644</v>
      </c>
      <c r="EM93" s="4">
        <f t="shared" si="177"/>
        <v>0.11042655740559819</v>
      </c>
      <c r="EP93" s="4">
        <f t="shared" si="178"/>
        <v>0.11042655740559819</v>
      </c>
      <c r="EQ93" s="4">
        <f t="shared" si="179"/>
        <v>0.39539050123559077</v>
      </c>
      <c r="ER93" s="4">
        <f t="shared" si="180"/>
        <v>4.4449685471079112</v>
      </c>
      <c r="ES93" s="4">
        <f t="shared" si="236"/>
        <v>5.534927476770882</v>
      </c>
      <c r="ET93" s="4">
        <f t="shared" si="182"/>
        <v>225.10833115752831</v>
      </c>
      <c r="EU93" s="4">
        <f t="shared" si="183"/>
        <v>95.25</v>
      </c>
      <c r="EV93" s="4">
        <f t="shared" si="261"/>
        <v>2.6015824312812745E-5</v>
      </c>
      <c r="EW93" s="4">
        <f t="shared" si="237"/>
        <v>5.8412777557424471</v>
      </c>
      <c r="EX93" s="4">
        <f t="shared" si="185"/>
        <v>349.67803315187678</v>
      </c>
      <c r="EY93" s="4">
        <f t="shared" si="186"/>
        <v>117.15833115752831</v>
      </c>
      <c r="EZ93" s="4">
        <f t="shared" si="187"/>
        <v>0</v>
      </c>
      <c r="FB93" s="4">
        <f t="shared" si="262"/>
        <v>181.71293344124172</v>
      </c>
      <c r="FG93" s="23">
        <f t="shared" si="216"/>
        <v>2.2000000000000002</v>
      </c>
      <c r="FH93" s="23">
        <f t="shared" si="216"/>
        <v>1.2</v>
      </c>
      <c r="FI93" s="23">
        <f t="shared" si="230"/>
        <v>1.6</v>
      </c>
      <c r="FJ93" s="23">
        <f t="shared" si="217"/>
        <v>2</v>
      </c>
      <c r="FK93" s="23">
        <f t="shared" si="217"/>
        <v>1.4</v>
      </c>
      <c r="FL93" s="23">
        <f t="shared" si="217"/>
        <v>1.6</v>
      </c>
      <c r="FM93" s="23">
        <f t="shared" si="218"/>
        <v>0</v>
      </c>
      <c r="FN93" s="23"/>
      <c r="FX93" s="4">
        <f t="shared" si="263"/>
        <v>1</v>
      </c>
      <c r="FY93" s="4">
        <f t="shared" si="264"/>
        <v>1.0833333333333333</v>
      </c>
      <c r="FZ93" s="4">
        <f t="shared" si="265"/>
        <v>0</v>
      </c>
      <c r="GA93" s="4">
        <f t="shared" si="266"/>
        <v>311.77066290944771</v>
      </c>
    </row>
    <row r="94" spans="1:184" ht="12" hidden="1" customHeight="1" x14ac:dyDescent="0.3">
      <c r="A94" s="25">
        <v>76</v>
      </c>
      <c r="B94" s="24" t="s">
        <v>605</v>
      </c>
      <c r="C94" s="24">
        <v>2016</v>
      </c>
      <c r="D94" s="24" t="s">
        <v>55</v>
      </c>
      <c r="E94" s="24"/>
      <c r="F94" s="7" t="s">
        <v>612</v>
      </c>
      <c r="G94" s="38">
        <f>129/0.145</f>
        <v>889.65517241379314</v>
      </c>
      <c r="H94" s="38">
        <f>9*25.4</f>
        <v>228.6</v>
      </c>
      <c r="I94" s="4">
        <f>H94</f>
        <v>228.6</v>
      </c>
      <c r="J94" s="38">
        <f>5740/145</f>
        <v>39.586206896551722</v>
      </c>
      <c r="K94" s="38">
        <f>1*25.4</f>
        <v>25.4</v>
      </c>
      <c r="L94" s="7">
        <f>H94/K94</f>
        <v>9</v>
      </c>
      <c r="M94" s="7">
        <f>I94/K94</f>
        <v>9</v>
      </c>
      <c r="N94" s="38">
        <f>18*25.4</f>
        <v>457.2</v>
      </c>
      <c r="O94" s="38">
        <f>2.5*25.4</f>
        <v>63.5</v>
      </c>
      <c r="P94" s="7">
        <f t="shared" si="133"/>
        <v>50.8</v>
      </c>
      <c r="Q94" s="7">
        <f>(N94-R94*K94-2*O94)/(R94-1)</f>
        <v>279.39999999999998</v>
      </c>
      <c r="R94" s="38">
        <v>2</v>
      </c>
      <c r="S94" s="39">
        <f>2*25.4</f>
        <v>50.8</v>
      </c>
      <c r="T94" s="7">
        <f>MIN(Q94/K94/2+0.5, (S94+K94/2)/K94, O94/K94+0.5)</f>
        <v>2.5</v>
      </c>
      <c r="U94" s="7">
        <f>O94/K94+0.5</f>
        <v>3</v>
      </c>
      <c r="V94" s="38">
        <v>4</v>
      </c>
      <c r="W94" s="4">
        <f>V94</f>
        <v>4</v>
      </c>
      <c r="X94" s="4">
        <f>W94+1</f>
        <v>5</v>
      </c>
      <c r="Y94" s="7">
        <f>K94*X94^0.5</f>
        <v>56.796126628494655</v>
      </c>
      <c r="AB94" s="38">
        <f>101.9/(PI()/4)/0.145*AD103</f>
        <v>756.43445013829012</v>
      </c>
      <c r="AC94" s="4" t="s">
        <v>654</v>
      </c>
      <c r="AE94" s="38"/>
      <c r="AF94" s="38"/>
      <c r="AG94" s="39">
        <v>1</v>
      </c>
      <c r="AH94" s="39"/>
      <c r="AI94" s="39"/>
      <c r="AJ94" s="7"/>
      <c r="AK94" s="4">
        <f t="shared" si="279"/>
        <v>228.6</v>
      </c>
      <c r="AL94" s="44">
        <f>MIN(N94)*(MIN(20*25.4-S94-0.5*K94,1.5*AK94)+S94+K94/2)/(3*H94)^2</f>
        <v>0.39506172839506176</v>
      </c>
      <c r="AM94" s="25">
        <f t="shared" si="268"/>
        <v>214.58480899223187</v>
      </c>
      <c r="AN94" s="4">
        <f t="shared" si="269"/>
        <v>0.75555555555555554</v>
      </c>
      <c r="AO94" s="4">
        <v>1.25</v>
      </c>
      <c r="AP94" s="25">
        <f t="shared" si="270"/>
        <v>5</v>
      </c>
      <c r="AQ94" s="38">
        <f t="shared" si="271"/>
        <v>400.32282610347784</v>
      </c>
      <c r="AR94" s="38">
        <f t="shared" si="272"/>
        <v>400.32282610347784</v>
      </c>
      <c r="AT94" s="38">
        <f t="shared" ref="AT94:AT102" si="286">AP94* (J94^0.5/AK94^0.5)/(PI()/4*K94^2)/R94/0.72 *(0.7+(MIN(O94,S94)+0.5*K94)/5/H94) *(N94*MIN(S94+0.5*K94+1.5*H94,20*25.4))</f>
        <v>400.32282610347767</v>
      </c>
      <c r="AU94" s="38">
        <f t="shared" si="243"/>
        <v>1.0000000000000004</v>
      </c>
      <c r="AV94" s="38">
        <f t="shared" si="136"/>
        <v>1.0679656682185992</v>
      </c>
      <c r="AW94" s="4">
        <f t="shared" si="154"/>
        <v>0</v>
      </c>
      <c r="AX94" s="4">
        <f t="shared" si="220"/>
        <v>298.030597558213</v>
      </c>
      <c r="AY94" s="4">
        <f t="shared" si="221"/>
        <v>1.08</v>
      </c>
      <c r="AZ94" s="38">
        <f t="shared" si="273"/>
        <v>427.53103448275863</v>
      </c>
      <c r="BA94" s="4">
        <f t="shared" si="222"/>
        <v>0.44000000000000006</v>
      </c>
      <c r="BB94" s="4">
        <f t="shared" si="244"/>
        <v>68.517234378633177</v>
      </c>
      <c r="BC94" s="4">
        <f t="shared" si="245"/>
        <v>496.04826886139182</v>
      </c>
      <c r="BE94" s="36">
        <f t="shared" ref="BE94:BE103" si="287">MAX(1, (0.9+0.1*MIN(2,T94-0.5))*(0.9+0.1*MIN(3.5,O94/O94))+0.45*MIN(2.5,(40*2*PI()*AE94^2/4/AG94/R94)/K94))</f>
        <v>1.1000000000000001</v>
      </c>
      <c r="BF94" s="36">
        <f t="shared" ref="BF94:BF103" si="288">(1.6*M94+22)*BE94*J94^0.5</f>
        <v>251.92195266487349</v>
      </c>
      <c r="BK94" s="4">
        <f t="shared" si="156"/>
        <v>63.5</v>
      </c>
      <c r="BL94" s="4">
        <f t="shared" si="157"/>
        <v>50.8</v>
      </c>
      <c r="BM94" s="4">
        <f t="shared" si="158"/>
        <v>63.5</v>
      </c>
      <c r="BN94" s="4">
        <f t="shared" si="159"/>
        <v>63.5</v>
      </c>
      <c r="BO94" s="4">
        <f t="shared" si="160"/>
        <v>1.0250000000000001</v>
      </c>
      <c r="BP94" s="25">
        <f t="shared" si="274"/>
        <v>2.5625000000000004</v>
      </c>
      <c r="BR94" s="4">
        <f t="shared" si="161"/>
        <v>63.5</v>
      </c>
      <c r="BV94" s="9"/>
      <c r="BX94" s="9"/>
      <c r="BY94" s="9"/>
      <c r="BZ94" s="9">
        <f t="shared" si="231"/>
        <v>50.8</v>
      </c>
      <c r="CA94" s="9">
        <f t="shared" si="232"/>
        <v>139.69999999999999</v>
      </c>
      <c r="CB94" s="9">
        <f t="shared" si="248"/>
        <v>1.6459434193552143</v>
      </c>
      <c r="CC94" s="9">
        <v>0</v>
      </c>
      <c r="CD94" s="9">
        <f t="shared" si="129"/>
        <v>0</v>
      </c>
      <c r="CE94" s="9">
        <f t="shared" si="249"/>
        <v>0</v>
      </c>
      <c r="CF94" s="9">
        <f t="shared" si="233"/>
        <v>0.99524931562137331</v>
      </c>
      <c r="CG94" s="9">
        <f t="shared" si="234"/>
        <v>0.68</v>
      </c>
      <c r="CH94" s="9">
        <f t="shared" si="250"/>
        <v>1.490324324005301</v>
      </c>
      <c r="CI94" s="9">
        <f t="shared" si="251"/>
        <v>2.4529895138015334</v>
      </c>
      <c r="CJ94" s="9">
        <v>1</v>
      </c>
      <c r="CK94" s="9">
        <f t="shared" si="252"/>
        <v>235.48699332494721</v>
      </c>
      <c r="CM94" s="4">
        <f t="shared" si="206"/>
        <v>2.5381100341233895</v>
      </c>
      <c r="CN94" s="4">
        <f t="shared" si="207"/>
        <v>1.5249210563209457</v>
      </c>
      <c r="CO94" s="4">
        <f t="shared" si="208"/>
        <v>3.0026539653912536</v>
      </c>
      <c r="CP94" s="4">
        <f t="shared" si="209"/>
        <v>3.2122132923685105</v>
      </c>
      <c r="CQ94" s="4">
        <f t="shared" si="210"/>
        <v>1.1561639069038447</v>
      </c>
      <c r="CR94" s="4">
        <f t="shared" si="211"/>
        <v>1.0724330257730104</v>
      </c>
      <c r="CS94" s="4">
        <f t="shared" si="143"/>
        <v>1.6801577724580639</v>
      </c>
      <c r="CU94" s="4">
        <f t="shared" si="212"/>
        <v>2.5381100341233895</v>
      </c>
      <c r="CV94" s="4">
        <f t="shared" si="212"/>
        <v>1.5249210563209457</v>
      </c>
      <c r="CW94" s="4">
        <f t="shared" si="213"/>
        <v>3.2122132923685105</v>
      </c>
      <c r="CX94" s="4">
        <f t="shared" si="285"/>
        <v>1.6801577724580639</v>
      </c>
      <c r="CY94" s="4">
        <f t="shared" si="215"/>
        <v>1.1561639069038447</v>
      </c>
      <c r="CZ94" s="4">
        <f t="shared" si="215"/>
        <v>1.0724330257730104</v>
      </c>
      <c r="DH94" s="4">
        <f t="shared" si="167"/>
        <v>0</v>
      </c>
      <c r="DI94" s="4">
        <f t="shared" si="168"/>
        <v>228.6</v>
      </c>
      <c r="DJ94" s="4">
        <f t="shared" si="169"/>
        <v>1</v>
      </c>
      <c r="DL94" s="4">
        <f t="shared" si="170"/>
        <v>1.7165449536863499E-5</v>
      </c>
      <c r="DM94" s="4">
        <f t="shared" si="171"/>
        <v>7.9495669385574006</v>
      </c>
      <c r="DN94" s="4">
        <f t="shared" si="172"/>
        <v>0.55871723432551368</v>
      </c>
      <c r="DO94" s="4">
        <f t="shared" si="253"/>
        <v>6.298255836540501</v>
      </c>
      <c r="DP94" s="4">
        <f t="shared" si="254"/>
        <v>7.1716614786486721</v>
      </c>
      <c r="DQ94" s="4">
        <f t="shared" si="255"/>
        <v>7.5685095187246061</v>
      </c>
      <c r="DR94" s="38">
        <f t="shared" si="275"/>
        <v>654.26229414477029</v>
      </c>
      <c r="DS94" s="4">
        <f t="shared" si="256"/>
        <v>1.0001067807267576</v>
      </c>
      <c r="DT94" s="4">
        <f t="shared" si="147"/>
        <v>2.2360679774997898</v>
      </c>
      <c r="DU94" s="4">
        <f t="shared" si="276"/>
        <v>400.32282610347767</v>
      </c>
      <c r="DY94" s="4">
        <f t="shared" si="235"/>
        <v>0.85</v>
      </c>
      <c r="DZ94" s="4">
        <f t="shared" si="257"/>
        <v>0.85</v>
      </c>
      <c r="EA94" s="4">
        <f t="shared" si="258"/>
        <v>1</v>
      </c>
      <c r="EB94" s="4">
        <f t="shared" si="259"/>
        <v>0.85</v>
      </c>
      <c r="ED94" s="4">
        <f t="shared" si="277"/>
        <v>705.34423312173897</v>
      </c>
      <c r="EE94" s="25">
        <f>8.8*N94*(20*25.4)*J94^0.5/R94/K94^2/H94^0.5*(0.7+MIN(S94,O94)/5/H94)</f>
        <v>490.70592578068914</v>
      </c>
      <c r="EG94" s="4">
        <f>DY94*EB94</f>
        <v>0.72249999999999992</v>
      </c>
      <c r="EH94" s="4">
        <f>IF(K94&lt;22.2,1.1*5*(J94/30)^0.5,IF(K94&gt;=31.8,0.9*5*(J94/30)^0.5,1*5*(J94/30)^0.5))/DY94/EB94</f>
        <v>7.9495669385574006</v>
      </c>
      <c r="EI94" s="4">
        <f t="shared" si="174"/>
        <v>5.8871511659354159</v>
      </c>
      <c r="EK94" s="4">
        <f t="shared" si="175"/>
        <v>56.796126628494655</v>
      </c>
      <c r="EL94" s="4">
        <f t="shared" si="176"/>
        <v>2.2360679774997898</v>
      </c>
      <c r="EM94" s="4">
        <f t="shared" si="177"/>
        <v>0.1922203122479216</v>
      </c>
      <c r="EP94" s="4">
        <f t="shared" si="178"/>
        <v>0.1922203122479216</v>
      </c>
      <c r="EQ94" s="4">
        <f t="shared" si="179"/>
        <v>0.55778483939216139</v>
      </c>
      <c r="ER94" s="4">
        <f t="shared" si="180"/>
        <v>6.2940494837718139</v>
      </c>
      <c r="ES94" s="4">
        <f t="shared" si="236"/>
        <v>7.1698155001937067</v>
      </c>
      <c r="ET94" s="4">
        <f t="shared" si="182"/>
        <v>114.65387337150534</v>
      </c>
      <c r="EU94" s="4">
        <f t="shared" si="183"/>
        <v>57.150000000000006</v>
      </c>
      <c r="EV94" s="4">
        <f t="shared" si="261"/>
        <v>1.7165449536863506E-5</v>
      </c>
      <c r="EW94" s="4">
        <f t="shared" si="237"/>
        <v>7.5686315302667664</v>
      </c>
      <c r="EX94" s="4">
        <f t="shared" si="185"/>
        <v>654.19243900069443</v>
      </c>
      <c r="EY94" s="4">
        <f t="shared" si="186"/>
        <v>114.65387337150534</v>
      </c>
      <c r="EZ94" s="4">
        <f t="shared" si="187"/>
        <v>57.15</v>
      </c>
      <c r="FB94" s="4">
        <f t="shared" si="262"/>
        <v>0</v>
      </c>
      <c r="FG94" s="23">
        <f t="shared" si="216"/>
        <v>2.2000000000000002</v>
      </c>
      <c r="FH94" s="23">
        <f t="shared" si="216"/>
        <v>1.6</v>
      </c>
      <c r="FI94" s="23">
        <f t="shared" si="230"/>
        <v>1.8</v>
      </c>
      <c r="FJ94" s="23">
        <f t="shared" si="217"/>
        <v>2.2000000000000002</v>
      </c>
      <c r="FK94" s="23">
        <f t="shared" si="217"/>
        <v>1.2</v>
      </c>
      <c r="FL94" s="23">
        <f t="shared" si="217"/>
        <v>1.2</v>
      </c>
      <c r="FM94" s="23">
        <f t="shared" si="218"/>
        <v>0</v>
      </c>
      <c r="FN94" s="23"/>
      <c r="FX94" s="4">
        <f t="shared" si="263"/>
        <v>1</v>
      </c>
      <c r="FY94" s="4">
        <f>IF(AG94&gt;1, 0.05*(18-MIN(8,(Q94+K94)/K94))*(1-48000/MAX(60000,(G94*145))*(K94/25.4)^0.75*FZ94), 1/12*(14-MIN(8,(Q94+K94)/K94)))</f>
        <v>0.5</v>
      </c>
      <c r="FZ94" s="4">
        <f t="shared" si="265"/>
        <v>0</v>
      </c>
      <c r="GA94" s="4">
        <f t="shared" si="266"/>
        <v>450.21632047782612</v>
      </c>
      <c r="GB94" s="4">
        <f>GA94*510*0.145*2</f>
        <v>66586.993798670475</v>
      </c>
    </row>
    <row r="95" spans="1:184" ht="12" hidden="1" customHeight="1" x14ac:dyDescent="0.3">
      <c r="A95" s="25">
        <v>77</v>
      </c>
      <c r="B95" s="24" t="s">
        <v>605</v>
      </c>
      <c r="C95" s="24">
        <v>2016</v>
      </c>
      <c r="D95" s="24" t="s">
        <v>55</v>
      </c>
      <c r="F95" s="7" t="s">
        <v>613</v>
      </c>
      <c r="G95" s="38">
        <f t="shared" ref="G95:G103" si="289">129/0.145</f>
        <v>889.65517241379314</v>
      </c>
      <c r="H95" s="38">
        <f>10.4*25.4</f>
        <v>264.15999999999997</v>
      </c>
      <c r="I95" s="4">
        <f t="shared" ref="I95:I103" si="290">H95</f>
        <v>264.15999999999997</v>
      </c>
      <c r="J95" s="38">
        <f>4490/145</f>
        <v>30.96551724137931</v>
      </c>
      <c r="K95" s="38">
        <f t="shared" ref="K95:K103" si="291">1*25.4</f>
        <v>25.4</v>
      </c>
      <c r="L95" s="7">
        <f t="shared" ref="L95:L103" si="292">H95/K95</f>
        <v>10.399999999999999</v>
      </c>
      <c r="M95" s="7">
        <f t="shared" ref="M95:M103" si="293">I95/K95</f>
        <v>10.399999999999999</v>
      </c>
      <c r="N95" s="38">
        <f>18.1*25.4</f>
        <v>459.74</v>
      </c>
      <c r="O95" s="38">
        <f t="shared" ref="O95:O103" si="294">2.5*25.4</f>
        <v>63.5</v>
      </c>
      <c r="P95" s="7">
        <f t="shared" si="133"/>
        <v>50.8</v>
      </c>
      <c r="Q95" s="7">
        <f t="shared" ref="Q95:Q103" si="295">(N95-R95*K95-2*O95)/(R95-1)</f>
        <v>281.94</v>
      </c>
      <c r="R95" s="38">
        <v>2</v>
      </c>
      <c r="S95" s="39">
        <f t="shared" ref="S95:S103" si="296">2*25.4</f>
        <v>50.8</v>
      </c>
      <c r="T95" s="7">
        <f>MIN(Q95/K95/2+0.5, (S95+K95/2)/K95, O95/K95+0.5)</f>
        <v>2.5</v>
      </c>
      <c r="U95" s="7">
        <f>O95/K95+0.5</f>
        <v>3</v>
      </c>
      <c r="V95" s="38">
        <v>4</v>
      </c>
      <c r="W95" s="4">
        <f t="shared" ref="W95:W103" si="297">V95</f>
        <v>4</v>
      </c>
      <c r="X95" s="4">
        <f t="shared" ref="X95:X103" si="298">W95+1</f>
        <v>5</v>
      </c>
      <c r="Y95" s="7">
        <f t="shared" ref="Y95:Y103" si="299">K95*X95^0.5</f>
        <v>56.796126628494655</v>
      </c>
      <c r="Z95" s="7"/>
      <c r="AA95" s="7"/>
      <c r="AB95" s="38">
        <f>105/(PI()/4)/0.145</f>
        <v>922.00104963580748</v>
      </c>
      <c r="AC95" s="7"/>
      <c r="AD95" s="7">
        <f>105/127</f>
        <v>0.82677165354330706</v>
      </c>
      <c r="AE95" s="7"/>
      <c r="AF95" s="7"/>
      <c r="AG95" s="39">
        <v>1</v>
      </c>
      <c r="AH95" s="7"/>
      <c r="AI95" s="7"/>
      <c r="AJ95" s="7"/>
      <c r="AK95" s="4">
        <f t="shared" si="279"/>
        <v>264.15999999999997</v>
      </c>
      <c r="AL95" s="44">
        <f t="shared" ref="AL95:AL103" si="300">MIN(N95)*(MIN(20*25.4-S95-0.5*K95,1.5*AK95)+S95+K95/2)/(3*H95)^2</f>
        <v>0.33654873438527289</v>
      </c>
      <c r="AM95" s="25">
        <f t="shared" si="268"/>
        <v>235.75040255705565</v>
      </c>
      <c r="AN95" s="4">
        <f t="shared" si="269"/>
        <v>0.74807692307692308</v>
      </c>
      <c r="AO95" s="4">
        <v>1.25</v>
      </c>
      <c r="AP95" s="25">
        <f t="shared" si="270"/>
        <v>5</v>
      </c>
      <c r="AQ95" s="38">
        <f t="shared" si="271"/>
        <v>370.95965563501107</v>
      </c>
      <c r="AR95" s="38">
        <f t="shared" si="272"/>
        <v>370.95965563501107</v>
      </c>
      <c r="AT95" s="38">
        <f t="shared" si="286"/>
        <v>370.95965563501068</v>
      </c>
      <c r="AU95" s="38">
        <f t="shared" si="243"/>
        <v>1.0000000000000011</v>
      </c>
      <c r="AV95" s="38">
        <f t="shared" si="136"/>
        <v>0.90152010097815527</v>
      </c>
      <c r="AW95" s="4">
        <f t="shared" si="154"/>
        <v>1</v>
      </c>
      <c r="AX95" s="4">
        <f t="shared" si="220"/>
        <v>304.59229117894546</v>
      </c>
      <c r="AY95" s="4">
        <f t="shared" si="221"/>
        <v>1.08</v>
      </c>
      <c r="AZ95" s="38">
        <f t="shared" si="273"/>
        <v>334.42758620689654</v>
      </c>
      <c r="BA95" s="4">
        <f t="shared" si="222"/>
        <v>0.44000000000000006</v>
      </c>
      <c r="BB95" s="4">
        <f t="shared" si="244"/>
        <v>70.025767742039562</v>
      </c>
      <c r="BC95" s="4">
        <f t="shared" si="245"/>
        <v>404.45335394893607</v>
      </c>
      <c r="BE95" s="36">
        <f t="shared" si="287"/>
        <v>1.1000000000000001</v>
      </c>
      <c r="BF95" s="36">
        <f t="shared" si="288"/>
        <v>236.52060013570011</v>
      </c>
      <c r="BK95" s="4">
        <f t="shared" si="156"/>
        <v>63.5</v>
      </c>
      <c r="BL95" s="4">
        <f t="shared" si="157"/>
        <v>50.8</v>
      </c>
      <c r="BM95" s="4">
        <f t="shared" si="158"/>
        <v>63.5</v>
      </c>
      <c r="BN95" s="4">
        <f t="shared" si="159"/>
        <v>63.5</v>
      </c>
      <c r="BO95" s="4">
        <f t="shared" si="160"/>
        <v>1.0250000000000001</v>
      </c>
      <c r="BP95" s="25">
        <f t="shared" si="274"/>
        <v>2.5625000000000004</v>
      </c>
      <c r="BR95" s="4">
        <f t="shared" si="161"/>
        <v>63.5</v>
      </c>
      <c r="BV95" s="9"/>
      <c r="BX95" s="9"/>
      <c r="BY95" s="9"/>
      <c r="BZ95" s="9">
        <f t="shared" si="231"/>
        <v>50.8</v>
      </c>
      <c r="CA95" s="9">
        <f t="shared" si="232"/>
        <v>140.97</v>
      </c>
      <c r="CB95" s="9">
        <f t="shared" si="248"/>
        <v>1.6481792641469835</v>
      </c>
      <c r="CC95" s="9">
        <v>0</v>
      </c>
      <c r="CD95" s="9">
        <f t="shared" si="129"/>
        <v>0</v>
      </c>
      <c r="CE95" s="9">
        <f t="shared" si="249"/>
        <v>0</v>
      </c>
      <c r="CF95" s="9">
        <f t="shared" si="233"/>
        <v>0.99524931562137331</v>
      </c>
      <c r="CG95" s="9">
        <f t="shared" si="234"/>
        <v>0.68</v>
      </c>
      <c r="CH95" s="9">
        <f t="shared" si="250"/>
        <v>1.3180989499545468</v>
      </c>
      <c r="CI95" s="9">
        <f t="shared" si="251"/>
        <v>2.1724633574089967</v>
      </c>
      <c r="CJ95" s="9">
        <v>1</v>
      </c>
      <c r="CK95" s="9">
        <f t="shared" si="252"/>
        <v>220.72227711275406</v>
      </c>
      <c r="CM95" s="4">
        <f t="shared" si="206"/>
        <v>3.0270006048647482</v>
      </c>
      <c r="CN95" s="4">
        <f t="shared" si="207"/>
        <v>2.2796227071273441</v>
      </c>
      <c r="CO95" s="4">
        <f t="shared" si="208"/>
        <v>3.8981849746145723</v>
      </c>
      <c r="CP95" s="4">
        <f t="shared" si="209"/>
        <v>4.1771997901453837</v>
      </c>
      <c r="CQ95" s="4">
        <f t="shared" si="210"/>
        <v>1.4442027183793973</v>
      </c>
      <c r="CR95" s="4">
        <f t="shared" si="211"/>
        <v>1.4821353465266294</v>
      </c>
      <c r="CS95" s="4">
        <f t="shared" si="143"/>
        <v>1.8844548614240106</v>
      </c>
      <c r="CU95" s="4">
        <f t="shared" si="212"/>
        <v>3.0270006048647482</v>
      </c>
      <c r="CV95" s="4">
        <f t="shared" si="212"/>
        <v>2.2796227071273441</v>
      </c>
      <c r="CW95" s="4">
        <f t="shared" si="213"/>
        <v>4.1771997901453837</v>
      </c>
      <c r="CX95" s="4">
        <f t="shared" si="285"/>
        <v>1.8844548614240106</v>
      </c>
      <c r="CY95" s="4">
        <f t="shared" si="215"/>
        <v>1.4442027183793973</v>
      </c>
      <c r="CZ95" s="4">
        <f t="shared" si="215"/>
        <v>1.4821353465266294</v>
      </c>
      <c r="DH95" s="4">
        <f t="shared" si="167"/>
        <v>0</v>
      </c>
      <c r="DI95" s="4">
        <f t="shared" si="168"/>
        <v>264.15999999999997</v>
      </c>
      <c r="DJ95" s="4">
        <f t="shared" si="169"/>
        <v>1</v>
      </c>
      <c r="DL95" s="4">
        <f t="shared" si="170"/>
        <v>1.8699368483673423E-5</v>
      </c>
      <c r="DM95" s="4">
        <f t="shared" si="171"/>
        <v>7.0308963394927586</v>
      </c>
      <c r="DN95" s="4">
        <f t="shared" si="172"/>
        <v>0.66187190263897755</v>
      </c>
      <c r="DO95" s="4">
        <f t="shared" si="253"/>
        <v>5.9610158002057858</v>
      </c>
      <c r="DP95" s="4">
        <f t="shared" si="254"/>
        <v>6.5179597703410481</v>
      </c>
      <c r="DQ95" s="4">
        <f t="shared" si="255"/>
        <v>6.6419918127671052</v>
      </c>
      <c r="DR95" s="38">
        <f t="shared" si="275"/>
        <v>638.41525701490502</v>
      </c>
      <c r="DS95" s="4">
        <f t="shared" si="256"/>
        <v>1.0001171802702424</v>
      </c>
      <c r="DT95" s="4">
        <f t="shared" si="147"/>
        <v>2.2360679774997898</v>
      </c>
      <c r="DU95" s="4">
        <f t="shared" si="276"/>
        <v>370.95965563501068</v>
      </c>
      <c r="DY95" s="4">
        <f t="shared" si="235"/>
        <v>0.85</v>
      </c>
      <c r="DZ95" s="4">
        <f t="shared" si="257"/>
        <v>0.85</v>
      </c>
      <c r="EA95" s="4">
        <f t="shared" si="258"/>
        <v>1</v>
      </c>
      <c r="EB95" s="4">
        <f t="shared" si="259"/>
        <v>0.85</v>
      </c>
      <c r="ED95" s="4">
        <f t="shared" si="277"/>
        <v>622.07614965563607</v>
      </c>
      <c r="EE95" s="25">
        <f t="shared" ref="EE95:EE103" si="301">8.8*N95*(20*25.4)*J95^0.5/R95/K95^2/H95^0.5*(0.7+MIN(S95,O95)/5/H95)</f>
        <v>402.71218386346197</v>
      </c>
      <c r="EG95" s="4">
        <f t="shared" ref="EG95:EG103" si="302">DY95*EB95</f>
        <v>0.72249999999999992</v>
      </c>
      <c r="EH95" s="4">
        <f t="shared" si="260"/>
        <v>7.0308963394927586</v>
      </c>
      <c r="EI95" s="4">
        <f t="shared" si="174"/>
        <v>5.2068181704156071</v>
      </c>
      <c r="EK95" s="4">
        <f t="shared" si="175"/>
        <v>56.796126628494655</v>
      </c>
      <c r="EL95" s="4">
        <f t="shared" si="176"/>
        <v>2.2360679774997898</v>
      </c>
      <c r="EM95" s="4">
        <f t="shared" si="177"/>
        <v>0.20139485887514993</v>
      </c>
      <c r="EP95" s="4">
        <f t="shared" si="178"/>
        <v>0.20139485887514993</v>
      </c>
      <c r="EQ95" s="4">
        <f t="shared" si="179"/>
        <v>0.66076736178962692</v>
      </c>
      <c r="ER95" s="4">
        <f t="shared" si="180"/>
        <v>5.9570346765477238</v>
      </c>
      <c r="ES95" s="4">
        <f t="shared" si="236"/>
        <v>6.5161398816101084</v>
      </c>
      <c r="ET95" s="4">
        <f t="shared" si="182"/>
        <v>141.32387337150533</v>
      </c>
      <c r="EU95" s="4">
        <f t="shared" si="183"/>
        <v>66.039999999999992</v>
      </c>
      <c r="EV95" s="4">
        <f t="shared" si="261"/>
        <v>1.8699368483673423E-5</v>
      </c>
      <c r="EW95" s="4">
        <f t="shared" si="237"/>
        <v>6.642117802584564</v>
      </c>
      <c r="EX95" s="4">
        <f t="shared" si="185"/>
        <v>638.34045610775161</v>
      </c>
      <c r="EY95" s="4">
        <f t="shared" si="186"/>
        <v>141.32387337150533</v>
      </c>
      <c r="EZ95" s="4">
        <f t="shared" si="187"/>
        <v>66.039999999999992</v>
      </c>
      <c r="FB95" s="4">
        <f t="shared" si="262"/>
        <v>0</v>
      </c>
      <c r="FG95" s="23">
        <f t="shared" si="216"/>
        <v>2.2000000000000002</v>
      </c>
      <c r="FH95" s="23">
        <f t="shared" si="216"/>
        <v>2.2000000000000002</v>
      </c>
      <c r="FI95" s="23">
        <f t="shared" si="230"/>
        <v>2</v>
      </c>
      <c r="FJ95" s="23">
        <f t="shared" si="217"/>
        <v>2.2000000000000002</v>
      </c>
      <c r="FK95" s="23">
        <f t="shared" si="217"/>
        <v>1.6</v>
      </c>
      <c r="FL95" s="23">
        <f t="shared" si="217"/>
        <v>1.6</v>
      </c>
      <c r="FM95" s="23">
        <f t="shared" si="218"/>
        <v>0</v>
      </c>
      <c r="FN95" s="23"/>
      <c r="FX95" s="4">
        <f t="shared" si="263"/>
        <v>1</v>
      </c>
      <c r="FY95" s="4">
        <f t="shared" ref="FY95:FY158" si="303">IF(AG95&gt;1, 0.05*(18-MIN(8,(Q95+K95)/K95))*(1-48000/MAX(60000,(G95*145))*(K95/25.4)^0.75*FZ95), 1/12*(14-MIN(8,(Q95+K95)/K95)))</f>
        <v>0.5</v>
      </c>
      <c r="FZ95" s="4">
        <f t="shared" si="265"/>
        <v>0</v>
      </c>
      <c r="GA95" s="4">
        <f t="shared" si="266"/>
        <v>489.26672031777213</v>
      </c>
    </row>
    <row r="96" spans="1:184" ht="12" hidden="1" customHeight="1" x14ac:dyDescent="0.3">
      <c r="A96" s="25">
        <v>78</v>
      </c>
      <c r="B96" s="24" t="s">
        <v>605</v>
      </c>
      <c r="C96" s="24">
        <v>2016</v>
      </c>
      <c r="D96" s="24" t="s">
        <v>55</v>
      </c>
      <c r="E96" s="24"/>
      <c r="F96" s="7" t="s">
        <v>614</v>
      </c>
      <c r="G96" s="38">
        <f t="shared" si="289"/>
        <v>889.65517241379314</v>
      </c>
      <c r="H96" s="38">
        <f>9*25.4</f>
        <v>228.6</v>
      </c>
      <c r="I96" s="4">
        <f t="shared" si="290"/>
        <v>228.6</v>
      </c>
      <c r="J96" s="38">
        <f>5800/145</f>
        <v>40</v>
      </c>
      <c r="K96" s="38">
        <f t="shared" si="291"/>
        <v>25.4</v>
      </c>
      <c r="L96" s="7">
        <f t="shared" si="292"/>
        <v>9</v>
      </c>
      <c r="M96" s="7">
        <f t="shared" si="293"/>
        <v>9</v>
      </c>
      <c r="N96" s="38">
        <f>18.3*25.4</f>
        <v>464.82</v>
      </c>
      <c r="O96" s="38">
        <f t="shared" si="294"/>
        <v>63.5</v>
      </c>
      <c r="P96" s="7">
        <f t="shared" si="133"/>
        <v>50.8</v>
      </c>
      <c r="Q96" s="7">
        <f t="shared" si="295"/>
        <v>130.81</v>
      </c>
      <c r="R96" s="38">
        <v>3</v>
      </c>
      <c r="S96" s="39">
        <f t="shared" si="296"/>
        <v>50.8</v>
      </c>
      <c r="T96" s="7">
        <f t="shared" ref="T96:T146" si="304">MIN(Q96/K96/2+0.5, (S96+K96/2)/K96, O96/K96+0.5)</f>
        <v>2.5</v>
      </c>
      <c r="U96" s="7">
        <f t="shared" ref="U96:U103" si="305">O96/K96+0.5</f>
        <v>3</v>
      </c>
      <c r="V96" s="38">
        <v>4</v>
      </c>
      <c r="W96" s="4">
        <f t="shared" si="297"/>
        <v>4</v>
      </c>
      <c r="X96" s="4">
        <f t="shared" si="298"/>
        <v>5</v>
      </c>
      <c r="Y96" s="7">
        <f t="shared" si="299"/>
        <v>56.796126628494655</v>
      </c>
      <c r="Z96" s="7"/>
      <c r="AA96" s="7"/>
      <c r="AB96" s="38">
        <f>109/(PI()/4)/0.145*AD103</f>
        <v>809.13989268963303</v>
      </c>
      <c r="AC96" s="7" t="s">
        <v>654</v>
      </c>
      <c r="AD96" s="7"/>
      <c r="AE96" s="7"/>
      <c r="AF96" s="7"/>
      <c r="AG96" s="39">
        <v>1</v>
      </c>
      <c r="AH96" s="7"/>
      <c r="AI96" s="7"/>
      <c r="AJ96" s="7"/>
      <c r="AK96" s="4">
        <f t="shared" si="279"/>
        <v>228.6</v>
      </c>
      <c r="AL96" s="44">
        <f t="shared" si="300"/>
        <v>0.40164609053497946</v>
      </c>
      <c r="AM96" s="25">
        <f t="shared" si="268"/>
        <v>143.80227786159796</v>
      </c>
      <c r="AN96" s="4">
        <f t="shared" si="269"/>
        <v>0.75555555555555554</v>
      </c>
      <c r="AO96" s="4">
        <v>1.25</v>
      </c>
      <c r="AP96" s="25">
        <f t="shared" si="270"/>
        <v>5</v>
      </c>
      <c r="AQ96" s="38">
        <f t="shared" si="271"/>
        <v>272.7443294786961</v>
      </c>
      <c r="AR96" s="38">
        <f t="shared" si="272"/>
        <v>272.7443294786961</v>
      </c>
      <c r="AT96" s="38">
        <f t="shared" si="286"/>
        <v>272.74432947869599</v>
      </c>
      <c r="AU96" s="38">
        <f t="shared" si="243"/>
        <v>1.0000000000000004</v>
      </c>
      <c r="AV96" s="38">
        <f t="shared" si="136"/>
        <v>1.5839009405830504</v>
      </c>
      <c r="AW96" s="4">
        <f t="shared" si="154"/>
        <v>0</v>
      </c>
      <c r="AX96" s="4">
        <f t="shared" si="220"/>
        <v>299.58419938437277</v>
      </c>
      <c r="AY96" s="4">
        <f t="shared" si="221"/>
        <v>1.08</v>
      </c>
      <c r="AZ96" s="38">
        <f t="shared" si="273"/>
        <v>432</v>
      </c>
      <c r="BA96" s="4">
        <f t="shared" si="222"/>
        <v>0.44000000000000006</v>
      </c>
      <c r="BB96" s="4">
        <f t="shared" si="244"/>
        <v>68.874407438467301</v>
      </c>
      <c r="BC96" s="4">
        <f t="shared" si="245"/>
        <v>500.8744074384673</v>
      </c>
      <c r="BE96" s="36">
        <f t="shared" si="287"/>
        <v>1.1000000000000001</v>
      </c>
      <c r="BF96" s="36">
        <f t="shared" si="288"/>
        <v>253.23519502628383</v>
      </c>
      <c r="BK96" s="4">
        <f t="shared" si="156"/>
        <v>63.5</v>
      </c>
      <c r="BL96" s="4">
        <f t="shared" si="157"/>
        <v>50.8</v>
      </c>
      <c r="BM96" s="4">
        <f t="shared" si="158"/>
        <v>63.5</v>
      </c>
      <c r="BN96" s="4">
        <f t="shared" si="159"/>
        <v>63.5</v>
      </c>
      <c r="BO96" s="4">
        <f t="shared" si="160"/>
        <v>1.0250000000000001</v>
      </c>
      <c r="BP96" s="25">
        <f t="shared" si="274"/>
        <v>2.5625000000000004</v>
      </c>
      <c r="BR96" s="4">
        <f t="shared" si="161"/>
        <v>63.5</v>
      </c>
      <c r="BV96" s="9"/>
      <c r="BX96" s="9"/>
      <c r="BY96" s="9"/>
      <c r="BZ96" s="9">
        <f t="shared" si="231"/>
        <v>50.8</v>
      </c>
      <c r="CA96" s="9">
        <f t="shared" si="232"/>
        <v>65.405000000000001</v>
      </c>
      <c r="CB96" s="9">
        <f t="shared" si="248"/>
        <v>1.4688487685376905</v>
      </c>
      <c r="CC96" s="9">
        <v>0</v>
      </c>
      <c r="CD96" s="9">
        <f t="shared" si="129"/>
        <v>0</v>
      </c>
      <c r="CE96" s="9">
        <f t="shared" si="249"/>
        <v>0</v>
      </c>
      <c r="CF96" s="9">
        <f t="shared" si="233"/>
        <v>0.99524931562137331</v>
      </c>
      <c r="CG96" s="9">
        <f t="shared" si="234"/>
        <v>0.68</v>
      </c>
      <c r="CH96" s="9">
        <f t="shared" si="250"/>
        <v>1.4980932262935727</v>
      </c>
      <c r="CI96" s="9">
        <f t="shared" si="251"/>
        <v>2.2004723905959698</v>
      </c>
      <c r="CJ96" s="9">
        <v>1</v>
      </c>
      <c r="CK96" s="9">
        <f>4*CI96*M96+60*CI96</f>
        <v>211.24534949721311</v>
      </c>
      <c r="CM96" s="4">
        <f t="shared" si="206"/>
        <v>2.7008763958592144</v>
      </c>
      <c r="CN96" s="4">
        <f t="shared" si="207"/>
        <v>1.6154546542469059</v>
      </c>
      <c r="CO96" s="4">
        <f t="shared" si="208"/>
        <v>3.1952110472071253</v>
      </c>
      <c r="CP96" s="4">
        <f t="shared" si="209"/>
        <v>3.8303323344891327</v>
      </c>
      <c r="CQ96" s="4">
        <f t="shared" si="210"/>
        <v>1.5772980431508556</v>
      </c>
      <c r="CR96" s="4">
        <f t="shared" si="211"/>
        <v>1.4709480943819242</v>
      </c>
      <c r="CS96" s="4">
        <f t="shared" si="143"/>
        <v>2.3452641252972923</v>
      </c>
      <c r="CU96" s="4">
        <f t="shared" si="212"/>
        <v>2.7008763958592144</v>
      </c>
      <c r="CV96" s="4">
        <f t="shared" si="212"/>
        <v>1.6154546542469059</v>
      </c>
      <c r="CW96" s="4">
        <f t="shared" si="213"/>
        <v>3.8303323344891327</v>
      </c>
      <c r="CX96" s="4">
        <f t="shared" si="285"/>
        <v>2.3452641252972923</v>
      </c>
      <c r="CY96" s="4">
        <f t="shared" si="215"/>
        <v>1.5772980431508556</v>
      </c>
      <c r="CZ96" s="4">
        <f t="shared" si="215"/>
        <v>1.4709480943819242</v>
      </c>
      <c r="DH96" s="4">
        <f t="shared" si="167"/>
        <v>0</v>
      </c>
      <c r="DI96" s="4">
        <f t="shared" si="168"/>
        <v>228.6</v>
      </c>
      <c r="DJ96" s="4">
        <f t="shared" si="169"/>
        <v>1</v>
      </c>
      <c r="DL96" s="4">
        <f t="shared" si="170"/>
        <v>1.7212629905715879E-5</v>
      </c>
      <c r="DM96" s="4">
        <f t="shared" si="171"/>
        <v>7.9910071860155822</v>
      </c>
      <c r="DN96" s="4">
        <f t="shared" si="172"/>
        <v>0.37672231211760421</v>
      </c>
      <c r="DO96" s="4">
        <f t="shared" si="253"/>
        <v>5.4076684710303295</v>
      </c>
      <c r="DP96" s="4">
        <f t="shared" si="254"/>
        <v>6.8231658126479218</v>
      </c>
      <c r="DQ96" s="4">
        <f t="shared" si="255"/>
        <v>7.6313231741846339</v>
      </c>
      <c r="DR96" s="38">
        <f t="shared" si="275"/>
        <v>512.99112187654282</v>
      </c>
      <c r="DS96" s="4">
        <f t="shared" si="256"/>
        <v>1.0001114819956296</v>
      </c>
      <c r="DT96" s="4">
        <f t="shared" si="147"/>
        <v>2.2360679774997898</v>
      </c>
      <c r="DU96" s="4">
        <f t="shared" si="276"/>
        <v>272.74432947869599</v>
      </c>
      <c r="DY96" s="4">
        <f t="shared" si="235"/>
        <v>0.85</v>
      </c>
      <c r="DZ96" s="4">
        <f t="shared" si="257"/>
        <v>0.85</v>
      </c>
      <c r="EA96" s="4">
        <f t="shared" si="258"/>
        <v>1</v>
      </c>
      <c r="EB96" s="4">
        <f t="shared" si="259"/>
        <v>0.85</v>
      </c>
      <c r="ED96" s="4">
        <f t="shared" si="277"/>
        <v>550.0805200265238</v>
      </c>
      <c r="EE96" s="25">
        <f t="shared" si="301"/>
        <v>334.32332600410302</v>
      </c>
      <c r="EG96" s="4">
        <f t="shared" si="302"/>
        <v>0.72249999999999992</v>
      </c>
      <c r="EH96" s="4">
        <f t="shared" si="260"/>
        <v>7.9910071860155822</v>
      </c>
      <c r="EI96" s="4">
        <f t="shared" si="174"/>
        <v>5.9178402591936647</v>
      </c>
      <c r="EK96" s="4">
        <f t="shared" si="175"/>
        <v>56.796126628494655</v>
      </c>
      <c r="EL96" s="4">
        <f t="shared" si="176"/>
        <v>2.2360679774997898</v>
      </c>
      <c r="EM96" s="4">
        <f t="shared" si="177"/>
        <v>0.13028265607914691</v>
      </c>
      <c r="EP96" s="4">
        <f t="shared" si="178"/>
        <v>0.13028265607914691</v>
      </c>
      <c r="EQ96" s="4">
        <f t="shared" si="179"/>
        <v>0.37609363279017455</v>
      </c>
      <c r="ER96" s="4">
        <f t="shared" si="180"/>
        <v>5.4040569058866454</v>
      </c>
      <c r="ES96" s="4">
        <f t="shared" si="236"/>
        <v>6.8217376672849355</v>
      </c>
      <c r="ET96" s="4">
        <f t="shared" si="182"/>
        <v>114.65387337150534</v>
      </c>
      <c r="EU96" s="4">
        <f t="shared" si="183"/>
        <v>57.150000000000006</v>
      </c>
      <c r="EV96" s="4">
        <f t="shared" si="261"/>
        <v>1.7212629905715879E-5</v>
      </c>
      <c r="EW96" s="4">
        <f t="shared" si="237"/>
        <v>7.6314238548367994</v>
      </c>
      <c r="EX96" s="4">
        <f t="shared" si="185"/>
        <v>512.93393897739952</v>
      </c>
      <c r="EY96" s="4">
        <f t="shared" si="186"/>
        <v>114.65387337150534</v>
      </c>
      <c r="EZ96" s="4">
        <f t="shared" si="187"/>
        <v>57.15</v>
      </c>
      <c r="FB96" s="4">
        <f t="shared" si="262"/>
        <v>0</v>
      </c>
      <c r="FG96" s="23">
        <f t="shared" si="216"/>
        <v>2.2000000000000002</v>
      </c>
      <c r="FH96" s="23">
        <f t="shared" si="216"/>
        <v>1.8</v>
      </c>
      <c r="FI96" s="23">
        <f t="shared" si="230"/>
        <v>2.2000000000000002</v>
      </c>
      <c r="FJ96" s="23">
        <f t="shared" si="217"/>
        <v>2.2000000000000002</v>
      </c>
      <c r="FK96" s="23">
        <f t="shared" si="217"/>
        <v>1.6</v>
      </c>
      <c r="FL96" s="23">
        <f t="shared" si="217"/>
        <v>1.6</v>
      </c>
      <c r="FM96" s="23">
        <f t="shared" si="218"/>
        <v>0</v>
      </c>
      <c r="FN96" s="23"/>
      <c r="FX96" s="4">
        <f t="shared" si="263"/>
        <v>1</v>
      </c>
      <c r="FY96" s="4">
        <f t="shared" si="303"/>
        <v>0.65416666666666656</v>
      </c>
      <c r="FZ96" s="4">
        <f t="shared" si="265"/>
        <v>0</v>
      </c>
      <c r="GA96" s="4">
        <f t="shared" si="266"/>
        <v>345.01013508960921</v>
      </c>
    </row>
    <row r="97" spans="1:183" ht="12" hidden="1" customHeight="1" x14ac:dyDescent="0.3">
      <c r="A97" s="25">
        <v>79</v>
      </c>
      <c r="B97" s="24" t="s">
        <v>605</v>
      </c>
      <c r="C97" s="24">
        <v>2016</v>
      </c>
      <c r="D97" s="24" t="s">
        <v>55</v>
      </c>
      <c r="E97" s="24"/>
      <c r="F97" s="7" t="s">
        <v>615</v>
      </c>
      <c r="G97" s="38">
        <f t="shared" si="289"/>
        <v>889.65517241379314</v>
      </c>
      <c r="H97" s="38">
        <f>11.4*25.4</f>
        <v>289.56</v>
      </c>
      <c r="I97" s="4">
        <f t="shared" si="290"/>
        <v>289.56</v>
      </c>
      <c r="J97" s="38">
        <f>5750/145</f>
        <v>39.655172413793103</v>
      </c>
      <c r="K97" s="38">
        <f t="shared" si="291"/>
        <v>25.4</v>
      </c>
      <c r="L97" s="7">
        <f t="shared" si="292"/>
        <v>11.4</v>
      </c>
      <c r="M97" s="7">
        <f t="shared" si="293"/>
        <v>11.4</v>
      </c>
      <c r="N97" s="38">
        <f>18*25.4</f>
        <v>457.2</v>
      </c>
      <c r="O97" s="38">
        <f t="shared" si="294"/>
        <v>63.5</v>
      </c>
      <c r="P97" s="7">
        <f t="shared" si="133"/>
        <v>50.8</v>
      </c>
      <c r="Q97" s="7">
        <f t="shared" si="295"/>
        <v>127</v>
      </c>
      <c r="R97" s="38">
        <v>3</v>
      </c>
      <c r="S97" s="39">
        <f t="shared" si="296"/>
        <v>50.8</v>
      </c>
      <c r="T97" s="7">
        <f t="shared" si="304"/>
        <v>2.5</v>
      </c>
      <c r="U97" s="7">
        <f t="shared" si="305"/>
        <v>3</v>
      </c>
      <c r="V97" s="38">
        <v>4</v>
      </c>
      <c r="W97" s="4">
        <f t="shared" si="297"/>
        <v>4</v>
      </c>
      <c r="X97" s="4">
        <f t="shared" si="298"/>
        <v>5</v>
      </c>
      <c r="Y97" s="7">
        <f t="shared" si="299"/>
        <v>56.796126628494655</v>
      </c>
      <c r="Z97" s="7"/>
      <c r="AA97" s="7"/>
      <c r="AB97" s="38">
        <f>84/(PI()/4)/0.145</f>
        <v>737.60083970864605</v>
      </c>
      <c r="AC97" s="7"/>
      <c r="AD97" s="7">
        <f>84/95</f>
        <v>0.88421052631578945</v>
      </c>
      <c r="AE97" s="7"/>
      <c r="AF97" s="7"/>
      <c r="AG97" s="39">
        <v>1</v>
      </c>
      <c r="AH97" s="7"/>
      <c r="AI97" s="7"/>
      <c r="AJ97" s="7"/>
      <c r="AK97" s="4">
        <f t="shared" si="279"/>
        <v>289.56</v>
      </c>
      <c r="AL97" s="44">
        <f t="shared" si="300"/>
        <v>0.30163127116035704</v>
      </c>
      <c r="AM97" s="25">
        <f t="shared" si="268"/>
        <v>204.1170127612771</v>
      </c>
      <c r="AN97" s="4">
        <f t="shared" si="269"/>
        <v>0.743859649122807</v>
      </c>
      <c r="AO97" s="4">
        <v>1.25</v>
      </c>
      <c r="AP97" s="25">
        <f t="shared" si="270"/>
        <v>5</v>
      </c>
      <c r="AQ97" s="38">
        <f t="shared" si="271"/>
        <v>286.23753713209283</v>
      </c>
      <c r="AR97" s="38">
        <f t="shared" si="272"/>
        <v>286.23753713209283</v>
      </c>
      <c r="AT97" s="38">
        <f t="shared" si="286"/>
        <v>286.23753713209271</v>
      </c>
      <c r="AU97" s="38">
        <f t="shared" si="243"/>
        <v>1.0000000000000004</v>
      </c>
      <c r="AV97" s="38">
        <f t="shared" si="136"/>
        <v>1.4962253600977746</v>
      </c>
      <c r="AW97" s="4">
        <f t="shared" si="154"/>
        <v>0</v>
      </c>
      <c r="AX97" s="4">
        <f t="shared" si="220"/>
        <v>377.83411795344153</v>
      </c>
      <c r="AY97" s="4">
        <f t="shared" si="221"/>
        <v>1.08</v>
      </c>
      <c r="AZ97" s="38">
        <f t="shared" si="273"/>
        <v>428.27586206896558</v>
      </c>
      <c r="BA97" s="4">
        <f t="shared" si="222"/>
        <v>0.44000000000000006</v>
      </c>
      <c r="BB97" s="4">
        <f t="shared" si="244"/>
        <v>86.864063717496222</v>
      </c>
      <c r="BC97" s="4">
        <f t="shared" si="245"/>
        <v>515.13992578646184</v>
      </c>
      <c r="BE97" s="36">
        <f t="shared" si="287"/>
        <v>1.1000000000000001</v>
      </c>
      <c r="BF97" s="36">
        <f t="shared" si="288"/>
        <v>278.7408232848523</v>
      </c>
      <c r="BK97" s="4">
        <f t="shared" si="156"/>
        <v>63.5</v>
      </c>
      <c r="BL97" s="4">
        <f t="shared" si="157"/>
        <v>50.8</v>
      </c>
      <c r="BM97" s="4">
        <f t="shared" si="158"/>
        <v>63.5</v>
      </c>
      <c r="BN97" s="4">
        <f t="shared" si="159"/>
        <v>63.5</v>
      </c>
      <c r="BO97" s="4">
        <f t="shared" si="160"/>
        <v>1.0250000000000001</v>
      </c>
      <c r="BP97" s="25">
        <f t="shared" si="274"/>
        <v>2.5625000000000004</v>
      </c>
      <c r="BR97" s="4">
        <f t="shared" si="161"/>
        <v>63.5</v>
      </c>
      <c r="BV97" s="9"/>
      <c r="BX97" s="9"/>
      <c r="BY97" s="9"/>
      <c r="BZ97" s="9">
        <f t="shared" si="231"/>
        <v>50.8</v>
      </c>
      <c r="CA97" s="9">
        <f t="shared" si="232"/>
        <v>63.5</v>
      </c>
      <c r="CB97" s="9">
        <f t="shared" si="248"/>
        <v>1.4623505735569622</v>
      </c>
      <c r="CC97" s="9">
        <v>0</v>
      </c>
      <c r="CD97" s="9">
        <f t="shared" si="129"/>
        <v>0</v>
      </c>
      <c r="CE97" s="9">
        <f t="shared" si="249"/>
        <v>0</v>
      </c>
      <c r="CF97" s="9">
        <f t="shared" si="233"/>
        <v>0.99524931562137331</v>
      </c>
      <c r="CG97" s="9">
        <f t="shared" si="234"/>
        <v>0.68</v>
      </c>
      <c r="CH97" s="9">
        <f t="shared" si="250"/>
        <v>1.4916219510025528</v>
      </c>
      <c r="CI97" s="9">
        <f>MIN((CB97+CE97)*CH97,2.5*CH97,J97^0.5)</f>
        <v>2.1812742155787381</v>
      </c>
      <c r="CJ97" s="9">
        <v>1</v>
      </c>
      <c r="CK97" s="9">
        <f>4*CI97*M97+60*CI97</f>
        <v>230.34255716511473</v>
      </c>
      <c r="CM97" s="4">
        <f t="shared" si="206"/>
        <v>1.9521816708980648</v>
      </c>
      <c r="CN97" s="4">
        <f t="shared" si="207"/>
        <v>1.4318456069631065</v>
      </c>
      <c r="CO97" s="4">
        <f t="shared" si="208"/>
        <v>2.6461887821679895</v>
      </c>
      <c r="CP97" s="4">
        <f t="shared" si="209"/>
        <v>3.2021908968385602</v>
      </c>
      <c r="CQ97" s="4">
        <f t="shared" si="210"/>
        <v>1.2450645673170533</v>
      </c>
      <c r="CR97" s="4">
        <f t="shared" si="211"/>
        <v>1.3186099499673773</v>
      </c>
      <c r="CS97" s="4">
        <f t="shared" si="143"/>
        <v>1.7238027723554292</v>
      </c>
      <c r="CU97" s="4">
        <f t="shared" si="212"/>
        <v>1.9521816708980648</v>
      </c>
      <c r="CV97" s="4">
        <f t="shared" si="212"/>
        <v>1.4318456069631065</v>
      </c>
      <c r="CW97" s="4">
        <f t="shared" si="213"/>
        <v>3.2021908968385602</v>
      </c>
      <c r="CX97" s="4">
        <f t="shared" si="285"/>
        <v>1.7238027723554292</v>
      </c>
      <c r="CY97" s="4">
        <f t="shared" si="215"/>
        <v>1.2450645673170533</v>
      </c>
      <c r="CZ97" s="4">
        <f t="shared" si="215"/>
        <v>1.3186099499673773</v>
      </c>
      <c r="DH97" s="4">
        <f t="shared" si="167"/>
        <v>0</v>
      </c>
      <c r="DI97" s="4">
        <f t="shared" si="168"/>
        <v>289.56</v>
      </c>
      <c r="DJ97" s="4">
        <f t="shared" si="169"/>
        <v>1</v>
      </c>
      <c r="DL97" s="4">
        <f t="shared" si="170"/>
        <v>2.1752861860978003E-5</v>
      </c>
      <c r="DM97" s="4">
        <f t="shared" si="171"/>
        <v>7.9564886350698822</v>
      </c>
      <c r="DN97" s="4">
        <f t="shared" si="172"/>
        <v>0.39879742745618391</v>
      </c>
      <c r="DO97" s="4">
        <f t="shared" si="253"/>
        <v>5.5083608891899196</v>
      </c>
      <c r="DP97" s="4">
        <f t="shared" si="254"/>
        <v>6.84315159791183</v>
      </c>
      <c r="DQ97" s="4">
        <f t="shared" si="255"/>
        <v>7.3758911635914579</v>
      </c>
      <c r="DR97" s="38">
        <f t="shared" si="275"/>
        <v>592.4197500038706</v>
      </c>
      <c r="DS97" s="4">
        <f t="shared" si="256"/>
        <v>1.0001156303791274</v>
      </c>
      <c r="DT97" s="4">
        <f t="shared" si="147"/>
        <v>2.2360679774997898</v>
      </c>
      <c r="DU97" s="4">
        <f t="shared" si="276"/>
        <v>286.23753713209271</v>
      </c>
      <c r="DY97" s="4">
        <f t="shared" si="235"/>
        <v>0.85</v>
      </c>
      <c r="DZ97" s="4">
        <f t="shared" si="257"/>
        <v>0.85</v>
      </c>
      <c r="EA97" s="4">
        <f t="shared" si="258"/>
        <v>1</v>
      </c>
      <c r="EB97" s="4">
        <f t="shared" si="259"/>
        <v>0.85</v>
      </c>
      <c r="ED97" s="4">
        <f t="shared" si="277"/>
        <v>559.37757767328731</v>
      </c>
      <c r="EE97" s="25">
        <f t="shared" si="301"/>
        <v>287.26566635389725</v>
      </c>
      <c r="EG97" s="4">
        <f t="shared" si="302"/>
        <v>0.72249999999999992</v>
      </c>
      <c r="EH97" s="4">
        <f t="shared" si="260"/>
        <v>7.9564886350698822</v>
      </c>
      <c r="EI97" s="4">
        <f t="shared" si="174"/>
        <v>5.8922771148089401</v>
      </c>
      <c r="EK97" s="4">
        <f t="shared" si="175"/>
        <v>56.796126628494655</v>
      </c>
      <c r="EL97" s="4">
        <f t="shared" si="176"/>
        <v>2.2360679774997898</v>
      </c>
      <c r="EM97" s="4">
        <f>MIN(DU97)/(4700*J97^0.5)/W97*EK97</f>
        <v>0.13732118255662151</v>
      </c>
      <c r="EP97" s="4">
        <f>EM97</f>
        <v>0.13732118255662151</v>
      </c>
      <c r="EQ97" s="4">
        <f>MIN(0.999, EP97/(0.3*(J97/30)^0.5))</f>
        <v>0.39813190887549621</v>
      </c>
      <c r="ER97" s="4">
        <f t="shared" si="180"/>
        <v>5.5046820756138262</v>
      </c>
      <c r="ES97" s="4">
        <f t="shared" si="236"/>
        <v>6.8416736129745388</v>
      </c>
      <c r="ET97" s="4">
        <f t="shared" si="182"/>
        <v>160.37387337150537</v>
      </c>
      <c r="EU97" s="4">
        <f t="shared" si="183"/>
        <v>72.389999999999986</v>
      </c>
      <c r="EV97" s="4">
        <f t="shared" si="261"/>
        <v>2.1752861860977999E-5</v>
      </c>
      <c r="EW97" s="4">
        <f t="shared" si="237"/>
        <v>7.3760436280034343</v>
      </c>
      <c r="EX97" s="4">
        <f t="shared" si="185"/>
        <v>592.35125620353915</v>
      </c>
      <c r="EY97" s="4">
        <f t="shared" si="186"/>
        <v>160.37387337150537</v>
      </c>
      <c r="EZ97" s="4">
        <f t="shared" si="187"/>
        <v>72.389999999999986</v>
      </c>
      <c r="FB97" s="4">
        <f t="shared" si="262"/>
        <v>0</v>
      </c>
      <c r="FG97" s="23">
        <f t="shared" si="216"/>
        <v>2</v>
      </c>
      <c r="FH97" s="23">
        <f t="shared" si="216"/>
        <v>1.6</v>
      </c>
      <c r="FI97" s="23">
        <f t="shared" si="230"/>
        <v>1.8</v>
      </c>
      <c r="FJ97" s="23">
        <f t="shared" si="217"/>
        <v>2.2000000000000002</v>
      </c>
      <c r="FK97" s="23">
        <f t="shared" si="217"/>
        <v>1.4</v>
      </c>
      <c r="FL97" s="23">
        <f t="shared" si="217"/>
        <v>1.4</v>
      </c>
      <c r="FM97" s="23">
        <f t="shared" si="218"/>
        <v>0</v>
      </c>
      <c r="FN97" s="23"/>
      <c r="FX97" s="4">
        <f t="shared" si="263"/>
        <v>1</v>
      </c>
      <c r="FY97" s="4">
        <f t="shared" si="303"/>
        <v>0.66666666666666652</v>
      </c>
      <c r="FZ97" s="4">
        <f t="shared" si="265"/>
        <v>0</v>
      </c>
      <c r="GA97" s="4">
        <f t="shared" si="266"/>
        <v>427.89166576219014</v>
      </c>
    </row>
    <row r="98" spans="1:183" ht="12" hidden="1" customHeight="1" x14ac:dyDescent="0.3">
      <c r="A98" s="25">
        <v>80</v>
      </c>
      <c r="B98" s="24" t="s">
        <v>605</v>
      </c>
      <c r="C98" s="24">
        <v>2016</v>
      </c>
      <c r="D98" s="24" t="s">
        <v>55</v>
      </c>
      <c r="E98" s="24"/>
      <c r="F98" s="7" t="s">
        <v>616</v>
      </c>
      <c r="G98" s="38">
        <f t="shared" si="289"/>
        <v>889.65517241379314</v>
      </c>
      <c r="H98" s="38">
        <f>14*25.4</f>
        <v>355.59999999999997</v>
      </c>
      <c r="I98" s="4">
        <f t="shared" si="290"/>
        <v>355.59999999999997</v>
      </c>
      <c r="J98" s="38">
        <f>5750/145</f>
        <v>39.655172413793103</v>
      </c>
      <c r="K98" s="38">
        <f t="shared" si="291"/>
        <v>25.4</v>
      </c>
      <c r="L98" s="7">
        <f t="shared" si="292"/>
        <v>14</v>
      </c>
      <c r="M98" s="7">
        <f t="shared" si="293"/>
        <v>14</v>
      </c>
      <c r="N98" s="38">
        <f>18.1*25.4</f>
        <v>459.74</v>
      </c>
      <c r="O98" s="38">
        <f t="shared" si="294"/>
        <v>63.5</v>
      </c>
      <c r="P98" s="7">
        <f t="shared" si="133"/>
        <v>50.8</v>
      </c>
      <c r="Q98" s="7">
        <f t="shared" si="295"/>
        <v>128.27000000000001</v>
      </c>
      <c r="R98" s="38">
        <v>3</v>
      </c>
      <c r="S98" s="39">
        <f t="shared" si="296"/>
        <v>50.8</v>
      </c>
      <c r="T98" s="7">
        <f t="shared" si="304"/>
        <v>2.5</v>
      </c>
      <c r="U98" s="7">
        <f t="shared" si="305"/>
        <v>3</v>
      </c>
      <c r="V98" s="38">
        <v>4</v>
      </c>
      <c r="W98" s="4">
        <f t="shared" si="297"/>
        <v>4</v>
      </c>
      <c r="X98" s="4">
        <f t="shared" si="298"/>
        <v>5</v>
      </c>
      <c r="Y98" s="7">
        <f t="shared" si="299"/>
        <v>56.796126628494655</v>
      </c>
      <c r="Z98" s="7"/>
      <c r="AA98" s="7"/>
      <c r="AB98" s="38">
        <f>121/(PI()/4)/0.145</f>
        <v>1062.4964476755497</v>
      </c>
      <c r="AC98" s="7"/>
      <c r="AD98" s="7">
        <f>102/121</f>
        <v>0.84297520661157022</v>
      </c>
      <c r="AE98" s="7"/>
      <c r="AF98" s="7"/>
      <c r="AG98" s="39">
        <v>1</v>
      </c>
      <c r="AH98" s="7"/>
      <c r="AI98" s="7"/>
      <c r="AJ98" s="7"/>
      <c r="AK98" s="4">
        <f t="shared" si="279"/>
        <v>355.59999999999997</v>
      </c>
      <c r="AL98" s="44">
        <f t="shared" si="300"/>
        <v>0.20521541950113381</v>
      </c>
      <c r="AM98" s="25">
        <f t="shared" si="268"/>
        <v>277.78831941457963</v>
      </c>
      <c r="AN98" s="4">
        <f t="shared" si="269"/>
        <v>0.73571428571428565</v>
      </c>
      <c r="AO98" s="4">
        <v>1.25</v>
      </c>
      <c r="AP98" s="25">
        <f t="shared" si="270"/>
        <v>5</v>
      </c>
      <c r="AQ98" s="38">
        <f t="shared" si="271"/>
        <v>262.1278566795234</v>
      </c>
      <c r="AR98" s="38">
        <f t="shared" si="272"/>
        <v>262.1278566795234</v>
      </c>
      <c r="AT98" s="38">
        <f t="shared" si="286"/>
        <v>262.12785667952323</v>
      </c>
      <c r="AU98" s="38">
        <f t="shared" si="243"/>
        <v>1.0000000000000007</v>
      </c>
      <c r="AV98" s="38">
        <f t="shared" si="136"/>
        <v>1.6338433751151233</v>
      </c>
      <c r="AW98" s="4">
        <f t="shared" si="154"/>
        <v>0</v>
      </c>
      <c r="AX98" s="4">
        <f t="shared" si="220"/>
        <v>464.00681152177032</v>
      </c>
      <c r="AY98" s="4">
        <f t="shared" si="221"/>
        <v>1.08</v>
      </c>
      <c r="AZ98" s="38">
        <f t="shared" si="273"/>
        <v>428.27586206896558</v>
      </c>
      <c r="BA98" s="4">
        <f t="shared" si="222"/>
        <v>0.44000000000000006</v>
      </c>
      <c r="BB98" s="4">
        <f t="shared" si="244"/>
        <v>106.675165968855</v>
      </c>
      <c r="BC98" s="4">
        <f t="shared" si="245"/>
        <v>534.95102803782061</v>
      </c>
      <c r="BE98" s="36">
        <f t="shared" si="287"/>
        <v>1.1000000000000001</v>
      </c>
      <c r="BF98" s="36">
        <f t="shared" si="288"/>
        <v>307.55697201410146</v>
      </c>
      <c r="BK98" s="4">
        <f t="shared" si="156"/>
        <v>63.5</v>
      </c>
      <c r="BL98" s="4">
        <f t="shared" si="157"/>
        <v>50.8</v>
      </c>
      <c r="BM98" s="4">
        <f t="shared" si="158"/>
        <v>63.5</v>
      </c>
      <c r="BN98" s="4">
        <f t="shared" si="159"/>
        <v>63.5</v>
      </c>
      <c r="BO98" s="4">
        <f t="shared" si="160"/>
        <v>1.0250000000000001</v>
      </c>
      <c r="BP98" s="25">
        <f t="shared" si="274"/>
        <v>2.5625000000000004</v>
      </c>
      <c r="BR98" s="4">
        <f t="shared" si="161"/>
        <v>63.5</v>
      </c>
      <c r="BV98" s="9"/>
      <c r="BX98" s="9"/>
      <c r="BY98" s="9"/>
      <c r="BZ98" s="9">
        <f t="shared" si="231"/>
        <v>50.8</v>
      </c>
      <c r="CA98" s="9">
        <f t="shared" si="232"/>
        <v>64.135000000000005</v>
      </c>
      <c r="CB98" s="9">
        <f t="shared" si="248"/>
        <v>1.4645348340145701</v>
      </c>
      <c r="CC98" s="9">
        <v>0</v>
      </c>
      <c r="CD98" s="9">
        <f t="shared" si="129"/>
        <v>0</v>
      </c>
      <c r="CE98" s="9">
        <f t="shared" si="249"/>
        <v>0</v>
      </c>
      <c r="CF98" s="9">
        <f t="shared" si="233"/>
        <v>0.99524931562137331</v>
      </c>
      <c r="CG98" s="9">
        <f t="shared" si="234"/>
        <v>0.68</v>
      </c>
      <c r="CH98" s="9">
        <f>1.75*CF98*CG98*(J98/25)^0.5</f>
        <v>1.4916219510025528</v>
      </c>
      <c r="CI98" s="9">
        <f>MIN((CB98+CE98)*CH98,2.5*CH98,J98^0.5)</f>
        <v>2.1845323064240127</v>
      </c>
      <c r="CJ98" s="9">
        <v>1</v>
      </c>
      <c r="CK98" s="9">
        <f>4*CI98*M98+60*CI98</f>
        <v>253.40574754518548</v>
      </c>
      <c r="CM98" s="4">
        <f t="shared" si="206"/>
        <v>2.2898294190789037</v>
      </c>
      <c r="CN98" s="4">
        <f t="shared" si="207"/>
        <v>1.9861564741220239</v>
      </c>
      <c r="CO98" s="4">
        <f t="shared" si="208"/>
        <v>3.4546329439959318</v>
      </c>
      <c r="CP98" s="4">
        <f t="shared" si="209"/>
        <v>4.1928664127323829</v>
      </c>
      <c r="CQ98" s="4">
        <f t="shared" si="210"/>
        <v>1.6794082019601415</v>
      </c>
      <c r="CR98" s="4">
        <f t="shared" si="211"/>
        <v>1.793169919181012</v>
      </c>
      <c r="CS98" s="4">
        <f t="shared" si="143"/>
        <v>2.0093131033468623</v>
      </c>
      <c r="CU98" s="4">
        <f t="shared" si="212"/>
        <v>2.2898294190789037</v>
      </c>
      <c r="CV98" s="4">
        <f t="shared" si="212"/>
        <v>1.9861564741220239</v>
      </c>
      <c r="CW98" s="4">
        <f t="shared" si="213"/>
        <v>4.1928664127323829</v>
      </c>
      <c r="CX98" s="4">
        <f t="shared" si="285"/>
        <v>2.0093131033468623</v>
      </c>
      <c r="CY98" s="4">
        <f t="shared" si="215"/>
        <v>1.6794082019601415</v>
      </c>
      <c r="CZ98" s="4">
        <f t="shared" si="215"/>
        <v>1.793169919181012</v>
      </c>
      <c r="DH98" s="4">
        <f t="shared" si="167"/>
        <v>0</v>
      </c>
      <c r="DI98" s="4">
        <f t="shared" si="168"/>
        <v>355.59999999999997</v>
      </c>
      <c r="DJ98" s="4">
        <f t="shared" si="169"/>
        <v>1</v>
      </c>
      <c r="DL98" s="4">
        <f t="shared" si="170"/>
        <v>2.6714040881902812E-5</v>
      </c>
      <c r="DM98" s="4">
        <f t="shared" si="171"/>
        <v>7.9564886350698822</v>
      </c>
      <c r="DN98" s="4">
        <f t="shared" si="172"/>
        <v>0.36520686963623494</v>
      </c>
      <c r="DO98" s="4">
        <f t="shared" si="253"/>
        <v>5.3178614973305693</v>
      </c>
      <c r="DP98" s="4">
        <f t="shared" si="254"/>
        <v>6.767524272068445</v>
      </c>
      <c r="DQ98" s="4">
        <f t="shared" si="255"/>
        <v>7.0902518106979704</v>
      </c>
      <c r="DR98" s="38">
        <f t="shared" si="275"/>
        <v>632.66122342110998</v>
      </c>
      <c r="DS98" s="4">
        <f t="shared" si="256"/>
        <v>1.0001184041722562</v>
      </c>
      <c r="DT98" s="4">
        <f t="shared" si="147"/>
        <v>2.2360679774997898</v>
      </c>
      <c r="DU98" s="4">
        <f t="shared" si="276"/>
        <v>262.12785667952323</v>
      </c>
      <c r="DY98" s="4">
        <f t="shared" si="235"/>
        <v>0.85</v>
      </c>
      <c r="DZ98" s="4">
        <f t="shared" si="257"/>
        <v>0.85</v>
      </c>
      <c r="EA98" s="4">
        <f t="shared" si="258"/>
        <v>1</v>
      </c>
      <c r="EB98" s="4">
        <f t="shared" si="259"/>
        <v>0.85</v>
      </c>
      <c r="ED98" s="4">
        <f t="shared" si="277"/>
        <v>592.52413076437279</v>
      </c>
      <c r="EE98" s="25">
        <f t="shared" si="301"/>
        <v>258.35160809143781</v>
      </c>
      <c r="EG98" s="4">
        <f t="shared" si="302"/>
        <v>0.72249999999999992</v>
      </c>
      <c r="EH98" s="4">
        <f t="shared" si="260"/>
        <v>7.9564886350698822</v>
      </c>
      <c r="EI98" s="4">
        <f t="shared" si="174"/>
        <v>5.8922771148089401</v>
      </c>
      <c r="EK98" s="4">
        <f t="shared" si="175"/>
        <v>56.796126628494655</v>
      </c>
      <c r="EL98" s="4">
        <f t="shared" si="176"/>
        <v>2.2360679774997898</v>
      </c>
      <c r="EM98" s="4">
        <f t="shared" si="177"/>
        <v>0.12575467082660599</v>
      </c>
      <c r="EP98" s="4">
        <f t="shared" si="178"/>
        <v>0.12575467082660599</v>
      </c>
      <c r="EQ98" s="4">
        <f t="shared" si="179"/>
        <v>0.36459740743611979</v>
      </c>
      <c r="ER98" s="4">
        <f t="shared" si="180"/>
        <v>5.3143099106670029</v>
      </c>
      <c r="ES98" s="4">
        <f t="shared" si="236"/>
        <v>6.7661320889508163</v>
      </c>
      <c r="ET98" s="4">
        <f t="shared" si="182"/>
        <v>209.90387337150534</v>
      </c>
      <c r="EU98" s="4">
        <f t="shared" si="183"/>
        <v>88.899999999999949</v>
      </c>
      <c r="EV98" s="4">
        <f t="shared" si="261"/>
        <v>2.6714040881902795E-5</v>
      </c>
      <c r="EW98" s="4">
        <f t="shared" si="237"/>
        <v>7.090457890949061</v>
      </c>
      <c r="EX98" s="4">
        <f t="shared" si="185"/>
        <v>632.58632256120654</v>
      </c>
      <c r="EY98" s="4">
        <f t="shared" si="186"/>
        <v>209.90387337150534</v>
      </c>
      <c r="EZ98" s="4">
        <f t="shared" si="187"/>
        <v>88.899999999999977</v>
      </c>
      <c r="FB98" s="4">
        <f t="shared" si="262"/>
        <v>0</v>
      </c>
      <c r="FG98" s="23">
        <f t="shared" si="216"/>
        <v>2.2000000000000002</v>
      </c>
      <c r="FH98" s="23">
        <f t="shared" si="216"/>
        <v>2</v>
      </c>
      <c r="FI98" s="23">
        <f t="shared" si="230"/>
        <v>2.2000000000000002</v>
      </c>
      <c r="FJ98" s="23">
        <f t="shared" si="217"/>
        <v>2.2000000000000002</v>
      </c>
      <c r="FK98" s="23">
        <f t="shared" si="217"/>
        <v>1.8</v>
      </c>
      <c r="FL98" s="23">
        <f t="shared" si="217"/>
        <v>1.8</v>
      </c>
      <c r="FM98" s="23">
        <f t="shared" si="218"/>
        <v>0</v>
      </c>
      <c r="FN98" s="23"/>
      <c r="FX98" s="4">
        <f t="shared" si="263"/>
        <v>1</v>
      </c>
      <c r="FY98" s="4">
        <f t="shared" si="303"/>
        <v>0.66249999999999987</v>
      </c>
      <c r="FZ98" s="4">
        <f t="shared" si="265"/>
        <v>0</v>
      </c>
      <c r="GA98" s="4">
        <f t="shared" si="266"/>
        <v>528.78590494720618</v>
      </c>
    </row>
    <row r="99" spans="1:183" ht="12" hidden="1" customHeight="1" x14ac:dyDescent="0.3">
      <c r="A99" s="25">
        <v>81</v>
      </c>
      <c r="B99" s="24" t="s">
        <v>605</v>
      </c>
      <c r="C99" s="24">
        <v>2016</v>
      </c>
      <c r="D99" s="24" t="s">
        <v>55</v>
      </c>
      <c r="E99" s="24"/>
      <c r="F99" s="7" t="s">
        <v>617</v>
      </c>
      <c r="G99" s="38">
        <f t="shared" si="289"/>
        <v>889.65517241379314</v>
      </c>
      <c r="H99" s="38">
        <f>9*25.4</f>
        <v>228.6</v>
      </c>
      <c r="I99" s="4">
        <f t="shared" si="290"/>
        <v>228.6</v>
      </c>
      <c r="J99" s="38">
        <f>4630/145</f>
        <v>31.931034482758619</v>
      </c>
      <c r="K99" s="38">
        <f t="shared" si="291"/>
        <v>25.4</v>
      </c>
      <c r="L99" s="7">
        <f t="shared" si="292"/>
        <v>9</v>
      </c>
      <c r="M99" s="7">
        <f t="shared" si="293"/>
        <v>9</v>
      </c>
      <c r="N99" s="38">
        <f>18.3*25.4</f>
        <v>464.82</v>
      </c>
      <c r="O99" s="38">
        <f t="shared" si="294"/>
        <v>63.5</v>
      </c>
      <c r="P99" s="7">
        <f t="shared" si="133"/>
        <v>50.8</v>
      </c>
      <c r="Q99" s="7">
        <f t="shared" si="295"/>
        <v>287.02</v>
      </c>
      <c r="R99" s="38">
        <v>2</v>
      </c>
      <c r="S99" s="39">
        <f t="shared" si="296"/>
        <v>50.8</v>
      </c>
      <c r="T99" s="7">
        <f t="shared" si="304"/>
        <v>2.5</v>
      </c>
      <c r="U99" s="7">
        <f>O99/K99+0.5</f>
        <v>3</v>
      </c>
      <c r="V99" s="38">
        <v>4</v>
      </c>
      <c r="W99" s="4">
        <f t="shared" si="297"/>
        <v>4</v>
      </c>
      <c r="X99" s="4">
        <f t="shared" si="298"/>
        <v>5</v>
      </c>
      <c r="Y99" s="7">
        <f t="shared" si="299"/>
        <v>56.796126628494655</v>
      </c>
      <c r="Z99" s="7"/>
      <c r="AA99" s="7"/>
      <c r="AB99" s="38">
        <f>79.9/(PI()/4)/0.145*AD103</f>
        <v>593.12181124680444</v>
      </c>
      <c r="AC99" s="7" t="s">
        <v>654</v>
      </c>
      <c r="AD99" s="7"/>
      <c r="AE99" s="7"/>
      <c r="AF99" s="7"/>
      <c r="AG99" s="39">
        <v>1</v>
      </c>
      <c r="AH99" s="7"/>
      <c r="AI99" s="7"/>
      <c r="AJ99" s="7"/>
      <c r="AK99" s="4">
        <f t="shared" si="279"/>
        <v>228.6</v>
      </c>
      <c r="AL99" s="44">
        <f t="shared" si="300"/>
        <v>0.40164609053497946</v>
      </c>
      <c r="AM99" s="25">
        <f t="shared" si="268"/>
        <v>192.722989249124</v>
      </c>
      <c r="AN99" s="4">
        <f t="shared" si="269"/>
        <v>0.75555555555555554</v>
      </c>
      <c r="AO99" s="4">
        <v>1.25</v>
      </c>
      <c r="AP99" s="25">
        <f t="shared" si="270"/>
        <v>5</v>
      </c>
      <c r="AQ99" s="38">
        <f t="shared" si="271"/>
        <v>365.53038838837051</v>
      </c>
      <c r="AR99" s="38">
        <f t="shared" si="272"/>
        <v>365.53038838837051</v>
      </c>
      <c r="AT99" s="38">
        <f t="shared" si="286"/>
        <v>365.53038838837034</v>
      </c>
      <c r="AU99" s="38">
        <f t="shared" si="243"/>
        <v>1.0000000000000004</v>
      </c>
      <c r="AV99" s="38">
        <f t="shared" si="136"/>
        <v>0.94343776432450766</v>
      </c>
      <c r="AW99" s="4">
        <f t="shared" si="154"/>
        <v>1</v>
      </c>
      <c r="AX99" s="4">
        <f t="shared" si="220"/>
        <v>267.66735221783927</v>
      </c>
      <c r="AY99" s="4">
        <f t="shared" si="221"/>
        <v>1.08</v>
      </c>
      <c r="AZ99" s="38">
        <f t="shared" si="273"/>
        <v>344.85517241379307</v>
      </c>
      <c r="BA99" s="4">
        <f t="shared" si="222"/>
        <v>0.44000000000000006</v>
      </c>
      <c r="BB99" s="4">
        <f t="shared" si="244"/>
        <v>61.536724274881244</v>
      </c>
      <c r="BC99" s="4">
        <f t="shared" si="245"/>
        <v>406.39189668867431</v>
      </c>
      <c r="BE99" s="36">
        <f t="shared" si="287"/>
        <v>1.1000000000000001</v>
      </c>
      <c r="BF99" s="36">
        <f t="shared" si="288"/>
        <v>226.25623874804819</v>
      </c>
      <c r="BK99" s="4">
        <f t="shared" si="156"/>
        <v>63.5</v>
      </c>
      <c r="BL99" s="4">
        <f t="shared" si="157"/>
        <v>50.8</v>
      </c>
      <c r="BM99" s="4">
        <f t="shared" si="158"/>
        <v>63.5</v>
      </c>
      <c r="BN99" s="4">
        <f t="shared" si="159"/>
        <v>63.5</v>
      </c>
      <c r="BO99" s="4">
        <f t="shared" si="160"/>
        <v>1.0250000000000001</v>
      </c>
      <c r="BP99" s="25">
        <f t="shared" si="274"/>
        <v>2.5625000000000004</v>
      </c>
      <c r="BR99" s="4">
        <f t="shared" si="161"/>
        <v>63.5</v>
      </c>
      <c r="BV99" s="9"/>
      <c r="BX99" s="9"/>
      <c r="BY99" s="9"/>
      <c r="BZ99" s="9">
        <f t="shared" si="231"/>
        <v>50.8</v>
      </c>
      <c r="CA99" s="9">
        <f t="shared" si="232"/>
        <v>143.51</v>
      </c>
      <c r="CB99" s="9">
        <f t="shared" si="248"/>
        <v>1.6526000655830793</v>
      </c>
      <c r="CC99" s="9">
        <v>0</v>
      </c>
      <c r="CD99" s="9">
        <f t="shared" si="129"/>
        <v>0</v>
      </c>
      <c r="CE99" s="9">
        <f t="shared" si="249"/>
        <v>0</v>
      </c>
      <c r="CF99" s="9">
        <f t="shared" si="233"/>
        <v>0.99524931562137331</v>
      </c>
      <c r="CG99" s="9">
        <f t="shared" si="234"/>
        <v>0.68</v>
      </c>
      <c r="CH99" s="9">
        <f t="shared" si="250"/>
        <v>1.3384906416342788</v>
      </c>
      <c r="CI99" s="9">
        <f t="shared" si="251"/>
        <v>2.211989722147147</v>
      </c>
      <c r="CJ99" s="9">
        <v>1</v>
      </c>
      <c r="CK99" s="9">
        <f t="shared" si="252"/>
        <v>212.35101332612612</v>
      </c>
      <c r="CM99" s="4">
        <f t="shared" si="206"/>
        <v>2.2158915023902366</v>
      </c>
      <c r="CN99" s="4">
        <f t="shared" si="207"/>
        <v>1.4594823766901504</v>
      </c>
      <c r="CO99" s="4">
        <f t="shared" si="208"/>
        <v>2.6214605817225052</v>
      </c>
      <c r="CP99" s="4">
        <f t="shared" si="209"/>
        <v>2.7931197593858199</v>
      </c>
      <c r="CQ99" s="4">
        <f t="shared" si="210"/>
        <v>0.99039775367630722</v>
      </c>
      <c r="CR99" s="4">
        <f t="shared" si="211"/>
        <v>0.92555359594594022</v>
      </c>
      <c r="CS99" s="4">
        <f t="shared" si="143"/>
        <v>1.3901299045477662</v>
      </c>
      <c r="CU99" s="4">
        <f t="shared" si="212"/>
        <v>2.2158915023902366</v>
      </c>
      <c r="CV99" s="4">
        <f t="shared" si="212"/>
        <v>1.4594823766901504</v>
      </c>
      <c r="CW99" s="4">
        <f t="shared" si="213"/>
        <v>2.7931197593858199</v>
      </c>
      <c r="CX99" s="4">
        <f t="shared" si="285"/>
        <v>1.3901299045477662</v>
      </c>
      <c r="CY99" s="4">
        <f t="shared" si="215"/>
        <v>0.99039775367630722</v>
      </c>
      <c r="CZ99" s="4">
        <f t="shared" si="215"/>
        <v>0.92555359594594022</v>
      </c>
      <c r="DH99" s="4">
        <f t="shared" si="167"/>
        <v>0</v>
      </c>
      <c r="DI99" s="4">
        <f t="shared" si="168"/>
        <v>228.6</v>
      </c>
      <c r="DJ99" s="4">
        <f t="shared" si="169"/>
        <v>1</v>
      </c>
      <c r="DL99" s="4">
        <f t="shared" si="170"/>
        <v>1.6292650405255247E-5</v>
      </c>
      <c r="DM99" s="4">
        <f>EH99</f>
        <v>7.1396680446762248</v>
      </c>
      <c r="DN99" s="4">
        <f t="shared" si="172"/>
        <v>0.63246442644674039</v>
      </c>
      <c r="DO99" s="4">
        <f t="shared" si="253"/>
        <v>5.944186968008955</v>
      </c>
      <c r="DP99" s="4">
        <f t="shared" si="254"/>
        <v>6.5692013168049943</v>
      </c>
      <c r="DQ99" s="4">
        <f t="shared" si="255"/>
        <v>6.8404228028420162</v>
      </c>
      <c r="DR99" s="38">
        <f t="shared" si="275"/>
        <v>598.87233088440053</v>
      </c>
      <c r="DS99" s="4">
        <f t="shared" si="256"/>
        <v>1.0001119365080668</v>
      </c>
      <c r="DT99" s="4">
        <f t="shared" si="147"/>
        <v>2.2360679774997898</v>
      </c>
      <c r="DU99" s="4">
        <f t="shared" si="276"/>
        <v>365.53038838837034</v>
      </c>
      <c r="DY99" s="4">
        <f t="shared" si="235"/>
        <v>0.85</v>
      </c>
      <c r="DZ99" s="4">
        <f t="shared" si="257"/>
        <v>0.85</v>
      </c>
      <c r="EA99" s="4">
        <f t="shared" si="258"/>
        <v>1</v>
      </c>
      <c r="EB99" s="4">
        <f t="shared" si="259"/>
        <v>0.85</v>
      </c>
      <c r="ED99" s="4">
        <f t="shared" si="277"/>
        <v>640.8292440813417</v>
      </c>
      <c r="EE99" s="25">
        <f t="shared" si="301"/>
        <v>448.05820687508361</v>
      </c>
      <c r="EG99" s="4">
        <f t="shared" si="302"/>
        <v>0.72249999999999992</v>
      </c>
      <c r="EH99" s="4">
        <f t="shared" si="260"/>
        <v>7.1396680446762248</v>
      </c>
      <c r="EI99" s="4">
        <f t="shared" si="174"/>
        <v>5.2873704163355377</v>
      </c>
      <c r="EK99" s="4">
        <f t="shared" si="175"/>
        <v>56.796126628494655</v>
      </c>
      <c r="EL99" s="4">
        <f t="shared" si="176"/>
        <v>2.2360679774997898</v>
      </c>
      <c r="EM99" s="4">
        <f t="shared" si="177"/>
        <v>0.19542398411872033</v>
      </c>
      <c r="EP99" s="4">
        <f t="shared" si="178"/>
        <v>0.19542398411872033</v>
      </c>
      <c r="EQ99" s="4">
        <f t="shared" si="179"/>
        <v>0.6314089611943462</v>
      </c>
      <c r="ER99" s="4">
        <f t="shared" si="180"/>
        <v>5.9402170836537644</v>
      </c>
      <c r="ES99" s="4">
        <f t="shared" si="236"/>
        <v>6.5674058970977542</v>
      </c>
      <c r="ET99" s="4">
        <f t="shared" si="182"/>
        <v>114.65387337150534</v>
      </c>
      <c r="EU99" s="4">
        <f t="shared" si="183"/>
        <v>57.150000000000006</v>
      </c>
      <c r="EV99" s="4">
        <f t="shared" si="261"/>
        <v>1.629265040525525E-5</v>
      </c>
      <c r="EW99" s="4">
        <f t="shared" si="237"/>
        <v>6.8405224873496033</v>
      </c>
      <c r="EX99" s="4">
        <f t="shared" si="185"/>
        <v>598.8053027098033</v>
      </c>
      <c r="EY99" s="4">
        <f t="shared" si="186"/>
        <v>114.65387337150534</v>
      </c>
      <c r="EZ99" s="4">
        <f t="shared" si="187"/>
        <v>57.15</v>
      </c>
      <c r="FB99" s="4">
        <f t="shared" si="262"/>
        <v>0</v>
      </c>
      <c r="FG99" s="23">
        <f t="shared" si="216"/>
        <v>2.2000000000000002</v>
      </c>
      <c r="FH99" s="23">
        <f t="shared" si="216"/>
        <v>1.6</v>
      </c>
      <c r="FI99" s="23">
        <f t="shared" si="230"/>
        <v>1.4</v>
      </c>
      <c r="FJ99" s="23">
        <f t="shared" si="217"/>
        <v>2.2000000000000002</v>
      </c>
      <c r="FK99" s="23">
        <f t="shared" si="217"/>
        <v>1</v>
      </c>
      <c r="FL99" s="23">
        <f t="shared" si="217"/>
        <v>1</v>
      </c>
      <c r="FM99" s="23">
        <f t="shared" si="218"/>
        <v>0</v>
      </c>
      <c r="FN99" s="23"/>
      <c r="FX99" s="4">
        <f t="shared" si="263"/>
        <v>1</v>
      </c>
      <c r="FY99" s="4">
        <f t="shared" si="303"/>
        <v>0.5</v>
      </c>
      <c r="FZ99" s="4">
        <f t="shared" si="265"/>
        <v>0</v>
      </c>
      <c r="GA99" s="4">
        <f t="shared" si="266"/>
        <v>426.66646426814151</v>
      </c>
    </row>
    <row r="100" spans="1:183" ht="12" hidden="1" customHeight="1" x14ac:dyDescent="0.3">
      <c r="A100" s="25">
        <v>82</v>
      </c>
      <c r="B100" s="24" t="s">
        <v>605</v>
      </c>
      <c r="C100" s="24">
        <v>2016</v>
      </c>
      <c r="D100" s="24" t="s">
        <v>55</v>
      </c>
      <c r="E100" s="24"/>
      <c r="F100" s="7" t="s">
        <v>618</v>
      </c>
      <c r="G100" s="38">
        <f t="shared" si="289"/>
        <v>889.65517241379314</v>
      </c>
      <c r="H100" s="38">
        <f>13*25.4</f>
        <v>330.2</v>
      </c>
      <c r="I100" s="4">
        <f t="shared" si="290"/>
        <v>330.2</v>
      </c>
      <c r="J100" s="38">
        <f>4760/145</f>
        <v>32.827586206896555</v>
      </c>
      <c r="K100" s="38">
        <f t="shared" si="291"/>
        <v>25.4</v>
      </c>
      <c r="L100" s="7">
        <f t="shared" si="292"/>
        <v>13</v>
      </c>
      <c r="M100" s="7">
        <f t="shared" si="293"/>
        <v>13</v>
      </c>
      <c r="N100" s="38">
        <f>18.4*25.4</f>
        <v>467.35999999999996</v>
      </c>
      <c r="O100" s="38">
        <f t="shared" si="294"/>
        <v>63.5</v>
      </c>
      <c r="P100" s="7">
        <f t="shared" si="133"/>
        <v>50.8</v>
      </c>
      <c r="Q100" s="7">
        <f t="shared" si="295"/>
        <v>289.55999999999995</v>
      </c>
      <c r="R100" s="38">
        <v>2</v>
      </c>
      <c r="S100" s="39">
        <f t="shared" si="296"/>
        <v>50.8</v>
      </c>
      <c r="T100" s="7">
        <f t="shared" si="304"/>
        <v>2.5</v>
      </c>
      <c r="U100" s="7">
        <f t="shared" si="305"/>
        <v>3</v>
      </c>
      <c r="V100" s="38">
        <v>4</v>
      </c>
      <c r="W100" s="4">
        <f t="shared" si="297"/>
        <v>4</v>
      </c>
      <c r="X100" s="4">
        <f t="shared" si="298"/>
        <v>5</v>
      </c>
      <c r="Y100" s="7">
        <f t="shared" si="299"/>
        <v>56.796126628494655</v>
      </c>
      <c r="Z100" s="7"/>
      <c r="AA100" s="7"/>
      <c r="AB100" s="38">
        <f>91.7/(PI()/4)/0.145*AD103</f>
        <v>680.71677210678308</v>
      </c>
      <c r="AC100" s="7" t="s">
        <v>654</v>
      </c>
      <c r="AD100" s="7"/>
      <c r="AE100" s="7"/>
      <c r="AF100" s="7"/>
      <c r="AG100" s="39">
        <v>1</v>
      </c>
      <c r="AH100" s="7"/>
      <c r="AI100" s="7"/>
      <c r="AJ100" s="7"/>
      <c r="AK100" s="4">
        <f t="shared" si="279"/>
        <v>330.2</v>
      </c>
      <c r="AL100" s="44">
        <f t="shared" si="300"/>
        <v>0.24194608809993426</v>
      </c>
      <c r="AM100" s="25">
        <f t="shared" si="268"/>
        <v>339.2327463778492</v>
      </c>
      <c r="AN100" s="4">
        <f t="shared" si="269"/>
        <v>0.73846153846153839</v>
      </c>
      <c r="AO100" s="4">
        <v>1.25</v>
      </c>
      <c r="AP100" s="25">
        <f t="shared" si="270"/>
        <v>5</v>
      </c>
      <c r="AQ100" s="38">
        <f t="shared" si="271"/>
        <v>378.81247357623579</v>
      </c>
      <c r="AR100" s="38">
        <f t="shared" si="272"/>
        <v>378.81247357623579</v>
      </c>
      <c r="AT100" s="38">
        <f t="shared" si="286"/>
        <v>378.81247357623596</v>
      </c>
      <c r="AU100" s="38">
        <f t="shared" si="243"/>
        <v>0.99999999999999956</v>
      </c>
      <c r="AV100" s="38">
        <f t="shared" si="136"/>
        <v>0.93591936846063783</v>
      </c>
      <c r="AW100" s="4">
        <f t="shared" si="154"/>
        <v>1</v>
      </c>
      <c r="AX100" s="4">
        <f t="shared" si="220"/>
        <v>392.02090470029344</v>
      </c>
      <c r="AY100" s="4">
        <f t="shared" si="221"/>
        <v>1.08</v>
      </c>
      <c r="AZ100" s="38">
        <f t="shared" si="273"/>
        <v>354.53793103448282</v>
      </c>
      <c r="BA100" s="4">
        <f t="shared" si="222"/>
        <v>0.44000000000000006</v>
      </c>
      <c r="BB100" s="4">
        <f t="shared" si="244"/>
        <v>90.125605990597464</v>
      </c>
      <c r="BC100" s="4">
        <f t="shared" si="245"/>
        <v>444.6635370250803</v>
      </c>
      <c r="BE100" s="36">
        <f t="shared" si="287"/>
        <v>1.1000000000000001</v>
      </c>
      <c r="BF100" s="36">
        <f t="shared" si="288"/>
        <v>269.74656897885109</v>
      </c>
      <c r="BK100" s="4">
        <f t="shared" si="156"/>
        <v>63.5</v>
      </c>
      <c r="BL100" s="4">
        <f t="shared" si="157"/>
        <v>50.8</v>
      </c>
      <c r="BM100" s="4">
        <f t="shared" si="158"/>
        <v>63.5</v>
      </c>
      <c r="BN100" s="4">
        <f t="shared" si="159"/>
        <v>63.5</v>
      </c>
      <c r="BO100" s="4">
        <f t="shared" si="160"/>
        <v>1.0250000000000001</v>
      </c>
      <c r="BP100" s="25">
        <f t="shared" si="274"/>
        <v>2.5625000000000004</v>
      </c>
      <c r="BR100" s="4">
        <f t="shared" si="161"/>
        <v>63.5</v>
      </c>
      <c r="BV100" s="9"/>
      <c r="BX100" s="9"/>
      <c r="BY100" s="9"/>
      <c r="BZ100" s="9">
        <f t="shared" si="231"/>
        <v>50.8</v>
      </c>
      <c r="CA100" s="9">
        <f t="shared" si="232"/>
        <v>144.77999999999997</v>
      </c>
      <c r="CB100" s="9">
        <f t="shared" si="248"/>
        <v>1.6547855765231267</v>
      </c>
      <c r="CC100" s="9">
        <v>0</v>
      </c>
      <c r="CD100" s="9">
        <f t="shared" si="129"/>
        <v>0</v>
      </c>
      <c r="CE100" s="9">
        <f t="shared" si="249"/>
        <v>0</v>
      </c>
      <c r="CF100" s="9">
        <f t="shared" si="233"/>
        <v>0.99524931562137331</v>
      </c>
      <c r="CG100" s="9">
        <f t="shared" si="234"/>
        <v>0.68</v>
      </c>
      <c r="CH100" s="9">
        <f t="shared" si="250"/>
        <v>1.3571514652473406</v>
      </c>
      <c r="CI100" s="9">
        <f t="shared" si="251"/>
        <v>2.2457946698485269</v>
      </c>
      <c r="CJ100" s="9">
        <v>1</v>
      </c>
      <c r="CK100" s="9">
        <f t="shared" si="252"/>
        <v>251.52900302303502</v>
      </c>
      <c r="CM100" s="4">
        <f t="shared" si="206"/>
        <v>1.7364297769457027</v>
      </c>
      <c r="CN100" s="4">
        <f t="shared" si="207"/>
        <v>1.5308580880298011</v>
      </c>
      <c r="CO100" s="4">
        <f t="shared" si="208"/>
        <v>2.5235419107783099</v>
      </c>
      <c r="CP100" s="4">
        <f t="shared" si="209"/>
        <v>2.7063152317446391</v>
      </c>
      <c r="CQ100" s="4">
        <f t="shared" si="210"/>
        <v>0.94669817807579748</v>
      </c>
      <c r="CR100" s="4">
        <f t="shared" si="211"/>
        <v>1.0386003539475714</v>
      </c>
      <c r="CS100" s="4">
        <f t="shared" si="143"/>
        <v>1.0969090233322247</v>
      </c>
      <c r="CU100" s="4">
        <f t="shared" si="212"/>
        <v>1.7364297769457027</v>
      </c>
      <c r="CV100" s="4">
        <f t="shared" si="212"/>
        <v>1.5308580880298011</v>
      </c>
      <c r="CW100" s="4">
        <f t="shared" si="213"/>
        <v>2.7063152317446391</v>
      </c>
      <c r="CX100" s="4">
        <f t="shared" si="285"/>
        <v>1.0969090233322247</v>
      </c>
      <c r="CY100" s="4">
        <f t="shared" si="215"/>
        <v>0.94669817807579748</v>
      </c>
      <c r="CZ100" s="4">
        <f t="shared" si="215"/>
        <v>1.0386003539475714</v>
      </c>
      <c r="DH100" s="4">
        <f t="shared" si="167"/>
        <v>0</v>
      </c>
      <c r="DI100" s="4">
        <f t="shared" si="168"/>
        <v>330.2</v>
      </c>
      <c r="DJ100" s="4">
        <f t="shared" si="169"/>
        <v>1</v>
      </c>
      <c r="DL100" s="4">
        <f t="shared" si="170"/>
        <v>2.3681819900234351E-5</v>
      </c>
      <c r="DM100" s="4">
        <f t="shared" si="171"/>
        <v>7.2392070940302364</v>
      </c>
      <c r="DN100" s="4">
        <f t="shared" si="172"/>
        <v>0.63754511831837357</v>
      </c>
      <c r="DO100" s="4">
        <f t="shared" si="253"/>
        <v>6.0463790621963174</v>
      </c>
      <c r="DP100" s="4">
        <f t="shared" si="254"/>
        <v>6.6695348273863901</v>
      </c>
      <c r="DQ100" s="4">
        <f t="shared" si="255"/>
        <v>6.5917246907396922</v>
      </c>
      <c r="DR100" s="38">
        <f t="shared" si="275"/>
        <v>719.04307821777752</v>
      </c>
      <c r="DS100" s="4">
        <f t="shared" si="256"/>
        <v>1.0001231926487528</v>
      </c>
      <c r="DT100" s="4">
        <f t="shared" si="147"/>
        <v>2.2360679774997898</v>
      </c>
      <c r="DU100" s="4">
        <f t="shared" si="276"/>
        <v>378.81247357623596</v>
      </c>
      <c r="DY100" s="4">
        <f t="shared" si="235"/>
        <v>0.85</v>
      </c>
      <c r="DZ100" s="4">
        <f t="shared" si="257"/>
        <v>0.85</v>
      </c>
      <c r="EA100" s="4">
        <f t="shared" si="258"/>
        <v>1</v>
      </c>
      <c r="EB100" s="4">
        <f t="shared" si="259"/>
        <v>0.85</v>
      </c>
      <c r="ED100" s="4">
        <f t="shared" si="277"/>
        <v>655.41742742477982</v>
      </c>
      <c r="EE100" s="25">
        <f t="shared" si="301"/>
        <v>373.08835075760055</v>
      </c>
      <c r="EG100" s="4">
        <f t="shared" si="302"/>
        <v>0.72249999999999992</v>
      </c>
      <c r="EH100" s="4">
        <f t="shared" si="260"/>
        <v>7.2392070940302364</v>
      </c>
      <c r="EI100" s="4">
        <f t="shared" si="174"/>
        <v>5.3610853035727679</v>
      </c>
      <c r="EK100" s="4">
        <f t="shared" si="175"/>
        <v>56.796126628494655</v>
      </c>
      <c r="EL100" s="4">
        <f t="shared" si="176"/>
        <v>2.2360679774997898</v>
      </c>
      <c r="EM100" s="4">
        <f t="shared" si="177"/>
        <v>0.19974028505824587</v>
      </c>
      <c r="EP100" s="4">
        <f t="shared" si="178"/>
        <v>0.19974028505824587</v>
      </c>
      <c r="EQ100" s="4">
        <f t="shared" si="179"/>
        <v>0.63648117433815776</v>
      </c>
      <c r="ER100" s="4">
        <f t="shared" si="180"/>
        <v>6.0423409278351752</v>
      </c>
      <c r="ES100" s="4">
        <f t="shared" si="236"/>
        <v>6.6677050716935931</v>
      </c>
      <c r="ET100" s="4">
        <f t="shared" si="182"/>
        <v>190.85387337150533</v>
      </c>
      <c r="EU100" s="4">
        <f t="shared" si="183"/>
        <v>82.549999999999983</v>
      </c>
      <c r="EV100" s="4">
        <f t="shared" si="261"/>
        <v>2.3681819900234344E-5</v>
      </c>
      <c r="EW100" s="4">
        <f t="shared" si="237"/>
        <v>6.5919202985164418</v>
      </c>
      <c r="EX100" s="4">
        <f t="shared" si="185"/>
        <v>718.95450830756636</v>
      </c>
      <c r="EY100" s="4">
        <f t="shared" si="186"/>
        <v>190.85387337150533</v>
      </c>
      <c r="EZ100" s="4">
        <f t="shared" si="187"/>
        <v>82.550000000000011</v>
      </c>
      <c r="FB100" s="4">
        <f t="shared" si="262"/>
        <v>0</v>
      </c>
      <c r="FG100" s="23">
        <f t="shared" si="216"/>
        <v>1.8</v>
      </c>
      <c r="FH100" s="23">
        <f t="shared" si="216"/>
        <v>1.6</v>
      </c>
      <c r="FI100" s="23">
        <f t="shared" si="230"/>
        <v>1.2</v>
      </c>
      <c r="FJ100" s="23">
        <f t="shared" si="217"/>
        <v>2.2000000000000002</v>
      </c>
      <c r="FK100" s="23">
        <f t="shared" si="217"/>
        <v>1</v>
      </c>
      <c r="FL100" s="23">
        <f t="shared" si="217"/>
        <v>1.2</v>
      </c>
      <c r="FM100" s="23">
        <f t="shared" si="218"/>
        <v>0</v>
      </c>
      <c r="FN100" s="23"/>
      <c r="FX100" s="4">
        <f t="shared" si="263"/>
        <v>1</v>
      </c>
      <c r="FY100" s="4">
        <f t="shared" si="303"/>
        <v>0.5</v>
      </c>
      <c r="FZ100" s="4">
        <f t="shared" si="265"/>
        <v>0</v>
      </c>
      <c r="GA100" s="4">
        <f t="shared" si="266"/>
        <v>620.57723806380977</v>
      </c>
    </row>
    <row r="101" spans="1:183" ht="12" hidden="1" customHeight="1" x14ac:dyDescent="0.3">
      <c r="A101" s="25">
        <v>83</v>
      </c>
      <c r="B101" s="24" t="s">
        <v>605</v>
      </c>
      <c r="C101" s="24">
        <v>2016</v>
      </c>
      <c r="D101" s="24" t="s">
        <v>55</v>
      </c>
      <c r="E101" s="24"/>
      <c r="F101" s="7" t="s">
        <v>619</v>
      </c>
      <c r="G101" s="38">
        <f t="shared" si="289"/>
        <v>889.65517241379314</v>
      </c>
      <c r="H101" s="38">
        <f>9*25.4</f>
        <v>228.6</v>
      </c>
      <c r="I101" s="4">
        <f t="shared" si="290"/>
        <v>228.6</v>
      </c>
      <c r="J101" s="38">
        <f>4770/145</f>
        <v>32.896551724137929</v>
      </c>
      <c r="K101" s="38">
        <f t="shared" si="291"/>
        <v>25.4</v>
      </c>
      <c r="L101" s="7">
        <f t="shared" si="292"/>
        <v>9</v>
      </c>
      <c r="M101" s="7">
        <f t="shared" si="293"/>
        <v>9</v>
      </c>
      <c r="N101" s="38">
        <f>18.3*25.4</f>
        <v>464.82</v>
      </c>
      <c r="O101" s="38">
        <f t="shared" si="294"/>
        <v>63.5</v>
      </c>
      <c r="P101" s="7">
        <f t="shared" si="133"/>
        <v>50.8</v>
      </c>
      <c r="Q101" s="7">
        <f t="shared" si="295"/>
        <v>130.81</v>
      </c>
      <c r="R101" s="38">
        <v>3</v>
      </c>
      <c r="S101" s="39">
        <f t="shared" si="296"/>
        <v>50.8</v>
      </c>
      <c r="T101" s="7">
        <f t="shared" si="304"/>
        <v>2.5</v>
      </c>
      <c r="U101" s="7">
        <f t="shared" si="305"/>
        <v>3</v>
      </c>
      <c r="V101" s="38">
        <v>4</v>
      </c>
      <c r="W101" s="4">
        <f t="shared" si="297"/>
        <v>4</v>
      </c>
      <c r="X101" s="4">
        <f t="shared" si="298"/>
        <v>5</v>
      </c>
      <c r="Y101" s="7">
        <f t="shared" si="299"/>
        <v>56.796126628494655</v>
      </c>
      <c r="Z101" s="7"/>
      <c r="AA101" s="7"/>
      <c r="AB101" s="38">
        <f>72/(PI()/4)/0.145</f>
        <v>632.2292911788395</v>
      </c>
      <c r="AC101" s="7"/>
      <c r="AD101" s="7">
        <f>72/87</f>
        <v>0.82758620689655171</v>
      </c>
      <c r="AE101" s="7"/>
      <c r="AF101" s="7"/>
      <c r="AG101" s="39">
        <v>1</v>
      </c>
      <c r="AH101" s="7"/>
      <c r="AI101" s="7"/>
      <c r="AJ101" s="7"/>
      <c r="AK101" s="4">
        <f t="shared" si="279"/>
        <v>228.6</v>
      </c>
      <c r="AL101" s="44">
        <f t="shared" si="300"/>
        <v>0.40164609053497946</v>
      </c>
      <c r="AM101" s="25">
        <f t="shared" si="268"/>
        <v>130.41001899429696</v>
      </c>
      <c r="AN101" s="4">
        <f t="shared" si="269"/>
        <v>0.75555555555555554</v>
      </c>
      <c r="AO101" s="4">
        <v>1.25</v>
      </c>
      <c r="AP101" s="25">
        <f t="shared" si="270"/>
        <v>5</v>
      </c>
      <c r="AQ101" s="38">
        <f t="shared" si="271"/>
        <v>247.34373972946676</v>
      </c>
      <c r="AR101" s="38">
        <f t="shared" si="272"/>
        <v>247.34373972946676</v>
      </c>
      <c r="AT101" s="38">
        <f t="shared" si="286"/>
        <v>247.34373972946665</v>
      </c>
      <c r="AU101" s="38">
        <f t="shared" si="243"/>
        <v>1.0000000000000004</v>
      </c>
      <c r="AV101" s="38">
        <f t="shared" si="136"/>
        <v>1.4363927666383707</v>
      </c>
      <c r="AW101" s="4">
        <f t="shared" si="154"/>
        <v>0</v>
      </c>
      <c r="AX101" s="4">
        <f t="shared" si="220"/>
        <v>271.68402137349256</v>
      </c>
      <c r="AY101" s="4">
        <f t="shared" si="221"/>
        <v>1.08</v>
      </c>
      <c r="AZ101" s="38">
        <f t="shared" si="273"/>
        <v>355.28275862068966</v>
      </c>
      <c r="BA101" s="4">
        <f t="shared" si="222"/>
        <v>0.44000000000000006</v>
      </c>
      <c r="BB101" s="4">
        <f t="shared" si="244"/>
        <v>62.460156513765938</v>
      </c>
      <c r="BC101" s="4">
        <f t="shared" si="245"/>
        <v>417.74291513445559</v>
      </c>
      <c r="BE101" s="36">
        <f t="shared" si="287"/>
        <v>1.1000000000000001</v>
      </c>
      <c r="BF101" s="36">
        <f t="shared" si="288"/>
        <v>229.65148455566467</v>
      </c>
      <c r="BK101" s="4">
        <f t="shared" si="156"/>
        <v>63.5</v>
      </c>
      <c r="BL101" s="4">
        <f t="shared" si="157"/>
        <v>50.8</v>
      </c>
      <c r="BM101" s="4">
        <f t="shared" si="158"/>
        <v>63.5</v>
      </c>
      <c r="BN101" s="4">
        <f t="shared" si="159"/>
        <v>63.5</v>
      </c>
      <c r="BO101" s="4">
        <f t="shared" si="160"/>
        <v>1.0250000000000001</v>
      </c>
      <c r="BP101" s="25">
        <f t="shared" si="274"/>
        <v>2.5625000000000004</v>
      </c>
      <c r="BR101" s="4">
        <f t="shared" si="161"/>
        <v>63.5</v>
      </c>
      <c r="BV101" s="9"/>
      <c r="BX101" s="9"/>
      <c r="BY101" s="9"/>
      <c r="BZ101" s="9">
        <f t="shared" si="231"/>
        <v>50.8</v>
      </c>
      <c r="CA101" s="9">
        <f t="shared" si="232"/>
        <v>65.405000000000001</v>
      </c>
      <c r="CB101" s="9">
        <f t="shared" si="248"/>
        <v>1.4688487685376905</v>
      </c>
      <c r="CC101" s="9">
        <v>0</v>
      </c>
      <c r="CD101" s="9">
        <f t="shared" si="129"/>
        <v>0</v>
      </c>
      <c r="CE101" s="9">
        <f t="shared" si="249"/>
        <v>0</v>
      </c>
      <c r="CF101" s="9">
        <f t="shared" si="233"/>
        <v>0.99524931562137331</v>
      </c>
      <c r="CG101" s="9">
        <f t="shared" si="234"/>
        <v>0.68</v>
      </c>
      <c r="CH101" s="9">
        <f t="shared" si="250"/>
        <v>1.3585762965743986</v>
      </c>
      <c r="CI101" s="9">
        <f t="shared" si="251"/>
        <v>1.9955431201878016</v>
      </c>
      <c r="CJ101" s="9">
        <v>1</v>
      </c>
      <c r="CK101" s="9">
        <f t="shared" si="252"/>
        <v>191.57213953802895</v>
      </c>
      <c r="CM101" s="4">
        <f t="shared" si="206"/>
        <v>2.3270757256264769</v>
      </c>
      <c r="CN101" s="4">
        <f t="shared" si="207"/>
        <v>1.5134410860692846</v>
      </c>
      <c r="CO101" s="4">
        <f t="shared" si="208"/>
        <v>2.7529945752455824</v>
      </c>
      <c r="CP101" s="4">
        <f t="shared" si="209"/>
        <v>3.3002152228577883</v>
      </c>
      <c r="CQ101" s="4">
        <f t="shared" si="210"/>
        <v>1.3487999940488067</v>
      </c>
      <c r="CR101" s="4">
        <f t="shared" si="211"/>
        <v>1.2673692173920306</v>
      </c>
      <c r="CS101" s="4">
        <f t="shared" si="143"/>
        <v>1.9242884063113308</v>
      </c>
      <c r="CU101" s="4">
        <f t="shared" si="212"/>
        <v>2.3270757256264769</v>
      </c>
      <c r="CV101" s="4">
        <f t="shared" si="212"/>
        <v>1.5134410860692846</v>
      </c>
      <c r="CW101" s="4">
        <f t="shared" si="213"/>
        <v>3.3002152228577883</v>
      </c>
      <c r="CX101" s="4">
        <f t="shared" si="285"/>
        <v>1.9242884063113308</v>
      </c>
      <c r="CY101" s="4">
        <f t="shared" si="215"/>
        <v>1.3487999940488067</v>
      </c>
      <c r="CZ101" s="4">
        <f t="shared" si="215"/>
        <v>1.2673692173920306</v>
      </c>
      <c r="DH101" s="4">
        <f t="shared" si="167"/>
        <v>0</v>
      </c>
      <c r="DI101" s="4">
        <f t="shared" si="168"/>
        <v>228.6</v>
      </c>
      <c r="DJ101" s="4">
        <f t="shared" si="169"/>
        <v>1</v>
      </c>
      <c r="DL101" s="4">
        <f t="shared" si="170"/>
        <v>1.6402981976815728E-5</v>
      </c>
      <c r="DM101" s="4">
        <f t="shared" si="171"/>
        <v>7.2468073135449798</v>
      </c>
      <c r="DN101" s="4">
        <f t="shared" si="172"/>
        <v>0.41540923789121181</v>
      </c>
      <c r="DO101" s="4">
        <f t="shared" si="253"/>
        <v>5.0996124652241388</v>
      </c>
      <c r="DP101" s="4">
        <f t="shared" si="254"/>
        <v>6.2661431823399951</v>
      </c>
      <c r="DQ101" s="4">
        <f t="shared" si="255"/>
        <v>6.9598678695184395</v>
      </c>
      <c r="DR101" s="38">
        <f t="shared" si="275"/>
        <v>468.73464855306196</v>
      </c>
      <c r="DS101" s="4">
        <f t="shared" si="256"/>
        <v>1.0001167073244639</v>
      </c>
      <c r="DT101" s="4">
        <f t="shared" si="147"/>
        <v>2.2360679774997898</v>
      </c>
      <c r="DU101" s="4">
        <f t="shared" si="276"/>
        <v>247.34373972946665</v>
      </c>
      <c r="DY101" s="4">
        <f t="shared" si="235"/>
        <v>0.85</v>
      </c>
      <c r="DZ101" s="4">
        <f t="shared" si="257"/>
        <v>0.85</v>
      </c>
      <c r="EA101" s="4">
        <f t="shared" si="258"/>
        <v>1</v>
      </c>
      <c r="EB101" s="4">
        <f t="shared" si="259"/>
        <v>0.85</v>
      </c>
      <c r="ED101" s="4">
        <f t="shared" si="277"/>
        <v>498.85170201610981</v>
      </c>
      <c r="EE101" s="25">
        <f t="shared" si="301"/>
        <v>303.18790455039539</v>
      </c>
      <c r="EG101" s="4">
        <f t="shared" si="302"/>
        <v>0.72249999999999992</v>
      </c>
      <c r="EH101" s="4">
        <f t="shared" si="260"/>
        <v>7.2468073135449798</v>
      </c>
      <c r="EI101" s="4">
        <f t="shared" si="174"/>
        <v>5.366713741137155</v>
      </c>
      <c r="EK101" s="4">
        <f t="shared" si="175"/>
        <v>56.796126628494655</v>
      </c>
      <c r="EL101" s="4">
        <f t="shared" si="176"/>
        <v>2.2360679774997898</v>
      </c>
      <c r="EM101" s="4">
        <f t="shared" si="177"/>
        <v>0.13028265607914691</v>
      </c>
      <c r="EP101" s="4">
        <f t="shared" si="178"/>
        <v>0.13028265607914691</v>
      </c>
      <c r="EQ101" s="4">
        <f t="shared" si="179"/>
        <v>0.41471599729492875</v>
      </c>
      <c r="ER101" s="4">
        <f t="shared" si="180"/>
        <v>5.0962066383461853</v>
      </c>
      <c r="ES101" s="4">
        <f t="shared" si="236"/>
        <v>6.2647594664384387</v>
      </c>
      <c r="ET101" s="4">
        <f t="shared" si="182"/>
        <v>114.65387337150534</v>
      </c>
      <c r="EU101" s="4">
        <f t="shared" si="183"/>
        <v>57.150000000000006</v>
      </c>
      <c r="EV101" s="4">
        <f t="shared" si="261"/>
        <v>1.6402981976815732E-5</v>
      </c>
      <c r="EW101" s="4">
        <f t="shared" si="237"/>
        <v>6.9599510091554349</v>
      </c>
      <c r="EX101" s="4">
        <f t="shared" si="185"/>
        <v>468.67995017004779</v>
      </c>
      <c r="EY101" s="4">
        <f t="shared" si="186"/>
        <v>114.65387337150534</v>
      </c>
      <c r="EZ101" s="4">
        <f t="shared" si="187"/>
        <v>57.15</v>
      </c>
      <c r="FB101" s="4">
        <f t="shared" si="262"/>
        <v>0</v>
      </c>
      <c r="FG101" s="23">
        <f t="shared" si="216"/>
        <v>2.2000000000000002</v>
      </c>
      <c r="FH101" s="23">
        <f t="shared" si="216"/>
        <v>1.6</v>
      </c>
      <c r="FI101" s="23">
        <f t="shared" si="230"/>
        <v>2</v>
      </c>
      <c r="FJ101" s="23">
        <f t="shared" si="217"/>
        <v>2.2000000000000002</v>
      </c>
      <c r="FK101" s="23">
        <f t="shared" si="217"/>
        <v>1.4</v>
      </c>
      <c r="FL101" s="23">
        <f t="shared" si="217"/>
        <v>1.4</v>
      </c>
      <c r="FM101" s="23">
        <f t="shared" si="218"/>
        <v>0</v>
      </c>
      <c r="FN101" s="23"/>
      <c r="FX101" s="4">
        <f t="shared" si="263"/>
        <v>1</v>
      </c>
      <c r="FY101" s="4">
        <f t="shared" si="303"/>
        <v>0.65416666666666656</v>
      </c>
      <c r="FZ101" s="4">
        <f t="shared" si="265"/>
        <v>0</v>
      </c>
      <c r="GA101" s="4">
        <f t="shared" si="266"/>
        <v>328.55225292905033</v>
      </c>
    </row>
    <row r="102" spans="1:183" ht="12" hidden="1" customHeight="1" x14ac:dyDescent="0.3">
      <c r="A102" s="25">
        <v>84</v>
      </c>
      <c r="B102" s="24" t="s">
        <v>605</v>
      </c>
      <c r="C102" s="24">
        <v>2016</v>
      </c>
      <c r="D102" s="24" t="s">
        <v>55</v>
      </c>
      <c r="E102" s="24"/>
      <c r="F102" s="7" t="s">
        <v>620</v>
      </c>
      <c r="G102" s="38">
        <f t="shared" si="289"/>
        <v>889.65517241379314</v>
      </c>
      <c r="H102" s="38">
        <f>11*25.4</f>
        <v>279.39999999999998</v>
      </c>
      <c r="I102" s="4">
        <f t="shared" si="290"/>
        <v>279.39999999999998</v>
      </c>
      <c r="J102" s="38">
        <f>4820/145</f>
        <v>33.241379310344826</v>
      </c>
      <c r="K102" s="38">
        <f t="shared" si="291"/>
        <v>25.4</v>
      </c>
      <c r="L102" s="7">
        <f t="shared" si="292"/>
        <v>11</v>
      </c>
      <c r="M102" s="7">
        <f t="shared" si="293"/>
        <v>11</v>
      </c>
      <c r="N102" s="38">
        <f>18.3*25.4</f>
        <v>464.82</v>
      </c>
      <c r="O102" s="38">
        <f t="shared" si="294"/>
        <v>63.5</v>
      </c>
      <c r="P102" s="7">
        <f t="shared" si="133"/>
        <v>50.8</v>
      </c>
      <c r="Q102" s="7">
        <f t="shared" si="295"/>
        <v>130.81</v>
      </c>
      <c r="R102" s="38">
        <v>3</v>
      </c>
      <c r="S102" s="39">
        <f t="shared" si="296"/>
        <v>50.8</v>
      </c>
      <c r="T102" s="7">
        <f t="shared" si="304"/>
        <v>2.5</v>
      </c>
      <c r="U102" s="7">
        <f t="shared" si="305"/>
        <v>3</v>
      </c>
      <c r="V102" s="38">
        <v>4</v>
      </c>
      <c r="W102" s="4">
        <f t="shared" si="297"/>
        <v>4</v>
      </c>
      <c r="X102" s="4">
        <f t="shared" si="298"/>
        <v>5</v>
      </c>
      <c r="Y102" s="7">
        <f t="shared" si="299"/>
        <v>56.796126628494655</v>
      </c>
      <c r="Z102" s="7"/>
      <c r="AA102" s="7"/>
      <c r="AB102" s="38">
        <f>98.5/(PI()/4)/0.145*AD103</f>
        <v>731.1952241277877</v>
      </c>
      <c r="AC102" s="7" t="s">
        <v>654</v>
      </c>
      <c r="AD102" s="7"/>
      <c r="AE102" s="7"/>
      <c r="AF102" s="7"/>
      <c r="AG102" s="39">
        <v>1</v>
      </c>
      <c r="AH102" s="7"/>
      <c r="AI102" s="7"/>
      <c r="AJ102" s="7"/>
      <c r="AK102" s="4">
        <f t="shared" si="279"/>
        <v>279.39999999999998</v>
      </c>
      <c r="AL102" s="44">
        <f t="shared" si="300"/>
        <v>0.31928374655647385</v>
      </c>
      <c r="AM102" s="25">
        <f t="shared" si="268"/>
        <v>177.13343774215744</v>
      </c>
      <c r="AN102" s="4">
        <f t="shared" si="269"/>
        <v>0.74545454545454537</v>
      </c>
      <c r="AO102" s="4">
        <v>1.25</v>
      </c>
      <c r="AP102" s="25">
        <f t="shared" si="270"/>
        <v>5</v>
      </c>
      <c r="AQ102" s="38">
        <f t="shared" si="271"/>
        <v>263.49874242642056</v>
      </c>
      <c r="AR102" s="38">
        <f t="shared" si="272"/>
        <v>263.49874242642056</v>
      </c>
      <c r="AT102" s="38">
        <f t="shared" si="286"/>
        <v>263.49874242642068</v>
      </c>
      <c r="AU102" s="38">
        <f t="shared" si="243"/>
        <v>0.99999999999999956</v>
      </c>
      <c r="AV102" s="38">
        <f t="shared" si="136"/>
        <v>1.3624615178266861</v>
      </c>
      <c r="AW102" s="4">
        <f t="shared" si="154"/>
        <v>0</v>
      </c>
      <c r="AX102" s="4">
        <f t="shared" si="220"/>
        <v>333.79405864797894</v>
      </c>
      <c r="AY102" s="4">
        <f t="shared" si="221"/>
        <v>1.08</v>
      </c>
      <c r="AZ102" s="38">
        <f t="shared" si="273"/>
        <v>359.00689655172414</v>
      </c>
      <c r="BA102" s="4">
        <f t="shared" si="222"/>
        <v>0.44000000000000006</v>
      </c>
      <c r="BB102" s="4">
        <f t="shared" si="244"/>
        <v>76.739254083170351</v>
      </c>
      <c r="BC102" s="4">
        <f t="shared" si="245"/>
        <v>435.74615063489449</v>
      </c>
      <c r="BE102" s="36">
        <f t="shared" si="287"/>
        <v>1.1000000000000001</v>
      </c>
      <c r="BF102" s="36">
        <f t="shared" si="288"/>
        <v>251.14664972673935</v>
      </c>
      <c r="BK102" s="4">
        <f t="shared" si="156"/>
        <v>63.5</v>
      </c>
      <c r="BL102" s="4">
        <f t="shared" si="157"/>
        <v>50.8</v>
      </c>
      <c r="BM102" s="4">
        <f t="shared" si="158"/>
        <v>63.5</v>
      </c>
      <c r="BN102" s="4">
        <f t="shared" si="159"/>
        <v>63.5</v>
      </c>
      <c r="BO102" s="4">
        <f t="shared" si="160"/>
        <v>1.0250000000000001</v>
      </c>
      <c r="BP102" s="25">
        <f t="shared" si="274"/>
        <v>2.5625000000000004</v>
      </c>
      <c r="BR102" s="4">
        <f t="shared" si="161"/>
        <v>63.5</v>
      </c>
      <c r="BV102" s="9"/>
      <c r="BX102" s="9"/>
      <c r="BY102" s="9"/>
      <c r="BZ102" s="9">
        <f t="shared" si="231"/>
        <v>50.8</v>
      </c>
      <c r="CA102" s="9">
        <f t="shared" si="232"/>
        <v>65.405000000000001</v>
      </c>
      <c r="CB102" s="9">
        <f t="shared" si="248"/>
        <v>1.4688487685376905</v>
      </c>
      <c r="CC102" s="9">
        <v>0</v>
      </c>
      <c r="CD102" s="9">
        <f t="shared" si="129"/>
        <v>0</v>
      </c>
      <c r="CE102" s="9">
        <f t="shared" si="249"/>
        <v>0</v>
      </c>
      <c r="CF102" s="9">
        <f t="shared" si="233"/>
        <v>0.99524931562137331</v>
      </c>
      <c r="CG102" s="9">
        <f t="shared" si="234"/>
        <v>0.68</v>
      </c>
      <c r="CH102" s="9">
        <f t="shared" si="250"/>
        <v>1.3656781551917097</v>
      </c>
      <c r="CI102" s="9">
        <f t="shared" si="251"/>
        <v>2.0059746764721678</v>
      </c>
      <c r="CJ102" s="9">
        <v>1</v>
      </c>
      <c r="CK102" s="9">
        <f t="shared" si="252"/>
        <v>208.62136635310543</v>
      </c>
      <c r="CM102" s="4">
        <f t="shared" si="206"/>
        <v>2.1905579359005616</v>
      </c>
      <c r="CN102" s="4">
        <f t="shared" si="207"/>
        <v>1.6780302546847874</v>
      </c>
      <c r="CO102" s="4">
        <f t="shared" si="208"/>
        <v>2.9114273470236065</v>
      </c>
      <c r="CP102" s="4">
        <f t="shared" si="209"/>
        <v>3.504891358491975</v>
      </c>
      <c r="CQ102" s="4">
        <f t="shared" si="210"/>
        <v>1.3585563667404681</v>
      </c>
      <c r="CR102" s="4">
        <f t="shared" si="211"/>
        <v>1.4251104346911909</v>
      </c>
      <c r="CS102" s="4">
        <f t="shared" si="143"/>
        <v>1.816128425931379</v>
      </c>
      <c r="CU102" s="4">
        <f t="shared" si="212"/>
        <v>2.1905579359005616</v>
      </c>
      <c r="CV102" s="4">
        <f t="shared" si="212"/>
        <v>1.6780302546847874</v>
      </c>
      <c r="CW102" s="4">
        <f t="shared" si="213"/>
        <v>3.504891358491975</v>
      </c>
      <c r="CX102" s="4">
        <f t="shared" si="285"/>
        <v>1.816128425931379</v>
      </c>
      <c r="CY102" s="4">
        <f t="shared" si="215"/>
        <v>1.3585563667404681</v>
      </c>
      <c r="CZ102" s="4">
        <f t="shared" si="215"/>
        <v>1.4251104346911909</v>
      </c>
      <c r="DH102" s="4">
        <f t="shared" si="167"/>
        <v>0</v>
      </c>
      <c r="DI102" s="4">
        <f t="shared" si="168"/>
        <v>279.39999999999998</v>
      </c>
      <c r="DJ102" s="4">
        <f t="shared" si="169"/>
        <v>1</v>
      </c>
      <c r="DL102" s="4">
        <f t="shared" si="170"/>
        <v>2.0096207151589931E-5</v>
      </c>
      <c r="DM102" s="4">
        <f t="shared" si="171"/>
        <v>7.28468947084263</v>
      </c>
      <c r="DN102" s="4">
        <f t="shared" si="172"/>
        <v>0.43795058920526347</v>
      </c>
      <c r="DO102" s="4">
        <f t="shared" si="253"/>
        <v>5.2357763797277759</v>
      </c>
      <c r="DP102" s="4">
        <f t="shared" si="254"/>
        <v>6.3437205043384113</v>
      </c>
      <c r="DQ102" s="4">
        <f t="shared" si="255"/>
        <v>6.8439176364279284</v>
      </c>
      <c r="DR102" s="38">
        <f t="shared" si="275"/>
        <v>538.21485955869184</v>
      </c>
      <c r="DS102" s="4">
        <f t="shared" si="256"/>
        <v>1.0001200556164163</v>
      </c>
      <c r="DT102" s="4">
        <f t="shared" si="147"/>
        <v>2.2360679774997898</v>
      </c>
      <c r="DU102" s="4">
        <f t="shared" si="276"/>
        <v>263.49874242642068</v>
      </c>
      <c r="DY102" s="4">
        <f t="shared" si="235"/>
        <v>0.85</v>
      </c>
      <c r="DZ102" s="4">
        <f t="shared" si="257"/>
        <v>0.85</v>
      </c>
      <c r="EA102" s="4">
        <f t="shared" si="258"/>
        <v>1</v>
      </c>
      <c r="EB102" s="4">
        <f t="shared" si="259"/>
        <v>0.85</v>
      </c>
      <c r="ED102" s="4">
        <f t="shared" si="277"/>
        <v>513.07969286340347</v>
      </c>
      <c r="EE102" s="25">
        <f t="shared" si="301"/>
        <v>272.68494032559664</v>
      </c>
      <c r="EG102" s="4">
        <f t="shared" si="302"/>
        <v>0.72249999999999992</v>
      </c>
      <c r="EH102" s="4">
        <f t="shared" si="260"/>
        <v>7.28468947084263</v>
      </c>
      <c r="EI102" s="4">
        <f t="shared" si="174"/>
        <v>5.3947678462508959</v>
      </c>
      <c r="EK102" s="4">
        <f t="shared" si="175"/>
        <v>56.796126628494655</v>
      </c>
      <c r="EL102" s="4">
        <f t="shared" si="176"/>
        <v>2.2360679774997898</v>
      </c>
      <c r="EM102" s="4">
        <f t="shared" si="177"/>
        <v>0.13807018232988313</v>
      </c>
      <c r="EP102" s="4">
        <f t="shared" si="178"/>
        <v>0.13807018232988313</v>
      </c>
      <c r="EQ102" s="4">
        <f t="shared" si="179"/>
        <v>0.43721973129477409</v>
      </c>
      <c r="ER102" s="4">
        <f t="shared" si="180"/>
        <v>5.2322796144259733</v>
      </c>
      <c r="ES102" s="4">
        <f t="shared" si="236"/>
        <v>6.342279396007469</v>
      </c>
      <c r="ET102" s="4">
        <f t="shared" si="182"/>
        <v>152.75387337150534</v>
      </c>
      <c r="EU102" s="4">
        <f t="shared" si="183"/>
        <v>69.849999999999994</v>
      </c>
      <c r="EV102" s="4">
        <f t="shared" si="261"/>
        <v>2.0096207151589931E-5</v>
      </c>
      <c r="EW102" s="4">
        <f t="shared" si="237"/>
        <v>6.8440389973044624</v>
      </c>
      <c r="EX102" s="4">
        <f t="shared" si="185"/>
        <v>538.15025159851166</v>
      </c>
      <c r="EY102" s="4">
        <f t="shared" si="186"/>
        <v>152.75387337150534</v>
      </c>
      <c r="EZ102" s="4">
        <f t="shared" si="187"/>
        <v>69.849999999999994</v>
      </c>
      <c r="FB102" s="4">
        <f t="shared" si="262"/>
        <v>0</v>
      </c>
      <c r="FG102" s="23">
        <f t="shared" si="216"/>
        <v>2.2000000000000002</v>
      </c>
      <c r="FH102" s="23">
        <f t="shared" si="216"/>
        <v>1.8</v>
      </c>
      <c r="FI102" s="23">
        <f t="shared" si="230"/>
        <v>2</v>
      </c>
      <c r="FJ102" s="23">
        <f t="shared" si="217"/>
        <v>2.2000000000000002</v>
      </c>
      <c r="FK102" s="23">
        <f t="shared" si="217"/>
        <v>1.4</v>
      </c>
      <c r="FL102" s="23">
        <f t="shared" si="217"/>
        <v>1.6</v>
      </c>
      <c r="FM102" s="23">
        <f t="shared" si="218"/>
        <v>0</v>
      </c>
      <c r="FN102" s="23"/>
      <c r="FX102" s="4">
        <f t="shared" si="263"/>
        <v>1</v>
      </c>
      <c r="FY102" s="4">
        <f t="shared" si="303"/>
        <v>0.65416666666666656</v>
      </c>
      <c r="FZ102" s="4">
        <f t="shared" si="265"/>
        <v>0</v>
      </c>
      <c r="GA102" s="4">
        <f t="shared" si="266"/>
        <v>402.6120695472311</v>
      </c>
    </row>
    <row r="103" spans="1:183" ht="12" hidden="1" customHeight="1" x14ac:dyDescent="0.3">
      <c r="A103" s="25">
        <v>85</v>
      </c>
      <c r="B103" s="24" t="s">
        <v>605</v>
      </c>
      <c r="C103" s="24">
        <v>2016</v>
      </c>
      <c r="D103" s="24" t="s">
        <v>55</v>
      </c>
      <c r="E103" s="24"/>
      <c r="F103" s="7" t="s">
        <v>621</v>
      </c>
      <c r="G103" s="38">
        <f t="shared" si="289"/>
        <v>889.65517241379314</v>
      </c>
      <c r="H103" s="38">
        <f>13*25.4</f>
        <v>330.2</v>
      </c>
      <c r="I103" s="4">
        <f t="shared" si="290"/>
        <v>330.2</v>
      </c>
      <c r="J103" s="38">
        <f>4900/145</f>
        <v>33.793103448275865</v>
      </c>
      <c r="K103" s="38">
        <f t="shared" si="291"/>
        <v>25.4</v>
      </c>
      <c r="L103" s="7">
        <f t="shared" si="292"/>
        <v>13</v>
      </c>
      <c r="M103" s="7">
        <f t="shared" si="293"/>
        <v>13</v>
      </c>
      <c r="N103" s="38">
        <f>18.4*25.4</f>
        <v>467.35999999999996</v>
      </c>
      <c r="O103" s="38">
        <f t="shared" si="294"/>
        <v>63.5</v>
      </c>
      <c r="P103" s="7">
        <f t="shared" si="133"/>
        <v>50.8</v>
      </c>
      <c r="Q103" s="7">
        <f t="shared" si="295"/>
        <v>132.07999999999998</v>
      </c>
      <c r="R103" s="38">
        <v>3</v>
      </c>
      <c r="S103" s="39">
        <f t="shared" si="296"/>
        <v>50.8</v>
      </c>
      <c r="T103" s="7">
        <f t="shared" si="304"/>
        <v>2.5</v>
      </c>
      <c r="U103" s="7">
        <f t="shared" si="305"/>
        <v>3</v>
      </c>
      <c r="V103" s="38">
        <v>4</v>
      </c>
      <c r="W103" s="4">
        <f t="shared" si="297"/>
        <v>4</v>
      </c>
      <c r="X103" s="4">
        <f t="shared" si="298"/>
        <v>5</v>
      </c>
      <c r="Y103" s="7">
        <f t="shared" si="299"/>
        <v>56.796126628494655</v>
      </c>
      <c r="Z103" s="7"/>
      <c r="AA103" s="7"/>
      <c r="AB103" s="38">
        <f>122/(PI()/4)/0.145*AD103</f>
        <v>905.64281567096566</v>
      </c>
      <c r="AC103" s="7" t="s">
        <v>654</v>
      </c>
      <c r="AD103" s="7">
        <f>AVERAGE(AD95:AD101)</f>
        <v>0.84538589834180455</v>
      </c>
      <c r="AE103" s="7"/>
      <c r="AF103" s="7"/>
      <c r="AG103" s="39">
        <v>1</v>
      </c>
      <c r="AH103" s="7"/>
      <c r="AI103" s="7"/>
      <c r="AJ103" s="7"/>
      <c r="AK103" s="4">
        <f t="shared" si="279"/>
        <v>330.2</v>
      </c>
      <c r="AL103" s="44">
        <f t="shared" si="300"/>
        <v>0.24194608809993426</v>
      </c>
      <c r="AM103" s="25">
        <f t="shared" si="268"/>
        <v>229.45687414382829</v>
      </c>
      <c r="AN103" s="4">
        <f t="shared" si="269"/>
        <v>0.73846153846153839</v>
      </c>
      <c r="AO103" s="4">
        <v>1.25</v>
      </c>
      <c r="AP103" s="25">
        <f>AP102</f>
        <v>5</v>
      </c>
      <c r="AQ103" s="38">
        <f t="shared" si="271"/>
        <v>256.22858347725327</v>
      </c>
      <c r="AR103" s="38">
        <f t="shared" si="272"/>
        <v>256.22858347725327</v>
      </c>
      <c r="AT103" s="38">
        <f>AP103* (J103^0.5/AK103^0.5)/(PI()/4*K103^2)/R103/0.72 *(0.7+(MIN(O103,S103)+0.5*K103)/5/H103) *(N103*MIN(S103+0.5*K103+1.5*H103,20*25.4))</f>
        <v>256.22858347725338</v>
      </c>
      <c r="AU103" s="38">
        <f t="shared" si="243"/>
        <v>0.99999999999999956</v>
      </c>
      <c r="AV103" s="38">
        <f t="shared" si="136"/>
        <v>1.424374721541475</v>
      </c>
      <c r="AW103" s="4">
        <f t="shared" si="154"/>
        <v>0</v>
      </c>
      <c r="AX103" s="4">
        <f t="shared" si="220"/>
        <v>397.74414035212305</v>
      </c>
      <c r="AY103" s="4">
        <f t="shared" si="221"/>
        <v>1.08</v>
      </c>
      <c r="AZ103" s="38">
        <f t="shared" si="273"/>
        <v>364.96551724137936</v>
      </c>
      <c r="BA103" s="4">
        <f t="shared" si="222"/>
        <v>0.44000000000000006</v>
      </c>
      <c r="BB103" s="4">
        <f t="shared" si="244"/>
        <v>91.44137786695309</v>
      </c>
      <c r="BC103" s="4">
        <f t="shared" si="245"/>
        <v>456.40689510833244</v>
      </c>
      <c r="BE103" s="36">
        <f t="shared" si="287"/>
        <v>1.1000000000000001</v>
      </c>
      <c r="BF103" s="36">
        <f t="shared" si="288"/>
        <v>273.68468340598542</v>
      </c>
      <c r="BK103" s="4">
        <f t="shared" si="156"/>
        <v>63.5</v>
      </c>
      <c r="BL103" s="4">
        <f t="shared" si="157"/>
        <v>50.8</v>
      </c>
      <c r="BM103" s="4">
        <f t="shared" si="158"/>
        <v>63.5</v>
      </c>
      <c r="BN103" s="4">
        <f t="shared" si="159"/>
        <v>63.5</v>
      </c>
      <c r="BO103" s="4">
        <f t="shared" si="160"/>
        <v>1.0250000000000001</v>
      </c>
      <c r="BP103" s="25">
        <f t="shared" si="274"/>
        <v>2.5625000000000004</v>
      </c>
      <c r="BR103" s="4">
        <f t="shared" si="161"/>
        <v>63.5</v>
      </c>
      <c r="BV103" s="9"/>
      <c r="BX103" s="9"/>
      <c r="BY103" s="9"/>
      <c r="BZ103" s="9">
        <f t="shared" si="231"/>
        <v>50.8</v>
      </c>
      <c r="CA103" s="9">
        <f t="shared" si="232"/>
        <v>66.039999999999992</v>
      </c>
      <c r="CB103" s="9">
        <f t="shared" si="248"/>
        <v>1.47097909478315</v>
      </c>
      <c r="CC103" s="9">
        <v>0</v>
      </c>
      <c r="CD103" s="9">
        <f t="shared" ref="CD103:CD166" si="306">MIN(PI()*AE103^2/4*AF103*2/R103/K103/MAX(0.01,AG103),0.05)</f>
        <v>0</v>
      </c>
      <c r="CE103" s="9">
        <f t="shared" si="249"/>
        <v>0</v>
      </c>
      <c r="CF103" s="9">
        <f t="shared" si="233"/>
        <v>0.99524931562137331</v>
      </c>
      <c r="CG103" s="9">
        <f t="shared" si="234"/>
        <v>0.68</v>
      </c>
      <c r="CH103" s="9">
        <f t="shared" si="250"/>
        <v>1.3769649434514548</v>
      </c>
      <c r="CI103" s="9">
        <f t="shared" si="251"/>
        <v>2.0254866460663523</v>
      </c>
      <c r="CJ103" s="9">
        <v>1</v>
      </c>
      <c r="CK103" s="9">
        <f t="shared" si="252"/>
        <v>226.85450435943147</v>
      </c>
      <c r="CM103" s="4">
        <f t="shared" si="206"/>
        <v>2.2769482282484406</v>
      </c>
      <c r="CN103" s="4">
        <f t="shared" si="207"/>
        <v>1.9842881984857019</v>
      </c>
      <c r="CO103" s="4">
        <f t="shared" si="208"/>
        <v>3.3090738012822221</v>
      </c>
      <c r="CP103" s="4">
        <f t="shared" si="209"/>
        <v>3.9921747122818969</v>
      </c>
      <c r="CQ103" s="4">
        <f t="shared" si="210"/>
        <v>1.5585926361575473</v>
      </c>
      <c r="CR103" s="4">
        <f t="shared" si="211"/>
        <v>1.6808276036174601</v>
      </c>
      <c r="CS103" s="4">
        <f t="shared" si="143"/>
        <v>1.8834633534428806</v>
      </c>
      <c r="CU103" s="4">
        <f t="shared" si="212"/>
        <v>2.2769482282484406</v>
      </c>
      <c r="CV103" s="4">
        <f t="shared" si="212"/>
        <v>1.9842881984857019</v>
      </c>
      <c r="CW103" s="4">
        <f t="shared" si="213"/>
        <v>3.9921747122818969</v>
      </c>
      <c r="CX103" s="4">
        <f t="shared" si="285"/>
        <v>1.8834633534428806</v>
      </c>
      <c r="CY103" s="4">
        <f t="shared" si="215"/>
        <v>1.5585926361575473</v>
      </c>
      <c r="CZ103" s="4">
        <f t="shared" si="215"/>
        <v>1.6808276036174601</v>
      </c>
      <c r="DH103" s="4">
        <f t="shared" si="167"/>
        <v>0</v>
      </c>
      <c r="DI103" s="4">
        <f t="shared" si="168"/>
        <v>330.2</v>
      </c>
      <c r="DJ103" s="4">
        <f t="shared" si="169"/>
        <v>1</v>
      </c>
      <c r="DL103" s="4">
        <f t="shared" si="170"/>
        <v>2.3841003655999786E-5</v>
      </c>
      <c r="DM103" s="4">
        <f t="shared" si="171"/>
        <v>7.3448945398648089</v>
      </c>
      <c r="DN103" s="4">
        <f t="shared" si="172"/>
        <v>0.41891421932562034</v>
      </c>
      <c r="DO103" s="4">
        <f t="shared" si="253"/>
        <v>5.186036931996048</v>
      </c>
      <c r="DP103" s="4">
        <f t="shared" si="254"/>
        <v>6.3580358640988877</v>
      </c>
      <c r="DQ103" s="4">
        <f t="shared" si="255"/>
        <v>6.7196286453850629</v>
      </c>
      <c r="DR103" s="38">
        <f t="shared" si="275"/>
        <v>581.06447744015941</v>
      </c>
      <c r="DS103" s="4">
        <f t="shared" si="256"/>
        <v>1.0001226834372552</v>
      </c>
      <c r="DT103" s="4">
        <f t="shared" si="147"/>
        <v>2.2360679774997898</v>
      </c>
      <c r="DU103" s="4">
        <f t="shared" si="276"/>
        <v>256.22858347725338</v>
      </c>
      <c r="DY103" s="4">
        <f t="shared" si="235"/>
        <v>0.85</v>
      </c>
      <c r="DZ103" s="4">
        <f t="shared" si="257"/>
        <v>0.85</v>
      </c>
      <c r="EA103" s="4">
        <f t="shared" si="258"/>
        <v>1</v>
      </c>
      <c r="EB103" s="4">
        <f t="shared" si="259"/>
        <v>0.85</v>
      </c>
      <c r="ED103" s="4">
        <f t="shared" si="277"/>
        <v>538.80767648142523</v>
      </c>
      <c r="EE103" s="25">
        <f t="shared" si="301"/>
        <v>252.35678942669762</v>
      </c>
      <c r="EG103" s="4">
        <f t="shared" si="302"/>
        <v>0.72249999999999992</v>
      </c>
      <c r="EH103" s="4">
        <f t="shared" si="260"/>
        <v>7.3448945398648089</v>
      </c>
      <c r="EI103" s="4">
        <f t="shared" si="174"/>
        <v>5.4393534626786328</v>
      </c>
      <c r="EK103" s="4">
        <f t="shared" si="175"/>
        <v>56.796126628494655</v>
      </c>
      <c r="EL103" s="4">
        <f t="shared" si="176"/>
        <v>2.2360679774997898</v>
      </c>
      <c r="EM103" s="4">
        <f t="shared" si="177"/>
        <v>0.13316019003883056</v>
      </c>
      <c r="EP103" s="4">
        <f t="shared" si="178"/>
        <v>0.13316019003883056</v>
      </c>
      <c r="EQ103" s="4">
        <f t="shared" si="179"/>
        <v>0.41821512956856294</v>
      </c>
      <c r="ER103" s="4">
        <f t="shared" si="180"/>
        <v>5.1825733856788512</v>
      </c>
      <c r="ES103" s="4">
        <f t="shared" si="236"/>
        <v>6.3566254752196159</v>
      </c>
      <c r="ET103" s="4">
        <f t="shared" si="182"/>
        <v>190.85387337150533</v>
      </c>
      <c r="EU103" s="4">
        <f t="shared" si="183"/>
        <v>82.549999999999983</v>
      </c>
      <c r="EV103" s="4">
        <f t="shared" si="261"/>
        <v>2.3841003655999783E-5</v>
      </c>
      <c r="EW103" s="4">
        <f t="shared" si="237"/>
        <v>6.7197894855382199</v>
      </c>
      <c r="EX103" s="4">
        <f t="shared" si="185"/>
        <v>580.99319919745994</v>
      </c>
      <c r="EY103" s="4">
        <f t="shared" si="186"/>
        <v>190.85387337150533</v>
      </c>
      <c r="EZ103" s="4">
        <f t="shared" si="187"/>
        <v>82.550000000000011</v>
      </c>
      <c r="FB103" s="4">
        <f t="shared" si="262"/>
        <v>0</v>
      </c>
      <c r="FG103" s="23">
        <f t="shared" si="216"/>
        <v>2.2000000000000002</v>
      </c>
      <c r="FH103" s="23">
        <f t="shared" si="216"/>
        <v>2</v>
      </c>
      <c r="FI103" s="23">
        <f t="shared" si="230"/>
        <v>2</v>
      </c>
      <c r="FJ103" s="23">
        <f t="shared" si="217"/>
        <v>2.2000000000000002</v>
      </c>
      <c r="FK103" s="23">
        <f t="shared" si="217"/>
        <v>1.6</v>
      </c>
      <c r="FL103" s="23">
        <f t="shared" si="217"/>
        <v>1.8</v>
      </c>
      <c r="FM103" s="23">
        <f t="shared" si="218"/>
        <v>0</v>
      </c>
      <c r="FN103" s="23"/>
      <c r="FX103" s="4">
        <f t="shared" si="263"/>
        <v>1</v>
      </c>
      <c r="FY103" s="4">
        <f t="shared" si="303"/>
        <v>0.64999999999999991</v>
      </c>
      <c r="FZ103" s="4">
        <f t="shared" si="265"/>
        <v>0</v>
      </c>
      <c r="GA103" s="4">
        <f t="shared" si="266"/>
        <v>480.83909570923907</v>
      </c>
    </row>
    <row r="104" spans="1:183" s="19" customFormat="1" ht="12" hidden="1" customHeight="1" x14ac:dyDescent="0.3">
      <c r="A104" s="25">
        <v>86</v>
      </c>
      <c r="B104" s="20" t="s">
        <v>54</v>
      </c>
      <c r="C104" s="20">
        <v>2006</v>
      </c>
      <c r="D104" s="20" t="s">
        <v>293</v>
      </c>
      <c r="E104" s="20"/>
      <c r="F104" s="21" t="s">
        <v>77</v>
      </c>
      <c r="G104" s="21">
        <v>472</v>
      </c>
      <c r="H104" s="21">
        <f>K104*L104</f>
        <v>76.199999999999989</v>
      </c>
      <c r="I104" s="21">
        <f t="shared" si="131"/>
        <v>38.099999999999994</v>
      </c>
      <c r="J104" s="21">
        <v>26</v>
      </c>
      <c r="K104" s="7">
        <v>25.4</v>
      </c>
      <c r="L104" s="21">
        <v>3</v>
      </c>
      <c r="M104" s="21">
        <v>1.5</v>
      </c>
      <c r="N104" s="21">
        <f>25*25.4</f>
        <v>635</v>
      </c>
      <c r="O104" s="21">
        <f>0.5*(N104-15*K104-K104)</f>
        <v>114.3</v>
      </c>
      <c r="P104" s="21">
        <f>N104-6*K104-5*Q104</f>
        <v>228.60000000000002</v>
      </c>
      <c r="Q104" s="21">
        <f>2*25.4</f>
        <v>50.8</v>
      </c>
      <c r="R104" s="21">
        <v>3</v>
      </c>
      <c r="S104" s="21">
        <f>2.5*25.4-K104/2</f>
        <v>50.8</v>
      </c>
      <c r="T104" s="7">
        <f t="shared" si="304"/>
        <v>1.5</v>
      </c>
      <c r="U104" s="21">
        <f t="shared" ref="U104:U110" si="307">(S104+K104/2)/K104</f>
        <v>2.5</v>
      </c>
      <c r="V104" s="21">
        <v>1.18</v>
      </c>
      <c r="W104" s="7">
        <f t="shared" si="152"/>
        <v>1.18</v>
      </c>
      <c r="X104" s="21">
        <f t="shared" si="242"/>
        <v>2.1799999999999997</v>
      </c>
      <c r="Y104" s="21">
        <f t="shared" si="200"/>
        <v>37.502650572992827</v>
      </c>
      <c r="Z104" s="21"/>
      <c r="AA104" s="21"/>
      <c r="AB104" s="21">
        <v>62</v>
      </c>
      <c r="AC104" s="21"/>
      <c r="AD104" s="7">
        <f>CQ104</f>
        <v>0</v>
      </c>
      <c r="AE104" s="21"/>
      <c r="AF104" s="21"/>
      <c r="AG104" s="7">
        <v>1</v>
      </c>
      <c r="AH104" s="7"/>
      <c r="AI104" s="7"/>
      <c r="AJ104" s="21"/>
      <c r="AK104" s="4">
        <f t="shared" si="279"/>
        <v>76.199999999999989</v>
      </c>
      <c r="AL104" s="44">
        <f>MIN(N104)*(MIN(254-S104-0.5*K104,1.5*AK104)+S104+K104/2)/(3*H104)^2</f>
        <v>2.1604938271604941</v>
      </c>
      <c r="AM104" s="25">
        <f t="shared" si="268"/>
        <v>22.312105854445715</v>
      </c>
      <c r="AN104" s="4">
        <f t="shared" si="269"/>
        <v>0.8666666666666667</v>
      </c>
      <c r="AO104" s="4">
        <v>1.25</v>
      </c>
      <c r="AP104" s="25">
        <v>5</v>
      </c>
      <c r="AQ104" s="38">
        <f t="shared" si="271"/>
        <v>261.11132108469138</v>
      </c>
      <c r="AR104" s="38">
        <f t="shared" si="272"/>
        <v>261.11132108469138</v>
      </c>
      <c r="AS104" s="38"/>
      <c r="AT104" s="38">
        <f t="shared" ref="AT104:AT121" si="308">AP104* (J104^0.5/AK104^0.5)/(PI()/4*K104^2)/R104/0.72 *(0.7+(MIN(O104,S104)+0.5*K104)/5/H104) *(N104*MIN(S104+0.5*K104+1.5*H104,254))</f>
        <v>261.11132108469127</v>
      </c>
      <c r="AU104" s="38">
        <f t="shared" si="243"/>
        <v>1.0000000000000004</v>
      </c>
      <c r="AV104" s="38"/>
      <c r="AW104" s="4"/>
      <c r="AX104" s="19">
        <f t="shared" si="220"/>
        <v>40.255417212574606</v>
      </c>
      <c r="AY104" s="19">
        <f t="shared" si="221"/>
        <v>1.2666666666666666</v>
      </c>
      <c r="AZ104" s="38">
        <f t="shared" si="273"/>
        <v>107.32427125305811</v>
      </c>
      <c r="BA104" s="19">
        <f t="shared" si="222"/>
        <v>0.83479999999999999</v>
      </c>
      <c r="BB104" s="19">
        <f t="shared" si="244"/>
        <v>17.558728646032431</v>
      </c>
      <c r="BC104" s="19">
        <f t="shared" si="245"/>
        <v>124.88299989909055</v>
      </c>
      <c r="BE104" s="36">
        <f>MAX(1, (0.9+0.1*MIN(2,O104/K104,Q104/K104))*(0.9+0.1*MIN(3.5,O104/Q104))+0.45*MIN(2.5,(40*2*PI()*AE104^2/4/AG104/R104)/K104))</f>
        <v>1.2375</v>
      </c>
      <c r="BF104" s="36">
        <f>(1.6*M104+22)*BE104*J104^0.5</f>
        <v>153.96489421293413</v>
      </c>
      <c r="BK104" s="4">
        <f t="shared" si="156"/>
        <v>31.799999999999997</v>
      </c>
      <c r="BL104" s="4">
        <f t="shared" si="157"/>
        <v>31.799999999999997</v>
      </c>
      <c r="BM104" s="4">
        <f t="shared" si="158"/>
        <v>50.8</v>
      </c>
      <c r="BN104" s="4">
        <f t="shared" si="159"/>
        <v>44.5</v>
      </c>
      <c r="BO104" s="4">
        <f t="shared" si="160"/>
        <v>1.0597484276729561</v>
      </c>
      <c r="BP104" s="25">
        <f>MIN(4, (BN104*BO104+(6*J104^0.5*(0.03*K104+0.22)*(AE104^2/4*PI())*2/AG104/R104))/K104)</f>
        <v>1.8566458673797854</v>
      </c>
      <c r="BQ104" s="4"/>
      <c r="BR104" s="19">
        <f t="shared" si="161"/>
        <v>25.4</v>
      </c>
      <c r="BV104" s="18"/>
      <c r="BX104" s="18"/>
      <c r="BY104" s="18"/>
      <c r="BZ104" s="18">
        <f t="shared" si="231"/>
        <v>25.4</v>
      </c>
      <c r="CA104" s="18">
        <f t="shared" si="232"/>
        <v>114.3</v>
      </c>
      <c r="CB104" s="18">
        <f t="shared" si="248"/>
        <v>1.2530888829563018</v>
      </c>
      <c r="CC104" s="9">
        <v>0</v>
      </c>
      <c r="CD104" s="18">
        <f t="shared" si="306"/>
        <v>0</v>
      </c>
      <c r="CE104" s="18">
        <f t="shared" si="249"/>
        <v>0</v>
      </c>
      <c r="CF104" s="18">
        <f t="shared" si="233"/>
        <v>0.99524931562137331</v>
      </c>
      <c r="CG104" s="18">
        <f t="shared" si="234"/>
        <v>1.056</v>
      </c>
      <c r="CH104" s="18">
        <f t="shared" si="250"/>
        <v>1.8756444837875041</v>
      </c>
      <c r="CI104" s="18">
        <f t="shared" si="251"/>
        <v>2.3503492510124331</v>
      </c>
      <c r="CJ104" s="9">
        <v>1</v>
      </c>
      <c r="CK104" s="18">
        <f t="shared" si="252"/>
        <v>155.12305056682058</v>
      </c>
      <c r="CO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H104" s="4">
        <f t="shared" si="167"/>
        <v>0</v>
      </c>
      <c r="DI104" s="4">
        <f t="shared" si="168"/>
        <v>76.199999999999989</v>
      </c>
      <c r="DJ104" s="4">
        <f t="shared" si="169"/>
        <v>0.5</v>
      </c>
      <c r="DL104" s="4">
        <f t="shared" si="170"/>
        <v>5.2031648625625478E-6</v>
      </c>
      <c r="DM104" s="4">
        <f t="shared" si="171"/>
        <v>3.4568864757817224</v>
      </c>
      <c r="DN104" s="4"/>
      <c r="DO104" s="4"/>
      <c r="DP104" s="4"/>
      <c r="DQ104" s="4"/>
      <c r="DR104" s="38">
        <f t="shared" si="275"/>
        <v>240.39693556508263</v>
      </c>
      <c r="DS104" s="4">
        <f t="shared" si="256"/>
        <v>0.85294201502455413</v>
      </c>
      <c r="DT104" s="4"/>
      <c r="DU104" s="4">
        <f t="shared" si="276"/>
        <v>261.11132108469127</v>
      </c>
      <c r="DY104" s="19">
        <f t="shared" si="235"/>
        <v>0.85</v>
      </c>
      <c r="DZ104" s="19">
        <f t="shared" si="257"/>
        <v>1</v>
      </c>
      <c r="EA104" s="19">
        <f t="shared" si="258"/>
        <v>1</v>
      </c>
      <c r="EB104" s="19">
        <f t="shared" si="259"/>
        <v>1</v>
      </c>
      <c r="ED104" s="4">
        <f t="shared" si="277"/>
        <v>367.36566045820871</v>
      </c>
      <c r="EE104" s="25">
        <f>8.8*N104*254*J104^0.5/R104/K104^2/H104^0.5*(0.7+MIN(S104,O104)/5/H104)</f>
        <v>356.96806769578183</v>
      </c>
      <c r="EH104" s="4">
        <f>EI104</f>
        <v>3.4568864757817224</v>
      </c>
      <c r="EI104" s="4">
        <f t="shared" si="174"/>
        <v>3.4568864757817224</v>
      </c>
      <c r="EK104" s="4">
        <f t="shared" si="175"/>
        <v>37.502650572992827</v>
      </c>
      <c r="EL104" s="4">
        <f t="shared" si="176"/>
        <v>1.4764823060233399</v>
      </c>
      <c r="EM104" s="4">
        <f t="shared" si="177"/>
        <v>0.34627499069050011</v>
      </c>
      <c r="EP104" s="19">
        <f t="shared" si="178"/>
        <v>0.34627499069050011</v>
      </c>
      <c r="EQ104" s="19">
        <f t="shared" si="179"/>
        <v>0.999</v>
      </c>
      <c r="ER104" s="4">
        <f t="shared" si="180"/>
        <v>3.455503306143648</v>
      </c>
      <c r="ES104" s="19">
        <f t="shared" si="236"/>
        <v>3.4561949601557549</v>
      </c>
      <c r="ET104" s="4">
        <f t="shared" si="182"/>
        <v>19.647349427007164</v>
      </c>
      <c r="EU104" s="4">
        <f t="shared" si="183"/>
        <v>19.049999999999997</v>
      </c>
      <c r="EV104" s="19">
        <f t="shared" si="261"/>
        <v>5.2031648625625478E-6</v>
      </c>
      <c r="EW104" s="19">
        <f t="shared" si="237"/>
        <v>3.4486002130471327</v>
      </c>
      <c r="EX104" s="4">
        <f t="shared" si="185"/>
        <v>281.84440598598275</v>
      </c>
      <c r="EY104" s="4">
        <f t="shared" si="186"/>
        <v>0.59734942700716687</v>
      </c>
      <c r="EZ104" s="4">
        <f t="shared" si="187"/>
        <v>0</v>
      </c>
      <c r="FA104" s="4"/>
      <c r="FB104" s="4">
        <f t="shared" si="262"/>
        <v>20.714385519608641</v>
      </c>
      <c r="FG104" s="23"/>
      <c r="FH104" s="23"/>
      <c r="FI104" s="23"/>
      <c r="FJ104" s="23"/>
      <c r="FK104" s="23"/>
      <c r="FL104" s="23"/>
      <c r="FM104" s="23"/>
      <c r="FN104" s="22"/>
      <c r="FX104" s="4">
        <f t="shared" si="263"/>
        <v>1</v>
      </c>
      <c r="FY104" s="4">
        <f t="shared" si="303"/>
        <v>0.91666666666666663</v>
      </c>
      <c r="FZ104" s="4">
        <f t="shared" si="265"/>
        <v>0</v>
      </c>
      <c r="GA104" s="4">
        <f t="shared" si="266"/>
        <v>73.691247596778538</v>
      </c>
    </row>
    <row r="105" spans="1:183" s="19" customFormat="1" ht="12" hidden="1" customHeight="1" x14ac:dyDescent="0.3">
      <c r="A105" s="25">
        <v>87</v>
      </c>
      <c r="B105" s="20" t="s">
        <v>54</v>
      </c>
      <c r="C105" s="20">
        <v>2006</v>
      </c>
      <c r="D105" s="20" t="s">
        <v>293</v>
      </c>
      <c r="E105" s="20"/>
      <c r="F105" s="21" t="s">
        <v>77</v>
      </c>
      <c r="G105" s="21">
        <v>472</v>
      </c>
      <c r="H105" s="21">
        <f>K105*L105</f>
        <v>127</v>
      </c>
      <c r="I105" s="21">
        <f t="shared" si="131"/>
        <v>76.199999999999989</v>
      </c>
      <c r="J105" s="21">
        <v>26</v>
      </c>
      <c r="K105" s="7">
        <v>25.4</v>
      </c>
      <c r="L105" s="21">
        <v>5</v>
      </c>
      <c r="M105" s="21">
        <v>3</v>
      </c>
      <c r="N105" s="21">
        <f>36*25.4</f>
        <v>914.4</v>
      </c>
      <c r="O105" s="21">
        <f>0.5*(N105-25*K105-K105)</f>
        <v>126.99999999999999</v>
      </c>
      <c r="P105" s="21">
        <f>N104-15*25.4-25.4</f>
        <v>228.6</v>
      </c>
      <c r="Q105" s="21">
        <f t="shared" ref="Q105:Q122" si="309">4*25.4</f>
        <v>101.6</v>
      </c>
      <c r="R105" s="21">
        <v>3</v>
      </c>
      <c r="S105" s="21">
        <f t="shared" ref="S105:S122" si="310">2.5*25.4-K105/2</f>
        <v>50.8</v>
      </c>
      <c r="T105" s="7">
        <f t="shared" si="304"/>
        <v>2.5</v>
      </c>
      <c r="U105" s="21">
        <f t="shared" si="307"/>
        <v>2.5</v>
      </c>
      <c r="V105" s="21">
        <v>1.18</v>
      </c>
      <c r="W105" s="7">
        <f t="shared" si="152"/>
        <v>1.18</v>
      </c>
      <c r="X105" s="21">
        <f t="shared" si="242"/>
        <v>2.1799999999999997</v>
      </c>
      <c r="Y105" s="21">
        <f t="shared" si="200"/>
        <v>37.502650572992827</v>
      </c>
      <c r="Z105" s="21"/>
      <c r="AA105" s="21"/>
      <c r="AB105" s="21">
        <v>92</v>
      </c>
      <c r="AC105" s="21"/>
      <c r="AD105" s="21"/>
      <c r="AE105" s="21"/>
      <c r="AF105" s="21"/>
      <c r="AG105" s="7">
        <v>1</v>
      </c>
      <c r="AH105" s="7"/>
      <c r="AI105" s="7"/>
      <c r="AJ105" s="21"/>
      <c r="AK105" s="4">
        <f t="shared" si="279"/>
        <v>127</v>
      </c>
      <c r="AL105" s="44">
        <f t="shared" ref="AL105:AL122" si="311">MIN(N105)*(MIN(254-S105-0.5*K105,1.5*AK105)+S105+K105/2)/(3*H105)^2</f>
        <v>1.6</v>
      </c>
      <c r="AM105" s="25">
        <f t="shared" si="268"/>
        <v>48.008007996158454</v>
      </c>
      <c r="AN105" s="4">
        <f t="shared" si="269"/>
        <v>0.79999999999999993</v>
      </c>
      <c r="AO105" s="4">
        <v>1.25</v>
      </c>
      <c r="AP105" s="25">
        <f>AP104</f>
        <v>5</v>
      </c>
      <c r="AQ105" s="38">
        <f t="shared" si="271"/>
        <v>384.06406396926764</v>
      </c>
      <c r="AR105" s="38">
        <f t="shared" si="272"/>
        <v>384.06406396926764</v>
      </c>
      <c r="AS105" s="38"/>
      <c r="AT105" s="38">
        <f t="shared" si="308"/>
        <v>384.06406396926775</v>
      </c>
      <c r="AU105" s="38">
        <f t="shared" si="243"/>
        <v>0.99999999999999967</v>
      </c>
      <c r="AV105" s="38"/>
      <c r="AW105" s="4"/>
      <c r="AX105" s="19">
        <f t="shared" si="220"/>
        <v>80.510834425149213</v>
      </c>
      <c r="AY105" s="19">
        <f t="shared" si="221"/>
        <v>1</v>
      </c>
      <c r="AZ105" s="38">
        <f t="shared" si="273"/>
        <v>141.2161463856028</v>
      </c>
      <c r="BA105" s="19">
        <f t="shared" si="222"/>
        <v>0.83479999999999999</v>
      </c>
      <c r="BB105" s="19">
        <f t="shared" si="244"/>
        <v>35.117457292064863</v>
      </c>
      <c r="BC105" s="19">
        <f t="shared" si="245"/>
        <v>176.33360367766767</v>
      </c>
      <c r="BE105" s="36">
        <f t="shared" ref="BE105:BE152" si="312">MAX(1, (0.9+0.1*MIN(2,O105/K105,Q105/K105))*(0.9+0.1*MIN(3.5,O105/Q105))+0.45*MIN(2.5,(40*2*PI()*AE105^2/4/AG105/R105)/K105))</f>
        <v>1.1274999999999999</v>
      </c>
      <c r="BF105" s="36">
        <f t="shared" ref="BF105:BF152" si="313">(1.6*M105+22)*BE105*J105^0.5</f>
        <v>154.07707264223316</v>
      </c>
      <c r="BK105" s="4">
        <f t="shared" si="156"/>
        <v>57.199999999999996</v>
      </c>
      <c r="BL105" s="4">
        <f t="shared" si="157"/>
        <v>50.8</v>
      </c>
      <c r="BM105" s="4">
        <f t="shared" si="158"/>
        <v>57.199999999999996</v>
      </c>
      <c r="BN105" s="4">
        <f t="shared" si="159"/>
        <v>63.5</v>
      </c>
      <c r="BO105" s="4">
        <f t="shared" si="160"/>
        <v>1.0125984251968505</v>
      </c>
      <c r="BP105" s="25">
        <f t="shared" si="274"/>
        <v>2.5314960629921264</v>
      </c>
      <c r="BQ105" s="4"/>
      <c r="BR105" s="19">
        <f t="shared" si="161"/>
        <v>50.8</v>
      </c>
      <c r="BV105" s="18"/>
      <c r="BX105" s="18"/>
      <c r="BY105" s="18"/>
      <c r="BZ105" s="18">
        <f t="shared" si="231"/>
        <v>50.8</v>
      </c>
      <c r="CA105" s="18">
        <f t="shared" si="232"/>
        <v>126.99999999999999</v>
      </c>
      <c r="CB105" s="18">
        <f t="shared" si="248"/>
        <v>1.622579553879709</v>
      </c>
      <c r="CC105" s="9">
        <v>0</v>
      </c>
      <c r="CD105" s="18">
        <f t="shared" si="306"/>
        <v>0</v>
      </c>
      <c r="CE105" s="18">
        <f t="shared" si="249"/>
        <v>0</v>
      </c>
      <c r="CF105" s="18">
        <f t="shared" si="233"/>
        <v>0.99524931562137331</v>
      </c>
      <c r="CG105" s="18">
        <f t="shared" si="234"/>
        <v>1.056</v>
      </c>
      <c r="CH105" s="18">
        <f t="shared" si="250"/>
        <v>1.8756444837875041</v>
      </c>
      <c r="CI105" s="18">
        <f t="shared" si="251"/>
        <v>3.0433823897408656</v>
      </c>
      <c r="CJ105" s="9">
        <v>1</v>
      </c>
      <c r="CK105" s="18">
        <f t="shared" si="252"/>
        <v>219.12353206134233</v>
      </c>
      <c r="CO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H105" s="4">
        <f t="shared" si="167"/>
        <v>0</v>
      </c>
      <c r="DI105" s="4">
        <f t="shared" si="168"/>
        <v>127</v>
      </c>
      <c r="DJ105" s="4">
        <f t="shared" si="169"/>
        <v>0.59999999999999987</v>
      </c>
      <c r="DL105" s="4">
        <f t="shared" si="170"/>
        <v>8.6719414376042473E-6</v>
      </c>
      <c r="DM105" s="4">
        <f t="shared" si="171"/>
        <v>4.7133891591304096</v>
      </c>
      <c r="DN105" s="4"/>
      <c r="DO105" s="4"/>
      <c r="DP105" s="4"/>
      <c r="DQ105" s="4"/>
      <c r="DR105" s="38">
        <f t="shared" si="275"/>
        <v>346.57353989636255</v>
      </c>
      <c r="DS105" s="4">
        <f t="shared" si="256"/>
        <v>0.78658049329536572</v>
      </c>
      <c r="DT105" s="4"/>
      <c r="DU105" s="4">
        <f t="shared" si="276"/>
        <v>384.06406396926775</v>
      </c>
      <c r="DY105" s="19">
        <f t="shared" si="235"/>
        <v>0.85</v>
      </c>
      <c r="DZ105" s="19">
        <f t="shared" si="257"/>
        <v>0.9</v>
      </c>
      <c r="EA105" s="19">
        <f t="shared" si="258"/>
        <v>1</v>
      </c>
      <c r="EB105" s="19">
        <f t="shared" si="259"/>
        <v>0.9</v>
      </c>
      <c r="ED105" s="4">
        <f t="shared" si="277"/>
        <v>405.89653271199688</v>
      </c>
      <c r="EE105" s="25">
        <f>8.8*N105*254*J105^0.5/R105/K105^2/H105^0.5*(0.7+MIN(S105,O105)/5/H105)</f>
        <v>372.68621939794593</v>
      </c>
      <c r="EH105" s="4">
        <f t="shared" ref="EH105:EH152" si="314">EI105</f>
        <v>4.7133891591304096</v>
      </c>
      <c r="EI105" s="4">
        <f t="shared" si="174"/>
        <v>4.7133891591304096</v>
      </c>
      <c r="EK105" s="4">
        <f t="shared" si="175"/>
        <v>37.502650572992827</v>
      </c>
      <c r="EL105" s="4">
        <f t="shared" si="176"/>
        <v>1.4764823060233399</v>
      </c>
      <c r="EM105" s="4">
        <f t="shared" si="177"/>
        <v>0.5093298123691008</v>
      </c>
      <c r="EP105" s="19">
        <f t="shared" si="178"/>
        <v>0.5093298123691008</v>
      </c>
      <c r="EQ105" s="19">
        <f t="shared" si="179"/>
        <v>0.999</v>
      </c>
      <c r="ER105" s="4">
        <f t="shared" si="180"/>
        <v>4.7115032375582047</v>
      </c>
      <c r="ES105" s="19">
        <f t="shared" si="236"/>
        <v>4.7124462926875461</v>
      </c>
      <c r="ET105" s="4">
        <f t="shared" si="182"/>
        <v>57.747349427007173</v>
      </c>
      <c r="EU105" s="4">
        <f t="shared" si="183"/>
        <v>31.750000000000007</v>
      </c>
      <c r="EV105" s="19">
        <f t="shared" si="261"/>
        <v>8.6719414376042506E-6</v>
      </c>
      <c r="EW105" s="19">
        <f t="shared" si="237"/>
        <v>4.6706370389684988</v>
      </c>
      <c r="EX105" s="4">
        <f t="shared" si="185"/>
        <v>440.60784986466996</v>
      </c>
      <c r="EY105" s="4">
        <f t="shared" si="186"/>
        <v>38.697349427007161</v>
      </c>
      <c r="EZ105" s="4">
        <f t="shared" si="187"/>
        <v>0</v>
      </c>
      <c r="FA105" s="4"/>
      <c r="FB105" s="4">
        <f t="shared" si="262"/>
        <v>37.490524072905203</v>
      </c>
      <c r="FG105" s="23"/>
      <c r="FH105" s="23"/>
      <c r="FI105" s="23"/>
      <c r="FJ105" s="23"/>
      <c r="FK105" s="23"/>
      <c r="FL105" s="23"/>
      <c r="FM105" s="23"/>
      <c r="FN105" s="22"/>
      <c r="FX105" s="4">
        <f t="shared" si="263"/>
        <v>1</v>
      </c>
      <c r="FY105" s="4">
        <f t="shared" si="303"/>
        <v>0.75</v>
      </c>
      <c r="FZ105" s="4">
        <f t="shared" si="265"/>
        <v>0</v>
      </c>
      <c r="GA105" s="4">
        <f t="shared" si="266"/>
        <v>150.11180066010442</v>
      </c>
    </row>
    <row r="106" spans="1:183" s="19" customFormat="1" ht="12" hidden="1" customHeight="1" x14ac:dyDescent="0.3">
      <c r="A106" s="25">
        <v>88</v>
      </c>
      <c r="B106" s="20" t="s">
        <v>54</v>
      </c>
      <c r="C106" s="20">
        <v>2006</v>
      </c>
      <c r="D106" s="20" t="s">
        <v>293</v>
      </c>
      <c r="E106" s="20"/>
      <c r="F106" s="21" t="s">
        <v>79</v>
      </c>
      <c r="G106" s="21">
        <v>472</v>
      </c>
      <c r="H106" s="21">
        <f t="shared" ref="H106:H146" si="315">K106*L106</f>
        <v>127</v>
      </c>
      <c r="I106" s="21">
        <f t="shared" si="131"/>
        <v>76.199999999999989</v>
      </c>
      <c r="J106" s="21">
        <v>26</v>
      </c>
      <c r="K106" s="7">
        <v>25.4</v>
      </c>
      <c r="L106" s="21">
        <v>5</v>
      </c>
      <c r="M106" s="21">
        <v>3</v>
      </c>
      <c r="N106" s="21">
        <f>36*25.4</f>
        <v>914.4</v>
      </c>
      <c r="O106" s="21">
        <f t="shared" ref="O106:O122" si="316">5*25.4</f>
        <v>127</v>
      </c>
      <c r="P106" s="21"/>
      <c r="Q106" s="21">
        <f>10*25.4-1.5*K106-Y106/2</f>
        <v>197.1486747135036</v>
      </c>
      <c r="R106" s="21">
        <v>3</v>
      </c>
      <c r="S106" s="21">
        <f t="shared" si="310"/>
        <v>50.8</v>
      </c>
      <c r="T106" s="7">
        <f t="shared" si="304"/>
        <v>2.5</v>
      </c>
      <c r="U106" s="10">
        <f>(O106+K106/2)/K106</f>
        <v>5.5</v>
      </c>
      <c r="V106" s="21">
        <v>1.18</v>
      </c>
      <c r="W106" s="7">
        <f t="shared" si="152"/>
        <v>1.18</v>
      </c>
      <c r="X106" s="21">
        <f t="shared" si="242"/>
        <v>2.1799999999999997</v>
      </c>
      <c r="Y106" s="21">
        <f t="shared" si="200"/>
        <v>37.502650572992827</v>
      </c>
      <c r="Z106" s="21"/>
      <c r="AA106" s="21"/>
      <c r="AB106" s="21">
        <v>121</v>
      </c>
      <c r="AC106" s="21"/>
      <c r="AD106" s="21"/>
      <c r="AE106" s="21"/>
      <c r="AF106" s="21"/>
      <c r="AG106" s="7">
        <v>1</v>
      </c>
      <c r="AH106" s="7"/>
      <c r="AI106" s="7"/>
      <c r="AJ106" s="21"/>
      <c r="AK106" s="4">
        <f t="shared" si="279"/>
        <v>127</v>
      </c>
      <c r="AL106" s="44">
        <f t="shared" si="311"/>
        <v>1.6</v>
      </c>
      <c r="AM106" s="25">
        <f t="shared" si="268"/>
        <v>48.008007996158454</v>
      </c>
      <c r="AN106" s="4">
        <f t="shared" si="269"/>
        <v>0.79999999999999993</v>
      </c>
      <c r="AO106" s="4">
        <v>1.25</v>
      </c>
      <c r="AP106" s="25">
        <f t="shared" ref="AP106:AP152" si="317">AP105</f>
        <v>5</v>
      </c>
      <c r="AQ106" s="38">
        <f t="shared" si="271"/>
        <v>384.06406396926764</v>
      </c>
      <c r="AR106" s="38">
        <f t="shared" si="272"/>
        <v>384.06406396926764</v>
      </c>
      <c r="AS106" s="38"/>
      <c r="AT106" s="38">
        <f t="shared" si="308"/>
        <v>384.06406396926775</v>
      </c>
      <c r="AU106" s="38">
        <f t="shared" si="243"/>
        <v>0.99999999999999967</v>
      </c>
      <c r="AV106" s="38"/>
      <c r="AW106" s="4"/>
      <c r="AX106" s="19">
        <f t="shared" si="220"/>
        <v>80.510834425149213</v>
      </c>
      <c r="AY106" s="19">
        <f t="shared" si="221"/>
        <v>1.48</v>
      </c>
      <c r="AZ106" s="38">
        <f t="shared" si="273"/>
        <v>208.99989665069214</v>
      </c>
      <c r="BA106" s="19">
        <f t="shared" si="222"/>
        <v>0.83479999999999999</v>
      </c>
      <c r="BB106" s="19">
        <f t="shared" si="244"/>
        <v>35.117457292064863</v>
      </c>
      <c r="BC106" s="19">
        <f t="shared" si="245"/>
        <v>244.11735394275701</v>
      </c>
      <c r="BE106" s="36">
        <f t="shared" si="312"/>
        <v>1.060860227796617</v>
      </c>
      <c r="BF106" s="36">
        <f t="shared" si="313"/>
        <v>144.97049967314891</v>
      </c>
      <c r="BK106" s="4">
        <f t="shared" si="156"/>
        <v>104.9743373567518</v>
      </c>
      <c r="BL106" s="4">
        <f t="shared" si="157"/>
        <v>50.8</v>
      </c>
      <c r="BM106" s="4">
        <f t="shared" si="158"/>
        <v>104.9743373567518</v>
      </c>
      <c r="BN106" s="4">
        <f t="shared" si="159"/>
        <v>63.5</v>
      </c>
      <c r="BO106" s="4">
        <f t="shared" si="160"/>
        <v>1.1066423963715586</v>
      </c>
      <c r="BP106" s="25">
        <f t="shared" si="274"/>
        <v>2.7666059909288965</v>
      </c>
      <c r="BQ106" s="4"/>
      <c r="BR106" s="19">
        <f t="shared" si="161"/>
        <v>98.574337356751798</v>
      </c>
      <c r="BV106" s="18"/>
      <c r="BX106" s="18"/>
      <c r="BY106" s="18"/>
      <c r="BZ106" s="18">
        <f t="shared" si="231"/>
        <v>98.574337356751798</v>
      </c>
      <c r="CA106" s="18">
        <f t="shared" si="232"/>
        <v>127</v>
      </c>
      <c r="CB106" s="18">
        <f t="shared" si="248"/>
        <v>2.0463082399363279</v>
      </c>
      <c r="CC106" s="9">
        <v>0</v>
      </c>
      <c r="CD106" s="18">
        <f t="shared" si="306"/>
        <v>0</v>
      </c>
      <c r="CE106" s="18">
        <f t="shared" si="249"/>
        <v>0</v>
      </c>
      <c r="CF106" s="18">
        <f t="shared" si="233"/>
        <v>0.99524931562137331</v>
      </c>
      <c r="CG106" s="18">
        <f t="shared" si="234"/>
        <v>1.056</v>
      </c>
      <c r="CH106" s="18">
        <f t="shared" si="250"/>
        <v>1.8756444837875041</v>
      </c>
      <c r="CI106" s="18">
        <f t="shared" si="251"/>
        <v>3.8381467623654899</v>
      </c>
      <c r="CJ106" s="9">
        <v>1</v>
      </c>
      <c r="CK106" s="18">
        <f t="shared" si="252"/>
        <v>276.34656689031527</v>
      </c>
      <c r="CO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H106" s="4">
        <f t="shared" si="167"/>
        <v>0</v>
      </c>
      <c r="DI106" s="4">
        <f t="shared" si="168"/>
        <v>127</v>
      </c>
      <c r="DJ106" s="4">
        <f t="shared" si="169"/>
        <v>0.59999999999999987</v>
      </c>
      <c r="DL106" s="4">
        <f t="shared" si="170"/>
        <v>8.6719414376042473E-6</v>
      </c>
      <c r="DM106" s="4">
        <f t="shared" si="171"/>
        <v>5.1511400218480468</v>
      </c>
      <c r="DN106" s="4"/>
      <c r="DO106" s="4"/>
      <c r="DP106" s="4"/>
      <c r="DQ106" s="4"/>
      <c r="DR106" s="38">
        <f t="shared" si="275"/>
        <v>343.11331433873033</v>
      </c>
      <c r="DS106" s="4">
        <f t="shared" si="256"/>
        <v>0.76955514978126882</v>
      </c>
      <c r="DT106" s="4"/>
      <c r="DU106" s="4">
        <f t="shared" si="276"/>
        <v>384.06406396926775</v>
      </c>
      <c r="DY106" s="19">
        <f t="shared" si="235"/>
        <v>1</v>
      </c>
      <c r="DZ106" s="19">
        <f t="shared" si="257"/>
        <v>0.71191205765058341</v>
      </c>
      <c r="EA106" s="19">
        <f t="shared" si="258"/>
        <v>1</v>
      </c>
      <c r="EB106" s="19">
        <f t="shared" si="259"/>
        <v>0.71191205765058341</v>
      </c>
      <c r="ED106" s="4">
        <f t="shared" si="277"/>
        <v>409.00257009512922</v>
      </c>
      <c r="EE106" s="25">
        <f t="shared" ref="EE106:EE122" si="318">8.8*N106*254*J106^0.5/R106/K106^2/H106^0.5*(0.7+MIN(S106,O106)/5/H106)</f>
        <v>372.68621939794593</v>
      </c>
      <c r="EH106" s="4">
        <f t="shared" si="314"/>
        <v>5.1511400218480468</v>
      </c>
      <c r="EI106" s="4">
        <f t="shared" si="174"/>
        <v>5.1511400218480468</v>
      </c>
      <c r="EK106" s="4">
        <f t="shared" si="175"/>
        <v>37.502650572992827</v>
      </c>
      <c r="EL106" s="4">
        <f t="shared" si="176"/>
        <v>1.4764823060233399</v>
      </c>
      <c r="EM106" s="4">
        <f t="shared" si="177"/>
        <v>0.5093298123691008</v>
      </c>
      <c r="EP106" s="19">
        <f t="shared" si="178"/>
        <v>0.5093298123691008</v>
      </c>
      <c r="EQ106" s="19">
        <f t="shared" si="179"/>
        <v>0.999</v>
      </c>
      <c r="ER106" s="4">
        <f t="shared" si="180"/>
        <v>5.1490789473726171</v>
      </c>
      <c r="ES106" s="19">
        <f t="shared" si="236"/>
        <v>5.1501095877155967</v>
      </c>
      <c r="ET106" s="4">
        <f t="shared" si="182"/>
        <v>57.747349427007173</v>
      </c>
      <c r="EU106" s="4">
        <f t="shared" si="183"/>
        <v>31.750000000000007</v>
      </c>
      <c r="EV106" s="19">
        <f t="shared" si="261"/>
        <v>8.6719414376042506E-6</v>
      </c>
      <c r="EW106" s="19">
        <f t="shared" si="237"/>
        <v>5.1000841734781224</v>
      </c>
      <c r="EX106" s="4">
        <f t="shared" si="185"/>
        <v>445.85929213293377</v>
      </c>
      <c r="EY106" s="4">
        <f t="shared" si="186"/>
        <v>38.697349427007161</v>
      </c>
      <c r="EZ106" s="4">
        <f t="shared" si="187"/>
        <v>0</v>
      </c>
      <c r="FA106" s="4"/>
      <c r="FB106" s="4">
        <f t="shared" si="262"/>
        <v>40.950749630537416</v>
      </c>
      <c r="FG106" s="23"/>
      <c r="FH106" s="23"/>
      <c r="FI106" s="23"/>
      <c r="FJ106" s="23"/>
      <c r="FK106" s="23"/>
      <c r="FL106" s="23"/>
      <c r="FM106" s="23"/>
      <c r="FN106" s="22"/>
      <c r="FX106" s="4">
        <f t="shared" si="263"/>
        <v>1</v>
      </c>
      <c r="FY106" s="4">
        <f t="shared" si="303"/>
        <v>0.5</v>
      </c>
      <c r="FZ106" s="4">
        <f t="shared" si="265"/>
        <v>0</v>
      </c>
      <c r="GA106" s="4">
        <f t="shared" si="266"/>
        <v>225.16770099015665</v>
      </c>
    </row>
    <row r="107" spans="1:183" ht="12" hidden="1" customHeight="1" x14ac:dyDescent="0.3">
      <c r="A107" s="25">
        <v>89</v>
      </c>
      <c r="B107" s="20" t="s">
        <v>54</v>
      </c>
      <c r="C107" s="20">
        <v>2006</v>
      </c>
      <c r="D107" s="20" t="s">
        <v>293</v>
      </c>
      <c r="E107" s="24"/>
      <c r="F107" s="7" t="s">
        <v>77</v>
      </c>
      <c r="G107" s="7">
        <v>472</v>
      </c>
      <c r="H107" s="7">
        <f t="shared" si="315"/>
        <v>203.2</v>
      </c>
      <c r="I107" s="7">
        <f t="shared" si="131"/>
        <v>152.39999999999998</v>
      </c>
      <c r="J107" s="7">
        <v>28</v>
      </c>
      <c r="K107" s="7">
        <v>25.4</v>
      </c>
      <c r="L107" s="7">
        <v>8</v>
      </c>
      <c r="M107" s="7">
        <v>6</v>
      </c>
      <c r="N107" s="7">
        <f>36*25.4</f>
        <v>914.4</v>
      </c>
      <c r="O107" s="7">
        <f t="shared" si="316"/>
        <v>127</v>
      </c>
      <c r="P107" s="7"/>
      <c r="Q107" s="7">
        <f t="shared" si="309"/>
        <v>101.6</v>
      </c>
      <c r="R107" s="7">
        <v>3</v>
      </c>
      <c r="S107" s="7">
        <f t="shared" si="310"/>
        <v>50.8</v>
      </c>
      <c r="T107" s="7">
        <f t="shared" si="304"/>
        <v>2.5</v>
      </c>
      <c r="U107" s="7">
        <f t="shared" si="307"/>
        <v>2.5</v>
      </c>
      <c r="V107" s="7">
        <v>1.18</v>
      </c>
      <c r="W107" s="7">
        <f t="shared" si="152"/>
        <v>1.18</v>
      </c>
      <c r="X107" s="7">
        <f t="shared" si="242"/>
        <v>2.1799999999999997</v>
      </c>
      <c r="Y107" s="7">
        <f t="shared" si="200"/>
        <v>37.502650572992827</v>
      </c>
      <c r="Z107" s="7"/>
      <c r="AA107" s="7"/>
      <c r="AB107" s="7">
        <v>182</v>
      </c>
      <c r="AC107" s="7"/>
      <c r="AD107" s="7"/>
      <c r="AE107" s="7"/>
      <c r="AF107" s="7"/>
      <c r="AG107" s="7">
        <v>1</v>
      </c>
      <c r="AH107" s="7"/>
      <c r="AI107" s="7"/>
      <c r="AJ107" s="7"/>
      <c r="AK107" s="4">
        <f t="shared" si="279"/>
        <v>203.2</v>
      </c>
      <c r="AL107" s="44">
        <f t="shared" si="311"/>
        <v>0.62500000000000011</v>
      </c>
      <c r="AM107" s="25">
        <f t="shared" si="268"/>
        <v>100.82912578615378</v>
      </c>
      <c r="AN107" s="4">
        <f t="shared" si="269"/>
        <v>0.76249999999999996</v>
      </c>
      <c r="AO107" s="4">
        <v>1.25</v>
      </c>
      <c r="AP107" s="25">
        <f t="shared" si="317"/>
        <v>5</v>
      </c>
      <c r="AQ107" s="38">
        <f t="shared" si="271"/>
        <v>300.32112660914947</v>
      </c>
      <c r="AR107" s="38">
        <f t="shared" si="272"/>
        <v>300.32112660914947</v>
      </c>
      <c r="AT107" s="38">
        <f t="shared" si="308"/>
        <v>300.32112660914959</v>
      </c>
      <c r="AU107" s="38">
        <f t="shared" si="243"/>
        <v>0.99999999999999967</v>
      </c>
      <c r="AX107" s="4">
        <f t="shared" si="220"/>
        <v>167.10008280407939</v>
      </c>
      <c r="AY107" s="4">
        <f t="shared" si="221"/>
        <v>1</v>
      </c>
      <c r="AZ107" s="38">
        <f t="shared" si="273"/>
        <v>152.078926876803</v>
      </c>
      <c r="BA107" s="4">
        <f t="shared" si="222"/>
        <v>0.83479999999999999</v>
      </c>
      <c r="BB107" s="4">
        <f t="shared" si="244"/>
        <v>72.886215417731762</v>
      </c>
      <c r="BC107" s="4">
        <f t="shared" si="245"/>
        <v>224.96514229453476</v>
      </c>
      <c r="BE107" s="36">
        <f t="shared" si="312"/>
        <v>1.1274999999999999</v>
      </c>
      <c r="BF107" s="36">
        <f t="shared" si="313"/>
        <v>188.53094692384059</v>
      </c>
      <c r="BK107" s="4">
        <f t="shared" si="156"/>
        <v>57.199999999999996</v>
      </c>
      <c r="BL107" s="4">
        <f t="shared" si="157"/>
        <v>50.8</v>
      </c>
      <c r="BM107" s="4">
        <f t="shared" si="158"/>
        <v>57.199999999999996</v>
      </c>
      <c r="BN107" s="4">
        <f t="shared" si="159"/>
        <v>63.5</v>
      </c>
      <c r="BO107" s="4">
        <f t="shared" si="160"/>
        <v>1.0125984251968505</v>
      </c>
      <c r="BP107" s="25">
        <f t="shared" si="274"/>
        <v>2.5314960629921264</v>
      </c>
      <c r="BR107" s="4">
        <f t="shared" si="161"/>
        <v>50.8</v>
      </c>
      <c r="BV107" s="9"/>
      <c r="BX107" s="9"/>
      <c r="BY107" s="9"/>
      <c r="BZ107" s="9">
        <f t="shared" si="231"/>
        <v>50.8</v>
      </c>
      <c r="CA107" s="9">
        <f t="shared" si="232"/>
        <v>127</v>
      </c>
      <c r="CB107" s="9">
        <f t="shared" si="248"/>
        <v>1.622579553879709</v>
      </c>
      <c r="CC107" s="9">
        <v>0</v>
      </c>
      <c r="CD107" s="9">
        <f t="shared" si="306"/>
        <v>0</v>
      </c>
      <c r="CE107" s="9">
        <f t="shared" si="249"/>
        <v>0</v>
      </c>
      <c r="CF107" s="9">
        <f t="shared" si="233"/>
        <v>0.99524931562137331</v>
      </c>
      <c r="CG107" s="9">
        <f t="shared" si="234"/>
        <v>1.056</v>
      </c>
      <c r="CH107" s="9">
        <f t="shared" si="250"/>
        <v>1.9464482686693119</v>
      </c>
      <c r="CI107" s="9">
        <f t="shared" si="251"/>
        <v>3.158267163427384</v>
      </c>
      <c r="CJ107" s="9">
        <v>1</v>
      </c>
      <c r="CK107" s="9">
        <f t="shared" si="252"/>
        <v>265.29444172790028</v>
      </c>
      <c r="DH107" s="4">
        <f t="shared" si="167"/>
        <v>0</v>
      </c>
      <c r="DI107" s="4">
        <f t="shared" si="168"/>
        <v>203.2</v>
      </c>
      <c r="DJ107" s="4">
        <f t="shared" si="169"/>
        <v>0.74999999999999989</v>
      </c>
      <c r="DL107" s="4">
        <f t="shared" si="170"/>
        <v>1.4081086625805556E-5</v>
      </c>
      <c r="DM107" s="4">
        <f t="shared" si="171"/>
        <v>4.8913150907085621</v>
      </c>
      <c r="DR107" s="38">
        <f t="shared" si="275"/>
        <v>262.14544347104123</v>
      </c>
      <c r="DS107" s="4">
        <f t="shared" si="256"/>
        <v>0.62761753808854537</v>
      </c>
      <c r="DU107" s="4">
        <f t="shared" si="276"/>
        <v>300.32112660914959</v>
      </c>
      <c r="DY107" s="4">
        <f t="shared" si="235"/>
        <v>1</v>
      </c>
      <c r="DZ107" s="4">
        <f t="shared" si="257"/>
        <v>0.9</v>
      </c>
      <c r="EA107" s="4">
        <f t="shared" si="258"/>
        <v>1</v>
      </c>
      <c r="EB107" s="4">
        <f t="shared" si="259"/>
        <v>0.9</v>
      </c>
      <c r="ED107" s="4">
        <f t="shared" si="277"/>
        <v>373.21250444135222</v>
      </c>
      <c r="EE107" s="25">
        <f t="shared" si="318"/>
        <v>293.99662540245509</v>
      </c>
      <c r="EH107" s="4">
        <f t="shared" si="314"/>
        <v>4.8913150907085621</v>
      </c>
      <c r="EI107" s="4">
        <f t="shared" si="174"/>
        <v>4.8913150907085621</v>
      </c>
      <c r="EK107" s="4">
        <f t="shared" si="175"/>
        <v>37.502650572992827</v>
      </c>
      <c r="EL107" s="4">
        <f t="shared" si="176"/>
        <v>1.4764823060233399</v>
      </c>
      <c r="EM107" s="4">
        <f t="shared" si="177"/>
        <v>0.38378585752369582</v>
      </c>
      <c r="EP107" s="4">
        <f t="shared" si="178"/>
        <v>0.38378585752369582</v>
      </c>
      <c r="EQ107" s="4">
        <f t="shared" si="179"/>
        <v>0.999</v>
      </c>
      <c r="ER107" s="4">
        <f t="shared" si="180"/>
        <v>4.8893579774012199</v>
      </c>
      <c r="ES107" s="4">
        <f t="shared" si="236"/>
        <v>4.8903366319594967</v>
      </c>
      <c r="ET107" s="4">
        <f t="shared" si="182"/>
        <v>114.89734942700716</v>
      </c>
      <c r="EU107" s="4">
        <f t="shared" si="183"/>
        <v>50.800000000000011</v>
      </c>
      <c r="EV107" s="4">
        <f t="shared" si="261"/>
        <v>1.4081086625805558E-5</v>
      </c>
      <c r="EW107" s="4">
        <f t="shared" si="237"/>
        <v>4.7719603922635478</v>
      </c>
      <c r="EX107" s="4">
        <f t="shared" si="185"/>
        <v>417.6834259116215</v>
      </c>
      <c r="EY107" s="4">
        <f t="shared" si="186"/>
        <v>114.89734942700716</v>
      </c>
      <c r="EZ107" s="4">
        <f t="shared" si="187"/>
        <v>0</v>
      </c>
      <c r="FB107" s="4">
        <f t="shared" si="262"/>
        <v>38.175683138108354</v>
      </c>
      <c r="FG107" s="23"/>
      <c r="FH107" s="23"/>
      <c r="FI107" s="23"/>
      <c r="FJ107" s="23"/>
      <c r="FK107" s="23"/>
      <c r="FL107" s="23"/>
      <c r="FM107" s="23"/>
      <c r="FN107" s="23"/>
      <c r="FX107" s="4">
        <f t="shared" si="263"/>
        <v>1</v>
      </c>
      <c r="FY107" s="4">
        <f t="shared" si="303"/>
        <v>0.75</v>
      </c>
      <c r="FZ107" s="4">
        <f t="shared" si="265"/>
        <v>0</v>
      </c>
      <c r="GA107" s="4">
        <f t="shared" si="266"/>
        <v>244.67014989869273</v>
      </c>
    </row>
    <row r="108" spans="1:183" s="19" customFormat="1" ht="12" hidden="1" customHeight="1" x14ac:dyDescent="0.3">
      <c r="A108" s="25">
        <v>90</v>
      </c>
      <c r="B108" s="20" t="s">
        <v>54</v>
      </c>
      <c r="C108" s="20">
        <v>2006</v>
      </c>
      <c r="D108" s="20" t="s">
        <v>293</v>
      </c>
      <c r="E108" s="20"/>
      <c r="F108" s="21" t="s">
        <v>281</v>
      </c>
      <c r="G108" s="21">
        <v>472</v>
      </c>
      <c r="H108" s="21">
        <f t="shared" si="315"/>
        <v>76.199999999999989</v>
      </c>
      <c r="I108" s="21">
        <f t="shared" si="131"/>
        <v>38.099999999999994</v>
      </c>
      <c r="J108" s="21">
        <v>22</v>
      </c>
      <c r="K108" s="7">
        <v>25.4</v>
      </c>
      <c r="L108" s="21">
        <v>3</v>
      </c>
      <c r="M108" s="21">
        <v>1.5</v>
      </c>
      <c r="N108" s="21">
        <f t="shared" ref="N108:N109" si="319">25*25.4</f>
        <v>635</v>
      </c>
      <c r="O108" s="21">
        <f>O104</f>
        <v>114.3</v>
      </c>
      <c r="P108" s="21"/>
      <c r="Q108" s="21">
        <f t="shared" ref="Q108:Q109" si="320">2*25.4</f>
        <v>50.8</v>
      </c>
      <c r="R108" s="21">
        <v>3</v>
      </c>
      <c r="S108" s="21">
        <f t="shared" si="310"/>
        <v>50.8</v>
      </c>
      <c r="T108" s="7">
        <f t="shared" si="304"/>
        <v>1.5</v>
      </c>
      <c r="U108" s="21">
        <f t="shared" si="307"/>
        <v>2.5</v>
      </c>
      <c r="V108" s="21">
        <v>4.7</v>
      </c>
      <c r="W108" s="7">
        <f t="shared" si="152"/>
        <v>4.7</v>
      </c>
      <c r="X108" s="21">
        <f t="shared" si="242"/>
        <v>5.7</v>
      </c>
      <c r="Y108" s="21">
        <f t="shared" si="200"/>
        <v>60.641668842471674</v>
      </c>
      <c r="Z108" s="21"/>
      <c r="AA108" s="21"/>
      <c r="AB108" s="21">
        <v>128</v>
      </c>
      <c r="AC108" s="21"/>
      <c r="AD108" s="21"/>
      <c r="AE108" s="21"/>
      <c r="AF108" s="21"/>
      <c r="AG108" s="7">
        <v>1</v>
      </c>
      <c r="AH108" s="7"/>
      <c r="AI108" s="7"/>
      <c r="AJ108" s="21"/>
      <c r="AK108" s="4">
        <f t="shared" si="279"/>
        <v>76.199999999999989</v>
      </c>
      <c r="AL108" s="44">
        <f t="shared" si="311"/>
        <v>2.1604938271604941</v>
      </c>
      <c r="AM108" s="25">
        <f t="shared" si="268"/>
        <v>20.524152271933929</v>
      </c>
      <c r="AN108" s="4">
        <f t="shared" si="269"/>
        <v>0.8666666666666667</v>
      </c>
      <c r="AO108" s="4">
        <v>1.25</v>
      </c>
      <c r="AP108" s="25">
        <f t="shared" si="317"/>
        <v>5</v>
      </c>
      <c r="AQ108" s="38">
        <f t="shared" si="271"/>
        <v>240.18748157741609</v>
      </c>
      <c r="AR108" s="38">
        <f t="shared" si="272"/>
        <v>240.18748157741609</v>
      </c>
      <c r="AS108" s="38"/>
      <c r="AT108" s="38">
        <f t="shared" si="308"/>
        <v>240.18748157741595</v>
      </c>
      <c r="AU108" s="38">
        <f t="shared" si="243"/>
        <v>1.0000000000000007</v>
      </c>
      <c r="AV108" s="38"/>
      <c r="AW108" s="4"/>
      <c r="AX108" s="19">
        <f t="shared" si="220"/>
        <v>37.029598103869176</v>
      </c>
      <c r="AY108" s="19">
        <f t="shared" si="221"/>
        <v>1.2666666666666666</v>
      </c>
      <c r="AZ108" s="38">
        <f t="shared" si="273"/>
        <v>181.24048112935475</v>
      </c>
      <c r="BA108" s="19">
        <f t="shared" si="222"/>
        <v>0.34199999999999997</v>
      </c>
      <c r="BB108" s="19">
        <f t="shared" si="244"/>
        <v>6.6170040331709021</v>
      </c>
      <c r="BC108" s="19">
        <f t="shared" si="245"/>
        <v>187.85748516252565</v>
      </c>
      <c r="BE108" s="36">
        <f t="shared" si="312"/>
        <v>1.2375</v>
      </c>
      <c r="BF108" s="36">
        <f t="shared" si="313"/>
        <v>141.62710386786847</v>
      </c>
      <c r="BK108" s="4">
        <f t="shared" si="156"/>
        <v>31.799999999999997</v>
      </c>
      <c r="BL108" s="4">
        <f t="shared" si="157"/>
        <v>31.799999999999997</v>
      </c>
      <c r="BM108" s="4">
        <f t="shared" si="158"/>
        <v>50.8</v>
      </c>
      <c r="BN108" s="4">
        <f t="shared" si="159"/>
        <v>44.5</v>
      </c>
      <c r="BO108" s="4">
        <f t="shared" si="160"/>
        <v>1.0597484276729561</v>
      </c>
      <c r="BP108" s="25">
        <f t="shared" si="274"/>
        <v>1.8566458673797854</v>
      </c>
      <c r="BQ108" s="4"/>
      <c r="BR108" s="19">
        <f t="shared" si="161"/>
        <v>25.4</v>
      </c>
      <c r="BV108" s="18"/>
      <c r="BX108" s="18"/>
      <c r="BY108" s="18"/>
      <c r="BZ108" s="18">
        <f t="shared" si="231"/>
        <v>25.4</v>
      </c>
      <c r="CA108" s="18">
        <f t="shared" si="232"/>
        <v>114.3</v>
      </c>
      <c r="CB108" s="18">
        <f t="shared" si="248"/>
        <v>1.2530888829563018</v>
      </c>
      <c r="CC108" s="9">
        <v>0</v>
      </c>
      <c r="CD108" s="18">
        <f t="shared" si="306"/>
        <v>0</v>
      </c>
      <c r="CE108" s="18">
        <f t="shared" si="249"/>
        <v>0</v>
      </c>
      <c r="CF108" s="18">
        <f t="shared" si="233"/>
        <v>0.99524931562137331</v>
      </c>
      <c r="CG108" s="18">
        <f t="shared" si="234"/>
        <v>1.056</v>
      </c>
      <c r="CH108" s="18">
        <f t="shared" si="250"/>
        <v>1.7253419844992921</v>
      </c>
      <c r="CI108" s="18">
        <f t="shared" si="251"/>
        <v>2.1620068600738271</v>
      </c>
      <c r="CJ108" s="9">
        <v>1</v>
      </c>
      <c r="CK108" s="18">
        <f t="shared" si="252"/>
        <v>142.69245276487257</v>
      </c>
      <c r="CO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H108" s="4">
        <f t="shared" si="167"/>
        <v>0</v>
      </c>
      <c r="DI108" s="4">
        <f t="shared" si="168"/>
        <v>76.199999999999989</v>
      </c>
      <c r="DJ108" s="4">
        <f t="shared" si="169"/>
        <v>0.5</v>
      </c>
      <c r="DL108" s="4">
        <f t="shared" si="170"/>
        <v>5.0464587188435587E-6</v>
      </c>
      <c r="DM108" s="4">
        <f t="shared" si="171"/>
        <v>3.1798730643614395</v>
      </c>
      <c r="DN108" s="4"/>
      <c r="DO108" s="4"/>
      <c r="DP108" s="4"/>
      <c r="DQ108" s="4"/>
      <c r="DR108" s="38">
        <f t="shared" si="275"/>
        <v>232.40769288927373</v>
      </c>
      <c r="DS108" s="4">
        <f t="shared" si="256"/>
        <v>0.88017500971700602</v>
      </c>
      <c r="DT108" s="4"/>
      <c r="DU108" s="4">
        <f t="shared" si="276"/>
        <v>240.18748157741595</v>
      </c>
      <c r="DY108" s="19">
        <f t="shared" si="235"/>
        <v>1</v>
      </c>
      <c r="DZ108" s="19">
        <f t="shared" si="257"/>
        <v>1</v>
      </c>
      <c r="EA108" s="19">
        <f t="shared" si="258"/>
        <v>1</v>
      </c>
      <c r="EB108" s="19">
        <f t="shared" si="259"/>
        <v>1</v>
      </c>
      <c r="ED108" s="4">
        <f t="shared" si="277"/>
        <v>349.20193277320544</v>
      </c>
      <c r="EE108" s="25">
        <f t="shared" si="318"/>
        <v>328.3628638820947</v>
      </c>
      <c r="EH108" s="4">
        <f t="shared" si="314"/>
        <v>3.1798730643614395</v>
      </c>
      <c r="EI108" s="4">
        <f t="shared" si="174"/>
        <v>3.1798730643614395</v>
      </c>
      <c r="EK108" s="4">
        <f t="shared" si="175"/>
        <v>60.641668842471674</v>
      </c>
      <c r="EL108" s="4">
        <f t="shared" si="176"/>
        <v>2.3874672772626644</v>
      </c>
      <c r="EM108" s="4">
        <f t="shared" si="177"/>
        <v>0.14057706011072471</v>
      </c>
      <c r="EP108" s="19">
        <f t="shared" si="178"/>
        <v>0.14057706011072471</v>
      </c>
      <c r="EQ108" s="19">
        <f t="shared" si="179"/>
        <v>0.54719546434765076</v>
      </c>
      <c r="ER108" s="4">
        <f t="shared" si="180"/>
        <v>2.4984276612451395</v>
      </c>
      <c r="ES108" s="19">
        <f t="shared" si="236"/>
        <v>2.8595510825119432</v>
      </c>
      <c r="ET108" s="4">
        <f t="shared" si="182"/>
        <v>0</v>
      </c>
      <c r="EU108" s="4">
        <f t="shared" si="183"/>
        <v>15.558331157528315</v>
      </c>
      <c r="EV108" s="19">
        <f t="shared" si="261"/>
        <v>4.1214947989797472E-6</v>
      </c>
      <c r="EW108" s="19">
        <f t="shared" si="237"/>
        <v>3.1752543167715603</v>
      </c>
      <c r="EX108" s="4">
        <f t="shared" si="185"/>
        <v>264.04713872073859</v>
      </c>
      <c r="EY108" s="4">
        <f t="shared" si="186"/>
        <v>0</v>
      </c>
      <c r="EZ108" s="4">
        <f t="shared" si="187"/>
        <v>0</v>
      </c>
      <c r="FA108" s="4"/>
      <c r="FB108" s="4">
        <f t="shared" si="262"/>
        <v>7.7797886881422187</v>
      </c>
      <c r="FG108" s="23"/>
      <c r="FH108" s="23"/>
      <c r="FI108" s="23"/>
      <c r="FJ108" s="23"/>
      <c r="FK108" s="23"/>
      <c r="FL108" s="23"/>
      <c r="FM108" s="23"/>
      <c r="FN108" s="22"/>
      <c r="FX108" s="4">
        <f t="shared" si="263"/>
        <v>1</v>
      </c>
      <c r="FY108" s="4">
        <f t="shared" si="303"/>
        <v>0.91666666666666663</v>
      </c>
      <c r="FZ108" s="4">
        <f t="shared" si="265"/>
        <v>0</v>
      </c>
      <c r="GA108" s="4">
        <f t="shared" si="266"/>
        <v>70.677022056964134</v>
      </c>
    </row>
    <row r="109" spans="1:183" s="19" customFormat="1" ht="12" hidden="1" customHeight="1" x14ac:dyDescent="0.3">
      <c r="A109" s="25">
        <v>91</v>
      </c>
      <c r="B109" s="20" t="s">
        <v>54</v>
      </c>
      <c r="C109" s="20">
        <v>2006</v>
      </c>
      <c r="D109" s="20" t="s">
        <v>293</v>
      </c>
      <c r="E109" s="20"/>
      <c r="F109" s="21" t="s">
        <v>281</v>
      </c>
      <c r="G109" s="21">
        <v>472</v>
      </c>
      <c r="H109" s="21">
        <f t="shared" si="315"/>
        <v>127</v>
      </c>
      <c r="I109" s="21">
        <f t="shared" si="131"/>
        <v>76.199999999999989</v>
      </c>
      <c r="J109" s="21">
        <v>26</v>
      </c>
      <c r="K109" s="7">
        <v>25.4</v>
      </c>
      <c r="L109" s="21">
        <v>5</v>
      </c>
      <c r="M109" s="21">
        <v>3</v>
      </c>
      <c r="N109" s="21">
        <f t="shared" si="319"/>
        <v>635</v>
      </c>
      <c r="O109" s="21">
        <f>O108</f>
        <v>114.3</v>
      </c>
      <c r="P109" s="21"/>
      <c r="Q109" s="21">
        <f t="shared" si="320"/>
        <v>50.8</v>
      </c>
      <c r="R109" s="21">
        <v>3</v>
      </c>
      <c r="S109" s="21">
        <f t="shared" si="310"/>
        <v>50.8</v>
      </c>
      <c r="T109" s="7">
        <f t="shared" si="304"/>
        <v>1.5</v>
      </c>
      <c r="U109" s="21">
        <f t="shared" si="307"/>
        <v>2.5</v>
      </c>
      <c r="V109" s="21">
        <v>4.7</v>
      </c>
      <c r="W109" s="7">
        <f t="shared" si="152"/>
        <v>4.7</v>
      </c>
      <c r="X109" s="21">
        <f t="shared" si="242"/>
        <v>5.7</v>
      </c>
      <c r="Y109" s="21">
        <f t="shared" si="200"/>
        <v>60.641668842471674</v>
      </c>
      <c r="Z109" s="21"/>
      <c r="AA109" s="21"/>
      <c r="AB109" s="21">
        <v>186</v>
      </c>
      <c r="AC109" s="21"/>
      <c r="AD109" s="21"/>
      <c r="AE109" s="21"/>
      <c r="AF109" s="21"/>
      <c r="AG109" s="7">
        <v>1</v>
      </c>
      <c r="AH109" s="7"/>
      <c r="AI109" s="7"/>
      <c r="AJ109" s="21"/>
      <c r="AK109" s="4">
        <f t="shared" si="279"/>
        <v>127</v>
      </c>
      <c r="AL109" s="44">
        <f t="shared" si="311"/>
        <v>1.1111111111111112</v>
      </c>
      <c r="AM109" s="25">
        <f t="shared" si="268"/>
        <v>48.008007996158454</v>
      </c>
      <c r="AN109" s="4">
        <f t="shared" si="269"/>
        <v>0.79999999999999993</v>
      </c>
      <c r="AO109" s="4">
        <v>1.25</v>
      </c>
      <c r="AP109" s="25">
        <f t="shared" si="317"/>
        <v>5</v>
      </c>
      <c r="AQ109" s="38">
        <f t="shared" si="271"/>
        <v>266.71115553421362</v>
      </c>
      <c r="AR109" s="38">
        <f t="shared" si="272"/>
        <v>266.71115553421362</v>
      </c>
      <c r="AS109" s="38"/>
      <c r="AT109" s="38">
        <f t="shared" si="308"/>
        <v>266.71115553421373</v>
      </c>
      <c r="AU109" s="38">
        <f t="shared" si="243"/>
        <v>0.99999999999999956</v>
      </c>
      <c r="AV109" s="38"/>
      <c r="AW109" s="4"/>
      <c r="AX109" s="19">
        <f t="shared" si="220"/>
        <v>80.510834425149213</v>
      </c>
      <c r="AY109" s="19">
        <f t="shared" si="221"/>
        <v>1.2666666666666666</v>
      </c>
      <c r="AZ109" s="38">
        <f t="shared" si="273"/>
        <v>214.19329588014648</v>
      </c>
      <c r="BA109" s="19">
        <f t="shared" si="222"/>
        <v>0.34199999999999997</v>
      </c>
      <c r="BB109" s="19">
        <f t="shared" si="244"/>
        <v>14.386883557602038</v>
      </c>
      <c r="BC109" s="19">
        <f t="shared" si="245"/>
        <v>228.58017943774851</v>
      </c>
      <c r="BE109" s="36">
        <f t="shared" si="312"/>
        <v>1.2375</v>
      </c>
      <c r="BF109" s="36">
        <f t="shared" si="313"/>
        <v>169.10898216830469</v>
      </c>
      <c r="BK109" s="4">
        <f t="shared" si="156"/>
        <v>31.799999999999997</v>
      </c>
      <c r="BL109" s="4">
        <f t="shared" si="157"/>
        <v>31.799999999999997</v>
      </c>
      <c r="BM109" s="4">
        <f t="shared" si="158"/>
        <v>50.8</v>
      </c>
      <c r="BN109" s="4">
        <f t="shared" si="159"/>
        <v>44.5</v>
      </c>
      <c r="BO109" s="4">
        <f t="shared" si="160"/>
        <v>1.0597484276729561</v>
      </c>
      <c r="BP109" s="25">
        <f t="shared" si="274"/>
        <v>1.8566458673797854</v>
      </c>
      <c r="BQ109" s="4"/>
      <c r="BR109" s="19">
        <f t="shared" si="161"/>
        <v>25.4</v>
      </c>
      <c r="BV109" s="18"/>
      <c r="BX109" s="18"/>
      <c r="BY109" s="18"/>
      <c r="BZ109" s="18">
        <f t="shared" si="231"/>
        <v>25.4</v>
      </c>
      <c r="CA109" s="18">
        <f t="shared" si="232"/>
        <v>114.3</v>
      </c>
      <c r="CB109" s="18">
        <f t="shared" si="248"/>
        <v>1.2530888829563018</v>
      </c>
      <c r="CC109" s="9">
        <v>0</v>
      </c>
      <c r="CD109" s="18">
        <f t="shared" si="306"/>
        <v>0</v>
      </c>
      <c r="CE109" s="18">
        <f t="shared" si="249"/>
        <v>0</v>
      </c>
      <c r="CF109" s="18">
        <f t="shared" si="233"/>
        <v>0.99524931562137331</v>
      </c>
      <c r="CG109" s="18">
        <f t="shared" si="234"/>
        <v>1.056</v>
      </c>
      <c r="CH109" s="18">
        <f t="shared" si="250"/>
        <v>1.8756444837875041</v>
      </c>
      <c r="CI109" s="18">
        <f t="shared" si="251"/>
        <v>2.3503492510124331</v>
      </c>
      <c r="CJ109" s="9">
        <v>1</v>
      </c>
      <c r="CK109" s="18">
        <f t="shared" si="252"/>
        <v>169.2251460728952</v>
      </c>
      <c r="CO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H109" s="4">
        <f t="shared" si="167"/>
        <v>0</v>
      </c>
      <c r="DI109" s="4">
        <f t="shared" si="168"/>
        <v>127</v>
      </c>
      <c r="DJ109" s="4">
        <f t="shared" si="169"/>
        <v>0.59999999999999987</v>
      </c>
      <c r="DL109" s="4">
        <f t="shared" si="170"/>
        <v>8.6719414376042473E-6</v>
      </c>
      <c r="DM109" s="4">
        <f t="shared" si="171"/>
        <v>3.4568864757817224</v>
      </c>
      <c r="DN109" s="4"/>
      <c r="DO109" s="4"/>
      <c r="DP109" s="4"/>
      <c r="DQ109" s="4"/>
      <c r="DR109" s="38">
        <f t="shared" si="275"/>
        <v>240.28411991979431</v>
      </c>
      <c r="DS109" s="4">
        <f t="shared" si="256"/>
        <v>0.80213284437653831</v>
      </c>
      <c r="DT109" s="4"/>
      <c r="DU109" s="4">
        <f t="shared" si="276"/>
        <v>266.71115553421373</v>
      </c>
      <c r="DY109" s="19">
        <f t="shared" si="235"/>
        <v>1</v>
      </c>
      <c r="DZ109" s="19">
        <f t="shared" si="257"/>
        <v>1</v>
      </c>
      <c r="EA109" s="19">
        <f t="shared" si="258"/>
        <v>1</v>
      </c>
      <c r="EB109" s="19">
        <f t="shared" si="259"/>
        <v>1</v>
      </c>
      <c r="ED109" s="4">
        <f t="shared" si="277"/>
        <v>284.2361361042133</v>
      </c>
      <c r="EE109" s="25">
        <f t="shared" si="318"/>
        <v>258.80987458190685</v>
      </c>
      <c r="EH109" s="4">
        <f t="shared" si="314"/>
        <v>3.4568864757817224</v>
      </c>
      <c r="EI109" s="4">
        <f t="shared" si="174"/>
        <v>3.4568864757817224</v>
      </c>
      <c r="EK109" s="4">
        <f t="shared" si="175"/>
        <v>60.641668842471674</v>
      </c>
      <c r="EL109" s="4">
        <f t="shared" si="176"/>
        <v>2.3874672772626644</v>
      </c>
      <c r="EM109" s="4">
        <f t="shared" si="177"/>
        <v>0.14359189784640952</v>
      </c>
      <c r="EP109" s="19">
        <f t="shared" si="178"/>
        <v>0.14359189784640952</v>
      </c>
      <c r="EQ109" s="19">
        <f t="shared" si="179"/>
        <v>0.51414146919682335</v>
      </c>
      <c r="ER109" s="4">
        <f t="shared" si="180"/>
        <v>2.6492208917595552</v>
      </c>
      <c r="ES109" s="19">
        <f t="shared" si="236"/>
        <v>3.0796915172620825</v>
      </c>
      <c r="ET109" s="4">
        <f t="shared" si="182"/>
        <v>34.608331157528326</v>
      </c>
      <c r="EU109" s="4">
        <f t="shared" si="183"/>
        <v>31.75</v>
      </c>
      <c r="EV109" s="19">
        <f t="shared" si="261"/>
        <v>8.6719414376042473E-6</v>
      </c>
      <c r="EW109" s="19">
        <f t="shared" si="237"/>
        <v>3.437592212526638</v>
      </c>
      <c r="EX109" s="4">
        <f t="shared" si="185"/>
        <v>299.55651561251841</v>
      </c>
      <c r="EY109" s="4">
        <f t="shared" si="186"/>
        <v>15.558331157528315</v>
      </c>
      <c r="EZ109" s="4">
        <f t="shared" si="187"/>
        <v>0</v>
      </c>
      <c r="FA109" s="4"/>
      <c r="FB109" s="4">
        <f t="shared" si="262"/>
        <v>26.427035614419424</v>
      </c>
      <c r="FG109" s="23"/>
      <c r="FH109" s="23"/>
      <c r="FI109" s="23"/>
      <c r="FJ109" s="23"/>
      <c r="FK109" s="23"/>
      <c r="FL109" s="23"/>
      <c r="FM109" s="23"/>
      <c r="FN109" s="22"/>
      <c r="FX109" s="4">
        <f t="shared" si="263"/>
        <v>1</v>
      </c>
      <c r="FY109" s="4">
        <f t="shared" si="303"/>
        <v>0.91666666666666663</v>
      </c>
      <c r="FZ109" s="4">
        <f t="shared" si="265"/>
        <v>0</v>
      </c>
      <c r="GA109" s="4">
        <f t="shared" si="266"/>
        <v>122.8187459946309</v>
      </c>
    </row>
    <row r="110" spans="1:183" s="19" customFormat="1" ht="12" hidden="1" customHeight="1" x14ac:dyDescent="0.3">
      <c r="A110" s="25">
        <v>92</v>
      </c>
      <c r="B110" s="20" t="s">
        <v>54</v>
      </c>
      <c r="C110" s="20">
        <v>2006</v>
      </c>
      <c r="D110" s="20" t="s">
        <v>293</v>
      </c>
      <c r="E110" s="20"/>
      <c r="F110" s="21" t="s">
        <v>281</v>
      </c>
      <c r="G110" s="21">
        <v>472</v>
      </c>
      <c r="H110" s="21">
        <f t="shared" si="315"/>
        <v>127</v>
      </c>
      <c r="I110" s="21">
        <f t="shared" si="131"/>
        <v>76.199999999999989</v>
      </c>
      <c r="J110" s="21">
        <v>22</v>
      </c>
      <c r="K110" s="7">
        <v>25.4</v>
      </c>
      <c r="L110" s="21">
        <v>5</v>
      </c>
      <c r="M110" s="21">
        <v>3</v>
      </c>
      <c r="N110" s="21">
        <f t="shared" ref="N110:N122" si="321">36*25.4</f>
        <v>914.4</v>
      </c>
      <c r="O110" s="21">
        <f t="shared" si="316"/>
        <v>127</v>
      </c>
      <c r="P110" s="21"/>
      <c r="Q110" s="21">
        <f t="shared" si="309"/>
        <v>101.6</v>
      </c>
      <c r="R110" s="21">
        <v>3</v>
      </c>
      <c r="S110" s="21">
        <f t="shared" si="310"/>
        <v>50.8</v>
      </c>
      <c r="T110" s="7">
        <f t="shared" si="304"/>
        <v>2.5</v>
      </c>
      <c r="U110" s="21">
        <f t="shared" si="307"/>
        <v>2.5</v>
      </c>
      <c r="V110" s="21">
        <v>4.7</v>
      </c>
      <c r="W110" s="7">
        <f t="shared" si="152"/>
        <v>4.7</v>
      </c>
      <c r="X110" s="21">
        <f t="shared" si="242"/>
        <v>5.7</v>
      </c>
      <c r="Y110" s="21">
        <f t="shared" si="200"/>
        <v>60.641668842471674</v>
      </c>
      <c r="Z110" s="21"/>
      <c r="AA110" s="21"/>
      <c r="AB110" s="21">
        <v>166</v>
      </c>
      <c r="AC110" s="21"/>
      <c r="AD110" s="21"/>
      <c r="AE110" s="21"/>
      <c r="AF110" s="21"/>
      <c r="AG110" s="7">
        <v>1</v>
      </c>
      <c r="AH110" s="7"/>
      <c r="AI110" s="7"/>
      <c r="AJ110" s="21"/>
      <c r="AK110" s="4">
        <f t="shared" si="279"/>
        <v>127</v>
      </c>
      <c r="AL110" s="44">
        <f t="shared" si="311"/>
        <v>1.6</v>
      </c>
      <c r="AM110" s="25">
        <f t="shared" si="268"/>
        <v>44.160944413458445</v>
      </c>
      <c r="AN110" s="4">
        <f t="shared" si="269"/>
        <v>0.79999999999999993</v>
      </c>
      <c r="AO110" s="4">
        <v>1.25</v>
      </c>
      <c r="AP110" s="25">
        <f t="shared" si="317"/>
        <v>5</v>
      </c>
      <c r="AQ110" s="38">
        <f t="shared" si="271"/>
        <v>353.28755530766756</v>
      </c>
      <c r="AR110" s="38">
        <f t="shared" si="272"/>
        <v>353.28755530766756</v>
      </c>
      <c r="AS110" s="38"/>
      <c r="AT110" s="38">
        <f t="shared" si="308"/>
        <v>353.28755530766756</v>
      </c>
      <c r="AU110" s="38">
        <f t="shared" si="243"/>
        <v>1</v>
      </c>
      <c r="AV110" s="38"/>
      <c r="AW110" s="4"/>
      <c r="AX110" s="19">
        <f t="shared" si="220"/>
        <v>74.059196207738353</v>
      </c>
      <c r="AY110" s="19">
        <f t="shared" si="221"/>
        <v>1</v>
      </c>
      <c r="AZ110" s="38">
        <f t="shared" si="273"/>
        <v>238.4743172754668</v>
      </c>
      <c r="BA110" s="19">
        <f t="shared" si="222"/>
        <v>0.34199999999999997</v>
      </c>
      <c r="BB110" s="19">
        <f t="shared" si="244"/>
        <v>13.234008066341804</v>
      </c>
      <c r="BC110" s="19">
        <f t="shared" si="245"/>
        <v>251.7083253418086</v>
      </c>
      <c r="BE110" s="36">
        <f t="shared" si="312"/>
        <v>1.1274999999999999</v>
      </c>
      <c r="BF110" s="36">
        <f t="shared" si="313"/>
        <v>141.73029301458456</v>
      </c>
      <c r="BK110" s="4">
        <f t="shared" si="156"/>
        <v>57.199999999999996</v>
      </c>
      <c r="BL110" s="4">
        <f t="shared" si="157"/>
        <v>50.8</v>
      </c>
      <c r="BM110" s="4">
        <f t="shared" si="158"/>
        <v>57.199999999999996</v>
      </c>
      <c r="BN110" s="4">
        <f t="shared" si="159"/>
        <v>63.5</v>
      </c>
      <c r="BO110" s="4">
        <f t="shared" si="160"/>
        <v>1.0125984251968505</v>
      </c>
      <c r="BP110" s="25">
        <f t="shared" si="274"/>
        <v>2.5314960629921264</v>
      </c>
      <c r="BQ110" s="4"/>
      <c r="BR110" s="19">
        <f t="shared" si="161"/>
        <v>50.8</v>
      </c>
      <c r="BV110" s="18"/>
      <c r="BX110" s="18"/>
      <c r="BY110" s="18"/>
      <c r="BZ110" s="18">
        <f t="shared" si="231"/>
        <v>50.8</v>
      </c>
      <c r="CA110" s="18">
        <f t="shared" si="232"/>
        <v>127</v>
      </c>
      <c r="CB110" s="18">
        <f t="shared" si="248"/>
        <v>1.622579553879709</v>
      </c>
      <c r="CC110" s="9">
        <v>0</v>
      </c>
      <c r="CD110" s="18">
        <f t="shared" si="306"/>
        <v>0</v>
      </c>
      <c r="CE110" s="18">
        <f t="shared" si="249"/>
        <v>0</v>
      </c>
      <c r="CF110" s="18">
        <f t="shared" si="233"/>
        <v>0.99524931562137331</v>
      </c>
      <c r="CG110" s="18">
        <f t="shared" si="234"/>
        <v>1.056</v>
      </c>
      <c r="CH110" s="18">
        <f t="shared" si="250"/>
        <v>1.7253419844992921</v>
      </c>
      <c r="CI110" s="18">
        <f t="shared" si="251"/>
        <v>2.7995046274987931</v>
      </c>
      <c r="CJ110" s="9">
        <v>1</v>
      </c>
      <c r="CK110" s="18">
        <f t="shared" si="252"/>
        <v>201.56433317991312</v>
      </c>
      <c r="CO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H110" s="4">
        <f t="shared" si="167"/>
        <v>0</v>
      </c>
      <c r="DI110" s="4">
        <f t="shared" si="168"/>
        <v>127</v>
      </c>
      <c r="DJ110" s="4">
        <f t="shared" si="169"/>
        <v>0.59999999999999987</v>
      </c>
      <c r="DL110" s="4">
        <f t="shared" si="170"/>
        <v>8.4107645314059323E-6</v>
      </c>
      <c r="DM110" s="4">
        <f t="shared" si="171"/>
        <v>4.3356874268145296</v>
      </c>
      <c r="DN110" s="4"/>
      <c r="DO110" s="4"/>
      <c r="DP110" s="4"/>
      <c r="DQ110" s="4"/>
      <c r="DR110" s="38">
        <f t="shared" si="275"/>
        <v>319.29653618742071</v>
      </c>
      <c r="DS110" s="4">
        <f t="shared" si="256"/>
        <v>0.79537819456504089</v>
      </c>
      <c r="DT110" s="4"/>
      <c r="DU110" s="4">
        <f t="shared" si="276"/>
        <v>353.28755530766756</v>
      </c>
      <c r="DY110" s="19">
        <f t="shared" si="235"/>
        <v>1</v>
      </c>
      <c r="DZ110" s="19">
        <f t="shared" si="257"/>
        <v>0.9</v>
      </c>
      <c r="EA110" s="19">
        <f t="shared" si="258"/>
        <v>1</v>
      </c>
      <c r="EB110" s="19">
        <f t="shared" si="259"/>
        <v>0.9</v>
      </c>
      <c r="ED110" s="4">
        <f t="shared" si="277"/>
        <v>373.86575281438127</v>
      </c>
      <c r="EE110" s="25">
        <f t="shared" si="318"/>
        <v>342.82146053241013</v>
      </c>
      <c r="EH110" s="4">
        <f t="shared" si="314"/>
        <v>4.3356874268145296</v>
      </c>
      <c r="EI110" s="4">
        <f t="shared" si="174"/>
        <v>4.3356874268145296</v>
      </c>
      <c r="EK110" s="4">
        <f t="shared" si="175"/>
        <v>60.641668842471674</v>
      </c>
      <c r="EL110" s="4">
        <f t="shared" si="176"/>
        <v>2.3874672772626644</v>
      </c>
      <c r="EM110" s="4">
        <f t="shared" si="177"/>
        <v>0.20677233289882965</v>
      </c>
      <c r="EP110" s="19">
        <f t="shared" si="178"/>
        <v>0.20677233289882965</v>
      </c>
      <c r="EQ110" s="19">
        <f t="shared" si="179"/>
        <v>0.80486021421776921</v>
      </c>
      <c r="ER110" s="4">
        <f t="shared" si="180"/>
        <v>3.9750825222153439</v>
      </c>
      <c r="ES110" s="19">
        <f t="shared" si="236"/>
        <v>4.1592955381630556</v>
      </c>
      <c r="ET110" s="4">
        <f t="shared" si="182"/>
        <v>34.608331157528326</v>
      </c>
      <c r="EU110" s="4">
        <f t="shared" si="183"/>
        <v>31.75</v>
      </c>
      <c r="EV110" s="19">
        <f t="shared" si="261"/>
        <v>8.4107645314059323E-6</v>
      </c>
      <c r="EW110" s="19">
        <f t="shared" si="237"/>
        <v>4.302626501151539</v>
      </c>
      <c r="EX110" s="4">
        <f t="shared" si="185"/>
        <v>401.43989157514011</v>
      </c>
      <c r="EY110" s="4">
        <f t="shared" si="186"/>
        <v>15.558331157528315</v>
      </c>
      <c r="EZ110" s="4">
        <f t="shared" si="187"/>
        <v>0</v>
      </c>
      <c r="FA110" s="4"/>
      <c r="FB110" s="4">
        <f t="shared" si="262"/>
        <v>33.991019120246847</v>
      </c>
      <c r="FG110" s="23"/>
      <c r="FH110" s="23"/>
      <c r="FI110" s="23"/>
      <c r="FJ110" s="23"/>
      <c r="FK110" s="23"/>
      <c r="FL110" s="23"/>
      <c r="FM110" s="23"/>
      <c r="FN110" s="22"/>
      <c r="FX110" s="4">
        <f t="shared" si="263"/>
        <v>1</v>
      </c>
      <c r="FY110" s="4">
        <f t="shared" si="303"/>
        <v>0.75</v>
      </c>
      <c r="FZ110" s="4">
        <f t="shared" si="265"/>
        <v>0</v>
      </c>
      <c r="GA110" s="4">
        <f t="shared" si="266"/>
        <v>143.97171159751954</v>
      </c>
    </row>
    <row r="111" spans="1:183" s="19" customFormat="1" ht="12" hidden="1" customHeight="1" x14ac:dyDescent="0.3">
      <c r="A111" s="25">
        <v>93</v>
      </c>
      <c r="B111" s="20" t="s">
        <v>54</v>
      </c>
      <c r="C111" s="20">
        <v>2006</v>
      </c>
      <c r="D111" s="20" t="s">
        <v>293</v>
      </c>
      <c r="E111" s="20"/>
      <c r="F111" s="21" t="s">
        <v>80</v>
      </c>
      <c r="G111" s="21">
        <v>472</v>
      </c>
      <c r="H111" s="21">
        <f t="shared" si="315"/>
        <v>127</v>
      </c>
      <c r="I111" s="21">
        <f t="shared" si="131"/>
        <v>76.199999999999989</v>
      </c>
      <c r="J111" s="21">
        <v>22</v>
      </c>
      <c r="K111" s="7">
        <v>25.4</v>
      </c>
      <c r="L111" s="21">
        <v>5</v>
      </c>
      <c r="M111" s="21">
        <v>3</v>
      </c>
      <c r="N111" s="21">
        <f t="shared" si="321"/>
        <v>914.4</v>
      </c>
      <c r="O111" s="21">
        <f t="shared" si="316"/>
        <v>127</v>
      </c>
      <c r="P111" s="21"/>
      <c r="Q111" s="21">
        <f>10*25.4-1.5*K111-Y111/2</f>
        <v>185.57916557876416</v>
      </c>
      <c r="R111" s="21">
        <v>3</v>
      </c>
      <c r="S111" s="21">
        <f t="shared" si="310"/>
        <v>50.8</v>
      </c>
      <c r="T111" s="7">
        <f t="shared" si="304"/>
        <v>2.5</v>
      </c>
      <c r="U111" s="10">
        <f>(O111+K111/2)/K111</f>
        <v>5.5</v>
      </c>
      <c r="V111" s="21">
        <v>4.7</v>
      </c>
      <c r="W111" s="7">
        <f t="shared" si="152"/>
        <v>4.7</v>
      </c>
      <c r="X111" s="21">
        <f t="shared" si="242"/>
        <v>5.7</v>
      </c>
      <c r="Y111" s="21">
        <f t="shared" si="200"/>
        <v>60.641668842471674</v>
      </c>
      <c r="Z111" s="21"/>
      <c r="AA111" s="21"/>
      <c r="AB111" s="21">
        <v>169</v>
      </c>
      <c r="AC111" s="21"/>
      <c r="AD111" s="21"/>
      <c r="AE111" s="21"/>
      <c r="AF111" s="21"/>
      <c r="AG111" s="7">
        <v>1</v>
      </c>
      <c r="AH111" s="7"/>
      <c r="AI111" s="7"/>
      <c r="AJ111" s="21"/>
      <c r="AK111" s="4">
        <f t="shared" si="279"/>
        <v>127</v>
      </c>
      <c r="AL111" s="44">
        <f t="shared" si="311"/>
        <v>1.6</v>
      </c>
      <c r="AM111" s="25">
        <f t="shared" si="268"/>
        <v>44.160944413458445</v>
      </c>
      <c r="AN111" s="4">
        <f t="shared" si="269"/>
        <v>0.79999999999999993</v>
      </c>
      <c r="AO111" s="4">
        <v>1.25</v>
      </c>
      <c r="AP111" s="25">
        <f t="shared" si="317"/>
        <v>5</v>
      </c>
      <c r="AQ111" s="38">
        <f t="shared" si="271"/>
        <v>353.28755530766756</v>
      </c>
      <c r="AR111" s="38">
        <f t="shared" si="272"/>
        <v>353.28755530766756</v>
      </c>
      <c r="AS111" s="38"/>
      <c r="AT111" s="38">
        <f t="shared" si="308"/>
        <v>353.28755530766756</v>
      </c>
      <c r="AU111" s="38">
        <f t="shared" si="243"/>
        <v>1</v>
      </c>
      <c r="AV111" s="38"/>
      <c r="AW111" s="4"/>
      <c r="AX111" s="19">
        <f t="shared" si="220"/>
        <v>74.059196207738353</v>
      </c>
      <c r="AY111" s="19">
        <f t="shared" si="221"/>
        <v>1.48</v>
      </c>
      <c r="AZ111" s="38">
        <f t="shared" si="273"/>
        <v>352.94198956769088</v>
      </c>
      <c r="BA111" s="19">
        <f t="shared" si="222"/>
        <v>0.34199999999999997</v>
      </c>
      <c r="BB111" s="19">
        <f t="shared" si="244"/>
        <v>13.234008066341804</v>
      </c>
      <c r="BC111" s="19">
        <f t="shared" si="245"/>
        <v>366.17599763403268</v>
      </c>
      <c r="BE111" s="36">
        <f t="shared" si="312"/>
        <v>1.0652778468231168</v>
      </c>
      <c r="BF111" s="36">
        <f t="shared" si="313"/>
        <v>133.90877283564177</v>
      </c>
      <c r="BK111" s="4">
        <f t="shared" si="156"/>
        <v>99.189582789382087</v>
      </c>
      <c r="BL111" s="4">
        <f t="shared" si="157"/>
        <v>50.8</v>
      </c>
      <c r="BM111" s="4">
        <f t="shared" si="158"/>
        <v>99.189582789382087</v>
      </c>
      <c r="BN111" s="4">
        <f t="shared" si="159"/>
        <v>63.5</v>
      </c>
      <c r="BO111" s="4">
        <f t="shared" si="160"/>
        <v>1.0952550842310671</v>
      </c>
      <c r="BP111" s="25">
        <f t="shared" si="274"/>
        <v>2.7381377105776679</v>
      </c>
      <c r="BQ111" s="4"/>
      <c r="BR111" s="19">
        <f t="shared" si="161"/>
        <v>92.789582789382081</v>
      </c>
      <c r="BV111" s="18"/>
      <c r="BX111" s="18"/>
      <c r="BY111" s="18"/>
      <c r="BZ111" s="18">
        <f t="shared" si="231"/>
        <v>92.789582789382081</v>
      </c>
      <c r="CA111" s="18">
        <f t="shared" si="232"/>
        <v>127</v>
      </c>
      <c r="CB111" s="18">
        <f t="shared" si="248"/>
        <v>2.0034496277060567</v>
      </c>
      <c r="CC111" s="9">
        <v>0</v>
      </c>
      <c r="CD111" s="18">
        <f t="shared" si="306"/>
        <v>0</v>
      </c>
      <c r="CE111" s="18">
        <f t="shared" si="249"/>
        <v>0</v>
      </c>
      <c r="CF111" s="18">
        <f t="shared" si="233"/>
        <v>0.99524931562137331</v>
      </c>
      <c r="CG111" s="18">
        <f t="shared" si="234"/>
        <v>1.056</v>
      </c>
      <c r="CH111" s="18">
        <f t="shared" si="250"/>
        <v>1.7253419844992921</v>
      </c>
      <c r="CI111" s="18">
        <f t="shared" si="251"/>
        <v>3.4566357565107357</v>
      </c>
      <c r="CJ111" s="9">
        <v>1</v>
      </c>
      <c r="CK111" s="18">
        <f t="shared" si="252"/>
        <v>248.87777446877297</v>
      </c>
      <c r="CO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H111" s="4">
        <f t="shared" si="167"/>
        <v>0</v>
      </c>
      <c r="DI111" s="4">
        <f t="shared" si="168"/>
        <v>127</v>
      </c>
      <c r="DJ111" s="4">
        <f t="shared" si="169"/>
        <v>0.59999999999999987</v>
      </c>
      <c r="DL111" s="4">
        <f t="shared" si="170"/>
        <v>8.4107645314059323E-6</v>
      </c>
      <c r="DM111" s="4">
        <f t="shared" si="171"/>
        <v>4.6896020966378407</v>
      </c>
      <c r="DN111" s="4"/>
      <c r="DO111" s="4"/>
      <c r="DP111" s="4"/>
      <c r="DQ111" s="4"/>
      <c r="DR111" s="38">
        <f t="shared" si="275"/>
        <v>316.53648478469842</v>
      </c>
      <c r="DS111" s="4">
        <f t="shared" si="256"/>
        <v>0.7808572593030928</v>
      </c>
      <c r="DT111" s="4"/>
      <c r="DU111" s="4">
        <f t="shared" si="276"/>
        <v>353.28755530766756</v>
      </c>
      <c r="DY111" s="19">
        <f t="shared" si="235"/>
        <v>1</v>
      </c>
      <c r="DZ111" s="19">
        <f t="shared" si="257"/>
        <v>0.73468668193156661</v>
      </c>
      <c r="EA111" s="19">
        <f t="shared" si="258"/>
        <v>1</v>
      </c>
      <c r="EB111" s="19">
        <f t="shared" si="259"/>
        <v>0.73468668193156661</v>
      </c>
      <c r="ED111" s="4">
        <f t="shared" si="277"/>
        <v>376.41442145900862</v>
      </c>
      <c r="EE111" s="25">
        <f t="shared" si="318"/>
        <v>342.82146053241013</v>
      </c>
      <c r="EH111" s="4">
        <f t="shared" si="314"/>
        <v>4.6896020966378407</v>
      </c>
      <c r="EI111" s="4">
        <f t="shared" si="174"/>
        <v>4.6896020966378407</v>
      </c>
      <c r="EK111" s="4">
        <f t="shared" si="175"/>
        <v>60.641668842471674</v>
      </c>
      <c r="EL111" s="4">
        <f t="shared" si="176"/>
        <v>2.3874672772626644</v>
      </c>
      <c r="EM111" s="4">
        <f t="shared" si="177"/>
        <v>0.20677233289882965</v>
      </c>
      <c r="EP111" s="19">
        <f t="shared" si="178"/>
        <v>0.20677233289882965</v>
      </c>
      <c r="EQ111" s="19">
        <f t="shared" si="179"/>
        <v>0.80486021421776921</v>
      </c>
      <c r="ER111" s="4">
        <f t="shared" si="180"/>
        <v>4.299561637031025</v>
      </c>
      <c r="ES111" s="19">
        <f t="shared" si="236"/>
        <v>4.4988116430332044</v>
      </c>
      <c r="ET111" s="4">
        <f t="shared" si="182"/>
        <v>34.608331157528326</v>
      </c>
      <c r="EU111" s="4">
        <f t="shared" si="183"/>
        <v>31.75</v>
      </c>
      <c r="EV111" s="19">
        <f t="shared" si="261"/>
        <v>8.4107645314059323E-6</v>
      </c>
      <c r="EW111" s="19">
        <f t="shared" si="237"/>
        <v>4.6509271187738959</v>
      </c>
      <c r="EX111" s="4">
        <f t="shared" si="185"/>
        <v>405.37048354676762</v>
      </c>
      <c r="EY111" s="4">
        <f t="shared" si="186"/>
        <v>15.558331157528315</v>
      </c>
      <c r="EZ111" s="4">
        <f t="shared" si="187"/>
        <v>0</v>
      </c>
      <c r="FA111" s="4"/>
      <c r="FB111" s="4">
        <f t="shared" si="262"/>
        <v>36.751070522969144</v>
      </c>
      <c r="FG111" s="23"/>
      <c r="FH111" s="23"/>
      <c r="FI111" s="23"/>
      <c r="FJ111" s="23"/>
      <c r="FK111" s="23"/>
      <c r="FL111" s="23"/>
      <c r="FM111" s="23"/>
      <c r="FN111" s="22"/>
      <c r="FX111" s="4">
        <f t="shared" si="263"/>
        <v>1</v>
      </c>
      <c r="FY111" s="4">
        <f t="shared" si="303"/>
        <v>0.5</v>
      </c>
      <c r="FZ111" s="4">
        <f t="shared" si="265"/>
        <v>0</v>
      </c>
      <c r="GA111" s="4">
        <f t="shared" si="266"/>
        <v>215.95756739627933</v>
      </c>
    </row>
    <row r="112" spans="1:183" ht="12" hidden="1" customHeight="1" x14ac:dyDescent="0.3">
      <c r="A112" s="25">
        <v>94</v>
      </c>
      <c r="B112" s="20" t="s">
        <v>54</v>
      </c>
      <c r="C112" s="20">
        <v>2006</v>
      </c>
      <c r="D112" s="20" t="s">
        <v>293</v>
      </c>
      <c r="E112" s="24"/>
      <c r="F112" s="7" t="s">
        <v>281</v>
      </c>
      <c r="G112" s="7">
        <v>472</v>
      </c>
      <c r="H112" s="7">
        <f t="shared" si="315"/>
        <v>203.2</v>
      </c>
      <c r="I112" s="7">
        <f t="shared" si="131"/>
        <v>152.39999999999998</v>
      </c>
      <c r="J112" s="7">
        <v>28</v>
      </c>
      <c r="K112" s="7">
        <v>25.4</v>
      </c>
      <c r="L112" s="7">
        <v>8</v>
      </c>
      <c r="M112" s="7">
        <v>6</v>
      </c>
      <c r="N112" s="7">
        <f t="shared" si="321"/>
        <v>914.4</v>
      </c>
      <c r="O112" s="7">
        <f t="shared" si="316"/>
        <v>127</v>
      </c>
      <c r="P112" s="7"/>
      <c r="Q112" s="7">
        <f t="shared" si="309"/>
        <v>101.6</v>
      </c>
      <c r="R112" s="7">
        <v>3</v>
      </c>
      <c r="S112" s="7">
        <f t="shared" si="310"/>
        <v>50.8</v>
      </c>
      <c r="T112" s="7">
        <f t="shared" si="304"/>
        <v>2.5</v>
      </c>
      <c r="U112" s="7">
        <f t="shared" ref="U112:U122" si="322">(S112+K112/2)/K112</f>
        <v>2.5</v>
      </c>
      <c r="V112" s="7">
        <v>4.7</v>
      </c>
      <c r="W112" s="7">
        <f t="shared" si="152"/>
        <v>4.7</v>
      </c>
      <c r="X112" s="7">
        <f t="shared" si="242"/>
        <v>5.7</v>
      </c>
      <c r="Y112" s="7">
        <f t="shared" si="200"/>
        <v>60.641668842471674</v>
      </c>
      <c r="Z112" s="7"/>
      <c r="AA112" s="7"/>
      <c r="AB112" s="7">
        <v>300</v>
      </c>
      <c r="AC112" s="7"/>
      <c r="AD112" s="7">
        <f>CQ112</f>
        <v>0.74963962286101182</v>
      </c>
      <c r="AE112" s="7"/>
      <c r="AF112" s="7"/>
      <c r="AG112" s="7">
        <v>1</v>
      </c>
      <c r="AH112" s="7"/>
      <c r="AI112" s="7"/>
      <c r="AJ112" s="7"/>
      <c r="AK112" s="4">
        <f t="shared" si="279"/>
        <v>203.2</v>
      </c>
      <c r="AL112" s="44">
        <f t="shared" si="311"/>
        <v>0.62500000000000011</v>
      </c>
      <c r="AM112" s="25">
        <f t="shared" si="268"/>
        <v>100.82912578615378</v>
      </c>
      <c r="AN112" s="4">
        <f t="shared" si="269"/>
        <v>0.76249999999999996</v>
      </c>
      <c r="AO112" s="4">
        <v>1.25</v>
      </c>
      <c r="AP112" s="25">
        <f t="shared" si="317"/>
        <v>5</v>
      </c>
      <c r="AQ112" s="38">
        <f t="shared" si="271"/>
        <v>300.32112660914947</v>
      </c>
      <c r="AR112" s="38">
        <f t="shared" si="272"/>
        <v>300.32112660914947</v>
      </c>
      <c r="AT112" s="38">
        <f t="shared" si="308"/>
        <v>300.32112660914959</v>
      </c>
      <c r="AU112" s="38">
        <f t="shared" si="243"/>
        <v>0.99999999999999967</v>
      </c>
      <c r="AV112" s="38">
        <f t="shared" si="136"/>
        <v>1.010627426942585</v>
      </c>
      <c r="AW112" s="4">
        <f t="shared" ref="AW112:AW175" si="323">IF(AV112&lt;1,1,0)</f>
        <v>0</v>
      </c>
      <c r="AX112" s="4">
        <f t="shared" si="220"/>
        <v>167.10008280407939</v>
      </c>
      <c r="AY112" s="4">
        <f t="shared" si="221"/>
        <v>1</v>
      </c>
      <c r="AZ112" s="38">
        <f t="shared" si="273"/>
        <v>303.51276744150317</v>
      </c>
      <c r="BA112" s="4">
        <f t="shared" si="222"/>
        <v>0.34199999999999997</v>
      </c>
      <c r="BB112" s="4">
        <f t="shared" si="244"/>
        <v>29.859949296674962</v>
      </c>
      <c r="BC112" s="4">
        <f t="shared" si="245"/>
        <v>333.37271673817816</v>
      </c>
      <c r="BE112" s="36">
        <f t="shared" si="312"/>
        <v>1.1274999999999999</v>
      </c>
      <c r="BF112" s="36">
        <f t="shared" si="313"/>
        <v>188.53094692384059</v>
      </c>
      <c r="BK112" s="4">
        <f t="shared" si="156"/>
        <v>57.199999999999996</v>
      </c>
      <c r="BL112" s="4">
        <f t="shared" si="157"/>
        <v>50.8</v>
      </c>
      <c r="BM112" s="4">
        <f t="shared" si="158"/>
        <v>57.199999999999996</v>
      </c>
      <c r="BN112" s="4">
        <f t="shared" si="159"/>
        <v>63.5</v>
      </c>
      <c r="BO112" s="4">
        <f t="shared" si="160"/>
        <v>1.0125984251968505</v>
      </c>
      <c r="BP112" s="25">
        <f t="shared" si="274"/>
        <v>2.5314960629921264</v>
      </c>
      <c r="BR112" s="4">
        <f t="shared" si="161"/>
        <v>50.8</v>
      </c>
      <c r="BV112" s="9"/>
      <c r="BX112" s="9"/>
      <c r="BY112" s="9"/>
      <c r="BZ112" s="9">
        <f t="shared" si="231"/>
        <v>50.8</v>
      </c>
      <c r="CA112" s="9">
        <f t="shared" si="232"/>
        <v>127</v>
      </c>
      <c r="CB112" s="9">
        <f t="shared" si="248"/>
        <v>1.622579553879709</v>
      </c>
      <c r="CC112" s="9">
        <v>0</v>
      </c>
      <c r="CD112" s="9">
        <f t="shared" si="306"/>
        <v>0</v>
      </c>
      <c r="CE112" s="9">
        <f t="shared" si="249"/>
        <v>0</v>
      </c>
      <c r="CF112" s="9">
        <f t="shared" si="233"/>
        <v>0.99524931562137331</v>
      </c>
      <c r="CG112" s="9">
        <f t="shared" si="234"/>
        <v>1.056</v>
      </c>
      <c r="CH112" s="9">
        <f t="shared" si="250"/>
        <v>1.9464482686693119</v>
      </c>
      <c r="CI112" s="9">
        <f t="shared" si="251"/>
        <v>3.158267163427384</v>
      </c>
      <c r="CJ112" s="9">
        <v>1</v>
      </c>
      <c r="CK112" s="9">
        <f t="shared" si="252"/>
        <v>265.29444172790028</v>
      </c>
      <c r="CM112" s="4">
        <f t="shared" si="206"/>
        <v>1.7953312467938294</v>
      </c>
      <c r="CN112" s="4">
        <f t="shared" ref="CN112:CN116" si="324">AB112/BC112</f>
        <v>0.89989367736896064</v>
      </c>
      <c r="CO112" s="4">
        <f t="shared" si="208"/>
        <v>1.5912506932943413</v>
      </c>
      <c r="CP112" s="4">
        <f t="shared" si="209"/>
        <v>1.1308190177150246</v>
      </c>
      <c r="CQ112" s="4">
        <f t="shared" si="210"/>
        <v>0.74963962286101182</v>
      </c>
      <c r="CR112" s="4">
        <f t="shared" si="211"/>
        <v>0.80409497946677988</v>
      </c>
      <c r="CS112" s="4">
        <f t="shared" si="143"/>
        <v>1.2261405820212108</v>
      </c>
      <c r="CU112" s="4">
        <f t="shared" si="212"/>
        <v>1.7953312467938294</v>
      </c>
      <c r="CV112" s="4">
        <f t="shared" si="212"/>
        <v>0.89989367736896064</v>
      </c>
      <c r="CW112" s="4">
        <f t="shared" si="213"/>
        <v>1.1308190177150246</v>
      </c>
      <c r="CX112" s="4">
        <f t="shared" ref="CX112:CX116" si="325">CS112</f>
        <v>1.2261405820212108</v>
      </c>
      <c r="CY112" s="4">
        <f t="shared" si="215"/>
        <v>0.74963962286101182</v>
      </c>
      <c r="CZ112" s="4">
        <f t="shared" si="215"/>
        <v>0.80409497946677988</v>
      </c>
      <c r="DH112" s="4">
        <f t="shared" si="167"/>
        <v>0</v>
      </c>
      <c r="DI112" s="4">
        <f t="shared" si="168"/>
        <v>203.2</v>
      </c>
      <c r="DJ112" s="4">
        <f t="shared" si="169"/>
        <v>0.74999999999999989</v>
      </c>
      <c r="DL112" s="4">
        <f t="shared" si="170"/>
        <v>1.4081086625805556E-5</v>
      </c>
      <c r="DM112" s="4">
        <f t="shared" si="171"/>
        <v>4.8913150907085621</v>
      </c>
      <c r="DN112" s="4">
        <f t="shared" ref="DN112:DN116" si="326">DU112*Y112/257/J112/V112</f>
        <v>0.53847806423870404</v>
      </c>
      <c r="DO112" s="4">
        <f t="shared" si="253"/>
        <v>3.8185004560434437</v>
      </c>
      <c r="DP112" s="4">
        <f t="shared" si="254"/>
        <v>4.3878681397992914</v>
      </c>
      <c r="DQ112" s="4">
        <f t="shared" si="255"/>
        <v>4.7872065211519317</v>
      </c>
      <c r="DR112" s="38">
        <f t="shared" si="275"/>
        <v>400.19229353838733</v>
      </c>
      <c r="DS112" s="4">
        <f t="shared" si="256"/>
        <v>1.0001002040418938</v>
      </c>
      <c r="DT112" s="4">
        <f t="shared" si="147"/>
        <v>2.3874672772626644</v>
      </c>
      <c r="DU112" s="4">
        <f t="shared" si="276"/>
        <v>300.32112660914959</v>
      </c>
      <c r="DY112" s="4">
        <f t="shared" si="235"/>
        <v>1</v>
      </c>
      <c r="DZ112" s="4">
        <f t="shared" si="257"/>
        <v>0.9</v>
      </c>
      <c r="EA112" s="4">
        <f t="shared" si="258"/>
        <v>1</v>
      </c>
      <c r="EB112" s="4">
        <f t="shared" si="259"/>
        <v>0.9</v>
      </c>
      <c r="ED112" s="4">
        <f t="shared" si="277"/>
        <v>373.09025383909153</v>
      </c>
      <c r="EE112" s="25">
        <f t="shared" si="318"/>
        <v>293.99662540245509</v>
      </c>
      <c r="EH112" s="4">
        <f t="shared" si="314"/>
        <v>4.8913150907085621</v>
      </c>
      <c r="EI112" s="4">
        <f t="shared" si="174"/>
        <v>4.8913150907085621</v>
      </c>
      <c r="EK112" s="4">
        <f t="shared" si="175"/>
        <v>60.641668842471674</v>
      </c>
      <c r="EL112" s="4">
        <f t="shared" si="176"/>
        <v>2.3874672772626644</v>
      </c>
      <c r="EM112" s="4">
        <f t="shared" si="177"/>
        <v>0.15580532528546467</v>
      </c>
      <c r="EP112" s="4">
        <f t="shared" si="178"/>
        <v>0.15580532528546467</v>
      </c>
      <c r="EQ112" s="4">
        <f t="shared" si="179"/>
        <v>0.53757944470815811</v>
      </c>
      <c r="ER112" s="4">
        <f t="shared" si="180"/>
        <v>3.8159502325558035</v>
      </c>
      <c r="ES112" s="4">
        <f t="shared" si="236"/>
        <v>4.3867592129495785</v>
      </c>
      <c r="ET112" s="4">
        <f t="shared" si="182"/>
        <v>91.758331157528303</v>
      </c>
      <c r="EU112" s="4">
        <f t="shared" si="183"/>
        <v>50.8</v>
      </c>
      <c r="EV112" s="4">
        <f t="shared" si="261"/>
        <v>1.4081086625805556E-5</v>
      </c>
      <c r="EW112" s="4">
        <f t="shared" si="237"/>
        <v>4.7872417175461299</v>
      </c>
      <c r="EX112" s="4">
        <f t="shared" si="185"/>
        <v>400.15219667090821</v>
      </c>
      <c r="EY112" s="4">
        <f t="shared" si="186"/>
        <v>91.758331157528303</v>
      </c>
      <c r="EZ112" s="4">
        <f t="shared" si="187"/>
        <v>0</v>
      </c>
      <c r="FB112" s="4">
        <f t="shared" si="262"/>
        <v>38.297933740369047</v>
      </c>
      <c r="FG112" s="23">
        <f t="shared" si="216"/>
        <v>1.8</v>
      </c>
      <c r="FH112" s="23">
        <f t="shared" si="216"/>
        <v>1</v>
      </c>
      <c r="FI112" s="23">
        <f t="shared" si="230"/>
        <v>1.4</v>
      </c>
      <c r="FJ112" s="23">
        <f t="shared" si="217"/>
        <v>1.2</v>
      </c>
      <c r="FK112" s="23">
        <f t="shared" si="217"/>
        <v>0.8</v>
      </c>
      <c r="FL112" s="23">
        <f t="shared" si="217"/>
        <v>1</v>
      </c>
      <c r="FM112" s="23">
        <f t="shared" si="218"/>
        <v>1</v>
      </c>
      <c r="FN112" s="23"/>
      <c r="FX112" s="4">
        <f t="shared" si="263"/>
        <v>1</v>
      </c>
      <c r="FY112" s="4">
        <f t="shared" si="303"/>
        <v>0.75</v>
      </c>
      <c r="FZ112" s="4">
        <f t="shared" si="265"/>
        <v>0</v>
      </c>
      <c r="GA112" s="4">
        <f t="shared" si="266"/>
        <v>244.67014989869273</v>
      </c>
    </row>
    <row r="113" spans="1:188" ht="12" hidden="1" customHeight="1" x14ac:dyDescent="0.3">
      <c r="A113" s="25">
        <v>95</v>
      </c>
      <c r="B113" s="20" t="s">
        <v>54</v>
      </c>
      <c r="C113" s="20">
        <v>2006</v>
      </c>
      <c r="D113" s="20" t="s">
        <v>293</v>
      </c>
      <c r="E113" s="24"/>
      <c r="F113" s="7" t="s">
        <v>68</v>
      </c>
      <c r="G113" s="7">
        <v>472</v>
      </c>
      <c r="H113" s="7">
        <f t="shared" si="315"/>
        <v>203.2</v>
      </c>
      <c r="I113" s="7">
        <f t="shared" si="131"/>
        <v>152.39999999999998</v>
      </c>
      <c r="J113" s="7">
        <v>28</v>
      </c>
      <c r="K113" s="7">
        <v>25.4</v>
      </c>
      <c r="L113" s="7">
        <v>8</v>
      </c>
      <c r="M113" s="7">
        <v>6</v>
      </c>
      <c r="N113" s="7">
        <f t="shared" si="321"/>
        <v>914.4</v>
      </c>
      <c r="O113" s="7">
        <f t="shared" si="316"/>
        <v>127</v>
      </c>
      <c r="P113" s="7"/>
      <c r="Q113" s="7">
        <f t="shared" si="309"/>
        <v>101.6</v>
      </c>
      <c r="R113" s="7">
        <v>3</v>
      </c>
      <c r="S113" s="7">
        <f t="shared" si="310"/>
        <v>50.8</v>
      </c>
      <c r="T113" s="7">
        <f t="shared" si="304"/>
        <v>2.5</v>
      </c>
      <c r="U113" s="7">
        <f t="shared" si="322"/>
        <v>2.5</v>
      </c>
      <c r="V113" s="7">
        <v>4.04</v>
      </c>
      <c r="W113" s="7">
        <f t="shared" si="152"/>
        <v>4.04</v>
      </c>
      <c r="X113" s="7">
        <f t="shared" si="242"/>
        <v>5.04</v>
      </c>
      <c r="Y113" s="7">
        <f t="shared" si="200"/>
        <v>57.022858574434863</v>
      </c>
      <c r="Z113" s="7"/>
      <c r="AA113" s="7"/>
      <c r="AB113" s="7">
        <v>306</v>
      </c>
      <c r="AC113" s="7"/>
      <c r="AD113" s="7">
        <f>CQ113</f>
        <v>0.75988377667231821</v>
      </c>
      <c r="AE113" s="7"/>
      <c r="AF113" s="7"/>
      <c r="AG113" s="7">
        <v>1</v>
      </c>
      <c r="AH113" s="7"/>
      <c r="AI113" s="7"/>
      <c r="AJ113" s="7"/>
      <c r="AK113" s="4">
        <f t="shared" si="279"/>
        <v>203.2</v>
      </c>
      <c r="AL113" s="44">
        <f t="shared" si="311"/>
        <v>0.62500000000000011</v>
      </c>
      <c r="AM113" s="25">
        <f t="shared" si="268"/>
        <v>100.82912578615378</v>
      </c>
      <c r="AN113" s="4">
        <f t="shared" si="269"/>
        <v>0.76249999999999996</v>
      </c>
      <c r="AO113" s="4">
        <v>1.25</v>
      </c>
      <c r="AP113" s="25">
        <f t="shared" si="317"/>
        <v>5</v>
      </c>
      <c r="AQ113" s="38">
        <f t="shared" si="271"/>
        <v>300.32112660914947</v>
      </c>
      <c r="AR113" s="38">
        <f t="shared" si="272"/>
        <v>300.32112660914947</v>
      </c>
      <c r="AT113" s="38">
        <f t="shared" si="308"/>
        <v>300.32112660914959</v>
      </c>
      <c r="AU113" s="38">
        <f t="shared" si="243"/>
        <v>0.99999999999999967</v>
      </c>
      <c r="AV113" s="38">
        <f t="shared" si="136"/>
        <v>0.93698542146722186</v>
      </c>
      <c r="AW113" s="4">
        <f t="shared" si="323"/>
        <v>1</v>
      </c>
      <c r="AX113" s="4">
        <f t="shared" si="220"/>
        <v>167.10008280407939</v>
      </c>
      <c r="AY113" s="4">
        <f t="shared" si="221"/>
        <v>1</v>
      </c>
      <c r="AZ113" s="38">
        <f t="shared" si="273"/>
        <v>281.39651739138492</v>
      </c>
      <c r="BA113" s="4">
        <f t="shared" si="222"/>
        <v>0.43440000000000001</v>
      </c>
      <c r="BB113" s="4">
        <f t="shared" si="244"/>
        <v>37.927374194373115</v>
      </c>
      <c r="BC113" s="4">
        <f t="shared" si="245"/>
        <v>319.32389158575802</v>
      </c>
      <c r="BE113" s="36">
        <f t="shared" si="312"/>
        <v>1.1274999999999999</v>
      </c>
      <c r="BF113" s="36">
        <f t="shared" si="313"/>
        <v>188.53094692384059</v>
      </c>
      <c r="BK113" s="4">
        <f t="shared" si="156"/>
        <v>57.199999999999996</v>
      </c>
      <c r="BL113" s="4">
        <f t="shared" si="157"/>
        <v>50.8</v>
      </c>
      <c r="BM113" s="4">
        <f t="shared" si="158"/>
        <v>57.199999999999996</v>
      </c>
      <c r="BN113" s="4">
        <f t="shared" si="159"/>
        <v>63.5</v>
      </c>
      <c r="BO113" s="4">
        <f t="shared" si="160"/>
        <v>1.0125984251968505</v>
      </c>
      <c r="BP113" s="25">
        <f t="shared" si="274"/>
        <v>2.5314960629921264</v>
      </c>
      <c r="BR113" s="4">
        <f t="shared" si="161"/>
        <v>50.8</v>
      </c>
      <c r="BV113" s="9"/>
      <c r="BX113" s="9"/>
      <c r="BY113" s="9"/>
      <c r="BZ113" s="9">
        <f t="shared" si="231"/>
        <v>50.8</v>
      </c>
      <c r="CA113" s="9">
        <f t="shared" si="232"/>
        <v>127</v>
      </c>
      <c r="CB113" s="9">
        <f t="shared" si="248"/>
        <v>1.622579553879709</v>
      </c>
      <c r="CC113" s="9">
        <v>0</v>
      </c>
      <c r="CD113" s="9">
        <f t="shared" si="306"/>
        <v>0</v>
      </c>
      <c r="CE113" s="9">
        <f t="shared" si="249"/>
        <v>0</v>
      </c>
      <c r="CF113" s="9">
        <f t="shared" si="233"/>
        <v>0.99524931562137331</v>
      </c>
      <c r="CG113" s="9">
        <f t="shared" si="234"/>
        <v>1.056</v>
      </c>
      <c r="CH113" s="9">
        <f t="shared" si="250"/>
        <v>1.9464482686693119</v>
      </c>
      <c r="CI113" s="9">
        <f t="shared" si="251"/>
        <v>3.158267163427384</v>
      </c>
      <c r="CJ113" s="9">
        <v>1</v>
      </c>
      <c r="CK113" s="9">
        <f t="shared" si="252"/>
        <v>265.29444172790028</v>
      </c>
      <c r="CM113" s="4">
        <f t="shared" si="206"/>
        <v>1.831237871729706</v>
      </c>
      <c r="CN113" s="4">
        <f t="shared" si="324"/>
        <v>0.95827467991952697</v>
      </c>
      <c r="CO113" s="4">
        <f t="shared" si="208"/>
        <v>1.6230757071602282</v>
      </c>
      <c r="CP113" s="4">
        <f t="shared" si="209"/>
        <v>1.153435398069325</v>
      </c>
      <c r="CQ113" s="4">
        <f t="shared" si="210"/>
        <v>0.75988377667231821</v>
      </c>
      <c r="CR113" s="4">
        <f t="shared" si="211"/>
        <v>0.82013855883724562</v>
      </c>
      <c r="CS113" s="4">
        <f t="shared" si="143"/>
        <v>1.2506633936616351</v>
      </c>
      <c r="CU113" s="4">
        <f t="shared" si="212"/>
        <v>1.831237871729706</v>
      </c>
      <c r="CV113" s="4">
        <f t="shared" si="212"/>
        <v>0.95827467991952697</v>
      </c>
      <c r="CW113" s="4">
        <f t="shared" si="213"/>
        <v>1.153435398069325</v>
      </c>
      <c r="CX113" s="4">
        <f t="shared" si="325"/>
        <v>1.2506633936616351</v>
      </c>
      <c r="CY113" s="4">
        <f t="shared" si="215"/>
        <v>0.75988377667231821</v>
      </c>
      <c r="CZ113" s="4">
        <f t="shared" si="215"/>
        <v>0.82013855883724562</v>
      </c>
      <c r="DH113" s="4">
        <f t="shared" si="167"/>
        <v>0</v>
      </c>
      <c r="DI113" s="4">
        <f t="shared" si="168"/>
        <v>203.2</v>
      </c>
      <c r="DJ113" s="4">
        <f t="shared" si="169"/>
        <v>0.74999999999999989</v>
      </c>
      <c r="DL113" s="4">
        <f t="shared" si="170"/>
        <v>1.4081086625805556E-5</v>
      </c>
      <c r="DM113" s="4">
        <f t="shared" si="171"/>
        <v>4.8913150907085621</v>
      </c>
      <c r="DN113" s="4">
        <f t="shared" si="326"/>
        <v>0.5890638201623456</v>
      </c>
      <c r="DO113" s="4">
        <f t="shared" si="253"/>
        <v>3.9581347949207233</v>
      </c>
      <c r="DP113" s="4">
        <f t="shared" si="254"/>
        <v>4.4492850598328726</v>
      </c>
      <c r="DQ113" s="4">
        <f t="shared" si="255"/>
        <v>4.7850266011856082</v>
      </c>
      <c r="DR113" s="38">
        <f t="shared" si="275"/>
        <v>402.69316097263544</v>
      </c>
      <c r="DS113" s="4">
        <f t="shared" si="256"/>
        <v>1.0001020792306232</v>
      </c>
      <c r="DT113" s="4">
        <f t="shared" si="147"/>
        <v>2.2449944320643649</v>
      </c>
      <c r="DU113" s="4">
        <f t="shared" si="276"/>
        <v>300.32112660914959</v>
      </c>
      <c r="DY113" s="4">
        <f t="shared" si="235"/>
        <v>1</v>
      </c>
      <c r="DZ113" s="4">
        <f t="shared" si="257"/>
        <v>0.9</v>
      </c>
      <c r="EA113" s="4">
        <f t="shared" si="258"/>
        <v>1</v>
      </c>
      <c r="EB113" s="4">
        <f t="shared" si="259"/>
        <v>0.9</v>
      </c>
      <c r="ED113" s="4">
        <f t="shared" si="277"/>
        <v>373.10768613761144</v>
      </c>
      <c r="EE113" s="25">
        <f t="shared" si="318"/>
        <v>293.99662540245509</v>
      </c>
      <c r="EH113" s="4">
        <f t="shared" si="314"/>
        <v>4.8913150907085621</v>
      </c>
      <c r="EI113" s="4">
        <f t="shared" si="174"/>
        <v>4.8913150907085621</v>
      </c>
      <c r="EK113" s="4">
        <f t="shared" si="175"/>
        <v>57.022858574434863</v>
      </c>
      <c r="EL113" s="4">
        <f t="shared" si="176"/>
        <v>2.2449944320643649</v>
      </c>
      <c r="EM113" s="4">
        <f t="shared" si="177"/>
        <v>0.17044200350862856</v>
      </c>
      <c r="EP113" s="4">
        <f t="shared" si="178"/>
        <v>0.17044200350862856</v>
      </c>
      <c r="EQ113" s="4">
        <f t="shared" si="179"/>
        <v>0.58808078243306638</v>
      </c>
      <c r="ER113" s="4">
        <f t="shared" si="180"/>
        <v>3.9554913152518196</v>
      </c>
      <c r="ES113" s="4">
        <f t="shared" si="236"/>
        <v>4.4481097848672473</v>
      </c>
      <c r="ET113" s="4">
        <f t="shared" si="182"/>
        <v>95.377141425565114</v>
      </c>
      <c r="EU113" s="4">
        <f t="shared" si="183"/>
        <v>50.800000000000026</v>
      </c>
      <c r="EV113" s="4">
        <f t="shared" si="261"/>
        <v>1.4081086625805565E-5</v>
      </c>
      <c r="EW113" s="4">
        <f t="shared" si="237"/>
        <v>4.7850626802311398</v>
      </c>
      <c r="EX113" s="4">
        <f t="shared" si="185"/>
        <v>402.65205856028871</v>
      </c>
      <c r="EY113" s="4">
        <f t="shared" si="186"/>
        <v>95.377141425565114</v>
      </c>
      <c r="EZ113" s="4">
        <f t="shared" si="187"/>
        <v>0</v>
      </c>
      <c r="FB113" s="4">
        <f t="shared" si="262"/>
        <v>38.28050144184914</v>
      </c>
      <c r="FG113" s="23">
        <f t="shared" si="216"/>
        <v>2</v>
      </c>
      <c r="FH113" s="23">
        <f t="shared" si="216"/>
        <v>1</v>
      </c>
      <c r="FI113" s="23">
        <f t="shared" si="230"/>
        <v>1.4</v>
      </c>
      <c r="FJ113" s="23">
        <f t="shared" si="217"/>
        <v>1.2</v>
      </c>
      <c r="FK113" s="23">
        <f t="shared" si="217"/>
        <v>0.8</v>
      </c>
      <c r="FL113" s="23">
        <f t="shared" si="217"/>
        <v>1</v>
      </c>
      <c r="FM113" s="23">
        <f t="shared" si="218"/>
        <v>1</v>
      </c>
      <c r="FN113" s="23"/>
      <c r="FX113" s="4">
        <f t="shared" si="263"/>
        <v>1</v>
      </c>
      <c r="FY113" s="4">
        <f t="shared" si="303"/>
        <v>0.75</v>
      </c>
      <c r="FZ113" s="4">
        <f t="shared" si="265"/>
        <v>0</v>
      </c>
      <c r="GA113" s="4">
        <f t="shared" si="266"/>
        <v>244.67014989869273</v>
      </c>
    </row>
    <row r="114" spans="1:188" ht="12" hidden="1" customHeight="1" x14ac:dyDescent="0.3">
      <c r="A114" s="25">
        <v>96</v>
      </c>
      <c r="B114" s="20" t="s">
        <v>54</v>
      </c>
      <c r="C114" s="20">
        <v>2006</v>
      </c>
      <c r="D114" s="20" t="s">
        <v>293</v>
      </c>
      <c r="E114" s="24"/>
      <c r="F114" s="7" t="s">
        <v>281</v>
      </c>
      <c r="G114" s="7">
        <v>472</v>
      </c>
      <c r="H114" s="7">
        <f t="shared" si="315"/>
        <v>304.79999999999995</v>
      </c>
      <c r="I114" s="7">
        <f t="shared" si="131"/>
        <v>254</v>
      </c>
      <c r="J114" s="7">
        <v>29</v>
      </c>
      <c r="K114" s="7">
        <v>25.4</v>
      </c>
      <c r="L114" s="7">
        <v>12</v>
      </c>
      <c r="M114" s="7">
        <v>10</v>
      </c>
      <c r="N114" s="7">
        <f t="shared" si="321"/>
        <v>914.4</v>
      </c>
      <c r="O114" s="7">
        <f t="shared" si="316"/>
        <v>127</v>
      </c>
      <c r="P114" s="7"/>
      <c r="Q114" s="7">
        <f t="shared" si="309"/>
        <v>101.6</v>
      </c>
      <c r="R114" s="7">
        <v>3</v>
      </c>
      <c r="S114" s="7">
        <f t="shared" si="310"/>
        <v>50.8</v>
      </c>
      <c r="T114" s="7">
        <f t="shared" si="304"/>
        <v>2.5</v>
      </c>
      <c r="U114" s="7">
        <f t="shared" si="322"/>
        <v>2.5</v>
      </c>
      <c r="V114" s="7">
        <v>4.7</v>
      </c>
      <c r="W114" s="7">
        <f t="shared" si="152"/>
        <v>4.7</v>
      </c>
      <c r="X114" s="7">
        <f t="shared" si="242"/>
        <v>5.7</v>
      </c>
      <c r="Y114" s="7">
        <f t="shared" si="200"/>
        <v>60.641668842471674</v>
      </c>
      <c r="Z114" s="7"/>
      <c r="AA114" s="7"/>
      <c r="AB114" s="7">
        <v>457</v>
      </c>
      <c r="AC114" s="7"/>
      <c r="AD114" s="7">
        <f>CQ114</f>
        <v>1.1164683616764477</v>
      </c>
      <c r="AE114" s="7"/>
      <c r="AF114" s="7"/>
      <c r="AG114" s="7">
        <v>1</v>
      </c>
      <c r="AH114" s="7"/>
      <c r="AI114" s="7"/>
      <c r="AJ114" s="7"/>
      <c r="AK114" s="4">
        <f t="shared" si="279"/>
        <v>304.79999999999995</v>
      </c>
      <c r="AL114" s="44">
        <f t="shared" si="311"/>
        <v>0.27777777777777785</v>
      </c>
      <c r="AM114" s="25">
        <f t="shared" si="268"/>
        <v>188.51368095394432</v>
      </c>
      <c r="AN114" s="4">
        <f t="shared" si="269"/>
        <v>0.74166666666666659</v>
      </c>
      <c r="AO114" s="4">
        <v>1.25</v>
      </c>
      <c r="AP114" s="25">
        <f t="shared" si="317"/>
        <v>5</v>
      </c>
      <c r="AQ114" s="38">
        <f t="shared" si="271"/>
        <v>242.73318294127671</v>
      </c>
      <c r="AR114" s="38">
        <f t="shared" si="272"/>
        <v>242.73318294127671</v>
      </c>
      <c r="AT114" s="38">
        <f t="shared" si="308"/>
        <v>242.73318294127648</v>
      </c>
      <c r="AU114" s="38">
        <f t="shared" si="243"/>
        <v>1.0000000000000009</v>
      </c>
      <c r="AV114" s="38">
        <f t="shared" si="136"/>
        <v>1.2950537101138442</v>
      </c>
      <c r="AW114" s="4">
        <f t="shared" si="323"/>
        <v>0</v>
      </c>
      <c r="AX114" s="4">
        <f t="shared" si="220"/>
        <v>283.42972669128966</v>
      </c>
      <c r="AY114" s="4">
        <f t="shared" si="221"/>
        <v>1</v>
      </c>
      <c r="AZ114" s="38">
        <f t="shared" si="273"/>
        <v>314.35250913584258</v>
      </c>
      <c r="BA114" s="4">
        <f t="shared" si="222"/>
        <v>0.34199999999999997</v>
      </c>
      <c r="BB114" s="4">
        <f t="shared" si="244"/>
        <v>50.647475011100013</v>
      </c>
      <c r="BC114" s="4">
        <f t="shared" si="245"/>
        <v>364.99998414694261</v>
      </c>
      <c r="BE114" s="36">
        <f t="shared" si="312"/>
        <v>1.1274999999999999</v>
      </c>
      <c r="BF114" s="36">
        <f t="shared" si="313"/>
        <v>230.7273861616778</v>
      </c>
      <c r="BK114" s="4">
        <f t="shared" si="156"/>
        <v>57.199999999999996</v>
      </c>
      <c r="BL114" s="4">
        <f t="shared" si="157"/>
        <v>50.8</v>
      </c>
      <c r="BM114" s="4">
        <f t="shared" si="158"/>
        <v>57.199999999999996</v>
      </c>
      <c r="BN114" s="4">
        <f t="shared" si="159"/>
        <v>63.5</v>
      </c>
      <c r="BO114" s="4">
        <f t="shared" si="160"/>
        <v>1.0125984251968505</v>
      </c>
      <c r="BP114" s="25">
        <f t="shared" si="274"/>
        <v>2.5314960629921264</v>
      </c>
      <c r="BR114" s="4">
        <f t="shared" si="161"/>
        <v>50.8</v>
      </c>
      <c r="BV114" s="9"/>
      <c r="BX114" s="9"/>
      <c r="BY114" s="9"/>
      <c r="BZ114" s="9">
        <f t="shared" si="231"/>
        <v>50.8</v>
      </c>
      <c r="CA114" s="9">
        <f t="shared" si="232"/>
        <v>127</v>
      </c>
      <c r="CB114" s="9">
        <f t="shared" si="248"/>
        <v>1.622579553879709</v>
      </c>
      <c r="CC114" s="9">
        <v>0</v>
      </c>
      <c r="CD114" s="9">
        <f t="shared" si="306"/>
        <v>0</v>
      </c>
      <c r="CE114" s="9">
        <f t="shared" si="249"/>
        <v>0</v>
      </c>
      <c r="CF114" s="9">
        <f t="shared" si="233"/>
        <v>0.99524931562137331</v>
      </c>
      <c r="CG114" s="9">
        <f t="shared" si="234"/>
        <v>1.056</v>
      </c>
      <c r="CH114" s="9">
        <f t="shared" si="250"/>
        <v>1.9809013552237766</v>
      </c>
      <c r="CI114" s="9">
        <f t="shared" si="251"/>
        <v>3.2141700372387065</v>
      </c>
      <c r="CJ114" s="9">
        <v>1</v>
      </c>
      <c r="CK114" s="9">
        <f t="shared" si="252"/>
        <v>321.41700372387061</v>
      </c>
      <c r="CM114" s="4">
        <f t="shared" si="206"/>
        <v>1.6123926213913415</v>
      </c>
      <c r="CN114" s="4">
        <f t="shared" si="324"/>
        <v>1.2520548489010888</v>
      </c>
      <c r="CO114" s="4">
        <f t="shared" si="208"/>
        <v>1.9806924856322257</v>
      </c>
      <c r="CP114" s="4">
        <f t="shared" si="209"/>
        <v>1.4218289471474532</v>
      </c>
      <c r="CQ114" s="4">
        <f t="shared" si="210"/>
        <v>1.1164683616764477</v>
      </c>
      <c r="CR114" s="4">
        <f t="shared" si="211"/>
        <v>1.2021807798100808</v>
      </c>
      <c r="CS114" s="4">
        <f t="shared" si="143"/>
        <v>1.2343376079378301</v>
      </c>
      <c r="CU114" s="4">
        <f t="shared" si="212"/>
        <v>1.6123926213913415</v>
      </c>
      <c r="CV114" s="4">
        <f t="shared" si="212"/>
        <v>1.2520548489010888</v>
      </c>
      <c r="CW114" s="4">
        <f t="shared" si="213"/>
        <v>1.4218289471474532</v>
      </c>
      <c r="CX114" s="4">
        <f t="shared" si="325"/>
        <v>1.2343376079378301</v>
      </c>
      <c r="CY114" s="4">
        <f t="shared" si="215"/>
        <v>1.1164683616764477</v>
      </c>
      <c r="CZ114" s="4">
        <f t="shared" si="215"/>
        <v>1.2021807798100808</v>
      </c>
      <c r="DH114" s="4">
        <f t="shared" si="167"/>
        <v>0</v>
      </c>
      <c r="DI114" s="4">
        <f t="shared" si="168"/>
        <v>304.79999999999995</v>
      </c>
      <c r="DJ114" s="4">
        <f t="shared" si="169"/>
        <v>0.83333333333333348</v>
      </c>
      <c r="DL114" s="4">
        <f t="shared" si="170"/>
        <v>2.1275316934420354E-5</v>
      </c>
      <c r="DM114" s="4">
        <f t="shared" si="171"/>
        <v>4.9778937606367135</v>
      </c>
      <c r="DN114" s="4">
        <f t="shared" si="326"/>
        <v>0.42021477277474967</v>
      </c>
      <c r="DO114" s="4">
        <f t="shared" si="253"/>
        <v>3.5191205972774449</v>
      </c>
      <c r="DP114" s="4">
        <f t="shared" si="254"/>
        <v>4.310841737072364</v>
      </c>
      <c r="DQ114" s="4">
        <f t="shared" si="255"/>
        <v>4.7410699998847159</v>
      </c>
      <c r="DR114" s="38">
        <f t="shared" si="275"/>
        <v>409.3264222138688</v>
      </c>
      <c r="DS114" s="4">
        <f t="shared" si="256"/>
        <v>1.0001148737284835</v>
      </c>
      <c r="DT114" s="4">
        <f t="shared" si="147"/>
        <v>2.3874672772626644</v>
      </c>
      <c r="DU114" s="4">
        <f t="shared" si="276"/>
        <v>242.73318294127648</v>
      </c>
      <c r="DY114" s="4">
        <f t="shared" si="235"/>
        <v>1</v>
      </c>
      <c r="DZ114" s="4">
        <f t="shared" si="257"/>
        <v>0.9</v>
      </c>
      <c r="EA114" s="4">
        <f t="shared" si="258"/>
        <v>1</v>
      </c>
      <c r="EB114" s="4">
        <f t="shared" si="259"/>
        <v>0.9</v>
      </c>
      <c r="ED114" s="4">
        <f t="shared" si="277"/>
        <v>380.14249410325488</v>
      </c>
      <c r="EE114" s="25">
        <f t="shared" si="318"/>
        <v>238.86738872505268</v>
      </c>
      <c r="EH114" s="4">
        <f t="shared" si="314"/>
        <v>4.9778937606367135</v>
      </c>
      <c r="EI114" s="4">
        <f t="shared" si="174"/>
        <v>4.9778937606367135</v>
      </c>
      <c r="EK114" s="4">
        <f t="shared" si="175"/>
        <v>60.641668842471674</v>
      </c>
      <c r="EL114" s="4">
        <f t="shared" si="176"/>
        <v>2.3874672772626644</v>
      </c>
      <c r="EM114" s="4">
        <f t="shared" si="177"/>
        <v>0.12373870895460494</v>
      </c>
      <c r="EP114" s="4">
        <f t="shared" si="178"/>
        <v>0.12373870895460494</v>
      </c>
      <c r="EQ114" s="4">
        <f t="shared" si="179"/>
        <v>0.41951351263637587</v>
      </c>
      <c r="ER114" s="4">
        <f t="shared" si="180"/>
        <v>3.5167703176044887</v>
      </c>
      <c r="ES114" s="4">
        <f t="shared" si="236"/>
        <v>4.3098838742637779</v>
      </c>
      <c r="ET114" s="4">
        <f t="shared" si="182"/>
        <v>167.95833115752828</v>
      </c>
      <c r="EU114" s="4">
        <f t="shared" si="183"/>
        <v>76.199999999999989</v>
      </c>
      <c r="EV114" s="4">
        <f t="shared" si="261"/>
        <v>2.1275316934420354E-5</v>
      </c>
      <c r="EW114" s="4">
        <f t="shared" si="237"/>
        <v>4.7411337505899471</v>
      </c>
      <c r="EX114" s="4">
        <f t="shared" si="185"/>
        <v>409.27940676242247</v>
      </c>
      <c r="EY114" s="4">
        <f t="shared" si="186"/>
        <v>167.95833115752828</v>
      </c>
      <c r="EZ114" s="4">
        <f t="shared" si="187"/>
        <v>25.400000000000048</v>
      </c>
      <c r="FB114" s="4">
        <f t="shared" si="262"/>
        <v>37.929070004719506</v>
      </c>
      <c r="FG114" s="23">
        <f t="shared" si="216"/>
        <v>1.8</v>
      </c>
      <c r="FH114" s="23">
        <f t="shared" si="216"/>
        <v>1.4</v>
      </c>
      <c r="FI114" s="23">
        <f t="shared" si="230"/>
        <v>1.4</v>
      </c>
      <c r="FJ114" s="23">
        <f t="shared" si="217"/>
        <v>1.6</v>
      </c>
      <c r="FK114" s="23">
        <f t="shared" si="217"/>
        <v>1.2</v>
      </c>
      <c r="FL114" s="23">
        <f t="shared" si="217"/>
        <v>1.4</v>
      </c>
      <c r="FM114" s="23">
        <f t="shared" si="218"/>
        <v>0</v>
      </c>
      <c r="FN114" s="23"/>
      <c r="FX114" s="4">
        <f t="shared" si="263"/>
        <v>1</v>
      </c>
      <c r="FY114" s="4">
        <f t="shared" si="303"/>
        <v>0.75</v>
      </c>
      <c r="FZ114" s="4">
        <f t="shared" si="265"/>
        <v>0</v>
      </c>
      <c r="GA114" s="4">
        <f t="shared" si="266"/>
        <v>370.23906349535588</v>
      </c>
    </row>
    <row r="115" spans="1:188" ht="12" hidden="1" customHeight="1" x14ac:dyDescent="0.3">
      <c r="A115" s="25">
        <v>97</v>
      </c>
      <c r="B115" s="20" t="s">
        <v>54</v>
      </c>
      <c r="C115" s="20">
        <v>2006</v>
      </c>
      <c r="D115" s="20" t="s">
        <v>293</v>
      </c>
      <c r="E115" s="24"/>
      <c r="F115" s="7" t="s">
        <v>68</v>
      </c>
      <c r="G115" s="7">
        <v>472</v>
      </c>
      <c r="H115" s="7">
        <f t="shared" si="315"/>
        <v>304.79999999999995</v>
      </c>
      <c r="I115" s="7">
        <f t="shared" si="131"/>
        <v>254</v>
      </c>
      <c r="J115" s="7">
        <v>26</v>
      </c>
      <c r="K115" s="7">
        <v>25.4</v>
      </c>
      <c r="L115" s="7">
        <v>12</v>
      </c>
      <c r="M115" s="7">
        <v>10</v>
      </c>
      <c r="N115" s="7">
        <f t="shared" si="321"/>
        <v>914.4</v>
      </c>
      <c r="O115" s="7">
        <f t="shared" si="316"/>
        <v>127</v>
      </c>
      <c r="P115" s="7"/>
      <c r="Q115" s="7">
        <f t="shared" si="309"/>
        <v>101.6</v>
      </c>
      <c r="R115" s="7">
        <v>3</v>
      </c>
      <c r="S115" s="7">
        <f t="shared" si="310"/>
        <v>50.8</v>
      </c>
      <c r="T115" s="7">
        <f t="shared" si="304"/>
        <v>2.5</v>
      </c>
      <c r="U115" s="7">
        <f t="shared" si="322"/>
        <v>2.5</v>
      </c>
      <c r="V115" s="7">
        <v>4.04</v>
      </c>
      <c r="W115" s="7">
        <f t="shared" si="152"/>
        <v>4.04</v>
      </c>
      <c r="X115" s="7">
        <f t="shared" si="242"/>
        <v>5.04</v>
      </c>
      <c r="Y115" s="7">
        <f t="shared" si="200"/>
        <v>57.022858574434863</v>
      </c>
      <c r="Z115" s="7"/>
      <c r="AA115" s="7"/>
      <c r="AB115" s="7">
        <v>352</v>
      </c>
      <c r="AC115" s="7"/>
      <c r="AD115" s="7">
        <f>CQ115</f>
        <v>0.89784065148977055</v>
      </c>
      <c r="AE115" s="7"/>
      <c r="AF115" s="7"/>
      <c r="AG115" s="7">
        <v>1</v>
      </c>
      <c r="AH115" s="7"/>
      <c r="AI115" s="7"/>
      <c r="AJ115" s="7"/>
      <c r="AK115" s="4">
        <f t="shared" si="279"/>
        <v>304.79999999999995</v>
      </c>
      <c r="AL115" s="44">
        <f t="shared" si="311"/>
        <v>0.27777777777777785</v>
      </c>
      <c r="AM115" s="25">
        <f t="shared" si="268"/>
        <v>178.49684683556575</v>
      </c>
      <c r="AN115" s="4">
        <f t="shared" si="269"/>
        <v>0.74166666666666659</v>
      </c>
      <c r="AO115" s="4">
        <v>1.25</v>
      </c>
      <c r="AP115" s="25">
        <f t="shared" si="317"/>
        <v>5</v>
      </c>
      <c r="AQ115" s="38">
        <f t="shared" si="271"/>
        <v>229.83534965806356</v>
      </c>
      <c r="AR115" s="38">
        <f t="shared" si="272"/>
        <v>229.83534965806356</v>
      </c>
      <c r="AT115" s="38">
        <f t="shared" si="308"/>
        <v>229.83534965806339</v>
      </c>
      <c r="AU115" s="38">
        <f t="shared" si="243"/>
        <v>1.0000000000000007</v>
      </c>
      <c r="AV115" s="38">
        <f t="shared" si="136"/>
        <v>1.136886760621838</v>
      </c>
      <c r="AW115" s="4">
        <f t="shared" si="323"/>
        <v>0</v>
      </c>
      <c r="AX115" s="4">
        <f t="shared" si="220"/>
        <v>268.36944808383078</v>
      </c>
      <c r="AY115" s="4">
        <f t="shared" si="221"/>
        <v>1</v>
      </c>
      <c r="AZ115" s="38">
        <f t="shared" si="273"/>
        <v>261.29676614914314</v>
      </c>
      <c r="BA115" s="4">
        <f t="shared" si="222"/>
        <v>0.43440000000000001</v>
      </c>
      <c r="BB115" s="4">
        <f t="shared" si="244"/>
        <v>60.912887109379405</v>
      </c>
      <c r="BC115" s="4">
        <f t="shared" si="245"/>
        <v>322.20965325852256</v>
      </c>
      <c r="BE115" s="36">
        <f t="shared" si="312"/>
        <v>1.1274999999999999</v>
      </c>
      <c r="BF115" s="36">
        <f t="shared" si="313"/>
        <v>218.46749105988283</v>
      </c>
      <c r="BK115" s="4">
        <f t="shared" si="156"/>
        <v>57.199999999999996</v>
      </c>
      <c r="BL115" s="4">
        <f t="shared" si="157"/>
        <v>50.8</v>
      </c>
      <c r="BM115" s="4">
        <f t="shared" si="158"/>
        <v>57.199999999999996</v>
      </c>
      <c r="BN115" s="4">
        <f t="shared" si="159"/>
        <v>63.5</v>
      </c>
      <c r="BO115" s="4">
        <f t="shared" si="160"/>
        <v>1.0125984251968505</v>
      </c>
      <c r="BP115" s="25">
        <f t="shared" si="274"/>
        <v>2.5314960629921264</v>
      </c>
      <c r="BR115" s="4">
        <f t="shared" si="161"/>
        <v>50.8</v>
      </c>
      <c r="BV115" s="9"/>
      <c r="BX115" s="9"/>
      <c r="BY115" s="9"/>
      <c r="BZ115" s="9">
        <f t="shared" si="231"/>
        <v>50.8</v>
      </c>
      <c r="CA115" s="9">
        <f t="shared" si="232"/>
        <v>127</v>
      </c>
      <c r="CB115" s="9">
        <f t="shared" si="248"/>
        <v>1.622579553879709</v>
      </c>
      <c r="CC115" s="9">
        <v>0</v>
      </c>
      <c r="CD115" s="9">
        <f t="shared" si="306"/>
        <v>0</v>
      </c>
      <c r="CE115" s="9">
        <f t="shared" si="249"/>
        <v>0</v>
      </c>
      <c r="CF115" s="9">
        <f t="shared" si="233"/>
        <v>0.99524931562137331</v>
      </c>
      <c r="CG115" s="9">
        <f t="shared" si="234"/>
        <v>1.056</v>
      </c>
      <c r="CH115" s="9">
        <f t="shared" si="250"/>
        <v>1.8756444837875041</v>
      </c>
      <c r="CI115" s="9">
        <f t="shared" si="251"/>
        <v>3.0433823897408656</v>
      </c>
      <c r="CJ115" s="9">
        <v>1</v>
      </c>
      <c r="CK115" s="9">
        <f t="shared" si="252"/>
        <v>304.33823897408661</v>
      </c>
      <c r="CM115" s="4">
        <f t="shared" si="206"/>
        <v>1.3116247118041748</v>
      </c>
      <c r="CN115" s="4">
        <f t="shared" si="324"/>
        <v>1.0924564066911284</v>
      </c>
      <c r="CO115" s="4">
        <f t="shared" si="208"/>
        <v>1.6112237033175585</v>
      </c>
      <c r="CP115" s="4">
        <f t="shared" si="209"/>
        <v>1.1566078623132587</v>
      </c>
      <c r="CQ115" s="4">
        <f t="shared" si="210"/>
        <v>0.89784065148977055</v>
      </c>
      <c r="CR115" s="4">
        <f t="shared" si="211"/>
        <v>0.97816940092545301</v>
      </c>
      <c r="CS115" s="4">
        <f t="shared" si="143"/>
        <v>0.97704954588321469</v>
      </c>
      <c r="CU115" s="4">
        <f t="shared" si="212"/>
        <v>1.3116247118041748</v>
      </c>
      <c r="CV115" s="4">
        <f t="shared" si="212"/>
        <v>1.0924564066911284</v>
      </c>
      <c r="CW115" s="4">
        <f t="shared" si="213"/>
        <v>1.1566078623132587</v>
      </c>
      <c r="CX115" s="4">
        <f t="shared" si="325"/>
        <v>0.97704954588321469</v>
      </c>
      <c r="CY115" s="4">
        <f t="shared" si="215"/>
        <v>0.89784065148977055</v>
      </c>
      <c r="CZ115" s="4">
        <f t="shared" si="215"/>
        <v>0.97816940092545301</v>
      </c>
      <c r="DH115" s="4">
        <f t="shared" si="167"/>
        <v>0</v>
      </c>
      <c r="DI115" s="4">
        <f t="shared" si="168"/>
        <v>304.79999999999995</v>
      </c>
      <c r="DJ115" s="4">
        <f t="shared" si="169"/>
        <v>0.83333333333333348</v>
      </c>
      <c r="DL115" s="4">
        <f t="shared" si="170"/>
        <v>2.0812659450250191E-5</v>
      </c>
      <c r="DM115" s="4">
        <f t="shared" si="171"/>
        <v>4.7133891591304096</v>
      </c>
      <c r="DN115" s="4">
        <f t="shared" si="326"/>
        <v>0.48548741257573685</v>
      </c>
      <c r="DO115" s="4">
        <f t="shared" si="253"/>
        <v>3.5302420875441731</v>
      </c>
      <c r="DP115" s="4">
        <f t="shared" si="254"/>
        <v>4.1641367211228433</v>
      </c>
      <c r="DQ115" s="4">
        <f t="shared" si="255"/>
        <v>4.5000789838262119</v>
      </c>
      <c r="DR115" s="38">
        <f t="shared" si="275"/>
        <v>392.05175151730191</v>
      </c>
      <c r="DS115" s="4">
        <f t="shared" si="256"/>
        <v>1.0001210089514805</v>
      </c>
      <c r="DT115" s="4">
        <f t="shared" si="147"/>
        <v>2.2449944320643649</v>
      </c>
      <c r="DU115" s="4">
        <f t="shared" si="276"/>
        <v>229.83534965806339</v>
      </c>
      <c r="DY115" s="4">
        <f t="shared" si="235"/>
        <v>1</v>
      </c>
      <c r="DZ115" s="4">
        <f t="shared" si="257"/>
        <v>0.9</v>
      </c>
      <c r="EA115" s="4">
        <f t="shared" si="258"/>
        <v>1</v>
      </c>
      <c r="EB115" s="4">
        <f t="shared" si="259"/>
        <v>0.9</v>
      </c>
      <c r="ED115" s="4">
        <f t="shared" si="277"/>
        <v>359.85586920524224</v>
      </c>
      <c r="EE115" s="25">
        <f t="shared" si="318"/>
        <v>226.1749676920474</v>
      </c>
      <c r="EH115" s="4">
        <f t="shared" si="314"/>
        <v>4.7133891591304096</v>
      </c>
      <c r="EI115" s="4">
        <f t="shared" si="174"/>
        <v>4.7133891591304096</v>
      </c>
      <c r="EK115" s="4">
        <f t="shared" si="175"/>
        <v>57.022858574434863</v>
      </c>
      <c r="EL115" s="4">
        <f t="shared" si="176"/>
        <v>2.2449944320643649</v>
      </c>
      <c r="EM115" s="4">
        <f t="shared" si="177"/>
        <v>0.13536298215194248</v>
      </c>
      <c r="EP115" s="4">
        <f t="shared" si="178"/>
        <v>0.13536298215194248</v>
      </c>
      <c r="EQ115" s="4">
        <f t="shared" si="179"/>
        <v>0.48467722456670143</v>
      </c>
      <c r="ER115" s="4">
        <f t="shared" si="180"/>
        <v>3.5278843802733877</v>
      </c>
      <c r="ES115" s="4">
        <f t="shared" si="236"/>
        <v>4.1631382619256057</v>
      </c>
      <c r="ET115" s="4">
        <f t="shared" si="182"/>
        <v>171.57714142556512</v>
      </c>
      <c r="EU115" s="4">
        <f t="shared" si="183"/>
        <v>76.199999999999989</v>
      </c>
      <c r="EV115" s="4">
        <f t="shared" si="261"/>
        <v>2.0812659450250191E-5</v>
      </c>
      <c r="EW115" s="4">
        <f t="shared" si="237"/>
        <v>4.5001385269374961</v>
      </c>
      <c r="EX115" s="4">
        <f t="shared" si="185"/>
        <v>392.00431548610914</v>
      </c>
      <c r="EY115" s="4">
        <f t="shared" si="186"/>
        <v>171.57714142556512</v>
      </c>
      <c r="EZ115" s="4">
        <f t="shared" si="187"/>
        <v>25.40000000000002</v>
      </c>
      <c r="FB115" s="4">
        <f t="shared" si="262"/>
        <v>36.001108215499926</v>
      </c>
      <c r="FG115" s="23">
        <f t="shared" si="216"/>
        <v>1.4</v>
      </c>
      <c r="FH115" s="23">
        <f t="shared" si="216"/>
        <v>1.2</v>
      </c>
      <c r="FI115" s="23">
        <f t="shared" si="230"/>
        <v>1</v>
      </c>
      <c r="FJ115" s="23">
        <f t="shared" si="217"/>
        <v>1.2</v>
      </c>
      <c r="FK115" s="23">
        <f t="shared" si="217"/>
        <v>1</v>
      </c>
      <c r="FL115" s="23">
        <f t="shared" si="217"/>
        <v>1</v>
      </c>
      <c r="FM115" s="23">
        <f t="shared" si="218"/>
        <v>0</v>
      </c>
      <c r="FN115" s="23"/>
      <c r="FX115" s="4">
        <f t="shared" si="263"/>
        <v>1</v>
      </c>
      <c r="FY115" s="4">
        <f t="shared" si="303"/>
        <v>0.75</v>
      </c>
      <c r="FZ115" s="4">
        <f t="shared" si="265"/>
        <v>0</v>
      </c>
      <c r="GA115" s="4">
        <f t="shared" si="266"/>
        <v>360.2683215842506</v>
      </c>
    </row>
    <row r="116" spans="1:188" ht="12" hidden="1" customHeight="1" x14ac:dyDescent="0.3">
      <c r="A116" s="25">
        <v>98</v>
      </c>
      <c r="B116" s="20" t="s">
        <v>54</v>
      </c>
      <c r="C116" s="20">
        <v>2006</v>
      </c>
      <c r="D116" s="20" t="s">
        <v>293</v>
      </c>
      <c r="E116" s="24"/>
      <c r="F116" s="7" t="s">
        <v>68</v>
      </c>
      <c r="G116" s="7">
        <v>472</v>
      </c>
      <c r="H116" s="7">
        <f t="shared" si="315"/>
        <v>355.59999999999997</v>
      </c>
      <c r="I116" s="7">
        <f t="shared" ref="I116" si="327">K116*M116</f>
        <v>304.79999999999995</v>
      </c>
      <c r="J116" s="7">
        <v>24</v>
      </c>
      <c r="K116" s="7">
        <v>25.4</v>
      </c>
      <c r="L116" s="7">
        <v>14</v>
      </c>
      <c r="M116" s="7">
        <v>12</v>
      </c>
      <c r="N116" s="7">
        <f t="shared" si="321"/>
        <v>914.4</v>
      </c>
      <c r="O116" s="7">
        <f t="shared" si="316"/>
        <v>127</v>
      </c>
      <c r="P116" s="7"/>
      <c r="Q116" s="7">
        <f t="shared" si="309"/>
        <v>101.6</v>
      </c>
      <c r="R116" s="7">
        <v>3</v>
      </c>
      <c r="S116" s="7">
        <f t="shared" si="310"/>
        <v>50.8</v>
      </c>
      <c r="T116" s="7">
        <f t="shared" si="304"/>
        <v>2.5</v>
      </c>
      <c r="U116" s="7">
        <f t="shared" si="322"/>
        <v>2.5</v>
      </c>
      <c r="V116" s="7">
        <v>4.04</v>
      </c>
      <c r="W116" s="7">
        <f t="shared" si="152"/>
        <v>4.04</v>
      </c>
      <c r="X116" s="7">
        <f t="shared" si="242"/>
        <v>5.04</v>
      </c>
      <c r="Y116" s="7">
        <f t="shared" si="200"/>
        <v>57.022858574434863</v>
      </c>
      <c r="Z116" s="7"/>
      <c r="AA116" s="7"/>
      <c r="AB116" s="7">
        <v>448</v>
      </c>
      <c r="AC116" s="7"/>
      <c r="AD116" s="7">
        <f>CQ116</f>
        <v>1.1499959349398579</v>
      </c>
      <c r="AE116" s="7"/>
      <c r="AF116" s="7"/>
      <c r="AG116" s="7">
        <v>1</v>
      </c>
      <c r="AH116" s="7"/>
      <c r="AI116" s="7"/>
      <c r="AJ116" s="7"/>
      <c r="AK116" s="4">
        <f t="shared" si="279"/>
        <v>355.59999999999997</v>
      </c>
      <c r="AL116" s="44">
        <f t="shared" si="311"/>
        <v>0.20408163265306123</v>
      </c>
      <c r="AM116" s="25">
        <f t="shared" si="268"/>
        <v>216.10742071360642</v>
      </c>
      <c r="AN116" s="4">
        <f t="shared" si="269"/>
        <v>0.73571428571428565</v>
      </c>
      <c r="AO116" s="4">
        <v>1.25</v>
      </c>
      <c r="AP116" s="25">
        <f t="shared" si="317"/>
        <v>5</v>
      </c>
      <c r="AQ116" s="38">
        <f t="shared" si="271"/>
        <v>202.79759779064742</v>
      </c>
      <c r="AR116" s="38">
        <f t="shared" si="272"/>
        <v>202.79759779064742</v>
      </c>
      <c r="AT116" s="38">
        <f t="shared" si="308"/>
        <v>202.79759779064733</v>
      </c>
      <c r="AU116" s="38">
        <f t="shared" si="243"/>
        <v>1.0000000000000004</v>
      </c>
      <c r="AV116" s="38">
        <f t="shared" ref="AV116:AV179" si="328">AZ116/AT116</f>
        <v>1.1893484811190644</v>
      </c>
      <c r="AW116" s="4">
        <f t="shared" si="323"/>
        <v>0</v>
      </c>
      <c r="AX116" s="4">
        <f t="shared" si="220"/>
        <v>309.40923066734877</v>
      </c>
      <c r="AY116" s="4">
        <f t="shared" si="221"/>
        <v>1</v>
      </c>
      <c r="AZ116" s="38">
        <f t="shared" si="273"/>
        <v>241.19701490690136</v>
      </c>
      <c r="BA116" s="4">
        <f t="shared" si="222"/>
        <v>0.43440000000000001</v>
      </c>
      <c r="BB116" s="4">
        <f t="shared" si="244"/>
        <v>70.227850721490825</v>
      </c>
      <c r="BC116" s="4">
        <f t="shared" si="245"/>
        <v>311.42486562839218</v>
      </c>
      <c r="BE116" s="36">
        <f t="shared" si="312"/>
        <v>1.1274999999999999</v>
      </c>
      <c r="BF116" s="36">
        <f t="shared" si="313"/>
        <v>227.57229404301393</v>
      </c>
      <c r="BK116" s="4">
        <f t="shared" si="156"/>
        <v>57.199999999999996</v>
      </c>
      <c r="BL116" s="4">
        <f t="shared" si="157"/>
        <v>50.8</v>
      </c>
      <c r="BM116" s="4">
        <f t="shared" si="158"/>
        <v>57.199999999999996</v>
      </c>
      <c r="BN116" s="4">
        <f t="shared" si="159"/>
        <v>63.5</v>
      </c>
      <c r="BO116" s="4">
        <f t="shared" si="160"/>
        <v>1.0125984251968505</v>
      </c>
      <c r="BP116" s="25">
        <f t="shared" si="274"/>
        <v>2.5314960629921264</v>
      </c>
      <c r="BR116" s="4">
        <f t="shared" si="161"/>
        <v>50.8</v>
      </c>
      <c r="BV116" s="9"/>
      <c r="BX116" s="9"/>
      <c r="BY116" s="9"/>
      <c r="BZ116" s="9">
        <f t="shared" si="231"/>
        <v>50.8</v>
      </c>
      <c r="CA116" s="9">
        <f t="shared" si="232"/>
        <v>127</v>
      </c>
      <c r="CB116" s="9">
        <f t="shared" si="248"/>
        <v>1.622579553879709</v>
      </c>
      <c r="CC116" s="9">
        <v>0</v>
      </c>
      <c r="CD116" s="9">
        <f t="shared" si="306"/>
        <v>0</v>
      </c>
      <c r="CE116" s="9">
        <f t="shared" si="249"/>
        <v>0</v>
      </c>
      <c r="CF116" s="9">
        <f t="shared" si="233"/>
        <v>0.99524931562137331</v>
      </c>
      <c r="CG116" s="9">
        <f t="shared" si="234"/>
        <v>1.056</v>
      </c>
      <c r="CH116" s="9">
        <f t="shared" si="250"/>
        <v>1.8020609303015322</v>
      </c>
      <c r="CI116" s="9">
        <f t="shared" si="251"/>
        <v>2.9239872203527137</v>
      </c>
      <c r="CJ116" s="9">
        <v>1</v>
      </c>
      <c r="CK116" s="9">
        <f t="shared" si="252"/>
        <v>315.79061979809308</v>
      </c>
      <c r="CM116" s="4">
        <f t="shared" si="206"/>
        <v>1.4479206035118344</v>
      </c>
      <c r="CN116" s="4">
        <f t="shared" si="324"/>
        <v>1.4385492279045442</v>
      </c>
      <c r="CO116" s="4">
        <f t="shared" si="208"/>
        <v>1.9686051937206492</v>
      </c>
      <c r="CP116" s="4">
        <f t="shared" si="209"/>
        <v>1.4186615178324093</v>
      </c>
      <c r="CQ116" s="4">
        <f t="shared" si="210"/>
        <v>1.1499959349398579</v>
      </c>
      <c r="CR116" s="4">
        <f t="shared" si="211"/>
        <v>1.2586178925728151</v>
      </c>
      <c r="CS116" s="4">
        <f t="shared" ref="CS116:CS152" si="329">AB116/GA116</f>
        <v>1.0874158894424537</v>
      </c>
      <c r="CU116" s="4">
        <f t="shared" si="212"/>
        <v>1.4479206035118344</v>
      </c>
      <c r="CV116" s="4">
        <f t="shared" si="212"/>
        <v>1.4385492279045442</v>
      </c>
      <c r="CW116" s="4">
        <f t="shared" si="213"/>
        <v>1.4186615178324093</v>
      </c>
      <c r="CX116" s="4">
        <f t="shared" si="325"/>
        <v>1.0874158894424537</v>
      </c>
      <c r="CY116" s="4">
        <f t="shared" si="215"/>
        <v>1.1499959349398579</v>
      </c>
      <c r="CZ116" s="4">
        <f t="shared" si="215"/>
        <v>1.2586178925728151</v>
      </c>
      <c r="DH116" s="4">
        <f t="shared" si="167"/>
        <v>0</v>
      </c>
      <c r="DI116" s="4">
        <f t="shared" si="168"/>
        <v>355.59999999999997</v>
      </c>
      <c r="DJ116" s="4">
        <f t="shared" si="169"/>
        <v>0.8571428571428571</v>
      </c>
      <c r="DL116" s="4">
        <f t="shared" si="170"/>
        <v>2.3917826242187019E-5</v>
      </c>
      <c r="DM116" s="4">
        <f t="shared" si="171"/>
        <v>4.5284778252987881</v>
      </c>
      <c r="DN116" s="4">
        <f t="shared" si="326"/>
        <v>0.46407274282351607</v>
      </c>
      <c r="DO116" s="4">
        <f t="shared" si="253"/>
        <v>3.3310923253526261</v>
      </c>
      <c r="DP116" s="4">
        <f t="shared" si="254"/>
        <v>3.9752312241934411</v>
      </c>
      <c r="DQ116" s="4">
        <f t="shared" si="255"/>
        <v>4.2656985083286569</v>
      </c>
      <c r="DR116" s="38">
        <f t="shared" si="275"/>
        <v>389.56659444490072</v>
      </c>
      <c r="DS116" s="4">
        <f t="shared" si="256"/>
        <v>1.0001277345891553</v>
      </c>
      <c r="DT116" s="4">
        <f t="shared" ref="DT116:DT152" si="330">Y116/K116</f>
        <v>2.2449944320643649</v>
      </c>
      <c r="DU116" s="4">
        <f t="shared" si="276"/>
        <v>202.79759779064733</v>
      </c>
      <c r="DY116" s="4">
        <f t="shared" si="235"/>
        <v>1</v>
      </c>
      <c r="DZ116" s="4">
        <f t="shared" si="257"/>
        <v>0.9</v>
      </c>
      <c r="EA116" s="4">
        <f t="shared" si="258"/>
        <v>1</v>
      </c>
      <c r="EB116" s="4">
        <f t="shared" si="259"/>
        <v>0.9</v>
      </c>
      <c r="ED116" s="4">
        <f t="shared" si="277"/>
        <v>355.94599651226696</v>
      </c>
      <c r="EE116" s="25">
        <f t="shared" si="318"/>
        <v>199.87606876269541</v>
      </c>
      <c r="EH116" s="4">
        <f t="shared" si="314"/>
        <v>4.5284778252987881</v>
      </c>
      <c r="EI116" s="4">
        <f t="shared" si="174"/>
        <v>4.5284778252987881</v>
      </c>
      <c r="EK116" s="4">
        <f t="shared" si="175"/>
        <v>57.022858574434863</v>
      </c>
      <c r="EL116" s="4">
        <f t="shared" si="176"/>
        <v>2.2449944320643649</v>
      </c>
      <c r="EM116" s="4">
        <f t="shared" si="177"/>
        <v>0.12431597694767015</v>
      </c>
      <c r="EP116" s="4">
        <f t="shared" si="178"/>
        <v>0.12431597694767015</v>
      </c>
      <c r="EQ116" s="4">
        <f t="shared" si="179"/>
        <v>0.4632982919071455</v>
      </c>
      <c r="ER116" s="4">
        <f t="shared" si="180"/>
        <v>3.3288676222301832</v>
      </c>
      <c r="ES116" s="4">
        <f t="shared" si="236"/>
        <v>3.974300138507024</v>
      </c>
      <c r="ET116" s="4">
        <f t="shared" si="182"/>
        <v>209.67714142556514</v>
      </c>
      <c r="EU116" s="4">
        <f t="shared" si="183"/>
        <v>88.899999999999977</v>
      </c>
      <c r="EV116" s="4">
        <f t="shared" si="261"/>
        <v>2.3917826242187016E-5</v>
      </c>
      <c r="EW116" s="4">
        <f t="shared" si="237"/>
        <v>4.2657676141221827</v>
      </c>
      <c r="EX116" s="4">
        <f t="shared" si="185"/>
        <v>389.51683967141622</v>
      </c>
      <c r="EY116" s="4">
        <f t="shared" si="186"/>
        <v>209.67714142556514</v>
      </c>
      <c r="EZ116" s="4">
        <f t="shared" si="187"/>
        <v>38.099999999999952</v>
      </c>
      <c r="FB116" s="4">
        <f t="shared" si="262"/>
        <v>34.126140912977519</v>
      </c>
      <c r="FG116" s="23">
        <f t="shared" si="216"/>
        <v>1.6</v>
      </c>
      <c r="FH116" s="23">
        <f t="shared" si="216"/>
        <v>1.6</v>
      </c>
      <c r="FI116" s="23">
        <f t="shared" si="230"/>
        <v>1.2</v>
      </c>
      <c r="FJ116" s="23">
        <f t="shared" si="217"/>
        <v>1.6</v>
      </c>
      <c r="FK116" s="23">
        <f t="shared" si="217"/>
        <v>1.2</v>
      </c>
      <c r="FL116" s="23">
        <f t="shared" si="217"/>
        <v>1.4</v>
      </c>
      <c r="FM116" s="23">
        <f t="shared" si="218"/>
        <v>0</v>
      </c>
      <c r="FN116" s="23"/>
      <c r="FX116" s="4">
        <f t="shared" si="263"/>
        <v>1</v>
      </c>
      <c r="FY116" s="4">
        <f t="shared" si="303"/>
        <v>0.75</v>
      </c>
      <c r="FZ116" s="4">
        <f t="shared" si="265"/>
        <v>0</v>
      </c>
      <c r="GA116" s="4">
        <f t="shared" si="266"/>
        <v>411.98588723004701</v>
      </c>
      <c r="GC116" s="4">
        <f>25.4^0.5/145^0.75/0.0024</f>
        <v>50.255039065656455</v>
      </c>
      <c r="GD116" s="4">
        <f>1/GC116</f>
        <v>1.989850209236799E-2</v>
      </c>
    </row>
    <row r="117" spans="1:188" s="19" customFormat="1" ht="12" hidden="1" customHeight="1" x14ac:dyDescent="0.3">
      <c r="A117" s="25">
        <v>99</v>
      </c>
      <c r="B117" s="20" t="s">
        <v>54</v>
      </c>
      <c r="C117" s="20">
        <v>2007</v>
      </c>
      <c r="D117" s="20" t="s">
        <v>293</v>
      </c>
      <c r="E117" s="20" t="s">
        <v>296</v>
      </c>
      <c r="F117" s="21" t="s">
        <v>68</v>
      </c>
      <c r="G117" s="21">
        <v>472</v>
      </c>
      <c r="H117" s="21">
        <v>0</v>
      </c>
      <c r="I117" s="21">
        <v>0</v>
      </c>
      <c r="J117" s="21">
        <v>24</v>
      </c>
      <c r="K117" s="21">
        <v>25.4</v>
      </c>
      <c r="L117" s="21">
        <v>14</v>
      </c>
      <c r="M117" s="21">
        <v>12</v>
      </c>
      <c r="N117" s="21">
        <f t="shared" si="321"/>
        <v>914.4</v>
      </c>
      <c r="O117" s="21">
        <f t="shared" si="316"/>
        <v>127</v>
      </c>
      <c r="P117" s="21"/>
      <c r="Q117" s="21">
        <f t="shared" si="309"/>
        <v>101.6</v>
      </c>
      <c r="R117" s="21">
        <v>3</v>
      </c>
      <c r="S117" s="21">
        <f t="shared" si="310"/>
        <v>50.8</v>
      </c>
      <c r="T117" s="21">
        <f t="shared" si="304"/>
        <v>2.5</v>
      </c>
      <c r="U117" s="21">
        <f t="shared" si="322"/>
        <v>2.5</v>
      </c>
      <c r="V117" s="21">
        <v>4.04</v>
      </c>
      <c r="W117" s="21">
        <f t="shared" si="152"/>
        <v>4.04</v>
      </c>
      <c r="X117" s="21">
        <f t="shared" si="242"/>
        <v>5.04</v>
      </c>
      <c r="Y117" s="21">
        <f t="shared" si="200"/>
        <v>57.022858574434863</v>
      </c>
      <c r="Z117" s="21"/>
      <c r="AA117" s="21"/>
      <c r="AB117" s="21">
        <v>375</v>
      </c>
      <c r="AC117" s="21"/>
      <c r="AD117" s="21"/>
      <c r="AE117" s="21"/>
      <c r="AF117" s="21"/>
      <c r="AG117" s="21">
        <v>1</v>
      </c>
      <c r="AH117" s="21"/>
      <c r="AI117" s="21"/>
      <c r="AJ117" s="21"/>
      <c r="AK117" s="19">
        <f t="shared" si="279"/>
        <v>0</v>
      </c>
      <c r="AL117" s="19" t="e">
        <f t="shared" si="311"/>
        <v>#DIV/0!</v>
      </c>
      <c r="AM117" s="19">
        <f t="shared" si="268"/>
        <v>0</v>
      </c>
      <c r="AN117" s="19" t="e">
        <f t="shared" si="269"/>
        <v>#DIV/0!</v>
      </c>
      <c r="AO117" s="19">
        <v>1.25</v>
      </c>
      <c r="AP117" s="19">
        <f t="shared" si="317"/>
        <v>5</v>
      </c>
      <c r="AQ117" s="19" t="e">
        <f t="shared" si="271"/>
        <v>#DIV/0!</v>
      </c>
      <c r="AR117" s="19" t="e">
        <f t="shared" si="272"/>
        <v>#DIV/0!</v>
      </c>
      <c r="AT117" s="19" t="e">
        <f t="shared" si="308"/>
        <v>#DIV/0!</v>
      </c>
      <c r="AU117" s="19" t="e">
        <f t="shared" si="243"/>
        <v>#DIV/0!</v>
      </c>
      <c r="AX117" s="19">
        <f t="shared" si="220"/>
        <v>0</v>
      </c>
      <c r="AY117" s="19">
        <f t="shared" si="221"/>
        <v>1</v>
      </c>
      <c r="AZ117" s="19">
        <f t="shared" si="273"/>
        <v>241.19701490690136</v>
      </c>
      <c r="BA117" s="19">
        <f t="shared" si="222"/>
        <v>0.43440000000000001</v>
      </c>
      <c r="BB117" s="19">
        <f t="shared" si="244"/>
        <v>0</v>
      </c>
      <c r="BC117" s="19">
        <f t="shared" si="245"/>
        <v>241.19701490690136</v>
      </c>
      <c r="BE117" s="19">
        <f t="shared" si="312"/>
        <v>1.1274999999999999</v>
      </c>
      <c r="BF117" s="19">
        <f t="shared" si="313"/>
        <v>227.57229404301393</v>
      </c>
      <c r="BK117" s="19">
        <f t="shared" si="156"/>
        <v>57.199999999999996</v>
      </c>
      <c r="BL117" s="19">
        <f t="shared" si="157"/>
        <v>50.8</v>
      </c>
      <c r="BM117" s="19">
        <f t="shared" si="158"/>
        <v>57.199999999999996</v>
      </c>
      <c r="BN117" s="19">
        <f t="shared" si="159"/>
        <v>63.5</v>
      </c>
      <c r="BO117" s="19">
        <f t="shared" si="160"/>
        <v>1.0125984251968505</v>
      </c>
      <c r="BP117" s="25">
        <f t="shared" si="274"/>
        <v>2.5314960629921264</v>
      </c>
      <c r="BR117" s="19">
        <f t="shared" ref="BR117:BR180" si="331">IF(Q117=0,O117,MIN(Q117/2,O117))</f>
        <v>50.8</v>
      </c>
      <c r="BV117" s="18"/>
      <c r="BX117" s="18"/>
      <c r="BY117" s="18"/>
      <c r="BZ117" s="18">
        <f>IF(Q117=0,MIN(O117,P117),MIN(Q117/2,O117,P117))</f>
        <v>50.8</v>
      </c>
      <c r="CA117" s="18">
        <f t="shared" si="232"/>
        <v>127</v>
      </c>
      <c r="CB117" s="18">
        <f t="shared" si="248"/>
        <v>1.622579553879709</v>
      </c>
      <c r="CC117" s="18">
        <v>0</v>
      </c>
      <c r="CD117" s="18">
        <f t="shared" si="306"/>
        <v>0</v>
      </c>
      <c r="CE117" s="18">
        <f t="shared" si="249"/>
        <v>0</v>
      </c>
      <c r="CF117" s="18">
        <f t="shared" si="233"/>
        <v>0.99524931562137331</v>
      </c>
      <c r="CG117" s="18">
        <f t="shared" si="234"/>
        <v>1.056</v>
      </c>
      <c r="CH117" s="18">
        <f t="shared" si="250"/>
        <v>1.8020609303015322</v>
      </c>
      <c r="CI117" s="18">
        <f t="shared" si="251"/>
        <v>2.9239872203527137</v>
      </c>
      <c r="CJ117" s="18">
        <v>1</v>
      </c>
      <c r="CK117" s="18">
        <f t="shared" si="252"/>
        <v>315.79061979809308</v>
      </c>
      <c r="DH117" s="19">
        <f t="shared" si="167"/>
        <v>0</v>
      </c>
      <c r="DI117" s="19">
        <f t="shared" si="168"/>
        <v>0</v>
      </c>
      <c r="DJ117" s="19" t="e">
        <f t="shared" si="169"/>
        <v>#DIV/0!</v>
      </c>
      <c r="DL117" s="19">
        <f t="shared" si="170"/>
        <v>0</v>
      </c>
      <c r="DM117" s="19">
        <f t="shared" si="171"/>
        <v>4.5284778252987881</v>
      </c>
      <c r="DR117" s="38" t="e">
        <f t="shared" si="275"/>
        <v>#DIV/0!</v>
      </c>
      <c r="DS117" s="19" t="e">
        <f t="shared" si="256"/>
        <v>#DIV/0!</v>
      </c>
      <c r="DU117" s="4" t="e">
        <f t="shared" si="276"/>
        <v>#DIV/0!</v>
      </c>
      <c r="DY117" s="19">
        <f t="shared" si="235"/>
        <v>1</v>
      </c>
      <c r="DZ117" s="19">
        <f t="shared" si="257"/>
        <v>0.9</v>
      </c>
      <c r="EA117" s="19">
        <f t="shared" si="258"/>
        <v>1</v>
      </c>
      <c r="EB117" s="19">
        <f t="shared" si="259"/>
        <v>0.9</v>
      </c>
      <c r="ED117" s="4" t="e">
        <f t="shared" si="277"/>
        <v>#DIV/0!</v>
      </c>
      <c r="EE117" s="25" t="e">
        <f t="shared" si="318"/>
        <v>#DIV/0!</v>
      </c>
      <c r="EH117" s="19">
        <f t="shared" si="314"/>
        <v>4.5284778252987881</v>
      </c>
      <c r="EI117" s="19">
        <f t="shared" si="174"/>
        <v>4.5284778252987881</v>
      </c>
      <c r="EK117" s="19">
        <f t="shared" si="175"/>
        <v>57.022858574434863</v>
      </c>
      <c r="EL117" s="19">
        <f t="shared" si="176"/>
        <v>2.2449944320643649</v>
      </c>
      <c r="EM117" s="19" t="e">
        <f t="shared" si="177"/>
        <v>#DIV/0!</v>
      </c>
      <c r="EP117" s="19" t="e">
        <f t="shared" ref="EP117:EP180" si="332">EM117</f>
        <v>#DIV/0!</v>
      </c>
      <c r="EQ117" s="19" t="e">
        <f t="shared" ref="EQ117:EQ180" si="333">MIN(0.999, EP117/(0.3*(J117/30)^0.5))</f>
        <v>#DIV/0!</v>
      </c>
      <c r="ER117" s="19" t="e">
        <f t="shared" si="180"/>
        <v>#DIV/0!</v>
      </c>
      <c r="ES117" s="19" t="e">
        <f t="shared" si="236"/>
        <v>#DIV/0!</v>
      </c>
      <c r="ET117" s="19">
        <f t="shared" si="182"/>
        <v>0</v>
      </c>
      <c r="EU117" s="19">
        <f t="shared" si="183"/>
        <v>0</v>
      </c>
      <c r="EV117" s="19">
        <f t="shared" si="261"/>
        <v>0</v>
      </c>
      <c r="EW117" s="19" t="e">
        <f t="shared" si="237"/>
        <v>#DIV/0!</v>
      </c>
      <c r="EX117" s="19" t="e">
        <f t="shared" si="185"/>
        <v>#DIV/0!</v>
      </c>
      <c r="EY117" s="19" t="e">
        <f t="shared" si="186"/>
        <v>#DIV/0!</v>
      </c>
      <c r="EZ117" s="19" t="e">
        <f t="shared" si="187"/>
        <v>#DIV/0!</v>
      </c>
      <c r="FG117" s="22"/>
      <c r="FH117" s="22"/>
      <c r="FI117" s="22"/>
      <c r="FJ117" s="22"/>
      <c r="FK117" s="22"/>
      <c r="FL117" s="22"/>
      <c r="FM117" s="22"/>
      <c r="FN117" s="22"/>
      <c r="FX117" s="19">
        <f t="shared" si="263"/>
        <v>1</v>
      </c>
      <c r="FY117" s="19">
        <f t="shared" si="303"/>
        <v>0.75</v>
      </c>
      <c r="FZ117" s="19">
        <f t="shared" si="265"/>
        <v>0</v>
      </c>
      <c r="GA117" s="19">
        <f t="shared" si="266"/>
        <v>0</v>
      </c>
    </row>
    <row r="118" spans="1:188" ht="12" hidden="1" customHeight="1" x14ac:dyDescent="0.3">
      <c r="A118" s="25">
        <v>100</v>
      </c>
      <c r="B118" s="20" t="s">
        <v>54</v>
      </c>
      <c r="C118" s="20">
        <v>2008</v>
      </c>
      <c r="D118" s="20" t="s">
        <v>293</v>
      </c>
      <c r="E118" s="24" t="s">
        <v>72</v>
      </c>
      <c r="F118" s="7" t="s">
        <v>281</v>
      </c>
      <c r="G118" s="7">
        <v>472</v>
      </c>
      <c r="H118" s="7">
        <f t="shared" si="315"/>
        <v>203.2</v>
      </c>
      <c r="I118" s="7">
        <f>K118*M118</f>
        <v>152.39999999999998</v>
      </c>
      <c r="J118" s="7">
        <v>29</v>
      </c>
      <c r="K118" s="7">
        <v>25.4</v>
      </c>
      <c r="L118" s="7">
        <v>8</v>
      </c>
      <c r="M118" s="7">
        <v>6</v>
      </c>
      <c r="N118" s="7">
        <f t="shared" si="321"/>
        <v>914.4</v>
      </c>
      <c r="O118" s="7">
        <f t="shared" si="316"/>
        <v>127</v>
      </c>
      <c r="P118" s="7"/>
      <c r="Q118" s="7">
        <f t="shared" si="309"/>
        <v>101.6</v>
      </c>
      <c r="R118" s="7">
        <v>3</v>
      </c>
      <c r="S118" s="7">
        <f t="shared" si="310"/>
        <v>50.8</v>
      </c>
      <c r="T118" s="7">
        <f t="shared" si="304"/>
        <v>2.5</v>
      </c>
      <c r="U118" s="7">
        <f t="shared" si="322"/>
        <v>2.5</v>
      </c>
      <c r="V118" s="7">
        <v>4.7</v>
      </c>
      <c r="W118" s="7">
        <f t="shared" si="152"/>
        <v>4.7</v>
      </c>
      <c r="X118" s="7">
        <f t="shared" si="242"/>
        <v>5.7</v>
      </c>
      <c r="Y118" s="7">
        <f t="shared" si="200"/>
        <v>60.641668842471674</v>
      </c>
      <c r="Z118" s="7"/>
      <c r="AA118" s="7"/>
      <c r="AB118" s="7">
        <v>378</v>
      </c>
      <c r="AC118" s="7"/>
      <c r="AD118" s="7">
        <f t="shared" ref="AD118:AD152" si="334">CQ118</f>
        <v>0.91356273471495697</v>
      </c>
      <c r="AE118" s="7">
        <f>25.4/4</f>
        <v>6.35</v>
      </c>
      <c r="AF118" s="7">
        <v>2</v>
      </c>
      <c r="AG118" s="7">
        <f>H118-2*25.4</f>
        <v>152.39999999999998</v>
      </c>
      <c r="AH118" s="7">
        <v>2</v>
      </c>
      <c r="AI118" s="7">
        <v>2</v>
      </c>
      <c r="AJ118" s="7"/>
      <c r="AK118" s="4">
        <f t="shared" si="279"/>
        <v>203.2</v>
      </c>
      <c r="AL118" s="44">
        <f t="shared" si="311"/>
        <v>0.62500000000000011</v>
      </c>
      <c r="AM118" s="25">
        <f t="shared" si="268"/>
        <v>102.61385063799703</v>
      </c>
      <c r="AN118" s="4">
        <f t="shared" si="269"/>
        <v>0.76249999999999996</v>
      </c>
      <c r="AO118" s="4">
        <v>1.25</v>
      </c>
      <c r="AP118" s="25">
        <f t="shared" si="317"/>
        <v>5</v>
      </c>
      <c r="AQ118" s="38">
        <f t="shared" si="271"/>
        <v>305.63695746669043</v>
      </c>
      <c r="AR118" s="38">
        <f t="shared" si="272"/>
        <v>305.63695746669043</v>
      </c>
      <c r="AT118" s="38">
        <f t="shared" si="308"/>
        <v>305.63695746669049</v>
      </c>
      <c r="AU118" s="38">
        <f t="shared" si="243"/>
        <v>0.99999999999999978</v>
      </c>
      <c r="AV118" s="38">
        <f t="shared" si="328"/>
        <v>1.028516026796602</v>
      </c>
      <c r="AW118" s="4">
        <f t="shared" si="323"/>
        <v>0</v>
      </c>
      <c r="AX118" s="4">
        <f t="shared" si="220"/>
        <v>170.05783601477378</v>
      </c>
      <c r="AY118" s="4">
        <f t="shared" si="221"/>
        <v>1</v>
      </c>
      <c r="AZ118" s="38">
        <f t="shared" si="273"/>
        <v>314.35250913584258</v>
      </c>
      <c r="BA118" s="4">
        <f t="shared" si="222"/>
        <v>0.34199999999999997</v>
      </c>
      <c r="BB118" s="4">
        <f t="shared" si="244"/>
        <v>30.388485006659998</v>
      </c>
      <c r="BC118" s="4">
        <f t="shared" si="245"/>
        <v>344.74099414250259</v>
      </c>
      <c r="BE118" s="36">
        <f t="shared" si="312"/>
        <v>1.2256747704246811</v>
      </c>
      <c r="BF118" s="36">
        <f t="shared" si="313"/>
        <v>208.57455618240351</v>
      </c>
      <c r="BK118" s="4">
        <f t="shared" si="156"/>
        <v>57.199999999999996</v>
      </c>
      <c r="BL118" s="4">
        <f t="shared" si="157"/>
        <v>50.8</v>
      </c>
      <c r="BM118" s="4">
        <f t="shared" si="158"/>
        <v>57.199999999999996</v>
      </c>
      <c r="BN118" s="4">
        <f t="shared" si="159"/>
        <v>63.5</v>
      </c>
      <c r="BO118" s="4">
        <f t="shared" si="160"/>
        <v>1.0125984251968505</v>
      </c>
      <c r="BP118" s="25">
        <f t="shared" si="274"/>
        <v>2.7045530452934567</v>
      </c>
      <c r="BR118" s="4">
        <f t="shared" si="331"/>
        <v>50.8</v>
      </c>
      <c r="BV118" s="9"/>
      <c r="BX118" s="9"/>
      <c r="BY118" s="9"/>
      <c r="BZ118" s="9">
        <f t="shared" si="231"/>
        <v>50.8</v>
      </c>
      <c r="CA118" s="9">
        <f t="shared" si="232"/>
        <v>127</v>
      </c>
      <c r="CB118" s="9">
        <f t="shared" si="248"/>
        <v>1.622579553879709</v>
      </c>
      <c r="CC118" s="9">
        <v>0</v>
      </c>
      <c r="CD118" s="9">
        <f t="shared" si="306"/>
        <v>1.0908307824964559E-2</v>
      </c>
      <c r="CE118" s="9">
        <f t="shared" si="249"/>
        <v>0</v>
      </c>
      <c r="CF118" s="9">
        <f t="shared" si="233"/>
        <v>0.99524931562137331</v>
      </c>
      <c r="CG118" s="9">
        <f t="shared" si="234"/>
        <v>1.056</v>
      </c>
      <c r="CH118" s="9">
        <f t="shared" si="250"/>
        <v>1.9809013552237766</v>
      </c>
      <c r="CI118" s="9">
        <f t="shared" si="251"/>
        <v>3.2141700372387065</v>
      </c>
      <c r="CJ118" s="9">
        <v>1</v>
      </c>
      <c r="CK118" s="9">
        <f t="shared" si="252"/>
        <v>269.99028312805137</v>
      </c>
      <c r="CM118" s="4">
        <f>AB118/AX118</f>
        <v>2.2227731979793113</v>
      </c>
      <c r="CN118" s="4">
        <f>AB118/BC118</f>
        <v>1.0964753435843184</v>
      </c>
      <c r="CO118" s="4">
        <f t="shared" si="208"/>
        <v>1.8123015909449176</v>
      </c>
      <c r="CP118" s="4">
        <f t="shared" ref="CP118:CP152" si="335">AB118/CK118</f>
        <v>1.400050385593772</v>
      </c>
      <c r="CQ118" s="4">
        <f t="shared" si="210"/>
        <v>0.91356273471495697</v>
      </c>
      <c r="CR118" s="4">
        <f t="shared" si="211"/>
        <v>0.98110685664411379</v>
      </c>
      <c r="CS118" s="4">
        <f t="shared" si="329"/>
        <v>1.2496789206294021</v>
      </c>
      <c r="DA118" s="4">
        <f t="shared" si="281"/>
        <v>2.2227731979793113</v>
      </c>
      <c r="DB118" s="4">
        <f t="shared" si="281"/>
        <v>1.0964753435843184</v>
      </c>
      <c r="DC118" s="4">
        <f t="shared" si="282"/>
        <v>1.400050385593772</v>
      </c>
      <c r="DD118" s="4">
        <f t="shared" ref="DD118:DD122" si="336">CS118</f>
        <v>1.2496789206294021</v>
      </c>
      <c r="DE118" s="4">
        <f t="shared" si="284"/>
        <v>0.91356273471495697</v>
      </c>
      <c r="DF118" s="4">
        <f t="shared" si="284"/>
        <v>0.98110685664411379</v>
      </c>
      <c r="DH118" s="4">
        <f t="shared" si="167"/>
        <v>2</v>
      </c>
      <c r="DI118" s="4">
        <f t="shared" si="168"/>
        <v>203.2</v>
      </c>
      <c r="DJ118" s="4">
        <f t="shared" si="169"/>
        <v>0.74999999999999989</v>
      </c>
      <c r="DL118" s="4">
        <f t="shared" si="170"/>
        <v>1.4183544622946906E-5</v>
      </c>
      <c r="DM118" s="4">
        <f t="shared" si="171"/>
        <v>5.3181902694980394</v>
      </c>
      <c r="DN118" s="4">
        <f t="shared" ref="DN118:DN152" si="337">DU118*Y118/257/J118/V118</f>
        <v>0.52911251390174574</v>
      </c>
      <c r="DO118" s="4">
        <f t="shared" si="253"/>
        <v>4.1227128250270235</v>
      </c>
      <c r="DP118" s="4">
        <f t="shared" si="254"/>
        <v>4.7582056908638855</v>
      </c>
      <c r="DQ118" s="4">
        <f t="shared" si="255"/>
        <v>5.1947012258310075</v>
      </c>
      <c r="DR118" s="38">
        <f t="shared" si="275"/>
        <v>413.76468811191245</v>
      </c>
      <c r="DS118" s="4">
        <f t="shared" si="256"/>
        <v>1.0001043862507368</v>
      </c>
      <c r="DT118" s="4">
        <f t="shared" si="330"/>
        <v>2.3874672772626644</v>
      </c>
      <c r="DU118" s="4">
        <f t="shared" si="276"/>
        <v>305.63695746669049</v>
      </c>
      <c r="DY118" s="4">
        <f t="shared" si="235"/>
        <v>1</v>
      </c>
      <c r="DZ118" s="4">
        <f t="shared" si="257"/>
        <v>0.9</v>
      </c>
      <c r="EA118" s="4">
        <f t="shared" si="258"/>
        <v>1</v>
      </c>
      <c r="EB118" s="4">
        <f t="shared" si="259"/>
        <v>0.9</v>
      </c>
      <c r="ED118" s="4">
        <f t="shared" si="277"/>
        <v>385.2791339089739</v>
      </c>
      <c r="EE118" s="25">
        <f t="shared" si="318"/>
        <v>299.20050949470277</v>
      </c>
      <c r="EH118" s="4">
        <f t="shared" si="314"/>
        <v>5.3181902694980394</v>
      </c>
      <c r="EI118" s="4">
        <f t="shared" si="174"/>
        <v>5.3181902694980394</v>
      </c>
      <c r="EK118" s="4">
        <f t="shared" si="175"/>
        <v>60.641668842471674</v>
      </c>
      <c r="EL118" s="4">
        <f t="shared" si="176"/>
        <v>2.3874672772626644</v>
      </c>
      <c r="EM118" s="4">
        <f t="shared" si="177"/>
        <v>0.15580532528546465</v>
      </c>
      <c r="EP118" s="4">
        <f t="shared" si="332"/>
        <v>0.15580532528546465</v>
      </c>
      <c r="EQ118" s="4">
        <f t="shared" si="333"/>
        <v>0.52822952372921106</v>
      </c>
      <c r="ER118" s="4">
        <f t="shared" si="180"/>
        <v>4.1199594302847133</v>
      </c>
      <c r="ES118" s="4">
        <f t="shared" si="236"/>
        <v>4.7570136930794718</v>
      </c>
      <c r="ET118" s="4">
        <f t="shared" si="182"/>
        <v>91.758331157528303</v>
      </c>
      <c r="EU118" s="4">
        <f t="shared" si="183"/>
        <v>50.8</v>
      </c>
      <c r="EV118" s="4">
        <f t="shared" si="261"/>
        <v>1.4183544622946906E-5</v>
      </c>
      <c r="EW118" s="4">
        <f t="shared" si="237"/>
        <v>5.1947427567102205</v>
      </c>
      <c r="EX118" s="4">
        <f t="shared" si="185"/>
        <v>413.72150127554505</v>
      </c>
      <c r="EY118" s="4">
        <f t="shared" si="186"/>
        <v>91.758331157528303</v>
      </c>
      <c r="EZ118" s="4">
        <f t="shared" si="187"/>
        <v>0</v>
      </c>
      <c r="FB118" s="4">
        <f t="shared" ref="FB118:FB152" si="338">4/K118*(1*ER118*EK118+ES118*ET118+EU118*EW118)+DU118 - (4/K118*(1*ER118*EK118+ES118*EY118+EZ118*EW118)+DU118)</f>
        <v>41.557942053681813</v>
      </c>
      <c r="FG118" s="23">
        <f t="shared" ref="FG118:FH152" si="339">IF(CM118&lt;0.6,0.6,IF(CM118&lt;0.8,0.8,IF(CM118&lt;1,1,IF(CM118&lt;1.2,1.2,IF(CM118&lt;1.4,1.4,IF(CM118&lt;1.6,1.6,IF(CM118&lt;1.8,1.8,IF(CM118&lt;2,2,2.2))))))))</f>
        <v>2.2000000000000002</v>
      </c>
      <c r="FH118" s="23">
        <f t="shared" si="339"/>
        <v>1.2</v>
      </c>
      <c r="FI118" s="23">
        <f t="shared" si="230"/>
        <v>1.4</v>
      </c>
      <c r="FJ118" s="23">
        <f t="shared" ref="FJ118:FL152" si="340">IF(CP118&lt;0.6,0.6,IF(CP118&lt;0.8,0.8,IF(CP118&lt;1,1,IF(CP118&lt;1.2,1.2,IF(CP118&lt;1.4,1.4,IF(CP118&lt;1.6,1.6,IF(CP118&lt;1.8,1.8,IF(CP118&lt;2,2,2.2))))))))</f>
        <v>1.6</v>
      </c>
      <c r="FK118" s="23">
        <f t="shared" si="340"/>
        <v>1</v>
      </c>
      <c r="FL118" s="23">
        <f t="shared" si="340"/>
        <v>1</v>
      </c>
      <c r="FM118" s="23">
        <f t="shared" si="218"/>
        <v>0</v>
      </c>
      <c r="FN118" s="23"/>
      <c r="FX118" s="4">
        <f t="shared" si="263"/>
        <v>1</v>
      </c>
      <c r="FY118" s="4">
        <f t="shared" si="303"/>
        <v>0.61201052016364699</v>
      </c>
      <c r="FZ118" s="4">
        <f t="shared" si="265"/>
        <v>8.3333333333333343E-2</v>
      </c>
      <c r="GA118" s="4">
        <f t="shared" si="266"/>
        <v>302.4776954784673</v>
      </c>
      <c r="GC118" s="4">
        <f>(H118)/(K118)^1.5/0.0199*(J118)^0.25/FX118/FY118</f>
        <v>302.45492745592605</v>
      </c>
    </row>
    <row r="119" spans="1:188" ht="12" hidden="1" customHeight="1" x14ac:dyDescent="0.3">
      <c r="A119" s="25">
        <v>101</v>
      </c>
      <c r="B119" s="20" t="s">
        <v>54</v>
      </c>
      <c r="C119" s="20">
        <v>2009</v>
      </c>
      <c r="D119" s="20" t="s">
        <v>293</v>
      </c>
      <c r="E119" s="24"/>
      <c r="F119" s="7" t="s">
        <v>68</v>
      </c>
      <c r="G119" s="7">
        <v>472</v>
      </c>
      <c r="H119" s="7">
        <f t="shared" si="315"/>
        <v>203.2</v>
      </c>
      <c r="I119" s="7">
        <f>K119*M119</f>
        <v>152.39999999999998</v>
      </c>
      <c r="J119" s="7">
        <v>24</v>
      </c>
      <c r="K119" s="7">
        <v>25.4</v>
      </c>
      <c r="L119" s="7">
        <v>8</v>
      </c>
      <c r="M119" s="7">
        <v>6</v>
      </c>
      <c r="N119" s="7">
        <f t="shared" si="321"/>
        <v>914.4</v>
      </c>
      <c r="O119" s="7">
        <f t="shared" si="316"/>
        <v>127</v>
      </c>
      <c r="P119" s="7"/>
      <c r="Q119" s="7">
        <f t="shared" si="309"/>
        <v>101.6</v>
      </c>
      <c r="R119" s="7">
        <v>3</v>
      </c>
      <c r="S119" s="7">
        <f t="shared" si="310"/>
        <v>50.8</v>
      </c>
      <c r="T119" s="7">
        <f t="shared" si="304"/>
        <v>2.5</v>
      </c>
      <c r="U119" s="7">
        <f t="shared" si="322"/>
        <v>2.5</v>
      </c>
      <c r="V119" s="7">
        <v>4.04</v>
      </c>
      <c r="W119" s="7">
        <f t="shared" si="152"/>
        <v>4.04</v>
      </c>
      <c r="X119" s="7">
        <f t="shared" si="242"/>
        <v>5.04</v>
      </c>
      <c r="Y119" s="7">
        <f t="shared" si="200"/>
        <v>57.022858574434863</v>
      </c>
      <c r="Z119" s="7"/>
      <c r="AA119" s="7"/>
      <c r="AB119" s="7">
        <v>373</v>
      </c>
      <c r="AC119" s="7"/>
      <c r="AD119" s="7">
        <f t="shared" si="334"/>
        <v>0.96116962804794615</v>
      </c>
      <c r="AE119" s="7">
        <v>9.5</v>
      </c>
      <c r="AF119" s="7">
        <v>2</v>
      </c>
      <c r="AG119" s="7">
        <f>H119-2*25.4</f>
        <v>152.39999999999998</v>
      </c>
      <c r="AH119" s="7">
        <v>2</v>
      </c>
      <c r="AI119" s="7">
        <v>2</v>
      </c>
      <c r="AJ119" s="7"/>
      <c r="AK119" s="4">
        <f t="shared" si="279"/>
        <v>203.2</v>
      </c>
      <c r="AL119" s="44">
        <f t="shared" si="311"/>
        <v>0.62500000000000011</v>
      </c>
      <c r="AM119" s="25">
        <f t="shared" si="268"/>
        <v>93.349631295316044</v>
      </c>
      <c r="AN119" s="4">
        <f t="shared" si="269"/>
        <v>0.76249999999999996</v>
      </c>
      <c r="AO119" s="4">
        <v>1.25</v>
      </c>
      <c r="AP119" s="25">
        <f t="shared" si="317"/>
        <v>5</v>
      </c>
      <c r="AQ119" s="38">
        <f t="shared" si="271"/>
        <v>278.04333540108786</v>
      </c>
      <c r="AR119" s="38">
        <f t="shared" si="272"/>
        <v>278.04333540108786</v>
      </c>
      <c r="AT119" s="38">
        <f t="shared" si="308"/>
        <v>278.04333540108792</v>
      </c>
      <c r="AU119" s="38">
        <f t="shared" si="243"/>
        <v>0.99999999999999978</v>
      </c>
      <c r="AV119" s="38">
        <f t="shared" si="328"/>
        <v>0.86747993638820953</v>
      </c>
      <c r="AW119" s="4">
        <f t="shared" si="323"/>
        <v>1</v>
      </c>
      <c r="AX119" s="4">
        <f t="shared" si="220"/>
        <v>154.70461533367438</v>
      </c>
      <c r="AY119" s="4">
        <f t="shared" si="221"/>
        <v>1</v>
      </c>
      <c r="AZ119" s="38">
        <f t="shared" si="273"/>
        <v>241.19701490690136</v>
      </c>
      <c r="BA119" s="4">
        <f t="shared" si="222"/>
        <v>0.43440000000000001</v>
      </c>
      <c r="BB119" s="4">
        <f t="shared" si="244"/>
        <v>35.113925360745412</v>
      </c>
      <c r="BC119" s="4">
        <f t="shared" si="245"/>
        <v>276.31094026764674</v>
      </c>
      <c r="BE119" s="36">
        <f t="shared" si="312"/>
        <v>1.3472352106349423</v>
      </c>
      <c r="BF119" s="36">
        <f t="shared" si="313"/>
        <v>208.56245402861074</v>
      </c>
      <c r="BK119" s="4">
        <f>IF(R119=1,O119,MIN(O119,Q119/2+6.4))</f>
        <v>57.199999999999996</v>
      </c>
      <c r="BL119" s="4">
        <f t="shared" si="157"/>
        <v>50.8</v>
      </c>
      <c r="BM119" s="4">
        <f t="shared" si="158"/>
        <v>57.199999999999996</v>
      </c>
      <c r="BN119" s="4">
        <f t="shared" si="159"/>
        <v>63.5</v>
      </c>
      <c r="BO119" s="4">
        <f t="shared" si="160"/>
        <v>1.0125984251968505</v>
      </c>
      <c r="BP119" s="25">
        <f t="shared" si="274"/>
        <v>2.8838632896429117</v>
      </c>
      <c r="BR119" s="4">
        <f t="shared" si="331"/>
        <v>50.8</v>
      </c>
      <c r="BV119" s="9"/>
      <c r="BX119" s="9"/>
      <c r="BY119" s="9"/>
      <c r="BZ119" s="9">
        <f t="shared" si="231"/>
        <v>50.8</v>
      </c>
      <c r="CA119" s="9">
        <f t="shared" si="232"/>
        <v>127</v>
      </c>
      <c r="CB119" s="9">
        <f t="shared" si="248"/>
        <v>1.622579553879709</v>
      </c>
      <c r="CC119" s="9">
        <v>0</v>
      </c>
      <c r="CD119" s="9">
        <f t="shared" si="306"/>
        <v>2.4415023403882487E-2</v>
      </c>
      <c r="CE119" s="9">
        <f t="shared" si="249"/>
        <v>0</v>
      </c>
      <c r="CF119" s="9">
        <f t="shared" si="233"/>
        <v>0.99524931562137331</v>
      </c>
      <c r="CG119" s="9">
        <f t="shared" si="234"/>
        <v>1.056</v>
      </c>
      <c r="CH119" s="9">
        <f t="shared" si="250"/>
        <v>1.8020609303015322</v>
      </c>
      <c r="CI119" s="9">
        <f t="shared" si="251"/>
        <v>2.9239872203527137</v>
      </c>
      <c r="CJ119" s="9">
        <v>1</v>
      </c>
      <c r="CK119" s="9">
        <f t="shared" si="252"/>
        <v>245.61492650962794</v>
      </c>
      <c r="CM119" s="4">
        <f>AB119/AX119</f>
        <v>2.4110463620978315</v>
      </c>
      <c r="CN119" s="4">
        <f>AB119/BC119</f>
        <v>1.3499284524843498</v>
      </c>
      <c r="CO119" s="4">
        <f t="shared" si="208"/>
        <v>1.7884331182103927</v>
      </c>
      <c r="CP119" s="4">
        <f t="shared" si="335"/>
        <v>1.5186373454602673</v>
      </c>
      <c r="CQ119" s="4">
        <f t="shared" si="210"/>
        <v>0.96116962804794615</v>
      </c>
      <c r="CR119" s="4">
        <f t="shared" si="211"/>
        <v>1.0487505984287993</v>
      </c>
      <c r="CS119" s="4">
        <f t="shared" si="329"/>
        <v>1.1935209055402785</v>
      </c>
      <c r="DA119" s="4">
        <f t="shared" si="281"/>
        <v>2.4110463620978315</v>
      </c>
      <c r="DB119" s="4">
        <f t="shared" si="281"/>
        <v>1.3499284524843498</v>
      </c>
      <c r="DC119" s="4">
        <f t="shared" si="282"/>
        <v>1.5186373454602673</v>
      </c>
      <c r="DD119" s="4">
        <f t="shared" si="336"/>
        <v>1.1935209055402785</v>
      </c>
      <c r="DE119" s="4">
        <f t="shared" si="284"/>
        <v>0.96116962804794615</v>
      </c>
      <c r="DF119" s="4">
        <f t="shared" si="284"/>
        <v>1.0487505984287993</v>
      </c>
      <c r="DH119" s="4">
        <f t="shared" si="167"/>
        <v>2</v>
      </c>
      <c r="DI119" s="4">
        <f t="shared" si="168"/>
        <v>203.2</v>
      </c>
      <c r="DJ119" s="4">
        <f t="shared" si="169"/>
        <v>0.74999999999999989</v>
      </c>
      <c r="DL119" s="4">
        <f t="shared" si="170"/>
        <v>1.3667329281249728E-5</v>
      </c>
      <c r="DM119" s="4">
        <f t="shared" si="171"/>
        <v>5.1588114827661729</v>
      </c>
      <c r="DN119" s="4">
        <f t="shared" si="337"/>
        <v>0.63626164554762021</v>
      </c>
      <c r="DO119" s="4">
        <f t="shared" si="253"/>
        <v>4.3053053177144411</v>
      </c>
      <c r="DP119" s="4">
        <f t="shared" si="254"/>
        <v>4.7512779586833123</v>
      </c>
      <c r="DQ119" s="4">
        <f t="shared" si="255"/>
        <v>5.0422297353553445</v>
      </c>
      <c r="DR119" s="38">
        <f t="shared" si="275"/>
        <v>388.0688581031543</v>
      </c>
      <c r="DS119" s="4">
        <f t="shared" si="256"/>
        <v>1.0001161176105406</v>
      </c>
      <c r="DT119" s="4">
        <f t="shared" si="330"/>
        <v>2.2449944320643649</v>
      </c>
      <c r="DU119" s="4">
        <f t="shared" si="276"/>
        <v>278.04333540108792</v>
      </c>
      <c r="DY119" s="4">
        <f t="shared" si="235"/>
        <v>1</v>
      </c>
      <c r="DZ119" s="4">
        <f t="shared" si="257"/>
        <v>0.9</v>
      </c>
      <c r="EA119" s="4">
        <f t="shared" si="258"/>
        <v>0.90713466426932854</v>
      </c>
      <c r="EB119" s="4">
        <f t="shared" si="259"/>
        <v>0.81642119784239575</v>
      </c>
      <c r="ED119" s="4">
        <f t="shared" si="277"/>
        <v>355.66129884341933</v>
      </c>
      <c r="EE119" s="25">
        <f t="shared" si="318"/>
        <v>272.18798506289443</v>
      </c>
      <c r="EH119" s="4">
        <f t="shared" si="314"/>
        <v>5.1588114827661729</v>
      </c>
      <c r="EI119" s="4">
        <f t="shared" si="174"/>
        <v>5.1588114827661729</v>
      </c>
      <c r="EK119" s="4">
        <f t="shared" si="175"/>
        <v>57.022858574434863</v>
      </c>
      <c r="EL119" s="4">
        <f t="shared" si="176"/>
        <v>2.2449944320643649</v>
      </c>
      <c r="EM119" s="4">
        <f t="shared" si="177"/>
        <v>0.17044200350862856</v>
      </c>
      <c r="EP119" s="4">
        <f t="shared" si="332"/>
        <v>0.17044200350862856</v>
      </c>
      <c r="EQ119" s="4">
        <f t="shared" si="333"/>
        <v>0.63519984344425195</v>
      </c>
      <c r="ER119" s="4">
        <f t="shared" si="180"/>
        <v>4.3024299767608163</v>
      </c>
      <c r="ES119" s="4">
        <f t="shared" si="236"/>
        <v>4.7499757088178356</v>
      </c>
      <c r="ET119" s="4">
        <f t="shared" si="182"/>
        <v>95.377141425565114</v>
      </c>
      <c r="EU119" s="4">
        <f t="shared" si="183"/>
        <v>50.800000000000026</v>
      </c>
      <c r="EV119" s="4">
        <f t="shared" si="261"/>
        <v>1.3667329281249734E-5</v>
      </c>
      <c r="EW119" s="4">
        <f t="shared" si="237"/>
        <v>5.0422702257329002</v>
      </c>
      <c r="EX119" s="4">
        <f t="shared" si="185"/>
        <v>388.02380170646722</v>
      </c>
      <c r="EY119" s="4">
        <f t="shared" si="186"/>
        <v>95.377141425565114</v>
      </c>
      <c r="EZ119" s="4">
        <f t="shared" si="187"/>
        <v>0</v>
      </c>
      <c r="FB119" s="4">
        <f t="shared" si="338"/>
        <v>40.338161805863251</v>
      </c>
      <c r="FG119" s="23">
        <f t="shared" si="339"/>
        <v>2.2000000000000002</v>
      </c>
      <c r="FH119" s="23">
        <f t="shared" si="339"/>
        <v>1.4</v>
      </c>
      <c r="FI119" s="23">
        <f t="shared" si="230"/>
        <v>1.2</v>
      </c>
      <c r="FJ119" s="23">
        <f t="shared" si="340"/>
        <v>1.6</v>
      </c>
      <c r="FK119" s="23">
        <f t="shared" si="340"/>
        <v>1</v>
      </c>
      <c r="FL119" s="23">
        <f t="shared" si="340"/>
        <v>1.2</v>
      </c>
      <c r="FM119" s="23">
        <f t="shared" si="218"/>
        <v>0</v>
      </c>
      <c r="FN119" s="23"/>
      <c r="FX119" s="4">
        <f t="shared" si="263"/>
        <v>1</v>
      </c>
      <c r="FY119" s="4">
        <f t="shared" si="303"/>
        <v>0.56497177617382699</v>
      </c>
      <c r="FZ119" s="4">
        <f t="shared" si="265"/>
        <v>0.18651703970074607</v>
      </c>
      <c r="GA119" s="4">
        <f t="shared" si="266"/>
        <v>312.52070933030853</v>
      </c>
      <c r="GC119" s="4">
        <f>(H119)/(K119)^1.5/0.0199*(J119)^0.25/FX119/FY119</f>
        <v>312.4971853526369</v>
      </c>
    </row>
    <row r="120" spans="1:188" ht="12" hidden="1" customHeight="1" x14ac:dyDescent="0.3">
      <c r="A120" s="25">
        <v>102</v>
      </c>
      <c r="B120" s="20" t="s">
        <v>54</v>
      </c>
      <c r="C120" s="20">
        <v>2010</v>
      </c>
      <c r="D120" s="20" t="s">
        <v>293</v>
      </c>
      <c r="E120" s="24"/>
      <c r="F120" s="7" t="s">
        <v>68</v>
      </c>
      <c r="G120" s="7">
        <v>472</v>
      </c>
      <c r="H120" s="7">
        <f t="shared" si="315"/>
        <v>203.2</v>
      </c>
      <c r="I120" s="7">
        <f>K120*M120</f>
        <v>152.39999999999998</v>
      </c>
      <c r="J120" s="7">
        <v>24</v>
      </c>
      <c r="K120" s="7">
        <v>25.4</v>
      </c>
      <c r="L120" s="7">
        <v>8</v>
      </c>
      <c r="M120" s="7">
        <v>6</v>
      </c>
      <c r="N120" s="7">
        <f t="shared" si="321"/>
        <v>914.4</v>
      </c>
      <c r="O120" s="7">
        <f t="shared" si="316"/>
        <v>127</v>
      </c>
      <c r="P120" s="7"/>
      <c r="Q120" s="7">
        <f t="shared" si="309"/>
        <v>101.6</v>
      </c>
      <c r="R120" s="7">
        <v>3</v>
      </c>
      <c r="S120" s="7">
        <f t="shared" si="310"/>
        <v>50.8</v>
      </c>
      <c r="T120" s="7">
        <f t="shared" si="304"/>
        <v>2.5</v>
      </c>
      <c r="U120" s="7">
        <f t="shared" si="322"/>
        <v>2.5</v>
      </c>
      <c r="V120" s="7">
        <v>4.04</v>
      </c>
      <c r="W120" s="7">
        <f t="shared" si="152"/>
        <v>4.04</v>
      </c>
      <c r="X120" s="7">
        <f t="shared" si="242"/>
        <v>5.04</v>
      </c>
      <c r="Y120" s="7">
        <f t="shared" si="200"/>
        <v>57.022858574434863</v>
      </c>
      <c r="Z120" s="7"/>
      <c r="AA120" s="7"/>
      <c r="AB120" s="7">
        <v>391</v>
      </c>
      <c r="AC120" s="7"/>
      <c r="AD120" s="7">
        <f t="shared" si="334"/>
        <v>0.98080807123647029</v>
      </c>
      <c r="AE120" s="7">
        <v>12.7</v>
      </c>
      <c r="AF120" s="7">
        <v>2</v>
      </c>
      <c r="AG120" s="7">
        <f>H120-2*25.4</f>
        <v>152.39999999999998</v>
      </c>
      <c r="AH120" s="7">
        <v>2</v>
      </c>
      <c r="AI120" s="7">
        <v>2</v>
      </c>
      <c r="AJ120" s="7"/>
      <c r="AK120" s="4">
        <f t="shared" si="279"/>
        <v>203.2</v>
      </c>
      <c r="AL120" s="44">
        <f t="shared" si="311"/>
        <v>0.62500000000000011</v>
      </c>
      <c r="AM120" s="25">
        <f t="shared" si="268"/>
        <v>93.349631295316044</v>
      </c>
      <c r="AN120" s="4">
        <f t="shared" si="269"/>
        <v>0.76249999999999996</v>
      </c>
      <c r="AO120" s="4">
        <v>1.25</v>
      </c>
      <c r="AP120" s="25">
        <f t="shared" si="317"/>
        <v>5</v>
      </c>
      <c r="AQ120" s="38">
        <f t="shared" si="271"/>
        <v>278.04333540108786</v>
      </c>
      <c r="AR120" s="38">
        <f t="shared" si="272"/>
        <v>278.04333540108786</v>
      </c>
      <c r="AT120" s="38">
        <f t="shared" si="308"/>
        <v>278.04333540108792</v>
      </c>
      <c r="AU120" s="38">
        <f t="shared" si="243"/>
        <v>0.99999999999999978</v>
      </c>
      <c r="AV120" s="38">
        <f t="shared" si="328"/>
        <v>0.86747993638820953</v>
      </c>
      <c r="AW120" s="4">
        <f t="shared" si="323"/>
        <v>1</v>
      </c>
      <c r="AX120" s="4">
        <f t="shared" si="220"/>
        <v>154.70461533367438</v>
      </c>
      <c r="AY120" s="4">
        <f t="shared" si="221"/>
        <v>1</v>
      </c>
      <c r="AZ120" s="38">
        <f t="shared" si="273"/>
        <v>241.19701490690136</v>
      </c>
      <c r="BA120" s="4">
        <f t="shared" si="222"/>
        <v>0.43440000000000001</v>
      </c>
      <c r="BB120" s="4">
        <f t="shared" si="244"/>
        <v>35.113925360745412</v>
      </c>
      <c r="BC120" s="4">
        <f t="shared" si="245"/>
        <v>276.31094026764674</v>
      </c>
      <c r="BE120" s="36">
        <f t="shared" si="312"/>
        <v>1.5201990816987241</v>
      </c>
      <c r="BF120" s="36">
        <f t="shared" si="313"/>
        <v>235.33860204091607</v>
      </c>
      <c r="BK120" s="4">
        <f t="shared" si="156"/>
        <v>57.199999999999996</v>
      </c>
      <c r="BL120" s="4">
        <f t="shared" si="157"/>
        <v>50.8</v>
      </c>
      <c r="BM120" s="4">
        <f t="shared" si="158"/>
        <v>57.199999999999996</v>
      </c>
      <c r="BN120" s="4">
        <f t="shared" si="159"/>
        <v>63.5</v>
      </c>
      <c r="BO120" s="4">
        <f t="shared" si="160"/>
        <v>1.0125984251968505</v>
      </c>
      <c r="BP120" s="25">
        <f t="shared" si="274"/>
        <v>3.161228029601602</v>
      </c>
      <c r="BR120" s="4">
        <f t="shared" si="331"/>
        <v>50.8</v>
      </c>
      <c r="BV120" s="9"/>
      <c r="BX120" s="9"/>
      <c r="BY120" s="9"/>
      <c r="BZ120" s="9">
        <f t="shared" si="231"/>
        <v>50.8</v>
      </c>
      <c r="CA120" s="9">
        <f t="shared" si="232"/>
        <v>127</v>
      </c>
      <c r="CB120" s="9">
        <f t="shared" si="248"/>
        <v>1.622579553879709</v>
      </c>
      <c r="CC120" s="9">
        <v>0</v>
      </c>
      <c r="CD120" s="9">
        <f t="shared" si="306"/>
        <v>4.3633231299858237E-2</v>
      </c>
      <c r="CE120" s="9">
        <f t="shared" si="249"/>
        <v>0</v>
      </c>
      <c r="CF120" s="9">
        <f t="shared" si="233"/>
        <v>0.99524931562137331</v>
      </c>
      <c r="CG120" s="9">
        <f t="shared" si="234"/>
        <v>1.056</v>
      </c>
      <c r="CH120" s="9">
        <f t="shared" si="250"/>
        <v>1.8020609303015322</v>
      </c>
      <c r="CI120" s="9">
        <f t="shared" si="251"/>
        <v>2.9239872203527137</v>
      </c>
      <c r="CJ120" s="9">
        <v>1</v>
      </c>
      <c r="CK120" s="9">
        <f t="shared" si="252"/>
        <v>245.61492650962794</v>
      </c>
      <c r="CM120" s="4">
        <f>AB120/AX120</f>
        <v>2.5273971248800322</v>
      </c>
      <c r="CN120" s="4">
        <f>AB120/BC120</f>
        <v>1.4150724528723346</v>
      </c>
      <c r="CO120" s="4">
        <f t="shared" si="208"/>
        <v>1.6614358911336635</v>
      </c>
      <c r="CP120" s="4">
        <f t="shared" si="335"/>
        <v>1.5919227937666609</v>
      </c>
      <c r="CQ120" s="4">
        <f t="shared" si="210"/>
        <v>0.98080807123647029</v>
      </c>
      <c r="CR120" s="4">
        <f t="shared" si="211"/>
        <v>1.0748032245531951</v>
      </c>
      <c r="CS120" s="4">
        <f t="shared" si="329"/>
        <v>1.1365535412883889</v>
      </c>
      <c r="DA120" s="4">
        <f t="shared" si="281"/>
        <v>2.5273971248800322</v>
      </c>
      <c r="DB120" s="4">
        <f t="shared" si="281"/>
        <v>1.4150724528723346</v>
      </c>
      <c r="DC120" s="4">
        <f t="shared" si="282"/>
        <v>1.5919227937666609</v>
      </c>
      <c r="DD120" s="4">
        <f t="shared" si="336"/>
        <v>1.1365535412883889</v>
      </c>
      <c r="DE120" s="4">
        <f t="shared" si="284"/>
        <v>0.98080807123647029</v>
      </c>
      <c r="DF120" s="4">
        <f t="shared" si="284"/>
        <v>1.0748032245531951</v>
      </c>
      <c r="DH120" s="4">
        <f t="shared" si="167"/>
        <v>2</v>
      </c>
      <c r="DI120" s="4">
        <f t="shared" si="168"/>
        <v>203.2</v>
      </c>
      <c r="DJ120" s="4">
        <f t="shared" si="169"/>
        <v>0.74999999999999989</v>
      </c>
      <c r="DL120" s="4">
        <f t="shared" si="170"/>
        <v>1.3667329281249728E-5</v>
      </c>
      <c r="DM120" s="4">
        <f t="shared" si="171"/>
        <v>5.6549766132535195</v>
      </c>
      <c r="DN120" s="4">
        <f t="shared" si="337"/>
        <v>0.63626164554762021</v>
      </c>
      <c r="DO120" s="4">
        <f t="shared" si="253"/>
        <v>4.7193817734810022</v>
      </c>
      <c r="DP120" s="4">
        <f t="shared" si="254"/>
        <v>5.2082472540776283</v>
      </c>
      <c r="DQ120" s="4">
        <f t="shared" si="255"/>
        <v>5.5149392832684514</v>
      </c>
      <c r="DR120" s="38">
        <f t="shared" si="275"/>
        <v>398.65087927659488</v>
      </c>
      <c r="DS120" s="4">
        <f t="shared" si="256"/>
        <v>1.0001238224621578</v>
      </c>
      <c r="DT120" s="4">
        <f t="shared" si="330"/>
        <v>2.2449944320643649</v>
      </c>
      <c r="DU120" s="4">
        <f t="shared" si="276"/>
        <v>278.04333540108792</v>
      </c>
      <c r="DY120" s="4">
        <f t="shared" si="235"/>
        <v>1</v>
      </c>
      <c r="DZ120" s="4">
        <f t="shared" si="257"/>
        <v>0.9</v>
      </c>
      <c r="EA120" s="4">
        <f t="shared" si="258"/>
        <v>0.77500000000000002</v>
      </c>
      <c r="EB120" s="4">
        <f t="shared" si="259"/>
        <v>0.7</v>
      </c>
      <c r="ED120" s="4">
        <f t="shared" si="277"/>
        <v>363.78752042034677</v>
      </c>
      <c r="EE120" s="25">
        <f t="shared" si="318"/>
        <v>272.18798506289443</v>
      </c>
      <c r="EH120" s="4">
        <f t="shared" si="314"/>
        <v>5.6549766132535195</v>
      </c>
      <c r="EI120" s="4">
        <f t="shared" si="174"/>
        <v>5.6549766132535195</v>
      </c>
      <c r="EK120" s="4">
        <f t="shared" si="175"/>
        <v>57.022858574434863</v>
      </c>
      <c r="EL120" s="4">
        <f t="shared" si="176"/>
        <v>2.2449944320643649</v>
      </c>
      <c r="EM120" s="4">
        <f t="shared" si="177"/>
        <v>0.17044200350862856</v>
      </c>
      <c r="EP120" s="4">
        <f t="shared" si="332"/>
        <v>0.17044200350862856</v>
      </c>
      <c r="EQ120" s="4">
        <f t="shared" si="333"/>
        <v>0.63519984344425195</v>
      </c>
      <c r="ER120" s="4">
        <f t="shared" si="180"/>
        <v>4.716229887450238</v>
      </c>
      <c r="ES120" s="4">
        <f t="shared" si="236"/>
        <v>5.2068197561823304</v>
      </c>
      <c r="ET120" s="4">
        <f t="shared" si="182"/>
        <v>95.377141425565114</v>
      </c>
      <c r="EU120" s="4">
        <f t="shared" si="183"/>
        <v>50.800000000000026</v>
      </c>
      <c r="EV120" s="4">
        <f t="shared" si="261"/>
        <v>1.3667329281249734E-5</v>
      </c>
      <c r="EW120" s="4">
        <f t="shared" si="237"/>
        <v>5.5149879200790073</v>
      </c>
      <c r="EX120" s="4">
        <f t="shared" si="185"/>
        <v>398.60152345454088</v>
      </c>
      <c r="EY120" s="4">
        <f t="shared" si="186"/>
        <v>95.377141425565114</v>
      </c>
      <c r="EZ120" s="4">
        <f t="shared" si="187"/>
        <v>0</v>
      </c>
      <c r="FB120" s="4">
        <f t="shared" si="338"/>
        <v>44.119903360632122</v>
      </c>
      <c r="FG120" s="23">
        <f t="shared" si="339"/>
        <v>2.2000000000000002</v>
      </c>
      <c r="FH120" s="23">
        <f t="shared" si="339"/>
        <v>1.6</v>
      </c>
      <c r="FI120" s="23">
        <f t="shared" si="230"/>
        <v>1.2</v>
      </c>
      <c r="FJ120" s="23">
        <f t="shared" si="340"/>
        <v>1.6</v>
      </c>
      <c r="FK120" s="23">
        <f t="shared" si="340"/>
        <v>1</v>
      </c>
      <c r="FL120" s="23">
        <f t="shared" si="340"/>
        <v>1.2</v>
      </c>
      <c r="FM120" s="23">
        <f t="shared" si="218"/>
        <v>0</v>
      </c>
      <c r="FN120" s="23"/>
      <c r="FX120" s="4">
        <f t="shared" si="263"/>
        <v>1</v>
      </c>
      <c r="FY120" s="4">
        <f t="shared" si="303"/>
        <v>0.51323787258912912</v>
      </c>
      <c r="FZ120" s="4">
        <f t="shared" si="265"/>
        <v>0.3</v>
      </c>
      <c r="GA120" s="4">
        <f t="shared" si="266"/>
        <v>344.02250821968772</v>
      </c>
    </row>
    <row r="121" spans="1:188" ht="12" hidden="1" customHeight="1" x14ac:dyDescent="0.3">
      <c r="A121" s="25">
        <v>103</v>
      </c>
      <c r="B121" s="20" t="s">
        <v>54</v>
      </c>
      <c r="C121" s="20">
        <v>2011</v>
      </c>
      <c r="D121" s="20" t="s">
        <v>293</v>
      </c>
      <c r="E121" s="24"/>
      <c r="F121" s="7" t="s">
        <v>68</v>
      </c>
      <c r="G121" s="7">
        <v>472</v>
      </c>
      <c r="H121" s="7">
        <f t="shared" si="315"/>
        <v>304.79999999999995</v>
      </c>
      <c r="I121" s="7">
        <f>K121*M121</f>
        <v>254</v>
      </c>
      <c r="J121" s="7">
        <v>26</v>
      </c>
      <c r="K121" s="7">
        <v>25.4</v>
      </c>
      <c r="L121" s="7">
        <v>12</v>
      </c>
      <c r="M121" s="7">
        <v>10</v>
      </c>
      <c r="N121" s="7">
        <f t="shared" si="321"/>
        <v>914.4</v>
      </c>
      <c r="O121" s="7">
        <f t="shared" si="316"/>
        <v>127</v>
      </c>
      <c r="P121" s="7"/>
      <c r="Q121" s="7">
        <f t="shared" si="309"/>
        <v>101.6</v>
      </c>
      <c r="R121" s="7">
        <v>3</v>
      </c>
      <c r="S121" s="7">
        <f t="shared" si="310"/>
        <v>50.8</v>
      </c>
      <c r="T121" s="7">
        <f t="shared" si="304"/>
        <v>2.5</v>
      </c>
      <c r="U121" s="7">
        <f t="shared" si="322"/>
        <v>2.5</v>
      </c>
      <c r="V121" s="7">
        <v>4.04</v>
      </c>
      <c r="W121" s="7">
        <f t="shared" si="152"/>
        <v>4.04</v>
      </c>
      <c r="X121" s="7">
        <f t="shared" si="242"/>
        <v>5.04</v>
      </c>
      <c r="Y121" s="7">
        <f t="shared" si="200"/>
        <v>57.022858574434863</v>
      </c>
      <c r="Z121" s="7"/>
      <c r="AA121" s="7"/>
      <c r="AB121" s="7">
        <v>371</v>
      </c>
      <c r="AC121" s="7"/>
      <c r="AD121" s="7">
        <f t="shared" si="334"/>
        <v>0.91362974984847978</v>
      </c>
      <c r="AE121" s="7">
        <v>9.5</v>
      </c>
      <c r="AF121" s="7">
        <v>2</v>
      </c>
      <c r="AG121" s="7">
        <f>H121-2*25.4</f>
        <v>253.99999999999994</v>
      </c>
      <c r="AH121" s="7">
        <v>2</v>
      </c>
      <c r="AI121" s="7">
        <v>2</v>
      </c>
      <c r="AJ121" s="7"/>
      <c r="AK121" s="4">
        <f t="shared" si="279"/>
        <v>304.79999999999995</v>
      </c>
      <c r="AL121" s="44">
        <f t="shared" si="311"/>
        <v>0.27777777777777785</v>
      </c>
      <c r="AM121" s="25">
        <f t="shared" si="268"/>
        <v>178.49684683556575</v>
      </c>
      <c r="AN121" s="4">
        <f t="shared" si="269"/>
        <v>0.74166666666666659</v>
      </c>
      <c r="AO121" s="4">
        <v>1.25</v>
      </c>
      <c r="AP121" s="25">
        <f t="shared" si="317"/>
        <v>5</v>
      </c>
      <c r="AQ121" s="38">
        <f t="shared" si="271"/>
        <v>229.83534965806356</v>
      </c>
      <c r="AR121" s="38">
        <f t="shared" si="272"/>
        <v>229.83534965806356</v>
      </c>
      <c r="AT121" s="38">
        <f t="shared" si="308"/>
        <v>229.83534965806339</v>
      </c>
      <c r="AU121" s="38">
        <f t="shared" si="243"/>
        <v>1.0000000000000007</v>
      </c>
      <c r="AV121" s="38">
        <f t="shared" si="328"/>
        <v>1.136886760621838</v>
      </c>
      <c r="AW121" s="4">
        <f t="shared" si="323"/>
        <v>0</v>
      </c>
      <c r="AX121" s="4">
        <f t="shared" si="220"/>
        <v>268.36944808383078</v>
      </c>
      <c r="AY121" s="4">
        <f t="shared" si="221"/>
        <v>1</v>
      </c>
      <c r="AZ121" s="38">
        <f t="shared" si="273"/>
        <v>261.29676614914314</v>
      </c>
      <c r="BA121" s="4">
        <f t="shared" si="222"/>
        <v>0.43440000000000001</v>
      </c>
      <c r="BB121" s="4">
        <f t="shared" si="244"/>
        <v>60.912887109379405</v>
      </c>
      <c r="BC121" s="4">
        <f t="shared" si="245"/>
        <v>322.20965325852256</v>
      </c>
      <c r="BE121" s="36">
        <f t="shared" si="312"/>
        <v>1.2593411263809653</v>
      </c>
      <c r="BF121" s="36">
        <f t="shared" si="313"/>
        <v>244.01338915208541</v>
      </c>
      <c r="BK121" s="4">
        <f t="shared" si="156"/>
        <v>57.199999999999996</v>
      </c>
      <c r="BL121" s="4">
        <f t="shared" si="157"/>
        <v>50.8</v>
      </c>
      <c r="BM121" s="4">
        <f t="shared" si="158"/>
        <v>57.199999999999996</v>
      </c>
      <c r="BN121" s="4">
        <f t="shared" si="159"/>
        <v>63.5</v>
      </c>
      <c r="BO121" s="4">
        <f t="shared" si="160"/>
        <v>1.0125984251968505</v>
      </c>
      <c r="BP121" s="25">
        <f t="shared" si="274"/>
        <v>2.7515493255056613</v>
      </c>
      <c r="BR121" s="4">
        <f t="shared" si="331"/>
        <v>50.8</v>
      </c>
      <c r="BV121" s="9"/>
      <c r="BX121" s="9"/>
      <c r="BY121" s="9"/>
      <c r="BZ121" s="9">
        <f t="shared" si="231"/>
        <v>50.8</v>
      </c>
      <c r="CA121" s="9">
        <f t="shared" si="232"/>
        <v>127</v>
      </c>
      <c r="CB121" s="9">
        <f t="shared" si="248"/>
        <v>1.622579553879709</v>
      </c>
      <c r="CC121" s="9">
        <v>0</v>
      </c>
      <c r="CD121" s="9">
        <f t="shared" si="306"/>
        <v>1.4649014042329492E-2</v>
      </c>
      <c r="CE121" s="9">
        <f t="shared" si="249"/>
        <v>0</v>
      </c>
      <c r="CF121" s="9">
        <f t="shared" si="233"/>
        <v>0.99524931562137331</v>
      </c>
      <c r="CG121" s="9">
        <f t="shared" si="234"/>
        <v>1.056</v>
      </c>
      <c r="CH121" s="9">
        <f t="shared" si="250"/>
        <v>1.8756444837875041</v>
      </c>
      <c r="CI121" s="9">
        <f t="shared" si="251"/>
        <v>3.0433823897408656</v>
      </c>
      <c r="CJ121" s="9">
        <v>1</v>
      </c>
      <c r="CK121" s="9">
        <f t="shared" si="252"/>
        <v>304.33823897408661</v>
      </c>
      <c r="CM121" s="4">
        <f>AB121/AX121</f>
        <v>1.3824226365890593</v>
      </c>
      <c r="CN121" s="4">
        <f>AB121/BC121</f>
        <v>1.1514242240977519</v>
      </c>
      <c r="CO121" s="4">
        <f t="shared" si="208"/>
        <v>1.5204083730371372</v>
      </c>
      <c r="CP121" s="4">
        <f t="shared" si="335"/>
        <v>1.2190384003358494</v>
      </c>
      <c r="CQ121" s="4">
        <f t="shared" si="210"/>
        <v>0.91362974984847978</v>
      </c>
      <c r="CR121" s="4">
        <f t="shared" si="211"/>
        <v>0.99828830815771896</v>
      </c>
      <c r="CS121" s="4">
        <f t="shared" si="329"/>
        <v>0.77573488574208971</v>
      </c>
      <c r="DA121" s="4">
        <f t="shared" si="281"/>
        <v>1.3824226365890593</v>
      </c>
      <c r="DB121" s="4">
        <f t="shared" si="281"/>
        <v>1.1514242240977519</v>
      </c>
      <c r="DC121" s="4">
        <f t="shared" si="282"/>
        <v>1.2190384003358494</v>
      </c>
      <c r="DD121" s="4">
        <f t="shared" si="336"/>
        <v>0.77573488574208971</v>
      </c>
      <c r="DE121" s="4">
        <f t="shared" si="284"/>
        <v>0.91362974984847978</v>
      </c>
      <c r="DF121" s="4">
        <f t="shared" si="284"/>
        <v>0.99828830815771896</v>
      </c>
      <c r="DH121" s="4">
        <f t="shared" si="167"/>
        <v>2</v>
      </c>
      <c r="DI121" s="4">
        <f t="shared" si="168"/>
        <v>304.79999999999995</v>
      </c>
      <c r="DJ121" s="4">
        <f t="shared" si="169"/>
        <v>0.83333333333333348</v>
      </c>
      <c r="DL121" s="4">
        <f t="shared" si="170"/>
        <v>2.0812659450250191E-5</v>
      </c>
      <c r="DM121" s="4">
        <f t="shared" si="171"/>
        <v>5.1231060364842103</v>
      </c>
      <c r="DN121" s="4">
        <f t="shared" si="337"/>
        <v>0.48548741257573685</v>
      </c>
      <c r="DO121" s="4">
        <f t="shared" si="253"/>
        <v>3.837112518900283</v>
      </c>
      <c r="DP121" s="4">
        <f t="shared" si="254"/>
        <v>4.5261091865085605</v>
      </c>
      <c r="DQ121" s="4">
        <f t="shared" si="255"/>
        <v>4.8712620105281452</v>
      </c>
      <c r="DR121" s="38">
        <f t="shared" si="275"/>
        <v>406.072591289336</v>
      </c>
      <c r="DS121" s="4">
        <f t="shared" si="256"/>
        <v>1.0001268222237163</v>
      </c>
      <c r="DT121" s="4">
        <f t="shared" si="330"/>
        <v>2.2449944320643649</v>
      </c>
      <c r="DU121" s="4">
        <f t="shared" si="276"/>
        <v>229.83534965806339</v>
      </c>
      <c r="DY121" s="4">
        <f t="shared" si="235"/>
        <v>1</v>
      </c>
      <c r="DZ121" s="4">
        <f t="shared" si="257"/>
        <v>0.9</v>
      </c>
      <c r="EA121" s="4">
        <f t="shared" si="258"/>
        <v>0.90713466426932854</v>
      </c>
      <c r="EB121" s="4">
        <f t="shared" si="259"/>
        <v>0.81642119784239575</v>
      </c>
      <c r="ED121" s="4">
        <f t="shared" si="277"/>
        <v>371.63612652607162</v>
      </c>
      <c r="EE121" s="25">
        <f t="shared" si="318"/>
        <v>226.1749676920474</v>
      </c>
      <c r="EH121" s="4">
        <f t="shared" si="314"/>
        <v>5.1231060364842103</v>
      </c>
      <c r="EI121" s="4">
        <f t="shared" si="174"/>
        <v>5.1231060364842103</v>
      </c>
      <c r="EK121" s="4">
        <f t="shared" si="175"/>
        <v>57.022858574434863</v>
      </c>
      <c r="EL121" s="4">
        <f t="shared" si="176"/>
        <v>2.2449944320643649</v>
      </c>
      <c r="EM121" s="4">
        <f t="shared" si="177"/>
        <v>0.13536298215194248</v>
      </c>
      <c r="EP121" s="4">
        <f t="shared" si="332"/>
        <v>0.13536298215194248</v>
      </c>
      <c r="EQ121" s="4">
        <f t="shared" si="333"/>
        <v>0.48467722456670143</v>
      </c>
      <c r="ER121" s="4">
        <f t="shared" si="180"/>
        <v>3.8345498651614491</v>
      </c>
      <c r="ES121" s="4">
        <f t="shared" si="236"/>
        <v>4.5250239350752812</v>
      </c>
      <c r="ET121" s="4">
        <f t="shared" si="182"/>
        <v>171.57714142556512</v>
      </c>
      <c r="EU121" s="4">
        <f t="shared" si="183"/>
        <v>76.199999999999989</v>
      </c>
      <c r="EV121" s="4">
        <f t="shared" si="261"/>
        <v>2.0812659450250191E-5</v>
      </c>
      <c r="EW121" s="4">
        <f t="shared" si="237"/>
        <v>4.871332309925922</v>
      </c>
      <c r="EX121" s="4">
        <f t="shared" si="185"/>
        <v>406.02109879071168</v>
      </c>
      <c r="EY121" s="4">
        <f t="shared" si="186"/>
        <v>171.57714142556512</v>
      </c>
      <c r="EZ121" s="4">
        <f t="shared" si="187"/>
        <v>25.40000000000002</v>
      </c>
      <c r="FB121" s="4">
        <f t="shared" si="338"/>
        <v>38.970658479407348</v>
      </c>
      <c r="FG121" s="23">
        <f t="shared" si="339"/>
        <v>1.4</v>
      </c>
      <c r="FH121" s="23">
        <f t="shared" si="339"/>
        <v>1.2</v>
      </c>
      <c r="FI121" s="23">
        <f t="shared" si="230"/>
        <v>0.8</v>
      </c>
      <c r="FJ121" s="23">
        <f t="shared" si="340"/>
        <v>1.4</v>
      </c>
      <c r="FK121" s="23">
        <f t="shared" si="340"/>
        <v>1</v>
      </c>
      <c r="FL121" s="23">
        <f t="shared" si="340"/>
        <v>1</v>
      </c>
      <c r="FM121" s="23">
        <f t="shared" si="218"/>
        <v>0</v>
      </c>
      <c r="FN121" s="23"/>
      <c r="FX121" s="4">
        <f t="shared" si="263"/>
        <v>1</v>
      </c>
      <c r="FY121" s="4">
        <f t="shared" si="303"/>
        <v>0.56497177617382699</v>
      </c>
      <c r="FZ121" s="4">
        <f t="shared" si="265"/>
        <v>0.18651703970074607</v>
      </c>
      <c r="GA121" s="4">
        <f t="shared" si="266"/>
        <v>478.25617594223706</v>
      </c>
      <c r="GC121" s="4">
        <f>48000/145/25.4^0.75</f>
        <v>29.258223133921348</v>
      </c>
      <c r="GD121" s="4">
        <f>IF(AG121&gt;1, 0.05*(18-MIN(8,(Q121+K121)/K121))*(1-29.3/MAX(60000/145,(G121))*(K121)^0.75*FZ121), 1/12*(14-MIN(8,(Q121+K121)/K121)))</f>
        <v>0.56485036713598391</v>
      </c>
      <c r="GE121" s="4">
        <f>(1-48000/MAX(60000,(G121*145))*(K121/25.4)^0.75*FZ121)</f>
        <v>0.86918734795973385</v>
      </c>
      <c r="GF121" s="4">
        <f>(1-29.3/MAX(60000/145,(G121))*(K121)^0.75*FZ121)</f>
        <v>0.86900056482459054</v>
      </c>
    </row>
    <row r="122" spans="1:188" ht="12" hidden="1" customHeight="1" x14ac:dyDescent="0.3">
      <c r="A122" s="25">
        <v>104</v>
      </c>
      <c r="B122" s="20" t="s">
        <v>54</v>
      </c>
      <c r="C122" s="20">
        <v>2012</v>
      </c>
      <c r="D122" s="20" t="s">
        <v>293</v>
      </c>
      <c r="E122" s="24"/>
      <c r="F122" s="7" t="s">
        <v>68</v>
      </c>
      <c r="G122" s="7">
        <v>472</v>
      </c>
      <c r="H122" s="7">
        <f t="shared" si="315"/>
        <v>304.79999999999995</v>
      </c>
      <c r="I122" s="7">
        <f>K122*M122</f>
        <v>254</v>
      </c>
      <c r="J122" s="7">
        <v>26</v>
      </c>
      <c r="K122" s="7">
        <v>25.4</v>
      </c>
      <c r="L122" s="7">
        <v>12</v>
      </c>
      <c r="M122" s="7">
        <v>10</v>
      </c>
      <c r="N122" s="7">
        <f t="shared" si="321"/>
        <v>914.4</v>
      </c>
      <c r="O122" s="7">
        <f t="shared" si="316"/>
        <v>127</v>
      </c>
      <c r="P122" s="7"/>
      <c r="Q122" s="7">
        <f t="shared" si="309"/>
        <v>101.6</v>
      </c>
      <c r="R122" s="7">
        <v>3</v>
      </c>
      <c r="S122" s="7">
        <f t="shared" si="310"/>
        <v>50.8</v>
      </c>
      <c r="T122" s="7">
        <f t="shared" si="304"/>
        <v>2.5</v>
      </c>
      <c r="U122" s="7">
        <f t="shared" si="322"/>
        <v>2.5</v>
      </c>
      <c r="V122" s="7">
        <v>4.04</v>
      </c>
      <c r="W122" s="7">
        <f t="shared" si="152"/>
        <v>4.04</v>
      </c>
      <c r="X122" s="7">
        <f t="shared" si="242"/>
        <v>5.04</v>
      </c>
      <c r="Y122" s="7">
        <f t="shared" si="200"/>
        <v>57.022858574434863</v>
      </c>
      <c r="Z122" s="7"/>
      <c r="AA122" s="7"/>
      <c r="AB122" s="7">
        <v>390</v>
      </c>
      <c r="AC122" s="7"/>
      <c r="AD122" s="7">
        <f t="shared" si="334"/>
        <v>0.88891200438416107</v>
      </c>
      <c r="AE122" s="7">
        <v>9.5</v>
      </c>
      <c r="AF122" s="7">
        <v>2</v>
      </c>
      <c r="AG122" s="7">
        <f>3*25.4</f>
        <v>76.199999999999989</v>
      </c>
      <c r="AH122" s="7">
        <v>2</v>
      </c>
      <c r="AI122" s="7">
        <v>2</v>
      </c>
      <c r="AJ122" s="7"/>
      <c r="AK122" s="4">
        <f t="shared" si="279"/>
        <v>304.79999999999995</v>
      </c>
      <c r="AL122" s="44">
        <f t="shared" si="311"/>
        <v>0.27777777777777785</v>
      </c>
      <c r="AM122" s="25">
        <f t="shared" si="268"/>
        <v>178.49684683556575</v>
      </c>
      <c r="AN122" s="4">
        <f t="shared" si="269"/>
        <v>0.74166666666666659</v>
      </c>
      <c r="AO122" s="4">
        <v>1.25</v>
      </c>
      <c r="AP122" s="25">
        <f t="shared" si="317"/>
        <v>5</v>
      </c>
      <c r="AQ122" s="38">
        <f t="shared" si="271"/>
        <v>229.83534965806356</v>
      </c>
      <c r="AR122" s="38">
        <f t="shared" si="272"/>
        <v>229.83534965806356</v>
      </c>
      <c r="AT122" s="38">
        <f>AP122* (J122^0.5/AK122^0.5)/(PI()/4*K122^2)/R122/0.72 *(0.7+(MIN(O122,S122)+0.5*K122)/5/H122) *(N122*MIN(S122+0.5*K122+1.5*H122,254))</f>
        <v>229.83534965806339</v>
      </c>
      <c r="AU122" s="38">
        <f t="shared" si="243"/>
        <v>1.0000000000000007</v>
      </c>
      <c r="AV122" s="38">
        <f t="shared" si="328"/>
        <v>1.136886760621838</v>
      </c>
      <c r="AW122" s="4">
        <f t="shared" si="323"/>
        <v>0</v>
      </c>
      <c r="AX122" s="4">
        <f t="shared" si="220"/>
        <v>268.36944808383078</v>
      </c>
      <c r="AY122" s="4">
        <f t="shared" si="221"/>
        <v>1</v>
      </c>
      <c r="AZ122" s="38">
        <f t="shared" si="273"/>
        <v>261.29676614914314</v>
      </c>
      <c r="BA122" s="4">
        <f t="shared" si="222"/>
        <v>0.43440000000000001</v>
      </c>
      <c r="BB122" s="4">
        <f t="shared" si="244"/>
        <v>60.912887109379405</v>
      </c>
      <c r="BC122" s="4">
        <f t="shared" si="245"/>
        <v>322.20965325852256</v>
      </c>
      <c r="BE122" s="36">
        <f t="shared" si="312"/>
        <v>1.5669704212698847</v>
      </c>
      <c r="BF122" s="36">
        <f t="shared" si="313"/>
        <v>303.62048470055822</v>
      </c>
      <c r="BK122" s="4">
        <f t="shared" si="156"/>
        <v>57.199999999999996</v>
      </c>
      <c r="BL122" s="4">
        <f t="shared" si="157"/>
        <v>50.8</v>
      </c>
      <c r="BM122" s="4">
        <f t="shared" si="158"/>
        <v>57.199999999999996</v>
      </c>
      <c r="BN122" s="4">
        <f t="shared" si="159"/>
        <v>63.5</v>
      </c>
      <c r="BO122" s="4">
        <f t="shared" si="160"/>
        <v>1.0125984251968505</v>
      </c>
      <c r="BP122" s="25">
        <f t="shared" si="274"/>
        <v>3.2650069380372431</v>
      </c>
      <c r="BR122" s="4">
        <f t="shared" si="331"/>
        <v>50.8</v>
      </c>
      <c r="BV122" s="9"/>
      <c r="BX122" s="9"/>
      <c r="BY122" s="9"/>
      <c r="BZ122" s="9">
        <f t="shared" si="231"/>
        <v>50.8</v>
      </c>
      <c r="CA122" s="9">
        <f t="shared" si="232"/>
        <v>127</v>
      </c>
      <c r="CB122" s="9">
        <f t="shared" si="248"/>
        <v>1.622579553879709</v>
      </c>
      <c r="CC122" s="9">
        <v>20</v>
      </c>
      <c r="CD122" s="9">
        <f t="shared" si="306"/>
        <v>4.8830046807764975E-2</v>
      </c>
      <c r="CE122" s="9">
        <f t="shared" si="249"/>
        <v>0.77660093615529946</v>
      </c>
      <c r="CF122" s="9">
        <f t="shared" si="233"/>
        <v>0.99524931562137331</v>
      </c>
      <c r="CG122" s="9">
        <f t="shared" si="234"/>
        <v>1.056</v>
      </c>
      <c r="CH122" s="9">
        <f t="shared" si="250"/>
        <v>1.8756444837875041</v>
      </c>
      <c r="CI122" s="9">
        <f t="shared" si="251"/>
        <v>4.5000096517447643</v>
      </c>
      <c r="CJ122" s="9">
        <v>1</v>
      </c>
      <c r="CK122" s="9">
        <f t="shared" si="252"/>
        <v>450.00096517447645</v>
      </c>
      <c r="CM122" s="4">
        <f>AB122/AX122</f>
        <v>1.4532205613739437</v>
      </c>
      <c r="CN122" s="4">
        <f>AB122/BC122</f>
        <v>1.2103920415043752</v>
      </c>
      <c r="CO122" s="4">
        <f t="shared" si="208"/>
        <v>1.2844983117151416</v>
      </c>
      <c r="CP122" s="4">
        <f t="shared" si="335"/>
        <v>0.86666480781610633</v>
      </c>
      <c r="CQ122" s="4">
        <f t="shared" si="210"/>
        <v>0.88891200438416107</v>
      </c>
      <c r="CR122" s="4">
        <f t="shared" si="211"/>
        <v>0.9769003202032982</v>
      </c>
      <c r="CS122" s="4">
        <f t="shared" si="329"/>
        <v>0.81546254835421828</v>
      </c>
      <c r="DA122" s="4">
        <f t="shared" si="281"/>
        <v>1.4532205613739437</v>
      </c>
      <c r="DB122" s="4">
        <f t="shared" si="281"/>
        <v>1.2103920415043752</v>
      </c>
      <c r="DC122" s="4">
        <f t="shared" si="282"/>
        <v>0.86666480781610633</v>
      </c>
      <c r="DD122" s="4">
        <f t="shared" si="336"/>
        <v>0.81546254835421828</v>
      </c>
      <c r="DE122" s="4">
        <f t="shared" si="284"/>
        <v>0.88891200438416107</v>
      </c>
      <c r="DF122" s="4">
        <f t="shared" si="284"/>
        <v>0.9769003202032982</v>
      </c>
      <c r="DH122" s="4">
        <f t="shared" si="167"/>
        <v>2</v>
      </c>
      <c r="DI122" s="4">
        <f t="shared" si="168"/>
        <v>304.79999999999995</v>
      </c>
      <c r="DJ122" s="4">
        <f t="shared" si="169"/>
        <v>0.83333333333333348</v>
      </c>
      <c r="DL122" s="4">
        <f t="shared" si="170"/>
        <v>2.0812659450250191E-5</v>
      </c>
      <c r="DM122" s="4">
        <f t="shared" si="171"/>
        <v>6.0791120836430785</v>
      </c>
      <c r="DN122" s="4">
        <f t="shared" si="337"/>
        <v>0.48548741257573685</v>
      </c>
      <c r="DO122" s="4">
        <f t="shared" si="253"/>
        <v>4.5531435253978731</v>
      </c>
      <c r="DP122" s="4">
        <f t="shared" si="254"/>
        <v>5.3707116057418993</v>
      </c>
      <c r="DQ122" s="4">
        <f t="shared" si="255"/>
        <v>5.7250392510040635</v>
      </c>
      <c r="DR122" s="38">
        <f t="shared" si="275"/>
        <v>438.73859063270532</v>
      </c>
      <c r="DS122" s="4">
        <f t="shared" si="256"/>
        <v>1.0001388635364257</v>
      </c>
      <c r="DT122" s="4">
        <f t="shared" si="330"/>
        <v>2.2449944320643649</v>
      </c>
      <c r="DU122" s="4">
        <f t="shared" si="276"/>
        <v>229.83534965806339</v>
      </c>
      <c r="DY122" s="4">
        <f t="shared" si="235"/>
        <v>1</v>
      </c>
      <c r="DZ122" s="4">
        <f t="shared" si="257"/>
        <v>0.9</v>
      </c>
      <c r="EA122" s="4">
        <f t="shared" si="258"/>
        <v>0.90713466426932854</v>
      </c>
      <c r="EB122" s="4">
        <f t="shared" si="259"/>
        <v>0.81642119784239575</v>
      </c>
      <c r="ED122" s="4">
        <f t="shared" si="277"/>
        <v>399.2218980119066</v>
      </c>
      <c r="EE122" s="25">
        <f t="shared" si="318"/>
        <v>226.1749676920474</v>
      </c>
      <c r="EH122" s="4">
        <f t="shared" si="314"/>
        <v>6.0791120836430785</v>
      </c>
      <c r="EI122" s="4">
        <f t="shared" si="174"/>
        <v>6.0791120836430785</v>
      </c>
      <c r="EK122" s="4">
        <f t="shared" si="175"/>
        <v>57.022858574434863</v>
      </c>
      <c r="EL122" s="4">
        <f t="shared" si="176"/>
        <v>2.2449944320643649</v>
      </c>
      <c r="EM122" s="4">
        <f t="shared" si="177"/>
        <v>0.13536298215194248</v>
      </c>
      <c r="EP122" s="4">
        <f t="shared" si="332"/>
        <v>0.13536298215194248</v>
      </c>
      <c r="EQ122" s="4">
        <f t="shared" si="333"/>
        <v>0.48467722456670143</v>
      </c>
      <c r="ER122" s="4">
        <f t="shared" si="180"/>
        <v>4.5501026632335932</v>
      </c>
      <c r="ES122" s="4">
        <f t="shared" si="236"/>
        <v>5.3694238390911897</v>
      </c>
      <c r="ET122" s="4">
        <f t="shared" si="182"/>
        <v>171.57714142556512</v>
      </c>
      <c r="EU122" s="4">
        <f t="shared" si="183"/>
        <v>76.199999999999989</v>
      </c>
      <c r="EV122" s="4">
        <f t="shared" si="261"/>
        <v>2.0812659450250191E-5</v>
      </c>
      <c r="EW122" s="4">
        <f t="shared" si="237"/>
        <v>5.7251380864114534</v>
      </c>
      <c r="EX122" s="4">
        <f t="shared" si="185"/>
        <v>438.67767429950112</v>
      </c>
      <c r="EY122" s="4">
        <f t="shared" si="186"/>
        <v>171.57714142556512</v>
      </c>
      <c r="EZ122" s="4">
        <f t="shared" si="187"/>
        <v>25.40000000000002</v>
      </c>
      <c r="FB122" s="4">
        <f t="shared" si="338"/>
        <v>45.801104691291584</v>
      </c>
      <c r="FG122" s="23">
        <f t="shared" si="339"/>
        <v>1.6</v>
      </c>
      <c r="FH122" s="23">
        <f t="shared" si="339"/>
        <v>1.4</v>
      </c>
      <c r="FI122" s="23">
        <f t="shared" si="230"/>
        <v>1</v>
      </c>
      <c r="FJ122" s="23">
        <f t="shared" si="340"/>
        <v>1</v>
      </c>
      <c r="FK122" s="23">
        <f t="shared" si="340"/>
        <v>1</v>
      </c>
      <c r="FL122" s="23">
        <f t="shared" si="340"/>
        <v>1</v>
      </c>
      <c r="FM122" s="23">
        <f t="shared" si="218"/>
        <v>0</v>
      </c>
      <c r="FN122" s="23"/>
      <c r="FX122" s="4">
        <f t="shared" si="263"/>
        <v>1</v>
      </c>
      <c r="FY122" s="4">
        <f t="shared" si="303"/>
        <v>0.56497177617382699</v>
      </c>
      <c r="FZ122" s="4">
        <f t="shared" si="265"/>
        <v>0.18651703970074607</v>
      </c>
      <c r="GA122" s="4">
        <f t="shared" si="266"/>
        <v>478.25617594223706</v>
      </c>
      <c r="GD122" s="4">
        <f>IF(AG122&gt;1, 0.05*(18-MIN(8,(Q122+K122)/K122))*(1-29.3/MAX(60000/145,(G122))*(K122)^0.75*FZ122), 1/12*(14-MIN(8,(Q122+K122)/K122)))</f>
        <v>0.56485036713598391</v>
      </c>
    </row>
    <row r="123" spans="1:188" ht="12" hidden="1" customHeight="1" x14ac:dyDescent="0.3">
      <c r="A123" s="25">
        <v>105</v>
      </c>
      <c r="B123" s="24" t="s">
        <v>128</v>
      </c>
      <c r="C123" s="24">
        <v>2015</v>
      </c>
      <c r="D123" s="24" t="s">
        <v>293</v>
      </c>
      <c r="E123" s="24"/>
      <c r="F123" s="7" t="s">
        <v>129</v>
      </c>
      <c r="G123" s="7">
        <v>710</v>
      </c>
      <c r="H123" s="7">
        <f t="shared" si="315"/>
        <v>429</v>
      </c>
      <c r="I123" s="7">
        <f>H123</f>
        <v>429</v>
      </c>
      <c r="J123" s="7">
        <v>41.4</v>
      </c>
      <c r="K123" s="7">
        <v>28.6</v>
      </c>
      <c r="L123" s="7">
        <v>15</v>
      </c>
      <c r="M123" s="7">
        <f>L123</f>
        <v>15</v>
      </c>
      <c r="N123" s="7">
        <v>261</v>
      </c>
      <c r="O123" s="7">
        <f>K123</f>
        <v>28.6</v>
      </c>
      <c r="P123" s="7"/>
      <c r="Q123" s="7">
        <f>1*K123</f>
        <v>28.6</v>
      </c>
      <c r="R123" s="7">
        <v>2</v>
      </c>
      <c r="S123" s="7">
        <f>72.5-K123/2</f>
        <v>58.2</v>
      </c>
      <c r="T123" s="7">
        <f t="shared" si="304"/>
        <v>1</v>
      </c>
      <c r="U123" s="7">
        <f>MIN(S123/K123+0.5, (O123+K123/2)/K123)</f>
        <v>1.5000000000000002</v>
      </c>
      <c r="V123" s="7">
        <f>X123-1</f>
        <v>4</v>
      </c>
      <c r="W123" s="7">
        <f t="shared" si="152"/>
        <v>4</v>
      </c>
      <c r="X123" s="7">
        <v>5</v>
      </c>
      <c r="Y123" s="7">
        <f t="shared" si="200"/>
        <v>63.951544156493995</v>
      </c>
      <c r="Z123" s="7"/>
      <c r="AA123" s="7"/>
      <c r="AB123" s="7">
        <v>312</v>
      </c>
      <c r="AC123" s="7"/>
      <c r="AD123" s="7">
        <f t="shared" si="334"/>
        <v>1.1567904160258464</v>
      </c>
      <c r="AE123" s="7"/>
      <c r="AF123" s="7"/>
      <c r="AG123" s="7">
        <v>1</v>
      </c>
      <c r="AH123" s="7"/>
      <c r="AI123" s="7"/>
      <c r="AJ123" s="7"/>
      <c r="AK123" s="4">
        <f t="shared" si="279"/>
        <v>429</v>
      </c>
      <c r="AL123" s="46">
        <f>MIN(N123)*(MIN(350-S123-0.5*K123,1.5*AK123)+S123+K123/2)/(3*H123)^2</f>
        <v>5.5150754451453753E-2</v>
      </c>
      <c r="AM123" s="25">
        <f t="shared" si="268"/>
        <v>444.9735182569961</v>
      </c>
      <c r="AN123" s="4">
        <f t="shared" si="269"/>
        <v>0.72</v>
      </c>
      <c r="AO123" s="4">
        <v>1.25</v>
      </c>
      <c r="AP123" s="25">
        <f t="shared" si="317"/>
        <v>5</v>
      </c>
      <c r="AQ123" s="38">
        <f t="shared" si="271"/>
        <v>110.4328135925598</v>
      </c>
      <c r="AR123" s="38">
        <f t="shared" si="272"/>
        <v>110.4328135925598</v>
      </c>
      <c r="AT123" s="38">
        <f>AP123* (J123^0.5/AK123^0.5)/(PI()/4*K123^2)/R123/0.72 *(0.7+(MIN(O123,S123)+0.5*K123)/5/H123) *(N123*MIN(S123+0.5*K123+1.5*H123,350))</f>
        <v>110.43281359255974</v>
      </c>
      <c r="AU123" s="38">
        <f t="shared" si="243"/>
        <v>1.0000000000000004</v>
      </c>
      <c r="AV123" s="38">
        <f t="shared" si="328"/>
        <v>1.7994651547426346</v>
      </c>
      <c r="AW123" s="4">
        <f t="shared" si="323"/>
        <v>0</v>
      </c>
      <c r="AX123" s="4">
        <f t="shared" si="220"/>
        <v>507.96972448880257</v>
      </c>
      <c r="AY123" s="4">
        <f t="shared" si="221"/>
        <v>1.2000000000000002</v>
      </c>
      <c r="AZ123" s="38">
        <f t="shared" si="273"/>
        <v>198.72000000000003</v>
      </c>
      <c r="BA123" s="4">
        <f t="shared" si="222"/>
        <v>0.44000000000000006</v>
      </c>
      <c r="BB123" s="4">
        <f t="shared" si="244"/>
        <v>116.7822396599757</v>
      </c>
      <c r="BC123" s="4">
        <f t="shared" si="245"/>
        <v>315.50223965997571</v>
      </c>
      <c r="BE123" s="36">
        <f t="shared" si="312"/>
        <v>1</v>
      </c>
      <c r="BF123" s="36">
        <f t="shared" si="313"/>
        <v>295.97702613547563</v>
      </c>
      <c r="BK123" s="4">
        <f>IF(R123=1,O123,MIN(O123,Q123/2+6.4))</f>
        <v>20.700000000000003</v>
      </c>
      <c r="BL123" s="4">
        <f t="shared" si="157"/>
        <v>20.700000000000003</v>
      </c>
      <c r="BM123" s="4">
        <f t="shared" si="158"/>
        <v>58.2</v>
      </c>
      <c r="BN123" s="4">
        <f t="shared" si="159"/>
        <v>35</v>
      </c>
      <c r="BO123" s="4">
        <f t="shared" si="160"/>
        <v>1.181159420289855</v>
      </c>
      <c r="BP123" s="25">
        <f t="shared" si="274"/>
        <v>1.4454748150400323</v>
      </c>
      <c r="BR123" s="4">
        <f t="shared" si="331"/>
        <v>14.3</v>
      </c>
      <c r="BV123" s="9"/>
      <c r="BX123" s="9"/>
      <c r="BY123" s="9"/>
      <c r="BZ123" s="9">
        <f t="shared" si="231"/>
        <v>14.3</v>
      </c>
      <c r="CA123" s="9">
        <f t="shared" si="232"/>
        <v>28.6</v>
      </c>
      <c r="CB123" s="9">
        <f t="shared" si="248"/>
        <v>0.78458409789675088</v>
      </c>
      <c r="CC123" s="9">
        <v>0</v>
      </c>
      <c r="CD123" s="9">
        <f t="shared" si="306"/>
        <v>0</v>
      </c>
      <c r="CE123" s="9">
        <f t="shared" si="249"/>
        <v>0</v>
      </c>
      <c r="CF123" s="9">
        <f t="shared" si="233"/>
        <v>0.96044432035915817</v>
      </c>
      <c r="CG123" s="9">
        <f t="shared" si="234"/>
        <v>0.74299999999999999</v>
      </c>
      <c r="CH123" s="9">
        <f t="shared" si="250"/>
        <v>1.6070493790635749</v>
      </c>
      <c r="CI123" s="9">
        <f t="shared" si="251"/>
        <v>1.2608653873481286</v>
      </c>
      <c r="CJ123" s="9">
        <v>1</v>
      </c>
      <c r="CK123" s="9">
        <f t="shared" si="252"/>
        <v>151.30384648177542</v>
      </c>
      <c r="CM123" s="4">
        <f t="shared" ref="CM123:CM152" si="341">AB123/AX123</f>
        <v>0.61420983369428661</v>
      </c>
      <c r="CN123" s="4">
        <f t="shared" ref="CN123:CN152" si="342">AB123/BC123</f>
        <v>0.98889947765901709</v>
      </c>
      <c r="CO123" s="4">
        <f t="shared" si="208"/>
        <v>1.0541358701847023</v>
      </c>
      <c r="CP123" s="4">
        <f t="shared" si="335"/>
        <v>2.0620757981693512</v>
      </c>
      <c r="CQ123" s="4">
        <f t="shared" si="210"/>
        <v>1.1567904160258464</v>
      </c>
      <c r="CR123" s="4">
        <f t="shared" si="211"/>
        <v>1.1921334586493271</v>
      </c>
      <c r="CS123" s="4">
        <f t="shared" si="329"/>
        <v>1.0907536233465573</v>
      </c>
      <c r="CU123" s="4">
        <f t="shared" si="212"/>
        <v>0.61420983369428661</v>
      </c>
      <c r="CV123" s="4">
        <f t="shared" si="212"/>
        <v>0.98889947765901709</v>
      </c>
      <c r="CW123" s="4">
        <f t="shared" si="213"/>
        <v>2.0620757981693512</v>
      </c>
      <c r="CX123" s="4">
        <f t="shared" ref="CX123:CX138" si="343">CS123</f>
        <v>1.0907536233465573</v>
      </c>
      <c r="CY123" s="4">
        <f t="shared" si="215"/>
        <v>1.1567904160258464</v>
      </c>
      <c r="CZ123" s="4">
        <f t="shared" si="215"/>
        <v>1.1921334586493271</v>
      </c>
      <c r="DH123" s="4">
        <f t="shared" si="167"/>
        <v>0</v>
      </c>
      <c r="DI123" s="4">
        <f t="shared" si="168"/>
        <v>429</v>
      </c>
      <c r="DJ123" s="4">
        <f t="shared" si="169"/>
        <v>1</v>
      </c>
      <c r="DL123" s="4">
        <f t="shared" si="170"/>
        <v>2.8953960744479089E-5</v>
      </c>
      <c r="DM123" s="4">
        <f t="shared" si="171"/>
        <v>3.3960968587263358</v>
      </c>
      <c r="DN123" s="4">
        <f t="shared" si="337"/>
        <v>0.16594176945972797</v>
      </c>
      <c r="DO123" s="4">
        <f t="shared" si="253"/>
        <v>1.6556264453486476</v>
      </c>
      <c r="DP123" s="4">
        <f t="shared" si="254"/>
        <v>2.6731255192363665</v>
      </c>
      <c r="DQ123" s="4">
        <f t="shared" si="255"/>
        <v>3.2059403020553709</v>
      </c>
      <c r="DR123" s="38">
        <f t="shared" si="275"/>
        <v>269.71177810400263</v>
      </c>
      <c r="DS123" s="4">
        <f t="shared" si="256"/>
        <v>1.0000801385301492</v>
      </c>
      <c r="DT123" s="4">
        <f t="shared" si="330"/>
        <v>2.2360679774997898</v>
      </c>
      <c r="DU123" s="4">
        <f t="shared" si="276"/>
        <v>110.43281359255974</v>
      </c>
      <c r="DY123" s="4">
        <f t="shared" si="235"/>
        <v>1</v>
      </c>
      <c r="DZ123" s="4">
        <f t="shared" si="257"/>
        <v>1</v>
      </c>
      <c r="EA123" s="4">
        <f t="shared" si="258"/>
        <v>1</v>
      </c>
      <c r="EB123" s="4">
        <f t="shared" si="259"/>
        <v>1</v>
      </c>
      <c r="ED123" s="4">
        <f t="shared" si="277"/>
        <v>261.71566424575673</v>
      </c>
      <c r="EE123" s="25">
        <f>8.8*N123*350*J123^0.5/R123/K123^2/H123^0.5*(0.7+MIN(S123,O123)/5/H123)</f>
        <v>108.89130560307159</v>
      </c>
      <c r="EH123" s="4">
        <f t="shared" si="314"/>
        <v>3.3960968587263358</v>
      </c>
      <c r="EI123" s="4">
        <f t="shared" si="174"/>
        <v>3.3960968587263358</v>
      </c>
      <c r="EK123" s="4">
        <f t="shared" si="175"/>
        <v>63.951544156493995</v>
      </c>
      <c r="EL123" s="4">
        <f t="shared" si="176"/>
        <v>2.2360679774997898</v>
      </c>
      <c r="EM123" s="4">
        <f t="shared" si="177"/>
        <v>5.8383637923874583E-2</v>
      </c>
      <c r="EP123" s="4">
        <f t="shared" si="332"/>
        <v>5.8383637923874583E-2</v>
      </c>
      <c r="EQ123" s="4">
        <f t="shared" si="333"/>
        <v>0.16566484357384129</v>
      </c>
      <c r="ER123" s="4">
        <f t="shared" si="180"/>
        <v>1.6545207187692508</v>
      </c>
      <c r="ES123" s="4">
        <f t="shared" si="236"/>
        <v>2.6727876155691903</v>
      </c>
      <c r="ET123" s="4">
        <f t="shared" si="182"/>
        <v>257.79845584350602</v>
      </c>
      <c r="EU123" s="4">
        <f t="shared" si="183"/>
        <v>107.25</v>
      </c>
      <c r="EV123" s="4">
        <f t="shared" si="261"/>
        <v>2.8953960744479089E-5</v>
      </c>
      <c r="EW123" s="4">
        <f t="shared" si="237"/>
        <v>3.20597101595318</v>
      </c>
      <c r="EX123" s="4">
        <f t="shared" si="185"/>
        <v>269.69016553054132</v>
      </c>
      <c r="EY123" s="4">
        <f t="shared" si="186"/>
        <v>257.79845584350602</v>
      </c>
      <c r="EZ123" s="4">
        <f t="shared" si="187"/>
        <v>107.24999999999999</v>
      </c>
      <c r="FB123" s="4">
        <f t="shared" si="338"/>
        <v>0</v>
      </c>
      <c r="FG123" s="23">
        <f t="shared" si="339"/>
        <v>0.8</v>
      </c>
      <c r="FH123" s="23">
        <f t="shared" si="339"/>
        <v>1</v>
      </c>
      <c r="FI123" s="23">
        <f t="shared" si="230"/>
        <v>1.2</v>
      </c>
      <c r="FJ123" s="23">
        <f t="shared" si="340"/>
        <v>2.2000000000000002</v>
      </c>
      <c r="FK123" s="23">
        <f t="shared" si="340"/>
        <v>1.2</v>
      </c>
      <c r="FL123" s="23">
        <f t="shared" si="340"/>
        <v>1.2</v>
      </c>
      <c r="FM123" s="23">
        <f t="shared" si="218"/>
        <v>0</v>
      </c>
      <c r="FN123" s="23"/>
      <c r="FX123" s="4">
        <f>IF(O123&gt;=2.5*25.4,1,1.25)</f>
        <v>1.25</v>
      </c>
      <c r="FY123" s="4">
        <f t="shared" si="303"/>
        <v>1</v>
      </c>
      <c r="FZ123" s="4">
        <f t="shared" si="265"/>
        <v>0</v>
      </c>
      <c r="GA123" s="4">
        <f t="shared" si="266"/>
        <v>286.04076422203229</v>
      </c>
      <c r="GD123" s="4">
        <f>IF(AG123&gt;1, 0.05*(18-MIN(8,(Q123+K123)/K123))*(1-29.3/MAX(60000/145,(G123))*(K123)^0.75*FZ123), 1/12*(14-MIN(8,(Q123+K123)/K123)))</f>
        <v>1</v>
      </c>
    </row>
    <row r="124" spans="1:188" ht="12" hidden="1" customHeight="1" x14ac:dyDescent="0.3">
      <c r="A124" s="25">
        <v>106</v>
      </c>
      <c r="B124" s="24" t="s">
        <v>128</v>
      </c>
      <c r="C124" s="24">
        <v>2015</v>
      </c>
      <c r="D124" s="24" t="s">
        <v>293</v>
      </c>
      <c r="E124" s="24"/>
      <c r="F124" s="7" t="s">
        <v>130</v>
      </c>
      <c r="G124" s="7">
        <v>710</v>
      </c>
      <c r="H124" s="7">
        <f t="shared" si="315"/>
        <v>572</v>
      </c>
      <c r="I124" s="7">
        <f t="shared" ref="I124:I146" si="344">H124</f>
        <v>572</v>
      </c>
      <c r="J124" s="7">
        <v>41.4</v>
      </c>
      <c r="K124" s="7">
        <v>28.6</v>
      </c>
      <c r="L124" s="7">
        <v>20</v>
      </c>
      <c r="M124" s="7">
        <f t="shared" ref="M124:M146" si="345">L124</f>
        <v>20</v>
      </c>
      <c r="N124" s="7">
        <v>261</v>
      </c>
      <c r="O124" s="7">
        <f t="shared" ref="O124:O146" si="346">K124</f>
        <v>28.6</v>
      </c>
      <c r="P124" s="7"/>
      <c r="Q124" s="7">
        <f>1*K124</f>
        <v>28.6</v>
      </c>
      <c r="R124" s="7">
        <v>2</v>
      </c>
      <c r="S124" s="7">
        <f t="shared" ref="S124:S146" si="347">72.5-K124/2</f>
        <v>58.2</v>
      </c>
      <c r="T124" s="7">
        <f>MIN(Q124/K124/2+0.5, (S124+K124/2)/K124, O124/K124+0.5)</f>
        <v>1</v>
      </c>
      <c r="U124" s="7">
        <f>MIN(S124/K124+0.5, (O124+K124/2)/K124)</f>
        <v>1.5000000000000002</v>
      </c>
      <c r="V124" s="7">
        <f t="shared" ref="V124:V146" si="348">X124-1</f>
        <v>4</v>
      </c>
      <c r="W124" s="7">
        <f t="shared" si="152"/>
        <v>4</v>
      </c>
      <c r="X124" s="7">
        <v>5</v>
      </c>
      <c r="Y124" s="7">
        <f t="shared" si="200"/>
        <v>63.951544156493995</v>
      </c>
      <c r="Z124" s="7"/>
      <c r="AA124" s="7"/>
      <c r="AB124" s="7">
        <v>367</v>
      </c>
      <c r="AC124" s="7"/>
      <c r="AD124" s="7">
        <f t="shared" si="334"/>
        <v>1.2028473585857065</v>
      </c>
      <c r="AE124" s="7"/>
      <c r="AF124" s="7"/>
      <c r="AG124" s="7">
        <v>1</v>
      </c>
      <c r="AH124" s="7"/>
      <c r="AI124" s="7"/>
      <c r="AJ124" s="7"/>
      <c r="AK124" s="4">
        <f t="shared" si="279"/>
        <v>572</v>
      </c>
      <c r="AL124" s="46">
        <f t="shared" ref="AL124:AL146" si="349">MIN(N124)*(MIN(350-S124-0.5*K124,1.5*AK124)+S124+K124/2)/(3*H124)^2</f>
        <v>3.1022299378942735E-2</v>
      </c>
      <c r="AM124" s="25">
        <f t="shared" si="268"/>
        <v>685.08154812781754</v>
      </c>
      <c r="AN124" s="4">
        <f t="shared" si="269"/>
        <v>0.71499999999999997</v>
      </c>
      <c r="AO124" s="4">
        <v>1.25</v>
      </c>
      <c r="AP124" s="25">
        <f t="shared" si="317"/>
        <v>5</v>
      </c>
      <c r="AQ124" s="38">
        <f t="shared" si="271"/>
        <v>94.973471829891636</v>
      </c>
      <c r="AR124" s="38">
        <f t="shared" si="272"/>
        <v>94.973471829891636</v>
      </c>
      <c r="AT124" s="38">
        <f t="shared" ref="AT124:AT146" si="350">AP124* (J124^0.5/AK124^0.5)/(PI()/4*K124^2)/R124/0.72 *(0.7+(MIN(O124,S124)+0.5*K124)/5/H124) *(N124*MIN(S124+0.5*K124+1.5*H124,350))</f>
        <v>94.973471829891608</v>
      </c>
      <c r="AU124" s="38">
        <f t="shared" si="243"/>
        <v>1.0000000000000002</v>
      </c>
      <c r="AV124" s="38">
        <f t="shared" si="328"/>
        <v>2.092373756283548</v>
      </c>
      <c r="AW124" s="4">
        <f t="shared" si="323"/>
        <v>0</v>
      </c>
      <c r="AX124" s="4">
        <f t="shared" si="220"/>
        <v>677.29296598506994</v>
      </c>
      <c r="AY124" s="4">
        <f t="shared" si="221"/>
        <v>1.2000000000000002</v>
      </c>
      <c r="AZ124" s="38">
        <f t="shared" si="273"/>
        <v>198.72000000000003</v>
      </c>
      <c r="BA124" s="4">
        <f t="shared" si="222"/>
        <v>0.44000000000000006</v>
      </c>
      <c r="BB124" s="4">
        <f t="shared" si="244"/>
        <v>155.70965287996762</v>
      </c>
      <c r="BC124" s="4">
        <f t="shared" si="245"/>
        <v>354.42965287996765</v>
      </c>
      <c r="BE124" s="36">
        <f t="shared" si="312"/>
        <v>1</v>
      </c>
      <c r="BF124" s="36">
        <f t="shared" si="313"/>
        <v>347.4512915503409</v>
      </c>
      <c r="BK124" s="4">
        <f t="shared" si="156"/>
        <v>20.700000000000003</v>
      </c>
      <c r="BL124" s="4">
        <f t="shared" si="157"/>
        <v>20.700000000000003</v>
      </c>
      <c r="BM124" s="4">
        <f t="shared" si="158"/>
        <v>58.2</v>
      </c>
      <c r="BN124" s="4">
        <f t="shared" si="159"/>
        <v>35</v>
      </c>
      <c r="BO124" s="4">
        <f t="shared" si="160"/>
        <v>1.181159420289855</v>
      </c>
      <c r="BP124" s="25">
        <f t="shared" si="274"/>
        <v>1.4454748150400323</v>
      </c>
      <c r="BR124" s="4">
        <f t="shared" si="331"/>
        <v>14.3</v>
      </c>
      <c r="BV124" s="9"/>
      <c r="BX124" s="9"/>
      <c r="BY124" s="9"/>
      <c r="BZ124" s="9">
        <f t="shared" si="231"/>
        <v>14.3</v>
      </c>
      <c r="CA124" s="9">
        <f t="shared" si="232"/>
        <v>28.6</v>
      </c>
      <c r="CB124" s="9">
        <f t="shared" si="248"/>
        <v>0.78458409789675088</v>
      </c>
      <c r="CC124" s="9">
        <v>0</v>
      </c>
      <c r="CD124" s="9">
        <f t="shared" si="306"/>
        <v>0</v>
      </c>
      <c r="CE124" s="9">
        <f t="shared" si="249"/>
        <v>0</v>
      </c>
      <c r="CF124" s="9">
        <f t="shared" si="233"/>
        <v>0.96044432035915817</v>
      </c>
      <c r="CG124" s="9">
        <f t="shared" si="234"/>
        <v>0.74299999999999999</v>
      </c>
      <c r="CH124" s="9">
        <f t="shared" si="250"/>
        <v>1.6070493790635749</v>
      </c>
      <c r="CI124" s="9">
        <f t="shared" si="251"/>
        <v>1.2608653873481286</v>
      </c>
      <c r="CJ124" s="9">
        <v>1</v>
      </c>
      <c r="CK124" s="9">
        <f t="shared" si="252"/>
        <v>176.521154228738</v>
      </c>
      <c r="CM124" s="4">
        <f t="shared" si="341"/>
        <v>0.54186300232164242</v>
      </c>
      <c r="CN124" s="4">
        <f t="shared" si="342"/>
        <v>1.0354664092518509</v>
      </c>
      <c r="CO124" s="4">
        <f t="shared" si="208"/>
        <v>1.0562631624203553</v>
      </c>
      <c r="CP124" s="4">
        <f t="shared" si="335"/>
        <v>2.0790709283740432</v>
      </c>
      <c r="CQ124" s="4">
        <f t="shared" si="210"/>
        <v>1.2028473585857065</v>
      </c>
      <c r="CR124" s="4">
        <f t="shared" si="211"/>
        <v>1.2330838124645049</v>
      </c>
      <c r="CS124" s="4">
        <f t="shared" si="329"/>
        <v>0.96227543213506361</v>
      </c>
      <c r="CU124" s="4">
        <f t="shared" si="212"/>
        <v>0.54186300232164242</v>
      </c>
      <c r="CV124" s="4">
        <f t="shared" si="212"/>
        <v>1.0354664092518509</v>
      </c>
      <c r="CW124" s="4">
        <f t="shared" si="213"/>
        <v>2.0790709283740432</v>
      </c>
      <c r="CX124" s="4">
        <f t="shared" si="343"/>
        <v>0.96227543213506361</v>
      </c>
      <c r="CY124" s="4">
        <f t="shared" si="215"/>
        <v>1.2028473585857065</v>
      </c>
      <c r="CZ124" s="4">
        <f t="shared" si="215"/>
        <v>1.2330838124645049</v>
      </c>
      <c r="DH124" s="4">
        <f t="shared" si="167"/>
        <v>0</v>
      </c>
      <c r="DI124" s="4">
        <f t="shared" si="168"/>
        <v>572</v>
      </c>
      <c r="DJ124" s="4">
        <f t="shared" si="169"/>
        <v>1</v>
      </c>
      <c r="DL124" s="4">
        <f t="shared" si="170"/>
        <v>3.8605280992638792E-5</v>
      </c>
      <c r="DM124" s="4">
        <f t="shared" si="171"/>
        <v>3.3960968587263358</v>
      </c>
      <c r="DN124" s="4">
        <f t="shared" si="337"/>
        <v>0.14271180326286331</v>
      </c>
      <c r="DO124" s="4">
        <f t="shared" si="253"/>
        <v>1.5587053483872719</v>
      </c>
      <c r="DP124" s="4">
        <f t="shared" si="254"/>
        <v>2.644260971299238</v>
      </c>
      <c r="DQ124" s="4">
        <f t="shared" si="255"/>
        <v>3.0594872368137107</v>
      </c>
      <c r="DR124" s="38">
        <f t="shared" si="275"/>
        <v>305.10937017936692</v>
      </c>
      <c r="DS124" s="4">
        <f t="shared" si="256"/>
        <v>1.0000780160694358</v>
      </c>
      <c r="DT124" s="4">
        <f t="shared" si="330"/>
        <v>2.2360679774997898</v>
      </c>
      <c r="DU124" s="4">
        <f t="shared" si="276"/>
        <v>94.973471829891608</v>
      </c>
      <c r="DY124" s="4">
        <f t="shared" si="235"/>
        <v>1</v>
      </c>
      <c r="DZ124" s="4">
        <f t="shared" si="257"/>
        <v>1</v>
      </c>
      <c r="EA124" s="4">
        <f t="shared" si="258"/>
        <v>1</v>
      </c>
      <c r="EB124" s="4">
        <f t="shared" si="259"/>
        <v>1</v>
      </c>
      <c r="ED124" s="4">
        <f t="shared" si="277"/>
        <v>297.62778189950842</v>
      </c>
      <c r="EE124" s="25">
        <f t="shared" ref="EE124:EE146" si="351">8.8*N124*350*J124^0.5/R124/K124^2/H124^0.5*(0.7+MIN(S124,O124)/5/H124)</f>
        <v>93.861970375928266</v>
      </c>
      <c r="EH124" s="4">
        <f t="shared" si="314"/>
        <v>3.3960968587263358</v>
      </c>
      <c r="EI124" s="4">
        <f t="shared" si="174"/>
        <v>3.3960968587263358</v>
      </c>
      <c r="EK124" s="4">
        <f t="shared" si="175"/>
        <v>63.951544156493995</v>
      </c>
      <c r="EL124" s="4">
        <f t="shared" si="176"/>
        <v>2.2360679774997898</v>
      </c>
      <c r="EM124" s="4">
        <f t="shared" si="177"/>
        <v>5.0210590596265252E-2</v>
      </c>
      <c r="EP124" s="4">
        <f t="shared" si="332"/>
        <v>5.0210590596265252E-2</v>
      </c>
      <c r="EQ124" s="4">
        <f t="shared" si="333"/>
        <v>0.14247364386108202</v>
      </c>
      <c r="ER124" s="4">
        <f t="shared" si="180"/>
        <v>1.5576643515259319</v>
      </c>
      <c r="ES124" s="4">
        <f t="shared" si="236"/>
        <v>2.6439593371666055</v>
      </c>
      <c r="ET124" s="4">
        <f t="shared" si="182"/>
        <v>365.04845584350602</v>
      </c>
      <c r="EU124" s="4">
        <f t="shared" si="183"/>
        <v>143</v>
      </c>
      <c r="EV124" s="4">
        <f t="shared" si="261"/>
        <v>3.8605280992638792E-5</v>
      </c>
      <c r="EW124" s="4">
        <f t="shared" si="237"/>
        <v>3.0595327134306922</v>
      </c>
      <c r="EX124" s="4">
        <f t="shared" si="185"/>
        <v>305.08556860246296</v>
      </c>
      <c r="EY124" s="4">
        <f t="shared" si="186"/>
        <v>365.04845584350602</v>
      </c>
      <c r="EZ124" s="4">
        <f t="shared" si="187"/>
        <v>143</v>
      </c>
      <c r="FB124" s="4">
        <f t="shared" si="338"/>
        <v>0</v>
      </c>
      <c r="FG124" s="23">
        <f t="shared" si="339"/>
        <v>0.6</v>
      </c>
      <c r="FH124" s="23">
        <f t="shared" si="339"/>
        <v>1.2</v>
      </c>
      <c r="FI124" s="23">
        <f t="shared" si="230"/>
        <v>1</v>
      </c>
      <c r="FJ124" s="23">
        <f t="shared" si="340"/>
        <v>2.2000000000000002</v>
      </c>
      <c r="FK124" s="23">
        <f t="shared" si="340"/>
        <v>1.4</v>
      </c>
      <c r="FL124" s="23">
        <f t="shared" si="340"/>
        <v>1.4</v>
      </c>
      <c r="FM124" s="23">
        <f t="shared" si="218"/>
        <v>0</v>
      </c>
      <c r="FN124" s="23"/>
      <c r="FX124" s="4">
        <f t="shared" si="263"/>
        <v>1.25</v>
      </c>
      <c r="FY124" s="4">
        <f t="shared" si="303"/>
        <v>1</v>
      </c>
      <c r="FZ124" s="4">
        <f t="shared" si="265"/>
        <v>0</v>
      </c>
      <c r="GA124" s="4">
        <f t="shared" si="266"/>
        <v>381.38768562937645</v>
      </c>
      <c r="GD124" s="4">
        <f>IF(AG124&gt;1, 0.05*(18-MIN(8,(Q124+K124)/K124))*(1-29.3/MAX(60000/145,(G124))*(K124)^0.75*FZ124), 1/12*(14-MIN(8,(Q124+K124)/K124)))</f>
        <v>1</v>
      </c>
    </row>
    <row r="125" spans="1:188" ht="12" hidden="1" customHeight="1" x14ac:dyDescent="0.3">
      <c r="A125" s="25">
        <v>107</v>
      </c>
      <c r="B125" s="24" t="s">
        <v>128</v>
      </c>
      <c r="C125" s="24">
        <v>2015</v>
      </c>
      <c r="D125" s="24" t="s">
        <v>293</v>
      </c>
      <c r="E125" s="24"/>
      <c r="F125" s="7" t="s">
        <v>131</v>
      </c>
      <c r="G125" s="7">
        <v>710</v>
      </c>
      <c r="H125" s="7">
        <f t="shared" si="315"/>
        <v>715</v>
      </c>
      <c r="I125" s="7">
        <f t="shared" si="344"/>
        <v>715</v>
      </c>
      <c r="J125" s="7">
        <v>41.4</v>
      </c>
      <c r="K125" s="7">
        <v>28.6</v>
      </c>
      <c r="L125" s="7">
        <v>25</v>
      </c>
      <c r="M125" s="7">
        <f t="shared" si="345"/>
        <v>25</v>
      </c>
      <c r="N125" s="7">
        <v>261</v>
      </c>
      <c r="O125" s="7">
        <f t="shared" si="346"/>
        <v>28.6</v>
      </c>
      <c r="P125" s="7"/>
      <c r="Q125" s="7">
        <f>1*K125</f>
        <v>28.6</v>
      </c>
      <c r="R125" s="7">
        <v>2</v>
      </c>
      <c r="S125" s="7">
        <f t="shared" si="347"/>
        <v>58.2</v>
      </c>
      <c r="T125" s="7">
        <f t="shared" si="304"/>
        <v>1</v>
      </c>
      <c r="U125" s="7">
        <f>MIN(S125/K125+0.5, (O125+K125/2)/K125)</f>
        <v>1.5000000000000002</v>
      </c>
      <c r="V125" s="7">
        <f t="shared" si="348"/>
        <v>4</v>
      </c>
      <c r="W125" s="7">
        <f t="shared" si="152"/>
        <v>4</v>
      </c>
      <c r="X125" s="7">
        <v>5</v>
      </c>
      <c r="Y125" s="7">
        <f t="shared" ref="Y125:Y188" si="352">K125*X125^0.5</f>
        <v>63.951544156493995</v>
      </c>
      <c r="Z125" s="7"/>
      <c r="AA125" s="7"/>
      <c r="AB125" s="7">
        <v>434</v>
      </c>
      <c r="AC125" s="7"/>
      <c r="AD125" s="7">
        <f t="shared" si="334"/>
        <v>1.2649074665071125</v>
      </c>
      <c r="AE125" s="7"/>
      <c r="AF125" s="7"/>
      <c r="AG125" s="7">
        <v>1</v>
      </c>
      <c r="AH125" s="7"/>
      <c r="AI125" s="7"/>
      <c r="AJ125" s="7"/>
      <c r="AK125" s="4">
        <f t="shared" si="279"/>
        <v>715</v>
      </c>
      <c r="AL125" s="46">
        <f t="shared" si="349"/>
        <v>1.985427160252335E-2</v>
      </c>
      <c r="AM125" s="25">
        <f t="shared" si="268"/>
        <v>957.4305698403698</v>
      </c>
      <c r="AN125" s="4">
        <f t="shared" si="269"/>
        <v>0.71199999999999997</v>
      </c>
      <c r="AO125" s="4">
        <v>1.25</v>
      </c>
      <c r="AP125" s="25">
        <f t="shared" si="317"/>
        <v>5</v>
      </c>
      <c r="AQ125" s="38">
        <f t="shared" si="271"/>
        <v>84.590435255053848</v>
      </c>
      <c r="AR125" s="38">
        <f t="shared" si="272"/>
        <v>84.590435255053848</v>
      </c>
      <c r="AT125" s="38">
        <f t="shared" si="350"/>
        <v>84.590435255053919</v>
      </c>
      <c r="AU125" s="38">
        <f t="shared" si="243"/>
        <v>0.99999999999999911</v>
      </c>
      <c r="AV125" s="38">
        <f t="shared" si="328"/>
        <v>2.3492017673254302</v>
      </c>
      <c r="AW125" s="4">
        <f t="shared" si="323"/>
        <v>0</v>
      </c>
      <c r="AX125" s="4">
        <f t="shared" si="220"/>
        <v>846.61620748133748</v>
      </c>
      <c r="AY125" s="4">
        <f t="shared" si="221"/>
        <v>1.2000000000000002</v>
      </c>
      <c r="AZ125" s="38">
        <f t="shared" si="273"/>
        <v>198.72000000000003</v>
      </c>
      <c r="BA125" s="4">
        <f t="shared" si="222"/>
        <v>0.44000000000000006</v>
      </c>
      <c r="BB125" s="4">
        <f t="shared" si="244"/>
        <v>194.63706609995953</v>
      </c>
      <c r="BC125" s="4">
        <f t="shared" si="245"/>
        <v>393.35706609995952</v>
      </c>
      <c r="BE125" s="36">
        <f t="shared" si="312"/>
        <v>1</v>
      </c>
      <c r="BF125" s="36">
        <f t="shared" si="313"/>
        <v>398.92555696520623</v>
      </c>
      <c r="BK125" s="4">
        <f t="shared" si="156"/>
        <v>20.700000000000003</v>
      </c>
      <c r="BL125" s="4">
        <f t="shared" si="157"/>
        <v>20.700000000000003</v>
      </c>
      <c r="BM125" s="4">
        <f t="shared" si="158"/>
        <v>58.2</v>
      </c>
      <c r="BN125" s="4">
        <f t="shared" si="159"/>
        <v>35</v>
      </c>
      <c r="BO125" s="4">
        <f t="shared" si="160"/>
        <v>1.181159420289855</v>
      </c>
      <c r="BP125" s="25">
        <f t="shared" si="274"/>
        <v>1.4454748150400323</v>
      </c>
      <c r="BR125" s="4">
        <f t="shared" si="331"/>
        <v>14.3</v>
      </c>
      <c r="BV125" s="9"/>
      <c r="BX125" s="9"/>
      <c r="BY125" s="9"/>
      <c r="BZ125" s="9">
        <f t="shared" si="231"/>
        <v>14.3</v>
      </c>
      <c r="CA125" s="9">
        <f t="shared" si="232"/>
        <v>28.6</v>
      </c>
      <c r="CB125" s="9">
        <f t="shared" si="248"/>
        <v>0.78458409789675088</v>
      </c>
      <c r="CC125" s="9">
        <v>0</v>
      </c>
      <c r="CD125" s="9">
        <f t="shared" si="306"/>
        <v>0</v>
      </c>
      <c r="CE125" s="9">
        <f t="shared" si="249"/>
        <v>0</v>
      </c>
      <c r="CF125" s="9">
        <f t="shared" si="233"/>
        <v>0.96044432035915817</v>
      </c>
      <c r="CG125" s="9">
        <f t="shared" si="234"/>
        <v>0.74299999999999999</v>
      </c>
      <c r="CH125" s="9">
        <f t="shared" si="250"/>
        <v>1.6070493790635749</v>
      </c>
      <c r="CI125" s="9">
        <f t="shared" si="251"/>
        <v>1.2608653873481286</v>
      </c>
      <c r="CJ125" s="9">
        <v>1</v>
      </c>
      <c r="CK125" s="9">
        <f t="shared" si="252"/>
        <v>201.73846197570057</v>
      </c>
      <c r="CM125" s="4">
        <f t="shared" si="341"/>
        <v>0.51262897658330853</v>
      </c>
      <c r="CN125" s="4">
        <f t="shared" si="342"/>
        <v>1.1033232586947157</v>
      </c>
      <c r="CO125" s="4">
        <f t="shared" si="208"/>
        <v>1.087922276280366</v>
      </c>
      <c r="CP125" s="4">
        <f t="shared" si="335"/>
        <v>2.1513002317439862</v>
      </c>
      <c r="CQ125" s="4">
        <f t="shared" si="210"/>
        <v>1.2649074665071125</v>
      </c>
      <c r="CR125" s="4">
        <f t="shared" si="211"/>
        <v>1.282416942736895</v>
      </c>
      <c r="CS125" s="4">
        <f t="shared" si="329"/>
        <v>0.9103597548700112</v>
      </c>
      <c r="CU125" s="4">
        <f t="shared" si="212"/>
        <v>0.51262897658330853</v>
      </c>
      <c r="CV125" s="4">
        <f t="shared" si="212"/>
        <v>1.1033232586947157</v>
      </c>
      <c r="CW125" s="4">
        <f t="shared" si="213"/>
        <v>2.1513002317439862</v>
      </c>
      <c r="CX125" s="4">
        <f t="shared" si="343"/>
        <v>0.9103597548700112</v>
      </c>
      <c r="CY125" s="4">
        <f t="shared" si="215"/>
        <v>1.2649074665071125</v>
      </c>
      <c r="CZ125" s="4">
        <f t="shared" si="215"/>
        <v>1.282416942736895</v>
      </c>
      <c r="DH125" s="4">
        <f t="shared" si="167"/>
        <v>0</v>
      </c>
      <c r="DI125" s="4">
        <f t="shared" si="168"/>
        <v>715</v>
      </c>
      <c r="DJ125" s="4">
        <f t="shared" si="169"/>
        <v>1</v>
      </c>
      <c r="DL125" s="4">
        <f t="shared" si="170"/>
        <v>4.8256601240798481E-5</v>
      </c>
      <c r="DM125" s="4">
        <f t="shared" si="171"/>
        <v>3.3960968587263358</v>
      </c>
      <c r="DN125" s="4">
        <f t="shared" si="337"/>
        <v>0.12710974255697069</v>
      </c>
      <c r="DO125" s="4">
        <f t="shared" si="253"/>
        <v>1.4881667734234449</v>
      </c>
      <c r="DP125" s="4">
        <f t="shared" si="254"/>
        <v>2.6242346175572533</v>
      </c>
      <c r="DQ125" s="4">
        <f t="shared" si="255"/>
        <v>2.8744548041420339</v>
      </c>
      <c r="DR125" s="38">
        <f t="shared" si="275"/>
        <v>343.10810196925945</v>
      </c>
      <c r="DS125" s="4">
        <f t="shared" si="256"/>
        <v>1.0000745750655677</v>
      </c>
      <c r="DT125" s="4">
        <f t="shared" si="330"/>
        <v>2.2360679774997898</v>
      </c>
      <c r="DU125" s="4">
        <f t="shared" si="276"/>
        <v>84.590435255053919</v>
      </c>
      <c r="DY125" s="4">
        <f t="shared" si="235"/>
        <v>1</v>
      </c>
      <c r="DZ125" s="4">
        <f t="shared" si="257"/>
        <v>1</v>
      </c>
      <c r="EA125" s="4">
        <f t="shared" si="258"/>
        <v>1</v>
      </c>
      <c r="EB125" s="4">
        <f t="shared" si="259"/>
        <v>1</v>
      </c>
      <c r="ED125" s="4">
        <f t="shared" si="277"/>
        <v>338.42347643487187</v>
      </c>
      <c r="EE125" s="25">
        <f t="shared" si="351"/>
        <v>83.71621203039669</v>
      </c>
      <c r="EH125" s="4">
        <f t="shared" si="314"/>
        <v>3.3960968587263358</v>
      </c>
      <c r="EI125" s="4">
        <f t="shared" si="174"/>
        <v>3.3960968587263358</v>
      </c>
      <c r="EK125" s="4">
        <f t="shared" si="175"/>
        <v>63.951544156493995</v>
      </c>
      <c r="EL125" s="4">
        <f t="shared" si="176"/>
        <v>2.2360679774997898</v>
      </c>
      <c r="EM125" s="4">
        <f t="shared" si="177"/>
        <v>4.4721285124322517E-2</v>
      </c>
      <c r="EP125" s="4">
        <f t="shared" si="332"/>
        <v>4.4721285124322517E-2</v>
      </c>
      <c r="EQ125" s="4">
        <f t="shared" si="333"/>
        <v>0.12689762008667871</v>
      </c>
      <c r="ER125" s="4">
        <f t="shared" si="180"/>
        <v>1.4871728864505882</v>
      </c>
      <c r="ES125" s="4">
        <f t="shared" si="236"/>
        <v>2.6239584862371039</v>
      </c>
      <c r="ET125" s="4">
        <f t="shared" si="182"/>
        <v>472.29845584350602</v>
      </c>
      <c r="EU125" s="4">
        <f t="shared" si="183"/>
        <v>178.74999999999994</v>
      </c>
      <c r="EV125" s="4">
        <f t="shared" si="261"/>
        <v>4.8256601240798467E-5</v>
      </c>
      <c r="EW125" s="4">
        <f t="shared" si="237"/>
        <v>2.8745165741246637</v>
      </c>
      <c r="EX125" s="4">
        <f t="shared" si="185"/>
        <v>343.08251656809125</v>
      </c>
      <c r="EY125" s="4">
        <f t="shared" si="186"/>
        <v>472.29845584350602</v>
      </c>
      <c r="EZ125" s="4">
        <f t="shared" si="187"/>
        <v>178.75</v>
      </c>
      <c r="FB125" s="4">
        <f t="shared" si="338"/>
        <v>0</v>
      </c>
      <c r="FG125" s="23">
        <f t="shared" si="339"/>
        <v>0.6</v>
      </c>
      <c r="FH125" s="23">
        <f t="shared" si="339"/>
        <v>1.2</v>
      </c>
      <c r="FI125" s="23">
        <f t="shared" si="230"/>
        <v>1</v>
      </c>
      <c r="FJ125" s="23">
        <f t="shared" si="340"/>
        <v>2.2000000000000002</v>
      </c>
      <c r="FK125" s="23">
        <f t="shared" si="340"/>
        <v>1.4</v>
      </c>
      <c r="FL125" s="23">
        <f t="shared" si="340"/>
        <v>1.4</v>
      </c>
      <c r="FM125" s="23">
        <f t="shared" si="218"/>
        <v>0</v>
      </c>
      <c r="FN125" s="23"/>
      <c r="FX125" s="4">
        <f t="shared" si="263"/>
        <v>1.25</v>
      </c>
      <c r="FY125" s="4">
        <f t="shared" si="303"/>
        <v>1</v>
      </c>
      <c r="FZ125" s="4">
        <f t="shared" si="265"/>
        <v>0</v>
      </c>
      <c r="GA125" s="4">
        <f t="shared" si="266"/>
        <v>476.73460703672049</v>
      </c>
      <c r="GD125" s="4">
        <f>IF(AG125&gt;1, 0.05*(18-MIN(8,(Q125+K125)/K125))*(1-29.3/MAX(60000/145,(G125))*(K125)^0.75*FZ125), 1/12*(14-MIN(8,(Q125+K125)/K125)))</f>
        <v>1</v>
      </c>
    </row>
    <row r="126" spans="1:188" ht="12" hidden="1" customHeight="1" x14ac:dyDescent="0.3">
      <c r="A126" s="25">
        <v>108</v>
      </c>
      <c r="B126" s="24" t="s">
        <v>128</v>
      </c>
      <c r="C126" s="24">
        <v>2015</v>
      </c>
      <c r="D126" s="24" t="s">
        <v>293</v>
      </c>
      <c r="E126" s="24"/>
      <c r="F126" s="7" t="s">
        <v>140</v>
      </c>
      <c r="G126" s="7">
        <v>710</v>
      </c>
      <c r="H126" s="7">
        <f t="shared" si="315"/>
        <v>858</v>
      </c>
      <c r="I126" s="7">
        <f t="shared" si="344"/>
        <v>858</v>
      </c>
      <c r="J126" s="7">
        <v>40.1</v>
      </c>
      <c r="K126" s="7">
        <v>28.6</v>
      </c>
      <c r="L126" s="7">
        <v>30</v>
      </c>
      <c r="M126" s="7">
        <f t="shared" si="345"/>
        <v>30</v>
      </c>
      <c r="N126" s="7">
        <v>261</v>
      </c>
      <c r="O126" s="7">
        <f t="shared" si="346"/>
        <v>28.6</v>
      </c>
      <c r="P126" s="7"/>
      <c r="Q126" s="7">
        <f>1*K126</f>
        <v>28.6</v>
      </c>
      <c r="R126" s="7">
        <v>2</v>
      </c>
      <c r="S126" s="7">
        <f t="shared" si="347"/>
        <v>58.2</v>
      </c>
      <c r="T126" s="7">
        <f t="shared" si="304"/>
        <v>1</v>
      </c>
      <c r="U126" s="7">
        <f t="shared" ref="U126:U146" si="353">MIN(S126/K126+0.5, (O126+K126/2)/K126)</f>
        <v>1.5000000000000002</v>
      </c>
      <c r="V126" s="7">
        <f t="shared" si="348"/>
        <v>4</v>
      </c>
      <c r="W126" s="7">
        <f t="shared" si="152"/>
        <v>4</v>
      </c>
      <c r="X126" s="7">
        <v>5</v>
      </c>
      <c r="Y126" s="7">
        <f t="shared" si="352"/>
        <v>63.951544156493995</v>
      </c>
      <c r="Z126" s="7"/>
      <c r="AA126" s="7"/>
      <c r="AB126" s="7">
        <v>459</v>
      </c>
      <c r="AC126" s="7"/>
      <c r="AD126" s="7">
        <f t="shared" si="334"/>
        <v>1.2218671658492044</v>
      </c>
      <c r="AE126" s="7"/>
      <c r="AF126" s="7"/>
      <c r="AG126" s="7">
        <v>1</v>
      </c>
      <c r="AH126" s="7"/>
      <c r="AI126" s="7"/>
      <c r="AJ126" s="7"/>
      <c r="AK126" s="4">
        <f t="shared" si="279"/>
        <v>858</v>
      </c>
      <c r="AL126" s="46">
        <f t="shared" si="349"/>
        <v>1.3787688612863438E-2</v>
      </c>
      <c r="AM126" s="25">
        <f t="shared" si="268"/>
        <v>1238.6573236566996</v>
      </c>
      <c r="AN126" s="4">
        <f t="shared" si="269"/>
        <v>0.71</v>
      </c>
      <c r="AO126" s="4">
        <v>1.25</v>
      </c>
      <c r="AP126" s="25">
        <f t="shared" si="317"/>
        <v>5</v>
      </c>
      <c r="AQ126" s="38">
        <f t="shared" si="271"/>
        <v>75.784607802507367</v>
      </c>
      <c r="AR126" s="38">
        <f t="shared" si="272"/>
        <v>75.784607802507367</v>
      </c>
      <c r="AT126" s="38">
        <f t="shared" si="350"/>
        <v>75.784607802507395</v>
      </c>
      <c r="AU126" s="38">
        <f t="shared" si="243"/>
        <v>0.99999999999999967</v>
      </c>
      <c r="AV126" s="38">
        <f t="shared" si="328"/>
        <v>2.5398297303536577</v>
      </c>
      <c r="AW126" s="4">
        <f t="shared" si="323"/>
        <v>0</v>
      </c>
      <c r="AX126" s="4">
        <f t="shared" si="220"/>
        <v>999.86148625184615</v>
      </c>
      <c r="AY126" s="4">
        <f t="shared" si="221"/>
        <v>1.2000000000000002</v>
      </c>
      <c r="AZ126" s="38">
        <f t="shared" si="273"/>
        <v>192.48000000000005</v>
      </c>
      <c r="BA126" s="4">
        <f t="shared" si="222"/>
        <v>0.44000000000000006</v>
      </c>
      <c r="BB126" s="4">
        <f t="shared" si="244"/>
        <v>229.86815568929941</v>
      </c>
      <c r="BC126" s="4">
        <f t="shared" si="245"/>
        <v>422.34815568929946</v>
      </c>
      <c r="BE126" s="36">
        <f t="shared" si="312"/>
        <v>1</v>
      </c>
      <c r="BF126" s="36">
        <f t="shared" si="313"/>
        <v>443.27192557165176</v>
      </c>
      <c r="BK126" s="4">
        <f t="shared" si="156"/>
        <v>20.700000000000003</v>
      </c>
      <c r="BL126" s="4">
        <f t="shared" si="157"/>
        <v>20.700000000000003</v>
      </c>
      <c r="BM126" s="4">
        <f t="shared" si="158"/>
        <v>58.2</v>
      </c>
      <c r="BN126" s="4">
        <f t="shared" si="159"/>
        <v>35</v>
      </c>
      <c r="BO126" s="4">
        <f t="shared" si="160"/>
        <v>1.181159420289855</v>
      </c>
      <c r="BP126" s="25">
        <f t="shared" si="274"/>
        <v>1.4454748150400323</v>
      </c>
      <c r="BR126" s="4">
        <f t="shared" si="331"/>
        <v>14.3</v>
      </c>
      <c r="BV126" s="9"/>
      <c r="BX126" s="9"/>
      <c r="BY126" s="9"/>
      <c r="BZ126" s="9">
        <f t="shared" si="231"/>
        <v>14.3</v>
      </c>
      <c r="CA126" s="9">
        <f t="shared" si="232"/>
        <v>28.6</v>
      </c>
      <c r="CB126" s="9">
        <f t="shared" si="248"/>
        <v>0.78458409789675088</v>
      </c>
      <c r="CC126" s="9">
        <v>0</v>
      </c>
      <c r="CD126" s="9">
        <f t="shared" si="306"/>
        <v>0</v>
      </c>
      <c r="CE126" s="9">
        <f t="shared" si="249"/>
        <v>0</v>
      </c>
      <c r="CF126" s="9">
        <f t="shared" si="233"/>
        <v>0.96044432035915817</v>
      </c>
      <c r="CG126" s="9">
        <f t="shared" si="234"/>
        <v>0.74299999999999999</v>
      </c>
      <c r="CH126" s="9">
        <f t="shared" si="250"/>
        <v>1.5816166822222031</v>
      </c>
      <c r="CI126" s="9">
        <f t="shared" si="251"/>
        <v>1.2409112978397594</v>
      </c>
      <c r="CJ126" s="9">
        <v>1</v>
      </c>
      <c r="CK126" s="9">
        <f t="shared" si="252"/>
        <v>223.36403361115669</v>
      </c>
      <c r="CM126" s="4">
        <f t="shared" si="341"/>
        <v>0.45906358661802343</v>
      </c>
      <c r="CN126" s="4">
        <f t="shared" si="342"/>
        <v>1.0867811160460317</v>
      </c>
      <c r="CO126" s="4">
        <f t="shared" si="208"/>
        <v>1.0354817743263687</v>
      </c>
      <c r="CP126" s="4">
        <f t="shared" si="335"/>
        <v>2.0549414002750783</v>
      </c>
      <c r="CQ126" s="4">
        <f t="shared" si="210"/>
        <v>1.2218671658492044</v>
      </c>
      <c r="CR126" s="4">
        <f t="shared" si="211"/>
        <v>1.2211258658072901</v>
      </c>
      <c r="CS126" s="4">
        <f t="shared" si="329"/>
        <v>0.80875830298500517</v>
      </c>
      <c r="CU126" s="4">
        <f t="shared" si="212"/>
        <v>0.45906358661802343</v>
      </c>
      <c r="CV126" s="4">
        <f t="shared" si="212"/>
        <v>1.0867811160460317</v>
      </c>
      <c r="CW126" s="4">
        <f t="shared" si="213"/>
        <v>2.0549414002750783</v>
      </c>
      <c r="CX126" s="4">
        <f t="shared" si="343"/>
        <v>0.80875830298500517</v>
      </c>
      <c r="CY126" s="4">
        <f t="shared" si="215"/>
        <v>1.2218671658492044</v>
      </c>
      <c r="CZ126" s="4">
        <f t="shared" si="215"/>
        <v>1.2211258658072901</v>
      </c>
      <c r="DH126" s="4">
        <f t="shared" si="167"/>
        <v>0</v>
      </c>
      <c r="DI126" s="4">
        <f t="shared" si="168"/>
        <v>858</v>
      </c>
      <c r="DJ126" s="4">
        <f t="shared" si="169"/>
        <v>1</v>
      </c>
      <c r="DL126" s="4">
        <f t="shared" si="170"/>
        <v>5.7413446512468419E-5</v>
      </c>
      <c r="DM126" s="4">
        <f t="shared" si="171"/>
        <v>3.3423512159494768</v>
      </c>
      <c r="DN126" s="4">
        <f t="shared" si="337"/>
        <v>0.1175694686499857</v>
      </c>
      <c r="DO126" s="4">
        <f t="shared" si="253"/>
        <v>1.4196127983037286</v>
      </c>
      <c r="DP126" s="4">
        <f t="shared" si="254"/>
        <v>2.5703748103759092</v>
      </c>
      <c r="DQ126" s="4">
        <f t="shared" si="255"/>
        <v>2.6276323352079785</v>
      </c>
      <c r="DR126" s="38">
        <f t="shared" si="275"/>
        <v>375.65458245290722</v>
      </c>
      <c r="DS126" s="4">
        <f t="shared" si="256"/>
        <v>1.0000716468355491</v>
      </c>
      <c r="DT126" s="4">
        <f t="shared" si="330"/>
        <v>2.2360679774997898</v>
      </c>
      <c r="DU126" s="4">
        <f t="shared" si="276"/>
        <v>75.784607802507395</v>
      </c>
      <c r="DY126" s="4">
        <f t="shared" si="235"/>
        <v>1</v>
      </c>
      <c r="DZ126" s="4">
        <f t="shared" si="257"/>
        <v>1</v>
      </c>
      <c r="EA126" s="4">
        <f t="shared" si="258"/>
        <v>1</v>
      </c>
      <c r="EB126" s="4">
        <f t="shared" si="259"/>
        <v>1</v>
      </c>
      <c r="ED126" s="4">
        <f t="shared" si="277"/>
        <v>375.88262836161749</v>
      </c>
      <c r="EE126" s="25">
        <f t="shared" si="351"/>
        <v>75.071018926164598</v>
      </c>
      <c r="EH126" s="4">
        <f t="shared" si="314"/>
        <v>3.3423512159494768</v>
      </c>
      <c r="EI126" s="4">
        <f t="shared" si="174"/>
        <v>3.3423512159494768</v>
      </c>
      <c r="EK126" s="4">
        <f t="shared" si="175"/>
        <v>63.951544156493995</v>
      </c>
      <c r="EL126" s="4">
        <f t="shared" si="176"/>
        <v>2.2360679774997898</v>
      </c>
      <c r="EM126" s="4">
        <f t="shared" si="177"/>
        <v>4.0710084810113026E-2</v>
      </c>
      <c r="EP126" s="4">
        <f t="shared" si="332"/>
        <v>4.0710084810113026E-2</v>
      </c>
      <c r="EQ126" s="4">
        <f t="shared" si="333"/>
        <v>0.11737326711877917</v>
      </c>
      <c r="ER126" s="4">
        <f t="shared" si="180"/>
        <v>1.418664695784621</v>
      </c>
      <c r="ES126" s="4">
        <f t="shared" si="236"/>
        <v>2.5701188989532699</v>
      </c>
      <c r="ET126" s="4">
        <f t="shared" si="182"/>
        <v>579.54845584350596</v>
      </c>
      <c r="EU126" s="4">
        <f t="shared" si="183"/>
        <v>214.5</v>
      </c>
      <c r="EV126" s="4">
        <f t="shared" si="261"/>
        <v>5.7413446512468419E-5</v>
      </c>
      <c r="EW126" s="4">
        <f t="shared" si="237"/>
        <v>2.627709356525437</v>
      </c>
      <c r="EX126" s="4">
        <f t="shared" si="185"/>
        <v>375.62766991901287</v>
      </c>
      <c r="EY126" s="4">
        <f t="shared" si="186"/>
        <v>579.54845584350596</v>
      </c>
      <c r="EZ126" s="4">
        <f t="shared" si="187"/>
        <v>214.50000000000006</v>
      </c>
      <c r="FB126" s="4">
        <f t="shared" si="338"/>
        <v>0</v>
      </c>
      <c r="FG126" s="23">
        <f t="shared" si="339"/>
        <v>0.6</v>
      </c>
      <c r="FH126" s="23">
        <f t="shared" si="339"/>
        <v>1.2</v>
      </c>
      <c r="FI126" s="23">
        <f t="shared" si="230"/>
        <v>1</v>
      </c>
      <c r="FJ126" s="23">
        <f t="shared" si="340"/>
        <v>2.2000000000000002</v>
      </c>
      <c r="FK126" s="23">
        <f t="shared" si="340"/>
        <v>1.4</v>
      </c>
      <c r="FL126" s="23">
        <f t="shared" si="340"/>
        <v>1.4</v>
      </c>
      <c r="FM126" s="23">
        <f t="shared" si="218"/>
        <v>0</v>
      </c>
      <c r="FN126" s="23"/>
      <c r="FX126" s="4">
        <f t="shared" si="263"/>
        <v>1.25</v>
      </c>
      <c r="FY126" s="4">
        <f t="shared" si="303"/>
        <v>1</v>
      </c>
      <c r="FZ126" s="4">
        <f t="shared" si="265"/>
        <v>0</v>
      </c>
      <c r="GA126" s="4">
        <f t="shared" si="266"/>
        <v>567.53667728158098</v>
      </c>
    </row>
    <row r="127" spans="1:188" ht="12" hidden="1" customHeight="1" x14ac:dyDescent="0.3">
      <c r="A127" s="25">
        <v>109</v>
      </c>
      <c r="B127" s="24" t="s">
        <v>128</v>
      </c>
      <c r="C127" s="24">
        <v>2015</v>
      </c>
      <c r="D127" s="24" t="s">
        <v>293</v>
      </c>
      <c r="E127" s="24"/>
      <c r="F127" s="7" t="s">
        <v>132</v>
      </c>
      <c r="G127" s="7">
        <v>710</v>
      </c>
      <c r="H127" s="7">
        <f t="shared" si="315"/>
        <v>429</v>
      </c>
      <c r="I127" s="7">
        <f t="shared" si="344"/>
        <v>429</v>
      </c>
      <c r="J127" s="7">
        <v>41.4</v>
      </c>
      <c r="K127" s="7">
        <v>28.6</v>
      </c>
      <c r="L127" s="7">
        <v>15</v>
      </c>
      <c r="M127" s="7">
        <f t="shared" si="345"/>
        <v>15</v>
      </c>
      <c r="N127" s="7">
        <v>406</v>
      </c>
      <c r="O127" s="7">
        <f>K127*2</f>
        <v>57.2</v>
      </c>
      <c r="P127" s="7"/>
      <c r="Q127" s="7">
        <f>2*K127</f>
        <v>57.2</v>
      </c>
      <c r="R127" s="7">
        <v>2</v>
      </c>
      <c r="S127" s="7">
        <f t="shared" si="347"/>
        <v>58.2</v>
      </c>
      <c r="T127" s="7">
        <f t="shared" si="304"/>
        <v>1.5</v>
      </c>
      <c r="U127" s="7">
        <f t="shared" si="353"/>
        <v>2.5</v>
      </c>
      <c r="V127" s="7">
        <f t="shared" si="348"/>
        <v>4</v>
      </c>
      <c r="W127" s="7">
        <f t="shared" ref="W127:W146" si="354">MIN(W$16,V127)</f>
        <v>4</v>
      </c>
      <c r="X127" s="7">
        <v>5</v>
      </c>
      <c r="Y127" s="7">
        <f t="shared" si="352"/>
        <v>63.951544156493995</v>
      </c>
      <c r="Z127" s="7"/>
      <c r="AA127" s="7"/>
      <c r="AB127" s="7">
        <v>335</v>
      </c>
      <c r="AC127" s="7"/>
      <c r="AD127" s="7">
        <f t="shared" si="334"/>
        <v>0.8697189751249067</v>
      </c>
      <c r="AE127" s="7"/>
      <c r="AF127" s="7"/>
      <c r="AG127" s="7">
        <v>1</v>
      </c>
      <c r="AH127" s="7"/>
      <c r="AI127" s="7"/>
      <c r="AJ127" s="7"/>
      <c r="AK127" s="4">
        <f t="shared" si="279"/>
        <v>429</v>
      </c>
      <c r="AL127" s="46">
        <f t="shared" si="349"/>
        <v>8.5790062480039175E-2</v>
      </c>
      <c r="AM127" s="25">
        <f t="shared" si="268"/>
        <v>444.9735182569961</v>
      </c>
      <c r="AN127" s="4">
        <f t="shared" si="269"/>
        <v>0.73333333333333328</v>
      </c>
      <c r="AO127" s="4">
        <v>1.25</v>
      </c>
      <c r="AP127" s="25">
        <f t="shared" si="317"/>
        <v>5</v>
      </c>
      <c r="AQ127" s="38">
        <f t="shared" si="271"/>
        <v>174.96556886063999</v>
      </c>
      <c r="AR127" s="38">
        <f t="shared" si="272"/>
        <v>174.96556886063999</v>
      </c>
      <c r="AT127" s="38">
        <f t="shared" si="350"/>
        <v>174.96556886063993</v>
      </c>
      <c r="AU127" s="38">
        <f t="shared" si="243"/>
        <v>1.0000000000000002</v>
      </c>
      <c r="AV127" s="38">
        <f t="shared" si="328"/>
        <v>1.7982966708759178</v>
      </c>
      <c r="AW127" s="4">
        <f t="shared" si="323"/>
        <v>0</v>
      </c>
      <c r="AX127" s="4">
        <f t="shared" si="220"/>
        <v>507.96972448880257</v>
      </c>
      <c r="AY127" s="4">
        <f t="shared" si="221"/>
        <v>1.2666666666666666</v>
      </c>
      <c r="AZ127" s="38">
        <f t="shared" si="273"/>
        <v>314.63999999999993</v>
      </c>
      <c r="BA127" s="4">
        <f t="shared" si="222"/>
        <v>0.44000000000000006</v>
      </c>
      <c r="BB127" s="4">
        <f t="shared" si="244"/>
        <v>116.7822396599757</v>
      </c>
      <c r="BC127" s="4">
        <f t="shared" si="245"/>
        <v>431.42223965997562</v>
      </c>
      <c r="BE127" s="36">
        <f t="shared" si="312"/>
        <v>1.1000000000000001</v>
      </c>
      <c r="BF127" s="36">
        <f t="shared" si="313"/>
        <v>325.57472874902317</v>
      </c>
      <c r="BK127" s="4">
        <f t="shared" ref="BK127:BK152" si="355">IF(R127=1,O127,MIN(O127,Q127/2+6.4))</f>
        <v>35</v>
      </c>
      <c r="BL127" s="4">
        <f t="shared" ref="BL127:BL152" si="356">MIN(S127,BK127)</f>
        <v>35</v>
      </c>
      <c r="BM127" s="4">
        <f t="shared" ref="BM127:BM152" si="357">MAX(S127,BK127)</f>
        <v>58.2</v>
      </c>
      <c r="BN127" s="4">
        <f t="shared" ref="BN127:BN152" si="358">BL127+K127/2</f>
        <v>49.3</v>
      </c>
      <c r="BO127" s="4">
        <f t="shared" ref="BO127:BO152" si="359">MIN(1.25, 0.1*BM127/BL127+0.9)</f>
        <v>1.0662857142857143</v>
      </c>
      <c r="BP127" s="25">
        <f t="shared" si="274"/>
        <v>1.8380379620379617</v>
      </c>
      <c r="BR127" s="4">
        <f t="shared" si="331"/>
        <v>28.6</v>
      </c>
      <c r="BV127" s="9"/>
      <c r="BX127" s="9"/>
      <c r="BY127" s="9"/>
      <c r="BZ127" s="9">
        <f t="shared" si="231"/>
        <v>28.6</v>
      </c>
      <c r="CA127" s="9">
        <f t="shared" si="232"/>
        <v>57.2</v>
      </c>
      <c r="CB127" s="9">
        <f t="shared" si="248"/>
        <v>1.1095694720678451</v>
      </c>
      <c r="CC127" s="9">
        <v>0</v>
      </c>
      <c r="CD127" s="9">
        <f t="shared" si="306"/>
        <v>0</v>
      </c>
      <c r="CE127" s="9">
        <f t="shared" si="249"/>
        <v>0</v>
      </c>
      <c r="CF127" s="9">
        <f t="shared" si="233"/>
        <v>0.96044432035915817</v>
      </c>
      <c r="CG127" s="9">
        <f t="shared" si="234"/>
        <v>0.74299999999999999</v>
      </c>
      <c r="CH127" s="9">
        <f t="shared" si="250"/>
        <v>1.6070493790635749</v>
      </c>
      <c r="CI127" s="9">
        <f t="shared" si="251"/>
        <v>1.783132931114529</v>
      </c>
      <c r="CJ127" s="9">
        <v>1</v>
      </c>
      <c r="CK127" s="9">
        <f t="shared" si="252"/>
        <v>213.97595173374347</v>
      </c>
      <c r="CM127" s="4">
        <f t="shared" si="341"/>
        <v>0.65948812271662183</v>
      </c>
      <c r="CN127" s="4">
        <f t="shared" si="342"/>
        <v>0.77650146238179429</v>
      </c>
      <c r="CO127" s="4">
        <f t="shared" si="208"/>
        <v>1.0289496401861169</v>
      </c>
      <c r="CP127" s="4">
        <f t="shared" si="335"/>
        <v>1.5655964947726944</v>
      </c>
      <c r="CQ127" s="4">
        <f t="shared" si="210"/>
        <v>0.8697189751249067</v>
      </c>
      <c r="CR127" s="4">
        <f t="shared" si="211"/>
        <v>0.91310238557343271</v>
      </c>
      <c r="CS127" s="4">
        <f t="shared" si="329"/>
        <v>1.0735649310983073</v>
      </c>
      <c r="CU127" s="4">
        <f t="shared" ref="CU127:CV138" si="360">CM127</f>
        <v>0.65948812271662183</v>
      </c>
      <c r="CV127" s="4">
        <f t="shared" si="360"/>
        <v>0.77650146238179429</v>
      </c>
      <c r="CW127" s="4">
        <f t="shared" si="213"/>
        <v>1.5655964947726944</v>
      </c>
      <c r="CX127" s="4">
        <f t="shared" si="343"/>
        <v>1.0735649310983073</v>
      </c>
      <c r="CY127" s="4">
        <f t="shared" ref="CY127:CZ138" si="361">CQ127</f>
        <v>0.8697189751249067</v>
      </c>
      <c r="CZ127" s="4">
        <f t="shared" si="361"/>
        <v>0.91310238557343271</v>
      </c>
      <c r="DH127" s="4">
        <f t="shared" ref="DH127:DH190" si="362">AF127</f>
        <v>0</v>
      </c>
      <c r="DI127" s="4">
        <f t="shared" ref="DI127:DI152" si="363">H127</f>
        <v>429</v>
      </c>
      <c r="DJ127" s="4">
        <f t="shared" ref="DJ127:DJ152" si="364">I127/H127</f>
        <v>1</v>
      </c>
      <c r="DL127" s="4">
        <f t="shared" ref="DL127:DL161" si="365">H127/4/(1-0.3*(J127/30)^0.5)/200000/K127</f>
        <v>2.8953960744479089E-5</v>
      </c>
      <c r="DM127" s="4">
        <f t="shared" ref="DM127:DM190" si="366">EH127</f>
        <v>4.3184114203497916</v>
      </c>
      <c r="DN127" s="4">
        <f t="shared" si="337"/>
        <v>0.2629118569629435</v>
      </c>
      <c r="DO127" s="4">
        <f t="shared" si="253"/>
        <v>2.5307432361194584</v>
      </c>
      <c r="DP127" s="4">
        <f t="shared" si="254"/>
        <v>3.5400389367597964</v>
      </c>
      <c r="DQ127" s="4">
        <f t="shared" si="255"/>
        <v>3.996132384694048</v>
      </c>
      <c r="DR127" s="38">
        <f t="shared" si="275"/>
        <v>385.18189160112115</v>
      </c>
      <c r="DS127" s="4">
        <f t="shared" si="256"/>
        <v>1.0000929798376046</v>
      </c>
      <c r="DT127" s="4">
        <f t="shared" si="330"/>
        <v>2.2360679774997898</v>
      </c>
      <c r="DU127" s="4">
        <f t="shared" si="276"/>
        <v>174.96556886063993</v>
      </c>
      <c r="DY127" s="4">
        <f t="shared" si="235"/>
        <v>1</v>
      </c>
      <c r="DZ127" s="4">
        <f t="shared" si="257"/>
        <v>1</v>
      </c>
      <c r="EA127" s="4">
        <f t="shared" si="258"/>
        <v>1</v>
      </c>
      <c r="EB127" s="4">
        <f t="shared" si="259"/>
        <v>1</v>
      </c>
      <c r="ED127" s="4">
        <f t="shared" si="277"/>
        <v>366.88109164189552</v>
      </c>
      <c r="EE127" s="25">
        <f t="shared" si="351"/>
        <v>172.55257772615491</v>
      </c>
      <c r="EH127" s="4">
        <f t="shared" si="314"/>
        <v>4.3184114203497916</v>
      </c>
      <c r="EI127" s="4">
        <f t="shared" ref="EI127:EI152" si="367">IF(K127&lt;22.2,1.1*5*(J127/30)^0.5,IF(K127&gt;=31.8,0.9*5*(J127/30)^0.5,1*5*(J127/30)^0.5))*BP127/2.5</f>
        <v>4.3184114203497916</v>
      </c>
      <c r="EK127" s="4">
        <f t="shared" ref="EK127:EK161" si="368">EL127*K127</f>
        <v>63.951544156493995</v>
      </c>
      <c r="EL127" s="4">
        <f t="shared" ref="EL127:EL161" si="369">X127^0.5</f>
        <v>2.2360679774997898</v>
      </c>
      <c r="EM127" s="4">
        <f t="shared" ref="EM127:EM161" si="370">MIN(DU127)/(4700*J127^0.5)/W127*EK127</f>
        <v>9.2500825517249863E-2</v>
      </c>
      <c r="EP127" s="4">
        <f t="shared" si="332"/>
        <v>9.2500825517249863E-2</v>
      </c>
      <c r="EQ127" s="4">
        <f t="shared" si="333"/>
        <v>0.26247310607378149</v>
      </c>
      <c r="ER127" s="4">
        <f t="shared" ref="ER127:ER190" si="371">EH127/1*EQ127^0.4</f>
        <v>2.5290530540921856</v>
      </c>
      <c r="ES127" s="4">
        <f t="shared" si="236"/>
        <v>3.5394380093736388</v>
      </c>
      <c r="ET127" s="4">
        <f t="shared" ref="ET127:ET190" si="372">MAX(0,DI127*ET$9-EK127)</f>
        <v>257.79845584350602</v>
      </c>
      <c r="EU127" s="4">
        <f t="shared" ref="EU127:EU190" si="373">MAX(0,DI127-EK127-ET127)</f>
        <v>107.25</v>
      </c>
      <c r="EV127" s="4">
        <f t="shared" si="261"/>
        <v>2.8953960744479089E-5</v>
      </c>
      <c r="EW127" s="4">
        <f t="shared" si="237"/>
        <v>3.9961972848288032</v>
      </c>
      <c r="EX127" s="4">
        <f t="shared" ref="EX127:EX152" si="374">MIN(4/K127*(1*ER127*EK127+ES127*EY127+EZ127*EW127)+DU127,MAX(G127,AB127))</f>
        <v>385.14608078107608</v>
      </c>
      <c r="EY127" s="4">
        <f t="shared" ref="EY127:EY152" si="375">IF(DJ127&lt;=ET$9, MAX(0,DI127*DJ127-EK127), MAX(0,DI127*ET$9-EK127))</f>
        <v>257.79845584350602</v>
      </c>
      <c r="EZ127" s="4">
        <f t="shared" ref="EZ127:EZ152" si="376">MAX(0, DI127*DJ127-EY127-EK127)</f>
        <v>107.24999999999999</v>
      </c>
      <c r="FB127" s="4">
        <f t="shared" si="338"/>
        <v>0</v>
      </c>
      <c r="FG127" s="23">
        <f t="shared" si="339"/>
        <v>0.8</v>
      </c>
      <c r="FH127" s="23">
        <f t="shared" si="339"/>
        <v>0.8</v>
      </c>
      <c r="FI127" s="23">
        <f t="shared" si="230"/>
        <v>1.2</v>
      </c>
      <c r="FJ127" s="23">
        <f t="shared" si="340"/>
        <v>1.6</v>
      </c>
      <c r="FK127" s="23">
        <f t="shared" si="340"/>
        <v>1</v>
      </c>
      <c r="FL127" s="23">
        <f t="shared" si="340"/>
        <v>1</v>
      </c>
      <c r="FM127" s="23">
        <f t="shared" si="218"/>
        <v>0</v>
      </c>
      <c r="FN127" s="23"/>
      <c r="FX127" s="4">
        <f t="shared" si="263"/>
        <v>1.25</v>
      </c>
      <c r="FY127" s="4">
        <f t="shared" si="303"/>
        <v>0.91666666666666663</v>
      </c>
      <c r="FZ127" s="4">
        <f t="shared" si="265"/>
        <v>0</v>
      </c>
      <c r="GA127" s="4">
        <f t="shared" si="266"/>
        <v>312.04447006039891</v>
      </c>
      <c r="GD127" s="4">
        <f>IF(AG127&gt;1, 0.05*(18-MIN(8,(Q127+K127)/K127))*(1-29.3/MAX(60000/145,(G127))*(K127)^0.75*FZ127), 1/12*(14-MIN(8,(Q127+K127)/K127)))</f>
        <v>0.91666666666666663</v>
      </c>
    </row>
    <row r="128" spans="1:188" ht="12" hidden="1" customHeight="1" x14ac:dyDescent="0.3">
      <c r="A128" s="25">
        <v>110</v>
      </c>
      <c r="B128" s="24" t="s">
        <v>128</v>
      </c>
      <c r="C128" s="24">
        <v>2015</v>
      </c>
      <c r="D128" s="24" t="s">
        <v>293</v>
      </c>
      <c r="E128" s="24"/>
      <c r="F128" s="7" t="s">
        <v>133</v>
      </c>
      <c r="G128" s="7">
        <v>710</v>
      </c>
      <c r="H128" s="7">
        <f t="shared" si="315"/>
        <v>572</v>
      </c>
      <c r="I128" s="7">
        <f t="shared" si="344"/>
        <v>572</v>
      </c>
      <c r="J128" s="7">
        <v>41.4</v>
      </c>
      <c r="K128" s="7">
        <v>28.6</v>
      </c>
      <c r="L128" s="7">
        <v>20</v>
      </c>
      <c r="M128" s="7">
        <f t="shared" si="345"/>
        <v>20</v>
      </c>
      <c r="N128" s="7">
        <v>406</v>
      </c>
      <c r="O128" s="7">
        <f>K128*2</f>
        <v>57.2</v>
      </c>
      <c r="P128" s="7"/>
      <c r="Q128" s="7">
        <f>2*K128</f>
        <v>57.2</v>
      </c>
      <c r="R128" s="7">
        <v>2</v>
      </c>
      <c r="S128" s="7">
        <f t="shared" si="347"/>
        <v>58.2</v>
      </c>
      <c r="T128" s="7">
        <f t="shared" si="304"/>
        <v>1.5</v>
      </c>
      <c r="U128" s="7">
        <f t="shared" si="353"/>
        <v>2.5</v>
      </c>
      <c r="V128" s="7">
        <f t="shared" si="348"/>
        <v>4</v>
      </c>
      <c r="W128" s="7">
        <f t="shared" si="354"/>
        <v>4</v>
      </c>
      <c r="X128" s="7">
        <v>5</v>
      </c>
      <c r="Y128" s="7">
        <f t="shared" si="352"/>
        <v>63.951544156493995</v>
      </c>
      <c r="Z128" s="7"/>
      <c r="AA128" s="7"/>
      <c r="AB128" s="7">
        <v>379</v>
      </c>
      <c r="AC128" s="7"/>
      <c r="AD128" s="7">
        <f t="shared" si="334"/>
        <v>0.89347049803591605</v>
      </c>
      <c r="AE128" s="7"/>
      <c r="AF128" s="7"/>
      <c r="AG128" s="7">
        <v>1</v>
      </c>
      <c r="AH128" s="7"/>
      <c r="AI128" s="7"/>
      <c r="AJ128" s="7"/>
      <c r="AK128" s="4">
        <f t="shared" si="279"/>
        <v>572</v>
      </c>
      <c r="AL128" s="46">
        <f t="shared" si="349"/>
        <v>4.8256910145022036E-2</v>
      </c>
      <c r="AM128" s="25">
        <f t="shared" si="268"/>
        <v>685.08154812781754</v>
      </c>
      <c r="AN128" s="4">
        <f t="shared" si="269"/>
        <v>0.72499999999999998</v>
      </c>
      <c r="AO128" s="4">
        <v>1.25</v>
      </c>
      <c r="AP128" s="25">
        <f t="shared" si="317"/>
        <v>5</v>
      </c>
      <c r="AQ128" s="38">
        <f t="shared" si="271"/>
        <v>149.80275665476307</v>
      </c>
      <c r="AR128" s="38">
        <f t="shared" si="272"/>
        <v>149.80275665476307</v>
      </c>
      <c r="AT128" s="38">
        <f t="shared" si="350"/>
        <v>149.80275665476299</v>
      </c>
      <c r="AU128" s="38">
        <f t="shared" si="243"/>
        <v>1.0000000000000007</v>
      </c>
      <c r="AV128" s="38">
        <f t="shared" si="328"/>
        <v>2.1003618826930039</v>
      </c>
      <c r="AW128" s="4">
        <f t="shared" si="323"/>
        <v>0</v>
      </c>
      <c r="AX128" s="4">
        <f t="shared" si="220"/>
        <v>677.29296598506994</v>
      </c>
      <c r="AY128" s="4">
        <f t="shared" si="221"/>
        <v>1.2666666666666666</v>
      </c>
      <c r="AZ128" s="38">
        <f t="shared" si="273"/>
        <v>314.63999999999993</v>
      </c>
      <c r="BA128" s="4">
        <f t="shared" si="222"/>
        <v>0.44000000000000006</v>
      </c>
      <c r="BB128" s="4">
        <f t="shared" si="244"/>
        <v>155.70965287996762</v>
      </c>
      <c r="BC128" s="4">
        <f t="shared" si="245"/>
        <v>470.34965287996755</v>
      </c>
      <c r="BE128" s="36">
        <f t="shared" si="312"/>
        <v>1.1000000000000001</v>
      </c>
      <c r="BF128" s="36">
        <f t="shared" si="313"/>
        <v>382.19642070537503</v>
      </c>
      <c r="BK128" s="4">
        <f t="shared" si="355"/>
        <v>35</v>
      </c>
      <c r="BL128" s="4">
        <f t="shared" si="356"/>
        <v>35</v>
      </c>
      <c r="BM128" s="4">
        <f t="shared" si="357"/>
        <v>58.2</v>
      </c>
      <c r="BN128" s="4">
        <f t="shared" si="358"/>
        <v>49.3</v>
      </c>
      <c r="BO128" s="4">
        <f t="shared" si="359"/>
        <v>1.0662857142857143</v>
      </c>
      <c r="BP128" s="25">
        <f t="shared" si="274"/>
        <v>1.8380379620379617</v>
      </c>
      <c r="BR128" s="4">
        <f t="shared" si="331"/>
        <v>28.6</v>
      </c>
      <c r="BV128" s="9"/>
      <c r="BX128" s="9"/>
      <c r="BY128" s="9"/>
      <c r="BZ128" s="9">
        <f t="shared" si="231"/>
        <v>28.6</v>
      </c>
      <c r="CA128" s="9">
        <f t="shared" si="232"/>
        <v>57.2</v>
      </c>
      <c r="CB128" s="9">
        <f t="shared" si="248"/>
        <v>1.1095694720678451</v>
      </c>
      <c r="CC128" s="9">
        <v>0</v>
      </c>
      <c r="CD128" s="9">
        <f t="shared" si="306"/>
        <v>0</v>
      </c>
      <c r="CE128" s="9">
        <f t="shared" si="249"/>
        <v>0</v>
      </c>
      <c r="CF128" s="9">
        <f t="shared" si="233"/>
        <v>0.96044432035915817</v>
      </c>
      <c r="CG128" s="9">
        <f t="shared" si="234"/>
        <v>0.74299999999999999</v>
      </c>
      <c r="CH128" s="9">
        <f t="shared" si="250"/>
        <v>1.6070493790635749</v>
      </c>
      <c r="CI128" s="9">
        <f t="shared" si="251"/>
        <v>1.783132931114529</v>
      </c>
      <c r="CJ128" s="9">
        <v>1</v>
      </c>
      <c r="CK128" s="9">
        <f t="shared" si="252"/>
        <v>249.63861035603406</v>
      </c>
      <c r="CM128" s="4">
        <f t="shared" si="341"/>
        <v>0.55958059367820834</v>
      </c>
      <c r="CN128" s="4">
        <f t="shared" si="342"/>
        <v>0.80578352227830852</v>
      </c>
      <c r="CO128" s="4">
        <f t="shared" si="208"/>
        <v>0.99163670685487904</v>
      </c>
      <c r="CP128" s="4">
        <f t="shared" si="335"/>
        <v>1.5181946392806425</v>
      </c>
      <c r="CQ128" s="4">
        <f t="shared" si="210"/>
        <v>0.89347049803591605</v>
      </c>
      <c r="CR128" s="4">
        <f t="shared" si="211"/>
        <v>0.93081825114400285</v>
      </c>
      <c r="CS128" s="4">
        <f t="shared" si="329"/>
        <v>0.91092785571550405</v>
      </c>
      <c r="CU128" s="4">
        <f t="shared" si="360"/>
        <v>0.55958059367820834</v>
      </c>
      <c r="CV128" s="4">
        <f t="shared" si="360"/>
        <v>0.80578352227830852</v>
      </c>
      <c r="CW128" s="4">
        <f t="shared" ref="CW128:CW138" si="377">CP128</f>
        <v>1.5181946392806425</v>
      </c>
      <c r="CX128" s="4">
        <f t="shared" si="343"/>
        <v>0.91092785571550405</v>
      </c>
      <c r="CY128" s="4">
        <f t="shared" si="361"/>
        <v>0.89347049803591605</v>
      </c>
      <c r="CZ128" s="4">
        <f t="shared" si="361"/>
        <v>0.93081825114400285</v>
      </c>
      <c r="DH128" s="4">
        <f t="shared" si="362"/>
        <v>0</v>
      </c>
      <c r="DI128" s="4">
        <f t="shared" si="363"/>
        <v>572</v>
      </c>
      <c r="DJ128" s="4">
        <f t="shared" si="364"/>
        <v>1</v>
      </c>
      <c r="DL128" s="4">
        <f t="shared" si="365"/>
        <v>3.8605280992638792E-5</v>
      </c>
      <c r="DM128" s="4">
        <f t="shared" si="366"/>
        <v>4.3184114203497916</v>
      </c>
      <c r="DN128" s="4">
        <f t="shared" si="337"/>
        <v>0.22510097950552643</v>
      </c>
      <c r="DO128" s="4">
        <f t="shared" si="253"/>
        <v>2.3783456382301056</v>
      </c>
      <c r="DP128" s="4">
        <f t="shared" si="254"/>
        <v>3.487130385036203</v>
      </c>
      <c r="DQ128" s="4">
        <f t="shared" si="255"/>
        <v>3.7537646420196529</v>
      </c>
      <c r="DR128" s="38">
        <f t="shared" si="275"/>
        <v>424.18860033223484</v>
      </c>
      <c r="DS128" s="4">
        <f t="shared" si="256"/>
        <v>1.0000936381697847</v>
      </c>
      <c r="DT128" s="4">
        <f t="shared" si="330"/>
        <v>2.2360679774997898</v>
      </c>
      <c r="DU128" s="4">
        <f t="shared" si="276"/>
        <v>149.80275665476299</v>
      </c>
      <c r="DY128" s="4">
        <f t="shared" si="235"/>
        <v>1</v>
      </c>
      <c r="DZ128" s="4">
        <f t="shared" si="257"/>
        <v>1</v>
      </c>
      <c r="EA128" s="4">
        <f t="shared" si="258"/>
        <v>1</v>
      </c>
      <c r="EB128" s="4">
        <f t="shared" si="259"/>
        <v>1</v>
      </c>
      <c r="ED128" s="4">
        <f t="shared" si="277"/>
        <v>407.16863849005745</v>
      </c>
      <c r="EE128" s="25">
        <f t="shared" si="351"/>
        <v>148.06395326906991</v>
      </c>
      <c r="EH128" s="4">
        <f t="shared" si="314"/>
        <v>4.3184114203497916</v>
      </c>
      <c r="EI128" s="4">
        <f t="shared" si="367"/>
        <v>4.3184114203497916</v>
      </c>
      <c r="EK128" s="4">
        <f t="shared" si="368"/>
        <v>63.951544156493995</v>
      </c>
      <c r="EL128" s="4">
        <f t="shared" si="369"/>
        <v>2.2360679774997898</v>
      </c>
      <c r="EM128" s="4">
        <f t="shared" si="370"/>
        <v>7.9197745851140991E-2</v>
      </c>
      <c r="EP128" s="4">
        <f t="shared" si="332"/>
        <v>7.9197745851140991E-2</v>
      </c>
      <c r="EQ128" s="4">
        <f t="shared" si="333"/>
        <v>0.22472532792385119</v>
      </c>
      <c r="ER128" s="4">
        <f t="shared" si="371"/>
        <v>2.3767572364535021</v>
      </c>
      <c r="ES128" s="4">
        <f t="shared" si="236"/>
        <v>3.4865927497285139</v>
      </c>
      <c r="ET128" s="4">
        <f t="shared" si="372"/>
        <v>365.04845584350602</v>
      </c>
      <c r="EU128" s="4">
        <f t="shared" si="373"/>
        <v>143</v>
      </c>
      <c r="EV128" s="4">
        <f t="shared" si="261"/>
        <v>3.8605280992638792E-5</v>
      </c>
      <c r="EW128" s="4">
        <f t="shared" si="237"/>
        <v>3.7538616387335155</v>
      </c>
      <c r="EX128" s="4">
        <f t="shared" si="374"/>
        <v>424.14888380703894</v>
      </c>
      <c r="EY128" s="4">
        <f t="shared" si="375"/>
        <v>365.04845584350602</v>
      </c>
      <c r="EZ128" s="4">
        <f t="shared" si="376"/>
        <v>143</v>
      </c>
      <c r="FB128" s="4">
        <f t="shared" si="338"/>
        <v>0</v>
      </c>
      <c r="FG128" s="23">
        <f t="shared" si="339"/>
        <v>0.6</v>
      </c>
      <c r="FH128" s="23">
        <f t="shared" si="339"/>
        <v>1</v>
      </c>
      <c r="FI128" s="23">
        <f t="shared" si="230"/>
        <v>1</v>
      </c>
      <c r="FJ128" s="23">
        <f t="shared" si="340"/>
        <v>1.6</v>
      </c>
      <c r="FK128" s="23">
        <f t="shared" si="340"/>
        <v>1</v>
      </c>
      <c r="FL128" s="23">
        <f t="shared" si="340"/>
        <v>1</v>
      </c>
      <c r="FM128" s="23">
        <f t="shared" si="218"/>
        <v>0</v>
      </c>
      <c r="FN128" s="23"/>
      <c r="FX128" s="4">
        <f t="shared" si="263"/>
        <v>1.25</v>
      </c>
      <c r="FY128" s="4">
        <f t="shared" si="303"/>
        <v>0.91666666666666663</v>
      </c>
      <c r="FZ128" s="4">
        <f t="shared" si="265"/>
        <v>0</v>
      </c>
      <c r="GA128" s="4">
        <f t="shared" si="266"/>
        <v>416.05929341386525</v>
      </c>
    </row>
    <row r="129" spans="1:183" ht="12" hidden="1" customHeight="1" x14ac:dyDescent="0.3">
      <c r="A129" s="25">
        <v>111</v>
      </c>
      <c r="B129" s="24" t="s">
        <v>128</v>
      </c>
      <c r="C129" s="24">
        <v>2015</v>
      </c>
      <c r="D129" s="24" t="s">
        <v>293</v>
      </c>
      <c r="E129" s="24"/>
      <c r="F129" s="7" t="s">
        <v>141</v>
      </c>
      <c r="G129" s="7">
        <v>710</v>
      </c>
      <c r="H129" s="7">
        <f t="shared" si="315"/>
        <v>429</v>
      </c>
      <c r="I129" s="7">
        <f t="shared" si="344"/>
        <v>429</v>
      </c>
      <c r="J129" s="7">
        <v>40.1</v>
      </c>
      <c r="K129" s="7">
        <v>28.6</v>
      </c>
      <c r="L129" s="7">
        <v>15</v>
      </c>
      <c r="M129" s="7">
        <f t="shared" si="345"/>
        <v>15</v>
      </c>
      <c r="N129" s="7">
        <v>406</v>
      </c>
      <c r="O129" s="7">
        <f>K129*3.5</f>
        <v>100.10000000000001</v>
      </c>
      <c r="P129" s="7"/>
      <c r="Q129" s="7">
        <f t="shared" ref="Q129:Q146" si="378">1*K129</f>
        <v>28.6</v>
      </c>
      <c r="R129" s="7">
        <v>2</v>
      </c>
      <c r="S129" s="7">
        <f t="shared" si="347"/>
        <v>58.2</v>
      </c>
      <c r="T129" s="7">
        <f t="shared" si="304"/>
        <v>1</v>
      </c>
      <c r="U129" s="7">
        <f>MIN(S129/K129+0.5, (O129+K129/2)/K129)</f>
        <v>2.534965034965035</v>
      </c>
      <c r="V129" s="7">
        <f t="shared" si="348"/>
        <v>4</v>
      </c>
      <c r="W129" s="7">
        <f t="shared" si="354"/>
        <v>4</v>
      </c>
      <c r="X129" s="7">
        <v>5</v>
      </c>
      <c r="Y129" s="7">
        <f t="shared" si="352"/>
        <v>63.951544156493995</v>
      </c>
      <c r="Z129" s="7"/>
      <c r="AA129" s="7"/>
      <c r="AB129" s="7">
        <v>366</v>
      </c>
      <c r="AC129" s="7"/>
      <c r="AD129" s="7">
        <f t="shared" si="334"/>
        <v>1.0888038558182622</v>
      </c>
      <c r="AE129" s="7"/>
      <c r="AF129" s="7"/>
      <c r="AG129" s="7">
        <v>1</v>
      </c>
      <c r="AH129" s="7"/>
      <c r="AI129" s="7"/>
      <c r="AJ129" s="7"/>
      <c r="AK129" s="4">
        <f t="shared" si="279"/>
        <v>429</v>
      </c>
      <c r="AL129" s="46">
        <f t="shared" si="349"/>
        <v>8.5790062480039175E-2</v>
      </c>
      <c r="AM129" s="25">
        <f t="shared" si="268"/>
        <v>437.93149656201666</v>
      </c>
      <c r="AN129" s="4">
        <f t="shared" si="269"/>
        <v>0.73379953379953378</v>
      </c>
      <c r="AO129" s="4">
        <v>1.25</v>
      </c>
      <c r="AP129" s="25">
        <f t="shared" si="317"/>
        <v>5</v>
      </c>
      <c r="AQ129" s="38">
        <f t="shared" si="271"/>
        <v>172.30608476544029</v>
      </c>
      <c r="AR129" s="38">
        <f t="shared" si="272"/>
        <v>172.30608476544029</v>
      </c>
      <c r="AT129" s="38">
        <f t="shared" si="350"/>
        <v>172.30608476544018</v>
      </c>
      <c r="AU129" s="38">
        <f t="shared" si="243"/>
        <v>1.0000000000000007</v>
      </c>
      <c r="AV129" s="38">
        <f t="shared" si="328"/>
        <v>1.5024620691473194</v>
      </c>
      <c r="AW129" s="4">
        <f t="shared" si="323"/>
        <v>0</v>
      </c>
      <c r="AX129" s="4">
        <f t="shared" ref="AX129:AX192" si="379">I129/K129*J129^0.5/0.19</f>
        <v>499.93074312592307</v>
      </c>
      <c r="AY129" s="4">
        <f t="shared" ref="AY129:AY192" si="380">MIN(0.6+0.4*(U129/T129),2)</f>
        <v>1.6139860139860138</v>
      </c>
      <c r="AZ129" s="38">
        <f t="shared" si="273"/>
        <v>258.88335664335665</v>
      </c>
      <c r="BA129" s="4">
        <f t="shared" ref="BA129:BA192" si="381">MAX(1-0.7*W129/5,0.3)</f>
        <v>0.44000000000000006</v>
      </c>
      <c r="BB129" s="4">
        <f t="shared" si="244"/>
        <v>114.93407784464971</v>
      </c>
      <c r="BC129" s="4">
        <f t="shared" si="245"/>
        <v>373.81743448800637</v>
      </c>
      <c r="BE129" s="36">
        <f t="shared" si="312"/>
        <v>1.25</v>
      </c>
      <c r="BF129" s="36">
        <f t="shared" si="313"/>
        <v>364.11622457671393</v>
      </c>
      <c r="BK129" s="4">
        <f t="shared" si="355"/>
        <v>20.700000000000003</v>
      </c>
      <c r="BL129" s="4">
        <f t="shared" si="356"/>
        <v>20.700000000000003</v>
      </c>
      <c r="BM129" s="4">
        <f t="shared" si="357"/>
        <v>58.2</v>
      </c>
      <c r="BN129" s="4">
        <f t="shared" si="358"/>
        <v>35</v>
      </c>
      <c r="BO129" s="4">
        <f t="shared" si="359"/>
        <v>1.181159420289855</v>
      </c>
      <c r="BP129" s="25">
        <f t="shared" si="274"/>
        <v>1.4454748150400323</v>
      </c>
      <c r="BR129" s="4">
        <f t="shared" si="331"/>
        <v>14.3</v>
      </c>
      <c r="BV129" s="9"/>
      <c r="BX129" s="9"/>
      <c r="BY129" s="9"/>
      <c r="BZ129" s="9">
        <f t="shared" si="231"/>
        <v>14.3</v>
      </c>
      <c r="CA129" s="9">
        <f t="shared" si="232"/>
        <v>100.10000000000001</v>
      </c>
      <c r="CB129" s="9">
        <f t="shared" si="248"/>
        <v>0.94678137986575273</v>
      </c>
      <c r="CC129" s="9">
        <v>0</v>
      </c>
      <c r="CD129" s="9">
        <f t="shared" si="306"/>
        <v>0</v>
      </c>
      <c r="CE129" s="9">
        <f t="shared" si="249"/>
        <v>0</v>
      </c>
      <c r="CF129" s="9">
        <f t="shared" si="233"/>
        <v>0.96044432035915817</v>
      </c>
      <c r="CG129" s="9">
        <f t="shared" si="234"/>
        <v>0.74299999999999999</v>
      </c>
      <c r="CH129" s="9">
        <f t="shared" si="250"/>
        <v>1.5816166822222031</v>
      </c>
      <c r="CI129" s="9">
        <f t="shared" si="251"/>
        <v>1.4974452248130312</v>
      </c>
      <c r="CJ129" s="9">
        <v>1</v>
      </c>
      <c r="CK129" s="9">
        <f t="shared" si="252"/>
        <v>179.69342697756375</v>
      </c>
      <c r="CM129" s="4">
        <f t="shared" si="341"/>
        <v>0.73210140610978902</v>
      </c>
      <c r="CN129" s="4">
        <f t="shared" si="342"/>
        <v>0.97908756048600731</v>
      </c>
      <c r="CO129" s="4">
        <f t="shared" si="208"/>
        <v>1.0051735552994816</v>
      </c>
      <c r="CP129" s="4">
        <f t="shared" si="335"/>
        <v>2.036802381456603</v>
      </c>
      <c r="CQ129" s="4">
        <f t="shared" si="210"/>
        <v>1.0888038558182622</v>
      </c>
      <c r="CR129" s="4">
        <f t="shared" si="211"/>
        <v>1.1425483020450971</v>
      </c>
      <c r="CS129" s="4">
        <f t="shared" si="329"/>
        <v>1.0318275865534183</v>
      </c>
      <c r="CU129" s="4">
        <f t="shared" si="360"/>
        <v>0.73210140610978902</v>
      </c>
      <c r="CV129" s="4">
        <f t="shared" si="360"/>
        <v>0.97908756048600731</v>
      </c>
      <c r="CW129" s="4">
        <f t="shared" si="377"/>
        <v>2.036802381456603</v>
      </c>
      <c r="CX129" s="4">
        <f t="shared" si="343"/>
        <v>1.0318275865534183</v>
      </c>
      <c r="CY129" s="4">
        <f t="shared" si="361"/>
        <v>1.0888038558182622</v>
      </c>
      <c r="CZ129" s="4">
        <f t="shared" si="361"/>
        <v>1.1425483020450971</v>
      </c>
      <c r="DH129" s="4">
        <f t="shared" si="362"/>
        <v>0</v>
      </c>
      <c r="DI129" s="4">
        <f t="shared" si="363"/>
        <v>429</v>
      </c>
      <c r="DJ129" s="4">
        <f t="shared" si="364"/>
        <v>1</v>
      </c>
      <c r="DL129" s="4">
        <f t="shared" si="365"/>
        <v>2.8706723256234209E-5</v>
      </c>
      <c r="DM129" s="4">
        <f t="shared" si="366"/>
        <v>3.3423512159494768</v>
      </c>
      <c r="DN129" s="4">
        <f t="shared" si="337"/>
        <v>0.26730935764454727</v>
      </c>
      <c r="DO129" s="4">
        <f t="shared" si="253"/>
        <v>1.9717767835101758</v>
      </c>
      <c r="DP129" s="4">
        <f t="shared" si="254"/>
        <v>2.7445580788955319</v>
      </c>
      <c r="DQ129" s="4">
        <f t="shared" si="255"/>
        <v>3.1499644723327127</v>
      </c>
      <c r="DR129" s="38">
        <f t="shared" si="275"/>
        <v>336.1486993678418</v>
      </c>
      <c r="DS129" s="4">
        <f t="shared" si="256"/>
        <v>1.0000837827998859</v>
      </c>
      <c r="DT129" s="4">
        <f t="shared" si="330"/>
        <v>2.2360679774997898</v>
      </c>
      <c r="DU129" s="4">
        <f t="shared" si="276"/>
        <v>172.30608476544018</v>
      </c>
      <c r="DY129" s="4">
        <f t="shared" si="235"/>
        <v>1</v>
      </c>
      <c r="DZ129" s="4">
        <f t="shared" si="257"/>
        <v>1</v>
      </c>
      <c r="EA129" s="4">
        <f t="shared" si="258"/>
        <v>1</v>
      </c>
      <c r="EB129" s="4">
        <f t="shared" si="259"/>
        <v>1</v>
      </c>
      <c r="ED129" s="4">
        <f t="shared" si="277"/>
        <v>320.33656637962758</v>
      </c>
      <c r="EE129" s="25">
        <f t="shared" si="351"/>
        <v>169.93076166190113</v>
      </c>
      <c r="EH129" s="4">
        <f t="shared" si="314"/>
        <v>3.3423512159494768</v>
      </c>
      <c r="EI129" s="4">
        <f t="shared" si="367"/>
        <v>3.3423512159494768</v>
      </c>
      <c r="EK129" s="4">
        <f t="shared" si="368"/>
        <v>63.951544156493995</v>
      </c>
      <c r="EL129" s="4">
        <f t="shared" si="369"/>
        <v>2.2360679774997898</v>
      </c>
      <c r="EM129" s="4">
        <f t="shared" si="370"/>
        <v>9.2559630873586304E-2</v>
      </c>
      <c r="EP129" s="4">
        <f t="shared" si="332"/>
        <v>9.2559630873586304E-2</v>
      </c>
      <c r="EQ129" s="4">
        <f t="shared" si="333"/>
        <v>0.26686326814633043</v>
      </c>
      <c r="ER129" s="4">
        <f t="shared" si="371"/>
        <v>1.9704599127847238</v>
      </c>
      <c r="ES129" s="4">
        <f t="shared" si="236"/>
        <v>2.7440874664199293</v>
      </c>
      <c r="ET129" s="4">
        <f t="shared" si="372"/>
        <v>257.79845584350602</v>
      </c>
      <c r="EU129" s="4">
        <f t="shared" si="373"/>
        <v>107.25</v>
      </c>
      <c r="EV129" s="4">
        <f t="shared" si="261"/>
        <v>2.8706723256234209E-5</v>
      </c>
      <c r="EW129" s="4">
        <f t="shared" si="237"/>
        <v>3.1500035126994623</v>
      </c>
      <c r="EX129" s="4">
        <f t="shared" si="374"/>
        <v>336.12053824804821</v>
      </c>
      <c r="EY129" s="4">
        <f t="shared" si="375"/>
        <v>257.79845584350602</v>
      </c>
      <c r="EZ129" s="4">
        <f t="shared" si="376"/>
        <v>107.24999999999999</v>
      </c>
      <c r="FB129" s="4">
        <f t="shared" si="338"/>
        <v>0</v>
      </c>
      <c r="FG129" s="23">
        <f t="shared" si="339"/>
        <v>0.8</v>
      </c>
      <c r="FH129" s="23">
        <f t="shared" si="339"/>
        <v>1</v>
      </c>
      <c r="FI129" s="23">
        <f t="shared" ref="FI129:FI152" si="382">IF(CS129&lt;0.6,0.6,IF(CS129&lt;0.8,0.8,IF(CS129&lt;1,1,IF(CS129&lt;1.2,1.2,IF(CS129&lt;1.4,1.4,IF(CS129&lt;1.6,1.6,IF(CS129&lt;1.8,1.8,IF(CS129&lt;2,2,2.2))))))))</f>
        <v>1.2</v>
      </c>
      <c r="FJ129" s="23">
        <f t="shared" si="340"/>
        <v>2.2000000000000002</v>
      </c>
      <c r="FK129" s="23">
        <f t="shared" si="340"/>
        <v>1.2</v>
      </c>
      <c r="FL129" s="23">
        <f t="shared" si="340"/>
        <v>1.2</v>
      </c>
      <c r="FM129" s="23">
        <f t="shared" si="218"/>
        <v>0</v>
      </c>
      <c r="FN129" s="23"/>
      <c r="FX129" s="4">
        <f t="shared" si="263"/>
        <v>1</v>
      </c>
      <c r="FY129" s="4">
        <f t="shared" si="303"/>
        <v>1</v>
      </c>
      <c r="FZ129" s="4">
        <f t="shared" si="265"/>
        <v>0</v>
      </c>
      <c r="GA129" s="4">
        <f t="shared" si="266"/>
        <v>354.71042330098811</v>
      </c>
    </row>
    <row r="130" spans="1:183" ht="12" hidden="1" customHeight="1" x14ac:dyDescent="0.3">
      <c r="A130" s="25">
        <v>112</v>
      </c>
      <c r="B130" s="24" t="s">
        <v>128</v>
      </c>
      <c r="C130" s="24">
        <v>2015</v>
      </c>
      <c r="D130" s="24" t="s">
        <v>293</v>
      </c>
      <c r="E130" s="24"/>
      <c r="F130" s="7" t="s">
        <v>142</v>
      </c>
      <c r="G130" s="7">
        <v>710</v>
      </c>
      <c r="H130" s="7">
        <f t="shared" si="315"/>
        <v>572</v>
      </c>
      <c r="I130" s="7">
        <f t="shared" si="344"/>
        <v>572</v>
      </c>
      <c r="J130" s="7">
        <v>40.1</v>
      </c>
      <c r="K130" s="7">
        <v>28.6</v>
      </c>
      <c r="L130" s="7">
        <v>20</v>
      </c>
      <c r="M130" s="7">
        <f t="shared" si="345"/>
        <v>20</v>
      </c>
      <c r="N130" s="7">
        <v>406</v>
      </c>
      <c r="O130" s="7">
        <f>K130*3.5</f>
        <v>100.10000000000001</v>
      </c>
      <c r="P130" s="7"/>
      <c r="Q130" s="7">
        <f t="shared" si="378"/>
        <v>28.6</v>
      </c>
      <c r="R130" s="7">
        <v>2</v>
      </c>
      <c r="S130" s="7">
        <f t="shared" si="347"/>
        <v>58.2</v>
      </c>
      <c r="T130" s="7">
        <f t="shared" si="304"/>
        <v>1</v>
      </c>
      <c r="U130" s="7">
        <f t="shared" si="353"/>
        <v>2.534965034965035</v>
      </c>
      <c r="V130" s="7">
        <f t="shared" si="348"/>
        <v>4</v>
      </c>
      <c r="W130" s="7">
        <f t="shared" si="354"/>
        <v>4</v>
      </c>
      <c r="X130" s="7">
        <v>5</v>
      </c>
      <c r="Y130" s="7">
        <f t="shared" si="352"/>
        <v>63.951544156493995</v>
      </c>
      <c r="Z130" s="7"/>
      <c r="AA130" s="7"/>
      <c r="AB130" s="7">
        <v>442</v>
      </c>
      <c r="AC130" s="7"/>
      <c r="AD130" s="7">
        <f t="shared" si="334"/>
        <v>1.2204018199828255</v>
      </c>
      <c r="AE130" s="7"/>
      <c r="AF130" s="7"/>
      <c r="AG130" s="7">
        <v>1</v>
      </c>
      <c r="AH130" s="7"/>
      <c r="AI130" s="7"/>
      <c r="AJ130" s="7"/>
      <c r="AK130" s="4">
        <f t="shared" si="279"/>
        <v>572</v>
      </c>
      <c r="AL130" s="46">
        <f t="shared" si="349"/>
        <v>4.8256910145022036E-2</v>
      </c>
      <c r="AM130" s="25">
        <f t="shared" si="268"/>
        <v>674.23964647118942</v>
      </c>
      <c r="AN130" s="4">
        <f t="shared" si="269"/>
        <v>0.72534965034965027</v>
      </c>
      <c r="AO130" s="4">
        <v>1.25</v>
      </c>
      <c r="AP130" s="25">
        <f t="shared" si="317"/>
        <v>5</v>
      </c>
      <c r="AQ130" s="38">
        <f t="shared" si="271"/>
        <v>147.50312470197355</v>
      </c>
      <c r="AR130" s="38">
        <f t="shared" si="272"/>
        <v>147.50312470197355</v>
      </c>
      <c r="AT130" s="38">
        <f t="shared" si="350"/>
        <v>147.50312470197341</v>
      </c>
      <c r="AU130" s="38">
        <f t="shared" si="243"/>
        <v>1.0000000000000009</v>
      </c>
      <c r="AV130" s="38">
        <f t="shared" si="328"/>
        <v>1.7551042201066884</v>
      </c>
      <c r="AW130" s="4">
        <f t="shared" si="323"/>
        <v>0</v>
      </c>
      <c r="AX130" s="4">
        <f t="shared" si="379"/>
        <v>666.57432416789743</v>
      </c>
      <c r="AY130" s="4">
        <f t="shared" si="380"/>
        <v>1.6139860139860138</v>
      </c>
      <c r="AZ130" s="38">
        <f t="shared" si="273"/>
        <v>258.88335664335665</v>
      </c>
      <c r="BA130" s="4">
        <f t="shared" si="381"/>
        <v>0.44000000000000006</v>
      </c>
      <c r="BB130" s="4">
        <f t="shared" si="244"/>
        <v>153.24543712619962</v>
      </c>
      <c r="BC130" s="4">
        <f t="shared" si="245"/>
        <v>412.1287937695563</v>
      </c>
      <c r="BE130" s="36">
        <f t="shared" si="312"/>
        <v>1.25</v>
      </c>
      <c r="BF130" s="36">
        <f t="shared" si="313"/>
        <v>427.44078537266421</v>
      </c>
      <c r="BK130" s="4">
        <f t="shared" si="355"/>
        <v>20.700000000000003</v>
      </c>
      <c r="BL130" s="4">
        <f t="shared" si="356"/>
        <v>20.700000000000003</v>
      </c>
      <c r="BM130" s="4">
        <f t="shared" si="357"/>
        <v>58.2</v>
      </c>
      <c r="BN130" s="4">
        <f t="shared" si="358"/>
        <v>35</v>
      </c>
      <c r="BO130" s="4">
        <f t="shared" si="359"/>
        <v>1.181159420289855</v>
      </c>
      <c r="BP130" s="25">
        <f t="shared" si="274"/>
        <v>1.4454748150400323</v>
      </c>
      <c r="BR130" s="4">
        <f t="shared" si="331"/>
        <v>14.3</v>
      </c>
      <c r="BV130" s="9"/>
      <c r="BX130" s="9"/>
      <c r="BY130" s="9"/>
      <c r="BZ130" s="9">
        <f t="shared" si="231"/>
        <v>14.3</v>
      </c>
      <c r="CA130" s="9">
        <f t="shared" si="232"/>
        <v>100.10000000000001</v>
      </c>
      <c r="CB130" s="9">
        <f t="shared" si="248"/>
        <v>0.94678137986575273</v>
      </c>
      <c r="CC130" s="9">
        <v>0</v>
      </c>
      <c r="CD130" s="9">
        <f t="shared" si="306"/>
        <v>0</v>
      </c>
      <c r="CE130" s="9">
        <f t="shared" si="249"/>
        <v>0</v>
      </c>
      <c r="CF130" s="9">
        <f t="shared" si="233"/>
        <v>0.96044432035915817</v>
      </c>
      <c r="CG130" s="9">
        <f t="shared" si="234"/>
        <v>0.74299999999999999</v>
      </c>
      <c r="CH130" s="9">
        <f t="shared" si="250"/>
        <v>1.5816166822222031</v>
      </c>
      <c r="CI130" s="9">
        <f t="shared" si="251"/>
        <v>1.4974452248130312</v>
      </c>
      <c r="CJ130" s="9">
        <v>1</v>
      </c>
      <c r="CK130" s="9">
        <f t="shared" si="252"/>
        <v>209.64233147382436</v>
      </c>
      <c r="CM130" s="4">
        <f t="shared" si="341"/>
        <v>0.66309184733714488</v>
      </c>
      <c r="CN130" s="4">
        <f t="shared" si="342"/>
        <v>1.0724802699593621</v>
      </c>
      <c r="CO130" s="4">
        <f t="shared" si="208"/>
        <v>1.0340613603698168</v>
      </c>
      <c r="CP130" s="4">
        <f t="shared" si="335"/>
        <v>2.1083528164023853</v>
      </c>
      <c r="CQ130" s="4">
        <f t="shared" si="210"/>
        <v>1.2204018199828255</v>
      </c>
      <c r="CR130" s="4">
        <f t="shared" si="211"/>
        <v>1.276229936668285</v>
      </c>
      <c r="CS130" s="4">
        <f t="shared" si="329"/>
        <v>0.93456515011600594</v>
      </c>
      <c r="CU130" s="4">
        <f t="shared" si="360"/>
        <v>0.66309184733714488</v>
      </c>
      <c r="CV130" s="4">
        <f t="shared" si="360"/>
        <v>1.0724802699593621</v>
      </c>
      <c r="CW130" s="4">
        <f t="shared" si="377"/>
        <v>2.1083528164023853</v>
      </c>
      <c r="CX130" s="4">
        <f t="shared" si="343"/>
        <v>0.93456515011600594</v>
      </c>
      <c r="CY130" s="4">
        <f t="shared" si="361"/>
        <v>1.2204018199828255</v>
      </c>
      <c r="CZ130" s="4">
        <f t="shared" si="361"/>
        <v>1.276229936668285</v>
      </c>
      <c r="DH130" s="4">
        <f t="shared" si="362"/>
        <v>0</v>
      </c>
      <c r="DI130" s="4">
        <f t="shared" si="363"/>
        <v>572</v>
      </c>
      <c r="DJ130" s="4">
        <f t="shared" si="364"/>
        <v>1</v>
      </c>
      <c r="DL130" s="4">
        <f t="shared" si="365"/>
        <v>3.8275631008312281E-5</v>
      </c>
      <c r="DM130" s="4">
        <f t="shared" si="366"/>
        <v>3.3423512159494768</v>
      </c>
      <c r="DN130" s="4">
        <f t="shared" si="337"/>
        <v>0.22883095259417338</v>
      </c>
      <c r="DO130" s="4">
        <f t="shared" si="253"/>
        <v>1.8529256412902424</v>
      </c>
      <c r="DP130" s="4">
        <f t="shared" si="254"/>
        <v>2.7030801817652446</v>
      </c>
      <c r="DQ130" s="4">
        <f t="shared" si="255"/>
        <v>3.0045936641224626</v>
      </c>
      <c r="DR130" s="38">
        <f t="shared" si="275"/>
        <v>362.17579551480856</v>
      </c>
      <c r="DS130" s="4">
        <f t="shared" si="256"/>
        <v>1.0000866980646379</v>
      </c>
      <c r="DT130" s="4">
        <f t="shared" si="330"/>
        <v>2.2360679774997898</v>
      </c>
      <c r="DU130" s="4">
        <f t="shared" si="276"/>
        <v>147.50312470197341</v>
      </c>
      <c r="DY130" s="4">
        <f t="shared" si="235"/>
        <v>1</v>
      </c>
      <c r="DZ130" s="4">
        <f t="shared" si="257"/>
        <v>1</v>
      </c>
      <c r="EA130" s="4">
        <f t="shared" si="258"/>
        <v>1</v>
      </c>
      <c r="EB130" s="4">
        <f t="shared" si="259"/>
        <v>1</v>
      </c>
      <c r="ED130" s="4">
        <f t="shared" si="277"/>
        <v>346.33257479751762</v>
      </c>
      <c r="EE130" s="25">
        <f t="shared" si="351"/>
        <v>145.79150184054899</v>
      </c>
      <c r="EH130" s="4">
        <f t="shared" si="314"/>
        <v>3.3423512159494768</v>
      </c>
      <c r="EI130" s="4">
        <f t="shared" si="367"/>
        <v>3.3423512159494768</v>
      </c>
      <c r="EK130" s="4">
        <f t="shared" si="368"/>
        <v>63.951544156493995</v>
      </c>
      <c r="EL130" s="4">
        <f t="shared" si="369"/>
        <v>2.2360679774997898</v>
      </c>
      <c r="EM130" s="4">
        <f t="shared" si="370"/>
        <v>7.9235941050490449E-2</v>
      </c>
      <c r="EP130" s="4">
        <f t="shared" si="332"/>
        <v>7.9235941050490449E-2</v>
      </c>
      <c r="EQ130" s="4">
        <f t="shared" si="333"/>
        <v>0.22844907638258577</v>
      </c>
      <c r="ER130" s="4">
        <f t="shared" si="371"/>
        <v>1.85168814648157</v>
      </c>
      <c r="ES130" s="4">
        <f t="shared" si="236"/>
        <v>2.7026590947952389</v>
      </c>
      <c r="ET130" s="4">
        <f t="shared" si="372"/>
        <v>365.04845584350602</v>
      </c>
      <c r="EU130" s="4">
        <f t="shared" si="373"/>
        <v>143</v>
      </c>
      <c r="EV130" s="4">
        <f t="shared" si="261"/>
        <v>3.8275631008312281E-5</v>
      </c>
      <c r="EW130" s="4">
        <f t="shared" si="237"/>
        <v>3.0046521727948186</v>
      </c>
      <c r="EX130" s="4">
        <f t="shared" si="374"/>
        <v>362.14439829635683</v>
      </c>
      <c r="EY130" s="4">
        <f t="shared" si="375"/>
        <v>365.04845584350602</v>
      </c>
      <c r="EZ130" s="4">
        <f t="shared" si="376"/>
        <v>143</v>
      </c>
      <c r="FB130" s="4">
        <f t="shared" si="338"/>
        <v>0</v>
      </c>
      <c r="FG130" s="23">
        <f t="shared" si="339"/>
        <v>0.8</v>
      </c>
      <c r="FH130" s="23">
        <f t="shared" si="339"/>
        <v>1.2</v>
      </c>
      <c r="FI130" s="23">
        <f t="shared" si="382"/>
        <v>1</v>
      </c>
      <c r="FJ130" s="23">
        <f t="shared" si="340"/>
        <v>2.2000000000000002</v>
      </c>
      <c r="FK130" s="23">
        <f t="shared" si="340"/>
        <v>1.4</v>
      </c>
      <c r="FL130" s="23">
        <f t="shared" si="340"/>
        <v>1.4</v>
      </c>
      <c r="FM130" s="23">
        <f t="shared" si="218"/>
        <v>0</v>
      </c>
      <c r="FN130" s="23"/>
      <c r="FX130" s="4">
        <f t="shared" si="263"/>
        <v>1</v>
      </c>
      <c r="FY130" s="4">
        <f t="shared" si="303"/>
        <v>1</v>
      </c>
      <c r="FZ130" s="4">
        <f t="shared" si="265"/>
        <v>0</v>
      </c>
      <c r="GA130" s="4">
        <f t="shared" si="266"/>
        <v>472.94723106798421</v>
      </c>
    </row>
    <row r="131" spans="1:183" ht="12" hidden="1" customHeight="1" x14ac:dyDescent="0.3">
      <c r="A131" s="25">
        <v>113</v>
      </c>
      <c r="B131" s="24" t="s">
        <v>128</v>
      </c>
      <c r="C131" s="24">
        <v>2015</v>
      </c>
      <c r="D131" s="24" t="s">
        <v>293</v>
      </c>
      <c r="E131" s="24"/>
      <c r="F131" s="7" t="s">
        <v>143</v>
      </c>
      <c r="G131" s="7">
        <v>710</v>
      </c>
      <c r="H131" s="7">
        <f t="shared" si="315"/>
        <v>715</v>
      </c>
      <c r="I131" s="7">
        <f t="shared" si="344"/>
        <v>715</v>
      </c>
      <c r="J131" s="7">
        <v>40.1</v>
      </c>
      <c r="K131" s="7">
        <v>28.6</v>
      </c>
      <c r="L131" s="7">
        <v>25</v>
      </c>
      <c r="M131" s="7">
        <f t="shared" si="345"/>
        <v>25</v>
      </c>
      <c r="N131" s="7">
        <v>406</v>
      </c>
      <c r="O131" s="7">
        <f>K131*3.5</f>
        <v>100.10000000000001</v>
      </c>
      <c r="P131" s="7"/>
      <c r="Q131" s="7">
        <f t="shared" si="378"/>
        <v>28.6</v>
      </c>
      <c r="R131" s="7">
        <v>2</v>
      </c>
      <c r="S131" s="7">
        <f t="shared" si="347"/>
        <v>58.2</v>
      </c>
      <c r="T131" s="7">
        <f t="shared" si="304"/>
        <v>1</v>
      </c>
      <c r="U131" s="7">
        <f t="shared" si="353"/>
        <v>2.534965034965035</v>
      </c>
      <c r="V131" s="7">
        <f t="shared" si="348"/>
        <v>4</v>
      </c>
      <c r="W131" s="7">
        <f t="shared" si="354"/>
        <v>4</v>
      </c>
      <c r="X131" s="7">
        <v>5</v>
      </c>
      <c r="Y131" s="7">
        <f t="shared" si="352"/>
        <v>63.951544156493995</v>
      </c>
      <c r="Z131" s="7"/>
      <c r="AA131" s="7"/>
      <c r="AB131" s="7">
        <v>501</v>
      </c>
      <c r="AC131" s="7"/>
      <c r="AD131" s="7">
        <f t="shared" si="334"/>
        <v>1.2715293577383433</v>
      </c>
      <c r="AE131" s="7"/>
      <c r="AF131" s="7"/>
      <c r="AG131" s="7">
        <v>1</v>
      </c>
      <c r="AH131" s="7"/>
      <c r="AI131" s="7"/>
      <c r="AJ131" s="7"/>
      <c r="AK131" s="4">
        <f t="shared" si="279"/>
        <v>715</v>
      </c>
      <c r="AL131" s="46">
        <f t="shared" si="349"/>
        <v>3.08844224928141E-2</v>
      </c>
      <c r="AM131" s="25">
        <f t="shared" si="268"/>
        <v>942.2785516468773</v>
      </c>
      <c r="AN131" s="4">
        <f t="shared" si="269"/>
        <v>0.7202797202797202</v>
      </c>
      <c r="AO131" s="4">
        <v>1.25</v>
      </c>
      <c r="AP131" s="25">
        <f t="shared" si="317"/>
        <v>5</v>
      </c>
      <c r="AQ131" s="38">
        <f t="shared" si="271"/>
        <v>131.0086571758238</v>
      </c>
      <c r="AR131" s="38">
        <f t="shared" si="272"/>
        <v>131.0086571758238</v>
      </c>
      <c r="AT131" s="38">
        <f t="shared" si="350"/>
        <v>131.00865717582386</v>
      </c>
      <c r="AU131" s="38">
        <f t="shared" si="243"/>
        <v>0.99999999999999956</v>
      </c>
      <c r="AV131" s="38">
        <f t="shared" si="328"/>
        <v>1.9760782395923266</v>
      </c>
      <c r="AW131" s="4">
        <f t="shared" si="323"/>
        <v>0</v>
      </c>
      <c r="AX131" s="4">
        <f t="shared" si="379"/>
        <v>833.21790520987179</v>
      </c>
      <c r="AY131" s="4">
        <f t="shared" si="380"/>
        <v>1.6139860139860138</v>
      </c>
      <c r="AZ131" s="38">
        <f t="shared" si="273"/>
        <v>258.88335664335665</v>
      </c>
      <c r="BA131" s="4">
        <f t="shared" si="381"/>
        <v>0.44000000000000006</v>
      </c>
      <c r="BB131" s="4">
        <f t="shared" si="244"/>
        <v>191.55679640774952</v>
      </c>
      <c r="BC131" s="4">
        <f t="shared" si="245"/>
        <v>450.44015305110617</v>
      </c>
      <c r="BE131" s="36">
        <f t="shared" si="312"/>
        <v>1.25</v>
      </c>
      <c r="BF131" s="36">
        <f t="shared" si="313"/>
        <v>490.76534616861449</v>
      </c>
      <c r="BK131" s="4">
        <f t="shared" si="355"/>
        <v>20.700000000000003</v>
      </c>
      <c r="BL131" s="4">
        <f t="shared" si="356"/>
        <v>20.700000000000003</v>
      </c>
      <c r="BM131" s="4">
        <f t="shared" si="357"/>
        <v>58.2</v>
      </c>
      <c r="BN131" s="4">
        <f t="shared" si="358"/>
        <v>35</v>
      </c>
      <c r="BO131" s="4">
        <f t="shared" si="359"/>
        <v>1.181159420289855</v>
      </c>
      <c r="BP131" s="25">
        <f t="shared" si="274"/>
        <v>1.4454748150400323</v>
      </c>
      <c r="BR131" s="4">
        <f t="shared" si="331"/>
        <v>14.3</v>
      </c>
      <c r="BV131" s="9"/>
      <c r="BX131" s="9"/>
      <c r="BY131" s="9"/>
      <c r="BZ131" s="9">
        <f t="shared" si="231"/>
        <v>14.3</v>
      </c>
      <c r="CA131" s="9">
        <f t="shared" si="232"/>
        <v>100.10000000000001</v>
      </c>
      <c r="CB131" s="9">
        <f t="shared" si="248"/>
        <v>0.94678137986575273</v>
      </c>
      <c r="CC131" s="9">
        <v>0</v>
      </c>
      <c r="CD131" s="9">
        <f t="shared" si="306"/>
        <v>0</v>
      </c>
      <c r="CE131" s="9">
        <f t="shared" si="249"/>
        <v>0</v>
      </c>
      <c r="CF131" s="9">
        <f t="shared" si="233"/>
        <v>0.96044432035915817</v>
      </c>
      <c r="CG131" s="9">
        <f t="shared" si="234"/>
        <v>0.74299999999999999</v>
      </c>
      <c r="CH131" s="9">
        <f t="shared" si="250"/>
        <v>1.5816166822222031</v>
      </c>
      <c r="CI131" s="9">
        <f t="shared" si="251"/>
        <v>1.4974452248130312</v>
      </c>
      <c r="CJ131" s="9">
        <v>1</v>
      </c>
      <c r="CK131" s="9">
        <f t="shared" si="252"/>
        <v>239.59123597008499</v>
      </c>
      <c r="CM131" s="4">
        <f t="shared" si="341"/>
        <v>0.60128328600164638</v>
      </c>
      <c r="CN131" s="4">
        <f t="shared" si="342"/>
        <v>1.1122454261824155</v>
      </c>
      <c r="CO131" s="4">
        <f t="shared" si="208"/>
        <v>1.0208544753847986</v>
      </c>
      <c r="CP131" s="4">
        <f t="shared" si="335"/>
        <v>2.0910614612904879</v>
      </c>
      <c r="CQ131" s="4">
        <f t="shared" si="210"/>
        <v>1.2715293577383433</v>
      </c>
      <c r="CR131" s="4">
        <f t="shared" si="211"/>
        <v>1.317244290552404</v>
      </c>
      <c r="CS131" s="4">
        <f t="shared" si="329"/>
        <v>0.84745183748075836</v>
      </c>
      <c r="CU131" s="4">
        <f t="shared" si="360"/>
        <v>0.60128328600164638</v>
      </c>
      <c r="CV131" s="4">
        <f t="shared" si="360"/>
        <v>1.1122454261824155</v>
      </c>
      <c r="CW131" s="4">
        <f t="shared" si="377"/>
        <v>2.0910614612904879</v>
      </c>
      <c r="CX131" s="4">
        <f t="shared" si="343"/>
        <v>0.84745183748075836</v>
      </c>
      <c r="CY131" s="4">
        <f t="shared" si="361"/>
        <v>1.2715293577383433</v>
      </c>
      <c r="CZ131" s="4">
        <f t="shared" si="361"/>
        <v>1.317244290552404</v>
      </c>
      <c r="DH131" s="4">
        <f t="shared" si="362"/>
        <v>0</v>
      </c>
      <c r="DI131" s="4">
        <f t="shared" si="363"/>
        <v>715</v>
      </c>
      <c r="DJ131" s="4">
        <f t="shared" si="364"/>
        <v>1</v>
      </c>
      <c r="DL131" s="4">
        <f t="shared" si="365"/>
        <v>4.7844538760390357E-5</v>
      </c>
      <c r="DM131" s="4">
        <f t="shared" si="366"/>
        <v>3.3423512159494768</v>
      </c>
      <c r="DN131" s="4">
        <f t="shared" si="337"/>
        <v>0.20324203897509832</v>
      </c>
      <c r="DO131" s="4">
        <f t="shared" si="253"/>
        <v>1.7670852472226173</v>
      </c>
      <c r="DP131" s="4">
        <f t="shared" si="254"/>
        <v>2.6744142720436348</v>
      </c>
      <c r="DQ131" s="4">
        <f t="shared" si="255"/>
        <v>2.821575209296785</v>
      </c>
      <c r="DR131" s="38">
        <f t="shared" si="275"/>
        <v>394.01371030168252</v>
      </c>
      <c r="DS131" s="4">
        <f t="shared" si="256"/>
        <v>1.0000864763076034</v>
      </c>
      <c r="DT131" s="4">
        <f t="shared" si="330"/>
        <v>2.2360679774997898</v>
      </c>
      <c r="DU131" s="4">
        <f t="shared" si="276"/>
        <v>131.00865717582386</v>
      </c>
      <c r="DY131" s="4">
        <f t="shared" si="235"/>
        <v>1</v>
      </c>
      <c r="DZ131" s="4">
        <f t="shared" si="257"/>
        <v>1</v>
      </c>
      <c r="EA131" s="4">
        <f t="shared" si="258"/>
        <v>1</v>
      </c>
      <c r="EB131" s="4">
        <f t="shared" si="259"/>
        <v>1</v>
      </c>
      <c r="ED131" s="4">
        <f t="shared" si="277"/>
        <v>380.33947354586667</v>
      </c>
      <c r="EE131" s="25">
        <f t="shared" si="351"/>
        <v>129.66313234965591</v>
      </c>
      <c r="EH131" s="4">
        <f t="shared" si="314"/>
        <v>3.3423512159494768</v>
      </c>
      <c r="EI131" s="4">
        <f t="shared" si="367"/>
        <v>3.3423512159494768</v>
      </c>
      <c r="EK131" s="4">
        <f t="shared" si="368"/>
        <v>63.951544156493995</v>
      </c>
      <c r="EL131" s="4">
        <f t="shared" si="369"/>
        <v>2.2360679774997898</v>
      </c>
      <c r="EM131" s="4">
        <f t="shared" si="370"/>
        <v>7.037541921949951E-2</v>
      </c>
      <c r="EP131" s="4">
        <f t="shared" si="332"/>
        <v>7.037541921949951E-2</v>
      </c>
      <c r="EQ131" s="4">
        <f t="shared" si="333"/>
        <v>0.20290286589121573</v>
      </c>
      <c r="ER131" s="4">
        <f t="shared" si="371"/>
        <v>1.7659050817744251</v>
      </c>
      <c r="ES131" s="4">
        <f t="shared" si="236"/>
        <v>2.6740279431045169</v>
      </c>
      <c r="ET131" s="4">
        <f t="shared" si="372"/>
        <v>472.29845584350602</v>
      </c>
      <c r="EU131" s="4">
        <f t="shared" si="373"/>
        <v>178.74999999999994</v>
      </c>
      <c r="EV131" s="4">
        <f t="shared" si="261"/>
        <v>4.784453876039033E-5</v>
      </c>
      <c r="EW131" s="4">
        <f t="shared" si="237"/>
        <v>2.8216554115148091</v>
      </c>
      <c r="EX131" s="4">
        <f t="shared" si="374"/>
        <v>393.97964039711007</v>
      </c>
      <c r="EY131" s="4">
        <f t="shared" si="375"/>
        <v>472.29845584350602</v>
      </c>
      <c r="EZ131" s="4">
        <f t="shared" si="376"/>
        <v>178.75</v>
      </c>
      <c r="FB131" s="4">
        <f t="shared" si="338"/>
        <v>0</v>
      </c>
      <c r="FG131" s="23">
        <f t="shared" si="339"/>
        <v>0.8</v>
      </c>
      <c r="FH131" s="23">
        <f t="shared" si="339"/>
        <v>1.2</v>
      </c>
      <c r="FI131" s="23">
        <f t="shared" si="382"/>
        <v>1</v>
      </c>
      <c r="FJ131" s="23">
        <f t="shared" si="340"/>
        <v>2.2000000000000002</v>
      </c>
      <c r="FK131" s="23">
        <f t="shared" si="340"/>
        <v>1.4</v>
      </c>
      <c r="FL131" s="23">
        <f t="shared" si="340"/>
        <v>1.4</v>
      </c>
      <c r="FM131" s="23">
        <f t="shared" si="218"/>
        <v>0</v>
      </c>
      <c r="FN131" s="23"/>
      <c r="FX131" s="4">
        <f t="shared" si="263"/>
        <v>1</v>
      </c>
      <c r="FY131" s="4">
        <f t="shared" si="303"/>
        <v>1</v>
      </c>
      <c r="FZ131" s="4">
        <f t="shared" si="265"/>
        <v>0</v>
      </c>
      <c r="GA131" s="4">
        <f t="shared" si="266"/>
        <v>591.18403883498024</v>
      </c>
    </row>
    <row r="132" spans="1:183" ht="12" hidden="1" customHeight="1" x14ac:dyDescent="0.3">
      <c r="A132" s="25">
        <v>114</v>
      </c>
      <c r="B132" s="24" t="s">
        <v>128</v>
      </c>
      <c r="C132" s="24">
        <v>2015</v>
      </c>
      <c r="D132" s="24" t="s">
        <v>293</v>
      </c>
      <c r="E132" s="24"/>
      <c r="F132" s="7" t="s">
        <v>134</v>
      </c>
      <c r="G132" s="7">
        <v>601</v>
      </c>
      <c r="H132" s="7">
        <f t="shared" si="315"/>
        <v>508</v>
      </c>
      <c r="I132" s="7">
        <f t="shared" si="344"/>
        <v>508</v>
      </c>
      <c r="J132" s="7">
        <v>41.4</v>
      </c>
      <c r="K132" s="7">
        <v>25.4</v>
      </c>
      <c r="L132" s="7">
        <v>20</v>
      </c>
      <c r="M132" s="7">
        <f t="shared" si="345"/>
        <v>20</v>
      </c>
      <c r="N132" s="7">
        <v>225</v>
      </c>
      <c r="O132" s="7">
        <f t="shared" si="346"/>
        <v>25.4</v>
      </c>
      <c r="P132" s="7"/>
      <c r="Q132" s="7">
        <f t="shared" si="378"/>
        <v>25.4</v>
      </c>
      <c r="R132" s="7">
        <v>2</v>
      </c>
      <c r="S132" s="7">
        <f t="shared" si="347"/>
        <v>59.8</v>
      </c>
      <c r="T132" s="7">
        <f t="shared" si="304"/>
        <v>1</v>
      </c>
      <c r="U132" s="7">
        <f t="shared" si="353"/>
        <v>1.4999999999999998</v>
      </c>
      <c r="V132" s="7">
        <f t="shared" si="348"/>
        <v>4</v>
      </c>
      <c r="W132" s="7">
        <f t="shared" si="354"/>
        <v>4</v>
      </c>
      <c r="X132" s="7">
        <v>5</v>
      </c>
      <c r="Y132" s="7">
        <f t="shared" si="352"/>
        <v>56.796126628494655</v>
      </c>
      <c r="Z132" s="7"/>
      <c r="AA132" s="7"/>
      <c r="AB132" s="7">
        <v>326</v>
      </c>
      <c r="AC132" s="7"/>
      <c r="AD132" s="7">
        <f t="shared" si="334"/>
        <v>0.98237511321915549</v>
      </c>
      <c r="AE132" s="7"/>
      <c r="AF132" s="7"/>
      <c r="AG132" s="7">
        <v>1</v>
      </c>
      <c r="AH132" s="7"/>
      <c r="AI132" s="7"/>
      <c r="AJ132" s="7"/>
      <c r="AK132" s="4">
        <f t="shared" si="279"/>
        <v>508</v>
      </c>
      <c r="AL132" s="46">
        <f t="shared" si="349"/>
        <v>3.3906317812635624E-2</v>
      </c>
      <c r="AM132" s="25">
        <f t="shared" si="268"/>
        <v>726.95650773025864</v>
      </c>
      <c r="AN132" s="4">
        <f t="shared" si="269"/>
        <v>0.71499999999999997</v>
      </c>
      <c r="AO132" s="4">
        <v>1.25</v>
      </c>
      <c r="AP132" s="25">
        <f t="shared" si="317"/>
        <v>5</v>
      </c>
      <c r="AQ132" s="38">
        <f t="shared" si="271"/>
        <v>110.14761966720054</v>
      </c>
      <c r="AR132" s="38">
        <f t="shared" si="272"/>
        <v>110.14761966720054</v>
      </c>
      <c r="AT132" s="38">
        <f t="shared" si="350"/>
        <v>110.14761966720066</v>
      </c>
      <c r="AU132" s="38">
        <f t="shared" si="243"/>
        <v>0.999999999999999</v>
      </c>
      <c r="AV132" s="38">
        <f t="shared" si="328"/>
        <v>1.8041243251593759</v>
      </c>
      <c r="AW132" s="4">
        <f t="shared" si="323"/>
        <v>0</v>
      </c>
      <c r="AX132" s="4">
        <f t="shared" si="379"/>
        <v>677.29296598506994</v>
      </c>
      <c r="AY132" s="4">
        <f t="shared" si="380"/>
        <v>1.2</v>
      </c>
      <c r="AZ132" s="38">
        <f t="shared" si="273"/>
        <v>198.72</v>
      </c>
      <c r="BA132" s="4">
        <f t="shared" si="381"/>
        <v>0.44000000000000006</v>
      </c>
      <c r="BB132" s="4">
        <f t="shared" si="244"/>
        <v>155.70965287996762</v>
      </c>
      <c r="BC132" s="4">
        <f t="shared" si="245"/>
        <v>354.42965287996765</v>
      </c>
      <c r="BE132" s="36">
        <f t="shared" si="312"/>
        <v>1</v>
      </c>
      <c r="BF132" s="36">
        <f t="shared" si="313"/>
        <v>347.4512915503409</v>
      </c>
      <c r="BK132" s="4">
        <f t="shared" si="355"/>
        <v>19.100000000000001</v>
      </c>
      <c r="BL132" s="4">
        <f t="shared" si="356"/>
        <v>19.100000000000001</v>
      </c>
      <c r="BM132" s="4">
        <f t="shared" si="357"/>
        <v>59.8</v>
      </c>
      <c r="BN132" s="4">
        <f t="shared" si="358"/>
        <v>31.8</v>
      </c>
      <c r="BO132" s="4">
        <f t="shared" si="359"/>
        <v>1.213089005235602</v>
      </c>
      <c r="BP132" s="25">
        <f t="shared" si="274"/>
        <v>1.51874922702725</v>
      </c>
      <c r="BR132" s="4">
        <f t="shared" si="331"/>
        <v>12.7</v>
      </c>
      <c r="BV132" s="9"/>
      <c r="BX132" s="9"/>
      <c r="BY132" s="9"/>
      <c r="BZ132" s="9">
        <f t="shared" ref="BZ132:BZ195" si="383">IF(Q132=0,MIN(O132,P132),MIN(Q132/2,O132,P132))</f>
        <v>12.7</v>
      </c>
      <c r="CA132" s="9">
        <f t="shared" ref="CA132:CA195" si="384">MAX(Q132/2,O132)</f>
        <v>25.4</v>
      </c>
      <c r="CB132" s="9">
        <f t="shared" si="248"/>
        <v>0.78458409789675088</v>
      </c>
      <c r="CC132" s="9">
        <v>0</v>
      </c>
      <c r="CD132" s="9">
        <f t="shared" si="306"/>
        <v>0</v>
      </c>
      <c r="CE132" s="9">
        <f t="shared" si="249"/>
        <v>0</v>
      </c>
      <c r="CF132" s="9">
        <f t="shared" ref="CF132:CF195" si="385">MIN(1,(25/K132)^0.3)</f>
        <v>0.99524931562137331</v>
      </c>
      <c r="CG132" s="9">
        <f t="shared" ref="CG132:CG195" si="386">IF(G132&gt;=800,0.68,IF(G132&gt;=700,0.75-(G132-700)*0.07/100,IF(G132&gt;=600,0.85-(G132-600)*0.1/100,IF(G132&gt;=500,1-(G132-500)*0.15/100,1.2-(G132-400)*0.2/100))))</f>
        <v>0.84899999999999998</v>
      </c>
      <c r="CH132" s="9">
        <f t="shared" si="250"/>
        <v>1.9028641880890567</v>
      </c>
      <c r="CI132" s="9">
        <f t="shared" si="251"/>
        <v>1.4929569824318858</v>
      </c>
      <c r="CJ132" s="9">
        <v>1</v>
      </c>
      <c r="CK132" s="9">
        <f t="shared" si="252"/>
        <v>209.013977540464</v>
      </c>
      <c r="CM132" s="4">
        <f t="shared" si="341"/>
        <v>0.48132789852004199</v>
      </c>
      <c r="CN132" s="4">
        <f t="shared" si="342"/>
        <v>0.91978760058883746</v>
      </c>
      <c r="CO132" s="4">
        <f t="shared" si="208"/>
        <v>0.93826101076031576</v>
      </c>
      <c r="CP132" s="4">
        <f t="shared" si="335"/>
        <v>1.5597043022488204</v>
      </c>
      <c r="CQ132" s="4">
        <f t="shared" si="210"/>
        <v>0.98237511321915549</v>
      </c>
      <c r="CR132" s="4">
        <f t="shared" si="211"/>
        <v>1.0094326350055061</v>
      </c>
      <c r="CS132" s="4">
        <f t="shared" si="329"/>
        <v>0.80553566870942928</v>
      </c>
      <c r="CU132" s="4">
        <f t="shared" si="360"/>
        <v>0.48132789852004199</v>
      </c>
      <c r="CV132" s="4">
        <f t="shared" si="360"/>
        <v>0.91978760058883746</v>
      </c>
      <c r="CW132" s="4">
        <f t="shared" si="377"/>
        <v>1.5597043022488204</v>
      </c>
      <c r="CX132" s="4">
        <f t="shared" si="343"/>
        <v>0.80553566870942928</v>
      </c>
      <c r="CY132" s="4">
        <f t="shared" si="361"/>
        <v>0.98237511321915549</v>
      </c>
      <c r="CZ132" s="4">
        <f t="shared" si="361"/>
        <v>1.0094326350055061</v>
      </c>
      <c r="DH132" s="4">
        <f t="shared" si="362"/>
        <v>0</v>
      </c>
      <c r="DI132" s="4">
        <f t="shared" si="363"/>
        <v>508</v>
      </c>
      <c r="DJ132" s="4">
        <f t="shared" si="364"/>
        <v>1</v>
      </c>
      <c r="DL132" s="4">
        <f t="shared" si="365"/>
        <v>3.8605280992638798E-5</v>
      </c>
      <c r="DM132" s="4">
        <f t="shared" si="366"/>
        <v>3.5682527467332243</v>
      </c>
      <c r="DN132" s="4">
        <f t="shared" si="337"/>
        <v>0.14699426103981272</v>
      </c>
      <c r="DO132" s="4">
        <f t="shared" si="253"/>
        <v>1.6572031895700639</v>
      </c>
      <c r="DP132" s="4">
        <f t="shared" si="254"/>
        <v>2.7839817622382004</v>
      </c>
      <c r="DQ132" s="4">
        <f t="shared" si="255"/>
        <v>3.2370243009413513</v>
      </c>
      <c r="DR132" s="38">
        <f t="shared" si="275"/>
        <v>331.84879748401517</v>
      </c>
      <c r="DS132" s="4">
        <f t="shared" si="256"/>
        <v>1.0000769602945356</v>
      </c>
      <c r="DT132" s="4">
        <f t="shared" si="330"/>
        <v>2.2360679774997898</v>
      </c>
      <c r="DU132" s="4">
        <f t="shared" si="276"/>
        <v>110.14761966720066</v>
      </c>
      <c r="DY132" s="4">
        <f t="shared" ref="DY132:DY195" si="387">IF(P132&gt;1*K132,0.85,1)</f>
        <v>1</v>
      </c>
      <c r="DZ132" s="4">
        <f t="shared" si="257"/>
        <v>1</v>
      </c>
      <c r="EA132" s="4">
        <f t="shared" si="258"/>
        <v>1</v>
      </c>
      <c r="EB132" s="4">
        <f t="shared" si="259"/>
        <v>1</v>
      </c>
      <c r="ED132" s="4">
        <f t="shared" si="277"/>
        <v>322.9536956651117</v>
      </c>
      <c r="EE132" s="25">
        <f t="shared" si="351"/>
        <v>108.85853086111824</v>
      </c>
      <c r="EH132" s="4">
        <f t="shared" si="314"/>
        <v>3.5682527467332243</v>
      </c>
      <c r="EI132" s="4">
        <f t="shared" si="367"/>
        <v>3.5682527467332243</v>
      </c>
      <c r="EK132" s="4">
        <f t="shared" si="368"/>
        <v>56.796126628494655</v>
      </c>
      <c r="EL132" s="4">
        <f t="shared" si="369"/>
        <v>2.2360679774997898</v>
      </c>
      <c r="EM132" s="4">
        <f t="shared" si="370"/>
        <v>5.1717296623853881E-2</v>
      </c>
      <c r="EP132" s="4">
        <f t="shared" si="332"/>
        <v>5.1717296623853881E-2</v>
      </c>
      <c r="EQ132" s="4">
        <f t="shared" si="333"/>
        <v>0.14674895501414331</v>
      </c>
      <c r="ER132" s="4">
        <f t="shared" si="371"/>
        <v>1.6560964099463651</v>
      </c>
      <c r="ES132" s="4">
        <f t="shared" ref="ES132:ES195" si="388">EH132/1.4*(1-EQ132^1.4)/(1-EQ132)</f>
        <v>2.7836576591476994</v>
      </c>
      <c r="ET132" s="4">
        <f t="shared" si="372"/>
        <v>324.20387337150532</v>
      </c>
      <c r="EU132" s="4">
        <f t="shared" si="373"/>
        <v>127</v>
      </c>
      <c r="EV132" s="4">
        <f t="shared" si="261"/>
        <v>3.8605280992638798E-5</v>
      </c>
      <c r="EW132" s="4">
        <f t="shared" ref="EW132:EW195" si="389">MAX(0.5*EH132, (1-2*EV132*(EK132*ER132+ET132*ES132))/(1/EH132+EV132*EU132))</f>
        <v>3.2370697730071787</v>
      </c>
      <c r="EX132" s="4">
        <f t="shared" si="374"/>
        <v>331.82326026817117</v>
      </c>
      <c r="EY132" s="4">
        <f t="shared" si="375"/>
        <v>324.20387337150532</v>
      </c>
      <c r="EZ132" s="4">
        <f t="shared" si="376"/>
        <v>127.00000000000003</v>
      </c>
      <c r="FB132" s="4">
        <f t="shared" si="338"/>
        <v>0</v>
      </c>
      <c r="FG132" s="23">
        <f t="shared" si="339"/>
        <v>0.6</v>
      </c>
      <c r="FH132" s="23">
        <f t="shared" si="339"/>
        <v>1</v>
      </c>
      <c r="FI132" s="23">
        <f t="shared" si="382"/>
        <v>1</v>
      </c>
      <c r="FJ132" s="23">
        <f t="shared" si="340"/>
        <v>1.6</v>
      </c>
      <c r="FK132" s="23">
        <f t="shared" si="340"/>
        <v>1</v>
      </c>
      <c r="FL132" s="23">
        <f t="shared" si="340"/>
        <v>1.2</v>
      </c>
      <c r="FM132" s="23">
        <f t="shared" si="218"/>
        <v>0</v>
      </c>
      <c r="FN132" s="23"/>
      <c r="FX132" s="4">
        <f t="shared" si="263"/>
        <v>1.25</v>
      </c>
      <c r="FY132" s="4">
        <f t="shared" si="303"/>
        <v>1</v>
      </c>
      <c r="FZ132" s="4">
        <f t="shared" si="265"/>
        <v>0</v>
      </c>
      <c r="GA132" s="4">
        <f t="shared" si="266"/>
        <v>404.69964604086806</v>
      </c>
    </row>
    <row r="133" spans="1:183" ht="12" hidden="1" customHeight="1" x14ac:dyDescent="0.3">
      <c r="A133" s="25">
        <v>115</v>
      </c>
      <c r="B133" s="24" t="s">
        <v>128</v>
      </c>
      <c r="C133" s="24">
        <v>2015</v>
      </c>
      <c r="D133" s="24" t="s">
        <v>293</v>
      </c>
      <c r="E133" s="24"/>
      <c r="F133" s="7" t="s">
        <v>135</v>
      </c>
      <c r="G133" s="7">
        <v>601</v>
      </c>
      <c r="H133" s="7">
        <f t="shared" si="315"/>
        <v>635</v>
      </c>
      <c r="I133" s="7">
        <f t="shared" si="344"/>
        <v>635</v>
      </c>
      <c r="J133" s="7">
        <v>41.4</v>
      </c>
      <c r="K133" s="7">
        <v>25.4</v>
      </c>
      <c r="L133" s="7">
        <v>25</v>
      </c>
      <c r="M133" s="7">
        <f t="shared" si="345"/>
        <v>25</v>
      </c>
      <c r="N133" s="7">
        <v>225</v>
      </c>
      <c r="O133" s="7">
        <f t="shared" si="346"/>
        <v>25.4</v>
      </c>
      <c r="P133" s="7"/>
      <c r="Q133" s="7">
        <f t="shared" si="378"/>
        <v>25.4</v>
      </c>
      <c r="R133" s="7">
        <v>2</v>
      </c>
      <c r="S133" s="7">
        <f>72.5-K133/2</f>
        <v>59.8</v>
      </c>
      <c r="T133" s="7">
        <f t="shared" si="304"/>
        <v>1</v>
      </c>
      <c r="U133" s="7">
        <f t="shared" si="353"/>
        <v>1.4999999999999998</v>
      </c>
      <c r="V133" s="7">
        <f t="shared" si="348"/>
        <v>4</v>
      </c>
      <c r="W133" s="7">
        <f t="shared" si="354"/>
        <v>4</v>
      </c>
      <c r="X133" s="7">
        <v>5</v>
      </c>
      <c r="Y133" s="7">
        <f t="shared" si="352"/>
        <v>56.796126628494655</v>
      </c>
      <c r="Z133" s="7"/>
      <c r="AA133" s="7"/>
      <c r="AB133" s="7">
        <v>408</v>
      </c>
      <c r="AC133" s="7"/>
      <c r="AD133" s="7">
        <f t="shared" si="334"/>
        <v>1.0994263216866613</v>
      </c>
      <c r="AE133" s="7"/>
      <c r="AF133" s="7"/>
      <c r="AG133" s="7">
        <v>1</v>
      </c>
      <c r="AH133" s="7"/>
      <c r="AI133" s="7"/>
      <c r="AJ133" s="7"/>
      <c r="AK133" s="4">
        <f t="shared" si="279"/>
        <v>635</v>
      </c>
      <c r="AL133" s="46">
        <f t="shared" si="349"/>
        <v>2.1700043400086799E-2</v>
      </c>
      <c r="AM133" s="25">
        <f t="shared" si="268"/>
        <v>1015.952604981694</v>
      </c>
      <c r="AN133" s="4">
        <f t="shared" si="269"/>
        <v>0.71199999999999997</v>
      </c>
      <c r="AO133" s="4">
        <v>1.25</v>
      </c>
      <c r="AP133" s="25">
        <f t="shared" si="317"/>
        <v>5</v>
      </c>
      <c r="AQ133" s="38">
        <f t="shared" si="271"/>
        <v>98.105659511376288</v>
      </c>
      <c r="AR133" s="38">
        <f t="shared" si="272"/>
        <v>98.105659511376288</v>
      </c>
      <c r="AT133" s="38">
        <f t="shared" si="350"/>
        <v>98.105659511376331</v>
      </c>
      <c r="AU133" s="38">
        <f t="shared" si="243"/>
        <v>0.99999999999999956</v>
      </c>
      <c r="AV133" s="38">
        <f t="shared" si="328"/>
        <v>2.0255712156642343</v>
      </c>
      <c r="AW133" s="4">
        <f t="shared" si="323"/>
        <v>0</v>
      </c>
      <c r="AX133" s="4">
        <f t="shared" si="379"/>
        <v>846.61620748133748</v>
      </c>
      <c r="AY133" s="4">
        <f t="shared" si="380"/>
        <v>1.2</v>
      </c>
      <c r="AZ133" s="38">
        <f t="shared" si="273"/>
        <v>198.72</v>
      </c>
      <c r="BA133" s="4">
        <f t="shared" si="381"/>
        <v>0.44000000000000006</v>
      </c>
      <c r="BB133" s="4">
        <f t="shared" si="244"/>
        <v>194.63706609995953</v>
      </c>
      <c r="BC133" s="4">
        <f t="shared" si="245"/>
        <v>393.35706609995952</v>
      </c>
      <c r="BE133" s="36">
        <f t="shared" si="312"/>
        <v>1</v>
      </c>
      <c r="BF133" s="36">
        <f t="shared" si="313"/>
        <v>398.92555696520623</v>
      </c>
      <c r="BK133" s="4">
        <f t="shared" si="355"/>
        <v>19.100000000000001</v>
      </c>
      <c r="BL133" s="4">
        <f t="shared" si="356"/>
        <v>19.100000000000001</v>
      </c>
      <c r="BM133" s="4">
        <f t="shared" si="357"/>
        <v>59.8</v>
      </c>
      <c r="BN133" s="4">
        <f t="shared" si="358"/>
        <v>31.8</v>
      </c>
      <c r="BO133" s="4">
        <f t="shared" si="359"/>
        <v>1.213089005235602</v>
      </c>
      <c r="BP133" s="25">
        <f t="shared" si="274"/>
        <v>1.51874922702725</v>
      </c>
      <c r="BR133" s="4">
        <f t="shared" si="331"/>
        <v>12.7</v>
      </c>
      <c r="BV133" s="9"/>
      <c r="BX133" s="9"/>
      <c r="BY133" s="9"/>
      <c r="BZ133" s="9">
        <f t="shared" si="383"/>
        <v>12.7</v>
      </c>
      <c r="CA133" s="9">
        <f t="shared" si="384"/>
        <v>25.4</v>
      </c>
      <c r="CB133" s="9">
        <f t="shared" si="248"/>
        <v>0.78458409789675088</v>
      </c>
      <c r="CC133" s="9">
        <v>0</v>
      </c>
      <c r="CD133" s="9">
        <f t="shared" si="306"/>
        <v>0</v>
      </c>
      <c r="CE133" s="9">
        <f t="shared" si="249"/>
        <v>0</v>
      </c>
      <c r="CF133" s="9">
        <f t="shared" si="385"/>
        <v>0.99524931562137331</v>
      </c>
      <c r="CG133" s="9">
        <f t="shared" si="386"/>
        <v>0.84899999999999998</v>
      </c>
      <c r="CH133" s="9">
        <f t="shared" si="250"/>
        <v>1.9028641880890567</v>
      </c>
      <c r="CI133" s="9">
        <f t="shared" si="251"/>
        <v>1.4929569824318858</v>
      </c>
      <c r="CJ133" s="9">
        <v>1</v>
      </c>
      <c r="CK133" s="9">
        <f t="shared" si="252"/>
        <v>238.87311718910172</v>
      </c>
      <c r="CM133" s="4">
        <f t="shared" si="341"/>
        <v>0.48191848489859418</v>
      </c>
      <c r="CN133" s="4">
        <f t="shared" si="342"/>
        <v>1.0372255519526359</v>
      </c>
      <c r="CO133" s="4">
        <f t="shared" si="208"/>
        <v>1.0227472090377634</v>
      </c>
      <c r="CP133" s="4">
        <f t="shared" si="335"/>
        <v>1.7080197420332173</v>
      </c>
      <c r="CQ133" s="4">
        <f t="shared" si="210"/>
        <v>1.0994263216866613</v>
      </c>
      <c r="CR133" s="4">
        <f t="shared" si="211"/>
        <v>1.1186948523610185</v>
      </c>
      <c r="CS133" s="4">
        <f t="shared" si="329"/>
        <v>0.80652405603299926</v>
      </c>
      <c r="CU133" s="4">
        <f t="shared" si="360"/>
        <v>0.48191848489859418</v>
      </c>
      <c r="CV133" s="4">
        <f t="shared" si="360"/>
        <v>1.0372255519526359</v>
      </c>
      <c r="CW133" s="4">
        <f t="shared" si="377"/>
        <v>1.7080197420332173</v>
      </c>
      <c r="CX133" s="4">
        <f t="shared" si="343"/>
        <v>0.80652405603299926</v>
      </c>
      <c r="CY133" s="4">
        <f t="shared" si="361"/>
        <v>1.0994263216866613</v>
      </c>
      <c r="CZ133" s="4">
        <f t="shared" si="361"/>
        <v>1.1186948523610185</v>
      </c>
      <c r="DH133" s="4">
        <f t="shared" si="362"/>
        <v>0</v>
      </c>
      <c r="DI133" s="4">
        <f t="shared" si="363"/>
        <v>635</v>
      </c>
      <c r="DJ133" s="4">
        <f t="shared" si="364"/>
        <v>1</v>
      </c>
      <c r="DL133" s="4">
        <f t="shared" si="365"/>
        <v>4.8256601240798488E-5</v>
      </c>
      <c r="DM133" s="4">
        <f t="shared" si="366"/>
        <v>3.5682527467332243</v>
      </c>
      <c r="DN133" s="4">
        <f t="shared" si="337"/>
        <v>0.13092401785231186</v>
      </c>
      <c r="DO133" s="4">
        <f t="shared" si="253"/>
        <v>1.5822071349669731</v>
      </c>
      <c r="DP133" s="4">
        <f t="shared" si="254"/>
        <v>2.7624609360085506</v>
      </c>
      <c r="DQ133" s="4">
        <f t="shared" si="255"/>
        <v>3.0547564676061842</v>
      </c>
      <c r="DR133" s="38">
        <f t="shared" si="275"/>
        <v>371.10263048284628</v>
      </c>
      <c r="DS133" s="4">
        <f t="shared" si="256"/>
        <v>1.0000741331081429</v>
      </c>
      <c r="DT133" s="4">
        <f t="shared" si="330"/>
        <v>2.2360679774997898</v>
      </c>
      <c r="DU133" s="4">
        <f t="shared" si="276"/>
        <v>98.105659511376331</v>
      </c>
      <c r="DY133" s="4">
        <f t="shared" si="387"/>
        <v>1</v>
      </c>
      <c r="DZ133" s="4">
        <f t="shared" si="257"/>
        <v>1</v>
      </c>
      <c r="EA133" s="4">
        <f t="shared" si="258"/>
        <v>1</v>
      </c>
      <c r="EB133" s="4">
        <f t="shared" si="259"/>
        <v>1</v>
      </c>
      <c r="ED133" s="4">
        <f t="shared" si="277"/>
        <v>364.71071547250909</v>
      </c>
      <c r="EE133" s="25">
        <f t="shared" si="351"/>
        <v>97.09175946751725</v>
      </c>
      <c r="EH133" s="4">
        <f t="shared" si="314"/>
        <v>3.5682527467332243</v>
      </c>
      <c r="EI133" s="4">
        <f t="shared" si="367"/>
        <v>3.5682527467332243</v>
      </c>
      <c r="EK133" s="4">
        <f t="shared" si="368"/>
        <v>56.796126628494655</v>
      </c>
      <c r="EL133" s="4">
        <f t="shared" si="369"/>
        <v>2.2360679774997898</v>
      </c>
      <c r="EM133" s="4">
        <f t="shared" si="370"/>
        <v>4.6063269535542281E-2</v>
      </c>
      <c r="EP133" s="4">
        <f t="shared" si="332"/>
        <v>4.6063269535542281E-2</v>
      </c>
      <c r="EQ133" s="4">
        <f t="shared" si="333"/>
        <v>0.13070553006743624</v>
      </c>
      <c r="ER133" s="4">
        <f t="shared" si="371"/>
        <v>1.5811504422038443</v>
      </c>
      <c r="ES133" s="4">
        <f t="shared" si="388"/>
        <v>2.7621641591792314</v>
      </c>
      <c r="ET133" s="4">
        <f t="shared" si="372"/>
        <v>419.45387337150532</v>
      </c>
      <c r="EU133" s="4">
        <f t="shared" si="373"/>
        <v>158.75</v>
      </c>
      <c r="EV133" s="4">
        <f t="shared" si="261"/>
        <v>4.8256601240798488E-5</v>
      </c>
      <c r="EW133" s="4">
        <f t="shared" si="389"/>
        <v>3.0548183157992312</v>
      </c>
      <c r="EX133" s="4">
        <f t="shared" si="374"/>
        <v>371.07512153073276</v>
      </c>
      <c r="EY133" s="4">
        <f t="shared" si="375"/>
        <v>419.45387337150532</v>
      </c>
      <c r="EZ133" s="4">
        <f t="shared" si="376"/>
        <v>158.75000000000003</v>
      </c>
      <c r="FB133" s="4">
        <f t="shared" si="338"/>
        <v>0</v>
      </c>
      <c r="FG133" s="23">
        <f t="shared" si="339"/>
        <v>0.6</v>
      </c>
      <c r="FH133" s="23">
        <f t="shared" si="339"/>
        <v>1.2</v>
      </c>
      <c r="FI133" s="23">
        <f t="shared" si="382"/>
        <v>1</v>
      </c>
      <c r="FJ133" s="23">
        <f t="shared" si="340"/>
        <v>1.8</v>
      </c>
      <c r="FK133" s="23">
        <f t="shared" si="340"/>
        <v>1.2</v>
      </c>
      <c r="FL133" s="23">
        <f t="shared" si="340"/>
        <v>1.2</v>
      </c>
      <c r="FM133" s="23">
        <f t="shared" si="218"/>
        <v>0</v>
      </c>
      <c r="FN133" s="23"/>
      <c r="FX133" s="4">
        <f t="shared" si="263"/>
        <v>1.25</v>
      </c>
      <c r="FY133" s="4">
        <f t="shared" si="303"/>
        <v>1</v>
      </c>
      <c r="FZ133" s="4">
        <f t="shared" si="265"/>
        <v>0</v>
      </c>
      <c r="GA133" s="4">
        <f t="shared" si="266"/>
        <v>505.87455755108505</v>
      </c>
    </row>
    <row r="134" spans="1:183" ht="12" hidden="1" customHeight="1" x14ac:dyDescent="0.3">
      <c r="A134" s="25">
        <v>116</v>
      </c>
      <c r="B134" s="24" t="s">
        <v>128</v>
      </c>
      <c r="C134" s="24">
        <v>2015</v>
      </c>
      <c r="D134" s="24" t="s">
        <v>293</v>
      </c>
      <c r="E134" s="24"/>
      <c r="F134" s="7" t="s">
        <v>136</v>
      </c>
      <c r="G134" s="7">
        <v>710</v>
      </c>
      <c r="H134" s="7">
        <f t="shared" si="315"/>
        <v>572</v>
      </c>
      <c r="I134" s="7">
        <f t="shared" si="344"/>
        <v>572</v>
      </c>
      <c r="J134" s="7">
        <v>20.3</v>
      </c>
      <c r="K134" s="7">
        <v>28.6</v>
      </c>
      <c r="L134" s="7">
        <v>20</v>
      </c>
      <c r="M134" s="7">
        <f t="shared" si="345"/>
        <v>20</v>
      </c>
      <c r="N134" s="7">
        <v>261</v>
      </c>
      <c r="O134" s="7">
        <f t="shared" si="346"/>
        <v>28.6</v>
      </c>
      <c r="P134" s="7"/>
      <c r="Q134" s="7">
        <f t="shared" si="378"/>
        <v>28.6</v>
      </c>
      <c r="R134" s="7">
        <v>2</v>
      </c>
      <c r="S134" s="7">
        <f t="shared" si="347"/>
        <v>58.2</v>
      </c>
      <c r="T134" s="7">
        <f t="shared" si="304"/>
        <v>1</v>
      </c>
      <c r="U134" s="7">
        <f t="shared" si="353"/>
        <v>1.5000000000000002</v>
      </c>
      <c r="V134" s="7">
        <f t="shared" si="348"/>
        <v>4</v>
      </c>
      <c r="W134" s="7">
        <f t="shared" si="354"/>
        <v>4</v>
      </c>
      <c r="X134" s="7">
        <v>5</v>
      </c>
      <c r="Y134" s="7">
        <f t="shared" si="352"/>
        <v>63.951544156493995</v>
      </c>
      <c r="Z134" s="7"/>
      <c r="AA134" s="7"/>
      <c r="AB134" s="7">
        <v>235</v>
      </c>
      <c r="AC134" s="7"/>
      <c r="AD134" s="7">
        <f t="shared" si="334"/>
        <v>1.0703841422803833</v>
      </c>
      <c r="AE134" s="7"/>
      <c r="AF134" s="7"/>
      <c r="AG134" s="7">
        <v>1</v>
      </c>
      <c r="AH134" s="7"/>
      <c r="AI134" s="7"/>
      <c r="AJ134" s="7"/>
      <c r="AK134" s="4">
        <f t="shared" si="279"/>
        <v>572</v>
      </c>
      <c r="AL134" s="46">
        <f t="shared" si="349"/>
        <v>3.1022299378942735E-2</v>
      </c>
      <c r="AM134" s="25">
        <f t="shared" si="268"/>
        <v>479.72253378364422</v>
      </c>
      <c r="AN134" s="4">
        <f t="shared" si="269"/>
        <v>0.71499999999999997</v>
      </c>
      <c r="AO134" s="4">
        <v>1.25</v>
      </c>
      <c r="AP134" s="25">
        <f t="shared" si="317"/>
        <v>5</v>
      </c>
      <c r="AQ134" s="38">
        <f t="shared" si="271"/>
        <v>66.50436677644214</v>
      </c>
      <c r="AR134" s="38">
        <f t="shared" si="272"/>
        <v>66.50436677644214</v>
      </c>
      <c r="AT134" s="38">
        <f t="shared" si="350"/>
        <v>66.504366776442097</v>
      </c>
      <c r="AU134" s="38">
        <f t="shared" si="243"/>
        <v>1.0000000000000007</v>
      </c>
      <c r="AV134" s="38">
        <f t="shared" si="328"/>
        <v>1.4651669465187098</v>
      </c>
      <c r="AW134" s="4">
        <f t="shared" si="323"/>
        <v>0</v>
      </c>
      <c r="AX134" s="4">
        <f t="shared" si="379"/>
        <v>474.26864530816039</v>
      </c>
      <c r="AY134" s="4">
        <f t="shared" si="380"/>
        <v>1.2000000000000002</v>
      </c>
      <c r="AZ134" s="38">
        <f t="shared" si="273"/>
        <v>97.44</v>
      </c>
      <c r="BA134" s="4">
        <f t="shared" si="381"/>
        <v>0.44000000000000006</v>
      </c>
      <c r="BB134" s="4">
        <f t="shared" si="244"/>
        <v>109.03436155634608</v>
      </c>
      <c r="BC134" s="4">
        <f t="shared" si="245"/>
        <v>206.47436155634608</v>
      </c>
      <c r="BE134" s="36">
        <f t="shared" si="312"/>
        <v>1</v>
      </c>
      <c r="BF134" s="36">
        <f t="shared" si="313"/>
        <v>243.29981504308628</v>
      </c>
      <c r="BK134" s="4">
        <f t="shared" si="355"/>
        <v>20.700000000000003</v>
      </c>
      <c r="BL134" s="4">
        <f t="shared" si="356"/>
        <v>20.700000000000003</v>
      </c>
      <c r="BM134" s="4">
        <f t="shared" si="357"/>
        <v>58.2</v>
      </c>
      <c r="BN134" s="4">
        <f t="shared" si="358"/>
        <v>35</v>
      </c>
      <c r="BO134" s="4">
        <f t="shared" si="359"/>
        <v>1.181159420289855</v>
      </c>
      <c r="BP134" s="25">
        <f t="shared" si="274"/>
        <v>1.4454748150400323</v>
      </c>
      <c r="BR134" s="4">
        <f t="shared" si="331"/>
        <v>14.3</v>
      </c>
      <c r="BV134" s="9"/>
      <c r="BX134" s="9"/>
      <c r="BY134" s="9"/>
      <c r="BZ134" s="9">
        <f t="shared" si="383"/>
        <v>14.3</v>
      </c>
      <c r="CA134" s="9">
        <f t="shared" si="384"/>
        <v>28.6</v>
      </c>
      <c r="CB134" s="9">
        <f t="shared" si="248"/>
        <v>0.78458409789675088</v>
      </c>
      <c r="CC134" s="9">
        <v>0</v>
      </c>
      <c r="CD134" s="9">
        <f t="shared" si="306"/>
        <v>0</v>
      </c>
      <c r="CE134" s="9">
        <f t="shared" si="249"/>
        <v>0</v>
      </c>
      <c r="CF134" s="9">
        <f t="shared" si="385"/>
        <v>0.96044432035915817</v>
      </c>
      <c r="CG134" s="9">
        <f t="shared" si="386"/>
        <v>0.74299999999999999</v>
      </c>
      <c r="CH134" s="9">
        <f t="shared" si="250"/>
        <v>1.1253226745730049</v>
      </c>
      <c r="CI134" s="9">
        <f t="shared" si="251"/>
        <v>0.88291027547262002</v>
      </c>
      <c r="CJ134" s="9">
        <v>1</v>
      </c>
      <c r="CK134" s="9">
        <f t="shared" si="252"/>
        <v>123.60743856616681</v>
      </c>
      <c r="CM134" s="4">
        <f t="shared" si="341"/>
        <v>0.49549976015662306</v>
      </c>
      <c r="CN134" s="4">
        <f t="shared" si="342"/>
        <v>1.1381558379870296</v>
      </c>
      <c r="CO134" s="4">
        <f t="shared" si="208"/>
        <v>0.96588647204020084</v>
      </c>
      <c r="CP134" s="4">
        <f t="shared" si="335"/>
        <v>1.9011800804706829</v>
      </c>
      <c r="CQ134" s="4">
        <f t="shared" si="210"/>
        <v>1.0703841422803833</v>
      </c>
      <c r="CR134" s="4">
        <f t="shared" si="211"/>
        <v>1.1275778761630597</v>
      </c>
      <c r="CS134" s="4">
        <f t="shared" si="329"/>
        <v>0.73633809868486189</v>
      </c>
      <c r="CU134" s="4">
        <f t="shared" si="360"/>
        <v>0.49549976015662306</v>
      </c>
      <c r="CV134" s="4">
        <f t="shared" si="360"/>
        <v>1.1381558379870296</v>
      </c>
      <c r="CW134" s="4">
        <f t="shared" si="377"/>
        <v>1.9011800804706829</v>
      </c>
      <c r="CX134" s="4">
        <f t="shared" si="343"/>
        <v>0.73633809868486189</v>
      </c>
      <c r="CY134" s="4">
        <f t="shared" si="361"/>
        <v>1.0703841422803833</v>
      </c>
      <c r="CZ134" s="4">
        <f t="shared" si="361"/>
        <v>1.1275778761630597</v>
      </c>
      <c r="DH134" s="4">
        <f t="shared" si="362"/>
        <v>0</v>
      </c>
      <c r="DI134" s="4">
        <f t="shared" si="363"/>
        <v>572</v>
      </c>
      <c r="DJ134" s="4">
        <f t="shared" si="364"/>
        <v>1</v>
      </c>
      <c r="DL134" s="4">
        <f t="shared" si="365"/>
        <v>3.3190801128342592E-5</v>
      </c>
      <c r="DM134" s="4">
        <f t="shared" si="366"/>
        <v>2.3780879728772248</v>
      </c>
      <c r="DN134" s="4">
        <f t="shared" si="337"/>
        <v>0.20380369115520638</v>
      </c>
      <c r="DO134" s="4">
        <f t="shared" si="253"/>
        <v>1.2586724738780479</v>
      </c>
      <c r="DP134" s="4">
        <f t="shared" si="254"/>
        <v>1.903304726285421</v>
      </c>
      <c r="DQ134" s="4">
        <f t="shared" si="255"/>
        <v>2.2305232000234416</v>
      </c>
      <c r="DR134" s="38">
        <f t="shared" si="275"/>
        <v>219.54734820654937</v>
      </c>
      <c r="DS134" s="4">
        <f t="shared" si="256"/>
        <v>1.0000961123731371</v>
      </c>
      <c r="DT134" s="4">
        <f t="shared" si="330"/>
        <v>2.2360679774997898</v>
      </c>
      <c r="DU134" s="4">
        <f t="shared" si="276"/>
        <v>66.504366776442097</v>
      </c>
      <c r="DY134" s="4">
        <f t="shared" si="387"/>
        <v>1</v>
      </c>
      <c r="DZ134" s="4">
        <f t="shared" si="257"/>
        <v>1</v>
      </c>
      <c r="EA134" s="4">
        <f t="shared" si="258"/>
        <v>1</v>
      </c>
      <c r="EB134" s="4">
        <f t="shared" si="259"/>
        <v>1</v>
      </c>
      <c r="ED134" s="4">
        <f t="shared" si="277"/>
        <v>208.41132569899457</v>
      </c>
      <c r="EE134" s="25">
        <f t="shared" si="351"/>
        <v>65.726047326361083</v>
      </c>
      <c r="EH134" s="4">
        <f t="shared" si="314"/>
        <v>2.3780879728772248</v>
      </c>
      <c r="EI134" s="4">
        <f t="shared" si="367"/>
        <v>2.3780879728772248</v>
      </c>
      <c r="EK134" s="4">
        <f t="shared" si="368"/>
        <v>63.951544156493995</v>
      </c>
      <c r="EL134" s="4">
        <f t="shared" si="369"/>
        <v>2.2360679774997898</v>
      </c>
      <c r="EM134" s="4">
        <f t="shared" si="370"/>
        <v>5.0210590596265245E-2</v>
      </c>
      <c r="EP134" s="4">
        <f t="shared" si="332"/>
        <v>5.0210590596265245E-2</v>
      </c>
      <c r="EQ134" s="4">
        <f t="shared" si="333"/>
        <v>0.20346358077851293</v>
      </c>
      <c r="ER134" s="4">
        <f t="shared" si="371"/>
        <v>1.2578318569544467</v>
      </c>
      <c r="ES134" s="4">
        <f t="shared" si="388"/>
        <v>1.9030292975161969</v>
      </c>
      <c r="ET134" s="4">
        <f t="shared" si="372"/>
        <v>365.04845584350602</v>
      </c>
      <c r="EU134" s="4">
        <f t="shared" si="373"/>
        <v>143</v>
      </c>
      <c r="EV134" s="4">
        <f t="shared" si="261"/>
        <v>3.3190801128342592E-5</v>
      </c>
      <c r="EW134" s="4">
        <f t="shared" si="389"/>
        <v>2.2305472867198173</v>
      </c>
      <c r="EX134" s="4">
        <f t="shared" si="374"/>
        <v>219.52624901779041</v>
      </c>
      <c r="EY134" s="4">
        <f t="shared" si="375"/>
        <v>365.04845584350602</v>
      </c>
      <c r="EZ134" s="4">
        <f t="shared" si="376"/>
        <v>143</v>
      </c>
      <c r="FB134" s="4">
        <f t="shared" si="338"/>
        <v>0</v>
      </c>
      <c r="FG134" s="23">
        <f t="shared" si="339"/>
        <v>0.6</v>
      </c>
      <c r="FH134" s="23">
        <f t="shared" si="339"/>
        <v>1.2</v>
      </c>
      <c r="FI134" s="23">
        <f t="shared" si="382"/>
        <v>0.8</v>
      </c>
      <c r="FJ134" s="23">
        <f t="shared" si="340"/>
        <v>2</v>
      </c>
      <c r="FK134" s="23">
        <f t="shared" si="340"/>
        <v>1.2</v>
      </c>
      <c r="FL134" s="23">
        <f t="shared" si="340"/>
        <v>1.2</v>
      </c>
      <c r="FM134" s="23">
        <f t="shared" si="218"/>
        <v>0</v>
      </c>
      <c r="FN134" s="23"/>
      <c r="FX134" s="4">
        <f t="shared" si="263"/>
        <v>1.25</v>
      </c>
      <c r="FY134" s="4">
        <f t="shared" si="303"/>
        <v>1</v>
      </c>
      <c r="FZ134" s="4">
        <f t="shared" si="265"/>
        <v>0</v>
      </c>
      <c r="GA134" s="4">
        <f t="shared" si="266"/>
        <v>319.1468707373993</v>
      </c>
    </row>
    <row r="135" spans="1:183" ht="12" hidden="1" customHeight="1" x14ac:dyDescent="0.3">
      <c r="A135" s="25">
        <v>117</v>
      </c>
      <c r="B135" s="24" t="s">
        <v>128</v>
      </c>
      <c r="C135" s="24">
        <v>2015</v>
      </c>
      <c r="D135" s="24" t="s">
        <v>293</v>
      </c>
      <c r="E135" s="24"/>
      <c r="F135" s="7" t="s">
        <v>137</v>
      </c>
      <c r="G135" s="7">
        <v>710</v>
      </c>
      <c r="H135" s="7">
        <f t="shared" si="315"/>
        <v>715</v>
      </c>
      <c r="I135" s="7">
        <f t="shared" si="344"/>
        <v>715</v>
      </c>
      <c r="J135" s="7">
        <v>20.3</v>
      </c>
      <c r="K135" s="7">
        <v>28.6</v>
      </c>
      <c r="L135" s="7">
        <v>25</v>
      </c>
      <c r="M135" s="7">
        <f t="shared" si="345"/>
        <v>25</v>
      </c>
      <c r="N135" s="7">
        <v>261</v>
      </c>
      <c r="O135" s="7">
        <f t="shared" si="346"/>
        <v>28.6</v>
      </c>
      <c r="P135" s="7"/>
      <c r="Q135" s="7">
        <f t="shared" si="378"/>
        <v>28.6</v>
      </c>
      <c r="R135" s="7">
        <v>2</v>
      </c>
      <c r="S135" s="7">
        <f t="shared" si="347"/>
        <v>58.2</v>
      </c>
      <c r="T135" s="7">
        <f t="shared" si="304"/>
        <v>1</v>
      </c>
      <c r="U135" s="7">
        <f t="shared" si="353"/>
        <v>1.5000000000000002</v>
      </c>
      <c r="V135" s="7">
        <f t="shared" si="348"/>
        <v>4</v>
      </c>
      <c r="W135" s="7">
        <f t="shared" si="354"/>
        <v>4</v>
      </c>
      <c r="X135" s="7">
        <v>5</v>
      </c>
      <c r="Y135" s="7">
        <f t="shared" si="352"/>
        <v>63.951544156493995</v>
      </c>
      <c r="Z135" s="7"/>
      <c r="AA135" s="7"/>
      <c r="AB135" s="7">
        <v>282</v>
      </c>
      <c r="AC135" s="7"/>
      <c r="AD135" s="7">
        <f t="shared" si="334"/>
        <v>1.1360427524926529</v>
      </c>
      <c r="AE135" s="7"/>
      <c r="AF135" s="7"/>
      <c r="AG135" s="7">
        <v>1</v>
      </c>
      <c r="AH135" s="7"/>
      <c r="AI135" s="7"/>
      <c r="AJ135" s="7"/>
      <c r="AK135" s="4">
        <f t="shared" si="279"/>
        <v>715</v>
      </c>
      <c r="AL135" s="46">
        <f t="shared" si="349"/>
        <v>1.985427160252335E-2</v>
      </c>
      <c r="AM135" s="25">
        <f t="shared" si="268"/>
        <v>670.43262242416654</v>
      </c>
      <c r="AN135" s="4">
        <f t="shared" si="269"/>
        <v>0.71199999999999997</v>
      </c>
      <c r="AO135" s="4">
        <v>1.25</v>
      </c>
      <c r="AP135" s="25">
        <f t="shared" si="317"/>
        <v>5</v>
      </c>
      <c r="AQ135" s="38">
        <f t="shared" si="271"/>
        <v>59.233733626766181</v>
      </c>
      <c r="AR135" s="38">
        <f t="shared" si="272"/>
        <v>59.233733626766181</v>
      </c>
      <c r="AT135" s="38">
        <f t="shared" si="350"/>
        <v>59.23373362676621</v>
      </c>
      <c r="AU135" s="38">
        <f t="shared" si="243"/>
        <v>0.99999999999999956</v>
      </c>
      <c r="AV135" s="38">
        <f t="shared" si="328"/>
        <v>1.6450085792999778</v>
      </c>
      <c r="AW135" s="4">
        <f t="shared" si="323"/>
        <v>0</v>
      </c>
      <c r="AX135" s="4">
        <f t="shared" si="379"/>
        <v>592.83580663520047</v>
      </c>
      <c r="AY135" s="4">
        <f t="shared" si="380"/>
        <v>1.2000000000000002</v>
      </c>
      <c r="AZ135" s="38">
        <f t="shared" si="273"/>
        <v>97.44</v>
      </c>
      <c r="BA135" s="4">
        <f t="shared" si="381"/>
        <v>0.44000000000000006</v>
      </c>
      <c r="BB135" s="4">
        <f t="shared" si="244"/>
        <v>136.29295194543261</v>
      </c>
      <c r="BC135" s="4">
        <f t="shared" si="245"/>
        <v>233.7329519454326</v>
      </c>
      <c r="BE135" s="36">
        <f t="shared" si="312"/>
        <v>1</v>
      </c>
      <c r="BF135" s="36">
        <f t="shared" si="313"/>
        <v>279.34423208650645</v>
      </c>
      <c r="BK135" s="4">
        <f t="shared" si="355"/>
        <v>20.700000000000003</v>
      </c>
      <c r="BL135" s="4">
        <f t="shared" si="356"/>
        <v>20.700000000000003</v>
      </c>
      <c r="BM135" s="4">
        <f t="shared" si="357"/>
        <v>58.2</v>
      </c>
      <c r="BN135" s="4">
        <f t="shared" si="358"/>
        <v>35</v>
      </c>
      <c r="BO135" s="4">
        <f t="shared" si="359"/>
        <v>1.181159420289855</v>
      </c>
      <c r="BP135" s="25">
        <f t="shared" si="274"/>
        <v>1.4454748150400323</v>
      </c>
      <c r="BR135" s="4">
        <f t="shared" si="331"/>
        <v>14.3</v>
      </c>
      <c r="BV135" s="9"/>
      <c r="BX135" s="9"/>
      <c r="BY135" s="9"/>
      <c r="BZ135" s="9">
        <f t="shared" si="383"/>
        <v>14.3</v>
      </c>
      <c r="CA135" s="9">
        <f t="shared" si="384"/>
        <v>28.6</v>
      </c>
      <c r="CB135" s="9">
        <f t="shared" si="248"/>
        <v>0.78458409789675088</v>
      </c>
      <c r="CC135" s="9">
        <v>0</v>
      </c>
      <c r="CD135" s="9">
        <f t="shared" si="306"/>
        <v>0</v>
      </c>
      <c r="CE135" s="9">
        <f t="shared" si="249"/>
        <v>0</v>
      </c>
      <c r="CF135" s="9">
        <f t="shared" si="385"/>
        <v>0.96044432035915817</v>
      </c>
      <c r="CG135" s="9">
        <f t="shared" si="386"/>
        <v>0.74299999999999999</v>
      </c>
      <c r="CH135" s="9">
        <f t="shared" si="250"/>
        <v>1.1253226745730049</v>
      </c>
      <c r="CI135" s="9">
        <f t="shared" si="251"/>
        <v>0.88291027547262002</v>
      </c>
      <c r="CJ135" s="9">
        <v>1</v>
      </c>
      <c r="CK135" s="9">
        <f t="shared" si="252"/>
        <v>141.26564407561921</v>
      </c>
      <c r="CM135" s="4">
        <f t="shared" si="341"/>
        <v>0.47567976975035814</v>
      </c>
      <c r="CN135" s="4">
        <f t="shared" si="342"/>
        <v>1.2065051061599386</v>
      </c>
      <c r="CO135" s="4">
        <f t="shared" si="208"/>
        <v>1.0095071514226617</v>
      </c>
      <c r="CP135" s="4">
        <f t="shared" si="335"/>
        <v>1.9962390844942171</v>
      </c>
      <c r="CQ135" s="4">
        <f t="shared" si="210"/>
        <v>1.1360427524926529</v>
      </c>
      <c r="CR135" s="4">
        <f t="shared" si="211"/>
        <v>1.1899830557976832</v>
      </c>
      <c r="CS135" s="4">
        <f t="shared" si="329"/>
        <v>0.70688457473746746</v>
      </c>
      <c r="CU135" s="4">
        <f t="shared" si="360"/>
        <v>0.47567976975035814</v>
      </c>
      <c r="CV135" s="4">
        <f t="shared" si="360"/>
        <v>1.2065051061599386</v>
      </c>
      <c r="CW135" s="4">
        <f t="shared" si="377"/>
        <v>1.9962390844942171</v>
      </c>
      <c r="CX135" s="4">
        <f t="shared" si="343"/>
        <v>0.70688457473746746</v>
      </c>
      <c r="CY135" s="4">
        <f t="shared" si="361"/>
        <v>1.1360427524926529</v>
      </c>
      <c r="CZ135" s="4">
        <f t="shared" si="361"/>
        <v>1.1899830557976832</v>
      </c>
      <c r="DH135" s="4">
        <f t="shared" si="362"/>
        <v>0</v>
      </c>
      <c r="DI135" s="4">
        <f t="shared" si="363"/>
        <v>715</v>
      </c>
      <c r="DJ135" s="4">
        <f t="shared" si="364"/>
        <v>1</v>
      </c>
      <c r="DL135" s="4">
        <f t="shared" si="365"/>
        <v>4.1488501410428239E-5</v>
      </c>
      <c r="DM135" s="4">
        <f t="shared" si="366"/>
        <v>2.3780879728772248</v>
      </c>
      <c r="DN135" s="4">
        <f t="shared" si="337"/>
        <v>0.18152272007370676</v>
      </c>
      <c r="DO135" s="4">
        <f t="shared" si="253"/>
        <v>1.2017117643087798</v>
      </c>
      <c r="DP135" s="4">
        <f t="shared" si="254"/>
        <v>1.8849899141539597</v>
      </c>
      <c r="DQ135" s="4">
        <f t="shared" si="255"/>
        <v>2.149341721747791</v>
      </c>
      <c r="DR135" s="38">
        <f t="shared" si="275"/>
        <v>248.23009466963151</v>
      </c>
      <c r="DS135" s="4">
        <f t="shared" si="256"/>
        <v>1.000092901864754</v>
      </c>
      <c r="DT135" s="4">
        <f t="shared" si="330"/>
        <v>2.2360679774997898</v>
      </c>
      <c r="DU135" s="4">
        <f t="shared" si="276"/>
        <v>59.23373362676621</v>
      </c>
      <c r="DY135" s="4">
        <f t="shared" si="387"/>
        <v>1</v>
      </c>
      <c r="DZ135" s="4">
        <f t="shared" si="257"/>
        <v>1</v>
      </c>
      <c r="EA135" s="4">
        <f t="shared" si="258"/>
        <v>1</v>
      </c>
      <c r="EB135" s="4">
        <f t="shared" si="259"/>
        <v>1</v>
      </c>
      <c r="ED135" s="4">
        <f t="shared" si="277"/>
        <v>236.97816420668823</v>
      </c>
      <c r="EE135" s="25">
        <f t="shared" si="351"/>
        <v>58.621566240896378</v>
      </c>
      <c r="EH135" s="4">
        <f t="shared" si="314"/>
        <v>2.3780879728772248</v>
      </c>
      <c r="EI135" s="4">
        <f t="shared" si="367"/>
        <v>2.3780879728772248</v>
      </c>
      <c r="EK135" s="4">
        <f t="shared" si="368"/>
        <v>63.951544156493995</v>
      </c>
      <c r="EL135" s="4">
        <f t="shared" si="369"/>
        <v>2.2360679774997898</v>
      </c>
      <c r="EM135" s="4">
        <f t="shared" si="370"/>
        <v>4.4721285124322503E-2</v>
      </c>
      <c r="EP135" s="4">
        <f t="shared" si="332"/>
        <v>4.4721285124322503E-2</v>
      </c>
      <c r="EQ135" s="4">
        <f t="shared" si="333"/>
        <v>0.18121979248513981</v>
      </c>
      <c r="ER135" s="4">
        <f t="shared" si="371"/>
        <v>1.2009091891612864</v>
      </c>
      <c r="ES135" s="4">
        <f t="shared" si="388"/>
        <v>1.8847369703955175</v>
      </c>
      <c r="ET135" s="4">
        <f t="shared" si="372"/>
        <v>472.29845584350602</v>
      </c>
      <c r="EU135" s="4">
        <f t="shared" si="373"/>
        <v>178.74999999999994</v>
      </c>
      <c r="EV135" s="4">
        <f t="shared" si="261"/>
        <v>4.1488501410428226E-5</v>
      </c>
      <c r="EW135" s="4">
        <f t="shared" si="389"/>
        <v>2.1493748392681402</v>
      </c>
      <c r="EX135" s="4">
        <f t="shared" si="374"/>
        <v>248.20703577316311</v>
      </c>
      <c r="EY135" s="4">
        <f t="shared" si="375"/>
        <v>472.29845584350602</v>
      </c>
      <c r="EZ135" s="4">
        <f t="shared" si="376"/>
        <v>178.75</v>
      </c>
      <c r="FB135" s="4">
        <f t="shared" si="338"/>
        <v>0</v>
      </c>
      <c r="FG135" s="23">
        <f t="shared" si="339"/>
        <v>0.6</v>
      </c>
      <c r="FH135" s="23">
        <f t="shared" si="339"/>
        <v>1.4</v>
      </c>
      <c r="FI135" s="23">
        <f t="shared" si="382"/>
        <v>0.8</v>
      </c>
      <c r="FJ135" s="23">
        <f t="shared" si="340"/>
        <v>2</v>
      </c>
      <c r="FK135" s="23">
        <f t="shared" si="340"/>
        <v>1.2</v>
      </c>
      <c r="FL135" s="23">
        <f t="shared" si="340"/>
        <v>1.2</v>
      </c>
      <c r="FM135" s="23">
        <f t="shared" si="218"/>
        <v>0</v>
      </c>
      <c r="FN135" s="23"/>
      <c r="FX135" s="4">
        <f t="shared" si="263"/>
        <v>1.25</v>
      </c>
      <c r="FY135" s="4">
        <f t="shared" si="303"/>
        <v>1</v>
      </c>
      <c r="FZ135" s="4">
        <f t="shared" si="265"/>
        <v>0</v>
      </c>
      <c r="GA135" s="4">
        <f t="shared" si="266"/>
        <v>398.93358842174911</v>
      </c>
    </row>
    <row r="136" spans="1:183" ht="12" hidden="1" customHeight="1" x14ac:dyDescent="0.3">
      <c r="A136" s="25">
        <v>118</v>
      </c>
      <c r="B136" s="24" t="s">
        <v>128</v>
      </c>
      <c r="C136" s="24">
        <v>2015</v>
      </c>
      <c r="D136" s="24" t="s">
        <v>293</v>
      </c>
      <c r="E136" s="24"/>
      <c r="F136" s="7" t="s">
        <v>144</v>
      </c>
      <c r="G136" s="7">
        <v>710</v>
      </c>
      <c r="H136" s="7">
        <f t="shared" si="315"/>
        <v>429</v>
      </c>
      <c r="I136" s="7">
        <f t="shared" si="344"/>
        <v>429</v>
      </c>
      <c r="J136" s="7">
        <v>62.9</v>
      </c>
      <c r="K136" s="7">
        <v>28.6</v>
      </c>
      <c r="L136" s="7">
        <v>15</v>
      </c>
      <c r="M136" s="7">
        <f t="shared" si="345"/>
        <v>15</v>
      </c>
      <c r="N136" s="7">
        <v>261</v>
      </c>
      <c r="O136" s="7">
        <f t="shared" si="346"/>
        <v>28.6</v>
      </c>
      <c r="P136" s="7"/>
      <c r="Q136" s="7">
        <f t="shared" si="378"/>
        <v>28.6</v>
      </c>
      <c r="R136" s="7">
        <v>2</v>
      </c>
      <c r="S136" s="7">
        <f t="shared" si="347"/>
        <v>58.2</v>
      </c>
      <c r="T136" s="7">
        <f t="shared" si="304"/>
        <v>1</v>
      </c>
      <c r="U136" s="7">
        <f t="shared" si="353"/>
        <v>1.5000000000000002</v>
      </c>
      <c r="V136" s="7">
        <f t="shared" si="348"/>
        <v>4</v>
      </c>
      <c r="W136" s="7">
        <f t="shared" si="354"/>
        <v>4</v>
      </c>
      <c r="X136" s="7">
        <v>5</v>
      </c>
      <c r="Y136" s="7">
        <f t="shared" si="352"/>
        <v>63.951544156493995</v>
      </c>
      <c r="Z136" s="7"/>
      <c r="AA136" s="7"/>
      <c r="AB136" s="7">
        <v>345</v>
      </c>
      <c r="AC136" s="7"/>
      <c r="AD136" s="7">
        <f t="shared" si="334"/>
        <v>1.052109744420656</v>
      </c>
      <c r="AE136" s="7"/>
      <c r="AF136" s="7"/>
      <c r="AG136" s="7">
        <v>1</v>
      </c>
      <c r="AH136" s="7"/>
      <c r="AI136" s="7"/>
      <c r="AJ136" s="7"/>
      <c r="AK136" s="4">
        <f t="shared" si="279"/>
        <v>429</v>
      </c>
      <c r="AL136" s="46">
        <f t="shared" si="349"/>
        <v>5.5150754451453753E-2</v>
      </c>
      <c r="AM136" s="25">
        <f t="shared" si="268"/>
        <v>548.47813315761925</v>
      </c>
      <c r="AN136" s="4">
        <f t="shared" si="269"/>
        <v>0.72</v>
      </c>
      <c r="AO136" s="4">
        <v>1.25</v>
      </c>
      <c r="AP136" s="25">
        <f t="shared" si="317"/>
        <v>5</v>
      </c>
      <c r="AQ136" s="38">
        <f t="shared" si="271"/>
        <v>136.12042279695424</v>
      </c>
      <c r="AR136" s="38">
        <f t="shared" si="272"/>
        <v>136.12042279695424</v>
      </c>
      <c r="AT136" s="38">
        <f t="shared" si="350"/>
        <v>136.12042279695419</v>
      </c>
      <c r="AU136" s="38">
        <f t="shared" si="243"/>
        <v>1.0000000000000004</v>
      </c>
      <c r="AV136" s="38">
        <f t="shared" si="328"/>
        <v>2.2180360139665667</v>
      </c>
      <c r="AW136" s="4">
        <f t="shared" si="323"/>
        <v>0</v>
      </c>
      <c r="AX136" s="4">
        <f t="shared" si="379"/>
        <v>626.1277913336321</v>
      </c>
      <c r="AY136" s="4">
        <f t="shared" si="380"/>
        <v>1.2000000000000002</v>
      </c>
      <c r="AZ136" s="38">
        <f t="shared" si="273"/>
        <v>301.92</v>
      </c>
      <c r="BA136" s="4">
        <f t="shared" si="381"/>
        <v>0.44000000000000006</v>
      </c>
      <c r="BB136" s="4">
        <f t="shared" si="244"/>
        <v>143.94677922760204</v>
      </c>
      <c r="BC136" s="4">
        <f t="shared" si="245"/>
        <v>445.86677922760202</v>
      </c>
      <c r="BE136" s="36">
        <f t="shared" si="312"/>
        <v>1</v>
      </c>
      <c r="BF136" s="36">
        <f t="shared" si="313"/>
        <v>364.8237930837297</v>
      </c>
      <c r="BK136" s="4">
        <f t="shared" si="355"/>
        <v>20.700000000000003</v>
      </c>
      <c r="BL136" s="4">
        <f t="shared" si="356"/>
        <v>20.700000000000003</v>
      </c>
      <c r="BM136" s="4">
        <f t="shared" si="357"/>
        <v>58.2</v>
      </c>
      <c r="BN136" s="4">
        <f t="shared" si="358"/>
        <v>35</v>
      </c>
      <c r="BO136" s="4">
        <f t="shared" si="359"/>
        <v>1.181159420289855</v>
      </c>
      <c r="BP136" s="25">
        <f t="shared" si="274"/>
        <v>1.4454748150400323</v>
      </c>
      <c r="BR136" s="4">
        <f t="shared" si="331"/>
        <v>14.3</v>
      </c>
      <c r="BV136" s="9"/>
      <c r="BX136" s="9"/>
      <c r="BY136" s="9"/>
      <c r="BZ136" s="9">
        <f t="shared" si="383"/>
        <v>14.3</v>
      </c>
      <c r="CA136" s="9">
        <f t="shared" si="384"/>
        <v>28.6</v>
      </c>
      <c r="CB136" s="9">
        <f t="shared" si="248"/>
        <v>0.78458409789675088</v>
      </c>
      <c r="CC136" s="9">
        <v>0</v>
      </c>
      <c r="CD136" s="9">
        <f t="shared" si="306"/>
        <v>0</v>
      </c>
      <c r="CE136" s="9">
        <f t="shared" si="249"/>
        <v>0</v>
      </c>
      <c r="CF136" s="9">
        <f t="shared" si="385"/>
        <v>0.96044432035915817</v>
      </c>
      <c r="CG136" s="9">
        <f t="shared" si="386"/>
        <v>0.74299999999999999</v>
      </c>
      <c r="CH136" s="9">
        <f t="shared" si="250"/>
        <v>1.9808626966691243</v>
      </c>
      <c r="CI136" s="9">
        <f t="shared" si="251"/>
        <v>1.5541533719234701</v>
      </c>
      <c r="CJ136" s="9">
        <v>1</v>
      </c>
      <c r="CK136" s="9">
        <f t="shared" si="252"/>
        <v>186.49840463081642</v>
      </c>
      <c r="CM136" s="4">
        <f t="shared" si="341"/>
        <v>0.55100572882280319</v>
      </c>
      <c r="CN136" s="4">
        <f t="shared" si="342"/>
        <v>0.77377372810250911</v>
      </c>
      <c r="CO136" s="4">
        <f t="shared" si="208"/>
        <v>0.94566200598879258</v>
      </c>
      <c r="CP136" s="4">
        <f t="shared" si="335"/>
        <v>1.8498817761092701</v>
      </c>
      <c r="CQ136" s="4">
        <f t="shared" si="210"/>
        <v>1.052109744420656</v>
      </c>
      <c r="CR136" s="4">
        <f t="shared" si="211"/>
        <v>1.0694592128006695</v>
      </c>
      <c r="CS136" s="4">
        <f t="shared" si="329"/>
        <v>1.0863720642158083</v>
      </c>
      <c r="CU136" s="4">
        <f t="shared" si="360"/>
        <v>0.55100572882280319</v>
      </c>
      <c r="CV136" s="4">
        <f t="shared" si="360"/>
        <v>0.77377372810250911</v>
      </c>
      <c r="CW136" s="4">
        <f t="shared" si="377"/>
        <v>1.8498817761092701</v>
      </c>
      <c r="CX136" s="4">
        <f t="shared" si="343"/>
        <v>1.0863720642158083</v>
      </c>
      <c r="CY136" s="4">
        <f t="shared" si="361"/>
        <v>1.052109744420656</v>
      </c>
      <c r="CZ136" s="4">
        <f t="shared" si="361"/>
        <v>1.0694592128006695</v>
      </c>
      <c r="DH136" s="4">
        <f t="shared" si="362"/>
        <v>0</v>
      </c>
      <c r="DI136" s="4">
        <f t="shared" si="363"/>
        <v>429</v>
      </c>
      <c r="DJ136" s="4">
        <f t="shared" si="364"/>
        <v>1</v>
      </c>
      <c r="DL136" s="4">
        <f t="shared" si="365"/>
        <v>3.3150409818642976E-5</v>
      </c>
      <c r="DM136" s="4">
        <f t="shared" si="366"/>
        <v>4.1860577959627587</v>
      </c>
      <c r="DN136" s="4">
        <f t="shared" si="337"/>
        <v>0.13462650289663738</v>
      </c>
      <c r="DO136" s="4">
        <f t="shared" si="253"/>
        <v>1.8769704962221223</v>
      </c>
      <c r="DP136" s="4">
        <f t="shared" si="254"/>
        <v>3.2466310254492474</v>
      </c>
      <c r="DQ136" s="4">
        <f t="shared" si="255"/>
        <v>3.8629571697698561</v>
      </c>
      <c r="DR136" s="38">
        <f t="shared" si="275"/>
        <v>327.91256029091738</v>
      </c>
      <c r="DS136" s="4">
        <f t="shared" si="256"/>
        <v>1.000071154236343</v>
      </c>
      <c r="DT136" s="4">
        <f t="shared" si="330"/>
        <v>2.2360679774997898</v>
      </c>
      <c r="DU136" s="4">
        <f t="shared" si="276"/>
        <v>136.12042279695419</v>
      </c>
      <c r="DY136" s="4">
        <f t="shared" si="387"/>
        <v>1</v>
      </c>
      <c r="DZ136" s="4">
        <f t="shared" si="257"/>
        <v>1</v>
      </c>
      <c r="EA136" s="4">
        <f t="shared" si="258"/>
        <v>1</v>
      </c>
      <c r="EB136" s="4">
        <f t="shared" si="259"/>
        <v>1</v>
      </c>
      <c r="ED136" s="4">
        <f t="shared" si="277"/>
        <v>322.5929477913644</v>
      </c>
      <c r="EE136" s="25">
        <f t="shared" si="351"/>
        <v>134.22034697304031</v>
      </c>
      <c r="EH136" s="4">
        <f t="shared" si="314"/>
        <v>4.1860577959627587</v>
      </c>
      <c r="EI136" s="4">
        <f t="shared" si="367"/>
        <v>4.1860577959627587</v>
      </c>
      <c r="EK136" s="4">
        <f t="shared" si="368"/>
        <v>63.951544156493995</v>
      </c>
      <c r="EL136" s="4">
        <f t="shared" si="369"/>
        <v>2.2360679774997898</v>
      </c>
      <c r="EM136" s="4">
        <f t="shared" si="370"/>
        <v>5.8383637923874576E-2</v>
      </c>
      <c r="EP136" s="4">
        <f t="shared" si="332"/>
        <v>5.8383637923874576E-2</v>
      </c>
      <c r="EQ136" s="4">
        <f t="shared" si="333"/>
        <v>0.13440183635427219</v>
      </c>
      <c r="ER136" s="4">
        <f t="shared" si="371"/>
        <v>1.8757169428180636</v>
      </c>
      <c r="ES136" s="4">
        <f t="shared" si="388"/>
        <v>3.2462753665529136</v>
      </c>
      <c r="ET136" s="4">
        <f t="shared" si="372"/>
        <v>257.79845584350602</v>
      </c>
      <c r="EU136" s="4">
        <f t="shared" si="373"/>
        <v>107.25</v>
      </c>
      <c r="EV136" s="4">
        <f t="shared" si="261"/>
        <v>3.3150409818642976E-5</v>
      </c>
      <c r="EW136" s="4">
        <f t="shared" si="389"/>
        <v>3.8630041667846942</v>
      </c>
      <c r="EX136" s="4">
        <f t="shared" si="374"/>
        <v>327.8892295831813</v>
      </c>
      <c r="EY136" s="4">
        <f t="shared" si="375"/>
        <v>257.79845584350602</v>
      </c>
      <c r="EZ136" s="4">
        <f t="shared" si="376"/>
        <v>107.24999999999999</v>
      </c>
      <c r="FB136" s="4">
        <f t="shared" si="338"/>
        <v>0</v>
      </c>
      <c r="FG136" s="23">
        <f t="shared" si="339"/>
        <v>0.6</v>
      </c>
      <c r="FH136" s="23">
        <f t="shared" si="339"/>
        <v>0.8</v>
      </c>
      <c r="FI136" s="23">
        <f t="shared" si="382"/>
        <v>1.2</v>
      </c>
      <c r="FJ136" s="23">
        <f t="shared" si="340"/>
        <v>2</v>
      </c>
      <c r="FK136" s="23">
        <f t="shared" si="340"/>
        <v>1.2</v>
      </c>
      <c r="FL136" s="23">
        <f t="shared" si="340"/>
        <v>1.2</v>
      </c>
      <c r="FM136" s="23">
        <f t="shared" si="218"/>
        <v>0</v>
      </c>
      <c r="FN136" s="23"/>
      <c r="FX136" s="4">
        <f t="shared" si="263"/>
        <v>1.25</v>
      </c>
      <c r="FY136" s="4">
        <f t="shared" si="303"/>
        <v>1</v>
      </c>
      <c r="FZ136" s="4">
        <f t="shared" si="265"/>
        <v>0</v>
      </c>
      <c r="GA136" s="4">
        <f t="shared" si="266"/>
        <v>317.57075808925219</v>
      </c>
    </row>
    <row r="137" spans="1:183" ht="12" hidden="1" customHeight="1" x14ac:dyDescent="0.3">
      <c r="A137" s="25">
        <v>119</v>
      </c>
      <c r="B137" s="24" t="s">
        <v>128</v>
      </c>
      <c r="C137" s="24">
        <v>2015</v>
      </c>
      <c r="D137" s="24" t="s">
        <v>293</v>
      </c>
      <c r="E137" s="24"/>
      <c r="F137" s="7" t="s">
        <v>145</v>
      </c>
      <c r="G137" s="7">
        <v>710</v>
      </c>
      <c r="H137" s="7">
        <f t="shared" si="315"/>
        <v>572</v>
      </c>
      <c r="I137" s="7">
        <f t="shared" si="344"/>
        <v>572</v>
      </c>
      <c r="J137" s="7">
        <v>62.9</v>
      </c>
      <c r="K137" s="7">
        <v>28.6</v>
      </c>
      <c r="L137" s="7">
        <v>20</v>
      </c>
      <c r="M137" s="7">
        <f t="shared" si="345"/>
        <v>20</v>
      </c>
      <c r="N137" s="7">
        <v>261</v>
      </c>
      <c r="O137" s="7">
        <f t="shared" si="346"/>
        <v>28.6</v>
      </c>
      <c r="P137" s="7"/>
      <c r="Q137" s="7">
        <f t="shared" si="378"/>
        <v>28.6</v>
      </c>
      <c r="R137" s="7">
        <v>2</v>
      </c>
      <c r="S137" s="7">
        <f t="shared" si="347"/>
        <v>58.2</v>
      </c>
      <c r="T137" s="7">
        <f t="shared" si="304"/>
        <v>1</v>
      </c>
      <c r="U137" s="7">
        <f t="shared" si="353"/>
        <v>1.5000000000000002</v>
      </c>
      <c r="V137" s="7">
        <f t="shared" si="348"/>
        <v>4</v>
      </c>
      <c r="W137" s="7">
        <f t="shared" si="354"/>
        <v>4</v>
      </c>
      <c r="X137" s="7">
        <v>5</v>
      </c>
      <c r="Y137" s="7">
        <f t="shared" si="352"/>
        <v>63.951544156493995</v>
      </c>
      <c r="Z137" s="7"/>
      <c r="AA137" s="7"/>
      <c r="AB137" s="7">
        <v>432</v>
      </c>
      <c r="AC137" s="7"/>
      <c r="AD137" s="7">
        <f t="shared" si="334"/>
        <v>1.1695813654354281</v>
      </c>
      <c r="AE137" s="7"/>
      <c r="AF137" s="7"/>
      <c r="AG137" s="7">
        <v>1</v>
      </c>
      <c r="AH137" s="7"/>
      <c r="AI137" s="7"/>
      <c r="AJ137" s="7"/>
      <c r="AK137" s="4">
        <f t="shared" si="279"/>
        <v>572</v>
      </c>
      <c r="AL137" s="46">
        <f t="shared" si="349"/>
        <v>3.1022299378942735E-2</v>
      </c>
      <c r="AM137" s="25">
        <f t="shared" si="268"/>
        <v>844.43732752846654</v>
      </c>
      <c r="AN137" s="4">
        <f t="shared" si="269"/>
        <v>0.71499999999999997</v>
      </c>
      <c r="AO137" s="4">
        <v>1.25</v>
      </c>
      <c r="AP137" s="25">
        <f t="shared" si="317"/>
        <v>5</v>
      </c>
      <c r="AQ137" s="38">
        <f t="shared" si="271"/>
        <v>117.06510700412386</v>
      </c>
      <c r="AR137" s="38">
        <f t="shared" si="272"/>
        <v>117.06510700412386</v>
      </c>
      <c r="AT137" s="38">
        <f t="shared" si="350"/>
        <v>117.06510700412382</v>
      </c>
      <c r="AU137" s="38">
        <f t="shared" si="243"/>
        <v>1.0000000000000004</v>
      </c>
      <c r="AV137" s="38">
        <f t="shared" si="328"/>
        <v>2.5790776408666707</v>
      </c>
      <c r="AW137" s="4">
        <f t="shared" si="323"/>
        <v>0</v>
      </c>
      <c r="AX137" s="4">
        <f t="shared" si="379"/>
        <v>834.83705511150959</v>
      </c>
      <c r="AY137" s="4">
        <f t="shared" si="380"/>
        <v>1.2000000000000002</v>
      </c>
      <c r="AZ137" s="38">
        <f t="shared" si="273"/>
        <v>301.92</v>
      </c>
      <c r="BA137" s="4">
        <f t="shared" si="381"/>
        <v>0.44000000000000006</v>
      </c>
      <c r="BB137" s="4">
        <f t="shared" si="244"/>
        <v>191.92903897013608</v>
      </c>
      <c r="BC137" s="4">
        <f t="shared" si="245"/>
        <v>493.84903897013612</v>
      </c>
      <c r="BE137" s="36">
        <f t="shared" si="312"/>
        <v>1</v>
      </c>
      <c r="BF137" s="36">
        <f t="shared" si="313"/>
        <v>428.27140927220438</v>
      </c>
      <c r="BK137" s="4">
        <f t="shared" si="355"/>
        <v>20.700000000000003</v>
      </c>
      <c r="BL137" s="4">
        <f t="shared" si="356"/>
        <v>20.700000000000003</v>
      </c>
      <c r="BM137" s="4">
        <f t="shared" si="357"/>
        <v>58.2</v>
      </c>
      <c r="BN137" s="4">
        <f t="shared" si="358"/>
        <v>35</v>
      </c>
      <c r="BO137" s="4">
        <f t="shared" si="359"/>
        <v>1.181159420289855</v>
      </c>
      <c r="BP137" s="25">
        <f t="shared" si="274"/>
        <v>1.4454748150400323</v>
      </c>
      <c r="BR137" s="4">
        <f t="shared" si="331"/>
        <v>14.3</v>
      </c>
      <c r="BV137" s="9"/>
      <c r="BX137" s="9"/>
      <c r="BY137" s="9"/>
      <c r="BZ137" s="9">
        <f t="shared" si="383"/>
        <v>14.3</v>
      </c>
      <c r="CA137" s="9">
        <f t="shared" si="384"/>
        <v>28.6</v>
      </c>
      <c r="CB137" s="9">
        <f t="shared" si="248"/>
        <v>0.78458409789675088</v>
      </c>
      <c r="CC137" s="9">
        <v>0</v>
      </c>
      <c r="CD137" s="9">
        <f t="shared" si="306"/>
        <v>0</v>
      </c>
      <c r="CE137" s="9">
        <f t="shared" si="249"/>
        <v>0</v>
      </c>
      <c r="CF137" s="9">
        <f t="shared" si="385"/>
        <v>0.96044432035915817</v>
      </c>
      <c r="CG137" s="9">
        <f t="shared" si="386"/>
        <v>0.74299999999999999</v>
      </c>
      <c r="CH137" s="9">
        <f t="shared" si="250"/>
        <v>1.9808626966691243</v>
      </c>
      <c r="CI137" s="9">
        <f t="shared" si="251"/>
        <v>1.5541533719234701</v>
      </c>
      <c r="CJ137" s="9">
        <v>1</v>
      </c>
      <c r="CK137" s="9">
        <f t="shared" si="252"/>
        <v>217.58147206928584</v>
      </c>
      <c r="CM137" s="4">
        <f t="shared" si="341"/>
        <v>0.51746624967706734</v>
      </c>
      <c r="CN137" s="4">
        <f t="shared" si="342"/>
        <v>0.87476124465258653</v>
      </c>
      <c r="CO137" s="4">
        <f t="shared" si="208"/>
        <v>1.0087061397213788</v>
      </c>
      <c r="CP137" s="4">
        <f t="shared" si="335"/>
        <v>1.9854631733644836</v>
      </c>
      <c r="CQ137" s="4">
        <f t="shared" si="210"/>
        <v>1.1695813654354281</v>
      </c>
      <c r="CR137" s="4">
        <f t="shared" si="211"/>
        <v>1.1775656452638794</v>
      </c>
      <c r="CS137" s="4">
        <f t="shared" si="329"/>
        <v>1.0202450690026719</v>
      </c>
      <c r="CU137" s="4">
        <f t="shared" si="360"/>
        <v>0.51746624967706734</v>
      </c>
      <c r="CV137" s="4">
        <f t="shared" si="360"/>
        <v>0.87476124465258653</v>
      </c>
      <c r="CW137" s="4">
        <f t="shared" si="377"/>
        <v>1.9854631733644836</v>
      </c>
      <c r="CX137" s="4">
        <f t="shared" si="343"/>
        <v>1.0202450690026719</v>
      </c>
      <c r="CY137" s="4">
        <f t="shared" si="361"/>
        <v>1.1695813654354281</v>
      </c>
      <c r="CZ137" s="4">
        <f t="shared" si="361"/>
        <v>1.1775656452638794</v>
      </c>
      <c r="DH137" s="4">
        <f t="shared" si="362"/>
        <v>0</v>
      </c>
      <c r="DI137" s="4">
        <f t="shared" si="363"/>
        <v>572</v>
      </c>
      <c r="DJ137" s="4">
        <f t="shared" si="364"/>
        <v>1</v>
      </c>
      <c r="DL137" s="4">
        <f t="shared" si="365"/>
        <v>4.4200546424857304E-5</v>
      </c>
      <c r="DM137" s="4">
        <f t="shared" si="366"/>
        <v>4.1860577959627587</v>
      </c>
      <c r="DN137" s="4">
        <f t="shared" si="337"/>
        <v>0.11578031895106987</v>
      </c>
      <c r="DO137" s="4">
        <f t="shared" si="253"/>
        <v>1.7670918216158606</v>
      </c>
      <c r="DP137" s="4">
        <f t="shared" si="254"/>
        <v>3.2162848752999018</v>
      </c>
      <c r="DQ137" s="4">
        <f t="shared" si="255"/>
        <v>3.6141353595512551</v>
      </c>
      <c r="DR137" s="38">
        <f t="shared" si="275"/>
        <v>369.36292999091091</v>
      </c>
      <c r="DS137" s="4">
        <f t="shared" si="256"/>
        <v>1.0000686332486357</v>
      </c>
      <c r="DT137" s="4">
        <f t="shared" si="330"/>
        <v>2.2360679774997898</v>
      </c>
      <c r="DU137" s="4">
        <f t="shared" si="276"/>
        <v>117.06510700412382</v>
      </c>
      <c r="DY137" s="4">
        <f t="shared" si="387"/>
        <v>1</v>
      </c>
      <c r="DZ137" s="4">
        <f t="shared" si="257"/>
        <v>1</v>
      </c>
      <c r="EA137" s="4">
        <f t="shared" si="258"/>
        <v>1</v>
      </c>
      <c r="EB137" s="4">
        <f t="shared" si="259"/>
        <v>1</v>
      </c>
      <c r="ED137" s="4">
        <f t="shared" si="277"/>
        <v>366.85852864125769</v>
      </c>
      <c r="EE137" s="25">
        <f t="shared" si="351"/>
        <v>115.69506088349222</v>
      </c>
      <c r="EH137" s="4">
        <f t="shared" si="314"/>
        <v>4.1860577959627587</v>
      </c>
      <c r="EI137" s="4">
        <f t="shared" si="367"/>
        <v>4.1860577959627587</v>
      </c>
      <c r="EK137" s="4">
        <f t="shared" si="368"/>
        <v>63.951544156493995</v>
      </c>
      <c r="EL137" s="4">
        <f t="shared" si="369"/>
        <v>2.2360679774997898</v>
      </c>
      <c r="EM137" s="4">
        <f t="shared" si="370"/>
        <v>5.0210590596265252E-2</v>
      </c>
      <c r="EP137" s="4">
        <f t="shared" si="332"/>
        <v>5.0210590596265252E-2</v>
      </c>
      <c r="EQ137" s="4">
        <f t="shared" si="333"/>
        <v>0.11558710317725863</v>
      </c>
      <c r="ER137" s="4">
        <f t="shared" si="371"/>
        <v>1.7659116517768947</v>
      </c>
      <c r="ES137" s="4">
        <f t="shared" si="388"/>
        <v>3.215968144333011</v>
      </c>
      <c r="ET137" s="4">
        <f t="shared" si="372"/>
        <v>365.04845584350602</v>
      </c>
      <c r="EU137" s="4">
        <f t="shared" si="373"/>
        <v>143</v>
      </c>
      <c r="EV137" s="4">
        <f t="shared" si="261"/>
        <v>4.4200546424857304E-5</v>
      </c>
      <c r="EW137" s="4">
        <f t="shared" si="389"/>
        <v>3.6142042521525095</v>
      </c>
      <c r="EX137" s="4">
        <f t="shared" si="374"/>
        <v>369.3375811528731</v>
      </c>
      <c r="EY137" s="4">
        <f t="shared" si="375"/>
        <v>365.04845584350602</v>
      </c>
      <c r="EZ137" s="4">
        <f t="shared" si="376"/>
        <v>143</v>
      </c>
      <c r="FB137" s="4">
        <f t="shared" si="338"/>
        <v>0</v>
      </c>
      <c r="FG137" s="23">
        <f t="shared" si="339"/>
        <v>0.6</v>
      </c>
      <c r="FH137" s="23">
        <f t="shared" si="339"/>
        <v>1</v>
      </c>
      <c r="FI137" s="23">
        <f t="shared" si="382"/>
        <v>1.2</v>
      </c>
      <c r="FJ137" s="23">
        <f t="shared" si="340"/>
        <v>2</v>
      </c>
      <c r="FK137" s="23">
        <f t="shared" si="340"/>
        <v>1.2</v>
      </c>
      <c r="FL137" s="23">
        <f t="shared" si="340"/>
        <v>1.2</v>
      </c>
      <c r="FM137" s="23">
        <f t="shared" si="218"/>
        <v>0</v>
      </c>
      <c r="FN137" s="23"/>
      <c r="FX137" s="4">
        <f t="shared" si="263"/>
        <v>1.25</v>
      </c>
      <c r="FY137" s="4">
        <f t="shared" si="303"/>
        <v>1</v>
      </c>
      <c r="FZ137" s="4">
        <f t="shared" si="265"/>
        <v>0</v>
      </c>
      <c r="GA137" s="4">
        <f t="shared" si="266"/>
        <v>423.42767745233635</v>
      </c>
    </row>
    <row r="138" spans="1:183" ht="12" hidden="1" customHeight="1" x14ac:dyDescent="0.3">
      <c r="A138" s="25">
        <v>120</v>
      </c>
      <c r="B138" s="24" t="s">
        <v>128</v>
      </c>
      <c r="C138" s="24">
        <v>2015</v>
      </c>
      <c r="D138" s="24" t="s">
        <v>293</v>
      </c>
      <c r="E138" s="24"/>
      <c r="F138" s="7" t="s">
        <v>146</v>
      </c>
      <c r="G138" s="7">
        <v>710</v>
      </c>
      <c r="H138" s="7">
        <f t="shared" si="315"/>
        <v>715</v>
      </c>
      <c r="I138" s="7">
        <f t="shared" si="344"/>
        <v>715</v>
      </c>
      <c r="J138" s="7">
        <v>62.9</v>
      </c>
      <c r="K138" s="7">
        <v>28.6</v>
      </c>
      <c r="L138" s="7">
        <v>25</v>
      </c>
      <c r="M138" s="7">
        <f t="shared" si="345"/>
        <v>25</v>
      </c>
      <c r="N138" s="7">
        <v>261</v>
      </c>
      <c r="O138" s="7">
        <f t="shared" si="346"/>
        <v>28.6</v>
      </c>
      <c r="P138" s="7"/>
      <c r="Q138" s="7">
        <f t="shared" si="378"/>
        <v>28.6</v>
      </c>
      <c r="R138" s="7">
        <v>2</v>
      </c>
      <c r="S138" s="7">
        <f t="shared" si="347"/>
        <v>58.2</v>
      </c>
      <c r="T138" s="7">
        <f t="shared" si="304"/>
        <v>1</v>
      </c>
      <c r="U138" s="7">
        <f t="shared" si="353"/>
        <v>1.5000000000000002</v>
      </c>
      <c r="V138" s="7">
        <f t="shared" si="348"/>
        <v>4</v>
      </c>
      <c r="W138" s="7">
        <f t="shared" si="354"/>
        <v>4</v>
      </c>
      <c r="X138" s="7">
        <v>5</v>
      </c>
      <c r="Y138" s="7">
        <f t="shared" si="352"/>
        <v>63.951544156493995</v>
      </c>
      <c r="Z138" s="7"/>
      <c r="AA138" s="7"/>
      <c r="AB138" s="7">
        <v>464</v>
      </c>
      <c r="AC138" s="7"/>
      <c r="AD138" s="7">
        <f t="shared" si="334"/>
        <v>1.1235877075133753</v>
      </c>
      <c r="AE138" s="7"/>
      <c r="AF138" s="7"/>
      <c r="AG138" s="7">
        <v>1</v>
      </c>
      <c r="AH138" s="7"/>
      <c r="AI138" s="7"/>
      <c r="AJ138" s="7"/>
      <c r="AK138" s="4">
        <f t="shared" si="279"/>
        <v>715</v>
      </c>
      <c r="AL138" s="46">
        <f t="shared" si="349"/>
        <v>1.985427160252335E-2</v>
      </c>
      <c r="AM138" s="25">
        <f t="shared" si="268"/>
        <v>1180.1370419324396</v>
      </c>
      <c r="AN138" s="4">
        <f t="shared" si="269"/>
        <v>0.71199999999999997</v>
      </c>
      <c r="AO138" s="4">
        <v>1.25</v>
      </c>
      <c r="AP138" s="25">
        <f t="shared" si="317"/>
        <v>5</v>
      </c>
      <c r="AQ138" s="38">
        <f t="shared" si="271"/>
        <v>104.2668880463269</v>
      </c>
      <c r="AR138" s="38">
        <f t="shared" si="272"/>
        <v>104.2668880463269</v>
      </c>
      <c r="AT138" s="38">
        <f t="shared" si="350"/>
        <v>104.26688804632695</v>
      </c>
      <c r="AU138" s="38">
        <f t="shared" si="243"/>
        <v>0.99999999999999944</v>
      </c>
      <c r="AV138" s="38">
        <f t="shared" si="328"/>
        <v>2.895646025858694</v>
      </c>
      <c r="AW138" s="4">
        <f t="shared" si="323"/>
        <v>0</v>
      </c>
      <c r="AX138" s="4">
        <f t="shared" si="379"/>
        <v>1043.5463188893868</v>
      </c>
      <c r="AY138" s="4">
        <f t="shared" si="380"/>
        <v>1.2000000000000002</v>
      </c>
      <c r="AZ138" s="38">
        <f t="shared" si="273"/>
        <v>301.92</v>
      </c>
      <c r="BA138" s="4">
        <f t="shared" si="381"/>
        <v>0.44000000000000006</v>
      </c>
      <c r="BB138" s="4">
        <f t="shared" si="244"/>
        <v>239.91129871267009</v>
      </c>
      <c r="BC138" s="4">
        <f t="shared" si="245"/>
        <v>541.8312987126701</v>
      </c>
      <c r="BE138" s="36">
        <f t="shared" si="312"/>
        <v>1</v>
      </c>
      <c r="BF138" s="36">
        <f t="shared" si="313"/>
        <v>491.71902546067912</v>
      </c>
      <c r="BK138" s="4">
        <f t="shared" si="355"/>
        <v>20.700000000000003</v>
      </c>
      <c r="BL138" s="4">
        <f t="shared" si="356"/>
        <v>20.700000000000003</v>
      </c>
      <c r="BM138" s="4">
        <f t="shared" si="357"/>
        <v>58.2</v>
      </c>
      <c r="BN138" s="4">
        <f t="shared" si="358"/>
        <v>35</v>
      </c>
      <c r="BO138" s="4">
        <f t="shared" si="359"/>
        <v>1.181159420289855</v>
      </c>
      <c r="BP138" s="25">
        <f t="shared" si="274"/>
        <v>1.4454748150400323</v>
      </c>
      <c r="BR138" s="4">
        <f t="shared" si="331"/>
        <v>14.3</v>
      </c>
      <c r="BV138" s="9"/>
      <c r="BX138" s="9"/>
      <c r="BY138" s="9"/>
      <c r="BZ138" s="9">
        <f t="shared" si="383"/>
        <v>14.3</v>
      </c>
      <c r="CA138" s="9">
        <f t="shared" si="384"/>
        <v>28.6</v>
      </c>
      <c r="CB138" s="9">
        <f t="shared" si="248"/>
        <v>0.78458409789675088</v>
      </c>
      <c r="CC138" s="9">
        <v>0</v>
      </c>
      <c r="CD138" s="9">
        <f t="shared" si="306"/>
        <v>0</v>
      </c>
      <c r="CE138" s="9">
        <f t="shared" si="249"/>
        <v>0</v>
      </c>
      <c r="CF138" s="9">
        <f t="shared" si="385"/>
        <v>0.96044432035915817</v>
      </c>
      <c r="CG138" s="9">
        <f t="shared" si="386"/>
        <v>0.74299999999999999</v>
      </c>
      <c r="CH138" s="9">
        <f t="shared" si="250"/>
        <v>1.9808626966691243</v>
      </c>
      <c r="CI138" s="9">
        <f t="shared" si="251"/>
        <v>1.5541533719234701</v>
      </c>
      <c r="CJ138" s="9">
        <v>1</v>
      </c>
      <c r="CK138" s="9">
        <f t="shared" si="252"/>
        <v>248.66453950775522</v>
      </c>
      <c r="CM138" s="4">
        <f t="shared" si="341"/>
        <v>0.44463766638918378</v>
      </c>
      <c r="CN138" s="4">
        <f t="shared" si="342"/>
        <v>0.85635510739673315</v>
      </c>
      <c r="CO138" s="4">
        <f t="shared" ref="CO138:CO152" si="390">AB138/BF138</f>
        <v>0.94362832425548338</v>
      </c>
      <c r="CP138" s="4">
        <f t="shared" si="335"/>
        <v>1.8659677045971768</v>
      </c>
      <c r="CQ138" s="4">
        <f t="shared" ref="CQ138:CQ152" si="391">AB138/DR138</f>
        <v>1.1235877075133753</v>
      </c>
      <c r="CR138" s="4">
        <f t="shared" ref="CR138:CR152" si="392">AB138/ED138</f>
        <v>1.1123266588575653</v>
      </c>
      <c r="CS138" s="4">
        <f t="shared" si="329"/>
        <v>0.87665502225414782</v>
      </c>
      <c r="CU138" s="4">
        <f t="shared" si="360"/>
        <v>0.44463766638918378</v>
      </c>
      <c r="CV138" s="4">
        <f t="shared" si="360"/>
        <v>0.85635510739673315</v>
      </c>
      <c r="CW138" s="4">
        <f t="shared" si="377"/>
        <v>1.8659677045971768</v>
      </c>
      <c r="CX138" s="4">
        <f t="shared" si="343"/>
        <v>0.87665502225414782</v>
      </c>
      <c r="CY138" s="4">
        <f t="shared" si="361"/>
        <v>1.1235877075133753</v>
      </c>
      <c r="CZ138" s="4">
        <f t="shared" si="361"/>
        <v>1.1123266588575653</v>
      </c>
      <c r="DH138" s="4">
        <f t="shared" si="362"/>
        <v>0</v>
      </c>
      <c r="DI138" s="4">
        <f t="shared" si="363"/>
        <v>715</v>
      </c>
      <c r="DJ138" s="4">
        <f t="shared" si="364"/>
        <v>1</v>
      </c>
      <c r="DL138" s="4">
        <f t="shared" si="365"/>
        <v>5.5250683031071631E-5</v>
      </c>
      <c r="DM138" s="4">
        <f t="shared" si="366"/>
        <v>4.1860577959627587</v>
      </c>
      <c r="DN138" s="4">
        <f t="shared" si="337"/>
        <v>0.10312256028274906</v>
      </c>
      <c r="DO138" s="4">
        <f t="shared" si="253"/>
        <v>1.6871228017777082</v>
      </c>
      <c r="DP138" s="4">
        <f t="shared" si="254"/>
        <v>3.195274432525173</v>
      </c>
      <c r="DQ138" s="4">
        <f t="shared" si="255"/>
        <v>3.3015885549114703</v>
      </c>
      <c r="DR138" s="38">
        <f t="shared" si="275"/>
        <v>412.96286609158767</v>
      </c>
      <c r="DS138" s="4">
        <f t="shared" si="256"/>
        <v>1.0000650916666518</v>
      </c>
      <c r="DT138" s="4">
        <f t="shared" si="330"/>
        <v>2.2360679774997898</v>
      </c>
      <c r="DU138" s="4">
        <f t="shared" si="276"/>
        <v>104.26688804632695</v>
      </c>
      <c r="DY138" s="4">
        <f t="shared" si="387"/>
        <v>1</v>
      </c>
      <c r="DZ138" s="4">
        <f t="shared" si="257"/>
        <v>1</v>
      </c>
      <c r="EA138" s="4">
        <f t="shared" si="258"/>
        <v>1</v>
      </c>
      <c r="EB138" s="4">
        <f t="shared" si="259"/>
        <v>1</v>
      </c>
      <c r="ED138" s="4">
        <f t="shared" si="277"/>
        <v>417.1436477810928</v>
      </c>
      <c r="EE138" s="25">
        <f t="shared" si="351"/>
        <v>103.18931308388592</v>
      </c>
      <c r="EH138" s="4">
        <f t="shared" si="314"/>
        <v>4.1860577959627587</v>
      </c>
      <c r="EI138" s="4">
        <f t="shared" si="367"/>
        <v>4.1860577959627587</v>
      </c>
      <c r="EK138" s="4">
        <f t="shared" si="368"/>
        <v>63.951544156493995</v>
      </c>
      <c r="EL138" s="4">
        <f t="shared" si="369"/>
        <v>2.2360679774997898</v>
      </c>
      <c r="EM138" s="4">
        <f t="shared" si="370"/>
        <v>4.4721285124322517E-2</v>
      </c>
      <c r="EP138" s="4">
        <f t="shared" si="332"/>
        <v>4.4721285124322517E-2</v>
      </c>
      <c r="EQ138" s="4">
        <f t="shared" si="333"/>
        <v>0.10295046794906974</v>
      </c>
      <c r="ER138" s="4">
        <f t="shared" si="371"/>
        <v>1.6859960400435789</v>
      </c>
      <c r="ES138" s="4">
        <f t="shared" si="388"/>
        <v>3.194984996700577</v>
      </c>
      <c r="ET138" s="4">
        <f t="shared" si="372"/>
        <v>472.29845584350602</v>
      </c>
      <c r="EU138" s="4">
        <f t="shared" si="373"/>
        <v>178.74999999999994</v>
      </c>
      <c r="EV138" s="4">
        <f t="shared" si="261"/>
        <v>5.5250683031071611E-5</v>
      </c>
      <c r="EW138" s="4">
        <f t="shared" si="389"/>
        <v>3.3016812855441273</v>
      </c>
      <c r="EX138" s="4">
        <f t="shared" si="374"/>
        <v>412.93598739994729</v>
      </c>
      <c r="EY138" s="4">
        <f t="shared" si="375"/>
        <v>472.29845584350602</v>
      </c>
      <c r="EZ138" s="4">
        <f t="shared" si="376"/>
        <v>178.75</v>
      </c>
      <c r="FB138" s="4">
        <f t="shared" si="338"/>
        <v>0</v>
      </c>
      <c r="FG138" s="23">
        <f t="shared" si="339"/>
        <v>0.6</v>
      </c>
      <c r="FH138" s="23">
        <f t="shared" si="339"/>
        <v>1</v>
      </c>
      <c r="FI138" s="23">
        <f t="shared" si="382"/>
        <v>1</v>
      </c>
      <c r="FJ138" s="23">
        <f t="shared" si="340"/>
        <v>2</v>
      </c>
      <c r="FK138" s="23">
        <f t="shared" si="340"/>
        <v>1.2</v>
      </c>
      <c r="FL138" s="23">
        <f t="shared" si="340"/>
        <v>1.2</v>
      </c>
      <c r="FM138" s="23">
        <f t="shared" ref="FM138:FM152" si="393">IF(FK138&lt;1,1,0)</f>
        <v>0</v>
      </c>
      <c r="FN138" s="23"/>
      <c r="FX138" s="4">
        <f t="shared" si="263"/>
        <v>1.25</v>
      </c>
      <c r="FY138" s="4">
        <f t="shared" si="303"/>
        <v>1</v>
      </c>
      <c r="FZ138" s="4">
        <f t="shared" si="265"/>
        <v>0</v>
      </c>
      <c r="GA138" s="4">
        <f t="shared" si="266"/>
        <v>529.2845968154204</v>
      </c>
    </row>
    <row r="139" spans="1:183" ht="12" hidden="1" customHeight="1" x14ac:dyDescent="0.3">
      <c r="A139" s="25">
        <v>121</v>
      </c>
      <c r="B139" s="24" t="s">
        <v>128</v>
      </c>
      <c r="C139" s="24">
        <v>2015</v>
      </c>
      <c r="D139" s="24" t="s">
        <v>293</v>
      </c>
      <c r="E139" s="24" t="s">
        <v>72</v>
      </c>
      <c r="F139" s="7" t="s">
        <v>138</v>
      </c>
      <c r="G139" s="7">
        <v>710</v>
      </c>
      <c r="H139" s="7">
        <f t="shared" si="315"/>
        <v>429</v>
      </c>
      <c r="I139" s="7">
        <f t="shared" si="344"/>
        <v>429</v>
      </c>
      <c r="J139" s="7">
        <v>41.4</v>
      </c>
      <c r="K139" s="7">
        <v>28.6</v>
      </c>
      <c r="L139" s="7">
        <v>15</v>
      </c>
      <c r="M139" s="7">
        <f t="shared" si="345"/>
        <v>15</v>
      </c>
      <c r="N139" s="7">
        <v>261</v>
      </c>
      <c r="O139" s="7">
        <f t="shared" si="346"/>
        <v>28.6</v>
      </c>
      <c r="P139" s="7"/>
      <c r="Q139" s="7">
        <f t="shared" si="378"/>
        <v>28.6</v>
      </c>
      <c r="R139" s="7">
        <v>2</v>
      </c>
      <c r="S139" s="7">
        <f t="shared" si="347"/>
        <v>58.2</v>
      </c>
      <c r="T139" s="7">
        <f t="shared" si="304"/>
        <v>1</v>
      </c>
      <c r="U139" s="7">
        <f t="shared" si="353"/>
        <v>1.5000000000000002</v>
      </c>
      <c r="V139" s="7">
        <f t="shared" si="348"/>
        <v>4</v>
      </c>
      <c r="W139" s="7">
        <f t="shared" si="354"/>
        <v>4</v>
      </c>
      <c r="X139" s="7">
        <v>5</v>
      </c>
      <c r="Y139" s="7">
        <f t="shared" si="352"/>
        <v>63.951544156493995</v>
      </c>
      <c r="Z139" s="7"/>
      <c r="AA139" s="7"/>
      <c r="AB139" s="7">
        <v>484</v>
      </c>
      <c r="AC139" s="7"/>
      <c r="AD139" s="7">
        <f t="shared" si="334"/>
        <v>1.1046714701548845</v>
      </c>
      <c r="AE139" s="7">
        <v>9.5</v>
      </c>
      <c r="AF139" s="7">
        <v>7</v>
      </c>
      <c r="AG139" s="7">
        <v>65</v>
      </c>
      <c r="AH139" s="7">
        <v>7</v>
      </c>
      <c r="AI139" s="7">
        <v>7</v>
      </c>
      <c r="AJ139" s="7">
        <f>MIN(2.5,(40*2*PI()*AE139^2/4/AG139/R139)/K139)</f>
        <v>1.5251680311268359</v>
      </c>
      <c r="AK139" s="4">
        <f t="shared" si="279"/>
        <v>429</v>
      </c>
      <c r="AL139" s="46">
        <f t="shared" si="349"/>
        <v>5.5150754451453753E-2</v>
      </c>
      <c r="AM139" s="25">
        <f t="shared" si="268"/>
        <v>444.9735182569961</v>
      </c>
      <c r="AN139" s="4">
        <f t="shared" si="269"/>
        <v>0.72</v>
      </c>
      <c r="AO139" s="4">
        <v>1.25</v>
      </c>
      <c r="AP139" s="25">
        <f t="shared" si="317"/>
        <v>5</v>
      </c>
      <c r="AQ139" s="38">
        <f t="shared" si="271"/>
        <v>110.4328135925598</v>
      </c>
      <c r="AR139" s="38">
        <f t="shared" si="272"/>
        <v>110.4328135925598</v>
      </c>
      <c r="AT139" s="38">
        <f t="shared" si="350"/>
        <v>110.43281359255974</v>
      </c>
      <c r="AU139" s="38">
        <f t="shared" si="243"/>
        <v>1.0000000000000004</v>
      </c>
      <c r="AV139" s="38">
        <f t="shared" si="328"/>
        <v>1.7994651547426346</v>
      </c>
      <c r="AW139" s="4">
        <f t="shared" si="323"/>
        <v>0</v>
      </c>
      <c r="AX139" s="4">
        <f t="shared" si="379"/>
        <v>507.96972448880257</v>
      </c>
      <c r="AY139" s="4">
        <f t="shared" si="380"/>
        <v>1.2000000000000002</v>
      </c>
      <c r="AZ139" s="38">
        <f t="shared" si="273"/>
        <v>198.72000000000003</v>
      </c>
      <c r="BA139" s="4">
        <f t="shared" si="381"/>
        <v>0.44000000000000006</v>
      </c>
      <c r="BB139" s="4">
        <f t="shared" si="244"/>
        <v>116.7822396599757</v>
      </c>
      <c r="BC139" s="4">
        <f t="shared" si="245"/>
        <v>315.50223965997571</v>
      </c>
      <c r="BE139" s="36">
        <f t="shared" si="312"/>
        <v>1.6863256140070761</v>
      </c>
      <c r="BF139" s="36">
        <f t="shared" si="313"/>
        <v>499.11364032989434</v>
      </c>
      <c r="BK139" s="4">
        <f t="shared" si="355"/>
        <v>20.700000000000003</v>
      </c>
      <c r="BL139" s="4">
        <f t="shared" si="356"/>
        <v>20.700000000000003</v>
      </c>
      <c r="BM139" s="4">
        <f t="shared" si="357"/>
        <v>58.2</v>
      </c>
      <c r="BN139" s="4">
        <f t="shared" si="358"/>
        <v>35</v>
      </c>
      <c r="BO139" s="4">
        <f t="shared" si="359"/>
        <v>1.181159420289855</v>
      </c>
      <c r="BP139" s="25">
        <f t="shared" si="274"/>
        <v>3.0322956128775931</v>
      </c>
      <c r="BR139" s="4">
        <f t="shared" si="331"/>
        <v>14.3</v>
      </c>
      <c r="BV139" s="9"/>
      <c r="BX139" s="9"/>
      <c r="BY139" s="9"/>
      <c r="BZ139" s="9">
        <f t="shared" si="383"/>
        <v>14.3</v>
      </c>
      <c r="CA139" s="9">
        <f t="shared" si="384"/>
        <v>28.6</v>
      </c>
      <c r="CB139" s="9">
        <f t="shared" si="248"/>
        <v>0.78458409789675088</v>
      </c>
      <c r="CC139" s="9">
        <v>20</v>
      </c>
      <c r="CD139" s="9">
        <f t="shared" si="306"/>
        <v>0.05</v>
      </c>
      <c r="CE139" s="9">
        <f t="shared" si="249"/>
        <v>0.8</v>
      </c>
      <c r="CF139" s="9">
        <f t="shared" si="385"/>
        <v>0.96044432035915817</v>
      </c>
      <c r="CG139" s="9">
        <f t="shared" si="386"/>
        <v>0.74299999999999999</v>
      </c>
      <c r="CH139" s="9">
        <f t="shared" si="250"/>
        <v>1.6070493790635749</v>
      </c>
      <c r="CI139" s="9">
        <f t="shared" si="251"/>
        <v>2.5465048905989884</v>
      </c>
      <c r="CJ139" s="9">
        <v>1</v>
      </c>
      <c r="CK139" s="9">
        <f t="shared" si="252"/>
        <v>305.58058687187861</v>
      </c>
      <c r="CM139" s="4">
        <f t="shared" si="341"/>
        <v>0.95281269073088048</v>
      </c>
      <c r="CN139" s="4">
        <f t="shared" si="342"/>
        <v>1.534062010214629</v>
      </c>
      <c r="CO139" s="4">
        <f t="shared" si="390"/>
        <v>0.96971903969624063</v>
      </c>
      <c r="CP139" s="4">
        <f t="shared" si="335"/>
        <v>1.5838702482855289</v>
      </c>
      <c r="CQ139" s="4">
        <f t="shared" si="391"/>
        <v>1.1046714701548845</v>
      </c>
      <c r="CR139" s="4">
        <f t="shared" si="392"/>
        <v>1.1269337764078953</v>
      </c>
      <c r="CS139" s="4">
        <f t="shared" si="329"/>
        <v>1.146690173406641</v>
      </c>
      <c r="DA139" s="4">
        <f t="shared" ref="DA139:DB152" si="394">CM139</f>
        <v>0.95281269073088048</v>
      </c>
      <c r="DB139" s="4">
        <f t="shared" si="394"/>
        <v>1.534062010214629</v>
      </c>
      <c r="DC139" s="4">
        <f t="shared" ref="DC139:DC152" si="395">CP139</f>
        <v>1.5838702482855289</v>
      </c>
      <c r="DD139" s="4">
        <f t="shared" ref="DD139:DD152" si="396">CS139</f>
        <v>1.146690173406641</v>
      </c>
      <c r="DE139" s="4">
        <f t="shared" ref="DE139:DF152" si="397">CQ139</f>
        <v>1.1046714701548845</v>
      </c>
      <c r="DF139" s="4">
        <f t="shared" si="397"/>
        <v>1.1269337764078953</v>
      </c>
      <c r="DH139" s="4">
        <f t="shared" si="362"/>
        <v>7</v>
      </c>
      <c r="DI139" s="4">
        <f t="shared" si="363"/>
        <v>429</v>
      </c>
      <c r="DJ139" s="4">
        <f t="shared" si="364"/>
        <v>1</v>
      </c>
      <c r="DL139" s="4">
        <f t="shared" si="365"/>
        <v>2.8953960744479089E-5</v>
      </c>
      <c r="DM139" s="4">
        <f t="shared" si="366"/>
        <v>7.1242815844827039</v>
      </c>
      <c r="DN139" s="4">
        <f t="shared" si="337"/>
        <v>0.16594176945972797</v>
      </c>
      <c r="DO139" s="4">
        <f t="shared" si="253"/>
        <v>3.4731485838138183</v>
      </c>
      <c r="DP139" s="4">
        <f t="shared" si="254"/>
        <v>5.6076430390294192</v>
      </c>
      <c r="DQ139" s="4">
        <f t="shared" si="255"/>
        <v>6.2969374888096059</v>
      </c>
      <c r="DR139" s="38">
        <f t="shared" si="275"/>
        <v>438.13931388319372</v>
      </c>
      <c r="DS139" s="4">
        <f t="shared" si="256"/>
        <v>1.0001011208183974</v>
      </c>
      <c r="DT139" s="4">
        <f t="shared" si="330"/>
        <v>2.2360679774997898</v>
      </c>
      <c r="DU139" s="4">
        <f t="shared" si="276"/>
        <v>110.43281359255974</v>
      </c>
      <c r="DY139" s="4">
        <f t="shared" si="387"/>
        <v>1</v>
      </c>
      <c r="DZ139" s="4">
        <f t="shared" si="257"/>
        <v>1</v>
      </c>
      <c r="EA139" s="4">
        <f t="shared" si="258"/>
        <v>0.7</v>
      </c>
      <c r="EB139" s="4">
        <f t="shared" si="259"/>
        <v>0.7</v>
      </c>
      <c r="ED139" s="4">
        <f t="shared" si="277"/>
        <v>429.48397690479328</v>
      </c>
      <c r="EE139" s="25">
        <f t="shared" si="351"/>
        <v>108.89130560307159</v>
      </c>
      <c r="EH139" s="4">
        <f t="shared" si="314"/>
        <v>7.1242815844827039</v>
      </c>
      <c r="EI139" s="4">
        <f t="shared" si="367"/>
        <v>7.1242815844827039</v>
      </c>
      <c r="EK139" s="4">
        <f t="shared" si="368"/>
        <v>63.951544156493995</v>
      </c>
      <c r="EL139" s="4">
        <f t="shared" si="369"/>
        <v>2.2360679774997898</v>
      </c>
      <c r="EM139" s="4">
        <f t="shared" si="370"/>
        <v>5.8383637923874583E-2</v>
      </c>
      <c r="EP139" s="4">
        <f t="shared" si="332"/>
        <v>5.8383637923874583E-2</v>
      </c>
      <c r="EQ139" s="4">
        <f t="shared" si="333"/>
        <v>0.16566484357384129</v>
      </c>
      <c r="ER139" s="4">
        <f t="shared" si="371"/>
        <v>3.4708290070070413</v>
      </c>
      <c r="ES139" s="4">
        <f t="shared" si="388"/>
        <v>5.6069341897316711</v>
      </c>
      <c r="ET139" s="4">
        <f t="shared" si="372"/>
        <v>257.79845584350602</v>
      </c>
      <c r="EU139" s="4">
        <f t="shared" si="373"/>
        <v>107.25</v>
      </c>
      <c r="EV139" s="4">
        <f t="shared" si="261"/>
        <v>2.8953960744479089E-5</v>
      </c>
      <c r="EW139" s="4">
        <f t="shared" si="389"/>
        <v>6.2970711206046541</v>
      </c>
      <c r="EX139" s="4">
        <f t="shared" si="374"/>
        <v>438.0950133569072</v>
      </c>
      <c r="EY139" s="4">
        <f t="shared" si="375"/>
        <v>257.79845584350602</v>
      </c>
      <c r="EZ139" s="4">
        <f t="shared" si="376"/>
        <v>107.24999999999999</v>
      </c>
      <c r="FB139" s="4">
        <f t="shared" si="338"/>
        <v>0</v>
      </c>
      <c r="FG139" s="23">
        <f t="shared" si="339"/>
        <v>1</v>
      </c>
      <c r="FH139" s="23">
        <f t="shared" si="339"/>
        <v>1.6</v>
      </c>
      <c r="FI139" s="23">
        <f t="shared" si="382"/>
        <v>1.2</v>
      </c>
      <c r="FJ139" s="23">
        <f t="shared" si="340"/>
        <v>1.6</v>
      </c>
      <c r="FK139" s="23">
        <f t="shared" si="340"/>
        <v>1.2</v>
      </c>
      <c r="FL139" s="23">
        <f t="shared" si="340"/>
        <v>1.2</v>
      </c>
      <c r="FM139" s="23">
        <f t="shared" si="393"/>
        <v>0</v>
      </c>
      <c r="FN139" s="23"/>
      <c r="FX139" s="4">
        <f t="shared" si="263"/>
        <v>1.25</v>
      </c>
      <c r="FY139" s="4">
        <f t="shared" si="303"/>
        <v>0.67768622629572395</v>
      </c>
      <c r="FZ139" s="4">
        <f t="shared" si="265"/>
        <v>0.3</v>
      </c>
      <c r="GA139" s="4">
        <f t="shared" si="266"/>
        <v>422.08437049923435</v>
      </c>
    </row>
    <row r="140" spans="1:183" ht="12" hidden="1" customHeight="1" x14ac:dyDescent="0.3">
      <c r="A140" s="25">
        <v>122</v>
      </c>
      <c r="B140" s="24" t="s">
        <v>128</v>
      </c>
      <c r="C140" s="24">
        <v>2015</v>
      </c>
      <c r="D140" s="24" t="s">
        <v>293</v>
      </c>
      <c r="E140" s="24"/>
      <c r="F140" s="7" t="s">
        <v>139</v>
      </c>
      <c r="G140" s="7">
        <v>710</v>
      </c>
      <c r="H140" s="7">
        <f t="shared" si="315"/>
        <v>572</v>
      </c>
      <c r="I140" s="7">
        <f t="shared" si="344"/>
        <v>572</v>
      </c>
      <c r="J140" s="7">
        <v>41.4</v>
      </c>
      <c r="K140" s="7">
        <v>28.6</v>
      </c>
      <c r="L140" s="7">
        <v>20</v>
      </c>
      <c r="M140" s="7">
        <f t="shared" si="345"/>
        <v>20</v>
      </c>
      <c r="N140" s="7">
        <v>261</v>
      </c>
      <c r="O140" s="7">
        <f t="shared" si="346"/>
        <v>28.6</v>
      </c>
      <c r="P140" s="7"/>
      <c r="Q140" s="7">
        <f t="shared" si="378"/>
        <v>28.6</v>
      </c>
      <c r="R140" s="7">
        <v>2</v>
      </c>
      <c r="S140" s="7">
        <f t="shared" si="347"/>
        <v>58.2</v>
      </c>
      <c r="T140" s="7">
        <f t="shared" si="304"/>
        <v>1</v>
      </c>
      <c r="U140" s="7">
        <f t="shared" si="353"/>
        <v>1.5000000000000002</v>
      </c>
      <c r="V140" s="7">
        <f t="shared" si="348"/>
        <v>4</v>
      </c>
      <c r="W140" s="7">
        <f t="shared" si="354"/>
        <v>4</v>
      </c>
      <c r="X140" s="7">
        <v>5</v>
      </c>
      <c r="Y140" s="7">
        <f t="shared" si="352"/>
        <v>63.951544156493995</v>
      </c>
      <c r="Z140" s="7"/>
      <c r="AA140" s="7"/>
      <c r="AB140" s="7">
        <v>585</v>
      </c>
      <c r="AC140" s="7"/>
      <c r="AD140" s="7">
        <f t="shared" si="334"/>
        <v>1.1231070404717092</v>
      </c>
      <c r="AE140" s="7">
        <v>9.5</v>
      </c>
      <c r="AF140" s="7">
        <v>9</v>
      </c>
      <c r="AG140" s="7">
        <v>65</v>
      </c>
      <c r="AH140" s="7">
        <v>9</v>
      </c>
      <c r="AI140" s="7">
        <v>9</v>
      </c>
      <c r="AJ140" s="7">
        <f t="shared" ref="AJ140:AJ152" si="398">MIN(2.5,(40*2*PI()*AE140^2/4/AG140/R140)/K140)</f>
        <v>1.5251680311268359</v>
      </c>
      <c r="AK140" s="4">
        <f t="shared" si="279"/>
        <v>572</v>
      </c>
      <c r="AL140" s="46">
        <f t="shared" si="349"/>
        <v>3.1022299378942735E-2</v>
      </c>
      <c r="AM140" s="25">
        <f t="shared" si="268"/>
        <v>685.08154812781754</v>
      </c>
      <c r="AN140" s="4">
        <f t="shared" si="269"/>
        <v>0.71499999999999997</v>
      </c>
      <c r="AO140" s="4">
        <v>1.25</v>
      </c>
      <c r="AP140" s="25">
        <f t="shared" si="317"/>
        <v>5</v>
      </c>
      <c r="AQ140" s="38">
        <f t="shared" si="271"/>
        <v>94.973471829891636</v>
      </c>
      <c r="AR140" s="38">
        <f t="shared" si="272"/>
        <v>94.973471829891636</v>
      </c>
      <c r="AT140" s="38">
        <f t="shared" si="350"/>
        <v>94.973471829891608</v>
      </c>
      <c r="AU140" s="38">
        <f t="shared" si="243"/>
        <v>1.0000000000000002</v>
      </c>
      <c r="AV140" s="38">
        <f t="shared" si="328"/>
        <v>2.092373756283548</v>
      </c>
      <c r="AW140" s="4">
        <f t="shared" si="323"/>
        <v>0</v>
      </c>
      <c r="AX140" s="4">
        <f t="shared" si="379"/>
        <v>677.29296598506994</v>
      </c>
      <c r="AY140" s="4">
        <f t="shared" si="380"/>
        <v>1.2000000000000002</v>
      </c>
      <c r="AZ140" s="38">
        <f t="shared" si="273"/>
        <v>198.72000000000003</v>
      </c>
      <c r="BA140" s="4">
        <f t="shared" si="381"/>
        <v>0.44000000000000006</v>
      </c>
      <c r="BB140" s="4">
        <f t="shared" si="244"/>
        <v>155.70965287996762</v>
      </c>
      <c r="BC140" s="4">
        <f t="shared" si="245"/>
        <v>354.42965287996765</v>
      </c>
      <c r="BE140" s="36">
        <f t="shared" si="312"/>
        <v>1.6863256140070761</v>
      </c>
      <c r="BF140" s="36">
        <f t="shared" si="313"/>
        <v>585.91601256118031</v>
      </c>
      <c r="BK140" s="4">
        <f t="shared" si="355"/>
        <v>20.700000000000003</v>
      </c>
      <c r="BL140" s="4">
        <f t="shared" si="356"/>
        <v>20.700000000000003</v>
      </c>
      <c r="BM140" s="4">
        <f t="shared" si="357"/>
        <v>58.2</v>
      </c>
      <c r="BN140" s="4">
        <f t="shared" si="358"/>
        <v>35</v>
      </c>
      <c r="BO140" s="4">
        <f t="shared" si="359"/>
        <v>1.181159420289855</v>
      </c>
      <c r="BP140" s="25">
        <f t="shared" si="274"/>
        <v>3.0322956128775931</v>
      </c>
      <c r="BR140" s="4">
        <f t="shared" si="331"/>
        <v>14.3</v>
      </c>
      <c r="BV140" s="9"/>
      <c r="BX140" s="9"/>
      <c r="BY140" s="9"/>
      <c r="BZ140" s="9">
        <f t="shared" si="383"/>
        <v>14.3</v>
      </c>
      <c r="CA140" s="9">
        <f t="shared" si="384"/>
        <v>28.6</v>
      </c>
      <c r="CB140" s="9">
        <f t="shared" si="248"/>
        <v>0.78458409789675088</v>
      </c>
      <c r="CC140" s="9">
        <v>20</v>
      </c>
      <c r="CD140" s="9">
        <f t="shared" si="306"/>
        <v>0.05</v>
      </c>
      <c r="CE140" s="9">
        <f t="shared" si="249"/>
        <v>0.8</v>
      </c>
      <c r="CF140" s="9">
        <f t="shared" si="385"/>
        <v>0.96044432035915817</v>
      </c>
      <c r="CG140" s="9">
        <f t="shared" si="386"/>
        <v>0.74299999999999999</v>
      </c>
      <c r="CH140" s="9">
        <f t="shared" si="250"/>
        <v>1.6070493790635749</v>
      </c>
      <c r="CI140" s="9">
        <f t="shared" si="251"/>
        <v>2.5465048905989884</v>
      </c>
      <c r="CJ140" s="9">
        <v>1</v>
      </c>
      <c r="CK140" s="9">
        <f t="shared" si="252"/>
        <v>356.51068468385836</v>
      </c>
      <c r="CM140" s="4">
        <f t="shared" si="341"/>
        <v>0.86373257863259068</v>
      </c>
      <c r="CN140" s="4">
        <f t="shared" si="342"/>
        <v>1.6505390992161655</v>
      </c>
      <c r="CO140" s="4">
        <f t="shared" si="390"/>
        <v>0.99843661456327815</v>
      </c>
      <c r="CP140" s="4">
        <f t="shared" si="335"/>
        <v>1.640904537037251</v>
      </c>
      <c r="CQ140" s="4">
        <f t="shared" si="391"/>
        <v>1.1231070404717092</v>
      </c>
      <c r="CR140" s="4">
        <f t="shared" si="392"/>
        <v>1.1221539038315145</v>
      </c>
      <c r="CS140" s="4">
        <f t="shared" si="329"/>
        <v>1.0394841189714128</v>
      </c>
      <c r="DA140" s="4">
        <f t="shared" si="394"/>
        <v>0.86373257863259068</v>
      </c>
      <c r="DB140" s="4">
        <f t="shared" si="394"/>
        <v>1.6505390992161655</v>
      </c>
      <c r="DC140" s="4">
        <f t="shared" si="395"/>
        <v>1.640904537037251</v>
      </c>
      <c r="DD140" s="4">
        <f t="shared" si="396"/>
        <v>1.0394841189714128</v>
      </c>
      <c r="DE140" s="4">
        <f t="shared" si="397"/>
        <v>1.1231070404717092</v>
      </c>
      <c r="DF140" s="4">
        <f t="shared" si="397"/>
        <v>1.1221539038315145</v>
      </c>
      <c r="DH140" s="4">
        <f t="shared" si="362"/>
        <v>9</v>
      </c>
      <c r="DI140" s="4">
        <f t="shared" si="363"/>
        <v>572</v>
      </c>
      <c r="DJ140" s="4">
        <f t="shared" si="364"/>
        <v>1</v>
      </c>
      <c r="DL140" s="4">
        <f t="shared" si="365"/>
        <v>3.8605280992638792E-5</v>
      </c>
      <c r="DM140" s="4">
        <f t="shared" si="366"/>
        <v>7.1242815844827039</v>
      </c>
      <c r="DN140" s="4">
        <f t="shared" si="337"/>
        <v>0.14271180326286331</v>
      </c>
      <c r="DO140" s="4">
        <f t="shared" si="253"/>
        <v>3.2698289451363891</v>
      </c>
      <c r="DP140" s="4">
        <f t="shared" si="254"/>
        <v>5.5470914187820428</v>
      </c>
      <c r="DQ140" s="4">
        <f t="shared" si="255"/>
        <v>5.672297025351078</v>
      </c>
      <c r="DR140" s="38">
        <f t="shared" si="275"/>
        <v>520.87644268911163</v>
      </c>
      <c r="DS140" s="4">
        <f t="shared" si="256"/>
        <v>1.0000919981850391</v>
      </c>
      <c r="DT140" s="4">
        <f t="shared" si="330"/>
        <v>2.2360679774997898</v>
      </c>
      <c r="DU140" s="4">
        <f t="shared" si="276"/>
        <v>94.973471829891608</v>
      </c>
      <c r="DY140" s="4">
        <f t="shared" si="387"/>
        <v>1</v>
      </c>
      <c r="DZ140" s="4">
        <f t="shared" si="257"/>
        <v>1</v>
      </c>
      <c r="EA140" s="4">
        <f t="shared" si="258"/>
        <v>0.7</v>
      </c>
      <c r="EB140" s="4">
        <f t="shared" si="259"/>
        <v>0.7</v>
      </c>
      <c r="ED140" s="4">
        <f t="shared" si="277"/>
        <v>521.31886544489055</v>
      </c>
      <c r="EE140" s="25">
        <f t="shared" si="351"/>
        <v>93.861970375928266</v>
      </c>
      <c r="EH140" s="4">
        <f t="shared" si="314"/>
        <v>7.1242815844827039</v>
      </c>
      <c r="EI140" s="4">
        <f t="shared" si="367"/>
        <v>7.1242815844827039</v>
      </c>
      <c r="EK140" s="4">
        <f t="shared" si="368"/>
        <v>63.951544156493995</v>
      </c>
      <c r="EL140" s="4">
        <f t="shared" si="369"/>
        <v>2.2360679774997898</v>
      </c>
      <c r="EM140" s="4">
        <f t="shared" si="370"/>
        <v>5.0210590596265252E-2</v>
      </c>
      <c r="EP140" s="4">
        <f t="shared" si="332"/>
        <v>5.0210590596265252E-2</v>
      </c>
      <c r="EQ140" s="4">
        <f t="shared" si="333"/>
        <v>0.14247364386108202</v>
      </c>
      <c r="ER140" s="4">
        <f t="shared" si="371"/>
        <v>3.2676451573714158</v>
      </c>
      <c r="ES140" s="4">
        <f t="shared" si="388"/>
        <v>5.5464586551755382</v>
      </c>
      <c r="ET140" s="4">
        <f t="shared" si="372"/>
        <v>365.04845584350602</v>
      </c>
      <c r="EU140" s="4">
        <f t="shared" si="373"/>
        <v>143</v>
      </c>
      <c r="EV140" s="4">
        <f t="shared" si="261"/>
        <v>3.8605280992638792E-5</v>
      </c>
      <c r="EW140" s="4">
        <f t="shared" si="389"/>
        <v>5.6724931912992886</v>
      </c>
      <c r="EX140" s="4">
        <f t="shared" si="374"/>
        <v>520.82852740987335</v>
      </c>
      <c r="EY140" s="4">
        <f t="shared" si="375"/>
        <v>365.04845584350602</v>
      </c>
      <c r="EZ140" s="4">
        <f t="shared" si="376"/>
        <v>143</v>
      </c>
      <c r="FB140" s="4">
        <f t="shared" si="338"/>
        <v>0</v>
      </c>
      <c r="FG140" s="23">
        <f t="shared" si="339"/>
        <v>1</v>
      </c>
      <c r="FH140" s="23">
        <f t="shared" si="339"/>
        <v>1.8</v>
      </c>
      <c r="FI140" s="23">
        <f t="shared" si="382"/>
        <v>1.2</v>
      </c>
      <c r="FJ140" s="23">
        <f t="shared" si="340"/>
        <v>1.8</v>
      </c>
      <c r="FK140" s="23">
        <f t="shared" si="340"/>
        <v>1.2</v>
      </c>
      <c r="FL140" s="23">
        <f t="shared" si="340"/>
        <v>1.2</v>
      </c>
      <c r="FM140" s="23">
        <f t="shared" si="393"/>
        <v>0</v>
      </c>
      <c r="FN140" s="23"/>
      <c r="FX140" s="4">
        <f t="shared" si="263"/>
        <v>1.25</v>
      </c>
      <c r="FY140" s="4">
        <f t="shared" si="303"/>
        <v>0.67768622629572395</v>
      </c>
      <c r="FZ140" s="4">
        <f t="shared" si="265"/>
        <v>0.3</v>
      </c>
      <c r="GA140" s="4">
        <f t="shared" si="266"/>
        <v>562.7791606656458</v>
      </c>
    </row>
    <row r="141" spans="1:183" ht="12" hidden="1" customHeight="1" x14ac:dyDescent="0.3">
      <c r="A141" s="25">
        <v>123</v>
      </c>
      <c r="B141" s="24" t="s">
        <v>128</v>
      </c>
      <c r="C141" s="24">
        <v>2015</v>
      </c>
      <c r="D141" s="24" t="s">
        <v>293</v>
      </c>
      <c r="E141" s="24"/>
      <c r="F141" s="7" t="s">
        <v>147</v>
      </c>
      <c r="G141" s="7">
        <v>710</v>
      </c>
      <c r="H141" s="7">
        <f t="shared" si="315"/>
        <v>572</v>
      </c>
      <c r="I141" s="7">
        <f t="shared" si="344"/>
        <v>572</v>
      </c>
      <c r="J141" s="7">
        <v>41.4</v>
      </c>
      <c r="K141" s="7">
        <v>28.6</v>
      </c>
      <c r="L141" s="7">
        <v>20</v>
      </c>
      <c r="M141" s="7">
        <f t="shared" si="345"/>
        <v>20</v>
      </c>
      <c r="N141" s="7">
        <v>261</v>
      </c>
      <c r="O141" s="7">
        <f t="shared" si="346"/>
        <v>28.6</v>
      </c>
      <c r="P141" s="7"/>
      <c r="Q141" s="7">
        <f t="shared" si="378"/>
        <v>28.6</v>
      </c>
      <c r="R141" s="7">
        <v>2</v>
      </c>
      <c r="S141" s="7">
        <f t="shared" si="347"/>
        <v>58.2</v>
      </c>
      <c r="T141" s="7">
        <f t="shared" si="304"/>
        <v>1</v>
      </c>
      <c r="U141" s="7">
        <f>MIN(S141/K141+0.5, (O141+K141/2)/K141)</f>
        <v>1.5000000000000002</v>
      </c>
      <c r="V141" s="7">
        <f t="shared" si="348"/>
        <v>4</v>
      </c>
      <c r="W141" s="7">
        <f t="shared" si="354"/>
        <v>4</v>
      </c>
      <c r="X141" s="7">
        <v>5</v>
      </c>
      <c r="Y141" s="7">
        <f t="shared" si="352"/>
        <v>63.951544156493995</v>
      </c>
      <c r="Z141" s="7"/>
      <c r="AA141" s="7"/>
      <c r="AB141" s="7">
        <v>489</v>
      </c>
      <c r="AC141" s="7"/>
      <c r="AD141" s="7">
        <f t="shared" si="334"/>
        <v>1.2855692591244996</v>
      </c>
      <c r="AE141" s="7">
        <v>9.5</v>
      </c>
      <c r="AF141" s="7">
        <v>4</v>
      </c>
      <c r="AG141" s="7">
        <f>H141/3</f>
        <v>190.66666666666666</v>
      </c>
      <c r="AH141" s="7">
        <v>4</v>
      </c>
      <c r="AI141" s="7">
        <v>4</v>
      </c>
      <c r="AJ141" s="7">
        <f t="shared" si="398"/>
        <v>0.51994364697505768</v>
      </c>
      <c r="AK141" s="4">
        <f t="shared" si="279"/>
        <v>572</v>
      </c>
      <c r="AL141" s="46">
        <f t="shared" si="349"/>
        <v>3.1022299378942735E-2</v>
      </c>
      <c r="AM141" s="25">
        <f t="shared" si="268"/>
        <v>685.08154812781754</v>
      </c>
      <c r="AN141" s="4">
        <f t="shared" si="269"/>
        <v>0.71499999999999997</v>
      </c>
      <c r="AO141" s="4">
        <v>1.25</v>
      </c>
      <c r="AP141" s="25">
        <f t="shared" si="317"/>
        <v>5</v>
      </c>
      <c r="AQ141" s="38">
        <f t="shared" si="271"/>
        <v>94.973471829891636</v>
      </c>
      <c r="AR141" s="38">
        <f t="shared" si="272"/>
        <v>94.973471829891636</v>
      </c>
      <c r="AT141" s="38">
        <f t="shared" si="350"/>
        <v>94.973471829891608</v>
      </c>
      <c r="AU141" s="38">
        <f t="shared" si="243"/>
        <v>1.0000000000000002</v>
      </c>
      <c r="AV141" s="38">
        <f t="shared" si="328"/>
        <v>2.092373756283548</v>
      </c>
      <c r="AW141" s="4">
        <f t="shared" si="323"/>
        <v>0</v>
      </c>
      <c r="AX141" s="4">
        <f t="shared" si="379"/>
        <v>677.29296598506994</v>
      </c>
      <c r="AY141" s="4">
        <f t="shared" si="380"/>
        <v>1.2000000000000002</v>
      </c>
      <c r="AZ141" s="38">
        <f t="shared" si="273"/>
        <v>198.72000000000003</v>
      </c>
      <c r="BA141" s="4">
        <f t="shared" si="381"/>
        <v>0.44000000000000006</v>
      </c>
      <c r="BB141" s="4">
        <f t="shared" si="244"/>
        <v>155.70965287996762</v>
      </c>
      <c r="BC141" s="4">
        <f t="shared" si="245"/>
        <v>354.42965287996765</v>
      </c>
      <c r="BE141" s="36">
        <f t="shared" si="312"/>
        <v>1.233974641138776</v>
      </c>
      <c r="BF141" s="36">
        <f t="shared" si="313"/>
        <v>428.74608280403612</v>
      </c>
      <c r="BK141" s="4">
        <f t="shared" si="355"/>
        <v>20.700000000000003</v>
      </c>
      <c r="BL141" s="4">
        <f t="shared" si="356"/>
        <v>20.700000000000003</v>
      </c>
      <c r="BM141" s="4">
        <f t="shared" si="357"/>
        <v>58.2</v>
      </c>
      <c r="BN141" s="4">
        <f t="shared" si="358"/>
        <v>35</v>
      </c>
      <c r="BO141" s="4">
        <f t="shared" si="359"/>
        <v>1.181159420289855</v>
      </c>
      <c r="BP141" s="25">
        <f t="shared" si="274"/>
        <v>1.9864364506664733</v>
      </c>
      <c r="BR141" s="4">
        <f t="shared" si="331"/>
        <v>14.3</v>
      </c>
      <c r="BV141" s="9"/>
      <c r="BX141" s="9"/>
      <c r="BY141" s="9"/>
      <c r="BZ141" s="9">
        <f t="shared" si="383"/>
        <v>14.3</v>
      </c>
      <c r="CA141" s="9">
        <f t="shared" si="384"/>
        <v>28.6</v>
      </c>
      <c r="CB141" s="9">
        <f t="shared" si="248"/>
        <v>0.78458409789675088</v>
      </c>
      <c r="CC141" s="9">
        <v>20</v>
      </c>
      <c r="CD141" s="9">
        <f t="shared" si="306"/>
        <v>0.05</v>
      </c>
      <c r="CE141" s="9">
        <f t="shared" si="249"/>
        <v>0.8</v>
      </c>
      <c r="CF141" s="9">
        <f t="shared" si="385"/>
        <v>0.96044432035915817</v>
      </c>
      <c r="CG141" s="9">
        <f t="shared" si="386"/>
        <v>0.74299999999999999</v>
      </c>
      <c r="CH141" s="9">
        <f t="shared" si="250"/>
        <v>1.6070493790635749</v>
      </c>
      <c r="CI141" s="9">
        <f t="shared" si="251"/>
        <v>2.5465048905989884</v>
      </c>
      <c r="CJ141" s="9">
        <v>1</v>
      </c>
      <c r="CK141" s="9">
        <f t="shared" si="252"/>
        <v>356.51068468385836</v>
      </c>
      <c r="CM141" s="4">
        <f t="shared" si="341"/>
        <v>0.72199184778006298</v>
      </c>
      <c r="CN141" s="4">
        <f t="shared" si="342"/>
        <v>1.3796814008832563</v>
      </c>
      <c r="CO141" s="4">
        <f t="shared" si="390"/>
        <v>1.1405352016323931</v>
      </c>
      <c r="CP141" s="4">
        <f t="shared" si="335"/>
        <v>1.3716278950619074</v>
      </c>
      <c r="CQ141" s="4">
        <f t="shared" si="391"/>
        <v>1.2855692591244996</v>
      </c>
      <c r="CR141" s="4">
        <f t="shared" si="392"/>
        <v>1.3078849210171859</v>
      </c>
      <c r="CS141" s="4">
        <f t="shared" si="329"/>
        <v>0.86890210970430914</v>
      </c>
      <c r="DA141" s="4">
        <f t="shared" si="394"/>
        <v>0.72199184778006298</v>
      </c>
      <c r="DB141" s="4">
        <f t="shared" si="394"/>
        <v>1.3796814008832563</v>
      </c>
      <c r="DC141" s="4">
        <f t="shared" si="395"/>
        <v>1.3716278950619074</v>
      </c>
      <c r="DD141" s="4">
        <f t="shared" si="396"/>
        <v>0.86890210970430914</v>
      </c>
      <c r="DE141" s="4">
        <f t="shared" si="397"/>
        <v>1.2855692591244996</v>
      </c>
      <c r="DF141" s="4">
        <f t="shared" si="397"/>
        <v>1.3078849210171859</v>
      </c>
      <c r="DH141" s="4">
        <f t="shared" si="362"/>
        <v>4</v>
      </c>
      <c r="DI141" s="4">
        <f t="shared" si="363"/>
        <v>572</v>
      </c>
      <c r="DJ141" s="4">
        <f t="shared" si="364"/>
        <v>1</v>
      </c>
      <c r="DL141" s="4">
        <f t="shared" si="365"/>
        <v>3.8605280992638792E-5</v>
      </c>
      <c r="DM141" s="4">
        <f t="shared" si="366"/>
        <v>4.6670689243250978</v>
      </c>
      <c r="DN141" s="4">
        <f t="shared" si="337"/>
        <v>0.14271180326286331</v>
      </c>
      <c r="DO141" s="4">
        <f t="shared" si="253"/>
        <v>2.1420429381881072</v>
      </c>
      <c r="DP141" s="4">
        <f t="shared" si="254"/>
        <v>3.6338622602138306</v>
      </c>
      <c r="DQ141" s="4">
        <f t="shared" si="255"/>
        <v>4.0357134700457804</v>
      </c>
      <c r="DR141" s="38">
        <f t="shared" si="275"/>
        <v>380.3762391868483</v>
      </c>
      <c r="DS141" s="4">
        <f t="shared" si="256"/>
        <v>1.0000847999993252</v>
      </c>
      <c r="DT141" s="4">
        <f t="shared" si="330"/>
        <v>2.2360679774997898</v>
      </c>
      <c r="DU141" s="4">
        <f t="shared" si="276"/>
        <v>94.973471829891608</v>
      </c>
      <c r="DY141" s="4">
        <f t="shared" si="387"/>
        <v>1</v>
      </c>
      <c r="DZ141" s="4">
        <f t="shared" si="257"/>
        <v>1</v>
      </c>
      <c r="EA141" s="4">
        <f t="shared" si="258"/>
        <v>0.81019487505501497</v>
      </c>
      <c r="EB141" s="4">
        <f t="shared" si="259"/>
        <v>0.81019487505501497</v>
      </c>
      <c r="ED141" s="4">
        <f t="shared" si="277"/>
        <v>373.88610583543414</v>
      </c>
      <c r="EE141" s="25">
        <f t="shared" si="351"/>
        <v>93.861970375928266</v>
      </c>
      <c r="EH141" s="4">
        <f t="shared" si="314"/>
        <v>4.6670689243250978</v>
      </c>
      <c r="EI141" s="4">
        <f>IF(K141&lt;22.2,1.1*5*(J141/30)^0.5,IF(K141&gt;=31.8,0.9*5*(J141/30)^0.5,1*5*(J141/30)^0.5))*BP141/2.5</f>
        <v>4.6670689243250978</v>
      </c>
      <c r="EK141" s="4">
        <f t="shared" si="368"/>
        <v>63.951544156493995</v>
      </c>
      <c r="EL141" s="4">
        <f t="shared" si="369"/>
        <v>2.2360679774997898</v>
      </c>
      <c r="EM141" s="4">
        <f t="shared" si="370"/>
        <v>5.0210590596265252E-2</v>
      </c>
      <c r="EP141" s="4">
        <f t="shared" si="332"/>
        <v>5.0210590596265252E-2</v>
      </c>
      <c r="EQ141" s="4">
        <f t="shared" si="333"/>
        <v>0.14247364386108202</v>
      </c>
      <c r="ER141" s="4">
        <f t="shared" si="371"/>
        <v>2.1406123535187107</v>
      </c>
      <c r="ES141" s="4">
        <f t="shared" si="388"/>
        <v>3.6334477410332875</v>
      </c>
      <c r="ET141" s="4">
        <f t="shared" si="372"/>
        <v>365.04845584350602</v>
      </c>
      <c r="EU141" s="4">
        <f t="shared" si="373"/>
        <v>143</v>
      </c>
      <c r="EV141" s="4">
        <f t="shared" si="261"/>
        <v>3.8605280992638792E-5</v>
      </c>
      <c r="EW141" s="4">
        <f t="shared" si="389"/>
        <v>4.0357987674000588</v>
      </c>
      <c r="EX141" s="4">
        <f t="shared" si="374"/>
        <v>380.34398601709069</v>
      </c>
      <c r="EY141" s="4">
        <f t="shared" si="375"/>
        <v>365.04845584350602</v>
      </c>
      <c r="EZ141" s="4">
        <f t="shared" si="376"/>
        <v>143</v>
      </c>
      <c r="FB141" s="4">
        <f t="shared" si="338"/>
        <v>0</v>
      </c>
      <c r="FG141" s="23">
        <f t="shared" si="339"/>
        <v>0.8</v>
      </c>
      <c r="FH141" s="23">
        <f t="shared" si="339"/>
        <v>1.4</v>
      </c>
      <c r="FI141" s="23">
        <f t="shared" si="382"/>
        <v>1</v>
      </c>
      <c r="FJ141" s="23">
        <f t="shared" si="340"/>
        <v>1.4</v>
      </c>
      <c r="FK141" s="23">
        <f t="shared" si="340"/>
        <v>1.4</v>
      </c>
      <c r="FL141" s="23">
        <f t="shared" si="340"/>
        <v>1.4</v>
      </c>
      <c r="FM141" s="23">
        <f t="shared" si="393"/>
        <v>0</v>
      </c>
      <c r="FN141" s="23"/>
      <c r="FX141" s="4">
        <f t="shared" si="263"/>
        <v>1.25</v>
      </c>
      <c r="FY141" s="4">
        <f t="shared" si="303"/>
        <v>0.67768622629572395</v>
      </c>
      <c r="FZ141" s="4">
        <f t="shared" si="265"/>
        <v>0.3</v>
      </c>
      <c r="GA141" s="4">
        <f t="shared" si="266"/>
        <v>562.7791606656458</v>
      </c>
    </row>
    <row r="142" spans="1:183" ht="12" hidden="1" customHeight="1" x14ac:dyDescent="0.3">
      <c r="A142" s="25">
        <v>124</v>
      </c>
      <c r="B142" s="24" t="s">
        <v>128</v>
      </c>
      <c r="C142" s="24">
        <v>2015</v>
      </c>
      <c r="D142" s="24" t="s">
        <v>293</v>
      </c>
      <c r="E142" s="24"/>
      <c r="F142" s="7" t="s">
        <v>148</v>
      </c>
      <c r="G142" s="7">
        <v>710</v>
      </c>
      <c r="H142" s="7">
        <f t="shared" si="315"/>
        <v>715</v>
      </c>
      <c r="I142" s="7">
        <f t="shared" si="344"/>
        <v>715</v>
      </c>
      <c r="J142" s="7">
        <v>40.1</v>
      </c>
      <c r="K142" s="7">
        <v>28.6</v>
      </c>
      <c r="L142" s="7">
        <v>25</v>
      </c>
      <c r="M142" s="7">
        <f t="shared" si="345"/>
        <v>25</v>
      </c>
      <c r="N142" s="7">
        <v>261</v>
      </c>
      <c r="O142" s="7">
        <f t="shared" si="346"/>
        <v>28.6</v>
      </c>
      <c r="P142" s="7"/>
      <c r="Q142" s="7">
        <f t="shared" si="378"/>
        <v>28.6</v>
      </c>
      <c r="R142" s="7">
        <v>2</v>
      </c>
      <c r="S142" s="7">
        <f t="shared" si="347"/>
        <v>58.2</v>
      </c>
      <c r="T142" s="7">
        <f t="shared" si="304"/>
        <v>1</v>
      </c>
      <c r="U142" s="7">
        <f t="shared" si="353"/>
        <v>1.5000000000000002</v>
      </c>
      <c r="V142" s="7">
        <f t="shared" si="348"/>
        <v>4</v>
      </c>
      <c r="W142" s="7">
        <f t="shared" si="354"/>
        <v>4</v>
      </c>
      <c r="X142" s="7">
        <v>5</v>
      </c>
      <c r="Y142" s="7">
        <f t="shared" si="352"/>
        <v>63.951544156493995</v>
      </c>
      <c r="Z142" s="7"/>
      <c r="AA142" s="7"/>
      <c r="AB142" s="7">
        <v>570</v>
      </c>
      <c r="AC142" s="7"/>
      <c r="AD142" s="7">
        <f t="shared" si="334"/>
        <v>1.3945416640120281</v>
      </c>
      <c r="AE142" s="7">
        <v>9.5</v>
      </c>
      <c r="AF142" s="7">
        <v>4</v>
      </c>
      <c r="AG142" s="7">
        <f>H142/3</f>
        <v>238.33333333333334</v>
      </c>
      <c r="AH142" s="7">
        <v>4</v>
      </c>
      <c r="AI142" s="7">
        <v>4</v>
      </c>
      <c r="AJ142" s="7">
        <f t="shared" si="398"/>
        <v>0.41595491758004616</v>
      </c>
      <c r="AK142" s="4">
        <f t="shared" si="279"/>
        <v>715</v>
      </c>
      <c r="AL142" s="46">
        <f t="shared" si="349"/>
        <v>1.985427160252335E-2</v>
      </c>
      <c r="AM142" s="25">
        <f t="shared" si="268"/>
        <v>942.2785516468773</v>
      </c>
      <c r="AN142" s="4">
        <f t="shared" si="269"/>
        <v>0.71199999999999997</v>
      </c>
      <c r="AO142" s="4">
        <v>1.25</v>
      </c>
      <c r="AP142" s="25">
        <f t="shared" si="317"/>
        <v>5</v>
      </c>
      <c r="AQ142" s="38">
        <f t="shared" si="271"/>
        <v>83.251731588850959</v>
      </c>
      <c r="AR142" s="38">
        <f t="shared" si="272"/>
        <v>83.251731588850959</v>
      </c>
      <c r="AT142" s="38">
        <f t="shared" si="350"/>
        <v>83.251731588851015</v>
      </c>
      <c r="AU142" s="38">
        <f t="shared" si="243"/>
        <v>0.99999999999999933</v>
      </c>
      <c r="AV142" s="38">
        <f t="shared" si="328"/>
        <v>2.3120239822828714</v>
      </c>
      <c r="AW142" s="4">
        <f t="shared" si="323"/>
        <v>0</v>
      </c>
      <c r="AX142" s="4">
        <f t="shared" si="379"/>
        <v>833.21790520987179</v>
      </c>
      <c r="AY142" s="4">
        <f t="shared" si="380"/>
        <v>1.2000000000000002</v>
      </c>
      <c r="AZ142" s="38">
        <f t="shared" si="273"/>
        <v>192.48000000000005</v>
      </c>
      <c r="BA142" s="4">
        <f t="shared" si="381"/>
        <v>0.44000000000000006</v>
      </c>
      <c r="BB142" s="4">
        <f t="shared" si="244"/>
        <v>191.55679640774952</v>
      </c>
      <c r="BC142" s="4">
        <f t="shared" si="245"/>
        <v>384.03679640774953</v>
      </c>
      <c r="BE142" s="36">
        <f t="shared" si="312"/>
        <v>1.1871797129110209</v>
      </c>
      <c r="BF142" s="36">
        <f t="shared" si="313"/>
        <v>466.10133021690683</v>
      </c>
      <c r="BK142" s="4">
        <f t="shared" si="355"/>
        <v>20.700000000000003</v>
      </c>
      <c r="BL142" s="4">
        <f t="shared" si="356"/>
        <v>20.700000000000003</v>
      </c>
      <c r="BM142" s="4">
        <f t="shared" si="357"/>
        <v>58.2</v>
      </c>
      <c r="BN142" s="4">
        <f t="shared" si="358"/>
        <v>35</v>
      </c>
      <c r="BO142" s="4">
        <f t="shared" si="359"/>
        <v>1.181159420289855</v>
      </c>
      <c r="BP142" s="25">
        <f t="shared" si="274"/>
        <v>1.8713952421261202</v>
      </c>
      <c r="BR142" s="4">
        <f t="shared" si="331"/>
        <v>14.3</v>
      </c>
      <c r="BV142" s="9"/>
      <c r="BX142" s="9"/>
      <c r="BY142" s="9"/>
      <c r="BZ142" s="9">
        <f t="shared" si="383"/>
        <v>14.3</v>
      </c>
      <c r="CA142" s="9">
        <f t="shared" si="384"/>
        <v>28.6</v>
      </c>
      <c r="CB142" s="9">
        <f t="shared" si="248"/>
        <v>0.78458409789675088</v>
      </c>
      <c r="CC142" s="9">
        <v>20</v>
      </c>
      <c r="CD142" s="9">
        <f t="shared" si="306"/>
        <v>4.1595491758004616E-2</v>
      </c>
      <c r="CE142" s="9">
        <f t="shared" si="249"/>
        <v>0.63190983516009225</v>
      </c>
      <c r="CF142" s="9">
        <f t="shared" si="385"/>
        <v>0.96044432035915817</v>
      </c>
      <c r="CG142" s="9">
        <f t="shared" si="386"/>
        <v>0.74299999999999999</v>
      </c>
      <c r="CH142" s="9">
        <f t="shared" si="250"/>
        <v>1.5816166822222031</v>
      </c>
      <c r="CI142" s="9">
        <f t="shared" si="251"/>
        <v>2.2403504347892436</v>
      </c>
      <c r="CJ142" s="9">
        <v>1</v>
      </c>
      <c r="CK142" s="9">
        <f t="shared" si="252"/>
        <v>358.45606956627898</v>
      </c>
      <c r="CM142" s="4">
        <f t="shared" si="341"/>
        <v>0.68409475652881924</v>
      </c>
      <c r="CN142" s="4">
        <f t="shared" si="342"/>
        <v>1.4842327749104667</v>
      </c>
      <c r="CO142" s="4">
        <f t="shared" si="390"/>
        <v>1.2229100477673867</v>
      </c>
      <c r="CP142" s="4">
        <f t="shared" si="335"/>
        <v>1.5901530156531671</v>
      </c>
      <c r="CQ142" s="4">
        <f t="shared" si="391"/>
        <v>1.3945416640120281</v>
      </c>
      <c r="CR142" s="4">
        <f t="shared" si="392"/>
        <v>1.4007274122258497</v>
      </c>
      <c r="CS142" s="4">
        <f t="shared" si="329"/>
        <v>0.81675316740153681</v>
      </c>
      <c r="DA142" s="4">
        <f t="shared" si="394"/>
        <v>0.68409475652881924</v>
      </c>
      <c r="DB142" s="4">
        <f t="shared" si="394"/>
        <v>1.4842327749104667</v>
      </c>
      <c r="DC142" s="4">
        <f t="shared" si="395"/>
        <v>1.5901530156531671</v>
      </c>
      <c r="DD142" s="4">
        <f t="shared" si="396"/>
        <v>0.81675316740153681</v>
      </c>
      <c r="DE142" s="4">
        <f t="shared" si="397"/>
        <v>1.3945416640120281</v>
      </c>
      <c r="DF142" s="4">
        <f t="shared" si="397"/>
        <v>1.4007274122258497</v>
      </c>
      <c r="DH142" s="4">
        <f t="shared" si="362"/>
        <v>4</v>
      </c>
      <c r="DI142" s="4">
        <f t="shared" si="363"/>
        <v>715</v>
      </c>
      <c r="DJ142" s="4">
        <f t="shared" si="364"/>
        <v>1</v>
      </c>
      <c r="DL142" s="4">
        <f t="shared" si="365"/>
        <v>4.7844538760390357E-5</v>
      </c>
      <c r="DM142" s="4">
        <f t="shared" si="366"/>
        <v>4.3272010677467785</v>
      </c>
      <c r="DN142" s="4">
        <f t="shared" si="337"/>
        <v>0.12915369137489427</v>
      </c>
      <c r="DO142" s="4">
        <f t="shared" si="253"/>
        <v>1.9083138616493587</v>
      </c>
      <c r="DP142" s="4">
        <f t="shared" si="254"/>
        <v>3.3471014245372079</v>
      </c>
      <c r="DQ142" s="4">
        <f t="shared" si="255"/>
        <v>3.492840488416765</v>
      </c>
      <c r="DR142" s="38">
        <f t="shared" si="275"/>
        <v>408.73644345636683</v>
      </c>
      <c r="DS142" s="4">
        <f t="shared" si="256"/>
        <v>1.0000793568982886</v>
      </c>
      <c r="DT142" s="4">
        <f t="shared" si="330"/>
        <v>2.2360679774997898</v>
      </c>
      <c r="DU142" s="4">
        <f t="shared" si="276"/>
        <v>83.251731588851015</v>
      </c>
      <c r="DY142" s="4">
        <f t="shared" si="387"/>
        <v>1</v>
      </c>
      <c r="DZ142" s="4">
        <f t="shared" si="257"/>
        <v>1</v>
      </c>
      <c r="EA142" s="4">
        <f t="shared" si="258"/>
        <v>0.81019487505501497</v>
      </c>
      <c r="EB142" s="4">
        <f t="shared" si="259"/>
        <v>0.81019487505501497</v>
      </c>
      <c r="ED142" s="4">
        <f t="shared" si="277"/>
        <v>406.93142364811138</v>
      </c>
      <c r="EE142" s="25">
        <f t="shared" si="351"/>
        <v>82.39134356710295</v>
      </c>
      <c r="EH142" s="4">
        <f t="shared" si="314"/>
        <v>4.3272010677467785</v>
      </c>
      <c r="EI142" s="4">
        <f t="shared" si="367"/>
        <v>4.3272010677467785</v>
      </c>
      <c r="EK142" s="4">
        <f t="shared" si="368"/>
        <v>63.951544156493995</v>
      </c>
      <c r="EL142" s="4">
        <f t="shared" si="369"/>
        <v>2.2360679774997898</v>
      </c>
      <c r="EM142" s="4">
        <f t="shared" si="370"/>
        <v>4.4721285124322517E-2</v>
      </c>
      <c r="EP142" s="4">
        <f t="shared" si="332"/>
        <v>4.4721285124322517E-2</v>
      </c>
      <c r="EQ142" s="4">
        <f t="shared" si="333"/>
        <v>0.12893815793496546</v>
      </c>
      <c r="ER142" s="4">
        <f t="shared" si="371"/>
        <v>1.9070393752671284</v>
      </c>
      <c r="ES142" s="4">
        <f t="shared" si="388"/>
        <v>3.3467452567635192</v>
      </c>
      <c r="ET142" s="4">
        <f t="shared" si="372"/>
        <v>472.29845584350602</v>
      </c>
      <c r="EU142" s="4">
        <f t="shared" si="373"/>
        <v>178.74999999999994</v>
      </c>
      <c r="EV142" s="4">
        <f t="shared" si="261"/>
        <v>4.784453876039033E-5</v>
      </c>
      <c r="EW142" s="4">
        <f t="shared" si="389"/>
        <v>3.4929402000892389</v>
      </c>
      <c r="EX142" s="4">
        <f t="shared" si="374"/>
        <v>408.70400997381716</v>
      </c>
      <c r="EY142" s="4">
        <f t="shared" si="375"/>
        <v>472.29845584350602</v>
      </c>
      <c r="EZ142" s="4">
        <f t="shared" si="376"/>
        <v>178.75</v>
      </c>
      <c r="FB142" s="4">
        <f t="shared" si="338"/>
        <v>0</v>
      </c>
      <c r="FG142" s="23">
        <f t="shared" si="339"/>
        <v>0.8</v>
      </c>
      <c r="FH142" s="23">
        <f t="shared" si="339"/>
        <v>1.6</v>
      </c>
      <c r="FI142" s="23">
        <f t="shared" si="382"/>
        <v>1</v>
      </c>
      <c r="FJ142" s="23">
        <f t="shared" si="340"/>
        <v>1.6</v>
      </c>
      <c r="FK142" s="23">
        <f t="shared" si="340"/>
        <v>1.4</v>
      </c>
      <c r="FL142" s="23">
        <f t="shared" si="340"/>
        <v>1.6</v>
      </c>
      <c r="FM142" s="23">
        <f t="shared" si="393"/>
        <v>0</v>
      </c>
      <c r="FN142" s="23"/>
      <c r="FX142" s="4">
        <f t="shared" si="263"/>
        <v>1.25</v>
      </c>
      <c r="FY142" s="4">
        <f t="shared" si="303"/>
        <v>0.67768622629572395</v>
      </c>
      <c r="FZ142" s="4">
        <f t="shared" si="265"/>
        <v>0.3</v>
      </c>
      <c r="GA142" s="4">
        <f t="shared" si="266"/>
        <v>697.8852641777064</v>
      </c>
    </row>
    <row r="143" spans="1:183" ht="12" hidden="1" customHeight="1" x14ac:dyDescent="0.3">
      <c r="A143" s="25">
        <v>125</v>
      </c>
      <c r="B143" s="24" t="s">
        <v>128</v>
      </c>
      <c r="C143" s="24">
        <v>2015</v>
      </c>
      <c r="D143" s="24" t="s">
        <v>293</v>
      </c>
      <c r="E143" s="24"/>
      <c r="F143" s="7" t="s">
        <v>149</v>
      </c>
      <c r="G143" s="7">
        <v>710</v>
      </c>
      <c r="H143" s="7">
        <f t="shared" si="315"/>
        <v>429</v>
      </c>
      <c r="I143" s="7">
        <f t="shared" si="344"/>
        <v>429</v>
      </c>
      <c r="J143" s="7">
        <v>40.1</v>
      </c>
      <c r="K143" s="7">
        <v>28.6</v>
      </c>
      <c r="L143" s="7">
        <v>15</v>
      </c>
      <c r="M143" s="7">
        <f t="shared" si="345"/>
        <v>15</v>
      </c>
      <c r="N143" s="7">
        <v>261</v>
      </c>
      <c r="O143" s="7">
        <f t="shared" si="346"/>
        <v>28.6</v>
      </c>
      <c r="P143" s="7"/>
      <c r="Q143" s="7">
        <f t="shared" si="378"/>
        <v>28.6</v>
      </c>
      <c r="R143" s="7">
        <v>2</v>
      </c>
      <c r="S143" s="7">
        <f t="shared" si="347"/>
        <v>58.2</v>
      </c>
      <c r="T143" s="7">
        <f t="shared" si="304"/>
        <v>1</v>
      </c>
      <c r="U143" s="7">
        <f t="shared" si="353"/>
        <v>1.5000000000000002</v>
      </c>
      <c r="V143" s="7">
        <f t="shared" si="348"/>
        <v>4</v>
      </c>
      <c r="W143" s="7">
        <f t="shared" si="354"/>
        <v>4</v>
      </c>
      <c r="X143" s="7">
        <v>5</v>
      </c>
      <c r="Y143" s="7">
        <f t="shared" si="352"/>
        <v>63.951544156493995</v>
      </c>
      <c r="Z143" s="7"/>
      <c r="AA143" s="7"/>
      <c r="AB143" s="7">
        <v>522</v>
      </c>
      <c r="AC143" s="7"/>
      <c r="AD143" s="7">
        <f t="shared" si="334"/>
        <v>0.98457361518909292</v>
      </c>
      <c r="AE143" s="7">
        <v>9.5</v>
      </c>
      <c r="AF143" s="7">
        <v>12</v>
      </c>
      <c r="AG143" s="7">
        <v>39</v>
      </c>
      <c r="AH143" s="7">
        <v>12</v>
      </c>
      <c r="AI143" s="7">
        <v>12</v>
      </c>
      <c r="AJ143" s="7">
        <f t="shared" si="398"/>
        <v>2.5</v>
      </c>
      <c r="AK143" s="4">
        <f t="shared" si="279"/>
        <v>429</v>
      </c>
      <c r="AL143" s="46">
        <f t="shared" si="349"/>
        <v>5.5150754451453753E-2</v>
      </c>
      <c r="AM143" s="25">
        <f t="shared" si="268"/>
        <v>437.93149656201666</v>
      </c>
      <c r="AN143" s="4">
        <f t="shared" si="269"/>
        <v>0.72</v>
      </c>
      <c r="AO143" s="4">
        <v>1.25</v>
      </c>
      <c r="AP143" s="25">
        <f t="shared" si="317"/>
        <v>5</v>
      </c>
      <c r="AQ143" s="38">
        <f t="shared" si="271"/>
        <v>108.68513595052249</v>
      </c>
      <c r="AR143" s="38">
        <f t="shared" si="272"/>
        <v>108.68513595052249</v>
      </c>
      <c r="AT143" s="38">
        <f t="shared" si="350"/>
        <v>108.68513595052244</v>
      </c>
      <c r="AU143" s="38">
        <f t="shared" si="243"/>
        <v>1.0000000000000004</v>
      </c>
      <c r="AV143" s="38">
        <f t="shared" si="328"/>
        <v>1.7709873417062678</v>
      </c>
      <c r="AW143" s="4">
        <f t="shared" si="323"/>
        <v>0</v>
      </c>
      <c r="AX143" s="4">
        <f t="shared" si="379"/>
        <v>499.93074312592307</v>
      </c>
      <c r="AY143" s="4">
        <f t="shared" si="380"/>
        <v>1.2000000000000002</v>
      </c>
      <c r="AZ143" s="38">
        <f t="shared" si="273"/>
        <v>192.48000000000005</v>
      </c>
      <c r="BA143" s="4">
        <f t="shared" si="381"/>
        <v>0.44000000000000006</v>
      </c>
      <c r="BB143" s="4">
        <f t="shared" si="244"/>
        <v>114.93407784464971</v>
      </c>
      <c r="BC143" s="4">
        <f t="shared" si="245"/>
        <v>307.41407784464974</v>
      </c>
      <c r="BE143" s="36">
        <f t="shared" si="312"/>
        <v>2.125</v>
      </c>
      <c r="BF143" s="36">
        <f t="shared" si="313"/>
        <v>618.99758178041373</v>
      </c>
      <c r="BK143" s="4">
        <f t="shared" si="355"/>
        <v>20.700000000000003</v>
      </c>
      <c r="BL143" s="4">
        <f t="shared" si="356"/>
        <v>20.700000000000003</v>
      </c>
      <c r="BM143" s="4">
        <f t="shared" si="357"/>
        <v>58.2</v>
      </c>
      <c r="BN143" s="4">
        <f t="shared" si="358"/>
        <v>35</v>
      </c>
      <c r="BO143" s="4">
        <f t="shared" si="359"/>
        <v>1.181159420289855</v>
      </c>
      <c r="BP143" s="25">
        <f t="shared" si="274"/>
        <v>4</v>
      </c>
      <c r="BR143" s="4">
        <f t="shared" si="331"/>
        <v>14.3</v>
      </c>
      <c r="BV143" s="9"/>
      <c r="BX143" s="9"/>
      <c r="BY143" s="9"/>
      <c r="BZ143" s="9">
        <f t="shared" si="383"/>
        <v>14.3</v>
      </c>
      <c r="CA143" s="9">
        <f t="shared" si="384"/>
        <v>28.6</v>
      </c>
      <c r="CB143" s="9">
        <f t="shared" si="248"/>
        <v>0.78458409789675088</v>
      </c>
      <c r="CC143" s="9">
        <v>20</v>
      </c>
      <c r="CD143" s="9">
        <f t="shared" si="306"/>
        <v>0.05</v>
      </c>
      <c r="CE143" s="9">
        <f t="shared" si="249"/>
        <v>0.8</v>
      </c>
      <c r="CF143" s="9">
        <f t="shared" si="385"/>
        <v>0.96044432035915817</v>
      </c>
      <c r="CG143" s="9">
        <f t="shared" si="386"/>
        <v>0.74299999999999999</v>
      </c>
      <c r="CH143" s="9">
        <f t="shared" si="250"/>
        <v>1.5816166822222031</v>
      </c>
      <c r="CI143" s="9">
        <f t="shared" si="251"/>
        <v>2.5062046436175218</v>
      </c>
      <c r="CJ143" s="9">
        <v>1</v>
      </c>
      <c r="CK143" s="9">
        <f t="shared" si="252"/>
        <v>300.74455723410261</v>
      </c>
      <c r="CM143" s="4">
        <f t="shared" si="341"/>
        <v>1.0441446283860925</v>
      </c>
      <c r="CN143" s="4">
        <f t="shared" si="342"/>
        <v>1.6980354434639466</v>
      </c>
      <c r="CO143" s="4">
        <f t="shared" si="390"/>
        <v>0.84329893260419375</v>
      </c>
      <c r="CP143" s="4">
        <f t="shared" si="335"/>
        <v>1.735692259240688</v>
      </c>
      <c r="CQ143" s="4">
        <f t="shared" si="391"/>
        <v>0.98457361518909292</v>
      </c>
      <c r="CR143" s="4">
        <f t="shared" si="392"/>
        <v>0.99736422977580386</v>
      </c>
      <c r="CS143" s="4">
        <f t="shared" si="329"/>
        <v>1.2466232555076091</v>
      </c>
      <c r="DA143" s="4">
        <f t="shared" si="394"/>
        <v>1.0441446283860925</v>
      </c>
      <c r="DB143" s="4">
        <f t="shared" si="394"/>
        <v>1.6980354434639466</v>
      </c>
      <c r="DC143" s="4">
        <f t="shared" si="395"/>
        <v>1.735692259240688</v>
      </c>
      <c r="DD143" s="4">
        <f t="shared" si="396"/>
        <v>1.2466232555076091</v>
      </c>
      <c r="DE143" s="4">
        <f t="shared" si="397"/>
        <v>0.98457361518909292</v>
      </c>
      <c r="DF143" s="4">
        <f t="shared" si="397"/>
        <v>0.99736422977580386</v>
      </c>
      <c r="DH143" s="4">
        <f t="shared" si="362"/>
        <v>12</v>
      </c>
      <c r="DI143" s="4">
        <f t="shared" si="363"/>
        <v>429</v>
      </c>
      <c r="DJ143" s="4">
        <f t="shared" si="364"/>
        <v>1</v>
      </c>
      <c r="DL143" s="4">
        <f t="shared" si="365"/>
        <v>2.8706723256234209E-5</v>
      </c>
      <c r="DM143" s="4">
        <f t="shared" si="366"/>
        <v>9.2491441045464668</v>
      </c>
      <c r="DN143" s="4">
        <f t="shared" si="337"/>
        <v>0.16861014465039709</v>
      </c>
      <c r="DO143" s="4">
        <f t="shared" si="253"/>
        <v>4.5379010977730605</v>
      </c>
      <c r="DP143" s="4">
        <f t="shared" si="254"/>
        <v>7.2890060364848717</v>
      </c>
      <c r="DQ143" s="4">
        <f t="shared" si="255"/>
        <v>7.8729976209340178</v>
      </c>
      <c r="DR143" s="38">
        <f t="shared" si="275"/>
        <v>530.17874128157189</v>
      </c>
      <c r="DS143" s="4">
        <f t="shared" si="256"/>
        <v>1.0001081359323825</v>
      </c>
      <c r="DT143" s="4">
        <f t="shared" si="330"/>
        <v>2.2360679774997898</v>
      </c>
      <c r="DU143" s="4">
        <f t="shared" si="276"/>
        <v>108.68513595052244</v>
      </c>
      <c r="DY143" s="4">
        <f t="shared" si="387"/>
        <v>1</v>
      </c>
      <c r="DZ143" s="4">
        <f t="shared" si="257"/>
        <v>1</v>
      </c>
      <c r="EA143" s="4">
        <f t="shared" si="258"/>
        <v>0.7</v>
      </c>
      <c r="EB143" s="4">
        <f t="shared" si="259"/>
        <v>0.7</v>
      </c>
      <c r="ED143" s="4">
        <f t="shared" si="277"/>
        <v>523.37950812346628</v>
      </c>
      <c r="EE143" s="25">
        <f t="shared" si="351"/>
        <v>107.16802341887519</v>
      </c>
      <c r="EH143" s="4">
        <f t="shared" si="314"/>
        <v>9.2491441045464668</v>
      </c>
      <c r="EI143" s="4">
        <f t="shared" si="367"/>
        <v>9.2491441045464668</v>
      </c>
      <c r="EK143" s="4">
        <f t="shared" si="368"/>
        <v>63.951544156493995</v>
      </c>
      <c r="EL143" s="4">
        <f t="shared" si="369"/>
        <v>2.2360679774997898</v>
      </c>
      <c r="EM143" s="4">
        <f t="shared" si="370"/>
        <v>5.8383637923874576E-2</v>
      </c>
      <c r="EP143" s="4">
        <f t="shared" si="332"/>
        <v>5.8383637923874576E-2</v>
      </c>
      <c r="EQ143" s="4">
        <f t="shared" si="333"/>
        <v>0.1683287657436347</v>
      </c>
      <c r="ER143" s="4">
        <f t="shared" si="371"/>
        <v>4.5348704154155897</v>
      </c>
      <c r="ES143" s="4">
        <f t="shared" si="388"/>
        <v>7.2880747439476643</v>
      </c>
      <c r="ET143" s="4">
        <f t="shared" si="372"/>
        <v>257.79845584350602</v>
      </c>
      <c r="EU143" s="4">
        <f t="shared" si="373"/>
        <v>107.25</v>
      </c>
      <c r="EV143" s="4">
        <f t="shared" si="261"/>
        <v>2.8706723256234209E-5</v>
      </c>
      <c r="EW143" s="4">
        <f t="shared" si="389"/>
        <v>7.8732216545316964</v>
      </c>
      <c r="EX143" s="4">
        <f t="shared" si="374"/>
        <v>530.12141610796516</v>
      </c>
      <c r="EY143" s="4">
        <f t="shared" si="375"/>
        <v>257.79845584350602</v>
      </c>
      <c r="EZ143" s="4">
        <f t="shared" si="376"/>
        <v>107.24999999999999</v>
      </c>
      <c r="FB143" s="4">
        <f t="shared" si="338"/>
        <v>0</v>
      </c>
      <c r="FG143" s="23">
        <f t="shared" si="339"/>
        <v>1.2</v>
      </c>
      <c r="FH143" s="23">
        <f t="shared" si="339"/>
        <v>1.8</v>
      </c>
      <c r="FI143" s="23">
        <f t="shared" si="382"/>
        <v>1.4</v>
      </c>
      <c r="FJ143" s="23">
        <f t="shared" si="340"/>
        <v>1.8</v>
      </c>
      <c r="FK143" s="23">
        <f t="shared" si="340"/>
        <v>1</v>
      </c>
      <c r="FL143" s="23">
        <f t="shared" si="340"/>
        <v>1</v>
      </c>
      <c r="FM143" s="23">
        <f t="shared" si="393"/>
        <v>0</v>
      </c>
      <c r="FN143" s="23"/>
      <c r="FX143" s="4">
        <f t="shared" si="263"/>
        <v>1.25</v>
      </c>
      <c r="FY143" s="4">
        <f t="shared" si="303"/>
        <v>0.67768622629572395</v>
      </c>
      <c r="FZ143" s="4">
        <f t="shared" si="265"/>
        <v>0.3</v>
      </c>
      <c r="GA143" s="4">
        <f t="shared" si="266"/>
        <v>418.73115850662379</v>
      </c>
    </row>
    <row r="144" spans="1:183" ht="12" hidden="1" customHeight="1" x14ac:dyDescent="0.3">
      <c r="A144" s="25">
        <v>126</v>
      </c>
      <c r="B144" s="24" t="s">
        <v>128</v>
      </c>
      <c r="C144" s="24">
        <v>2015</v>
      </c>
      <c r="D144" s="24" t="s">
        <v>293</v>
      </c>
      <c r="E144" s="24"/>
      <c r="F144" s="7" t="s">
        <v>150</v>
      </c>
      <c r="G144" s="7">
        <v>710</v>
      </c>
      <c r="H144" s="7">
        <f t="shared" si="315"/>
        <v>572</v>
      </c>
      <c r="I144" s="7">
        <f t="shared" si="344"/>
        <v>572</v>
      </c>
      <c r="J144" s="7">
        <v>40.1</v>
      </c>
      <c r="K144" s="7">
        <v>28.6</v>
      </c>
      <c r="L144" s="7">
        <v>20</v>
      </c>
      <c r="M144" s="7">
        <f t="shared" si="345"/>
        <v>20</v>
      </c>
      <c r="N144" s="7">
        <v>261</v>
      </c>
      <c r="O144" s="7">
        <f t="shared" si="346"/>
        <v>28.6</v>
      </c>
      <c r="P144" s="7"/>
      <c r="Q144" s="7">
        <f t="shared" si="378"/>
        <v>28.6</v>
      </c>
      <c r="R144" s="7">
        <v>2</v>
      </c>
      <c r="S144" s="7">
        <f t="shared" si="347"/>
        <v>58.2</v>
      </c>
      <c r="T144" s="7">
        <f t="shared" si="304"/>
        <v>1</v>
      </c>
      <c r="U144" s="7">
        <f t="shared" si="353"/>
        <v>1.5000000000000002</v>
      </c>
      <c r="V144" s="7">
        <f t="shared" si="348"/>
        <v>4</v>
      </c>
      <c r="W144" s="7">
        <f t="shared" si="354"/>
        <v>4</v>
      </c>
      <c r="X144" s="7">
        <v>5</v>
      </c>
      <c r="Y144" s="7">
        <f t="shared" si="352"/>
        <v>63.951544156493995</v>
      </c>
      <c r="Z144" s="7"/>
      <c r="AA144" s="7"/>
      <c r="AB144" s="7">
        <v>681</v>
      </c>
      <c r="AC144" s="7"/>
      <c r="AD144" s="7">
        <f t="shared" si="334"/>
        <v>1.0696097344059088</v>
      </c>
      <c r="AE144" s="7">
        <v>9.5</v>
      </c>
      <c r="AF144" s="7">
        <v>15</v>
      </c>
      <c r="AG144" s="7">
        <v>39</v>
      </c>
      <c r="AH144" s="7">
        <v>15</v>
      </c>
      <c r="AI144" s="7">
        <v>15</v>
      </c>
      <c r="AJ144" s="7">
        <f t="shared" si="398"/>
        <v>2.5</v>
      </c>
      <c r="AK144" s="4">
        <f t="shared" si="279"/>
        <v>572</v>
      </c>
      <c r="AL144" s="46">
        <f t="shared" si="349"/>
        <v>3.1022299378942735E-2</v>
      </c>
      <c r="AM144" s="25">
        <f t="shared" si="268"/>
        <v>674.23964647118942</v>
      </c>
      <c r="AN144" s="4">
        <f t="shared" si="269"/>
        <v>0.71499999999999997</v>
      </c>
      <c r="AO144" s="4">
        <v>1.25</v>
      </c>
      <c r="AP144" s="25">
        <f t="shared" si="317"/>
        <v>5</v>
      </c>
      <c r="AQ144" s="38">
        <f t="shared" si="271"/>
        <v>93.470449241730918</v>
      </c>
      <c r="AR144" s="38">
        <f t="shared" si="272"/>
        <v>93.470449241730918</v>
      </c>
      <c r="AT144" s="38">
        <f t="shared" si="350"/>
        <v>93.470449241730861</v>
      </c>
      <c r="AU144" s="38">
        <f t="shared" si="243"/>
        <v>1.0000000000000007</v>
      </c>
      <c r="AV144" s="38">
        <f t="shared" si="328"/>
        <v>2.0592604567697461</v>
      </c>
      <c r="AW144" s="4">
        <f t="shared" si="323"/>
        <v>0</v>
      </c>
      <c r="AX144" s="4">
        <f t="shared" si="379"/>
        <v>666.57432416789743</v>
      </c>
      <c r="AY144" s="4">
        <f t="shared" si="380"/>
        <v>1.2000000000000002</v>
      </c>
      <c r="AZ144" s="38">
        <f t="shared" si="273"/>
        <v>192.48000000000005</v>
      </c>
      <c r="BA144" s="4">
        <f t="shared" si="381"/>
        <v>0.44000000000000006</v>
      </c>
      <c r="BB144" s="4">
        <f t="shared" si="244"/>
        <v>153.24543712619962</v>
      </c>
      <c r="BC144" s="4">
        <f t="shared" si="245"/>
        <v>345.72543712619967</v>
      </c>
      <c r="BE144" s="36">
        <f t="shared" si="312"/>
        <v>2.125</v>
      </c>
      <c r="BF144" s="36">
        <f t="shared" si="313"/>
        <v>726.64933513352912</v>
      </c>
      <c r="BK144" s="4">
        <f t="shared" si="355"/>
        <v>20.700000000000003</v>
      </c>
      <c r="BL144" s="4">
        <f t="shared" si="356"/>
        <v>20.700000000000003</v>
      </c>
      <c r="BM144" s="4">
        <f t="shared" si="357"/>
        <v>58.2</v>
      </c>
      <c r="BN144" s="4">
        <f t="shared" si="358"/>
        <v>35</v>
      </c>
      <c r="BO144" s="4">
        <f t="shared" si="359"/>
        <v>1.181159420289855</v>
      </c>
      <c r="BP144" s="25">
        <f t="shared" si="274"/>
        <v>4</v>
      </c>
      <c r="BR144" s="4">
        <f t="shared" si="331"/>
        <v>14.3</v>
      </c>
      <c r="BV144" s="9"/>
      <c r="BX144" s="9"/>
      <c r="BY144" s="9"/>
      <c r="BZ144" s="9">
        <f t="shared" si="383"/>
        <v>14.3</v>
      </c>
      <c r="CA144" s="9">
        <f t="shared" si="384"/>
        <v>28.6</v>
      </c>
      <c r="CB144" s="9">
        <f t="shared" si="248"/>
        <v>0.78458409789675088</v>
      </c>
      <c r="CC144" s="9">
        <v>20</v>
      </c>
      <c r="CD144" s="9">
        <f t="shared" si="306"/>
        <v>0.05</v>
      </c>
      <c r="CE144" s="9">
        <f t="shared" si="249"/>
        <v>0.8</v>
      </c>
      <c r="CF144" s="9">
        <f t="shared" si="385"/>
        <v>0.96044432035915817</v>
      </c>
      <c r="CG144" s="9">
        <f t="shared" si="386"/>
        <v>0.74299999999999999</v>
      </c>
      <c r="CH144" s="9">
        <f t="shared" si="250"/>
        <v>1.5816166822222031</v>
      </c>
      <c r="CI144" s="9">
        <f t="shared" si="251"/>
        <v>2.5062046436175218</v>
      </c>
      <c r="CJ144" s="9">
        <v>1</v>
      </c>
      <c r="CK144" s="9">
        <f t="shared" si="252"/>
        <v>350.86865010645306</v>
      </c>
      <c r="CM144" s="4">
        <f t="shared" si="341"/>
        <v>1.0216415113950128</v>
      </c>
      <c r="CN144" s="4">
        <f t="shared" si="342"/>
        <v>1.9697711735090395</v>
      </c>
      <c r="CO144" s="4">
        <f t="shared" si="390"/>
        <v>0.93717831569316634</v>
      </c>
      <c r="CP144" s="4">
        <f t="shared" si="335"/>
        <v>1.9408972554070749</v>
      </c>
      <c r="CQ144" s="4">
        <f t="shared" si="391"/>
        <v>1.0696097344059088</v>
      </c>
      <c r="CR144" s="4">
        <f t="shared" si="392"/>
        <v>1.0520214823303664</v>
      </c>
      <c r="CS144" s="4">
        <f t="shared" si="329"/>
        <v>1.2197563750009797</v>
      </c>
      <c r="DA144" s="4">
        <f t="shared" si="394"/>
        <v>1.0216415113950128</v>
      </c>
      <c r="DB144" s="4">
        <f t="shared" si="394"/>
        <v>1.9697711735090395</v>
      </c>
      <c r="DC144" s="4">
        <f t="shared" si="395"/>
        <v>1.9408972554070749</v>
      </c>
      <c r="DD144" s="4">
        <f t="shared" si="396"/>
        <v>1.2197563750009797</v>
      </c>
      <c r="DE144" s="4">
        <f t="shared" si="397"/>
        <v>1.0696097344059088</v>
      </c>
      <c r="DF144" s="4">
        <f t="shared" si="397"/>
        <v>1.0520214823303664</v>
      </c>
      <c r="DH144" s="4">
        <f t="shared" si="362"/>
        <v>15</v>
      </c>
      <c r="DI144" s="4">
        <f t="shared" si="363"/>
        <v>572</v>
      </c>
      <c r="DJ144" s="4">
        <f t="shared" si="364"/>
        <v>1</v>
      </c>
      <c r="DL144" s="4">
        <f t="shared" si="365"/>
        <v>3.8275631008312281E-5</v>
      </c>
      <c r="DM144" s="4">
        <f t="shared" si="366"/>
        <v>9.2491441045464668</v>
      </c>
      <c r="DN144" s="4">
        <f t="shared" si="337"/>
        <v>0.14500663618215845</v>
      </c>
      <c r="DO144" s="4">
        <f t="shared" si="253"/>
        <v>4.272250380768611</v>
      </c>
      <c r="DP144" s="4">
        <f t="shared" si="254"/>
        <v>7.2094456377406724</v>
      </c>
      <c r="DQ144" s="4">
        <f t="shared" si="255"/>
        <v>6.8457351462215854</v>
      </c>
      <c r="DR144" s="38">
        <f t="shared" si="275"/>
        <v>636.68081739948491</v>
      </c>
      <c r="DS144" s="4">
        <f t="shared" si="256"/>
        <v>1.0000964813136164</v>
      </c>
      <c r="DT144" s="4">
        <f t="shared" si="330"/>
        <v>2.2360679774997898</v>
      </c>
      <c r="DU144" s="4">
        <f t="shared" si="276"/>
        <v>93.470449241730861</v>
      </c>
      <c r="DY144" s="4">
        <f t="shared" si="387"/>
        <v>1</v>
      </c>
      <c r="DZ144" s="4">
        <f t="shared" si="257"/>
        <v>1</v>
      </c>
      <c r="EA144" s="4">
        <f t="shared" si="258"/>
        <v>0.7</v>
      </c>
      <c r="EB144" s="4">
        <f t="shared" si="259"/>
        <v>0.7</v>
      </c>
      <c r="ED144" s="4">
        <f t="shared" si="277"/>
        <v>647.32518435982422</v>
      </c>
      <c r="EE144" s="25">
        <f t="shared" si="351"/>
        <v>92.37653808703628</v>
      </c>
      <c r="EH144" s="4">
        <f t="shared" si="314"/>
        <v>9.2491441045464668</v>
      </c>
      <c r="EI144" s="4">
        <f t="shared" si="367"/>
        <v>9.2491441045464668</v>
      </c>
      <c r="EK144" s="4">
        <f t="shared" si="368"/>
        <v>63.951544156493995</v>
      </c>
      <c r="EL144" s="4">
        <f t="shared" si="369"/>
        <v>2.2360679774997898</v>
      </c>
      <c r="EM144" s="4">
        <f t="shared" si="370"/>
        <v>5.0210590596265245E-2</v>
      </c>
      <c r="EP144" s="4">
        <f t="shared" si="332"/>
        <v>5.0210590596265245E-2</v>
      </c>
      <c r="EQ144" s="4">
        <f t="shared" si="333"/>
        <v>0.1447646471319336</v>
      </c>
      <c r="ER144" s="4">
        <f t="shared" si="371"/>
        <v>4.2693971158832111</v>
      </c>
      <c r="ES144" s="4">
        <f t="shared" si="388"/>
        <v>7.2086141540327731</v>
      </c>
      <c r="ET144" s="4">
        <f t="shared" si="372"/>
        <v>365.04845584350602</v>
      </c>
      <c r="EU144" s="4">
        <f t="shared" si="373"/>
        <v>143</v>
      </c>
      <c r="EV144" s="4">
        <f t="shared" si="261"/>
        <v>3.8275631008312281E-5</v>
      </c>
      <c r="EW144" s="4">
        <f t="shared" si="389"/>
        <v>6.8460626715972968</v>
      </c>
      <c r="EX144" s="4">
        <f t="shared" si="374"/>
        <v>636.61939552393108</v>
      </c>
      <c r="EY144" s="4">
        <f t="shared" si="375"/>
        <v>365.04845584350602</v>
      </c>
      <c r="EZ144" s="4">
        <f t="shared" si="376"/>
        <v>143</v>
      </c>
      <c r="FB144" s="4">
        <f t="shared" si="338"/>
        <v>0</v>
      </c>
      <c r="FG144" s="23">
        <f t="shared" si="339"/>
        <v>1.2</v>
      </c>
      <c r="FH144" s="23">
        <f t="shared" si="339"/>
        <v>2</v>
      </c>
      <c r="FI144" s="23">
        <f t="shared" si="382"/>
        <v>1.4</v>
      </c>
      <c r="FJ144" s="23">
        <f t="shared" si="340"/>
        <v>2</v>
      </c>
      <c r="FK144" s="23">
        <f t="shared" si="340"/>
        <v>1.2</v>
      </c>
      <c r="FL144" s="23">
        <f t="shared" si="340"/>
        <v>1.2</v>
      </c>
      <c r="FM144" s="23">
        <f t="shared" si="393"/>
        <v>0</v>
      </c>
      <c r="FN144" s="23"/>
      <c r="FX144" s="4">
        <f t="shared" si="263"/>
        <v>1.25</v>
      </c>
      <c r="FY144" s="4">
        <f t="shared" si="303"/>
        <v>0.67768622629572395</v>
      </c>
      <c r="FZ144" s="4">
        <f t="shared" si="265"/>
        <v>0.3</v>
      </c>
      <c r="GA144" s="4">
        <f t="shared" si="266"/>
        <v>558.30821134216501</v>
      </c>
    </row>
    <row r="145" spans="1:183" ht="12" hidden="1" customHeight="1" x14ac:dyDescent="0.3">
      <c r="A145" s="25">
        <v>127</v>
      </c>
      <c r="B145" s="24" t="s">
        <v>128</v>
      </c>
      <c r="C145" s="24">
        <v>2015</v>
      </c>
      <c r="D145" s="24" t="s">
        <v>293</v>
      </c>
      <c r="E145" s="24"/>
      <c r="F145" s="7" t="s">
        <v>151</v>
      </c>
      <c r="G145" s="7">
        <v>710</v>
      </c>
      <c r="H145" s="7">
        <f t="shared" si="315"/>
        <v>429</v>
      </c>
      <c r="I145" s="7">
        <f t="shared" si="344"/>
        <v>429</v>
      </c>
      <c r="J145" s="7">
        <v>62.9</v>
      </c>
      <c r="K145" s="7">
        <v>28.6</v>
      </c>
      <c r="L145" s="7">
        <v>15</v>
      </c>
      <c r="M145" s="7">
        <f t="shared" si="345"/>
        <v>15</v>
      </c>
      <c r="N145" s="7">
        <v>261</v>
      </c>
      <c r="O145" s="7">
        <f t="shared" si="346"/>
        <v>28.6</v>
      </c>
      <c r="P145" s="7"/>
      <c r="Q145" s="7">
        <f t="shared" si="378"/>
        <v>28.6</v>
      </c>
      <c r="R145" s="7">
        <v>2</v>
      </c>
      <c r="S145" s="7">
        <f t="shared" si="347"/>
        <v>58.2</v>
      </c>
      <c r="T145" s="7">
        <f t="shared" si="304"/>
        <v>1</v>
      </c>
      <c r="U145" s="7">
        <f t="shared" si="353"/>
        <v>1.5000000000000002</v>
      </c>
      <c r="V145" s="7">
        <f t="shared" si="348"/>
        <v>4</v>
      </c>
      <c r="W145" s="7">
        <f t="shared" si="354"/>
        <v>4</v>
      </c>
      <c r="X145" s="7">
        <v>5</v>
      </c>
      <c r="Y145" s="7">
        <f t="shared" si="352"/>
        <v>63.951544156493995</v>
      </c>
      <c r="Z145" s="7"/>
      <c r="AA145" s="7"/>
      <c r="AB145" s="7">
        <v>562</v>
      </c>
      <c r="AC145" s="7"/>
      <c r="AD145" s="7">
        <f t="shared" si="334"/>
        <v>0.98161770338061449</v>
      </c>
      <c r="AE145" s="7">
        <v>9.5</v>
      </c>
      <c r="AF145" s="7">
        <v>7</v>
      </c>
      <c r="AG145" s="7">
        <v>65</v>
      </c>
      <c r="AH145" s="7">
        <v>7</v>
      </c>
      <c r="AI145" s="7">
        <v>7</v>
      </c>
      <c r="AJ145" s="7">
        <f t="shared" si="398"/>
        <v>1.5251680311268359</v>
      </c>
      <c r="AK145" s="4">
        <f t="shared" si="279"/>
        <v>429</v>
      </c>
      <c r="AL145" s="46">
        <f t="shared" si="349"/>
        <v>5.5150754451453753E-2</v>
      </c>
      <c r="AM145" s="25">
        <f t="shared" si="268"/>
        <v>548.47813315761925</v>
      </c>
      <c r="AN145" s="4">
        <f t="shared" si="269"/>
        <v>0.72</v>
      </c>
      <c r="AO145" s="4">
        <v>1.25</v>
      </c>
      <c r="AP145" s="25">
        <f t="shared" si="317"/>
        <v>5</v>
      </c>
      <c r="AQ145" s="38">
        <f t="shared" si="271"/>
        <v>136.12042279695424</v>
      </c>
      <c r="AR145" s="38">
        <f t="shared" si="272"/>
        <v>136.12042279695424</v>
      </c>
      <c r="AT145" s="38">
        <f t="shared" si="350"/>
        <v>136.12042279695419</v>
      </c>
      <c r="AU145" s="38">
        <f t="shared" si="243"/>
        <v>1.0000000000000004</v>
      </c>
      <c r="AV145" s="38">
        <f t="shared" si="328"/>
        <v>2.2180360139665667</v>
      </c>
      <c r="AW145" s="4">
        <f t="shared" si="323"/>
        <v>0</v>
      </c>
      <c r="AX145" s="4">
        <f t="shared" si="379"/>
        <v>626.1277913336321</v>
      </c>
      <c r="AY145" s="4">
        <f t="shared" si="380"/>
        <v>1.2000000000000002</v>
      </c>
      <c r="AZ145" s="38">
        <f t="shared" si="273"/>
        <v>301.92</v>
      </c>
      <c r="BA145" s="4">
        <f t="shared" si="381"/>
        <v>0.44000000000000006</v>
      </c>
      <c r="BB145" s="4">
        <f t="shared" si="244"/>
        <v>143.94677922760204</v>
      </c>
      <c r="BC145" s="4">
        <f t="shared" si="245"/>
        <v>445.86677922760202</v>
      </c>
      <c r="BE145" s="36">
        <f t="shared" si="312"/>
        <v>1.6863256140070761</v>
      </c>
      <c r="BF145" s="36">
        <f t="shared" si="313"/>
        <v>615.21170687631093</v>
      </c>
      <c r="BK145" s="4">
        <f t="shared" si="355"/>
        <v>20.700000000000003</v>
      </c>
      <c r="BL145" s="4">
        <f t="shared" si="356"/>
        <v>20.700000000000003</v>
      </c>
      <c r="BM145" s="4">
        <f t="shared" si="357"/>
        <v>58.2</v>
      </c>
      <c r="BN145" s="4">
        <f t="shared" si="358"/>
        <v>35</v>
      </c>
      <c r="BO145" s="4">
        <f t="shared" si="359"/>
        <v>1.181159420289855</v>
      </c>
      <c r="BP145" s="25">
        <f t="shared" si="274"/>
        <v>3.4014035908980222</v>
      </c>
      <c r="BR145" s="4">
        <f t="shared" si="331"/>
        <v>14.3</v>
      </c>
      <c r="BV145" s="9"/>
      <c r="BX145" s="9"/>
      <c r="BY145" s="9"/>
      <c r="BZ145" s="9">
        <f t="shared" si="383"/>
        <v>14.3</v>
      </c>
      <c r="CA145" s="9">
        <f t="shared" si="384"/>
        <v>28.6</v>
      </c>
      <c r="CB145" s="9">
        <f t="shared" si="248"/>
        <v>0.78458409789675088</v>
      </c>
      <c r="CC145" s="9">
        <v>20</v>
      </c>
      <c r="CD145" s="9">
        <f t="shared" si="306"/>
        <v>0.05</v>
      </c>
      <c r="CE145" s="9">
        <f t="shared" si="249"/>
        <v>0.8</v>
      </c>
      <c r="CF145" s="9">
        <f t="shared" si="385"/>
        <v>0.96044432035915817</v>
      </c>
      <c r="CG145" s="9">
        <f t="shared" si="386"/>
        <v>0.74299999999999999</v>
      </c>
      <c r="CH145" s="9">
        <f t="shared" si="250"/>
        <v>1.9808626966691243</v>
      </c>
      <c r="CI145" s="9">
        <f t="shared" si="251"/>
        <v>3.1388435292587697</v>
      </c>
      <c r="CJ145" s="9">
        <v>1</v>
      </c>
      <c r="CK145" s="9">
        <f t="shared" si="252"/>
        <v>376.66122351105236</v>
      </c>
      <c r="CM145" s="4">
        <f t="shared" si="341"/>
        <v>0.89758034666207365</v>
      </c>
      <c r="CN145" s="4">
        <f t="shared" si="342"/>
        <v>1.2604661889669859</v>
      </c>
      <c r="CO145" s="4">
        <f t="shared" si="390"/>
        <v>0.91350667374896166</v>
      </c>
      <c r="CP145" s="4">
        <f t="shared" si="335"/>
        <v>1.4920569597297801</v>
      </c>
      <c r="CQ145" s="4">
        <f t="shared" si="391"/>
        <v>0.98161770338061449</v>
      </c>
      <c r="CR145" s="4">
        <f t="shared" si="392"/>
        <v>0.97318154685335856</v>
      </c>
      <c r="CS145" s="4">
        <f t="shared" si="329"/>
        <v>1.199290707588252</v>
      </c>
      <c r="DA145" s="4">
        <f t="shared" si="394"/>
        <v>0.89758034666207365</v>
      </c>
      <c r="DB145" s="4">
        <f t="shared" si="394"/>
        <v>1.2604661889669859</v>
      </c>
      <c r="DC145" s="4">
        <f t="shared" si="395"/>
        <v>1.4920569597297801</v>
      </c>
      <c r="DD145" s="4">
        <f t="shared" si="396"/>
        <v>1.199290707588252</v>
      </c>
      <c r="DE145" s="4">
        <f t="shared" si="397"/>
        <v>0.98161770338061449</v>
      </c>
      <c r="DF145" s="4">
        <f t="shared" si="397"/>
        <v>0.97318154685335856</v>
      </c>
      <c r="DH145" s="4">
        <f t="shared" si="362"/>
        <v>7</v>
      </c>
      <c r="DI145" s="4">
        <f t="shared" si="363"/>
        <v>429</v>
      </c>
      <c r="DJ145" s="4">
        <f t="shared" si="364"/>
        <v>1</v>
      </c>
      <c r="DL145" s="4">
        <f t="shared" si="365"/>
        <v>3.3150409818642976E-5</v>
      </c>
      <c r="DM145" s="4">
        <f t="shared" si="366"/>
        <v>9.850377101520138</v>
      </c>
      <c r="DN145" s="4">
        <f t="shared" si="337"/>
        <v>0.13462650289663738</v>
      </c>
      <c r="DO145" s="4">
        <f t="shared" si="253"/>
        <v>4.4167730350132439</v>
      </c>
      <c r="DP145" s="4">
        <f t="shared" si="254"/>
        <v>7.6397750506487814</v>
      </c>
      <c r="DQ145" s="4">
        <f t="shared" si="255"/>
        <v>8.0960945358675964</v>
      </c>
      <c r="DR145" s="38">
        <f t="shared" si="275"/>
        <v>572.52431171984369</v>
      </c>
      <c r="DS145" s="4">
        <f t="shared" si="256"/>
        <v>1.0000921123312927</v>
      </c>
      <c r="DT145" s="4">
        <f t="shared" si="330"/>
        <v>2.2360679774997898</v>
      </c>
      <c r="DU145" s="4">
        <f t="shared" si="276"/>
        <v>136.12042279695419</v>
      </c>
      <c r="DY145" s="4">
        <f t="shared" si="387"/>
        <v>1</v>
      </c>
      <c r="DZ145" s="4">
        <f t="shared" si="257"/>
        <v>1</v>
      </c>
      <c r="EA145" s="4">
        <f t="shared" si="258"/>
        <v>0.7</v>
      </c>
      <c r="EB145" s="4">
        <f t="shared" si="259"/>
        <v>0.7</v>
      </c>
      <c r="ED145" s="4">
        <f t="shared" si="277"/>
        <v>577.48731654144649</v>
      </c>
      <c r="EE145" s="25">
        <f t="shared" si="351"/>
        <v>134.22034697304031</v>
      </c>
      <c r="EH145" s="4">
        <f t="shared" si="314"/>
        <v>9.850377101520138</v>
      </c>
      <c r="EI145" s="4">
        <f t="shared" si="367"/>
        <v>9.850377101520138</v>
      </c>
      <c r="EK145" s="4">
        <f t="shared" si="368"/>
        <v>63.951544156493995</v>
      </c>
      <c r="EL145" s="4">
        <f t="shared" si="369"/>
        <v>2.2360679774997898</v>
      </c>
      <c r="EM145" s="4">
        <f t="shared" si="370"/>
        <v>5.8383637923874576E-2</v>
      </c>
      <c r="EP145" s="4">
        <f t="shared" si="332"/>
        <v>5.8383637923874576E-2</v>
      </c>
      <c r="EQ145" s="4">
        <f t="shared" si="333"/>
        <v>0.13440183635427219</v>
      </c>
      <c r="ER145" s="4">
        <f t="shared" si="371"/>
        <v>4.4138232492365681</v>
      </c>
      <c r="ES145" s="4">
        <f t="shared" si="388"/>
        <v>7.6389381357232935</v>
      </c>
      <c r="ET145" s="4">
        <f t="shared" si="372"/>
        <v>257.79845584350602</v>
      </c>
      <c r="EU145" s="4">
        <f t="shared" si="373"/>
        <v>107.25</v>
      </c>
      <c r="EV145" s="4">
        <f t="shared" si="261"/>
        <v>3.3150409818642976E-5</v>
      </c>
      <c r="EW145" s="4">
        <f t="shared" si="389"/>
        <v>8.096349707281961</v>
      </c>
      <c r="EX145" s="4">
        <f t="shared" si="374"/>
        <v>572.47158002800847</v>
      </c>
      <c r="EY145" s="4">
        <f t="shared" si="375"/>
        <v>257.79845584350602</v>
      </c>
      <c r="EZ145" s="4">
        <f t="shared" si="376"/>
        <v>107.24999999999999</v>
      </c>
      <c r="FB145" s="4">
        <f t="shared" si="338"/>
        <v>0</v>
      </c>
      <c r="FG145" s="23">
        <f t="shared" si="339"/>
        <v>1</v>
      </c>
      <c r="FH145" s="23">
        <f t="shared" si="339"/>
        <v>1.4</v>
      </c>
      <c r="FI145" s="23">
        <f t="shared" si="382"/>
        <v>1.2</v>
      </c>
      <c r="FJ145" s="23">
        <f t="shared" si="340"/>
        <v>1.6</v>
      </c>
      <c r="FK145" s="23">
        <f t="shared" si="340"/>
        <v>1</v>
      </c>
      <c r="FL145" s="23">
        <f t="shared" si="340"/>
        <v>1</v>
      </c>
      <c r="FM145" s="23">
        <f t="shared" si="393"/>
        <v>0</v>
      </c>
      <c r="FN145" s="23"/>
      <c r="FX145" s="4">
        <f t="shared" si="263"/>
        <v>1.25</v>
      </c>
      <c r="FY145" s="4">
        <f t="shared" si="303"/>
        <v>0.67768622629572395</v>
      </c>
      <c r="FZ145" s="4">
        <f t="shared" si="265"/>
        <v>0.3</v>
      </c>
      <c r="GA145" s="4">
        <f t="shared" si="266"/>
        <v>468.61031811892383</v>
      </c>
    </row>
    <row r="146" spans="1:183" ht="12" hidden="1" customHeight="1" x14ac:dyDescent="0.3">
      <c r="A146" s="25">
        <v>128</v>
      </c>
      <c r="B146" s="24" t="s">
        <v>128</v>
      </c>
      <c r="C146" s="24">
        <v>2015</v>
      </c>
      <c r="D146" s="24" t="s">
        <v>293</v>
      </c>
      <c r="E146" s="24"/>
      <c r="F146" s="7" t="s">
        <v>152</v>
      </c>
      <c r="G146" s="7">
        <v>710</v>
      </c>
      <c r="H146" s="7">
        <f t="shared" si="315"/>
        <v>572</v>
      </c>
      <c r="I146" s="7">
        <f t="shared" si="344"/>
        <v>572</v>
      </c>
      <c r="J146" s="7">
        <v>62.9</v>
      </c>
      <c r="K146" s="7">
        <v>28.6</v>
      </c>
      <c r="L146" s="7">
        <v>20</v>
      </c>
      <c r="M146" s="7">
        <f t="shared" si="345"/>
        <v>20</v>
      </c>
      <c r="N146" s="7">
        <v>261</v>
      </c>
      <c r="O146" s="7">
        <f t="shared" si="346"/>
        <v>28.6</v>
      </c>
      <c r="P146" s="7"/>
      <c r="Q146" s="7">
        <f t="shared" si="378"/>
        <v>28.6</v>
      </c>
      <c r="R146" s="7">
        <v>2</v>
      </c>
      <c r="S146" s="7">
        <f t="shared" si="347"/>
        <v>58.2</v>
      </c>
      <c r="T146" s="7">
        <f t="shared" si="304"/>
        <v>1</v>
      </c>
      <c r="U146" s="7">
        <f t="shared" si="353"/>
        <v>1.5000000000000002</v>
      </c>
      <c r="V146" s="7">
        <f t="shared" si="348"/>
        <v>4</v>
      </c>
      <c r="W146" s="7">
        <f t="shared" si="354"/>
        <v>4</v>
      </c>
      <c r="X146" s="7">
        <v>5</v>
      </c>
      <c r="Y146" s="7">
        <f t="shared" si="352"/>
        <v>63.951544156493995</v>
      </c>
      <c r="Z146" s="7"/>
      <c r="AA146" s="7"/>
      <c r="AB146" s="7">
        <v>710</v>
      </c>
      <c r="AC146" s="7"/>
      <c r="AD146" s="7">
        <f t="shared" si="334"/>
        <v>1.0495656592307139</v>
      </c>
      <c r="AE146" s="7">
        <v>9.5</v>
      </c>
      <c r="AF146" s="7">
        <v>9</v>
      </c>
      <c r="AG146" s="7">
        <v>65</v>
      </c>
      <c r="AH146" s="7">
        <v>9</v>
      </c>
      <c r="AI146" s="7">
        <v>9</v>
      </c>
      <c r="AJ146" s="7">
        <f t="shared" si="398"/>
        <v>1.5251680311268359</v>
      </c>
      <c r="AK146" s="4">
        <f t="shared" si="279"/>
        <v>572</v>
      </c>
      <c r="AL146" s="46">
        <f t="shared" si="349"/>
        <v>3.1022299378942735E-2</v>
      </c>
      <c r="AM146" s="25">
        <f t="shared" si="268"/>
        <v>844.43732752846654</v>
      </c>
      <c r="AN146" s="4">
        <f t="shared" si="269"/>
        <v>0.71499999999999997</v>
      </c>
      <c r="AO146" s="4">
        <v>1.25</v>
      </c>
      <c r="AP146" s="25">
        <f t="shared" si="317"/>
        <v>5</v>
      </c>
      <c r="AQ146" s="38">
        <f>AL146*AN146*AO146*AP146*AM146</f>
        <v>117.06510700412386</v>
      </c>
      <c r="AR146" s="38">
        <f t="shared" si="272"/>
        <v>117.06510700412386</v>
      </c>
      <c r="AT146" s="38">
        <f t="shared" si="350"/>
        <v>117.06510700412382</v>
      </c>
      <c r="AU146" s="38">
        <f t="shared" si="243"/>
        <v>1.0000000000000004</v>
      </c>
      <c r="AV146" s="38">
        <f t="shared" si="328"/>
        <v>2.5790776408666707</v>
      </c>
      <c r="AW146" s="4">
        <f t="shared" si="323"/>
        <v>0</v>
      </c>
      <c r="AX146" s="4">
        <f t="shared" si="379"/>
        <v>834.83705511150959</v>
      </c>
      <c r="AY146" s="4">
        <f t="shared" si="380"/>
        <v>1.2000000000000002</v>
      </c>
      <c r="AZ146" s="38">
        <f t="shared" si="273"/>
        <v>301.92</v>
      </c>
      <c r="BA146" s="4">
        <f t="shared" si="381"/>
        <v>0.44000000000000006</v>
      </c>
      <c r="BB146" s="4">
        <f t="shared" si="244"/>
        <v>191.92903897013608</v>
      </c>
      <c r="BC146" s="4">
        <f t="shared" si="245"/>
        <v>493.84903897013612</v>
      </c>
      <c r="BE146" s="36">
        <f t="shared" si="312"/>
        <v>1.6863256140070761</v>
      </c>
      <c r="BF146" s="36">
        <f t="shared" si="313"/>
        <v>722.20504720262591</v>
      </c>
      <c r="BK146" s="4">
        <f t="shared" si="355"/>
        <v>20.700000000000003</v>
      </c>
      <c r="BL146" s="4">
        <f t="shared" si="356"/>
        <v>20.700000000000003</v>
      </c>
      <c r="BM146" s="4">
        <f t="shared" si="357"/>
        <v>58.2</v>
      </c>
      <c r="BN146" s="4">
        <f t="shared" si="358"/>
        <v>35</v>
      </c>
      <c r="BO146" s="4">
        <f t="shared" si="359"/>
        <v>1.181159420289855</v>
      </c>
      <c r="BP146" s="25">
        <f t="shared" si="274"/>
        <v>3.4014035908980222</v>
      </c>
      <c r="BR146" s="4">
        <f t="shared" si="331"/>
        <v>14.3</v>
      </c>
      <c r="BV146" s="9"/>
      <c r="BX146" s="9"/>
      <c r="BY146" s="9"/>
      <c r="BZ146" s="9">
        <f t="shared" si="383"/>
        <v>14.3</v>
      </c>
      <c r="CA146" s="9">
        <f t="shared" si="384"/>
        <v>28.6</v>
      </c>
      <c r="CB146" s="9">
        <f t="shared" si="248"/>
        <v>0.78458409789675088</v>
      </c>
      <c r="CC146" s="9">
        <v>20</v>
      </c>
      <c r="CD146" s="9">
        <f t="shared" si="306"/>
        <v>0.05</v>
      </c>
      <c r="CE146" s="9">
        <f t="shared" si="249"/>
        <v>0.8</v>
      </c>
      <c r="CF146" s="9">
        <f t="shared" si="385"/>
        <v>0.96044432035915817</v>
      </c>
      <c r="CG146" s="9">
        <f t="shared" si="386"/>
        <v>0.74299999999999999</v>
      </c>
      <c r="CH146" s="9">
        <f t="shared" si="250"/>
        <v>1.9808626966691243</v>
      </c>
      <c r="CI146" s="9">
        <f t="shared" si="251"/>
        <v>3.1388435292587697</v>
      </c>
      <c r="CJ146" s="9">
        <v>1</v>
      </c>
      <c r="CK146" s="9">
        <f t="shared" si="252"/>
        <v>439.43809409622776</v>
      </c>
      <c r="CM146" s="4">
        <f t="shared" si="341"/>
        <v>0.85046536405258744</v>
      </c>
      <c r="CN146" s="4">
        <f t="shared" si="342"/>
        <v>1.4376863048688344</v>
      </c>
      <c r="CO146" s="4">
        <f t="shared" si="390"/>
        <v>0.98310030198501008</v>
      </c>
      <c r="CP146" s="4">
        <f t="shared" si="335"/>
        <v>1.6156997072823751</v>
      </c>
      <c r="CQ146" s="4">
        <f t="shared" si="391"/>
        <v>1.0495656592307139</v>
      </c>
      <c r="CR146" s="4">
        <f t="shared" si="392"/>
        <v>1.0046444472606173</v>
      </c>
      <c r="CS146" s="4">
        <f t="shared" si="329"/>
        <v>1.1363386152860215</v>
      </c>
      <c r="DA146" s="4">
        <f t="shared" si="394"/>
        <v>0.85046536405258744</v>
      </c>
      <c r="DB146" s="4">
        <f t="shared" si="394"/>
        <v>1.4376863048688344</v>
      </c>
      <c r="DC146" s="4">
        <f t="shared" si="395"/>
        <v>1.6156997072823751</v>
      </c>
      <c r="DD146" s="4">
        <f t="shared" si="396"/>
        <v>1.1363386152860215</v>
      </c>
      <c r="DE146" s="4">
        <f t="shared" si="397"/>
        <v>1.0495656592307139</v>
      </c>
      <c r="DF146" s="4">
        <f t="shared" si="397"/>
        <v>1.0046444472606173</v>
      </c>
      <c r="DH146" s="4">
        <f t="shared" si="362"/>
        <v>9</v>
      </c>
      <c r="DI146" s="4">
        <f t="shared" si="363"/>
        <v>572</v>
      </c>
      <c r="DJ146" s="4">
        <f t="shared" si="364"/>
        <v>1</v>
      </c>
      <c r="DL146" s="4">
        <f t="shared" si="365"/>
        <v>4.4200546424857304E-5</v>
      </c>
      <c r="DM146" s="4">
        <f t="shared" si="366"/>
        <v>9.850377101520138</v>
      </c>
      <c r="DN146" s="4">
        <f t="shared" si="337"/>
        <v>0.11578031895106987</v>
      </c>
      <c r="DO146" s="4">
        <f t="shared" si="253"/>
        <v>4.158213207833894</v>
      </c>
      <c r="DP146" s="4">
        <f t="shared" si="254"/>
        <v>7.5683663322028245</v>
      </c>
      <c r="DQ146" s="4">
        <f t="shared" si="255"/>
        <v>6.790227666092334</v>
      </c>
      <c r="DR146" s="38">
        <f t="shared" si="275"/>
        <v>676.47030345905102</v>
      </c>
      <c r="DS146" s="4">
        <f t="shared" si="256"/>
        <v>1.0000820786886133</v>
      </c>
      <c r="DT146" s="4">
        <f t="shared" si="330"/>
        <v>2.2360679774997898</v>
      </c>
      <c r="DU146" s="4">
        <f t="shared" si="276"/>
        <v>117.06510700412382</v>
      </c>
      <c r="DY146" s="4">
        <f t="shared" si="387"/>
        <v>1</v>
      </c>
      <c r="DZ146" s="4">
        <f t="shared" si="257"/>
        <v>1</v>
      </c>
      <c r="EA146" s="4">
        <f t="shared" si="258"/>
        <v>0.7</v>
      </c>
      <c r="EB146" s="4">
        <f t="shared" si="259"/>
        <v>0.7</v>
      </c>
      <c r="ED146" s="4">
        <f t="shared" si="277"/>
        <v>706.71768697470054</v>
      </c>
      <c r="EE146" s="25">
        <f t="shared" si="351"/>
        <v>115.69506088349222</v>
      </c>
      <c r="EH146" s="4">
        <f t="shared" si="314"/>
        <v>9.850377101520138</v>
      </c>
      <c r="EI146" s="4">
        <f t="shared" si="367"/>
        <v>9.850377101520138</v>
      </c>
      <c r="EK146" s="4">
        <f t="shared" si="368"/>
        <v>63.951544156493995</v>
      </c>
      <c r="EL146" s="4">
        <f t="shared" si="369"/>
        <v>2.2360679774997898</v>
      </c>
      <c r="EM146" s="4">
        <f t="shared" si="370"/>
        <v>5.0210590596265252E-2</v>
      </c>
      <c r="EP146" s="4">
        <f t="shared" si="332"/>
        <v>5.0210590596265252E-2</v>
      </c>
      <c r="EQ146" s="4">
        <f t="shared" si="333"/>
        <v>0.11558710317725863</v>
      </c>
      <c r="ER146" s="4">
        <f t="shared" si="371"/>
        <v>4.1554361038080332</v>
      </c>
      <c r="ES146" s="4">
        <f t="shared" si="388"/>
        <v>7.5676210201178815</v>
      </c>
      <c r="ET146" s="4">
        <f t="shared" si="372"/>
        <v>365.04845584350602</v>
      </c>
      <c r="EU146" s="4">
        <f t="shared" si="373"/>
        <v>143</v>
      </c>
      <c r="EV146" s="4">
        <f t="shared" si="261"/>
        <v>4.4200546424857304E-5</v>
      </c>
      <c r="EW146" s="4">
        <f t="shared" si="389"/>
        <v>6.7905962854039981</v>
      </c>
      <c r="EX146" s="4">
        <f t="shared" si="374"/>
        <v>676.41478422060356</v>
      </c>
      <c r="EY146" s="4">
        <f t="shared" si="375"/>
        <v>365.04845584350602</v>
      </c>
      <c r="EZ146" s="4">
        <f t="shared" si="376"/>
        <v>143</v>
      </c>
      <c r="FB146" s="4">
        <f t="shared" si="338"/>
        <v>0</v>
      </c>
      <c r="FG146" s="23">
        <f t="shared" si="339"/>
        <v>1</v>
      </c>
      <c r="FH146" s="23">
        <f t="shared" si="339"/>
        <v>1.6</v>
      </c>
      <c r="FI146" s="23">
        <f t="shared" si="382"/>
        <v>1.2</v>
      </c>
      <c r="FJ146" s="23">
        <f t="shared" si="340"/>
        <v>1.8</v>
      </c>
      <c r="FK146" s="23">
        <f t="shared" si="340"/>
        <v>1.2</v>
      </c>
      <c r="FL146" s="23">
        <f t="shared" si="340"/>
        <v>1.2</v>
      </c>
      <c r="FM146" s="23">
        <f t="shared" si="393"/>
        <v>0</v>
      </c>
      <c r="FN146" s="23"/>
      <c r="FX146" s="4">
        <f t="shared" si="263"/>
        <v>1.25</v>
      </c>
      <c r="FY146" s="4">
        <f t="shared" si="303"/>
        <v>0.67768622629572395</v>
      </c>
      <c r="FZ146" s="4">
        <f t="shared" si="265"/>
        <v>0.3</v>
      </c>
      <c r="GA146" s="4">
        <f t="shared" si="266"/>
        <v>624.81375749189851</v>
      </c>
    </row>
    <row r="147" spans="1:183" ht="12" hidden="1" customHeight="1" x14ac:dyDescent="0.3">
      <c r="A147" s="25">
        <v>129</v>
      </c>
      <c r="B147" s="24" t="s">
        <v>605</v>
      </c>
      <c r="C147" s="24">
        <v>2016</v>
      </c>
      <c r="D147" s="24" t="s">
        <v>199</v>
      </c>
      <c r="E147" s="24"/>
      <c r="F147" s="7" t="s">
        <v>646</v>
      </c>
      <c r="G147" s="38">
        <f>119.8/0.145</f>
        <v>826.20689655172418</v>
      </c>
      <c r="H147" s="38">
        <f>12*25.4</f>
        <v>304.79999999999995</v>
      </c>
      <c r="I147" s="4">
        <f>H147</f>
        <v>304.79999999999995</v>
      </c>
      <c r="J147" s="38">
        <f>6330/145</f>
        <v>43.655172413793103</v>
      </c>
      <c r="K147" s="38">
        <f>0.75*25.4</f>
        <v>19.049999999999997</v>
      </c>
      <c r="L147" s="7">
        <f>H147/K147</f>
        <v>16</v>
      </c>
      <c r="M147" s="7">
        <f>I147/K147</f>
        <v>16</v>
      </c>
      <c r="N147" s="38">
        <f>18*25.4</f>
        <v>457.2</v>
      </c>
      <c r="O147" s="38">
        <f>2*25.4</f>
        <v>50.8</v>
      </c>
      <c r="P147" s="21">
        <f>(6-0.5-2*0.75)*25.4</f>
        <v>101.6</v>
      </c>
      <c r="Q147" s="21">
        <f>(0.5)*25.4</f>
        <v>12.7</v>
      </c>
      <c r="R147" s="38">
        <v>3</v>
      </c>
      <c r="S147" s="38">
        <f>2*25.4</f>
        <v>50.8</v>
      </c>
      <c r="T147" s="7">
        <f>MIN(Q147/K147/2+0.5, (S147+K147/2)/K147, O147/K147+0.5)</f>
        <v>0.83333333333333337</v>
      </c>
      <c r="U147" s="7">
        <f>MIN(S147/K147+0.5, (O147+K147/2)/K147)</f>
        <v>3.166666666666667</v>
      </c>
      <c r="V147" s="38">
        <v>4</v>
      </c>
      <c r="W147" s="4">
        <f>V147</f>
        <v>4</v>
      </c>
      <c r="X147" s="4">
        <f>W147+1</f>
        <v>5</v>
      </c>
      <c r="Y147" s="7">
        <f t="shared" si="352"/>
        <v>42.597094971370993</v>
      </c>
      <c r="Z147" s="7"/>
      <c r="AA147" s="7"/>
      <c r="AB147" s="38">
        <f t="shared" ref="AB147:AB152" si="399">AC147/0.145</f>
        <v>573.79310344827593</v>
      </c>
      <c r="AC147" s="4">
        <v>83.2</v>
      </c>
      <c r="AD147" s="7">
        <f t="shared" si="334"/>
        <v>0.98217058503586896</v>
      </c>
      <c r="AE147" s="7"/>
      <c r="AF147" s="7"/>
      <c r="AG147" s="7">
        <v>1</v>
      </c>
      <c r="AH147" s="7"/>
      <c r="AI147" s="7"/>
      <c r="AJ147" s="7">
        <f t="shared" si="398"/>
        <v>0</v>
      </c>
      <c r="AK147" s="4">
        <f t="shared" si="279"/>
        <v>304.79999999999995</v>
      </c>
      <c r="AL147" s="47">
        <f>MIN(N147)*(MIN(360-S147-0.5*K147,1.5*AK147)+S147+K147/2)/(3*H147)^2</f>
        <v>0.19685039370078747</v>
      </c>
      <c r="AM147" s="25">
        <f t="shared" si="268"/>
        <v>411.18683539092382</v>
      </c>
      <c r="AN147" s="4">
        <f t="shared" si="269"/>
        <v>0.73958333333333326</v>
      </c>
      <c r="AO147" s="4">
        <v>1.25</v>
      </c>
      <c r="AP147" s="25">
        <f t="shared" si="317"/>
        <v>5</v>
      </c>
      <c r="AQ147" s="38">
        <f>AL147*AN147*AO147*AP147*AM147</f>
        <v>374.14730603002477</v>
      </c>
      <c r="AR147" s="38">
        <f t="shared" si="272"/>
        <v>374.14730603002477</v>
      </c>
      <c r="AT147" s="38">
        <f>AP147* (J147^0.5/AK147^0.5)/(PI()/4*K147^2)/R147/0.72 *(0.7+(MIN(O147,S147)+0.5*K147)/5/H147) *(N147*MIN(S147+0.5*K147+1.5*H147,360))</f>
        <v>374.14730603002448</v>
      </c>
      <c r="AU147" s="38">
        <f t="shared" ref="AU147:AU210" si="400">AQ147/AT147</f>
        <v>1.0000000000000007</v>
      </c>
      <c r="AV147" s="38">
        <f t="shared" si="328"/>
        <v>0.77786069301609739</v>
      </c>
      <c r="AW147" s="4">
        <f t="shared" si="323"/>
        <v>1</v>
      </c>
      <c r="AX147" s="4">
        <f t="shared" si="379"/>
        <v>556.39630294068945</v>
      </c>
      <c r="AY147" s="4">
        <f t="shared" si="380"/>
        <v>2</v>
      </c>
      <c r="AZ147" s="38">
        <f t="shared" si="273"/>
        <v>291.0344827586207</v>
      </c>
      <c r="BA147" s="4">
        <f t="shared" si="381"/>
        <v>0.44000000000000006</v>
      </c>
      <c r="BB147" s="4">
        <f t="shared" ref="BB147:BB210" si="401">BA147*G147*I147/(G147*K147/2.75/J147^0.5)</f>
        <v>127.91551004606451</v>
      </c>
      <c r="BC147" s="4">
        <f t="shared" ref="BC147:BC210" si="402">AZ147+BB147</f>
        <v>418.94999280468522</v>
      </c>
      <c r="BE147" s="36">
        <f t="shared" si="312"/>
        <v>1.2083333333333333</v>
      </c>
      <c r="BF147" s="36">
        <f t="shared" si="313"/>
        <v>380.02447070331317</v>
      </c>
      <c r="BK147" s="4">
        <f t="shared" si="355"/>
        <v>12.75</v>
      </c>
      <c r="BL147" s="4">
        <f t="shared" si="356"/>
        <v>12.75</v>
      </c>
      <c r="BM147" s="4">
        <f t="shared" si="357"/>
        <v>50.8</v>
      </c>
      <c r="BN147" s="4">
        <f t="shared" si="358"/>
        <v>22.274999999999999</v>
      </c>
      <c r="BO147" s="4">
        <f t="shared" si="359"/>
        <v>1.25</v>
      </c>
      <c r="BP147" s="25">
        <f t="shared" si="274"/>
        <v>1.4616141732283467</v>
      </c>
      <c r="BR147" s="4">
        <f t="shared" si="331"/>
        <v>6.35</v>
      </c>
      <c r="BV147" s="9"/>
      <c r="BX147" s="9"/>
      <c r="BY147" s="9"/>
      <c r="BZ147" s="9">
        <f t="shared" si="383"/>
        <v>6.35</v>
      </c>
      <c r="CA147" s="9">
        <f t="shared" si="384"/>
        <v>50.8</v>
      </c>
      <c r="CB147" s="9">
        <f t="shared" ref="CB147:CB210" si="403">(BZ147/K147)^0.5*(CA147/BZ147)^0.15</f>
        <v>0.78868370996101578</v>
      </c>
      <c r="CC147" s="9">
        <v>20</v>
      </c>
      <c r="CD147" s="9">
        <f t="shared" si="306"/>
        <v>0</v>
      </c>
      <c r="CE147" s="9">
        <f t="shared" ref="CE147:CE210" si="404">MAX(0,CC147*(CD147-0.5/50))</f>
        <v>0</v>
      </c>
      <c r="CF147" s="9">
        <f t="shared" si="385"/>
        <v>1</v>
      </c>
      <c r="CG147" s="9">
        <f t="shared" si="386"/>
        <v>0.68</v>
      </c>
      <c r="CH147" s="9">
        <f t="shared" ref="CH147:CH210" si="405">1.75*CF147*CG147*(J147/25)^0.5</f>
        <v>1.5725150511861237</v>
      </c>
      <c r="CI147" s="9">
        <f t="shared" ref="CI147:CI210" si="406">MIN((CB147+CE147)*CH147,2.5*CH147,J147^0.5)</f>
        <v>1.2402170045390086</v>
      </c>
      <c r="CJ147" s="9">
        <v>1</v>
      </c>
      <c r="CK147" s="9">
        <f t="shared" ref="CK147:CK210" si="407">4*CI147*M147+60*CI147</f>
        <v>153.78690856283708</v>
      </c>
      <c r="CM147" s="4">
        <f t="shared" si="341"/>
        <v>1.0312669232625022</v>
      </c>
      <c r="CN147" s="4">
        <f t="shared" si="342"/>
        <v>1.3695980744789717</v>
      </c>
      <c r="CO147" s="4">
        <f t="shared" si="390"/>
        <v>1.509884619762391</v>
      </c>
      <c r="CP147" s="4">
        <f t="shared" si="335"/>
        <v>3.7310919948288381</v>
      </c>
      <c r="CQ147" s="4">
        <f t="shared" si="391"/>
        <v>0.98217058503586896</v>
      </c>
      <c r="CR147" s="4">
        <f t="shared" si="392"/>
        <v>1.0330895299523886</v>
      </c>
      <c r="CS147" s="4">
        <f t="shared" si="329"/>
        <v>1.5566949833453998</v>
      </c>
      <c r="DA147" s="4">
        <f t="shared" si="394"/>
        <v>1.0312669232625022</v>
      </c>
      <c r="DB147" s="4">
        <f t="shared" si="394"/>
        <v>1.3695980744789717</v>
      </c>
      <c r="DC147" s="4">
        <f t="shared" si="395"/>
        <v>3.7310919948288381</v>
      </c>
      <c r="DD147" s="4">
        <f t="shared" si="396"/>
        <v>1.5566949833453998</v>
      </c>
      <c r="DE147" s="4">
        <f t="shared" si="397"/>
        <v>0.98217058503586896</v>
      </c>
      <c r="DF147" s="4">
        <f t="shared" si="397"/>
        <v>1.0330895299523886</v>
      </c>
      <c r="DH147" s="4">
        <f t="shared" si="362"/>
        <v>0</v>
      </c>
      <c r="DI147" s="4">
        <f t="shared" si="363"/>
        <v>304.79999999999995</v>
      </c>
      <c r="DJ147" s="4">
        <f t="shared" si="364"/>
        <v>1</v>
      </c>
      <c r="DL147" s="4">
        <f t="shared" si="365"/>
        <v>3.1342636205669919E-5</v>
      </c>
      <c r="DM147" s="4">
        <f t="shared" si="366"/>
        <v>3.8789363481980437</v>
      </c>
      <c r="DN147" s="4">
        <f t="shared" si="337"/>
        <v>0.35513525052023837</v>
      </c>
      <c r="DO147" s="4">
        <f t="shared" ref="DO147:DO152" si="408">DM147*DN147^0.4</f>
        <v>2.5637174885558873</v>
      </c>
      <c r="DP147" s="4">
        <f t="shared" ref="DP147:DP152" si="409">MIN(DM147, DM147/1.4*(1-DN147^1.4)/(1-DN147))</f>
        <v>3.2880315468491821</v>
      </c>
      <c r="DQ147" s="4">
        <f t="shared" ref="DQ147:DQ152" si="410">MAX(DM147/2, (4-DL147*(8*Y147*(DO147-DP147)+6*H147*DP147))/(4+DL147*H147*DM147)*DM147)</f>
        <v>3.6696783450107433</v>
      </c>
      <c r="DR147" s="38">
        <f t="shared" si="275"/>
        <v>584.20921191334696</v>
      </c>
      <c r="DS147" s="4">
        <f t="shared" ref="DS147:DS210" si="411">DR147/EX147</f>
        <v>1.0000694336744724</v>
      </c>
      <c r="DT147" s="4">
        <f t="shared" si="330"/>
        <v>2.2360679774997898</v>
      </c>
      <c r="DU147" s="4">
        <f t="shared" si="276"/>
        <v>374.14730603002448</v>
      </c>
      <c r="DY147" s="4">
        <f t="shared" si="387"/>
        <v>0.85</v>
      </c>
      <c r="DZ147" s="4">
        <f t="shared" ref="DZ147:DZ210" si="412">MIN(1,MAX(0.7,(1-0.1*(BR147-1*K147)/K147)))</f>
        <v>1</v>
      </c>
      <c r="EA147" s="4">
        <f t="shared" ref="EA147:EA164" si="413">MIN(1,MAX(0.7,1-0.3*(PI()*AE147^2/4*AF147*2-0.25*PI()/4*K147^2)/(PI()/4*K147^2)))</f>
        <v>1</v>
      </c>
      <c r="EB147" s="4">
        <f t="shared" ref="EB147:EB210" si="414">IF(DZ147*EA147&lt;0.7,0.7,DZ147*EA147)</f>
        <v>1</v>
      </c>
      <c r="ED147" s="4">
        <f t="shared" si="277"/>
        <v>555.41469234977149</v>
      </c>
      <c r="EE147" s="25">
        <f>8.8*N147*360*J147^0.5/R147/K147^2/H147^0.5*(0.7+MIN(S147,O147)/5/H147)</f>
        <v>369.2257476362654</v>
      </c>
      <c r="EH147" s="4">
        <f t="shared" si="314"/>
        <v>3.8789363481980437</v>
      </c>
      <c r="EI147" s="4">
        <f t="shared" si="367"/>
        <v>3.8789363481980437</v>
      </c>
      <c r="EK147" s="4">
        <f t="shared" si="368"/>
        <v>42.597094971370993</v>
      </c>
      <c r="EL147" s="4">
        <f t="shared" si="369"/>
        <v>2.2360679774997898</v>
      </c>
      <c r="EM147" s="4">
        <f t="shared" si="370"/>
        <v>0.12830598100215107</v>
      </c>
      <c r="EP147" s="4">
        <f t="shared" si="332"/>
        <v>0.12830598100215107</v>
      </c>
      <c r="EQ147" s="4">
        <f t="shared" si="333"/>
        <v>0.35454259597533333</v>
      </c>
      <c r="ER147" s="4">
        <f t="shared" si="371"/>
        <v>2.5620052843463426</v>
      </c>
      <c r="ES147" s="4">
        <f t="shared" si="388"/>
        <v>3.2873657007314261</v>
      </c>
      <c r="ET147" s="4">
        <f t="shared" si="372"/>
        <v>186.00290502862896</v>
      </c>
      <c r="EU147" s="4">
        <f t="shared" si="373"/>
        <v>76.199999999999989</v>
      </c>
      <c r="EV147" s="4">
        <f t="shared" ref="EV147:EV210" si="415">EU147/(1-0.3*(J147/30)^0.5)/200000/K147</f>
        <v>3.1342636205669919E-5</v>
      </c>
      <c r="EW147" s="4">
        <f t="shared" si="389"/>
        <v>3.6697257543228932</v>
      </c>
      <c r="EX147" s="4">
        <f t="shared" si="374"/>
        <v>584.1686509374008</v>
      </c>
      <c r="EY147" s="4">
        <f t="shared" si="375"/>
        <v>186.00290502862896</v>
      </c>
      <c r="EZ147" s="4">
        <f t="shared" si="376"/>
        <v>76.2</v>
      </c>
      <c r="FB147" s="4">
        <f t="shared" si="338"/>
        <v>0</v>
      </c>
      <c r="FG147" s="23">
        <f t="shared" si="339"/>
        <v>1.2</v>
      </c>
      <c r="FH147" s="23">
        <f t="shared" si="339"/>
        <v>1.4</v>
      </c>
      <c r="FI147" s="23">
        <f t="shared" si="382"/>
        <v>1.6</v>
      </c>
      <c r="FJ147" s="23">
        <f t="shared" si="340"/>
        <v>2.2000000000000002</v>
      </c>
      <c r="FK147" s="23">
        <f t="shared" si="340"/>
        <v>1</v>
      </c>
      <c r="FL147" s="23">
        <f t="shared" si="340"/>
        <v>1.2</v>
      </c>
      <c r="FM147" s="23">
        <f t="shared" si="393"/>
        <v>0</v>
      </c>
      <c r="FN147" s="23"/>
      <c r="FX147" s="4">
        <f t="shared" ref="FX147:FX210" si="416">IF(O147&gt;=2.5*25.4,1,1.25)</f>
        <v>1.25</v>
      </c>
      <c r="FY147" s="4">
        <f t="shared" si="303"/>
        <v>1.0277777777777777</v>
      </c>
      <c r="FZ147" s="4">
        <f t="shared" ref="FZ147:FZ210" si="417">MIN(0.3, AE147^2*PI()/4*2*AH147/(K147^2*PI()/4*R147))</f>
        <v>0</v>
      </c>
      <c r="GA147" s="4">
        <f t="shared" ref="GA147:GA210" si="418">(H147/25.4)/(K147/25.4)^1.5/0.0024*(J147*145)^0.25/FX147/FY147/145</f>
        <v>368.59700171652867</v>
      </c>
    </row>
    <row r="148" spans="1:183" ht="12" hidden="1" customHeight="1" x14ac:dyDescent="0.3">
      <c r="A148" s="25">
        <v>130</v>
      </c>
      <c r="B148" s="24" t="s">
        <v>605</v>
      </c>
      <c r="C148" s="24">
        <v>2016</v>
      </c>
      <c r="D148" s="24" t="s">
        <v>199</v>
      </c>
      <c r="E148" s="24"/>
      <c r="F148" s="7" t="s">
        <v>647</v>
      </c>
      <c r="G148" s="38">
        <f t="shared" ref="G148:G152" si="419">119.8/0.145</f>
        <v>826.20689655172418</v>
      </c>
      <c r="H148" s="38">
        <f t="shared" ref="H148:H152" si="420">12*25.4</f>
        <v>304.79999999999995</v>
      </c>
      <c r="I148" s="7">
        <f t="shared" ref="I148:I152" si="421">H148</f>
        <v>304.79999999999995</v>
      </c>
      <c r="J148" s="38">
        <f t="shared" ref="J148:J149" si="422">6330/145</f>
        <v>43.655172413793103</v>
      </c>
      <c r="K148" s="38">
        <f t="shared" ref="K148:K152" si="423">0.75*25.4</f>
        <v>19.049999999999997</v>
      </c>
      <c r="L148" s="7">
        <f t="shared" ref="L148:L164" si="424">H148/K148</f>
        <v>16</v>
      </c>
      <c r="M148" s="7">
        <f t="shared" ref="M148:M164" si="425">I148/K148</f>
        <v>16</v>
      </c>
      <c r="N148" s="38">
        <f>18.1*25.4</f>
        <v>459.74</v>
      </c>
      <c r="O148" s="38">
        <f t="shared" ref="O148:O152" si="426">2*25.4</f>
        <v>50.8</v>
      </c>
      <c r="P148" s="21">
        <f>(5.8-1-2*0.75)*25.4</f>
        <v>83.82</v>
      </c>
      <c r="Q148" s="21">
        <f>(1)*25.4</f>
        <v>25.4</v>
      </c>
      <c r="R148" s="38">
        <v>3</v>
      </c>
      <c r="S148" s="38">
        <f t="shared" ref="S148:S152" si="427">2*25.4</f>
        <v>50.8</v>
      </c>
      <c r="T148" s="7">
        <f t="shared" ref="T148:T152" si="428">MIN(Q148/K148/2+0.5, (S148+K148/2)/K148, O148/K148+0.5)</f>
        <v>1.1666666666666667</v>
      </c>
      <c r="U148" s="7">
        <f t="shared" ref="U148:U152" si="429">MIN(S148/K148+0.5, (O148+K148/2)/K148)</f>
        <v>3.166666666666667</v>
      </c>
      <c r="V148" s="38">
        <v>4</v>
      </c>
      <c r="W148" s="7">
        <f t="shared" ref="W148:W152" si="430">MIN(W$16,V148)</f>
        <v>4</v>
      </c>
      <c r="X148" s="4">
        <f t="shared" ref="X148:X211" si="431">W148+1</f>
        <v>5</v>
      </c>
      <c r="Y148" s="7">
        <f t="shared" si="352"/>
        <v>42.597094971370993</v>
      </c>
      <c r="Z148" s="7"/>
      <c r="AA148" s="7"/>
      <c r="AB148" s="38">
        <f t="shared" si="399"/>
        <v>621.37931034482756</v>
      </c>
      <c r="AC148" s="4">
        <v>90.1</v>
      </c>
      <c r="AD148" s="7">
        <f t="shared" si="334"/>
        <v>0.99040992596962307</v>
      </c>
      <c r="AE148" s="7"/>
      <c r="AF148" s="7"/>
      <c r="AG148" s="7">
        <v>1</v>
      </c>
      <c r="AH148" s="7"/>
      <c r="AI148" s="7"/>
      <c r="AJ148" s="7">
        <f t="shared" si="398"/>
        <v>0</v>
      </c>
      <c r="AK148" s="4">
        <f t="shared" si="279"/>
        <v>304.79999999999995</v>
      </c>
      <c r="AL148" s="47">
        <f t="shared" ref="AL148:AL152" si="432">MIN(N148)*(MIN(360-S148-0.5*K148,1.5*AK148)+S148+K148/2)/(3*H148)^2</f>
        <v>0.19794400699912515</v>
      </c>
      <c r="AM148" s="25">
        <f t="shared" ref="AM148:AM152" si="433">MIN(10*J148^0.5*AK148^1.5,100*3.9*J148^0.5*AK148^(5/3))/(PI()/4*K148^2)/R148</f>
        <v>411.18683539092382</v>
      </c>
      <c r="AN148" s="4">
        <f t="shared" ref="AN148:AN152" si="434">MIN(0.7+0.3*(MIN(O148,S148)+0.5*K148)/1.5/H148,1)</f>
        <v>0.73958333333333326</v>
      </c>
      <c r="AO148" s="4">
        <v>1.25</v>
      </c>
      <c r="AP148" s="25">
        <f t="shared" si="317"/>
        <v>5</v>
      </c>
      <c r="AQ148" s="38">
        <f t="shared" ref="AQ148:AQ152" si="435">AL148*AN148*AO148*AP148*AM148</f>
        <v>376.22590217463596</v>
      </c>
      <c r="AR148" s="38">
        <f t="shared" ref="AR148:AR152" si="436">AQ148</f>
        <v>376.22590217463596</v>
      </c>
      <c r="AT148" s="38">
        <f t="shared" ref="AT148:AT152" si="437">AP148* (J148^0.5/AK148^0.5)/(PI()/4*K148^2)/R148/0.72 *(0.7+(MIN(O148,S148)+0.5*K148)/5/H148) *(N148*MIN(S148+0.5*K148+1.5*H148,360))</f>
        <v>376.22590217463573</v>
      </c>
      <c r="AU148" s="38">
        <f t="shared" si="400"/>
        <v>1.0000000000000007</v>
      </c>
      <c r="AV148" s="38">
        <f t="shared" si="328"/>
        <v>0.91280448174927686</v>
      </c>
      <c r="AW148" s="4">
        <f t="shared" si="323"/>
        <v>1</v>
      </c>
      <c r="AX148" s="4">
        <f t="shared" si="379"/>
        <v>556.39630294068945</v>
      </c>
      <c r="AY148" s="4">
        <f t="shared" si="380"/>
        <v>1.6857142857142859</v>
      </c>
      <c r="AZ148" s="38">
        <f t="shared" ref="AZ148:AZ211" si="438">2*J148*T148*V148^0.5*AY148*0.7/0.7</f>
        <v>343.42068965517251</v>
      </c>
      <c r="BA148" s="4">
        <f t="shared" si="381"/>
        <v>0.44000000000000006</v>
      </c>
      <c r="BB148" s="4">
        <f t="shared" si="401"/>
        <v>127.91551004606451</v>
      </c>
      <c r="BC148" s="4">
        <f t="shared" si="402"/>
        <v>471.33619970123704</v>
      </c>
      <c r="BE148" s="36">
        <f t="shared" si="312"/>
        <v>1.1366666666666669</v>
      </c>
      <c r="BF148" s="36">
        <f t="shared" si="313"/>
        <v>357.48508830297885</v>
      </c>
      <c r="BK148" s="4">
        <f t="shared" si="355"/>
        <v>19.100000000000001</v>
      </c>
      <c r="BL148" s="4">
        <f t="shared" si="356"/>
        <v>19.100000000000001</v>
      </c>
      <c r="BM148" s="4">
        <f t="shared" si="357"/>
        <v>50.8</v>
      </c>
      <c r="BN148" s="4">
        <f t="shared" si="358"/>
        <v>28.625</v>
      </c>
      <c r="BO148" s="4">
        <f t="shared" si="359"/>
        <v>1.1659685863874345</v>
      </c>
      <c r="BP148" s="25">
        <f t="shared" ref="BP148:BP152" si="439">MIN(4, (BN148*BO148+(6*J148^0.5*(0.03*K148+0.22)*(AE148^2/4*PI())*2/AG148/R148))/K148)</f>
        <v>1.7520131645847936</v>
      </c>
      <c r="BR148" s="4">
        <f t="shared" si="331"/>
        <v>12.7</v>
      </c>
      <c r="BV148" s="9"/>
      <c r="BX148" s="9"/>
      <c r="BY148" s="9"/>
      <c r="BZ148" s="9">
        <f t="shared" si="383"/>
        <v>12.7</v>
      </c>
      <c r="CA148" s="9">
        <f t="shared" si="384"/>
        <v>50.8</v>
      </c>
      <c r="CB148" s="9">
        <f t="shared" si="403"/>
        <v>1.0052252041243952</v>
      </c>
      <c r="CC148" s="9">
        <v>20</v>
      </c>
      <c r="CD148" s="9">
        <f t="shared" si="306"/>
        <v>0</v>
      </c>
      <c r="CE148" s="9">
        <f t="shared" si="404"/>
        <v>0</v>
      </c>
      <c r="CF148" s="9">
        <f t="shared" si="385"/>
        <v>1</v>
      </c>
      <c r="CG148" s="9">
        <f t="shared" si="386"/>
        <v>0.68</v>
      </c>
      <c r="CH148" s="9">
        <f t="shared" si="405"/>
        <v>1.5725150511861237</v>
      </c>
      <c r="CI148" s="9">
        <f t="shared" si="406"/>
        <v>1.5807317633172548</v>
      </c>
      <c r="CJ148" s="9">
        <v>1</v>
      </c>
      <c r="CK148" s="9">
        <f t="shared" si="407"/>
        <v>196.01073865133961</v>
      </c>
      <c r="CM148" s="4">
        <f t="shared" si="341"/>
        <v>1.1167926656965317</v>
      </c>
      <c r="CN148" s="4">
        <f t="shared" si="342"/>
        <v>1.3183356396956087</v>
      </c>
      <c r="CO148" s="4">
        <f t="shared" si="390"/>
        <v>1.7381964470031006</v>
      </c>
      <c r="CP148" s="4">
        <f t="shared" si="335"/>
        <v>3.1701289154882781</v>
      </c>
      <c r="CQ148" s="4">
        <f t="shared" si="391"/>
        <v>0.99040992596962307</v>
      </c>
      <c r="CR148" s="4">
        <f t="shared" si="392"/>
        <v>1.0452859834815846</v>
      </c>
      <c r="CS148" s="4">
        <f t="shared" si="329"/>
        <v>1.5946717872855112</v>
      </c>
      <c r="DA148" s="4">
        <f t="shared" si="394"/>
        <v>1.1167926656965317</v>
      </c>
      <c r="DB148" s="4">
        <f t="shared" si="394"/>
        <v>1.3183356396956087</v>
      </c>
      <c r="DC148" s="4">
        <f t="shared" si="395"/>
        <v>3.1701289154882781</v>
      </c>
      <c r="DD148" s="4">
        <f t="shared" si="396"/>
        <v>1.5946717872855112</v>
      </c>
      <c r="DE148" s="4">
        <f t="shared" si="397"/>
        <v>0.99040992596962307</v>
      </c>
      <c r="DF148" s="4">
        <f t="shared" si="397"/>
        <v>1.0452859834815846</v>
      </c>
      <c r="DH148" s="4">
        <f t="shared" si="362"/>
        <v>0</v>
      </c>
      <c r="DI148" s="4">
        <f t="shared" si="363"/>
        <v>304.79999999999995</v>
      </c>
      <c r="DJ148" s="4">
        <f t="shared" si="364"/>
        <v>1</v>
      </c>
      <c r="DL148" s="4">
        <f t="shared" si="365"/>
        <v>3.1342636205669919E-5</v>
      </c>
      <c r="DM148" s="4">
        <f t="shared" si="366"/>
        <v>4.6496179847646513</v>
      </c>
      <c r="DN148" s="4">
        <f t="shared" si="337"/>
        <v>0.35710822413423976</v>
      </c>
      <c r="DO148" s="4">
        <f t="shared" si="408"/>
        <v>3.0799042372107639</v>
      </c>
      <c r="DP148" s="4">
        <f t="shared" si="409"/>
        <v>3.9439640269273464</v>
      </c>
      <c r="DQ148" s="4">
        <f t="shared" si="410"/>
        <v>4.349268467956561</v>
      </c>
      <c r="DR148" s="38">
        <f t="shared" ref="DR148:DR164" si="440">MIN(1/K148*(4*Y148*(DO148-DP148)+(3*DP148+DQ148)*H148)+DU148 -FB148,MAX(G148,AB148))</f>
        <v>627.39608524873154</v>
      </c>
      <c r="DS148" s="4">
        <f t="shared" si="411"/>
        <v>1.000077464150948</v>
      </c>
      <c r="DT148" s="4">
        <f t="shared" si="330"/>
        <v>2.2360679774997898</v>
      </c>
      <c r="DU148" s="4">
        <f t="shared" ref="DU148:DU211" si="441">MIN(DT$10*AT148)</f>
        <v>376.22590217463573</v>
      </c>
      <c r="DY148" s="4">
        <f t="shared" si="387"/>
        <v>0.85</v>
      </c>
      <c r="DZ148" s="4">
        <f t="shared" si="412"/>
        <v>1</v>
      </c>
      <c r="EA148" s="4">
        <f t="shared" si="413"/>
        <v>1</v>
      </c>
      <c r="EB148" s="4">
        <f t="shared" si="414"/>
        <v>1</v>
      </c>
      <c r="ED148" s="4">
        <f t="shared" ref="ED148:ED152" si="442">MIN(DM148/K148*3*H148+EE148-FB148,MAX(G148,AB148))</f>
        <v>594.45866505850336</v>
      </c>
      <c r="EE148" s="25">
        <f t="shared" ref="EE148:EE152" si="443">8.8*N148*360*J148^0.5/R148/K148^2/H148^0.5*(0.7+MIN(S148,O148)/5/H148)</f>
        <v>371.27700178980012</v>
      </c>
      <c r="EH148" s="4">
        <f t="shared" si="314"/>
        <v>4.6496179847646513</v>
      </c>
      <c r="EI148" s="4">
        <f t="shared" si="367"/>
        <v>4.6496179847646513</v>
      </c>
      <c r="EK148" s="4">
        <f t="shared" si="368"/>
        <v>42.597094971370993</v>
      </c>
      <c r="EL148" s="4">
        <f t="shared" si="369"/>
        <v>2.2360679774997898</v>
      </c>
      <c r="EM148" s="4">
        <f t="shared" si="370"/>
        <v>0.12901879200771857</v>
      </c>
      <c r="EP148" s="4">
        <f t="shared" si="332"/>
        <v>0.12901879200771857</v>
      </c>
      <c r="EQ148" s="4">
        <f t="shared" si="333"/>
        <v>0.35651227706408517</v>
      </c>
      <c r="ER148" s="4">
        <f t="shared" si="371"/>
        <v>3.0778472925499387</v>
      </c>
      <c r="ES148" s="4">
        <f t="shared" si="388"/>
        <v>3.9431628512491677</v>
      </c>
      <c r="ET148" s="4">
        <f t="shared" si="372"/>
        <v>186.00290502862896</v>
      </c>
      <c r="EU148" s="4">
        <f t="shared" si="373"/>
        <v>76.199999999999989</v>
      </c>
      <c r="EV148" s="4">
        <f t="shared" si="415"/>
        <v>3.1342636205669919E-5</v>
      </c>
      <c r="EW148" s="4">
        <f t="shared" si="389"/>
        <v>4.3493366824102093</v>
      </c>
      <c r="EX148" s="4">
        <f t="shared" si="374"/>
        <v>627.34748830820035</v>
      </c>
      <c r="EY148" s="4">
        <f t="shared" si="375"/>
        <v>186.00290502862896</v>
      </c>
      <c r="EZ148" s="4">
        <f t="shared" si="376"/>
        <v>76.2</v>
      </c>
      <c r="FB148" s="4">
        <f t="shared" si="338"/>
        <v>0</v>
      </c>
      <c r="FG148" s="23">
        <f t="shared" si="339"/>
        <v>1.2</v>
      </c>
      <c r="FH148" s="23">
        <f t="shared" si="339"/>
        <v>1.4</v>
      </c>
      <c r="FI148" s="23">
        <f t="shared" si="382"/>
        <v>1.6</v>
      </c>
      <c r="FJ148" s="23">
        <f t="shared" si="340"/>
        <v>2.2000000000000002</v>
      </c>
      <c r="FK148" s="23">
        <f t="shared" si="340"/>
        <v>1</v>
      </c>
      <c r="FL148" s="23">
        <f t="shared" si="340"/>
        <v>1.2</v>
      </c>
      <c r="FM148" s="23">
        <f t="shared" si="393"/>
        <v>0</v>
      </c>
      <c r="FN148" s="23"/>
      <c r="FX148" s="4">
        <f t="shared" si="416"/>
        <v>1.25</v>
      </c>
      <c r="FY148" s="4">
        <f t="shared" si="303"/>
        <v>0.9722222222222221</v>
      </c>
      <c r="FZ148" s="4">
        <f t="shared" si="417"/>
        <v>0</v>
      </c>
      <c r="GA148" s="4">
        <f t="shared" si="418"/>
        <v>389.65968752890177</v>
      </c>
    </row>
    <row r="149" spans="1:183" ht="12" hidden="1" customHeight="1" x14ac:dyDescent="0.3">
      <c r="A149" s="25">
        <v>131</v>
      </c>
      <c r="B149" s="24" t="s">
        <v>605</v>
      </c>
      <c r="C149" s="24">
        <v>2016</v>
      </c>
      <c r="D149" s="24" t="s">
        <v>199</v>
      </c>
      <c r="E149" s="24"/>
      <c r="F149" s="7" t="s">
        <v>648</v>
      </c>
      <c r="G149" s="38">
        <f t="shared" si="419"/>
        <v>826.20689655172418</v>
      </c>
      <c r="H149" s="38">
        <f t="shared" si="420"/>
        <v>304.79999999999995</v>
      </c>
      <c r="I149" s="7">
        <f t="shared" si="421"/>
        <v>304.79999999999995</v>
      </c>
      <c r="J149" s="38">
        <f t="shared" si="422"/>
        <v>43.655172413793103</v>
      </c>
      <c r="K149" s="38">
        <f t="shared" si="423"/>
        <v>19.049999999999997</v>
      </c>
      <c r="L149" s="7">
        <f t="shared" si="424"/>
        <v>16</v>
      </c>
      <c r="M149" s="7">
        <f t="shared" si="425"/>
        <v>16</v>
      </c>
      <c r="N149" s="38">
        <f t="shared" ref="N149:N152" si="444">18*25.4</f>
        <v>457.2</v>
      </c>
      <c r="O149" s="38">
        <f t="shared" si="426"/>
        <v>50.8</v>
      </c>
      <c r="P149" s="21">
        <f>(5.3-1.9-2*0.75)*25.4</f>
        <v>48.26</v>
      </c>
      <c r="Q149" s="21">
        <f>(1.9)*25.4</f>
        <v>48.26</v>
      </c>
      <c r="R149" s="38">
        <v>3</v>
      </c>
      <c r="S149" s="38">
        <f t="shared" si="427"/>
        <v>50.8</v>
      </c>
      <c r="T149" s="7">
        <f t="shared" si="428"/>
        <v>1.7666666666666668</v>
      </c>
      <c r="U149" s="7">
        <f t="shared" si="429"/>
        <v>3.166666666666667</v>
      </c>
      <c r="V149" s="38">
        <v>4</v>
      </c>
      <c r="W149" s="7">
        <f t="shared" si="430"/>
        <v>4</v>
      </c>
      <c r="X149" s="4">
        <f t="shared" si="431"/>
        <v>5</v>
      </c>
      <c r="Y149" s="7">
        <f t="shared" si="352"/>
        <v>42.597094971370993</v>
      </c>
      <c r="Z149" s="7"/>
      <c r="AA149" s="7"/>
      <c r="AB149" s="38">
        <f t="shared" si="399"/>
        <v>566.89655172413802</v>
      </c>
      <c r="AC149" s="4">
        <v>82.2</v>
      </c>
      <c r="AD149" s="7">
        <f t="shared" si="334"/>
        <v>0.81721497365135776</v>
      </c>
      <c r="AE149" s="7"/>
      <c r="AF149" s="7"/>
      <c r="AG149" s="7">
        <v>1</v>
      </c>
      <c r="AH149" s="7"/>
      <c r="AI149" s="7"/>
      <c r="AJ149" s="7">
        <f t="shared" si="398"/>
        <v>0</v>
      </c>
      <c r="AK149" s="4">
        <f t="shared" si="279"/>
        <v>304.79999999999995</v>
      </c>
      <c r="AL149" s="47">
        <f t="shared" si="432"/>
        <v>0.19685039370078747</v>
      </c>
      <c r="AM149" s="25">
        <f t="shared" si="433"/>
        <v>411.18683539092382</v>
      </c>
      <c r="AN149" s="4">
        <f t="shared" si="434"/>
        <v>0.73958333333333326</v>
      </c>
      <c r="AO149" s="4">
        <v>1.25</v>
      </c>
      <c r="AP149" s="25">
        <f t="shared" si="317"/>
        <v>5</v>
      </c>
      <c r="AQ149" s="38">
        <f t="shared" si="435"/>
        <v>374.14730603002477</v>
      </c>
      <c r="AR149" s="38">
        <f t="shared" si="436"/>
        <v>374.14730603002477</v>
      </c>
      <c r="AT149" s="38">
        <f t="shared" si="437"/>
        <v>374.14730603002448</v>
      </c>
      <c r="AU149" s="38">
        <f t="shared" si="400"/>
        <v>1.0000000000000007</v>
      </c>
      <c r="AV149" s="38">
        <f t="shared" si="328"/>
        <v>1.0858935274504717</v>
      </c>
      <c r="AW149" s="4">
        <f t="shared" si="323"/>
        <v>0</v>
      </c>
      <c r="AX149" s="4">
        <f t="shared" si="379"/>
        <v>556.39630294068945</v>
      </c>
      <c r="AY149" s="4">
        <f t="shared" si="380"/>
        <v>1.3169811320754716</v>
      </c>
      <c r="AZ149" s="38">
        <f t="shared" si="438"/>
        <v>406.28413793103448</v>
      </c>
      <c r="BA149" s="4">
        <f t="shared" si="381"/>
        <v>0.44000000000000006</v>
      </c>
      <c r="BB149" s="4">
        <f t="shared" si="401"/>
        <v>127.91551004606451</v>
      </c>
      <c r="BC149" s="4">
        <f t="shared" si="402"/>
        <v>534.19964797709895</v>
      </c>
      <c r="BE149" s="36">
        <f t="shared" si="312"/>
        <v>1.1057894736842107</v>
      </c>
      <c r="BF149" s="36">
        <f t="shared" si="313"/>
        <v>347.77411816232063</v>
      </c>
      <c r="BK149" s="4">
        <f t="shared" si="355"/>
        <v>30.53</v>
      </c>
      <c r="BL149" s="4">
        <f t="shared" si="356"/>
        <v>30.53</v>
      </c>
      <c r="BM149" s="4">
        <f t="shared" si="357"/>
        <v>50.8</v>
      </c>
      <c r="BN149" s="4">
        <f t="shared" si="358"/>
        <v>40.055</v>
      </c>
      <c r="BO149" s="4">
        <f t="shared" si="359"/>
        <v>1.0663937111038324</v>
      </c>
      <c r="BP149" s="25">
        <f t="shared" si="439"/>
        <v>2.2422257269429928</v>
      </c>
      <c r="BR149" s="4">
        <f t="shared" si="331"/>
        <v>24.13</v>
      </c>
      <c r="BV149" s="9"/>
      <c r="BX149" s="9"/>
      <c r="BY149" s="9"/>
      <c r="BZ149" s="9">
        <f t="shared" si="383"/>
        <v>24.13</v>
      </c>
      <c r="CA149" s="9">
        <f t="shared" si="384"/>
        <v>50.8</v>
      </c>
      <c r="CB149" s="9">
        <f t="shared" si="403"/>
        <v>1.2584243974819915</v>
      </c>
      <c r="CC149" s="9">
        <v>20</v>
      </c>
      <c r="CD149" s="9">
        <f t="shared" si="306"/>
        <v>0</v>
      </c>
      <c r="CE149" s="9">
        <f t="shared" si="404"/>
        <v>0</v>
      </c>
      <c r="CF149" s="9">
        <f t="shared" si="385"/>
        <v>1</v>
      </c>
      <c r="CG149" s="9">
        <f t="shared" si="386"/>
        <v>0.68</v>
      </c>
      <c r="CH149" s="9">
        <f t="shared" si="405"/>
        <v>1.5725150511861237</v>
      </c>
      <c r="CI149" s="9">
        <f t="shared" si="406"/>
        <v>1.9788913058202608</v>
      </c>
      <c r="CJ149" s="9">
        <v>1</v>
      </c>
      <c r="CK149" s="9">
        <f t="shared" si="407"/>
        <v>245.38252192171234</v>
      </c>
      <c r="CM149" s="4">
        <f t="shared" si="341"/>
        <v>1.0188718881271357</v>
      </c>
      <c r="CN149" s="4">
        <f t="shared" si="342"/>
        <v>1.0612072731063289</v>
      </c>
      <c r="CO149" s="4">
        <f t="shared" si="390"/>
        <v>1.6300711355971114</v>
      </c>
      <c r="CP149" s="4">
        <f t="shared" si="335"/>
        <v>2.3102564407786246</v>
      </c>
      <c r="CQ149" s="4">
        <f t="shared" si="391"/>
        <v>0.81721497365135776</v>
      </c>
      <c r="CR149" s="4">
        <f t="shared" si="392"/>
        <v>0.86568447721291919</v>
      </c>
      <c r="CS149" s="4">
        <f t="shared" si="329"/>
        <v>1.3052086433254757</v>
      </c>
      <c r="DA149" s="4">
        <f t="shared" si="394"/>
        <v>1.0188718881271357</v>
      </c>
      <c r="DB149" s="4">
        <f t="shared" si="394"/>
        <v>1.0612072731063289</v>
      </c>
      <c r="DC149" s="4">
        <f t="shared" si="395"/>
        <v>2.3102564407786246</v>
      </c>
      <c r="DD149" s="4">
        <f t="shared" si="396"/>
        <v>1.3052086433254757</v>
      </c>
      <c r="DE149" s="4">
        <f t="shared" si="397"/>
        <v>0.81721497365135776</v>
      </c>
      <c r="DF149" s="4">
        <f t="shared" si="397"/>
        <v>0.86568447721291919</v>
      </c>
      <c r="DH149" s="4">
        <f t="shared" si="362"/>
        <v>0</v>
      </c>
      <c r="DI149" s="4">
        <f t="shared" si="363"/>
        <v>304.79999999999995</v>
      </c>
      <c r="DJ149" s="4">
        <f t="shared" si="364"/>
        <v>1</v>
      </c>
      <c r="DL149" s="4">
        <f t="shared" si="365"/>
        <v>3.1342636205669919E-5</v>
      </c>
      <c r="DM149" s="4">
        <f t="shared" si="366"/>
        <v>5.9505791832145585</v>
      </c>
      <c r="DN149" s="4">
        <f t="shared" si="337"/>
        <v>0.35513525052023837</v>
      </c>
      <c r="DO149" s="4">
        <f t="shared" si="408"/>
        <v>3.9329348433703348</v>
      </c>
      <c r="DP149" s="4">
        <f t="shared" si="409"/>
        <v>5.0440869145797498</v>
      </c>
      <c r="DQ149" s="4">
        <f t="shared" si="410"/>
        <v>5.4605167584808374</v>
      </c>
      <c r="DR149" s="38">
        <f t="shared" si="440"/>
        <v>693.69329980729015</v>
      </c>
      <c r="DS149" s="4">
        <f t="shared" si="411"/>
        <v>1.0000888235071765</v>
      </c>
      <c r="DT149" s="4">
        <f t="shared" si="330"/>
        <v>2.2360679774997898</v>
      </c>
      <c r="DU149" s="4">
        <f t="shared" si="441"/>
        <v>374.14730603002448</v>
      </c>
      <c r="DY149" s="4">
        <f t="shared" si="387"/>
        <v>0.85</v>
      </c>
      <c r="DZ149" s="4">
        <f t="shared" si="412"/>
        <v>0.97333333333333327</v>
      </c>
      <c r="EA149" s="4">
        <f t="shared" si="413"/>
        <v>1</v>
      </c>
      <c r="EB149" s="4">
        <f t="shared" si="414"/>
        <v>0.97333333333333327</v>
      </c>
      <c r="ED149" s="4">
        <f t="shared" si="442"/>
        <v>654.85354843056416</v>
      </c>
      <c r="EE149" s="25">
        <f t="shared" si="443"/>
        <v>369.2257476362654</v>
      </c>
      <c r="EH149" s="4">
        <f t="shared" si="314"/>
        <v>5.9505791832145585</v>
      </c>
      <c r="EI149" s="4">
        <f t="shared" si="367"/>
        <v>5.9505791832145585</v>
      </c>
      <c r="EK149" s="4">
        <f t="shared" si="368"/>
        <v>42.597094971370993</v>
      </c>
      <c r="EL149" s="4">
        <f t="shared" si="369"/>
        <v>2.2360679774997898</v>
      </c>
      <c r="EM149" s="4">
        <f t="shared" si="370"/>
        <v>0.12830598100215107</v>
      </c>
      <c r="EP149" s="4">
        <f t="shared" si="332"/>
        <v>0.12830598100215107</v>
      </c>
      <c r="EQ149" s="4">
        <f t="shared" si="333"/>
        <v>0.35454259597533333</v>
      </c>
      <c r="ER149" s="4">
        <f t="shared" si="371"/>
        <v>3.9303081937395761</v>
      </c>
      <c r="ES149" s="4">
        <f t="shared" si="388"/>
        <v>5.0430654567129842</v>
      </c>
      <c r="ET149" s="4">
        <f t="shared" si="372"/>
        <v>186.00290502862896</v>
      </c>
      <c r="EU149" s="4">
        <f t="shared" si="373"/>
        <v>76.199999999999989</v>
      </c>
      <c r="EV149" s="4">
        <f t="shared" si="415"/>
        <v>3.1342636205669919E-5</v>
      </c>
      <c r="EW149" s="4">
        <f t="shared" si="389"/>
        <v>5.4606277865997805</v>
      </c>
      <c r="EX149" s="4">
        <f t="shared" si="374"/>
        <v>693.6316890079836</v>
      </c>
      <c r="EY149" s="4">
        <f t="shared" si="375"/>
        <v>186.00290502862896</v>
      </c>
      <c r="EZ149" s="4">
        <f t="shared" si="376"/>
        <v>76.2</v>
      </c>
      <c r="FB149" s="4">
        <f t="shared" si="338"/>
        <v>0</v>
      </c>
      <c r="FG149" s="23">
        <f t="shared" si="339"/>
        <v>1.2</v>
      </c>
      <c r="FH149" s="23">
        <f t="shared" si="339"/>
        <v>1.2</v>
      </c>
      <c r="FI149" s="23">
        <f t="shared" si="382"/>
        <v>1.4</v>
      </c>
      <c r="FJ149" s="23">
        <f t="shared" si="340"/>
        <v>2.2000000000000002</v>
      </c>
      <c r="FK149" s="23">
        <f t="shared" si="340"/>
        <v>1</v>
      </c>
      <c r="FL149" s="23">
        <f t="shared" si="340"/>
        <v>1</v>
      </c>
      <c r="FM149" s="23">
        <f t="shared" si="393"/>
        <v>0</v>
      </c>
      <c r="FN149" s="23"/>
      <c r="FX149" s="4">
        <f t="shared" si="416"/>
        <v>1.25</v>
      </c>
      <c r="FY149" s="4">
        <f t="shared" si="303"/>
        <v>0.87222222222222201</v>
      </c>
      <c r="FZ149" s="4">
        <f t="shared" si="417"/>
        <v>0</v>
      </c>
      <c r="GA149" s="4">
        <f t="shared" si="418"/>
        <v>434.33404660864852</v>
      </c>
    </row>
    <row r="150" spans="1:183" ht="12" hidden="1" customHeight="1" x14ac:dyDescent="0.3">
      <c r="A150" s="25">
        <v>132</v>
      </c>
      <c r="B150" s="24" t="s">
        <v>605</v>
      </c>
      <c r="C150" s="24">
        <v>2016</v>
      </c>
      <c r="D150" s="24" t="s">
        <v>199</v>
      </c>
      <c r="E150" s="24"/>
      <c r="F150" s="7" t="s">
        <v>649</v>
      </c>
      <c r="G150" s="38">
        <f t="shared" si="419"/>
        <v>826.20689655172418</v>
      </c>
      <c r="H150" s="38">
        <f t="shared" si="420"/>
        <v>304.79999999999995</v>
      </c>
      <c r="I150" s="7">
        <f t="shared" si="421"/>
        <v>304.79999999999995</v>
      </c>
      <c r="J150" s="38">
        <f>10890/145</f>
        <v>75.103448275862064</v>
      </c>
      <c r="K150" s="38">
        <f t="shared" si="423"/>
        <v>19.049999999999997</v>
      </c>
      <c r="L150" s="7">
        <f t="shared" si="424"/>
        <v>16</v>
      </c>
      <c r="M150" s="7">
        <f t="shared" si="425"/>
        <v>16</v>
      </c>
      <c r="N150" s="38">
        <f t="shared" si="444"/>
        <v>457.2</v>
      </c>
      <c r="O150" s="38">
        <f t="shared" si="426"/>
        <v>50.8</v>
      </c>
      <c r="P150" s="21">
        <f>(6-0.5-2*0.75)*25.4</f>
        <v>101.6</v>
      </c>
      <c r="Q150" s="21">
        <f>(0.5)*25.4</f>
        <v>12.7</v>
      </c>
      <c r="R150" s="38">
        <v>3</v>
      </c>
      <c r="S150" s="38">
        <f t="shared" si="427"/>
        <v>50.8</v>
      </c>
      <c r="T150" s="7">
        <f t="shared" si="428"/>
        <v>0.83333333333333337</v>
      </c>
      <c r="U150" s="7">
        <f t="shared" si="429"/>
        <v>3.166666666666667</v>
      </c>
      <c r="V150" s="38">
        <v>4</v>
      </c>
      <c r="W150" s="7">
        <f t="shared" si="430"/>
        <v>4</v>
      </c>
      <c r="X150" s="4">
        <f t="shared" si="431"/>
        <v>5</v>
      </c>
      <c r="Y150" s="7">
        <f t="shared" si="352"/>
        <v>42.597094971370993</v>
      </c>
      <c r="Z150" s="7"/>
      <c r="AA150" s="7"/>
      <c r="AB150" s="38">
        <f t="shared" si="399"/>
        <v>614.48275862068965</v>
      </c>
      <c r="AC150" s="4">
        <v>89.1</v>
      </c>
      <c r="AD150" s="7">
        <f t="shared" si="334"/>
        <v>0.81303221963079941</v>
      </c>
      <c r="AE150" s="7"/>
      <c r="AF150" s="7"/>
      <c r="AG150" s="7">
        <v>1</v>
      </c>
      <c r="AH150" s="7"/>
      <c r="AI150" s="7"/>
      <c r="AJ150" s="7">
        <f t="shared" si="398"/>
        <v>0</v>
      </c>
      <c r="AK150" s="4">
        <f t="shared" ref="AK150:AK164" si="445">H150</f>
        <v>304.79999999999995</v>
      </c>
      <c r="AL150" s="47">
        <f t="shared" si="432"/>
        <v>0.19685039370078747</v>
      </c>
      <c r="AM150" s="25">
        <f t="shared" si="433"/>
        <v>539.3259121429644</v>
      </c>
      <c r="AN150" s="4">
        <f t="shared" si="434"/>
        <v>0.73958333333333326</v>
      </c>
      <c r="AO150" s="4">
        <v>1.25</v>
      </c>
      <c r="AP150" s="25">
        <f t="shared" si="317"/>
        <v>5</v>
      </c>
      <c r="AQ150" s="38">
        <f t="shared" si="435"/>
        <v>490.74367108235009</v>
      </c>
      <c r="AR150" s="38">
        <f t="shared" si="436"/>
        <v>490.74367108235009</v>
      </c>
      <c r="AT150" s="38">
        <f t="shared" si="437"/>
        <v>490.74367108234986</v>
      </c>
      <c r="AU150" s="38">
        <f t="shared" si="400"/>
        <v>1.0000000000000004</v>
      </c>
      <c r="AV150" s="38">
        <f t="shared" si="328"/>
        <v>1.020267167313901</v>
      </c>
      <c r="AW150" s="4">
        <f t="shared" si="323"/>
        <v>0</v>
      </c>
      <c r="AX150" s="4">
        <f t="shared" si="379"/>
        <v>729.78733210456323</v>
      </c>
      <c r="AY150" s="4">
        <f t="shared" si="380"/>
        <v>2</v>
      </c>
      <c r="AZ150" s="38">
        <f t="shared" si="438"/>
        <v>500.68965517241384</v>
      </c>
      <c r="BA150" s="4">
        <f t="shared" si="381"/>
        <v>0.44000000000000006</v>
      </c>
      <c r="BB150" s="4">
        <f t="shared" si="401"/>
        <v>167.7781076508391</v>
      </c>
      <c r="BC150" s="4">
        <f t="shared" si="402"/>
        <v>668.467762823253</v>
      </c>
      <c r="BE150" s="36">
        <f t="shared" si="312"/>
        <v>1.2083333333333333</v>
      </c>
      <c r="BF150" s="36">
        <f t="shared" si="313"/>
        <v>498.45234977879278</v>
      </c>
      <c r="BK150" s="4">
        <f t="shared" si="355"/>
        <v>12.75</v>
      </c>
      <c r="BL150" s="4">
        <f t="shared" si="356"/>
        <v>12.75</v>
      </c>
      <c r="BM150" s="4">
        <f t="shared" si="357"/>
        <v>50.8</v>
      </c>
      <c r="BN150" s="4">
        <f t="shared" si="358"/>
        <v>22.274999999999999</v>
      </c>
      <c r="BO150" s="4">
        <f t="shared" si="359"/>
        <v>1.25</v>
      </c>
      <c r="BP150" s="25">
        <f t="shared" si="439"/>
        <v>1.4616141732283467</v>
      </c>
      <c r="BR150" s="4">
        <f t="shared" si="331"/>
        <v>6.35</v>
      </c>
      <c r="BV150" s="9"/>
      <c r="BX150" s="9"/>
      <c r="BY150" s="9"/>
      <c r="BZ150" s="9">
        <f t="shared" si="383"/>
        <v>6.35</v>
      </c>
      <c r="CA150" s="9">
        <f t="shared" si="384"/>
        <v>50.8</v>
      </c>
      <c r="CB150" s="9">
        <f t="shared" si="403"/>
        <v>0.78868370996101578</v>
      </c>
      <c r="CC150" s="9">
        <v>20</v>
      </c>
      <c r="CD150" s="9">
        <f t="shared" si="306"/>
        <v>0</v>
      </c>
      <c r="CE150" s="9">
        <f t="shared" si="404"/>
        <v>0</v>
      </c>
      <c r="CF150" s="9">
        <f t="shared" si="385"/>
        <v>1</v>
      </c>
      <c r="CG150" s="9">
        <f t="shared" si="386"/>
        <v>0.68</v>
      </c>
      <c r="CH150" s="9">
        <f t="shared" si="405"/>
        <v>2.062561447360522</v>
      </c>
      <c r="CI150" s="9">
        <f t="shared" si="406"/>
        <v>1.626708614326859</v>
      </c>
      <c r="CJ150" s="9">
        <v>1</v>
      </c>
      <c r="CK150" s="9">
        <f t="shared" si="407"/>
        <v>201.71186817653052</v>
      </c>
      <c r="CM150" s="4">
        <f t="shared" si="341"/>
        <v>0.84200250071297089</v>
      </c>
      <c r="CN150" s="4">
        <f t="shared" si="342"/>
        <v>0.91924067665647879</v>
      </c>
      <c r="CO150" s="4">
        <f t="shared" si="390"/>
        <v>1.2327813458867027</v>
      </c>
      <c r="CP150" s="4">
        <f t="shared" si="335"/>
        <v>3.0463391379773341</v>
      </c>
      <c r="CQ150" s="4">
        <f t="shared" si="391"/>
        <v>0.81303221963079941</v>
      </c>
      <c r="CR150" s="4">
        <f t="shared" si="392"/>
        <v>0.84349061145916415</v>
      </c>
      <c r="CS150" s="4">
        <f t="shared" si="329"/>
        <v>1.4556328942092587</v>
      </c>
      <c r="DA150" s="4">
        <f t="shared" si="394"/>
        <v>0.84200250071297089</v>
      </c>
      <c r="DB150" s="4">
        <f t="shared" si="394"/>
        <v>0.91924067665647879</v>
      </c>
      <c r="DC150" s="4">
        <f t="shared" si="395"/>
        <v>3.0463391379773341</v>
      </c>
      <c r="DD150" s="4">
        <f t="shared" si="396"/>
        <v>1.4556328942092587</v>
      </c>
      <c r="DE150" s="4">
        <f t="shared" si="397"/>
        <v>0.81303221963079941</v>
      </c>
      <c r="DF150" s="4">
        <f t="shared" si="397"/>
        <v>0.84349061145916415</v>
      </c>
      <c r="DH150" s="4">
        <f t="shared" si="362"/>
        <v>0</v>
      </c>
      <c r="DI150" s="4">
        <f t="shared" si="363"/>
        <v>304.79999999999995</v>
      </c>
      <c r="DJ150" s="4">
        <f t="shared" si="364"/>
        <v>1</v>
      </c>
      <c r="DL150" s="4">
        <f t="shared" si="365"/>
        <v>3.807121106173361E-5</v>
      </c>
      <c r="DM150" s="4">
        <f t="shared" si="366"/>
        <v>5.0877379917756649</v>
      </c>
      <c r="DN150" s="4">
        <f t="shared" si="337"/>
        <v>0.2707582493430632</v>
      </c>
      <c r="DO150" s="4">
        <f t="shared" si="408"/>
        <v>3.0168756996773256</v>
      </c>
      <c r="DP150" s="4">
        <f t="shared" si="409"/>
        <v>4.1833021422574221</v>
      </c>
      <c r="DQ150" s="4">
        <f t="shared" si="410"/>
        <v>4.6676287655490585</v>
      </c>
      <c r="DR150" s="38">
        <f t="shared" si="440"/>
        <v>755.79139889404166</v>
      </c>
      <c r="DS150" s="4">
        <f t="shared" si="411"/>
        <v>1.000059423889732</v>
      </c>
      <c r="DT150" s="4">
        <f t="shared" si="330"/>
        <v>2.2360679774997898</v>
      </c>
      <c r="DU150" s="4">
        <f t="shared" si="441"/>
        <v>490.74367108234986</v>
      </c>
      <c r="DY150" s="4">
        <f t="shared" si="387"/>
        <v>0.85</v>
      </c>
      <c r="DZ150" s="4">
        <f t="shared" si="412"/>
        <v>1</v>
      </c>
      <c r="EA150" s="4">
        <f t="shared" si="413"/>
        <v>1</v>
      </c>
      <c r="EB150" s="4">
        <f t="shared" si="414"/>
        <v>1</v>
      </c>
      <c r="ED150" s="4">
        <f t="shared" si="442"/>
        <v>728.49982000118393</v>
      </c>
      <c r="EE150" s="25">
        <f t="shared" si="443"/>
        <v>484.28839639595202</v>
      </c>
      <c r="EH150" s="4">
        <f t="shared" si="314"/>
        <v>5.0877379917756649</v>
      </c>
      <c r="EI150" s="4">
        <f t="shared" si="367"/>
        <v>5.0877379917756649</v>
      </c>
      <c r="EK150" s="4">
        <f t="shared" si="368"/>
        <v>42.597094971370993</v>
      </c>
      <c r="EL150" s="4">
        <f t="shared" si="369"/>
        <v>2.2360679774997898</v>
      </c>
      <c r="EM150" s="4">
        <f t="shared" si="370"/>
        <v>0.1283059810021511</v>
      </c>
      <c r="EP150" s="4">
        <f t="shared" si="332"/>
        <v>0.1283059810021511</v>
      </c>
      <c r="EQ150" s="4">
        <f t="shared" si="333"/>
        <v>0.27030640428738761</v>
      </c>
      <c r="ER150" s="4">
        <f t="shared" si="371"/>
        <v>3.0148608492518321</v>
      </c>
      <c r="ES150" s="4">
        <f t="shared" si="388"/>
        <v>4.1825792372626935</v>
      </c>
      <c r="ET150" s="4">
        <f t="shared" si="372"/>
        <v>186.00290502862896</v>
      </c>
      <c r="EU150" s="4">
        <f t="shared" si="373"/>
        <v>76.199999999999989</v>
      </c>
      <c r="EV150" s="4">
        <f t="shared" si="415"/>
        <v>3.807121106173361E-5</v>
      </c>
      <c r="EW150" s="4">
        <f t="shared" si="389"/>
        <v>4.6677128627312667</v>
      </c>
      <c r="EX150" s="4">
        <f t="shared" si="374"/>
        <v>755.74648949798438</v>
      </c>
      <c r="EY150" s="4">
        <f t="shared" si="375"/>
        <v>186.00290502862896</v>
      </c>
      <c r="EZ150" s="4">
        <f t="shared" si="376"/>
        <v>76.2</v>
      </c>
      <c r="FB150" s="4">
        <f t="shared" si="338"/>
        <v>0</v>
      </c>
      <c r="FG150" s="23">
        <f t="shared" si="339"/>
        <v>1</v>
      </c>
      <c r="FH150" s="23">
        <f t="shared" si="339"/>
        <v>1</v>
      </c>
      <c r="FI150" s="23">
        <f t="shared" si="382"/>
        <v>1.6</v>
      </c>
      <c r="FJ150" s="23">
        <f t="shared" si="340"/>
        <v>2.2000000000000002</v>
      </c>
      <c r="FK150" s="23">
        <f t="shared" si="340"/>
        <v>1</v>
      </c>
      <c r="FL150" s="23">
        <f t="shared" si="340"/>
        <v>1</v>
      </c>
      <c r="FM150" s="23">
        <f t="shared" si="393"/>
        <v>0</v>
      </c>
      <c r="FN150" s="23"/>
      <c r="FX150" s="4">
        <f t="shared" si="416"/>
        <v>1.25</v>
      </c>
      <c r="FY150" s="4">
        <f t="shared" si="303"/>
        <v>1.0277777777777777</v>
      </c>
      <c r="FZ150" s="4">
        <f t="shared" si="417"/>
        <v>0</v>
      </c>
      <c r="GA150" s="4">
        <f t="shared" si="418"/>
        <v>422.14129748317777</v>
      </c>
    </row>
    <row r="151" spans="1:183" ht="12" hidden="1" customHeight="1" x14ac:dyDescent="0.3">
      <c r="A151" s="25">
        <v>133</v>
      </c>
      <c r="B151" s="24" t="s">
        <v>605</v>
      </c>
      <c r="C151" s="24">
        <v>2016</v>
      </c>
      <c r="D151" s="24" t="s">
        <v>199</v>
      </c>
      <c r="E151" s="24"/>
      <c r="F151" s="7" t="s">
        <v>650</v>
      </c>
      <c r="G151" s="38">
        <f t="shared" si="419"/>
        <v>826.20689655172418</v>
      </c>
      <c r="H151" s="38">
        <f t="shared" si="420"/>
        <v>304.79999999999995</v>
      </c>
      <c r="I151" s="7">
        <f t="shared" si="421"/>
        <v>304.79999999999995</v>
      </c>
      <c r="J151" s="38">
        <f t="shared" ref="J151:J152" si="446">10890/145</f>
        <v>75.103448275862064</v>
      </c>
      <c r="K151" s="38">
        <f t="shared" si="423"/>
        <v>19.049999999999997</v>
      </c>
      <c r="L151" s="7">
        <f t="shared" si="424"/>
        <v>16</v>
      </c>
      <c r="M151" s="7">
        <f t="shared" si="425"/>
        <v>16</v>
      </c>
      <c r="N151" s="38">
        <f t="shared" si="444"/>
        <v>457.2</v>
      </c>
      <c r="O151" s="38">
        <f t="shared" si="426"/>
        <v>50.8</v>
      </c>
      <c r="P151" s="21">
        <f>(5.8-1-2*0.75)*25.4</f>
        <v>83.82</v>
      </c>
      <c r="Q151" s="21">
        <f>(1)*25.4</f>
        <v>25.4</v>
      </c>
      <c r="R151" s="38">
        <v>3</v>
      </c>
      <c r="S151" s="38">
        <f t="shared" si="427"/>
        <v>50.8</v>
      </c>
      <c r="T151" s="7">
        <f t="shared" si="428"/>
        <v>1.1666666666666667</v>
      </c>
      <c r="U151" s="7">
        <f t="shared" si="429"/>
        <v>3.166666666666667</v>
      </c>
      <c r="V151" s="38">
        <v>4</v>
      </c>
      <c r="W151" s="7">
        <f t="shared" si="430"/>
        <v>4</v>
      </c>
      <c r="X151" s="4">
        <f t="shared" si="431"/>
        <v>5</v>
      </c>
      <c r="Y151" s="7">
        <f t="shared" si="352"/>
        <v>42.597094971370993</v>
      </c>
      <c r="Z151" s="7"/>
      <c r="AA151" s="7"/>
      <c r="AB151" s="38">
        <f t="shared" si="399"/>
        <v>562.06896551724139</v>
      </c>
      <c r="AC151" s="4">
        <v>81.5</v>
      </c>
      <c r="AD151" s="7">
        <f t="shared" si="334"/>
        <v>0.69659629554846381</v>
      </c>
      <c r="AE151" s="7"/>
      <c r="AF151" s="7"/>
      <c r="AG151" s="7">
        <v>1</v>
      </c>
      <c r="AH151" s="7"/>
      <c r="AI151" s="7"/>
      <c r="AJ151" s="7">
        <f t="shared" si="398"/>
        <v>0</v>
      </c>
      <c r="AK151" s="4">
        <f t="shared" si="445"/>
        <v>304.79999999999995</v>
      </c>
      <c r="AL151" s="47">
        <f t="shared" si="432"/>
        <v>0.19685039370078747</v>
      </c>
      <c r="AM151" s="25">
        <f t="shared" si="433"/>
        <v>539.3259121429644</v>
      </c>
      <c r="AN151" s="4">
        <f t="shared" si="434"/>
        <v>0.73958333333333326</v>
      </c>
      <c r="AO151" s="4">
        <v>1.25</v>
      </c>
      <c r="AP151" s="25">
        <f t="shared" si="317"/>
        <v>5</v>
      </c>
      <c r="AQ151" s="38">
        <f t="shared" si="435"/>
        <v>490.74367108235009</v>
      </c>
      <c r="AR151" s="38">
        <f t="shared" si="436"/>
        <v>490.74367108235009</v>
      </c>
      <c r="AT151" s="38">
        <f t="shared" si="437"/>
        <v>490.74367108234986</v>
      </c>
      <c r="AU151" s="38">
        <f t="shared" si="400"/>
        <v>1.0000000000000004</v>
      </c>
      <c r="AV151" s="38">
        <f t="shared" si="328"/>
        <v>1.2039152574304033</v>
      </c>
      <c r="AW151" s="4">
        <f t="shared" si="323"/>
        <v>0</v>
      </c>
      <c r="AX151" s="4">
        <f t="shared" si="379"/>
        <v>729.78733210456323</v>
      </c>
      <c r="AY151" s="4">
        <f t="shared" si="380"/>
        <v>1.6857142857142859</v>
      </c>
      <c r="AZ151" s="38">
        <f t="shared" si="438"/>
        <v>590.81379310344835</v>
      </c>
      <c r="BA151" s="4">
        <f t="shared" si="381"/>
        <v>0.44000000000000006</v>
      </c>
      <c r="BB151" s="4">
        <f t="shared" si="401"/>
        <v>167.7781076508391</v>
      </c>
      <c r="BC151" s="4">
        <f t="shared" si="402"/>
        <v>758.59190075428751</v>
      </c>
      <c r="BE151" s="36">
        <f t="shared" si="312"/>
        <v>1.1366666666666669</v>
      </c>
      <c r="BF151" s="36">
        <f t="shared" si="313"/>
        <v>468.88896903329208</v>
      </c>
      <c r="BK151" s="4">
        <f t="shared" si="355"/>
        <v>19.100000000000001</v>
      </c>
      <c r="BL151" s="4">
        <f t="shared" si="356"/>
        <v>19.100000000000001</v>
      </c>
      <c r="BM151" s="4">
        <f t="shared" si="357"/>
        <v>50.8</v>
      </c>
      <c r="BN151" s="4">
        <f t="shared" si="358"/>
        <v>28.625</v>
      </c>
      <c r="BO151" s="4">
        <f t="shared" si="359"/>
        <v>1.1659685863874345</v>
      </c>
      <c r="BP151" s="25">
        <f t="shared" si="439"/>
        <v>1.7520131645847936</v>
      </c>
      <c r="BR151" s="4">
        <f t="shared" si="331"/>
        <v>12.7</v>
      </c>
      <c r="BV151" s="9"/>
      <c r="BX151" s="9"/>
      <c r="BY151" s="9"/>
      <c r="BZ151" s="9">
        <f t="shared" si="383"/>
        <v>12.7</v>
      </c>
      <c r="CA151" s="9">
        <f t="shared" si="384"/>
        <v>50.8</v>
      </c>
      <c r="CB151" s="9">
        <f t="shared" si="403"/>
        <v>1.0052252041243952</v>
      </c>
      <c r="CC151" s="9">
        <v>20</v>
      </c>
      <c r="CD151" s="9">
        <f t="shared" si="306"/>
        <v>0</v>
      </c>
      <c r="CE151" s="9">
        <f t="shared" si="404"/>
        <v>0</v>
      </c>
      <c r="CF151" s="9">
        <f t="shared" si="385"/>
        <v>1</v>
      </c>
      <c r="CG151" s="9">
        <f t="shared" si="386"/>
        <v>0.68</v>
      </c>
      <c r="CH151" s="9">
        <f t="shared" si="405"/>
        <v>2.062561447360522</v>
      </c>
      <c r="CI151" s="9">
        <f t="shared" si="406"/>
        <v>2.0733387519420887</v>
      </c>
      <c r="CJ151" s="9">
        <v>1</v>
      </c>
      <c r="CK151" s="9">
        <f t="shared" si="407"/>
        <v>257.094005240819</v>
      </c>
      <c r="CM151" s="4">
        <f t="shared" si="341"/>
        <v>0.77018186092151664</v>
      </c>
      <c r="CN151" s="4">
        <f t="shared" si="342"/>
        <v>0.74093720873945756</v>
      </c>
      <c r="CO151" s="4">
        <f t="shared" si="390"/>
        <v>1.1987250770178246</v>
      </c>
      <c r="CP151" s="4">
        <f t="shared" si="335"/>
        <v>2.1862390956597899</v>
      </c>
      <c r="CQ151" s="4">
        <f t="shared" si="391"/>
        <v>0.69659629554846381</v>
      </c>
      <c r="CR151" s="4">
        <f t="shared" si="392"/>
        <v>0.72336424582212799</v>
      </c>
      <c r="CS151" s="4">
        <f t="shared" si="329"/>
        <v>1.259499751488431</v>
      </c>
      <c r="DA151" s="4">
        <f t="shared" si="394"/>
        <v>0.77018186092151664</v>
      </c>
      <c r="DB151" s="4">
        <f t="shared" si="394"/>
        <v>0.74093720873945756</v>
      </c>
      <c r="DC151" s="4">
        <f t="shared" si="395"/>
        <v>2.1862390956597899</v>
      </c>
      <c r="DD151" s="4">
        <f t="shared" si="396"/>
        <v>1.259499751488431</v>
      </c>
      <c r="DE151" s="4">
        <f t="shared" si="397"/>
        <v>0.69659629554846381</v>
      </c>
      <c r="DF151" s="4">
        <f t="shared" si="397"/>
        <v>0.72336424582212799</v>
      </c>
      <c r="DH151" s="4">
        <f t="shared" si="362"/>
        <v>0</v>
      </c>
      <c r="DI151" s="4">
        <f t="shared" si="363"/>
        <v>304.79999999999995</v>
      </c>
      <c r="DJ151" s="4">
        <f t="shared" si="364"/>
        <v>1</v>
      </c>
      <c r="DL151" s="4">
        <f t="shared" si="365"/>
        <v>3.807121106173361E-5</v>
      </c>
      <c r="DM151" s="4">
        <f t="shared" si="366"/>
        <v>6.0985888771595622</v>
      </c>
      <c r="DN151" s="4">
        <f t="shared" si="337"/>
        <v>0.2707582493430632</v>
      </c>
      <c r="DO151" s="4">
        <f t="shared" si="408"/>
        <v>3.6162798901135647</v>
      </c>
      <c r="DP151" s="4">
        <f t="shared" si="409"/>
        <v>5.0144563174851866</v>
      </c>
      <c r="DQ151" s="4">
        <f t="shared" si="410"/>
        <v>5.4966973614584278</v>
      </c>
      <c r="DR151" s="38">
        <f t="shared" si="440"/>
        <v>806.87906196041058</v>
      </c>
      <c r="DS151" s="4">
        <f t="shared" si="411"/>
        <v>1.0000663306694051</v>
      </c>
      <c r="DT151" s="4">
        <f t="shared" si="330"/>
        <v>2.2360679774997898</v>
      </c>
      <c r="DU151" s="4">
        <f t="shared" si="441"/>
        <v>490.74367108234986</v>
      </c>
      <c r="DY151" s="4">
        <f t="shared" si="387"/>
        <v>0.85</v>
      </c>
      <c r="DZ151" s="4">
        <f t="shared" si="412"/>
        <v>1</v>
      </c>
      <c r="EA151" s="4">
        <f t="shared" si="413"/>
        <v>1</v>
      </c>
      <c r="EB151" s="4">
        <f t="shared" si="414"/>
        <v>1</v>
      </c>
      <c r="ED151" s="4">
        <f t="shared" si="442"/>
        <v>777.02066249961103</v>
      </c>
      <c r="EE151" s="25">
        <f t="shared" si="443"/>
        <v>484.28839639595202</v>
      </c>
      <c r="EH151" s="4">
        <f t="shared" si="314"/>
        <v>6.0985888771595622</v>
      </c>
      <c r="EI151" s="4">
        <f t="shared" si="367"/>
        <v>6.0985888771595622</v>
      </c>
      <c r="EK151" s="4">
        <f t="shared" si="368"/>
        <v>42.597094971370993</v>
      </c>
      <c r="EL151" s="4">
        <f t="shared" si="369"/>
        <v>2.2360679774997898</v>
      </c>
      <c r="EM151" s="4">
        <f t="shared" si="370"/>
        <v>0.1283059810021511</v>
      </c>
      <c r="EP151" s="4">
        <f t="shared" si="332"/>
        <v>0.1283059810021511</v>
      </c>
      <c r="EQ151" s="4">
        <f t="shared" si="333"/>
        <v>0.27030640428738761</v>
      </c>
      <c r="ER151" s="4">
        <f t="shared" si="371"/>
        <v>3.6138647216410691</v>
      </c>
      <c r="ES151" s="4">
        <f t="shared" si="388"/>
        <v>5.0135897830120628</v>
      </c>
      <c r="ET151" s="4">
        <f t="shared" si="372"/>
        <v>186.00290502862896</v>
      </c>
      <c r="EU151" s="4">
        <f t="shared" si="373"/>
        <v>76.199999999999989</v>
      </c>
      <c r="EV151" s="4">
        <f t="shared" si="415"/>
        <v>3.807121106173361E-5</v>
      </c>
      <c r="EW151" s="4">
        <f t="shared" si="389"/>
        <v>5.4968178476970175</v>
      </c>
      <c r="EX151" s="4">
        <f t="shared" si="374"/>
        <v>806.82554468193871</v>
      </c>
      <c r="EY151" s="4">
        <f t="shared" si="375"/>
        <v>186.00290502862896</v>
      </c>
      <c r="EZ151" s="4">
        <f t="shared" si="376"/>
        <v>76.2</v>
      </c>
      <c r="FB151" s="4">
        <f t="shared" si="338"/>
        <v>0</v>
      </c>
      <c r="FG151" s="23">
        <f t="shared" si="339"/>
        <v>0.8</v>
      </c>
      <c r="FH151" s="23">
        <f t="shared" si="339"/>
        <v>0.8</v>
      </c>
      <c r="FI151" s="23">
        <f t="shared" si="382"/>
        <v>1.4</v>
      </c>
      <c r="FJ151" s="23">
        <f t="shared" si="340"/>
        <v>2.2000000000000002</v>
      </c>
      <c r="FK151" s="23">
        <f t="shared" si="340"/>
        <v>0.8</v>
      </c>
      <c r="FL151" s="23">
        <f t="shared" si="340"/>
        <v>0.8</v>
      </c>
      <c r="FM151" s="23">
        <f t="shared" si="393"/>
        <v>1</v>
      </c>
      <c r="FN151" s="23"/>
      <c r="FX151" s="4">
        <f t="shared" si="416"/>
        <v>1.25</v>
      </c>
      <c r="FY151" s="4">
        <f t="shared" si="303"/>
        <v>0.9722222222222221</v>
      </c>
      <c r="FZ151" s="4">
        <f t="shared" si="417"/>
        <v>0</v>
      </c>
      <c r="GA151" s="4">
        <f t="shared" si="418"/>
        <v>446.26365733935933</v>
      </c>
    </row>
    <row r="152" spans="1:183" ht="12" hidden="1" customHeight="1" x14ac:dyDescent="0.3">
      <c r="A152" s="25">
        <v>134</v>
      </c>
      <c r="B152" s="24" t="s">
        <v>605</v>
      </c>
      <c r="C152" s="24">
        <v>2016</v>
      </c>
      <c r="D152" s="24" t="s">
        <v>199</v>
      </c>
      <c r="E152" s="24"/>
      <c r="F152" s="7" t="s">
        <v>651</v>
      </c>
      <c r="G152" s="38">
        <f t="shared" si="419"/>
        <v>826.20689655172418</v>
      </c>
      <c r="H152" s="38">
        <f t="shared" si="420"/>
        <v>304.79999999999995</v>
      </c>
      <c r="I152" s="7">
        <f t="shared" si="421"/>
        <v>304.79999999999995</v>
      </c>
      <c r="J152" s="38">
        <f t="shared" si="446"/>
        <v>75.103448275862064</v>
      </c>
      <c r="K152" s="38">
        <f t="shared" si="423"/>
        <v>19.049999999999997</v>
      </c>
      <c r="L152" s="7">
        <f t="shared" si="424"/>
        <v>16</v>
      </c>
      <c r="M152" s="7">
        <f t="shared" si="425"/>
        <v>16</v>
      </c>
      <c r="N152" s="38">
        <f t="shared" si="444"/>
        <v>457.2</v>
      </c>
      <c r="O152" s="38">
        <f t="shared" si="426"/>
        <v>50.8</v>
      </c>
      <c r="P152" s="21">
        <f>(5.3-1.9-2*0.75)*25.4</f>
        <v>48.26</v>
      </c>
      <c r="Q152" s="21">
        <f>(1.9)*25.4</f>
        <v>48.26</v>
      </c>
      <c r="R152" s="38">
        <v>3</v>
      </c>
      <c r="S152" s="38">
        <f t="shared" si="427"/>
        <v>50.8</v>
      </c>
      <c r="T152" s="7">
        <f t="shared" si="428"/>
        <v>1.7666666666666668</v>
      </c>
      <c r="U152" s="7">
        <f t="shared" si="429"/>
        <v>3.166666666666667</v>
      </c>
      <c r="V152" s="38">
        <v>4</v>
      </c>
      <c r="W152" s="7">
        <f t="shared" si="430"/>
        <v>4</v>
      </c>
      <c r="X152" s="4">
        <f t="shared" si="431"/>
        <v>5</v>
      </c>
      <c r="Y152" s="7">
        <f t="shared" si="352"/>
        <v>42.597094971370993</v>
      </c>
      <c r="Z152" s="7"/>
      <c r="AA152" s="7"/>
      <c r="AB152" s="38">
        <f t="shared" si="399"/>
        <v>621.37931034482756</v>
      </c>
      <c r="AC152" s="4">
        <v>90.1</v>
      </c>
      <c r="AD152" s="7">
        <f t="shared" si="334"/>
        <v>0.75208681135225364</v>
      </c>
      <c r="AE152" s="7"/>
      <c r="AF152" s="7"/>
      <c r="AG152" s="7">
        <v>1</v>
      </c>
      <c r="AH152" s="7"/>
      <c r="AI152" s="7"/>
      <c r="AJ152" s="7">
        <f t="shared" si="398"/>
        <v>0</v>
      </c>
      <c r="AK152" s="4">
        <f t="shared" si="445"/>
        <v>304.79999999999995</v>
      </c>
      <c r="AL152" s="47">
        <f t="shared" si="432"/>
        <v>0.19685039370078747</v>
      </c>
      <c r="AM152" s="25">
        <f t="shared" si="433"/>
        <v>539.3259121429644</v>
      </c>
      <c r="AN152" s="4">
        <f t="shared" si="434"/>
        <v>0.73958333333333326</v>
      </c>
      <c r="AO152" s="4">
        <v>1.25</v>
      </c>
      <c r="AP152" s="25">
        <f t="shared" si="317"/>
        <v>5</v>
      </c>
      <c r="AQ152" s="38">
        <f t="shared" si="435"/>
        <v>490.74367108235009</v>
      </c>
      <c r="AR152" s="38">
        <f t="shared" si="436"/>
        <v>490.74367108235009</v>
      </c>
      <c r="AT152" s="38">
        <f t="shared" si="437"/>
        <v>490.74367108234986</v>
      </c>
      <c r="AU152" s="38">
        <f t="shared" si="400"/>
        <v>1.0000000000000004</v>
      </c>
      <c r="AV152" s="38">
        <f t="shared" si="328"/>
        <v>1.4242929655702057</v>
      </c>
      <c r="AW152" s="4">
        <f t="shared" si="323"/>
        <v>0</v>
      </c>
      <c r="AX152" s="4">
        <f t="shared" si="379"/>
        <v>729.78733210456323</v>
      </c>
      <c r="AY152" s="4">
        <f t="shared" si="380"/>
        <v>1.3169811320754716</v>
      </c>
      <c r="AZ152" s="38">
        <f t="shared" si="438"/>
        <v>698.96275862068967</v>
      </c>
      <c r="BA152" s="4">
        <f t="shared" si="381"/>
        <v>0.44000000000000006</v>
      </c>
      <c r="BB152" s="4">
        <f t="shared" si="401"/>
        <v>167.7781076508391</v>
      </c>
      <c r="BC152" s="4">
        <f t="shared" si="402"/>
        <v>866.74086627152883</v>
      </c>
      <c r="BE152" s="36">
        <f t="shared" si="312"/>
        <v>1.1057894736842107</v>
      </c>
      <c r="BF152" s="36">
        <f t="shared" si="313"/>
        <v>456.15174746362703</v>
      </c>
      <c r="BK152" s="4">
        <f t="shared" si="355"/>
        <v>30.53</v>
      </c>
      <c r="BL152" s="4">
        <f t="shared" si="356"/>
        <v>30.53</v>
      </c>
      <c r="BM152" s="4">
        <f t="shared" si="357"/>
        <v>50.8</v>
      </c>
      <c r="BN152" s="4">
        <f t="shared" si="358"/>
        <v>40.055</v>
      </c>
      <c r="BO152" s="4">
        <f t="shared" si="359"/>
        <v>1.0663937111038324</v>
      </c>
      <c r="BP152" s="25">
        <f t="shared" si="439"/>
        <v>2.2422257269429928</v>
      </c>
      <c r="BR152" s="4">
        <f t="shared" si="331"/>
        <v>24.13</v>
      </c>
      <c r="BV152" s="9"/>
      <c r="BX152" s="9"/>
      <c r="BY152" s="9"/>
      <c r="BZ152" s="9">
        <f t="shared" si="383"/>
        <v>24.13</v>
      </c>
      <c r="CA152" s="9">
        <f t="shared" si="384"/>
        <v>50.8</v>
      </c>
      <c r="CB152" s="9">
        <f t="shared" si="403"/>
        <v>1.2584243974819915</v>
      </c>
      <c r="CC152" s="9">
        <v>20</v>
      </c>
      <c r="CD152" s="9">
        <f t="shared" si="306"/>
        <v>0</v>
      </c>
      <c r="CE152" s="9">
        <f t="shared" si="404"/>
        <v>0</v>
      </c>
      <c r="CF152" s="9">
        <f t="shared" si="385"/>
        <v>1</v>
      </c>
      <c r="CG152" s="9">
        <f t="shared" si="386"/>
        <v>0.68</v>
      </c>
      <c r="CH152" s="9">
        <f t="shared" si="405"/>
        <v>2.062561447360522</v>
      </c>
      <c r="CI152" s="9">
        <f t="shared" si="406"/>
        <v>2.5955776466642493</v>
      </c>
      <c r="CJ152" s="9">
        <v>1</v>
      </c>
      <c r="CK152" s="9">
        <f t="shared" si="407"/>
        <v>321.85162818636695</v>
      </c>
      <c r="CM152" s="4">
        <f t="shared" si="341"/>
        <v>0.85145258489605702</v>
      </c>
      <c r="CN152" s="4">
        <f t="shared" si="342"/>
        <v>0.7169147487158688</v>
      </c>
      <c r="CO152" s="4">
        <f t="shared" si="390"/>
        <v>1.362220607067554</v>
      </c>
      <c r="CP152" s="4">
        <f t="shared" si="335"/>
        <v>1.9306390147730439</v>
      </c>
      <c r="CQ152" s="4">
        <f t="shared" si="391"/>
        <v>0.75208681135225364</v>
      </c>
      <c r="CR152" s="4">
        <f t="shared" si="392"/>
        <v>0.75208681135225364</v>
      </c>
      <c r="CS152" s="4">
        <f t="shared" si="329"/>
        <v>1.249185320570019</v>
      </c>
      <c r="DA152" s="4">
        <f t="shared" si="394"/>
        <v>0.85145258489605702</v>
      </c>
      <c r="DB152" s="4">
        <f t="shared" si="394"/>
        <v>0.7169147487158688</v>
      </c>
      <c r="DC152" s="4">
        <f t="shared" si="395"/>
        <v>1.9306390147730439</v>
      </c>
      <c r="DD152" s="4">
        <f t="shared" si="396"/>
        <v>1.249185320570019</v>
      </c>
      <c r="DE152" s="4">
        <f t="shared" si="397"/>
        <v>0.75208681135225364</v>
      </c>
      <c r="DF152" s="4">
        <f t="shared" si="397"/>
        <v>0.75208681135225364</v>
      </c>
      <c r="DH152" s="4">
        <f t="shared" si="362"/>
        <v>0</v>
      </c>
      <c r="DI152" s="4">
        <f t="shared" si="363"/>
        <v>304.79999999999995</v>
      </c>
      <c r="DJ152" s="4">
        <f t="shared" si="364"/>
        <v>1</v>
      </c>
      <c r="DL152" s="4">
        <f t="shared" si="365"/>
        <v>3.807121106173361E-5</v>
      </c>
      <c r="DM152" s="4">
        <f t="shared" si="366"/>
        <v>7.8049715349349125</v>
      </c>
      <c r="DN152" s="4">
        <f t="shared" si="337"/>
        <v>0.2707582493430632</v>
      </c>
      <c r="DO152" s="4">
        <f t="shared" si="408"/>
        <v>4.6281135149808286</v>
      </c>
      <c r="DP152" s="4">
        <f t="shared" si="409"/>
        <v>6.4174991312703371</v>
      </c>
      <c r="DQ152" s="4">
        <f t="shared" si="410"/>
        <v>6.8239133200440145</v>
      </c>
      <c r="DR152" s="38">
        <f t="shared" si="440"/>
        <v>826.20689655172418</v>
      </c>
      <c r="DS152" s="4">
        <f t="shared" si="411"/>
        <v>1</v>
      </c>
      <c r="DT152" s="4">
        <f t="shared" si="330"/>
        <v>2.2360679774997898</v>
      </c>
      <c r="DU152" s="4">
        <f t="shared" si="441"/>
        <v>490.74367108234986</v>
      </c>
      <c r="DY152" s="4">
        <f t="shared" si="387"/>
        <v>0.85</v>
      </c>
      <c r="DZ152" s="4">
        <f t="shared" si="412"/>
        <v>0.97333333333333327</v>
      </c>
      <c r="EA152" s="4">
        <f t="shared" si="413"/>
        <v>1</v>
      </c>
      <c r="EB152" s="4">
        <f t="shared" si="414"/>
        <v>0.97333333333333327</v>
      </c>
      <c r="ED152" s="4">
        <f t="shared" si="442"/>
        <v>826.20689655172418</v>
      </c>
      <c r="EE152" s="25">
        <f t="shared" si="443"/>
        <v>484.28839639595202</v>
      </c>
      <c r="EH152" s="4">
        <f t="shared" si="314"/>
        <v>7.8049715349349125</v>
      </c>
      <c r="EI152" s="4">
        <f t="shared" si="367"/>
        <v>7.8049715349349125</v>
      </c>
      <c r="EK152" s="4">
        <f t="shared" si="368"/>
        <v>42.597094971370993</v>
      </c>
      <c r="EL152" s="4">
        <f t="shared" si="369"/>
        <v>2.2360679774997898</v>
      </c>
      <c r="EM152" s="4">
        <f t="shared" si="370"/>
        <v>0.1283059810021511</v>
      </c>
      <c r="EP152" s="4">
        <f t="shared" si="332"/>
        <v>0.1283059810021511</v>
      </c>
      <c r="EQ152" s="4">
        <f t="shared" si="333"/>
        <v>0.27030640428738761</v>
      </c>
      <c r="ER152" s="4">
        <f t="shared" si="371"/>
        <v>4.6250225833637622</v>
      </c>
      <c r="ES152" s="4">
        <f t="shared" si="388"/>
        <v>6.4163901408082813</v>
      </c>
      <c r="ET152" s="4">
        <f t="shared" si="372"/>
        <v>186.00290502862896</v>
      </c>
      <c r="EU152" s="4">
        <f t="shared" si="373"/>
        <v>76.199999999999989</v>
      </c>
      <c r="EV152" s="4">
        <f t="shared" si="415"/>
        <v>3.807121106173361E-5</v>
      </c>
      <c r="EW152" s="4">
        <f t="shared" si="389"/>
        <v>6.824109707617299</v>
      </c>
      <c r="EX152" s="4">
        <f t="shared" si="374"/>
        <v>826.20689655172418</v>
      </c>
      <c r="EY152" s="4">
        <f t="shared" si="375"/>
        <v>186.00290502862896</v>
      </c>
      <c r="EZ152" s="4">
        <f t="shared" si="376"/>
        <v>76.2</v>
      </c>
      <c r="FB152" s="4">
        <f t="shared" si="338"/>
        <v>0</v>
      </c>
      <c r="FG152" s="23">
        <f t="shared" si="339"/>
        <v>1</v>
      </c>
      <c r="FH152" s="23">
        <f t="shared" si="339"/>
        <v>0.8</v>
      </c>
      <c r="FI152" s="23">
        <f t="shared" si="382"/>
        <v>1.4</v>
      </c>
      <c r="FJ152" s="23">
        <f t="shared" si="340"/>
        <v>2</v>
      </c>
      <c r="FK152" s="23">
        <f t="shared" si="340"/>
        <v>0.8</v>
      </c>
      <c r="FL152" s="23">
        <f t="shared" si="340"/>
        <v>0.8</v>
      </c>
      <c r="FM152" s="23">
        <f t="shared" si="393"/>
        <v>1</v>
      </c>
      <c r="FN152" s="23"/>
      <c r="FX152" s="4">
        <f t="shared" si="416"/>
        <v>1.25</v>
      </c>
      <c r="FY152" s="4">
        <f t="shared" si="303"/>
        <v>0.87222222222222201</v>
      </c>
      <c r="FZ152" s="4">
        <f t="shared" si="417"/>
        <v>0</v>
      </c>
      <c r="GA152" s="4">
        <f t="shared" si="418"/>
        <v>497.42764353113307</v>
      </c>
    </row>
    <row r="153" spans="1:183" ht="12" hidden="1" customHeight="1" x14ac:dyDescent="0.3">
      <c r="A153" s="25">
        <v>135</v>
      </c>
      <c r="B153" s="24" t="s">
        <v>659</v>
      </c>
      <c r="C153" s="24">
        <v>2007</v>
      </c>
      <c r="D153" s="24" t="s">
        <v>309</v>
      </c>
      <c r="E153" s="24"/>
      <c r="F153" s="4" t="s">
        <v>112</v>
      </c>
      <c r="G153" s="7">
        <v>447.7</v>
      </c>
      <c r="H153" s="7">
        <v>888</v>
      </c>
      <c r="I153" s="7">
        <f>H153</f>
        <v>888</v>
      </c>
      <c r="J153" s="7">
        <v>24.2</v>
      </c>
      <c r="K153" s="37">
        <v>57.3</v>
      </c>
      <c r="L153" s="7">
        <f t="shared" si="424"/>
        <v>15.497382198952881</v>
      </c>
      <c r="M153" s="7">
        <f t="shared" si="425"/>
        <v>15.497382198952881</v>
      </c>
      <c r="N153" s="7">
        <v>350</v>
      </c>
      <c r="O153" s="7">
        <f t="shared" ref="O153:O164" si="447">(N153-K153)/2</f>
        <v>146.35</v>
      </c>
      <c r="P153" s="7">
        <f>958-20-I153</f>
        <v>50</v>
      </c>
      <c r="Q153" s="7">
        <v>0</v>
      </c>
      <c r="R153" s="7">
        <v>1</v>
      </c>
      <c r="S153" s="7">
        <f>958-105</f>
        <v>853</v>
      </c>
      <c r="T153" s="7">
        <f>O153/K153+0.5</f>
        <v>3.0541012216404888</v>
      </c>
      <c r="U153" s="7">
        <f>O153/K153+0.5</f>
        <v>3.0541012216404888</v>
      </c>
      <c r="V153" s="7">
        <f>10324/2581</f>
        <v>4</v>
      </c>
      <c r="W153" s="7">
        <f>10324/2581</f>
        <v>4</v>
      </c>
      <c r="X153" s="7">
        <f t="shared" si="431"/>
        <v>5</v>
      </c>
      <c r="Y153" s="7">
        <f t="shared" si="352"/>
        <v>128.12669511073796</v>
      </c>
      <c r="Z153" s="7">
        <f>G153</f>
        <v>447.7</v>
      </c>
      <c r="AA153" s="7">
        <v>20</v>
      </c>
      <c r="AB153" s="7"/>
      <c r="AC153" s="32" t="s">
        <v>183</v>
      </c>
      <c r="AD153" s="7"/>
      <c r="AE153" s="7"/>
      <c r="AF153" s="7"/>
      <c r="AG153" s="7">
        <v>1</v>
      </c>
      <c r="AH153" s="7"/>
      <c r="AI153" s="7"/>
      <c r="AJ153" s="7"/>
      <c r="AK153" s="4">
        <f t="shared" si="445"/>
        <v>888</v>
      </c>
      <c r="AL153" s="4">
        <f t="shared" ref="AL153:AL164" si="448">MIN(9*H153^2,N153*3*H153)/(9*H153^2)</f>
        <v>0.13138138138138139</v>
      </c>
      <c r="AM153" s="4">
        <f t="shared" ref="AM153:AM164" si="449">MIN(10*J153^0.5*H153^1.5,3.9*J153^0.5*H153^(5/3))/(PI()/4*K153^2)</f>
        <v>504.810066148418</v>
      </c>
      <c r="AN153" s="4">
        <f>MIN(0.7+0.3*N153/2/1.5/H153,1)</f>
        <v>0.73941441441441436</v>
      </c>
      <c r="AO153" s="4">
        <v>1.25</v>
      </c>
      <c r="AP153" s="25">
        <v>1</v>
      </c>
      <c r="AQ153" s="38">
        <f>AL153*AN153*AO153*AP153*AM153</f>
        <v>61.299898558592346</v>
      </c>
      <c r="AT153" s="38">
        <f t="shared" ref="AT153:AT216" si="450">AP153* (J153^0.5/AK153^0.5)/(PI()/4*K153^2)/R153/0.72 *(0.7+(MIN(O153,S153)+0.5*K153)/5/H153) *(3*N153*H153)</f>
        <v>61.299898558592375</v>
      </c>
      <c r="AU153" s="38">
        <f t="shared" si="400"/>
        <v>0.99999999999999956</v>
      </c>
      <c r="AV153" s="38">
        <f t="shared" si="328"/>
        <v>4.8227975120092603</v>
      </c>
      <c r="AW153" s="4">
        <f t="shared" si="323"/>
        <v>0</v>
      </c>
      <c r="AX153" s="4">
        <f t="shared" si="379"/>
        <v>401.24757975967572</v>
      </c>
      <c r="AY153" s="4">
        <f t="shared" si="380"/>
        <v>1</v>
      </c>
      <c r="AZ153" s="38">
        <f t="shared" si="438"/>
        <v>295.63699825479932</v>
      </c>
      <c r="BA153" s="4">
        <f t="shared" si="381"/>
        <v>0.44000000000000006</v>
      </c>
      <c r="BB153" s="4">
        <f t="shared" si="401"/>
        <v>92.246818586749441</v>
      </c>
      <c r="BC153" s="4">
        <f t="shared" si="402"/>
        <v>387.88381684154876</v>
      </c>
      <c r="BE153" s="4">
        <f t="shared" ref="BE153:BE216" si="451">MIN(1.5, 0.75+0.25*MIN(3,MAX(1,O153/K153))+0.4*MIN(1,(40*2*PI()*AE153^2/4/AG153/R153)/K153))</f>
        <v>1.3885253054101221</v>
      </c>
      <c r="BF153" s="4">
        <f t="shared" ref="BF153:BF216" si="452">(3*M153+30)*BE153*J153^0.5</f>
        <v>522.49041850239485</v>
      </c>
      <c r="BH153" s="4">
        <f>3.4/PI()^0.5*J153*T153*W153^0.5*AY153</f>
        <v>283.55203537536278</v>
      </c>
      <c r="BI153" s="4">
        <f>8/3*Z153*AA153^2/(Y153-K153-22)/K153*(Y153^2-K153^2)/(Y153^2-(K153+22)^2)</f>
        <v>221.33552459284101</v>
      </c>
      <c r="BJ153" s="4">
        <f>BI153/BH153</f>
        <v>0.78058168159449004</v>
      </c>
      <c r="BR153" s="4">
        <f t="shared" si="331"/>
        <v>146.35</v>
      </c>
      <c r="BV153" s="9"/>
      <c r="BX153" s="9"/>
      <c r="BY153" s="9"/>
      <c r="BZ153" s="9">
        <f t="shared" si="383"/>
        <v>50</v>
      </c>
      <c r="CA153" s="9">
        <f t="shared" si="384"/>
        <v>146.35</v>
      </c>
      <c r="CB153" s="9">
        <f t="shared" si="403"/>
        <v>1.0974155243334465</v>
      </c>
      <c r="CC153" s="9">
        <v>0</v>
      </c>
      <c r="CD153" s="9">
        <f t="shared" si="306"/>
        <v>0</v>
      </c>
      <c r="CE153" s="9">
        <f t="shared" si="404"/>
        <v>0</v>
      </c>
      <c r="CF153" s="9">
        <f t="shared" si="385"/>
        <v>0.77971450958075206</v>
      </c>
      <c r="CG153" s="9">
        <f t="shared" si="386"/>
        <v>1.1046</v>
      </c>
      <c r="CH153" s="9">
        <f t="shared" si="405"/>
        <v>1.4829154235940361</v>
      </c>
      <c r="CI153" s="9">
        <f t="shared" si="406"/>
        <v>1.627374407125604</v>
      </c>
      <c r="CJ153" s="9">
        <v>1</v>
      </c>
      <c r="CK153" s="9">
        <f t="shared" si="407"/>
        <v>198.52263709961557</v>
      </c>
      <c r="DH153" s="4">
        <f t="shared" si="362"/>
        <v>0</v>
      </c>
      <c r="DI153" s="4">
        <f t="shared" ref="DI153:DI216" si="453">I153</f>
        <v>888</v>
      </c>
      <c r="DL153" s="4">
        <f t="shared" si="365"/>
        <v>2.6516412632020574E-5</v>
      </c>
      <c r="DM153" s="4">
        <f t="shared" si="366"/>
        <v>4.7853498859682935</v>
      </c>
      <c r="DR153" s="38">
        <f t="shared" si="440"/>
        <v>61.299898558592375</v>
      </c>
      <c r="DS153" s="4">
        <f t="shared" si="411"/>
        <v>0.20373398091093661</v>
      </c>
      <c r="DU153" s="4">
        <f t="shared" si="441"/>
        <v>61.299898558592375</v>
      </c>
      <c r="DY153" s="4">
        <f t="shared" si="387"/>
        <v>1</v>
      </c>
      <c r="DZ153" s="4">
        <f t="shared" si="412"/>
        <v>0.84458987783595108</v>
      </c>
      <c r="EA153" s="4">
        <f t="shared" si="413"/>
        <v>1</v>
      </c>
      <c r="EB153" s="4">
        <f t="shared" si="414"/>
        <v>0.84458987783595108</v>
      </c>
      <c r="EE153" s="25"/>
      <c r="EH153" s="4">
        <f t="shared" ref="EH153:EH164" si="454">IF(K153&lt;22.2,1.1*5*(J153/30)^0.5,IF(K153&gt;=31.8,0.9*5*(J153/30)^0.5,1*5*(J153/30)^0.5))/EB153/DY153</f>
        <v>4.7853498859682935</v>
      </c>
      <c r="EK153" s="4">
        <f t="shared" si="368"/>
        <v>128.12669511073796</v>
      </c>
      <c r="EL153" s="4">
        <f t="shared" si="369"/>
        <v>2.2360679774997898</v>
      </c>
      <c r="EM153" s="4">
        <f t="shared" si="370"/>
        <v>8.4924666039829386E-2</v>
      </c>
      <c r="EP153" s="4">
        <f t="shared" si="332"/>
        <v>8.4924666039829386E-2</v>
      </c>
      <c r="EQ153" s="4">
        <f t="shared" si="333"/>
        <v>0.31518499753613483</v>
      </c>
      <c r="ER153" s="4">
        <f t="shared" si="371"/>
        <v>3.0153651565646373</v>
      </c>
      <c r="ES153" s="4">
        <f t="shared" si="388"/>
        <v>3.9999874968613209</v>
      </c>
      <c r="ET153" s="4">
        <f t="shared" si="372"/>
        <v>537.87330488926204</v>
      </c>
      <c r="EU153" s="4">
        <f t="shared" si="373"/>
        <v>222</v>
      </c>
      <c r="EV153" s="4">
        <f t="shared" si="415"/>
        <v>2.6516412632020574E-5</v>
      </c>
      <c r="EW153" s="4">
        <f t="shared" si="389"/>
        <v>4.0278338019438173</v>
      </c>
      <c r="EX153" s="4">
        <f>MIN(4/K153*(1*ER153*EK153+ES153*ET153+EU153*EW153)+DU153,MAX(G153,AB153))</f>
        <v>300.88205357058206</v>
      </c>
      <c r="FG153" s="23"/>
      <c r="FH153" s="23"/>
      <c r="FI153" s="23"/>
      <c r="FJ153" s="23"/>
      <c r="FK153" s="23"/>
      <c r="FL153" s="23"/>
      <c r="FM153" s="23"/>
      <c r="FN153" s="23"/>
      <c r="FX153" s="4">
        <f t="shared" si="416"/>
        <v>1</v>
      </c>
      <c r="FY153" s="4">
        <f t="shared" si="303"/>
        <v>1.0833333333333333</v>
      </c>
      <c r="FZ153" s="4">
        <f t="shared" si="417"/>
        <v>0</v>
      </c>
      <c r="GA153" s="4">
        <f t="shared" si="418"/>
        <v>210.64559565541157</v>
      </c>
    </row>
    <row r="154" spans="1:183" ht="12" hidden="1" customHeight="1" x14ac:dyDescent="0.3">
      <c r="A154" s="25">
        <v>136</v>
      </c>
      <c r="B154" s="24" t="s">
        <v>659</v>
      </c>
      <c r="C154" s="24">
        <v>2007</v>
      </c>
      <c r="D154" s="24" t="s">
        <v>309</v>
      </c>
      <c r="E154" s="24"/>
      <c r="F154" s="4" t="s">
        <v>113</v>
      </c>
      <c r="G154" s="7">
        <v>447.7</v>
      </c>
      <c r="H154" s="7">
        <v>684</v>
      </c>
      <c r="I154" s="7">
        <f t="shared" ref="I154:I217" si="455">H154</f>
        <v>684</v>
      </c>
      <c r="J154" s="7">
        <v>24.2</v>
      </c>
      <c r="K154" s="37">
        <v>57.3</v>
      </c>
      <c r="L154" s="7">
        <f t="shared" si="424"/>
        <v>11.93717277486911</v>
      </c>
      <c r="M154" s="7">
        <f t="shared" si="425"/>
        <v>11.93717277486911</v>
      </c>
      <c r="N154" s="7">
        <v>350</v>
      </c>
      <c r="O154" s="7">
        <f t="shared" si="447"/>
        <v>146.35</v>
      </c>
      <c r="P154" s="7">
        <f t="shared" ref="P154:P156" si="456">958-20-I154</f>
        <v>254</v>
      </c>
      <c r="Q154" s="7">
        <v>0</v>
      </c>
      <c r="R154" s="7">
        <v>1</v>
      </c>
      <c r="S154" s="7">
        <f t="shared" ref="S154:S156" si="457">958-105</f>
        <v>853</v>
      </c>
      <c r="T154" s="7">
        <f t="shared" ref="T154:T164" si="458">O154/K154+0.5</f>
        <v>3.0541012216404888</v>
      </c>
      <c r="U154" s="7">
        <f t="shared" ref="U154:U217" si="459">O154/K154+0.5</f>
        <v>3.0541012216404888</v>
      </c>
      <c r="V154" s="7">
        <f t="shared" ref="V154:W160" si="460">10324/2581</f>
        <v>4</v>
      </c>
      <c r="W154" s="7">
        <f t="shared" si="460"/>
        <v>4</v>
      </c>
      <c r="X154" s="7">
        <f t="shared" si="431"/>
        <v>5</v>
      </c>
      <c r="Y154" s="7">
        <f t="shared" si="352"/>
        <v>128.12669511073796</v>
      </c>
      <c r="Z154" s="7">
        <f t="shared" ref="Z154:Z217" si="461">G154</f>
        <v>447.7</v>
      </c>
      <c r="AA154" s="7">
        <v>20</v>
      </c>
      <c r="AB154" s="7"/>
      <c r="AC154" s="32" t="s">
        <v>183</v>
      </c>
      <c r="AD154" s="7"/>
      <c r="AE154" s="7"/>
      <c r="AF154" s="7"/>
      <c r="AG154" s="7">
        <v>1</v>
      </c>
      <c r="AH154" s="7"/>
      <c r="AI154" s="7"/>
      <c r="AJ154" s="7"/>
      <c r="AK154" s="4">
        <f t="shared" si="445"/>
        <v>684</v>
      </c>
      <c r="AL154" s="4">
        <f t="shared" si="448"/>
        <v>0.1705653021442495</v>
      </c>
      <c r="AM154" s="4">
        <f t="shared" si="449"/>
        <v>341.26575496815576</v>
      </c>
      <c r="AN154" s="4">
        <f>MIN(0.7+0.3*N154/2/1.5/H154,1)</f>
        <v>0.75116959064327482</v>
      </c>
      <c r="AO154" s="4">
        <v>1.25</v>
      </c>
      <c r="AP154" s="25">
        <v>1</v>
      </c>
      <c r="AQ154" s="38">
        <f t="shared" ref="AQ154:AQ164" si="462">AL154*AN154*AO154*AP154*AM154</f>
        <v>54.655190126095995</v>
      </c>
      <c r="AT154" s="38">
        <f t="shared" si="450"/>
        <v>54.655190126096059</v>
      </c>
      <c r="AU154" s="38">
        <f t="shared" si="400"/>
        <v>0.99999999999999878</v>
      </c>
      <c r="AV154" s="38">
        <f t="shared" si="328"/>
        <v>5.4091294453963004</v>
      </c>
      <c r="AW154" s="4">
        <f t="shared" si="323"/>
        <v>0</v>
      </c>
      <c r="AX154" s="4">
        <f t="shared" si="379"/>
        <v>309.06908170677718</v>
      </c>
      <c r="AY154" s="4">
        <f t="shared" si="380"/>
        <v>1</v>
      </c>
      <c r="AZ154" s="38">
        <f t="shared" si="438"/>
        <v>295.63699825479932</v>
      </c>
      <c r="BA154" s="4">
        <f t="shared" si="381"/>
        <v>0.44000000000000006</v>
      </c>
      <c r="BB154" s="4">
        <f t="shared" si="401"/>
        <v>71.054981884388084</v>
      </c>
      <c r="BC154" s="4">
        <f t="shared" si="402"/>
        <v>366.69198013918742</v>
      </c>
      <c r="BE154" s="4">
        <f t="shared" si="451"/>
        <v>1.3885253054101221</v>
      </c>
      <c r="BF154" s="4">
        <f t="shared" si="452"/>
        <v>449.53487752054093</v>
      </c>
      <c r="BH154" s="4">
        <f t="shared" ref="BH154:BH217" si="463">3.4/PI()^0.5*J154*T154*W154^0.5*AY154</f>
        <v>283.55203537536278</v>
      </c>
      <c r="BI154" s="4">
        <f t="shared" ref="BI154:BI217" si="464">8/3*Z154*AA154^2/(Y154-K154-22)/K154*(Y154^2-K154^2)/(Y154^2-(K154+22)^2)</f>
        <v>221.33552459284101</v>
      </c>
      <c r="BJ154" s="4">
        <f t="shared" ref="BJ154:BJ217" si="465">BI154/BH154</f>
        <v>0.78058168159449004</v>
      </c>
      <c r="BR154" s="4">
        <f t="shared" si="331"/>
        <v>146.35</v>
      </c>
      <c r="BV154" s="9"/>
      <c r="BX154" s="9"/>
      <c r="BY154" s="9"/>
      <c r="BZ154" s="9">
        <f t="shared" si="383"/>
        <v>146.35</v>
      </c>
      <c r="CA154" s="9">
        <f t="shared" si="384"/>
        <v>146.35</v>
      </c>
      <c r="CB154" s="9">
        <f t="shared" si="403"/>
        <v>1.5981555686604758</v>
      </c>
      <c r="CC154" s="9">
        <v>0</v>
      </c>
      <c r="CD154" s="9">
        <f t="shared" si="306"/>
        <v>0</v>
      </c>
      <c r="CE154" s="9">
        <f t="shared" si="404"/>
        <v>0</v>
      </c>
      <c r="CF154" s="9">
        <f t="shared" si="385"/>
        <v>0.77971450958075206</v>
      </c>
      <c r="CG154" s="9">
        <f t="shared" si="386"/>
        <v>1.1046</v>
      </c>
      <c r="CH154" s="9">
        <f t="shared" si="405"/>
        <v>1.4829154235940361</v>
      </c>
      <c r="CI154" s="9">
        <f t="shared" si="406"/>
        <v>2.3699295420693169</v>
      </c>
      <c r="CJ154" s="9">
        <v>1</v>
      </c>
      <c r="CK154" s="9">
        <f t="shared" si="407"/>
        <v>255.35680615595049</v>
      </c>
      <c r="DH154" s="4">
        <f t="shared" si="362"/>
        <v>0</v>
      </c>
      <c r="DI154" s="4">
        <f t="shared" si="453"/>
        <v>684</v>
      </c>
      <c r="DL154" s="4">
        <f t="shared" si="365"/>
        <v>2.0424804324664502E-5</v>
      </c>
      <c r="DM154" s="4">
        <f t="shared" si="366"/>
        <v>5.6298233952568157</v>
      </c>
      <c r="DR154" s="38">
        <f t="shared" si="440"/>
        <v>54.655190126096059</v>
      </c>
      <c r="DS154" s="4">
        <f t="shared" si="411"/>
        <v>0.20262170774375035</v>
      </c>
      <c r="DU154" s="4">
        <f t="shared" si="441"/>
        <v>54.655190126096059</v>
      </c>
      <c r="DY154" s="4">
        <f t="shared" si="387"/>
        <v>0.85</v>
      </c>
      <c r="DZ154" s="4">
        <f t="shared" si="412"/>
        <v>0.84458987783595108</v>
      </c>
      <c r="EA154" s="4">
        <f t="shared" si="413"/>
        <v>1</v>
      </c>
      <c r="EB154" s="4">
        <f t="shared" si="414"/>
        <v>0.84458987783595108</v>
      </c>
      <c r="EE154" s="25"/>
      <c r="EH154" s="4">
        <f t="shared" si="454"/>
        <v>5.6298233952568157</v>
      </c>
      <c r="EK154" s="4">
        <f t="shared" si="368"/>
        <v>128.12669511073796</v>
      </c>
      <c r="EL154" s="4">
        <f t="shared" si="369"/>
        <v>2.2360679774997898</v>
      </c>
      <c r="EM154" s="4">
        <f t="shared" si="370"/>
        <v>7.5719110111830371E-2</v>
      </c>
      <c r="EP154" s="4">
        <f t="shared" si="332"/>
        <v>7.5719110111830371E-2</v>
      </c>
      <c r="EQ154" s="4">
        <f t="shared" si="333"/>
        <v>0.28101997507817955</v>
      </c>
      <c r="ER154" s="4">
        <f t="shared" si="371"/>
        <v>3.3883607929613855</v>
      </c>
      <c r="ES154" s="4">
        <f t="shared" si="388"/>
        <v>4.64708552147642</v>
      </c>
      <c r="ET154" s="4">
        <f t="shared" si="372"/>
        <v>384.87330488926204</v>
      </c>
      <c r="EU154" s="4">
        <f t="shared" si="373"/>
        <v>171</v>
      </c>
      <c r="EV154" s="4">
        <f t="shared" si="415"/>
        <v>2.0424804324664502E-5</v>
      </c>
      <c r="EW154" s="4">
        <f t="shared" si="389"/>
        <v>5.0199533535242882</v>
      </c>
      <c r="EX154" s="4">
        <f t="shared" ref="EX154:EX217" si="466">MIN(4/K154*(1*ER154*EK154+ES154*ET154+EU154*EW154)+DU154,MAX(G154,AB154))</f>
        <v>269.74005270559093</v>
      </c>
      <c r="FG154" s="23"/>
      <c r="FH154" s="23"/>
      <c r="FI154" s="23"/>
      <c r="FJ154" s="23"/>
      <c r="FK154" s="23"/>
      <c r="FL154" s="23"/>
      <c r="FM154" s="23"/>
      <c r="FN154" s="23"/>
      <c r="FX154" s="4">
        <f t="shared" si="416"/>
        <v>1</v>
      </c>
      <c r="FY154" s="4">
        <f t="shared" si="303"/>
        <v>1.0833333333333333</v>
      </c>
      <c r="FZ154" s="4">
        <f t="shared" si="417"/>
        <v>0</v>
      </c>
      <c r="GA154" s="4">
        <f t="shared" si="418"/>
        <v>162.25403989673589</v>
      </c>
    </row>
    <row r="155" spans="1:183" ht="12" hidden="1" customHeight="1" x14ac:dyDescent="0.3">
      <c r="A155" s="25">
        <v>137</v>
      </c>
      <c r="B155" s="24" t="s">
        <v>659</v>
      </c>
      <c r="C155" s="24">
        <v>2007</v>
      </c>
      <c r="D155" s="24" t="s">
        <v>309</v>
      </c>
      <c r="E155" s="24"/>
      <c r="F155" s="4" t="s">
        <v>114</v>
      </c>
      <c r="G155" s="7">
        <v>447.7</v>
      </c>
      <c r="H155" s="7">
        <v>684</v>
      </c>
      <c r="I155" s="7">
        <f t="shared" si="455"/>
        <v>684</v>
      </c>
      <c r="J155" s="7">
        <v>24.2</v>
      </c>
      <c r="K155" s="37">
        <v>57.3</v>
      </c>
      <c r="L155" s="7">
        <f t="shared" si="424"/>
        <v>11.93717277486911</v>
      </c>
      <c r="M155" s="7">
        <f t="shared" si="425"/>
        <v>11.93717277486911</v>
      </c>
      <c r="N155" s="7">
        <v>350</v>
      </c>
      <c r="O155" s="7">
        <f t="shared" si="447"/>
        <v>146.35</v>
      </c>
      <c r="P155" s="7">
        <f t="shared" si="456"/>
        <v>254</v>
      </c>
      <c r="Q155" s="7">
        <v>0</v>
      </c>
      <c r="R155" s="7">
        <v>1</v>
      </c>
      <c r="S155" s="7">
        <f t="shared" si="457"/>
        <v>853</v>
      </c>
      <c r="T155" s="7">
        <f t="shared" si="458"/>
        <v>3.0541012216404888</v>
      </c>
      <c r="U155" s="7">
        <f t="shared" si="459"/>
        <v>3.0541012216404888</v>
      </c>
      <c r="V155" s="7">
        <f t="shared" si="460"/>
        <v>4</v>
      </c>
      <c r="W155" s="7">
        <f t="shared" si="460"/>
        <v>4</v>
      </c>
      <c r="X155" s="7">
        <f t="shared" si="431"/>
        <v>5</v>
      </c>
      <c r="Y155" s="7">
        <f t="shared" si="352"/>
        <v>128.12669511073796</v>
      </c>
      <c r="Z155" s="7">
        <f t="shared" si="461"/>
        <v>447.7</v>
      </c>
      <c r="AA155" s="7">
        <v>20</v>
      </c>
      <c r="AB155" s="7"/>
      <c r="AC155" s="32" t="s">
        <v>183</v>
      </c>
      <c r="AD155" s="7"/>
      <c r="AE155" s="7"/>
      <c r="AF155" s="7"/>
      <c r="AG155" s="7">
        <v>1</v>
      </c>
      <c r="AH155" s="7"/>
      <c r="AI155" s="7"/>
      <c r="AJ155" s="7"/>
      <c r="AK155" s="4">
        <f t="shared" si="445"/>
        <v>684</v>
      </c>
      <c r="AL155" s="4">
        <f t="shared" si="448"/>
        <v>0.1705653021442495</v>
      </c>
      <c r="AM155" s="4">
        <f t="shared" si="449"/>
        <v>341.26575496815576</v>
      </c>
      <c r="AN155" s="4">
        <f t="shared" ref="AN155:AN164" si="467">MIN(0.7+0.3*N155/2/1.5/H155,1)</f>
        <v>0.75116959064327482</v>
      </c>
      <c r="AO155" s="4">
        <v>1.25</v>
      </c>
      <c r="AP155" s="25">
        <v>1</v>
      </c>
      <c r="AQ155" s="38">
        <f t="shared" si="462"/>
        <v>54.655190126095995</v>
      </c>
      <c r="AT155" s="38">
        <f t="shared" si="450"/>
        <v>54.655190126096059</v>
      </c>
      <c r="AU155" s="38">
        <f t="shared" si="400"/>
        <v>0.99999999999999878</v>
      </c>
      <c r="AV155" s="38">
        <f t="shared" si="328"/>
        <v>5.4091294453963004</v>
      </c>
      <c r="AW155" s="4">
        <f t="shared" si="323"/>
        <v>0</v>
      </c>
      <c r="AX155" s="4">
        <f t="shared" si="379"/>
        <v>309.06908170677718</v>
      </c>
      <c r="AY155" s="4">
        <f t="shared" si="380"/>
        <v>1</v>
      </c>
      <c r="AZ155" s="38">
        <f t="shared" si="438"/>
        <v>295.63699825479932</v>
      </c>
      <c r="BA155" s="4">
        <f t="shared" si="381"/>
        <v>0.44000000000000006</v>
      </c>
      <c r="BB155" s="4">
        <f t="shared" si="401"/>
        <v>71.054981884388084</v>
      </c>
      <c r="BC155" s="4">
        <f t="shared" si="402"/>
        <v>366.69198013918742</v>
      </c>
      <c r="BE155" s="4">
        <f t="shared" si="451"/>
        <v>1.3885253054101221</v>
      </c>
      <c r="BF155" s="4">
        <f t="shared" si="452"/>
        <v>449.53487752054093</v>
      </c>
      <c r="BH155" s="4">
        <f t="shared" si="463"/>
        <v>283.55203537536278</v>
      </c>
      <c r="BI155" s="4">
        <f t="shared" si="464"/>
        <v>221.33552459284101</v>
      </c>
      <c r="BJ155" s="4">
        <f t="shared" si="465"/>
        <v>0.78058168159449004</v>
      </c>
      <c r="BR155" s="4">
        <f t="shared" si="331"/>
        <v>146.35</v>
      </c>
      <c r="BV155" s="9"/>
      <c r="BX155" s="9"/>
      <c r="BY155" s="9"/>
      <c r="BZ155" s="9">
        <f t="shared" si="383"/>
        <v>146.35</v>
      </c>
      <c r="CA155" s="9">
        <f t="shared" si="384"/>
        <v>146.35</v>
      </c>
      <c r="CB155" s="9">
        <f t="shared" si="403"/>
        <v>1.5981555686604758</v>
      </c>
      <c r="CC155" s="9">
        <v>0</v>
      </c>
      <c r="CD155" s="9">
        <f t="shared" si="306"/>
        <v>0</v>
      </c>
      <c r="CE155" s="9">
        <f t="shared" si="404"/>
        <v>0</v>
      </c>
      <c r="CF155" s="9">
        <f t="shared" si="385"/>
        <v>0.77971450958075206</v>
      </c>
      <c r="CG155" s="9">
        <f t="shared" si="386"/>
        <v>1.1046</v>
      </c>
      <c r="CH155" s="9">
        <f t="shared" si="405"/>
        <v>1.4829154235940361</v>
      </c>
      <c r="CI155" s="9">
        <f t="shared" si="406"/>
        <v>2.3699295420693169</v>
      </c>
      <c r="CJ155" s="9">
        <v>1</v>
      </c>
      <c r="CK155" s="9">
        <f t="shared" si="407"/>
        <v>255.35680615595049</v>
      </c>
      <c r="DH155" s="4">
        <f t="shared" si="362"/>
        <v>0</v>
      </c>
      <c r="DI155" s="4">
        <f t="shared" si="453"/>
        <v>684</v>
      </c>
      <c r="DL155" s="4">
        <f t="shared" si="365"/>
        <v>2.0424804324664502E-5</v>
      </c>
      <c r="DM155" s="4">
        <f t="shared" si="366"/>
        <v>5.6298233952568157</v>
      </c>
      <c r="DR155" s="38">
        <f t="shared" si="440"/>
        <v>54.655190126096059</v>
      </c>
      <c r="DS155" s="4">
        <f t="shared" si="411"/>
        <v>0.20262170774375035</v>
      </c>
      <c r="DU155" s="4">
        <f t="shared" si="441"/>
        <v>54.655190126096059</v>
      </c>
      <c r="DY155" s="4">
        <f t="shared" si="387"/>
        <v>0.85</v>
      </c>
      <c r="DZ155" s="4">
        <f t="shared" si="412"/>
        <v>0.84458987783595108</v>
      </c>
      <c r="EA155" s="4">
        <f t="shared" si="413"/>
        <v>1</v>
      </c>
      <c r="EB155" s="4">
        <f t="shared" si="414"/>
        <v>0.84458987783595108</v>
      </c>
      <c r="EE155" s="25"/>
      <c r="EH155" s="4">
        <f t="shared" si="454"/>
        <v>5.6298233952568157</v>
      </c>
      <c r="EK155" s="4">
        <f t="shared" si="368"/>
        <v>128.12669511073796</v>
      </c>
      <c r="EL155" s="4">
        <f t="shared" si="369"/>
        <v>2.2360679774997898</v>
      </c>
      <c r="EM155" s="4">
        <f t="shared" si="370"/>
        <v>7.5719110111830371E-2</v>
      </c>
      <c r="EP155" s="4">
        <f t="shared" si="332"/>
        <v>7.5719110111830371E-2</v>
      </c>
      <c r="EQ155" s="4">
        <f t="shared" si="333"/>
        <v>0.28101997507817955</v>
      </c>
      <c r="ER155" s="4">
        <f t="shared" si="371"/>
        <v>3.3883607929613855</v>
      </c>
      <c r="ES155" s="4">
        <f t="shared" si="388"/>
        <v>4.64708552147642</v>
      </c>
      <c r="ET155" s="4">
        <f t="shared" si="372"/>
        <v>384.87330488926204</v>
      </c>
      <c r="EU155" s="4">
        <f t="shared" si="373"/>
        <v>171</v>
      </c>
      <c r="EV155" s="4">
        <f t="shared" si="415"/>
        <v>2.0424804324664502E-5</v>
      </c>
      <c r="EW155" s="4">
        <f t="shared" si="389"/>
        <v>5.0199533535242882</v>
      </c>
      <c r="EX155" s="4">
        <f t="shared" si="466"/>
        <v>269.74005270559093</v>
      </c>
      <c r="FG155" s="23"/>
      <c r="FH155" s="23"/>
      <c r="FI155" s="23"/>
      <c r="FJ155" s="23"/>
      <c r="FK155" s="23"/>
      <c r="FL155" s="23"/>
      <c r="FM155" s="23"/>
      <c r="FN155" s="23"/>
      <c r="FX155" s="4">
        <f t="shared" si="416"/>
        <v>1</v>
      </c>
      <c r="FY155" s="4">
        <f t="shared" si="303"/>
        <v>1.0833333333333333</v>
      </c>
      <c r="FZ155" s="4">
        <f t="shared" si="417"/>
        <v>0</v>
      </c>
      <c r="GA155" s="4">
        <f t="shared" si="418"/>
        <v>162.25403989673589</v>
      </c>
    </row>
    <row r="156" spans="1:183" ht="12" hidden="1" customHeight="1" x14ac:dyDescent="0.3">
      <c r="A156" s="25">
        <v>138</v>
      </c>
      <c r="B156" s="24" t="s">
        <v>659</v>
      </c>
      <c r="C156" s="24">
        <v>2007</v>
      </c>
      <c r="D156" s="24" t="s">
        <v>309</v>
      </c>
      <c r="E156" s="24"/>
      <c r="F156" s="4" t="s">
        <v>115</v>
      </c>
      <c r="G156" s="7">
        <v>447.7</v>
      </c>
      <c r="H156" s="7">
        <v>479</v>
      </c>
      <c r="I156" s="7">
        <f t="shared" si="455"/>
        <v>479</v>
      </c>
      <c r="J156" s="7">
        <v>24.2</v>
      </c>
      <c r="K156" s="37">
        <v>57.3</v>
      </c>
      <c r="L156" s="7">
        <f t="shared" si="424"/>
        <v>8.3595113438045381</v>
      </c>
      <c r="M156" s="7">
        <f t="shared" si="425"/>
        <v>8.3595113438045381</v>
      </c>
      <c r="N156" s="7">
        <v>350</v>
      </c>
      <c r="O156" s="7">
        <f t="shared" si="447"/>
        <v>146.35</v>
      </c>
      <c r="P156" s="7">
        <f t="shared" si="456"/>
        <v>459</v>
      </c>
      <c r="Q156" s="7">
        <v>0</v>
      </c>
      <c r="R156" s="7">
        <v>1</v>
      </c>
      <c r="S156" s="7">
        <f t="shared" si="457"/>
        <v>853</v>
      </c>
      <c r="T156" s="7">
        <f>O156/K156+0.5</f>
        <v>3.0541012216404888</v>
      </c>
      <c r="U156" s="7">
        <f>O156/K156+0.5</f>
        <v>3.0541012216404888</v>
      </c>
      <c r="V156" s="7">
        <f t="shared" si="460"/>
        <v>4</v>
      </c>
      <c r="W156" s="7">
        <f t="shared" si="460"/>
        <v>4</v>
      </c>
      <c r="X156" s="7">
        <f t="shared" si="431"/>
        <v>5</v>
      </c>
      <c r="Y156" s="7">
        <f t="shared" si="352"/>
        <v>128.12669511073796</v>
      </c>
      <c r="Z156" s="7">
        <f t="shared" si="461"/>
        <v>447.7</v>
      </c>
      <c r="AA156" s="7">
        <v>20</v>
      </c>
      <c r="AB156" s="7">
        <f>309/2581*1000</f>
        <v>119.72103835722588</v>
      </c>
      <c r="AC156" s="32"/>
      <c r="AD156" s="7"/>
      <c r="AE156" s="7"/>
      <c r="AF156" s="7"/>
      <c r="AG156" s="7">
        <v>1</v>
      </c>
      <c r="AH156" s="7"/>
      <c r="AI156" s="7"/>
      <c r="AJ156" s="7"/>
      <c r="AK156" s="4">
        <f t="shared" si="445"/>
        <v>479</v>
      </c>
      <c r="AL156" s="4">
        <f t="shared" si="448"/>
        <v>0.24356297842727906</v>
      </c>
      <c r="AM156" s="4">
        <f t="shared" si="449"/>
        <v>199.9916335695587</v>
      </c>
      <c r="AN156" s="4">
        <f t="shared" si="467"/>
        <v>0.77306889352818364</v>
      </c>
      <c r="AO156" s="4">
        <v>1.25</v>
      </c>
      <c r="AP156" s="25">
        <v>1</v>
      </c>
      <c r="AQ156" s="38">
        <f t="shared" si="462"/>
        <v>47.070771405253517</v>
      </c>
      <c r="AT156" s="38">
        <f t="shared" si="450"/>
        <v>47.070771405253538</v>
      </c>
      <c r="AU156" s="38">
        <f t="shared" si="400"/>
        <v>0.99999999999999956</v>
      </c>
      <c r="AV156" s="38">
        <f t="shared" si="328"/>
        <v>6.2806915932931462</v>
      </c>
      <c r="AW156" s="4">
        <f t="shared" si="323"/>
        <v>0</v>
      </c>
      <c r="AX156" s="4">
        <f t="shared" si="379"/>
        <v>216.43872827126648</v>
      </c>
      <c r="AY156" s="4">
        <f t="shared" si="380"/>
        <v>1</v>
      </c>
      <c r="AZ156" s="38">
        <f t="shared" si="438"/>
        <v>295.63699825479932</v>
      </c>
      <c r="BA156" s="4">
        <f t="shared" si="381"/>
        <v>0.44000000000000006</v>
      </c>
      <c r="BB156" s="4">
        <f t="shared" si="401"/>
        <v>49.759263629564167</v>
      </c>
      <c r="BC156" s="4">
        <f t="shared" si="402"/>
        <v>345.39626188436347</v>
      </c>
      <c r="BE156" s="4">
        <f t="shared" si="451"/>
        <v>1.3885253054101221</v>
      </c>
      <c r="BF156" s="4">
        <f t="shared" si="452"/>
        <v>376.22171133779551</v>
      </c>
      <c r="BH156" s="4">
        <f t="shared" si="463"/>
        <v>283.55203537536278</v>
      </c>
      <c r="BI156" s="4">
        <f t="shared" si="464"/>
        <v>221.33552459284101</v>
      </c>
      <c r="BJ156" s="4">
        <f t="shared" si="465"/>
        <v>0.78058168159449004</v>
      </c>
      <c r="BR156" s="4">
        <f t="shared" si="331"/>
        <v>146.35</v>
      </c>
      <c r="BV156" s="9"/>
      <c r="BX156" s="9"/>
      <c r="BY156" s="9"/>
      <c r="BZ156" s="9">
        <f t="shared" si="383"/>
        <v>146.35</v>
      </c>
      <c r="CA156" s="9">
        <f t="shared" si="384"/>
        <v>146.35</v>
      </c>
      <c r="CB156" s="9">
        <f t="shared" si="403"/>
        <v>1.5981555686604758</v>
      </c>
      <c r="CC156" s="9">
        <v>0</v>
      </c>
      <c r="CD156" s="9">
        <f t="shared" si="306"/>
        <v>0</v>
      </c>
      <c r="CE156" s="9">
        <f t="shared" si="404"/>
        <v>0</v>
      </c>
      <c r="CF156" s="9">
        <f t="shared" si="385"/>
        <v>0.77971450958075206</v>
      </c>
      <c r="CG156" s="9">
        <f t="shared" si="386"/>
        <v>1.1046</v>
      </c>
      <c r="CH156" s="9">
        <f t="shared" si="405"/>
        <v>1.4829154235940361</v>
      </c>
      <c r="CI156" s="9">
        <f t="shared" si="406"/>
        <v>2.3699295420693169</v>
      </c>
      <c r="CJ156" s="9">
        <v>1</v>
      </c>
      <c r="CK156" s="9">
        <f t="shared" si="407"/>
        <v>221.44158408794283</v>
      </c>
      <c r="DH156" s="4">
        <f t="shared" si="362"/>
        <v>0</v>
      </c>
      <c r="DI156" s="4">
        <f t="shared" si="453"/>
        <v>479</v>
      </c>
      <c r="DL156" s="4">
        <f t="shared" si="365"/>
        <v>1.4303335192272361E-5</v>
      </c>
      <c r="DM156" s="4">
        <f t="shared" si="366"/>
        <v>5.6298233952568157</v>
      </c>
      <c r="DR156" s="38">
        <f t="shared" si="440"/>
        <v>47.070771405253538</v>
      </c>
      <c r="DS156" s="4">
        <f t="shared" si="411"/>
        <v>0.24247237022892729</v>
      </c>
      <c r="DU156" s="4">
        <f t="shared" si="441"/>
        <v>47.070771405253538</v>
      </c>
      <c r="DY156" s="4">
        <f t="shared" si="387"/>
        <v>0.85</v>
      </c>
      <c r="DZ156" s="4">
        <f t="shared" si="412"/>
        <v>0.84458987783595108</v>
      </c>
      <c r="EA156" s="4">
        <f t="shared" si="413"/>
        <v>1</v>
      </c>
      <c r="EB156" s="4">
        <f t="shared" si="414"/>
        <v>0.84458987783595108</v>
      </c>
      <c r="EE156" s="25"/>
      <c r="EH156" s="4">
        <f t="shared" si="454"/>
        <v>5.6298233952568157</v>
      </c>
      <c r="EK156" s="4">
        <f t="shared" si="368"/>
        <v>128.12669511073796</v>
      </c>
      <c r="EL156" s="4">
        <f t="shared" si="369"/>
        <v>2.2360679774997898</v>
      </c>
      <c r="EM156" s="4">
        <f t="shared" si="370"/>
        <v>6.5211682822075137E-2</v>
      </c>
      <c r="EP156" s="4">
        <f t="shared" si="332"/>
        <v>6.5211682822075137E-2</v>
      </c>
      <c r="EQ156" s="4">
        <f t="shared" si="333"/>
        <v>0.24202325482167125</v>
      </c>
      <c r="ER156" s="4">
        <f t="shared" si="371"/>
        <v>3.1918142575020001</v>
      </c>
      <c r="ES156" s="4">
        <f t="shared" si="388"/>
        <v>4.5773455930716711</v>
      </c>
      <c r="ET156" s="4">
        <f t="shared" si="372"/>
        <v>231.12330488926204</v>
      </c>
      <c r="EU156" s="4">
        <f t="shared" si="373"/>
        <v>119.75</v>
      </c>
      <c r="EV156" s="4">
        <f t="shared" si="415"/>
        <v>1.4303335192272361E-5</v>
      </c>
      <c r="EW156" s="4">
        <f t="shared" si="389"/>
        <v>5.3420673548371704</v>
      </c>
      <c r="EX156" s="4">
        <f t="shared" si="466"/>
        <v>194.12839228161235</v>
      </c>
      <c r="FG156" s="23"/>
      <c r="FH156" s="23"/>
      <c r="FI156" s="23"/>
      <c r="FJ156" s="23"/>
      <c r="FK156" s="23"/>
      <c r="FL156" s="23"/>
      <c r="FM156" s="23"/>
      <c r="FN156" s="23"/>
      <c r="FX156" s="4">
        <f t="shared" si="416"/>
        <v>1</v>
      </c>
      <c r="FY156" s="4">
        <f t="shared" si="303"/>
        <v>1.0833333333333333</v>
      </c>
      <c r="FZ156" s="4">
        <f t="shared" si="417"/>
        <v>0</v>
      </c>
      <c r="GA156" s="4">
        <f t="shared" si="418"/>
        <v>113.62527062943933</v>
      </c>
    </row>
    <row r="157" spans="1:183" ht="12" hidden="1" customHeight="1" x14ac:dyDescent="0.3">
      <c r="A157" s="25">
        <v>139</v>
      </c>
      <c r="B157" s="24" t="s">
        <v>659</v>
      </c>
      <c r="C157" s="24">
        <v>2007</v>
      </c>
      <c r="D157" s="24" t="s">
        <v>309</v>
      </c>
      <c r="E157" s="24"/>
      <c r="F157" s="4" t="s">
        <v>116</v>
      </c>
      <c r="G157" s="7">
        <v>450.6</v>
      </c>
      <c r="H157" s="7">
        <v>372</v>
      </c>
      <c r="I157" s="7">
        <f t="shared" si="455"/>
        <v>372</v>
      </c>
      <c r="J157" s="7">
        <v>24.6</v>
      </c>
      <c r="K157" s="7">
        <v>35.799999999999997</v>
      </c>
      <c r="L157" s="7">
        <f t="shared" si="424"/>
        <v>10.391061452513968</v>
      </c>
      <c r="M157" s="7">
        <f t="shared" si="425"/>
        <v>10.391061452513968</v>
      </c>
      <c r="N157" s="7">
        <v>220</v>
      </c>
      <c r="O157" s="7">
        <f t="shared" si="447"/>
        <v>92.1</v>
      </c>
      <c r="P157" s="7">
        <f>434-12-I157</f>
        <v>50</v>
      </c>
      <c r="Q157" s="7">
        <v>0</v>
      </c>
      <c r="R157" s="7">
        <v>1</v>
      </c>
      <c r="S157" s="7">
        <f>434-65</f>
        <v>369</v>
      </c>
      <c r="T157" s="7">
        <f t="shared" si="458"/>
        <v>3.0726256983240225</v>
      </c>
      <c r="U157" s="7">
        <f t="shared" si="459"/>
        <v>3.0726256983240225</v>
      </c>
      <c r="V157" s="7">
        <f>4024/1006</f>
        <v>4</v>
      </c>
      <c r="W157" s="7">
        <f>4024/1006</f>
        <v>4</v>
      </c>
      <c r="X157" s="7">
        <f t="shared" si="431"/>
        <v>5</v>
      </c>
      <c r="Y157" s="7">
        <f t="shared" si="352"/>
        <v>80.051233594492473</v>
      </c>
      <c r="Z157" s="7">
        <f t="shared" si="461"/>
        <v>450.6</v>
      </c>
      <c r="AA157" s="7">
        <v>12</v>
      </c>
      <c r="AB157" s="7"/>
      <c r="AC157" s="32" t="s">
        <v>183</v>
      </c>
      <c r="AD157" s="7"/>
      <c r="AE157" s="7"/>
      <c r="AF157" s="7"/>
      <c r="AG157" s="7">
        <v>1</v>
      </c>
      <c r="AH157" s="7"/>
      <c r="AI157" s="7"/>
      <c r="AJ157" s="7"/>
      <c r="AK157" s="4">
        <f t="shared" si="445"/>
        <v>372</v>
      </c>
      <c r="AL157" s="4">
        <f t="shared" si="448"/>
        <v>0.1971326164874552</v>
      </c>
      <c r="AM157" s="4">
        <f t="shared" si="449"/>
        <v>353.52980095027158</v>
      </c>
      <c r="AN157" s="4">
        <f t="shared" si="467"/>
        <v>0.75913978494623646</v>
      </c>
      <c r="AO157" s="4">
        <v>1.25</v>
      </c>
      <c r="AP157" s="25">
        <v>1</v>
      </c>
      <c r="AQ157" s="38">
        <f t="shared" si="462"/>
        <v>66.132704025990705</v>
      </c>
      <c r="AT157" s="38">
        <f t="shared" si="450"/>
        <v>66.132704025990748</v>
      </c>
      <c r="AU157" s="38">
        <f t="shared" si="400"/>
        <v>0.99999999999999933</v>
      </c>
      <c r="AV157" s="38">
        <f t="shared" si="328"/>
        <v>4.5718131923996177</v>
      </c>
      <c r="AW157" s="4">
        <f t="shared" si="323"/>
        <v>0</v>
      </c>
      <c r="AX157" s="4">
        <f t="shared" si="379"/>
        <v>271.25257262928875</v>
      </c>
      <c r="AY157" s="4">
        <f t="shared" si="380"/>
        <v>1</v>
      </c>
      <c r="AZ157" s="38">
        <f t="shared" si="438"/>
        <v>302.34636871508383</v>
      </c>
      <c r="BA157" s="4">
        <f t="shared" si="381"/>
        <v>0.44000000000000006</v>
      </c>
      <c r="BB157" s="4">
        <f t="shared" si="401"/>
        <v>62.360966447473494</v>
      </c>
      <c r="BC157" s="4">
        <f t="shared" si="402"/>
        <v>364.70733516255734</v>
      </c>
      <c r="BE157" s="4">
        <f t="shared" si="451"/>
        <v>1.3931564245810057</v>
      </c>
      <c r="BF157" s="4">
        <f t="shared" si="452"/>
        <v>422.69637540686551</v>
      </c>
      <c r="BH157" s="4">
        <f t="shared" si="463"/>
        <v>289.98714214931721</v>
      </c>
      <c r="BI157" s="4">
        <f t="shared" si="464"/>
        <v>363.03340318192352</v>
      </c>
      <c r="BJ157" s="4">
        <f t="shared" si="465"/>
        <v>1.2518948270988997</v>
      </c>
      <c r="BR157" s="4">
        <f t="shared" si="331"/>
        <v>92.1</v>
      </c>
      <c r="BV157" s="9"/>
      <c r="BX157" s="9"/>
      <c r="BY157" s="9"/>
      <c r="BZ157" s="9">
        <f t="shared" si="383"/>
        <v>50</v>
      </c>
      <c r="CA157" s="9">
        <f t="shared" si="384"/>
        <v>92.1</v>
      </c>
      <c r="CB157" s="9">
        <f t="shared" si="403"/>
        <v>1.2952002892239232</v>
      </c>
      <c r="CC157" s="9">
        <v>0</v>
      </c>
      <c r="CD157" s="9">
        <f t="shared" si="306"/>
        <v>0</v>
      </c>
      <c r="CE157" s="9">
        <f t="shared" si="404"/>
        <v>0</v>
      </c>
      <c r="CF157" s="9">
        <f t="shared" si="385"/>
        <v>0.89787751228078194</v>
      </c>
      <c r="CG157" s="9">
        <f t="shared" si="386"/>
        <v>1.0988</v>
      </c>
      <c r="CH157" s="9">
        <f t="shared" si="405"/>
        <v>1.7126607436390533</v>
      </c>
      <c r="CI157" s="9">
        <f t="shared" si="406"/>
        <v>2.2182386905037612</v>
      </c>
      <c r="CJ157" s="9">
        <v>1</v>
      </c>
      <c r="CK157" s="9">
        <f t="shared" si="407"/>
        <v>225.29373962770046</v>
      </c>
      <c r="DH157" s="4">
        <f t="shared" si="362"/>
        <v>0</v>
      </c>
      <c r="DI157" s="4">
        <f t="shared" si="453"/>
        <v>372</v>
      </c>
      <c r="DL157" s="4">
        <f t="shared" si="365"/>
        <v>1.7833504313203137E-5</v>
      </c>
      <c r="DM157" s="4">
        <f t="shared" si="366"/>
        <v>5.6886371181108544</v>
      </c>
      <c r="DR157" s="38">
        <f t="shared" si="440"/>
        <v>66.132704025990748</v>
      </c>
      <c r="DS157" s="4">
        <f t="shared" si="411"/>
        <v>0.26356326816005199</v>
      </c>
      <c r="DU157" s="4">
        <f t="shared" si="441"/>
        <v>66.132704025990748</v>
      </c>
      <c r="DY157" s="4">
        <f t="shared" si="387"/>
        <v>0.85</v>
      </c>
      <c r="DZ157" s="4">
        <f t="shared" si="412"/>
        <v>0.84273743016759772</v>
      </c>
      <c r="EA157" s="4">
        <f t="shared" si="413"/>
        <v>1</v>
      </c>
      <c r="EB157" s="4">
        <f t="shared" si="414"/>
        <v>0.84273743016759772</v>
      </c>
      <c r="EE157" s="25"/>
      <c r="EH157" s="4">
        <f t="shared" si="454"/>
        <v>5.6886371181108544</v>
      </c>
      <c r="EK157" s="4">
        <f t="shared" si="368"/>
        <v>80.051233594492473</v>
      </c>
      <c r="EL157" s="4">
        <f t="shared" si="369"/>
        <v>2.2360679774997898</v>
      </c>
      <c r="EM157" s="4">
        <f t="shared" si="370"/>
        <v>5.6775230548321946E-2</v>
      </c>
      <c r="EP157" s="4">
        <f t="shared" si="332"/>
        <v>5.6775230548321946E-2</v>
      </c>
      <c r="EQ157" s="4">
        <f t="shared" si="333"/>
        <v>0.20899251175674796</v>
      </c>
      <c r="ER157" s="4">
        <f t="shared" si="371"/>
        <v>3.0413088165266138</v>
      </c>
      <c r="ES157" s="4">
        <f t="shared" si="388"/>
        <v>4.5629208180888385</v>
      </c>
      <c r="ET157" s="4">
        <f t="shared" si="372"/>
        <v>198.94876640550751</v>
      </c>
      <c r="EU157" s="4">
        <f t="shared" si="373"/>
        <v>93</v>
      </c>
      <c r="EV157" s="4">
        <f t="shared" si="415"/>
        <v>1.7833504313203137E-5</v>
      </c>
      <c r="EW157" s="4">
        <f t="shared" si="389"/>
        <v>5.4040670108283386</v>
      </c>
      <c r="EX157" s="4">
        <f t="shared" si="466"/>
        <v>250.91775681667013</v>
      </c>
      <c r="FG157" s="23"/>
      <c r="FH157" s="23"/>
      <c r="FI157" s="23"/>
      <c r="FJ157" s="23"/>
      <c r="FK157" s="23"/>
      <c r="FL157" s="23"/>
      <c r="FM157" s="23"/>
      <c r="FN157" s="23"/>
      <c r="FX157" s="4">
        <f t="shared" si="416"/>
        <v>1</v>
      </c>
      <c r="FY157" s="4">
        <f t="shared" si="303"/>
        <v>1.0833333333333333</v>
      </c>
      <c r="FZ157" s="4">
        <f t="shared" si="417"/>
        <v>0</v>
      </c>
      <c r="GA157" s="4">
        <f t="shared" si="418"/>
        <v>179.41951788441713</v>
      </c>
    </row>
    <row r="158" spans="1:183" ht="12" hidden="1" customHeight="1" x14ac:dyDescent="0.3">
      <c r="A158" s="25">
        <v>140</v>
      </c>
      <c r="B158" s="24" t="s">
        <v>659</v>
      </c>
      <c r="C158" s="24">
        <v>2007</v>
      </c>
      <c r="D158" s="24" t="s">
        <v>309</v>
      </c>
      <c r="E158" s="24"/>
      <c r="F158" s="4" t="s">
        <v>117</v>
      </c>
      <c r="G158" s="7">
        <v>450.6</v>
      </c>
      <c r="H158" s="7">
        <v>295</v>
      </c>
      <c r="I158" s="7">
        <f t="shared" si="455"/>
        <v>295</v>
      </c>
      <c r="J158" s="7">
        <v>24.6</v>
      </c>
      <c r="K158" s="7">
        <v>35.799999999999997</v>
      </c>
      <c r="L158" s="7">
        <f t="shared" si="424"/>
        <v>8.2402234636871512</v>
      </c>
      <c r="M158" s="7">
        <f t="shared" si="425"/>
        <v>8.2402234636871512</v>
      </c>
      <c r="N158" s="7">
        <v>220</v>
      </c>
      <c r="O158" s="7">
        <f t="shared" si="447"/>
        <v>92.1</v>
      </c>
      <c r="P158" s="7">
        <f t="shared" ref="P158:P160" si="468">434-12-I158</f>
        <v>127</v>
      </c>
      <c r="Q158" s="7">
        <v>0</v>
      </c>
      <c r="R158" s="7">
        <v>1</v>
      </c>
      <c r="S158" s="7">
        <f>434-65</f>
        <v>369</v>
      </c>
      <c r="T158" s="7">
        <f t="shared" si="458"/>
        <v>3.0726256983240225</v>
      </c>
      <c r="U158" s="7">
        <f t="shared" si="459"/>
        <v>3.0726256983240225</v>
      </c>
      <c r="V158" s="7">
        <f t="shared" si="460"/>
        <v>4</v>
      </c>
      <c r="W158" s="7">
        <f t="shared" si="460"/>
        <v>4</v>
      </c>
      <c r="X158" s="7">
        <f t="shared" si="431"/>
        <v>5</v>
      </c>
      <c r="Y158" s="7">
        <f t="shared" si="352"/>
        <v>80.051233594492473</v>
      </c>
      <c r="Z158" s="7">
        <f t="shared" si="461"/>
        <v>450.6</v>
      </c>
      <c r="AA158" s="7">
        <v>12</v>
      </c>
      <c r="AB158" s="7"/>
      <c r="AC158" s="32" t="s">
        <v>183</v>
      </c>
      <c r="AD158" s="7"/>
      <c r="AE158" s="7"/>
      <c r="AF158" s="7"/>
      <c r="AG158" s="7">
        <v>1</v>
      </c>
      <c r="AH158" s="7"/>
      <c r="AI158" s="7"/>
      <c r="AJ158" s="7"/>
      <c r="AK158" s="4">
        <f t="shared" si="445"/>
        <v>295</v>
      </c>
      <c r="AL158" s="4">
        <f t="shared" si="448"/>
        <v>0.24858757062146894</v>
      </c>
      <c r="AM158" s="4">
        <f t="shared" si="449"/>
        <v>249.65751469880246</v>
      </c>
      <c r="AN158" s="4">
        <f t="shared" si="467"/>
        <v>0.77457627118644068</v>
      </c>
      <c r="AO158" s="4">
        <v>1.25</v>
      </c>
      <c r="AP158" s="25">
        <v>1</v>
      </c>
      <c r="AQ158" s="38">
        <f t="shared" si="462"/>
        <v>60.089453528242842</v>
      </c>
      <c r="AT158" s="38">
        <f t="shared" si="450"/>
        <v>60.089453528242863</v>
      </c>
      <c r="AU158" s="38">
        <f t="shared" si="400"/>
        <v>0.99999999999999967</v>
      </c>
      <c r="AV158" s="38">
        <f t="shared" si="328"/>
        <v>5.0316045655661839</v>
      </c>
      <c r="AW158" s="4">
        <f t="shared" si="323"/>
        <v>0</v>
      </c>
      <c r="AX158" s="4">
        <f t="shared" si="379"/>
        <v>215.10620678935533</v>
      </c>
      <c r="AY158" s="4">
        <f t="shared" si="380"/>
        <v>1</v>
      </c>
      <c r="AZ158" s="38">
        <f t="shared" si="438"/>
        <v>302.34636871508383</v>
      </c>
      <c r="BA158" s="4">
        <f t="shared" si="381"/>
        <v>0.44000000000000006</v>
      </c>
      <c r="BB158" s="4">
        <f t="shared" si="401"/>
        <v>49.452916940872797</v>
      </c>
      <c r="BC158" s="4">
        <f t="shared" si="402"/>
        <v>351.79928565595662</v>
      </c>
      <c r="BE158" s="4">
        <f t="shared" si="451"/>
        <v>1.3931564245810057</v>
      </c>
      <c r="BF158" s="4">
        <f t="shared" si="452"/>
        <v>378.1105933434016</v>
      </c>
      <c r="BH158" s="4">
        <f t="shared" si="463"/>
        <v>289.98714214931721</v>
      </c>
      <c r="BI158" s="4">
        <f t="shared" si="464"/>
        <v>363.03340318192352</v>
      </c>
      <c r="BJ158" s="4">
        <f t="shared" si="465"/>
        <v>1.2518948270988997</v>
      </c>
      <c r="BR158" s="4">
        <f t="shared" si="331"/>
        <v>92.1</v>
      </c>
      <c r="BV158" s="9"/>
      <c r="BX158" s="9"/>
      <c r="BY158" s="9"/>
      <c r="BZ158" s="9">
        <f t="shared" si="383"/>
        <v>92.1</v>
      </c>
      <c r="CA158" s="9">
        <f t="shared" si="384"/>
        <v>92.1</v>
      </c>
      <c r="CB158" s="9">
        <f t="shared" si="403"/>
        <v>1.6039406779317067</v>
      </c>
      <c r="CC158" s="9">
        <v>0</v>
      </c>
      <c r="CD158" s="9">
        <f t="shared" si="306"/>
        <v>0</v>
      </c>
      <c r="CE158" s="9">
        <f t="shared" si="404"/>
        <v>0</v>
      </c>
      <c r="CF158" s="9">
        <f t="shared" si="385"/>
        <v>0.89787751228078194</v>
      </c>
      <c r="CG158" s="9">
        <f t="shared" si="386"/>
        <v>1.0988</v>
      </c>
      <c r="CH158" s="9">
        <f t="shared" si="405"/>
        <v>1.7126607436390533</v>
      </c>
      <c r="CI158" s="9">
        <f t="shared" si="406"/>
        <v>2.7470062342194441</v>
      </c>
      <c r="CJ158" s="9">
        <v>1</v>
      </c>
      <c r="CK158" s="9">
        <f t="shared" si="407"/>
        <v>255.36415495760644</v>
      </c>
      <c r="DH158" s="4">
        <f t="shared" si="362"/>
        <v>0</v>
      </c>
      <c r="DI158" s="4">
        <f t="shared" si="453"/>
        <v>295</v>
      </c>
      <c r="DL158" s="4">
        <f t="shared" si="365"/>
        <v>1.4142160678480981E-5</v>
      </c>
      <c r="DM158" s="4">
        <f t="shared" si="366"/>
        <v>5.6886371181108544</v>
      </c>
      <c r="DR158" s="38">
        <f t="shared" si="440"/>
        <v>60.089453528242863</v>
      </c>
      <c r="DS158" s="4">
        <f t="shared" si="411"/>
        <v>0.29583762773159056</v>
      </c>
      <c r="DU158" s="4">
        <f t="shared" si="441"/>
        <v>60.089453528242863</v>
      </c>
      <c r="DY158" s="4">
        <f t="shared" si="387"/>
        <v>0.85</v>
      </c>
      <c r="DZ158" s="4">
        <f t="shared" si="412"/>
        <v>0.84273743016759772</v>
      </c>
      <c r="EA158" s="4">
        <f t="shared" si="413"/>
        <v>1</v>
      </c>
      <c r="EB158" s="4">
        <f t="shared" si="414"/>
        <v>0.84273743016759772</v>
      </c>
      <c r="EE158" s="25"/>
      <c r="EH158" s="4">
        <f t="shared" si="454"/>
        <v>5.6886371181108544</v>
      </c>
      <c r="EK158" s="4">
        <f t="shared" si="368"/>
        <v>80.051233594492473</v>
      </c>
      <c r="EL158" s="4">
        <f t="shared" si="369"/>
        <v>2.2360679774997898</v>
      </c>
      <c r="EM158" s="4">
        <f t="shared" si="370"/>
        <v>5.1587072203306245E-2</v>
      </c>
      <c r="EP158" s="4">
        <f t="shared" si="332"/>
        <v>5.1587072203306245E-2</v>
      </c>
      <c r="EQ158" s="4">
        <f t="shared" si="333"/>
        <v>0.18989463697148015</v>
      </c>
      <c r="ER158" s="4">
        <f t="shared" si="371"/>
        <v>2.9269365675660954</v>
      </c>
      <c r="ES158" s="4">
        <f t="shared" si="388"/>
        <v>4.5257142689842214</v>
      </c>
      <c r="ET158" s="4">
        <f t="shared" si="372"/>
        <v>141.19876640550751</v>
      </c>
      <c r="EU158" s="4">
        <f t="shared" si="373"/>
        <v>73.75</v>
      </c>
      <c r="EV158" s="4">
        <f t="shared" si="415"/>
        <v>1.4142160678480981E-5</v>
      </c>
      <c r="EW158" s="4">
        <f t="shared" si="389"/>
        <v>5.5153952400549962</v>
      </c>
      <c r="EX158" s="4">
        <f t="shared" si="466"/>
        <v>203.1163310394079</v>
      </c>
      <c r="FG158" s="23"/>
      <c r="FH158" s="23"/>
      <c r="FI158" s="23"/>
      <c r="FJ158" s="23"/>
      <c r="FK158" s="23"/>
      <c r="FL158" s="23"/>
      <c r="FM158" s="23"/>
      <c r="FN158" s="23"/>
      <c r="FX158" s="4">
        <f t="shared" si="416"/>
        <v>1</v>
      </c>
      <c r="FY158" s="4">
        <f t="shared" si="303"/>
        <v>1.0833333333333333</v>
      </c>
      <c r="FZ158" s="4">
        <f t="shared" si="417"/>
        <v>0</v>
      </c>
      <c r="GA158" s="4">
        <f t="shared" si="418"/>
        <v>142.28160692447059</v>
      </c>
    </row>
    <row r="159" spans="1:183" ht="12" hidden="1" customHeight="1" x14ac:dyDescent="0.3">
      <c r="A159" s="25">
        <v>141</v>
      </c>
      <c r="B159" s="24" t="s">
        <v>659</v>
      </c>
      <c r="C159" s="24">
        <v>2007</v>
      </c>
      <c r="D159" s="24" t="s">
        <v>309</v>
      </c>
      <c r="E159" s="24"/>
      <c r="F159" s="4" t="s">
        <v>118</v>
      </c>
      <c r="G159" s="7">
        <v>450.6</v>
      </c>
      <c r="H159" s="7">
        <v>295</v>
      </c>
      <c r="I159" s="7">
        <f t="shared" si="455"/>
        <v>295</v>
      </c>
      <c r="J159" s="7">
        <v>24.6</v>
      </c>
      <c r="K159" s="7">
        <v>35.799999999999997</v>
      </c>
      <c r="L159" s="7">
        <f t="shared" si="424"/>
        <v>8.2402234636871512</v>
      </c>
      <c r="M159" s="7">
        <f t="shared" si="425"/>
        <v>8.2402234636871512</v>
      </c>
      <c r="N159" s="7">
        <v>220</v>
      </c>
      <c r="O159" s="7">
        <f t="shared" si="447"/>
        <v>92.1</v>
      </c>
      <c r="P159" s="7">
        <f t="shared" si="468"/>
        <v>127</v>
      </c>
      <c r="Q159" s="7">
        <v>0</v>
      </c>
      <c r="R159" s="7">
        <v>1</v>
      </c>
      <c r="S159" s="7">
        <f>434-65</f>
        <v>369</v>
      </c>
      <c r="T159" s="7">
        <f t="shared" si="458"/>
        <v>3.0726256983240225</v>
      </c>
      <c r="U159" s="7">
        <f t="shared" si="459"/>
        <v>3.0726256983240225</v>
      </c>
      <c r="V159" s="7">
        <f t="shared" si="460"/>
        <v>4</v>
      </c>
      <c r="W159" s="7">
        <f t="shared" si="460"/>
        <v>4</v>
      </c>
      <c r="X159" s="7">
        <f t="shared" si="431"/>
        <v>5</v>
      </c>
      <c r="Y159" s="7">
        <f t="shared" si="352"/>
        <v>80.051233594492473</v>
      </c>
      <c r="Z159" s="7">
        <f t="shared" si="461"/>
        <v>450.6</v>
      </c>
      <c r="AA159" s="7">
        <v>12</v>
      </c>
      <c r="AB159" s="7"/>
      <c r="AC159" s="32" t="s">
        <v>183</v>
      </c>
      <c r="AD159" s="7"/>
      <c r="AE159" s="7"/>
      <c r="AF159" s="7"/>
      <c r="AG159" s="7">
        <v>1</v>
      </c>
      <c r="AH159" s="7"/>
      <c r="AI159" s="7"/>
      <c r="AJ159" s="7"/>
      <c r="AK159" s="4">
        <f t="shared" si="445"/>
        <v>295</v>
      </c>
      <c r="AL159" s="4">
        <f t="shared" si="448"/>
        <v>0.24858757062146894</v>
      </c>
      <c r="AM159" s="4">
        <f t="shared" si="449"/>
        <v>249.65751469880246</v>
      </c>
      <c r="AN159" s="4">
        <f t="shared" si="467"/>
        <v>0.77457627118644068</v>
      </c>
      <c r="AO159" s="4">
        <v>1.25</v>
      </c>
      <c r="AP159" s="25">
        <v>1</v>
      </c>
      <c r="AQ159" s="38">
        <f t="shared" si="462"/>
        <v>60.089453528242842</v>
      </c>
      <c r="AT159" s="38">
        <f t="shared" si="450"/>
        <v>60.089453528242863</v>
      </c>
      <c r="AU159" s="38">
        <f t="shared" si="400"/>
        <v>0.99999999999999967</v>
      </c>
      <c r="AV159" s="38">
        <f t="shared" si="328"/>
        <v>5.0316045655661839</v>
      </c>
      <c r="AW159" s="4">
        <f t="shared" si="323"/>
        <v>0</v>
      </c>
      <c r="AX159" s="4">
        <f t="shared" si="379"/>
        <v>215.10620678935533</v>
      </c>
      <c r="AY159" s="4">
        <f t="shared" si="380"/>
        <v>1</v>
      </c>
      <c r="AZ159" s="38">
        <f t="shared" si="438"/>
        <v>302.34636871508383</v>
      </c>
      <c r="BA159" s="4">
        <f t="shared" si="381"/>
        <v>0.44000000000000006</v>
      </c>
      <c r="BB159" s="4">
        <f t="shared" si="401"/>
        <v>49.452916940872797</v>
      </c>
      <c r="BC159" s="4">
        <f t="shared" si="402"/>
        <v>351.79928565595662</v>
      </c>
      <c r="BE159" s="4">
        <f t="shared" si="451"/>
        <v>1.3931564245810057</v>
      </c>
      <c r="BF159" s="4">
        <f t="shared" si="452"/>
        <v>378.1105933434016</v>
      </c>
      <c r="BH159" s="4">
        <f t="shared" si="463"/>
        <v>289.98714214931721</v>
      </c>
      <c r="BI159" s="4">
        <f t="shared" si="464"/>
        <v>363.03340318192352</v>
      </c>
      <c r="BJ159" s="4">
        <f t="shared" si="465"/>
        <v>1.2518948270988997</v>
      </c>
      <c r="BR159" s="4">
        <f t="shared" si="331"/>
        <v>92.1</v>
      </c>
      <c r="BV159" s="9"/>
      <c r="BX159" s="9"/>
      <c r="BY159" s="9"/>
      <c r="BZ159" s="9">
        <f t="shared" si="383"/>
        <v>92.1</v>
      </c>
      <c r="CA159" s="9">
        <f t="shared" si="384"/>
        <v>92.1</v>
      </c>
      <c r="CB159" s="9">
        <f t="shared" si="403"/>
        <v>1.6039406779317067</v>
      </c>
      <c r="CC159" s="9">
        <v>0</v>
      </c>
      <c r="CD159" s="9">
        <f t="shared" si="306"/>
        <v>0</v>
      </c>
      <c r="CE159" s="9">
        <f t="shared" si="404"/>
        <v>0</v>
      </c>
      <c r="CF159" s="9">
        <f t="shared" si="385"/>
        <v>0.89787751228078194</v>
      </c>
      <c r="CG159" s="9">
        <f t="shared" si="386"/>
        <v>1.0988</v>
      </c>
      <c r="CH159" s="9">
        <f t="shared" si="405"/>
        <v>1.7126607436390533</v>
      </c>
      <c r="CI159" s="9">
        <f t="shared" si="406"/>
        <v>2.7470062342194441</v>
      </c>
      <c r="CJ159" s="9">
        <v>1</v>
      </c>
      <c r="CK159" s="9">
        <f t="shared" si="407"/>
        <v>255.36415495760644</v>
      </c>
      <c r="DH159" s="4">
        <f t="shared" si="362"/>
        <v>0</v>
      </c>
      <c r="DI159" s="4">
        <f t="shared" si="453"/>
        <v>295</v>
      </c>
      <c r="DL159" s="4">
        <f t="shared" si="365"/>
        <v>1.4142160678480981E-5</v>
      </c>
      <c r="DM159" s="4">
        <f t="shared" si="366"/>
        <v>5.6886371181108544</v>
      </c>
      <c r="DR159" s="38">
        <f t="shared" si="440"/>
        <v>60.089453528242863</v>
      </c>
      <c r="DS159" s="4">
        <f t="shared" si="411"/>
        <v>0.29583762773159056</v>
      </c>
      <c r="DU159" s="4">
        <f t="shared" si="441"/>
        <v>60.089453528242863</v>
      </c>
      <c r="DY159" s="4">
        <f t="shared" si="387"/>
        <v>0.85</v>
      </c>
      <c r="DZ159" s="4">
        <f t="shared" si="412"/>
        <v>0.84273743016759772</v>
      </c>
      <c r="EA159" s="4">
        <f t="shared" si="413"/>
        <v>1</v>
      </c>
      <c r="EB159" s="4">
        <f t="shared" si="414"/>
        <v>0.84273743016759772</v>
      </c>
      <c r="EE159" s="25"/>
      <c r="EH159" s="4">
        <f t="shared" si="454"/>
        <v>5.6886371181108544</v>
      </c>
      <c r="EK159" s="4">
        <f t="shared" si="368"/>
        <v>80.051233594492473</v>
      </c>
      <c r="EL159" s="4">
        <f t="shared" si="369"/>
        <v>2.2360679774997898</v>
      </c>
      <c r="EM159" s="4">
        <f t="shared" si="370"/>
        <v>5.1587072203306245E-2</v>
      </c>
      <c r="EP159" s="4">
        <f t="shared" si="332"/>
        <v>5.1587072203306245E-2</v>
      </c>
      <c r="EQ159" s="4">
        <f t="shared" si="333"/>
        <v>0.18989463697148015</v>
      </c>
      <c r="ER159" s="4">
        <f t="shared" si="371"/>
        <v>2.9269365675660954</v>
      </c>
      <c r="ES159" s="4">
        <f t="shared" si="388"/>
        <v>4.5257142689842214</v>
      </c>
      <c r="ET159" s="4">
        <f t="shared" si="372"/>
        <v>141.19876640550751</v>
      </c>
      <c r="EU159" s="4">
        <f t="shared" si="373"/>
        <v>73.75</v>
      </c>
      <c r="EV159" s="4">
        <f t="shared" si="415"/>
        <v>1.4142160678480981E-5</v>
      </c>
      <c r="EW159" s="4">
        <f t="shared" si="389"/>
        <v>5.5153952400549962</v>
      </c>
      <c r="EX159" s="4">
        <f t="shared" si="466"/>
        <v>203.1163310394079</v>
      </c>
      <c r="FG159" s="23"/>
      <c r="FH159" s="23"/>
      <c r="FI159" s="23"/>
      <c r="FJ159" s="23"/>
      <c r="FK159" s="23"/>
      <c r="FL159" s="23"/>
      <c r="FM159" s="23"/>
      <c r="FN159" s="23"/>
      <c r="FX159" s="4">
        <f t="shared" si="416"/>
        <v>1</v>
      </c>
      <c r="FY159" s="4">
        <f t="shared" ref="FY159:FY222" si="469">IF(AG159&gt;1, 0.05*(18-MIN(8,(Q159+K159)/K159))*(1-48000/MAX(60000,(G159*145))*(K159/25.4)^0.75*FZ159), 1/12*(14-MIN(8,(Q159+K159)/K159)))</f>
        <v>1.0833333333333333</v>
      </c>
      <c r="FZ159" s="4">
        <f t="shared" si="417"/>
        <v>0</v>
      </c>
      <c r="GA159" s="4">
        <f t="shared" si="418"/>
        <v>142.28160692447059</v>
      </c>
    </row>
    <row r="160" spans="1:183" ht="12" hidden="1" customHeight="1" x14ac:dyDescent="0.3">
      <c r="A160" s="25">
        <v>142</v>
      </c>
      <c r="B160" s="24" t="s">
        <v>659</v>
      </c>
      <c r="C160" s="24">
        <v>2007</v>
      </c>
      <c r="D160" s="24" t="s">
        <v>309</v>
      </c>
      <c r="E160" s="24"/>
      <c r="F160" s="4" t="s">
        <v>119</v>
      </c>
      <c r="G160" s="7">
        <v>450.6</v>
      </c>
      <c r="H160" s="7">
        <v>217</v>
      </c>
      <c r="I160" s="7">
        <f t="shared" si="455"/>
        <v>217</v>
      </c>
      <c r="J160" s="7">
        <v>24.6</v>
      </c>
      <c r="K160" s="7">
        <v>35.799999999999997</v>
      </c>
      <c r="L160" s="7">
        <f t="shared" si="424"/>
        <v>6.061452513966481</v>
      </c>
      <c r="M160" s="7">
        <f t="shared" si="425"/>
        <v>6.061452513966481</v>
      </c>
      <c r="N160" s="7">
        <v>220</v>
      </c>
      <c r="O160" s="7">
        <f t="shared" si="447"/>
        <v>92.1</v>
      </c>
      <c r="P160" s="7">
        <f t="shared" si="468"/>
        <v>205</v>
      </c>
      <c r="Q160" s="7">
        <v>0</v>
      </c>
      <c r="R160" s="7">
        <v>1</v>
      </c>
      <c r="S160" s="7">
        <f>434-65</f>
        <v>369</v>
      </c>
      <c r="T160" s="7">
        <f t="shared" si="458"/>
        <v>3.0726256983240225</v>
      </c>
      <c r="U160" s="7">
        <f t="shared" si="459"/>
        <v>3.0726256983240225</v>
      </c>
      <c r="V160" s="7">
        <f t="shared" si="460"/>
        <v>4</v>
      </c>
      <c r="W160" s="7">
        <f t="shared" si="460"/>
        <v>4</v>
      </c>
      <c r="X160" s="7">
        <f t="shared" si="431"/>
        <v>5</v>
      </c>
      <c r="Y160" s="7">
        <f t="shared" si="352"/>
        <v>80.051233594492473</v>
      </c>
      <c r="Z160" s="7">
        <f t="shared" si="461"/>
        <v>450.6</v>
      </c>
      <c r="AA160" s="7">
        <v>12</v>
      </c>
      <c r="AB160" s="7">
        <f>(117+122)/2/1006*1000</f>
        <v>118.78727634194831</v>
      </c>
      <c r="AC160" s="7"/>
      <c r="AD160" s="7"/>
      <c r="AE160" s="7"/>
      <c r="AF160" s="7"/>
      <c r="AG160" s="7">
        <v>1</v>
      </c>
      <c r="AH160" s="7"/>
      <c r="AI160" s="7"/>
      <c r="AJ160" s="7"/>
      <c r="AK160" s="4">
        <f t="shared" si="445"/>
        <v>217</v>
      </c>
      <c r="AL160" s="4">
        <f t="shared" si="448"/>
        <v>0.33794162826420893</v>
      </c>
      <c r="AM160" s="4">
        <f t="shared" si="449"/>
        <v>150.58294354764655</v>
      </c>
      <c r="AN160" s="4">
        <f t="shared" si="467"/>
        <v>0.80138248847926263</v>
      </c>
      <c r="AO160" s="4">
        <v>1.25</v>
      </c>
      <c r="AP160" s="25">
        <v>1</v>
      </c>
      <c r="AQ160" s="38">
        <f t="shared" si="462"/>
        <v>50.976185647089032</v>
      </c>
      <c r="AT160" s="38">
        <f t="shared" si="450"/>
        <v>53.320323184075299</v>
      </c>
      <c r="AU160" s="38">
        <f t="shared" si="400"/>
        <v>0.95603669676018821</v>
      </c>
      <c r="AV160" s="38">
        <f t="shared" si="328"/>
        <v>5.6703776470241447</v>
      </c>
      <c r="AW160" s="4">
        <f t="shared" si="323"/>
        <v>0</v>
      </c>
      <c r="AX160" s="4">
        <f t="shared" si="379"/>
        <v>158.23066736708512</v>
      </c>
      <c r="AY160" s="4">
        <f t="shared" si="380"/>
        <v>1</v>
      </c>
      <c r="AZ160" s="38">
        <f t="shared" si="438"/>
        <v>302.34636871508383</v>
      </c>
      <c r="BA160" s="4">
        <f t="shared" si="381"/>
        <v>0.44000000000000006</v>
      </c>
      <c r="BB160" s="4">
        <f t="shared" si="401"/>
        <v>36.377230427692872</v>
      </c>
      <c r="BC160" s="4">
        <f t="shared" si="402"/>
        <v>338.72359914277672</v>
      </c>
      <c r="BE160" s="4">
        <f t="shared" si="451"/>
        <v>1.3931564245810057</v>
      </c>
      <c r="BF160" s="4">
        <f t="shared" si="452"/>
        <v>332.94577514924339</v>
      </c>
      <c r="BH160" s="4">
        <f t="shared" si="463"/>
        <v>289.98714214931721</v>
      </c>
      <c r="BI160" s="4">
        <f t="shared" si="464"/>
        <v>363.03340318192352</v>
      </c>
      <c r="BJ160" s="4">
        <f t="shared" si="465"/>
        <v>1.2518948270988997</v>
      </c>
      <c r="BR160" s="4">
        <f t="shared" si="331"/>
        <v>92.1</v>
      </c>
      <c r="BV160" s="9"/>
      <c r="BX160" s="9"/>
      <c r="BY160" s="9"/>
      <c r="BZ160" s="9">
        <f t="shared" si="383"/>
        <v>92.1</v>
      </c>
      <c r="CA160" s="9">
        <f t="shared" si="384"/>
        <v>92.1</v>
      </c>
      <c r="CB160" s="9">
        <f t="shared" si="403"/>
        <v>1.6039406779317067</v>
      </c>
      <c r="CC160" s="9">
        <v>0</v>
      </c>
      <c r="CD160" s="9">
        <f t="shared" si="306"/>
        <v>0</v>
      </c>
      <c r="CE160" s="9">
        <f t="shared" si="404"/>
        <v>0</v>
      </c>
      <c r="CF160" s="9">
        <f t="shared" si="385"/>
        <v>0.89787751228078194</v>
      </c>
      <c r="CG160" s="9">
        <f t="shared" si="386"/>
        <v>1.0988</v>
      </c>
      <c r="CH160" s="9">
        <f t="shared" si="405"/>
        <v>1.7126607436390533</v>
      </c>
      <c r="CI160" s="9">
        <f t="shared" si="406"/>
        <v>2.7470062342194441</v>
      </c>
      <c r="CJ160" s="9">
        <v>1</v>
      </c>
      <c r="CK160" s="9">
        <f t="shared" si="407"/>
        <v>231.42376543033083</v>
      </c>
      <c r="DH160" s="4">
        <f t="shared" si="362"/>
        <v>0</v>
      </c>
      <c r="DI160" s="4">
        <f t="shared" si="453"/>
        <v>217</v>
      </c>
      <c r="DL160" s="4">
        <f t="shared" si="365"/>
        <v>1.0402877516035162E-5</v>
      </c>
      <c r="DM160" s="4">
        <f t="shared" si="366"/>
        <v>5.6886371181108544</v>
      </c>
      <c r="DR160" s="38">
        <f t="shared" si="440"/>
        <v>53.320323184075299</v>
      </c>
      <c r="DS160" s="4">
        <f t="shared" si="411"/>
        <v>0.34703441987354833</v>
      </c>
      <c r="DU160" s="4">
        <f t="shared" si="441"/>
        <v>53.320323184075299</v>
      </c>
      <c r="DY160" s="4">
        <f t="shared" si="387"/>
        <v>0.85</v>
      </c>
      <c r="DZ160" s="4">
        <f t="shared" si="412"/>
        <v>0.84273743016759772</v>
      </c>
      <c r="EA160" s="4">
        <f t="shared" si="413"/>
        <v>1</v>
      </c>
      <c r="EB160" s="4">
        <f t="shared" si="414"/>
        <v>0.84273743016759772</v>
      </c>
      <c r="EE160" s="25"/>
      <c r="EH160" s="4">
        <f t="shared" si="454"/>
        <v>5.6886371181108544</v>
      </c>
      <c r="EK160" s="4">
        <f t="shared" si="368"/>
        <v>80.051233594492473</v>
      </c>
      <c r="EL160" s="4">
        <f t="shared" si="369"/>
        <v>2.2360679774997898</v>
      </c>
      <c r="EM160" s="4">
        <f t="shared" si="370"/>
        <v>4.5775742671843048E-2</v>
      </c>
      <c r="EP160" s="4">
        <f t="shared" si="332"/>
        <v>4.5775742671843048E-2</v>
      </c>
      <c r="EQ160" s="4">
        <f t="shared" si="333"/>
        <v>0.16850283734870336</v>
      </c>
      <c r="ER160" s="4">
        <f t="shared" si="371"/>
        <v>2.7903014063860758</v>
      </c>
      <c r="ES160" s="4">
        <f t="shared" si="388"/>
        <v>4.4828461654785512</v>
      </c>
      <c r="ET160" s="4">
        <f t="shared" si="372"/>
        <v>82.698766405507527</v>
      </c>
      <c r="EU160" s="4">
        <f t="shared" si="373"/>
        <v>54.249999999999986</v>
      </c>
      <c r="EV160" s="4">
        <f t="shared" si="415"/>
        <v>1.0402877516035159E-5</v>
      </c>
      <c r="EW160" s="4">
        <f t="shared" si="389"/>
        <v>5.6003429880312172</v>
      </c>
      <c r="EX160" s="4">
        <f t="shared" si="466"/>
        <v>153.64563320117944</v>
      </c>
      <c r="FG160" s="23"/>
      <c r="FH160" s="23"/>
      <c r="FI160" s="23"/>
      <c r="FJ160" s="23"/>
      <c r="FK160" s="23"/>
      <c r="FL160" s="23"/>
      <c r="FM160" s="23"/>
      <c r="FN160" s="23"/>
      <c r="FX160" s="4">
        <f t="shared" si="416"/>
        <v>1</v>
      </c>
      <c r="FY160" s="4">
        <f t="shared" si="469"/>
        <v>1.0833333333333333</v>
      </c>
      <c r="FZ160" s="4">
        <f t="shared" si="417"/>
        <v>0</v>
      </c>
      <c r="GA160" s="4">
        <f t="shared" si="418"/>
        <v>104.66138543257668</v>
      </c>
    </row>
    <row r="161" spans="1:183" ht="12" hidden="1" customHeight="1" x14ac:dyDescent="0.3">
      <c r="A161" s="25">
        <v>143</v>
      </c>
      <c r="B161" s="24" t="s">
        <v>659</v>
      </c>
      <c r="C161" s="24">
        <v>2007</v>
      </c>
      <c r="D161" s="24" t="s">
        <v>309</v>
      </c>
      <c r="E161" s="24"/>
      <c r="F161" s="4" t="s">
        <v>120</v>
      </c>
      <c r="G161" s="7">
        <v>454.8</v>
      </c>
      <c r="H161" s="7">
        <v>264</v>
      </c>
      <c r="I161" s="7">
        <f t="shared" si="455"/>
        <v>264</v>
      </c>
      <c r="J161" s="7">
        <v>25.1</v>
      </c>
      <c r="K161" s="7">
        <v>25.4</v>
      </c>
      <c r="L161" s="7">
        <f t="shared" si="424"/>
        <v>10.393700787401576</v>
      </c>
      <c r="M161" s="7">
        <f t="shared" si="425"/>
        <v>10.393700787401576</v>
      </c>
      <c r="N161" s="7">
        <v>160</v>
      </c>
      <c r="O161" s="7">
        <f t="shared" si="447"/>
        <v>67.3</v>
      </c>
      <c r="P161" s="7">
        <f>323-9-I161</f>
        <v>50</v>
      </c>
      <c r="Q161" s="7">
        <v>0</v>
      </c>
      <c r="R161" s="7">
        <v>1</v>
      </c>
      <c r="S161" s="7">
        <f>323-45</f>
        <v>278</v>
      </c>
      <c r="T161" s="7">
        <f t="shared" si="458"/>
        <v>3.1496062992125986</v>
      </c>
      <c r="U161" s="7">
        <f t="shared" si="459"/>
        <v>3.1496062992125986</v>
      </c>
      <c r="V161" s="7">
        <f>2040/510</f>
        <v>4</v>
      </c>
      <c r="W161" s="7">
        <f>2040/510</f>
        <v>4</v>
      </c>
      <c r="X161" s="7">
        <f t="shared" si="431"/>
        <v>5</v>
      </c>
      <c r="Y161" s="7">
        <f t="shared" si="352"/>
        <v>56.796126628494655</v>
      </c>
      <c r="Z161" s="7">
        <f t="shared" si="461"/>
        <v>454.8</v>
      </c>
      <c r="AA161" s="7">
        <v>9</v>
      </c>
      <c r="AB161" s="7"/>
      <c r="AC161" s="32" t="s">
        <v>183</v>
      </c>
      <c r="AD161" s="7"/>
      <c r="AE161" s="7"/>
      <c r="AF161" s="7"/>
      <c r="AG161" s="7">
        <v>1</v>
      </c>
      <c r="AH161" s="7"/>
      <c r="AI161" s="7"/>
      <c r="AJ161" s="7"/>
      <c r="AK161" s="4">
        <f t="shared" si="445"/>
        <v>264</v>
      </c>
      <c r="AL161" s="4">
        <f t="shared" si="448"/>
        <v>0.20202020202020202</v>
      </c>
      <c r="AM161" s="4">
        <f t="shared" si="449"/>
        <v>418.93890953923358</v>
      </c>
      <c r="AN161" s="4">
        <f t="shared" si="467"/>
        <v>0.76060606060606051</v>
      </c>
      <c r="AO161" s="4">
        <v>1.25</v>
      </c>
      <c r="AP161" s="25">
        <v>1</v>
      </c>
      <c r="AQ161" s="38">
        <f t="shared" si="462"/>
        <v>80.466533742231093</v>
      </c>
      <c r="AT161" s="38">
        <f t="shared" si="450"/>
        <v>81.461055336491228</v>
      </c>
      <c r="AU161" s="38">
        <f t="shared" si="400"/>
        <v>0.98779144721177425</v>
      </c>
      <c r="AV161" s="38">
        <f t="shared" si="328"/>
        <v>3.8818607386650328</v>
      </c>
      <c r="AW161" s="4">
        <f t="shared" si="323"/>
        <v>0</v>
      </c>
      <c r="AX161" s="4">
        <f t="shared" si="379"/>
        <v>274.06493271173576</v>
      </c>
      <c r="AY161" s="4">
        <f t="shared" si="380"/>
        <v>1</v>
      </c>
      <c r="AZ161" s="38">
        <f t="shared" si="438"/>
        <v>316.22047244094495</v>
      </c>
      <c r="BA161" s="4">
        <f t="shared" si="381"/>
        <v>0.44000000000000006</v>
      </c>
      <c r="BB161" s="4">
        <f t="shared" si="401"/>
        <v>63.007528030428062</v>
      </c>
      <c r="BC161" s="4">
        <f t="shared" si="402"/>
        <v>379.22800047137298</v>
      </c>
      <c r="BE161" s="4">
        <f t="shared" si="451"/>
        <v>1.4124015748031495</v>
      </c>
      <c r="BF161" s="4">
        <f t="shared" si="452"/>
        <v>432.92468707718285</v>
      </c>
      <c r="BH161" s="4">
        <f t="shared" si="463"/>
        <v>303.29410431474349</v>
      </c>
      <c r="BI161" s="4">
        <f t="shared" si="464"/>
        <v>1084.9722194286705</v>
      </c>
      <c r="BJ161" s="4">
        <f t="shared" si="465"/>
        <v>3.5772941313186242</v>
      </c>
      <c r="BR161" s="4">
        <f t="shared" si="331"/>
        <v>67.3</v>
      </c>
      <c r="BV161" s="9"/>
      <c r="BX161" s="9"/>
      <c r="BY161" s="9"/>
      <c r="BZ161" s="9">
        <f t="shared" si="383"/>
        <v>50</v>
      </c>
      <c r="CA161" s="9">
        <f t="shared" si="384"/>
        <v>67.3</v>
      </c>
      <c r="CB161" s="9">
        <f t="shared" si="403"/>
        <v>1.4669823979017429</v>
      </c>
      <c r="CC161" s="9">
        <v>0</v>
      </c>
      <c r="CD161" s="9">
        <f t="shared" si="306"/>
        <v>0</v>
      </c>
      <c r="CE161" s="9">
        <f t="shared" si="404"/>
        <v>0</v>
      </c>
      <c r="CF161" s="9">
        <f t="shared" si="385"/>
        <v>0.99524931562137331</v>
      </c>
      <c r="CG161" s="9">
        <f t="shared" si="386"/>
        <v>1.0903999999999998</v>
      </c>
      <c r="CH161" s="9">
        <f t="shared" si="405"/>
        <v>1.9029292228649537</v>
      </c>
      <c r="CI161" s="9">
        <f t="shared" si="406"/>
        <v>2.7915636743957299</v>
      </c>
      <c r="CJ161" s="9">
        <v>1</v>
      </c>
      <c r="CK161" s="9">
        <f t="shared" si="407"/>
        <v>283.55253070633796</v>
      </c>
      <c r="DH161" s="4">
        <f t="shared" si="362"/>
        <v>0</v>
      </c>
      <c r="DI161" s="4">
        <f t="shared" si="453"/>
        <v>264</v>
      </c>
      <c r="DL161" s="4">
        <f t="shared" si="365"/>
        <v>1.7905564181465992E-5</v>
      </c>
      <c r="DM161" s="4">
        <f t="shared" si="366"/>
        <v>6.4434781492989988</v>
      </c>
      <c r="DR161" s="38">
        <f t="shared" si="440"/>
        <v>81.461055336491228</v>
      </c>
      <c r="DS161" s="4">
        <f t="shared" si="411"/>
        <v>0.28267276618563297</v>
      </c>
      <c r="DU161" s="4">
        <f t="shared" si="441"/>
        <v>81.461055336491228</v>
      </c>
      <c r="DY161" s="4">
        <f t="shared" si="387"/>
        <v>0.85</v>
      </c>
      <c r="DZ161" s="4">
        <f t="shared" si="412"/>
        <v>0.83503937007874018</v>
      </c>
      <c r="EA161" s="4">
        <f t="shared" si="413"/>
        <v>1</v>
      </c>
      <c r="EB161" s="4">
        <f t="shared" si="414"/>
        <v>0.83503937007874018</v>
      </c>
      <c r="EE161" s="25"/>
      <c r="EH161" s="4">
        <f t="shared" si="454"/>
        <v>6.4434781492989988</v>
      </c>
      <c r="EK161" s="4">
        <f t="shared" si="368"/>
        <v>56.796126628494655</v>
      </c>
      <c r="EL161" s="4">
        <f t="shared" si="369"/>
        <v>2.2360679774997898</v>
      </c>
      <c r="EM161" s="4">
        <f t="shared" si="370"/>
        <v>4.9121773799761105E-2</v>
      </c>
      <c r="EP161" s="4">
        <f t="shared" si="332"/>
        <v>4.9121773799761105E-2</v>
      </c>
      <c r="EQ161" s="4">
        <f t="shared" si="333"/>
        <v>0.1790096950802787</v>
      </c>
      <c r="ER161" s="4">
        <f t="shared" si="371"/>
        <v>3.2379562856849557</v>
      </c>
      <c r="ES161" s="4">
        <f t="shared" si="388"/>
        <v>5.1017242284597168</v>
      </c>
      <c r="ET161" s="4">
        <f t="shared" si="372"/>
        <v>141.20387337150535</v>
      </c>
      <c r="EU161" s="4">
        <f t="shared" si="373"/>
        <v>66</v>
      </c>
      <c r="EV161" s="4">
        <f t="shared" si="415"/>
        <v>1.7905564181465992E-5</v>
      </c>
      <c r="EW161" s="4">
        <f t="shared" si="389"/>
        <v>6.1876982116989092</v>
      </c>
      <c r="EX161" s="4">
        <f t="shared" si="466"/>
        <v>288.18147724565461</v>
      </c>
      <c r="FG161" s="23"/>
      <c r="FH161" s="23"/>
      <c r="FI161" s="23"/>
      <c r="FJ161" s="23"/>
      <c r="FK161" s="23"/>
      <c r="FL161" s="23"/>
      <c r="FM161" s="23"/>
      <c r="FN161" s="23"/>
      <c r="FX161" s="4">
        <f t="shared" si="416"/>
        <v>1</v>
      </c>
      <c r="FY161" s="4">
        <f t="shared" si="469"/>
        <v>1.0833333333333333</v>
      </c>
      <c r="FZ161" s="4">
        <f t="shared" si="417"/>
        <v>0</v>
      </c>
      <c r="GA161" s="4">
        <f t="shared" si="418"/>
        <v>214.13580526663139</v>
      </c>
    </row>
    <row r="162" spans="1:183" ht="12" hidden="1" customHeight="1" x14ac:dyDescent="0.3">
      <c r="A162" s="25">
        <v>144</v>
      </c>
      <c r="B162" s="24" t="s">
        <v>659</v>
      </c>
      <c r="C162" s="24">
        <v>2007</v>
      </c>
      <c r="D162" s="24" t="s">
        <v>309</v>
      </c>
      <c r="E162" s="24"/>
      <c r="F162" s="4" t="s">
        <v>121</v>
      </c>
      <c r="G162" s="7">
        <v>454.8</v>
      </c>
      <c r="H162" s="7">
        <v>212</v>
      </c>
      <c r="I162" s="7">
        <f t="shared" si="455"/>
        <v>212</v>
      </c>
      <c r="J162" s="7">
        <v>25.1</v>
      </c>
      <c r="K162" s="7">
        <v>25.4</v>
      </c>
      <c r="L162" s="7">
        <f t="shared" si="424"/>
        <v>8.346456692913387</v>
      </c>
      <c r="M162" s="7">
        <f t="shared" si="425"/>
        <v>8.346456692913387</v>
      </c>
      <c r="N162" s="7">
        <v>160</v>
      </c>
      <c r="O162" s="7">
        <f t="shared" si="447"/>
        <v>67.3</v>
      </c>
      <c r="P162" s="7">
        <f t="shared" ref="P162:P164" si="470">323-9-I162</f>
        <v>102</v>
      </c>
      <c r="Q162" s="7">
        <v>0</v>
      </c>
      <c r="R162" s="7">
        <v>1</v>
      </c>
      <c r="S162" s="7">
        <f t="shared" ref="S162:S164" si="471">323-45</f>
        <v>278</v>
      </c>
      <c r="T162" s="7">
        <f t="shared" si="458"/>
        <v>3.1496062992125986</v>
      </c>
      <c r="U162" s="7">
        <f t="shared" si="459"/>
        <v>3.1496062992125986</v>
      </c>
      <c r="V162" s="7">
        <f t="shared" ref="V162:W211" si="472">2040/510</f>
        <v>4</v>
      </c>
      <c r="W162" s="7">
        <f t="shared" si="472"/>
        <v>4</v>
      </c>
      <c r="X162" s="7">
        <f t="shared" si="431"/>
        <v>5</v>
      </c>
      <c r="Y162" s="7">
        <f t="shared" si="352"/>
        <v>56.796126628494655</v>
      </c>
      <c r="Z162" s="7">
        <f t="shared" si="461"/>
        <v>454.8</v>
      </c>
      <c r="AA162" s="7">
        <v>9</v>
      </c>
      <c r="AB162" s="7"/>
      <c r="AC162" s="32" t="s">
        <v>183</v>
      </c>
      <c r="AD162" s="7"/>
      <c r="AE162" s="7"/>
      <c r="AF162" s="7"/>
      <c r="AG162" s="7">
        <v>1</v>
      </c>
      <c r="AH162" s="7"/>
      <c r="AI162" s="7"/>
      <c r="AJ162" s="7"/>
      <c r="AK162" s="4">
        <f t="shared" si="445"/>
        <v>212</v>
      </c>
      <c r="AL162" s="4">
        <f t="shared" si="448"/>
        <v>0.25157232704402516</v>
      </c>
      <c r="AM162" s="4">
        <f t="shared" si="449"/>
        <v>290.65017450591699</v>
      </c>
      <c r="AN162" s="4">
        <f t="shared" si="467"/>
        <v>0.77547169811320749</v>
      </c>
      <c r="AO162" s="4">
        <v>1.25</v>
      </c>
      <c r="AP162" s="25">
        <v>1</v>
      </c>
      <c r="AQ162" s="38">
        <f t="shared" si="462"/>
        <v>70.877668044340737</v>
      </c>
      <c r="AT162" s="38">
        <f t="shared" si="450"/>
        <v>74.425570064086557</v>
      </c>
      <c r="AU162" s="38">
        <f t="shared" si="400"/>
        <v>0.95232952845788377</v>
      </c>
      <c r="AV162" s="38">
        <f t="shared" si="328"/>
        <v>4.2488149189674065</v>
      </c>
      <c r="AW162" s="4">
        <f t="shared" si="323"/>
        <v>0</v>
      </c>
      <c r="AX162" s="4">
        <f t="shared" si="379"/>
        <v>220.08244596548479</v>
      </c>
      <c r="AY162" s="4">
        <f t="shared" si="380"/>
        <v>1</v>
      </c>
      <c r="AZ162" s="38">
        <f t="shared" si="438"/>
        <v>316.22047244094495</v>
      </c>
      <c r="BA162" s="4">
        <f t="shared" si="381"/>
        <v>0.44000000000000006</v>
      </c>
      <c r="BB162" s="4">
        <f t="shared" si="401"/>
        <v>50.596954327464957</v>
      </c>
      <c r="BC162" s="4">
        <f t="shared" si="402"/>
        <v>366.81742676840992</v>
      </c>
      <c r="BE162" s="4">
        <f t="shared" si="451"/>
        <v>1.4124015748031495</v>
      </c>
      <c r="BF162" s="4">
        <f t="shared" si="452"/>
        <v>389.46506598063172</v>
      </c>
      <c r="BH162" s="4">
        <f t="shared" si="463"/>
        <v>303.29410431474349</v>
      </c>
      <c r="BI162" s="4">
        <f t="shared" si="464"/>
        <v>1084.9722194286705</v>
      </c>
      <c r="BJ162" s="4">
        <f t="shared" si="465"/>
        <v>3.5772941313186242</v>
      </c>
      <c r="BR162" s="4">
        <f t="shared" si="331"/>
        <v>67.3</v>
      </c>
      <c r="BV162" s="9"/>
      <c r="BX162" s="9"/>
      <c r="BY162" s="9"/>
      <c r="BZ162" s="9">
        <f t="shared" si="383"/>
        <v>67.3</v>
      </c>
      <c r="CA162" s="9">
        <f t="shared" si="384"/>
        <v>67.3</v>
      </c>
      <c r="CB162" s="9">
        <f t="shared" si="403"/>
        <v>1.6277611308827222</v>
      </c>
      <c r="CC162" s="9">
        <v>0</v>
      </c>
      <c r="CD162" s="9">
        <f t="shared" si="306"/>
        <v>0</v>
      </c>
      <c r="CE162" s="9">
        <f t="shared" si="404"/>
        <v>0</v>
      </c>
      <c r="CF162" s="9">
        <f t="shared" si="385"/>
        <v>0.99524931562137331</v>
      </c>
      <c r="CG162" s="9">
        <f t="shared" si="386"/>
        <v>1.0903999999999998</v>
      </c>
      <c r="CH162" s="9">
        <f t="shared" si="405"/>
        <v>1.9029292228649537</v>
      </c>
      <c r="CI162" s="9">
        <f t="shared" si="406"/>
        <v>3.0975142238004367</v>
      </c>
      <c r="CJ162" s="9">
        <v>1</v>
      </c>
      <c r="CK162" s="9">
        <f t="shared" si="407"/>
        <v>289.2639267265605</v>
      </c>
      <c r="DH162" s="4">
        <f t="shared" si="362"/>
        <v>0</v>
      </c>
      <c r="DI162" s="4">
        <f t="shared" si="453"/>
        <v>212</v>
      </c>
      <c r="DL162" s="4">
        <f>H162/4/(1-0.3*(J162/30)^0.5)/200000/K162</f>
        <v>1.4378710630571176E-5</v>
      </c>
      <c r="DM162" s="4">
        <f t="shared" si="366"/>
        <v>6.4434781492989988</v>
      </c>
      <c r="DR162" s="38">
        <f t="shared" si="440"/>
        <v>74.425570064086557</v>
      </c>
      <c r="DS162" s="4">
        <f t="shared" si="411"/>
        <v>0.31489832014202762</v>
      </c>
      <c r="DU162" s="4">
        <f t="shared" si="441"/>
        <v>74.425570064086557</v>
      </c>
      <c r="DY162" s="4">
        <f t="shared" si="387"/>
        <v>0.85</v>
      </c>
      <c r="DZ162" s="4">
        <f t="shared" si="412"/>
        <v>0.83503937007874018</v>
      </c>
      <c r="EA162" s="4">
        <f t="shared" si="413"/>
        <v>1</v>
      </c>
      <c r="EB162" s="4">
        <f t="shared" si="414"/>
        <v>0.83503937007874018</v>
      </c>
      <c r="EE162" s="25"/>
      <c r="EH162" s="4">
        <f t="shared" si="454"/>
        <v>6.4434781492989988</v>
      </c>
      <c r="EK162" s="4">
        <f>EL162*K162</f>
        <v>56.796126628494655</v>
      </c>
      <c r="EL162" s="4">
        <f>X162^0.5</f>
        <v>2.2360679774997898</v>
      </c>
      <c r="EM162" s="4">
        <f>MIN(DU162)/(4700*J162^0.5)/W162*EK162</f>
        <v>4.4879310763957535E-2</v>
      </c>
      <c r="EP162" s="4">
        <f t="shared" si="332"/>
        <v>4.4879310763957535E-2</v>
      </c>
      <c r="EQ162" s="4">
        <f t="shared" si="333"/>
        <v>0.16354930031676054</v>
      </c>
      <c r="ER162" s="4">
        <f t="shared" si="371"/>
        <v>3.1230564645812455</v>
      </c>
      <c r="ES162" s="4">
        <f t="shared" si="388"/>
        <v>5.0662233136767156</v>
      </c>
      <c r="ET162" s="4">
        <f t="shared" si="372"/>
        <v>102.20387337150535</v>
      </c>
      <c r="EU162" s="4">
        <f t="shared" si="373"/>
        <v>53</v>
      </c>
      <c r="EV162" s="4">
        <f t="shared" si="415"/>
        <v>1.4378710630571176E-5</v>
      </c>
      <c r="EW162" s="4">
        <f t="shared" si="389"/>
        <v>6.2838095953115438</v>
      </c>
      <c r="EX162" s="4">
        <f t="shared" si="466"/>
        <v>236.3479425057543</v>
      </c>
      <c r="FG162" s="23"/>
      <c r="FH162" s="23"/>
      <c r="FI162" s="23"/>
      <c r="FJ162" s="23"/>
      <c r="FK162" s="23"/>
      <c r="FL162" s="23"/>
      <c r="FM162" s="23"/>
      <c r="FN162" s="23"/>
      <c r="FX162" s="4">
        <f t="shared" si="416"/>
        <v>1</v>
      </c>
      <c r="FY162" s="4">
        <f t="shared" si="469"/>
        <v>1.0833333333333333</v>
      </c>
      <c r="FZ162" s="4">
        <f t="shared" si="417"/>
        <v>0</v>
      </c>
      <c r="GA162" s="4">
        <f t="shared" si="418"/>
        <v>171.95754059290095</v>
      </c>
    </row>
    <row r="163" spans="1:183" ht="12" hidden="1" customHeight="1" x14ac:dyDescent="0.3">
      <c r="A163" s="25">
        <v>145</v>
      </c>
      <c r="B163" s="24" t="s">
        <v>659</v>
      </c>
      <c r="C163" s="24">
        <v>2007</v>
      </c>
      <c r="D163" s="24" t="s">
        <v>309</v>
      </c>
      <c r="E163" s="24"/>
      <c r="F163" s="4" t="s">
        <v>122</v>
      </c>
      <c r="G163" s="7">
        <v>454.8</v>
      </c>
      <c r="H163" s="7">
        <v>212</v>
      </c>
      <c r="I163" s="7">
        <f t="shared" si="455"/>
        <v>212</v>
      </c>
      <c r="J163" s="7">
        <v>25.1</v>
      </c>
      <c r="K163" s="7">
        <v>25.4</v>
      </c>
      <c r="L163" s="7">
        <f t="shared" si="424"/>
        <v>8.346456692913387</v>
      </c>
      <c r="M163" s="7">
        <f t="shared" si="425"/>
        <v>8.346456692913387</v>
      </c>
      <c r="N163" s="7">
        <v>160</v>
      </c>
      <c r="O163" s="7">
        <f t="shared" si="447"/>
        <v>67.3</v>
      </c>
      <c r="P163" s="7">
        <f t="shared" si="470"/>
        <v>102</v>
      </c>
      <c r="Q163" s="7">
        <v>0</v>
      </c>
      <c r="R163" s="7">
        <v>1</v>
      </c>
      <c r="S163" s="7">
        <f t="shared" si="471"/>
        <v>278</v>
      </c>
      <c r="T163" s="7">
        <f t="shared" si="458"/>
        <v>3.1496062992125986</v>
      </c>
      <c r="U163" s="7">
        <f t="shared" si="459"/>
        <v>3.1496062992125986</v>
      </c>
      <c r="V163" s="7">
        <f t="shared" si="472"/>
        <v>4</v>
      </c>
      <c r="W163" s="7">
        <f t="shared" si="472"/>
        <v>4</v>
      </c>
      <c r="X163" s="7">
        <f t="shared" si="431"/>
        <v>5</v>
      </c>
      <c r="Y163" s="7">
        <f t="shared" si="352"/>
        <v>56.796126628494655</v>
      </c>
      <c r="Z163" s="7">
        <f t="shared" si="461"/>
        <v>454.8</v>
      </c>
      <c r="AA163" s="7">
        <v>9</v>
      </c>
      <c r="AB163" s="7"/>
      <c r="AC163" s="32" t="s">
        <v>183</v>
      </c>
      <c r="AD163" s="7"/>
      <c r="AE163" s="7"/>
      <c r="AF163" s="7"/>
      <c r="AG163" s="7">
        <v>1</v>
      </c>
      <c r="AH163" s="7"/>
      <c r="AI163" s="7"/>
      <c r="AJ163" s="7">
        <f t="shared" ref="AJ163:AJ226" si="473">3*AK163/(Q163+K163)</f>
        <v>25.039370078740159</v>
      </c>
      <c r="AK163" s="4">
        <f t="shared" si="445"/>
        <v>212</v>
      </c>
      <c r="AL163" s="4">
        <f t="shared" si="448"/>
        <v>0.25157232704402516</v>
      </c>
      <c r="AM163" s="4">
        <f t="shared" si="449"/>
        <v>290.65017450591699</v>
      </c>
      <c r="AN163" s="4">
        <f t="shared" si="467"/>
        <v>0.77547169811320749</v>
      </c>
      <c r="AO163" s="4">
        <v>1.25</v>
      </c>
      <c r="AP163" s="25">
        <v>1</v>
      </c>
      <c r="AQ163" s="38">
        <f t="shared" si="462"/>
        <v>70.877668044340737</v>
      </c>
      <c r="AT163" s="38">
        <f t="shared" si="450"/>
        <v>74.425570064086557</v>
      </c>
      <c r="AU163" s="38">
        <f t="shared" si="400"/>
        <v>0.95232952845788377</v>
      </c>
      <c r="AV163" s="38">
        <f t="shared" si="328"/>
        <v>4.2488149189674065</v>
      </c>
      <c r="AW163" s="4">
        <f t="shared" si="323"/>
        <v>0</v>
      </c>
      <c r="AX163" s="4">
        <f t="shared" si="379"/>
        <v>220.08244596548479</v>
      </c>
      <c r="AY163" s="4">
        <f t="shared" si="380"/>
        <v>1</v>
      </c>
      <c r="AZ163" s="38">
        <f t="shared" si="438"/>
        <v>316.22047244094495</v>
      </c>
      <c r="BA163" s="4">
        <f t="shared" si="381"/>
        <v>0.44000000000000006</v>
      </c>
      <c r="BB163" s="4">
        <f t="shared" si="401"/>
        <v>50.596954327464957</v>
      </c>
      <c r="BC163" s="4">
        <f t="shared" si="402"/>
        <v>366.81742676840992</v>
      </c>
      <c r="BE163" s="4">
        <f t="shared" si="451"/>
        <v>1.4124015748031495</v>
      </c>
      <c r="BF163" s="4">
        <f t="shared" si="452"/>
        <v>389.46506598063172</v>
      </c>
      <c r="BH163" s="4">
        <f t="shared" si="463"/>
        <v>303.29410431474349</v>
      </c>
      <c r="BI163" s="4">
        <f t="shared" si="464"/>
        <v>1084.9722194286705</v>
      </c>
      <c r="BJ163" s="4">
        <f t="shared" si="465"/>
        <v>3.5772941313186242</v>
      </c>
      <c r="BR163" s="4">
        <f t="shared" si="331"/>
        <v>67.3</v>
      </c>
      <c r="BV163" s="9"/>
      <c r="BX163" s="9"/>
      <c r="BY163" s="9"/>
      <c r="BZ163" s="9">
        <f t="shared" si="383"/>
        <v>67.3</v>
      </c>
      <c r="CA163" s="9">
        <f t="shared" si="384"/>
        <v>67.3</v>
      </c>
      <c r="CB163" s="9">
        <f t="shared" si="403"/>
        <v>1.6277611308827222</v>
      </c>
      <c r="CC163" s="9">
        <v>0</v>
      </c>
      <c r="CD163" s="9">
        <f t="shared" si="306"/>
        <v>0</v>
      </c>
      <c r="CE163" s="9">
        <f t="shared" si="404"/>
        <v>0</v>
      </c>
      <c r="CF163" s="9">
        <f t="shared" si="385"/>
        <v>0.99524931562137331</v>
      </c>
      <c r="CG163" s="9">
        <f t="shared" si="386"/>
        <v>1.0903999999999998</v>
      </c>
      <c r="CH163" s="9">
        <f t="shared" si="405"/>
        <v>1.9029292228649537</v>
      </c>
      <c r="CI163" s="9">
        <f t="shared" si="406"/>
        <v>3.0975142238004367</v>
      </c>
      <c r="CJ163" s="9">
        <v>1</v>
      </c>
      <c r="CK163" s="9">
        <f t="shared" si="407"/>
        <v>289.2639267265605</v>
      </c>
      <c r="DH163" s="4">
        <f t="shared" si="362"/>
        <v>0</v>
      </c>
      <c r="DI163" s="4">
        <f t="shared" si="453"/>
        <v>212</v>
      </c>
      <c r="DL163" s="4">
        <f>H163/4/(1-0.3*(J163/30)^0.5)/200000/K163</f>
        <v>1.4378710630571176E-5</v>
      </c>
      <c r="DM163" s="4">
        <f t="shared" si="366"/>
        <v>6.4434781492989988</v>
      </c>
      <c r="DR163" s="38">
        <f t="shared" si="440"/>
        <v>74.425570064086557</v>
      </c>
      <c r="DS163" s="4">
        <f t="shared" si="411"/>
        <v>0.31489832014202762</v>
      </c>
      <c r="DU163" s="4">
        <f t="shared" si="441"/>
        <v>74.425570064086557</v>
      </c>
      <c r="DY163" s="4">
        <f t="shared" si="387"/>
        <v>0.85</v>
      </c>
      <c r="DZ163" s="4">
        <f t="shared" si="412"/>
        <v>0.83503937007874018</v>
      </c>
      <c r="EA163" s="4">
        <f t="shared" si="413"/>
        <v>1</v>
      </c>
      <c r="EB163" s="4">
        <f t="shared" si="414"/>
        <v>0.83503937007874018</v>
      </c>
      <c r="EE163" s="25"/>
      <c r="EH163" s="4">
        <f t="shared" si="454"/>
        <v>6.4434781492989988</v>
      </c>
      <c r="EK163" s="4">
        <f>EL163*K163</f>
        <v>56.796126628494655</v>
      </c>
      <c r="EL163" s="4">
        <f>X163^0.5</f>
        <v>2.2360679774997898</v>
      </c>
      <c r="EM163" s="4">
        <f>MIN(DU163)/(4700*J163^0.5)/W163*EK163</f>
        <v>4.4879310763957535E-2</v>
      </c>
      <c r="EP163" s="4">
        <f t="shared" si="332"/>
        <v>4.4879310763957535E-2</v>
      </c>
      <c r="EQ163" s="4">
        <f t="shared" si="333"/>
        <v>0.16354930031676054</v>
      </c>
      <c r="ER163" s="4">
        <f t="shared" si="371"/>
        <v>3.1230564645812455</v>
      </c>
      <c r="ES163" s="4">
        <f t="shared" si="388"/>
        <v>5.0662233136767156</v>
      </c>
      <c r="ET163" s="4">
        <f t="shared" si="372"/>
        <v>102.20387337150535</v>
      </c>
      <c r="EU163" s="4">
        <f t="shared" si="373"/>
        <v>53</v>
      </c>
      <c r="EV163" s="4">
        <f t="shared" si="415"/>
        <v>1.4378710630571176E-5</v>
      </c>
      <c r="EW163" s="4">
        <f t="shared" si="389"/>
        <v>6.2838095953115438</v>
      </c>
      <c r="EX163" s="4">
        <f t="shared" si="466"/>
        <v>236.3479425057543</v>
      </c>
      <c r="FG163" s="23"/>
      <c r="FH163" s="23"/>
      <c r="FI163" s="23"/>
      <c r="FJ163" s="23"/>
      <c r="FK163" s="23"/>
      <c r="FL163" s="23"/>
      <c r="FM163" s="23"/>
      <c r="FN163" s="23"/>
      <c r="FX163" s="4">
        <f t="shared" si="416"/>
        <v>1</v>
      </c>
      <c r="FY163" s="4">
        <f t="shared" si="469"/>
        <v>1.0833333333333333</v>
      </c>
      <c r="FZ163" s="4">
        <f t="shared" si="417"/>
        <v>0</v>
      </c>
      <c r="GA163" s="4">
        <f t="shared" si="418"/>
        <v>171.95754059290095</v>
      </c>
    </row>
    <row r="164" spans="1:183" ht="12" hidden="1" customHeight="1" x14ac:dyDescent="0.3">
      <c r="A164" s="25">
        <v>146</v>
      </c>
      <c r="B164" s="24" t="s">
        <v>659</v>
      </c>
      <c r="C164" s="24">
        <v>2007</v>
      </c>
      <c r="D164" s="24" t="s">
        <v>309</v>
      </c>
      <c r="E164" s="24"/>
      <c r="F164" s="4" t="s">
        <v>123</v>
      </c>
      <c r="G164" s="7">
        <v>454.8</v>
      </c>
      <c r="H164" s="7">
        <v>161</v>
      </c>
      <c r="I164" s="7">
        <f t="shared" si="455"/>
        <v>161</v>
      </c>
      <c r="J164" s="7">
        <v>25.1</v>
      </c>
      <c r="K164" s="7">
        <v>25.4</v>
      </c>
      <c r="L164" s="7">
        <f t="shared" si="424"/>
        <v>6.3385826771653546</v>
      </c>
      <c r="M164" s="7">
        <f t="shared" si="425"/>
        <v>6.3385826771653546</v>
      </c>
      <c r="N164" s="7">
        <v>160</v>
      </c>
      <c r="O164" s="7">
        <f t="shared" si="447"/>
        <v>67.3</v>
      </c>
      <c r="P164" s="7">
        <f t="shared" si="470"/>
        <v>153</v>
      </c>
      <c r="Q164" s="7">
        <v>0</v>
      </c>
      <c r="R164" s="7">
        <v>1</v>
      </c>
      <c r="S164" s="7">
        <f t="shared" si="471"/>
        <v>278</v>
      </c>
      <c r="T164" s="7">
        <f t="shared" si="458"/>
        <v>3.1496062992125986</v>
      </c>
      <c r="U164" s="7">
        <f t="shared" si="459"/>
        <v>3.1496062992125986</v>
      </c>
      <c r="V164" s="7">
        <f t="shared" si="472"/>
        <v>4</v>
      </c>
      <c r="W164" s="7">
        <f t="shared" si="472"/>
        <v>4</v>
      </c>
      <c r="X164" s="7">
        <f t="shared" si="431"/>
        <v>5</v>
      </c>
      <c r="Y164" s="7">
        <f t="shared" si="352"/>
        <v>56.796126628494655</v>
      </c>
      <c r="Z164" s="7">
        <f t="shared" si="461"/>
        <v>454.8</v>
      </c>
      <c r="AA164" s="7">
        <v>9</v>
      </c>
      <c r="AB164" s="7">
        <f>(59+56)/2/510*1000</f>
        <v>112.74509803921569</v>
      </c>
      <c r="AC164" s="7"/>
      <c r="AD164" s="7"/>
      <c r="AE164" s="7"/>
      <c r="AF164" s="7"/>
      <c r="AG164" s="7">
        <v>1</v>
      </c>
      <c r="AH164" s="7"/>
      <c r="AI164" s="7"/>
      <c r="AJ164" s="7">
        <f t="shared" si="473"/>
        <v>19.015748031496063</v>
      </c>
      <c r="AK164" s="4">
        <f t="shared" si="445"/>
        <v>161</v>
      </c>
      <c r="AL164" s="4">
        <f t="shared" si="448"/>
        <v>0.33126293995859213</v>
      </c>
      <c r="AM164" s="4">
        <f t="shared" si="449"/>
        <v>183.73304806343879</v>
      </c>
      <c r="AN164" s="4">
        <f t="shared" si="467"/>
        <v>0.79937888198757756</v>
      </c>
      <c r="AO164" s="4">
        <v>1.25</v>
      </c>
      <c r="AP164" s="25">
        <v>1</v>
      </c>
      <c r="AQ164" s="38">
        <f t="shared" si="462"/>
        <v>60.816695049739771</v>
      </c>
      <c r="AT164" s="38">
        <f t="shared" si="450"/>
        <v>66.858079292379969</v>
      </c>
      <c r="AU164" s="38">
        <f t="shared" si="400"/>
        <v>0.90963868082090182</v>
      </c>
      <c r="AV164" s="38">
        <f t="shared" si="328"/>
        <v>4.7297271442403765</v>
      </c>
      <c r="AW164" s="4">
        <f t="shared" si="323"/>
        <v>0</v>
      </c>
      <c r="AX164" s="4">
        <f t="shared" si="379"/>
        <v>167.13808396435402</v>
      </c>
      <c r="AY164" s="4">
        <f t="shared" si="380"/>
        <v>1</v>
      </c>
      <c r="AZ164" s="38">
        <f t="shared" si="438"/>
        <v>316.22047244094495</v>
      </c>
      <c r="BA164" s="4">
        <f t="shared" si="381"/>
        <v>0.44000000000000006</v>
      </c>
      <c r="BB164" s="4">
        <f t="shared" si="401"/>
        <v>38.425045503404988</v>
      </c>
      <c r="BC164" s="4">
        <f t="shared" si="402"/>
        <v>354.64551794434993</v>
      </c>
      <c r="BE164" s="4">
        <f t="shared" si="451"/>
        <v>1.4124015748031495</v>
      </c>
      <c r="BF164" s="4">
        <f t="shared" si="452"/>
        <v>346.84120682824488</v>
      </c>
      <c r="BH164" s="4">
        <f t="shared" si="463"/>
        <v>303.29410431474349</v>
      </c>
      <c r="BI164" s="4">
        <f t="shared" si="464"/>
        <v>1084.9722194286705</v>
      </c>
      <c r="BJ164" s="4">
        <f t="shared" si="465"/>
        <v>3.5772941313186242</v>
      </c>
      <c r="BR164" s="4">
        <f t="shared" si="331"/>
        <v>67.3</v>
      </c>
      <c r="BV164" s="9"/>
      <c r="BX164" s="9"/>
      <c r="BY164" s="9"/>
      <c r="BZ164" s="9">
        <f t="shared" si="383"/>
        <v>67.3</v>
      </c>
      <c r="CA164" s="9">
        <f t="shared" si="384"/>
        <v>67.3</v>
      </c>
      <c r="CB164" s="9">
        <f t="shared" si="403"/>
        <v>1.6277611308827222</v>
      </c>
      <c r="CC164" s="9">
        <v>0</v>
      </c>
      <c r="CD164" s="9">
        <f t="shared" si="306"/>
        <v>0</v>
      </c>
      <c r="CE164" s="9">
        <f t="shared" si="404"/>
        <v>0</v>
      </c>
      <c r="CF164" s="9">
        <f t="shared" si="385"/>
        <v>0.99524931562137331</v>
      </c>
      <c r="CG164" s="9">
        <f t="shared" si="386"/>
        <v>1.0903999999999998</v>
      </c>
      <c r="CH164" s="9">
        <f t="shared" si="405"/>
        <v>1.9029292228649537</v>
      </c>
      <c r="CI164" s="9">
        <f t="shared" si="406"/>
        <v>3.0975142238004367</v>
      </c>
      <c r="CJ164" s="9">
        <v>1</v>
      </c>
      <c r="CK164" s="9">
        <f t="shared" si="407"/>
        <v>264.38625343304517</v>
      </c>
      <c r="DH164" s="4">
        <f t="shared" si="362"/>
        <v>0</v>
      </c>
      <c r="DI164" s="4">
        <f t="shared" si="453"/>
        <v>161</v>
      </c>
      <c r="DL164" s="4">
        <f>H164/4/(1-0.3*(J164/30)^0.5)/200000/K164</f>
        <v>1.0919681186424338E-5</v>
      </c>
      <c r="DM164" s="4">
        <f t="shared" si="366"/>
        <v>6.4434781492989988</v>
      </c>
      <c r="DR164" s="38">
        <f t="shared" si="440"/>
        <v>66.858079292379969</v>
      </c>
      <c r="DS164" s="4">
        <f t="shared" si="411"/>
        <v>0.36229788726661166</v>
      </c>
      <c r="DU164" s="4">
        <f t="shared" si="441"/>
        <v>66.858079292379969</v>
      </c>
      <c r="DY164" s="4">
        <f t="shared" si="387"/>
        <v>0.85</v>
      </c>
      <c r="DZ164" s="4">
        <f t="shared" si="412"/>
        <v>0.83503937007874018</v>
      </c>
      <c r="EA164" s="4">
        <f t="shared" si="413"/>
        <v>1</v>
      </c>
      <c r="EB164" s="4">
        <f t="shared" si="414"/>
        <v>0.83503937007874018</v>
      </c>
      <c r="EE164" s="25"/>
      <c r="EH164" s="4">
        <f t="shared" si="454"/>
        <v>6.4434781492989988</v>
      </c>
      <c r="EK164" s="4">
        <f>EL164*K164</f>
        <v>56.796126628494655</v>
      </c>
      <c r="EL164" s="4">
        <f>X164^0.5</f>
        <v>2.2360679774997898</v>
      </c>
      <c r="EM164" s="4">
        <f>MIN(DU164)/(4700*J164^0.5)/W164*EK164</f>
        <v>4.0316043465442299E-2</v>
      </c>
      <c r="EP164" s="4">
        <f t="shared" si="332"/>
        <v>4.0316043465442299E-2</v>
      </c>
      <c r="EQ164" s="4">
        <f t="shared" si="333"/>
        <v>0.14691982982966276</v>
      </c>
      <c r="ER164" s="4">
        <f t="shared" si="371"/>
        <v>2.991937566563843</v>
      </c>
      <c r="ES164" s="4">
        <f t="shared" si="388"/>
        <v>5.0270800205596196</v>
      </c>
      <c r="ET164" s="4">
        <f t="shared" si="372"/>
        <v>63.953873371505345</v>
      </c>
      <c r="EU164" s="4">
        <f t="shared" si="373"/>
        <v>40.250000000000007</v>
      </c>
      <c r="EV164" s="4">
        <f t="shared" si="415"/>
        <v>1.091968118642434E-5</v>
      </c>
      <c r="EW164" s="4">
        <f t="shared" si="389"/>
        <v>6.3563219390598054</v>
      </c>
      <c r="EX164" s="4">
        <f t="shared" si="466"/>
        <v>184.53897094679917</v>
      </c>
      <c r="FG164" s="23"/>
      <c r="FH164" s="23"/>
      <c r="FI164" s="23"/>
      <c r="FJ164" s="23"/>
      <c r="FK164" s="23"/>
      <c r="FL164" s="23"/>
      <c r="FM164" s="23"/>
      <c r="FN164" s="23"/>
      <c r="FX164" s="4">
        <f t="shared" si="416"/>
        <v>1</v>
      </c>
      <c r="FY164" s="4">
        <f t="shared" si="469"/>
        <v>1.0833333333333333</v>
      </c>
      <c r="FZ164" s="4">
        <f t="shared" si="417"/>
        <v>0</v>
      </c>
      <c r="GA164" s="4">
        <f t="shared" si="418"/>
        <v>130.59039639366534</v>
      </c>
    </row>
    <row r="165" spans="1:183" ht="12" hidden="1" customHeight="1" x14ac:dyDescent="0.3">
      <c r="A165" s="25">
        <v>147</v>
      </c>
      <c r="B165" s="24" t="s">
        <v>128</v>
      </c>
      <c r="C165" s="24">
        <v>2017</v>
      </c>
      <c r="D165" s="24" t="s">
        <v>309</v>
      </c>
      <c r="E165" s="24"/>
      <c r="F165" s="4" t="s">
        <v>155</v>
      </c>
      <c r="G165" s="7">
        <v>606</v>
      </c>
      <c r="H165" s="7">
        <f>7*K165</f>
        <v>301</v>
      </c>
      <c r="I165" s="7">
        <f t="shared" si="455"/>
        <v>301</v>
      </c>
      <c r="J165" s="7">
        <v>47.9</v>
      </c>
      <c r="K165" s="37">
        <v>43</v>
      </c>
      <c r="L165" s="7">
        <f>H165/K165</f>
        <v>7</v>
      </c>
      <c r="M165" s="7">
        <f>I165/K165</f>
        <v>7</v>
      </c>
      <c r="N165" s="7">
        <f>Q165+2*O165+2*K165</f>
        <v>541.79999999999995</v>
      </c>
      <c r="O165" s="7">
        <f t="shared" ref="O165:O171" si="474">1*K165</f>
        <v>43</v>
      </c>
      <c r="P165" s="7">
        <f>40+16</f>
        <v>56</v>
      </c>
      <c r="Q165" s="7">
        <f>(9.6-1)*K165</f>
        <v>369.8</v>
      </c>
      <c r="R165" s="7">
        <v>2</v>
      </c>
      <c r="S165" s="7">
        <f>2/3*H165-0.5*125</f>
        <v>138.16666666666666</v>
      </c>
      <c r="T165" s="7">
        <f t="shared" ref="T165:T211" si="475">MIN(O165/K165+0.5, Q165/2/K165+0.5)</f>
        <v>1.5</v>
      </c>
      <c r="U165" s="7">
        <f t="shared" si="459"/>
        <v>1.5</v>
      </c>
      <c r="V165" s="7">
        <f t="shared" si="472"/>
        <v>4</v>
      </c>
      <c r="W165" s="7">
        <f t="shared" si="472"/>
        <v>4</v>
      </c>
      <c r="X165" s="7">
        <f t="shared" si="431"/>
        <v>5</v>
      </c>
      <c r="Y165" s="7">
        <f t="shared" si="352"/>
        <v>96.150923032490965</v>
      </c>
      <c r="Z165" s="7">
        <f t="shared" si="461"/>
        <v>606</v>
      </c>
      <c r="AA165" s="7">
        <v>19</v>
      </c>
      <c r="AB165" s="7">
        <f>(297+328)/2</f>
        <v>312.5</v>
      </c>
      <c r="AC165" s="7"/>
      <c r="AD165" s="4">
        <f t="shared" ref="AD165:AD228" si="476">CQ165</f>
        <v>0.96129394656467926</v>
      </c>
      <c r="AE165" s="7"/>
      <c r="AF165" s="7"/>
      <c r="AG165" s="7">
        <v>1</v>
      </c>
      <c r="AH165" s="7"/>
      <c r="AI165" s="7"/>
      <c r="AJ165" s="7">
        <f t="shared" si="473"/>
        <v>2.1875</v>
      </c>
      <c r="AK165" s="4">
        <f>H165</f>
        <v>301</v>
      </c>
      <c r="AL165" s="4">
        <f>IF(H165*3&gt;Q165+K165, N165, (O165+K165/2)*2+1.5*H165*(2*R165-2))*(3*H165)/(9*H165^2)</f>
        <v>0.6</v>
      </c>
      <c r="AM165" s="4">
        <f>MIN(10*J165^0.5*H165^1.5,100*3.9*J165^0.5*H165^(5/3))/(PI()/4*K165^2)/R165</f>
        <v>124.44020328781106</v>
      </c>
      <c r="AN165" s="4">
        <f>MIN(0.7+0.3*(MIN(O165,S165)+0.5*K165)/1.5/H165,1)</f>
        <v>0.74285714285714277</v>
      </c>
      <c r="AO165" s="4">
        <v>1.25</v>
      </c>
      <c r="AP165" s="4">
        <v>2.5</v>
      </c>
      <c r="AQ165" s="38">
        <f>AL165*AN165*AO165*AP165*AM165</f>
        <v>173.32742600802251</v>
      </c>
      <c r="AR165" s="38">
        <f>AQ165</f>
        <v>173.32742600802251</v>
      </c>
      <c r="AS165" s="38">
        <f>IF(J165&lt;50, 0.3*J165^(2/3), 2.12*LN(1+0.1*(J165+8)))</f>
        <v>3.9568075739830846</v>
      </c>
      <c r="AT165" s="38">
        <f t="shared" si="450"/>
        <v>173.32742600802277</v>
      </c>
      <c r="AU165" s="38">
        <f t="shared" si="400"/>
        <v>0.99999999999999856</v>
      </c>
      <c r="AV165" s="38">
        <f t="shared" si="328"/>
        <v>1.6581334334630755</v>
      </c>
      <c r="AW165" s="4">
        <f t="shared" si="323"/>
        <v>0</v>
      </c>
      <c r="AX165" s="4">
        <f t="shared" si="379"/>
        <v>254.98356907576408</v>
      </c>
      <c r="AY165" s="4">
        <f t="shared" si="380"/>
        <v>1</v>
      </c>
      <c r="AZ165" s="38">
        <f t="shared" si="438"/>
        <v>287.39999999999998</v>
      </c>
      <c r="BA165" s="4">
        <f t="shared" si="381"/>
        <v>0.44000000000000006</v>
      </c>
      <c r="BB165" s="4">
        <f t="shared" si="401"/>
        <v>58.620722530518172</v>
      </c>
      <c r="BC165" s="4">
        <f t="shared" si="402"/>
        <v>346.02072253051813</v>
      </c>
      <c r="BE165" s="4">
        <f t="shared" si="451"/>
        <v>1</v>
      </c>
      <c r="BF165" s="4">
        <f t="shared" si="452"/>
        <v>352.97011204916487</v>
      </c>
      <c r="BH165" s="4">
        <f t="shared" si="463"/>
        <v>275.65174672976275</v>
      </c>
      <c r="BI165" s="4">
        <f t="shared" si="464"/>
        <v>641.65616063635548</v>
      </c>
      <c r="BJ165" s="4">
        <f t="shared" si="465"/>
        <v>2.3277783226434909</v>
      </c>
      <c r="BR165" s="4">
        <f t="shared" si="331"/>
        <v>43</v>
      </c>
      <c r="BV165" s="9"/>
      <c r="BX165" s="9"/>
      <c r="BY165" s="9"/>
      <c r="BZ165" s="9">
        <f t="shared" si="383"/>
        <v>43</v>
      </c>
      <c r="CA165" s="9">
        <f t="shared" si="384"/>
        <v>184.9</v>
      </c>
      <c r="CB165" s="9">
        <f t="shared" si="403"/>
        <v>1.2445726940891169</v>
      </c>
      <c r="CC165" s="9">
        <v>0</v>
      </c>
      <c r="CD165" s="9">
        <f t="shared" si="306"/>
        <v>0</v>
      </c>
      <c r="CE165" s="9">
        <f t="shared" si="404"/>
        <v>0</v>
      </c>
      <c r="CF165" s="9">
        <f t="shared" si="385"/>
        <v>0.84984840943171969</v>
      </c>
      <c r="CG165" s="9">
        <f t="shared" si="386"/>
        <v>0.84399999999999997</v>
      </c>
      <c r="CH165" s="9">
        <f t="shared" si="405"/>
        <v>1.7374795977330737</v>
      </c>
      <c r="CI165" s="9">
        <f t="shared" si="406"/>
        <v>2.1624196638755264</v>
      </c>
      <c r="CJ165" s="9">
        <v>1</v>
      </c>
      <c r="CK165" s="9">
        <f t="shared" si="407"/>
        <v>190.29293042104632</v>
      </c>
      <c r="CM165" s="4">
        <f t="shared" ref="CM165:CM211" si="477">AB165/AX165</f>
        <v>1.225569165623946</v>
      </c>
      <c r="CN165" s="4">
        <f t="shared" ref="CN165:CN211" si="478">AB165/BC165</f>
        <v>0.90312510104777988</v>
      </c>
      <c r="CO165" s="4">
        <f t="shared" ref="CO165:CO211" si="479">AB165/BF165</f>
        <v>0.88534408249407859</v>
      </c>
      <c r="CP165" s="4">
        <f t="shared" ref="CP165:CP211" si="480">AB165/CK165</f>
        <v>1.6422049905298932</v>
      </c>
      <c r="CQ165" s="4">
        <f t="shared" ref="CQ165:CQ211" si="481">AB165/DR165</f>
        <v>0.96129394656467926</v>
      </c>
      <c r="CR165" s="4">
        <f t="shared" ref="CR165:CR211" si="482">AB165/ED165</f>
        <v>1.0049803374710342</v>
      </c>
      <c r="CS165" s="4">
        <f t="shared" ref="CS165:CS211" si="483">AB165/GA165</f>
        <v>1.3838937040210169</v>
      </c>
      <c r="CU165" s="4">
        <f>CM165</f>
        <v>1.225569165623946</v>
      </c>
      <c r="CV165" s="4">
        <f>CN165</f>
        <v>0.90312510104777988</v>
      </c>
      <c r="CW165" s="4">
        <f>CP165</f>
        <v>1.6422049905298932</v>
      </c>
      <c r="CX165" s="4">
        <f t="shared" ref="CX165:CX172" si="484">CS165</f>
        <v>1.3838937040210169</v>
      </c>
      <c r="CY165" s="4">
        <f>CQ165</f>
        <v>0.96129394656467926</v>
      </c>
      <c r="CZ165" s="4">
        <f>CR165</f>
        <v>1.0049803374710342</v>
      </c>
      <c r="DH165" s="4">
        <f t="shared" si="362"/>
        <v>0</v>
      </c>
      <c r="DI165" s="4">
        <f t="shared" si="453"/>
        <v>301</v>
      </c>
      <c r="DL165" s="4">
        <f t="shared" ref="DL165:DL228" si="485">H165/4/(1-0.3*(J165/30)^0.5)/200000/K165</f>
        <v>1.4091943242647847E-5</v>
      </c>
      <c r="DM165" s="4">
        <f t="shared" si="366"/>
        <v>6.6896087368323061</v>
      </c>
      <c r="DN165" s="4">
        <f t="shared" ref="DN165:DN228" si="486">DU165*Y165/257/J165/V165</f>
        <v>0.33844812875228814</v>
      </c>
      <c r="DO165" s="4">
        <f t="shared" ref="DO165:DO228" si="487">DM165*DN165^0.4</f>
        <v>4.3370813109730566</v>
      </c>
      <c r="DP165" s="4">
        <f t="shared" ref="DP165:DP228" si="488">MIN(DM165, DM165/1.4*(1-DN165^1.4)/(1-DN165))</f>
        <v>5.6379680974746442</v>
      </c>
      <c r="DQ165" s="4">
        <f t="shared" ref="DQ165:DQ228" si="489">MAX(DM165/2, (4-DL165*(8*Y165*(DO165-DP165)+6*H165*DP165))/(4+DL165*H165*DM165)*DM165)</f>
        <v>6.4276280243738011</v>
      </c>
      <c r="DR165" s="38">
        <f>MIN(1/K165*(4*Y165*(DO165-DP165)+(3*DP165+DQ165)*H165)+DU165 -FB165,MAX(G165,AB165))</f>
        <v>325.08266708301164</v>
      </c>
      <c r="DS165" s="4">
        <f t="shared" si="411"/>
        <v>1.0001192057484978</v>
      </c>
      <c r="DT165" s="4">
        <f t="shared" ref="DT165:DT228" si="490">Y165/K165</f>
        <v>2.2360679774997898</v>
      </c>
      <c r="DU165" s="4">
        <f t="shared" si="441"/>
        <v>173.32742600802277</v>
      </c>
      <c r="DY165" s="4">
        <f t="shared" si="387"/>
        <v>0.85</v>
      </c>
      <c r="DZ165" s="4">
        <f t="shared" si="412"/>
        <v>1</v>
      </c>
      <c r="EA165" s="4">
        <f>MIN(1,MAX(0.7,1-0.3*(PI()*AE165^2/4*AI165*2-0.25*PI()/4*K165^2)/(PI()/4*K165^2)))</f>
        <v>1</v>
      </c>
      <c r="EB165" s="4">
        <f t="shared" si="414"/>
        <v>1</v>
      </c>
      <c r="ED165" s="4">
        <f>MIN(DM165/K165*3*H165+EE165-FB165,MAX(G165,AB165))</f>
        <v>310.95135730355219</v>
      </c>
      <c r="EE165" s="25">
        <f>13.3*N165*H165^0.5*J165^0.5/R165/K165^2*(0.7+O165/5/H165)</f>
        <v>170.46957383007376</v>
      </c>
      <c r="EH165" s="4">
        <f>IF(K165&lt;22.2,1.1*5*(J165/30)^0.5,IF(K165&gt;=31.8,0.9*5*(J165/30)^0.5,1*5*(J165/30)^0.5))/DY165/EB165</f>
        <v>6.6896087368323061</v>
      </c>
      <c r="EK165" s="4">
        <f t="shared" ref="EK165:EK228" si="491">EL165*K165</f>
        <v>96.150923032490965</v>
      </c>
      <c r="EL165" s="4">
        <f t="shared" ref="EL165:EL228" si="492">X165^0.5</f>
        <v>2.2360679774997898</v>
      </c>
      <c r="EM165" s="4">
        <f t="shared" ref="EM165:EM228" si="493">MIN(DU165)/(4700*J165^0.5)/W165*EK165</f>
        <v>0.12808407592670423</v>
      </c>
      <c r="EP165" s="4">
        <f t="shared" si="332"/>
        <v>0.12808407592670423</v>
      </c>
      <c r="EQ165" s="4">
        <f t="shared" si="333"/>
        <v>0.33788332190355697</v>
      </c>
      <c r="ER165" s="4">
        <f t="shared" si="371"/>
        <v>4.3341847481064635</v>
      </c>
      <c r="ES165" s="4">
        <f t="shared" si="388"/>
        <v>5.6368571639286049</v>
      </c>
      <c r="ET165" s="4">
        <f t="shared" si="372"/>
        <v>129.59907696750903</v>
      </c>
      <c r="EU165" s="4">
        <f t="shared" si="373"/>
        <v>75.25</v>
      </c>
      <c r="EV165" s="4">
        <f t="shared" si="415"/>
        <v>1.4091943242647847E-5</v>
      </c>
      <c r="EW165" s="4">
        <f t="shared" si="389"/>
        <v>6.4277071179258733</v>
      </c>
      <c r="EX165" s="4">
        <f t="shared" si="466"/>
        <v>325.04391997923585</v>
      </c>
      <c r="FG165" s="23">
        <f t="shared" ref="FG165:FH191" si="494">IF(CM165&lt;0.6,0.6,IF(CM165&lt;0.8,0.8,IF(CM165&lt;1,1,IF(CM165&lt;1.2,1.2,IF(CM165&lt;1.4,1.4,IF(CM165&lt;1.6,1.6,IF(CM165&lt;1.8,1.8,IF(CM165&lt;2,2,2.2))))))))</f>
        <v>1.4</v>
      </c>
      <c r="FH165" s="23">
        <f t="shared" si="494"/>
        <v>1</v>
      </c>
      <c r="FI165" s="23">
        <f t="shared" ref="FI165:FI211" si="495">IF(CS165&lt;0.6,0.6,IF(CS165&lt;0.8,0.8,IF(CS165&lt;1,1,IF(CS165&lt;1.2,1.2,IF(CS165&lt;1.4,1.4,IF(CS165&lt;1.6,1.6,IF(CS165&lt;1.8,1.8,IF(CS165&lt;2,2,2.2))))))))</f>
        <v>1.4</v>
      </c>
      <c r="FJ165" s="23">
        <f t="shared" ref="FJ165:FL191" si="496">IF(CP165&lt;0.6,0.6,IF(CP165&lt;0.8,0.8,IF(CP165&lt;1,1,IF(CP165&lt;1.2,1.2,IF(CP165&lt;1.4,1.4,IF(CP165&lt;1.6,1.6,IF(CP165&lt;1.8,1.8,IF(CP165&lt;2,2,2.2))))))))</f>
        <v>1.8</v>
      </c>
      <c r="FK165" s="23">
        <f t="shared" si="496"/>
        <v>1</v>
      </c>
      <c r="FL165" s="23">
        <f t="shared" si="496"/>
        <v>1.2</v>
      </c>
      <c r="FM165" s="23">
        <f t="shared" ref="FM165:FM211" si="497">IF(FK165&lt;1,1,0)</f>
        <v>0</v>
      </c>
      <c r="FN165" s="23"/>
      <c r="FX165" s="4">
        <f t="shared" si="416"/>
        <v>1.25</v>
      </c>
      <c r="FY165" s="4">
        <f t="shared" si="469"/>
        <v>0.5</v>
      </c>
      <c r="FZ165" s="4">
        <f t="shared" si="417"/>
        <v>0</v>
      </c>
      <c r="GA165" s="4">
        <f t="shared" si="418"/>
        <v>225.81214084001218</v>
      </c>
    </row>
    <row r="166" spans="1:183" ht="12" hidden="1" customHeight="1" x14ac:dyDescent="0.3">
      <c r="A166" s="25">
        <v>148</v>
      </c>
      <c r="B166" s="24" t="s">
        <v>128</v>
      </c>
      <c r="C166" s="24">
        <v>2017</v>
      </c>
      <c r="D166" s="24" t="s">
        <v>309</v>
      </c>
      <c r="E166" s="24"/>
      <c r="F166" s="4" t="s">
        <v>156</v>
      </c>
      <c r="G166" s="7">
        <v>606</v>
      </c>
      <c r="H166" s="7">
        <f>7*K166</f>
        <v>301</v>
      </c>
      <c r="I166" s="7">
        <f t="shared" si="455"/>
        <v>301</v>
      </c>
      <c r="J166" s="7">
        <v>47.9</v>
      </c>
      <c r="K166" s="37">
        <v>43</v>
      </c>
      <c r="L166" s="7">
        <f t="shared" ref="L166:L229" si="498">H166/K166</f>
        <v>7</v>
      </c>
      <c r="M166" s="7">
        <f t="shared" ref="M166:M229" si="499">I166/K166</f>
        <v>7</v>
      </c>
      <c r="N166" s="7">
        <f t="shared" ref="N166:N191" si="500">Q166+2*O166+2*K166</f>
        <v>541.79999999999995</v>
      </c>
      <c r="O166" s="7">
        <f t="shared" si="474"/>
        <v>43</v>
      </c>
      <c r="P166" s="7">
        <f t="shared" ref="P166:P191" si="501">40+16</f>
        <v>56</v>
      </c>
      <c r="Q166" s="7">
        <f t="shared" ref="Q166:Q170" si="502">(9.6-1)*K166</f>
        <v>369.8</v>
      </c>
      <c r="R166" s="7">
        <v>2</v>
      </c>
      <c r="S166" s="7">
        <f t="shared" ref="S166:S170" si="503">2/3*H166-0.5*125</f>
        <v>138.16666666666666</v>
      </c>
      <c r="T166" s="7">
        <f t="shared" si="475"/>
        <v>1.5</v>
      </c>
      <c r="U166" s="7">
        <f t="shared" si="459"/>
        <v>1.5</v>
      </c>
      <c r="V166" s="7">
        <f t="shared" si="472"/>
        <v>4</v>
      </c>
      <c r="W166" s="7">
        <f t="shared" si="472"/>
        <v>4</v>
      </c>
      <c r="X166" s="7">
        <f t="shared" si="431"/>
        <v>5</v>
      </c>
      <c r="Y166" s="7">
        <f t="shared" si="352"/>
        <v>96.150923032490965</v>
      </c>
      <c r="Z166" s="7">
        <f t="shared" si="461"/>
        <v>606</v>
      </c>
      <c r="AA166" s="7">
        <v>19</v>
      </c>
      <c r="AB166" s="7">
        <f>(449+385)/2</f>
        <v>417</v>
      </c>
      <c r="AC166" s="7"/>
      <c r="AD166" s="4">
        <f t="shared" si="476"/>
        <v>1.2785719938235214</v>
      </c>
      <c r="AE166" s="7">
        <v>15.9</v>
      </c>
      <c r="AF166" s="7">
        <v>1</v>
      </c>
      <c r="AG166" s="7">
        <v>370</v>
      </c>
      <c r="AH166" s="7">
        <v>2</v>
      </c>
      <c r="AI166" s="7">
        <f>AF166</f>
        <v>1</v>
      </c>
      <c r="AJ166" s="7">
        <f t="shared" si="473"/>
        <v>2.1875</v>
      </c>
      <c r="AK166" s="4">
        <f t="shared" ref="AK166:AK191" si="504">H166</f>
        <v>301</v>
      </c>
      <c r="AL166" s="4">
        <f t="shared" ref="AL166:AL229" si="505">IF(H166*3&gt;Q166+K166, N166, (O166+K166/2)*2+1.5*H166*(2*R166-2))*(3*H166)/(9*H166^2)</f>
        <v>0.6</v>
      </c>
      <c r="AM166" s="4">
        <f t="shared" ref="AM166:AM229" si="506">MIN(10*J166^0.5*H166^1.5,100*3.9*J166^0.5*H166^(5/3))/(PI()/4*K166^2)/R166</f>
        <v>124.44020328781106</v>
      </c>
      <c r="AN166" s="4">
        <f t="shared" ref="AN166:AN229" si="507">MIN(0.7+0.3*(MIN(O166,S166)+0.5*K166)/1.5/H166,1)</f>
        <v>0.74285714285714277</v>
      </c>
      <c r="AO166" s="4">
        <v>1.25</v>
      </c>
      <c r="AP166" s="4">
        <f t="shared" ref="AP166:AP190" si="508">AP165</f>
        <v>2.5</v>
      </c>
      <c r="AQ166" s="38">
        <f t="shared" ref="AQ166:AQ229" si="509">AL166*AN166*AO166*AP166*AM166</f>
        <v>173.32742600802251</v>
      </c>
      <c r="AR166" s="38">
        <f t="shared" ref="AR166:AR229" si="510">AQ166</f>
        <v>173.32742600802251</v>
      </c>
      <c r="AS166" s="38">
        <f t="shared" ref="AS166:AS229" si="511">IF(J166&lt;50, 0.3*J166^(2/3), 2.12*LN(1+0.1*(J166+8)))</f>
        <v>3.9568075739830846</v>
      </c>
      <c r="AT166" s="38">
        <f t="shared" si="450"/>
        <v>173.32742600802277</v>
      </c>
      <c r="AU166" s="38">
        <f t="shared" si="400"/>
        <v>0.99999999999999856</v>
      </c>
      <c r="AV166" s="38">
        <f t="shared" si="328"/>
        <v>1.6581334334630755</v>
      </c>
      <c r="AW166" s="4">
        <f t="shared" si="323"/>
        <v>0</v>
      </c>
      <c r="AX166" s="4">
        <f t="shared" si="379"/>
        <v>254.98356907576408</v>
      </c>
      <c r="AY166" s="4">
        <f t="shared" si="380"/>
        <v>1</v>
      </c>
      <c r="AZ166" s="38">
        <f t="shared" si="438"/>
        <v>287.39999999999998</v>
      </c>
      <c r="BA166" s="4">
        <f t="shared" si="381"/>
        <v>0.44000000000000006</v>
      </c>
      <c r="BB166" s="4">
        <f t="shared" si="401"/>
        <v>58.620722530518172</v>
      </c>
      <c r="BC166" s="4">
        <f t="shared" si="402"/>
        <v>346.02072253051813</v>
      </c>
      <c r="BE166" s="4">
        <f t="shared" si="451"/>
        <v>1.1996797080462691</v>
      </c>
      <c r="BF166" s="4">
        <f t="shared" si="452"/>
        <v>423.451080972201</v>
      </c>
      <c r="BH166" s="4">
        <f t="shared" si="463"/>
        <v>275.65174672976275</v>
      </c>
      <c r="BI166" s="4">
        <f t="shared" si="464"/>
        <v>641.65616063635548</v>
      </c>
      <c r="BJ166" s="4">
        <f t="shared" si="465"/>
        <v>2.3277783226434909</v>
      </c>
      <c r="BR166" s="4">
        <f t="shared" si="331"/>
        <v>43</v>
      </c>
      <c r="BV166" s="9"/>
      <c r="BX166" s="9"/>
      <c r="BY166" s="9"/>
      <c r="BZ166" s="9">
        <f t="shared" si="383"/>
        <v>43</v>
      </c>
      <c r="CA166" s="9">
        <f t="shared" si="384"/>
        <v>184.9</v>
      </c>
      <c r="CB166" s="9">
        <f t="shared" si="403"/>
        <v>1.2445726940891169</v>
      </c>
      <c r="CC166" s="9">
        <v>20</v>
      </c>
      <c r="CD166" s="9">
        <f t="shared" si="306"/>
        <v>1.2479981752891823E-2</v>
      </c>
      <c r="CE166" s="9">
        <f t="shared" si="404"/>
        <v>4.9599635057836454E-2</v>
      </c>
      <c r="CF166" s="9">
        <f t="shared" si="385"/>
        <v>0.84984840943171969</v>
      </c>
      <c r="CG166" s="9">
        <f t="shared" si="386"/>
        <v>0.84399999999999997</v>
      </c>
      <c r="CH166" s="9">
        <f t="shared" si="405"/>
        <v>1.7374795977330737</v>
      </c>
      <c r="CI166" s="9">
        <f t="shared" si="406"/>
        <v>2.2485980178435234</v>
      </c>
      <c r="CJ166" s="9">
        <v>1</v>
      </c>
      <c r="CK166" s="9">
        <f t="shared" si="407"/>
        <v>197.87662557023009</v>
      </c>
      <c r="CM166" s="4">
        <f t="shared" si="477"/>
        <v>1.6353994946085937</v>
      </c>
      <c r="CN166" s="4">
        <f t="shared" si="478"/>
        <v>1.2051301348381576</v>
      </c>
      <c r="CO166" s="4">
        <f t="shared" si="479"/>
        <v>0.98476546344529348</v>
      </c>
      <c r="CP166" s="4">
        <f t="shared" si="480"/>
        <v>2.1073737173267033</v>
      </c>
      <c r="CQ166" s="4">
        <f t="shared" si="481"/>
        <v>1.2785719938235214</v>
      </c>
      <c r="CR166" s="4">
        <f t="shared" si="482"/>
        <v>1.336765961716297</v>
      </c>
      <c r="CS166" s="4">
        <f t="shared" si="483"/>
        <v>1.4372631142025567</v>
      </c>
      <c r="DA166" s="4">
        <f>CM166</f>
        <v>1.6353994946085937</v>
      </c>
      <c r="DB166" s="4">
        <f>CN166</f>
        <v>1.2051301348381576</v>
      </c>
      <c r="DC166" s="4">
        <f>CP166</f>
        <v>2.1073737173267033</v>
      </c>
      <c r="DD166" s="4">
        <f t="shared" ref="DD166" si="512">CS166</f>
        <v>1.4372631142025567</v>
      </c>
      <c r="DE166" s="4">
        <f>CQ166</f>
        <v>1.2785719938235214</v>
      </c>
      <c r="DF166" s="4">
        <f>CR166</f>
        <v>1.336765961716297</v>
      </c>
      <c r="DH166" s="4">
        <f t="shared" si="362"/>
        <v>1</v>
      </c>
      <c r="DI166" s="4">
        <f t="shared" si="453"/>
        <v>301</v>
      </c>
      <c r="DL166" s="4">
        <f t="shared" si="485"/>
        <v>1.4091943242647847E-5</v>
      </c>
      <c r="DM166" s="4">
        <f t="shared" si="366"/>
        <v>6.7370156108794408</v>
      </c>
      <c r="DN166" s="4">
        <f t="shared" si="486"/>
        <v>0.33844812875228814</v>
      </c>
      <c r="DO166" s="4">
        <f t="shared" si="487"/>
        <v>4.3678166612050413</v>
      </c>
      <c r="DP166" s="4">
        <f t="shared" si="488"/>
        <v>5.6779223689415446</v>
      </c>
      <c r="DQ166" s="4">
        <f t="shared" si="489"/>
        <v>6.4713218762920217</v>
      </c>
      <c r="DR166" s="38">
        <f t="shared" ref="DR166:DR229" si="513">MIN(1/K166*(4*Y166*(DO166-DP166)+(3*DP166+DQ166)*H166)+DU166 -FB166,MAX(G166,AB166))</f>
        <v>326.14510720900216</v>
      </c>
      <c r="DS166" s="4">
        <f t="shared" si="411"/>
        <v>1.0001196474663594</v>
      </c>
      <c r="DT166" s="4">
        <f t="shared" si="490"/>
        <v>2.2360679774997898</v>
      </c>
      <c r="DU166" s="4">
        <f t="shared" si="441"/>
        <v>173.32742600802277</v>
      </c>
      <c r="DY166" s="4">
        <f t="shared" si="387"/>
        <v>0.85</v>
      </c>
      <c r="DZ166" s="4">
        <f t="shared" si="412"/>
        <v>1</v>
      </c>
      <c r="EA166" s="4">
        <f t="shared" ref="EA166:EA229" si="514">MIN(1,MAX(0.7,1-0.3*(PI()*AE166^2/4*AI166*2-0.25*PI()/4*K166^2)/(PI()/4*K166^2)))</f>
        <v>0.99296322336398057</v>
      </c>
      <c r="EB166" s="4">
        <f t="shared" si="414"/>
        <v>0.99296322336398057</v>
      </c>
      <c r="ED166" s="4">
        <f t="shared" ref="ED166:ED229" si="515">MIN(DM166/K166*3*H166+EE166-FB166,MAX(G166,AB166))</f>
        <v>311.946901658542</v>
      </c>
      <c r="EE166" s="25">
        <f t="shared" ref="EE166:EE229" si="516">13.3*N166*H166^0.5*J166^0.5/R166/K166^2*(0.7+O166/5/H166)</f>
        <v>170.46957383007376</v>
      </c>
      <c r="EH166" s="4">
        <f t="shared" ref="EH166:EH229" si="517">IF(K166&lt;22.2,1.1*5*(J166/30)^0.5,IF(K166&gt;=31.8,0.9*5*(J166/30)^0.5,1*5*(J166/30)^0.5))/DY166/EB166</f>
        <v>6.7370156108794408</v>
      </c>
      <c r="EK166" s="4">
        <f t="shared" si="491"/>
        <v>96.150923032490965</v>
      </c>
      <c r="EL166" s="4">
        <f t="shared" si="492"/>
        <v>2.2360679774997898</v>
      </c>
      <c r="EM166" s="4">
        <f t="shared" si="493"/>
        <v>0.12808407592670423</v>
      </c>
      <c r="EP166" s="4">
        <f t="shared" si="332"/>
        <v>0.12808407592670423</v>
      </c>
      <c r="EQ166" s="4">
        <f t="shared" si="333"/>
        <v>0.33788332190355697</v>
      </c>
      <c r="ER166" s="4">
        <f t="shared" si="371"/>
        <v>4.3648995714292678</v>
      </c>
      <c r="ES166" s="4">
        <f t="shared" si="388"/>
        <v>5.6768035626052171</v>
      </c>
      <c r="ET166" s="4">
        <f t="shared" si="372"/>
        <v>129.59907696750903</v>
      </c>
      <c r="EU166" s="4">
        <f t="shared" si="373"/>
        <v>75.25</v>
      </c>
      <c r="EV166" s="4">
        <f t="shared" si="415"/>
        <v>1.4091943242647847E-5</v>
      </c>
      <c r="EW166" s="4">
        <f t="shared" si="389"/>
        <v>6.471402090827798</v>
      </c>
      <c r="EX166" s="4">
        <f t="shared" si="466"/>
        <v>326.10608944163607</v>
      </c>
      <c r="FG166" s="23">
        <f t="shared" si="494"/>
        <v>1.8</v>
      </c>
      <c r="FH166" s="23">
        <f t="shared" si="494"/>
        <v>1.4</v>
      </c>
      <c r="FI166" s="23">
        <f t="shared" si="495"/>
        <v>1.6</v>
      </c>
      <c r="FJ166" s="23">
        <f t="shared" si="496"/>
        <v>2.2000000000000002</v>
      </c>
      <c r="FK166" s="23">
        <f t="shared" si="496"/>
        <v>1.4</v>
      </c>
      <c r="FL166" s="23">
        <f t="shared" si="496"/>
        <v>1.4</v>
      </c>
      <c r="FM166" s="23">
        <f t="shared" si="497"/>
        <v>0</v>
      </c>
      <c r="FN166" s="23"/>
      <c r="FX166" s="4">
        <f t="shared" si="416"/>
        <v>1.25</v>
      </c>
      <c r="FY166" s="4">
        <f t="shared" si="469"/>
        <v>0.38915043257609383</v>
      </c>
      <c r="FZ166" s="4">
        <f t="shared" si="417"/>
        <v>0.27345592212006492</v>
      </c>
      <c r="GA166" s="4">
        <f t="shared" si="418"/>
        <v>290.13476786494033</v>
      </c>
    </row>
    <row r="167" spans="1:183" ht="12" hidden="1" customHeight="1" x14ac:dyDescent="0.3">
      <c r="A167" s="25">
        <v>149</v>
      </c>
      <c r="B167" s="24" t="s">
        <v>128</v>
      </c>
      <c r="C167" s="24">
        <v>2017</v>
      </c>
      <c r="D167" s="24" t="s">
        <v>309</v>
      </c>
      <c r="E167" s="24"/>
      <c r="F167" s="4" t="s">
        <v>157</v>
      </c>
      <c r="G167" s="7">
        <v>606</v>
      </c>
      <c r="H167" s="7">
        <f>7*K167</f>
        <v>301</v>
      </c>
      <c r="I167" s="7">
        <f t="shared" si="455"/>
        <v>301</v>
      </c>
      <c r="J167" s="7">
        <v>68.2</v>
      </c>
      <c r="K167" s="37">
        <v>43</v>
      </c>
      <c r="L167" s="7">
        <f t="shared" si="498"/>
        <v>7</v>
      </c>
      <c r="M167" s="7">
        <f t="shared" si="499"/>
        <v>7</v>
      </c>
      <c r="N167" s="7">
        <f t="shared" si="500"/>
        <v>541.79999999999995</v>
      </c>
      <c r="O167" s="7">
        <f t="shared" si="474"/>
        <v>43</v>
      </c>
      <c r="P167" s="7">
        <f t="shared" si="501"/>
        <v>56</v>
      </c>
      <c r="Q167" s="7">
        <f t="shared" si="502"/>
        <v>369.8</v>
      </c>
      <c r="R167" s="7">
        <v>2</v>
      </c>
      <c r="S167" s="7">
        <f t="shared" si="503"/>
        <v>138.16666666666666</v>
      </c>
      <c r="T167" s="7">
        <f t="shared" si="475"/>
        <v>1.5</v>
      </c>
      <c r="U167" s="7">
        <f t="shared" si="459"/>
        <v>1.5</v>
      </c>
      <c r="V167" s="7">
        <f t="shared" si="472"/>
        <v>4</v>
      </c>
      <c r="W167" s="7">
        <f t="shared" si="472"/>
        <v>4</v>
      </c>
      <c r="X167" s="7">
        <f t="shared" si="431"/>
        <v>5</v>
      </c>
      <c r="Y167" s="7">
        <f t="shared" si="352"/>
        <v>96.150923032490965</v>
      </c>
      <c r="Z167" s="7">
        <f t="shared" si="461"/>
        <v>606</v>
      </c>
      <c r="AA167" s="7">
        <v>19</v>
      </c>
      <c r="AB167" s="7">
        <f>(501+501)/2</f>
        <v>501</v>
      </c>
      <c r="AC167" s="7"/>
      <c r="AD167" s="4">
        <f t="shared" si="476"/>
        <v>1.3098915185197448</v>
      </c>
      <c r="AE167" s="7"/>
      <c r="AF167" s="7"/>
      <c r="AG167" s="7">
        <v>1</v>
      </c>
      <c r="AH167" s="7"/>
      <c r="AI167" s="7"/>
      <c r="AJ167" s="7">
        <f t="shared" si="473"/>
        <v>2.1875</v>
      </c>
      <c r="AK167" s="4">
        <f t="shared" si="504"/>
        <v>301</v>
      </c>
      <c r="AL167" s="4">
        <f t="shared" si="505"/>
        <v>0.6</v>
      </c>
      <c r="AM167" s="4">
        <f t="shared" si="506"/>
        <v>148.48587499878823</v>
      </c>
      <c r="AN167" s="4">
        <f t="shared" si="507"/>
        <v>0.74285714285714277</v>
      </c>
      <c r="AO167" s="4">
        <v>1.25</v>
      </c>
      <c r="AP167" s="4">
        <f t="shared" si="508"/>
        <v>2.5</v>
      </c>
      <c r="AQ167" s="38">
        <f t="shared" si="509"/>
        <v>206.81961160545501</v>
      </c>
      <c r="AR167" s="38">
        <f t="shared" si="510"/>
        <v>206.81961160545501</v>
      </c>
      <c r="AS167" s="38">
        <f t="shared" si="511"/>
        <v>4.5666603795122764</v>
      </c>
      <c r="AT167" s="38">
        <f t="shared" si="450"/>
        <v>206.81961160545529</v>
      </c>
      <c r="AU167" s="38">
        <f t="shared" si="400"/>
        <v>0.99999999999999867</v>
      </c>
      <c r="AV167" s="38">
        <f t="shared" si="328"/>
        <v>1.9785357724228825</v>
      </c>
      <c r="AW167" s="4">
        <f t="shared" si="323"/>
        <v>0</v>
      </c>
      <c r="AX167" s="4">
        <f t="shared" si="379"/>
        <v>304.25423106197485</v>
      </c>
      <c r="AY167" s="4">
        <f t="shared" si="380"/>
        <v>1</v>
      </c>
      <c r="AZ167" s="38">
        <f t="shared" si="438"/>
        <v>409.20000000000005</v>
      </c>
      <c r="BA167" s="4">
        <f t="shared" si="381"/>
        <v>0.44000000000000006</v>
      </c>
      <c r="BB167" s="4">
        <f t="shared" si="401"/>
        <v>69.948047721148029</v>
      </c>
      <c r="BC167" s="4">
        <f t="shared" si="402"/>
        <v>479.14804772114809</v>
      </c>
      <c r="BE167" s="4">
        <f t="shared" si="451"/>
        <v>1</v>
      </c>
      <c r="BF167" s="4">
        <f t="shared" si="452"/>
        <v>421.17478557007666</v>
      </c>
      <c r="BH167" s="4">
        <f t="shared" si="463"/>
        <v>392.47284189916127</v>
      </c>
      <c r="BI167" s="4">
        <f t="shared" si="464"/>
        <v>641.65616063635548</v>
      </c>
      <c r="BJ167" s="4">
        <f t="shared" si="465"/>
        <v>1.6349058893639763</v>
      </c>
      <c r="BR167" s="4">
        <f t="shared" si="331"/>
        <v>43</v>
      </c>
      <c r="BV167" s="9"/>
      <c r="BX167" s="9"/>
      <c r="BY167" s="9"/>
      <c r="BZ167" s="9">
        <f t="shared" si="383"/>
        <v>43</v>
      </c>
      <c r="CA167" s="9">
        <f t="shared" si="384"/>
        <v>184.9</v>
      </c>
      <c r="CB167" s="9">
        <f t="shared" si="403"/>
        <v>1.2445726940891169</v>
      </c>
      <c r="CC167" s="9">
        <v>0</v>
      </c>
      <c r="CD167" s="9">
        <f t="shared" ref="CD167:CD230" si="518">MIN(PI()*AE167^2/4*AF167*2/R167/K167/MAX(0.01,AG167),0.05)</f>
        <v>0</v>
      </c>
      <c r="CE167" s="9">
        <f t="shared" si="404"/>
        <v>0</v>
      </c>
      <c r="CF167" s="9">
        <f t="shared" si="385"/>
        <v>0.84984840943171969</v>
      </c>
      <c r="CG167" s="9">
        <f t="shared" si="386"/>
        <v>0.84399999999999997</v>
      </c>
      <c r="CH167" s="9">
        <f t="shared" si="405"/>
        <v>2.0732140541850779</v>
      </c>
      <c r="CI167" s="9">
        <f t="shared" si="406"/>
        <v>2.5802656008405425</v>
      </c>
      <c r="CJ167" s="9">
        <v>1</v>
      </c>
      <c r="CK167" s="9">
        <f t="shared" si="407"/>
        <v>227.06337287396775</v>
      </c>
      <c r="CM167" s="4">
        <f t="shared" si="477"/>
        <v>1.6466492454395782</v>
      </c>
      <c r="CN167" s="4">
        <f t="shared" si="478"/>
        <v>1.0456058464242541</v>
      </c>
      <c r="CO167" s="4">
        <f t="shared" si="479"/>
        <v>1.1895298986663618</v>
      </c>
      <c r="CP167" s="4">
        <f t="shared" si="480"/>
        <v>2.2064324759153546</v>
      </c>
      <c r="CQ167" s="4">
        <f t="shared" si="481"/>
        <v>1.3098915185197448</v>
      </c>
      <c r="CR167" s="4">
        <f t="shared" si="482"/>
        <v>1.3502706830387621</v>
      </c>
      <c r="CS167" s="4">
        <f t="shared" si="483"/>
        <v>2.0310855779776316</v>
      </c>
      <c r="CU167" s="4">
        <f>CM167</f>
        <v>1.6466492454395782</v>
      </c>
      <c r="CV167" s="4">
        <f>CN167</f>
        <v>1.0456058464242541</v>
      </c>
      <c r="CW167" s="4">
        <f>CP167</f>
        <v>2.2064324759153546</v>
      </c>
      <c r="CX167" s="4">
        <f t="shared" si="484"/>
        <v>2.0310855779776316</v>
      </c>
      <c r="CY167" s="4">
        <f>CQ167</f>
        <v>1.3098915185197448</v>
      </c>
      <c r="CZ167" s="4">
        <f>CR167</f>
        <v>1.3502706830387621</v>
      </c>
      <c r="DH167" s="4">
        <f t="shared" si="362"/>
        <v>0</v>
      </c>
      <c r="DI167" s="4">
        <f t="shared" si="453"/>
        <v>301</v>
      </c>
      <c r="DL167" s="4">
        <f t="shared" si="485"/>
        <v>1.5976696011144739E-5</v>
      </c>
      <c r="DM167" s="4">
        <f t="shared" si="366"/>
        <v>7.9822467373402182</v>
      </c>
      <c r="DN167" s="4">
        <f t="shared" si="486"/>
        <v>0.2836401371151141</v>
      </c>
      <c r="DO167" s="4">
        <f t="shared" si="487"/>
        <v>4.8220557004738289</v>
      </c>
      <c r="DP167" s="4">
        <f t="shared" si="488"/>
        <v>6.5953665189642372</v>
      </c>
      <c r="DQ167" s="4">
        <f t="shared" si="489"/>
        <v>7.5732980781767054</v>
      </c>
      <c r="DR167" s="38">
        <f t="shared" si="513"/>
        <v>382.47442090941985</v>
      </c>
      <c r="DS167" s="4">
        <f t="shared" si="411"/>
        <v>1.0001101319994157</v>
      </c>
      <c r="DT167" s="4">
        <f t="shared" si="490"/>
        <v>2.2360679774997898</v>
      </c>
      <c r="DU167" s="4">
        <f t="shared" si="441"/>
        <v>206.81961160545529</v>
      </c>
      <c r="DY167" s="4">
        <f t="shared" si="387"/>
        <v>0.85</v>
      </c>
      <c r="DZ167" s="4">
        <f t="shared" si="412"/>
        <v>1</v>
      </c>
      <c r="EA167" s="4">
        <f t="shared" si="514"/>
        <v>1</v>
      </c>
      <c r="EB167" s="4">
        <f t="shared" si="414"/>
        <v>1</v>
      </c>
      <c r="ED167" s="4">
        <f t="shared" si="515"/>
        <v>371.03671604015551</v>
      </c>
      <c r="EE167" s="25">
        <f t="shared" si="516"/>
        <v>203.40953455601098</v>
      </c>
      <c r="EH167" s="4">
        <f t="shared" si="517"/>
        <v>7.9822467373402182</v>
      </c>
      <c r="EK167" s="4">
        <f t="shared" si="491"/>
        <v>96.150923032490965</v>
      </c>
      <c r="EL167" s="4">
        <f t="shared" si="492"/>
        <v>2.2360679774997898</v>
      </c>
      <c r="EM167" s="4">
        <f t="shared" si="493"/>
        <v>0.12808407592670423</v>
      </c>
      <c r="EP167" s="4">
        <f t="shared" si="332"/>
        <v>0.12808407592670423</v>
      </c>
      <c r="EQ167" s="4">
        <f t="shared" si="333"/>
        <v>0.28316679458960436</v>
      </c>
      <c r="ER167" s="4">
        <f t="shared" si="371"/>
        <v>4.8188352426402856</v>
      </c>
      <c r="ES167" s="4">
        <f t="shared" si="388"/>
        <v>6.5941944952946905</v>
      </c>
      <c r="ET167" s="4">
        <f t="shared" si="372"/>
        <v>129.59907696750903</v>
      </c>
      <c r="EU167" s="4">
        <f t="shared" si="373"/>
        <v>75.25</v>
      </c>
      <c r="EV167" s="4">
        <f t="shared" si="415"/>
        <v>1.5976696011144739E-5</v>
      </c>
      <c r="EW167" s="4">
        <f t="shared" si="389"/>
        <v>7.5734146803275983</v>
      </c>
      <c r="EX167" s="4">
        <f t="shared" si="466"/>
        <v>382.43230287526308</v>
      </c>
      <c r="FG167" s="23">
        <f t="shared" si="494"/>
        <v>1.8</v>
      </c>
      <c r="FH167" s="23">
        <f t="shared" si="494"/>
        <v>1.2</v>
      </c>
      <c r="FI167" s="23">
        <f t="shared" si="495"/>
        <v>2.2000000000000002</v>
      </c>
      <c r="FJ167" s="23">
        <f t="shared" si="496"/>
        <v>2.2000000000000002</v>
      </c>
      <c r="FK167" s="23">
        <f t="shared" si="496"/>
        <v>1.4</v>
      </c>
      <c r="FL167" s="23">
        <f t="shared" si="496"/>
        <v>1.4</v>
      </c>
      <c r="FM167" s="23">
        <f t="shared" si="497"/>
        <v>0</v>
      </c>
      <c r="FN167" s="23"/>
      <c r="FX167" s="4">
        <f t="shared" si="416"/>
        <v>1.25</v>
      </c>
      <c r="FY167" s="4">
        <f t="shared" si="469"/>
        <v>0.5</v>
      </c>
      <c r="FZ167" s="4">
        <f t="shared" si="417"/>
        <v>0</v>
      </c>
      <c r="GA167" s="4">
        <f t="shared" si="418"/>
        <v>246.6661205377913</v>
      </c>
    </row>
    <row r="168" spans="1:183" ht="12" hidden="1" customHeight="1" x14ac:dyDescent="0.3">
      <c r="A168" s="25">
        <v>150</v>
      </c>
      <c r="B168" s="24" t="s">
        <v>128</v>
      </c>
      <c r="C168" s="24">
        <v>2017</v>
      </c>
      <c r="D168" s="24" t="s">
        <v>309</v>
      </c>
      <c r="E168" s="24"/>
      <c r="F168" s="4" t="s">
        <v>158</v>
      </c>
      <c r="G168" s="7">
        <v>606</v>
      </c>
      <c r="H168" s="7">
        <f>10*K168</f>
        <v>430</v>
      </c>
      <c r="I168" s="7">
        <f t="shared" si="455"/>
        <v>430</v>
      </c>
      <c r="J168" s="7">
        <v>52.2</v>
      </c>
      <c r="K168" s="37">
        <v>43</v>
      </c>
      <c r="L168" s="7">
        <f t="shared" si="498"/>
        <v>10</v>
      </c>
      <c r="M168" s="7">
        <f t="shared" si="499"/>
        <v>10</v>
      </c>
      <c r="N168" s="7">
        <f t="shared" si="500"/>
        <v>541.79999999999995</v>
      </c>
      <c r="O168" s="7">
        <f t="shared" si="474"/>
        <v>43</v>
      </c>
      <c r="P168" s="7">
        <f t="shared" si="501"/>
        <v>56</v>
      </c>
      <c r="Q168" s="7">
        <f t="shared" si="502"/>
        <v>369.8</v>
      </c>
      <c r="R168" s="7">
        <v>2</v>
      </c>
      <c r="S168" s="7">
        <f t="shared" si="503"/>
        <v>224.16666666666663</v>
      </c>
      <c r="T168" s="7">
        <f t="shared" si="475"/>
        <v>1.5</v>
      </c>
      <c r="U168" s="7">
        <f t="shared" si="459"/>
        <v>1.5</v>
      </c>
      <c r="V168" s="7">
        <f t="shared" si="472"/>
        <v>4</v>
      </c>
      <c r="W168" s="7">
        <f t="shared" si="472"/>
        <v>4</v>
      </c>
      <c r="X168" s="7">
        <f t="shared" si="431"/>
        <v>5</v>
      </c>
      <c r="Y168" s="7">
        <f t="shared" si="352"/>
        <v>96.150923032490965</v>
      </c>
      <c r="Z168" s="7">
        <f t="shared" si="461"/>
        <v>606</v>
      </c>
      <c r="AA168" s="7">
        <v>19</v>
      </c>
      <c r="AB168" s="7">
        <f>(437+437)/2</f>
        <v>437</v>
      </c>
      <c r="AC168" s="7"/>
      <c r="AD168" s="4">
        <f t="shared" si="476"/>
        <v>0.98353055359065744</v>
      </c>
      <c r="AE168" s="7"/>
      <c r="AF168" s="7"/>
      <c r="AG168" s="7">
        <v>1</v>
      </c>
      <c r="AH168" s="7"/>
      <c r="AI168" s="7"/>
      <c r="AJ168" s="7">
        <f t="shared" si="473"/>
        <v>3.125</v>
      </c>
      <c r="AK168" s="4">
        <f t="shared" si="504"/>
        <v>430</v>
      </c>
      <c r="AL168" s="4">
        <f t="shared" si="505"/>
        <v>0.41999999999999993</v>
      </c>
      <c r="AM168" s="4">
        <f t="shared" si="506"/>
        <v>221.8100126942922</v>
      </c>
      <c r="AN168" s="4">
        <f t="shared" si="507"/>
        <v>0.73</v>
      </c>
      <c r="AO168" s="4">
        <v>1.25</v>
      </c>
      <c r="AP168" s="4">
        <f t="shared" si="508"/>
        <v>2.5</v>
      </c>
      <c r="AQ168" s="38">
        <f t="shared" si="509"/>
        <v>212.52171841271866</v>
      </c>
      <c r="AR168" s="38">
        <f t="shared" si="510"/>
        <v>212.52171841271866</v>
      </c>
      <c r="AS168" s="38">
        <f t="shared" si="511"/>
        <v>4.1313780222399661</v>
      </c>
      <c r="AT168" s="38">
        <f t="shared" si="450"/>
        <v>212.52171841271891</v>
      </c>
      <c r="AU168" s="38">
        <f t="shared" si="400"/>
        <v>0.99999999999999878</v>
      </c>
      <c r="AV168" s="38">
        <f t="shared" si="328"/>
        <v>1.4737317312283496</v>
      </c>
      <c r="AW168" s="4">
        <f t="shared" si="323"/>
        <v>0</v>
      </c>
      <c r="AX168" s="4">
        <f t="shared" si="379"/>
        <v>380.26088143554614</v>
      </c>
      <c r="AY168" s="4">
        <f t="shared" si="380"/>
        <v>1</v>
      </c>
      <c r="AZ168" s="38">
        <f t="shared" si="438"/>
        <v>313.20000000000005</v>
      </c>
      <c r="BA168" s="4">
        <f t="shared" si="381"/>
        <v>0.44000000000000006</v>
      </c>
      <c r="BB168" s="4">
        <f t="shared" si="401"/>
        <v>87.421976642032064</v>
      </c>
      <c r="BC168" s="4">
        <f t="shared" si="402"/>
        <v>400.62197664203211</v>
      </c>
      <c r="BE168" s="4">
        <f t="shared" si="451"/>
        <v>1</v>
      </c>
      <c r="BF168" s="4">
        <f t="shared" si="452"/>
        <v>433.49740483652266</v>
      </c>
      <c r="BH168" s="4">
        <f t="shared" si="463"/>
        <v>300.39710186416738</v>
      </c>
      <c r="BI168" s="4">
        <f t="shared" si="464"/>
        <v>641.65616063635548</v>
      </c>
      <c r="BJ168" s="4">
        <f t="shared" si="465"/>
        <v>2.1360264684793715</v>
      </c>
      <c r="BR168" s="4">
        <f t="shared" si="331"/>
        <v>43</v>
      </c>
      <c r="BV168" s="9"/>
      <c r="BX168" s="9"/>
      <c r="BY168" s="9"/>
      <c r="BZ168" s="9">
        <f t="shared" si="383"/>
        <v>43</v>
      </c>
      <c r="CA168" s="9">
        <f t="shared" si="384"/>
        <v>184.9</v>
      </c>
      <c r="CB168" s="9">
        <f t="shared" si="403"/>
        <v>1.2445726940891169</v>
      </c>
      <c r="CC168" s="9">
        <v>0</v>
      </c>
      <c r="CD168" s="9">
        <f t="shared" si="518"/>
        <v>0</v>
      </c>
      <c r="CE168" s="9">
        <f t="shared" si="404"/>
        <v>0</v>
      </c>
      <c r="CF168" s="9">
        <f t="shared" si="385"/>
        <v>0.84984840943171969</v>
      </c>
      <c r="CG168" s="9">
        <f t="shared" si="386"/>
        <v>0.84399999999999997</v>
      </c>
      <c r="CH168" s="9">
        <f t="shared" si="405"/>
        <v>1.8137908571660144</v>
      </c>
      <c r="CI168" s="9">
        <f t="shared" si="406"/>
        <v>2.2573945736173151</v>
      </c>
      <c r="CJ168" s="9">
        <v>1</v>
      </c>
      <c r="CK168" s="9">
        <f t="shared" si="407"/>
        <v>225.7394573617315</v>
      </c>
      <c r="CM168" s="4">
        <f t="shared" si="477"/>
        <v>1.1492110320426716</v>
      </c>
      <c r="CN168" s="4">
        <f t="shared" si="478"/>
        <v>1.0908038636893671</v>
      </c>
      <c r="CO168" s="4">
        <f t="shared" si="479"/>
        <v>1.00807985266901</v>
      </c>
      <c r="CP168" s="4">
        <f t="shared" si="480"/>
        <v>1.9358600623361049</v>
      </c>
      <c r="CQ168" s="4">
        <f t="shared" si="481"/>
        <v>0.98353055359065744</v>
      </c>
      <c r="CR168" s="4">
        <f t="shared" si="482"/>
        <v>1.0412218156152346</v>
      </c>
      <c r="CS168" s="4">
        <f t="shared" si="483"/>
        <v>1.3258623595815355</v>
      </c>
      <c r="CU168" s="4">
        <f>CM168</f>
        <v>1.1492110320426716</v>
      </c>
      <c r="CV168" s="4">
        <f>CN168</f>
        <v>1.0908038636893671</v>
      </c>
      <c r="CW168" s="4">
        <f>CP168</f>
        <v>1.9358600623361049</v>
      </c>
      <c r="CX168" s="4">
        <f t="shared" si="484"/>
        <v>1.3258623595815355</v>
      </c>
      <c r="CY168" s="4">
        <f>CQ168</f>
        <v>0.98353055359065744</v>
      </c>
      <c r="CZ168" s="4">
        <f>CR168</f>
        <v>1.0412218156152346</v>
      </c>
      <c r="DH168" s="4">
        <f t="shared" si="362"/>
        <v>0</v>
      </c>
      <c r="DI168" s="4">
        <f t="shared" si="453"/>
        <v>430</v>
      </c>
      <c r="DL168" s="4">
        <f t="shared" si="485"/>
        <v>2.068602055294326E-5</v>
      </c>
      <c r="DM168" s="4">
        <f t="shared" si="366"/>
        <v>6.9834208014386041</v>
      </c>
      <c r="DN168" s="4">
        <f t="shared" si="486"/>
        <v>0.38079668496343849</v>
      </c>
      <c r="DO168" s="4">
        <f t="shared" si="487"/>
        <v>4.7461938887450668</v>
      </c>
      <c r="DP168" s="4">
        <f t="shared" si="488"/>
        <v>5.9709050746754713</v>
      </c>
      <c r="DQ168" s="4">
        <f t="shared" si="489"/>
        <v>6.3622945193921439</v>
      </c>
      <c r="DR168" s="38">
        <f t="shared" si="513"/>
        <v>444.31766598872548</v>
      </c>
      <c r="DS168" s="4">
        <f t="shared" si="411"/>
        <v>1.0001196288150624</v>
      </c>
      <c r="DT168" s="4">
        <f t="shared" si="490"/>
        <v>2.2360679774997898</v>
      </c>
      <c r="DU168" s="4">
        <f t="shared" si="441"/>
        <v>212.52171841271891</v>
      </c>
      <c r="DY168" s="4">
        <f t="shared" si="387"/>
        <v>0.85</v>
      </c>
      <c r="DZ168" s="4">
        <f t="shared" si="412"/>
        <v>1</v>
      </c>
      <c r="EA168" s="4">
        <f t="shared" si="514"/>
        <v>1</v>
      </c>
      <c r="EB168" s="4">
        <f t="shared" si="414"/>
        <v>1</v>
      </c>
      <c r="ED168" s="4">
        <f t="shared" si="515"/>
        <v>419.69923550034969</v>
      </c>
      <c r="EE168" s="25">
        <f t="shared" si="516"/>
        <v>210.19661145719158</v>
      </c>
      <c r="EH168" s="4">
        <f t="shared" si="517"/>
        <v>6.9834208014386041</v>
      </c>
      <c r="EK168" s="4">
        <f t="shared" si="491"/>
        <v>96.150923032490965</v>
      </c>
      <c r="EL168" s="4">
        <f t="shared" si="492"/>
        <v>2.2360679774997898</v>
      </c>
      <c r="EM168" s="4">
        <f t="shared" si="493"/>
        <v>0.15044012162558293</v>
      </c>
      <c r="EP168" s="4">
        <f t="shared" si="332"/>
        <v>0.15044012162558293</v>
      </c>
      <c r="EQ168" s="4">
        <f t="shared" si="333"/>
        <v>0.38016120626708905</v>
      </c>
      <c r="ER168" s="4">
        <f t="shared" si="371"/>
        <v>4.7430240959765975</v>
      </c>
      <c r="ES168" s="4">
        <f t="shared" si="388"/>
        <v>5.9696478367042616</v>
      </c>
      <c r="ET168" s="4">
        <f t="shared" si="372"/>
        <v>226.34907696750903</v>
      </c>
      <c r="EU168" s="4">
        <f t="shared" si="373"/>
        <v>107.50000000000003</v>
      </c>
      <c r="EV168" s="4">
        <f t="shared" si="415"/>
        <v>2.068602055294326E-5</v>
      </c>
      <c r="EW168" s="4">
        <f t="shared" si="389"/>
        <v>6.3624621905206977</v>
      </c>
      <c r="EX168" s="4">
        <f t="shared" si="466"/>
        <v>444.26451915072516</v>
      </c>
      <c r="FG168" s="23">
        <f t="shared" si="494"/>
        <v>1.2</v>
      </c>
      <c r="FH168" s="23">
        <f t="shared" si="494"/>
        <v>1.2</v>
      </c>
      <c r="FI168" s="23">
        <f t="shared" si="495"/>
        <v>1.4</v>
      </c>
      <c r="FJ168" s="23">
        <f t="shared" si="496"/>
        <v>2</v>
      </c>
      <c r="FK168" s="23">
        <f t="shared" si="496"/>
        <v>1</v>
      </c>
      <c r="FL168" s="23">
        <f t="shared" si="496"/>
        <v>1.2</v>
      </c>
      <c r="FM168" s="23">
        <f t="shared" si="497"/>
        <v>0</v>
      </c>
      <c r="FN168" s="23"/>
      <c r="FX168" s="4">
        <f t="shared" si="416"/>
        <v>1.25</v>
      </c>
      <c r="FY168" s="4">
        <f t="shared" si="469"/>
        <v>0.5</v>
      </c>
      <c r="FZ168" s="4">
        <f t="shared" si="417"/>
        <v>0</v>
      </c>
      <c r="GA168" s="4">
        <f t="shared" si="418"/>
        <v>329.59680681931764</v>
      </c>
    </row>
    <row r="169" spans="1:183" ht="12" hidden="1" customHeight="1" x14ac:dyDescent="0.3">
      <c r="A169" s="25">
        <v>151</v>
      </c>
      <c r="B169" s="24" t="s">
        <v>128</v>
      </c>
      <c r="C169" s="24">
        <v>2017</v>
      </c>
      <c r="D169" s="24" t="s">
        <v>309</v>
      </c>
      <c r="E169" s="24"/>
      <c r="F169" s="4" t="s">
        <v>181</v>
      </c>
      <c r="G169" s="7">
        <v>606</v>
      </c>
      <c r="H169" s="7">
        <f t="shared" ref="H169:H170" si="519">10*K169</f>
        <v>430</v>
      </c>
      <c r="I169" s="7">
        <f t="shared" si="455"/>
        <v>430</v>
      </c>
      <c r="J169" s="7">
        <v>52.2</v>
      </c>
      <c r="K169" s="37">
        <v>43</v>
      </c>
      <c r="L169" s="7">
        <f t="shared" si="498"/>
        <v>10</v>
      </c>
      <c r="M169" s="7">
        <f t="shared" si="499"/>
        <v>10</v>
      </c>
      <c r="N169" s="7">
        <f t="shared" si="500"/>
        <v>541.79999999999995</v>
      </c>
      <c r="O169" s="7">
        <f t="shared" si="474"/>
        <v>43</v>
      </c>
      <c r="P169" s="7">
        <f t="shared" si="501"/>
        <v>56</v>
      </c>
      <c r="Q169" s="7">
        <f t="shared" si="502"/>
        <v>369.8</v>
      </c>
      <c r="R169" s="7">
        <v>2</v>
      </c>
      <c r="S169" s="7">
        <f t="shared" si="503"/>
        <v>224.16666666666663</v>
      </c>
      <c r="T169" s="7">
        <f t="shared" si="475"/>
        <v>1.5</v>
      </c>
      <c r="U169" s="7">
        <f t="shared" si="459"/>
        <v>1.5</v>
      </c>
      <c r="V169" s="7">
        <f t="shared" si="472"/>
        <v>4</v>
      </c>
      <c r="W169" s="7">
        <f t="shared" si="472"/>
        <v>4</v>
      </c>
      <c r="X169" s="7">
        <f t="shared" si="431"/>
        <v>5</v>
      </c>
      <c r="Y169" s="7">
        <f t="shared" si="352"/>
        <v>96.150923032490965</v>
      </c>
      <c r="Z169" s="7">
        <f t="shared" si="461"/>
        <v>606</v>
      </c>
      <c r="AA169" s="7">
        <v>19</v>
      </c>
      <c r="AB169" s="7">
        <f>(489+498)/2</f>
        <v>493.5</v>
      </c>
      <c r="AC169" s="7"/>
      <c r="AD169" s="4">
        <f t="shared" si="476"/>
        <v>1.1067090057702911</v>
      </c>
      <c r="AE169" s="7">
        <v>15.9</v>
      </c>
      <c r="AF169" s="7">
        <v>1</v>
      </c>
      <c r="AG169" s="7">
        <v>370</v>
      </c>
      <c r="AH169" s="7">
        <v>2</v>
      </c>
      <c r="AI169" s="7">
        <f>AF169</f>
        <v>1</v>
      </c>
      <c r="AJ169" s="7">
        <f t="shared" si="473"/>
        <v>3.125</v>
      </c>
      <c r="AK169" s="4">
        <f t="shared" si="504"/>
        <v>430</v>
      </c>
      <c r="AL169" s="4">
        <f t="shared" si="505"/>
        <v>0.41999999999999993</v>
      </c>
      <c r="AM169" s="4">
        <f t="shared" si="506"/>
        <v>221.8100126942922</v>
      </c>
      <c r="AN169" s="4">
        <f t="shared" si="507"/>
        <v>0.73</v>
      </c>
      <c r="AO169" s="4">
        <v>1.25</v>
      </c>
      <c r="AP169" s="4">
        <f t="shared" si="508"/>
        <v>2.5</v>
      </c>
      <c r="AQ169" s="38">
        <f t="shared" si="509"/>
        <v>212.52171841271866</v>
      </c>
      <c r="AR169" s="38">
        <f t="shared" si="510"/>
        <v>212.52171841271866</v>
      </c>
      <c r="AS169" s="38">
        <f t="shared" si="511"/>
        <v>4.1313780222399661</v>
      </c>
      <c r="AT169" s="38">
        <f t="shared" si="450"/>
        <v>212.52171841271891</v>
      </c>
      <c r="AU169" s="38">
        <f t="shared" si="400"/>
        <v>0.99999999999999878</v>
      </c>
      <c r="AV169" s="38">
        <f t="shared" si="328"/>
        <v>1.4737317312283496</v>
      </c>
      <c r="AW169" s="4">
        <f t="shared" si="323"/>
        <v>0</v>
      </c>
      <c r="AX169" s="4">
        <f t="shared" si="379"/>
        <v>380.26088143554614</v>
      </c>
      <c r="AY169" s="4">
        <f t="shared" si="380"/>
        <v>1</v>
      </c>
      <c r="AZ169" s="38">
        <f t="shared" si="438"/>
        <v>313.20000000000005</v>
      </c>
      <c r="BA169" s="4">
        <f t="shared" si="381"/>
        <v>0.44000000000000006</v>
      </c>
      <c r="BB169" s="4">
        <f t="shared" si="401"/>
        <v>87.421976642032064</v>
      </c>
      <c r="BC169" s="4">
        <f t="shared" si="402"/>
        <v>400.62197664203211</v>
      </c>
      <c r="BE169" s="4">
        <f t="shared" si="451"/>
        <v>1.1996797080462691</v>
      </c>
      <c r="BF169" s="4">
        <f t="shared" si="452"/>
        <v>520.05804007309484</v>
      </c>
      <c r="BH169" s="4">
        <f t="shared" si="463"/>
        <v>300.39710186416738</v>
      </c>
      <c r="BI169" s="4">
        <f t="shared" si="464"/>
        <v>641.65616063635548</v>
      </c>
      <c r="BJ169" s="4">
        <f t="shared" si="465"/>
        <v>2.1360264684793715</v>
      </c>
      <c r="BR169" s="4">
        <f t="shared" si="331"/>
        <v>43</v>
      </c>
      <c r="BV169" s="9"/>
      <c r="BX169" s="9"/>
      <c r="BY169" s="9"/>
      <c r="BZ169" s="9">
        <f t="shared" si="383"/>
        <v>43</v>
      </c>
      <c r="CA169" s="9">
        <f t="shared" si="384"/>
        <v>184.9</v>
      </c>
      <c r="CB169" s="9">
        <f t="shared" si="403"/>
        <v>1.2445726940891169</v>
      </c>
      <c r="CC169" s="9">
        <v>20</v>
      </c>
      <c r="CD169" s="9">
        <f t="shared" si="518"/>
        <v>1.2479981752891823E-2</v>
      </c>
      <c r="CE169" s="9">
        <f t="shared" si="404"/>
        <v>4.9599635057836454E-2</v>
      </c>
      <c r="CF169" s="9">
        <f t="shared" si="385"/>
        <v>0.84984840943171969</v>
      </c>
      <c r="CG169" s="9">
        <f t="shared" si="386"/>
        <v>0.84399999999999997</v>
      </c>
      <c r="CH169" s="9">
        <f t="shared" si="405"/>
        <v>1.8137908571660144</v>
      </c>
      <c r="CI169" s="9">
        <f t="shared" si="406"/>
        <v>2.3473579382039897</v>
      </c>
      <c r="CJ169" s="9">
        <v>1</v>
      </c>
      <c r="CK169" s="9">
        <f t="shared" si="407"/>
        <v>234.73579382039895</v>
      </c>
      <c r="CM169" s="4">
        <f t="shared" si="477"/>
        <v>1.2977932364143214</v>
      </c>
      <c r="CN169" s="4">
        <f t="shared" si="478"/>
        <v>1.2318345691778092</v>
      </c>
      <c r="CO169" s="4">
        <f t="shared" si="479"/>
        <v>0.94893254593398446</v>
      </c>
      <c r="CP169" s="4">
        <f t="shared" si="480"/>
        <v>2.1023636487990696</v>
      </c>
      <c r="CQ169" s="4">
        <f t="shared" si="481"/>
        <v>1.1067090057702911</v>
      </c>
      <c r="CR169" s="4">
        <f t="shared" si="482"/>
        <v>1.1716971921552939</v>
      </c>
      <c r="CS169" s="4">
        <f t="shared" si="483"/>
        <v>1.1653373728318932</v>
      </c>
      <c r="DA169" s="4">
        <f>CM169</f>
        <v>1.2977932364143214</v>
      </c>
      <c r="DB169" s="4">
        <f>CN169</f>
        <v>1.2318345691778092</v>
      </c>
      <c r="DC169" s="4">
        <f>CP169</f>
        <v>2.1023636487990696</v>
      </c>
      <c r="DD169" s="4">
        <f t="shared" ref="DD169" si="520">CS169</f>
        <v>1.1653373728318932</v>
      </c>
      <c r="DE169" s="4">
        <f>CQ169</f>
        <v>1.1067090057702911</v>
      </c>
      <c r="DF169" s="4">
        <f>CR169</f>
        <v>1.1716971921552939</v>
      </c>
      <c r="DH169" s="4">
        <f t="shared" si="362"/>
        <v>1</v>
      </c>
      <c r="DI169" s="4">
        <f t="shared" si="453"/>
        <v>430</v>
      </c>
      <c r="DL169" s="4">
        <f t="shared" si="485"/>
        <v>2.068602055294326E-5</v>
      </c>
      <c r="DM169" s="4">
        <f t="shared" si="366"/>
        <v>7.0329098169215492</v>
      </c>
      <c r="DN169" s="4">
        <f t="shared" si="486"/>
        <v>0.38079668496343849</v>
      </c>
      <c r="DO169" s="4">
        <f t="shared" si="487"/>
        <v>4.7798284740756225</v>
      </c>
      <c r="DP169" s="4">
        <f t="shared" si="488"/>
        <v>6.0132187518960869</v>
      </c>
      <c r="DQ169" s="4">
        <f t="shared" si="489"/>
        <v>6.403017200513113</v>
      </c>
      <c r="DR169" s="38">
        <f t="shared" si="513"/>
        <v>445.91667495875697</v>
      </c>
      <c r="DS169" s="4">
        <f t="shared" si="411"/>
        <v>1.0001200181870185</v>
      </c>
      <c r="DT169" s="4">
        <f t="shared" si="490"/>
        <v>2.2360679774997898</v>
      </c>
      <c r="DU169" s="4">
        <f t="shared" si="441"/>
        <v>212.52171841271891</v>
      </c>
      <c r="DY169" s="4">
        <f t="shared" si="387"/>
        <v>0.85</v>
      </c>
      <c r="DZ169" s="4">
        <f t="shared" si="412"/>
        <v>1</v>
      </c>
      <c r="EA169" s="4">
        <f t="shared" si="514"/>
        <v>0.99296322336398057</v>
      </c>
      <c r="EB169" s="4">
        <f t="shared" si="414"/>
        <v>0.99296322336398057</v>
      </c>
      <c r="ED169" s="4">
        <f t="shared" si="515"/>
        <v>421.183905964838</v>
      </c>
      <c r="EE169" s="25">
        <f t="shared" si="516"/>
        <v>210.19661145719158</v>
      </c>
      <c r="EH169" s="4">
        <f t="shared" si="517"/>
        <v>7.0329098169215492</v>
      </c>
      <c r="EK169" s="4">
        <f t="shared" si="491"/>
        <v>96.150923032490965</v>
      </c>
      <c r="EL169" s="4">
        <f t="shared" si="492"/>
        <v>2.2360679774997898</v>
      </c>
      <c r="EM169" s="4">
        <f t="shared" si="493"/>
        <v>0.15044012162558293</v>
      </c>
      <c r="EP169" s="4">
        <f t="shared" si="332"/>
        <v>0.15044012162558293</v>
      </c>
      <c r="EQ169" s="4">
        <f t="shared" si="333"/>
        <v>0.38016120626708905</v>
      </c>
      <c r="ER169" s="4">
        <f t="shared" si="371"/>
        <v>4.7766362181149926</v>
      </c>
      <c r="ES169" s="4">
        <f t="shared" si="388"/>
        <v>6.0119526043272469</v>
      </c>
      <c r="ET169" s="4">
        <f t="shared" si="372"/>
        <v>226.34907696750903</v>
      </c>
      <c r="EU169" s="4">
        <f t="shared" si="373"/>
        <v>107.50000000000003</v>
      </c>
      <c r="EV169" s="4">
        <f t="shared" si="415"/>
        <v>2.068602055294326E-5</v>
      </c>
      <c r="EW169" s="4">
        <f t="shared" si="389"/>
        <v>6.4031872380866517</v>
      </c>
      <c r="EX169" s="4">
        <f t="shared" si="466"/>
        <v>445.86316327024292</v>
      </c>
      <c r="FG169" s="23">
        <f t="shared" si="494"/>
        <v>1.4</v>
      </c>
      <c r="FH169" s="23">
        <f t="shared" si="494"/>
        <v>1.4</v>
      </c>
      <c r="FI169" s="23">
        <f t="shared" si="495"/>
        <v>1.2</v>
      </c>
      <c r="FJ169" s="23">
        <f t="shared" si="496"/>
        <v>2.2000000000000002</v>
      </c>
      <c r="FK169" s="23">
        <f t="shared" si="496"/>
        <v>1.2</v>
      </c>
      <c r="FL169" s="23">
        <f t="shared" si="496"/>
        <v>1.2</v>
      </c>
      <c r="FM169" s="23">
        <f t="shared" si="497"/>
        <v>0</v>
      </c>
      <c r="FN169" s="23"/>
      <c r="FX169" s="4">
        <f t="shared" si="416"/>
        <v>1.25</v>
      </c>
      <c r="FY169" s="4">
        <f t="shared" si="469"/>
        <v>0.38915043257609383</v>
      </c>
      <c r="FZ169" s="4">
        <f t="shared" si="417"/>
        <v>0.27345592212006492</v>
      </c>
      <c r="GA169" s="4">
        <f t="shared" si="418"/>
        <v>423.48251373826855</v>
      </c>
    </row>
    <row r="170" spans="1:183" ht="12" hidden="1" customHeight="1" x14ac:dyDescent="0.3">
      <c r="A170" s="25">
        <v>152</v>
      </c>
      <c r="B170" s="24" t="s">
        <v>128</v>
      </c>
      <c r="C170" s="24">
        <v>2017</v>
      </c>
      <c r="D170" s="24" t="s">
        <v>309</v>
      </c>
      <c r="E170" s="24"/>
      <c r="F170" s="4" t="s">
        <v>159</v>
      </c>
      <c r="G170" s="7">
        <v>606</v>
      </c>
      <c r="H170" s="7">
        <f t="shared" si="519"/>
        <v>430</v>
      </c>
      <c r="I170" s="7">
        <f t="shared" si="455"/>
        <v>430</v>
      </c>
      <c r="J170" s="7">
        <v>81.2</v>
      </c>
      <c r="K170" s="37">
        <v>43</v>
      </c>
      <c r="L170" s="7">
        <f t="shared" si="498"/>
        <v>10</v>
      </c>
      <c r="M170" s="7">
        <f t="shared" si="499"/>
        <v>10</v>
      </c>
      <c r="N170" s="7">
        <f t="shared" si="500"/>
        <v>541.79999999999995</v>
      </c>
      <c r="O170" s="7">
        <f t="shared" si="474"/>
        <v>43</v>
      </c>
      <c r="P170" s="7">
        <f t="shared" si="501"/>
        <v>56</v>
      </c>
      <c r="Q170" s="7">
        <f t="shared" si="502"/>
        <v>369.8</v>
      </c>
      <c r="R170" s="7">
        <v>2</v>
      </c>
      <c r="S170" s="7">
        <f t="shared" si="503"/>
        <v>224.16666666666663</v>
      </c>
      <c r="T170" s="7">
        <f t="shared" si="475"/>
        <v>1.5</v>
      </c>
      <c r="U170" s="7">
        <f t="shared" si="459"/>
        <v>1.5</v>
      </c>
      <c r="V170" s="7">
        <f t="shared" si="472"/>
        <v>4</v>
      </c>
      <c r="W170" s="7">
        <f t="shared" si="472"/>
        <v>4</v>
      </c>
      <c r="X170" s="7">
        <f t="shared" si="431"/>
        <v>5</v>
      </c>
      <c r="Y170" s="7">
        <f t="shared" si="352"/>
        <v>96.150923032490965</v>
      </c>
      <c r="Z170" s="7">
        <f t="shared" si="461"/>
        <v>606</v>
      </c>
      <c r="AA170" s="7">
        <v>19</v>
      </c>
      <c r="AB170" s="7">
        <f>(595+590)/2</f>
        <v>592.5</v>
      </c>
      <c r="AC170" s="7"/>
      <c r="AD170" s="4">
        <f t="shared" si="476"/>
        <v>1.0925318620009352</v>
      </c>
      <c r="AE170" s="7"/>
      <c r="AF170" s="7"/>
      <c r="AG170" s="7">
        <v>1</v>
      </c>
      <c r="AH170" s="7"/>
      <c r="AI170" s="7"/>
      <c r="AJ170" s="7">
        <f t="shared" si="473"/>
        <v>3.125</v>
      </c>
      <c r="AK170" s="4">
        <f t="shared" si="504"/>
        <v>430</v>
      </c>
      <c r="AL170" s="4">
        <f t="shared" si="505"/>
        <v>0.41999999999999993</v>
      </c>
      <c r="AM170" s="4">
        <f t="shared" si="506"/>
        <v>276.64569081934007</v>
      </c>
      <c r="AN170" s="4">
        <f t="shared" si="507"/>
        <v>0.73</v>
      </c>
      <c r="AO170" s="4">
        <v>1.25</v>
      </c>
      <c r="AP170" s="4">
        <f t="shared" si="508"/>
        <v>2.5</v>
      </c>
      <c r="AQ170" s="38">
        <f t="shared" si="509"/>
        <v>265.06115251628017</v>
      </c>
      <c r="AR170" s="38">
        <f t="shared" si="510"/>
        <v>265.06115251628017</v>
      </c>
      <c r="AS170" s="38">
        <f t="shared" si="511"/>
        <v>4.8644521931491767</v>
      </c>
      <c r="AT170" s="38">
        <f t="shared" si="450"/>
        <v>265.0611525162804</v>
      </c>
      <c r="AU170" s="38">
        <f t="shared" si="400"/>
        <v>0.99999999999999911</v>
      </c>
      <c r="AV170" s="38">
        <f t="shared" si="328"/>
        <v>1.8380664060912344</v>
      </c>
      <c r="AW170" s="4">
        <f t="shared" si="323"/>
        <v>0</v>
      </c>
      <c r="AX170" s="4">
        <f t="shared" si="379"/>
        <v>474.26864530816039</v>
      </c>
      <c r="AY170" s="4">
        <f t="shared" si="380"/>
        <v>1</v>
      </c>
      <c r="AZ170" s="38">
        <f t="shared" si="438"/>
        <v>487.20000000000005</v>
      </c>
      <c r="BA170" s="4">
        <f t="shared" si="381"/>
        <v>0.44000000000000006</v>
      </c>
      <c r="BB170" s="4">
        <f t="shared" si="401"/>
        <v>109.03436155634607</v>
      </c>
      <c r="BC170" s="4">
        <f t="shared" si="402"/>
        <v>596.23436155634613</v>
      </c>
      <c r="BE170" s="4">
        <f t="shared" si="451"/>
        <v>1</v>
      </c>
      <c r="BF170" s="4">
        <f t="shared" si="452"/>
        <v>540.66625565130289</v>
      </c>
      <c r="BH170" s="4">
        <f t="shared" si="463"/>
        <v>467.28438067759373</v>
      </c>
      <c r="BI170" s="4">
        <f t="shared" si="464"/>
        <v>641.65616063635548</v>
      </c>
      <c r="BJ170" s="4">
        <f t="shared" si="465"/>
        <v>1.3731598725938816</v>
      </c>
      <c r="BR170" s="4">
        <f t="shared" si="331"/>
        <v>43</v>
      </c>
      <c r="BV170" s="9"/>
      <c r="BX170" s="9"/>
      <c r="BY170" s="9"/>
      <c r="BZ170" s="9">
        <f t="shared" si="383"/>
        <v>43</v>
      </c>
      <c r="CA170" s="9">
        <f t="shared" si="384"/>
        <v>184.9</v>
      </c>
      <c r="CB170" s="9">
        <f t="shared" si="403"/>
        <v>1.2445726940891169</v>
      </c>
      <c r="CC170" s="9">
        <v>0</v>
      </c>
      <c r="CD170" s="9">
        <f t="shared" si="518"/>
        <v>0</v>
      </c>
      <c r="CE170" s="9">
        <f t="shared" si="404"/>
        <v>0</v>
      </c>
      <c r="CF170" s="9">
        <f t="shared" si="385"/>
        <v>0.84984840943171969</v>
      </c>
      <c r="CG170" s="9">
        <f t="shared" si="386"/>
        <v>0.84399999999999997</v>
      </c>
      <c r="CH170" s="9">
        <f t="shared" si="405"/>
        <v>2.2621946529260857</v>
      </c>
      <c r="CI170" s="9">
        <f t="shared" si="406"/>
        <v>2.815465693746213</v>
      </c>
      <c r="CJ170" s="9">
        <v>1</v>
      </c>
      <c r="CK170" s="9">
        <f t="shared" si="407"/>
        <v>281.5465693746213</v>
      </c>
      <c r="CM170" s="4">
        <f t="shared" si="477"/>
        <v>1.2492919484799965</v>
      </c>
      <c r="CN170" s="4">
        <f t="shared" si="478"/>
        <v>0.99373675554928043</v>
      </c>
      <c r="CO170" s="4">
        <f t="shared" si="479"/>
        <v>1.0958701302456109</v>
      </c>
      <c r="CP170" s="4">
        <f t="shared" si="480"/>
        <v>2.1044475921552754</v>
      </c>
      <c r="CQ170" s="4">
        <f t="shared" si="481"/>
        <v>1.0925318620009352</v>
      </c>
      <c r="CR170" s="4">
        <f t="shared" si="482"/>
        <v>1.131898315070766</v>
      </c>
      <c r="CS170" s="4">
        <f t="shared" si="483"/>
        <v>1.6096593536070971</v>
      </c>
      <c r="CU170" s="4">
        <f t="shared" ref="CU170:CV172" si="521">CM170</f>
        <v>1.2492919484799965</v>
      </c>
      <c r="CV170" s="4">
        <f t="shared" si="521"/>
        <v>0.99373675554928043</v>
      </c>
      <c r="CW170" s="4">
        <f>CP170</f>
        <v>2.1044475921552754</v>
      </c>
      <c r="CX170" s="4">
        <f t="shared" si="484"/>
        <v>1.6096593536070971</v>
      </c>
      <c r="CY170" s="4">
        <f t="shared" ref="CY170:CZ172" si="522">CQ170</f>
        <v>1.0925318620009352</v>
      </c>
      <c r="CZ170" s="4">
        <f t="shared" si="522"/>
        <v>1.131898315070766</v>
      </c>
      <c r="DH170" s="4">
        <f t="shared" si="362"/>
        <v>0</v>
      </c>
      <c r="DI170" s="4">
        <f t="shared" si="453"/>
        <v>430</v>
      </c>
      <c r="DL170" s="4">
        <f t="shared" si="485"/>
        <v>2.4682021866243434E-5</v>
      </c>
      <c r="DM170" s="4">
        <f t="shared" si="366"/>
        <v>8.7098560088845165</v>
      </c>
      <c r="DN170" s="4">
        <f t="shared" si="486"/>
        <v>0.30531658481838836</v>
      </c>
      <c r="DO170" s="4">
        <f t="shared" si="487"/>
        <v>5.4188999627402126</v>
      </c>
      <c r="DP170" s="4">
        <f t="shared" si="488"/>
        <v>7.2544617597434549</v>
      </c>
      <c r="DQ170" s="4">
        <f t="shared" si="489"/>
        <v>7.6041038286671467</v>
      </c>
      <c r="DR170" s="38">
        <f t="shared" si="513"/>
        <v>542.31827977525177</v>
      </c>
      <c r="DS170" s="4">
        <f t="shared" si="411"/>
        <v>1.0001069246678245</v>
      </c>
      <c r="DT170" s="4">
        <f t="shared" si="490"/>
        <v>2.2360679774997898</v>
      </c>
      <c r="DU170" s="4">
        <f t="shared" si="441"/>
        <v>265.0611525162804</v>
      </c>
      <c r="DY170" s="4">
        <f t="shared" si="387"/>
        <v>0.85</v>
      </c>
      <c r="DZ170" s="4">
        <f t="shared" si="412"/>
        <v>1</v>
      </c>
      <c r="EA170" s="4">
        <f t="shared" si="514"/>
        <v>1</v>
      </c>
      <c r="EB170" s="4">
        <f t="shared" si="414"/>
        <v>1</v>
      </c>
      <c r="ED170" s="4">
        <f t="shared" si="515"/>
        <v>523.45691491108641</v>
      </c>
      <c r="EE170" s="25">
        <f t="shared" si="516"/>
        <v>262.16123464455097</v>
      </c>
      <c r="EH170" s="4">
        <f t="shared" si="517"/>
        <v>8.7098560088845165</v>
      </c>
      <c r="EK170" s="4">
        <f t="shared" si="491"/>
        <v>96.150923032490965</v>
      </c>
      <c r="EL170" s="4">
        <f t="shared" si="492"/>
        <v>2.2360679774997898</v>
      </c>
      <c r="EM170" s="4">
        <f t="shared" si="493"/>
        <v>0.1504401216255829</v>
      </c>
      <c r="EP170" s="4">
        <f t="shared" si="332"/>
        <v>0.1504401216255829</v>
      </c>
      <c r="EQ170" s="4">
        <f t="shared" si="333"/>
        <v>0.30480706834160254</v>
      </c>
      <c r="ER170" s="4">
        <f t="shared" si="371"/>
        <v>5.4152808965331429</v>
      </c>
      <c r="ES170" s="4">
        <f t="shared" si="388"/>
        <v>7.2531151252049844</v>
      </c>
      <c r="ET170" s="4">
        <f t="shared" si="372"/>
        <v>226.34907696750903</v>
      </c>
      <c r="EU170" s="4">
        <f t="shared" si="373"/>
        <v>107.50000000000003</v>
      </c>
      <c r="EV170" s="4">
        <f t="shared" si="415"/>
        <v>2.468202186624344E-5</v>
      </c>
      <c r="EW170" s="4">
        <f t="shared" si="389"/>
        <v>7.6043781567245556</v>
      </c>
      <c r="EX170" s="4">
        <f t="shared" si="466"/>
        <v>542.26029877293104</v>
      </c>
      <c r="FG170" s="23">
        <f t="shared" si="494"/>
        <v>1.4</v>
      </c>
      <c r="FH170" s="23">
        <f t="shared" si="494"/>
        <v>1</v>
      </c>
      <c r="FI170" s="23">
        <f t="shared" si="495"/>
        <v>1.8</v>
      </c>
      <c r="FJ170" s="23">
        <f t="shared" si="496"/>
        <v>2.2000000000000002</v>
      </c>
      <c r="FK170" s="23">
        <f t="shared" si="496"/>
        <v>1.2</v>
      </c>
      <c r="FL170" s="23">
        <f t="shared" si="496"/>
        <v>1.2</v>
      </c>
      <c r="FM170" s="23">
        <f t="shared" si="497"/>
        <v>0</v>
      </c>
      <c r="FN170" s="23"/>
      <c r="FX170" s="4">
        <f t="shared" si="416"/>
        <v>1.25</v>
      </c>
      <c r="FY170" s="4">
        <f t="shared" si="469"/>
        <v>0.5</v>
      </c>
      <c r="FZ170" s="4">
        <f t="shared" si="417"/>
        <v>0</v>
      </c>
      <c r="GA170" s="4">
        <f t="shared" si="418"/>
        <v>368.09030349947182</v>
      </c>
    </row>
    <row r="171" spans="1:183" ht="12" hidden="1" customHeight="1" x14ac:dyDescent="0.3">
      <c r="A171" s="25">
        <v>153</v>
      </c>
      <c r="B171" s="24" t="s">
        <v>128</v>
      </c>
      <c r="C171" s="24">
        <v>2017</v>
      </c>
      <c r="D171" s="24" t="s">
        <v>309</v>
      </c>
      <c r="E171" s="24"/>
      <c r="F171" s="4" t="s">
        <v>160</v>
      </c>
      <c r="G171" s="7">
        <v>606</v>
      </c>
      <c r="H171" s="7">
        <f>13*K171</f>
        <v>559</v>
      </c>
      <c r="I171" s="7">
        <f t="shared" si="455"/>
        <v>559</v>
      </c>
      <c r="J171" s="7">
        <v>45.8</v>
      </c>
      <c r="K171" s="37">
        <v>43</v>
      </c>
      <c r="L171" s="7">
        <f t="shared" si="498"/>
        <v>13</v>
      </c>
      <c r="M171" s="7">
        <f t="shared" si="499"/>
        <v>13</v>
      </c>
      <c r="N171" s="7">
        <f t="shared" si="500"/>
        <v>344</v>
      </c>
      <c r="O171" s="7">
        <f t="shared" si="474"/>
        <v>43</v>
      </c>
      <c r="P171" s="7">
        <f t="shared" si="501"/>
        <v>56</v>
      </c>
      <c r="Q171" s="7">
        <f>(5-1)*K171</f>
        <v>172</v>
      </c>
      <c r="R171" s="7">
        <v>2</v>
      </c>
      <c r="S171" s="7">
        <f>2/3*H171-0.5*200</f>
        <v>272.66666666666663</v>
      </c>
      <c r="T171" s="7">
        <f t="shared" si="475"/>
        <v>1.5</v>
      </c>
      <c r="U171" s="7">
        <f t="shared" si="459"/>
        <v>1.5</v>
      </c>
      <c r="V171" s="7">
        <f t="shared" si="472"/>
        <v>4</v>
      </c>
      <c r="W171" s="7">
        <f t="shared" si="472"/>
        <v>4</v>
      </c>
      <c r="X171" s="7">
        <f t="shared" si="431"/>
        <v>5</v>
      </c>
      <c r="Y171" s="7">
        <f t="shared" si="352"/>
        <v>96.150923032490965</v>
      </c>
      <c r="Z171" s="7">
        <f t="shared" si="461"/>
        <v>606</v>
      </c>
      <c r="AA171" s="7">
        <v>19</v>
      </c>
      <c r="AB171" s="7">
        <f>(475+475)/2</f>
        <v>475</v>
      </c>
      <c r="AC171" s="7"/>
      <c r="AD171" s="4">
        <f t="shared" si="476"/>
        <v>1.1437168102008413</v>
      </c>
      <c r="AE171" s="7"/>
      <c r="AF171" s="7"/>
      <c r="AG171" s="7">
        <v>1</v>
      </c>
      <c r="AH171" s="7"/>
      <c r="AI171" s="7"/>
      <c r="AJ171" s="7">
        <f t="shared" si="473"/>
        <v>7.8</v>
      </c>
      <c r="AK171" s="4">
        <f t="shared" si="504"/>
        <v>559</v>
      </c>
      <c r="AL171" s="4">
        <f t="shared" si="505"/>
        <v>0.20512820512820512</v>
      </c>
      <c r="AM171" s="4">
        <f t="shared" si="506"/>
        <v>307.95954027775866</v>
      </c>
      <c r="AN171" s="4">
        <f t="shared" si="507"/>
        <v>0.72307692307692306</v>
      </c>
      <c r="AO171" s="4">
        <v>1.25</v>
      </c>
      <c r="AP171" s="4">
        <f t="shared" si="508"/>
        <v>2.5</v>
      </c>
      <c r="AQ171" s="38">
        <f t="shared" si="509"/>
        <v>142.74258770270868</v>
      </c>
      <c r="AR171" s="38">
        <f t="shared" si="510"/>
        <v>142.74258770270868</v>
      </c>
      <c r="AS171" s="38">
        <f t="shared" si="511"/>
        <v>3.8402978284624769</v>
      </c>
      <c r="AT171" s="38">
        <f t="shared" si="450"/>
        <v>142.74258770270856</v>
      </c>
      <c r="AU171" s="38">
        <f t="shared" si="400"/>
        <v>1.0000000000000009</v>
      </c>
      <c r="AV171" s="38">
        <f t="shared" si="328"/>
        <v>1.9251437459738976</v>
      </c>
      <c r="AW171" s="4">
        <f t="shared" si="323"/>
        <v>0</v>
      </c>
      <c r="AX171" s="4">
        <f t="shared" si="379"/>
        <v>463.04424442937301</v>
      </c>
      <c r="AY171" s="4">
        <f t="shared" si="380"/>
        <v>1</v>
      </c>
      <c r="AZ171" s="38">
        <f t="shared" si="438"/>
        <v>274.79999999999995</v>
      </c>
      <c r="BA171" s="4">
        <f t="shared" si="381"/>
        <v>0.44000000000000006</v>
      </c>
      <c r="BB171" s="4">
        <f t="shared" si="401"/>
        <v>106.45387179431289</v>
      </c>
      <c r="BC171" s="4">
        <f t="shared" si="402"/>
        <v>381.25387179431283</v>
      </c>
      <c r="BE171" s="4">
        <f t="shared" si="451"/>
        <v>1</v>
      </c>
      <c r="BF171" s="4">
        <f t="shared" si="452"/>
        <v>466.96231111300619</v>
      </c>
      <c r="BH171" s="4">
        <f t="shared" si="463"/>
        <v>263.56680585016983</v>
      </c>
      <c r="BI171" s="4">
        <f t="shared" si="464"/>
        <v>641.65616063635548</v>
      </c>
      <c r="BJ171" s="4">
        <f t="shared" si="465"/>
        <v>2.4345105164764891</v>
      </c>
      <c r="BR171" s="4">
        <f t="shared" si="331"/>
        <v>43</v>
      </c>
      <c r="BV171" s="9"/>
      <c r="BX171" s="9"/>
      <c r="BY171" s="9"/>
      <c r="BZ171" s="9">
        <f t="shared" si="383"/>
        <v>43</v>
      </c>
      <c r="CA171" s="9">
        <f t="shared" si="384"/>
        <v>86</v>
      </c>
      <c r="CB171" s="9">
        <f t="shared" si="403"/>
        <v>1.1095694720678451</v>
      </c>
      <c r="CC171" s="9">
        <v>0</v>
      </c>
      <c r="CD171" s="9">
        <f t="shared" si="518"/>
        <v>0</v>
      </c>
      <c r="CE171" s="9">
        <f t="shared" si="404"/>
        <v>0</v>
      </c>
      <c r="CF171" s="9">
        <f t="shared" si="385"/>
        <v>0.84984840943171969</v>
      </c>
      <c r="CG171" s="9">
        <f t="shared" si="386"/>
        <v>0.84399999999999997</v>
      </c>
      <c r="CH171" s="9">
        <f t="shared" si="405"/>
        <v>1.6989660317871056</v>
      </c>
      <c r="CI171" s="9">
        <f t="shared" si="406"/>
        <v>1.8851208429512205</v>
      </c>
      <c r="CJ171" s="9">
        <v>1</v>
      </c>
      <c r="CK171" s="9">
        <f t="shared" si="407"/>
        <v>211.1335344105367</v>
      </c>
      <c r="CM171" s="4">
        <f t="shared" si="477"/>
        <v>1.0258198988853873</v>
      </c>
      <c r="CN171" s="4">
        <f t="shared" si="478"/>
        <v>1.2458889866861822</v>
      </c>
      <c r="CO171" s="4">
        <f t="shared" si="479"/>
        <v>1.0172127143791025</v>
      </c>
      <c r="CP171" s="4">
        <f t="shared" si="480"/>
        <v>2.2497610402163333</v>
      </c>
      <c r="CQ171" s="4">
        <f t="shared" si="481"/>
        <v>1.1437168102008413</v>
      </c>
      <c r="CR171" s="4">
        <f t="shared" si="482"/>
        <v>1.1972859454860088</v>
      </c>
      <c r="CS171" s="4">
        <f t="shared" si="483"/>
        <v>1.7181448594746873</v>
      </c>
      <c r="CU171" s="4">
        <f t="shared" si="521"/>
        <v>1.0258198988853873</v>
      </c>
      <c r="CV171" s="4">
        <f t="shared" si="521"/>
        <v>1.2458889866861822</v>
      </c>
      <c r="CW171" s="4">
        <f>CP171</f>
        <v>2.2497610402163333</v>
      </c>
      <c r="CX171" s="4">
        <f t="shared" si="484"/>
        <v>1.7181448594746873</v>
      </c>
      <c r="CY171" s="4">
        <f t="shared" si="522"/>
        <v>1.1437168102008413</v>
      </c>
      <c r="CZ171" s="4">
        <f t="shared" si="522"/>
        <v>1.1972859454860088</v>
      </c>
      <c r="DH171" s="4">
        <f t="shared" si="362"/>
        <v>0</v>
      </c>
      <c r="DI171" s="4">
        <f t="shared" si="453"/>
        <v>559</v>
      </c>
      <c r="DL171" s="4">
        <f t="shared" si="485"/>
        <v>2.5821318945834057E-5</v>
      </c>
      <c r="DM171" s="4">
        <f t="shared" si="366"/>
        <v>6.5413245857119913</v>
      </c>
      <c r="DN171" s="4">
        <f t="shared" si="486"/>
        <v>0.29150662590823162</v>
      </c>
      <c r="DO171" s="4">
        <f t="shared" si="487"/>
        <v>3.9950762435455838</v>
      </c>
      <c r="DP171" s="4">
        <f t="shared" si="488"/>
        <v>5.4206912728238548</v>
      </c>
      <c r="DQ171" s="4">
        <f t="shared" si="489"/>
        <v>5.685703021131018</v>
      </c>
      <c r="DR171" s="38">
        <f t="shared" si="513"/>
        <v>415.31259815669591</v>
      </c>
      <c r="DS171" s="4">
        <f t="shared" si="411"/>
        <v>1.0001224158311306</v>
      </c>
      <c r="DT171" s="4">
        <f t="shared" si="490"/>
        <v>2.2360679774997898</v>
      </c>
      <c r="DU171" s="4">
        <f t="shared" si="441"/>
        <v>142.74258770270856</v>
      </c>
      <c r="DY171" s="4">
        <f t="shared" si="387"/>
        <v>0.85</v>
      </c>
      <c r="DZ171" s="4">
        <f t="shared" si="412"/>
        <v>1</v>
      </c>
      <c r="EA171" s="4">
        <f t="shared" si="514"/>
        <v>1</v>
      </c>
      <c r="EB171" s="4">
        <f t="shared" si="414"/>
        <v>1</v>
      </c>
      <c r="ED171" s="4">
        <f t="shared" si="515"/>
        <v>396.73062378359873</v>
      </c>
      <c r="EE171" s="25">
        <f t="shared" si="516"/>
        <v>141.61896494083106</v>
      </c>
      <c r="EH171" s="4">
        <f t="shared" si="517"/>
        <v>6.5413245857119913</v>
      </c>
      <c r="EK171" s="4">
        <f t="shared" si="491"/>
        <v>96.150923032490965</v>
      </c>
      <c r="EL171" s="4">
        <f t="shared" si="492"/>
        <v>2.2360679774997898</v>
      </c>
      <c r="EM171" s="4">
        <f t="shared" si="493"/>
        <v>0.10787391362592545</v>
      </c>
      <c r="EP171" s="4">
        <f t="shared" si="332"/>
        <v>0.10787391362592545</v>
      </c>
      <c r="EQ171" s="4">
        <f t="shared" si="333"/>
        <v>0.29102015567904033</v>
      </c>
      <c r="ER171" s="4">
        <f t="shared" si="371"/>
        <v>3.9924080921629965</v>
      </c>
      <c r="ES171" s="4">
        <f t="shared" si="388"/>
        <v>5.419712164383319</v>
      </c>
      <c r="ET171" s="4">
        <f t="shared" si="372"/>
        <v>323.09907696750906</v>
      </c>
      <c r="EU171" s="4">
        <f t="shared" si="373"/>
        <v>139.75</v>
      </c>
      <c r="EV171" s="4">
        <f t="shared" si="415"/>
        <v>2.5821318945834057E-5</v>
      </c>
      <c r="EW171" s="4">
        <f t="shared" si="389"/>
        <v>5.6858920884080515</v>
      </c>
      <c r="EX171" s="4">
        <f t="shared" si="466"/>
        <v>415.26176354277504</v>
      </c>
      <c r="FG171" s="23">
        <f t="shared" si="494"/>
        <v>1.2</v>
      </c>
      <c r="FH171" s="23">
        <f t="shared" si="494"/>
        <v>1.4</v>
      </c>
      <c r="FI171" s="23">
        <f t="shared" si="495"/>
        <v>1.8</v>
      </c>
      <c r="FJ171" s="23">
        <f t="shared" si="496"/>
        <v>2.2000000000000002</v>
      </c>
      <c r="FK171" s="23">
        <f t="shared" si="496"/>
        <v>1.2</v>
      </c>
      <c r="FL171" s="23">
        <f t="shared" si="496"/>
        <v>1.2</v>
      </c>
      <c r="FM171" s="23">
        <f t="shared" si="497"/>
        <v>0</v>
      </c>
      <c r="FN171" s="23"/>
      <c r="FX171" s="4">
        <f t="shared" si="416"/>
        <v>1.25</v>
      </c>
      <c r="FY171" s="4">
        <f t="shared" si="469"/>
        <v>0.75</v>
      </c>
      <c r="FZ171" s="4">
        <f t="shared" si="417"/>
        <v>0</v>
      </c>
      <c r="GA171" s="4">
        <f t="shared" si="418"/>
        <v>276.46097322971269</v>
      </c>
    </row>
    <row r="172" spans="1:183" ht="12" hidden="1" customHeight="1" x14ac:dyDescent="0.3">
      <c r="A172" s="25">
        <v>154</v>
      </c>
      <c r="B172" s="24" t="s">
        <v>128</v>
      </c>
      <c r="C172" s="24">
        <v>2017</v>
      </c>
      <c r="D172" s="24" t="s">
        <v>309</v>
      </c>
      <c r="E172" s="24"/>
      <c r="F172" s="4" t="s">
        <v>161</v>
      </c>
      <c r="G172" s="7">
        <v>606</v>
      </c>
      <c r="H172" s="7">
        <f t="shared" ref="H172:H174" si="523">13*K172</f>
        <v>559</v>
      </c>
      <c r="I172" s="7">
        <f t="shared" si="455"/>
        <v>559</v>
      </c>
      <c r="J172" s="7">
        <v>44.3</v>
      </c>
      <c r="K172" s="37">
        <v>43</v>
      </c>
      <c r="L172" s="7">
        <f t="shared" si="498"/>
        <v>13</v>
      </c>
      <c r="M172" s="7">
        <f t="shared" si="499"/>
        <v>13</v>
      </c>
      <c r="N172" s="7">
        <f t="shared" si="500"/>
        <v>430</v>
      </c>
      <c r="O172" s="7">
        <f>2*K172</f>
        <v>86</v>
      </c>
      <c r="P172" s="7">
        <f t="shared" si="501"/>
        <v>56</v>
      </c>
      <c r="Q172" s="7">
        <f t="shared" ref="Q172:Q178" si="524">(5-1)*K172</f>
        <v>172</v>
      </c>
      <c r="R172" s="7">
        <v>2</v>
      </c>
      <c r="S172" s="7">
        <f t="shared" ref="S172:S178" si="525">2/3*H172-0.5*200</f>
        <v>272.66666666666663</v>
      </c>
      <c r="T172" s="7">
        <f t="shared" si="475"/>
        <v>2.5</v>
      </c>
      <c r="U172" s="7">
        <f t="shared" si="459"/>
        <v>2.5</v>
      </c>
      <c r="V172" s="7">
        <f t="shared" si="472"/>
        <v>4</v>
      </c>
      <c r="W172" s="7">
        <f t="shared" si="472"/>
        <v>4</v>
      </c>
      <c r="X172" s="7">
        <f t="shared" si="431"/>
        <v>5</v>
      </c>
      <c r="Y172" s="7">
        <f t="shared" si="352"/>
        <v>96.150923032490965</v>
      </c>
      <c r="Z172" s="7">
        <f t="shared" si="461"/>
        <v>606</v>
      </c>
      <c r="AA172" s="7">
        <v>19</v>
      </c>
      <c r="AB172" s="7">
        <f>(540+540)/2</f>
        <v>540</v>
      </c>
      <c r="AC172" s="7"/>
      <c r="AD172" s="4">
        <f t="shared" si="476"/>
        <v>1.112459169884874</v>
      </c>
      <c r="AE172" s="7"/>
      <c r="AF172" s="7"/>
      <c r="AG172" s="7">
        <v>1</v>
      </c>
      <c r="AH172" s="7"/>
      <c r="AI172" s="7"/>
      <c r="AJ172" s="7">
        <f t="shared" si="473"/>
        <v>7.8</v>
      </c>
      <c r="AK172" s="4">
        <f t="shared" si="504"/>
        <v>559</v>
      </c>
      <c r="AL172" s="4">
        <f t="shared" si="505"/>
        <v>0.25641025641025639</v>
      </c>
      <c r="AM172" s="4">
        <f t="shared" si="506"/>
        <v>302.87455339265739</v>
      </c>
      <c r="AN172" s="4">
        <f t="shared" si="507"/>
        <v>0.73846153846153839</v>
      </c>
      <c r="AO172" s="4">
        <v>1.25</v>
      </c>
      <c r="AP172" s="4">
        <f t="shared" si="508"/>
        <v>2.5</v>
      </c>
      <c r="AQ172" s="38">
        <f t="shared" si="509"/>
        <v>179.21571206666115</v>
      </c>
      <c r="AR172" s="38">
        <f t="shared" si="510"/>
        <v>179.21571206666115</v>
      </c>
      <c r="AS172" s="38">
        <f t="shared" si="511"/>
        <v>3.7559840459059588</v>
      </c>
      <c r="AT172" s="38">
        <f t="shared" si="450"/>
        <v>179.21571206666113</v>
      </c>
      <c r="AU172" s="38">
        <f t="shared" si="400"/>
        <v>1.0000000000000002</v>
      </c>
      <c r="AV172" s="38">
        <f t="shared" si="328"/>
        <v>2.4718814823290804</v>
      </c>
      <c r="AW172" s="4">
        <f t="shared" si="323"/>
        <v>0</v>
      </c>
      <c r="AX172" s="4">
        <f t="shared" si="379"/>
        <v>455.39851957856541</v>
      </c>
      <c r="AY172" s="4">
        <f t="shared" si="380"/>
        <v>1</v>
      </c>
      <c r="AZ172" s="38">
        <f t="shared" si="438"/>
        <v>443</v>
      </c>
      <c r="BA172" s="4">
        <f t="shared" si="381"/>
        <v>0.44000000000000006</v>
      </c>
      <c r="BB172" s="4">
        <f t="shared" si="401"/>
        <v>104.69611965111221</v>
      </c>
      <c r="BC172" s="4">
        <f t="shared" si="402"/>
        <v>547.69611965111221</v>
      </c>
      <c r="BE172" s="4">
        <f t="shared" si="451"/>
        <v>1.25</v>
      </c>
      <c r="BF172" s="4">
        <f t="shared" si="452"/>
        <v>574.06486458413394</v>
      </c>
      <c r="BH172" s="4">
        <f t="shared" si="463"/>
        <v>424.89117536981524</v>
      </c>
      <c r="BI172" s="4">
        <f t="shared" si="464"/>
        <v>641.65616063635548</v>
      </c>
      <c r="BJ172" s="4">
        <f t="shared" si="465"/>
        <v>1.5101658914847387</v>
      </c>
      <c r="BR172" s="4">
        <f t="shared" si="331"/>
        <v>86</v>
      </c>
      <c r="BV172" s="9"/>
      <c r="BX172" s="9"/>
      <c r="BY172" s="9"/>
      <c r="BZ172" s="9">
        <f t="shared" si="383"/>
        <v>56</v>
      </c>
      <c r="CA172" s="9">
        <f t="shared" si="384"/>
        <v>86</v>
      </c>
      <c r="CB172" s="9">
        <f t="shared" si="403"/>
        <v>1.2170441953580799</v>
      </c>
      <c r="CC172" s="9">
        <v>0</v>
      </c>
      <c r="CD172" s="9">
        <f t="shared" si="518"/>
        <v>0</v>
      </c>
      <c r="CE172" s="9">
        <f t="shared" si="404"/>
        <v>0</v>
      </c>
      <c r="CF172" s="9">
        <f t="shared" si="385"/>
        <v>0.84984840943171969</v>
      </c>
      <c r="CG172" s="9">
        <f t="shared" si="386"/>
        <v>0.84399999999999997</v>
      </c>
      <c r="CH172" s="9">
        <f t="shared" si="405"/>
        <v>1.6709129311035618</v>
      </c>
      <c r="CI172" s="9">
        <f t="shared" si="406"/>
        <v>2.0335748837483454</v>
      </c>
      <c r="CJ172" s="9">
        <v>1</v>
      </c>
      <c r="CK172" s="9">
        <f t="shared" si="407"/>
        <v>227.76038697981468</v>
      </c>
      <c r="CM172" s="4">
        <f t="shared" si="477"/>
        <v>1.1857746057227556</v>
      </c>
      <c r="CN172" s="4">
        <f t="shared" si="478"/>
        <v>0.98594819394372424</v>
      </c>
      <c r="CO172" s="4">
        <f t="shared" si="479"/>
        <v>0.94066025167937894</v>
      </c>
      <c r="CP172" s="4">
        <f t="shared" si="480"/>
        <v>2.3709127261355487</v>
      </c>
      <c r="CQ172" s="4">
        <f t="shared" si="481"/>
        <v>1.112459169884874</v>
      </c>
      <c r="CR172" s="4">
        <f t="shared" si="482"/>
        <v>1.1825979304836267</v>
      </c>
      <c r="CS172" s="4">
        <f t="shared" si="483"/>
        <v>1.5756703115990831</v>
      </c>
      <c r="CU172" s="4">
        <f t="shared" si="521"/>
        <v>1.1857746057227556</v>
      </c>
      <c r="CV172" s="4">
        <f t="shared" si="521"/>
        <v>0.98594819394372424</v>
      </c>
      <c r="CW172" s="4">
        <f>CP172</f>
        <v>2.3709127261355487</v>
      </c>
      <c r="CX172" s="4">
        <f t="shared" si="484"/>
        <v>1.5756703115990831</v>
      </c>
      <c r="CY172" s="4">
        <f t="shared" si="522"/>
        <v>1.112459169884874</v>
      </c>
      <c r="CZ172" s="4">
        <f t="shared" si="522"/>
        <v>1.1825979304836267</v>
      </c>
      <c r="DH172" s="4">
        <f t="shared" si="362"/>
        <v>0</v>
      </c>
      <c r="DI172" s="4">
        <f t="shared" si="453"/>
        <v>559</v>
      </c>
      <c r="DL172" s="4">
        <f t="shared" si="485"/>
        <v>2.5572610994587026E-5</v>
      </c>
      <c r="DM172" s="4">
        <f t="shared" si="366"/>
        <v>7.1481278955130128</v>
      </c>
      <c r="DN172" s="4">
        <f t="shared" si="486"/>
        <v>0.37838394342462073</v>
      </c>
      <c r="DO172" s="4">
        <f t="shared" si="487"/>
        <v>4.8457989776777417</v>
      </c>
      <c r="DP172" s="4">
        <f t="shared" si="488"/>
        <v>6.1068418968815141</v>
      </c>
      <c r="DQ172" s="4">
        <f t="shared" si="489"/>
        <v>6.1005875633463997</v>
      </c>
      <c r="DR172" s="38">
        <f t="shared" si="513"/>
        <v>485.41107360900577</v>
      </c>
      <c r="DS172" s="4">
        <f t="shared" si="411"/>
        <v>1.0001320650522827</v>
      </c>
      <c r="DT172" s="4">
        <f t="shared" si="490"/>
        <v>2.2360679774997898</v>
      </c>
      <c r="DU172" s="4">
        <f t="shared" si="441"/>
        <v>179.21571206666113</v>
      </c>
      <c r="DY172" s="4">
        <f t="shared" si="387"/>
        <v>0.85</v>
      </c>
      <c r="DZ172" s="4">
        <f t="shared" si="412"/>
        <v>0.9</v>
      </c>
      <c r="EA172" s="4">
        <f t="shared" si="514"/>
        <v>1</v>
      </c>
      <c r="EB172" s="4">
        <f t="shared" si="414"/>
        <v>0.9</v>
      </c>
      <c r="ED172" s="4">
        <f t="shared" si="515"/>
        <v>456.6218036413826</v>
      </c>
      <c r="EE172" s="25">
        <f t="shared" si="516"/>
        <v>177.84481571637505</v>
      </c>
      <c r="EH172" s="4">
        <f t="shared" si="517"/>
        <v>7.1481278955130128</v>
      </c>
      <c r="EK172" s="4">
        <f t="shared" si="491"/>
        <v>96.150923032490965</v>
      </c>
      <c r="EL172" s="4">
        <f t="shared" si="492"/>
        <v>2.2360679774997898</v>
      </c>
      <c r="EM172" s="4">
        <f t="shared" si="493"/>
        <v>0.1377113790969261</v>
      </c>
      <c r="EP172" s="4">
        <f t="shared" si="332"/>
        <v>0.1377113790969261</v>
      </c>
      <c r="EQ172" s="4">
        <f t="shared" si="333"/>
        <v>0.37775249114422549</v>
      </c>
      <c r="ER172" s="4">
        <f t="shared" si="371"/>
        <v>4.8425626626604963</v>
      </c>
      <c r="ES172" s="4">
        <f t="shared" si="388"/>
        <v>6.1055605578094418</v>
      </c>
      <c r="ET172" s="4">
        <f t="shared" si="372"/>
        <v>323.09907696750906</v>
      </c>
      <c r="EU172" s="4">
        <f t="shared" si="373"/>
        <v>139.75</v>
      </c>
      <c r="EV172" s="4">
        <f t="shared" si="415"/>
        <v>2.5572610994587026E-5</v>
      </c>
      <c r="EW172" s="4">
        <f t="shared" si="389"/>
        <v>6.1008460776887325</v>
      </c>
      <c r="EX172" s="4">
        <f t="shared" si="466"/>
        <v>485.34697623521407</v>
      </c>
      <c r="FG172" s="23">
        <f t="shared" si="494"/>
        <v>1.2</v>
      </c>
      <c r="FH172" s="23">
        <f t="shared" si="494"/>
        <v>1</v>
      </c>
      <c r="FI172" s="23">
        <f t="shared" si="495"/>
        <v>1.6</v>
      </c>
      <c r="FJ172" s="23">
        <f t="shared" si="496"/>
        <v>2.2000000000000002</v>
      </c>
      <c r="FK172" s="23">
        <f t="shared" si="496"/>
        <v>1.2</v>
      </c>
      <c r="FL172" s="23">
        <f t="shared" si="496"/>
        <v>1.2</v>
      </c>
      <c r="FM172" s="23">
        <f t="shared" si="497"/>
        <v>0</v>
      </c>
      <c r="FN172" s="23"/>
      <c r="FX172" s="4">
        <f t="shared" si="416"/>
        <v>1</v>
      </c>
      <c r="FY172" s="4">
        <f t="shared" si="469"/>
        <v>0.75</v>
      </c>
      <c r="FZ172" s="4">
        <f t="shared" si="417"/>
        <v>0</v>
      </c>
      <c r="GA172" s="4">
        <f t="shared" si="418"/>
        <v>342.71128676149021</v>
      </c>
    </row>
    <row r="173" spans="1:183" ht="12" hidden="1" customHeight="1" x14ac:dyDescent="0.3">
      <c r="A173" s="25">
        <v>155</v>
      </c>
      <c r="B173" s="24" t="s">
        <v>128</v>
      </c>
      <c r="C173" s="24">
        <v>2017</v>
      </c>
      <c r="D173" s="24" t="s">
        <v>309</v>
      </c>
      <c r="E173" s="24"/>
      <c r="F173" s="4" t="s">
        <v>162</v>
      </c>
      <c r="G173" s="7">
        <v>606</v>
      </c>
      <c r="H173" s="7">
        <f t="shared" si="523"/>
        <v>559</v>
      </c>
      <c r="I173" s="7">
        <f t="shared" si="455"/>
        <v>559</v>
      </c>
      <c r="J173" s="7">
        <v>40.5</v>
      </c>
      <c r="K173" s="37">
        <v>43</v>
      </c>
      <c r="L173" s="7">
        <f t="shared" si="498"/>
        <v>13</v>
      </c>
      <c r="M173" s="7">
        <f t="shared" si="499"/>
        <v>13</v>
      </c>
      <c r="N173" s="7">
        <f t="shared" si="500"/>
        <v>344</v>
      </c>
      <c r="O173" s="7">
        <f>1*K173</f>
        <v>43</v>
      </c>
      <c r="P173" s="7">
        <f t="shared" si="501"/>
        <v>56</v>
      </c>
      <c r="Q173" s="7">
        <f t="shared" si="524"/>
        <v>172</v>
      </c>
      <c r="R173" s="7">
        <v>2</v>
      </c>
      <c r="S173" s="7">
        <f t="shared" si="525"/>
        <v>272.66666666666663</v>
      </c>
      <c r="T173" s="7">
        <f t="shared" si="475"/>
        <v>1.5</v>
      </c>
      <c r="U173" s="7">
        <f t="shared" si="459"/>
        <v>1.5</v>
      </c>
      <c r="V173" s="7">
        <f t="shared" si="472"/>
        <v>4</v>
      </c>
      <c r="W173" s="7">
        <f t="shared" si="472"/>
        <v>4</v>
      </c>
      <c r="X173" s="7">
        <f t="shared" si="431"/>
        <v>5</v>
      </c>
      <c r="Y173" s="7">
        <f t="shared" si="352"/>
        <v>96.150923032490965</v>
      </c>
      <c r="Z173" s="7">
        <f t="shared" si="461"/>
        <v>606</v>
      </c>
      <c r="AA173" s="7">
        <v>19</v>
      </c>
      <c r="AB173" s="7">
        <f>(468+468)/2</f>
        <v>468</v>
      </c>
      <c r="AC173" s="7"/>
      <c r="AD173" s="4">
        <f t="shared" si="476"/>
        <v>1.1206763468020458</v>
      </c>
      <c r="AE173" s="7">
        <v>15.9</v>
      </c>
      <c r="AF173" s="10">
        <v>2</v>
      </c>
      <c r="AG173" s="7">
        <v>120</v>
      </c>
      <c r="AH173" s="7">
        <v>4</v>
      </c>
      <c r="AI173" s="7">
        <f>AF173</f>
        <v>2</v>
      </c>
      <c r="AJ173" s="7">
        <f t="shared" si="473"/>
        <v>7.8</v>
      </c>
      <c r="AK173" s="4">
        <f t="shared" si="504"/>
        <v>559</v>
      </c>
      <c r="AL173" s="4">
        <f t="shared" si="505"/>
        <v>0.20512820512820512</v>
      </c>
      <c r="AM173" s="4">
        <f t="shared" si="506"/>
        <v>289.59325025411408</v>
      </c>
      <c r="AN173" s="4">
        <f t="shared" si="507"/>
        <v>0.72307692307692306</v>
      </c>
      <c r="AO173" s="4">
        <v>1.25</v>
      </c>
      <c r="AP173" s="4">
        <f t="shared" si="508"/>
        <v>2.5</v>
      </c>
      <c r="AQ173" s="38">
        <f t="shared" si="509"/>
        <v>134.22961303691679</v>
      </c>
      <c r="AR173" s="38">
        <f t="shared" si="510"/>
        <v>134.22961303691679</v>
      </c>
      <c r="AS173" s="38">
        <f t="shared" si="511"/>
        <v>3.538000882182009</v>
      </c>
      <c r="AT173" s="38">
        <f t="shared" si="450"/>
        <v>134.22961303691673</v>
      </c>
      <c r="AU173" s="38">
        <f t="shared" si="400"/>
        <v>1.0000000000000004</v>
      </c>
      <c r="AV173" s="38">
        <f t="shared" si="328"/>
        <v>1.8103307794917691</v>
      </c>
      <c r="AW173" s="4">
        <f t="shared" si="323"/>
        <v>0</v>
      </c>
      <c r="AX173" s="4">
        <f t="shared" si="379"/>
        <v>435.4289126254003</v>
      </c>
      <c r="AY173" s="4">
        <f t="shared" si="380"/>
        <v>1</v>
      </c>
      <c r="AZ173" s="38">
        <f t="shared" si="438"/>
        <v>243</v>
      </c>
      <c r="BA173" s="4">
        <f t="shared" si="381"/>
        <v>0.44000000000000006</v>
      </c>
      <c r="BB173" s="4">
        <f t="shared" si="401"/>
        <v>100.10510701257955</v>
      </c>
      <c r="BC173" s="4">
        <f t="shared" si="402"/>
        <v>343.10510701257954</v>
      </c>
      <c r="BE173" s="4">
        <f t="shared" si="451"/>
        <v>1.4</v>
      </c>
      <c r="BF173" s="4">
        <f t="shared" si="452"/>
        <v>614.75863556358433</v>
      </c>
      <c r="BH173" s="4">
        <f t="shared" si="463"/>
        <v>233.06671696357813</v>
      </c>
      <c r="BI173" s="4">
        <f t="shared" si="464"/>
        <v>641.65616063635548</v>
      </c>
      <c r="BJ173" s="4">
        <f t="shared" si="465"/>
        <v>2.7531007815956343</v>
      </c>
      <c r="BR173" s="4">
        <f t="shared" si="331"/>
        <v>43</v>
      </c>
      <c r="BV173" s="9"/>
      <c r="BX173" s="9"/>
      <c r="BY173" s="9"/>
      <c r="BZ173" s="9">
        <f t="shared" si="383"/>
        <v>43</v>
      </c>
      <c r="CA173" s="9">
        <f t="shared" si="384"/>
        <v>86</v>
      </c>
      <c r="CB173" s="9">
        <f t="shared" si="403"/>
        <v>1.1095694720678451</v>
      </c>
      <c r="CC173" s="9">
        <v>20</v>
      </c>
      <c r="CD173" s="9">
        <f t="shared" si="518"/>
        <v>0.05</v>
      </c>
      <c r="CE173" s="9">
        <f t="shared" si="404"/>
        <v>0.8</v>
      </c>
      <c r="CF173" s="9">
        <f t="shared" si="385"/>
        <v>0.84984840943171969</v>
      </c>
      <c r="CG173" s="9">
        <f t="shared" si="386"/>
        <v>0.84399999999999997</v>
      </c>
      <c r="CH173" s="9">
        <f t="shared" si="405"/>
        <v>1.5976419979481837</v>
      </c>
      <c r="CI173" s="9">
        <f t="shared" si="406"/>
        <v>3.0508083865753304</v>
      </c>
      <c r="CJ173" s="9">
        <v>1</v>
      </c>
      <c r="CK173" s="9">
        <f t="shared" si="407"/>
        <v>341.69053929643701</v>
      </c>
      <c r="CM173" s="4">
        <f t="shared" si="477"/>
        <v>1.0748023074035522</v>
      </c>
      <c r="CN173" s="4">
        <f t="shared" si="478"/>
        <v>1.3640135061669056</v>
      </c>
      <c r="CO173" s="4">
        <f t="shared" si="479"/>
        <v>0.76127438140166614</v>
      </c>
      <c r="CP173" s="4">
        <f t="shared" si="480"/>
        <v>1.3696603978665678</v>
      </c>
      <c r="CQ173" s="4">
        <f t="shared" si="481"/>
        <v>1.1206763468020458</v>
      </c>
      <c r="CR173" s="4">
        <f t="shared" si="482"/>
        <v>1.1802441564682067</v>
      </c>
      <c r="CS173" s="4">
        <f t="shared" si="483"/>
        <v>1.1449507661346809</v>
      </c>
      <c r="DA173" s="4">
        <f>CM173</f>
        <v>1.0748023074035522</v>
      </c>
      <c r="DB173" s="4">
        <f>CN173</f>
        <v>1.3640135061669056</v>
      </c>
      <c r="DC173" s="4">
        <f>CP173</f>
        <v>1.3696603978665678</v>
      </c>
      <c r="DD173" s="4">
        <f t="shared" ref="DD173:DD174" si="526">CS173</f>
        <v>1.1449507661346809</v>
      </c>
      <c r="DE173" s="4">
        <f>CQ173</f>
        <v>1.1206763468020458</v>
      </c>
      <c r="DF173" s="4">
        <f>CR173</f>
        <v>1.1802441564682067</v>
      </c>
      <c r="DH173" s="4">
        <f t="shared" si="362"/>
        <v>2</v>
      </c>
      <c r="DI173" s="4">
        <f t="shared" si="453"/>
        <v>559</v>
      </c>
      <c r="DL173" s="4">
        <f t="shared" si="485"/>
        <v>2.4945063339588327E-5</v>
      </c>
      <c r="DM173" s="4">
        <f t="shared" si="366"/>
        <v>6.7526954191214541</v>
      </c>
      <c r="DN173" s="4">
        <f t="shared" si="486"/>
        <v>0.30999426410610625</v>
      </c>
      <c r="DO173" s="4">
        <f t="shared" si="487"/>
        <v>4.2268674058260229</v>
      </c>
      <c r="DP173" s="4">
        <f t="shared" si="488"/>
        <v>5.6338980606213793</v>
      </c>
      <c r="DQ173" s="4">
        <f t="shared" si="489"/>
        <v>5.8644758836363353</v>
      </c>
      <c r="DR173" s="38">
        <f t="shared" si="513"/>
        <v>417.60495912622901</v>
      </c>
      <c r="DS173" s="4">
        <f t="shared" si="411"/>
        <v>1.0001301470472594</v>
      </c>
      <c r="DT173" s="4">
        <f t="shared" si="490"/>
        <v>2.2360679774997898</v>
      </c>
      <c r="DU173" s="4">
        <f t="shared" si="441"/>
        <v>134.22961303691673</v>
      </c>
      <c r="DY173" s="4">
        <f t="shared" si="387"/>
        <v>0.85</v>
      </c>
      <c r="DZ173" s="4">
        <f t="shared" si="412"/>
        <v>1</v>
      </c>
      <c r="EA173" s="4">
        <f t="shared" si="514"/>
        <v>0.91092644672796108</v>
      </c>
      <c r="EB173" s="4">
        <f t="shared" si="414"/>
        <v>0.91092644672796108</v>
      </c>
      <c r="ED173" s="4">
        <f t="shared" si="515"/>
        <v>396.52812296097733</v>
      </c>
      <c r="EE173" s="25">
        <f t="shared" si="516"/>
        <v>133.17300161524059</v>
      </c>
      <c r="EH173" s="4">
        <f t="shared" si="517"/>
        <v>6.7526954191214541</v>
      </c>
      <c r="EK173" s="4">
        <f t="shared" si="491"/>
        <v>96.150923032490965</v>
      </c>
      <c r="EL173" s="4">
        <f t="shared" si="492"/>
        <v>2.2360679774997898</v>
      </c>
      <c r="EM173" s="4">
        <f t="shared" si="493"/>
        <v>0.10787391362592545</v>
      </c>
      <c r="EP173" s="4">
        <f t="shared" si="332"/>
        <v>0.10787391362592545</v>
      </c>
      <c r="EQ173" s="4">
        <f t="shared" si="333"/>
        <v>0.30947694145439009</v>
      </c>
      <c r="ER173" s="4">
        <f t="shared" si="371"/>
        <v>4.2240444504115704</v>
      </c>
      <c r="ES173" s="4">
        <f t="shared" si="388"/>
        <v>5.6328428910831558</v>
      </c>
      <c r="ET173" s="4">
        <f t="shared" si="372"/>
        <v>323.09907696750906</v>
      </c>
      <c r="EU173" s="4">
        <f t="shared" si="373"/>
        <v>139.75</v>
      </c>
      <c r="EV173" s="4">
        <f t="shared" si="415"/>
        <v>2.4945063339588327E-5</v>
      </c>
      <c r="EW173" s="4">
        <f t="shared" si="389"/>
        <v>5.8646774366958354</v>
      </c>
      <c r="EX173" s="4">
        <f t="shared" si="466"/>
        <v>417.55061614645615</v>
      </c>
      <c r="FG173" s="23">
        <f t="shared" si="494"/>
        <v>1.2</v>
      </c>
      <c r="FH173" s="23">
        <f t="shared" si="494"/>
        <v>1.4</v>
      </c>
      <c r="FI173" s="23">
        <f t="shared" si="495"/>
        <v>1.2</v>
      </c>
      <c r="FJ173" s="23">
        <f t="shared" si="496"/>
        <v>1.4</v>
      </c>
      <c r="FK173" s="23">
        <f t="shared" si="496"/>
        <v>1.2</v>
      </c>
      <c r="FL173" s="23">
        <f t="shared" si="496"/>
        <v>1.2</v>
      </c>
      <c r="FM173" s="23">
        <f t="shared" si="497"/>
        <v>0</v>
      </c>
      <c r="FN173" s="23"/>
      <c r="FX173" s="4">
        <f t="shared" si="416"/>
        <v>1.25</v>
      </c>
      <c r="FY173" s="4">
        <f t="shared" si="469"/>
        <v>0.49190749660801991</v>
      </c>
      <c r="FZ173" s="4">
        <f t="shared" si="417"/>
        <v>0.3</v>
      </c>
      <c r="GA173" s="4">
        <f t="shared" si="418"/>
        <v>408.75120035069614</v>
      </c>
    </row>
    <row r="174" spans="1:183" ht="12" hidden="1" customHeight="1" x14ac:dyDescent="0.3">
      <c r="A174" s="25">
        <v>156</v>
      </c>
      <c r="B174" s="24" t="s">
        <v>128</v>
      </c>
      <c r="C174" s="24">
        <v>2017</v>
      </c>
      <c r="D174" s="24" t="s">
        <v>309</v>
      </c>
      <c r="E174" s="24"/>
      <c r="F174" s="4" t="s">
        <v>163</v>
      </c>
      <c r="G174" s="7">
        <v>606</v>
      </c>
      <c r="H174" s="7">
        <f t="shared" si="523"/>
        <v>559</v>
      </c>
      <c r="I174" s="7">
        <f t="shared" si="455"/>
        <v>559</v>
      </c>
      <c r="J174" s="7">
        <v>41.8</v>
      </c>
      <c r="K174" s="37">
        <v>43</v>
      </c>
      <c r="L174" s="7">
        <f t="shared" si="498"/>
        <v>13</v>
      </c>
      <c r="M174" s="7">
        <f t="shared" si="499"/>
        <v>13</v>
      </c>
      <c r="N174" s="7">
        <f t="shared" si="500"/>
        <v>430</v>
      </c>
      <c r="O174" s="7">
        <f>2*K174</f>
        <v>86</v>
      </c>
      <c r="P174" s="7">
        <f t="shared" si="501"/>
        <v>56</v>
      </c>
      <c r="Q174" s="7">
        <f t="shared" si="524"/>
        <v>172</v>
      </c>
      <c r="R174" s="7">
        <v>2</v>
      </c>
      <c r="S174" s="7">
        <f t="shared" si="525"/>
        <v>272.66666666666663</v>
      </c>
      <c r="T174" s="7">
        <f t="shared" si="475"/>
        <v>2.5</v>
      </c>
      <c r="U174" s="7">
        <f t="shared" si="459"/>
        <v>2.5</v>
      </c>
      <c r="V174" s="7">
        <f t="shared" si="472"/>
        <v>4</v>
      </c>
      <c r="W174" s="7">
        <f t="shared" si="472"/>
        <v>4</v>
      </c>
      <c r="X174" s="7">
        <f t="shared" si="431"/>
        <v>5</v>
      </c>
      <c r="Y174" s="7">
        <f t="shared" si="352"/>
        <v>96.150923032490965</v>
      </c>
      <c r="Z174" s="7">
        <f t="shared" si="461"/>
        <v>606</v>
      </c>
      <c r="AA174" s="7">
        <v>19</v>
      </c>
      <c r="AB174" s="7">
        <f>(644+644)/2</f>
        <v>644</v>
      </c>
      <c r="AC174" s="7"/>
      <c r="AD174" s="4">
        <f t="shared" si="476"/>
        <v>1.285171889692756</v>
      </c>
      <c r="AE174" s="7">
        <v>15.9</v>
      </c>
      <c r="AF174" s="10">
        <v>2</v>
      </c>
      <c r="AG174" s="7">
        <v>120</v>
      </c>
      <c r="AH174" s="7">
        <v>4</v>
      </c>
      <c r="AI174" s="7">
        <f>AF174</f>
        <v>2</v>
      </c>
      <c r="AJ174" s="7">
        <f t="shared" si="473"/>
        <v>7.8</v>
      </c>
      <c r="AK174" s="4">
        <f t="shared" si="504"/>
        <v>559</v>
      </c>
      <c r="AL174" s="4">
        <f t="shared" si="505"/>
        <v>0.25641025641025639</v>
      </c>
      <c r="AM174" s="4">
        <f t="shared" si="506"/>
        <v>294.20433290598754</v>
      </c>
      <c r="AN174" s="4">
        <f t="shared" si="507"/>
        <v>0.73846153846153839</v>
      </c>
      <c r="AO174" s="4">
        <v>1.25</v>
      </c>
      <c r="AP174" s="4">
        <f t="shared" si="508"/>
        <v>2.5</v>
      </c>
      <c r="AQ174" s="38">
        <f t="shared" si="509"/>
        <v>174.08540408638314</v>
      </c>
      <c r="AR174" s="38">
        <f t="shared" si="510"/>
        <v>174.08540408638314</v>
      </c>
      <c r="AS174" s="38">
        <f t="shared" si="511"/>
        <v>3.613311826901703</v>
      </c>
      <c r="AT174" s="38">
        <f t="shared" si="450"/>
        <v>174.08540408638308</v>
      </c>
      <c r="AU174" s="38">
        <f t="shared" si="400"/>
        <v>1.0000000000000002</v>
      </c>
      <c r="AV174" s="38">
        <f t="shared" si="328"/>
        <v>2.4011203132950989</v>
      </c>
      <c r="AW174" s="4">
        <f t="shared" si="323"/>
        <v>0</v>
      </c>
      <c r="AX174" s="4">
        <f t="shared" si="379"/>
        <v>442.36208079616836</v>
      </c>
      <c r="AY174" s="4">
        <f t="shared" si="380"/>
        <v>1</v>
      </c>
      <c r="AZ174" s="38">
        <f t="shared" si="438"/>
        <v>418</v>
      </c>
      <c r="BA174" s="4">
        <f t="shared" si="381"/>
        <v>0.44000000000000006</v>
      </c>
      <c r="BB174" s="4">
        <f t="shared" si="401"/>
        <v>101.69904237503914</v>
      </c>
      <c r="BC174" s="4">
        <f t="shared" si="402"/>
        <v>519.6990423750392</v>
      </c>
      <c r="BE174" s="4">
        <f t="shared" si="451"/>
        <v>1.5</v>
      </c>
      <c r="BF174" s="4">
        <f t="shared" si="452"/>
        <v>669.15771683512696</v>
      </c>
      <c r="BH174" s="4">
        <f t="shared" si="463"/>
        <v>400.91311806903559</v>
      </c>
      <c r="BI174" s="4">
        <f t="shared" si="464"/>
        <v>641.65616063635548</v>
      </c>
      <c r="BJ174" s="4">
        <f t="shared" si="465"/>
        <v>1.6004868180089455</v>
      </c>
      <c r="BR174" s="4">
        <f t="shared" si="331"/>
        <v>86</v>
      </c>
      <c r="BV174" s="9"/>
      <c r="BX174" s="9"/>
      <c r="BY174" s="9"/>
      <c r="BZ174" s="9">
        <f t="shared" si="383"/>
        <v>56</v>
      </c>
      <c r="CA174" s="9">
        <f t="shared" si="384"/>
        <v>86</v>
      </c>
      <c r="CB174" s="9">
        <f t="shared" si="403"/>
        <v>1.2170441953580799</v>
      </c>
      <c r="CC174" s="9">
        <v>20</v>
      </c>
      <c r="CD174" s="9">
        <f t="shared" si="518"/>
        <v>0.05</v>
      </c>
      <c r="CE174" s="9">
        <f t="shared" si="404"/>
        <v>0.8</v>
      </c>
      <c r="CF174" s="9">
        <f t="shared" si="385"/>
        <v>0.84984840943171969</v>
      </c>
      <c r="CG174" s="9">
        <f t="shared" si="386"/>
        <v>0.84399999999999997</v>
      </c>
      <c r="CH174" s="9">
        <f t="shared" si="405"/>
        <v>1.6230806409213159</v>
      </c>
      <c r="CI174" s="9">
        <f t="shared" si="406"/>
        <v>3.2738253853684127</v>
      </c>
      <c r="CJ174" s="9">
        <v>1</v>
      </c>
      <c r="CK174" s="9">
        <f t="shared" si="407"/>
        <v>366.66844316126219</v>
      </c>
      <c r="CM174" s="4">
        <f t="shared" si="477"/>
        <v>1.455820984567487</v>
      </c>
      <c r="CN174" s="4">
        <f t="shared" si="478"/>
        <v>1.2391787313228477</v>
      </c>
      <c r="CO174" s="4">
        <f t="shared" si="479"/>
        <v>0.9624039053840493</v>
      </c>
      <c r="CP174" s="4">
        <f t="shared" si="480"/>
        <v>1.7563551268489346</v>
      </c>
      <c r="CQ174" s="4">
        <f t="shared" si="481"/>
        <v>1.285171889692756</v>
      </c>
      <c r="CR174" s="4">
        <f t="shared" si="482"/>
        <v>1.3701259564751176</v>
      </c>
      <c r="CS174" s="4">
        <f t="shared" si="483"/>
        <v>1.2505080698215565</v>
      </c>
      <c r="DA174" s="4">
        <f>CM174</f>
        <v>1.455820984567487</v>
      </c>
      <c r="DB174" s="4">
        <f>CN174</f>
        <v>1.2391787313228477</v>
      </c>
      <c r="DC174" s="4">
        <f>CP174</f>
        <v>1.7563551268489346</v>
      </c>
      <c r="DD174" s="4">
        <f t="shared" si="526"/>
        <v>1.2505080698215565</v>
      </c>
      <c r="DE174" s="4">
        <f>CQ174</f>
        <v>1.285171889692756</v>
      </c>
      <c r="DF174" s="4">
        <f>CR174</f>
        <v>1.3701259564751176</v>
      </c>
      <c r="DH174" s="4">
        <f t="shared" si="362"/>
        <v>2</v>
      </c>
      <c r="DI174" s="4">
        <f t="shared" si="453"/>
        <v>559</v>
      </c>
      <c r="DL174" s="4">
        <f t="shared" si="485"/>
        <v>2.5159418755006149E-5</v>
      </c>
      <c r="DM174" s="4">
        <f t="shared" si="366"/>
        <v>7.6224622307194574</v>
      </c>
      <c r="DN174" s="4">
        <f t="shared" si="486"/>
        <v>0.38953494241128567</v>
      </c>
      <c r="DO174" s="4">
        <f t="shared" si="487"/>
        <v>5.2277384310464221</v>
      </c>
      <c r="DP174" s="4">
        <f t="shared" si="488"/>
        <v>6.5360889007016727</v>
      </c>
      <c r="DQ174" s="4">
        <f t="shared" si="489"/>
        <v>6.4468966142736903</v>
      </c>
      <c r="DR174" s="38">
        <f t="shared" si="513"/>
        <v>501.10028484513464</v>
      </c>
      <c r="DS174" s="4">
        <f t="shared" si="411"/>
        <v>1.0001383080113373</v>
      </c>
      <c r="DT174" s="4">
        <f t="shared" si="490"/>
        <v>2.2360679774997898</v>
      </c>
      <c r="DU174" s="4">
        <f t="shared" si="441"/>
        <v>174.08540408638308</v>
      </c>
      <c r="DY174" s="4">
        <f t="shared" si="387"/>
        <v>0.85</v>
      </c>
      <c r="DZ174" s="4">
        <f t="shared" si="412"/>
        <v>0.9</v>
      </c>
      <c r="EA174" s="4">
        <f t="shared" si="514"/>
        <v>0.91092644672796108</v>
      </c>
      <c r="EB174" s="4">
        <f t="shared" si="414"/>
        <v>0.81983380205516498</v>
      </c>
      <c r="ED174" s="4">
        <f t="shared" si="515"/>
        <v>470.02977861743432</v>
      </c>
      <c r="EE174" s="25">
        <f t="shared" si="516"/>
        <v>172.75375161937544</v>
      </c>
      <c r="EH174" s="4">
        <f t="shared" si="517"/>
        <v>7.6224622307194574</v>
      </c>
      <c r="EK174" s="4">
        <f t="shared" si="491"/>
        <v>96.150923032490965</v>
      </c>
      <c r="EL174" s="4">
        <f t="shared" si="492"/>
        <v>2.2360679774997898</v>
      </c>
      <c r="EM174" s="4">
        <f t="shared" si="493"/>
        <v>0.1377113790969261</v>
      </c>
      <c r="EP174" s="4">
        <f t="shared" si="332"/>
        <v>0.1377113790969261</v>
      </c>
      <c r="EQ174" s="4">
        <f t="shared" si="333"/>
        <v>0.38888488119184528</v>
      </c>
      <c r="ER174" s="4">
        <f t="shared" si="371"/>
        <v>5.2242470339685472</v>
      </c>
      <c r="ES174" s="4">
        <f t="shared" si="388"/>
        <v>6.5346953129848373</v>
      </c>
      <c r="ET174" s="4">
        <f t="shared" si="372"/>
        <v>323.09907696750906</v>
      </c>
      <c r="EU174" s="4">
        <f t="shared" si="373"/>
        <v>139.75</v>
      </c>
      <c r="EV174" s="4">
        <f t="shared" si="415"/>
        <v>2.5159418755006149E-5</v>
      </c>
      <c r="EW174" s="4">
        <f t="shared" si="389"/>
        <v>6.4471902064809594</v>
      </c>
      <c r="EX174" s="4">
        <f t="shared" si="466"/>
        <v>501.03098824553206</v>
      </c>
      <c r="FG174" s="23">
        <f t="shared" si="494"/>
        <v>1.6</v>
      </c>
      <c r="FH174" s="23">
        <f t="shared" si="494"/>
        <v>1.4</v>
      </c>
      <c r="FI174" s="23">
        <f t="shared" si="495"/>
        <v>1.4</v>
      </c>
      <c r="FJ174" s="23">
        <f t="shared" si="496"/>
        <v>1.8</v>
      </c>
      <c r="FK174" s="23">
        <f t="shared" si="496"/>
        <v>1.4</v>
      </c>
      <c r="FL174" s="23">
        <f t="shared" si="496"/>
        <v>1.4</v>
      </c>
      <c r="FM174" s="23">
        <f t="shared" si="497"/>
        <v>0</v>
      </c>
      <c r="FN174" s="23"/>
      <c r="FX174" s="4">
        <f t="shared" si="416"/>
        <v>1</v>
      </c>
      <c r="FY174" s="4">
        <f t="shared" si="469"/>
        <v>0.49190749660801991</v>
      </c>
      <c r="FZ174" s="4">
        <f t="shared" si="417"/>
        <v>0.3</v>
      </c>
      <c r="GA174" s="4">
        <f t="shared" si="418"/>
        <v>514.99067902208481</v>
      </c>
    </row>
    <row r="175" spans="1:183" ht="12" hidden="1" customHeight="1" x14ac:dyDescent="0.3">
      <c r="A175" s="25">
        <v>157</v>
      </c>
      <c r="B175" s="24" t="s">
        <v>128</v>
      </c>
      <c r="C175" s="24">
        <v>2017</v>
      </c>
      <c r="D175" s="24" t="s">
        <v>309</v>
      </c>
      <c r="E175" s="24"/>
      <c r="F175" s="4" t="s">
        <v>164</v>
      </c>
      <c r="G175" s="7">
        <v>606</v>
      </c>
      <c r="H175" s="7">
        <f>16*K175</f>
        <v>688</v>
      </c>
      <c r="I175" s="7">
        <f t="shared" si="455"/>
        <v>688</v>
      </c>
      <c r="J175" s="7">
        <v>45.8</v>
      </c>
      <c r="K175" s="37">
        <v>43</v>
      </c>
      <c r="L175" s="7">
        <f t="shared" si="498"/>
        <v>16</v>
      </c>
      <c r="M175" s="7">
        <f t="shared" si="499"/>
        <v>16</v>
      </c>
      <c r="N175" s="7">
        <f t="shared" si="500"/>
        <v>344</v>
      </c>
      <c r="O175" s="7">
        <f>1*K175</f>
        <v>43</v>
      </c>
      <c r="P175" s="7">
        <f t="shared" si="501"/>
        <v>56</v>
      </c>
      <c r="Q175" s="7">
        <f t="shared" si="524"/>
        <v>172</v>
      </c>
      <c r="R175" s="7">
        <v>2</v>
      </c>
      <c r="S175" s="7">
        <f t="shared" si="525"/>
        <v>358.66666666666663</v>
      </c>
      <c r="T175" s="7">
        <f t="shared" si="475"/>
        <v>1.5</v>
      </c>
      <c r="U175" s="7">
        <f t="shared" si="459"/>
        <v>1.5</v>
      </c>
      <c r="V175" s="7">
        <f t="shared" si="472"/>
        <v>4</v>
      </c>
      <c r="W175" s="7">
        <f t="shared" si="472"/>
        <v>4</v>
      </c>
      <c r="X175" s="7">
        <f t="shared" si="431"/>
        <v>5</v>
      </c>
      <c r="Y175" s="7">
        <f t="shared" si="352"/>
        <v>96.150923032490965</v>
      </c>
      <c r="Z175" s="7">
        <f t="shared" si="461"/>
        <v>606</v>
      </c>
      <c r="AA175" s="7">
        <v>19</v>
      </c>
      <c r="AB175" s="7">
        <f>(572+572)/2</f>
        <v>572</v>
      </c>
      <c r="AC175" s="7"/>
      <c r="AD175" s="4">
        <f t="shared" si="476"/>
        <v>1.1618846803400318</v>
      </c>
      <c r="AE175" s="7"/>
      <c r="AF175" s="7"/>
      <c r="AG175" s="7">
        <v>1</v>
      </c>
      <c r="AH175" s="7"/>
      <c r="AI175" s="7"/>
      <c r="AJ175" s="7">
        <f t="shared" si="473"/>
        <v>9.6</v>
      </c>
      <c r="AK175" s="4">
        <f t="shared" si="504"/>
        <v>688</v>
      </c>
      <c r="AL175" s="4">
        <f t="shared" si="505"/>
        <v>0.16666666666666666</v>
      </c>
      <c r="AM175" s="4">
        <f t="shared" si="506"/>
        <v>420.49284288370211</v>
      </c>
      <c r="AN175" s="4">
        <f t="shared" si="507"/>
        <v>0.71875</v>
      </c>
      <c r="AO175" s="4">
        <v>1.25</v>
      </c>
      <c r="AP175" s="4">
        <f t="shared" si="508"/>
        <v>2.5</v>
      </c>
      <c r="AQ175" s="38">
        <f t="shared" si="509"/>
        <v>157.41105772013586</v>
      </c>
      <c r="AR175" s="38">
        <f t="shared" si="510"/>
        <v>157.41105772013586</v>
      </c>
      <c r="AS175" s="38">
        <f t="shared" si="511"/>
        <v>3.8402978284624769</v>
      </c>
      <c r="AT175" s="38">
        <f t="shared" si="450"/>
        <v>157.41105772013589</v>
      </c>
      <c r="AU175" s="38">
        <f t="shared" si="400"/>
        <v>0.99999999999999978</v>
      </c>
      <c r="AV175" s="38">
        <f t="shared" si="328"/>
        <v>1.7457477510161459</v>
      </c>
      <c r="AW175" s="4">
        <f t="shared" si="323"/>
        <v>0</v>
      </c>
      <c r="AX175" s="4">
        <f t="shared" si="379"/>
        <v>569.90060852845909</v>
      </c>
      <c r="AY175" s="4">
        <f t="shared" si="380"/>
        <v>1</v>
      </c>
      <c r="AZ175" s="38">
        <f t="shared" si="438"/>
        <v>274.79999999999995</v>
      </c>
      <c r="BA175" s="4">
        <f t="shared" si="381"/>
        <v>0.44000000000000006</v>
      </c>
      <c r="BB175" s="4">
        <f t="shared" si="401"/>
        <v>131.02014990069279</v>
      </c>
      <c r="BC175" s="4">
        <f t="shared" si="402"/>
        <v>405.82014990069274</v>
      </c>
      <c r="BE175" s="4">
        <f t="shared" si="451"/>
        <v>1</v>
      </c>
      <c r="BF175" s="4">
        <f t="shared" si="452"/>
        <v>527.87043864948532</v>
      </c>
      <c r="BH175" s="4">
        <f t="shared" si="463"/>
        <v>263.56680585016983</v>
      </c>
      <c r="BI175" s="4">
        <f t="shared" si="464"/>
        <v>641.65616063635548</v>
      </c>
      <c r="BJ175" s="4">
        <f t="shared" si="465"/>
        <v>2.4345105164764891</v>
      </c>
      <c r="BR175" s="4">
        <f t="shared" si="331"/>
        <v>43</v>
      </c>
      <c r="BV175" s="9"/>
      <c r="BX175" s="9"/>
      <c r="BY175" s="9"/>
      <c r="BZ175" s="9">
        <f t="shared" si="383"/>
        <v>43</v>
      </c>
      <c r="CA175" s="9">
        <f t="shared" si="384"/>
        <v>86</v>
      </c>
      <c r="CB175" s="9">
        <f t="shared" si="403"/>
        <v>1.1095694720678451</v>
      </c>
      <c r="CC175" s="9">
        <v>0</v>
      </c>
      <c r="CD175" s="9">
        <f t="shared" si="518"/>
        <v>0</v>
      </c>
      <c r="CE175" s="9">
        <f t="shared" si="404"/>
        <v>0</v>
      </c>
      <c r="CF175" s="9">
        <f t="shared" si="385"/>
        <v>0.84984840943171969</v>
      </c>
      <c r="CG175" s="9">
        <f t="shared" si="386"/>
        <v>0.84399999999999997</v>
      </c>
      <c r="CH175" s="9">
        <f t="shared" si="405"/>
        <v>1.6989660317871056</v>
      </c>
      <c r="CI175" s="9">
        <f t="shared" si="406"/>
        <v>1.8851208429512205</v>
      </c>
      <c r="CJ175" s="9">
        <v>1</v>
      </c>
      <c r="CK175" s="9">
        <f t="shared" si="407"/>
        <v>233.75498452595133</v>
      </c>
      <c r="CM175" s="4">
        <f t="shared" si="477"/>
        <v>1.0036837852778606</v>
      </c>
      <c r="CN175" s="4">
        <f t="shared" si="478"/>
        <v>1.4094913723233622</v>
      </c>
      <c r="CO175" s="4">
        <f t="shared" si="479"/>
        <v>1.0835992283701597</v>
      </c>
      <c r="CP175" s="4">
        <f t="shared" si="480"/>
        <v>2.4470066431310555</v>
      </c>
      <c r="CQ175" s="4">
        <f t="shared" si="481"/>
        <v>1.1618846803400318</v>
      </c>
      <c r="CR175" s="4">
        <f t="shared" si="482"/>
        <v>1.2158256317980205</v>
      </c>
      <c r="CS175" s="4">
        <f t="shared" si="483"/>
        <v>1.6810691019807604</v>
      </c>
      <c r="CU175" s="4">
        <f>CM175</f>
        <v>1.0036837852778606</v>
      </c>
      <c r="CV175" s="4">
        <f>CN175</f>
        <v>1.4094913723233622</v>
      </c>
      <c r="CW175" s="4">
        <f>CP175</f>
        <v>2.4470066431310555</v>
      </c>
      <c r="CX175" s="4">
        <f t="shared" ref="CX175:CX176" si="527">CS175</f>
        <v>1.6810691019807604</v>
      </c>
      <c r="CY175" s="4">
        <f>CQ175</f>
        <v>1.1618846803400318</v>
      </c>
      <c r="CZ175" s="4">
        <f>CR175</f>
        <v>1.2158256317980205</v>
      </c>
      <c r="DH175" s="4">
        <f t="shared" si="362"/>
        <v>0</v>
      </c>
      <c r="DI175" s="4">
        <f t="shared" si="453"/>
        <v>688</v>
      </c>
      <c r="DL175" s="4">
        <f t="shared" si="485"/>
        <v>3.1780084856411147E-5</v>
      </c>
      <c r="DM175" s="4">
        <f t="shared" si="366"/>
        <v>6.5413245857119913</v>
      </c>
      <c r="DN175" s="4">
        <f t="shared" si="486"/>
        <v>0.32146234039283844</v>
      </c>
      <c r="DO175" s="4">
        <f t="shared" si="487"/>
        <v>4.154490216734021</v>
      </c>
      <c r="DP175" s="4">
        <f t="shared" si="488"/>
        <v>5.4800752805835637</v>
      </c>
      <c r="DQ175" s="4">
        <f t="shared" si="489"/>
        <v>5.2315820417165027</v>
      </c>
      <c r="DR175" s="38">
        <f t="shared" si="513"/>
        <v>492.3035906047071</v>
      </c>
      <c r="DS175" s="4">
        <f t="shared" si="411"/>
        <v>1.0001243667108182</v>
      </c>
      <c r="DT175" s="4">
        <f t="shared" si="490"/>
        <v>2.2360679774997898</v>
      </c>
      <c r="DU175" s="4">
        <f t="shared" si="441"/>
        <v>157.41105772013589</v>
      </c>
      <c r="DY175" s="4">
        <f t="shared" si="387"/>
        <v>0.85</v>
      </c>
      <c r="DZ175" s="4">
        <f t="shared" si="412"/>
        <v>1</v>
      </c>
      <c r="EA175" s="4">
        <f t="shared" si="514"/>
        <v>1</v>
      </c>
      <c r="EB175" s="4">
        <f t="shared" si="414"/>
        <v>1</v>
      </c>
      <c r="ED175" s="4">
        <f t="shared" si="515"/>
        <v>470.46219872342988</v>
      </c>
      <c r="EE175" s="25">
        <f t="shared" si="516"/>
        <v>156.47861860925426</v>
      </c>
      <c r="EH175" s="4">
        <f t="shared" si="517"/>
        <v>6.5413245857119913</v>
      </c>
      <c r="EK175" s="4">
        <f t="shared" si="491"/>
        <v>96.150923032490965</v>
      </c>
      <c r="EL175" s="4">
        <f t="shared" si="492"/>
        <v>2.2360679774997898</v>
      </c>
      <c r="EM175" s="4">
        <f t="shared" si="493"/>
        <v>0.1189592196523231</v>
      </c>
      <c r="EP175" s="4">
        <f t="shared" si="332"/>
        <v>0.1189592196523231</v>
      </c>
      <c r="EQ175" s="4">
        <f t="shared" si="333"/>
        <v>0.32092587965915864</v>
      </c>
      <c r="ER175" s="4">
        <f t="shared" si="371"/>
        <v>4.1517155991447741</v>
      </c>
      <c r="ES175" s="4">
        <f t="shared" si="388"/>
        <v>5.4790269878759252</v>
      </c>
      <c r="ET175" s="4">
        <f t="shared" si="372"/>
        <v>419.84907696750906</v>
      </c>
      <c r="EU175" s="4">
        <f t="shared" si="373"/>
        <v>172</v>
      </c>
      <c r="EV175" s="4">
        <f t="shared" si="415"/>
        <v>3.1780084856411147E-5</v>
      </c>
      <c r="EW175" s="4">
        <f t="shared" si="389"/>
        <v>5.2318658044900577</v>
      </c>
      <c r="EX175" s="4">
        <f t="shared" si="466"/>
        <v>492.2423720399712</v>
      </c>
      <c r="FG175" s="23">
        <f t="shared" si="494"/>
        <v>1.2</v>
      </c>
      <c r="FH175" s="23">
        <f t="shared" si="494"/>
        <v>1.6</v>
      </c>
      <c r="FI175" s="23">
        <f t="shared" si="495"/>
        <v>1.8</v>
      </c>
      <c r="FJ175" s="23">
        <f t="shared" si="496"/>
        <v>2.2000000000000002</v>
      </c>
      <c r="FK175" s="23">
        <f t="shared" si="496"/>
        <v>1.2</v>
      </c>
      <c r="FL175" s="23">
        <f t="shared" si="496"/>
        <v>1.4</v>
      </c>
      <c r="FM175" s="23">
        <f t="shared" si="497"/>
        <v>0</v>
      </c>
      <c r="FN175" s="23"/>
      <c r="FX175" s="4">
        <f t="shared" si="416"/>
        <v>1.25</v>
      </c>
      <c r="FY175" s="4">
        <f t="shared" si="469"/>
        <v>0.75</v>
      </c>
      <c r="FZ175" s="4">
        <f t="shared" si="417"/>
        <v>0</v>
      </c>
      <c r="GA175" s="4">
        <f t="shared" si="418"/>
        <v>340.25965935964626</v>
      </c>
    </row>
    <row r="176" spans="1:183" ht="12" hidden="1" customHeight="1" x14ac:dyDescent="0.3">
      <c r="A176" s="25">
        <v>158</v>
      </c>
      <c r="B176" s="24" t="s">
        <v>128</v>
      </c>
      <c r="C176" s="24">
        <v>2017</v>
      </c>
      <c r="D176" s="24" t="s">
        <v>309</v>
      </c>
      <c r="E176" s="24"/>
      <c r="F176" s="4" t="s">
        <v>165</v>
      </c>
      <c r="G176" s="7">
        <v>606</v>
      </c>
      <c r="H176" s="7">
        <f t="shared" ref="H176:H178" si="528">16*K176</f>
        <v>688</v>
      </c>
      <c r="I176" s="7">
        <f t="shared" si="455"/>
        <v>688</v>
      </c>
      <c r="J176" s="7">
        <v>45.8</v>
      </c>
      <c r="K176" s="37">
        <v>43</v>
      </c>
      <c r="L176" s="7">
        <f t="shared" si="498"/>
        <v>16</v>
      </c>
      <c r="M176" s="7">
        <f t="shared" si="499"/>
        <v>16</v>
      </c>
      <c r="N176" s="7">
        <f t="shared" si="500"/>
        <v>430</v>
      </c>
      <c r="O176" s="7">
        <f>2*K176</f>
        <v>86</v>
      </c>
      <c r="P176" s="7">
        <f t="shared" si="501"/>
        <v>56</v>
      </c>
      <c r="Q176" s="7">
        <f t="shared" si="524"/>
        <v>172</v>
      </c>
      <c r="R176" s="7">
        <v>2</v>
      </c>
      <c r="S176" s="7">
        <f t="shared" si="525"/>
        <v>358.66666666666663</v>
      </c>
      <c r="T176" s="7">
        <f t="shared" si="475"/>
        <v>2.5</v>
      </c>
      <c r="U176" s="7">
        <f t="shared" si="459"/>
        <v>2.5</v>
      </c>
      <c r="V176" s="7">
        <f t="shared" si="472"/>
        <v>4</v>
      </c>
      <c r="W176" s="7">
        <f t="shared" si="472"/>
        <v>4</v>
      </c>
      <c r="X176" s="7">
        <f t="shared" si="431"/>
        <v>5</v>
      </c>
      <c r="Y176" s="7">
        <f t="shared" si="352"/>
        <v>96.150923032490965</v>
      </c>
      <c r="Z176" s="7">
        <f t="shared" si="461"/>
        <v>606</v>
      </c>
      <c r="AA176" s="7">
        <v>19</v>
      </c>
      <c r="AB176" s="7">
        <f>(607+607)/2</f>
        <v>607</v>
      </c>
      <c r="AC176" s="7"/>
      <c r="AD176" s="4">
        <f t="shared" si="476"/>
        <v>1.0461407976053076</v>
      </c>
      <c r="AE176" s="7"/>
      <c r="AF176" s="7"/>
      <c r="AG176" s="7">
        <v>1</v>
      </c>
      <c r="AH176" s="7"/>
      <c r="AI176" s="7"/>
      <c r="AJ176" s="7">
        <f t="shared" si="473"/>
        <v>9.6</v>
      </c>
      <c r="AK176" s="4">
        <f t="shared" si="504"/>
        <v>688</v>
      </c>
      <c r="AL176" s="4">
        <f t="shared" si="505"/>
        <v>0.20833333333333334</v>
      </c>
      <c r="AM176" s="4">
        <f t="shared" si="506"/>
        <v>420.49284288370211</v>
      </c>
      <c r="AN176" s="4">
        <f t="shared" si="507"/>
        <v>0.73124999999999996</v>
      </c>
      <c r="AO176" s="4">
        <v>1.25</v>
      </c>
      <c r="AP176" s="4">
        <f t="shared" si="508"/>
        <v>2.5</v>
      </c>
      <c r="AQ176" s="38">
        <f t="shared" si="509"/>
        <v>200.18580166582498</v>
      </c>
      <c r="AR176" s="38">
        <f t="shared" si="510"/>
        <v>200.18580166582498</v>
      </c>
      <c r="AS176" s="38">
        <f t="shared" si="511"/>
        <v>3.8402978284624769</v>
      </c>
      <c r="AT176" s="38">
        <f t="shared" si="450"/>
        <v>200.18580166582495</v>
      </c>
      <c r="AU176" s="38">
        <f t="shared" si="400"/>
        <v>1.0000000000000002</v>
      </c>
      <c r="AV176" s="38">
        <f t="shared" si="328"/>
        <v>2.2878745454912459</v>
      </c>
      <c r="AW176" s="4">
        <f t="shared" ref="AW176:AW239" si="529">IF(AV176&lt;1,1,0)</f>
        <v>0</v>
      </c>
      <c r="AX176" s="4">
        <f t="shared" si="379"/>
        <v>569.90060852845909</v>
      </c>
      <c r="AY176" s="4">
        <f t="shared" si="380"/>
        <v>1</v>
      </c>
      <c r="AZ176" s="38">
        <f t="shared" si="438"/>
        <v>458</v>
      </c>
      <c r="BA176" s="4">
        <f t="shared" si="381"/>
        <v>0.44000000000000006</v>
      </c>
      <c r="BB176" s="4">
        <f t="shared" si="401"/>
        <v>131.02014990069279</v>
      </c>
      <c r="BC176" s="4">
        <f t="shared" si="402"/>
        <v>589.02014990069279</v>
      </c>
      <c r="BE176" s="4">
        <f t="shared" si="451"/>
        <v>1.25</v>
      </c>
      <c r="BF176" s="4">
        <f t="shared" si="452"/>
        <v>659.8380483118566</v>
      </c>
      <c r="BH176" s="4">
        <f t="shared" si="463"/>
        <v>439.27800975028305</v>
      </c>
      <c r="BI176" s="4">
        <f t="shared" si="464"/>
        <v>641.65616063635548</v>
      </c>
      <c r="BJ176" s="4">
        <f t="shared" si="465"/>
        <v>1.4607063098858935</v>
      </c>
      <c r="BR176" s="4">
        <f t="shared" si="331"/>
        <v>86</v>
      </c>
      <c r="BV176" s="9"/>
      <c r="BX176" s="9"/>
      <c r="BY176" s="9"/>
      <c r="BZ176" s="9">
        <f t="shared" si="383"/>
        <v>56</v>
      </c>
      <c r="CA176" s="9">
        <f t="shared" si="384"/>
        <v>86</v>
      </c>
      <c r="CB176" s="9">
        <f t="shared" si="403"/>
        <v>1.2170441953580799</v>
      </c>
      <c r="CC176" s="9">
        <v>0</v>
      </c>
      <c r="CD176" s="9">
        <f t="shared" si="518"/>
        <v>0</v>
      </c>
      <c r="CE176" s="9">
        <f t="shared" si="404"/>
        <v>0</v>
      </c>
      <c r="CF176" s="9">
        <f t="shared" si="385"/>
        <v>0.84984840943171969</v>
      </c>
      <c r="CG176" s="9">
        <f t="shared" si="386"/>
        <v>0.84399999999999997</v>
      </c>
      <c r="CH176" s="9">
        <f t="shared" si="405"/>
        <v>1.6989660317871056</v>
      </c>
      <c r="CI176" s="9">
        <f t="shared" si="406"/>
        <v>2.0677167470970481</v>
      </c>
      <c r="CJ176" s="9">
        <v>1</v>
      </c>
      <c r="CK176" s="9">
        <f t="shared" si="407"/>
        <v>256.39687664003395</v>
      </c>
      <c r="CM176" s="4">
        <f t="shared" si="477"/>
        <v>1.0650980029084989</v>
      </c>
      <c r="CN176" s="4">
        <f t="shared" si="478"/>
        <v>1.030525017017395</v>
      </c>
      <c r="CO176" s="4">
        <f t="shared" si="479"/>
        <v>0.91992270156739442</v>
      </c>
      <c r="CP176" s="4">
        <f t="shared" si="480"/>
        <v>2.3674235347733665</v>
      </c>
      <c r="CQ176" s="4">
        <f t="shared" si="481"/>
        <v>1.0461407976053076</v>
      </c>
      <c r="CR176" s="4">
        <f t="shared" si="482"/>
        <v>1.1078654557321155</v>
      </c>
      <c r="CS176" s="4">
        <f t="shared" si="483"/>
        <v>1.4271453774857643</v>
      </c>
      <c r="CU176" s="4">
        <f>CM176</f>
        <v>1.0650980029084989</v>
      </c>
      <c r="CV176" s="4">
        <f>CN176</f>
        <v>1.030525017017395</v>
      </c>
      <c r="CW176" s="4">
        <f>CP176</f>
        <v>2.3674235347733665</v>
      </c>
      <c r="CX176" s="4">
        <f t="shared" si="527"/>
        <v>1.4271453774857643</v>
      </c>
      <c r="CY176" s="4">
        <f>CQ176</f>
        <v>1.0461407976053076</v>
      </c>
      <c r="CZ176" s="4">
        <f>CR176</f>
        <v>1.1078654557321155</v>
      </c>
      <c r="DH176" s="4">
        <f t="shared" si="362"/>
        <v>0</v>
      </c>
      <c r="DI176" s="4">
        <f t="shared" si="453"/>
        <v>688</v>
      </c>
      <c r="DL176" s="4">
        <f t="shared" si="485"/>
        <v>3.1780084856411147E-5</v>
      </c>
      <c r="DM176" s="4">
        <f t="shared" si="366"/>
        <v>7.2681384285688786</v>
      </c>
      <c r="DN176" s="4">
        <f t="shared" si="486"/>
        <v>0.40881623723871846</v>
      </c>
      <c r="DO176" s="4">
        <f t="shared" si="487"/>
        <v>5.0819974748536216</v>
      </c>
      <c r="DP176" s="4">
        <f t="shared" si="488"/>
        <v>6.2713583807787048</v>
      </c>
      <c r="DQ176" s="4">
        <f t="shared" si="489"/>
        <v>5.6034242965167413</v>
      </c>
      <c r="DR176" s="38">
        <f t="shared" si="513"/>
        <v>580.22782534575379</v>
      </c>
      <c r="DS176" s="4">
        <f t="shared" si="411"/>
        <v>1.0001336896718742</v>
      </c>
      <c r="DT176" s="4">
        <f t="shared" si="490"/>
        <v>2.2360679774997898</v>
      </c>
      <c r="DU176" s="4">
        <f t="shared" si="441"/>
        <v>200.18580166582495</v>
      </c>
      <c r="DY176" s="4">
        <f t="shared" si="387"/>
        <v>0.85</v>
      </c>
      <c r="DZ176" s="4">
        <f t="shared" si="412"/>
        <v>0.9</v>
      </c>
      <c r="EA176" s="4">
        <f t="shared" si="514"/>
        <v>1</v>
      </c>
      <c r="EB176" s="4">
        <f t="shared" si="414"/>
        <v>0.9</v>
      </c>
      <c r="ED176" s="4">
        <f t="shared" si="515"/>
        <v>547.90046648658574</v>
      </c>
      <c r="EE176" s="25">
        <f t="shared" si="516"/>
        <v>199.02982191527957</v>
      </c>
      <c r="EH176" s="4">
        <f t="shared" si="517"/>
        <v>7.2681384285688786</v>
      </c>
      <c r="EK176" s="4">
        <f t="shared" si="491"/>
        <v>96.150923032490965</v>
      </c>
      <c r="EL176" s="4">
        <f t="shared" si="492"/>
        <v>2.2360679774997898</v>
      </c>
      <c r="EM176" s="4">
        <f t="shared" si="493"/>
        <v>0.15128509455784567</v>
      </c>
      <c r="EP176" s="4">
        <f t="shared" si="332"/>
        <v>0.15128509455784567</v>
      </c>
      <c r="EQ176" s="4">
        <f t="shared" si="333"/>
        <v>0.40813399913175602</v>
      </c>
      <c r="ER176" s="4">
        <f t="shared" si="371"/>
        <v>5.0786034123220896</v>
      </c>
      <c r="ES176" s="4">
        <f t="shared" si="388"/>
        <v>6.2699854603578888</v>
      </c>
      <c r="ET176" s="4">
        <f t="shared" si="372"/>
        <v>419.84907696750906</v>
      </c>
      <c r="EU176" s="4">
        <f t="shared" si="373"/>
        <v>172</v>
      </c>
      <c r="EV176" s="4">
        <f t="shared" si="415"/>
        <v>3.1780084856411147E-5</v>
      </c>
      <c r="EW176" s="4">
        <f t="shared" si="389"/>
        <v>5.6038254044047084</v>
      </c>
      <c r="EX176" s="4">
        <f t="shared" si="466"/>
        <v>580.15026524715518</v>
      </c>
      <c r="FG176" s="23">
        <f t="shared" si="494"/>
        <v>1.2</v>
      </c>
      <c r="FH176" s="23">
        <f t="shared" si="494"/>
        <v>1.2</v>
      </c>
      <c r="FI176" s="23">
        <f t="shared" si="495"/>
        <v>1.6</v>
      </c>
      <c r="FJ176" s="23">
        <f t="shared" si="496"/>
        <v>2.2000000000000002</v>
      </c>
      <c r="FK176" s="23">
        <f t="shared" si="496"/>
        <v>1.2</v>
      </c>
      <c r="FL176" s="23">
        <f t="shared" si="496"/>
        <v>1.2</v>
      </c>
      <c r="FM176" s="23">
        <f t="shared" si="497"/>
        <v>0</v>
      </c>
      <c r="FN176" s="23"/>
      <c r="FX176" s="4">
        <f t="shared" si="416"/>
        <v>1</v>
      </c>
      <c r="FY176" s="4">
        <f t="shared" si="469"/>
        <v>0.75</v>
      </c>
      <c r="FZ176" s="4">
        <f t="shared" si="417"/>
        <v>0</v>
      </c>
      <c r="GA176" s="4">
        <f t="shared" si="418"/>
        <v>425.3245741995579</v>
      </c>
    </row>
    <row r="177" spans="1:183" ht="12" hidden="1" customHeight="1" x14ac:dyDescent="0.3">
      <c r="A177" s="25">
        <v>159</v>
      </c>
      <c r="B177" s="24" t="s">
        <v>128</v>
      </c>
      <c r="C177" s="24">
        <v>2017</v>
      </c>
      <c r="D177" s="24" t="s">
        <v>309</v>
      </c>
      <c r="E177" s="24"/>
      <c r="F177" s="4" t="s">
        <v>166</v>
      </c>
      <c r="G177" s="7">
        <v>606</v>
      </c>
      <c r="H177" s="7">
        <f t="shared" si="528"/>
        <v>688</v>
      </c>
      <c r="I177" s="7">
        <f t="shared" si="455"/>
        <v>688</v>
      </c>
      <c r="J177" s="7">
        <v>41.8</v>
      </c>
      <c r="K177" s="37">
        <v>43</v>
      </c>
      <c r="L177" s="7">
        <f t="shared" si="498"/>
        <v>16</v>
      </c>
      <c r="M177" s="7">
        <f t="shared" si="499"/>
        <v>16</v>
      </c>
      <c r="N177" s="7">
        <f t="shared" si="500"/>
        <v>344</v>
      </c>
      <c r="O177" s="7">
        <f>1*K177</f>
        <v>43</v>
      </c>
      <c r="P177" s="7">
        <f t="shared" si="501"/>
        <v>56</v>
      </c>
      <c r="Q177" s="7">
        <f t="shared" si="524"/>
        <v>172</v>
      </c>
      <c r="R177" s="7">
        <v>2</v>
      </c>
      <c r="S177" s="7">
        <f t="shared" si="525"/>
        <v>358.66666666666663</v>
      </c>
      <c r="T177" s="7">
        <f t="shared" si="475"/>
        <v>1.5</v>
      </c>
      <c r="U177" s="7">
        <f t="shared" si="459"/>
        <v>1.5</v>
      </c>
      <c r="V177" s="7">
        <f t="shared" si="472"/>
        <v>4</v>
      </c>
      <c r="W177" s="7">
        <f t="shared" si="472"/>
        <v>4</v>
      </c>
      <c r="X177" s="7">
        <f t="shared" si="431"/>
        <v>5</v>
      </c>
      <c r="Y177" s="7">
        <f t="shared" si="352"/>
        <v>96.150923032490965</v>
      </c>
      <c r="Z177" s="7">
        <f t="shared" si="461"/>
        <v>606</v>
      </c>
      <c r="AA177" s="7">
        <v>19</v>
      </c>
      <c r="AB177" s="7">
        <f>(424+424)/2</f>
        <v>424</v>
      </c>
      <c r="AC177" s="7"/>
      <c r="AD177" s="4">
        <f t="shared" si="476"/>
        <v>0.84308759932066202</v>
      </c>
      <c r="AE177" s="7">
        <v>15.9</v>
      </c>
      <c r="AF177" s="10">
        <v>2</v>
      </c>
      <c r="AG177" s="7">
        <v>120</v>
      </c>
      <c r="AH177" s="7">
        <v>4</v>
      </c>
      <c r="AI177" s="7">
        <f t="shared" ref="AI177:AI178" si="530">AF177</f>
        <v>2</v>
      </c>
      <c r="AJ177" s="7">
        <f t="shared" si="473"/>
        <v>9.6</v>
      </c>
      <c r="AK177" s="4">
        <f t="shared" si="504"/>
        <v>688</v>
      </c>
      <c r="AL177" s="4">
        <f t="shared" si="505"/>
        <v>0.16666666666666666</v>
      </c>
      <c r="AM177" s="4">
        <f t="shared" si="506"/>
        <v>401.7112644757263</v>
      </c>
      <c r="AN177" s="4">
        <f t="shared" si="507"/>
        <v>0.71875</v>
      </c>
      <c r="AO177" s="4">
        <v>1.25</v>
      </c>
      <c r="AP177" s="4">
        <f t="shared" si="508"/>
        <v>2.5</v>
      </c>
      <c r="AQ177" s="38">
        <f>AL177*AN177*AO177*AP177*AM177</f>
        <v>150.38019340725427</v>
      </c>
      <c r="AR177" s="38">
        <f t="shared" si="510"/>
        <v>150.38019340725427</v>
      </c>
      <c r="AS177" s="38">
        <f t="shared" si="511"/>
        <v>3.613311826901703</v>
      </c>
      <c r="AT177" s="38">
        <f t="shared" si="450"/>
        <v>150.38019340725435</v>
      </c>
      <c r="AU177" s="38">
        <f t="shared" si="400"/>
        <v>0.99999999999999944</v>
      </c>
      <c r="AV177" s="38">
        <f t="shared" si="328"/>
        <v>1.6677728251139579</v>
      </c>
      <c r="AW177" s="4">
        <f t="shared" si="529"/>
        <v>0</v>
      </c>
      <c r="AX177" s="4">
        <f t="shared" si="379"/>
        <v>544.4456379029765</v>
      </c>
      <c r="AY177" s="4">
        <f t="shared" si="380"/>
        <v>1</v>
      </c>
      <c r="AZ177" s="38">
        <f t="shared" si="438"/>
        <v>250.79999999999998</v>
      </c>
      <c r="BA177" s="4">
        <f t="shared" si="381"/>
        <v>0.44000000000000006</v>
      </c>
      <c r="BB177" s="4">
        <f t="shared" si="401"/>
        <v>125.16805215389431</v>
      </c>
      <c r="BC177" s="4">
        <f t="shared" si="402"/>
        <v>375.96805215389429</v>
      </c>
      <c r="BE177" s="4">
        <f t="shared" si="451"/>
        <v>1.4</v>
      </c>
      <c r="BF177" s="4">
        <f t="shared" si="452"/>
        <v>706.00988095068465</v>
      </c>
      <c r="BH177" s="4">
        <f t="shared" si="463"/>
        <v>240.54787084142137</v>
      </c>
      <c r="BI177" s="4">
        <f t="shared" si="464"/>
        <v>641.65616063635548</v>
      </c>
      <c r="BJ177" s="4">
        <f t="shared" si="465"/>
        <v>2.6674780300149092</v>
      </c>
      <c r="BR177" s="4">
        <f t="shared" si="331"/>
        <v>43</v>
      </c>
      <c r="BV177" s="9"/>
      <c r="BX177" s="9"/>
      <c r="BY177" s="9"/>
      <c r="BZ177" s="9">
        <f t="shared" si="383"/>
        <v>43</v>
      </c>
      <c r="CA177" s="9">
        <f t="shared" si="384"/>
        <v>86</v>
      </c>
      <c r="CB177" s="9">
        <f t="shared" si="403"/>
        <v>1.1095694720678451</v>
      </c>
      <c r="CC177" s="9">
        <v>20</v>
      </c>
      <c r="CD177" s="9">
        <f t="shared" si="518"/>
        <v>0.05</v>
      </c>
      <c r="CE177" s="9">
        <f t="shared" si="404"/>
        <v>0.8</v>
      </c>
      <c r="CF177" s="9">
        <f t="shared" si="385"/>
        <v>0.84984840943171969</v>
      </c>
      <c r="CG177" s="9">
        <f t="shared" si="386"/>
        <v>0.84399999999999997</v>
      </c>
      <c r="CH177" s="9">
        <f t="shared" si="405"/>
        <v>1.6230806409213159</v>
      </c>
      <c r="CI177" s="9">
        <f t="shared" si="406"/>
        <v>3.0993852426076569</v>
      </c>
      <c r="CJ177" s="9">
        <v>1</v>
      </c>
      <c r="CK177" s="9">
        <f t="shared" si="407"/>
        <v>384.32377008334947</v>
      </c>
      <c r="CM177" s="4">
        <f t="shared" si="477"/>
        <v>0.77877380307996769</v>
      </c>
      <c r="CN177" s="4">
        <f t="shared" si="478"/>
        <v>1.1277553972230727</v>
      </c>
      <c r="CO177" s="4">
        <f t="shared" si="479"/>
        <v>0.60055816701751907</v>
      </c>
      <c r="CP177" s="4">
        <f t="shared" si="480"/>
        <v>1.1032364714470975</v>
      </c>
      <c r="CQ177" s="4">
        <f t="shared" si="481"/>
        <v>0.84308759932066202</v>
      </c>
      <c r="CR177" s="4">
        <f t="shared" si="482"/>
        <v>0.88558461738800009</v>
      </c>
      <c r="CS177" s="4">
        <f t="shared" si="483"/>
        <v>0.83618018255731019</v>
      </c>
      <c r="DA177" s="4">
        <f>CM177</f>
        <v>0.77877380307996769</v>
      </c>
      <c r="DB177" s="4">
        <f>CN177</f>
        <v>1.1277553972230727</v>
      </c>
      <c r="DC177" s="4">
        <f>CP177</f>
        <v>1.1032364714470975</v>
      </c>
      <c r="DD177" s="4">
        <f t="shared" ref="DD177:DD178" si="531">CS177</f>
        <v>0.83618018255731019</v>
      </c>
      <c r="DE177" s="4">
        <f>CQ177</f>
        <v>0.84308759932066202</v>
      </c>
      <c r="DF177" s="4">
        <f>CR177</f>
        <v>0.88558461738800009</v>
      </c>
      <c r="DH177" s="4">
        <f t="shared" si="362"/>
        <v>2</v>
      </c>
      <c r="DI177" s="4">
        <f t="shared" si="453"/>
        <v>688</v>
      </c>
      <c r="DL177" s="4">
        <f t="shared" si="485"/>
        <v>3.0965438467699878E-5</v>
      </c>
      <c r="DM177" s="4">
        <f t="shared" si="366"/>
        <v>6.8602160076475114</v>
      </c>
      <c r="DN177" s="4">
        <f t="shared" si="486"/>
        <v>0.33649196660752562</v>
      </c>
      <c r="DO177" s="4">
        <f t="shared" si="487"/>
        <v>4.4373907190807582</v>
      </c>
      <c r="DP177" s="4">
        <f t="shared" si="488"/>
        <v>5.7778067568446536</v>
      </c>
      <c r="DQ177" s="4">
        <f t="shared" si="489"/>
        <v>5.4492167000577307</v>
      </c>
      <c r="DR177" s="38">
        <f t="shared" si="513"/>
        <v>502.91333942243739</v>
      </c>
      <c r="DS177" s="4">
        <f t="shared" si="411"/>
        <v>1.0001309164907113</v>
      </c>
      <c r="DT177" s="4">
        <f t="shared" si="490"/>
        <v>2.2360679774997898</v>
      </c>
      <c r="DU177" s="4">
        <f t="shared" si="441"/>
        <v>150.38019340725435</v>
      </c>
      <c r="DY177" s="4">
        <f t="shared" si="387"/>
        <v>0.85</v>
      </c>
      <c r="DZ177" s="4">
        <f t="shared" si="412"/>
        <v>1</v>
      </c>
      <c r="EA177" s="4">
        <f t="shared" si="514"/>
        <v>0.91092644672796108</v>
      </c>
      <c r="EB177" s="4">
        <f t="shared" si="414"/>
        <v>0.91092644672796108</v>
      </c>
      <c r="ED177" s="4">
        <f t="shared" si="515"/>
        <v>478.77977064526334</v>
      </c>
      <c r="EE177" s="25">
        <f t="shared" si="516"/>
        <v>149.48940227818281</v>
      </c>
      <c r="EH177" s="4">
        <f t="shared" si="517"/>
        <v>6.8602160076475114</v>
      </c>
      <c r="EK177" s="4">
        <f t="shared" si="491"/>
        <v>96.150923032490965</v>
      </c>
      <c r="EL177" s="4">
        <f t="shared" si="492"/>
        <v>2.2360679774997898</v>
      </c>
      <c r="EM177" s="4">
        <f t="shared" si="493"/>
        <v>0.11895921965232313</v>
      </c>
      <c r="EP177" s="4">
        <f t="shared" si="332"/>
        <v>0.11895921965232313</v>
      </c>
      <c r="EQ177" s="4">
        <f t="shared" si="333"/>
        <v>0.33593042422883501</v>
      </c>
      <c r="ER177" s="4">
        <f t="shared" si="371"/>
        <v>4.4344271635788264</v>
      </c>
      <c r="ES177" s="4">
        <f t="shared" si="388"/>
        <v>5.7766720378636887</v>
      </c>
      <c r="ET177" s="4">
        <f t="shared" si="372"/>
        <v>419.84907696750906</v>
      </c>
      <c r="EU177" s="4">
        <f t="shared" si="373"/>
        <v>172</v>
      </c>
      <c r="EV177" s="4">
        <f t="shared" si="415"/>
        <v>3.0965438467699878E-5</v>
      </c>
      <c r="EW177" s="4">
        <f t="shared" si="389"/>
        <v>5.449528768248185</v>
      </c>
      <c r="EX177" s="4">
        <f t="shared" si="466"/>
        <v>502.84750839127594</v>
      </c>
      <c r="FG177" s="23">
        <f t="shared" si="494"/>
        <v>0.8</v>
      </c>
      <c r="FH177" s="23">
        <f t="shared" si="494"/>
        <v>1.2</v>
      </c>
      <c r="FI177" s="23">
        <f t="shared" si="495"/>
        <v>1</v>
      </c>
      <c r="FJ177" s="23">
        <f t="shared" si="496"/>
        <v>1.2</v>
      </c>
      <c r="FK177" s="23">
        <f t="shared" si="496"/>
        <v>1</v>
      </c>
      <c r="FL177" s="23">
        <f t="shared" si="496"/>
        <v>1</v>
      </c>
      <c r="FM177" s="23">
        <f t="shared" si="497"/>
        <v>0</v>
      </c>
      <c r="FN177" s="23"/>
      <c r="FX177" s="4">
        <f t="shared" si="416"/>
        <v>1.25</v>
      </c>
      <c r="FY177" s="4">
        <f t="shared" si="469"/>
        <v>0.49190749660801991</v>
      </c>
      <c r="FZ177" s="4">
        <f t="shared" si="417"/>
        <v>0.3</v>
      </c>
      <c r="GA177" s="4">
        <f t="shared" si="418"/>
        <v>507.0677454986681</v>
      </c>
    </row>
    <row r="178" spans="1:183" ht="12" hidden="1" customHeight="1" x14ac:dyDescent="0.3">
      <c r="A178" s="25">
        <v>160</v>
      </c>
      <c r="B178" s="24" t="s">
        <v>128</v>
      </c>
      <c r="C178" s="24">
        <v>2017</v>
      </c>
      <c r="D178" s="24" t="s">
        <v>309</v>
      </c>
      <c r="E178" s="24"/>
      <c r="F178" s="4" t="s">
        <v>167</v>
      </c>
      <c r="G178" s="7">
        <v>606</v>
      </c>
      <c r="H178" s="7">
        <f t="shared" si="528"/>
        <v>688</v>
      </c>
      <c r="I178" s="7">
        <f t="shared" si="455"/>
        <v>688</v>
      </c>
      <c r="J178" s="7">
        <v>44.3</v>
      </c>
      <c r="K178" s="37">
        <v>43</v>
      </c>
      <c r="L178" s="7">
        <f t="shared" si="498"/>
        <v>16</v>
      </c>
      <c r="M178" s="7">
        <f t="shared" si="499"/>
        <v>16</v>
      </c>
      <c r="N178" s="7">
        <f t="shared" si="500"/>
        <v>430</v>
      </c>
      <c r="O178" s="7">
        <f>2*K178</f>
        <v>86</v>
      </c>
      <c r="P178" s="7">
        <f t="shared" si="501"/>
        <v>56</v>
      </c>
      <c r="Q178" s="7">
        <f t="shared" si="524"/>
        <v>172</v>
      </c>
      <c r="R178" s="7">
        <v>2</v>
      </c>
      <c r="S178" s="7">
        <f t="shared" si="525"/>
        <v>358.66666666666663</v>
      </c>
      <c r="T178" s="7">
        <f t="shared" si="475"/>
        <v>2.5</v>
      </c>
      <c r="U178" s="7">
        <f t="shared" si="459"/>
        <v>2.5</v>
      </c>
      <c r="V178" s="7">
        <f t="shared" si="472"/>
        <v>4</v>
      </c>
      <c r="W178" s="7">
        <f t="shared" si="472"/>
        <v>4</v>
      </c>
      <c r="X178" s="7">
        <f t="shared" si="431"/>
        <v>5</v>
      </c>
      <c r="Y178" s="7">
        <f t="shared" si="352"/>
        <v>96.150923032490965</v>
      </c>
      <c r="Z178" s="7">
        <f t="shared" si="461"/>
        <v>606</v>
      </c>
      <c r="AA178" s="7">
        <v>19</v>
      </c>
      <c r="AB178" s="7">
        <f>(628+628)/2</f>
        <v>628</v>
      </c>
      <c r="AC178" s="7"/>
      <c r="AD178" s="4">
        <f t="shared" si="476"/>
        <v>1.0360993957423605</v>
      </c>
      <c r="AE178" s="7">
        <v>15.9</v>
      </c>
      <c r="AF178" s="10">
        <v>2</v>
      </c>
      <c r="AG178" s="7">
        <v>120</v>
      </c>
      <c r="AH178" s="7">
        <v>4</v>
      </c>
      <c r="AI178" s="7">
        <f t="shared" si="530"/>
        <v>2</v>
      </c>
      <c r="AJ178" s="7">
        <f t="shared" si="473"/>
        <v>9.6</v>
      </c>
      <c r="AK178" s="4">
        <f t="shared" si="504"/>
        <v>688</v>
      </c>
      <c r="AL178" s="4">
        <f t="shared" si="505"/>
        <v>0.20833333333333334</v>
      </c>
      <c r="AM178" s="4">
        <f t="shared" si="506"/>
        <v>413.54972110408767</v>
      </c>
      <c r="AN178" s="4">
        <f t="shared" si="507"/>
        <v>0.73124999999999996</v>
      </c>
      <c r="AO178" s="4">
        <v>1.25</v>
      </c>
      <c r="AP178" s="4">
        <f t="shared" si="508"/>
        <v>2.5</v>
      </c>
      <c r="AQ178" s="38">
        <f t="shared" si="509"/>
        <v>196.88036038890891</v>
      </c>
      <c r="AR178" s="38">
        <f t="shared" si="510"/>
        <v>196.88036038890891</v>
      </c>
      <c r="AS178" s="38">
        <f t="shared" si="511"/>
        <v>3.7559840459059588</v>
      </c>
      <c r="AT178" s="38">
        <f t="shared" si="450"/>
        <v>196.88036038890891</v>
      </c>
      <c r="AU178" s="38">
        <f t="shared" si="400"/>
        <v>1</v>
      </c>
      <c r="AV178" s="38">
        <f t="shared" si="328"/>
        <v>2.2500974659174591</v>
      </c>
      <c r="AW178" s="4">
        <f t="shared" si="529"/>
        <v>0</v>
      </c>
      <c r="AX178" s="4">
        <f t="shared" si="379"/>
        <v>560.49048563515748</v>
      </c>
      <c r="AY178" s="4">
        <f t="shared" si="380"/>
        <v>1</v>
      </c>
      <c r="AZ178" s="38">
        <f t="shared" si="438"/>
        <v>443</v>
      </c>
      <c r="BA178" s="4">
        <f t="shared" si="381"/>
        <v>0.44000000000000006</v>
      </c>
      <c r="BB178" s="4">
        <f t="shared" si="401"/>
        <v>128.85676264752271</v>
      </c>
      <c r="BC178" s="4">
        <f t="shared" si="402"/>
        <v>571.85676264752271</v>
      </c>
      <c r="BE178" s="4">
        <f t="shared" si="451"/>
        <v>1.5</v>
      </c>
      <c r="BF178" s="4">
        <f t="shared" si="452"/>
        <v>778.73146847934686</v>
      </c>
      <c r="BH178" s="4">
        <f t="shared" si="463"/>
        <v>424.89117536981524</v>
      </c>
      <c r="BI178" s="4">
        <f t="shared" si="464"/>
        <v>641.65616063635548</v>
      </c>
      <c r="BJ178" s="4">
        <f t="shared" si="465"/>
        <v>1.5101658914847387</v>
      </c>
      <c r="BR178" s="4">
        <f t="shared" si="331"/>
        <v>86</v>
      </c>
      <c r="BV178" s="9"/>
      <c r="BX178" s="9"/>
      <c r="BY178" s="9"/>
      <c r="BZ178" s="9">
        <f t="shared" si="383"/>
        <v>56</v>
      </c>
      <c r="CA178" s="9">
        <f t="shared" si="384"/>
        <v>86</v>
      </c>
      <c r="CB178" s="9">
        <f t="shared" si="403"/>
        <v>1.2170441953580799</v>
      </c>
      <c r="CC178" s="9">
        <v>20</v>
      </c>
      <c r="CD178" s="9">
        <f t="shared" si="518"/>
        <v>0.05</v>
      </c>
      <c r="CE178" s="9">
        <f t="shared" si="404"/>
        <v>0.8</v>
      </c>
      <c r="CF178" s="9">
        <f t="shared" si="385"/>
        <v>0.84984840943171969</v>
      </c>
      <c r="CG178" s="9">
        <f t="shared" si="386"/>
        <v>0.84399999999999997</v>
      </c>
      <c r="CH178" s="9">
        <f t="shared" si="405"/>
        <v>1.6709129311035618</v>
      </c>
      <c r="CI178" s="9">
        <f t="shared" si="406"/>
        <v>3.370305228631195</v>
      </c>
      <c r="CJ178" s="9">
        <v>1</v>
      </c>
      <c r="CK178" s="9">
        <f t="shared" si="407"/>
        <v>417.91784835026817</v>
      </c>
      <c r="CM178" s="4">
        <f t="shared" si="477"/>
        <v>1.1204472084630297</v>
      </c>
      <c r="CN178" s="4">
        <f t="shared" si="478"/>
        <v>1.0981770978672198</v>
      </c>
      <c r="CO178" s="4">
        <f t="shared" si="479"/>
        <v>0.8064397361857164</v>
      </c>
      <c r="CP178" s="4">
        <f t="shared" si="480"/>
        <v>1.5026876752908058</v>
      </c>
      <c r="CQ178" s="4">
        <f t="shared" si="481"/>
        <v>1.0360993957423605</v>
      </c>
      <c r="CR178" s="4">
        <f t="shared" si="482"/>
        <v>1.0971269956239666</v>
      </c>
      <c r="CS178" s="4">
        <f t="shared" si="483"/>
        <v>0.97651019906997372</v>
      </c>
      <c r="DA178" s="4">
        <f>CM178</f>
        <v>1.1204472084630297</v>
      </c>
      <c r="DB178" s="4">
        <f>CN178</f>
        <v>1.0981770978672198</v>
      </c>
      <c r="DC178" s="4">
        <f>CP178</f>
        <v>1.5026876752908058</v>
      </c>
      <c r="DD178" s="4">
        <f t="shared" si="531"/>
        <v>0.97651019906997372</v>
      </c>
      <c r="DE178" s="4">
        <f>CQ178</f>
        <v>1.0360993957423605</v>
      </c>
      <c r="DF178" s="4">
        <f>CR178</f>
        <v>1.0971269956239666</v>
      </c>
      <c r="DH178" s="4">
        <f t="shared" si="362"/>
        <v>2</v>
      </c>
      <c r="DI178" s="4">
        <f t="shared" si="453"/>
        <v>688</v>
      </c>
      <c r="DL178" s="4">
        <f t="shared" si="485"/>
        <v>3.1473982762568646E-5</v>
      </c>
      <c r="DM178" s="4">
        <f t="shared" si="366"/>
        <v>7.8470966796375476</v>
      </c>
      <c r="DN178" s="4">
        <f t="shared" si="486"/>
        <v>0.41567988815124735</v>
      </c>
      <c r="DO178" s="4">
        <f t="shared" si="487"/>
        <v>5.5234777430767332</v>
      </c>
      <c r="DP178" s="4">
        <f t="shared" si="488"/>
        <v>6.7857839718640527</v>
      </c>
      <c r="DQ178" s="4">
        <f t="shared" si="489"/>
        <v>5.9257420668611704</v>
      </c>
      <c r="DR178" s="38">
        <f t="shared" si="513"/>
        <v>606.11945396420276</v>
      </c>
      <c r="DS178" s="4">
        <f t="shared" si="411"/>
        <v>1.0001387353798858</v>
      </c>
      <c r="DT178" s="4">
        <f t="shared" si="490"/>
        <v>2.2360679774997898</v>
      </c>
      <c r="DU178" s="4">
        <f t="shared" si="441"/>
        <v>196.88036038890891</v>
      </c>
      <c r="DY178" s="4">
        <f t="shared" si="387"/>
        <v>0.85</v>
      </c>
      <c r="DZ178" s="4">
        <f t="shared" si="412"/>
        <v>0.9</v>
      </c>
      <c r="EA178" s="4">
        <f t="shared" si="514"/>
        <v>0.91092644672796108</v>
      </c>
      <c r="EB178" s="4">
        <f t="shared" si="414"/>
        <v>0.81983380205516498</v>
      </c>
      <c r="ED178" s="4">
        <f t="shared" si="515"/>
        <v>572.40410864454111</v>
      </c>
      <c r="EE178" s="25">
        <f t="shared" si="516"/>
        <v>195.7434680219389</v>
      </c>
      <c r="EH178" s="4">
        <f t="shared" si="517"/>
        <v>7.8470966796375476</v>
      </c>
      <c r="EK178" s="4">
        <f t="shared" si="491"/>
        <v>96.150923032490965</v>
      </c>
      <c r="EL178" s="4">
        <f t="shared" si="492"/>
        <v>2.2360679774997898</v>
      </c>
      <c r="EM178" s="4">
        <f t="shared" si="493"/>
        <v>0.15128509455784567</v>
      </c>
      <c r="EP178" s="4">
        <f t="shared" si="332"/>
        <v>0.15128509455784567</v>
      </c>
      <c r="EQ178" s="4">
        <f t="shared" si="333"/>
        <v>0.41498619589012259</v>
      </c>
      <c r="ER178" s="4">
        <f t="shared" si="371"/>
        <v>5.5197888335595016</v>
      </c>
      <c r="ES178" s="4">
        <f t="shared" si="388"/>
        <v>6.784284979316852</v>
      </c>
      <c r="ET178" s="4">
        <f t="shared" si="372"/>
        <v>419.84907696750906</v>
      </c>
      <c r="EU178" s="4">
        <f t="shared" si="373"/>
        <v>172</v>
      </c>
      <c r="EV178" s="4">
        <f t="shared" si="415"/>
        <v>3.1473982762568646E-5</v>
      </c>
      <c r="EW178" s="4">
        <f t="shared" si="389"/>
        <v>5.9262083360532509</v>
      </c>
      <c r="EX178" s="4">
        <f t="shared" si="466"/>
        <v>606.03537541617015</v>
      </c>
      <c r="FG178" s="23">
        <f t="shared" si="494"/>
        <v>1.2</v>
      </c>
      <c r="FH178" s="23">
        <f t="shared" si="494"/>
        <v>1.2</v>
      </c>
      <c r="FI178" s="23">
        <f t="shared" si="495"/>
        <v>1</v>
      </c>
      <c r="FJ178" s="23">
        <f t="shared" si="496"/>
        <v>1.6</v>
      </c>
      <c r="FK178" s="23">
        <f t="shared" si="496"/>
        <v>1.2</v>
      </c>
      <c r="FL178" s="23">
        <f t="shared" si="496"/>
        <v>1.2</v>
      </c>
      <c r="FM178" s="23">
        <f t="shared" si="497"/>
        <v>0</v>
      </c>
      <c r="FN178" s="23"/>
      <c r="FX178" s="4">
        <f t="shared" si="416"/>
        <v>1</v>
      </c>
      <c r="FY178" s="4">
        <f t="shared" si="469"/>
        <v>0.49190749660801991</v>
      </c>
      <c r="FZ178" s="4">
        <f t="shared" si="417"/>
        <v>0.3</v>
      </c>
      <c r="GA178" s="4">
        <f t="shared" si="418"/>
        <v>643.10644230659943</v>
      </c>
    </row>
    <row r="179" spans="1:183" ht="12" hidden="1" customHeight="1" x14ac:dyDescent="0.3">
      <c r="A179" s="25">
        <v>161</v>
      </c>
      <c r="B179" s="24" t="s">
        <v>128</v>
      </c>
      <c r="C179" s="24">
        <v>2017</v>
      </c>
      <c r="D179" s="24" t="s">
        <v>309</v>
      </c>
      <c r="E179" s="24"/>
      <c r="F179" s="4" t="s">
        <v>168</v>
      </c>
      <c r="G179" s="7">
        <v>583</v>
      </c>
      <c r="H179" s="7">
        <f t="shared" ref="H179:H181" si="532">7*K179</f>
        <v>401.09999999999997</v>
      </c>
      <c r="I179" s="7">
        <f t="shared" si="455"/>
        <v>401.09999999999997</v>
      </c>
      <c r="J179" s="7">
        <v>51.4</v>
      </c>
      <c r="K179" s="37">
        <v>57.3</v>
      </c>
      <c r="L179" s="7">
        <f t="shared" si="498"/>
        <v>7</v>
      </c>
      <c r="M179" s="7">
        <f t="shared" si="499"/>
        <v>7</v>
      </c>
      <c r="N179" s="7">
        <f t="shared" si="500"/>
        <v>584.46</v>
      </c>
      <c r="O179" s="7">
        <f t="shared" ref="O179:O188" si="533">1*K179</f>
        <v>57.3</v>
      </c>
      <c r="P179" s="7">
        <f t="shared" si="501"/>
        <v>56</v>
      </c>
      <c r="Q179" s="7">
        <f>(7.2-1)*K179</f>
        <v>355.26</v>
      </c>
      <c r="R179" s="7">
        <v>2</v>
      </c>
      <c r="S179" s="7">
        <f>2/3*H179-0.5*186</f>
        <v>174.39999999999998</v>
      </c>
      <c r="T179" s="7">
        <f t="shared" si="475"/>
        <v>1.5</v>
      </c>
      <c r="U179" s="7">
        <f t="shared" si="459"/>
        <v>1.5</v>
      </c>
      <c r="V179" s="7">
        <f t="shared" si="472"/>
        <v>4</v>
      </c>
      <c r="W179" s="7">
        <f t="shared" si="472"/>
        <v>4</v>
      </c>
      <c r="X179" s="7">
        <f t="shared" si="431"/>
        <v>5</v>
      </c>
      <c r="Y179" s="7">
        <f t="shared" si="352"/>
        <v>128.12669511073796</v>
      </c>
      <c r="Z179" s="7">
        <f t="shared" si="461"/>
        <v>583</v>
      </c>
      <c r="AA179" s="7">
        <v>25</v>
      </c>
      <c r="AB179" s="7">
        <f>(338+330)/2</f>
        <v>334</v>
      </c>
      <c r="AC179" s="7"/>
      <c r="AD179" s="4">
        <f t="shared" si="476"/>
        <v>1.2987627920477962</v>
      </c>
      <c r="AE179" s="7"/>
      <c r="AF179" s="7"/>
      <c r="AG179" s="7">
        <v>1</v>
      </c>
      <c r="AH179" s="7"/>
      <c r="AI179" s="7"/>
      <c r="AJ179" s="7">
        <f t="shared" si="473"/>
        <v>2.9166666666666665</v>
      </c>
      <c r="AK179" s="4">
        <f t="shared" si="504"/>
        <v>401.09999999999997</v>
      </c>
      <c r="AL179" s="4">
        <f t="shared" si="505"/>
        <v>0.48571428571428582</v>
      </c>
      <c r="AM179" s="4">
        <f t="shared" si="506"/>
        <v>111.66869259763561</v>
      </c>
      <c r="AN179" s="4">
        <f t="shared" si="507"/>
        <v>0.74285714285714277</v>
      </c>
      <c r="AO179" s="4">
        <v>1.25</v>
      </c>
      <c r="AP179" s="4">
        <f t="shared" si="508"/>
        <v>2.5</v>
      </c>
      <c r="AQ179" s="38">
        <f t="shared" si="509"/>
        <v>125.91214828610957</v>
      </c>
      <c r="AR179" s="38">
        <f t="shared" si="510"/>
        <v>125.91214828610957</v>
      </c>
      <c r="AS179" s="38">
        <f t="shared" si="511"/>
        <v>4.107079761979672</v>
      </c>
      <c r="AT179" s="38">
        <f t="shared" si="450"/>
        <v>125.91214828610951</v>
      </c>
      <c r="AU179" s="38">
        <f t="shared" si="400"/>
        <v>1.0000000000000004</v>
      </c>
      <c r="AV179" s="38">
        <f t="shared" si="328"/>
        <v>2.4493268060141764</v>
      </c>
      <c r="AW179" s="4">
        <f t="shared" si="529"/>
        <v>0</v>
      </c>
      <c r="AX179" s="4">
        <f t="shared" si="379"/>
        <v>264.13502800535673</v>
      </c>
      <c r="AY179" s="4">
        <f t="shared" si="380"/>
        <v>1</v>
      </c>
      <c r="AZ179" s="38">
        <f t="shared" si="438"/>
        <v>308.39999999999998</v>
      </c>
      <c r="BA179" s="4">
        <f t="shared" si="381"/>
        <v>0.44000000000000006</v>
      </c>
      <c r="BB179" s="4">
        <f t="shared" si="401"/>
        <v>60.724642938431515</v>
      </c>
      <c r="BC179" s="4">
        <f t="shared" si="402"/>
        <v>369.12464293843152</v>
      </c>
      <c r="BE179" s="4">
        <f t="shared" si="451"/>
        <v>1</v>
      </c>
      <c r="BF179" s="4">
        <f t="shared" si="452"/>
        <v>365.63834591027239</v>
      </c>
      <c r="BH179" s="4">
        <f t="shared" si="463"/>
        <v>295.79331486241767</v>
      </c>
      <c r="BI179" s="4">
        <f t="shared" si="464"/>
        <v>450.3525339151019</v>
      </c>
      <c r="BJ179" s="4">
        <f t="shared" si="465"/>
        <v>1.5225243820151051</v>
      </c>
      <c r="BR179" s="4">
        <f t="shared" si="331"/>
        <v>57.3</v>
      </c>
      <c r="BV179" s="9"/>
      <c r="BX179" s="9"/>
      <c r="BY179" s="9"/>
      <c r="BZ179" s="9">
        <f t="shared" si="383"/>
        <v>56</v>
      </c>
      <c r="CA179" s="9">
        <f t="shared" si="384"/>
        <v>177.63</v>
      </c>
      <c r="CB179" s="9">
        <f t="shared" si="403"/>
        <v>1.1754818988273255</v>
      </c>
      <c r="CC179" s="9">
        <v>0</v>
      </c>
      <c r="CD179" s="9">
        <f t="shared" si="518"/>
        <v>0</v>
      </c>
      <c r="CE179" s="9">
        <f t="shared" si="404"/>
        <v>0</v>
      </c>
      <c r="CF179" s="9">
        <f t="shared" si="385"/>
        <v>0.77971450958075206</v>
      </c>
      <c r="CG179" s="9">
        <f t="shared" si="386"/>
        <v>0.87549999999999994</v>
      </c>
      <c r="CH179" s="9">
        <f t="shared" si="405"/>
        <v>1.7129369207551171</v>
      </c>
      <c r="CI179" s="9">
        <f t="shared" si="406"/>
        <v>2.013526344180657</v>
      </c>
      <c r="CJ179" s="9">
        <v>1</v>
      </c>
      <c r="CK179" s="9">
        <f t="shared" si="407"/>
        <v>177.19031828789781</v>
      </c>
      <c r="CM179" s="4">
        <f t="shared" si="477"/>
        <v>1.2645047592598222</v>
      </c>
      <c r="CN179" s="4">
        <f t="shared" si="478"/>
        <v>0.90484340828935073</v>
      </c>
      <c r="CO179" s="4">
        <f t="shared" si="479"/>
        <v>0.913470930321853</v>
      </c>
      <c r="CP179" s="4">
        <f t="shared" si="480"/>
        <v>1.8849788364696016</v>
      </c>
      <c r="CQ179" s="4">
        <f t="shared" si="481"/>
        <v>1.2987627920477962</v>
      </c>
      <c r="CR179" s="4">
        <f t="shared" si="482"/>
        <v>1.3493245422364921</v>
      </c>
      <c r="CS179" s="4">
        <f t="shared" si="483"/>
        <v>1.9012666169183468</v>
      </c>
      <c r="CU179" s="4">
        <f>CM179</f>
        <v>1.2645047592598222</v>
      </c>
      <c r="CV179" s="4">
        <f>CN179</f>
        <v>0.90484340828935073</v>
      </c>
      <c r="CW179" s="4">
        <f>CP179</f>
        <v>1.8849788364696016</v>
      </c>
      <c r="CX179" s="4">
        <f t="shared" ref="CX179" si="534">CS179</f>
        <v>1.9012666169183468</v>
      </c>
      <c r="CY179" s="4">
        <f>CQ179</f>
        <v>1.2987627920477962</v>
      </c>
      <c r="CZ179" s="4">
        <f>CR179</f>
        <v>1.3493245422364921</v>
      </c>
      <c r="DH179" s="4">
        <f t="shared" si="362"/>
        <v>0</v>
      </c>
      <c r="DI179" s="4">
        <f t="shared" si="453"/>
        <v>401.09999999999997</v>
      </c>
      <c r="DL179" s="4">
        <f t="shared" si="485"/>
        <v>1.4407634115999734E-5</v>
      </c>
      <c r="DM179" s="4">
        <f t="shared" si="366"/>
        <v>5.8902461748215584</v>
      </c>
      <c r="DN179" s="4">
        <f t="shared" si="486"/>
        <v>0.30531702664295407</v>
      </c>
      <c r="DO179" s="4">
        <f t="shared" si="487"/>
        <v>3.6646614158187836</v>
      </c>
      <c r="DP179" s="4">
        <f t="shared" si="488"/>
        <v>4.9060021731239356</v>
      </c>
      <c r="DQ179" s="4">
        <f t="shared" si="489"/>
        <v>5.6189312114065979</v>
      </c>
      <c r="DR179" s="38">
        <f t="shared" si="513"/>
        <v>257.16782313525681</v>
      </c>
      <c r="DS179" s="4">
        <f t="shared" si="411"/>
        <v>1.0001256742113467</v>
      </c>
      <c r="DT179" s="4">
        <f t="shared" si="490"/>
        <v>2.2360679774997898</v>
      </c>
      <c r="DU179" s="4">
        <f t="shared" si="441"/>
        <v>125.91214828610951</v>
      </c>
      <c r="DY179" s="4">
        <f t="shared" si="387"/>
        <v>1</v>
      </c>
      <c r="DZ179" s="4">
        <f t="shared" si="412"/>
        <v>1</v>
      </c>
      <c r="EA179" s="4">
        <f t="shared" si="514"/>
        <v>1</v>
      </c>
      <c r="EB179" s="4">
        <f t="shared" si="414"/>
        <v>1</v>
      </c>
      <c r="ED179" s="4">
        <f t="shared" si="515"/>
        <v>247.53125696980081</v>
      </c>
      <c r="EE179" s="25">
        <f t="shared" si="516"/>
        <v>123.83608729854809</v>
      </c>
      <c r="EH179" s="4">
        <f t="shared" si="517"/>
        <v>5.8902461748215584</v>
      </c>
      <c r="EK179" s="4">
        <f t="shared" si="491"/>
        <v>128.12669511073796</v>
      </c>
      <c r="EL179" s="4">
        <f t="shared" si="492"/>
        <v>2.2360679774997898</v>
      </c>
      <c r="EM179" s="4">
        <f t="shared" si="493"/>
        <v>0.1196927510980095</v>
      </c>
      <c r="EP179" s="4">
        <f t="shared" si="332"/>
        <v>0.1196927510980095</v>
      </c>
      <c r="EQ179" s="4">
        <f t="shared" si="333"/>
        <v>0.30480750942884544</v>
      </c>
      <c r="ER179" s="4">
        <f t="shared" si="371"/>
        <v>3.6622139352634062</v>
      </c>
      <c r="ES179" s="4">
        <f t="shared" si="388"/>
        <v>4.9050914787398536</v>
      </c>
      <c r="ET179" s="4">
        <f t="shared" si="372"/>
        <v>172.69830488926203</v>
      </c>
      <c r="EU179" s="4">
        <f t="shared" si="373"/>
        <v>100.27499999999998</v>
      </c>
      <c r="EV179" s="4">
        <f t="shared" si="415"/>
        <v>1.4407634115999731E-5</v>
      </c>
      <c r="EW179" s="4">
        <f t="shared" si="389"/>
        <v>5.619010456162763</v>
      </c>
      <c r="EX179" s="4">
        <f t="shared" si="466"/>
        <v>257.13550783310063</v>
      </c>
      <c r="FG179" s="23">
        <f t="shared" si="494"/>
        <v>1.4</v>
      </c>
      <c r="FH179" s="23">
        <f t="shared" si="494"/>
        <v>1</v>
      </c>
      <c r="FI179" s="23">
        <f t="shared" si="495"/>
        <v>2</v>
      </c>
      <c r="FJ179" s="23">
        <f t="shared" si="496"/>
        <v>2</v>
      </c>
      <c r="FK179" s="23">
        <f t="shared" si="496"/>
        <v>1.4</v>
      </c>
      <c r="FL179" s="23">
        <f t="shared" si="496"/>
        <v>1.4</v>
      </c>
      <c r="FM179" s="23">
        <f t="shared" si="497"/>
        <v>0</v>
      </c>
      <c r="FN179" s="23"/>
      <c r="FX179" s="4">
        <f t="shared" si="416"/>
        <v>1.25</v>
      </c>
      <c r="FY179" s="4">
        <f t="shared" si="469"/>
        <v>0.56666666666666665</v>
      </c>
      <c r="FZ179" s="4">
        <f t="shared" si="417"/>
        <v>0</v>
      </c>
      <c r="GA179" s="4">
        <f t="shared" si="418"/>
        <v>175.67236337498068</v>
      </c>
    </row>
    <row r="180" spans="1:183" ht="12" hidden="1" customHeight="1" x14ac:dyDescent="0.3">
      <c r="A180" s="25">
        <v>162</v>
      </c>
      <c r="B180" s="24" t="s">
        <v>128</v>
      </c>
      <c r="C180" s="24">
        <v>2017</v>
      </c>
      <c r="D180" s="24" t="s">
        <v>309</v>
      </c>
      <c r="E180" s="24"/>
      <c r="F180" s="4" t="s">
        <v>169</v>
      </c>
      <c r="G180" s="7">
        <v>583</v>
      </c>
      <c r="H180" s="7">
        <f t="shared" si="532"/>
        <v>401.09999999999997</v>
      </c>
      <c r="I180" s="7">
        <f t="shared" si="455"/>
        <v>401.09999999999997</v>
      </c>
      <c r="J180" s="7">
        <v>51.4</v>
      </c>
      <c r="K180" s="37">
        <v>57.3</v>
      </c>
      <c r="L180" s="7">
        <f t="shared" si="498"/>
        <v>7</v>
      </c>
      <c r="M180" s="7">
        <f t="shared" si="499"/>
        <v>7</v>
      </c>
      <c r="N180" s="7">
        <f t="shared" si="500"/>
        <v>584.46</v>
      </c>
      <c r="O180" s="7">
        <f t="shared" si="533"/>
        <v>57.3</v>
      </c>
      <c r="P180" s="7">
        <f t="shared" si="501"/>
        <v>56</v>
      </c>
      <c r="Q180" s="7">
        <f t="shared" ref="Q180:Q191" si="535">(7.2-1)*K180</f>
        <v>355.26</v>
      </c>
      <c r="R180" s="7">
        <v>2</v>
      </c>
      <c r="S180" s="7">
        <f t="shared" ref="S180:S184" si="536">2/3*H180-0.5*186</f>
        <v>174.39999999999998</v>
      </c>
      <c r="T180" s="7">
        <f t="shared" si="475"/>
        <v>1.5</v>
      </c>
      <c r="U180" s="7">
        <f t="shared" si="459"/>
        <v>1.5</v>
      </c>
      <c r="V180" s="7">
        <f t="shared" si="472"/>
        <v>4</v>
      </c>
      <c r="W180" s="7">
        <f t="shared" si="472"/>
        <v>4</v>
      </c>
      <c r="X180" s="7">
        <f t="shared" si="431"/>
        <v>5</v>
      </c>
      <c r="Y180" s="7">
        <f t="shared" si="352"/>
        <v>128.12669511073796</v>
      </c>
      <c r="Z180" s="7">
        <f t="shared" si="461"/>
        <v>583</v>
      </c>
      <c r="AA180" s="7">
        <v>25</v>
      </c>
      <c r="AB180" s="7">
        <f>(424+424)/2</f>
        <v>424</v>
      </c>
      <c r="AC180" s="7"/>
      <c r="AD180" s="4">
        <f t="shared" si="476"/>
        <v>1.634175742192578</v>
      </c>
      <c r="AE180" s="7">
        <v>15.9</v>
      </c>
      <c r="AF180" s="7">
        <v>2</v>
      </c>
      <c r="AG180" s="7">
        <v>275</v>
      </c>
      <c r="AH180" s="7">
        <v>4</v>
      </c>
      <c r="AI180" s="7">
        <f>AF180</f>
        <v>2</v>
      </c>
      <c r="AJ180" s="7">
        <f t="shared" si="473"/>
        <v>2.9166666666666665</v>
      </c>
      <c r="AK180" s="4">
        <f t="shared" si="504"/>
        <v>401.09999999999997</v>
      </c>
      <c r="AL180" s="4">
        <f t="shared" si="505"/>
        <v>0.48571428571428582</v>
      </c>
      <c r="AM180" s="4">
        <f t="shared" si="506"/>
        <v>111.66869259763561</v>
      </c>
      <c r="AN180" s="4">
        <f t="shared" si="507"/>
        <v>0.74285714285714277</v>
      </c>
      <c r="AO180" s="4">
        <v>1.25</v>
      </c>
      <c r="AP180" s="4">
        <f t="shared" si="508"/>
        <v>2.5</v>
      </c>
      <c r="AQ180" s="38">
        <f t="shared" si="509"/>
        <v>125.91214828610957</v>
      </c>
      <c r="AR180" s="38">
        <f t="shared" si="510"/>
        <v>125.91214828610957</v>
      </c>
      <c r="AS180" s="38">
        <f t="shared" si="511"/>
        <v>4.107079761979672</v>
      </c>
      <c r="AT180" s="38">
        <f t="shared" si="450"/>
        <v>125.91214828610951</v>
      </c>
      <c r="AU180" s="38">
        <f t="shared" si="400"/>
        <v>1.0000000000000004</v>
      </c>
      <c r="AV180" s="38">
        <f t="shared" ref="AV180:AV243" si="537">AZ180/AT180</f>
        <v>2.4493268060141764</v>
      </c>
      <c r="AW180" s="4">
        <f t="shared" si="529"/>
        <v>0</v>
      </c>
      <c r="AX180" s="4">
        <f t="shared" si="379"/>
        <v>264.13502800535673</v>
      </c>
      <c r="AY180" s="4">
        <f t="shared" si="380"/>
        <v>1</v>
      </c>
      <c r="AZ180" s="38">
        <f t="shared" si="438"/>
        <v>308.39999999999998</v>
      </c>
      <c r="BA180" s="4">
        <f t="shared" si="381"/>
        <v>0.44000000000000006</v>
      </c>
      <c r="BB180" s="4">
        <f t="shared" si="401"/>
        <v>60.724642938431515</v>
      </c>
      <c r="BC180" s="4">
        <f t="shared" si="402"/>
        <v>369.12464293843152</v>
      </c>
      <c r="BE180" s="4">
        <f t="shared" si="451"/>
        <v>1.201612194511575</v>
      </c>
      <c r="BF180" s="4">
        <f t="shared" si="452"/>
        <v>439.35549522682476</v>
      </c>
      <c r="BH180" s="4">
        <f t="shared" si="463"/>
        <v>295.79331486241767</v>
      </c>
      <c r="BI180" s="4">
        <f t="shared" si="464"/>
        <v>450.3525339151019</v>
      </c>
      <c r="BJ180" s="4">
        <f t="shared" si="465"/>
        <v>1.5225243820151051</v>
      </c>
      <c r="BR180" s="4">
        <f t="shared" si="331"/>
        <v>57.3</v>
      </c>
      <c r="BV180" s="9"/>
      <c r="BX180" s="9"/>
      <c r="BY180" s="9"/>
      <c r="BZ180" s="9">
        <f t="shared" si="383"/>
        <v>56</v>
      </c>
      <c r="CA180" s="9">
        <f t="shared" si="384"/>
        <v>177.63</v>
      </c>
      <c r="CB180" s="9">
        <f t="shared" si="403"/>
        <v>1.1754818988273255</v>
      </c>
      <c r="CC180" s="9">
        <v>20</v>
      </c>
      <c r="CD180" s="9">
        <f t="shared" si="518"/>
        <v>2.5201524313946871E-2</v>
      </c>
      <c r="CE180" s="9">
        <f t="shared" si="404"/>
        <v>0.30403048627893742</v>
      </c>
      <c r="CF180" s="9">
        <f t="shared" si="385"/>
        <v>0.77971450958075206</v>
      </c>
      <c r="CG180" s="9">
        <f t="shared" si="386"/>
        <v>0.87549999999999994</v>
      </c>
      <c r="CH180" s="9">
        <f t="shared" si="405"/>
        <v>1.7129369207551171</v>
      </c>
      <c r="CI180" s="9">
        <f t="shared" si="406"/>
        <v>2.5343113891629807</v>
      </c>
      <c r="CJ180" s="9">
        <v>1</v>
      </c>
      <c r="CK180" s="9">
        <f t="shared" si="407"/>
        <v>223.01940224634231</v>
      </c>
      <c r="CM180" s="4">
        <f t="shared" si="477"/>
        <v>1.6052395746292354</v>
      </c>
      <c r="CN180" s="4">
        <f t="shared" si="478"/>
        <v>1.1486634883673195</v>
      </c>
      <c r="CO180" s="4">
        <f t="shared" si="479"/>
        <v>0.96504995295689378</v>
      </c>
      <c r="CP180" s="4">
        <f t="shared" si="480"/>
        <v>1.9011798782047624</v>
      </c>
      <c r="CQ180" s="4">
        <f t="shared" si="481"/>
        <v>1.634175742192578</v>
      </c>
      <c r="CR180" s="4">
        <f t="shared" si="482"/>
        <v>1.6978913823018422</v>
      </c>
      <c r="CS180" s="4">
        <f t="shared" si="483"/>
        <v>1.5788211461636792</v>
      </c>
      <c r="DA180" s="4">
        <f>CM180</f>
        <v>1.6052395746292354</v>
      </c>
      <c r="DB180" s="4">
        <f>CN180</f>
        <v>1.1486634883673195</v>
      </c>
      <c r="DC180" s="4">
        <f>CP180</f>
        <v>1.9011798782047624</v>
      </c>
      <c r="DD180" s="4">
        <f t="shared" ref="DD180" si="538">CS180</f>
        <v>1.5788211461636792</v>
      </c>
      <c r="DE180" s="4">
        <f>CQ180</f>
        <v>1.634175742192578</v>
      </c>
      <c r="DF180" s="4">
        <f>CR180</f>
        <v>1.6978913823018422</v>
      </c>
      <c r="DH180" s="4">
        <f t="shared" si="362"/>
        <v>2</v>
      </c>
      <c r="DI180" s="4">
        <f t="shared" si="453"/>
        <v>401.09999999999997</v>
      </c>
      <c r="DL180" s="4">
        <f t="shared" si="485"/>
        <v>1.4407634115999734E-5</v>
      </c>
      <c r="DM180" s="4">
        <f t="shared" si="366"/>
        <v>5.99454394365008</v>
      </c>
      <c r="DN180" s="4">
        <f t="shared" si="486"/>
        <v>0.30531702664295407</v>
      </c>
      <c r="DO180" s="4">
        <f t="shared" si="487"/>
        <v>3.7295510652218411</v>
      </c>
      <c r="DP180" s="4">
        <f t="shared" si="488"/>
        <v>4.9928720704657401</v>
      </c>
      <c r="DQ180" s="4">
        <f t="shared" si="489"/>
        <v>5.7135776207412556</v>
      </c>
      <c r="DR180" s="38">
        <f t="shared" si="513"/>
        <v>259.45801853056395</v>
      </c>
      <c r="DS180" s="4">
        <f t="shared" si="411"/>
        <v>1.0001267324911889</v>
      </c>
      <c r="DT180" s="4">
        <f t="shared" si="490"/>
        <v>2.2360679774997898</v>
      </c>
      <c r="DU180" s="4">
        <f t="shared" si="441"/>
        <v>125.91214828610951</v>
      </c>
      <c r="DY180" s="4">
        <f t="shared" si="387"/>
        <v>1</v>
      </c>
      <c r="DZ180" s="4">
        <f t="shared" si="412"/>
        <v>1</v>
      </c>
      <c r="EA180" s="4">
        <f t="shared" si="514"/>
        <v>0.9826012170719004</v>
      </c>
      <c r="EB180" s="4">
        <f t="shared" si="414"/>
        <v>0.9826012170719004</v>
      </c>
      <c r="ED180" s="4">
        <f t="shared" si="515"/>
        <v>249.72151011519978</v>
      </c>
      <c r="EE180" s="25">
        <f t="shared" si="516"/>
        <v>123.83608729854809</v>
      </c>
      <c r="EH180" s="4">
        <f t="shared" si="517"/>
        <v>5.99454394365008</v>
      </c>
      <c r="EK180" s="4">
        <f t="shared" si="491"/>
        <v>128.12669511073796</v>
      </c>
      <c r="EL180" s="4">
        <f t="shared" si="492"/>
        <v>2.2360679774997898</v>
      </c>
      <c r="EM180" s="4">
        <f t="shared" si="493"/>
        <v>0.1196927510980095</v>
      </c>
      <c r="EP180" s="4">
        <f t="shared" si="332"/>
        <v>0.1196927510980095</v>
      </c>
      <c r="EQ180" s="4">
        <f t="shared" si="333"/>
        <v>0.30480750942884544</v>
      </c>
      <c r="ER180" s="4">
        <f t="shared" si="371"/>
        <v>3.7270602474690695</v>
      </c>
      <c r="ES180" s="4">
        <f t="shared" si="388"/>
        <v>4.9919452505430089</v>
      </c>
      <c r="ET180" s="4">
        <f t="shared" si="372"/>
        <v>172.69830488926203</v>
      </c>
      <c r="EU180" s="4">
        <f t="shared" si="373"/>
        <v>100.27499999999998</v>
      </c>
      <c r="EV180" s="4">
        <f t="shared" si="415"/>
        <v>1.4407634115999731E-5</v>
      </c>
      <c r="EW180" s="4">
        <f t="shared" si="389"/>
        <v>5.7136596844338339</v>
      </c>
      <c r="EX180" s="4">
        <f t="shared" si="466"/>
        <v>259.42514093617609</v>
      </c>
      <c r="FG180" s="23">
        <f t="shared" si="494"/>
        <v>1.8</v>
      </c>
      <c r="FH180" s="23">
        <f t="shared" si="494"/>
        <v>1.2</v>
      </c>
      <c r="FI180" s="23">
        <f t="shared" si="495"/>
        <v>1.6</v>
      </c>
      <c r="FJ180" s="23">
        <f t="shared" si="496"/>
        <v>2</v>
      </c>
      <c r="FK180" s="23">
        <f t="shared" si="496"/>
        <v>1.8</v>
      </c>
      <c r="FL180" s="23">
        <f t="shared" si="496"/>
        <v>1.8</v>
      </c>
      <c r="FM180" s="23">
        <f t="shared" si="497"/>
        <v>0</v>
      </c>
      <c r="FN180" s="23"/>
      <c r="FX180" s="4">
        <f t="shared" si="416"/>
        <v>1.25</v>
      </c>
      <c r="FY180" s="4">
        <f t="shared" si="469"/>
        <v>0.37067917575318227</v>
      </c>
      <c r="FZ180" s="4">
        <f t="shared" si="417"/>
        <v>0.3</v>
      </c>
      <c r="GA180" s="4">
        <f t="shared" si="418"/>
        <v>268.55480180909814</v>
      </c>
    </row>
    <row r="181" spans="1:183" ht="12" hidden="1" customHeight="1" x14ac:dyDescent="0.3">
      <c r="A181" s="25">
        <v>163</v>
      </c>
      <c r="B181" s="24" t="s">
        <v>128</v>
      </c>
      <c r="C181" s="24">
        <v>2017</v>
      </c>
      <c r="D181" s="24" t="s">
        <v>309</v>
      </c>
      <c r="E181" s="24"/>
      <c r="F181" s="4" t="s">
        <v>170</v>
      </c>
      <c r="G181" s="7">
        <v>583</v>
      </c>
      <c r="H181" s="7">
        <f t="shared" si="532"/>
        <v>401.09999999999997</v>
      </c>
      <c r="I181" s="7">
        <f t="shared" si="455"/>
        <v>401.09999999999997</v>
      </c>
      <c r="J181" s="7">
        <v>76.900000000000006</v>
      </c>
      <c r="K181" s="37">
        <v>57.3</v>
      </c>
      <c r="L181" s="7">
        <f t="shared" si="498"/>
        <v>7</v>
      </c>
      <c r="M181" s="7">
        <f t="shared" si="499"/>
        <v>7</v>
      </c>
      <c r="N181" s="7">
        <f t="shared" si="500"/>
        <v>584.46</v>
      </c>
      <c r="O181" s="7">
        <f t="shared" si="533"/>
        <v>57.3</v>
      </c>
      <c r="P181" s="7">
        <f t="shared" si="501"/>
        <v>56</v>
      </c>
      <c r="Q181" s="7">
        <f t="shared" si="535"/>
        <v>355.26</v>
      </c>
      <c r="R181" s="7">
        <v>2</v>
      </c>
      <c r="S181" s="7">
        <f t="shared" si="536"/>
        <v>174.39999999999998</v>
      </c>
      <c r="T181" s="7">
        <f t="shared" si="475"/>
        <v>1.5</v>
      </c>
      <c r="U181" s="7">
        <f t="shared" si="459"/>
        <v>1.5</v>
      </c>
      <c r="V181" s="7">
        <f t="shared" si="472"/>
        <v>4</v>
      </c>
      <c r="W181" s="7">
        <f t="shared" si="472"/>
        <v>4</v>
      </c>
      <c r="X181" s="7">
        <f t="shared" si="431"/>
        <v>5</v>
      </c>
      <c r="Y181" s="7">
        <f t="shared" si="352"/>
        <v>128.12669511073796</v>
      </c>
      <c r="Z181" s="7">
        <f t="shared" si="461"/>
        <v>583</v>
      </c>
      <c r="AA181" s="7">
        <v>25</v>
      </c>
      <c r="AB181" s="7">
        <f>(405+388)/2</f>
        <v>396.5</v>
      </c>
      <c r="AC181" s="7"/>
      <c r="AD181" s="4">
        <f t="shared" si="476"/>
        <v>1.2828934748820127</v>
      </c>
      <c r="AE181" s="7"/>
      <c r="AF181" s="7"/>
      <c r="AG181" s="7">
        <v>1</v>
      </c>
      <c r="AH181" s="7"/>
      <c r="AI181" s="7"/>
      <c r="AJ181" s="7">
        <f t="shared" si="473"/>
        <v>2.9166666666666665</v>
      </c>
      <c r="AK181" s="4">
        <f t="shared" si="504"/>
        <v>401.09999999999997</v>
      </c>
      <c r="AL181" s="4">
        <f t="shared" si="505"/>
        <v>0.48571428571428582</v>
      </c>
      <c r="AM181" s="4">
        <f t="shared" si="506"/>
        <v>136.58815600212856</v>
      </c>
      <c r="AN181" s="4">
        <f t="shared" si="507"/>
        <v>0.74285714285714277</v>
      </c>
      <c r="AO181" s="4">
        <v>1.25</v>
      </c>
      <c r="AP181" s="4">
        <f t="shared" si="508"/>
        <v>2.5</v>
      </c>
      <c r="AQ181" s="38">
        <f t="shared" si="509"/>
        <v>154.01011467586949</v>
      </c>
      <c r="AR181" s="38">
        <f t="shared" si="510"/>
        <v>154.01011467586949</v>
      </c>
      <c r="AS181" s="38">
        <f t="shared" si="511"/>
        <v>4.7705058587582929</v>
      </c>
      <c r="AT181" s="38">
        <f t="shared" si="450"/>
        <v>154.01011467586937</v>
      </c>
      <c r="AU181" s="38">
        <f t="shared" si="400"/>
        <v>1.0000000000000007</v>
      </c>
      <c r="AV181" s="38">
        <f t="shared" si="537"/>
        <v>2.9959071257823897</v>
      </c>
      <c r="AW181" s="4">
        <f t="shared" si="529"/>
        <v>0</v>
      </c>
      <c r="AX181" s="4">
        <f t="shared" si="379"/>
        <v>323.0781660605395</v>
      </c>
      <c r="AY181" s="4">
        <f t="shared" si="380"/>
        <v>1</v>
      </c>
      <c r="AZ181" s="38">
        <f t="shared" si="438"/>
        <v>461.40000000000003</v>
      </c>
      <c r="BA181" s="4">
        <f t="shared" si="381"/>
        <v>0.44000000000000006</v>
      </c>
      <c r="BB181" s="4">
        <f t="shared" si="401"/>
        <v>74.275670377318036</v>
      </c>
      <c r="BC181" s="4">
        <f t="shared" si="402"/>
        <v>535.67567037731806</v>
      </c>
      <c r="BE181" s="4">
        <f t="shared" si="451"/>
        <v>1</v>
      </c>
      <c r="BF181" s="4">
        <f t="shared" si="452"/>
        <v>447.2324898752326</v>
      </c>
      <c r="BH181" s="4">
        <f t="shared" si="463"/>
        <v>442.53902554318915</v>
      </c>
      <c r="BI181" s="4">
        <f t="shared" si="464"/>
        <v>450.3525339151019</v>
      </c>
      <c r="BJ181" s="4">
        <f t="shared" si="465"/>
        <v>1.0176560888891599</v>
      </c>
      <c r="BR181" s="4">
        <f t="shared" ref="BR181:BR243" si="539">IF(Q181=0,O181,MIN(Q181/2,O181))</f>
        <v>57.3</v>
      </c>
      <c r="BV181" s="9"/>
      <c r="BX181" s="9"/>
      <c r="BY181" s="9"/>
      <c r="BZ181" s="9">
        <f t="shared" si="383"/>
        <v>56</v>
      </c>
      <c r="CA181" s="9">
        <f t="shared" si="384"/>
        <v>177.63</v>
      </c>
      <c r="CB181" s="9">
        <f t="shared" si="403"/>
        <v>1.1754818988273255</v>
      </c>
      <c r="CC181" s="9">
        <v>0</v>
      </c>
      <c r="CD181" s="9">
        <f t="shared" si="518"/>
        <v>0</v>
      </c>
      <c r="CE181" s="9">
        <f t="shared" si="404"/>
        <v>0</v>
      </c>
      <c r="CF181" s="9">
        <f t="shared" si="385"/>
        <v>0.77971450958075206</v>
      </c>
      <c r="CG181" s="9">
        <f t="shared" si="386"/>
        <v>0.87549999999999994</v>
      </c>
      <c r="CH181" s="9">
        <f t="shared" si="405"/>
        <v>2.0951879162491376</v>
      </c>
      <c r="CI181" s="9">
        <f t="shared" si="406"/>
        <v>2.4628554701926038</v>
      </c>
      <c r="CJ181" s="9">
        <v>1</v>
      </c>
      <c r="CK181" s="9">
        <f t="shared" si="407"/>
        <v>216.73128137694914</v>
      </c>
      <c r="CM181" s="4">
        <f t="shared" si="477"/>
        <v>1.2272571830982304</v>
      </c>
      <c r="CN181" s="4">
        <f t="shared" si="478"/>
        <v>0.74018668744226179</v>
      </c>
      <c r="CO181" s="4">
        <f t="shared" si="479"/>
        <v>0.88656349656218902</v>
      </c>
      <c r="CP181" s="4">
        <f t="shared" si="480"/>
        <v>1.8294544169209646</v>
      </c>
      <c r="CQ181" s="4">
        <f t="shared" si="481"/>
        <v>1.2828934748820127</v>
      </c>
      <c r="CR181" s="4">
        <f t="shared" si="482"/>
        <v>1.3095784928162608</v>
      </c>
      <c r="CS181" s="4">
        <f t="shared" si="483"/>
        <v>2.0407929363744293</v>
      </c>
      <c r="CU181" s="4">
        <f>CM181</f>
        <v>1.2272571830982304</v>
      </c>
      <c r="CV181" s="4">
        <f>CN181</f>
        <v>0.74018668744226179</v>
      </c>
      <c r="CW181" s="4">
        <f>CP181</f>
        <v>1.8294544169209646</v>
      </c>
      <c r="CX181" s="4">
        <f t="shared" ref="CX181:CX182" si="540">CS181</f>
        <v>2.0407929363744293</v>
      </c>
      <c r="CY181" s="4">
        <f>CQ181</f>
        <v>1.2828934748820127</v>
      </c>
      <c r="CZ181" s="4">
        <f>CR181</f>
        <v>1.3095784928162608</v>
      </c>
      <c r="DH181" s="4">
        <f t="shared" si="362"/>
        <v>0</v>
      </c>
      <c r="DI181" s="4">
        <f t="shared" si="453"/>
        <v>401.09999999999997</v>
      </c>
      <c r="DL181" s="4">
        <f t="shared" si="485"/>
        <v>1.6837038197690092E-5</v>
      </c>
      <c r="DM181" s="4">
        <f t="shared" si="366"/>
        <v>7.2046859751136969</v>
      </c>
      <c r="DN181" s="4">
        <f t="shared" si="486"/>
        <v>0.24961427250313586</v>
      </c>
      <c r="DO181" s="4">
        <f t="shared" si="487"/>
        <v>4.1354504528865519</v>
      </c>
      <c r="DP181" s="4">
        <f t="shared" si="488"/>
        <v>5.875472052633139</v>
      </c>
      <c r="DQ181" s="4">
        <f t="shared" si="489"/>
        <v>6.7478813180619772</v>
      </c>
      <c r="DR181" s="38">
        <f t="shared" si="513"/>
        <v>309.0669706901939</v>
      </c>
      <c r="DS181" s="4">
        <f t="shared" si="411"/>
        <v>1.0001148015514811</v>
      </c>
      <c r="DT181" s="4">
        <f t="shared" si="490"/>
        <v>2.2360679774997898</v>
      </c>
      <c r="DU181" s="4">
        <f t="shared" si="441"/>
        <v>154.01011467586937</v>
      </c>
      <c r="DY181" s="4">
        <f t="shared" si="387"/>
        <v>1</v>
      </c>
      <c r="DZ181" s="4">
        <f t="shared" si="412"/>
        <v>1</v>
      </c>
      <c r="EA181" s="4">
        <f t="shared" si="514"/>
        <v>1</v>
      </c>
      <c r="EB181" s="4">
        <f t="shared" si="414"/>
        <v>1</v>
      </c>
      <c r="ED181" s="4">
        <f t="shared" si="515"/>
        <v>302.76917510100753</v>
      </c>
      <c r="EE181" s="25">
        <f t="shared" si="516"/>
        <v>151.4707696236199</v>
      </c>
      <c r="EH181" s="4">
        <f t="shared" si="517"/>
        <v>7.2046859751136969</v>
      </c>
      <c r="EK181" s="4">
        <f t="shared" si="491"/>
        <v>128.12669511073796</v>
      </c>
      <c r="EL181" s="4">
        <f t="shared" si="492"/>
        <v>2.2360679774997898</v>
      </c>
      <c r="EM181" s="4">
        <f t="shared" si="493"/>
        <v>0.11969275109800948</v>
      </c>
      <c r="EP181" s="4">
        <f t="shared" ref="EP181:EP243" si="541">EM181</f>
        <v>0.11969275109800948</v>
      </c>
      <c r="EQ181" s="4">
        <f t="shared" ref="EQ181:EQ244" si="542">MIN(0.999, EP181/(0.3*(J181/30)^0.5))</f>
        <v>0.24919771280410444</v>
      </c>
      <c r="ER181" s="4">
        <f t="shared" si="371"/>
        <v>4.1326885511928575</v>
      </c>
      <c r="ES181" s="4">
        <f t="shared" si="388"/>
        <v>5.8745058887859321</v>
      </c>
      <c r="ET181" s="4">
        <f t="shared" si="372"/>
        <v>172.69830488926203</v>
      </c>
      <c r="EU181" s="4">
        <f t="shared" si="373"/>
        <v>100.27499999999998</v>
      </c>
      <c r="EV181" s="4">
        <f t="shared" si="415"/>
        <v>1.6837038197690092E-5</v>
      </c>
      <c r="EW181" s="4">
        <f t="shared" si="389"/>
        <v>6.7480061342721207</v>
      </c>
      <c r="EX181" s="4">
        <f t="shared" si="466"/>
        <v>309.03149339529557</v>
      </c>
      <c r="FG181" s="23">
        <f t="shared" si="494"/>
        <v>1.4</v>
      </c>
      <c r="FH181" s="23">
        <f t="shared" si="494"/>
        <v>0.8</v>
      </c>
      <c r="FI181" s="23">
        <f t="shared" si="495"/>
        <v>2.2000000000000002</v>
      </c>
      <c r="FJ181" s="23">
        <f t="shared" si="496"/>
        <v>2</v>
      </c>
      <c r="FK181" s="23">
        <f t="shared" si="496"/>
        <v>1.4</v>
      </c>
      <c r="FL181" s="23">
        <f t="shared" si="496"/>
        <v>1.4</v>
      </c>
      <c r="FM181" s="23">
        <f t="shared" si="497"/>
        <v>0</v>
      </c>
      <c r="FN181" s="23"/>
      <c r="FX181" s="4">
        <f t="shared" si="416"/>
        <v>1.25</v>
      </c>
      <c r="FY181" s="4">
        <f t="shared" si="469"/>
        <v>0.56666666666666665</v>
      </c>
      <c r="FZ181" s="4">
        <f t="shared" si="417"/>
        <v>0</v>
      </c>
      <c r="GA181" s="4">
        <f t="shared" si="418"/>
        <v>194.28722676020334</v>
      </c>
    </row>
    <row r="182" spans="1:183" ht="12" hidden="1" customHeight="1" x14ac:dyDescent="0.3">
      <c r="A182" s="25">
        <v>164</v>
      </c>
      <c r="B182" s="24" t="s">
        <v>128</v>
      </c>
      <c r="C182" s="24">
        <v>2017</v>
      </c>
      <c r="D182" s="24" t="s">
        <v>309</v>
      </c>
      <c r="E182" s="24"/>
      <c r="F182" s="4" t="s">
        <v>171</v>
      </c>
      <c r="G182" s="7">
        <v>583</v>
      </c>
      <c r="H182" s="7">
        <f>10*K182</f>
        <v>573</v>
      </c>
      <c r="I182" s="7">
        <f t="shared" si="455"/>
        <v>573</v>
      </c>
      <c r="J182" s="7">
        <v>51.4</v>
      </c>
      <c r="K182" s="37">
        <v>57.3</v>
      </c>
      <c r="L182" s="7">
        <f t="shared" si="498"/>
        <v>10</v>
      </c>
      <c r="M182" s="7">
        <f t="shared" si="499"/>
        <v>10</v>
      </c>
      <c r="N182" s="7">
        <f t="shared" si="500"/>
        <v>584.46</v>
      </c>
      <c r="O182" s="7">
        <f t="shared" si="533"/>
        <v>57.3</v>
      </c>
      <c r="P182" s="7">
        <f t="shared" si="501"/>
        <v>56</v>
      </c>
      <c r="Q182" s="7">
        <f t="shared" si="535"/>
        <v>355.26</v>
      </c>
      <c r="R182" s="7">
        <v>2</v>
      </c>
      <c r="S182" s="7">
        <f t="shared" si="536"/>
        <v>289</v>
      </c>
      <c r="T182" s="7">
        <f t="shared" si="475"/>
        <v>1.5</v>
      </c>
      <c r="U182" s="7">
        <f t="shared" si="459"/>
        <v>1.5</v>
      </c>
      <c r="V182" s="7">
        <f t="shared" si="472"/>
        <v>4</v>
      </c>
      <c r="W182" s="7">
        <f t="shared" si="472"/>
        <v>4</v>
      </c>
      <c r="X182" s="7">
        <f t="shared" si="431"/>
        <v>5</v>
      </c>
      <c r="Y182" s="7">
        <f t="shared" si="352"/>
        <v>128.12669511073796</v>
      </c>
      <c r="Z182" s="7">
        <f t="shared" si="461"/>
        <v>583</v>
      </c>
      <c r="AA182" s="7">
        <v>25</v>
      </c>
      <c r="AB182" s="7">
        <f>(354+380)/2</f>
        <v>367</v>
      </c>
      <c r="AC182" s="7"/>
      <c r="AD182" s="4">
        <f t="shared" si="476"/>
        <v>1.0755836101514773</v>
      </c>
      <c r="AE182" s="7"/>
      <c r="AF182" s="7"/>
      <c r="AG182" s="7">
        <v>1</v>
      </c>
      <c r="AH182" s="7"/>
      <c r="AI182" s="7"/>
      <c r="AJ182" s="7">
        <f t="shared" si="473"/>
        <v>4.166666666666667</v>
      </c>
      <c r="AK182" s="4">
        <f t="shared" si="504"/>
        <v>573</v>
      </c>
      <c r="AL182" s="4">
        <f t="shared" si="505"/>
        <v>0.34</v>
      </c>
      <c r="AM182" s="4">
        <f t="shared" si="506"/>
        <v>190.67088022808852</v>
      </c>
      <c r="AN182" s="4">
        <f t="shared" si="507"/>
        <v>0.73</v>
      </c>
      <c r="AO182" s="4">
        <v>1.25</v>
      </c>
      <c r="AP182" s="4">
        <f t="shared" si="508"/>
        <v>2.5</v>
      </c>
      <c r="AQ182" s="38">
        <f t="shared" si="509"/>
        <v>147.88910147691115</v>
      </c>
      <c r="AR182" s="38">
        <f t="shared" si="510"/>
        <v>147.88910147691115</v>
      </c>
      <c r="AS182" s="38">
        <f t="shared" si="511"/>
        <v>4.107079761979672</v>
      </c>
      <c r="AT182" s="38">
        <f t="shared" si="450"/>
        <v>147.88910147691104</v>
      </c>
      <c r="AU182" s="38">
        <f t="shared" si="400"/>
        <v>1.0000000000000007</v>
      </c>
      <c r="AV182" s="38">
        <f t="shared" si="537"/>
        <v>2.0853463637288274</v>
      </c>
      <c r="AW182" s="4">
        <f t="shared" si="529"/>
        <v>0</v>
      </c>
      <c r="AX182" s="4">
        <f t="shared" si="379"/>
        <v>377.33575429336673</v>
      </c>
      <c r="AY182" s="4">
        <f t="shared" si="380"/>
        <v>1</v>
      </c>
      <c r="AZ182" s="38">
        <f t="shared" si="438"/>
        <v>308.39999999999998</v>
      </c>
      <c r="BA182" s="4">
        <f t="shared" si="381"/>
        <v>0.44000000000000006</v>
      </c>
      <c r="BB182" s="4">
        <f t="shared" si="401"/>
        <v>86.749489912045021</v>
      </c>
      <c r="BC182" s="4">
        <f t="shared" si="402"/>
        <v>395.149489912045</v>
      </c>
      <c r="BE182" s="4">
        <f t="shared" si="451"/>
        <v>1</v>
      </c>
      <c r="BF182" s="4">
        <f t="shared" si="452"/>
        <v>430.16275989443812</v>
      </c>
      <c r="BH182" s="4">
        <f t="shared" si="463"/>
        <v>295.79331486241767</v>
      </c>
      <c r="BI182" s="4">
        <f t="shared" si="464"/>
        <v>450.3525339151019</v>
      </c>
      <c r="BJ182" s="4">
        <f t="shared" si="465"/>
        <v>1.5225243820151051</v>
      </c>
      <c r="BR182" s="4">
        <f t="shared" si="539"/>
        <v>57.3</v>
      </c>
      <c r="BV182" s="9"/>
      <c r="BX182" s="9"/>
      <c r="BY182" s="9"/>
      <c r="BZ182" s="9">
        <f t="shared" si="383"/>
        <v>56</v>
      </c>
      <c r="CA182" s="9">
        <f t="shared" si="384"/>
        <v>177.63</v>
      </c>
      <c r="CB182" s="9">
        <f t="shared" si="403"/>
        <v>1.1754818988273255</v>
      </c>
      <c r="CC182" s="9">
        <v>0</v>
      </c>
      <c r="CD182" s="9">
        <f t="shared" si="518"/>
        <v>0</v>
      </c>
      <c r="CE182" s="9">
        <f t="shared" si="404"/>
        <v>0</v>
      </c>
      <c r="CF182" s="9">
        <f t="shared" si="385"/>
        <v>0.77971450958075206</v>
      </c>
      <c r="CG182" s="9">
        <f t="shared" si="386"/>
        <v>0.87549999999999994</v>
      </c>
      <c r="CH182" s="9">
        <f t="shared" si="405"/>
        <v>1.7129369207551171</v>
      </c>
      <c r="CI182" s="9">
        <f t="shared" si="406"/>
        <v>2.013526344180657</v>
      </c>
      <c r="CJ182" s="9">
        <v>1</v>
      </c>
      <c r="CK182" s="9">
        <f t="shared" si="407"/>
        <v>201.35263441806569</v>
      </c>
      <c r="CM182" s="4">
        <f t="shared" si="477"/>
        <v>0.97260860076002498</v>
      </c>
      <c r="CN182" s="4">
        <f t="shared" si="478"/>
        <v>0.92876242882583326</v>
      </c>
      <c r="CO182" s="4">
        <f t="shared" si="479"/>
        <v>0.85316543926317967</v>
      </c>
      <c r="CP182" s="4">
        <f t="shared" si="480"/>
        <v>1.8226729491803071</v>
      </c>
      <c r="CQ182" s="4">
        <f t="shared" si="481"/>
        <v>1.0755836101514773</v>
      </c>
      <c r="CR182" s="4">
        <f t="shared" si="482"/>
        <v>1.1362985571149462</v>
      </c>
      <c r="CS182" s="4">
        <f t="shared" si="483"/>
        <v>1.4623814188213276</v>
      </c>
      <c r="CU182" s="4">
        <f>CM182</f>
        <v>0.97260860076002498</v>
      </c>
      <c r="CV182" s="4">
        <f>CN182</f>
        <v>0.92876242882583326</v>
      </c>
      <c r="CW182" s="4">
        <f>CP182</f>
        <v>1.8226729491803071</v>
      </c>
      <c r="CX182" s="4">
        <f t="shared" si="540"/>
        <v>1.4623814188213276</v>
      </c>
      <c r="CY182" s="4">
        <f>CQ182</f>
        <v>1.0755836101514773</v>
      </c>
      <c r="CZ182" s="4">
        <f>CR182</f>
        <v>1.1362985571149462</v>
      </c>
      <c r="DH182" s="4">
        <f t="shared" si="362"/>
        <v>0</v>
      </c>
      <c r="DI182" s="4">
        <f t="shared" si="453"/>
        <v>573</v>
      </c>
      <c r="DL182" s="4">
        <f t="shared" si="485"/>
        <v>2.0582334451428195E-5</v>
      </c>
      <c r="DM182" s="4">
        <f t="shared" si="366"/>
        <v>5.8902461748215584</v>
      </c>
      <c r="DN182" s="4">
        <f t="shared" si="486"/>
        <v>0.35860765899432934</v>
      </c>
      <c r="DO182" s="4">
        <f t="shared" si="487"/>
        <v>3.9082404040937933</v>
      </c>
      <c r="DP182" s="4">
        <f t="shared" si="488"/>
        <v>4.9988583382791711</v>
      </c>
      <c r="DQ182" s="4">
        <f t="shared" si="489"/>
        <v>5.3110039929911856</v>
      </c>
      <c r="DR182" s="38">
        <f t="shared" si="513"/>
        <v>341.21010820192248</v>
      </c>
      <c r="DS182" s="4">
        <f t="shared" si="411"/>
        <v>1.0001267681888111</v>
      </c>
      <c r="DT182" s="4">
        <f t="shared" si="490"/>
        <v>2.2360679774997898</v>
      </c>
      <c r="DU182" s="4">
        <f t="shared" si="441"/>
        <v>147.88910147691104</v>
      </c>
      <c r="DY182" s="4">
        <f t="shared" si="387"/>
        <v>1</v>
      </c>
      <c r="DZ182" s="4">
        <f t="shared" si="412"/>
        <v>1</v>
      </c>
      <c r="EA182" s="4">
        <f t="shared" si="514"/>
        <v>1</v>
      </c>
      <c r="EB182" s="4">
        <f t="shared" si="414"/>
        <v>1</v>
      </c>
      <c r="ED182" s="4">
        <f t="shared" si="515"/>
        <v>322.97849689417046</v>
      </c>
      <c r="EE182" s="25">
        <f t="shared" si="516"/>
        <v>146.27111164952376</v>
      </c>
      <c r="EH182" s="4">
        <f t="shared" si="517"/>
        <v>5.8902461748215584</v>
      </c>
      <c r="EK182" s="4">
        <f t="shared" si="491"/>
        <v>128.12669511073796</v>
      </c>
      <c r="EL182" s="4">
        <f t="shared" si="492"/>
        <v>2.2360679774997898</v>
      </c>
      <c r="EM182" s="4">
        <f t="shared" si="493"/>
        <v>0.14058415851154979</v>
      </c>
      <c r="EP182" s="4">
        <f t="shared" si="541"/>
        <v>0.14058415851154979</v>
      </c>
      <c r="EQ182" s="4">
        <f t="shared" si="542"/>
        <v>0.3580092096468499</v>
      </c>
      <c r="ER182" s="4">
        <f t="shared" si="371"/>
        <v>3.9056302468897819</v>
      </c>
      <c r="ES182" s="4">
        <f t="shared" si="388"/>
        <v>4.9978404724563692</v>
      </c>
      <c r="ET182" s="4">
        <f t="shared" si="372"/>
        <v>301.62330488926204</v>
      </c>
      <c r="EU182" s="4">
        <f t="shared" si="373"/>
        <v>143.25</v>
      </c>
      <c r="EV182" s="4">
        <f t="shared" si="415"/>
        <v>2.0582334451428195E-5</v>
      </c>
      <c r="EW182" s="4">
        <f t="shared" si="389"/>
        <v>5.3111568686859387</v>
      </c>
      <c r="EX182" s="4">
        <f t="shared" si="466"/>
        <v>341.16685909711236</v>
      </c>
      <c r="FG182" s="23">
        <f t="shared" si="494"/>
        <v>1</v>
      </c>
      <c r="FH182" s="23">
        <f t="shared" si="494"/>
        <v>1</v>
      </c>
      <c r="FI182" s="23">
        <f t="shared" si="495"/>
        <v>1.6</v>
      </c>
      <c r="FJ182" s="23">
        <f t="shared" si="496"/>
        <v>2</v>
      </c>
      <c r="FK182" s="23">
        <f t="shared" si="496"/>
        <v>1.2</v>
      </c>
      <c r="FL182" s="23">
        <f t="shared" si="496"/>
        <v>1.2</v>
      </c>
      <c r="FM182" s="23">
        <f t="shared" si="497"/>
        <v>0</v>
      </c>
      <c r="FN182" s="23"/>
      <c r="FX182" s="4">
        <f t="shared" si="416"/>
        <v>1.25</v>
      </c>
      <c r="FY182" s="4">
        <f t="shared" si="469"/>
        <v>0.56666666666666665</v>
      </c>
      <c r="FZ182" s="4">
        <f t="shared" si="417"/>
        <v>0</v>
      </c>
      <c r="GA182" s="4">
        <f t="shared" si="418"/>
        <v>250.9605191071152</v>
      </c>
    </row>
    <row r="183" spans="1:183" ht="12" hidden="1" customHeight="1" x14ac:dyDescent="0.3">
      <c r="A183" s="25">
        <v>165</v>
      </c>
      <c r="B183" s="24" t="s">
        <v>128</v>
      </c>
      <c r="C183" s="24">
        <v>2017</v>
      </c>
      <c r="D183" s="24" t="s">
        <v>309</v>
      </c>
      <c r="E183" s="24"/>
      <c r="F183" s="4" t="s">
        <v>172</v>
      </c>
      <c r="G183" s="7">
        <v>583</v>
      </c>
      <c r="H183" s="7">
        <f t="shared" ref="H183:H184" si="543">10*K183</f>
        <v>573</v>
      </c>
      <c r="I183" s="7">
        <f t="shared" si="455"/>
        <v>573</v>
      </c>
      <c r="J183" s="7">
        <v>51.4</v>
      </c>
      <c r="K183" s="37">
        <v>57.3</v>
      </c>
      <c r="L183" s="7">
        <f t="shared" si="498"/>
        <v>10</v>
      </c>
      <c r="M183" s="7">
        <f t="shared" si="499"/>
        <v>10</v>
      </c>
      <c r="N183" s="7">
        <f t="shared" si="500"/>
        <v>584.46</v>
      </c>
      <c r="O183" s="7">
        <f t="shared" si="533"/>
        <v>57.3</v>
      </c>
      <c r="P183" s="7">
        <f t="shared" si="501"/>
        <v>56</v>
      </c>
      <c r="Q183" s="7">
        <f t="shared" si="535"/>
        <v>355.26</v>
      </c>
      <c r="R183" s="7">
        <v>2</v>
      </c>
      <c r="S183" s="7">
        <f t="shared" si="536"/>
        <v>289</v>
      </c>
      <c r="T183" s="7">
        <f t="shared" si="475"/>
        <v>1.5</v>
      </c>
      <c r="U183" s="7">
        <f t="shared" si="459"/>
        <v>1.5</v>
      </c>
      <c r="V183" s="7">
        <f t="shared" si="472"/>
        <v>4</v>
      </c>
      <c r="W183" s="7">
        <f t="shared" si="472"/>
        <v>4</v>
      </c>
      <c r="X183" s="7">
        <f t="shared" si="431"/>
        <v>5</v>
      </c>
      <c r="Y183" s="7">
        <f t="shared" si="352"/>
        <v>128.12669511073796</v>
      </c>
      <c r="Z183" s="7">
        <f t="shared" si="461"/>
        <v>583</v>
      </c>
      <c r="AA183" s="7">
        <v>25</v>
      </c>
      <c r="AB183" s="7">
        <f>(470+475)/2</f>
        <v>472.5</v>
      </c>
      <c r="AC183" s="7"/>
      <c r="AD183" s="4">
        <f t="shared" si="476"/>
        <v>1.3714309698264442</v>
      </c>
      <c r="AE183" s="7">
        <v>15.9</v>
      </c>
      <c r="AF183" s="7">
        <v>2</v>
      </c>
      <c r="AG183" s="7">
        <v>275</v>
      </c>
      <c r="AH183" s="7">
        <v>4</v>
      </c>
      <c r="AI183" s="7">
        <f>AF183</f>
        <v>2</v>
      </c>
      <c r="AJ183" s="7">
        <f t="shared" si="473"/>
        <v>4.166666666666667</v>
      </c>
      <c r="AK183" s="4">
        <f t="shared" si="504"/>
        <v>573</v>
      </c>
      <c r="AL183" s="4">
        <f t="shared" si="505"/>
        <v>0.34</v>
      </c>
      <c r="AM183" s="4">
        <f t="shared" si="506"/>
        <v>190.67088022808852</v>
      </c>
      <c r="AN183" s="4">
        <f t="shared" si="507"/>
        <v>0.73</v>
      </c>
      <c r="AO183" s="4">
        <v>1.25</v>
      </c>
      <c r="AP183" s="4">
        <f t="shared" si="508"/>
        <v>2.5</v>
      </c>
      <c r="AQ183" s="38">
        <f t="shared" si="509"/>
        <v>147.88910147691115</v>
      </c>
      <c r="AR183" s="38">
        <f t="shared" si="510"/>
        <v>147.88910147691115</v>
      </c>
      <c r="AS183" s="38">
        <f t="shared" si="511"/>
        <v>4.107079761979672</v>
      </c>
      <c r="AT183" s="38">
        <f t="shared" si="450"/>
        <v>147.88910147691104</v>
      </c>
      <c r="AU183" s="38">
        <f t="shared" si="400"/>
        <v>1.0000000000000007</v>
      </c>
      <c r="AV183" s="38">
        <f t="shared" si="537"/>
        <v>2.0853463637288274</v>
      </c>
      <c r="AW183" s="4">
        <f t="shared" si="529"/>
        <v>0</v>
      </c>
      <c r="AX183" s="4">
        <f t="shared" si="379"/>
        <v>377.33575429336673</v>
      </c>
      <c r="AY183" s="4">
        <f t="shared" si="380"/>
        <v>1</v>
      </c>
      <c r="AZ183" s="38">
        <f t="shared" si="438"/>
        <v>308.39999999999998</v>
      </c>
      <c r="BA183" s="4">
        <f t="shared" si="381"/>
        <v>0.44000000000000006</v>
      </c>
      <c r="BB183" s="4">
        <f t="shared" si="401"/>
        <v>86.749489912045021</v>
      </c>
      <c r="BC183" s="4">
        <f t="shared" si="402"/>
        <v>395.149489912045</v>
      </c>
      <c r="BE183" s="4">
        <f t="shared" si="451"/>
        <v>1.201612194511575</v>
      </c>
      <c r="BF183" s="4">
        <f t="shared" si="452"/>
        <v>516.88881791391145</v>
      </c>
      <c r="BH183" s="4">
        <f t="shared" si="463"/>
        <v>295.79331486241767</v>
      </c>
      <c r="BI183" s="4">
        <f t="shared" si="464"/>
        <v>450.3525339151019</v>
      </c>
      <c r="BJ183" s="4">
        <f t="shared" si="465"/>
        <v>1.5225243820151051</v>
      </c>
      <c r="BR183" s="4">
        <f t="shared" si="539"/>
        <v>57.3</v>
      </c>
      <c r="BV183" s="9"/>
      <c r="BX183" s="9"/>
      <c r="BY183" s="9"/>
      <c r="BZ183" s="9">
        <f t="shared" si="383"/>
        <v>56</v>
      </c>
      <c r="CA183" s="9">
        <f t="shared" si="384"/>
        <v>177.63</v>
      </c>
      <c r="CB183" s="9">
        <f t="shared" si="403"/>
        <v>1.1754818988273255</v>
      </c>
      <c r="CC183" s="9">
        <v>20</v>
      </c>
      <c r="CD183" s="9">
        <f t="shared" si="518"/>
        <v>2.5201524313946871E-2</v>
      </c>
      <c r="CE183" s="9">
        <f t="shared" si="404"/>
        <v>0.30403048627893742</v>
      </c>
      <c r="CF183" s="9">
        <f t="shared" si="385"/>
        <v>0.77971450958075206</v>
      </c>
      <c r="CG183" s="9">
        <f t="shared" si="386"/>
        <v>0.87549999999999994</v>
      </c>
      <c r="CH183" s="9">
        <f t="shared" si="405"/>
        <v>1.7129369207551171</v>
      </c>
      <c r="CI183" s="9">
        <f t="shared" si="406"/>
        <v>2.5343113891629807</v>
      </c>
      <c r="CJ183" s="9">
        <v>1</v>
      </c>
      <c r="CK183" s="9">
        <f t="shared" si="407"/>
        <v>253.43113891629807</v>
      </c>
      <c r="CM183" s="4">
        <f t="shared" si="477"/>
        <v>1.2522004464825935</v>
      </c>
      <c r="CN183" s="4">
        <f t="shared" si="478"/>
        <v>1.1957499935155482</v>
      </c>
      <c r="CO183" s="4">
        <f t="shared" si="479"/>
        <v>0.91412308338752946</v>
      </c>
      <c r="CP183" s="4">
        <f t="shared" si="480"/>
        <v>1.8644117767866515</v>
      </c>
      <c r="CQ183" s="4">
        <f t="shared" si="481"/>
        <v>1.3714309698264442</v>
      </c>
      <c r="CR183" s="4">
        <f t="shared" si="482"/>
        <v>1.4489090299456451</v>
      </c>
      <c r="CS183" s="4">
        <f t="shared" si="483"/>
        <v>1.2315922030510305</v>
      </c>
      <c r="DA183" s="4">
        <f>CM183</f>
        <v>1.2522004464825935</v>
      </c>
      <c r="DB183" s="4">
        <f>CN183</f>
        <v>1.1957499935155482</v>
      </c>
      <c r="DC183" s="4">
        <f>CP183</f>
        <v>1.8644117767866515</v>
      </c>
      <c r="DD183" s="4">
        <f t="shared" ref="DD183" si="544">CS183</f>
        <v>1.2315922030510305</v>
      </c>
      <c r="DE183" s="4">
        <f>CQ183</f>
        <v>1.3714309698264442</v>
      </c>
      <c r="DF183" s="4">
        <f>CR183</f>
        <v>1.4489090299456451</v>
      </c>
      <c r="DH183" s="4">
        <f t="shared" si="362"/>
        <v>2</v>
      </c>
      <c r="DI183" s="4">
        <f t="shared" si="453"/>
        <v>573</v>
      </c>
      <c r="DL183" s="4">
        <f t="shared" si="485"/>
        <v>2.0582334451428195E-5</v>
      </c>
      <c r="DM183" s="4">
        <f t="shared" si="366"/>
        <v>5.99454394365008</v>
      </c>
      <c r="DN183" s="4">
        <f t="shared" si="486"/>
        <v>0.35860765899432934</v>
      </c>
      <c r="DO183" s="4">
        <f t="shared" si="487"/>
        <v>3.9774430727250092</v>
      </c>
      <c r="DP183" s="4">
        <f t="shared" si="488"/>
        <v>5.0873724268075948</v>
      </c>
      <c r="DQ183" s="4">
        <f t="shared" si="489"/>
        <v>5.3947883136519268</v>
      </c>
      <c r="DR183" s="38">
        <f t="shared" si="513"/>
        <v>344.53064747385378</v>
      </c>
      <c r="DS183" s="4">
        <f t="shared" si="411"/>
        <v>1.0001276909834023</v>
      </c>
      <c r="DT183" s="4">
        <f t="shared" si="490"/>
        <v>2.2360679774997898</v>
      </c>
      <c r="DU183" s="4">
        <f t="shared" si="441"/>
        <v>147.88910147691104</v>
      </c>
      <c r="DY183" s="4">
        <f t="shared" si="387"/>
        <v>1</v>
      </c>
      <c r="DZ183" s="4">
        <f t="shared" si="412"/>
        <v>1</v>
      </c>
      <c r="EA183" s="4">
        <f t="shared" si="514"/>
        <v>0.9826012170719004</v>
      </c>
      <c r="EB183" s="4">
        <f t="shared" si="414"/>
        <v>0.9826012170719004</v>
      </c>
      <c r="ED183" s="4">
        <f t="shared" si="515"/>
        <v>326.10742995902615</v>
      </c>
      <c r="EE183" s="25">
        <f t="shared" si="516"/>
        <v>146.27111164952376</v>
      </c>
      <c r="EH183" s="4">
        <f t="shared" si="517"/>
        <v>5.99454394365008</v>
      </c>
      <c r="EK183" s="4">
        <f t="shared" si="491"/>
        <v>128.12669511073796</v>
      </c>
      <c r="EL183" s="4">
        <f t="shared" si="492"/>
        <v>2.2360679774997898</v>
      </c>
      <c r="EM183" s="4">
        <f t="shared" si="493"/>
        <v>0.14058415851154979</v>
      </c>
      <c r="EP183" s="4">
        <f t="shared" si="541"/>
        <v>0.14058415851154979</v>
      </c>
      <c r="EQ183" s="4">
        <f t="shared" si="542"/>
        <v>0.3580092096468499</v>
      </c>
      <c r="ER183" s="4">
        <f t="shared" si="371"/>
        <v>3.9747866978308384</v>
      </c>
      <c r="ES183" s="4">
        <f t="shared" si="388"/>
        <v>5.0863365377764023</v>
      </c>
      <c r="ET183" s="4">
        <f t="shared" si="372"/>
        <v>301.62330488926204</v>
      </c>
      <c r="EU183" s="4">
        <f t="shared" si="373"/>
        <v>143.25</v>
      </c>
      <c r="EV183" s="4">
        <f t="shared" si="415"/>
        <v>2.0582334451428195E-5</v>
      </c>
      <c r="EW183" s="4">
        <f t="shared" si="389"/>
        <v>5.3949466033302231</v>
      </c>
      <c r="EX183" s="4">
        <f t="shared" si="466"/>
        <v>344.48665963351618</v>
      </c>
      <c r="FG183" s="23">
        <f t="shared" si="494"/>
        <v>1.4</v>
      </c>
      <c r="FH183" s="23">
        <f t="shared" si="494"/>
        <v>1.2</v>
      </c>
      <c r="FI183" s="23">
        <f t="shared" si="495"/>
        <v>1.4</v>
      </c>
      <c r="FJ183" s="23">
        <f t="shared" si="496"/>
        <v>2</v>
      </c>
      <c r="FK183" s="23">
        <f t="shared" si="496"/>
        <v>1.4</v>
      </c>
      <c r="FL183" s="23">
        <f t="shared" si="496"/>
        <v>1.6</v>
      </c>
      <c r="FM183" s="23">
        <f t="shared" si="497"/>
        <v>0</v>
      </c>
      <c r="FN183" s="23"/>
      <c r="FX183" s="4">
        <f t="shared" si="416"/>
        <v>1.25</v>
      </c>
      <c r="FY183" s="4">
        <f t="shared" si="469"/>
        <v>0.37067917575318227</v>
      </c>
      <c r="FZ183" s="4">
        <f t="shared" si="417"/>
        <v>0.3</v>
      </c>
      <c r="GA183" s="4">
        <f t="shared" si="418"/>
        <v>383.64971687014014</v>
      </c>
    </row>
    <row r="184" spans="1:183" ht="12" hidden="1" customHeight="1" x14ac:dyDescent="0.3">
      <c r="A184" s="25">
        <v>166</v>
      </c>
      <c r="B184" s="24" t="s">
        <v>128</v>
      </c>
      <c r="C184" s="24">
        <v>2017</v>
      </c>
      <c r="D184" s="24" t="s">
        <v>309</v>
      </c>
      <c r="E184" s="24"/>
      <c r="F184" s="4" t="s">
        <v>173</v>
      </c>
      <c r="G184" s="7">
        <v>583</v>
      </c>
      <c r="H184" s="7">
        <f t="shared" si="543"/>
        <v>573</v>
      </c>
      <c r="I184" s="7">
        <f t="shared" si="455"/>
        <v>573</v>
      </c>
      <c r="J184" s="7">
        <v>76.900000000000006</v>
      </c>
      <c r="K184" s="37">
        <v>57.3</v>
      </c>
      <c r="L184" s="7">
        <f t="shared" si="498"/>
        <v>10</v>
      </c>
      <c r="M184" s="7">
        <f t="shared" si="499"/>
        <v>10</v>
      </c>
      <c r="N184" s="7">
        <f t="shared" si="500"/>
        <v>584.46</v>
      </c>
      <c r="O184" s="7">
        <f t="shared" si="533"/>
        <v>57.3</v>
      </c>
      <c r="P184" s="7">
        <f t="shared" si="501"/>
        <v>56</v>
      </c>
      <c r="Q184" s="7">
        <f t="shared" si="535"/>
        <v>355.26</v>
      </c>
      <c r="R184" s="7">
        <v>2</v>
      </c>
      <c r="S184" s="7">
        <f t="shared" si="536"/>
        <v>289</v>
      </c>
      <c r="T184" s="7">
        <f t="shared" si="475"/>
        <v>1.5</v>
      </c>
      <c r="U184" s="7">
        <f t="shared" si="459"/>
        <v>1.5</v>
      </c>
      <c r="V184" s="7">
        <f t="shared" si="472"/>
        <v>4</v>
      </c>
      <c r="W184" s="7">
        <f t="shared" si="472"/>
        <v>4</v>
      </c>
      <c r="X184" s="7">
        <f t="shared" si="431"/>
        <v>5</v>
      </c>
      <c r="Y184" s="7">
        <f t="shared" si="352"/>
        <v>128.12669511073796</v>
      </c>
      <c r="Z184" s="7">
        <f t="shared" si="461"/>
        <v>583</v>
      </c>
      <c r="AA184" s="7">
        <v>25</v>
      </c>
      <c r="AB184" s="7">
        <f>(445+445)/2</f>
        <v>445</v>
      </c>
      <c r="AC184" s="7"/>
      <c r="AD184" s="4">
        <f t="shared" si="476"/>
        <v>1.0895526539249616</v>
      </c>
      <c r="AE184" s="7"/>
      <c r="AF184" s="7"/>
      <c r="AG184" s="7">
        <v>1</v>
      </c>
      <c r="AH184" s="7"/>
      <c r="AI184" s="7"/>
      <c r="AJ184" s="7">
        <f t="shared" si="473"/>
        <v>4.166666666666667</v>
      </c>
      <c r="AK184" s="4">
        <f t="shared" si="504"/>
        <v>573</v>
      </c>
      <c r="AL184" s="4">
        <f t="shared" si="505"/>
        <v>0.34</v>
      </c>
      <c r="AM184" s="4">
        <f t="shared" si="506"/>
        <v>233.220102499962</v>
      </c>
      <c r="AN184" s="4">
        <f t="shared" si="507"/>
        <v>0.73</v>
      </c>
      <c r="AO184" s="4">
        <v>1.25</v>
      </c>
      <c r="AP184" s="4">
        <f t="shared" si="508"/>
        <v>2.5</v>
      </c>
      <c r="AQ184" s="38">
        <f t="shared" si="509"/>
        <v>180.89134200153302</v>
      </c>
      <c r="AR184" s="38">
        <f t="shared" si="510"/>
        <v>180.89134200153302</v>
      </c>
      <c r="AS184" s="38">
        <f t="shared" si="511"/>
        <v>4.7705058587582929</v>
      </c>
      <c r="AT184" s="38">
        <f t="shared" si="450"/>
        <v>180.89134200153285</v>
      </c>
      <c r="AU184" s="38">
        <f t="shared" si="400"/>
        <v>1.0000000000000009</v>
      </c>
      <c r="AV184" s="38">
        <f t="shared" si="537"/>
        <v>2.550702509554549</v>
      </c>
      <c r="AW184" s="4">
        <f t="shared" si="529"/>
        <v>0</v>
      </c>
      <c r="AX184" s="4">
        <f t="shared" si="379"/>
        <v>461.54023722934221</v>
      </c>
      <c r="AY184" s="4">
        <f t="shared" si="380"/>
        <v>1</v>
      </c>
      <c r="AZ184" s="38">
        <f t="shared" si="438"/>
        <v>461.40000000000003</v>
      </c>
      <c r="BA184" s="4">
        <f t="shared" si="381"/>
        <v>0.44000000000000006</v>
      </c>
      <c r="BB184" s="4">
        <f t="shared" si="401"/>
        <v>106.10810053902577</v>
      </c>
      <c r="BC184" s="4">
        <f t="shared" si="402"/>
        <v>567.5081005390258</v>
      </c>
      <c r="BE184" s="4">
        <f t="shared" si="451"/>
        <v>1</v>
      </c>
      <c r="BF184" s="4">
        <f t="shared" si="452"/>
        <v>526.15587044145013</v>
      </c>
      <c r="BH184" s="4">
        <f t="shared" si="463"/>
        <v>442.53902554318915</v>
      </c>
      <c r="BI184" s="4">
        <f t="shared" si="464"/>
        <v>450.3525339151019</v>
      </c>
      <c r="BJ184" s="4">
        <f t="shared" si="465"/>
        <v>1.0176560888891599</v>
      </c>
      <c r="BR184" s="4">
        <f t="shared" si="539"/>
        <v>57.3</v>
      </c>
      <c r="BV184" s="9"/>
      <c r="BX184" s="9"/>
      <c r="BY184" s="9"/>
      <c r="BZ184" s="9">
        <f t="shared" si="383"/>
        <v>56</v>
      </c>
      <c r="CA184" s="9">
        <f t="shared" si="384"/>
        <v>177.63</v>
      </c>
      <c r="CB184" s="9">
        <f t="shared" si="403"/>
        <v>1.1754818988273255</v>
      </c>
      <c r="CC184" s="9">
        <v>0</v>
      </c>
      <c r="CD184" s="9">
        <f t="shared" si="518"/>
        <v>0</v>
      </c>
      <c r="CE184" s="9">
        <f t="shared" si="404"/>
        <v>0</v>
      </c>
      <c r="CF184" s="9">
        <f t="shared" si="385"/>
        <v>0.77971450958075206</v>
      </c>
      <c r="CG184" s="9">
        <f t="shared" si="386"/>
        <v>0.87549999999999994</v>
      </c>
      <c r="CH184" s="9">
        <f t="shared" si="405"/>
        <v>2.0951879162491376</v>
      </c>
      <c r="CI184" s="9">
        <f t="shared" si="406"/>
        <v>2.4628554701926038</v>
      </c>
      <c r="CJ184" s="9">
        <v>1</v>
      </c>
      <c r="CK184" s="9">
        <f t="shared" si="407"/>
        <v>246.28554701926038</v>
      </c>
      <c r="CM184" s="4">
        <f t="shared" si="477"/>
        <v>0.96416295721336365</v>
      </c>
      <c r="CN184" s="4">
        <f t="shared" si="478"/>
        <v>0.78412977643373516</v>
      </c>
      <c r="CO184" s="4">
        <f t="shared" si="479"/>
        <v>0.8457569800117225</v>
      </c>
      <c r="CP184" s="4">
        <f t="shared" si="480"/>
        <v>1.8068457746941986</v>
      </c>
      <c r="CQ184" s="4">
        <f t="shared" si="481"/>
        <v>1.0895526539249616</v>
      </c>
      <c r="CR184" s="4">
        <f t="shared" si="482"/>
        <v>1.1264315123772384</v>
      </c>
      <c r="CS184" s="4">
        <f t="shared" si="483"/>
        <v>1.6032963421957998</v>
      </c>
      <c r="CU184" s="4">
        <f>CM184</f>
        <v>0.96416295721336365</v>
      </c>
      <c r="CV184" s="4">
        <f>CN184</f>
        <v>0.78412977643373516</v>
      </c>
      <c r="CW184" s="4">
        <f>CP184</f>
        <v>1.8068457746941986</v>
      </c>
      <c r="CX184" s="4">
        <f t="shared" ref="CX184:CX185" si="545">CS184</f>
        <v>1.6032963421957998</v>
      </c>
      <c r="CY184" s="4">
        <f>CQ184</f>
        <v>1.0895526539249616</v>
      </c>
      <c r="CZ184" s="4">
        <f>CR184</f>
        <v>1.1264315123772384</v>
      </c>
      <c r="DH184" s="4">
        <f t="shared" si="362"/>
        <v>0</v>
      </c>
      <c r="DI184" s="4">
        <f t="shared" si="453"/>
        <v>573</v>
      </c>
      <c r="DL184" s="4">
        <f t="shared" si="485"/>
        <v>2.4052911710985851E-5</v>
      </c>
      <c r="DM184" s="4">
        <f t="shared" si="366"/>
        <v>7.2046859751136969</v>
      </c>
      <c r="DN184" s="4">
        <f t="shared" si="486"/>
        <v>0.2931824369513521</v>
      </c>
      <c r="DO184" s="4">
        <f t="shared" si="487"/>
        <v>4.4103213681169242</v>
      </c>
      <c r="DP184" s="4">
        <f t="shared" si="488"/>
        <v>5.9741190834231039</v>
      </c>
      <c r="DQ184" s="4">
        <f t="shared" si="489"/>
        <v>6.2296619398373565</v>
      </c>
      <c r="DR184" s="38">
        <f t="shared" si="513"/>
        <v>408.42450192466561</v>
      </c>
      <c r="DS184" s="4">
        <f t="shared" si="411"/>
        <v>1.00011450770191</v>
      </c>
      <c r="DT184" s="4">
        <f t="shared" si="490"/>
        <v>2.2360679774997898</v>
      </c>
      <c r="DU184" s="4">
        <f t="shared" si="441"/>
        <v>180.89134200153285</v>
      </c>
      <c r="DY184" s="4">
        <f t="shared" si="387"/>
        <v>1</v>
      </c>
      <c r="DZ184" s="4">
        <f t="shared" si="412"/>
        <v>1</v>
      </c>
      <c r="EA184" s="4">
        <f t="shared" si="514"/>
        <v>1</v>
      </c>
      <c r="EB184" s="4">
        <f t="shared" si="414"/>
        <v>1</v>
      </c>
      <c r="ED184" s="4">
        <f t="shared" si="515"/>
        <v>395.05286838155405</v>
      </c>
      <c r="EE184" s="25">
        <f t="shared" si="516"/>
        <v>178.9122891281431</v>
      </c>
      <c r="EH184" s="4">
        <f t="shared" si="517"/>
        <v>7.2046859751136969</v>
      </c>
      <c r="EK184" s="4">
        <f t="shared" si="491"/>
        <v>128.12669511073796</v>
      </c>
      <c r="EL184" s="4">
        <f t="shared" si="492"/>
        <v>2.2360679774997898</v>
      </c>
      <c r="EM184" s="4">
        <f t="shared" si="493"/>
        <v>0.14058415851154979</v>
      </c>
      <c r="EP184" s="4">
        <f t="shared" si="541"/>
        <v>0.14058415851154979</v>
      </c>
      <c r="EQ184" s="4">
        <f t="shared" si="542"/>
        <v>0.2926931701058586</v>
      </c>
      <c r="ER184" s="4">
        <f t="shared" si="371"/>
        <v>4.4073758911501191</v>
      </c>
      <c r="ES184" s="4">
        <f t="shared" si="388"/>
        <v>5.9730363357603444</v>
      </c>
      <c r="ET184" s="4">
        <f t="shared" si="372"/>
        <v>301.62330488926204</v>
      </c>
      <c r="EU184" s="4">
        <f t="shared" si="373"/>
        <v>143.25</v>
      </c>
      <c r="EV184" s="4">
        <f t="shared" si="415"/>
        <v>2.4052911710985851E-5</v>
      </c>
      <c r="EW184" s="4">
        <f t="shared" si="389"/>
        <v>6.2299000189181877</v>
      </c>
      <c r="EX184" s="4">
        <f t="shared" si="466"/>
        <v>408.377739528201</v>
      </c>
      <c r="FG184" s="23">
        <f t="shared" si="494"/>
        <v>1</v>
      </c>
      <c r="FH184" s="23">
        <f t="shared" si="494"/>
        <v>0.8</v>
      </c>
      <c r="FI184" s="23">
        <f t="shared" si="495"/>
        <v>1.8</v>
      </c>
      <c r="FJ184" s="23">
        <f t="shared" si="496"/>
        <v>2</v>
      </c>
      <c r="FK184" s="23">
        <f t="shared" si="496"/>
        <v>1.2</v>
      </c>
      <c r="FL184" s="23">
        <f t="shared" si="496"/>
        <v>1.2</v>
      </c>
      <c r="FM184" s="23">
        <f t="shared" si="497"/>
        <v>0</v>
      </c>
      <c r="FN184" s="23"/>
      <c r="FX184" s="4">
        <f t="shared" si="416"/>
        <v>1.25</v>
      </c>
      <c r="FY184" s="4">
        <f t="shared" si="469"/>
        <v>0.56666666666666665</v>
      </c>
      <c r="FZ184" s="4">
        <f t="shared" si="417"/>
        <v>0</v>
      </c>
      <c r="GA184" s="4">
        <f t="shared" si="418"/>
        <v>277.55318108600483</v>
      </c>
    </row>
    <row r="185" spans="1:183" ht="12" hidden="1" customHeight="1" x14ac:dyDescent="0.3">
      <c r="A185" s="25">
        <v>167</v>
      </c>
      <c r="B185" s="24" t="s">
        <v>128</v>
      </c>
      <c r="C185" s="24">
        <v>2017</v>
      </c>
      <c r="D185" s="24" t="s">
        <v>309</v>
      </c>
      <c r="E185" s="24"/>
      <c r="F185" s="4" t="s">
        <v>174</v>
      </c>
      <c r="G185" s="7">
        <v>583</v>
      </c>
      <c r="H185" s="7">
        <f t="shared" ref="H185:H189" si="546">13*K185</f>
        <v>744.9</v>
      </c>
      <c r="I185" s="7">
        <f t="shared" si="455"/>
        <v>744.9</v>
      </c>
      <c r="J185" s="7">
        <v>40.5</v>
      </c>
      <c r="K185" s="37">
        <v>57.3</v>
      </c>
      <c r="L185" s="7">
        <f t="shared" si="498"/>
        <v>13</v>
      </c>
      <c r="M185" s="7">
        <f t="shared" si="499"/>
        <v>13</v>
      </c>
      <c r="N185" s="7">
        <f t="shared" si="500"/>
        <v>584.46</v>
      </c>
      <c r="O185" s="7">
        <f t="shared" si="533"/>
        <v>57.3</v>
      </c>
      <c r="P185" s="7">
        <f t="shared" si="501"/>
        <v>56</v>
      </c>
      <c r="Q185" s="7">
        <f t="shared" si="535"/>
        <v>355.26</v>
      </c>
      <c r="R185" s="7">
        <v>2</v>
      </c>
      <c r="S185" s="7">
        <f>2/3*H185-0.5*240</f>
        <v>376.59999999999997</v>
      </c>
      <c r="T185" s="7">
        <f t="shared" si="475"/>
        <v>1.5</v>
      </c>
      <c r="U185" s="7">
        <f t="shared" si="459"/>
        <v>1.5</v>
      </c>
      <c r="V185" s="7">
        <f t="shared" si="472"/>
        <v>4</v>
      </c>
      <c r="W185" s="7">
        <f t="shared" si="472"/>
        <v>4</v>
      </c>
      <c r="X185" s="7">
        <f t="shared" si="431"/>
        <v>5</v>
      </c>
      <c r="Y185" s="7">
        <f t="shared" si="352"/>
        <v>128.12669511073796</v>
      </c>
      <c r="Z185" s="7">
        <f t="shared" si="461"/>
        <v>583</v>
      </c>
      <c r="AA185" s="7">
        <v>25</v>
      </c>
      <c r="AB185" s="7">
        <f>(439+439)/2</f>
        <v>439</v>
      </c>
      <c r="AC185" s="7"/>
      <c r="AD185" s="4">
        <f t="shared" si="476"/>
        <v>1.1605850652682879</v>
      </c>
      <c r="AE185" s="7"/>
      <c r="AF185" s="7"/>
      <c r="AG185" s="7">
        <v>1</v>
      </c>
      <c r="AH185" s="7"/>
      <c r="AI185" s="7"/>
      <c r="AJ185" s="7">
        <f t="shared" si="473"/>
        <v>5.4166666666666661</v>
      </c>
      <c r="AK185" s="4">
        <f t="shared" si="504"/>
        <v>744.9</v>
      </c>
      <c r="AL185" s="4">
        <f t="shared" si="505"/>
        <v>0.2615384615384615</v>
      </c>
      <c r="AM185" s="4">
        <f t="shared" si="506"/>
        <v>250.86804884585459</v>
      </c>
      <c r="AN185" s="4">
        <f t="shared" si="507"/>
        <v>0.72307692307692306</v>
      </c>
      <c r="AO185" s="4">
        <v>1.25</v>
      </c>
      <c r="AP185" s="4">
        <f t="shared" si="508"/>
        <v>2.5</v>
      </c>
      <c r="AQ185" s="38">
        <f t="shared" si="509"/>
        <v>148.25707916260191</v>
      </c>
      <c r="AR185" s="38">
        <f t="shared" si="510"/>
        <v>148.25707916260191</v>
      </c>
      <c r="AS185" s="38">
        <f t="shared" si="511"/>
        <v>3.538000882182009</v>
      </c>
      <c r="AT185" s="38">
        <f t="shared" si="450"/>
        <v>148.25707916260185</v>
      </c>
      <c r="AU185" s="38">
        <f t="shared" si="400"/>
        <v>1.0000000000000004</v>
      </c>
      <c r="AV185" s="38">
        <f t="shared" si="537"/>
        <v>1.6390448359871455</v>
      </c>
      <c r="AW185" s="4">
        <f t="shared" si="529"/>
        <v>0</v>
      </c>
      <c r="AX185" s="4">
        <f t="shared" si="379"/>
        <v>435.4289126254003</v>
      </c>
      <c r="AY185" s="4">
        <f t="shared" si="380"/>
        <v>1</v>
      </c>
      <c r="AZ185" s="38">
        <f t="shared" si="438"/>
        <v>243</v>
      </c>
      <c r="BA185" s="4">
        <f t="shared" si="381"/>
        <v>0.44000000000000006</v>
      </c>
      <c r="BB185" s="4">
        <f t="shared" si="401"/>
        <v>100.10510701257954</v>
      </c>
      <c r="BC185" s="4">
        <f t="shared" si="402"/>
        <v>343.10510701257954</v>
      </c>
      <c r="BE185" s="4">
        <f t="shared" si="451"/>
        <v>1</v>
      </c>
      <c r="BF185" s="4">
        <f t="shared" si="452"/>
        <v>439.11331111684598</v>
      </c>
      <c r="BH185" s="4">
        <f t="shared" si="463"/>
        <v>233.06671696357813</v>
      </c>
      <c r="BI185" s="4">
        <f t="shared" si="464"/>
        <v>450.3525339151019</v>
      </c>
      <c r="BJ185" s="4">
        <f t="shared" si="465"/>
        <v>1.9322902033475655</v>
      </c>
      <c r="BR185" s="4">
        <f t="shared" si="539"/>
        <v>57.3</v>
      </c>
      <c r="BV185" s="9"/>
      <c r="BX185" s="9"/>
      <c r="BY185" s="9"/>
      <c r="BZ185" s="9">
        <f t="shared" si="383"/>
        <v>56</v>
      </c>
      <c r="CA185" s="9">
        <f t="shared" si="384"/>
        <v>177.63</v>
      </c>
      <c r="CB185" s="9">
        <f t="shared" si="403"/>
        <v>1.1754818988273255</v>
      </c>
      <c r="CC185" s="9">
        <v>0</v>
      </c>
      <c r="CD185" s="9">
        <f t="shared" si="518"/>
        <v>0</v>
      </c>
      <c r="CE185" s="9">
        <f t="shared" si="404"/>
        <v>0</v>
      </c>
      <c r="CF185" s="9">
        <f t="shared" si="385"/>
        <v>0.77971450958075206</v>
      </c>
      <c r="CG185" s="9">
        <f t="shared" si="386"/>
        <v>0.87549999999999994</v>
      </c>
      <c r="CH185" s="9">
        <f t="shared" si="405"/>
        <v>1.5205031436526735</v>
      </c>
      <c r="CI185" s="9">
        <f t="shared" si="406"/>
        <v>1.7873239224737623</v>
      </c>
      <c r="CJ185" s="9">
        <v>1</v>
      </c>
      <c r="CK185" s="9">
        <f t="shared" si="407"/>
        <v>200.18027931706138</v>
      </c>
      <c r="CM185" s="4">
        <f t="shared" si="477"/>
        <v>1.0082013097225628</v>
      </c>
      <c r="CN185" s="4">
        <f t="shared" si="478"/>
        <v>1.2794913017249394</v>
      </c>
      <c r="CO185" s="4">
        <f t="shared" si="479"/>
        <v>0.99974195472107696</v>
      </c>
      <c r="CP185" s="4">
        <f t="shared" si="480"/>
        <v>2.1930232163612731</v>
      </c>
      <c r="CQ185" s="4">
        <f t="shared" si="481"/>
        <v>1.1605850652682879</v>
      </c>
      <c r="CR185" s="4">
        <f t="shared" si="482"/>
        <v>1.250702910301895</v>
      </c>
      <c r="CS185" s="4">
        <f t="shared" si="483"/>
        <v>1.4282123621188205</v>
      </c>
      <c r="CU185" s="4">
        <f>CM185</f>
        <v>1.0082013097225628</v>
      </c>
      <c r="CV185" s="4">
        <f>CN185</f>
        <v>1.2794913017249394</v>
      </c>
      <c r="CW185" s="4">
        <f>CP185</f>
        <v>2.1930232163612731</v>
      </c>
      <c r="CX185" s="4">
        <f t="shared" si="545"/>
        <v>1.4282123621188205</v>
      </c>
      <c r="CY185" s="4">
        <f>CQ185</f>
        <v>1.1605850652682879</v>
      </c>
      <c r="CZ185" s="4">
        <f>CR185</f>
        <v>1.250702910301895</v>
      </c>
      <c r="DH185" s="4">
        <f t="shared" si="362"/>
        <v>0</v>
      </c>
      <c r="DI185" s="4">
        <f t="shared" si="453"/>
        <v>744.9</v>
      </c>
      <c r="DL185" s="4">
        <f t="shared" si="485"/>
        <v>2.4945063339588324E-5</v>
      </c>
      <c r="DM185" s="4">
        <f t="shared" si="366"/>
        <v>5.2285275173800132</v>
      </c>
      <c r="DN185" s="4">
        <f t="shared" si="486"/>
        <v>0.45625425325155472</v>
      </c>
      <c r="DO185" s="4">
        <f t="shared" si="487"/>
        <v>3.819989493522661</v>
      </c>
      <c r="DP185" s="4">
        <f t="shared" si="488"/>
        <v>4.5788746518647905</v>
      </c>
      <c r="DQ185" s="4">
        <f t="shared" si="489"/>
        <v>4.4778446177325462</v>
      </c>
      <c r="DR185" s="38">
        <f t="shared" si="513"/>
        <v>378.25749541117705</v>
      </c>
      <c r="DS185" s="4">
        <f t="shared" si="411"/>
        <v>1.0001379395280499</v>
      </c>
      <c r="DT185" s="4">
        <f t="shared" si="490"/>
        <v>2.2360679774997898</v>
      </c>
      <c r="DU185" s="4">
        <f t="shared" si="441"/>
        <v>148.25707916260185</v>
      </c>
      <c r="DY185" s="4">
        <f t="shared" si="387"/>
        <v>1</v>
      </c>
      <c r="DZ185" s="4">
        <f t="shared" si="412"/>
        <v>1</v>
      </c>
      <c r="EA185" s="4">
        <f t="shared" si="514"/>
        <v>1</v>
      </c>
      <c r="EB185" s="4">
        <f t="shared" si="414"/>
        <v>1</v>
      </c>
      <c r="ED185" s="4">
        <f t="shared" si="515"/>
        <v>351.00262131318948</v>
      </c>
      <c r="EE185" s="25">
        <f t="shared" si="516"/>
        <v>147.09004813536899</v>
      </c>
      <c r="EH185" s="4">
        <f t="shared" si="517"/>
        <v>5.2285275173800132</v>
      </c>
      <c r="EK185" s="4">
        <f t="shared" si="491"/>
        <v>128.12669511073796</v>
      </c>
      <c r="EL185" s="4">
        <f t="shared" si="492"/>
        <v>2.2360679774997898</v>
      </c>
      <c r="EM185" s="4">
        <f t="shared" si="493"/>
        <v>0.15877045999106873</v>
      </c>
      <c r="EP185" s="4">
        <f t="shared" si="541"/>
        <v>0.15877045999106873</v>
      </c>
      <c r="EQ185" s="4">
        <f t="shared" si="542"/>
        <v>0.45549284993711125</v>
      </c>
      <c r="ER185" s="4">
        <f t="shared" si="371"/>
        <v>3.8174382755665395</v>
      </c>
      <c r="ES185" s="4">
        <f t="shared" si="388"/>
        <v>4.5778116928835146</v>
      </c>
      <c r="ET185" s="4">
        <f t="shared" si="372"/>
        <v>430.548304889262</v>
      </c>
      <c r="EU185" s="4">
        <f t="shared" si="373"/>
        <v>186.22500000000002</v>
      </c>
      <c r="EV185" s="4">
        <f t="shared" si="415"/>
        <v>2.4945063339588331E-5</v>
      </c>
      <c r="EW185" s="4">
        <f t="shared" si="389"/>
        <v>4.4780444122745671</v>
      </c>
      <c r="EX185" s="4">
        <f t="shared" si="466"/>
        <v>378.20532594701001</v>
      </c>
      <c r="FG185" s="23">
        <f t="shared" si="494"/>
        <v>1.2</v>
      </c>
      <c r="FH185" s="23">
        <f t="shared" si="494"/>
        <v>1.4</v>
      </c>
      <c r="FI185" s="23">
        <f t="shared" si="495"/>
        <v>1.6</v>
      </c>
      <c r="FJ185" s="23">
        <f t="shared" si="496"/>
        <v>2.2000000000000002</v>
      </c>
      <c r="FK185" s="23">
        <f t="shared" si="496"/>
        <v>1.2</v>
      </c>
      <c r="FL185" s="23">
        <f t="shared" si="496"/>
        <v>1.4</v>
      </c>
      <c r="FM185" s="23">
        <f t="shared" si="497"/>
        <v>0</v>
      </c>
      <c r="FN185" s="23"/>
      <c r="FX185" s="4">
        <f t="shared" si="416"/>
        <v>1.25</v>
      </c>
      <c r="FY185" s="4">
        <f t="shared" si="469"/>
        <v>0.56666666666666665</v>
      </c>
      <c r="FZ185" s="4">
        <f t="shared" si="417"/>
        <v>0</v>
      </c>
      <c r="GA185" s="4">
        <f t="shared" si="418"/>
        <v>307.37725820320077</v>
      </c>
    </row>
    <row r="186" spans="1:183" ht="12" hidden="1" customHeight="1" x14ac:dyDescent="0.3">
      <c r="A186" s="25">
        <v>168</v>
      </c>
      <c r="B186" s="24" t="s">
        <v>128</v>
      </c>
      <c r="C186" s="24">
        <v>2017</v>
      </c>
      <c r="D186" s="24" t="s">
        <v>309</v>
      </c>
      <c r="E186" s="24"/>
      <c r="F186" s="4" t="s">
        <v>175</v>
      </c>
      <c r="G186" s="7">
        <v>583</v>
      </c>
      <c r="H186" s="7">
        <f t="shared" si="546"/>
        <v>744.9</v>
      </c>
      <c r="I186" s="7">
        <f t="shared" si="455"/>
        <v>744.9</v>
      </c>
      <c r="J186" s="7">
        <v>40.5</v>
      </c>
      <c r="K186" s="37">
        <v>57.3</v>
      </c>
      <c r="L186" s="7">
        <f t="shared" si="498"/>
        <v>13</v>
      </c>
      <c r="M186" s="7">
        <f t="shared" si="499"/>
        <v>13</v>
      </c>
      <c r="N186" s="7">
        <f t="shared" si="500"/>
        <v>584.46</v>
      </c>
      <c r="O186" s="7">
        <f t="shared" si="533"/>
        <v>57.3</v>
      </c>
      <c r="P186" s="7">
        <f t="shared" si="501"/>
        <v>56</v>
      </c>
      <c r="Q186" s="7">
        <f t="shared" si="535"/>
        <v>355.26</v>
      </c>
      <c r="R186" s="7">
        <v>2</v>
      </c>
      <c r="S186" s="7">
        <f t="shared" ref="S186:S191" si="547">2/3*H186-0.5*240</f>
        <v>376.59999999999997</v>
      </c>
      <c r="T186" s="7">
        <f t="shared" si="475"/>
        <v>1.5</v>
      </c>
      <c r="U186" s="7">
        <f t="shared" si="459"/>
        <v>1.5</v>
      </c>
      <c r="V186" s="7">
        <f t="shared" si="472"/>
        <v>4</v>
      </c>
      <c r="W186" s="7">
        <f t="shared" si="472"/>
        <v>4</v>
      </c>
      <c r="X186" s="7">
        <f t="shared" si="431"/>
        <v>5</v>
      </c>
      <c r="Y186" s="7">
        <f t="shared" si="352"/>
        <v>128.12669511073796</v>
      </c>
      <c r="Z186" s="7">
        <f t="shared" si="461"/>
        <v>583</v>
      </c>
      <c r="AA186" s="7">
        <v>25</v>
      </c>
      <c r="AB186" s="7">
        <f>(586+586)/2</f>
        <v>586</v>
      </c>
      <c r="AC186" s="7"/>
      <c r="AD186" s="4">
        <f t="shared" si="476"/>
        <v>1.4903787129361226</v>
      </c>
      <c r="AE186" s="7">
        <v>15.9</v>
      </c>
      <c r="AF186" s="7">
        <v>3</v>
      </c>
      <c r="AG186" s="7">
        <v>275</v>
      </c>
      <c r="AH186" s="7">
        <v>4</v>
      </c>
      <c r="AI186" s="7">
        <f t="shared" ref="AI186:AI188" si="548">AF186</f>
        <v>3</v>
      </c>
      <c r="AJ186" s="7">
        <f t="shared" si="473"/>
        <v>5.4166666666666661</v>
      </c>
      <c r="AK186" s="4">
        <f t="shared" si="504"/>
        <v>744.9</v>
      </c>
      <c r="AL186" s="4">
        <f t="shared" si="505"/>
        <v>0.2615384615384615</v>
      </c>
      <c r="AM186" s="4">
        <f t="shared" si="506"/>
        <v>250.86804884585459</v>
      </c>
      <c r="AN186" s="4">
        <f t="shared" si="507"/>
        <v>0.72307692307692306</v>
      </c>
      <c r="AO186" s="4">
        <v>1.25</v>
      </c>
      <c r="AP186" s="4">
        <f t="shared" si="508"/>
        <v>2.5</v>
      </c>
      <c r="AQ186" s="38">
        <f t="shared" si="509"/>
        <v>148.25707916260191</v>
      </c>
      <c r="AR186" s="38">
        <f t="shared" si="510"/>
        <v>148.25707916260191</v>
      </c>
      <c r="AS186" s="38">
        <f t="shared" si="511"/>
        <v>3.538000882182009</v>
      </c>
      <c r="AT186" s="38">
        <f t="shared" si="450"/>
        <v>148.25707916260185</v>
      </c>
      <c r="AU186" s="38">
        <f t="shared" si="400"/>
        <v>1.0000000000000004</v>
      </c>
      <c r="AV186" s="38">
        <f t="shared" si="537"/>
        <v>1.6390448359871455</v>
      </c>
      <c r="AW186" s="4">
        <f t="shared" si="529"/>
        <v>0</v>
      </c>
      <c r="AX186" s="4">
        <f t="shared" si="379"/>
        <v>435.4289126254003</v>
      </c>
      <c r="AY186" s="4">
        <f t="shared" si="380"/>
        <v>1</v>
      </c>
      <c r="AZ186" s="38">
        <f t="shared" si="438"/>
        <v>243</v>
      </c>
      <c r="BA186" s="4">
        <f t="shared" si="381"/>
        <v>0.44000000000000006</v>
      </c>
      <c r="BB186" s="4">
        <f t="shared" si="401"/>
        <v>100.10510701257954</v>
      </c>
      <c r="BC186" s="4">
        <f t="shared" si="402"/>
        <v>343.10510701257954</v>
      </c>
      <c r="BE186" s="4">
        <f t="shared" si="451"/>
        <v>1.201612194511575</v>
      </c>
      <c r="BF186" s="4">
        <f t="shared" si="452"/>
        <v>527.64390941035731</v>
      </c>
      <c r="BH186" s="4">
        <f t="shared" si="463"/>
        <v>233.06671696357813</v>
      </c>
      <c r="BI186" s="4">
        <f t="shared" si="464"/>
        <v>450.3525339151019</v>
      </c>
      <c r="BJ186" s="4">
        <f t="shared" si="465"/>
        <v>1.9322902033475655</v>
      </c>
      <c r="BR186" s="4">
        <f t="shared" si="539"/>
        <v>57.3</v>
      </c>
      <c r="BV186" s="9"/>
      <c r="BX186" s="9"/>
      <c r="BY186" s="9"/>
      <c r="BZ186" s="9">
        <f t="shared" si="383"/>
        <v>56</v>
      </c>
      <c r="CA186" s="9">
        <f t="shared" si="384"/>
        <v>177.63</v>
      </c>
      <c r="CB186" s="9">
        <f t="shared" si="403"/>
        <v>1.1754818988273255</v>
      </c>
      <c r="CC186" s="9">
        <v>20</v>
      </c>
      <c r="CD186" s="9">
        <f t="shared" si="518"/>
        <v>3.7802286470920307E-2</v>
      </c>
      <c r="CE186" s="9">
        <f t="shared" si="404"/>
        <v>0.55604572941840613</v>
      </c>
      <c r="CF186" s="9">
        <f t="shared" si="385"/>
        <v>0.77971450958075206</v>
      </c>
      <c r="CG186" s="9">
        <f t="shared" si="386"/>
        <v>0.87549999999999994</v>
      </c>
      <c r="CH186" s="9">
        <f t="shared" si="405"/>
        <v>1.5205031436526735</v>
      </c>
      <c r="CI186" s="9">
        <f t="shared" si="406"/>
        <v>2.632793202069093</v>
      </c>
      <c r="CJ186" s="9">
        <v>1</v>
      </c>
      <c r="CK186" s="9">
        <f t="shared" si="407"/>
        <v>294.87283863173843</v>
      </c>
      <c r="CM186" s="4">
        <f t="shared" si="477"/>
        <v>1.3457994703813709</v>
      </c>
      <c r="CN186" s="4">
        <f t="shared" si="478"/>
        <v>1.7079314414824931</v>
      </c>
      <c r="CO186" s="4">
        <f t="shared" si="479"/>
        <v>1.1105974873373516</v>
      </c>
      <c r="CP186" s="4">
        <f t="shared" si="480"/>
        <v>1.9872973133746143</v>
      </c>
      <c r="CQ186" s="4">
        <f t="shared" si="481"/>
        <v>1.4903787129361226</v>
      </c>
      <c r="CR186" s="4">
        <f t="shared" si="482"/>
        <v>1.6061312508358303</v>
      </c>
      <c r="CS186" s="4">
        <f t="shared" si="483"/>
        <v>1.2470860052703576</v>
      </c>
      <c r="DA186" s="4">
        <f t="shared" ref="DA186:DB188" si="549">CM186</f>
        <v>1.3457994703813709</v>
      </c>
      <c r="DB186" s="4">
        <f t="shared" si="549"/>
        <v>1.7079314414824931</v>
      </c>
      <c r="DC186" s="4">
        <f>CP186</f>
        <v>1.9872973133746143</v>
      </c>
      <c r="DD186" s="4">
        <f t="shared" ref="DD186:DD188" si="550">CS186</f>
        <v>1.2470860052703576</v>
      </c>
      <c r="DE186" s="4">
        <f t="shared" ref="DE186:DF188" si="551">CQ186</f>
        <v>1.4903787129361226</v>
      </c>
      <c r="DF186" s="4">
        <f t="shared" si="551"/>
        <v>1.6061312508358303</v>
      </c>
      <c r="DH186" s="4">
        <f t="shared" si="362"/>
        <v>3</v>
      </c>
      <c r="DI186" s="4">
        <f t="shared" si="453"/>
        <v>744.9</v>
      </c>
      <c r="DL186" s="4">
        <f t="shared" si="485"/>
        <v>2.4945063339588324E-5</v>
      </c>
      <c r="DM186" s="4">
        <f t="shared" si="366"/>
        <v>5.5836366123976697</v>
      </c>
      <c r="DN186" s="4">
        <f t="shared" si="486"/>
        <v>0.45625425325155472</v>
      </c>
      <c r="DO186" s="4">
        <f t="shared" si="487"/>
        <v>4.0794340517682928</v>
      </c>
      <c r="DP186" s="4">
        <f t="shared" si="488"/>
        <v>4.8898608766514151</v>
      </c>
      <c r="DQ186" s="4">
        <f t="shared" si="489"/>
        <v>4.7288983440601244</v>
      </c>
      <c r="DR186" s="38">
        <f t="shared" si="513"/>
        <v>393.18865393987676</v>
      </c>
      <c r="DS186" s="4">
        <f t="shared" si="411"/>
        <v>1.0001412474896851</v>
      </c>
      <c r="DT186" s="4">
        <f t="shared" si="490"/>
        <v>2.2360679774997898</v>
      </c>
      <c r="DU186" s="4">
        <f t="shared" si="441"/>
        <v>148.25707916260185</v>
      </c>
      <c r="DY186" s="4">
        <f t="shared" si="387"/>
        <v>1</v>
      </c>
      <c r="DZ186" s="4">
        <f t="shared" si="412"/>
        <v>1</v>
      </c>
      <c r="EA186" s="4">
        <f t="shared" si="514"/>
        <v>0.93640182560785068</v>
      </c>
      <c r="EB186" s="4">
        <f t="shared" si="414"/>
        <v>0.93640182560785068</v>
      </c>
      <c r="ED186" s="4">
        <f t="shared" si="515"/>
        <v>364.8518760188781</v>
      </c>
      <c r="EE186" s="25">
        <f t="shared" si="516"/>
        <v>147.09004813536899</v>
      </c>
      <c r="EH186" s="4">
        <f t="shared" si="517"/>
        <v>5.5836366123976697</v>
      </c>
      <c r="EK186" s="4">
        <f t="shared" si="491"/>
        <v>128.12669511073796</v>
      </c>
      <c r="EL186" s="4">
        <f t="shared" si="492"/>
        <v>2.2360679774997898</v>
      </c>
      <c r="EM186" s="4">
        <f t="shared" si="493"/>
        <v>0.15877045999106873</v>
      </c>
      <c r="EP186" s="4">
        <f t="shared" si="541"/>
        <v>0.15877045999106873</v>
      </c>
      <c r="EQ186" s="4">
        <f t="shared" si="542"/>
        <v>0.45549284993711125</v>
      </c>
      <c r="ER186" s="4">
        <f t="shared" si="371"/>
        <v>4.07670956118492</v>
      </c>
      <c r="ES186" s="4">
        <f t="shared" si="388"/>
        <v>4.888725724036151</v>
      </c>
      <c r="ET186" s="4">
        <f t="shared" si="372"/>
        <v>430.548304889262</v>
      </c>
      <c r="EU186" s="4">
        <f t="shared" si="373"/>
        <v>186.22500000000002</v>
      </c>
      <c r="EV186" s="4">
        <f t="shared" si="415"/>
        <v>2.4945063339588331E-5</v>
      </c>
      <c r="EW186" s="4">
        <f t="shared" si="389"/>
        <v>4.7291258329784815</v>
      </c>
      <c r="EX186" s="4">
        <f t="shared" si="466"/>
        <v>393.13312487287641</v>
      </c>
      <c r="FG186" s="23">
        <f t="shared" si="494"/>
        <v>1.4</v>
      </c>
      <c r="FH186" s="23">
        <f t="shared" si="494"/>
        <v>1.8</v>
      </c>
      <c r="FI186" s="23">
        <f t="shared" si="495"/>
        <v>1.4</v>
      </c>
      <c r="FJ186" s="23">
        <f t="shared" si="496"/>
        <v>2</v>
      </c>
      <c r="FK186" s="23">
        <f t="shared" si="496"/>
        <v>1.6</v>
      </c>
      <c r="FL186" s="23">
        <f t="shared" si="496"/>
        <v>1.8</v>
      </c>
      <c r="FM186" s="23">
        <f t="shared" si="497"/>
        <v>0</v>
      </c>
      <c r="FN186" s="23"/>
      <c r="FX186" s="4">
        <f t="shared" si="416"/>
        <v>1.25</v>
      </c>
      <c r="FY186" s="4">
        <f t="shared" si="469"/>
        <v>0.37067917575318227</v>
      </c>
      <c r="FZ186" s="4">
        <f t="shared" si="417"/>
        <v>0.3</v>
      </c>
      <c r="GA186" s="4">
        <f t="shared" si="418"/>
        <v>469.89541821773565</v>
      </c>
    </row>
    <row r="187" spans="1:183" ht="12" hidden="1" customHeight="1" x14ac:dyDescent="0.3">
      <c r="A187" s="25">
        <v>169</v>
      </c>
      <c r="B187" s="24" t="s">
        <v>128</v>
      </c>
      <c r="C187" s="24">
        <v>2017</v>
      </c>
      <c r="D187" s="24" t="s">
        <v>309</v>
      </c>
      <c r="E187" s="24"/>
      <c r="F187" s="4" t="s">
        <v>176</v>
      </c>
      <c r="G187" s="7">
        <v>583</v>
      </c>
      <c r="H187" s="7">
        <f t="shared" si="546"/>
        <v>744.9</v>
      </c>
      <c r="I187" s="7">
        <f t="shared" si="455"/>
        <v>744.9</v>
      </c>
      <c r="J187" s="7">
        <v>40.5</v>
      </c>
      <c r="K187" s="37">
        <v>57.3</v>
      </c>
      <c r="L187" s="7">
        <f t="shared" si="498"/>
        <v>13</v>
      </c>
      <c r="M187" s="7">
        <f t="shared" si="499"/>
        <v>13</v>
      </c>
      <c r="N187" s="7">
        <f t="shared" si="500"/>
        <v>584.46</v>
      </c>
      <c r="O187" s="7">
        <f t="shared" si="533"/>
        <v>57.3</v>
      </c>
      <c r="P187" s="7">
        <f t="shared" si="501"/>
        <v>56</v>
      </c>
      <c r="Q187" s="7">
        <f t="shared" si="535"/>
        <v>355.26</v>
      </c>
      <c r="R187" s="7">
        <v>2</v>
      </c>
      <c r="S187" s="7">
        <f t="shared" si="547"/>
        <v>376.59999999999997</v>
      </c>
      <c r="T187" s="7">
        <f t="shared" si="475"/>
        <v>1.5</v>
      </c>
      <c r="U187" s="7">
        <f t="shared" si="459"/>
        <v>1.5</v>
      </c>
      <c r="V187" s="7">
        <f t="shared" si="472"/>
        <v>4</v>
      </c>
      <c r="W187" s="7">
        <f t="shared" si="472"/>
        <v>4</v>
      </c>
      <c r="X187" s="7">
        <f t="shared" si="431"/>
        <v>5</v>
      </c>
      <c r="Y187" s="7">
        <f t="shared" si="352"/>
        <v>128.12669511073796</v>
      </c>
      <c r="Z187" s="7">
        <f t="shared" si="461"/>
        <v>583</v>
      </c>
      <c r="AA187" s="7">
        <v>25</v>
      </c>
      <c r="AB187" s="7">
        <f>(586+586)/2</f>
        <v>586</v>
      </c>
      <c r="AC187" s="7"/>
      <c r="AD187" s="4">
        <f t="shared" si="476"/>
        <v>1.3995998347943011</v>
      </c>
      <c r="AE187" s="7">
        <v>15.9</v>
      </c>
      <c r="AF187" s="7">
        <v>5</v>
      </c>
      <c r="AG187" s="7">
        <v>138</v>
      </c>
      <c r="AH187" s="7">
        <v>6</v>
      </c>
      <c r="AI187" s="7">
        <f t="shared" si="548"/>
        <v>5</v>
      </c>
      <c r="AJ187" s="7">
        <f t="shared" si="473"/>
        <v>5.4166666666666661</v>
      </c>
      <c r="AK187" s="4">
        <f t="shared" si="504"/>
        <v>744.9</v>
      </c>
      <c r="AL187" s="4">
        <f t="shared" si="505"/>
        <v>0.2615384615384615</v>
      </c>
      <c r="AM187" s="4">
        <f t="shared" si="506"/>
        <v>250.86804884585459</v>
      </c>
      <c r="AN187" s="4">
        <f t="shared" si="507"/>
        <v>0.72307692307692306</v>
      </c>
      <c r="AO187" s="4">
        <v>1.25</v>
      </c>
      <c r="AP187" s="4">
        <f t="shared" si="508"/>
        <v>2.5</v>
      </c>
      <c r="AQ187" s="38">
        <f t="shared" si="509"/>
        <v>148.25707916260191</v>
      </c>
      <c r="AR187" s="38">
        <f t="shared" si="510"/>
        <v>148.25707916260191</v>
      </c>
      <c r="AS187" s="38">
        <f t="shared" si="511"/>
        <v>3.538000882182009</v>
      </c>
      <c r="AT187" s="38">
        <f t="shared" si="450"/>
        <v>148.25707916260185</v>
      </c>
      <c r="AU187" s="38">
        <f t="shared" si="400"/>
        <v>1.0000000000000004</v>
      </c>
      <c r="AV187" s="38">
        <f t="shared" si="537"/>
        <v>1.6390448359871455</v>
      </c>
      <c r="AW187" s="4">
        <f t="shared" si="529"/>
        <v>0</v>
      </c>
      <c r="AX187" s="4">
        <f t="shared" si="379"/>
        <v>435.4289126254003</v>
      </c>
      <c r="AY187" s="4">
        <f t="shared" si="380"/>
        <v>1</v>
      </c>
      <c r="AZ187" s="38">
        <f t="shared" si="438"/>
        <v>243</v>
      </c>
      <c r="BA187" s="4">
        <f t="shared" si="381"/>
        <v>0.44000000000000006</v>
      </c>
      <c r="BB187" s="4">
        <f t="shared" si="401"/>
        <v>100.10510701257954</v>
      </c>
      <c r="BC187" s="4">
        <f t="shared" si="402"/>
        <v>343.10510701257954</v>
      </c>
      <c r="BE187" s="4">
        <f t="shared" si="451"/>
        <v>1.4</v>
      </c>
      <c r="BF187" s="4">
        <f t="shared" si="452"/>
        <v>614.75863556358433</v>
      </c>
      <c r="BH187" s="4">
        <f t="shared" si="463"/>
        <v>233.06671696357813</v>
      </c>
      <c r="BI187" s="4">
        <f t="shared" si="464"/>
        <v>450.3525339151019</v>
      </c>
      <c r="BJ187" s="4">
        <f t="shared" si="465"/>
        <v>1.9322902033475655</v>
      </c>
      <c r="BR187" s="4">
        <f t="shared" si="539"/>
        <v>57.3</v>
      </c>
      <c r="BV187" s="9"/>
      <c r="BX187" s="9"/>
      <c r="BY187" s="9"/>
      <c r="BZ187" s="9">
        <f t="shared" si="383"/>
        <v>56</v>
      </c>
      <c r="CA187" s="9">
        <f t="shared" si="384"/>
        <v>177.63</v>
      </c>
      <c r="CB187" s="9">
        <f t="shared" si="403"/>
        <v>1.1754818988273255</v>
      </c>
      <c r="CC187" s="9">
        <v>20</v>
      </c>
      <c r="CD187" s="9">
        <f t="shared" si="518"/>
        <v>0.05</v>
      </c>
      <c r="CE187" s="9">
        <f t="shared" si="404"/>
        <v>0.8</v>
      </c>
      <c r="CF187" s="9">
        <f t="shared" si="385"/>
        <v>0.77971450958075206</v>
      </c>
      <c r="CG187" s="9">
        <f t="shared" si="386"/>
        <v>0.87549999999999994</v>
      </c>
      <c r="CH187" s="9">
        <f t="shared" si="405"/>
        <v>1.5205031436526735</v>
      </c>
      <c r="CI187" s="9">
        <f t="shared" si="406"/>
        <v>3.0037264373959012</v>
      </c>
      <c r="CJ187" s="9">
        <v>1</v>
      </c>
      <c r="CK187" s="9">
        <f t="shared" si="407"/>
        <v>336.41736098834093</v>
      </c>
      <c r="CM187" s="4">
        <f t="shared" si="477"/>
        <v>1.3457994703813709</v>
      </c>
      <c r="CN187" s="4">
        <f t="shared" si="478"/>
        <v>1.7079314414824931</v>
      </c>
      <c r="CO187" s="4">
        <f t="shared" si="479"/>
        <v>0.95321963141319743</v>
      </c>
      <c r="CP187" s="4">
        <f t="shared" si="480"/>
        <v>1.7418839452233523</v>
      </c>
      <c r="CQ187" s="4">
        <f t="shared" si="481"/>
        <v>1.3995998347943011</v>
      </c>
      <c r="CR187" s="4">
        <f t="shared" si="482"/>
        <v>1.5076213914643732</v>
      </c>
      <c r="CS187" s="4">
        <f t="shared" si="483"/>
        <v>1.2470860052703576</v>
      </c>
      <c r="DA187" s="4">
        <f t="shared" si="549"/>
        <v>1.3457994703813709</v>
      </c>
      <c r="DB187" s="4">
        <f t="shared" si="549"/>
        <v>1.7079314414824931</v>
      </c>
      <c r="DC187" s="4">
        <f>CP187</f>
        <v>1.7418839452233523</v>
      </c>
      <c r="DD187" s="4">
        <f t="shared" si="550"/>
        <v>1.2470860052703576</v>
      </c>
      <c r="DE187" s="4">
        <f t="shared" si="551"/>
        <v>1.3995998347943011</v>
      </c>
      <c r="DF187" s="4">
        <f t="shared" si="551"/>
        <v>1.5076213914643732</v>
      </c>
      <c r="DH187" s="4">
        <f t="shared" si="362"/>
        <v>5</v>
      </c>
      <c r="DI187" s="4">
        <f t="shared" si="453"/>
        <v>744.9</v>
      </c>
      <c r="DL187" s="4">
        <f t="shared" si="485"/>
        <v>2.4945063339588324E-5</v>
      </c>
      <c r="DM187" s="4">
        <f t="shared" si="366"/>
        <v>6.1949154836920748</v>
      </c>
      <c r="DN187" s="4">
        <f t="shared" si="486"/>
        <v>0.45625425325155472</v>
      </c>
      <c r="DO187" s="4">
        <f t="shared" si="487"/>
        <v>4.5260375855921167</v>
      </c>
      <c r="DP187" s="4">
        <f t="shared" si="488"/>
        <v>5.4251873753045228</v>
      </c>
      <c r="DQ187" s="4">
        <f t="shared" si="489"/>
        <v>5.1456890319944577</v>
      </c>
      <c r="DR187" s="38">
        <f t="shared" si="513"/>
        <v>418.69110400839986</v>
      </c>
      <c r="DS187" s="4">
        <f t="shared" si="411"/>
        <v>1.0001463322692512</v>
      </c>
      <c r="DT187" s="4">
        <f t="shared" si="490"/>
        <v>2.2360679774997898</v>
      </c>
      <c r="DU187" s="4">
        <f t="shared" si="441"/>
        <v>148.25707916260185</v>
      </c>
      <c r="DY187" s="4">
        <f t="shared" si="387"/>
        <v>1</v>
      </c>
      <c r="DZ187" s="4">
        <f t="shared" si="412"/>
        <v>1</v>
      </c>
      <c r="EA187" s="4">
        <f t="shared" si="514"/>
        <v>0.84400304267975113</v>
      </c>
      <c r="EB187" s="4">
        <f t="shared" si="414"/>
        <v>0.84400304267975113</v>
      </c>
      <c r="ED187" s="4">
        <f t="shared" si="515"/>
        <v>388.69175199935989</v>
      </c>
      <c r="EE187" s="25">
        <f t="shared" si="516"/>
        <v>147.09004813536899</v>
      </c>
      <c r="EH187" s="4">
        <f t="shared" si="517"/>
        <v>6.1949154836920748</v>
      </c>
      <c r="EK187" s="4">
        <f t="shared" si="491"/>
        <v>128.12669511073796</v>
      </c>
      <c r="EL187" s="4">
        <f t="shared" si="492"/>
        <v>2.2360679774997898</v>
      </c>
      <c r="EM187" s="4">
        <f t="shared" si="493"/>
        <v>0.15877045999106873</v>
      </c>
      <c r="EP187" s="4">
        <f t="shared" si="541"/>
        <v>0.15877045999106873</v>
      </c>
      <c r="EQ187" s="4">
        <f t="shared" si="542"/>
        <v>0.45549284993711125</v>
      </c>
      <c r="ER187" s="4">
        <f t="shared" si="371"/>
        <v>4.5230148263991863</v>
      </c>
      <c r="ES187" s="4">
        <f t="shared" si="388"/>
        <v>5.4239279497722386</v>
      </c>
      <c r="ET187" s="4">
        <f t="shared" si="372"/>
        <v>430.548304889262</v>
      </c>
      <c r="EU187" s="4">
        <f t="shared" si="373"/>
        <v>186.22500000000002</v>
      </c>
      <c r="EV187" s="4">
        <f t="shared" si="415"/>
        <v>2.4945063339588331E-5</v>
      </c>
      <c r="EW187" s="4">
        <f t="shared" si="389"/>
        <v>5.1459682840175045</v>
      </c>
      <c r="EX187" s="4">
        <f t="shared" si="466"/>
        <v>418.62984495321155</v>
      </c>
      <c r="FG187" s="23">
        <f t="shared" si="494"/>
        <v>1.4</v>
      </c>
      <c r="FH187" s="23">
        <f t="shared" si="494"/>
        <v>1.8</v>
      </c>
      <c r="FI187" s="23">
        <f t="shared" si="495"/>
        <v>1.4</v>
      </c>
      <c r="FJ187" s="23">
        <f t="shared" si="496"/>
        <v>1.8</v>
      </c>
      <c r="FK187" s="23">
        <f t="shared" si="496"/>
        <v>1.4</v>
      </c>
      <c r="FL187" s="23">
        <f t="shared" si="496"/>
        <v>1.6</v>
      </c>
      <c r="FM187" s="23">
        <f t="shared" si="497"/>
        <v>0</v>
      </c>
      <c r="FN187" s="23"/>
      <c r="FX187" s="4">
        <f t="shared" si="416"/>
        <v>1.25</v>
      </c>
      <c r="FY187" s="4">
        <f t="shared" si="469"/>
        <v>0.37067917575318227</v>
      </c>
      <c r="FZ187" s="4">
        <f t="shared" si="417"/>
        <v>0.3</v>
      </c>
      <c r="GA187" s="4">
        <f t="shared" si="418"/>
        <v>469.89541821773565</v>
      </c>
    </row>
    <row r="188" spans="1:183" ht="12" hidden="1" customHeight="1" x14ac:dyDescent="0.3">
      <c r="A188" s="25">
        <v>170</v>
      </c>
      <c r="B188" s="24" t="s">
        <v>128</v>
      </c>
      <c r="C188" s="24">
        <v>2017</v>
      </c>
      <c r="D188" s="24" t="s">
        <v>309</v>
      </c>
      <c r="E188" s="24"/>
      <c r="F188" s="4" t="s">
        <v>177</v>
      </c>
      <c r="G188" s="7">
        <v>583</v>
      </c>
      <c r="H188" s="7">
        <f t="shared" si="546"/>
        <v>744.9</v>
      </c>
      <c r="I188" s="7">
        <f t="shared" si="455"/>
        <v>744.9</v>
      </c>
      <c r="J188" s="7">
        <v>40.5</v>
      </c>
      <c r="K188" s="37">
        <v>57.3</v>
      </c>
      <c r="L188" s="7">
        <f t="shared" si="498"/>
        <v>13</v>
      </c>
      <c r="M188" s="7">
        <f t="shared" si="499"/>
        <v>13</v>
      </c>
      <c r="N188" s="7">
        <f t="shared" si="500"/>
        <v>584.46</v>
      </c>
      <c r="O188" s="7">
        <f t="shared" si="533"/>
        <v>57.3</v>
      </c>
      <c r="P188" s="7">
        <f t="shared" si="501"/>
        <v>56</v>
      </c>
      <c r="Q188" s="7">
        <f t="shared" si="535"/>
        <v>355.26</v>
      </c>
      <c r="R188" s="7">
        <v>2</v>
      </c>
      <c r="S188" s="7">
        <f t="shared" si="547"/>
        <v>376.59999999999997</v>
      </c>
      <c r="T188" s="7">
        <f t="shared" si="475"/>
        <v>1.5</v>
      </c>
      <c r="U188" s="7">
        <f t="shared" si="459"/>
        <v>1.5</v>
      </c>
      <c r="V188" s="7">
        <f t="shared" si="472"/>
        <v>4</v>
      </c>
      <c r="W188" s="7">
        <f t="shared" si="472"/>
        <v>4</v>
      </c>
      <c r="X188" s="7">
        <f t="shared" si="431"/>
        <v>5</v>
      </c>
      <c r="Y188" s="7">
        <f t="shared" si="352"/>
        <v>128.12669511073796</v>
      </c>
      <c r="Z188" s="7">
        <f t="shared" si="461"/>
        <v>583</v>
      </c>
      <c r="AA188" s="7">
        <v>25</v>
      </c>
      <c r="AB188" s="7">
        <f>(588+588)/2</f>
        <v>588</v>
      </c>
      <c r="AC188" s="7"/>
      <c r="AD188" s="4">
        <f t="shared" si="476"/>
        <v>1.4954653297038225</v>
      </c>
      <c r="AE188" s="7">
        <v>15.9</v>
      </c>
      <c r="AF188" s="7">
        <v>3</v>
      </c>
      <c r="AG188" s="7">
        <v>275</v>
      </c>
      <c r="AH188" s="7">
        <v>4</v>
      </c>
      <c r="AI188" s="7">
        <f t="shared" si="548"/>
        <v>3</v>
      </c>
      <c r="AJ188" s="7">
        <f t="shared" si="473"/>
        <v>5.4166666666666661</v>
      </c>
      <c r="AK188" s="4">
        <f t="shared" si="504"/>
        <v>744.9</v>
      </c>
      <c r="AL188" s="4">
        <f t="shared" si="505"/>
        <v>0.2615384615384615</v>
      </c>
      <c r="AM188" s="4">
        <f t="shared" si="506"/>
        <v>250.86804884585459</v>
      </c>
      <c r="AN188" s="4">
        <f t="shared" si="507"/>
        <v>0.72307692307692306</v>
      </c>
      <c r="AO188" s="4">
        <v>1.25</v>
      </c>
      <c r="AP188" s="4">
        <f t="shared" si="508"/>
        <v>2.5</v>
      </c>
      <c r="AQ188" s="38">
        <f t="shared" si="509"/>
        <v>148.25707916260191</v>
      </c>
      <c r="AR188" s="38">
        <f t="shared" si="510"/>
        <v>148.25707916260191</v>
      </c>
      <c r="AS188" s="38">
        <f t="shared" si="511"/>
        <v>3.538000882182009</v>
      </c>
      <c r="AT188" s="38">
        <f t="shared" si="450"/>
        <v>148.25707916260185</v>
      </c>
      <c r="AU188" s="38">
        <f t="shared" si="400"/>
        <v>1.0000000000000004</v>
      </c>
      <c r="AV188" s="38">
        <f t="shared" si="537"/>
        <v>1.6390448359871455</v>
      </c>
      <c r="AW188" s="4">
        <f t="shared" si="529"/>
        <v>0</v>
      </c>
      <c r="AX188" s="4">
        <f t="shared" si="379"/>
        <v>435.4289126254003</v>
      </c>
      <c r="AY188" s="4">
        <f t="shared" si="380"/>
        <v>1</v>
      </c>
      <c r="AZ188" s="38">
        <f t="shared" si="438"/>
        <v>243</v>
      </c>
      <c r="BA188" s="4">
        <f t="shared" si="381"/>
        <v>0.44000000000000006</v>
      </c>
      <c r="BB188" s="4">
        <f t="shared" si="401"/>
        <v>100.10510701257954</v>
      </c>
      <c r="BC188" s="4">
        <f t="shared" si="402"/>
        <v>343.10510701257954</v>
      </c>
      <c r="BE188" s="4">
        <f t="shared" si="451"/>
        <v>1.201612194511575</v>
      </c>
      <c r="BF188" s="4">
        <f t="shared" si="452"/>
        <v>527.64390941035731</v>
      </c>
      <c r="BH188" s="4">
        <f t="shared" si="463"/>
        <v>233.06671696357813</v>
      </c>
      <c r="BI188" s="4">
        <f t="shared" si="464"/>
        <v>450.3525339151019</v>
      </c>
      <c r="BJ188" s="4">
        <f t="shared" si="465"/>
        <v>1.9322902033475655</v>
      </c>
      <c r="BR188" s="4">
        <f t="shared" si="539"/>
        <v>57.3</v>
      </c>
      <c r="BV188" s="9"/>
      <c r="BX188" s="9"/>
      <c r="BY188" s="9"/>
      <c r="BZ188" s="9">
        <f t="shared" si="383"/>
        <v>56</v>
      </c>
      <c r="CA188" s="9">
        <f t="shared" si="384"/>
        <v>177.63</v>
      </c>
      <c r="CB188" s="9">
        <f t="shared" si="403"/>
        <v>1.1754818988273255</v>
      </c>
      <c r="CC188" s="9">
        <v>20</v>
      </c>
      <c r="CD188" s="9">
        <f t="shared" si="518"/>
        <v>3.7802286470920307E-2</v>
      </c>
      <c r="CE188" s="9">
        <f t="shared" si="404"/>
        <v>0.55604572941840613</v>
      </c>
      <c r="CF188" s="9">
        <f t="shared" si="385"/>
        <v>0.77971450958075206</v>
      </c>
      <c r="CG188" s="9">
        <f t="shared" si="386"/>
        <v>0.87549999999999994</v>
      </c>
      <c r="CH188" s="9">
        <f t="shared" si="405"/>
        <v>1.5205031436526735</v>
      </c>
      <c r="CI188" s="9">
        <f t="shared" si="406"/>
        <v>2.632793202069093</v>
      </c>
      <c r="CJ188" s="9">
        <v>1</v>
      </c>
      <c r="CK188" s="9">
        <f t="shared" si="407"/>
        <v>294.87283863173843</v>
      </c>
      <c r="CM188" s="4">
        <f t="shared" si="477"/>
        <v>1.3503926426352324</v>
      </c>
      <c r="CN188" s="4">
        <f t="shared" si="478"/>
        <v>1.713760559030215</v>
      </c>
      <c r="CO188" s="4">
        <f t="shared" si="479"/>
        <v>1.114387922447718</v>
      </c>
      <c r="CP188" s="4">
        <f t="shared" si="480"/>
        <v>1.9940798980618999</v>
      </c>
      <c r="CQ188" s="4">
        <f t="shared" si="481"/>
        <v>1.4954653297038225</v>
      </c>
      <c r="CR188" s="4">
        <f t="shared" si="482"/>
        <v>1.6116129274598434</v>
      </c>
      <c r="CS188" s="4">
        <f t="shared" si="483"/>
        <v>1.2513422714999494</v>
      </c>
      <c r="DA188" s="4">
        <f t="shared" si="549"/>
        <v>1.3503926426352324</v>
      </c>
      <c r="DB188" s="4">
        <f t="shared" si="549"/>
        <v>1.713760559030215</v>
      </c>
      <c r="DC188" s="4">
        <f>CP188</f>
        <v>1.9940798980618999</v>
      </c>
      <c r="DD188" s="4">
        <f t="shared" si="550"/>
        <v>1.2513422714999494</v>
      </c>
      <c r="DE188" s="4">
        <f t="shared" si="551"/>
        <v>1.4954653297038225</v>
      </c>
      <c r="DF188" s="4">
        <f t="shared" si="551"/>
        <v>1.6116129274598434</v>
      </c>
      <c r="DH188" s="4">
        <f t="shared" si="362"/>
        <v>3</v>
      </c>
      <c r="DI188" s="4">
        <f t="shared" si="453"/>
        <v>744.9</v>
      </c>
      <c r="DL188" s="4">
        <f t="shared" si="485"/>
        <v>2.4945063339588324E-5</v>
      </c>
      <c r="DM188" s="4">
        <f t="shared" si="366"/>
        <v>5.5836366123976697</v>
      </c>
      <c r="DN188" s="4">
        <f t="shared" si="486"/>
        <v>0.45625425325155472</v>
      </c>
      <c r="DO188" s="4">
        <f t="shared" si="487"/>
        <v>4.0794340517682928</v>
      </c>
      <c r="DP188" s="4">
        <f t="shared" si="488"/>
        <v>4.8898608766514151</v>
      </c>
      <c r="DQ188" s="4">
        <f t="shared" si="489"/>
        <v>4.7288983440601244</v>
      </c>
      <c r="DR188" s="38">
        <f t="shared" si="513"/>
        <v>393.18865393987676</v>
      </c>
      <c r="DS188" s="4">
        <f t="shared" si="411"/>
        <v>1.0001412474896851</v>
      </c>
      <c r="DT188" s="4">
        <f t="shared" si="490"/>
        <v>2.2360679774997898</v>
      </c>
      <c r="DU188" s="4">
        <f t="shared" si="441"/>
        <v>148.25707916260185</v>
      </c>
      <c r="DY188" s="4">
        <f t="shared" si="387"/>
        <v>1</v>
      </c>
      <c r="DZ188" s="4">
        <f t="shared" si="412"/>
        <v>1</v>
      </c>
      <c r="EA188" s="4">
        <f t="shared" si="514"/>
        <v>0.93640182560785068</v>
      </c>
      <c r="EB188" s="4">
        <f t="shared" si="414"/>
        <v>0.93640182560785068</v>
      </c>
      <c r="ED188" s="4">
        <f t="shared" si="515"/>
        <v>364.8518760188781</v>
      </c>
      <c r="EE188" s="25">
        <f t="shared" si="516"/>
        <v>147.09004813536899</v>
      </c>
      <c r="EH188" s="4">
        <f t="shared" si="517"/>
        <v>5.5836366123976697</v>
      </c>
      <c r="EK188" s="4">
        <f t="shared" si="491"/>
        <v>128.12669511073796</v>
      </c>
      <c r="EL188" s="4">
        <f t="shared" si="492"/>
        <v>2.2360679774997898</v>
      </c>
      <c r="EM188" s="4">
        <f t="shared" si="493"/>
        <v>0.15877045999106873</v>
      </c>
      <c r="EP188" s="4">
        <f t="shared" si="541"/>
        <v>0.15877045999106873</v>
      </c>
      <c r="EQ188" s="4">
        <f t="shared" si="542"/>
        <v>0.45549284993711125</v>
      </c>
      <c r="ER188" s="4">
        <f t="shared" si="371"/>
        <v>4.07670956118492</v>
      </c>
      <c r="ES188" s="4">
        <f t="shared" si="388"/>
        <v>4.888725724036151</v>
      </c>
      <c r="ET188" s="4">
        <f t="shared" si="372"/>
        <v>430.548304889262</v>
      </c>
      <c r="EU188" s="4">
        <f t="shared" si="373"/>
        <v>186.22500000000002</v>
      </c>
      <c r="EV188" s="4">
        <f t="shared" si="415"/>
        <v>2.4945063339588331E-5</v>
      </c>
      <c r="EW188" s="4">
        <f t="shared" si="389"/>
        <v>4.7291258329784815</v>
      </c>
      <c r="EX188" s="4">
        <f t="shared" si="466"/>
        <v>393.13312487287641</v>
      </c>
      <c r="FG188" s="23">
        <f t="shared" si="494"/>
        <v>1.4</v>
      </c>
      <c r="FH188" s="23">
        <f t="shared" si="494"/>
        <v>1.8</v>
      </c>
      <c r="FI188" s="23">
        <f t="shared" si="495"/>
        <v>1.4</v>
      </c>
      <c r="FJ188" s="23">
        <f t="shared" si="496"/>
        <v>2</v>
      </c>
      <c r="FK188" s="23">
        <f t="shared" si="496"/>
        <v>1.6</v>
      </c>
      <c r="FL188" s="23">
        <f t="shared" si="496"/>
        <v>1.8</v>
      </c>
      <c r="FM188" s="23">
        <f t="shared" si="497"/>
        <v>0</v>
      </c>
      <c r="FN188" s="23"/>
      <c r="FX188" s="4">
        <f t="shared" si="416"/>
        <v>1.25</v>
      </c>
      <c r="FY188" s="4">
        <f t="shared" si="469"/>
        <v>0.37067917575318227</v>
      </c>
      <c r="FZ188" s="4">
        <f t="shared" si="417"/>
        <v>0.3</v>
      </c>
      <c r="GA188" s="4">
        <f t="shared" si="418"/>
        <v>469.89541821773565</v>
      </c>
    </row>
    <row r="189" spans="1:183" ht="12" hidden="1" customHeight="1" x14ac:dyDescent="0.3">
      <c r="A189" s="25">
        <v>171</v>
      </c>
      <c r="B189" s="24" t="s">
        <v>128</v>
      </c>
      <c r="C189" s="24">
        <v>2017</v>
      </c>
      <c r="D189" s="24" t="s">
        <v>309</v>
      </c>
      <c r="E189" s="24"/>
      <c r="F189" s="4" t="s">
        <v>178</v>
      </c>
      <c r="G189" s="7">
        <v>583</v>
      </c>
      <c r="H189" s="7">
        <f t="shared" si="546"/>
        <v>744.9</v>
      </c>
      <c r="I189" s="7">
        <f t="shared" si="455"/>
        <v>744.9</v>
      </c>
      <c r="J189" s="7">
        <v>40.5</v>
      </c>
      <c r="K189" s="37">
        <v>57.3</v>
      </c>
      <c r="L189" s="7">
        <f t="shared" si="498"/>
        <v>13</v>
      </c>
      <c r="M189" s="7">
        <f t="shared" si="499"/>
        <v>13</v>
      </c>
      <c r="N189" s="7">
        <f t="shared" si="500"/>
        <v>699.06000000000006</v>
      </c>
      <c r="O189" s="7">
        <f>2*K189</f>
        <v>114.6</v>
      </c>
      <c r="P189" s="7">
        <f t="shared" si="501"/>
        <v>56</v>
      </c>
      <c r="Q189" s="7">
        <f t="shared" si="535"/>
        <v>355.26</v>
      </c>
      <c r="R189" s="7">
        <v>2</v>
      </c>
      <c r="S189" s="7">
        <f t="shared" si="547"/>
        <v>376.59999999999997</v>
      </c>
      <c r="T189" s="7">
        <f t="shared" si="475"/>
        <v>2.5</v>
      </c>
      <c r="U189" s="7">
        <f t="shared" si="459"/>
        <v>2.5</v>
      </c>
      <c r="V189" s="7">
        <f t="shared" si="472"/>
        <v>4</v>
      </c>
      <c r="W189" s="7">
        <f t="shared" si="472"/>
        <v>4</v>
      </c>
      <c r="X189" s="7">
        <f t="shared" si="431"/>
        <v>5</v>
      </c>
      <c r="Y189" s="7">
        <f t="shared" ref="Y189:Y243" si="552">K189*X189^0.5</f>
        <v>128.12669511073796</v>
      </c>
      <c r="Z189" s="7">
        <f t="shared" si="461"/>
        <v>583</v>
      </c>
      <c r="AA189" s="7">
        <v>25</v>
      </c>
      <c r="AB189" s="7">
        <f>(550+550)/2</f>
        <v>550</v>
      </c>
      <c r="AC189" s="7"/>
      <c r="AD189" s="4">
        <f t="shared" si="476"/>
        <v>1.2421247257802632</v>
      </c>
      <c r="AE189" s="7"/>
      <c r="AF189" s="7"/>
      <c r="AG189" s="7">
        <v>1</v>
      </c>
      <c r="AH189" s="7"/>
      <c r="AI189" s="7"/>
      <c r="AJ189" s="7">
        <f t="shared" si="473"/>
        <v>5.4166666666666661</v>
      </c>
      <c r="AK189" s="4">
        <f t="shared" si="504"/>
        <v>744.9</v>
      </c>
      <c r="AL189" s="4">
        <f t="shared" si="505"/>
        <v>0.31282051282051282</v>
      </c>
      <c r="AM189" s="4">
        <f t="shared" si="506"/>
        <v>250.86804884585459</v>
      </c>
      <c r="AN189" s="4">
        <f t="shared" si="507"/>
        <v>0.73846153846153839</v>
      </c>
      <c r="AO189" s="4">
        <v>1.25</v>
      </c>
      <c r="AP189" s="4">
        <f t="shared" si="508"/>
        <v>2.5</v>
      </c>
      <c r="AQ189" s="38">
        <f t="shared" si="509"/>
        <v>181.10001159286543</v>
      </c>
      <c r="AR189" s="38">
        <f t="shared" si="510"/>
        <v>181.10001159286543</v>
      </c>
      <c r="AS189" s="38">
        <f t="shared" si="511"/>
        <v>3.538000882182009</v>
      </c>
      <c r="AT189" s="38">
        <f t="shared" si="450"/>
        <v>181.10001159286537</v>
      </c>
      <c r="AU189" s="38">
        <f t="shared" si="400"/>
        <v>1.0000000000000002</v>
      </c>
      <c r="AV189" s="38">
        <f t="shared" si="537"/>
        <v>2.2363333742379252</v>
      </c>
      <c r="AW189" s="4">
        <f t="shared" si="529"/>
        <v>0</v>
      </c>
      <c r="AX189" s="4">
        <f t="shared" si="379"/>
        <v>435.4289126254003</v>
      </c>
      <c r="AY189" s="4">
        <f t="shared" si="380"/>
        <v>1</v>
      </c>
      <c r="AZ189" s="38">
        <f t="shared" si="438"/>
        <v>405</v>
      </c>
      <c r="BA189" s="4">
        <f t="shared" si="381"/>
        <v>0.44000000000000006</v>
      </c>
      <c r="BB189" s="4">
        <f t="shared" si="401"/>
        <v>100.10510701257954</v>
      </c>
      <c r="BC189" s="4">
        <f t="shared" si="402"/>
        <v>505.10510701257954</v>
      </c>
      <c r="BE189" s="4">
        <f t="shared" si="451"/>
        <v>1.25</v>
      </c>
      <c r="BF189" s="4">
        <f t="shared" si="452"/>
        <v>548.89163889605754</v>
      </c>
      <c r="BH189" s="4">
        <f t="shared" si="463"/>
        <v>388.44452827263018</v>
      </c>
      <c r="BI189" s="4">
        <f t="shared" si="464"/>
        <v>450.3525339151019</v>
      </c>
      <c r="BJ189" s="4">
        <f t="shared" si="465"/>
        <v>1.1593741220085394</v>
      </c>
      <c r="BR189" s="4">
        <f t="shared" si="539"/>
        <v>114.6</v>
      </c>
      <c r="BV189" s="9"/>
      <c r="BX189" s="9"/>
      <c r="BY189" s="9"/>
      <c r="BZ189" s="9">
        <f t="shared" si="383"/>
        <v>56</v>
      </c>
      <c r="CA189" s="9">
        <f t="shared" si="384"/>
        <v>177.63</v>
      </c>
      <c r="CB189" s="9">
        <f t="shared" si="403"/>
        <v>1.1754818988273255</v>
      </c>
      <c r="CC189" s="9">
        <v>0</v>
      </c>
      <c r="CD189" s="9">
        <f t="shared" si="518"/>
        <v>0</v>
      </c>
      <c r="CE189" s="9">
        <f t="shared" si="404"/>
        <v>0</v>
      </c>
      <c r="CF189" s="9">
        <f t="shared" si="385"/>
        <v>0.77971450958075206</v>
      </c>
      <c r="CG189" s="9">
        <f t="shared" si="386"/>
        <v>0.87549999999999994</v>
      </c>
      <c r="CH189" s="9">
        <f t="shared" si="405"/>
        <v>1.5205031436526735</v>
      </c>
      <c r="CI189" s="9">
        <f t="shared" si="406"/>
        <v>1.7873239224737623</v>
      </c>
      <c r="CJ189" s="9">
        <v>1</v>
      </c>
      <c r="CK189" s="9">
        <f t="shared" si="407"/>
        <v>200.18027931706138</v>
      </c>
      <c r="CM189" s="4">
        <f t="shared" si="477"/>
        <v>1.263122369811867</v>
      </c>
      <c r="CN189" s="4">
        <f t="shared" si="478"/>
        <v>1.0888822788843875</v>
      </c>
      <c r="CO189" s="4">
        <f t="shared" si="479"/>
        <v>1.0020192712466374</v>
      </c>
      <c r="CP189" s="4">
        <f t="shared" si="480"/>
        <v>2.7475233917965838</v>
      </c>
      <c r="CQ189" s="4">
        <f t="shared" si="481"/>
        <v>1.2421247257802632</v>
      </c>
      <c r="CR189" s="4">
        <f t="shared" si="482"/>
        <v>1.353732099805089</v>
      </c>
      <c r="CS189" s="4">
        <f t="shared" si="483"/>
        <v>1.4314656932398204</v>
      </c>
      <c r="CU189" s="4">
        <f t="shared" ref="CU189:CV204" si="553">CM189</f>
        <v>1.263122369811867</v>
      </c>
      <c r="CV189" s="4">
        <f t="shared" si="553"/>
        <v>1.0888822788843875</v>
      </c>
      <c r="CW189" s="4">
        <f>CP189</f>
        <v>2.7475233917965838</v>
      </c>
      <c r="CX189" s="4">
        <f t="shared" ref="CX189:CX199" si="554">CS189</f>
        <v>1.4314656932398204</v>
      </c>
      <c r="CY189" s="4">
        <f t="shared" ref="CY189:CZ204" si="555">CQ189</f>
        <v>1.2421247257802632</v>
      </c>
      <c r="CZ189" s="4">
        <f t="shared" si="555"/>
        <v>1.353732099805089</v>
      </c>
      <c r="DH189" s="4">
        <f t="shared" si="362"/>
        <v>0</v>
      </c>
      <c r="DI189" s="4">
        <f t="shared" si="453"/>
        <v>744.9</v>
      </c>
      <c r="DL189" s="4">
        <f t="shared" si="485"/>
        <v>2.4945063339588324E-5</v>
      </c>
      <c r="DM189" s="4">
        <f t="shared" si="366"/>
        <v>5.809475019311126</v>
      </c>
      <c r="DN189" s="4">
        <f t="shared" si="486"/>
        <v>0.55732684752630468</v>
      </c>
      <c r="DO189" s="4">
        <f t="shared" si="487"/>
        <v>4.5981260687888756</v>
      </c>
      <c r="DP189" s="4">
        <f t="shared" si="488"/>
        <v>5.2389764559133809</v>
      </c>
      <c r="DQ189" s="4">
        <f t="shared" si="489"/>
        <v>4.8539629856897069</v>
      </c>
      <c r="DR189" s="38">
        <f t="shared" si="513"/>
        <v>442.78967207138356</v>
      </c>
      <c r="DS189" s="4">
        <f t="shared" si="411"/>
        <v>1.0001454094918829</v>
      </c>
      <c r="DT189" s="4">
        <f t="shared" si="490"/>
        <v>2.2360679774997898</v>
      </c>
      <c r="DU189" s="4">
        <f t="shared" si="441"/>
        <v>181.10001159286537</v>
      </c>
      <c r="DY189" s="4">
        <f t="shared" si="387"/>
        <v>1</v>
      </c>
      <c r="DZ189" s="4">
        <f t="shared" si="412"/>
        <v>0.9</v>
      </c>
      <c r="EA189" s="4">
        <f t="shared" si="514"/>
        <v>1</v>
      </c>
      <c r="EB189" s="4">
        <f t="shared" si="414"/>
        <v>0.9</v>
      </c>
      <c r="ED189" s="4">
        <f t="shared" si="515"/>
        <v>406.28422719620022</v>
      </c>
      <c r="EE189" s="25">
        <f t="shared" si="516"/>
        <v>179.7147014430663</v>
      </c>
      <c r="EH189" s="4">
        <f t="shared" si="517"/>
        <v>5.809475019311126</v>
      </c>
      <c r="EK189" s="4">
        <f t="shared" si="491"/>
        <v>128.12669511073796</v>
      </c>
      <c r="EL189" s="4">
        <f t="shared" si="492"/>
        <v>2.2360679774997898</v>
      </c>
      <c r="EM189" s="4">
        <f t="shared" si="493"/>
        <v>0.19394238917557335</v>
      </c>
      <c r="EP189" s="4">
        <f t="shared" si="541"/>
        <v>0.19394238917557335</v>
      </c>
      <c r="EQ189" s="4">
        <f t="shared" si="542"/>
        <v>0.5563967728893876</v>
      </c>
      <c r="ER189" s="4">
        <f t="shared" si="371"/>
        <v>4.5950551645858413</v>
      </c>
      <c r="ES189" s="4">
        <f t="shared" si="388"/>
        <v>5.2376296069701249</v>
      </c>
      <c r="ET189" s="4">
        <f t="shared" si="372"/>
        <v>430.548304889262</v>
      </c>
      <c r="EU189" s="4">
        <f t="shared" si="373"/>
        <v>186.22500000000002</v>
      </c>
      <c r="EV189" s="4">
        <f t="shared" si="415"/>
        <v>2.4945063339588331E-5</v>
      </c>
      <c r="EW189" s="4">
        <f t="shared" si="389"/>
        <v>4.8542376831927685</v>
      </c>
      <c r="EX189" s="4">
        <f t="shared" si="466"/>
        <v>442.72529561110508</v>
      </c>
      <c r="FG189" s="23">
        <f t="shared" si="494"/>
        <v>1.4</v>
      </c>
      <c r="FH189" s="23">
        <f t="shared" si="494"/>
        <v>1.2</v>
      </c>
      <c r="FI189" s="23">
        <f t="shared" si="495"/>
        <v>1.6</v>
      </c>
      <c r="FJ189" s="23">
        <f t="shared" si="496"/>
        <v>2.2000000000000002</v>
      </c>
      <c r="FK189" s="23">
        <f t="shared" si="496"/>
        <v>1.4</v>
      </c>
      <c r="FL189" s="23">
        <f t="shared" si="496"/>
        <v>1.4</v>
      </c>
      <c r="FM189" s="23">
        <f t="shared" si="497"/>
        <v>0</v>
      </c>
      <c r="FN189" s="23"/>
      <c r="FX189" s="4">
        <f t="shared" si="416"/>
        <v>1</v>
      </c>
      <c r="FY189" s="4">
        <f t="shared" si="469"/>
        <v>0.56666666666666665</v>
      </c>
      <c r="FZ189" s="4">
        <f t="shared" si="417"/>
        <v>0</v>
      </c>
      <c r="GA189" s="4">
        <f t="shared" si="418"/>
        <v>384.22157275400093</v>
      </c>
    </row>
    <row r="190" spans="1:183" ht="12" hidden="1" customHeight="1" x14ac:dyDescent="0.3">
      <c r="A190" s="25">
        <v>172</v>
      </c>
      <c r="B190" s="24" t="s">
        <v>128</v>
      </c>
      <c r="C190" s="24">
        <v>2017</v>
      </c>
      <c r="D190" s="24" t="s">
        <v>309</v>
      </c>
      <c r="E190" s="24"/>
      <c r="F190" s="4" t="s">
        <v>179</v>
      </c>
      <c r="G190" s="7">
        <v>583</v>
      </c>
      <c r="H190" s="7">
        <f>16*K190</f>
        <v>916.8</v>
      </c>
      <c r="I190" s="7">
        <f t="shared" si="455"/>
        <v>916.8</v>
      </c>
      <c r="J190" s="7">
        <v>41.8</v>
      </c>
      <c r="K190" s="37">
        <v>57.3</v>
      </c>
      <c r="L190" s="7">
        <f t="shared" si="498"/>
        <v>16</v>
      </c>
      <c r="M190" s="7">
        <f t="shared" si="499"/>
        <v>16</v>
      </c>
      <c r="N190" s="7">
        <f t="shared" si="500"/>
        <v>584.46</v>
      </c>
      <c r="O190" s="7">
        <f t="shared" ref="O190" si="556">1*K190</f>
        <v>57.3</v>
      </c>
      <c r="P190" s="7">
        <f t="shared" si="501"/>
        <v>56</v>
      </c>
      <c r="Q190" s="7">
        <f t="shared" si="535"/>
        <v>355.26</v>
      </c>
      <c r="R190" s="7">
        <v>2</v>
      </c>
      <c r="S190" s="7">
        <f t="shared" si="547"/>
        <v>491.19999999999993</v>
      </c>
      <c r="T190" s="7">
        <f t="shared" si="475"/>
        <v>1.5</v>
      </c>
      <c r="U190" s="7">
        <f t="shared" si="459"/>
        <v>1.5</v>
      </c>
      <c r="V190" s="7">
        <f t="shared" si="472"/>
        <v>4</v>
      </c>
      <c r="W190" s="7">
        <f t="shared" si="472"/>
        <v>4</v>
      </c>
      <c r="X190" s="7">
        <f t="shared" si="431"/>
        <v>5</v>
      </c>
      <c r="Y190" s="7">
        <f t="shared" si="552"/>
        <v>128.12669511073796</v>
      </c>
      <c r="Z190" s="7">
        <f t="shared" si="461"/>
        <v>583</v>
      </c>
      <c r="AA190" s="7">
        <v>25</v>
      </c>
      <c r="AB190" s="7">
        <f>(510+510)/2</f>
        <v>510</v>
      </c>
      <c r="AC190" s="7"/>
      <c r="AD190" s="4">
        <f t="shared" si="476"/>
        <v>1.1290382156017438</v>
      </c>
      <c r="AE190" s="7"/>
      <c r="AF190" s="7"/>
      <c r="AG190" s="7">
        <v>1</v>
      </c>
      <c r="AH190" s="7"/>
      <c r="AI190" s="7"/>
      <c r="AJ190" s="7">
        <f t="shared" si="473"/>
        <v>6.6666666666666661</v>
      </c>
      <c r="AK190" s="4">
        <f t="shared" si="504"/>
        <v>916.8</v>
      </c>
      <c r="AL190" s="4">
        <f t="shared" si="505"/>
        <v>0.21250000000000002</v>
      </c>
      <c r="AM190" s="4">
        <f t="shared" si="506"/>
        <v>347.99333558360394</v>
      </c>
      <c r="AN190" s="4">
        <f t="shared" si="507"/>
        <v>0.71875</v>
      </c>
      <c r="AO190" s="4">
        <v>1.25</v>
      </c>
      <c r="AP190" s="4">
        <f t="shared" si="508"/>
        <v>2.5</v>
      </c>
      <c r="AQ190" s="38">
        <f t="shared" si="509"/>
        <v>166.0954519203969</v>
      </c>
      <c r="AR190" s="38">
        <f t="shared" si="510"/>
        <v>166.0954519203969</v>
      </c>
      <c r="AS190" s="38">
        <f t="shared" si="511"/>
        <v>3.613311826901703</v>
      </c>
      <c r="AT190" s="38">
        <f t="shared" si="450"/>
        <v>166.09545192039693</v>
      </c>
      <c r="AU190" s="38">
        <f t="shared" si="400"/>
        <v>0.99999999999999978</v>
      </c>
      <c r="AV190" s="38">
        <f t="shared" si="537"/>
        <v>1.5099751203314022</v>
      </c>
      <c r="AW190" s="4">
        <f t="shared" si="529"/>
        <v>0</v>
      </c>
      <c r="AX190" s="4">
        <f t="shared" si="379"/>
        <v>544.4456379029765</v>
      </c>
      <c r="AY190" s="4">
        <f t="shared" si="380"/>
        <v>1</v>
      </c>
      <c r="AZ190" s="38">
        <f t="shared" si="438"/>
        <v>250.79999999999998</v>
      </c>
      <c r="BA190" s="4">
        <f t="shared" si="381"/>
        <v>0.44000000000000006</v>
      </c>
      <c r="BB190" s="4">
        <f t="shared" si="401"/>
        <v>125.16805215389429</v>
      </c>
      <c r="BC190" s="4">
        <f t="shared" si="402"/>
        <v>375.96805215389429</v>
      </c>
      <c r="BE190" s="4">
        <f t="shared" si="451"/>
        <v>1</v>
      </c>
      <c r="BF190" s="4">
        <f t="shared" si="452"/>
        <v>504.29277210763195</v>
      </c>
      <c r="BH190" s="4">
        <f t="shared" si="463"/>
        <v>240.54787084142137</v>
      </c>
      <c r="BI190" s="4">
        <f t="shared" si="464"/>
        <v>450.3525339151019</v>
      </c>
      <c r="BJ190" s="4">
        <f t="shared" si="465"/>
        <v>1.8721950534826892</v>
      </c>
      <c r="BR190" s="4">
        <f t="shared" si="539"/>
        <v>57.3</v>
      </c>
      <c r="BV190" s="9"/>
      <c r="BX190" s="9"/>
      <c r="BY190" s="9"/>
      <c r="BZ190" s="9">
        <f t="shared" si="383"/>
        <v>56</v>
      </c>
      <c r="CA190" s="9">
        <f t="shared" si="384"/>
        <v>177.63</v>
      </c>
      <c r="CB190" s="9">
        <f t="shared" si="403"/>
        <v>1.1754818988273255</v>
      </c>
      <c r="CC190" s="9">
        <v>0</v>
      </c>
      <c r="CD190" s="9">
        <f t="shared" si="518"/>
        <v>0</v>
      </c>
      <c r="CE190" s="9">
        <f t="shared" si="404"/>
        <v>0</v>
      </c>
      <c r="CF190" s="9">
        <f t="shared" si="385"/>
        <v>0.77971450958075206</v>
      </c>
      <c r="CG190" s="9">
        <f t="shared" si="386"/>
        <v>0.87549999999999994</v>
      </c>
      <c r="CH190" s="9">
        <f t="shared" si="405"/>
        <v>1.5447135341285001</v>
      </c>
      <c r="CI190" s="9">
        <f t="shared" si="406"/>
        <v>1.8157827982416379</v>
      </c>
      <c r="CJ190" s="9">
        <v>1</v>
      </c>
      <c r="CK190" s="9">
        <f t="shared" si="407"/>
        <v>225.15706698196311</v>
      </c>
      <c r="CM190" s="4">
        <f t="shared" si="477"/>
        <v>0.9367326404971309</v>
      </c>
      <c r="CN190" s="4">
        <f t="shared" si="478"/>
        <v>1.3564982372258658</v>
      </c>
      <c r="CO190" s="4">
        <f t="shared" si="479"/>
        <v>1.0113172906851617</v>
      </c>
      <c r="CP190" s="4">
        <f t="shared" si="480"/>
        <v>2.265085466053149</v>
      </c>
      <c r="CQ190" s="4">
        <f t="shared" si="481"/>
        <v>1.1290382156017438</v>
      </c>
      <c r="CR190" s="4">
        <f t="shared" si="482"/>
        <v>1.2140631955584191</v>
      </c>
      <c r="CS190" s="4">
        <f t="shared" si="483"/>
        <v>1.3374929414311942</v>
      </c>
      <c r="CU190" s="4">
        <f t="shared" si="553"/>
        <v>0.9367326404971309</v>
      </c>
      <c r="CV190" s="4">
        <f t="shared" si="553"/>
        <v>1.3564982372258658</v>
      </c>
      <c r="CW190" s="4">
        <f>CP190</f>
        <v>2.265085466053149</v>
      </c>
      <c r="CX190" s="4">
        <f t="shared" si="554"/>
        <v>1.3374929414311942</v>
      </c>
      <c r="CY190" s="4">
        <f t="shared" si="555"/>
        <v>1.1290382156017438</v>
      </c>
      <c r="CZ190" s="4">
        <f t="shared" si="555"/>
        <v>1.2140631955584191</v>
      </c>
      <c r="DH190" s="4">
        <f t="shared" si="362"/>
        <v>0</v>
      </c>
      <c r="DI190" s="4">
        <f t="shared" si="453"/>
        <v>916.8</v>
      </c>
      <c r="DL190" s="4">
        <f t="shared" si="485"/>
        <v>3.0965438467699871E-5</v>
      </c>
      <c r="DM190" s="4">
        <f t="shared" si="366"/>
        <v>5.3117793628877328</v>
      </c>
      <c r="DN190" s="4">
        <f t="shared" si="486"/>
        <v>0.49525397314162617</v>
      </c>
      <c r="DO190" s="4">
        <f t="shared" si="487"/>
        <v>4.0102478497857943</v>
      </c>
      <c r="DP190" s="4">
        <f t="shared" si="488"/>
        <v>4.7063105644554275</v>
      </c>
      <c r="DQ190" s="4">
        <f t="shared" si="489"/>
        <v>4.1212073343230777</v>
      </c>
      <c r="DR190" s="38">
        <f t="shared" si="513"/>
        <v>451.71190217700928</v>
      </c>
      <c r="DS190" s="4">
        <f t="shared" si="411"/>
        <v>1.0001406096231449</v>
      </c>
      <c r="DT190" s="4">
        <f t="shared" si="490"/>
        <v>2.2360679774997898</v>
      </c>
      <c r="DU190" s="4">
        <f t="shared" si="441"/>
        <v>166.09545192039693</v>
      </c>
      <c r="DY190" s="4">
        <f t="shared" si="387"/>
        <v>1</v>
      </c>
      <c r="DZ190" s="4">
        <f t="shared" si="412"/>
        <v>1</v>
      </c>
      <c r="EA190" s="4">
        <f t="shared" si="514"/>
        <v>1</v>
      </c>
      <c r="EB190" s="4">
        <f t="shared" si="414"/>
        <v>1</v>
      </c>
      <c r="ED190" s="4">
        <f t="shared" si="515"/>
        <v>420.07697940750188</v>
      </c>
      <c r="EE190" s="25">
        <f t="shared" si="516"/>
        <v>165.11156998889066</v>
      </c>
      <c r="EH190" s="4">
        <f t="shared" si="517"/>
        <v>5.3117793628877328</v>
      </c>
      <c r="EK190" s="4">
        <f t="shared" si="491"/>
        <v>128.12669511073796</v>
      </c>
      <c r="EL190" s="4">
        <f t="shared" si="492"/>
        <v>2.2360679774997898</v>
      </c>
      <c r="EM190" s="4">
        <f t="shared" si="493"/>
        <v>0.17508598130474001</v>
      </c>
      <c r="EP190" s="4">
        <f t="shared" si="541"/>
        <v>0.17508598130474001</v>
      </c>
      <c r="EQ190" s="4">
        <f t="shared" si="542"/>
        <v>0.4944274865632457</v>
      </c>
      <c r="ER190" s="4">
        <f t="shared" si="371"/>
        <v>4.0075695658951647</v>
      </c>
      <c r="ES190" s="4">
        <f t="shared" si="388"/>
        <v>4.7051704844984386</v>
      </c>
      <c r="ET190" s="4">
        <f t="shared" si="372"/>
        <v>559.47330488926195</v>
      </c>
      <c r="EU190" s="4">
        <f t="shared" si="373"/>
        <v>229.20000000000005</v>
      </c>
      <c r="EV190" s="4">
        <f t="shared" si="415"/>
        <v>3.0965438467699885E-5</v>
      </c>
      <c r="EW190" s="4">
        <f t="shared" si="389"/>
        <v>4.1215183244109621</v>
      </c>
      <c r="EX190" s="4">
        <f t="shared" si="466"/>
        <v>451.64839606624446</v>
      </c>
      <c r="FG190" s="23">
        <f t="shared" si="494"/>
        <v>1</v>
      </c>
      <c r="FH190" s="23">
        <f t="shared" si="494"/>
        <v>1.4</v>
      </c>
      <c r="FI190" s="23">
        <f t="shared" si="495"/>
        <v>1.4</v>
      </c>
      <c r="FJ190" s="23">
        <f t="shared" si="496"/>
        <v>2.2000000000000002</v>
      </c>
      <c r="FK190" s="23">
        <f t="shared" si="496"/>
        <v>1.2</v>
      </c>
      <c r="FL190" s="23">
        <f t="shared" si="496"/>
        <v>1.4</v>
      </c>
      <c r="FM190" s="23">
        <f t="shared" si="497"/>
        <v>0</v>
      </c>
      <c r="FN190" s="23"/>
      <c r="FX190" s="4">
        <f t="shared" si="416"/>
        <v>1.25</v>
      </c>
      <c r="FY190" s="4">
        <f t="shared" si="469"/>
        <v>0.56666666666666665</v>
      </c>
      <c r="FZ190" s="4">
        <f t="shared" si="417"/>
        <v>0</v>
      </c>
      <c r="GA190" s="4">
        <f t="shared" si="418"/>
        <v>381.31042355578393</v>
      </c>
    </row>
    <row r="191" spans="1:183" ht="12" hidden="1" customHeight="1" x14ac:dyDescent="0.3">
      <c r="A191" s="25">
        <v>173</v>
      </c>
      <c r="B191" s="24" t="s">
        <v>128</v>
      </c>
      <c r="C191" s="24">
        <v>2017</v>
      </c>
      <c r="D191" s="24" t="s">
        <v>309</v>
      </c>
      <c r="E191" s="24"/>
      <c r="F191" s="4" t="s">
        <v>180</v>
      </c>
      <c r="G191" s="7">
        <v>583</v>
      </c>
      <c r="H191" s="7">
        <f>16*K191</f>
        <v>916.8</v>
      </c>
      <c r="I191" s="7">
        <f t="shared" si="455"/>
        <v>916.8</v>
      </c>
      <c r="J191" s="7">
        <v>41.8</v>
      </c>
      <c r="K191" s="37">
        <v>57.3</v>
      </c>
      <c r="L191" s="7">
        <f t="shared" si="498"/>
        <v>16</v>
      </c>
      <c r="M191" s="7">
        <f t="shared" si="499"/>
        <v>16</v>
      </c>
      <c r="N191" s="7">
        <f t="shared" si="500"/>
        <v>699.06000000000006</v>
      </c>
      <c r="O191" s="7">
        <f>2*K191</f>
        <v>114.6</v>
      </c>
      <c r="P191" s="7">
        <f t="shared" si="501"/>
        <v>56</v>
      </c>
      <c r="Q191" s="7">
        <f t="shared" si="535"/>
        <v>355.26</v>
      </c>
      <c r="R191" s="7">
        <v>2</v>
      </c>
      <c r="S191" s="7">
        <f t="shared" si="547"/>
        <v>491.19999999999993</v>
      </c>
      <c r="T191" s="7">
        <f t="shared" si="475"/>
        <v>2.5</v>
      </c>
      <c r="U191" s="7">
        <f t="shared" si="459"/>
        <v>2.5</v>
      </c>
      <c r="V191" s="7">
        <f t="shared" si="472"/>
        <v>4</v>
      </c>
      <c r="W191" s="7">
        <f t="shared" si="472"/>
        <v>4</v>
      </c>
      <c r="X191" s="7">
        <f t="shared" si="431"/>
        <v>5</v>
      </c>
      <c r="Y191" s="7">
        <f t="shared" si="552"/>
        <v>128.12669511073796</v>
      </c>
      <c r="Z191" s="7">
        <f t="shared" si="461"/>
        <v>583</v>
      </c>
      <c r="AA191" s="7">
        <v>25</v>
      </c>
      <c r="AB191" s="7">
        <f>(588+588)/2</f>
        <v>588</v>
      </c>
      <c r="AC191" s="7"/>
      <c r="AD191" s="4">
        <f t="shared" si="476"/>
        <v>1.118054357765794</v>
      </c>
      <c r="AE191" s="7"/>
      <c r="AF191" s="7"/>
      <c r="AG191" s="7">
        <v>1</v>
      </c>
      <c r="AH191" s="7"/>
      <c r="AI191" s="7"/>
      <c r="AJ191" s="7">
        <f t="shared" si="473"/>
        <v>6.6666666666666661</v>
      </c>
      <c r="AK191" s="4">
        <f t="shared" si="504"/>
        <v>916.8</v>
      </c>
      <c r="AL191" s="4">
        <f t="shared" si="505"/>
        <v>0.25416666666666665</v>
      </c>
      <c r="AM191" s="4">
        <f t="shared" si="506"/>
        <v>347.99333558360394</v>
      </c>
      <c r="AN191" s="4">
        <f t="shared" si="507"/>
        <v>0.73124999999999996</v>
      </c>
      <c r="AO191" s="4">
        <v>1.25</v>
      </c>
      <c r="AP191" s="4">
        <f>AP190</f>
        <v>2.5</v>
      </c>
      <c r="AQ191" s="38">
        <f t="shared" si="509"/>
        <v>202.11819954916837</v>
      </c>
      <c r="AR191" s="38">
        <f t="shared" si="510"/>
        <v>202.11819954916837</v>
      </c>
      <c r="AS191" s="38">
        <f t="shared" si="511"/>
        <v>3.613311826901703</v>
      </c>
      <c r="AT191" s="38">
        <f t="shared" si="450"/>
        <v>202.11819954916842</v>
      </c>
      <c r="AU191" s="38">
        <f t="shared" si="400"/>
        <v>0.99999999999999967</v>
      </c>
      <c r="AV191" s="38">
        <f t="shared" si="537"/>
        <v>2.068096791542589</v>
      </c>
      <c r="AW191" s="4">
        <f t="shared" si="529"/>
        <v>0</v>
      </c>
      <c r="AX191" s="4">
        <f t="shared" si="379"/>
        <v>544.4456379029765</v>
      </c>
      <c r="AY191" s="4">
        <f t="shared" si="380"/>
        <v>1</v>
      </c>
      <c r="AZ191" s="38">
        <f t="shared" si="438"/>
        <v>418</v>
      </c>
      <c r="BA191" s="4">
        <f t="shared" si="381"/>
        <v>0.44000000000000006</v>
      </c>
      <c r="BB191" s="4">
        <f t="shared" si="401"/>
        <v>125.16805215389429</v>
      </c>
      <c r="BC191" s="4">
        <f t="shared" si="402"/>
        <v>543.16805215389434</v>
      </c>
      <c r="BE191" s="4">
        <f t="shared" si="451"/>
        <v>1.25</v>
      </c>
      <c r="BF191" s="4">
        <f t="shared" si="452"/>
        <v>630.36596513453992</v>
      </c>
      <c r="BH191" s="4">
        <f t="shared" si="463"/>
        <v>400.91311806903559</v>
      </c>
      <c r="BI191" s="4">
        <f t="shared" si="464"/>
        <v>450.3525339151019</v>
      </c>
      <c r="BJ191" s="4">
        <f t="shared" si="465"/>
        <v>1.1233170320896135</v>
      </c>
      <c r="BR191" s="4">
        <f t="shared" si="539"/>
        <v>114.6</v>
      </c>
      <c r="BV191" s="9"/>
      <c r="BX191" s="9"/>
      <c r="BY191" s="9"/>
      <c r="BZ191" s="9">
        <f t="shared" si="383"/>
        <v>56</v>
      </c>
      <c r="CA191" s="9">
        <f t="shared" si="384"/>
        <v>177.63</v>
      </c>
      <c r="CB191" s="9">
        <f t="shared" si="403"/>
        <v>1.1754818988273255</v>
      </c>
      <c r="CC191" s="9">
        <v>0</v>
      </c>
      <c r="CD191" s="9">
        <f t="shared" si="518"/>
        <v>0</v>
      </c>
      <c r="CE191" s="9">
        <f t="shared" si="404"/>
        <v>0</v>
      </c>
      <c r="CF191" s="9">
        <f t="shared" si="385"/>
        <v>0.77971450958075206</v>
      </c>
      <c r="CG191" s="9">
        <f t="shared" si="386"/>
        <v>0.87549999999999994</v>
      </c>
      <c r="CH191" s="9">
        <f t="shared" si="405"/>
        <v>1.5447135341285001</v>
      </c>
      <c r="CI191" s="9">
        <f t="shared" si="406"/>
        <v>1.8157827982416379</v>
      </c>
      <c r="CJ191" s="9">
        <v>1</v>
      </c>
      <c r="CK191" s="9">
        <f t="shared" si="407"/>
        <v>225.15706698196311</v>
      </c>
      <c r="CM191" s="4">
        <f t="shared" si="477"/>
        <v>1.0799976325731626</v>
      </c>
      <c r="CN191" s="4">
        <f t="shared" si="478"/>
        <v>1.0825378953499341</v>
      </c>
      <c r="CO191" s="4">
        <f t="shared" si="479"/>
        <v>0.93279147752607849</v>
      </c>
      <c r="CP191" s="4">
        <f t="shared" si="480"/>
        <v>2.6115103020377481</v>
      </c>
      <c r="CQ191" s="4">
        <f t="shared" si="481"/>
        <v>1.118054357765794</v>
      </c>
      <c r="CR191" s="4">
        <f t="shared" si="482"/>
        <v>1.2142589675863487</v>
      </c>
      <c r="CS191" s="4">
        <f t="shared" si="483"/>
        <v>1.2336405483318309</v>
      </c>
      <c r="CU191" s="4">
        <f t="shared" si="553"/>
        <v>1.0799976325731626</v>
      </c>
      <c r="CV191" s="4">
        <f t="shared" si="553"/>
        <v>1.0825378953499341</v>
      </c>
      <c r="CW191" s="4">
        <f>CP191</f>
        <v>2.6115103020377481</v>
      </c>
      <c r="CX191" s="4">
        <f t="shared" si="554"/>
        <v>1.2336405483318309</v>
      </c>
      <c r="CY191" s="4">
        <f t="shared" si="555"/>
        <v>1.118054357765794</v>
      </c>
      <c r="CZ191" s="4">
        <f t="shared" si="555"/>
        <v>1.2142589675863487</v>
      </c>
      <c r="DH191" s="4">
        <f t="shared" ref="DH191:DH247" si="557">AF191</f>
        <v>0</v>
      </c>
      <c r="DI191" s="4">
        <f t="shared" si="453"/>
        <v>916.8</v>
      </c>
      <c r="DL191" s="4">
        <f t="shared" si="485"/>
        <v>3.0965438467699871E-5</v>
      </c>
      <c r="DM191" s="4">
        <f t="shared" ref="DM191:DM254" si="558">EH191</f>
        <v>5.9019770698752589</v>
      </c>
      <c r="DN191" s="4">
        <f t="shared" si="486"/>
        <v>0.6026645535058458</v>
      </c>
      <c r="DO191" s="4">
        <f t="shared" si="487"/>
        <v>4.8197862381440757</v>
      </c>
      <c r="DP191" s="4">
        <f t="shared" si="488"/>
        <v>5.3881474261259941</v>
      </c>
      <c r="DQ191" s="4">
        <f t="shared" si="489"/>
        <v>4.390494243913488</v>
      </c>
      <c r="DR191" s="38">
        <f t="shared" si="513"/>
        <v>525.91360689743146</v>
      </c>
      <c r="DS191" s="4">
        <f t="shared" si="411"/>
        <v>1.0001486407882336</v>
      </c>
      <c r="DT191" s="4">
        <f t="shared" si="490"/>
        <v>2.2360679774997898</v>
      </c>
      <c r="DU191" s="4">
        <f t="shared" si="441"/>
        <v>202.11819954916842</v>
      </c>
      <c r="DY191" s="4">
        <f t="shared" si="387"/>
        <v>1</v>
      </c>
      <c r="DZ191" s="4">
        <f t="shared" si="412"/>
        <v>0.9</v>
      </c>
      <c r="EA191" s="4">
        <f t="shared" si="514"/>
        <v>1</v>
      </c>
      <c r="EB191" s="4">
        <f t="shared" si="414"/>
        <v>0.9</v>
      </c>
      <c r="ED191" s="4">
        <f t="shared" si="515"/>
        <v>484.24596045504273</v>
      </c>
      <c r="EE191" s="25">
        <f t="shared" si="516"/>
        <v>200.95106110103035</v>
      </c>
      <c r="EH191" s="4">
        <f t="shared" si="517"/>
        <v>5.9019770698752589</v>
      </c>
      <c r="EK191" s="4">
        <f t="shared" si="491"/>
        <v>128.12669511073796</v>
      </c>
      <c r="EL191" s="4">
        <f t="shared" si="492"/>
        <v>2.2360679774997898</v>
      </c>
      <c r="EM191" s="4">
        <f t="shared" si="493"/>
        <v>0.21305859310689335</v>
      </c>
      <c r="EP191" s="4">
        <f t="shared" si="541"/>
        <v>0.21305859310689335</v>
      </c>
      <c r="EQ191" s="4">
        <f t="shared" si="542"/>
        <v>0.60165881868744842</v>
      </c>
      <c r="ER191" s="4">
        <f t="shared" ref="ER191:ER254" si="559">EH191/1*EQ191^0.4</f>
        <v>4.816567295993508</v>
      </c>
      <c r="ES191" s="4">
        <f t="shared" si="388"/>
        <v>5.3867083605866668</v>
      </c>
      <c r="ET191" s="4">
        <f t="shared" ref="ET191:ET254" si="560">MAX(0,DI191*ET$9-EK191)</f>
        <v>559.47330488926195</v>
      </c>
      <c r="EU191" s="4">
        <f t="shared" ref="EU191:EU254" si="561">MAX(0,DI191-EK191-ET191)</f>
        <v>229.20000000000005</v>
      </c>
      <c r="EV191" s="4">
        <f t="shared" si="415"/>
        <v>3.0965438467699885E-5</v>
      </c>
      <c r="EW191" s="4">
        <f t="shared" si="389"/>
        <v>4.3909213846038186</v>
      </c>
      <c r="EX191" s="4">
        <f t="shared" si="466"/>
        <v>525.83544630221195</v>
      </c>
      <c r="FG191" s="23">
        <f t="shared" si="494"/>
        <v>1.2</v>
      </c>
      <c r="FH191" s="23">
        <f t="shared" si="494"/>
        <v>1.2</v>
      </c>
      <c r="FI191" s="23">
        <f t="shared" si="495"/>
        <v>1.4</v>
      </c>
      <c r="FJ191" s="23">
        <f t="shared" si="496"/>
        <v>2.2000000000000002</v>
      </c>
      <c r="FK191" s="23">
        <f t="shared" si="496"/>
        <v>1.2</v>
      </c>
      <c r="FL191" s="23">
        <f t="shared" si="496"/>
        <v>1.4</v>
      </c>
      <c r="FM191" s="23">
        <f t="shared" si="497"/>
        <v>0</v>
      </c>
      <c r="FN191" s="23"/>
      <c r="FX191" s="4">
        <f t="shared" si="416"/>
        <v>1</v>
      </c>
      <c r="FY191" s="4">
        <f t="shared" si="469"/>
        <v>0.56666666666666665</v>
      </c>
      <c r="FZ191" s="4">
        <f t="shared" si="417"/>
        <v>0</v>
      </c>
      <c r="GA191" s="4">
        <f t="shared" si="418"/>
        <v>476.63802944472991</v>
      </c>
    </row>
    <row r="192" spans="1:183" ht="12" hidden="1" customHeight="1" x14ac:dyDescent="0.3">
      <c r="A192" s="25">
        <v>174</v>
      </c>
      <c r="B192" s="24" t="s">
        <v>128</v>
      </c>
      <c r="C192" s="24">
        <v>2017</v>
      </c>
      <c r="D192" s="24" t="s">
        <v>309</v>
      </c>
      <c r="E192" s="24"/>
      <c r="F192" s="4" t="s">
        <v>153</v>
      </c>
      <c r="G192" s="7">
        <v>661</v>
      </c>
      <c r="H192" s="7">
        <f>4*K192</f>
        <v>88.8</v>
      </c>
      <c r="I192" s="7">
        <f t="shared" si="455"/>
        <v>88.8</v>
      </c>
      <c r="J192" s="7">
        <v>225.5</v>
      </c>
      <c r="K192" s="7">
        <v>22.2</v>
      </c>
      <c r="L192" s="7">
        <f t="shared" si="498"/>
        <v>4</v>
      </c>
      <c r="M192" s="7">
        <f t="shared" si="499"/>
        <v>4</v>
      </c>
      <c r="N192" s="7">
        <v>366</v>
      </c>
      <c r="O192" s="7">
        <f>1*K192</f>
        <v>22.2</v>
      </c>
      <c r="P192" s="7">
        <f>118-I192</f>
        <v>29.200000000000003</v>
      </c>
      <c r="Q192" s="7">
        <f>N192-2*K192-2*O192</f>
        <v>277.20000000000005</v>
      </c>
      <c r="R192" s="7">
        <v>2</v>
      </c>
      <c r="S192" s="7">
        <f>2/3*H192</f>
        <v>59.199999999999996</v>
      </c>
      <c r="T192" s="7">
        <f t="shared" si="475"/>
        <v>1.5</v>
      </c>
      <c r="U192" s="7">
        <f t="shared" si="459"/>
        <v>1.5</v>
      </c>
      <c r="V192" s="7">
        <f t="shared" si="472"/>
        <v>4</v>
      </c>
      <c r="W192" s="7">
        <f t="shared" si="472"/>
        <v>4</v>
      </c>
      <c r="X192" s="7">
        <f t="shared" si="431"/>
        <v>5</v>
      </c>
      <c r="Y192" s="7">
        <f t="shared" si="552"/>
        <v>49.640709100495329</v>
      </c>
      <c r="Z192" s="7">
        <f t="shared" si="461"/>
        <v>661</v>
      </c>
      <c r="AA192" s="7">
        <v>8</v>
      </c>
      <c r="AB192" s="7">
        <f>(853+842)/2</f>
        <v>847.5</v>
      </c>
      <c r="AC192" s="7"/>
      <c r="AD192" s="4">
        <f t="shared" si="476"/>
        <v>1</v>
      </c>
      <c r="AE192" s="7"/>
      <c r="AF192" s="7"/>
      <c r="AG192" s="7">
        <v>1</v>
      </c>
      <c r="AH192" s="7"/>
      <c r="AI192" s="7"/>
      <c r="AJ192" s="7">
        <f t="shared" si="473"/>
        <v>0.88977955911823625</v>
      </c>
      <c r="AK192" s="4">
        <f>H192</f>
        <v>88.8</v>
      </c>
      <c r="AL192" s="4">
        <f t="shared" si="505"/>
        <v>1.25</v>
      </c>
      <c r="AM192" s="4">
        <f t="shared" si="506"/>
        <v>162.318079587065</v>
      </c>
      <c r="AN192" s="4">
        <f t="shared" si="507"/>
        <v>0.77499999999999991</v>
      </c>
      <c r="AO192" s="4">
        <v>1.25</v>
      </c>
      <c r="AP192" s="47">
        <v>5</v>
      </c>
      <c r="AQ192" s="38">
        <f t="shared" si="509"/>
        <v>982.7852474998075</v>
      </c>
      <c r="AR192" s="38">
        <f t="shared" si="510"/>
        <v>982.7852474998075</v>
      </c>
      <c r="AS192" s="38">
        <f t="shared" si="511"/>
        <v>6.7681675210006302</v>
      </c>
      <c r="AT192" s="38">
        <f t="shared" si="450"/>
        <v>1080.1783801349238</v>
      </c>
      <c r="AU192" s="38">
        <f t="shared" si="400"/>
        <v>0.90983606557377028</v>
      </c>
      <c r="AV192" s="38">
        <f t="shared" si="537"/>
        <v>1.2525708946618597</v>
      </c>
      <c r="AW192" s="4">
        <f t="shared" si="529"/>
        <v>0</v>
      </c>
      <c r="AX192" s="4">
        <f t="shared" si="379"/>
        <v>316.14015616170963</v>
      </c>
      <c r="AY192" s="4">
        <f t="shared" si="380"/>
        <v>1</v>
      </c>
      <c r="AZ192" s="38">
        <f t="shared" si="438"/>
        <v>1353</v>
      </c>
      <c r="BA192" s="4">
        <f t="shared" si="381"/>
        <v>0.44000000000000006</v>
      </c>
      <c r="BB192" s="4">
        <f t="shared" si="401"/>
        <v>72.680621901577041</v>
      </c>
      <c r="BC192" s="4">
        <f t="shared" si="402"/>
        <v>1425.6806219015771</v>
      </c>
      <c r="BE192" s="4">
        <f t="shared" si="451"/>
        <v>1</v>
      </c>
      <c r="BF192" s="4">
        <f t="shared" si="452"/>
        <v>630.69961154261068</v>
      </c>
      <c r="BH192" s="4">
        <f t="shared" si="463"/>
        <v>1297.6924611181944</v>
      </c>
      <c r="BI192" s="4">
        <f t="shared" si="464"/>
        <v>3606.2915864545262</v>
      </c>
      <c r="BJ192" s="4">
        <f t="shared" si="465"/>
        <v>2.779003265031732</v>
      </c>
      <c r="BR192" s="4">
        <f t="shared" si="539"/>
        <v>22.2</v>
      </c>
      <c r="BV192" s="9"/>
      <c r="BX192" s="9"/>
      <c r="BY192" s="9"/>
      <c r="BZ192" s="9">
        <f t="shared" si="383"/>
        <v>22.2</v>
      </c>
      <c r="CA192" s="9">
        <f t="shared" si="384"/>
        <v>138.60000000000002</v>
      </c>
      <c r="CB192" s="9">
        <f t="shared" si="403"/>
        <v>1.3161686388047049</v>
      </c>
      <c r="CC192" s="9">
        <v>0</v>
      </c>
      <c r="CD192" s="9">
        <f t="shared" si="518"/>
        <v>0</v>
      </c>
      <c r="CE192" s="9">
        <f t="shared" si="404"/>
        <v>0</v>
      </c>
      <c r="CF192" s="9">
        <f t="shared" si="385"/>
        <v>1</v>
      </c>
      <c r="CG192" s="9">
        <f t="shared" si="386"/>
        <v>0.78899999999999992</v>
      </c>
      <c r="CH192" s="9">
        <f t="shared" si="405"/>
        <v>4.1468499458926642</v>
      </c>
      <c r="CI192" s="9">
        <f t="shared" si="406"/>
        <v>5.4579538486129122</v>
      </c>
      <c r="CJ192" s="9">
        <v>1</v>
      </c>
      <c r="CK192" s="9">
        <f t="shared" si="407"/>
        <v>414.80449249458132</v>
      </c>
      <c r="CM192" s="4">
        <f t="shared" si="477"/>
        <v>2.6807730162772905</v>
      </c>
      <c r="CN192" s="4">
        <f t="shared" si="478"/>
        <v>0.59445291391391852</v>
      </c>
      <c r="CO192" s="4">
        <f t="shared" si="479"/>
        <v>1.343745872820697</v>
      </c>
      <c r="CP192" s="4">
        <f t="shared" si="480"/>
        <v>2.0431311987564142</v>
      </c>
      <c r="CQ192" s="44">
        <f t="shared" si="481"/>
        <v>1</v>
      </c>
      <c r="CR192" s="4">
        <f t="shared" si="482"/>
        <v>1</v>
      </c>
      <c r="CS192" s="4">
        <f t="shared" si="483"/>
        <v>3.203833724920901</v>
      </c>
      <c r="CU192" s="4">
        <f t="shared" si="553"/>
        <v>2.6807730162772905</v>
      </c>
      <c r="CV192" s="4">
        <f t="shared" si="553"/>
        <v>0.59445291391391852</v>
      </c>
      <c r="CW192" s="4">
        <f t="shared" ref="CW192:CW224" si="562">CP192</f>
        <v>2.0431311987564142</v>
      </c>
      <c r="CX192" s="4">
        <f t="shared" si="554"/>
        <v>3.203833724920901</v>
      </c>
      <c r="CY192" s="4">
        <f t="shared" si="555"/>
        <v>1</v>
      </c>
      <c r="CZ192" s="4">
        <f t="shared" si="555"/>
        <v>1</v>
      </c>
      <c r="DH192" s="4">
        <f t="shared" si="557"/>
        <v>0</v>
      </c>
      <c r="DI192" s="4">
        <f t="shared" si="453"/>
        <v>88.8</v>
      </c>
      <c r="DL192" s="4">
        <f t="shared" si="485"/>
        <v>2.8168411137544479E-5</v>
      </c>
      <c r="DM192" s="4">
        <f t="shared" si="558"/>
        <v>16.127376482335833</v>
      </c>
      <c r="DN192" s="4">
        <f t="shared" si="486"/>
        <v>0.23130967389770252</v>
      </c>
      <c r="DO192" s="4">
        <f t="shared" si="487"/>
        <v>8.9792743880390749</v>
      </c>
      <c r="DP192" s="4">
        <f t="shared" si="488"/>
        <v>13.055957437041979</v>
      </c>
      <c r="DQ192" s="4">
        <f t="shared" si="489"/>
        <v>15.366250826866818</v>
      </c>
      <c r="DR192" s="38">
        <f t="shared" si="513"/>
        <v>847.5</v>
      </c>
      <c r="DS192" s="4">
        <f t="shared" si="411"/>
        <v>1</v>
      </c>
      <c r="DT192" s="4">
        <f t="shared" si="490"/>
        <v>2.2360679774997898</v>
      </c>
      <c r="DU192" s="4">
        <f t="shared" si="441"/>
        <v>1080.1783801349238</v>
      </c>
      <c r="DY192" s="4">
        <f t="shared" si="387"/>
        <v>0.85</v>
      </c>
      <c r="DZ192" s="4">
        <f t="shared" si="412"/>
        <v>1</v>
      </c>
      <c r="EA192" s="4">
        <f t="shared" si="514"/>
        <v>1</v>
      </c>
      <c r="EB192" s="4">
        <f t="shared" si="414"/>
        <v>1</v>
      </c>
      <c r="ED192" s="4">
        <f t="shared" si="515"/>
        <v>847.5</v>
      </c>
      <c r="EE192" s="25">
        <f>26.5*N192*H192^0.5*J192^0.5/R192/K192^2*(0.7+O192/5/H192)</f>
        <v>1044.3162458944753</v>
      </c>
      <c r="EH192" s="4">
        <f t="shared" si="517"/>
        <v>16.127376482335833</v>
      </c>
      <c r="EK192" s="4">
        <f t="shared" si="491"/>
        <v>49.640709100495329</v>
      </c>
      <c r="EL192" s="4">
        <f t="shared" si="492"/>
        <v>2.2360679774997898</v>
      </c>
      <c r="EM192" s="4">
        <f t="shared" si="493"/>
        <v>0.18993383393437457</v>
      </c>
      <c r="EP192" s="4">
        <f t="shared" si="541"/>
        <v>0.18993383393437457</v>
      </c>
      <c r="EQ192" s="4">
        <f t="shared" si="542"/>
        <v>0.23092366116223015</v>
      </c>
      <c r="ER192" s="4">
        <f t="shared" si="559"/>
        <v>8.9732774903799175</v>
      </c>
      <c r="ES192" s="4">
        <f t="shared" si="388"/>
        <v>13.053909774486275</v>
      </c>
      <c r="ET192" s="4">
        <f t="shared" si="560"/>
        <v>16.959290899504666</v>
      </c>
      <c r="EU192" s="4">
        <f t="shared" si="561"/>
        <v>22.200000000000003</v>
      </c>
      <c r="EV192" s="4">
        <f t="shared" si="415"/>
        <v>2.8168411137544483E-5</v>
      </c>
      <c r="EW192" s="4">
        <f t="shared" si="389"/>
        <v>15.366549833999832</v>
      </c>
      <c r="EX192" s="4">
        <f t="shared" si="466"/>
        <v>847.5</v>
      </c>
      <c r="FG192" s="23">
        <f t="shared" ref="FG192:FH211" si="563">IF(CM192&lt;0.6,0.6,IF(CM192&lt;0.8,0.8,IF(CM192&lt;1,1,IF(CM192&lt;1.2,1.2,IF(CM192&lt;1.4,1.4,IF(CM192&lt;1.6,1.6,IF(CM192&lt;1.8,1.8,IF(CM192&lt;2,2,2.2))))))))</f>
        <v>2.2000000000000002</v>
      </c>
      <c r="FH192" s="23">
        <f t="shared" si="563"/>
        <v>0.6</v>
      </c>
      <c r="FI192" s="23">
        <f t="shared" si="495"/>
        <v>2.2000000000000002</v>
      </c>
      <c r="FJ192" s="23">
        <f t="shared" ref="FJ192:FL211" si="564">IF(CP192&lt;0.6,0.6,IF(CP192&lt;0.8,0.8,IF(CP192&lt;1,1,IF(CP192&lt;1.2,1.2,IF(CP192&lt;1.4,1.4,IF(CP192&lt;1.6,1.6,IF(CP192&lt;1.8,1.8,IF(CP192&lt;2,2,2.2))))))))</f>
        <v>2.2000000000000002</v>
      </c>
      <c r="FK192" s="23">
        <f t="shared" si="564"/>
        <v>1.2</v>
      </c>
      <c r="FL192" s="23">
        <f t="shared" si="564"/>
        <v>1.2</v>
      </c>
      <c r="FM192" s="23">
        <f t="shared" si="497"/>
        <v>0</v>
      </c>
      <c r="FN192" s="23"/>
      <c r="FX192" s="4">
        <f t="shared" si="416"/>
        <v>1.25</v>
      </c>
      <c r="FY192" s="4">
        <f t="shared" si="469"/>
        <v>0.5</v>
      </c>
      <c r="FZ192" s="4">
        <f t="shared" si="417"/>
        <v>0</v>
      </c>
      <c r="GA192" s="4">
        <f t="shared" si="418"/>
        <v>264.52683652330421</v>
      </c>
    </row>
    <row r="193" spans="1:183" ht="12" hidden="1" customHeight="1" x14ac:dyDescent="0.3">
      <c r="A193" s="25">
        <v>175</v>
      </c>
      <c r="B193" s="24" t="s">
        <v>128</v>
      </c>
      <c r="C193" s="24">
        <v>2017</v>
      </c>
      <c r="D193" s="24" t="s">
        <v>309</v>
      </c>
      <c r="E193" s="24"/>
      <c r="F193" s="4" t="s">
        <v>311</v>
      </c>
      <c r="G193" s="7">
        <v>661</v>
      </c>
      <c r="H193" s="7">
        <f t="shared" ref="H193:H209" si="565">4*K193</f>
        <v>88.8</v>
      </c>
      <c r="I193" s="7">
        <f t="shared" si="455"/>
        <v>88.8</v>
      </c>
      <c r="J193" s="7">
        <v>225.5</v>
      </c>
      <c r="K193" s="7">
        <v>22.2</v>
      </c>
      <c r="L193" s="7">
        <f t="shared" si="498"/>
        <v>4</v>
      </c>
      <c r="M193" s="7">
        <f t="shared" si="499"/>
        <v>4</v>
      </c>
      <c r="N193" s="7">
        <v>366</v>
      </c>
      <c r="O193" s="7">
        <f t="shared" ref="O193:O211" si="566">1*K193</f>
        <v>22.2</v>
      </c>
      <c r="P193" s="7">
        <f>118-I193</f>
        <v>29.200000000000003</v>
      </c>
      <c r="Q193" s="7">
        <f t="shared" ref="Q193:Q211" si="567">N193-2*K193-2*O193</f>
        <v>277.20000000000005</v>
      </c>
      <c r="R193" s="7">
        <v>2</v>
      </c>
      <c r="S193" s="7">
        <f t="shared" ref="S193:S211" si="568">2/3*H193</f>
        <v>59.199999999999996</v>
      </c>
      <c r="T193" s="7">
        <f t="shared" si="475"/>
        <v>1.5</v>
      </c>
      <c r="U193" s="7">
        <f t="shared" si="459"/>
        <v>1.5</v>
      </c>
      <c r="V193" s="7">
        <f t="shared" si="472"/>
        <v>4</v>
      </c>
      <c r="W193" s="7">
        <f t="shared" si="472"/>
        <v>4</v>
      </c>
      <c r="X193" s="7">
        <f t="shared" si="431"/>
        <v>5</v>
      </c>
      <c r="Y193" s="7">
        <f t="shared" si="552"/>
        <v>49.640709100495329</v>
      </c>
      <c r="Z193" s="7">
        <f t="shared" si="461"/>
        <v>661</v>
      </c>
      <c r="AA193" s="7">
        <v>8</v>
      </c>
      <c r="AB193" s="7">
        <f>(847+826)/2</f>
        <v>836.5</v>
      </c>
      <c r="AC193" s="7"/>
      <c r="AD193" s="4">
        <f t="shared" si="476"/>
        <v>1</v>
      </c>
      <c r="AE193" s="7"/>
      <c r="AF193" s="7"/>
      <c r="AG193" s="7">
        <v>1</v>
      </c>
      <c r="AH193" s="7"/>
      <c r="AI193" s="7"/>
      <c r="AJ193" s="7">
        <f t="shared" si="473"/>
        <v>0.88977955911823625</v>
      </c>
      <c r="AK193" s="4">
        <f t="shared" ref="AK193:AK243" si="569">H193</f>
        <v>88.8</v>
      </c>
      <c r="AL193" s="4">
        <f t="shared" si="505"/>
        <v>1.25</v>
      </c>
      <c r="AM193" s="4">
        <f t="shared" si="506"/>
        <v>162.318079587065</v>
      </c>
      <c r="AN193" s="4">
        <f t="shared" si="507"/>
        <v>0.77499999999999991</v>
      </c>
      <c r="AO193" s="4">
        <v>1.25</v>
      </c>
      <c r="AP193" s="47">
        <f>AP192</f>
        <v>5</v>
      </c>
      <c r="AQ193" s="38">
        <f t="shared" si="509"/>
        <v>982.7852474998075</v>
      </c>
      <c r="AR193" s="38">
        <f t="shared" si="510"/>
        <v>982.7852474998075</v>
      </c>
      <c r="AS193" s="38">
        <f t="shared" si="511"/>
        <v>6.7681675210006302</v>
      </c>
      <c r="AT193" s="38">
        <f t="shared" si="450"/>
        <v>1080.1783801349238</v>
      </c>
      <c r="AU193" s="38">
        <f t="shared" si="400"/>
        <v>0.90983606557377028</v>
      </c>
      <c r="AV193" s="38">
        <f t="shared" si="537"/>
        <v>1.2525708946618597</v>
      </c>
      <c r="AW193" s="4">
        <f t="shared" si="529"/>
        <v>0</v>
      </c>
      <c r="AX193" s="4">
        <f t="shared" ref="AX193:AX243" si="570">I193/K193*J193^0.5/0.19</f>
        <v>316.14015616170963</v>
      </c>
      <c r="AY193" s="4">
        <f t="shared" ref="AY193:AY243" si="571">MIN(0.6+0.4*(U193/T193),2)</f>
        <v>1</v>
      </c>
      <c r="AZ193" s="38">
        <f t="shared" si="438"/>
        <v>1353</v>
      </c>
      <c r="BA193" s="4">
        <f t="shared" ref="BA193:BA243" si="572">MAX(1-0.7*W193/5,0.3)</f>
        <v>0.44000000000000006</v>
      </c>
      <c r="BB193" s="4">
        <f t="shared" si="401"/>
        <v>72.680621901577041</v>
      </c>
      <c r="BC193" s="4">
        <f t="shared" si="402"/>
        <v>1425.6806219015771</v>
      </c>
      <c r="BE193" s="4">
        <f t="shared" si="451"/>
        <v>1</v>
      </c>
      <c r="BF193" s="4">
        <f t="shared" si="452"/>
        <v>630.69961154261068</v>
      </c>
      <c r="BH193" s="4">
        <f t="shared" si="463"/>
        <v>1297.6924611181944</v>
      </c>
      <c r="BI193" s="4">
        <f t="shared" si="464"/>
        <v>3606.2915864545262</v>
      </c>
      <c r="BJ193" s="4">
        <f t="shared" si="465"/>
        <v>2.779003265031732</v>
      </c>
      <c r="BR193" s="4">
        <f t="shared" si="539"/>
        <v>22.2</v>
      </c>
      <c r="BV193" s="9"/>
      <c r="BX193" s="9"/>
      <c r="BY193" s="9"/>
      <c r="BZ193" s="9">
        <f t="shared" si="383"/>
        <v>22.2</v>
      </c>
      <c r="CA193" s="9">
        <f t="shared" si="384"/>
        <v>138.60000000000002</v>
      </c>
      <c r="CB193" s="9">
        <f t="shared" si="403"/>
        <v>1.3161686388047049</v>
      </c>
      <c r="CC193" s="9">
        <v>0</v>
      </c>
      <c r="CD193" s="9">
        <f t="shared" si="518"/>
        <v>0</v>
      </c>
      <c r="CE193" s="9">
        <f t="shared" si="404"/>
        <v>0</v>
      </c>
      <c r="CF193" s="9">
        <f t="shared" si="385"/>
        <v>1</v>
      </c>
      <c r="CG193" s="9">
        <f t="shared" si="386"/>
        <v>0.78899999999999992</v>
      </c>
      <c r="CH193" s="9">
        <f t="shared" si="405"/>
        <v>4.1468499458926642</v>
      </c>
      <c r="CI193" s="9">
        <f t="shared" si="406"/>
        <v>5.4579538486129122</v>
      </c>
      <c r="CJ193" s="9">
        <v>1</v>
      </c>
      <c r="CK193" s="9">
        <f t="shared" si="407"/>
        <v>414.80449249458132</v>
      </c>
      <c r="CM193" s="4">
        <f t="shared" si="477"/>
        <v>2.6459783222607123</v>
      </c>
      <c r="CN193" s="4">
        <f t="shared" si="478"/>
        <v>0.58673730087196796</v>
      </c>
      <c r="CO193" s="4">
        <f t="shared" si="479"/>
        <v>1.3263049234389535</v>
      </c>
      <c r="CP193" s="4">
        <f t="shared" si="480"/>
        <v>2.0166126817224077</v>
      </c>
      <c r="CQ193" s="44">
        <f t="shared" si="481"/>
        <v>1</v>
      </c>
      <c r="CR193" s="4">
        <f t="shared" si="482"/>
        <v>1</v>
      </c>
      <c r="CS193" s="4">
        <f t="shared" si="483"/>
        <v>3.1622500423555562</v>
      </c>
      <c r="CU193" s="4">
        <f t="shared" si="553"/>
        <v>2.6459783222607123</v>
      </c>
      <c r="CV193" s="4">
        <f t="shared" si="553"/>
        <v>0.58673730087196796</v>
      </c>
      <c r="CW193" s="4">
        <f t="shared" si="562"/>
        <v>2.0166126817224077</v>
      </c>
      <c r="CX193" s="4">
        <f t="shared" si="554"/>
        <v>3.1622500423555562</v>
      </c>
      <c r="CY193" s="4">
        <f t="shared" si="555"/>
        <v>1</v>
      </c>
      <c r="CZ193" s="4">
        <f t="shared" si="555"/>
        <v>1</v>
      </c>
      <c r="DH193" s="4">
        <f t="shared" si="557"/>
        <v>0</v>
      </c>
      <c r="DI193" s="4">
        <f t="shared" si="453"/>
        <v>88.8</v>
      </c>
      <c r="DL193" s="4">
        <f t="shared" si="485"/>
        <v>2.8168411137544479E-5</v>
      </c>
      <c r="DM193" s="4">
        <f t="shared" si="558"/>
        <v>16.127376482335833</v>
      </c>
      <c r="DN193" s="4">
        <f t="shared" si="486"/>
        <v>0.23130967389770252</v>
      </c>
      <c r="DO193" s="4">
        <f t="shared" si="487"/>
        <v>8.9792743880390749</v>
      </c>
      <c r="DP193" s="4">
        <f t="shared" si="488"/>
        <v>13.055957437041979</v>
      </c>
      <c r="DQ193" s="4">
        <f t="shared" si="489"/>
        <v>15.366250826866818</v>
      </c>
      <c r="DR193" s="38">
        <f t="shared" si="513"/>
        <v>836.5</v>
      </c>
      <c r="DS193" s="4">
        <f t="shared" si="411"/>
        <v>1</v>
      </c>
      <c r="DT193" s="4">
        <f t="shared" si="490"/>
        <v>2.2360679774997898</v>
      </c>
      <c r="DU193" s="4">
        <f t="shared" si="441"/>
        <v>1080.1783801349238</v>
      </c>
      <c r="DY193" s="4">
        <f t="shared" si="387"/>
        <v>0.85</v>
      </c>
      <c r="DZ193" s="4">
        <f t="shared" si="412"/>
        <v>1</v>
      </c>
      <c r="EA193" s="4">
        <f t="shared" si="514"/>
        <v>1</v>
      </c>
      <c r="EB193" s="4">
        <f t="shared" si="414"/>
        <v>1</v>
      </c>
      <c r="ED193" s="4">
        <f t="shared" si="515"/>
        <v>836.5</v>
      </c>
      <c r="EE193" s="25">
        <f t="shared" ref="EE193:EE211" si="573">26.5*N193*H193^0.5*J193^0.5/R193/K193^2*(0.7+O193/5/H193)</f>
        <v>1044.3162458944753</v>
      </c>
      <c r="EH193" s="4">
        <f t="shared" si="517"/>
        <v>16.127376482335833</v>
      </c>
      <c r="EK193" s="4">
        <f t="shared" si="491"/>
        <v>49.640709100495329</v>
      </c>
      <c r="EL193" s="4">
        <f t="shared" si="492"/>
        <v>2.2360679774997898</v>
      </c>
      <c r="EM193" s="4">
        <f t="shared" si="493"/>
        <v>0.18993383393437457</v>
      </c>
      <c r="EP193" s="4">
        <f t="shared" si="541"/>
        <v>0.18993383393437457</v>
      </c>
      <c r="EQ193" s="4">
        <f t="shared" si="542"/>
        <v>0.23092366116223015</v>
      </c>
      <c r="ER193" s="4">
        <f t="shared" si="559"/>
        <v>8.9732774903799175</v>
      </c>
      <c r="ES193" s="4">
        <f t="shared" si="388"/>
        <v>13.053909774486275</v>
      </c>
      <c r="ET193" s="4">
        <f t="shared" si="560"/>
        <v>16.959290899504666</v>
      </c>
      <c r="EU193" s="4">
        <f t="shared" si="561"/>
        <v>22.200000000000003</v>
      </c>
      <c r="EV193" s="4">
        <f t="shared" si="415"/>
        <v>2.8168411137544483E-5</v>
      </c>
      <c r="EW193" s="4">
        <f t="shared" si="389"/>
        <v>15.366549833999832</v>
      </c>
      <c r="EX193" s="4">
        <f t="shared" si="466"/>
        <v>836.5</v>
      </c>
      <c r="FG193" s="23">
        <f t="shared" si="563"/>
        <v>2.2000000000000002</v>
      </c>
      <c r="FH193" s="23">
        <f t="shared" si="563"/>
        <v>0.6</v>
      </c>
      <c r="FI193" s="23">
        <f t="shared" si="495"/>
        <v>2.2000000000000002</v>
      </c>
      <c r="FJ193" s="23">
        <f t="shared" si="564"/>
        <v>2.2000000000000002</v>
      </c>
      <c r="FK193" s="23">
        <f t="shared" si="564"/>
        <v>1.2</v>
      </c>
      <c r="FL193" s="23">
        <f t="shared" si="564"/>
        <v>1.2</v>
      </c>
      <c r="FM193" s="23">
        <f t="shared" si="497"/>
        <v>0</v>
      </c>
      <c r="FN193" s="23"/>
      <c r="FX193" s="4">
        <f t="shared" si="416"/>
        <v>1.25</v>
      </c>
      <c r="FY193" s="4">
        <f t="shared" si="469"/>
        <v>0.5</v>
      </c>
      <c r="FZ193" s="4">
        <f t="shared" si="417"/>
        <v>0</v>
      </c>
      <c r="GA193" s="4">
        <f t="shared" si="418"/>
        <v>264.52683652330421</v>
      </c>
    </row>
    <row r="194" spans="1:183" ht="12" hidden="1" customHeight="1" x14ac:dyDescent="0.3">
      <c r="A194" s="25">
        <v>176</v>
      </c>
      <c r="B194" s="24" t="s">
        <v>128</v>
      </c>
      <c r="C194" s="24">
        <v>2017</v>
      </c>
      <c r="D194" s="24" t="s">
        <v>309</v>
      </c>
      <c r="E194" s="24"/>
      <c r="F194" s="4" t="s">
        <v>312</v>
      </c>
      <c r="G194" s="7">
        <v>667</v>
      </c>
      <c r="H194" s="7">
        <f t="shared" si="565"/>
        <v>88.8</v>
      </c>
      <c r="I194" s="7">
        <f t="shared" si="455"/>
        <v>88.8</v>
      </c>
      <c r="J194" s="7">
        <v>225.5</v>
      </c>
      <c r="K194" s="7">
        <v>22.2</v>
      </c>
      <c r="L194" s="7">
        <f t="shared" si="498"/>
        <v>4</v>
      </c>
      <c r="M194" s="7">
        <f t="shared" si="499"/>
        <v>4</v>
      </c>
      <c r="N194" s="7">
        <v>396</v>
      </c>
      <c r="O194" s="7">
        <f t="shared" si="566"/>
        <v>22.2</v>
      </c>
      <c r="P194" s="7">
        <f>171-I194</f>
        <v>82.2</v>
      </c>
      <c r="Q194" s="7">
        <f t="shared" si="567"/>
        <v>307.20000000000005</v>
      </c>
      <c r="R194" s="7">
        <v>2</v>
      </c>
      <c r="S194" s="7">
        <f t="shared" si="568"/>
        <v>59.199999999999996</v>
      </c>
      <c r="T194" s="7">
        <f t="shared" si="475"/>
        <v>1.5</v>
      </c>
      <c r="U194" s="7">
        <f t="shared" si="459"/>
        <v>1.5</v>
      </c>
      <c r="V194" s="7">
        <f t="shared" si="472"/>
        <v>4</v>
      </c>
      <c r="W194" s="7">
        <f t="shared" si="472"/>
        <v>4</v>
      </c>
      <c r="X194" s="7">
        <f t="shared" si="431"/>
        <v>5</v>
      </c>
      <c r="Y194" s="7">
        <f t="shared" si="552"/>
        <v>49.640709100495329</v>
      </c>
      <c r="Z194" s="7">
        <f t="shared" si="461"/>
        <v>667</v>
      </c>
      <c r="AA194" s="7">
        <v>11</v>
      </c>
      <c r="AB194" s="7">
        <f>(728+642)/2</f>
        <v>685</v>
      </c>
      <c r="AC194" s="7"/>
      <c r="AD194" s="4">
        <f t="shared" si="476"/>
        <v>1</v>
      </c>
      <c r="AE194" s="7"/>
      <c r="AF194" s="7"/>
      <c r="AG194" s="7">
        <v>1</v>
      </c>
      <c r="AH194" s="7"/>
      <c r="AI194" s="7"/>
      <c r="AJ194" s="7">
        <f t="shared" si="473"/>
        <v>0.808743169398907</v>
      </c>
      <c r="AK194" s="4">
        <f t="shared" si="569"/>
        <v>88.8</v>
      </c>
      <c r="AL194" s="4">
        <f t="shared" si="505"/>
        <v>1.25</v>
      </c>
      <c r="AM194" s="4">
        <f t="shared" si="506"/>
        <v>162.318079587065</v>
      </c>
      <c r="AN194" s="4">
        <f t="shared" si="507"/>
        <v>0.77499999999999991</v>
      </c>
      <c r="AO194" s="4">
        <v>1.25</v>
      </c>
      <c r="AP194" s="47">
        <f t="shared" ref="AP194:AP211" si="574">AP193</f>
        <v>5</v>
      </c>
      <c r="AQ194" s="38">
        <f t="shared" si="509"/>
        <v>982.7852474998075</v>
      </c>
      <c r="AR194" s="38">
        <f t="shared" si="510"/>
        <v>982.7852474998075</v>
      </c>
      <c r="AS194" s="38">
        <f t="shared" si="511"/>
        <v>6.7681675210006302</v>
      </c>
      <c r="AT194" s="38">
        <f t="shared" si="450"/>
        <v>1168.717591621393</v>
      </c>
      <c r="AU194" s="38">
        <f t="shared" si="400"/>
        <v>0.84090909090909072</v>
      </c>
      <c r="AV194" s="38">
        <f t="shared" si="537"/>
        <v>1.1576791602177794</v>
      </c>
      <c r="AW194" s="4">
        <f t="shared" si="529"/>
        <v>0</v>
      </c>
      <c r="AX194" s="4">
        <f t="shared" si="570"/>
        <v>316.14015616170963</v>
      </c>
      <c r="AY194" s="4">
        <f t="shared" si="571"/>
        <v>1</v>
      </c>
      <c r="AZ194" s="38">
        <f t="shared" si="438"/>
        <v>1353</v>
      </c>
      <c r="BA194" s="4">
        <f t="shared" si="572"/>
        <v>0.44000000000000006</v>
      </c>
      <c r="BB194" s="4">
        <f t="shared" si="401"/>
        <v>72.680621901577055</v>
      </c>
      <c r="BC194" s="4">
        <f t="shared" si="402"/>
        <v>1425.6806219015771</v>
      </c>
      <c r="BE194" s="4">
        <f t="shared" si="451"/>
        <v>1</v>
      </c>
      <c r="BF194" s="4">
        <f t="shared" si="452"/>
        <v>630.69961154261068</v>
      </c>
      <c r="BH194" s="4">
        <f t="shared" si="463"/>
        <v>1297.6924611181944</v>
      </c>
      <c r="BI194" s="4">
        <f t="shared" si="464"/>
        <v>6880.0343955178114</v>
      </c>
      <c r="BJ194" s="4">
        <f t="shared" si="465"/>
        <v>5.3017449061770998</v>
      </c>
      <c r="BR194" s="4">
        <f t="shared" si="539"/>
        <v>22.2</v>
      </c>
      <c r="BV194" s="9"/>
      <c r="BX194" s="9"/>
      <c r="BY194" s="9"/>
      <c r="BZ194" s="9">
        <f t="shared" si="383"/>
        <v>22.2</v>
      </c>
      <c r="CA194" s="9">
        <f t="shared" si="384"/>
        <v>153.60000000000002</v>
      </c>
      <c r="CB194" s="9">
        <f t="shared" si="403"/>
        <v>1.3366131704942024</v>
      </c>
      <c r="CC194" s="9">
        <v>0</v>
      </c>
      <c r="CD194" s="9">
        <f t="shared" si="518"/>
        <v>0</v>
      </c>
      <c r="CE194" s="9">
        <f t="shared" si="404"/>
        <v>0</v>
      </c>
      <c r="CF194" s="9">
        <f t="shared" si="385"/>
        <v>1</v>
      </c>
      <c r="CG194" s="9">
        <f t="shared" si="386"/>
        <v>0.78299999999999992</v>
      </c>
      <c r="CH194" s="9">
        <f t="shared" si="405"/>
        <v>4.1153149653155339</v>
      </c>
      <c r="CI194" s="9">
        <f t="shared" si="406"/>
        <v>5.5005841833726343</v>
      </c>
      <c r="CJ194" s="9">
        <v>1</v>
      </c>
      <c r="CK194" s="9">
        <f t="shared" si="407"/>
        <v>418.04439793632019</v>
      </c>
      <c r="CM194" s="4">
        <f t="shared" si="477"/>
        <v>2.1667604910323823</v>
      </c>
      <c r="CN194" s="4">
        <f t="shared" si="478"/>
        <v>0.48047226670328519</v>
      </c>
      <c r="CO194" s="4">
        <f t="shared" si="479"/>
        <v>1.0860954842267581</v>
      </c>
      <c r="CP194" s="4">
        <f t="shared" si="480"/>
        <v>1.6385819386206548</v>
      </c>
      <c r="CQ194" s="44">
        <f t="shared" si="481"/>
        <v>1</v>
      </c>
      <c r="CR194" s="4">
        <f t="shared" si="482"/>
        <v>1</v>
      </c>
      <c r="CS194" s="4">
        <f t="shared" si="483"/>
        <v>2.5895293233873948</v>
      </c>
      <c r="CU194" s="4">
        <f t="shared" si="553"/>
        <v>2.1667604910323823</v>
      </c>
      <c r="CV194" s="4">
        <f t="shared" si="553"/>
        <v>0.48047226670328519</v>
      </c>
      <c r="CW194" s="4">
        <f t="shared" si="562"/>
        <v>1.6385819386206548</v>
      </c>
      <c r="CX194" s="4">
        <f t="shared" si="554"/>
        <v>2.5895293233873948</v>
      </c>
      <c r="CY194" s="4">
        <f t="shared" si="555"/>
        <v>1</v>
      </c>
      <c r="CZ194" s="4">
        <f t="shared" si="555"/>
        <v>1</v>
      </c>
      <c r="DH194" s="4">
        <f t="shared" si="557"/>
        <v>0</v>
      </c>
      <c r="DI194" s="4">
        <f t="shared" si="453"/>
        <v>88.8</v>
      </c>
      <c r="DL194" s="4">
        <f t="shared" si="485"/>
        <v>2.8168411137544479E-5</v>
      </c>
      <c r="DM194" s="4">
        <f t="shared" si="558"/>
        <v>16.127376482335833</v>
      </c>
      <c r="DN194" s="4">
        <f t="shared" si="486"/>
        <v>0.25026948323357978</v>
      </c>
      <c r="DO194" s="4">
        <f t="shared" si="487"/>
        <v>9.2667379743898639</v>
      </c>
      <c r="DP194" s="4">
        <f t="shared" si="488"/>
        <v>13.155388550026604</v>
      </c>
      <c r="DQ194" s="4">
        <f t="shared" si="489"/>
        <v>15.351898346055917</v>
      </c>
      <c r="DR194" s="38">
        <f t="shared" si="513"/>
        <v>685</v>
      </c>
      <c r="DS194" s="4">
        <f t="shared" si="411"/>
        <v>1</v>
      </c>
      <c r="DT194" s="4">
        <f t="shared" si="490"/>
        <v>2.2360679774997898</v>
      </c>
      <c r="DU194" s="4">
        <f t="shared" si="441"/>
        <v>1168.717591621393</v>
      </c>
      <c r="DY194" s="4">
        <f t="shared" si="387"/>
        <v>0.85</v>
      </c>
      <c r="DZ194" s="4">
        <f t="shared" si="412"/>
        <v>1</v>
      </c>
      <c r="EA194" s="4">
        <f t="shared" si="514"/>
        <v>1</v>
      </c>
      <c r="EB194" s="4">
        <f t="shared" si="414"/>
        <v>1</v>
      </c>
      <c r="ED194" s="4">
        <f t="shared" si="515"/>
        <v>685</v>
      </c>
      <c r="EE194" s="25">
        <f t="shared" si="573"/>
        <v>1129.9159381809077</v>
      </c>
      <c r="EH194" s="4">
        <f t="shared" si="517"/>
        <v>16.127376482335833</v>
      </c>
      <c r="EK194" s="4">
        <f t="shared" si="491"/>
        <v>49.640709100495329</v>
      </c>
      <c r="EL194" s="4">
        <f t="shared" si="492"/>
        <v>2.2360679774997898</v>
      </c>
      <c r="EM194" s="4">
        <f t="shared" si="493"/>
        <v>0.20550218097817574</v>
      </c>
      <c r="EP194" s="4">
        <f t="shared" si="541"/>
        <v>0.20550218097817574</v>
      </c>
      <c r="EQ194" s="4">
        <f t="shared" si="542"/>
        <v>0.2498518301099539</v>
      </c>
      <c r="ER194" s="4">
        <f t="shared" si="559"/>
        <v>9.2605490913170101</v>
      </c>
      <c r="ES194" s="4">
        <f t="shared" si="388"/>
        <v>13.15322177909766</v>
      </c>
      <c r="ET194" s="4">
        <f t="shared" si="560"/>
        <v>16.959290899504666</v>
      </c>
      <c r="EU194" s="4">
        <f t="shared" si="561"/>
        <v>22.200000000000003</v>
      </c>
      <c r="EV194" s="4">
        <f t="shared" si="415"/>
        <v>2.8168411137544483E-5</v>
      </c>
      <c r="EW194" s="4">
        <f t="shared" si="389"/>
        <v>15.352207742597887</v>
      </c>
      <c r="EX194" s="4">
        <f t="shared" si="466"/>
        <v>685</v>
      </c>
      <c r="FG194" s="23">
        <f t="shared" si="563"/>
        <v>2.2000000000000002</v>
      </c>
      <c r="FH194" s="23">
        <f t="shared" si="563"/>
        <v>0.6</v>
      </c>
      <c r="FI194" s="23">
        <f t="shared" si="495"/>
        <v>2.2000000000000002</v>
      </c>
      <c r="FJ194" s="23">
        <f t="shared" si="564"/>
        <v>1.8</v>
      </c>
      <c r="FK194" s="23">
        <f t="shared" si="564"/>
        <v>1.2</v>
      </c>
      <c r="FL194" s="23">
        <f t="shared" si="564"/>
        <v>1.2</v>
      </c>
      <c r="FM194" s="23">
        <f t="shared" si="497"/>
        <v>0</v>
      </c>
      <c r="FN194" s="23"/>
      <c r="FX194" s="4">
        <f t="shared" si="416"/>
        <v>1.25</v>
      </c>
      <c r="FY194" s="4">
        <f t="shared" si="469"/>
        <v>0.5</v>
      </c>
      <c r="FZ194" s="4">
        <f t="shared" si="417"/>
        <v>0</v>
      </c>
      <c r="GA194" s="4">
        <f t="shared" si="418"/>
        <v>264.52683652330421</v>
      </c>
    </row>
    <row r="195" spans="1:183" ht="12" hidden="1" customHeight="1" x14ac:dyDescent="0.3">
      <c r="A195" s="25">
        <v>177</v>
      </c>
      <c r="B195" s="24" t="s">
        <v>128</v>
      </c>
      <c r="C195" s="24">
        <v>2017</v>
      </c>
      <c r="D195" s="24" t="s">
        <v>309</v>
      </c>
      <c r="E195" s="24"/>
      <c r="F195" s="4" t="s">
        <v>154</v>
      </c>
      <c r="G195" s="7">
        <v>667</v>
      </c>
      <c r="H195" s="7">
        <f t="shared" si="565"/>
        <v>88.8</v>
      </c>
      <c r="I195" s="7">
        <f t="shared" si="455"/>
        <v>88.8</v>
      </c>
      <c r="J195" s="7">
        <v>225.5</v>
      </c>
      <c r="K195" s="7">
        <v>22.2</v>
      </c>
      <c r="L195" s="7">
        <f t="shared" si="498"/>
        <v>4</v>
      </c>
      <c r="M195" s="7">
        <f t="shared" si="499"/>
        <v>4</v>
      </c>
      <c r="N195" s="7">
        <v>396</v>
      </c>
      <c r="O195" s="7">
        <f t="shared" si="566"/>
        <v>22.2</v>
      </c>
      <c r="P195" s="7">
        <f t="shared" ref="P195" si="575">171-I195</f>
        <v>82.2</v>
      </c>
      <c r="Q195" s="7">
        <f t="shared" si="567"/>
        <v>307.20000000000005</v>
      </c>
      <c r="R195" s="7">
        <v>2</v>
      </c>
      <c r="S195" s="7">
        <f t="shared" si="568"/>
        <v>59.199999999999996</v>
      </c>
      <c r="T195" s="7">
        <f t="shared" si="475"/>
        <v>1.5</v>
      </c>
      <c r="U195" s="7">
        <f t="shared" si="459"/>
        <v>1.5</v>
      </c>
      <c r="V195" s="7">
        <f t="shared" si="472"/>
        <v>4</v>
      </c>
      <c r="W195" s="7">
        <f t="shared" si="472"/>
        <v>4</v>
      </c>
      <c r="X195" s="7">
        <f t="shared" si="431"/>
        <v>5</v>
      </c>
      <c r="Y195" s="7">
        <f t="shared" si="552"/>
        <v>49.640709100495329</v>
      </c>
      <c r="Z195" s="7">
        <f t="shared" si="461"/>
        <v>667</v>
      </c>
      <c r="AA195" s="7">
        <v>11</v>
      </c>
      <c r="AB195" s="7">
        <f>(742+707)/2</f>
        <v>724.5</v>
      </c>
      <c r="AC195" s="7"/>
      <c r="AD195" s="4">
        <f t="shared" si="476"/>
        <v>1</v>
      </c>
      <c r="AE195" s="7"/>
      <c r="AF195" s="7"/>
      <c r="AG195" s="7">
        <v>1</v>
      </c>
      <c r="AH195" s="7"/>
      <c r="AI195" s="7"/>
      <c r="AJ195" s="7">
        <f t="shared" si="473"/>
        <v>0.808743169398907</v>
      </c>
      <c r="AK195" s="4">
        <f t="shared" si="569"/>
        <v>88.8</v>
      </c>
      <c r="AL195" s="4">
        <f t="shared" si="505"/>
        <v>1.25</v>
      </c>
      <c r="AM195" s="4">
        <f t="shared" si="506"/>
        <v>162.318079587065</v>
      </c>
      <c r="AN195" s="4">
        <f t="shared" si="507"/>
        <v>0.77499999999999991</v>
      </c>
      <c r="AO195" s="4">
        <v>1.25</v>
      </c>
      <c r="AP195" s="47">
        <f t="shared" si="574"/>
        <v>5</v>
      </c>
      <c r="AQ195" s="38">
        <f t="shared" si="509"/>
        <v>982.7852474998075</v>
      </c>
      <c r="AR195" s="38">
        <f t="shared" si="510"/>
        <v>982.7852474998075</v>
      </c>
      <c r="AS195" s="38">
        <f t="shared" si="511"/>
        <v>6.7681675210006302</v>
      </c>
      <c r="AT195" s="38">
        <f t="shared" si="450"/>
        <v>1168.717591621393</v>
      </c>
      <c r="AU195" s="38">
        <f t="shared" si="400"/>
        <v>0.84090909090909072</v>
      </c>
      <c r="AV195" s="38">
        <f t="shared" si="537"/>
        <v>1.1576791602177794</v>
      </c>
      <c r="AW195" s="4">
        <f t="shared" si="529"/>
        <v>0</v>
      </c>
      <c r="AX195" s="4">
        <f t="shared" si="570"/>
        <v>316.14015616170963</v>
      </c>
      <c r="AY195" s="4">
        <f t="shared" si="571"/>
        <v>1</v>
      </c>
      <c r="AZ195" s="38">
        <f t="shared" si="438"/>
        <v>1353</v>
      </c>
      <c r="BA195" s="4">
        <f t="shared" si="572"/>
        <v>0.44000000000000006</v>
      </c>
      <c r="BB195" s="4">
        <f t="shared" si="401"/>
        <v>72.680621901577055</v>
      </c>
      <c r="BC195" s="4">
        <f t="shared" si="402"/>
        <v>1425.6806219015771</v>
      </c>
      <c r="BE195" s="4">
        <f t="shared" si="451"/>
        <v>1</v>
      </c>
      <c r="BF195" s="4">
        <f t="shared" si="452"/>
        <v>630.69961154261068</v>
      </c>
      <c r="BH195" s="4">
        <f t="shared" si="463"/>
        <v>1297.6924611181944</v>
      </c>
      <c r="BI195" s="4">
        <f t="shared" si="464"/>
        <v>6880.0343955178114</v>
      </c>
      <c r="BJ195" s="4">
        <f t="shared" si="465"/>
        <v>5.3017449061770998</v>
      </c>
      <c r="BR195" s="4">
        <f t="shared" si="539"/>
        <v>22.2</v>
      </c>
      <c r="BV195" s="9"/>
      <c r="BX195" s="9"/>
      <c r="BY195" s="9"/>
      <c r="BZ195" s="9">
        <f t="shared" si="383"/>
        <v>22.2</v>
      </c>
      <c r="CA195" s="9">
        <f t="shared" si="384"/>
        <v>153.60000000000002</v>
      </c>
      <c r="CB195" s="9">
        <f t="shared" si="403"/>
        <v>1.3366131704942024</v>
      </c>
      <c r="CC195" s="9">
        <v>0</v>
      </c>
      <c r="CD195" s="9">
        <f t="shared" si="518"/>
        <v>0</v>
      </c>
      <c r="CE195" s="9">
        <f t="shared" si="404"/>
        <v>0</v>
      </c>
      <c r="CF195" s="9">
        <f t="shared" si="385"/>
        <v>1</v>
      </c>
      <c r="CG195" s="9">
        <f t="shared" si="386"/>
        <v>0.78299999999999992</v>
      </c>
      <c r="CH195" s="9">
        <f t="shared" si="405"/>
        <v>4.1153149653155339</v>
      </c>
      <c r="CI195" s="9">
        <f t="shared" si="406"/>
        <v>5.5005841833726343</v>
      </c>
      <c r="CJ195" s="9">
        <v>1</v>
      </c>
      <c r="CK195" s="9">
        <f t="shared" si="407"/>
        <v>418.04439793632019</v>
      </c>
      <c r="CM195" s="4">
        <f t="shared" si="477"/>
        <v>2.2917050740919138</v>
      </c>
      <c r="CN195" s="4">
        <f t="shared" si="478"/>
        <v>0.50817833171756221</v>
      </c>
      <c r="CO195" s="4">
        <f t="shared" si="479"/>
        <v>1.1487243479157463</v>
      </c>
      <c r="CP195" s="4">
        <f t="shared" si="480"/>
        <v>1.7330695102637437</v>
      </c>
      <c r="CQ195" s="44">
        <f t="shared" si="481"/>
        <v>1</v>
      </c>
      <c r="CR195" s="4">
        <f t="shared" si="482"/>
        <v>1</v>
      </c>
      <c r="CS195" s="4">
        <f t="shared" si="483"/>
        <v>2.7388525471447704</v>
      </c>
      <c r="CU195" s="4">
        <f t="shared" si="553"/>
        <v>2.2917050740919138</v>
      </c>
      <c r="CV195" s="4">
        <f t="shared" si="553"/>
        <v>0.50817833171756221</v>
      </c>
      <c r="CW195" s="4">
        <f t="shared" si="562"/>
        <v>1.7330695102637437</v>
      </c>
      <c r="CX195" s="4">
        <f t="shared" si="554"/>
        <v>2.7388525471447704</v>
      </c>
      <c r="CY195" s="4">
        <f t="shared" si="555"/>
        <v>1</v>
      </c>
      <c r="CZ195" s="4">
        <f t="shared" si="555"/>
        <v>1</v>
      </c>
      <c r="DH195" s="4">
        <f t="shared" si="557"/>
        <v>0</v>
      </c>
      <c r="DI195" s="4">
        <f t="shared" si="453"/>
        <v>88.8</v>
      </c>
      <c r="DL195" s="4">
        <f t="shared" si="485"/>
        <v>2.8168411137544479E-5</v>
      </c>
      <c r="DM195" s="4">
        <f t="shared" si="558"/>
        <v>16.127376482335833</v>
      </c>
      <c r="DN195" s="4">
        <f t="shared" si="486"/>
        <v>0.25026948323357978</v>
      </c>
      <c r="DO195" s="4">
        <f t="shared" si="487"/>
        <v>9.2667379743898639</v>
      </c>
      <c r="DP195" s="4">
        <f t="shared" si="488"/>
        <v>13.155388550026604</v>
      </c>
      <c r="DQ195" s="4">
        <f t="shared" si="489"/>
        <v>15.351898346055917</v>
      </c>
      <c r="DR195" s="38">
        <f t="shared" si="513"/>
        <v>724.5</v>
      </c>
      <c r="DS195" s="4">
        <f t="shared" si="411"/>
        <v>1</v>
      </c>
      <c r="DT195" s="4">
        <f t="shared" si="490"/>
        <v>2.2360679774997898</v>
      </c>
      <c r="DU195" s="4">
        <f t="shared" si="441"/>
        <v>1168.717591621393</v>
      </c>
      <c r="DY195" s="4">
        <f t="shared" si="387"/>
        <v>0.85</v>
      </c>
      <c r="DZ195" s="4">
        <f t="shared" si="412"/>
        <v>1</v>
      </c>
      <c r="EA195" s="4">
        <f t="shared" si="514"/>
        <v>1</v>
      </c>
      <c r="EB195" s="4">
        <f t="shared" si="414"/>
        <v>1</v>
      </c>
      <c r="ED195" s="4">
        <f t="shared" si="515"/>
        <v>724.5</v>
      </c>
      <c r="EE195" s="25">
        <f t="shared" si="573"/>
        <v>1129.9159381809077</v>
      </c>
      <c r="EH195" s="4">
        <f t="shared" si="517"/>
        <v>16.127376482335833</v>
      </c>
      <c r="EK195" s="4">
        <f t="shared" si="491"/>
        <v>49.640709100495329</v>
      </c>
      <c r="EL195" s="4">
        <f t="shared" si="492"/>
        <v>2.2360679774997898</v>
      </c>
      <c r="EM195" s="4">
        <f t="shared" si="493"/>
        <v>0.20550218097817574</v>
      </c>
      <c r="EP195" s="4">
        <f t="shared" si="541"/>
        <v>0.20550218097817574</v>
      </c>
      <c r="EQ195" s="4">
        <f t="shared" si="542"/>
        <v>0.2498518301099539</v>
      </c>
      <c r="ER195" s="4">
        <f t="shared" si="559"/>
        <v>9.2605490913170101</v>
      </c>
      <c r="ES195" s="4">
        <f t="shared" si="388"/>
        <v>13.15322177909766</v>
      </c>
      <c r="ET195" s="4">
        <f t="shared" si="560"/>
        <v>16.959290899504666</v>
      </c>
      <c r="EU195" s="4">
        <f t="shared" si="561"/>
        <v>22.200000000000003</v>
      </c>
      <c r="EV195" s="4">
        <f t="shared" si="415"/>
        <v>2.8168411137544483E-5</v>
      </c>
      <c r="EW195" s="4">
        <f t="shared" si="389"/>
        <v>15.352207742597887</v>
      </c>
      <c r="EX195" s="4">
        <f t="shared" si="466"/>
        <v>724.5</v>
      </c>
      <c r="FG195" s="23">
        <f t="shared" si="563"/>
        <v>2.2000000000000002</v>
      </c>
      <c r="FH195" s="23">
        <f t="shared" si="563"/>
        <v>0.6</v>
      </c>
      <c r="FI195" s="23">
        <f t="shared" si="495"/>
        <v>2.2000000000000002</v>
      </c>
      <c r="FJ195" s="23">
        <f t="shared" si="564"/>
        <v>1.8</v>
      </c>
      <c r="FK195" s="23">
        <f t="shared" si="564"/>
        <v>1.2</v>
      </c>
      <c r="FL195" s="23">
        <f t="shared" si="564"/>
        <v>1.2</v>
      </c>
      <c r="FM195" s="23">
        <f t="shared" si="497"/>
        <v>0</v>
      </c>
      <c r="FN195" s="23"/>
      <c r="FX195" s="4">
        <f t="shared" si="416"/>
        <v>1.25</v>
      </c>
      <c r="FY195" s="4">
        <f t="shared" si="469"/>
        <v>0.5</v>
      </c>
      <c r="FZ195" s="4">
        <f t="shared" si="417"/>
        <v>0</v>
      </c>
      <c r="GA195" s="4">
        <f t="shared" si="418"/>
        <v>264.52683652330421</v>
      </c>
    </row>
    <row r="196" spans="1:183" ht="12" hidden="1" customHeight="1" x14ac:dyDescent="0.3">
      <c r="A196" s="25">
        <v>178</v>
      </c>
      <c r="B196" s="24" t="s">
        <v>128</v>
      </c>
      <c r="C196" s="24">
        <v>2017</v>
      </c>
      <c r="D196" s="24" t="s">
        <v>309</v>
      </c>
      <c r="E196" s="24"/>
      <c r="F196" s="4" t="s">
        <v>153</v>
      </c>
      <c r="G196" s="7">
        <v>679</v>
      </c>
      <c r="H196" s="7">
        <f t="shared" si="565"/>
        <v>88.8</v>
      </c>
      <c r="I196" s="7">
        <f t="shared" si="455"/>
        <v>88.8</v>
      </c>
      <c r="J196" s="7">
        <v>129.9</v>
      </c>
      <c r="K196" s="7">
        <v>22.2</v>
      </c>
      <c r="L196" s="7">
        <f t="shared" si="498"/>
        <v>4</v>
      </c>
      <c r="M196" s="7">
        <f t="shared" si="499"/>
        <v>4</v>
      </c>
      <c r="N196" s="7">
        <v>366</v>
      </c>
      <c r="O196" s="7">
        <f t="shared" si="566"/>
        <v>22.2</v>
      </c>
      <c r="P196" s="7">
        <f t="shared" ref="P196:P201" si="576">118-I196</f>
        <v>29.200000000000003</v>
      </c>
      <c r="Q196" s="7">
        <f t="shared" si="567"/>
        <v>277.20000000000005</v>
      </c>
      <c r="R196" s="7">
        <v>2</v>
      </c>
      <c r="S196" s="7">
        <f t="shared" si="568"/>
        <v>59.199999999999996</v>
      </c>
      <c r="T196" s="7">
        <f t="shared" si="475"/>
        <v>1.5</v>
      </c>
      <c r="U196" s="7">
        <f t="shared" si="459"/>
        <v>1.5</v>
      </c>
      <c r="V196" s="7">
        <f t="shared" si="472"/>
        <v>4</v>
      </c>
      <c r="W196" s="7">
        <f t="shared" si="472"/>
        <v>4</v>
      </c>
      <c r="X196" s="7">
        <f t="shared" si="431"/>
        <v>5</v>
      </c>
      <c r="Y196" s="7">
        <f t="shared" si="552"/>
        <v>49.640709100495329</v>
      </c>
      <c r="Z196" s="7">
        <f t="shared" si="461"/>
        <v>679</v>
      </c>
      <c r="AA196" s="7">
        <v>8</v>
      </c>
      <c r="AB196" s="7">
        <f>(678+662)/2</f>
        <v>670</v>
      </c>
      <c r="AC196" s="7"/>
      <c r="AD196" s="4">
        <f t="shared" si="476"/>
        <v>0.98674521354933731</v>
      </c>
      <c r="AE196" s="7"/>
      <c r="AF196" s="7"/>
      <c r="AG196" s="7">
        <v>1</v>
      </c>
      <c r="AH196" s="7"/>
      <c r="AI196" s="7"/>
      <c r="AJ196" s="7">
        <f t="shared" si="473"/>
        <v>0.88977955911823625</v>
      </c>
      <c r="AK196" s="4">
        <f t="shared" si="569"/>
        <v>88.8</v>
      </c>
      <c r="AL196" s="4">
        <f t="shared" si="505"/>
        <v>1.25</v>
      </c>
      <c r="AM196" s="4">
        <f t="shared" si="506"/>
        <v>123.19645135939774</v>
      </c>
      <c r="AN196" s="4">
        <f t="shared" si="507"/>
        <v>0.77499999999999991</v>
      </c>
      <c r="AO196" s="4">
        <v>1.25</v>
      </c>
      <c r="AP196" s="47">
        <f t="shared" si="574"/>
        <v>5</v>
      </c>
      <c r="AQ196" s="38">
        <f>AL196*AN196*AO196*AP196*AM196</f>
        <v>745.91601409010343</v>
      </c>
      <c r="AR196" s="38">
        <f t="shared" si="510"/>
        <v>745.91601409010343</v>
      </c>
      <c r="AS196" s="38">
        <f t="shared" si="511"/>
        <v>5.7111767066521422</v>
      </c>
      <c r="AT196" s="38">
        <f>AP196* (J196^0.5/AK196^0.5)/(PI()/4*K196^2)/R196/0.72 *(0.7+(MIN(O196,S196)+0.5*K196)/5/H196) *(3*N196*H196)</f>
        <v>819.83561909002367</v>
      </c>
      <c r="AU196" s="38">
        <f>AQ196/AT196</f>
        <v>0.90983606557377039</v>
      </c>
      <c r="AV196" s="38">
        <f t="shared" si="537"/>
        <v>0.9506783821677508</v>
      </c>
      <c r="AW196" s="4">
        <f t="shared" si="529"/>
        <v>1</v>
      </c>
      <c r="AX196" s="4">
        <f t="shared" si="570"/>
        <v>239.94459194200661</v>
      </c>
      <c r="AY196" s="4">
        <f t="shared" si="571"/>
        <v>1</v>
      </c>
      <c r="AZ196" s="38">
        <f t="shared" si="438"/>
        <v>779.40000000000009</v>
      </c>
      <c r="BA196" s="4">
        <f t="shared" si="572"/>
        <v>0.44000000000000006</v>
      </c>
      <c r="BB196" s="4">
        <f t="shared" si="401"/>
        <v>55.163261687467326</v>
      </c>
      <c r="BC196" s="4">
        <f t="shared" si="402"/>
        <v>834.56326168746739</v>
      </c>
      <c r="BE196" s="4">
        <f t="shared" si="451"/>
        <v>1</v>
      </c>
      <c r="BF196" s="4">
        <f t="shared" si="452"/>
        <v>478.68946092430321</v>
      </c>
      <c r="BH196" s="4">
        <f t="shared" si="463"/>
        <v>747.53991440910613</v>
      </c>
      <c r="BI196" s="4">
        <f t="shared" si="464"/>
        <v>3704.4961984911101</v>
      </c>
      <c r="BJ196" s="4">
        <f t="shared" si="465"/>
        <v>4.9555831429005819</v>
      </c>
      <c r="BR196" s="4">
        <f t="shared" si="539"/>
        <v>22.2</v>
      </c>
      <c r="BV196" s="9"/>
      <c r="BX196" s="9"/>
      <c r="BY196" s="9"/>
      <c r="BZ196" s="9">
        <f t="shared" ref="BZ196:BZ243" si="577">IF(Q196=0,MIN(O196,P196),MIN(Q196/2,O196,P196))</f>
        <v>22.2</v>
      </c>
      <c r="CA196" s="9">
        <f t="shared" ref="CA196:CA243" si="578">MAX(Q196/2,O196)</f>
        <v>138.60000000000002</v>
      </c>
      <c r="CB196" s="9">
        <f t="shared" si="403"/>
        <v>1.3161686388047049</v>
      </c>
      <c r="CC196" s="9">
        <v>0</v>
      </c>
      <c r="CD196" s="9">
        <f t="shared" si="518"/>
        <v>0</v>
      </c>
      <c r="CE196" s="9">
        <f t="shared" si="404"/>
        <v>0</v>
      </c>
      <c r="CF196" s="9">
        <f t="shared" ref="CF196:CF243" si="579">MIN(1,(25/K196)^0.3)</f>
        <v>1</v>
      </c>
      <c r="CG196" s="9">
        <f t="shared" ref="CG196:CG243" si="580">IF(G196&gt;=800,0.68,IF(G196&gt;=700,0.75-(G196-700)*0.07/100,IF(G196&gt;=600,0.85-(G196-600)*0.1/100,IF(G196&gt;=500,1-(G196-500)*0.15/100,1.2-(G196-400)*0.2/100))))</f>
        <v>0.77100000000000002</v>
      </c>
      <c r="CH196" s="9">
        <f t="shared" si="405"/>
        <v>3.0755797864386483</v>
      </c>
      <c r="CI196" s="9">
        <f t="shared" si="406"/>
        <v>4.047981661052221</v>
      </c>
      <c r="CJ196" s="9">
        <v>1</v>
      </c>
      <c r="CK196" s="9">
        <f t="shared" si="407"/>
        <v>307.64660623996883</v>
      </c>
      <c r="CM196" s="4">
        <f t="shared" si="477"/>
        <v>2.7923113189478994</v>
      </c>
      <c r="CN196" s="4">
        <f t="shared" si="478"/>
        <v>0.80281511391392391</v>
      </c>
      <c r="CO196" s="4">
        <f t="shared" si="479"/>
        <v>1.3996547964651125</v>
      </c>
      <c r="CP196" s="4">
        <f t="shared" si="480"/>
        <v>2.1778234715106537</v>
      </c>
      <c r="CQ196" s="44">
        <f t="shared" si="481"/>
        <v>0.98674521354933731</v>
      </c>
      <c r="CR196" s="4">
        <f t="shared" si="482"/>
        <v>0.98674521354933731</v>
      </c>
      <c r="CS196" s="4">
        <f t="shared" si="483"/>
        <v>2.9072970877236819</v>
      </c>
      <c r="CU196" s="4">
        <f t="shared" si="553"/>
        <v>2.7923113189478994</v>
      </c>
      <c r="CV196" s="4">
        <f t="shared" si="553"/>
        <v>0.80281511391392391</v>
      </c>
      <c r="CW196" s="4">
        <f t="shared" si="562"/>
        <v>2.1778234715106537</v>
      </c>
      <c r="CX196" s="4">
        <f t="shared" si="554"/>
        <v>2.9072970877236819</v>
      </c>
      <c r="CY196" s="4">
        <f t="shared" si="555"/>
        <v>0.98674521354933731</v>
      </c>
      <c r="CZ196" s="4">
        <f t="shared" si="555"/>
        <v>0.98674521354933731</v>
      </c>
      <c r="DH196" s="4">
        <f t="shared" si="557"/>
        <v>0</v>
      </c>
      <c r="DI196" s="4">
        <f t="shared" si="453"/>
        <v>88.8</v>
      </c>
      <c r="DL196" s="4">
        <f t="shared" si="485"/>
        <v>1.3307058507295954E-5</v>
      </c>
      <c r="DM196" s="4">
        <f t="shared" si="558"/>
        <v>12.240383556873418</v>
      </c>
      <c r="DN196" s="4">
        <f t="shared" si="486"/>
        <v>0.30476317818160303</v>
      </c>
      <c r="DO196" s="4">
        <f t="shared" si="487"/>
        <v>7.6099188282326313</v>
      </c>
      <c r="DP196" s="4">
        <f t="shared" si="488"/>
        <v>10.192991795564765</v>
      </c>
      <c r="DQ196" s="4">
        <f t="shared" si="489"/>
        <v>12.017551598084074</v>
      </c>
      <c r="DR196" s="38">
        <f t="shared" si="513"/>
        <v>679</v>
      </c>
      <c r="DS196" s="4">
        <f t="shared" si="411"/>
        <v>1</v>
      </c>
      <c r="DT196" s="4">
        <f t="shared" si="490"/>
        <v>2.2360679774997898</v>
      </c>
      <c r="DU196" s="4">
        <f t="shared" si="441"/>
        <v>819.83561909002367</v>
      </c>
      <c r="DY196" s="4">
        <f t="shared" ref="DY196:DY259" si="581">IF(P196&gt;1*K196,0.85,1)</f>
        <v>0.85</v>
      </c>
      <c r="DZ196" s="4">
        <f t="shared" si="412"/>
        <v>1</v>
      </c>
      <c r="EA196" s="4">
        <f t="shared" si="514"/>
        <v>1</v>
      </c>
      <c r="EB196" s="4">
        <f t="shared" si="414"/>
        <v>1</v>
      </c>
      <c r="ED196" s="4">
        <f t="shared" si="515"/>
        <v>679</v>
      </c>
      <c r="EE196" s="25">
        <f t="shared" si="573"/>
        <v>792.6169156169592</v>
      </c>
      <c r="EH196" s="4">
        <f t="shared" si="517"/>
        <v>12.240383556873418</v>
      </c>
      <c r="EK196" s="4">
        <f t="shared" si="491"/>
        <v>49.640709100495329</v>
      </c>
      <c r="EL196" s="4">
        <f t="shared" si="492"/>
        <v>2.2360679774997898</v>
      </c>
      <c r="EM196" s="4">
        <f t="shared" si="493"/>
        <v>0.18993383393437455</v>
      </c>
      <c r="EP196" s="4">
        <f t="shared" si="541"/>
        <v>0.18993383393437455</v>
      </c>
      <c r="EQ196" s="4">
        <f t="shared" si="542"/>
        <v>0.30425458523735305</v>
      </c>
      <c r="ER196" s="4">
        <f t="shared" si="559"/>
        <v>7.6048364682962655</v>
      </c>
      <c r="ES196" s="4">
        <f t="shared" ref="ES196:ES243" si="582">EH196/1.4*(1-EQ196^1.4)/(1-EQ196)</f>
        <v>10.191101700613215</v>
      </c>
      <c r="ET196" s="4">
        <f t="shared" si="560"/>
        <v>16.959290899504666</v>
      </c>
      <c r="EU196" s="4">
        <f t="shared" si="561"/>
        <v>22.200000000000003</v>
      </c>
      <c r="EV196" s="4">
        <f t="shared" si="415"/>
        <v>1.3307058507295955E-5</v>
      </c>
      <c r="EW196" s="4">
        <f t="shared" ref="EW196:EW243" si="583">MAX(0.5*EH196, (1-2*EV196*(EK196*ER196+ET196*ES196))/(1/EH196+EV196*EU196))</f>
        <v>12.01764389508271</v>
      </c>
      <c r="EX196" s="4">
        <f t="shared" si="466"/>
        <v>679</v>
      </c>
      <c r="FG196" s="23">
        <f t="shared" si="563"/>
        <v>2.2000000000000002</v>
      </c>
      <c r="FH196" s="23">
        <f t="shared" si="563"/>
        <v>1</v>
      </c>
      <c r="FI196" s="23">
        <f t="shared" si="495"/>
        <v>2.2000000000000002</v>
      </c>
      <c r="FJ196" s="23">
        <f t="shared" si="564"/>
        <v>2.2000000000000002</v>
      </c>
      <c r="FK196" s="23">
        <f t="shared" si="564"/>
        <v>1</v>
      </c>
      <c r="FL196" s="23">
        <f t="shared" si="564"/>
        <v>1</v>
      </c>
      <c r="FM196" s="23">
        <f t="shared" si="497"/>
        <v>0</v>
      </c>
      <c r="FN196" s="23"/>
      <c r="FX196" s="4">
        <f t="shared" si="416"/>
        <v>1.25</v>
      </c>
      <c r="FY196" s="4">
        <f t="shared" si="469"/>
        <v>0.5</v>
      </c>
      <c r="FZ196" s="4">
        <f t="shared" si="417"/>
        <v>0</v>
      </c>
      <c r="GA196" s="4">
        <f t="shared" si="418"/>
        <v>230.4546043227347</v>
      </c>
    </row>
    <row r="197" spans="1:183" ht="12" hidden="1" customHeight="1" x14ac:dyDescent="0.3">
      <c r="A197" s="25">
        <v>179</v>
      </c>
      <c r="B197" s="24" t="s">
        <v>128</v>
      </c>
      <c r="C197" s="24">
        <v>2017</v>
      </c>
      <c r="D197" s="24" t="s">
        <v>309</v>
      </c>
      <c r="E197" s="24"/>
      <c r="F197" s="4" t="s">
        <v>311</v>
      </c>
      <c r="G197" s="7">
        <v>679</v>
      </c>
      <c r="H197" s="7">
        <f t="shared" si="565"/>
        <v>88.8</v>
      </c>
      <c r="I197" s="7">
        <f t="shared" si="455"/>
        <v>88.8</v>
      </c>
      <c r="J197" s="7">
        <v>129.9</v>
      </c>
      <c r="K197" s="7">
        <v>22.2</v>
      </c>
      <c r="L197" s="7">
        <f t="shared" si="498"/>
        <v>4</v>
      </c>
      <c r="M197" s="7">
        <f t="shared" si="499"/>
        <v>4</v>
      </c>
      <c r="N197" s="7">
        <v>366</v>
      </c>
      <c r="O197" s="7">
        <f t="shared" si="566"/>
        <v>22.2</v>
      </c>
      <c r="P197" s="7">
        <f t="shared" si="576"/>
        <v>29.200000000000003</v>
      </c>
      <c r="Q197" s="7">
        <f t="shared" si="567"/>
        <v>277.20000000000005</v>
      </c>
      <c r="R197" s="7">
        <v>2</v>
      </c>
      <c r="S197" s="7">
        <f t="shared" si="568"/>
        <v>59.199999999999996</v>
      </c>
      <c r="T197" s="7">
        <f t="shared" si="475"/>
        <v>1.5</v>
      </c>
      <c r="U197" s="7">
        <f t="shared" si="459"/>
        <v>1.5</v>
      </c>
      <c r="V197" s="7">
        <f t="shared" si="472"/>
        <v>4</v>
      </c>
      <c r="W197" s="7">
        <f t="shared" si="472"/>
        <v>4</v>
      </c>
      <c r="X197" s="7">
        <f t="shared" si="431"/>
        <v>5</v>
      </c>
      <c r="Y197" s="7">
        <f t="shared" si="552"/>
        <v>49.640709100495329</v>
      </c>
      <c r="Z197" s="7">
        <f t="shared" si="461"/>
        <v>679</v>
      </c>
      <c r="AA197" s="7">
        <v>8</v>
      </c>
      <c r="AB197" s="7">
        <f>(711+686)/2</f>
        <v>698.5</v>
      </c>
      <c r="AC197" s="7"/>
      <c r="AD197" s="4">
        <f t="shared" si="476"/>
        <v>1</v>
      </c>
      <c r="AE197" s="7"/>
      <c r="AF197" s="7"/>
      <c r="AG197" s="7">
        <v>1</v>
      </c>
      <c r="AH197" s="7"/>
      <c r="AI197" s="7"/>
      <c r="AJ197" s="7">
        <f t="shared" si="473"/>
        <v>0.88977955911823625</v>
      </c>
      <c r="AK197" s="4">
        <f t="shared" si="569"/>
        <v>88.8</v>
      </c>
      <c r="AL197" s="4">
        <f t="shared" si="505"/>
        <v>1.25</v>
      </c>
      <c r="AM197" s="4">
        <f t="shared" si="506"/>
        <v>123.19645135939774</v>
      </c>
      <c r="AN197" s="4">
        <f t="shared" si="507"/>
        <v>0.77499999999999991</v>
      </c>
      <c r="AO197" s="4">
        <v>1.25</v>
      </c>
      <c r="AP197" s="47">
        <f t="shared" si="574"/>
        <v>5</v>
      </c>
      <c r="AQ197" s="38">
        <f t="shared" si="509"/>
        <v>745.91601409010343</v>
      </c>
      <c r="AR197" s="38">
        <f t="shared" si="510"/>
        <v>745.91601409010343</v>
      </c>
      <c r="AS197" s="38">
        <f t="shared" si="511"/>
        <v>5.7111767066521422</v>
      </c>
      <c r="AT197" s="38">
        <f t="shared" si="450"/>
        <v>819.83561909002367</v>
      </c>
      <c r="AU197" s="38">
        <f t="shared" si="400"/>
        <v>0.90983606557377039</v>
      </c>
      <c r="AV197" s="38">
        <f t="shared" si="537"/>
        <v>0.9506783821677508</v>
      </c>
      <c r="AW197" s="4">
        <f t="shared" si="529"/>
        <v>1</v>
      </c>
      <c r="AX197" s="4">
        <f t="shared" si="570"/>
        <v>239.94459194200661</v>
      </c>
      <c r="AY197" s="4">
        <f t="shared" si="571"/>
        <v>1</v>
      </c>
      <c r="AZ197" s="38">
        <f t="shared" si="438"/>
        <v>779.40000000000009</v>
      </c>
      <c r="BA197" s="4">
        <f t="shared" si="572"/>
        <v>0.44000000000000006</v>
      </c>
      <c r="BB197" s="4">
        <f t="shared" si="401"/>
        <v>55.163261687467326</v>
      </c>
      <c r="BC197" s="4">
        <f t="shared" si="402"/>
        <v>834.56326168746739</v>
      </c>
      <c r="BE197" s="4">
        <f t="shared" si="451"/>
        <v>1</v>
      </c>
      <c r="BF197" s="4">
        <f t="shared" si="452"/>
        <v>478.68946092430321</v>
      </c>
      <c r="BH197" s="4">
        <f t="shared" si="463"/>
        <v>747.53991440910613</v>
      </c>
      <c r="BI197" s="4">
        <f t="shared" si="464"/>
        <v>3704.4961984911101</v>
      </c>
      <c r="BJ197" s="4">
        <f t="shared" si="465"/>
        <v>4.9555831429005819</v>
      </c>
      <c r="BR197" s="4">
        <f t="shared" si="539"/>
        <v>22.2</v>
      </c>
      <c r="BV197" s="9"/>
      <c r="BX197" s="9"/>
      <c r="BY197" s="9"/>
      <c r="BZ197" s="9">
        <f t="shared" si="577"/>
        <v>22.2</v>
      </c>
      <c r="CA197" s="9">
        <f t="shared" si="578"/>
        <v>138.60000000000002</v>
      </c>
      <c r="CB197" s="9">
        <f t="shared" si="403"/>
        <v>1.3161686388047049</v>
      </c>
      <c r="CC197" s="9">
        <v>0</v>
      </c>
      <c r="CD197" s="9">
        <f t="shared" si="518"/>
        <v>0</v>
      </c>
      <c r="CE197" s="9">
        <f t="shared" si="404"/>
        <v>0</v>
      </c>
      <c r="CF197" s="9">
        <f t="shared" si="579"/>
        <v>1</v>
      </c>
      <c r="CG197" s="9">
        <f t="shared" si="580"/>
        <v>0.77100000000000002</v>
      </c>
      <c r="CH197" s="9">
        <f t="shared" si="405"/>
        <v>3.0755797864386483</v>
      </c>
      <c r="CI197" s="9">
        <f t="shared" si="406"/>
        <v>4.047981661052221</v>
      </c>
      <c r="CJ197" s="9">
        <v>1</v>
      </c>
      <c r="CK197" s="9">
        <f t="shared" si="407"/>
        <v>307.64660623996883</v>
      </c>
      <c r="CM197" s="4">
        <f t="shared" si="477"/>
        <v>2.9110887407240416</v>
      </c>
      <c r="CN197" s="4">
        <f t="shared" si="478"/>
        <v>0.8369647120430983</v>
      </c>
      <c r="CO197" s="4">
        <f t="shared" si="479"/>
        <v>1.459192351240121</v>
      </c>
      <c r="CP197" s="4">
        <f t="shared" si="480"/>
        <v>2.2704622311196889</v>
      </c>
      <c r="CQ197" s="44">
        <f t="shared" si="481"/>
        <v>1</v>
      </c>
      <c r="CR197" s="4">
        <f t="shared" si="482"/>
        <v>1</v>
      </c>
      <c r="CS197" s="4">
        <f t="shared" si="483"/>
        <v>3.0309656951865547</v>
      </c>
      <c r="CU197" s="4">
        <f t="shared" si="553"/>
        <v>2.9110887407240416</v>
      </c>
      <c r="CV197" s="4">
        <f t="shared" si="553"/>
        <v>0.8369647120430983</v>
      </c>
      <c r="CW197" s="4">
        <f t="shared" si="562"/>
        <v>2.2704622311196889</v>
      </c>
      <c r="CX197" s="4">
        <f t="shared" si="554"/>
        <v>3.0309656951865547</v>
      </c>
      <c r="CY197" s="4">
        <f t="shared" si="555"/>
        <v>1</v>
      </c>
      <c r="CZ197" s="4">
        <f t="shared" si="555"/>
        <v>1</v>
      </c>
      <c r="DH197" s="4">
        <f t="shared" si="557"/>
        <v>0</v>
      </c>
      <c r="DI197" s="4">
        <f t="shared" si="453"/>
        <v>88.8</v>
      </c>
      <c r="DL197" s="4">
        <f t="shared" si="485"/>
        <v>1.3307058507295954E-5</v>
      </c>
      <c r="DM197" s="4">
        <f t="shared" si="558"/>
        <v>12.240383556873418</v>
      </c>
      <c r="DN197" s="4">
        <f t="shared" si="486"/>
        <v>0.30476317818160303</v>
      </c>
      <c r="DO197" s="4">
        <f t="shared" si="487"/>
        <v>7.6099188282326313</v>
      </c>
      <c r="DP197" s="4">
        <f t="shared" si="488"/>
        <v>10.192991795564765</v>
      </c>
      <c r="DQ197" s="4">
        <f t="shared" si="489"/>
        <v>12.017551598084074</v>
      </c>
      <c r="DR197" s="38">
        <f t="shared" si="513"/>
        <v>698.5</v>
      </c>
      <c r="DS197" s="4">
        <f t="shared" si="411"/>
        <v>1</v>
      </c>
      <c r="DT197" s="4">
        <f t="shared" si="490"/>
        <v>2.2360679774997898</v>
      </c>
      <c r="DU197" s="4">
        <f t="shared" si="441"/>
        <v>819.83561909002367</v>
      </c>
      <c r="DY197" s="4">
        <f t="shared" si="581"/>
        <v>0.85</v>
      </c>
      <c r="DZ197" s="4">
        <f t="shared" si="412"/>
        <v>1</v>
      </c>
      <c r="EA197" s="4">
        <f t="shared" si="514"/>
        <v>1</v>
      </c>
      <c r="EB197" s="4">
        <f t="shared" si="414"/>
        <v>1</v>
      </c>
      <c r="ED197" s="4">
        <f t="shared" si="515"/>
        <v>698.5</v>
      </c>
      <c r="EE197" s="25">
        <f t="shared" si="573"/>
        <v>792.6169156169592</v>
      </c>
      <c r="EH197" s="4">
        <f t="shared" si="517"/>
        <v>12.240383556873418</v>
      </c>
      <c r="EK197" s="4">
        <f t="shared" si="491"/>
        <v>49.640709100495329</v>
      </c>
      <c r="EL197" s="4">
        <f t="shared" si="492"/>
        <v>2.2360679774997898</v>
      </c>
      <c r="EM197" s="4">
        <f t="shared" si="493"/>
        <v>0.18993383393437455</v>
      </c>
      <c r="EP197" s="4">
        <f t="shared" si="541"/>
        <v>0.18993383393437455</v>
      </c>
      <c r="EQ197" s="4">
        <f t="shared" si="542"/>
        <v>0.30425458523735305</v>
      </c>
      <c r="ER197" s="4">
        <f t="shared" si="559"/>
        <v>7.6048364682962655</v>
      </c>
      <c r="ES197" s="4">
        <f t="shared" si="582"/>
        <v>10.191101700613215</v>
      </c>
      <c r="ET197" s="4">
        <f t="shared" si="560"/>
        <v>16.959290899504666</v>
      </c>
      <c r="EU197" s="4">
        <f t="shared" si="561"/>
        <v>22.200000000000003</v>
      </c>
      <c r="EV197" s="4">
        <f t="shared" si="415"/>
        <v>1.3307058507295955E-5</v>
      </c>
      <c r="EW197" s="4">
        <f t="shared" si="583"/>
        <v>12.01764389508271</v>
      </c>
      <c r="EX197" s="4">
        <f t="shared" si="466"/>
        <v>698.5</v>
      </c>
      <c r="FG197" s="23">
        <f t="shared" si="563"/>
        <v>2.2000000000000002</v>
      </c>
      <c r="FH197" s="23">
        <f t="shared" si="563"/>
        <v>1</v>
      </c>
      <c r="FI197" s="23">
        <f t="shared" si="495"/>
        <v>2.2000000000000002</v>
      </c>
      <c r="FJ197" s="23">
        <f t="shared" si="564"/>
        <v>2.2000000000000002</v>
      </c>
      <c r="FK197" s="23">
        <f t="shared" si="564"/>
        <v>1.2</v>
      </c>
      <c r="FL197" s="23">
        <f t="shared" si="564"/>
        <v>1.2</v>
      </c>
      <c r="FM197" s="23">
        <f t="shared" si="497"/>
        <v>0</v>
      </c>
      <c r="FN197" s="23"/>
      <c r="FX197" s="4">
        <f t="shared" si="416"/>
        <v>1.25</v>
      </c>
      <c r="FY197" s="4">
        <f t="shared" si="469"/>
        <v>0.5</v>
      </c>
      <c r="FZ197" s="4">
        <f t="shared" si="417"/>
        <v>0</v>
      </c>
      <c r="GA197" s="4">
        <f t="shared" si="418"/>
        <v>230.4546043227347</v>
      </c>
    </row>
    <row r="198" spans="1:183" ht="12" hidden="1" customHeight="1" x14ac:dyDescent="0.3">
      <c r="A198" s="25">
        <v>180</v>
      </c>
      <c r="B198" s="24" t="s">
        <v>128</v>
      </c>
      <c r="C198" s="24">
        <v>2017</v>
      </c>
      <c r="D198" s="24" t="s">
        <v>309</v>
      </c>
      <c r="E198" s="24"/>
      <c r="F198" s="4" t="s">
        <v>314</v>
      </c>
      <c r="G198" s="7">
        <v>679</v>
      </c>
      <c r="H198" s="7">
        <f t="shared" si="565"/>
        <v>88.8</v>
      </c>
      <c r="I198" s="7">
        <f t="shared" si="455"/>
        <v>88.8</v>
      </c>
      <c r="J198" s="7">
        <v>129.9</v>
      </c>
      <c r="K198" s="7">
        <v>22.2</v>
      </c>
      <c r="L198" s="7">
        <f t="shared" si="498"/>
        <v>4</v>
      </c>
      <c r="M198" s="7">
        <f t="shared" si="499"/>
        <v>4</v>
      </c>
      <c r="N198" s="7">
        <v>388</v>
      </c>
      <c r="O198" s="7">
        <f>1.5*K198</f>
        <v>33.299999999999997</v>
      </c>
      <c r="P198" s="7">
        <f t="shared" si="576"/>
        <v>29.200000000000003</v>
      </c>
      <c r="Q198" s="7">
        <f t="shared" si="567"/>
        <v>277</v>
      </c>
      <c r="R198" s="7">
        <v>2</v>
      </c>
      <c r="S198" s="7">
        <f t="shared" si="568"/>
        <v>59.199999999999996</v>
      </c>
      <c r="T198" s="7">
        <f t="shared" si="475"/>
        <v>2</v>
      </c>
      <c r="U198" s="7">
        <f t="shared" si="459"/>
        <v>2</v>
      </c>
      <c r="V198" s="7">
        <f t="shared" si="472"/>
        <v>4</v>
      </c>
      <c r="W198" s="7">
        <f t="shared" si="472"/>
        <v>4</v>
      </c>
      <c r="X198" s="7">
        <f t="shared" si="431"/>
        <v>5</v>
      </c>
      <c r="Y198" s="7">
        <f t="shared" si="552"/>
        <v>49.640709100495329</v>
      </c>
      <c r="Z198" s="7">
        <f t="shared" si="461"/>
        <v>679</v>
      </c>
      <c r="AA198" s="7">
        <v>8</v>
      </c>
      <c r="AB198" s="7">
        <f>(751+699)/2</f>
        <v>725</v>
      </c>
      <c r="AC198" s="7"/>
      <c r="AD198" s="4">
        <f t="shared" si="476"/>
        <v>1</v>
      </c>
      <c r="AE198" s="7"/>
      <c r="AF198" s="7"/>
      <c r="AG198" s="7">
        <v>1</v>
      </c>
      <c r="AH198" s="7"/>
      <c r="AI198" s="7"/>
      <c r="AJ198" s="7">
        <f t="shared" si="473"/>
        <v>0.89037433155080214</v>
      </c>
      <c r="AK198" s="4">
        <f t="shared" si="569"/>
        <v>88.8</v>
      </c>
      <c r="AL198" s="4">
        <f t="shared" si="505"/>
        <v>1.3333333333333333</v>
      </c>
      <c r="AM198" s="4">
        <f t="shared" si="506"/>
        <v>123.19645135939774</v>
      </c>
      <c r="AN198" s="4">
        <f t="shared" si="507"/>
        <v>0.79999999999999993</v>
      </c>
      <c r="AO198" s="4">
        <v>1.25</v>
      </c>
      <c r="AP198" s="47">
        <f t="shared" si="574"/>
        <v>5</v>
      </c>
      <c r="AQ198" s="38">
        <f t="shared" si="509"/>
        <v>821.30967572931809</v>
      </c>
      <c r="AR198" s="38">
        <f t="shared" si="510"/>
        <v>821.30967572931809</v>
      </c>
      <c r="AS198" s="38">
        <f t="shared" si="511"/>
        <v>5.7111767066521422</v>
      </c>
      <c r="AT198" s="38">
        <f t="shared" si="450"/>
        <v>897.15133497459317</v>
      </c>
      <c r="AU198" s="38">
        <f t="shared" si="400"/>
        <v>0.91546391752577294</v>
      </c>
      <c r="AV198" s="38">
        <f t="shared" si="537"/>
        <v>1.1583330030149592</v>
      </c>
      <c r="AW198" s="4">
        <f t="shared" si="529"/>
        <v>0</v>
      </c>
      <c r="AX198" s="4">
        <f t="shared" si="570"/>
        <v>239.94459194200661</v>
      </c>
      <c r="AY198" s="4">
        <f t="shared" si="571"/>
        <v>1</v>
      </c>
      <c r="AZ198" s="38">
        <f t="shared" si="438"/>
        <v>1039.2</v>
      </c>
      <c r="BA198" s="4">
        <f t="shared" si="572"/>
        <v>0.44000000000000006</v>
      </c>
      <c r="BB198" s="4">
        <f t="shared" si="401"/>
        <v>55.163261687467326</v>
      </c>
      <c r="BC198" s="4">
        <f t="shared" si="402"/>
        <v>1094.3632616874675</v>
      </c>
      <c r="BE198" s="4">
        <f t="shared" si="451"/>
        <v>1.125</v>
      </c>
      <c r="BF198" s="4">
        <f t="shared" si="452"/>
        <v>538.5256435398411</v>
      </c>
      <c r="BH198" s="4">
        <f t="shared" si="463"/>
        <v>996.71988587880821</v>
      </c>
      <c r="BI198" s="4">
        <f t="shared" si="464"/>
        <v>3704.4961984911101</v>
      </c>
      <c r="BJ198" s="4">
        <f t="shared" si="465"/>
        <v>3.7166873571754362</v>
      </c>
      <c r="BR198" s="4">
        <f t="shared" si="539"/>
        <v>33.299999999999997</v>
      </c>
      <c r="BV198" s="9"/>
      <c r="BX198" s="9"/>
      <c r="BY198" s="9"/>
      <c r="BZ198" s="9">
        <f t="shared" si="577"/>
        <v>29.200000000000003</v>
      </c>
      <c r="CA198" s="9">
        <f t="shared" si="578"/>
        <v>138.5</v>
      </c>
      <c r="CB198" s="9">
        <f t="shared" si="403"/>
        <v>1.4485216037038422</v>
      </c>
      <c r="CC198" s="9">
        <v>0</v>
      </c>
      <c r="CD198" s="9">
        <f t="shared" si="518"/>
        <v>0</v>
      </c>
      <c r="CE198" s="9">
        <f t="shared" si="404"/>
        <v>0</v>
      </c>
      <c r="CF198" s="9">
        <f t="shared" si="579"/>
        <v>1</v>
      </c>
      <c r="CG198" s="9">
        <f t="shared" si="580"/>
        <v>0.77100000000000002</v>
      </c>
      <c r="CH198" s="9">
        <f t="shared" si="405"/>
        <v>3.0755797864386483</v>
      </c>
      <c r="CI198" s="9">
        <f t="shared" si="406"/>
        <v>4.4550437645712311</v>
      </c>
      <c r="CJ198" s="9">
        <v>1</v>
      </c>
      <c r="CK198" s="9">
        <f t="shared" si="407"/>
        <v>338.58332610741354</v>
      </c>
      <c r="CM198" s="4">
        <f t="shared" si="477"/>
        <v>3.0215309048316823</v>
      </c>
      <c r="CN198" s="4">
        <f t="shared" si="478"/>
        <v>0.6624856895159994</v>
      </c>
      <c r="CO198" s="4">
        <f t="shared" si="479"/>
        <v>1.346268295107405</v>
      </c>
      <c r="CP198" s="4">
        <f t="shared" si="480"/>
        <v>2.1412749657081402</v>
      </c>
      <c r="CQ198" s="44">
        <f t="shared" si="481"/>
        <v>1</v>
      </c>
      <c r="CR198" s="4">
        <f t="shared" si="482"/>
        <v>1</v>
      </c>
      <c r="CS198" s="4">
        <f t="shared" si="483"/>
        <v>3.1459558038801037</v>
      </c>
      <c r="CU198" s="4">
        <f t="shared" si="553"/>
        <v>3.0215309048316823</v>
      </c>
      <c r="CV198" s="4">
        <f t="shared" si="553"/>
        <v>0.6624856895159994</v>
      </c>
      <c r="CW198" s="4">
        <f t="shared" si="562"/>
        <v>2.1412749657081402</v>
      </c>
      <c r="CX198" s="4">
        <f t="shared" si="554"/>
        <v>3.1459558038801037</v>
      </c>
      <c r="CY198" s="4">
        <f t="shared" si="555"/>
        <v>1</v>
      </c>
      <c r="CZ198" s="4">
        <f t="shared" si="555"/>
        <v>1</v>
      </c>
      <c r="DH198" s="4">
        <f t="shared" si="557"/>
        <v>0</v>
      </c>
      <c r="DI198" s="4">
        <f t="shared" si="453"/>
        <v>88.8</v>
      </c>
      <c r="DL198" s="4">
        <f t="shared" si="485"/>
        <v>1.3307058507295954E-5</v>
      </c>
      <c r="DM198" s="4">
        <f t="shared" si="558"/>
        <v>12.884614270393072</v>
      </c>
      <c r="DN198" s="4">
        <f t="shared" si="486"/>
        <v>0.33350428523733322</v>
      </c>
      <c r="DO198" s="4">
        <f t="shared" si="487"/>
        <v>8.3044713080107613</v>
      </c>
      <c r="DP198" s="4">
        <f t="shared" si="488"/>
        <v>10.84031994129483</v>
      </c>
      <c r="DQ198" s="4">
        <f t="shared" si="489"/>
        <v>12.632127494153044</v>
      </c>
      <c r="DR198" s="38">
        <f t="shared" si="513"/>
        <v>725</v>
      </c>
      <c r="DS198" s="4">
        <f t="shared" si="411"/>
        <v>1</v>
      </c>
      <c r="DT198" s="4">
        <f t="shared" si="490"/>
        <v>2.2360679774997898</v>
      </c>
      <c r="DU198" s="4">
        <f t="shared" si="441"/>
        <v>897.15133497459317</v>
      </c>
      <c r="DY198" s="4">
        <f t="shared" si="581"/>
        <v>0.85</v>
      </c>
      <c r="DZ198" s="4">
        <f t="shared" si="412"/>
        <v>0.95</v>
      </c>
      <c r="EA198" s="4">
        <f t="shared" si="514"/>
        <v>1</v>
      </c>
      <c r="EB198" s="4">
        <f t="shared" si="414"/>
        <v>0.95</v>
      </c>
      <c r="ED198" s="4">
        <f t="shared" si="515"/>
        <v>725</v>
      </c>
      <c r="EE198" s="25">
        <f t="shared" si="573"/>
        <v>868.2692405319475</v>
      </c>
      <c r="EH198" s="4">
        <f t="shared" si="517"/>
        <v>12.884614270393072</v>
      </c>
      <c r="EK198" s="4">
        <f t="shared" si="491"/>
        <v>49.640709100495329</v>
      </c>
      <c r="EL198" s="4">
        <f t="shared" si="492"/>
        <v>2.2360679774997898</v>
      </c>
      <c r="EM198" s="4">
        <f t="shared" si="493"/>
        <v>0.20784580311380174</v>
      </c>
      <c r="EP198" s="4">
        <f t="shared" si="541"/>
        <v>0.20784580311380174</v>
      </c>
      <c r="EQ198" s="4">
        <f t="shared" si="542"/>
        <v>0.3329477287420215</v>
      </c>
      <c r="ER198" s="4">
        <f t="shared" si="559"/>
        <v>8.2989250842965276</v>
      </c>
      <c r="ES198" s="4">
        <f t="shared" si="582"/>
        <v>10.83820183717541</v>
      </c>
      <c r="ET198" s="4">
        <f t="shared" si="560"/>
        <v>16.959290899504666</v>
      </c>
      <c r="EU198" s="4">
        <f t="shared" si="561"/>
        <v>22.200000000000003</v>
      </c>
      <c r="EV198" s="4">
        <f t="shared" si="415"/>
        <v>1.3307058507295955E-5</v>
      </c>
      <c r="EW198" s="4">
        <f t="shared" si="583"/>
        <v>12.632233817586011</v>
      </c>
      <c r="EX198" s="4">
        <f t="shared" si="466"/>
        <v>725</v>
      </c>
      <c r="FG198" s="23">
        <f t="shared" si="563"/>
        <v>2.2000000000000002</v>
      </c>
      <c r="FH198" s="23">
        <f t="shared" si="563"/>
        <v>0.8</v>
      </c>
      <c r="FI198" s="23">
        <f t="shared" si="495"/>
        <v>2.2000000000000002</v>
      </c>
      <c r="FJ198" s="23">
        <f t="shared" si="564"/>
        <v>2.2000000000000002</v>
      </c>
      <c r="FK198" s="23">
        <f t="shared" si="564"/>
        <v>1.2</v>
      </c>
      <c r="FL198" s="23">
        <f t="shared" si="564"/>
        <v>1.2</v>
      </c>
      <c r="FM198" s="23">
        <f t="shared" si="497"/>
        <v>0</v>
      </c>
      <c r="FN198" s="23"/>
      <c r="FX198" s="4">
        <f t="shared" si="416"/>
        <v>1.25</v>
      </c>
      <c r="FY198" s="4">
        <f t="shared" si="469"/>
        <v>0.5</v>
      </c>
      <c r="FZ198" s="4">
        <f t="shared" si="417"/>
        <v>0</v>
      </c>
      <c r="GA198" s="4">
        <f t="shared" si="418"/>
        <v>230.4546043227347</v>
      </c>
    </row>
    <row r="199" spans="1:183" ht="12" hidden="1" customHeight="1" x14ac:dyDescent="0.3">
      <c r="A199" s="25">
        <v>181</v>
      </c>
      <c r="B199" s="24" t="s">
        <v>128</v>
      </c>
      <c r="C199" s="24">
        <v>2017</v>
      </c>
      <c r="D199" s="24" t="s">
        <v>309</v>
      </c>
      <c r="E199" s="24"/>
      <c r="F199" s="4" t="s">
        <v>315</v>
      </c>
      <c r="G199" s="7">
        <v>679</v>
      </c>
      <c r="H199" s="7">
        <f t="shared" si="565"/>
        <v>88.8</v>
      </c>
      <c r="I199" s="7">
        <f t="shared" si="455"/>
        <v>88.8</v>
      </c>
      <c r="J199" s="7">
        <v>129.9</v>
      </c>
      <c r="K199" s="7">
        <v>22.2</v>
      </c>
      <c r="L199" s="7">
        <f t="shared" si="498"/>
        <v>4</v>
      </c>
      <c r="M199" s="7">
        <f t="shared" si="499"/>
        <v>4</v>
      </c>
      <c r="N199" s="7">
        <v>388</v>
      </c>
      <c r="O199" s="7">
        <f>1.5*K199</f>
        <v>33.299999999999997</v>
      </c>
      <c r="P199" s="7">
        <f t="shared" si="576"/>
        <v>29.200000000000003</v>
      </c>
      <c r="Q199" s="7">
        <f t="shared" si="567"/>
        <v>277</v>
      </c>
      <c r="R199" s="7">
        <v>2</v>
      </c>
      <c r="S199" s="7">
        <f t="shared" si="568"/>
        <v>59.199999999999996</v>
      </c>
      <c r="T199" s="7">
        <f t="shared" si="475"/>
        <v>2</v>
      </c>
      <c r="U199" s="7">
        <f t="shared" si="459"/>
        <v>2</v>
      </c>
      <c r="V199" s="7">
        <f t="shared" si="472"/>
        <v>4</v>
      </c>
      <c r="W199" s="7">
        <f t="shared" si="472"/>
        <v>4</v>
      </c>
      <c r="X199" s="7">
        <f t="shared" si="431"/>
        <v>5</v>
      </c>
      <c r="Y199" s="7">
        <f t="shared" si="552"/>
        <v>49.640709100495329</v>
      </c>
      <c r="Z199" s="7">
        <f t="shared" si="461"/>
        <v>679</v>
      </c>
      <c r="AA199" s="7">
        <v>8</v>
      </c>
      <c r="AB199" s="7">
        <f>(731+693)/2</f>
        <v>712</v>
      </c>
      <c r="AC199" s="7"/>
      <c r="AD199" s="4">
        <f t="shared" si="476"/>
        <v>1</v>
      </c>
      <c r="AE199" s="7"/>
      <c r="AF199" s="7"/>
      <c r="AG199" s="7">
        <v>1</v>
      </c>
      <c r="AH199" s="7"/>
      <c r="AI199" s="7"/>
      <c r="AJ199" s="7">
        <f t="shared" si="473"/>
        <v>0.89037433155080214</v>
      </c>
      <c r="AK199" s="4">
        <f t="shared" si="569"/>
        <v>88.8</v>
      </c>
      <c r="AL199" s="4">
        <f t="shared" si="505"/>
        <v>1.3333333333333333</v>
      </c>
      <c r="AM199" s="4">
        <f t="shared" si="506"/>
        <v>123.19645135939774</v>
      </c>
      <c r="AN199" s="4">
        <f t="shared" si="507"/>
        <v>0.79999999999999993</v>
      </c>
      <c r="AO199" s="4">
        <v>1.25</v>
      </c>
      <c r="AP199" s="47">
        <f t="shared" si="574"/>
        <v>5</v>
      </c>
      <c r="AQ199" s="38">
        <f t="shared" si="509"/>
        <v>821.30967572931809</v>
      </c>
      <c r="AR199" s="38">
        <f t="shared" si="510"/>
        <v>821.30967572931809</v>
      </c>
      <c r="AS199" s="38">
        <f t="shared" si="511"/>
        <v>5.7111767066521422</v>
      </c>
      <c r="AT199" s="38">
        <f t="shared" si="450"/>
        <v>897.15133497459317</v>
      </c>
      <c r="AU199" s="38">
        <f t="shared" si="400"/>
        <v>0.91546391752577294</v>
      </c>
      <c r="AV199" s="38">
        <f t="shared" si="537"/>
        <v>1.1583330030149592</v>
      </c>
      <c r="AW199" s="4">
        <f t="shared" si="529"/>
        <v>0</v>
      </c>
      <c r="AX199" s="4">
        <f t="shared" si="570"/>
        <v>239.94459194200661</v>
      </c>
      <c r="AY199" s="4">
        <f t="shared" si="571"/>
        <v>1</v>
      </c>
      <c r="AZ199" s="38">
        <f t="shared" si="438"/>
        <v>1039.2</v>
      </c>
      <c r="BA199" s="4">
        <f t="shared" si="572"/>
        <v>0.44000000000000006</v>
      </c>
      <c r="BB199" s="4">
        <f t="shared" si="401"/>
        <v>55.163261687467326</v>
      </c>
      <c r="BC199" s="4">
        <f t="shared" si="402"/>
        <v>1094.3632616874675</v>
      </c>
      <c r="BE199" s="4">
        <f t="shared" si="451"/>
        <v>1.125</v>
      </c>
      <c r="BF199" s="4">
        <f t="shared" si="452"/>
        <v>538.5256435398411</v>
      </c>
      <c r="BH199" s="4">
        <f t="shared" si="463"/>
        <v>996.71988587880821</v>
      </c>
      <c r="BI199" s="4">
        <f t="shared" si="464"/>
        <v>3704.4961984911101</v>
      </c>
      <c r="BJ199" s="4">
        <f t="shared" si="465"/>
        <v>3.7166873571754362</v>
      </c>
      <c r="BR199" s="4">
        <f t="shared" si="539"/>
        <v>33.299999999999997</v>
      </c>
      <c r="BV199" s="9"/>
      <c r="BX199" s="9"/>
      <c r="BY199" s="9"/>
      <c r="BZ199" s="9">
        <f t="shared" si="577"/>
        <v>29.200000000000003</v>
      </c>
      <c r="CA199" s="9">
        <f t="shared" si="578"/>
        <v>138.5</v>
      </c>
      <c r="CB199" s="9">
        <f t="shared" si="403"/>
        <v>1.4485216037038422</v>
      </c>
      <c r="CC199" s="9">
        <v>0</v>
      </c>
      <c r="CD199" s="9">
        <f t="shared" si="518"/>
        <v>0</v>
      </c>
      <c r="CE199" s="9">
        <f t="shared" si="404"/>
        <v>0</v>
      </c>
      <c r="CF199" s="9">
        <f t="shared" si="579"/>
        <v>1</v>
      </c>
      <c r="CG199" s="9">
        <f t="shared" si="580"/>
        <v>0.77100000000000002</v>
      </c>
      <c r="CH199" s="9">
        <f t="shared" si="405"/>
        <v>3.0755797864386483</v>
      </c>
      <c r="CI199" s="9">
        <f t="shared" si="406"/>
        <v>4.4550437645712311</v>
      </c>
      <c r="CJ199" s="9">
        <v>1</v>
      </c>
      <c r="CK199" s="9">
        <f t="shared" si="407"/>
        <v>338.58332610741354</v>
      </c>
      <c r="CM199" s="4">
        <f t="shared" si="477"/>
        <v>2.9673517299864245</v>
      </c>
      <c r="CN199" s="4">
        <f t="shared" si="478"/>
        <v>0.65060663577295397</v>
      </c>
      <c r="CO199" s="4">
        <f t="shared" si="479"/>
        <v>1.3221283118847895</v>
      </c>
      <c r="CP199" s="4">
        <f t="shared" si="480"/>
        <v>2.1028796904609597</v>
      </c>
      <c r="CQ199" s="44">
        <f t="shared" si="481"/>
        <v>1</v>
      </c>
      <c r="CR199" s="4">
        <f t="shared" si="482"/>
        <v>1</v>
      </c>
      <c r="CS199" s="4">
        <f t="shared" si="483"/>
        <v>3.0895455618794947</v>
      </c>
      <c r="CU199" s="4">
        <f t="shared" si="553"/>
        <v>2.9673517299864245</v>
      </c>
      <c r="CV199" s="4">
        <f t="shared" si="553"/>
        <v>0.65060663577295397</v>
      </c>
      <c r="CW199" s="4">
        <f t="shared" si="562"/>
        <v>2.1028796904609597</v>
      </c>
      <c r="CX199" s="4">
        <f t="shared" si="554"/>
        <v>3.0895455618794947</v>
      </c>
      <c r="CY199" s="4">
        <f t="shared" si="555"/>
        <v>1</v>
      </c>
      <c r="CZ199" s="4">
        <f t="shared" si="555"/>
        <v>1</v>
      </c>
      <c r="DH199" s="4">
        <f t="shared" si="557"/>
        <v>0</v>
      </c>
      <c r="DI199" s="4">
        <f t="shared" si="453"/>
        <v>88.8</v>
      </c>
      <c r="DL199" s="4">
        <f t="shared" si="485"/>
        <v>1.3307058507295954E-5</v>
      </c>
      <c r="DM199" s="4">
        <f t="shared" si="558"/>
        <v>12.884614270393072</v>
      </c>
      <c r="DN199" s="4">
        <f t="shared" si="486"/>
        <v>0.33350428523733322</v>
      </c>
      <c r="DO199" s="4">
        <f t="shared" si="487"/>
        <v>8.3044713080107613</v>
      </c>
      <c r="DP199" s="4">
        <f t="shared" si="488"/>
        <v>10.84031994129483</v>
      </c>
      <c r="DQ199" s="4">
        <f t="shared" si="489"/>
        <v>12.632127494153044</v>
      </c>
      <c r="DR199" s="38">
        <f t="shared" si="513"/>
        <v>712</v>
      </c>
      <c r="DS199" s="4">
        <f t="shared" si="411"/>
        <v>1</v>
      </c>
      <c r="DT199" s="4">
        <f t="shared" si="490"/>
        <v>2.2360679774997898</v>
      </c>
      <c r="DU199" s="4">
        <f t="shared" si="441"/>
        <v>897.15133497459317</v>
      </c>
      <c r="DY199" s="4">
        <f t="shared" si="581"/>
        <v>0.85</v>
      </c>
      <c r="DZ199" s="4">
        <f t="shared" si="412"/>
        <v>0.95</v>
      </c>
      <c r="EA199" s="4">
        <f t="shared" si="514"/>
        <v>1</v>
      </c>
      <c r="EB199" s="4">
        <f t="shared" si="414"/>
        <v>0.95</v>
      </c>
      <c r="ED199" s="4">
        <f t="shared" si="515"/>
        <v>712</v>
      </c>
      <c r="EE199" s="25">
        <f t="shared" si="573"/>
        <v>868.2692405319475</v>
      </c>
      <c r="EH199" s="4">
        <f t="shared" si="517"/>
        <v>12.884614270393072</v>
      </c>
      <c r="EK199" s="4">
        <f t="shared" si="491"/>
        <v>49.640709100495329</v>
      </c>
      <c r="EL199" s="4">
        <f t="shared" si="492"/>
        <v>2.2360679774997898</v>
      </c>
      <c r="EM199" s="4">
        <f t="shared" si="493"/>
        <v>0.20784580311380174</v>
      </c>
      <c r="EP199" s="4">
        <f t="shared" si="541"/>
        <v>0.20784580311380174</v>
      </c>
      <c r="EQ199" s="4">
        <f t="shared" si="542"/>
        <v>0.3329477287420215</v>
      </c>
      <c r="ER199" s="4">
        <f t="shared" si="559"/>
        <v>8.2989250842965276</v>
      </c>
      <c r="ES199" s="4">
        <f t="shared" si="582"/>
        <v>10.83820183717541</v>
      </c>
      <c r="ET199" s="4">
        <f t="shared" si="560"/>
        <v>16.959290899504666</v>
      </c>
      <c r="EU199" s="4">
        <f t="shared" si="561"/>
        <v>22.200000000000003</v>
      </c>
      <c r="EV199" s="4">
        <f t="shared" si="415"/>
        <v>1.3307058507295955E-5</v>
      </c>
      <c r="EW199" s="4">
        <f t="shared" si="583"/>
        <v>12.632233817586011</v>
      </c>
      <c r="EX199" s="4">
        <f t="shared" si="466"/>
        <v>712</v>
      </c>
      <c r="FG199" s="23">
        <f t="shared" si="563"/>
        <v>2.2000000000000002</v>
      </c>
      <c r="FH199" s="23">
        <f t="shared" si="563"/>
        <v>0.8</v>
      </c>
      <c r="FI199" s="23">
        <f t="shared" si="495"/>
        <v>2.2000000000000002</v>
      </c>
      <c r="FJ199" s="23">
        <f t="shared" si="564"/>
        <v>2.2000000000000002</v>
      </c>
      <c r="FK199" s="23">
        <f t="shared" si="564"/>
        <v>1.2</v>
      </c>
      <c r="FL199" s="23">
        <f t="shared" si="564"/>
        <v>1.2</v>
      </c>
      <c r="FM199" s="23">
        <f t="shared" si="497"/>
        <v>0</v>
      </c>
      <c r="FN199" s="23"/>
      <c r="FX199" s="4">
        <f t="shared" si="416"/>
        <v>1.25</v>
      </c>
      <c r="FY199" s="4">
        <f t="shared" si="469"/>
        <v>0.5</v>
      </c>
      <c r="FZ199" s="4">
        <f t="shared" si="417"/>
        <v>0</v>
      </c>
      <c r="GA199" s="4">
        <f t="shared" si="418"/>
        <v>230.4546043227347</v>
      </c>
    </row>
    <row r="200" spans="1:183" ht="12" hidden="1" customHeight="1" x14ac:dyDescent="0.3">
      <c r="A200" s="25">
        <v>182</v>
      </c>
      <c r="B200" s="24" t="s">
        <v>128</v>
      </c>
      <c r="C200" s="24">
        <v>2017</v>
      </c>
      <c r="D200" s="24" t="s">
        <v>309</v>
      </c>
      <c r="E200" s="24"/>
      <c r="F200" s="4" t="s">
        <v>316</v>
      </c>
      <c r="G200" s="7">
        <v>679</v>
      </c>
      <c r="H200" s="7">
        <f t="shared" si="565"/>
        <v>88.8</v>
      </c>
      <c r="I200" s="7">
        <f t="shared" si="455"/>
        <v>88.8</v>
      </c>
      <c r="J200" s="7">
        <v>129.9</v>
      </c>
      <c r="K200" s="7">
        <v>22.2</v>
      </c>
      <c r="L200" s="7">
        <f t="shared" si="498"/>
        <v>4</v>
      </c>
      <c r="M200" s="7">
        <f t="shared" si="499"/>
        <v>4</v>
      </c>
      <c r="N200" s="7">
        <v>366</v>
      </c>
      <c r="O200" s="7">
        <f t="shared" si="566"/>
        <v>22.2</v>
      </c>
      <c r="P200" s="7">
        <f t="shared" si="576"/>
        <v>29.200000000000003</v>
      </c>
      <c r="Q200" s="7">
        <f t="shared" si="567"/>
        <v>277.20000000000005</v>
      </c>
      <c r="R200" s="7">
        <v>2</v>
      </c>
      <c r="S200" s="7">
        <f t="shared" si="568"/>
        <v>59.199999999999996</v>
      </c>
      <c r="T200" s="7">
        <f t="shared" si="475"/>
        <v>1.5</v>
      </c>
      <c r="U200" s="7">
        <f t="shared" si="459"/>
        <v>1.5</v>
      </c>
      <c r="V200" s="7">
        <f t="shared" si="472"/>
        <v>4</v>
      </c>
      <c r="W200" s="7">
        <f t="shared" si="472"/>
        <v>4</v>
      </c>
      <c r="X200" s="7">
        <f t="shared" si="431"/>
        <v>5</v>
      </c>
      <c r="Y200" s="7">
        <f t="shared" si="552"/>
        <v>49.640709100495329</v>
      </c>
      <c r="Z200" s="7">
        <f t="shared" si="461"/>
        <v>679</v>
      </c>
      <c r="AA200" s="7">
        <v>8</v>
      </c>
      <c r="AB200" s="7">
        <f>(735+707)/2</f>
        <v>721</v>
      </c>
      <c r="AC200" s="7"/>
      <c r="AD200" s="4">
        <f t="shared" si="476"/>
        <v>1</v>
      </c>
      <c r="AE200" s="7">
        <v>9.5</v>
      </c>
      <c r="AF200" s="7">
        <v>2</v>
      </c>
      <c r="AG200" s="7">
        <v>52</v>
      </c>
      <c r="AH200" s="7">
        <v>4</v>
      </c>
      <c r="AI200" s="7">
        <f t="shared" ref="AI200:AI201" si="584">AF200</f>
        <v>2</v>
      </c>
      <c r="AJ200" s="7">
        <f t="shared" si="473"/>
        <v>0.88977955911823625</v>
      </c>
      <c r="AK200" s="4">
        <f t="shared" si="569"/>
        <v>88.8</v>
      </c>
      <c r="AL200" s="4">
        <f t="shared" si="505"/>
        <v>1.25</v>
      </c>
      <c r="AM200" s="4">
        <f t="shared" si="506"/>
        <v>123.19645135939774</v>
      </c>
      <c r="AN200" s="4">
        <f t="shared" si="507"/>
        <v>0.77499999999999991</v>
      </c>
      <c r="AO200" s="4">
        <v>1.25</v>
      </c>
      <c r="AP200" s="47">
        <f t="shared" si="574"/>
        <v>5</v>
      </c>
      <c r="AQ200" s="38">
        <f t="shared" si="509"/>
        <v>745.91601409010343</v>
      </c>
      <c r="AR200" s="38">
        <f t="shared" si="510"/>
        <v>745.91601409010343</v>
      </c>
      <c r="AS200" s="38">
        <f t="shared" si="511"/>
        <v>5.7111767066521422</v>
      </c>
      <c r="AT200" s="38">
        <f t="shared" si="450"/>
        <v>819.83561909002367</v>
      </c>
      <c r="AU200" s="38">
        <f t="shared" si="400"/>
        <v>0.90983606557377039</v>
      </c>
      <c r="AV200" s="38">
        <f t="shared" si="537"/>
        <v>0.9506783821677508</v>
      </c>
      <c r="AW200" s="4">
        <f t="shared" si="529"/>
        <v>1</v>
      </c>
      <c r="AX200" s="4">
        <f t="shared" si="570"/>
        <v>239.94459194200661</v>
      </c>
      <c r="AY200" s="4">
        <f t="shared" si="571"/>
        <v>1</v>
      </c>
      <c r="AZ200" s="38">
        <f t="shared" si="438"/>
        <v>779.40000000000009</v>
      </c>
      <c r="BA200" s="4">
        <f t="shared" si="572"/>
        <v>0.44000000000000006</v>
      </c>
      <c r="BB200" s="4">
        <f t="shared" si="401"/>
        <v>55.163261687467326</v>
      </c>
      <c r="BC200" s="4">
        <f t="shared" si="402"/>
        <v>834.56326168746739</v>
      </c>
      <c r="BE200" s="4">
        <f t="shared" si="451"/>
        <v>1.4</v>
      </c>
      <c r="BF200" s="4">
        <f t="shared" si="452"/>
        <v>670.16524529402443</v>
      </c>
      <c r="BH200" s="4">
        <f t="shared" si="463"/>
        <v>747.53991440910613</v>
      </c>
      <c r="BI200" s="4">
        <f t="shared" si="464"/>
        <v>3704.4961984911101</v>
      </c>
      <c r="BJ200" s="4">
        <f t="shared" si="465"/>
        <v>4.9555831429005819</v>
      </c>
      <c r="BR200" s="4">
        <f t="shared" si="539"/>
        <v>22.2</v>
      </c>
      <c r="BV200" s="9"/>
      <c r="BX200" s="9"/>
      <c r="BY200" s="9"/>
      <c r="BZ200" s="9">
        <f t="shared" si="577"/>
        <v>22.2</v>
      </c>
      <c r="CA200" s="9">
        <f t="shared" si="578"/>
        <v>138.60000000000002</v>
      </c>
      <c r="CB200" s="9">
        <f t="shared" si="403"/>
        <v>1.3161686388047049</v>
      </c>
      <c r="CC200" s="9">
        <v>20</v>
      </c>
      <c r="CD200" s="9">
        <f t="shared" si="518"/>
        <v>0.05</v>
      </c>
      <c r="CE200" s="9">
        <f t="shared" si="404"/>
        <v>0.8</v>
      </c>
      <c r="CF200" s="9">
        <f t="shared" si="579"/>
        <v>1</v>
      </c>
      <c r="CG200" s="9">
        <f t="shared" si="580"/>
        <v>0.77100000000000002</v>
      </c>
      <c r="CH200" s="9">
        <f t="shared" si="405"/>
        <v>3.0755797864386483</v>
      </c>
      <c r="CI200" s="9">
        <f t="shared" si="406"/>
        <v>6.5084454902031403</v>
      </c>
      <c r="CJ200" s="9">
        <v>1</v>
      </c>
      <c r="CK200" s="9">
        <f t="shared" si="407"/>
        <v>494.64185725543865</v>
      </c>
      <c r="CM200" s="4">
        <f t="shared" si="477"/>
        <v>3.0048603894946799</v>
      </c>
      <c r="CN200" s="4">
        <f t="shared" si="478"/>
        <v>0.86392492109244645</v>
      </c>
      <c r="CO200" s="4">
        <f t="shared" si="479"/>
        <v>1.0758540599694522</v>
      </c>
      <c r="CP200" s="4">
        <f t="shared" si="480"/>
        <v>1.4576202750016511</v>
      </c>
      <c r="CQ200" s="44">
        <f t="shared" si="481"/>
        <v>1</v>
      </c>
      <c r="CR200" s="4">
        <f t="shared" si="482"/>
        <v>1</v>
      </c>
      <c r="CS200" s="4">
        <f t="shared" si="483"/>
        <v>2.7149668974723982</v>
      </c>
      <c r="DA200" s="4">
        <f t="shared" ref="DA200:DB225" si="585">CM200</f>
        <v>3.0048603894946799</v>
      </c>
      <c r="DB200" s="4">
        <f t="shared" si="585"/>
        <v>0.86392492109244645</v>
      </c>
      <c r="DC200" s="4">
        <f t="shared" ref="DC200:DC225" si="586">CP200</f>
        <v>1.4576202750016511</v>
      </c>
      <c r="DD200" s="4">
        <f t="shared" ref="DD200:DD201" si="587">CS200</f>
        <v>2.7149668974723982</v>
      </c>
      <c r="DE200" s="4">
        <f t="shared" ref="DE200:DF225" si="588">CQ200</f>
        <v>1</v>
      </c>
      <c r="DF200" s="4">
        <f t="shared" si="588"/>
        <v>1</v>
      </c>
      <c r="DH200" s="4">
        <f t="shared" si="557"/>
        <v>2</v>
      </c>
      <c r="DI200" s="4">
        <f t="shared" si="453"/>
        <v>88.8</v>
      </c>
      <c r="DL200" s="4">
        <f t="shared" si="485"/>
        <v>1.3307058507295954E-5</v>
      </c>
      <c r="DM200" s="4">
        <f t="shared" si="558"/>
        <v>14.311999279173566</v>
      </c>
      <c r="DN200" s="4">
        <f t="shared" si="486"/>
        <v>0.30476317818160303</v>
      </c>
      <c r="DO200" s="4">
        <f t="shared" si="487"/>
        <v>8.8978545711564809</v>
      </c>
      <c r="DP200" s="4">
        <f t="shared" si="488"/>
        <v>11.918098036137676</v>
      </c>
      <c r="DQ200" s="4">
        <f t="shared" si="489"/>
        <v>14.007544153387153</v>
      </c>
      <c r="DR200" s="38">
        <f t="shared" si="513"/>
        <v>721</v>
      </c>
      <c r="DS200" s="4">
        <f t="shared" si="411"/>
        <v>1</v>
      </c>
      <c r="DT200" s="4">
        <f t="shared" si="490"/>
        <v>2.2360679774997898</v>
      </c>
      <c r="DU200" s="4">
        <f t="shared" si="441"/>
        <v>819.83561909002367</v>
      </c>
      <c r="DY200" s="4">
        <f t="shared" si="581"/>
        <v>0.85</v>
      </c>
      <c r="DZ200" s="4">
        <f t="shared" si="412"/>
        <v>1</v>
      </c>
      <c r="EA200" s="4">
        <f t="shared" si="514"/>
        <v>0.8552532261991721</v>
      </c>
      <c r="EB200" s="4">
        <f t="shared" si="414"/>
        <v>0.8552532261991721</v>
      </c>
      <c r="ED200" s="4">
        <f t="shared" si="515"/>
        <v>721</v>
      </c>
      <c r="EE200" s="25">
        <f t="shared" si="573"/>
        <v>792.6169156169592</v>
      </c>
      <c r="EH200" s="4">
        <f t="shared" si="517"/>
        <v>14.311999279173566</v>
      </c>
      <c r="EK200" s="4">
        <f t="shared" si="491"/>
        <v>49.640709100495329</v>
      </c>
      <c r="EL200" s="4">
        <f t="shared" si="492"/>
        <v>2.2360679774997898</v>
      </c>
      <c r="EM200" s="4">
        <f t="shared" si="493"/>
        <v>0.18993383393437455</v>
      </c>
      <c r="EP200" s="4">
        <f t="shared" si="541"/>
        <v>0.18993383393437455</v>
      </c>
      <c r="EQ200" s="4">
        <f t="shared" si="542"/>
        <v>0.30425458523735305</v>
      </c>
      <c r="ER200" s="4">
        <f t="shared" si="559"/>
        <v>8.8919120505313884</v>
      </c>
      <c r="ES200" s="4">
        <f t="shared" si="582"/>
        <v>11.915888053300256</v>
      </c>
      <c r="ET200" s="4">
        <f t="shared" si="560"/>
        <v>16.959290899504666</v>
      </c>
      <c r="EU200" s="4">
        <f t="shared" si="561"/>
        <v>22.200000000000003</v>
      </c>
      <c r="EV200" s="4">
        <f t="shared" si="415"/>
        <v>1.3307058507295955E-5</v>
      </c>
      <c r="EW200" s="4">
        <f t="shared" si="583"/>
        <v>14.007670258702035</v>
      </c>
      <c r="EX200" s="4">
        <f t="shared" si="466"/>
        <v>721</v>
      </c>
      <c r="FG200" s="23">
        <f t="shared" si="563"/>
        <v>2.2000000000000002</v>
      </c>
      <c r="FH200" s="23">
        <f t="shared" si="563"/>
        <v>1</v>
      </c>
      <c r="FI200" s="23">
        <f t="shared" si="495"/>
        <v>2.2000000000000002</v>
      </c>
      <c r="FJ200" s="23">
        <f t="shared" si="564"/>
        <v>1.6</v>
      </c>
      <c r="FK200" s="23">
        <f t="shared" si="564"/>
        <v>1.2</v>
      </c>
      <c r="FL200" s="23">
        <f t="shared" si="564"/>
        <v>1.2</v>
      </c>
      <c r="FM200" s="23">
        <f t="shared" si="497"/>
        <v>0</v>
      </c>
      <c r="FN200" s="23"/>
      <c r="FX200" s="4">
        <f t="shared" si="416"/>
        <v>1.25</v>
      </c>
      <c r="FY200" s="4">
        <f t="shared" si="469"/>
        <v>0.4338950222651346</v>
      </c>
      <c r="FZ200" s="4">
        <f t="shared" si="417"/>
        <v>0.3</v>
      </c>
      <c r="GA200" s="4">
        <f t="shared" si="418"/>
        <v>265.56493218066208</v>
      </c>
    </row>
    <row r="201" spans="1:183" ht="12" hidden="1" customHeight="1" x14ac:dyDescent="0.3">
      <c r="A201" s="25">
        <v>183</v>
      </c>
      <c r="B201" s="24" t="s">
        <v>128</v>
      </c>
      <c r="C201" s="24">
        <v>2017</v>
      </c>
      <c r="D201" s="24" t="s">
        <v>309</v>
      </c>
      <c r="E201" s="24"/>
      <c r="F201" s="4" t="s">
        <v>317</v>
      </c>
      <c r="G201" s="7">
        <v>679</v>
      </c>
      <c r="H201" s="7">
        <f t="shared" si="565"/>
        <v>88.8</v>
      </c>
      <c r="I201" s="7">
        <f t="shared" si="455"/>
        <v>88.8</v>
      </c>
      <c r="J201" s="7">
        <v>129.9</v>
      </c>
      <c r="K201" s="7">
        <v>22.2</v>
      </c>
      <c r="L201" s="7">
        <f t="shared" si="498"/>
        <v>4</v>
      </c>
      <c r="M201" s="7">
        <f t="shared" si="499"/>
        <v>4</v>
      </c>
      <c r="N201" s="7">
        <v>366</v>
      </c>
      <c r="O201" s="7">
        <f t="shared" si="566"/>
        <v>22.2</v>
      </c>
      <c r="P201" s="7">
        <f t="shared" si="576"/>
        <v>29.200000000000003</v>
      </c>
      <c r="Q201" s="7">
        <f t="shared" si="567"/>
        <v>277.20000000000005</v>
      </c>
      <c r="R201" s="7">
        <v>2</v>
      </c>
      <c r="S201" s="7">
        <f t="shared" si="568"/>
        <v>59.199999999999996</v>
      </c>
      <c r="T201" s="7">
        <f t="shared" si="475"/>
        <v>1.5</v>
      </c>
      <c r="U201" s="7">
        <f t="shared" si="459"/>
        <v>1.5</v>
      </c>
      <c r="V201" s="7">
        <f t="shared" si="472"/>
        <v>4</v>
      </c>
      <c r="W201" s="7">
        <f t="shared" si="472"/>
        <v>4</v>
      </c>
      <c r="X201" s="7">
        <f t="shared" si="431"/>
        <v>5</v>
      </c>
      <c r="Y201" s="7">
        <f t="shared" si="552"/>
        <v>49.640709100495329</v>
      </c>
      <c r="Z201" s="7">
        <f t="shared" si="461"/>
        <v>679</v>
      </c>
      <c r="AA201" s="7">
        <v>8</v>
      </c>
      <c r="AB201" s="7">
        <f>(735+703)/2</f>
        <v>719</v>
      </c>
      <c r="AC201" s="7"/>
      <c r="AD201" s="4">
        <f t="shared" si="476"/>
        <v>1</v>
      </c>
      <c r="AE201" s="7">
        <v>9.5</v>
      </c>
      <c r="AF201" s="7">
        <v>2</v>
      </c>
      <c r="AG201" s="7">
        <v>52</v>
      </c>
      <c r="AH201" s="7">
        <v>4</v>
      </c>
      <c r="AI201" s="7">
        <f t="shared" si="584"/>
        <v>2</v>
      </c>
      <c r="AJ201" s="7">
        <f t="shared" si="473"/>
        <v>0.88977955911823625</v>
      </c>
      <c r="AK201" s="4">
        <f t="shared" si="569"/>
        <v>88.8</v>
      </c>
      <c r="AL201" s="4">
        <f t="shared" si="505"/>
        <v>1.25</v>
      </c>
      <c r="AM201" s="4">
        <f t="shared" si="506"/>
        <v>123.19645135939774</v>
      </c>
      <c r="AN201" s="4">
        <f t="shared" si="507"/>
        <v>0.77499999999999991</v>
      </c>
      <c r="AO201" s="4">
        <v>1.25</v>
      </c>
      <c r="AP201" s="47">
        <f t="shared" si="574"/>
        <v>5</v>
      </c>
      <c r="AQ201" s="38">
        <f t="shared" si="509"/>
        <v>745.91601409010343</v>
      </c>
      <c r="AR201" s="38">
        <f t="shared" si="510"/>
        <v>745.91601409010343</v>
      </c>
      <c r="AS201" s="38">
        <f t="shared" si="511"/>
        <v>5.7111767066521422</v>
      </c>
      <c r="AT201" s="38">
        <f t="shared" si="450"/>
        <v>819.83561909002367</v>
      </c>
      <c r="AU201" s="38">
        <f t="shared" si="400"/>
        <v>0.90983606557377039</v>
      </c>
      <c r="AV201" s="38">
        <f t="shared" si="537"/>
        <v>0.9506783821677508</v>
      </c>
      <c r="AW201" s="4">
        <f t="shared" si="529"/>
        <v>1</v>
      </c>
      <c r="AX201" s="4">
        <f t="shared" si="570"/>
        <v>239.94459194200661</v>
      </c>
      <c r="AY201" s="4">
        <f t="shared" si="571"/>
        <v>1</v>
      </c>
      <c r="AZ201" s="38">
        <f t="shared" si="438"/>
        <v>779.40000000000009</v>
      </c>
      <c r="BA201" s="4">
        <f t="shared" si="572"/>
        <v>0.44000000000000006</v>
      </c>
      <c r="BB201" s="4">
        <f t="shared" si="401"/>
        <v>55.163261687467326</v>
      </c>
      <c r="BC201" s="4">
        <f t="shared" si="402"/>
        <v>834.56326168746739</v>
      </c>
      <c r="BE201" s="4">
        <f t="shared" si="451"/>
        <v>1.4</v>
      </c>
      <c r="BF201" s="4">
        <f t="shared" si="452"/>
        <v>670.16524529402443</v>
      </c>
      <c r="BH201" s="4">
        <f t="shared" si="463"/>
        <v>747.53991440910613</v>
      </c>
      <c r="BI201" s="4">
        <f t="shared" si="464"/>
        <v>3704.4961984911101</v>
      </c>
      <c r="BJ201" s="4">
        <f t="shared" si="465"/>
        <v>4.9555831429005819</v>
      </c>
      <c r="BR201" s="4">
        <f t="shared" si="539"/>
        <v>22.2</v>
      </c>
      <c r="BV201" s="9"/>
      <c r="BX201" s="9"/>
      <c r="BY201" s="9"/>
      <c r="BZ201" s="9">
        <f t="shared" si="577"/>
        <v>22.2</v>
      </c>
      <c r="CA201" s="9">
        <f t="shared" si="578"/>
        <v>138.60000000000002</v>
      </c>
      <c r="CB201" s="9">
        <f t="shared" si="403"/>
        <v>1.3161686388047049</v>
      </c>
      <c r="CC201" s="9">
        <v>20</v>
      </c>
      <c r="CD201" s="9">
        <f t="shared" si="518"/>
        <v>0.05</v>
      </c>
      <c r="CE201" s="9">
        <f t="shared" si="404"/>
        <v>0.8</v>
      </c>
      <c r="CF201" s="9">
        <f t="shared" si="579"/>
        <v>1</v>
      </c>
      <c r="CG201" s="9">
        <f t="shared" si="580"/>
        <v>0.77100000000000002</v>
      </c>
      <c r="CH201" s="9">
        <f t="shared" si="405"/>
        <v>3.0755797864386483</v>
      </c>
      <c r="CI201" s="9">
        <f t="shared" si="406"/>
        <v>6.5084454902031403</v>
      </c>
      <c r="CJ201" s="9">
        <v>1</v>
      </c>
      <c r="CK201" s="9">
        <f t="shared" si="407"/>
        <v>494.64185725543865</v>
      </c>
      <c r="CM201" s="4">
        <f t="shared" si="477"/>
        <v>2.9965251318261785</v>
      </c>
      <c r="CN201" s="4">
        <f t="shared" si="478"/>
        <v>0.86152845806583767</v>
      </c>
      <c r="CO201" s="4">
        <f t="shared" si="479"/>
        <v>1.0728697213842386</v>
      </c>
      <c r="CP201" s="4">
        <f t="shared" si="480"/>
        <v>1.4535769455286924</v>
      </c>
      <c r="CQ201" s="44">
        <f t="shared" si="481"/>
        <v>1</v>
      </c>
      <c r="CR201" s="4">
        <f t="shared" si="482"/>
        <v>1</v>
      </c>
      <c r="CS201" s="4">
        <f t="shared" si="483"/>
        <v>2.7074357826389104</v>
      </c>
      <c r="DA201" s="4">
        <f t="shared" si="585"/>
        <v>2.9965251318261785</v>
      </c>
      <c r="DB201" s="4">
        <f t="shared" si="585"/>
        <v>0.86152845806583767</v>
      </c>
      <c r="DC201" s="4">
        <f t="shared" si="586"/>
        <v>1.4535769455286924</v>
      </c>
      <c r="DD201" s="4">
        <f t="shared" si="587"/>
        <v>2.7074357826389104</v>
      </c>
      <c r="DE201" s="4">
        <f t="shared" si="588"/>
        <v>1</v>
      </c>
      <c r="DF201" s="4">
        <f t="shared" si="588"/>
        <v>1</v>
      </c>
      <c r="DH201" s="4">
        <f t="shared" si="557"/>
        <v>2</v>
      </c>
      <c r="DI201" s="4">
        <f t="shared" si="453"/>
        <v>88.8</v>
      </c>
      <c r="DL201" s="4">
        <f t="shared" si="485"/>
        <v>1.3307058507295954E-5</v>
      </c>
      <c r="DM201" s="4">
        <f t="shared" si="558"/>
        <v>14.311999279173566</v>
      </c>
      <c r="DN201" s="4">
        <f t="shared" si="486"/>
        <v>0.30476317818160303</v>
      </c>
      <c r="DO201" s="4">
        <f t="shared" si="487"/>
        <v>8.8978545711564809</v>
      </c>
      <c r="DP201" s="4">
        <f t="shared" si="488"/>
        <v>11.918098036137676</v>
      </c>
      <c r="DQ201" s="4">
        <f t="shared" si="489"/>
        <v>14.007544153387153</v>
      </c>
      <c r="DR201" s="38">
        <f t="shared" si="513"/>
        <v>719</v>
      </c>
      <c r="DS201" s="4">
        <f t="shared" si="411"/>
        <v>1</v>
      </c>
      <c r="DT201" s="4">
        <f t="shared" si="490"/>
        <v>2.2360679774997898</v>
      </c>
      <c r="DU201" s="4">
        <f t="shared" si="441"/>
        <v>819.83561909002367</v>
      </c>
      <c r="DY201" s="4">
        <f t="shared" si="581"/>
        <v>0.85</v>
      </c>
      <c r="DZ201" s="4">
        <f t="shared" si="412"/>
        <v>1</v>
      </c>
      <c r="EA201" s="4">
        <f t="shared" si="514"/>
        <v>0.8552532261991721</v>
      </c>
      <c r="EB201" s="4">
        <f t="shared" si="414"/>
        <v>0.8552532261991721</v>
      </c>
      <c r="ED201" s="4">
        <f t="shared" si="515"/>
        <v>719</v>
      </c>
      <c r="EE201" s="25">
        <f t="shared" si="573"/>
        <v>792.6169156169592</v>
      </c>
      <c r="EH201" s="4">
        <f t="shared" si="517"/>
        <v>14.311999279173566</v>
      </c>
      <c r="EK201" s="4">
        <f t="shared" si="491"/>
        <v>49.640709100495329</v>
      </c>
      <c r="EL201" s="4">
        <f t="shared" si="492"/>
        <v>2.2360679774997898</v>
      </c>
      <c r="EM201" s="4">
        <f t="shared" si="493"/>
        <v>0.18993383393437455</v>
      </c>
      <c r="EP201" s="4">
        <f t="shared" si="541"/>
        <v>0.18993383393437455</v>
      </c>
      <c r="EQ201" s="4">
        <f t="shared" si="542"/>
        <v>0.30425458523735305</v>
      </c>
      <c r="ER201" s="4">
        <f t="shared" si="559"/>
        <v>8.8919120505313884</v>
      </c>
      <c r="ES201" s="4">
        <f t="shared" si="582"/>
        <v>11.915888053300256</v>
      </c>
      <c r="ET201" s="4">
        <f t="shared" si="560"/>
        <v>16.959290899504666</v>
      </c>
      <c r="EU201" s="4">
        <f t="shared" si="561"/>
        <v>22.200000000000003</v>
      </c>
      <c r="EV201" s="4">
        <f t="shared" si="415"/>
        <v>1.3307058507295955E-5</v>
      </c>
      <c r="EW201" s="4">
        <f t="shared" si="583"/>
        <v>14.007670258702035</v>
      </c>
      <c r="EX201" s="4">
        <f t="shared" si="466"/>
        <v>719</v>
      </c>
      <c r="FG201" s="23">
        <f t="shared" si="563"/>
        <v>2.2000000000000002</v>
      </c>
      <c r="FH201" s="23">
        <f t="shared" si="563"/>
        <v>1</v>
      </c>
      <c r="FI201" s="23">
        <f t="shared" si="495"/>
        <v>2.2000000000000002</v>
      </c>
      <c r="FJ201" s="23">
        <f t="shared" si="564"/>
        <v>1.6</v>
      </c>
      <c r="FK201" s="23">
        <f t="shared" si="564"/>
        <v>1.2</v>
      </c>
      <c r="FL201" s="23">
        <f t="shared" si="564"/>
        <v>1.2</v>
      </c>
      <c r="FM201" s="23">
        <f t="shared" si="497"/>
        <v>0</v>
      </c>
      <c r="FN201" s="23"/>
      <c r="FX201" s="4">
        <f t="shared" si="416"/>
        <v>1.25</v>
      </c>
      <c r="FY201" s="4">
        <f t="shared" si="469"/>
        <v>0.4338950222651346</v>
      </c>
      <c r="FZ201" s="4">
        <f t="shared" si="417"/>
        <v>0.3</v>
      </c>
      <c r="GA201" s="4">
        <f t="shared" si="418"/>
        <v>265.56493218066208</v>
      </c>
    </row>
    <row r="202" spans="1:183" ht="12" hidden="1" customHeight="1" x14ac:dyDescent="0.3">
      <c r="A202" s="25">
        <v>184</v>
      </c>
      <c r="B202" s="24" t="s">
        <v>128</v>
      </c>
      <c r="C202" s="24">
        <v>2017</v>
      </c>
      <c r="D202" s="24" t="s">
        <v>309</v>
      </c>
      <c r="E202" s="24"/>
      <c r="F202" s="4" t="s">
        <v>318</v>
      </c>
      <c r="G202" s="7">
        <v>679</v>
      </c>
      <c r="H202" s="7">
        <f>6*K202</f>
        <v>133.19999999999999</v>
      </c>
      <c r="I202" s="7">
        <f t="shared" si="455"/>
        <v>133.19999999999999</v>
      </c>
      <c r="J202" s="7">
        <v>129.9</v>
      </c>
      <c r="K202" s="7">
        <v>22.2</v>
      </c>
      <c r="L202" s="7">
        <f t="shared" si="498"/>
        <v>6</v>
      </c>
      <c r="M202" s="7">
        <f t="shared" si="499"/>
        <v>6</v>
      </c>
      <c r="N202" s="7">
        <v>366</v>
      </c>
      <c r="O202" s="7">
        <f t="shared" si="566"/>
        <v>22.2</v>
      </c>
      <c r="P202" s="7">
        <f>176-I202</f>
        <v>42.800000000000011</v>
      </c>
      <c r="Q202" s="7">
        <f t="shared" si="567"/>
        <v>277.20000000000005</v>
      </c>
      <c r="R202" s="7">
        <v>2</v>
      </c>
      <c r="S202" s="7">
        <f t="shared" si="568"/>
        <v>88.799999999999983</v>
      </c>
      <c r="T202" s="7">
        <f t="shared" si="475"/>
        <v>1.5</v>
      </c>
      <c r="U202" s="7">
        <f t="shared" si="459"/>
        <v>1.5</v>
      </c>
      <c r="V202" s="7">
        <f t="shared" si="472"/>
        <v>4</v>
      </c>
      <c r="W202" s="7">
        <f t="shared" si="472"/>
        <v>4</v>
      </c>
      <c r="X202" s="7">
        <f t="shared" si="431"/>
        <v>5</v>
      </c>
      <c r="Y202" s="7">
        <f t="shared" si="552"/>
        <v>49.640709100495329</v>
      </c>
      <c r="Z202" s="7">
        <f t="shared" si="461"/>
        <v>679</v>
      </c>
      <c r="AA202" s="7">
        <v>8</v>
      </c>
      <c r="AB202" s="7">
        <f>(750+710)/2</f>
        <v>730</v>
      </c>
      <c r="AC202" s="7"/>
      <c r="AD202" s="4">
        <f t="shared" si="476"/>
        <v>1</v>
      </c>
      <c r="AE202" s="7"/>
      <c r="AF202" s="7"/>
      <c r="AG202" s="7">
        <v>1</v>
      </c>
      <c r="AH202" s="7"/>
      <c r="AI202" s="7"/>
      <c r="AJ202" s="7">
        <f t="shared" si="473"/>
        <v>1.3346693386773545</v>
      </c>
      <c r="AK202" s="4">
        <f t="shared" si="569"/>
        <v>133.19999999999999</v>
      </c>
      <c r="AL202" s="4">
        <f t="shared" si="505"/>
        <v>0.91591591591591592</v>
      </c>
      <c r="AM202" s="4">
        <f t="shared" si="506"/>
        <v>226.32633296409878</v>
      </c>
      <c r="AN202" s="4">
        <f t="shared" si="507"/>
        <v>0.75</v>
      </c>
      <c r="AO202" s="4">
        <v>1.25</v>
      </c>
      <c r="AP202" s="47">
        <f t="shared" si="574"/>
        <v>5</v>
      </c>
      <c r="AQ202" s="38">
        <f t="shared" si="509"/>
        <v>971.6994869657957</v>
      </c>
      <c r="AR202" s="38">
        <f t="shared" si="510"/>
        <v>971.6994869657957</v>
      </c>
      <c r="AS202" s="38">
        <f t="shared" si="511"/>
        <v>5.7111767066521422</v>
      </c>
      <c r="AT202" s="38">
        <f t="shared" si="450"/>
        <v>971.69948696579524</v>
      </c>
      <c r="AU202" s="38">
        <f t="shared" si="400"/>
        <v>1.0000000000000004</v>
      </c>
      <c r="AV202" s="38">
        <f t="shared" si="537"/>
        <v>0.80209983688859943</v>
      </c>
      <c r="AW202" s="4">
        <f t="shared" si="529"/>
        <v>1</v>
      </c>
      <c r="AX202" s="4">
        <f t="shared" si="570"/>
        <v>359.91688791300993</v>
      </c>
      <c r="AY202" s="4">
        <f t="shared" si="571"/>
        <v>1</v>
      </c>
      <c r="AZ202" s="38">
        <f t="shared" si="438"/>
        <v>779.40000000000009</v>
      </c>
      <c r="BA202" s="4">
        <f t="shared" si="572"/>
        <v>0.44000000000000006</v>
      </c>
      <c r="BB202" s="4">
        <f t="shared" si="401"/>
        <v>82.744892531200989</v>
      </c>
      <c r="BC202" s="4">
        <f t="shared" si="402"/>
        <v>862.14489253120109</v>
      </c>
      <c r="BE202" s="4">
        <f t="shared" si="451"/>
        <v>1</v>
      </c>
      <c r="BF202" s="4">
        <f t="shared" si="452"/>
        <v>547.07366962777508</v>
      </c>
      <c r="BH202" s="4">
        <f t="shared" si="463"/>
        <v>747.53991440910613</v>
      </c>
      <c r="BI202" s="4">
        <f t="shared" si="464"/>
        <v>3704.4961984911101</v>
      </c>
      <c r="BJ202" s="4">
        <f t="shared" si="465"/>
        <v>4.9555831429005819</v>
      </c>
      <c r="BR202" s="4">
        <f t="shared" si="539"/>
        <v>22.2</v>
      </c>
      <c r="BV202" s="9"/>
      <c r="BX202" s="9"/>
      <c r="BY202" s="9"/>
      <c r="BZ202" s="9">
        <f t="shared" si="577"/>
        <v>22.2</v>
      </c>
      <c r="CA202" s="9">
        <f t="shared" si="578"/>
        <v>138.60000000000002</v>
      </c>
      <c r="CB202" s="9">
        <f t="shared" si="403"/>
        <v>1.3161686388047049</v>
      </c>
      <c r="CC202" s="9">
        <v>0</v>
      </c>
      <c r="CD202" s="9">
        <f t="shared" si="518"/>
        <v>0</v>
      </c>
      <c r="CE202" s="9">
        <f t="shared" si="404"/>
        <v>0</v>
      </c>
      <c r="CF202" s="9">
        <f t="shared" si="579"/>
        <v>1</v>
      </c>
      <c r="CG202" s="9">
        <f t="shared" si="580"/>
        <v>0.77100000000000002</v>
      </c>
      <c r="CH202" s="9">
        <f t="shared" si="405"/>
        <v>3.0755797864386483</v>
      </c>
      <c r="CI202" s="9">
        <f t="shared" si="406"/>
        <v>4.047981661052221</v>
      </c>
      <c r="CJ202" s="9">
        <v>1</v>
      </c>
      <c r="CK202" s="9">
        <f t="shared" si="407"/>
        <v>340.03045952838659</v>
      </c>
      <c r="CM202" s="4">
        <f t="shared" si="477"/>
        <v>2.0282460326686236</v>
      </c>
      <c r="CN202" s="4">
        <f t="shared" si="478"/>
        <v>0.84672542437358489</v>
      </c>
      <c r="CO202" s="4">
        <f t="shared" si="479"/>
        <v>1.334372389913568</v>
      </c>
      <c r="CP202" s="4">
        <f t="shared" si="480"/>
        <v>2.1468664925268488</v>
      </c>
      <c r="CQ202" s="44">
        <f t="shared" si="481"/>
        <v>1</v>
      </c>
      <c r="CR202" s="4">
        <f t="shared" si="482"/>
        <v>1</v>
      </c>
      <c r="CS202" s="4">
        <f t="shared" si="483"/>
        <v>2.1117680338689433</v>
      </c>
      <c r="CU202" s="4">
        <f t="shared" si="553"/>
        <v>2.0282460326686236</v>
      </c>
      <c r="CV202" s="4">
        <f t="shared" si="553"/>
        <v>0.84672542437358489</v>
      </c>
      <c r="CW202" s="4">
        <f t="shared" si="562"/>
        <v>2.1468664925268488</v>
      </c>
      <c r="CX202" s="4">
        <f t="shared" ref="CX202:CX207" si="589">CS202</f>
        <v>2.1117680338689433</v>
      </c>
      <c r="CY202" s="4">
        <f t="shared" si="555"/>
        <v>1</v>
      </c>
      <c r="CZ202" s="4">
        <f t="shared" si="555"/>
        <v>1</v>
      </c>
      <c r="DH202" s="4">
        <f t="shared" si="557"/>
        <v>0</v>
      </c>
      <c r="DI202" s="4">
        <f t="shared" si="453"/>
        <v>133.19999999999999</v>
      </c>
      <c r="DL202" s="4">
        <f t="shared" si="485"/>
        <v>1.9960587760943928E-5</v>
      </c>
      <c r="DM202" s="4">
        <f t="shared" si="558"/>
        <v>12.240383556873418</v>
      </c>
      <c r="DN202" s="4">
        <f t="shared" si="486"/>
        <v>0.36121658658088979</v>
      </c>
      <c r="DO202" s="4">
        <f t="shared" si="487"/>
        <v>8.1452065255624326</v>
      </c>
      <c r="DP202" s="4">
        <f t="shared" si="488"/>
        <v>10.397219445794885</v>
      </c>
      <c r="DQ202" s="4">
        <f t="shared" si="489"/>
        <v>11.692328802700976</v>
      </c>
      <c r="DR202" s="38">
        <f t="shared" si="513"/>
        <v>730</v>
      </c>
      <c r="DS202" s="4">
        <f t="shared" si="411"/>
        <v>1</v>
      </c>
      <c r="DT202" s="4">
        <f t="shared" si="490"/>
        <v>2.2360679774997898</v>
      </c>
      <c r="DU202" s="4">
        <f t="shared" si="441"/>
        <v>971.69948696579524</v>
      </c>
      <c r="DY202" s="4">
        <f t="shared" si="581"/>
        <v>0.85</v>
      </c>
      <c r="DZ202" s="4">
        <f t="shared" si="412"/>
        <v>1</v>
      </c>
      <c r="EA202" s="4">
        <f t="shared" si="514"/>
        <v>1</v>
      </c>
      <c r="EB202" s="4">
        <f t="shared" si="414"/>
        <v>1</v>
      </c>
      <c r="ED202" s="4">
        <f t="shared" si="515"/>
        <v>730</v>
      </c>
      <c r="EE202" s="25">
        <f t="shared" si="573"/>
        <v>949.1812023271998</v>
      </c>
      <c r="EH202" s="4">
        <f t="shared" si="517"/>
        <v>12.240383556873418</v>
      </c>
      <c r="EK202" s="4">
        <f t="shared" si="491"/>
        <v>49.640709100495329</v>
      </c>
      <c r="EL202" s="4">
        <f t="shared" si="492"/>
        <v>2.2360679774997898</v>
      </c>
      <c r="EM202" s="4">
        <f t="shared" si="493"/>
        <v>0.22511660227245195</v>
      </c>
      <c r="EP202" s="4">
        <f t="shared" si="541"/>
        <v>0.22511660227245195</v>
      </c>
      <c r="EQ202" s="4">
        <f t="shared" si="542"/>
        <v>0.36061378341950645</v>
      </c>
      <c r="ER202" s="4">
        <f t="shared" si="559"/>
        <v>8.1397666684163408</v>
      </c>
      <c r="ES202" s="4">
        <f t="shared" si="582"/>
        <v>10.395093719934293</v>
      </c>
      <c r="ET202" s="4">
        <f t="shared" si="560"/>
        <v>50.259290899504663</v>
      </c>
      <c r="EU202" s="4">
        <f t="shared" si="561"/>
        <v>33.299999999999997</v>
      </c>
      <c r="EV202" s="4">
        <f t="shared" si="415"/>
        <v>1.9960587760943928E-5</v>
      </c>
      <c r="EW202" s="4">
        <f t="shared" si="583"/>
        <v>11.69251147702512</v>
      </c>
      <c r="EX202" s="4">
        <f t="shared" si="466"/>
        <v>730</v>
      </c>
      <c r="FG202" s="23">
        <f t="shared" si="563"/>
        <v>2.2000000000000002</v>
      </c>
      <c r="FH202" s="23">
        <f t="shared" si="563"/>
        <v>1</v>
      </c>
      <c r="FI202" s="23">
        <f t="shared" si="495"/>
        <v>2.2000000000000002</v>
      </c>
      <c r="FJ202" s="23">
        <f t="shared" si="564"/>
        <v>2.2000000000000002</v>
      </c>
      <c r="FK202" s="23">
        <f t="shared" si="564"/>
        <v>1.2</v>
      </c>
      <c r="FL202" s="23">
        <f t="shared" si="564"/>
        <v>1.2</v>
      </c>
      <c r="FM202" s="23">
        <f t="shared" si="497"/>
        <v>0</v>
      </c>
      <c r="FN202" s="23"/>
      <c r="FX202" s="4">
        <f t="shared" si="416"/>
        <v>1.25</v>
      </c>
      <c r="FY202" s="4">
        <f t="shared" si="469"/>
        <v>0.5</v>
      </c>
      <c r="FZ202" s="4">
        <f t="shared" si="417"/>
        <v>0</v>
      </c>
      <c r="GA202" s="4">
        <f t="shared" si="418"/>
        <v>345.681906484102</v>
      </c>
    </row>
    <row r="203" spans="1:183" ht="12" hidden="1" customHeight="1" x14ac:dyDescent="0.3">
      <c r="A203" s="25">
        <v>185</v>
      </c>
      <c r="B203" s="24" t="s">
        <v>128</v>
      </c>
      <c r="C203" s="24">
        <v>2017</v>
      </c>
      <c r="D203" s="24" t="s">
        <v>309</v>
      </c>
      <c r="E203" s="24"/>
      <c r="F203" s="4" t="s">
        <v>319</v>
      </c>
      <c r="G203" s="7">
        <v>679</v>
      </c>
      <c r="H203" s="7">
        <f t="shared" ref="H203" si="590">6*K203</f>
        <v>133.19999999999999</v>
      </c>
      <c r="I203" s="7">
        <f t="shared" si="455"/>
        <v>133.19999999999999</v>
      </c>
      <c r="J203" s="7">
        <v>129.9</v>
      </c>
      <c r="K203" s="7">
        <v>22.2</v>
      </c>
      <c r="L203" s="7">
        <f t="shared" si="498"/>
        <v>6</v>
      </c>
      <c r="M203" s="7">
        <f t="shared" si="499"/>
        <v>6</v>
      </c>
      <c r="N203" s="7">
        <v>366</v>
      </c>
      <c r="O203" s="7">
        <f t="shared" si="566"/>
        <v>22.2</v>
      </c>
      <c r="P203" s="7">
        <f t="shared" ref="P203" si="591">176-I203</f>
        <v>42.800000000000011</v>
      </c>
      <c r="Q203" s="7">
        <f t="shared" si="567"/>
        <v>277.20000000000005</v>
      </c>
      <c r="R203" s="7">
        <v>2</v>
      </c>
      <c r="S203" s="7">
        <f t="shared" si="568"/>
        <v>88.799999999999983</v>
      </c>
      <c r="T203" s="7">
        <f t="shared" si="475"/>
        <v>1.5</v>
      </c>
      <c r="U203" s="7">
        <f t="shared" si="459"/>
        <v>1.5</v>
      </c>
      <c r="V203" s="7">
        <f t="shared" si="472"/>
        <v>4</v>
      </c>
      <c r="W203" s="7">
        <f t="shared" si="472"/>
        <v>4</v>
      </c>
      <c r="X203" s="7">
        <f t="shared" si="431"/>
        <v>5</v>
      </c>
      <c r="Y203" s="7">
        <f t="shared" si="552"/>
        <v>49.640709100495329</v>
      </c>
      <c r="Z203" s="7">
        <f t="shared" si="461"/>
        <v>679</v>
      </c>
      <c r="AA203" s="7">
        <v>8</v>
      </c>
      <c r="AB203" s="7">
        <f>(742+721)/2</f>
        <v>731.5</v>
      </c>
      <c r="AC203" s="7"/>
      <c r="AD203" s="4">
        <f t="shared" si="476"/>
        <v>1</v>
      </c>
      <c r="AE203" s="7"/>
      <c r="AF203" s="7"/>
      <c r="AG203" s="7">
        <v>1</v>
      </c>
      <c r="AH203" s="7"/>
      <c r="AI203" s="7"/>
      <c r="AJ203" s="7">
        <f t="shared" si="473"/>
        <v>1.3346693386773545</v>
      </c>
      <c r="AK203" s="4">
        <f t="shared" si="569"/>
        <v>133.19999999999999</v>
      </c>
      <c r="AL203" s="4">
        <f t="shared" si="505"/>
        <v>0.91591591591591592</v>
      </c>
      <c r="AM203" s="4">
        <f t="shared" si="506"/>
        <v>226.32633296409878</v>
      </c>
      <c r="AN203" s="4">
        <f t="shared" si="507"/>
        <v>0.75</v>
      </c>
      <c r="AO203" s="4">
        <v>1.25</v>
      </c>
      <c r="AP203" s="47">
        <f t="shared" si="574"/>
        <v>5</v>
      </c>
      <c r="AQ203" s="38">
        <f t="shared" si="509"/>
        <v>971.6994869657957</v>
      </c>
      <c r="AR203" s="38">
        <f t="shared" si="510"/>
        <v>971.6994869657957</v>
      </c>
      <c r="AS203" s="38">
        <f t="shared" si="511"/>
        <v>5.7111767066521422</v>
      </c>
      <c r="AT203" s="38">
        <f t="shared" si="450"/>
        <v>971.69948696579524</v>
      </c>
      <c r="AU203" s="38">
        <f t="shared" si="400"/>
        <v>1.0000000000000004</v>
      </c>
      <c r="AV203" s="38">
        <f t="shared" si="537"/>
        <v>0.80209983688859943</v>
      </c>
      <c r="AW203" s="4">
        <f t="shared" si="529"/>
        <v>1</v>
      </c>
      <c r="AX203" s="4">
        <f t="shared" si="570"/>
        <v>359.91688791300993</v>
      </c>
      <c r="AY203" s="4">
        <f t="shared" si="571"/>
        <v>1</v>
      </c>
      <c r="AZ203" s="38">
        <f t="shared" si="438"/>
        <v>779.40000000000009</v>
      </c>
      <c r="BA203" s="4">
        <f t="shared" si="572"/>
        <v>0.44000000000000006</v>
      </c>
      <c r="BB203" s="4">
        <f t="shared" si="401"/>
        <v>82.744892531200989</v>
      </c>
      <c r="BC203" s="4">
        <f t="shared" si="402"/>
        <v>862.14489253120109</v>
      </c>
      <c r="BE203" s="4">
        <f t="shared" si="451"/>
        <v>1</v>
      </c>
      <c r="BF203" s="4">
        <f t="shared" si="452"/>
        <v>547.07366962777508</v>
      </c>
      <c r="BH203" s="4">
        <f t="shared" si="463"/>
        <v>747.53991440910613</v>
      </c>
      <c r="BI203" s="4">
        <f t="shared" si="464"/>
        <v>3704.4961984911101</v>
      </c>
      <c r="BJ203" s="4">
        <f t="shared" si="465"/>
        <v>4.9555831429005819</v>
      </c>
      <c r="BR203" s="4">
        <f t="shared" si="539"/>
        <v>22.2</v>
      </c>
      <c r="BV203" s="9"/>
      <c r="BX203" s="9"/>
      <c r="BY203" s="9"/>
      <c r="BZ203" s="9">
        <f t="shared" si="577"/>
        <v>22.2</v>
      </c>
      <c r="CA203" s="9">
        <f t="shared" si="578"/>
        <v>138.60000000000002</v>
      </c>
      <c r="CB203" s="9">
        <f t="shared" si="403"/>
        <v>1.3161686388047049</v>
      </c>
      <c r="CC203" s="9">
        <v>0</v>
      </c>
      <c r="CD203" s="9">
        <f t="shared" si="518"/>
        <v>0</v>
      </c>
      <c r="CE203" s="9">
        <f t="shared" si="404"/>
        <v>0</v>
      </c>
      <c r="CF203" s="9">
        <f t="shared" si="579"/>
        <v>1</v>
      </c>
      <c r="CG203" s="9">
        <f t="shared" si="580"/>
        <v>0.77100000000000002</v>
      </c>
      <c r="CH203" s="9">
        <f t="shared" si="405"/>
        <v>3.0755797864386483</v>
      </c>
      <c r="CI203" s="9">
        <f t="shared" si="406"/>
        <v>4.047981661052221</v>
      </c>
      <c r="CJ203" s="9">
        <v>1</v>
      </c>
      <c r="CK203" s="9">
        <f t="shared" si="407"/>
        <v>340.03045952838659</v>
      </c>
      <c r="CM203" s="4">
        <f t="shared" si="477"/>
        <v>2.0324136615028738</v>
      </c>
      <c r="CN203" s="4">
        <f t="shared" si="478"/>
        <v>0.84846527113599635</v>
      </c>
      <c r="CO203" s="4">
        <f t="shared" si="479"/>
        <v>1.3371142509887328</v>
      </c>
      <c r="CP203" s="4">
        <f t="shared" si="480"/>
        <v>2.1512778620320412</v>
      </c>
      <c r="CQ203" s="44">
        <f t="shared" si="481"/>
        <v>1</v>
      </c>
      <c r="CR203" s="4">
        <f t="shared" si="482"/>
        <v>1</v>
      </c>
      <c r="CS203" s="4">
        <f t="shared" si="483"/>
        <v>2.1161072832536054</v>
      </c>
      <c r="CU203" s="4">
        <f t="shared" si="553"/>
        <v>2.0324136615028738</v>
      </c>
      <c r="CV203" s="4">
        <f t="shared" si="553"/>
        <v>0.84846527113599635</v>
      </c>
      <c r="CW203" s="4">
        <f t="shared" si="562"/>
        <v>2.1512778620320412</v>
      </c>
      <c r="CX203" s="4">
        <f t="shared" si="589"/>
        <v>2.1161072832536054</v>
      </c>
      <c r="CY203" s="4">
        <f t="shared" si="555"/>
        <v>1</v>
      </c>
      <c r="CZ203" s="4">
        <f t="shared" si="555"/>
        <v>1</v>
      </c>
      <c r="DH203" s="4">
        <f t="shared" si="557"/>
        <v>0</v>
      </c>
      <c r="DI203" s="4">
        <f t="shared" si="453"/>
        <v>133.19999999999999</v>
      </c>
      <c r="DL203" s="4">
        <f t="shared" si="485"/>
        <v>1.9960587760943928E-5</v>
      </c>
      <c r="DM203" s="4">
        <f t="shared" si="558"/>
        <v>12.240383556873418</v>
      </c>
      <c r="DN203" s="4">
        <f t="shared" si="486"/>
        <v>0.36121658658088979</v>
      </c>
      <c r="DO203" s="4">
        <f t="shared" si="487"/>
        <v>8.1452065255624326</v>
      </c>
      <c r="DP203" s="4">
        <f t="shared" si="488"/>
        <v>10.397219445794885</v>
      </c>
      <c r="DQ203" s="4">
        <f t="shared" si="489"/>
        <v>11.692328802700976</v>
      </c>
      <c r="DR203" s="38">
        <f t="shared" si="513"/>
        <v>731.5</v>
      </c>
      <c r="DS203" s="4">
        <f t="shared" si="411"/>
        <v>1</v>
      </c>
      <c r="DT203" s="4">
        <f t="shared" si="490"/>
        <v>2.2360679774997898</v>
      </c>
      <c r="DU203" s="4">
        <f t="shared" si="441"/>
        <v>971.69948696579524</v>
      </c>
      <c r="DY203" s="4">
        <f t="shared" si="581"/>
        <v>0.85</v>
      </c>
      <c r="DZ203" s="4">
        <f t="shared" si="412"/>
        <v>1</v>
      </c>
      <c r="EA203" s="4">
        <f t="shared" si="514"/>
        <v>1</v>
      </c>
      <c r="EB203" s="4">
        <f t="shared" si="414"/>
        <v>1</v>
      </c>
      <c r="ED203" s="4">
        <f t="shared" si="515"/>
        <v>731.5</v>
      </c>
      <c r="EE203" s="25">
        <f t="shared" si="573"/>
        <v>949.1812023271998</v>
      </c>
      <c r="EH203" s="4">
        <f t="shared" si="517"/>
        <v>12.240383556873418</v>
      </c>
      <c r="EK203" s="4">
        <f t="shared" si="491"/>
        <v>49.640709100495329</v>
      </c>
      <c r="EL203" s="4">
        <f t="shared" si="492"/>
        <v>2.2360679774997898</v>
      </c>
      <c r="EM203" s="4">
        <f t="shared" si="493"/>
        <v>0.22511660227245195</v>
      </c>
      <c r="EP203" s="4">
        <f t="shared" si="541"/>
        <v>0.22511660227245195</v>
      </c>
      <c r="EQ203" s="4">
        <f t="shared" si="542"/>
        <v>0.36061378341950645</v>
      </c>
      <c r="ER203" s="4">
        <f t="shared" si="559"/>
        <v>8.1397666684163408</v>
      </c>
      <c r="ES203" s="4">
        <f t="shared" si="582"/>
        <v>10.395093719934293</v>
      </c>
      <c r="ET203" s="4">
        <f t="shared" si="560"/>
        <v>50.259290899504663</v>
      </c>
      <c r="EU203" s="4">
        <f t="shared" si="561"/>
        <v>33.299999999999997</v>
      </c>
      <c r="EV203" s="4">
        <f t="shared" si="415"/>
        <v>1.9960587760943928E-5</v>
      </c>
      <c r="EW203" s="4">
        <f t="shared" si="583"/>
        <v>11.69251147702512</v>
      </c>
      <c r="EX203" s="4">
        <f t="shared" si="466"/>
        <v>731.5</v>
      </c>
      <c r="FG203" s="23">
        <f t="shared" si="563"/>
        <v>2.2000000000000002</v>
      </c>
      <c r="FH203" s="23">
        <f t="shared" si="563"/>
        <v>1</v>
      </c>
      <c r="FI203" s="23">
        <f t="shared" si="495"/>
        <v>2.2000000000000002</v>
      </c>
      <c r="FJ203" s="23">
        <f t="shared" si="564"/>
        <v>2.2000000000000002</v>
      </c>
      <c r="FK203" s="23">
        <f t="shared" si="564"/>
        <v>1.2</v>
      </c>
      <c r="FL203" s="23">
        <f t="shared" si="564"/>
        <v>1.2</v>
      </c>
      <c r="FM203" s="23">
        <f t="shared" si="497"/>
        <v>0</v>
      </c>
      <c r="FN203" s="23"/>
      <c r="FX203" s="4">
        <f t="shared" si="416"/>
        <v>1.25</v>
      </c>
      <c r="FY203" s="4">
        <f t="shared" si="469"/>
        <v>0.5</v>
      </c>
      <c r="FZ203" s="4">
        <f t="shared" si="417"/>
        <v>0</v>
      </c>
      <c r="GA203" s="4">
        <f t="shared" si="418"/>
        <v>345.681906484102</v>
      </c>
    </row>
    <row r="204" spans="1:183" ht="12" hidden="1" customHeight="1" x14ac:dyDescent="0.3">
      <c r="A204" s="25">
        <v>186</v>
      </c>
      <c r="B204" s="24" t="s">
        <v>128</v>
      </c>
      <c r="C204" s="24">
        <v>2017</v>
      </c>
      <c r="D204" s="24" t="s">
        <v>309</v>
      </c>
      <c r="E204" s="24"/>
      <c r="F204" s="4" t="s">
        <v>312</v>
      </c>
      <c r="G204" s="7">
        <v>649</v>
      </c>
      <c r="H204" s="7">
        <f t="shared" si="565"/>
        <v>127.2</v>
      </c>
      <c r="I204" s="7">
        <f t="shared" si="455"/>
        <v>127.2</v>
      </c>
      <c r="J204" s="7">
        <v>129.9</v>
      </c>
      <c r="K204" s="7">
        <v>31.8</v>
      </c>
      <c r="L204" s="7">
        <f t="shared" si="498"/>
        <v>4</v>
      </c>
      <c r="M204" s="7">
        <f t="shared" si="499"/>
        <v>4</v>
      </c>
      <c r="N204" s="7">
        <v>396</v>
      </c>
      <c r="O204" s="7">
        <f t="shared" si="566"/>
        <v>31.8</v>
      </c>
      <c r="P204" s="7">
        <f>171-I204</f>
        <v>43.8</v>
      </c>
      <c r="Q204" s="7">
        <f t="shared" si="567"/>
        <v>268.79999999999995</v>
      </c>
      <c r="R204" s="7">
        <v>2</v>
      </c>
      <c r="S204" s="7">
        <f t="shared" si="568"/>
        <v>84.8</v>
      </c>
      <c r="T204" s="7">
        <f t="shared" si="475"/>
        <v>1.5</v>
      </c>
      <c r="U204" s="7">
        <f t="shared" si="459"/>
        <v>1.5</v>
      </c>
      <c r="V204" s="7">
        <f t="shared" si="472"/>
        <v>4</v>
      </c>
      <c r="W204" s="7">
        <f t="shared" si="472"/>
        <v>4</v>
      </c>
      <c r="X204" s="7">
        <f t="shared" si="431"/>
        <v>5</v>
      </c>
      <c r="Y204" s="7">
        <f t="shared" si="552"/>
        <v>71.106961684493314</v>
      </c>
      <c r="Z204" s="7">
        <f t="shared" si="461"/>
        <v>649</v>
      </c>
      <c r="AA204" s="7">
        <v>11</v>
      </c>
      <c r="AB204" s="7">
        <f>(714+700)/2</f>
        <v>707</v>
      </c>
      <c r="AC204" s="7"/>
      <c r="AD204" s="4">
        <f t="shared" si="476"/>
        <v>1.0926922449567047</v>
      </c>
      <c r="AE204" s="7"/>
      <c r="AF204" s="7"/>
      <c r="AG204" s="7">
        <v>1</v>
      </c>
      <c r="AH204" s="7"/>
      <c r="AI204" s="7"/>
      <c r="AJ204" s="7">
        <f t="shared" si="473"/>
        <v>1.2694610778443116</v>
      </c>
      <c r="AK204" s="4">
        <f t="shared" si="569"/>
        <v>127.2</v>
      </c>
      <c r="AL204" s="4">
        <f t="shared" si="505"/>
        <v>1.0377358490566038</v>
      </c>
      <c r="AM204" s="4">
        <f t="shared" si="506"/>
        <v>102.93453939452981</v>
      </c>
      <c r="AN204" s="4">
        <f t="shared" si="507"/>
        <v>0.77499999999999991</v>
      </c>
      <c r="AO204" s="4">
        <v>1.25</v>
      </c>
      <c r="AP204" s="47">
        <f t="shared" si="574"/>
        <v>5</v>
      </c>
      <c r="AQ204" s="38">
        <f t="shared" si="509"/>
        <v>517.40386104856509</v>
      </c>
      <c r="AR204" s="38">
        <f t="shared" si="510"/>
        <v>517.40386104856509</v>
      </c>
      <c r="AS204" s="38">
        <f t="shared" si="511"/>
        <v>5.7111767066521422</v>
      </c>
      <c r="AT204" s="38">
        <f t="shared" si="450"/>
        <v>517.40386104856543</v>
      </c>
      <c r="AU204" s="38">
        <f t="shared" si="400"/>
        <v>0.99999999999999933</v>
      </c>
      <c r="AV204" s="38">
        <f t="shared" si="537"/>
        <v>1.5063668029466883</v>
      </c>
      <c r="AW204" s="4">
        <f t="shared" si="529"/>
        <v>0</v>
      </c>
      <c r="AX204" s="4">
        <f t="shared" si="570"/>
        <v>239.94459194200661</v>
      </c>
      <c r="AY204" s="4">
        <f t="shared" si="571"/>
        <v>1</v>
      </c>
      <c r="AZ204" s="38">
        <f t="shared" si="438"/>
        <v>779.40000000000009</v>
      </c>
      <c r="BA204" s="4">
        <f t="shared" si="572"/>
        <v>0.44000000000000006</v>
      </c>
      <c r="BB204" s="4">
        <f t="shared" si="401"/>
        <v>55.163261687467333</v>
      </c>
      <c r="BC204" s="4">
        <f t="shared" si="402"/>
        <v>834.56326168746739</v>
      </c>
      <c r="BE204" s="4">
        <f t="shared" si="451"/>
        <v>1</v>
      </c>
      <c r="BF204" s="4">
        <f t="shared" si="452"/>
        <v>478.68946092430321</v>
      </c>
      <c r="BH204" s="4">
        <f t="shared" si="463"/>
        <v>747.53991440910613</v>
      </c>
      <c r="BI204" s="4">
        <f t="shared" si="464"/>
        <v>711.96329095823319</v>
      </c>
      <c r="BJ204" s="4">
        <f t="shared" si="465"/>
        <v>0.95240839617374207</v>
      </c>
      <c r="BR204" s="4">
        <f t="shared" si="539"/>
        <v>31.8</v>
      </c>
      <c r="BV204" s="9"/>
      <c r="BX204" s="9"/>
      <c r="BY204" s="9"/>
      <c r="BZ204" s="9">
        <f t="shared" si="577"/>
        <v>31.8</v>
      </c>
      <c r="CA204" s="9">
        <f t="shared" si="578"/>
        <v>134.39999999999998</v>
      </c>
      <c r="CB204" s="9">
        <f t="shared" si="403"/>
        <v>1.2413544982455165</v>
      </c>
      <c r="CC204" s="9">
        <v>0</v>
      </c>
      <c r="CD204" s="9">
        <f t="shared" si="518"/>
        <v>0</v>
      </c>
      <c r="CE204" s="9">
        <f t="shared" si="404"/>
        <v>0</v>
      </c>
      <c r="CF204" s="9">
        <f t="shared" si="579"/>
        <v>0.93036607665491811</v>
      </c>
      <c r="CG204" s="9">
        <f t="shared" si="580"/>
        <v>0.80099999999999993</v>
      </c>
      <c r="CH204" s="9">
        <f t="shared" si="405"/>
        <v>2.9727542082721463</v>
      </c>
      <c r="CI204" s="9">
        <f t="shared" si="406"/>
        <v>3.6902418086169178</v>
      </c>
      <c r="CJ204" s="9">
        <v>1</v>
      </c>
      <c r="CK204" s="9">
        <f t="shared" si="407"/>
        <v>280.45837745488575</v>
      </c>
      <c r="CM204" s="4">
        <f t="shared" si="477"/>
        <v>2.9465135858151714</v>
      </c>
      <c r="CN204" s="4">
        <f t="shared" si="478"/>
        <v>0.84714967990618539</v>
      </c>
      <c r="CO204" s="4">
        <f t="shared" si="479"/>
        <v>1.476949165822141</v>
      </c>
      <c r="CP204" s="4">
        <f t="shared" si="480"/>
        <v>2.5208731734666308</v>
      </c>
      <c r="CQ204" s="44">
        <f t="shared" si="481"/>
        <v>1.0926922449567047</v>
      </c>
      <c r="CR204" s="4">
        <f t="shared" si="482"/>
        <v>1.1179242582161224</v>
      </c>
      <c r="CS204" s="4">
        <f t="shared" si="483"/>
        <v>3.6717330366569469</v>
      </c>
      <c r="CU204" s="4">
        <f t="shared" si="553"/>
        <v>2.9465135858151714</v>
      </c>
      <c r="CV204" s="4">
        <f t="shared" si="553"/>
        <v>0.84714967990618539</v>
      </c>
      <c r="CW204" s="4">
        <f t="shared" si="562"/>
        <v>2.5208731734666308</v>
      </c>
      <c r="CX204" s="4">
        <f t="shared" si="589"/>
        <v>3.6717330366569469</v>
      </c>
      <c r="CY204" s="4">
        <f t="shared" si="555"/>
        <v>1.0926922449567047</v>
      </c>
      <c r="CZ204" s="4">
        <f t="shared" si="555"/>
        <v>1.1179242582161224</v>
      </c>
      <c r="DH204" s="4">
        <f t="shared" si="557"/>
        <v>0</v>
      </c>
      <c r="DI204" s="4">
        <f t="shared" si="453"/>
        <v>127.2</v>
      </c>
      <c r="DL204" s="4">
        <f t="shared" si="485"/>
        <v>1.3307058507295954E-5</v>
      </c>
      <c r="DM204" s="4">
        <f t="shared" si="558"/>
        <v>11.016345201186075</v>
      </c>
      <c r="DN204" s="4">
        <f t="shared" si="486"/>
        <v>0.2755113670422118</v>
      </c>
      <c r="DO204" s="4">
        <f t="shared" si="487"/>
        <v>6.577992059640426</v>
      </c>
      <c r="DP204" s="4">
        <f t="shared" si="488"/>
        <v>9.0744139065227447</v>
      </c>
      <c r="DQ204" s="4">
        <f t="shared" si="489"/>
        <v>10.764395049922769</v>
      </c>
      <c r="DR204" s="38">
        <f t="shared" si="513"/>
        <v>647.02573232595171</v>
      </c>
      <c r="DS204" s="4">
        <f t="shared" si="411"/>
        <v>1.0000675853676408</v>
      </c>
      <c r="DT204" s="4">
        <f t="shared" si="490"/>
        <v>2.2360679774997898</v>
      </c>
      <c r="DU204" s="4">
        <f t="shared" si="441"/>
        <v>517.40386104856543</v>
      </c>
      <c r="DY204" s="4">
        <f t="shared" si="581"/>
        <v>0.85</v>
      </c>
      <c r="DZ204" s="4">
        <f t="shared" si="412"/>
        <v>1</v>
      </c>
      <c r="EA204" s="4">
        <f t="shared" si="514"/>
        <v>1</v>
      </c>
      <c r="EB204" s="4">
        <f t="shared" si="414"/>
        <v>1</v>
      </c>
      <c r="ED204" s="4">
        <f t="shared" si="515"/>
        <v>632.4220937187315</v>
      </c>
      <c r="EE204" s="25">
        <f t="shared" si="573"/>
        <v>500.22595130449861</v>
      </c>
      <c r="EH204" s="4">
        <f t="shared" si="517"/>
        <v>11.016345201186075</v>
      </c>
      <c r="EK204" s="4">
        <f t="shared" si="491"/>
        <v>71.106961684493314</v>
      </c>
      <c r="EL204" s="4">
        <f t="shared" si="492"/>
        <v>2.2360679774997898</v>
      </c>
      <c r="EM204" s="4">
        <f t="shared" si="493"/>
        <v>0.17170358488533044</v>
      </c>
      <c r="EP204" s="4">
        <f t="shared" si="541"/>
        <v>0.17170358488533044</v>
      </c>
      <c r="EQ204" s="4">
        <f t="shared" si="542"/>
        <v>0.27505158991895695</v>
      </c>
      <c r="ER204" s="4">
        <f t="shared" si="559"/>
        <v>6.5735988822544051</v>
      </c>
      <c r="ES204" s="4">
        <f t="shared" si="582"/>
        <v>9.0728292317903581</v>
      </c>
      <c r="ET204" s="4">
        <f t="shared" si="560"/>
        <v>24.293038315506692</v>
      </c>
      <c r="EU204" s="4">
        <f t="shared" si="561"/>
        <v>31.799999999999997</v>
      </c>
      <c r="EV204" s="4">
        <f t="shared" si="415"/>
        <v>1.330705850729595E-5</v>
      </c>
      <c r="EW204" s="4">
        <f t="shared" si="583"/>
        <v>10.764497447788541</v>
      </c>
      <c r="EX204" s="4">
        <f t="shared" si="466"/>
        <v>646.98200580923208</v>
      </c>
      <c r="FG204" s="23">
        <f t="shared" si="563"/>
        <v>2.2000000000000002</v>
      </c>
      <c r="FH204" s="23">
        <f t="shared" si="563"/>
        <v>1</v>
      </c>
      <c r="FI204" s="23">
        <f t="shared" si="495"/>
        <v>2.2000000000000002</v>
      </c>
      <c r="FJ204" s="23">
        <f t="shared" si="564"/>
        <v>2.2000000000000002</v>
      </c>
      <c r="FK204" s="23">
        <f t="shared" si="564"/>
        <v>1.2</v>
      </c>
      <c r="FL204" s="23">
        <f t="shared" si="564"/>
        <v>1.2</v>
      </c>
      <c r="FM204" s="23">
        <f t="shared" si="497"/>
        <v>0</v>
      </c>
      <c r="FN204" s="23"/>
      <c r="FX204" s="4">
        <f t="shared" si="416"/>
        <v>1.25</v>
      </c>
      <c r="FY204" s="4">
        <f t="shared" si="469"/>
        <v>0.5</v>
      </c>
      <c r="FZ204" s="4">
        <f t="shared" si="417"/>
        <v>0</v>
      </c>
      <c r="GA204" s="4">
        <f t="shared" si="418"/>
        <v>192.55212537012548</v>
      </c>
    </row>
    <row r="205" spans="1:183" ht="12" hidden="1" customHeight="1" x14ac:dyDescent="0.3">
      <c r="A205" s="25">
        <v>187</v>
      </c>
      <c r="B205" s="24" t="s">
        <v>128</v>
      </c>
      <c r="C205" s="24">
        <v>2017</v>
      </c>
      <c r="D205" s="24" t="s">
        <v>309</v>
      </c>
      <c r="E205" s="24"/>
      <c r="F205" s="4" t="s">
        <v>154</v>
      </c>
      <c r="G205" s="7">
        <v>649</v>
      </c>
      <c r="H205" s="7">
        <f t="shared" si="565"/>
        <v>127.2</v>
      </c>
      <c r="I205" s="7">
        <f t="shared" si="455"/>
        <v>127.2</v>
      </c>
      <c r="J205" s="7">
        <v>129.9</v>
      </c>
      <c r="K205" s="7">
        <v>31.8</v>
      </c>
      <c r="L205" s="7">
        <f t="shared" si="498"/>
        <v>4</v>
      </c>
      <c r="M205" s="7">
        <f t="shared" si="499"/>
        <v>4</v>
      </c>
      <c r="N205" s="7">
        <v>396</v>
      </c>
      <c r="O205" s="7">
        <f t="shared" si="566"/>
        <v>31.8</v>
      </c>
      <c r="P205" s="7">
        <f t="shared" ref="P205:P209" si="592">171-I205</f>
        <v>43.8</v>
      </c>
      <c r="Q205" s="7">
        <f t="shared" si="567"/>
        <v>268.79999999999995</v>
      </c>
      <c r="R205" s="7">
        <v>2</v>
      </c>
      <c r="S205" s="7">
        <f t="shared" si="568"/>
        <v>84.8</v>
      </c>
      <c r="T205" s="7">
        <f t="shared" si="475"/>
        <v>1.5</v>
      </c>
      <c r="U205" s="7">
        <f t="shared" si="459"/>
        <v>1.5</v>
      </c>
      <c r="V205" s="7">
        <f t="shared" si="472"/>
        <v>4</v>
      </c>
      <c r="W205" s="7">
        <f t="shared" si="472"/>
        <v>4</v>
      </c>
      <c r="X205" s="7">
        <f t="shared" si="431"/>
        <v>5</v>
      </c>
      <c r="Y205" s="7">
        <f t="shared" si="552"/>
        <v>71.106961684493314</v>
      </c>
      <c r="Z205" s="7">
        <f t="shared" si="461"/>
        <v>649</v>
      </c>
      <c r="AA205" s="7">
        <v>11</v>
      </c>
      <c r="AB205" s="7">
        <f>(720+688)/2</f>
        <v>704</v>
      </c>
      <c r="AC205" s="7"/>
      <c r="AD205" s="4">
        <f t="shared" si="476"/>
        <v>1.0880556442001699</v>
      </c>
      <c r="AE205" s="7"/>
      <c r="AF205" s="7"/>
      <c r="AG205" s="7">
        <v>1</v>
      </c>
      <c r="AH205" s="7"/>
      <c r="AI205" s="7"/>
      <c r="AJ205" s="7">
        <f t="shared" si="473"/>
        <v>1.2694610778443116</v>
      </c>
      <c r="AK205" s="4">
        <f t="shared" si="569"/>
        <v>127.2</v>
      </c>
      <c r="AL205" s="4">
        <f t="shared" si="505"/>
        <v>1.0377358490566038</v>
      </c>
      <c r="AM205" s="4">
        <f t="shared" si="506"/>
        <v>102.93453939452981</v>
      </c>
      <c r="AN205" s="4">
        <f t="shared" si="507"/>
        <v>0.77499999999999991</v>
      </c>
      <c r="AO205" s="4">
        <v>1.25</v>
      </c>
      <c r="AP205" s="47">
        <f t="shared" si="574"/>
        <v>5</v>
      </c>
      <c r="AQ205" s="38">
        <f t="shared" si="509"/>
        <v>517.40386104856509</v>
      </c>
      <c r="AR205" s="38">
        <f t="shared" si="510"/>
        <v>517.40386104856509</v>
      </c>
      <c r="AS205" s="38">
        <f t="shared" si="511"/>
        <v>5.7111767066521422</v>
      </c>
      <c r="AT205" s="38">
        <f t="shared" si="450"/>
        <v>517.40386104856543</v>
      </c>
      <c r="AU205" s="38">
        <f t="shared" si="400"/>
        <v>0.99999999999999933</v>
      </c>
      <c r="AV205" s="38">
        <f t="shared" si="537"/>
        <v>1.5063668029466883</v>
      </c>
      <c r="AW205" s="4">
        <f t="shared" si="529"/>
        <v>0</v>
      </c>
      <c r="AX205" s="4">
        <f t="shared" si="570"/>
        <v>239.94459194200661</v>
      </c>
      <c r="AY205" s="4">
        <f t="shared" si="571"/>
        <v>1</v>
      </c>
      <c r="AZ205" s="38">
        <f t="shared" si="438"/>
        <v>779.40000000000009</v>
      </c>
      <c r="BA205" s="4">
        <f t="shared" si="572"/>
        <v>0.44000000000000006</v>
      </c>
      <c r="BB205" s="4">
        <f t="shared" si="401"/>
        <v>55.163261687467333</v>
      </c>
      <c r="BC205" s="4">
        <f t="shared" si="402"/>
        <v>834.56326168746739</v>
      </c>
      <c r="BE205" s="4">
        <f t="shared" si="451"/>
        <v>1</v>
      </c>
      <c r="BF205" s="4">
        <f t="shared" si="452"/>
        <v>478.68946092430321</v>
      </c>
      <c r="BH205" s="4">
        <f t="shared" si="463"/>
        <v>747.53991440910613</v>
      </c>
      <c r="BI205" s="4">
        <f t="shared" si="464"/>
        <v>711.96329095823319</v>
      </c>
      <c r="BJ205" s="4">
        <f t="shared" si="465"/>
        <v>0.95240839617374207</v>
      </c>
      <c r="BR205" s="4">
        <f t="shared" si="539"/>
        <v>31.8</v>
      </c>
      <c r="BV205" s="9"/>
      <c r="BX205" s="9"/>
      <c r="BY205" s="9"/>
      <c r="BZ205" s="9">
        <f t="shared" si="577"/>
        <v>31.8</v>
      </c>
      <c r="CA205" s="9">
        <f t="shared" si="578"/>
        <v>134.39999999999998</v>
      </c>
      <c r="CB205" s="9">
        <f t="shared" si="403"/>
        <v>1.2413544982455165</v>
      </c>
      <c r="CC205" s="9">
        <v>0</v>
      </c>
      <c r="CD205" s="9">
        <f t="shared" si="518"/>
        <v>0</v>
      </c>
      <c r="CE205" s="9">
        <f t="shared" si="404"/>
        <v>0</v>
      </c>
      <c r="CF205" s="9">
        <f t="shared" si="579"/>
        <v>0.93036607665491811</v>
      </c>
      <c r="CG205" s="9">
        <f t="shared" si="580"/>
        <v>0.80099999999999993</v>
      </c>
      <c r="CH205" s="9">
        <f t="shared" si="405"/>
        <v>2.9727542082721463</v>
      </c>
      <c r="CI205" s="9">
        <f t="shared" si="406"/>
        <v>3.6902418086169178</v>
      </c>
      <c r="CJ205" s="9">
        <v>1</v>
      </c>
      <c r="CK205" s="9">
        <f t="shared" si="407"/>
        <v>280.45837745488575</v>
      </c>
      <c r="CM205" s="4">
        <f t="shared" si="477"/>
        <v>2.9340106993124198</v>
      </c>
      <c r="CN205" s="4">
        <f t="shared" si="478"/>
        <v>0.84355498536627227</v>
      </c>
      <c r="CO205" s="4">
        <f t="shared" si="479"/>
        <v>1.4706820547931927</v>
      </c>
      <c r="CP205" s="4">
        <f t="shared" si="480"/>
        <v>2.5101763990389081</v>
      </c>
      <c r="CQ205" s="44">
        <f t="shared" si="481"/>
        <v>1.0880556442001699</v>
      </c>
      <c r="CR205" s="4">
        <f t="shared" si="482"/>
        <v>1.1131805909252479</v>
      </c>
      <c r="CS205" s="4">
        <f t="shared" si="483"/>
        <v>3.6561528398960266</v>
      </c>
      <c r="CU205" s="4">
        <f t="shared" ref="CU205:CV224" si="593">CM205</f>
        <v>2.9340106993124198</v>
      </c>
      <c r="CV205" s="4">
        <f t="shared" si="593"/>
        <v>0.84355498536627227</v>
      </c>
      <c r="CW205" s="4">
        <f t="shared" si="562"/>
        <v>2.5101763990389081</v>
      </c>
      <c r="CX205" s="4">
        <f t="shared" si="589"/>
        <v>3.6561528398960266</v>
      </c>
      <c r="CY205" s="4">
        <f t="shared" ref="CY205:CZ224" si="594">CQ205</f>
        <v>1.0880556442001699</v>
      </c>
      <c r="CZ205" s="4">
        <f t="shared" si="594"/>
        <v>1.1131805909252479</v>
      </c>
      <c r="DH205" s="4">
        <f t="shared" si="557"/>
        <v>0</v>
      </c>
      <c r="DI205" s="4">
        <f t="shared" si="453"/>
        <v>127.2</v>
      </c>
      <c r="DL205" s="4">
        <f t="shared" si="485"/>
        <v>1.3307058507295954E-5</v>
      </c>
      <c r="DM205" s="4">
        <f t="shared" si="558"/>
        <v>11.016345201186075</v>
      </c>
      <c r="DN205" s="4">
        <f t="shared" si="486"/>
        <v>0.2755113670422118</v>
      </c>
      <c r="DO205" s="4">
        <f t="shared" si="487"/>
        <v>6.577992059640426</v>
      </c>
      <c r="DP205" s="4">
        <f t="shared" si="488"/>
        <v>9.0744139065227447</v>
      </c>
      <c r="DQ205" s="4">
        <f t="shared" si="489"/>
        <v>10.764395049922769</v>
      </c>
      <c r="DR205" s="38">
        <f t="shared" si="513"/>
        <v>647.02573232595171</v>
      </c>
      <c r="DS205" s="4">
        <f t="shared" si="411"/>
        <v>1.0000675853676408</v>
      </c>
      <c r="DT205" s="4">
        <f t="shared" si="490"/>
        <v>2.2360679774997898</v>
      </c>
      <c r="DU205" s="4">
        <f t="shared" si="441"/>
        <v>517.40386104856543</v>
      </c>
      <c r="DY205" s="4">
        <f t="shared" si="581"/>
        <v>0.85</v>
      </c>
      <c r="DZ205" s="4">
        <f t="shared" si="412"/>
        <v>1</v>
      </c>
      <c r="EA205" s="4">
        <f t="shared" si="514"/>
        <v>1</v>
      </c>
      <c r="EB205" s="4">
        <f t="shared" si="414"/>
        <v>1</v>
      </c>
      <c r="ED205" s="4">
        <f t="shared" si="515"/>
        <v>632.4220937187315</v>
      </c>
      <c r="EE205" s="25">
        <f t="shared" si="573"/>
        <v>500.22595130449861</v>
      </c>
      <c r="EH205" s="4">
        <f t="shared" si="517"/>
        <v>11.016345201186075</v>
      </c>
      <c r="EK205" s="4">
        <f t="shared" si="491"/>
        <v>71.106961684493314</v>
      </c>
      <c r="EL205" s="4">
        <f t="shared" si="492"/>
        <v>2.2360679774997898</v>
      </c>
      <c r="EM205" s="4">
        <f t="shared" si="493"/>
        <v>0.17170358488533044</v>
      </c>
      <c r="EP205" s="4">
        <f t="shared" si="541"/>
        <v>0.17170358488533044</v>
      </c>
      <c r="EQ205" s="4">
        <f t="shared" si="542"/>
        <v>0.27505158991895695</v>
      </c>
      <c r="ER205" s="4">
        <f t="shared" si="559"/>
        <v>6.5735988822544051</v>
      </c>
      <c r="ES205" s="4">
        <f t="shared" si="582"/>
        <v>9.0728292317903581</v>
      </c>
      <c r="ET205" s="4">
        <f t="shared" si="560"/>
        <v>24.293038315506692</v>
      </c>
      <c r="EU205" s="4">
        <f t="shared" si="561"/>
        <v>31.799999999999997</v>
      </c>
      <c r="EV205" s="4">
        <f t="shared" si="415"/>
        <v>1.330705850729595E-5</v>
      </c>
      <c r="EW205" s="4">
        <f t="shared" si="583"/>
        <v>10.764497447788541</v>
      </c>
      <c r="EX205" s="4">
        <f t="shared" si="466"/>
        <v>646.98200580923208</v>
      </c>
      <c r="FG205" s="23">
        <f t="shared" si="563"/>
        <v>2.2000000000000002</v>
      </c>
      <c r="FH205" s="23">
        <f t="shared" si="563"/>
        <v>1</v>
      </c>
      <c r="FI205" s="23">
        <f t="shared" si="495"/>
        <v>2.2000000000000002</v>
      </c>
      <c r="FJ205" s="23">
        <f t="shared" si="564"/>
        <v>2.2000000000000002</v>
      </c>
      <c r="FK205" s="23">
        <f t="shared" si="564"/>
        <v>1.2</v>
      </c>
      <c r="FL205" s="23">
        <f t="shared" si="564"/>
        <v>1.2</v>
      </c>
      <c r="FM205" s="23">
        <f t="shared" si="497"/>
        <v>0</v>
      </c>
      <c r="FN205" s="23"/>
      <c r="FX205" s="4">
        <f t="shared" si="416"/>
        <v>1.25</v>
      </c>
      <c r="FY205" s="4">
        <f t="shared" si="469"/>
        <v>0.5</v>
      </c>
      <c r="FZ205" s="4">
        <f t="shared" si="417"/>
        <v>0</v>
      </c>
      <c r="GA205" s="4">
        <f t="shared" si="418"/>
        <v>192.55212537012548</v>
      </c>
    </row>
    <row r="206" spans="1:183" ht="12" hidden="1" customHeight="1" x14ac:dyDescent="0.3">
      <c r="A206" s="25">
        <v>188</v>
      </c>
      <c r="B206" s="24" t="s">
        <v>128</v>
      </c>
      <c r="C206" s="24">
        <v>2017</v>
      </c>
      <c r="D206" s="24" t="s">
        <v>309</v>
      </c>
      <c r="E206" s="24"/>
      <c r="F206" s="4" t="s">
        <v>320</v>
      </c>
      <c r="G206" s="7">
        <v>649</v>
      </c>
      <c r="H206" s="7">
        <f t="shared" si="565"/>
        <v>127.2</v>
      </c>
      <c r="I206" s="7">
        <f t="shared" si="455"/>
        <v>127.2</v>
      </c>
      <c r="J206" s="7">
        <v>129.9</v>
      </c>
      <c r="K206" s="7">
        <v>31.8</v>
      </c>
      <c r="L206" s="7">
        <f t="shared" si="498"/>
        <v>4</v>
      </c>
      <c r="M206" s="7">
        <f t="shared" si="499"/>
        <v>4</v>
      </c>
      <c r="N206" s="7">
        <v>428</v>
      </c>
      <c r="O206" s="7">
        <f t="shared" ref="O206:O207" si="595">1.5*K206</f>
        <v>47.7</v>
      </c>
      <c r="P206" s="7">
        <f t="shared" si="592"/>
        <v>43.8</v>
      </c>
      <c r="Q206" s="7">
        <f t="shared" si="567"/>
        <v>269</v>
      </c>
      <c r="R206" s="7">
        <v>2</v>
      </c>
      <c r="S206" s="7">
        <f t="shared" si="568"/>
        <v>84.8</v>
      </c>
      <c r="T206" s="7">
        <f t="shared" si="475"/>
        <v>2</v>
      </c>
      <c r="U206" s="7">
        <f t="shared" si="459"/>
        <v>2</v>
      </c>
      <c r="V206" s="7">
        <f t="shared" si="472"/>
        <v>4</v>
      </c>
      <c r="W206" s="7">
        <f t="shared" si="472"/>
        <v>4</v>
      </c>
      <c r="X206" s="7">
        <f t="shared" si="431"/>
        <v>5</v>
      </c>
      <c r="Y206" s="7">
        <f t="shared" si="552"/>
        <v>71.106961684493314</v>
      </c>
      <c r="Z206" s="7">
        <f t="shared" si="461"/>
        <v>649</v>
      </c>
      <c r="AA206" s="7">
        <v>11</v>
      </c>
      <c r="AB206" s="7">
        <f>(741+710)/2</f>
        <v>725.5</v>
      </c>
      <c r="AC206" s="7"/>
      <c r="AD206" s="4">
        <f t="shared" si="476"/>
        <v>1.0122350649057119</v>
      </c>
      <c r="AE206" s="7"/>
      <c r="AF206" s="7"/>
      <c r="AG206" s="7">
        <v>1</v>
      </c>
      <c r="AH206" s="7"/>
      <c r="AI206" s="7"/>
      <c r="AJ206" s="7">
        <f t="shared" si="473"/>
        <v>1.2686170212765957</v>
      </c>
      <c r="AK206" s="4">
        <f t="shared" si="569"/>
        <v>127.2</v>
      </c>
      <c r="AL206" s="4">
        <f t="shared" si="505"/>
        <v>1.1215932914046123</v>
      </c>
      <c r="AM206" s="4">
        <f t="shared" si="506"/>
        <v>102.93453939452981</v>
      </c>
      <c r="AN206" s="4">
        <f t="shared" si="507"/>
        <v>0.79999999999999993</v>
      </c>
      <c r="AO206" s="4">
        <v>1.25</v>
      </c>
      <c r="AP206" s="47">
        <f t="shared" si="574"/>
        <v>5</v>
      </c>
      <c r="AQ206" s="38">
        <f t="shared" si="509"/>
        <v>577.25344419364194</v>
      </c>
      <c r="AR206" s="38">
        <f t="shared" si="510"/>
        <v>577.25344419364194</v>
      </c>
      <c r="AS206" s="38">
        <f t="shared" si="511"/>
        <v>5.7111767066521422</v>
      </c>
      <c r="AT206" s="38">
        <f t="shared" si="450"/>
        <v>577.25344419364239</v>
      </c>
      <c r="AU206" s="38">
        <f t="shared" si="400"/>
        <v>0.99999999999999922</v>
      </c>
      <c r="AV206" s="38">
        <f t="shared" si="537"/>
        <v>1.8002491114654926</v>
      </c>
      <c r="AW206" s="4">
        <f t="shared" si="529"/>
        <v>0</v>
      </c>
      <c r="AX206" s="4">
        <f t="shared" si="570"/>
        <v>239.94459194200661</v>
      </c>
      <c r="AY206" s="4">
        <f t="shared" si="571"/>
        <v>1</v>
      </c>
      <c r="AZ206" s="38">
        <f t="shared" si="438"/>
        <v>1039.2</v>
      </c>
      <c r="BA206" s="4">
        <f t="shared" si="572"/>
        <v>0.44000000000000006</v>
      </c>
      <c r="BB206" s="4">
        <f t="shared" si="401"/>
        <v>55.163261687467333</v>
      </c>
      <c r="BC206" s="4">
        <f t="shared" si="402"/>
        <v>1094.3632616874675</v>
      </c>
      <c r="BE206" s="4">
        <f t="shared" si="451"/>
        <v>1.125</v>
      </c>
      <c r="BF206" s="4">
        <f t="shared" si="452"/>
        <v>538.5256435398411</v>
      </c>
      <c r="BH206" s="4">
        <f t="shared" si="463"/>
        <v>996.71988587880821</v>
      </c>
      <c r="BI206" s="4">
        <f t="shared" si="464"/>
        <v>711.96329095823319</v>
      </c>
      <c r="BJ206" s="4">
        <f t="shared" si="465"/>
        <v>0.71430629713030647</v>
      </c>
      <c r="BR206" s="4">
        <f t="shared" si="539"/>
        <v>47.7</v>
      </c>
      <c r="BV206" s="9"/>
      <c r="BX206" s="9"/>
      <c r="BY206" s="9"/>
      <c r="BZ206" s="9">
        <f t="shared" si="577"/>
        <v>43.8</v>
      </c>
      <c r="CA206" s="9">
        <f t="shared" si="578"/>
        <v>134.5</v>
      </c>
      <c r="CB206" s="9">
        <f t="shared" si="403"/>
        <v>1.3887073091970812</v>
      </c>
      <c r="CC206" s="9">
        <v>0</v>
      </c>
      <c r="CD206" s="9">
        <f t="shared" si="518"/>
        <v>0</v>
      </c>
      <c r="CE206" s="9">
        <f t="shared" si="404"/>
        <v>0</v>
      </c>
      <c r="CF206" s="9">
        <f t="shared" si="579"/>
        <v>0.93036607665491811</v>
      </c>
      <c r="CG206" s="9">
        <f t="shared" si="580"/>
        <v>0.80099999999999993</v>
      </c>
      <c r="CH206" s="9">
        <f t="shared" si="405"/>
        <v>2.9727542082721463</v>
      </c>
      <c r="CI206" s="9">
        <f t="shared" si="406"/>
        <v>4.1282854974739118</v>
      </c>
      <c r="CJ206" s="9">
        <v>1</v>
      </c>
      <c r="CK206" s="9">
        <f t="shared" si="407"/>
        <v>313.74969780801729</v>
      </c>
      <c r="CM206" s="4">
        <f t="shared" si="477"/>
        <v>3.0236147192488074</v>
      </c>
      <c r="CN206" s="4">
        <f t="shared" si="478"/>
        <v>0.66294257619842423</v>
      </c>
      <c r="CO206" s="4">
        <f t="shared" si="479"/>
        <v>1.3471967560005826</v>
      </c>
      <c r="CP206" s="4">
        <f t="shared" si="480"/>
        <v>2.3123528247792344</v>
      </c>
      <c r="CQ206" s="44">
        <f t="shared" si="481"/>
        <v>1.0122350649057119</v>
      </c>
      <c r="CR206" s="4">
        <f t="shared" si="482"/>
        <v>1.0396608877230671</v>
      </c>
      <c r="CS206" s="4">
        <f t="shared" si="483"/>
        <v>3.7678109166826239</v>
      </c>
      <c r="CU206" s="4">
        <f t="shared" si="593"/>
        <v>3.0236147192488074</v>
      </c>
      <c r="CV206" s="4">
        <f t="shared" si="593"/>
        <v>0.66294257619842423</v>
      </c>
      <c r="CW206" s="4">
        <f t="shared" si="562"/>
        <v>2.3123528247792344</v>
      </c>
      <c r="CX206" s="4">
        <f t="shared" si="589"/>
        <v>3.7678109166826239</v>
      </c>
      <c r="CY206" s="4">
        <f t="shared" si="594"/>
        <v>1.0122350649057119</v>
      </c>
      <c r="CZ206" s="4">
        <f t="shared" si="594"/>
        <v>1.0396608877230671</v>
      </c>
      <c r="DH206" s="4">
        <f t="shared" si="557"/>
        <v>0</v>
      </c>
      <c r="DI206" s="4">
        <f t="shared" si="453"/>
        <v>127.2</v>
      </c>
      <c r="DL206" s="4">
        <f t="shared" si="485"/>
        <v>1.3307058507295954E-5</v>
      </c>
      <c r="DM206" s="4">
        <f t="shared" si="558"/>
        <v>11.596152843353764</v>
      </c>
      <c r="DN206" s="4">
        <f t="shared" si="486"/>
        <v>0.30738055417156512</v>
      </c>
      <c r="DO206" s="4">
        <f t="shared" si="487"/>
        <v>7.2340996459405771</v>
      </c>
      <c r="DP206" s="4">
        <f t="shared" si="488"/>
        <v>9.6657193846819744</v>
      </c>
      <c r="DQ206" s="4">
        <f t="shared" si="489"/>
        <v>11.309436008935599</v>
      </c>
      <c r="DR206" s="38">
        <f t="shared" si="513"/>
        <v>716.73075272054439</v>
      </c>
      <c r="DS206" s="4">
        <f t="shared" si="411"/>
        <v>1.0000673124475594</v>
      </c>
      <c r="DT206" s="4">
        <f t="shared" si="490"/>
        <v>2.2360679774997898</v>
      </c>
      <c r="DU206" s="4">
        <f t="shared" si="441"/>
        <v>577.25344419364239</v>
      </c>
      <c r="DY206" s="4">
        <f t="shared" si="581"/>
        <v>0.85</v>
      </c>
      <c r="DZ206" s="4">
        <f t="shared" si="412"/>
        <v>0.95</v>
      </c>
      <c r="EA206" s="4">
        <f t="shared" si="514"/>
        <v>1</v>
      </c>
      <c r="EB206" s="4">
        <f t="shared" si="414"/>
        <v>0.95</v>
      </c>
      <c r="ED206" s="4">
        <f t="shared" si="515"/>
        <v>697.82369286671712</v>
      </c>
      <c r="EE206" s="25">
        <f t="shared" si="573"/>
        <v>558.66985874647196</v>
      </c>
      <c r="EH206" s="4">
        <f t="shared" si="517"/>
        <v>11.596152843353764</v>
      </c>
      <c r="EK206" s="4">
        <f t="shared" si="491"/>
        <v>71.106961684493314</v>
      </c>
      <c r="EL206" s="4">
        <f t="shared" si="492"/>
        <v>2.2360679774997898</v>
      </c>
      <c r="EM206" s="4">
        <f t="shared" si="493"/>
        <v>0.19156502921061311</v>
      </c>
      <c r="EP206" s="4">
        <f t="shared" si="541"/>
        <v>0.19156502921061311</v>
      </c>
      <c r="EQ206" s="4">
        <f t="shared" si="542"/>
        <v>0.30686759331460051</v>
      </c>
      <c r="ER206" s="4">
        <f t="shared" si="559"/>
        <v>7.2292682805809623</v>
      </c>
      <c r="ES206" s="4">
        <f t="shared" si="582"/>
        <v>9.6639180482033353</v>
      </c>
      <c r="ET206" s="4">
        <f t="shared" si="560"/>
        <v>24.293038315506692</v>
      </c>
      <c r="EU206" s="4">
        <f t="shared" si="561"/>
        <v>31.799999999999997</v>
      </c>
      <c r="EV206" s="4">
        <f t="shared" si="415"/>
        <v>1.330705850729595E-5</v>
      </c>
      <c r="EW206" s="4">
        <f t="shared" si="583"/>
        <v>11.309554955437452</v>
      </c>
      <c r="EX206" s="4">
        <f t="shared" si="466"/>
        <v>716.68251106660148</v>
      </c>
      <c r="FG206" s="23">
        <f t="shared" si="563"/>
        <v>2.2000000000000002</v>
      </c>
      <c r="FH206" s="23">
        <f t="shared" si="563"/>
        <v>0.8</v>
      </c>
      <c r="FI206" s="23">
        <f t="shared" si="495"/>
        <v>2.2000000000000002</v>
      </c>
      <c r="FJ206" s="23">
        <f t="shared" si="564"/>
        <v>2.2000000000000002</v>
      </c>
      <c r="FK206" s="23">
        <f t="shared" si="564"/>
        <v>1.2</v>
      </c>
      <c r="FL206" s="23">
        <f t="shared" si="564"/>
        <v>1.2</v>
      </c>
      <c r="FM206" s="23">
        <f t="shared" si="497"/>
        <v>0</v>
      </c>
      <c r="FN206" s="23"/>
      <c r="FX206" s="4">
        <f t="shared" si="416"/>
        <v>1.25</v>
      </c>
      <c r="FY206" s="4">
        <f t="shared" si="469"/>
        <v>0.5</v>
      </c>
      <c r="FZ206" s="4">
        <f t="shared" si="417"/>
        <v>0</v>
      </c>
      <c r="GA206" s="4">
        <f t="shared" si="418"/>
        <v>192.55212537012548</v>
      </c>
    </row>
    <row r="207" spans="1:183" ht="12" hidden="1" customHeight="1" x14ac:dyDescent="0.3">
      <c r="A207" s="25">
        <v>189</v>
      </c>
      <c r="B207" s="24" t="s">
        <v>128</v>
      </c>
      <c r="C207" s="24">
        <v>2017</v>
      </c>
      <c r="D207" s="24" t="s">
        <v>309</v>
      </c>
      <c r="E207" s="24"/>
      <c r="F207" s="4" t="s">
        <v>321</v>
      </c>
      <c r="G207" s="7">
        <v>649</v>
      </c>
      <c r="H207" s="7">
        <f t="shared" si="565"/>
        <v>127.2</v>
      </c>
      <c r="I207" s="7">
        <f t="shared" si="455"/>
        <v>127.2</v>
      </c>
      <c r="J207" s="7">
        <v>129.9</v>
      </c>
      <c r="K207" s="7">
        <v>31.8</v>
      </c>
      <c r="L207" s="7">
        <f t="shared" si="498"/>
        <v>4</v>
      </c>
      <c r="M207" s="7">
        <f t="shared" si="499"/>
        <v>4</v>
      </c>
      <c r="N207" s="7">
        <v>428</v>
      </c>
      <c r="O207" s="7">
        <f t="shared" si="595"/>
        <v>47.7</v>
      </c>
      <c r="P207" s="7">
        <f t="shared" si="592"/>
        <v>43.8</v>
      </c>
      <c r="Q207" s="7">
        <f t="shared" si="567"/>
        <v>269</v>
      </c>
      <c r="R207" s="7">
        <v>2</v>
      </c>
      <c r="S207" s="7">
        <f t="shared" si="568"/>
        <v>84.8</v>
      </c>
      <c r="T207" s="7">
        <f t="shared" si="475"/>
        <v>2</v>
      </c>
      <c r="U207" s="7">
        <f t="shared" si="459"/>
        <v>2</v>
      </c>
      <c r="V207" s="7">
        <f t="shared" si="472"/>
        <v>4</v>
      </c>
      <c r="W207" s="7">
        <f t="shared" si="472"/>
        <v>4</v>
      </c>
      <c r="X207" s="7">
        <f t="shared" si="431"/>
        <v>5</v>
      </c>
      <c r="Y207" s="7">
        <f t="shared" si="552"/>
        <v>71.106961684493314</v>
      </c>
      <c r="Z207" s="7">
        <f t="shared" si="461"/>
        <v>649</v>
      </c>
      <c r="AA207" s="7">
        <v>11</v>
      </c>
      <c r="AB207" s="7">
        <f>(728+714)/2</f>
        <v>721</v>
      </c>
      <c r="AC207" s="7"/>
      <c r="AD207" s="4">
        <f t="shared" si="476"/>
        <v>1.0059565565775579</v>
      </c>
      <c r="AE207" s="7"/>
      <c r="AF207" s="7"/>
      <c r="AG207" s="7">
        <v>1</v>
      </c>
      <c r="AH207" s="7"/>
      <c r="AI207" s="7"/>
      <c r="AJ207" s="7">
        <f t="shared" si="473"/>
        <v>1.2686170212765957</v>
      </c>
      <c r="AK207" s="4">
        <f t="shared" si="569"/>
        <v>127.2</v>
      </c>
      <c r="AL207" s="4">
        <f t="shared" si="505"/>
        <v>1.1215932914046123</v>
      </c>
      <c r="AM207" s="4">
        <f t="shared" si="506"/>
        <v>102.93453939452981</v>
      </c>
      <c r="AN207" s="4">
        <f t="shared" si="507"/>
        <v>0.79999999999999993</v>
      </c>
      <c r="AO207" s="4">
        <v>1.25</v>
      </c>
      <c r="AP207" s="47">
        <f t="shared" si="574"/>
        <v>5</v>
      </c>
      <c r="AQ207" s="38">
        <f t="shared" si="509"/>
        <v>577.25344419364194</v>
      </c>
      <c r="AR207" s="38">
        <f t="shared" si="510"/>
        <v>577.25344419364194</v>
      </c>
      <c r="AS207" s="38">
        <f t="shared" si="511"/>
        <v>5.7111767066521422</v>
      </c>
      <c r="AT207" s="38">
        <f t="shared" si="450"/>
        <v>577.25344419364239</v>
      </c>
      <c r="AU207" s="38">
        <f t="shared" si="400"/>
        <v>0.99999999999999922</v>
      </c>
      <c r="AV207" s="38">
        <f t="shared" si="537"/>
        <v>1.8002491114654926</v>
      </c>
      <c r="AW207" s="4">
        <f t="shared" si="529"/>
        <v>0</v>
      </c>
      <c r="AX207" s="4">
        <f t="shared" si="570"/>
        <v>239.94459194200661</v>
      </c>
      <c r="AY207" s="4">
        <f t="shared" si="571"/>
        <v>1</v>
      </c>
      <c r="AZ207" s="38">
        <f t="shared" si="438"/>
        <v>1039.2</v>
      </c>
      <c r="BA207" s="4">
        <f t="shared" si="572"/>
        <v>0.44000000000000006</v>
      </c>
      <c r="BB207" s="4">
        <f t="shared" si="401"/>
        <v>55.163261687467333</v>
      </c>
      <c r="BC207" s="4">
        <f t="shared" si="402"/>
        <v>1094.3632616874675</v>
      </c>
      <c r="BE207" s="4">
        <f t="shared" si="451"/>
        <v>1.125</v>
      </c>
      <c r="BF207" s="4">
        <f t="shared" si="452"/>
        <v>538.5256435398411</v>
      </c>
      <c r="BH207" s="4">
        <f t="shared" si="463"/>
        <v>996.71988587880821</v>
      </c>
      <c r="BI207" s="4">
        <f t="shared" si="464"/>
        <v>711.96329095823319</v>
      </c>
      <c r="BJ207" s="4">
        <f t="shared" si="465"/>
        <v>0.71430629713030647</v>
      </c>
      <c r="BR207" s="4">
        <f t="shared" si="539"/>
        <v>47.7</v>
      </c>
      <c r="BV207" s="9"/>
      <c r="BX207" s="9"/>
      <c r="BY207" s="9"/>
      <c r="BZ207" s="9">
        <f t="shared" si="577"/>
        <v>43.8</v>
      </c>
      <c r="CA207" s="9">
        <f t="shared" si="578"/>
        <v>134.5</v>
      </c>
      <c r="CB207" s="9">
        <f t="shared" si="403"/>
        <v>1.3887073091970812</v>
      </c>
      <c r="CC207" s="9">
        <v>0</v>
      </c>
      <c r="CD207" s="9">
        <f t="shared" si="518"/>
        <v>0</v>
      </c>
      <c r="CE207" s="9">
        <f t="shared" si="404"/>
        <v>0</v>
      </c>
      <c r="CF207" s="9">
        <f t="shared" si="579"/>
        <v>0.93036607665491811</v>
      </c>
      <c r="CG207" s="9">
        <f t="shared" si="580"/>
        <v>0.80099999999999993</v>
      </c>
      <c r="CH207" s="9">
        <f t="shared" si="405"/>
        <v>2.9727542082721463</v>
      </c>
      <c r="CI207" s="9">
        <f t="shared" si="406"/>
        <v>4.1282854974739118</v>
      </c>
      <c r="CJ207" s="9">
        <v>1</v>
      </c>
      <c r="CK207" s="9">
        <f t="shared" si="407"/>
        <v>313.74969780801729</v>
      </c>
      <c r="CM207" s="4">
        <f t="shared" si="477"/>
        <v>3.0048603894946799</v>
      </c>
      <c r="CN207" s="4">
        <f t="shared" si="478"/>
        <v>0.65883059605660077</v>
      </c>
      <c r="CO207" s="4">
        <f t="shared" si="479"/>
        <v>1.3388406079619848</v>
      </c>
      <c r="CP207" s="4">
        <f t="shared" si="480"/>
        <v>2.2980101814828782</v>
      </c>
      <c r="CQ207" s="44">
        <f t="shared" si="481"/>
        <v>1.0059565565775579</v>
      </c>
      <c r="CR207" s="4">
        <f t="shared" si="482"/>
        <v>1.0332122674684099</v>
      </c>
      <c r="CS207" s="4">
        <f t="shared" si="483"/>
        <v>3.7444406215412429</v>
      </c>
      <c r="CU207" s="4">
        <f t="shared" si="593"/>
        <v>3.0048603894946799</v>
      </c>
      <c r="CV207" s="4">
        <f t="shared" si="593"/>
        <v>0.65883059605660077</v>
      </c>
      <c r="CW207" s="4">
        <f t="shared" si="562"/>
        <v>2.2980101814828782</v>
      </c>
      <c r="CX207" s="4">
        <f t="shared" si="589"/>
        <v>3.7444406215412429</v>
      </c>
      <c r="CY207" s="4">
        <f t="shared" si="594"/>
        <v>1.0059565565775579</v>
      </c>
      <c r="CZ207" s="4">
        <f t="shared" si="594"/>
        <v>1.0332122674684099</v>
      </c>
      <c r="DH207" s="4">
        <f t="shared" si="557"/>
        <v>0</v>
      </c>
      <c r="DI207" s="4">
        <f t="shared" si="453"/>
        <v>127.2</v>
      </c>
      <c r="DL207" s="4">
        <f t="shared" si="485"/>
        <v>1.3307058507295954E-5</v>
      </c>
      <c r="DM207" s="4">
        <f t="shared" si="558"/>
        <v>11.596152843353764</v>
      </c>
      <c r="DN207" s="4">
        <f t="shared" si="486"/>
        <v>0.30738055417156512</v>
      </c>
      <c r="DO207" s="4">
        <f t="shared" si="487"/>
        <v>7.2340996459405771</v>
      </c>
      <c r="DP207" s="4">
        <f t="shared" si="488"/>
        <v>9.6657193846819744</v>
      </c>
      <c r="DQ207" s="4">
        <f t="shared" si="489"/>
        <v>11.309436008935599</v>
      </c>
      <c r="DR207" s="38">
        <f t="shared" si="513"/>
        <v>716.73075272054439</v>
      </c>
      <c r="DS207" s="4">
        <f t="shared" si="411"/>
        <v>1.0000673124475594</v>
      </c>
      <c r="DT207" s="4">
        <f t="shared" si="490"/>
        <v>2.2360679774997898</v>
      </c>
      <c r="DU207" s="4">
        <f t="shared" si="441"/>
        <v>577.25344419364239</v>
      </c>
      <c r="DY207" s="4">
        <f t="shared" si="581"/>
        <v>0.85</v>
      </c>
      <c r="DZ207" s="4">
        <f t="shared" si="412"/>
        <v>0.95</v>
      </c>
      <c r="EA207" s="4">
        <f t="shared" si="514"/>
        <v>1</v>
      </c>
      <c r="EB207" s="4">
        <f t="shared" si="414"/>
        <v>0.95</v>
      </c>
      <c r="ED207" s="4">
        <f t="shared" si="515"/>
        <v>697.82369286671712</v>
      </c>
      <c r="EE207" s="25">
        <f t="shared" si="573"/>
        <v>558.66985874647196</v>
      </c>
      <c r="EH207" s="4">
        <f t="shared" si="517"/>
        <v>11.596152843353764</v>
      </c>
      <c r="EK207" s="4">
        <f t="shared" si="491"/>
        <v>71.106961684493314</v>
      </c>
      <c r="EL207" s="4">
        <f t="shared" si="492"/>
        <v>2.2360679774997898</v>
      </c>
      <c r="EM207" s="4">
        <f t="shared" si="493"/>
        <v>0.19156502921061311</v>
      </c>
      <c r="EP207" s="4">
        <f t="shared" si="541"/>
        <v>0.19156502921061311</v>
      </c>
      <c r="EQ207" s="4">
        <f t="shared" si="542"/>
        <v>0.30686759331460051</v>
      </c>
      <c r="ER207" s="4">
        <f t="shared" si="559"/>
        <v>7.2292682805809623</v>
      </c>
      <c r="ES207" s="4">
        <f t="shared" si="582"/>
        <v>9.6639180482033353</v>
      </c>
      <c r="ET207" s="4">
        <f t="shared" si="560"/>
        <v>24.293038315506692</v>
      </c>
      <c r="EU207" s="4">
        <f t="shared" si="561"/>
        <v>31.799999999999997</v>
      </c>
      <c r="EV207" s="4">
        <f t="shared" si="415"/>
        <v>1.330705850729595E-5</v>
      </c>
      <c r="EW207" s="4">
        <f t="shared" si="583"/>
        <v>11.309554955437452</v>
      </c>
      <c r="EX207" s="4">
        <f t="shared" si="466"/>
        <v>716.68251106660148</v>
      </c>
      <c r="FG207" s="23">
        <f t="shared" si="563"/>
        <v>2.2000000000000002</v>
      </c>
      <c r="FH207" s="23">
        <f t="shared" si="563"/>
        <v>0.8</v>
      </c>
      <c r="FI207" s="23">
        <f t="shared" si="495"/>
        <v>2.2000000000000002</v>
      </c>
      <c r="FJ207" s="23">
        <f t="shared" si="564"/>
        <v>2.2000000000000002</v>
      </c>
      <c r="FK207" s="23">
        <f t="shared" si="564"/>
        <v>1.2</v>
      </c>
      <c r="FL207" s="23">
        <f t="shared" si="564"/>
        <v>1.2</v>
      </c>
      <c r="FM207" s="23">
        <f t="shared" si="497"/>
        <v>0</v>
      </c>
      <c r="FN207" s="23"/>
      <c r="FX207" s="4">
        <f t="shared" si="416"/>
        <v>1.25</v>
      </c>
      <c r="FY207" s="4">
        <f t="shared" si="469"/>
        <v>0.5</v>
      </c>
      <c r="FZ207" s="4">
        <f t="shared" si="417"/>
        <v>0</v>
      </c>
      <c r="GA207" s="4">
        <f t="shared" si="418"/>
        <v>192.55212537012548</v>
      </c>
    </row>
    <row r="208" spans="1:183" ht="12" hidden="1" customHeight="1" x14ac:dyDescent="0.3">
      <c r="A208" s="25">
        <v>190</v>
      </c>
      <c r="B208" s="24" t="s">
        <v>128</v>
      </c>
      <c r="C208" s="24">
        <v>2017</v>
      </c>
      <c r="D208" s="24" t="s">
        <v>309</v>
      </c>
      <c r="E208" s="24"/>
      <c r="F208" s="4" t="s">
        <v>322</v>
      </c>
      <c r="G208" s="7">
        <v>649</v>
      </c>
      <c r="H208" s="7">
        <f t="shared" si="565"/>
        <v>127.2</v>
      </c>
      <c r="I208" s="7">
        <f t="shared" si="455"/>
        <v>127.2</v>
      </c>
      <c r="J208" s="7">
        <v>129.9</v>
      </c>
      <c r="K208" s="7">
        <v>31.8</v>
      </c>
      <c r="L208" s="7">
        <f t="shared" si="498"/>
        <v>4</v>
      </c>
      <c r="M208" s="7">
        <f t="shared" si="499"/>
        <v>4</v>
      </c>
      <c r="N208" s="7">
        <v>396</v>
      </c>
      <c r="O208" s="7">
        <f t="shared" si="566"/>
        <v>31.8</v>
      </c>
      <c r="P208" s="7">
        <f t="shared" si="592"/>
        <v>43.8</v>
      </c>
      <c r="Q208" s="7">
        <f t="shared" si="567"/>
        <v>268.79999999999995</v>
      </c>
      <c r="R208" s="7">
        <v>2</v>
      </c>
      <c r="S208" s="7">
        <f t="shared" si="568"/>
        <v>84.8</v>
      </c>
      <c r="T208" s="7">
        <f t="shared" si="475"/>
        <v>1.5</v>
      </c>
      <c r="U208" s="7">
        <f t="shared" si="459"/>
        <v>1.5</v>
      </c>
      <c r="V208" s="7">
        <f t="shared" si="472"/>
        <v>4</v>
      </c>
      <c r="W208" s="7">
        <f t="shared" si="472"/>
        <v>4</v>
      </c>
      <c r="X208" s="7">
        <f t="shared" si="431"/>
        <v>5</v>
      </c>
      <c r="Y208" s="7">
        <f t="shared" si="552"/>
        <v>71.106961684493314</v>
      </c>
      <c r="Z208" s="7">
        <f t="shared" si="461"/>
        <v>649</v>
      </c>
      <c r="AA208" s="7">
        <v>11</v>
      </c>
      <c r="AB208" s="7">
        <f>(738+710)/2</f>
        <v>724</v>
      </c>
      <c r="AC208" s="7"/>
      <c r="AD208" s="4">
        <f t="shared" si="476"/>
        <v>1.0904414032234904</v>
      </c>
      <c r="AE208" s="7">
        <v>12.7</v>
      </c>
      <c r="AF208" s="7">
        <v>2</v>
      </c>
      <c r="AG208" s="7">
        <v>64</v>
      </c>
      <c r="AH208" s="7">
        <v>4</v>
      </c>
      <c r="AI208" s="7">
        <f t="shared" ref="AI208:AI209" si="596">AF208</f>
        <v>2</v>
      </c>
      <c r="AJ208" s="7">
        <f t="shared" si="473"/>
        <v>1.2694610778443116</v>
      </c>
      <c r="AK208" s="4">
        <f t="shared" si="569"/>
        <v>127.2</v>
      </c>
      <c r="AL208" s="4">
        <f t="shared" si="505"/>
        <v>1.0377358490566038</v>
      </c>
      <c r="AM208" s="4">
        <f t="shared" si="506"/>
        <v>102.93453939452981</v>
      </c>
      <c r="AN208" s="4">
        <f t="shared" si="507"/>
        <v>0.77499999999999991</v>
      </c>
      <c r="AO208" s="4">
        <v>1.25</v>
      </c>
      <c r="AP208" s="47">
        <f t="shared" si="574"/>
        <v>5</v>
      </c>
      <c r="AQ208" s="38">
        <f t="shared" si="509"/>
        <v>517.40386104856509</v>
      </c>
      <c r="AR208" s="38">
        <f t="shared" si="510"/>
        <v>517.40386104856509</v>
      </c>
      <c r="AS208" s="38">
        <f t="shared" si="511"/>
        <v>5.7111767066521422</v>
      </c>
      <c r="AT208" s="38">
        <f t="shared" si="450"/>
        <v>517.40386104856543</v>
      </c>
      <c r="AU208" s="38">
        <f t="shared" si="400"/>
        <v>0.99999999999999933</v>
      </c>
      <c r="AV208" s="38">
        <f t="shared" si="537"/>
        <v>1.5063668029466883</v>
      </c>
      <c r="AW208" s="4">
        <f t="shared" si="529"/>
        <v>0</v>
      </c>
      <c r="AX208" s="4">
        <f t="shared" si="570"/>
        <v>239.94459194200661</v>
      </c>
      <c r="AY208" s="4">
        <f t="shared" si="571"/>
        <v>1</v>
      </c>
      <c r="AZ208" s="38">
        <f t="shared" si="438"/>
        <v>779.40000000000009</v>
      </c>
      <c r="BA208" s="4">
        <f t="shared" si="572"/>
        <v>0.44000000000000006</v>
      </c>
      <c r="BB208" s="4">
        <f t="shared" si="401"/>
        <v>55.163261687467333</v>
      </c>
      <c r="BC208" s="4">
        <f t="shared" si="402"/>
        <v>834.56326168746739</v>
      </c>
      <c r="BE208" s="4">
        <f t="shared" si="451"/>
        <v>1.4</v>
      </c>
      <c r="BF208" s="4">
        <f t="shared" si="452"/>
        <v>670.16524529402443</v>
      </c>
      <c r="BH208" s="4">
        <f t="shared" si="463"/>
        <v>747.53991440910613</v>
      </c>
      <c r="BI208" s="4">
        <f t="shared" si="464"/>
        <v>711.96329095823319</v>
      </c>
      <c r="BJ208" s="4">
        <f t="shared" si="465"/>
        <v>0.95240839617374207</v>
      </c>
      <c r="BR208" s="4">
        <f t="shared" si="539"/>
        <v>31.8</v>
      </c>
      <c r="BV208" s="9"/>
      <c r="BX208" s="9"/>
      <c r="BY208" s="9"/>
      <c r="BZ208" s="9">
        <f t="shared" si="577"/>
        <v>31.8</v>
      </c>
      <c r="CA208" s="9">
        <f t="shared" si="578"/>
        <v>134.39999999999998</v>
      </c>
      <c r="CB208" s="9">
        <f t="shared" si="403"/>
        <v>1.2413544982455165</v>
      </c>
      <c r="CC208" s="9">
        <v>20</v>
      </c>
      <c r="CD208" s="9">
        <f t="shared" si="518"/>
        <v>0.05</v>
      </c>
      <c r="CE208" s="9">
        <f t="shared" si="404"/>
        <v>0.8</v>
      </c>
      <c r="CF208" s="9">
        <f t="shared" si="579"/>
        <v>0.93036607665491811</v>
      </c>
      <c r="CG208" s="9">
        <f t="shared" si="580"/>
        <v>0.80099999999999993</v>
      </c>
      <c r="CH208" s="9">
        <f t="shared" si="405"/>
        <v>2.9727542082721463</v>
      </c>
      <c r="CI208" s="9">
        <f t="shared" si="406"/>
        <v>6.0684451752346353</v>
      </c>
      <c r="CJ208" s="9">
        <v>1</v>
      </c>
      <c r="CK208" s="9">
        <f t="shared" si="407"/>
        <v>461.20183331783232</v>
      </c>
      <c r="CM208" s="4">
        <f t="shared" si="477"/>
        <v>3.0173632759974316</v>
      </c>
      <c r="CN208" s="4">
        <f t="shared" si="478"/>
        <v>0.86751961563235958</v>
      </c>
      <c r="CO208" s="4">
        <f t="shared" si="479"/>
        <v>1.0803305678472723</v>
      </c>
      <c r="CP208" s="4">
        <f t="shared" si="480"/>
        <v>1.5698116262713619</v>
      </c>
      <c r="CQ208" s="44">
        <f t="shared" si="481"/>
        <v>1.0904414032234904</v>
      </c>
      <c r="CR208" s="4">
        <f t="shared" si="482"/>
        <v>1.1141268495754608</v>
      </c>
      <c r="CS208" s="4">
        <f t="shared" si="483"/>
        <v>3.0790396611328834</v>
      </c>
      <c r="DA208" s="4">
        <f t="shared" si="585"/>
        <v>3.0173632759974316</v>
      </c>
      <c r="DB208" s="4">
        <f t="shared" si="585"/>
        <v>0.86751961563235958</v>
      </c>
      <c r="DC208" s="4">
        <f t="shared" si="586"/>
        <v>1.5698116262713619</v>
      </c>
      <c r="DD208" s="4">
        <f t="shared" ref="DD208:DD209" si="597">CS208</f>
        <v>3.0790396611328834</v>
      </c>
      <c r="DE208" s="4">
        <f t="shared" si="588"/>
        <v>1.0904414032234904</v>
      </c>
      <c r="DF208" s="4">
        <f t="shared" si="588"/>
        <v>1.1141268495754608</v>
      </c>
      <c r="DH208" s="4">
        <f t="shared" si="557"/>
        <v>2</v>
      </c>
      <c r="DI208" s="4">
        <f t="shared" si="453"/>
        <v>127.2</v>
      </c>
      <c r="DL208" s="4">
        <f t="shared" si="485"/>
        <v>1.3307058507295954E-5</v>
      </c>
      <c r="DM208" s="4">
        <f t="shared" si="558"/>
        <v>12.467523847691927</v>
      </c>
      <c r="DN208" s="4">
        <f t="shared" si="486"/>
        <v>0.2755113670422118</v>
      </c>
      <c r="DO208" s="4">
        <f t="shared" si="487"/>
        <v>7.4445082625647387</v>
      </c>
      <c r="DP208" s="4">
        <f t="shared" si="488"/>
        <v>10.269782738037188</v>
      </c>
      <c r="DQ208" s="4">
        <f t="shared" si="489"/>
        <v>12.145020230488436</v>
      </c>
      <c r="DR208" s="38">
        <f t="shared" si="513"/>
        <v>663.95131169795957</v>
      </c>
      <c r="DS208" s="4">
        <f t="shared" si="411"/>
        <v>1.000074447522397</v>
      </c>
      <c r="DT208" s="4">
        <f t="shared" si="490"/>
        <v>2.2360679774997898</v>
      </c>
      <c r="DU208" s="4">
        <f t="shared" si="441"/>
        <v>517.40386104856543</v>
      </c>
      <c r="DY208" s="4">
        <f t="shared" si="581"/>
        <v>0.85</v>
      </c>
      <c r="DZ208" s="4">
        <f t="shared" si="412"/>
        <v>1</v>
      </c>
      <c r="EA208" s="4">
        <f t="shared" si="514"/>
        <v>0.88360329892013767</v>
      </c>
      <c r="EB208" s="4">
        <f t="shared" si="414"/>
        <v>0.88360329892013767</v>
      </c>
      <c r="ED208" s="4">
        <f t="shared" si="515"/>
        <v>649.83623747680167</v>
      </c>
      <c r="EE208" s="25">
        <f t="shared" si="573"/>
        <v>500.22595130449861</v>
      </c>
      <c r="EH208" s="4">
        <f t="shared" si="517"/>
        <v>12.467523847691927</v>
      </c>
      <c r="EK208" s="4">
        <f t="shared" si="491"/>
        <v>71.106961684493314</v>
      </c>
      <c r="EL208" s="4">
        <f t="shared" si="492"/>
        <v>2.2360679774997898</v>
      </c>
      <c r="EM208" s="4">
        <f t="shared" si="493"/>
        <v>0.17170358488533044</v>
      </c>
      <c r="EP208" s="4">
        <f t="shared" si="541"/>
        <v>0.17170358488533044</v>
      </c>
      <c r="EQ208" s="4">
        <f t="shared" si="542"/>
        <v>0.27505158991895695</v>
      </c>
      <c r="ER208" s="4">
        <f t="shared" si="559"/>
        <v>7.43953637371893</v>
      </c>
      <c r="ES208" s="4">
        <f t="shared" si="582"/>
        <v>10.267989314750604</v>
      </c>
      <c r="ET208" s="4">
        <f t="shared" si="560"/>
        <v>24.293038315506692</v>
      </c>
      <c r="EU208" s="4">
        <f t="shared" si="561"/>
        <v>31.799999999999997</v>
      </c>
      <c r="EV208" s="4">
        <f t="shared" si="415"/>
        <v>1.330705850729595E-5</v>
      </c>
      <c r="EW208" s="4">
        <f t="shared" si="583"/>
        <v>12.145151302773725</v>
      </c>
      <c r="EX208" s="4">
        <f t="shared" si="466"/>
        <v>663.90188584744351</v>
      </c>
      <c r="FG208" s="23">
        <f t="shared" si="563"/>
        <v>2.2000000000000002</v>
      </c>
      <c r="FH208" s="23">
        <f t="shared" si="563"/>
        <v>1</v>
      </c>
      <c r="FI208" s="23">
        <f t="shared" si="495"/>
        <v>2.2000000000000002</v>
      </c>
      <c r="FJ208" s="23">
        <f t="shared" si="564"/>
        <v>1.6</v>
      </c>
      <c r="FK208" s="23">
        <f t="shared" si="564"/>
        <v>1.2</v>
      </c>
      <c r="FL208" s="23">
        <f t="shared" si="564"/>
        <v>1.2</v>
      </c>
      <c r="FM208" s="23">
        <f t="shared" si="497"/>
        <v>0</v>
      </c>
      <c r="FN208" s="23"/>
      <c r="FX208" s="4">
        <f t="shared" si="416"/>
        <v>1.25</v>
      </c>
      <c r="FY208" s="4">
        <f t="shared" si="469"/>
        <v>0.40944449644340308</v>
      </c>
      <c r="FZ208" s="4">
        <f t="shared" si="417"/>
        <v>0.3</v>
      </c>
      <c r="GA208" s="4">
        <f t="shared" si="418"/>
        <v>235.13825077966541</v>
      </c>
    </row>
    <row r="209" spans="1:183" ht="12" hidden="1" customHeight="1" x14ac:dyDescent="0.3">
      <c r="A209" s="25">
        <v>191</v>
      </c>
      <c r="B209" s="24" t="s">
        <v>128</v>
      </c>
      <c r="C209" s="24">
        <v>2017</v>
      </c>
      <c r="D209" s="24" t="s">
        <v>309</v>
      </c>
      <c r="E209" s="24"/>
      <c r="F209" s="4" t="s">
        <v>323</v>
      </c>
      <c r="G209" s="7">
        <v>649</v>
      </c>
      <c r="H209" s="7">
        <f t="shared" si="565"/>
        <v>127.2</v>
      </c>
      <c r="I209" s="7">
        <f t="shared" si="455"/>
        <v>127.2</v>
      </c>
      <c r="J209" s="7">
        <v>129.9</v>
      </c>
      <c r="K209" s="7">
        <v>31.8</v>
      </c>
      <c r="L209" s="7">
        <f t="shared" si="498"/>
        <v>4</v>
      </c>
      <c r="M209" s="7">
        <f t="shared" si="499"/>
        <v>4</v>
      </c>
      <c r="N209" s="7">
        <v>396</v>
      </c>
      <c r="O209" s="7">
        <f t="shared" si="566"/>
        <v>31.8</v>
      </c>
      <c r="P209" s="7">
        <f t="shared" si="592"/>
        <v>43.8</v>
      </c>
      <c r="Q209" s="7">
        <f t="shared" si="567"/>
        <v>268.79999999999995</v>
      </c>
      <c r="R209" s="7">
        <v>2</v>
      </c>
      <c r="S209" s="7">
        <f t="shared" si="568"/>
        <v>84.8</v>
      </c>
      <c r="T209" s="7">
        <f t="shared" si="475"/>
        <v>1.5</v>
      </c>
      <c r="U209" s="7">
        <f t="shared" si="459"/>
        <v>1.5</v>
      </c>
      <c r="V209" s="7">
        <f t="shared" si="472"/>
        <v>4</v>
      </c>
      <c r="W209" s="7">
        <f t="shared" si="472"/>
        <v>4</v>
      </c>
      <c r="X209" s="7">
        <f t="shared" si="431"/>
        <v>5</v>
      </c>
      <c r="Y209" s="7">
        <f t="shared" si="552"/>
        <v>71.106961684493314</v>
      </c>
      <c r="Z209" s="7">
        <f t="shared" si="461"/>
        <v>649</v>
      </c>
      <c r="AA209" s="7">
        <v>11</v>
      </c>
      <c r="AB209" s="7">
        <f>(732+713)/2</f>
        <v>722.5</v>
      </c>
      <c r="AC209" s="7"/>
      <c r="AD209" s="4">
        <f t="shared" si="476"/>
        <v>1.0881822014212317</v>
      </c>
      <c r="AE209" s="7">
        <v>12.7</v>
      </c>
      <c r="AF209" s="7">
        <v>2</v>
      </c>
      <c r="AG209" s="7">
        <v>64</v>
      </c>
      <c r="AH209" s="7">
        <v>4</v>
      </c>
      <c r="AI209" s="7">
        <f t="shared" si="596"/>
        <v>2</v>
      </c>
      <c r="AJ209" s="7">
        <f t="shared" si="473"/>
        <v>1.2694610778443116</v>
      </c>
      <c r="AK209" s="4">
        <f t="shared" si="569"/>
        <v>127.2</v>
      </c>
      <c r="AL209" s="4">
        <f t="shared" si="505"/>
        <v>1.0377358490566038</v>
      </c>
      <c r="AM209" s="4">
        <f t="shared" si="506"/>
        <v>102.93453939452981</v>
      </c>
      <c r="AN209" s="4">
        <f t="shared" si="507"/>
        <v>0.77499999999999991</v>
      </c>
      <c r="AO209" s="4">
        <v>1.25</v>
      </c>
      <c r="AP209" s="47">
        <f t="shared" si="574"/>
        <v>5</v>
      </c>
      <c r="AQ209" s="38">
        <f t="shared" si="509"/>
        <v>517.40386104856509</v>
      </c>
      <c r="AR209" s="38">
        <f t="shared" si="510"/>
        <v>517.40386104856509</v>
      </c>
      <c r="AS209" s="38">
        <f t="shared" si="511"/>
        <v>5.7111767066521422</v>
      </c>
      <c r="AT209" s="38">
        <f t="shared" si="450"/>
        <v>517.40386104856543</v>
      </c>
      <c r="AU209" s="38">
        <f t="shared" si="400"/>
        <v>0.99999999999999933</v>
      </c>
      <c r="AV209" s="38">
        <f t="shared" si="537"/>
        <v>1.5063668029466883</v>
      </c>
      <c r="AW209" s="4">
        <f t="shared" si="529"/>
        <v>0</v>
      </c>
      <c r="AX209" s="4">
        <f t="shared" si="570"/>
        <v>239.94459194200661</v>
      </c>
      <c r="AY209" s="4">
        <f t="shared" si="571"/>
        <v>1</v>
      </c>
      <c r="AZ209" s="38">
        <f t="shared" si="438"/>
        <v>779.40000000000009</v>
      </c>
      <c r="BA209" s="4">
        <f t="shared" si="572"/>
        <v>0.44000000000000006</v>
      </c>
      <c r="BB209" s="4">
        <f t="shared" si="401"/>
        <v>55.163261687467333</v>
      </c>
      <c r="BC209" s="4">
        <f t="shared" si="402"/>
        <v>834.56326168746739</v>
      </c>
      <c r="BE209" s="4">
        <f t="shared" si="451"/>
        <v>1.4</v>
      </c>
      <c r="BF209" s="4">
        <f t="shared" si="452"/>
        <v>670.16524529402443</v>
      </c>
      <c r="BH209" s="4">
        <f t="shared" si="463"/>
        <v>747.53991440910613</v>
      </c>
      <c r="BI209" s="4">
        <f t="shared" si="464"/>
        <v>711.96329095823319</v>
      </c>
      <c r="BJ209" s="4">
        <f t="shared" si="465"/>
        <v>0.95240839617374207</v>
      </c>
      <c r="BR209" s="4">
        <f t="shared" si="539"/>
        <v>31.8</v>
      </c>
      <c r="BV209" s="9"/>
      <c r="BX209" s="9"/>
      <c r="BY209" s="9"/>
      <c r="BZ209" s="9">
        <f t="shared" si="577"/>
        <v>31.8</v>
      </c>
      <c r="CA209" s="9">
        <f t="shared" si="578"/>
        <v>134.39999999999998</v>
      </c>
      <c r="CB209" s="9">
        <f t="shared" si="403"/>
        <v>1.2413544982455165</v>
      </c>
      <c r="CC209" s="9">
        <v>20</v>
      </c>
      <c r="CD209" s="9">
        <f t="shared" si="518"/>
        <v>0.05</v>
      </c>
      <c r="CE209" s="9">
        <f t="shared" si="404"/>
        <v>0.8</v>
      </c>
      <c r="CF209" s="9">
        <f t="shared" si="579"/>
        <v>0.93036607665491811</v>
      </c>
      <c r="CG209" s="9">
        <f t="shared" si="580"/>
        <v>0.80099999999999993</v>
      </c>
      <c r="CH209" s="9">
        <f t="shared" si="405"/>
        <v>2.9727542082721463</v>
      </c>
      <c r="CI209" s="9">
        <f t="shared" si="406"/>
        <v>6.0684451752346353</v>
      </c>
      <c r="CJ209" s="9">
        <v>1</v>
      </c>
      <c r="CK209" s="9">
        <f t="shared" si="407"/>
        <v>461.20183331783232</v>
      </c>
      <c r="CM209" s="4">
        <f t="shared" si="477"/>
        <v>3.0111118327460558</v>
      </c>
      <c r="CN209" s="4">
        <f t="shared" si="478"/>
        <v>0.86572226836240296</v>
      </c>
      <c r="CO209" s="4">
        <f t="shared" si="479"/>
        <v>1.0780923139083622</v>
      </c>
      <c r="CP209" s="4">
        <f t="shared" si="480"/>
        <v>1.5665592541174849</v>
      </c>
      <c r="CQ209" s="44">
        <f t="shared" si="481"/>
        <v>1.0881822014212317</v>
      </c>
      <c r="CR209" s="4">
        <f t="shared" si="482"/>
        <v>1.111818575715843</v>
      </c>
      <c r="CS209" s="4">
        <f t="shared" si="483"/>
        <v>3.0726604353156195</v>
      </c>
      <c r="DA209" s="4">
        <f t="shared" si="585"/>
        <v>3.0111118327460558</v>
      </c>
      <c r="DB209" s="4">
        <f t="shared" si="585"/>
        <v>0.86572226836240296</v>
      </c>
      <c r="DC209" s="4">
        <f t="shared" si="586"/>
        <v>1.5665592541174849</v>
      </c>
      <c r="DD209" s="4">
        <f t="shared" si="597"/>
        <v>3.0726604353156195</v>
      </c>
      <c r="DE209" s="4">
        <f t="shared" si="588"/>
        <v>1.0881822014212317</v>
      </c>
      <c r="DF209" s="4">
        <f t="shared" si="588"/>
        <v>1.111818575715843</v>
      </c>
      <c r="DH209" s="4">
        <f t="shared" si="557"/>
        <v>2</v>
      </c>
      <c r="DI209" s="4">
        <f t="shared" si="453"/>
        <v>127.2</v>
      </c>
      <c r="DL209" s="4">
        <f t="shared" si="485"/>
        <v>1.3307058507295954E-5</v>
      </c>
      <c r="DM209" s="4">
        <f t="shared" si="558"/>
        <v>12.467523847691927</v>
      </c>
      <c r="DN209" s="4">
        <f t="shared" si="486"/>
        <v>0.2755113670422118</v>
      </c>
      <c r="DO209" s="4">
        <f t="shared" si="487"/>
        <v>7.4445082625647387</v>
      </c>
      <c r="DP209" s="4">
        <f t="shared" si="488"/>
        <v>10.269782738037188</v>
      </c>
      <c r="DQ209" s="4">
        <f t="shared" si="489"/>
        <v>12.145020230488436</v>
      </c>
      <c r="DR209" s="38">
        <f t="shared" si="513"/>
        <v>663.95131169795957</v>
      </c>
      <c r="DS209" s="4">
        <f t="shared" si="411"/>
        <v>1.000074447522397</v>
      </c>
      <c r="DT209" s="4">
        <f t="shared" si="490"/>
        <v>2.2360679774997898</v>
      </c>
      <c r="DU209" s="4">
        <f t="shared" si="441"/>
        <v>517.40386104856543</v>
      </c>
      <c r="DY209" s="4">
        <f t="shared" si="581"/>
        <v>0.85</v>
      </c>
      <c r="DZ209" s="4">
        <f t="shared" si="412"/>
        <v>1</v>
      </c>
      <c r="EA209" s="4">
        <f t="shared" si="514"/>
        <v>0.88360329892013767</v>
      </c>
      <c r="EB209" s="4">
        <f t="shared" si="414"/>
        <v>0.88360329892013767</v>
      </c>
      <c r="ED209" s="4">
        <f t="shared" si="515"/>
        <v>649.83623747680167</v>
      </c>
      <c r="EE209" s="25">
        <f t="shared" si="573"/>
        <v>500.22595130449861</v>
      </c>
      <c r="EH209" s="4">
        <f t="shared" si="517"/>
        <v>12.467523847691927</v>
      </c>
      <c r="EK209" s="4">
        <f t="shared" si="491"/>
        <v>71.106961684493314</v>
      </c>
      <c r="EL209" s="4">
        <f t="shared" si="492"/>
        <v>2.2360679774997898</v>
      </c>
      <c r="EM209" s="4">
        <f t="shared" si="493"/>
        <v>0.17170358488533044</v>
      </c>
      <c r="EP209" s="4">
        <f t="shared" si="541"/>
        <v>0.17170358488533044</v>
      </c>
      <c r="EQ209" s="4">
        <f t="shared" si="542"/>
        <v>0.27505158991895695</v>
      </c>
      <c r="ER209" s="4">
        <f t="shared" si="559"/>
        <v>7.43953637371893</v>
      </c>
      <c r="ES209" s="4">
        <f t="shared" si="582"/>
        <v>10.267989314750604</v>
      </c>
      <c r="ET209" s="4">
        <f t="shared" si="560"/>
        <v>24.293038315506692</v>
      </c>
      <c r="EU209" s="4">
        <f t="shared" si="561"/>
        <v>31.799999999999997</v>
      </c>
      <c r="EV209" s="4">
        <f t="shared" si="415"/>
        <v>1.330705850729595E-5</v>
      </c>
      <c r="EW209" s="4">
        <f t="shared" si="583"/>
        <v>12.145151302773725</v>
      </c>
      <c r="EX209" s="4">
        <f t="shared" si="466"/>
        <v>663.90188584744351</v>
      </c>
      <c r="FG209" s="23">
        <f t="shared" si="563"/>
        <v>2.2000000000000002</v>
      </c>
      <c r="FH209" s="23">
        <f t="shared" si="563"/>
        <v>1</v>
      </c>
      <c r="FI209" s="23">
        <f t="shared" si="495"/>
        <v>2.2000000000000002</v>
      </c>
      <c r="FJ209" s="23">
        <f t="shared" si="564"/>
        <v>1.6</v>
      </c>
      <c r="FK209" s="23">
        <f t="shared" si="564"/>
        <v>1.2</v>
      </c>
      <c r="FL209" s="23">
        <f t="shared" si="564"/>
        <v>1.2</v>
      </c>
      <c r="FM209" s="23">
        <f t="shared" si="497"/>
        <v>0</v>
      </c>
      <c r="FN209" s="23"/>
      <c r="FX209" s="4">
        <f t="shared" si="416"/>
        <v>1.25</v>
      </c>
      <c r="FY209" s="4">
        <f t="shared" si="469"/>
        <v>0.40944449644340308</v>
      </c>
      <c r="FZ209" s="4">
        <f t="shared" si="417"/>
        <v>0.3</v>
      </c>
      <c r="GA209" s="4">
        <f t="shared" si="418"/>
        <v>235.13825077966541</v>
      </c>
    </row>
    <row r="210" spans="1:183" ht="12" hidden="1" customHeight="1" x14ac:dyDescent="0.3">
      <c r="A210" s="25">
        <v>192</v>
      </c>
      <c r="B210" s="24" t="s">
        <v>128</v>
      </c>
      <c r="C210" s="24">
        <v>2017</v>
      </c>
      <c r="D210" s="24" t="s">
        <v>309</v>
      </c>
      <c r="E210" s="24"/>
      <c r="F210" s="4" t="s">
        <v>324</v>
      </c>
      <c r="G210" s="7">
        <v>649</v>
      </c>
      <c r="H210" s="7">
        <f>6*K210</f>
        <v>190.8</v>
      </c>
      <c r="I210" s="7">
        <f t="shared" si="455"/>
        <v>190.8</v>
      </c>
      <c r="J210" s="7">
        <v>129.9</v>
      </c>
      <c r="K210" s="7">
        <v>31.8</v>
      </c>
      <c r="L210" s="7">
        <f t="shared" si="498"/>
        <v>6</v>
      </c>
      <c r="M210" s="7">
        <f t="shared" si="499"/>
        <v>6</v>
      </c>
      <c r="N210" s="7">
        <v>396</v>
      </c>
      <c r="O210" s="7">
        <f t="shared" si="566"/>
        <v>31.8</v>
      </c>
      <c r="P210" s="7">
        <f>256-I210</f>
        <v>65.199999999999989</v>
      </c>
      <c r="Q210" s="7">
        <f t="shared" si="567"/>
        <v>268.79999999999995</v>
      </c>
      <c r="R210" s="7">
        <v>2</v>
      </c>
      <c r="S210" s="7">
        <f t="shared" si="568"/>
        <v>127.2</v>
      </c>
      <c r="T210" s="7">
        <f t="shared" si="475"/>
        <v>1.5</v>
      </c>
      <c r="U210" s="7">
        <f t="shared" si="459"/>
        <v>1.5</v>
      </c>
      <c r="V210" s="7">
        <f t="shared" si="472"/>
        <v>4</v>
      </c>
      <c r="W210" s="7">
        <f t="shared" si="472"/>
        <v>4</v>
      </c>
      <c r="X210" s="7">
        <f t="shared" si="431"/>
        <v>5</v>
      </c>
      <c r="Y210" s="7">
        <f t="shared" si="552"/>
        <v>71.106961684493314</v>
      </c>
      <c r="Z210" s="7">
        <f t="shared" si="461"/>
        <v>649</v>
      </c>
      <c r="AA210" s="7">
        <v>11</v>
      </c>
      <c r="AB210" s="7">
        <f>(723+708)/2</f>
        <v>715.5</v>
      </c>
      <c r="AC210" s="7"/>
      <c r="AD210" s="4">
        <f t="shared" si="476"/>
        <v>1</v>
      </c>
      <c r="AE210" s="7"/>
      <c r="AF210" s="7"/>
      <c r="AG210" s="7">
        <v>1</v>
      </c>
      <c r="AH210" s="7"/>
      <c r="AI210" s="7"/>
      <c r="AJ210" s="7">
        <f t="shared" si="473"/>
        <v>1.9041916167664676</v>
      </c>
      <c r="AK210" s="4">
        <f t="shared" si="569"/>
        <v>190.8</v>
      </c>
      <c r="AL210" s="4">
        <f t="shared" si="505"/>
        <v>0.69182389937106914</v>
      </c>
      <c r="AM210" s="4">
        <f t="shared" si="506"/>
        <v>189.10282381875894</v>
      </c>
      <c r="AN210" s="4">
        <f t="shared" si="507"/>
        <v>0.75</v>
      </c>
      <c r="AO210" s="4">
        <v>1.25</v>
      </c>
      <c r="AP210" s="47">
        <f t="shared" si="574"/>
        <v>5</v>
      </c>
      <c r="AQ210" s="38">
        <f t="shared" si="509"/>
        <v>613.2461857330037</v>
      </c>
      <c r="AR210" s="38">
        <f t="shared" si="510"/>
        <v>613.2461857330037</v>
      </c>
      <c r="AS210" s="38">
        <f t="shared" si="511"/>
        <v>5.7111767066521422</v>
      </c>
      <c r="AT210" s="38">
        <f t="shared" si="450"/>
        <v>613.24618573300347</v>
      </c>
      <c r="AU210" s="38">
        <f t="shared" si="400"/>
        <v>1.0000000000000004</v>
      </c>
      <c r="AV210" s="38">
        <f t="shared" si="537"/>
        <v>1.2709414557033005</v>
      </c>
      <c r="AW210" s="4">
        <f t="shared" si="529"/>
        <v>0</v>
      </c>
      <c r="AX210" s="4">
        <f t="shared" si="570"/>
        <v>359.91688791300993</v>
      </c>
      <c r="AY210" s="4">
        <f t="shared" si="571"/>
        <v>1</v>
      </c>
      <c r="AZ210" s="38">
        <f t="shared" si="438"/>
        <v>779.40000000000009</v>
      </c>
      <c r="BA210" s="4">
        <f t="shared" si="572"/>
        <v>0.44000000000000006</v>
      </c>
      <c r="BB210" s="4">
        <f t="shared" si="401"/>
        <v>82.744892531200989</v>
      </c>
      <c r="BC210" s="4">
        <f t="shared" si="402"/>
        <v>862.14489253120109</v>
      </c>
      <c r="BE210" s="4">
        <f t="shared" si="451"/>
        <v>1</v>
      </c>
      <c r="BF210" s="4">
        <f t="shared" si="452"/>
        <v>547.07366962777508</v>
      </c>
      <c r="BH210" s="4">
        <f t="shared" si="463"/>
        <v>747.53991440910613</v>
      </c>
      <c r="BI210" s="4">
        <f t="shared" si="464"/>
        <v>711.96329095823319</v>
      </c>
      <c r="BJ210" s="4">
        <f t="shared" si="465"/>
        <v>0.95240839617374207</v>
      </c>
      <c r="BR210" s="4">
        <f t="shared" si="539"/>
        <v>31.8</v>
      </c>
      <c r="BV210" s="9"/>
      <c r="BX210" s="9"/>
      <c r="BY210" s="9"/>
      <c r="BZ210" s="9">
        <f t="shared" si="577"/>
        <v>31.8</v>
      </c>
      <c r="CA210" s="9">
        <f t="shared" si="578"/>
        <v>134.39999999999998</v>
      </c>
      <c r="CB210" s="9">
        <f t="shared" si="403"/>
        <v>1.2413544982455165</v>
      </c>
      <c r="CC210" s="9">
        <v>0</v>
      </c>
      <c r="CD210" s="9">
        <f t="shared" si="518"/>
        <v>0</v>
      </c>
      <c r="CE210" s="9">
        <f t="shared" si="404"/>
        <v>0</v>
      </c>
      <c r="CF210" s="9">
        <f t="shared" si="579"/>
        <v>0.93036607665491811</v>
      </c>
      <c r="CG210" s="9">
        <f t="shared" si="580"/>
        <v>0.80099999999999993</v>
      </c>
      <c r="CH210" s="9">
        <f t="shared" si="405"/>
        <v>2.9727542082721463</v>
      </c>
      <c r="CI210" s="9">
        <f t="shared" si="406"/>
        <v>3.6902418086169178</v>
      </c>
      <c r="CJ210" s="9">
        <v>1</v>
      </c>
      <c r="CK210" s="9">
        <f t="shared" si="407"/>
        <v>309.98031192382109</v>
      </c>
      <c r="CM210" s="4">
        <f t="shared" si="477"/>
        <v>1.9879589539375342</v>
      </c>
      <c r="CN210" s="4">
        <f t="shared" si="478"/>
        <v>0.82990690567027392</v>
      </c>
      <c r="CO210" s="4">
        <f t="shared" si="479"/>
        <v>1.307867732853641</v>
      </c>
      <c r="CP210" s="4">
        <f t="shared" si="480"/>
        <v>2.3082111104392879</v>
      </c>
      <c r="CQ210" s="44">
        <f t="shared" si="481"/>
        <v>1</v>
      </c>
      <c r="CR210" s="4">
        <f t="shared" si="482"/>
        <v>1</v>
      </c>
      <c r="CS210" s="4">
        <f t="shared" si="483"/>
        <v>2.4772512849863699</v>
      </c>
      <c r="CU210" s="4">
        <f t="shared" si="593"/>
        <v>1.9879589539375342</v>
      </c>
      <c r="CV210" s="4">
        <f t="shared" si="593"/>
        <v>0.82990690567027392</v>
      </c>
      <c r="CW210" s="4">
        <f t="shared" si="562"/>
        <v>2.3082111104392879</v>
      </c>
      <c r="CX210" s="4">
        <f t="shared" ref="CX210:CX211" si="598">CS210</f>
        <v>2.4772512849863699</v>
      </c>
      <c r="CY210" s="4">
        <f t="shared" si="594"/>
        <v>1</v>
      </c>
      <c r="CZ210" s="4">
        <f t="shared" si="594"/>
        <v>1</v>
      </c>
      <c r="DH210" s="4">
        <f t="shared" si="557"/>
        <v>0</v>
      </c>
      <c r="DI210" s="4">
        <f t="shared" si="453"/>
        <v>190.8</v>
      </c>
      <c r="DL210" s="4">
        <f t="shared" si="485"/>
        <v>1.9960587760943931E-5</v>
      </c>
      <c r="DM210" s="4">
        <f t="shared" si="558"/>
        <v>11.016345201186075</v>
      </c>
      <c r="DN210" s="4">
        <f t="shared" si="486"/>
        <v>0.32654625851132374</v>
      </c>
      <c r="DO210" s="4">
        <f t="shared" si="487"/>
        <v>7.0406932135075824</v>
      </c>
      <c r="DP210" s="4">
        <f t="shared" si="488"/>
        <v>9.245765137822632</v>
      </c>
      <c r="DQ210" s="4">
        <f t="shared" si="489"/>
        <v>10.394409547490856</v>
      </c>
      <c r="DR210" s="38">
        <f t="shared" si="513"/>
        <v>715.5</v>
      </c>
      <c r="DS210" s="4">
        <f t="shared" si="411"/>
        <v>1</v>
      </c>
      <c r="DT210" s="4">
        <f t="shared" si="490"/>
        <v>2.2360679774997898</v>
      </c>
      <c r="DU210" s="4">
        <f t="shared" si="441"/>
        <v>613.24618573300347</v>
      </c>
      <c r="DY210" s="4">
        <f t="shared" si="581"/>
        <v>0.85</v>
      </c>
      <c r="DZ210" s="4">
        <f t="shared" si="412"/>
        <v>1</v>
      </c>
      <c r="EA210" s="4">
        <f t="shared" si="514"/>
        <v>1</v>
      </c>
      <c r="EB210" s="4">
        <f t="shared" si="414"/>
        <v>1</v>
      </c>
      <c r="ED210" s="4">
        <f t="shared" si="515"/>
        <v>715.5</v>
      </c>
      <c r="EE210" s="25">
        <f t="shared" si="573"/>
        <v>599.03474243278185</v>
      </c>
      <c r="EH210" s="4">
        <f t="shared" si="517"/>
        <v>11.016345201186075</v>
      </c>
      <c r="EK210" s="4">
        <f t="shared" si="491"/>
        <v>71.106961684493314</v>
      </c>
      <c r="EL210" s="4">
        <f t="shared" si="492"/>
        <v>2.2360679774997898</v>
      </c>
      <c r="EM210" s="4">
        <f t="shared" si="493"/>
        <v>0.2035094370850247</v>
      </c>
      <c r="EP210" s="4">
        <f t="shared" si="541"/>
        <v>0.2035094370850247</v>
      </c>
      <c r="EQ210" s="4">
        <f t="shared" si="542"/>
        <v>0.3260013136658178</v>
      </c>
      <c r="ER210" s="4">
        <f t="shared" si="559"/>
        <v>7.0359910165564381</v>
      </c>
      <c r="ES210" s="4">
        <f t="shared" si="582"/>
        <v>9.243980381251852</v>
      </c>
      <c r="ET210" s="4">
        <f t="shared" si="560"/>
        <v>71.993038315506709</v>
      </c>
      <c r="EU210" s="4">
        <f t="shared" si="561"/>
        <v>47.699999999999989</v>
      </c>
      <c r="EV210" s="4">
        <f t="shared" si="415"/>
        <v>1.9960587760943925E-5</v>
      </c>
      <c r="EW210" s="4">
        <f t="shared" si="583"/>
        <v>10.394610988846095</v>
      </c>
      <c r="EX210" s="4">
        <f t="shared" si="466"/>
        <v>715.5</v>
      </c>
      <c r="FG210" s="23">
        <f t="shared" si="563"/>
        <v>2</v>
      </c>
      <c r="FH210" s="23">
        <f t="shared" si="563"/>
        <v>1</v>
      </c>
      <c r="FI210" s="23">
        <f t="shared" si="495"/>
        <v>2.2000000000000002</v>
      </c>
      <c r="FJ210" s="23">
        <f t="shared" si="564"/>
        <v>2.2000000000000002</v>
      </c>
      <c r="FK210" s="23">
        <f t="shared" si="564"/>
        <v>1.2</v>
      </c>
      <c r="FL210" s="23">
        <f t="shared" si="564"/>
        <v>1.2</v>
      </c>
      <c r="FM210" s="23">
        <f t="shared" si="497"/>
        <v>0</v>
      </c>
      <c r="FN210" s="23"/>
      <c r="FX210" s="4">
        <f t="shared" si="416"/>
        <v>1.25</v>
      </c>
      <c r="FY210" s="4">
        <f t="shared" si="469"/>
        <v>0.5</v>
      </c>
      <c r="FZ210" s="4">
        <f t="shared" si="417"/>
        <v>0</v>
      </c>
      <c r="GA210" s="4">
        <f t="shared" si="418"/>
        <v>288.82818805518826</v>
      </c>
    </row>
    <row r="211" spans="1:183" ht="12" hidden="1" customHeight="1" x14ac:dyDescent="0.3">
      <c r="A211" s="25">
        <v>193</v>
      </c>
      <c r="B211" s="24" t="s">
        <v>128</v>
      </c>
      <c r="C211" s="24">
        <v>2017</v>
      </c>
      <c r="D211" s="24" t="s">
        <v>309</v>
      </c>
      <c r="E211" s="24"/>
      <c r="F211" s="4" t="s">
        <v>325</v>
      </c>
      <c r="G211" s="7">
        <v>649</v>
      </c>
      <c r="H211" s="7">
        <f t="shared" ref="H211" si="599">6*K211</f>
        <v>190.8</v>
      </c>
      <c r="I211" s="7">
        <f t="shared" si="455"/>
        <v>190.8</v>
      </c>
      <c r="J211" s="7">
        <v>129.9</v>
      </c>
      <c r="K211" s="7">
        <v>31.8</v>
      </c>
      <c r="L211" s="7">
        <f t="shared" si="498"/>
        <v>6</v>
      </c>
      <c r="M211" s="7">
        <f t="shared" si="499"/>
        <v>6</v>
      </c>
      <c r="N211" s="7">
        <v>396</v>
      </c>
      <c r="O211" s="7">
        <f t="shared" si="566"/>
        <v>31.8</v>
      </c>
      <c r="P211" s="7">
        <f t="shared" ref="P211" si="600">256-I211</f>
        <v>65.199999999999989</v>
      </c>
      <c r="Q211" s="7">
        <f t="shared" si="567"/>
        <v>268.79999999999995</v>
      </c>
      <c r="R211" s="7">
        <v>2</v>
      </c>
      <c r="S211" s="7">
        <f t="shared" si="568"/>
        <v>127.2</v>
      </c>
      <c r="T211" s="7">
        <f t="shared" si="475"/>
        <v>1.5</v>
      </c>
      <c r="U211" s="7">
        <f t="shared" si="459"/>
        <v>1.5</v>
      </c>
      <c r="V211" s="7">
        <f t="shared" si="472"/>
        <v>4</v>
      </c>
      <c r="W211" s="7">
        <f t="shared" si="472"/>
        <v>4</v>
      </c>
      <c r="X211" s="7">
        <f t="shared" si="431"/>
        <v>5</v>
      </c>
      <c r="Y211" s="7">
        <f t="shared" si="552"/>
        <v>71.106961684493314</v>
      </c>
      <c r="Z211" s="7">
        <f t="shared" si="461"/>
        <v>649</v>
      </c>
      <c r="AA211" s="7">
        <v>11</v>
      </c>
      <c r="AB211" s="7">
        <f>(736+710)/2</f>
        <v>723</v>
      </c>
      <c r="AC211" s="7"/>
      <c r="AD211" s="4">
        <f t="shared" si="476"/>
        <v>1</v>
      </c>
      <c r="AE211" s="7"/>
      <c r="AF211" s="7"/>
      <c r="AG211" s="7">
        <v>1</v>
      </c>
      <c r="AH211" s="7"/>
      <c r="AI211" s="7"/>
      <c r="AJ211" s="7">
        <f t="shared" si="473"/>
        <v>1.9041916167664676</v>
      </c>
      <c r="AK211" s="4">
        <f t="shared" si="569"/>
        <v>190.8</v>
      </c>
      <c r="AL211" s="4">
        <f t="shared" si="505"/>
        <v>0.69182389937106914</v>
      </c>
      <c r="AM211" s="4">
        <f t="shared" si="506"/>
        <v>189.10282381875894</v>
      </c>
      <c r="AN211" s="4">
        <f t="shared" si="507"/>
        <v>0.75</v>
      </c>
      <c r="AO211" s="4">
        <v>1.25</v>
      </c>
      <c r="AP211" s="47">
        <f t="shared" si="574"/>
        <v>5</v>
      </c>
      <c r="AQ211" s="38">
        <f t="shared" si="509"/>
        <v>613.2461857330037</v>
      </c>
      <c r="AR211" s="38">
        <f t="shared" si="510"/>
        <v>613.2461857330037</v>
      </c>
      <c r="AS211" s="38">
        <f t="shared" si="511"/>
        <v>5.7111767066521422</v>
      </c>
      <c r="AT211" s="38">
        <f t="shared" si="450"/>
        <v>613.24618573300347</v>
      </c>
      <c r="AU211" s="38">
        <f t="shared" ref="AU211:AU274" si="601">AQ211/AT211</f>
        <v>1.0000000000000004</v>
      </c>
      <c r="AV211" s="38">
        <f t="shared" si="537"/>
        <v>1.2709414557033005</v>
      </c>
      <c r="AW211" s="4">
        <f t="shared" si="529"/>
        <v>0</v>
      </c>
      <c r="AX211" s="4">
        <f t="shared" si="570"/>
        <v>359.91688791300993</v>
      </c>
      <c r="AY211" s="4">
        <f t="shared" si="571"/>
        <v>1</v>
      </c>
      <c r="AZ211" s="38">
        <f t="shared" si="438"/>
        <v>779.40000000000009</v>
      </c>
      <c r="BA211" s="4">
        <f t="shared" si="572"/>
        <v>0.44000000000000006</v>
      </c>
      <c r="BB211" s="4">
        <f t="shared" ref="BB211:BB243" si="602">BA211*G211*I211/(G211*K211/2.75/J211^0.5)</f>
        <v>82.744892531200989</v>
      </c>
      <c r="BC211" s="4">
        <f t="shared" ref="BC211:BC243" si="603">AZ211+BB211</f>
        <v>862.14489253120109</v>
      </c>
      <c r="BE211" s="4">
        <f t="shared" si="451"/>
        <v>1</v>
      </c>
      <c r="BF211" s="4">
        <f t="shared" si="452"/>
        <v>547.07366962777508</v>
      </c>
      <c r="BH211" s="4">
        <f t="shared" si="463"/>
        <v>747.53991440910613</v>
      </c>
      <c r="BI211" s="4">
        <f t="shared" si="464"/>
        <v>711.96329095823319</v>
      </c>
      <c r="BJ211" s="4">
        <f t="shared" si="465"/>
        <v>0.95240839617374207</v>
      </c>
      <c r="BR211" s="4">
        <f t="shared" si="539"/>
        <v>31.8</v>
      </c>
      <c r="BV211" s="9"/>
      <c r="BX211" s="9"/>
      <c r="BY211" s="9"/>
      <c r="BZ211" s="9">
        <f t="shared" si="577"/>
        <v>31.8</v>
      </c>
      <c r="CA211" s="9">
        <f t="shared" si="578"/>
        <v>134.39999999999998</v>
      </c>
      <c r="CB211" s="9">
        <f t="shared" ref="CB211:CB274" si="604">(BZ211/K211)^0.5*(CA211/BZ211)^0.15</f>
        <v>1.2413544982455165</v>
      </c>
      <c r="CC211" s="9">
        <v>0</v>
      </c>
      <c r="CD211" s="9">
        <f t="shared" si="518"/>
        <v>0</v>
      </c>
      <c r="CE211" s="9">
        <f t="shared" ref="CE211:CE243" si="605">MAX(0,CC211*(CD211-0.5/50))</f>
        <v>0</v>
      </c>
      <c r="CF211" s="9">
        <f t="shared" si="579"/>
        <v>0.93036607665491811</v>
      </c>
      <c r="CG211" s="9">
        <f t="shared" si="580"/>
        <v>0.80099999999999993</v>
      </c>
      <c r="CH211" s="9">
        <f t="shared" ref="CH211:CH274" si="606">1.75*CF211*CG211*(J211/25)^0.5</f>
        <v>2.9727542082721463</v>
      </c>
      <c r="CI211" s="9">
        <f t="shared" ref="CI211:CI274" si="607">MIN((CB211+CE211)*CH211,2.5*CH211,J211^0.5)</f>
        <v>3.6902418086169178</v>
      </c>
      <c r="CJ211" s="9">
        <v>1</v>
      </c>
      <c r="CK211" s="9">
        <f t="shared" ref="CK211:CK274" si="608">4*CI211*M211+60*CI211</f>
        <v>309.98031192382109</v>
      </c>
      <c r="CM211" s="4">
        <f t="shared" si="477"/>
        <v>2.0087970981087873</v>
      </c>
      <c r="CN211" s="4">
        <f t="shared" si="478"/>
        <v>0.83860613948233131</v>
      </c>
      <c r="CO211" s="4">
        <f t="shared" si="479"/>
        <v>1.3215770382294654</v>
      </c>
      <c r="CP211" s="4">
        <f t="shared" si="480"/>
        <v>2.3324061954543751</v>
      </c>
      <c r="CQ211" s="44">
        <f t="shared" si="481"/>
        <v>1</v>
      </c>
      <c r="CR211" s="4">
        <f t="shared" si="482"/>
        <v>1</v>
      </c>
      <c r="CS211" s="4">
        <f t="shared" si="483"/>
        <v>2.5032182795879043</v>
      </c>
      <c r="CU211" s="4">
        <f t="shared" si="593"/>
        <v>2.0087970981087873</v>
      </c>
      <c r="CV211" s="4">
        <f t="shared" si="593"/>
        <v>0.83860613948233131</v>
      </c>
      <c r="CW211" s="4">
        <f t="shared" si="562"/>
        <v>2.3324061954543751</v>
      </c>
      <c r="CX211" s="4">
        <f t="shared" si="598"/>
        <v>2.5032182795879043</v>
      </c>
      <c r="CY211" s="4">
        <f t="shared" si="594"/>
        <v>1</v>
      </c>
      <c r="CZ211" s="4">
        <f t="shared" si="594"/>
        <v>1</v>
      </c>
      <c r="DH211" s="4">
        <f t="shared" si="557"/>
        <v>0</v>
      </c>
      <c r="DI211" s="4">
        <f t="shared" si="453"/>
        <v>190.8</v>
      </c>
      <c r="DL211" s="4">
        <f t="shared" si="485"/>
        <v>1.9960587760943931E-5</v>
      </c>
      <c r="DM211" s="4">
        <f t="shared" si="558"/>
        <v>11.016345201186075</v>
      </c>
      <c r="DN211" s="4">
        <f t="shared" si="486"/>
        <v>0.32654625851132374</v>
      </c>
      <c r="DO211" s="4">
        <f t="shared" si="487"/>
        <v>7.0406932135075824</v>
      </c>
      <c r="DP211" s="4">
        <f t="shared" si="488"/>
        <v>9.245765137822632</v>
      </c>
      <c r="DQ211" s="4">
        <f t="shared" si="489"/>
        <v>10.394409547490856</v>
      </c>
      <c r="DR211" s="38">
        <f t="shared" si="513"/>
        <v>723</v>
      </c>
      <c r="DS211" s="4">
        <f t="shared" ref="DS211:DS274" si="609">DR211/EX211</f>
        <v>1</v>
      </c>
      <c r="DT211" s="4">
        <f t="shared" si="490"/>
        <v>2.2360679774997898</v>
      </c>
      <c r="DU211" s="4">
        <f t="shared" si="441"/>
        <v>613.24618573300347</v>
      </c>
      <c r="DY211" s="4">
        <f t="shared" si="581"/>
        <v>0.85</v>
      </c>
      <c r="DZ211" s="4">
        <f t="shared" ref="DZ211:DZ274" si="610">MIN(1,MAX(0.7,(1-0.1*(BR211-1*K211)/K211)))</f>
        <v>1</v>
      </c>
      <c r="EA211" s="4">
        <f t="shared" si="514"/>
        <v>1</v>
      </c>
      <c r="EB211" s="4">
        <f t="shared" ref="EB211:EB274" si="611">IF(DZ211*EA211&lt;0.7,0.7,DZ211*EA211)</f>
        <v>1</v>
      </c>
      <c r="ED211" s="4">
        <f t="shared" si="515"/>
        <v>723</v>
      </c>
      <c r="EE211" s="25">
        <f t="shared" si="573"/>
        <v>599.03474243278185</v>
      </c>
      <c r="EH211" s="4">
        <f t="shared" si="517"/>
        <v>11.016345201186075</v>
      </c>
      <c r="EK211" s="4">
        <f t="shared" si="491"/>
        <v>71.106961684493314</v>
      </c>
      <c r="EL211" s="4">
        <f t="shared" si="492"/>
        <v>2.2360679774997898</v>
      </c>
      <c r="EM211" s="4">
        <f t="shared" si="493"/>
        <v>0.2035094370850247</v>
      </c>
      <c r="EP211" s="4">
        <f t="shared" si="541"/>
        <v>0.2035094370850247</v>
      </c>
      <c r="EQ211" s="4">
        <f t="shared" si="542"/>
        <v>0.3260013136658178</v>
      </c>
      <c r="ER211" s="4">
        <f t="shared" si="559"/>
        <v>7.0359910165564381</v>
      </c>
      <c r="ES211" s="4">
        <f t="shared" si="582"/>
        <v>9.243980381251852</v>
      </c>
      <c r="ET211" s="4">
        <f t="shared" si="560"/>
        <v>71.993038315506709</v>
      </c>
      <c r="EU211" s="4">
        <f t="shared" si="561"/>
        <v>47.699999999999989</v>
      </c>
      <c r="EV211" s="4">
        <f t="shared" ref="EV211:EV274" si="612">EU211/(1-0.3*(J211/30)^0.5)/200000/K211</f>
        <v>1.9960587760943925E-5</v>
      </c>
      <c r="EW211" s="4">
        <f t="shared" si="583"/>
        <v>10.394610988846095</v>
      </c>
      <c r="EX211" s="4">
        <f t="shared" si="466"/>
        <v>723</v>
      </c>
      <c r="FG211" s="23">
        <f t="shared" si="563"/>
        <v>2.2000000000000002</v>
      </c>
      <c r="FH211" s="23">
        <f t="shared" si="563"/>
        <v>1</v>
      </c>
      <c r="FI211" s="23">
        <f t="shared" si="495"/>
        <v>2.2000000000000002</v>
      </c>
      <c r="FJ211" s="23">
        <f t="shared" si="564"/>
        <v>2.2000000000000002</v>
      </c>
      <c r="FK211" s="23">
        <f t="shared" si="564"/>
        <v>1.2</v>
      </c>
      <c r="FL211" s="23">
        <f t="shared" si="564"/>
        <v>1.2</v>
      </c>
      <c r="FM211" s="23">
        <f t="shared" si="497"/>
        <v>0</v>
      </c>
      <c r="FN211" s="23"/>
      <c r="FX211" s="4">
        <f t="shared" ref="FX211:FX274" si="613">IF(O211&gt;=2.5*25.4,1,1.25)</f>
        <v>1.25</v>
      </c>
      <c r="FY211" s="4">
        <f t="shared" si="469"/>
        <v>0.5</v>
      </c>
      <c r="FZ211" s="4">
        <f t="shared" ref="FZ211:FZ274" si="614">MIN(0.3, AE211^2*PI()/4*2*AH211/(K211^2*PI()/4*R211))</f>
        <v>0</v>
      </c>
      <c r="GA211" s="4">
        <f t="shared" ref="GA211:GA274" si="615">(H211/25.4)/(K211/25.4)^1.5/0.0024*(J211*145)^0.25/FX211/FY211/145</f>
        <v>288.82818805518826</v>
      </c>
    </row>
    <row r="212" spans="1:183" ht="12" hidden="1" customHeight="1" x14ac:dyDescent="0.3">
      <c r="A212" s="25">
        <v>194</v>
      </c>
      <c r="B212" s="24" t="s">
        <v>182</v>
      </c>
      <c r="C212" s="4">
        <v>1996</v>
      </c>
      <c r="D212" s="24" t="s">
        <v>309</v>
      </c>
      <c r="E212" s="24"/>
      <c r="F212" s="4" t="s">
        <v>328</v>
      </c>
      <c r="G212" s="7">
        <v>556</v>
      </c>
      <c r="H212" s="7">
        <f>381-P212-25</f>
        <v>280</v>
      </c>
      <c r="I212" s="7">
        <f t="shared" si="455"/>
        <v>280</v>
      </c>
      <c r="J212" s="7">
        <v>26.7</v>
      </c>
      <c r="K212" s="7">
        <v>35.799999999999997</v>
      </c>
      <c r="L212" s="7">
        <f t="shared" si="498"/>
        <v>7.8212290502793298</v>
      </c>
      <c r="M212" s="7">
        <f t="shared" si="499"/>
        <v>7.8212290502793298</v>
      </c>
      <c r="N212" s="7">
        <v>305</v>
      </c>
      <c r="O212" s="7">
        <v>76</v>
      </c>
      <c r="P212" s="7">
        <v>76</v>
      </c>
      <c r="Q212" s="7">
        <f>N212-2*K212-2*O212</f>
        <v>81.400000000000006</v>
      </c>
      <c r="R212" s="7">
        <v>2</v>
      </c>
      <c r="S212" s="7">
        <f>775-(343+152)</f>
        <v>280</v>
      </c>
      <c r="T212" s="7">
        <f>MIN(O212/K212+0.5, Q212/2/K212+0.5)</f>
        <v>1.6368715083798884</v>
      </c>
      <c r="U212" s="7">
        <f>O212/K212+0.5</f>
        <v>2.6229050279329611</v>
      </c>
      <c r="V212" s="7">
        <f>5500/(K212^2*PI()/4)-1</f>
        <v>4.4639504822285474</v>
      </c>
      <c r="W212" s="7">
        <f>5500/(K212^2*PI()/4)-1</f>
        <v>4.4639504822285474</v>
      </c>
      <c r="X212" s="7">
        <f t="shared" ref="X212:X243" si="616">W212+1</f>
        <v>5.4639504822285474</v>
      </c>
      <c r="Y212" s="7">
        <f t="shared" si="552"/>
        <v>83.682838718840046</v>
      </c>
      <c r="Z212" s="7">
        <f t="shared" si="461"/>
        <v>556</v>
      </c>
      <c r="AA212" s="7">
        <v>25</v>
      </c>
      <c r="AB212" s="7"/>
      <c r="AC212" s="32" t="s">
        <v>183</v>
      </c>
      <c r="AD212" s="4">
        <f t="shared" si="476"/>
        <v>0</v>
      </c>
      <c r="AE212" s="7"/>
      <c r="AF212" s="7"/>
      <c r="AG212" s="7">
        <v>1</v>
      </c>
      <c r="AH212" s="7"/>
      <c r="AI212" s="7"/>
      <c r="AJ212" s="7">
        <f t="shared" si="473"/>
        <v>7.1672354948805461</v>
      </c>
      <c r="AK212" s="4">
        <f t="shared" si="569"/>
        <v>280</v>
      </c>
      <c r="AL212" s="4">
        <f t="shared" si="505"/>
        <v>0.36309523809523808</v>
      </c>
      <c r="AM212" s="4">
        <f t="shared" si="506"/>
        <v>120.25599814291758</v>
      </c>
      <c r="AN212" s="4">
        <f t="shared" si="507"/>
        <v>0.76707142857142852</v>
      </c>
      <c r="AO212" s="4">
        <v>1.25</v>
      </c>
      <c r="AP212" s="4">
        <f>AP165</f>
        <v>2.5</v>
      </c>
      <c r="AQ212" s="38">
        <f t="shared" si="509"/>
        <v>104.66780799248551</v>
      </c>
      <c r="AR212" s="38">
        <f t="shared" si="510"/>
        <v>104.66780799248551</v>
      </c>
      <c r="AS212" s="38">
        <f t="shared" si="511"/>
        <v>2.6799627788697054</v>
      </c>
      <c r="AT212" s="38">
        <f t="shared" si="450"/>
        <v>104.66780799248556</v>
      </c>
      <c r="AU212" s="38">
        <f t="shared" si="601"/>
        <v>0.99999999999999944</v>
      </c>
      <c r="AV212" s="38">
        <f t="shared" si="537"/>
        <v>2.1895691011964828</v>
      </c>
      <c r="AW212" s="4">
        <f t="shared" si="529"/>
        <v>0</v>
      </c>
      <c r="AX212" s="4">
        <f t="shared" si="570"/>
        <v>212.70467457652856</v>
      </c>
      <c r="AY212" s="4">
        <f t="shared" si="571"/>
        <v>1.2409556313993173</v>
      </c>
      <c r="AZ212" s="38">
        <f t="shared" ref="AZ212:AZ275" si="617">2*J212*T212*V212^0.5*AY212*0.7/0.7</f>
        <v>229.17739827031264</v>
      </c>
      <c r="BA212" s="4">
        <f t="shared" si="572"/>
        <v>0.37504693248800336</v>
      </c>
      <c r="BB212" s="4">
        <f t="shared" si="602"/>
        <v>41.682038166723196</v>
      </c>
      <c r="BC212" s="4">
        <f t="shared" si="603"/>
        <v>270.85943643703581</v>
      </c>
      <c r="BE212" s="4">
        <f t="shared" si="451"/>
        <v>1.2807262569832403</v>
      </c>
      <c r="BF212" s="4">
        <f t="shared" si="452"/>
        <v>353.81060880941163</v>
      </c>
      <c r="BH212" s="4">
        <f t="shared" si="463"/>
        <v>219.80915151076618</v>
      </c>
      <c r="BI212" s="4">
        <f t="shared" si="464"/>
        <v>1562.4220485187734</v>
      </c>
      <c r="BJ212" s="4">
        <f t="shared" si="465"/>
        <v>7.1080846169512029</v>
      </c>
      <c r="BR212" s="4">
        <f t="shared" si="539"/>
        <v>40.700000000000003</v>
      </c>
      <c r="BV212" s="9"/>
      <c r="BX212" s="9"/>
      <c r="BY212" s="9"/>
      <c r="BZ212" s="9">
        <f t="shared" si="577"/>
        <v>40.700000000000003</v>
      </c>
      <c r="CA212" s="9">
        <f t="shared" si="578"/>
        <v>76</v>
      </c>
      <c r="CB212" s="9">
        <f t="shared" si="604"/>
        <v>1.1709505872794554</v>
      </c>
      <c r="CC212" s="9">
        <v>0</v>
      </c>
      <c r="CD212" s="9">
        <f t="shared" si="518"/>
        <v>0</v>
      </c>
      <c r="CE212" s="9">
        <f t="shared" si="605"/>
        <v>0</v>
      </c>
      <c r="CF212" s="9">
        <f t="shared" si="579"/>
        <v>0.89787751228078194</v>
      </c>
      <c r="CG212" s="9">
        <f t="shared" si="580"/>
        <v>0.91600000000000004</v>
      </c>
      <c r="CH212" s="9">
        <f t="shared" si="606"/>
        <v>1.4874289957293467</v>
      </c>
      <c r="CI212" s="9">
        <f t="shared" si="607"/>
        <v>1.7417058560857692</v>
      </c>
      <c r="CJ212" s="9">
        <v>1</v>
      </c>
      <c r="CK212" s="9">
        <f t="shared" si="608"/>
        <v>158.99147311978476</v>
      </c>
      <c r="DH212" s="4">
        <f t="shared" si="557"/>
        <v>0</v>
      </c>
      <c r="DI212" s="4">
        <f t="shared" si="453"/>
        <v>280</v>
      </c>
      <c r="DL212" s="4">
        <f t="shared" si="485"/>
        <v>1.3635706148731076E-5</v>
      </c>
      <c r="DM212" s="4">
        <f t="shared" si="558"/>
        <v>5.0637691717870918</v>
      </c>
      <c r="DN212" s="4">
        <f t="shared" si="486"/>
        <v>0.28594715504203178</v>
      </c>
      <c r="DO212" s="4">
        <f t="shared" si="487"/>
        <v>3.0689386907352811</v>
      </c>
      <c r="DP212" s="4">
        <f t="shared" si="488"/>
        <v>4.187580106722991</v>
      </c>
      <c r="DQ212" s="4">
        <f t="shared" si="489"/>
        <v>4.931420533735495</v>
      </c>
      <c r="DR212" s="38">
        <f t="shared" si="513"/>
        <v>231.03430749807197</v>
      </c>
      <c r="DS212" s="4">
        <f t="shared" si="609"/>
        <v>1.0001274074983466</v>
      </c>
      <c r="DT212" s="4">
        <f t="shared" si="490"/>
        <v>2.3375094614201131</v>
      </c>
      <c r="DU212" s="4">
        <f t="shared" ref="DU212:DU275" si="618">MIN(DT$10*AT212)</f>
        <v>104.66780799248556</v>
      </c>
      <c r="DY212" s="4">
        <f t="shared" si="581"/>
        <v>0.85</v>
      </c>
      <c r="DZ212" s="4">
        <f t="shared" si="610"/>
        <v>0.98631284916201112</v>
      </c>
      <c r="EA212" s="4">
        <f t="shared" si="514"/>
        <v>1</v>
      </c>
      <c r="EB212" s="4">
        <f t="shared" si="611"/>
        <v>0.98631284916201112</v>
      </c>
      <c r="ED212" s="4">
        <f t="shared" si="515"/>
        <v>222.0256895508856</v>
      </c>
      <c r="EE212" s="25">
        <f t="shared" si="516"/>
        <v>103.2109939000153</v>
      </c>
      <c r="EG212" s="4">
        <f t="shared" ref="EG212:EG275" si="619">DY212*EB212</f>
        <v>0.83836592178770941</v>
      </c>
      <c r="EH212" s="4">
        <f t="shared" si="517"/>
        <v>5.0637691717870918</v>
      </c>
      <c r="EK212" s="4">
        <f t="shared" si="491"/>
        <v>83.682838718840046</v>
      </c>
      <c r="EL212" s="4">
        <f t="shared" si="492"/>
        <v>2.3375094614201131</v>
      </c>
      <c r="EM212" s="4">
        <f t="shared" si="493"/>
        <v>8.0793547209318639E-2</v>
      </c>
      <c r="EP212" s="4">
        <f t="shared" si="541"/>
        <v>8.0793547209318639E-2</v>
      </c>
      <c r="EQ212" s="4">
        <f t="shared" si="542"/>
        <v>0.28546996253357176</v>
      </c>
      <c r="ER212" s="4">
        <f t="shared" si="559"/>
        <v>3.0668890695236737</v>
      </c>
      <c r="ES212" s="4">
        <f t="shared" si="582"/>
        <v>4.1868323477407055</v>
      </c>
      <c r="ET212" s="4">
        <f t="shared" si="560"/>
        <v>126.31716128115995</v>
      </c>
      <c r="EU212" s="4">
        <f t="shared" si="561"/>
        <v>69.999999999999986</v>
      </c>
      <c r="EV212" s="4">
        <f t="shared" si="612"/>
        <v>1.3635706148731075E-5</v>
      </c>
      <c r="EW212" s="4">
        <f t="shared" si="583"/>
        <v>4.931457086892582</v>
      </c>
      <c r="EX212" s="4">
        <f t="shared" si="466"/>
        <v>231.00487574474744</v>
      </c>
      <c r="FG212" s="23"/>
      <c r="FH212" s="23"/>
      <c r="FI212" s="23"/>
      <c r="FJ212" s="23"/>
      <c r="FK212" s="23"/>
      <c r="FL212" s="23"/>
      <c r="FM212" s="23"/>
      <c r="FN212" s="23"/>
      <c r="FX212" s="4">
        <f t="shared" si="613"/>
        <v>1</v>
      </c>
      <c r="FY212" s="4">
        <f t="shared" si="469"/>
        <v>0.8938547486033519</v>
      </c>
      <c r="FZ212" s="4">
        <f t="shared" si="614"/>
        <v>0</v>
      </c>
      <c r="GA212" s="4">
        <f t="shared" si="615"/>
        <v>167.06057427224937</v>
      </c>
    </row>
    <row r="213" spans="1:183" ht="12" hidden="1" customHeight="1" x14ac:dyDescent="0.3">
      <c r="A213" s="25">
        <v>195</v>
      </c>
      <c r="B213" s="24" t="s">
        <v>182</v>
      </c>
      <c r="C213" s="4">
        <v>1996</v>
      </c>
      <c r="D213" s="24" t="s">
        <v>309</v>
      </c>
      <c r="F213" s="4" t="s">
        <v>329</v>
      </c>
      <c r="G213" s="7">
        <v>556</v>
      </c>
      <c r="H213" s="7">
        <f>381-P213-25</f>
        <v>280</v>
      </c>
      <c r="I213" s="7">
        <f t="shared" si="455"/>
        <v>280</v>
      </c>
      <c r="J213" s="7">
        <v>29.4</v>
      </c>
      <c r="K213" s="7">
        <v>35.799999999999997</v>
      </c>
      <c r="L213" s="7">
        <f t="shared" si="498"/>
        <v>7.8212290502793298</v>
      </c>
      <c r="M213" s="7">
        <f t="shared" si="499"/>
        <v>7.8212290502793298</v>
      </c>
      <c r="N213" s="7">
        <v>305</v>
      </c>
      <c r="O213" s="7">
        <v>76</v>
      </c>
      <c r="P213" s="7">
        <v>76</v>
      </c>
      <c r="Q213" s="7">
        <f>N213-2*K213-2*O213</f>
        <v>81.400000000000006</v>
      </c>
      <c r="R213" s="7">
        <v>2</v>
      </c>
      <c r="S213" s="7">
        <f t="shared" ref="S213:S243" si="620">775-(343+152)</f>
        <v>280</v>
      </c>
      <c r="T213" s="7">
        <f t="shared" ref="T213:T247" si="621">MIN(O213/K213+0.5, Q213/2/K213+0.5)</f>
        <v>1.6368715083798884</v>
      </c>
      <c r="U213" s="7">
        <f t="shared" si="459"/>
        <v>2.6229050279329611</v>
      </c>
      <c r="V213" s="7">
        <f>5500/(K213^2*PI()/4)-1</f>
        <v>4.4639504822285474</v>
      </c>
      <c r="W213" s="7">
        <f t="shared" ref="W213:W240" si="622">5500/(K213^2*PI()/4)-1</f>
        <v>4.4639504822285474</v>
      </c>
      <c r="X213" s="7">
        <f t="shared" si="616"/>
        <v>5.4639504822285474</v>
      </c>
      <c r="Y213" s="7">
        <f t="shared" si="552"/>
        <v>83.682838718840046</v>
      </c>
      <c r="Z213" s="7">
        <f t="shared" si="461"/>
        <v>556</v>
      </c>
      <c r="AA213" s="7">
        <v>25</v>
      </c>
      <c r="AB213" s="7"/>
      <c r="AC213" s="32" t="s">
        <v>183</v>
      </c>
      <c r="AD213" s="4">
        <f t="shared" si="476"/>
        <v>0</v>
      </c>
      <c r="AE213" s="7"/>
      <c r="AF213" s="7"/>
      <c r="AG213" s="7">
        <v>1</v>
      </c>
      <c r="AH213" s="7"/>
      <c r="AI213" s="7"/>
      <c r="AJ213" s="7">
        <f t="shared" si="473"/>
        <v>7.1672354948805461</v>
      </c>
      <c r="AK213" s="4">
        <f t="shared" si="569"/>
        <v>280</v>
      </c>
      <c r="AL213" s="4">
        <f t="shared" si="505"/>
        <v>0.36309523809523808</v>
      </c>
      <c r="AM213" s="4">
        <f t="shared" si="506"/>
        <v>126.18995395992187</v>
      </c>
      <c r="AN213" s="4">
        <f t="shared" si="507"/>
        <v>0.76707142857142852</v>
      </c>
      <c r="AO213" s="4">
        <v>1.25</v>
      </c>
      <c r="AP213" s="4">
        <f>AP212</f>
        <v>2.5</v>
      </c>
      <c r="AQ213" s="38">
        <f t="shared" si="509"/>
        <v>109.83257447134307</v>
      </c>
      <c r="AR213" s="38">
        <f t="shared" si="510"/>
        <v>109.83257447134307</v>
      </c>
      <c r="AS213" s="38">
        <f t="shared" si="511"/>
        <v>2.8577186887004142</v>
      </c>
      <c r="AT213" s="38">
        <f t="shared" si="450"/>
        <v>109.83257447134312</v>
      </c>
      <c r="AU213" s="38">
        <f t="shared" si="601"/>
        <v>0.99999999999999944</v>
      </c>
      <c r="AV213" s="38">
        <f t="shared" si="537"/>
        <v>2.2976119972301303</v>
      </c>
      <c r="AW213" s="4">
        <f t="shared" si="529"/>
        <v>0</v>
      </c>
      <c r="AX213" s="4">
        <f t="shared" si="570"/>
        <v>223.20045158972471</v>
      </c>
      <c r="AY213" s="4">
        <f t="shared" si="571"/>
        <v>1.2409556313993173</v>
      </c>
      <c r="AZ213" s="38">
        <f t="shared" si="617"/>
        <v>252.35264079202972</v>
      </c>
      <c r="BA213" s="4">
        <f t="shared" si="572"/>
        <v>0.37504693248800336</v>
      </c>
      <c r="BB213" s="4">
        <f t="shared" si="602"/>
        <v>43.738811855051594</v>
      </c>
      <c r="BC213" s="4">
        <f t="shared" si="603"/>
        <v>296.09145264708133</v>
      </c>
      <c r="BE213" s="4">
        <f t="shared" si="451"/>
        <v>1.2807262569832403</v>
      </c>
      <c r="BF213" s="4">
        <f t="shared" si="452"/>
        <v>371.26916848780127</v>
      </c>
      <c r="BH213" s="4">
        <f t="shared" si="463"/>
        <v>242.03704323657402</v>
      </c>
      <c r="BI213" s="4">
        <f t="shared" si="464"/>
        <v>1562.4220485187734</v>
      </c>
      <c r="BJ213" s="4">
        <f t="shared" si="465"/>
        <v>6.4553013358026226</v>
      </c>
      <c r="BR213" s="4">
        <f t="shared" si="539"/>
        <v>40.700000000000003</v>
      </c>
      <c r="BV213" s="9"/>
      <c r="BX213" s="9"/>
      <c r="BY213" s="9"/>
      <c r="BZ213" s="9">
        <f t="shared" si="577"/>
        <v>40.700000000000003</v>
      </c>
      <c r="CA213" s="9">
        <f t="shared" si="578"/>
        <v>76</v>
      </c>
      <c r="CB213" s="9">
        <f t="shared" si="604"/>
        <v>1.1709505872794554</v>
      </c>
      <c r="CC213" s="9">
        <v>0</v>
      </c>
      <c r="CD213" s="9">
        <f t="shared" si="518"/>
        <v>0</v>
      </c>
      <c r="CE213" s="9">
        <f t="shared" si="605"/>
        <v>0</v>
      </c>
      <c r="CF213" s="9">
        <f t="shared" si="579"/>
        <v>0.89787751228078194</v>
      </c>
      <c r="CG213" s="9">
        <f t="shared" si="580"/>
        <v>0.91600000000000004</v>
      </c>
      <c r="CH213" s="9">
        <f t="shared" si="606"/>
        <v>1.560825234402609</v>
      </c>
      <c r="CI213" s="9">
        <f t="shared" si="607"/>
        <v>1.8276492248643288</v>
      </c>
      <c r="CJ213" s="9">
        <v>1</v>
      </c>
      <c r="CK213" s="9">
        <f t="shared" si="608"/>
        <v>166.83680633677727</v>
      </c>
      <c r="DH213" s="4">
        <f t="shared" si="557"/>
        <v>0</v>
      </c>
      <c r="DI213" s="4">
        <f t="shared" si="453"/>
        <v>280</v>
      </c>
      <c r="DL213" s="4">
        <f t="shared" si="485"/>
        <v>1.3906579803299705E-5</v>
      </c>
      <c r="DM213" s="4">
        <f t="shared" si="558"/>
        <v>5.3136376440206563</v>
      </c>
      <c r="DN213" s="4">
        <f t="shared" si="486"/>
        <v>0.27250077733310263</v>
      </c>
      <c r="DO213" s="4">
        <f t="shared" si="487"/>
        <v>3.1589229508698327</v>
      </c>
      <c r="DP213" s="4">
        <f t="shared" si="488"/>
        <v>4.3719523242236811</v>
      </c>
      <c r="DQ213" s="4">
        <f t="shared" si="489"/>
        <v>5.1662301389039698</v>
      </c>
      <c r="DR213" s="38">
        <f t="shared" si="513"/>
        <v>241.47909473935039</v>
      </c>
      <c r="DS213" s="4">
        <f t="shared" si="609"/>
        <v>1.0001247348077087</v>
      </c>
      <c r="DT213" s="4">
        <f t="shared" si="490"/>
        <v>2.3375094614201131</v>
      </c>
      <c r="DU213" s="4">
        <f t="shared" si="618"/>
        <v>109.83257447134312</v>
      </c>
      <c r="DY213" s="4">
        <f t="shared" si="581"/>
        <v>0.85</v>
      </c>
      <c r="DZ213" s="4">
        <f t="shared" si="610"/>
        <v>0.98631284916201112</v>
      </c>
      <c r="EA213" s="4">
        <f t="shared" si="514"/>
        <v>1</v>
      </c>
      <c r="EB213" s="4">
        <f t="shared" si="611"/>
        <v>0.98631284916201112</v>
      </c>
      <c r="ED213" s="4">
        <f t="shared" si="515"/>
        <v>232.98140612536457</v>
      </c>
      <c r="EE213" s="25">
        <f t="shared" si="516"/>
        <v>108.30387481314804</v>
      </c>
      <c r="EG213" s="4">
        <f t="shared" si="619"/>
        <v>0.83836592178770941</v>
      </c>
      <c r="EH213" s="4">
        <f t="shared" si="517"/>
        <v>5.3136376440206563</v>
      </c>
      <c r="EK213" s="4">
        <f t="shared" si="491"/>
        <v>83.682838718840046</v>
      </c>
      <c r="EL213" s="4">
        <f t="shared" si="492"/>
        <v>2.3375094614201131</v>
      </c>
      <c r="EM213" s="4">
        <f t="shared" si="493"/>
        <v>8.0793547209318639E-2</v>
      </c>
      <c r="EP213" s="4">
        <f t="shared" si="541"/>
        <v>8.0793547209318639E-2</v>
      </c>
      <c r="EQ213" s="4">
        <f t="shared" si="542"/>
        <v>0.27204602432297464</v>
      </c>
      <c r="ER213" s="4">
        <f t="shared" si="559"/>
        <v>3.1568132327755998</v>
      </c>
      <c r="ES213" s="4">
        <f t="shared" si="582"/>
        <v>4.3711938856443737</v>
      </c>
      <c r="ET213" s="4">
        <f t="shared" si="560"/>
        <v>126.31716128115995</v>
      </c>
      <c r="EU213" s="4">
        <f t="shared" si="561"/>
        <v>69.999999999999986</v>
      </c>
      <c r="EV213" s="4">
        <f t="shared" si="612"/>
        <v>1.3906579803299705E-5</v>
      </c>
      <c r="EW213" s="4">
        <f t="shared" si="583"/>
        <v>5.1662701822721298</v>
      </c>
      <c r="EX213" s="4">
        <f t="shared" si="466"/>
        <v>241.44897764755208</v>
      </c>
      <c r="FG213" s="23"/>
      <c r="FH213" s="23"/>
      <c r="FI213" s="23"/>
      <c r="FJ213" s="23"/>
      <c r="FK213" s="23"/>
      <c r="FL213" s="23"/>
      <c r="FM213" s="23"/>
      <c r="FN213" s="23"/>
      <c r="FX213" s="4">
        <f t="shared" si="613"/>
        <v>1</v>
      </c>
      <c r="FY213" s="4">
        <f t="shared" si="469"/>
        <v>0.8938547486033519</v>
      </c>
      <c r="FZ213" s="4">
        <f t="shared" si="614"/>
        <v>0</v>
      </c>
      <c r="GA213" s="4">
        <f t="shared" si="615"/>
        <v>171.13269403318475</v>
      </c>
    </row>
    <row r="214" spans="1:183" ht="12" hidden="1" customHeight="1" x14ac:dyDescent="0.3">
      <c r="A214" s="25">
        <v>196</v>
      </c>
      <c r="B214" s="24" t="s">
        <v>182</v>
      </c>
      <c r="C214" s="4">
        <v>1996</v>
      </c>
      <c r="D214" s="24" t="s">
        <v>309</v>
      </c>
      <c r="E214" s="24"/>
      <c r="F214" s="4" t="s">
        <v>330</v>
      </c>
      <c r="G214" s="7">
        <v>556</v>
      </c>
      <c r="H214" s="7">
        <f>381-P214-20</f>
        <v>285</v>
      </c>
      <c r="I214" s="7">
        <f t="shared" si="455"/>
        <v>285</v>
      </c>
      <c r="J214" s="7">
        <v>29.4</v>
      </c>
      <c r="K214" s="7">
        <v>35.799999999999997</v>
      </c>
      <c r="L214" s="7">
        <f t="shared" si="498"/>
        <v>7.9608938547486039</v>
      </c>
      <c r="M214" s="7">
        <f t="shared" si="499"/>
        <v>7.9608938547486039</v>
      </c>
      <c r="N214" s="7">
        <v>305</v>
      </c>
      <c r="O214" s="7">
        <v>76</v>
      </c>
      <c r="P214" s="7">
        <v>76</v>
      </c>
      <c r="Q214" s="7">
        <f t="shared" ref="Q214:Q243" si="623">N214-2*K214-2*O214</f>
        <v>81.400000000000006</v>
      </c>
      <c r="R214" s="7">
        <v>2</v>
      </c>
      <c r="S214" s="7">
        <f t="shared" si="620"/>
        <v>280</v>
      </c>
      <c r="T214" s="7">
        <f t="shared" si="621"/>
        <v>1.6368715083798884</v>
      </c>
      <c r="U214" s="7">
        <f t="shared" si="459"/>
        <v>2.6229050279329611</v>
      </c>
      <c r="V214" s="7">
        <f>8100/(K214^2*PI()/4)-1</f>
        <v>7.0469088920093164</v>
      </c>
      <c r="W214" s="7">
        <f>8100/(K214^2*PI()/4)-1</f>
        <v>7.0469088920093164</v>
      </c>
      <c r="X214" s="7">
        <f t="shared" si="616"/>
        <v>8.0469088920093164</v>
      </c>
      <c r="Y214" s="7">
        <f t="shared" si="552"/>
        <v>101.55412503859614</v>
      </c>
      <c r="Z214" s="7">
        <f t="shared" si="461"/>
        <v>556</v>
      </c>
      <c r="AA214" s="7">
        <v>20</v>
      </c>
      <c r="AB214" s="7"/>
      <c r="AC214" s="32" t="s">
        <v>183</v>
      </c>
      <c r="AD214" s="4">
        <f t="shared" si="476"/>
        <v>0</v>
      </c>
      <c r="AE214" s="7"/>
      <c r="AF214" s="7"/>
      <c r="AG214" s="7">
        <v>1</v>
      </c>
      <c r="AH214" s="7"/>
      <c r="AI214" s="7"/>
      <c r="AJ214" s="7">
        <f t="shared" si="473"/>
        <v>7.2952218430034126</v>
      </c>
      <c r="AK214" s="4">
        <f t="shared" si="569"/>
        <v>285</v>
      </c>
      <c r="AL214" s="4">
        <f t="shared" si="505"/>
        <v>0.35672514619883039</v>
      </c>
      <c r="AM214" s="4">
        <f t="shared" si="506"/>
        <v>129.58508707954471</v>
      </c>
      <c r="AN214" s="4">
        <f t="shared" si="507"/>
        <v>0.76589473684210518</v>
      </c>
      <c r="AO214" s="4">
        <v>1.25</v>
      </c>
      <c r="AP214" s="4">
        <f t="shared" ref="AP214:AP277" si="624">AP213</f>
        <v>2.5</v>
      </c>
      <c r="AQ214" s="38">
        <f t="shared" si="509"/>
        <v>110.63890179485381</v>
      </c>
      <c r="AR214" s="38">
        <f t="shared" si="510"/>
        <v>110.63890179485381</v>
      </c>
      <c r="AS214" s="38">
        <f t="shared" si="511"/>
        <v>2.8577186887004142</v>
      </c>
      <c r="AT214" s="38">
        <f t="shared" si="450"/>
        <v>110.63890179485385</v>
      </c>
      <c r="AU214" s="38">
        <f t="shared" si="601"/>
        <v>0.99999999999999967</v>
      </c>
      <c r="AV214" s="38">
        <f t="shared" si="537"/>
        <v>2.8657588460091983</v>
      </c>
      <c r="AW214" s="4">
        <f t="shared" si="529"/>
        <v>0</v>
      </c>
      <c r="AX214" s="4">
        <f t="shared" si="570"/>
        <v>227.18617393954122</v>
      </c>
      <c r="AY214" s="4">
        <f t="shared" si="571"/>
        <v>1.2409556313993173</v>
      </c>
      <c r="AZ214" s="38">
        <f t="shared" si="617"/>
        <v>317.0644115313454</v>
      </c>
      <c r="BA214" s="4">
        <f t="shared" si="572"/>
        <v>0.3</v>
      </c>
      <c r="BB214" s="4">
        <f t="shared" si="602"/>
        <v>35.611432765023082</v>
      </c>
      <c r="BC214" s="4">
        <f t="shared" si="603"/>
        <v>352.6758442963685</v>
      </c>
      <c r="BE214" s="4">
        <f t="shared" si="451"/>
        <v>1.2807262569832403</v>
      </c>
      <c r="BF214" s="4">
        <f t="shared" si="452"/>
        <v>374.17880146968059</v>
      </c>
      <c r="BH214" s="4">
        <f t="shared" si="463"/>
        <v>304.10354510946308</v>
      </c>
      <c r="BI214" s="4">
        <f t="shared" si="464"/>
        <v>490.43773856597932</v>
      </c>
      <c r="BJ214" s="4">
        <f t="shared" si="465"/>
        <v>1.6127327236170319</v>
      </c>
      <c r="BR214" s="4">
        <f t="shared" si="539"/>
        <v>40.700000000000003</v>
      </c>
      <c r="BV214" s="9"/>
      <c r="BX214" s="9"/>
      <c r="BY214" s="9"/>
      <c r="BZ214" s="9">
        <f t="shared" si="577"/>
        <v>40.700000000000003</v>
      </c>
      <c r="CA214" s="9">
        <f t="shared" si="578"/>
        <v>76</v>
      </c>
      <c r="CB214" s="9">
        <f t="shared" si="604"/>
        <v>1.1709505872794554</v>
      </c>
      <c r="CC214" s="9">
        <v>0</v>
      </c>
      <c r="CD214" s="9">
        <f t="shared" si="518"/>
        <v>0</v>
      </c>
      <c r="CE214" s="9">
        <f t="shared" si="605"/>
        <v>0</v>
      </c>
      <c r="CF214" s="9">
        <f t="shared" si="579"/>
        <v>0.89787751228078194</v>
      </c>
      <c r="CG214" s="9">
        <f t="shared" si="580"/>
        <v>0.91600000000000004</v>
      </c>
      <c r="CH214" s="9">
        <f t="shared" si="606"/>
        <v>1.560825234402609</v>
      </c>
      <c r="CI214" s="9">
        <f t="shared" si="607"/>
        <v>1.8276492248643288</v>
      </c>
      <c r="CJ214" s="9">
        <v>1</v>
      </c>
      <c r="CK214" s="9">
        <f t="shared" si="608"/>
        <v>167.85783942329368</v>
      </c>
      <c r="DH214" s="4">
        <f t="shared" si="557"/>
        <v>0</v>
      </c>
      <c r="DI214" s="4">
        <f t="shared" si="453"/>
        <v>285</v>
      </c>
      <c r="DL214" s="4">
        <f t="shared" si="485"/>
        <v>1.4154911585501488E-5</v>
      </c>
      <c r="DM214" s="4">
        <f t="shared" si="558"/>
        <v>5.3136376440206563</v>
      </c>
      <c r="DN214" s="4">
        <f t="shared" si="486"/>
        <v>0.21102130995889065</v>
      </c>
      <c r="DO214" s="4">
        <f t="shared" si="487"/>
        <v>2.8518223011626525</v>
      </c>
      <c r="DP214" s="4">
        <f t="shared" si="488"/>
        <v>4.2657700805707144</v>
      </c>
      <c r="DQ214" s="4">
        <f t="shared" si="489"/>
        <v>5.1703683026065779</v>
      </c>
      <c r="DR214" s="38">
        <f t="shared" si="513"/>
        <v>237.63385896744128</v>
      </c>
      <c r="DS214" s="4">
        <f t="shared" si="609"/>
        <v>1.0001229347243812</v>
      </c>
      <c r="DT214" s="4">
        <f t="shared" si="490"/>
        <v>2.8367074033127415</v>
      </c>
      <c r="DU214" s="4">
        <f t="shared" si="618"/>
        <v>110.63890179485385</v>
      </c>
      <c r="DY214" s="4">
        <f t="shared" si="581"/>
        <v>0.85</v>
      </c>
      <c r="DZ214" s="4">
        <f t="shared" si="610"/>
        <v>0.98631284916201112</v>
      </c>
      <c r="EA214" s="4">
        <f t="shared" si="514"/>
        <v>1</v>
      </c>
      <c r="EB214" s="4">
        <f t="shared" si="611"/>
        <v>0.98631284916201112</v>
      </c>
      <c r="ED214" s="4">
        <f t="shared" si="515"/>
        <v>236.03254778315886</v>
      </c>
      <c r="EE214" s="25">
        <f t="shared" si="516"/>
        <v>109.12863198322417</v>
      </c>
      <c r="EG214" s="4">
        <f t="shared" si="619"/>
        <v>0.83836592178770941</v>
      </c>
      <c r="EH214" s="4">
        <f t="shared" si="517"/>
        <v>5.3136376440206563</v>
      </c>
      <c r="EK214" s="4">
        <f t="shared" si="491"/>
        <v>101.55412503859614</v>
      </c>
      <c r="EL214" s="4">
        <f t="shared" si="492"/>
        <v>2.8367074033127415</v>
      </c>
      <c r="EM214" s="4">
        <f t="shared" si="493"/>
        <v>6.2565546914000694E-2</v>
      </c>
      <c r="EP214" s="4">
        <f t="shared" si="541"/>
        <v>6.2565546914000694E-2</v>
      </c>
      <c r="EQ214" s="4">
        <f t="shared" si="542"/>
        <v>0.21066915472159506</v>
      </c>
      <c r="ER214" s="4">
        <f t="shared" si="559"/>
        <v>2.8499176832900814</v>
      </c>
      <c r="ES214" s="4">
        <f t="shared" si="582"/>
        <v>4.2651388314267988</v>
      </c>
      <c r="ET214" s="4">
        <f t="shared" si="560"/>
        <v>112.19587496140386</v>
      </c>
      <c r="EU214" s="4">
        <f t="shared" si="561"/>
        <v>71.25</v>
      </c>
      <c r="EV214" s="4">
        <f t="shared" si="612"/>
        <v>1.4154911585501488E-5</v>
      </c>
      <c r="EW214" s="4">
        <f t="shared" si="583"/>
        <v>5.170407840659351</v>
      </c>
      <c r="EX214" s="4">
        <f t="shared" si="466"/>
        <v>237.60464910539184</v>
      </c>
      <c r="FG214" s="23"/>
      <c r="FH214" s="23"/>
      <c r="FI214" s="23"/>
      <c r="FJ214" s="23"/>
      <c r="FK214" s="23"/>
      <c r="FL214" s="23"/>
      <c r="FM214" s="23"/>
      <c r="FN214" s="23"/>
      <c r="FX214" s="4">
        <f t="shared" si="613"/>
        <v>1</v>
      </c>
      <c r="FY214" s="4">
        <f t="shared" si="469"/>
        <v>0.8938547486033519</v>
      </c>
      <c r="FZ214" s="4">
        <f t="shared" si="614"/>
        <v>0</v>
      </c>
      <c r="GA214" s="4">
        <f t="shared" si="615"/>
        <v>174.18863499806304</v>
      </c>
    </row>
    <row r="215" spans="1:183" ht="12" hidden="1" customHeight="1" x14ac:dyDescent="0.3">
      <c r="A215" s="25">
        <v>197</v>
      </c>
      <c r="B215" s="24" t="s">
        <v>182</v>
      </c>
      <c r="C215" s="4">
        <v>1996</v>
      </c>
      <c r="D215" s="24" t="s">
        <v>309</v>
      </c>
      <c r="E215" s="24"/>
      <c r="F215" s="4" t="s">
        <v>331</v>
      </c>
      <c r="G215" s="7">
        <v>578</v>
      </c>
      <c r="H215" s="7">
        <f>305-P215-18</f>
        <v>211</v>
      </c>
      <c r="I215" s="7">
        <f t="shared" si="455"/>
        <v>211</v>
      </c>
      <c r="J215" s="7">
        <v>26.7</v>
      </c>
      <c r="K215" s="7">
        <v>25.4</v>
      </c>
      <c r="L215" s="7">
        <f t="shared" si="498"/>
        <v>8.3070866141732296</v>
      </c>
      <c r="M215" s="7">
        <f t="shared" si="499"/>
        <v>8.3070866141732296</v>
      </c>
      <c r="N215" s="7">
        <v>305</v>
      </c>
      <c r="O215" s="7">
        <v>76</v>
      </c>
      <c r="P215" s="7">
        <v>76</v>
      </c>
      <c r="Q215" s="7">
        <f t="shared" si="623"/>
        <v>102.19999999999999</v>
      </c>
      <c r="R215" s="7">
        <v>2</v>
      </c>
      <c r="S215" s="7">
        <f t="shared" si="620"/>
        <v>280</v>
      </c>
      <c r="T215" s="7">
        <f t="shared" si="621"/>
        <v>2.5118110236220472</v>
      </c>
      <c r="U215" s="7">
        <f t="shared" si="459"/>
        <v>3.4921259842519685</v>
      </c>
      <c r="V215" s="7">
        <f>3200/(K215^2*PI()/4)-1</f>
        <v>5.3152807724479523</v>
      </c>
      <c r="W215" s="7">
        <f>3200/(K215^2*PI()/4)-1</f>
        <v>5.3152807724479523</v>
      </c>
      <c r="X215" s="7">
        <f t="shared" si="616"/>
        <v>6.3152807724479523</v>
      </c>
      <c r="Y215" s="7">
        <f t="shared" si="552"/>
        <v>63.830764864229231</v>
      </c>
      <c r="Z215" s="7">
        <f t="shared" si="461"/>
        <v>578</v>
      </c>
      <c r="AA215" s="7">
        <v>18</v>
      </c>
      <c r="AB215" s="7"/>
      <c r="AC215" s="32" t="s">
        <v>183</v>
      </c>
      <c r="AD215" s="4">
        <f t="shared" si="476"/>
        <v>0</v>
      </c>
      <c r="AE215" s="7"/>
      <c r="AF215" s="7"/>
      <c r="AG215" s="7">
        <v>1</v>
      </c>
      <c r="AH215" s="7"/>
      <c r="AI215" s="7"/>
      <c r="AJ215" s="7">
        <f t="shared" si="473"/>
        <v>4.9608150470219439</v>
      </c>
      <c r="AK215" s="4">
        <f t="shared" si="569"/>
        <v>211</v>
      </c>
      <c r="AL215" s="4">
        <f t="shared" si="505"/>
        <v>0.48183254344391785</v>
      </c>
      <c r="AM215" s="4">
        <f t="shared" si="506"/>
        <v>156.27589807670793</v>
      </c>
      <c r="AN215" s="4">
        <f t="shared" si="507"/>
        <v>0.7840758293838862</v>
      </c>
      <c r="AO215" s="4">
        <v>1.25</v>
      </c>
      <c r="AP215" s="4">
        <f t="shared" si="624"/>
        <v>2.5</v>
      </c>
      <c r="AQ215" s="38">
        <f t="shared" si="509"/>
        <v>184.49993627146509</v>
      </c>
      <c r="AR215" s="38">
        <f t="shared" si="510"/>
        <v>184.49993627146509</v>
      </c>
      <c r="AS215" s="38">
        <f t="shared" si="511"/>
        <v>2.6799627788697054</v>
      </c>
      <c r="AT215" s="38">
        <f t="shared" si="450"/>
        <v>184.49993627146509</v>
      </c>
      <c r="AU215" s="38">
        <f t="shared" si="601"/>
        <v>1</v>
      </c>
      <c r="AV215" s="38">
        <f t="shared" si="537"/>
        <v>1.937739236514296</v>
      </c>
      <c r="AW215" s="4">
        <f t="shared" si="529"/>
        <v>0</v>
      </c>
      <c r="AX215" s="4">
        <f t="shared" si="570"/>
        <v>225.91796552533489</v>
      </c>
      <c r="AY215" s="4">
        <f t="shared" si="571"/>
        <v>1.1561128526645768</v>
      </c>
      <c r="AZ215" s="38">
        <f t="shared" si="617"/>
        <v>357.51276564760502</v>
      </c>
      <c r="BA215" s="4">
        <f t="shared" si="572"/>
        <v>0.3</v>
      </c>
      <c r="BB215" s="4">
        <f t="shared" si="602"/>
        <v>35.412641096096245</v>
      </c>
      <c r="BC215" s="4">
        <f t="shared" si="603"/>
        <v>392.92540674370127</v>
      </c>
      <c r="BE215" s="4">
        <f t="shared" si="451"/>
        <v>1.4980314960629921</v>
      </c>
      <c r="BF215" s="4">
        <f t="shared" si="452"/>
        <v>425.12541232465287</v>
      </c>
      <c r="BH215" s="4">
        <f t="shared" si="463"/>
        <v>342.89846321833909</v>
      </c>
      <c r="BI215" s="4">
        <f t="shared" si="464"/>
        <v>2245.2309649218914</v>
      </c>
      <c r="BJ215" s="4">
        <f t="shared" si="465"/>
        <v>6.5478011882842724</v>
      </c>
      <c r="BR215" s="4">
        <f t="shared" si="539"/>
        <v>51.099999999999994</v>
      </c>
      <c r="BV215" s="9"/>
      <c r="BX215" s="9"/>
      <c r="BY215" s="9"/>
      <c r="BZ215" s="9">
        <f t="shared" si="577"/>
        <v>51.099999999999994</v>
      </c>
      <c r="CA215" s="9">
        <f t="shared" si="578"/>
        <v>76</v>
      </c>
      <c r="CB215" s="9">
        <f t="shared" si="604"/>
        <v>1.5054020239149992</v>
      </c>
      <c r="CC215" s="9">
        <v>0</v>
      </c>
      <c r="CD215" s="9">
        <f t="shared" si="518"/>
        <v>0</v>
      </c>
      <c r="CE215" s="9">
        <f t="shared" si="605"/>
        <v>0</v>
      </c>
      <c r="CF215" s="9">
        <f t="shared" si="579"/>
        <v>0.99524931562137331</v>
      </c>
      <c r="CG215" s="9">
        <f t="shared" si="580"/>
        <v>0.88300000000000001</v>
      </c>
      <c r="CH215" s="9">
        <f t="shared" si="606"/>
        <v>1.5893379964194141</v>
      </c>
      <c r="CI215" s="9">
        <f t="shared" si="607"/>
        <v>2.3925926364947956</v>
      </c>
      <c r="CJ215" s="9">
        <v>1</v>
      </c>
      <c r="CK215" s="9">
        <f t="shared" si="608"/>
        <v>223.05745524486912</v>
      </c>
      <c r="DH215" s="4">
        <f t="shared" si="557"/>
        <v>0</v>
      </c>
      <c r="DI215" s="4">
        <f t="shared" si="453"/>
        <v>211</v>
      </c>
      <c r="DL215" s="4">
        <f t="shared" si="485"/>
        <v>1.4482761122930935E-5</v>
      </c>
      <c r="DM215" s="4">
        <f t="shared" si="558"/>
        <v>6.1741032375934068</v>
      </c>
      <c r="DN215" s="4">
        <f t="shared" si="486"/>
        <v>0.32289080206314286</v>
      </c>
      <c r="DO215" s="4">
        <f t="shared" si="487"/>
        <v>3.9282232030926831</v>
      </c>
      <c r="DP215" s="4">
        <f t="shared" si="488"/>
        <v>5.1750632497803224</v>
      </c>
      <c r="DQ215" s="4">
        <f t="shared" si="489"/>
        <v>6.0135131520244283</v>
      </c>
      <c r="DR215" s="38">
        <f t="shared" si="513"/>
        <v>350.89045976809524</v>
      </c>
      <c r="DS215" s="4">
        <f t="shared" si="609"/>
        <v>1.0001161267300582</v>
      </c>
      <c r="DT215" s="4">
        <f t="shared" si="490"/>
        <v>2.5130222387491825</v>
      </c>
      <c r="DU215" s="4">
        <f t="shared" si="618"/>
        <v>184.49993627146509</v>
      </c>
      <c r="DY215" s="4">
        <f t="shared" si="581"/>
        <v>0.85</v>
      </c>
      <c r="DZ215" s="4">
        <f t="shared" si="610"/>
        <v>0.89881889763779532</v>
      </c>
      <c r="EA215" s="4">
        <f t="shared" si="514"/>
        <v>1</v>
      </c>
      <c r="EB215" s="4">
        <f t="shared" si="611"/>
        <v>0.89881889763779532</v>
      </c>
      <c r="ED215" s="4">
        <f t="shared" si="515"/>
        <v>336.04175011156474</v>
      </c>
      <c r="EE215" s="25">
        <f t="shared" si="516"/>
        <v>182.17531903295736</v>
      </c>
      <c r="EG215" s="4">
        <f t="shared" si="619"/>
        <v>0.76399606299212597</v>
      </c>
      <c r="EH215" s="4">
        <f t="shared" si="517"/>
        <v>6.1741032375934068</v>
      </c>
      <c r="EK215" s="4">
        <f t="shared" si="491"/>
        <v>63.830764864229231</v>
      </c>
      <c r="EL215" s="4">
        <f t="shared" si="492"/>
        <v>2.5130222387491825</v>
      </c>
      <c r="EM215" s="4">
        <f t="shared" si="493"/>
        <v>9.1231868546160749E-2</v>
      </c>
      <c r="EP215" s="4">
        <f t="shared" si="541"/>
        <v>9.1231868546160749E-2</v>
      </c>
      <c r="EQ215" s="4">
        <f t="shared" si="542"/>
        <v>0.32235195749316436</v>
      </c>
      <c r="ER215" s="4">
        <f t="shared" si="559"/>
        <v>3.9255997001777194</v>
      </c>
      <c r="ES215" s="4">
        <f t="shared" si="582"/>
        <v>5.1740707586068853</v>
      </c>
      <c r="ET215" s="4">
        <f t="shared" si="560"/>
        <v>94.419235135770776</v>
      </c>
      <c r="EU215" s="4">
        <f t="shared" si="561"/>
        <v>52.75</v>
      </c>
      <c r="EV215" s="4">
        <f t="shared" si="612"/>
        <v>1.4482761122930935E-5</v>
      </c>
      <c r="EW215" s="4">
        <f t="shared" si="583"/>
        <v>6.0135596394644217</v>
      </c>
      <c r="EX215" s="4">
        <f t="shared" si="466"/>
        <v>350.84971673774862</v>
      </c>
      <c r="FG215" s="23"/>
      <c r="FH215" s="23"/>
      <c r="FI215" s="23"/>
      <c r="FJ215" s="23"/>
      <c r="FK215" s="23"/>
      <c r="FL215" s="23"/>
      <c r="FM215" s="23"/>
      <c r="FN215" s="23"/>
      <c r="FX215" s="4">
        <f t="shared" si="613"/>
        <v>1</v>
      </c>
      <c r="FY215" s="4">
        <f t="shared" si="469"/>
        <v>0.74803149606299213</v>
      </c>
      <c r="FZ215" s="4">
        <f t="shared" si="614"/>
        <v>0</v>
      </c>
      <c r="GA215" s="4">
        <f t="shared" si="615"/>
        <v>251.72098720127065</v>
      </c>
    </row>
    <row r="216" spans="1:183" ht="12" hidden="1" customHeight="1" x14ac:dyDescent="0.3">
      <c r="A216" s="25">
        <v>198</v>
      </c>
      <c r="B216" s="24" t="s">
        <v>182</v>
      </c>
      <c r="C216" s="4">
        <v>1996</v>
      </c>
      <c r="D216" s="24" t="s">
        <v>309</v>
      </c>
      <c r="E216" s="24"/>
      <c r="F216" s="4" t="s">
        <v>332</v>
      </c>
      <c r="G216" s="7">
        <v>556</v>
      </c>
      <c r="H216" s="7">
        <f>381-P216-25</f>
        <v>280</v>
      </c>
      <c r="I216" s="7">
        <f t="shared" si="455"/>
        <v>280</v>
      </c>
      <c r="J216" s="7">
        <v>22.5</v>
      </c>
      <c r="K216" s="7">
        <v>35.799999999999997</v>
      </c>
      <c r="L216" s="7">
        <f t="shared" si="498"/>
        <v>7.8212290502793298</v>
      </c>
      <c r="M216" s="7">
        <f t="shared" si="499"/>
        <v>7.8212290502793298</v>
      </c>
      <c r="N216" s="7">
        <v>305</v>
      </c>
      <c r="O216" s="7">
        <v>76</v>
      </c>
      <c r="P216" s="7">
        <v>76</v>
      </c>
      <c r="Q216" s="7">
        <f t="shared" si="623"/>
        <v>81.400000000000006</v>
      </c>
      <c r="R216" s="7">
        <v>2</v>
      </c>
      <c r="S216" s="7">
        <f t="shared" si="620"/>
        <v>280</v>
      </c>
      <c r="T216" s="7">
        <f t="shared" si="621"/>
        <v>1.6368715083798884</v>
      </c>
      <c r="U216" s="7">
        <f t="shared" si="459"/>
        <v>2.6229050279329611</v>
      </c>
      <c r="V216" s="7">
        <f>5500/(K216^2*PI()/4)-1</f>
        <v>4.4639504822285474</v>
      </c>
      <c r="W216" s="7">
        <f t="shared" si="622"/>
        <v>4.4639504822285474</v>
      </c>
      <c r="X216" s="7">
        <f t="shared" si="616"/>
        <v>5.4639504822285474</v>
      </c>
      <c r="Y216" s="7">
        <f t="shared" si="552"/>
        <v>83.682838718840046</v>
      </c>
      <c r="Z216" s="7">
        <f t="shared" si="461"/>
        <v>556</v>
      </c>
      <c r="AA216" s="7">
        <v>25</v>
      </c>
      <c r="AB216" s="7"/>
      <c r="AC216" s="32" t="s">
        <v>183</v>
      </c>
      <c r="AD216" s="4">
        <f t="shared" si="476"/>
        <v>0</v>
      </c>
      <c r="AE216" s="7"/>
      <c r="AF216" s="7"/>
      <c r="AG216" s="7">
        <v>1</v>
      </c>
      <c r="AH216" s="7"/>
      <c r="AI216" s="7"/>
      <c r="AJ216" s="7">
        <f t="shared" si="473"/>
        <v>7.1672354948805461</v>
      </c>
      <c r="AK216" s="4">
        <f t="shared" si="569"/>
        <v>280</v>
      </c>
      <c r="AL216" s="4">
        <f t="shared" si="505"/>
        <v>0.36309523809523808</v>
      </c>
      <c r="AM216" s="4">
        <f t="shared" si="506"/>
        <v>110.3932135239679</v>
      </c>
      <c r="AN216" s="4">
        <f t="shared" si="507"/>
        <v>0.76707142857142852</v>
      </c>
      <c r="AO216" s="4">
        <v>1.25</v>
      </c>
      <c r="AP216" s="4">
        <f t="shared" si="624"/>
        <v>2.5</v>
      </c>
      <c r="AQ216" s="38">
        <f t="shared" si="509"/>
        <v>96.083487353937286</v>
      </c>
      <c r="AR216" s="38">
        <f t="shared" si="510"/>
        <v>96.083487353937286</v>
      </c>
      <c r="AS216" s="38">
        <f t="shared" si="511"/>
        <v>2.3909817806608746</v>
      </c>
      <c r="AT216" s="38">
        <f t="shared" si="450"/>
        <v>96.083487353937329</v>
      </c>
      <c r="AU216" s="38">
        <f t="shared" si="601"/>
        <v>0.99999999999999956</v>
      </c>
      <c r="AV216" s="38">
        <f t="shared" si="537"/>
        <v>2.0099917928967055</v>
      </c>
      <c r="AW216" s="4">
        <f t="shared" si="529"/>
        <v>0</v>
      </c>
      <c r="AX216" s="4">
        <f t="shared" si="570"/>
        <v>195.25972026914428</v>
      </c>
      <c r="AY216" s="4">
        <f t="shared" si="571"/>
        <v>1.2409556313993173</v>
      </c>
      <c r="AZ216" s="38">
        <f t="shared" si="617"/>
        <v>193.12702101430844</v>
      </c>
      <c r="BA216" s="4">
        <f t="shared" si="572"/>
        <v>0.37504693248800336</v>
      </c>
      <c r="BB216" s="4">
        <f t="shared" si="602"/>
        <v>38.263489643025764</v>
      </c>
      <c r="BC216" s="4">
        <f t="shared" si="603"/>
        <v>231.3905106573342</v>
      </c>
      <c r="BE216" s="4">
        <f t="shared" si="451"/>
        <v>1.2807262569832403</v>
      </c>
      <c r="BF216" s="4">
        <f t="shared" si="452"/>
        <v>324.7928642937531</v>
      </c>
      <c r="BH216" s="4">
        <f t="shared" si="463"/>
        <v>185.23243104839844</v>
      </c>
      <c r="BI216" s="4">
        <f t="shared" si="464"/>
        <v>1562.4220485187734</v>
      </c>
      <c r="BJ216" s="4">
        <f t="shared" si="465"/>
        <v>8.4349270787820956</v>
      </c>
      <c r="BR216" s="4">
        <f t="shared" si="539"/>
        <v>40.700000000000003</v>
      </c>
      <c r="BV216" s="9"/>
      <c r="BX216" s="9"/>
      <c r="BY216" s="9"/>
      <c r="BZ216" s="9">
        <f t="shared" si="577"/>
        <v>40.700000000000003</v>
      </c>
      <c r="CA216" s="9">
        <f t="shared" si="578"/>
        <v>76</v>
      </c>
      <c r="CB216" s="9">
        <f t="shared" si="604"/>
        <v>1.1709505872794554</v>
      </c>
      <c r="CC216" s="9">
        <v>0</v>
      </c>
      <c r="CD216" s="9">
        <f t="shared" si="518"/>
        <v>0</v>
      </c>
      <c r="CE216" s="9">
        <f t="shared" si="605"/>
        <v>0</v>
      </c>
      <c r="CF216" s="9">
        <f t="shared" si="579"/>
        <v>0.89787751228078194</v>
      </c>
      <c r="CG216" s="9">
        <f t="shared" si="580"/>
        <v>0.91600000000000004</v>
      </c>
      <c r="CH216" s="9">
        <f t="shared" si="606"/>
        <v>1.3654376435522646</v>
      </c>
      <c r="CI216" s="9">
        <f t="shared" si="607"/>
        <v>1.598860010611</v>
      </c>
      <c r="CJ216" s="9">
        <v>1</v>
      </c>
      <c r="CK216" s="9">
        <f t="shared" si="608"/>
        <v>145.95180208594269</v>
      </c>
      <c r="DH216" s="4">
        <f t="shared" si="557"/>
        <v>0</v>
      </c>
      <c r="DI216" s="4">
        <f t="shared" si="453"/>
        <v>280</v>
      </c>
      <c r="DL216" s="4">
        <f t="shared" si="485"/>
        <v>1.3208101828668835E-5</v>
      </c>
      <c r="DM216" s="4">
        <f t="shared" si="558"/>
        <v>4.6484646092482738</v>
      </c>
      <c r="DN216" s="4">
        <f t="shared" si="486"/>
        <v>0.31149433418967626</v>
      </c>
      <c r="DO216" s="4">
        <f t="shared" si="487"/>
        <v>2.9153425379443894</v>
      </c>
      <c r="DP216" s="4">
        <f t="shared" si="488"/>
        <v>3.8804037208967719</v>
      </c>
      <c r="DQ216" s="4">
        <f t="shared" si="489"/>
        <v>4.5388108160927203</v>
      </c>
      <c r="DR216" s="38">
        <f t="shared" si="513"/>
        <v>213.60778670455136</v>
      </c>
      <c r="DS216" s="4">
        <f t="shared" si="609"/>
        <v>1.0001322563224397</v>
      </c>
      <c r="DT216" s="4">
        <f t="shared" si="490"/>
        <v>2.3375094614201131</v>
      </c>
      <c r="DU216" s="4">
        <f t="shared" si="618"/>
        <v>96.083487353937329</v>
      </c>
      <c r="DY216" s="4">
        <f t="shared" si="581"/>
        <v>0.85</v>
      </c>
      <c r="DZ216" s="4">
        <f t="shared" si="610"/>
        <v>0.98631284916201112</v>
      </c>
      <c r="EA216" s="4">
        <f t="shared" si="514"/>
        <v>1</v>
      </c>
      <c r="EB216" s="4">
        <f t="shared" si="611"/>
        <v>0.98631284916201112</v>
      </c>
      <c r="ED216" s="4">
        <f t="shared" si="515"/>
        <v>203.81627305831509</v>
      </c>
      <c r="EE216" s="25">
        <f t="shared" si="516"/>
        <v>94.746153735171248</v>
      </c>
      <c r="EG216" s="4">
        <f t="shared" si="619"/>
        <v>0.83836592178770941</v>
      </c>
      <c r="EH216" s="4">
        <f t="shared" si="517"/>
        <v>4.6484646092482738</v>
      </c>
      <c r="EK216" s="4">
        <f t="shared" si="491"/>
        <v>83.682838718840046</v>
      </c>
      <c r="EL216" s="4">
        <f t="shared" si="492"/>
        <v>2.3375094614201131</v>
      </c>
      <c r="EM216" s="4">
        <f t="shared" si="493"/>
        <v>8.0793547209318639E-2</v>
      </c>
      <c r="EP216" s="4">
        <f t="shared" si="541"/>
        <v>8.0793547209318639E-2</v>
      </c>
      <c r="EQ216" s="4">
        <f t="shared" si="542"/>
        <v>0.31097450820056571</v>
      </c>
      <c r="ER216" s="4">
        <f t="shared" si="559"/>
        <v>2.9133954974502569</v>
      </c>
      <c r="ES216" s="4">
        <f t="shared" si="582"/>
        <v>3.8796749091669303</v>
      </c>
      <c r="ET216" s="4">
        <f t="shared" si="560"/>
        <v>126.31716128115995</v>
      </c>
      <c r="EU216" s="4">
        <f t="shared" si="561"/>
        <v>69.999999999999986</v>
      </c>
      <c r="EV216" s="4">
        <f t="shared" si="612"/>
        <v>1.3208101828668833E-5</v>
      </c>
      <c r="EW216" s="4">
        <f t="shared" si="583"/>
        <v>4.538841994189255</v>
      </c>
      <c r="EX216" s="4">
        <f t="shared" si="466"/>
        <v>213.57953946011401</v>
      </c>
      <c r="FG216" s="23"/>
      <c r="FH216" s="23"/>
      <c r="FI216" s="23"/>
      <c r="FJ216" s="23"/>
      <c r="FK216" s="23"/>
      <c r="FL216" s="23"/>
      <c r="FM216" s="23"/>
      <c r="FN216" s="23"/>
      <c r="FX216" s="4">
        <f t="shared" si="613"/>
        <v>1</v>
      </c>
      <c r="FY216" s="4">
        <f t="shared" si="469"/>
        <v>0.8938547486033519</v>
      </c>
      <c r="FZ216" s="4">
        <f t="shared" si="614"/>
        <v>0</v>
      </c>
      <c r="GA216" s="4">
        <f t="shared" si="615"/>
        <v>160.06330653041465</v>
      </c>
    </row>
    <row r="217" spans="1:183" ht="12" hidden="1" customHeight="1" x14ac:dyDescent="0.3">
      <c r="A217" s="25">
        <v>199</v>
      </c>
      <c r="B217" s="24" t="s">
        <v>182</v>
      </c>
      <c r="C217" s="4">
        <v>1996</v>
      </c>
      <c r="D217" s="24" t="s">
        <v>309</v>
      </c>
      <c r="E217" s="24"/>
      <c r="F217" s="4" t="s">
        <v>333</v>
      </c>
      <c r="G217" s="7">
        <v>556</v>
      </c>
      <c r="H217" s="7">
        <f>381-P217-25</f>
        <v>280</v>
      </c>
      <c r="I217" s="7">
        <f t="shared" si="455"/>
        <v>280</v>
      </c>
      <c r="J217" s="7">
        <v>22.5</v>
      </c>
      <c r="K217" s="7">
        <v>35.799999999999997</v>
      </c>
      <c r="L217" s="7">
        <f t="shared" si="498"/>
        <v>7.8212290502793298</v>
      </c>
      <c r="M217" s="7">
        <f t="shared" si="499"/>
        <v>7.8212290502793298</v>
      </c>
      <c r="N217" s="7">
        <v>305</v>
      </c>
      <c r="O217" s="7">
        <v>76</v>
      </c>
      <c r="P217" s="7">
        <v>76</v>
      </c>
      <c r="Q217" s="7">
        <f t="shared" si="623"/>
        <v>81.400000000000006</v>
      </c>
      <c r="R217" s="7">
        <v>2</v>
      </c>
      <c r="S217" s="7">
        <f t="shared" si="620"/>
        <v>280</v>
      </c>
      <c r="T217" s="7">
        <f t="shared" si="621"/>
        <v>1.6368715083798884</v>
      </c>
      <c r="U217" s="7">
        <f t="shared" si="459"/>
        <v>2.6229050279329611</v>
      </c>
      <c r="V217" s="7">
        <f>5500/(K217^2*PI()/4)-1</f>
        <v>4.4639504822285474</v>
      </c>
      <c r="W217" s="7">
        <f t="shared" si="622"/>
        <v>4.4639504822285474</v>
      </c>
      <c r="X217" s="7">
        <f t="shared" si="616"/>
        <v>5.4639504822285474</v>
      </c>
      <c r="Y217" s="7">
        <f t="shared" si="552"/>
        <v>83.682838718840046</v>
      </c>
      <c r="Z217" s="7">
        <f t="shared" si="461"/>
        <v>556</v>
      </c>
      <c r="AA217" s="7">
        <v>25</v>
      </c>
      <c r="AB217" s="7"/>
      <c r="AC217" s="32" t="s">
        <v>183</v>
      </c>
      <c r="AD217" s="4">
        <f t="shared" si="476"/>
        <v>0</v>
      </c>
      <c r="AE217" s="7">
        <v>9.5</v>
      </c>
      <c r="AF217" s="7">
        <v>2</v>
      </c>
      <c r="AG217" s="7">
        <v>102</v>
      </c>
      <c r="AH217" s="7">
        <v>4</v>
      </c>
      <c r="AI217" s="7">
        <f t="shared" ref="AI217:AI219" si="625">AF217</f>
        <v>2</v>
      </c>
      <c r="AJ217" s="7">
        <f t="shared" si="473"/>
        <v>7.1672354948805461</v>
      </c>
      <c r="AK217" s="4">
        <f t="shared" si="569"/>
        <v>280</v>
      </c>
      <c r="AL217" s="4">
        <f t="shared" si="505"/>
        <v>0.36309523809523808</v>
      </c>
      <c r="AM217" s="4">
        <f t="shared" si="506"/>
        <v>110.3932135239679</v>
      </c>
      <c r="AN217" s="4">
        <f t="shared" si="507"/>
        <v>0.76707142857142852</v>
      </c>
      <c r="AO217" s="4">
        <v>1.25</v>
      </c>
      <c r="AP217" s="4">
        <f t="shared" si="624"/>
        <v>2.5</v>
      </c>
      <c r="AQ217" s="38">
        <f t="shared" si="509"/>
        <v>96.083487353937286</v>
      </c>
      <c r="AR217" s="38">
        <f t="shared" si="510"/>
        <v>96.083487353937286</v>
      </c>
      <c r="AS217" s="38">
        <f t="shared" si="511"/>
        <v>2.3909817806608746</v>
      </c>
      <c r="AT217" s="38">
        <f t="shared" ref="AT217:AT280" si="626">AP217* (J217^0.5/AK217^0.5)/(PI()/4*K217^2)/R217/0.72 *(0.7+(MIN(O217,S217)+0.5*K217)/5/H217) *(3*N217*H217)</f>
        <v>96.083487353937329</v>
      </c>
      <c r="AU217" s="38">
        <f t="shared" si="601"/>
        <v>0.99999999999999956</v>
      </c>
      <c r="AV217" s="38">
        <f t="shared" si="537"/>
        <v>2.0099917928967055</v>
      </c>
      <c r="AW217" s="4">
        <f t="shared" si="529"/>
        <v>0</v>
      </c>
      <c r="AX217" s="4">
        <f t="shared" si="570"/>
        <v>195.25972026914428</v>
      </c>
      <c r="AY217" s="4">
        <f t="shared" si="571"/>
        <v>1.2409556313993173</v>
      </c>
      <c r="AZ217" s="38">
        <f t="shared" si="617"/>
        <v>193.12702101430844</v>
      </c>
      <c r="BA217" s="4">
        <f t="shared" si="572"/>
        <v>0.37504693248800336</v>
      </c>
      <c r="BB217" s="4">
        <f t="shared" si="602"/>
        <v>38.263489643025764</v>
      </c>
      <c r="BC217" s="4">
        <f t="shared" si="603"/>
        <v>231.3905106573342</v>
      </c>
      <c r="BE217" s="4">
        <f t="shared" ref="BE217:BE280" si="627">MIN(1.5, 0.75+0.25*MIN(3,MAX(1,O217/K217))+0.4*MIN(1,(40*2*PI()*AE217^2/4/AG217/R217)/K217))</f>
        <v>1.5</v>
      </c>
      <c r="BF217" s="4">
        <f t="shared" ref="BF217:BF281" si="628">(3*M217+30)*BE217*J217^0.5</f>
        <v>380.40080289148398</v>
      </c>
      <c r="BH217" s="4">
        <f t="shared" si="463"/>
        <v>185.23243104839844</v>
      </c>
      <c r="BI217" s="4">
        <f t="shared" si="464"/>
        <v>1562.4220485187734</v>
      </c>
      <c r="BJ217" s="4">
        <f t="shared" si="465"/>
        <v>8.4349270787820956</v>
      </c>
      <c r="BR217" s="4">
        <f t="shared" si="539"/>
        <v>40.700000000000003</v>
      </c>
      <c r="BV217" s="9"/>
      <c r="BX217" s="9"/>
      <c r="BY217" s="9"/>
      <c r="BZ217" s="9">
        <f t="shared" si="577"/>
        <v>40.700000000000003</v>
      </c>
      <c r="CA217" s="9">
        <f t="shared" si="578"/>
        <v>76</v>
      </c>
      <c r="CB217" s="9">
        <f t="shared" si="604"/>
        <v>1.1709505872794554</v>
      </c>
      <c r="CC217" s="9">
        <v>20</v>
      </c>
      <c r="CD217" s="9">
        <f t="shared" si="518"/>
        <v>3.8822534914349713E-2</v>
      </c>
      <c r="CE217" s="9">
        <f t="shared" si="605"/>
        <v>0.57645069828699425</v>
      </c>
      <c r="CF217" s="9">
        <f t="shared" si="579"/>
        <v>0.89787751228078194</v>
      </c>
      <c r="CG217" s="9">
        <f t="shared" si="580"/>
        <v>0.91600000000000004</v>
      </c>
      <c r="CH217" s="9">
        <f t="shared" si="606"/>
        <v>1.3654376435522646</v>
      </c>
      <c r="CI217" s="9">
        <f t="shared" si="607"/>
        <v>2.3859674937040509</v>
      </c>
      <c r="CJ217" s="9">
        <v>1</v>
      </c>
      <c r="CK217" s="9">
        <f t="shared" si="608"/>
        <v>217.80284272136419</v>
      </c>
      <c r="DH217" s="4">
        <f t="shared" si="557"/>
        <v>2</v>
      </c>
      <c r="DI217" s="4">
        <f t="shared" ref="DI217:DI243" si="629">I217</f>
        <v>280</v>
      </c>
      <c r="DL217" s="4">
        <f t="shared" si="485"/>
        <v>1.3208101828668835E-5</v>
      </c>
      <c r="DM217" s="4">
        <f t="shared" si="558"/>
        <v>4.6930538202349794</v>
      </c>
      <c r="DN217" s="4">
        <f t="shared" si="486"/>
        <v>0.31149433418967626</v>
      </c>
      <c r="DO217" s="4">
        <f t="shared" si="487"/>
        <v>2.9433072175644721</v>
      </c>
      <c r="DP217" s="4">
        <f t="shared" si="488"/>
        <v>3.9176255037367289</v>
      </c>
      <c r="DQ217" s="4">
        <f t="shared" si="489"/>
        <v>4.5812908734182951</v>
      </c>
      <c r="DR217" s="38">
        <f t="shared" si="513"/>
        <v>214.72683896526962</v>
      </c>
      <c r="DS217" s="4">
        <f t="shared" si="609"/>
        <v>1.000132818213</v>
      </c>
      <c r="DT217" s="4">
        <f t="shared" si="490"/>
        <v>2.3375094614201131</v>
      </c>
      <c r="DU217" s="4">
        <f t="shared" si="618"/>
        <v>96.083487353937329</v>
      </c>
      <c r="DY217" s="4">
        <f t="shared" si="581"/>
        <v>0.85</v>
      </c>
      <c r="DZ217" s="4">
        <f t="shared" si="610"/>
        <v>0.98631284916201112</v>
      </c>
      <c r="EA217" s="4">
        <f t="shared" si="514"/>
        <v>0.99049889204456787</v>
      </c>
      <c r="EB217" s="4">
        <f t="shared" si="611"/>
        <v>0.97694178430429301</v>
      </c>
      <c r="ED217" s="4">
        <f t="shared" si="515"/>
        <v>204.86250035520987</v>
      </c>
      <c r="EE217" s="25">
        <f t="shared" si="516"/>
        <v>94.746153735171248</v>
      </c>
      <c r="EG217" s="4">
        <f t="shared" si="619"/>
        <v>0.830400516658649</v>
      </c>
      <c r="EH217" s="4">
        <f t="shared" si="517"/>
        <v>4.6930538202349794</v>
      </c>
      <c r="EK217" s="4">
        <f t="shared" si="491"/>
        <v>83.682838718840046</v>
      </c>
      <c r="EL217" s="4">
        <f t="shared" si="492"/>
        <v>2.3375094614201131</v>
      </c>
      <c r="EM217" s="4">
        <f t="shared" si="493"/>
        <v>8.0793547209318639E-2</v>
      </c>
      <c r="EP217" s="4">
        <f t="shared" si="541"/>
        <v>8.0793547209318639E-2</v>
      </c>
      <c r="EQ217" s="4">
        <f t="shared" si="542"/>
        <v>0.31097450820056571</v>
      </c>
      <c r="ER217" s="4">
        <f t="shared" si="559"/>
        <v>2.9413415005810704</v>
      </c>
      <c r="ES217" s="4">
        <f t="shared" si="582"/>
        <v>3.9168897010662813</v>
      </c>
      <c r="ET217" s="4">
        <f t="shared" si="560"/>
        <v>126.31716128115995</v>
      </c>
      <c r="EU217" s="4">
        <f t="shared" si="561"/>
        <v>69.999999999999986</v>
      </c>
      <c r="EV217" s="4">
        <f t="shared" si="612"/>
        <v>1.3208101828668833E-5</v>
      </c>
      <c r="EW217" s="4">
        <f t="shared" si="583"/>
        <v>4.5813226512149816</v>
      </c>
      <c r="EX217" s="4">
        <f t="shared" si="466"/>
        <v>214.69832311765902</v>
      </c>
      <c r="FG217" s="23"/>
      <c r="FH217" s="23"/>
      <c r="FI217" s="23"/>
      <c r="FJ217" s="23"/>
      <c r="FK217" s="23"/>
      <c r="FL217" s="23"/>
      <c r="FM217" s="23"/>
      <c r="FN217" s="23"/>
      <c r="FX217" s="4">
        <f t="shared" si="613"/>
        <v>1</v>
      </c>
      <c r="FY217" s="4">
        <f t="shared" si="469"/>
        <v>0.57658194354098002</v>
      </c>
      <c r="FZ217" s="4">
        <f t="shared" si="614"/>
        <v>0.28167035985144034</v>
      </c>
      <c r="GA217" s="4">
        <f t="shared" si="615"/>
        <v>248.14052576933713</v>
      </c>
    </row>
    <row r="218" spans="1:183" ht="12" hidden="1" customHeight="1" x14ac:dyDescent="0.3">
      <c r="A218" s="25">
        <v>200</v>
      </c>
      <c r="B218" s="24" t="s">
        <v>182</v>
      </c>
      <c r="C218" s="4">
        <v>1996</v>
      </c>
      <c r="D218" s="24" t="s">
        <v>309</v>
      </c>
      <c r="E218" s="24"/>
      <c r="F218" s="4" t="s">
        <v>334</v>
      </c>
      <c r="G218" s="7">
        <v>556</v>
      </c>
      <c r="H218" s="7">
        <f>381-P218-25</f>
        <v>280</v>
      </c>
      <c r="I218" s="7">
        <f t="shared" ref="I218:I243" si="630">H218</f>
        <v>280</v>
      </c>
      <c r="J218" s="7">
        <v>23.2</v>
      </c>
      <c r="K218" s="7">
        <v>35.799999999999997</v>
      </c>
      <c r="L218" s="7">
        <f t="shared" si="498"/>
        <v>7.8212290502793298</v>
      </c>
      <c r="M218" s="7">
        <f t="shared" si="499"/>
        <v>7.8212290502793298</v>
      </c>
      <c r="N218" s="7">
        <v>305</v>
      </c>
      <c r="O218" s="7">
        <v>76</v>
      </c>
      <c r="P218" s="7">
        <v>76</v>
      </c>
      <c r="Q218" s="7">
        <f t="shared" si="623"/>
        <v>81.400000000000006</v>
      </c>
      <c r="R218" s="7">
        <v>2</v>
      </c>
      <c r="S218" s="7">
        <f t="shared" si="620"/>
        <v>280</v>
      </c>
      <c r="T218" s="7">
        <f t="shared" si="621"/>
        <v>1.6368715083798884</v>
      </c>
      <c r="U218" s="7">
        <f t="shared" ref="U218:U281" si="631">O218/K218+0.5</f>
        <v>2.6229050279329611</v>
      </c>
      <c r="V218" s="7">
        <f>5500/(K218^2*PI()/4)-1</f>
        <v>4.4639504822285474</v>
      </c>
      <c r="W218" s="7">
        <f t="shared" si="622"/>
        <v>4.4639504822285474</v>
      </c>
      <c r="X218" s="7">
        <f t="shared" si="616"/>
        <v>5.4639504822285474</v>
      </c>
      <c r="Y218" s="7">
        <f t="shared" si="552"/>
        <v>83.682838718840046</v>
      </c>
      <c r="Z218" s="7">
        <f t="shared" ref="Z218:Z243" si="632">G218</f>
        <v>556</v>
      </c>
      <c r="AA218" s="7">
        <v>25</v>
      </c>
      <c r="AB218" s="7"/>
      <c r="AC218" s="32" t="s">
        <v>183</v>
      </c>
      <c r="AD218" s="4">
        <f t="shared" si="476"/>
        <v>0</v>
      </c>
      <c r="AE218" s="7">
        <v>9.5</v>
      </c>
      <c r="AF218" s="7">
        <v>2</v>
      </c>
      <c r="AG218" s="7">
        <v>64</v>
      </c>
      <c r="AH218" s="7">
        <v>6</v>
      </c>
      <c r="AI218" s="7">
        <f t="shared" si="625"/>
        <v>2</v>
      </c>
      <c r="AJ218" s="7">
        <f t="shared" si="473"/>
        <v>7.1672354948805461</v>
      </c>
      <c r="AK218" s="4">
        <f t="shared" si="569"/>
        <v>280</v>
      </c>
      <c r="AL218" s="4">
        <f t="shared" si="505"/>
        <v>0.36309523809523808</v>
      </c>
      <c r="AM218" s="4">
        <f t="shared" si="506"/>
        <v>112.09728888343021</v>
      </c>
      <c r="AN218" s="4">
        <f t="shared" si="507"/>
        <v>0.76707142857142852</v>
      </c>
      <c r="AO218" s="4">
        <v>1.25</v>
      </c>
      <c r="AP218" s="4">
        <f t="shared" si="624"/>
        <v>2.5</v>
      </c>
      <c r="AQ218" s="38">
        <f t="shared" si="509"/>
        <v>97.56667185436406</v>
      </c>
      <c r="AR218" s="38">
        <f t="shared" si="510"/>
        <v>97.56667185436406</v>
      </c>
      <c r="AS218" s="38">
        <f t="shared" si="511"/>
        <v>2.4403188690141904</v>
      </c>
      <c r="AT218" s="38">
        <f t="shared" si="626"/>
        <v>97.566671854364117</v>
      </c>
      <c r="AU218" s="38">
        <f t="shared" si="601"/>
        <v>0.99999999999999944</v>
      </c>
      <c r="AV218" s="38">
        <f t="shared" si="537"/>
        <v>2.0410188585799882</v>
      </c>
      <c r="AW218" s="4">
        <f t="shared" si="529"/>
        <v>0</v>
      </c>
      <c r="AX218" s="4">
        <f t="shared" si="570"/>
        <v>198.27383017123452</v>
      </c>
      <c r="AY218" s="4">
        <f t="shared" si="571"/>
        <v>1.2409556313993173</v>
      </c>
      <c r="AZ218" s="38">
        <f t="shared" si="617"/>
        <v>199.13541722364249</v>
      </c>
      <c r="BA218" s="4">
        <f t="shared" si="572"/>
        <v>0.37504693248800336</v>
      </c>
      <c r="BB218" s="4">
        <f t="shared" si="602"/>
        <v>38.854140714647713</v>
      </c>
      <c r="BC218" s="4">
        <f t="shared" si="603"/>
        <v>237.9895579382902</v>
      </c>
      <c r="BE218" s="4">
        <f t="shared" si="627"/>
        <v>1.5</v>
      </c>
      <c r="BF218" s="4">
        <f t="shared" si="628"/>
        <v>386.2728272146669</v>
      </c>
      <c r="BH218" s="4">
        <f t="shared" ref="BH218:BH281" si="633">3.4/PI()^0.5*J218*T218*W218^0.5*AY218</f>
        <v>190.99521779212648</v>
      </c>
      <c r="BI218" s="4">
        <f t="shared" ref="BI218:BI259" si="634">8/3*Z218*AA218^2/(Y218-K218-22)/K218*(Y218^2-K218^2)/(Y218^2-(K218+22)^2)</f>
        <v>1562.4220485187734</v>
      </c>
      <c r="BJ218" s="4">
        <f t="shared" ref="BJ218:BJ281" si="635">BI218/BH218</f>
        <v>8.1804249686464257</v>
      </c>
      <c r="BR218" s="4">
        <f t="shared" si="539"/>
        <v>40.700000000000003</v>
      </c>
      <c r="BV218" s="9"/>
      <c r="BX218" s="9"/>
      <c r="BY218" s="9"/>
      <c r="BZ218" s="9">
        <f t="shared" si="577"/>
        <v>40.700000000000003</v>
      </c>
      <c r="CA218" s="9">
        <f t="shared" si="578"/>
        <v>76</v>
      </c>
      <c r="CB218" s="9">
        <f t="shared" si="604"/>
        <v>1.1709505872794554</v>
      </c>
      <c r="CC218" s="9">
        <v>20</v>
      </c>
      <c r="CD218" s="9">
        <f t="shared" si="518"/>
        <v>0.05</v>
      </c>
      <c r="CE218" s="9">
        <f t="shared" si="605"/>
        <v>0.8</v>
      </c>
      <c r="CF218" s="9">
        <f t="shared" si="579"/>
        <v>0.89787751228078194</v>
      </c>
      <c r="CG218" s="9">
        <f t="shared" si="580"/>
        <v>0.91600000000000004</v>
      </c>
      <c r="CH218" s="9">
        <f t="shared" si="606"/>
        <v>1.3865151044666033</v>
      </c>
      <c r="CI218" s="9">
        <f t="shared" si="607"/>
        <v>2.7327527594202872</v>
      </c>
      <c r="CJ218" s="9">
        <v>1</v>
      </c>
      <c r="CK218" s="9">
        <f t="shared" si="608"/>
        <v>249.45910664205303</v>
      </c>
      <c r="DH218" s="4">
        <f t="shared" si="557"/>
        <v>2</v>
      </c>
      <c r="DI218" s="4">
        <f t="shared" si="629"/>
        <v>280</v>
      </c>
      <c r="DL218" s="4">
        <f t="shared" si="485"/>
        <v>1.3280055604963279E-5</v>
      </c>
      <c r="DM218" s="4">
        <f t="shared" si="558"/>
        <v>4.765497742468991</v>
      </c>
      <c r="DN218" s="4">
        <f t="shared" si="486"/>
        <v>0.30675907408845532</v>
      </c>
      <c r="DO218" s="4">
        <f t="shared" si="487"/>
        <v>2.970484122953561</v>
      </c>
      <c r="DP218" s="4">
        <f t="shared" si="488"/>
        <v>3.9712794120387733</v>
      </c>
      <c r="DQ218" s="4">
        <f t="shared" si="489"/>
        <v>4.6499415161614266</v>
      </c>
      <c r="DR218" s="38">
        <f t="shared" si="513"/>
        <v>217.75831340658192</v>
      </c>
      <c r="DS218" s="4">
        <f t="shared" si="609"/>
        <v>1.0001319376329623</v>
      </c>
      <c r="DT218" s="4">
        <f t="shared" si="490"/>
        <v>2.3375094614201131</v>
      </c>
      <c r="DU218" s="4">
        <f t="shared" si="618"/>
        <v>97.566671854364117</v>
      </c>
      <c r="DY218" s="4">
        <f t="shared" si="581"/>
        <v>0.85</v>
      </c>
      <c r="DZ218" s="4">
        <f t="shared" si="610"/>
        <v>0.98631284916201112</v>
      </c>
      <c r="EA218" s="4">
        <f t="shared" si="514"/>
        <v>0.99049889204456787</v>
      </c>
      <c r="EB218" s="4">
        <f t="shared" si="611"/>
        <v>0.97694178430429301</v>
      </c>
      <c r="ED218" s="4">
        <f t="shared" si="515"/>
        <v>208.02484274736571</v>
      </c>
      <c r="EE218" s="25">
        <f t="shared" si="516"/>
        <v>96.208694600048602</v>
      </c>
      <c r="EG218" s="4">
        <f t="shared" si="619"/>
        <v>0.830400516658649</v>
      </c>
      <c r="EH218" s="4">
        <f t="shared" si="517"/>
        <v>4.765497742468991</v>
      </c>
      <c r="EK218" s="4">
        <f t="shared" si="491"/>
        <v>83.682838718840046</v>
      </c>
      <c r="EL218" s="4">
        <f t="shared" si="492"/>
        <v>2.3375094614201131</v>
      </c>
      <c r="EM218" s="4">
        <f t="shared" si="493"/>
        <v>8.0793547209318639E-2</v>
      </c>
      <c r="EP218" s="4">
        <f t="shared" si="541"/>
        <v>8.0793547209318639E-2</v>
      </c>
      <c r="EQ218" s="4">
        <f t="shared" si="542"/>
        <v>0.30624715036592115</v>
      </c>
      <c r="ER218" s="4">
        <f t="shared" si="559"/>
        <v>2.9685002556037405</v>
      </c>
      <c r="ES218" s="4">
        <f t="shared" si="582"/>
        <v>3.970540188322834</v>
      </c>
      <c r="ET218" s="4">
        <f t="shared" si="560"/>
        <v>126.31716128115995</v>
      </c>
      <c r="EU218" s="4">
        <f t="shared" si="561"/>
        <v>69.999999999999986</v>
      </c>
      <c r="EV218" s="4">
        <f t="shared" si="612"/>
        <v>1.3280055604963274E-5</v>
      </c>
      <c r="EW218" s="4">
        <f t="shared" si="583"/>
        <v>4.6499742031972318</v>
      </c>
      <c r="EX218" s="4">
        <f t="shared" ref="EX218:EX281" si="636">MIN(4/K218*(1*ER218*EK218+ES218*ET218+EU218*EW218)+DU218,MAX(G218,AB218))</f>
        <v>217.72958668028949</v>
      </c>
      <c r="FG218" s="23"/>
      <c r="FH218" s="23"/>
      <c r="FI218" s="23"/>
      <c r="FJ218" s="23"/>
      <c r="FK218" s="23"/>
      <c r="FL218" s="23"/>
      <c r="FM218" s="23"/>
      <c r="FN218" s="23"/>
      <c r="FX218" s="4">
        <f t="shared" si="613"/>
        <v>1</v>
      </c>
      <c r="FY218" s="4">
        <f t="shared" si="469"/>
        <v>0.56618748804278263</v>
      </c>
      <c r="FZ218" s="4">
        <f t="shared" si="614"/>
        <v>0.3</v>
      </c>
      <c r="GA218" s="4">
        <f t="shared" si="615"/>
        <v>254.63894993046731</v>
      </c>
    </row>
    <row r="219" spans="1:183" ht="12" hidden="1" customHeight="1" x14ac:dyDescent="0.3">
      <c r="A219" s="25">
        <v>201</v>
      </c>
      <c r="B219" s="24" t="s">
        <v>182</v>
      </c>
      <c r="C219" s="4">
        <v>1996</v>
      </c>
      <c r="D219" s="24" t="s">
        <v>309</v>
      </c>
      <c r="E219" s="24"/>
      <c r="F219" s="4" t="s">
        <v>335</v>
      </c>
      <c r="G219" s="7">
        <v>578</v>
      </c>
      <c r="H219" s="7">
        <f>305-P219-18</f>
        <v>211</v>
      </c>
      <c r="I219" s="7">
        <f t="shared" si="630"/>
        <v>211</v>
      </c>
      <c r="J219" s="7">
        <v>29.6</v>
      </c>
      <c r="K219" s="7">
        <v>25.4</v>
      </c>
      <c r="L219" s="7">
        <f t="shared" si="498"/>
        <v>8.3070866141732296</v>
      </c>
      <c r="M219" s="7">
        <f t="shared" si="499"/>
        <v>8.3070866141732296</v>
      </c>
      <c r="N219" s="7">
        <v>305</v>
      </c>
      <c r="O219" s="7">
        <v>76</v>
      </c>
      <c r="P219" s="7">
        <v>76</v>
      </c>
      <c r="Q219" s="7">
        <f t="shared" si="623"/>
        <v>102.19999999999999</v>
      </c>
      <c r="R219" s="7">
        <v>2</v>
      </c>
      <c r="S219" s="7">
        <f t="shared" si="620"/>
        <v>280</v>
      </c>
      <c r="T219" s="7">
        <f t="shared" si="621"/>
        <v>2.5118110236220472</v>
      </c>
      <c r="U219" s="7">
        <f t="shared" si="631"/>
        <v>3.4921259842519685</v>
      </c>
      <c r="V219" s="7">
        <f>3200/(K219^2*PI()/4)-1</f>
        <v>5.3152807724479523</v>
      </c>
      <c r="W219" s="7">
        <f>3200/(K219^2*PI()/4)-1</f>
        <v>5.3152807724479523</v>
      </c>
      <c r="X219" s="7">
        <f t="shared" si="616"/>
        <v>6.3152807724479523</v>
      </c>
      <c r="Y219" s="7">
        <f t="shared" si="552"/>
        <v>63.830764864229231</v>
      </c>
      <c r="Z219" s="7">
        <f t="shared" si="632"/>
        <v>578</v>
      </c>
      <c r="AA219" s="7">
        <v>18</v>
      </c>
      <c r="AB219" s="7"/>
      <c r="AC219" s="32" t="s">
        <v>183</v>
      </c>
      <c r="AD219" s="4">
        <f t="shared" si="476"/>
        <v>0</v>
      </c>
      <c r="AE219" s="7">
        <v>9.5</v>
      </c>
      <c r="AF219" s="7">
        <v>2</v>
      </c>
      <c r="AG219" s="7">
        <v>102</v>
      </c>
      <c r="AH219" s="7">
        <v>4</v>
      </c>
      <c r="AI219" s="7">
        <f t="shared" si="625"/>
        <v>2</v>
      </c>
      <c r="AJ219" s="7">
        <f t="shared" si="473"/>
        <v>4.9608150470219439</v>
      </c>
      <c r="AK219" s="4">
        <f t="shared" si="569"/>
        <v>211</v>
      </c>
      <c r="AL219" s="4">
        <f t="shared" si="505"/>
        <v>0.48183254344391785</v>
      </c>
      <c r="AM219" s="4">
        <f t="shared" si="506"/>
        <v>164.54406728062244</v>
      </c>
      <c r="AN219" s="4">
        <f t="shared" si="507"/>
        <v>0.7840758293838862</v>
      </c>
      <c r="AO219" s="4">
        <v>1.25</v>
      </c>
      <c r="AP219" s="4">
        <f t="shared" si="624"/>
        <v>2.5</v>
      </c>
      <c r="AQ219" s="38">
        <f t="shared" si="509"/>
        <v>194.26136916020866</v>
      </c>
      <c r="AR219" s="38">
        <f t="shared" si="510"/>
        <v>194.26136916020866</v>
      </c>
      <c r="AS219" s="38">
        <f t="shared" si="511"/>
        <v>2.8706642143339227</v>
      </c>
      <c r="AT219" s="38">
        <f t="shared" si="626"/>
        <v>194.26136916020874</v>
      </c>
      <c r="AU219" s="38">
        <f t="shared" si="601"/>
        <v>0.99999999999999956</v>
      </c>
      <c r="AV219" s="38">
        <f t="shared" si="537"/>
        <v>2.0402602015366833</v>
      </c>
      <c r="AW219" s="4">
        <f t="shared" si="529"/>
        <v>0</v>
      </c>
      <c r="AX219" s="4">
        <f t="shared" si="570"/>
        <v>237.87072336039611</v>
      </c>
      <c r="AY219" s="4">
        <f t="shared" si="571"/>
        <v>1.1561128526645768</v>
      </c>
      <c r="AZ219" s="38">
        <f t="shared" si="617"/>
        <v>396.34374019359956</v>
      </c>
      <c r="BA219" s="4">
        <f t="shared" si="572"/>
        <v>0.3</v>
      </c>
      <c r="BB219" s="4">
        <f t="shared" si="602"/>
        <v>37.286235886742084</v>
      </c>
      <c r="BC219" s="4">
        <f t="shared" si="603"/>
        <v>433.62997608034163</v>
      </c>
      <c r="BE219" s="4">
        <f t="shared" si="627"/>
        <v>1.5</v>
      </c>
      <c r="BF219" s="4">
        <f t="shared" si="628"/>
        <v>448.20593763037658</v>
      </c>
      <c r="BH219" s="4">
        <f t="shared" si="633"/>
        <v>380.14211652669815</v>
      </c>
      <c r="BI219" s="4">
        <f t="shared" si="634"/>
        <v>2245.2309649218914</v>
      </c>
      <c r="BJ219" s="4">
        <f t="shared" si="635"/>
        <v>5.9062936394320946</v>
      </c>
      <c r="BR219" s="4">
        <f t="shared" si="539"/>
        <v>51.099999999999994</v>
      </c>
      <c r="BV219" s="9"/>
      <c r="BX219" s="9"/>
      <c r="BY219" s="9"/>
      <c r="BZ219" s="9">
        <f t="shared" si="577"/>
        <v>51.099999999999994</v>
      </c>
      <c r="CA219" s="9">
        <f t="shared" si="578"/>
        <v>76</v>
      </c>
      <c r="CB219" s="9">
        <f t="shared" si="604"/>
        <v>1.5054020239149992</v>
      </c>
      <c r="CC219" s="9">
        <v>20</v>
      </c>
      <c r="CD219" s="9">
        <f t="shared" si="518"/>
        <v>0.05</v>
      </c>
      <c r="CE219" s="9">
        <f t="shared" si="605"/>
        <v>0.8</v>
      </c>
      <c r="CF219" s="9">
        <f t="shared" si="579"/>
        <v>0.99524931562137331</v>
      </c>
      <c r="CG219" s="9">
        <f t="shared" si="580"/>
        <v>0.88300000000000001</v>
      </c>
      <c r="CH219" s="9">
        <f t="shared" si="606"/>
        <v>1.673425918090842</v>
      </c>
      <c r="CI219" s="9">
        <f t="shared" si="607"/>
        <v>3.8579194984384428</v>
      </c>
      <c r="CJ219" s="9">
        <v>1</v>
      </c>
      <c r="CK219" s="9">
        <f t="shared" si="608"/>
        <v>359.6674556024501</v>
      </c>
      <c r="DH219" s="4">
        <f t="shared" si="557"/>
        <v>2</v>
      </c>
      <c r="DI219" s="4">
        <f t="shared" si="629"/>
        <v>211</v>
      </c>
      <c r="DL219" s="4">
        <f t="shared" si="485"/>
        <v>1.4791679478037025E-5</v>
      </c>
      <c r="DM219" s="4">
        <f t="shared" si="558"/>
        <v>7.1662565049066815</v>
      </c>
      <c r="DN219" s="4">
        <f t="shared" si="486"/>
        <v>0.30666587320385641</v>
      </c>
      <c r="DO219" s="4">
        <f t="shared" si="487"/>
        <v>4.4664093970676291</v>
      </c>
      <c r="DP219" s="4">
        <f t="shared" si="488"/>
        <v>5.971725137421525</v>
      </c>
      <c r="DQ219" s="4">
        <f t="shared" si="489"/>
        <v>6.9474326441800711</v>
      </c>
      <c r="DR219" s="38">
        <f t="shared" si="513"/>
        <v>385.66564001194138</v>
      </c>
      <c r="DS219" s="4">
        <f t="shared" si="609"/>
        <v>1.0001192703791044</v>
      </c>
      <c r="DT219" s="4">
        <f t="shared" si="490"/>
        <v>2.5130222387491825</v>
      </c>
      <c r="DU219" s="4">
        <f t="shared" si="618"/>
        <v>194.26136916020874</v>
      </c>
      <c r="DY219" s="4">
        <f t="shared" si="581"/>
        <v>0.85</v>
      </c>
      <c r="DZ219" s="4">
        <f t="shared" si="610"/>
        <v>0.89881889763779532</v>
      </c>
      <c r="EA219" s="4">
        <f t="shared" si="514"/>
        <v>0.90713466426932854</v>
      </c>
      <c r="EB219" s="4">
        <f t="shared" si="611"/>
        <v>0.81534977894758942</v>
      </c>
      <c r="ED219" s="4">
        <f t="shared" si="515"/>
        <v>370.40590266045024</v>
      </c>
      <c r="EE219" s="25">
        <f t="shared" si="516"/>
        <v>191.81376220352391</v>
      </c>
      <c r="EG219" s="4">
        <f t="shared" si="619"/>
        <v>0.69304731210545101</v>
      </c>
      <c r="EH219" s="4">
        <f t="shared" si="517"/>
        <v>7.1662565049066815</v>
      </c>
      <c r="EK219" s="4">
        <f t="shared" si="491"/>
        <v>63.830764864229231</v>
      </c>
      <c r="EL219" s="4">
        <f t="shared" si="492"/>
        <v>2.5130222387491825</v>
      </c>
      <c r="EM219" s="4">
        <f t="shared" si="493"/>
        <v>9.1231868546160763E-2</v>
      </c>
      <c r="EP219" s="4">
        <f t="shared" si="541"/>
        <v>9.1231868546160763E-2</v>
      </c>
      <c r="EQ219" s="4">
        <f t="shared" si="542"/>
        <v>0.30615410501622836</v>
      </c>
      <c r="ER219" s="4">
        <f t="shared" si="559"/>
        <v>4.4634264611531416</v>
      </c>
      <c r="ES219" s="4">
        <f t="shared" si="582"/>
        <v>5.970613743851005</v>
      </c>
      <c r="ET219" s="4">
        <f t="shared" si="560"/>
        <v>94.419235135770776</v>
      </c>
      <c r="EU219" s="4">
        <f t="shared" si="561"/>
        <v>52.75</v>
      </c>
      <c r="EV219" s="4">
        <f t="shared" si="612"/>
        <v>1.4791679478037025E-5</v>
      </c>
      <c r="EW219" s="4">
        <f t="shared" si="583"/>
        <v>6.9474949086799773</v>
      </c>
      <c r="EX219" s="4">
        <f t="shared" si="636"/>
        <v>385.6196470104523</v>
      </c>
      <c r="FG219" s="23"/>
      <c r="FH219" s="23"/>
      <c r="FI219" s="23"/>
      <c r="FJ219" s="23"/>
      <c r="FK219" s="23"/>
      <c r="FL219" s="23"/>
      <c r="FM219" s="23"/>
      <c r="FN219" s="23"/>
      <c r="FX219" s="4">
        <f t="shared" si="613"/>
        <v>1</v>
      </c>
      <c r="FY219" s="4">
        <f t="shared" si="469"/>
        <v>0.53734064771553958</v>
      </c>
      <c r="FZ219" s="4">
        <f t="shared" si="614"/>
        <v>0.3</v>
      </c>
      <c r="GA219" s="4">
        <f t="shared" si="615"/>
        <v>359.57105850766999</v>
      </c>
    </row>
    <row r="220" spans="1:183" ht="12" hidden="1" customHeight="1" x14ac:dyDescent="0.3">
      <c r="A220" s="25">
        <v>202</v>
      </c>
      <c r="B220" s="24" t="s">
        <v>182</v>
      </c>
      <c r="C220" s="4">
        <v>1996</v>
      </c>
      <c r="D220" s="24" t="s">
        <v>309</v>
      </c>
      <c r="E220" s="24"/>
      <c r="F220" s="4" t="s">
        <v>336</v>
      </c>
      <c r="G220" s="7">
        <v>556</v>
      </c>
      <c r="H220" s="7">
        <f>381-P220-25</f>
        <v>280</v>
      </c>
      <c r="I220" s="7">
        <f t="shared" si="630"/>
        <v>280</v>
      </c>
      <c r="J220" s="7">
        <v>34.5</v>
      </c>
      <c r="K220" s="7">
        <v>35.799999999999997</v>
      </c>
      <c r="L220" s="7">
        <f t="shared" si="498"/>
        <v>7.8212290502793298</v>
      </c>
      <c r="M220" s="7">
        <f t="shared" si="499"/>
        <v>7.8212290502793298</v>
      </c>
      <c r="N220" s="7">
        <v>305</v>
      </c>
      <c r="O220" s="7">
        <v>76</v>
      </c>
      <c r="P220" s="7">
        <v>76</v>
      </c>
      <c r="Q220" s="7">
        <f t="shared" si="623"/>
        <v>81.400000000000006</v>
      </c>
      <c r="R220" s="7">
        <v>2</v>
      </c>
      <c r="S220" s="7">
        <f t="shared" si="620"/>
        <v>280</v>
      </c>
      <c r="T220" s="7">
        <f t="shared" si="621"/>
        <v>1.6368715083798884</v>
      </c>
      <c r="U220" s="7">
        <f t="shared" si="631"/>
        <v>2.6229050279329611</v>
      </c>
      <c r="V220" s="7">
        <f>3025/(K220^2*PI()/4)-1</f>
        <v>2.0051727652257014</v>
      </c>
      <c r="W220" s="7">
        <f>3025/(K220^2*PI()/4)-1</f>
        <v>2.0051727652257014</v>
      </c>
      <c r="X220" s="7">
        <f t="shared" si="616"/>
        <v>3.0051727652257014</v>
      </c>
      <c r="Y220" s="7">
        <f t="shared" si="552"/>
        <v>62.060854190253195</v>
      </c>
      <c r="Z220" s="7">
        <f t="shared" si="632"/>
        <v>556</v>
      </c>
      <c r="AA220" s="7">
        <v>25</v>
      </c>
      <c r="AB220" s="7">
        <f>340*1000/(K220^2*PI()/4)</f>
        <v>337.7714843559466</v>
      </c>
      <c r="AC220" s="7"/>
      <c r="AD220" s="4">
        <f t="shared" si="476"/>
        <v>1.2380919937878554</v>
      </c>
      <c r="AE220" s="7"/>
      <c r="AF220" s="7"/>
      <c r="AG220" s="7">
        <v>1</v>
      </c>
      <c r="AH220" s="7"/>
      <c r="AI220" s="7"/>
      <c r="AJ220" s="7">
        <f t="shared" si="473"/>
        <v>7.1672354948805461</v>
      </c>
      <c r="AK220" s="4">
        <f t="shared" si="569"/>
        <v>280</v>
      </c>
      <c r="AL220" s="4">
        <f t="shared" si="505"/>
        <v>0.36309523809523808</v>
      </c>
      <c r="AM220" s="4">
        <f t="shared" si="506"/>
        <v>136.69752902409817</v>
      </c>
      <c r="AN220" s="4">
        <f t="shared" si="507"/>
        <v>0.76707142857142852</v>
      </c>
      <c r="AO220" s="4">
        <v>1.25</v>
      </c>
      <c r="AP220" s="4">
        <f t="shared" si="624"/>
        <v>2.5</v>
      </c>
      <c r="AQ220" s="38">
        <f t="shared" si="509"/>
        <v>118.97810455938722</v>
      </c>
      <c r="AR220" s="38">
        <f t="shared" si="510"/>
        <v>118.97810455938722</v>
      </c>
      <c r="AS220" s="38">
        <f t="shared" si="511"/>
        <v>3.1793181165219675</v>
      </c>
      <c r="AT220" s="38">
        <f t="shared" si="626"/>
        <v>118.97810455938726</v>
      </c>
      <c r="AU220" s="38">
        <f t="shared" si="601"/>
        <v>0.99999999999999967</v>
      </c>
      <c r="AV220" s="38">
        <f t="shared" si="537"/>
        <v>1.6681257525259441</v>
      </c>
      <c r="AW220" s="4">
        <f t="shared" si="529"/>
        <v>0</v>
      </c>
      <c r="AX220" s="4">
        <f t="shared" si="570"/>
        <v>241.78588906584861</v>
      </c>
      <c r="AY220" s="4">
        <f t="shared" si="571"/>
        <v>1.2409556313993173</v>
      </c>
      <c r="AZ220" s="38">
        <f t="shared" si="617"/>
        <v>198.47044020223834</v>
      </c>
      <c r="BA220" s="4">
        <f t="shared" si="572"/>
        <v>0.71927581286840181</v>
      </c>
      <c r="BB220" s="4">
        <f t="shared" si="602"/>
        <v>90.868362641677564</v>
      </c>
      <c r="BC220" s="4">
        <f t="shared" si="603"/>
        <v>289.33880284391591</v>
      </c>
      <c r="BE220" s="4">
        <f t="shared" si="627"/>
        <v>1.2807262569832403</v>
      </c>
      <c r="BF220" s="4">
        <f t="shared" si="628"/>
        <v>402.18398012279795</v>
      </c>
      <c r="BH220" s="4">
        <f t="shared" si="633"/>
        <v>190.35742350720918</v>
      </c>
      <c r="BI220" s="4">
        <f t="shared" si="634"/>
        <v>30569.451870773988</v>
      </c>
      <c r="BJ220" s="4">
        <f t="shared" si="635"/>
        <v>160.58975430299554</v>
      </c>
      <c r="BR220" s="4">
        <f t="shared" si="539"/>
        <v>40.700000000000003</v>
      </c>
      <c r="BV220" s="9"/>
      <c r="BX220" s="9"/>
      <c r="BY220" s="9"/>
      <c r="BZ220" s="9">
        <f t="shared" si="577"/>
        <v>40.700000000000003</v>
      </c>
      <c r="CA220" s="9">
        <f t="shared" si="578"/>
        <v>76</v>
      </c>
      <c r="CB220" s="9">
        <f t="shared" si="604"/>
        <v>1.1709505872794554</v>
      </c>
      <c r="CC220" s="9">
        <v>0</v>
      </c>
      <c r="CD220" s="9">
        <f t="shared" si="518"/>
        <v>0</v>
      </c>
      <c r="CE220" s="9">
        <f t="shared" si="605"/>
        <v>0</v>
      </c>
      <c r="CF220" s="9">
        <f t="shared" si="579"/>
        <v>0.89787751228078194</v>
      </c>
      <c r="CG220" s="9">
        <f t="shared" si="580"/>
        <v>0.91600000000000004</v>
      </c>
      <c r="CH220" s="9">
        <f t="shared" si="606"/>
        <v>1.6907919060582215</v>
      </c>
      <c r="CI220" s="9">
        <f t="shared" si="607"/>
        <v>1.9798337753662243</v>
      </c>
      <c r="CJ220" s="9">
        <v>1</v>
      </c>
      <c r="CK220" s="9">
        <f t="shared" si="608"/>
        <v>180.72896027644751</v>
      </c>
      <c r="CM220" s="4">
        <f>AB220/AX220</f>
        <v>1.3969859269328866</v>
      </c>
      <c r="CN220" s="4">
        <f>AB220/BC220</f>
        <v>1.1673908961949973</v>
      </c>
      <c r="CO220" s="4">
        <f t="shared" ref="CO220:CO221" si="637">AB220/BF220</f>
        <v>0.83984320870467188</v>
      </c>
      <c r="CP220" s="4">
        <f>AB220/CK220</f>
        <v>1.8689394540824167</v>
      </c>
      <c r="CQ220" s="4">
        <f t="shared" ref="CQ220:CQ227" si="638">AB220/DR220</f>
        <v>1.2380919937878554</v>
      </c>
      <c r="CR220" s="4">
        <f t="shared" ref="CR220:CR221" si="639">AB220/ED220</f>
        <v>1.3383380886118024</v>
      </c>
      <c r="CS220" s="4">
        <f>AB220/GA220</f>
        <v>1.8963655360936886</v>
      </c>
      <c r="CU220" s="4">
        <f t="shared" si="593"/>
        <v>1.3969859269328866</v>
      </c>
      <c r="CV220" s="4">
        <f t="shared" si="593"/>
        <v>1.1673908961949973</v>
      </c>
      <c r="CW220" s="4">
        <f t="shared" si="562"/>
        <v>1.8689394540824167</v>
      </c>
      <c r="CX220" s="4">
        <f t="shared" ref="CX220:CX221" si="640">CS220</f>
        <v>1.8963655360936886</v>
      </c>
      <c r="CY220" s="4">
        <f t="shared" si="594"/>
        <v>1.2380919937878554</v>
      </c>
      <c r="CZ220" s="4">
        <f t="shared" si="594"/>
        <v>1.3383380886118024</v>
      </c>
      <c r="DH220" s="4">
        <f t="shared" si="557"/>
        <v>0</v>
      </c>
      <c r="DI220" s="4">
        <f t="shared" si="629"/>
        <v>280</v>
      </c>
      <c r="DL220" s="4">
        <f t="shared" si="485"/>
        <v>1.4413593384422284E-5</v>
      </c>
      <c r="DM220" s="4">
        <f t="shared" si="558"/>
        <v>5.7560932013474524</v>
      </c>
      <c r="DN220" s="4">
        <f t="shared" si="486"/>
        <v>0.41531802396359924</v>
      </c>
      <c r="DO220" s="4">
        <f t="shared" si="487"/>
        <v>4.0502341293306188</v>
      </c>
      <c r="DP220" s="4">
        <f t="shared" si="488"/>
        <v>4.9770133082573631</v>
      </c>
      <c r="DQ220" s="4">
        <f t="shared" si="489"/>
        <v>5.5599195823198233</v>
      </c>
      <c r="DR220" s="38">
        <f t="shared" si="513"/>
        <v>272.8161445601134</v>
      </c>
      <c r="DS220" s="4">
        <f t="shared" si="609"/>
        <v>1.0001337893468336</v>
      </c>
      <c r="DT220" s="4">
        <f t="shared" si="490"/>
        <v>1.7335434131355643</v>
      </c>
      <c r="DU220" s="4">
        <f t="shared" si="618"/>
        <v>118.97810455938726</v>
      </c>
      <c r="DY220" s="4">
        <f t="shared" si="581"/>
        <v>0.85</v>
      </c>
      <c r="DZ220" s="4">
        <f t="shared" si="610"/>
        <v>0.98631284916201112</v>
      </c>
      <c r="EA220" s="4">
        <f t="shared" si="514"/>
        <v>1</v>
      </c>
      <c r="EB220" s="4">
        <f t="shared" si="611"/>
        <v>0.98631284916201112</v>
      </c>
      <c r="ED220" s="4">
        <f t="shared" si="515"/>
        <v>252.38128334694687</v>
      </c>
      <c r="EE220" s="25">
        <f t="shared" si="516"/>
        <v>117.32211325946476</v>
      </c>
      <c r="EG220" s="4">
        <f t="shared" si="619"/>
        <v>0.83836592178770941</v>
      </c>
      <c r="EH220" s="4">
        <f t="shared" si="517"/>
        <v>5.7560932013474524</v>
      </c>
      <c r="EK220" s="4">
        <f t="shared" si="491"/>
        <v>62.060854190253195</v>
      </c>
      <c r="EL220" s="4">
        <f t="shared" si="492"/>
        <v>1.7335434131355643</v>
      </c>
      <c r="EM220" s="4">
        <f t="shared" si="493"/>
        <v>0.13339071238746128</v>
      </c>
      <c r="EP220" s="4">
        <f t="shared" si="541"/>
        <v>0.13339071238746128</v>
      </c>
      <c r="EQ220" s="4">
        <f t="shared" si="542"/>
        <v>0.41462493558636138</v>
      </c>
      <c r="ER220" s="4">
        <f t="shared" si="559"/>
        <v>4.0475291402057101</v>
      </c>
      <c r="ES220" s="4">
        <f t="shared" si="582"/>
        <v>4.9759143938040786</v>
      </c>
      <c r="ET220" s="4">
        <f t="shared" si="560"/>
        <v>147.9391458097468</v>
      </c>
      <c r="EU220" s="4">
        <f t="shared" si="561"/>
        <v>70</v>
      </c>
      <c r="EV220" s="4">
        <f t="shared" si="612"/>
        <v>1.4413593384422284E-5</v>
      </c>
      <c r="EW220" s="4">
        <f t="shared" si="583"/>
        <v>5.5599740973409251</v>
      </c>
      <c r="EX220" s="4">
        <f t="shared" si="636"/>
        <v>272.77964954897072</v>
      </c>
      <c r="FG220" s="23">
        <f t="shared" ref="FG220:FH221" si="641">IF(CM220&lt;0.6,0.6,IF(CM220&lt;0.8,0.8,IF(CM220&lt;1,1,IF(CM220&lt;1.2,1.2,IF(CM220&lt;1.4,1.4,IF(CM220&lt;1.6,1.6,IF(CM220&lt;1.8,1.8,IF(CM220&lt;2,2,2.2))))))))</f>
        <v>1.4</v>
      </c>
      <c r="FH220" s="23">
        <f t="shared" si="641"/>
        <v>1.2</v>
      </c>
      <c r="FI220" s="23">
        <f t="shared" ref="FI220:FI221" si="642">IF(CS220&lt;0.6,0.6,IF(CS220&lt;0.8,0.8,IF(CS220&lt;1,1,IF(CS220&lt;1.2,1.2,IF(CS220&lt;1.4,1.4,IF(CS220&lt;1.6,1.6,IF(CS220&lt;1.8,1.8,IF(CS220&lt;2,2,2.2))))))))</f>
        <v>2</v>
      </c>
      <c r="FJ220" s="23">
        <f t="shared" ref="FJ220:FL221" si="643">IF(CP220&lt;0.6,0.6,IF(CP220&lt;0.8,0.8,IF(CP220&lt;1,1,IF(CP220&lt;1.2,1.2,IF(CP220&lt;1.4,1.4,IF(CP220&lt;1.6,1.6,IF(CP220&lt;1.8,1.8,IF(CP220&lt;2,2,2.2))))))))</f>
        <v>2</v>
      </c>
      <c r="FK220" s="23">
        <f t="shared" si="643"/>
        <v>1.4</v>
      </c>
      <c r="FL220" s="23">
        <f t="shared" si="643"/>
        <v>1.4</v>
      </c>
      <c r="FM220" s="23">
        <f t="shared" ref="FM220:FM221" si="644">IF(FK220&lt;1,1,0)</f>
        <v>0</v>
      </c>
      <c r="FN220" s="23"/>
      <c r="FX220" s="4">
        <f t="shared" si="613"/>
        <v>1</v>
      </c>
      <c r="FY220" s="4">
        <f t="shared" si="469"/>
        <v>0.8938547486033519</v>
      </c>
      <c r="FZ220" s="4">
        <f t="shared" si="614"/>
        <v>0</v>
      </c>
      <c r="GA220" s="4">
        <f t="shared" si="615"/>
        <v>178.11517765278521</v>
      </c>
    </row>
    <row r="221" spans="1:183" ht="12" hidden="1" customHeight="1" x14ac:dyDescent="0.3">
      <c r="A221" s="25">
        <v>203</v>
      </c>
      <c r="B221" s="24" t="s">
        <v>182</v>
      </c>
      <c r="C221" s="4">
        <v>1996</v>
      </c>
      <c r="D221" s="24" t="s">
        <v>309</v>
      </c>
      <c r="E221" s="24"/>
      <c r="F221" s="4" t="s">
        <v>337</v>
      </c>
      <c r="G221" s="7">
        <v>556</v>
      </c>
      <c r="H221" s="7">
        <f>381-P221-25</f>
        <v>280</v>
      </c>
      <c r="I221" s="7">
        <f t="shared" si="630"/>
        <v>280</v>
      </c>
      <c r="J221" s="7">
        <v>34.5</v>
      </c>
      <c r="K221" s="7">
        <v>35.799999999999997</v>
      </c>
      <c r="L221" s="7">
        <f t="shared" si="498"/>
        <v>7.8212290502793298</v>
      </c>
      <c r="M221" s="7">
        <f t="shared" si="499"/>
        <v>7.8212290502793298</v>
      </c>
      <c r="N221" s="7">
        <v>305</v>
      </c>
      <c r="O221" s="7">
        <v>76</v>
      </c>
      <c r="P221" s="7">
        <v>76</v>
      </c>
      <c r="Q221" s="7">
        <f t="shared" si="623"/>
        <v>81.400000000000006</v>
      </c>
      <c r="R221" s="7">
        <v>2</v>
      </c>
      <c r="S221" s="7">
        <f t="shared" si="620"/>
        <v>280</v>
      </c>
      <c r="T221" s="7">
        <f t="shared" si="621"/>
        <v>1.6368715083798884</v>
      </c>
      <c r="U221" s="7">
        <f t="shared" si="631"/>
        <v>2.6229050279329611</v>
      </c>
      <c r="V221" s="7">
        <f>2970/(K221^2*PI()/4)-1</f>
        <v>1.9505332604034158</v>
      </c>
      <c r="W221" s="7">
        <f>2970/(K221^2*PI()/4)-1</f>
        <v>1.9505332604034158</v>
      </c>
      <c r="X221" s="7">
        <f t="shared" si="616"/>
        <v>2.9505332604034158</v>
      </c>
      <c r="Y221" s="7">
        <f t="shared" si="552"/>
        <v>61.494076526633307</v>
      </c>
      <c r="Z221" s="7">
        <f t="shared" si="632"/>
        <v>556</v>
      </c>
      <c r="AA221" s="7">
        <v>25</v>
      </c>
      <c r="AB221" s="7">
        <f>271*1000/(K221^2*PI()/4)</f>
        <v>269.22374194253388</v>
      </c>
      <c r="AC221" s="7"/>
      <c r="AD221" s="4">
        <f t="shared" si="476"/>
        <v>0.98516281921633742</v>
      </c>
      <c r="AE221" s="7"/>
      <c r="AF221" s="7"/>
      <c r="AG221" s="7">
        <v>1</v>
      </c>
      <c r="AH221" s="7"/>
      <c r="AI221" s="7"/>
      <c r="AJ221" s="7">
        <f t="shared" si="473"/>
        <v>7.1672354948805461</v>
      </c>
      <c r="AK221" s="4">
        <f t="shared" si="569"/>
        <v>280</v>
      </c>
      <c r="AL221" s="4">
        <f t="shared" si="505"/>
        <v>0.36309523809523808</v>
      </c>
      <c r="AM221" s="4">
        <f t="shared" si="506"/>
        <v>136.69752902409817</v>
      </c>
      <c r="AN221" s="4">
        <f t="shared" si="507"/>
        <v>0.76707142857142852</v>
      </c>
      <c r="AO221" s="4">
        <v>1.25</v>
      </c>
      <c r="AP221" s="4">
        <f t="shared" si="624"/>
        <v>2.5</v>
      </c>
      <c r="AQ221" s="38">
        <f t="shared" si="509"/>
        <v>118.97810455938722</v>
      </c>
      <c r="AR221" s="38">
        <f t="shared" si="510"/>
        <v>118.97810455938722</v>
      </c>
      <c r="AS221" s="38">
        <f t="shared" si="511"/>
        <v>3.1793181165219675</v>
      </c>
      <c r="AT221" s="38">
        <f t="shared" si="626"/>
        <v>118.97810455938726</v>
      </c>
      <c r="AU221" s="38">
        <f t="shared" si="601"/>
        <v>0.99999999999999967</v>
      </c>
      <c r="AV221" s="38">
        <f t="shared" si="537"/>
        <v>1.6452411697278291</v>
      </c>
      <c r="AW221" s="4">
        <f t="shared" si="529"/>
        <v>0</v>
      </c>
      <c r="AX221" s="4">
        <f t="shared" si="570"/>
        <v>241.78588906584861</v>
      </c>
      <c r="AY221" s="4">
        <f t="shared" si="571"/>
        <v>1.2409556313993173</v>
      </c>
      <c r="AZ221" s="38">
        <f t="shared" si="617"/>
        <v>195.74767591728624</v>
      </c>
      <c r="BA221" s="4">
        <f t="shared" si="572"/>
        <v>0.72692534354352178</v>
      </c>
      <c r="BB221" s="4">
        <f t="shared" si="602"/>
        <v>91.834751772230206</v>
      </c>
      <c r="BC221" s="4">
        <f t="shared" si="603"/>
        <v>287.58242768951646</v>
      </c>
      <c r="BE221" s="4">
        <f t="shared" si="627"/>
        <v>1.2807262569832403</v>
      </c>
      <c r="BF221" s="4">
        <f t="shared" si="628"/>
        <v>402.18398012279795</v>
      </c>
      <c r="BH221" s="4">
        <f t="shared" si="633"/>
        <v>187.74595958556532</v>
      </c>
      <c r="BI221" s="4">
        <f t="shared" si="634"/>
        <v>39749.280546165857</v>
      </c>
      <c r="BJ221" s="4">
        <f t="shared" si="635"/>
        <v>211.7184339620907</v>
      </c>
      <c r="BR221" s="4">
        <f t="shared" si="539"/>
        <v>40.700000000000003</v>
      </c>
      <c r="BV221" s="9"/>
      <c r="BX221" s="9"/>
      <c r="BY221" s="9"/>
      <c r="BZ221" s="9">
        <f t="shared" si="577"/>
        <v>40.700000000000003</v>
      </c>
      <c r="CA221" s="9">
        <f t="shared" si="578"/>
        <v>76</v>
      </c>
      <c r="CB221" s="9">
        <f t="shared" si="604"/>
        <v>1.1709505872794554</v>
      </c>
      <c r="CC221" s="9">
        <v>0</v>
      </c>
      <c r="CD221" s="9">
        <f t="shared" si="518"/>
        <v>0</v>
      </c>
      <c r="CE221" s="9">
        <f t="shared" si="605"/>
        <v>0</v>
      </c>
      <c r="CF221" s="9">
        <f t="shared" si="579"/>
        <v>0.89787751228078194</v>
      </c>
      <c r="CG221" s="9">
        <f t="shared" si="580"/>
        <v>0.91600000000000004</v>
      </c>
      <c r="CH221" s="9">
        <f t="shared" si="606"/>
        <v>1.6907919060582215</v>
      </c>
      <c r="CI221" s="9">
        <f t="shared" si="607"/>
        <v>1.9798337753662243</v>
      </c>
      <c r="CJ221" s="9">
        <v>1</v>
      </c>
      <c r="CK221" s="9">
        <f t="shared" si="608"/>
        <v>180.72896027644751</v>
      </c>
      <c r="CM221" s="4">
        <f>AB221/AX221</f>
        <v>1.1134799594082712</v>
      </c>
      <c r="CN221" s="4">
        <f>AB221/BC221</f>
        <v>0.93616200442259556</v>
      </c>
      <c r="CO221" s="4">
        <f t="shared" si="637"/>
        <v>0.66940443987931186</v>
      </c>
      <c r="CP221" s="4">
        <f>AB221/CK221</f>
        <v>1.4896546825186321</v>
      </c>
      <c r="CQ221" s="4">
        <f t="shared" si="638"/>
        <v>0.98516281921633742</v>
      </c>
      <c r="CR221" s="4">
        <f t="shared" si="639"/>
        <v>1.0667341823935248</v>
      </c>
      <c r="CS221" s="4">
        <f>AB221/GA221</f>
        <v>1.5115148831805576</v>
      </c>
      <c r="CU221" s="4">
        <f t="shared" si="593"/>
        <v>1.1134799594082712</v>
      </c>
      <c r="CV221" s="4">
        <f t="shared" si="593"/>
        <v>0.93616200442259556</v>
      </c>
      <c r="CW221" s="4">
        <f t="shared" si="562"/>
        <v>1.4896546825186321</v>
      </c>
      <c r="CX221" s="4">
        <f t="shared" si="640"/>
        <v>1.5115148831805576</v>
      </c>
      <c r="CY221" s="4">
        <f t="shared" si="594"/>
        <v>0.98516281921633742</v>
      </c>
      <c r="CZ221" s="4">
        <f t="shared" si="594"/>
        <v>1.0667341823935248</v>
      </c>
      <c r="DH221" s="4">
        <f t="shared" si="557"/>
        <v>0</v>
      </c>
      <c r="DI221" s="4">
        <f t="shared" si="629"/>
        <v>280</v>
      </c>
      <c r="DL221" s="4">
        <f t="shared" si="485"/>
        <v>1.4413593384422284E-5</v>
      </c>
      <c r="DM221" s="4">
        <f t="shared" si="558"/>
        <v>5.7560932013474524</v>
      </c>
      <c r="DN221" s="4">
        <f t="shared" si="486"/>
        <v>0.4230529727962522</v>
      </c>
      <c r="DO221" s="4">
        <f t="shared" si="487"/>
        <v>4.0802400819337299</v>
      </c>
      <c r="DP221" s="4">
        <f t="shared" si="488"/>
        <v>4.9892368362464685</v>
      </c>
      <c r="DQ221" s="4">
        <f t="shared" si="489"/>
        <v>5.5592290458545044</v>
      </c>
      <c r="DR221" s="38">
        <f t="shared" si="513"/>
        <v>273.2784233135107</v>
      </c>
      <c r="DS221" s="4">
        <f t="shared" si="609"/>
        <v>1.0001345161737132</v>
      </c>
      <c r="DT221" s="4">
        <f t="shared" si="490"/>
        <v>1.7177116348221595</v>
      </c>
      <c r="DU221" s="4">
        <f t="shared" si="618"/>
        <v>118.97810455938726</v>
      </c>
      <c r="DY221" s="4">
        <f t="shared" si="581"/>
        <v>0.85</v>
      </c>
      <c r="DZ221" s="4">
        <f t="shared" si="610"/>
        <v>0.98631284916201112</v>
      </c>
      <c r="EA221" s="4">
        <f t="shared" si="514"/>
        <v>1</v>
      </c>
      <c r="EB221" s="4">
        <f t="shared" si="611"/>
        <v>0.98631284916201112</v>
      </c>
      <c r="ED221" s="4">
        <f t="shared" si="515"/>
        <v>252.38128334694687</v>
      </c>
      <c r="EE221" s="25">
        <f t="shared" si="516"/>
        <v>117.32211325946476</v>
      </c>
      <c r="EG221" s="4">
        <f t="shared" si="619"/>
        <v>0.83836592178770941</v>
      </c>
      <c r="EH221" s="4">
        <f t="shared" si="517"/>
        <v>5.7560932013474524</v>
      </c>
      <c r="EK221" s="4">
        <f t="shared" si="491"/>
        <v>61.494076526633307</v>
      </c>
      <c r="EL221" s="4">
        <f t="shared" si="492"/>
        <v>1.7177116348221595</v>
      </c>
      <c r="EM221" s="4">
        <f t="shared" si="493"/>
        <v>0.1358750021980055</v>
      </c>
      <c r="EP221" s="4">
        <f t="shared" si="541"/>
        <v>0.1358750021980055</v>
      </c>
      <c r="EQ221" s="4">
        <f t="shared" si="542"/>
        <v>0.42234697623101108</v>
      </c>
      <c r="ER221" s="4">
        <f t="shared" si="559"/>
        <v>4.0775150530350981</v>
      </c>
      <c r="ES221" s="4">
        <f t="shared" si="582"/>
        <v>4.9881242126995069</v>
      </c>
      <c r="ET221" s="4">
        <f t="shared" si="560"/>
        <v>148.50592347336669</v>
      </c>
      <c r="EU221" s="4">
        <f t="shared" si="561"/>
        <v>70</v>
      </c>
      <c r="EV221" s="4">
        <f t="shared" si="612"/>
        <v>1.4413593384422284E-5</v>
      </c>
      <c r="EW221" s="4">
        <f t="shared" si="583"/>
        <v>5.5592839498710775</v>
      </c>
      <c r="EX221" s="4">
        <f t="shared" si="636"/>
        <v>273.24166788984712</v>
      </c>
      <c r="FG221" s="23">
        <f t="shared" si="641"/>
        <v>1.2</v>
      </c>
      <c r="FH221" s="23">
        <f t="shared" si="641"/>
        <v>1</v>
      </c>
      <c r="FI221" s="23">
        <f t="shared" si="642"/>
        <v>1.6</v>
      </c>
      <c r="FJ221" s="23">
        <f t="shared" si="643"/>
        <v>1.6</v>
      </c>
      <c r="FK221" s="23">
        <f t="shared" si="643"/>
        <v>1</v>
      </c>
      <c r="FL221" s="23">
        <f t="shared" si="643"/>
        <v>1.2</v>
      </c>
      <c r="FM221" s="23">
        <f t="shared" si="644"/>
        <v>0</v>
      </c>
      <c r="FN221" s="23"/>
      <c r="FX221" s="4">
        <f t="shared" si="613"/>
        <v>1</v>
      </c>
      <c r="FY221" s="4">
        <f t="shared" si="469"/>
        <v>0.8938547486033519</v>
      </c>
      <c r="FZ221" s="4">
        <f t="shared" si="614"/>
        <v>0</v>
      </c>
      <c r="GA221" s="4">
        <f t="shared" si="615"/>
        <v>178.11517765278521</v>
      </c>
    </row>
    <row r="222" spans="1:183" ht="12" hidden="1" customHeight="1" x14ac:dyDescent="0.3">
      <c r="A222" s="25">
        <v>204</v>
      </c>
      <c r="B222" s="24" t="s">
        <v>182</v>
      </c>
      <c r="C222" s="4">
        <v>1996</v>
      </c>
      <c r="D222" s="24" t="s">
        <v>309</v>
      </c>
      <c r="E222" s="24"/>
      <c r="F222" s="4" t="s">
        <v>338</v>
      </c>
      <c r="G222" s="7">
        <v>556</v>
      </c>
      <c r="H222" s="7">
        <f>381-P222-25</f>
        <v>280</v>
      </c>
      <c r="I222" s="7">
        <f t="shared" si="630"/>
        <v>280</v>
      </c>
      <c r="J222" s="7">
        <v>35</v>
      </c>
      <c r="K222" s="7">
        <v>35.799999999999997</v>
      </c>
      <c r="L222" s="7">
        <f t="shared" si="498"/>
        <v>7.8212290502793298</v>
      </c>
      <c r="M222" s="7">
        <f t="shared" si="499"/>
        <v>7.8212290502793298</v>
      </c>
      <c r="N222" s="7">
        <v>305</v>
      </c>
      <c r="O222" s="7">
        <v>76</v>
      </c>
      <c r="P222" s="7">
        <v>76</v>
      </c>
      <c r="Q222" s="7">
        <f t="shared" si="623"/>
        <v>81.400000000000006</v>
      </c>
      <c r="R222" s="7">
        <v>2</v>
      </c>
      <c r="S222" s="7">
        <f t="shared" si="620"/>
        <v>280</v>
      </c>
      <c r="T222" s="7">
        <f t="shared" si="621"/>
        <v>1.6368715083798884</v>
      </c>
      <c r="U222" s="7">
        <f t="shared" si="631"/>
        <v>2.6229050279329611</v>
      </c>
      <c r="V222" s="7">
        <f>5500/(K222^2*PI()/4)-1</f>
        <v>4.4639504822285474</v>
      </c>
      <c r="W222" s="7">
        <f t="shared" si="622"/>
        <v>4.4639504822285474</v>
      </c>
      <c r="X222" s="7">
        <f t="shared" si="616"/>
        <v>5.4639504822285474</v>
      </c>
      <c r="Y222" s="7">
        <f t="shared" si="552"/>
        <v>83.682838718840046</v>
      </c>
      <c r="Z222" s="7">
        <f t="shared" si="632"/>
        <v>556</v>
      </c>
      <c r="AA222" s="7">
        <v>25</v>
      </c>
      <c r="AB222" s="7"/>
      <c r="AC222" s="32" t="s">
        <v>183</v>
      </c>
      <c r="AD222" s="4">
        <f t="shared" si="476"/>
        <v>0</v>
      </c>
      <c r="AE222" s="7">
        <v>9.5</v>
      </c>
      <c r="AF222" s="7">
        <v>2</v>
      </c>
      <c r="AG222" s="7">
        <v>102</v>
      </c>
      <c r="AH222" s="7">
        <v>4</v>
      </c>
      <c r="AI222" s="7">
        <f>AF222</f>
        <v>2</v>
      </c>
      <c r="AJ222" s="7">
        <f t="shared" si="473"/>
        <v>7.1672354948805461</v>
      </c>
      <c r="AK222" s="4">
        <f t="shared" si="569"/>
        <v>280</v>
      </c>
      <c r="AL222" s="4">
        <f t="shared" si="505"/>
        <v>0.36309523809523808</v>
      </c>
      <c r="AM222" s="4">
        <f t="shared" si="506"/>
        <v>137.68452761055582</v>
      </c>
      <c r="AN222" s="4">
        <f t="shared" si="507"/>
        <v>0.76707142857142852</v>
      </c>
      <c r="AO222" s="4">
        <v>1.25</v>
      </c>
      <c r="AP222" s="4">
        <f t="shared" si="624"/>
        <v>2.5</v>
      </c>
      <c r="AQ222" s="38">
        <f t="shared" si="509"/>
        <v>119.83716340162</v>
      </c>
      <c r="AR222" s="38">
        <f t="shared" si="510"/>
        <v>119.83716340162</v>
      </c>
      <c r="AS222" s="38">
        <f t="shared" si="511"/>
        <v>3.2099624416952368</v>
      </c>
      <c r="AT222" s="38">
        <f t="shared" si="626"/>
        <v>119.83716340162006</v>
      </c>
      <c r="AU222" s="38">
        <f t="shared" si="601"/>
        <v>0.99999999999999956</v>
      </c>
      <c r="AV222" s="38">
        <f t="shared" si="537"/>
        <v>2.5069002130823193</v>
      </c>
      <c r="AW222" s="4">
        <f t="shared" si="529"/>
        <v>0</v>
      </c>
      <c r="AX222" s="4">
        <f t="shared" si="570"/>
        <v>243.53165822815239</v>
      </c>
      <c r="AY222" s="4">
        <f t="shared" si="571"/>
        <v>1.2409556313993173</v>
      </c>
      <c r="AZ222" s="38">
        <f t="shared" si="617"/>
        <v>300.41981046670202</v>
      </c>
      <c r="BA222" s="4">
        <f t="shared" si="572"/>
        <v>0.37504693248800336</v>
      </c>
      <c r="BB222" s="4">
        <f t="shared" si="602"/>
        <v>47.722956222191854</v>
      </c>
      <c r="BC222" s="4">
        <f t="shared" si="603"/>
        <v>348.14276668889386</v>
      </c>
      <c r="BE222" s="4">
        <f t="shared" si="627"/>
        <v>1.5</v>
      </c>
      <c r="BF222" s="4">
        <f t="shared" si="628"/>
        <v>474.44315802455304</v>
      </c>
      <c r="BH222" s="4">
        <f t="shared" si="633"/>
        <v>288.13933718639765</v>
      </c>
      <c r="BI222" s="4">
        <f t="shared" si="634"/>
        <v>1562.4220485187734</v>
      </c>
      <c r="BJ222" s="4">
        <f t="shared" si="635"/>
        <v>5.4224531220742032</v>
      </c>
      <c r="BR222" s="4">
        <f t="shared" si="539"/>
        <v>40.700000000000003</v>
      </c>
      <c r="BV222" s="9"/>
      <c r="BX222" s="9"/>
      <c r="BY222" s="9"/>
      <c r="BZ222" s="9">
        <f t="shared" si="577"/>
        <v>40.700000000000003</v>
      </c>
      <c r="CA222" s="9">
        <f t="shared" si="578"/>
        <v>76</v>
      </c>
      <c r="CB222" s="9">
        <f t="shared" si="604"/>
        <v>1.1709505872794554</v>
      </c>
      <c r="CC222" s="9">
        <v>20</v>
      </c>
      <c r="CD222" s="9">
        <f t="shared" si="518"/>
        <v>3.8822534914349713E-2</v>
      </c>
      <c r="CE222" s="9">
        <f t="shared" si="605"/>
        <v>0.57645069828699425</v>
      </c>
      <c r="CF222" s="9">
        <f t="shared" si="579"/>
        <v>0.89787751228078194</v>
      </c>
      <c r="CG222" s="9">
        <f t="shared" si="580"/>
        <v>0.91600000000000004</v>
      </c>
      <c r="CH222" s="9">
        <f t="shared" si="606"/>
        <v>1.7029999483921783</v>
      </c>
      <c r="CI222" s="9">
        <f t="shared" si="607"/>
        <v>2.9758242991400894</v>
      </c>
      <c r="CJ222" s="9">
        <v>1</v>
      </c>
      <c r="CK222" s="9">
        <f t="shared" si="608"/>
        <v>271.64787177625175</v>
      </c>
      <c r="DH222" s="4">
        <f t="shared" si="557"/>
        <v>2</v>
      </c>
      <c r="DI222" s="4">
        <f t="shared" si="629"/>
        <v>280</v>
      </c>
      <c r="DL222" s="4">
        <f t="shared" si="485"/>
        <v>1.4463124191571349E-5</v>
      </c>
      <c r="DM222" s="4">
        <f t="shared" si="558"/>
        <v>5.8532664976699591</v>
      </c>
      <c r="DN222" s="4">
        <f t="shared" si="486"/>
        <v>0.24975108781264987</v>
      </c>
      <c r="DO222" s="4">
        <f t="shared" si="487"/>
        <v>3.3604795222157038</v>
      </c>
      <c r="DP222" s="4">
        <f t="shared" si="488"/>
        <v>4.7736376935091256</v>
      </c>
      <c r="DQ222" s="4">
        <f t="shared" si="489"/>
        <v>5.669958822199864</v>
      </c>
      <c r="DR222" s="38">
        <f t="shared" si="513"/>
        <v>262.9772690841171</v>
      </c>
      <c r="DS222" s="4">
        <f t="shared" si="609"/>
        <v>1.0001205169272527</v>
      </c>
      <c r="DT222" s="4">
        <f t="shared" si="490"/>
        <v>2.3375094614201131</v>
      </c>
      <c r="DU222" s="4">
        <f t="shared" si="618"/>
        <v>119.83716340162006</v>
      </c>
      <c r="DY222" s="4">
        <f t="shared" si="581"/>
        <v>0.85</v>
      </c>
      <c r="DZ222" s="4">
        <f t="shared" si="610"/>
        <v>0.98631284916201112</v>
      </c>
      <c r="EA222" s="4">
        <f t="shared" si="514"/>
        <v>0.99049889204456787</v>
      </c>
      <c r="EB222" s="4">
        <f t="shared" si="611"/>
        <v>0.97694178430429301</v>
      </c>
      <c r="ED222" s="4">
        <f t="shared" si="515"/>
        <v>255.5084292423501</v>
      </c>
      <c r="EE222" s="25">
        <f t="shared" si="516"/>
        <v>118.16921533054099</v>
      </c>
      <c r="EG222" s="4">
        <f t="shared" si="619"/>
        <v>0.830400516658649</v>
      </c>
      <c r="EH222" s="4">
        <f t="shared" si="517"/>
        <v>5.8532664976699591</v>
      </c>
      <c r="EK222" s="4">
        <f t="shared" si="491"/>
        <v>83.682838718840046</v>
      </c>
      <c r="EL222" s="4">
        <f t="shared" si="492"/>
        <v>2.3375094614201131</v>
      </c>
      <c r="EM222" s="4">
        <f t="shared" si="493"/>
        <v>8.0793547209318639E-2</v>
      </c>
      <c r="EP222" s="4">
        <f t="shared" si="541"/>
        <v>8.0793547209318639E-2</v>
      </c>
      <c r="EQ222" s="4">
        <f t="shared" si="542"/>
        <v>0.24933429979436575</v>
      </c>
      <c r="ER222" s="4">
        <f t="shared" si="559"/>
        <v>3.3582351925617111</v>
      </c>
      <c r="ES222" s="4">
        <f t="shared" si="582"/>
        <v>4.7728524504637697</v>
      </c>
      <c r="ET222" s="4">
        <f t="shared" si="560"/>
        <v>126.31716128115995</v>
      </c>
      <c r="EU222" s="4">
        <f t="shared" si="561"/>
        <v>69.999999999999986</v>
      </c>
      <c r="EV222" s="4">
        <f t="shared" si="612"/>
        <v>1.4463124191571347E-5</v>
      </c>
      <c r="EW222" s="4">
        <f t="shared" si="583"/>
        <v>5.6700071290405187</v>
      </c>
      <c r="EX222" s="4">
        <f t="shared" si="636"/>
        <v>262.94557969081808</v>
      </c>
      <c r="FG222" s="23"/>
      <c r="FH222" s="23"/>
      <c r="FI222" s="23"/>
      <c r="FJ222" s="23"/>
      <c r="FK222" s="23"/>
      <c r="FL222" s="23"/>
      <c r="FM222" s="23"/>
      <c r="FN222" s="23"/>
      <c r="FX222" s="4">
        <f t="shared" si="613"/>
        <v>1</v>
      </c>
      <c r="FY222" s="4">
        <f t="shared" si="469"/>
        <v>0.57658194354098002</v>
      </c>
      <c r="FZ222" s="4">
        <f t="shared" si="614"/>
        <v>0.28167035985144034</v>
      </c>
      <c r="GA222" s="4">
        <f t="shared" si="615"/>
        <v>277.12077165548715</v>
      </c>
    </row>
    <row r="223" spans="1:183" ht="12" hidden="1" customHeight="1" x14ac:dyDescent="0.3">
      <c r="A223" s="25">
        <v>205</v>
      </c>
      <c r="B223" s="24" t="s">
        <v>182</v>
      </c>
      <c r="C223" s="4">
        <v>1996</v>
      </c>
      <c r="D223" s="24" t="s">
        <v>309</v>
      </c>
      <c r="E223" s="24"/>
      <c r="F223" s="4" t="s">
        <v>339</v>
      </c>
      <c r="G223" s="7">
        <v>578</v>
      </c>
      <c r="H223" s="7">
        <f>305-P223-18</f>
        <v>211</v>
      </c>
      <c r="I223" s="7">
        <f t="shared" si="630"/>
        <v>211</v>
      </c>
      <c r="J223" s="7">
        <v>35</v>
      </c>
      <c r="K223" s="7">
        <v>25.4</v>
      </c>
      <c r="L223" s="7">
        <f t="shared" si="498"/>
        <v>8.3070866141732296</v>
      </c>
      <c r="M223" s="7">
        <f t="shared" si="499"/>
        <v>8.3070866141732296</v>
      </c>
      <c r="N223" s="7">
        <v>305</v>
      </c>
      <c r="O223" s="7">
        <v>38</v>
      </c>
      <c r="P223" s="7">
        <v>76</v>
      </c>
      <c r="Q223" s="7">
        <f>N223-2*K223-2*O223</f>
        <v>178.2</v>
      </c>
      <c r="R223" s="7">
        <v>2</v>
      </c>
      <c r="S223" s="7">
        <f t="shared" si="620"/>
        <v>280</v>
      </c>
      <c r="T223" s="7">
        <f t="shared" si="621"/>
        <v>1.9960629921259843</v>
      </c>
      <c r="U223" s="7">
        <f t="shared" si="631"/>
        <v>1.9960629921259843</v>
      </c>
      <c r="V223" s="7">
        <f>3200/(K223^2*PI()/4)-1</f>
        <v>5.3152807724479523</v>
      </c>
      <c r="W223" s="7">
        <f>3200/(K223^2*PI()/4)-1</f>
        <v>5.3152807724479523</v>
      </c>
      <c r="X223" s="7">
        <f t="shared" si="616"/>
        <v>6.3152807724479523</v>
      </c>
      <c r="Y223" s="7">
        <f t="shared" si="552"/>
        <v>63.830764864229231</v>
      </c>
      <c r="Z223" s="7">
        <f t="shared" si="632"/>
        <v>578</v>
      </c>
      <c r="AA223" s="7">
        <v>18</v>
      </c>
      <c r="AB223" s="7">
        <f>178*1000/(K223^2*PI()/4)</f>
        <v>351.28749296741734</v>
      </c>
      <c r="AC223" s="7"/>
      <c r="AD223" s="4">
        <f t="shared" si="476"/>
        <v>0.93206382246205521</v>
      </c>
      <c r="AE223" s="7"/>
      <c r="AF223" s="7"/>
      <c r="AG223" s="7">
        <v>1</v>
      </c>
      <c r="AH223" s="7"/>
      <c r="AI223" s="7"/>
      <c r="AJ223" s="7">
        <f t="shared" si="473"/>
        <v>3.1090373280943027</v>
      </c>
      <c r="AK223" s="4">
        <f t="shared" si="569"/>
        <v>211</v>
      </c>
      <c r="AL223" s="4">
        <f t="shared" si="505"/>
        <v>0.48183254344391785</v>
      </c>
      <c r="AM223" s="4">
        <f t="shared" si="506"/>
        <v>178.92474002033066</v>
      </c>
      <c r="AN223" s="4">
        <f t="shared" si="507"/>
        <v>0.7480568720379146</v>
      </c>
      <c r="AO223" s="4">
        <v>1.25</v>
      </c>
      <c r="AP223" s="4">
        <f t="shared" si="624"/>
        <v>2.5</v>
      </c>
      <c r="AQ223" s="38">
        <f t="shared" si="509"/>
        <v>201.53531700084281</v>
      </c>
      <c r="AR223" s="38">
        <f t="shared" si="510"/>
        <v>201.53531700084281</v>
      </c>
      <c r="AS223" s="38">
        <f t="shared" si="511"/>
        <v>3.2099624416952368</v>
      </c>
      <c r="AT223" s="38">
        <f t="shared" si="626"/>
        <v>201.53531700084287</v>
      </c>
      <c r="AU223" s="38">
        <f t="shared" si="601"/>
        <v>0.99999999999999967</v>
      </c>
      <c r="AV223" s="38">
        <f t="shared" si="537"/>
        <v>1.5983954151836357</v>
      </c>
      <c r="AW223" s="4">
        <f t="shared" si="529"/>
        <v>0</v>
      </c>
      <c r="AX223" s="4">
        <f t="shared" si="570"/>
        <v>258.6599324977247</v>
      </c>
      <c r="AY223" s="4">
        <f t="shared" si="571"/>
        <v>1</v>
      </c>
      <c r="AZ223" s="38">
        <f t="shared" si="617"/>
        <v>322.13312669172785</v>
      </c>
      <c r="BA223" s="4">
        <f t="shared" si="572"/>
        <v>0.3</v>
      </c>
      <c r="BB223" s="4">
        <f t="shared" si="602"/>
        <v>40.544944419018336</v>
      </c>
      <c r="BC223" s="4">
        <f t="shared" si="603"/>
        <v>362.6780711107462</v>
      </c>
      <c r="BE223" s="4">
        <f t="shared" si="627"/>
        <v>1.1240157480314961</v>
      </c>
      <c r="BF223" s="4">
        <f t="shared" si="628"/>
        <v>365.21357266639933</v>
      </c>
      <c r="BH223" s="4">
        <f t="shared" si="633"/>
        <v>308.96506281174231</v>
      </c>
      <c r="BI223" s="4">
        <f t="shared" si="634"/>
        <v>2245.2309649218914</v>
      </c>
      <c r="BJ223" s="4">
        <f t="shared" si="635"/>
        <v>7.2669412667216324</v>
      </c>
      <c r="BR223" s="4">
        <f t="shared" si="539"/>
        <v>38</v>
      </c>
      <c r="BV223" s="9"/>
      <c r="BX223" s="9"/>
      <c r="BY223" s="9"/>
      <c r="BZ223" s="9">
        <f t="shared" si="577"/>
        <v>38</v>
      </c>
      <c r="CA223" s="9">
        <f t="shared" si="578"/>
        <v>89.1</v>
      </c>
      <c r="CB223" s="9">
        <f t="shared" si="604"/>
        <v>1.3899176059121618</v>
      </c>
      <c r="CC223" s="9">
        <v>0</v>
      </c>
      <c r="CD223" s="9">
        <f t="shared" si="518"/>
        <v>0</v>
      </c>
      <c r="CE223" s="9">
        <f t="shared" si="605"/>
        <v>0</v>
      </c>
      <c r="CF223" s="9">
        <f t="shared" si="579"/>
        <v>0.99524931562137331</v>
      </c>
      <c r="CG223" s="9">
        <f t="shared" si="580"/>
        <v>0.88300000000000001</v>
      </c>
      <c r="CH223" s="9">
        <f t="shared" si="606"/>
        <v>1.8196784745027872</v>
      </c>
      <c r="CI223" s="9">
        <f t="shared" si="607"/>
        <v>2.5292031488108089</v>
      </c>
      <c r="CJ223" s="9">
        <v>1</v>
      </c>
      <c r="CK223" s="9">
        <f t="shared" si="608"/>
        <v>235.79342741669274</v>
      </c>
      <c r="CM223" s="4">
        <f>AB223/AX223</f>
        <v>1.358105561906104</v>
      </c>
      <c r="CN223" s="4">
        <f>AB223/BC223</f>
        <v>0.96859314347723358</v>
      </c>
      <c r="CO223" s="4">
        <f t="shared" ref="CO223:CO225" si="645">AB223/BF223</f>
        <v>0.96186866879752408</v>
      </c>
      <c r="CP223" s="4">
        <f>AB223/CK223</f>
        <v>1.4898103684061734</v>
      </c>
      <c r="CQ223" s="4">
        <f t="shared" si="638"/>
        <v>0.93206382246205521</v>
      </c>
      <c r="CR223" s="4">
        <f t="shared" ref="CR223:CR225" si="646">AB223/ED223</f>
        <v>0.96123910886210173</v>
      </c>
      <c r="CS223" s="4">
        <f>AB223/GA223</f>
        <v>1.08971818573285</v>
      </c>
      <c r="CU223" s="4">
        <f t="shared" si="593"/>
        <v>1.358105561906104</v>
      </c>
      <c r="CV223" s="4">
        <f t="shared" si="593"/>
        <v>0.96859314347723358</v>
      </c>
      <c r="CW223" s="4">
        <f t="shared" si="562"/>
        <v>1.4898103684061734</v>
      </c>
      <c r="CX223" s="4">
        <f t="shared" ref="CX223:CX224" si="647">CS223</f>
        <v>1.08971818573285</v>
      </c>
      <c r="CY223" s="4">
        <f t="shared" si="594"/>
        <v>0.93206382246205521</v>
      </c>
      <c r="CZ223" s="4">
        <f t="shared" si="594"/>
        <v>0.96123910886210173</v>
      </c>
      <c r="DH223" s="4">
        <f t="shared" si="557"/>
        <v>0</v>
      </c>
      <c r="DI223" s="4">
        <f t="shared" si="629"/>
        <v>211</v>
      </c>
      <c r="DL223" s="4">
        <f t="shared" si="485"/>
        <v>1.5361578672425713E-5</v>
      </c>
      <c r="DM223" s="4">
        <f t="shared" si="558"/>
        <v>6.6853003614357291</v>
      </c>
      <c r="DN223" s="4">
        <f t="shared" si="486"/>
        <v>0.26906290889067602</v>
      </c>
      <c r="DO223" s="4">
        <f t="shared" si="487"/>
        <v>3.9542348333817863</v>
      </c>
      <c r="DP223" s="4">
        <f t="shared" si="488"/>
        <v>5.4933029542331306</v>
      </c>
      <c r="DQ223" s="4">
        <f t="shared" si="489"/>
        <v>6.4917589700897658</v>
      </c>
      <c r="DR223" s="38">
        <f t="shared" si="513"/>
        <v>376.89210170124204</v>
      </c>
      <c r="DS223" s="4">
        <f t="shared" si="609"/>
        <v>1.0001065941860563</v>
      </c>
      <c r="DT223" s="4">
        <f t="shared" si="490"/>
        <v>2.5130222387491825</v>
      </c>
      <c r="DU223" s="4">
        <f t="shared" si="618"/>
        <v>201.53531700084287</v>
      </c>
      <c r="DY223" s="4">
        <f t="shared" si="581"/>
        <v>0.85</v>
      </c>
      <c r="DZ223" s="4">
        <f t="shared" si="610"/>
        <v>0.9503937007874016</v>
      </c>
      <c r="EA223" s="4">
        <f t="shared" si="514"/>
        <v>1</v>
      </c>
      <c r="EB223" s="4">
        <f t="shared" si="611"/>
        <v>0.9503937007874016</v>
      </c>
      <c r="ED223" s="4">
        <f t="shared" si="515"/>
        <v>365.45276792084064</v>
      </c>
      <c r="EE223" s="25">
        <f t="shared" si="516"/>
        <v>198.84666048821009</v>
      </c>
      <c r="EG223" s="4">
        <f t="shared" si="619"/>
        <v>0.80783464566929131</v>
      </c>
      <c r="EH223" s="4">
        <f t="shared" si="517"/>
        <v>6.6853003614357291</v>
      </c>
      <c r="EK223" s="4">
        <f t="shared" si="491"/>
        <v>63.830764864229231</v>
      </c>
      <c r="EL223" s="4">
        <f t="shared" si="492"/>
        <v>2.5130222387491825</v>
      </c>
      <c r="EM223" s="4">
        <f t="shared" si="493"/>
        <v>8.7040849439833257E-2</v>
      </c>
      <c r="EP223" s="4">
        <f t="shared" si="541"/>
        <v>8.7040849439833257E-2</v>
      </c>
      <c r="EQ223" s="4">
        <f t="shared" si="542"/>
        <v>0.26861389304224681</v>
      </c>
      <c r="ER223" s="4">
        <f t="shared" si="559"/>
        <v>3.9515939583409634</v>
      </c>
      <c r="ES223" s="4">
        <f t="shared" si="582"/>
        <v>5.4923572720963749</v>
      </c>
      <c r="ET223" s="4">
        <f t="shared" si="560"/>
        <v>94.419235135770776</v>
      </c>
      <c r="EU223" s="4">
        <f t="shared" si="561"/>
        <v>52.75</v>
      </c>
      <c r="EV223" s="4">
        <f t="shared" si="612"/>
        <v>1.5361578672425713E-5</v>
      </c>
      <c r="EW223" s="4">
        <f t="shared" si="583"/>
        <v>6.4918116474298335</v>
      </c>
      <c r="EX223" s="4">
        <f t="shared" si="636"/>
        <v>376.85193147634254</v>
      </c>
      <c r="FG223" s="23">
        <f t="shared" ref="FG223:FH225" si="648">IF(CM223&lt;0.6,0.6,IF(CM223&lt;0.8,0.8,IF(CM223&lt;1,1,IF(CM223&lt;1.2,1.2,IF(CM223&lt;1.4,1.4,IF(CM223&lt;1.6,1.6,IF(CM223&lt;1.8,1.8,IF(CM223&lt;2,2,2.2))))))))</f>
        <v>1.4</v>
      </c>
      <c r="FH223" s="23">
        <f t="shared" si="648"/>
        <v>1</v>
      </c>
      <c r="FI223" s="23">
        <f t="shared" ref="FI223:FI225" si="649">IF(CS223&lt;0.6,0.6,IF(CS223&lt;0.8,0.8,IF(CS223&lt;1,1,IF(CS223&lt;1.2,1.2,IF(CS223&lt;1.4,1.4,IF(CS223&lt;1.6,1.6,IF(CS223&lt;1.8,1.8,IF(CS223&lt;2,2,2.2))))))))</f>
        <v>1.2</v>
      </c>
      <c r="FJ223" s="23">
        <f t="shared" ref="FJ223:FL225" si="650">IF(CP223&lt;0.6,0.6,IF(CP223&lt;0.8,0.8,IF(CP223&lt;1,1,IF(CP223&lt;1.2,1.2,IF(CP223&lt;1.4,1.4,IF(CP223&lt;1.6,1.6,IF(CP223&lt;1.8,1.8,IF(CP223&lt;2,2,2.2))))))))</f>
        <v>1.6</v>
      </c>
      <c r="FK223" s="23">
        <f t="shared" si="650"/>
        <v>1</v>
      </c>
      <c r="FL223" s="23">
        <f t="shared" si="650"/>
        <v>1</v>
      </c>
      <c r="FM223" s="23">
        <f t="shared" ref="FM223:FM225" si="651">IF(FK223&lt;1,1,0)</f>
        <v>0</v>
      </c>
      <c r="FN223" s="23"/>
      <c r="FX223" s="4">
        <f t="shared" si="613"/>
        <v>1.25</v>
      </c>
      <c r="FY223" s="4">
        <f t="shared" ref="FY223:FY286" si="652">IF(AG223&gt;1, 0.05*(18-MIN(8,(Q223+K223)/K223))*(1-48000/MAX(60000,(G223*145))*(K223/25.4)^0.75*FZ223), 1/12*(14-MIN(8,(Q223+K223)/K223)))</f>
        <v>0.5</v>
      </c>
      <c r="FZ223" s="4">
        <f t="shared" si="614"/>
        <v>0</v>
      </c>
      <c r="GA223" s="4">
        <f t="shared" si="615"/>
        <v>322.36544967924146</v>
      </c>
    </row>
    <row r="224" spans="1:183" ht="12" hidden="1" customHeight="1" x14ac:dyDescent="0.3">
      <c r="A224" s="25">
        <v>206</v>
      </c>
      <c r="B224" s="24" t="s">
        <v>182</v>
      </c>
      <c r="C224" s="4">
        <v>1996</v>
      </c>
      <c r="D224" s="24" t="s">
        <v>309</v>
      </c>
      <c r="E224" s="24"/>
      <c r="F224" s="4" t="s">
        <v>340</v>
      </c>
      <c r="G224" s="7">
        <v>578</v>
      </c>
      <c r="H224" s="7">
        <f>381-P224-18</f>
        <v>287</v>
      </c>
      <c r="I224" s="7">
        <f t="shared" si="630"/>
        <v>287</v>
      </c>
      <c r="J224" s="7">
        <v>38.299999999999997</v>
      </c>
      <c r="K224" s="7">
        <v>25.4</v>
      </c>
      <c r="L224" s="7">
        <f t="shared" si="498"/>
        <v>11.299212598425198</v>
      </c>
      <c r="M224" s="7">
        <f t="shared" si="499"/>
        <v>11.299212598425198</v>
      </c>
      <c r="N224" s="7">
        <v>305</v>
      </c>
      <c r="O224" s="7">
        <v>76</v>
      </c>
      <c r="P224" s="7">
        <v>76</v>
      </c>
      <c r="Q224" s="7">
        <f t="shared" si="623"/>
        <v>102.19999999999999</v>
      </c>
      <c r="R224" s="7">
        <v>2</v>
      </c>
      <c r="S224" s="7">
        <f t="shared" si="620"/>
        <v>280</v>
      </c>
      <c r="T224" s="7">
        <f t="shared" si="621"/>
        <v>2.5118110236220472</v>
      </c>
      <c r="U224" s="7">
        <f t="shared" si="631"/>
        <v>3.4921259842519685</v>
      </c>
      <c r="V224" s="7">
        <f>3200/(K224^2*PI()/4)-1</f>
        <v>5.3152807724479523</v>
      </c>
      <c r="W224" s="7">
        <f>3200/(K224^2*PI()/4)-1</f>
        <v>5.3152807724479523</v>
      </c>
      <c r="X224" s="7">
        <f t="shared" si="616"/>
        <v>6.3152807724479523</v>
      </c>
      <c r="Y224" s="7">
        <f t="shared" si="552"/>
        <v>63.830764864229231</v>
      </c>
      <c r="Z224" s="7">
        <f t="shared" si="632"/>
        <v>578</v>
      </c>
      <c r="AA224" s="7">
        <v>18</v>
      </c>
      <c r="AB224" s="7">
        <f>273*1000/(K224^2*PI()/4)</f>
        <v>538.7723908994659</v>
      </c>
      <c r="AC224" s="7"/>
      <c r="AD224" s="4">
        <f t="shared" si="476"/>
        <v>1.0324950798962937</v>
      </c>
      <c r="AE224" s="7"/>
      <c r="AF224" s="7"/>
      <c r="AG224" s="7">
        <v>1</v>
      </c>
      <c r="AH224" s="7"/>
      <c r="AI224" s="7"/>
      <c r="AJ224" s="7">
        <f t="shared" si="473"/>
        <v>6.7476489028213171</v>
      </c>
      <c r="AK224" s="4">
        <f t="shared" si="569"/>
        <v>287</v>
      </c>
      <c r="AL224" s="4">
        <f t="shared" si="505"/>
        <v>0.35423925667828104</v>
      </c>
      <c r="AM224" s="4">
        <f t="shared" si="506"/>
        <v>296.91690288490338</v>
      </c>
      <c r="AN224" s="4">
        <f t="shared" si="507"/>
        <v>0.76181184668989543</v>
      </c>
      <c r="AO224" s="4">
        <v>1.25</v>
      </c>
      <c r="AP224" s="4">
        <f t="shared" si="624"/>
        <v>2.5</v>
      </c>
      <c r="AQ224" s="38">
        <f t="shared" si="509"/>
        <v>250.39713378541933</v>
      </c>
      <c r="AR224" s="38">
        <f t="shared" si="510"/>
        <v>250.39713378541933</v>
      </c>
      <c r="AS224" s="38">
        <f t="shared" si="511"/>
        <v>3.408686840836292</v>
      </c>
      <c r="AT224" s="38">
        <f t="shared" si="626"/>
        <v>250.39713378541916</v>
      </c>
      <c r="AU224" s="38">
        <f t="shared" si="601"/>
        <v>1.0000000000000007</v>
      </c>
      <c r="AV224" s="38">
        <f t="shared" si="537"/>
        <v>2.0480931873248389</v>
      </c>
      <c r="AW224" s="4">
        <f t="shared" si="529"/>
        <v>0</v>
      </c>
      <c r="AX224" s="4">
        <f t="shared" si="570"/>
        <v>368.03910519865605</v>
      </c>
      <c r="AY224" s="4">
        <f t="shared" si="571"/>
        <v>1.1561128526645768</v>
      </c>
      <c r="AZ224" s="38">
        <f t="shared" si="617"/>
        <v>512.83666383158322</v>
      </c>
      <c r="BA224" s="4">
        <f t="shared" si="572"/>
        <v>0.3</v>
      </c>
      <c r="BB224" s="4">
        <f t="shared" si="602"/>
        <v>57.690129739889343</v>
      </c>
      <c r="BC224" s="4">
        <f t="shared" si="603"/>
        <v>570.52679357147258</v>
      </c>
      <c r="BE224" s="4">
        <f t="shared" si="627"/>
        <v>1.4980314960629921</v>
      </c>
      <c r="BF224" s="4">
        <f t="shared" si="628"/>
        <v>592.38647535016992</v>
      </c>
      <c r="BH224" s="4">
        <f t="shared" si="633"/>
        <v>491.87307645177486</v>
      </c>
      <c r="BI224" s="4">
        <f t="shared" si="634"/>
        <v>2245.2309649218914</v>
      </c>
      <c r="BJ224" s="4">
        <f t="shared" si="635"/>
        <v>4.564655136480158</v>
      </c>
      <c r="BR224" s="4">
        <f t="shared" si="539"/>
        <v>51.099999999999994</v>
      </c>
      <c r="BV224" s="9"/>
      <c r="BX224" s="9"/>
      <c r="BY224" s="9"/>
      <c r="BZ224" s="9">
        <f t="shared" si="577"/>
        <v>51.099999999999994</v>
      </c>
      <c r="CA224" s="9">
        <f t="shared" si="578"/>
        <v>76</v>
      </c>
      <c r="CB224" s="9">
        <f t="shared" si="604"/>
        <v>1.5054020239149992</v>
      </c>
      <c r="CC224" s="9">
        <v>0</v>
      </c>
      <c r="CD224" s="9">
        <f t="shared" si="518"/>
        <v>0</v>
      </c>
      <c r="CE224" s="9">
        <f t="shared" si="605"/>
        <v>0</v>
      </c>
      <c r="CF224" s="9">
        <f t="shared" si="579"/>
        <v>0.99524931562137331</v>
      </c>
      <c r="CG224" s="9">
        <f t="shared" si="580"/>
        <v>0.88300000000000001</v>
      </c>
      <c r="CH224" s="9">
        <f t="shared" si="606"/>
        <v>1.9035313007054222</v>
      </c>
      <c r="CI224" s="9">
        <f t="shared" si="607"/>
        <v>2.8655798726674937</v>
      </c>
      <c r="CJ224" s="9">
        <v>1</v>
      </c>
      <c r="CK224" s="9">
        <f t="shared" si="608"/>
        <v>301.44997715620252</v>
      </c>
      <c r="CM224" s="4">
        <f>AB224/AX224</f>
        <v>1.4638998500136373</v>
      </c>
      <c r="CN224" s="4">
        <f>AB224/BC224</f>
        <v>0.94434196074609311</v>
      </c>
      <c r="CO224" s="4">
        <f t="shared" si="645"/>
        <v>0.90949475269668878</v>
      </c>
      <c r="CP224" s="4">
        <f>AB224/CK224</f>
        <v>1.7872696358516886</v>
      </c>
      <c r="CQ224" s="4">
        <f t="shared" si="638"/>
        <v>1.0324950798962937</v>
      </c>
      <c r="CR224" s="4">
        <f t="shared" si="646"/>
        <v>1.0800473563193289</v>
      </c>
      <c r="CS224" s="4">
        <f>AB224/GA224</f>
        <v>1.4378533266448839</v>
      </c>
      <c r="CU224" s="4">
        <f t="shared" si="593"/>
        <v>1.4638998500136373</v>
      </c>
      <c r="CV224" s="4">
        <f t="shared" si="593"/>
        <v>0.94434196074609311</v>
      </c>
      <c r="CW224" s="4">
        <f t="shared" si="562"/>
        <v>1.7872696358516886</v>
      </c>
      <c r="CX224" s="4">
        <f t="shared" si="647"/>
        <v>1.4378533266448839</v>
      </c>
      <c r="CY224" s="4">
        <f t="shared" si="594"/>
        <v>1.0324950798962937</v>
      </c>
      <c r="CZ224" s="4">
        <f t="shared" si="594"/>
        <v>1.0800473563193289</v>
      </c>
      <c r="DH224" s="4">
        <f t="shared" si="557"/>
        <v>0</v>
      </c>
      <c r="DI224" s="4">
        <f t="shared" si="629"/>
        <v>287</v>
      </c>
      <c r="DL224" s="4">
        <f t="shared" si="485"/>
        <v>2.13666473812144E-5</v>
      </c>
      <c r="DM224" s="4">
        <f t="shared" si="558"/>
        <v>7.3946503468884011</v>
      </c>
      <c r="DN224" s="4">
        <f t="shared" si="486"/>
        <v>0.30549302157709252</v>
      </c>
      <c r="DO224" s="4">
        <f t="shared" si="487"/>
        <v>4.6016985041395433</v>
      </c>
      <c r="DP224" s="4">
        <f t="shared" si="488"/>
        <v>6.1594193049739197</v>
      </c>
      <c r="DQ224" s="4">
        <f t="shared" si="489"/>
        <v>6.9285703929324711</v>
      </c>
      <c r="DR224" s="38">
        <f t="shared" si="513"/>
        <v>521.81594023051571</v>
      </c>
      <c r="DS224" s="4">
        <f t="shared" si="609"/>
        <v>1.0001089820011146</v>
      </c>
      <c r="DT224" s="4">
        <f t="shared" si="490"/>
        <v>2.5130222387491825</v>
      </c>
      <c r="DU224" s="4">
        <f t="shared" si="618"/>
        <v>250.39713378541916</v>
      </c>
      <c r="DY224" s="4">
        <f t="shared" si="581"/>
        <v>0.85</v>
      </c>
      <c r="DZ224" s="4">
        <f t="shared" si="610"/>
        <v>0.89881889763779532</v>
      </c>
      <c r="EA224" s="4">
        <f t="shared" si="514"/>
        <v>1</v>
      </c>
      <c r="EB224" s="4">
        <f t="shared" si="611"/>
        <v>0.89881889763779532</v>
      </c>
      <c r="ED224" s="4">
        <f t="shared" si="515"/>
        <v>498.84145148555075</v>
      </c>
      <c r="EE224" s="25">
        <f t="shared" si="516"/>
        <v>248.18027240401869</v>
      </c>
      <c r="EG224" s="4">
        <f t="shared" si="619"/>
        <v>0.76399606299212597</v>
      </c>
      <c r="EH224" s="4">
        <f t="shared" si="517"/>
        <v>7.3946503468884011</v>
      </c>
      <c r="EK224" s="4">
        <f t="shared" si="491"/>
        <v>63.830764864229231</v>
      </c>
      <c r="EL224" s="4">
        <f t="shared" si="492"/>
        <v>2.5130222387491825</v>
      </c>
      <c r="EM224" s="4">
        <f t="shared" si="493"/>
        <v>0.10337986159960641</v>
      </c>
      <c r="EP224" s="4">
        <f t="shared" si="541"/>
        <v>0.10337986159960641</v>
      </c>
      <c r="EQ224" s="4">
        <f t="shared" si="542"/>
        <v>0.3049832106602397</v>
      </c>
      <c r="ER224" s="4">
        <f t="shared" si="559"/>
        <v>4.5986252140500472</v>
      </c>
      <c r="ES224" s="4">
        <f t="shared" si="582"/>
        <v>6.1582755537013707</v>
      </c>
      <c r="ET224" s="4">
        <f t="shared" si="560"/>
        <v>151.41923513577078</v>
      </c>
      <c r="EU224" s="4">
        <f t="shared" si="561"/>
        <v>71.75</v>
      </c>
      <c r="EV224" s="4">
        <f t="shared" si="612"/>
        <v>2.13666473812144E-5</v>
      </c>
      <c r="EW224" s="4">
        <f t="shared" si="583"/>
        <v>6.9286858004244598</v>
      </c>
      <c r="EX224" s="4">
        <f t="shared" si="636"/>
        <v>521.75907788210839</v>
      </c>
      <c r="FG224" s="23">
        <f t="shared" si="648"/>
        <v>1.6</v>
      </c>
      <c r="FH224" s="23">
        <f t="shared" si="648"/>
        <v>1</v>
      </c>
      <c r="FI224" s="23">
        <f t="shared" si="649"/>
        <v>1.6</v>
      </c>
      <c r="FJ224" s="23">
        <f t="shared" si="650"/>
        <v>1.8</v>
      </c>
      <c r="FK224" s="23">
        <f t="shared" si="650"/>
        <v>1.2</v>
      </c>
      <c r="FL224" s="23">
        <f t="shared" si="650"/>
        <v>1.2</v>
      </c>
      <c r="FM224" s="23">
        <f t="shared" si="651"/>
        <v>0</v>
      </c>
      <c r="FN224" s="23"/>
      <c r="FX224" s="4">
        <f t="shared" si="613"/>
        <v>1</v>
      </c>
      <c r="FY224" s="4">
        <f t="shared" si="652"/>
        <v>0.74803149606299213</v>
      </c>
      <c r="FZ224" s="4">
        <f t="shared" si="614"/>
        <v>0</v>
      </c>
      <c r="GA224" s="4">
        <f t="shared" si="615"/>
        <v>374.70608504738681</v>
      </c>
    </row>
    <row r="225" spans="1:183" ht="12" hidden="1" customHeight="1" x14ac:dyDescent="0.3">
      <c r="A225" s="25">
        <v>207</v>
      </c>
      <c r="B225" s="24" t="s">
        <v>182</v>
      </c>
      <c r="C225" s="4">
        <v>1996</v>
      </c>
      <c r="D225" s="24" t="s">
        <v>309</v>
      </c>
      <c r="E225" s="24"/>
      <c r="F225" s="4" t="s">
        <v>341</v>
      </c>
      <c r="G225" s="7">
        <v>556</v>
      </c>
      <c r="H225" s="7">
        <f>381-P225-25</f>
        <v>280</v>
      </c>
      <c r="I225" s="7">
        <f t="shared" si="630"/>
        <v>280</v>
      </c>
      <c r="J225" s="7">
        <v>37.200000000000003</v>
      </c>
      <c r="K225" s="7">
        <v>35.799999999999997</v>
      </c>
      <c r="L225" s="7">
        <f t="shared" si="498"/>
        <v>7.8212290502793298</v>
      </c>
      <c r="M225" s="7">
        <f t="shared" si="499"/>
        <v>7.8212290502793298</v>
      </c>
      <c r="N225" s="7">
        <v>305</v>
      </c>
      <c r="O225" s="7">
        <v>76</v>
      </c>
      <c r="P225" s="7">
        <v>76</v>
      </c>
      <c r="Q225" s="7">
        <f t="shared" si="623"/>
        <v>81.400000000000006</v>
      </c>
      <c r="R225" s="7">
        <v>2</v>
      </c>
      <c r="S225" s="7">
        <f t="shared" si="620"/>
        <v>280</v>
      </c>
      <c r="T225" s="7">
        <f t="shared" si="621"/>
        <v>1.6368715083798884</v>
      </c>
      <c r="U225" s="7">
        <f t="shared" si="631"/>
        <v>2.6229050279329611</v>
      </c>
      <c r="V225" s="7">
        <f>3025/(K225^2*PI()/4)-1</f>
        <v>2.0051727652257014</v>
      </c>
      <c r="W225" s="7">
        <f>3025/(K225^2*PI()/4)-1</f>
        <v>2.0051727652257014</v>
      </c>
      <c r="X225" s="7">
        <f t="shared" si="616"/>
        <v>3.0051727652257014</v>
      </c>
      <c r="Y225" s="7">
        <f t="shared" si="552"/>
        <v>62.060854190253195</v>
      </c>
      <c r="Z225" s="7">
        <f t="shared" si="632"/>
        <v>556</v>
      </c>
      <c r="AA225" s="7">
        <v>25</v>
      </c>
      <c r="AB225" s="7">
        <f>416*1000/(K225^2*PI()/4)</f>
        <v>413.27334556492286</v>
      </c>
      <c r="AC225" s="7"/>
      <c r="AD225" s="4">
        <f t="shared" si="476"/>
        <v>1.4559039363893846</v>
      </c>
      <c r="AE225" s="7">
        <v>9.5</v>
      </c>
      <c r="AF225" s="7">
        <v>2</v>
      </c>
      <c r="AG225" s="7">
        <v>102</v>
      </c>
      <c r="AH225" s="7">
        <v>4</v>
      </c>
      <c r="AI225" s="7">
        <f>AF225</f>
        <v>2</v>
      </c>
      <c r="AJ225" s="7">
        <f t="shared" si="473"/>
        <v>7.1672354948805461</v>
      </c>
      <c r="AK225" s="4">
        <f t="shared" si="569"/>
        <v>280</v>
      </c>
      <c r="AL225" s="4">
        <f t="shared" si="505"/>
        <v>0.36309523809523808</v>
      </c>
      <c r="AM225" s="4">
        <f t="shared" si="506"/>
        <v>141.94581301451609</v>
      </c>
      <c r="AN225" s="4">
        <f t="shared" si="507"/>
        <v>0.76707142857142852</v>
      </c>
      <c r="AO225" s="4">
        <v>1.25</v>
      </c>
      <c r="AP225" s="4">
        <f t="shared" si="624"/>
        <v>2.5</v>
      </c>
      <c r="AQ225" s="38">
        <f t="shared" si="509"/>
        <v>123.54607945862055</v>
      </c>
      <c r="AR225" s="38">
        <f t="shared" si="510"/>
        <v>123.54607945862055</v>
      </c>
      <c r="AS225" s="38">
        <f t="shared" si="511"/>
        <v>3.3431039547269137</v>
      </c>
      <c r="AT225" s="38">
        <f t="shared" si="626"/>
        <v>123.54607945862062</v>
      </c>
      <c r="AU225" s="38">
        <f t="shared" si="601"/>
        <v>0.99999999999999944</v>
      </c>
      <c r="AV225" s="38">
        <f t="shared" si="537"/>
        <v>1.7321707849671844</v>
      </c>
      <c r="AW225" s="4">
        <f t="shared" si="529"/>
        <v>0</v>
      </c>
      <c r="AX225" s="4">
        <f t="shared" si="570"/>
        <v>251.06887332864065</v>
      </c>
      <c r="AY225" s="4">
        <f t="shared" si="571"/>
        <v>1.2409556313993173</v>
      </c>
      <c r="AZ225" s="38">
        <f t="shared" si="617"/>
        <v>214.00290943545701</v>
      </c>
      <c r="BA225" s="4">
        <f t="shared" si="572"/>
        <v>0.71927581286840181</v>
      </c>
      <c r="BB225" s="4">
        <f t="shared" si="602"/>
        <v>94.357108753567658</v>
      </c>
      <c r="BC225" s="4">
        <f t="shared" si="603"/>
        <v>308.36001818902469</v>
      </c>
      <c r="BE225" s="4">
        <f t="shared" si="627"/>
        <v>1.5</v>
      </c>
      <c r="BF225" s="4">
        <f t="shared" si="628"/>
        <v>489.12699897157211</v>
      </c>
      <c r="BH225" s="4">
        <f t="shared" si="633"/>
        <v>205.25496099907775</v>
      </c>
      <c r="BI225" s="4">
        <f t="shared" si="634"/>
        <v>30569.451870773988</v>
      </c>
      <c r="BJ225" s="4">
        <f t="shared" si="635"/>
        <v>148.93404632939101</v>
      </c>
      <c r="BR225" s="4">
        <f t="shared" si="539"/>
        <v>40.700000000000003</v>
      </c>
      <c r="BV225" s="9"/>
      <c r="BX225" s="9"/>
      <c r="BY225" s="9"/>
      <c r="BZ225" s="9">
        <f t="shared" si="577"/>
        <v>40.700000000000003</v>
      </c>
      <c r="CA225" s="9">
        <f t="shared" si="578"/>
        <v>76</v>
      </c>
      <c r="CB225" s="9">
        <f t="shared" si="604"/>
        <v>1.1709505872794554</v>
      </c>
      <c r="CC225" s="9">
        <v>20</v>
      </c>
      <c r="CD225" s="9">
        <f t="shared" si="518"/>
        <v>3.8822534914349713E-2</v>
      </c>
      <c r="CE225" s="9">
        <f t="shared" si="605"/>
        <v>0.57645069828699425</v>
      </c>
      <c r="CF225" s="9">
        <f t="shared" si="579"/>
        <v>0.89787751228078194</v>
      </c>
      <c r="CG225" s="9">
        <f t="shared" si="580"/>
        <v>0.91600000000000004</v>
      </c>
      <c r="CH225" s="9">
        <f t="shared" si="606"/>
        <v>1.7557071693774966</v>
      </c>
      <c r="CI225" s="9">
        <f t="shared" si="607"/>
        <v>3.0679249648484697</v>
      </c>
      <c r="CJ225" s="9">
        <v>1</v>
      </c>
      <c r="CK225" s="9">
        <f t="shared" si="608"/>
        <v>280.0552733275083</v>
      </c>
      <c r="CM225" s="4">
        <f>AB225/AX225</f>
        <v>1.6460556821950687</v>
      </c>
      <c r="CN225" s="4">
        <f>AB225/BC225</f>
        <v>1.3402299947705487</v>
      </c>
      <c r="CO225" s="4">
        <f t="shared" si="645"/>
        <v>0.84492033037199443</v>
      </c>
      <c r="CP225" s="4">
        <f>AB225/CK225</f>
        <v>1.4756849269594856</v>
      </c>
      <c r="CQ225" s="4">
        <f t="shared" si="638"/>
        <v>1.4559039363893846</v>
      </c>
      <c r="CR225" s="4">
        <f t="shared" si="646"/>
        <v>1.5688980242628909</v>
      </c>
      <c r="CS225" s="4">
        <f>AB225/GA225</f>
        <v>1.468755792642539</v>
      </c>
      <c r="DA225" s="4">
        <f t="shared" si="585"/>
        <v>1.6460556821950687</v>
      </c>
      <c r="DB225" s="4">
        <f t="shared" si="585"/>
        <v>1.3402299947705487</v>
      </c>
      <c r="DC225" s="4">
        <f t="shared" si="586"/>
        <v>1.4756849269594856</v>
      </c>
      <c r="DD225" s="4">
        <f t="shared" ref="DD225" si="653">CS225</f>
        <v>1.468755792642539</v>
      </c>
      <c r="DE225" s="4">
        <f t="shared" si="588"/>
        <v>1.4559039363893846</v>
      </c>
      <c r="DF225" s="4">
        <f t="shared" si="588"/>
        <v>1.5688980242628909</v>
      </c>
      <c r="DH225" s="4">
        <f t="shared" si="557"/>
        <v>2</v>
      </c>
      <c r="DI225" s="4">
        <f t="shared" si="629"/>
        <v>280</v>
      </c>
      <c r="DL225" s="4">
        <f t="shared" si="485"/>
        <v>1.4680935773666002E-5</v>
      </c>
      <c r="DM225" s="4">
        <f t="shared" si="558"/>
        <v>6.0344229393186612</v>
      </c>
      <c r="DN225" s="4">
        <f t="shared" si="486"/>
        <v>0.39996211532628534</v>
      </c>
      <c r="DO225" s="4">
        <f t="shared" si="487"/>
        <v>4.1825706759744072</v>
      </c>
      <c r="DP225" s="4">
        <f t="shared" si="488"/>
        <v>5.1919973193811018</v>
      </c>
      <c r="DQ225" s="4">
        <f t="shared" si="489"/>
        <v>5.8162689076432361</v>
      </c>
      <c r="DR225" s="38">
        <f t="shared" si="513"/>
        <v>283.8603119583791</v>
      </c>
      <c r="DS225" s="4">
        <f t="shared" si="609"/>
        <v>1.0001320096652284</v>
      </c>
      <c r="DT225" s="4">
        <f t="shared" si="490"/>
        <v>1.7335434131355643</v>
      </c>
      <c r="DU225" s="4">
        <f t="shared" si="618"/>
        <v>123.54607945862062</v>
      </c>
      <c r="DY225" s="4">
        <f t="shared" si="581"/>
        <v>0.85</v>
      </c>
      <c r="DZ225" s="4">
        <f t="shared" si="610"/>
        <v>0.98631284916201112</v>
      </c>
      <c r="EA225" s="4">
        <f t="shared" si="514"/>
        <v>0.99049889204456787</v>
      </c>
      <c r="EB225" s="4">
        <f t="shared" si="611"/>
        <v>0.97694178430429301</v>
      </c>
      <c r="ED225" s="4">
        <f t="shared" si="515"/>
        <v>263.41632099325858</v>
      </c>
      <c r="EE225" s="25">
        <f t="shared" si="516"/>
        <v>121.8265090092453</v>
      </c>
      <c r="EG225" s="4">
        <f t="shared" si="619"/>
        <v>0.830400516658649</v>
      </c>
      <c r="EH225" s="4">
        <f t="shared" si="517"/>
        <v>6.0344229393186612</v>
      </c>
      <c r="EK225" s="4">
        <f t="shared" si="491"/>
        <v>62.060854190253195</v>
      </c>
      <c r="EL225" s="4">
        <f t="shared" si="492"/>
        <v>1.7335434131355643</v>
      </c>
      <c r="EM225" s="4">
        <f t="shared" si="493"/>
        <v>0.13339071238746128</v>
      </c>
      <c r="EP225" s="4">
        <f t="shared" si="541"/>
        <v>0.13339071238746128</v>
      </c>
      <c r="EQ225" s="4">
        <f t="shared" si="542"/>
        <v>0.39929465309861079</v>
      </c>
      <c r="ER225" s="4">
        <f t="shared" si="559"/>
        <v>4.1797773045713216</v>
      </c>
      <c r="ES225" s="4">
        <f t="shared" si="582"/>
        <v>5.1908741626807178</v>
      </c>
      <c r="ET225" s="4">
        <f t="shared" si="560"/>
        <v>147.9391458097468</v>
      </c>
      <c r="EU225" s="4">
        <f t="shared" si="561"/>
        <v>70</v>
      </c>
      <c r="EV225" s="4">
        <f t="shared" si="612"/>
        <v>1.4680935773666002E-5</v>
      </c>
      <c r="EW225" s="4">
        <f t="shared" si="583"/>
        <v>5.8163286933267813</v>
      </c>
      <c r="EX225" s="4">
        <f t="shared" si="636"/>
        <v>283.82284459967934</v>
      </c>
      <c r="FG225" s="23">
        <f t="shared" si="648"/>
        <v>1.8</v>
      </c>
      <c r="FH225" s="23">
        <f t="shared" si="648"/>
        <v>1.4</v>
      </c>
      <c r="FI225" s="23">
        <f t="shared" si="649"/>
        <v>1.6</v>
      </c>
      <c r="FJ225" s="23">
        <f t="shared" si="650"/>
        <v>1.6</v>
      </c>
      <c r="FK225" s="23">
        <f t="shared" si="650"/>
        <v>1.6</v>
      </c>
      <c r="FL225" s="23">
        <f t="shared" si="650"/>
        <v>1.6</v>
      </c>
      <c r="FM225" s="23">
        <f t="shared" si="651"/>
        <v>0</v>
      </c>
      <c r="FN225" s="23"/>
      <c r="FX225" s="4">
        <f t="shared" si="613"/>
        <v>1</v>
      </c>
      <c r="FY225" s="4">
        <f t="shared" si="652"/>
        <v>0.57658194354098002</v>
      </c>
      <c r="FZ225" s="4">
        <f t="shared" si="614"/>
        <v>0.28167035985144034</v>
      </c>
      <c r="GA225" s="4">
        <f t="shared" si="615"/>
        <v>281.37648725209419</v>
      </c>
    </row>
    <row r="226" spans="1:183" ht="12" hidden="1" customHeight="1" x14ac:dyDescent="0.3">
      <c r="A226" s="25">
        <v>208</v>
      </c>
      <c r="B226" s="24" t="s">
        <v>182</v>
      </c>
      <c r="C226" s="4">
        <v>1996</v>
      </c>
      <c r="D226" s="24" t="s">
        <v>309</v>
      </c>
      <c r="E226" s="24"/>
      <c r="F226" s="4" t="s">
        <v>342</v>
      </c>
      <c r="G226" s="7">
        <v>556</v>
      </c>
      <c r="H226" s="7">
        <f>381-P226-20</f>
        <v>343</v>
      </c>
      <c r="I226" s="7">
        <f t="shared" si="630"/>
        <v>343</v>
      </c>
      <c r="J226" s="7">
        <v>40</v>
      </c>
      <c r="K226" s="7">
        <v>35.799999999999997</v>
      </c>
      <c r="L226" s="7">
        <f t="shared" si="498"/>
        <v>9.5810055865921804</v>
      </c>
      <c r="M226" s="7">
        <f t="shared" si="499"/>
        <v>9.5810055865921804</v>
      </c>
      <c r="N226" s="7">
        <v>305</v>
      </c>
      <c r="O226" s="7">
        <v>76</v>
      </c>
      <c r="P226" s="7">
        <v>18</v>
      </c>
      <c r="Q226" s="7">
        <f t="shared" si="623"/>
        <v>81.400000000000006</v>
      </c>
      <c r="R226" s="7">
        <v>2</v>
      </c>
      <c r="S226" s="7">
        <f t="shared" si="620"/>
        <v>280</v>
      </c>
      <c r="T226" s="7">
        <f t="shared" si="621"/>
        <v>1.6368715083798884</v>
      </c>
      <c r="U226" s="7">
        <f t="shared" si="631"/>
        <v>2.6229050279329611</v>
      </c>
      <c r="V226" s="7">
        <f>3025/(K226^2*PI()/4)-1</f>
        <v>2.0051727652257014</v>
      </c>
      <c r="W226" s="7">
        <f t="shared" ref="W226:W228" si="654">3025/(K226^2*PI()/4)-1</f>
        <v>2.0051727652257014</v>
      </c>
      <c r="X226" s="7">
        <f t="shared" si="616"/>
        <v>3.0051727652257014</v>
      </c>
      <c r="Y226" s="7">
        <f t="shared" si="552"/>
        <v>62.060854190253195</v>
      </c>
      <c r="Z226" s="7">
        <f t="shared" si="632"/>
        <v>556</v>
      </c>
      <c r="AA226" s="7">
        <v>20</v>
      </c>
      <c r="AB226" s="7"/>
      <c r="AC226" s="32" t="s">
        <v>183</v>
      </c>
      <c r="AD226" s="4">
        <f t="shared" si="476"/>
        <v>0</v>
      </c>
      <c r="AE226" s="7"/>
      <c r="AF226" s="7"/>
      <c r="AG226" s="7">
        <v>1</v>
      </c>
      <c r="AH226" s="7"/>
      <c r="AI226" s="7"/>
      <c r="AJ226" s="7">
        <f t="shared" si="473"/>
        <v>8.7798634812286682</v>
      </c>
      <c r="AK226" s="4">
        <f t="shared" si="569"/>
        <v>343</v>
      </c>
      <c r="AL226" s="4">
        <f t="shared" si="505"/>
        <v>0.29640427599611274</v>
      </c>
      <c r="AM226" s="4">
        <f t="shared" si="506"/>
        <v>199.56539930939542</v>
      </c>
      <c r="AN226" s="4">
        <f t="shared" si="507"/>
        <v>0.75475218658892129</v>
      </c>
      <c r="AO226" s="4">
        <v>1.25</v>
      </c>
      <c r="AP226" s="4">
        <f t="shared" si="624"/>
        <v>2.5</v>
      </c>
      <c r="AQ226" s="38">
        <f t="shared" si="509"/>
        <v>139.51603060118595</v>
      </c>
      <c r="AR226" s="38">
        <f t="shared" si="510"/>
        <v>139.51603060118595</v>
      </c>
      <c r="AS226" s="38">
        <f t="shared" si="511"/>
        <v>3.5088212858554391</v>
      </c>
      <c r="AT226" s="38">
        <f t="shared" si="626"/>
        <v>139.51603060118595</v>
      </c>
      <c r="AU226" s="38">
        <f t="shared" si="601"/>
        <v>1</v>
      </c>
      <c r="AV226" s="38">
        <f t="shared" si="537"/>
        <v>1.6493492132436494</v>
      </c>
      <c r="AW226" s="4">
        <f t="shared" si="529"/>
        <v>0</v>
      </c>
      <c r="AX226" s="4">
        <f t="shared" si="570"/>
        <v>318.92420977293574</v>
      </c>
      <c r="AY226" s="4">
        <f t="shared" si="571"/>
        <v>1.2409556313993173</v>
      </c>
      <c r="AZ226" s="38">
        <f t="shared" si="617"/>
        <v>230.11065530694296</v>
      </c>
      <c r="BA226" s="4">
        <f t="shared" si="572"/>
        <v>0.71927581286840181</v>
      </c>
      <c r="BB226" s="4">
        <f t="shared" si="602"/>
        <v>119.85861069404693</v>
      </c>
      <c r="BC226" s="4">
        <f t="shared" si="603"/>
        <v>349.96926600098988</v>
      </c>
      <c r="BE226" s="4">
        <f t="shared" si="627"/>
        <v>1.2807262569832403</v>
      </c>
      <c r="BF226" s="4">
        <f t="shared" si="628"/>
        <v>475.8198492579329</v>
      </c>
      <c r="BH226" s="4">
        <f t="shared" si="633"/>
        <v>220.70425913879328</v>
      </c>
      <c r="BI226" s="4">
        <f t="shared" si="634"/>
        <v>19564.449197295351</v>
      </c>
      <c r="BJ226" s="4">
        <f t="shared" si="635"/>
        <v>88.645544375253522</v>
      </c>
      <c r="BR226" s="4">
        <f t="shared" si="539"/>
        <v>40.700000000000003</v>
      </c>
      <c r="BV226" s="9"/>
      <c r="BX226" s="9"/>
      <c r="BY226" s="9"/>
      <c r="BZ226" s="9">
        <f t="shared" si="577"/>
        <v>18</v>
      </c>
      <c r="CA226" s="9">
        <f t="shared" si="578"/>
        <v>76</v>
      </c>
      <c r="CB226" s="9">
        <f t="shared" si="604"/>
        <v>0.88008760053944035</v>
      </c>
      <c r="CC226" s="9">
        <v>0</v>
      </c>
      <c r="CD226" s="9">
        <f t="shared" si="518"/>
        <v>0</v>
      </c>
      <c r="CE226" s="9">
        <f t="shared" si="605"/>
        <v>0</v>
      </c>
      <c r="CF226" s="9">
        <f t="shared" si="579"/>
        <v>0.89787751228078194</v>
      </c>
      <c r="CG226" s="9">
        <f t="shared" si="580"/>
        <v>0.91600000000000004</v>
      </c>
      <c r="CH226" s="9">
        <f t="shared" si="606"/>
        <v>1.8205835247363529</v>
      </c>
      <c r="CI226" s="9">
        <f t="shared" si="607"/>
        <v>1.6022729858668536</v>
      </c>
      <c r="CJ226" s="9">
        <v>1</v>
      </c>
      <c r="CK226" s="9">
        <f t="shared" si="608"/>
        <v>157.54192486735545</v>
      </c>
      <c r="DH226" s="4">
        <f t="shared" si="557"/>
        <v>0</v>
      </c>
      <c r="DI226" s="4">
        <f t="shared" si="629"/>
        <v>343</v>
      </c>
      <c r="DL226" s="4">
        <f t="shared" si="485"/>
        <v>1.8323811476289715E-5</v>
      </c>
      <c r="DM226" s="4">
        <f t="shared" si="558"/>
        <v>5.2682598904813771</v>
      </c>
      <c r="DN226" s="4">
        <f t="shared" si="486"/>
        <v>0.42004609193670067</v>
      </c>
      <c r="DO226" s="4">
        <f t="shared" si="487"/>
        <v>3.7237967669270295</v>
      </c>
      <c r="DP226" s="4">
        <f t="shared" si="488"/>
        <v>4.5620541808432229</v>
      </c>
      <c r="DQ226" s="4">
        <f t="shared" si="489"/>
        <v>5.0102461147907276</v>
      </c>
      <c r="DR226" s="38">
        <f t="shared" si="513"/>
        <v>312.83380392255719</v>
      </c>
      <c r="DS226" s="4">
        <f t="shared" si="609"/>
        <v>1.0001237279128437</v>
      </c>
      <c r="DT226" s="4">
        <f t="shared" si="490"/>
        <v>1.7335434131355643</v>
      </c>
      <c r="DU226" s="4">
        <f t="shared" si="618"/>
        <v>139.51603060118595</v>
      </c>
      <c r="DY226" s="4">
        <f t="shared" si="581"/>
        <v>1</v>
      </c>
      <c r="DZ226" s="4">
        <f t="shared" si="610"/>
        <v>0.98631284916201112</v>
      </c>
      <c r="EA226" s="4">
        <f t="shared" si="514"/>
        <v>1</v>
      </c>
      <c r="EB226" s="4">
        <f t="shared" si="611"/>
        <v>0.98631284916201112</v>
      </c>
      <c r="ED226" s="4">
        <f t="shared" si="515"/>
        <v>289.39711749331366</v>
      </c>
      <c r="EE226" s="25">
        <f t="shared" si="516"/>
        <v>137.97143516634895</v>
      </c>
      <c r="EG226" s="4">
        <f t="shared" si="619"/>
        <v>0.98631284916201112</v>
      </c>
      <c r="EH226" s="4">
        <f t="shared" si="517"/>
        <v>5.2682598904813771</v>
      </c>
      <c r="EK226" s="4">
        <f t="shared" si="491"/>
        <v>62.060854190253195</v>
      </c>
      <c r="EL226" s="4">
        <f t="shared" si="492"/>
        <v>1.7335434131355643</v>
      </c>
      <c r="EM226" s="4">
        <f t="shared" si="493"/>
        <v>0.14526540842660543</v>
      </c>
      <c r="EP226" s="4">
        <f t="shared" si="541"/>
        <v>0.14526540842660543</v>
      </c>
      <c r="EQ226" s="4">
        <f t="shared" si="542"/>
        <v>0.41934511329520796</v>
      </c>
      <c r="ER226" s="4">
        <f t="shared" si="559"/>
        <v>3.7213097922395755</v>
      </c>
      <c r="ES226" s="4">
        <f t="shared" si="582"/>
        <v>4.5610407181665344</v>
      </c>
      <c r="ET226" s="4">
        <f t="shared" si="560"/>
        <v>195.1891458097468</v>
      </c>
      <c r="EU226" s="4">
        <f t="shared" si="561"/>
        <v>85.750000000000028</v>
      </c>
      <c r="EV226" s="4">
        <f t="shared" si="612"/>
        <v>1.8323811476289719E-5</v>
      </c>
      <c r="EW226" s="4">
        <f t="shared" si="583"/>
        <v>5.0103135479724656</v>
      </c>
      <c r="EX226" s="4">
        <f t="shared" si="636"/>
        <v>312.79510243738491</v>
      </c>
      <c r="FG226" s="23"/>
      <c r="FH226" s="23"/>
      <c r="FI226" s="23"/>
      <c r="FJ226" s="23"/>
      <c r="FK226" s="23"/>
      <c r="FL226" s="23"/>
      <c r="FM226" s="23"/>
      <c r="FN226" s="23"/>
      <c r="FX226" s="4">
        <f t="shared" si="613"/>
        <v>1</v>
      </c>
      <c r="FY226" s="4">
        <f t="shared" si="652"/>
        <v>0.8938547486033519</v>
      </c>
      <c r="FZ226" s="4">
        <f t="shared" si="614"/>
        <v>0</v>
      </c>
      <c r="GA226" s="4">
        <f t="shared" si="615"/>
        <v>226.41085312615539</v>
      </c>
    </row>
    <row r="227" spans="1:183" ht="12" hidden="1" customHeight="1" x14ac:dyDescent="0.3">
      <c r="A227" s="25">
        <v>209</v>
      </c>
      <c r="B227" s="24" t="s">
        <v>182</v>
      </c>
      <c r="C227" s="4">
        <v>1996</v>
      </c>
      <c r="D227" s="24" t="s">
        <v>309</v>
      </c>
      <c r="E227" s="24"/>
      <c r="F227" s="4" t="s">
        <v>343</v>
      </c>
      <c r="G227" s="7">
        <v>556</v>
      </c>
      <c r="H227" s="7">
        <f>457-P227-25</f>
        <v>356</v>
      </c>
      <c r="I227" s="7">
        <f t="shared" si="630"/>
        <v>356</v>
      </c>
      <c r="J227" s="7">
        <v>39.6</v>
      </c>
      <c r="K227" s="7">
        <v>35.799999999999997</v>
      </c>
      <c r="L227" s="7">
        <f t="shared" si="498"/>
        <v>9.9441340782122918</v>
      </c>
      <c r="M227" s="7">
        <f t="shared" si="499"/>
        <v>9.9441340782122918</v>
      </c>
      <c r="N227" s="7">
        <v>305</v>
      </c>
      <c r="O227" s="7">
        <v>76</v>
      </c>
      <c r="P227" s="7">
        <v>76</v>
      </c>
      <c r="Q227" s="7">
        <f t="shared" si="623"/>
        <v>81.400000000000006</v>
      </c>
      <c r="R227" s="7">
        <v>2</v>
      </c>
      <c r="S227" s="7">
        <f t="shared" si="620"/>
        <v>280</v>
      </c>
      <c r="T227" s="7">
        <f t="shared" si="621"/>
        <v>1.6368715083798884</v>
      </c>
      <c r="U227" s="7">
        <f t="shared" si="631"/>
        <v>2.6229050279329611</v>
      </c>
      <c r="V227" s="7">
        <f>3025/(K227^2*PI()/4)-1</f>
        <v>2.0051727652257014</v>
      </c>
      <c r="W227" s="7">
        <f t="shared" si="654"/>
        <v>2.0051727652257014</v>
      </c>
      <c r="X227" s="7">
        <f t="shared" si="616"/>
        <v>3.0051727652257014</v>
      </c>
      <c r="Y227" s="7">
        <f t="shared" si="552"/>
        <v>62.060854190253195</v>
      </c>
      <c r="Z227" s="7">
        <f t="shared" si="632"/>
        <v>556</v>
      </c>
      <c r="AA227" s="7">
        <v>25</v>
      </c>
      <c r="AB227" s="7">
        <f>426*1000/(K227^2*PI()/4)</f>
        <v>423.20780098715659</v>
      </c>
      <c r="AC227" s="7"/>
      <c r="AD227" s="4">
        <f t="shared" si="476"/>
        <v>1.2033493663218637</v>
      </c>
      <c r="AE227" s="7"/>
      <c r="AF227" s="7"/>
      <c r="AG227" s="7">
        <v>1</v>
      </c>
      <c r="AH227" s="7"/>
      <c r="AI227" s="7"/>
      <c r="AJ227" s="7">
        <f t="shared" ref="AJ227:AJ243" si="655">3*AK227/(Q227+K227)</f>
        <v>9.112627986348123</v>
      </c>
      <c r="AK227" s="4">
        <f t="shared" si="569"/>
        <v>356</v>
      </c>
      <c r="AL227" s="4">
        <f t="shared" si="505"/>
        <v>0.28558052434456926</v>
      </c>
      <c r="AM227" s="4">
        <f t="shared" si="506"/>
        <v>209.96004617345227</v>
      </c>
      <c r="AN227" s="4">
        <f t="shared" si="507"/>
        <v>0.75275280898876396</v>
      </c>
      <c r="AO227" s="4">
        <v>1.25</v>
      </c>
      <c r="AP227" s="4">
        <f t="shared" si="624"/>
        <v>2.5</v>
      </c>
      <c r="AQ227" s="38">
        <f t="shared" si="509"/>
        <v>141.04823394313382</v>
      </c>
      <c r="AR227" s="38">
        <f t="shared" si="510"/>
        <v>141.04823394313382</v>
      </c>
      <c r="AS227" s="38">
        <f t="shared" si="511"/>
        <v>3.4853899827538752</v>
      </c>
      <c r="AT227" s="38">
        <f t="shared" si="626"/>
        <v>141.04823394313374</v>
      </c>
      <c r="AU227" s="38">
        <f t="shared" si="601"/>
        <v>1.0000000000000007</v>
      </c>
      <c r="AV227" s="38">
        <f t="shared" si="537"/>
        <v>1.6151180513590784</v>
      </c>
      <c r="AW227" s="4">
        <f t="shared" si="529"/>
        <v>0</v>
      </c>
      <c r="AX227" s="4">
        <f t="shared" si="570"/>
        <v>329.35249921955955</v>
      </c>
      <c r="AY227" s="4">
        <f t="shared" si="571"/>
        <v>1.2409556313993173</v>
      </c>
      <c r="AZ227" s="38">
        <f t="shared" si="617"/>
        <v>227.80954875387357</v>
      </c>
      <c r="BA227" s="4">
        <f t="shared" si="572"/>
        <v>0.71927581286840181</v>
      </c>
      <c r="BB227" s="4">
        <f t="shared" si="602"/>
        <v>123.77778724661293</v>
      </c>
      <c r="BC227" s="4">
        <f t="shared" si="603"/>
        <v>351.58733600048652</v>
      </c>
      <c r="BE227" s="4">
        <f t="shared" si="627"/>
        <v>1.2807262569832403</v>
      </c>
      <c r="BF227" s="4">
        <f t="shared" si="628"/>
        <v>482.21458979893413</v>
      </c>
      <c r="BH227" s="4">
        <f t="shared" si="633"/>
        <v>218.49721654740532</v>
      </c>
      <c r="BI227" s="4">
        <f t="shared" si="634"/>
        <v>30569.451870773988</v>
      </c>
      <c r="BJ227" s="4">
        <f t="shared" si="635"/>
        <v>139.9077404912461</v>
      </c>
      <c r="BR227" s="4">
        <f t="shared" si="539"/>
        <v>40.700000000000003</v>
      </c>
      <c r="BV227" s="9"/>
      <c r="BX227" s="9"/>
      <c r="BY227" s="9"/>
      <c r="BZ227" s="9">
        <f t="shared" si="577"/>
        <v>40.700000000000003</v>
      </c>
      <c r="CA227" s="9">
        <f t="shared" si="578"/>
        <v>76</v>
      </c>
      <c r="CB227" s="9">
        <f t="shared" si="604"/>
        <v>1.1709505872794554</v>
      </c>
      <c r="CC227" s="9">
        <v>0</v>
      </c>
      <c r="CD227" s="9">
        <f t="shared" si="518"/>
        <v>0</v>
      </c>
      <c r="CE227" s="9">
        <f t="shared" si="605"/>
        <v>0</v>
      </c>
      <c r="CF227" s="9">
        <f t="shared" si="579"/>
        <v>0.89787751228078194</v>
      </c>
      <c r="CG227" s="9">
        <f t="shared" si="580"/>
        <v>0.91600000000000004</v>
      </c>
      <c r="CH227" s="9">
        <f t="shared" si="606"/>
        <v>1.8114577353159602</v>
      </c>
      <c r="CI227" s="9">
        <f t="shared" si="607"/>
        <v>2.1211274990001359</v>
      </c>
      <c r="CJ227" s="9">
        <v>1</v>
      </c>
      <c r="CK227" s="9">
        <f t="shared" si="608"/>
        <v>211.63875492816999</v>
      </c>
      <c r="CM227" s="4">
        <f>AB227/AX227</f>
        <v>1.2849691500444007</v>
      </c>
      <c r="CN227" s="4">
        <f>AB227/BC227</f>
        <v>1.2037060430031272</v>
      </c>
      <c r="CO227" s="4">
        <f t="shared" ref="CO227" si="656">AB227/BF227</f>
        <v>0.87763375463944127</v>
      </c>
      <c r="CP227" s="4">
        <f>AB227/CK227</f>
        <v>1.9996706233260206</v>
      </c>
      <c r="CQ227" s="4">
        <f t="shared" si="638"/>
        <v>1.2033493663218637</v>
      </c>
      <c r="CR227" s="4">
        <f t="shared" ref="CR227" si="657">AB227/ED227</f>
        <v>1.3081102480693489</v>
      </c>
      <c r="CS227" s="4">
        <f>AB227/GA227</f>
        <v>1.805476112010334</v>
      </c>
      <c r="CU227" s="4">
        <f t="shared" ref="CU227:CV243" si="658">CM227</f>
        <v>1.2849691500444007</v>
      </c>
      <c r="CV227" s="4">
        <f t="shared" si="658"/>
        <v>1.2037060430031272</v>
      </c>
      <c r="CW227" s="4">
        <f t="shared" ref="CW227:CW243" si="659">CP227</f>
        <v>1.9996706233260206</v>
      </c>
      <c r="CX227" s="4">
        <f t="shared" ref="CX227" si="660">CS227</f>
        <v>1.805476112010334</v>
      </c>
      <c r="CY227" s="4">
        <f t="shared" ref="CY227:CZ243" si="661">CQ227</f>
        <v>1.2033493663218637</v>
      </c>
      <c r="CZ227" s="4">
        <f t="shared" si="661"/>
        <v>1.3081102480693489</v>
      </c>
      <c r="DH227" s="4">
        <f t="shared" si="557"/>
        <v>0</v>
      </c>
      <c r="DI227" s="4">
        <f t="shared" si="629"/>
        <v>356</v>
      </c>
      <c r="DL227" s="4">
        <f t="shared" si="485"/>
        <v>1.8967907610196526E-5</v>
      </c>
      <c r="DM227" s="4">
        <f t="shared" si="558"/>
        <v>6.1668851840490211</v>
      </c>
      <c r="DN227" s="4">
        <f t="shared" si="486"/>
        <v>0.42894863980926484</v>
      </c>
      <c r="DO227" s="4">
        <f t="shared" si="487"/>
        <v>4.3956993516638692</v>
      </c>
      <c r="DP227" s="4">
        <f t="shared" si="488"/>
        <v>5.3552300003182269</v>
      </c>
      <c r="DQ227" s="4">
        <f t="shared" si="489"/>
        <v>5.7860734734060939</v>
      </c>
      <c r="DR227" s="38">
        <f t="shared" si="513"/>
        <v>351.69154763485358</v>
      </c>
      <c r="DS227" s="4">
        <f t="shared" si="609"/>
        <v>1.0001334282748957</v>
      </c>
      <c r="DT227" s="4">
        <f t="shared" si="490"/>
        <v>1.7335434131355643</v>
      </c>
      <c r="DU227" s="4">
        <f t="shared" si="618"/>
        <v>141.04823394313374</v>
      </c>
      <c r="DY227" s="4">
        <f t="shared" si="581"/>
        <v>0.85</v>
      </c>
      <c r="DZ227" s="4">
        <f t="shared" si="610"/>
        <v>0.98631284916201112</v>
      </c>
      <c r="EA227" s="4">
        <f t="shared" si="514"/>
        <v>1</v>
      </c>
      <c r="EB227" s="4">
        <f t="shared" si="611"/>
        <v>0.98631284916201112</v>
      </c>
      <c r="ED227" s="4">
        <f t="shared" si="515"/>
        <v>323.52609545852317</v>
      </c>
      <c r="EE227" s="25">
        <f t="shared" si="516"/>
        <v>139.55309611315016</v>
      </c>
      <c r="EG227" s="4">
        <f t="shared" si="619"/>
        <v>0.83836592178770941</v>
      </c>
      <c r="EH227" s="4">
        <f t="shared" si="517"/>
        <v>6.1668851840490211</v>
      </c>
      <c r="EK227" s="4">
        <f t="shared" si="491"/>
        <v>62.060854190253195</v>
      </c>
      <c r="EL227" s="4">
        <f t="shared" si="492"/>
        <v>1.7335434131355643</v>
      </c>
      <c r="EM227" s="4">
        <f t="shared" si="493"/>
        <v>0.14760061035641445</v>
      </c>
      <c r="EP227" s="4">
        <f t="shared" si="541"/>
        <v>0.14760061035641445</v>
      </c>
      <c r="EQ227" s="4">
        <f t="shared" si="542"/>
        <v>0.42823280447458212</v>
      </c>
      <c r="ER227" s="4">
        <f t="shared" si="559"/>
        <v>4.3927636401561037</v>
      </c>
      <c r="ES227" s="4">
        <f t="shared" si="582"/>
        <v>5.3540268593966776</v>
      </c>
      <c r="ET227" s="4">
        <f t="shared" si="560"/>
        <v>204.9391458097468</v>
      </c>
      <c r="EU227" s="4">
        <f t="shared" si="561"/>
        <v>89.000000000000028</v>
      </c>
      <c r="EV227" s="4">
        <f t="shared" si="612"/>
        <v>1.8967907610196532E-5</v>
      </c>
      <c r="EW227" s="4">
        <f t="shared" si="583"/>
        <v>5.7861727473186031</v>
      </c>
      <c r="EX227" s="4">
        <f t="shared" si="636"/>
        <v>351.64462829872332</v>
      </c>
      <c r="FG227" s="23">
        <f t="shared" ref="FG227:FH227" si="662">IF(CM227&lt;0.6,0.6,IF(CM227&lt;0.8,0.8,IF(CM227&lt;1,1,IF(CM227&lt;1.2,1.2,IF(CM227&lt;1.4,1.4,IF(CM227&lt;1.6,1.6,IF(CM227&lt;1.8,1.8,IF(CM227&lt;2,2,2.2))))))))</f>
        <v>1.4</v>
      </c>
      <c r="FH227" s="23">
        <f t="shared" si="662"/>
        <v>1.4</v>
      </c>
      <c r="FI227" s="23">
        <f t="shared" ref="FI227" si="663">IF(CS227&lt;0.6,0.6,IF(CS227&lt;0.8,0.8,IF(CS227&lt;1,1,IF(CS227&lt;1.2,1.2,IF(CS227&lt;1.4,1.4,IF(CS227&lt;1.6,1.6,IF(CS227&lt;1.8,1.8,IF(CS227&lt;2,2,2.2))))))))</f>
        <v>2</v>
      </c>
      <c r="FJ227" s="23">
        <f t="shared" ref="FJ227:FL227" si="664">IF(CP227&lt;0.6,0.6,IF(CP227&lt;0.8,0.8,IF(CP227&lt;1,1,IF(CP227&lt;1.2,1.2,IF(CP227&lt;1.4,1.4,IF(CP227&lt;1.6,1.6,IF(CP227&lt;1.8,1.8,IF(CP227&lt;2,2,2.2))))))))</f>
        <v>2</v>
      </c>
      <c r="FK227" s="23">
        <f t="shared" si="664"/>
        <v>1.4</v>
      </c>
      <c r="FL227" s="23">
        <f t="shared" si="664"/>
        <v>1.4</v>
      </c>
      <c r="FM227" s="23">
        <f t="shared" ref="FM227" si="665">IF(FK227&lt;1,1,0)</f>
        <v>0</v>
      </c>
      <c r="FN227" s="23"/>
      <c r="FX227" s="4">
        <f t="shared" si="613"/>
        <v>1</v>
      </c>
      <c r="FY227" s="4">
        <f t="shared" si="652"/>
        <v>0.8938547486033519</v>
      </c>
      <c r="FZ227" s="4">
        <f t="shared" si="614"/>
        <v>0</v>
      </c>
      <c r="GA227" s="4">
        <f t="shared" si="615"/>
        <v>234.40232644004888</v>
      </c>
    </row>
    <row r="228" spans="1:183" ht="12" hidden="1" customHeight="1" x14ac:dyDescent="0.3">
      <c r="A228" s="25">
        <v>210</v>
      </c>
      <c r="B228" s="24" t="s">
        <v>182</v>
      </c>
      <c r="C228" s="4">
        <v>1996</v>
      </c>
      <c r="D228" s="24" t="s">
        <v>309</v>
      </c>
      <c r="E228" s="24"/>
      <c r="F228" s="4" t="s">
        <v>344</v>
      </c>
      <c r="G228" s="7">
        <v>556</v>
      </c>
      <c r="H228" s="7">
        <f>305-P228-25</f>
        <v>204</v>
      </c>
      <c r="I228" s="7">
        <f t="shared" si="630"/>
        <v>204</v>
      </c>
      <c r="J228" s="7">
        <v>36.1</v>
      </c>
      <c r="K228" s="7">
        <v>35.799999999999997</v>
      </c>
      <c r="L228" s="7">
        <f t="shared" si="498"/>
        <v>5.6983240223463696</v>
      </c>
      <c r="M228" s="7">
        <f t="shared" si="499"/>
        <v>5.6983240223463696</v>
      </c>
      <c r="N228" s="7">
        <v>305</v>
      </c>
      <c r="O228" s="7">
        <v>76</v>
      </c>
      <c r="P228" s="7">
        <v>76</v>
      </c>
      <c r="Q228" s="7">
        <f t="shared" si="623"/>
        <v>81.400000000000006</v>
      </c>
      <c r="R228" s="7">
        <v>2</v>
      </c>
      <c r="S228" s="7">
        <f t="shared" si="620"/>
        <v>280</v>
      </c>
      <c r="T228" s="7">
        <f t="shared" si="621"/>
        <v>1.6368715083798884</v>
      </c>
      <c r="U228" s="7">
        <f t="shared" si="631"/>
        <v>2.6229050279329611</v>
      </c>
      <c r="V228" s="7">
        <f>3025/(K228^2*PI()/4)-1</f>
        <v>2.0051727652257014</v>
      </c>
      <c r="W228" s="7">
        <f t="shared" si="654"/>
        <v>2.0051727652257014</v>
      </c>
      <c r="X228" s="7">
        <f t="shared" si="616"/>
        <v>3.0051727652257014</v>
      </c>
      <c r="Y228" s="7">
        <f t="shared" si="552"/>
        <v>62.060854190253195</v>
      </c>
      <c r="Z228" s="7">
        <f t="shared" si="632"/>
        <v>556</v>
      </c>
      <c r="AA228" s="7">
        <v>25</v>
      </c>
      <c r="AB228" s="7"/>
      <c r="AC228" s="32" t="s">
        <v>183</v>
      </c>
      <c r="AD228" s="4">
        <f t="shared" si="476"/>
        <v>0</v>
      </c>
      <c r="AE228" s="7"/>
      <c r="AF228" s="7"/>
      <c r="AG228" s="7">
        <v>1</v>
      </c>
      <c r="AH228" s="7"/>
      <c r="AI228" s="7"/>
      <c r="AJ228" s="7">
        <f t="shared" si="655"/>
        <v>5.2218430034129693</v>
      </c>
      <c r="AK228" s="4">
        <f t="shared" si="569"/>
        <v>204</v>
      </c>
      <c r="AL228" s="4">
        <f t="shared" si="505"/>
        <v>0.49836601307189543</v>
      </c>
      <c r="AM228" s="4">
        <f t="shared" si="506"/>
        <v>86.958676610533459</v>
      </c>
      <c r="AN228" s="4">
        <f t="shared" si="507"/>
        <v>0.7920588235294117</v>
      </c>
      <c r="AO228" s="4">
        <v>1.25</v>
      </c>
      <c r="AP228" s="4">
        <f t="shared" si="624"/>
        <v>2.5</v>
      </c>
      <c r="AQ228" s="38">
        <f t="shared" si="509"/>
        <v>107.26765759294925</v>
      </c>
      <c r="AR228" s="38">
        <f t="shared" si="510"/>
        <v>107.26765759294925</v>
      </c>
      <c r="AS228" s="38">
        <f t="shared" si="511"/>
        <v>3.2768713349985528</v>
      </c>
      <c r="AT228" s="38">
        <f t="shared" si="626"/>
        <v>107.26765759294932</v>
      </c>
      <c r="AU228" s="38">
        <f t="shared" si="601"/>
        <v>0.99999999999999933</v>
      </c>
      <c r="AV228" s="38">
        <f t="shared" si="537"/>
        <v>1.9360436414355566</v>
      </c>
      <c r="AW228" s="4">
        <f t="shared" si="529"/>
        <v>0</v>
      </c>
      <c r="AX228" s="4">
        <f t="shared" si="570"/>
        <v>180.19682756266744</v>
      </c>
      <c r="AY228" s="4">
        <f t="shared" si="571"/>
        <v>1.2409556313993173</v>
      </c>
      <c r="AZ228" s="38">
        <f t="shared" si="617"/>
        <v>207.67486641451603</v>
      </c>
      <c r="BA228" s="4">
        <f t="shared" si="572"/>
        <v>0.71927581286840181</v>
      </c>
      <c r="BB228" s="4">
        <f t="shared" si="602"/>
        <v>67.721862252204929</v>
      </c>
      <c r="BC228" s="4">
        <f t="shared" si="603"/>
        <v>275.39672866672095</v>
      </c>
      <c r="BE228" s="4">
        <f t="shared" si="627"/>
        <v>1.2807262569832403</v>
      </c>
      <c r="BF228" s="4">
        <f t="shared" si="628"/>
        <v>362.3968866174186</v>
      </c>
      <c r="BH228" s="4">
        <f t="shared" si="633"/>
        <v>199.18559387276096</v>
      </c>
      <c r="BI228" s="4">
        <f t="shared" si="634"/>
        <v>30569.451870773988</v>
      </c>
      <c r="BJ228" s="4">
        <f t="shared" si="635"/>
        <v>153.47220286574361</v>
      </c>
      <c r="BR228" s="4">
        <f t="shared" si="539"/>
        <v>40.700000000000003</v>
      </c>
      <c r="BV228" s="9"/>
      <c r="BX228" s="9"/>
      <c r="BY228" s="9"/>
      <c r="BZ228" s="9">
        <f t="shared" si="577"/>
        <v>40.700000000000003</v>
      </c>
      <c r="CA228" s="9">
        <f t="shared" si="578"/>
        <v>76</v>
      </c>
      <c r="CB228" s="9">
        <f t="shared" si="604"/>
        <v>1.1709505872794554</v>
      </c>
      <c r="CC228" s="9">
        <v>0</v>
      </c>
      <c r="CD228" s="9">
        <f t="shared" si="518"/>
        <v>0</v>
      </c>
      <c r="CE228" s="9">
        <f t="shared" si="605"/>
        <v>0</v>
      </c>
      <c r="CF228" s="9">
        <f t="shared" si="579"/>
        <v>0.89787751228078194</v>
      </c>
      <c r="CG228" s="9">
        <f t="shared" si="580"/>
        <v>0.91600000000000004</v>
      </c>
      <c r="CH228" s="9">
        <f t="shared" si="606"/>
        <v>1.7295543484995353</v>
      </c>
      <c r="CI228" s="9">
        <f t="shared" si="607"/>
        <v>2.0252226801072668</v>
      </c>
      <c r="CJ228" s="9">
        <v>1</v>
      </c>
      <c r="CK228" s="9">
        <f t="shared" si="608"/>
        <v>167.67486100105975</v>
      </c>
      <c r="DH228" s="4">
        <f t="shared" si="557"/>
        <v>0</v>
      </c>
      <c r="DI228" s="4">
        <f t="shared" si="629"/>
        <v>204</v>
      </c>
      <c r="DL228" s="4">
        <f t="shared" si="485"/>
        <v>1.0616776242063277E-5</v>
      </c>
      <c r="DM228" s="4">
        <f t="shared" si="558"/>
        <v>5.8880551717144805</v>
      </c>
      <c r="DN228" s="4">
        <f t="shared" si="486"/>
        <v>0.35784456322904007</v>
      </c>
      <c r="DO228" s="4">
        <f t="shared" si="487"/>
        <v>3.903459161346345</v>
      </c>
      <c r="DP228" s="4">
        <f t="shared" si="488"/>
        <v>4.9957013919335163</v>
      </c>
      <c r="DQ228" s="4">
        <f t="shared" si="489"/>
        <v>5.7825332101658145</v>
      </c>
      <c r="DR228" s="38">
        <f t="shared" si="513"/>
        <v>218.04598394729314</v>
      </c>
      <c r="DS228" s="4">
        <f t="shared" si="609"/>
        <v>1.0001294391593079</v>
      </c>
      <c r="DT228" s="4">
        <f t="shared" si="490"/>
        <v>1.7335434131355643</v>
      </c>
      <c r="DU228" s="4">
        <f t="shared" si="618"/>
        <v>107.26765759294932</v>
      </c>
      <c r="DY228" s="4">
        <f t="shared" si="581"/>
        <v>0.85</v>
      </c>
      <c r="DZ228" s="4">
        <f t="shared" si="610"/>
        <v>0.98631284916201112</v>
      </c>
      <c r="EA228" s="4">
        <f t="shared" si="514"/>
        <v>1</v>
      </c>
      <c r="EB228" s="4">
        <f t="shared" si="611"/>
        <v>0.98631284916201112</v>
      </c>
      <c r="ED228" s="4">
        <f t="shared" si="515"/>
        <v>205.84046641765849</v>
      </c>
      <c r="EE228" s="25">
        <f t="shared" si="516"/>
        <v>105.18432772801428</v>
      </c>
      <c r="EG228" s="4">
        <f t="shared" si="619"/>
        <v>0.83836592178770941</v>
      </c>
      <c r="EH228" s="4">
        <f t="shared" si="517"/>
        <v>5.8880551717144805</v>
      </c>
      <c r="EK228" s="4">
        <f t="shared" si="491"/>
        <v>62.060854190253195</v>
      </c>
      <c r="EL228" s="4">
        <f t="shared" si="492"/>
        <v>1.7335434131355643</v>
      </c>
      <c r="EM228" s="4">
        <f t="shared" si="493"/>
        <v>0.1175664188934134</v>
      </c>
      <c r="EP228" s="4">
        <f t="shared" si="541"/>
        <v>0.1175664188934134</v>
      </c>
      <c r="EQ228" s="4">
        <f t="shared" si="542"/>
        <v>0.35724738734617123</v>
      </c>
      <c r="ER228" s="4">
        <f t="shared" si="559"/>
        <v>3.900852197342831</v>
      </c>
      <c r="ES228" s="4">
        <f t="shared" si="582"/>
        <v>4.994685388289958</v>
      </c>
      <c r="ET228" s="4">
        <f t="shared" si="560"/>
        <v>90.939145809746805</v>
      </c>
      <c r="EU228" s="4">
        <f t="shared" si="561"/>
        <v>51</v>
      </c>
      <c r="EV228" s="4">
        <f t="shared" si="612"/>
        <v>1.0616776242063277E-5</v>
      </c>
      <c r="EW228" s="4">
        <f t="shared" si="583"/>
        <v>5.7825648884700565</v>
      </c>
      <c r="EX228" s="4">
        <f t="shared" si="636"/>
        <v>218.01776391121831</v>
      </c>
      <c r="FG228" s="23"/>
      <c r="FH228" s="23"/>
      <c r="FI228" s="23"/>
      <c r="FJ228" s="23"/>
      <c r="FK228" s="23"/>
      <c r="FL228" s="23"/>
      <c r="FM228" s="23"/>
      <c r="FN228" s="23"/>
      <c r="FX228" s="4">
        <f t="shared" si="613"/>
        <v>1</v>
      </c>
      <c r="FY228" s="4">
        <f t="shared" si="652"/>
        <v>0.8938547486033519</v>
      </c>
      <c r="FZ228" s="4">
        <f t="shared" si="614"/>
        <v>0</v>
      </c>
      <c r="GA228" s="4">
        <f t="shared" si="615"/>
        <v>131.24872439128001</v>
      </c>
    </row>
    <row r="229" spans="1:183" ht="12" hidden="1" customHeight="1" x14ac:dyDescent="0.3">
      <c r="A229" s="25">
        <v>211</v>
      </c>
      <c r="B229" s="24" t="s">
        <v>182</v>
      </c>
      <c r="C229" s="4">
        <v>1996</v>
      </c>
      <c r="D229" s="24" t="s">
        <v>309</v>
      </c>
      <c r="E229" s="24"/>
      <c r="F229" s="4" t="s">
        <v>345</v>
      </c>
      <c r="G229" s="7">
        <v>556</v>
      </c>
      <c r="H229" s="7">
        <f>381-P229-20</f>
        <v>343</v>
      </c>
      <c r="I229" s="7">
        <f t="shared" si="630"/>
        <v>343</v>
      </c>
      <c r="J229" s="7">
        <v>36.200000000000003</v>
      </c>
      <c r="K229" s="7">
        <v>35.799999999999997</v>
      </c>
      <c r="L229" s="7">
        <f t="shared" si="498"/>
        <v>9.5810055865921804</v>
      </c>
      <c r="M229" s="7">
        <f t="shared" si="499"/>
        <v>9.5810055865921804</v>
      </c>
      <c r="N229" s="7">
        <v>305</v>
      </c>
      <c r="O229" s="7">
        <v>76</v>
      </c>
      <c r="P229" s="7">
        <v>18</v>
      </c>
      <c r="Q229" s="7">
        <f t="shared" si="623"/>
        <v>81.400000000000006</v>
      </c>
      <c r="R229" s="7">
        <v>2</v>
      </c>
      <c r="S229" s="7">
        <f t="shared" si="620"/>
        <v>280</v>
      </c>
      <c r="T229" s="7">
        <f t="shared" si="621"/>
        <v>1.6368715083798884</v>
      </c>
      <c r="U229" s="7">
        <f t="shared" si="631"/>
        <v>2.6229050279329611</v>
      </c>
      <c r="V229" s="7">
        <f>3150/(K229^2*PI()/4)-1</f>
        <v>2.1293534580036226</v>
      </c>
      <c r="W229" s="7">
        <f>3150/(K229^2*PI()/4)-1</f>
        <v>2.1293534580036226</v>
      </c>
      <c r="X229" s="7">
        <f t="shared" si="616"/>
        <v>3.1293534580036226</v>
      </c>
      <c r="Y229" s="7">
        <f t="shared" si="552"/>
        <v>63.330123684671278</v>
      </c>
      <c r="Z229" s="7">
        <f t="shared" si="632"/>
        <v>556</v>
      </c>
      <c r="AA229" s="7">
        <v>20</v>
      </c>
      <c r="AB229" s="7"/>
      <c r="AC229" s="32" t="s">
        <v>183</v>
      </c>
      <c r="AD229" s="4">
        <f t="shared" ref="AD229:AD292" si="666">CQ229</f>
        <v>0</v>
      </c>
      <c r="AE229" s="7"/>
      <c r="AF229" s="7"/>
      <c r="AG229" s="7">
        <v>1</v>
      </c>
      <c r="AH229" s="7"/>
      <c r="AI229" s="7"/>
      <c r="AJ229" s="7">
        <f t="shared" si="655"/>
        <v>8.7798634812286682</v>
      </c>
      <c r="AK229" s="4">
        <f t="shared" si="569"/>
        <v>343</v>
      </c>
      <c r="AL229" s="4">
        <f t="shared" si="505"/>
        <v>0.29640427599611274</v>
      </c>
      <c r="AM229" s="4">
        <f t="shared" si="506"/>
        <v>189.84953380078178</v>
      </c>
      <c r="AN229" s="4">
        <f t="shared" si="507"/>
        <v>0.75475218658892129</v>
      </c>
      <c r="AO229" s="4">
        <v>1.25</v>
      </c>
      <c r="AP229" s="4">
        <f t="shared" si="624"/>
        <v>2.5</v>
      </c>
      <c r="AQ229" s="38">
        <f t="shared" si="509"/>
        <v>132.72367584275798</v>
      </c>
      <c r="AR229" s="38">
        <f t="shared" si="510"/>
        <v>132.72367584275798</v>
      </c>
      <c r="AS229" s="38">
        <f t="shared" si="511"/>
        <v>3.282920015195979</v>
      </c>
      <c r="AT229" s="38">
        <f t="shared" si="626"/>
        <v>132.72367584275801</v>
      </c>
      <c r="AU229" s="38">
        <f t="shared" si="601"/>
        <v>0.99999999999999978</v>
      </c>
      <c r="AV229" s="38">
        <f t="shared" si="537"/>
        <v>1.6169064268162814</v>
      </c>
      <c r="AW229" s="4">
        <f t="shared" si="529"/>
        <v>0</v>
      </c>
      <c r="AX229" s="4">
        <f t="shared" si="570"/>
        <v>303.39734619679649</v>
      </c>
      <c r="AY229" s="4">
        <f t="shared" si="571"/>
        <v>1.2409556313993173</v>
      </c>
      <c r="AZ229" s="38">
        <f t="shared" si="617"/>
        <v>214.60176446083625</v>
      </c>
      <c r="BA229" s="4">
        <f t="shared" si="572"/>
        <v>0.7018905158794928</v>
      </c>
      <c r="BB229" s="4">
        <f t="shared" si="602"/>
        <v>111.2672736156364</v>
      </c>
      <c r="BC229" s="4">
        <f t="shared" si="603"/>
        <v>325.86903807647263</v>
      </c>
      <c r="BE229" s="4">
        <f t="shared" si="627"/>
        <v>1.2807262569832403</v>
      </c>
      <c r="BF229" s="4">
        <f t="shared" si="628"/>
        <v>452.65450257099729</v>
      </c>
      <c r="BH229" s="4">
        <f t="shared" si="633"/>
        <v>205.82933620361388</v>
      </c>
      <c r="BI229" s="4">
        <f t="shared" si="634"/>
        <v>12204.288039811765</v>
      </c>
      <c r="BJ229" s="4">
        <f t="shared" si="635"/>
        <v>59.29323907326232</v>
      </c>
      <c r="BR229" s="4">
        <f t="shared" si="539"/>
        <v>40.700000000000003</v>
      </c>
      <c r="BV229" s="9"/>
      <c r="BX229" s="9"/>
      <c r="BY229" s="9"/>
      <c r="BZ229" s="9">
        <f t="shared" si="577"/>
        <v>18</v>
      </c>
      <c r="CA229" s="9">
        <f t="shared" si="578"/>
        <v>76</v>
      </c>
      <c r="CB229" s="9">
        <f t="shared" si="604"/>
        <v>0.88008760053944035</v>
      </c>
      <c r="CC229" s="9">
        <v>0</v>
      </c>
      <c r="CD229" s="9">
        <f t="shared" si="518"/>
        <v>0</v>
      </c>
      <c r="CE229" s="9">
        <f t="shared" si="605"/>
        <v>0</v>
      </c>
      <c r="CF229" s="9">
        <f t="shared" si="579"/>
        <v>0.89787751228078194</v>
      </c>
      <c r="CG229" s="9">
        <f t="shared" si="580"/>
        <v>0.91600000000000004</v>
      </c>
      <c r="CH229" s="9">
        <f t="shared" si="606"/>
        <v>1.7319481964943424</v>
      </c>
      <c r="CI229" s="9">
        <f t="shared" si="607"/>
        <v>1.5242661325113169</v>
      </c>
      <c r="CJ229" s="9">
        <v>1</v>
      </c>
      <c r="CK229" s="9">
        <f t="shared" si="608"/>
        <v>149.87197727485574</v>
      </c>
      <c r="DH229" s="4">
        <f t="shared" si="557"/>
        <v>0</v>
      </c>
      <c r="DI229" s="4">
        <f t="shared" si="629"/>
        <v>343</v>
      </c>
      <c r="DL229" s="4">
        <f t="shared" ref="DL229:DL292" si="667">H229/4/(1-0.3*(J229/30)^0.5)/200000/K229</f>
        <v>1.7862883419588262E-5</v>
      </c>
      <c r="DM229" s="4">
        <f t="shared" si="558"/>
        <v>5.0117740230039942</v>
      </c>
      <c r="DN229" s="4">
        <f t="shared" ref="DN229:DN292" si="668">DU229*Y229/257/J229/V229</f>
        <v>0.42429634064630556</v>
      </c>
      <c r="DO229" s="4">
        <f t="shared" ref="DO229:DO292" si="669">DM229*DN229^0.4</f>
        <v>3.556797951623889</v>
      </c>
      <c r="DP229" s="4">
        <f t="shared" ref="DP229:DP292" si="670">MIN(DM229, DM229/1.4*(1-DN229^1.4)/(1-DN229))</f>
        <v>4.3457845155512942</v>
      </c>
      <c r="DQ229" s="4">
        <f t="shared" ref="DQ229:DQ292" si="671">MAX(DM229/2, (4-DL229*(8*Y229*(DO229-DP229)+6*H229*DP229))/(4+DL229*H229*DM229)*DM229)</f>
        <v>4.7838273870400245</v>
      </c>
      <c r="DR229" s="38">
        <f t="shared" si="513"/>
        <v>297.88564772937099</v>
      </c>
      <c r="DS229" s="4">
        <f t="shared" si="609"/>
        <v>1.0001251085431455</v>
      </c>
      <c r="DT229" s="4">
        <f t="shared" ref="DT229:DT292" si="672">Y229/K229</f>
        <v>1.7689978682869074</v>
      </c>
      <c r="DU229" s="4">
        <f t="shared" si="618"/>
        <v>132.72367584275801</v>
      </c>
      <c r="DY229" s="4">
        <f t="shared" si="581"/>
        <v>1</v>
      </c>
      <c r="DZ229" s="4">
        <f t="shared" si="610"/>
        <v>0.98631284916201112</v>
      </c>
      <c r="EA229" s="4">
        <f t="shared" si="514"/>
        <v>1</v>
      </c>
      <c r="EB229" s="4">
        <f t="shared" si="611"/>
        <v>0.98631284916201112</v>
      </c>
      <c r="ED229" s="4">
        <f t="shared" si="515"/>
        <v>275.30778396217227</v>
      </c>
      <c r="EE229" s="25">
        <f t="shared" si="516"/>
        <v>131.2542792227558</v>
      </c>
      <c r="EG229" s="4">
        <f t="shared" si="619"/>
        <v>0.98631284916201112</v>
      </c>
      <c r="EH229" s="4">
        <f t="shared" si="517"/>
        <v>5.0117740230039942</v>
      </c>
      <c r="EK229" s="4">
        <f t="shared" ref="EK229:EK292" si="673">EL229*K229</f>
        <v>63.330123684671278</v>
      </c>
      <c r="EL229" s="4">
        <f t="shared" ref="EL229:EL292" si="674">X229^0.5</f>
        <v>1.7689978682869074</v>
      </c>
      <c r="EM229" s="4">
        <f t="shared" ref="EM229:EM292" si="675">MIN(DU229)/(4700*J229^0.5)/W229*EK229</f>
        <v>0.13959145590482508</v>
      </c>
      <c r="EP229" s="4">
        <f t="shared" si="541"/>
        <v>0.13959145590482508</v>
      </c>
      <c r="EQ229" s="4">
        <f t="shared" si="542"/>
        <v>0.42358826913185504</v>
      </c>
      <c r="ER229" s="4">
        <f t="shared" si="559"/>
        <v>3.5544225087552985</v>
      </c>
      <c r="ES229" s="4">
        <f t="shared" si="582"/>
        <v>4.3448138556349702</v>
      </c>
      <c r="ET229" s="4">
        <f t="shared" si="560"/>
        <v>193.91987631532874</v>
      </c>
      <c r="EU229" s="4">
        <f t="shared" si="561"/>
        <v>85.75</v>
      </c>
      <c r="EV229" s="4">
        <f t="shared" si="612"/>
        <v>1.7862883419588262E-5</v>
      </c>
      <c r="EW229" s="4">
        <f t="shared" si="583"/>
        <v>4.7838875632903193</v>
      </c>
      <c r="EX229" s="4">
        <f t="shared" si="636"/>
        <v>297.84838435192648</v>
      </c>
      <c r="FG229" s="23"/>
      <c r="FH229" s="23"/>
      <c r="FI229" s="23"/>
      <c r="FJ229" s="23"/>
      <c r="FK229" s="23"/>
      <c r="FL229" s="23"/>
      <c r="FM229" s="23"/>
      <c r="FN229" s="23"/>
      <c r="FX229" s="4">
        <f t="shared" si="613"/>
        <v>1</v>
      </c>
      <c r="FY229" s="4">
        <f t="shared" si="652"/>
        <v>0.8938547486033519</v>
      </c>
      <c r="FZ229" s="4">
        <f t="shared" si="614"/>
        <v>0</v>
      </c>
      <c r="GA229" s="4">
        <f t="shared" si="615"/>
        <v>220.83066789188138</v>
      </c>
    </row>
    <row r="230" spans="1:183" ht="12" hidden="1" customHeight="1" x14ac:dyDescent="0.3">
      <c r="A230" s="25">
        <v>212</v>
      </c>
      <c r="B230" s="24" t="s">
        <v>182</v>
      </c>
      <c r="C230" s="4">
        <v>1996</v>
      </c>
      <c r="D230" s="24" t="s">
        <v>309</v>
      </c>
      <c r="E230" s="24"/>
      <c r="F230" s="4" t="s">
        <v>346</v>
      </c>
      <c r="G230" s="7">
        <v>556</v>
      </c>
      <c r="H230" s="7">
        <f>381-P230-25</f>
        <v>338</v>
      </c>
      <c r="I230" s="7">
        <f t="shared" si="630"/>
        <v>338</v>
      </c>
      <c r="J230" s="7">
        <v>36.200000000000003</v>
      </c>
      <c r="K230" s="7">
        <v>35.799999999999997</v>
      </c>
      <c r="L230" s="7">
        <f t="shared" ref="L230:L243" si="676">H230/K230</f>
        <v>9.4413407821229054</v>
      </c>
      <c r="M230" s="7">
        <f t="shared" ref="M230:M243" si="677">I230/K230</f>
        <v>9.4413407821229054</v>
      </c>
      <c r="N230" s="7">
        <v>305</v>
      </c>
      <c r="O230" s="7">
        <v>76</v>
      </c>
      <c r="P230" s="7">
        <v>18</v>
      </c>
      <c r="Q230" s="7">
        <f t="shared" si="623"/>
        <v>81.400000000000006</v>
      </c>
      <c r="R230" s="7">
        <v>2</v>
      </c>
      <c r="S230" s="7">
        <f t="shared" si="620"/>
        <v>280</v>
      </c>
      <c r="T230" s="7">
        <f t="shared" si="621"/>
        <v>1.6368715083798884</v>
      </c>
      <c r="U230" s="7">
        <f t="shared" si="631"/>
        <v>2.6229050279329611</v>
      </c>
      <c r="V230" s="7">
        <f>2970/(K230^2*PI()/4)-1</f>
        <v>1.9505332604034158</v>
      </c>
      <c r="W230" s="7">
        <f>2970/(K230^2*PI()/4)-1</f>
        <v>1.9505332604034158</v>
      </c>
      <c r="X230" s="7">
        <f t="shared" si="616"/>
        <v>2.9505332604034158</v>
      </c>
      <c r="Y230" s="7">
        <f t="shared" si="552"/>
        <v>61.494076526633307</v>
      </c>
      <c r="Z230" s="7">
        <f t="shared" si="632"/>
        <v>556</v>
      </c>
      <c r="AA230" s="7">
        <v>25</v>
      </c>
      <c r="AB230" s="7"/>
      <c r="AC230" s="32" t="s">
        <v>183</v>
      </c>
      <c r="AD230" s="4">
        <f t="shared" si="666"/>
        <v>0</v>
      </c>
      <c r="AE230" s="7"/>
      <c r="AF230" s="7"/>
      <c r="AG230" s="7">
        <v>1</v>
      </c>
      <c r="AH230" s="7"/>
      <c r="AI230" s="7"/>
      <c r="AJ230" s="7">
        <f t="shared" si="655"/>
        <v>8.6518771331058026</v>
      </c>
      <c r="AK230" s="4">
        <f t="shared" si="569"/>
        <v>338</v>
      </c>
      <c r="AL230" s="4">
        <f t="shared" ref="AL230:AL293" si="678">IF(H230*3&gt;Q230+K230, N230, (O230+K230/2)*2+1.5*H230*(2*R230-2))*(3*H230)/(9*H230^2)</f>
        <v>0.30078895463510846</v>
      </c>
      <c r="AM230" s="4">
        <f t="shared" ref="AM230:AM293" si="679">MIN(10*J230^0.5*H230^1.5,100*3.9*J230^0.5*H230^(5/3))/(PI()/4*K230^2)/R230</f>
        <v>185.71347027015665</v>
      </c>
      <c r="AN230" s="4">
        <f t="shared" ref="AN230:AN293" si="680">MIN(0.7+0.3*(MIN(O230,S230)+0.5*K230)/1.5/H230,1)</f>
        <v>0.75556213017751472</v>
      </c>
      <c r="AO230" s="4">
        <v>1.25</v>
      </c>
      <c r="AP230" s="4">
        <f t="shared" si="624"/>
        <v>2.5</v>
      </c>
      <c r="AQ230" s="38">
        <f t="shared" ref="AQ230:AQ243" si="681">AL230*AN230*AO230*AP230*AM230</f>
        <v>131.8941379622575</v>
      </c>
      <c r="AR230" s="38">
        <f t="shared" ref="AR230:AR293" si="682">AQ230</f>
        <v>131.8941379622575</v>
      </c>
      <c r="AS230" s="38">
        <f t="shared" ref="AS230:AS293" si="683">IF(J230&lt;50, 0.3*J230^(2/3), 2.12*LN(1+0.1*(J230+8)))</f>
        <v>3.282920015195979</v>
      </c>
      <c r="AT230" s="38">
        <f t="shared" si="626"/>
        <v>131.89413796225756</v>
      </c>
      <c r="AU230" s="38">
        <f t="shared" si="601"/>
        <v>0.99999999999999956</v>
      </c>
      <c r="AV230" s="38">
        <f t="shared" si="537"/>
        <v>1.5572580915609477</v>
      </c>
      <c r="AW230" s="4">
        <f t="shared" si="529"/>
        <v>0</v>
      </c>
      <c r="AX230" s="4">
        <f t="shared" si="570"/>
        <v>298.97464435719303</v>
      </c>
      <c r="AY230" s="4">
        <f t="shared" si="571"/>
        <v>1.2409556313993173</v>
      </c>
      <c r="AZ230" s="38">
        <f t="shared" si="617"/>
        <v>205.39321357118155</v>
      </c>
      <c r="BA230" s="4">
        <f t="shared" si="572"/>
        <v>0.72692534354352178</v>
      </c>
      <c r="BB230" s="4">
        <f t="shared" si="602"/>
        <v>113.55609856643088</v>
      </c>
      <c r="BC230" s="4">
        <f t="shared" si="603"/>
        <v>318.94931213761242</v>
      </c>
      <c r="BE230" s="4">
        <f t="shared" si="627"/>
        <v>1.2807262569832403</v>
      </c>
      <c r="BF230" s="4">
        <f t="shared" si="628"/>
        <v>449.42586845850803</v>
      </c>
      <c r="BH230" s="4">
        <f t="shared" si="633"/>
        <v>196.99720976804247</v>
      </c>
      <c r="BI230" s="4">
        <f t="shared" si="634"/>
        <v>39749.280546165857</v>
      </c>
      <c r="BJ230" s="4">
        <f t="shared" si="635"/>
        <v>201.77585557160575</v>
      </c>
      <c r="BR230" s="4">
        <f t="shared" si="539"/>
        <v>40.700000000000003</v>
      </c>
      <c r="BV230" s="9"/>
      <c r="BX230" s="9"/>
      <c r="BY230" s="9"/>
      <c r="BZ230" s="9">
        <f t="shared" si="577"/>
        <v>18</v>
      </c>
      <c r="CA230" s="9">
        <f t="shared" si="578"/>
        <v>76</v>
      </c>
      <c r="CB230" s="9">
        <f t="shared" si="604"/>
        <v>0.88008760053944035</v>
      </c>
      <c r="CC230" s="9">
        <v>0</v>
      </c>
      <c r="CD230" s="9">
        <f t="shared" si="518"/>
        <v>0</v>
      </c>
      <c r="CE230" s="9">
        <f t="shared" si="605"/>
        <v>0</v>
      </c>
      <c r="CF230" s="9">
        <f t="shared" si="579"/>
        <v>0.89787751228078194</v>
      </c>
      <c r="CG230" s="9">
        <f t="shared" si="580"/>
        <v>0.91600000000000004</v>
      </c>
      <c r="CH230" s="9">
        <f t="shared" si="606"/>
        <v>1.7319481964943424</v>
      </c>
      <c r="CI230" s="9">
        <f t="shared" si="607"/>
        <v>1.5242661325113169</v>
      </c>
      <c r="CJ230" s="9">
        <v>1</v>
      </c>
      <c r="CK230" s="9">
        <f t="shared" si="608"/>
        <v>149.02043194943042</v>
      </c>
      <c r="DH230" s="4">
        <f t="shared" si="557"/>
        <v>0</v>
      </c>
      <c r="DI230" s="4">
        <f t="shared" si="629"/>
        <v>338</v>
      </c>
      <c r="DL230" s="4">
        <f t="shared" si="667"/>
        <v>1.7602491533005343E-5</v>
      </c>
      <c r="DM230" s="4">
        <f t="shared" si="558"/>
        <v>5.0117740230039942</v>
      </c>
      <c r="DN230" s="4">
        <f t="shared" si="668"/>
        <v>0.44695492134028231</v>
      </c>
      <c r="DO230" s="4">
        <f t="shared" si="669"/>
        <v>3.631591326605518</v>
      </c>
      <c r="DP230" s="4">
        <f t="shared" si="670"/>
        <v>4.3765696221017283</v>
      </c>
      <c r="DQ230" s="4">
        <f t="shared" si="671"/>
        <v>4.788408964910424</v>
      </c>
      <c r="DR230" s="38">
        <f t="shared" ref="DR230:DR293" si="684">MIN(1/K230*(4*Y230*(DO230-DP230)+(3*DP230+DQ230)*H230)+DU230 -FB230,MAX(G230,AB230))</f>
        <v>295.94656303754186</v>
      </c>
      <c r="DS230" s="4">
        <f t="shared" si="609"/>
        <v>1.0001272680051456</v>
      </c>
      <c r="DT230" s="4">
        <f t="shared" si="672"/>
        <v>1.7177116348221595</v>
      </c>
      <c r="DU230" s="4">
        <f t="shared" si="618"/>
        <v>131.89413796225756</v>
      </c>
      <c r="DY230" s="4">
        <f t="shared" si="581"/>
        <v>1</v>
      </c>
      <c r="DZ230" s="4">
        <f t="shared" si="610"/>
        <v>0.98631284916201112</v>
      </c>
      <c r="EA230" s="4">
        <f t="shared" ref="EA230:EA293" si="685">MIN(1,MAX(0.7,1-0.3*(PI()*AE230^2/4*AI230*2-0.25*PI()/4*K230^2)/(PI()/4*K230^2)))</f>
        <v>1</v>
      </c>
      <c r="EB230" s="4">
        <f t="shared" si="611"/>
        <v>0.98631284916201112</v>
      </c>
      <c r="ED230" s="4">
        <f t="shared" ref="ED230:ED293" si="686">MIN(DM230/K230*3*H230+EE230-FB230,MAX(G230,AB230))</f>
        <v>272.36245756768136</v>
      </c>
      <c r="EE230" s="25">
        <f t="shared" ref="EE230:EE293" si="687">13.3*N230*H230^0.5*J230^0.5/R230/K230^2*(0.7+O230/5/H230)</f>
        <v>130.40885814516599</v>
      </c>
      <c r="EG230" s="4">
        <f t="shared" si="619"/>
        <v>0.98631284916201112</v>
      </c>
      <c r="EH230" s="4">
        <f t="shared" ref="EH230:EH293" si="688">IF(K230&lt;22.2,1.1*5*(J230/30)^0.5,IF(K230&gt;=31.8,0.9*5*(J230/30)^0.5,1*5*(J230/30)^0.5))/DY230/EB230</f>
        <v>5.0117740230039942</v>
      </c>
      <c r="EK230" s="4">
        <f t="shared" si="673"/>
        <v>61.494076526633307</v>
      </c>
      <c r="EL230" s="4">
        <f t="shared" si="674"/>
        <v>1.7177116348221595</v>
      </c>
      <c r="EM230" s="4">
        <f t="shared" si="675"/>
        <v>0.14704602000262343</v>
      </c>
      <c r="EP230" s="4">
        <f t="shared" si="541"/>
        <v>0.14704602000262343</v>
      </c>
      <c r="EQ230" s="4">
        <f t="shared" si="542"/>
        <v>0.44620903687763885</v>
      </c>
      <c r="ER230" s="4">
        <f t="shared" si="559"/>
        <v>3.6291659322379566</v>
      </c>
      <c r="ES230" s="4">
        <f t="shared" si="582"/>
        <v>4.3755646000742985</v>
      </c>
      <c r="ET230" s="4">
        <f t="shared" si="560"/>
        <v>192.00592347336669</v>
      </c>
      <c r="EU230" s="4">
        <f t="shared" si="561"/>
        <v>84.5</v>
      </c>
      <c r="EV230" s="4">
        <f t="shared" si="612"/>
        <v>1.7602491533005343E-5</v>
      </c>
      <c r="EW230" s="4">
        <f t="shared" si="583"/>
        <v>4.7884688812852563</v>
      </c>
      <c r="EX230" s="4">
        <f t="shared" si="636"/>
        <v>295.90890330171385</v>
      </c>
      <c r="FG230" s="23"/>
      <c r="FH230" s="23"/>
      <c r="FI230" s="23"/>
      <c r="FJ230" s="23"/>
      <c r="FK230" s="23"/>
      <c r="FL230" s="23"/>
      <c r="FM230" s="23"/>
      <c r="FN230" s="23"/>
      <c r="FX230" s="4">
        <f t="shared" si="613"/>
        <v>1</v>
      </c>
      <c r="FY230" s="4">
        <f t="shared" si="652"/>
        <v>0.8938547486033519</v>
      </c>
      <c r="FZ230" s="4">
        <f t="shared" si="614"/>
        <v>0</v>
      </c>
      <c r="GA230" s="4">
        <f t="shared" si="615"/>
        <v>217.61156194593562</v>
      </c>
    </row>
    <row r="231" spans="1:183" ht="12" hidden="1" customHeight="1" x14ac:dyDescent="0.3">
      <c r="A231" s="25">
        <v>213</v>
      </c>
      <c r="B231" s="24" t="s">
        <v>182</v>
      </c>
      <c r="C231" s="4">
        <v>1996</v>
      </c>
      <c r="D231" s="24" t="s">
        <v>309</v>
      </c>
      <c r="E231" s="24"/>
      <c r="F231" s="4" t="s">
        <v>347</v>
      </c>
      <c r="G231" s="7">
        <v>556</v>
      </c>
      <c r="H231" s="7">
        <f>305-P231-20</f>
        <v>209</v>
      </c>
      <c r="I231" s="7">
        <f t="shared" si="630"/>
        <v>209</v>
      </c>
      <c r="J231" s="7">
        <v>35.200000000000003</v>
      </c>
      <c r="K231" s="7">
        <v>35.799999999999997</v>
      </c>
      <c r="L231" s="7">
        <f t="shared" si="676"/>
        <v>5.8379888268156428</v>
      </c>
      <c r="M231" s="7">
        <f t="shared" si="677"/>
        <v>5.8379888268156428</v>
      </c>
      <c r="N231" s="7">
        <v>305</v>
      </c>
      <c r="O231" s="7">
        <v>76</v>
      </c>
      <c r="P231" s="7">
        <v>76</v>
      </c>
      <c r="Q231" s="7">
        <f t="shared" si="623"/>
        <v>81.400000000000006</v>
      </c>
      <c r="R231" s="7">
        <v>2</v>
      </c>
      <c r="S231" s="7">
        <f t="shared" si="620"/>
        <v>280</v>
      </c>
      <c r="T231" s="7">
        <f t="shared" si="621"/>
        <v>1.6368715083798884</v>
      </c>
      <c r="U231" s="7">
        <f t="shared" si="631"/>
        <v>2.6229050279329611</v>
      </c>
      <c r="V231" s="7">
        <f>4225/(K231^2*PI()/4)-1</f>
        <v>3.1973074158937482</v>
      </c>
      <c r="W231" s="7">
        <f>4225/(K231^2*PI()/4)-1</f>
        <v>3.1973074158937482</v>
      </c>
      <c r="X231" s="7">
        <f t="shared" si="616"/>
        <v>4.1973074158937482</v>
      </c>
      <c r="Y231" s="7">
        <f t="shared" si="552"/>
        <v>73.344645861208321</v>
      </c>
      <c r="Z231" s="7">
        <f t="shared" si="632"/>
        <v>556</v>
      </c>
      <c r="AA231" s="7">
        <v>20</v>
      </c>
      <c r="AB231" s="7">
        <f>349*1000/(K231^2*PI()/4)</f>
        <v>346.71249423595691</v>
      </c>
      <c r="AC231" s="7"/>
      <c r="AD231" s="4">
        <f t="shared" si="666"/>
        <v>1.6270397075880396</v>
      </c>
      <c r="AE231" s="7"/>
      <c r="AF231" s="7"/>
      <c r="AG231" s="7">
        <v>1</v>
      </c>
      <c r="AH231" s="7"/>
      <c r="AI231" s="7"/>
      <c r="AJ231" s="7">
        <f t="shared" si="655"/>
        <v>5.3498293515358357</v>
      </c>
      <c r="AK231" s="4">
        <f>H231</f>
        <v>209</v>
      </c>
      <c r="AL231" s="4">
        <f t="shared" si="678"/>
        <v>0.48644338118022329</v>
      </c>
      <c r="AM231" s="4">
        <f t="shared" si="679"/>
        <v>89.044034776358373</v>
      </c>
      <c r="AN231" s="4">
        <f t="shared" si="680"/>
        <v>0.78985645933014348</v>
      </c>
      <c r="AO231" s="4">
        <v>1.25</v>
      </c>
      <c r="AP231" s="4">
        <f t="shared" si="624"/>
        <v>2.5</v>
      </c>
      <c r="AQ231" s="38">
        <f t="shared" si="681"/>
        <v>106.91418381201157</v>
      </c>
      <c r="AR231" s="38">
        <f t="shared" si="682"/>
        <v>106.91418381201157</v>
      </c>
      <c r="AS231" s="38">
        <f t="shared" si="683"/>
        <v>3.222179253401551</v>
      </c>
      <c r="AT231" s="38">
        <f t="shared" si="626"/>
        <v>106.91418381201159</v>
      </c>
      <c r="AU231" s="38">
        <f t="shared" si="601"/>
        <v>0.99999999999999989</v>
      </c>
      <c r="AV231" s="38">
        <f t="shared" si="537"/>
        <v>2.3916651502566055</v>
      </c>
      <c r="AW231" s="4">
        <f t="shared" si="529"/>
        <v>0</v>
      </c>
      <c r="AX231" s="4">
        <f t="shared" si="570"/>
        <v>182.29761644257499</v>
      </c>
      <c r="AY231" s="4">
        <f t="shared" si="571"/>
        <v>1.2409556313993173</v>
      </c>
      <c r="AZ231" s="38">
        <f t="shared" si="617"/>
        <v>255.70292749131704</v>
      </c>
      <c r="BA231" s="4">
        <f t="shared" si="572"/>
        <v>0.55237696177487527</v>
      </c>
      <c r="BB231" s="4">
        <f t="shared" si="602"/>
        <v>52.614184333635947</v>
      </c>
      <c r="BC231" s="4">
        <f t="shared" si="603"/>
        <v>308.31711182495297</v>
      </c>
      <c r="BE231" s="4">
        <f t="shared" si="627"/>
        <v>1.2807262569832403</v>
      </c>
      <c r="BF231" s="4">
        <f t="shared" si="628"/>
        <v>361.03468916532245</v>
      </c>
      <c r="BH231" s="4">
        <f t="shared" si="633"/>
        <v>245.25037789455612</v>
      </c>
      <c r="BI231" s="4">
        <f t="shared" si="634"/>
        <v>2142.1935501129287</v>
      </c>
      <c r="BJ231" s="4">
        <f t="shared" si="635"/>
        <v>8.7347206903548642</v>
      </c>
      <c r="BR231" s="4">
        <f t="shared" si="539"/>
        <v>40.700000000000003</v>
      </c>
      <c r="BV231" s="9"/>
      <c r="BX231" s="9"/>
      <c r="BY231" s="9"/>
      <c r="BZ231" s="9">
        <f t="shared" si="577"/>
        <v>40.700000000000003</v>
      </c>
      <c r="CA231" s="9">
        <f t="shared" si="578"/>
        <v>76</v>
      </c>
      <c r="CB231" s="9">
        <f t="shared" si="604"/>
        <v>1.1709505872794554</v>
      </c>
      <c r="CC231" s="9">
        <v>0</v>
      </c>
      <c r="CD231" s="9">
        <f t="shared" ref="CD231:CD243" si="689">MIN(PI()*AE231^2/4*AF231*2/R231/K231/MAX(0.01,AG231),0.05)</f>
        <v>0</v>
      </c>
      <c r="CE231" s="9">
        <f t="shared" si="605"/>
        <v>0</v>
      </c>
      <c r="CF231" s="9">
        <f t="shared" si="579"/>
        <v>0.89787751228078194</v>
      </c>
      <c r="CG231" s="9">
        <f t="shared" si="580"/>
        <v>0.91600000000000004</v>
      </c>
      <c r="CH231" s="9">
        <f t="shared" si="606"/>
        <v>1.7078587312996556</v>
      </c>
      <c r="CI231" s="9">
        <f t="shared" si="607"/>
        <v>1.9998181844056775</v>
      </c>
      <c r="CJ231" s="9">
        <v>1</v>
      </c>
      <c r="CK231" s="9">
        <f t="shared" si="608"/>
        <v>166.68875592923303</v>
      </c>
      <c r="CM231" s="4">
        <f t="shared" ref="CM231:CM241" si="690">AB231/AX231</f>
        <v>1.9019036068701081</v>
      </c>
      <c r="CN231" s="4">
        <f t="shared" ref="CN231:CN241" si="691">AB231/BC231</f>
        <v>1.1245321162479069</v>
      </c>
      <c r="CO231" s="4">
        <f t="shared" ref="CO231:CO241" si="692">AB231/BF231</f>
        <v>0.96033014178643861</v>
      </c>
      <c r="CP231" s="4">
        <f t="shared" ref="CP231:CP241" si="693">AB231/CK231</f>
        <v>2.0799992915128129</v>
      </c>
      <c r="CQ231" s="4">
        <f t="shared" ref="CQ231:CQ294" si="694">AB231/DR231</f>
        <v>1.6270397075880396</v>
      </c>
      <c r="CR231" s="4">
        <f t="shared" ref="CR231:CR294" si="695">AB231/ED231</f>
        <v>1.6772269266410664</v>
      </c>
      <c r="CS231" s="4">
        <f t="shared" ref="CS231:CS241" si="696">AB231/GA231</f>
        <v>2.5947732797879901</v>
      </c>
      <c r="CU231" s="4">
        <f t="shared" si="658"/>
        <v>1.9019036068701081</v>
      </c>
      <c r="CV231" s="4">
        <f t="shared" si="658"/>
        <v>1.1245321162479069</v>
      </c>
      <c r="CW231" s="4">
        <f t="shared" si="659"/>
        <v>2.0799992915128129</v>
      </c>
      <c r="CX231" s="4">
        <f t="shared" ref="CX231:CX235" si="697">CS231</f>
        <v>2.5947732797879901</v>
      </c>
      <c r="CY231" s="4">
        <f t="shared" si="661"/>
        <v>1.6270397075880396</v>
      </c>
      <c r="CZ231" s="4">
        <f t="shared" si="661"/>
        <v>1.6772269266410664</v>
      </c>
      <c r="DH231" s="4">
        <f t="shared" si="557"/>
        <v>0</v>
      </c>
      <c r="DI231" s="4">
        <f t="shared" si="629"/>
        <v>209</v>
      </c>
      <c r="DL231" s="4">
        <f t="shared" si="667"/>
        <v>1.0810474402128634E-5</v>
      </c>
      <c r="DM231" s="4">
        <f t="shared" si="558"/>
        <v>5.8141951099198845</v>
      </c>
      <c r="DN231" s="4">
        <f t="shared" si="668"/>
        <v>0.27110876525544425</v>
      </c>
      <c r="DO231" s="4">
        <f t="shared" si="669"/>
        <v>3.4494275298066173</v>
      </c>
      <c r="DP231" s="4">
        <f t="shared" si="670"/>
        <v>4.7812591811704239</v>
      </c>
      <c r="DQ231" s="4">
        <f t="shared" si="671"/>
        <v>5.7134970421870559</v>
      </c>
      <c r="DR231" s="38">
        <f t="shared" si="684"/>
        <v>213.09405825745418</v>
      </c>
      <c r="DS231" s="4">
        <f t="shared" si="609"/>
        <v>1.0001239543067137</v>
      </c>
      <c r="DT231" s="4">
        <f t="shared" si="672"/>
        <v>2.0487331246147575</v>
      </c>
      <c r="DU231" s="4">
        <f t="shared" si="618"/>
        <v>106.91418381201159</v>
      </c>
      <c r="DY231" s="4">
        <f t="shared" si="581"/>
        <v>0.85</v>
      </c>
      <c r="DZ231" s="4">
        <f t="shared" si="610"/>
        <v>0.98631284916201112</v>
      </c>
      <c r="EA231" s="4">
        <f t="shared" si="685"/>
        <v>1</v>
      </c>
      <c r="EB231" s="4">
        <f t="shared" si="611"/>
        <v>0.98631284916201112</v>
      </c>
      <c r="ED231" s="4">
        <f t="shared" si="686"/>
        <v>206.71770094360932</v>
      </c>
      <c r="EE231" s="25">
        <f t="shared" si="687"/>
        <v>104.88808267769402</v>
      </c>
      <c r="EG231" s="4">
        <f t="shared" si="619"/>
        <v>0.83836592178770941</v>
      </c>
      <c r="EH231" s="4">
        <f t="shared" si="688"/>
        <v>5.8141951099198845</v>
      </c>
      <c r="EK231" s="4">
        <f t="shared" si="673"/>
        <v>73.344645861208321</v>
      </c>
      <c r="EL231" s="4">
        <f t="shared" si="674"/>
        <v>2.0487331246147575</v>
      </c>
      <c r="EM231" s="4">
        <f t="shared" si="675"/>
        <v>8.7952898482473257E-2</v>
      </c>
      <c r="EP231" s="4">
        <f t="shared" si="541"/>
        <v>8.7952898482473257E-2</v>
      </c>
      <c r="EQ231" s="4">
        <f t="shared" si="542"/>
        <v>0.27065633525403809</v>
      </c>
      <c r="ER231" s="4">
        <f t="shared" si="559"/>
        <v>3.4471237953415605</v>
      </c>
      <c r="ES231" s="4">
        <f t="shared" si="582"/>
        <v>4.7804322984849321</v>
      </c>
      <c r="ET231" s="4">
        <f t="shared" si="560"/>
        <v>83.405354138791679</v>
      </c>
      <c r="EU231" s="4">
        <f t="shared" si="561"/>
        <v>52.249999999999986</v>
      </c>
      <c r="EV231" s="4">
        <f t="shared" si="612"/>
        <v>1.0810474402128631E-5</v>
      </c>
      <c r="EW231" s="4">
        <f t="shared" si="583"/>
        <v>5.7135268544638409</v>
      </c>
      <c r="EX231" s="4">
        <f t="shared" si="636"/>
        <v>213.0676476049122</v>
      </c>
      <c r="FG231" s="23">
        <f t="shared" ref="FG231:FH241" si="698">IF(CM231&lt;0.6,0.6,IF(CM231&lt;0.8,0.8,IF(CM231&lt;1,1,IF(CM231&lt;1.2,1.2,IF(CM231&lt;1.4,1.4,IF(CM231&lt;1.6,1.6,IF(CM231&lt;1.8,1.8,IF(CM231&lt;2,2,2.2))))))))</f>
        <v>2</v>
      </c>
      <c r="FH231" s="23">
        <f t="shared" si="698"/>
        <v>1.2</v>
      </c>
      <c r="FI231" s="23">
        <f t="shared" ref="FI231:FI241" si="699">IF(CS231&lt;0.6,0.6,IF(CS231&lt;0.8,0.8,IF(CS231&lt;1,1,IF(CS231&lt;1.2,1.2,IF(CS231&lt;1.4,1.4,IF(CS231&lt;1.6,1.6,IF(CS231&lt;1.8,1.8,IF(CS231&lt;2,2,2.2))))))))</f>
        <v>2.2000000000000002</v>
      </c>
      <c r="FJ231" s="23">
        <f t="shared" ref="FJ231:FL241" si="700">IF(CP231&lt;0.6,0.6,IF(CP231&lt;0.8,0.8,IF(CP231&lt;1,1,IF(CP231&lt;1.2,1.2,IF(CP231&lt;1.4,1.4,IF(CP231&lt;1.6,1.6,IF(CP231&lt;1.8,1.8,IF(CP231&lt;2,2,2.2))))))))</f>
        <v>2.2000000000000002</v>
      </c>
      <c r="FK231" s="23">
        <f t="shared" si="700"/>
        <v>1.8</v>
      </c>
      <c r="FL231" s="23">
        <f t="shared" si="700"/>
        <v>1.8</v>
      </c>
      <c r="FM231" s="23">
        <f t="shared" ref="FM231:FM294" si="701">IF(FK231&lt;1,1,0)</f>
        <v>0</v>
      </c>
      <c r="FN231" s="23"/>
      <c r="FX231" s="4">
        <f t="shared" si="613"/>
        <v>1</v>
      </c>
      <c r="FY231" s="4">
        <f t="shared" si="652"/>
        <v>0.8938547486033519</v>
      </c>
      <c r="FZ231" s="4">
        <f t="shared" si="614"/>
        <v>0</v>
      </c>
      <c r="GA231" s="4">
        <f t="shared" si="615"/>
        <v>133.61957167382485</v>
      </c>
    </row>
    <row r="232" spans="1:183" ht="12" hidden="1" customHeight="1" x14ac:dyDescent="0.3">
      <c r="A232" s="25">
        <v>214</v>
      </c>
      <c r="B232" s="24" t="s">
        <v>182</v>
      </c>
      <c r="C232" s="4">
        <v>1996</v>
      </c>
      <c r="D232" s="24" t="s">
        <v>309</v>
      </c>
      <c r="E232" s="24"/>
      <c r="F232" s="4" t="s">
        <v>348</v>
      </c>
      <c r="G232" s="7">
        <v>578</v>
      </c>
      <c r="H232" s="7">
        <f>305-P232-18</f>
        <v>211</v>
      </c>
      <c r="I232" s="7">
        <f t="shared" si="630"/>
        <v>211</v>
      </c>
      <c r="J232" s="7">
        <v>35.200000000000003</v>
      </c>
      <c r="K232" s="7">
        <v>25.4</v>
      </c>
      <c r="L232" s="7">
        <f t="shared" si="676"/>
        <v>8.3070866141732296</v>
      </c>
      <c r="M232" s="7">
        <f t="shared" si="677"/>
        <v>8.3070866141732296</v>
      </c>
      <c r="N232" s="7">
        <v>305</v>
      </c>
      <c r="O232" s="7">
        <v>76</v>
      </c>
      <c r="P232" s="7">
        <v>76</v>
      </c>
      <c r="Q232" s="7">
        <f t="shared" si="623"/>
        <v>102.19999999999999</v>
      </c>
      <c r="R232" s="7">
        <v>2</v>
      </c>
      <c r="S232" s="7">
        <f t="shared" si="620"/>
        <v>280</v>
      </c>
      <c r="T232" s="7">
        <f t="shared" si="621"/>
        <v>2.5118110236220472</v>
      </c>
      <c r="U232" s="7">
        <f t="shared" si="631"/>
        <v>3.4921259842519685</v>
      </c>
      <c r="V232" s="7">
        <f>3200/(K232^2*PI()/4)-1</f>
        <v>5.3152807724479523</v>
      </c>
      <c r="W232" s="7">
        <f>3200/(K232^2*PI()/4)-1</f>
        <v>5.3152807724479523</v>
      </c>
      <c r="X232" s="7">
        <f t="shared" si="616"/>
        <v>6.3152807724479523</v>
      </c>
      <c r="Y232" s="7">
        <f t="shared" si="552"/>
        <v>63.830764864229231</v>
      </c>
      <c r="Z232" s="7">
        <f t="shared" si="632"/>
        <v>578</v>
      </c>
      <c r="AA232" s="7">
        <v>18</v>
      </c>
      <c r="AB232" s="7">
        <f>218*1000/(K232^2*PI()/4)</f>
        <v>430.22850262301677</v>
      </c>
      <c r="AC232" s="7"/>
      <c r="AD232" s="4">
        <f t="shared" si="666"/>
        <v>1.0787425247853666</v>
      </c>
      <c r="AE232" s="7"/>
      <c r="AF232" s="7"/>
      <c r="AG232" s="7">
        <v>1</v>
      </c>
      <c r="AH232" s="7"/>
      <c r="AI232" s="7"/>
      <c r="AJ232" s="7">
        <f t="shared" si="655"/>
        <v>4.9608150470219439</v>
      </c>
      <c r="AK232" s="4">
        <f t="shared" si="569"/>
        <v>211</v>
      </c>
      <c r="AL232" s="4">
        <f t="shared" si="678"/>
        <v>0.48183254344391785</v>
      </c>
      <c r="AM232" s="4">
        <f t="shared" si="679"/>
        <v>179.43522533734807</v>
      </c>
      <c r="AN232" s="4">
        <f t="shared" si="680"/>
        <v>0.7840758293838862</v>
      </c>
      <c r="AO232" s="4">
        <v>1.25</v>
      </c>
      <c r="AP232" s="4">
        <f t="shared" si="624"/>
        <v>2.5</v>
      </c>
      <c r="AQ232" s="38">
        <f t="shared" si="681"/>
        <v>211.84192858291391</v>
      </c>
      <c r="AR232" s="38">
        <f t="shared" si="682"/>
        <v>211.84192858291391</v>
      </c>
      <c r="AS232" s="38">
        <f t="shared" si="683"/>
        <v>3.222179253401551</v>
      </c>
      <c r="AT232" s="38">
        <f t="shared" si="626"/>
        <v>211.84192858291399</v>
      </c>
      <c r="AU232" s="38">
        <f t="shared" si="601"/>
        <v>0.99999999999999956</v>
      </c>
      <c r="AV232" s="38">
        <f t="shared" si="537"/>
        <v>2.2249027574187785</v>
      </c>
      <c r="AW232" s="4">
        <f t="shared" si="529"/>
        <v>0</v>
      </c>
      <c r="AX232" s="4">
        <f t="shared" si="570"/>
        <v>259.3979081271753</v>
      </c>
      <c r="AY232" s="4">
        <f t="shared" si="571"/>
        <v>1.1561128526645768</v>
      </c>
      <c r="AZ232" s="38">
        <f t="shared" si="617"/>
        <v>471.32769104103733</v>
      </c>
      <c r="BA232" s="4">
        <f t="shared" si="572"/>
        <v>0.3</v>
      </c>
      <c r="BB232" s="4">
        <f t="shared" si="602"/>
        <v>40.660622098934731</v>
      </c>
      <c r="BC232" s="4">
        <f t="shared" si="603"/>
        <v>511.98831313997204</v>
      </c>
      <c r="BE232" s="4">
        <f t="shared" si="627"/>
        <v>1.4980314960629921</v>
      </c>
      <c r="BF232" s="4">
        <f t="shared" si="628"/>
        <v>488.12692869417333</v>
      </c>
      <c r="BH232" s="4">
        <f t="shared" si="633"/>
        <v>452.06089532904645</v>
      </c>
      <c r="BI232" s="4">
        <f t="shared" si="634"/>
        <v>2245.2309649218914</v>
      </c>
      <c r="BJ232" s="4">
        <f t="shared" si="635"/>
        <v>4.9666560149769889</v>
      </c>
      <c r="BR232" s="4">
        <f t="shared" si="539"/>
        <v>51.099999999999994</v>
      </c>
      <c r="BV232" s="9"/>
      <c r="BX232" s="9"/>
      <c r="BY232" s="9"/>
      <c r="BZ232" s="9">
        <f t="shared" si="577"/>
        <v>51.099999999999994</v>
      </c>
      <c r="CA232" s="9">
        <f t="shared" si="578"/>
        <v>76</v>
      </c>
      <c r="CB232" s="9">
        <f t="shared" si="604"/>
        <v>1.5054020239149992</v>
      </c>
      <c r="CC232" s="9">
        <v>0</v>
      </c>
      <c r="CD232" s="9">
        <f t="shared" si="689"/>
        <v>0</v>
      </c>
      <c r="CE232" s="9">
        <f t="shared" si="605"/>
        <v>0</v>
      </c>
      <c r="CF232" s="9">
        <f t="shared" si="579"/>
        <v>0.99524931562137331</v>
      </c>
      <c r="CG232" s="9">
        <f t="shared" si="580"/>
        <v>0.88300000000000001</v>
      </c>
      <c r="CH232" s="9">
        <f t="shared" si="606"/>
        <v>1.8248701497446835</v>
      </c>
      <c r="CI232" s="9">
        <f t="shared" si="607"/>
        <v>2.7471632168077145</v>
      </c>
      <c r="CJ232" s="9">
        <v>1</v>
      </c>
      <c r="CK232" s="9">
        <f t="shared" si="608"/>
        <v>256.1134841496326</v>
      </c>
      <c r="CM232" s="4">
        <f t="shared" si="690"/>
        <v>1.6585658139235577</v>
      </c>
      <c r="CN232" s="4">
        <f t="shared" si="691"/>
        <v>0.84030922499865146</v>
      </c>
      <c r="CO232" s="4">
        <f t="shared" si="692"/>
        <v>0.88138653561678071</v>
      </c>
      <c r="CP232" s="4">
        <f t="shared" si="693"/>
        <v>1.6798354215963835</v>
      </c>
      <c r="CQ232" s="4">
        <f t="shared" si="694"/>
        <v>1.0787425247853666</v>
      </c>
      <c r="CR232" s="4">
        <f t="shared" si="695"/>
        <v>1.1150394683014302</v>
      </c>
      <c r="CS232" s="4">
        <f t="shared" si="696"/>
        <v>1.5950411881888569</v>
      </c>
      <c r="CU232" s="4">
        <f t="shared" si="658"/>
        <v>1.6585658139235577</v>
      </c>
      <c r="CV232" s="4">
        <f t="shared" si="658"/>
        <v>0.84030922499865146</v>
      </c>
      <c r="CW232" s="4">
        <f t="shared" si="659"/>
        <v>1.6798354215963835</v>
      </c>
      <c r="CX232" s="4">
        <f t="shared" si="697"/>
        <v>1.5950411881888569</v>
      </c>
      <c r="CY232" s="4">
        <f t="shared" si="661"/>
        <v>1.0787425247853666</v>
      </c>
      <c r="CZ232" s="4">
        <f t="shared" si="661"/>
        <v>1.1150394683014302</v>
      </c>
      <c r="DH232" s="4">
        <f t="shared" si="557"/>
        <v>0</v>
      </c>
      <c r="DI232" s="4">
        <f t="shared" si="629"/>
        <v>211</v>
      </c>
      <c r="DL232" s="4">
        <f t="shared" si="667"/>
        <v>1.5382617175677067E-5</v>
      </c>
      <c r="DM232" s="4">
        <f t="shared" si="558"/>
        <v>7.0890752785809319</v>
      </c>
      <c r="DN232" s="4">
        <f t="shared" si="668"/>
        <v>0.28121596513872082</v>
      </c>
      <c r="DO232" s="4">
        <f t="shared" si="669"/>
        <v>4.2678149187599521</v>
      </c>
      <c r="DP232" s="4">
        <f t="shared" si="670"/>
        <v>5.8520434725818786</v>
      </c>
      <c r="DQ232" s="4">
        <f t="shared" si="671"/>
        <v>6.8696369122175298</v>
      </c>
      <c r="DR232" s="38">
        <f t="shared" si="684"/>
        <v>398.82408706249691</v>
      </c>
      <c r="DS232" s="4">
        <f t="shared" si="609"/>
        <v>1.0001091615168982</v>
      </c>
      <c r="DT232" s="4">
        <f t="shared" si="672"/>
        <v>2.5130222387491825</v>
      </c>
      <c r="DU232" s="4">
        <f t="shared" si="618"/>
        <v>211.84192858291399</v>
      </c>
      <c r="DY232" s="4">
        <f t="shared" si="581"/>
        <v>0.85</v>
      </c>
      <c r="DZ232" s="4">
        <f t="shared" si="610"/>
        <v>0.89881889763779532</v>
      </c>
      <c r="EA232" s="4">
        <f t="shared" si="685"/>
        <v>1</v>
      </c>
      <c r="EB232" s="4">
        <f t="shared" si="611"/>
        <v>0.89881889763779532</v>
      </c>
      <c r="ED232" s="4">
        <f t="shared" si="686"/>
        <v>385.84150144783257</v>
      </c>
      <c r="EE232" s="25">
        <f t="shared" si="687"/>
        <v>209.17281438713454</v>
      </c>
      <c r="EG232" s="4">
        <f t="shared" si="619"/>
        <v>0.76399606299212597</v>
      </c>
      <c r="EH232" s="4">
        <f t="shared" si="688"/>
        <v>7.0890752785809319</v>
      </c>
      <c r="EK232" s="4">
        <f t="shared" si="673"/>
        <v>63.830764864229231</v>
      </c>
      <c r="EL232" s="4">
        <f t="shared" si="674"/>
        <v>2.5130222387491825</v>
      </c>
      <c r="EM232" s="4">
        <f t="shared" si="675"/>
        <v>9.1231868546160763E-2</v>
      </c>
      <c r="EP232" s="4">
        <f t="shared" si="541"/>
        <v>9.1231868546160763E-2</v>
      </c>
      <c r="EQ232" s="4">
        <f t="shared" si="542"/>
        <v>0.28074666810443544</v>
      </c>
      <c r="ER232" s="4">
        <f t="shared" si="559"/>
        <v>4.2649646161419463</v>
      </c>
      <c r="ES232" s="4">
        <f t="shared" si="582"/>
        <v>5.85100886844935</v>
      </c>
      <c r="ET232" s="4">
        <f t="shared" si="560"/>
        <v>94.419235135770776</v>
      </c>
      <c r="EU232" s="4">
        <f t="shared" si="561"/>
        <v>52.75</v>
      </c>
      <c r="EV232" s="4">
        <f t="shared" si="612"/>
        <v>1.5382617175677067E-5</v>
      </c>
      <c r="EW232" s="4">
        <f t="shared" si="583"/>
        <v>6.8696975484886966</v>
      </c>
      <c r="EX232" s="4">
        <f t="shared" si="636"/>
        <v>398.78055557214111</v>
      </c>
      <c r="FG232" s="23">
        <f t="shared" si="698"/>
        <v>1.8</v>
      </c>
      <c r="FH232" s="23">
        <f t="shared" si="698"/>
        <v>1</v>
      </c>
      <c r="FI232" s="23">
        <f t="shared" si="699"/>
        <v>1.6</v>
      </c>
      <c r="FJ232" s="23">
        <f t="shared" si="700"/>
        <v>1.8</v>
      </c>
      <c r="FK232" s="23">
        <f t="shared" si="700"/>
        <v>1.2</v>
      </c>
      <c r="FL232" s="23">
        <f t="shared" si="700"/>
        <v>1.2</v>
      </c>
      <c r="FM232" s="23">
        <f t="shared" si="701"/>
        <v>0</v>
      </c>
      <c r="FN232" s="23"/>
      <c r="FX232" s="4">
        <f t="shared" si="613"/>
        <v>1</v>
      </c>
      <c r="FY232" s="4">
        <f t="shared" si="652"/>
        <v>0.74803149606299213</v>
      </c>
      <c r="FZ232" s="4">
        <f t="shared" si="614"/>
        <v>0</v>
      </c>
      <c r="GA232" s="4">
        <f t="shared" si="615"/>
        <v>269.72877303032794</v>
      </c>
    </row>
    <row r="233" spans="1:183" ht="12" hidden="1" customHeight="1" x14ac:dyDescent="0.3">
      <c r="A233" s="25">
        <v>215</v>
      </c>
      <c r="B233" s="24" t="s">
        <v>182</v>
      </c>
      <c r="C233" s="4">
        <v>1996</v>
      </c>
      <c r="D233" s="24" t="s">
        <v>309</v>
      </c>
      <c r="E233" s="24"/>
      <c r="F233" s="4" t="s">
        <v>349</v>
      </c>
      <c r="G233" s="7">
        <v>578</v>
      </c>
      <c r="H233" s="7">
        <f>305-P233-18</f>
        <v>211</v>
      </c>
      <c r="I233" s="7">
        <f t="shared" si="630"/>
        <v>211</v>
      </c>
      <c r="J233" s="7">
        <v>35.200000000000003</v>
      </c>
      <c r="K233" s="7">
        <v>25.4</v>
      </c>
      <c r="L233" s="7">
        <f t="shared" si="676"/>
        <v>8.3070866141732296</v>
      </c>
      <c r="M233" s="7">
        <f t="shared" si="677"/>
        <v>8.3070866141732296</v>
      </c>
      <c r="N233" s="7">
        <v>305</v>
      </c>
      <c r="O233" s="7">
        <v>76</v>
      </c>
      <c r="P233" s="7">
        <v>76</v>
      </c>
      <c r="Q233" s="7">
        <f t="shared" si="623"/>
        <v>102.19999999999999</v>
      </c>
      <c r="R233" s="7">
        <v>2</v>
      </c>
      <c r="S233" s="7">
        <f t="shared" si="620"/>
        <v>280</v>
      </c>
      <c r="T233" s="7">
        <f t="shared" si="621"/>
        <v>2.5118110236220472</v>
      </c>
      <c r="U233" s="7">
        <f t="shared" si="631"/>
        <v>3.4921259842519685</v>
      </c>
      <c r="V233" s="7">
        <f>1624/(K233^2*PI()/4)-1</f>
        <v>2.205004992017336</v>
      </c>
      <c r="W233" s="7">
        <f>1624/(K233^2*PI()/4)-1</f>
        <v>2.205004992017336</v>
      </c>
      <c r="X233" s="7">
        <f t="shared" si="616"/>
        <v>3.205004992017336</v>
      </c>
      <c r="Y233" s="7">
        <f t="shared" si="552"/>
        <v>45.472420439755616</v>
      </c>
      <c r="Z233" s="7">
        <f t="shared" si="632"/>
        <v>578</v>
      </c>
      <c r="AA233" s="7">
        <v>18</v>
      </c>
      <c r="AB233" s="7">
        <f>183*1000/(K233^2*PI()/4)</f>
        <v>361.15511917436726</v>
      </c>
      <c r="AC233" s="7"/>
      <c r="AD233" s="4">
        <f t="shared" si="666"/>
        <v>0.864466025227837</v>
      </c>
      <c r="AE233" s="7"/>
      <c r="AF233" s="7"/>
      <c r="AG233" s="7">
        <v>1</v>
      </c>
      <c r="AH233" s="7"/>
      <c r="AI233" s="7"/>
      <c r="AJ233" s="7">
        <f t="shared" si="655"/>
        <v>4.9608150470219439</v>
      </c>
      <c r="AK233" s="4">
        <f t="shared" si="569"/>
        <v>211</v>
      </c>
      <c r="AL233" s="4">
        <f t="shared" si="678"/>
        <v>0.48183254344391785</v>
      </c>
      <c r="AM233" s="4">
        <f t="shared" si="679"/>
        <v>179.43522533734807</v>
      </c>
      <c r="AN233" s="4">
        <f t="shared" si="680"/>
        <v>0.7840758293838862</v>
      </c>
      <c r="AO233" s="4">
        <v>1.25</v>
      </c>
      <c r="AP233" s="4">
        <f t="shared" si="624"/>
        <v>2.5</v>
      </c>
      <c r="AQ233" s="38">
        <f t="shared" si="681"/>
        <v>211.84192858291391</v>
      </c>
      <c r="AR233" s="38">
        <f t="shared" si="682"/>
        <v>211.84192858291391</v>
      </c>
      <c r="AS233" s="38">
        <f t="shared" si="683"/>
        <v>3.222179253401551</v>
      </c>
      <c r="AT233" s="38">
        <f t="shared" si="626"/>
        <v>211.84192858291399</v>
      </c>
      <c r="AU233" s="38">
        <f t="shared" si="601"/>
        <v>0.99999999999999956</v>
      </c>
      <c r="AV233" s="38">
        <f t="shared" si="537"/>
        <v>1.4330215371477693</v>
      </c>
      <c r="AW233" s="4">
        <f t="shared" si="529"/>
        <v>0</v>
      </c>
      <c r="AX233" s="4">
        <f t="shared" si="570"/>
        <v>259.3979081271753</v>
      </c>
      <c r="AY233" s="4">
        <f t="shared" si="571"/>
        <v>1.1561128526645768</v>
      </c>
      <c r="AZ233" s="38">
        <f t="shared" si="617"/>
        <v>303.57404613023539</v>
      </c>
      <c r="BA233" s="4">
        <f t="shared" si="572"/>
        <v>0.69129930111757298</v>
      </c>
      <c r="BB233" s="4">
        <f t="shared" si="602"/>
        <v>93.695532133331071</v>
      </c>
      <c r="BC233" s="4">
        <f t="shared" si="603"/>
        <v>397.26957826356647</v>
      </c>
      <c r="BE233" s="4">
        <f t="shared" si="627"/>
        <v>1.4980314960629921</v>
      </c>
      <c r="BF233" s="4">
        <f t="shared" si="628"/>
        <v>488.12692869417333</v>
      </c>
      <c r="BH233" s="4">
        <f t="shared" si="633"/>
        <v>291.16463492561229</v>
      </c>
      <c r="BI233" s="4">
        <f t="shared" si="634"/>
        <v>81053.819577985545</v>
      </c>
      <c r="BJ233" s="4">
        <f t="shared" si="635"/>
        <v>278.37796852867604</v>
      </c>
      <c r="BR233" s="4">
        <f t="shared" si="539"/>
        <v>51.099999999999994</v>
      </c>
      <c r="BV233" s="9"/>
      <c r="BX233" s="9"/>
      <c r="BY233" s="9"/>
      <c r="BZ233" s="9">
        <f t="shared" si="577"/>
        <v>51.099999999999994</v>
      </c>
      <c r="CA233" s="9">
        <f t="shared" si="578"/>
        <v>76</v>
      </c>
      <c r="CB233" s="9">
        <f t="shared" si="604"/>
        <v>1.5054020239149992</v>
      </c>
      <c r="CC233" s="9">
        <v>0</v>
      </c>
      <c r="CD233" s="9">
        <f t="shared" si="689"/>
        <v>0</v>
      </c>
      <c r="CE233" s="9">
        <f t="shared" si="605"/>
        <v>0</v>
      </c>
      <c r="CF233" s="9">
        <f t="shared" si="579"/>
        <v>0.99524931562137331</v>
      </c>
      <c r="CG233" s="9">
        <f t="shared" si="580"/>
        <v>0.88300000000000001</v>
      </c>
      <c r="CH233" s="9">
        <f t="shared" si="606"/>
        <v>1.8248701497446835</v>
      </c>
      <c r="CI233" s="9">
        <f t="shared" si="607"/>
        <v>2.7471632168077145</v>
      </c>
      <c r="CJ233" s="9">
        <v>1</v>
      </c>
      <c r="CK233" s="9">
        <f t="shared" si="608"/>
        <v>256.1134841496326</v>
      </c>
      <c r="CM233" s="4">
        <f t="shared" si="690"/>
        <v>1.392282311688124</v>
      </c>
      <c r="CN233" s="4">
        <f t="shared" si="691"/>
        <v>0.90909331832794082</v>
      </c>
      <c r="CO233" s="4">
        <f t="shared" si="692"/>
        <v>0.73987952301775617</v>
      </c>
      <c r="CP233" s="4">
        <f t="shared" si="693"/>
        <v>1.4101370740923769</v>
      </c>
      <c r="CQ233" s="4">
        <f t="shared" si="694"/>
        <v>0.864466025227837</v>
      </c>
      <c r="CR233" s="4">
        <f t="shared" si="695"/>
        <v>0.93601937017964099</v>
      </c>
      <c r="CS233" s="4">
        <f t="shared" si="696"/>
        <v>1.338956593754866</v>
      </c>
      <c r="CU233" s="4">
        <f t="shared" si="658"/>
        <v>1.392282311688124</v>
      </c>
      <c r="CV233" s="4">
        <f t="shared" si="658"/>
        <v>0.90909331832794082</v>
      </c>
      <c r="CW233" s="4">
        <f t="shared" si="659"/>
        <v>1.4101370740923769</v>
      </c>
      <c r="CX233" s="4">
        <f t="shared" si="697"/>
        <v>1.338956593754866</v>
      </c>
      <c r="CY233" s="4">
        <f t="shared" si="661"/>
        <v>0.864466025227837</v>
      </c>
      <c r="CZ233" s="4">
        <f t="shared" si="661"/>
        <v>0.93601937017964099</v>
      </c>
      <c r="DH233" s="4">
        <f t="shared" si="557"/>
        <v>0</v>
      </c>
      <c r="DI233" s="4">
        <f t="shared" si="629"/>
        <v>211</v>
      </c>
      <c r="DL233" s="4">
        <f t="shared" si="667"/>
        <v>1.5382617175677067E-5</v>
      </c>
      <c r="DM233" s="4">
        <f t="shared" si="558"/>
        <v>7.0890752785809319</v>
      </c>
      <c r="DN233" s="4">
        <f t="shared" si="668"/>
        <v>0.48291937453805894</v>
      </c>
      <c r="DO233" s="4">
        <f t="shared" si="669"/>
        <v>5.298335314469159</v>
      </c>
      <c r="DP233" s="4">
        <f t="shared" si="670"/>
        <v>6.2582206434403789</v>
      </c>
      <c r="DQ233" s="4">
        <f t="shared" si="671"/>
        <v>6.8432350850706829</v>
      </c>
      <c r="DR233" s="38">
        <f t="shared" si="684"/>
        <v>417.7782684740929</v>
      </c>
      <c r="DS233" s="4">
        <f t="shared" si="609"/>
        <v>1.0001228632795345</v>
      </c>
      <c r="DT233" s="4">
        <f t="shared" si="672"/>
        <v>1.7902527732187252</v>
      </c>
      <c r="DU233" s="4">
        <f t="shared" si="618"/>
        <v>211.84192858291399</v>
      </c>
      <c r="DY233" s="4">
        <f t="shared" si="581"/>
        <v>0.85</v>
      </c>
      <c r="DZ233" s="4">
        <f t="shared" si="610"/>
        <v>0.89881889763779532</v>
      </c>
      <c r="EA233" s="4">
        <f t="shared" si="685"/>
        <v>1</v>
      </c>
      <c r="EB233" s="4">
        <f t="shared" si="611"/>
        <v>0.89881889763779532</v>
      </c>
      <c r="ED233" s="4">
        <f t="shared" si="686"/>
        <v>385.84150144783257</v>
      </c>
      <c r="EE233" s="25">
        <f t="shared" si="687"/>
        <v>209.17281438713454</v>
      </c>
      <c r="EG233" s="4">
        <f t="shared" si="619"/>
        <v>0.76399606299212597</v>
      </c>
      <c r="EH233" s="4">
        <f t="shared" si="688"/>
        <v>7.0890752785809319</v>
      </c>
      <c r="EK233" s="4">
        <f t="shared" si="673"/>
        <v>45.472420439755616</v>
      </c>
      <c r="EL233" s="4">
        <f t="shared" si="674"/>
        <v>1.7902527732187252</v>
      </c>
      <c r="EM233" s="4">
        <f t="shared" si="675"/>
        <v>0.15666833451122594</v>
      </c>
      <c r="EP233" s="4">
        <f t="shared" si="541"/>
        <v>0.15666833451122594</v>
      </c>
      <c r="EQ233" s="4">
        <f t="shared" si="542"/>
        <v>0.48211347210589123</v>
      </c>
      <c r="ER233" s="4">
        <f t="shared" si="559"/>
        <v>5.2947967685609179</v>
      </c>
      <c r="ES233" s="4">
        <f t="shared" si="582"/>
        <v>6.2567241775106712</v>
      </c>
      <c r="ET233" s="4">
        <f t="shared" si="560"/>
        <v>112.77757956024439</v>
      </c>
      <c r="EU233" s="4">
        <f t="shared" si="561"/>
        <v>52.75</v>
      </c>
      <c r="EV233" s="4">
        <f t="shared" si="612"/>
        <v>1.5382617175677067E-5</v>
      </c>
      <c r="EW233" s="4">
        <f t="shared" si="583"/>
        <v>6.84330657478211</v>
      </c>
      <c r="EX233" s="4">
        <f t="shared" si="636"/>
        <v>417.72694517165917</v>
      </c>
      <c r="FG233" s="23">
        <f t="shared" si="698"/>
        <v>1.4</v>
      </c>
      <c r="FH233" s="23">
        <f t="shared" si="698"/>
        <v>1</v>
      </c>
      <c r="FI233" s="23">
        <f t="shared" si="699"/>
        <v>1.4</v>
      </c>
      <c r="FJ233" s="23">
        <f t="shared" si="700"/>
        <v>1.6</v>
      </c>
      <c r="FK233" s="23">
        <f t="shared" si="700"/>
        <v>1</v>
      </c>
      <c r="FL233" s="23">
        <f t="shared" si="700"/>
        <v>1</v>
      </c>
      <c r="FM233" s="23">
        <f t="shared" si="701"/>
        <v>0</v>
      </c>
      <c r="FN233" s="23"/>
      <c r="FX233" s="4">
        <f t="shared" si="613"/>
        <v>1</v>
      </c>
      <c r="FY233" s="4">
        <f t="shared" si="652"/>
        <v>0.74803149606299213</v>
      </c>
      <c r="FZ233" s="4">
        <f t="shared" si="614"/>
        <v>0</v>
      </c>
      <c r="GA233" s="4">
        <f t="shared" si="615"/>
        <v>269.72877303032794</v>
      </c>
    </row>
    <row r="234" spans="1:183" ht="12" hidden="1" customHeight="1" x14ac:dyDescent="0.3">
      <c r="A234" s="25">
        <v>216</v>
      </c>
      <c r="B234" s="24" t="s">
        <v>182</v>
      </c>
      <c r="C234" s="4">
        <v>1996</v>
      </c>
      <c r="D234" s="24" t="s">
        <v>309</v>
      </c>
      <c r="E234" s="24"/>
      <c r="F234" s="4" t="s">
        <v>350</v>
      </c>
      <c r="G234" s="7">
        <v>556</v>
      </c>
      <c r="H234" s="7">
        <f>381-P234-20</f>
        <v>285</v>
      </c>
      <c r="I234" s="7">
        <f t="shared" si="630"/>
        <v>285</v>
      </c>
      <c r="J234" s="7">
        <v>33.200000000000003</v>
      </c>
      <c r="K234" s="7">
        <v>35.799999999999997</v>
      </c>
      <c r="L234" s="7">
        <f t="shared" si="676"/>
        <v>7.9608938547486039</v>
      </c>
      <c r="M234" s="7">
        <f t="shared" si="677"/>
        <v>7.9608938547486039</v>
      </c>
      <c r="N234" s="7">
        <v>305</v>
      </c>
      <c r="O234" s="7">
        <v>76</v>
      </c>
      <c r="P234" s="7">
        <v>76</v>
      </c>
      <c r="Q234" s="7">
        <f t="shared" si="623"/>
        <v>81.400000000000006</v>
      </c>
      <c r="R234" s="7">
        <v>2</v>
      </c>
      <c r="S234" s="7">
        <f t="shared" si="620"/>
        <v>280</v>
      </c>
      <c r="T234" s="7">
        <f t="shared" si="621"/>
        <v>1.6368715083798884</v>
      </c>
      <c r="U234" s="7">
        <f t="shared" si="631"/>
        <v>2.6229050279329611</v>
      </c>
      <c r="V234" s="7">
        <f>2970/(K234^2*PI()/4)-1</f>
        <v>1.9505332604034158</v>
      </c>
      <c r="W234" s="7">
        <f>2970/(K234^2*PI()/4)-1</f>
        <v>1.9505332604034158</v>
      </c>
      <c r="X234" s="7">
        <f t="shared" si="616"/>
        <v>2.9505332604034158</v>
      </c>
      <c r="Y234" s="7">
        <f t="shared" si="552"/>
        <v>61.494076526633307</v>
      </c>
      <c r="Z234" s="7">
        <f t="shared" si="632"/>
        <v>556</v>
      </c>
      <c r="AA234" s="7">
        <v>20</v>
      </c>
      <c r="AB234" s="7">
        <f>306*1000/(K234^2*PI()/4)</f>
        <v>303.99433592035194</v>
      </c>
      <c r="AC234" s="7"/>
      <c r="AD234" s="4">
        <f t="shared" si="666"/>
        <v>1.1163081599228812</v>
      </c>
      <c r="AE234" s="7"/>
      <c r="AF234" s="7"/>
      <c r="AG234" s="7">
        <v>1</v>
      </c>
      <c r="AH234" s="7"/>
      <c r="AI234" s="7"/>
      <c r="AJ234" s="7">
        <f t="shared" si="655"/>
        <v>7.2952218430034126</v>
      </c>
      <c r="AK234" s="4">
        <f t="shared" si="569"/>
        <v>285</v>
      </c>
      <c r="AL234" s="4">
        <f t="shared" si="678"/>
        <v>0.35672514619883039</v>
      </c>
      <c r="AM234" s="4">
        <f t="shared" si="679"/>
        <v>137.70521941374017</v>
      </c>
      <c r="AN234" s="4">
        <f t="shared" si="680"/>
        <v>0.76589473684210518</v>
      </c>
      <c r="AO234" s="4">
        <v>1.25</v>
      </c>
      <c r="AP234" s="4">
        <f t="shared" si="624"/>
        <v>2.5</v>
      </c>
      <c r="AQ234" s="38">
        <f t="shared" si="681"/>
        <v>117.57181779723911</v>
      </c>
      <c r="AR234" s="38">
        <f t="shared" si="682"/>
        <v>117.57181779723911</v>
      </c>
      <c r="AS234" s="38">
        <f t="shared" si="683"/>
        <v>3.098941018792384</v>
      </c>
      <c r="AT234" s="38">
        <f t="shared" si="626"/>
        <v>117.57181779723915</v>
      </c>
      <c r="AU234" s="38">
        <f t="shared" si="601"/>
        <v>0.99999999999999967</v>
      </c>
      <c r="AV234" s="38">
        <f t="shared" si="537"/>
        <v>1.6021839252307555</v>
      </c>
      <c r="AW234" s="4">
        <f t="shared" si="529"/>
        <v>0</v>
      </c>
      <c r="AX234" s="4">
        <f t="shared" si="570"/>
        <v>241.42223951208828</v>
      </c>
      <c r="AY234" s="4">
        <f t="shared" si="571"/>
        <v>1.2409556313993173</v>
      </c>
      <c r="AZ234" s="38">
        <f t="shared" si="617"/>
        <v>188.37167653489581</v>
      </c>
      <c r="BA234" s="4">
        <f t="shared" si="572"/>
        <v>0.72692534354352178</v>
      </c>
      <c r="BB234" s="4">
        <f t="shared" si="602"/>
        <v>91.696630947103927</v>
      </c>
      <c r="BC234" s="4">
        <f t="shared" si="603"/>
        <v>280.06830748199974</v>
      </c>
      <c r="BE234" s="4">
        <f t="shared" si="627"/>
        <v>1.2807262569832403</v>
      </c>
      <c r="BF234" s="4">
        <f t="shared" si="628"/>
        <v>397.62580029539703</v>
      </c>
      <c r="BH234" s="4">
        <f t="shared" si="633"/>
        <v>180.67147415190635</v>
      </c>
      <c r="BI234" s="4">
        <f t="shared" si="634"/>
        <v>25439.539549546142</v>
      </c>
      <c r="BJ234" s="4">
        <f t="shared" si="635"/>
        <v>140.80551270731809</v>
      </c>
      <c r="BR234" s="4">
        <f t="shared" si="539"/>
        <v>40.700000000000003</v>
      </c>
      <c r="BV234" s="9"/>
      <c r="BX234" s="9"/>
      <c r="BY234" s="9"/>
      <c r="BZ234" s="9">
        <f t="shared" si="577"/>
        <v>40.700000000000003</v>
      </c>
      <c r="CA234" s="9">
        <f t="shared" si="578"/>
        <v>76</v>
      </c>
      <c r="CB234" s="9">
        <f t="shared" si="604"/>
        <v>1.1709505872794554</v>
      </c>
      <c r="CC234" s="9">
        <v>0</v>
      </c>
      <c r="CD234" s="9">
        <f t="shared" si="689"/>
        <v>0</v>
      </c>
      <c r="CE234" s="9">
        <f t="shared" si="605"/>
        <v>0</v>
      </c>
      <c r="CF234" s="9">
        <f t="shared" si="579"/>
        <v>0.89787751228078194</v>
      </c>
      <c r="CG234" s="9">
        <f t="shared" si="580"/>
        <v>0.91600000000000004</v>
      </c>
      <c r="CH234" s="9">
        <f t="shared" si="606"/>
        <v>1.6586305277394953</v>
      </c>
      <c r="CI234" s="9">
        <f t="shared" si="607"/>
        <v>1.942174390536195</v>
      </c>
      <c r="CJ234" s="9">
        <v>1</v>
      </c>
      <c r="CK234" s="9">
        <f t="shared" si="608"/>
        <v>178.37624011405055</v>
      </c>
      <c r="CM234" s="4">
        <f t="shared" si="690"/>
        <v>1.2591811613326145</v>
      </c>
      <c r="CN234" s="4">
        <f t="shared" si="691"/>
        <v>1.0854292606452445</v>
      </c>
      <c r="CO234" s="4">
        <f t="shared" si="692"/>
        <v>0.76452366947646233</v>
      </c>
      <c r="CP234" s="4">
        <f t="shared" si="693"/>
        <v>1.7042311000948527</v>
      </c>
      <c r="CQ234" s="4">
        <f t="shared" si="694"/>
        <v>1.1163081599228812</v>
      </c>
      <c r="CR234" s="4">
        <f t="shared" si="695"/>
        <v>1.2119877238401617</v>
      </c>
      <c r="CS234" s="4">
        <f t="shared" si="696"/>
        <v>1.6929650308865152</v>
      </c>
      <c r="CU234" s="4">
        <f t="shared" si="658"/>
        <v>1.2591811613326145</v>
      </c>
      <c r="CV234" s="4">
        <f t="shared" si="658"/>
        <v>1.0854292606452445</v>
      </c>
      <c r="CW234" s="4">
        <f t="shared" si="659"/>
        <v>1.7042311000948527</v>
      </c>
      <c r="CX234" s="4">
        <f t="shared" si="697"/>
        <v>1.6929650308865152</v>
      </c>
      <c r="CY234" s="4">
        <f t="shared" si="661"/>
        <v>1.1163081599228812</v>
      </c>
      <c r="CZ234" s="4">
        <f t="shared" si="661"/>
        <v>1.2119877238401617</v>
      </c>
      <c r="DH234" s="4">
        <f t="shared" si="557"/>
        <v>0</v>
      </c>
      <c r="DI234" s="4">
        <f t="shared" si="629"/>
        <v>285</v>
      </c>
      <c r="DL234" s="4">
        <f t="shared" si="667"/>
        <v>1.4539801168325371E-5</v>
      </c>
      <c r="DM234" s="4">
        <f t="shared" si="558"/>
        <v>5.6466037423412478</v>
      </c>
      <c r="DN234" s="4">
        <f t="shared" si="668"/>
        <v>0.43442213896878051</v>
      </c>
      <c r="DO234" s="4">
        <f t="shared" si="669"/>
        <v>4.0453126399641084</v>
      </c>
      <c r="DP234" s="4">
        <f t="shared" si="670"/>
        <v>4.9118289205503318</v>
      </c>
      <c r="DQ234" s="4">
        <f t="shared" si="671"/>
        <v>5.4510711945142196</v>
      </c>
      <c r="DR234" s="38">
        <f t="shared" si="684"/>
        <v>272.32116259129828</v>
      </c>
      <c r="DS234" s="4">
        <f t="shared" si="609"/>
        <v>1.0001359896403019</v>
      </c>
      <c r="DT234" s="4">
        <f t="shared" si="672"/>
        <v>1.7177116348221595</v>
      </c>
      <c r="DU234" s="4">
        <f t="shared" si="618"/>
        <v>117.57181779723915</v>
      </c>
      <c r="DY234" s="4">
        <f t="shared" si="581"/>
        <v>0.85</v>
      </c>
      <c r="DZ234" s="4">
        <f t="shared" si="610"/>
        <v>0.98631284916201112</v>
      </c>
      <c r="EA234" s="4">
        <f t="shared" si="685"/>
        <v>1</v>
      </c>
      <c r="EB234" s="4">
        <f t="shared" si="611"/>
        <v>0.98631284916201112</v>
      </c>
      <c r="ED234" s="4">
        <f t="shared" si="686"/>
        <v>250.82294972192562</v>
      </c>
      <c r="EE234" s="25">
        <f t="shared" si="687"/>
        <v>115.96691062411087</v>
      </c>
      <c r="EG234" s="4">
        <f t="shared" si="619"/>
        <v>0.83836592178770941</v>
      </c>
      <c r="EH234" s="4">
        <f t="shared" si="688"/>
        <v>5.6466037423412478</v>
      </c>
      <c r="EK234" s="4">
        <f t="shared" si="673"/>
        <v>61.494076526633307</v>
      </c>
      <c r="EL234" s="4">
        <f t="shared" si="674"/>
        <v>1.7177116348221595</v>
      </c>
      <c r="EM234" s="4">
        <f t="shared" si="675"/>
        <v>0.13687251798402508</v>
      </c>
      <c r="EP234" s="4">
        <f t="shared" si="541"/>
        <v>0.13687251798402508</v>
      </c>
      <c r="EQ234" s="4">
        <f t="shared" si="542"/>
        <v>0.43369716938412217</v>
      </c>
      <c r="ER234" s="4">
        <f t="shared" si="559"/>
        <v>4.0426109377047954</v>
      </c>
      <c r="ES234" s="4">
        <f t="shared" si="582"/>
        <v>4.9107178946531684</v>
      </c>
      <c r="ET234" s="4">
        <f t="shared" si="560"/>
        <v>152.25592347336669</v>
      </c>
      <c r="EU234" s="4">
        <f t="shared" si="561"/>
        <v>71.25</v>
      </c>
      <c r="EV234" s="4">
        <f t="shared" si="612"/>
        <v>1.4539801168325371E-5</v>
      </c>
      <c r="EW234" s="4">
        <f t="shared" si="583"/>
        <v>5.451125930747402</v>
      </c>
      <c r="EX234" s="4">
        <f t="shared" si="636"/>
        <v>272.28413476975101</v>
      </c>
      <c r="FG234" s="23">
        <f t="shared" si="698"/>
        <v>1.4</v>
      </c>
      <c r="FH234" s="23">
        <f t="shared" si="698"/>
        <v>1.2</v>
      </c>
      <c r="FI234" s="23">
        <f t="shared" si="699"/>
        <v>1.8</v>
      </c>
      <c r="FJ234" s="23">
        <f t="shared" si="700"/>
        <v>1.8</v>
      </c>
      <c r="FK234" s="23">
        <f t="shared" si="700"/>
        <v>1.2</v>
      </c>
      <c r="FL234" s="23">
        <f t="shared" si="700"/>
        <v>1.4</v>
      </c>
      <c r="FM234" s="23">
        <f t="shared" si="701"/>
        <v>0</v>
      </c>
      <c r="FN234" s="23"/>
      <c r="FX234" s="4">
        <f t="shared" si="613"/>
        <v>1</v>
      </c>
      <c r="FY234" s="4">
        <f t="shared" si="652"/>
        <v>0.8938547486033519</v>
      </c>
      <c r="FZ234" s="4">
        <f t="shared" si="614"/>
        <v>0</v>
      </c>
      <c r="GA234" s="4">
        <f t="shared" si="615"/>
        <v>179.56326939674966</v>
      </c>
    </row>
    <row r="235" spans="1:183" ht="12" hidden="1" customHeight="1" x14ac:dyDescent="0.3">
      <c r="A235" s="25">
        <v>217</v>
      </c>
      <c r="B235" s="24" t="s">
        <v>182</v>
      </c>
      <c r="C235" s="4">
        <v>1996</v>
      </c>
      <c r="D235" s="24" t="s">
        <v>309</v>
      </c>
      <c r="E235" s="24"/>
      <c r="F235" s="4" t="s">
        <v>351</v>
      </c>
      <c r="G235" s="7">
        <v>556</v>
      </c>
      <c r="H235" s="7">
        <f>381-P235-20</f>
        <v>285</v>
      </c>
      <c r="I235" s="7">
        <f t="shared" si="630"/>
        <v>285</v>
      </c>
      <c r="J235" s="7">
        <v>32.299999999999997</v>
      </c>
      <c r="K235" s="7">
        <v>35.799999999999997</v>
      </c>
      <c r="L235" s="7">
        <f t="shared" si="676"/>
        <v>7.9608938547486039</v>
      </c>
      <c r="M235" s="7">
        <f t="shared" si="677"/>
        <v>7.9608938547486039</v>
      </c>
      <c r="N235" s="7">
        <v>305</v>
      </c>
      <c r="O235" s="7">
        <v>76</v>
      </c>
      <c r="P235" s="7">
        <v>76</v>
      </c>
      <c r="Q235" s="7">
        <f t="shared" si="623"/>
        <v>81.400000000000006</v>
      </c>
      <c r="R235" s="7">
        <v>2</v>
      </c>
      <c r="S235" s="7">
        <f t="shared" si="620"/>
        <v>280</v>
      </c>
      <c r="T235" s="7">
        <f t="shared" si="621"/>
        <v>1.6368715083798884</v>
      </c>
      <c r="U235" s="7">
        <f t="shared" si="631"/>
        <v>2.6229050279329611</v>
      </c>
      <c r="V235" s="7">
        <f>2970/(K235^2*PI()/4)-1</f>
        <v>1.9505332604034158</v>
      </c>
      <c r="W235" s="7">
        <f>2970/(K235^2*PI()/4)-1</f>
        <v>1.9505332604034158</v>
      </c>
      <c r="X235" s="7">
        <f t="shared" si="616"/>
        <v>2.9505332604034158</v>
      </c>
      <c r="Y235" s="7">
        <f t="shared" si="552"/>
        <v>61.494076526633307</v>
      </c>
      <c r="Z235" s="7">
        <f t="shared" si="632"/>
        <v>556</v>
      </c>
      <c r="AA235" s="7">
        <v>20</v>
      </c>
      <c r="AB235" s="7">
        <f>357*1000/(K235^2*PI()/4)</f>
        <v>354.66005857374392</v>
      </c>
      <c r="AC235" s="7"/>
      <c r="AD235" s="4">
        <f t="shared" si="666"/>
        <v>1.3187489627900544</v>
      </c>
      <c r="AE235" s="7"/>
      <c r="AF235" s="7"/>
      <c r="AG235" s="7">
        <v>1</v>
      </c>
      <c r="AH235" s="7"/>
      <c r="AI235" s="7"/>
      <c r="AJ235" s="7">
        <f t="shared" si="655"/>
        <v>7.2952218430034126</v>
      </c>
      <c r="AK235" s="4">
        <f t="shared" si="569"/>
        <v>285</v>
      </c>
      <c r="AL235" s="4">
        <f t="shared" si="678"/>
        <v>0.35672514619883039</v>
      </c>
      <c r="AM235" s="4">
        <f t="shared" si="679"/>
        <v>135.82590921165087</v>
      </c>
      <c r="AN235" s="4">
        <f t="shared" si="680"/>
        <v>0.76589473684210518</v>
      </c>
      <c r="AO235" s="4">
        <v>1.25</v>
      </c>
      <c r="AP235" s="4">
        <f t="shared" si="624"/>
        <v>2.5</v>
      </c>
      <c r="AQ235" s="38">
        <f t="shared" si="681"/>
        <v>115.9672750093534</v>
      </c>
      <c r="AR235" s="38">
        <f t="shared" si="682"/>
        <v>115.9672750093534</v>
      </c>
      <c r="AS235" s="38">
        <f t="shared" si="683"/>
        <v>3.042679928466983</v>
      </c>
      <c r="AT235" s="38">
        <f t="shared" si="626"/>
        <v>115.96727500935347</v>
      </c>
      <c r="AU235" s="38">
        <f t="shared" si="601"/>
        <v>0.99999999999999933</v>
      </c>
      <c r="AV235" s="38">
        <f t="shared" si="537"/>
        <v>1.5803183735172579</v>
      </c>
      <c r="AW235" s="4">
        <f t="shared" si="529"/>
        <v>0</v>
      </c>
      <c r="AX235" s="4">
        <f t="shared" si="570"/>
        <v>238.12746768239367</v>
      </c>
      <c r="AY235" s="4">
        <f t="shared" si="571"/>
        <v>1.2409556313993173</v>
      </c>
      <c r="AZ235" s="38">
        <f t="shared" si="617"/>
        <v>183.26521542401002</v>
      </c>
      <c r="BA235" s="4">
        <f t="shared" si="572"/>
        <v>0.72692534354352178</v>
      </c>
      <c r="BB235" s="4">
        <f t="shared" si="602"/>
        <v>90.445215679260329</v>
      </c>
      <c r="BC235" s="4">
        <f t="shared" si="603"/>
        <v>273.71043110327037</v>
      </c>
      <c r="BE235" s="4">
        <f t="shared" si="627"/>
        <v>1.2807262569832403</v>
      </c>
      <c r="BF235" s="4">
        <f t="shared" si="628"/>
        <v>392.19926507552367</v>
      </c>
      <c r="BH235" s="4">
        <f t="shared" si="633"/>
        <v>175.77375346706549</v>
      </c>
      <c r="BI235" s="4">
        <f t="shared" si="634"/>
        <v>25439.539549546142</v>
      </c>
      <c r="BJ235" s="4">
        <f t="shared" si="635"/>
        <v>144.72888612640747</v>
      </c>
      <c r="BR235" s="4">
        <f t="shared" si="539"/>
        <v>40.700000000000003</v>
      </c>
      <c r="BV235" s="9"/>
      <c r="BX235" s="9"/>
      <c r="BY235" s="9"/>
      <c r="BZ235" s="9">
        <f t="shared" si="577"/>
        <v>40.700000000000003</v>
      </c>
      <c r="CA235" s="9">
        <f t="shared" si="578"/>
        <v>76</v>
      </c>
      <c r="CB235" s="9">
        <f t="shared" si="604"/>
        <v>1.1709505872794554</v>
      </c>
      <c r="CC235" s="9">
        <v>0</v>
      </c>
      <c r="CD235" s="9">
        <f t="shared" si="689"/>
        <v>0</v>
      </c>
      <c r="CE235" s="9">
        <f t="shared" si="605"/>
        <v>0</v>
      </c>
      <c r="CF235" s="9">
        <f t="shared" si="579"/>
        <v>0.89787751228078194</v>
      </c>
      <c r="CG235" s="9">
        <f t="shared" si="580"/>
        <v>0.91600000000000004</v>
      </c>
      <c r="CH235" s="9">
        <f t="shared" si="606"/>
        <v>1.6359946299460197</v>
      </c>
      <c r="CI235" s="9">
        <f t="shared" si="607"/>
        <v>1.9156688727213271</v>
      </c>
      <c r="CJ235" s="9">
        <v>1</v>
      </c>
      <c r="CK235" s="9">
        <f t="shared" si="608"/>
        <v>175.94187858960123</v>
      </c>
      <c r="CM235" s="4">
        <f t="shared" si="690"/>
        <v>1.4893706384463696</v>
      </c>
      <c r="CN235" s="4">
        <f t="shared" si="691"/>
        <v>1.2957491504586884</v>
      </c>
      <c r="CO235" s="4">
        <f t="shared" si="692"/>
        <v>0.90428537265476261</v>
      </c>
      <c r="CP235" s="4">
        <f t="shared" si="693"/>
        <v>2.0157796507391934</v>
      </c>
      <c r="CQ235" s="4">
        <f t="shared" si="694"/>
        <v>1.3187489627900544</v>
      </c>
      <c r="CR235" s="4">
        <f t="shared" si="695"/>
        <v>1.4335498222786425</v>
      </c>
      <c r="CS235" s="4">
        <f t="shared" si="696"/>
        <v>1.9887430163203406</v>
      </c>
      <c r="CU235" s="4">
        <f t="shared" si="658"/>
        <v>1.4893706384463696</v>
      </c>
      <c r="CV235" s="4">
        <f t="shared" si="658"/>
        <v>1.2957491504586884</v>
      </c>
      <c r="CW235" s="4">
        <f t="shared" si="659"/>
        <v>2.0157796507391934</v>
      </c>
      <c r="CX235" s="4">
        <f t="shared" si="697"/>
        <v>1.9887430163203406</v>
      </c>
      <c r="CY235" s="4">
        <f t="shared" si="661"/>
        <v>1.3187489627900544</v>
      </c>
      <c r="CZ235" s="4">
        <f t="shared" si="661"/>
        <v>1.4335498222786425</v>
      </c>
      <c r="DH235" s="4">
        <f t="shared" si="557"/>
        <v>0</v>
      </c>
      <c r="DI235" s="4">
        <f t="shared" si="629"/>
        <v>285</v>
      </c>
      <c r="DL235" s="4">
        <f t="shared" si="667"/>
        <v>1.4448873022591579E-5</v>
      </c>
      <c r="DM235" s="4">
        <f t="shared" si="558"/>
        <v>5.5695426108509878</v>
      </c>
      <c r="DN235" s="4">
        <f t="shared" si="668"/>
        <v>0.44043287699745309</v>
      </c>
      <c r="DO235" s="4">
        <f t="shared" si="669"/>
        <v>4.0120969880188291</v>
      </c>
      <c r="DP235" s="4">
        <f t="shared" si="670"/>
        <v>4.8538581180670093</v>
      </c>
      <c r="DQ235" s="4">
        <f t="shared" si="671"/>
        <v>5.3800412813062595</v>
      </c>
      <c r="DR235" s="38">
        <f t="shared" si="684"/>
        <v>268.93674882852287</v>
      </c>
      <c r="DS235" s="4">
        <f t="shared" si="609"/>
        <v>1.0001368566870967</v>
      </c>
      <c r="DT235" s="4">
        <f t="shared" si="672"/>
        <v>1.7177116348221595</v>
      </c>
      <c r="DU235" s="4">
        <f t="shared" si="618"/>
        <v>115.96727500935347</v>
      </c>
      <c r="DY235" s="4">
        <f t="shared" si="581"/>
        <v>0.85</v>
      </c>
      <c r="DZ235" s="4">
        <f t="shared" si="610"/>
        <v>0.98631284916201112</v>
      </c>
      <c r="EA235" s="4">
        <f t="shared" si="685"/>
        <v>1</v>
      </c>
      <c r="EB235" s="4">
        <f t="shared" si="611"/>
        <v>0.98631284916201112</v>
      </c>
      <c r="ED235" s="4">
        <f t="shared" si="686"/>
        <v>247.39988318648602</v>
      </c>
      <c r="EE235" s="25">
        <f t="shared" si="687"/>
        <v>114.38427055303366</v>
      </c>
      <c r="EG235" s="4">
        <f t="shared" si="619"/>
        <v>0.83836592178770941</v>
      </c>
      <c r="EH235" s="4">
        <f t="shared" si="688"/>
        <v>5.5695426108509878</v>
      </c>
      <c r="EK235" s="4">
        <f t="shared" si="673"/>
        <v>61.494076526633307</v>
      </c>
      <c r="EL235" s="4">
        <f t="shared" si="674"/>
        <v>1.7177116348221595</v>
      </c>
      <c r="EM235" s="4">
        <f t="shared" si="675"/>
        <v>0.13687251798402508</v>
      </c>
      <c r="EP235" s="4">
        <f t="shared" si="541"/>
        <v>0.13687251798402508</v>
      </c>
      <c r="EQ235" s="4">
        <f t="shared" si="542"/>
        <v>0.43969787661127396</v>
      </c>
      <c r="ER235" s="4">
        <f t="shared" si="559"/>
        <v>4.009417469162849</v>
      </c>
      <c r="ES235" s="4">
        <f t="shared" si="582"/>
        <v>4.8527521445412711</v>
      </c>
      <c r="ET235" s="4">
        <f t="shared" si="560"/>
        <v>152.25592347336669</v>
      </c>
      <c r="EU235" s="4">
        <f t="shared" si="561"/>
        <v>71.25</v>
      </c>
      <c r="EV235" s="4">
        <f t="shared" si="612"/>
        <v>1.4448873022591579E-5</v>
      </c>
      <c r="EW235" s="4">
        <f t="shared" si="583"/>
        <v>5.38009459767681</v>
      </c>
      <c r="EX235" s="4">
        <f t="shared" si="636"/>
        <v>268.89994807246916</v>
      </c>
      <c r="FG235" s="23">
        <f t="shared" si="698"/>
        <v>1.6</v>
      </c>
      <c r="FH235" s="23">
        <f t="shared" si="698"/>
        <v>1.4</v>
      </c>
      <c r="FI235" s="23">
        <f t="shared" si="699"/>
        <v>2</v>
      </c>
      <c r="FJ235" s="23">
        <f t="shared" si="700"/>
        <v>2.2000000000000002</v>
      </c>
      <c r="FK235" s="23">
        <f t="shared" si="700"/>
        <v>1.4</v>
      </c>
      <c r="FL235" s="23">
        <f t="shared" si="700"/>
        <v>1.6</v>
      </c>
      <c r="FM235" s="23">
        <f t="shared" si="701"/>
        <v>0</v>
      </c>
      <c r="FN235" s="23"/>
      <c r="FX235" s="4">
        <f t="shared" si="613"/>
        <v>1</v>
      </c>
      <c r="FY235" s="4">
        <f t="shared" si="652"/>
        <v>0.8938547486033519</v>
      </c>
      <c r="FZ235" s="4">
        <f t="shared" si="614"/>
        <v>0</v>
      </c>
      <c r="GA235" s="4">
        <f t="shared" si="615"/>
        <v>178.33377950960778</v>
      </c>
    </row>
    <row r="236" spans="1:183" ht="12" hidden="1" customHeight="1" x14ac:dyDescent="0.3">
      <c r="A236" s="25">
        <v>218</v>
      </c>
      <c r="B236" s="24" t="s">
        <v>182</v>
      </c>
      <c r="C236" s="4">
        <v>1996</v>
      </c>
      <c r="D236" s="24" t="s">
        <v>309</v>
      </c>
      <c r="E236" s="24"/>
      <c r="F236" s="4" t="s">
        <v>352</v>
      </c>
      <c r="G236" s="7">
        <v>556</v>
      </c>
      <c r="H236" s="7">
        <f>381-P236-25</f>
        <v>280</v>
      </c>
      <c r="I236" s="7">
        <f t="shared" si="630"/>
        <v>280</v>
      </c>
      <c r="J236" s="7">
        <v>32.299999999999997</v>
      </c>
      <c r="K236" s="7">
        <v>35.799999999999997</v>
      </c>
      <c r="L236" s="7">
        <f t="shared" si="676"/>
        <v>7.8212290502793298</v>
      </c>
      <c r="M236" s="7">
        <f t="shared" si="677"/>
        <v>7.8212290502793298</v>
      </c>
      <c r="N236" s="7">
        <v>305</v>
      </c>
      <c r="O236" s="7">
        <v>76</v>
      </c>
      <c r="P236" s="7">
        <v>76</v>
      </c>
      <c r="Q236" s="7">
        <f t="shared" si="623"/>
        <v>81.400000000000006</v>
      </c>
      <c r="R236" s="7">
        <v>2</v>
      </c>
      <c r="S236" s="7">
        <f t="shared" si="620"/>
        <v>280</v>
      </c>
      <c r="T236" s="7">
        <f t="shared" si="621"/>
        <v>1.6368715083798884</v>
      </c>
      <c r="U236" s="7">
        <f t="shared" si="631"/>
        <v>2.6229050279329611</v>
      </c>
      <c r="V236" s="7">
        <f>3025/(K236^2*PI()/4)-1</f>
        <v>2.0051727652257014</v>
      </c>
      <c r="W236" s="7">
        <f>3025/(K236^2*PI()/4)-1</f>
        <v>2.0051727652257014</v>
      </c>
      <c r="X236" s="7">
        <f t="shared" si="616"/>
        <v>3.0051727652257014</v>
      </c>
      <c r="Y236" s="7">
        <f t="shared" si="552"/>
        <v>62.060854190253195</v>
      </c>
      <c r="Z236" s="7">
        <f t="shared" si="632"/>
        <v>556</v>
      </c>
      <c r="AA236" s="7">
        <v>25</v>
      </c>
      <c r="AB236" s="7">
        <f>426*1000/(K236^2*PI()/4)</f>
        <v>423.20780098715659</v>
      </c>
      <c r="AC236" s="7"/>
      <c r="AD236" s="4">
        <f t="shared" si="666"/>
        <v>1.5899976895949632</v>
      </c>
      <c r="AE236" s="7">
        <v>9.5</v>
      </c>
      <c r="AF236" s="7">
        <v>2</v>
      </c>
      <c r="AG236" s="7">
        <v>102</v>
      </c>
      <c r="AH236" s="7">
        <v>4</v>
      </c>
      <c r="AI236" s="7">
        <f>AF236</f>
        <v>2</v>
      </c>
      <c r="AJ236" s="7">
        <f t="shared" si="655"/>
        <v>7.1672354948805461</v>
      </c>
      <c r="AK236" s="4">
        <f t="shared" si="569"/>
        <v>280</v>
      </c>
      <c r="AL236" s="4">
        <f t="shared" si="678"/>
        <v>0.36309523809523808</v>
      </c>
      <c r="AM236" s="4">
        <f t="shared" si="679"/>
        <v>132.26726636732195</v>
      </c>
      <c r="AN236" s="4">
        <f t="shared" si="680"/>
        <v>0.76707142857142852</v>
      </c>
      <c r="AO236" s="4">
        <v>1.25</v>
      </c>
      <c r="AP236" s="4">
        <f t="shared" si="624"/>
        <v>2.5</v>
      </c>
      <c r="AQ236" s="38">
        <f t="shared" si="681"/>
        <v>115.1221149349475</v>
      </c>
      <c r="AR236" s="38">
        <f t="shared" si="682"/>
        <v>115.1221149349475</v>
      </c>
      <c r="AS236" s="38">
        <f t="shared" si="683"/>
        <v>3.042679928466983</v>
      </c>
      <c r="AT236" s="38">
        <f t="shared" si="626"/>
        <v>115.12211493494758</v>
      </c>
      <c r="AU236" s="38">
        <f t="shared" si="601"/>
        <v>0.99999999999999933</v>
      </c>
      <c r="AV236" s="38">
        <f t="shared" si="537"/>
        <v>1.6140630691622992</v>
      </c>
      <c r="AW236" s="4">
        <f t="shared" si="529"/>
        <v>0</v>
      </c>
      <c r="AX236" s="4">
        <f t="shared" si="570"/>
        <v>233.94979281077272</v>
      </c>
      <c r="AY236" s="4">
        <f t="shared" si="571"/>
        <v>1.2409556313993173</v>
      </c>
      <c r="AZ236" s="38">
        <f t="shared" si="617"/>
        <v>185.81435416035646</v>
      </c>
      <c r="BA236" s="4">
        <f t="shared" si="572"/>
        <v>0.71927581286840181</v>
      </c>
      <c r="BB236" s="4">
        <f t="shared" si="602"/>
        <v>87.923388313554526</v>
      </c>
      <c r="BC236" s="4">
        <f t="shared" si="603"/>
        <v>273.737742473911</v>
      </c>
      <c r="BE236" s="4">
        <f t="shared" si="627"/>
        <v>1.5</v>
      </c>
      <c r="BF236" s="4">
        <f t="shared" si="628"/>
        <v>455.7759731441015</v>
      </c>
      <c r="BH236" s="4">
        <f t="shared" si="633"/>
        <v>178.21868925457557</v>
      </c>
      <c r="BI236" s="4">
        <f t="shared" si="634"/>
        <v>30569.451870773988</v>
      </c>
      <c r="BJ236" s="4">
        <f t="shared" si="635"/>
        <v>171.52775614406642</v>
      </c>
      <c r="BR236" s="4">
        <f t="shared" si="539"/>
        <v>40.700000000000003</v>
      </c>
      <c r="BV236" s="9"/>
      <c r="BX236" s="9"/>
      <c r="BY236" s="9"/>
      <c r="BZ236" s="9">
        <f t="shared" si="577"/>
        <v>40.700000000000003</v>
      </c>
      <c r="CA236" s="9">
        <f t="shared" si="578"/>
        <v>76</v>
      </c>
      <c r="CB236" s="9">
        <f t="shared" si="604"/>
        <v>1.1709505872794554</v>
      </c>
      <c r="CC236" s="9">
        <v>20</v>
      </c>
      <c r="CD236" s="9">
        <f t="shared" si="689"/>
        <v>3.8822534914349713E-2</v>
      </c>
      <c r="CE236" s="9">
        <f t="shared" si="605"/>
        <v>0.57645069828699425</v>
      </c>
      <c r="CF236" s="9">
        <f t="shared" si="579"/>
        <v>0.89787751228078194</v>
      </c>
      <c r="CG236" s="9">
        <f t="shared" si="580"/>
        <v>0.91600000000000004</v>
      </c>
      <c r="CH236" s="9">
        <f t="shared" si="606"/>
        <v>1.6359946299460197</v>
      </c>
      <c r="CI236" s="9">
        <f t="shared" si="607"/>
        <v>2.8587391195474829</v>
      </c>
      <c r="CJ236" s="9">
        <v>1</v>
      </c>
      <c r="CK236" s="9">
        <f t="shared" si="608"/>
        <v>260.9597609687479</v>
      </c>
      <c r="CM236" s="4">
        <f t="shared" si="690"/>
        <v>1.8089684795295491</v>
      </c>
      <c r="CN236" s="4">
        <f t="shared" si="691"/>
        <v>1.5460337955680008</v>
      </c>
      <c r="CO236" s="4">
        <f t="shared" si="692"/>
        <v>0.92854346416666433</v>
      </c>
      <c r="CP236" s="4">
        <f t="shared" si="693"/>
        <v>1.621735854662433</v>
      </c>
      <c r="CQ236" s="4">
        <f t="shared" si="694"/>
        <v>1.5899976895949632</v>
      </c>
      <c r="CR236" s="4">
        <f t="shared" si="695"/>
        <v>1.7241744032031006</v>
      </c>
      <c r="CS236" s="4">
        <f t="shared" si="696"/>
        <v>1.5581202263866585</v>
      </c>
      <c r="DA236" s="4">
        <f t="shared" ref="DA236:DB247" si="702">CM236</f>
        <v>1.8089684795295491</v>
      </c>
      <c r="DB236" s="4">
        <f t="shared" si="702"/>
        <v>1.5460337955680008</v>
      </c>
      <c r="DC236" s="4">
        <f t="shared" ref="DC236:DC247" si="703">CP236</f>
        <v>1.621735854662433</v>
      </c>
      <c r="DD236" s="4">
        <f t="shared" ref="DD236" si="704">CS236</f>
        <v>1.5581202263866585</v>
      </c>
      <c r="DE236" s="4">
        <f t="shared" ref="DE236:DF247" si="705">CQ236</f>
        <v>1.5899976895949632</v>
      </c>
      <c r="DF236" s="4">
        <f t="shared" si="705"/>
        <v>1.7241744032031006</v>
      </c>
      <c r="DH236" s="4">
        <f t="shared" si="557"/>
        <v>2</v>
      </c>
      <c r="DI236" s="4">
        <f t="shared" si="629"/>
        <v>280</v>
      </c>
      <c r="DL236" s="4">
        <f t="shared" si="667"/>
        <v>1.4195384022195234E-5</v>
      </c>
      <c r="DM236" s="4">
        <f t="shared" si="558"/>
        <v>5.6229670276101471</v>
      </c>
      <c r="DN236" s="4">
        <f t="shared" si="668"/>
        <v>0.42922900876570613</v>
      </c>
      <c r="DO236" s="4">
        <f t="shared" si="669"/>
        <v>4.0090471412339257</v>
      </c>
      <c r="DP236" s="4">
        <f t="shared" si="670"/>
        <v>4.8833291873266678</v>
      </c>
      <c r="DQ236" s="4">
        <f t="shared" si="671"/>
        <v>5.4375361051668163</v>
      </c>
      <c r="DR236" s="38">
        <f t="shared" si="684"/>
        <v>266.16881505970287</v>
      </c>
      <c r="DS236" s="4">
        <f t="shared" si="609"/>
        <v>1.0001363960359797</v>
      </c>
      <c r="DT236" s="4">
        <f t="shared" si="672"/>
        <v>1.7335434131355643</v>
      </c>
      <c r="DU236" s="4">
        <f t="shared" si="618"/>
        <v>115.12211493494758</v>
      </c>
      <c r="DY236" s="4">
        <f t="shared" si="581"/>
        <v>0.85</v>
      </c>
      <c r="DZ236" s="4">
        <f t="shared" si="610"/>
        <v>0.98631284916201112</v>
      </c>
      <c r="EA236" s="4">
        <f t="shared" si="685"/>
        <v>0.99049889204456787</v>
      </c>
      <c r="EB236" s="4">
        <f t="shared" si="611"/>
        <v>0.97694178430429301</v>
      </c>
      <c r="ED236" s="4">
        <f t="shared" si="686"/>
        <v>245.45533224535666</v>
      </c>
      <c r="EE236" s="25">
        <f t="shared" si="687"/>
        <v>113.51979305003475</v>
      </c>
      <c r="EG236" s="4">
        <f t="shared" si="619"/>
        <v>0.830400516658649</v>
      </c>
      <c r="EH236" s="4">
        <f t="shared" si="688"/>
        <v>5.6229670276101471</v>
      </c>
      <c r="EK236" s="4">
        <f t="shared" si="673"/>
        <v>62.060854190253195</v>
      </c>
      <c r="EL236" s="4">
        <f t="shared" si="674"/>
        <v>1.7335434131355643</v>
      </c>
      <c r="EM236" s="4">
        <f t="shared" si="675"/>
        <v>0.13339071238746131</v>
      </c>
      <c r="EP236" s="4">
        <f t="shared" si="541"/>
        <v>0.13339071238746131</v>
      </c>
      <c r="EQ236" s="4">
        <f t="shared" si="542"/>
        <v>0.42851270554748871</v>
      </c>
      <c r="ER236" s="4">
        <f t="shared" si="559"/>
        <v>4.0063696592484384</v>
      </c>
      <c r="ES236" s="4">
        <f t="shared" si="582"/>
        <v>4.8822316829137922</v>
      </c>
      <c r="ET236" s="4">
        <f t="shared" si="560"/>
        <v>147.9391458097468</v>
      </c>
      <c r="EU236" s="4">
        <f t="shared" si="561"/>
        <v>70</v>
      </c>
      <c r="EV236" s="4">
        <f t="shared" si="612"/>
        <v>1.4195384022195234E-5</v>
      </c>
      <c r="EW236" s="4">
        <f t="shared" si="583"/>
        <v>5.437588260507729</v>
      </c>
      <c r="EX236" s="4">
        <f t="shared" si="636"/>
        <v>266.13251563952434</v>
      </c>
      <c r="FG236" s="23">
        <f t="shared" si="698"/>
        <v>2</v>
      </c>
      <c r="FH236" s="23">
        <f t="shared" si="698"/>
        <v>1.6</v>
      </c>
      <c r="FI236" s="23">
        <f t="shared" si="699"/>
        <v>1.6</v>
      </c>
      <c r="FJ236" s="23">
        <f t="shared" si="700"/>
        <v>1.8</v>
      </c>
      <c r="FK236" s="23">
        <f t="shared" si="700"/>
        <v>1.6</v>
      </c>
      <c r="FL236" s="23">
        <f t="shared" si="700"/>
        <v>1.8</v>
      </c>
      <c r="FM236" s="23">
        <f t="shared" si="701"/>
        <v>0</v>
      </c>
      <c r="FN236" s="23"/>
      <c r="FX236" s="4">
        <f t="shared" si="613"/>
        <v>1</v>
      </c>
      <c r="FY236" s="4">
        <f t="shared" si="652"/>
        <v>0.57658194354098002</v>
      </c>
      <c r="FZ236" s="4">
        <f t="shared" si="614"/>
        <v>0.28167035985144034</v>
      </c>
      <c r="GA236" s="4">
        <f t="shared" si="615"/>
        <v>271.61434260345362</v>
      </c>
    </row>
    <row r="237" spans="1:183" ht="12" hidden="1" customHeight="1" x14ac:dyDescent="0.3">
      <c r="A237" s="25">
        <v>219</v>
      </c>
      <c r="B237" s="24" t="s">
        <v>182</v>
      </c>
      <c r="C237" s="4">
        <v>1996</v>
      </c>
      <c r="D237" s="24" t="s">
        <v>309</v>
      </c>
      <c r="E237" s="24"/>
      <c r="F237" s="4" t="s">
        <v>353</v>
      </c>
      <c r="G237" s="7">
        <v>556</v>
      </c>
      <c r="H237" s="7">
        <f>533-P237-25</f>
        <v>432</v>
      </c>
      <c r="I237" s="7">
        <f t="shared" si="630"/>
        <v>432</v>
      </c>
      <c r="J237" s="7">
        <v>31.4</v>
      </c>
      <c r="K237" s="7">
        <v>35.799999999999997</v>
      </c>
      <c r="L237" s="7">
        <f t="shared" si="676"/>
        <v>12.067039106145252</v>
      </c>
      <c r="M237" s="7">
        <f t="shared" si="677"/>
        <v>12.067039106145252</v>
      </c>
      <c r="N237" s="7">
        <v>305</v>
      </c>
      <c r="O237" s="7">
        <v>76</v>
      </c>
      <c r="P237" s="7">
        <v>76</v>
      </c>
      <c r="Q237" s="7">
        <f t="shared" si="623"/>
        <v>81.400000000000006</v>
      </c>
      <c r="R237" s="7">
        <v>2</v>
      </c>
      <c r="S237" s="7">
        <f t="shared" si="620"/>
        <v>280</v>
      </c>
      <c r="T237" s="7">
        <f t="shared" si="621"/>
        <v>1.6368715083798884</v>
      </c>
      <c r="U237" s="7">
        <f t="shared" si="631"/>
        <v>2.6229050279329611</v>
      </c>
      <c r="V237" s="7">
        <f>2970/(K237^2*PI()/4)-1</f>
        <v>1.9505332604034158</v>
      </c>
      <c r="W237" s="7">
        <f>2970/(K237^2*PI()/4)-1</f>
        <v>1.9505332604034158</v>
      </c>
      <c r="X237" s="7">
        <f t="shared" si="616"/>
        <v>2.9505332604034158</v>
      </c>
      <c r="Y237" s="7">
        <f t="shared" si="552"/>
        <v>61.494076526633307</v>
      </c>
      <c r="Z237" s="7">
        <f t="shared" si="632"/>
        <v>556</v>
      </c>
      <c r="AA237" s="7">
        <v>25</v>
      </c>
      <c r="AB237" s="7">
        <f>495*1000/(K237^2*PI()/4)</f>
        <v>491.75554340056931</v>
      </c>
      <c r="AC237" s="7"/>
      <c r="AD237" s="4">
        <f t="shared" si="666"/>
        <v>1.3244193650535829</v>
      </c>
      <c r="AE237" s="7"/>
      <c r="AF237" s="7"/>
      <c r="AG237" s="7">
        <v>1</v>
      </c>
      <c r="AH237" s="7"/>
      <c r="AI237" s="7"/>
      <c r="AJ237" s="7">
        <f t="shared" si="655"/>
        <v>11.058020477815699</v>
      </c>
      <c r="AK237" s="4">
        <f t="shared" si="569"/>
        <v>432</v>
      </c>
      <c r="AL237" s="4">
        <f t="shared" si="678"/>
        <v>0.2353395061728395</v>
      </c>
      <c r="AM237" s="4">
        <f t="shared" si="679"/>
        <v>249.92201512888658</v>
      </c>
      <c r="AN237" s="4">
        <f t="shared" si="680"/>
        <v>0.7434722222222222</v>
      </c>
      <c r="AO237" s="4">
        <v>1.25</v>
      </c>
      <c r="AP237" s="4">
        <f t="shared" si="624"/>
        <v>2.5</v>
      </c>
      <c r="AQ237" s="38">
        <f t="shared" si="681"/>
        <v>136.65141100233745</v>
      </c>
      <c r="AR237" s="38">
        <f t="shared" si="682"/>
        <v>136.65141100233745</v>
      </c>
      <c r="AS237" s="38">
        <f t="shared" si="683"/>
        <v>2.9858937754367516</v>
      </c>
      <c r="AT237" s="38">
        <f t="shared" si="626"/>
        <v>136.65141100233737</v>
      </c>
      <c r="AU237" s="38">
        <f t="shared" si="601"/>
        <v>1.0000000000000007</v>
      </c>
      <c r="AV237" s="38">
        <f t="shared" si="537"/>
        <v>1.3037461743448588</v>
      </c>
      <c r="AW237" s="4">
        <f t="shared" si="529"/>
        <v>0</v>
      </c>
      <c r="AX237" s="4">
        <f t="shared" si="570"/>
        <v>355.88685173094154</v>
      </c>
      <c r="AY237" s="4">
        <f t="shared" si="571"/>
        <v>1.2409556313993173</v>
      </c>
      <c r="AZ237" s="38">
        <f t="shared" si="617"/>
        <v>178.15875431312429</v>
      </c>
      <c r="BA237" s="4">
        <f t="shared" si="572"/>
        <v>0.72692534354352178</v>
      </c>
      <c r="BB237" s="4">
        <f t="shared" si="602"/>
        <v>135.17240734760412</v>
      </c>
      <c r="BC237" s="4">
        <f t="shared" si="603"/>
        <v>313.33116166072841</v>
      </c>
      <c r="BE237" s="4">
        <f t="shared" si="627"/>
        <v>1.2807262569832403</v>
      </c>
      <c r="BF237" s="4">
        <f t="shared" si="628"/>
        <v>475.10156036521124</v>
      </c>
      <c r="BH237" s="4">
        <f t="shared" si="633"/>
        <v>170.87603278222466</v>
      </c>
      <c r="BI237" s="4">
        <f t="shared" si="634"/>
        <v>39749.280546165857</v>
      </c>
      <c r="BJ237" s="4">
        <f t="shared" si="635"/>
        <v>232.62057234688308</v>
      </c>
      <c r="BR237" s="4">
        <f t="shared" si="539"/>
        <v>40.700000000000003</v>
      </c>
      <c r="BV237" s="9"/>
      <c r="BX237" s="9"/>
      <c r="BY237" s="9"/>
      <c r="BZ237" s="9">
        <f t="shared" si="577"/>
        <v>40.700000000000003</v>
      </c>
      <c r="CA237" s="9">
        <f t="shared" si="578"/>
        <v>76</v>
      </c>
      <c r="CB237" s="9">
        <f t="shared" si="604"/>
        <v>1.1709505872794554</v>
      </c>
      <c r="CC237" s="9">
        <v>0</v>
      </c>
      <c r="CD237" s="9">
        <f t="shared" si="689"/>
        <v>0</v>
      </c>
      <c r="CE237" s="9">
        <f t="shared" si="605"/>
        <v>0</v>
      </c>
      <c r="CF237" s="9">
        <f t="shared" si="579"/>
        <v>0.89787751228078194</v>
      </c>
      <c r="CG237" s="9">
        <f t="shared" si="580"/>
        <v>0.91600000000000004</v>
      </c>
      <c r="CH237" s="9">
        <f t="shared" si="606"/>
        <v>1.6130411125805293</v>
      </c>
      <c r="CI237" s="9">
        <f t="shared" si="607"/>
        <v>1.8887914380820769</v>
      </c>
      <c r="CJ237" s="9">
        <v>1</v>
      </c>
      <c r="CK237" s="9">
        <f t="shared" si="608"/>
        <v>204.49596687167963</v>
      </c>
      <c r="CM237" s="4">
        <f t="shared" si="690"/>
        <v>1.3817749686699512</v>
      </c>
      <c r="CN237" s="4">
        <f t="shared" si="691"/>
        <v>1.5694434629296043</v>
      </c>
      <c r="CO237" s="4">
        <f t="shared" si="692"/>
        <v>1.0350535220775872</v>
      </c>
      <c r="CP237" s="4">
        <f t="shared" si="693"/>
        <v>2.40472000951072</v>
      </c>
      <c r="CQ237" s="4">
        <f t="shared" si="694"/>
        <v>1.3244193650535829</v>
      </c>
      <c r="CR237" s="4">
        <f t="shared" si="695"/>
        <v>1.4709966291791812</v>
      </c>
      <c r="CS237" s="4">
        <f t="shared" si="696"/>
        <v>1.832082313538461</v>
      </c>
      <c r="CU237" s="4">
        <f t="shared" si="658"/>
        <v>1.3817749686699512</v>
      </c>
      <c r="CV237" s="4">
        <f t="shared" si="658"/>
        <v>1.5694434629296043</v>
      </c>
      <c r="CW237" s="4">
        <f t="shared" si="659"/>
        <v>2.40472000951072</v>
      </c>
      <c r="CX237" s="4">
        <f t="shared" ref="CX237:CX241" si="706">CS237</f>
        <v>1.832082313538461</v>
      </c>
      <c r="CY237" s="4">
        <f t="shared" si="661"/>
        <v>1.3244193650535829</v>
      </c>
      <c r="CZ237" s="4">
        <f t="shared" si="661"/>
        <v>1.4709966291791812</v>
      </c>
      <c r="DH237" s="4">
        <f t="shared" si="557"/>
        <v>0</v>
      </c>
      <c r="DI237" s="4">
        <f t="shared" si="629"/>
        <v>432</v>
      </c>
      <c r="DL237" s="4">
        <f t="shared" si="667"/>
        <v>2.176343699186269E-5</v>
      </c>
      <c r="DM237" s="4">
        <f t="shared" si="558"/>
        <v>5.4914001825716072</v>
      </c>
      <c r="DN237" s="4">
        <f t="shared" si="668"/>
        <v>0.53386478251404901</v>
      </c>
      <c r="DO237" s="4">
        <f t="shared" si="669"/>
        <v>4.2722396162260505</v>
      </c>
      <c r="DP237" s="4">
        <f t="shared" si="670"/>
        <v>4.9197893483158488</v>
      </c>
      <c r="DQ237" s="4">
        <f t="shared" si="671"/>
        <v>5.0546699885538677</v>
      </c>
      <c r="DR237" s="38">
        <f t="shared" si="684"/>
        <v>371.29896796750177</v>
      </c>
      <c r="DS237" s="4">
        <f t="shared" si="609"/>
        <v>1.0001467782873257</v>
      </c>
      <c r="DT237" s="4">
        <f t="shared" si="672"/>
        <v>1.7177116348221595</v>
      </c>
      <c r="DU237" s="4">
        <f t="shared" si="618"/>
        <v>136.65141100233737</v>
      </c>
      <c r="DY237" s="4">
        <f t="shared" si="581"/>
        <v>0.85</v>
      </c>
      <c r="DZ237" s="4">
        <f t="shared" si="610"/>
        <v>0.98631284916201112</v>
      </c>
      <c r="EA237" s="4">
        <f t="shared" si="685"/>
        <v>1</v>
      </c>
      <c r="EB237" s="4">
        <f t="shared" si="611"/>
        <v>0.98631284916201112</v>
      </c>
      <c r="ED237" s="4">
        <f t="shared" si="686"/>
        <v>334.30093152216796</v>
      </c>
      <c r="EE237" s="25">
        <f t="shared" si="687"/>
        <v>135.50610927041362</v>
      </c>
      <c r="EG237" s="4">
        <f t="shared" si="619"/>
        <v>0.83836592178770941</v>
      </c>
      <c r="EH237" s="4">
        <f t="shared" si="688"/>
        <v>5.4914001825716072</v>
      </c>
      <c r="EK237" s="4">
        <f t="shared" si="673"/>
        <v>61.494076526633307</v>
      </c>
      <c r="EL237" s="4">
        <f t="shared" si="674"/>
        <v>1.7177116348221595</v>
      </c>
      <c r="EM237" s="4">
        <f t="shared" si="675"/>
        <v>0.16358043626468974</v>
      </c>
      <c r="EP237" s="4">
        <f t="shared" si="541"/>
        <v>0.16358043626468974</v>
      </c>
      <c r="EQ237" s="4">
        <f t="shared" si="542"/>
        <v>0.53297386169090288</v>
      </c>
      <c r="ER237" s="4">
        <f t="shared" si="559"/>
        <v>4.2693863585298581</v>
      </c>
      <c r="ES237" s="4">
        <f t="shared" si="582"/>
        <v>4.9185513312243492</v>
      </c>
      <c r="ET237" s="4">
        <f t="shared" si="560"/>
        <v>262.50592347336669</v>
      </c>
      <c r="EU237" s="4">
        <f t="shared" si="561"/>
        <v>108</v>
      </c>
      <c r="EV237" s="4">
        <f t="shared" si="612"/>
        <v>2.176343699186269E-5</v>
      </c>
      <c r="EW237" s="4">
        <f t="shared" si="583"/>
        <v>5.0547880824553584</v>
      </c>
      <c r="EX237" s="4">
        <f t="shared" si="636"/>
        <v>371.24447733893885</v>
      </c>
      <c r="FG237" s="23">
        <f t="shared" si="698"/>
        <v>1.4</v>
      </c>
      <c r="FH237" s="23">
        <f t="shared" si="698"/>
        <v>1.6</v>
      </c>
      <c r="FI237" s="23">
        <f t="shared" si="699"/>
        <v>2</v>
      </c>
      <c r="FJ237" s="23">
        <f t="shared" si="700"/>
        <v>2.2000000000000002</v>
      </c>
      <c r="FK237" s="23">
        <f t="shared" si="700"/>
        <v>1.4</v>
      </c>
      <c r="FL237" s="23">
        <f t="shared" si="700"/>
        <v>1.6</v>
      </c>
      <c r="FM237" s="23">
        <f t="shared" si="701"/>
        <v>0</v>
      </c>
      <c r="FN237" s="23"/>
      <c r="FX237" s="4">
        <f t="shared" si="613"/>
        <v>1</v>
      </c>
      <c r="FY237" s="4">
        <f t="shared" si="652"/>
        <v>0.8938547486033519</v>
      </c>
      <c r="FZ237" s="4">
        <f t="shared" si="614"/>
        <v>0</v>
      </c>
      <c r="GA237" s="4">
        <f t="shared" si="615"/>
        <v>268.41345487954567</v>
      </c>
    </row>
    <row r="238" spans="1:183" ht="12" hidden="1" customHeight="1" x14ac:dyDescent="0.3">
      <c r="A238" s="25">
        <v>220</v>
      </c>
      <c r="B238" s="24" t="s">
        <v>182</v>
      </c>
      <c r="C238" s="4">
        <v>1996</v>
      </c>
      <c r="D238" s="24" t="s">
        <v>309</v>
      </c>
      <c r="E238" s="24"/>
      <c r="F238" s="4" t="s">
        <v>354</v>
      </c>
      <c r="G238" s="7">
        <v>556</v>
      </c>
      <c r="H238" s="7">
        <f>305-P238-25</f>
        <v>204</v>
      </c>
      <c r="I238" s="7">
        <f t="shared" si="630"/>
        <v>204</v>
      </c>
      <c r="J238" s="7">
        <v>31.4</v>
      </c>
      <c r="K238" s="7">
        <v>35.799999999999997</v>
      </c>
      <c r="L238" s="7">
        <f t="shared" si="676"/>
        <v>5.6983240223463696</v>
      </c>
      <c r="M238" s="7">
        <f t="shared" si="677"/>
        <v>5.6983240223463696</v>
      </c>
      <c r="N238" s="7">
        <v>305</v>
      </c>
      <c r="O238" s="7">
        <v>76</v>
      </c>
      <c r="P238" s="7">
        <v>76</v>
      </c>
      <c r="Q238" s="7">
        <f t="shared" si="623"/>
        <v>81.400000000000006</v>
      </c>
      <c r="R238" s="7">
        <v>2</v>
      </c>
      <c r="S238" s="7">
        <f t="shared" si="620"/>
        <v>280</v>
      </c>
      <c r="T238" s="7">
        <f t="shared" si="621"/>
        <v>1.6368715083798884</v>
      </c>
      <c r="U238" s="7">
        <f t="shared" si="631"/>
        <v>2.6229050279329611</v>
      </c>
      <c r="V238" s="7">
        <f>3025/(K238^2*PI()/4)-1</f>
        <v>2.0051727652257014</v>
      </c>
      <c r="W238" s="7">
        <f>3025/(K238^2*PI()/4)-1</f>
        <v>2.0051727652257014</v>
      </c>
      <c r="X238" s="7">
        <f t="shared" si="616"/>
        <v>3.0051727652257014</v>
      </c>
      <c r="Y238" s="7">
        <f t="shared" si="552"/>
        <v>62.060854190253195</v>
      </c>
      <c r="Z238" s="7">
        <f t="shared" si="632"/>
        <v>556</v>
      </c>
      <c r="AA238" s="7">
        <v>25</v>
      </c>
      <c r="AB238" s="7">
        <f>198*1000/(K238^2*PI()/4)</f>
        <v>196.70221736022771</v>
      </c>
      <c r="AC238" s="7"/>
      <c r="AD238" s="4">
        <f t="shared" si="666"/>
        <v>0.96172270015417394</v>
      </c>
      <c r="AE238" s="7"/>
      <c r="AF238" s="7"/>
      <c r="AG238" s="7">
        <v>1</v>
      </c>
      <c r="AH238" s="7"/>
      <c r="AI238" s="7"/>
      <c r="AJ238" s="7">
        <f t="shared" si="655"/>
        <v>5.2218430034129693</v>
      </c>
      <c r="AK238" s="4">
        <f t="shared" si="569"/>
        <v>204</v>
      </c>
      <c r="AL238" s="4">
        <f t="shared" si="678"/>
        <v>0.49836601307189543</v>
      </c>
      <c r="AM238" s="4">
        <f t="shared" si="679"/>
        <v>81.100614496488049</v>
      </c>
      <c r="AN238" s="4">
        <f t="shared" si="680"/>
        <v>0.7920588235294117</v>
      </c>
      <c r="AO238" s="4">
        <v>1.25</v>
      </c>
      <c r="AP238" s="4">
        <f t="shared" si="624"/>
        <v>2.5</v>
      </c>
      <c r="AQ238" s="38">
        <f t="shared" si="681"/>
        <v>100.04145975392262</v>
      </c>
      <c r="AR238" s="38">
        <f t="shared" si="682"/>
        <v>100.04145975392262</v>
      </c>
      <c r="AS238" s="38">
        <f t="shared" si="683"/>
        <v>2.9858937754367516</v>
      </c>
      <c r="AT238" s="38">
        <f t="shared" si="626"/>
        <v>100.04145975392271</v>
      </c>
      <c r="AU238" s="38">
        <f t="shared" si="601"/>
        <v>0.99999999999999911</v>
      </c>
      <c r="AV238" s="38">
        <f t="shared" si="537"/>
        <v>1.8056200385347467</v>
      </c>
      <c r="AW238" s="4">
        <f t="shared" si="529"/>
        <v>0</v>
      </c>
      <c r="AX238" s="4">
        <f t="shared" si="570"/>
        <v>168.05767998405574</v>
      </c>
      <c r="AY238" s="4">
        <f t="shared" si="571"/>
        <v>1.2409556313993173</v>
      </c>
      <c r="AZ238" s="38">
        <f t="shared" si="617"/>
        <v>180.63686441595024</v>
      </c>
      <c r="BA238" s="4">
        <f t="shared" si="572"/>
        <v>0.71927581286840181</v>
      </c>
      <c r="BB238" s="4">
        <f t="shared" si="602"/>
        <v>63.159708238189161</v>
      </c>
      <c r="BC238" s="4">
        <f t="shared" si="603"/>
        <v>243.7965726541394</v>
      </c>
      <c r="BE238" s="4">
        <f t="shared" si="627"/>
        <v>1.2807262569832403</v>
      </c>
      <c r="BF238" s="4">
        <f t="shared" si="628"/>
        <v>337.98364167752999</v>
      </c>
      <c r="BH238" s="4">
        <f t="shared" si="633"/>
        <v>173.2528434239527</v>
      </c>
      <c r="BI238" s="4">
        <f t="shared" si="634"/>
        <v>30569.451870773988</v>
      </c>
      <c r="BJ238" s="4">
        <f t="shared" si="635"/>
        <v>176.44415679787727</v>
      </c>
      <c r="BR238" s="4">
        <f t="shared" si="539"/>
        <v>40.700000000000003</v>
      </c>
      <c r="BV238" s="9"/>
      <c r="BX238" s="9"/>
      <c r="BY238" s="9"/>
      <c r="BZ238" s="9">
        <f t="shared" si="577"/>
        <v>40.700000000000003</v>
      </c>
      <c r="CA238" s="9">
        <f t="shared" si="578"/>
        <v>76</v>
      </c>
      <c r="CB238" s="9">
        <f t="shared" si="604"/>
        <v>1.1709505872794554</v>
      </c>
      <c r="CC238" s="9">
        <v>0</v>
      </c>
      <c r="CD238" s="9">
        <f t="shared" si="689"/>
        <v>0</v>
      </c>
      <c r="CE238" s="9">
        <f t="shared" si="605"/>
        <v>0</v>
      </c>
      <c r="CF238" s="9">
        <f t="shared" si="579"/>
        <v>0.89787751228078194</v>
      </c>
      <c r="CG238" s="9">
        <f t="shared" si="580"/>
        <v>0.91600000000000004</v>
      </c>
      <c r="CH238" s="9">
        <f t="shared" si="606"/>
        <v>1.6130411125805293</v>
      </c>
      <c r="CI238" s="9">
        <f t="shared" si="607"/>
        <v>1.8887914380820769</v>
      </c>
      <c r="CJ238" s="9">
        <v>1</v>
      </c>
      <c r="CK238" s="9">
        <f t="shared" si="608"/>
        <v>156.37926878422559</v>
      </c>
      <c r="CM238" s="4">
        <f t="shared" si="690"/>
        <v>1.1704446793439585</v>
      </c>
      <c r="CN238" s="4">
        <f t="shared" si="691"/>
        <v>0.80682929714224561</v>
      </c>
      <c r="CO238" s="4">
        <f t="shared" si="692"/>
        <v>0.58198738963793162</v>
      </c>
      <c r="CP238" s="4">
        <f t="shared" si="693"/>
        <v>1.2578535434363767</v>
      </c>
      <c r="CQ238" s="4">
        <f t="shared" si="694"/>
        <v>0.96172270015417394</v>
      </c>
      <c r="CR238" s="4">
        <f t="shared" si="695"/>
        <v>1.024630490427666</v>
      </c>
      <c r="CS238" s="4">
        <f t="shared" si="696"/>
        <v>1.5518814891149317</v>
      </c>
      <c r="CU238" s="4">
        <f t="shared" si="658"/>
        <v>1.1704446793439585</v>
      </c>
      <c r="CV238" s="4">
        <f t="shared" si="658"/>
        <v>0.80682929714224561</v>
      </c>
      <c r="CW238" s="4">
        <f t="shared" si="659"/>
        <v>1.2578535434363767</v>
      </c>
      <c r="CX238" s="4">
        <f t="shared" si="706"/>
        <v>1.5518814891149317</v>
      </c>
      <c r="CY238" s="4">
        <f t="shared" si="661"/>
        <v>0.96172270015417394</v>
      </c>
      <c r="CZ238" s="4">
        <f t="shared" si="661"/>
        <v>1.024630490427666</v>
      </c>
      <c r="DH238" s="4">
        <f t="shared" si="557"/>
        <v>0</v>
      </c>
      <c r="DI238" s="4">
        <f t="shared" si="629"/>
        <v>204</v>
      </c>
      <c r="DL238" s="4">
        <f t="shared" si="667"/>
        <v>1.0277178579490715E-5</v>
      </c>
      <c r="DM238" s="4">
        <f t="shared" si="558"/>
        <v>5.4914001825716072</v>
      </c>
      <c r="DN238" s="4">
        <f t="shared" si="668"/>
        <v>0.38369240287346035</v>
      </c>
      <c r="DO238" s="4">
        <f t="shared" si="669"/>
        <v>3.7434873846016892</v>
      </c>
      <c r="DP238" s="4">
        <f t="shared" si="670"/>
        <v>4.6997085450668452</v>
      </c>
      <c r="DQ238" s="4">
        <f t="shared" si="671"/>
        <v>5.4013905886816325</v>
      </c>
      <c r="DR238" s="38">
        <f t="shared" si="684"/>
        <v>204.53111622372472</v>
      </c>
      <c r="DS238" s="4">
        <f t="shared" si="609"/>
        <v>1.0001333760827469</v>
      </c>
      <c r="DT238" s="4">
        <f t="shared" si="672"/>
        <v>1.7335434131355643</v>
      </c>
      <c r="DU238" s="4">
        <f t="shared" si="618"/>
        <v>100.04145975392271</v>
      </c>
      <c r="DY238" s="4">
        <f t="shared" si="581"/>
        <v>0.85</v>
      </c>
      <c r="DZ238" s="4">
        <f t="shared" si="610"/>
        <v>0.98631284916201112</v>
      </c>
      <c r="EA238" s="4">
        <f t="shared" si="685"/>
        <v>1</v>
      </c>
      <c r="EB238" s="4">
        <f t="shared" si="611"/>
        <v>0.98631284916201112</v>
      </c>
      <c r="ED238" s="4">
        <f t="shared" si="686"/>
        <v>191.97380831223074</v>
      </c>
      <c r="EE238" s="25">
        <f t="shared" si="687"/>
        <v>98.098475582235665</v>
      </c>
      <c r="EG238" s="4">
        <f t="shared" si="619"/>
        <v>0.83836592178770941</v>
      </c>
      <c r="EH238" s="4">
        <f t="shared" si="688"/>
        <v>5.4914001825716072</v>
      </c>
      <c r="EK238" s="4">
        <f t="shared" si="673"/>
        <v>62.060854190253195</v>
      </c>
      <c r="EL238" s="4">
        <f t="shared" si="674"/>
        <v>1.7335434131355643</v>
      </c>
      <c r="EM238" s="4">
        <f t="shared" si="675"/>
        <v>0.11756641889341342</v>
      </c>
      <c r="EP238" s="4">
        <f t="shared" si="541"/>
        <v>0.11756641889341342</v>
      </c>
      <c r="EQ238" s="4">
        <f t="shared" si="542"/>
        <v>0.38305209176360744</v>
      </c>
      <c r="ER238" s="4">
        <f t="shared" si="559"/>
        <v>3.7409872593394851</v>
      </c>
      <c r="ES238" s="4">
        <f t="shared" si="582"/>
        <v>4.6987148155807104</v>
      </c>
      <c r="ET238" s="4">
        <f t="shared" si="560"/>
        <v>90.939145809746805</v>
      </c>
      <c r="EU238" s="4">
        <f t="shared" si="561"/>
        <v>51</v>
      </c>
      <c r="EV238" s="4">
        <f t="shared" si="612"/>
        <v>1.0277178579490715E-5</v>
      </c>
      <c r="EW238" s="4">
        <f t="shared" si="583"/>
        <v>5.4014182225230103</v>
      </c>
      <c r="EX238" s="4">
        <f t="shared" si="636"/>
        <v>204.50384030259846</v>
      </c>
      <c r="FG238" s="23">
        <f t="shared" si="698"/>
        <v>1.2</v>
      </c>
      <c r="FH238" s="23">
        <f t="shared" si="698"/>
        <v>1</v>
      </c>
      <c r="FI238" s="23">
        <f t="shared" si="699"/>
        <v>1.6</v>
      </c>
      <c r="FJ238" s="23">
        <f t="shared" si="700"/>
        <v>1.4</v>
      </c>
      <c r="FK238" s="23">
        <f t="shared" si="700"/>
        <v>1</v>
      </c>
      <c r="FL238" s="23">
        <f t="shared" si="700"/>
        <v>1.2</v>
      </c>
      <c r="FM238" s="23">
        <f t="shared" si="701"/>
        <v>0</v>
      </c>
      <c r="FN238" s="23"/>
      <c r="FX238" s="4">
        <f t="shared" si="613"/>
        <v>1</v>
      </c>
      <c r="FY238" s="4">
        <f t="shared" si="652"/>
        <v>0.8938547486033519</v>
      </c>
      <c r="FZ238" s="4">
        <f t="shared" si="614"/>
        <v>0</v>
      </c>
      <c r="GA238" s="4">
        <f t="shared" si="615"/>
        <v>126.75079813756321</v>
      </c>
    </row>
    <row r="239" spans="1:183" ht="12" hidden="1" customHeight="1" x14ac:dyDescent="0.3">
      <c r="A239" s="25">
        <v>221</v>
      </c>
      <c r="B239" s="24" t="s">
        <v>182</v>
      </c>
      <c r="C239" s="4">
        <v>1996</v>
      </c>
      <c r="D239" s="24" t="s">
        <v>309</v>
      </c>
      <c r="E239" s="24"/>
      <c r="F239" s="4" t="s">
        <v>355</v>
      </c>
      <c r="G239" s="7">
        <v>556</v>
      </c>
      <c r="H239" s="7">
        <f>381-P239-20</f>
        <v>285</v>
      </c>
      <c r="I239" s="7">
        <f t="shared" si="630"/>
        <v>285</v>
      </c>
      <c r="J239" s="7">
        <v>33.299999999999997</v>
      </c>
      <c r="K239" s="7">
        <v>35.799999999999997</v>
      </c>
      <c r="L239" s="7">
        <f t="shared" si="676"/>
        <v>7.9608938547486039</v>
      </c>
      <c r="M239" s="7">
        <f t="shared" si="677"/>
        <v>7.9608938547486039</v>
      </c>
      <c r="N239" s="7">
        <v>305</v>
      </c>
      <c r="O239" s="7">
        <v>76</v>
      </c>
      <c r="P239" s="7">
        <v>76</v>
      </c>
      <c r="Q239" s="7">
        <f t="shared" si="623"/>
        <v>81.400000000000006</v>
      </c>
      <c r="R239" s="7">
        <v>2</v>
      </c>
      <c r="S239" s="7">
        <f t="shared" si="620"/>
        <v>280</v>
      </c>
      <c r="T239" s="7">
        <f t="shared" si="621"/>
        <v>1.6368715083798884</v>
      </c>
      <c r="U239" s="7">
        <f t="shared" si="631"/>
        <v>2.6229050279329611</v>
      </c>
      <c r="V239" s="7">
        <f>8100/(K239^2*PI()/4)-1</f>
        <v>7.0469088920093164</v>
      </c>
      <c r="W239" s="7">
        <f>8100/(K239^2*PI()/4)-1</f>
        <v>7.0469088920093164</v>
      </c>
      <c r="X239" s="7">
        <f t="shared" si="616"/>
        <v>8.0469088920093164</v>
      </c>
      <c r="Y239" s="7">
        <f t="shared" si="552"/>
        <v>101.55412503859614</v>
      </c>
      <c r="Z239" s="7">
        <f t="shared" si="632"/>
        <v>556</v>
      </c>
      <c r="AA239" s="7">
        <v>20</v>
      </c>
      <c r="AB239" s="7">
        <f>432*1000/(K239^2*PI()/4)</f>
        <v>429.16847424049683</v>
      </c>
      <c r="AC239" s="7"/>
      <c r="AD239" s="4">
        <f t="shared" si="666"/>
        <v>1.7054171816068107</v>
      </c>
      <c r="AE239" s="7"/>
      <c r="AF239" s="7"/>
      <c r="AG239" s="7">
        <v>1</v>
      </c>
      <c r="AH239" s="7"/>
      <c r="AI239" s="7"/>
      <c r="AJ239" s="7">
        <f t="shared" si="655"/>
        <v>7.2952218430034126</v>
      </c>
      <c r="AK239" s="4">
        <f t="shared" si="569"/>
        <v>285</v>
      </c>
      <c r="AL239" s="4">
        <f t="shared" si="678"/>
        <v>0.35672514619883039</v>
      </c>
      <c r="AM239" s="4">
        <f t="shared" si="679"/>
        <v>137.91245086192728</v>
      </c>
      <c r="AN239" s="4">
        <f t="shared" si="680"/>
        <v>0.76589473684210518</v>
      </c>
      <c r="AO239" s="4">
        <v>1.25</v>
      </c>
      <c r="AP239" s="4">
        <f t="shared" si="624"/>
        <v>2.5</v>
      </c>
      <c r="AQ239" s="38">
        <f t="shared" si="681"/>
        <v>117.74875065549853</v>
      </c>
      <c r="AR239" s="38">
        <f t="shared" si="682"/>
        <v>117.74875065549853</v>
      </c>
      <c r="AS239" s="38">
        <f t="shared" si="683"/>
        <v>3.1051606722149665</v>
      </c>
      <c r="AT239" s="38">
        <f t="shared" si="626"/>
        <v>117.74875065549857</v>
      </c>
      <c r="AU239" s="38">
        <f t="shared" si="601"/>
        <v>0.99999999999999967</v>
      </c>
      <c r="AV239" s="38">
        <f t="shared" si="537"/>
        <v>3.0499175093332469</v>
      </c>
      <c r="AW239" s="4">
        <f t="shared" si="529"/>
        <v>0</v>
      </c>
      <c r="AX239" s="4">
        <f t="shared" si="570"/>
        <v>241.78555384782416</v>
      </c>
      <c r="AY239" s="4">
        <f t="shared" si="571"/>
        <v>1.2409556313993173</v>
      </c>
      <c r="AZ239" s="38">
        <f t="shared" si="617"/>
        <v>359.12397632631973</v>
      </c>
      <c r="BA239" s="4">
        <f t="shared" si="572"/>
        <v>0.3</v>
      </c>
      <c r="BB239" s="4">
        <f t="shared" si="602"/>
        <v>37.899885565646429</v>
      </c>
      <c r="BC239" s="4">
        <f t="shared" si="603"/>
        <v>397.02386189196613</v>
      </c>
      <c r="BE239" s="4">
        <f t="shared" si="627"/>
        <v>1.2807262569832403</v>
      </c>
      <c r="BF239" s="4">
        <f t="shared" si="628"/>
        <v>398.22418408057655</v>
      </c>
      <c r="BH239" s="4">
        <f t="shared" si="633"/>
        <v>344.44381129745312</v>
      </c>
      <c r="BI239" s="4">
        <f t="shared" si="634"/>
        <v>490.43773856597932</v>
      </c>
      <c r="BJ239" s="4">
        <f t="shared" si="635"/>
        <v>1.4238541163465686</v>
      </c>
      <c r="BR239" s="4">
        <f t="shared" si="539"/>
        <v>40.700000000000003</v>
      </c>
      <c r="BV239" s="9"/>
      <c r="BX239" s="9"/>
      <c r="BY239" s="9"/>
      <c r="BZ239" s="9">
        <f t="shared" si="577"/>
        <v>40.700000000000003</v>
      </c>
      <c r="CA239" s="9">
        <f t="shared" si="578"/>
        <v>76</v>
      </c>
      <c r="CB239" s="9">
        <f t="shared" si="604"/>
        <v>1.1709505872794554</v>
      </c>
      <c r="CC239" s="9">
        <v>0</v>
      </c>
      <c r="CD239" s="9">
        <f t="shared" si="689"/>
        <v>0</v>
      </c>
      <c r="CE239" s="9">
        <f t="shared" si="605"/>
        <v>0</v>
      </c>
      <c r="CF239" s="9">
        <f t="shared" si="579"/>
        <v>0.89787751228078194</v>
      </c>
      <c r="CG239" s="9">
        <f t="shared" si="580"/>
        <v>0.91600000000000004</v>
      </c>
      <c r="CH239" s="9">
        <f t="shared" si="606"/>
        <v>1.661126587131682</v>
      </c>
      <c r="CI239" s="9">
        <f t="shared" si="607"/>
        <v>1.9450971527473606</v>
      </c>
      <c r="CJ239" s="9">
        <v>1</v>
      </c>
      <c r="CK239" s="9">
        <f t="shared" si="608"/>
        <v>178.6446770456235</v>
      </c>
      <c r="CM239" s="4">
        <f t="shared" si="690"/>
        <v>1.7749963445318506</v>
      </c>
      <c r="CN239" s="4">
        <f t="shared" si="691"/>
        <v>1.0809639304684351</v>
      </c>
      <c r="CO239" s="4">
        <f t="shared" si="692"/>
        <v>1.0777057029606696</v>
      </c>
      <c r="CP239" s="4">
        <f t="shared" si="693"/>
        <v>2.4023580290102506</v>
      </c>
      <c r="CQ239" s="4">
        <f t="shared" si="694"/>
        <v>1.7054171816068107</v>
      </c>
      <c r="CR239" s="4">
        <f t="shared" si="695"/>
        <v>1.7084704294313242</v>
      </c>
      <c r="CS239" s="4">
        <f t="shared" si="696"/>
        <v>2.3882719091374538</v>
      </c>
      <c r="CU239" s="4">
        <f t="shared" si="658"/>
        <v>1.7749963445318506</v>
      </c>
      <c r="CV239" s="4">
        <f t="shared" si="658"/>
        <v>1.0809639304684351</v>
      </c>
      <c r="CW239" s="4">
        <f t="shared" si="659"/>
        <v>2.4023580290102506</v>
      </c>
      <c r="CX239" s="4">
        <f t="shared" si="706"/>
        <v>2.3882719091374538</v>
      </c>
      <c r="CY239" s="4">
        <f t="shared" si="661"/>
        <v>1.7054171816068107</v>
      </c>
      <c r="CZ239" s="4">
        <f t="shared" si="661"/>
        <v>1.7084704294313242</v>
      </c>
      <c r="DH239" s="4">
        <f t="shared" si="557"/>
        <v>0</v>
      </c>
      <c r="DI239" s="4">
        <f t="shared" si="629"/>
        <v>285</v>
      </c>
      <c r="DL239" s="4">
        <f t="shared" si="667"/>
        <v>1.4549897915862038E-5</v>
      </c>
      <c r="DM239" s="4">
        <f t="shared" si="558"/>
        <v>5.6551012697105509</v>
      </c>
      <c r="DN239" s="4">
        <f t="shared" si="668"/>
        <v>0.19827952194134693</v>
      </c>
      <c r="DO239" s="4">
        <f t="shared" si="669"/>
        <v>2.960407745355111</v>
      </c>
      <c r="DP239" s="4">
        <f t="shared" si="670"/>
        <v>4.5153901390049072</v>
      </c>
      <c r="DQ239" s="4">
        <f t="shared" si="671"/>
        <v>5.4900726728617038</v>
      </c>
      <c r="DR239" s="38">
        <f t="shared" si="684"/>
        <v>251.65014101484701</v>
      </c>
      <c r="DS239" s="4">
        <f t="shared" si="609"/>
        <v>1.0001197282404417</v>
      </c>
      <c r="DT239" s="4">
        <f t="shared" si="672"/>
        <v>2.8367074033127415</v>
      </c>
      <c r="DU239" s="4">
        <f t="shared" si="618"/>
        <v>117.74875065549857</v>
      </c>
      <c r="DY239" s="4">
        <f t="shared" si="581"/>
        <v>0.85</v>
      </c>
      <c r="DZ239" s="4">
        <f t="shared" si="610"/>
        <v>0.98631284916201112</v>
      </c>
      <c r="EA239" s="4">
        <f t="shared" si="685"/>
        <v>1</v>
      </c>
      <c r="EB239" s="4">
        <f t="shared" si="611"/>
        <v>0.98631284916201112</v>
      </c>
      <c r="ED239" s="4">
        <f t="shared" si="686"/>
        <v>251.2004111088703</v>
      </c>
      <c r="EE239" s="25">
        <f t="shared" si="687"/>
        <v>116.14142827081106</v>
      </c>
      <c r="EG239" s="4">
        <f t="shared" si="619"/>
        <v>0.83836592178770941</v>
      </c>
      <c r="EH239" s="4">
        <f t="shared" si="688"/>
        <v>5.6551012697105509</v>
      </c>
      <c r="EK239" s="4">
        <f t="shared" si="673"/>
        <v>101.55412503859614</v>
      </c>
      <c r="EL239" s="4">
        <f t="shared" si="674"/>
        <v>2.8367074033127415</v>
      </c>
      <c r="EM239" s="4">
        <f t="shared" si="675"/>
        <v>6.2565546914000694E-2</v>
      </c>
      <c r="EP239" s="4">
        <f t="shared" si="541"/>
        <v>6.2565546914000694E-2</v>
      </c>
      <c r="EQ239" s="4">
        <f t="shared" si="542"/>
        <v>0.19794863037350618</v>
      </c>
      <c r="ER239" s="4">
        <f t="shared" si="559"/>
        <v>2.9584306076142348</v>
      </c>
      <c r="ES239" s="4">
        <f t="shared" si="582"/>
        <v>4.51474821301841</v>
      </c>
      <c r="ET239" s="4">
        <f t="shared" si="560"/>
        <v>112.19587496140386</v>
      </c>
      <c r="EU239" s="4">
        <f t="shared" si="561"/>
        <v>71.25</v>
      </c>
      <c r="EV239" s="4">
        <f t="shared" si="612"/>
        <v>1.4549897915862038E-5</v>
      </c>
      <c r="EW239" s="4">
        <f t="shared" si="583"/>
        <v>5.4901173051039267</v>
      </c>
      <c r="EX239" s="4">
        <f t="shared" si="636"/>
        <v>251.62001499319194</v>
      </c>
      <c r="FG239" s="23">
        <f t="shared" si="698"/>
        <v>1.8</v>
      </c>
      <c r="FH239" s="23">
        <f t="shared" si="698"/>
        <v>1.2</v>
      </c>
      <c r="FI239" s="23">
        <f t="shared" si="699"/>
        <v>2.2000000000000002</v>
      </c>
      <c r="FJ239" s="23">
        <f t="shared" si="700"/>
        <v>2.2000000000000002</v>
      </c>
      <c r="FK239" s="23">
        <f t="shared" si="700"/>
        <v>1.8</v>
      </c>
      <c r="FL239" s="23">
        <f t="shared" si="700"/>
        <v>1.8</v>
      </c>
      <c r="FM239" s="23">
        <f t="shared" si="701"/>
        <v>0</v>
      </c>
      <c r="FN239" s="23"/>
      <c r="FX239" s="4">
        <f t="shared" si="613"/>
        <v>1</v>
      </c>
      <c r="FY239" s="4">
        <f t="shared" si="652"/>
        <v>0.8938547486033519</v>
      </c>
      <c r="FZ239" s="4">
        <f t="shared" si="614"/>
        <v>0</v>
      </c>
      <c r="GA239" s="4">
        <f t="shared" si="615"/>
        <v>179.69833024393566</v>
      </c>
    </row>
    <row r="240" spans="1:183" ht="12" hidden="1" customHeight="1" x14ac:dyDescent="0.3">
      <c r="A240" s="25">
        <v>222</v>
      </c>
      <c r="B240" s="24" t="s">
        <v>182</v>
      </c>
      <c r="C240" s="4">
        <v>1996</v>
      </c>
      <c r="D240" s="24" t="s">
        <v>309</v>
      </c>
      <c r="E240" s="24"/>
      <c r="F240" s="4" t="s">
        <v>356</v>
      </c>
      <c r="G240" s="7">
        <v>556</v>
      </c>
      <c r="H240" s="7">
        <f>381-P240-25</f>
        <v>280</v>
      </c>
      <c r="I240" s="7">
        <f t="shared" si="630"/>
        <v>280</v>
      </c>
      <c r="J240" s="7">
        <v>33.299999999999997</v>
      </c>
      <c r="K240" s="7">
        <v>35.799999999999997</v>
      </c>
      <c r="L240" s="7">
        <f t="shared" si="676"/>
        <v>7.8212290502793298</v>
      </c>
      <c r="M240" s="7">
        <f t="shared" si="677"/>
        <v>7.8212290502793298</v>
      </c>
      <c r="N240" s="7">
        <v>305</v>
      </c>
      <c r="O240" s="7">
        <v>76</v>
      </c>
      <c r="P240" s="7">
        <v>76</v>
      </c>
      <c r="Q240" s="7">
        <f t="shared" si="623"/>
        <v>81.400000000000006</v>
      </c>
      <c r="R240" s="7">
        <v>2</v>
      </c>
      <c r="S240" s="7">
        <f t="shared" si="620"/>
        <v>280</v>
      </c>
      <c r="T240" s="7">
        <f t="shared" si="621"/>
        <v>1.6368715083798884</v>
      </c>
      <c r="U240" s="7">
        <f t="shared" si="631"/>
        <v>2.6229050279329611</v>
      </c>
      <c r="V240" s="7">
        <f>5500/(K240^2*PI()/4)-1</f>
        <v>4.4639504822285474</v>
      </c>
      <c r="W240" s="7">
        <f t="shared" si="622"/>
        <v>4.4639504822285474</v>
      </c>
      <c r="X240" s="7">
        <f t="shared" si="616"/>
        <v>5.4639504822285474</v>
      </c>
      <c r="Y240" s="7">
        <f t="shared" si="552"/>
        <v>83.682838718840046</v>
      </c>
      <c r="Z240" s="7">
        <f t="shared" si="632"/>
        <v>556</v>
      </c>
      <c r="AA240" s="7">
        <v>25</v>
      </c>
      <c r="AB240" s="7">
        <f>385*1000/(K240^2*PI()/4)</f>
        <v>382.47653375599833</v>
      </c>
      <c r="AC240" s="7"/>
      <c r="AD240" s="4">
        <f t="shared" si="666"/>
        <v>1.4957640290850434</v>
      </c>
      <c r="AE240" s="7"/>
      <c r="AF240" s="7"/>
      <c r="AG240" s="7">
        <v>1</v>
      </c>
      <c r="AH240" s="7"/>
      <c r="AI240" s="7"/>
      <c r="AJ240" s="7">
        <f t="shared" si="655"/>
        <v>7.1672354948805461</v>
      </c>
      <c r="AK240" s="4">
        <f t="shared" si="569"/>
        <v>280</v>
      </c>
      <c r="AL240" s="4">
        <f t="shared" si="678"/>
        <v>0.36309523809523808</v>
      </c>
      <c r="AM240" s="4">
        <f t="shared" si="679"/>
        <v>134.2991405645605</v>
      </c>
      <c r="AN240" s="4">
        <f t="shared" si="680"/>
        <v>0.76707142857142852</v>
      </c>
      <c r="AO240" s="4">
        <v>1.25</v>
      </c>
      <c r="AP240" s="4">
        <f t="shared" si="624"/>
        <v>2.5</v>
      </c>
      <c r="AQ240" s="38">
        <f t="shared" si="681"/>
        <v>116.8906073313825</v>
      </c>
      <c r="AR240" s="38">
        <f t="shared" si="682"/>
        <v>116.8906073313825</v>
      </c>
      <c r="AS240" s="38">
        <f t="shared" si="683"/>
        <v>3.1051606722149665</v>
      </c>
      <c r="AT240" s="38">
        <f t="shared" si="626"/>
        <v>116.89060733138254</v>
      </c>
      <c r="AU240" s="38">
        <f t="shared" si="601"/>
        <v>0.99999999999999967</v>
      </c>
      <c r="AV240" s="38">
        <f t="shared" si="537"/>
        <v>2.4452605528078042</v>
      </c>
      <c r="AW240" s="4">
        <f t="shared" ref="AW240:AW303" si="707">IF(AV240&lt;1,1,0)</f>
        <v>0</v>
      </c>
      <c r="AX240" s="4">
        <f t="shared" si="570"/>
        <v>237.5437020259325</v>
      </c>
      <c r="AY240" s="4">
        <f t="shared" si="571"/>
        <v>1.2409556313993173</v>
      </c>
      <c r="AZ240" s="38">
        <f t="shared" si="617"/>
        <v>285.82799110117645</v>
      </c>
      <c r="BA240" s="4">
        <f t="shared" si="572"/>
        <v>0.37504693248800336</v>
      </c>
      <c r="BB240" s="4">
        <f t="shared" si="602"/>
        <v>46.549544215810222</v>
      </c>
      <c r="BC240" s="4">
        <f t="shared" si="603"/>
        <v>332.37753531698667</v>
      </c>
      <c r="BE240" s="4">
        <f t="shared" si="627"/>
        <v>1.2807262569832403</v>
      </c>
      <c r="BF240" s="4">
        <f t="shared" si="628"/>
        <v>395.12757300685513</v>
      </c>
      <c r="BH240" s="4">
        <f t="shared" si="633"/>
        <v>274.14399795162973</v>
      </c>
      <c r="BI240" s="4">
        <f>8/3*Z240*AA240^2/(Y240-K240-22)/K240*(Y240^2-K240^2)/(Y240^2-(K240+22)^2)</f>
        <v>1562.4220485187734</v>
      </c>
      <c r="BJ240" s="4">
        <f t="shared" si="635"/>
        <v>5.6992750532311449</v>
      </c>
      <c r="BR240" s="4">
        <f t="shared" si="539"/>
        <v>40.700000000000003</v>
      </c>
      <c r="BV240" s="9"/>
      <c r="BX240" s="9"/>
      <c r="BY240" s="9"/>
      <c r="BZ240" s="9">
        <f t="shared" si="577"/>
        <v>40.700000000000003</v>
      </c>
      <c r="CA240" s="9">
        <f t="shared" si="578"/>
        <v>76</v>
      </c>
      <c r="CB240" s="9">
        <f t="shared" si="604"/>
        <v>1.1709505872794554</v>
      </c>
      <c r="CC240" s="9">
        <v>0</v>
      </c>
      <c r="CD240" s="9">
        <f t="shared" si="689"/>
        <v>0</v>
      </c>
      <c r="CE240" s="9">
        <f t="shared" si="605"/>
        <v>0</v>
      </c>
      <c r="CF240" s="9">
        <f t="shared" si="579"/>
        <v>0.89787751228078194</v>
      </c>
      <c r="CG240" s="9">
        <f t="shared" si="580"/>
        <v>0.91600000000000004</v>
      </c>
      <c r="CH240" s="9">
        <f t="shared" si="606"/>
        <v>1.661126587131682</v>
      </c>
      <c r="CI240" s="9">
        <f t="shared" si="607"/>
        <v>1.9450971527473606</v>
      </c>
      <c r="CJ240" s="9">
        <v>1</v>
      </c>
      <c r="CK240" s="9">
        <f t="shared" si="608"/>
        <v>177.55803059157469</v>
      </c>
      <c r="CM240" s="4">
        <f t="shared" si="690"/>
        <v>1.6101312326699513</v>
      </c>
      <c r="CN240" s="4">
        <f t="shared" si="691"/>
        <v>1.150729195314697</v>
      </c>
      <c r="CO240" s="4">
        <f t="shared" si="692"/>
        <v>0.96798239324432744</v>
      </c>
      <c r="CP240" s="4">
        <f t="shared" si="693"/>
        <v>2.1540931293374417</v>
      </c>
      <c r="CQ240" s="4">
        <f t="shared" si="694"/>
        <v>1.4957640290850434</v>
      </c>
      <c r="CR240" s="4">
        <f t="shared" si="695"/>
        <v>1.5425351929470028</v>
      </c>
      <c r="CS240" s="4">
        <f t="shared" si="696"/>
        <v>2.1664445703547215</v>
      </c>
      <c r="CU240" s="4">
        <f t="shared" si="658"/>
        <v>1.6101312326699513</v>
      </c>
      <c r="CV240" s="4">
        <f t="shared" si="658"/>
        <v>1.150729195314697</v>
      </c>
      <c r="CW240" s="4">
        <f t="shared" si="659"/>
        <v>2.1540931293374417</v>
      </c>
      <c r="CX240" s="4">
        <f t="shared" si="706"/>
        <v>2.1664445703547215</v>
      </c>
      <c r="CY240" s="4">
        <f t="shared" si="661"/>
        <v>1.4957640290850434</v>
      </c>
      <c r="CZ240" s="4">
        <f t="shared" si="661"/>
        <v>1.5425351929470028</v>
      </c>
      <c r="DH240" s="4">
        <f t="shared" si="557"/>
        <v>0</v>
      </c>
      <c r="DI240" s="4">
        <f t="shared" si="629"/>
        <v>280</v>
      </c>
      <c r="DL240" s="4">
        <f t="shared" si="667"/>
        <v>1.4294636548917093E-5</v>
      </c>
      <c r="DM240" s="4">
        <f t="shared" si="558"/>
        <v>5.6551012697105509</v>
      </c>
      <c r="DN240" s="4">
        <f t="shared" si="668"/>
        <v>0.25604676546069649</v>
      </c>
      <c r="DO240" s="4">
        <f t="shared" si="669"/>
        <v>3.2792015010621469</v>
      </c>
      <c r="DP240" s="4">
        <f t="shared" si="670"/>
        <v>4.6234399349920459</v>
      </c>
      <c r="DQ240" s="4">
        <f t="shared" si="671"/>
        <v>5.485274803656603</v>
      </c>
      <c r="DR240" s="38">
        <f t="shared" si="684"/>
        <v>255.70646593898817</v>
      </c>
      <c r="DS240" s="4">
        <f t="shared" si="609"/>
        <v>1.0001213385863128</v>
      </c>
      <c r="DT240" s="4">
        <f t="shared" si="672"/>
        <v>2.3375094614201131</v>
      </c>
      <c r="DU240" s="4">
        <f t="shared" si="618"/>
        <v>116.89060733138254</v>
      </c>
      <c r="DY240" s="4">
        <f t="shared" si="581"/>
        <v>0.85</v>
      </c>
      <c r="DZ240" s="4">
        <f t="shared" si="610"/>
        <v>0.98631284916201112</v>
      </c>
      <c r="EA240" s="4">
        <f t="shared" si="685"/>
        <v>1</v>
      </c>
      <c r="EB240" s="4">
        <f t="shared" si="611"/>
        <v>0.98631284916201112</v>
      </c>
      <c r="ED240" s="4">
        <f t="shared" si="686"/>
        <v>247.95319776482995</v>
      </c>
      <c r="EE240" s="25">
        <f t="shared" si="687"/>
        <v>115.26367076603489</v>
      </c>
      <c r="EG240" s="4">
        <f t="shared" si="619"/>
        <v>0.83836592178770941</v>
      </c>
      <c r="EH240" s="4">
        <f t="shared" si="688"/>
        <v>5.6551012697105509</v>
      </c>
      <c r="EK240" s="4">
        <f t="shared" si="673"/>
        <v>83.682838718840046</v>
      </c>
      <c r="EL240" s="4">
        <f t="shared" si="674"/>
        <v>2.3375094614201131</v>
      </c>
      <c r="EM240" s="4">
        <f t="shared" si="675"/>
        <v>8.0793547209318639E-2</v>
      </c>
      <c r="EP240" s="4">
        <f t="shared" si="541"/>
        <v>8.0793547209318639E-2</v>
      </c>
      <c r="EQ240" s="4">
        <f t="shared" si="542"/>
        <v>0.25561947112977262</v>
      </c>
      <c r="ER240" s="4">
        <f t="shared" si="559"/>
        <v>3.2770114537425306</v>
      </c>
      <c r="ES240" s="4">
        <f t="shared" si="582"/>
        <v>4.6226676777134283</v>
      </c>
      <c r="ET240" s="4">
        <f t="shared" si="560"/>
        <v>126.31716128115995</v>
      </c>
      <c r="EU240" s="4">
        <f t="shared" si="561"/>
        <v>69.999999999999986</v>
      </c>
      <c r="EV240" s="4">
        <f t="shared" si="612"/>
        <v>1.4294636548917086E-5</v>
      </c>
      <c r="EW240" s="4">
        <f t="shared" si="583"/>
        <v>5.4853199496251825</v>
      </c>
      <c r="EX240" s="4">
        <f t="shared" si="636"/>
        <v>255.67544264222309</v>
      </c>
      <c r="FG240" s="23">
        <f t="shared" si="698"/>
        <v>1.8</v>
      </c>
      <c r="FH240" s="23">
        <f t="shared" si="698"/>
        <v>1.2</v>
      </c>
      <c r="FI240" s="23">
        <f t="shared" si="699"/>
        <v>2.2000000000000002</v>
      </c>
      <c r="FJ240" s="23">
        <f t="shared" si="700"/>
        <v>2.2000000000000002</v>
      </c>
      <c r="FK240" s="23">
        <f t="shared" si="700"/>
        <v>1.6</v>
      </c>
      <c r="FL240" s="23">
        <f t="shared" si="700"/>
        <v>1.6</v>
      </c>
      <c r="FM240" s="23">
        <f t="shared" si="701"/>
        <v>0</v>
      </c>
      <c r="FN240" s="23"/>
      <c r="FX240" s="4">
        <f t="shared" si="613"/>
        <v>1</v>
      </c>
      <c r="FY240" s="4">
        <f t="shared" si="652"/>
        <v>0.8938547486033519</v>
      </c>
      <c r="FZ240" s="4">
        <f t="shared" si="614"/>
        <v>0</v>
      </c>
      <c r="GA240" s="4">
        <f t="shared" si="615"/>
        <v>176.54572795895433</v>
      </c>
    </row>
    <row r="241" spans="1:183" ht="12" hidden="1" customHeight="1" x14ac:dyDescent="0.3">
      <c r="A241" s="25">
        <v>223</v>
      </c>
      <c r="B241" s="24" t="s">
        <v>182</v>
      </c>
      <c r="C241" s="4">
        <v>1996</v>
      </c>
      <c r="D241" s="24" t="s">
        <v>309</v>
      </c>
      <c r="E241" s="24"/>
      <c r="F241" s="4" t="s">
        <v>357</v>
      </c>
      <c r="G241" s="7">
        <v>578</v>
      </c>
      <c r="H241" s="7">
        <f>381-P241-18</f>
        <v>287</v>
      </c>
      <c r="I241" s="7">
        <f t="shared" si="630"/>
        <v>287</v>
      </c>
      <c r="J241" s="7">
        <v>22.1</v>
      </c>
      <c r="K241" s="7">
        <v>25.4</v>
      </c>
      <c r="L241" s="7">
        <f t="shared" si="676"/>
        <v>11.299212598425198</v>
      </c>
      <c r="M241" s="7">
        <f t="shared" si="677"/>
        <v>11.299212598425198</v>
      </c>
      <c r="N241" s="7">
        <v>305</v>
      </c>
      <c r="O241" s="7">
        <v>76</v>
      </c>
      <c r="P241" s="7">
        <v>76</v>
      </c>
      <c r="Q241" s="7">
        <f t="shared" si="623"/>
        <v>102.19999999999999</v>
      </c>
      <c r="R241" s="7">
        <v>2</v>
      </c>
      <c r="S241" s="7">
        <f t="shared" si="620"/>
        <v>280</v>
      </c>
      <c r="T241" s="7">
        <f t="shared" si="621"/>
        <v>2.5118110236220472</v>
      </c>
      <c r="U241" s="7">
        <f t="shared" si="631"/>
        <v>3.4921259842519685</v>
      </c>
      <c r="V241" s="7">
        <f>3200/(K241^2*PI()/4)-1</f>
        <v>5.3152807724479523</v>
      </c>
      <c r="W241" s="7">
        <f>3200/(K241^2*PI()/4)-1</f>
        <v>5.3152807724479523</v>
      </c>
      <c r="X241" s="7">
        <f t="shared" si="616"/>
        <v>6.3152807724479523</v>
      </c>
      <c r="Y241" s="7">
        <f t="shared" si="552"/>
        <v>63.830764864229231</v>
      </c>
      <c r="Z241" s="7">
        <f t="shared" si="632"/>
        <v>578</v>
      </c>
      <c r="AA241" s="7">
        <v>18</v>
      </c>
      <c r="AB241" s="7">
        <f>279*1000/(K241^2*PI()/4)</f>
        <v>550.61354234780583</v>
      </c>
      <c r="AC241" s="7"/>
      <c r="AD241" s="4">
        <f t="shared" si="666"/>
        <v>1.3582301682762954</v>
      </c>
      <c r="AE241" s="7"/>
      <c r="AF241" s="7"/>
      <c r="AG241" s="7">
        <v>1</v>
      </c>
      <c r="AH241" s="7"/>
      <c r="AI241" s="7"/>
      <c r="AJ241" s="7">
        <f t="shared" si="655"/>
        <v>6.7476489028213171</v>
      </c>
      <c r="AK241" s="4">
        <f t="shared" si="569"/>
        <v>287</v>
      </c>
      <c r="AL241" s="4">
        <f t="shared" si="678"/>
        <v>0.35423925667828104</v>
      </c>
      <c r="AM241" s="4">
        <f t="shared" si="679"/>
        <v>225.54420427456137</v>
      </c>
      <c r="AN241" s="4">
        <f t="shared" si="680"/>
        <v>0.76181184668989543</v>
      </c>
      <c r="AO241" s="4">
        <v>1.25</v>
      </c>
      <c r="AP241" s="4">
        <f t="shared" si="624"/>
        <v>2.5</v>
      </c>
      <c r="AQ241" s="38">
        <f t="shared" si="681"/>
        <v>190.20682805032305</v>
      </c>
      <c r="AR241" s="38">
        <f t="shared" si="682"/>
        <v>190.20682805032305</v>
      </c>
      <c r="AS241" s="38">
        <f t="shared" si="683"/>
        <v>2.3625595852948513</v>
      </c>
      <c r="AT241" s="38">
        <f t="shared" si="626"/>
        <v>190.20682805032291</v>
      </c>
      <c r="AU241" s="38">
        <f t="shared" si="601"/>
        <v>1.0000000000000007</v>
      </c>
      <c r="AV241" s="38">
        <f t="shared" si="537"/>
        <v>1.5557738334432083</v>
      </c>
      <c r="AW241" s="4">
        <f t="shared" si="707"/>
        <v>0</v>
      </c>
      <c r="AX241" s="4">
        <f t="shared" si="570"/>
        <v>279.57009627077383</v>
      </c>
      <c r="AY241" s="4">
        <f t="shared" si="571"/>
        <v>1.1561128526645768</v>
      </c>
      <c r="AZ241" s="38">
        <f t="shared" si="617"/>
        <v>295.91880602292406</v>
      </c>
      <c r="BA241" s="4">
        <f t="shared" si="572"/>
        <v>0.3</v>
      </c>
      <c r="BB241" s="4">
        <f t="shared" si="602"/>
        <v>43.822612590443811</v>
      </c>
      <c r="BC241" s="4">
        <f t="shared" si="603"/>
        <v>339.74141861336784</v>
      </c>
      <c r="BE241" s="4">
        <f t="shared" si="627"/>
        <v>1.4980314960629921</v>
      </c>
      <c r="BF241" s="4">
        <f t="shared" si="628"/>
        <v>449.98898650663324</v>
      </c>
      <c r="BH241" s="4">
        <f t="shared" si="633"/>
        <v>283.82232348783879</v>
      </c>
      <c r="BI241" s="4">
        <f>8/3*Z241*AA241^2/(Y241-K241-22)/K241*(Y241^2-K241^2)/(Y241^2-(K241+22)^2)</f>
        <v>2245.2309649218914</v>
      </c>
      <c r="BJ241" s="4">
        <f t="shared" si="635"/>
        <v>7.9106919333570147</v>
      </c>
      <c r="BR241" s="4">
        <f t="shared" si="539"/>
        <v>51.099999999999994</v>
      </c>
      <c r="BV241" s="9"/>
      <c r="BX241" s="9"/>
      <c r="BY241" s="9"/>
      <c r="BZ241" s="9">
        <f t="shared" si="577"/>
        <v>51.099999999999994</v>
      </c>
      <c r="CA241" s="9">
        <f t="shared" si="578"/>
        <v>76</v>
      </c>
      <c r="CB241" s="9">
        <f t="shared" si="604"/>
        <v>1.5054020239149992</v>
      </c>
      <c r="CC241" s="9">
        <v>0</v>
      </c>
      <c r="CD241" s="9">
        <f t="shared" si="689"/>
        <v>0</v>
      </c>
      <c r="CE241" s="9">
        <f t="shared" si="605"/>
        <v>0</v>
      </c>
      <c r="CF241" s="9">
        <f t="shared" si="579"/>
        <v>0.99524931562137331</v>
      </c>
      <c r="CG241" s="9">
        <f t="shared" si="580"/>
        <v>0.88300000000000001</v>
      </c>
      <c r="CH241" s="9">
        <f t="shared" si="606"/>
        <v>1.4459616423243864</v>
      </c>
      <c r="CI241" s="9">
        <f t="shared" si="607"/>
        <v>2.1767535828585873</v>
      </c>
      <c r="CJ241" s="9">
        <v>1</v>
      </c>
      <c r="CK241" s="9">
        <f t="shared" si="608"/>
        <v>228.987620999927</v>
      </c>
      <c r="CM241" s="4">
        <f t="shared" si="690"/>
        <v>1.9695008503860747</v>
      </c>
      <c r="CN241" s="4">
        <f t="shared" si="691"/>
        <v>1.6206841797361613</v>
      </c>
      <c r="CO241" s="4">
        <f t="shared" si="692"/>
        <v>1.223615596955703</v>
      </c>
      <c r="CP241" s="4">
        <f t="shared" si="693"/>
        <v>2.4045559316413061</v>
      </c>
      <c r="CQ241" s="4">
        <f t="shared" si="694"/>
        <v>1.3582301682762954</v>
      </c>
      <c r="CR241" s="4">
        <f t="shared" si="695"/>
        <v>1.4530735737887628</v>
      </c>
      <c r="CS241" s="4">
        <f t="shared" si="696"/>
        <v>1.6860007669757939</v>
      </c>
      <c r="CU241" s="4">
        <f t="shared" si="658"/>
        <v>1.9695008503860747</v>
      </c>
      <c r="CV241" s="4">
        <f t="shared" si="658"/>
        <v>1.6206841797361613</v>
      </c>
      <c r="CW241" s="4">
        <f t="shared" si="659"/>
        <v>2.4045559316413061</v>
      </c>
      <c r="CX241" s="4">
        <f t="shared" si="706"/>
        <v>1.6860007669757939</v>
      </c>
      <c r="CY241" s="4">
        <f t="shared" si="661"/>
        <v>1.3582301682762954</v>
      </c>
      <c r="CZ241" s="4">
        <f t="shared" si="661"/>
        <v>1.4530735737887628</v>
      </c>
      <c r="DH241" s="4">
        <f t="shared" si="557"/>
        <v>0</v>
      </c>
      <c r="DI241" s="4">
        <f t="shared" si="629"/>
        <v>287</v>
      </c>
      <c r="DL241" s="4">
        <f t="shared" si="667"/>
        <v>1.9021932517031272E-5</v>
      </c>
      <c r="DM241" s="4">
        <f t="shared" si="558"/>
        <v>5.6171289413727514</v>
      </c>
      <c r="DN241" s="4">
        <f t="shared" si="668"/>
        <v>0.40216525231214639</v>
      </c>
      <c r="DO241" s="4">
        <f t="shared" si="669"/>
        <v>3.9019006831634799</v>
      </c>
      <c r="DP241" s="4">
        <f t="shared" si="670"/>
        <v>4.8364058609445459</v>
      </c>
      <c r="DQ241" s="4">
        <f t="shared" si="671"/>
        <v>5.3662694517765832</v>
      </c>
      <c r="DR241" s="38">
        <f t="shared" si="684"/>
        <v>405.39045237566711</v>
      </c>
      <c r="DS241" s="4">
        <f t="shared" si="609"/>
        <v>1.0001244351707343</v>
      </c>
      <c r="DT241" s="4">
        <f t="shared" si="672"/>
        <v>2.5130222387491825</v>
      </c>
      <c r="DU241" s="4">
        <f t="shared" si="618"/>
        <v>190.20682805032291</v>
      </c>
      <c r="DY241" s="4">
        <f t="shared" si="581"/>
        <v>0.85</v>
      </c>
      <c r="DZ241" s="4">
        <f t="shared" si="610"/>
        <v>0.89881889763779532</v>
      </c>
      <c r="EA241" s="4">
        <f t="shared" si="685"/>
        <v>1</v>
      </c>
      <c r="EB241" s="4">
        <f t="shared" si="611"/>
        <v>0.89881889763779532</v>
      </c>
      <c r="ED241" s="4">
        <f t="shared" si="686"/>
        <v>378.93025671929945</v>
      </c>
      <c r="EE241" s="25">
        <f t="shared" si="687"/>
        <v>188.52285441528608</v>
      </c>
      <c r="EG241" s="4">
        <f t="shared" si="619"/>
        <v>0.76399606299212597</v>
      </c>
      <c r="EH241" s="4">
        <f t="shared" si="688"/>
        <v>5.6171289413727514</v>
      </c>
      <c r="EK241" s="4">
        <f t="shared" si="673"/>
        <v>63.830764864229231</v>
      </c>
      <c r="EL241" s="4">
        <f t="shared" si="674"/>
        <v>2.5130222387491825</v>
      </c>
      <c r="EM241" s="4">
        <f t="shared" si="675"/>
        <v>0.10337986159960641</v>
      </c>
      <c r="EP241" s="4">
        <f t="shared" si="541"/>
        <v>0.10337986159960641</v>
      </c>
      <c r="EQ241" s="4">
        <f t="shared" si="542"/>
        <v>0.40149411345945146</v>
      </c>
      <c r="ER241" s="4">
        <f t="shared" si="559"/>
        <v>3.8992947600051124</v>
      </c>
      <c r="ES241" s="4">
        <f t="shared" si="582"/>
        <v>4.8353564860443772</v>
      </c>
      <c r="ET241" s="4">
        <f t="shared" si="560"/>
        <v>151.41923513577078</v>
      </c>
      <c r="EU241" s="4">
        <f t="shared" si="561"/>
        <v>71.75</v>
      </c>
      <c r="EV241" s="4">
        <f t="shared" si="612"/>
        <v>1.9021932517031272E-5</v>
      </c>
      <c r="EW241" s="4">
        <f t="shared" si="583"/>
        <v>5.3663384245478616</v>
      </c>
      <c r="EX241" s="4">
        <f t="shared" si="636"/>
        <v>405.34001382184169</v>
      </c>
      <c r="FG241" s="23">
        <f t="shared" si="698"/>
        <v>2</v>
      </c>
      <c r="FH241" s="23">
        <f t="shared" si="698"/>
        <v>1.8</v>
      </c>
      <c r="FI241" s="23">
        <f t="shared" si="699"/>
        <v>1.8</v>
      </c>
      <c r="FJ241" s="23">
        <f t="shared" si="700"/>
        <v>2.2000000000000002</v>
      </c>
      <c r="FK241" s="23">
        <f t="shared" si="700"/>
        <v>1.4</v>
      </c>
      <c r="FL241" s="23">
        <f t="shared" si="700"/>
        <v>1.6</v>
      </c>
      <c r="FM241" s="23">
        <f t="shared" si="701"/>
        <v>0</v>
      </c>
      <c r="FN241" s="23"/>
      <c r="FX241" s="4">
        <f t="shared" si="613"/>
        <v>1</v>
      </c>
      <c r="FY241" s="4">
        <f t="shared" si="652"/>
        <v>0.74803149606299213</v>
      </c>
      <c r="FZ241" s="4">
        <f t="shared" si="614"/>
        <v>0</v>
      </c>
      <c r="GA241" s="4">
        <f t="shared" si="615"/>
        <v>326.57965116792326</v>
      </c>
    </row>
    <row r="242" spans="1:183" ht="12" hidden="1" customHeight="1" x14ac:dyDescent="0.3">
      <c r="A242" s="25">
        <v>224</v>
      </c>
      <c r="B242" s="24" t="s">
        <v>182</v>
      </c>
      <c r="C242" s="4">
        <v>1996</v>
      </c>
      <c r="D242" s="24" t="s">
        <v>309</v>
      </c>
      <c r="E242" s="24"/>
      <c r="F242" s="4" t="s">
        <v>358</v>
      </c>
      <c r="G242" s="7">
        <v>556</v>
      </c>
      <c r="H242" s="7">
        <f>305-P242-20</f>
        <v>209</v>
      </c>
      <c r="I242" s="7">
        <f t="shared" si="630"/>
        <v>209</v>
      </c>
      <c r="J242" s="7">
        <v>33.299999999999997</v>
      </c>
      <c r="K242" s="7">
        <v>35.799999999999997</v>
      </c>
      <c r="L242" s="7">
        <f t="shared" si="676"/>
        <v>5.8379888268156428</v>
      </c>
      <c r="M242" s="7">
        <f t="shared" si="677"/>
        <v>5.8379888268156428</v>
      </c>
      <c r="N242" s="7">
        <v>305</v>
      </c>
      <c r="O242" s="7">
        <v>76</v>
      </c>
      <c r="P242" s="7">
        <v>76</v>
      </c>
      <c r="Q242" s="7">
        <f t="shared" si="623"/>
        <v>81.400000000000006</v>
      </c>
      <c r="R242" s="7">
        <v>2</v>
      </c>
      <c r="S242" s="7">
        <f t="shared" si="620"/>
        <v>280</v>
      </c>
      <c r="T242" s="7">
        <f t="shared" si="621"/>
        <v>1.6368715083798884</v>
      </c>
      <c r="U242" s="7">
        <f>O242/K242+0.5</f>
        <v>2.6229050279329611</v>
      </c>
      <c r="V242" s="7">
        <f>3844/(K242^2*PI()/4)-1</f>
        <v>2.8188046643066431</v>
      </c>
      <c r="W242" s="7">
        <f>3844/(K242^2*PI()/4)-1</f>
        <v>2.8188046643066431</v>
      </c>
      <c r="X242" s="7">
        <f t="shared" si="616"/>
        <v>3.8188046643066431</v>
      </c>
      <c r="Y242" s="7">
        <f t="shared" si="552"/>
        <v>69.95950835992177</v>
      </c>
      <c r="Z242" s="7">
        <f t="shared" si="632"/>
        <v>556</v>
      </c>
      <c r="AA242" s="7">
        <v>20</v>
      </c>
      <c r="AB242" s="7"/>
      <c r="AC242" s="32" t="s">
        <v>183</v>
      </c>
      <c r="AD242" s="4">
        <f t="shared" si="666"/>
        <v>0</v>
      </c>
      <c r="AE242" s="7"/>
      <c r="AF242" s="7"/>
      <c r="AG242" s="7">
        <v>1</v>
      </c>
      <c r="AH242" s="7"/>
      <c r="AI242" s="7"/>
      <c r="AJ242" s="7">
        <f t="shared" si="655"/>
        <v>5.3498293515358357</v>
      </c>
      <c r="AK242" s="4">
        <f t="shared" si="569"/>
        <v>209</v>
      </c>
      <c r="AL242" s="4">
        <f t="shared" si="678"/>
        <v>0.48644338118022329</v>
      </c>
      <c r="AM242" s="4">
        <f t="shared" si="679"/>
        <v>86.607522555408934</v>
      </c>
      <c r="AN242" s="4">
        <f t="shared" si="680"/>
        <v>0.78985645933014348</v>
      </c>
      <c r="AO242" s="4">
        <v>1.25</v>
      </c>
      <c r="AP242" s="4">
        <f t="shared" si="624"/>
        <v>2.5</v>
      </c>
      <c r="AQ242" s="38">
        <f t="shared" si="681"/>
        <v>103.98869064332192</v>
      </c>
      <c r="AR242" s="38">
        <f t="shared" si="682"/>
        <v>103.98869064332192</v>
      </c>
      <c r="AS242" s="38">
        <f t="shared" si="683"/>
        <v>3.1051606722149665</v>
      </c>
      <c r="AT242" s="38">
        <f t="shared" si="626"/>
        <v>103.98869064332189</v>
      </c>
      <c r="AU242" s="38">
        <f t="shared" si="601"/>
        <v>1.0000000000000002</v>
      </c>
      <c r="AV242" s="38">
        <f t="shared" si="537"/>
        <v>2.1841952262281148</v>
      </c>
      <c r="AW242" s="4">
        <f t="shared" si="707"/>
        <v>0</v>
      </c>
      <c r="AX242" s="4">
        <f t="shared" si="570"/>
        <v>177.30940615507106</v>
      </c>
      <c r="AY242" s="4">
        <f t="shared" si="571"/>
        <v>1.2409556313993173</v>
      </c>
      <c r="AZ242" s="38">
        <f t="shared" si="617"/>
        <v>227.13160168485589</v>
      </c>
      <c r="BA242" s="4">
        <f t="shared" si="572"/>
        <v>0.60536734699706995</v>
      </c>
      <c r="BB242" s="4">
        <f t="shared" si="602"/>
        <v>56.083752208899391</v>
      </c>
      <c r="BC242" s="4">
        <f t="shared" si="603"/>
        <v>283.21535389375526</v>
      </c>
      <c r="BE242" s="4">
        <f t="shared" si="627"/>
        <v>1.2807262569832403</v>
      </c>
      <c r="BF242" s="4">
        <f t="shared" si="628"/>
        <v>351.1556957600107</v>
      </c>
      <c r="BH242" s="4">
        <f t="shared" si="633"/>
        <v>217.84698240069329</v>
      </c>
      <c r="BI242" s="4">
        <f t="shared" si="634"/>
        <v>3168.2997281821408</v>
      </c>
      <c r="BJ242" s="4">
        <f t="shared" si="635"/>
        <v>14.543693436866526</v>
      </c>
      <c r="BR242" s="4">
        <f t="shared" si="539"/>
        <v>40.700000000000003</v>
      </c>
      <c r="BV242" s="9"/>
      <c r="BX242" s="9"/>
      <c r="BY242" s="9"/>
      <c r="BZ242" s="9">
        <f t="shared" si="577"/>
        <v>40.700000000000003</v>
      </c>
      <c r="CA242" s="9">
        <f t="shared" si="578"/>
        <v>76</v>
      </c>
      <c r="CB242" s="9">
        <f t="shared" si="604"/>
        <v>1.1709505872794554</v>
      </c>
      <c r="CC242" s="9">
        <v>0</v>
      </c>
      <c r="CD242" s="9">
        <f t="shared" si="689"/>
        <v>0</v>
      </c>
      <c r="CE242" s="9">
        <f t="shared" si="605"/>
        <v>0</v>
      </c>
      <c r="CF242" s="9">
        <f t="shared" si="579"/>
        <v>0.89787751228078194</v>
      </c>
      <c r="CG242" s="9">
        <f t="shared" si="580"/>
        <v>0.91600000000000004</v>
      </c>
      <c r="CH242" s="9">
        <f t="shared" si="606"/>
        <v>1.661126587131682</v>
      </c>
      <c r="CI242" s="9">
        <f t="shared" si="607"/>
        <v>1.9450971527473606</v>
      </c>
      <c r="CJ242" s="9">
        <v>1</v>
      </c>
      <c r="CK242" s="9">
        <f t="shared" si="608"/>
        <v>162.12765094408167</v>
      </c>
      <c r="DH242" s="4">
        <f t="shared" si="557"/>
        <v>0</v>
      </c>
      <c r="DI242" s="4">
        <f t="shared" si="629"/>
        <v>209</v>
      </c>
      <c r="DL242" s="4">
        <f t="shared" si="667"/>
        <v>1.0669925138298828E-5</v>
      </c>
      <c r="DM242" s="4">
        <f t="shared" si="558"/>
        <v>5.6551012697105509</v>
      </c>
      <c r="DN242" s="4">
        <f t="shared" si="668"/>
        <v>0.30157165572085265</v>
      </c>
      <c r="DO242" s="4">
        <f t="shared" si="669"/>
        <v>3.5010361467581061</v>
      </c>
      <c r="DP242" s="4">
        <f t="shared" si="670"/>
        <v>4.7037119022476839</v>
      </c>
      <c r="DQ242" s="4">
        <f t="shared" si="671"/>
        <v>5.5587522742613205</v>
      </c>
      <c r="DR242" s="38">
        <f t="shared" si="684"/>
        <v>209.42031549662136</v>
      </c>
      <c r="DS242" s="4">
        <f t="shared" si="609"/>
        <v>1.0001266283648229</v>
      </c>
      <c r="DT242" s="4">
        <f t="shared" si="672"/>
        <v>1.9541762111709993</v>
      </c>
      <c r="DU242" s="4">
        <f t="shared" si="618"/>
        <v>103.98869064332189</v>
      </c>
      <c r="DY242" s="4">
        <f t="shared" si="581"/>
        <v>0.85</v>
      </c>
      <c r="DZ242" s="4">
        <f t="shared" si="610"/>
        <v>0.98631284916201112</v>
      </c>
      <c r="EA242" s="4">
        <f t="shared" si="685"/>
        <v>1</v>
      </c>
      <c r="EB242" s="4">
        <f t="shared" si="611"/>
        <v>0.98631284916201112</v>
      </c>
      <c r="ED242" s="4">
        <f t="shared" si="686"/>
        <v>201.06128380235231</v>
      </c>
      <c r="EE242" s="25">
        <f t="shared" si="687"/>
        <v>102.01802972110887</v>
      </c>
      <c r="EG242" s="4">
        <f t="shared" si="619"/>
        <v>0.83836592178770941</v>
      </c>
      <c r="EH242" s="4">
        <f t="shared" si="688"/>
        <v>5.6551012697105509</v>
      </c>
      <c r="EK242" s="4">
        <f t="shared" si="673"/>
        <v>69.95950835992177</v>
      </c>
      <c r="EL242" s="4">
        <f t="shared" si="674"/>
        <v>1.9541762111709995</v>
      </c>
      <c r="EM242" s="4">
        <f t="shared" si="675"/>
        <v>9.5158569020139236E-2</v>
      </c>
      <c r="EP242" s="4">
        <f t="shared" si="541"/>
        <v>9.5158569020139236E-2</v>
      </c>
      <c r="EQ242" s="4">
        <f t="shared" si="542"/>
        <v>0.30106838883277071</v>
      </c>
      <c r="ER242" s="4">
        <f t="shared" si="559"/>
        <v>3.4986979449651985</v>
      </c>
      <c r="ES242" s="4">
        <f t="shared" si="582"/>
        <v>4.7028450718644867</v>
      </c>
      <c r="ET242" s="4">
        <f t="shared" si="560"/>
        <v>86.79049164007823</v>
      </c>
      <c r="EU242" s="4">
        <f t="shared" si="561"/>
        <v>52.250000000000014</v>
      </c>
      <c r="EV242" s="4">
        <f t="shared" si="612"/>
        <v>1.0669925138298833E-5</v>
      </c>
      <c r="EW242" s="4">
        <f t="shared" si="583"/>
        <v>5.5587810032929781</v>
      </c>
      <c r="EX242" s="4">
        <f t="shared" si="636"/>
        <v>209.39380030208503</v>
      </c>
      <c r="FG242" s="23"/>
      <c r="FH242" s="23"/>
      <c r="FI242" s="23"/>
      <c r="FJ242" s="23"/>
      <c r="FK242" s="23"/>
      <c r="FL242" s="23"/>
      <c r="FM242" s="23"/>
      <c r="FN242" s="23"/>
      <c r="FX242" s="4">
        <f t="shared" si="613"/>
        <v>1</v>
      </c>
      <c r="FY242" s="4">
        <f t="shared" si="652"/>
        <v>0.8938547486033519</v>
      </c>
      <c r="FZ242" s="4">
        <f t="shared" si="614"/>
        <v>0</v>
      </c>
      <c r="GA242" s="4">
        <f t="shared" si="615"/>
        <v>131.77877551221948</v>
      </c>
    </row>
    <row r="243" spans="1:183" ht="12" hidden="1" customHeight="1" x14ac:dyDescent="0.3">
      <c r="A243" s="25">
        <v>225</v>
      </c>
      <c r="B243" s="24" t="s">
        <v>182</v>
      </c>
      <c r="C243" s="4">
        <v>1996</v>
      </c>
      <c r="D243" s="24" t="s">
        <v>309</v>
      </c>
      <c r="E243" s="24"/>
      <c r="F243" s="4" t="s">
        <v>359</v>
      </c>
      <c r="G243" s="7">
        <v>578</v>
      </c>
      <c r="H243" s="7">
        <f>305-P243-25</f>
        <v>204</v>
      </c>
      <c r="I243" s="7">
        <f t="shared" si="630"/>
        <v>204</v>
      </c>
      <c r="J243" s="7">
        <v>33.299999999999997</v>
      </c>
      <c r="K243" s="7">
        <v>25.4</v>
      </c>
      <c r="L243" s="7">
        <f t="shared" si="676"/>
        <v>8.0314960629921259</v>
      </c>
      <c r="M243" s="7">
        <f t="shared" si="677"/>
        <v>8.0314960629921259</v>
      </c>
      <c r="N243" s="7">
        <v>305</v>
      </c>
      <c r="O243" s="7">
        <v>76</v>
      </c>
      <c r="P243" s="7">
        <v>76</v>
      </c>
      <c r="Q243" s="7">
        <f t="shared" si="623"/>
        <v>102.19999999999999</v>
      </c>
      <c r="R243" s="7">
        <v>2</v>
      </c>
      <c r="S243" s="7">
        <f t="shared" si="620"/>
        <v>280</v>
      </c>
      <c r="T243" s="7">
        <f t="shared" si="621"/>
        <v>2.5118110236220472</v>
      </c>
      <c r="U243" s="7">
        <f t="shared" si="631"/>
        <v>3.4921259842519685</v>
      </c>
      <c r="V243" s="7">
        <f>3800/(K243^2*PI()/4)-1</f>
        <v>6.4993959172819435</v>
      </c>
      <c r="W243" s="7">
        <f>3800/(K243^2*PI()/4)-1</f>
        <v>6.4993959172819435</v>
      </c>
      <c r="X243" s="7">
        <f t="shared" si="616"/>
        <v>7.4993959172819435</v>
      </c>
      <c r="Y243" s="7">
        <f t="shared" si="552"/>
        <v>69.557963383020478</v>
      </c>
      <c r="Z243" s="7">
        <f t="shared" si="632"/>
        <v>578</v>
      </c>
      <c r="AA243" s="7">
        <v>25</v>
      </c>
      <c r="AB243" s="7">
        <f>216*1000/(K243^2*PI()/4)</f>
        <v>426.28145214023681</v>
      </c>
      <c r="AC243" s="7"/>
      <c r="AD243" s="4">
        <f t="shared" si="666"/>
        <v>1.1369631936734077</v>
      </c>
      <c r="AE243" s="7"/>
      <c r="AF243" s="7"/>
      <c r="AG243" s="7">
        <v>1</v>
      </c>
      <c r="AH243" s="7"/>
      <c r="AI243" s="7"/>
      <c r="AJ243" s="7">
        <f t="shared" si="655"/>
        <v>4.7962382445141065</v>
      </c>
      <c r="AK243" s="4">
        <f t="shared" si="569"/>
        <v>204</v>
      </c>
      <c r="AL243" s="4">
        <f t="shared" si="678"/>
        <v>0.49836601307189543</v>
      </c>
      <c r="AM243" s="4">
        <f t="shared" si="679"/>
        <v>165.91286301077704</v>
      </c>
      <c r="AN243" s="4">
        <f t="shared" si="680"/>
        <v>0.7869607843137254</v>
      </c>
      <c r="AO243" s="4">
        <v>1.25</v>
      </c>
      <c r="AP243" s="4">
        <f t="shared" si="624"/>
        <v>2.5</v>
      </c>
      <c r="AQ243" s="38">
        <f t="shared" si="681"/>
        <v>203.34410551890588</v>
      </c>
      <c r="AR243" s="38">
        <f t="shared" si="682"/>
        <v>203.34410551890588</v>
      </c>
      <c r="AS243" s="38">
        <f t="shared" si="683"/>
        <v>3.1051606722149665</v>
      </c>
      <c r="AT243" s="38">
        <f t="shared" si="626"/>
        <v>203.34410551890599</v>
      </c>
      <c r="AU243" s="38">
        <f t="shared" si="601"/>
        <v>0.99999999999999944</v>
      </c>
      <c r="AV243" s="38">
        <f t="shared" si="537"/>
        <v>2.4247464351615653</v>
      </c>
      <c r="AW243" s="4">
        <f t="shared" si="707"/>
        <v>0</v>
      </c>
      <c r="AX243" s="4">
        <f t="shared" si="570"/>
        <v>243.92986004440246</v>
      </c>
      <c r="AY243" s="4">
        <f t="shared" si="571"/>
        <v>1.1561128526645768</v>
      </c>
      <c r="AZ243" s="38">
        <f t="shared" si="617"/>
        <v>493.05789496808444</v>
      </c>
      <c r="BA243" s="4">
        <f t="shared" si="572"/>
        <v>0.3</v>
      </c>
      <c r="BB243" s="4">
        <f t="shared" si="602"/>
        <v>38.236005561960084</v>
      </c>
      <c r="BC243" s="4">
        <f t="shared" si="603"/>
        <v>531.29390053004454</v>
      </c>
      <c r="BE243" s="4">
        <f t="shared" si="627"/>
        <v>1.4980314960629921</v>
      </c>
      <c r="BF243" s="4">
        <f t="shared" si="628"/>
        <v>467.62322998001468</v>
      </c>
      <c r="BH243" s="4">
        <f t="shared" si="633"/>
        <v>472.90281832586072</v>
      </c>
      <c r="BI243" s="4">
        <f t="shared" si="634"/>
        <v>2769.4518574340823</v>
      </c>
      <c r="BJ243" s="4">
        <f t="shared" si="635"/>
        <v>5.8562811430016692</v>
      </c>
      <c r="BR243" s="4">
        <f t="shared" si="539"/>
        <v>51.099999999999994</v>
      </c>
      <c r="BV243" s="9"/>
      <c r="BX243" s="9"/>
      <c r="BY243" s="9"/>
      <c r="BZ243" s="9">
        <f t="shared" si="577"/>
        <v>51.099999999999994</v>
      </c>
      <c r="CA243" s="9">
        <f t="shared" si="578"/>
        <v>76</v>
      </c>
      <c r="CB243" s="9">
        <f t="shared" si="604"/>
        <v>1.5054020239149992</v>
      </c>
      <c r="CC243" s="9">
        <v>0</v>
      </c>
      <c r="CD243" s="9">
        <f t="shared" si="689"/>
        <v>0</v>
      </c>
      <c r="CE243" s="9">
        <f t="shared" si="605"/>
        <v>0</v>
      </c>
      <c r="CF243" s="9">
        <f t="shared" si="579"/>
        <v>0.99524931562137331</v>
      </c>
      <c r="CG243" s="9">
        <f t="shared" si="580"/>
        <v>0.88300000000000001</v>
      </c>
      <c r="CH243" s="9">
        <f t="shared" si="606"/>
        <v>1.7749362217430373</v>
      </c>
      <c r="CI243" s="9">
        <f t="shared" si="607"/>
        <v>2.6719925805320104</v>
      </c>
      <c r="CJ243" s="9">
        <v>1</v>
      </c>
      <c r="CK243" s="9">
        <f t="shared" si="608"/>
        <v>246.15994639546867</v>
      </c>
      <c r="CM243" s="4">
        <f>AB243/AX243</f>
        <v>1.7475574825592937</v>
      </c>
      <c r="CN243" s="4">
        <f>AB243/BC243</f>
        <v>0.8023458423199622</v>
      </c>
      <c r="CO243" s="4">
        <f t="shared" ref="CO243:CO306" si="708">AB243/BF243</f>
        <v>0.91159169350602032</v>
      </c>
      <c r="CP243" s="4">
        <f>AB243/CK243</f>
        <v>1.7317254832977322</v>
      </c>
      <c r="CQ243" s="4">
        <f t="shared" si="694"/>
        <v>1.1369631936734077</v>
      </c>
      <c r="CR243" s="4">
        <f t="shared" si="695"/>
        <v>1.162098744070923</v>
      </c>
      <c r="CS243" s="4">
        <f t="shared" ref="CS243:CS306" si="709">AB243/GA243</f>
        <v>1.6574714449565529</v>
      </c>
      <c r="CU243" s="4">
        <f t="shared" si="658"/>
        <v>1.7475574825592937</v>
      </c>
      <c r="CV243" s="4">
        <f t="shared" si="658"/>
        <v>0.8023458423199622</v>
      </c>
      <c r="CW243" s="4">
        <f t="shared" si="659"/>
        <v>1.7317254832977322</v>
      </c>
      <c r="CX243" s="4">
        <f t="shared" ref="CX243" si="710">CS243</f>
        <v>1.6574714449565529</v>
      </c>
      <c r="CY243" s="4">
        <f t="shared" si="661"/>
        <v>1.1369631936734077</v>
      </c>
      <c r="CZ243" s="4">
        <f t="shared" si="661"/>
        <v>1.162098744070923</v>
      </c>
      <c r="DH243" s="4">
        <f t="shared" si="557"/>
        <v>0</v>
      </c>
      <c r="DI243" s="4">
        <f t="shared" si="629"/>
        <v>204</v>
      </c>
      <c r="DL243" s="4">
        <f t="shared" si="667"/>
        <v>1.4678935551750747E-5</v>
      </c>
      <c r="DM243" s="4">
        <f t="shared" si="558"/>
        <v>6.8950968880590437</v>
      </c>
      <c r="DN243" s="4">
        <f t="shared" si="668"/>
        <v>0.25428930524237559</v>
      </c>
      <c r="DO243" s="4">
        <f t="shared" si="669"/>
        <v>3.9872329649554095</v>
      </c>
      <c r="DP243" s="4">
        <f t="shared" si="670"/>
        <v>5.6333472301811316</v>
      </c>
      <c r="DQ243" s="4">
        <f t="shared" si="671"/>
        <v>6.7091720926999621</v>
      </c>
      <c r="DR243" s="38">
        <f t="shared" si="684"/>
        <v>374.92986097726396</v>
      </c>
      <c r="DS243" s="4">
        <f t="shared" si="609"/>
        <v>1.0001095148019092</v>
      </c>
      <c r="DT243" s="4">
        <f t="shared" si="672"/>
        <v>2.7385024953945072</v>
      </c>
      <c r="DU243" s="4">
        <f t="shared" si="618"/>
        <v>203.34410551890599</v>
      </c>
      <c r="DY243" s="4">
        <f t="shared" si="581"/>
        <v>0.85</v>
      </c>
      <c r="DZ243" s="4">
        <f t="shared" si="610"/>
        <v>0.89881889763779532</v>
      </c>
      <c r="EA243" s="4">
        <f t="shared" si="685"/>
        <v>1</v>
      </c>
      <c r="EB243" s="4">
        <f t="shared" si="611"/>
        <v>0.89881889763779532</v>
      </c>
      <c r="ED243" s="4">
        <f t="shared" si="686"/>
        <v>366.82033632266007</v>
      </c>
      <c r="EE243" s="25">
        <f t="shared" si="687"/>
        <v>200.68650579147365</v>
      </c>
      <c r="EG243" s="4">
        <f t="shared" si="619"/>
        <v>0.76399606299212597</v>
      </c>
      <c r="EH243" s="4">
        <f t="shared" si="688"/>
        <v>6.8950968880590437</v>
      </c>
      <c r="EK243" s="4">
        <f t="shared" si="673"/>
        <v>69.557963383020478</v>
      </c>
      <c r="EL243" s="4">
        <f t="shared" si="674"/>
        <v>2.7385024953945072</v>
      </c>
      <c r="EM243" s="4">
        <f t="shared" si="675"/>
        <v>8.0238994431188704E-2</v>
      </c>
      <c r="EP243" s="4">
        <f t="shared" si="541"/>
        <v>8.0238994431188704E-2</v>
      </c>
      <c r="EQ243" s="4">
        <f t="shared" si="542"/>
        <v>0.25386494378501001</v>
      </c>
      <c r="ER243" s="4">
        <f t="shared" si="559"/>
        <v>3.9845700517843952</v>
      </c>
      <c r="ES243" s="4">
        <f t="shared" si="582"/>
        <v>5.6324102518589836</v>
      </c>
      <c r="ET243" s="4">
        <f t="shared" si="560"/>
        <v>83.442036616979522</v>
      </c>
      <c r="EU243" s="4">
        <f t="shared" si="561"/>
        <v>51</v>
      </c>
      <c r="EV243" s="4">
        <f t="shared" si="612"/>
        <v>1.4678935551750747E-5</v>
      </c>
      <c r="EW243" s="4">
        <f t="shared" si="583"/>
        <v>6.7092251397843503</v>
      </c>
      <c r="EX243" s="4">
        <f t="shared" si="636"/>
        <v>374.88880510403499</v>
      </c>
      <c r="FG243" s="23">
        <f t="shared" ref="FG243:FH258" si="711">IF(CM243&lt;0.6,0.6,IF(CM243&lt;0.8,0.8,IF(CM243&lt;1,1,IF(CM243&lt;1.2,1.2,IF(CM243&lt;1.4,1.4,IF(CM243&lt;1.6,1.6,IF(CM243&lt;1.8,1.8,IF(CM243&lt;2,2,2.2))))))))</f>
        <v>1.8</v>
      </c>
      <c r="FH243" s="23">
        <f t="shared" si="711"/>
        <v>1</v>
      </c>
      <c r="FI243" s="23">
        <f t="shared" ref="FI243:FI306" si="712">IF(CS243&lt;0.6,0.6,IF(CS243&lt;0.8,0.8,IF(CS243&lt;1,1,IF(CS243&lt;1.2,1.2,IF(CS243&lt;1.4,1.4,IF(CS243&lt;1.6,1.6,IF(CS243&lt;1.8,1.8,IF(CS243&lt;2,2,2.2))))))))</f>
        <v>1.8</v>
      </c>
      <c r="FJ243" s="23">
        <f t="shared" ref="FJ243:FL258" si="713">IF(CP243&lt;0.6,0.6,IF(CP243&lt;0.8,0.8,IF(CP243&lt;1,1,IF(CP243&lt;1.2,1.2,IF(CP243&lt;1.4,1.4,IF(CP243&lt;1.6,1.6,IF(CP243&lt;1.8,1.8,IF(CP243&lt;2,2,2.2))))))))</f>
        <v>1.8</v>
      </c>
      <c r="FK243" s="23">
        <f t="shared" si="713"/>
        <v>1.2</v>
      </c>
      <c r="FL243" s="23">
        <f t="shared" si="713"/>
        <v>1.2</v>
      </c>
      <c r="FM243" s="23">
        <f t="shared" si="701"/>
        <v>0</v>
      </c>
      <c r="FN243" s="23"/>
      <c r="FX243" s="4">
        <f t="shared" si="613"/>
        <v>1</v>
      </c>
      <c r="FY243" s="4">
        <f t="shared" si="652"/>
        <v>0.74803149606299213</v>
      </c>
      <c r="FZ243" s="4">
        <f t="shared" si="614"/>
        <v>0</v>
      </c>
      <c r="GA243" s="4">
        <f t="shared" si="615"/>
        <v>257.18781064817131</v>
      </c>
    </row>
    <row r="244" spans="1:183" ht="12" customHeight="1" x14ac:dyDescent="0.3">
      <c r="A244" s="25">
        <v>226</v>
      </c>
      <c r="B244" s="24" t="s">
        <v>660</v>
      </c>
      <c r="C244" s="24">
        <v>2002</v>
      </c>
      <c r="D244" s="24" t="s">
        <v>309</v>
      </c>
      <c r="E244" s="24"/>
      <c r="F244" s="7" t="s">
        <v>361</v>
      </c>
      <c r="G244" s="7">
        <v>506</v>
      </c>
      <c r="H244" s="7">
        <v>190</v>
      </c>
      <c r="I244" s="7">
        <f>H244</f>
        <v>190</v>
      </c>
      <c r="J244" s="7">
        <v>27.1</v>
      </c>
      <c r="K244" s="7">
        <v>19.100000000000001</v>
      </c>
      <c r="L244" s="7">
        <f>H244/K244</f>
        <v>9.9476439790575917</v>
      </c>
      <c r="M244" s="7">
        <f>I244/K244</f>
        <v>9.9476439790575917</v>
      </c>
      <c r="N244" s="7">
        <v>240</v>
      </c>
      <c r="O244" s="7">
        <f>63-K244/2</f>
        <v>53.45</v>
      </c>
      <c r="P244" s="7">
        <f>400-K244-I244</f>
        <v>190.89999999999998</v>
      </c>
      <c r="Q244" s="7">
        <f>114-K244</f>
        <v>94.9</v>
      </c>
      <c r="R244" s="7">
        <v>2</v>
      </c>
      <c r="S244" s="7"/>
      <c r="T244" s="7">
        <f t="shared" si="621"/>
        <v>2.9842931937172774</v>
      </c>
      <c r="U244" s="7">
        <f t="shared" si="631"/>
        <v>3.2984293193717278</v>
      </c>
      <c r="V244" s="7">
        <f>32^2/(PI()/4*K244^2)-1</f>
        <v>2.5739077706444626</v>
      </c>
      <c r="W244" s="7">
        <f>32^2/(PI()/4*K244^2)-1</f>
        <v>2.5739077706444626</v>
      </c>
      <c r="X244" s="7">
        <f>W244+1</f>
        <v>3.5739077706444626</v>
      </c>
      <c r="Y244" s="7">
        <f>K244*X244^0.5</f>
        <v>36.108133347056402</v>
      </c>
      <c r="Z244" s="7"/>
      <c r="AA244" s="7"/>
      <c r="AB244" s="7">
        <f>290/(PI()/4*K244^2)*1000/R244</f>
        <v>506.0709245541475</v>
      </c>
      <c r="AC244" s="7"/>
      <c r="AD244" s="4">
        <f t="shared" si="666"/>
        <v>1</v>
      </c>
      <c r="AE244" s="7">
        <v>9.5</v>
      </c>
      <c r="AF244" s="10">
        <v>3</v>
      </c>
      <c r="AG244" s="7">
        <v>57</v>
      </c>
      <c r="AH244" s="7">
        <v>4</v>
      </c>
      <c r="AI244" s="7">
        <f t="shared" ref="AI244:AI247" si="714">AF244</f>
        <v>3</v>
      </c>
      <c r="AJ244" s="7"/>
      <c r="AK244" s="4">
        <f>H244</f>
        <v>190</v>
      </c>
      <c r="AL244" s="4">
        <f t="shared" si="678"/>
        <v>0.42105263157894735</v>
      </c>
      <c r="AM244" s="4">
        <f t="shared" si="679"/>
        <v>237.91862175035638</v>
      </c>
      <c r="AN244" s="4">
        <f t="shared" si="680"/>
        <v>0.76631578947368417</v>
      </c>
      <c r="AO244" s="4">
        <v>1.25</v>
      </c>
      <c r="AP244" s="4">
        <f t="shared" si="624"/>
        <v>2.5</v>
      </c>
      <c r="AQ244" s="38">
        <f>AL244*AN244*AO244*AP244*AM244</f>
        <v>239.89578481199368</v>
      </c>
      <c r="AR244" s="38">
        <f t="shared" si="682"/>
        <v>239.89578481199368</v>
      </c>
      <c r="AS244" s="38">
        <f t="shared" si="683"/>
        <v>2.7066625581997639</v>
      </c>
      <c r="AT244" s="38">
        <f t="shared" si="626"/>
        <v>239.89578481199356</v>
      </c>
      <c r="AU244" s="38">
        <f t="shared" si="601"/>
        <v>1.0000000000000004</v>
      </c>
      <c r="AV244" s="38">
        <f t="shared" ref="AV244:AV307" si="715">AZ244/AT244</f>
        <v>1.1272655573426391</v>
      </c>
      <c r="AW244" s="4">
        <f t="shared" si="707"/>
        <v>0</v>
      </c>
      <c r="AX244" s="4">
        <f>I244/K244*J244^0.5/0.19</f>
        <v>272.55319549362031</v>
      </c>
      <c r="AY244" s="4">
        <f>MIN(0.6+0.4*(U244/T244),2)</f>
        <v>1.0421052631578949</v>
      </c>
      <c r="AZ244" s="38">
        <f t="shared" si="617"/>
        <v>270.42625557024172</v>
      </c>
      <c r="BA244" s="4">
        <f>MAX(1-0.7*W244/5,0.3)</f>
        <v>0.63965291210977526</v>
      </c>
      <c r="BB244" s="4">
        <f>BA244*G244*I244/(G244*K244/2.75/J244^0.5)</f>
        <v>91.092360118211744</v>
      </c>
      <c r="BC244" s="4">
        <f>AZ244+BB244</f>
        <v>361.51861568845345</v>
      </c>
      <c r="BE244" s="4">
        <f t="shared" si="627"/>
        <v>1.5</v>
      </c>
      <c r="BF244" s="4">
        <f t="shared" si="628"/>
        <v>467.29245367381208</v>
      </c>
      <c r="BH244" s="4">
        <f t="shared" si="633"/>
        <v>259.37185006794141</v>
      </c>
      <c r="BI244" s="4">
        <f t="shared" si="634"/>
        <v>0</v>
      </c>
      <c r="BJ244" s="4">
        <f t="shared" si="635"/>
        <v>0</v>
      </c>
      <c r="BR244" s="4">
        <f>IF(Q244=0,O244,MIN(Q244/2,O244))</f>
        <v>47.45</v>
      </c>
      <c r="BV244" s="9"/>
      <c r="BX244" s="9"/>
      <c r="BY244" s="9"/>
      <c r="BZ244" s="9">
        <f>IF(Q244=0,MIN(O244,P244),MIN(Q244/2,O244,P244))</f>
        <v>47.45</v>
      </c>
      <c r="CA244" s="9">
        <f>MAX(Q244/2,O244)</f>
        <v>53.45</v>
      </c>
      <c r="CB244" s="9">
        <f t="shared" si="604"/>
        <v>1.6045680808545388</v>
      </c>
      <c r="CC244" s="9">
        <v>20</v>
      </c>
      <c r="CD244" s="9">
        <f>MIN(PI()*AE244^2/4*AF244*2/R244/K244/MAX(0.01,AG244),0.05)</f>
        <v>0.05</v>
      </c>
      <c r="CE244" s="9">
        <f>MAX(0,CC244*(CD244-0.5/50))</f>
        <v>0.8</v>
      </c>
      <c r="CF244" s="9">
        <f>MIN(1,(25/K244)^0.3)</f>
        <v>1</v>
      </c>
      <c r="CG244" s="9">
        <f>IF(G244&gt;=800,0.68,IF(G244&gt;=700,0.75-(G244-700)*0.07/100,IF(G244&gt;=600,0.85-(G244-600)*0.1/100,IF(G244&gt;=500,1-(G244-500)*0.15/100,1.2-(G244-400)*0.2/100))))</f>
        <v>0.99099999999999999</v>
      </c>
      <c r="CH244" s="9">
        <f t="shared" si="606"/>
        <v>1.8056199488679785</v>
      </c>
      <c r="CI244" s="9">
        <f t="shared" si="607"/>
        <v>4.3417360952021458</v>
      </c>
      <c r="CJ244" s="9">
        <v>1</v>
      </c>
      <c r="CK244" s="9">
        <f t="shared" si="608"/>
        <v>433.2643454165073</v>
      </c>
      <c r="CM244" s="4">
        <f>AB244/AX244</f>
        <v>1.856778540561977</v>
      </c>
      <c r="CN244" s="4">
        <f>AB244/BC244</f>
        <v>1.3998474838990453</v>
      </c>
      <c r="CO244" s="4">
        <f t="shared" si="708"/>
        <v>1.0829854421475513</v>
      </c>
      <c r="CP244" s="4">
        <f>AB244/CK244</f>
        <v>1.1680419353862352</v>
      </c>
      <c r="CQ244" s="4">
        <f t="shared" si="694"/>
        <v>1</v>
      </c>
      <c r="CR244" s="4">
        <f t="shared" si="695"/>
        <v>1.0129564999845371</v>
      </c>
      <c r="CS244" s="4">
        <f t="shared" si="709"/>
        <v>1.2269966870795557</v>
      </c>
      <c r="DA244" s="4">
        <f t="shared" si="702"/>
        <v>1.856778540561977</v>
      </c>
      <c r="DB244" s="4">
        <f t="shared" si="702"/>
        <v>1.3998474838990453</v>
      </c>
      <c r="DC244" s="4">
        <f t="shared" si="703"/>
        <v>1.1680419353862352</v>
      </c>
      <c r="DD244" s="4">
        <f t="shared" ref="DD244:DD247" si="716">CS244</f>
        <v>1.2269966870795557</v>
      </c>
      <c r="DE244" s="4">
        <f t="shared" si="705"/>
        <v>1</v>
      </c>
      <c r="DF244" s="4">
        <f t="shared" si="705"/>
        <v>1.0129564999845371</v>
      </c>
      <c r="DH244" s="4">
        <f t="shared" si="557"/>
        <v>3</v>
      </c>
      <c r="DI244" s="4">
        <f>I244</f>
        <v>190</v>
      </c>
      <c r="DL244" s="4">
        <f t="shared" si="667"/>
        <v>1.7394186230005775E-5</v>
      </c>
      <c r="DM244" s="4">
        <f t="shared" si="558"/>
        <v>8.7855659228692318</v>
      </c>
      <c r="DN244" s="4">
        <f t="shared" si="668"/>
        <v>0.48320593455916955</v>
      </c>
      <c r="DO244" s="4">
        <f t="shared" si="669"/>
        <v>6.567841229558697</v>
      </c>
      <c r="DP244" s="4">
        <f t="shared" si="670"/>
        <v>7.7565381852510118</v>
      </c>
      <c r="DQ244" s="4">
        <f t="shared" si="671"/>
        <v>8.3998898005854343</v>
      </c>
      <c r="DR244" s="38">
        <f t="shared" si="684"/>
        <v>506.0709245541475</v>
      </c>
      <c r="DS244" s="4">
        <f t="shared" si="609"/>
        <v>1</v>
      </c>
      <c r="DT244" s="4">
        <f t="shared" si="672"/>
        <v>1.8904781857097592</v>
      </c>
      <c r="DU244" s="4">
        <f t="shared" si="618"/>
        <v>239.89578481199356</v>
      </c>
      <c r="DY244" s="4">
        <f t="shared" si="581"/>
        <v>0.85</v>
      </c>
      <c r="DZ244" s="4">
        <f t="shared" si="610"/>
        <v>0.85157068062827224</v>
      </c>
      <c r="EA244" s="4">
        <f t="shared" si="685"/>
        <v>0.7</v>
      </c>
      <c r="EB244" s="4">
        <f t="shared" si="611"/>
        <v>0.7</v>
      </c>
      <c r="ED244" s="4">
        <f t="shared" si="686"/>
        <v>499.59788457043589</v>
      </c>
      <c r="EE244" s="25">
        <f t="shared" si="687"/>
        <v>237.4108387047049</v>
      </c>
      <c r="EG244" s="4">
        <f t="shared" si="619"/>
        <v>0.59499999999999997</v>
      </c>
      <c r="EH244" s="4">
        <f t="shared" si="688"/>
        <v>8.7855659228692318</v>
      </c>
      <c r="EK244" s="4">
        <f t="shared" si="673"/>
        <v>36.108133347056402</v>
      </c>
      <c r="EL244" s="4">
        <f t="shared" si="674"/>
        <v>1.8904781857097592</v>
      </c>
      <c r="EM244" s="4">
        <f t="shared" si="675"/>
        <v>0.1375473318448516</v>
      </c>
      <c r="EP244" s="4">
        <f>EM244</f>
        <v>0.1375473318448516</v>
      </c>
      <c r="EQ244" s="4">
        <f t="shared" si="542"/>
        <v>0.48239955391173428</v>
      </c>
      <c r="ER244" s="4">
        <f t="shared" si="559"/>
        <v>6.5634548315054522</v>
      </c>
      <c r="ES244" s="4">
        <f>EH244/1.4*(1-EQ244^1.4)/(1-EQ244)</f>
        <v>7.7546828729423405</v>
      </c>
      <c r="ET244" s="4">
        <f t="shared" si="560"/>
        <v>106.39186665294361</v>
      </c>
      <c r="EU244" s="4">
        <f t="shared" si="561"/>
        <v>47.5</v>
      </c>
      <c r="EV244" s="4">
        <f t="shared" si="612"/>
        <v>1.7394186230005775E-5</v>
      </c>
      <c r="EW244" s="4">
        <f>MAX(0.5*EH244, (1-2*EV244*(EK244*ER244+ET244*ES244))/(1/EH244+EV244*EU244))</f>
        <v>8.3999977543842039</v>
      </c>
      <c r="EX244" s="4">
        <f t="shared" si="636"/>
        <v>506.0709245541475</v>
      </c>
      <c r="FG244" s="23">
        <f t="shared" si="711"/>
        <v>2</v>
      </c>
      <c r="FH244" s="23">
        <f t="shared" si="711"/>
        <v>1.4</v>
      </c>
      <c r="FI244" s="23">
        <f t="shared" si="712"/>
        <v>1.4</v>
      </c>
      <c r="FJ244" s="23">
        <f t="shared" si="713"/>
        <v>1.2</v>
      </c>
      <c r="FK244" s="23">
        <f t="shared" si="713"/>
        <v>1.2</v>
      </c>
      <c r="FL244" s="23">
        <f t="shared" si="713"/>
        <v>1.2</v>
      </c>
      <c r="FM244" s="23">
        <f t="shared" si="701"/>
        <v>0</v>
      </c>
      <c r="FN244" s="23"/>
      <c r="FX244" s="4">
        <f t="shared" si="613"/>
        <v>1.25</v>
      </c>
      <c r="FY244" s="4">
        <f t="shared" si="652"/>
        <v>0.50622953362009215</v>
      </c>
      <c r="FZ244" s="4">
        <f t="shared" si="614"/>
        <v>0.3</v>
      </c>
      <c r="GA244" s="4">
        <f t="shared" si="615"/>
        <v>412.44685489630422</v>
      </c>
    </row>
    <row r="245" spans="1:183" ht="12" customHeight="1" x14ac:dyDescent="0.3">
      <c r="A245" s="25">
        <v>227</v>
      </c>
      <c r="B245" s="24" t="s">
        <v>660</v>
      </c>
      <c r="C245" s="24">
        <v>2002</v>
      </c>
      <c r="D245" s="24" t="s">
        <v>309</v>
      </c>
      <c r="E245" s="24"/>
      <c r="F245" s="7" t="s">
        <v>362</v>
      </c>
      <c r="G245" s="7">
        <v>506</v>
      </c>
      <c r="H245" s="7">
        <v>190</v>
      </c>
      <c r="I245" s="7">
        <f>H245</f>
        <v>190</v>
      </c>
      <c r="J245" s="7">
        <v>27.1</v>
      </c>
      <c r="K245" s="7">
        <v>19.100000000000001</v>
      </c>
      <c r="L245" s="7">
        <f>H245/K245</f>
        <v>9.9476439790575917</v>
      </c>
      <c r="M245" s="7">
        <f>I245/K245</f>
        <v>9.9476439790575917</v>
      </c>
      <c r="N245" s="7">
        <v>240</v>
      </c>
      <c r="O245" s="7">
        <f t="shared" ref="O245:O247" si="717">63-K245/2</f>
        <v>53.45</v>
      </c>
      <c r="P245" s="7">
        <f>400-K245-I245</f>
        <v>190.89999999999998</v>
      </c>
      <c r="Q245" s="7">
        <f t="shared" ref="Q245:Q247" si="718">114-K245</f>
        <v>94.9</v>
      </c>
      <c r="R245" s="7">
        <v>2</v>
      </c>
      <c r="S245" s="7"/>
      <c r="T245" s="7">
        <f>MIN(O245/K245+0.5, Q245/2/K245+0.5)</f>
        <v>2.9842931937172774</v>
      </c>
      <c r="U245" s="7">
        <f t="shared" si="631"/>
        <v>3.2984293193717278</v>
      </c>
      <c r="V245" s="7">
        <f t="shared" ref="V245:V247" si="719">32^2/(PI()/4*K245^2)-1</f>
        <v>2.5739077706444626</v>
      </c>
      <c r="W245" s="7">
        <f t="shared" ref="W245:W247" si="720">32^2/(PI()/4*K245^2)-1</f>
        <v>2.5739077706444626</v>
      </c>
      <c r="X245" s="7">
        <f>W245+1</f>
        <v>3.5739077706444626</v>
      </c>
      <c r="Y245" s="7">
        <f>K245*X245^0.5</f>
        <v>36.108133347056402</v>
      </c>
      <c r="Z245" s="7"/>
      <c r="AA245" s="7"/>
      <c r="AB245" s="7">
        <f>302/(PI()/4*K245^2)*1000/R245</f>
        <v>527.0117903977673</v>
      </c>
      <c r="AC245" s="7"/>
      <c r="AD245" s="4">
        <f t="shared" si="666"/>
        <v>1</v>
      </c>
      <c r="AE245" s="7">
        <v>9.5</v>
      </c>
      <c r="AF245" s="10">
        <v>3</v>
      </c>
      <c r="AG245" s="7">
        <v>57</v>
      </c>
      <c r="AH245" s="7">
        <v>4</v>
      </c>
      <c r="AI245" s="7">
        <f t="shared" si="714"/>
        <v>3</v>
      </c>
      <c r="AJ245" s="7"/>
      <c r="AK245" s="4">
        <f>H245</f>
        <v>190</v>
      </c>
      <c r="AL245" s="4">
        <f t="shared" si="678"/>
        <v>0.42105263157894735</v>
      </c>
      <c r="AM245" s="4">
        <f t="shared" si="679"/>
        <v>237.91862175035638</v>
      </c>
      <c r="AN245" s="4">
        <f t="shared" si="680"/>
        <v>0.76631578947368417</v>
      </c>
      <c r="AO245" s="4">
        <v>1.25</v>
      </c>
      <c r="AP245" s="4">
        <f t="shared" si="624"/>
        <v>2.5</v>
      </c>
      <c r="AQ245" s="38">
        <f>AL245*AN245*AO245*AP245*AM245</f>
        <v>239.89578481199368</v>
      </c>
      <c r="AR245" s="38">
        <f t="shared" si="682"/>
        <v>239.89578481199368</v>
      </c>
      <c r="AS245" s="38">
        <f t="shared" si="683"/>
        <v>2.7066625581997639</v>
      </c>
      <c r="AT245" s="38">
        <f t="shared" si="626"/>
        <v>239.89578481199356</v>
      </c>
      <c r="AU245" s="38">
        <f t="shared" si="601"/>
        <v>1.0000000000000004</v>
      </c>
      <c r="AV245" s="38">
        <f t="shared" si="715"/>
        <v>1.1272655573426391</v>
      </c>
      <c r="AW245" s="4">
        <f t="shared" si="707"/>
        <v>0</v>
      </c>
      <c r="AX245" s="4">
        <f>I245/K245*J245^0.5/0.19</f>
        <v>272.55319549362031</v>
      </c>
      <c r="AY245" s="4">
        <f>MIN(0.6+0.4*(U245/T245),2)</f>
        <v>1.0421052631578949</v>
      </c>
      <c r="AZ245" s="38">
        <f t="shared" si="617"/>
        <v>270.42625557024172</v>
      </c>
      <c r="BA245" s="4">
        <f>MAX(1-0.7*W245/5,0.3)</f>
        <v>0.63965291210977526</v>
      </c>
      <c r="BB245" s="4">
        <f>BA245*G245*I245/(G245*K245/2.75/J245^0.5)</f>
        <v>91.092360118211744</v>
      </c>
      <c r="BC245" s="4">
        <f>AZ245+BB245</f>
        <v>361.51861568845345</v>
      </c>
      <c r="BE245" s="4">
        <f t="shared" si="627"/>
        <v>1.5</v>
      </c>
      <c r="BF245" s="4">
        <f t="shared" si="628"/>
        <v>467.29245367381208</v>
      </c>
      <c r="BH245" s="4">
        <f t="shared" si="633"/>
        <v>259.37185006794141</v>
      </c>
      <c r="BI245" s="4">
        <f t="shared" si="634"/>
        <v>0</v>
      </c>
      <c r="BJ245" s="4">
        <f t="shared" si="635"/>
        <v>0</v>
      </c>
      <c r="BR245" s="4">
        <f>IF(Q245=0,O245,MIN(Q245/2,O245))</f>
        <v>47.45</v>
      </c>
      <c r="BV245" s="9"/>
      <c r="BX245" s="9"/>
      <c r="BY245" s="9"/>
      <c r="BZ245" s="9">
        <f>IF(Q245=0,MIN(O245,P245),MIN(Q245/2,O245,P245))</f>
        <v>47.45</v>
      </c>
      <c r="CA245" s="9">
        <f>MAX(Q245/2,O245)</f>
        <v>53.45</v>
      </c>
      <c r="CB245" s="9">
        <f t="shared" si="604"/>
        <v>1.6045680808545388</v>
      </c>
      <c r="CC245" s="9">
        <v>20</v>
      </c>
      <c r="CD245" s="9">
        <f>MIN(PI()*AE245^2/4*AF245*2/R245/K245/MAX(0.01,AG245),0.05)</f>
        <v>0.05</v>
      </c>
      <c r="CE245" s="9">
        <f>MAX(0,CC245*(CD245-0.5/50))</f>
        <v>0.8</v>
      </c>
      <c r="CF245" s="9">
        <f>MIN(1,(25/K245)^0.3)</f>
        <v>1</v>
      </c>
      <c r="CG245" s="9">
        <f>IF(G245&gt;=800,0.68,IF(G245&gt;=700,0.75-(G245-700)*0.07/100,IF(G245&gt;=600,0.85-(G245-600)*0.1/100,IF(G245&gt;=500,1-(G245-500)*0.15/100,1.2-(G245-400)*0.2/100))))</f>
        <v>0.99099999999999999</v>
      </c>
      <c r="CH245" s="9">
        <f t="shared" si="606"/>
        <v>1.8056199488679785</v>
      </c>
      <c r="CI245" s="9">
        <f t="shared" si="607"/>
        <v>4.3417360952021458</v>
      </c>
      <c r="CJ245" s="9">
        <v>1</v>
      </c>
      <c r="CK245" s="9">
        <f t="shared" si="608"/>
        <v>433.2643454165073</v>
      </c>
      <c r="CM245" s="4">
        <f>AB245/AX245</f>
        <v>1.9336107560335067</v>
      </c>
      <c r="CN245" s="4">
        <f>AB245/BC245</f>
        <v>1.4577722073707298</v>
      </c>
      <c r="CO245" s="4">
        <f t="shared" si="708"/>
        <v>1.127798632857105</v>
      </c>
      <c r="CP245" s="4">
        <f>AB245/CK245</f>
        <v>1.2163747051263551</v>
      </c>
      <c r="CQ245" s="4">
        <f t="shared" si="694"/>
        <v>1</v>
      </c>
      <c r="CR245" s="4">
        <f t="shared" si="695"/>
        <v>1.0548719413632073</v>
      </c>
      <c r="CS245" s="4">
        <f t="shared" si="709"/>
        <v>1.2777689637862957</v>
      </c>
      <c r="DA245" s="4">
        <f t="shared" si="702"/>
        <v>1.9336107560335067</v>
      </c>
      <c r="DB245" s="4">
        <f t="shared" si="702"/>
        <v>1.4577722073707298</v>
      </c>
      <c r="DC245" s="4">
        <f t="shared" si="703"/>
        <v>1.2163747051263551</v>
      </c>
      <c r="DD245" s="4">
        <f t="shared" si="716"/>
        <v>1.2777689637862957</v>
      </c>
      <c r="DE245" s="4">
        <f t="shared" si="705"/>
        <v>1</v>
      </c>
      <c r="DF245" s="4">
        <f t="shared" si="705"/>
        <v>1.0548719413632073</v>
      </c>
      <c r="DH245" s="4">
        <f t="shared" si="557"/>
        <v>3</v>
      </c>
      <c r="DI245" s="4">
        <f>I245</f>
        <v>190</v>
      </c>
      <c r="DL245" s="4">
        <f t="shared" si="667"/>
        <v>1.7394186230005775E-5</v>
      </c>
      <c r="DM245" s="4">
        <f t="shared" si="558"/>
        <v>8.7855659228692318</v>
      </c>
      <c r="DN245" s="4">
        <f t="shared" si="668"/>
        <v>0.48320593455916955</v>
      </c>
      <c r="DO245" s="4">
        <f t="shared" si="669"/>
        <v>6.567841229558697</v>
      </c>
      <c r="DP245" s="4">
        <f t="shared" si="670"/>
        <v>7.7565381852510118</v>
      </c>
      <c r="DQ245" s="4">
        <f t="shared" si="671"/>
        <v>8.3998898005854343</v>
      </c>
      <c r="DR245" s="38">
        <f t="shared" si="684"/>
        <v>527.0117903977673</v>
      </c>
      <c r="DS245" s="4">
        <f t="shared" si="609"/>
        <v>1</v>
      </c>
      <c r="DT245" s="4">
        <f t="shared" si="672"/>
        <v>1.8904781857097592</v>
      </c>
      <c r="DU245" s="4">
        <f t="shared" si="618"/>
        <v>239.89578481199356</v>
      </c>
      <c r="DY245" s="4">
        <f t="shared" si="581"/>
        <v>0.85</v>
      </c>
      <c r="DZ245" s="4">
        <f t="shared" si="610"/>
        <v>0.85157068062827224</v>
      </c>
      <c r="EA245" s="4">
        <f t="shared" si="685"/>
        <v>0.7</v>
      </c>
      <c r="EB245" s="4">
        <f t="shared" si="611"/>
        <v>0.7</v>
      </c>
      <c r="ED245" s="4">
        <f t="shared" si="686"/>
        <v>499.59788457043589</v>
      </c>
      <c r="EE245" s="25">
        <f t="shared" si="687"/>
        <v>237.4108387047049</v>
      </c>
      <c r="EG245" s="4">
        <f t="shared" si="619"/>
        <v>0.59499999999999997</v>
      </c>
      <c r="EH245" s="4">
        <f t="shared" si="688"/>
        <v>8.7855659228692318</v>
      </c>
      <c r="EK245" s="4">
        <f t="shared" si="673"/>
        <v>36.108133347056402</v>
      </c>
      <c r="EL245" s="4">
        <f t="shared" si="674"/>
        <v>1.8904781857097592</v>
      </c>
      <c r="EM245" s="4">
        <f t="shared" si="675"/>
        <v>0.1375473318448516</v>
      </c>
      <c r="EP245" s="4">
        <f>EM245</f>
        <v>0.1375473318448516</v>
      </c>
      <c r="EQ245" s="4">
        <f t="shared" ref="EQ245:EQ308" si="721">MIN(0.999, EP245/(0.3*(J245/30)^0.5))</f>
        <v>0.48239955391173428</v>
      </c>
      <c r="ER245" s="4">
        <f t="shared" si="559"/>
        <v>6.5634548315054522</v>
      </c>
      <c r="ES245" s="4">
        <f>EH245/1.4*(1-EQ245^1.4)/(1-EQ245)</f>
        <v>7.7546828729423405</v>
      </c>
      <c r="ET245" s="4">
        <f t="shared" si="560"/>
        <v>106.39186665294361</v>
      </c>
      <c r="EU245" s="4">
        <f t="shared" si="561"/>
        <v>47.5</v>
      </c>
      <c r="EV245" s="4">
        <f t="shared" si="612"/>
        <v>1.7394186230005775E-5</v>
      </c>
      <c r="EW245" s="4">
        <f>MAX(0.5*EH245, (1-2*EV245*(EK245*ER245+ET245*ES245))/(1/EH245+EV245*EU245))</f>
        <v>8.3999977543842039</v>
      </c>
      <c r="EX245" s="4">
        <f t="shared" si="636"/>
        <v>527.0117903977673</v>
      </c>
      <c r="FG245" s="23">
        <f t="shared" si="711"/>
        <v>2</v>
      </c>
      <c r="FH245" s="23">
        <f t="shared" si="711"/>
        <v>1.6</v>
      </c>
      <c r="FI245" s="23">
        <f t="shared" si="712"/>
        <v>1.4</v>
      </c>
      <c r="FJ245" s="23">
        <f t="shared" si="713"/>
        <v>1.4</v>
      </c>
      <c r="FK245" s="23">
        <f t="shared" si="713"/>
        <v>1.2</v>
      </c>
      <c r="FL245" s="23">
        <f t="shared" si="713"/>
        <v>1.2</v>
      </c>
      <c r="FM245" s="23">
        <f t="shared" si="701"/>
        <v>0</v>
      </c>
      <c r="FN245" s="23"/>
      <c r="FX245" s="4">
        <f t="shared" si="613"/>
        <v>1.25</v>
      </c>
      <c r="FY245" s="4">
        <f t="shared" si="652"/>
        <v>0.50622953362009215</v>
      </c>
      <c r="FZ245" s="4">
        <f t="shared" si="614"/>
        <v>0.3</v>
      </c>
      <c r="GA245" s="4">
        <f t="shared" si="615"/>
        <v>412.44685489630422</v>
      </c>
    </row>
    <row r="246" spans="1:183" ht="12" customHeight="1" x14ac:dyDescent="0.3">
      <c r="A246" s="25">
        <v>228</v>
      </c>
      <c r="B246" s="24" t="s">
        <v>660</v>
      </c>
      <c r="C246" s="24">
        <v>2002</v>
      </c>
      <c r="D246" s="24" t="s">
        <v>309</v>
      </c>
      <c r="E246" s="24"/>
      <c r="F246" s="7" t="s">
        <v>127</v>
      </c>
      <c r="G246" s="7">
        <v>506</v>
      </c>
      <c r="H246" s="7">
        <v>190</v>
      </c>
      <c r="I246" s="7">
        <f>H246</f>
        <v>190</v>
      </c>
      <c r="J246" s="7">
        <v>27.1</v>
      </c>
      <c r="K246" s="7">
        <v>19.100000000000001</v>
      </c>
      <c r="L246" s="7">
        <f>H246/K246</f>
        <v>9.9476439790575917</v>
      </c>
      <c r="M246" s="7">
        <f>I246/K246</f>
        <v>9.9476439790575917</v>
      </c>
      <c r="N246" s="7">
        <v>240</v>
      </c>
      <c r="O246" s="7">
        <f t="shared" si="717"/>
        <v>53.45</v>
      </c>
      <c r="P246" s="7">
        <f>400-K246-I246</f>
        <v>190.89999999999998</v>
      </c>
      <c r="Q246" s="7">
        <f t="shared" si="718"/>
        <v>94.9</v>
      </c>
      <c r="R246" s="7">
        <v>2</v>
      </c>
      <c r="S246" s="7"/>
      <c r="T246" s="7">
        <f t="shared" si="621"/>
        <v>2.9842931937172774</v>
      </c>
      <c r="U246" s="7">
        <f t="shared" si="631"/>
        <v>3.2984293193717278</v>
      </c>
      <c r="V246" s="7">
        <f t="shared" si="719"/>
        <v>2.5739077706444626</v>
      </c>
      <c r="W246" s="7">
        <f t="shared" si="720"/>
        <v>2.5739077706444626</v>
      </c>
      <c r="X246" s="7">
        <f>W246+1</f>
        <v>3.5739077706444626</v>
      </c>
      <c r="Y246" s="7">
        <f>K246*X246^0.5</f>
        <v>36.108133347056402</v>
      </c>
      <c r="Z246" s="7"/>
      <c r="AA246" s="7"/>
      <c r="AB246" s="7">
        <f>284/(PI()/4*K246^2)*1000/R246</f>
        <v>495.60049163233754</v>
      </c>
      <c r="AC246" s="7"/>
      <c r="AD246" s="4">
        <f t="shared" si="666"/>
        <v>0.97944761192161567</v>
      </c>
      <c r="AE246" s="7">
        <v>9.5</v>
      </c>
      <c r="AF246" s="10">
        <v>2</v>
      </c>
      <c r="AG246" s="7">
        <v>114</v>
      </c>
      <c r="AH246" s="7">
        <v>2</v>
      </c>
      <c r="AI246" s="7">
        <f t="shared" si="714"/>
        <v>2</v>
      </c>
      <c r="AJ246" s="7"/>
      <c r="AK246" s="4">
        <f>H246</f>
        <v>190</v>
      </c>
      <c r="AL246" s="4">
        <f t="shared" si="678"/>
        <v>0.42105263157894735</v>
      </c>
      <c r="AM246" s="4">
        <f t="shared" si="679"/>
        <v>237.91862175035638</v>
      </c>
      <c r="AN246" s="4">
        <f t="shared" si="680"/>
        <v>0.76631578947368417</v>
      </c>
      <c r="AO246" s="4">
        <v>1.25</v>
      </c>
      <c r="AP246" s="4">
        <f t="shared" si="624"/>
        <v>2.5</v>
      </c>
      <c r="AQ246" s="38">
        <f>AL246*AN246*AO246*AP246*AM246</f>
        <v>239.89578481199368</v>
      </c>
      <c r="AR246" s="38">
        <f t="shared" si="682"/>
        <v>239.89578481199368</v>
      </c>
      <c r="AS246" s="38">
        <f t="shared" si="683"/>
        <v>2.7066625581997639</v>
      </c>
      <c r="AT246" s="38">
        <f t="shared" si="626"/>
        <v>239.89578481199356</v>
      </c>
      <c r="AU246" s="38">
        <f t="shared" si="601"/>
        <v>1.0000000000000004</v>
      </c>
      <c r="AV246" s="38">
        <f t="shared" si="715"/>
        <v>1.1272655573426391</v>
      </c>
      <c r="AW246" s="4">
        <f t="shared" si="707"/>
        <v>0</v>
      </c>
      <c r="AX246" s="4">
        <f>I246/K246*J246^0.5/0.19</f>
        <v>272.55319549362031</v>
      </c>
      <c r="AY246" s="4">
        <f>MIN(0.6+0.4*(U246/T246),2)</f>
        <v>1.0421052631578949</v>
      </c>
      <c r="AZ246" s="38">
        <f t="shared" si="617"/>
        <v>270.42625557024172</v>
      </c>
      <c r="BA246" s="4">
        <f>MAX(1-0.7*W246/5,0.3)</f>
        <v>0.63965291210977526</v>
      </c>
      <c r="BB246" s="4">
        <f>BA246*G246*I246/(G246*K246/2.75/J246^0.5)</f>
        <v>91.092360118211744</v>
      </c>
      <c r="BC246" s="4">
        <f>AZ246+BB246</f>
        <v>361.51861568845345</v>
      </c>
      <c r="BE246" s="4">
        <f t="shared" si="627"/>
        <v>1.5</v>
      </c>
      <c r="BF246" s="4">
        <f t="shared" si="628"/>
        <v>467.29245367381208</v>
      </c>
      <c r="BH246" s="4">
        <f t="shared" si="633"/>
        <v>259.37185006794141</v>
      </c>
      <c r="BI246" s="4">
        <f t="shared" si="634"/>
        <v>0</v>
      </c>
      <c r="BJ246" s="4">
        <f t="shared" si="635"/>
        <v>0</v>
      </c>
      <c r="BR246" s="4">
        <f>IF(Q246=0,O246,MIN(Q246/2,O246))</f>
        <v>47.45</v>
      </c>
      <c r="BV246" s="9"/>
      <c r="BX246" s="9"/>
      <c r="BY246" s="9"/>
      <c r="BZ246" s="9">
        <f>IF(Q246=0,MIN(O246,P246),MIN(Q246/2,O246,P246))</f>
        <v>47.45</v>
      </c>
      <c r="CA246" s="9">
        <f>MAX(Q246/2,O246)</f>
        <v>53.45</v>
      </c>
      <c r="CB246" s="9">
        <f t="shared" si="604"/>
        <v>1.6045680808545388</v>
      </c>
      <c r="CC246" s="9">
        <v>20</v>
      </c>
      <c r="CD246" s="9">
        <f>MIN(PI()*AE246^2/4*AF246*2/R246/K246/MAX(0.01,AG246),0.05)</f>
        <v>0.05</v>
      </c>
      <c r="CE246" s="9">
        <f>MAX(0,CC246*(CD246-0.5/50))</f>
        <v>0.8</v>
      </c>
      <c r="CF246" s="9">
        <f>MIN(1,(25/K246)^0.3)</f>
        <v>1</v>
      </c>
      <c r="CG246" s="9">
        <f>IF(G246&gt;=800,0.68,IF(G246&gt;=700,0.75-(G246-700)*0.07/100,IF(G246&gt;=600,0.85-(G246-600)*0.1/100,IF(G246&gt;=500,1-(G246-500)*0.15/100,1.2-(G246-400)*0.2/100))))</f>
        <v>0.99099999999999999</v>
      </c>
      <c r="CH246" s="9">
        <f t="shared" si="606"/>
        <v>1.8056199488679785</v>
      </c>
      <c r="CI246" s="9">
        <f t="shared" si="607"/>
        <v>4.3417360952021458</v>
      </c>
      <c r="CJ246" s="9">
        <v>1</v>
      </c>
      <c r="CK246" s="9">
        <f t="shared" si="608"/>
        <v>433.2643454165073</v>
      </c>
      <c r="CM246" s="4">
        <f>AB246/AX246</f>
        <v>1.8183624328262118</v>
      </c>
      <c r="CN246" s="4">
        <f>AB246/BC246</f>
        <v>1.370885122163203</v>
      </c>
      <c r="CO246" s="4">
        <f t="shared" si="708"/>
        <v>1.0605788467927744</v>
      </c>
      <c r="CP246" s="4">
        <f>AB246/CK246</f>
        <v>1.1438755505161751</v>
      </c>
      <c r="CQ246" s="4">
        <f t="shared" si="694"/>
        <v>0.97944761192161567</v>
      </c>
      <c r="CR246" s="4">
        <f t="shared" si="695"/>
        <v>0.99199877929520175</v>
      </c>
      <c r="CS246" s="4">
        <f t="shared" si="709"/>
        <v>1.2016105487261854</v>
      </c>
      <c r="DA246" s="4">
        <f t="shared" si="702"/>
        <v>1.8183624328262118</v>
      </c>
      <c r="DB246" s="4">
        <f t="shared" si="702"/>
        <v>1.370885122163203</v>
      </c>
      <c r="DC246" s="4">
        <f t="shared" si="703"/>
        <v>1.1438755505161751</v>
      </c>
      <c r="DD246" s="4">
        <f t="shared" si="716"/>
        <v>1.2016105487261854</v>
      </c>
      <c r="DE246" s="4">
        <f t="shared" si="705"/>
        <v>0.97944761192161567</v>
      </c>
      <c r="DF246" s="4">
        <f t="shared" si="705"/>
        <v>0.99199877929520175</v>
      </c>
      <c r="DH246" s="4">
        <f t="shared" si="557"/>
        <v>2</v>
      </c>
      <c r="DI246" s="4">
        <f>I246</f>
        <v>190</v>
      </c>
      <c r="DL246" s="4">
        <f t="shared" si="667"/>
        <v>1.7394186230005775E-5</v>
      </c>
      <c r="DM246" s="4">
        <f t="shared" si="558"/>
        <v>8.7855659228692318</v>
      </c>
      <c r="DN246" s="4">
        <f t="shared" si="668"/>
        <v>0.48320593455916955</v>
      </c>
      <c r="DO246" s="4">
        <f t="shared" si="669"/>
        <v>6.567841229558697</v>
      </c>
      <c r="DP246" s="4">
        <f t="shared" si="670"/>
        <v>7.7565381852510118</v>
      </c>
      <c r="DQ246" s="4">
        <f t="shared" si="671"/>
        <v>8.3998898005854343</v>
      </c>
      <c r="DR246" s="38">
        <f t="shared" si="684"/>
        <v>506</v>
      </c>
      <c r="DS246" s="4">
        <f t="shared" si="609"/>
        <v>1</v>
      </c>
      <c r="DT246" s="4">
        <f t="shared" si="672"/>
        <v>1.8904781857097592</v>
      </c>
      <c r="DU246" s="4">
        <f t="shared" si="618"/>
        <v>239.89578481199356</v>
      </c>
      <c r="DY246" s="4">
        <f t="shared" si="581"/>
        <v>0.85</v>
      </c>
      <c r="DZ246" s="4">
        <f t="shared" si="610"/>
        <v>0.85157068062827224</v>
      </c>
      <c r="EA246" s="4">
        <f t="shared" si="685"/>
        <v>0.77813313779775783</v>
      </c>
      <c r="EB246" s="4">
        <f t="shared" si="611"/>
        <v>0.7</v>
      </c>
      <c r="ED246" s="4">
        <f t="shared" si="686"/>
        <v>499.59788457043589</v>
      </c>
      <c r="EE246" s="25">
        <f t="shared" si="687"/>
        <v>237.4108387047049</v>
      </c>
      <c r="EG246" s="4">
        <f t="shared" si="619"/>
        <v>0.59499999999999997</v>
      </c>
      <c r="EH246" s="4">
        <f t="shared" si="688"/>
        <v>8.7855659228692318</v>
      </c>
      <c r="EK246" s="4">
        <f t="shared" si="673"/>
        <v>36.108133347056402</v>
      </c>
      <c r="EL246" s="4">
        <f t="shared" si="674"/>
        <v>1.8904781857097592</v>
      </c>
      <c r="EM246" s="4">
        <f t="shared" si="675"/>
        <v>0.1375473318448516</v>
      </c>
      <c r="EP246" s="4">
        <f>EM246</f>
        <v>0.1375473318448516</v>
      </c>
      <c r="EQ246" s="4">
        <f t="shared" si="721"/>
        <v>0.48239955391173428</v>
      </c>
      <c r="ER246" s="4">
        <f t="shared" si="559"/>
        <v>6.5634548315054522</v>
      </c>
      <c r="ES246" s="4">
        <f>EH246/1.4*(1-EQ246^1.4)/(1-EQ246)</f>
        <v>7.7546828729423405</v>
      </c>
      <c r="ET246" s="4">
        <f t="shared" si="560"/>
        <v>106.39186665294361</v>
      </c>
      <c r="EU246" s="4">
        <f t="shared" si="561"/>
        <v>47.5</v>
      </c>
      <c r="EV246" s="4">
        <f t="shared" si="612"/>
        <v>1.7394186230005775E-5</v>
      </c>
      <c r="EW246" s="4">
        <f>MAX(0.5*EH246, (1-2*EV246*(EK246*ER246+ET246*ES246))/(1/EH246+EV246*EU246))</f>
        <v>8.3999977543842039</v>
      </c>
      <c r="EX246" s="4">
        <f t="shared" si="636"/>
        <v>506</v>
      </c>
      <c r="FG246" s="23">
        <f t="shared" si="711"/>
        <v>2</v>
      </c>
      <c r="FH246" s="23">
        <f t="shared" si="711"/>
        <v>1.4</v>
      </c>
      <c r="FI246" s="23">
        <f t="shared" si="712"/>
        <v>1.4</v>
      </c>
      <c r="FJ246" s="23">
        <f t="shared" si="713"/>
        <v>1.2</v>
      </c>
      <c r="FK246" s="23">
        <f t="shared" si="713"/>
        <v>1</v>
      </c>
      <c r="FL246" s="23">
        <f t="shared" si="713"/>
        <v>1</v>
      </c>
      <c r="FM246" s="23">
        <f t="shared" si="701"/>
        <v>0</v>
      </c>
      <c r="FN246" s="23"/>
      <c r="FX246" s="4">
        <f t="shared" si="613"/>
        <v>1.25</v>
      </c>
      <c r="FY246" s="4">
        <f t="shared" si="652"/>
        <v>0.50622953362009215</v>
      </c>
      <c r="FZ246" s="4">
        <f t="shared" si="614"/>
        <v>0.3</v>
      </c>
      <c r="GA246" s="4">
        <f t="shared" si="615"/>
        <v>412.44685489630422</v>
      </c>
    </row>
    <row r="247" spans="1:183" ht="12" customHeight="1" x14ac:dyDescent="0.3">
      <c r="A247" s="25">
        <v>229</v>
      </c>
      <c r="B247" s="24" t="s">
        <v>660</v>
      </c>
      <c r="C247" s="24">
        <v>2002</v>
      </c>
      <c r="D247" s="24" t="s">
        <v>309</v>
      </c>
      <c r="E247" s="24"/>
      <c r="F247" s="7" t="s">
        <v>364</v>
      </c>
      <c r="G247" s="7">
        <v>506</v>
      </c>
      <c r="H247" s="7">
        <v>190</v>
      </c>
      <c r="I247" s="7">
        <f>H247</f>
        <v>190</v>
      </c>
      <c r="J247" s="7">
        <v>27.1</v>
      </c>
      <c r="K247" s="7">
        <v>19.100000000000001</v>
      </c>
      <c r="L247" s="7">
        <f>H247/K247</f>
        <v>9.9476439790575917</v>
      </c>
      <c r="M247" s="7">
        <f>I247/K247</f>
        <v>9.9476439790575917</v>
      </c>
      <c r="N247" s="7">
        <v>240</v>
      </c>
      <c r="O247" s="7">
        <f t="shared" si="717"/>
        <v>53.45</v>
      </c>
      <c r="P247" s="7">
        <f>400-K247-I247</f>
        <v>190.89999999999998</v>
      </c>
      <c r="Q247" s="7">
        <f t="shared" si="718"/>
        <v>94.9</v>
      </c>
      <c r="R247" s="7">
        <v>2</v>
      </c>
      <c r="S247" s="7"/>
      <c r="T247" s="7">
        <f t="shared" si="621"/>
        <v>2.9842931937172774</v>
      </c>
      <c r="U247" s="7">
        <f t="shared" si="631"/>
        <v>3.2984293193717278</v>
      </c>
      <c r="V247" s="7">
        <f t="shared" si="719"/>
        <v>2.5739077706444626</v>
      </c>
      <c r="W247" s="7">
        <f t="shared" si="720"/>
        <v>2.5739077706444626</v>
      </c>
      <c r="X247" s="7">
        <f>W247+1</f>
        <v>3.5739077706444626</v>
      </c>
      <c r="Y247" s="7">
        <f>K247*X247^0.5</f>
        <v>36.108133347056402</v>
      </c>
      <c r="Z247" s="7"/>
      <c r="AA247" s="7"/>
      <c r="AB247" s="7">
        <f>287/(PI()/4*K247^2)*1000/R247</f>
        <v>500.83570809324249</v>
      </c>
      <c r="AC247" s="7"/>
      <c r="AD247" s="4">
        <f t="shared" si="666"/>
        <v>0.98979388951233693</v>
      </c>
      <c r="AE247" s="7">
        <v>9.5</v>
      </c>
      <c r="AF247" s="10">
        <v>2</v>
      </c>
      <c r="AG247" s="7">
        <v>114</v>
      </c>
      <c r="AH247" s="7">
        <v>2</v>
      </c>
      <c r="AI247" s="7">
        <f t="shared" si="714"/>
        <v>2</v>
      </c>
      <c r="AJ247" s="7"/>
      <c r="AK247" s="4">
        <f>H247</f>
        <v>190</v>
      </c>
      <c r="AL247" s="4">
        <f t="shared" si="678"/>
        <v>0.42105263157894735</v>
      </c>
      <c r="AM247" s="4">
        <f t="shared" si="679"/>
        <v>237.91862175035638</v>
      </c>
      <c r="AN247" s="4">
        <f t="shared" si="680"/>
        <v>0.76631578947368417</v>
      </c>
      <c r="AO247" s="4">
        <v>1.25</v>
      </c>
      <c r="AP247" s="4">
        <f t="shared" si="624"/>
        <v>2.5</v>
      </c>
      <c r="AQ247" s="38">
        <f>AL247*AN247*AO247*AP247*AM247</f>
        <v>239.89578481199368</v>
      </c>
      <c r="AR247" s="38">
        <f t="shared" si="682"/>
        <v>239.89578481199368</v>
      </c>
      <c r="AS247" s="38">
        <f t="shared" si="683"/>
        <v>2.7066625581997639</v>
      </c>
      <c r="AT247" s="38">
        <f t="shared" si="626"/>
        <v>239.89578481199356</v>
      </c>
      <c r="AU247" s="38">
        <f t="shared" si="601"/>
        <v>1.0000000000000004</v>
      </c>
      <c r="AV247" s="38">
        <f t="shared" si="715"/>
        <v>1.1272655573426391</v>
      </c>
      <c r="AW247" s="4">
        <f t="shared" si="707"/>
        <v>0</v>
      </c>
      <c r="AX247" s="4">
        <f>I247/K247*J247^0.5/0.19</f>
        <v>272.55319549362031</v>
      </c>
      <c r="AY247" s="4">
        <f>MIN(0.6+0.4*(U247/T247),2)</f>
        <v>1.0421052631578949</v>
      </c>
      <c r="AZ247" s="38">
        <f t="shared" si="617"/>
        <v>270.42625557024172</v>
      </c>
      <c r="BA247" s="4">
        <f>MAX(1-0.7*W247/5,0.3)</f>
        <v>0.63965291210977526</v>
      </c>
      <c r="BB247" s="4">
        <f>BA247*G247*I247/(G247*K247/2.75/J247^0.5)</f>
        <v>91.092360118211744</v>
      </c>
      <c r="BC247" s="4">
        <f>AZ247+BB247</f>
        <v>361.51861568845345</v>
      </c>
      <c r="BE247" s="4">
        <f t="shared" si="627"/>
        <v>1.5</v>
      </c>
      <c r="BF247" s="4">
        <f t="shared" si="628"/>
        <v>467.29245367381208</v>
      </c>
      <c r="BH247" s="4">
        <f t="shared" si="633"/>
        <v>259.37185006794141</v>
      </c>
      <c r="BI247" s="4">
        <f t="shared" si="634"/>
        <v>0</v>
      </c>
      <c r="BJ247" s="4">
        <f t="shared" si="635"/>
        <v>0</v>
      </c>
      <c r="BR247" s="4">
        <f>IF(Q247=0,O247,MIN(Q247/2,O247))</f>
        <v>47.45</v>
      </c>
      <c r="BV247" s="9"/>
      <c r="BX247" s="9"/>
      <c r="BY247" s="9"/>
      <c r="BZ247" s="9">
        <f>IF(Q247=0,MIN(O247,P247),MIN(Q247/2,O247,P247))</f>
        <v>47.45</v>
      </c>
      <c r="CA247" s="9">
        <f>MAX(Q247/2,O247)</f>
        <v>53.45</v>
      </c>
      <c r="CB247" s="9">
        <f t="shared" si="604"/>
        <v>1.6045680808545388</v>
      </c>
      <c r="CC247" s="9">
        <v>20</v>
      </c>
      <c r="CD247" s="9">
        <f>MIN(PI()*AE247^2/4*AF247*2/R247/K247/MAX(0.01,AG247),0.05)</f>
        <v>0.05</v>
      </c>
      <c r="CE247" s="9">
        <f>MAX(0,CC247*(CD247-0.5/50))</f>
        <v>0.8</v>
      </c>
      <c r="CF247" s="9">
        <f>MIN(1,(25/K247)^0.3)</f>
        <v>1</v>
      </c>
      <c r="CG247" s="9">
        <f>IF(G247&gt;=800,0.68,IF(G247&gt;=700,0.75-(G247-700)*0.07/100,IF(G247&gt;=600,0.85-(G247-600)*0.1/100,IF(G247&gt;=500,1-(G247-500)*0.15/100,1.2-(G247-400)*0.2/100))))</f>
        <v>0.99099999999999999</v>
      </c>
      <c r="CH247" s="9">
        <f t="shared" si="606"/>
        <v>1.8056199488679785</v>
      </c>
      <c r="CI247" s="9">
        <f t="shared" si="607"/>
        <v>4.3417360952021458</v>
      </c>
      <c r="CJ247" s="9">
        <v>1</v>
      </c>
      <c r="CK247" s="9">
        <f t="shared" si="608"/>
        <v>433.2643454165073</v>
      </c>
      <c r="CM247" s="4">
        <f>AB247/AX247</f>
        <v>1.8375704866940943</v>
      </c>
      <c r="CN247" s="4">
        <f>AB247/BC247</f>
        <v>1.3853663030311241</v>
      </c>
      <c r="CO247" s="4">
        <f t="shared" si="708"/>
        <v>1.0717821444701627</v>
      </c>
      <c r="CP247" s="4">
        <f>AB247/CK247</f>
        <v>1.155958742951205</v>
      </c>
      <c r="CQ247" s="4">
        <f t="shared" si="694"/>
        <v>0.98979388951233693</v>
      </c>
      <c r="CR247" s="4">
        <f t="shared" si="695"/>
        <v>1.0024776396398694</v>
      </c>
      <c r="CS247" s="4">
        <f t="shared" si="709"/>
        <v>1.2143036179028706</v>
      </c>
      <c r="DA247" s="4">
        <f t="shared" si="702"/>
        <v>1.8375704866940943</v>
      </c>
      <c r="DB247" s="4">
        <f t="shared" si="702"/>
        <v>1.3853663030311241</v>
      </c>
      <c r="DC247" s="4">
        <f t="shared" si="703"/>
        <v>1.155958742951205</v>
      </c>
      <c r="DD247" s="4">
        <f t="shared" si="716"/>
        <v>1.2143036179028706</v>
      </c>
      <c r="DE247" s="4">
        <f t="shared" si="705"/>
        <v>0.98979388951233693</v>
      </c>
      <c r="DF247" s="4">
        <f t="shared" si="705"/>
        <v>1.0024776396398694</v>
      </c>
      <c r="DH247" s="4">
        <f t="shared" si="557"/>
        <v>2</v>
      </c>
      <c r="DI247" s="4">
        <f>I247</f>
        <v>190</v>
      </c>
      <c r="DL247" s="4">
        <f t="shared" si="667"/>
        <v>1.7394186230005775E-5</v>
      </c>
      <c r="DM247" s="4">
        <f t="shared" si="558"/>
        <v>8.7855659228692318</v>
      </c>
      <c r="DN247" s="4">
        <f t="shared" si="668"/>
        <v>0.48320593455916955</v>
      </c>
      <c r="DO247" s="4">
        <f t="shared" si="669"/>
        <v>6.567841229558697</v>
      </c>
      <c r="DP247" s="4">
        <f t="shared" si="670"/>
        <v>7.7565381852510118</v>
      </c>
      <c r="DQ247" s="4">
        <f t="shared" si="671"/>
        <v>8.3998898005854343</v>
      </c>
      <c r="DR247" s="38">
        <f t="shared" si="684"/>
        <v>506</v>
      </c>
      <c r="DS247" s="4">
        <f t="shared" si="609"/>
        <v>1</v>
      </c>
      <c r="DT247" s="4">
        <f t="shared" si="672"/>
        <v>1.8904781857097592</v>
      </c>
      <c r="DU247" s="4">
        <f t="shared" si="618"/>
        <v>239.89578481199356</v>
      </c>
      <c r="DY247" s="4">
        <f t="shared" si="581"/>
        <v>0.85</v>
      </c>
      <c r="DZ247" s="4">
        <f t="shared" si="610"/>
        <v>0.85157068062827224</v>
      </c>
      <c r="EA247" s="4">
        <f t="shared" si="685"/>
        <v>0.77813313779775783</v>
      </c>
      <c r="EB247" s="4">
        <f t="shared" si="611"/>
        <v>0.7</v>
      </c>
      <c r="ED247" s="4">
        <f t="shared" si="686"/>
        <v>499.59788457043589</v>
      </c>
      <c r="EE247" s="25">
        <f t="shared" si="687"/>
        <v>237.4108387047049</v>
      </c>
      <c r="EG247" s="4">
        <f t="shared" si="619"/>
        <v>0.59499999999999997</v>
      </c>
      <c r="EH247" s="4">
        <f t="shared" si="688"/>
        <v>8.7855659228692318</v>
      </c>
      <c r="EK247" s="4">
        <f t="shared" si="673"/>
        <v>36.108133347056402</v>
      </c>
      <c r="EL247" s="4">
        <f t="shared" si="674"/>
        <v>1.8904781857097592</v>
      </c>
      <c r="EM247" s="4">
        <f t="shared" si="675"/>
        <v>0.1375473318448516</v>
      </c>
      <c r="EP247" s="4">
        <f>EM247</f>
        <v>0.1375473318448516</v>
      </c>
      <c r="EQ247" s="4">
        <f t="shared" si="721"/>
        <v>0.48239955391173428</v>
      </c>
      <c r="ER247" s="4">
        <f t="shared" si="559"/>
        <v>6.5634548315054522</v>
      </c>
      <c r="ES247" s="4">
        <f>EH247/1.4*(1-EQ247^1.4)/(1-EQ247)</f>
        <v>7.7546828729423405</v>
      </c>
      <c r="ET247" s="4">
        <f t="shared" si="560"/>
        <v>106.39186665294361</v>
      </c>
      <c r="EU247" s="4">
        <f t="shared" si="561"/>
        <v>47.5</v>
      </c>
      <c r="EV247" s="4">
        <f t="shared" si="612"/>
        <v>1.7394186230005775E-5</v>
      </c>
      <c r="EW247" s="4">
        <f>MAX(0.5*EH247, (1-2*EV247*(EK247*ER247+ET247*ES247))/(1/EH247+EV247*EU247))</f>
        <v>8.3999977543842039</v>
      </c>
      <c r="EX247" s="4">
        <f t="shared" si="636"/>
        <v>506</v>
      </c>
      <c r="FG247" s="23">
        <f t="shared" si="711"/>
        <v>2</v>
      </c>
      <c r="FH247" s="23">
        <f t="shared" si="711"/>
        <v>1.4</v>
      </c>
      <c r="FI247" s="23">
        <f t="shared" si="712"/>
        <v>1.4</v>
      </c>
      <c r="FJ247" s="23">
        <f t="shared" si="713"/>
        <v>1.2</v>
      </c>
      <c r="FK247" s="23">
        <f t="shared" si="713"/>
        <v>1</v>
      </c>
      <c r="FL247" s="23">
        <f t="shared" si="713"/>
        <v>1.2</v>
      </c>
      <c r="FM247" s="23">
        <f t="shared" si="701"/>
        <v>0</v>
      </c>
      <c r="FN247" s="23"/>
      <c r="FX247" s="4">
        <f t="shared" si="613"/>
        <v>1.25</v>
      </c>
      <c r="FY247" s="4">
        <f t="shared" si="652"/>
        <v>0.50622953362009215</v>
      </c>
      <c r="FZ247" s="4">
        <f t="shared" si="614"/>
        <v>0.3</v>
      </c>
      <c r="GA247" s="4">
        <f t="shared" si="615"/>
        <v>412.44685489630422</v>
      </c>
    </row>
    <row r="248" spans="1:183" ht="12" hidden="1" customHeight="1" x14ac:dyDescent="0.3">
      <c r="A248" s="25">
        <v>230</v>
      </c>
      <c r="B248" s="4" t="s">
        <v>605</v>
      </c>
      <c r="C248" s="4">
        <v>2016</v>
      </c>
      <c r="D248" s="4" t="s">
        <v>309</v>
      </c>
      <c r="E248" s="24" t="s">
        <v>661</v>
      </c>
      <c r="F248" s="4" t="s">
        <v>383</v>
      </c>
      <c r="G248" s="38">
        <f>120/0.145</f>
        <v>827.58620689655174</v>
      </c>
      <c r="H248" s="38">
        <f>15.75*25.4</f>
        <v>400.04999999999995</v>
      </c>
      <c r="I248" s="4">
        <f>H248</f>
        <v>400.04999999999995</v>
      </c>
      <c r="J248" s="38">
        <f>4850/145</f>
        <v>33.448275862068968</v>
      </c>
      <c r="K248" s="38">
        <f>1*25.4</f>
        <v>25.4</v>
      </c>
      <c r="L248" s="7">
        <f>H248/K248</f>
        <v>15.749999999999998</v>
      </c>
      <c r="M248" s="7">
        <f>I248/K248</f>
        <v>15.749999999999998</v>
      </c>
      <c r="N248" s="38">
        <f>17.9*25.4</f>
        <v>454.65999999999991</v>
      </c>
      <c r="O248" s="38">
        <f>2.95*25.4</f>
        <v>74.930000000000007</v>
      </c>
      <c r="P248" s="39">
        <f>3.05*25.4</f>
        <v>77.469999999999985</v>
      </c>
      <c r="Q248" s="7">
        <f>(N248-R248*K248-2*O248)/(R248-1)</f>
        <v>253.99999999999989</v>
      </c>
      <c r="R248" s="38">
        <v>2</v>
      </c>
      <c r="S248" s="4">
        <f t="shared" ref="S248:S311" si="722">10.25*25.4</f>
        <v>260.34999999999997</v>
      </c>
      <c r="T248" s="7">
        <f>MIN(O248/K248+0.5, Q248/2/K248+0.5)</f>
        <v>3.4500000000000006</v>
      </c>
      <c r="U248" s="7">
        <f t="shared" si="631"/>
        <v>3.4500000000000006</v>
      </c>
      <c r="V248" s="38">
        <v>4</v>
      </c>
      <c r="W248" s="4">
        <f>V248</f>
        <v>4</v>
      </c>
      <c r="X248" s="4">
        <f>W248+1</f>
        <v>5</v>
      </c>
      <c r="Y248" s="7">
        <f>K248*X248^0.5</f>
        <v>56.796126628494655</v>
      </c>
      <c r="AB248" s="38">
        <f>101.8/0.145</f>
        <v>702.06896551724139</v>
      </c>
      <c r="AD248" s="4">
        <f t="shared" si="666"/>
        <v>0.84833333333333338</v>
      </c>
      <c r="AE248" s="38"/>
      <c r="AF248" s="38"/>
      <c r="AG248" s="39">
        <v>1</v>
      </c>
      <c r="AH248" s="39"/>
      <c r="AI248" s="39"/>
      <c r="AK248" s="4">
        <f>H248</f>
        <v>400.04999999999995</v>
      </c>
      <c r="AL248" s="4">
        <f t="shared" si="678"/>
        <v>0.37883597883597875</v>
      </c>
      <c r="AM248" s="4">
        <f t="shared" si="679"/>
        <v>456.63686520766981</v>
      </c>
      <c r="AN248" s="4">
        <f t="shared" si="680"/>
        <v>0.74380952380952381</v>
      </c>
      <c r="AO248" s="4">
        <v>1.25</v>
      </c>
      <c r="AP248" s="4">
        <f t="shared" si="624"/>
        <v>2.5</v>
      </c>
      <c r="AQ248" s="38">
        <f t="shared" ref="AQ248:AQ311" si="723">AL248*AN248*AO248*AP248*AM248</f>
        <v>402.09988107311045</v>
      </c>
      <c r="AR248" s="38">
        <f t="shared" si="682"/>
        <v>402.09988107311045</v>
      </c>
      <c r="AS248" s="38">
        <f t="shared" si="683"/>
        <v>3.1143714702560636</v>
      </c>
      <c r="AT248" s="38">
        <f t="shared" si="626"/>
        <v>402.09988107311091</v>
      </c>
      <c r="AU248" s="38">
        <f t="shared" si="601"/>
        <v>0.99999999999999889</v>
      </c>
      <c r="AV248" s="38">
        <f t="shared" si="715"/>
        <v>1.1479391778597043</v>
      </c>
      <c r="AW248" s="4">
        <f t="shared" si="707"/>
        <v>0</v>
      </c>
      <c r="AX248" s="4">
        <f>I248/K248*J248^0.5/0.19</f>
        <v>479.41743650185254</v>
      </c>
      <c r="AY248" s="4">
        <f t="shared" ref="AY248:AY311" si="724">MIN(0.6+0.4*(U248/T248),2)</f>
        <v>1</v>
      </c>
      <c r="AZ248" s="38">
        <f t="shared" si="617"/>
        <v>461.58620689655186</v>
      </c>
      <c r="BA248" s="4">
        <f t="shared" ref="BA248:BA311" si="725">MAX(1-0.7*W248/5,0.3)</f>
        <v>0.44000000000000006</v>
      </c>
      <c r="BB248" s="4">
        <f t="shared" ref="BB248:BB311" si="726">BA248*G248*I248/(G248*K248/2.75/J248^0.5)</f>
        <v>110.21806865177589</v>
      </c>
      <c r="BC248" s="4">
        <f t="shared" ref="BC248:BC311" si="727">AZ248+BB248</f>
        <v>571.80427554832772</v>
      </c>
      <c r="BE248" s="4">
        <f t="shared" si="627"/>
        <v>1.4875000000000003</v>
      </c>
      <c r="BF248" s="4">
        <f t="shared" si="628"/>
        <v>664.57244562417236</v>
      </c>
      <c r="BH248" s="4">
        <f t="shared" si="633"/>
        <v>442.7176207286019</v>
      </c>
      <c r="BI248" s="4">
        <f t="shared" si="634"/>
        <v>0</v>
      </c>
      <c r="BJ248" s="4">
        <f t="shared" si="635"/>
        <v>0</v>
      </c>
      <c r="BR248" s="4">
        <f t="shared" ref="BR248:BR311" si="728">IF(Q248=0,O248,MIN(Q248/2,O248))</f>
        <v>74.930000000000007</v>
      </c>
      <c r="BZ248" s="9">
        <f t="shared" ref="BZ248:BZ311" si="729">IF(Q248=0,MIN(O248,P248),MIN(Q248/2,O248,P248))</f>
        <v>74.930000000000007</v>
      </c>
      <c r="CA248" s="9">
        <f t="shared" ref="CA248:CA311" si="730">MAX(Q248/2,O248)</f>
        <v>126.99999999999994</v>
      </c>
      <c r="CB248" s="9">
        <f t="shared" si="604"/>
        <v>1.8590163364970096</v>
      </c>
      <c r="CC248" s="40">
        <f>IF(AG248&gt;1,20,0)</f>
        <v>0</v>
      </c>
      <c r="CD248" s="9">
        <f t="shared" ref="CD248:CD311" si="731">MIN(PI()*AE248^2/4*AF248*2/R248/K248/MAX(0.01,AG248),0.05)</f>
        <v>0</v>
      </c>
      <c r="CE248" s="9">
        <f t="shared" ref="CE248:CE311" si="732">MAX(0,CC248*(CD248-0.5/50))</f>
        <v>0</v>
      </c>
      <c r="CF248" s="9">
        <f t="shared" ref="CF248:CF311" si="733">MIN(1,(25/K248)^0.3)</f>
        <v>0.99524931562137331</v>
      </c>
      <c r="CG248" s="9">
        <f t="shared" ref="CG248:CG311" si="734">IF(G248&gt;=800,0.68,IF(G248&gt;=700,0.75-(G248-700)*0.07/100,IF(G248&gt;=600,0.85-(G248-600)*0.1/100,IF(G248&gt;=500,1-(G248-500)*0.15/100,1.2-(G248-400)*0.2/100))))</f>
        <v>0.68</v>
      </c>
      <c r="CH248" s="9">
        <f t="shared" si="606"/>
        <v>1.3699215983187671</v>
      </c>
      <c r="CI248" s="9">
        <f t="shared" si="607"/>
        <v>2.5467066309946826</v>
      </c>
      <c r="CJ248" s="40">
        <v>1</v>
      </c>
      <c r="CK248" s="9">
        <f t="shared" si="608"/>
        <v>313.24491561234595</v>
      </c>
      <c r="CM248" s="4">
        <f t="shared" ref="CM248:CM311" si="735">AB248/AX248</f>
        <v>1.4644210077964666</v>
      </c>
      <c r="CN248" s="4">
        <f t="shared" ref="CN248:CN311" si="736">AB248/BC248</f>
        <v>1.2278134241721037</v>
      </c>
      <c r="CO248" s="4">
        <f t="shared" si="708"/>
        <v>1.0564220201122723</v>
      </c>
      <c r="CP248" s="4">
        <f t="shared" ref="CP248:CP311" si="737">AB248/CK248</f>
        <v>2.2412780879293885</v>
      </c>
      <c r="CQ248" s="4">
        <f t="shared" si="694"/>
        <v>0.84833333333333338</v>
      </c>
      <c r="CR248" s="4">
        <f t="shared" si="695"/>
        <v>0.91851247644247092</v>
      </c>
      <c r="CS248" s="4">
        <f t="shared" si="709"/>
        <v>0.92942217759542134</v>
      </c>
      <c r="CT248" s="4">
        <f>AF248</f>
        <v>0</v>
      </c>
      <c r="CU248" s="4">
        <f t="shared" ref="CU248:CV249" si="738">CM248</f>
        <v>1.4644210077964666</v>
      </c>
      <c r="CV248" s="4">
        <f t="shared" si="738"/>
        <v>1.2278134241721037</v>
      </c>
      <c r="CW248" s="4">
        <f t="shared" ref="CW248:CW249" si="739">CP248</f>
        <v>2.2412780879293885</v>
      </c>
      <c r="CX248" s="4">
        <f t="shared" ref="CX248:CX249" si="740">CS248</f>
        <v>0.92942217759542134</v>
      </c>
      <c r="CY248" s="4">
        <f t="shared" ref="CY248:CZ249" si="741">CQ248</f>
        <v>0.84833333333333338</v>
      </c>
      <c r="CZ248" s="4">
        <f t="shared" si="741"/>
        <v>0.91851247644247092</v>
      </c>
      <c r="DI248" s="4">
        <f t="shared" ref="DI248:DI311" si="742">I248</f>
        <v>400.04999999999995</v>
      </c>
      <c r="DL248" s="4">
        <f t="shared" si="667"/>
        <v>2.8815439209600622E-5</v>
      </c>
      <c r="DM248" s="4">
        <f t="shared" si="558"/>
        <v>7.7158084787289836</v>
      </c>
      <c r="DN248" s="4">
        <f t="shared" si="668"/>
        <v>0.66418002839985602</v>
      </c>
      <c r="DO248" s="4">
        <f t="shared" si="669"/>
        <v>6.5508214746578313</v>
      </c>
      <c r="DP248" s="4">
        <f t="shared" si="670"/>
        <v>7.157073879314968</v>
      </c>
      <c r="DQ248" s="4">
        <f t="shared" si="671"/>
        <v>6.628841658831333</v>
      </c>
      <c r="DR248" s="38">
        <f t="shared" si="684"/>
        <v>827.58620689655174</v>
      </c>
      <c r="DS248" s="4">
        <f t="shared" si="609"/>
        <v>1</v>
      </c>
      <c r="DT248" s="4">
        <f t="shared" si="672"/>
        <v>2.2360679774997898</v>
      </c>
      <c r="DU248" s="4">
        <f t="shared" si="618"/>
        <v>402.09988107311091</v>
      </c>
      <c r="DY248" s="4">
        <f t="shared" si="581"/>
        <v>0.85</v>
      </c>
      <c r="DZ248" s="4">
        <f t="shared" si="610"/>
        <v>0.80499999999999994</v>
      </c>
      <c r="EA248" s="4">
        <f t="shared" si="685"/>
        <v>1</v>
      </c>
      <c r="EB248" s="4">
        <f t="shared" si="611"/>
        <v>0.80499999999999994</v>
      </c>
      <c r="ED248" s="4">
        <f t="shared" si="686"/>
        <v>764.35430494798948</v>
      </c>
      <c r="EE248" s="25">
        <f t="shared" si="687"/>
        <v>399.78235432804496</v>
      </c>
      <c r="EG248" s="4">
        <f t="shared" si="619"/>
        <v>0.68424999999999991</v>
      </c>
      <c r="EH248" s="4">
        <f t="shared" si="688"/>
        <v>7.7158084787289836</v>
      </c>
      <c r="EK248" s="4">
        <f t="shared" si="673"/>
        <v>56.796126628494655</v>
      </c>
      <c r="EL248" s="4">
        <f t="shared" si="674"/>
        <v>2.2360679774997898</v>
      </c>
      <c r="EM248" s="4">
        <f t="shared" si="675"/>
        <v>0.21004287106042069</v>
      </c>
      <c r="EP248" s="4">
        <f>EM248</f>
        <v>0.21004287106042069</v>
      </c>
      <c r="EQ248" s="4">
        <f t="shared" si="721"/>
        <v>0.66307163571878669</v>
      </c>
      <c r="ER248" s="4">
        <f t="shared" si="559"/>
        <v>6.5464464434170813</v>
      </c>
      <c r="ES248" s="4">
        <f t="shared" ref="ES248:ES311" si="743">EH248/1.4*(1-EQ248^1.4)/(1-EQ248)</f>
        <v>7.1550722967204541</v>
      </c>
      <c r="ET248" s="4">
        <f t="shared" si="560"/>
        <v>243.24137337150532</v>
      </c>
      <c r="EU248" s="4">
        <f t="shared" si="561"/>
        <v>100.01249999999996</v>
      </c>
      <c r="EV248" s="4">
        <f t="shared" si="612"/>
        <v>2.8815439209600615E-5</v>
      </c>
      <c r="EW248" s="4">
        <f t="shared" ref="EW248:EW311" si="744">MAX(0.5*EH248, (1-2*EV248*(EK248*ER248+ET248*ES248))/(1/EH248+EV248*EU248))</f>
        <v>6.6291615343498345</v>
      </c>
      <c r="EX248" s="4">
        <f t="shared" si="636"/>
        <v>827.58620689655174</v>
      </c>
      <c r="FG248" s="23">
        <f t="shared" si="711"/>
        <v>1.6</v>
      </c>
      <c r="FH248" s="23">
        <f t="shared" si="711"/>
        <v>1.4</v>
      </c>
      <c r="FI248" s="23">
        <f t="shared" si="712"/>
        <v>1</v>
      </c>
      <c r="FJ248" s="23">
        <f t="shared" si="713"/>
        <v>2.2000000000000002</v>
      </c>
      <c r="FK248" s="23">
        <f t="shared" si="713"/>
        <v>1</v>
      </c>
      <c r="FL248" s="23">
        <f t="shared" si="713"/>
        <v>1</v>
      </c>
      <c r="FM248" s="23">
        <f t="shared" si="701"/>
        <v>0</v>
      </c>
      <c r="FX248" s="4">
        <f t="shared" si="613"/>
        <v>1</v>
      </c>
      <c r="FY248" s="4">
        <f t="shared" si="652"/>
        <v>0.5</v>
      </c>
      <c r="FZ248" s="4">
        <f t="shared" si="614"/>
        <v>0</v>
      </c>
      <c r="GA248" s="4">
        <f t="shared" si="615"/>
        <v>755.38219599366278</v>
      </c>
    </row>
    <row r="249" spans="1:183" ht="12" hidden="1" customHeight="1" x14ac:dyDescent="0.3">
      <c r="A249" s="25">
        <v>231</v>
      </c>
      <c r="B249" s="4" t="s">
        <v>605</v>
      </c>
      <c r="C249" s="4">
        <v>2016</v>
      </c>
      <c r="D249" s="4" t="s">
        <v>309</v>
      </c>
      <c r="E249" s="24" t="s">
        <v>661</v>
      </c>
      <c r="F249" s="4" t="s">
        <v>384</v>
      </c>
      <c r="G249" s="38">
        <f t="shared" ref="G249:G265" si="745">120/0.145</f>
        <v>827.58620689655174</v>
      </c>
      <c r="H249" s="38">
        <f>15.28*25.4</f>
        <v>388.11199999999997</v>
      </c>
      <c r="I249" s="4">
        <f t="shared" ref="I249:I312" si="746">H249</f>
        <v>388.11199999999997</v>
      </c>
      <c r="J249" s="38">
        <f>5070/145</f>
        <v>34.96551724137931</v>
      </c>
      <c r="K249" s="38">
        <f t="shared" ref="K249:K312" si="747">1*25.4</f>
        <v>25.4</v>
      </c>
      <c r="L249" s="7">
        <f t="shared" ref="L249:L312" si="748">H249/K249</f>
        <v>15.28</v>
      </c>
      <c r="M249" s="7">
        <f t="shared" ref="M249:M312" si="749">I249/K249</f>
        <v>15.28</v>
      </c>
      <c r="N249" s="38">
        <f>19.6*25.4</f>
        <v>497.84000000000003</v>
      </c>
      <c r="O249" s="38">
        <f>3.85*25.4</f>
        <v>97.789999999999992</v>
      </c>
      <c r="P249" s="39">
        <f>3.5*25.4</f>
        <v>88.899999999999991</v>
      </c>
      <c r="Q249" s="7">
        <f t="shared" ref="Q249:Q312" si="750">(N249-R249*K249-2*O249)/(R249-1)</f>
        <v>251.46000000000004</v>
      </c>
      <c r="R249" s="38">
        <v>2</v>
      </c>
      <c r="S249" s="4">
        <f t="shared" si="722"/>
        <v>260.34999999999997</v>
      </c>
      <c r="T249" s="7">
        <f t="shared" ref="T249:T312" si="751">MIN(O249/K249+0.5, Q249/2/K249+0.5)</f>
        <v>4.3499999999999996</v>
      </c>
      <c r="U249" s="7">
        <f t="shared" si="631"/>
        <v>4.3499999999999996</v>
      </c>
      <c r="V249" s="38">
        <v>4</v>
      </c>
      <c r="W249" s="4">
        <f t="shared" ref="W249:W312" si="752">V249</f>
        <v>4</v>
      </c>
      <c r="X249" s="4">
        <f t="shared" ref="X249:X312" si="753">W249+1</f>
        <v>5</v>
      </c>
      <c r="Y249" s="7">
        <f t="shared" ref="Y249:Y312" si="754">K249*X249^0.5</f>
        <v>56.796126628494655</v>
      </c>
      <c r="AB249" s="38">
        <f>120.8/0.145</f>
        <v>833.10344827586209</v>
      </c>
      <c r="AD249" s="4">
        <f t="shared" si="666"/>
        <v>1</v>
      </c>
      <c r="AE249" s="38"/>
      <c r="AF249" s="38"/>
      <c r="AG249" s="39">
        <v>1</v>
      </c>
      <c r="AH249" s="39"/>
      <c r="AI249" s="39"/>
      <c r="AK249" s="4">
        <f t="shared" ref="AK249:AK312" si="755">H249</f>
        <v>388.11199999999997</v>
      </c>
      <c r="AL249" s="4">
        <f t="shared" si="678"/>
        <v>0.42757417102966838</v>
      </c>
      <c r="AM249" s="4">
        <f t="shared" si="679"/>
        <v>446.1370328547896</v>
      </c>
      <c r="AN249" s="4">
        <f t="shared" si="680"/>
        <v>0.75693717277486905</v>
      </c>
      <c r="AO249" s="4">
        <v>1.25</v>
      </c>
      <c r="AP249" s="4">
        <f t="shared" si="624"/>
        <v>2.5</v>
      </c>
      <c r="AQ249" s="38">
        <f t="shared" si="723"/>
        <v>451.22129994667296</v>
      </c>
      <c r="AR249" s="38">
        <f t="shared" si="682"/>
        <v>451.22129994667296</v>
      </c>
      <c r="AS249" s="38">
        <f t="shared" si="683"/>
        <v>3.2078537456295186</v>
      </c>
      <c r="AT249" s="38">
        <f t="shared" si="626"/>
        <v>451.22129994667353</v>
      </c>
      <c r="AU249" s="38">
        <f t="shared" si="601"/>
        <v>0.99999999999999878</v>
      </c>
      <c r="AV249" s="38">
        <f t="shared" si="715"/>
        <v>1.3483406037611749</v>
      </c>
      <c r="AW249" s="4">
        <f t="shared" si="707"/>
        <v>0</v>
      </c>
      <c r="AX249" s="4">
        <f t="shared" ref="AX249:AX312" si="756">I249/K249*J249^0.5/0.19</f>
        <v>475.54293276793692</v>
      </c>
      <c r="AY249" s="4">
        <f t="shared" si="724"/>
        <v>1</v>
      </c>
      <c r="AZ249" s="38">
        <f t="shared" si="617"/>
        <v>608.4</v>
      </c>
      <c r="BA249" s="4">
        <f t="shared" si="725"/>
        <v>0.44000000000000006</v>
      </c>
      <c r="BB249" s="4">
        <f t="shared" si="726"/>
        <v>109.32732024334872</v>
      </c>
      <c r="BC249" s="4">
        <f t="shared" si="727"/>
        <v>717.72732024334869</v>
      </c>
      <c r="BE249" s="4">
        <f t="shared" si="627"/>
        <v>1.5</v>
      </c>
      <c r="BF249" s="4">
        <f t="shared" si="628"/>
        <v>672.68162081278126</v>
      </c>
      <c r="BH249" s="4">
        <f t="shared" si="633"/>
        <v>583.53000247177329</v>
      </c>
      <c r="BI249" s="4">
        <f t="shared" si="634"/>
        <v>0</v>
      </c>
      <c r="BJ249" s="4">
        <f t="shared" si="635"/>
        <v>0</v>
      </c>
      <c r="BR249" s="4">
        <f t="shared" si="728"/>
        <v>97.789999999999992</v>
      </c>
      <c r="BZ249" s="9">
        <f t="shared" si="729"/>
        <v>88.899999999999991</v>
      </c>
      <c r="CA249" s="9">
        <f t="shared" si="730"/>
        <v>125.73000000000002</v>
      </c>
      <c r="CB249" s="9">
        <f t="shared" si="604"/>
        <v>1.9706731314151338</v>
      </c>
      <c r="CC249" s="40">
        <f t="shared" ref="CC249:CC312" si="757">IF(AG249&gt;1,20,0)</f>
        <v>0</v>
      </c>
      <c r="CD249" s="9">
        <f t="shared" si="731"/>
        <v>0</v>
      </c>
      <c r="CE249" s="9">
        <f t="shared" si="732"/>
        <v>0</v>
      </c>
      <c r="CF249" s="9">
        <f t="shared" si="733"/>
        <v>0.99524931562137331</v>
      </c>
      <c r="CG249" s="9">
        <f t="shared" si="734"/>
        <v>0.68</v>
      </c>
      <c r="CH249" s="9">
        <f t="shared" si="606"/>
        <v>1.4006474122126336</v>
      </c>
      <c r="CI249" s="9">
        <f t="shared" si="607"/>
        <v>2.7602182218335742</v>
      </c>
      <c r="CJ249" s="40">
        <v>1</v>
      </c>
      <c r="CK249" s="9">
        <f t="shared" si="608"/>
        <v>334.31763102848254</v>
      </c>
      <c r="CM249" s="4">
        <f t="shared" si="735"/>
        <v>1.7518995465387628</v>
      </c>
      <c r="CN249" s="4">
        <f t="shared" si="736"/>
        <v>1.1607520360147285</v>
      </c>
      <c r="CO249" s="4">
        <f t="shared" si="708"/>
        <v>1.2384810622137228</v>
      </c>
      <c r="CP249" s="4">
        <f t="shared" si="737"/>
        <v>2.4919518773596629</v>
      </c>
      <c r="CQ249" s="4">
        <f t="shared" si="694"/>
        <v>1</v>
      </c>
      <c r="CR249" s="4">
        <f t="shared" si="695"/>
        <v>1</v>
      </c>
      <c r="CS249" s="4">
        <f t="shared" si="709"/>
        <v>1.1242757318376362</v>
      </c>
      <c r="CT249" s="4">
        <f t="shared" ref="CT249:CT312" si="758">AF249</f>
        <v>0</v>
      </c>
      <c r="CU249" s="4">
        <f t="shared" si="738"/>
        <v>1.7518995465387628</v>
      </c>
      <c r="CV249" s="4">
        <f t="shared" si="738"/>
        <v>1.1607520360147285</v>
      </c>
      <c r="CW249" s="4">
        <f t="shared" si="739"/>
        <v>2.4919518773596629</v>
      </c>
      <c r="CX249" s="4">
        <f t="shared" si="740"/>
        <v>1.1242757318376362</v>
      </c>
      <c r="CY249" s="4">
        <f t="shared" si="741"/>
        <v>1</v>
      </c>
      <c r="CZ249" s="4">
        <f t="shared" si="741"/>
        <v>1</v>
      </c>
      <c r="DI249" s="4">
        <f t="shared" si="742"/>
        <v>388.11199999999997</v>
      </c>
      <c r="DL249" s="4">
        <f t="shared" si="667"/>
        <v>2.824931335368085E-5</v>
      </c>
      <c r="DM249" s="4">
        <f t="shared" si="558"/>
        <v>8.8818695030737906</v>
      </c>
      <c r="DN249" s="4">
        <f t="shared" si="668"/>
        <v>0.71297653914085279</v>
      </c>
      <c r="DO249" s="4">
        <f t="shared" si="669"/>
        <v>7.757726845919704</v>
      </c>
      <c r="DP249" s="4">
        <f t="shared" si="670"/>
        <v>8.3387714689642198</v>
      </c>
      <c r="DQ249" s="4">
        <f t="shared" si="671"/>
        <v>7.4978516818718992</v>
      </c>
      <c r="DR249" s="38">
        <f t="shared" si="684"/>
        <v>833.10344827586209</v>
      </c>
      <c r="DS249" s="4">
        <f t="shared" si="609"/>
        <v>1</v>
      </c>
      <c r="DT249" s="4">
        <f t="shared" si="672"/>
        <v>2.2360679774997898</v>
      </c>
      <c r="DU249" s="4">
        <f t="shared" si="618"/>
        <v>451.22129994667353</v>
      </c>
      <c r="DY249" s="4">
        <f t="shared" si="581"/>
        <v>0.85</v>
      </c>
      <c r="DZ249" s="4">
        <f t="shared" si="610"/>
        <v>0.71500000000000008</v>
      </c>
      <c r="EA249" s="4">
        <f t="shared" si="685"/>
        <v>1</v>
      </c>
      <c r="EB249" s="4">
        <f t="shared" si="611"/>
        <v>0.71500000000000008</v>
      </c>
      <c r="ED249" s="4">
        <f t="shared" si="686"/>
        <v>833.10344827586209</v>
      </c>
      <c r="EE249" s="25">
        <f t="shared" si="687"/>
        <v>448.57090093705455</v>
      </c>
      <c r="EG249" s="4">
        <f t="shared" si="619"/>
        <v>0.60775000000000001</v>
      </c>
      <c r="EH249" s="4">
        <f t="shared" si="688"/>
        <v>8.8818695030737906</v>
      </c>
      <c r="EK249" s="4">
        <f t="shared" si="673"/>
        <v>56.796126628494655</v>
      </c>
      <c r="EL249" s="4">
        <f t="shared" si="674"/>
        <v>2.2360679774997898</v>
      </c>
      <c r="EM249" s="4">
        <f t="shared" si="675"/>
        <v>0.23053161000640462</v>
      </c>
      <c r="EP249" s="4">
        <f t="shared" ref="EP249:EP312" si="759">EM249</f>
        <v>0.23053161000640462</v>
      </c>
      <c r="EQ249" s="4">
        <f t="shared" si="721"/>
        <v>0.71178671417779027</v>
      </c>
      <c r="ER249" s="4">
        <f t="shared" si="559"/>
        <v>7.7525457709294319</v>
      </c>
      <c r="ES249" s="4">
        <f t="shared" si="743"/>
        <v>8.3363620617554428</v>
      </c>
      <c r="ET249" s="4">
        <f t="shared" si="560"/>
        <v>234.2878733715053</v>
      </c>
      <c r="EU249" s="4">
        <f t="shared" si="561"/>
        <v>97.027999999999992</v>
      </c>
      <c r="EV249" s="4">
        <f t="shared" si="612"/>
        <v>2.824931335368085E-5</v>
      </c>
      <c r="EW249" s="4">
        <f t="shared" si="744"/>
        <v>7.4982723772933024</v>
      </c>
      <c r="EX249" s="4">
        <f t="shared" si="636"/>
        <v>833.10344827586209</v>
      </c>
      <c r="FG249" s="23">
        <f t="shared" si="711"/>
        <v>1.8</v>
      </c>
      <c r="FH249" s="23">
        <f t="shared" si="711"/>
        <v>1.2</v>
      </c>
      <c r="FI249" s="23">
        <f t="shared" si="712"/>
        <v>1.2</v>
      </c>
      <c r="FJ249" s="23">
        <f t="shared" si="713"/>
        <v>2.2000000000000002</v>
      </c>
      <c r="FK249" s="23">
        <f t="shared" si="713"/>
        <v>1.2</v>
      </c>
      <c r="FL249" s="23">
        <f t="shared" si="713"/>
        <v>1.2</v>
      </c>
      <c r="FM249" s="23">
        <f t="shared" si="701"/>
        <v>0</v>
      </c>
      <c r="FX249" s="4">
        <f t="shared" si="613"/>
        <v>1</v>
      </c>
      <c r="FY249" s="4">
        <f t="shared" si="652"/>
        <v>0.5</v>
      </c>
      <c r="FZ249" s="4">
        <f t="shared" si="614"/>
        <v>0</v>
      </c>
      <c r="GA249" s="4">
        <f t="shared" si="615"/>
        <v>741.0134584281642</v>
      </c>
    </row>
    <row r="250" spans="1:183" ht="12" hidden="1" customHeight="1" x14ac:dyDescent="0.3">
      <c r="A250" s="25">
        <v>232</v>
      </c>
      <c r="B250" s="4" t="s">
        <v>605</v>
      </c>
      <c r="C250" s="4">
        <v>2016</v>
      </c>
      <c r="D250" s="4" t="s">
        <v>309</v>
      </c>
      <c r="E250" s="24" t="s">
        <v>661</v>
      </c>
      <c r="F250" s="4" t="s">
        <v>385</v>
      </c>
      <c r="G250" s="38">
        <f t="shared" si="745"/>
        <v>827.58620689655174</v>
      </c>
      <c r="H250" s="38">
        <f>12.38*25.4</f>
        <v>314.452</v>
      </c>
      <c r="I250" s="4">
        <f t="shared" si="746"/>
        <v>314.452</v>
      </c>
      <c r="J250" s="38">
        <f>5070/145</f>
        <v>34.96551724137931</v>
      </c>
      <c r="K250" s="38">
        <f t="shared" si="747"/>
        <v>25.4</v>
      </c>
      <c r="L250" s="7">
        <f t="shared" si="748"/>
        <v>12.38</v>
      </c>
      <c r="M250" s="7">
        <f t="shared" si="749"/>
        <v>12.38</v>
      </c>
      <c r="N250" s="38">
        <f>17.6*25.4</f>
        <v>447.04</v>
      </c>
      <c r="O250" s="38">
        <f>2.9*25.4</f>
        <v>73.66</v>
      </c>
      <c r="P250" s="39">
        <f>3.5*25.4</f>
        <v>88.899999999999991</v>
      </c>
      <c r="Q250" s="7">
        <f t="shared" si="750"/>
        <v>248.92000000000002</v>
      </c>
      <c r="R250" s="38">
        <v>2</v>
      </c>
      <c r="S250" s="4">
        <f t="shared" si="722"/>
        <v>260.34999999999997</v>
      </c>
      <c r="T250" s="7">
        <f t="shared" si="751"/>
        <v>3.4</v>
      </c>
      <c r="U250" s="7">
        <f t="shared" si="631"/>
        <v>3.4</v>
      </c>
      <c r="V250" s="38">
        <v>4</v>
      </c>
      <c r="W250" s="4">
        <f t="shared" si="752"/>
        <v>4</v>
      </c>
      <c r="X250" s="4">
        <f t="shared" si="753"/>
        <v>5</v>
      </c>
      <c r="Y250" s="7">
        <f t="shared" si="754"/>
        <v>56.796126628494655</v>
      </c>
      <c r="AB250" s="38">
        <f>110.8/0.145</f>
        <v>764.13793103448279</v>
      </c>
      <c r="AD250" s="4">
        <f t="shared" si="666"/>
        <v>1.0732340453544049</v>
      </c>
      <c r="AE250" s="38">
        <f>0.375*25.4</f>
        <v>9.5249999999999986</v>
      </c>
      <c r="AF250" s="38">
        <v>8</v>
      </c>
      <c r="AG250" s="39">
        <f>3*25.4</f>
        <v>76.199999999999989</v>
      </c>
      <c r="AH250" s="39">
        <v>3</v>
      </c>
      <c r="AI250" s="39">
        <v>1</v>
      </c>
      <c r="AK250" s="4">
        <f t="shared" si="755"/>
        <v>314.452</v>
      </c>
      <c r="AL250" s="4">
        <f t="shared" si="678"/>
        <v>0.47388260635433493</v>
      </c>
      <c r="AM250" s="4">
        <f t="shared" si="679"/>
        <v>325.36003808676742</v>
      </c>
      <c r="AN250" s="4">
        <f t="shared" si="680"/>
        <v>0.75492730210016146</v>
      </c>
      <c r="AO250" s="4">
        <v>1.25</v>
      </c>
      <c r="AP250" s="4">
        <f t="shared" si="624"/>
        <v>2.5</v>
      </c>
      <c r="AQ250" s="38">
        <f>AL250*AN250*AO250*AP250*AM250</f>
        <v>363.73922097530163</v>
      </c>
      <c r="AR250" s="38">
        <f t="shared" si="682"/>
        <v>363.73922097530163</v>
      </c>
      <c r="AS250" s="38">
        <f t="shared" si="683"/>
        <v>3.2078537456295186</v>
      </c>
      <c r="AT250" s="38">
        <f t="shared" si="626"/>
        <v>363.73922097530118</v>
      </c>
      <c r="AU250" s="38">
        <f t="shared" si="601"/>
        <v>1.0000000000000013</v>
      </c>
      <c r="AV250" s="38">
        <f t="shared" si="715"/>
        <v>1.3073405535089337</v>
      </c>
      <c r="AW250" s="4">
        <f t="shared" si="707"/>
        <v>0</v>
      </c>
      <c r="AX250" s="4">
        <f t="shared" si="756"/>
        <v>385.289365685017</v>
      </c>
      <c r="AY250" s="4">
        <f t="shared" si="724"/>
        <v>1</v>
      </c>
      <c r="AZ250" s="38">
        <f t="shared" si="617"/>
        <v>475.53103448275857</v>
      </c>
      <c r="BA250" s="4">
        <f t="shared" si="725"/>
        <v>0.44000000000000006</v>
      </c>
      <c r="BB250" s="4">
        <f t="shared" si="726"/>
        <v>88.578025170985427</v>
      </c>
      <c r="BC250" s="4">
        <f t="shared" si="727"/>
        <v>564.109059653744</v>
      </c>
      <c r="BE250" s="4">
        <f t="shared" si="627"/>
        <v>1.5</v>
      </c>
      <c r="BF250" s="4">
        <f t="shared" si="628"/>
        <v>595.51482095688459</v>
      </c>
      <c r="BH250" s="4">
        <f t="shared" si="633"/>
        <v>456.0924157250642</v>
      </c>
      <c r="BI250" s="4">
        <f t="shared" si="634"/>
        <v>0</v>
      </c>
      <c r="BJ250" s="4">
        <f t="shared" si="635"/>
        <v>0</v>
      </c>
      <c r="BR250" s="4">
        <f t="shared" si="728"/>
        <v>73.66</v>
      </c>
      <c r="BZ250" s="9">
        <f t="shared" si="729"/>
        <v>73.66</v>
      </c>
      <c r="CA250" s="9">
        <f t="shared" si="730"/>
        <v>124.46000000000001</v>
      </c>
      <c r="CB250" s="9">
        <f t="shared" si="604"/>
        <v>1.842335460367019</v>
      </c>
      <c r="CC250" s="40">
        <f t="shared" si="757"/>
        <v>20</v>
      </c>
      <c r="CD250" s="9">
        <f t="shared" si="731"/>
        <v>0.05</v>
      </c>
      <c r="CE250" s="9">
        <f t="shared" si="732"/>
        <v>0.8</v>
      </c>
      <c r="CF250" s="9">
        <f t="shared" si="733"/>
        <v>0.99524931562137331</v>
      </c>
      <c r="CG250" s="9">
        <f t="shared" si="734"/>
        <v>0.68</v>
      </c>
      <c r="CH250" s="9">
        <f t="shared" si="606"/>
        <v>1.4006474122126336</v>
      </c>
      <c r="CI250" s="9">
        <f t="shared" si="607"/>
        <v>3.5016185305315837</v>
      </c>
      <c r="CJ250" s="40">
        <v>1</v>
      </c>
      <c r="CK250" s="9">
        <f t="shared" si="608"/>
        <v>383.49726146381903</v>
      </c>
      <c r="CM250" s="4">
        <f t="shared" si="735"/>
        <v>1.9832832128026687</v>
      </c>
      <c r="CN250" s="4">
        <f t="shared" si="736"/>
        <v>1.3545925525527256</v>
      </c>
      <c r="CO250" s="4">
        <f t="shared" si="708"/>
        <v>1.2831551863086319</v>
      </c>
      <c r="CP250" s="4">
        <f t="shared" si="737"/>
        <v>1.9925512065399069</v>
      </c>
      <c r="CQ250" s="4">
        <f t="shared" si="694"/>
        <v>1.0732340453544049</v>
      </c>
      <c r="CR250" s="4">
        <f t="shared" si="695"/>
        <v>1.1669913938500407</v>
      </c>
      <c r="CS250" s="4">
        <f t="shared" si="709"/>
        <v>1.1200335813374223</v>
      </c>
      <c r="CT250" s="4">
        <f t="shared" si="758"/>
        <v>8</v>
      </c>
      <c r="DA250" s="4">
        <f t="shared" ref="DA250:DB253" si="760">CM250</f>
        <v>1.9832832128026687</v>
      </c>
      <c r="DB250" s="4">
        <f t="shared" si="760"/>
        <v>1.3545925525527256</v>
      </c>
      <c r="DC250" s="4">
        <f t="shared" ref="DC250:DC253" si="761">CP250</f>
        <v>1.9925512065399069</v>
      </c>
      <c r="DD250" s="4">
        <f t="shared" ref="DD250:DD253" si="762">CS250</f>
        <v>1.1200335813374223</v>
      </c>
      <c r="DE250" s="4">
        <f t="shared" ref="DE250:DF253" si="763">CQ250</f>
        <v>1.0732340453544049</v>
      </c>
      <c r="DF250" s="4">
        <f t="shared" si="763"/>
        <v>1.1669913938500407</v>
      </c>
      <c r="DI250" s="4">
        <f t="shared" si="742"/>
        <v>314.452</v>
      </c>
      <c r="DL250" s="4">
        <f t="shared" si="667"/>
        <v>2.288785990304771E-5</v>
      </c>
      <c r="DM250" s="4">
        <f t="shared" si="558"/>
        <v>7.9143659395695911</v>
      </c>
      <c r="DN250" s="4">
        <f t="shared" si="668"/>
        <v>0.57474576433206792</v>
      </c>
      <c r="DO250" s="4">
        <f t="shared" si="669"/>
        <v>6.3417108831781732</v>
      </c>
      <c r="DP250" s="4">
        <f t="shared" si="670"/>
        <v>7.1713310578929521</v>
      </c>
      <c r="DQ250" s="4">
        <f t="shared" si="671"/>
        <v>7.2159534770603102</v>
      </c>
      <c r="DR250" s="38">
        <f t="shared" si="684"/>
        <v>711.9956120867821</v>
      </c>
      <c r="DS250" s="4">
        <f t="shared" si="609"/>
        <v>1.0001237680321675</v>
      </c>
      <c r="DT250" s="4">
        <f t="shared" si="672"/>
        <v>2.2360679774997898</v>
      </c>
      <c r="DU250" s="4">
        <f t="shared" si="618"/>
        <v>363.73922097530118</v>
      </c>
      <c r="DY250" s="4">
        <f t="shared" si="581"/>
        <v>0.85</v>
      </c>
      <c r="DZ250" s="4">
        <f t="shared" si="610"/>
        <v>0.80999999999999994</v>
      </c>
      <c r="EA250" s="4">
        <f t="shared" si="685"/>
        <v>0.99062499999999998</v>
      </c>
      <c r="EB250" s="4">
        <f t="shared" si="611"/>
        <v>0.80240624999999988</v>
      </c>
      <c r="ED250" s="4">
        <f t="shared" si="686"/>
        <v>654.79311592307693</v>
      </c>
      <c r="EE250" s="25">
        <f t="shared" si="687"/>
        <v>360.85356492746229</v>
      </c>
      <c r="EG250" s="4">
        <f t="shared" si="619"/>
        <v>0.68204531249999989</v>
      </c>
      <c r="EH250" s="4">
        <f t="shared" si="688"/>
        <v>7.9143659395695911</v>
      </c>
      <c r="EK250" s="4">
        <f t="shared" si="673"/>
        <v>56.796126628494655</v>
      </c>
      <c r="EL250" s="4">
        <f t="shared" si="674"/>
        <v>2.2360679774997898</v>
      </c>
      <c r="EM250" s="4">
        <f t="shared" si="675"/>
        <v>0.18583650249627301</v>
      </c>
      <c r="EP250" s="4">
        <f t="shared" si="759"/>
        <v>0.18583650249627301</v>
      </c>
      <c r="EQ250" s="4">
        <f t="shared" si="721"/>
        <v>0.57378662076944675</v>
      </c>
      <c r="ER250" s="4">
        <f t="shared" si="559"/>
        <v>6.3374755085246219</v>
      </c>
      <c r="ES250" s="4">
        <f t="shared" si="743"/>
        <v>7.169459329515119</v>
      </c>
      <c r="ET250" s="4">
        <f t="shared" si="560"/>
        <v>179.04287337150535</v>
      </c>
      <c r="EU250" s="4">
        <f t="shared" si="561"/>
        <v>78.612999999999971</v>
      </c>
      <c r="EV250" s="4">
        <f t="shared" si="612"/>
        <v>2.28878599030477E-5</v>
      </c>
      <c r="EW250" s="4">
        <f t="shared" si="744"/>
        <v>7.2161591068256854</v>
      </c>
      <c r="EX250" s="4">
        <f t="shared" si="636"/>
        <v>711.90750069633555</v>
      </c>
      <c r="FG250" s="23">
        <f t="shared" si="711"/>
        <v>2</v>
      </c>
      <c r="FH250" s="23">
        <f t="shared" si="711"/>
        <v>1.4</v>
      </c>
      <c r="FI250" s="23">
        <f t="shared" si="712"/>
        <v>1.2</v>
      </c>
      <c r="FJ250" s="23">
        <f t="shared" si="713"/>
        <v>2</v>
      </c>
      <c r="FK250" s="23">
        <f t="shared" si="713"/>
        <v>1.2</v>
      </c>
      <c r="FL250" s="23">
        <f t="shared" si="713"/>
        <v>1.2</v>
      </c>
      <c r="FM250" s="23">
        <f t="shared" si="701"/>
        <v>0</v>
      </c>
      <c r="FX250" s="4">
        <f t="shared" si="613"/>
        <v>1</v>
      </c>
      <c r="FY250" s="4">
        <f t="shared" si="652"/>
        <v>0.44</v>
      </c>
      <c r="FZ250" s="4">
        <f t="shared" si="614"/>
        <v>0.3</v>
      </c>
      <c r="GA250" s="4">
        <f t="shared" si="615"/>
        <v>682.24555385386964</v>
      </c>
    </row>
    <row r="251" spans="1:183" ht="12" hidden="1" customHeight="1" x14ac:dyDescent="0.3">
      <c r="A251" s="25">
        <v>233</v>
      </c>
      <c r="B251" s="4" t="s">
        <v>605</v>
      </c>
      <c r="C251" s="4">
        <v>2016</v>
      </c>
      <c r="D251" s="4" t="s">
        <v>309</v>
      </c>
      <c r="E251" s="24" t="s">
        <v>661</v>
      </c>
      <c r="F251" s="7" t="s">
        <v>386</v>
      </c>
      <c r="G251" s="38">
        <f t="shared" si="745"/>
        <v>827.58620689655174</v>
      </c>
      <c r="H251" s="38">
        <f>12.06*25.4</f>
        <v>306.32400000000001</v>
      </c>
      <c r="I251" s="4">
        <f t="shared" si="746"/>
        <v>306.32400000000001</v>
      </c>
      <c r="J251" s="38">
        <f>5380/145</f>
        <v>37.103448275862071</v>
      </c>
      <c r="K251" s="38">
        <f t="shared" si="747"/>
        <v>25.4</v>
      </c>
      <c r="L251" s="7">
        <f t="shared" si="748"/>
        <v>12.06</v>
      </c>
      <c r="M251" s="7">
        <f t="shared" si="749"/>
        <v>12.06</v>
      </c>
      <c r="N251" s="38">
        <f>20*25.4</f>
        <v>508</v>
      </c>
      <c r="O251" s="38">
        <f>4*25.4</f>
        <v>101.6</v>
      </c>
      <c r="P251" s="39">
        <f>3.75*25.4</f>
        <v>95.25</v>
      </c>
      <c r="Q251" s="7">
        <f t="shared" si="750"/>
        <v>254</v>
      </c>
      <c r="R251" s="38">
        <v>2</v>
      </c>
      <c r="S251" s="4">
        <f t="shared" si="722"/>
        <v>260.34999999999997</v>
      </c>
      <c r="T251" s="7">
        <f t="shared" si="751"/>
        <v>4.5</v>
      </c>
      <c r="U251" s="7">
        <f t="shared" si="631"/>
        <v>4.5</v>
      </c>
      <c r="V251" s="38">
        <v>4</v>
      </c>
      <c r="W251" s="4">
        <f t="shared" si="752"/>
        <v>4</v>
      </c>
      <c r="X251" s="4">
        <f t="shared" si="753"/>
        <v>5</v>
      </c>
      <c r="Y251" s="7">
        <f t="shared" si="754"/>
        <v>56.796126628494655</v>
      </c>
      <c r="AB251" s="38">
        <f>121.7/0.145</f>
        <v>839.31034482758628</v>
      </c>
      <c r="AD251" s="4">
        <f t="shared" si="666"/>
        <v>1.0025154962900582</v>
      </c>
      <c r="AE251" s="38">
        <f t="shared" ref="AE251:AE253" si="764">0.375*25.4</f>
        <v>9.5249999999999986</v>
      </c>
      <c r="AF251" s="38">
        <v>8</v>
      </c>
      <c r="AG251" s="39">
        <f>3*25.4</f>
        <v>76.199999999999989</v>
      </c>
      <c r="AH251" s="39">
        <v>3</v>
      </c>
      <c r="AI251" s="39">
        <v>1</v>
      </c>
      <c r="AJ251" s="7"/>
      <c r="AK251" s="4">
        <f t="shared" si="755"/>
        <v>306.32400000000001</v>
      </c>
      <c r="AL251" s="4">
        <f t="shared" si="678"/>
        <v>0.55279159756771701</v>
      </c>
      <c r="AM251" s="4">
        <f t="shared" si="679"/>
        <v>322.24884028531784</v>
      </c>
      <c r="AN251" s="4">
        <f t="shared" si="680"/>
        <v>0.77462686567164174</v>
      </c>
      <c r="AO251" s="4">
        <v>1.25</v>
      </c>
      <c r="AP251" s="4">
        <f t="shared" si="624"/>
        <v>2.5</v>
      </c>
      <c r="AQ251" s="38">
        <f t="shared" si="723"/>
        <v>431.21650275797623</v>
      </c>
      <c r="AR251" s="38">
        <f t="shared" si="682"/>
        <v>431.21650275797623</v>
      </c>
      <c r="AS251" s="38">
        <f t="shared" si="683"/>
        <v>3.3373168177886376</v>
      </c>
      <c r="AT251" s="38">
        <f t="shared" si="626"/>
        <v>431.21650275797634</v>
      </c>
      <c r="AU251" s="38">
        <f t="shared" si="601"/>
        <v>0.99999999999999978</v>
      </c>
      <c r="AV251" s="38">
        <f t="shared" si="715"/>
        <v>1.5487859687512009</v>
      </c>
      <c r="AW251" s="4">
        <f t="shared" si="707"/>
        <v>0</v>
      </c>
      <c r="AX251" s="4">
        <f t="shared" si="756"/>
        <v>386.63471310203067</v>
      </c>
      <c r="AY251" s="4">
        <f t="shared" si="724"/>
        <v>1</v>
      </c>
      <c r="AZ251" s="38">
        <f t="shared" si="617"/>
        <v>667.86206896551732</v>
      </c>
      <c r="BA251" s="4">
        <f t="shared" si="725"/>
        <v>0.44000000000000006</v>
      </c>
      <c r="BB251" s="4">
        <f t="shared" si="726"/>
        <v>88.887320542156857</v>
      </c>
      <c r="BC251" s="4">
        <f t="shared" si="727"/>
        <v>756.74938950767421</v>
      </c>
      <c r="BE251" s="4">
        <f t="shared" si="627"/>
        <v>1.5</v>
      </c>
      <c r="BF251" s="4">
        <f t="shared" si="628"/>
        <v>604.67937928949675</v>
      </c>
      <c r="BH251" s="4">
        <f t="shared" si="633"/>
        <v>640.56139834689668</v>
      </c>
      <c r="BI251" s="4">
        <f t="shared" si="634"/>
        <v>0</v>
      </c>
      <c r="BJ251" s="4">
        <f t="shared" si="635"/>
        <v>0</v>
      </c>
      <c r="BR251" s="4">
        <f t="shared" si="728"/>
        <v>101.6</v>
      </c>
      <c r="BV251" s="9"/>
      <c r="BX251" s="9"/>
      <c r="BY251" s="9"/>
      <c r="BZ251" s="9">
        <f t="shared" si="729"/>
        <v>95.25</v>
      </c>
      <c r="CA251" s="9">
        <f t="shared" si="730"/>
        <v>127</v>
      </c>
      <c r="CB251" s="9">
        <f t="shared" si="604"/>
        <v>2.0218849722190098</v>
      </c>
      <c r="CC251" s="40">
        <f t="shared" si="757"/>
        <v>20</v>
      </c>
      <c r="CD251" s="9">
        <f t="shared" si="731"/>
        <v>0.05</v>
      </c>
      <c r="CE251" s="9">
        <f t="shared" si="732"/>
        <v>0.8</v>
      </c>
      <c r="CF251" s="9">
        <f t="shared" si="733"/>
        <v>0.99524931562137331</v>
      </c>
      <c r="CG251" s="9">
        <f t="shared" si="734"/>
        <v>0.68</v>
      </c>
      <c r="CH251" s="9">
        <f t="shared" si="606"/>
        <v>1.4428327162401366</v>
      </c>
      <c r="CI251" s="9">
        <f t="shared" si="607"/>
        <v>3.6070817906003416</v>
      </c>
      <c r="CJ251" s="40">
        <v>1</v>
      </c>
      <c r="CK251" s="9">
        <f t="shared" si="608"/>
        <v>390.43053301458099</v>
      </c>
      <c r="CM251" s="4">
        <f t="shared" si="735"/>
        <v>2.1708095946524519</v>
      </c>
      <c r="CN251" s="4">
        <f t="shared" si="736"/>
        <v>1.1090994673594974</v>
      </c>
      <c r="CO251" s="4">
        <f t="shared" si="708"/>
        <v>1.3880254124322593</v>
      </c>
      <c r="CP251" s="4">
        <f t="shared" si="737"/>
        <v>2.1497046820266013</v>
      </c>
      <c r="CQ251" s="4">
        <f t="shared" si="694"/>
        <v>1.0025154962900582</v>
      </c>
      <c r="CR251" s="4">
        <f t="shared" si="695"/>
        <v>1.0958321519136152</v>
      </c>
      <c r="CS251" s="4">
        <f t="shared" si="709"/>
        <v>1.2442613749021638</v>
      </c>
      <c r="CT251" s="4">
        <f t="shared" si="758"/>
        <v>8</v>
      </c>
      <c r="DA251" s="4">
        <f t="shared" si="760"/>
        <v>2.1708095946524519</v>
      </c>
      <c r="DB251" s="4">
        <f t="shared" si="760"/>
        <v>1.1090994673594974</v>
      </c>
      <c r="DC251" s="4">
        <f t="shared" si="761"/>
        <v>2.1497046820266013</v>
      </c>
      <c r="DD251" s="4">
        <f t="shared" si="762"/>
        <v>1.2442613749021638</v>
      </c>
      <c r="DE251" s="4">
        <f t="shared" si="763"/>
        <v>1.0025154962900582</v>
      </c>
      <c r="DF251" s="4">
        <f t="shared" si="763"/>
        <v>1.0958321519136152</v>
      </c>
      <c r="DI251" s="4">
        <f t="shared" si="742"/>
        <v>306.32400000000001</v>
      </c>
      <c r="DL251" s="4">
        <f t="shared" si="667"/>
        <v>2.2622636639966186E-5</v>
      </c>
      <c r="DM251" s="4">
        <f t="shared" si="558"/>
        <v>9.3454355759249683</v>
      </c>
      <c r="DN251" s="4">
        <f t="shared" si="668"/>
        <v>0.6421059640052692</v>
      </c>
      <c r="DO251" s="4">
        <f t="shared" si="669"/>
        <v>7.827845214538236</v>
      </c>
      <c r="DP251" s="4">
        <f t="shared" si="670"/>
        <v>8.6201282342357342</v>
      </c>
      <c r="DQ251" s="4">
        <f t="shared" si="671"/>
        <v>8.3912116791286806</v>
      </c>
      <c r="DR251" s="38">
        <f t="shared" si="684"/>
        <v>837.20436036506749</v>
      </c>
      <c r="DS251" s="4">
        <f t="shared" si="609"/>
        <v>1.0001288226971616</v>
      </c>
      <c r="DT251" s="4">
        <f t="shared" si="672"/>
        <v>2.2360679774997898</v>
      </c>
      <c r="DU251" s="4">
        <f t="shared" si="618"/>
        <v>431.21650275797634</v>
      </c>
      <c r="DY251" s="4">
        <f t="shared" si="581"/>
        <v>0.85</v>
      </c>
      <c r="DZ251" s="4">
        <f t="shared" si="610"/>
        <v>0.7</v>
      </c>
      <c r="EA251" s="4">
        <f t="shared" si="685"/>
        <v>0.99062499999999998</v>
      </c>
      <c r="EB251" s="4">
        <f t="shared" si="611"/>
        <v>0.7</v>
      </c>
      <c r="ED251" s="4">
        <f t="shared" si="686"/>
        <v>765.91140656160405</v>
      </c>
      <c r="EE251" s="25">
        <f t="shared" si="687"/>
        <v>427.79354742463875</v>
      </c>
      <c r="EG251" s="4">
        <f t="shared" si="619"/>
        <v>0.59499999999999997</v>
      </c>
      <c r="EH251" s="4">
        <f t="shared" si="688"/>
        <v>9.3454355759249683</v>
      </c>
      <c r="EK251" s="4">
        <f t="shared" si="673"/>
        <v>56.796126628494655</v>
      </c>
      <c r="EL251" s="4">
        <f t="shared" si="674"/>
        <v>2.2360679774997898</v>
      </c>
      <c r="EM251" s="4">
        <f t="shared" si="675"/>
        <v>0.21386962397516138</v>
      </c>
      <c r="EP251" s="4">
        <f t="shared" si="759"/>
        <v>0.21386962397516138</v>
      </c>
      <c r="EQ251" s="4">
        <f t="shared" si="721"/>
        <v>0.64103440882362794</v>
      </c>
      <c r="ER251" s="4">
        <f t="shared" si="559"/>
        <v>7.8226173102984617</v>
      </c>
      <c r="ES251" s="4">
        <f t="shared" si="743"/>
        <v>8.6177553730976868</v>
      </c>
      <c r="ET251" s="4">
        <f t="shared" si="560"/>
        <v>172.94687337150535</v>
      </c>
      <c r="EU251" s="4">
        <f t="shared" si="561"/>
        <v>76.581000000000017</v>
      </c>
      <c r="EV251" s="4">
        <f t="shared" si="612"/>
        <v>2.262263663996619E-5</v>
      </c>
      <c r="EW251" s="4">
        <f t="shared" si="744"/>
        <v>8.3915059880731953</v>
      </c>
      <c r="EX251" s="4">
        <f t="shared" si="636"/>
        <v>837.09652333314716</v>
      </c>
      <c r="FG251" s="23">
        <f t="shared" si="711"/>
        <v>2.2000000000000002</v>
      </c>
      <c r="FH251" s="23">
        <f t="shared" si="711"/>
        <v>1.2</v>
      </c>
      <c r="FI251" s="23">
        <f t="shared" si="712"/>
        <v>1.4</v>
      </c>
      <c r="FJ251" s="23">
        <f t="shared" si="713"/>
        <v>2.2000000000000002</v>
      </c>
      <c r="FK251" s="23">
        <f t="shared" si="713"/>
        <v>1.2</v>
      </c>
      <c r="FL251" s="23">
        <f t="shared" si="713"/>
        <v>1.2</v>
      </c>
      <c r="FM251" s="23">
        <f t="shared" si="701"/>
        <v>0</v>
      </c>
      <c r="FN251" s="23"/>
      <c r="FX251" s="4">
        <f t="shared" si="613"/>
        <v>1</v>
      </c>
      <c r="FY251" s="4">
        <f t="shared" si="652"/>
        <v>0.44</v>
      </c>
      <c r="FZ251" s="4">
        <f t="shared" si="614"/>
        <v>0.3</v>
      </c>
      <c r="GA251" s="4">
        <f t="shared" si="615"/>
        <v>674.54504476085754</v>
      </c>
    </row>
    <row r="252" spans="1:183" ht="12" hidden="1" customHeight="1" x14ac:dyDescent="0.3">
      <c r="A252" s="25">
        <v>234</v>
      </c>
      <c r="B252" s="4" t="s">
        <v>605</v>
      </c>
      <c r="C252" s="4">
        <v>2016</v>
      </c>
      <c r="D252" s="4" t="s">
        <v>309</v>
      </c>
      <c r="E252" s="24" t="s">
        <v>661</v>
      </c>
      <c r="F252" s="7" t="s">
        <v>387</v>
      </c>
      <c r="G252" s="38">
        <f t="shared" si="745"/>
        <v>827.58620689655174</v>
      </c>
      <c r="H252" s="38">
        <f>12.44*25.4</f>
        <v>315.97599999999994</v>
      </c>
      <c r="I252" s="4">
        <f t="shared" si="746"/>
        <v>315.97599999999994</v>
      </c>
      <c r="J252" s="38">
        <f>5070/145</f>
        <v>34.96551724137931</v>
      </c>
      <c r="K252" s="38">
        <f t="shared" si="747"/>
        <v>25.4</v>
      </c>
      <c r="L252" s="7">
        <f t="shared" si="748"/>
        <v>12.439999999999998</v>
      </c>
      <c r="M252" s="7">
        <f t="shared" si="749"/>
        <v>12.439999999999998</v>
      </c>
      <c r="N252" s="38">
        <f>17.5*25.4</f>
        <v>444.5</v>
      </c>
      <c r="O252" s="38">
        <f>2.95*25.4</f>
        <v>74.930000000000007</v>
      </c>
      <c r="P252" s="39">
        <f>3.3*25.4</f>
        <v>83.82</v>
      </c>
      <c r="Q252" s="7">
        <f t="shared" si="750"/>
        <v>243.83999999999997</v>
      </c>
      <c r="R252" s="38">
        <v>2</v>
      </c>
      <c r="S252" s="4">
        <f t="shared" si="722"/>
        <v>260.34999999999997</v>
      </c>
      <c r="T252" s="7">
        <f t="shared" si="751"/>
        <v>3.4500000000000006</v>
      </c>
      <c r="U252" s="7">
        <f t="shared" si="631"/>
        <v>3.4500000000000006</v>
      </c>
      <c r="V252" s="38">
        <v>4</v>
      </c>
      <c r="W252" s="4">
        <f t="shared" si="752"/>
        <v>4</v>
      </c>
      <c r="X252" s="4">
        <f t="shared" si="753"/>
        <v>5</v>
      </c>
      <c r="Y252" s="7">
        <f t="shared" si="754"/>
        <v>56.796126628494655</v>
      </c>
      <c r="AB252" s="38">
        <f>138/0.145</f>
        <v>951.72413793103453</v>
      </c>
      <c r="AD252" s="4">
        <f t="shared" si="666"/>
        <v>1.3316690082587483</v>
      </c>
      <c r="AE252" s="38">
        <f t="shared" si="764"/>
        <v>9.5249999999999986</v>
      </c>
      <c r="AF252" s="38">
        <v>8</v>
      </c>
      <c r="AG252" s="39">
        <f>4*25.4</f>
        <v>101.6</v>
      </c>
      <c r="AH252" s="39">
        <v>2</v>
      </c>
      <c r="AI252" s="39">
        <v>1</v>
      </c>
      <c r="AJ252" s="7"/>
      <c r="AK252" s="4">
        <f t="shared" si="755"/>
        <v>315.97599999999994</v>
      </c>
      <c r="AL252" s="4">
        <f t="shared" si="678"/>
        <v>0.46891747052518773</v>
      </c>
      <c r="AM252" s="4">
        <f t="shared" si="679"/>
        <v>327.72820079341074</v>
      </c>
      <c r="AN252" s="4">
        <f t="shared" si="680"/>
        <v>0.7554662379421222</v>
      </c>
      <c r="AO252" s="4">
        <v>1.25</v>
      </c>
      <c r="AP252" s="4">
        <f t="shared" si="624"/>
        <v>2.5</v>
      </c>
      <c r="AQ252" s="38">
        <f t="shared" si="723"/>
        <v>362.80670896272306</v>
      </c>
      <c r="AR252" s="38">
        <f t="shared" si="682"/>
        <v>362.80670896272306</v>
      </c>
      <c r="AS252" s="38">
        <f t="shared" si="683"/>
        <v>3.2078537456295186</v>
      </c>
      <c r="AT252" s="38">
        <f t="shared" si="626"/>
        <v>362.80670896272267</v>
      </c>
      <c r="AU252" s="38">
        <f t="shared" si="601"/>
        <v>1.0000000000000011</v>
      </c>
      <c r="AV252" s="38">
        <f t="shared" si="715"/>
        <v>1.329975786033804</v>
      </c>
      <c r="AW252" s="4">
        <f t="shared" si="707"/>
        <v>0</v>
      </c>
      <c r="AX252" s="4">
        <f t="shared" si="756"/>
        <v>387.15668086604285</v>
      </c>
      <c r="AY252" s="4">
        <f t="shared" si="724"/>
        <v>1</v>
      </c>
      <c r="AZ252" s="38">
        <f t="shared" si="617"/>
        <v>482.5241379310346</v>
      </c>
      <c r="BA252" s="4">
        <f t="shared" si="725"/>
        <v>0.44000000000000006</v>
      </c>
      <c r="BB252" s="4">
        <f t="shared" si="726"/>
        <v>89.007320931103266</v>
      </c>
      <c r="BC252" s="4">
        <f t="shared" si="727"/>
        <v>571.53145886213792</v>
      </c>
      <c r="BE252" s="4">
        <f t="shared" si="627"/>
        <v>1.5</v>
      </c>
      <c r="BF252" s="4">
        <f t="shared" si="628"/>
        <v>597.11137543666166</v>
      </c>
      <c r="BH252" s="4">
        <f t="shared" si="633"/>
        <v>462.79965713278585</v>
      </c>
      <c r="BI252" s="4">
        <f t="shared" si="634"/>
        <v>0</v>
      </c>
      <c r="BJ252" s="4">
        <f t="shared" si="635"/>
        <v>0</v>
      </c>
      <c r="BR252" s="4">
        <f t="shared" si="728"/>
        <v>74.930000000000007</v>
      </c>
      <c r="BV252" s="9"/>
      <c r="BX252" s="9"/>
      <c r="BY252" s="9"/>
      <c r="BZ252" s="9">
        <f t="shared" si="729"/>
        <v>74.930000000000007</v>
      </c>
      <c r="CA252" s="9">
        <f t="shared" si="730"/>
        <v>121.91999999999999</v>
      </c>
      <c r="CB252" s="9">
        <f t="shared" si="604"/>
        <v>1.8476678039809094</v>
      </c>
      <c r="CC252" s="40">
        <f t="shared" si="757"/>
        <v>20</v>
      </c>
      <c r="CD252" s="9">
        <f t="shared" si="731"/>
        <v>0.05</v>
      </c>
      <c r="CE252" s="9">
        <f t="shared" si="732"/>
        <v>0.8</v>
      </c>
      <c r="CF252" s="9">
        <f t="shared" si="733"/>
        <v>0.99524931562137331</v>
      </c>
      <c r="CG252" s="9">
        <f t="shared" si="734"/>
        <v>0.68</v>
      </c>
      <c r="CH252" s="9">
        <f t="shared" si="606"/>
        <v>1.4006474122126336</v>
      </c>
      <c r="CI252" s="9">
        <f t="shared" si="607"/>
        <v>3.5016185305315837</v>
      </c>
      <c r="CJ252" s="40">
        <v>1</v>
      </c>
      <c r="CK252" s="9">
        <f t="shared" si="608"/>
        <v>384.33764991114657</v>
      </c>
      <c r="CM252" s="4">
        <f t="shared" si="735"/>
        <v>2.4582402550876643</v>
      </c>
      <c r="CN252" s="4">
        <f t="shared" si="736"/>
        <v>1.6652174139737159</v>
      </c>
      <c r="CO252" s="4">
        <f t="shared" si="708"/>
        <v>1.5938804335037966</v>
      </c>
      <c r="CP252" s="4">
        <f t="shared" si="737"/>
        <v>2.4762708991717561</v>
      </c>
      <c r="CQ252" s="4">
        <f t="shared" si="694"/>
        <v>1.3316690082587483</v>
      </c>
      <c r="CR252" s="4">
        <f t="shared" si="695"/>
        <v>1.4482630142707176</v>
      </c>
      <c r="CS252" s="4">
        <f t="shared" si="709"/>
        <v>1.400091193706031</v>
      </c>
      <c r="CT252" s="4">
        <f t="shared" si="758"/>
        <v>8</v>
      </c>
      <c r="DA252" s="4">
        <f t="shared" si="760"/>
        <v>2.4582402550876643</v>
      </c>
      <c r="DB252" s="4">
        <f t="shared" si="760"/>
        <v>1.6652174139737159</v>
      </c>
      <c r="DC252" s="4">
        <f t="shared" si="761"/>
        <v>2.4762708991717561</v>
      </c>
      <c r="DD252" s="4">
        <f t="shared" si="762"/>
        <v>1.400091193706031</v>
      </c>
      <c r="DE252" s="4">
        <f t="shared" si="763"/>
        <v>1.3316690082587483</v>
      </c>
      <c r="DF252" s="4">
        <f t="shared" si="763"/>
        <v>1.4482630142707176</v>
      </c>
      <c r="DI252" s="4">
        <f t="shared" si="742"/>
        <v>315.97599999999994</v>
      </c>
      <c r="DL252" s="4">
        <f t="shared" si="667"/>
        <v>2.2998786526164252E-5</v>
      </c>
      <c r="DM252" s="4">
        <f t="shared" si="558"/>
        <v>7.9635234919892781</v>
      </c>
      <c r="DN252" s="4">
        <f t="shared" si="668"/>
        <v>0.57327229845730976</v>
      </c>
      <c r="DO252" s="4">
        <f t="shared" si="669"/>
        <v>6.3745517050009441</v>
      </c>
      <c r="DP252" s="4">
        <f t="shared" si="670"/>
        <v>7.212979760780323</v>
      </c>
      <c r="DQ252" s="4">
        <f t="shared" si="671"/>
        <v>7.2499372750174791</v>
      </c>
      <c r="DR252" s="38">
        <f t="shared" si="684"/>
        <v>714.68520482839904</v>
      </c>
      <c r="DS252" s="4">
        <f t="shared" si="609"/>
        <v>1.0001242990621564</v>
      </c>
      <c r="DT252" s="4">
        <f t="shared" si="672"/>
        <v>2.2360679774997898</v>
      </c>
      <c r="DU252" s="4">
        <f t="shared" si="618"/>
        <v>362.80670896272267</v>
      </c>
      <c r="DY252" s="4">
        <f t="shared" si="581"/>
        <v>0.85</v>
      </c>
      <c r="DZ252" s="4">
        <f t="shared" si="610"/>
        <v>0.80499999999999994</v>
      </c>
      <c r="EA252" s="4">
        <f t="shared" si="685"/>
        <v>0.99062499999999998</v>
      </c>
      <c r="EB252" s="4">
        <f t="shared" si="611"/>
        <v>0.79745312499999987</v>
      </c>
      <c r="ED252" s="4">
        <f t="shared" si="686"/>
        <v>657.1486867737774</v>
      </c>
      <c r="EE252" s="25">
        <f t="shared" si="687"/>
        <v>359.94999005273769</v>
      </c>
      <c r="EG252" s="4">
        <f t="shared" si="619"/>
        <v>0.6778351562499999</v>
      </c>
      <c r="EH252" s="4">
        <f t="shared" si="688"/>
        <v>7.9635234919892781</v>
      </c>
      <c r="EK252" s="4">
        <f t="shared" si="673"/>
        <v>56.796126628494655</v>
      </c>
      <c r="EL252" s="4">
        <f t="shared" si="674"/>
        <v>2.2360679774997898</v>
      </c>
      <c r="EM252" s="4">
        <f t="shared" si="675"/>
        <v>0.18536007663686557</v>
      </c>
      <c r="EP252" s="4">
        <f t="shared" si="759"/>
        <v>0.18536007663686557</v>
      </c>
      <c r="EQ252" s="4">
        <f t="shared" si="721"/>
        <v>0.57231561383461671</v>
      </c>
      <c r="ER252" s="4">
        <f t="shared" si="559"/>
        <v>6.3702943972780819</v>
      </c>
      <c r="ES252" s="4">
        <f t="shared" si="743"/>
        <v>7.2110995253438732</v>
      </c>
      <c r="ET252" s="4">
        <f t="shared" si="560"/>
        <v>180.18587337150532</v>
      </c>
      <c r="EU252" s="4">
        <f t="shared" si="561"/>
        <v>78.993999999999943</v>
      </c>
      <c r="EV252" s="4">
        <f t="shared" si="612"/>
        <v>2.2998786526164242E-5</v>
      </c>
      <c r="EW252" s="4">
        <f t="shared" si="744"/>
        <v>7.2501469138734471</v>
      </c>
      <c r="EX252" s="4">
        <f t="shared" si="636"/>
        <v>714.59638116839949</v>
      </c>
      <c r="FG252" s="23">
        <f t="shared" si="711"/>
        <v>2.2000000000000002</v>
      </c>
      <c r="FH252" s="23">
        <f t="shared" si="711"/>
        <v>1.8</v>
      </c>
      <c r="FI252" s="23">
        <f t="shared" si="712"/>
        <v>1.6</v>
      </c>
      <c r="FJ252" s="23">
        <f t="shared" si="713"/>
        <v>2.2000000000000002</v>
      </c>
      <c r="FK252" s="23">
        <f t="shared" si="713"/>
        <v>1.4</v>
      </c>
      <c r="FL252" s="23">
        <f t="shared" si="713"/>
        <v>1.6</v>
      </c>
      <c r="FM252" s="23">
        <f t="shared" si="701"/>
        <v>0</v>
      </c>
      <c r="FN252" s="23"/>
      <c r="FX252" s="4">
        <f t="shared" si="613"/>
        <v>1</v>
      </c>
      <c r="FY252" s="4">
        <f t="shared" si="652"/>
        <v>0.44374999999999998</v>
      </c>
      <c r="FZ252" s="4">
        <f t="shared" si="614"/>
        <v>0.28124999999999994</v>
      </c>
      <c r="GA252" s="4">
        <f t="shared" si="615"/>
        <v>679.75867729860352</v>
      </c>
    </row>
    <row r="253" spans="1:183" ht="12" hidden="1" customHeight="1" x14ac:dyDescent="0.3">
      <c r="A253" s="25">
        <v>235</v>
      </c>
      <c r="B253" s="4" t="s">
        <v>605</v>
      </c>
      <c r="C253" s="4">
        <v>2016</v>
      </c>
      <c r="D253" s="4" t="s">
        <v>309</v>
      </c>
      <c r="E253" s="24" t="s">
        <v>661</v>
      </c>
      <c r="F253" s="7" t="s">
        <v>388</v>
      </c>
      <c r="G253" s="38">
        <f t="shared" si="745"/>
        <v>827.58620689655174</v>
      </c>
      <c r="H253" s="38">
        <f>12.19*25.4</f>
        <v>309.62599999999998</v>
      </c>
      <c r="I253" s="4">
        <f t="shared" si="746"/>
        <v>309.62599999999998</v>
      </c>
      <c r="J253" s="38">
        <f>4850/145</f>
        <v>33.448275862068968</v>
      </c>
      <c r="K253" s="38">
        <f t="shared" si="747"/>
        <v>25.4</v>
      </c>
      <c r="L253" s="7">
        <f t="shared" si="748"/>
        <v>12.19</v>
      </c>
      <c r="M253" s="7">
        <f t="shared" si="749"/>
        <v>12.19</v>
      </c>
      <c r="N253" s="38">
        <f>20.1*25.4</f>
        <v>510.54</v>
      </c>
      <c r="O253" s="38">
        <f>4*25.4</f>
        <v>101.6</v>
      </c>
      <c r="P253" s="39">
        <f>3.55*25.4</f>
        <v>90.169999999999987</v>
      </c>
      <c r="Q253" s="7">
        <f t="shared" si="750"/>
        <v>256.54000000000002</v>
      </c>
      <c r="R253" s="38">
        <v>2</v>
      </c>
      <c r="S253" s="4">
        <f t="shared" si="722"/>
        <v>260.34999999999997</v>
      </c>
      <c r="T253" s="7">
        <f t="shared" si="751"/>
        <v>4.5</v>
      </c>
      <c r="U253" s="7">
        <f t="shared" si="631"/>
        <v>4.5</v>
      </c>
      <c r="V253" s="38">
        <v>4</v>
      </c>
      <c r="W253" s="4">
        <f t="shared" si="752"/>
        <v>4</v>
      </c>
      <c r="X253" s="4">
        <f t="shared" si="753"/>
        <v>5</v>
      </c>
      <c r="Y253" s="7">
        <f t="shared" si="754"/>
        <v>56.796126628494655</v>
      </c>
      <c r="AB253" s="38">
        <f>128.5/0.145</f>
        <v>886.20689655172418</v>
      </c>
      <c r="AD253" s="4">
        <f t="shared" si="666"/>
        <v>1.097611405753202</v>
      </c>
      <c r="AE253" s="38">
        <f t="shared" si="764"/>
        <v>9.5249999999999986</v>
      </c>
      <c r="AF253" s="38">
        <v>8</v>
      </c>
      <c r="AG253" s="39">
        <f>4*25.4</f>
        <v>101.6</v>
      </c>
      <c r="AH253" s="39">
        <v>2</v>
      </c>
      <c r="AI253" s="39">
        <v>1</v>
      </c>
      <c r="AJ253" s="7"/>
      <c r="AK253" s="4">
        <f t="shared" si="755"/>
        <v>309.62599999999998</v>
      </c>
      <c r="AL253" s="4">
        <f t="shared" si="678"/>
        <v>0.54963084495488113</v>
      </c>
      <c r="AM253" s="4">
        <f t="shared" si="679"/>
        <v>310.92503455862817</v>
      </c>
      <c r="AN253" s="4">
        <f t="shared" si="680"/>
        <v>0.77383100902378998</v>
      </c>
      <c r="AO253" s="4">
        <v>1.25</v>
      </c>
      <c r="AP253" s="4">
        <f t="shared" si="624"/>
        <v>2.5</v>
      </c>
      <c r="AQ253" s="38">
        <f t="shared" si="723"/>
        <v>413.25958844233031</v>
      </c>
      <c r="AR253" s="38">
        <f t="shared" si="682"/>
        <v>413.25958844233031</v>
      </c>
      <c r="AS253" s="38">
        <f t="shared" si="683"/>
        <v>3.1143714702560636</v>
      </c>
      <c r="AT253" s="38">
        <f t="shared" si="626"/>
        <v>413.25958844233008</v>
      </c>
      <c r="AU253" s="38">
        <f t="shared" si="601"/>
        <v>1.0000000000000004</v>
      </c>
      <c r="AV253" s="38">
        <f t="shared" si="715"/>
        <v>1.4568783940055137</v>
      </c>
      <c r="AW253" s="4">
        <f t="shared" si="707"/>
        <v>0</v>
      </c>
      <c r="AX253" s="4">
        <f t="shared" si="756"/>
        <v>371.05387625127508</v>
      </c>
      <c r="AY253" s="4">
        <f t="shared" si="724"/>
        <v>1</v>
      </c>
      <c r="AZ253" s="38">
        <f t="shared" si="617"/>
        <v>602.06896551724139</v>
      </c>
      <c r="BA253" s="4">
        <f t="shared" si="725"/>
        <v>0.44000000000000006</v>
      </c>
      <c r="BB253" s="4">
        <f t="shared" si="726"/>
        <v>85.305286150168143</v>
      </c>
      <c r="BC253" s="4">
        <f t="shared" si="727"/>
        <v>687.37425166740957</v>
      </c>
      <c r="BE253" s="4">
        <f t="shared" si="627"/>
        <v>1.5</v>
      </c>
      <c r="BF253" s="4">
        <f t="shared" si="628"/>
        <v>577.50624401013158</v>
      </c>
      <c r="BH253" s="4">
        <f t="shared" si="633"/>
        <v>577.45776616774151</v>
      </c>
      <c r="BI253" s="4">
        <f t="shared" si="634"/>
        <v>0</v>
      </c>
      <c r="BJ253" s="4">
        <f t="shared" si="635"/>
        <v>0</v>
      </c>
      <c r="BR253" s="4">
        <f t="shared" si="728"/>
        <v>101.6</v>
      </c>
      <c r="BV253" s="9"/>
      <c r="BX253" s="9"/>
      <c r="BY253" s="9"/>
      <c r="BZ253" s="9">
        <f t="shared" si="729"/>
        <v>90.169999999999987</v>
      </c>
      <c r="CA253" s="9">
        <f t="shared" si="730"/>
        <v>128.27000000000001</v>
      </c>
      <c r="CB253" s="9">
        <f t="shared" si="604"/>
        <v>1.9864316684380796</v>
      </c>
      <c r="CC253" s="40">
        <f t="shared" si="757"/>
        <v>20</v>
      </c>
      <c r="CD253" s="9">
        <f t="shared" si="731"/>
        <v>0.05</v>
      </c>
      <c r="CE253" s="9">
        <f t="shared" si="732"/>
        <v>0.8</v>
      </c>
      <c r="CF253" s="9">
        <f t="shared" si="733"/>
        <v>0.99524931562137331</v>
      </c>
      <c r="CG253" s="9">
        <f t="shared" si="734"/>
        <v>0.68</v>
      </c>
      <c r="CH253" s="9">
        <f t="shared" si="606"/>
        <v>1.3699215983187671</v>
      </c>
      <c r="CI253" s="9">
        <f t="shared" si="607"/>
        <v>3.4248039957969176</v>
      </c>
      <c r="CJ253" s="40">
        <v>1</v>
      </c>
      <c r="CK253" s="9">
        <f t="shared" si="608"/>
        <v>372.48168258287274</v>
      </c>
      <c r="CM253" s="4">
        <f t="shared" si="735"/>
        <v>2.3883510004126491</v>
      </c>
      <c r="CN253" s="4">
        <f t="shared" si="736"/>
        <v>1.2892640281505934</v>
      </c>
      <c r="CO253" s="4">
        <f t="shared" si="708"/>
        <v>1.5345408049582523</v>
      </c>
      <c r="CP253" s="4">
        <f t="shared" si="737"/>
        <v>2.3791959121494619</v>
      </c>
      <c r="CQ253" s="4">
        <f t="shared" si="694"/>
        <v>1.097611405753202</v>
      </c>
      <c r="CR253" s="4">
        <f t="shared" si="695"/>
        <v>1.2065212017848979</v>
      </c>
      <c r="CS253" s="4">
        <f t="shared" si="709"/>
        <v>1.3452828172806048</v>
      </c>
      <c r="CT253" s="4">
        <f t="shared" si="758"/>
        <v>8</v>
      </c>
      <c r="DA253" s="4">
        <f t="shared" si="760"/>
        <v>2.3883510004126491</v>
      </c>
      <c r="DB253" s="4">
        <f t="shared" si="760"/>
        <v>1.2892640281505934</v>
      </c>
      <c r="DC253" s="4">
        <f t="shared" si="761"/>
        <v>2.3791959121494619</v>
      </c>
      <c r="DD253" s="4">
        <f t="shared" si="762"/>
        <v>1.3452828172806048</v>
      </c>
      <c r="DE253" s="4">
        <f t="shared" si="763"/>
        <v>1.097611405753202</v>
      </c>
      <c r="DF253" s="4">
        <f t="shared" si="763"/>
        <v>1.2065212017848979</v>
      </c>
      <c r="DI253" s="4">
        <f t="shared" si="742"/>
        <v>309.62599999999998</v>
      </c>
      <c r="DL253" s="4">
        <f t="shared" si="667"/>
        <v>2.2302235172382959E-5</v>
      </c>
      <c r="DM253" s="4">
        <f t="shared" si="558"/>
        <v>8.8731797505383305</v>
      </c>
      <c r="DN253" s="4">
        <f t="shared" si="668"/>
        <v>0.68261339559618783</v>
      </c>
      <c r="DO253" s="4">
        <f t="shared" si="669"/>
        <v>7.6163904897469754</v>
      </c>
      <c r="DP253" s="4">
        <f t="shared" si="670"/>
        <v>8.2687115091235786</v>
      </c>
      <c r="DQ253" s="4">
        <f t="shared" si="671"/>
        <v>8.0052518981639746</v>
      </c>
      <c r="DR253" s="38">
        <f t="shared" si="684"/>
        <v>807.39585239968596</v>
      </c>
      <c r="DS253" s="4">
        <f t="shared" si="609"/>
        <v>1.0001323830681572</v>
      </c>
      <c r="DT253" s="4">
        <f t="shared" si="672"/>
        <v>2.2360679774997898</v>
      </c>
      <c r="DU253" s="4">
        <f t="shared" si="618"/>
        <v>413.25958844233008</v>
      </c>
      <c r="DY253" s="4">
        <f t="shared" si="581"/>
        <v>0.85</v>
      </c>
      <c r="DZ253" s="4">
        <f t="shared" si="610"/>
        <v>0.7</v>
      </c>
      <c r="EA253" s="4">
        <f t="shared" si="685"/>
        <v>0.99062499999999998</v>
      </c>
      <c r="EB253" s="4">
        <f t="shared" si="611"/>
        <v>0.7</v>
      </c>
      <c r="ED253" s="4">
        <f t="shared" si="686"/>
        <v>734.51415129770737</v>
      </c>
      <c r="EE253" s="25">
        <f t="shared" si="687"/>
        <v>410.02196782052062</v>
      </c>
      <c r="EG253" s="4">
        <f t="shared" si="619"/>
        <v>0.59499999999999997</v>
      </c>
      <c r="EH253" s="4">
        <f t="shared" si="688"/>
        <v>8.8731797505383305</v>
      </c>
      <c r="EK253" s="4">
        <f t="shared" si="673"/>
        <v>56.796126628494655</v>
      </c>
      <c r="EL253" s="4">
        <f t="shared" si="674"/>
        <v>2.2360679774997898</v>
      </c>
      <c r="EM253" s="4">
        <f t="shared" si="675"/>
        <v>0.21587231067569562</v>
      </c>
      <c r="EP253" s="4">
        <f t="shared" si="759"/>
        <v>0.21587231067569562</v>
      </c>
      <c r="EQ253" s="4">
        <f t="shared" si="721"/>
        <v>0.68147424106078058</v>
      </c>
      <c r="ER253" s="4">
        <f t="shared" si="559"/>
        <v>7.6113038076471362</v>
      </c>
      <c r="ES253" s="4">
        <f t="shared" si="743"/>
        <v>8.2663694968956261</v>
      </c>
      <c r="ET253" s="4">
        <f t="shared" si="560"/>
        <v>175.42337337150533</v>
      </c>
      <c r="EU253" s="4">
        <f t="shared" si="561"/>
        <v>77.406499999999994</v>
      </c>
      <c r="EV253" s="4">
        <f t="shared" si="612"/>
        <v>2.2302235172382959E-5</v>
      </c>
      <c r="EW253" s="4">
        <f t="shared" si="744"/>
        <v>8.0055246683541501</v>
      </c>
      <c r="EX253" s="4">
        <f t="shared" si="636"/>
        <v>807.28898100749075</v>
      </c>
      <c r="FG253" s="23">
        <f t="shared" si="711"/>
        <v>2.2000000000000002</v>
      </c>
      <c r="FH253" s="23">
        <f t="shared" si="711"/>
        <v>1.4</v>
      </c>
      <c r="FI253" s="23">
        <f t="shared" si="712"/>
        <v>1.4</v>
      </c>
      <c r="FJ253" s="23">
        <f t="shared" si="713"/>
        <v>2.2000000000000002</v>
      </c>
      <c r="FK253" s="23">
        <f t="shared" si="713"/>
        <v>1.2</v>
      </c>
      <c r="FL253" s="23">
        <f t="shared" si="713"/>
        <v>1.4</v>
      </c>
      <c r="FM253" s="23">
        <f t="shared" si="701"/>
        <v>0</v>
      </c>
      <c r="FN253" s="23"/>
      <c r="FX253" s="4">
        <f t="shared" si="613"/>
        <v>1</v>
      </c>
      <c r="FY253" s="4">
        <f t="shared" si="652"/>
        <v>0.44374999999999998</v>
      </c>
      <c r="FZ253" s="4">
        <f t="shared" si="614"/>
        <v>0.28124999999999994</v>
      </c>
      <c r="GA253" s="4">
        <f t="shared" si="615"/>
        <v>658.75136823878381</v>
      </c>
    </row>
    <row r="254" spans="1:183" ht="12" hidden="1" customHeight="1" x14ac:dyDescent="0.3">
      <c r="A254" s="25">
        <v>236</v>
      </c>
      <c r="B254" s="4" t="s">
        <v>605</v>
      </c>
      <c r="C254" s="4">
        <v>2016</v>
      </c>
      <c r="D254" s="4" t="s">
        <v>309</v>
      </c>
      <c r="E254" s="24" t="s">
        <v>404</v>
      </c>
      <c r="F254" s="7" t="s">
        <v>389</v>
      </c>
      <c r="G254" s="38">
        <f t="shared" si="745"/>
        <v>827.58620689655174</v>
      </c>
      <c r="H254" s="38">
        <f>12.56*25.4</f>
        <v>319.024</v>
      </c>
      <c r="I254" s="4">
        <f t="shared" si="746"/>
        <v>319.024</v>
      </c>
      <c r="J254" s="38">
        <f>5910/145</f>
        <v>40.758620689655174</v>
      </c>
      <c r="K254" s="38">
        <f t="shared" si="747"/>
        <v>25.4</v>
      </c>
      <c r="L254" s="7">
        <f t="shared" si="748"/>
        <v>12.56</v>
      </c>
      <c r="M254" s="7">
        <f t="shared" si="749"/>
        <v>12.56</v>
      </c>
      <c r="N254" s="38">
        <f>16.8*25.4</f>
        <v>426.71999999999997</v>
      </c>
      <c r="O254" s="38">
        <f>2.5*25.4</f>
        <v>63.5</v>
      </c>
      <c r="P254" s="39">
        <f>3.15*25.4</f>
        <v>80.009999999999991</v>
      </c>
      <c r="Q254" s="7">
        <f t="shared" si="750"/>
        <v>248.91999999999996</v>
      </c>
      <c r="R254" s="38">
        <v>2</v>
      </c>
      <c r="S254" s="4">
        <f t="shared" si="722"/>
        <v>260.34999999999997</v>
      </c>
      <c r="T254" s="7">
        <f t="shared" si="751"/>
        <v>3</v>
      </c>
      <c r="U254" s="7">
        <f t="shared" si="631"/>
        <v>3</v>
      </c>
      <c r="V254" s="38">
        <v>4</v>
      </c>
      <c r="W254" s="4">
        <f t="shared" si="752"/>
        <v>4</v>
      </c>
      <c r="X254" s="4">
        <f t="shared" si="753"/>
        <v>5</v>
      </c>
      <c r="Y254" s="7">
        <f t="shared" si="754"/>
        <v>56.796126628494655</v>
      </c>
      <c r="AB254" s="38">
        <f>123.7/0.145</f>
        <v>853.10344827586209</v>
      </c>
      <c r="AD254" s="4">
        <f t="shared" si="666"/>
        <v>1.1737171323264513</v>
      </c>
      <c r="AE254" s="38"/>
      <c r="AF254" s="38"/>
      <c r="AG254" s="39">
        <v>1</v>
      </c>
      <c r="AH254" s="39"/>
      <c r="AI254" s="39"/>
      <c r="AJ254" s="7"/>
      <c r="AK254" s="4">
        <f t="shared" si="755"/>
        <v>319.024</v>
      </c>
      <c r="AL254" s="4">
        <f t="shared" si="678"/>
        <v>0.44585987261146492</v>
      </c>
      <c r="AM254" s="4">
        <f t="shared" si="679"/>
        <v>358.96942805546695</v>
      </c>
      <c r="AN254" s="4">
        <f t="shared" si="680"/>
        <v>0.74777070063694262</v>
      </c>
      <c r="AO254" s="4">
        <v>1.25</v>
      </c>
      <c r="AP254" s="4">
        <f t="shared" si="624"/>
        <v>2.5</v>
      </c>
      <c r="AQ254" s="38">
        <f t="shared" si="723"/>
        <v>374.00233779258627</v>
      </c>
      <c r="AR254" s="38">
        <f t="shared" si="682"/>
        <v>374.00233779258627</v>
      </c>
      <c r="AS254" s="38">
        <f t="shared" si="683"/>
        <v>3.5530466297176955</v>
      </c>
      <c r="AT254" s="38">
        <f t="shared" si="626"/>
        <v>374.0023377925865</v>
      </c>
      <c r="AU254" s="38">
        <f t="shared" si="601"/>
        <v>0.99999999999999944</v>
      </c>
      <c r="AV254" s="38">
        <f t="shared" si="715"/>
        <v>1.3077550561919431</v>
      </c>
      <c r="AW254" s="4">
        <f t="shared" si="707"/>
        <v>0</v>
      </c>
      <c r="AX254" s="4">
        <f t="shared" si="756"/>
        <v>422.03238460067695</v>
      </c>
      <c r="AY254" s="4">
        <f t="shared" si="724"/>
        <v>1</v>
      </c>
      <c r="AZ254" s="38">
        <f t="shared" si="617"/>
        <v>489.10344827586204</v>
      </c>
      <c r="BA254" s="4">
        <f t="shared" si="725"/>
        <v>0.44000000000000006</v>
      </c>
      <c r="BB254" s="4">
        <f t="shared" si="726"/>
        <v>97.025245219695648</v>
      </c>
      <c r="BC254" s="4">
        <f t="shared" si="727"/>
        <v>586.12869349555763</v>
      </c>
      <c r="BE254" s="4">
        <f t="shared" si="627"/>
        <v>1.375</v>
      </c>
      <c r="BF254" s="4">
        <f t="shared" si="628"/>
        <v>594.11810549987342</v>
      </c>
      <c r="BH254" s="4">
        <f t="shared" si="633"/>
        <v>469.11002035070135</v>
      </c>
      <c r="BI254" s="4">
        <f t="shared" si="634"/>
        <v>0</v>
      </c>
      <c r="BJ254" s="4">
        <f t="shared" si="635"/>
        <v>0</v>
      </c>
      <c r="BR254" s="4">
        <f t="shared" si="728"/>
        <v>63.5</v>
      </c>
      <c r="BV254" s="9"/>
      <c r="BX254" s="9"/>
      <c r="BY254" s="9"/>
      <c r="BZ254" s="9">
        <f t="shared" si="729"/>
        <v>63.5</v>
      </c>
      <c r="CA254" s="9">
        <f t="shared" si="730"/>
        <v>124.45999999999998</v>
      </c>
      <c r="CB254" s="9">
        <f t="shared" si="604"/>
        <v>1.7490749303163509</v>
      </c>
      <c r="CC254" s="40">
        <f t="shared" si="757"/>
        <v>0</v>
      </c>
      <c r="CD254" s="9">
        <f t="shared" si="731"/>
        <v>0</v>
      </c>
      <c r="CE254" s="9">
        <f t="shared" si="732"/>
        <v>0</v>
      </c>
      <c r="CF254" s="9">
        <f t="shared" si="733"/>
        <v>0.99524931562137331</v>
      </c>
      <c r="CG254" s="9">
        <f t="shared" si="734"/>
        <v>0.68</v>
      </c>
      <c r="CH254" s="9">
        <f t="shared" si="606"/>
        <v>1.5122325576992237</v>
      </c>
      <c r="CI254" s="9">
        <f t="shared" si="607"/>
        <v>2.6450080554798867</v>
      </c>
      <c r="CJ254" s="40">
        <v>1</v>
      </c>
      <c r="CK254" s="9">
        <f t="shared" si="608"/>
        <v>291.58568803610274</v>
      </c>
      <c r="CM254" s="4">
        <f t="shared" si="735"/>
        <v>2.0214170272337286</v>
      </c>
      <c r="CN254" s="4">
        <f t="shared" si="736"/>
        <v>1.4554882873727251</v>
      </c>
      <c r="CO254" s="4">
        <f t="shared" si="708"/>
        <v>1.4359155871172888</v>
      </c>
      <c r="CP254" s="4">
        <f t="shared" si="737"/>
        <v>2.925738413369023</v>
      </c>
      <c r="CQ254" s="4">
        <f t="shared" si="694"/>
        <v>1.1737171323264513</v>
      </c>
      <c r="CR254" s="4">
        <f t="shared" si="695"/>
        <v>1.2638608456589822</v>
      </c>
      <c r="CS254" s="4">
        <f t="shared" si="709"/>
        <v>1.3479209893794599</v>
      </c>
      <c r="CT254" s="4">
        <f t="shared" si="758"/>
        <v>0</v>
      </c>
      <c r="CU254" s="4">
        <f t="shared" ref="CU254:CV255" si="765">CM254</f>
        <v>2.0214170272337286</v>
      </c>
      <c r="CV254" s="4">
        <f t="shared" si="765"/>
        <v>1.4554882873727251</v>
      </c>
      <c r="CW254" s="4">
        <f t="shared" ref="CW254:CW255" si="766">CP254</f>
        <v>2.925738413369023</v>
      </c>
      <c r="CX254" s="4">
        <f t="shared" ref="CX254:CX255" si="767">CS254</f>
        <v>1.3479209893794599</v>
      </c>
      <c r="CY254" s="4">
        <f t="shared" ref="CY254:CZ255" si="768">CQ254</f>
        <v>1.1737171323264513</v>
      </c>
      <c r="CZ254" s="4">
        <f t="shared" si="768"/>
        <v>1.2638608456589822</v>
      </c>
      <c r="DI254" s="4">
        <f t="shared" si="742"/>
        <v>319.024</v>
      </c>
      <c r="DL254" s="4">
        <f t="shared" si="667"/>
        <v>2.4141948123623064E-5</v>
      </c>
      <c r="DM254" s="4">
        <f t="shared" si="558"/>
        <v>8.0664280589525461</v>
      </c>
      <c r="DN254" s="4">
        <f t="shared" si="668"/>
        <v>0.50696787740392724</v>
      </c>
      <c r="DO254" s="4">
        <f t="shared" si="669"/>
        <v>6.1471447785115361</v>
      </c>
      <c r="DP254" s="4">
        <f t="shared" si="670"/>
        <v>7.1714004765210388</v>
      </c>
      <c r="DQ254" s="4">
        <f t="shared" si="671"/>
        <v>7.3072902982542649</v>
      </c>
      <c r="DR254" s="38">
        <f t="shared" si="684"/>
        <v>726.83905242560991</v>
      </c>
      <c r="DS254" s="4">
        <f t="shared" si="609"/>
        <v>1.0001163696362081</v>
      </c>
      <c r="DT254" s="4">
        <f t="shared" si="672"/>
        <v>2.2360679774997898</v>
      </c>
      <c r="DU254" s="4">
        <f t="shared" si="618"/>
        <v>374.0023377925865</v>
      </c>
      <c r="DY254" s="4">
        <f t="shared" si="581"/>
        <v>0.85</v>
      </c>
      <c r="DZ254" s="4">
        <f t="shared" si="610"/>
        <v>0.85</v>
      </c>
      <c r="EA254" s="4">
        <f t="shared" si="685"/>
        <v>1</v>
      </c>
      <c r="EB254" s="4">
        <f t="shared" si="611"/>
        <v>0.85</v>
      </c>
      <c r="ED254" s="4">
        <f t="shared" si="686"/>
        <v>674.99792497413</v>
      </c>
      <c r="EE254" s="25">
        <f t="shared" si="687"/>
        <v>371.05491571279799</v>
      </c>
      <c r="EG254" s="4">
        <f t="shared" si="619"/>
        <v>0.72249999999999992</v>
      </c>
      <c r="EH254" s="4">
        <f t="shared" si="688"/>
        <v>8.0664280589525461</v>
      </c>
      <c r="EK254" s="4">
        <f t="shared" si="673"/>
        <v>56.796126628494655</v>
      </c>
      <c r="EL254" s="4">
        <f t="shared" si="674"/>
        <v>2.2360679774997898</v>
      </c>
      <c r="EM254" s="4">
        <f t="shared" si="675"/>
        <v>0.17698051196033657</v>
      </c>
      <c r="EP254" s="4">
        <f t="shared" si="759"/>
        <v>0.17698051196033657</v>
      </c>
      <c r="EQ254" s="4">
        <f t="shared" si="721"/>
        <v>0.50612184250250825</v>
      </c>
      <c r="ER254" s="4">
        <f t="shared" si="559"/>
        <v>6.1430393467650841</v>
      </c>
      <c r="ES254" s="4">
        <f t="shared" si="743"/>
        <v>7.1696423658726474</v>
      </c>
      <c r="ET254" s="4">
        <f t="shared" si="560"/>
        <v>182.47187337150535</v>
      </c>
      <c r="EU254" s="4">
        <f t="shared" si="561"/>
        <v>79.755999999999972</v>
      </c>
      <c r="EV254" s="4">
        <f t="shared" si="612"/>
        <v>2.4141948123623051E-5</v>
      </c>
      <c r="EW254" s="4">
        <f t="shared" si="744"/>
        <v>7.3075027610656313</v>
      </c>
      <c r="EX254" s="4">
        <f t="shared" si="636"/>
        <v>726.75448027112816</v>
      </c>
      <c r="FG254" s="23">
        <f t="shared" si="711"/>
        <v>2.2000000000000002</v>
      </c>
      <c r="FH254" s="23">
        <f t="shared" si="711"/>
        <v>1.6</v>
      </c>
      <c r="FI254" s="23">
        <f t="shared" si="712"/>
        <v>1.4</v>
      </c>
      <c r="FJ254" s="23">
        <f t="shared" si="713"/>
        <v>2.2000000000000002</v>
      </c>
      <c r="FK254" s="23">
        <f t="shared" si="713"/>
        <v>1.2</v>
      </c>
      <c r="FL254" s="23">
        <f t="shared" si="713"/>
        <v>1.4</v>
      </c>
      <c r="FM254" s="23">
        <f t="shared" si="701"/>
        <v>0</v>
      </c>
      <c r="FN254" s="23"/>
      <c r="FX254" s="4">
        <f t="shared" si="613"/>
        <v>1</v>
      </c>
      <c r="FY254" s="4">
        <f t="shared" si="652"/>
        <v>0.5</v>
      </c>
      <c r="FZ254" s="4">
        <f t="shared" si="614"/>
        <v>0</v>
      </c>
      <c r="GA254" s="4">
        <f t="shared" si="615"/>
        <v>632.90315604374098</v>
      </c>
    </row>
    <row r="255" spans="1:183" ht="12" hidden="1" customHeight="1" x14ac:dyDescent="0.3">
      <c r="A255" s="25">
        <v>237</v>
      </c>
      <c r="B255" s="4" t="s">
        <v>605</v>
      </c>
      <c r="C255" s="4">
        <v>2016</v>
      </c>
      <c r="D255" s="4" t="s">
        <v>309</v>
      </c>
      <c r="E255" s="24" t="s">
        <v>404</v>
      </c>
      <c r="F255" s="7" t="s">
        <v>390</v>
      </c>
      <c r="G255" s="38">
        <f t="shared" si="745"/>
        <v>827.58620689655174</v>
      </c>
      <c r="H255" s="38">
        <f>12.5*25.4</f>
        <v>317.5</v>
      </c>
      <c r="I255" s="4">
        <f t="shared" si="746"/>
        <v>317.5</v>
      </c>
      <c r="J255" s="38">
        <f>6320/145</f>
        <v>43.586206896551722</v>
      </c>
      <c r="K255" s="38">
        <f t="shared" si="747"/>
        <v>25.4</v>
      </c>
      <c r="L255" s="7">
        <f t="shared" si="748"/>
        <v>12.5</v>
      </c>
      <c r="M255" s="7">
        <f t="shared" si="749"/>
        <v>12.5</v>
      </c>
      <c r="N255" s="38">
        <f>18.7*25.4</f>
        <v>474.97999999999996</v>
      </c>
      <c r="O255" s="38">
        <f>3.35*25.4</f>
        <v>85.09</v>
      </c>
      <c r="P255" s="39">
        <f>3.15*25.4</f>
        <v>80.009999999999991</v>
      </c>
      <c r="Q255" s="7">
        <f t="shared" si="750"/>
        <v>253.99999999999994</v>
      </c>
      <c r="R255" s="38">
        <v>2</v>
      </c>
      <c r="S255" s="4">
        <f t="shared" si="722"/>
        <v>260.34999999999997</v>
      </c>
      <c r="T255" s="7">
        <f t="shared" si="751"/>
        <v>3.8500000000000005</v>
      </c>
      <c r="U255" s="7">
        <f t="shared" si="631"/>
        <v>3.8500000000000005</v>
      </c>
      <c r="V255" s="38">
        <v>4</v>
      </c>
      <c r="W255" s="4">
        <f t="shared" si="752"/>
        <v>4</v>
      </c>
      <c r="X255" s="4">
        <f t="shared" si="753"/>
        <v>5</v>
      </c>
      <c r="Y255" s="7">
        <f t="shared" si="754"/>
        <v>56.796126628494655</v>
      </c>
      <c r="AB255" s="38">
        <f>118.2/0.145</f>
        <v>815.17241379310349</v>
      </c>
      <c r="AD255" s="4">
        <f t="shared" si="666"/>
        <v>0.98499999999999999</v>
      </c>
      <c r="AE255" s="38"/>
      <c r="AF255" s="38"/>
      <c r="AG255" s="39">
        <v>1</v>
      </c>
      <c r="AH255" s="39"/>
      <c r="AI255" s="39"/>
      <c r="AJ255" s="7"/>
      <c r="AK255" s="4">
        <f t="shared" si="755"/>
        <v>317.5</v>
      </c>
      <c r="AL255" s="4">
        <f t="shared" si="678"/>
        <v>0.49866666666666659</v>
      </c>
      <c r="AM255" s="4">
        <f t="shared" si="679"/>
        <v>368.55543684532665</v>
      </c>
      <c r="AN255" s="4">
        <f t="shared" si="680"/>
        <v>0.76159999999999994</v>
      </c>
      <c r="AO255" s="4">
        <v>1.25</v>
      </c>
      <c r="AP255" s="4">
        <f t="shared" si="624"/>
        <v>2.5</v>
      </c>
      <c r="AQ255" s="38">
        <f t="shared" si="723"/>
        <v>437.41142059301609</v>
      </c>
      <c r="AR255" s="38">
        <f t="shared" si="682"/>
        <v>437.41142059301609</v>
      </c>
      <c r="AS255" s="38">
        <f t="shared" si="683"/>
        <v>3.7155288579258352</v>
      </c>
      <c r="AT255" s="38">
        <f t="shared" si="626"/>
        <v>437.41142059301598</v>
      </c>
      <c r="AU255" s="38">
        <f t="shared" si="601"/>
        <v>1.0000000000000002</v>
      </c>
      <c r="AV255" s="38">
        <f t="shared" si="715"/>
        <v>1.5345451778485499</v>
      </c>
      <c r="AW255" s="4">
        <f t="shared" si="707"/>
        <v>0</v>
      </c>
      <c r="AX255" s="4">
        <f t="shared" si="756"/>
        <v>434.34112318600074</v>
      </c>
      <c r="AY255" s="4">
        <f t="shared" si="724"/>
        <v>1</v>
      </c>
      <c r="AZ255" s="38">
        <f t="shared" si="617"/>
        <v>671.2275862068966</v>
      </c>
      <c r="BA255" s="4">
        <f t="shared" si="725"/>
        <v>0.44000000000000006</v>
      </c>
      <c r="BB255" s="4">
        <f t="shared" si="726"/>
        <v>99.855024220461587</v>
      </c>
      <c r="BC255" s="4">
        <f t="shared" si="727"/>
        <v>771.08261042735819</v>
      </c>
      <c r="BE255" s="4">
        <f t="shared" si="627"/>
        <v>1.5</v>
      </c>
      <c r="BF255" s="4">
        <f t="shared" si="628"/>
        <v>668.45098858325514</v>
      </c>
      <c r="BH255" s="4">
        <f t="shared" si="633"/>
        <v>643.78934095731893</v>
      </c>
      <c r="BI255" s="4">
        <f t="shared" si="634"/>
        <v>0</v>
      </c>
      <c r="BJ255" s="4">
        <f t="shared" si="635"/>
        <v>0</v>
      </c>
      <c r="BR255" s="4">
        <f t="shared" si="728"/>
        <v>85.09</v>
      </c>
      <c r="BV255" s="9"/>
      <c r="BX255" s="9"/>
      <c r="BY255" s="9"/>
      <c r="BZ255" s="9">
        <f t="shared" si="729"/>
        <v>80.009999999999991</v>
      </c>
      <c r="CA255" s="9">
        <f t="shared" si="730"/>
        <v>126.99999999999997</v>
      </c>
      <c r="CB255" s="9">
        <f t="shared" si="604"/>
        <v>1.9021913151302714</v>
      </c>
      <c r="CC255" s="40">
        <f t="shared" si="757"/>
        <v>0</v>
      </c>
      <c r="CD255" s="9">
        <f t="shared" si="731"/>
        <v>0</v>
      </c>
      <c r="CE255" s="9">
        <f t="shared" si="732"/>
        <v>0</v>
      </c>
      <c r="CF255" s="9">
        <f t="shared" si="733"/>
        <v>0.99524931562137331</v>
      </c>
      <c r="CG255" s="9">
        <f t="shared" si="734"/>
        <v>0.68</v>
      </c>
      <c r="CH255" s="9">
        <f t="shared" si="606"/>
        <v>1.5638078277680176</v>
      </c>
      <c r="CI255" s="9">
        <f t="shared" si="607"/>
        <v>2.9746616685130585</v>
      </c>
      <c r="CJ255" s="40">
        <v>1</v>
      </c>
      <c r="CK255" s="9">
        <f t="shared" si="608"/>
        <v>327.2127835364364</v>
      </c>
      <c r="CM255" s="4">
        <f t="shared" si="735"/>
        <v>1.8768022880578519</v>
      </c>
      <c r="CN255" s="4">
        <f t="shared" si="736"/>
        <v>1.0571790917983603</v>
      </c>
      <c r="CO255" s="4">
        <f t="shared" si="708"/>
        <v>1.2194946641051669</v>
      </c>
      <c r="CP255" s="4">
        <f t="shared" si="737"/>
        <v>2.4912609005764317</v>
      </c>
      <c r="CQ255" s="4">
        <f t="shared" si="694"/>
        <v>0.98499999999999999</v>
      </c>
      <c r="CR255" s="4">
        <f t="shared" si="695"/>
        <v>1.0429653107588621</v>
      </c>
      <c r="CS255" s="4">
        <f t="shared" si="709"/>
        <v>1.2726513426267121</v>
      </c>
      <c r="CT255" s="4">
        <f t="shared" si="758"/>
        <v>0</v>
      </c>
      <c r="CU255" s="4">
        <f t="shared" si="765"/>
        <v>1.8768022880578519</v>
      </c>
      <c r="CV255" s="4">
        <f t="shared" si="765"/>
        <v>1.0571790917983603</v>
      </c>
      <c r="CW255" s="4">
        <f t="shared" si="766"/>
        <v>2.4912609005764317</v>
      </c>
      <c r="CX255" s="4">
        <f t="shared" si="767"/>
        <v>1.2726513426267121</v>
      </c>
      <c r="CY255" s="4">
        <f t="shared" si="768"/>
        <v>0.98499999999999999</v>
      </c>
      <c r="CZ255" s="4">
        <f t="shared" si="768"/>
        <v>1.0429653107588621</v>
      </c>
      <c r="DI255" s="4">
        <f t="shared" si="742"/>
        <v>317.5</v>
      </c>
      <c r="DL255" s="4">
        <f t="shared" si="667"/>
        <v>2.4475465892892514E-5</v>
      </c>
      <c r="DM255" s="4">
        <f t="shared" ref="DM255:DM318" si="769">EH255</f>
        <v>9.2683740829956722</v>
      </c>
      <c r="DN255" s="4">
        <f t="shared" si="668"/>
        <v>0.55445543650397222</v>
      </c>
      <c r="DO255" s="4">
        <f t="shared" si="669"/>
        <v>7.3206595886437924</v>
      </c>
      <c r="DP255" s="4">
        <f t="shared" si="670"/>
        <v>8.3515689115375462</v>
      </c>
      <c r="DQ255" s="4">
        <f t="shared" si="671"/>
        <v>8.2442207183689185</v>
      </c>
      <c r="DR255" s="38">
        <f t="shared" si="684"/>
        <v>827.58620689655174</v>
      </c>
      <c r="DS255" s="4">
        <f t="shared" si="609"/>
        <v>1</v>
      </c>
      <c r="DT255" s="4">
        <f t="shared" si="672"/>
        <v>2.2360679774997898</v>
      </c>
      <c r="DU255" s="4">
        <f t="shared" si="618"/>
        <v>437.41142059301598</v>
      </c>
      <c r="DY255" s="4">
        <f t="shared" si="581"/>
        <v>0.85</v>
      </c>
      <c r="DZ255" s="4">
        <f t="shared" si="610"/>
        <v>0.7649999999999999</v>
      </c>
      <c r="EA255" s="4">
        <f t="shared" si="685"/>
        <v>1</v>
      </c>
      <c r="EB255" s="4">
        <f t="shared" si="611"/>
        <v>0.7649999999999999</v>
      </c>
      <c r="ED255" s="4">
        <f t="shared" si="686"/>
        <v>781.59110891232194</v>
      </c>
      <c r="EE255" s="25">
        <f t="shared" si="687"/>
        <v>434.02708079998422</v>
      </c>
      <c r="EG255" s="4">
        <f t="shared" si="619"/>
        <v>0.65024999999999988</v>
      </c>
      <c r="EH255" s="4">
        <f t="shared" si="688"/>
        <v>9.2683740829956722</v>
      </c>
      <c r="EK255" s="4">
        <f t="shared" si="673"/>
        <v>56.796126628494655</v>
      </c>
      <c r="EL255" s="4">
        <f t="shared" si="674"/>
        <v>2.2360679774997898</v>
      </c>
      <c r="EM255" s="4">
        <f t="shared" si="675"/>
        <v>0.20015961157174716</v>
      </c>
      <c r="EP255" s="4">
        <f t="shared" si="759"/>
        <v>0.20015961157174716</v>
      </c>
      <c r="EQ255" s="4">
        <f t="shared" si="721"/>
        <v>0.55353015371689307</v>
      </c>
      <c r="ER255" s="4">
        <f t="shared" ref="ER255:ER318" si="770">EH255/1*EQ255^0.4</f>
        <v>7.3157704133659873</v>
      </c>
      <c r="ES255" s="4">
        <f t="shared" si="743"/>
        <v>8.3494273465101507</v>
      </c>
      <c r="ET255" s="4">
        <f t="shared" ref="ET255:ET318" si="771">MAX(0,DI255*ET$9-EK255)</f>
        <v>181.32887337150535</v>
      </c>
      <c r="EU255" s="4">
        <f t="shared" ref="EU255:EU318" si="772">MAX(0,DI255-EK255-ET255)</f>
        <v>79.374999999999972</v>
      </c>
      <c r="EV255" s="4">
        <f t="shared" si="612"/>
        <v>2.4475465892892504E-5</v>
      </c>
      <c r="EW255" s="4">
        <f t="shared" si="744"/>
        <v>8.244517541255485</v>
      </c>
      <c r="EX255" s="4">
        <f t="shared" si="636"/>
        <v>827.58620689655174</v>
      </c>
      <c r="FG255" s="23">
        <f t="shared" si="711"/>
        <v>2</v>
      </c>
      <c r="FH255" s="23">
        <f t="shared" si="711"/>
        <v>1.2</v>
      </c>
      <c r="FI255" s="23">
        <f t="shared" si="712"/>
        <v>1.4</v>
      </c>
      <c r="FJ255" s="23">
        <f t="shared" si="713"/>
        <v>2.2000000000000002</v>
      </c>
      <c r="FK255" s="23">
        <f t="shared" si="713"/>
        <v>1</v>
      </c>
      <c r="FL255" s="23">
        <f t="shared" si="713"/>
        <v>1.2</v>
      </c>
      <c r="FM255" s="23">
        <f t="shared" si="701"/>
        <v>0</v>
      </c>
      <c r="FN255" s="23"/>
      <c r="FX255" s="4">
        <f t="shared" si="613"/>
        <v>1</v>
      </c>
      <c r="FY255" s="4">
        <f t="shared" si="652"/>
        <v>0.5</v>
      </c>
      <c r="FZ255" s="4">
        <f t="shared" si="614"/>
        <v>0</v>
      </c>
      <c r="GA255" s="4">
        <f t="shared" si="615"/>
        <v>640.53082449951569</v>
      </c>
    </row>
    <row r="256" spans="1:183" ht="12" hidden="1" customHeight="1" x14ac:dyDescent="0.3">
      <c r="A256" s="25">
        <v>238</v>
      </c>
      <c r="B256" s="4" t="s">
        <v>605</v>
      </c>
      <c r="C256" s="4">
        <v>2016</v>
      </c>
      <c r="D256" s="4" t="s">
        <v>309</v>
      </c>
      <c r="E256" s="24" t="s">
        <v>662</v>
      </c>
      <c r="F256" s="7" t="s">
        <v>391</v>
      </c>
      <c r="G256" s="38">
        <f t="shared" si="745"/>
        <v>827.58620689655174</v>
      </c>
      <c r="H256" s="38">
        <f>9.56*25.4</f>
        <v>242.82400000000001</v>
      </c>
      <c r="I256" s="4">
        <f t="shared" si="746"/>
        <v>242.82400000000001</v>
      </c>
      <c r="J256" s="38">
        <f>5090/145</f>
        <v>35.103448275862071</v>
      </c>
      <c r="K256" s="38">
        <f t="shared" si="747"/>
        <v>25.4</v>
      </c>
      <c r="L256" s="7">
        <f t="shared" si="748"/>
        <v>9.56</v>
      </c>
      <c r="M256" s="7">
        <f t="shared" si="749"/>
        <v>9.56</v>
      </c>
      <c r="N256" s="38">
        <f>17.3*25.4</f>
        <v>439.42</v>
      </c>
      <c r="O256" s="38">
        <f>2.8*25.4</f>
        <v>71.11999999999999</v>
      </c>
      <c r="P256" s="39">
        <f>3.05*25.4</f>
        <v>77.469999999999985</v>
      </c>
      <c r="Q256" s="7">
        <f t="shared" si="750"/>
        <v>246.38000000000002</v>
      </c>
      <c r="R256" s="38">
        <v>2</v>
      </c>
      <c r="S256" s="4">
        <f t="shared" si="722"/>
        <v>260.34999999999997</v>
      </c>
      <c r="T256" s="7">
        <f t="shared" si="751"/>
        <v>3.3</v>
      </c>
      <c r="U256" s="7">
        <f t="shared" si="631"/>
        <v>3.3</v>
      </c>
      <c r="V256" s="38">
        <v>4</v>
      </c>
      <c r="W256" s="4">
        <f t="shared" si="752"/>
        <v>4</v>
      </c>
      <c r="X256" s="4">
        <f t="shared" si="753"/>
        <v>5</v>
      </c>
      <c r="Y256" s="7">
        <f t="shared" si="754"/>
        <v>56.796126628494655</v>
      </c>
      <c r="AB256" s="38">
        <f>99.6/0.145</f>
        <v>686.89655172413791</v>
      </c>
      <c r="AD256" s="4">
        <f t="shared" si="666"/>
        <v>1.1793748514869569</v>
      </c>
      <c r="AE256" s="38">
        <f>0.375*25.4</f>
        <v>9.5249999999999986</v>
      </c>
      <c r="AF256" s="38">
        <v>10</v>
      </c>
      <c r="AG256" s="39">
        <f>3*25.4</f>
        <v>76.199999999999989</v>
      </c>
      <c r="AH256" s="39">
        <v>3</v>
      </c>
      <c r="AI256" s="39">
        <v>1</v>
      </c>
      <c r="AJ256" s="7"/>
      <c r="AK256" s="4">
        <f t="shared" si="755"/>
        <v>242.82400000000001</v>
      </c>
      <c r="AL256" s="4">
        <f t="shared" si="678"/>
        <v>0.60320781032078097</v>
      </c>
      <c r="AM256" s="4">
        <f t="shared" si="679"/>
        <v>221.2203082426764</v>
      </c>
      <c r="AN256" s="4">
        <f t="shared" si="680"/>
        <v>0.76903765690376569</v>
      </c>
      <c r="AO256" s="4">
        <v>1.25</v>
      </c>
      <c r="AP256" s="4">
        <f t="shared" si="624"/>
        <v>2.5</v>
      </c>
      <c r="AQ256" s="38">
        <f t="shared" si="723"/>
        <v>320.69307138372187</v>
      </c>
      <c r="AR256" s="38">
        <f t="shared" si="682"/>
        <v>320.69307138372187</v>
      </c>
      <c r="AS256" s="38">
        <f t="shared" si="683"/>
        <v>3.2162843791396258</v>
      </c>
      <c r="AT256" s="38">
        <f t="shared" si="626"/>
        <v>320.69307138372176</v>
      </c>
      <c r="AU256" s="38">
        <f t="shared" si="601"/>
        <v>1.0000000000000004</v>
      </c>
      <c r="AV256" s="38">
        <f t="shared" si="715"/>
        <v>1.4448878338470383</v>
      </c>
      <c r="AW256" s="4">
        <f t="shared" si="707"/>
        <v>0</v>
      </c>
      <c r="AX256" s="4">
        <f t="shared" si="756"/>
        <v>298.11180999096536</v>
      </c>
      <c r="AY256" s="4">
        <f t="shared" si="724"/>
        <v>1</v>
      </c>
      <c r="AZ256" s="38">
        <f t="shared" si="617"/>
        <v>463.36551724137934</v>
      </c>
      <c r="BA256" s="4">
        <f t="shared" si="725"/>
        <v>0.44000000000000006</v>
      </c>
      <c r="BB256" s="4">
        <f t="shared" si="726"/>
        <v>68.535905116922933</v>
      </c>
      <c r="BC256" s="4">
        <f t="shared" si="727"/>
        <v>531.90142235830228</v>
      </c>
      <c r="BE256" s="4">
        <f t="shared" si="627"/>
        <v>1.5</v>
      </c>
      <c r="BF256" s="4">
        <f t="shared" si="628"/>
        <v>521.50233137310727</v>
      </c>
      <c r="BH256" s="4">
        <f t="shared" si="633"/>
        <v>444.42419694476757</v>
      </c>
      <c r="BI256" s="4">
        <f t="shared" si="634"/>
        <v>0</v>
      </c>
      <c r="BJ256" s="4">
        <f t="shared" si="635"/>
        <v>0</v>
      </c>
      <c r="BR256" s="4">
        <f t="shared" si="728"/>
        <v>71.11999999999999</v>
      </c>
      <c r="BV256" s="9"/>
      <c r="BX256" s="9"/>
      <c r="BY256" s="9"/>
      <c r="BZ256" s="9">
        <f t="shared" si="729"/>
        <v>71.11999999999999</v>
      </c>
      <c r="CA256" s="9">
        <f t="shared" si="730"/>
        <v>123.19000000000001</v>
      </c>
      <c r="CB256" s="9">
        <f t="shared" si="604"/>
        <v>1.8170487186781425</v>
      </c>
      <c r="CC256" s="40">
        <f t="shared" si="757"/>
        <v>20</v>
      </c>
      <c r="CD256" s="9">
        <f t="shared" si="731"/>
        <v>0.05</v>
      </c>
      <c r="CE256" s="9">
        <f t="shared" si="732"/>
        <v>0.8</v>
      </c>
      <c r="CF256" s="9">
        <f t="shared" si="733"/>
        <v>0.99524931562137331</v>
      </c>
      <c r="CG256" s="9">
        <f t="shared" si="734"/>
        <v>0.68</v>
      </c>
      <c r="CH256" s="9">
        <f t="shared" si="606"/>
        <v>1.4034073112676719</v>
      </c>
      <c r="CI256" s="9">
        <f t="shared" si="607"/>
        <v>3.5085182781691797</v>
      </c>
      <c r="CJ256" s="40">
        <v>1</v>
      </c>
      <c r="CK256" s="9">
        <f t="shared" si="608"/>
        <v>344.67683564734023</v>
      </c>
      <c r="CM256" s="4">
        <f t="shared" si="735"/>
        <v>2.3041574627484738</v>
      </c>
      <c r="CN256" s="4">
        <f t="shared" si="736"/>
        <v>1.291398223149377</v>
      </c>
      <c r="CO256" s="4">
        <f t="shared" si="708"/>
        <v>1.317149532036703</v>
      </c>
      <c r="CP256" s="4">
        <f t="shared" si="737"/>
        <v>1.9928712367167702</v>
      </c>
      <c r="CQ256" s="4">
        <f t="shared" si="694"/>
        <v>1.1793748514869569</v>
      </c>
      <c r="CR256" s="4">
        <f t="shared" si="695"/>
        <v>1.267632927019867</v>
      </c>
      <c r="CS256" s="4">
        <f t="shared" si="709"/>
        <v>1.3025245533720942</v>
      </c>
      <c r="CT256" s="4">
        <f t="shared" si="758"/>
        <v>10</v>
      </c>
      <c r="DA256" s="4">
        <f t="shared" ref="DA256:DB259" si="773">CM256</f>
        <v>2.3041574627484738</v>
      </c>
      <c r="DB256" s="4">
        <f t="shared" si="773"/>
        <v>1.291398223149377</v>
      </c>
      <c r="DC256" s="4">
        <f t="shared" ref="DC256:DC259" si="774">CP256</f>
        <v>1.9928712367167702</v>
      </c>
      <c r="DD256" s="4">
        <f t="shared" ref="DD256:DD259" si="775">CS256</f>
        <v>1.3025245533720942</v>
      </c>
      <c r="DE256" s="4">
        <f t="shared" ref="DE256:DF259" si="776">CQ256</f>
        <v>1.1793748514869569</v>
      </c>
      <c r="DF256" s="4">
        <f t="shared" si="776"/>
        <v>1.267632927019867</v>
      </c>
      <c r="DI256" s="4">
        <f t="shared" si="742"/>
        <v>242.82400000000001</v>
      </c>
      <c r="DL256" s="4">
        <f t="shared" si="667"/>
        <v>1.7691006908959997E-5</v>
      </c>
      <c r="DM256" s="4">
        <f t="shared" si="769"/>
        <v>7.8332539258345992</v>
      </c>
      <c r="DN256" s="4">
        <f t="shared" si="668"/>
        <v>0.50473730099887937</v>
      </c>
      <c r="DO256" s="4">
        <f t="shared" si="669"/>
        <v>5.958931120908705</v>
      </c>
      <c r="DP256" s="4">
        <f t="shared" si="670"/>
        <v>6.9595952738984037</v>
      </c>
      <c r="DQ256" s="4">
        <f t="shared" si="671"/>
        <v>7.4351706042633126</v>
      </c>
      <c r="DR256" s="38">
        <f t="shared" si="684"/>
        <v>582.42428254095648</v>
      </c>
      <c r="DS256" s="4">
        <f t="shared" si="609"/>
        <v>1.0001168332714179</v>
      </c>
      <c r="DT256" s="4">
        <f t="shared" si="672"/>
        <v>2.2360679774997898</v>
      </c>
      <c r="DU256" s="4">
        <f t="shared" si="618"/>
        <v>320.69307138372176</v>
      </c>
      <c r="DY256" s="4">
        <f t="shared" si="581"/>
        <v>0.85</v>
      </c>
      <c r="DZ256" s="4">
        <f t="shared" si="610"/>
        <v>0.82000000000000006</v>
      </c>
      <c r="EA256" s="4">
        <f t="shared" si="685"/>
        <v>0.99062499999999998</v>
      </c>
      <c r="EB256" s="4">
        <f t="shared" si="611"/>
        <v>0.81231249999999999</v>
      </c>
      <c r="ED256" s="4">
        <f t="shared" si="686"/>
        <v>541.87339022424476</v>
      </c>
      <c r="EE256" s="25">
        <f t="shared" si="687"/>
        <v>317.21566763130841</v>
      </c>
      <c r="EG256" s="4">
        <f t="shared" si="619"/>
        <v>0.69046562499999997</v>
      </c>
      <c r="EH256" s="4">
        <f t="shared" si="688"/>
        <v>7.8332539258345992</v>
      </c>
      <c r="EK256" s="4">
        <f t="shared" si="673"/>
        <v>56.796126628494655</v>
      </c>
      <c r="EL256" s="4">
        <f t="shared" si="674"/>
        <v>2.2360679774997898</v>
      </c>
      <c r="EM256" s="4">
        <f t="shared" si="675"/>
        <v>0.16352176138615632</v>
      </c>
      <c r="EP256" s="4">
        <f t="shared" si="759"/>
        <v>0.16352176138615632</v>
      </c>
      <c r="EQ256" s="4">
        <f t="shared" si="721"/>
        <v>0.50389498851375736</v>
      </c>
      <c r="ER256" s="4">
        <f t="shared" si="770"/>
        <v>5.9549513895244344</v>
      </c>
      <c r="ES256" s="4">
        <f t="shared" si="743"/>
        <v>6.9578929171418729</v>
      </c>
      <c r="ET256" s="4">
        <f t="shared" si="771"/>
        <v>125.32187337150535</v>
      </c>
      <c r="EU256" s="4">
        <f t="shared" si="772"/>
        <v>60.706000000000017</v>
      </c>
      <c r="EV256" s="4">
        <f t="shared" si="612"/>
        <v>1.7691006908960001E-5</v>
      </c>
      <c r="EW256" s="4">
        <f t="shared" si="744"/>
        <v>7.4352913641562788</v>
      </c>
      <c r="EX256" s="4">
        <f t="shared" si="636"/>
        <v>582.35624395584443</v>
      </c>
      <c r="FG256" s="23">
        <f t="shared" si="711"/>
        <v>2.2000000000000002</v>
      </c>
      <c r="FH256" s="23">
        <f t="shared" si="711"/>
        <v>1.4</v>
      </c>
      <c r="FI256" s="23">
        <f t="shared" si="712"/>
        <v>1.4</v>
      </c>
      <c r="FJ256" s="23">
        <f t="shared" si="713"/>
        <v>2</v>
      </c>
      <c r="FK256" s="23">
        <f t="shared" si="713"/>
        <v>1.2</v>
      </c>
      <c r="FL256" s="23">
        <f t="shared" si="713"/>
        <v>1.4</v>
      </c>
      <c r="FM256" s="23">
        <f t="shared" si="701"/>
        <v>0</v>
      </c>
      <c r="FN256" s="23"/>
      <c r="FX256" s="4">
        <f t="shared" si="613"/>
        <v>1</v>
      </c>
      <c r="FY256" s="4">
        <f t="shared" si="652"/>
        <v>0.44</v>
      </c>
      <c r="FZ256" s="4">
        <f t="shared" si="614"/>
        <v>0.3</v>
      </c>
      <c r="GA256" s="4">
        <f t="shared" si="615"/>
        <v>527.35785282959739</v>
      </c>
    </row>
    <row r="257" spans="1:183" ht="12" hidden="1" customHeight="1" x14ac:dyDescent="0.3">
      <c r="A257" s="25">
        <v>239</v>
      </c>
      <c r="B257" s="4" t="s">
        <v>605</v>
      </c>
      <c r="C257" s="4">
        <v>2016</v>
      </c>
      <c r="D257" s="4" t="s">
        <v>309</v>
      </c>
      <c r="E257" s="24" t="s">
        <v>662</v>
      </c>
      <c r="F257" s="7" t="s">
        <v>392</v>
      </c>
      <c r="G257" s="38">
        <f t="shared" si="745"/>
        <v>827.58620689655174</v>
      </c>
      <c r="H257" s="38">
        <f>9.56*25.4</f>
        <v>242.82400000000001</v>
      </c>
      <c r="I257" s="4">
        <f t="shared" si="746"/>
        <v>242.82400000000001</v>
      </c>
      <c r="J257" s="38">
        <f>5910/145</f>
        <v>40.758620689655174</v>
      </c>
      <c r="K257" s="38">
        <f t="shared" si="747"/>
        <v>25.4</v>
      </c>
      <c r="L257" s="7">
        <f t="shared" si="748"/>
        <v>9.56</v>
      </c>
      <c r="M257" s="7">
        <f t="shared" si="749"/>
        <v>9.56</v>
      </c>
      <c r="N257" s="38">
        <f>18.9*25.4</f>
        <v>480.05999999999995</v>
      </c>
      <c r="O257" s="38">
        <f>3.35*25.4</f>
        <v>85.09</v>
      </c>
      <c r="P257" s="39">
        <f>3.15*25.4</f>
        <v>80.009999999999991</v>
      </c>
      <c r="Q257" s="7">
        <f t="shared" si="750"/>
        <v>259.07999999999993</v>
      </c>
      <c r="R257" s="38">
        <v>2</v>
      </c>
      <c r="S257" s="4">
        <f t="shared" si="722"/>
        <v>260.34999999999997</v>
      </c>
      <c r="T257" s="7">
        <f t="shared" si="751"/>
        <v>3.8500000000000005</v>
      </c>
      <c r="U257" s="7">
        <f t="shared" si="631"/>
        <v>3.8500000000000005</v>
      </c>
      <c r="V257" s="38">
        <v>4</v>
      </c>
      <c r="W257" s="4">
        <f t="shared" si="752"/>
        <v>4</v>
      </c>
      <c r="X257" s="4">
        <f t="shared" si="753"/>
        <v>5</v>
      </c>
      <c r="Y257" s="7">
        <f t="shared" si="754"/>
        <v>56.796126628494655</v>
      </c>
      <c r="AB257" s="38">
        <f>100.6/0.145</f>
        <v>693.79310344827582</v>
      </c>
      <c r="AD257" s="4">
        <f t="shared" si="666"/>
        <v>1.0114255979953197</v>
      </c>
      <c r="AE257" s="38">
        <f t="shared" ref="AE257" si="777">0.375*25.4</f>
        <v>9.5249999999999986</v>
      </c>
      <c r="AF257" s="38">
        <v>10</v>
      </c>
      <c r="AG257" s="39">
        <f>3*25.4</f>
        <v>76.199999999999989</v>
      </c>
      <c r="AH257" s="39">
        <v>3</v>
      </c>
      <c r="AI257" s="39">
        <v>1</v>
      </c>
      <c r="AJ257" s="7"/>
      <c r="AK257" s="4">
        <f t="shared" si="755"/>
        <v>242.82400000000001</v>
      </c>
      <c r="AL257" s="4">
        <f t="shared" si="678"/>
        <v>0.65899581589958145</v>
      </c>
      <c r="AM257" s="4">
        <f t="shared" si="679"/>
        <v>238.37452595758</v>
      </c>
      <c r="AN257" s="4">
        <f t="shared" si="680"/>
        <v>0.78054393305439329</v>
      </c>
      <c r="AO257" s="4">
        <v>1.25</v>
      </c>
      <c r="AP257" s="4">
        <f t="shared" si="624"/>
        <v>2.5</v>
      </c>
      <c r="AQ257" s="38">
        <f t="shared" si="723"/>
        <v>383.16856602860486</v>
      </c>
      <c r="AR257" s="38">
        <f t="shared" si="682"/>
        <v>383.16856602860486</v>
      </c>
      <c r="AS257" s="38">
        <f t="shared" si="683"/>
        <v>3.5530466297176955</v>
      </c>
      <c r="AT257" s="38">
        <f t="shared" si="626"/>
        <v>383.16856602860469</v>
      </c>
      <c r="AU257" s="38">
        <f t="shared" si="601"/>
        <v>1.0000000000000004</v>
      </c>
      <c r="AV257" s="38">
        <f t="shared" si="715"/>
        <v>1.6381374002736733</v>
      </c>
      <c r="AW257" s="4">
        <f t="shared" si="707"/>
        <v>0</v>
      </c>
      <c r="AX257" s="4">
        <f t="shared" si="756"/>
        <v>321.22847108140701</v>
      </c>
      <c r="AY257" s="4">
        <f t="shared" si="724"/>
        <v>1</v>
      </c>
      <c r="AZ257" s="38">
        <f t="shared" si="617"/>
        <v>627.68275862068981</v>
      </c>
      <c r="BA257" s="4">
        <f t="shared" si="725"/>
        <v>0.44000000000000006</v>
      </c>
      <c r="BB257" s="4">
        <f t="shared" si="726"/>
        <v>73.850425501615476</v>
      </c>
      <c r="BC257" s="4">
        <f t="shared" si="727"/>
        <v>701.53318412230533</v>
      </c>
      <c r="BE257" s="4">
        <f t="shared" si="627"/>
        <v>1.5</v>
      </c>
      <c r="BF257" s="4">
        <f t="shared" si="628"/>
        <v>561.94149630452239</v>
      </c>
      <c r="BH257" s="4">
        <f t="shared" si="633"/>
        <v>602.02452611673345</v>
      </c>
      <c r="BI257" s="4">
        <f t="shared" si="634"/>
        <v>0</v>
      </c>
      <c r="BJ257" s="4">
        <f t="shared" si="635"/>
        <v>0</v>
      </c>
      <c r="BR257" s="4">
        <f t="shared" si="728"/>
        <v>85.09</v>
      </c>
      <c r="BV257" s="9"/>
      <c r="BX257" s="9"/>
      <c r="BY257" s="9"/>
      <c r="BZ257" s="9">
        <f t="shared" si="729"/>
        <v>80.009999999999991</v>
      </c>
      <c r="CA257" s="9">
        <f t="shared" si="730"/>
        <v>129.53999999999996</v>
      </c>
      <c r="CB257" s="9">
        <f t="shared" si="604"/>
        <v>1.9078499730405829</v>
      </c>
      <c r="CC257" s="40">
        <f t="shared" si="757"/>
        <v>20</v>
      </c>
      <c r="CD257" s="9">
        <f t="shared" si="731"/>
        <v>0.05</v>
      </c>
      <c r="CE257" s="9">
        <f t="shared" si="732"/>
        <v>0.8</v>
      </c>
      <c r="CF257" s="9">
        <f t="shared" si="733"/>
        <v>0.99524931562137331</v>
      </c>
      <c r="CG257" s="9">
        <f t="shared" si="734"/>
        <v>0.68</v>
      </c>
      <c r="CH257" s="9">
        <f t="shared" si="606"/>
        <v>1.5122325576992237</v>
      </c>
      <c r="CI257" s="9">
        <f t="shared" si="607"/>
        <v>3.7805813942480593</v>
      </c>
      <c r="CJ257" s="40">
        <v>1</v>
      </c>
      <c r="CK257" s="9">
        <f t="shared" si="608"/>
        <v>371.40431617092935</v>
      </c>
      <c r="CM257" s="4">
        <f t="shared" si="735"/>
        <v>2.1598119902405912</v>
      </c>
      <c r="CN257" s="4">
        <f t="shared" si="736"/>
        <v>0.98896690726937853</v>
      </c>
      <c r="CO257" s="4">
        <f t="shared" si="708"/>
        <v>1.2346358259905077</v>
      </c>
      <c r="CP257" s="4">
        <f t="shared" si="737"/>
        <v>1.8680264963021465</v>
      </c>
      <c r="CQ257" s="4">
        <f t="shared" si="694"/>
        <v>1.0114255979953197</v>
      </c>
      <c r="CR257" s="4">
        <f t="shared" si="695"/>
        <v>1.0864732280294513</v>
      </c>
      <c r="CS257" s="4">
        <f t="shared" si="709"/>
        <v>1.2673808375373148</v>
      </c>
      <c r="CT257" s="4">
        <f t="shared" si="758"/>
        <v>10</v>
      </c>
      <c r="DA257" s="4">
        <f t="shared" si="773"/>
        <v>2.1598119902405912</v>
      </c>
      <c r="DB257" s="4">
        <f t="shared" si="773"/>
        <v>0.98896690726937853</v>
      </c>
      <c r="DC257" s="4">
        <f t="shared" si="774"/>
        <v>1.8680264963021465</v>
      </c>
      <c r="DD257" s="4">
        <f t="shared" si="775"/>
        <v>1.2673808375373148</v>
      </c>
      <c r="DE257" s="4">
        <f t="shared" si="776"/>
        <v>1.0114255979953197</v>
      </c>
      <c r="DF257" s="4">
        <f t="shared" si="776"/>
        <v>1.0864732280294513</v>
      </c>
      <c r="DI257" s="4">
        <f t="shared" si="742"/>
        <v>242.82400000000001</v>
      </c>
      <c r="DL257" s="4">
        <f t="shared" si="667"/>
        <v>1.8375559240592081E-5</v>
      </c>
      <c r="DM257" s="4">
        <f t="shared" si="769"/>
        <v>9.0475183276018765</v>
      </c>
      <c r="DN257" s="4">
        <f t="shared" si="668"/>
        <v>0.5193928887020951</v>
      </c>
      <c r="DO257" s="4">
        <f t="shared" si="669"/>
        <v>6.9619014486186845</v>
      </c>
      <c r="DP257" s="4">
        <f t="shared" si="670"/>
        <v>8.0724627777507614</v>
      </c>
      <c r="DQ257" s="4">
        <f t="shared" si="671"/>
        <v>8.4939345141555673</v>
      </c>
      <c r="DR257" s="38">
        <f t="shared" si="684"/>
        <v>685.95564994933648</v>
      </c>
      <c r="DS257" s="4">
        <f t="shared" si="609"/>
        <v>1.0001159184527728</v>
      </c>
      <c r="DT257" s="4">
        <f t="shared" si="672"/>
        <v>2.2360679774997898</v>
      </c>
      <c r="DU257" s="4">
        <f t="shared" si="618"/>
        <v>383.16856602860469</v>
      </c>
      <c r="DY257" s="4">
        <f t="shared" si="581"/>
        <v>0.85</v>
      </c>
      <c r="DZ257" s="4">
        <f t="shared" si="610"/>
        <v>0.7649999999999999</v>
      </c>
      <c r="EA257" s="4">
        <f t="shared" si="685"/>
        <v>0.99062499999999998</v>
      </c>
      <c r="EB257" s="4">
        <f t="shared" si="611"/>
        <v>0.75782812499999985</v>
      </c>
      <c r="ED257" s="4">
        <f t="shared" si="686"/>
        <v>638.57358428114799</v>
      </c>
      <c r="EE257" s="25">
        <f t="shared" si="687"/>
        <v>379.09075864552608</v>
      </c>
      <c r="EG257" s="4">
        <f t="shared" si="619"/>
        <v>0.64415390624999991</v>
      </c>
      <c r="EH257" s="4">
        <f t="shared" si="688"/>
        <v>9.0475183276018765</v>
      </c>
      <c r="EK257" s="4">
        <f t="shared" si="673"/>
        <v>56.796126628494655</v>
      </c>
      <c r="EL257" s="4">
        <f t="shared" si="674"/>
        <v>2.2360679774997898</v>
      </c>
      <c r="EM257" s="4">
        <f t="shared" si="675"/>
        <v>0.18131803502377647</v>
      </c>
      <c r="EP257" s="4">
        <f t="shared" si="759"/>
        <v>0.18131803502377647</v>
      </c>
      <c r="EQ257" s="4">
        <f t="shared" si="721"/>
        <v>0.51852611877252675</v>
      </c>
      <c r="ER257" s="4">
        <f t="shared" si="770"/>
        <v>6.9572518735309554</v>
      </c>
      <c r="ES257" s="4">
        <f t="shared" si="743"/>
        <v>8.0704593131350855</v>
      </c>
      <c r="ET257" s="4">
        <f t="shared" si="771"/>
        <v>125.32187337150535</v>
      </c>
      <c r="EU257" s="4">
        <f t="shared" si="772"/>
        <v>60.706000000000017</v>
      </c>
      <c r="EV257" s="4">
        <f t="shared" si="612"/>
        <v>1.8375559240592081E-5</v>
      </c>
      <c r="EW257" s="4">
        <f t="shared" si="744"/>
        <v>8.4941040952547997</v>
      </c>
      <c r="EX257" s="4">
        <f t="shared" si="636"/>
        <v>685.87614424790149</v>
      </c>
      <c r="FG257" s="23">
        <f t="shared" si="711"/>
        <v>2.2000000000000002</v>
      </c>
      <c r="FH257" s="23">
        <f t="shared" si="711"/>
        <v>1</v>
      </c>
      <c r="FI257" s="23">
        <f t="shared" si="712"/>
        <v>1.4</v>
      </c>
      <c r="FJ257" s="23">
        <f t="shared" si="713"/>
        <v>2</v>
      </c>
      <c r="FK257" s="23">
        <f t="shared" si="713"/>
        <v>1.2</v>
      </c>
      <c r="FL257" s="23">
        <f t="shared" si="713"/>
        <v>1.2</v>
      </c>
      <c r="FM257" s="23">
        <f t="shared" si="701"/>
        <v>0</v>
      </c>
      <c r="FN257" s="23"/>
      <c r="FX257" s="4">
        <f t="shared" si="613"/>
        <v>1</v>
      </c>
      <c r="FY257" s="4">
        <f t="shared" si="652"/>
        <v>0.44</v>
      </c>
      <c r="FZ257" s="4">
        <f t="shared" si="614"/>
        <v>0.3</v>
      </c>
      <c r="GA257" s="4">
        <f t="shared" si="615"/>
        <v>547.4227500523092</v>
      </c>
    </row>
    <row r="258" spans="1:183" ht="12" hidden="1" customHeight="1" x14ac:dyDescent="0.3">
      <c r="A258" s="25">
        <v>240</v>
      </c>
      <c r="B258" s="4" t="s">
        <v>605</v>
      </c>
      <c r="C258" s="4">
        <v>2016</v>
      </c>
      <c r="D258" s="4" t="s">
        <v>309</v>
      </c>
      <c r="E258" s="24" t="s">
        <v>662</v>
      </c>
      <c r="F258" s="7" t="s">
        <v>393</v>
      </c>
      <c r="G258" s="38">
        <f t="shared" si="745"/>
        <v>827.58620689655174</v>
      </c>
      <c r="H258" s="38">
        <f>9.19*25.4</f>
        <v>233.42599999999999</v>
      </c>
      <c r="I258" s="4">
        <f t="shared" si="746"/>
        <v>233.42599999999999</v>
      </c>
      <c r="J258" s="38">
        <f>5180/145</f>
        <v>35.724137931034484</v>
      </c>
      <c r="K258" s="38">
        <f t="shared" si="747"/>
        <v>25.4</v>
      </c>
      <c r="L258" s="7">
        <f t="shared" si="748"/>
        <v>9.19</v>
      </c>
      <c r="M258" s="7">
        <f t="shared" si="749"/>
        <v>9.19</v>
      </c>
      <c r="N258" s="38">
        <f>16.5*25.4</f>
        <v>419.09999999999997</v>
      </c>
      <c r="O258" s="38">
        <f>2.5*25.4</f>
        <v>63.5</v>
      </c>
      <c r="P258" s="39">
        <f>3.45*25.4</f>
        <v>87.63</v>
      </c>
      <c r="Q258" s="7">
        <f t="shared" si="750"/>
        <v>241.29999999999995</v>
      </c>
      <c r="R258" s="38">
        <v>2</v>
      </c>
      <c r="S258" s="4">
        <f t="shared" si="722"/>
        <v>260.34999999999997</v>
      </c>
      <c r="T258" s="7">
        <f t="shared" si="751"/>
        <v>3</v>
      </c>
      <c r="U258" s="7">
        <f t="shared" si="631"/>
        <v>3</v>
      </c>
      <c r="V258" s="38">
        <v>4</v>
      </c>
      <c r="W258" s="4">
        <f t="shared" si="752"/>
        <v>4</v>
      </c>
      <c r="X258" s="4">
        <f t="shared" si="753"/>
        <v>5</v>
      </c>
      <c r="Y258" s="7">
        <f t="shared" si="754"/>
        <v>56.796126628494655</v>
      </c>
      <c r="AB258" s="38">
        <f>114.8/0.145</f>
        <v>791.72413793103453</v>
      </c>
      <c r="AD258" s="4">
        <f t="shared" si="666"/>
        <v>1.4143463626576895</v>
      </c>
      <c r="AE258" s="38">
        <f>0.5*25.4</f>
        <v>12.7</v>
      </c>
      <c r="AF258" s="38">
        <v>8</v>
      </c>
      <c r="AG258" s="39">
        <f>4*25.4</f>
        <v>101.6</v>
      </c>
      <c r="AH258" s="39">
        <v>2</v>
      </c>
      <c r="AI258" s="39">
        <v>1</v>
      </c>
      <c r="AJ258" s="7"/>
      <c r="AK258" s="4">
        <f t="shared" si="755"/>
        <v>233.42599999999999</v>
      </c>
      <c r="AL258" s="4">
        <f t="shared" si="678"/>
        <v>0.59847660500544075</v>
      </c>
      <c r="AM258" s="4">
        <f t="shared" si="679"/>
        <v>210.33784035951044</v>
      </c>
      <c r="AN258" s="4">
        <f t="shared" si="680"/>
        <v>0.76528835690968444</v>
      </c>
      <c r="AO258" s="4">
        <v>1.25</v>
      </c>
      <c r="AP258" s="4">
        <f t="shared" si="624"/>
        <v>2.5</v>
      </c>
      <c r="AQ258" s="38">
        <f t="shared" si="723"/>
        <v>301.05075195376668</v>
      </c>
      <c r="AR258" s="38">
        <f t="shared" si="682"/>
        <v>301.05075195376668</v>
      </c>
      <c r="AS258" s="38">
        <f t="shared" si="683"/>
        <v>3.2540864993004175</v>
      </c>
      <c r="AT258" s="38">
        <f t="shared" si="626"/>
        <v>301.05075195376651</v>
      </c>
      <c r="AU258" s="38">
        <f t="shared" si="601"/>
        <v>1.0000000000000007</v>
      </c>
      <c r="AV258" s="38">
        <f t="shared" si="715"/>
        <v>1.4239780249353082</v>
      </c>
      <c r="AW258" s="4">
        <f t="shared" si="707"/>
        <v>0</v>
      </c>
      <c r="AX258" s="4">
        <f t="shared" si="756"/>
        <v>289.09647027921568</v>
      </c>
      <c r="AY258" s="4">
        <f t="shared" si="724"/>
        <v>1</v>
      </c>
      <c r="AZ258" s="38">
        <f t="shared" si="617"/>
        <v>428.68965517241384</v>
      </c>
      <c r="BA258" s="4">
        <f t="shared" si="725"/>
        <v>0.44000000000000006</v>
      </c>
      <c r="BB258" s="4">
        <f t="shared" si="726"/>
        <v>66.463278517191682</v>
      </c>
      <c r="BC258" s="4">
        <f t="shared" si="727"/>
        <v>495.1529336896055</v>
      </c>
      <c r="BE258" s="4">
        <f t="shared" si="627"/>
        <v>1.5</v>
      </c>
      <c r="BF258" s="4">
        <f t="shared" si="628"/>
        <v>516.14100993283103</v>
      </c>
      <c r="BH258" s="4">
        <f t="shared" si="633"/>
        <v>411.16580463902415</v>
      </c>
      <c r="BI258" s="4">
        <f t="shared" si="634"/>
        <v>0</v>
      </c>
      <c r="BJ258" s="4">
        <f t="shared" si="635"/>
        <v>0</v>
      </c>
      <c r="BR258" s="4">
        <f t="shared" si="728"/>
        <v>63.5</v>
      </c>
      <c r="BV258" s="9"/>
      <c r="BX258" s="9"/>
      <c r="BY258" s="9"/>
      <c r="BZ258" s="9">
        <f t="shared" si="729"/>
        <v>63.5</v>
      </c>
      <c r="CA258" s="9">
        <f t="shared" si="730"/>
        <v>120.64999999999998</v>
      </c>
      <c r="CB258" s="9">
        <f t="shared" si="604"/>
        <v>1.7409369561833321</v>
      </c>
      <c r="CC258" s="40">
        <f t="shared" si="757"/>
        <v>20</v>
      </c>
      <c r="CD258" s="9">
        <f t="shared" si="731"/>
        <v>0.05</v>
      </c>
      <c r="CE258" s="9">
        <f t="shared" si="732"/>
        <v>0.8</v>
      </c>
      <c r="CF258" s="9">
        <f t="shared" si="733"/>
        <v>0.99524931562137331</v>
      </c>
      <c r="CG258" s="9">
        <f t="shared" si="734"/>
        <v>0.68</v>
      </c>
      <c r="CH258" s="9">
        <f t="shared" si="606"/>
        <v>1.4157602788737922</v>
      </c>
      <c r="CI258" s="9">
        <f t="shared" si="607"/>
        <v>3.5394006971844805</v>
      </c>
      <c r="CJ258" s="40">
        <v>1</v>
      </c>
      <c r="CK258" s="9">
        <f t="shared" si="608"/>
        <v>342.47241145957031</v>
      </c>
      <c r="CM258" s="4">
        <f t="shared" si="735"/>
        <v>2.7386157194045646</v>
      </c>
      <c r="CN258" s="4">
        <f t="shared" si="736"/>
        <v>1.5989486965805586</v>
      </c>
      <c r="CO258" s="4">
        <f t="shared" si="708"/>
        <v>1.5339299197210992</v>
      </c>
      <c r="CP258" s="4">
        <f t="shared" si="737"/>
        <v>2.3117895381902884</v>
      </c>
      <c r="CQ258" s="4">
        <f t="shared" si="694"/>
        <v>1.4143463626576895</v>
      </c>
      <c r="CR258" s="4">
        <f t="shared" si="695"/>
        <v>1.5147236131087898</v>
      </c>
      <c r="CS258" s="4">
        <f t="shared" si="709"/>
        <v>1.5549193028146699</v>
      </c>
      <c r="CT258" s="4">
        <f t="shared" si="758"/>
        <v>8</v>
      </c>
      <c r="DA258" s="4">
        <f t="shared" si="773"/>
        <v>2.7386157194045646</v>
      </c>
      <c r="DB258" s="4">
        <f t="shared" si="773"/>
        <v>1.5989486965805586</v>
      </c>
      <c r="DC258" s="4">
        <f t="shared" si="774"/>
        <v>2.3117895381902884</v>
      </c>
      <c r="DD258" s="4">
        <f t="shared" si="775"/>
        <v>1.5549193028146699</v>
      </c>
      <c r="DE258" s="4">
        <f t="shared" si="776"/>
        <v>1.4143463626576895</v>
      </c>
      <c r="DF258" s="4">
        <f t="shared" si="776"/>
        <v>1.5147236131087898</v>
      </c>
      <c r="DI258" s="4">
        <f t="shared" si="742"/>
        <v>233.42599999999999</v>
      </c>
      <c r="DL258" s="4">
        <f t="shared" si="667"/>
        <v>1.7078533262925979E-5</v>
      </c>
      <c r="DM258" s="4">
        <f t="shared" si="769"/>
        <v>8.1641442880324373</v>
      </c>
      <c r="DN258" s="4">
        <f t="shared" si="668"/>
        <v>0.46558991318142223</v>
      </c>
      <c r="DO258" s="4">
        <f t="shared" si="669"/>
        <v>6.0132892782925138</v>
      </c>
      <c r="DP258" s="4">
        <f t="shared" si="670"/>
        <v>7.1700120340069331</v>
      </c>
      <c r="DQ258" s="4">
        <f t="shared" si="671"/>
        <v>7.769205682379722</v>
      </c>
      <c r="DR258" s="38">
        <f t="shared" si="684"/>
        <v>559.78094110081395</v>
      </c>
      <c r="DS258" s="4">
        <f t="shared" si="609"/>
        <v>1.0001182170996981</v>
      </c>
      <c r="DT258" s="4">
        <f t="shared" si="672"/>
        <v>2.2360679774997898</v>
      </c>
      <c r="DU258" s="4">
        <f t="shared" si="618"/>
        <v>301.05075195376651</v>
      </c>
      <c r="DY258" s="4">
        <f t="shared" si="581"/>
        <v>0.85</v>
      </c>
      <c r="DZ258" s="4">
        <f t="shared" si="610"/>
        <v>0.85</v>
      </c>
      <c r="EA258" s="4">
        <f t="shared" si="685"/>
        <v>0.92500000000000004</v>
      </c>
      <c r="EB258" s="4">
        <f t="shared" si="611"/>
        <v>0.78625</v>
      </c>
      <c r="ED258" s="4">
        <f t="shared" si="686"/>
        <v>522.68554545480083</v>
      </c>
      <c r="EE258" s="25">
        <f t="shared" si="687"/>
        <v>297.60008743374652</v>
      </c>
      <c r="EG258" s="4">
        <f t="shared" si="619"/>
        <v>0.66831249999999998</v>
      </c>
      <c r="EH258" s="4">
        <f t="shared" si="688"/>
        <v>8.1641442880324373</v>
      </c>
      <c r="EK258" s="4">
        <f t="shared" si="673"/>
        <v>56.796126628494655</v>
      </c>
      <c r="EL258" s="4">
        <f t="shared" si="674"/>
        <v>2.2360679774997898</v>
      </c>
      <c r="EM258" s="4">
        <f t="shared" si="675"/>
        <v>0.15216672970932105</v>
      </c>
      <c r="EP258" s="4">
        <f t="shared" si="759"/>
        <v>0.15216672970932105</v>
      </c>
      <c r="EQ258" s="4">
        <f t="shared" si="721"/>
        <v>0.46481293039048616</v>
      </c>
      <c r="ER258" s="4">
        <f t="shared" si="770"/>
        <v>6.0092732432724834</v>
      </c>
      <c r="ES258" s="4">
        <f t="shared" si="743"/>
        <v>7.1683297930473469</v>
      </c>
      <c r="ET258" s="4">
        <f t="shared" si="771"/>
        <v>118.27337337150536</v>
      </c>
      <c r="EU258" s="4">
        <f t="shared" si="772"/>
        <v>58.356499999999983</v>
      </c>
      <c r="EV258" s="4">
        <f t="shared" si="612"/>
        <v>1.7078533262925975E-5</v>
      </c>
      <c r="EW258" s="4">
        <f t="shared" si="744"/>
        <v>7.7693238123866122</v>
      </c>
      <c r="EX258" s="4">
        <f t="shared" si="636"/>
        <v>559.71477324366288</v>
      </c>
      <c r="FG258" s="23">
        <f t="shared" si="711"/>
        <v>2.2000000000000002</v>
      </c>
      <c r="FH258" s="23">
        <f t="shared" si="711"/>
        <v>1.6</v>
      </c>
      <c r="FI258" s="23">
        <f t="shared" si="712"/>
        <v>1.6</v>
      </c>
      <c r="FJ258" s="23">
        <f t="shared" si="713"/>
        <v>2.2000000000000002</v>
      </c>
      <c r="FK258" s="23">
        <f t="shared" si="713"/>
        <v>1.6</v>
      </c>
      <c r="FL258" s="23">
        <f t="shared" si="713"/>
        <v>1.6</v>
      </c>
      <c r="FM258" s="23">
        <f t="shared" si="701"/>
        <v>0</v>
      </c>
      <c r="FN258" s="23"/>
      <c r="FX258" s="4">
        <f t="shared" si="613"/>
        <v>1</v>
      </c>
      <c r="FY258" s="4">
        <f t="shared" si="652"/>
        <v>0.44</v>
      </c>
      <c r="FZ258" s="4">
        <f t="shared" si="614"/>
        <v>0.3</v>
      </c>
      <c r="GA258" s="4">
        <f t="shared" si="615"/>
        <v>509.17377930666783</v>
      </c>
    </row>
    <row r="259" spans="1:183" ht="12" hidden="1" customHeight="1" x14ac:dyDescent="0.3">
      <c r="A259" s="25">
        <v>241</v>
      </c>
      <c r="B259" s="4" t="s">
        <v>605</v>
      </c>
      <c r="C259" s="4">
        <v>2016</v>
      </c>
      <c r="D259" s="4" t="s">
        <v>309</v>
      </c>
      <c r="E259" s="24" t="s">
        <v>662</v>
      </c>
      <c r="F259" s="7" t="s">
        <v>394</v>
      </c>
      <c r="G259" s="38">
        <f t="shared" si="745"/>
        <v>827.58620689655174</v>
      </c>
      <c r="H259" s="38">
        <f>9.5*25.4</f>
        <v>241.29999999999998</v>
      </c>
      <c r="I259" s="4">
        <f t="shared" si="746"/>
        <v>241.29999999999998</v>
      </c>
      <c r="J259" s="38">
        <f>5910/145</f>
        <v>40.758620689655174</v>
      </c>
      <c r="K259" s="38">
        <f t="shared" si="747"/>
        <v>25.4</v>
      </c>
      <c r="L259" s="7">
        <f t="shared" si="748"/>
        <v>9.5</v>
      </c>
      <c r="M259" s="7">
        <f t="shared" si="749"/>
        <v>9.5</v>
      </c>
      <c r="N259" s="38">
        <f>19*25.4</f>
        <v>482.59999999999997</v>
      </c>
      <c r="O259" s="38">
        <f>3.9*25.4</f>
        <v>99.059999999999988</v>
      </c>
      <c r="P259" s="39">
        <f>3.25*25.4</f>
        <v>82.55</v>
      </c>
      <c r="Q259" s="7">
        <f t="shared" si="750"/>
        <v>233.67999999999998</v>
      </c>
      <c r="R259" s="38">
        <v>2</v>
      </c>
      <c r="S259" s="4">
        <f t="shared" si="722"/>
        <v>260.34999999999997</v>
      </c>
      <c r="T259" s="7">
        <f t="shared" si="751"/>
        <v>4.4000000000000004</v>
      </c>
      <c r="U259" s="7">
        <f t="shared" si="631"/>
        <v>4.4000000000000004</v>
      </c>
      <c r="V259" s="38">
        <v>4</v>
      </c>
      <c r="W259" s="4">
        <f t="shared" si="752"/>
        <v>4</v>
      </c>
      <c r="X259" s="4">
        <f t="shared" si="753"/>
        <v>5</v>
      </c>
      <c r="Y259" s="7">
        <f t="shared" si="754"/>
        <v>56.796126628494655</v>
      </c>
      <c r="AB259" s="38">
        <f>122.4/0.145</f>
        <v>844.1379310344829</v>
      </c>
      <c r="AD259" s="4">
        <f t="shared" si="666"/>
        <v>1.1787643163301271</v>
      </c>
      <c r="AE259" s="38">
        <f>0.5*25.4</f>
        <v>12.7</v>
      </c>
      <c r="AF259" s="38">
        <v>8</v>
      </c>
      <c r="AG259" s="39">
        <f>4*25.4</f>
        <v>101.6</v>
      </c>
      <c r="AH259" s="39">
        <v>2</v>
      </c>
      <c r="AI259" s="39">
        <v>1</v>
      </c>
      <c r="AJ259" s="7"/>
      <c r="AK259" s="4">
        <f t="shared" si="755"/>
        <v>241.29999999999998</v>
      </c>
      <c r="AL259" s="4">
        <f t="shared" si="678"/>
        <v>0.66666666666666663</v>
      </c>
      <c r="AM259" s="4">
        <f t="shared" si="679"/>
        <v>236.13393909906492</v>
      </c>
      <c r="AN259" s="4">
        <f t="shared" si="680"/>
        <v>0.79263157894736835</v>
      </c>
      <c r="AO259" s="4">
        <v>1.25</v>
      </c>
      <c r="AP259" s="4">
        <f t="shared" si="624"/>
        <v>2.5</v>
      </c>
      <c r="AQ259" s="38">
        <f t="shared" si="723"/>
        <v>389.93170206490322</v>
      </c>
      <c r="AR259" s="38">
        <f t="shared" si="682"/>
        <v>389.93170206490322</v>
      </c>
      <c r="AS259" s="38">
        <f t="shared" si="683"/>
        <v>3.5530466297176955</v>
      </c>
      <c r="AT259" s="38">
        <f t="shared" si="626"/>
        <v>389.93170206490333</v>
      </c>
      <c r="AU259" s="38">
        <f t="shared" si="601"/>
        <v>0.99999999999999967</v>
      </c>
      <c r="AV259" s="38">
        <f t="shared" si="715"/>
        <v>1.8396855663162504</v>
      </c>
      <c r="AW259" s="4">
        <f t="shared" si="707"/>
        <v>0</v>
      </c>
      <c r="AX259" s="4">
        <f t="shared" si="756"/>
        <v>319.21239281102157</v>
      </c>
      <c r="AY259" s="4">
        <f t="shared" si="724"/>
        <v>1</v>
      </c>
      <c r="AZ259" s="38">
        <f t="shared" si="617"/>
        <v>717.35172413793111</v>
      </c>
      <c r="BA259" s="4">
        <f t="shared" si="725"/>
        <v>0.44000000000000006</v>
      </c>
      <c r="BB259" s="4">
        <f t="shared" si="726"/>
        <v>73.386929107253877</v>
      </c>
      <c r="BC259" s="4">
        <f t="shared" si="727"/>
        <v>790.73865324518499</v>
      </c>
      <c r="BE259" s="4">
        <f t="shared" si="627"/>
        <v>1.5</v>
      </c>
      <c r="BF259" s="4">
        <f t="shared" si="628"/>
        <v>560.21774938334283</v>
      </c>
      <c r="BH259" s="4">
        <f t="shared" si="633"/>
        <v>688.02802984769528</v>
      </c>
      <c r="BI259" s="4">
        <f t="shared" si="634"/>
        <v>0</v>
      </c>
      <c r="BJ259" s="4">
        <f t="shared" si="635"/>
        <v>0</v>
      </c>
      <c r="BR259" s="4">
        <f t="shared" si="728"/>
        <v>99.059999999999988</v>
      </c>
      <c r="BV259" s="9"/>
      <c r="BX259" s="9"/>
      <c r="BY259" s="9"/>
      <c r="BZ259" s="9">
        <f t="shared" si="729"/>
        <v>82.55</v>
      </c>
      <c r="CA259" s="9">
        <f t="shared" si="730"/>
        <v>116.83999999999999</v>
      </c>
      <c r="CB259" s="9">
        <f t="shared" si="604"/>
        <v>1.8992093998678425</v>
      </c>
      <c r="CC259" s="40">
        <f t="shared" si="757"/>
        <v>20</v>
      </c>
      <c r="CD259" s="9">
        <f t="shared" si="731"/>
        <v>0.05</v>
      </c>
      <c r="CE259" s="9">
        <f t="shared" si="732"/>
        <v>0.8</v>
      </c>
      <c r="CF259" s="9">
        <f t="shared" si="733"/>
        <v>0.99524931562137331</v>
      </c>
      <c r="CG259" s="9">
        <f t="shared" si="734"/>
        <v>0.68</v>
      </c>
      <c r="CH259" s="9">
        <f t="shared" si="606"/>
        <v>1.5122325576992237</v>
      </c>
      <c r="CI259" s="9">
        <f t="shared" si="607"/>
        <v>3.7805813942480593</v>
      </c>
      <c r="CJ259" s="40">
        <v>1</v>
      </c>
      <c r="CK259" s="9">
        <f t="shared" si="608"/>
        <v>370.4969766363098</v>
      </c>
      <c r="CM259" s="4">
        <f t="shared" si="735"/>
        <v>2.6444397211552655</v>
      </c>
      <c r="CN259" s="4">
        <f t="shared" si="736"/>
        <v>1.0675308808670825</v>
      </c>
      <c r="CO259" s="4">
        <f t="shared" si="708"/>
        <v>1.5068032599175301</v>
      </c>
      <c r="CP259" s="4">
        <f t="shared" si="737"/>
        <v>2.2783935747554356</v>
      </c>
      <c r="CQ259" s="4">
        <f t="shared" si="694"/>
        <v>1.1787643163301271</v>
      </c>
      <c r="CR259" s="4">
        <f t="shared" si="695"/>
        <v>1.2694084672363284</v>
      </c>
      <c r="CS259" s="4">
        <f t="shared" si="709"/>
        <v>1.5517610994655895</v>
      </c>
      <c r="CT259" s="4">
        <f t="shared" si="758"/>
        <v>8</v>
      </c>
      <c r="DA259" s="4">
        <f t="shared" si="773"/>
        <v>2.6444397211552655</v>
      </c>
      <c r="DB259" s="4">
        <f t="shared" si="773"/>
        <v>1.0675308808670825</v>
      </c>
      <c r="DC259" s="4">
        <f t="shared" si="774"/>
        <v>2.2783935747554356</v>
      </c>
      <c r="DD259" s="4">
        <f t="shared" si="775"/>
        <v>1.5517610994655895</v>
      </c>
      <c r="DE259" s="4">
        <f t="shared" si="776"/>
        <v>1.1787643163301271</v>
      </c>
      <c r="DF259" s="4">
        <f t="shared" si="776"/>
        <v>1.2694084672363284</v>
      </c>
      <c r="DI259" s="4">
        <f t="shared" si="742"/>
        <v>241.29999999999998</v>
      </c>
      <c r="DL259" s="4">
        <f t="shared" si="667"/>
        <v>1.8260231462931454E-5</v>
      </c>
      <c r="DM259" s="4">
        <f t="shared" si="769"/>
        <v>9.7949483572995213</v>
      </c>
      <c r="DN259" s="4">
        <f t="shared" si="668"/>
        <v>0.5285604589936419</v>
      </c>
      <c r="DO259" s="4">
        <f t="shared" si="669"/>
        <v>7.5899692945005892</v>
      </c>
      <c r="DP259" s="4">
        <f t="shared" si="670"/>
        <v>8.7622062704031336</v>
      </c>
      <c r="DQ259" s="4">
        <f t="shared" si="671"/>
        <v>9.1527650475891438</v>
      </c>
      <c r="DR259" s="38">
        <f t="shared" si="684"/>
        <v>716.12104246806189</v>
      </c>
      <c r="DS259" s="4">
        <f t="shared" si="609"/>
        <v>1.0001206064320898</v>
      </c>
      <c r="DT259" s="4">
        <f t="shared" si="672"/>
        <v>2.2360679774997898</v>
      </c>
      <c r="DU259" s="4">
        <f t="shared" si="618"/>
        <v>389.93170206490333</v>
      </c>
      <c r="DY259" s="4">
        <f t="shared" si="581"/>
        <v>0.85</v>
      </c>
      <c r="DZ259" s="4">
        <f t="shared" si="610"/>
        <v>0.71</v>
      </c>
      <c r="EA259" s="4">
        <f t="shared" si="685"/>
        <v>0.92500000000000004</v>
      </c>
      <c r="EB259" s="4">
        <f t="shared" si="611"/>
        <v>0.7</v>
      </c>
      <c r="ED259" s="4">
        <f t="shared" si="686"/>
        <v>664.98526898302782</v>
      </c>
      <c r="EE259" s="25">
        <f t="shared" si="687"/>
        <v>385.82924079999151</v>
      </c>
      <c r="EG259" s="4">
        <f t="shared" si="619"/>
        <v>0.59499999999999997</v>
      </c>
      <c r="EH259" s="4">
        <f t="shared" si="688"/>
        <v>9.7949483572995213</v>
      </c>
      <c r="EK259" s="4">
        <f t="shared" si="673"/>
        <v>56.796126628494655</v>
      </c>
      <c r="EL259" s="4">
        <f t="shared" si="674"/>
        <v>2.2360679774997898</v>
      </c>
      <c r="EM259" s="4">
        <f t="shared" si="675"/>
        <v>0.18451839811569204</v>
      </c>
      <c r="EP259" s="4">
        <f t="shared" si="759"/>
        <v>0.18451839811569204</v>
      </c>
      <c r="EQ259" s="4">
        <f t="shared" si="721"/>
        <v>0.52767839009785966</v>
      </c>
      <c r="ER259" s="4">
        <f t="shared" si="770"/>
        <v>7.584900258058636</v>
      </c>
      <c r="ES259" s="4">
        <f t="shared" si="743"/>
        <v>8.7600123648110575</v>
      </c>
      <c r="ET259" s="4">
        <f t="shared" si="771"/>
        <v>124.17887337150535</v>
      </c>
      <c r="EU259" s="4">
        <f t="shared" si="772"/>
        <v>60.324999999999989</v>
      </c>
      <c r="EV259" s="4">
        <f t="shared" si="612"/>
        <v>1.8260231462931451E-5</v>
      </c>
      <c r="EW259" s="4">
        <f t="shared" si="744"/>
        <v>9.1529633500073277</v>
      </c>
      <c r="EX259" s="4">
        <f t="shared" si="636"/>
        <v>716.03468407956245</v>
      </c>
      <c r="FG259" s="23">
        <f t="shared" ref="FG259:FH322" si="778">IF(CM259&lt;0.6,0.6,IF(CM259&lt;0.8,0.8,IF(CM259&lt;1,1,IF(CM259&lt;1.2,1.2,IF(CM259&lt;1.4,1.4,IF(CM259&lt;1.6,1.6,IF(CM259&lt;1.8,1.8,IF(CM259&lt;2,2,2.2))))))))</f>
        <v>2.2000000000000002</v>
      </c>
      <c r="FH259" s="23">
        <f t="shared" si="778"/>
        <v>1.2</v>
      </c>
      <c r="FI259" s="23">
        <f t="shared" si="712"/>
        <v>1.6</v>
      </c>
      <c r="FJ259" s="23">
        <f t="shared" ref="FJ259:FL322" si="779">IF(CP259&lt;0.6,0.6,IF(CP259&lt;0.8,0.8,IF(CP259&lt;1,1,IF(CP259&lt;1.2,1.2,IF(CP259&lt;1.4,1.4,IF(CP259&lt;1.6,1.6,IF(CP259&lt;1.8,1.8,IF(CP259&lt;2,2,2.2))))))))</f>
        <v>2.2000000000000002</v>
      </c>
      <c r="FK259" s="23">
        <f t="shared" si="779"/>
        <v>1.2</v>
      </c>
      <c r="FL259" s="23">
        <f t="shared" si="779"/>
        <v>1.4</v>
      </c>
      <c r="FM259" s="23">
        <f t="shared" si="701"/>
        <v>0</v>
      </c>
      <c r="FN259" s="23"/>
      <c r="FX259" s="4">
        <f t="shared" si="613"/>
        <v>1</v>
      </c>
      <c r="FY259" s="4">
        <f t="shared" si="652"/>
        <v>0.44</v>
      </c>
      <c r="FZ259" s="4">
        <f t="shared" si="614"/>
        <v>0.3</v>
      </c>
      <c r="GA259" s="4">
        <f t="shared" si="615"/>
        <v>543.98704241599773</v>
      </c>
    </row>
    <row r="260" spans="1:183" ht="12" hidden="1" customHeight="1" x14ac:dyDescent="0.3">
      <c r="A260" s="25">
        <v>242</v>
      </c>
      <c r="B260" s="4" t="s">
        <v>605</v>
      </c>
      <c r="C260" s="4">
        <v>2016</v>
      </c>
      <c r="D260" s="4" t="s">
        <v>309</v>
      </c>
      <c r="E260" s="24" t="s">
        <v>405</v>
      </c>
      <c r="F260" s="7" t="s">
        <v>395</v>
      </c>
      <c r="G260" s="38">
        <f t="shared" si="745"/>
        <v>827.58620689655174</v>
      </c>
      <c r="H260" s="38">
        <f>12.59*25.4</f>
        <v>319.786</v>
      </c>
      <c r="I260" s="4">
        <f t="shared" si="746"/>
        <v>319.786</v>
      </c>
      <c r="J260" s="38">
        <f>6210/145</f>
        <v>42.827586206896555</v>
      </c>
      <c r="K260" s="38">
        <f t="shared" si="747"/>
        <v>25.4</v>
      </c>
      <c r="L260" s="7">
        <f t="shared" si="748"/>
        <v>12.590000000000002</v>
      </c>
      <c r="M260" s="7">
        <f t="shared" si="749"/>
        <v>12.590000000000002</v>
      </c>
      <c r="N260" s="38">
        <f>16.6*25.4</f>
        <v>421.64</v>
      </c>
      <c r="O260" s="38">
        <f>2.45*25.4</f>
        <v>62.230000000000004</v>
      </c>
      <c r="P260" s="39">
        <f>3.1*25.4</f>
        <v>78.739999999999995</v>
      </c>
      <c r="Q260" s="7">
        <f t="shared" si="750"/>
        <v>246.37999999999997</v>
      </c>
      <c r="R260" s="38">
        <v>2</v>
      </c>
      <c r="S260" s="4">
        <f t="shared" si="722"/>
        <v>260.34999999999997</v>
      </c>
      <c r="T260" s="7">
        <f t="shared" si="751"/>
        <v>2.95</v>
      </c>
      <c r="U260" s="7">
        <f t="shared" si="631"/>
        <v>2.95</v>
      </c>
      <c r="V260" s="38">
        <v>4</v>
      </c>
      <c r="W260" s="4">
        <f t="shared" si="752"/>
        <v>4</v>
      </c>
      <c r="X260" s="4">
        <f t="shared" si="753"/>
        <v>5</v>
      </c>
      <c r="Y260" s="7">
        <f t="shared" si="754"/>
        <v>56.796126628494655</v>
      </c>
      <c r="AB260" s="38">
        <f>AC260/0.145</f>
        <v>726.89655172413802</v>
      </c>
      <c r="AC260" s="4">
        <v>105.4</v>
      </c>
      <c r="AD260" s="4">
        <f t="shared" si="666"/>
        <v>0.98628051473021827</v>
      </c>
      <c r="AE260" s="38"/>
      <c r="AF260" s="38"/>
      <c r="AG260" s="39">
        <v>1</v>
      </c>
      <c r="AH260" s="39"/>
      <c r="AI260" s="39"/>
      <c r="AJ260" s="7"/>
      <c r="AK260" s="4">
        <f t="shared" si="755"/>
        <v>319.786</v>
      </c>
      <c r="AL260" s="4">
        <f t="shared" si="678"/>
        <v>0.43950225046333069</v>
      </c>
      <c r="AM260" s="4">
        <f t="shared" si="679"/>
        <v>369.2866933162444</v>
      </c>
      <c r="AN260" s="4">
        <f t="shared" si="680"/>
        <v>0.74686258935663219</v>
      </c>
      <c r="AO260" s="4">
        <v>1.25</v>
      </c>
      <c r="AP260" s="4">
        <f t="shared" si="624"/>
        <v>2.5</v>
      </c>
      <c r="AQ260" s="38">
        <f t="shared" si="723"/>
        <v>378.80481411776645</v>
      </c>
      <c r="AR260" s="38">
        <f t="shared" si="682"/>
        <v>378.80481411776645</v>
      </c>
      <c r="AS260" s="38">
        <f t="shared" si="683"/>
        <v>3.6722901407859458</v>
      </c>
      <c r="AT260" s="38">
        <f t="shared" si="626"/>
        <v>378.80481411776617</v>
      </c>
      <c r="AU260" s="38">
        <f t="shared" si="601"/>
        <v>1.0000000000000007</v>
      </c>
      <c r="AV260" s="38">
        <f t="shared" si="715"/>
        <v>1.3341053186411378</v>
      </c>
      <c r="AW260" s="4">
        <f t="shared" si="707"/>
        <v>0</v>
      </c>
      <c r="AX260" s="4">
        <f t="shared" si="756"/>
        <v>433.64458548030063</v>
      </c>
      <c r="AY260" s="4">
        <f t="shared" si="724"/>
        <v>1</v>
      </c>
      <c r="AZ260" s="38">
        <f t="shared" si="617"/>
        <v>505.36551724137939</v>
      </c>
      <c r="BA260" s="4">
        <f t="shared" si="725"/>
        <v>0.44000000000000006</v>
      </c>
      <c r="BB260" s="4">
        <f t="shared" si="726"/>
        <v>99.694890201921126</v>
      </c>
      <c r="BC260" s="4">
        <f t="shared" si="727"/>
        <v>605.06040744330051</v>
      </c>
      <c r="BE260" s="4">
        <f t="shared" si="627"/>
        <v>1.3625</v>
      </c>
      <c r="BF260" s="4">
        <f t="shared" si="628"/>
        <v>604.27662587984457</v>
      </c>
      <c r="BH260" s="4">
        <f t="shared" si="633"/>
        <v>484.70733321007748</v>
      </c>
      <c r="BI260" s="4">
        <f t="shared" ref="BI260:BI268" si="780">8/3*AC260*AA260^2/(Y260-K260-22)/K260*(Y260^2-K260^2)/(Y260^2-(K260+22)^2)</f>
        <v>0</v>
      </c>
      <c r="BJ260" s="4">
        <f t="shared" si="635"/>
        <v>0</v>
      </c>
      <c r="BR260" s="4">
        <f t="shared" si="728"/>
        <v>62.230000000000004</v>
      </c>
      <c r="BV260" s="9"/>
      <c r="BX260" s="9"/>
      <c r="BY260" s="9"/>
      <c r="BZ260" s="9">
        <f t="shared" si="729"/>
        <v>62.230000000000004</v>
      </c>
      <c r="CA260" s="9">
        <f t="shared" si="730"/>
        <v>123.18999999999998</v>
      </c>
      <c r="CB260" s="9">
        <f t="shared" si="604"/>
        <v>1.7340810420811554</v>
      </c>
      <c r="CC260" s="40">
        <f t="shared" si="757"/>
        <v>0</v>
      </c>
      <c r="CD260" s="9">
        <f t="shared" si="731"/>
        <v>0</v>
      </c>
      <c r="CE260" s="9">
        <f t="shared" si="732"/>
        <v>0</v>
      </c>
      <c r="CF260" s="9">
        <f t="shared" si="733"/>
        <v>0.99524931562137331</v>
      </c>
      <c r="CG260" s="9">
        <f t="shared" si="734"/>
        <v>0.68</v>
      </c>
      <c r="CH260" s="9">
        <f t="shared" si="606"/>
        <v>1.5501390028928617</v>
      </c>
      <c r="CI260" s="9">
        <f t="shared" si="607"/>
        <v>2.6880666575070968</v>
      </c>
      <c r="CJ260" s="40">
        <v>1</v>
      </c>
      <c r="CK260" s="9">
        <f t="shared" si="608"/>
        <v>296.65503632248323</v>
      </c>
      <c r="CM260" s="4">
        <f t="shared" si="735"/>
        <v>1.6762495741046421</v>
      </c>
      <c r="CN260" s="4">
        <f t="shared" si="736"/>
        <v>1.20136195127303</v>
      </c>
      <c r="CO260" s="4">
        <f t="shared" si="708"/>
        <v>1.2029201868693087</v>
      </c>
      <c r="CP260" s="4">
        <f t="shared" si="737"/>
        <v>2.4503091561673487</v>
      </c>
      <c r="CQ260" s="4">
        <f t="shared" si="694"/>
        <v>0.98628051473021827</v>
      </c>
      <c r="CR260" s="4">
        <f t="shared" si="695"/>
        <v>1.0591467407093387</v>
      </c>
      <c r="CS260" s="4">
        <f t="shared" si="709"/>
        <v>1.4145986516145845</v>
      </c>
      <c r="CT260" s="4">
        <f t="shared" si="758"/>
        <v>0</v>
      </c>
      <c r="CU260" s="4">
        <f t="shared" ref="CU260:CV261" si="781">CM260</f>
        <v>1.6762495741046421</v>
      </c>
      <c r="CV260" s="4">
        <f t="shared" si="781"/>
        <v>1.20136195127303</v>
      </c>
      <c r="CW260" s="4">
        <f t="shared" ref="CW260:CW261" si="782">CP260</f>
        <v>2.4503091561673487</v>
      </c>
      <c r="CX260" s="4">
        <f t="shared" ref="CX260:CX261" si="783">CS260</f>
        <v>1.4145986516145845</v>
      </c>
      <c r="CY260" s="4">
        <f t="shared" ref="CY260:CZ261" si="784">CQ260</f>
        <v>0.98628051473021827</v>
      </c>
      <c r="CZ260" s="4">
        <f t="shared" si="784"/>
        <v>1.0591467407093387</v>
      </c>
      <c r="DI260" s="4">
        <f t="shared" si="742"/>
        <v>319.786</v>
      </c>
      <c r="DL260" s="4">
        <f t="shared" si="667"/>
        <v>2.4530239757040505E-5</v>
      </c>
      <c r="DM260" s="4">
        <f t="shared" si="769"/>
        <v>8.2202710041526839</v>
      </c>
      <c r="DN260" s="4">
        <f t="shared" si="668"/>
        <v>0.48867204545931681</v>
      </c>
      <c r="DO260" s="4">
        <f t="shared" si="669"/>
        <v>6.1729553243941799</v>
      </c>
      <c r="DP260" s="4">
        <f t="shared" si="670"/>
        <v>7.2691959003750313</v>
      </c>
      <c r="DQ260" s="4">
        <f t="shared" si="671"/>
        <v>7.4226093372503703</v>
      </c>
      <c r="DR260" s="38">
        <f t="shared" si="684"/>
        <v>737.00792104056654</v>
      </c>
      <c r="DS260" s="4">
        <f t="shared" si="609"/>
        <v>1.0001146887971195</v>
      </c>
      <c r="DT260" s="4">
        <f t="shared" si="672"/>
        <v>2.2360679774997898</v>
      </c>
      <c r="DU260" s="4">
        <f t="shared" si="618"/>
        <v>378.80481411776617</v>
      </c>
      <c r="DY260" s="4">
        <f t="shared" ref="DY260:DY323" si="785">IF(P260&gt;1*K260,0.85,1)</f>
        <v>0.85</v>
      </c>
      <c r="DZ260" s="4">
        <f t="shared" si="610"/>
        <v>0.85499999999999998</v>
      </c>
      <c r="EA260" s="4">
        <f t="shared" si="685"/>
        <v>1</v>
      </c>
      <c r="EB260" s="4">
        <f t="shared" si="611"/>
        <v>0.85499999999999998</v>
      </c>
      <c r="ED260" s="4">
        <f t="shared" si="686"/>
        <v>686.30391218247632</v>
      </c>
      <c r="EE260" s="25">
        <f t="shared" si="687"/>
        <v>375.82427635562937</v>
      </c>
      <c r="EG260" s="4">
        <f t="shared" si="619"/>
        <v>0.72675000000000001</v>
      </c>
      <c r="EH260" s="4">
        <f t="shared" si="688"/>
        <v>8.2202710041526839</v>
      </c>
      <c r="EK260" s="4">
        <f t="shared" si="673"/>
        <v>56.796126628494655</v>
      </c>
      <c r="EL260" s="4">
        <f t="shared" si="674"/>
        <v>2.2360679774997898</v>
      </c>
      <c r="EM260" s="4">
        <f t="shared" si="675"/>
        <v>0.17486969809104916</v>
      </c>
      <c r="EP260" s="4">
        <f t="shared" si="759"/>
        <v>0.17486969809104916</v>
      </c>
      <c r="EQ260" s="4">
        <f t="shared" si="721"/>
        <v>0.48785654289153363</v>
      </c>
      <c r="ER260" s="4">
        <f t="shared" si="770"/>
        <v>6.1688326548180887</v>
      </c>
      <c r="ES260" s="4">
        <f t="shared" si="743"/>
        <v>7.2674470393181627</v>
      </c>
      <c r="ET260" s="4">
        <f t="shared" si="771"/>
        <v>183.04337337150534</v>
      </c>
      <c r="EU260" s="4">
        <f t="shared" si="772"/>
        <v>79.946499999999986</v>
      </c>
      <c r="EV260" s="4">
        <f t="shared" si="612"/>
        <v>2.4530239757040502E-5</v>
      </c>
      <c r="EW260" s="4">
        <f t="shared" si="744"/>
        <v>7.4228293223322925</v>
      </c>
      <c r="EX260" s="4">
        <f t="shared" si="636"/>
        <v>736.92340418177173</v>
      </c>
      <c r="FG260" s="23">
        <f t="shared" si="778"/>
        <v>1.8</v>
      </c>
      <c r="FH260" s="23">
        <f t="shared" si="778"/>
        <v>1.4</v>
      </c>
      <c r="FI260" s="23">
        <f t="shared" si="712"/>
        <v>1.6</v>
      </c>
      <c r="FJ260" s="23">
        <f t="shared" si="779"/>
        <v>2.2000000000000002</v>
      </c>
      <c r="FK260" s="23">
        <f t="shared" si="779"/>
        <v>1</v>
      </c>
      <c r="FL260" s="23">
        <f t="shared" si="779"/>
        <v>1.2</v>
      </c>
      <c r="FM260" s="23">
        <f t="shared" si="701"/>
        <v>0</v>
      </c>
      <c r="FN260" s="23"/>
      <c r="FX260" s="4">
        <f t="shared" si="613"/>
        <v>1.25</v>
      </c>
      <c r="FY260" s="4">
        <f t="shared" si="652"/>
        <v>0.5</v>
      </c>
      <c r="FZ260" s="4">
        <f t="shared" si="614"/>
        <v>0</v>
      </c>
      <c r="GA260" s="4">
        <f t="shared" si="615"/>
        <v>513.85355902501249</v>
      </c>
    </row>
    <row r="261" spans="1:183" ht="12" hidden="1" customHeight="1" x14ac:dyDescent="0.3">
      <c r="A261" s="25">
        <v>243</v>
      </c>
      <c r="B261" s="4" t="s">
        <v>605</v>
      </c>
      <c r="C261" s="4">
        <v>2016</v>
      </c>
      <c r="D261" s="4" t="s">
        <v>309</v>
      </c>
      <c r="E261" s="24" t="s">
        <v>405</v>
      </c>
      <c r="F261" s="7" t="s">
        <v>396</v>
      </c>
      <c r="G261" s="38">
        <f t="shared" si="745"/>
        <v>827.58620689655174</v>
      </c>
      <c r="H261" s="38">
        <f>12.66*25.4</f>
        <v>321.56399999999996</v>
      </c>
      <c r="I261" s="4">
        <f t="shared" si="746"/>
        <v>321.56399999999996</v>
      </c>
      <c r="J261" s="38">
        <f>6440/145</f>
        <v>44.413793103448278</v>
      </c>
      <c r="K261" s="38">
        <f t="shared" si="747"/>
        <v>25.4</v>
      </c>
      <c r="L261" s="7">
        <f t="shared" si="748"/>
        <v>12.66</v>
      </c>
      <c r="M261" s="7">
        <f t="shared" si="749"/>
        <v>12.66</v>
      </c>
      <c r="N261" s="38">
        <f>18.5*25.4</f>
        <v>469.9</v>
      </c>
      <c r="O261" s="38">
        <f>3.55*25.4</f>
        <v>90.169999999999987</v>
      </c>
      <c r="P261" s="39">
        <f>3.05*25.4</f>
        <v>77.469999999999985</v>
      </c>
      <c r="Q261" s="7">
        <f t="shared" si="750"/>
        <v>238.76</v>
      </c>
      <c r="R261" s="38">
        <v>2</v>
      </c>
      <c r="S261" s="4">
        <f t="shared" si="722"/>
        <v>260.34999999999997</v>
      </c>
      <c r="T261" s="7">
        <f t="shared" si="751"/>
        <v>4.05</v>
      </c>
      <c r="U261" s="7">
        <f t="shared" si="631"/>
        <v>4.05</v>
      </c>
      <c r="V261" s="38">
        <v>4</v>
      </c>
      <c r="W261" s="4">
        <f t="shared" si="752"/>
        <v>4</v>
      </c>
      <c r="X261" s="4">
        <f t="shared" si="753"/>
        <v>5</v>
      </c>
      <c r="Y261" s="7">
        <f t="shared" si="754"/>
        <v>56.796126628494655</v>
      </c>
      <c r="AB261" s="38">
        <f t="shared" ref="AB261:AB324" si="786">AC261/0.145</f>
        <v>802.06896551724139</v>
      </c>
      <c r="AC261" s="4">
        <v>116.3</v>
      </c>
      <c r="AD261" s="4">
        <f t="shared" si="666"/>
        <v>0.96916666666666662</v>
      </c>
      <c r="AE261" s="38"/>
      <c r="AF261" s="38"/>
      <c r="AG261" s="39">
        <v>1</v>
      </c>
      <c r="AH261" s="39"/>
      <c r="AI261" s="39"/>
      <c r="AJ261" s="7"/>
      <c r="AK261" s="4">
        <f t="shared" si="755"/>
        <v>321.56399999999996</v>
      </c>
      <c r="AL261" s="4">
        <f t="shared" si="678"/>
        <v>0.48709847288046343</v>
      </c>
      <c r="AM261" s="4">
        <f t="shared" si="679"/>
        <v>379.20386548000778</v>
      </c>
      <c r="AN261" s="4">
        <f t="shared" si="680"/>
        <v>0.76398104265402833</v>
      </c>
      <c r="AO261" s="4">
        <v>1.25</v>
      </c>
      <c r="AP261" s="4">
        <f t="shared" si="624"/>
        <v>2.5</v>
      </c>
      <c r="AQ261" s="38">
        <f t="shared" si="723"/>
        <v>440.98328427505464</v>
      </c>
      <c r="AR261" s="38">
        <f t="shared" si="682"/>
        <v>440.98328427505464</v>
      </c>
      <c r="AS261" s="38">
        <f t="shared" si="683"/>
        <v>3.7624132755662103</v>
      </c>
      <c r="AT261" s="38">
        <f t="shared" si="626"/>
        <v>440.98328427505481</v>
      </c>
      <c r="AU261" s="38">
        <f t="shared" si="601"/>
        <v>0.99999999999999967</v>
      </c>
      <c r="AV261" s="38">
        <f t="shared" si="715"/>
        <v>1.6315889375686305</v>
      </c>
      <c r="AW261" s="4">
        <f t="shared" si="707"/>
        <v>0</v>
      </c>
      <c r="AX261" s="4">
        <f t="shared" si="756"/>
        <v>444.05732385345885</v>
      </c>
      <c r="AY261" s="4">
        <f t="shared" si="724"/>
        <v>1</v>
      </c>
      <c r="AZ261" s="38">
        <f t="shared" si="617"/>
        <v>719.50344827586207</v>
      </c>
      <c r="BA261" s="4">
        <f t="shared" si="725"/>
        <v>0.44000000000000006</v>
      </c>
      <c r="BB261" s="4">
        <f t="shared" si="726"/>
        <v>102.08877875391019</v>
      </c>
      <c r="BC261" s="4">
        <f t="shared" si="727"/>
        <v>821.59222702977229</v>
      </c>
      <c r="BE261" s="4">
        <f t="shared" si="627"/>
        <v>1.5</v>
      </c>
      <c r="BF261" s="4">
        <f t="shared" si="628"/>
        <v>679.56554577678264</v>
      </c>
      <c r="BH261" s="4">
        <f t="shared" si="633"/>
        <v>690.09179643468656</v>
      </c>
      <c r="BI261" s="4">
        <f t="shared" si="780"/>
        <v>0</v>
      </c>
      <c r="BJ261" s="4">
        <f t="shared" si="635"/>
        <v>0</v>
      </c>
      <c r="BR261" s="4">
        <f t="shared" si="728"/>
        <v>90.169999999999987</v>
      </c>
      <c r="BV261" s="9"/>
      <c r="BX261" s="9"/>
      <c r="BY261" s="9"/>
      <c r="BZ261" s="9">
        <f t="shared" si="729"/>
        <v>77.469999999999985</v>
      </c>
      <c r="CA261" s="9">
        <f t="shared" si="730"/>
        <v>119.38</v>
      </c>
      <c r="CB261" s="9">
        <f t="shared" si="604"/>
        <v>1.8634580588395866</v>
      </c>
      <c r="CC261" s="40">
        <f t="shared" si="757"/>
        <v>0</v>
      </c>
      <c r="CD261" s="9">
        <f t="shared" si="731"/>
        <v>0</v>
      </c>
      <c r="CE261" s="9">
        <f t="shared" si="732"/>
        <v>0</v>
      </c>
      <c r="CF261" s="9">
        <f t="shared" si="733"/>
        <v>0.99524931562137331</v>
      </c>
      <c r="CG261" s="9">
        <f t="shared" si="734"/>
        <v>0.68</v>
      </c>
      <c r="CH261" s="9">
        <f t="shared" si="606"/>
        <v>1.5785842929910907</v>
      </c>
      <c r="CI261" s="9">
        <f t="shared" si="607"/>
        <v>2.9416256223318391</v>
      </c>
      <c r="CJ261" s="40">
        <v>1</v>
      </c>
      <c r="CK261" s="9">
        <f t="shared" si="608"/>
        <v>325.46145885479467</v>
      </c>
      <c r="CM261" s="4">
        <f t="shared" si="735"/>
        <v>1.8062284359078113</v>
      </c>
      <c r="CN261" s="4">
        <f t="shared" si="736"/>
        <v>0.97623728551679267</v>
      </c>
      <c r="CO261" s="4">
        <f t="shared" si="708"/>
        <v>1.1802672611961667</v>
      </c>
      <c r="CP261" s="4">
        <f t="shared" si="737"/>
        <v>2.464405365659859</v>
      </c>
      <c r="CQ261" s="4">
        <f t="shared" si="694"/>
        <v>0.96916666666666662</v>
      </c>
      <c r="CR261" s="4">
        <f t="shared" si="695"/>
        <v>0.99943469121787187</v>
      </c>
      <c r="CS261" s="4">
        <f t="shared" si="709"/>
        <v>1.2305684841268119</v>
      </c>
      <c r="CT261" s="4">
        <f t="shared" si="758"/>
        <v>0</v>
      </c>
      <c r="CU261" s="4">
        <f t="shared" si="781"/>
        <v>1.8062284359078113</v>
      </c>
      <c r="CV261" s="4">
        <f t="shared" si="781"/>
        <v>0.97623728551679267</v>
      </c>
      <c r="CW261" s="4">
        <f t="shared" si="782"/>
        <v>2.464405365659859</v>
      </c>
      <c r="CX261" s="4">
        <f t="shared" si="783"/>
        <v>1.2305684841268119</v>
      </c>
      <c r="CY261" s="4">
        <f t="shared" si="784"/>
        <v>0.96916666666666662</v>
      </c>
      <c r="CZ261" s="4">
        <f t="shared" si="784"/>
        <v>0.99943469121787187</v>
      </c>
      <c r="DI261" s="4">
        <f t="shared" si="742"/>
        <v>321.56399999999996</v>
      </c>
      <c r="DL261" s="4">
        <f t="shared" si="667"/>
        <v>2.4922140426979919E-5</v>
      </c>
      <c r="DM261" s="4">
        <f t="shared" si="769"/>
        <v>9.607117692376189</v>
      </c>
      <c r="DN261" s="4">
        <f t="shared" si="668"/>
        <v>0.54856723782787586</v>
      </c>
      <c r="DO261" s="4">
        <f t="shared" si="669"/>
        <v>7.5558800997634963</v>
      </c>
      <c r="DP261" s="4">
        <f t="shared" si="670"/>
        <v>8.6426561865068745</v>
      </c>
      <c r="DQ261" s="4">
        <f t="shared" si="671"/>
        <v>8.4754165416165588</v>
      </c>
      <c r="DR261" s="38">
        <f t="shared" si="684"/>
        <v>827.58620689655174</v>
      </c>
      <c r="DS261" s="4">
        <f t="shared" si="609"/>
        <v>1</v>
      </c>
      <c r="DT261" s="4">
        <f t="shared" si="672"/>
        <v>2.2360679774997898</v>
      </c>
      <c r="DU261" s="4">
        <f t="shared" si="618"/>
        <v>440.98328427505481</v>
      </c>
      <c r="DY261" s="4">
        <f t="shared" si="785"/>
        <v>0.85</v>
      </c>
      <c r="DZ261" s="4">
        <f t="shared" si="610"/>
        <v>0.74500000000000011</v>
      </c>
      <c r="EA261" s="4">
        <f t="shared" si="685"/>
        <v>1</v>
      </c>
      <c r="EB261" s="4">
        <f t="shared" si="611"/>
        <v>0.74500000000000011</v>
      </c>
      <c r="ED261" s="4">
        <f t="shared" si="686"/>
        <v>802.5226386127058</v>
      </c>
      <c r="EE261" s="25">
        <f t="shared" si="687"/>
        <v>437.64430865625809</v>
      </c>
      <c r="EG261" s="4">
        <f t="shared" si="619"/>
        <v>0.63325000000000009</v>
      </c>
      <c r="EH261" s="4">
        <f t="shared" si="688"/>
        <v>9.607117692376189</v>
      </c>
      <c r="EK261" s="4">
        <f t="shared" si="673"/>
        <v>56.796126628494655</v>
      </c>
      <c r="EL261" s="4">
        <f t="shared" si="674"/>
        <v>2.2360679774997898</v>
      </c>
      <c r="EM261" s="4">
        <f t="shared" si="675"/>
        <v>0.19990518770232588</v>
      </c>
      <c r="EP261" s="4">
        <f t="shared" si="759"/>
        <v>0.19990518770232588</v>
      </c>
      <c r="EQ261" s="4">
        <f t="shared" si="721"/>
        <v>0.54765178134697612</v>
      </c>
      <c r="ER261" s="4">
        <f t="shared" si="770"/>
        <v>7.5508338301291147</v>
      </c>
      <c r="ES261" s="4">
        <f t="shared" si="743"/>
        <v>8.6404516776680875</v>
      </c>
      <c r="ET261" s="4">
        <f t="shared" si="771"/>
        <v>184.37687337150533</v>
      </c>
      <c r="EU261" s="4">
        <f t="shared" si="772"/>
        <v>80.390999999999963</v>
      </c>
      <c r="EV261" s="4">
        <f t="shared" si="612"/>
        <v>2.4922140426979916E-5</v>
      </c>
      <c r="EW261" s="4">
        <f t="shared" si="744"/>
        <v>8.4757421571063887</v>
      </c>
      <c r="EX261" s="4">
        <f t="shared" si="636"/>
        <v>827.58620689655174</v>
      </c>
      <c r="FG261" s="23">
        <f t="shared" si="778"/>
        <v>2</v>
      </c>
      <c r="FH261" s="23">
        <f t="shared" si="778"/>
        <v>1</v>
      </c>
      <c r="FI261" s="23">
        <f t="shared" si="712"/>
        <v>1.4</v>
      </c>
      <c r="FJ261" s="23">
        <f t="shared" si="779"/>
        <v>2.2000000000000002</v>
      </c>
      <c r="FK261" s="23">
        <f t="shared" si="779"/>
        <v>1</v>
      </c>
      <c r="FL261" s="23">
        <f t="shared" si="779"/>
        <v>1</v>
      </c>
      <c r="FM261" s="23">
        <f t="shared" si="701"/>
        <v>0</v>
      </c>
      <c r="FN261" s="23"/>
      <c r="FX261" s="4">
        <f t="shared" si="613"/>
        <v>1</v>
      </c>
      <c r="FY261" s="4">
        <f t="shared" si="652"/>
        <v>0.5</v>
      </c>
      <c r="FZ261" s="4">
        <f t="shared" si="614"/>
        <v>0</v>
      </c>
      <c r="GA261" s="4">
        <f t="shared" si="615"/>
        <v>651.78734533119007</v>
      </c>
    </row>
    <row r="262" spans="1:183" ht="12" hidden="1" customHeight="1" x14ac:dyDescent="0.3">
      <c r="A262" s="25">
        <v>244</v>
      </c>
      <c r="B262" s="4" t="s">
        <v>605</v>
      </c>
      <c r="C262" s="4">
        <v>2016</v>
      </c>
      <c r="D262" s="4" t="s">
        <v>309</v>
      </c>
      <c r="E262" s="24" t="s">
        <v>405</v>
      </c>
      <c r="F262" s="7" t="s">
        <v>397</v>
      </c>
      <c r="G262" s="38">
        <f t="shared" si="745"/>
        <v>827.58620689655174</v>
      </c>
      <c r="H262" s="38">
        <f>9.31*25.4</f>
        <v>236.47399999999999</v>
      </c>
      <c r="I262" s="4">
        <f t="shared" si="746"/>
        <v>236.47399999999999</v>
      </c>
      <c r="J262" s="38">
        <f>5960/145</f>
        <v>41.103448275862071</v>
      </c>
      <c r="K262" s="38">
        <f t="shared" si="747"/>
        <v>25.4</v>
      </c>
      <c r="L262" s="7">
        <f t="shared" si="748"/>
        <v>9.31</v>
      </c>
      <c r="M262" s="7">
        <f t="shared" si="749"/>
        <v>9.31</v>
      </c>
      <c r="N262" s="38">
        <f>16.5*25.4</f>
        <v>419.09999999999997</v>
      </c>
      <c r="O262" s="38">
        <f>2.5*25.4</f>
        <v>63.5</v>
      </c>
      <c r="P262" s="39">
        <f>3.45*25.4</f>
        <v>87.63</v>
      </c>
      <c r="Q262" s="7">
        <f t="shared" si="750"/>
        <v>241.29999999999995</v>
      </c>
      <c r="R262" s="38">
        <v>2</v>
      </c>
      <c r="S262" s="4">
        <f t="shared" si="722"/>
        <v>260.34999999999997</v>
      </c>
      <c r="T262" s="7">
        <f t="shared" si="751"/>
        <v>3</v>
      </c>
      <c r="U262" s="7">
        <f t="shared" si="631"/>
        <v>3</v>
      </c>
      <c r="V262" s="38">
        <v>4</v>
      </c>
      <c r="W262" s="4">
        <f t="shared" si="752"/>
        <v>4</v>
      </c>
      <c r="X262" s="4">
        <f t="shared" si="753"/>
        <v>5</v>
      </c>
      <c r="Y262" s="7">
        <f t="shared" si="754"/>
        <v>56.796126628494655</v>
      </c>
      <c r="AB262" s="38">
        <f t="shared" si="786"/>
        <v>647.58620689655186</v>
      </c>
      <c r="AC262" s="4">
        <v>93.9</v>
      </c>
      <c r="AD262" s="4">
        <f t="shared" si="666"/>
        <v>1.1078590441518625</v>
      </c>
      <c r="AE262" s="38">
        <f>0.375*25.4</f>
        <v>9.5249999999999986</v>
      </c>
      <c r="AF262" s="38">
        <v>10</v>
      </c>
      <c r="AG262" s="39">
        <f>3*25.4</f>
        <v>76.199999999999989</v>
      </c>
      <c r="AH262" s="39">
        <v>3</v>
      </c>
      <c r="AI262" s="39">
        <v>1</v>
      </c>
      <c r="AJ262" s="7"/>
      <c r="AK262" s="4">
        <f t="shared" si="755"/>
        <v>236.47399999999999</v>
      </c>
      <c r="AL262" s="4">
        <f t="shared" si="678"/>
        <v>0.59076262083780873</v>
      </c>
      <c r="AM262" s="4">
        <f t="shared" si="679"/>
        <v>230.0524776158949</v>
      </c>
      <c r="AN262" s="4">
        <f t="shared" si="680"/>
        <v>0.76444683136412461</v>
      </c>
      <c r="AO262" s="4">
        <v>1.25</v>
      </c>
      <c r="AP262" s="4">
        <f t="shared" si="624"/>
        <v>2.5</v>
      </c>
      <c r="AQ262" s="38">
        <f t="shared" si="723"/>
        <v>324.66631363626266</v>
      </c>
      <c r="AR262" s="38">
        <f t="shared" si="682"/>
        <v>324.66631363626266</v>
      </c>
      <c r="AS262" s="38">
        <f t="shared" si="683"/>
        <v>3.5730582227190051</v>
      </c>
      <c r="AT262" s="38">
        <f t="shared" si="626"/>
        <v>324.66631363626226</v>
      </c>
      <c r="AU262" s="38">
        <f t="shared" si="601"/>
        <v>1.0000000000000013</v>
      </c>
      <c r="AV262" s="38">
        <f t="shared" si="715"/>
        <v>1.519225612863996</v>
      </c>
      <c r="AW262" s="4">
        <f t="shared" si="707"/>
        <v>0</v>
      </c>
      <c r="AX262" s="4">
        <f t="shared" si="756"/>
        <v>314.1486579795382</v>
      </c>
      <c r="AY262" s="4">
        <f t="shared" si="724"/>
        <v>1</v>
      </c>
      <c r="AZ262" s="38">
        <f t="shared" si="617"/>
        <v>493.24137931034488</v>
      </c>
      <c r="BA262" s="4">
        <f t="shared" si="725"/>
        <v>0.44000000000000006</v>
      </c>
      <c r="BB262" s="4">
        <f t="shared" si="726"/>
        <v>72.222776469495813</v>
      </c>
      <c r="BC262" s="4">
        <f t="shared" si="727"/>
        <v>565.46415577984067</v>
      </c>
      <c r="BE262" s="4">
        <f t="shared" si="627"/>
        <v>1.5</v>
      </c>
      <c r="BF262" s="4">
        <f t="shared" si="628"/>
        <v>557.10097214555037</v>
      </c>
      <c r="BH262" s="4">
        <f t="shared" si="633"/>
        <v>473.07880224876135</v>
      </c>
      <c r="BI262" s="4">
        <f t="shared" si="780"/>
        <v>0</v>
      </c>
      <c r="BJ262" s="4">
        <f t="shared" si="635"/>
        <v>0</v>
      </c>
      <c r="BR262" s="4">
        <f t="shared" si="728"/>
        <v>63.5</v>
      </c>
      <c r="BV262" s="9"/>
      <c r="BX262" s="9"/>
      <c r="BY262" s="9"/>
      <c r="BZ262" s="9">
        <f t="shared" si="729"/>
        <v>63.5</v>
      </c>
      <c r="CA262" s="9">
        <f t="shared" si="730"/>
        <v>120.64999999999998</v>
      </c>
      <c r="CB262" s="9">
        <f t="shared" si="604"/>
        <v>1.7409369561833321</v>
      </c>
      <c r="CC262" s="40">
        <f t="shared" si="757"/>
        <v>20</v>
      </c>
      <c r="CD262" s="9">
        <f t="shared" si="731"/>
        <v>0.05</v>
      </c>
      <c r="CE262" s="9">
        <f t="shared" si="732"/>
        <v>0.8</v>
      </c>
      <c r="CF262" s="9">
        <f t="shared" si="733"/>
        <v>0.99524931562137331</v>
      </c>
      <c r="CG262" s="9">
        <f t="shared" si="734"/>
        <v>0.68</v>
      </c>
      <c r="CH262" s="9">
        <f t="shared" si="606"/>
        <v>1.5186160075936113</v>
      </c>
      <c r="CI262" s="9">
        <f t="shared" si="607"/>
        <v>3.7965400189840279</v>
      </c>
      <c r="CJ262" s="40">
        <v>1</v>
      </c>
      <c r="CK262" s="9">
        <f t="shared" si="608"/>
        <v>369.17555144600692</v>
      </c>
      <c r="CM262" s="4">
        <f t="shared" si="735"/>
        <v>2.0614005199370671</v>
      </c>
      <c r="CN262" s="4">
        <f t="shared" si="736"/>
        <v>1.1452294549129385</v>
      </c>
      <c r="CO262" s="4">
        <f t="shared" si="708"/>
        <v>1.162421606270974</v>
      </c>
      <c r="CP262" s="4">
        <f t="shared" si="737"/>
        <v>1.7541416390117137</v>
      </c>
      <c r="CQ262" s="4">
        <f t="shared" si="694"/>
        <v>1.1078590441518625</v>
      </c>
      <c r="CR262" s="4">
        <f t="shared" si="695"/>
        <v>1.1787430355325779</v>
      </c>
      <c r="CS262" s="4">
        <f t="shared" si="709"/>
        <v>1.2121832107334114</v>
      </c>
      <c r="CT262" s="4">
        <f t="shared" si="758"/>
        <v>10</v>
      </c>
      <c r="DA262" s="4">
        <f t="shared" ref="DA262:DB265" si="787">CM262</f>
        <v>2.0614005199370671</v>
      </c>
      <c r="DB262" s="4">
        <f t="shared" si="787"/>
        <v>1.1452294549129385</v>
      </c>
      <c r="DC262" s="4">
        <f t="shared" ref="DC262:DC265" si="788">CP262</f>
        <v>1.7541416390117137</v>
      </c>
      <c r="DD262" s="4">
        <f t="shared" ref="DD262:DD265" si="789">CS262</f>
        <v>1.2121832107334114</v>
      </c>
      <c r="DE262" s="4">
        <f t="shared" ref="DE262:DF265" si="790">CQ262</f>
        <v>1.1078590441518625</v>
      </c>
      <c r="DF262" s="4">
        <f t="shared" si="790"/>
        <v>1.1787430355325779</v>
      </c>
      <c r="DI262" s="4">
        <f t="shared" si="742"/>
        <v>236.47399999999999</v>
      </c>
      <c r="DL262" s="4">
        <f t="shared" si="667"/>
        <v>1.7935736647377375E-5</v>
      </c>
      <c r="DM262" s="4">
        <f t="shared" si="769"/>
        <v>8.1771388151947182</v>
      </c>
      <c r="DN262" s="4">
        <f t="shared" si="668"/>
        <v>0.43639983382852249</v>
      </c>
      <c r="DO262" s="4">
        <f t="shared" si="669"/>
        <v>5.8688796130071648</v>
      </c>
      <c r="DP262" s="4">
        <f t="shared" si="670"/>
        <v>7.1174580141854262</v>
      </c>
      <c r="DQ262" s="4">
        <f t="shared" si="671"/>
        <v>7.7603820959198675</v>
      </c>
      <c r="DR262" s="38">
        <f t="shared" si="684"/>
        <v>584.53844856438468</v>
      </c>
      <c r="DS262" s="4">
        <f t="shared" si="609"/>
        <v>1.0001104721941727</v>
      </c>
      <c r="DT262" s="4">
        <f t="shared" si="672"/>
        <v>2.2360679774997898</v>
      </c>
      <c r="DU262" s="4">
        <f t="shared" si="618"/>
        <v>324.66631363626226</v>
      </c>
      <c r="DY262" s="4">
        <f t="shared" si="785"/>
        <v>0.85</v>
      </c>
      <c r="DZ262" s="4">
        <f t="shared" si="610"/>
        <v>0.85</v>
      </c>
      <c r="EA262" s="4">
        <f t="shared" si="685"/>
        <v>0.99062499999999998</v>
      </c>
      <c r="EB262" s="4">
        <f t="shared" si="611"/>
        <v>0.84203125000000001</v>
      </c>
      <c r="ED262" s="4">
        <f t="shared" si="686"/>
        <v>549.38709063418594</v>
      </c>
      <c r="EE262" s="25">
        <f t="shared" si="687"/>
        <v>320.9996035257974</v>
      </c>
      <c r="EG262" s="4">
        <f t="shared" si="619"/>
        <v>0.7157265625</v>
      </c>
      <c r="EH262" s="4">
        <f t="shared" si="688"/>
        <v>8.1771388151947182</v>
      </c>
      <c r="EK262" s="4">
        <f t="shared" si="673"/>
        <v>56.796126628494655</v>
      </c>
      <c r="EL262" s="4">
        <f t="shared" si="674"/>
        <v>2.2360679774997898</v>
      </c>
      <c r="EM262" s="4">
        <f t="shared" si="675"/>
        <v>0.15298856487151113</v>
      </c>
      <c r="EP262" s="4">
        <f t="shared" si="759"/>
        <v>0.15298856487151113</v>
      </c>
      <c r="EQ262" s="4">
        <f t="shared" si="721"/>
        <v>0.43567156383973532</v>
      </c>
      <c r="ER262" s="4">
        <f t="shared" si="770"/>
        <v>5.8649600234176082</v>
      </c>
      <c r="ES262" s="4">
        <f t="shared" si="743"/>
        <v>7.1158441858875401</v>
      </c>
      <c r="ET262" s="4">
        <f t="shared" si="771"/>
        <v>120.55937337150536</v>
      </c>
      <c r="EU262" s="4">
        <f t="shared" si="772"/>
        <v>59.118499999999983</v>
      </c>
      <c r="EV262" s="4">
        <f t="shared" si="612"/>
        <v>1.7935736647377372E-5</v>
      </c>
      <c r="EW262" s="4">
        <f t="shared" si="744"/>
        <v>7.7605034136751785</v>
      </c>
      <c r="EX262" s="4">
        <f t="shared" si="636"/>
        <v>584.47388045237449</v>
      </c>
      <c r="FG262" s="23">
        <f t="shared" si="778"/>
        <v>2.2000000000000002</v>
      </c>
      <c r="FH262" s="23">
        <f t="shared" si="778"/>
        <v>1.2</v>
      </c>
      <c r="FI262" s="23">
        <f t="shared" si="712"/>
        <v>1.4</v>
      </c>
      <c r="FJ262" s="23">
        <f t="shared" si="779"/>
        <v>1.8</v>
      </c>
      <c r="FK262" s="23">
        <f t="shared" si="779"/>
        <v>1.2</v>
      </c>
      <c r="FL262" s="23">
        <f t="shared" si="779"/>
        <v>1.2</v>
      </c>
      <c r="FM262" s="23">
        <f t="shared" si="701"/>
        <v>0</v>
      </c>
      <c r="FN262" s="23"/>
      <c r="FX262" s="4">
        <f t="shared" si="613"/>
        <v>1</v>
      </c>
      <c r="FY262" s="4">
        <f t="shared" si="652"/>
        <v>0.44</v>
      </c>
      <c r="FZ262" s="4">
        <f t="shared" si="614"/>
        <v>0.3</v>
      </c>
      <c r="GA262" s="4">
        <f t="shared" si="615"/>
        <v>534.23129537055752</v>
      </c>
    </row>
    <row r="263" spans="1:183" ht="12" hidden="1" customHeight="1" x14ac:dyDescent="0.3">
      <c r="A263" s="25">
        <v>245</v>
      </c>
      <c r="B263" s="4" t="s">
        <v>605</v>
      </c>
      <c r="C263" s="4">
        <v>2016</v>
      </c>
      <c r="D263" s="4" t="s">
        <v>309</v>
      </c>
      <c r="E263" s="24" t="s">
        <v>663</v>
      </c>
      <c r="F263" s="7" t="s">
        <v>398</v>
      </c>
      <c r="G263" s="38">
        <f t="shared" si="745"/>
        <v>827.58620689655174</v>
      </c>
      <c r="H263" s="38">
        <f>9.06*25.4</f>
        <v>230.124</v>
      </c>
      <c r="I263" s="4">
        <f t="shared" si="746"/>
        <v>230.124</v>
      </c>
      <c r="J263" s="38">
        <f>6440/145</f>
        <v>44.413793103448278</v>
      </c>
      <c r="K263" s="38">
        <f t="shared" si="747"/>
        <v>25.4</v>
      </c>
      <c r="L263" s="7">
        <f t="shared" si="748"/>
        <v>9.06</v>
      </c>
      <c r="M263" s="7">
        <f t="shared" si="749"/>
        <v>9.06</v>
      </c>
      <c r="N263" s="38">
        <f>18.6*25.4</f>
        <v>472.44</v>
      </c>
      <c r="O263" s="38">
        <f>3.45*25.4</f>
        <v>87.63</v>
      </c>
      <c r="P263" s="39">
        <f>3.7*25.4</f>
        <v>93.98</v>
      </c>
      <c r="Q263" s="7">
        <f t="shared" si="750"/>
        <v>246.38</v>
      </c>
      <c r="R263" s="38">
        <v>2</v>
      </c>
      <c r="S263" s="4">
        <f t="shared" si="722"/>
        <v>260.34999999999997</v>
      </c>
      <c r="T263" s="7">
        <f t="shared" si="751"/>
        <v>3.95</v>
      </c>
      <c r="U263" s="7">
        <f t="shared" si="631"/>
        <v>3.95</v>
      </c>
      <c r="V263" s="38">
        <v>4</v>
      </c>
      <c r="W263" s="4">
        <f t="shared" si="752"/>
        <v>4</v>
      </c>
      <c r="X263" s="4">
        <f t="shared" si="753"/>
        <v>5</v>
      </c>
      <c r="Y263" s="7">
        <f t="shared" si="754"/>
        <v>56.796126628494655</v>
      </c>
      <c r="AB263" s="38">
        <f t="shared" si="786"/>
        <v>703.44827586206907</v>
      </c>
      <c r="AC263" s="4">
        <v>102</v>
      </c>
      <c r="AD263" s="4">
        <f t="shared" si="666"/>
        <v>1.0255837865554474</v>
      </c>
      <c r="AE263" s="38">
        <f t="shared" ref="AE263" si="791">0.375*25.4</f>
        <v>9.5249999999999986</v>
      </c>
      <c r="AF263" s="38">
        <v>10</v>
      </c>
      <c r="AG263" s="39">
        <f>3*25.4</f>
        <v>76.199999999999989</v>
      </c>
      <c r="AH263" s="39">
        <v>3</v>
      </c>
      <c r="AI263" s="39">
        <v>1</v>
      </c>
      <c r="AJ263" s="7"/>
      <c r="AK263" s="4">
        <f t="shared" si="755"/>
        <v>230.124</v>
      </c>
      <c r="AL263" s="4">
        <f t="shared" si="678"/>
        <v>0.6843267108167771</v>
      </c>
      <c r="AM263" s="4">
        <f t="shared" si="679"/>
        <v>229.56966143640747</v>
      </c>
      <c r="AN263" s="4">
        <f t="shared" si="680"/>
        <v>0.78719646799116993</v>
      </c>
      <c r="AO263" s="4">
        <v>1.25</v>
      </c>
      <c r="AP263" s="4">
        <f t="shared" si="624"/>
        <v>2.5</v>
      </c>
      <c r="AQ263" s="38">
        <f t="shared" si="723"/>
        <v>386.46586822990668</v>
      </c>
      <c r="AR263" s="38">
        <f t="shared" si="682"/>
        <v>386.46586822990668</v>
      </c>
      <c r="AS263" s="38">
        <f t="shared" si="683"/>
        <v>3.7624132755662103</v>
      </c>
      <c r="AT263" s="38">
        <f t="shared" si="626"/>
        <v>386.46586822990719</v>
      </c>
      <c r="AU263" s="38">
        <f t="shared" si="601"/>
        <v>0.99999999999999867</v>
      </c>
      <c r="AV263" s="38">
        <f t="shared" si="715"/>
        <v>1.8157824240691325</v>
      </c>
      <c r="AW263" s="4">
        <f t="shared" si="707"/>
        <v>0</v>
      </c>
      <c r="AX263" s="4">
        <f t="shared" si="756"/>
        <v>317.78509906100612</v>
      </c>
      <c r="AY263" s="4">
        <f t="shared" si="724"/>
        <v>1</v>
      </c>
      <c r="AZ263" s="38">
        <f t="shared" si="617"/>
        <v>701.73793103448281</v>
      </c>
      <c r="BA263" s="4">
        <f t="shared" si="725"/>
        <v>0.44000000000000006</v>
      </c>
      <c r="BB263" s="4">
        <f t="shared" si="726"/>
        <v>73.058794274125319</v>
      </c>
      <c r="BC263" s="4">
        <f t="shared" si="727"/>
        <v>774.79672530860807</v>
      </c>
      <c r="BE263" s="4">
        <f t="shared" si="627"/>
        <v>1.5</v>
      </c>
      <c r="BF263" s="4">
        <f t="shared" si="628"/>
        <v>571.60279357923548</v>
      </c>
      <c r="BH263" s="4">
        <f t="shared" si="633"/>
        <v>673.05249281901524</v>
      </c>
      <c r="BI263" s="4">
        <f t="shared" si="780"/>
        <v>0</v>
      </c>
      <c r="BJ263" s="4">
        <f t="shared" si="635"/>
        <v>0</v>
      </c>
      <c r="BR263" s="4">
        <f t="shared" si="728"/>
        <v>87.63</v>
      </c>
      <c r="BV263" s="9"/>
      <c r="BX263" s="9"/>
      <c r="BY263" s="9"/>
      <c r="BZ263" s="9">
        <f t="shared" si="729"/>
        <v>87.63</v>
      </c>
      <c r="CA263" s="9">
        <f t="shared" si="730"/>
        <v>123.19</v>
      </c>
      <c r="CB263" s="9">
        <f t="shared" si="604"/>
        <v>1.9547802569983255</v>
      </c>
      <c r="CC263" s="40">
        <f t="shared" si="757"/>
        <v>20</v>
      </c>
      <c r="CD263" s="9">
        <f t="shared" si="731"/>
        <v>0.05</v>
      </c>
      <c r="CE263" s="9">
        <f t="shared" si="732"/>
        <v>0.8</v>
      </c>
      <c r="CF263" s="9">
        <f t="shared" si="733"/>
        <v>0.99524931562137331</v>
      </c>
      <c r="CG263" s="9">
        <f t="shared" si="734"/>
        <v>0.68</v>
      </c>
      <c r="CH263" s="9">
        <f t="shared" si="606"/>
        <v>1.5785842929910907</v>
      </c>
      <c r="CI263" s="9">
        <f t="shared" si="607"/>
        <v>3.9464607324777266</v>
      </c>
      <c r="CJ263" s="40">
        <v>1</v>
      </c>
      <c r="CK263" s="9">
        <f t="shared" si="608"/>
        <v>379.80738089365639</v>
      </c>
      <c r="CM263" s="4">
        <f t="shared" si="735"/>
        <v>2.2135974214669707</v>
      </c>
      <c r="CN263" s="4">
        <f t="shared" si="736"/>
        <v>0.90791333117970996</v>
      </c>
      <c r="CO263" s="4">
        <f t="shared" si="708"/>
        <v>1.2306592685757356</v>
      </c>
      <c r="CP263" s="4">
        <f t="shared" si="737"/>
        <v>1.8521184980842436</v>
      </c>
      <c r="CQ263" s="4">
        <f t="shared" si="694"/>
        <v>1.0255837865554474</v>
      </c>
      <c r="CR263" s="4">
        <f t="shared" si="695"/>
        <v>1.0953486974677027</v>
      </c>
      <c r="CS263" s="4">
        <f t="shared" si="709"/>
        <v>1.327132930109501</v>
      </c>
      <c r="CT263" s="4">
        <f t="shared" si="758"/>
        <v>10</v>
      </c>
      <c r="DA263" s="4">
        <f t="shared" si="787"/>
        <v>2.2135974214669707</v>
      </c>
      <c r="DB263" s="4">
        <f t="shared" si="787"/>
        <v>0.90791333117970996</v>
      </c>
      <c r="DC263" s="4">
        <f t="shared" si="788"/>
        <v>1.8521184980842436</v>
      </c>
      <c r="DD263" s="4">
        <f t="shared" si="789"/>
        <v>1.327132930109501</v>
      </c>
      <c r="DE263" s="4">
        <f t="shared" si="790"/>
        <v>1.0255837865554474</v>
      </c>
      <c r="DF263" s="4">
        <f t="shared" si="790"/>
        <v>1.0953486974677027</v>
      </c>
      <c r="DI263" s="4">
        <f t="shared" si="742"/>
        <v>230.124</v>
      </c>
      <c r="DL263" s="4">
        <f t="shared" si="667"/>
        <v>1.7835275850587528E-5</v>
      </c>
      <c r="DM263" s="4">
        <f t="shared" si="769"/>
        <v>9.5695859688824623</v>
      </c>
      <c r="DN263" s="4">
        <f t="shared" si="668"/>
        <v>0.48074954631931027</v>
      </c>
      <c r="DO263" s="4">
        <f t="shared" si="669"/>
        <v>7.1393833409390375</v>
      </c>
      <c r="DP263" s="4">
        <f t="shared" si="670"/>
        <v>8.4425686834085472</v>
      </c>
      <c r="DQ263" s="4">
        <f t="shared" si="671"/>
        <v>9.0089963326407201</v>
      </c>
      <c r="DR263" s="38">
        <f t="shared" si="684"/>
        <v>685.90034776650373</v>
      </c>
      <c r="DS263" s="4">
        <f t="shared" si="609"/>
        <v>1.0001134871288546</v>
      </c>
      <c r="DT263" s="4">
        <f t="shared" si="672"/>
        <v>2.2360679774997898</v>
      </c>
      <c r="DU263" s="4">
        <f t="shared" si="618"/>
        <v>386.46586822990719</v>
      </c>
      <c r="DY263" s="4">
        <f t="shared" si="785"/>
        <v>0.85</v>
      </c>
      <c r="DZ263" s="4">
        <f t="shared" si="610"/>
        <v>0.755</v>
      </c>
      <c r="EA263" s="4">
        <f t="shared" si="685"/>
        <v>0.99062499999999998</v>
      </c>
      <c r="EB263" s="4">
        <f t="shared" si="611"/>
        <v>0.74792187499999996</v>
      </c>
      <c r="ED263" s="4">
        <f t="shared" si="686"/>
        <v>642.21400681659259</v>
      </c>
      <c r="EE263" s="25">
        <f t="shared" si="687"/>
        <v>382.11266018236722</v>
      </c>
      <c r="EG263" s="4">
        <f t="shared" si="619"/>
        <v>0.63573359374999994</v>
      </c>
      <c r="EH263" s="4">
        <f t="shared" si="688"/>
        <v>9.5695859688824623</v>
      </c>
      <c r="EK263" s="4">
        <f t="shared" si="673"/>
        <v>56.796126628494655</v>
      </c>
      <c r="EL263" s="4">
        <f t="shared" si="674"/>
        <v>2.2360679774997898</v>
      </c>
      <c r="EM263" s="4">
        <f t="shared" si="675"/>
        <v>0.17519152014128195</v>
      </c>
      <c r="EP263" s="4">
        <f t="shared" si="759"/>
        <v>0.17519152014128195</v>
      </c>
      <c r="EQ263" s="4">
        <f t="shared" si="721"/>
        <v>0.47994726492603873</v>
      </c>
      <c r="ER263" s="4">
        <f t="shared" si="770"/>
        <v>7.1346152328052508</v>
      </c>
      <c r="ES263" s="4">
        <f t="shared" si="743"/>
        <v>8.4405545920590228</v>
      </c>
      <c r="ET263" s="4">
        <f t="shared" si="771"/>
        <v>115.79687337150534</v>
      </c>
      <c r="EU263" s="4">
        <f t="shared" si="772"/>
        <v>57.531000000000006</v>
      </c>
      <c r="EV263" s="4">
        <f t="shared" si="612"/>
        <v>1.7835275850587531E-5</v>
      </c>
      <c r="EW263" s="4">
        <f t="shared" si="744"/>
        <v>9.0091667133943858</v>
      </c>
      <c r="EX263" s="4">
        <f t="shared" si="636"/>
        <v>685.82251573828876</v>
      </c>
      <c r="FG263" s="23">
        <f t="shared" si="778"/>
        <v>2.2000000000000002</v>
      </c>
      <c r="FH263" s="23">
        <f t="shared" si="778"/>
        <v>1</v>
      </c>
      <c r="FI263" s="23">
        <f t="shared" si="712"/>
        <v>1.4</v>
      </c>
      <c r="FJ263" s="23">
        <f t="shared" si="779"/>
        <v>2</v>
      </c>
      <c r="FK263" s="23">
        <f t="shared" si="779"/>
        <v>1.2</v>
      </c>
      <c r="FL263" s="23">
        <f t="shared" si="779"/>
        <v>1.2</v>
      </c>
      <c r="FM263" s="23">
        <f t="shared" si="701"/>
        <v>0</v>
      </c>
      <c r="FN263" s="23"/>
      <c r="FX263" s="4">
        <f t="shared" si="613"/>
        <v>1</v>
      </c>
      <c r="FY263" s="4">
        <f t="shared" si="652"/>
        <v>0.44</v>
      </c>
      <c r="FZ263" s="4">
        <f t="shared" si="614"/>
        <v>0.3</v>
      </c>
      <c r="GA263" s="4">
        <f t="shared" si="615"/>
        <v>530.05110483094404</v>
      </c>
    </row>
    <row r="264" spans="1:183" ht="12" hidden="1" customHeight="1" x14ac:dyDescent="0.3">
      <c r="A264" s="25">
        <v>246</v>
      </c>
      <c r="B264" s="4" t="s">
        <v>605</v>
      </c>
      <c r="C264" s="4">
        <v>2016</v>
      </c>
      <c r="D264" s="4" t="s">
        <v>309</v>
      </c>
      <c r="E264" s="24" t="s">
        <v>663</v>
      </c>
      <c r="F264" s="7" t="s">
        <v>399</v>
      </c>
      <c r="G264" s="38">
        <f t="shared" si="745"/>
        <v>827.58620689655174</v>
      </c>
      <c r="H264" s="38">
        <f>9.25*25.4</f>
        <v>234.95</v>
      </c>
      <c r="I264" s="4">
        <f t="shared" si="746"/>
        <v>234.95</v>
      </c>
      <c r="J264" s="38">
        <f>6440/145</f>
        <v>44.413793103448278</v>
      </c>
      <c r="K264" s="38">
        <f t="shared" si="747"/>
        <v>25.4</v>
      </c>
      <c r="L264" s="7">
        <f t="shared" si="748"/>
        <v>9.25</v>
      </c>
      <c r="M264" s="7">
        <f t="shared" si="749"/>
        <v>9.25</v>
      </c>
      <c r="N264" s="38">
        <f>16.6*25.4</f>
        <v>421.64</v>
      </c>
      <c r="O264" s="38">
        <f>2.55*25.4</f>
        <v>64.77</v>
      </c>
      <c r="P264" s="39">
        <f>3.35*25.4</f>
        <v>85.09</v>
      </c>
      <c r="Q264" s="7">
        <f t="shared" si="750"/>
        <v>241.29999999999998</v>
      </c>
      <c r="R264" s="38">
        <v>2</v>
      </c>
      <c r="S264" s="4">
        <f t="shared" si="722"/>
        <v>260.34999999999997</v>
      </c>
      <c r="T264" s="7">
        <f t="shared" si="751"/>
        <v>3.05</v>
      </c>
      <c r="U264" s="7">
        <f t="shared" si="631"/>
        <v>3.05</v>
      </c>
      <c r="V264" s="38">
        <v>4</v>
      </c>
      <c r="W264" s="4">
        <f t="shared" si="752"/>
        <v>4</v>
      </c>
      <c r="X264" s="4">
        <f t="shared" si="753"/>
        <v>5</v>
      </c>
      <c r="Y264" s="7">
        <f t="shared" si="754"/>
        <v>56.796126628494655</v>
      </c>
      <c r="AB264" s="38">
        <f t="shared" si="786"/>
        <v>790.34482758620686</v>
      </c>
      <c r="AC264" s="4">
        <v>114.6</v>
      </c>
      <c r="AD264" s="4">
        <f t="shared" si="666"/>
        <v>1.2622199993298189</v>
      </c>
      <c r="AE264" s="38">
        <f>0.5*25.4</f>
        <v>12.7</v>
      </c>
      <c r="AF264" s="38">
        <v>8</v>
      </c>
      <c r="AG264" s="39">
        <f>4*25.4</f>
        <v>101.6</v>
      </c>
      <c r="AH264" s="39">
        <v>2</v>
      </c>
      <c r="AI264" s="39">
        <v>1</v>
      </c>
      <c r="AJ264" s="7"/>
      <c r="AK264" s="4">
        <f t="shared" si="755"/>
        <v>234.95</v>
      </c>
      <c r="AL264" s="4">
        <f t="shared" si="678"/>
        <v>0.59819819819819819</v>
      </c>
      <c r="AM264" s="4">
        <f t="shared" si="679"/>
        <v>236.82895372126541</v>
      </c>
      <c r="AN264" s="4">
        <f t="shared" si="680"/>
        <v>0.76594594594594589</v>
      </c>
      <c r="AO264" s="4">
        <v>1.25</v>
      </c>
      <c r="AP264" s="4">
        <f t="shared" si="624"/>
        <v>2.5</v>
      </c>
      <c r="AQ264" s="38">
        <f t="shared" si="723"/>
        <v>339.10019571599395</v>
      </c>
      <c r="AR264" s="38">
        <f t="shared" si="682"/>
        <v>339.10019571599395</v>
      </c>
      <c r="AS264" s="38">
        <f t="shared" si="683"/>
        <v>3.7624132755662103</v>
      </c>
      <c r="AT264" s="38">
        <f t="shared" si="626"/>
        <v>339.10019571599406</v>
      </c>
      <c r="AU264" s="38">
        <f t="shared" si="601"/>
        <v>0.99999999999999967</v>
      </c>
      <c r="AV264" s="38">
        <f t="shared" si="715"/>
        <v>1.5979002156515476</v>
      </c>
      <c r="AW264" s="4">
        <f t="shared" si="707"/>
        <v>0</v>
      </c>
      <c r="AX264" s="4">
        <f t="shared" si="756"/>
        <v>324.44946648060778</v>
      </c>
      <c r="AY264" s="4">
        <f t="shared" si="724"/>
        <v>1</v>
      </c>
      <c r="AZ264" s="38">
        <f t="shared" si="617"/>
        <v>541.84827586206893</v>
      </c>
      <c r="BA264" s="4">
        <f t="shared" si="725"/>
        <v>0.44000000000000006</v>
      </c>
      <c r="BB264" s="4">
        <f t="shared" si="726"/>
        <v>74.590932343891737</v>
      </c>
      <c r="BC264" s="4">
        <f t="shared" si="727"/>
        <v>616.43920820596065</v>
      </c>
      <c r="BE264" s="4">
        <f t="shared" si="627"/>
        <v>1.5</v>
      </c>
      <c r="BF264" s="4">
        <f t="shared" si="628"/>
        <v>577.300827722995</v>
      </c>
      <c r="BH264" s="4">
        <f t="shared" si="633"/>
        <v>519.69876027797375</v>
      </c>
      <c r="BI264" s="4">
        <f t="shared" si="780"/>
        <v>0</v>
      </c>
      <c r="BJ264" s="4">
        <f t="shared" si="635"/>
        <v>0</v>
      </c>
      <c r="BR264" s="4">
        <f t="shared" si="728"/>
        <v>64.77</v>
      </c>
      <c r="BV264" s="9"/>
      <c r="BX264" s="9"/>
      <c r="BY264" s="9"/>
      <c r="BZ264" s="9">
        <f t="shared" si="729"/>
        <v>64.77</v>
      </c>
      <c r="CA264" s="9">
        <f t="shared" si="730"/>
        <v>120.64999999999999</v>
      </c>
      <c r="CB264" s="9">
        <f t="shared" si="604"/>
        <v>1.753045162204804</v>
      </c>
      <c r="CC264" s="40">
        <f t="shared" si="757"/>
        <v>20</v>
      </c>
      <c r="CD264" s="9">
        <f t="shared" si="731"/>
        <v>0.05</v>
      </c>
      <c r="CE264" s="9">
        <f t="shared" si="732"/>
        <v>0.8</v>
      </c>
      <c r="CF264" s="9">
        <f t="shared" si="733"/>
        <v>0.99524931562137331</v>
      </c>
      <c r="CG264" s="9">
        <f t="shared" si="734"/>
        <v>0.68</v>
      </c>
      <c r="CH264" s="9">
        <f t="shared" si="606"/>
        <v>1.5785842929910907</v>
      </c>
      <c r="CI264" s="9">
        <f t="shared" si="607"/>
        <v>3.9464607324777266</v>
      </c>
      <c r="CJ264" s="40">
        <v>1</v>
      </c>
      <c r="CK264" s="9">
        <f t="shared" si="608"/>
        <v>382.80669105033951</v>
      </c>
      <c r="CM264" s="4">
        <f t="shared" si="735"/>
        <v>2.4359566257244731</v>
      </c>
      <c r="CN264" s="4">
        <f t="shared" si="736"/>
        <v>1.2821131703909106</v>
      </c>
      <c r="CO264" s="4">
        <f t="shared" si="708"/>
        <v>1.36903463434048</v>
      </c>
      <c r="CP264" s="4">
        <f t="shared" si="737"/>
        <v>2.0646055726394699</v>
      </c>
      <c r="CQ264" s="4">
        <f t="shared" si="694"/>
        <v>1.2622199993298189</v>
      </c>
      <c r="CR264" s="4">
        <f t="shared" si="695"/>
        <v>1.3410351127446876</v>
      </c>
      <c r="CS264" s="4">
        <f t="shared" si="709"/>
        <v>1.4604454373528053</v>
      </c>
      <c r="CT264" s="4">
        <f t="shared" si="758"/>
        <v>8</v>
      </c>
      <c r="DA264" s="4">
        <f t="shared" si="787"/>
        <v>2.4359566257244731</v>
      </c>
      <c r="DB264" s="4">
        <f t="shared" si="787"/>
        <v>1.2821131703909106</v>
      </c>
      <c r="DC264" s="4">
        <f t="shared" si="788"/>
        <v>2.0646055726394699</v>
      </c>
      <c r="DD264" s="4">
        <f t="shared" si="789"/>
        <v>1.4604454373528053</v>
      </c>
      <c r="DE264" s="4">
        <f t="shared" si="790"/>
        <v>1.2622199993298189</v>
      </c>
      <c r="DF264" s="4">
        <f t="shared" si="790"/>
        <v>1.3410351127446876</v>
      </c>
      <c r="DI264" s="4">
        <f t="shared" si="742"/>
        <v>234.95</v>
      </c>
      <c r="DL264" s="4">
        <f t="shared" si="667"/>
        <v>1.8209304814341571E-5</v>
      </c>
      <c r="DM264" s="4">
        <f t="shared" si="769"/>
        <v>9.1569520944446019</v>
      </c>
      <c r="DN264" s="4">
        <f t="shared" si="668"/>
        <v>0.42182836480212033</v>
      </c>
      <c r="DO264" s="4">
        <f t="shared" si="669"/>
        <v>6.4834363846303589</v>
      </c>
      <c r="DP264" s="4">
        <f t="shared" si="670"/>
        <v>7.9339449877808761</v>
      </c>
      <c r="DQ264" s="4">
        <f t="shared" si="671"/>
        <v>8.6336377842407881</v>
      </c>
      <c r="DR264" s="38">
        <f t="shared" si="684"/>
        <v>626.15457527676938</v>
      </c>
      <c r="DS264" s="4">
        <f t="shared" si="609"/>
        <v>1.0001126918088037</v>
      </c>
      <c r="DT264" s="4">
        <f t="shared" si="672"/>
        <v>2.2360679774997898</v>
      </c>
      <c r="DU264" s="4">
        <f t="shared" si="618"/>
        <v>339.10019571599406</v>
      </c>
      <c r="DY264" s="4">
        <f t="shared" si="785"/>
        <v>0.85</v>
      </c>
      <c r="DZ264" s="4">
        <f t="shared" si="610"/>
        <v>0.84499999999999997</v>
      </c>
      <c r="EA264" s="4">
        <f t="shared" si="685"/>
        <v>0.92500000000000004</v>
      </c>
      <c r="EB264" s="4">
        <f t="shared" si="611"/>
        <v>0.78162500000000001</v>
      </c>
      <c r="ED264" s="4">
        <f t="shared" si="686"/>
        <v>589.35431300423852</v>
      </c>
      <c r="EE264" s="25">
        <f t="shared" si="687"/>
        <v>335.24889238340086</v>
      </c>
      <c r="EG264" s="4">
        <f t="shared" si="619"/>
        <v>0.66438125000000003</v>
      </c>
      <c r="EH264" s="4">
        <f t="shared" si="688"/>
        <v>9.1569520944446019</v>
      </c>
      <c r="EK264" s="4">
        <f t="shared" si="673"/>
        <v>56.796126628494655</v>
      </c>
      <c r="EL264" s="4">
        <f t="shared" si="674"/>
        <v>2.2360679774997898</v>
      </c>
      <c r="EM264" s="4">
        <f t="shared" si="675"/>
        <v>0.15371985898726231</v>
      </c>
      <c r="EP264" s="4">
        <f t="shared" si="759"/>
        <v>0.15371985898726231</v>
      </c>
      <c r="EQ264" s="4">
        <f t="shared" si="721"/>
        <v>0.42112441187938565</v>
      </c>
      <c r="ER264" s="4">
        <f t="shared" si="770"/>
        <v>6.4791063571918306</v>
      </c>
      <c r="ES264" s="4">
        <f t="shared" si="743"/>
        <v>7.9321784362025918</v>
      </c>
      <c r="ET264" s="4">
        <f t="shared" si="771"/>
        <v>119.41637337150533</v>
      </c>
      <c r="EU264" s="4">
        <f t="shared" si="772"/>
        <v>58.737500000000011</v>
      </c>
      <c r="EV264" s="4">
        <f t="shared" si="612"/>
        <v>1.8209304814341575E-5</v>
      </c>
      <c r="EW264" s="4">
        <f t="shared" si="744"/>
        <v>8.6337886697182409</v>
      </c>
      <c r="EX264" s="4">
        <f t="shared" si="636"/>
        <v>626.08402073600962</v>
      </c>
      <c r="FG264" s="23">
        <f t="shared" si="778"/>
        <v>2.2000000000000002</v>
      </c>
      <c r="FH264" s="23">
        <f t="shared" si="778"/>
        <v>1.4</v>
      </c>
      <c r="FI264" s="23">
        <f t="shared" si="712"/>
        <v>1.6</v>
      </c>
      <c r="FJ264" s="23">
        <f t="shared" si="779"/>
        <v>2.2000000000000002</v>
      </c>
      <c r="FK264" s="23">
        <f t="shared" si="779"/>
        <v>1.4</v>
      </c>
      <c r="FL264" s="23">
        <f t="shared" si="779"/>
        <v>1.4</v>
      </c>
      <c r="FM264" s="23">
        <f t="shared" si="701"/>
        <v>0</v>
      </c>
      <c r="FN264" s="23"/>
      <c r="FX264" s="4">
        <f t="shared" si="613"/>
        <v>1</v>
      </c>
      <c r="FY264" s="4">
        <f t="shared" si="652"/>
        <v>0.44</v>
      </c>
      <c r="FZ264" s="4">
        <f t="shared" si="614"/>
        <v>0.3</v>
      </c>
      <c r="GA264" s="4">
        <f t="shared" si="615"/>
        <v>541.16696685278509</v>
      </c>
    </row>
    <row r="265" spans="1:183" ht="12" hidden="1" customHeight="1" x14ac:dyDescent="0.3">
      <c r="A265" s="25">
        <v>247</v>
      </c>
      <c r="B265" s="4" t="s">
        <v>605</v>
      </c>
      <c r="C265" s="4">
        <v>2016</v>
      </c>
      <c r="D265" s="4" t="s">
        <v>309</v>
      </c>
      <c r="E265" s="24" t="s">
        <v>663</v>
      </c>
      <c r="F265" s="7" t="s">
        <v>400</v>
      </c>
      <c r="G265" s="38">
        <f t="shared" si="745"/>
        <v>827.58620689655174</v>
      </c>
      <c r="H265" s="38">
        <f>9.25*25.4</f>
        <v>234.95</v>
      </c>
      <c r="I265" s="4">
        <f t="shared" si="746"/>
        <v>234.95</v>
      </c>
      <c r="J265" s="38">
        <f>6210/145</f>
        <v>42.827586206896555</v>
      </c>
      <c r="K265" s="38">
        <f t="shared" si="747"/>
        <v>25.4</v>
      </c>
      <c r="L265" s="7">
        <f t="shared" si="748"/>
        <v>9.25</v>
      </c>
      <c r="M265" s="7">
        <f t="shared" si="749"/>
        <v>9.25</v>
      </c>
      <c r="N265" s="38">
        <f>18.6*25.4</f>
        <v>472.44</v>
      </c>
      <c r="O265" s="38">
        <f>3.45*25.4</f>
        <v>87.63</v>
      </c>
      <c r="P265" s="39">
        <f>3.45*25.4</f>
        <v>87.63</v>
      </c>
      <c r="Q265" s="7">
        <f t="shared" si="750"/>
        <v>246.38</v>
      </c>
      <c r="R265" s="38">
        <v>2</v>
      </c>
      <c r="S265" s="4">
        <f t="shared" si="722"/>
        <v>260.34999999999997</v>
      </c>
      <c r="T265" s="7">
        <f t="shared" si="751"/>
        <v>3.95</v>
      </c>
      <c r="U265" s="7">
        <f t="shared" si="631"/>
        <v>3.95</v>
      </c>
      <c r="V265" s="38">
        <v>4</v>
      </c>
      <c r="W265" s="4">
        <f t="shared" si="752"/>
        <v>4</v>
      </c>
      <c r="X265" s="4">
        <f t="shared" si="753"/>
        <v>5</v>
      </c>
      <c r="Y265" s="7">
        <f t="shared" si="754"/>
        <v>56.796126628494655</v>
      </c>
      <c r="AB265" s="38">
        <f t="shared" si="786"/>
        <v>747.58620689655186</v>
      </c>
      <c r="AC265" s="4">
        <v>108.4</v>
      </c>
      <c r="AD265" s="4">
        <f t="shared" si="666"/>
        <v>1.0612133921380551</v>
      </c>
      <c r="AE265" s="38">
        <f>0.5*25.4</f>
        <v>12.7</v>
      </c>
      <c r="AF265" s="38">
        <v>8</v>
      </c>
      <c r="AG265" s="39">
        <f>4*25.4</f>
        <v>101.6</v>
      </c>
      <c r="AH265" s="39">
        <v>2</v>
      </c>
      <c r="AI265" s="39">
        <v>1</v>
      </c>
      <c r="AJ265" s="7"/>
      <c r="AK265" s="4">
        <f t="shared" si="755"/>
        <v>234.95</v>
      </c>
      <c r="AL265" s="4">
        <f t="shared" si="678"/>
        <v>0.67027027027027031</v>
      </c>
      <c r="AM265" s="4">
        <f t="shared" si="679"/>
        <v>232.56141582533411</v>
      </c>
      <c r="AN265" s="4">
        <f t="shared" si="680"/>
        <v>0.78540540540540538</v>
      </c>
      <c r="AO265" s="4">
        <v>1.25</v>
      </c>
      <c r="AP265" s="4">
        <f t="shared" si="624"/>
        <v>2.5</v>
      </c>
      <c r="AQ265" s="38">
        <f t="shared" si="723"/>
        <v>382.58816117679049</v>
      </c>
      <c r="AR265" s="38">
        <f t="shared" si="682"/>
        <v>382.58816117679049</v>
      </c>
      <c r="AS265" s="38">
        <f t="shared" si="683"/>
        <v>3.6722901407859458</v>
      </c>
      <c r="AT265" s="38">
        <f t="shared" si="626"/>
        <v>382.58816117679044</v>
      </c>
      <c r="AU265" s="38">
        <f t="shared" si="601"/>
        <v>1.0000000000000002</v>
      </c>
      <c r="AV265" s="38">
        <f t="shared" si="715"/>
        <v>1.7686795639143678</v>
      </c>
      <c r="AW265" s="4">
        <f t="shared" si="707"/>
        <v>0</v>
      </c>
      <c r="AX265" s="4">
        <f t="shared" si="756"/>
        <v>318.6030512861621</v>
      </c>
      <c r="AY265" s="4">
        <f t="shared" si="724"/>
        <v>1</v>
      </c>
      <c r="AZ265" s="38">
        <f t="shared" si="617"/>
        <v>676.67586206896556</v>
      </c>
      <c r="BA265" s="4">
        <f t="shared" si="725"/>
        <v>0.44000000000000006</v>
      </c>
      <c r="BB265" s="4">
        <f t="shared" si="726"/>
        <v>73.246841490688666</v>
      </c>
      <c r="BC265" s="4">
        <f t="shared" si="727"/>
        <v>749.92270355965422</v>
      </c>
      <c r="BE265" s="4">
        <f t="shared" si="627"/>
        <v>1.5</v>
      </c>
      <c r="BF265" s="4">
        <f t="shared" si="628"/>
        <v>566.89815895741845</v>
      </c>
      <c r="BH265" s="4">
        <f t="shared" si="633"/>
        <v>649.01490378976473</v>
      </c>
      <c r="BI265" s="4">
        <f t="shared" si="780"/>
        <v>0</v>
      </c>
      <c r="BJ265" s="4">
        <f t="shared" si="635"/>
        <v>0</v>
      </c>
      <c r="BR265" s="4">
        <f t="shared" si="728"/>
        <v>87.63</v>
      </c>
      <c r="BV265" s="9"/>
      <c r="BX265" s="9"/>
      <c r="BY265" s="9"/>
      <c r="BZ265" s="9">
        <f t="shared" si="729"/>
        <v>87.63</v>
      </c>
      <c r="CA265" s="9">
        <f t="shared" si="730"/>
        <v>123.19</v>
      </c>
      <c r="CB265" s="9">
        <f t="shared" si="604"/>
        <v>1.9547802569983255</v>
      </c>
      <c r="CC265" s="40">
        <f t="shared" si="757"/>
        <v>20</v>
      </c>
      <c r="CD265" s="9">
        <f t="shared" si="731"/>
        <v>0.05</v>
      </c>
      <c r="CE265" s="9">
        <f t="shared" si="732"/>
        <v>0.8</v>
      </c>
      <c r="CF265" s="9">
        <f t="shared" si="733"/>
        <v>0.99524931562137331</v>
      </c>
      <c r="CG265" s="9">
        <f t="shared" si="734"/>
        <v>0.68</v>
      </c>
      <c r="CH265" s="9">
        <f t="shared" si="606"/>
        <v>1.5501390028928617</v>
      </c>
      <c r="CI265" s="9">
        <f t="shared" si="607"/>
        <v>3.8753475072321542</v>
      </c>
      <c r="CJ265" s="40">
        <v>1</v>
      </c>
      <c r="CK265" s="9">
        <f t="shared" si="608"/>
        <v>375.90870820151895</v>
      </c>
      <c r="CM265" s="4">
        <f t="shared" si="735"/>
        <v>2.3464502423270477</v>
      </c>
      <c r="CN265" s="4">
        <f t="shared" si="736"/>
        <v>0.99688435001099218</v>
      </c>
      <c r="CO265" s="4">
        <f t="shared" si="708"/>
        <v>1.3187310543950901</v>
      </c>
      <c r="CP265" s="4">
        <f t="shared" si="737"/>
        <v>1.9887440503128282</v>
      </c>
      <c r="CQ265" s="4">
        <f t="shared" si="694"/>
        <v>1.0612133921380551</v>
      </c>
      <c r="CR265" s="4">
        <f t="shared" si="695"/>
        <v>1.1378780950693508</v>
      </c>
      <c r="CS265" s="4">
        <f t="shared" si="709"/>
        <v>1.3940506960947452</v>
      </c>
      <c r="CT265" s="4">
        <f t="shared" si="758"/>
        <v>8</v>
      </c>
      <c r="DA265" s="4">
        <f t="shared" si="787"/>
        <v>2.3464502423270477</v>
      </c>
      <c r="DB265" s="4">
        <f t="shared" si="787"/>
        <v>0.99688435001099218</v>
      </c>
      <c r="DC265" s="4">
        <f t="shared" si="788"/>
        <v>1.9887440503128282</v>
      </c>
      <c r="DD265" s="4">
        <f t="shared" si="789"/>
        <v>1.3940506960947452</v>
      </c>
      <c r="DE265" s="4">
        <f t="shared" si="790"/>
        <v>1.0612133921380551</v>
      </c>
      <c r="DF265" s="4">
        <f t="shared" si="790"/>
        <v>1.1378780950693508</v>
      </c>
      <c r="DI265" s="4">
        <f t="shared" si="742"/>
        <v>234.95</v>
      </c>
      <c r="DL265" s="4">
        <f t="shared" si="667"/>
        <v>1.8022614595125072E-5</v>
      </c>
      <c r="DM265" s="4">
        <f t="shared" si="769"/>
        <v>10.040473869357923</v>
      </c>
      <c r="DN265" s="4">
        <f t="shared" si="668"/>
        <v>0.49355270134623253</v>
      </c>
      <c r="DO265" s="4">
        <f t="shared" si="669"/>
        <v>7.5698560949832281</v>
      </c>
      <c r="DP265" s="4">
        <f t="shared" si="670"/>
        <v>8.8915625174409794</v>
      </c>
      <c r="DQ265" s="4">
        <f t="shared" si="671"/>
        <v>9.400679013749011</v>
      </c>
      <c r="DR265" s="38">
        <f t="shared" si="684"/>
        <v>704.4636002853016</v>
      </c>
      <c r="DS265" s="4">
        <f t="shared" si="609"/>
        <v>1.0001190436330836</v>
      </c>
      <c r="DT265" s="4">
        <f t="shared" si="672"/>
        <v>2.2360679774997898</v>
      </c>
      <c r="DU265" s="4">
        <f t="shared" si="618"/>
        <v>382.58816117679044</v>
      </c>
      <c r="DY265" s="4">
        <f t="shared" si="785"/>
        <v>0.85</v>
      </c>
      <c r="DZ265" s="4">
        <f t="shared" si="610"/>
        <v>0.755</v>
      </c>
      <c r="EA265" s="4">
        <f t="shared" si="685"/>
        <v>0.92500000000000004</v>
      </c>
      <c r="EB265" s="4">
        <f t="shared" si="611"/>
        <v>0.7</v>
      </c>
      <c r="ED265" s="4">
        <f t="shared" si="686"/>
        <v>657.00026227413082</v>
      </c>
      <c r="EE265" s="25">
        <f t="shared" si="687"/>
        <v>378.37711239944844</v>
      </c>
      <c r="EG265" s="4">
        <f t="shared" si="619"/>
        <v>0.59499999999999997</v>
      </c>
      <c r="EH265" s="4">
        <f t="shared" si="688"/>
        <v>10.040473869357923</v>
      </c>
      <c r="EK265" s="4">
        <f t="shared" si="673"/>
        <v>56.796126628494655</v>
      </c>
      <c r="EL265" s="4">
        <f t="shared" si="674"/>
        <v>2.2360679774997898</v>
      </c>
      <c r="EM265" s="4">
        <f t="shared" si="675"/>
        <v>0.17661622488619055</v>
      </c>
      <c r="EP265" s="4">
        <f t="shared" si="759"/>
        <v>0.17661622488619055</v>
      </c>
      <c r="EQ265" s="4">
        <f t="shared" si="721"/>
        <v>0.49272905387340471</v>
      </c>
      <c r="ER265" s="4">
        <f t="shared" si="770"/>
        <v>7.5648004913415097</v>
      </c>
      <c r="ES265" s="4">
        <f t="shared" si="743"/>
        <v>8.8894123808466254</v>
      </c>
      <c r="ET265" s="4">
        <f t="shared" si="771"/>
        <v>119.41637337150533</v>
      </c>
      <c r="EU265" s="4">
        <f t="shared" si="772"/>
        <v>58.737500000000011</v>
      </c>
      <c r="EV265" s="4">
        <f t="shared" si="612"/>
        <v>1.8022614595125075E-5</v>
      </c>
      <c r="EW265" s="4">
        <f t="shared" si="744"/>
        <v>9.4008737870976802</v>
      </c>
      <c r="EX265" s="4">
        <f t="shared" si="636"/>
        <v>704.37974836098624</v>
      </c>
      <c r="FG265" s="23">
        <f t="shared" si="778"/>
        <v>2.2000000000000002</v>
      </c>
      <c r="FH265" s="23">
        <f t="shared" si="778"/>
        <v>1</v>
      </c>
      <c r="FI265" s="23">
        <f t="shared" si="712"/>
        <v>1.4</v>
      </c>
      <c r="FJ265" s="23">
        <f t="shared" si="779"/>
        <v>2</v>
      </c>
      <c r="FK265" s="23">
        <f t="shared" si="779"/>
        <v>1.2</v>
      </c>
      <c r="FL265" s="23">
        <f t="shared" si="779"/>
        <v>1.2</v>
      </c>
      <c r="FM265" s="23">
        <f t="shared" si="701"/>
        <v>0</v>
      </c>
      <c r="FN265" s="23"/>
      <c r="FX265" s="4">
        <f t="shared" si="613"/>
        <v>1</v>
      </c>
      <c r="FY265" s="4">
        <f t="shared" si="652"/>
        <v>0.44</v>
      </c>
      <c r="FZ265" s="4">
        <f t="shared" si="614"/>
        <v>0.3</v>
      </c>
      <c r="GA265" s="4">
        <f t="shared" si="615"/>
        <v>536.269024498764</v>
      </c>
    </row>
    <row r="266" spans="1:183" ht="12" hidden="1" customHeight="1" x14ac:dyDescent="0.3">
      <c r="A266" s="25">
        <v>248</v>
      </c>
      <c r="B266" s="4" t="s">
        <v>605</v>
      </c>
      <c r="C266" s="4">
        <v>2016</v>
      </c>
      <c r="D266" s="4" t="s">
        <v>309</v>
      </c>
      <c r="E266" s="24" t="s">
        <v>406</v>
      </c>
      <c r="F266" s="7" t="s">
        <v>401</v>
      </c>
      <c r="G266" s="38">
        <f>129/0.145</f>
        <v>889.65517241379314</v>
      </c>
      <c r="H266" s="38">
        <f>10.5*25.4</f>
        <v>266.7</v>
      </c>
      <c r="I266" s="4">
        <f t="shared" si="746"/>
        <v>266.7</v>
      </c>
      <c r="J266" s="38">
        <f>8450/145</f>
        <v>58.275862068965516</v>
      </c>
      <c r="K266" s="38">
        <f t="shared" si="747"/>
        <v>25.4</v>
      </c>
      <c r="L266" s="7">
        <f t="shared" si="748"/>
        <v>10.5</v>
      </c>
      <c r="M266" s="7">
        <f t="shared" si="749"/>
        <v>10.5</v>
      </c>
      <c r="N266" s="38">
        <f>16.8*25.4</f>
        <v>426.71999999999997</v>
      </c>
      <c r="O266" s="38">
        <f>2.45*25.4</f>
        <v>62.230000000000004</v>
      </c>
      <c r="P266" s="39">
        <f>3.25*25.4</f>
        <v>82.55</v>
      </c>
      <c r="Q266" s="7">
        <f t="shared" si="750"/>
        <v>251.45999999999995</v>
      </c>
      <c r="R266" s="38">
        <v>2</v>
      </c>
      <c r="S266" s="4">
        <f t="shared" si="722"/>
        <v>260.34999999999997</v>
      </c>
      <c r="T266" s="7">
        <f t="shared" si="751"/>
        <v>2.95</v>
      </c>
      <c r="U266" s="7">
        <f t="shared" si="631"/>
        <v>2.95</v>
      </c>
      <c r="V266" s="38">
        <v>4.0999999999999996</v>
      </c>
      <c r="W266" s="4">
        <f t="shared" si="752"/>
        <v>4.0999999999999996</v>
      </c>
      <c r="X266" s="4">
        <f t="shared" si="753"/>
        <v>5.0999999999999996</v>
      </c>
      <c r="Y266" s="7">
        <f t="shared" si="754"/>
        <v>57.361276136431961</v>
      </c>
      <c r="AB266" s="38">
        <f t="shared" si="786"/>
        <v>673.10344827586209</v>
      </c>
      <c r="AC266" s="4">
        <v>97.6</v>
      </c>
      <c r="AD266" s="4">
        <f t="shared" si="666"/>
        <v>0.89800579941581282</v>
      </c>
      <c r="AE266" s="38"/>
      <c r="AF266" s="38"/>
      <c r="AG266" s="39">
        <v>1</v>
      </c>
      <c r="AH266" s="39"/>
      <c r="AI266" s="39"/>
      <c r="AJ266" s="7"/>
      <c r="AK266" s="4">
        <f t="shared" si="755"/>
        <v>266.7</v>
      </c>
      <c r="AL266" s="4">
        <f t="shared" si="678"/>
        <v>0.53333333333333321</v>
      </c>
      <c r="AM266" s="4">
        <f t="shared" si="679"/>
        <v>328.0889220335178</v>
      </c>
      <c r="AN266" s="4">
        <f t="shared" si="680"/>
        <v>0.75619047619047619</v>
      </c>
      <c r="AO266" s="4">
        <v>1.25</v>
      </c>
      <c r="AP266" s="4">
        <f t="shared" si="624"/>
        <v>2.5</v>
      </c>
      <c r="AQ266" s="38">
        <f t="shared" si="723"/>
        <v>413.49619697557625</v>
      </c>
      <c r="AR266" s="38">
        <f t="shared" si="682"/>
        <v>413.49619697557625</v>
      </c>
      <c r="AS266" s="38">
        <f t="shared" si="683"/>
        <v>4.3073554520828159</v>
      </c>
      <c r="AT266" s="38">
        <f t="shared" si="626"/>
        <v>413.49619697557631</v>
      </c>
      <c r="AU266" s="38">
        <f t="shared" si="601"/>
        <v>0.99999999999999989</v>
      </c>
      <c r="AV266" s="38">
        <f t="shared" si="715"/>
        <v>1.6836861023789744</v>
      </c>
      <c r="AW266" s="4">
        <f t="shared" si="707"/>
        <v>0</v>
      </c>
      <c r="AX266" s="4">
        <f t="shared" si="756"/>
        <v>421.87136823030016</v>
      </c>
      <c r="AY266" s="4">
        <f t="shared" si="724"/>
        <v>1</v>
      </c>
      <c r="AZ266" s="38">
        <f t="shared" si="617"/>
        <v>696.1978002343368</v>
      </c>
      <c r="BA266" s="4">
        <f t="shared" si="725"/>
        <v>0.42600000000000005</v>
      </c>
      <c r="BB266" s="4">
        <f t="shared" si="726"/>
        <v>93.902238497541347</v>
      </c>
      <c r="BC266" s="4">
        <f t="shared" si="727"/>
        <v>790.10003873187816</v>
      </c>
      <c r="BE266" s="4">
        <f t="shared" si="627"/>
        <v>1.3625</v>
      </c>
      <c r="BF266" s="4">
        <f t="shared" si="628"/>
        <v>639.66999549648244</v>
      </c>
      <c r="BH266" s="4">
        <f t="shared" si="633"/>
        <v>667.73882986782667</v>
      </c>
      <c r="BI266" s="4">
        <f t="shared" si="780"/>
        <v>0</v>
      </c>
      <c r="BJ266" s="4">
        <f t="shared" si="635"/>
        <v>0</v>
      </c>
      <c r="BR266" s="4">
        <f t="shared" si="728"/>
        <v>62.230000000000004</v>
      </c>
      <c r="BV266" s="9"/>
      <c r="BX266" s="9"/>
      <c r="BY266" s="9"/>
      <c r="BZ266" s="9">
        <f t="shared" si="729"/>
        <v>62.230000000000004</v>
      </c>
      <c r="CA266" s="9">
        <f t="shared" si="730"/>
        <v>125.72999999999998</v>
      </c>
      <c r="CB266" s="9">
        <f t="shared" si="604"/>
        <v>1.7393977716706714</v>
      </c>
      <c r="CC266" s="40">
        <f t="shared" si="757"/>
        <v>0</v>
      </c>
      <c r="CD266" s="9">
        <f t="shared" si="731"/>
        <v>0</v>
      </c>
      <c r="CE266" s="9">
        <f t="shared" si="732"/>
        <v>0</v>
      </c>
      <c r="CF266" s="9">
        <f t="shared" si="733"/>
        <v>0.99524931562137331</v>
      </c>
      <c r="CG266" s="9">
        <f t="shared" si="734"/>
        <v>0.68</v>
      </c>
      <c r="CH266" s="9">
        <f t="shared" si="606"/>
        <v>1.8082280338026815</v>
      </c>
      <c r="CI266" s="9">
        <f t="shared" si="607"/>
        <v>3.1452278126688236</v>
      </c>
      <c r="CJ266" s="40">
        <v>1</v>
      </c>
      <c r="CK266" s="9">
        <f t="shared" si="608"/>
        <v>320.81323689222</v>
      </c>
      <c r="CM266" s="4">
        <f t="shared" si="735"/>
        <v>1.5955182052279357</v>
      </c>
      <c r="CN266" s="4">
        <f t="shared" si="736"/>
        <v>0.85192180139138174</v>
      </c>
      <c r="CO266" s="4">
        <f t="shared" si="708"/>
        <v>1.0522667203632556</v>
      </c>
      <c r="CP266" s="4">
        <f t="shared" si="737"/>
        <v>2.0981161961904866</v>
      </c>
      <c r="CQ266" s="4">
        <f t="shared" si="694"/>
        <v>0.89800579941581282</v>
      </c>
      <c r="CR266" s="4">
        <f t="shared" si="695"/>
        <v>0.94606036381909953</v>
      </c>
      <c r="CS266" s="4">
        <f t="shared" si="709"/>
        <v>1.4542450707802723</v>
      </c>
      <c r="CT266" s="4">
        <f t="shared" si="758"/>
        <v>0</v>
      </c>
      <c r="CU266" s="4">
        <f t="shared" ref="CU266:CV266" si="792">CM266</f>
        <v>1.5955182052279357</v>
      </c>
      <c r="CV266" s="4">
        <f t="shared" si="792"/>
        <v>0.85192180139138174</v>
      </c>
      <c r="CW266" s="4">
        <f t="shared" ref="CW266" si="793">CP266</f>
        <v>2.0981161961904866</v>
      </c>
      <c r="CX266" s="4">
        <f t="shared" ref="CX266" si="794">CS266</f>
        <v>1.4542450707802723</v>
      </c>
      <c r="CY266" s="4">
        <f t="shared" ref="CY266:CZ266" si="795">CQ266</f>
        <v>0.89800579941581282</v>
      </c>
      <c r="CZ266" s="4">
        <f t="shared" si="795"/>
        <v>0.94606036381909953</v>
      </c>
      <c r="DI266" s="4">
        <f t="shared" si="742"/>
        <v>266.7</v>
      </c>
      <c r="DL266" s="4">
        <f t="shared" si="667"/>
        <v>2.255634789357827E-5</v>
      </c>
      <c r="DM266" s="4">
        <f t="shared" si="769"/>
        <v>9.5888978004068353</v>
      </c>
      <c r="DN266" s="4">
        <f t="shared" si="668"/>
        <v>0.38626435926056812</v>
      </c>
      <c r="DO266" s="4">
        <f t="shared" si="669"/>
        <v>6.5542430902842153</v>
      </c>
      <c r="DP266" s="4">
        <f t="shared" si="670"/>
        <v>8.2134331184835929</v>
      </c>
      <c r="DQ266" s="4">
        <f t="shared" si="671"/>
        <v>8.7925846918253416</v>
      </c>
      <c r="DR266" s="38">
        <f t="shared" si="684"/>
        <v>749.5535649254623</v>
      </c>
      <c r="DS266" s="4">
        <f t="shared" si="609"/>
        <v>1.0001020253405035</v>
      </c>
      <c r="DT266" s="4">
        <f t="shared" si="672"/>
        <v>2.2583179581272428</v>
      </c>
      <c r="DU266" s="4">
        <f t="shared" si="618"/>
        <v>413.49619697557631</v>
      </c>
      <c r="DY266" s="4">
        <f t="shared" si="785"/>
        <v>0.85</v>
      </c>
      <c r="DZ266" s="4">
        <f t="shared" si="610"/>
        <v>0.85499999999999998</v>
      </c>
      <c r="EA266" s="4">
        <f t="shared" si="685"/>
        <v>1</v>
      </c>
      <c r="EB266" s="4">
        <f t="shared" si="611"/>
        <v>0.85499999999999998</v>
      </c>
      <c r="ED266" s="4">
        <f t="shared" si="686"/>
        <v>711.48044460783399</v>
      </c>
      <c r="EE266" s="25">
        <f t="shared" si="687"/>
        <v>409.43016389501861</v>
      </c>
      <c r="EG266" s="4">
        <f t="shared" si="619"/>
        <v>0.72675000000000001</v>
      </c>
      <c r="EH266" s="4">
        <f t="shared" si="688"/>
        <v>9.5888978004068353</v>
      </c>
      <c r="EK266" s="4">
        <f t="shared" si="673"/>
        <v>57.361276136431961</v>
      </c>
      <c r="EL266" s="4">
        <f t="shared" si="674"/>
        <v>2.2583179581272428</v>
      </c>
      <c r="EM266" s="4">
        <f t="shared" si="675"/>
        <v>0.16123683190916255</v>
      </c>
      <c r="EP266" s="4">
        <f t="shared" si="759"/>
        <v>0.16123683190916255</v>
      </c>
      <c r="EQ266" s="4">
        <f t="shared" si="721"/>
        <v>0.38561975603485255</v>
      </c>
      <c r="ER266" s="4">
        <f t="shared" si="770"/>
        <v>6.5498657738834565</v>
      </c>
      <c r="ES266" s="4">
        <f t="shared" si="743"/>
        <v>8.21169001258904</v>
      </c>
      <c r="ET266" s="4">
        <f t="shared" si="771"/>
        <v>142.66372386356801</v>
      </c>
      <c r="EU266" s="4">
        <f t="shared" si="772"/>
        <v>66.675000000000011</v>
      </c>
      <c r="EV266" s="4">
        <f t="shared" si="612"/>
        <v>2.2556347893578273E-5</v>
      </c>
      <c r="EW266" s="4">
        <f t="shared" si="744"/>
        <v>8.7927978079198628</v>
      </c>
      <c r="EX266" s="4">
        <f t="shared" si="636"/>
        <v>749.47709926920982</v>
      </c>
      <c r="FG266" s="23">
        <f t="shared" si="778"/>
        <v>1.6</v>
      </c>
      <c r="FH266" s="23">
        <f t="shared" si="778"/>
        <v>1</v>
      </c>
      <c r="FI266" s="23">
        <f t="shared" si="712"/>
        <v>1.6</v>
      </c>
      <c r="FJ266" s="23">
        <f t="shared" si="779"/>
        <v>2.2000000000000002</v>
      </c>
      <c r="FK266" s="23">
        <f t="shared" si="779"/>
        <v>1</v>
      </c>
      <c r="FL266" s="23">
        <f t="shared" si="779"/>
        <v>1</v>
      </c>
      <c r="FM266" s="23">
        <f t="shared" si="701"/>
        <v>0</v>
      </c>
      <c r="FN266" s="23"/>
      <c r="FX266" s="4">
        <f t="shared" si="613"/>
        <v>1.25</v>
      </c>
      <c r="FY266" s="4">
        <f t="shared" si="652"/>
        <v>0.5</v>
      </c>
      <c r="FZ266" s="4">
        <f t="shared" si="614"/>
        <v>0</v>
      </c>
      <c r="GA266" s="4">
        <f t="shared" si="615"/>
        <v>462.8542064885321</v>
      </c>
    </row>
    <row r="267" spans="1:183" ht="12" hidden="1" customHeight="1" x14ac:dyDescent="0.3">
      <c r="A267" s="25">
        <v>249</v>
      </c>
      <c r="B267" s="4" t="s">
        <v>605</v>
      </c>
      <c r="C267" s="4">
        <v>2016</v>
      </c>
      <c r="D267" s="4" t="s">
        <v>309</v>
      </c>
      <c r="E267" s="24" t="s">
        <v>406</v>
      </c>
      <c r="F267" s="7" t="s">
        <v>402</v>
      </c>
      <c r="G267" s="38">
        <f>129/0.145</f>
        <v>889.65517241379314</v>
      </c>
      <c r="H267" s="38">
        <f>9.88*25.4</f>
        <v>250.952</v>
      </c>
      <c r="I267" s="4">
        <f t="shared" si="746"/>
        <v>250.952</v>
      </c>
      <c r="J267" s="38">
        <f>8450/145</f>
        <v>58.275862068965516</v>
      </c>
      <c r="K267" s="38">
        <f t="shared" si="747"/>
        <v>25.4</v>
      </c>
      <c r="L267" s="7">
        <f t="shared" si="748"/>
        <v>9.8800000000000008</v>
      </c>
      <c r="M267" s="7">
        <f t="shared" si="749"/>
        <v>9.8800000000000008</v>
      </c>
      <c r="N267" s="38">
        <f>17*25.4</f>
        <v>431.79999999999995</v>
      </c>
      <c r="O267" s="38">
        <f>2.45*25.4</f>
        <v>62.230000000000004</v>
      </c>
      <c r="P267" s="39">
        <f>3.2*25.4</f>
        <v>81.28</v>
      </c>
      <c r="Q267" s="7">
        <f t="shared" si="750"/>
        <v>256.53999999999996</v>
      </c>
      <c r="R267" s="38">
        <v>2</v>
      </c>
      <c r="S267" s="4">
        <f t="shared" si="722"/>
        <v>260.34999999999997</v>
      </c>
      <c r="T267" s="7">
        <f t="shared" si="751"/>
        <v>2.95</v>
      </c>
      <c r="U267" s="7">
        <f t="shared" si="631"/>
        <v>2.95</v>
      </c>
      <c r="V267" s="38">
        <v>4.0999999999999996</v>
      </c>
      <c r="W267" s="4">
        <f t="shared" si="752"/>
        <v>4.0999999999999996</v>
      </c>
      <c r="X267" s="4">
        <f t="shared" si="753"/>
        <v>5.0999999999999996</v>
      </c>
      <c r="Y267" s="7">
        <f t="shared" si="754"/>
        <v>57.361276136431961</v>
      </c>
      <c r="AB267" s="38">
        <f t="shared" si="786"/>
        <v>640.68965517241384</v>
      </c>
      <c r="AC267" s="4">
        <v>92.9</v>
      </c>
      <c r="AD267" s="4">
        <f t="shared" si="666"/>
        <v>0.88210240843168164</v>
      </c>
      <c r="AE267" s="38">
        <f>0.375*25.4</f>
        <v>9.5249999999999986</v>
      </c>
      <c r="AF267" s="38">
        <v>4</v>
      </c>
      <c r="AG267" s="39">
        <f>5*25.4</f>
        <v>127</v>
      </c>
      <c r="AH267" s="39">
        <v>2</v>
      </c>
      <c r="AI267" s="39">
        <v>1</v>
      </c>
      <c r="AJ267" s="7"/>
      <c r="AK267" s="4">
        <f t="shared" si="755"/>
        <v>250.952</v>
      </c>
      <c r="AL267" s="4">
        <f t="shared" si="678"/>
        <v>0.57354925775978405</v>
      </c>
      <c r="AM267" s="4">
        <f t="shared" si="679"/>
        <v>299.46290614995218</v>
      </c>
      <c r="AN267" s="4">
        <f t="shared" si="680"/>
        <v>0.75971659919028334</v>
      </c>
      <c r="AO267" s="4">
        <v>1.25</v>
      </c>
      <c r="AP267" s="4">
        <f t="shared" si="624"/>
        <v>2.5</v>
      </c>
      <c r="AQ267" s="38">
        <f t="shared" si="723"/>
        <v>407.77011544217817</v>
      </c>
      <c r="AR267" s="38">
        <f t="shared" si="682"/>
        <v>407.77011544217817</v>
      </c>
      <c r="AS267" s="38">
        <f t="shared" si="683"/>
        <v>4.3073554520828159</v>
      </c>
      <c r="AT267" s="38">
        <f t="shared" si="626"/>
        <v>407.77011544217788</v>
      </c>
      <c r="AU267" s="38">
        <f t="shared" si="601"/>
        <v>1.0000000000000007</v>
      </c>
      <c r="AV267" s="38">
        <f t="shared" si="715"/>
        <v>1.7073291393102548</v>
      </c>
      <c r="AW267" s="4">
        <f t="shared" si="707"/>
        <v>0</v>
      </c>
      <c r="AX267" s="4">
        <f t="shared" si="756"/>
        <v>396.96086839193953</v>
      </c>
      <c r="AY267" s="4">
        <f t="shared" si="724"/>
        <v>1</v>
      </c>
      <c r="AZ267" s="38">
        <f t="shared" si="617"/>
        <v>696.1978002343368</v>
      </c>
      <c r="BA267" s="4">
        <f t="shared" si="725"/>
        <v>0.42600000000000005</v>
      </c>
      <c r="BB267" s="4">
        <f t="shared" si="726"/>
        <v>88.357534891019867</v>
      </c>
      <c r="BC267" s="4">
        <f t="shared" si="727"/>
        <v>784.55533512535669</v>
      </c>
      <c r="BE267" s="4">
        <f t="shared" si="627"/>
        <v>1.5</v>
      </c>
      <c r="BF267" s="4">
        <f t="shared" si="628"/>
        <v>682.92537089120992</v>
      </c>
      <c r="BH267" s="4">
        <f t="shared" si="633"/>
        <v>667.73882986782667</v>
      </c>
      <c r="BI267" s="4">
        <f t="shared" si="780"/>
        <v>0</v>
      </c>
      <c r="BJ267" s="4">
        <f t="shared" si="635"/>
        <v>0</v>
      </c>
      <c r="BR267" s="4">
        <f t="shared" si="728"/>
        <v>62.230000000000004</v>
      </c>
      <c r="BV267" s="9"/>
      <c r="BX267" s="9"/>
      <c r="BY267" s="9"/>
      <c r="BZ267" s="9">
        <f t="shared" si="729"/>
        <v>62.230000000000004</v>
      </c>
      <c r="CA267" s="9">
        <f t="shared" si="730"/>
        <v>128.26999999999998</v>
      </c>
      <c r="CB267" s="9">
        <f t="shared" si="604"/>
        <v>1.7446239745816772</v>
      </c>
      <c r="CC267" s="40">
        <f t="shared" si="757"/>
        <v>20</v>
      </c>
      <c r="CD267" s="9">
        <f t="shared" si="731"/>
        <v>0.05</v>
      </c>
      <c r="CE267" s="9">
        <f t="shared" si="732"/>
        <v>0.8</v>
      </c>
      <c r="CF267" s="9">
        <f t="shared" si="733"/>
        <v>0.99524931562137331</v>
      </c>
      <c r="CG267" s="9">
        <f t="shared" si="734"/>
        <v>0.68</v>
      </c>
      <c r="CH267" s="9">
        <f t="shared" si="606"/>
        <v>1.8082280338026815</v>
      </c>
      <c r="CI267" s="9">
        <f t="shared" si="607"/>
        <v>4.5205700845067041</v>
      </c>
      <c r="CJ267" s="40">
        <v>1</v>
      </c>
      <c r="CK267" s="9">
        <f t="shared" si="608"/>
        <v>449.88713481010723</v>
      </c>
      <c r="CM267" s="4">
        <f t="shared" si="735"/>
        <v>1.6139869347016558</v>
      </c>
      <c r="CN267" s="4">
        <f t="shared" si="736"/>
        <v>0.81662774630172397</v>
      </c>
      <c r="CO267" s="4">
        <f t="shared" si="708"/>
        <v>0.93815471277091533</v>
      </c>
      <c r="CP267" s="4">
        <f t="shared" si="737"/>
        <v>1.4241119729792726</v>
      </c>
      <c r="CQ267" s="4">
        <f t="shared" si="694"/>
        <v>0.88210240843168164</v>
      </c>
      <c r="CR267" s="4">
        <f t="shared" si="695"/>
        <v>0.9280417512964777</v>
      </c>
      <c r="CS267" s="4">
        <f t="shared" si="709"/>
        <v>1.3171284334108457</v>
      </c>
      <c r="CT267" s="4">
        <f t="shared" si="758"/>
        <v>4</v>
      </c>
      <c r="DA267" s="4">
        <f t="shared" ref="DA267:DB267" si="796">CM267</f>
        <v>1.6139869347016558</v>
      </c>
      <c r="DB267" s="4">
        <f t="shared" si="796"/>
        <v>0.81662774630172397</v>
      </c>
      <c r="DC267" s="4">
        <f t="shared" ref="DC267" si="797">CP267</f>
        <v>1.4241119729792726</v>
      </c>
      <c r="DD267" s="4">
        <f t="shared" ref="DD267" si="798">CS267</f>
        <v>1.3171284334108457</v>
      </c>
      <c r="DE267" s="4">
        <f t="shared" ref="DE267:DF267" si="799">CQ267</f>
        <v>0.88210240843168164</v>
      </c>
      <c r="DF267" s="4">
        <f t="shared" si="799"/>
        <v>0.9280417512964777</v>
      </c>
      <c r="DI267" s="4">
        <f t="shared" si="742"/>
        <v>250.952</v>
      </c>
      <c r="DL267" s="4">
        <f t="shared" si="667"/>
        <v>2.1224449256052693E-5</v>
      </c>
      <c r="DM267" s="4">
        <f t="shared" si="769"/>
        <v>9.6796444672876554</v>
      </c>
      <c r="DN267" s="4">
        <f t="shared" si="668"/>
        <v>0.38091538330686042</v>
      </c>
      <c r="DO267" s="4">
        <f t="shared" si="669"/>
        <v>6.5794684815608173</v>
      </c>
      <c r="DP267" s="4">
        <f t="shared" si="670"/>
        <v>8.276532705653139</v>
      </c>
      <c r="DQ267" s="4">
        <f t="shared" si="671"/>
        <v>8.9640353926650587</v>
      </c>
      <c r="DR267" s="38">
        <f t="shared" si="684"/>
        <v>726.32117206381588</v>
      </c>
      <c r="DS267" s="4">
        <f t="shared" si="609"/>
        <v>1.0001014628399951</v>
      </c>
      <c r="DT267" s="4">
        <f t="shared" si="672"/>
        <v>2.2583179581272428</v>
      </c>
      <c r="DU267" s="4">
        <f t="shared" si="618"/>
        <v>407.77011544217788</v>
      </c>
      <c r="DY267" s="4">
        <f t="shared" si="785"/>
        <v>0.85</v>
      </c>
      <c r="DZ267" s="4">
        <f t="shared" si="610"/>
        <v>0.85499999999999998</v>
      </c>
      <c r="EA267" s="4">
        <f t="shared" si="685"/>
        <v>0.99062499999999998</v>
      </c>
      <c r="EB267" s="4">
        <f t="shared" si="611"/>
        <v>0.84698437500000001</v>
      </c>
      <c r="ED267" s="4">
        <f t="shared" si="686"/>
        <v>690.36727526252787</v>
      </c>
      <c r="EE267" s="25">
        <f t="shared" si="687"/>
        <v>403.46261325212174</v>
      </c>
      <c r="EG267" s="4">
        <f t="shared" si="619"/>
        <v>0.71993671874999998</v>
      </c>
      <c r="EH267" s="4">
        <f t="shared" si="688"/>
        <v>9.6796444672876554</v>
      </c>
      <c r="EK267" s="4">
        <f t="shared" si="673"/>
        <v>57.361276136431961</v>
      </c>
      <c r="EL267" s="4">
        <f t="shared" si="674"/>
        <v>2.2583179581272428</v>
      </c>
      <c r="EM267" s="4">
        <f t="shared" si="675"/>
        <v>0.15900402964289828</v>
      </c>
      <c r="EP267" s="4">
        <f t="shared" si="759"/>
        <v>0.15900402964289828</v>
      </c>
      <c r="EQ267" s="4">
        <f t="shared" si="721"/>
        <v>0.38027970652509807</v>
      </c>
      <c r="ER267" s="4">
        <f t="shared" si="770"/>
        <v>6.5750743181317404</v>
      </c>
      <c r="ES267" s="4">
        <f t="shared" si="743"/>
        <v>8.274789692335105</v>
      </c>
      <c r="ET267" s="4">
        <f t="shared" si="771"/>
        <v>130.85272386356803</v>
      </c>
      <c r="EU267" s="4">
        <f t="shared" si="772"/>
        <v>62.738</v>
      </c>
      <c r="EV267" s="4">
        <f t="shared" si="612"/>
        <v>2.1224449256052693E-5</v>
      </c>
      <c r="EW267" s="4">
        <f t="shared" si="744"/>
        <v>8.9642301641233377</v>
      </c>
      <c r="EX267" s="4">
        <f t="shared" si="636"/>
        <v>726.24748493145535</v>
      </c>
      <c r="FG267" s="23">
        <f t="shared" si="778"/>
        <v>1.8</v>
      </c>
      <c r="FH267" s="23">
        <f t="shared" si="778"/>
        <v>1</v>
      </c>
      <c r="FI267" s="23">
        <f t="shared" si="712"/>
        <v>1.4</v>
      </c>
      <c r="FJ267" s="23">
        <f t="shared" si="779"/>
        <v>1.6</v>
      </c>
      <c r="FK267" s="23">
        <f t="shared" si="779"/>
        <v>1</v>
      </c>
      <c r="FL267" s="23">
        <f t="shared" si="779"/>
        <v>1</v>
      </c>
      <c r="FM267" s="23">
        <f t="shared" si="701"/>
        <v>0</v>
      </c>
      <c r="FN267" s="23"/>
      <c r="FX267" s="4">
        <f t="shared" si="613"/>
        <v>1.25</v>
      </c>
      <c r="FY267" s="4">
        <f t="shared" si="652"/>
        <v>0.44767441860465118</v>
      </c>
      <c r="FZ267" s="4">
        <f t="shared" si="614"/>
        <v>0.28124999999999994</v>
      </c>
      <c r="GA267" s="4">
        <f t="shared" si="615"/>
        <v>486.42914306638954</v>
      </c>
    </row>
    <row r="268" spans="1:183" ht="12" hidden="1" customHeight="1" x14ac:dyDescent="0.3">
      <c r="A268" s="25">
        <v>250</v>
      </c>
      <c r="B268" s="4" t="s">
        <v>605</v>
      </c>
      <c r="C268" s="4">
        <v>2016</v>
      </c>
      <c r="D268" s="4" t="s">
        <v>309</v>
      </c>
      <c r="E268" s="24" t="s">
        <v>664</v>
      </c>
      <c r="F268" s="7" t="s">
        <v>403</v>
      </c>
      <c r="G268" s="38">
        <f>129/0.145</f>
        <v>889.65517241379314</v>
      </c>
      <c r="H268" s="38">
        <f>10.58*25.4</f>
        <v>268.73199999999997</v>
      </c>
      <c r="I268" s="4">
        <f t="shared" si="746"/>
        <v>268.73199999999997</v>
      </c>
      <c r="J268" s="38">
        <f>8450/145</f>
        <v>58.275862068965516</v>
      </c>
      <c r="K268" s="38">
        <f t="shared" si="747"/>
        <v>25.4</v>
      </c>
      <c r="L268" s="7">
        <f t="shared" si="748"/>
        <v>10.58</v>
      </c>
      <c r="M268" s="7">
        <f t="shared" si="749"/>
        <v>10.58</v>
      </c>
      <c r="N268" s="38">
        <f>11.9*25.4</f>
        <v>302.26</v>
      </c>
      <c r="O268" s="38">
        <f>2.45*25.4</f>
        <v>62.230000000000004</v>
      </c>
      <c r="P268" s="39">
        <f>3*25.4</f>
        <v>76.199999999999989</v>
      </c>
      <c r="Q268" s="7">
        <f t="shared" si="750"/>
        <v>50.8</v>
      </c>
      <c r="R268" s="38">
        <v>3</v>
      </c>
      <c r="S268" s="4">
        <f t="shared" si="722"/>
        <v>260.34999999999997</v>
      </c>
      <c r="T268" s="7">
        <f>MIN(O268/K268+0.5, Q268/2/K268+0.5)</f>
        <v>1.5</v>
      </c>
      <c r="U268" s="7">
        <f t="shared" si="631"/>
        <v>2.95</v>
      </c>
      <c r="V268" s="38">
        <v>4.0999999999999996</v>
      </c>
      <c r="W268" s="4">
        <f t="shared" si="752"/>
        <v>4.0999999999999996</v>
      </c>
      <c r="X268" s="4">
        <f t="shared" si="753"/>
        <v>5.0999999999999996</v>
      </c>
      <c r="Y268" s="7">
        <f t="shared" si="754"/>
        <v>57.361276136431961</v>
      </c>
      <c r="AB268" s="38">
        <f t="shared" si="786"/>
        <v>478.6206896551725</v>
      </c>
      <c r="AC268" s="4">
        <v>69.400000000000006</v>
      </c>
      <c r="AD268" s="4">
        <f t="shared" si="666"/>
        <v>1.0355623876435345</v>
      </c>
      <c r="AE268" s="38"/>
      <c r="AF268" s="38"/>
      <c r="AG268" s="39">
        <v>1</v>
      </c>
      <c r="AH268" s="39"/>
      <c r="AI268" s="39"/>
      <c r="AJ268" s="7"/>
      <c r="AK268" s="4">
        <f t="shared" si="755"/>
        <v>268.73199999999997</v>
      </c>
      <c r="AL268" s="4">
        <f t="shared" si="678"/>
        <v>0.37492123503465657</v>
      </c>
      <c r="AM268" s="4">
        <f t="shared" si="679"/>
        <v>221.23042849479285</v>
      </c>
      <c r="AN268" s="4">
        <f t="shared" si="680"/>
        <v>0.75576559546313793</v>
      </c>
      <c r="AO268" s="4">
        <v>1.25</v>
      </c>
      <c r="AP268" s="4">
        <f t="shared" si="624"/>
        <v>2.5</v>
      </c>
      <c r="AQ268" s="38">
        <f t="shared" si="723"/>
        <v>195.8944080476719</v>
      </c>
      <c r="AR268" s="38">
        <f t="shared" si="682"/>
        <v>195.8944080476719</v>
      </c>
      <c r="AS268" s="38">
        <f t="shared" si="683"/>
        <v>4.3073554520828159</v>
      </c>
      <c r="AT268" s="38">
        <f t="shared" si="626"/>
        <v>195.89440804767207</v>
      </c>
      <c r="AU268" s="38">
        <f t="shared" si="601"/>
        <v>0.99999999999999911</v>
      </c>
      <c r="AV268" s="38">
        <f t="shared" si="715"/>
        <v>2.5058318604956216</v>
      </c>
      <c r="AW268" s="4">
        <f t="shared" si="707"/>
        <v>0</v>
      </c>
      <c r="AX268" s="4">
        <f t="shared" si="756"/>
        <v>425.08562627395958</v>
      </c>
      <c r="AY268" s="4">
        <f t="shared" si="724"/>
        <v>1.3866666666666667</v>
      </c>
      <c r="AZ268" s="38">
        <f t="shared" si="617"/>
        <v>490.87844897878659</v>
      </c>
      <c r="BA268" s="4">
        <f t="shared" si="725"/>
        <v>0.42600000000000005</v>
      </c>
      <c r="BB268" s="4">
        <f t="shared" si="726"/>
        <v>94.617684124189267</v>
      </c>
      <c r="BC268" s="4">
        <f t="shared" si="727"/>
        <v>585.49613310297582</v>
      </c>
      <c r="BE268" s="4">
        <f t="shared" si="627"/>
        <v>1.3625</v>
      </c>
      <c r="BF268" s="4">
        <f t="shared" si="628"/>
        <v>642.16626864963939</v>
      </c>
      <c r="BH268" s="4">
        <f t="shared" si="633"/>
        <v>470.81246309324723</v>
      </c>
      <c r="BI268" s="4">
        <f t="shared" si="780"/>
        <v>0</v>
      </c>
      <c r="BJ268" s="4">
        <f t="shared" si="635"/>
        <v>0</v>
      </c>
      <c r="BR268" s="4">
        <f t="shared" si="728"/>
        <v>25.4</v>
      </c>
      <c r="BV268" s="9"/>
      <c r="BX268" s="9"/>
      <c r="BY268" s="9"/>
      <c r="BZ268" s="9">
        <f t="shared" si="729"/>
        <v>25.4</v>
      </c>
      <c r="CA268" s="9">
        <f t="shared" si="730"/>
        <v>62.230000000000004</v>
      </c>
      <c r="CB268" s="9">
        <f t="shared" si="604"/>
        <v>1.1438653713927442</v>
      </c>
      <c r="CC268" s="40">
        <f t="shared" si="757"/>
        <v>0</v>
      </c>
      <c r="CD268" s="9">
        <f t="shared" si="731"/>
        <v>0</v>
      </c>
      <c r="CE268" s="9">
        <f t="shared" si="732"/>
        <v>0</v>
      </c>
      <c r="CF268" s="9">
        <f t="shared" si="733"/>
        <v>0.99524931562137331</v>
      </c>
      <c r="CG268" s="9">
        <f t="shared" si="734"/>
        <v>0.68</v>
      </c>
      <c r="CH268" s="9">
        <f t="shared" si="606"/>
        <v>1.8082280338026815</v>
      </c>
      <c r="CI268" s="9">
        <f t="shared" si="607"/>
        <v>2.0683694314484757</v>
      </c>
      <c r="CJ268" s="40">
        <v>1</v>
      </c>
      <c r="CK268" s="9">
        <f t="shared" si="608"/>
        <v>211.63556022580804</v>
      </c>
      <c r="CM268" s="4">
        <f t="shared" si="735"/>
        <v>1.1259394815356814</v>
      </c>
      <c r="CN268" s="4">
        <f t="shared" si="736"/>
        <v>0.81746174328873611</v>
      </c>
      <c r="CO268" s="4">
        <f t="shared" si="708"/>
        <v>0.74532206536108792</v>
      </c>
      <c r="CP268" s="4">
        <f t="shared" si="737"/>
        <v>2.2615324624297557</v>
      </c>
      <c r="CQ268" s="4">
        <f t="shared" si="694"/>
        <v>1.0355623876435345</v>
      </c>
      <c r="CR268" s="4">
        <f t="shared" si="695"/>
        <v>1.0537522781326267</v>
      </c>
      <c r="CS268" s="4">
        <f t="shared" si="709"/>
        <v>1.8814484318433564</v>
      </c>
      <c r="CT268" s="4">
        <f t="shared" si="758"/>
        <v>0</v>
      </c>
      <c r="CU268" s="4">
        <f t="shared" ref="CU268:CV268" si="800">CM268</f>
        <v>1.1259394815356814</v>
      </c>
      <c r="CV268" s="4">
        <f t="shared" si="800"/>
        <v>0.81746174328873611</v>
      </c>
      <c r="CW268" s="4">
        <f t="shared" ref="CW268" si="801">CP268</f>
        <v>2.2615324624297557</v>
      </c>
      <c r="CX268" s="4">
        <f t="shared" ref="CX268" si="802">CS268</f>
        <v>1.8814484318433564</v>
      </c>
      <c r="CY268" s="4">
        <f t="shared" ref="CY268:CZ268" si="803">CQ268</f>
        <v>1.0355623876435345</v>
      </c>
      <c r="CZ268" s="4">
        <f t="shared" si="803"/>
        <v>1.0537522781326267</v>
      </c>
      <c r="DI268" s="4">
        <f t="shared" si="742"/>
        <v>268.73199999999997</v>
      </c>
      <c r="DL268" s="4">
        <f t="shared" si="667"/>
        <v>2.2728205782291242E-5</v>
      </c>
      <c r="DM268" s="4">
        <f t="shared" si="769"/>
        <v>8.1985076193478434</v>
      </c>
      <c r="DN268" s="4">
        <f t="shared" si="668"/>
        <v>0.18299328642128165</v>
      </c>
      <c r="DO268" s="4">
        <f t="shared" si="669"/>
        <v>4.1563189503887896</v>
      </c>
      <c r="DP268" s="4">
        <f t="shared" si="670"/>
        <v>6.5027697461111531</v>
      </c>
      <c r="DQ268" s="4">
        <f t="shared" si="671"/>
        <v>7.664283561396096</v>
      </c>
      <c r="DR268" s="38">
        <f t="shared" si="684"/>
        <v>462.18431198944364</v>
      </c>
      <c r="DS268" s="4">
        <f t="shared" si="609"/>
        <v>1.0000949533164578</v>
      </c>
      <c r="DT268" s="4">
        <f t="shared" si="672"/>
        <v>2.2583179581272428</v>
      </c>
      <c r="DU268" s="4">
        <f t="shared" si="618"/>
        <v>195.89440804767207</v>
      </c>
      <c r="DY268" s="4">
        <f t="shared" si="785"/>
        <v>0.85</v>
      </c>
      <c r="DZ268" s="4">
        <f t="shared" si="610"/>
        <v>1</v>
      </c>
      <c r="EA268" s="4">
        <f t="shared" si="685"/>
        <v>1</v>
      </c>
      <c r="EB268" s="4">
        <f t="shared" si="611"/>
        <v>1</v>
      </c>
      <c r="ED268" s="4">
        <f t="shared" si="686"/>
        <v>454.20607820971429</v>
      </c>
      <c r="EE268" s="25">
        <f t="shared" si="687"/>
        <v>193.98544637161379</v>
      </c>
      <c r="EG268" s="4">
        <f t="shared" si="619"/>
        <v>0.85</v>
      </c>
      <c r="EH268" s="4">
        <f t="shared" si="688"/>
        <v>8.1985076193478434</v>
      </c>
      <c r="EK268" s="4">
        <f t="shared" si="673"/>
        <v>57.361276136431961</v>
      </c>
      <c r="EL268" s="4">
        <f t="shared" si="674"/>
        <v>2.2583179581272428</v>
      </c>
      <c r="EM268" s="4">
        <f t="shared" si="675"/>
        <v>7.6386177124122462E-2</v>
      </c>
      <c r="EP268" s="4">
        <f t="shared" si="759"/>
        <v>7.6386177124122462E-2</v>
      </c>
      <c r="EQ268" s="4">
        <f t="shared" si="721"/>
        <v>0.18268790473155688</v>
      </c>
      <c r="ER268" s="4">
        <f t="shared" si="770"/>
        <v>4.1535431114615937</v>
      </c>
      <c r="ES268" s="4">
        <f t="shared" si="743"/>
        <v>6.5018924962975211</v>
      </c>
      <c r="ET268" s="4">
        <f t="shared" si="771"/>
        <v>144.18772386356801</v>
      </c>
      <c r="EU268" s="4">
        <f t="shared" si="772"/>
        <v>67.182999999999993</v>
      </c>
      <c r="EV268" s="4">
        <f t="shared" si="612"/>
        <v>2.2728205782291242E-5</v>
      </c>
      <c r="EW268" s="4">
        <f t="shared" si="744"/>
        <v>7.6643887234118671</v>
      </c>
      <c r="EX268" s="4">
        <f t="shared" si="636"/>
        <v>462.14043022292475</v>
      </c>
      <c r="FG268" s="23">
        <f t="shared" si="778"/>
        <v>1.2</v>
      </c>
      <c r="FH268" s="23">
        <f t="shared" si="778"/>
        <v>1</v>
      </c>
      <c r="FI268" s="23">
        <f t="shared" si="712"/>
        <v>2</v>
      </c>
      <c r="FJ268" s="23">
        <f t="shared" si="779"/>
        <v>2.2000000000000002</v>
      </c>
      <c r="FK268" s="23">
        <f t="shared" si="779"/>
        <v>1.2</v>
      </c>
      <c r="FL268" s="23">
        <f t="shared" si="779"/>
        <v>1.2</v>
      </c>
      <c r="FM268" s="23">
        <f t="shared" si="701"/>
        <v>0</v>
      </c>
      <c r="FN268" s="23"/>
      <c r="FX268" s="4">
        <f t="shared" si="613"/>
        <v>1.25</v>
      </c>
      <c r="FY268" s="4">
        <f t="shared" si="652"/>
        <v>0.91666666666666663</v>
      </c>
      <c r="FZ268" s="4">
        <f t="shared" si="614"/>
        <v>0</v>
      </c>
      <c r="GA268" s="4">
        <f t="shared" si="615"/>
        <v>254.38948076096989</v>
      </c>
    </row>
    <row r="269" spans="1:183" ht="12" hidden="1" customHeight="1" x14ac:dyDescent="0.3">
      <c r="A269" s="25">
        <v>251</v>
      </c>
      <c r="B269" s="4" t="s">
        <v>605</v>
      </c>
      <c r="C269" s="4">
        <v>2016</v>
      </c>
      <c r="D269" s="4" t="s">
        <v>309</v>
      </c>
      <c r="E269" s="24" t="s">
        <v>664</v>
      </c>
      <c r="F269" s="7" t="s">
        <v>407</v>
      </c>
      <c r="G269" s="38">
        <f t="shared" ref="G269:G286" si="804">129/0.145</f>
        <v>889.65517241379314</v>
      </c>
      <c r="H269" s="38">
        <f>10.33*25.4</f>
        <v>262.38200000000001</v>
      </c>
      <c r="I269" s="4">
        <f t="shared" si="746"/>
        <v>262.38200000000001</v>
      </c>
      <c r="J269" s="38">
        <f>8450/145</f>
        <v>58.275862068965516</v>
      </c>
      <c r="K269" s="38">
        <f t="shared" si="747"/>
        <v>25.4</v>
      </c>
      <c r="L269" s="7">
        <f t="shared" si="748"/>
        <v>10.33</v>
      </c>
      <c r="M269" s="7">
        <f t="shared" si="749"/>
        <v>10.33</v>
      </c>
      <c r="N269" s="38">
        <f>11.8*25.4</f>
        <v>299.72000000000003</v>
      </c>
      <c r="O269" s="38">
        <f>2.5*25.4</f>
        <v>63.5</v>
      </c>
      <c r="P269" s="39">
        <f>3.2*25.4</f>
        <v>81.28</v>
      </c>
      <c r="Q269" s="7">
        <f t="shared" si="750"/>
        <v>48.260000000000019</v>
      </c>
      <c r="R269" s="38">
        <v>3</v>
      </c>
      <c r="S269" s="4">
        <f t="shared" si="722"/>
        <v>260.34999999999997</v>
      </c>
      <c r="T269" s="7">
        <f t="shared" si="751"/>
        <v>1.4500000000000004</v>
      </c>
      <c r="U269" s="7">
        <f t="shared" si="631"/>
        <v>3</v>
      </c>
      <c r="V269" s="38">
        <v>4.0999999999999996</v>
      </c>
      <c r="W269" s="4">
        <f t="shared" si="752"/>
        <v>4.0999999999999996</v>
      </c>
      <c r="X269" s="4">
        <f t="shared" si="753"/>
        <v>5.0999999999999996</v>
      </c>
      <c r="Y269" s="7">
        <f t="shared" si="754"/>
        <v>57.361276136431961</v>
      </c>
      <c r="AB269" s="38">
        <f t="shared" si="786"/>
        <v>440.68965517241384</v>
      </c>
      <c r="AC269" s="4">
        <v>63.9</v>
      </c>
      <c r="AD269" s="4">
        <f t="shared" si="666"/>
        <v>0.97531366488201143</v>
      </c>
      <c r="AE269" s="38">
        <f t="shared" ref="AE269:AE271" si="805">0.375*25.4</f>
        <v>9.5249999999999986</v>
      </c>
      <c r="AF269" s="38">
        <v>2</v>
      </c>
      <c r="AG269" s="39">
        <f>3*25.4</f>
        <v>76.199999999999989</v>
      </c>
      <c r="AH269" s="39">
        <v>2</v>
      </c>
      <c r="AI269" s="39"/>
      <c r="AJ269" s="7"/>
      <c r="AK269" s="4">
        <f t="shared" si="755"/>
        <v>262.38200000000001</v>
      </c>
      <c r="AL269" s="4">
        <f t="shared" si="678"/>
        <v>0.38076798967408843</v>
      </c>
      <c r="AM269" s="4">
        <f t="shared" si="679"/>
        <v>213.43559112635208</v>
      </c>
      <c r="AN269" s="4">
        <f t="shared" si="680"/>
        <v>0.75808325266214904</v>
      </c>
      <c r="AO269" s="4">
        <v>1.25</v>
      </c>
      <c r="AP269" s="4">
        <f t="shared" si="624"/>
        <v>2.5</v>
      </c>
      <c r="AQ269" s="38">
        <f t="shared" si="723"/>
        <v>192.52813169855349</v>
      </c>
      <c r="AR269" s="38">
        <f t="shared" si="682"/>
        <v>192.52813169855349</v>
      </c>
      <c r="AS269" s="38">
        <f t="shared" si="683"/>
        <v>4.3073554520828159</v>
      </c>
      <c r="AT269" s="38">
        <f t="shared" si="626"/>
        <v>192.52813169855358</v>
      </c>
      <c r="AU269" s="38">
        <f t="shared" si="601"/>
        <v>0.99999999999999956</v>
      </c>
      <c r="AV269" s="38">
        <f t="shared" si="715"/>
        <v>2.5373874047690124</v>
      </c>
      <c r="AW269" s="4">
        <f t="shared" si="707"/>
        <v>0</v>
      </c>
      <c r="AX269" s="4">
        <f t="shared" si="756"/>
        <v>415.04106988752386</v>
      </c>
      <c r="AY269" s="4">
        <f t="shared" si="724"/>
        <v>1.4275862068965515</v>
      </c>
      <c r="AZ269" s="38">
        <f t="shared" si="617"/>
        <v>488.5184564356195</v>
      </c>
      <c r="BA269" s="4">
        <f t="shared" si="725"/>
        <v>0.42600000000000005</v>
      </c>
      <c r="BB269" s="4">
        <f t="shared" si="726"/>
        <v>92.381916540914503</v>
      </c>
      <c r="BC269" s="4">
        <f t="shared" si="727"/>
        <v>580.90037297653396</v>
      </c>
      <c r="BE269" s="4">
        <f t="shared" si="627"/>
        <v>1.5</v>
      </c>
      <c r="BF269" s="4">
        <f t="shared" si="628"/>
        <v>698.38394316993435</v>
      </c>
      <c r="BH269" s="4">
        <f t="shared" si="633"/>
        <v>468.54894163606815</v>
      </c>
      <c r="BI269" s="4">
        <f t="shared" ref="BI269:BI332" si="806">8/3*Z269*AA269^2/(Y269-K269-22)/K269*(Y269^2-K269^2)/(Y269^2-(K269+22)^2)</f>
        <v>0</v>
      </c>
      <c r="BJ269" s="4">
        <f t="shared" si="635"/>
        <v>0</v>
      </c>
      <c r="BR269" s="4">
        <f t="shared" si="728"/>
        <v>24.13000000000001</v>
      </c>
      <c r="BV269" s="9"/>
      <c r="BX269" s="9"/>
      <c r="BY269" s="9"/>
      <c r="BZ269" s="9">
        <f t="shared" si="729"/>
        <v>24.13000000000001</v>
      </c>
      <c r="CA269" s="9">
        <f t="shared" si="730"/>
        <v>63.5</v>
      </c>
      <c r="CB269" s="9">
        <f t="shared" si="604"/>
        <v>1.1269230529691339</v>
      </c>
      <c r="CC269" s="40">
        <f t="shared" si="757"/>
        <v>20</v>
      </c>
      <c r="CD269" s="9">
        <f t="shared" si="731"/>
        <v>4.9087385212340517E-2</v>
      </c>
      <c r="CE269" s="9">
        <f t="shared" si="732"/>
        <v>0.78174770424681028</v>
      </c>
      <c r="CF269" s="9">
        <f t="shared" si="733"/>
        <v>0.99524931562137331</v>
      </c>
      <c r="CG269" s="9">
        <f t="shared" si="734"/>
        <v>0.68</v>
      </c>
      <c r="CH269" s="9">
        <f t="shared" si="606"/>
        <v>1.8082280338026815</v>
      </c>
      <c r="CI269" s="9">
        <f t="shared" si="607"/>
        <v>3.4513119704972617</v>
      </c>
      <c r="CJ269" s="40">
        <v>1</v>
      </c>
      <c r="CK269" s="9">
        <f t="shared" si="608"/>
        <v>349.68692885078258</v>
      </c>
      <c r="CM269" s="4">
        <f t="shared" si="735"/>
        <v>1.0617977042412712</v>
      </c>
      <c r="CN269" s="4">
        <f t="shared" si="736"/>
        <v>0.7586320747468619</v>
      </c>
      <c r="CO269" s="4">
        <f t="shared" si="708"/>
        <v>0.63101344107675594</v>
      </c>
      <c r="CP269" s="4">
        <f t="shared" si="737"/>
        <v>1.2602405718186387</v>
      </c>
      <c r="CQ269" s="4">
        <f t="shared" si="694"/>
        <v>0.97531366488201143</v>
      </c>
      <c r="CR269" s="4">
        <f t="shared" si="695"/>
        <v>0.99104241411838778</v>
      </c>
      <c r="CS269" s="4">
        <f t="shared" si="709"/>
        <v>1.0875170850034528</v>
      </c>
      <c r="CT269" s="4">
        <f>AF269</f>
        <v>2</v>
      </c>
      <c r="DA269" s="4">
        <f t="shared" ref="DA269:DB271" si="807">CM269</f>
        <v>1.0617977042412712</v>
      </c>
      <c r="DB269" s="4">
        <f t="shared" si="807"/>
        <v>0.7586320747468619</v>
      </c>
      <c r="DC269" s="4">
        <f t="shared" ref="DC269:DC271" si="808">CP269</f>
        <v>1.2602405718186387</v>
      </c>
      <c r="DD269" s="4">
        <f t="shared" ref="DD269:DD271" si="809">CS269</f>
        <v>1.0875170850034528</v>
      </c>
      <c r="DE269" s="4">
        <f t="shared" ref="DE269:DF271" si="810">CQ269</f>
        <v>0.97531366488201143</v>
      </c>
      <c r="DF269" s="4">
        <f t="shared" si="810"/>
        <v>0.99104241411838778</v>
      </c>
      <c r="DI269" s="4">
        <f t="shared" si="742"/>
        <v>262.38200000000001</v>
      </c>
      <c r="DL269" s="4">
        <f t="shared" si="667"/>
        <v>2.2191149880063189E-5</v>
      </c>
      <c r="DM269" s="4">
        <f t="shared" si="769"/>
        <v>8.1985076193478434</v>
      </c>
      <c r="DN269" s="4">
        <f t="shared" si="668"/>
        <v>0.17984870471388795</v>
      </c>
      <c r="DO269" s="4">
        <f t="shared" si="669"/>
        <v>4.1276012029721132</v>
      </c>
      <c r="DP269" s="4">
        <f t="shared" si="670"/>
        <v>6.4937181471209255</v>
      </c>
      <c r="DQ269" s="4">
        <f t="shared" si="671"/>
        <v>7.6911276613412358</v>
      </c>
      <c r="DR269" s="38">
        <f t="shared" si="684"/>
        <v>451.84402827548433</v>
      </c>
      <c r="DS269" s="4">
        <f t="shared" si="609"/>
        <v>1.0000949129412946</v>
      </c>
      <c r="DT269" s="4">
        <f t="shared" si="672"/>
        <v>2.2583179581272428</v>
      </c>
      <c r="DU269" s="4">
        <f t="shared" si="618"/>
        <v>192.52813169855358</v>
      </c>
      <c r="DY269" s="4">
        <f t="shared" si="785"/>
        <v>0.85</v>
      </c>
      <c r="DZ269" s="4">
        <f t="shared" si="610"/>
        <v>1</v>
      </c>
      <c r="EA269" s="4">
        <f t="shared" si="685"/>
        <v>1</v>
      </c>
      <c r="EB269" s="4">
        <f t="shared" si="611"/>
        <v>1</v>
      </c>
      <c r="ED269" s="4">
        <f t="shared" si="686"/>
        <v>444.67285041926573</v>
      </c>
      <c r="EE269" s="25">
        <f t="shared" si="687"/>
        <v>190.60109929567602</v>
      </c>
      <c r="EG269" s="4">
        <f t="shared" si="619"/>
        <v>0.85</v>
      </c>
      <c r="EH269" s="4">
        <f t="shared" si="688"/>
        <v>8.1985076193478434</v>
      </c>
      <c r="EK269" s="4">
        <f t="shared" si="673"/>
        <v>57.361276136431961</v>
      </c>
      <c r="EL269" s="4">
        <f t="shared" si="674"/>
        <v>2.2583179581272428</v>
      </c>
      <c r="EM269" s="4">
        <f t="shared" si="675"/>
        <v>7.5073546590075091E-2</v>
      </c>
      <c r="EP269" s="4">
        <f t="shared" si="759"/>
        <v>7.5073546590075091E-2</v>
      </c>
      <c r="EQ269" s="4">
        <f t="shared" si="721"/>
        <v>0.17954857074496247</v>
      </c>
      <c r="ER269" s="4">
        <f t="shared" si="770"/>
        <v>4.1248445434779999</v>
      </c>
      <c r="ES269" s="4">
        <f t="shared" si="743"/>
        <v>6.4928520803940772</v>
      </c>
      <c r="ET269" s="4">
        <f t="shared" si="771"/>
        <v>139.42522386356802</v>
      </c>
      <c r="EU269" s="4">
        <f t="shared" si="772"/>
        <v>65.595500000000015</v>
      </c>
      <c r="EV269" s="4">
        <f t="shared" si="612"/>
        <v>2.2191149880063196E-5</v>
      </c>
      <c r="EW269" s="4">
        <f t="shared" si="744"/>
        <v>7.6912279392271685</v>
      </c>
      <c r="EX269" s="4">
        <f t="shared" si="636"/>
        <v>451.80114649978975</v>
      </c>
      <c r="FG269" s="23">
        <f t="shared" si="778"/>
        <v>1.2</v>
      </c>
      <c r="FH269" s="23">
        <f t="shared" si="778"/>
        <v>0.8</v>
      </c>
      <c r="FI269" s="23">
        <f t="shared" si="712"/>
        <v>1.2</v>
      </c>
      <c r="FJ269" s="23">
        <f t="shared" si="779"/>
        <v>1.4</v>
      </c>
      <c r="FK269" s="23">
        <f t="shared" si="779"/>
        <v>1</v>
      </c>
      <c r="FL269" s="23">
        <f t="shared" si="779"/>
        <v>1</v>
      </c>
      <c r="FM269" s="23">
        <f t="shared" si="701"/>
        <v>0</v>
      </c>
      <c r="FN269" s="23"/>
      <c r="FX269" s="4">
        <f t="shared" si="613"/>
        <v>1</v>
      </c>
      <c r="FY269" s="4">
        <f t="shared" si="652"/>
        <v>0.70232558139534873</v>
      </c>
      <c r="FZ269" s="4">
        <f t="shared" si="614"/>
        <v>0.18749999999999997</v>
      </c>
      <c r="GA269" s="4">
        <f t="shared" si="615"/>
        <v>405.2255005915743</v>
      </c>
    </row>
    <row r="270" spans="1:183" ht="12" hidden="1" customHeight="1" x14ac:dyDescent="0.3">
      <c r="A270" s="25">
        <v>252</v>
      </c>
      <c r="B270" s="4" t="s">
        <v>605</v>
      </c>
      <c r="C270" s="4">
        <v>2016</v>
      </c>
      <c r="D270" s="4" t="s">
        <v>309</v>
      </c>
      <c r="E270" s="24" t="s">
        <v>664</v>
      </c>
      <c r="F270" s="7" t="s">
        <v>408</v>
      </c>
      <c r="G270" s="38">
        <f t="shared" si="804"/>
        <v>889.65517241379314</v>
      </c>
      <c r="H270" s="38">
        <f>10.08*25.4</f>
        <v>256.03199999999998</v>
      </c>
      <c r="I270" s="4">
        <f t="shared" si="746"/>
        <v>256.03199999999998</v>
      </c>
      <c r="J270" s="38">
        <f>8260/145</f>
        <v>56.96551724137931</v>
      </c>
      <c r="K270" s="38">
        <f t="shared" si="747"/>
        <v>25.4</v>
      </c>
      <c r="L270" s="7">
        <f t="shared" si="748"/>
        <v>10.08</v>
      </c>
      <c r="M270" s="7">
        <f t="shared" si="749"/>
        <v>10.08</v>
      </c>
      <c r="N270" s="38">
        <f>11.8*25.4</f>
        <v>299.72000000000003</v>
      </c>
      <c r="O270" s="38">
        <f>2.45*25.4</f>
        <v>62.230000000000004</v>
      </c>
      <c r="P270" s="39">
        <f>3.13*25.4</f>
        <v>79.501999999999995</v>
      </c>
      <c r="Q270" s="7">
        <f t="shared" si="750"/>
        <v>49.530000000000015</v>
      </c>
      <c r="R270" s="38">
        <v>3</v>
      </c>
      <c r="S270" s="4">
        <f t="shared" si="722"/>
        <v>260.34999999999997</v>
      </c>
      <c r="T270" s="7">
        <f t="shared" si="751"/>
        <v>1.4750000000000003</v>
      </c>
      <c r="U270" s="7">
        <f t="shared" si="631"/>
        <v>2.95</v>
      </c>
      <c r="V270" s="38">
        <v>4.0999999999999996</v>
      </c>
      <c r="W270" s="4">
        <f t="shared" si="752"/>
        <v>4.0999999999999996</v>
      </c>
      <c r="X270" s="4">
        <f t="shared" si="753"/>
        <v>5.0999999999999996</v>
      </c>
      <c r="Y270" s="7">
        <f t="shared" si="754"/>
        <v>57.361276136431961</v>
      </c>
      <c r="AB270" s="38">
        <f t="shared" si="786"/>
        <v>540.68965517241384</v>
      </c>
      <c r="AC270" s="4">
        <v>78.400000000000006</v>
      </c>
      <c r="AD270" s="4">
        <f t="shared" si="666"/>
        <v>1.2275313013278444</v>
      </c>
      <c r="AE270" s="38">
        <f t="shared" si="805"/>
        <v>9.5249999999999986</v>
      </c>
      <c r="AF270" s="38">
        <v>4</v>
      </c>
      <c r="AG270" s="39">
        <f>5*25.4</f>
        <v>127</v>
      </c>
      <c r="AH270" s="39">
        <v>2</v>
      </c>
      <c r="AI270" s="39">
        <v>1</v>
      </c>
      <c r="AJ270" s="7"/>
      <c r="AK270" s="4">
        <f t="shared" si="755"/>
        <v>256.03199999999998</v>
      </c>
      <c r="AL270" s="4">
        <f t="shared" si="678"/>
        <v>0.39021164021164034</v>
      </c>
      <c r="AM270" s="4">
        <f t="shared" si="679"/>
        <v>203.40837312963279</v>
      </c>
      <c r="AN270" s="4">
        <f t="shared" si="680"/>
        <v>0.758531746031746</v>
      </c>
      <c r="AO270" s="4">
        <v>1.25</v>
      </c>
      <c r="AP270" s="4">
        <f t="shared" si="624"/>
        <v>2.5</v>
      </c>
      <c r="AQ270" s="38">
        <f t="shared" si="723"/>
        <v>188.14506442671836</v>
      </c>
      <c r="AR270" s="38">
        <f t="shared" si="682"/>
        <v>188.14506442671836</v>
      </c>
      <c r="AS270" s="38">
        <f t="shared" si="683"/>
        <v>4.2706194667653463</v>
      </c>
      <c r="AT270" s="38">
        <f t="shared" si="626"/>
        <v>188.14506442671828</v>
      </c>
      <c r="AU270" s="38">
        <f t="shared" si="601"/>
        <v>1.0000000000000004</v>
      </c>
      <c r="AV270" s="38">
        <f t="shared" si="715"/>
        <v>2.5319853880339886</v>
      </c>
      <c r="AW270" s="4">
        <f t="shared" si="707"/>
        <v>0</v>
      </c>
      <c r="AX270" s="4">
        <f t="shared" si="756"/>
        <v>400.41741140059798</v>
      </c>
      <c r="AY270" s="4">
        <f t="shared" si="724"/>
        <v>1.4</v>
      </c>
      <c r="AZ270" s="38">
        <f t="shared" si="617"/>
        <v>476.38055395916405</v>
      </c>
      <c r="BA270" s="4">
        <f t="shared" si="725"/>
        <v>0.42600000000000005</v>
      </c>
      <c r="BB270" s="4">
        <f t="shared" si="726"/>
        <v>89.126909516602112</v>
      </c>
      <c r="BC270" s="4">
        <f t="shared" si="727"/>
        <v>565.50746347576614</v>
      </c>
      <c r="BE270" s="4">
        <f t="shared" si="627"/>
        <v>1.5</v>
      </c>
      <c r="BF270" s="4">
        <f t="shared" si="628"/>
        <v>681.99665534623284</v>
      </c>
      <c r="BH270" s="4">
        <f t="shared" si="633"/>
        <v>456.90720879239922</v>
      </c>
      <c r="BI270" s="4">
        <f t="shared" si="806"/>
        <v>0</v>
      </c>
      <c r="BJ270" s="4">
        <f t="shared" si="635"/>
        <v>0</v>
      </c>
      <c r="BR270" s="4">
        <f t="shared" si="728"/>
        <v>24.765000000000008</v>
      </c>
      <c r="BV270" s="9"/>
      <c r="BX270" s="9"/>
      <c r="BY270" s="9"/>
      <c r="BZ270" s="9">
        <f t="shared" si="729"/>
        <v>24.765000000000008</v>
      </c>
      <c r="CA270" s="9">
        <f t="shared" si="730"/>
        <v>62.230000000000004</v>
      </c>
      <c r="CB270" s="9">
        <f t="shared" si="604"/>
        <v>1.1337740906768172</v>
      </c>
      <c r="CC270" s="40">
        <f t="shared" si="757"/>
        <v>20</v>
      </c>
      <c r="CD270" s="9">
        <f t="shared" si="731"/>
        <v>0.05</v>
      </c>
      <c r="CE270" s="9">
        <f t="shared" si="732"/>
        <v>0.8</v>
      </c>
      <c r="CF270" s="9">
        <f t="shared" si="733"/>
        <v>0.99524931562137331</v>
      </c>
      <c r="CG270" s="9">
        <f t="shared" si="734"/>
        <v>0.68</v>
      </c>
      <c r="CH270" s="9">
        <f t="shared" si="606"/>
        <v>1.7877832632633699</v>
      </c>
      <c r="CI270" s="9">
        <f t="shared" si="607"/>
        <v>3.4571689542443562</v>
      </c>
      <c r="CJ270" s="40">
        <v>1</v>
      </c>
      <c r="CK270" s="9">
        <f t="shared" si="608"/>
        <v>346.82318948979378</v>
      </c>
      <c r="CM270" s="4">
        <f t="shared" si="735"/>
        <v>1.3503150456948545</v>
      </c>
      <c r="CN270" s="4">
        <f t="shared" si="736"/>
        <v>0.95611409237498801</v>
      </c>
      <c r="CO270" s="4">
        <f t="shared" si="708"/>
        <v>0.79280396895483174</v>
      </c>
      <c r="CP270" s="4">
        <f t="shared" si="737"/>
        <v>1.558977806437378</v>
      </c>
      <c r="CQ270" s="4">
        <f t="shared" si="694"/>
        <v>1.2275313013278444</v>
      </c>
      <c r="CR270" s="4">
        <f t="shared" si="695"/>
        <v>1.246854111705707</v>
      </c>
      <c r="CS270" s="4">
        <f t="shared" si="709"/>
        <v>1.7132857924449365</v>
      </c>
      <c r="CT270" s="4">
        <f t="shared" si="758"/>
        <v>4</v>
      </c>
      <c r="DA270" s="4">
        <f t="shared" si="807"/>
        <v>1.3503150456948545</v>
      </c>
      <c r="DB270" s="4">
        <f t="shared" si="807"/>
        <v>0.95611409237498801</v>
      </c>
      <c r="DC270" s="4">
        <f t="shared" si="808"/>
        <v>1.558977806437378</v>
      </c>
      <c r="DD270" s="4">
        <f t="shared" si="809"/>
        <v>1.7132857924449365</v>
      </c>
      <c r="DE270" s="4">
        <f t="shared" si="810"/>
        <v>1.2275313013278444</v>
      </c>
      <c r="DF270" s="4">
        <f t="shared" si="810"/>
        <v>1.246854111705707</v>
      </c>
      <c r="DI270" s="4">
        <f t="shared" si="742"/>
        <v>256.03199999999998</v>
      </c>
      <c r="DL270" s="4">
        <f t="shared" si="667"/>
        <v>2.1479580373570616E-5</v>
      </c>
      <c r="DM270" s="4">
        <f t="shared" si="769"/>
        <v>8.182522155550533</v>
      </c>
      <c r="DN270" s="4">
        <f t="shared" si="668"/>
        <v>0.17979706977117263</v>
      </c>
      <c r="DO270" s="4">
        <f t="shared" si="669"/>
        <v>4.1190800655574753</v>
      </c>
      <c r="DP270" s="4">
        <f t="shared" si="670"/>
        <v>6.4809080040143563</v>
      </c>
      <c r="DQ270" s="4">
        <f t="shared" si="671"/>
        <v>7.7059970380125735</v>
      </c>
      <c r="DR270" s="38">
        <f t="shared" si="684"/>
        <v>440.4691388215839</v>
      </c>
      <c r="DS270" s="4">
        <f t="shared" si="609"/>
        <v>1.0000958531675284</v>
      </c>
      <c r="DT270" s="4">
        <f t="shared" si="672"/>
        <v>2.2583179581272428</v>
      </c>
      <c r="DU270" s="4">
        <f t="shared" si="618"/>
        <v>188.14506442671828</v>
      </c>
      <c r="DY270" s="4">
        <f t="shared" si="785"/>
        <v>0.85</v>
      </c>
      <c r="DZ270" s="4">
        <f t="shared" si="610"/>
        <v>1</v>
      </c>
      <c r="EA270" s="4">
        <f t="shared" si="685"/>
        <v>0.99062499999999998</v>
      </c>
      <c r="EB270" s="4">
        <f t="shared" si="611"/>
        <v>0.99062499999999998</v>
      </c>
      <c r="ED270" s="4">
        <f t="shared" si="686"/>
        <v>433.64307828503354</v>
      </c>
      <c r="EE270" s="25">
        <f t="shared" si="687"/>
        <v>186.20360830118545</v>
      </c>
      <c r="EG270" s="4">
        <f t="shared" si="619"/>
        <v>0.84203125000000001</v>
      </c>
      <c r="EH270" s="4">
        <f t="shared" si="688"/>
        <v>8.182522155550533</v>
      </c>
      <c r="EK270" s="4">
        <f t="shared" si="673"/>
        <v>57.361276136431961</v>
      </c>
      <c r="EL270" s="4">
        <f t="shared" si="674"/>
        <v>2.2583179581272428</v>
      </c>
      <c r="EM270" s="4">
        <f t="shared" si="675"/>
        <v>7.4203415787966812E-2</v>
      </c>
      <c r="EP270" s="4">
        <f t="shared" si="759"/>
        <v>7.4203415787966812E-2</v>
      </c>
      <c r="EQ270" s="4">
        <f t="shared" si="721"/>
        <v>0.1794970219713431</v>
      </c>
      <c r="ER270" s="4">
        <f t="shared" si="770"/>
        <v>4.1163290969896895</v>
      </c>
      <c r="ES270" s="4">
        <f t="shared" si="743"/>
        <v>6.4800438098095814</v>
      </c>
      <c r="ET270" s="4">
        <f t="shared" si="771"/>
        <v>134.66272386356803</v>
      </c>
      <c r="EU270" s="4">
        <f t="shared" si="772"/>
        <v>64.007999999999981</v>
      </c>
      <c r="EV270" s="4">
        <f t="shared" si="612"/>
        <v>2.1479580373570609E-5</v>
      </c>
      <c r="EW270" s="4">
        <f t="shared" si="744"/>
        <v>7.7060923418690388</v>
      </c>
      <c r="EX270" s="4">
        <f t="shared" si="636"/>
        <v>440.42692250599691</v>
      </c>
      <c r="FG270" s="23">
        <f t="shared" si="778"/>
        <v>1.4</v>
      </c>
      <c r="FH270" s="23">
        <f t="shared" si="778"/>
        <v>1</v>
      </c>
      <c r="FI270" s="23">
        <f t="shared" si="712"/>
        <v>1.8</v>
      </c>
      <c r="FJ270" s="23">
        <f t="shared" si="779"/>
        <v>1.6</v>
      </c>
      <c r="FK270" s="23">
        <f t="shared" si="779"/>
        <v>1.4</v>
      </c>
      <c r="FL270" s="23">
        <f t="shared" si="779"/>
        <v>1.4</v>
      </c>
      <c r="FM270" s="23">
        <f t="shared" si="701"/>
        <v>0</v>
      </c>
      <c r="FN270" s="23"/>
      <c r="FX270" s="4">
        <f t="shared" si="613"/>
        <v>1.25</v>
      </c>
      <c r="FY270" s="4">
        <f t="shared" si="652"/>
        <v>0.7</v>
      </c>
      <c r="FZ270" s="4">
        <f t="shared" si="614"/>
        <v>0.18749999999999997</v>
      </c>
      <c r="GA270" s="4">
        <f t="shared" si="615"/>
        <v>315.58637651505018</v>
      </c>
    </row>
    <row r="271" spans="1:183" ht="12" hidden="1" customHeight="1" x14ac:dyDescent="0.3">
      <c r="A271" s="25">
        <v>253</v>
      </c>
      <c r="B271" s="4" t="s">
        <v>605</v>
      </c>
      <c r="C271" s="4">
        <v>2016</v>
      </c>
      <c r="D271" s="4" t="s">
        <v>309</v>
      </c>
      <c r="E271" s="24" t="s">
        <v>664</v>
      </c>
      <c r="F271" s="7" t="s">
        <v>409</v>
      </c>
      <c r="G271" s="38">
        <f t="shared" si="804"/>
        <v>889.65517241379314</v>
      </c>
      <c r="H271" s="38">
        <f>10.29*25.4</f>
        <v>261.36599999999999</v>
      </c>
      <c r="I271" s="4">
        <f t="shared" si="746"/>
        <v>261.36599999999999</v>
      </c>
      <c r="J271" s="38">
        <f>8260/145</f>
        <v>56.96551724137931</v>
      </c>
      <c r="K271" s="38">
        <f t="shared" si="747"/>
        <v>25.4</v>
      </c>
      <c r="L271" s="7">
        <f t="shared" si="748"/>
        <v>10.29</v>
      </c>
      <c r="M271" s="7">
        <f t="shared" si="749"/>
        <v>10.29</v>
      </c>
      <c r="N271" s="38">
        <f>12.1*25.4</f>
        <v>307.33999999999997</v>
      </c>
      <c r="O271" s="38">
        <f>2.55*25.4</f>
        <v>64.77</v>
      </c>
      <c r="P271" s="39">
        <f>(2.8+2.9+2.5)/3*25.4</f>
        <v>69.426666666666648</v>
      </c>
      <c r="Q271" s="7">
        <f t="shared" si="750"/>
        <v>50.8</v>
      </c>
      <c r="R271" s="38">
        <v>3</v>
      </c>
      <c r="S271" s="4">
        <f t="shared" si="722"/>
        <v>260.34999999999997</v>
      </c>
      <c r="T271" s="7">
        <f t="shared" si="751"/>
        <v>1.5</v>
      </c>
      <c r="U271" s="7">
        <f t="shared" si="631"/>
        <v>3.05</v>
      </c>
      <c r="V271" s="38">
        <v>4.0999999999999996</v>
      </c>
      <c r="W271" s="4">
        <f t="shared" si="752"/>
        <v>4.0999999999999996</v>
      </c>
      <c r="X271" s="4">
        <f t="shared" si="753"/>
        <v>5.0999999999999996</v>
      </c>
      <c r="Y271" s="7">
        <f t="shared" si="754"/>
        <v>57.361276136431961</v>
      </c>
      <c r="AB271" s="38">
        <f t="shared" si="786"/>
        <v>495.17241379310349</v>
      </c>
      <c r="AC271" s="4">
        <v>71.8</v>
      </c>
      <c r="AD271" s="4">
        <f t="shared" si="666"/>
        <v>1.0909962422431996</v>
      </c>
      <c r="AE271" s="38">
        <f t="shared" si="805"/>
        <v>9.5249999999999986</v>
      </c>
      <c r="AF271" s="38">
        <v>4</v>
      </c>
      <c r="AG271" s="39">
        <f>5*25.4</f>
        <v>127</v>
      </c>
      <c r="AH271" s="39">
        <f>2+2</f>
        <v>4</v>
      </c>
      <c r="AI271" s="39">
        <v>1</v>
      </c>
      <c r="AJ271" s="7"/>
      <c r="AK271" s="4">
        <f t="shared" si="755"/>
        <v>261.36599999999999</v>
      </c>
      <c r="AL271" s="4">
        <f t="shared" si="678"/>
        <v>0.39196631033365731</v>
      </c>
      <c r="AM271" s="4">
        <f t="shared" si="679"/>
        <v>209.79787755605903</v>
      </c>
      <c r="AN271" s="4">
        <f t="shared" si="680"/>
        <v>0.7592808551992225</v>
      </c>
      <c r="AO271" s="4">
        <v>1.25</v>
      </c>
      <c r="AP271" s="4">
        <f t="shared" si="624"/>
        <v>2.5</v>
      </c>
      <c r="AQ271" s="38">
        <f t="shared" si="723"/>
        <v>195.12023140042214</v>
      </c>
      <c r="AR271" s="38">
        <f t="shared" si="682"/>
        <v>195.12023140042214</v>
      </c>
      <c r="AS271" s="38">
        <f t="shared" si="683"/>
        <v>4.2706194667653463</v>
      </c>
      <c r="AT271" s="38">
        <f t="shared" si="626"/>
        <v>195.12023140042217</v>
      </c>
      <c r="AU271" s="38">
        <f t="shared" si="601"/>
        <v>0.99999999999999989</v>
      </c>
      <c r="AV271" s="38">
        <f t="shared" si="715"/>
        <v>2.5064989538523901</v>
      </c>
      <c r="AW271" s="4">
        <f t="shared" si="707"/>
        <v>0</v>
      </c>
      <c r="AX271" s="4">
        <f t="shared" si="756"/>
        <v>408.75944080477711</v>
      </c>
      <c r="AY271" s="4">
        <f t="shared" si="724"/>
        <v>1.4133333333333333</v>
      </c>
      <c r="AZ271" s="38">
        <f t="shared" si="617"/>
        <v>489.06865588059446</v>
      </c>
      <c r="BA271" s="4">
        <f t="shared" si="725"/>
        <v>0.42600000000000005</v>
      </c>
      <c r="BB271" s="4">
        <f t="shared" si="726"/>
        <v>90.983720131531314</v>
      </c>
      <c r="BC271" s="4">
        <f t="shared" si="727"/>
        <v>580.05237601212582</v>
      </c>
      <c r="BE271" s="4">
        <f t="shared" si="627"/>
        <v>1.5</v>
      </c>
      <c r="BF271" s="4">
        <f t="shared" si="628"/>
        <v>689.12909048680592</v>
      </c>
      <c r="BH271" s="4">
        <f t="shared" si="633"/>
        <v>469.07665018880698</v>
      </c>
      <c r="BI271" s="4">
        <f t="shared" si="806"/>
        <v>0</v>
      </c>
      <c r="BJ271" s="4">
        <f t="shared" si="635"/>
        <v>0</v>
      </c>
      <c r="BR271" s="4">
        <f t="shared" si="728"/>
        <v>25.4</v>
      </c>
      <c r="BV271" s="9"/>
      <c r="BX271" s="9"/>
      <c r="BY271" s="9"/>
      <c r="BZ271" s="9">
        <f t="shared" si="729"/>
        <v>25.4</v>
      </c>
      <c r="CA271" s="9">
        <f t="shared" si="730"/>
        <v>64.77</v>
      </c>
      <c r="CB271" s="9">
        <f t="shared" si="604"/>
        <v>1.150750115259513</v>
      </c>
      <c r="CC271" s="40">
        <f t="shared" si="757"/>
        <v>20</v>
      </c>
      <c r="CD271" s="9">
        <f t="shared" si="731"/>
        <v>0.05</v>
      </c>
      <c r="CE271" s="9">
        <f t="shared" si="732"/>
        <v>0.8</v>
      </c>
      <c r="CF271" s="9">
        <f t="shared" si="733"/>
        <v>0.99524931562137331</v>
      </c>
      <c r="CG271" s="9">
        <f t="shared" si="734"/>
        <v>0.68</v>
      </c>
      <c r="CH271" s="9">
        <f t="shared" si="606"/>
        <v>1.7877832632633699</v>
      </c>
      <c r="CI271" s="9">
        <f t="shared" si="607"/>
        <v>3.4875184068700471</v>
      </c>
      <c r="CJ271" s="40">
        <v>1</v>
      </c>
      <c r="CK271" s="9">
        <f t="shared" si="608"/>
        <v>352.79736203897397</v>
      </c>
      <c r="CM271" s="4">
        <f t="shared" si="735"/>
        <v>1.2114030022601903</v>
      </c>
      <c r="CN271" s="4">
        <f t="shared" si="736"/>
        <v>0.85366845179986306</v>
      </c>
      <c r="CO271" s="4">
        <f t="shared" si="708"/>
        <v>0.71854812201195861</v>
      </c>
      <c r="CP271" s="4">
        <f t="shared" si="737"/>
        <v>1.403560420438748</v>
      </c>
      <c r="CQ271" s="4">
        <f t="shared" si="694"/>
        <v>1.0909962422431996</v>
      </c>
      <c r="CR271" s="4">
        <f t="shared" si="695"/>
        <v>1.1108598911062268</v>
      </c>
      <c r="CS271" s="4">
        <f t="shared" si="709"/>
        <v>1.1703923382083732</v>
      </c>
      <c r="CT271" s="4">
        <f t="shared" si="758"/>
        <v>4</v>
      </c>
      <c r="DA271" s="4">
        <f t="shared" si="807"/>
        <v>1.2114030022601903</v>
      </c>
      <c r="DB271" s="4">
        <f t="shared" si="807"/>
        <v>0.85366845179986306</v>
      </c>
      <c r="DC271" s="4">
        <f t="shared" si="808"/>
        <v>1.403560420438748</v>
      </c>
      <c r="DD271" s="4">
        <f t="shared" si="809"/>
        <v>1.1703923382083732</v>
      </c>
      <c r="DE271" s="4">
        <f t="shared" si="810"/>
        <v>1.0909962422431996</v>
      </c>
      <c r="DF271" s="4">
        <f t="shared" si="810"/>
        <v>1.1108598911062268</v>
      </c>
      <c r="DI271" s="4">
        <f t="shared" si="742"/>
        <v>261.36599999999999</v>
      </c>
      <c r="DL271" s="4">
        <f t="shared" si="667"/>
        <v>2.1927071631353337E-5</v>
      </c>
      <c r="DM271" s="4">
        <f t="shared" si="769"/>
        <v>8.182522155550533</v>
      </c>
      <c r="DN271" s="4">
        <f t="shared" si="668"/>
        <v>0.18646274865495269</v>
      </c>
      <c r="DO271" s="4">
        <f t="shared" si="669"/>
        <v>4.1794970464391463</v>
      </c>
      <c r="DP271" s="4">
        <f t="shared" si="670"/>
        <v>6.5000111163899925</v>
      </c>
      <c r="DQ271" s="4">
        <f t="shared" si="671"/>
        <v>7.6829977221807759</v>
      </c>
      <c r="DR271" s="38">
        <f t="shared" si="684"/>
        <v>453.87178673959363</v>
      </c>
      <c r="DS271" s="4">
        <f t="shared" si="609"/>
        <v>1.0000959992100831</v>
      </c>
      <c r="DT271" s="4">
        <f t="shared" si="672"/>
        <v>2.2583179581272428</v>
      </c>
      <c r="DU271" s="4">
        <f t="shared" si="618"/>
        <v>195.12023140042217</v>
      </c>
      <c r="DY271" s="4">
        <f t="shared" si="785"/>
        <v>0.85</v>
      </c>
      <c r="DZ271" s="4">
        <f t="shared" si="610"/>
        <v>1</v>
      </c>
      <c r="EA271" s="4">
        <f t="shared" si="685"/>
        <v>0.99062499999999998</v>
      </c>
      <c r="EB271" s="4">
        <f t="shared" si="611"/>
        <v>0.99062499999999998</v>
      </c>
      <c r="ED271" s="4">
        <f t="shared" si="686"/>
        <v>445.75595694610621</v>
      </c>
      <c r="EE271" s="25">
        <f t="shared" si="687"/>
        <v>193.16149800426129</v>
      </c>
      <c r="EG271" s="4">
        <f t="shared" si="619"/>
        <v>0.84203125000000001</v>
      </c>
      <c r="EH271" s="4">
        <f t="shared" si="688"/>
        <v>8.182522155550533</v>
      </c>
      <c r="EK271" s="4">
        <f t="shared" si="673"/>
        <v>57.361276136431961</v>
      </c>
      <c r="EL271" s="4">
        <f t="shared" si="674"/>
        <v>2.2583179581272428</v>
      </c>
      <c r="EM271" s="4">
        <f t="shared" si="675"/>
        <v>7.6954384657213118E-2</v>
      </c>
      <c r="EP271" s="4">
        <f t="shared" si="759"/>
        <v>7.6954384657213118E-2</v>
      </c>
      <c r="EQ271" s="4">
        <f t="shared" si="721"/>
        <v>0.18615157707937979</v>
      </c>
      <c r="ER271" s="4">
        <f t="shared" si="770"/>
        <v>4.1767057277900994</v>
      </c>
      <c r="ES271" s="4">
        <f t="shared" si="743"/>
        <v>6.4991233439056897</v>
      </c>
      <c r="ET271" s="4">
        <f t="shared" si="771"/>
        <v>138.66322386356802</v>
      </c>
      <c r="EU271" s="4">
        <f t="shared" si="772"/>
        <v>65.341499999999996</v>
      </c>
      <c r="EV271" s="4">
        <f t="shared" si="612"/>
        <v>2.1927071631353337E-5</v>
      </c>
      <c r="EW271" s="4">
        <f t="shared" si="744"/>
        <v>7.683098172710257</v>
      </c>
      <c r="EX271" s="4">
        <f t="shared" si="636"/>
        <v>453.82821958899967</v>
      </c>
      <c r="FG271" s="23">
        <f t="shared" si="778"/>
        <v>1.4</v>
      </c>
      <c r="FH271" s="23">
        <f t="shared" si="778"/>
        <v>1</v>
      </c>
      <c r="FI271" s="23">
        <f t="shared" si="712"/>
        <v>1.2</v>
      </c>
      <c r="FJ271" s="23">
        <f t="shared" si="779"/>
        <v>1.6</v>
      </c>
      <c r="FK271" s="23">
        <f t="shared" si="779"/>
        <v>1.2</v>
      </c>
      <c r="FL271" s="23">
        <f t="shared" si="779"/>
        <v>1.2</v>
      </c>
      <c r="FM271" s="23">
        <f t="shared" si="701"/>
        <v>0</v>
      </c>
      <c r="FN271" s="23"/>
      <c r="FX271" s="4">
        <f t="shared" si="613"/>
        <v>1</v>
      </c>
      <c r="FY271" s="4">
        <f t="shared" si="652"/>
        <v>0.66627906976744189</v>
      </c>
      <c r="FZ271" s="4">
        <f t="shared" si="614"/>
        <v>0.3</v>
      </c>
      <c r="GA271" s="4">
        <f t="shared" si="615"/>
        <v>423.08241230552591</v>
      </c>
    </row>
    <row r="272" spans="1:183" ht="12" hidden="1" customHeight="1" x14ac:dyDescent="0.3">
      <c r="A272" s="25">
        <v>254</v>
      </c>
      <c r="B272" s="4" t="s">
        <v>605</v>
      </c>
      <c r="C272" s="4">
        <v>2016</v>
      </c>
      <c r="D272" s="4" t="s">
        <v>309</v>
      </c>
      <c r="E272" s="24" t="s">
        <v>664</v>
      </c>
      <c r="F272" s="7" t="s">
        <v>410</v>
      </c>
      <c r="G272" s="38">
        <f t="shared" si="804"/>
        <v>889.65517241379314</v>
      </c>
      <c r="H272" s="38">
        <f>10.83*25.4</f>
        <v>275.08199999999999</v>
      </c>
      <c r="I272" s="4">
        <f t="shared" si="746"/>
        <v>275.08199999999999</v>
      </c>
      <c r="J272" s="38">
        <f>8450/145</f>
        <v>58.275862068965516</v>
      </c>
      <c r="K272" s="38">
        <f t="shared" si="747"/>
        <v>25.4</v>
      </c>
      <c r="L272" s="7">
        <f t="shared" si="748"/>
        <v>10.83</v>
      </c>
      <c r="M272" s="7">
        <f t="shared" si="749"/>
        <v>10.83</v>
      </c>
      <c r="N272" s="38">
        <f>13.9*25.4</f>
        <v>353.06</v>
      </c>
      <c r="O272" s="38">
        <f>2.5*25.4</f>
        <v>63.5</v>
      </c>
      <c r="P272" s="39">
        <f>(2.8+3+2.8)/3*25.4</f>
        <v>72.813333333333333</v>
      </c>
      <c r="Q272" s="7">
        <f t="shared" si="750"/>
        <v>74.930000000000007</v>
      </c>
      <c r="R272" s="38">
        <v>3</v>
      </c>
      <c r="S272" s="4">
        <f t="shared" si="722"/>
        <v>260.34999999999997</v>
      </c>
      <c r="T272" s="7">
        <f t="shared" si="751"/>
        <v>1.9750000000000003</v>
      </c>
      <c r="U272" s="7">
        <f t="shared" si="631"/>
        <v>3</v>
      </c>
      <c r="V272" s="38">
        <v>4.0999999999999996</v>
      </c>
      <c r="W272" s="4">
        <f t="shared" si="752"/>
        <v>4.0999999999999996</v>
      </c>
      <c r="X272" s="4">
        <f t="shared" si="753"/>
        <v>5.0999999999999996</v>
      </c>
      <c r="Y272" s="7">
        <f t="shared" si="754"/>
        <v>57.361276136431961</v>
      </c>
      <c r="AB272" s="38">
        <f t="shared" si="786"/>
        <v>512.41379310344826</v>
      </c>
      <c r="AC272" s="4">
        <v>74.3</v>
      </c>
      <c r="AD272" s="4">
        <f t="shared" si="666"/>
        <v>0.98097068748379734</v>
      </c>
      <c r="AE272" s="38"/>
      <c r="AF272" s="38"/>
      <c r="AG272" s="39">
        <v>1</v>
      </c>
      <c r="AH272" s="39"/>
      <c r="AI272" s="39"/>
      <c r="AJ272" s="7"/>
      <c r="AK272" s="4">
        <f t="shared" si="755"/>
        <v>275.08199999999999</v>
      </c>
      <c r="AL272" s="4">
        <f t="shared" si="678"/>
        <v>0.42782394582948602</v>
      </c>
      <c r="AM272" s="4">
        <f t="shared" si="679"/>
        <v>229.11791256513948</v>
      </c>
      <c r="AN272" s="4">
        <f t="shared" si="680"/>
        <v>0.75540166204986148</v>
      </c>
      <c r="AO272" s="4">
        <v>1.25</v>
      </c>
      <c r="AP272" s="4">
        <f t="shared" si="624"/>
        <v>2.5</v>
      </c>
      <c r="AQ272" s="38">
        <f t="shared" si="723"/>
        <v>231.39399836523808</v>
      </c>
      <c r="AR272" s="38">
        <f t="shared" si="682"/>
        <v>231.39399836523808</v>
      </c>
      <c r="AS272" s="38">
        <f t="shared" si="683"/>
        <v>4.3073554520828159</v>
      </c>
      <c r="AT272" s="38">
        <f t="shared" si="626"/>
        <v>231.39399836523816</v>
      </c>
      <c r="AU272" s="38">
        <f t="shared" si="601"/>
        <v>0.99999999999999967</v>
      </c>
      <c r="AV272" s="38">
        <f t="shared" si="715"/>
        <v>2.4324668121122044</v>
      </c>
      <c r="AW272" s="4">
        <f t="shared" si="707"/>
        <v>0</v>
      </c>
      <c r="AX272" s="4">
        <f t="shared" si="756"/>
        <v>435.13018266039529</v>
      </c>
      <c r="AY272" s="4">
        <f t="shared" si="724"/>
        <v>1.2075949367088605</v>
      </c>
      <c r="AZ272" s="38">
        <f t="shared" si="617"/>
        <v>562.85822154538755</v>
      </c>
      <c r="BA272" s="4">
        <f t="shared" si="725"/>
        <v>0.42600000000000005</v>
      </c>
      <c r="BB272" s="4">
        <f t="shared" si="726"/>
        <v>96.853451707464089</v>
      </c>
      <c r="BC272" s="4">
        <f t="shared" si="727"/>
        <v>659.7116732528516</v>
      </c>
      <c r="BE272" s="4">
        <f t="shared" si="627"/>
        <v>1.375</v>
      </c>
      <c r="BF272" s="4">
        <f t="shared" si="628"/>
        <v>655.93012337484447</v>
      </c>
      <c r="BH272" s="4">
        <f t="shared" si="633"/>
        <v>539.84986753720898</v>
      </c>
      <c r="BI272" s="4">
        <f t="shared" si="806"/>
        <v>0</v>
      </c>
      <c r="BJ272" s="4">
        <f t="shared" si="635"/>
        <v>0</v>
      </c>
      <c r="BR272" s="4">
        <f t="shared" si="728"/>
        <v>37.465000000000003</v>
      </c>
      <c r="BV272" s="9"/>
      <c r="BX272" s="9"/>
      <c r="BY272" s="9"/>
      <c r="BZ272" s="9">
        <f t="shared" si="729"/>
        <v>37.465000000000003</v>
      </c>
      <c r="CA272" s="9">
        <f t="shared" si="730"/>
        <v>63.5</v>
      </c>
      <c r="CB272" s="9">
        <f t="shared" si="604"/>
        <v>1.3145230578736085</v>
      </c>
      <c r="CC272" s="40">
        <f t="shared" si="757"/>
        <v>0</v>
      </c>
      <c r="CD272" s="9">
        <f t="shared" si="731"/>
        <v>0</v>
      </c>
      <c r="CE272" s="9">
        <f t="shared" si="732"/>
        <v>0</v>
      </c>
      <c r="CF272" s="9">
        <f t="shared" si="733"/>
        <v>0.99524931562137331</v>
      </c>
      <c r="CG272" s="9">
        <f t="shared" si="734"/>
        <v>0.68</v>
      </c>
      <c r="CH272" s="9">
        <f t="shared" si="606"/>
        <v>1.8082280338026815</v>
      </c>
      <c r="CI272" s="9">
        <f t="shared" si="607"/>
        <v>2.3769574443270836</v>
      </c>
      <c r="CJ272" s="40">
        <v>1</v>
      </c>
      <c r="CK272" s="9">
        <f t="shared" si="608"/>
        <v>245.58724314787429</v>
      </c>
      <c r="CM272" s="4">
        <f t="shared" si="735"/>
        <v>1.1776103187568816</v>
      </c>
      <c r="CN272" s="4">
        <f t="shared" si="736"/>
        <v>0.77672385358421936</v>
      </c>
      <c r="CO272" s="4">
        <f t="shared" si="708"/>
        <v>0.78120180007439466</v>
      </c>
      <c r="CP272" s="4">
        <f t="shared" si="737"/>
        <v>2.086483754349207</v>
      </c>
      <c r="CQ272" s="4">
        <f t="shared" si="694"/>
        <v>0.98097068748379734</v>
      </c>
      <c r="CR272" s="4">
        <f t="shared" si="695"/>
        <v>1.0069882788145434</v>
      </c>
      <c r="CS272" s="4">
        <f t="shared" si="709"/>
        <v>1.4382760123279739</v>
      </c>
      <c r="CT272" s="4">
        <f t="shared" si="758"/>
        <v>0</v>
      </c>
      <c r="CU272" s="4">
        <f t="shared" ref="CU272:CV272" si="811">CM272</f>
        <v>1.1776103187568816</v>
      </c>
      <c r="CV272" s="4">
        <f t="shared" si="811"/>
        <v>0.77672385358421936</v>
      </c>
      <c r="CW272" s="4">
        <f t="shared" ref="CW272" si="812">CP272</f>
        <v>2.086483754349207</v>
      </c>
      <c r="CX272" s="4">
        <f t="shared" ref="CX272" si="813">CS272</f>
        <v>1.4382760123279739</v>
      </c>
      <c r="CY272" s="4">
        <f t="shared" ref="CY272:CZ272" si="814">CQ272</f>
        <v>0.98097068748379734</v>
      </c>
      <c r="CZ272" s="4">
        <f t="shared" si="814"/>
        <v>1.0069882788145434</v>
      </c>
      <c r="DI272" s="4">
        <f t="shared" si="742"/>
        <v>275.08199999999999</v>
      </c>
      <c r="DL272" s="4">
        <f t="shared" si="667"/>
        <v>2.3265261684519301E-5</v>
      </c>
      <c r="DM272" s="4">
        <f t="shared" si="769"/>
        <v>8.6073570806801509</v>
      </c>
      <c r="DN272" s="4">
        <f t="shared" si="668"/>
        <v>0.21615496144591859</v>
      </c>
      <c r="DO272" s="4">
        <f t="shared" si="669"/>
        <v>4.6641864575427334</v>
      </c>
      <c r="DP272" s="4">
        <f t="shared" si="670"/>
        <v>6.9248108117237273</v>
      </c>
      <c r="DQ272" s="4">
        <f t="shared" si="671"/>
        <v>7.9772446899415055</v>
      </c>
      <c r="DR272" s="38">
        <f t="shared" si="684"/>
        <v>522.35382732770165</v>
      </c>
      <c r="DS272" s="4">
        <f t="shared" si="609"/>
        <v>1.0000978733813339</v>
      </c>
      <c r="DT272" s="4">
        <f t="shared" si="672"/>
        <v>2.2583179581272428</v>
      </c>
      <c r="DU272" s="4">
        <f t="shared" si="618"/>
        <v>231.39399836523816</v>
      </c>
      <c r="DY272" s="4">
        <f t="shared" si="785"/>
        <v>0.85</v>
      </c>
      <c r="DZ272" s="4">
        <f t="shared" si="610"/>
        <v>0.95250000000000001</v>
      </c>
      <c r="EA272" s="4">
        <f t="shared" si="685"/>
        <v>1</v>
      </c>
      <c r="EB272" s="4">
        <f t="shared" si="611"/>
        <v>0.95250000000000001</v>
      </c>
      <c r="ED272" s="4">
        <f t="shared" si="686"/>
        <v>508.85775324681737</v>
      </c>
      <c r="EE272" s="25">
        <f t="shared" si="687"/>
        <v>229.20472169551925</v>
      </c>
      <c r="EG272" s="4">
        <f t="shared" si="619"/>
        <v>0.80962500000000004</v>
      </c>
      <c r="EH272" s="4">
        <f t="shared" si="688"/>
        <v>8.6073570806801509</v>
      </c>
      <c r="EK272" s="4">
        <f t="shared" si="673"/>
        <v>57.361276136431961</v>
      </c>
      <c r="EL272" s="4">
        <f t="shared" si="674"/>
        <v>2.2583179581272428</v>
      </c>
      <c r="EM272" s="4">
        <f t="shared" si="675"/>
        <v>9.0228726387557703E-2</v>
      </c>
      <c r="EP272" s="4">
        <f t="shared" si="759"/>
        <v>9.0228726387557703E-2</v>
      </c>
      <c r="EQ272" s="4">
        <f t="shared" si="721"/>
        <v>0.21579423910107379</v>
      </c>
      <c r="ER272" s="4">
        <f t="shared" si="770"/>
        <v>4.6610714342523911</v>
      </c>
      <c r="ES272" s="4">
        <f t="shared" si="743"/>
        <v>6.9237702436815676</v>
      </c>
      <c r="ET272" s="4">
        <f t="shared" si="771"/>
        <v>148.95022386356803</v>
      </c>
      <c r="EU272" s="4">
        <f t="shared" si="772"/>
        <v>68.770499999999998</v>
      </c>
      <c r="EV272" s="4">
        <f t="shared" si="612"/>
        <v>2.3265261684519301E-5</v>
      </c>
      <c r="EW272" s="4">
        <f t="shared" si="744"/>
        <v>7.9773765128186334</v>
      </c>
      <c r="EX272" s="4">
        <f t="shared" si="636"/>
        <v>522.30270779560988</v>
      </c>
      <c r="FG272" s="23">
        <f t="shared" si="778"/>
        <v>1.2</v>
      </c>
      <c r="FH272" s="23">
        <f t="shared" si="778"/>
        <v>0.8</v>
      </c>
      <c r="FI272" s="23">
        <f t="shared" si="712"/>
        <v>1.6</v>
      </c>
      <c r="FJ272" s="23">
        <f t="shared" si="779"/>
        <v>2.2000000000000002</v>
      </c>
      <c r="FK272" s="23">
        <f t="shared" si="779"/>
        <v>1</v>
      </c>
      <c r="FL272" s="23">
        <f t="shared" si="779"/>
        <v>1.2</v>
      </c>
      <c r="FM272" s="23">
        <f t="shared" si="701"/>
        <v>0</v>
      </c>
      <c r="FN272" s="23"/>
      <c r="FX272" s="4">
        <f t="shared" si="613"/>
        <v>1</v>
      </c>
      <c r="FY272" s="4">
        <f t="shared" si="652"/>
        <v>0.83749999999999991</v>
      </c>
      <c r="FZ272" s="4">
        <f t="shared" si="614"/>
        <v>0</v>
      </c>
      <c r="GA272" s="4">
        <f t="shared" si="615"/>
        <v>356.26944252102368</v>
      </c>
    </row>
    <row r="273" spans="1:183" ht="12" hidden="1" customHeight="1" x14ac:dyDescent="0.3">
      <c r="A273" s="25">
        <v>255</v>
      </c>
      <c r="B273" s="4" t="s">
        <v>605</v>
      </c>
      <c r="C273" s="4">
        <v>2016</v>
      </c>
      <c r="D273" s="4" t="s">
        <v>309</v>
      </c>
      <c r="E273" s="24" t="s">
        <v>664</v>
      </c>
      <c r="F273" s="7" t="s">
        <v>411</v>
      </c>
      <c r="G273" s="38">
        <f t="shared" si="804"/>
        <v>889.65517241379314</v>
      </c>
      <c r="H273" s="38">
        <f>9.88*25.4</f>
        <v>250.952</v>
      </c>
      <c r="I273" s="4">
        <f t="shared" si="746"/>
        <v>250.952</v>
      </c>
      <c r="J273" s="38">
        <f>8050/145</f>
        <v>55.517241379310342</v>
      </c>
      <c r="K273" s="38">
        <f t="shared" si="747"/>
        <v>25.4</v>
      </c>
      <c r="L273" s="7">
        <f t="shared" si="748"/>
        <v>9.8800000000000008</v>
      </c>
      <c r="M273" s="7">
        <f t="shared" si="749"/>
        <v>9.8800000000000008</v>
      </c>
      <c r="N273" s="38">
        <f>13.8*25.4</f>
        <v>350.52</v>
      </c>
      <c r="O273" s="38">
        <f>2.4*25.4</f>
        <v>60.959999999999994</v>
      </c>
      <c r="P273" s="39">
        <f>(3.4+3.5+2.9)/3*25.4</f>
        <v>82.973333333333343</v>
      </c>
      <c r="Q273" s="7">
        <f t="shared" si="750"/>
        <v>76.2</v>
      </c>
      <c r="R273" s="38">
        <v>3</v>
      </c>
      <c r="S273" s="4">
        <f t="shared" si="722"/>
        <v>260.34999999999997</v>
      </c>
      <c r="T273" s="7">
        <f t="shared" si="751"/>
        <v>2</v>
      </c>
      <c r="U273" s="7">
        <f t="shared" si="631"/>
        <v>2.9</v>
      </c>
      <c r="V273" s="38">
        <v>4.0999999999999996</v>
      </c>
      <c r="W273" s="4">
        <f t="shared" si="752"/>
        <v>4.0999999999999996</v>
      </c>
      <c r="X273" s="4">
        <f t="shared" si="753"/>
        <v>5.0999999999999996</v>
      </c>
      <c r="Y273" s="7">
        <f t="shared" si="754"/>
        <v>57.361276136431961</v>
      </c>
      <c r="AB273" s="38">
        <f t="shared" si="786"/>
        <v>484.82758620689657</v>
      </c>
      <c r="AC273" s="4">
        <v>70.3</v>
      </c>
      <c r="AD273" s="4">
        <f t="shared" si="666"/>
        <v>1.0184221931806774</v>
      </c>
      <c r="AE273" s="38">
        <f t="shared" ref="AE273:AE274" si="815">0.375*25.4</f>
        <v>9.5249999999999986</v>
      </c>
      <c r="AF273" s="38">
        <v>4</v>
      </c>
      <c r="AG273" s="39">
        <f>5*25.4</f>
        <v>127</v>
      </c>
      <c r="AH273" s="39">
        <v>2</v>
      </c>
      <c r="AI273" s="39">
        <v>1</v>
      </c>
      <c r="AJ273" s="7"/>
      <c r="AK273" s="4">
        <f t="shared" si="755"/>
        <v>250.952</v>
      </c>
      <c r="AL273" s="4">
        <f t="shared" si="678"/>
        <v>0.46558704453441296</v>
      </c>
      <c r="AM273" s="4">
        <f t="shared" si="679"/>
        <v>194.8594002652321</v>
      </c>
      <c r="AN273" s="4">
        <f t="shared" si="680"/>
        <v>0.75870445344129545</v>
      </c>
      <c r="AO273" s="4">
        <v>1.25</v>
      </c>
      <c r="AP273" s="4">
        <f t="shared" si="624"/>
        <v>2.5</v>
      </c>
      <c r="AQ273" s="38">
        <f t="shared" si="723"/>
        <v>215.10222544604159</v>
      </c>
      <c r="AR273" s="38">
        <f t="shared" si="682"/>
        <v>215.10222544604159</v>
      </c>
      <c r="AS273" s="38">
        <f t="shared" si="683"/>
        <v>4.2292619080870573</v>
      </c>
      <c r="AT273" s="38">
        <f t="shared" si="626"/>
        <v>215.10222544604153</v>
      </c>
      <c r="AU273" s="38">
        <f t="shared" si="601"/>
        <v>1.0000000000000002</v>
      </c>
      <c r="AV273" s="38">
        <f t="shared" si="715"/>
        <v>2.4667032243750677</v>
      </c>
      <c r="AW273" s="4">
        <f t="shared" si="707"/>
        <v>0</v>
      </c>
      <c r="AX273" s="4">
        <f t="shared" si="756"/>
        <v>387.45144300886943</v>
      </c>
      <c r="AY273" s="4">
        <f t="shared" si="724"/>
        <v>1.18</v>
      </c>
      <c r="AZ273" s="38">
        <f t="shared" si="617"/>
        <v>530.59335307800336</v>
      </c>
      <c r="BA273" s="4">
        <f t="shared" si="725"/>
        <v>0.42600000000000005</v>
      </c>
      <c r="BB273" s="4">
        <f t="shared" si="726"/>
        <v>86.240879442129199</v>
      </c>
      <c r="BC273" s="4">
        <f t="shared" si="727"/>
        <v>616.83423252013256</v>
      </c>
      <c r="BE273" s="4">
        <f t="shared" si="627"/>
        <v>1.5</v>
      </c>
      <c r="BF273" s="4">
        <f t="shared" si="628"/>
        <v>666.56550176102803</v>
      </c>
      <c r="BH273" s="4">
        <f t="shared" si="633"/>
        <v>508.90391294068667</v>
      </c>
      <c r="BI273" s="4">
        <f t="shared" si="806"/>
        <v>0</v>
      </c>
      <c r="BJ273" s="4">
        <f t="shared" si="635"/>
        <v>0</v>
      </c>
      <c r="BR273" s="4">
        <f t="shared" si="728"/>
        <v>38.1</v>
      </c>
      <c r="BV273" s="9"/>
      <c r="BX273" s="9"/>
      <c r="BY273" s="9"/>
      <c r="BZ273" s="9">
        <f t="shared" si="729"/>
        <v>38.1</v>
      </c>
      <c r="CA273" s="9">
        <f t="shared" si="730"/>
        <v>60.959999999999994</v>
      </c>
      <c r="CB273" s="9">
        <f t="shared" si="604"/>
        <v>1.3142065486214438</v>
      </c>
      <c r="CC273" s="40">
        <f t="shared" si="757"/>
        <v>20</v>
      </c>
      <c r="CD273" s="9">
        <f t="shared" si="731"/>
        <v>0.05</v>
      </c>
      <c r="CE273" s="9">
        <f t="shared" si="732"/>
        <v>0.8</v>
      </c>
      <c r="CF273" s="9">
        <f t="shared" si="733"/>
        <v>0.99524931562137331</v>
      </c>
      <c r="CG273" s="9">
        <f t="shared" si="734"/>
        <v>0.68</v>
      </c>
      <c r="CH273" s="9">
        <f t="shared" si="606"/>
        <v>1.7649108936707618</v>
      </c>
      <c r="CI273" s="9">
        <f t="shared" si="607"/>
        <v>3.7313861691320489</v>
      </c>
      <c r="CJ273" s="40">
        <v>1</v>
      </c>
      <c r="CK273" s="9">
        <f t="shared" si="608"/>
        <v>371.34755155202151</v>
      </c>
      <c r="CM273" s="4">
        <f t="shared" si="735"/>
        <v>1.2513247658643978</v>
      </c>
      <c r="CN273" s="4">
        <f t="shared" si="736"/>
        <v>0.7859933198358483</v>
      </c>
      <c r="CO273" s="4">
        <f t="shared" si="708"/>
        <v>0.72735175301753507</v>
      </c>
      <c r="CP273" s="4">
        <f t="shared" si="737"/>
        <v>1.3055898286674923</v>
      </c>
      <c r="CQ273" s="4">
        <f t="shared" si="694"/>
        <v>1.0184221931806774</v>
      </c>
      <c r="CR273" s="4">
        <f t="shared" si="695"/>
        <v>1.0429659273597731</v>
      </c>
      <c r="CS273" s="4">
        <f t="shared" si="709"/>
        <v>1.4674396207834461</v>
      </c>
      <c r="CT273" s="4">
        <f t="shared" si="758"/>
        <v>4</v>
      </c>
      <c r="DA273" s="4">
        <f t="shared" ref="DA273:DB274" si="816">CM273</f>
        <v>1.2513247658643978</v>
      </c>
      <c r="DB273" s="4">
        <f t="shared" si="816"/>
        <v>0.7859933198358483</v>
      </c>
      <c r="DC273" s="4">
        <f t="shared" ref="DC273:DC274" si="817">CP273</f>
        <v>1.3055898286674923</v>
      </c>
      <c r="DD273" s="4">
        <f t="shared" ref="DD273:DD274" si="818">CS273</f>
        <v>1.4674396207834461</v>
      </c>
      <c r="DE273" s="4">
        <f t="shared" ref="DE273:DF274" si="819">CQ273</f>
        <v>1.0184221931806774</v>
      </c>
      <c r="DF273" s="4">
        <f t="shared" si="819"/>
        <v>1.0429659273597731</v>
      </c>
      <c r="DI273" s="4">
        <f t="shared" si="742"/>
        <v>250.952</v>
      </c>
      <c r="DL273" s="4">
        <f t="shared" si="667"/>
        <v>2.0865275046333813E-5</v>
      </c>
      <c r="DM273" s="4">
        <f t="shared" si="769"/>
        <v>8.5029867268035648</v>
      </c>
      <c r="DN273" s="4">
        <f t="shared" si="668"/>
        <v>0.21092052812996231</v>
      </c>
      <c r="DO273" s="4">
        <f t="shared" si="669"/>
        <v>4.562669811822742</v>
      </c>
      <c r="DP273" s="4">
        <f t="shared" si="670"/>
        <v>6.8258795481024821</v>
      </c>
      <c r="DQ273" s="4">
        <f t="shared" si="671"/>
        <v>8.0040946708095877</v>
      </c>
      <c r="DR273" s="38">
        <f t="shared" si="684"/>
        <v>476.05756183760201</v>
      </c>
      <c r="DS273" s="4">
        <f t="shared" si="609"/>
        <v>1.0000993058875141</v>
      </c>
      <c r="DT273" s="4">
        <f t="shared" si="672"/>
        <v>2.2583179581272428</v>
      </c>
      <c r="DU273" s="4">
        <f t="shared" si="618"/>
        <v>215.10222544604153</v>
      </c>
      <c r="DY273" s="4">
        <f t="shared" si="785"/>
        <v>0.85</v>
      </c>
      <c r="DZ273" s="4">
        <f t="shared" si="610"/>
        <v>0.95</v>
      </c>
      <c r="EA273" s="4">
        <f t="shared" si="685"/>
        <v>0.99062499999999998</v>
      </c>
      <c r="EB273" s="4">
        <f t="shared" si="611"/>
        <v>0.94109374999999995</v>
      </c>
      <c r="ED273" s="4">
        <f t="shared" si="686"/>
        <v>464.85467404886219</v>
      </c>
      <c r="EE273" s="25">
        <f t="shared" si="687"/>
        <v>212.82614746640451</v>
      </c>
      <c r="EG273" s="4">
        <f t="shared" si="619"/>
        <v>0.79992968749999993</v>
      </c>
      <c r="EH273" s="4">
        <f t="shared" si="688"/>
        <v>8.5029867268035648</v>
      </c>
      <c r="EK273" s="4">
        <f t="shared" si="673"/>
        <v>57.361276136431961</v>
      </c>
      <c r="EL273" s="4">
        <f t="shared" si="674"/>
        <v>2.2583179581272428</v>
      </c>
      <c r="EM273" s="4">
        <f t="shared" si="675"/>
        <v>8.5934598964507822E-2</v>
      </c>
      <c r="EP273" s="4">
        <f t="shared" si="759"/>
        <v>8.5934598964507822E-2</v>
      </c>
      <c r="EQ273" s="4">
        <f t="shared" si="721"/>
        <v>0.21056854107875611</v>
      </c>
      <c r="ER273" s="4">
        <f t="shared" si="770"/>
        <v>4.5596225874333776</v>
      </c>
      <c r="ES273" s="4">
        <f t="shared" si="743"/>
        <v>6.8248697622439156</v>
      </c>
      <c r="ET273" s="4">
        <f t="shared" si="771"/>
        <v>130.85272386356803</v>
      </c>
      <c r="EU273" s="4">
        <f t="shared" si="772"/>
        <v>62.738</v>
      </c>
      <c r="EV273" s="4">
        <f t="shared" si="612"/>
        <v>2.0865275046333813E-5</v>
      </c>
      <c r="EW273" s="4">
        <f t="shared" si="744"/>
        <v>8.0042023797674791</v>
      </c>
      <c r="EX273" s="4">
        <f t="shared" si="636"/>
        <v>476.01029121316731</v>
      </c>
      <c r="FG273" s="23">
        <f t="shared" si="778"/>
        <v>1.4</v>
      </c>
      <c r="FH273" s="23">
        <f t="shared" si="778"/>
        <v>0.8</v>
      </c>
      <c r="FI273" s="23">
        <f t="shared" si="712"/>
        <v>1.6</v>
      </c>
      <c r="FJ273" s="23">
        <f t="shared" si="779"/>
        <v>1.4</v>
      </c>
      <c r="FK273" s="23">
        <f t="shared" si="779"/>
        <v>1.2</v>
      </c>
      <c r="FL273" s="23">
        <f t="shared" si="779"/>
        <v>1.2</v>
      </c>
      <c r="FM273" s="23">
        <f t="shared" si="701"/>
        <v>0</v>
      </c>
      <c r="FN273" s="23"/>
      <c r="FX273" s="4">
        <f t="shared" si="613"/>
        <v>1.25</v>
      </c>
      <c r="FY273" s="4">
        <f t="shared" si="652"/>
        <v>0.65116279069767447</v>
      </c>
      <c r="FZ273" s="4">
        <f t="shared" si="614"/>
        <v>0.18749999999999997</v>
      </c>
      <c r="GA273" s="4">
        <f t="shared" si="615"/>
        <v>330.39014303570031</v>
      </c>
    </row>
    <row r="274" spans="1:183" ht="12" hidden="1" customHeight="1" x14ac:dyDescent="0.3">
      <c r="A274" s="25">
        <v>256</v>
      </c>
      <c r="B274" s="4" t="s">
        <v>605</v>
      </c>
      <c r="C274" s="4">
        <v>2016</v>
      </c>
      <c r="D274" s="4" t="s">
        <v>309</v>
      </c>
      <c r="E274" s="24" t="s">
        <v>664</v>
      </c>
      <c r="F274" s="7" t="s">
        <v>412</v>
      </c>
      <c r="G274" s="38">
        <f t="shared" si="804"/>
        <v>889.65517241379314</v>
      </c>
      <c r="H274" s="38">
        <f>10.33*25.4</f>
        <v>262.38200000000001</v>
      </c>
      <c r="I274" s="4">
        <f t="shared" si="746"/>
        <v>262.38200000000001</v>
      </c>
      <c r="J274" s="38">
        <f>8050/145</f>
        <v>55.517241379310342</v>
      </c>
      <c r="K274" s="38">
        <f t="shared" si="747"/>
        <v>25.4</v>
      </c>
      <c r="L274" s="7">
        <f t="shared" si="748"/>
        <v>10.33</v>
      </c>
      <c r="M274" s="7">
        <f t="shared" si="749"/>
        <v>10.33</v>
      </c>
      <c r="N274" s="38">
        <f>14.3*25.4</f>
        <v>363.21999999999997</v>
      </c>
      <c r="O274" s="38">
        <f>2.5*25.4</f>
        <v>63.5</v>
      </c>
      <c r="P274" s="39">
        <f>(3.8+3+3.5)/3*25.4</f>
        <v>87.206666666666663</v>
      </c>
      <c r="Q274" s="7">
        <f t="shared" si="750"/>
        <v>80.009999999999991</v>
      </c>
      <c r="R274" s="38">
        <v>3</v>
      </c>
      <c r="S274" s="4">
        <f t="shared" si="722"/>
        <v>260.34999999999997</v>
      </c>
      <c r="T274" s="7">
        <f t="shared" si="751"/>
        <v>2.0750000000000002</v>
      </c>
      <c r="U274" s="7">
        <f t="shared" si="631"/>
        <v>3</v>
      </c>
      <c r="V274" s="38">
        <v>4.0999999999999996</v>
      </c>
      <c r="W274" s="4">
        <f t="shared" si="752"/>
        <v>4.0999999999999996</v>
      </c>
      <c r="X274" s="4">
        <f t="shared" si="753"/>
        <v>5.0999999999999996</v>
      </c>
      <c r="Y274" s="7">
        <f t="shared" si="754"/>
        <v>57.361276136431961</v>
      </c>
      <c r="AB274" s="38">
        <f t="shared" si="786"/>
        <v>609.65517241379314</v>
      </c>
      <c r="AC274" s="4">
        <v>88.4</v>
      </c>
      <c r="AD274" s="4">
        <f t="shared" si="666"/>
        <v>1.2076437156812905</v>
      </c>
      <c r="AE274" s="38">
        <f t="shared" si="815"/>
        <v>9.5249999999999986</v>
      </c>
      <c r="AF274" s="38">
        <v>4</v>
      </c>
      <c r="AG274" s="39">
        <f>5*25.4</f>
        <v>127</v>
      </c>
      <c r="AH274" s="39">
        <f>2+2</f>
        <v>4</v>
      </c>
      <c r="AI274" s="39">
        <v>1</v>
      </c>
      <c r="AJ274" s="7"/>
      <c r="AK274" s="4">
        <f t="shared" si="755"/>
        <v>262.38200000000001</v>
      </c>
      <c r="AL274" s="4">
        <f t="shared" si="678"/>
        <v>0.46143917392707318</v>
      </c>
      <c r="AM274" s="4">
        <f t="shared" si="679"/>
        <v>208.32261906910756</v>
      </c>
      <c r="AN274" s="4">
        <f t="shared" si="680"/>
        <v>0.75808325266214904</v>
      </c>
      <c r="AO274" s="4">
        <v>1.25</v>
      </c>
      <c r="AP274" s="4">
        <f t="shared" si="624"/>
        <v>2.5</v>
      </c>
      <c r="AQ274" s="38">
        <f t="shared" si="723"/>
        <v>227.72872377563311</v>
      </c>
      <c r="AR274" s="38">
        <f t="shared" si="682"/>
        <v>227.72872377563311</v>
      </c>
      <c r="AS274" s="38">
        <f t="shared" si="683"/>
        <v>4.2292619080870573</v>
      </c>
      <c r="AT274" s="38">
        <f t="shared" si="626"/>
        <v>227.72872377563314</v>
      </c>
      <c r="AU274" s="38">
        <f t="shared" si="601"/>
        <v>0.99999999999999989</v>
      </c>
      <c r="AV274" s="38">
        <f t="shared" si="715"/>
        <v>2.4138531924417204</v>
      </c>
      <c r="AW274" s="4">
        <f t="shared" si="707"/>
        <v>0</v>
      </c>
      <c r="AX274" s="4">
        <f t="shared" si="756"/>
        <v>405.09852290299807</v>
      </c>
      <c r="AY274" s="4">
        <f t="shared" si="724"/>
        <v>1.1783132530120481</v>
      </c>
      <c r="AZ274" s="38">
        <f t="shared" si="617"/>
        <v>549.70370689649076</v>
      </c>
      <c r="BA274" s="4">
        <f t="shared" si="725"/>
        <v>0.42600000000000005</v>
      </c>
      <c r="BB274" s="4">
        <f t="shared" si="726"/>
        <v>90.168854720363839</v>
      </c>
      <c r="BC274" s="4">
        <f t="shared" si="727"/>
        <v>639.87256161685457</v>
      </c>
      <c r="BE274" s="4">
        <f t="shared" si="627"/>
        <v>1.5</v>
      </c>
      <c r="BF274" s="4">
        <f t="shared" si="628"/>
        <v>681.65375507050805</v>
      </c>
      <c r="BH274" s="4">
        <f t="shared" si="633"/>
        <v>527.23307929660132</v>
      </c>
      <c r="BI274" s="4">
        <f t="shared" si="806"/>
        <v>0</v>
      </c>
      <c r="BJ274" s="4">
        <f t="shared" si="635"/>
        <v>0</v>
      </c>
      <c r="BR274" s="4">
        <f t="shared" si="728"/>
        <v>40.004999999999995</v>
      </c>
      <c r="BV274" s="9"/>
      <c r="BX274" s="9"/>
      <c r="BY274" s="9"/>
      <c r="BZ274" s="9">
        <f t="shared" si="729"/>
        <v>40.004999999999995</v>
      </c>
      <c r="CA274" s="9">
        <f t="shared" si="730"/>
        <v>63.5</v>
      </c>
      <c r="CB274" s="9">
        <f t="shared" si="604"/>
        <v>1.3450523780427719</v>
      </c>
      <c r="CC274" s="40">
        <f t="shared" si="757"/>
        <v>20</v>
      </c>
      <c r="CD274" s="9">
        <f t="shared" si="731"/>
        <v>0.05</v>
      </c>
      <c r="CE274" s="9">
        <f t="shared" si="732"/>
        <v>0.8</v>
      </c>
      <c r="CF274" s="9">
        <f t="shared" si="733"/>
        <v>0.99524931562137331</v>
      </c>
      <c r="CG274" s="9">
        <f t="shared" si="734"/>
        <v>0.68</v>
      </c>
      <c r="CH274" s="9">
        <f t="shared" si="606"/>
        <v>1.7649108936707618</v>
      </c>
      <c r="CI274" s="9">
        <f t="shared" si="607"/>
        <v>3.7858263095020614</v>
      </c>
      <c r="CJ274" s="40">
        <v>1</v>
      </c>
      <c r="CK274" s="9">
        <f t="shared" si="608"/>
        <v>383.57992167874886</v>
      </c>
      <c r="CM274" s="4">
        <f t="shared" si="735"/>
        <v>1.5049553082665195</v>
      </c>
      <c r="CN274" s="4">
        <f t="shared" si="736"/>
        <v>0.95277592599578431</v>
      </c>
      <c r="CO274" s="4">
        <f t="shared" si="708"/>
        <v>0.89437660671396491</v>
      </c>
      <c r="CP274" s="4">
        <f t="shared" si="737"/>
        <v>1.5893823893222023</v>
      </c>
      <c r="CQ274" s="4">
        <f t="shared" si="694"/>
        <v>1.2076437156812905</v>
      </c>
      <c r="CR274" s="4">
        <f t="shared" si="695"/>
        <v>1.2415241895472264</v>
      </c>
      <c r="CS274" s="4">
        <f t="shared" si="709"/>
        <v>1.3339172849165912</v>
      </c>
      <c r="CT274" s="4">
        <f t="shared" si="758"/>
        <v>4</v>
      </c>
      <c r="DA274" s="4">
        <f t="shared" si="816"/>
        <v>1.5049553082665195</v>
      </c>
      <c r="DB274" s="4">
        <f t="shared" si="816"/>
        <v>0.95277592599578431</v>
      </c>
      <c r="DC274" s="4">
        <f t="shared" si="817"/>
        <v>1.5893823893222023</v>
      </c>
      <c r="DD274" s="4">
        <f t="shared" si="818"/>
        <v>1.3339172849165912</v>
      </c>
      <c r="DE274" s="4">
        <f t="shared" si="819"/>
        <v>1.2076437156812905</v>
      </c>
      <c r="DF274" s="4">
        <f t="shared" si="819"/>
        <v>1.2415241895472264</v>
      </c>
      <c r="DI274" s="4">
        <f t="shared" si="742"/>
        <v>262.38200000000001</v>
      </c>
      <c r="DL274" s="4">
        <f t="shared" si="667"/>
        <v>2.1815616521116227E-5</v>
      </c>
      <c r="DM274" s="4">
        <f t="shared" si="769"/>
        <v>8.5706497511547859</v>
      </c>
      <c r="DN274" s="4">
        <f t="shared" si="668"/>
        <v>0.22330156087189282</v>
      </c>
      <c r="DO274" s="4">
        <f t="shared" si="669"/>
        <v>4.7051172574974487</v>
      </c>
      <c r="DP274" s="4">
        <f t="shared" si="670"/>
        <v>6.9157100883065903</v>
      </c>
      <c r="DQ274" s="4">
        <f t="shared" si="671"/>
        <v>8.0109035794534709</v>
      </c>
      <c r="DR274" s="38">
        <f t="shared" si="684"/>
        <v>504.83032743631429</v>
      </c>
      <c r="DS274" s="4">
        <f t="shared" si="609"/>
        <v>1.0000998978203688</v>
      </c>
      <c r="DT274" s="4">
        <f t="shared" si="672"/>
        <v>2.2583179581272428</v>
      </c>
      <c r="DU274" s="4">
        <f t="shared" si="618"/>
        <v>227.72872377563314</v>
      </c>
      <c r="DY274" s="4">
        <f t="shared" si="785"/>
        <v>0.85</v>
      </c>
      <c r="DZ274" s="4">
        <f t="shared" si="610"/>
        <v>0.9425</v>
      </c>
      <c r="EA274" s="4">
        <f t="shared" si="685"/>
        <v>0.99062499999999998</v>
      </c>
      <c r="EB274" s="4">
        <f t="shared" si="611"/>
        <v>0.9336640625</v>
      </c>
      <c r="ED274" s="4">
        <f t="shared" si="686"/>
        <v>491.05380108311005</v>
      </c>
      <c r="EE274" s="25">
        <f t="shared" si="687"/>
        <v>225.44936529482322</v>
      </c>
      <c r="EG274" s="4">
        <f t="shared" si="619"/>
        <v>0.79361445312500001</v>
      </c>
      <c r="EH274" s="4">
        <f t="shared" si="688"/>
        <v>8.5706497511547859</v>
      </c>
      <c r="EK274" s="4">
        <f t="shared" si="673"/>
        <v>57.361276136431961</v>
      </c>
      <c r="EL274" s="4">
        <f t="shared" si="674"/>
        <v>2.2583179581272428</v>
      </c>
      <c r="EM274" s="4">
        <f t="shared" si="675"/>
        <v>9.097895900322657E-2</v>
      </c>
      <c r="EP274" s="4">
        <f t="shared" si="759"/>
        <v>9.097895900322657E-2</v>
      </c>
      <c r="EQ274" s="4">
        <f t="shared" si="721"/>
        <v>0.22292891218455113</v>
      </c>
      <c r="ER274" s="4">
        <f t="shared" si="770"/>
        <v>4.7019748981654814</v>
      </c>
      <c r="ES274" s="4">
        <f t="shared" si="743"/>
        <v>6.9146492330903513</v>
      </c>
      <c r="ET274" s="4">
        <f t="shared" si="771"/>
        <v>139.42522386356802</v>
      </c>
      <c r="EU274" s="4">
        <f t="shared" si="772"/>
        <v>65.595500000000015</v>
      </c>
      <c r="EV274" s="4">
        <f t="shared" si="612"/>
        <v>2.1815616521116233E-5</v>
      </c>
      <c r="EW274" s="4">
        <f t="shared" si="744"/>
        <v>8.0110248073112391</v>
      </c>
      <c r="EX274" s="4">
        <f t="shared" si="636"/>
        <v>504.77990102443596</v>
      </c>
      <c r="FG274" s="23">
        <f t="shared" si="778"/>
        <v>1.6</v>
      </c>
      <c r="FH274" s="23">
        <f t="shared" si="778"/>
        <v>1</v>
      </c>
      <c r="FI274" s="23">
        <f t="shared" si="712"/>
        <v>1.4</v>
      </c>
      <c r="FJ274" s="23">
        <f t="shared" si="779"/>
        <v>1.6</v>
      </c>
      <c r="FK274" s="23">
        <f t="shared" si="779"/>
        <v>1.4</v>
      </c>
      <c r="FL274" s="23">
        <f t="shared" si="779"/>
        <v>1.4</v>
      </c>
      <c r="FM274" s="23">
        <f t="shared" si="701"/>
        <v>0</v>
      </c>
      <c r="FN274" s="23"/>
      <c r="FX274" s="4">
        <f t="shared" si="613"/>
        <v>1</v>
      </c>
      <c r="FY274" s="4">
        <f t="shared" si="652"/>
        <v>0.61519767441860462</v>
      </c>
      <c r="FZ274" s="4">
        <f t="shared" si="614"/>
        <v>0.3</v>
      </c>
      <c r="GA274" s="4">
        <f t="shared" si="615"/>
        <v>457.04121185588684</v>
      </c>
    </row>
    <row r="275" spans="1:183" ht="12" hidden="1" customHeight="1" x14ac:dyDescent="0.3">
      <c r="A275" s="25">
        <v>257</v>
      </c>
      <c r="B275" s="4" t="s">
        <v>605</v>
      </c>
      <c r="C275" s="4">
        <v>2016</v>
      </c>
      <c r="D275" s="4" t="s">
        <v>309</v>
      </c>
      <c r="E275" s="24" t="s">
        <v>664</v>
      </c>
      <c r="F275" s="7" t="s">
        <v>413</v>
      </c>
      <c r="G275" s="38">
        <f t="shared" si="804"/>
        <v>889.65517241379314</v>
      </c>
      <c r="H275" s="38">
        <f>10.35*25.4</f>
        <v>262.89</v>
      </c>
      <c r="I275" s="4">
        <f t="shared" si="746"/>
        <v>262.89</v>
      </c>
      <c r="J275" s="38">
        <f>8050/145</f>
        <v>55.517241379310342</v>
      </c>
      <c r="K275" s="38">
        <f t="shared" si="747"/>
        <v>25.4</v>
      </c>
      <c r="L275" s="7">
        <f t="shared" si="748"/>
        <v>10.35</v>
      </c>
      <c r="M275" s="7">
        <f t="shared" si="749"/>
        <v>10.35</v>
      </c>
      <c r="N275" s="38">
        <f>15.9*25.4</f>
        <v>403.86</v>
      </c>
      <c r="O275" s="38">
        <f>2.45*25.4</f>
        <v>62.230000000000004</v>
      </c>
      <c r="P275" s="39">
        <f>(3.2+3.3+3.5)/3*25.4</f>
        <v>84.666666666666671</v>
      </c>
      <c r="Q275" s="7">
        <f t="shared" si="750"/>
        <v>101.60000000000001</v>
      </c>
      <c r="R275" s="38">
        <v>3</v>
      </c>
      <c r="S275" s="4">
        <f t="shared" si="722"/>
        <v>260.34999999999997</v>
      </c>
      <c r="T275" s="7">
        <f t="shared" si="751"/>
        <v>2.5000000000000004</v>
      </c>
      <c r="U275" s="7">
        <f t="shared" si="631"/>
        <v>2.95</v>
      </c>
      <c r="V275" s="38">
        <v>4.0999999999999996</v>
      </c>
      <c r="W275" s="4">
        <f t="shared" si="752"/>
        <v>4.0999999999999996</v>
      </c>
      <c r="X275" s="4">
        <f t="shared" si="753"/>
        <v>5.0999999999999996</v>
      </c>
      <c r="Y275" s="7">
        <f t="shared" si="754"/>
        <v>57.361276136431961</v>
      </c>
      <c r="AB275" s="38">
        <f t="shared" si="786"/>
        <v>558.62068965517244</v>
      </c>
      <c r="AC275" s="4">
        <v>81</v>
      </c>
      <c r="AD275" s="4">
        <f t="shared" si="666"/>
        <v>1.026278911927931</v>
      </c>
      <c r="AE275" s="38"/>
      <c r="AF275" s="38"/>
      <c r="AG275" s="39">
        <v>1</v>
      </c>
      <c r="AH275" s="39"/>
      <c r="AI275" s="39"/>
      <c r="AJ275" s="7"/>
      <c r="AK275" s="4">
        <f t="shared" si="755"/>
        <v>262.89</v>
      </c>
      <c r="AL275" s="4">
        <f t="shared" si="678"/>
        <v>0.5120772946859905</v>
      </c>
      <c r="AM275" s="4">
        <f t="shared" si="679"/>
        <v>208.92791457835131</v>
      </c>
      <c r="AN275" s="4">
        <f t="shared" si="680"/>
        <v>0.75700483091787441</v>
      </c>
      <c r="AO275" s="4">
        <v>1.25</v>
      </c>
      <c r="AP275" s="4">
        <f t="shared" si="624"/>
        <v>2.5</v>
      </c>
      <c r="AQ275" s="38">
        <f t="shared" si="723"/>
        <v>253.09330780249627</v>
      </c>
      <c r="AR275" s="38">
        <f t="shared" si="682"/>
        <v>253.09330780249627</v>
      </c>
      <c r="AS275" s="38">
        <f t="shared" si="683"/>
        <v>4.2292619080870573</v>
      </c>
      <c r="AT275" s="38">
        <f t="shared" si="626"/>
        <v>253.0933078024959</v>
      </c>
      <c r="AU275" s="38">
        <f t="shared" ref="AU275:AU338" si="820">AQ275/AT275</f>
        <v>1.0000000000000016</v>
      </c>
      <c r="AV275" s="38">
        <f t="shared" si="715"/>
        <v>2.3806959565383146</v>
      </c>
      <c r="AW275" s="4">
        <f t="shared" si="707"/>
        <v>0</v>
      </c>
      <c r="AX275" s="4">
        <f t="shared" si="756"/>
        <v>405.88283756495929</v>
      </c>
      <c r="AY275" s="4">
        <f t="shared" si="724"/>
        <v>1.0720000000000001</v>
      </c>
      <c r="AZ275" s="38">
        <f t="shared" si="617"/>
        <v>602.53821451230908</v>
      </c>
      <c r="BA275" s="4">
        <f t="shared" si="725"/>
        <v>0.42600000000000005</v>
      </c>
      <c r="BB275" s="4">
        <f t="shared" si="726"/>
        <v>90.343431399396465</v>
      </c>
      <c r="BC275" s="4">
        <f t="shared" si="727"/>
        <v>692.8816459117055</v>
      </c>
      <c r="BE275" s="4">
        <f t="shared" si="627"/>
        <v>1.3625</v>
      </c>
      <c r="BF275" s="4">
        <f t="shared" si="628"/>
        <v>619.77794589672374</v>
      </c>
      <c r="BH275" s="4">
        <f t="shared" si="633"/>
        <v>577.90783333942409</v>
      </c>
      <c r="BI275" s="4">
        <f t="shared" si="806"/>
        <v>0</v>
      </c>
      <c r="BJ275" s="4">
        <f t="shared" si="635"/>
        <v>0</v>
      </c>
      <c r="BR275" s="4">
        <f t="shared" si="728"/>
        <v>50.800000000000004</v>
      </c>
      <c r="BV275" s="9"/>
      <c r="BX275" s="9"/>
      <c r="BY275" s="9"/>
      <c r="BZ275" s="9">
        <f t="shared" si="729"/>
        <v>50.800000000000004</v>
      </c>
      <c r="CA275" s="9">
        <f t="shared" si="730"/>
        <v>62.230000000000004</v>
      </c>
      <c r="CB275" s="9">
        <f t="shared" ref="CB275:CB338" si="821">(BZ275/K275)^0.5*(CA275/BZ275)^0.15</f>
        <v>1.4579257653311168</v>
      </c>
      <c r="CC275" s="40">
        <f t="shared" si="757"/>
        <v>0</v>
      </c>
      <c r="CD275" s="9">
        <f t="shared" si="731"/>
        <v>0</v>
      </c>
      <c r="CE275" s="9">
        <f t="shared" si="732"/>
        <v>0</v>
      </c>
      <c r="CF275" s="9">
        <f t="shared" si="733"/>
        <v>0.99524931562137331</v>
      </c>
      <c r="CG275" s="9">
        <f t="shared" si="734"/>
        <v>0.68</v>
      </c>
      <c r="CH275" s="9">
        <f t="shared" ref="CH275:CH338" si="822">1.75*CF275*CG275*(J275/25)^0.5</f>
        <v>1.7649108936707618</v>
      </c>
      <c r="CI275" s="9">
        <f t="shared" ref="CI275:CI338" si="823">MIN((CB275+CE275)*CH275,2.5*CH275,J275^0.5)</f>
        <v>2.5731090653961708</v>
      </c>
      <c r="CJ275" s="40">
        <v>1</v>
      </c>
      <c r="CK275" s="9">
        <f t="shared" ref="CK275:CK338" si="824">4*CI275*M275+60*CI275</f>
        <v>260.91325923117171</v>
      </c>
      <c r="CM275" s="4">
        <f t="shared" si="735"/>
        <v>1.3763102007627221</v>
      </c>
      <c r="CN275" s="4">
        <f t="shared" si="736"/>
        <v>0.80622815303489503</v>
      </c>
      <c r="CO275" s="4">
        <f t="shared" si="708"/>
        <v>0.90132392311400156</v>
      </c>
      <c r="CP275" s="4">
        <f t="shared" si="737"/>
        <v>2.1410207028238033</v>
      </c>
      <c r="CQ275" s="4">
        <f t="shared" si="694"/>
        <v>1.026278911927931</v>
      </c>
      <c r="CR275" s="4">
        <f t="shared" si="695"/>
        <v>1.0607370982090985</v>
      </c>
      <c r="CS275" s="4">
        <f t="shared" si="709"/>
        <v>1.8589949803999117</v>
      </c>
      <c r="CT275" s="4">
        <f t="shared" si="758"/>
        <v>0</v>
      </c>
      <c r="CU275" s="4">
        <f t="shared" ref="CU275:CV275" si="825">CM275</f>
        <v>1.3763102007627221</v>
      </c>
      <c r="CV275" s="4">
        <f t="shared" si="825"/>
        <v>0.80622815303489503</v>
      </c>
      <c r="CW275" s="4">
        <f t="shared" ref="CW275" si="826">CP275</f>
        <v>2.1410207028238033</v>
      </c>
      <c r="CX275" s="4">
        <f t="shared" ref="CX275" si="827">CS275</f>
        <v>1.8589949803999117</v>
      </c>
      <c r="CY275" s="4">
        <f t="shared" ref="CY275:CZ275" si="828">CQ275</f>
        <v>1.026278911927931</v>
      </c>
      <c r="CZ275" s="4">
        <f t="shared" si="828"/>
        <v>1.0607370982090985</v>
      </c>
      <c r="DI275" s="4">
        <f t="shared" si="742"/>
        <v>262.89</v>
      </c>
      <c r="DL275" s="4">
        <f t="shared" si="667"/>
        <v>2.1857853919995441E-5</v>
      </c>
      <c r="DM275" s="4">
        <f t="shared" si="769"/>
        <v>8.8912307388086589</v>
      </c>
      <c r="DN275" s="4">
        <f t="shared" si="668"/>
        <v>0.24817304440791377</v>
      </c>
      <c r="DO275" s="4">
        <f t="shared" si="669"/>
        <v>5.0917107494561256</v>
      </c>
      <c r="DP275" s="4">
        <f t="shared" si="670"/>
        <v>7.2467334633868781</v>
      </c>
      <c r="DQ275" s="4">
        <f t="shared" si="671"/>
        <v>8.2781801676860916</v>
      </c>
      <c r="DR275" s="38">
        <f t="shared" si="684"/>
        <v>544.31664059604179</v>
      </c>
      <c r="DS275" s="4">
        <f t="shared" ref="DS275:DS338" si="829">DR275/EX275</f>
        <v>1.0001018384037037</v>
      </c>
      <c r="DT275" s="4">
        <f t="shared" si="672"/>
        <v>2.2583179581272428</v>
      </c>
      <c r="DU275" s="4">
        <f t="shared" si="618"/>
        <v>253.0933078024959</v>
      </c>
      <c r="DY275" s="4">
        <f t="shared" si="785"/>
        <v>0.85</v>
      </c>
      <c r="DZ275" s="4">
        <f t="shared" ref="DZ275:DZ338" si="830">MIN(1,MAX(0.7,(1-0.1*(BR275-1*K275)/K275)))</f>
        <v>0.89999999999999991</v>
      </c>
      <c r="EA275" s="4">
        <f t="shared" si="685"/>
        <v>1</v>
      </c>
      <c r="EB275" s="4">
        <f t="shared" ref="EB275:EB338" si="831">IF(DZ275*EA275&lt;0.7,0.7,DZ275*EA275)</f>
        <v>0.89999999999999991</v>
      </c>
      <c r="ED275" s="4">
        <f t="shared" si="686"/>
        <v>526.63444184079435</v>
      </c>
      <c r="EE275" s="25">
        <f t="shared" si="687"/>
        <v>250.56172740078549</v>
      </c>
      <c r="EG275" s="4">
        <f t="shared" si="619"/>
        <v>0.7649999999999999</v>
      </c>
      <c r="EH275" s="4">
        <f t="shared" si="688"/>
        <v>8.8912307388086589</v>
      </c>
      <c r="EK275" s="4">
        <f t="shared" si="673"/>
        <v>57.361276136431961</v>
      </c>
      <c r="EL275" s="4">
        <f t="shared" si="674"/>
        <v>2.2583179581272428</v>
      </c>
      <c r="EM275" s="4">
        <f t="shared" si="675"/>
        <v>0.10111225888764264</v>
      </c>
      <c r="EP275" s="4">
        <f t="shared" si="759"/>
        <v>0.10111225888764264</v>
      </c>
      <c r="EQ275" s="4">
        <f t="shared" si="721"/>
        <v>0.24775888984996491</v>
      </c>
      <c r="ER275" s="4">
        <f t="shared" si="770"/>
        <v>5.0883101998175952</v>
      </c>
      <c r="ES275" s="4">
        <f t="shared" si="743"/>
        <v>7.2455460561495464</v>
      </c>
      <c r="ET275" s="4">
        <f t="shared" si="771"/>
        <v>139.80622386356802</v>
      </c>
      <c r="EU275" s="4">
        <f t="shared" si="772"/>
        <v>65.722499999999997</v>
      </c>
      <c r="EV275" s="4">
        <f t="shared" ref="EV275:EV338" si="832">EU275/(1-0.3*(J275/30)^0.5)/200000/K275</f>
        <v>2.1857853919995441E-5</v>
      </c>
      <c r="EW275" s="4">
        <f t="shared" si="744"/>
        <v>8.2783187395132902</v>
      </c>
      <c r="EX275" s="4">
        <f t="shared" si="636"/>
        <v>544.26121390282003</v>
      </c>
      <c r="FG275" s="23">
        <f t="shared" si="778"/>
        <v>1.4</v>
      </c>
      <c r="FH275" s="23">
        <f t="shared" si="778"/>
        <v>1</v>
      </c>
      <c r="FI275" s="23">
        <f t="shared" si="712"/>
        <v>2</v>
      </c>
      <c r="FJ275" s="23">
        <f t="shared" si="779"/>
        <v>2.2000000000000002</v>
      </c>
      <c r="FK275" s="23">
        <f t="shared" si="779"/>
        <v>1.2</v>
      </c>
      <c r="FL275" s="23">
        <f t="shared" si="779"/>
        <v>1.2</v>
      </c>
      <c r="FM275" s="23">
        <f t="shared" si="701"/>
        <v>0</v>
      </c>
      <c r="FN275" s="23"/>
      <c r="FX275" s="4">
        <f t="shared" ref="FX275:FX338" si="833">IF(O275&gt;=2.5*25.4,1,1.25)</f>
        <v>1.25</v>
      </c>
      <c r="FY275" s="4">
        <f t="shared" si="652"/>
        <v>0.75</v>
      </c>
      <c r="FZ275" s="4">
        <f t="shared" ref="FZ275:FZ338" si="834">MIN(0.3, AE275^2*PI()/4*2*AH275/(K275^2*PI()/4*R275))</f>
        <v>0</v>
      </c>
      <c r="GA275" s="4">
        <f t="shared" ref="GA275:GA338" si="835">(H275/25.4)/(K275/25.4)^1.5/0.0024*(J275*145)^0.25/FX275/FY275/145</f>
        <v>300.49607209536441</v>
      </c>
    </row>
    <row r="276" spans="1:183" ht="12" hidden="1" customHeight="1" x14ac:dyDescent="0.3">
      <c r="A276" s="25">
        <v>258</v>
      </c>
      <c r="B276" s="4" t="s">
        <v>605</v>
      </c>
      <c r="C276" s="4">
        <v>2016</v>
      </c>
      <c r="D276" s="4" t="s">
        <v>309</v>
      </c>
      <c r="E276" s="24" t="s">
        <v>664</v>
      </c>
      <c r="F276" s="7" t="s">
        <v>414</v>
      </c>
      <c r="G276" s="38">
        <f t="shared" si="804"/>
        <v>889.65517241379314</v>
      </c>
      <c r="H276" s="38">
        <f>10.25*25.4</f>
        <v>260.34999999999997</v>
      </c>
      <c r="I276" s="4">
        <f t="shared" si="746"/>
        <v>260.34999999999997</v>
      </c>
      <c r="J276" s="38">
        <f>8260/145</f>
        <v>56.96551724137931</v>
      </c>
      <c r="K276" s="38">
        <f t="shared" si="747"/>
        <v>25.4</v>
      </c>
      <c r="L276" s="7">
        <f t="shared" si="748"/>
        <v>10.25</v>
      </c>
      <c r="M276" s="7">
        <f t="shared" si="749"/>
        <v>10.25</v>
      </c>
      <c r="N276" s="38">
        <f>16*25.4</f>
        <v>406.4</v>
      </c>
      <c r="O276" s="38">
        <f>2.45*25.4</f>
        <v>62.230000000000004</v>
      </c>
      <c r="P276" s="39">
        <f>(4+3.3+3.3)/3*25.4</f>
        <v>89.746666666666655</v>
      </c>
      <c r="Q276" s="7">
        <f t="shared" si="750"/>
        <v>102.86999999999999</v>
      </c>
      <c r="R276" s="38">
        <v>3</v>
      </c>
      <c r="S276" s="4">
        <f t="shared" si="722"/>
        <v>260.34999999999997</v>
      </c>
      <c r="T276" s="7">
        <f t="shared" si="751"/>
        <v>2.5249999999999999</v>
      </c>
      <c r="U276" s="7">
        <f t="shared" si="631"/>
        <v>2.95</v>
      </c>
      <c r="V276" s="38">
        <v>4.0999999999999996</v>
      </c>
      <c r="W276" s="4">
        <f t="shared" si="752"/>
        <v>4.0999999999999996</v>
      </c>
      <c r="X276" s="4">
        <f t="shared" si="753"/>
        <v>5.0999999999999996</v>
      </c>
      <c r="Y276" s="7">
        <f t="shared" si="754"/>
        <v>57.361276136431961</v>
      </c>
      <c r="AB276" s="38">
        <f t="shared" si="786"/>
        <v>522.75862068965523</v>
      </c>
      <c r="AC276" s="4">
        <v>75.8</v>
      </c>
      <c r="AD276" s="4">
        <f t="shared" si="666"/>
        <v>0.95166687424883689</v>
      </c>
      <c r="AE276" s="38">
        <f t="shared" ref="AE276:AE286" si="836">0.375*25.4</f>
        <v>9.5249999999999986</v>
      </c>
      <c r="AF276" s="38">
        <v>2</v>
      </c>
      <c r="AG276" s="39">
        <f>3*25.4</f>
        <v>76.199999999999989</v>
      </c>
      <c r="AH276" s="39">
        <v>2</v>
      </c>
      <c r="AI276" s="39"/>
      <c r="AJ276" s="7"/>
      <c r="AK276" s="4">
        <f t="shared" si="755"/>
        <v>260.34999999999997</v>
      </c>
      <c r="AL276" s="4">
        <f t="shared" si="678"/>
        <v>0.52032520325203269</v>
      </c>
      <c r="AM276" s="4">
        <f t="shared" si="679"/>
        <v>208.575755923034</v>
      </c>
      <c r="AN276" s="4">
        <f t="shared" si="680"/>
        <v>0.7575609756097561</v>
      </c>
      <c r="AO276" s="4">
        <v>1.25</v>
      </c>
      <c r="AP276" s="4">
        <f t="shared" si="624"/>
        <v>2.5</v>
      </c>
      <c r="AQ276" s="38">
        <f t="shared" si="723"/>
        <v>256.92496446438383</v>
      </c>
      <c r="AR276" s="38">
        <f t="shared" si="682"/>
        <v>256.92496446438383</v>
      </c>
      <c r="AS276" s="38">
        <f t="shared" si="683"/>
        <v>4.2706194667653463</v>
      </c>
      <c r="AT276" s="38">
        <f t="shared" si="626"/>
        <v>256.92496446438389</v>
      </c>
      <c r="AU276" s="38">
        <f t="shared" si="820"/>
        <v>0.99999999999999978</v>
      </c>
      <c r="AV276" s="38">
        <f t="shared" si="715"/>
        <v>2.4198387861849078</v>
      </c>
      <c r="AW276" s="4">
        <f t="shared" si="707"/>
        <v>0</v>
      </c>
      <c r="AX276" s="4">
        <f t="shared" si="756"/>
        <v>407.17048282302869</v>
      </c>
      <c r="AY276" s="4">
        <f t="shared" si="724"/>
        <v>1.0673267326732674</v>
      </c>
      <c r="AZ276" s="38">
        <f t="shared" ref="AZ276:AZ339" si="837">2*J276*T276*V276^0.5*AY276*0.7/0.7</f>
        <v>621.71699415009527</v>
      </c>
      <c r="BA276" s="4">
        <f t="shared" si="725"/>
        <v>0.42600000000000005</v>
      </c>
      <c r="BB276" s="4">
        <f t="shared" si="726"/>
        <v>90.630041919163844</v>
      </c>
      <c r="BC276" s="4">
        <f t="shared" si="727"/>
        <v>712.34703606925916</v>
      </c>
      <c r="BE276" s="4">
        <f t="shared" si="627"/>
        <v>1.5</v>
      </c>
      <c r="BF276" s="4">
        <f t="shared" si="628"/>
        <v>687.77053141241106</v>
      </c>
      <c r="BH276" s="4">
        <f t="shared" si="633"/>
        <v>596.30262842397872</v>
      </c>
      <c r="BI276" s="4">
        <f t="shared" si="806"/>
        <v>0</v>
      </c>
      <c r="BJ276" s="4">
        <f t="shared" si="635"/>
        <v>0</v>
      </c>
      <c r="BR276" s="4">
        <f t="shared" si="728"/>
        <v>51.434999999999995</v>
      </c>
      <c r="BV276" s="9"/>
      <c r="BX276" s="9"/>
      <c r="BY276" s="9"/>
      <c r="BZ276" s="9">
        <f t="shared" si="729"/>
        <v>51.434999999999995</v>
      </c>
      <c r="CA276" s="9">
        <f t="shared" si="730"/>
        <v>62.230000000000004</v>
      </c>
      <c r="CB276" s="9">
        <f t="shared" si="821"/>
        <v>1.4642784548874435</v>
      </c>
      <c r="CC276" s="40">
        <f t="shared" si="757"/>
        <v>20</v>
      </c>
      <c r="CD276" s="9">
        <f t="shared" si="731"/>
        <v>4.9087385212340517E-2</v>
      </c>
      <c r="CE276" s="9">
        <f t="shared" si="732"/>
        <v>0.78174770424681028</v>
      </c>
      <c r="CF276" s="9">
        <f t="shared" si="733"/>
        <v>0.99524931562137331</v>
      </c>
      <c r="CG276" s="9">
        <f t="shared" si="734"/>
        <v>0.68</v>
      </c>
      <c r="CH276" s="9">
        <f t="shared" si="822"/>
        <v>1.7877832632633699</v>
      </c>
      <c r="CI276" s="9">
        <f t="shared" si="823"/>
        <v>4.0154079761519297</v>
      </c>
      <c r="CJ276" s="40">
        <v>1</v>
      </c>
      <c r="CK276" s="9">
        <f t="shared" si="824"/>
        <v>405.55620559134491</v>
      </c>
      <c r="CM276" s="4">
        <f t="shared" si="735"/>
        <v>1.2838814274188568</v>
      </c>
      <c r="CN276" s="4">
        <f t="shared" si="736"/>
        <v>0.73385385804964465</v>
      </c>
      <c r="CO276" s="4">
        <f t="shared" si="708"/>
        <v>0.76007708503607152</v>
      </c>
      <c r="CP276" s="4">
        <f t="shared" si="737"/>
        <v>1.2889917932026622</v>
      </c>
      <c r="CQ276" s="4">
        <f t="shared" si="694"/>
        <v>0.95166687424883689</v>
      </c>
      <c r="CR276" s="4">
        <f t="shared" si="695"/>
        <v>0.98254513569119484</v>
      </c>
      <c r="CS276" s="4">
        <f t="shared" si="709"/>
        <v>1.4016929584772584</v>
      </c>
      <c r="CT276" s="4">
        <f t="shared" si="758"/>
        <v>2</v>
      </c>
      <c r="DA276" s="4">
        <f t="shared" ref="DA276:DB278" si="838">CM276</f>
        <v>1.2838814274188568</v>
      </c>
      <c r="DB276" s="4">
        <f t="shared" si="838"/>
        <v>0.73385385804964465</v>
      </c>
      <c r="DC276" s="4">
        <f t="shared" ref="DC276:DC278" si="839">CP276</f>
        <v>1.2889917932026622</v>
      </c>
      <c r="DD276" s="4">
        <f t="shared" ref="DD276:DD278" si="840">CS276</f>
        <v>1.4016929584772584</v>
      </c>
      <c r="DE276" s="4">
        <f t="shared" ref="DE276:DF278" si="841">CQ276</f>
        <v>0.95166687424883689</v>
      </c>
      <c r="DF276" s="4">
        <f t="shared" si="841"/>
        <v>0.98254513569119484</v>
      </c>
      <c r="DI276" s="4">
        <f t="shared" si="742"/>
        <v>260.34999999999997</v>
      </c>
      <c r="DL276" s="4">
        <f t="shared" si="667"/>
        <v>2.1841835201299478E-5</v>
      </c>
      <c r="DM276" s="4">
        <f t="shared" si="769"/>
        <v>9.0315443012169894</v>
      </c>
      <c r="DN276" s="4">
        <f t="shared" si="668"/>
        <v>0.24552520632159011</v>
      </c>
      <c r="DO276" s="4">
        <f t="shared" si="669"/>
        <v>5.1499196176140778</v>
      </c>
      <c r="DP276" s="4">
        <f t="shared" si="670"/>
        <v>7.3533737732352842</v>
      </c>
      <c r="DQ276" s="4">
        <f t="shared" si="671"/>
        <v>8.4069859193153622</v>
      </c>
      <c r="DR276" s="38">
        <f t="shared" si="684"/>
        <v>549.3084133061534</v>
      </c>
      <c r="DS276" s="4">
        <f t="shared" si="829"/>
        <v>1.0001012571546577</v>
      </c>
      <c r="DT276" s="4">
        <f t="shared" si="672"/>
        <v>2.2583179581272428</v>
      </c>
      <c r="DU276" s="4">
        <f t="shared" ref="DU276:DU339" si="842">MIN(DT$10*AT276)</f>
        <v>256.92496446438389</v>
      </c>
      <c r="DY276" s="4">
        <f t="shared" si="785"/>
        <v>0.85</v>
      </c>
      <c r="DZ276" s="4">
        <f t="shared" si="830"/>
        <v>0.89749999999999996</v>
      </c>
      <c r="EA276" s="4">
        <f t="shared" si="685"/>
        <v>1</v>
      </c>
      <c r="EB276" s="4">
        <f t="shared" si="831"/>
        <v>0.89749999999999996</v>
      </c>
      <c r="ED276" s="4">
        <f t="shared" si="686"/>
        <v>532.04540096970527</v>
      </c>
      <c r="EE276" s="25">
        <f t="shared" si="687"/>
        <v>254.32541370728282</v>
      </c>
      <c r="EG276" s="4">
        <f t="shared" ref="EG276:EG339" si="843">DY276*EB276</f>
        <v>0.76287499999999997</v>
      </c>
      <c r="EH276" s="4">
        <f t="shared" si="688"/>
        <v>9.0315443012169894</v>
      </c>
      <c r="EK276" s="4">
        <f t="shared" si="673"/>
        <v>57.361276136431961</v>
      </c>
      <c r="EL276" s="4">
        <f t="shared" si="674"/>
        <v>2.2583179581272428</v>
      </c>
      <c r="EM276" s="4">
        <f t="shared" si="675"/>
        <v>0.10132984366371672</v>
      </c>
      <c r="EP276" s="4">
        <f t="shared" si="759"/>
        <v>0.10132984366371672</v>
      </c>
      <c r="EQ276" s="4">
        <f t="shared" si="721"/>
        <v>0.24511547051191737</v>
      </c>
      <c r="ER276" s="4">
        <f t="shared" si="770"/>
        <v>5.1464801926043178</v>
      </c>
      <c r="ES276" s="4">
        <f t="shared" si="743"/>
        <v>7.3521768503320528</v>
      </c>
      <c r="ET276" s="4">
        <f t="shared" si="771"/>
        <v>137.90122386356802</v>
      </c>
      <c r="EU276" s="4">
        <f t="shared" si="772"/>
        <v>65.087499999999977</v>
      </c>
      <c r="EV276" s="4">
        <f t="shared" si="832"/>
        <v>2.1841835201299478E-5</v>
      </c>
      <c r="EW276" s="4">
        <f t="shared" si="744"/>
        <v>8.40712706418579</v>
      </c>
      <c r="EX276" s="4">
        <f t="shared" si="636"/>
        <v>549.25279753068764</v>
      </c>
      <c r="FG276" s="23">
        <f t="shared" si="778"/>
        <v>1.4</v>
      </c>
      <c r="FH276" s="23">
        <f t="shared" si="778"/>
        <v>0.8</v>
      </c>
      <c r="FI276" s="23">
        <f t="shared" si="712"/>
        <v>1.6</v>
      </c>
      <c r="FJ276" s="23">
        <f t="shared" si="779"/>
        <v>1.4</v>
      </c>
      <c r="FK276" s="23">
        <f t="shared" si="779"/>
        <v>1</v>
      </c>
      <c r="FL276" s="23">
        <f t="shared" si="779"/>
        <v>1</v>
      </c>
      <c r="FM276" s="23">
        <f t="shared" si="701"/>
        <v>0</v>
      </c>
      <c r="FN276" s="23"/>
      <c r="FX276" s="4">
        <f t="shared" si="833"/>
        <v>1.25</v>
      </c>
      <c r="FY276" s="4">
        <f t="shared" si="652"/>
        <v>0.60232558139534875</v>
      </c>
      <c r="FZ276" s="4">
        <f t="shared" si="834"/>
        <v>0.18749999999999997</v>
      </c>
      <c r="GA276" s="4">
        <f t="shared" si="835"/>
        <v>372.94802512067884</v>
      </c>
    </row>
    <row r="277" spans="1:183" ht="12" hidden="1" customHeight="1" x14ac:dyDescent="0.3">
      <c r="A277" s="25">
        <v>259</v>
      </c>
      <c r="B277" s="4" t="s">
        <v>605</v>
      </c>
      <c r="C277" s="4">
        <v>2016</v>
      </c>
      <c r="D277" s="4" t="s">
        <v>309</v>
      </c>
      <c r="E277" s="24" t="s">
        <v>664</v>
      </c>
      <c r="F277" s="7" t="s">
        <v>415</v>
      </c>
      <c r="G277" s="38">
        <f t="shared" si="804"/>
        <v>889.65517241379314</v>
      </c>
      <c r="H277" s="38">
        <f>9.79*25.4</f>
        <v>248.66599999999997</v>
      </c>
      <c r="I277" s="4">
        <f t="shared" si="746"/>
        <v>248.66599999999997</v>
      </c>
      <c r="J277" s="38">
        <f>8260/145</f>
        <v>56.96551724137931</v>
      </c>
      <c r="K277" s="38">
        <f t="shared" si="747"/>
        <v>25.4</v>
      </c>
      <c r="L277" s="7">
        <f t="shared" si="748"/>
        <v>9.7899999999999991</v>
      </c>
      <c r="M277" s="7">
        <f t="shared" si="749"/>
        <v>9.7899999999999991</v>
      </c>
      <c r="N277" s="38">
        <f>15.3*25.4</f>
        <v>388.62</v>
      </c>
      <c r="O277" s="38">
        <f>2.4*25.4</f>
        <v>60.959999999999994</v>
      </c>
      <c r="P277" s="39">
        <f>(3.6+3.4+3.2)/3*25.4</f>
        <v>86.36</v>
      </c>
      <c r="Q277" s="7">
        <f t="shared" si="750"/>
        <v>95.250000000000014</v>
      </c>
      <c r="R277" s="38">
        <v>3</v>
      </c>
      <c r="S277" s="4">
        <f t="shared" si="722"/>
        <v>260.34999999999997</v>
      </c>
      <c r="T277" s="7">
        <f t="shared" si="751"/>
        <v>2.3750000000000004</v>
      </c>
      <c r="U277" s="7">
        <f t="shared" si="631"/>
        <v>2.9</v>
      </c>
      <c r="V277" s="38">
        <v>4.0999999999999996</v>
      </c>
      <c r="W277" s="4">
        <f t="shared" si="752"/>
        <v>4.0999999999999996</v>
      </c>
      <c r="X277" s="4">
        <f t="shared" si="753"/>
        <v>5.0999999999999996</v>
      </c>
      <c r="Y277" s="7">
        <f t="shared" si="754"/>
        <v>57.361276136431961</v>
      </c>
      <c r="AB277" s="38">
        <f t="shared" si="786"/>
        <v>489.65517241379314</v>
      </c>
      <c r="AC277" s="4">
        <v>71</v>
      </c>
      <c r="AD277" s="4">
        <f t="shared" si="666"/>
        <v>0.94979047422646845</v>
      </c>
      <c r="AE277" s="38">
        <f t="shared" si="836"/>
        <v>9.5249999999999986</v>
      </c>
      <c r="AF277" s="38">
        <v>4</v>
      </c>
      <c r="AG277" s="39">
        <f>5*25.4</f>
        <v>127</v>
      </c>
      <c r="AH277" s="39">
        <v>2</v>
      </c>
      <c r="AI277" s="39">
        <v>1</v>
      </c>
      <c r="AJ277" s="7"/>
      <c r="AK277" s="4">
        <f t="shared" si="755"/>
        <v>248.66599999999997</v>
      </c>
      <c r="AL277" s="4">
        <f t="shared" si="678"/>
        <v>0.52093973442288066</v>
      </c>
      <c r="AM277" s="4">
        <f t="shared" si="679"/>
        <v>194.69377496943841</v>
      </c>
      <c r="AN277" s="4">
        <f t="shared" si="680"/>
        <v>0.75924412665985697</v>
      </c>
      <c r="AO277" s="4">
        <v>1.25</v>
      </c>
      <c r="AP277" s="4">
        <f t="shared" si="624"/>
        <v>2.5</v>
      </c>
      <c r="AQ277" s="38">
        <f t="shared" si="723"/>
        <v>240.64176973575979</v>
      </c>
      <c r="AR277" s="38">
        <f t="shared" si="682"/>
        <v>240.64176973575979</v>
      </c>
      <c r="AS277" s="38">
        <f t="shared" si="683"/>
        <v>4.2706194667653463</v>
      </c>
      <c r="AT277" s="38">
        <f t="shared" si="626"/>
        <v>240.64176973575968</v>
      </c>
      <c r="AU277" s="38">
        <f t="shared" si="820"/>
        <v>1.0000000000000004</v>
      </c>
      <c r="AV277" s="38">
        <f t="shared" si="715"/>
        <v>2.478126681673158</v>
      </c>
      <c r="AW277" s="4">
        <f t="shared" si="707"/>
        <v>0</v>
      </c>
      <c r="AX277" s="4">
        <f t="shared" si="756"/>
        <v>388.89746603292207</v>
      </c>
      <c r="AY277" s="4">
        <f t="shared" si="724"/>
        <v>1.088421052631579</v>
      </c>
      <c r="AZ277" s="38">
        <f t="shared" si="837"/>
        <v>596.34079030723433</v>
      </c>
      <c r="BA277" s="4">
        <f t="shared" si="725"/>
        <v>0.42600000000000005</v>
      </c>
      <c r="BB277" s="4">
        <f t="shared" si="726"/>
        <v>86.562742476937942</v>
      </c>
      <c r="BC277" s="4">
        <f t="shared" si="727"/>
        <v>682.90353278417228</v>
      </c>
      <c r="BE277" s="4">
        <f t="shared" si="627"/>
        <v>1.5</v>
      </c>
      <c r="BF277" s="4">
        <f t="shared" si="628"/>
        <v>672.14710205686981</v>
      </c>
      <c r="BH277" s="4">
        <f t="shared" si="633"/>
        <v>571.96374563116331</v>
      </c>
      <c r="BI277" s="4">
        <f t="shared" si="806"/>
        <v>0</v>
      </c>
      <c r="BJ277" s="4">
        <f t="shared" si="635"/>
        <v>0</v>
      </c>
      <c r="BR277" s="4">
        <f t="shared" si="728"/>
        <v>47.625000000000007</v>
      </c>
      <c r="BV277" s="9"/>
      <c r="BX277" s="9"/>
      <c r="BY277" s="9"/>
      <c r="BZ277" s="9">
        <f t="shared" si="729"/>
        <v>47.625000000000007</v>
      </c>
      <c r="CA277" s="9">
        <f t="shared" si="730"/>
        <v>60.959999999999994</v>
      </c>
      <c r="CB277" s="9">
        <f t="shared" si="821"/>
        <v>1.4209609120759505</v>
      </c>
      <c r="CC277" s="40">
        <f t="shared" si="757"/>
        <v>20</v>
      </c>
      <c r="CD277" s="9">
        <f t="shared" si="731"/>
        <v>0.05</v>
      </c>
      <c r="CE277" s="9">
        <f t="shared" si="732"/>
        <v>0.8</v>
      </c>
      <c r="CF277" s="9">
        <f t="shared" si="733"/>
        <v>0.99524931562137331</v>
      </c>
      <c r="CG277" s="9">
        <f t="shared" si="734"/>
        <v>0.68</v>
      </c>
      <c r="CH277" s="9">
        <f t="shared" si="822"/>
        <v>1.7877832632633699</v>
      </c>
      <c r="CI277" s="9">
        <f t="shared" si="823"/>
        <v>3.9705967469715331</v>
      </c>
      <c r="CJ277" s="40">
        <v>1</v>
      </c>
      <c r="CK277" s="9">
        <f t="shared" si="824"/>
        <v>393.72437342969721</v>
      </c>
      <c r="CM277" s="4">
        <f t="shared" si="735"/>
        <v>1.2590855307150328</v>
      </c>
      <c r="CN277" s="4">
        <f t="shared" si="736"/>
        <v>0.71701953337023638</v>
      </c>
      <c r="CO277" s="4">
        <f t="shared" si="708"/>
        <v>0.72849406166503683</v>
      </c>
      <c r="CP277" s="4">
        <f t="shared" si="737"/>
        <v>1.2436496327327959</v>
      </c>
      <c r="CQ277" s="4">
        <f t="shared" si="694"/>
        <v>0.94979047422646845</v>
      </c>
      <c r="CR277" s="4">
        <f t="shared" si="695"/>
        <v>0.97651110382324768</v>
      </c>
      <c r="CS277" s="4">
        <f t="shared" si="709"/>
        <v>1.4064662597202062</v>
      </c>
      <c r="CT277" s="4">
        <f t="shared" si="758"/>
        <v>4</v>
      </c>
      <c r="DA277" s="4">
        <f t="shared" si="838"/>
        <v>1.2590855307150328</v>
      </c>
      <c r="DB277" s="4">
        <f t="shared" si="838"/>
        <v>0.71701953337023638</v>
      </c>
      <c r="DC277" s="4">
        <f t="shared" si="839"/>
        <v>1.2436496327327959</v>
      </c>
      <c r="DD277" s="4">
        <f t="shared" si="840"/>
        <v>1.4064662597202062</v>
      </c>
      <c r="DE277" s="4">
        <f t="shared" si="841"/>
        <v>0.94979047422646845</v>
      </c>
      <c r="DF277" s="4">
        <f t="shared" si="841"/>
        <v>0.97651110382324768</v>
      </c>
      <c r="DI277" s="4">
        <f t="shared" si="742"/>
        <v>248.66599999999997</v>
      </c>
      <c r="DL277" s="4">
        <f t="shared" si="667"/>
        <v>2.0861616255680189E-5</v>
      </c>
      <c r="DM277" s="4">
        <f t="shared" si="769"/>
        <v>8.9671475677266113</v>
      </c>
      <c r="DN277" s="4">
        <f t="shared" si="668"/>
        <v>0.22996449678269945</v>
      </c>
      <c r="DO277" s="4">
        <f t="shared" si="669"/>
        <v>4.9810239934527845</v>
      </c>
      <c r="DP277" s="4">
        <f t="shared" si="670"/>
        <v>7.2554065540111337</v>
      </c>
      <c r="DQ277" s="4">
        <f t="shared" si="671"/>
        <v>8.4118750908213116</v>
      </c>
      <c r="DR277" s="38">
        <f t="shared" si="684"/>
        <v>515.54020144556591</v>
      </c>
      <c r="DS277" s="4">
        <f t="shared" si="829"/>
        <v>1.000100654738947</v>
      </c>
      <c r="DT277" s="4">
        <f t="shared" si="672"/>
        <v>2.2583179581272428</v>
      </c>
      <c r="DU277" s="4">
        <f t="shared" si="842"/>
        <v>240.64176973575968</v>
      </c>
      <c r="DY277" s="4">
        <f t="shared" si="785"/>
        <v>0.85</v>
      </c>
      <c r="DZ277" s="4">
        <f t="shared" si="830"/>
        <v>0.91249999999999998</v>
      </c>
      <c r="EA277" s="4">
        <f t="shared" si="685"/>
        <v>0.99062499999999998</v>
      </c>
      <c r="EB277" s="4">
        <f t="shared" si="831"/>
        <v>0.90394531249999999</v>
      </c>
      <c r="ED277" s="4">
        <f t="shared" si="686"/>
        <v>501.43328682765559</v>
      </c>
      <c r="EE277" s="25">
        <f t="shared" si="687"/>
        <v>238.06816276352504</v>
      </c>
      <c r="EG277" s="4">
        <f t="shared" si="843"/>
        <v>0.76835351562499998</v>
      </c>
      <c r="EH277" s="4">
        <f t="shared" si="688"/>
        <v>8.9671475677266113</v>
      </c>
      <c r="EK277" s="4">
        <f t="shared" si="673"/>
        <v>57.361276136431961</v>
      </c>
      <c r="EL277" s="4">
        <f t="shared" si="674"/>
        <v>2.2583179581272428</v>
      </c>
      <c r="EM277" s="4">
        <f t="shared" si="675"/>
        <v>9.4907838002892445E-2</v>
      </c>
      <c r="EP277" s="4">
        <f t="shared" si="759"/>
        <v>9.4907838002892445E-2</v>
      </c>
      <c r="EQ277" s="4">
        <f t="shared" si="721"/>
        <v>0.22958072889712505</v>
      </c>
      <c r="ER277" s="4">
        <f t="shared" si="770"/>
        <v>4.9776973670645397</v>
      </c>
      <c r="ES277" s="4">
        <f t="shared" si="743"/>
        <v>7.2542727905675264</v>
      </c>
      <c r="ET277" s="4">
        <f t="shared" si="771"/>
        <v>129.13822386356802</v>
      </c>
      <c r="EU277" s="4">
        <f t="shared" si="772"/>
        <v>62.166499999999985</v>
      </c>
      <c r="EV277" s="4">
        <f t="shared" si="832"/>
        <v>2.0861616255680189E-5</v>
      </c>
      <c r="EW277" s="4">
        <f t="shared" si="744"/>
        <v>8.4119998117224384</v>
      </c>
      <c r="EX277" s="4">
        <f t="shared" si="636"/>
        <v>515.48831510377886</v>
      </c>
      <c r="FG277" s="23">
        <f t="shared" si="778"/>
        <v>1.4</v>
      </c>
      <c r="FH277" s="23">
        <f t="shared" si="778"/>
        <v>0.8</v>
      </c>
      <c r="FI277" s="23">
        <f t="shared" si="712"/>
        <v>1.6</v>
      </c>
      <c r="FJ277" s="23">
        <f t="shared" si="779"/>
        <v>1.4</v>
      </c>
      <c r="FK277" s="23">
        <f t="shared" si="779"/>
        <v>1</v>
      </c>
      <c r="FL277" s="23">
        <f t="shared" si="779"/>
        <v>1</v>
      </c>
      <c r="FM277" s="23">
        <f t="shared" si="701"/>
        <v>0</v>
      </c>
      <c r="FN277" s="23"/>
      <c r="FX277" s="4">
        <f t="shared" si="833"/>
        <v>1.25</v>
      </c>
      <c r="FY277" s="4">
        <f t="shared" si="652"/>
        <v>0.61627906976744196</v>
      </c>
      <c r="FZ277" s="4">
        <f t="shared" si="834"/>
        <v>0.18749999999999997</v>
      </c>
      <c r="GA277" s="4">
        <f t="shared" si="835"/>
        <v>348.14569423883808</v>
      </c>
    </row>
    <row r="278" spans="1:183" ht="12" hidden="1" customHeight="1" x14ac:dyDescent="0.3">
      <c r="A278" s="25">
        <v>260</v>
      </c>
      <c r="B278" s="4" t="s">
        <v>605</v>
      </c>
      <c r="C278" s="4">
        <v>2016</v>
      </c>
      <c r="D278" s="4" t="s">
        <v>309</v>
      </c>
      <c r="E278" s="24" t="s">
        <v>664</v>
      </c>
      <c r="F278" s="7" t="s">
        <v>416</v>
      </c>
      <c r="G278" s="38">
        <f t="shared" si="804"/>
        <v>889.65517241379314</v>
      </c>
      <c r="H278" s="38">
        <f>10*25.4</f>
        <v>254</v>
      </c>
      <c r="I278" s="4">
        <f t="shared" si="746"/>
        <v>254</v>
      </c>
      <c r="J278" s="38">
        <f>8260/145</f>
        <v>56.96551724137931</v>
      </c>
      <c r="K278" s="38">
        <f t="shared" si="747"/>
        <v>25.4</v>
      </c>
      <c r="L278" s="7">
        <f t="shared" si="748"/>
        <v>10</v>
      </c>
      <c r="M278" s="7">
        <f t="shared" si="749"/>
        <v>10</v>
      </c>
      <c r="N278" s="38">
        <f>16*25.4</f>
        <v>406.4</v>
      </c>
      <c r="O278" s="38">
        <f>2.45*25.4</f>
        <v>62.230000000000004</v>
      </c>
      <c r="P278" s="39">
        <f>(3.2+3.1+2.9)/3*25.4</f>
        <v>77.893333333333331</v>
      </c>
      <c r="Q278" s="7">
        <f t="shared" si="750"/>
        <v>102.86999999999999</v>
      </c>
      <c r="R278" s="38">
        <v>3</v>
      </c>
      <c r="S278" s="4">
        <f t="shared" si="722"/>
        <v>260.34999999999997</v>
      </c>
      <c r="T278" s="7">
        <f t="shared" si="751"/>
        <v>2.5249999999999999</v>
      </c>
      <c r="U278" s="7">
        <f t="shared" si="631"/>
        <v>2.95</v>
      </c>
      <c r="V278" s="38">
        <v>4.0999999999999996</v>
      </c>
      <c r="W278" s="4">
        <f t="shared" si="752"/>
        <v>4.0999999999999996</v>
      </c>
      <c r="X278" s="4">
        <f t="shared" si="753"/>
        <v>5.0999999999999996</v>
      </c>
      <c r="Y278" s="7">
        <f t="shared" si="754"/>
        <v>57.361276136431961</v>
      </c>
      <c r="AB278" s="38">
        <f t="shared" si="786"/>
        <v>571.72413793103453</v>
      </c>
      <c r="AC278" s="4">
        <v>82.9</v>
      </c>
      <c r="AD278" s="4">
        <f t="shared" si="666"/>
        <v>1.0555684263285166</v>
      </c>
      <c r="AE278" s="38">
        <f t="shared" si="836"/>
        <v>9.5249999999999986</v>
      </c>
      <c r="AF278" s="38">
        <v>4</v>
      </c>
      <c r="AG278" s="39">
        <f>5*25.4</f>
        <v>127</v>
      </c>
      <c r="AH278" s="39">
        <f>2+2</f>
        <v>4</v>
      </c>
      <c r="AI278" s="39">
        <v>1</v>
      </c>
      <c r="AJ278" s="7"/>
      <c r="AK278" s="4">
        <f t="shared" si="755"/>
        <v>254</v>
      </c>
      <c r="AL278" s="4">
        <f t="shared" si="678"/>
        <v>0.53333333333333333</v>
      </c>
      <c r="AM278" s="4">
        <f t="shared" si="679"/>
        <v>200.9916558719431</v>
      </c>
      <c r="AN278" s="4">
        <f t="shared" si="680"/>
        <v>0.75900000000000001</v>
      </c>
      <c r="AO278" s="4">
        <v>1.25</v>
      </c>
      <c r="AP278" s="4">
        <f t="shared" ref="AP278:AP341" si="844">AP277</f>
        <v>2.5</v>
      </c>
      <c r="AQ278" s="38">
        <f t="shared" si="723"/>
        <v>254.25444467800804</v>
      </c>
      <c r="AR278" s="38">
        <f t="shared" si="682"/>
        <v>254.25444467800804</v>
      </c>
      <c r="AS278" s="38">
        <f t="shared" si="683"/>
        <v>4.2706194667653463</v>
      </c>
      <c r="AT278" s="38">
        <f t="shared" si="626"/>
        <v>254.25444467800801</v>
      </c>
      <c r="AU278" s="38">
        <f t="shared" si="820"/>
        <v>1.0000000000000002</v>
      </c>
      <c r="AV278" s="38">
        <f t="shared" si="715"/>
        <v>2.4452551653028047</v>
      </c>
      <c r="AW278" s="4">
        <f t="shared" si="707"/>
        <v>0</v>
      </c>
      <c r="AX278" s="4">
        <f t="shared" si="756"/>
        <v>397.2394954371012</v>
      </c>
      <c r="AY278" s="4">
        <f t="shared" si="724"/>
        <v>1.0673267326732674</v>
      </c>
      <c r="AZ278" s="38">
        <f t="shared" si="837"/>
        <v>621.71699415009527</v>
      </c>
      <c r="BA278" s="4">
        <f t="shared" si="725"/>
        <v>0.42600000000000005</v>
      </c>
      <c r="BB278" s="4">
        <f t="shared" si="726"/>
        <v>88.419553091867186</v>
      </c>
      <c r="BC278" s="4">
        <f t="shared" si="727"/>
        <v>710.13654724196249</v>
      </c>
      <c r="BE278" s="4">
        <f t="shared" si="627"/>
        <v>1.5</v>
      </c>
      <c r="BF278" s="4">
        <f t="shared" si="628"/>
        <v>679.27953719744312</v>
      </c>
      <c r="BH278" s="4">
        <f t="shared" si="633"/>
        <v>596.30262842397872</v>
      </c>
      <c r="BI278" s="4">
        <f t="shared" si="806"/>
        <v>0</v>
      </c>
      <c r="BJ278" s="4">
        <f t="shared" si="635"/>
        <v>0</v>
      </c>
      <c r="BR278" s="4">
        <f t="shared" si="728"/>
        <v>51.434999999999995</v>
      </c>
      <c r="BV278" s="9"/>
      <c r="BX278" s="9"/>
      <c r="BY278" s="9"/>
      <c r="BZ278" s="9">
        <f t="shared" si="729"/>
        <v>51.434999999999995</v>
      </c>
      <c r="CA278" s="9">
        <f t="shared" si="730"/>
        <v>62.230000000000004</v>
      </c>
      <c r="CB278" s="9">
        <f t="shared" si="821"/>
        <v>1.4642784548874435</v>
      </c>
      <c r="CC278" s="40">
        <f t="shared" si="757"/>
        <v>20</v>
      </c>
      <c r="CD278" s="9">
        <f t="shared" si="731"/>
        <v>0.05</v>
      </c>
      <c r="CE278" s="9">
        <f t="shared" si="732"/>
        <v>0.8</v>
      </c>
      <c r="CF278" s="9">
        <f t="shared" si="733"/>
        <v>0.99524931562137331</v>
      </c>
      <c r="CG278" s="9">
        <f t="shared" si="734"/>
        <v>0.68</v>
      </c>
      <c r="CH278" s="9">
        <f t="shared" si="822"/>
        <v>1.7877832632633699</v>
      </c>
      <c r="CI278" s="9">
        <f t="shared" si="823"/>
        <v>4.048039125015614</v>
      </c>
      <c r="CJ278" s="40">
        <v>1</v>
      </c>
      <c r="CK278" s="9">
        <f t="shared" si="824"/>
        <v>404.8039125015614</v>
      </c>
      <c r="CM278" s="4">
        <f t="shared" si="735"/>
        <v>1.43924293656133</v>
      </c>
      <c r="CN278" s="4">
        <f t="shared" si="736"/>
        <v>0.80509042965258459</v>
      </c>
      <c r="CO278" s="4">
        <f t="shared" si="708"/>
        <v>0.84166253600077767</v>
      </c>
      <c r="CP278" s="4">
        <f t="shared" si="737"/>
        <v>1.4123483500887095</v>
      </c>
      <c r="CQ278" s="4">
        <f t="shared" si="694"/>
        <v>1.0555684263285166</v>
      </c>
      <c r="CR278" s="4">
        <f t="shared" si="695"/>
        <v>1.0887563493315389</v>
      </c>
      <c r="CS278" s="4">
        <f t="shared" si="709"/>
        <v>1.500601767058964</v>
      </c>
      <c r="CT278" s="4">
        <f t="shared" si="758"/>
        <v>4</v>
      </c>
      <c r="DA278" s="4">
        <f t="shared" si="838"/>
        <v>1.43924293656133</v>
      </c>
      <c r="DB278" s="4">
        <f t="shared" si="838"/>
        <v>0.80509042965258459</v>
      </c>
      <c r="DC278" s="4">
        <f t="shared" si="839"/>
        <v>1.4123483500887095</v>
      </c>
      <c r="DD278" s="4">
        <f t="shared" si="840"/>
        <v>1.500601767058964</v>
      </c>
      <c r="DE278" s="4">
        <f t="shared" si="841"/>
        <v>1.0555684263285166</v>
      </c>
      <c r="DF278" s="4">
        <f t="shared" si="841"/>
        <v>1.0887563493315389</v>
      </c>
      <c r="DI278" s="4">
        <f t="shared" si="742"/>
        <v>254</v>
      </c>
      <c r="DL278" s="4">
        <f t="shared" si="667"/>
        <v>2.1309107513462914E-5</v>
      </c>
      <c r="DM278" s="4">
        <f t="shared" si="769"/>
        <v>9.1170163293042155</v>
      </c>
      <c r="DN278" s="4">
        <f t="shared" si="668"/>
        <v>0.24297317747183342</v>
      </c>
      <c r="DO278" s="4">
        <f t="shared" si="669"/>
        <v>5.1769749783827637</v>
      </c>
      <c r="DP278" s="4">
        <f t="shared" si="670"/>
        <v>7.4154291454372627</v>
      </c>
      <c r="DQ278" s="4">
        <f t="shared" si="671"/>
        <v>8.5130035511370519</v>
      </c>
      <c r="DR278" s="38">
        <f t="shared" si="684"/>
        <v>541.6267895768807</v>
      </c>
      <c r="DS278" s="4">
        <f t="shared" si="829"/>
        <v>1.0001015610075588</v>
      </c>
      <c r="DT278" s="4">
        <f t="shared" si="672"/>
        <v>2.2583179581272428</v>
      </c>
      <c r="DU278" s="4">
        <f t="shared" si="842"/>
        <v>254.25444467800801</v>
      </c>
      <c r="DY278" s="4">
        <f t="shared" si="785"/>
        <v>0.85</v>
      </c>
      <c r="DZ278" s="4">
        <f t="shared" si="830"/>
        <v>0.89749999999999996</v>
      </c>
      <c r="EA278" s="4">
        <f t="shared" si="685"/>
        <v>0.99062499999999998</v>
      </c>
      <c r="EB278" s="4">
        <f t="shared" si="831"/>
        <v>0.88908593749999998</v>
      </c>
      <c r="ED278" s="4">
        <f t="shared" si="686"/>
        <v>525.11669693779936</v>
      </c>
      <c r="EE278" s="25">
        <f t="shared" si="687"/>
        <v>251.60620705867285</v>
      </c>
      <c r="EG278" s="4">
        <f t="shared" si="843"/>
        <v>0.75572304687499992</v>
      </c>
      <c r="EH278" s="4">
        <f t="shared" si="688"/>
        <v>9.1170163293042155</v>
      </c>
      <c r="EK278" s="4">
        <f t="shared" si="673"/>
        <v>57.361276136431961</v>
      </c>
      <c r="EL278" s="4">
        <f t="shared" si="674"/>
        <v>2.2583179581272428</v>
      </c>
      <c r="EM278" s="4">
        <f t="shared" si="675"/>
        <v>0.10027660482015607</v>
      </c>
      <c r="EP278" s="4">
        <f t="shared" si="759"/>
        <v>0.10027660482015607</v>
      </c>
      <c r="EQ278" s="4">
        <f t="shared" si="721"/>
        <v>0.2425677005226774</v>
      </c>
      <c r="ER278" s="4">
        <f t="shared" si="770"/>
        <v>5.1735174841813691</v>
      </c>
      <c r="ES278" s="4">
        <f t="shared" si="743"/>
        <v>7.4142299063539356</v>
      </c>
      <c r="ET278" s="4">
        <f t="shared" si="771"/>
        <v>133.13872386356803</v>
      </c>
      <c r="EU278" s="4">
        <f t="shared" si="772"/>
        <v>63.5</v>
      </c>
      <c r="EV278" s="4">
        <f t="shared" si="832"/>
        <v>2.1309107513462914E-5</v>
      </c>
      <c r="EW278" s="4">
        <f t="shared" si="744"/>
        <v>8.513140953986575</v>
      </c>
      <c r="EX278" s="4">
        <f t="shared" si="636"/>
        <v>541.57178700052748</v>
      </c>
      <c r="FG278" s="23">
        <f t="shared" si="778"/>
        <v>1.6</v>
      </c>
      <c r="FH278" s="23">
        <f t="shared" si="778"/>
        <v>1</v>
      </c>
      <c r="FI278" s="23">
        <f t="shared" si="712"/>
        <v>1.6</v>
      </c>
      <c r="FJ278" s="23">
        <f t="shared" si="779"/>
        <v>1.6</v>
      </c>
      <c r="FK278" s="23">
        <f t="shared" si="779"/>
        <v>1.2</v>
      </c>
      <c r="FL278" s="23">
        <f t="shared" si="779"/>
        <v>1.2</v>
      </c>
      <c r="FM278" s="23">
        <f t="shared" si="701"/>
        <v>0</v>
      </c>
      <c r="FN278" s="23"/>
      <c r="FX278" s="4">
        <f t="shared" si="833"/>
        <v>1.25</v>
      </c>
      <c r="FY278" s="4">
        <f t="shared" si="652"/>
        <v>0.57522093023255816</v>
      </c>
      <c r="FZ278" s="4">
        <f t="shared" si="834"/>
        <v>0.3</v>
      </c>
      <c r="GA278" s="4">
        <f t="shared" si="835"/>
        <v>380.99657782728002</v>
      </c>
    </row>
    <row r="279" spans="1:183" ht="12" hidden="1" customHeight="1" x14ac:dyDescent="0.3">
      <c r="A279" s="25">
        <v>261</v>
      </c>
      <c r="B279" s="4" t="s">
        <v>605</v>
      </c>
      <c r="C279" s="4">
        <v>2016</v>
      </c>
      <c r="D279" s="4" t="s">
        <v>309</v>
      </c>
      <c r="E279" s="24" t="s">
        <v>417</v>
      </c>
      <c r="F279" s="7" t="s">
        <v>418</v>
      </c>
      <c r="G279" s="38">
        <f t="shared" si="804"/>
        <v>889.65517241379314</v>
      </c>
      <c r="H279" s="38">
        <f>9.69*25.4</f>
        <v>246.12599999999998</v>
      </c>
      <c r="I279" s="4">
        <f t="shared" si="746"/>
        <v>246.12599999999998</v>
      </c>
      <c r="J279" s="38">
        <f>11760/145</f>
        <v>81.103448275862064</v>
      </c>
      <c r="K279" s="38">
        <f t="shared" si="747"/>
        <v>25.4</v>
      </c>
      <c r="L279" s="7">
        <f t="shared" si="748"/>
        <v>9.69</v>
      </c>
      <c r="M279" s="7">
        <f t="shared" si="749"/>
        <v>9.69</v>
      </c>
      <c r="N279" s="38">
        <f>16.9*25.4</f>
        <v>429.25999999999993</v>
      </c>
      <c r="O279" s="38">
        <f>2.5*25.4</f>
        <v>63.5</v>
      </c>
      <c r="P279" s="39">
        <f>3.45*25.4</f>
        <v>87.63</v>
      </c>
      <c r="Q279" s="7">
        <f t="shared" si="750"/>
        <v>251.45999999999992</v>
      </c>
      <c r="R279" s="38">
        <v>2</v>
      </c>
      <c r="S279" s="4">
        <f t="shared" si="722"/>
        <v>260.34999999999997</v>
      </c>
      <c r="T279" s="7">
        <f t="shared" si="751"/>
        <v>3</v>
      </c>
      <c r="U279" s="7">
        <f t="shared" si="631"/>
        <v>3</v>
      </c>
      <c r="V279" s="38">
        <v>4.0999999999999996</v>
      </c>
      <c r="W279" s="4">
        <f t="shared" si="752"/>
        <v>4.0999999999999996</v>
      </c>
      <c r="X279" s="4">
        <f t="shared" si="753"/>
        <v>5.0999999999999996</v>
      </c>
      <c r="Y279" s="7">
        <f t="shared" si="754"/>
        <v>57.361276136431961</v>
      </c>
      <c r="AB279" s="38">
        <f t="shared" si="786"/>
        <v>626.89655172413802</v>
      </c>
      <c r="AC279" s="4">
        <v>90.9</v>
      </c>
      <c r="AD279" s="4">
        <f t="shared" si="666"/>
        <v>0.75449639049580097</v>
      </c>
      <c r="AE279" s="38"/>
      <c r="AF279" s="38"/>
      <c r="AG279" s="39">
        <v>1</v>
      </c>
      <c r="AH279" s="39"/>
      <c r="AI279" s="39"/>
      <c r="AJ279" s="7"/>
      <c r="AK279" s="4">
        <f t="shared" si="755"/>
        <v>246.12599999999998</v>
      </c>
      <c r="AL279" s="4">
        <f t="shared" si="678"/>
        <v>0.58135534915720666</v>
      </c>
      <c r="AM279" s="4">
        <f t="shared" si="679"/>
        <v>343.13782172231606</v>
      </c>
      <c r="AN279" s="4">
        <f t="shared" si="680"/>
        <v>0.76191950464396285</v>
      </c>
      <c r="AO279" s="4">
        <v>1.25</v>
      </c>
      <c r="AP279" s="4">
        <f t="shared" si="844"/>
        <v>2.5</v>
      </c>
      <c r="AQ279" s="38">
        <f t="shared" si="723"/>
        <v>474.9734956201147</v>
      </c>
      <c r="AR279" s="38">
        <f t="shared" si="682"/>
        <v>474.9734956201147</v>
      </c>
      <c r="AS279" s="38">
        <f t="shared" si="683"/>
        <v>4.8623877845559145</v>
      </c>
      <c r="AT279" s="38">
        <f t="shared" si="626"/>
        <v>474.97349562011482</v>
      </c>
      <c r="AU279" s="38">
        <f t="shared" si="820"/>
        <v>0.99999999999999978</v>
      </c>
      <c r="AV279" s="38">
        <f t="shared" si="715"/>
        <v>2.0744984867380696</v>
      </c>
      <c r="AW279" s="4">
        <f t="shared" si="707"/>
        <v>0</v>
      </c>
      <c r="AX279" s="4">
        <f t="shared" si="756"/>
        <v>459.29300992451124</v>
      </c>
      <c r="AY279" s="4">
        <f t="shared" si="724"/>
        <v>1</v>
      </c>
      <c r="AZ279" s="38">
        <f t="shared" si="837"/>
        <v>985.33179790461941</v>
      </c>
      <c r="BA279" s="4">
        <f t="shared" si="725"/>
        <v>0.42600000000000005</v>
      </c>
      <c r="BB279" s="4">
        <f t="shared" si="726"/>
        <v>102.23173461404734</v>
      </c>
      <c r="BC279" s="4">
        <f t="shared" si="727"/>
        <v>1087.5635325186668</v>
      </c>
      <c r="BE279" s="4">
        <f t="shared" si="627"/>
        <v>1.375</v>
      </c>
      <c r="BF279" s="4">
        <f t="shared" si="628"/>
        <v>731.45788984963156</v>
      </c>
      <c r="BH279" s="4">
        <f t="shared" si="633"/>
        <v>945.05369241748747</v>
      </c>
      <c r="BI279" s="4">
        <f t="shared" si="806"/>
        <v>0</v>
      </c>
      <c r="BJ279" s="4">
        <f t="shared" si="635"/>
        <v>0</v>
      </c>
      <c r="BR279" s="4">
        <f t="shared" si="728"/>
        <v>63.5</v>
      </c>
      <c r="BV279" s="9"/>
      <c r="BX279" s="9"/>
      <c r="BY279" s="9"/>
      <c r="BZ279" s="9">
        <f t="shared" si="729"/>
        <v>63.5</v>
      </c>
      <c r="CA279" s="9">
        <f t="shared" si="730"/>
        <v>125.72999999999996</v>
      </c>
      <c r="CB279" s="9">
        <f t="shared" si="821"/>
        <v>1.7517405482385959</v>
      </c>
      <c r="CC279" s="40">
        <f t="shared" si="757"/>
        <v>0</v>
      </c>
      <c r="CD279" s="9">
        <f t="shared" si="731"/>
        <v>0</v>
      </c>
      <c r="CE279" s="9">
        <f t="shared" si="732"/>
        <v>0</v>
      </c>
      <c r="CF279" s="9">
        <f t="shared" si="733"/>
        <v>0.99524931562137331</v>
      </c>
      <c r="CG279" s="9">
        <f t="shared" si="734"/>
        <v>0.68</v>
      </c>
      <c r="CH279" s="9">
        <f t="shared" si="822"/>
        <v>2.1331849177195688</v>
      </c>
      <c r="CI279" s="9">
        <f t="shared" si="823"/>
        <v>3.7367865172603816</v>
      </c>
      <c r="CJ279" s="40">
        <v>1</v>
      </c>
      <c r="CK279" s="9">
        <f t="shared" si="824"/>
        <v>369.04503644463523</v>
      </c>
      <c r="CM279" s="4">
        <f t="shared" si="735"/>
        <v>1.3649163783859324</v>
      </c>
      <c r="CN279" s="4">
        <f t="shared" si="736"/>
        <v>0.57642292425190167</v>
      </c>
      <c r="CO279" s="4">
        <f t="shared" si="708"/>
        <v>0.85705077547664621</v>
      </c>
      <c r="CP279" s="4">
        <f t="shared" si="737"/>
        <v>1.69869931801179</v>
      </c>
      <c r="CQ279" s="4">
        <f t="shared" si="694"/>
        <v>0.75449639049580097</v>
      </c>
      <c r="CR279" s="4">
        <f t="shared" si="695"/>
        <v>0.78300596637240216</v>
      </c>
      <c r="CS279" s="4">
        <f t="shared" si="709"/>
        <v>1.0809846369960703</v>
      </c>
      <c r="CT279" s="4">
        <f t="shared" si="758"/>
        <v>0</v>
      </c>
      <c r="CU279" s="4">
        <f t="shared" ref="CU279:CV279" si="845">CM279</f>
        <v>1.3649163783859324</v>
      </c>
      <c r="CV279" s="4">
        <f t="shared" si="845"/>
        <v>0.57642292425190167</v>
      </c>
      <c r="CW279" s="4">
        <f t="shared" ref="CW279" si="846">CP279</f>
        <v>1.69869931801179</v>
      </c>
      <c r="CX279" s="4">
        <f t="shared" ref="CX279" si="847">CS279</f>
        <v>1.0809846369960703</v>
      </c>
      <c r="CY279" s="4">
        <f t="shared" ref="CY279:CZ279" si="848">CQ279</f>
        <v>0.75449639049580097</v>
      </c>
      <c r="CZ279" s="4">
        <f t="shared" si="848"/>
        <v>0.78300596637240216</v>
      </c>
      <c r="DI279" s="4">
        <f t="shared" si="742"/>
        <v>246.12599999999998</v>
      </c>
      <c r="DL279" s="4">
        <f t="shared" si="667"/>
        <v>2.3903025500369944E-5</v>
      </c>
      <c r="DM279" s="4">
        <f t="shared" si="769"/>
        <v>11.378661693018476</v>
      </c>
      <c r="DN279" s="4">
        <f t="shared" si="668"/>
        <v>0.31880996013755275</v>
      </c>
      <c r="DO279" s="4">
        <f t="shared" si="669"/>
        <v>7.2028428194447898</v>
      </c>
      <c r="DP279" s="4">
        <f t="shared" si="670"/>
        <v>9.5235891070744145</v>
      </c>
      <c r="DQ279" s="4">
        <f t="shared" si="671"/>
        <v>10.322031386165987</v>
      </c>
      <c r="DR279" s="38">
        <f t="shared" si="684"/>
        <v>830.88078302427198</v>
      </c>
      <c r="DS279" s="4">
        <f t="shared" si="829"/>
        <v>1.0000928686500341</v>
      </c>
      <c r="DT279" s="4">
        <f t="shared" si="672"/>
        <v>2.2583179581272428</v>
      </c>
      <c r="DU279" s="4">
        <f t="shared" si="842"/>
        <v>474.97349562011482</v>
      </c>
      <c r="DY279" s="4">
        <f t="shared" si="785"/>
        <v>0.85</v>
      </c>
      <c r="DZ279" s="4">
        <f t="shared" si="830"/>
        <v>0.85</v>
      </c>
      <c r="EA279" s="4">
        <f t="shared" si="685"/>
        <v>1</v>
      </c>
      <c r="EB279" s="4">
        <f t="shared" si="831"/>
        <v>0.85</v>
      </c>
      <c r="ED279" s="4">
        <f t="shared" si="686"/>
        <v>800.62806497949771</v>
      </c>
      <c r="EE279" s="25">
        <f t="shared" si="687"/>
        <v>469.85036956345061</v>
      </c>
      <c r="EG279" s="4">
        <f t="shared" si="843"/>
        <v>0.72249999999999992</v>
      </c>
      <c r="EH279" s="4">
        <f t="shared" si="688"/>
        <v>11.378661693018476</v>
      </c>
      <c r="EK279" s="4">
        <f t="shared" si="673"/>
        <v>57.361276136431961</v>
      </c>
      <c r="EL279" s="4">
        <f t="shared" si="674"/>
        <v>2.2583179581272428</v>
      </c>
      <c r="EM279" s="4">
        <f t="shared" si="675"/>
        <v>0.15699535606871484</v>
      </c>
      <c r="EP279" s="4">
        <f t="shared" si="759"/>
        <v>0.15699535606871484</v>
      </c>
      <c r="EQ279" s="4">
        <f t="shared" si="721"/>
        <v>0.31827792573218255</v>
      </c>
      <c r="ER279" s="4">
        <f t="shared" si="770"/>
        <v>7.1980323292674591</v>
      </c>
      <c r="ES279" s="4">
        <f t="shared" si="743"/>
        <v>9.5217760568927989</v>
      </c>
      <c r="ET279" s="4">
        <f t="shared" si="771"/>
        <v>127.23322386356801</v>
      </c>
      <c r="EU279" s="4">
        <f t="shared" si="772"/>
        <v>61.531499999999994</v>
      </c>
      <c r="EV279" s="4">
        <f t="shared" si="832"/>
        <v>2.3903025500369944E-5</v>
      </c>
      <c r="EW279" s="4">
        <f t="shared" si="744"/>
        <v>10.322302433404497</v>
      </c>
      <c r="EX279" s="4">
        <f t="shared" si="636"/>
        <v>830.80362741295062</v>
      </c>
      <c r="FG279" s="23">
        <f t="shared" si="778"/>
        <v>1.4</v>
      </c>
      <c r="FH279" s="23">
        <f t="shared" si="778"/>
        <v>0.6</v>
      </c>
      <c r="FI279" s="23">
        <f t="shared" si="712"/>
        <v>1.2</v>
      </c>
      <c r="FJ279" s="23">
        <f t="shared" si="779"/>
        <v>1.8</v>
      </c>
      <c r="FK279" s="23">
        <f t="shared" si="779"/>
        <v>0.8</v>
      </c>
      <c r="FL279" s="23">
        <f t="shared" si="779"/>
        <v>0.8</v>
      </c>
      <c r="FM279" s="23">
        <f t="shared" si="701"/>
        <v>1</v>
      </c>
      <c r="FN279" s="23"/>
      <c r="FX279" s="4">
        <f t="shared" si="833"/>
        <v>1</v>
      </c>
      <c r="FY279" s="4">
        <f t="shared" si="652"/>
        <v>0.5</v>
      </c>
      <c r="FZ279" s="4">
        <f t="shared" si="834"/>
        <v>0</v>
      </c>
      <c r="GA279" s="4">
        <f t="shared" si="835"/>
        <v>579.93104644503558</v>
      </c>
    </row>
    <row r="280" spans="1:183" ht="12" hidden="1" customHeight="1" x14ac:dyDescent="0.3">
      <c r="A280" s="25">
        <v>262</v>
      </c>
      <c r="B280" s="4" t="s">
        <v>605</v>
      </c>
      <c r="C280" s="4">
        <v>2016</v>
      </c>
      <c r="D280" s="4" t="s">
        <v>309</v>
      </c>
      <c r="E280" s="24" t="s">
        <v>417</v>
      </c>
      <c r="F280" s="7" t="s">
        <v>419</v>
      </c>
      <c r="G280" s="38">
        <f t="shared" si="804"/>
        <v>889.65517241379314</v>
      </c>
      <c r="H280" s="38">
        <f>10*25.4</f>
        <v>254</v>
      </c>
      <c r="I280" s="4">
        <f t="shared" si="746"/>
        <v>254</v>
      </c>
      <c r="J280" s="38">
        <f>11760/145</f>
        <v>81.103448275862064</v>
      </c>
      <c r="K280" s="38">
        <f t="shared" si="747"/>
        <v>25.4</v>
      </c>
      <c r="L280" s="7">
        <f t="shared" si="748"/>
        <v>10</v>
      </c>
      <c r="M280" s="7">
        <f t="shared" si="749"/>
        <v>10</v>
      </c>
      <c r="N280" s="38">
        <f>17*25.4</f>
        <v>431.79999999999995</v>
      </c>
      <c r="O280" s="38">
        <f>2.5*25.4</f>
        <v>63.5</v>
      </c>
      <c r="P280" s="39">
        <f>3.2*25.4</f>
        <v>81.28</v>
      </c>
      <c r="Q280" s="7">
        <f t="shared" si="750"/>
        <v>253.99999999999994</v>
      </c>
      <c r="R280" s="38">
        <v>2</v>
      </c>
      <c r="S280" s="4">
        <f t="shared" si="722"/>
        <v>260.34999999999997</v>
      </c>
      <c r="T280" s="7">
        <f t="shared" si="751"/>
        <v>3</v>
      </c>
      <c r="U280" s="7">
        <f t="shared" si="631"/>
        <v>3</v>
      </c>
      <c r="V280" s="38">
        <v>4.0999999999999996</v>
      </c>
      <c r="W280" s="4">
        <f t="shared" si="752"/>
        <v>4.0999999999999996</v>
      </c>
      <c r="X280" s="4">
        <f t="shared" si="753"/>
        <v>5.0999999999999996</v>
      </c>
      <c r="Y280" s="7">
        <f t="shared" si="754"/>
        <v>57.361276136431961</v>
      </c>
      <c r="AB280" s="38">
        <f t="shared" si="786"/>
        <v>761.37931034482767</v>
      </c>
      <c r="AC280" s="4">
        <v>110.4</v>
      </c>
      <c r="AD280" s="4">
        <f t="shared" si="666"/>
        <v>0.85631332847185648</v>
      </c>
      <c r="AE280" s="38">
        <f t="shared" si="836"/>
        <v>9.5249999999999986</v>
      </c>
      <c r="AF280" s="38">
        <v>10</v>
      </c>
      <c r="AG280" s="39">
        <f>3*25.4</f>
        <v>76.199999999999989</v>
      </c>
      <c r="AH280" s="39">
        <v>3</v>
      </c>
      <c r="AI280" s="39">
        <v>2</v>
      </c>
      <c r="AJ280" s="7"/>
      <c r="AK280" s="4">
        <f t="shared" si="755"/>
        <v>254</v>
      </c>
      <c r="AL280" s="4">
        <f t="shared" si="678"/>
        <v>0.56666666666666665</v>
      </c>
      <c r="AM280" s="4">
        <f t="shared" si="679"/>
        <v>359.73519081184224</v>
      </c>
      <c r="AN280" s="4">
        <f t="shared" si="680"/>
        <v>0.76</v>
      </c>
      <c r="AO280" s="4">
        <v>1.25</v>
      </c>
      <c r="AP280" s="4">
        <f t="shared" si="844"/>
        <v>2.5</v>
      </c>
      <c r="AQ280" s="38">
        <f t="shared" si="723"/>
        <v>484.14361096760433</v>
      </c>
      <c r="AR280" s="38">
        <f t="shared" si="682"/>
        <v>484.14361096760433</v>
      </c>
      <c r="AS280" s="38">
        <f t="shared" si="683"/>
        <v>4.8623877845559145</v>
      </c>
      <c r="AT280" s="38">
        <f t="shared" si="626"/>
        <v>484.14361096760422</v>
      </c>
      <c r="AU280" s="38">
        <f t="shared" si="820"/>
        <v>1.0000000000000002</v>
      </c>
      <c r="AV280" s="38">
        <f t="shared" si="715"/>
        <v>2.0352056199509603</v>
      </c>
      <c r="AW280" s="4">
        <f t="shared" si="707"/>
        <v>0</v>
      </c>
      <c r="AX280" s="4">
        <f t="shared" si="756"/>
        <v>473.98659434934086</v>
      </c>
      <c r="AY280" s="4">
        <f t="shared" si="724"/>
        <v>1</v>
      </c>
      <c r="AZ280" s="38">
        <f t="shared" si="837"/>
        <v>985.33179790461941</v>
      </c>
      <c r="BA280" s="4">
        <f t="shared" si="725"/>
        <v>0.42600000000000005</v>
      </c>
      <c r="BB280" s="4">
        <f t="shared" si="726"/>
        <v>105.50230610324805</v>
      </c>
      <c r="BC280" s="4">
        <f t="shared" si="727"/>
        <v>1090.8341040078674</v>
      </c>
      <c r="BE280" s="4">
        <f t="shared" si="627"/>
        <v>1.5</v>
      </c>
      <c r="BF280" s="4">
        <f t="shared" si="628"/>
        <v>810.51707633737283</v>
      </c>
      <c r="BH280" s="4">
        <f t="shared" si="633"/>
        <v>945.05369241748747</v>
      </c>
      <c r="BI280" s="4">
        <f t="shared" si="806"/>
        <v>0</v>
      </c>
      <c r="BJ280" s="4">
        <f t="shared" si="635"/>
        <v>0</v>
      </c>
      <c r="BR280" s="4">
        <f t="shared" si="728"/>
        <v>63.5</v>
      </c>
      <c r="BV280" s="9"/>
      <c r="BX280" s="9"/>
      <c r="BY280" s="9"/>
      <c r="BZ280" s="9">
        <f t="shared" si="729"/>
        <v>63.5</v>
      </c>
      <c r="CA280" s="9">
        <f t="shared" si="730"/>
        <v>126.99999999999997</v>
      </c>
      <c r="CB280" s="9">
        <f t="shared" si="821"/>
        <v>1.7543833769624846</v>
      </c>
      <c r="CC280" s="40">
        <f t="shared" si="757"/>
        <v>20</v>
      </c>
      <c r="CD280" s="9">
        <f t="shared" si="731"/>
        <v>0.05</v>
      </c>
      <c r="CE280" s="9">
        <f t="shared" si="732"/>
        <v>0.8</v>
      </c>
      <c r="CF280" s="9">
        <f t="shared" si="733"/>
        <v>0.99524931562137331</v>
      </c>
      <c r="CG280" s="9">
        <f t="shared" si="734"/>
        <v>0.68</v>
      </c>
      <c r="CH280" s="9">
        <f t="shared" si="822"/>
        <v>2.1331849177195688</v>
      </c>
      <c r="CI280" s="9">
        <f t="shared" si="823"/>
        <v>5.3329622942989214</v>
      </c>
      <c r="CJ280" s="40">
        <v>1</v>
      </c>
      <c r="CK280" s="9">
        <f t="shared" si="824"/>
        <v>533.29622942989215</v>
      </c>
      <c r="CM280" s="4">
        <f t="shared" si="735"/>
        <v>1.6063308950541133</v>
      </c>
      <c r="CN280" s="4">
        <f t="shared" si="736"/>
        <v>0.69797901215906277</v>
      </c>
      <c r="CO280" s="4">
        <f t="shared" si="708"/>
        <v>0.9393747924293061</v>
      </c>
      <c r="CP280" s="4">
        <f t="shared" si="737"/>
        <v>1.4276855307204448</v>
      </c>
      <c r="CQ280" s="4">
        <f t="shared" si="694"/>
        <v>0.85631332847185648</v>
      </c>
      <c r="CR280" s="4">
        <f t="shared" si="695"/>
        <v>0.88968810745173232</v>
      </c>
      <c r="CS280" s="4">
        <f t="shared" si="709"/>
        <v>1.130169014844719</v>
      </c>
      <c r="CT280" s="4">
        <f t="shared" si="758"/>
        <v>10</v>
      </c>
      <c r="DA280" s="4">
        <f t="shared" ref="DA280:DB280" si="849">CM280</f>
        <v>1.6063308950541133</v>
      </c>
      <c r="DB280" s="4">
        <f t="shared" si="849"/>
        <v>0.69797901215906277</v>
      </c>
      <c r="DC280" s="4">
        <f t="shared" ref="DC280" si="850">CP280</f>
        <v>1.4276855307204448</v>
      </c>
      <c r="DD280" s="4">
        <f t="shared" ref="DD280" si="851">CS280</f>
        <v>1.130169014844719</v>
      </c>
      <c r="DE280" s="4">
        <f t="shared" ref="DE280:DF280" si="852">CQ280</f>
        <v>0.85631332847185648</v>
      </c>
      <c r="DF280" s="4">
        <f t="shared" si="852"/>
        <v>0.88968810745173232</v>
      </c>
      <c r="DI280" s="4">
        <f t="shared" si="742"/>
        <v>254</v>
      </c>
      <c r="DL280" s="4">
        <f t="shared" si="667"/>
        <v>2.4667724974581991E-5</v>
      </c>
      <c r="DM280" s="4">
        <f t="shared" si="769"/>
        <v>12.555764626779007</v>
      </c>
      <c r="DN280" s="4">
        <f t="shared" si="668"/>
        <v>0.32496509118243971</v>
      </c>
      <c r="DO280" s="4">
        <f t="shared" si="669"/>
        <v>8.0089918141589269</v>
      </c>
      <c r="DP280" s="4">
        <f t="shared" si="670"/>
        <v>10.531859423226024</v>
      </c>
      <c r="DQ280" s="4">
        <f t="shared" si="671"/>
        <v>11.18267087619982</v>
      </c>
      <c r="DR280" s="38">
        <f t="shared" si="684"/>
        <v>889.13635351624816</v>
      </c>
      <c r="DS280" s="4">
        <f t="shared" si="829"/>
        <v>1.0000982181242293</v>
      </c>
      <c r="DT280" s="4">
        <f t="shared" si="672"/>
        <v>2.2583179581272428</v>
      </c>
      <c r="DU280" s="4">
        <f t="shared" si="842"/>
        <v>484.14361096760422</v>
      </c>
      <c r="DY280" s="4">
        <f t="shared" si="785"/>
        <v>0.85</v>
      </c>
      <c r="DZ280" s="4">
        <f t="shared" si="830"/>
        <v>0.85</v>
      </c>
      <c r="EA280" s="4">
        <f t="shared" si="685"/>
        <v>0.90625</v>
      </c>
      <c r="EB280" s="4">
        <f t="shared" si="831"/>
        <v>0.77031249999999996</v>
      </c>
      <c r="ED280" s="4">
        <f t="shared" si="686"/>
        <v>855.78227242532216</v>
      </c>
      <c r="EE280" s="25">
        <f t="shared" si="687"/>
        <v>479.10933362195192</v>
      </c>
      <c r="EG280" s="4">
        <f t="shared" si="843"/>
        <v>0.65476562499999991</v>
      </c>
      <c r="EH280" s="4">
        <f t="shared" si="688"/>
        <v>12.555764626779007</v>
      </c>
      <c r="EK280" s="4">
        <f t="shared" si="673"/>
        <v>57.361276136431961</v>
      </c>
      <c r="EL280" s="4">
        <f t="shared" si="674"/>
        <v>2.2583179581272428</v>
      </c>
      <c r="EM280" s="4">
        <f t="shared" si="675"/>
        <v>0.16002639998473522</v>
      </c>
      <c r="EP280" s="4">
        <f t="shared" si="759"/>
        <v>0.16002639998473522</v>
      </c>
      <c r="EQ280" s="4">
        <f t="shared" si="721"/>
        <v>0.32442278501051608</v>
      </c>
      <c r="ER280" s="4">
        <f t="shared" si="770"/>
        <v>8.0036429293618987</v>
      </c>
      <c r="ES280" s="4">
        <f t="shared" si="743"/>
        <v>10.529832094936477</v>
      </c>
      <c r="ET280" s="4">
        <f t="shared" si="771"/>
        <v>133.13872386356803</v>
      </c>
      <c r="EU280" s="4">
        <f t="shared" si="772"/>
        <v>63.5</v>
      </c>
      <c r="EV280" s="4">
        <f t="shared" si="832"/>
        <v>2.4667724974581991E-5</v>
      </c>
      <c r="EW280" s="4">
        <f t="shared" si="744"/>
        <v>11.183021240517544</v>
      </c>
      <c r="EX280" s="4">
        <f t="shared" si="636"/>
        <v>889.04903278789982</v>
      </c>
      <c r="FG280" s="23">
        <f t="shared" si="778"/>
        <v>1.8</v>
      </c>
      <c r="FH280" s="23">
        <f t="shared" si="778"/>
        <v>0.8</v>
      </c>
      <c r="FI280" s="23">
        <f t="shared" si="712"/>
        <v>1.2</v>
      </c>
      <c r="FJ280" s="23">
        <f t="shared" si="779"/>
        <v>1.6</v>
      </c>
      <c r="FK280" s="23">
        <f t="shared" si="779"/>
        <v>1</v>
      </c>
      <c r="FL280" s="23">
        <f t="shared" si="779"/>
        <v>1</v>
      </c>
      <c r="FM280" s="23">
        <f t="shared" si="701"/>
        <v>0</v>
      </c>
      <c r="FN280" s="23"/>
      <c r="FX280" s="4">
        <f t="shared" si="833"/>
        <v>1</v>
      </c>
      <c r="FY280" s="4">
        <f t="shared" si="652"/>
        <v>0.44418604651162791</v>
      </c>
      <c r="FZ280" s="4">
        <f t="shared" si="834"/>
        <v>0.3</v>
      </c>
      <c r="GA280" s="4">
        <f t="shared" si="835"/>
        <v>673.6862366107589</v>
      </c>
    </row>
    <row r="281" spans="1:183" ht="12" hidden="1" customHeight="1" x14ac:dyDescent="0.3">
      <c r="A281" s="25">
        <v>263</v>
      </c>
      <c r="B281" s="4" t="s">
        <v>605</v>
      </c>
      <c r="C281" s="4">
        <v>2016</v>
      </c>
      <c r="D281" s="4" t="s">
        <v>309</v>
      </c>
      <c r="E281" s="24" t="s">
        <v>417</v>
      </c>
      <c r="F281" s="7" t="s">
        <v>420</v>
      </c>
      <c r="G281" s="38">
        <f t="shared" si="804"/>
        <v>889.65517241379314</v>
      </c>
      <c r="H281" s="38">
        <f>9.9*25.4</f>
        <v>251.46</v>
      </c>
      <c r="I281" s="4">
        <f t="shared" si="746"/>
        <v>251.46</v>
      </c>
      <c r="J281" s="38">
        <f>11040/145</f>
        <v>76.137931034482762</v>
      </c>
      <c r="K281" s="38">
        <f t="shared" si="747"/>
        <v>25.4</v>
      </c>
      <c r="L281" s="7">
        <f t="shared" si="748"/>
        <v>9.9</v>
      </c>
      <c r="M281" s="7">
        <f t="shared" si="749"/>
        <v>9.9</v>
      </c>
      <c r="N281" s="38">
        <f>12*25.4</f>
        <v>304.79999999999995</v>
      </c>
      <c r="O281" s="38">
        <f>2.45*25.4</f>
        <v>62.230000000000004</v>
      </c>
      <c r="P281" s="39">
        <f>(3.3+3.2+3.3)/3*25.4</f>
        <v>82.973333333333343</v>
      </c>
      <c r="Q281" s="7">
        <f t="shared" si="750"/>
        <v>52.069999999999979</v>
      </c>
      <c r="R281" s="38">
        <v>3</v>
      </c>
      <c r="S281" s="4">
        <f t="shared" si="722"/>
        <v>260.34999999999997</v>
      </c>
      <c r="T281" s="7">
        <f t="shared" si="751"/>
        <v>1.5249999999999997</v>
      </c>
      <c r="U281" s="7">
        <f t="shared" si="631"/>
        <v>2.95</v>
      </c>
      <c r="V281" s="38">
        <v>4.0999999999999996</v>
      </c>
      <c r="W281" s="4">
        <f t="shared" si="752"/>
        <v>4.0999999999999996</v>
      </c>
      <c r="X281" s="4">
        <f t="shared" si="753"/>
        <v>5.0999999999999996</v>
      </c>
      <c r="Y281" s="7">
        <f t="shared" si="754"/>
        <v>57.361276136431961</v>
      </c>
      <c r="AB281" s="38">
        <f t="shared" si="786"/>
        <v>368.27586206896552</v>
      </c>
      <c r="AC281" s="4">
        <v>53.4</v>
      </c>
      <c r="AD281" s="4">
        <f t="shared" si="666"/>
        <v>0.73864862864762737</v>
      </c>
      <c r="AE281" s="38"/>
      <c r="AF281" s="38"/>
      <c r="AG281" s="39">
        <v>1</v>
      </c>
      <c r="AH281" s="39"/>
      <c r="AI281" s="39"/>
      <c r="AJ281" s="7"/>
      <c r="AK281" s="4">
        <f t="shared" si="755"/>
        <v>251.46</v>
      </c>
      <c r="AL281" s="4">
        <f t="shared" si="678"/>
        <v>0.40404040404040398</v>
      </c>
      <c r="AM281" s="4">
        <f t="shared" si="679"/>
        <v>228.88921678455287</v>
      </c>
      <c r="AN281" s="4">
        <f t="shared" si="680"/>
        <v>0.7595959595959596</v>
      </c>
      <c r="AO281" s="4">
        <v>1.25</v>
      </c>
      <c r="AP281" s="4">
        <f t="shared" si="844"/>
        <v>2.5</v>
      </c>
      <c r="AQ281" s="38">
        <f t="shared" si="723"/>
        <v>219.52439932402783</v>
      </c>
      <c r="AR281" s="38">
        <f t="shared" si="682"/>
        <v>219.52439932402783</v>
      </c>
      <c r="AS281" s="38">
        <f t="shared" si="683"/>
        <v>4.75341304622079</v>
      </c>
      <c r="AT281" s="38">
        <f t="shared" ref="AT281:AT344" si="853">AP281* (J281^0.5/AK281^0.5)/(PI()/4*K281^2)/R281/0.72 *(0.7+(MIN(O281,S281)+0.5*K281)/5/H281) *(3*N281*H281)</f>
        <v>219.52439932402797</v>
      </c>
      <c r="AU281" s="38">
        <f t="shared" si="820"/>
        <v>0.99999999999999933</v>
      </c>
      <c r="AV281" s="38">
        <f t="shared" si="715"/>
        <v>2.9425525330927655</v>
      </c>
      <c r="AW281" s="4">
        <f t="shared" si="707"/>
        <v>0</v>
      </c>
      <c r="AX281" s="4">
        <f t="shared" si="756"/>
        <v>454.65516507863128</v>
      </c>
      <c r="AY281" s="4">
        <f t="shared" si="724"/>
        <v>1.3737704918032789</v>
      </c>
      <c r="AZ281" s="38">
        <f t="shared" si="837"/>
        <v>645.96207730658625</v>
      </c>
      <c r="BA281" s="4">
        <f t="shared" si="725"/>
        <v>0.42600000000000005</v>
      </c>
      <c r="BB281" s="4">
        <f t="shared" si="726"/>
        <v>101.19941991902715</v>
      </c>
      <c r="BC281" s="4">
        <f t="shared" si="727"/>
        <v>747.1614972256134</v>
      </c>
      <c r="BE281" s="4">
        <f t="shared" ref="BE281:BE344" si="854">MIN(1.5, 0.75+0.25*MIN(3,MAX(1,O281/K281))+0.4*MIN(1,(40*2*PI()*AE281^2/4/AG281/R281)/K281))</f>
        <v>1.3625</v>
      </c>
      <c r="BF281" s="4">
        <f t="shared" si="628"/>
        <v>709.75976715413344</v>
      </c>
      <c r="BH281" s="4">
        <f t="shared" si="633"/>
        <v>619.55662815151902</v>
      </c>
      <c r="BI281" s="4">
        <f t="shared" si="806"/>
        <v>0</v>
      </c>
      <c r="BJ281" s="4">
        <f t="shared" si="635"/>
        <v>0</v>
      </c>
      <c r="BR281" s="4">
        <f t="shared" si="728"/>
        <v>26.034999999999989</v>
      </c>
      <c r="BV281" s="9"/>
      <c r="BX281" s="9"/>
      <c r="BY281" s="9"/>
      <c r="BZ281" s="9">
        <f t="shared" si="729"/>
        <v>26.034999999999989</v>
      </c>
      <c r="CA281" s="9">
        <f t="shared" si="730"/>
        <v>62.230000000000004</v>
      </c>
      <c r="CB281" s="9">
        <f t="shared" si="821"/>
        <v>1.1537939716985905</v>
      </c>
      <c r="CC281" s="40">
        <f t="shared" si="757"/>
        <v>0</v>
      </c>
      <c r="CD281" s="9">
        <f t="shared" si="731"/>
        <v>0</v>
      </c>
      <c r="CE281" s="9">
        <f t="shared" si="732"/>
        <v>0</v>
      </c>
      <c r="CF281" s="9">
        <f t="shared" si="733"/>
        <v>0.99524931562137331</v>
      </c>
      <c r="CG281" s="9">
        <f t="shared" si="734"/>
        <v>0.68</v>
      </c>
      <c r="CH281" s="9">
        <f t="shared" si="822"/>
        <v>2.0668520038571487</v>
      </c>
      <c r="CI281" s="9">
        <f t="shared" si="823"/>
        <v>2.38472138244353</v>
      </c>
      <c r="CJ281" s="40">
        <v>1</v>
      </c>
      <c r="CK281" s="9">
        <f t="shared" si="824"/>
        <v>237.51824969137562</v>
      </c>
      <c r="CM281" s="4">
        <f t="shared" si="735"/>
        <v>0.81001138963256536</v>
      </c>
      <c r="CN281" s="4">
        <f t="shared" si="736"/>
        <v>0.4928999465797696</v>
      </c>
      <c r="CO281" s="4">
        <f t="shared" si="708"/>
        <v>0.51887396146108922</v>
      </c>
      <c r="CP281" s="4">
        <f t="shared" si="737"/>
        <v>1.5505160658075436</v>
      </c>
      <c r="CQ281" s="4">
        <f t="shared" si="694"/>
        <v>0.73864862864762737</v>
      </c>
      <c r="CR281" s="4">
        <f t="shared" si="695"/>
        <v>0.74214693971252432</v>
      </c>
      <c r="CS281" s="4">
        <f t="shared" si="709"/>
        <v>1.4405154544410637</v>
      </c>
      <c r="CT281" s="4">
        <f t="shared" si="758"/>
        <v>0</v>
      </c>
      <c r="CU281" s="4">
        <f t="shared" ref="CU281:CV281" si="855">CM281</f>
        <v>0.81001138963256536</v>
      </c>
      <c r="CV281" s="4">
        <f t="shared" si="855"/>
        <v>0.4928999465797696</v>
      </c>
      <c r="CW281" s="4">
        <f t="shared" ref="CW281" si="856">CP281</f>
        <v>1.5505160658075436</v>
      </c>
      <c r="CX281" s="4">
        <f t="shared" ref="CX281" si="857">CS281</f>
        <v>1.4405154544410637</v>
      </c>
      <c r="CY281" s="4">
        <f t="shared" ref="CY281:CZ281" si="858">CQ281</f>
        <v>0.73864862864762737</v>
      </c>
      <c r="CZ281" s="4">
        <f t="shared" si="858"/>
        <v>0.74214693971252432</v>
      </c>
      <c r="DI281" s="4">
        <f t="shared" si="742"/>
        <v>251.46</v>
      </c>
      <c r="DL281" s="4">
        <f t="shared" si="667"/>
        <v>2.3703561532428188E-5</v>
      </c>
      <c r="DM281" s="4">
        <f t="shared" si="769"/>
        <v>9.3945954333173542</v>
      </c>
      <c r="DN281" s="4">
        <f t="shared" si="668"/>
        <v>0.15695803424964713</v>
      </c>
      <c r="DO281" s="4">
        <f t="shared" si="669"/>
        <v>4.4791076762040252</v>
      </c>
      <c r="DP281" s="4">
        <f t="shared" si="670"/>
        <v>7.3641169634775325</v>
      </c>
      <c r="DQ281" s="4">
        <f t="shared" si="671"/>
        <v>8.727573788747403</v>
      </c>
      <c r="DR281" s="38">
        <f t="shared" si="684"/>
        <v>498.58058051665546</v>
      </c>
      <c r="DS281" s="4">
        <f t="shared" si="829"/>
        <v>1.0000888470978735</v>
      </c>
      <c r="DT281" s="4">
        <f t="shared" si="672"/>
        <v>2.2583179581272428</v>
      </c>
      <c r="DU281" s="4">
        <f t="shared" si="842"/>
        <v>219.52439932402797</v>
      </c>
      <c r="DY281" s="4">
        <f t="shared" si="785"/>
        <v>0.85</v>
      </c>
      <c r="DZ281" s="4">
        <f t="shared" si="830"/>
        <v>0.99750000000000005</v>
      </c>
      <c r="EA281" s="4">
        <f t="shared" si="685"/>
        <v>1</v>
      </c>
      <c r="EB281" s="4">
        <f t="shared" si="831"/>
        <v>0.99750000000000005</v>
      </c>
      <c r="ED281" s="4">
        <f t="shared" si="686"/>
        <v>496.23038560479642</v>
      </c>
      <c r="EE281" s="25">
        <f t="shared" si="687"/>
        <v>217.210901235271</v>
      </c>
      <c r="EG281" s="4">
        <f t="shared" si="843"/>
        <v>0.84787500000000005</v>
      </c>
      <c r="EH281" s="4">
        <f t="shared" si="688"/>
        <v>9.3945954333173542</v>
      </c>
      <c r="EK281" s="4">
        <f t="shared" si="673"/>
        <v>57.361276136431961</v>
      </c>
      <c r="EL281" s="4">
        <f t="shared" si="674"/>
        <v>2.2583179581272428</v>
      </c>
      <c r="EM281" s="4">
        <f t="shared" si="675"/>
        <v>7.4889227699808214E-2</v>
      </c>
      <c r="EP281" s="4">
        <f t="shared" si="759"/>
        <v>7.4889227699808214E-2</v>
      </c>
      <c r="EQ281" s="4">
        <f t="shared" si="721"/>
        <v>0.15669610054348546</v>
      </c>
      <c r="ER281" s="4">
        <f t="shared" si="770"/>
        <v>4.476116259617589</v>
      </c>
      <c r="ES281" s="4">
        <f t="shared" si="743"/>
        <v>7.3632204030722086</v>
      </c>
      <c r="ET281" s="4">
        <f t="shared" si="771"/>
        <v>131.23372386356803</v>
      </c>
      <c r="EU281" s="4">
        <f t="shared" si="772"/>
        <v>62.865000000000009</v>
      </c>
      <c r="EV281" s="4">
        <f t="shared" si="832"/>
        <v>2.3703561532428195E-5</v>
      </c>
      <c r="EW281" s="4">
        <f t="shared" si="744"/>
        <v>8.7277008339076421</v>
      </c>
      <c r="EX281" s="4">
        <f t="shared" si="636"/>
        <v>498.53628701436963</v>
      </c>
      <c r="FG281" s="23">
        <f t="shared" si="778"/>
        <v>1</v>
      </c>
      <c r="FH281" s="23">
        <f t="shared" si="778"/>
        <v>0.6</v>
      </c>
      <c r="FI281" s="23">
        <f t="shared" si="712"/>
        <v>1.6</v>
      </c>
      <c r="FJ281" s="23">
        <f t="shared" si="779"/>
        <v>1.6</v>
      </c>
      <c r="FK281" s="23">
        <f t="shared" si="779"/>
        <v>0.8</v>
      </c>
      <c r="FL281" s="23">
        <f t="shared" si="779"/>
        <v>0.8</v>
      </c>
      <c r="FM281" s="23">
        <f t="shared" si="701"/>
        <v>1</v>
      </c>
      <c r="FN281" s="23"/>
      <c r="FX281" s="4">
        <f t="shared" si="833"/>
        <v>1.25</v>
      </c>
      <c r="FY281" s="4">
        <f t="shared" si="652"/>
        <v>0.91250000000000009</v>
      </c>
      <c r="FZ281" s="4">
        <f t="shared" si="834"/>
        <v>0</v>
      </c>
      <c r="GA281" s="4">
        <f t="shared" si="835"/>
        <v>255.65561336643952</v>
      </c>
    </row>
    <row r="282" spans="1:183" ht="12" hidden="1" customHeight="1" x14ac:dyDescent="0.3">
      <c r="A282" s="25">
        <v>264</v>
      </c>
      <c r="B282" s="4" t="s">
        <v>605</v>
      </c>
      <c r="C282" s="4">
        <v>2016</v>
      </c>
      <c r="D282" s="4" t="s">
        <v>309</v>
      </c>
      <c r="E282" s="24" t="s">
        <v>665</v>
      </c>
      <c r="F282" s="7" t="s">
        <v>421</v>
      </c>
      <c r="G282" s="38">
        <f t="shared" si="804"/>
        <v>889.65517241379314</v>
      </c>
      <c r="H282" s="38">
        <f>10*25.4</f>
        <v>254</v>
      </c>
      <c r="I282" s="4">
        <f t="shared" si="746"/>
        <v>254</v>
      </c>
      <c r="J282" s="38">
        <f>11040/145</f>
        <v>76.137931034482762</v>
      </c>
      <c r="K282" s="38">
        <f t="shared" si="747"/>
        <v>25.4</v>
      </c>
      <c r="L282" s="7">
        <f t="shared" si="748"/>
        <v>10</v>
      </c>
      <c r="M282" s="7">
        <f t="shared" si="749"/>
        <v>10</v>
      </c>
      <c r="N282" s="38">
        <f>12*25.4</f>
        <v>304.79999999999995</v>
      </c>
      <c r="O282" s="38">
        <f>2.4*25.4</f>
        <v>60.959999999999994</v>
      </c>
      <c r="P282" s="39">
        <f>(2.9+2.8+3.1)/3*25.4</f>
        <v>74.506666666666661</v>
      </c>
      <c r="Q282" s="7">
        <f t="shared" si="750"/>
        <v>53.339999999999989</v>
      </c>
      <c r="R282" s="38">
        <v>3</v>
      </c>
      <c r="S282" s="4">
        <f t="shared" si="722"/>
        <v>260.34999999999997</v>
      </c>
      <c r="T282" s="7">
        <f t="shared" si="751"/>
        <v>1.5499999999999998</v>
      </c>
      <c r="U282" s="7">
        <f t="shared" ref="U282:U345" si="859">O282/K282+0.5</f>
        <v>2.9</v>
      </c>
      <c r="V282" s="38">
        <v>4.0999999999999996</v>
      </c>
      <c r="W282" s="4">
        <f t="shared" si="752"/>
        <v>4.0999999999999996</v>
      </c>
      <c r="X282" s="4">
        <f t="shared" si="753"/>
        <v>5.0999999999999996</v>
      </c>
      <c r="Y282" s="7">
        <f t="shared" si="754"/>
        <v>57.361276136431961</v>
      </c>
      <c r="AB282" s="38">
        <f t="shared" si="786"/>
        <v>537.93103448275861</v>
      </c>
      <c r="AC282" s="4">
        <v>78</v>
      </c>
      <c r="AD282" s="4">
        <f t="shared" si="666"/>
        <v>1.0122595831277816</v>
      </c>
      <c r="AE282" s="38">
        <f t="shared" si="836"/>
        <v>9.5249999999999986</v>
      </c>
      <c r="AF282" s="38">
        <v>10</v>
      </c>
      <c r="AG282" s="39">
        <f>3*25.4</f>
        <v>76.199999999999989</v>
      </c>
      <c r="AH282" s="39">
        <v>3</v>
      </c>
      <c r="AI282" s="39">
        <v>2</v>
      </c>
      <c r="AJ282" s="7"/>
      <c r="AK282" s="4">
        <f t="shared" si="755"/>
        <v>254</v>
      </c>
      <c r="AL282" s="4">
        <f t="shared" si="678"/>
        <v>0.39999999999999997</v>
      </c>
      <c r="AM282" s="4">
        <f t="shared" si="679"/>
        <v>232.36597815509018</v>
      </c>
      <c r="AN282" s="4">
        <f t="shared" si="680"/>
        <v>0.75800000000000001</v>
      </c>
      <c r="AO282" s="4">
        <v>1.25</v>
      </c>
      <c r="AP282" s="4">
        <f t="shared" si="844"/>
        <v>2.5</v>
      </c>
      <c r="AQ282" s="38">
        <f t="shared" si="723"/>
        <v>220.16676430194792</v>
      </c>
      <c r="AR282" s="38">
        <f t="shared" si="682"/>
        <v>220.16676430194792</v>
      </c>
      <c r="AS282" s="38">
        <f t="shared" si="683"/>
        <v>4.75341304622079</v>
      </c>
      <c r="AT282" s="38">
        <f t="shared" si="853"/>
        <v>220.16676430194792</v>
      </c>
      <c r="AU282" s="38">
        <f t="shared" si="820"/>
        <v>1</v>
      </c>
      <c r="AV282" s="38">
        <f t="shared" si="715"/>
        <v>2.9269649474460713</v>
      </c>
      <c r="AW282" s="4">
        <f t="shared" si="707"/>
        <v>0</v>
      </c>
      <c r="AX282" s="4">
        <f t="shared" si="756"/>
        <v>459.24764149356696</v>
      </c>
      <c r="AY282" s="4">
        <f t="shared" si="724"/>
        <v>1.3483870967741938</v>
      </c>
      <c r="AZ282" s="38">
        <f t="shared" si="837"/>
        <v>644.4204017044226</v>
      </c>
      <c r="BA282" s="4">
        <f t="shared" si="725"/>
        <v>0.42600000000000005</v>
      </c>
      <c r="BB282" s="4">
        <f t="shared" si="726"/>
        <v>102.22163628184562</v>
      </c>
      <c r="BC282" s="4">
        <f t="shared" si="727"/>
        <v>746.64203798626818</v>
      </c>
      <c r="BE282" s="4">
        <f t="shared" si="854"/>
        <v>1.5</v>
      </c>
      <c r="BF282" s="4">
        <f t="shared" ref="BF282:BF345" si="860">(3*M282+30)*BE282*J282^0.5</f>
        <v>785.31346695399941</v>
      </c>
      <c r="BH282" s="4">
        <f t="shared" ref="BH282:BH345" si="861">3.4/PI()^0.5*J282*T282*W282^0.5*AY282</f>
        <v>618.07797271440324</v>
      </c>
      <c r="BI282" s="4">
        <f t="shared" si="806"/>
        <v>0</v>
      </c>
      <c r="BJ282" s="4">
        <f t="shared" ref="BJ282:BJ345" si="862">BI282/BH282</f>
        <v>0</v>
      </c>
      <c r="BR282" s="4">
        <f t="shared" si="728"/>
        <v>26.669999999999995</v>
      </c>
      <c r="BV282" s="9"/>
      <c r="BX282" s="9"/>
      <c r="BY282" s="9"/>
      <c r="BZ282" s="9">
        <f t="shared" si="729"/>
        <v>26.669999999999995</v>
      </c>
      <c r="CA282" s="9">
        <f t="shared" si="730"/>
        <v>60.959999999999994</v>
      </c>
      <c r="CB282" s="9">
        <f t="shared" si="821"/>
        <v>1.1599731613256561</v>
      </c>
      <c r="CC282" s="40">
        <f t="shared" si="757"/>
        <v>20</v>
      </c>
      <c r="CD282" s="9">
        <f t="shared" si="731"/>
        <v>0.05</v>
      </c>
      <c r="CE282" s="9">
        <f t="shared" si="732"/>
        <v>0.8</v>
      </c>
      <c r="CF282" s="9">
        <f t="shared" si="733"/>
        <v>0.99524931562137331</v>
      </c>
      <c r="CG282" s="9">
        <f t="shared" si="734"/>
        <v>0.68</v>
      </c>
      <c r="CH282" s="9">
        <f t="shared" si="822"/>
        <v>2.0668520038571487</v>
      </c>
      <c r="CI282" s="9">
        <f t="shared" si="823"/>
        <v>4.0509744559921632</v>
      </c>
      <c r="CJ282" s="40">
        <v>1</v>
      </c>
      <c r="CK282" s="9">
        <f t="shared" si="824"/>
        <v>405.09744559921631</v>
      </c>
      <c r="CM282" s="4">
        <f t="shared" si="735"/>
        <v>1.1713310769181029</v>
      </c>
      <c r="CN282" s="4">
        <f t="shared" si="736"/>
        <v>0.72046711424605314</v>
      </c>
      <c r="CO282" s="4">
        <f t="shared" si="708"/>
        <v>0.68498893387023563</v>
      </c>
      <c r="CP282" s="4">
        <f t="shared" si="737"/>
        <v>1.327905273969467</v>
      </c>
      <c r="CQ282" s="4">
        <f t="shared" si="694"/>
        <v>1.0122595831277816</v>
      </c>
      <c r="CR282" s="4">
        <f t="shared" si="695"/>
        <v>1.015645214075779</v>
      </c>
      <c r="CS282" s="4">
        <f t="shared" si="709"/>
        <v>1.5227273061218662</v>
      </c>
      <c r="CT282" s="4">
        <f t="shared" si="758"/>
        <v>10</v>
      </c>
      <c r="DA282" s="4">
        <f t="shared" ref="DA282:DB282" si="863">CM282</f>
        <v>1.1713310769181029</v>
      </c>
      <c r="DB282" s="4">
        <f t="shared" si="863"/>
        <v>0.72046711424605314</v>
      </c>
      <c r="DC282" s="4">
        <f t="shared" ref="DC282" si="864">CP282</f>
        <v>1.327905273969467</v>
      </c>
      <c r="DD282" s="4">
        <f t="shared" ref="DD282" si="865">CS282</f>
        <v>1.5227273061218662</v>
      </c>
      <c r="DE282" s="4">
        <f t="shared" ref="DE282:DF282" si="866">CQ282</f>
        <v>1.0122595831277816</v>
      </c>
      <c r="DF282" s="4">
        <f t="shared" si="866"/>
        <v>1.015645214075779</v>
      </c>
      <c r="DI282" s="4">
        <f t="shared" si="742"/>
        <v>254</v>
      </c>
      <c r="DL282" s="4">
        <f t="shared" si="667"/>
        <v>2.3942991446897161E-5</v>
      </c>
      <c r="DM282" s="4">
        <f t="shared" si="769"/>
        <v>10.392496490434585</v>
      </c>
      <c r="DN282" s="4">
        <f t="shared" si="668"/>
        <v>0.15741731961617406</v>
      </c>
      <c r="DO282" s="4">
        <f t="shared" si="669"/>
        <v>4.9606763339604125</v>
      </c>
      <c r="DP282" s="4">
        <f t="shared" si="670"/>
        <v>8.1480771156069896</v>
      </c>
      <c r="DQ282" s="4">
        <f t="shared" si="671"/>
        <v>9.5599674624018807</v>
      </c>
      <c r="DR282" s="38">
        <f t="shared" si="684"/>
        <v>531.41609469441141</v>
      </c>
      <c r="DS282" s="4">
        <f t="shared" si="829"/>
        <v>1.0000925698694281</v>
      </c>
      <c r="DT282" s="4">
        <f t="shared" si="672"/>
        <v>2.2583179581272428</v>
      </c>
      <c r="DU282" s="4">
        <f t="shared" si="842"/>
        <v>220.16676430194792</v>
      </c>
      <c r="DY282" s="4">
        <f t="shared" si="785"/>
        <v>0.85</v>
      </c>
      <c r="DZ282" s="4">
        <f t="shared" si="830"/>
        <v>0.995</v>
      </c>
      <c r="EA282" s="4">
        <f t="shared" si="685"/>
        <v>0.90625</v>
      </c>
      <c r="EB282" s="4">
        <f t="shared" si="831"/>
        <v>0.90171875000000001</v>
      </c>
      <c r="ED282" s="4">
        <f t="shared" si="686"/>
        <v>529.64463084903844</v>
      </c>
      <c r="EE282" s="25">
        <f t="shared" si="687"/>
        <v>217.86973613600091</v>
      </c>
      <c r="EG282" s="4">
        <f t="shared" si="843"/>
        <v>0.76646093749999999</v>
      </c>
      <c r="EH282" s="4">
        <f t="shared" si="688"/>
        <v>10.392496490434585</v>
      </c>
      <c r="EK282" s="4">
        <f t="shared" si="673"/>
        <v>57.361276136431961</v>
      </c>
      <c r="EL282" s="4">
        <f t="shared" si="674"/>
        <v>2.2583179581272428</v>
      </c>
      <c r="EM282" s="4">
        <f t="shared" si="675"/>
        <v>7.5108366060946924E-2</v>
      </c>
      <c r="EP282" s="4">
        <f t="shared" si="759"/>
        <v>7.5108366060946924E-2</v>
      </c>
      <c r="EQ282" s="4">
        <f t="shared" si="721"/>
        <v>0.15715461944833478</v>
      </c>
      <c r="ER282" s="4">
        <f t="shared" si="770"/>
        <v>4.9573632969588264</v>
      </c>
      <c r="ES282" s="4">
        <f t="shared" si="743"/>
        <v>8.1470831422939138</v>
      </c>
      <c r="ET282" s="4">
        <f t="shared" si="771"/>
        <v>133.13872386356803</v>
      </c>
      <c r="EU282" s="4">
        <f t="shared" si="772"/>
        <v>63.5</v>
      </c>
      <c r="EV282" s="4">
        <f t="shared" si="832"/>
        <v>2.3942991446897161E-5</v>
      </c>
      <c r="EW282" s="4">
        <f t="shared" si="744"/>
        <v>9.5601253990987622</v>
      </c>
      <c r="EX282" s="4">
        <f t="shared" ref="EX282:EX345" si="867">MIN(4/K282*(1*ER282*EK282+ES282*ET282+EU282*EW282)+DU282,MAX(G282,AB282))</f>
        <v>531.3669061292926</v>
      </c>
      <c r="FG282" s="23">
        <f t="shared" si="778"/>
        <v>1.2</v>
      </c>
      <c r="FH282" s="23">
        <f t="shared" si="778"/>
        <v>0.8</v>
      </c>
      <c r="FI282" s="23">
        <f t="shared" si="712"/>
        <v>1.6</v>
      </c>
      <c r="FJ282" s="23">
        <f t="shared" si="779"/>
        <v>1.4</v>
      </c>
      <c r="FK282" s="23">
        <f t="shared" si="779"/>
        <v>1.2</v>
      </c>
      <c r="FL282" s="23">
        <f t="shared" si="779"/>
        <v>1.2</v>
      </c>
      <c r="FM282" s="23">
        <f t="shared" si="701"/>
        <v>0</v>
      </c>
      <c r="FN282" s="23"/>
      <c r="FX282" s="4">
        <f t="shared" si="833"/>
        <v>1.25</v>
      </c>
      <c r="FY282" s="4">
        <f t="shared" si="652"/>
        <v>0.66703488372093034</v>
      </c>
      <c r="FZ282" s="4">
        <f t="shared" si="834"/>
        <v>0.28124999999999994</v>
      </c>
      <c r="GA282" s="4">
        <f t="shared" si="835"/>
        <v>353.26813430093381</v>
      </c>
    </row>
    <row r="283" spans="1:183" ht="12" hidden="1" customHeight="1" x14ac:dyDescent="0.3">
      <c r="A283" s="25">
        <v>265</v>
      </c>
      <c r="B283" s="4" t="s">
        <v>605</v>
      </c>
      <c r="C283" s="4">
        <v>2016</v>
      </c>
      <c r="D283" s="4" t="s">
        <v>309</v>
      </c>
      <c r="E283" s="24" t="s">
        <v>665</v>
      </c>
      <c r="F283" s="7" t="s">
        <v>422</v>
      </c>
      <c r="G283" s="38">
        <f t="shared" si="804"/>
        <v>889.65517241379314</v>
      </c>
      <c r="H283" s="38">
        <f>9.92*25.4</f>
        <v>251.96799999999999</v>
      </c>
      <c r="I283" s="4">
        <f t="shared" si="746"/>
        <v>251.96799999999999</v>
      </c>
      <c r="J283" s="38">
        <f>11440/145</f>
        <v>78.896551724137936</v>
      </c>
      <c r="K283" s="38">
        <f t="shared" si="747"/>
        <v>25.4</v>
      </c>
      <c r="L283" s="7">
        <f t="shared" si="748"/>
        <v>9.92</v>
      </c>
      <c r="M283" s="7">
        <f t="shared" si="749"/>
        <v>9.92</v>
      </c>
      <c r="N283" s="38">
        <f>14*25.4</f>
        <v>355.59999999999997</v>
      </c>
      <c r="O283" s="38">
        <f>2.5*25.4</f>
        <v>63.5</v>
      </c>
      <c r="P283" s="39">
        <f>(3+3.3+3)/3*25.4</f>
        <v>78.739999999999995</v>
      </c>
      <c r="Q283" s="7">
        <f t="shared" si="750"/>
        <v>76.199999999999989</v>
      </c>
      <c r="R283" s="38">
        <v>3</v>
      </c>
      <c r="S283" s="4">
        <f t="shared" si="722"/>
        <v>260.34999999999997</v>
      </c>
      <c r="T283" s="7">
        <f t="shared" si="751"/>
        <v>1.9999999999999998</v>
      </c>
      <c r="U283" s="7">
        <f t="shared" si="859"/>
        <v>3</v>
      </c>
      <c r="V283" s="38">
        <v>4.0999999999999996</v>
      </c>
      <c r="W283" s="4">
        <f t="shared" si="752"/>
        <v>4.0999999999999996</v>
      </c>
      <c r="X283" s="4">
        <f t="shared" si="753"/>
        <v>5.0999999999999996</v>
      </c>
      <c r="Y283" s="7">
        <f t="shared" si="754"/>
        <v>57.361276136431961</v>
      </c>
      <c r="AB283" s="38">
        <f t="shared" si="786"/>
        <v>426.89655172413796</v>
      </c>
      <c r="AC283" s="4">
        <v>61.9</v>
      </c>
      <c r="AD283" s="4">
        <f t="shared" si="666"/>
        <v>0.75738494469674067</v>
      </c>
      <c r="AE283" s="38"/>
      <c r="AF283" s="38"/>
      <c r="AG283" s="39">
        <v>1</v>
      </c>
      <c r="AH283" s="39"/>
      <c r="AI283" s="39"/>
      <c r="AJ283" s="7"/>
      <c r="AK283" s="4">
        <f t="shared" si="755"/>
        <v>251.96799999999999</v>
      </c>
      <c r="AL283" s="4">
        <f t="shared" si="678"/>
        <v>0.47043010752688169</v>
      </c>
      <c r="AM283" s="4">
        <f t="shared" si="679"/>
        <v>233.70528033380882</v>
      </c>
      <c r="AN283" s="4">
        <f t="shared" si="680"/>
        <v>0.76048387096774195</v>
      </c>
      <c r="AO283" s="4">
        <v>1.25</v>
      </c>
      <c r="AP283" s="4">
        <f t="shared" si="844"/>
        <v>2.5</v>
      </c>
      <c r="AQ283" s="38">
        <f t="shared" si="723"/>
        <v>261.27849331674088</v>
      </c>
      <c r="AR283" s="38">
        <f t="shared" si="682"/>
        <v>261.27849331674088</v>
      </c>
      <c r="AS283" s="38">
        <f t="shared" si="683"/>
        <v>4.8146447394162166</v>
      </c>
      <c r="AT283" s="38">
        <f t="shared" si="853"/>
        <v>261.27849331674076</v>
      </c>
      <c r="AU283" s="38">
        <f t="shared" si="820"/>
        <v>1.0000000000000004</v>
      </c>
      <c r="AV283" s="38">
        <f t="shared" si="715"/>
        <v>2.9348609175873812</v>
      </c>
      <c r="AW283" s="4">
        <f t="shared" si="707"/>
        <v>0</v>
      </c>
      <c r="AX283" s="4">
        <f t="shared" si="756"/>
        <v>463.7533740037855</v>
      </c>
      <c r="AY283" s="4">
        <f t="shared" si="724"/>
        <v>1.2000000000000002</v>
      </c>
      <c r="AZ283" s="38">
        <f t="shared" si="837"/>
        <v>766.81603864141823</v>
      </c>
      <c r="BA283" s="4">
        <f t="shared" si="725"/>
        <v>0.42600000000000005</v>
      </c>
      <c r="BB283" s="4">
        <f t="shared" si="726"/>
        <v>103.2245447526326</v>
      </c>
      <c r="BC283" s="4">
        <f t="shared" si="727"/>
        <v>870.04058339405083</v>
      </c>
      <c r="BE283" s="4">
        <f t="shared" si="854"/>
        <v>1.375</v>
      </c>
      <c r="BF283" s="4">
        <f t="shared" si="860"/>
        <v>729.86459687089723</v>
      </c>
      <c r="BH283" s="4">
        <f t="shared" si="861"/>
        <v>735.4703565480313</v>
      </c>
      <c r="BI283" s="4">
        <f t="shared" si="806"/>
        <v>0</v>
      </c>
      <c r="BJ283" s="4">
        <f t="shared" si="862"/>
        <v>0</v>
      </c>
      <c r="BR283" s="4">
        <f t="shared" si="728"/>
        <v>38.099999999999994</v>
      </c>
      <c r="BV283" s="9"/>
      <c r="BX283" s="9"/>
      <c r="BY283" s="9"/>
      <c r="BZ283" s="9">
        <f t="shared" si="729"/>
        <v>38.099999999999994</v>
      </c>
      <c r="CA283" s="9">
        <f t="shared" si="730"/>
        <v>63.5</v>
      </c>
      <c r="CB283" s="9">
        <f t="shared" si="821"/>
        <v>1.3222785168171165</v>
      </c>
      <c r="CC283" s="40">
        <f t="shared" si="757"/>
        <v>0</v>
      </c>
      <c r="CD283" s="9">
        <f t="shared" si="731"/>
        <v>0</v>
      </c>
      <c r="CE283" s="9">
        <f t="shared" si="732"/>
        <v>0</v>
      </c>
      <c r="CF283" s="9">
        <f t="shared" si="733"/>
        <v>0.99524931562137331</v>
      </c>
      <c r="CG283" s="9">
        <f t="shared" si="734"/>
        <v>0.68</v>
      </c>
      <c r="CH283" s="9">
        <f t="shared" si="822"/>
        <v>2.1039618260511515</v>
      </c>
      <c r="CI283" s="9">
        <f t="shared" si="823"/>
        <v>2.7820235227907486</v>
      </c>
      <c r="CJ283" s="40">
        <v>1</v>
      </c>
      <c r="CK283" s="9">
        <f t="shared" si="824"/>
        <v>277.31210475178182</v>
      </c>
      <c r="CM283" s="4">
        <f t="shared" si="735"/>
        <v>0.92052495066192941</v>
      </c>
      <c r="CN283" s="4">
        <f t="shared" si="736"/>
        <v>0.49066280340487506</v>
      </c>
      <c r="CO283" s="4">
        <f t="shared" si="708"/>
        <v>0.58489828600310911</v>
      </c>
      <c r="CP283" s="4">
        <f t="shared" si="737"/>
        <v>1.5394082854992828</v>
      </c>
      <c r="CQ283" s="4">
        <f t="shared" si="694"/>
        <v>0.75738494469674067</v>
      </c>
      <c r="CR283" s="4">
        <f t="shared" si="695"/>
        <v>0.76591341717817985</v>
      </c>
      <c r="CS283" s="4">
        <f t="shared" si="709"/>
        <v>1.2067087626321074</v>
      </c>
      <c r="CT283" s="4">
        <f t="shared" si="758"/>
        <v>0</v>
      </c>
      <c r="CU283" s="4">
        <f t="shared" ref="CU283:CV283" si="868">CM283</f>
        <v>0.92052495066192941</v>
      </c>
      <c r="CV283" s="4">
        <f t="shared" si="868"/>
        <v>0.49066280340487506</v>
      </c>
      <c r="CW283" s="4">
        <f t="shared" ref="CW283" si="869">CP283</f>
        <v>1.5394082854992828</v>
      </c>
      <c r="CX283" s="4">
        <f t="shared" ref="CX283" si="870">CS283</f>
        <v>1.2067087626321074</v>
      </c>
      <c r="CY283" s="4">
        <f t="shared" ref="CY283:CZ283" si="871">CQ283</f>
        <v>0.75738494469674067</v>
      </c>
      <c r="CZ283" s="4">
        <f t="shared" si="871"/>
        <v>0.76591341717817985</v>
      </c>
      <c r="DI283" s="4">
        <f t="shared" si="742"/>
        <v>251.96799999999999</v>
      </c>
      <c r="DL283" s="4">
        <f t="shared" si="667"/>
        <v>2.4148361798518977E-5</v>
      </c>
      <c r="DM283" s="4">
        <f t="shared" si="769"/>
        <v>10.04143675130468</v>
      </c>
      <c r="DN283" s="4">
        <f t="shared" si="668"/>
        <v>0.18027996513199299</v>
      </c>
      <c r="DO283" s="4">
        <f t="shared" si="669"/>
        <v>5.0602834368430525</v>
      </c>
      <c r="DP283" s="4">
        <f t="shared" si="670"/>
        <v>7.9549538182287627</v>
      </c>
      <c r="DQ283" s="4">
        <f t="shared" si="671"/>
        <v>9.2515968559547055</v>
      </c>
      <c r="DR283" s="38">
        <f t="shared" si="684"/>
        <v>563.6454153377299</v>
      </c>
      <c r="DS283" s="4">
        <f t="shared" si="829"/>
        <v>1.0000904410420515</v>
      </c>
      <c r="DT283" s="4">
        <f t="shared" si="672"/>
        <v>2.2583179581272428</v>
      </c>
      <c r="DU283" s="4">
        <f t="shared" si="842"/>
        <v>261.27849331674076</v>
      </c>
      <c r="DY283" s="4">
        <f t="shared" si="785"/>
        <v>0.85</v>
      </c>
      <c r="DZ283" s="4">
        <f t="shared" si="830"/>
        <v>0.95</v>
      </c>
      <c r="EA283" s="4">
        <f t="shared" si="685"/>
        <v>1</v>
      </c>
      <c r="EB283" s="4">
        <f t="shared" si="831"/>
        <v>0.95</v>
      </c>
      <c r="ED283" s="4">
        <f t="shared" si="686"/>
        <v>557.36920407653076</v>
      </c>
      <c r="EE283" s="25">
        <f t="shared" si="687"/>
        <v>258.53604635770347</v>
      </c>
      <c r="EG283" s="4">
        <f t="shared" si="843"/>
        <v>0.8075</v>
      </c>
      <c r="EH283" s="4">
        <f t="shared" si="688"/>
        <v>10.04143675130468</v>
      </c>
      <c r="EK283" s="4">
        <f t="shared" si="673"/>
        <v>57.361276136431961</v>
      </c>
      <c r="EL283" s="4">
        <f t="shared" si="674"/>
        <v>2.2583179581272428</v>
      </c>
      <c r="EM283" s="4">
        <f t="shared" si="675"/>
        <v>8.7561207479214337E-2</v>
      </c>
      <c r="EP283" s="4">
        <f t="shared" si="759"/>
        <v>8.7561207479214337E-2</v>
      </c>
      <c r="EQ283" s="4">
        <f t="shared" si="721"/>
        <v>0.17997911146980572</v>
      </c>
      <c r="ER283" s="4">
        <f t="shared" si="770"/>
        <v>5.056903876247655</v>
      </c>
      <c r="ES283" s="4">
        <f t="shared" si="743"/>
        <v>7.9538911861800736</v>
      </c>
      <c r="ET283" s="4">
        <f t="shared" si="771"/>
        <v>131.61472386356803</v>
      </c>
      <c r="EU283" s="4">
        <f t="shared" si="772"/>
        <v>62.99199999999999</v>
      </c>
      <c r="EV283" s="4">
        <f t="shared" si="832"/>
        <v>2.414836179851897E-5</v>
      </c>
      <c r="EW283" s="4">
        <f t="shared" si="744"/>
        <v>9.2517562618422335</v>
      </c>
      <c r="EX283" s="4">
        <f t="shared" si="867"/>
        <v>563.5944432689862</v>
      </c>
      <c r="FG283" s="23">
        <f t="shared" si="778"/>
        <v>1</v>
      </c>
      <c r="FH283" s="23">
        <f t="shared" si="778"/>
        <v>0.6</v>
      </c>
      <c r="FI283" s="23">
        <f t="shared" si="712"/>
        <v>1.4</v>
      </c>
      <c r="FJ283" s="23">
        <f t="shared" si="779"/>
        <v>1.6</v>
      </c>
      <c r="FK283" s="23">
        <f t="shared" si="779"/>
        <v>0.8</v>
      </c>
      <c r="FL283" s="23">
        <f t="shared" si="779"/>
        <v>0.8</v>
      </c>
      <c r="FM283" s="23">
        <f t="shared" si="701"/>
        <v>1</v>
      </c>
      <c r="FN283" s="23"/>
      <c r="FX283" s="4">
        <f t="shared" si="833"/>
        <v>1</v>
      </c>
      <c r="FY283" s="4">
        <f t="shared" si="652"/>
        <v>0.83333333333333326</v>
      </c>
      <c r="FZ283" s="4">
        <f t="shared" si="834"/>
        <v>0</v>
      </c>
      <c r="GA283" s="4">
        <f t="shared" si="835"/>
        <v>353.76933104635714</v>
      </c>
    </row>
    <row r="284" spans="1:183" ht="12" hidden="1" customHeight="1" x14ac:dyDescent="0.3">
      <c r="A284" s="25">
        <v>266</v>
      </c>
      <c r="B284" s="4" t="s">
        <v>605</v>
      </c>
      <c r="C284" s="4">
        <v>2016</v>
      </c>
      <c r="D284" s="4" t="s">
        <v>309</v>
      </c>
      <c r="E284" s="24" t="s">
        <v>665</v>
      </c>
      <c r="F284" s="7" t="s">
        <v>423</v>
      </c>
      <c r="G284" s="38">
        <f t="shared" si="804"/>
        <v>889.65517241379314</v>
      </c>
      <c r="H284" s="38">
        <f>9.77*25.4</f>
        <v>248.15799999999999</v>
      </c>
      <c r="I284" s="4">
        <f t="shared" si="746"/>
        <v>248.15799999999999</v>
      </c>
      <c r="J284" s="38">
        <f t="shared" ref="J284" si="872">11440/145</f>
        <v>78.896551724137936</v>
      </c>
      <c r="K284" s="38">
        <f t="shared" si="747"/>
        <v>25.4</v>
      </c>
      <c r="L284" s="7">
        <f t="shared" si="748"/>
        <v>9.77</v>
      </c>
      <c r="M284" s="7">
        <f t="shared" si="749"/>
        <v>9.77</v>
      </c>
      <c r="N284" s="38">
        <f>13.8*25.4</f>
        <v>350.52</v>
      </c>
      <c r="O284" s="38">
        <f>2.45*25.4</f>
        <v>62.230000000000004</v>
      </c>
      <c r="P284" s="39">
        <f>(3.2+3.1+3.3)/3*25.4</f>
        <v>81.280000000000015</v>
      </c>
      <c r="Q284" s="7">
        <f t="shared" si="750"/>
        <v>74.929999999999993</v>
      </c>
      <c r="R284" s="38">
        <v>3</v>
      </c>
      <c r="S284" s="4">
        <f t="shared" si="722"/>
        <v>260.34999999999997</v>
      </c>
      <c r="T284" s="7">
        <f t="shared" si="751"/>
        <v>1.9749999999999999</v>
      </c>
      <c r="U284" s="7">
        <f t="shared" si="859"/>
        <v>2.95</v>
      </c>
      <c r="V284" s="38">
        <v>4.0999999999999996</v>
      </c>
      <c r="W284" s="4">
        <f t="shared" si="752"/>
        <v>4.0999999999999996</v>
      </c>
      <c r="X284" s="4">
        <f t="shared" si="753"/>
        <v>5.0999999999999996</v>
      </c>
      <c r="Y284" s="7">
        <f t="shared" si="754"/>
        <v>57.361276136431961</v>
      </c>
      <c r="AB284" s="38">
        <f t="shared" si="786"/>
        <v>573.79310344827593</v>
      </c>
      <c r="AC284" s="4">
        <v>83.2</v>
      </c>
      <c r="AD284" s="4">
        <f t="shared" si="666"/>
        <v>0.98660780016235983</v>
      </c>
      <c r="AE284" s="38">
        <f t="shared" si="836"/>
        <v>9.5249999999999986</v>
      </c>
      <c r="AF284" s="38">
        <v>10</v>
      </c>
      <c r="AG284" s="39">
        <f>3*25.4</f>
        <v>76.199999999999989</v>
      </c>
      <c r="AH284" s="39">
        <v>3</v>
      </c>
      <c r="AI284" s="39">
        <v>2</v>
      </c>
      <c r="AJ284" s="7"/>
      <c r="AK284" s="4">
        <f t="shared" si="755"/>
        <v>248.15799999999999</v>
      </c>
      <c r="AL284" s="4">
        <f t="shared" si="678"/>
        <v>0.47082906857727741</v>
      </c>
      <c r="AM284" s="4">
        <f t="shared" si="679"/>
        <v>228.42459432627268</v>
      </c>
      <c r="AN284" s="4">
        <f t="shared" si="680"/>
        <v>0.76038894575230298</v>
      </c>
      <c r="AO284" s="4">
        <v>1.25</v>
      </c>
      <c r="AP284" s="4">
        <f t="shared" si="844"/>
        <v>2.5</v>
      </c>
      <c r="AQ284" s="38">
        <f t="shared" si="723"/>
        <v>255.55945104042959</v>
      </c>
      <c r="AR284" s="38">
        <f t="shared" si="682"/>
        <v>255.55945104042959</v>
      </c>
      <c r="AS284" s="38">
        <f t="shared" si="683"/>
        <v>4.8146447394162166</v>
      </c>
      <c r="AT284" s="38">
        <f t="shared" si="853"/>
        <v>255.55945104042956</v>
      </c>
      <c r="AU284" s="38">
        <f t="shared" si="820"/>
        <v>1.0000000000000002</v>
      </c>
      <c r="AV284" s="38">
        <f t="shared" si="715"/>
        <v>2.9567809042797739</v>
      </c>
      <c r="AW284" s="4">
        <f t="shared" si="707"/>
        <v>0</v>
      </c>
      <c r="AX284" s="4">
        <f t="shared" si="756"/>
        <v>456.74097419526049</v>
      </c>
      <c r="AY284" s="4">
        <f t="shared" si="724"/>
        <v>1.1974683544303799</v>
      </c>
      <c r="AZ284" s="38">
        <f t="shared" si="837"/>
        <v>755.63330474456393</v>
      </c>
      <c r="BA284" s="4">
        <f t="shared" si="725"/>
        <v>0.42600000000000005</v>
      </c>
      <c r="BB284" s="4">
        <f t="shared" si="726"/>
        <v>101.66368974125207</v>
      </c>
      <c r="BC284" s="4">
        <f t="shared" si="727"/>
        <v>857.29699448581596</v>
      </c>
      <c r="BE284" s="4">
        <f t="shared" si="854"/>
        <v>1.5</v>
      </c>
      <c r="BF284" s="4">
        <f t="shared" si="860"/>
        <v>790.22032202287176</v>
      </c>
      <c r="BH284" s="4">
        <f t="shared" si="861"/>
        <v>724.74474718170586</v>
      </c>
      <c r="BI284" s="4">
        <f t="shared" si="806"/>
        <v>0</v>
      </c>
      <c r="BJ284" s="4">
        <f t="shared" si="862"/>
        <v>0</v>
      </c>
      <c r="BR284" s="4">
        <f t="shared" si="728"/>
        <v>37.464999999999996</v>
      </c>
      <c r="BV284" s="9"/>
      <c r="BX284" s="9"/>
      <c r="BY284" s="9"/>
      <c r="BZ284" s="9">
        <f t="shared" si="729"/>
        <v>37.464999999999996</v>
      </c>
      <c r="CA284" s="9">
        <f t="shared" si="730"/>
        <v>62.230000000000004</v>
      </c>
      <c r="CB284" s="9">
        <f t="shared" si="821"/>
        <v>1.3105455489610944</v>
      </c>
      <c r="CC284" s="40">
        <f t="shared" si="757"/>
        <v>20</v>
      </c>
      <c r="CD284" s="9">
        <f t="shared" si="731"/>
        <v>0.05</v>
      </c>
      <c r="CE284" s="9">
        <f t="shared" si="732"/>
        <v>0.8</v>
      </c>
      <c r="CF284" s="9">
        <f t="shared" si="733"/>
        <v>0.99524931562137331</v>
      </c>
      <c r="CG284" s="9">
        <f t="shared" si="734"/>
        <v>0.68</v>
      </c>
      <c r="CH284" s="9">
        <f t="shared" si="822"/>
        <v>2.1039618260511515</v>
      </c>
      <c r="CI284" s="9">
        <f t="shared" si="823"/>
        <v>4.4405072671563142</v>
      </c>
      <c r="CJ284" s="40">
        <v>1</v>
      </c>
      <c r="CK284" s="9">
        <f t="shared" si="824"/>
        <v>439.96546002984758</v>
      </c>
      <c r="CM284" s="4">
        <f t="shared" si="735"/>
        <v>1.2562768305586147</v>
      </c>
      <c r="CN284" s="4">
        <f t="shared" si="736"/>
        <v>0.669304928325827</v>
      </c>
      <c r="CO284" s="4">
        <f t="shared" si="708"/>
        <v>0.72611787808674999</v>
      </c>
      <c r="CP284" s="4">
        <f t="shared" si="737"/>
        <v>1.3041776129638663</v>
      </c>
      <c r="CQ284" s="4">
        <f t="shared" si="694"/>
        <v>0.98660780016235983</v>
      </c>
      <c r="CR284" s="4">
        <f t="shared" si="695"/>
        <v>0.99490267950518141</v>
      </c>
      <c r="CS284" s="4">
        <f t="shared" si="709"/>
        <v>1.5537534775920558</v>
      </c>
      <c r="CT284" s="4">
        <f t="shared" si="758"/>
        <v>10</v>
      </c>
      <c r="DA284" s="4">
        <f t="shared" ref="DA284:DB284" si="873">CM284</f>
        <v>1.2562768305586147</v>
      </c>
      <c r="DB284" s="4">
        <f t="shared" si="873"/>
        <v>0.669304928325827</v>
      </c>
      <c r="DC284" s="4">
        <f t="shared" ref="DC284" si="874">CP284</f>
        <v>1.3041776129638663</v>
      </c>
      <c r="DD284" s="4">
        <f t="shared" ref="DD284" si="875">CS284</f>
        <v>1.5537534775920558</v>
      </c>
      <c r="DE284" s="4">
        <f t="shared" ref="DE284:DF284" si="876">CQ284</f>
        <v>0.98660780016235983</v>
      </c>
      <c r="DF284" s="4">
        <f t="shared" si="876"/>
        <v>0.99490267950518141</v>
      </c>
      <c r="DI284" s="4">
        <f t="shared" si="742"/>
        <v>248.15799999999999</v>
      </c>
      <c r="DL284" s="4">
        <f t="shared" si="667"/>
        <v>2.3783215198742983E-5</v>
      </c>
      <c r="DM284" s="4">
        <f t="shared" si="769"/>
        <v>11.051124164708563</v>
      </c>
      <c r="DN284" s="4">
        <f t="shared" si="668"/>
        <v>0.17633387401261452</v>
      </c>
      <c r="DO284" s="4">
        <f t="shared" si="669"/>
        <v>5.5200213571306262</v>
      </c>
      <c r="DP284" s="4">
        <f t="shared" si="670"/>
        <v>8.739461203836381</v>
      </c>
      <c r="DQ284" s="4">
        <f t="shared" si="671"/>
        <v>10.128022414968948</v>
      </c>
      <c r="DR284" s="38">
        <f t="shared" si="684"/>
        <v>581.58176263541645</v>
      </c>
      <c r="DS284" s="4">
        <f t="shared" si="829"/>
        <v>1.0000942556269328</v>
      </c>
      <c r="DT284" s="4">
        <f t="shared" si="672"/>
        <v>2.2583179581272428</v>
      </c>
      <c r="DU284" s="4">
        <f t="shared" si="842"/>
        <v>255.55945104042956</v>
      </c>
      <c r="DY284" s="4">
        <f t="shared" si="785"/>
        <v>0.85</v>
      </c>
      <c r="DZ284" s="4">
        <f t="shared" si="830"/>
        <v>0.95250000000000001</v>
      </c>
      <c r="EA284" s="4">
        <f t="shared" si="685"/>
        <v>0.90625</v>
      </c>
      <c r="EB284" s="4">
        <f t="shared" si="831"/>
        <v>0.86320312499999996</v>
      </c>
      <c r="ED284" s="4">
        <f t="shared" si="686"/>
        <v>576.73289585837085</v>
      </c>
      <c r="EE284" s="25">
        <f t="shared" si="687"/>
        <v>252.82444659076288</v>
      </c>
      <c r="EG284" s="4">
        <f t="shared" si="843"/>
        <v>0.73372265624999999</v>
      </c>
      <c r="EH284" s="4">
        <f t="shared" si="688"/>
        <v>11.051124164708563</v>
      </c>
      <c r="EK284" s="4">
        <f t="shared" si="673"/>
        <v>57.361276136431961</v>
      </c>
      <c r="EL284" s="4">
        <f t="shared" si="674"/>
        <v>2.2583179581272428</v>
      </c>
      <c r="EM284" s="4">
        <f t="shared" si="675"/>
        <v>8.5644607911520801E-2</v>
      </c>
      <c r="EP284" s="4">
        <f t="shared" si="759"/>
        <v>8.5644607911520801E-2</v>
      </c>
      <c r="EQ284" s="4">
        <f t="shared" si="721"/>
        <v>0.17603960564105409</v>
      </c>
      <c r="ER284" s="4">
        <f t="shared" si="770"/>
        <v>5.5163347559951079</v>
      </c>
      <c r="ES284" s="4">
        <f t="shared" si="743"/>
        <v>8.7383107581814947</v>
      </c>
      <c r="ET284" s="4">
        <f t="shared" si="771"/>
        <v>128.75722386356802</v>
      </c>
      <c r="EU284" s="4">
        <f t="shared" si="772"/>
        <v>62.039500000000004</v>
      </c>
      <c r="EV284" s="4">
        <f t="shared" si="832"/>
        <v>2.3783215198742983E-5</v>
      </c>
      <c r="EW284" s="4">
        <f t="shared" si="744"/>
        <v>10.12820840849178</v>
      </c>
      <c r="EX284" s="4">
        <f t="shared" si="867"/>
        <v>581.52695044812367</v>
      </c>
      <c r="FG284" s="23">
        <f t="shared" si="778"/>
        <v>1.4</v>
      </c>
      <c r="FH284" s="23">
        <f t="shared" si="778"/>
        <v>0.8</v>
      </c>
      <c r="FI284" s="23">
        <f t="shared" si="712"/>
        <v>1.6</v>
      </c>
      <c r="FJ284" s="23">
        <f t="shared" si="779"/>
        <v>1.4</v>
      </c>
      <c r="FK284" s="23">
        <f t="shared" si="779"/>
        <v>1</v>
      </c>
      <c r="FL284" s="23">
        <f t="shared" si="779"/>
        <v>1</v>
      </c>
      <c r="FM284" s="23">
        <f t="shared" si="701"/>
        <v>0</v>
      </c>
      <c r="FN284" s="23"/>
      <c r="FX284" s="4">
        <f t="shared" si="833"/>
        <v>1.25</v>
      </c>
      <c r="FY284" s="4">
        <f t="shared" si="652"/>
        <v>0.62898255813953508</v>
      </c>
      <c r="FZ284" s="4">
        <f t="shared" si="834"/>
        <v>0.28124999999999994</v>
      </c>
      <c r="GA284" s="4">
        <f t="shared" si="835"/>
        <v>369.29481524798723</v>
      </c>
    </row>
    <row r="285" spans="1:183" ht="12" hidden="1" customHeight="1" x14ac:dyDescent="0.3">
      <c r="A285" s="25">
        <v>267</v>
      </c>
      <c r="B285" s="4" t="s">
        <v>605</v>
      </c>
      <c r="C285" s="4">
        <v>2016</v>
      </c>
      <c r="D285" s="4" t="s">
        <v>309</v>
      </c>
      <c r="E285" s="24" t="s">
        <v>665</v>
      </c>
      <c r="F285" s="7" t="s">
        <v>424</v>
      </c>
      <c r="G285" s="38">
        <f t="shared" si="804"/>
        <v>889.65517241379314</v>
      </c>
      <c r="H285" s="38">
        <f>9.92*25.4</f>
        <v>251.96799999999999</v>
      </c>
      <c r="I285" s="4">
        <f t="shared" si="746"/>
        <v>251.96799999999999</v>
      </c>
      <c r="J285" s="38">
        <f>11460/145</f>
        <v>79.034482758620683</v>
      </c>
      <c r="K285" s="38">
        <f t="shared" si="747"/>
        <v>25.4</v>
      </c>
      <c r="L285" s="7">
        <f t="shared" si="748"/>
        <v>9.92</v>
      </c>
      <c r="M285" s="7">
        <f t="shared" si="749"/>
        <v>9.92</v>
      </c>
      <c r="N285" s="38">
        <f>16.1*25.4</f>
        <v>408.94</v>
      </c>
      <c r="O285" s="38">
        <f>2.5*25.4</f>
        <v>63.5</v>
      </c>
      <c r="P285" s="39">
        <f>(3.2+3+3.3)/3*25.4</f>
        <v>80.433333333333323</v>
      </c>
      <c r="Q285" s="7">
        <f t="shared" si="750"/>
        <v>102.87</v>
      </c>
      <c r="R285" s="38">
        <v>3</v>
      </c>
      <c r="S285" s="4">
        <f t="shared" si="722"/>
        <v>260.34999999999997</v>
      </c>
      <c r="T285" s="7">
        <f t="shared" si="751"/>
        <v>2.5250000000000004</v>
      </c>
      <c r="U285" s="7">
        <f t="shared" si="859"/>
        <v>3</v>
      </c>
      <c r="V285" s="38">
        <v>4.0999999999999996</v>
      </c>
      <c r="W285" s="4">
        <f t="shared" si="752"/>
        <v>4.0999999999999996</v>
      </c>
      <c r="X285" s="4">
        <f t="shared" si="753"/>
        <v>5.0999999999999996</v>
      </c>
      <c r="Y285" s="7">
        <f t="shared" si="754"/>
        <v>57.361276136431961</v>
      </c>
      <c r="AB285" s="38">
        <f t="shared" si="786"/>
        <v>480.68965517241384</v>
      </c>
      <c r="AC285" s="4">
        <v>69.7</v>
      </c>
      <c r="AD285" s="4">
        <f t="shared" si="666"/>
        <v>0.7688185795271586</v>
      </c>
      <c r="AE285" s="38"/>
      <c r="AF285" s="38"/>
      <c r="AG285" s="39">
        <v>1</v>
      </c>
      <c r="AH285" s="39"/>
      <c r="AI285" s="39"/>
      <c r="AJ285" s="7"/>
      <c r="AK285" s="4">
        <f t="shared" si="755"/>
        <v>251.96799999999999</v>
      </c>
      <c r="AL285" s="4">
        <f t="shared" si="678"/>
        <v>0.540994623655914</v>
      </c>
      <c r="AM285" s="4">
        <f t="shared" si="679"/>
        <v>233.90947895759095</v>
      </c>
      <c r="AN285" s="4">
        <f t="shared" si="680"/>
        <v>0.76048387096774195</v>
      </c>
      <c r="AO285" s="4">
        <v>1.25</v>
      </c>
      <c r="AP285" s="4">
        <f t="shared" si="844"/>
        <v>2.5</v>
      </c>
      <c r="AQ285" s="38">
        <f t="shared" si="723"/>
        <v>300.73280145548068</v>
      </c>
      <c r="AR285" s="38">
        <f t="shared" si="682"/>
        <v>300.73280145548068</v>
      </c>
      <c r="AS285" s="38">
        <f t="shared" si="683"/>
        <v>4.8176603871508874</v>
      </c>
      <c r="AT285" s="38">
        <f t="shared" si="853"/>
        <v>300.73280145548046</v>
      </c>
      <c r="AU285" s="38">
        <f t="shared" si="820"/>
        <v>1.0000000000000007</v>
      </c>
      <c r="AV285" s="38">
        <f t="shared" si="715"/>
        <v>2.8895324324262508</v>
      </c>
      <c r="AW285" s="4">
        <f t="shared" si="707"/>
        <v>0</v>
      </c>
      <c r="AX285" s="4">
        <f t="shared" si="756"/>
        <v>464.15857580586129</v>
      </c>
      <c r="AY285" s="4">
        <f t="shared" si="724"/>
        <v>1.0752475247524751</v>
      </c>
      <c r="AZ285" s="38">
        <f t="shared" si="837"/>
        <v>868.97718330001521</v>
      </c>
      <c r="BA285" s="4">
        <f t="shared" si="725"/>
        <v>0.42600000000000005</v>
      </c>
      <c r="BB285" s="4">
        <f t="shared" si="726"/>
        <v>103.31473659574765</v>
      </c>
      <c r="BC285" s="4">
        <f t="shared" si="727"/>
        <v>972.29191989576282</v>
      </c>
      <c r="BE285" s="4">
        <f t="shared" si="854"/>
        <v>1.375</v>
      </c>
      <c r="BF285" s="4">
        <f t="shared" si="860"/>
        <v>730.50231179978312</v>
      </c>
      <c r="BH285" s="4">
        <f t="shared" si="861"/>
        <v>833.45538776951423</v>
      </c>
      <c r="BI285" s="4">
        <f t="shared" si="806"/>
        <v>0</v>
      </c>
      <c r="BJ285" s="4">
        <f t="shared" si="862"/>
        <v>0</v>
      </c>
      <c r="BR285" s="4">
        <f t="shared" si="728"/>
        <v>51.435000000000002</v>
      </c>
      <c r="BV285" s="9"/>
      <c r="BX285" s="9"/>
      <c r="BY285" s="9"/>
      <c r="BZ285" s="9">
        <f t="shared" si="729"/>
        <v>51.435000000000002</v>
      </c>
      <c r="CA285" s="9">
        <f t="shared" si="730"/>
        <v>63.5</v>
      </c>
      <c r="CB285" s="9">
        <f t="shared" si="821"/>
        <v>1.4687225435414653</v>
      </c>
      <c r="CC285" s="40">
        <f t="shared" si="757"/>
        <v>0</v>
      </c>
      <c r="CD285" s="9">
        <f t="shared" si="731"/>
        <v>0</v>
      </c>
      <c r="CE285" s="9">
        <f t="shared" si="732"/>
        <v>0</v>
      </c>
      <c r="CF285" s="9">
        <f t="shared" si="733"/>
        <v>0.99524931562137331</v>
      </c>
      <c r="CG285" s="9">
        <f t="shared" si="734"/>
        <v>0.68</v>
      </c>
      <c r="CH285" s="9">
        <f t="shared" si="822"/>
        <v>2.1058001504088901</v>
      </c>
      <c r="CI285" s="9">
        <f t="shared" si="823"/>
        <v>3.0928361530985451</v>
      </c>
      <c r="CJ285" s="40">
        <v>1</v>
      </c>
      <c r="CK285" s="9">
        <f t="shared" si="824"/>
        <v>308.29390774086301</v>
      </c>
      <c r="CM285" s="4">
        <f t="shared" si="735"/>
        <v>1.0356151544498595</v>
      </c>
      <c r="CN285" s="4">
        <f t="shared" si="736"/>
        <v>0.49438820310668369</v>
      </c>
      <c r="CO285" s="4">
        <f t="shared" si="708"/>
        <v>0.65802619294675391</v>
      </c>
      <c r="CP285" s="4">
        <f t="shared" si="737"/>
        <v>1.5591928452133359</v>
      </c>
      <c r="CQ285" s="4">
        <f t="shared" si="694"/>
        <v>0.7688185795271586</v>
      </c>
      <c r="CR285" s="4">
        <f t="shared" si="695"/>
        <v>0.782670244439856</v>
      </c>
      <c r="CS285" s="4">
        <f t="shared" si="709"/>
        <v>1.2155644280465276</v>
      </c>
      <c r="CT285" s="4">
        <f t="shared" si="758"/>
        <v>0</v>
      </c>
      <c r="CU285" s="4">
        <f t="shared" ref="CU285:CV285" si="877">CM285</f>
        <v>1.0356151544498595</v>
      </c>
      <c r="CV285" s="4">
        <f t="shared" si="877"/>
        <v>0.49438820310668369</v>
      </c>
      <c r="CW285" s="4">
        <f t="shared" ref="CW285" si="878">CP285</f>
        <v>1.5591928452133359</v>
      </c>
      <c r="CX285" s="4">
        <f t="shared" ref="CX285" si="879">CS285</f>
        <v>1.2155644280465276</v>
      </c>
      <c r="CY285" s="4">
        <f t="shared" ref="CY285:CZ285" si="880">CQ285</f>
        <v>0.7688185795271586</v>
      </c>
      <c r="CZ285" s="4">
        <f t="shared" si="880"/>
        <v>0.782670244439856</v>
      </c>
      <c r="DI285" s="4">
        <f t="shared" si="742"/>
        <v>251.96799999999999</v>
      </c>
      <c r="DL285" s="4">
        <f t="shared" si="667"/>
        <v>2.4168369041980222E-5</v>
      </c>
      <c r="DM285" s="4">
        <f t="shared" si="769"/>
        <v>10.638105713782785</v>
      </c>
      <c r="DN285" s="4">
        <f t="shared" si="668"/>
        <v>0.20714097168754586</v>
      </c>
      <c r="DO285" s="4">
        <f t="shared" si="669"/>
        <v>5.6672282629254962</v>
      </c>
      <c r="DP285" s="4">
        <f t="shared" si="670"/>
        <v>8.5262775120215917</v>
      </c>
      <c r="DQ285" s="4">
        <f t="shared" si="671"/>
        <v>9.7362226598816992</v>
      </c>
      <c r="DR285" s="38">
        <f t="shared" si="684"/>
        <v>625.23157994965368</v>
      </c>
      <c r="DS285" s="4">
        <f t="shared" si="829"/>
        <v>1.0000929642221095</v>
      </c>
      <c r="DT285" s="4">
        <f t="shared" si="672"/>
        <v>2.2583179581272428</v>
      </c>
      <c r="DU285" s="4">
        <f t="shared" si="842"/>
        <v>300.73280145548046</v>
      </c>
      <c r="DY285" s="4">
        <f t="shared" si="785"/>
        <v>0.85</v>
      </c>
      <c r="DZ285" s="4">
        <f t="shared" si="830"/>
        <v>0.89749999999999996</v>
      </c>
      <c r="EA285" s="4">
        <f t="shared" si="685"/>
        <v>1</v>
      </c>
      <c r="EB285" s="4">
        <f t="shared" si="831"/>
        <v>0.89749999999999996</v>
      </c>
      <c r="ED285" s="4">
        <f t="shared" si="686"/>
        <v>614.16625786819759</v>
      </c>
      <c r="EE285" s="25">
        <f t="shared" si="687"/>
        <v>297.5762318260218</v>
      </c>
      <c r="EG285" s="4">
        <f t="shared" si="843"/>
        <v>0.76287499999999997</v>
      </c>
      <c r="EH285" s="4">
        <f t="shared" si="688"/>
        <v>10.638105713782785</v>
      </c>
      <c r="EK285" s="4">
        <f t="shared" si="673"/>
        <v>57.361276136431961</v>
      </c>
      <c r="EL285" s="4">
        <f t="shared" si="674"/>
        <v>2.2583179581272428</v>
      </c>
      <c r="EM285" s="4">
        <f t="shared" si="675"/>
        <v>0.10069538860109649</v>
      </c>
      <c r="EP285" s="4">
        <f t="shared" si="759"/>
        <v>0.10069538860109649</v>
      </c>
      <c r="EQ285" s="4">
        <f t="shared" si="721"/>
        <v>0.2067952920116285</v>
      </c>
      <c r="ER285" s="4">
        <f t="shared" si="770"/>
        <v>5.6634433481946225</v>
      </c>
      <c r="ES285" s="4">
        <f t="shared" si="743"/>
        <v>8.5250307099253781</v>
      </c>
      <c r="ET285" s="4">
        <f t="shared" si="771"/>
        <v>131.61472386356803</v>
      </c>
      <c r="EU285" s="4">
        <f t="shared" si="772"/>
        <v>62.99199999999999</v>
      </c>
      <c r="EV285" s="4">
        <f t="shared" si="832"/>
        <v>2.4168369041980216E-5</v>
      </c>
      <c r="EW285" s="4">
        <f t="shared" si="744"/>
        <v>9.7364155557739451</v>
      </c>
      <c r="EX285" s="4">
        <f t="shared" si="867"/>
        <v>625.17346118515115</v>
      </c>
      <c r="FG285" s="23">
        <f t="shared" si="778"/>
        <v>1.2</v>
      </c>
      <c r="FH285" s="23">
        <f t="shared" si="778"/>
        <v>0.6</v>
      </c>
      <c r="FI285" s="23">
        <f t="shared" si="712"/>
        <v>1.4</v>
      </c>
      <c r="FJ285" s="23">
        <f t="shared" si="779"/>
        <v>1.6</v>
      </c>
      <c r="FK285" s="23">
        <f t="shared" si="779"/>
        <v>0.8</v>
      </c>
      <c r="FL285" s="23">
        <f t="shared" si="779"/>
        <v>0.8</v>
      </c>
      <c r="FM285" s="23">
        <f t="shared" si="701"/>
        <v>1</v>
      </c>
      <c r="FN285" s="23"/>
      <c r="FX285" s="4">
        <f t="shared" si="833"/>
        <v>1</v>
      </c>
      <c r="FY285" s="4">
        <f t="shared" si="652"/>
        <v>0.74583333333333324</v>
      </c>
      <c r="FZ285" s="4">
        <f t="shared" si="834"/>
        <v>0</v>
      </c>
      <c r="GA285" s="4">
        <f t="shared" si="835"/>
        <v>395.44564161432885</v>
      </c>
    </row>
    <row r="286" spans="1:183" ht="12" hidden="1" customHeight="1" x14ac:dyDescent="0.3">
      <c r="A286" s="25">
        <v>268</v>
      </c>
      <c r="B286" s="4" t="s">
        <v>605</v>
      </c>
      <c r="C286" s="4">
        <v>2016</v>
      </c>
      <c r="D286" s="4" t="s">
        <v>309</v>
      </c>
      <c r="E286" s="24" t="s">
        <v>665</v>
      </c>
      <c r="F286" s="7" t="s">
        <v>425</v>
      </c>
      <c r="G286" s="38">
        <f t="shared" si="804"/>
        <v>889.65517241379314</v>
      </c>
      <c r="H286" s="38">
        <f>9.6*25.4</f>
        <v>243.83999999999997</v>
      </c>
      <c r="I286" s="4">
        <f t="shared" si="746"/>
        <v>243.83999999999997</v>
      </c>
      <c r="J286" s="38">
        <f>11460/145</f>
        <v>79.034482758620683</v>
      </c>
      <c r="K286" s="38">
        <f t="shared" si="747"/>
        <v>25.4</v>
      </c>
      <c r="L286" s="7">
        <f t="shared" si="748"/>
        <v>9.6</v>
      </c>
      <c r="M286" s="7">
        <f t="shared" si="749"/>
        <v>9.6</v>
      </c>
      <c r="N286" s="38">
        <f>16.3*25.4</f>
        <v>414.02</v>
      </c>
      <c r="O286" s="38">
        <f t="shared" ref="O286:O293" si="881">2.5*25.4</f>
        <v>63.5</v>
      </c>
      <c r="P286" s="39">
        <f>(3.5+3.9+3.6)/3*25.4</f>
        <v>93.133333333333326</v>
      </c>
      <c r="Q286" s="7">
        <f t="shared" si="750"/>
        <v>105.41</v>
      </c>
      <c r="R286" s="38">
        <v>3</v>
      </c>
      <c r="S286" s="4">
        <f t="shared" si="722"/>
        <v>260.34999999999997</v>
      </c>
      <c r="T286" s="7">
        <f t="shared" si="751"/>
        <v>2.5750000000000002</v>
      </c>
      <c r="U286" s="7">
        <f t="shared" si="859"/>
        <v>3</v>
      </c>
      <c r="V286" s="38">
        <v>4.0999999999999996</v>
      </c>
      <c r="W286" s="4">
        <f t="shared" si="752"/>
        <v>4.0999999999999996</v>
      </c>
      <c r="X286" s="4">
        <f t="shared" si="753"/>
        <v>5.0999999999999996</v>
      </c>
      <c r="Y286" s="7">
        <f t="shared" si="754"/>
        <v>57.361276136431961</v>
      </c>
      <c r="AB286" s="38">
        <f t="shared" si="786"/>
        <v>608.27586206896558</v>
      </c>
      <c r="AC286" s="4">
        <v>88.2</v>
      </c>
      <c r="AD286" s="4">
        <f t="shared" si="666"/>
        <v>0.93949066396852476</v>
      </c>
      <c r="AE286" s="38">
        <f t="shared" si="836"/>
        <v>9.5249999999999986</v>
      </c>
      <c r="AF286" s="38">
        <v>10</v>
      </c>
      <c r="AG286" s="39">
        <f>3*25.4</f>
        <v>76.199999999999989</v>
      </c>
      <c r="AH286" s="39">
        <v>3</v>
      </c>
      <c r="AI286" s="39">
        <v>2</v>
      </c>
      <c r="AJ286" s="7"/>
      <c r="AK286" s="4">
        <f t="shared" si="755"/>
        <v>243.83999999999997</v>
      </c>
      <c r="AL286" s="4">
        <f t="shared" si="678"/>
        <v>0.56597222222222232</v>
      </c>
      <c r="AM286" s="4">
        <f t="shared" si="679"/>
        <v>222.68305093812236</v>
      </c>
      <c r="AN286" s="4">
        <f t="shared" si="680"/>
        <v>0.76249999999999996</v>
      </c>
      <c r="AO286" s="4">
        <v>1.25</v>
      </c>
      <c r="AP286" s="4">
        <f t="shared" si="844"/>
        <v>2.5</v>
      </c>
      <c r="AQ286" s="38">
        <f t="shared" si="723"/>
        <v>300.31162861840153</v>
      </c>
      <c r="AR286" s="38">
        <f t="shared" si="682"/>
        <v>300.31162861840153</v>
      </c>
      <c r="AS286" s="38">
        <f t="shared" si="683"/>
        <v>4.8176603871508874</v>
      </c>
      <c r="AT286" s="38">
        <f t="shared" si="853"/>
        <v>300.31162861840153</v>
      </c>
      <c r="AU286" s="38">
        <f t="shared" si="820"/>
        <v>1</v>
      </c>
      <c r="AV286" s="38">
        <f t="shared" si="715"/>
        <v>2.9255581782446503</v>
      </c>
      <c r="AW286" s="4">
        <f t="shared" si="707"/>
        <v>0</v>
      </c>
      <c r="AX286" s="4">
        <f t="shared" si="756"/>
        <v>449.18571852180122</v>
      </c>
      <c r="AY286" s="4">
        <f t="shared" si="724"/>
        <v>1.066019417475728</v>
      </c>
      <c r="AZ286" s="38">
        <f t="shared" si="837"/>
        <v>878.57914112653475</v>
      </c>
      <c r="BA286" s="4">
        <f t="shared" si="725"/>
        <v>0.42600000000000005</v>
      </c>
      <c r="BB286" s="4">
        <f t="shared" si="726"/>
        <v>99.982003157175143</v>
      </c>
      <c r="BC286" s="4">
        <f t="shared" si="727"/>
        <v>978.56114428370984</v>
      </c>
      <c r="BE286" s="4">
        <f t="shared" si="854"/>
        <v>1.5</v>
      </c>
      <c r="BF286" s="4">
        <f t="shared" si="860"/>
        <v>784.10981989461925</v>
      </c>
      <c r="BH286" s="4">
        <f t="shared" si="861"/>
        <v>842.66483956807247</v>
      </c>
      <c r="BI286" s="4">
        <f t="shared" si="806"/>
        <v>0</v>
      </c>
      <c r="BJ286" s="4">
        <f t="shared" si="862"/>
        <v>0</v>
      </c>
      <c r="BR286" s="4">
        <f t="shared" si="728"/>
        <v>52.704999999999998</v>
      </c>
      <c r="BV286" s="9"/>
      <c r="BX286" s="9"/>
      <c r="BY286" s="9"/>
      <c r="BZ286" s="9">
        <f t="shared" si="729"/>
        <v>52.704999999999998</v>
      </c>
      <c r="CA286" s="9">
        <f t="shared" si="730"/>
        <v>63.5</v>
      </c>
      <c r="CB286" s="9">
        <f t="shared" si="821"/>
        <v>1.4813147137729235</v>
      </c>
      <c r="CC286" s="40">
        <f t="shared" si="757"/>
        <v>20</v>
      </c>
      <c r="CD286" s="9">
        <f t="shared" si="731"/>
        <v>0.05</v>
      </c>
      <c r="CE286" s="9">
        <f t="shared" si="732"/>
        <v>0.8</v>
      </c>
      <c r="CF286" s="9">
        <f t="shared" si="733"/>
        <v>0.99524931562137331</v>
      </c>
      <c r="CG286" s="9">
        <f t="shared" si="734"/>
        <v>0.68</v>
      </c>
      <c r="CH286" s="9">
        <f t="shared" si="822"/>
        <v>2.1058001504088901</v>
      </c>
      <c r="CI286" s="9">
        <f t="shared" si="823"/>
        <v>4.8039928673930365</v>
      </c>
      <c r="CJ286" s="40">
        <v>1</v>
      </c>
      <c r="CK286" s="9">
        <f t="shared" si="824"/>
        <v>472.7128981514748</v>
      </c>
      <c r="CM286" s="4">
        <f t="shared" si="735"/>
        <v>1.3541745362490702</v>
      </c>
      <c r="CN286" s="4">
        <f t="shared" si="736"/>
        <v>0.62160230418122031</v>
      </c>
      <c r="CO286" s="4">
        <f t="shared" si="708"/>
        <v>0.77575340422431527</v>
      </c>
      <c r="CP286" s="4">
        <f t="shared" si="737"/>
        <v>1.2867765285178476</v>
      </c>
      <c r="CQ286" s="4">
        <f t="shared" si="694"/>
        <v>0.93949066396852476</v>
      </c>
      <c r="CR286" s="4">
        <f t="shared" si="695"/>
        <v>0.95490274844904621</v>
      </c>
      <c r="CS286" s="4">
        <f t="shared" si="709"/>
        <v>1.225964360942069</v>
      </c>
      <c r="CT286" s="4">
        <f t="shared" si="758"/>
        <v>10</v>
      </c>
      <c r="DA286" s="4">
        <f t="shared" ref="DA286:DB286" si="882">CM286</f>
        <v>1.3541745362490702</v>
      </c>
      <c r="DB286" s="4">
        <f t="shared" si="882"/>
        <v>0.62160230418122031</v>
      </c>
      <c r="DC286" s="4">
        <f t="shared" ref="DC286" si="883">CP286</f>
        <v>1.2867765285178476</v>
      </c>
      <c r="DD286" s="4">
        <f t="shared" ref="DD286" si="884">CS286</f>
        <v>1.225964360942069</v>
      </c>
      <c r="DE286" s="4">
        <f t="shared" ref="DE286:DF286" si="885">CQ286</f>
        <v>0.93949066396852476</v>
      </c>
      <c r="DF286" s="4">
        <f t="shared" si="885"/>
        <v>0.95490274844904621</v>
      </c>
      <c r="DI286" s="4">
        <f t="shared" si="742"/>
        <v>243.83999999999997</v>
      </c>
      <c r="DL286" s="4">
        <f t="shared" si="667"/>
        <v>2.338874423417441E-5</v>
      </c>
      <c r="DM286" s="4">
        <f t="shared" si="769"/>
        <v>11.804361869983254</v>
      </c>
      <c r="DN286" s="4">
        <f t="shared" si="668"/>
        <v>0.20685087313395045</v>
      </c>
      <c r="DO286" s="4">
        <f t="shared" si="669"/>
        <v>6.2850025462405528</v>
      </c>
      <c r="DP286" s="4">
        <f t="shared" si="670"/>
        <v>9.459852819454456</v>
      </c>
      <c r="DQ286" s="4">
        <f t="shared" si="671"/>
        <v>10.76840592779776</v>
      </c>
      <c r="DR286" s="38">
        <f t="shared" si="684"/>
        <v>647.45280118009168</v>
      </c>
      <c r="DS286" s="4">
        <f t="shared" si="829"/>
        <v>1.0000974323638177</v>
      </c>
      <c r="DT286" s="4">
        <f t="shared" si="672"/>
        <v>2.2583179581272428</v>
      </c>
      <c r="DU286" s="4">
        <f t="shared" si="842"/>
        <v>300.31162861840153</v>
      </c>
      <c r="DY286" s="4">
        <f t="shared" si="785"/>
        <v>0.85</v>
      </c>
      <c r="DZ286" s="4">
        <f t="shared" si="830"/>
        <v>0.89249999999999996</v>
      </c>
      <c r="EA286" s="4">
        <f t="shared" si="685"/>
        <v>0.90625</v>
      </c>
      <c r="EB286" s="4">
        <f t="shared" si="831"/>
        <v>0.80882812500000001</v>
      </c>
      <c r="ED286" s="4">
        <f t="shared" si="686"/>
        <v>637.00294407669026</v>
      </c>
      <c r="EE286" s="25">
        <f t="shared" si="687"/>
        <v>297.03732222117264</v>
      </c>
      <c r="EG286" s="4">
        <f t="shared" si="843"/>
        <v>0.68750390625000002</v>
      </c>
      <c r="EH286" s="4">
        <f t="shared" si="688"/>
        <v>11.804361869983254</v>
      </c>
      <c r="EK286" s="4">
        <f t="shared" si="673"/>
        <v>57.361276136431961</v>
      </c>
      <c r="EL286" s="4">
        <f t="shared" si="674"/>
        <v>2.2583179581272428</v>
      </c>
      <c r="EM286" s="4">
        <f t="shared" si="675"/>
        <v>0.1005543658649911</v>
      </c>
      <c r="EP286" s="4">
        <f t="shared" si="759"/>
        <v>0.1005543658649911</v>
      </c>
      <c r="EQ286" s="4">
        <f t="shared" si="721"/>
        <v>0.20650567757845198</v>
      </c>
      <c r="ER286" s="4">
        <f t="shared" si="770"/>
        <v>6.2808050448135386</v>
      </c>
      <c r="ES286" s="4">
        <f t="shared" si="743"/>
        <v>9.4584707445849645</v>
      </c>
      <c r="ET286" s="4">
        <f t="shared" si="771"/>
        <v>125.51872386356803</v>
      </c>
      <c r="EU286" s="4">
        <f t="shared" si="772"/>
        <v>60.95999999999998</v>
      </c>
      <c r="EV286" s="4">
        <f t="shared" si="832"/>
        <v>2.33887442341744E-5</v>
      </c>
      <c r="EW286" s="4">
        <f t="shared" si="744"/>
        <v>10.768630881807505</v>
      </c>
      <c r="EX286" s="4">
        <f t="shared" si="867"/>
        <v>647.38972446892535</v>
      </c>
      <c r="FG286" s="23">
        <f t="shared" si="778"/>
        <v>1.4</v>
      </c>
      <c r="FH286" s="23">
        <f t="shared" si="778"/>
        <v>0.8</v>
      </c>
      <c r="FI286" s="23">
        <f t="shared" si="712"/>
        <v>1.4</v>
      </c>
      <c r="FJ286" s="23">
        <f t="shared" si="779"/>
        <v>1.4</v>
      </c>
      <c r="FK286" s="23">
        <f t="shared" si="779"/>
        <v>1</v>
      </c>
      <c r="FL286" s="23">
        <f t="shared" si="779"/>
        <v>1</v>
      </c>
      <c r="FM286" s="23">
        <f t="shared" si="701"/>
        <v>0</v>
      </c>
      <c r="FN286" s="23"/>
      <c r="FX286" s="4">
        <f t="shared" si="833"/>
        <v>1</v>
      </c>
      <c r="FY286" s="4">
        <f t="shared" si="652"/>
        <v>0.57526162790697688</v>
      </c>
      <c r="FZ286" s="4">
        <f t="shared" si="834"/>
        <v>0.28124999999999994</v>
      </c>
      <c r="GA286" s="4">
        <f t="shared" si="835"/>
        <v>496.16112951403221</v>
      </c>
    </row>
    <row r="287" spans="1:183" ht="12" hidden="1" customHeight="1" x14ac:dyDescent="0.3">
      <c r="A287" s="25">
        <v>269</v>
      </c>
      <c r="B287" s="4" t="s">
        <v>605</v>
      </c>
      <c r="C287" s="4">
        <v>2016</v>
      </c>
      <c r="D287" s="4" t="s">
        <v>309</v>
      </c>
      <c r="E287" s="24" t="s">
        <v>426</v>
      </c>
      <c r="F287" s="7" t="s">
        <v>427</v>
      </c>
      <c r="G287" s="38">
        <f>115.9/0.145</f>
        <v>799.31034482758628</v>
      </c>
      <c r="H287" s="38">
        <f>11.06*25.4</f>
        <v>280.92399999999998</v>
      </c>
      <c r="I287" s="4">
        <f t="shared" si="746"/>
        <v>280.92399999999998</v>
      </c>
      <c r="J287" s="38">
        <f>5500/145</f>
        <v>37.931034482758619</v>
      </c>
      <c r="K287" s="38">
        <f t="shared" si="747"/>
        <v>25.4</v>
      </c>
      <c r="L287" s="7">
        <f t="shared" si="748"/>
        <v>11.06</v>
      </c>
      <c r="M287" s="7">
        <f t="shared" si="749"/>
        <v>11.06</v>
      </c>
      <c r="N287" s="38">
        <f>16.8*25.4</f>
        <v>426.71999999999997</v>
      </c>
      <c r="O287" s="38">
        <f t="shared" si="881"/>
        <v>63.5</v>
      </c>
      <c r="P287" s="39">
        <f>3.35*25.4</f>
        <v>85.09</v>
      </c>
      <c r="Q287" s="7">
        <f t="shared" si="750"/>
        <v>248.91999999999996</v>
      </c>
      <c r="R287" s="38">
        <v>2</v>
      </c>
      <c r="S287" s="4">
        <f t="shared" si="722"/>
        <v>260.34999999999997</v>
      </c>
      <c r="T287" s="7">
        <f t="shared" si="751"/>
        <v>3</v>
      </c>
      <c r="U287" s="7">
        <f t="shared" si="859"/>
        <v>3</v>
      </c>
      <c r="V287" s="38">
        <v>6.5</v>
      </c>
      <c r="W287" s="4">
        <f t="shared" si="752"/>
        <v>6.5</v>
      </c>
      <c r="X287" s="4">
        <f t="shared" si="753"/>
        <v>7.5</v>
      </c>
      <c r="Y287" s="7">
        <f t="shared" si="754"/>
        <v>69.56076480315609</v>
      </c>
      <c r="AB287" s="38">
        <f t="shared" si="786"/>
        <v>659.31034482758616</v>
      </c>
      <c r="AC287" s="4">
        <v>95.6</v>
      </c>
      <c r="AD287" s="4">
        <f t="shared" si="666"/>
        <v>1.051317145691999</v>
      </c>
      <c r="AE287" s="38"/>
      <c r="AF287" s="38"/>
      <c r="AG287" s="39">
        <v>1</v>
      </c>
      <c r="AH287" s="39"/>
      <c r="AI287" s="39"/>
      <c r="AJ287" s="7"/>
      <c r="AK287" s="4">
        <f t="shared" si="755"/>
        <v>280.92399999999998</v>
      </c>
      <c r="AL287" s="4">
        <f t="shared" si="678"/>
        <v>0.50632911392405056</v>
      </c>
      <c r="AM287" s="4">
        <f t="shared" si="679"/>
        <v>286.14970251246518</v>
      </c>
      <c r="AN287" s="4">
        <f t="shared" si="680"/>
        <v>0.75424954792043397</v>
      </c>
      <c r="AO287" s="4">
        <v>1.25</v>
      </c>
      <c r="AP287" s="4">
        <f t="shared" si="844"/>
        <v>2.5</v>
      </c>
      <c r="AQ287" s="38">
        <f t="shared" si="723"/>
        <v>341.500448983534</v>
      </c>
      <c r="AR287" s="38">
        <f t="shared" si="682"/>
        <v>341.500448983534</v>
      </c>
      <c r="AS287" s="38">
        <f t="shared" si="683"/>
        <v>3.3867596705239982</v>
      </c>
      <c r="AT287" s="38">
        <f t="shared" si="853"/>
        <v>341.50044898353462</v>
      </c>
      <c r="AU287" s="38">
        <f t="shared" si="820"/>
        <v>0.99999999999999822</v>
      </c>
      <c r="AV287" s="38">
        <f t="shared" si="715"/>
        <v>1.6990702551697576</v>
      </c>
      <c r="AW287" s="4">
        <f t="shared" si="707"/>
        <v>0</v>
      </c>
      <c r="AX287" s="4">
        <f t="shared" si="756"/>
        <v>358.50801517310128</v>
      </c>
      <c r="AY287" s="4">
        <f t="shared" si="724"/>
        <v>1</v>
      </c>
      <c r="AZ287" s="38">
        <f t="shared" si="837"/>
        <v>580.23325499504097</v>
      </c>
      <c r="BA287" s="4">
        <f t="shared" si="725"/>
        <v>0.3</v>
      </c>
      <c r="BB287" s="4">
        <f t="shared" si="726"/>
        <v>56.196131378383619</v>
      </c>
      <c r="BC287" s="4">
        <f t="shared" si="727"/>
        <v>636.42938637342456</v>
      </c>
      <c r="BE287" s="4">
        <f t="shared" si="854"/>
        <v>1.375</v>
      </c>
      <c r="BF287" s="4">
        <f t="shared" si="860"/>
        <v>535.03188373813703</v>
      </c>
      <c r="BH287" s="4">
        <f t="shared" si="861"/>
        <v>556.51464944355905</v>
      </c>
      <c r="BI287" s="4">
        <f t="shared" si="806"/>
        <v>0</v>
      </c>
      <c r="BJ287" s="4">
        <f t="shared" si="862"/>
        <v>0</v>
      </c>
      <c r="BR287" s="4">
        <f t="shared" si="728"/>
        <v>63.5</v>
      </c>
      <c r="BV287" s="9"/>
      <c r="BX287" s="9"/>
      <c r="BY287" s="9"/>
      <c r="BZ287" s="9">
        <f t="shared" si="729"/>
        <v>63.5</v>
      </c>
      <c r="CA287" s="9">
        <f t="shared" si="730"/>
        <v>124.45999999999998</v>
      </c>
      <c r="CB287" s="9">
        <f t="shared" si="821"/>
        <v>1.7490749303163509</v>
      </c>
      <c r="CC287" s="40">
        <f t="shared" si="757"/>
        <v>0</v>
      </c>
      <c r="CD287" s="9">
        <f t="shared" si="731"/>
        <v>0</v>
      </c>
      <c r="CE287" s="9">
        <f t="shared" si="732"/>
        <v>0</v>
      </c>
      <c r="CF287" s="9">
        <f t="shared" si="733"/>
        <v>0.99524931562137331</v>
      </c>
      <c r="CG287" s="9">
        <f t="shared" si="734"/>
        <v>0.68048275862068963</v>
      </c>
      <c r="CH287" s="9">
        <f t="shared" si="822"/>
        <v>1.4598707313117956</v>
      </c>
      <c r="CI287" s="9">
        <f t="shared" si="823"/>
        <v>2.5534232976400588</v>
      </c>
      <c r="CJ287" s="40">
        <v>1</v>
      </c>
      <c r="CK287" s="9">
        <f t="shared" si="824"/>
        <v>266.16884454599972</v>
      </c>
      <c r="CM287" s="4">
        <f t="shared" si="735"/>
        <v>1.8390393434000243</v>
      </c>
      <c r="CN287" s="4">
        <f t="shared" si="736"/>
        <v>1.0359520772360065</v>
      </c>
      <c r="CO287" s="4">
        <f t="shared" si="708"/>
        <v>1.2322823459064642</v>
      </c>
      <c r="CP287" s="4">
        <f t="shared" si="737"/>
        <v>2.4770380092837767</v>
      </c>
      <c r="CQ287" s="4">
        <f t="shared" si="694"/>
        <v>1.051317145691999</v>
      </c>
      <c r="CR287" s="4">
        <f t="shared" si="695"/>
        <v>1.10521720654621</v>
      </c>
      <c r="CS287" s="4">
        <f t="shared" si="709"/>
        <v>1.2044626549109341</v>
      </c>
      <c r="CT287" s="4">
        <f t="shared" si="758"/>
        <v>0</v>
      </c>
      <c r="CU287" s="4">
        <f t="shared" ref="CU287:CV290" si="886">CM287</f>
        <v>1.8390393434000243</v>
      </c>
      <c r="CV287" s="4">
        <f t="shared" si="886"/>
        <v>1.0359520772360065</v>
      </c>
      <c r="CW287" s="4">
        <f t="shared" ref="CW287:CW290" si="887">CP287</f>
        <v>2.4770380092837767</v>
      </c>
      <c r="CX287" s="4">
        <f t="shared" ref="CX287:CX290" si="888">CS287</f>
        <v>1.2044626549109341</v>
      </c>
      <c r="CY287" s="4">
        <f t="shared" ref="CY287:CZ290" si="889">CQ287</f>
        <v>1.051317145691999</v>
      </c>
      <c r="CZ287" s="4">
        <f t="shared" si="889"/>
        <v>1.10521720654621</v>
      </c>
      <c r="DI287" s="4">
        <f t="shared" si="742"/>
        <v>280.92399999999998</v>
      </c>
      <c r="DL287" s="4">
        <f t="shared" si="667"/>
        <v>2.0862644589160908E-5</v>
      </c>
      <c r="DM287" s="4">
        <f t="shared" si="769"/>
        <v>7.7815993963460848</v>
      </c>
      <c r="DN287" s="4">
        <f t="shared" si="668"/>
        <v>0.37489915373489696</v>
      </c>
      <c r="DO287" s="4">
        <f t="shared" si="669"/>
        <v>5.2557494461216852</v>
      </c>
      <c r="DP287" s="4">
        <f t="shared" si="670"/>
        <v>6.6403267014248541</v>
      </c>
      <c r="DQ287" s="4">
        <f t="shared" si="671"/>
        <v>7.2756532072125752</v>
      </c>
      <c r="DR287" s="38">
        <f t="shared" si="684"/>
        <v>627.12792950181961</v>
      </c>
      <c r="DS287" s="4">
        <f t="shared" si="829"/>
        <v>1.000107959834613</v>
      </c>
      <c r="DT287" s="4">
        <f t="shared" si="672"/>
        <v>2.7386127875258306</v>
      </c>
      <c r="DU287" s="4">
        <f t="shared" si="842"/>
        <v>341.50044898353462</v>
      </c>
      <c r="DY287" s="4">
        <f t="shared" si="785"/>
        <v>0.85</v>
      </c>
      <c r="DZ287" s="4">
        <f t="shared" si="830"/>
        <v>0.85</v>
      </c>
      <c r="EA287" s="4">
        <f t="shared" si="685"/>
        <v>1</v>
      </c>
      <c r="EB287" s="4">
        <f t="shared" si="831"/>
        <v>0.85</v>
      </c>
      <c r="ED287" s="4">
        <f t="shared" si="686"/>
        <v>596.54368473679733</v>
      </c>
      <c r="EE287" s="25">
        <f t="shared" si="687"/>
        <v>338.35021676603429</v>
      </c>
      <c r="EG287" s="4">
        <f t="shared" si="843"/>
        <v>0.72249999999999992</v>
      </c>
      <c r="EH287" s="4">
        <f t="shared" si="688"/>
        <v>7.7815993963460848</v>
      </c>
      <c r="EK287" s="4">
        <f t="shared" si="673"/>
        <v>69.56076480315609</v>
      </c>
      <c r="EL287" s="4">
        <f t="shared" si="674"/>
        <v>2.7386127875258306</v>
      </c>
      <c r="EM287" s="4">
        <f t="shared" si="675"/>
        <v>0.12625455895365398</v>
      </c>
      <c r="EP287" s="4">
        <f t="shared" si="759"/>
        <v>0.12625455895365398</v>
      </c>
      <c r="EQ287" s="4">
        <f t="shared" si="721"/>
        <v>0.37427351691901739</v>
      </c>
      <c r="ER287" s="4">
        <f t="shared" si="770"/>
        <v>5.2522393416089468</v>
      </c>
      <c r="ES287" s="4">
        <f t="shared" si="743"/>
        <v>6.6389405680731253</v>
      </c>
      <c r="ET287" s="4">
        <f t="shared" si="771"/>
        <v>141.13223519684391</v>
      </c>
      <c r="EU287" s="4">
        <f t="shared" si="772"/>
        <v>70.230999999999995</v>
      </c>
      <c r="EV287" s="4">
        <f t="shared" si="832"/>
        <v>2.0862644589160908E-5</v>
      </c>
      <c r="EW287" s="4">
        <f t="shared" si="744"/>
        <v>7.2757943938291234</v>
      </c>
      <c r="EX287" s="4">
        <f t="shared" si="867"/>
        <v>627.06023218286077</v>
      </c>
      <c r="FG287" s="23">
        <f t="shared" si="778"/>
        <v>2</v>
      </c>
      <c r="FH287" s="23">
        <f t="shared" si="778"/>
        <v>1.2</v>
      </c>
      <c r="FI287" s="23">
        <f t="shared" si="712"/>
        <v>1.4</v>
      </c>
      <c r="FJ287" s="23">
        <f t="shared" si="779"/>
        <v>2.2000000000000002</v>
      </c>
      <c r="FK287" s="23">
        <f t="shared" si="779"/>
        <v>1.2</v>
      </c>
      <c r="FL287" s="23">
        <f t="shared" si="779"/>
        <v>1.2</v>
      </c>
      <c r="FM287" s="23">
        <f t="shared" si="701"/>
        <v>0</v>
      </c>
      <c r="FN287" s="23"/>
      <c r="FX287" s="4">
        <f t="shared" si="833"/>
        <v>1</v>
      </c>
      <c r="FY287" s="4">
        <f t="shared" ref="FY287:FY350" si="890">IF(AG287&gt;1, 0.05*(18-MIN(8,(Q287+K287)/K287))*(1-48000/MAX(60000,(G287*145))*(K287/25.4)^0.75*FZ287), 1/12*(14-MIN(8,(Q287+K287)/K287)))</f>
        <v>0.5</v>
      </c>
      <c r="FZ287" s="4">
        <f t="shared" si="834"/>
        <v>0</v>
      </c>
      <c r="GA287" s="4">
        <f t="shared" si="835"/>
        <v>547.38961157441611</v>
      </c>
    </row>
    <row r="288" spans="1:183" ht="12" hidden="1" customHeight="1" x14ac:dyDescent="0.3">
      <c r="A288" s="25">
        <v>270</v>
      </c>
      <c r="B288" s="4" t="s">
        <v>605</v>
      </c>
      <c r="C288" s="4">
        <v>2016</v>
      </c>
      <c r="D288" s="4" t="s">
        <v>309</v>
      </c>
      <c r="E288" s="24" t="s">
        <v>426</v>
      </c>
      <c r="F288" s="7" t="s">
        <v>428</v>
      </c>
      <c r="G288" s="38">
        <f t="shared" ref="G288:G298" si="891">115.9/0.145</f>
        <v>799.31034482758628</v>
      </c>
      <c r="H288" s="38">
        <f>14.25*25.4</f>
        <v>361.95</v>
      </c>
      <c r="I288" s="4">
        <f t="shared" si="746"/>
        <v>361.95</v>
      </c>
      <c r="J288" s="38">
        <f t="shared" ref="J288:J290" si="892">5500/145</f>
        <v>37.931034482758619</v>
      </c>
      <c r="K288" s="38">
        <f t="shared" si="747"/>
        <v>25.4</v>
      </c>
      <c r="L288" s="7">
        <f t="shared" si="748"/>
        <v>14.25</v>
      </c>
      <c r="M288" s="7">
        <f t="shared" si="749"/>
        <v>14.25</v>
      </c>
      <c r="N288" s="38">
        <f>16.3*25.4</f>
        <v>414.02</v>
      </c>
      <c r="O288" s="38">
        <f>2.35*25.4</f>
        <v>59.69</v>
      </c>
      <c r="P288" s="39">
        <f>3.15*25.4</f>
        <v>80.009999999999991</v>
      </c>
      <c r="Q288" s="7">
        <f t="shared" si="750"/>
        <v>243.83999999999997</v>
      </c>
      <c r="R288" s="38">
        <v>2</v>
      </c>
      <c r="S288" s="4">
        <f t="shared" si="722"/>
        <v>260.34999999999997</v>
      </c>
      <c r="T288" s="7">
        <f t="shared" si="751"/>
        <v>2.85</v>
      </c>
      <c r="U288" s="7">
        <f t="shared" si="859"/>
        <v>2.85</v>
      </c>
      <c r="V288" s="38">
        <v>6.5</v>
      </c>
      <c r="W288" s="4">
        <f t="shared" si="752"/>
        <v>6.5</v>
      </c>
      <c r="X288" s="4">
        <f t="shared" si="753"/>
        <v>7.5</v>
      </c>
      <c r="Y288" s="7">
        <f t="shared" si="754"/>
        <v>69.56076480315609</v>
      </c>
      <c r="AB288" s="38">
        <f t="shared" si="786"/>
        <v>765.51724137931035</v>
      </c>
      <c r="AC288" s="4">
        <v>111</v>
      </c>
      <c r="AD288" s="4">
        <f t="shared" si="666"/>
        <v>1.0428358329621183</v>
      </c>
      <c r="AE288" s="38"/>
      <c r="AF288" s="38"/>
      <c r="AG288" s="39">
        <v>1</v>
      </c>
      <c r="AH288" s="39"/>
      <c r="AI288" s="39"/>
      <c r="AJ288" s="7"/>
      <c r="AK288" s="4">
        <f t="shared" si="755"/>
        <v>361.95</v>
      </c>
      <c r="AL288" s="4">
        <f t="shared" si="678"/>
        <v>0.38128654970760234</v>
      </c>
      <c r="AM288" s="4">
        <f t="shared" si="679"/>
        <v>418.48789934570812</v>
      </c>
      <c r="AN288" s="4">
        <f t="shared" si="680"/>
        <v>0.74</v>
      </c>
      <c r="AO288" s="4">
        <v>1.25</v>
      </c>
      <c r="AP288" s="4">
        <f t="shared" si="844"/>
        <v>2.5</v>
      </c>
      <c r="AQ288" s="38">
        <f t="shared" si="723"/>
        <v>368.99130423303592</v>
      </c>
      <c r="AR288" s="38">
        <f t="shared" si="682"/>
        <v>368.99130423303592</v>
      </c>
      <c r="AS288" s="38">
        <f t="shared" si="683"/>
        <v>3.3867596705239982</v>
      </c>
      <c r="AT288" s="38">
        <f t="shared" si="853"/>
        <v>368.99130423303569</v>
      </c>
      <c r="AU288" s="38">
        <f t="shared" si="820"/>
        <v>1.0000000000000007</v>
      </c>
      <c r="AV288" s="38">
        <f t="shared" si="715"/>
        <v>1.4938606572071575</v>
      </c>
      <c r="AW288" s="4">
        <f t="shared" si="707"/>
        <v>0</v>
      </c>
      <c r="AX288" s="4">
        <f t="shared" si="756"/>
        <v>461.91132153857978</v>
      </c>
      <c r="AY288" s="4">
        <f t="shared" si="724"/>
        <v>1</v>
      </c>
      <c r="AZ288" s="38">
        <f t="shared" si="837"/>
        <v>551.22159224528889</v>
      </c>
      <c r="BA288" s="4">
        <f t="shared" si="725"/>
        <v>0.3</v>
      </c>
      <c r="BB288" s="4">
        <f t="shared" si="726"/>
        <v>72.404599651172376</v>
      </c>
      <c r="BC288" s="4">
        <f t="shared" si="727"/>
        <v>623.62619189646125</v>
      </c>
      <c r="BE288" s="4">
        <f t="shared" si="854"/>
        <v>1.3374999999999999</v>
      </c>
      <c r="BF288" s="4">
        <f t="shared" si="860"/>
        <v>599.27220078111498</v>
      </c>
      <c r="BH288" s="4">
        <f t="shared" si="861"/>
        <v>528.68891697138122</v>
      </c>
      <c r="BI288" s="4">
        <f t="shared" si="806"/>
        <v>0</v>
      </c>
      <c r="BJ288" s="4">
        <f t="shared" si="862"/>
        <v>0</v>
      </c>
      <c r="BR288" s="4">
        <f t="shared" si="728"/>
        <v>59.69</v>
      </c>
      <c r="BV288" s="9"/>
      <c r="BX288" s="9"/>
      <c r="BY288" s="9"/>
      <c r="BZ288" s="9">
        <f t="shared" si="729"/>
        <v>59.69</v>
      </c>
      <c r="CA288" s="9">
        <f t="shared" si="730"/>
        <v>121.91999999999999</v>
      </c>
      <c r="CB288" s="9">
        <f t="shared" si="821"/>
        <v>1.7063178633321976</v>
      </c>
      <c r="CC288" s="40">
        <f t="shared" si="757"/>
        <v>0</v>
      </c>
      <c r="CD288" s="9">
        <f t="shared" si="731"/>
        <v>0</v>
      </c>
      <c r="CE288" s="9">
        <f t="shared" si="732"/>
        <v>0</v>
      </c>
      <c r="CF288" s="9">
        <f t="shared" si="733"/>
        <v>0.99524931562137331</v>
      </c>
      <c r="CG288" s="9">
        <f t="shared" si="734"/>
        <v>0.68048275862068963</v>
      </c>
      <c r="CH288" s="9">
        <f t="shared" si="822"/>
        <v>1.4598707313117956</v>
      </c>
      <c r="CI288" s="9">
        <f t="shared" si="823"/>
        <v>2.4910035069931555</v>
      </c>
      <c r="CJ288" s="40">
        <v>1</v>
      </c>
      <c r="CK288" s="9">
        <f t="shared" si="824"/>
        <v>291.44741031819922</v>
      </c>
      <c r="CM288" s="4">
        <f t="shared" si="735"/>
        <v>1.6572818324293288</v>
      </c>
      <c r="CN288" s="4">
        <f t="shared" si="736"/>
        <v>1.2275258020375239</v>
      </c>
      <c r="CO288" s="4">
        <f t="shared" si="708"/>
        <v>1.277411567533927</v>
      </c>
      <c r="CP288" s="4">
        <f t="shared" si="737"/>
        <v>2.6266050555862779</v>
      </c>
      <c r="CQ288" s="4">
        <f t="shared" si="694"/>
        <v>1.0428358329621183</v>
      </c>
      <c r="CR288" s="4">
        <f t="shared" si="695"/>
        <v>1.1039912468916053</v>
      </c>
      <c r="CS288" s="4">
        <f t="shared" si="709"/>
        <v>1.3567777131762069</v>
      </c>
      <c r="CT288" s="4">
        <f t="shared" si="758"/>
        <v>0</v>
      </c>
      <c r="CU288" s="4">
        <f t="shared" si="886"/>
        <v>1.6572818324293288</v>
      </c>
      <c r="CV288" s="4">
        <f t="shared" si="886"/>
        <v>1.2275258020375239</v>
      </c>
      <c r="CW288" s="4">
        <f t="shared" si="887"/>
        <v>2.6266050555862779</v>
      </c>
      <c r="CX288" s="4">
        <f t="shared" si="888"/>
        <v>1.3567777131762069</v>
      </c>
      <c r="CY288" s="4">
        <f t="shared" si="889"/>
        <v>1.0428358329621183</v>
      </c>
      <c r="CZ288" s="4">
        <f t="shared" si="889"/>
        <v>1.1039912468916053</v>
      </c>
      <c r="DI288" s="4">
        <f t="shared" si="742"/>
        <v>361.95</v>
      </c>
      <c r="DL288" s="4">
        <f t="shared" si="667"/>
        <v>2.6879989637933361E-5</v>
      </c>
      <c r="DM288" s="4">
        <f t="shared" si="769"/>
        <v>7.6466583663516436</v>
      </c>
      <c r="DN288" s="4">
        <f t="shared" si="668"/>
        <v>0.40507861147547347</v>
      </c>
      <c r="DO288" s="4">
        <f t="shared" si="669"/>
        <v>5.3270578424525894</v>
      </c>
      <c r="DP288" s="4">
        <f t="shared" si="670"/>
        <v>6.5900437533847063</v>
      </c>
      <c r="DQ288" s="4">
        <f t="shared" si="671"/>
        <v>6.8205102906273032</v>
      </c>
      <c r="DR288" s="38">
        <f t="shared" si="684"/>
        <v>734.07262886709634</v>
      </c>
      <c r="DS288" s="4">
        <f t="shared" si="829"/>
        <v>1.0001110715160444</v>
      </c>
      <c r="DT288" s="4">
        <f t="shared" si="672"/>
        <v>2.7386127875258306</v>
      </c>
      <c r="DU288" s="4">
        <f t="shared" si="842"/>
        <v>368.99130423303569</v>
      </c>
      <c r="DY288" s="4">
        <f t="shared" si="785"/>
        <v>0.85</v>
      </c>
      <c r="DZ288" s="4">
        <f t="shared" si="830"/>
        <v>0.86499999999999999</v>
      </c>
      <c r="EA288" s="4">
        <f t="shared" si="685"/>
        <v>1</v>
      </c>
      <c r="EB288" s="4">
        <f t="shared" si="831"/>
        <v>0.86499999999999999</v>
      </c>
      <c r="ED288" s="4">
        <f t="shared" si="686"/>
        <v>693.40879607034799</v>
      </c>
      <c r="EE288" s="25">
        <f t="shared" si="687"/>
        <v>366.51415090881522</v>
      </c>
      <c r="EG288" s="4">
        <f t="shared" si="843"/>
        <v>0.73524999999999996</v>
      </c>
      <c r="EH288" s="4">
        <f t="shared" si="688"/>
        <v>7.6466583663516436</v>
      </c>
      <c r="EK288" s="4">
        <f t="shared" si="673"/>
        <v>69.56076480315609</v>
      </c>
      <c r="EL288" s="4">
        <f t="shared" si="674"/>
        <v>2.7386127875258306</v>
      </c>
      <c r="EM288" s="4">
        <f t="shared" si="675"/>
        <v>0.13641807649840498</v>
      </c>
      <c r="EP288" s="4">
        <f t="shared" si="759"/>
        <v>0.13641807649840498</v>
      </c>
      <c r="EQ288" s="4">
        <f t="shared" si="721"/>
        <v>0.40440261076931122</v>
      </c>
      <c r="ER288" s="4">
        <f t="shared" si="770"/>
        <v>5.3235001139185165</v>
      </c>
      <c r="ES288" s="4">
        <f t="shared" si="743"/>
        <v>6.5886082506511858</v>
      </c>
      <c r="ET288" s="4">
        <f t="shared" si="771"/>
        <v>201.9017351968439</v>
      </c>
      <c r="EU288" s="4">
        <f t="shared" si="772"/>
        <v>90.487500000000011</v>
      </c>
      <c r="EV288" s="4">
        <f t="shared" si="832"/>
        <v>2.6879989637933364E-5</v>
      </c>
      <c r="EW288" s="4">
        <f t="shared" si="744"/>
        <v>6.8207271366698272</v>
      </c>
      <c r="EX288" s="4">
        <f t="shared" si="867"/>
        <v>733.9911033624827</v>
      </c>
      <c r="FG288" s="23">
        <f t="shared" si="778"/>
        <v>1.8</v>
      </c>
      <c r="FH288" s="23">
        <f t="shared" si="778"/>
        <v>1.4</v>
      </c>
      <c r="FI288" s="23">
        <f t="shared" si="712"/>
        <v>1.4</v>
      </c>
      <c r="FJ288" s="23">
        <f t="shared" si="779"/>
        <v>2.2000000000000002</v>
      </c>
      <c r="FK288" s="23">
        <f t="shared" si="779"/>
        <v>1.2</v>
      </c>
      <c r="FL288" s="23">
        <f t="shared" si="779"/>
        <v>1.2</v>
      </c>
      <c r="FM288" s="23">
        <f t="shared" si="701"/>
        <v>0</v>
      </c>
      <c r="FN288" s="23"/>
      <c r="FX288" s="4">
        <f t="shared" si="833"/>
        <v>1.25</v>
      </c>
      <c r="FY288" s="4">
        <f t="shared" si="890"/>
        <v>0.5</v>
      </c>
      <c r="FZ288" s="4">
        <f t="shared" si="834"/>
        <v>0</v>
      </c>
      <c r="GA288" s="4">
        <f t="shared" si="835"/>
        <v>564.21714032082673</v>
      </c>
    </row>
    <row r="289" spans="1:183" ht="12" hidden="1" customHeight="1" x14ac:dyDescent="0.3">
      <c r="A289" s="25">
        <v>271</v>
      </c>
      <c r="B289" s="4" t="s">
        <v>605</v>
      </c>
      <c r="C289" s="4">
        <v>2016</v>
      </c>
      <c r="D289" s="4" t="s">
        <v>309</v>
      </c>
      <c r="E289" s="24" t="s">
        <v>666</v>
      </c>
      <c r="F289" s="48" t="s">
        <v>429</v>
      </c>
      <c r="G289" s="38">
        <f t="shared" si="891"/>
        <v>799.31034482758628</v>
      </c>
      <c r="H289" s="38">
        <f>11.25*25.4</f>
        <v>285.75</v>
      </c>
      <c r="I289" s="4">
        <f t="shared" si="746"/>
        <v>285.75</v>
      </c>
      <c r="J289" s="38">
        <f t="shared" si="892"/>
        <v>37.931034482758619</v>
      </c>
      <c r="K289" s="38">
        <f t="shared" si="747"/>
        <v>25.4</v>
      </c>
      <c r="L289" s="7">
        <f t="shared" si="748"/>
        <v>11.25</v>
      </c>
      <c r="M289" s="7">
        <f t="shared" si="749"/>
        <v>11.25</v>
      </c>
      <c r="N289" s="38">
        <f>16.9*25.4</f>
        <v>429.25999999999993</v>
      </c>
      <c r="O289" s="38">
        <f t="shared" si="881"/>
        <v>63.5</v>
      </c>
      <c r="P289" s="39">
        <f>3.25*25.4</f>
        <v>82.55</v>
      </c>
      <c r="Q289" s="7">
        <f t="shared" si="750"/>
        <v>251.45999999999992</v>
      </c>
      <c r="R289" s="38">
        <v>2</v>
      </c>
      <c r="S289" s="4">
        <f t="shared" si="722"/>
        <v>260.34999999999997</v>
      </c>
      <c r="T289" s="7">
        <f t="shared" si="751"/>
        <v>3</v>
      </c>
      <c r="U289" s="7">
        <f t="shared" si="859"/>
        <v>3</v>
      </c>
      <c r="V289" s="38">
        <v>4.5</v>
      </c>
      <c r="W289" s="4">
        <f t="shared" si="752"/>
        <v>4.5</v>
      </c>
      <c r="X289" s="4">
        <f t="shared" si="753"/>
        <v>5.5</v>
      </c>
      <c r="Y289" s="7">
        <f t="shared" si="754"/>
        <v>59.568280149757555</v>
      </c>
      <c r="AB289" s="38">
        <f t="shared" si="786"/>
        <v>588.27586206896558</v>
      </c>
      <c r="AC289" s="4">
        <v>85.3</v>
      </c>
      <c r="AD289" s="4">
        <f t="shared" si="666"/>
        <v>0.90762534595970545</v>
      </c>
      <c r="AE289" s="38"/>
      <c r="AF289" s="38"/>
      <c r="AG289" s="39">
        <v>1</v>
      </c>
      <c r="AH289" s="39"/>
      <c r="AI289" s="39"/>
      <c r="AJ289" s="7"/>
      <c r="AK289" s="4">
        <f t="shared" si="755"/>
        <v>285.75</v>
      </c>
      <c r="AL289" s="4">
        <f t="shared" si="678"/>
        <v>0.50074074074074071</v>
      </c>
      <c r="AM289" s="4">
        <f t="shared" si="679"/>
        <v>293.55493918404102</v>
      </c>
      <c r="AN289" s="4">
        <f t="shared" si="680"/>
        <v>0.7533333333333333</v>
      </c>
      <c r="AO289" s="4">
        <v>1.25</v>
      </c>
      <c r="AP289" s="4">
        <f t="shared" si="844"/>
        <v>2.5</v>
      </c>
      <c r="AQ289" s="38">
        <f t="shared" si="723"/>
        <v>346.05053540726112</v>
      </c>
      <c r="AR289" s="38">
        <f t="shared" si="682"/>
        <v>346.05053540726112</v>
      </c>
      <c r="AS289" s="38">
        <f t="shared" si="683"/>
        <v>3.3867596705239982</v>
      </c>
      <c r="AT289" s="38">
        <f t="shared" si="853"/>
        <v>346.05053540726101</v>
      </c>
      <c r="AU289" s="38">
        <f t="shared" si="820"/>
        <v>1.0000000000000002</v>
      </c>
      <c r="AV289" s="38">
        <f t="shared" si="715"/>
        <v>1.3951235475912487</v>
      </c>
      <c r="AW289" s="4">
        <f t="shared" si="707"/>
        <v>0</v>
      </c>
      <c r="AX289" s="4">
        <f t="shared" si="756"/>
        <v>364.66683279361564</v>
      </c>
      <c r="AY289" s="4">
        <f t="shared" si="724"/>
        <v>1</v>
      </c>
      <c r="AZ289" s="38">
        <f t="shared" si="837"/>
        <v>482.78325060322902</v>
      </c>
      <c r="BA289" s="4">
        <f t="shared" si="725"/>
        <v>0.37</v>
      </c>
      <c r="BB289" s="4">
        <f t="shared" si="726"/>
        <v>70.499215449825741</v>
      </c>
      <c r="BC289" s="4">
        <f t="shared" si="727"/>
        <v>553.2824660530548</v>
      </c>
      <c r="BE289" s="4">
        <f t="shared" si="854"/>
        <v>1.375</v>
      </c>
      <c r="BF289" s="4">
        <f t="shared" si="860"/>
        <v>539.8588570482151</v>
      </c>
      <c r="BH289" s="4">
        <f t="shared" si="861"/>
        <v>463.04817787283525</v>
      </c>
      <c r="BI289" s="4">
        <f t="shared" si="806"/>
        <v>0</v>
      </c>
      <c r="BJ289" s="4">
        <f t="shared" si="862"/>
        <v>0</v>
      </c>
      <c r="BR289" s="4">
        <f t="shared" si="728"/>
        <v>63.5</v>
      </c>
      <c r="BV289" s="9"/>
      <c r="BX289" s="9"/>
      <c r="BY289" s="9"/>
      <c r="BZ289" s="9">
        <f t="shared" si="729"/>
        <v>63.5</v>
      </c>
      <c r="CA289" s="9">
        <f t="shared" si="730"/>
        <v>125.72999999999996</v>
      </c>
      <c r="CB289" s="9">
        <f t="shared" si="821"/>
        <v>1.7517405482385959</v>
      </c>
      <c r="CC289" s="40">
        <f t="shared" si="757"/>
        <v>0</v>
      </c>
      <c r="CD289" s="9">
        <f t="shared" si="731"/>
        <v>0</v>
      </c>
      <c r="CE289" s="9">
        <f t="shared" si="732"/>
        <v>0</v>
      </c>
      <c r="CF289" s="9">
        <f t="shared" si="733"/>
        <v>0.99524931562137331</v>
      </c>
      <c r="CG289" s="9">
        <f t="shared" si="734"/>
        <v>0.68048275862068963</v>
      </c>
      <c r="CH289" s="9">
        <f t="shared" si="822"/>
        <v>1.4598707313117956</v>
      </c>
      <c r="CI289" s="9">
        <f t="shared" si="823"/>
        <v>2.5573147552256046</v>
      </c>
      <c r="CJ289" s="40">
        <v>1</v>
      </c>
      <c r="CK289" s="9">
        <f t="shared" si="824"/>
        <v>268.51804929868848</v>
      </c>
      <c r="CM289" s="4">
        <f t="shared" si="735"/>
        <v>1.6131871866776055</v>
      </c>
      <c r="CN289" s="4">
        <f t="shared" si="736"/>
        <v>1.0632468913492648</v>
      </c>
      <c r="CO289" s="4">
        <f t="shared" si="708"/>
        <v>1.0896845617861677</v>
      </c>
      <c r="CP289" s="4">
        <f t="shared" si="737"/>
        <v>2.1908242801756375</v>
      </c>
      <c r="CQ289" s="4">
        <f t="shared" si="694"/>
        <v>0.90762534595970545</v>
      </c>
      <c r="CR289" s="4">
        <f t="shared" si="695"/>
        <v>0.97146948096887209</v>
      </c>
      <c r="CS289" s="4">
        <f t="shared" si="709"/>
        <v>1.0565427698472931</v>
      </c>
      <c r="CT289" s="4">
        <f t="shared" si="758"/>
        <v>0</v>
      </c>
      <c r="CU289" s="4">
        <f t="shared" si="886"/>
        <v>1.6131871866776055</v>
      </c>
      <c r="CV289" s="4">
        <f t="shared" si="886"/>
        <v>1.0632468913492648</v>
      </c>
      <c r="CW289" s="4">
        <f t="shared" si="887"/>
        <v>2.1908242801756375</v>
      </c>
      <c r="CX289" s="4">
        <f t="shared" si="888"/>
        <v>1.0565427698472931</v>
      </c>
      <c r="CY289" s="4">
        <f t="shared" si="889"/>
        <v>0.90762534595970545</v>
      </c>
      <c r="CZ289" s="4">
        <f t="shared" si="889"/>
        <v>0.97146948096887209</v>
      </c>
      <c r="DI289" s="4">
        <f t="shared" si="742"/>
        <v>285.75</v>
      </c>
      <c r="DL289" s="4">
        <f t="shared" si="667"/>
        <v>2.1221044451000022E-5</v>
      </c>
      <c r="DM289" s="4">
        <f t="shared" si="769"/>
        <v>7.7815993963460848</v>
      </c>
      <c r="DN289" s="4">
        <f t="shared" si="668"/>
        <v>0.4699095404899471</v>
      </c>
      <c r="DO289" s="4">
        <f t="shared" si="669"/>
        <v>5.7527377219882574</v>
      </c>
      <c r="DP289" s="4">
        <f t="shared" si="670"/>
        <v>6.8429466892191968</v>
      </c>
      <c r="DQ289" s="4">
        <f t="shared" si="671"/>
        <v>7.2333707816262507</v>
      </c>
      <c r="DR289" s="38">
        <f t="shared" si="684"/>
        <v>648.14834081890262</v>
      </c>
      <c r="DS289" s="4">
        <f t="shared" si="829"/>
        <v>1.0001135640764247</v>
      </c>
      <c r="DT289" s="4">
        <f t="shared" si="672"/>
        <v>2.3452078799117149</v>
      </c>
      <c r="DU289" s="4">
        <f t="shared" si="842"/>
        <v>346.05053540726101</v>
      </c>
      <c r="DY289" s="4">
        <f t="shared" si="785"/>
        <v>0.85</v>
      </c>
      <c r="DZ289" s="4">
        <f t="shared" si="830"/>
        <v>0.85</v>
      </c>
      <c r="EA289" s="4">
        <f t="shared" si="685"/>
        <v>1</v>
      </c>
      <c r="EB289" s="4">
        <f t="shared" si="831"/>
        <v>0.85</v>
      </c>
      <c r="ED289" s="4">
        <f t="shared" si="686"/>
        <v>605.55259181406564</v>
      </c>
      <c r="EE289" s="25">
        <f t="shared" si="687"/>
        <v>342.92361218738517</v>
      </c>
      <c r="EG289" s="4">
        <f t="shared" si="843"/>
        <v>0.72249999999999992</v>
      </c>
      <c r="EH289" s="4">
        <f t="shared" si="688"/>
        <v>7.7815993963460848</v>
      </c>
      <c r="EK289" s="4">
        <f t="shared" si="673"/>
        <v>59.568280149757555</v>
      </c>
      <c r="EL289" s="4">
        <f t="shared" si="674"/>
        <v>2.3452078799117149</v>
      </c>
      <c r="EM289" s="4">
        <f t="shared" si="675"/>
        <v>0.15825114885328698</v>
      </c>
      <c r="EP289" s="4">
        <f t="shared" si="759"/>
        <v>0.15825114885328698</v>
      </c>
      <c r="EQ289" s="4">
        <f t="shared" si="721"/>
        <v>0.46912534904610242</v>
      </c>
      <c r="ER289" s="4">
        <f t="shared" si="770"/>
        <v>5.7488956989151347</v>
      </c>
      <c r="ES289" s="4">
        <f t="shared" si="743"/>
        <v>6.8413334294190342</v>
      </c>
      <c r="ET289" s="4">
        <f t="shared" si="771"/>
        <v>154.74421985024244</v>
      </c>
      <c r="EU289" s="4">
        <f t="shared" si="772"/>
        <v>71.4375</v>
      </c>
      <c r="EV289" s="4">
        <f t="shared" si="832"/>
        <v>2.1221044451000022E-5</v>
      </c>
      <c r="EW289" s="4">
        <f t="shared" si="744"/>
        <v>7.233526973750263</v>
      </c>
      <c r="EX289" s="4">
        <f t="shared" si="867"/>
        <v>648.07474280928136</v>
      </c>
      <c r="FA289" s="4">
        <f>5.25*25.4</f>
        <v>133.35</v>
      </c>
      <c r="FG289" s="23">
        <f t="shared" si="778"/>
        <v>1.8</v>
      </c>
      <c r="FH289" s="23">
        <f t="shared" si="778"/>
        <v>1.2</v>
      </c>
      <c r="FI289" s="23">
        <f t="shared" si="712"/>
        <v>1.2</v>
      </c>
      <c r="FJ289" s="23">
        <f t="shared" si="779"/>
        <v>2.2000000000000002</v>
      </c>
      <c r="FK289" s="23">
        <f t="shared" si="779"/>
        <v>1</v>
      </c>
      <c r="FL289" s="23">
        <f t="shared" si="779"/>
        <v>1</v>
      </c>
      <c r="FM289" s="23">
        <f t="shared" si="701"/>
        <v>0</v>
      </c>
      <c r="FN289" s="23"/>
      <c r="FX289" s="4">
        <f t="shared" si="833"/>
        <v>1</v>
      </c>
      <c r="FY289" s="4">
        <f t="shared" si="890"/>
        <v>0.5</v>
      </c>
      <c r="FZ289" s="4">
        <f t="shared" si="834"/>
        <v>0</v>
      </c>
      <c r="GA289" s="4">
        <f t="shared" si="835"/>
        <v>556.79323057976319</v>
      </c>
    </row>
    <row r="290" spans="1:183" ht="12" hidden="1" customHeight="1" x14ac:dyDescent="0.3">
      <c r="A290" s="25">
        <v>272</v>
      </c>
      <c r="B290" s="4" t="s">
        <v>605</v>
      </c>
      <c r="C290" s="4">
        <v>2016</v>
      </c>
      <c r="D290" s="4" t="s">
        <v>309</v>
      </c>
      <c r="E290" s="24" t="s">
        <v>666</v>
      </c>
      <c r="F290" s="48" t="s">
        <v>430</v>
      </c>
      <c r="G290" s="38">
        <f t="shared" si="891"/>
        <v>799.31034482758628</v>
      </c>
      <c r="H290" s="38">
        <f>14.13*25.4</f>
        <v>358.90199999999999</v>
      </c>
      <c r="I290" s="4">
        <f t="shared" si="746"/>
        <v>358.90199999999999</v>
      </c>
      <c r="J290" s="38">
        <f t="shared" si="892"/>
        <v>37.931034482758619</v>
      </c>
      <c r="K290" s="38">
        <f t="shared" si="747"/>
        <v>25.4</v>
      </c>
      <c r="L290" s="7">
        <f t="shared" si="748"/>
        <v>14.13</v>
      </c>
      <c r="M290" s="7">
        <f t="shared" si="749"/>
        <v>14.13</v>
      </c>
      <c r="N290" s="38">
        <f>17*25.4</f>
        <v>431.79999999999995</v>
      </c>
      <c r="O290" s="38">
        <f t="shared" si="881"/>
        <v>63.5</v>
      </c>
      <c r="P290" s="39">
        <f>3.35*25.4</f>
        <v>85.09</v>
      </c>
      <c r="Q290" s="7">
        <f t="shared" si="750"/>
        <v>253.99999999999994</v>
      </c>
      <c r="R290" s="38">
        <v>2</v>
      </c>
      <c r="S290" s="4">
        <f t="shared" si="722"/>
        <v>260.34999999999997</v>
      </c>
      <c r="T290" s="7">
        <f t="shared" si="751"/>
        <v>3</v>
      </c>
      <c r="U290" s="7">
        <f t="shared" si="859"/>
        <v>3</v>
      </c>
      <c r="V290" s="38">
        <v>4.5</v>
      </c>
      <c r="W290" s="4">
        <f t="shared" si="752"/>
        <v>4.5</v>
      </c>
      <c r="X290" s="4">
        <f t="shared" si="753"/>
        <v>5.5</v>
      </c>
      <c r="Y290" s="7">
        <f t="shared" si="754"/>
        <v>59.568280149757555</v>
      </c>
      <c r="AB290" s="38">
        <f t="shared" si="786"/>
        <v>742.06896551724139</v>
      </c>
      <c r="AC290" s="4">
        <v>107.6</v>
      </c>
      <c r="AD290" s="4">
        <f t="shared" si="666"/>
        <v>0.96668345094347008</v>
      </c>
      <c r="AE290" s="38"/>
      <c r="AF290" s="38"/>
      <c r="AG290" s="39">
        <v>1</v>
      </c>
      <c r="AH290" s="39"/>
      <c r="AI290" s="39"/>
      <c r="AJ290" s="7"/>
      <c r="AK290" s="4">
        <f t="shared" si="755"/>
        <v>358.90199999999999</v>
      </c>
      <c r="AL290" s="4">
        <f t="shared" si="678"/>
        <v>0.40103798065581497</v>
      </c>
      <c r="AM290" s="4">
        <f t="shared" si="679"/>
        <v>413.21288083953738</v>
      </c>
      <c r="AN290" s="4">
        <f t="shared" si="680"/>
        <v>0.74246284501061566</v>
      </c>
      <c r="AO290" s="4">
        <v>1.25</v>
      </c>
      <c r="AP290" s="4">
        <f t="shared" si="844"/>
        <v>2.5</v>
      </c>
      <c r="AQ290" s="38">
        <f t="shared" si="723"/>
        <v>384.48916229901221</v>
      </c>
      <c r="AR290" s="38">
        <f t="shared" si="682"/>
        <v>384.48916229901221</v>
      </c>
      <c r="AS290" s="38">
        <f t="shared" si="683"/>
        <v>3.3867596705239982</v>
      </c>
      <c r="AT290" s="38">
        <f t="shared" si="853"/>
        <v>384.48916229901232</v>
      </c>
      <c r="AU290" s="38">
        <f t="shared" si="820"/>
        <v>0.99999999999999967</v>
      </c>
      <c r="AV290" s="38">
        <f t="shared" si="715"/>
        <v>1.2556485278192955</v>
      </c>
      <c r="AW290" s="4">
        <f t="shared" si="707"/>
        <v>0</v>
      </c>
      <c r="AX290" s="4">
        <f t="shared" si="756"/>
        <v>458.02154198878122</v>
      </c>
      <c r="AY290" s="4">
        <f t="shared" si="724"/>
        <v>1</v>
      </c>
      <c r="AZ290" s="38">
        <f t="shared" si="837"/>
        <v>482.78325060322902</v>
      </c>
      <c r="BA290" s="4">
        <f t="shared" si="725"/>
        <v>0.37</v>
      </c>
      <c r="BB290" s="4">
        <f t="shared" si="726"/>
        <v>88.547014604981115</v>
      </c>
      <c r="BC290" s="4">
        <f t="shared" si="727"/>
        <v>571.33026520821011</v>
      </c>
      <c r="BE290" s="4">
        <f t="shared" si="854"/>
        <v>1.375</v>
      </c>
      <c r="BF290" s="4">
        <f t="shared" si="860"/>
        <v>613.02561037992609</v>
      </c>
      <c r="BH290" s="4">
        <f t="shared" si="861"/>
        <v>463.04817787283525</v>
      </c>
      <c r="BI290" s="4">
        <f t="shared" si="806"/>
        <v>0</v>
      </c>
      <c r="BJ290" s="4">
        <f t="shared" si="862"/>
        <v>0</v>
      </c>
      <c r="BR290" s="4">
        <f t="shared" si="728"/>
        <v>63.5</v>
      </c>
      <c r="BV290" s="9"/>
      <c r="BX290" s="9"/>
      <c r="BY290" s="9"/>
      <c r="BZ290" s="9">
        <f t="shared" si="729"/>
        <v>63.5</v>
      </c>
      <c r="CA290" s="9">
        <f t="shared" si="730"/>
        <v>126.99999999999997</v>
      </c>
      <c r="CB290" s="9">
        <f t="shared" si="821"/>
        <v>1.7543833769624846</v>
      </c>
      <c r="CC290" s="40">
        <f t="shared" si="757"/>
        <v>0</v>
      </c>
      <c r="CD290" s="9">
        <f t="shared" si="731"/>
        <v>0</v>
      </c>
      <c r="CE290" s="9">
        <f t="shared" si="732"/>
        <v>0</v>
      </c>
      <c r="CF290" s="9">
        <f t="shared" si="733"/>
        <v>0.99524931562137331</v>
      </c>
      <c r="CG290" s="9">
        <f t="shared" si="734"/>
        <v>0.68048275862068963</v>
      </c>
      <c r="CH290" s="9">
        <f t="shared" si="822"/>
        <v>1.4598707313117956</v>
      </c>
      <c r="CI290" s="9">
        <f t="shared" si="823"/>
        <v>2.5611729435274797</v>
      </c>
      <c r="CJ290" s="40">
        <v>1</v>
      </c>
      <c r="CK290" s="9">
        <f t="shared" si="824"/>
        <v>298.42787137982191</v>
      </c>
      <c r="CM290" s="4">
        <f t="shared" si="735"/>
        <v>1.6201617118162046</v>
      </c>
      <c r="CN290" s="4">
        <f t="shared" si="736"/>
        <v>1.2988441374566582</v>
      </c>
      <c r="CO290" s="4">
        <f t="shared" si="708"/>
        <v>1.2105023884032184</v>
      </c>
      <c r="CP290" s="4">
        <f t="shared" si="737"/>
        <v>2.4865940372331328</v>
      </c>
      <c r="CQ290" s="4">
        <f t="shared" si="694"/>
        <v>0.96668345094347008</v>
      </c>
      <c r="CR290" s="4">
        <f t="shared" si="695"/>
        <v>1.0425960964081298</v>
      </c>
      <c r="CS290" s="4">
        <f t="shared" si="709"/>
        <v>1.0611106737887328</v>
      </c>
      <c r="CT290" s="4">
        <f t="shared" si="758"/>
        <v>0</v>
      </c>
      <c r="CU290" s="4">
        <f t="shared" si="886"/>
        <v>1.6201617118162046</v>
      </c>
      <c r="CV290" s="4">
        <f t="shared" si="886"/>
        <v>1.2988441374566582</v>
      </c>
      <c r="CW290" s="4">
        <f t="shared" si="887"/>
        <v>2.4865940372331328</v>
      </c>
      <c r="CX290" s="4">
        <f t="shared" si="888"/>
        <v>1.0611106737887328</v>
      </c>
      <c r="CY290" s="4">
        <f t="shared" si="889"/>
        <v>0.96668345094347008</v>
      </c>
      <c r="CZ290" s="4">
        <f t="shared" si="889"/>
        <v>1.0425960964081298</v>
      </c>
      <c r="DI290" s="4">
        <f t="shared" si="742"/>
        <v>358.90199999999999</v>
      </c>
      <c r="DL290" s="4">
        <f t="shared" si="667"/>
        <v>2.6653631830456028E-5</v>
      </c>
      <c r="DM290" s="4">
        <f t="shared" si="769"/>
        <v>7.7815993963460848</v>
      </c>
      <c r="DN290" s="4">
        <f t="shared" si="668"/>
        <v>0.52210618708235812</v>
      </c>
      <c r="DO290" s="4">
        <f t="shared" si="669"/>
        <v>6.0002922699225048</v>
      </c>
      <c r="DP290" s="4">
        <f t="shared" si="670"/>
        <v>6.948360182979834</v>
      </c>
      <c r="DQ290" s="4">
        <f t="shared" si="671"/>
        <v>6.900759858455694</v>
      </c>
      <c r="DR290" s="38">
        <f t="shared" si="684"/>
        <v>767.64422189393235</v>
      </c>
      <c r="DS290" s="4">
        <f t="shared" si="829"/>
        <v>1.0001188280509947</v>
      </c>
      <c r="DT290" s="4">
        <f t="shared" si="672"/>
        <v>2.3452078799117149</v>
      </c>
      <c r="DU290" s="4">
        <f t="shared" si="842"/>
        <v>384.48916229901232</v>
      </c>
      <c r="DY290" s="4">
        <f t="shared" si="785"/>
        <v>0.85</v>
      </c>
      <c r="DZ290" s="4">
        <f t="shared" si="830"/>
        <v>0.85</v>
      </c>
      <c r="EA290" s="4">
        <f t="shared" si="685"/>
        <v>1</v>
      </c>
      <c r="EB290" s="4">
        <f t="shared" si="831"/>
        <v>0.85</v>
      </c>
      <c r="ED290" s="4">
        <f t="shared" si="686"/>
        <v>711.75114512106757</v>
      </c>
      <c r="EE290" s="25">
        <f t="shared" si="687"/>
        <v>381.889146709957</v>
      </c>
      <c r="EG290" s="4">
        <f t="shared" si="843"/>
        <v>0.72249999999999992</v>
      </c>
      <c r="EH290" s="4">
        <f t="shared" si="688"/>
        <v>7.7815993963460848</v>
      </c>
      <c r="EK290" s="4">
        <f t="shared" si="673"/>
        <v>59.568280149757555</v>
      </c>
      <c r="EL290" s="4">
        <f t="shared" si="674"/>
        <v>2.3452078799117149</v>
      </c>
      <c r="EM290" s="4">
        <f t="shared" si="675"/>
        <v>0.1758293816359745</v>
      </c>
      <c r="EP290" s="4">
        <f t="shared" si="759"/>
        <v>0.1758293816359745</v>
      </c>
      <c r="EQ290" s="4">
        <f t="shared" si="721"/>
        <v>0.52123488916348304</v>
      </c>
      <c r="ER290" s="4">
        <f t="shared" si="770"/>
        <v>5.9962849150837112</v>
      </c>
      <c r="ES290" s="4">
        <f t="shared" si="743"/>
        <v>6.9466311616095533</v>
      </c>
      <c r="ET290" s="4">
        <f t="shared" si="771"/>
        <v>209.60821985024242</v>
      </c>
      <c r="EU290" s="4">
        <f t="shared" si="772"/>
        <v>89.725500000000039</v>
      </c>
      <c r="EV290" s="4">
        <f t="shared" si="832"/>
        <v>2.6653631830456038E-5</v>
      </c>
      <c r="EW290" s="4">
        <f t="shared" si="744"/>
        <v>6.9010046602592654</v>
      </c>
      <c r="EX290" s="4">
        <f t="shared" si="867"/>
        <v>767.55301506511705</v>
      </c>
      <c r="FA290" s="4">
        <f>5.25*25.4</f>
        <v>133.35</v>
      </c>
      <c r="FG290" s="23">
        <f t="shared" si="778"/>
        <v>1.8</v>
      </c>
      <c r="FH290" s="23">
        <f t="shared" si="778"/>
        <v>1.4</v>
      </c>
      <c r="FI290" s="23">
        <f t="shared" si="712"/>
        <v>1.2</v>
      </c>
      <c r="FJ290" s="23">
        <f t="shared" si="779"/>
        <v>2.2000000000000002</v>
      </c>
      <c r="FK290" s="23">
        <f t="shared" si="779"/>
        <v>1</v>
      </c>
      <c r="FL290" s="23">
        <f t="shared" si="779"/>
        <v>1.2</v>
      </c>
      <c r="FM290" s="23">
        <f t="shared" si="701"/>
        <v>0</v>
      </c>
      <c r="FN290" s="23"/>
      <c r="FX290" s="4">
        <f t="shared" si="833"/>
        <v>1</v>
      </c>
      <c r="FY290" s="4">
        <f t="shared" si="890"/>
        <v>0.5</v>
      </c>
      <c r="FZ290" s="4">
        <f t="shared" si="834"/>
        <v>0</v>
      </c>
      <c r="GA290" s="4">
        <f t="shared" si="835"/>
        <v>699.33229760818267</v>
      </c>
    </row>
    <row r="291" spans="1:183" ht="12" hidden="1" customHeight="1" x14ac:dyDescent="0.3">
      <c r="A291" s="25">
        <v>273</v>
      </c>
      <c r="B291" s="4" t="s">
        <v>605</v>
      </c>
      <c r="C291" s="4">
        <v>2016</v>
      </c>
      <c r="D291" s="4" t="s">
        <v>309</v>
      </c>
      <c r="E291" s="24" t="s">
        <v>666</v>
      </c>
      <c r="F291" s="7" t="s">
        <v>431</v>
      </c>
      <c r="G291" s="38">
        <f t="shared" si="891"/>
        <v>799.31034482758628</v>
      </c>
      <c r="H291" s="38">
        <f>9.13*25.4</f>
        <v>231.90200000000002</v>
      </c>
      <c r="I291" s="4">
        <f t="shared" si="746"/>
        <v>231.90200000000002</v>
      </c>
      <c r="J291" s="38">
        <f>5750/145</f>
        <v>39.655172413793103</v>
      </c>
      <c r="K291" s="38">
        <f t="shared" si="747"/>
        <v>25.4</v>
      </c>
      <c r="L291" s="7">
        <f t="shared" si="748"/>
        <v>9.1300000000000008</v>
      </c>
      <c r="M291" s="7">
        <f t="shared" si="749"/>
        <v>9.1300000000000008</v>
      </c>
      <c r="N291" s="38">
        <f>17.5*25.4</f>
        <v>444.5</v>
      </c>
      <c r="O291" s="38">
        <f>2.65*25.4</f>
        <v>67.309999999999988</v>
      </c>
      <c r="P291" s="39">
        <f>3.15*25.4</f>
        <v>80.009999999999991</v>
      </c>
      <c r="Q291" s="7">
        <f t="shared" si="750"/>
        <v>259.08000000000004</v>
      </c>
      <c r="R291" s="38">
        <v>2</v>
      </c>
      <c r="S291" s="4">
        <f t="shared" si="722"/>
        <v>260.34999999999997</v>
      </c>
      <c r="T291" s="7">
        <f t="shared" si="751"/>
        <v>3.1499999999999995</v>
      </c>
      <c r="U291" s="7">
        <f t="shared" si="859"/>
        <v>3.1499999999999995</v>
      </c>
      <c r="V291" s="38">
        <v>6.5</v>
      </c>
      <c r="W291" s="4">
        <f t="shared" si="752"/>
        <v>6.5</v>
      </c>
      <c r="X291" s="4">
        <f t="shared" si="753"/>
        <v>7.5</v>
      </c>
      <c r="Y291" s="7">
        <f t="shared" si="754"/>
        <v>69.56076480315609</v>
      </c>
      <c r="AB291" s="38">
        <f t="shared" si="786"/>
        <v>553.10344827586209</v>
      </c>
      <c r="AC291" s="4">
        <v>80.2</v>
      </c>
      <c r="AD291" s="4">
        <f t="shared" si="666"/>
        <v>0.92467198904083814</v>
      </c>
      <c r="AE291" s="38">
        <f>0.5*25.4</f>
        <v>12.7</v>
      </c>
      <c r="AF291" s="38">
        <v>4</v>
      </c>
      <c r="AG291" s="39">
        <f>5.5*25.4</f>
        <v>139.69999999999999</v>
      </c>
      <c r="AH291" s="39">
        <v>1</v>
      </c>
      <c r="AI291" s="39">
        <v>1</v>
      </c>
      <c r="AJ291" s="7"/>
      <c r="AK291" s="4">
        <f t="shared" si="755"/>
        <v>231.90200000000002</v>
      </c>
      <c r="AL291" s="4">
        <f t="shared" si="678"/>
        <v>0.63891931361810872</v>
      </c>
      <c r="AM291" s="4">
        <f t="shared" si="679"/>
        <v>219.44179758495289</v>
      </c>
      <c r="AN291" s="4">
        <f t="shared" si="680"/>
        <v>0.76900328587075573</v>
      </c>
      <c r="AO291" s="4">
        <v>1.25</v>
      </c>
      <c r="AP291" s="4">
        <f t="shared" si="844"/>
        <v>2.5</v>
      </c>
      <c r="AQ291" s="38">
        <f t="shared" si="723"/>
        <v>336.933028649113</v>
      </c>
      <c r="AR291" s="38">
        <f t="shared" si="682"/>
        <v>336.933028649113</v>
      </c>
      <c r="AS291" s="38">
        <f t="shared" si="683"/>
        <v>3.4886265610899732</v>
      </c>
      <c r="AT291" s="38">
        <f t="shared" si="853"/>
        <v>336.93302864911328</v>
      </c>
      <c r="AU291" s="38">
        <f t="shared" si="820"/>
        <v>0.99999999999999911</v>
      </c>
      <c r="AV291" s="38">
        <f t="shared" si="715"/>
        <v>1.8903990241179067</v>
      </c>
      <c r="AW291" s="4">
        <f t="shared" si="707"/>
        <v>0</v>
      </c>
      <c r="AX291" s="4">
        <f t="shared" si="756"/>
        <v>302.59872779955452</v>
      </c>
      <c r="AY291" s="4">
        <f t="shared" si="724"/>
        <v>1</v>
      </c>
      <c r="AZ291" s="38">
        <f t="shared" si="837"/>
        <v>636.93786855137444</v>
      </c>
      <c r="BA291" s="4">
        <f t="shared" si="725"/>
        <v>0.3</v>
      </c>
      <c r="BB291" s="4">
        <f t="shared" si="726"/>
        <v>47.432350582580163</v>
      </c>
      <c r="BC291" s="4">
        <f t="shared" si="727"/>
        <v>684.37021913395461</v>
      </c>
      <c r="BE291" s="4">
        <f t="shared" si="854"/>
        <v>1.5</v>
      </c>
      <c r="BF291" s="4">
        <f t="shared" si="860"/>
        <v>542.09750073370026</v>
      </c>
      <c r="BH291" s="4">
        <f t="shared" si="861"/>
        <v>610.90130836645233</v>
      </c>
      <c r="BI291" s="4">
        <f t="shared" si="806"/>
        <v>0</v>
      </c>
      <c r="BJ291" s="4">
        <f t="shared" si="862"/>
        <v>0</v>
      </c>
      <c r="BR291" s="4">
        <f t="shared" si="728"/>
        <v>67.309999999999988</v>
      </c>
      <c r="BV291" s="9"/>
      <c r="BX291" s="9"/>
      <c r="BY291" s="9"/>
      <c r="BZ291" s="9">
        <f t="shared" si="729"/>
        <v>67.309999999999988</v>
      </c>
      <c r="CA291" s="9">
        <f t="shared" si="730"/>
        <v>129.54000000000002</v>
      </c>
      <c r="CB291" s="9">
        <f t="shared" si="821"/>
        <v>1.7958562989508591</v>
      </c>
      <c r="CC291" s="40">
        <f t="shared" si="757"/>
        <v>20</v>
      </c>
      <c r="CD291" s="9">
        <f t="shared" si="731"/>
        <v>0.05</v>
      </c>
      <c r="CE291" s="9">
        <f t="shared" si="732"/>
        <v>0.8</v>
      </c>
      <c r="CF291" s="9">
        <f t="shared" si="733"/>
        <v>0.99524931562137331</v>
      </c>
      <c r="CG291" s="9">
        <f t="shared" si="734"/>
        <v>0.68048275862068963</v>
      </c>
      <c r="CH291" s="9">
        <f t="shared" si="822"/>
        <v>1.4926809118196944</v>
      </c>
      <c r="CI291" s="9">
        <f t="shared" si="823"/>
        <v>3.7317022795492361</v>
      </c>
      <c r="CJ291" s="40">
        <v>1</v>
      </c>
      <c r="CK291" s="9">
        <f t="shared" si="824"/>
        <v>360.18390402209229</v>
      </c>
      <c r="CM291" s="4">
        <f t="shared" si="735"/>
        <v>1.82784459240108</v>
      </c>
      <c r="CN291" s="4">
        <f t="shared" si="736"/>
        <v>0.80819333280719641</v>
      </c>
      <c r="CO291" s="4">
        <f t="shared" si="708"/>
        <v>1.0203025240427521</v>
      </c>
      <c r="CP291" s="4">
        <f t="shared" si="737"/>
        <v>1.5356140074541944</v>
      </c>
      <c r="CQ291" s="4">
        <f t="shared" si="694"/>
        <v>0.92467198904083814</v>
      </c>
      <c r="CR291" s="4">
        <f t="shared" si="695"/>
        <v>0.96545639129394512</v>
      </c>
      <c r="CS291" s="4">
        <f t="shared" si="709"/>
        <v>1.085175517695939</v>
      </c>
      <c r="CT291" s="4">
        <f t="shared" si="758"/>
        <v>4</v>
      </c>
      <c r="DA291" s="4">
        <f t="shared" ref="DA291:DB298" si="893">CM291</f>
        <v>1.82784459240108</v>
      </c>
      <c r="DB291" s="4">
        <f t="shared" si="893"/>
        <v>0.80819333280719641</v>
      </c>
      <c r="DC291" s="4">
        <f t="shared" ref="DC291:DC298" si="894">CP291</f>
        <v>1.5356140074541944</v>
      </c>
      <c r="DD291" s="4">
        <f t="shared" ref="DD291:DD298" si="895">CS291</f>
        <v>1.085175517695939</v>
      </c>
      <c r="DE291" s="4">
        <f t="shared" ref="DE291:DF298" si="896">CQ291</f>
        <v>0.92467198904083814</v>
      </c>
      <c r="DF291" s="4">
        <f t="shared" si="896"/>
        <v>0.96545639129394512</v>
      </c>
      <c r="DI291" s="4">
        <f t="shared" si="742"/>
        <v>231.90200000000002</v>
      </c>
      <c r="DL291" s="4">
        <f t="shared" si="667"/>
        <v>1.7421370946555192E-5</v>
      </c>
      <c r="DM291" s="4">
        <f t="shared" si="769"/>
        <v>8.7561292633881198</v>
      </c>
      <c r="DN291" s="4">
        <f t="shared" si="668"/>
        <v>0.35380308194526749</v>
      </c>
      <c r="DO291" s="4">
        <f t="shared" si="669"/>
        <v>5.7785225040000663</v>
      </c>
      <c r="DP291" s="4">
        <f t="shared" si="670"/>
        <v>7.4188687743172457</v>
      </c>
      <c r="DQ291" s="4">
        <f t="shared" si="671"/>
        <v>8.3236620530493592</v>
      </c>
      <c r="DR291" s="38">
        <f t="shared" si="684"/>
        <v>598.16178583455962</v>
      </c>
      <c r="DS291" s="4">
        <f t="shared" si="829"/>
        <v>1.0001099197196661</v>
      </c>
      <c r="DT291" s="4">
        <f t="shared" si="672"/>
        <v>2.7386127875258306</v>
      </c>
      <c r="DU291" s="4">
        <f t="shared" si="842"/>
        <v>336.93302864911328</v>
      </c>
      <c r="DY291" s="4">
        <f t="shared" si="785"/>
        <v>0.85</v>
      </c>
      <c r="DZ291" s="4">
        <f t="shared" si="830"/>
        <v>0.83499999999999996</v>
      </c>
      <c r="EA291" s="4">
        <f t="shared" si="685"/>
        <v>0.92500000000000004</v>
      </c>
      <c r="EB291" s="4">
        <f t="shared" si="831"/>
        <v>0.77237500000000003</v>
      </c>
      <c r="ED291" s="4">
        <f t="shared" si="686"/>
        <v>572.89324848175659</v>
      </c>
      <c r="EE291" s="25">
        <f t="shared" si="687"/>
        <v>333.06286795755597</v>
      </c>
      <c r="EG291" s="4">
        <f t="shared" si="843"/>
        <v>0.65651875000000004</v>
      </c>
      <c r="EH291" s="4">
        <f t="shared" si="688"/>
        <v>8.7561292633881198</v>
      </c>
      <c r="EK291" s="4">
        <f t="shared" si="673"/>
        <v>69.56076480315609</v>
      </c>
      <c r="EL291" s="4">
        <f t="shared" si="674"/>
        <v>2.7386127875258306</v>
      </c>
      <c r="EM291" s="4">
        <f t="shared" si="675"/>
        <v>0.12182791126514832</v>
      </c>
      <c r="EP291" s="4">
        <f t="shared" si="759"/>
        <v>0.12182791126514832</v>
      </c>
      <c r="EQ291" s="4">
        <f t="shared" si="721"/>
        <v>0.35321265054143147</v>
      </c>
      <c r="ER291" s="4">
        <f t="shared" si="770"/>
        <v>5.7746632603039609</v>
      </c>
      <c r="ES291" s="4">
        <f t="shared" si="743"/>
        <v>7.4173695936807951</v>
      </c>
      <c r="ET291" s="4">
        <f t="shared" si="771"/>
        <v>104.36573519684391</v>
      </c>
      <c r="EU291" s="4">
        <f t="shared" si="772"/>
        <v>57.975499999999997</v>
      </c>
      <c r="EV291" s="4">
        <f t="shared" si="832"/>
        <v>1.7421370946555189E-5</v>
      </c>
      <c r="EW291" s="4">
        <f t="shared" si="744"/>
        <v>8.3237905529090828</v>
      </c>
      <c r="EX291" s="4">
        <f t="shared" si="867"/>
        <v>598.09604328514831</v>
      </c>
      <c r="FG291" s="23">
        <f t="shared" si="778"/>
        <v>2</v>
      </c>
      <c r="FH291" s="23">
        <f t="shared" si="778"/>
        <v>1</v>
      </c>
      <c r="FI291" s="23">
        <f t="shared" si="712"/>
        <v>1.2</v>
      </c>
      <c r="FJ291" s="23">
        <f t="shared" si="779"/>
        <v>1.6</v>
      </c>
      <c r="FK291" s="23">
        <f t="shared" si="779"/>
        <v>1</v>
      </c>
      <c r="FL291" s="23">
        <f t="shared" si="779"/>
        <v>1</v>
      </c>
      <c r="FM291" s="23">
        <f t="shared" si="701"/>
        <v>0</v>
      </c>
      <c r="FN291" s="23"/>
      <c r="FX291" s="4">
        <f t="shared" si="833"/>
        <v>1</v>
      </c>
      <c r="FY291" s="4">
        <f t="shared" si="890"/>
        <v>0.4482312338222606</v>
      </c>
      <c r="FZ291" s="4">
        <f t="shared" si="834"/>
        <v>0.25</v>
      </c>
      <c r="GA291" s="4">
        <f t="shared" si="835"/>
        <v>509.69031207985563</v>
      </c>
    </row>
    <row r="292" spans="1:183" ht="12" hidden="1" customHeight="1" x14ac:dyDescent="0.3">
      <c r="A292" s="25">
        <v>274</v>
      </c>
      <c r="B292" s="4" t="s">
        <v>605</v>
      </c>
      <c r="C292" s="4">
        <v>2016</v>
      </c>
      <c r="D292" s="4" t="s">
        <v>309</v>
      </c>
      <c r="E292" s="24" t="s">
        <v>666</v>
      </c>
      <c r="F292" s="7" t="s">
        <v>432</v>
      </c>
      <c r="G292" s="38">
        <f t="shared" si="891"/>
        <v>799.31034482758628</v>
      </c>
      <c r="H292" s="38">
        <f>12.31*25.4</f>
        <v>312.67399999999998</v>
      </c>
      <c r="I292" s="4">
        <f t="shared" si="746"/>
        <v>312.67399999999998</v>
      </c>
      <c r="J292" s="38">
        <f>5750/145</f>
        <v>39.655172413793103</v>
      </c>
      <c r="K292" s="38">
        <f t="shared" si="747"/>
        <v>25.4</v>
      </c>
      <c r="L292" s="7">
        <f t="shared" si="748"/>
        <v>12.31</v>
      </c>
      <c r="M292" s="7">
        <f t="shared" si="749"/>
        <v>12.31</v>
      </c>
      <c r="N292" s="38">
        <f>16.9*25.4</f>
        <v>429.25999999999993</v>
      </c>
      <c r="O292" s="38">
        <f>2.45*25.4</f>
        <v>62.230000000000004</v>
      </c>
      <c r="P292" s="39">
        <f>3*25.4</f>
        <v>76.199999999999989</v>
      </c>
      <c r="Q292" s="7">
        <f t="shared" si="750"/>
        <v>253.99999999999991</v>
      </c>
      <c r="R292" s="38">
        <v>2</v>
      </c>
      <c r="S292" s="4">
        <f t="shared" si="722"/>
        <v>260.34999999999997</v>
      </c>
      <c r="T292" s="7">
        <f t="shared" si="751"/>
        <v>2.95</v>
      </c>
      <c r="U292" s="7">
        <f t="shared" si="859"/>
        <v>2.95</v>
      </c>
      <c r="V292" s="38">
        <v>6.5</v>
      </c>
      <c r="W292" s="4">
        <f t="shared" si="752"/>
        <v>6.5</v>
      </c>
      <c r="X292" s="4">
        <f t="shared" si="753"/>
        <v>7.5</v>
      </c>
      <c r="Y292" s="7">
        <f t="shared" si="754"/>
        <v>69.56076480315609</v>
      </c>
      <c r="AB292" s="38">
        <f t="shared" si="786"/>
        <v>750.34482758620697</v>
      </c>
      <c r="AC292" s="4">
        <v>108.8</v>
      </c>
      <c r="AD292" s="4">
        <f t="shared" si="666"/>
        <v>1.0457977173215069</v>
      </c>
      <c r="AE292" s="38">
        <f t="shared" ref="AE292:AE298" si="897">0.5*25.4</f>
        <v>12.7</v>
      </c>
      <c r="AF292" s="38">
        <v>4</v>
      </c>
      <c r="AG292" s="39">
        <f t="shared" ref="AG292:AG294" si="898">5.5*25.4</f>
        <v>139.69999999999999</v>
      </c>
      <c r="AH292" s="39">
        <v>1</v>
      </c>
      <c r="AI292" s="39">
        <v>1</v>
      </c>
      <c r="AJ292" s="7"/>
      <c r="AK292" s="4">
        <f t="shared" si="755"/>
        <v>312.67399999999998</v>
      </c>
      <c r="AL292" s="4">
        <f t="shared" si="678"/>
        <v>0.45762252910912532</v>
      </c>
      <c r="AM292" s="4">
        <f t="shared" si="679"/>
        <v>343.55815775866921</v>
      </c>
      <c r="AN292" s="4">
        <f t="shared" si="680"/>
        <v>0.74792851340373678</v>
      </c>
      <c r="AO292" s="4">
        <v>1.25</v>
      </c>
      <c r="AP292" s="4">
        <f t="shared" si="844"/>
        <v>2.5</v>
      </c>
      <c r="AQ292" s="38">
        <f t="shared" si="723"/>
        <v>367.46651800558806</v>
      </c>
      <c r="AR292" s="38">
        <f t="shared" si="682"/>
        <v>367.46651800558806</v>
      </c>
      <c r="AS292" s="38">
        <f t="shared" si="683"/>
        <v>3.4886265610899732</v>
      </c>
      <c r="AT292" s="38">
        <f t="shared" si="853"/>
        <v>367.46651800558817</v>
      </c>
      <c r="AU292" s="38">
        <f t="shared" si="820"/>
        <v>0.99999999999999967</v>
      </c>
      <c r="AV292" s="38">
        <f t="shared" si="715"/>
        <v>1.6232699844281868</v>
      </c>
      <c r="AW292" s="4">
        <f t="shared" si="707"/>
        <v>0</v>
      </c>
      <c r="AX292" s="4">
        <f t="shared" si="756"/>
        <v>407.99456070235658</v>
      </c>
      <c r="AY292" s="4">
        <f t="shared" si="724"/>
        <v>1</v>
      </c>
      <c r="AZ292" s="38">
        <f t="shared" si="837"/>
        <v>596.49736896081117</v>
      </c>
      <c r="BA292" s="4">
        <f t="shared" si="725"/>
        <v>0.3</v>
      </c>
      <c r="BB292" s="4">
        <f t="shared" si="726"/>
        <v>63.953147390094387</v>
      </c>
      <c r="BC292" s="4">
        <f t="shared" si="727"/>
        <v>660.45051635090556</v>
      </c>
      <c r="BE292" s="4">
        <f t="shared" si="854"/>
        <v>1.5</v>
      </c>
      <c r="BF292" s="4">
        <f t="shared" si="860"/>
        <v>632.21093786559618</v>
      </c>
      <c r="BH292" s="4">
        <f t="shared" si="861"/>
        <v>572.11392370826502</v>
      </c>
      <c r="BI292" s="4">
        <f t="shared" si="806"/>
        <v>0</v>
      </c>
      <c r="BJ292" s="4">
        <f t="shared" si="862"/>
        <v>0</v>
      </c>
      <c r="BR292" s="4">
        <f t="shared" si="728"/>
        <v>62.230000000000004</v>
      </c>
      <c r="BV292" s="9"/>
      <c r="BX292" s="9"/>
      <c r="BY292" s="9"/>
      <c r="BZ292" s="9">
        <f t="shared" si="729"/>
        <v>62.230000000000004</v>
      </c>
      <c r="CA292" s="9">
        <f t="shared" si="730"/>
        <v>126.99999999999996</v>
      </c>
      <c r="CB292" s="9">
        <f t="shared" si="821"/>
        <v>1.7420219790042637</v>
      </c>
      <c r="CC292" s="40">
        <f t="shared" si="757"/>
        <v>20</v>
      </c>
      <c r="CD292" s="9">
        <f t="shared" si="731"/>
        <v>0.05</v>
      </c>
      <c r="CE292" s="9">
        <f t="shared" si="732"/>
        <v>0.8</v>
      </c>
      <c r="CF292" s="9">
        <f t="shared" si="733"/>
        <v>0.99524931562137331</v>
      </c>
      <c r="CG292" s="9">
        <f t="shared" si="734"/>
        <v>0.68048275862068963</v>
      </c>
      <c r="CH292" s="9">
        <f t="shared" si="822"/>
        <v>1.4926809118196944</v>
      </c>
      <c r="CI292" s="9">
        <f t="shared" si="823"/>
        <v>3.7317022795492361</v>
      </c>
      <c r="CJ292" s="40">
        <v>1</v>
      </c>
      <c r="CK292" s="9">
        <f t="shared" si="824"/>
        <v>407.65115701795855</v>
      </c>
      <c r="CM292" s="4">
        <f t="shared" si="735"/>
        <v>1.8391049780038722</v>
      </c>
      <c r="CN292" s="4">
        <f t="shared" si="736"/>
        <v>1.1361105927087192</v>
      </c>
      <c r="CO292" s="4">
        <f t="shared" si="708"/>
        <v>1.1868583452849486</v>
      </c>
      <c r="CP292" s="4">
        <f t="shared" si="737"/>
        <v>1.8406542325921853</v>
      </c>
      <c r="CQ292" s="4">
        <f t="shared" si="694"/>
        <v>1.0457977173215069</v>
      </c>
      <c r="CR292" s="4">
        <f t="shared" si="695"/>
        <v>1.1029753689711439</v>
      </c>
      <c r="CS292" s="4">
        <f t="shared" si="709"/>
        <v>1.3648258889866054</v>
      </c>
      <c r="CT292" s="4">
        <f t="shared" si="758"/>
        <v>4</v>
      </c>
      <c r="DA292" s="4">
        <f t="shared" si="893"/>
        <v>1.8391049780038722</v>
      </c>
      <c r="DB292" s="4">
        <f t="shared" si="893"/>
        <v>1.1361105927087192</v>
      </c>
      <c r="DC292" s="4">
        <f t="shared" si="894"/>
        <v>1.8406542325921853</v>
      </c>
      <c r="DD292" s="4">
        <f t="shared" si="895"/>
        <v>1.3648258889866054</v>
      </c>
      <c r="DE292" s="4">
        <f t="shared" si="896"/>
        <v>1.0457977173215069</v>
      </c>
      <c r="DF292" s="4">
        <f t="shared" si="896"/>
        <v>1.1029753689711439</v>
      </c>
      <c r="DI292" s="4">
        <f t="shared" si="742"/>
        <v>312.67399999999998</v>
      </c>
      <c r="DL292" s="4">
        <f t="shared" si="667"/>
        <v>2.3489274518301684E-5</v>
      </c>
      <c r="DM292" s="4">
        <f t="shared" si="769"/>
        <v>8.5513075262328435</v>
      </c>
      <c r="DN292" s="4">
        <f t="shared" si="668"/>
        <v>0.38586536648939879</v>
      </c>
      <c r="DO292" s="4">
        <f t="shared" si="669"/>
        <v>5.8426092916185413</v>
      </c>
      <c r="DP292" s="4">
        <f t="shared" si="670"/>
        <v>7.3237162936001994</v>
      </c>
      <c r="DQ292" s="4">
        <f t="shared" si="671"/>
        <v>7.7805830526388018</v>
      </c>
      <c r="DR292" s="38">
        <f t="shared" si="684"/>
        <v>717.48562380494309</v>
      </c>
      <c r="DS292" s="4">
        <f t="shared" si="829"/>
        <v>1.0001122463285002</v>
      </c>
      <c r="DT292" s="4">
        <f t="shared" si="672"/>
        <v>2.7386127875258306</v>
      </c>
      <c r="DU292" s="4">
        <f t="shared" si="842"/>
        <v>367.46651800558817</v>
      </c>
      <c r="DY292" s="4">
        <f t="shared" si="785"/>
        <v>0.85</v>
      </c>
      <c r="DZ292" s="4">
        <f t="shared" si="830"/>
        <v>0.85499999999999998</v>
      </c>
      <c r="EA292" s="4">
        <f t="shared" si="685"/>
        <v>0.92500000000000004</v>
      </c>
      <c r="EB292" s="4">
        <f t="shared" si="831"/>
        <v>0.79087499999999999</v>
      </c>
      <c r="ED292" s="4">
        <f t="shared" si="686"/>
        <v>680.29155382329986</v>
      </c>
      <c r="EE292" s="25">
        <f t="shared" si="687"/>
        <v>364.49176687952098</v>
      </c>
      <c r="EG292" s="4">
        <f t="shared" si="843"/>
        <v>0.67224375000000003</v>
      </c>
      <c r="EH292" s="4">
        <f t="shared" si="688"/>
        <v>8.5513075262328435</v>
      </c>
      <c r="EK292" s="4">
        <f t="shared" si="673"/>
        <v>69.56076480315609</v>
      </c>
      <c r="EL292" s="4">
        <f t="shared" si="674"/>
        <v>2.7386127875258306</v>
      </c>
      <c r="EM292" s="4">
        <f t="shared" si="675"/>
        <v>0.13286818014840418</v>
      </c>
      <c r="EP292" s="4">
        <f t="shared" si="759"/>
        <v>0.13286818014840418</v>
      </c>
      <c r="EQ292" s="4">
        <f t="shared" si="721"/>
        <v>0.38522142910825607</v>
      </c>
      <c r="ER292" s="4">
        <f t="shared" si="770"/>
        <v>5.8387072469242662</v>
      </c>
      <c r="ES292" s="4">
        <f t="shared" si="743"/>
        <v>7.3221628948064694</v>
      </c>
      <c r="ET292" s="4">
        <f t="shared" si="771"/>
        <v>164.94473519684391</v>
      </c>
      <c r="EU292" s="4">
        <f t="shared" si="772"/>
        <v>78.168499999999995</v>
      </c>
      <c r="EV292" s="4">
        <f t="shared" si="832"/>
        <v>2.3489274518301684E-5</v>
      </c>
      <c r="EW292" s="4">
        <f t="shared" si="744"/>
        <v>7.7807917493059744</v>
      </c>
      <c r="EX292" s="4">
        <f t="shared" si="867"/>
        <v>717.40509771667712</v>
      </c>
      <c r="FG292" s="23">
        <f t="shared" si="778"/>
        <v>2</v>
      </c>
      <c r="FH292" s="23">
        <f t="shared" si="778"/>
        <v>1.2</v>
      </c>
      <c r="FI292" s="23">
        <f t="shared" si="712"/>
        <v>1.4</v>
      </c>
      <c r="FJ292" s="23">
        <f t="shared" si="779"/>
        <v>2</v>
      </c>
      <c r="FK292" s="23">
        <f t="shared" si="779"/>
        <v>1.2</v>
      </c>
      <c r="FL292" s="23">
        <f t="shared" si="779"/>
        <v>1.2</v>
      </c>
      <c r="FM292" s="23">
        <f t="shared" si="701"/>
        <v>0</v>
      </c>
      <c r="FN292" s="23"/>
      <c r="FX292" s="4">
        <f t="shared" si="833"/>
        <v>1.25</v>
      </c>
      <c r="FY292" s="4">
        <f t="shared" si="890"/>
        <v>0.4482312338222606</v>
      </c>
      <c r="FZ292" s="4">
        <f t="shared" si="834"/>
        <v>0.25</v>
      </c>
      <c r="GA292" s="4">
        <f t="shared" si="835"/>
        <v>549.77329609665026</v>
      </c>
    </row>
    <row r="293" spans="1:183" ht="12" hidden="1" customHeight="1" x14ac:dyDescent="0.3">
      <c r="A293" s="25">
        <v>275</v>
      </c>
      <c r="B293" s="4" t="s">
        <v>605</v>
      </c>
      <c r="C293" s="4">
        <v>2016</v>
      </c>
      <c r="D293" s="4" t="s">
        <v>309</v>
      </c>
      <c r="E293" s="24" t="s">
        <v>666</v>
      </c>
      <c r="F293" s="48" t="s">
        <v>433</v>
      </c>
      <c r="G293" s="38">
        <f t="shared" si="891"/>
        <v>799.31034482758628</v>
      </c>
      <c r="H293" s="38">
        <f>9.38*25.4</f>
        <v>238.25200000000001</v>
      </c>
      <c r="I293" s="4">
        <f t="shared" si="746"/>
        <v>238.25200000000001</v>
      </c>
      <c r="J293" s="38">
        <f>5750/145</f>
        <v>39.655172413793103</v>
      </c>
      <c r="K293" s="38">
        <f t="shared" si="747"/>
        <v>25.4</v>
      </c>
      <c r="L293" s="7">
        <f t="shared" si="748"/>
        <v>9.3800000000000008</v>
      </c>
      <c r="M293" s="7">
        <f t="shared" si="749"/>
        <v>9.3800000000000008</v>
      </c>
      <c r="N293" s="38">
        <f>17*25.4</f>
        <v>431.79999999999995</v>
      </c>
      <c r="O293" s="38">
        <f t="shared" si="881"/>
        <v>63.5</v>
      </c>
      <c r="P293" s="39">
        <f>3.1*25.4</f>
        <v>78.739999999999995</v>
      </c>
      <c r="Q293" s="7">
        <f t="shared" si="750"/>
        <v>253.99999999999994</v>
      </c>
      <c r="R293" s="38">
        <v>2</v>
      </c>
      <c r="S293" s="4">
        <f t="shared" si="722"/>
        <v>260.34999999999997</v>
      </c>
      <c r="T293" s="7">
        <f t="shared" si="751"/>
        <v>3</v>
      </c>
      <c r="U293" s="7">
        <f t="shared" si="859"/>
        <v>3</v>
      </c>
      <c r="V293" s="38">
        <v>4.5</v>
      </c>
      <c r="W293" s="4">
        <f t="shared" si="752"/>
        <v>4.5</v>
      </c>
      <c r="X293" s="4">
        <f t="shared" si="753"/>
        <v>5.5</v>
      </c>
      <c r="Y293" s="7">
        <f t="shared" si="754"/>
        <v>59.568280149757555</v>
      </c>
      <c r="AB293" s="38">
        <f t="shared" si="786"/>
        <v>593.10344827586209</v>
      </c>
      <c r="AC293" s="4">
        <v>86</v>
      </c>
      <c r="AD293" s="4">
        <f t="shared" ref="AD293:AD356" si="899">CQ293</f>
        <v>0.98277763354811387</v>
      </c>
      <c r="AE293" s="38">
        <f t="shared" si="897"/>
        <v>12.7</v>
      </c>
      <c r="AF293" s="38">
        <v>4</v>
      </c>
      <c r="AG293" s="39">
        <f t="shared" si="898"/>
        <v>139.69999999999999</v>
      </c>
      <c r="AH293" s="39">
        <v>1</v>
      </c>
      <c r="AI293" s="39">
        <v>1</v>
      </c>
      <c r="AJ293" s="7"/>
      <c r="AK293" s="4">
        <f t="shared" si="755"/>
        <v>238.25200000000001</v>
      </c>
      <c r="AL293" s="4">
        <f t="shared" si="678"/>
        <v>0.60412224591329067</v>
      </c>
      <c r="AM293" s="4">
        <f t="shared" si="679"/>
        <v>228.51643672654887</v>
      </c>
      <c r="AN293" s="4">
        <f t="shared" si="680"/>
        <v>0.76396588486140726</v>
      </c>
      <c r="AO293" s="4">
        <v>1.25</v>
      </c>
      <c r="AP293" s="4">
        <f t="shared" si="844"/>
        <v>2.5</v>
      </c>
      <c r="AQ293" s="38">
        <f t="shared" si="723"/>
        <v>329.58410519011557</v>
      </c>
      <c r="AR293" s="38">
        <f t="shared" si="682"/>
        <v>329.58410519011557</v>
      </c>
      <c r="AS293" s="38">
        <f t="shared" si="683"/>
        <v>3.4886265610899732</v>
      </c>
      <c r="AT293" s="38">
        <f t="shared" si="853"/>
        <v>329.58410519011528</v>
      </c>
      <c r="AU293" s="38">
        <f t="shared" si="820"/>
        <v>1.0000000000000009</v>
      </c>
      <c r="AV293" s="38">
        <f t="shared" si="715"/>
        <v>1.531408632468251</v>
      </c>
      <c r="AW293" s="4">
        <f t="shared" si="707"/>
        <v>0</v>
      </c>
      <c r="AX293" s="4">
        <f t="shared" si="756"/>
        <v>310.88456371958614</v>
      </c>
      <c r="AY293" s="4">
        <f t="shared" si="724"/>
        <v>1</v>
      </c>
      <c r="AZ293" s="38">
        <f t="shared" si="837"/>
        <v>504.72794381246661</v>
      </c>
      <c r="BA293" s="4">
        <f t="shared" si="725"/>
        <v>0.37</v>
      </c>
      <c r="BB293" s="4">
        <f t="shared" si="726"/>
        <v>60.101758281088976</v>
      </c>
      <c r="BC293" s="4">
        <f t="shared" si="727"/>
        <v>564.82970209355562</v>
      </c>
      <c r="BE293" s="4">
        <f t="shared" si="854"/>
        <v>1.5</v>
      </c>
      <c r="BF293" s="4">
        <f t="shared" si="860"/>
        <v>549.18189044532733</v>
      </c>
      <c r="BH293" s="4">
        <f t="shared" si="861"/>
        <v>484.09582232160056</v>
      </c>
      <c r="BI293" s="4">
        <f t="shared" si="806"/>
        <v>0</v>
      </c>
      <c r="BJ293" s="4">
        <f t="shared" si="862"/>
        <v>0</v>
      </c>
      <c r="BR293" s="4">
        <f t="shared" si="728"/>
        <v>63.5</v>
      </c>
      <c r="BV293" s="9"/>
      <c r="BX293" s="9"/>
      <c r="BY293" s="9"/>
      <c r="BZ293" s="9">
        <f t="shared" si="729"/>
        <v>63.5</v>
      </c>
      <c r="CA293" s="9">
        <f t="shared" si="730"/>
        <v>126.99999999999997</v>
      </c>
      <c r="CB293" s="9">
        <f t="shared" si="821"/>
        <v>1.7543833769624846</v>
      </c>
      <c r="CC293" s="40">
        <f t="shared" si="757"/>
        <v>20</v>
      </c>
      <c r="CD293" s="9">
        <f t="shared" si="731"/>
        <v>0.05</v>
      </c>
      <c r="CE293" s="9">
        <f t="shared" si="732"/>
        <v>0.8</v>
      </c>
      <c r="CF293" s="9">
        <f t="shared" si="733"/>
        <v>0.99524931562137331</v>
      </c>
      <c r="CG293" s="9">
        <f t="shared" si="734"/>
        <v>0.68048275862068963</v>
      </c>
      <c r="CH293" s="9">
        <f t="shared" si="822"/>
        <v>1.4926809118196944</v>
      </c>
      <c r="CI293" s="9">
        <f t="shared" si="823"/>
        <v>3.7317022795492361</v>
      </c>
      <c r="CJ293" s="40">
        <v>1</v>
      </c>
      <c r="CK293" s="9">
        <f t="shared" si="824"/>
        <v>363.9156063016415</v>
      </c>
      <c r="CM293" s="4">
        <f t="shared" si="735"/>
        <v>1.9077931730661086</v>
      </c>
      <c r="CN293" s="4">
        <f t="shared" si="736"/>
        <v>1.0500571164680419</v>
      </c>
      <c r="CO293" s="4">
        <f t="shared" si="708"/>
        <v>1.0799763404341667</v>
      </c>
      <c r="CP293" s="4">
        <f t="shared" si="737"/>
        <v>1.6297829441924288</v>
      </c>
      <c r="CQ293" s="4">
        <f t="shared" si="694"/>
        <v>0.98277763354811387</v>
      </c>
      <c r="CR293" s="4">
        <f t="shared" si="695"/>
        <v>1.0443012016693149</v>
      </c>
      <c r="CS293" s="4">
        <f t="shared" si="709"/>
        <v>1.1326402982209955</v>
      </c>
      <c r="CT293" s="4">
        <f t="shared" si="758"/>
        <v>4</v>
      </c>
      <c r="DA293" s="4">
        <f t="shared" si="893"/>
        <v>1.9077931730661086</v>
      </c>
      <c r="DB293" s="4">
        <f t="shared" si="893"/>
        <v>1.0500571164680419</v>
      </c>
      <c r="DC293" s="4">
        <f t="shared" si="894"/>
        <v>1.6297829441924288</v>
      </c>
      <c r="DD293" s="4">
        <f t="shared" si="895"/>
        <v>1.1326402982209955</v>
      </c>
      <c r="DE293" s="4">
        <f t="shared" si="896"/>
        <v>0.98277763354811387</v>
      </c>
      <c r="DF293" s="4">
        <f t="shared" si="896"/>
        <v>1.0443012016693149</v>
      </c>
      <c r="DI293" s="4">
        <f t="shared" si="742"/>
        <v>238.25200000000001</v>
      </c>
      <c r="DL293" s="4">
        <f t="shared" ref="DL293:DL356" si="900">H293/4/(1-0.3*(J293/30)^0.5)/200000/K293</f>
        <v>1.7898407390874884E-5</v>
      </c>
      <c r="DM293" s="4">
        <f t="shared" si="769"/>
        <v>8.6016093352106822</v>
      </c>
      <c r="DN293" s="4">
        <f t="shared" ref="DN293:DN356" si="901">DU293*Y293/257/J293/V293</f>
        <v>0.42809074683004311</v>
      </c>
      <c r="DO293" s="4">
        <f t="shared" ref="DO293:DO356" si="902">DM293*DN293^0.4</f>
        <v>6.1262406163308114</v>
      </c>
      <c r="DP293" s="4">
        <f t="shared" ref="DP293:DP356" si="903">MIN(DM293, DM293/1.4*(1-DN293^1.4)/(1-DN293))</f>
        <v>7.4674964120678524</v>
      </c>
      <c r="DQ293" s="4">
        <f t="shared" ref="DQ293:DQ356" si="904">MAX(DM293/2, (4-DL293*(8*Y293*(DO293-DP293)+6*H293*DP293))/(4+DL293*H293*DM293)*DM293)</f>
        <v>8.1406968914674351</v>
      </c>
      <c r="DR293" s="38">
        <f t="shared" si="684"/>
        <v>603.49709642311018</v>
      </c>
      <c r="DS293" s="4">
        <f t="shared" si="829"/>
        <v>1.0001136025152375</v>
      </c>
      <c r="DT293" s="4">
        <f t="shared" ref="DT293:DT356" si="905">Y293/K293</f>
        <v>2.3452078799117149</v>
      </c>
      <c r="DU293" s="4">
        <f t="shared" si="842"/>
        <v>329.58410519011528</v>
      </c>
      <c r="DY293" s="4">
        <f t="shared" si="785"/>
        <v>0.85</v>
      </c>
      <c r="DZ293" s="4">
        <f t="shared" si="830"/>
        <v>0.85</v>
      </c>
      <c r="EA293" s="4">
        <f t="shared" si="685"/>
        <v>0.92500000000000004</v>
      </c>
      <c r="EB293" s="4">
        <f t="shared" si="831"/>
        <v>0.78625</v>
      </c>
      <c r="ED293" s="4">
        <f t="shared" si="686"/>
        <v>567.94289552457326</v>
      </c>
      <c r="EE293" s="25">
        <f t="shared" si="687"/>
        <v>325.8936088317447</v>
      </c>
      <c r="EG293" s="4">
        <f t="shared" si="843"/>
        <v>0.66831249999999998</v>
      </c>
      <c r="EH293" s="4">
        <f t="shared" si="688"/>
        <v>8.6016093352106822</v>
      </c>
      <c r="EK293" s="4">
        <f t="shared" ref="EK293:EK356" si="906">EL293*K293</f>
        <v>59.568280149757555</v>
      </c>
      <c r="EL293" s="4">
        <f t="shared" ref="EL293:EL356" si="907">X293^0.5</f>
        <v>2.3452078799117149</v>
      </c>
      <c r="EM293" s="4">
        <f t="shared" ref="EM293:EM356" si="908">MIN(DU293)/(4700*J293^0.5)/W293*EK293</f>
        <v>0.1474079909974034</v>
      </c>
      <c r="EP293" s="4">
        <f t="shared" si="759"/>
        <v>0.1474079909974034</v>
      </c>
      <c r="EQ293" s="4">
        <f t="shared" si="721"/>
        <v>0.42737634315885298</v>
      </c>
      <c r="ER293" s="4">
        <f t="shared" si="770"/>
        <v>6.1221491456368717</v>
      </c>
      <c r="ES293" s="4">
        <f t="shared" si="743"/>
        <v>7.4658205132645818</v>
      </c>
      <c r="ET293" s="4">
        <f t="shared" si="771"/>
        <v>119.12071985024247</v>
      </c>
      <c r="EU293" s="4">
        <f t="shared" si="772"/>
        <v>59.562999999999988</v>
      </c>
      <c r="EV293" s="4">
        <f t="shared" si="832"/>
        <v>1.789840739087488E-5</v>
      </c>
      <c r="EW293" s="4">
        <f t="shared" si="744"/>
        <v>8.1408321648925881</v>
      </c>
      <c r="EX293" s="4">
        <f t="shared" si="867"/>
        <v>603.42854542258408</v>
      </c>
      <c r="FA293" s="4">
        <f t="shared" ref="FA293:FA294" si="909">5.25*25.4</f>
        <v>133.35</v>
      </c>
      <c r="FG293" s="23">
        <f t="shared" si="778"/>
        <v>2</v>
      </c>
      <c r="FH293" s="23">
        <f t="shared" si="778"/>
        <v>1.2</v>
      </c>
      <c r="FI293" s="23">
        <f t="shared" si="712"/>
        <v>1.2</v>
      </c>
      <c r="FJ293" s="23">
        <f t="shared" si="779"/>
        <v>1.8</v>
      </c>
      <c r="FK293" s="23">
        <f t="shared" si="779"/>
        <v>1</v>
      </c>
      <c r="FL293" s="23">
        <f t="shared" si="779"/>
        <v>1.2</v>
      </c>
      <c r="FM293" s="23">
        <f t="shared" si="701"/>
        <v>0</v>
      </c>
      <c r="FN293" s="23"/>
      <c r="FX293" s="4">
        <f t="shared" si="833"/>
        <v>1</v>
      </c>
      <c r="FY293" s="4">
        <f t="shared" si="890"/>
        <v>0.4482312338222606</v>
      </c>
      <c r="FZ293" s="4">
        <f t="shared" si="834"/>
        <v>0.25</v>
      </c>
      <c r="GA293" s="4">
        <f t="shared" si="835"/>
        <v>523.64678283779244</v>
      </c>
    </row>
    <row r="294" spans="1:183" ht="12" hidden="1" customHeight="1" x14ac:dyDescent="0.3">
      <c r="A294" s="25">
        <v>276</v>
      </c>
      <c r="B294" s="4" t="s">
        <v>605</v>
      </c>
      <c r="C294" s="4">
        <v>2016</v>
      </c>
      <c r="D294" s="4" t="s">
        <v>309</v>
      </c>
      <c r="E294" s="24" t="s">
        <v>666</v>
      </c>
      <c r="F294" s="48" t="s">
        <v>434</v>
      </c>
      <c r="G294" s="38">
        <f t="shared" si="891"/>
        <v>799.31034482758628</v>
      </c>
      <c r="H294" s="38">
        <f>12*25.4</f>
        <v>304.79999999999995</v>
      </c>
      <c r="I294" s="4">
        <f t="shared" si="746"/>
        <v>304.79999999999995</v>
      </c>
      <c r="J294" s="38">
        <f>5750/145</f>
        <v>39.655172413793103</v>
      </c>
      <c r="K294" s="38">
        <f t="shared" si="747"/>
        <v>25.4</v>
      </c>
      <c r="L294" s="7">
        <f t="shared" si="748"/>
        <v>11.999999999999998</v>
      </c>
      <c r="M294" s="7">
        <f t="shared" si="749"/>
        <v>11.999999999999998</v>
      </c>
      <c r="N294" s="38">
        <f>16.6*25.4</f>
        <v>421.64</v>
      </c>
      <c r="O294" s="38">
        <f>2.45*25.4</f>
        <v>62.230000000000004</v>
      </c>
      <c r="P294" s="39">
        <f>3.3*25.4</f>
        <v>83.82</v>
      </c>
      <c r="Q294" s="7">
        <f t="shared" si="750"/>
        <v>246.37999999999997</v>
      </c>
      <c r="R294" s="38">
        <v>2</v>
      </c>
      <c r="S294" s="4">
        <f t="shared" si="722"/>
        <v>260.34999999999997</v>
      </c>
      <c r="T294" s="7">
        <f t="shared" si="751"/>
        <v>2.95</v>
      </c>
      <c r="U294" s="7">
        <f t="shared" si="859"/>
        <v>2.95</v>
      </c>
      <c r="V294" s="38">
        <v>4.5</v>
      </c>
      <c r="W294" s="4">
        <f t="shared" si="752"/>
        <v>4.5</v>
      </c>
      <c r="X294" s="4">
        <f t="shared" si="753"/>
        <v>5.5</v>
      </c>
      <c r="Y294" s="7">
        <f t="shared" si="754"/>
        <v>59.568280149757555</v>
      </c>
      <c r="AB294" s="38">
        <f t="shared" si="786"/>
        <v>685.51724137931046</v>
      </c>
      <c r="AC294" s="4">
        <v>99.4</v>
      </c>
      <c r="AD294" s="4">
        <f t="shared" si="899"/>
        <v>0.96655501262970034</v>
      </c>
      <c r="AE294" s="38">
        <f t="shared" si="897"/>
        <v>12.7</v>
      </c>
      <c r="AF294" s="38">
        <v>4</v>
      </c>
      <c r="AG294" s="39">
        <f t="shared" si="898"/>
        <v>139.69999999999999</v>
      </c>
      <c r="AH294" s="39">
        <v>1</v>
      </c>
      <c r="AI294" s="39">
        <v>1</v>
      </c>
      <c r="AJ294" s="7"/>
      <c r="AK294" s="4">
        <f t="shared" si="755"/>
        <v>304.79999999999995</v>
      </c>
      <c r="AL294" s="4">
        <f t="shared" ref="AL294:AL357" si="910">IF(H294*3&gt;Q294+K294, N294, (O294+K294/2)*2+1.5*H294*(2*R294-2))*(3*H294)/(9*H294^2)</f>
        <v>0.46111111111111108</v>
      </c>
      <c r="AM294" s="4">
        <f t="shared" ref="AM294:AM357" si="911">MIN(10*J294^0.5*H294^1.5,100*3.9*J294^0.5*H294^(5/3))/(PI()/4*K294^2)/R294</f>
        <v>330.66258376635705</v>
      </c>
      <c r="AN294" s="4">
        <f t="shared" ref="AN294:AN357" si="912">MIN(0.7+0.3*(MIN(O294,S294)+0.5*K294)/1.5/H294,1)</f>
        <v>0.74916666666666665</v>
      </c>
      <c r="AO294" s="4">
        <v>1.25</v>
      </c>
      <c r="AP294" s="4">
        <f t="shared" si="844"/>
        <v>2.5</v>
      </c>
      <c r="AQ294" s="38">
        <f t="shared" si="723"/>
        <v>356.95963560321565</v>
      </c>
      <c r="AR294" s="38">
        <f t="shared" ref="AR294:AR357" si="913">AQ294</f>
        <v>356.95963560321565</v>
      </c>
      <c r="AS294" s="38">
        <f t="shared" ref="AS294:AS357" si="914">IF(J294&lt;50, 0.3*J294^(2/3), 2.12*LN(1+0.1*(J294+8)))</f>
        <v>3.4886265610899732</v>
      </c>
      <c r="AT294" s="38">
        <f t="shared" si="853"/>
        <v>356.95963560321547</v>
      </c>
      <c r="AU294" s="38">
        <f t="shared" si="820"/>
        <v>1.0000000000000004</v>
      </c>
      <c r="AV294" s="38">
        <f t="shared" si="715"/>
        <v>1.3903975741595627</v>
      </c>
      <c r="AW294" s="4">
        <f t="shared" si="707"/>
        <v>0</v>
      </c>
      <c r="AX294" s="4">
        <f t="shared" si="756"/>
        <v>397.72012416151739</v>
      </c>
      <c r="AY294" s="4">
        <f t="shared" si="724"/>
        <v>1</v>
      </c>
      <c r="AZ294" s="38">
        <f t="shared" si="837"/>
        <v>496.31581141559224</v>
      </c>
      <c r="BA294" s="4">
        <f t="shared" si="725"/>
        <v>0.37</v>
      </c>
      <c r="BB294" s="4">
        <f t="shared" si="726"/>
        <v>76.889243003525337</v>
      </c>
      <c r="BC294" s="4">
        <f t="shared" si="727"/>
        <v>573.20505441911757</v>
      </c>
      <c r="BE294" s="4">
        <f t="shared" si="854"/>
        <v>1.5</v>
      </c>
      <c r="BF294" s="4">
        <f t="shared" si="860"/>
        <v>623.42629462317859</v>
      </c>
      <c r="BH294" s="4">
        <f t="shared" si="861"/>
        <v>476.02755861624058</v>
      </c>
      <c r="BI294" s="4">
        <f t="shared" si="806"/>
        <v>0</v>
      </c>
      <c r="BJ294" s="4">
        <f t="shared" si="862"/>
        <v>0</v>
      </c>
      <c r="BR294" s="4">
        <f t="shared" si="728"/>
        <v>62.230000000000004</v>
      </c>
      <c r="BV294" s="9"/>
      <c r="BX294" s="9"/>
      <c r="BY294" s="9"/>
      <c r="BZ294" s="9">
        <f t="shared" si="729"/>
        <v>62.230000000000004</v>
      </c>
      <c r="CA294" s="9">
        <f t="shared" si="730"/>
        <v>123.18999999999998</v>
      </c>
      <c r="CB294" s="9">
        <f t="shared" si="821"/>
        <v>1.7340810420811554</v>
      </c>
      <c r="CC294" s="40">
        <f t="shared" si="757"/>
        <v>20</v>
      </c>
      <c r="CD294" s="9">
        <f t="shared" si="731"/>
        <v>0.05</v>
      </c>
      <c r="CE294" s="9">
        <f t="shared" si="732"/>
        <v>0.8</v>
      </c>
      <c r="CF294" s="9">
        <f t="shared" si="733"/>
        <v>0.99524931562137331</v>
      </c>
      <c r="CG294" s="9">
        <f t="shared" si="734"/>
        <v>0.68048275862068963</v>
      </c>
      <c r="CH294" s="9">
        <f t="shared" si="822"/>
        <v>1.4926809118196944</v>
      </c>
      <c r="CI294" s="9">
        <f t="shared" si="823"/>
        <v>3.7317022795492361</v>
      </c>
      <c r="CJ294" s="40">
        <v>1</v>
      </c>
      <c r="CK294" s="9">
        <f t="shared" si="824"/>
        <v>403.02384619131749</v>
      </c>
      <c r="CM294" s="4">
        <f t="shared" si="735"/>
        <v>1.7236171863934053</v>
      </c>
      <c r="CN294" s="4">
        <f t="shared" si="736"/>
        <v>1.1959371887849268</v>
      </c>
      <c r="CO294" s="4">
        <f t="shared" si="708"/>
        <v>1.0995962911600672</v>
      </c>
      <c r="CP294" s="4">
        <f t="shared" si="737"/>
        <v>1.7009346912288954</v>
      </c>
      <c r="CQ294" s="4">
        <f t="shared" si="694"/>
        <v>0.96655501262970034</v>
      </c>
      <c r="CR294" s="4">
        <f t="shared" si="695"/>
        <v>1.035801217585661</v>
      </c>
      <c r="CS294" s="4">
        <f t="shared" si="709"/>
        <v>1.279120760819896</v>
      </c>
      <c r="CT294" s="4">
        <f t="shared" si="758"/>
        <v>4</v>
      </c>
      <c r="DA294" s="4">
        <f t="shared" si="893"/>
        <v>1.7236171863934053</v>
      </c>
      <c r="DB294" s="4">
        <f t="shared" si="893"/>
        <v>1.1959371887849268</v>
      </c>
      <c r="DC294" s="4">
        <f t="shared" si="894"/>
        <v>1.7009346912288954</v>
      </c>
      <c r="DD294" s="4">
        <f t="shared" si="895"/>
        <v>1.279120760819896</v>
      </c>
      <c r="DE294" s="4">
        <f t="shared" si="896"/>
        <v>0.96655501262970034</v>
      </c>
      <c r="DF294" s="4">
        <f t="shared" si="896"/>
        <v>1.035801217585661</v>
      </c>
      <c r="DI294" s="4">
        <f t="shared" si="742"/>
        <v>304.79999999999995</v>
      </c>
      <c r="DL294" s="4">
        <f t="shared" si="900"/>
        <v>2.2897749327345264E-5</v>
      </c>
      <c r="DM294" s="4">
        <f t="shared" si="769"/>
        <v>8.5513075262328435</v>
      </c>
      <c r="DN294" s="4">
        <f t="shared" si="901"/>
        <v>0.46364832098141967</v>
      </c>
      <c r="DO294" s="4">
        <f t="shared" si="902"/>
        <v>6.2879343910670871</v>
      </c>
      <c r="DP294" s="4">
        <f t="shared" si="903"/>
        <v>7.5056262041751376</v>
      </c>
      <c r="DQ294" s="4">
        <f t="shared" si="904"/>
        <v>7.7915391372453886</v>
      </c>
      <c r="DR294" s="38">
        <f t="shared" ref="DR294:DR357" si="915">MIN(1/K294*(4*Y294*(DO294-DP294)+(3*DP294+DQ294)*H294)+DU294 -FB294,MAX(G294,AB294))</f>
        <v>709.23768685884511</v>
      </c>
      <c r="DS294" s="4">
        <f t="shared" si="829"/>
        <v>1.0001179355899652</v>
      </c>
      <c r="DT294" s="4">
        <f t="shared" si="905"/>
        <v>2.3452078799117149</v>
      </c>
      <c r="DU294" s="4">
        <f t="shared" si="842"/>
        <v>356.95963560321547</v>
      </c>
      <c r="DY294" s="4">
        <f t="shared" si="785"/>
        <v>0.85</v>
      </c>
      <c r="DZ294" s="4">
        <f t="shared" si="830"/>
        <v>0.85499999999999998</v>
      </c>
      <c r="EA294" s="4">
        <f t="shared" ref="EA294:EA357" si="916">MIN(1,MAX(0.7,1-0.3*(PI()*AE294^2/4*AI294*2-0.25*PI()/4*K294^2)/(PI()/4*K294^2)))</f>
        <v>0.92500000000000004</v>
      </c>
      <c r="EB294" s="4">
        <f t="shared" si="831"/>
        <v>0.79087499999999999</v>
      </c>
      <c r="ED294" s="4">
        <f t="shared" ref="ED294:ED357" si="917">MIN(DM294/K294*3*H294+EE294-FB294,MAX(G294,AB294))</f>
        <v>661.8231662028511</v>
      </c>
      <c r="EE294" s="25">
        <f t="shared" ref="EE294:EE357" si="918">13.3*N294*H294^0.5*J294^0.5/R294/K294^2*(0.7+O294/5/H294)</f>
        <v>353.97609525846872</v>
      </c>
      <c r="EG294" s="4">
        <f t="shared" si="843"/>
        <v>0.67224375000000003</v>
      </c>
      <c r="EH294" s="4">
        <f t="shared" ref="EH294:EH357" si="919">IF(K294&lt;22.2,1.1*5*(J294/30)^0.5,IF(K294&gt;=31.8,0.9*5*(J294/30)^0.5,1*5*(J294/30)^0.5))/DY294/EB294</f>
        <v>8.5513075262328435</v>
      </c>
      <c r="EK294" s="4">
        <f t="shared" si="906"/>
        <v>59.568280149757555</v>
      </c>
      <c r="EL294" s="4">
        <f t="shared" si="907"/>
        <v>2.3452078799117149</v>
      </c>
      <c r="EM294" s="4">
        <f t="shared" si="908"/>
        <v>0.1596518215618527</v>
      </c>
      <c r="EP294" s="4">
        <f t="shared" si="759"/>
        <v>0.1596518215618527</v>
      </c>
      <c r="EQ294" s="4">
        <f t="shared" si="721"/>
        <v>0.46287457834600176</v>
      </c>
      <c r="ER294" s="4">
        <f t="shared" si="770"/>
        <v>6.2837349315783593</v>
      </c>
      <c r="ES294" s="4">
        <f t="shared" si="743"/>
        <v>7.5038690643831485</v>
      </c>
      <c r="ET294" s="4">
        <f t="shared" si="771"/>
        <v>169.03171985024241</v>
      </c>
      <c r="EU294" s="4">
        <f t="shared" si="772"/>
        <v>76.199999999999989</v>
      </c>
      <c r="EV294" s="4">
        <f t="shared" si="832"/>
        <v>2.2897749327345264E-5</v>
      </c>
      <c r="EW294" s="4">
        <f t="shared" si="744"/>
        <v>7.7917502639589689</v>
      </c>
      <c r="EX294" s="4">
        <f t="shared" si="867"/>
        <v>709.15405235730418</v>
      </c>
      <c r="FA294" s="4">
        <f t="shared" si="909"/>
        <v>133.35</v>
      </c>
      <c r="FG294" s="23">
        <f t="shared" si="778"/>
        <v>1.8</v>
      </c>
      <c r="FH294" s="23">
        <f t="shared" si="778"/>
        <v>1.2</v>
      </c>
      <c r="FI294" s="23">
        <f t="shared" si="712"/>
        <v>1.4</v>
      </c>
      <c r="FJ294" s="23">
        <f t="shared" si="779"/>
        <v>1.8</v>
      </c>
      <c r="FK294" s="23">
        <f t="shared" si="779"/>
        <v>1</v>
      </c>
      <c r="FL294" s="23">
        <f t="shared" si="779"/>
        <v>1.2</v>
      </c>
      <c r="FM294" s="23">
        <f t="shared" si="701"/>
        <v>0</v>
      </c>
      <c r="FN294" s="23"/>
      <c r="FX294" s="4">
        <f t="shared" si="833"/>
        <v>1.25</v>
      </c>
      <c r="FY294" s="4">
        <f t="shared" si="890"/>
        <v>0.4482312338222606</v>
      </c>
      <c r="FZ294" s="4">
        <f t="shared" si="834"/>
        <v>0.25</v>
      </c>
      <c r="GA294" s="4">
        <f t="shared" si="835"/>
        <v>535.9284771047769</v>
      </c>
    </row>
    <row r="295" spans="1:183" ht="12" hidden="1" customHeight="1" x14ac:dyDescent="0.3">
      <c r="A295" s="25">
        <v>277</v>
      </c>
      <c r="B295" s="4" t="s">
        <v>605</v>
      </c>
      <c r="C295" s="4">
        <v>2016</v>
      </c>
      <c r="D295" s="4" t="s">
        <v>309</v>
      </c>
      <c r="E295" s="24" t="s">
        <v>666</v>
      </c>
      <c r="F295" s="7" t="s">
        <v>435</v>
      </c>
      <c r="G295" s="38">
        <f t="shared" si="891"/>
        <v>799.31034482758628</v>
      </c>
      <c r="H295" s="38">
        <f>8.31*25.4</f>
        <v>211.07400000000001</v>
      </c>
      <c r="I295" s="4">
        <f t="shared" si="746"/>
        <v>211.07400000000001</v>
      </c>
      <c r="J295" s="38">
        <f>5900/145</f>
        <v>40.689655172413794</v>
      </c>
      <c r="K295" s="38">
        <f t="shared" si="747"/>
        <v>25.4</v>
      </c>
      <c r="L295" s="7">
        <f t="shared" si="748"/>
        <v>8.31</v>
      </c>
      <c r="M295" s="7">
        <f t="shared" si="749"/>
        <v>8.31</v>
      </c>
      <c r="N295" s="38">
        <f>16.9*25.4</f>
        <v>429.25999999999993</v>
      </c>
      <c r="O295" s="38">
        <f>2.45*25.4</f>
        <v>62.230000000000004</v>
      </c>
      <c r="P295" s="39">
        <f>3.05*25.4</f>
        <v>77.469999999999985</v>
      </c>
      <c r="Q295" s="7">
        <f t="shared" si="750"/>
        <v>253.99999999999991</v>
      </c>
      <c r="R295" s="38">
        <v>2</v>
      </c>
      <c r="S295" s="4">
        <f t="shared" si="722"/>
        <v>260.34999999999997</v>
      </c>
      <c r="T295" s="7">
        <f t="shared" si="751"/>
        <v>2.95</v>
      </c>
      <c r="U295" s="7">
        <f t="shared" si="859"/>
        <v>2.95</v>
      </c>
      <c r="V295" s="38">
        <v>6.5</v>
      </c>
      <c r="W295" s="4">
        <f t="shared" si="752"/>
        <v>6.5</v>
      </c>
      <c r="X295" s="4">
        <f t="shared" si="753"/>
        <v>7.5</v>
      </c>
      <c r="Y295" s="7">
        <f t="shared" si="754"/>
        <v>69.56076480315609</v>
      </c>
      <c r="AB295" s="38">
        <f t="shared" si="786"/>
        <v>541.37931034482767</v>
      </c>
      <c r="AC295" s="4">
        <v>78.5</v>
      </c>
      <c r="AD295" s="4">
        <f t="shared" si="899"/>
        <v>0.94029242605845686</v>
      </c>
      <c r="AE295" s="38">
        <f t="shared" si="897"/>
        <v>12.7</v>
      </c>
      <c r="AF295" s="38">
        <v>10</v>
      </c>
      <c r="AG295" s="39">
        <f t="shared" ref="AG295:AG298" si="920">3*25.4</f>
        <v>76.199999999999989</v>
      </c>
      <c r="AH295" s="39">
        <v>3</v>
      </c>
      <c r="AI295" s="39">
        <v>2</v>
      </c>
      <c r="AJ295" s="7"/>
      <c r="AK295" s="4">
        <f t="shared" si="755"/>
        <v>211.07400000000001</v>
      </c>
      <c r="AL295" s="4">
        <f t="shared" si="910"/>
        <v>0.67789811472121919</v>
      </c>
      <c r="AM295" s="4">
        <f t="shared" si="911"/>
        <v>193.02199723672265</v>
      </c>
      <c r="AN295" s="4">
        <f t="shared" si="912"/>
        <v>0.77099879663056559</v>
      </c>
      <c r="AO295" s="4">
        <v>1.25</v>
      </c>
      <c r="AP295" s="4">
        <f t="shared" si="844"/>
        <v>2.5</v>
      </c>
      <c r="AQ295" s="38">
        <f t="shared" si="723"/>
        <v>315.26441490139024</v>
      </c>
      <c r="AR295" s="38">
        <f t="shared" si="913"/>
        <v>315.26441490139024</v>
      </c>
      <c r="AS295" s="38">
        <f t="shared" si="914"/>
        <v>3.5490375497727622</v>
      </c>
      <c r="AT295" s="38">
        <f t="shared" si="853"/>
        <v>315.26441490139041</v>
      </c>
      <c r="AU295" s="38">
        <f t="shared" si="820"/>
        <v>0.99999999999999944</v>
      </c>
      <c r="AV295" s="38">
        <f t="shared" si="715"/>
        <v>1.9414121637599517</v>
      </c>
      <c r="AW295" s="4">
        <f t="shared" si="707"/>
        <v>0</v>
      </c>
      <c r="AX295" s="4">
        <f t="shared" si="756"/>
        <v>278.99050791306132</v>
      </c>
      <c r="AY295" s="4">
        <f t="shared" si="724"/>
        <v>1</v>
      </c>
      <c r="AZ295" s="38">
        <f t="shared" si="837"/>
        <v>612.05816989022355</v>
      </c>
      <c r="BA295" s="4">
        <f t="shared" si="725"/>
        <v>0.3</v>
      </c>
      <c r="BB295" s="4">
        <f t="shared" si="726"/>
        <v>43.731762115372362</v>
      </c>
      <c r="BC295" s="4">
        <f t="shared" si="727"/>
        <v>655.78993200559592</v>
      </c>
      <c r="BE295" s="4">
        <f t="shared" si="854"/>
        <v>1.5</v>
      </c>
      <c r="BF295" s="4">
        <f t="shared" si="860"/>
        <v>525.58487977188565</v>
      </c>
      <c r="BH295" s="4">
        <f t="shared" si="861"/>
        <v>587.03863476152412</v>
      </c>
      <c r="BI295" s="4">
        <f t="shared" si="806"/>
        <v>0</v>
      </c>
      <c r="BJ295" s="4">
        <f t="shared" si="862"/>
        <v>0</v>
      </c>
      <c r="BR295" s="4">
        <f t="shared" si="728"/>
        <v>62.230000000000004</v>
      </c>
      <c r="BV295" s="9"/>
      <c r="BX295" s="9"/>
      <c r="BY295" s="9"/>
      <c r="BZ295" s="9">
        <f t="shared" si="729"/>
        <v>62.230000000000004</v>
      </c>
      <c r="CA295" s="9">
        <f t="shared" si="730"/>
        <v>126.99999999999996</v>
      </c>
      <c r="CB295" s="9">
        <f t="shared" si="821"/>
        <v>1.7420219790042637</v>
      </c>
      <c r="CC295" s="40">
        <f t="shared" si="757"/>
        <v>20</v>
      </c>
      <c r="CD295" s="9">
        <f t="shared" si="731"/>
        <v>0.05</v>
      </c>
      <c r="CE295" s="9">
        <f t="shared" si="732"/>
        <v>0.8</v>
      </c>
      <c r="CF295" s="9">
        <f t="shared" si="733"/>
        <v>0.99524931562137331</v>
      </c>
      <c r="CG295" s="9">
        <f t="shared" si="734"/>
        <v>0.68048275862068963</v>
      </c>
      <c r="CH295" s="9">
        <f t="shared" si="822"/>
        <v>1.51202531590344</v>
      </c>
      <c r="CI295" s="9">
        <f t="shared" si="823"/>
        <v>3.7800632897586</v>
      </c>
      <c r="CJ295" s="40">
        <v>1</v>
      </c>
      <c r="CK295" s="9">
        <f t="shared" si="824"/>
        <v>352.45310113709183</v>
      </c>
      <c r="CM295" s="4">
        <f t="shared" si="735"/>
        <v>1.9404936547645257</v>
      </c>
      <c r="CN295" s="4">
        <f t="shared" si="736"/>
        <v>0.82553769724572112</v>
      </c>
      <c r="CO295" s="4">
        <f t="shared" si="708"/>
        <v>1.0300511509764076</v>
      </c>
      <c r="CP295" s="4">
        <f t="shared" si="737"/>
        <v>1.5360321943493134</v>
      </c>
      <c r="CQ295" s="4">
        <f t="shared" ref="CQ295:CQ358" si="921">AB295/DR295</f>
        <v>0.94029242605845686</v>
      </c>
      <c r="CR295" s="4">
        <f t="shared" ref="CR295:CR358" si="922">AB295/ED295</f>
        <v>0.97511909646297612</v>
      </c>
      <c r="CS295" s="4">
        <f t="shared" si="709"/>
        <v>1.4158899377768372</v>
      </c>
      <c r="CT295" s="4">
        <f t="shared" si="758"/>
        <v>10</v>
      </c>
      <c r="DA295" s="4">
        <f t="shared" si="893"/>
        <v>1.9404936547645257</v>
      </c>
      <c r="DB295" s="4">
        <f t="shared" si="893"/>
        <v>0.82553769724572112</v>
      </c>
      <c r="DC295" s="4">
        <f t="shared" si="894"/>
        <v>1.5360321943493134</v>
      </c>
      <c r="DD295" s="4">
        <f t="shared" si="895"/>
        <v>1.4158899377768372</v>
      </c>
      <c r="DE295" s="4">
        <f t="shared" si="896"/>
        <v>0.94029242605845686</v>
      </c>
      <c r="DF295" s="4">
        <f t="shared" si="896"/>
        <v>0.97511909646297612</v>
      </c>
      <c r="DI295" s="4">
        <f t="shared" si="742"/>
        <v>211.07400000000001</v>
      </c>
      <c r="DL295" s="4">
        <f t="shared" si="900"/>
        <v>1.5965631204689113E-5</v>
      </c>
      <c r="DM295" s="4">
        <f t="shared" si="769"/>
        <v>9.7866580905942957</v>
      </c>
      <c r="DN295" s="4">
        <f t="shared" si="901"/>
        <v>0.32263301896673924</v>
      </c>
      <c r="DO295" s="4">
        <f t="shared" si="902"/>
        <v>6.2246930532920937</v>
      </c>
      <c r="DP295" s="4">
        <f t="shared" si="903"/>
        <v>8.2023131968225798</v>
      </c>
      <c r="DQ295" s="4">
        <f t="shared" si="904"/>
        <v>9.3468091415899224</v>
      </c>
      <c r="DR295" s="38">
        <f t="shared" si="915"/>
        <v>575.75632360902455</v>
      </c>
      <c r="DS295" s="4">
        <f t="shared" si="829"/>
        <v>1.0001153575858188</v>
      </c>
      <c r="DT295" s="4">
        <f t="shared" si="905"/>
        <v>2.7386127875258306</v>
      </c>
      <c r="DU295" s="4">
        <f t="shared" si="842"/>
        <v>315.26441490139041</v>
      </c>
      <c r="DY295" s="4">
        <f t="shared" si="785"/>
        <v>0.85</v>
      </c>
      <c r="DZ295" s="4">
        <f t="shared" si="830"/>
        <v>0.85499999999999998</v>
      </c>
      <c r="EA295" s="4">
        <f t="shared" si="916"/>
        <v>0.77500000000000002</v>
      </c>
      <c r="EB295" s="4">
        <f t="shared" si="831"/>
        <v>0.7</v>
      </c>
      <c r="ED295" s="4">
        <f t="shared" si="917"/>
        <v>555.19301417494398</v>
      </c>
      <c r="EE295" s="25">
        <f t="shared" si="918"/>
        <v>311.21162797642813</v>
      </c>
      <c r="EG295" s="4">
        <f t="shared" si="843"/>
        <v>0.59499999999999997</v>
      </c>
      <c r="EH295" s="4">
        <f t="shared" si="919"/>
        <v>9.7866580905942957</v>
      </c>
      <c r="EK295" s="4">
        <f t="shared" si="906"/>
        <v>69.56076480315609</v>
      </c>
      <c r="EL295" s="4">
        <f t="shared" si="907"/>
        <v>2.7386127875258306</v>
      </c>
      <c r="EM295" s="4">
        <f t="shared" si="908"/>
        <v>0.11253460271527289</v>
      </c>
      <c r="EP295" s="4">
        <f t="shared" si="759"/>
        <v>0.11253460271527289</v>
      </c>
      <c r="EQ295" s="4">
        <f t="shared" si="721"/>
        <v>0.32209460458870448</v>
      </c>
      <c r="ER295" s="4">
        <f t="shared" si="770"/>
        <v>6.2205358301594567</v>
      </c>
      <c r="ES295" s="4">
        <f t="shared" si="743"/>
        <v>8.2007408563541091</v>
      </c>
      <c r="ET295" s="4">
        <f t="shared" si="771"/>
        <v>88.744735196843905</v>
      </c>
      <c r="EU295" s="4">
        <f t="shared" si="772"/>
        <v>52.768500000000031</v>
      </c>
      <c r="EV295" s="4">
        <f t="shared" si="832"/>
        <v>1.5965631204689123E-5</v>
      </c>
      <c r="EW295" s="4">
        <f t="shared" si="744"/>
        <v>9.3469420200689974</v>
      </c>
      <c r="EX295" s="4">
        <f t="shared" si="867"/>
        <v>575.68991341043329</v>
      </c>
      <c r="FG295" s="23">
        <f t="shared" si="778"/>
        <v>2</v>
      </c>
      <c r="FH295" s="23">
        <f t="shared" si="778"/>
        <v>1</v>
      </c>
      <c r="FI295" s="23">
        <f t="shared" si="712"/>
        <v>1.6</v>
      </c>
      <c r="FJ295" s="23">
        <f t="shared" si="779"/>
        <v>1.6</v>
      </c>
      <c r="FK295" s="23">
        <f t="shared" si="779"/>
        <v>1</v>
      </c>
      <c r="FL295" s="23">
        <f t="shared" si="779"/>
        <v>1</v>
      </c>
      <c r="FM295" s="23">
        <f t="shared" ref="FM295:FM358" si="923">IF(FK295&lt;1,1,0)</f>
        <v>0</v>
      </c>
      <c r="FN295" s="23"/>
      <c r="FX295" s="4">
        <f t="shared" si="833"/>
        <v>1.25</v>
      </c>
      <c r="FY295" s="4">
        <f t="shared" si="890"/>
        <v>0.43787748058671272</v>
      </c>
      <c r="FZ295" s="4">
        <f t="shared" si="834"/>
        <v>0.3</v>
      </c>
      <c r="GA295" s="4">
        <f t="shared" si="835"/>
        <v>382.35974131921273</v>
      </c>
    </row>
    <row r="296" spans="1:183" ht="12" hidden="1" customHeight="1" x14ac:dyDescent="0.3">
      <c r="A296" s="25">
        <v>278</v>
      </c>
      <c r="B296" s="4" t="s">
        <v>605</v>
      </c>
      <c r="C296" s="4">
        <v>2016</v>
      </c>
      <c r="D296" s="4" t="s">
        <v>309</v>
      </c>
      <c r="E296" s="24" t="s">
        <v>666</v>
      </c>
      <c r="F296" s="7" t="s">
        <v>436</v>
      </c>
      <c r="G296" s="38">
        <f t="shared" si="891"/>
        <v>799.31034482758628</v>
      </c>
      <c r="H296" s="38">
        <f>10.94*25.4</f>
        <v>277.87599999999998</v>
      </c>
      <c r="I296" s="4">
        <f t="shared" si="746"/>
        <v>277.87599999999998</v>
      </c>
      <c r="J296" s="38">
        <f>5900/145</f>
        <v>40.689655172413794</v>
      </c>
      <c r="K296" s="38">
        <f t="shared" si="747"/>
        <v>25.4</v>
      </c>
      <c r="L296" s="7">
        <f t="shared" si="748"/>
        <v>10.94</v>
      </c>
      <c r="M296" s="7">
        <f t="shared" si="749"/>
        <v>10.94</v>
      </c>
      <c r="N296" s="38">
        <f>17.6*25.4</f>
        <v>447.04</v>
      </c>
      <c r="O296" s="38">
        <f>2.45*25.4</f>
        <v>62.230000000000004</v>
      </c>
      <c r="P296" s="39">
        <f>3.35*25.4</f>
        <v>85.09</v>
      </c>
      <c r="Q296" s="7">
        <f t="shared" si="750"/>
        <v>271.77999999999997</v>
      </c>
      <c r="R296" s="38">
        <v>2</v>
      </c>
      <c r="S296" s="4">
        <f t="shared" si="722"/>
        <v>260.34999999999997</v>
      </c>
      <c r="T296" s="7">
        <f t="shared" si="751"/>
        <v>2.95</v>
      </c>
      <c r="U296" s="7">
        <f t="shared" si="859"/>
        <v>2.95</v>
      </c>
      <c r="V296" s="38">
        <v>6.5</v>
      </c>
      <c r="W296" s="4">
        <f t="shared" si="752"/>
        <v>6.5</v>
      </c>
      <c r="X296" s="4">
        <f t="shared" si="753"/>
        <v>7.5</v>
      </c>
      <c r="Y296" s="7">
        <f t="shared" si="754"/>
        <v>69.56076480315609</v>
      </c>
      <c r="AB296" s="38">
        <f t="shared" si="786"/>
        <v>737.24137931034488</v>
      </c>
      <c r="AC296" s="4">
        <v>106.9</v>
      </c>
      <c r="AD296" s="4">
        <f t="shared" si="899"/>
        <v>1.0210557999824699</v>
      </c>
      <c r="AE296" s="38">
        <f t="shared" si="897"/>
        <v>12.7</v>
      </c>
      <c r="AF296" s="38">
        <v>10</v>
      </c>
      <c r="AG296" s="39">
        <f t="shared" si="920"/>
        <v>76.199999999999989</v>
      </c>
      <c r="AH296" s="39">
        <v>3</v>
      </c>
      <c r="AI296" s="39">
        <v>2</v>
      </c>
      <c r="AJ296" s="7"/>
      <c r="AK296" s="4">
        <f t="shared" si="755"/>
        <v>277.87599999999998</v>
      </c>
      <c r="AL296" s="4">
        <f t="shared" si="910"/>
        <v>0.53625837903717255</v>
      </c>
      <c r="AM296" s="4">
        <f t="shared" si="911"/>
        <v>291.56222268863934</v>
      </c>
      <c r="AN296" s="4">
        <f t="shared" si="912"/>
        <v>0.75393053016453382</v>
      </c>
      <c r="AO296" s="4">
        <v>1.25</v>
      </c>
      <c r="AP296" s="4">
        <f t="shared" si="844"/>
        <v>2.5</v>
      </c>
      <c r="AQ296" s="38">
        <f t="shared" si="723"/>
        <v>368.37207075008428</v>
      </c>
      <c r="AR296" s="38">
        <f t="shared" si="913"/>
        <v>368.37207075008428</v>
      </c>
      <c r="AS296" s="38">
        <f t="shared" si="914"/>
        <v>3.5490375497727622</v>
      </c>
      <c r="AT296" s="38">
        <f t="shared" si="853"/>
        <v>368.37207075008428</v>
      </c>
      <c r="AU296" s="38">
        <f t="shared" si="820"/>
        <v>1</v>
      </c>
      <c r="AV296" s="38">
        <f t="shared" si="715"/>
        <v>1.6615216475123706</v>
      </c>
      <c r="AW296" s="4">
        <f t="shared" si="707"/>
        <v>0</v>
      </c>
      <c r="AX296" s="4">
        <f t="shared" si="756"/>
        <v>367.28714278807342</v>
      </c>
      <c r="AY296" s="4">
        <f t="shared" si="724"/>
        <v>1</v>
      </c>
      <c r="AZ296" s="38">
        <f t="shared" si="837"/>
        <v>612.05816989022355</v>
      </c>
      <c r="BA296" s="4">
        <f t="shared" si="725"/>
        <v>0.3</v>
      </c>
      <c r="BB296" s="4">
        <f t="shared" si="726"/>
        <v>57.572259632030509</v>
      </c>
      <c r="BC296" s="4">
        <f t="shared" si="727"/>
        <v>669.63042952225408</v>
      </c>
      <c r="BE296" s="4">
        <f t="shared" si="854"/>
        <v>1.5</v>
      </c>
      <c r="BF296" s="4">
        <f t="shared" si="860"/>
        <v>601.07850259002112</v>
      </c>
      <c r="BH296" s="4">
        <f t="shared" si="861"/>
        <v>587.03863476152412</v>
      </c>
      <c r="BI296" s="4">
        <f t="shared" si="806"/>
        <v>0</v>
      </c>
      <c r="BJ296" s="4">
        <f t="shared" si="862"/>
        <v>0</v>
      </c>
      <c r="BR296" s="4">
        <f t="shared" si="728"/>
        <v>62.230000000000004</v>
      </c>
      <c r="BV296" s="9"/>
      <c r="BX296" s="9"/>
      <c r="BY296" s="9"/>
      <c r="BZ296" s="9">
        <f t="shared" si="729"/>
        <v>62.230000000000004</v>
      </c>
      <c r="CA296" s="9">
        <f t="shared" si="730"/>
        <v>135.88999999999999</v>
      </c>
      <c r="CB296" s="9">
        <f t="shared" si="821"/>
        <v>1.7597914236385663</v>
      </c>
      <c r="CC296" s="40">
        <f t="shared" si="757"/>
        <v>20</v>
      </c>
      <c r="CD296" s="9">
        <f t="shared" si="731"/>
        <v>0.05</v>
      </c>
      <c r="CE296" s="9">
        <f t="shared" si="732"/>
        <v>0.8</v>
      </c>
      <c r="CF296" s="9">
        <f t="shared" si="733"/>
        <v>0.99524931562137331</v>
      </c>
      <c r="CG296" s="9">
        <f t="shared" si="734"/>
        <v>0.68048275862068963</v>
      </c>
      <c r="CH296" s="9">
        <f t="shared" si="822"/>
        <v>1.51202531590344</v>
      </c>
      <c r="CI296" s="9">
        <f t="shared" si="823"/>
        <v>3.7800632897586</v>
      </c>
      <c r="CJ296" s="40">
        <v>1</v>
      </c>
      <c r="CK296" s="9">
        <f t="shared" si="824"/>
        <v>392.21936694535231</v>
      </c>
      <c r="CM296" s="4">
        <f t="shared" si="735"/>
        <v>2.0072616038610884</v>
      </c>
      <c r="CN296" s="4">
        <f t="shared" si="736"/>
        <v>1.1009675588314105</v>
      </c>
      <c r="CO296" s="4">
        <f t="shared" si="708"/>
        <v>1.2265309375291311</v>
      </c>
      <c r="CP296" s="4">
        <f t="shared" si="737"/>
        <v>1.8796659253520858</v>
      </c>
      <c r="CQ296" s="4">
        <f t="shared" si="921"/>
        <v>1.0210557999824699</v>
      </c>
      <c r="CR296" s="4">
        <f t="shared" si="922"/>
        <v>1.0745054096439952</v>
      </c>
      <c r="CS296" s="4">
        <f t="shared" si="709"/>
        <v>1.4646074726472567</v>
      </c>
      <c r="CT296" s="4">
        <f t="shared" si="758"/>
        <v>10</v>
      </c>
      <c r="DA296" s="4">
        <f t="shared" si="893"/>
        <v>2.0072616038610884</v>
      </c>
      <c r="DB296" s="4">
        <f t="shared" si="893"/>
        <v>1.1009675588314105</v>
      </c>
      <c r="DC296" s="4">
        <f t="shared" si="894"/>
        <v>1.8796659253520858</v>
      </c>
      <c r="DD296" s="4">
        <f t="shared" si="895"/>
        <v>1.4646074726472567</v>
      </c>
      <c r="DE296" s="4">
        <f t="shared" si="896"/>
        <v>1.0210557999824699</v>
      </c>
      <c r="DF296" s="4">
        <f t="shared" si="896"/>
        <v>1.0745054096439952</v>
      </c>
      <c r="DI296" s="4">
        <f t="shared" si="742"/>
        <v>277.87599999999998</v>
      </c>
      <c r="DL296" s="4">
        <f t="shared" si="900"/>
        <v>2.1018532536618391E-5</v>
      </c>
      <c r="DM296" s="4">
        <f t="shared" si="769"/>
        <v>9.7866580905942957</v>
      </c>
      <c r="DN296" s="4">
        <f t="shared" si="901"/>
        <v>0.37698194807778418</v>
      </c>
      <c r="DO296" s="4">
        <f t="shared" si="902"/>
        <v>6.6246454169545199</v>
      </c>
      <c r="DP296" s="4">
        <f t="shared" si="903"/>
        <v>8.3571143650726452</v>
      </c>
      <c r="DQ296" s="4">
        <f t="shared" si="904"/>
        <v>8.9912219231036268</v>
      </c>
      <c r="DR296" s="38">
        <f t="shared" si="915"/>
        <v>722.03828558929126</v>
      </c>
      <c r="DS296" s="4">
        <f t="shared" si="829"/>
        <v>1.000116745064352</v>
      </c>
      <c r="DT296" s="4">
        <f t="shared" si="905"/>
        <v>2.7386127875258306</v>
      </c>
      <c r="DU296" s="4">
        <f t="shared" si="842"/>
        <v>368.37207075008428</v>
      </c>
      <c r="DY296" s="4">
        <f t="shared" si="785"/>
        <v>0.85</v>
      </c>
      <c r="DZ296" s="4">
        <f t="shared" si="830"/>
        <v>0.85499999999999998</v>
      </c>
      <c r="EA296" s="4">
        <f t="shared" si="916"/>
        <v>0.77500000000000002</v>
      </c>
      <c r="EB296" s="4">
        <f t="shared" si="831"/>
        <v>0.7</v>
      </c>
      <c r="ED296" s="4">
        <f t="shared" si="917"/>
        <v>686.12160785175342</v>
      </c>
      <c r="EE296" s="25">
        <f t="shared" si="918"/>
        <v>364.92348931844867</v>
      </c>
      <c r="EG296" s="4">
        <f t="shared" si="843"/>
        <v>0.59499999999999997</v>
      </c>
      <c r="EH296" s="4">
        <f t="shared" si="919"/>
        <v>9.7866580905942957</v>
      </c>
      <c r="EK296" s="4">
        <f t="shared" si="906"/>
        <v>69.56076480315609</v>
      </c>
      <c r="EL296" s="4">
        <f t="shared" si="907"/>
        <v>2.7386127875258306</v>
      </c>
      <c r="EM296" s="4">
        <f t="shared" si="908"/>
        <v>0.13149154384020617</v>
      </c>
      <c r="EP296" s="4">
        <f t="shared" si="759"/>
        <v>0.13149154384020617</v>
      </c>
      <c r="EQ296" s="4">
        <f t="shared" si="721"/>
        <v>0.37635283546632642</v>
      </c>
      <c r="ER296" s="4">
        <f t="shared" si="770"/>
        <v>6.6202210816600546</v>
      </c>
      <c r="ES296" s="4">
        <f t="shared" si="743"/>
        <v>8.3553644821317707</v>
      </c>
      <c r="ET296" s="4">
        <f t="shared" si="771"/>
        <v>138.84623519684391</v>
      </c>
      <c r="EU296" s="4">
        <f t="shared" si="772"/>
        <v>69.468999999999994</v>
      </c>
      <c r="EV296" s="4">
        <f t="shared" si="832"/>
        <v>2.1018532536618391E-5</v>
      </c>
      <c r="EW296" s="4">
        <f t="shared" si="744"/>
        <v>8.9914453005690351</v>
      </c>
      <c r="EX296" s="4">
        <f t="shared" si="867"/>
        <v>721.95400102298265</v>
      </c>
      <c r="FG296" s="23">
        <f t="shared" si="778"/>
        <v>2.2000000000000002</v>
      </c>
      <c r="FH296" s="23">
        <f t="shared" si="778"/>
        <v>1.2</v>
      </c>
      <c r="FI296" s="23">
        <f t="shared" si="712"/>
        <v>1.6</v>
      </c>
      <c r="FJ296" s="23">
        <f t="shared" si="779"/>
        <v>2</v>
      </c>
      <c r="FK296" s="23">
        <f t="shared" si="779"/>
        <v>1.2</v>
      </c>
      <c r="FL296" s="23">
        <f t="shared" si="779"/>
        <v>1.2</v>
      </c>
      <c r="FM296" s="23">
        <f t="shared" si="923"/>
        <v>0</v>
      </c>
      <c r="FN296" s="23"/>
      <c r="FX296" s="4">
        <f t="shared" si="833"/>
        <v>1.25</v>
      </c>
      <c r="FY296" s="4">
        <f t="shared" si="890"/>
        <v>0.43787748058671272</v>
      </c>
      <c r="FZ296" s="4">
        <f t="shared" si="834"/>
        <v>0.3</v>
      </c>
      <c r="GA296" s="4">
        <f t="shared" si="835"/>
        <v>503.37130806644853</v>
      </c>
    </row>
    <row r="297" spans="1:183" ht="12" hidden="1" customHeight="1" x14ac:dyDescent="0.3">
      <c r="A297" s="25">
        <v>279</v>
      </c>
      <c r="B297" s="4" t="s">
        <v>605</v>
      </c>
      <c r="C297" s="4">
        <v>2016</v>
      </c>
      <c r="D297" s="4" t="s">
        <v>309</v>
      </c>
      <c r="E297" s="24" t="s">
        <v>666</v>
      </c>
      <c r="F297" s="48" t="s">
        <v>437</v>
      </c>
      <c r="G297" s="38">
        <f t="shared" si="891"/>
        <v>799.31034482758628</v>
      </c>
      <c r="H297" s="38">
        <f>8*25.4</f>
        <v>203.2</v>
      </c>
      <c r="I297" s="4">
        <f t="shared" si="746"/>
        <v>203.2</v>
      </c>
      <c r="J297" s="38">
        <f>5900/145</f>
        <v>40.689655172413794</v>
      </c>
      <c r="K297" s="38">
        <f t="shared" si="747"/>
        <v>25.4</v>
      </c>
      <c r="L297" s="7">
        <f t="shared" si="748"/>
        <v>8</v>
      </c>
      <c r="M297" s="7">
        <f t="shared" si="749"/>
        <v>8</v>
      </c>
      <c r="N297" s="38">
        <f>17.3*25.4</f>
        <v>439.42</v>
      </c>
      <c r="O297" s="38">
        <f>2.65*25.4</f>
        <v>67.309999999999988</v>
      </c>
      <c r="P297" s="39">
        <f>3.4*25.4</f>
        <v>86.36</v>
      </c>
      <c r="Q297" s="7">
        <f t="shared" si="750"/>
        <v>254.00000000000003</v>
      </c>
      <c r="R297" s="38">
        <v>2</v>
      </c>
      <c r="S297" s="4">
        <f t="shared" si="722"/>
        <v>260.34999999999997</v>
      </c>
      <c r="T297" s="7">
        <f t="shared" si="751"/>
        <v>3.1499999999999995</v>
      </c>
      <c r="U297" s="7">
        <f t="shared" si="859"/>
        <v>3.1499999999999995</v>
      </c>
      <c r="V297" s="38">
        <v>4.5</v>
      </c>
      <c r="W297" s="4">
        <f t="shared" si="752"/>
        <v>4.5</v>
      </c>
      <c r="X297" s="4">
        <f t="shared" si="753"/>
        <v>5.5</v>
      </c>
      <c r="Y297" s="7">
        <f t="shared" si="754"/>
        <v>59.568280149757555</v>
      </c>
      <c r="AB297" s="38">
        <f t="shared" si="786"/>
        <v>597.24137931034488</v>
      </c>
      <c r="AC297" s="4">
        <v>86.6</v>
      </c>
      <c r="AD297" s="4">
        <f t="shared" si="899"/>
        <v>1.0263095681968797</v>
      </c>
      <c r="AE297" s="38">
        <f t="shared" si="897"/>
        <v>12.7</v>
      </c>
      <c r="AF297" s="38">
        <v>10</v>
      </c>
      <c r="AG297" s="39">
        <f t="shared" si="920"/>
        <v>76.199999999999989</v>
      </c>
      <c r="AH297" s="39">
        <v>3</v>
      </c>
      <c r="AI297" s="39">
        <v>2</v>
      </c>
      <c r="AJ297" s="7"/>
      <c r="AK297" s="4">
        <f t="shared" si="755"/>
        <v>203.2</v>
      </c>
      <c r="AL297" s="4">
        <f t="shared" si="910"/>
        <v>0.72083333333333333</v>
      </c>
      <c r="AM297" s="4">
        <f t="shared" si="911"/>
        <v>182.32249269813812</v>
      </c>
      <c r="AN297" s="4">
        <f t="shared" si="912"/>
        <v>0.77874999999999994</v>
      </c>
      <c r="AO297" s="4">
        <v>1.25</v>
      </c>
      <c r="AP297" s="4">
        <f t="shared" si="844"/>
        <v>2.5</v>
      </c>
      <c r="AQ297" s="38">
        <f t="shared" si="723"/>
        <v>319.83294174011439</v>
      </c>
      <c r="AR297" s="38">
        <f t="shared" si="913"/>
        <v>319.83294174011439</v>
      </c>
      <c r="AS297" s="38">
        <f t="shared" si="914"/>
        <v>3.5490375497727622</v>
      </c>
      <c r="AT297" s="38">
        <f t="shared" si="853"/>
        <v>319.83294174011451</v>
      </c>
      <c r="AU297" s="38">
        <f t="shared" si="820"/>
        <v>0.99999999999999967</v>
      </c>
      <c r="AV297" s="38">
        <f t="shared" si="715"/>
        <v>1.7002297973633207</v>
      </c>
      <c r="AW297" s="4">
        <f t="shared" si="707"/>
        <v>0</v>
      </c>
      <c r="AX297" s="4">
        <f t="shared" si="756"/>
        <v>268.58291977190015</v>
      </c>
      <c r="AY297" s="4">
        <f t="shared" si="724"/>
        <v>1</v>
      </c>
      <c r="AZ297" s="38">
        <f t="shared" si="837"/>
        <v>543.78949772490967</v>
      </c>
      <c r="BA297" s="4">
        <f t="shared" si="725"/>
        <v>0.37</v>
      </c>
      <c r="BB297" s="4">
        <f t="shared" si="726"/>
        <v>51.923792964902589</v>
      </c>
      <c r="BC297" s="4">
        <f t="shared" si="727"/>
        <v>595.71329068981231</v>
      </c>
      <c r="BE297" s="4">
        <f t="shared" si="854"/>
        <v>1.5</v>
      </c>
      <c r="BF297" s="4">
        <f t="shared" si="860"/>
        <v>516.68639191119291</v>
      </c>
      <c r="BH297" s="4">
        <f t="shared" si="861"/>
        <v>521.56062944040264</v>
      </c>
      <c r="BI297" s="4">
        <f t="shared" si="806"/>
        <v>0</v>
      </c>
      <c r="BJ297" s="4">
        <f t="shared" si="862"/>
        <v>0</v>
      </c>
      <c r="BR297" s="4">
        <f t="shared" si="728"/>
        <v>67.309999999999988</v>
      </c>
      <c r="BV297" s="9"/>
      <c r="BX297" s="9"/>
      <c r="BY297" s="9"/>
      <c r="BZ297" s="9">
        <f t="shared" si="729"/>
        <v>67.309999999999988</v>
      </c>
      <c r="CA297" s="9">
        <f t="shared" si="730"/>
        <v>127.00000000000001</v>
      </c>
      <c r="CB297" s="9">
        <f t="shared" si="821"/>
        <v>1.7905298128039189</v>
      </c>
      <c r="CC297" s="40">
        <f t="shared" si="757"/>
        <v>20</v>
      </c>
      <c r="CD297" s="9">
        <f t="shared" si="731"/>
        <v>0.05</v>
      </c>
      <c r="CE297" s="9">
        <f t="shared" si="732"/>
        <v>0.8</v>
      </c>
      <c r="CF297" s="9">
        <f t="shared" si="733"/>
        <v>0.99524931562137331</v>
      </c>
      <c r="CG297" s="9">
        <f t="shared" si="734"/>
        <v>0.68048275862068963</v>
      </c>
      <c r="CH297" s="9">
        <f t="shared" si="822"/>
        <v>1.51202531590344</v>
      </c>
      <c r="CI297" s="9">
        <f t="shared" si="823"/>
        <v>3.7800632897586</v>
      </c>
      <c r="CJ297" s="40">
        <v>1</v>
      </c>
      <c r="CK297" s="9">
        <f t="shared" si="824"/>
        <v>347.7658226577912</v>
      </c>
      <c r="CM297" s="4">
        <f t="shared" si="735"/>
        <v>2.2236759501220891</v>
      </c>
      <c r="CN297" s="4">
        <f t="shared" si="736"/>
        <v>1.0025651410576439</v>
      </c>
      <c r="CO297" s="4">
        <f t="shared" si="708"/>
        <v>1.1559069266391626</v>
      </c>
      <c r="CP297" s="4">
        <f t="shared" si="737"/>
        <v>1.7173665161974321</v>
      </c>
      <c r="CQ297" s="4">
        <f t="shared" si="921"/>
        <v>1.0263095681968797</v>
      </c>
      <c r="CR297" s="4">
        <f t="shared" si="922"/>
        <v>1.0849879495526928</v>
      </c>
      <c r="CS297" s="4">
        <f t="shared" si="709"/>
        <v>1.2980121403329294</v>
      </c>
      <c r="CT297" s="4">
        <f t="shared" si="758"/>
        <v>10</v>
      </c>
      <c r="DA297" s="4">
        <f t="shared" si="893"/>
        <v>2.2236759501220891</v>
      </c>
      <c r="DB297" s="4">
        <f t="shared" si="893"/>
        <v>1.0025651410576439</v>
      </c>
      <c r="DC297" s="4">
        <f t="shared" si="894"/>
        <v>1.7173665161974321</v>
      </c>
      <c r="DD297" s="4">
        <f t="shared" si="895"/>
        <v>1.2980121403329294</v>
      </c>
      <c r="DE297" s="4">
        <f t="shared" si="896"/>
        <v>1.0263095681968797</v>
      </c>
      <c r="DF297" s="4">
        <f t="shared" si="896"/>
        <v>1.0849879495526928</v>
      </c>
      <c r="DI297" s="4">
        <f t="shared" si="742"/>
        <v>203.2</v>
      </c>
      <c r="DL297" s="4">
        <f t="shared" si="900"/>
        <v>1.5370042074309613E-5</v>
      </c>
      <c r="DM297" s="4">
        <f t="shared" si="769"/>
        <v>9.7866580905942957</v>
      </c>
      <c r="DN297" s="4">
        <f t="shared" si="901"/>
        <v>0.40486348345474776</v>
      </c>
      <c r="DO297" s="4">
        <f t="shared" si="902"/>
        <v>6.8164438083910133</v>
      </c>
      <c r="DP297" s="4">
        <f t="shared" si="903"/>
        <v>8.4337539253618328</v>
      </c>
      <c r="DQ297" s="4">
        <f t="shared" si="904"/>
        <v>9.3574628859365134</v>
      </c>
      <c r="DR297" s="38">
        <f t="shared" si="915"/>
        <v>581.93102531396698</v>
      </c>
      <c r="DS297" s="4">
        <f t="shared" si="829"/>
        <v>1.0001177253884419</v>
      </c>
      <c r="DT297" s="4">
        <f t="shared" si="905"/>
        <v>2.3452078799117149</v>
      </c>
      <c r="DU297" s="4">
        <f t="shared" si="842"/>
        <v>319.83294174011451</v>
      </c>
      <c r="DY297" s="4">
        <f t="shared" si="785"/>
        <v>0.85</v>
      </c>
      <c r="DZ297" s="4">
        <f t="shared" si="830"/>
        <v>0.83499999999999996</v>
      </c>
      <c r="EA297" s="4">
        <f t="shared" si="916"/>
        <v>0.77500000000000002</v>
      </c>
      <c r="EB297" s="4">
        <f t="shared" si="831"/>
        <v>0.7</v>
      </c>
      <c r="ED297" s="4">
        <f t="shared" si="917"/>
        <v>550.45899777649061</v>
      </c>
      <c r="EE297" s="25">
        <f t="shared" si="918"/>
        <v>315.57920360222749</v>
      </c>
      <c r="EG297" s="4">
        <f t="shared" si="843"/>
        <v>0.59499999999999997</v>
      </c>
      <c r="EH297" s="4">
        <f t="shared" si="919"/>
        <v>9.7866580905942957</v>
      </c>
      <c r="EK297" s="4">
        <f t="shared" si="906"/>
        <v>59.568280149757555</v>
      </c>
      <c r="EL297" s="4">
        <f t="shared" si="907"/>
        <v>2.3452078799117149</v>
      </c>
      <c r="EM297" s="4">
        <f t="shared" si="908"/>
        <v>0.14121664115599541</v>
      </c>
      <c r="EP297" s="4">
        <f t="shared" si="759"/>
        <v>0.14121664115599541</v>
      </c>
      <c r="EQ297" s="4">
        <f t="shared" si="721"/>
        <v>0.40418784175715761</v>
      </c>
      <c r="ER297" s="4">
        <f t="shared" si="770"/>
        <v>6.8118913786342432</v>
      </c>
      <c r="ES297" s="4">
        <f t="shared" si="743"/>
        <v>8.4319173401450929</v>
      </c>
      <c r="ET297" s="4">
        <f t="shared" si="771"/>
        <v>92.831719850242422</v>
      </c>
      <c r="EU297" s="4">
        <f t="shared" si="772"/>
        <v>50.800000000000011</v>
      </c>
      <c r="EV297" s="4">
        <f t="shared" si="832"/>
        <v>1.537004207430962E-5</v>
      </c>
      <c r="EW297" s="4">
        <f t="shared" si="744"/>
        <v>9.3575947526180077</v>
      </c>
      <c r="EX297" s="4">
        <f t="shared" si="867"/>
        <v>581.8625253221536</v>
      </c>
      <c r="FA297" s="4">
        <f t="shared" ref="FA297:FA298" si="924">5.25*25.4</f>
        <v>133.35</v>
      </c>
      <c r="FG297" s="23">
        <f t="shared" si="778"/>
        <v>2.2000000000000002</v>
      </c>
      <c r="FH297" s="23">
        <f t="shared" si="778"/>
        <v>1.2</v>
      </c>
      <c r="FI297" s="23">
        <f t="shared" si="712"/>
        <v>1.4</v>
      </c>
      <c r="FJ297" s="23">
        <f t="shared" si="779"/>
        <v>1.8</v>
      </c>
      <c r="FK297" s="23">
        <f t="shared" si="779"/>
        <v>1.2</v>
      </c>
      <c r="FL297" s="23">
        <f t="shared" si="779"/>
        <v>1.2</v>
      </c>
      <c r="FM297" s="23">
        <f t="shared" si="923"/>
        <v>0</v>
      </c>
      <c r="FN297" s="23"/>
      <c r="FX297" s="4">
        <f t="shared" si="833"/>
        <v>1</v>
      </c>
      <c r="FY297" s="4">
        <f t="shared" si="890"/>
        <v>0.43787748058671272</v>
      </c>
      <c r="FZ297" s="4">
        <f t="shared" si="834"/>
        <v>0.3</v>
      </c>
      <c r="GA297" s="4">
        <f t="shared" si="835"/>
        <v>460.12002565488899</v>
      </c>
    </row>
    <row r="298" spans="1:183" ht="12" hidden="1" customHeight="1" x14ac:dyDescent="0.3">
      <c r="A298" s="25">
        <v>280</v>
      </c>
      <c r="B298" s="4" t="s">
        <v>605</v>
      </c>
      <c r="C298" s="4">
        <v>2016</v>
      </c>
      <c r="D298" s="4" t="s">
        <v>309</v>
      </c>
      <c r="E298" s="24" t="s">
        <v>666</v>
      </c>
      <c r="F298" s="48" t="s">
        <v>438</v>
      </c>
      <c r="G298" s="38">
        <f t="shared" si="891"/>
        <v>799.31034482758628</v>
      </c>
      <c r="H298" s="38">
        <f>11.13*25.4</f>
        <v>282.702</v>
      </c>
      <c r="I298" s="4">
        <f t="shared" si="746"/>
        <v>282.702</v>
      </c>
      <c r="J298" s="38">
        <f>5900/145</f>
        <v>40.689655172413794</v>
      </c>
      <c r="K298" s="38">
        <f t="shared" si="747"/>
        <v>25.4</v>
      </c>
      <c r="L298" s="7">
        <f t="shared" si="748"/>
        <v>11.13</v>
      </c>
      <c r="M298" s="7">
        <f t="shared" si="749"/>
        <v>11.13</v>
      </c>
      <c r="N298" s="38">
        <f>16.6*25.4</f>
        <v>421.64</v>
      </c>
      <c r="O298" s="38">
        <f>2.45*25.4</f>
        <v>62.230000000000004</v>
      </c>
      <c r="P298" s="39">
        <f>3.15*25.4</f>
        <v>80.009999999999991</v>
      </c>
      <c r="Q298" s="7">
        <f t="shared" si="750"/>
        <v>246.37999999999997</v>
      </c>
      <c r="R298" s="38">
        <v>2</v>
      </c>
      <c r="S298" s="4">
        <f t="shared" si="722"/>
        <v>260.34999999999997</v>
      </c>
      <c r="T298" s="7">
        <f t="shared" si="751"/>
        <v>2.95</v>
      </c>
      <c r="U298" s="7">
        <f t="shared" si="859"/>
        <v>2.95</v>
      </c>
      <c r="V298" s="38">
        <v>4.5</v>
      </c>
      <c r="W298" s="4">
        <f t="shared" si="752"/>
        <v>4.5</v>
      </c>
      <c r="X298" s="4">
        <f t="shared" si="753"/>
        <v>5.5</v>
      </c>
      <c r="Y298" s="7">
        <f t="shared" si="754"/>
        <v>59.568280149757555</v>
      </c>
      <c r="AB298" s="38">
        <f t="shared" si="786"/>
        <v>717.93103448275861</v>
      </c>
      <c r="AC298" s="4">
        <v>104.1</v>
      </c>
      <c r="AD298" s="4">
        <f t="shared" si="899"/>
        <v>0.99617785069192466</v>
      </c>
      <c r="AE298" s="38">
        <f t="shared" si="897"/>
        <v>12.7</v>
      </c>
      <c r="AF298" s="38">
        <v>10</v>
      </c>
      <c r="AG298" s="39">
        <f t="shared" si="920"/>
        <v>76.199999999999989</v>
      </c>
      <c r="AH298" s="39">
        <v>3</v>
      </c>
      <c r="AI298" s="39">
        <v>2</v>
      </c>
      <c r="AJ298" s="7"/>
      <c r="AK298" s="4">
        <f t="shared" si="755"/>
        <v>282.702</v>
      </c>
      <c r="AL298" s="4">
        <f t="shared" si="910"/>
        <v>0.49715483677747829</v>
      </c>
      <c r="AM298" s="4">
        <f t="shared" si="911"/>
        <v>299.19064902706572</v>
      </c>
      <c r="AN298" s="4">
        <f t="shared" si="912"/>
        <v>0.75300988319856244</v>
      </c>
      <c r="AO298" s="4">
        <v>1.25</v>
      </c>
      <c r="AP298" s="4">
        <f t="shared" si="844"/>
        <v>2.5</v>
      </c>
      <c r="AQ298" s="38">
        <f t="shared" si="723"/>
        <v>350.01800316845885</v>
      </c>
      <c r="AR298" s="38">
        <f t="shared" si="913"/>
        <v>350.01800316845885</v>
      </c>
      <c r="AS298" s="38">
        <f t="shared" si="914"/>
        <v>3.5490375497727622</v>
      </c>
      <c r="AT298" s="38">
        <f t="shared" si="853"/>
        <v>350.01800316845902</v>
      </c>
      <c r="AU298" s="38">
        <f t="shared" si="820"/>
        <v>0.99999999999999956</v>
      </c>
      <c r="AV298" s="38">
        <f t="shared" si="715"/>
        <v>1.4549628184809134</v>
      </c>
      <c r="AW298" s="4">
        <f t="shared" si="707"/>
        <v>0</v>
      </c>
      <c r="AX298" s="4">
        <f t="shared" si="756"/>
        <v>373.66598713265614</v>
      </c>
      <c r="AY298" s="4">
        <f t="shared" si="724"/>
        <v>1</v>
      </c>
      <c r="AZ298" s="38">
        <f t="shared" si="837"/>
        <v>509.26318040904238</v>
      </c>
      <c r="BA298" s="4">
        <f t="shared" si="725"/>
        <v>0.37</v>
      </c>
      <c r="BB298" s="4">
        <f t="shared" si="726"/>
        <v>72.238976962420736</v>
      </c>
      <c r="BC298" s="4">
        <f t="shared" si="727"/>
        <v>581.50215737146311</v>
      </c>
      <c r="BE298" s="4">
        <f t="shared" si="854"/>
        <v>1.5</v>
      </c>
      <c r="BF298" s="4">
        <f t="shared" si="860"/>
        <v>606.53241450463929</v>
      </c>
      <c r="BH298" s="4">
        <f t="shared" si="861"/>
        <v>488.44566884101204</v>
      </c>
      <c r="BI298" s="4">
        <f t="shared" si="806"/>
        <v>0</v>
      </c>
      <c r="BJ298" s="4">
        <f t="shared" si="862"/>
        <v>0</v>
      </c>
      <c r="BR298" s="4">
        <f t="shared" si="728"/>
        <v>62.230000000000004</v>
      </c>
      <c r="BV298" s="9"/>
      <c r="BX298" s="9"/>
      <c r="BY298" s="9"/>
      <c r="BZ298" s="9">
        <f t="shared" si="729"/>
        <v>62.230000000000004</v>
      </c>
      <c r="CA298" s="9">
        <f t="shared" si="730"/>
        <v>123.18999999999998</v>
      </c>
      <c r="CB298" s="9">
        <f t="shared" si="821"/>
        <v>1.7340810420811554</v>
      </c>
      <c r="CC298" s="40">
        <f t="shared" si="757"/>
        <v>20</v>
      </c>
      <c r="CD298" s="9">
        <f t="shared" si="731"/>
        <v>0.05</v>
      </c>
      <c r="CE298" s="9">
        <f t="shared" si="732"/>
        <v>0.8</v>
      </c>
      <c r="CF298" s="9">
        <f t="shared" si="733"/>
        <v>0.99524931562137331</v>
      </c>
      <c r="CG298" s="9">
        <f t="shared" si="734"/>
        <v>0.68048275862068963</v>
      </c>
      <c r="CH298" s="9">
        <f t="shared" si="822"/>
        <v>1.51202531590344</v>
      </c>
      <c r="CI298" s="9">
        <f t="shared" si="823"/>
        <v>3.7800632897586</v>
      </c>
      <c r="CJ298" s="40">
        <v>1</v>
      </c>
      <c r="CK298" s="9">
        <f t="shared" si="824"/>
        <v>395.09221504556888</v>
      </c>
      <c r="CM298" s="4">
        <f t="shared" si="735"/>
        <v>1.9213175916594305</v>
      </c>
      <c r="CN298" s="4">
        <f t="shared" si="736"/>
        <v>1.234614567429962</v>
      </c>
      <c r="CO298" s="4">
        <f t="shared" si="708"/>
        <v>1.1836647429125442</v>
      </c>
      <c r="CP298" s="4">
        <f t="shared" si="737"/>
        <v>1.8171227048853755</v>
      </c>
      <c r="CQ298" s="4">
        <f t="shared" si="921"/>
        <v>0.99617785069192466</v>
      </c>
      <c r="CR298" s="4">
        <f t="shared" si="922"/>
        <v>1.0658353776281775</v>
      </c>
      <c r="CS298" s="4">
        <f t="shared" si="709"/>
        <v>1.4018980369375771</v>
      </c>
      <c r="CT298" s="4">
        <f t="shared" si="758"/>
        <v>10</v>
      </c>
      <c r="DA298" s="4">
        <f t="shared" si="893"/>
        <v>1.9213175916594305</v>
      </c>
      <c r="DB298" s="4">
        <f t="shared" si="893"/>
        <v>1.234614567429962</v>
      </c>
      <c r="DC298" s="4">
        <f t="shared" si="894"/>
        <v>1.8171227048853755</v>
      </c>
      <c r="DD298" s="4">
        <f t="shared" si="895"/>
        <v>1.4018980369375771</v>
      </c>
      <c r="DE298" s="4">
        <f t="shared" si="896"/>
        <v>0.99617785069192466</v>
      </c>
      <c r="DF298" s="4">
        <f t="shared" si="896"/>
        <v>1.0658353776281775</v>
      </c>
      <c r="DI298" s="4">
        <f t="shared" si="742"/>
        <v>282.702</v>
      </c>
      <c r="DL298" s="4">
        <f t="shared" si="900"/>
        <v>2.138357103588325E-5</v>
      </c>
      <c r="DM298" s="4">
        <f t="shared" si="769"/>
        <v>9.7866580905942957</v>
      </c>
      <c r="DN298" s="4">
        <f t="shared" si="901"/>
        <v>0.44307352226965302</v>
      </c>
      <c r="DO298" s="4">
        <f t="shared" si="902"/>
        <v>7.0668314807790713</v>
      </c>
      <c r="DP298" s="4">
        <f t="shared" si="903"/>
        <v>8.5360487312986368</v>
      </c>
      <c r="DQ298" s="4">
        <f t="shared" si="904"/>
        <v>8.9336398603685065</v>
      </c>
      <c r="DR298" s="38">
        <f t="shared" si="915"/>
        <v>720.68560245953915</v>
      </c>
      <c r="DS298" s="4">
        <f t="shared" si="829"/>
        <v>1.0001227646015325</v>
      </c>
      <c r="DT298" s="4">
        <f t="shared" si="905"/>
        <v>2.3452078799117149</v>
      </c>
      <c r="DU298" s="4">
        <f t="shared" si="842"/>
        <v>350.01800316845902</v>
      </c>
      <c r="DY298" s="4">
        <f t="shared" si="785"/>
        <v>0.85</v>
      </c>
      <c r="DZ298" s="4">
        <f t="shared" si="830"/>
        <v>0.85499999999999998</v>
      </c>
      <c r="EA298" s="4">
        <f t="shared" si="916"/>
        <v>0.77500000000000002</v>
      </c>
      <c r="EB298" s="4">
        <f t="shared" si="831"/>
        <v>0.7</v>
      </c>
      <c r="ED298" s="4">
        <f t="shared" si="917"/>
        <v>673.58529239326185</v>
      </c>
      <c r="EE298" s="25">
        <f t="shared" si="918"/>
        <v>346.80877874831833</v>
      </c>
      <c r="EG298" s="4">
        <f t="shared" si="843"/>
        <v>0.59499999999999997</v>
      </c>
      <c r="EH298" s="4">
        <f t="shared" si="919"/>
        <v>9.7866580905942957</v>
      </c>
      <c r="EK298" s="4">
        <f t="shared" si="906"/>
        <v>59.568280149757555</v>
      </c>
      <c r="EL298" s="4">
        <f t="shared" si="907"/>
        <v>2.3452078799117149</v>
      </c>
      <c r="EM298" s="4">
        <f t="shared" si="908"/>
        <v>0.15454432705603594</v>
      </c>
      <c r="EP298" s="4">
        <f t="shared" si="759"/>
        <v>0.15454432705603594</v>
      </c>
      <c r="EQ298" s="4">
        <f t="shared" si="721"/>
        <v>0.44233411513866389</v>
      </c>
      <c r="ER298" s="4">
        <f t="shared" si="770"/>
        <v>7.0621118271262979</v>
      </c>
      <c r="ES298" s="4">
        <f t="shared" si="743"/>
        <v>8.5340975732255</v>
      </c>
      <c r="ET298" s="4">
        <f t="shared" si="771"/>
        <v>152.45821985024244</v>
      </c>
      <c r="EU298" s="4">
        <f t="shared" si="772"/>
        <v>70.6755</v>
      </c>
      <c r="EV298" s="4">
        <f t="shared" si="832"/>
        <v>2.138357103588325E-5</v>
      </c>
      <c r="EW298" s="4">
        <f t="shared" si="744"/>
        <v>8.9338785070951161</v>
      </c>
      <c r="EX298" s="4">
        <f t="shared" si="867"/>
        <v>720.59713863894876</v>
      </c>
      <c r="FA298" s="4">
        <f t="shared" si="924"/>
        <v>133.35</v>
      </c>
      <c r="FG298" s="23">
        <f t="shared" si="778"/>
        <v>2</v>
      </c>
      <c r="FH298" s="23">
        <f t="shared" si="778"/>
        <v>1.4</v>
      </c>
      <c r="FI298" s="23">
        <f t="shared" si="712"/>
        <v>1.6</v>
      </c>
      <c r="FJ298" s="23">
        <f t="shared" si="779"/>
        <v>2</v>
      </c>
      <c r="FK298" s="23">
        <f t="shared" si="779"/>
        <v>1</v>
      </c>
      <c r="FL298" s="23">
        <f t="shared" si="779"/>
        <v>1.2</v>
      </c>
      <c r="FM298" s="23">
        <f t="shared" si="923"/>
        <v>0</v>
      </c>
      <c r="FN298" s="23"/>
      <c r="FX298" s="4">
        <f t="shared" si="833"/>
        <v>1.25</v>
      </c>
      <c r="FY298" s="4">
        <f t="shared" si="890"/>
        <v>0.43787748058671272</v>
      </c>
      <c r="FZ298" s="4">
        <f t="shared" si="834"/>
        <v>0.3</v>
      </c>
      <c r="GA298" s="4">
        <f t="shared" si="835"/>
        <v>512.11358855389153</v>
      </c>
    </row>
    <row r="299" spans="1:183" ht="12" hidden="1" customHeight="1" x14ac:dyDescent="0.3">
      <c r="A299" s="25">
        <v>281</v>
      </c>
      <c r="B299" s="4" t="s">
        <v>605</v>
      </c>
      <c r="C299" s="4">
        <v>2016</v>
      </c>
      <c r="D299" s="4" t="s">
        <v>309</v>
      </c>
      <c r="E299" s="24" t="s">
        <v>439</v>
      </c>
      <c r="F299" s="7" t="s">
        <v>440</v>
      </c>
      <c r="G299" s="38">
        <f>120/0.145</f>
        <v>827.58620689655174</v>
      </c>
      <c r="H299" s="38">
        <f>14.38*25.4</f>
        <v>365.25200000000001</v>
      </c>
      <c r="I299" s="4">
        <f t="shared" si="746"/>
        <v>365.25200000000001</v>
      </c>
      <c r="J299" s="38">
        <f>4970/145</f>
        <v>34.275862068965516</v>
      </c>
      <c r="K299" s="38">
        <f t="shared" si="747"/>
        <v>25.4</v>
      </c>
      <c r="L299" s="7">
        <f t="shared" si="748"/>
        <v>14.38</v>
      </c>
      <c r="M299" s="7">
        <f t="shared" si="749"/>
        <v>14.38</v>
      </c>
      <c r="N299" s="38">
        <f>17*25.4</f>
        <v>431.79999999999995</v>
      </c>
      <c r="O299" s="38">
        <f>2.55*25.4</f>
        <v>64.77</v>
      </c>
      <c r="P299" s="39">
        <f>3.25*25.4</f>
        <v>82.55</v>
      </c>
      <c r="Q299" s="7">
        <f t="shared" si="750"/>
        <v>251.45999999999995</v>
      </c>
      <c r="R299" s="38">
        <v>2</v>
      </c>
      <c r="S299" s="4">
        <f t="shared" si="722"/>
        <v>260.34999999999997</v>
      </c>
      <c r="T299" s="7">
        <f t="shared" si="751"/>
        <v>3.05</v>
      </c>
      <c r="U299" s="7">
        <f t="shared" si="859"/>
        <v>3.05</v>
      </c>
      <c r="V299" s="38">
        <v>9.5</v>
      </c>
      <c r="W299" s="4">
        <f t="shared" si="752"/>
        <v>9.5</v>
      </c>
      <c r="X299" s="4">
        <f t="shared" si="753"/>
        <v>10.5</v>
      </c>
      <c r="Y299" s="7">
        <f t="shared" si="754"/>
        <v>82.305406869779816</v>
      </c>
      <c r="AB299" s="38">
        <f t="shared" si="786"/>
        <v>800</v>
      </c>
      <c r="AC299" s="4">
        <v>116</v>
      </c>
      <c r="AD299" s="4">
        <f t="shared" si="899"/>
        <v>1.1112596892664182</v>
      </c>
      <c r="AE299" s="38"/>
      <c r="AF299" s="38"/>
      <c r="AG299" s="39">
        <v>1</v>
      </c>
      <c r="AH299" s="39"/>
      <c r="AI299" s="39"/>
      <c r="AJ299" s="7"/>
      <c r="AK299" s="4">
        <f t="shared" si="755"/>
        <v>365.25200000000001</v>
      </c>
      <c r="AL299" s="4">
        <f t="shared" si="910"/>
        <v>0.39406583217431618</v>
      </c>
      <c r="AM299" s="4">
        <f t="shared" si="911"/>
        <v>403.26988090113554</v>
      </c>
      <c r="AN299" s="4">
        <f t="shared" si="912"/>
        <v>0.74242002781641159</v>
      </c>
      <c r="AO299" s="4">
        <v>1.25</v>
      </c>
      <c r="AP299" s="4">
        <f t="shared" si="844"/>
        <v>2.5</v>
      </c>
      <c r="AQ299" s="38">
        <f t="shared" si="723"/>
        <v>368.69247039684859</v>
      </c>
      <c r="AR299" s="38">
        <f t="shared" si="913"/>
        <v>368.69247039684859</v>
      </c>
      <c r="AS299" s="38">
        <f t="shared" si="914"/>
        <v>3.1655330029957871</v>
      </c>
      <c r="AT299" s="38">
        <f t="shared" si="853"/>
        <v>368.69247039684876</v>
      </c>
      <c r="AU299" s="38">
        <f t="shared" si="820"/>
        <v>0.99999999999999956</v>
      </c>
      <c r="AV299" s="38">
        <f t="shared" si="715"/>
        <v>1.7478966733894243</v>
      </c>
      <c r="AW299" s="4">
        <f t="shared" si="707"/>
        <v>0</v>
      </c>
      <c r="AX299" s="4">
        <f t="shared" si="756"/>
        <v>443.0976822581481</v>
      </c>
      <c r="AY299" s="4">
        <f t="shared" si="724"/>
        <v>1</v>
      </c>
      <c r="AZ299" s="38">
        <f t="shared" si="837"/>
        <v>644.43634251038077</v>
      </c>
      <c r="BA299" s="4">
        <f t="shared" si="725"/>
        <v>0.3</v>
      </c>
      <c r="BB299" s="4">
        <f t="shared" si="726"/>
        <v>69.455561693964725</v>
      </c>
      <c r="BC299" s="4">
        <f t="shared" si="727"/>
        <v>713.89190420434545</v>
      </c>
      <c r="BE299" s="4">
        <f t="shared" si="854"/>
        <v>1.3875</v>
      </c>
      <c r="BF299" s="4">
        <f t="shared" si="860"/>
        <v>594.1309013306784</v>
      </c>
      <c r="BH299" s="4">
        <f t="shared" si="861"/>
        <v>618.09326189675073</v>
      </c>
      <c r="BI299" s="4">
        <f t="shared" si="806"/>
        <v>0</v>
      </c>
      <c r="BJ299" s="4">
        <f t="shared" si="862"/>
        <v>0</v>
      </c>
      <c r="BR299" s="4">
        <f t="shared" si="728"/>
        <v>64.77</v>
      </c>
      <c r="BV299" s="9"/>
      <c r="BX299" s="9"/>
      <c r="BY299" s="9"/>
      <c r="BZ299" s="9">
        <f t="shared" si="729"/>
        <v>64.77</v>
      </c>
      <c r="CA299" s="9">
        <f t="shared" si="730"/>
        <v>125.72999999999998</v>
      </c>
      <c r="CB299" s="9">
        <f t="shared" si="821"/>
        <v>1.7639238931775985</v>
      </c>
      <c r="CC299" s="40">
        <f t="shared" si="757"/>
        <v>0</v>
      </c>
      <c r="CD299" s="9">
        <f t="shared" si="731"/>
        <v>0</v>
      </c>
      <c r="CE299" s="9">
        <f t="shared" si="732"/>
        <v>0</v>
      </c>
      <c r="CF299" s="9">
        <f t="shared" si="733"/>
        <v>0.99524931562137331</v>
      </c>
      <c r="CG299" s="9">
        <f t="shared" si="734"/>
        <v>0.68</v>
      </c>
      <c r="CH299" s="9">
        <f t="shared" si="822"/>
        <v>1.3867655293631655</v>
      </c>
      <c r="CI299" s="9">
        <f t="shared" si="823"/>
        <v>2.4461488514787684</v>
      </c>
      <c r="CJ299" s="40">
        <v>1</v>
      </c>
      <c r="CK299" s="9">
        <f t="shared" si="824"/>
        <v>287.47141302578484</v>
      </c>
      <c r="CM299" s="4">
        <f t="shared" si="735"/>
        <v>1.8054709650544303</v>
      </c>
      <c r="CN299" s="4">
        <f t="shared" si="736"/>
        <v>1.120617834841011</v>
      </c>
      <c r="CO299" s="4">
        <f t="shared" si="708"/>
        <v>1.3465046140644013</v>
      </c>
      <c r="CP299" s="4">
        <f t="shared" si="737"/>
        <v>2.7828854061681736</v>
      </c>
      <c r="CQ299" s="4">
        <f t="shared" si="921"/>
        <v>1.1112596892664182</v>
      </c>
      <c r="CR299" s="4">
        <f t="shared" si="922"/>
        <v>1.164038324517964</v>
      </c>
      <c r="CS299" s="4">
        <f t="shared" si="709"/>
        <v>1.15289897228001</v>
      </c>
      <c r="CT299" s="4">
        <f t="shared" si="758"/>
        <v>0</v>
      </c>
      <c r="CU299" s="4">
        <f t="shared" ref="CU299:CV300" si="925">CM299</f>
        <v>1.8054709650544303</v>
      </c>
      <c r="CV299" s="4">
        <f t="shared" si="925"/>
        <v>1.120617834841011</v>
      </c>
      <c r="CW299" s="4">
        <f t="shared" ref="CW299:CW300" si="926">CP299</f>
        <v>2.7828854061681736</v>
      </c>
      <c r="CX299" s="4">
        <f t="shared" ref="CX299:CX300" si="927">CS299</f>
        <v>1.15289897228001</v>
      </c>
      <c r="CY299" s="4">
        <f t="shared" ref="CY299:CZ300" si="928">CQ299</f>
        <v>1.1112596892664182</v>
      </c>
      <c r="CZ299" s="4">
        <f t="shared" si="928"/>
        <v>1.164038324517964</v>
      </c>
      <c r="DI299" s="4">
        <f t="shared" si="742"/>
        <v>365.25200000000001</v>
      </c>
      <c r="DL299" s="4">
        <f t="shared" si="900"/>
        <v>2.6459793328600653E-5</v>
      </c>
      <c r="DM299" s="4">
        <f t="shared" si="769"/>
        <v>7.4409422777504419</v>
      </c>
      <c r="DN299" s="4">
        <f t="shared" si="901"/>
        <v>0.36261646462402092</v>
      </c>
      <c r="DO299" s="4">
        <f t="shared" si="902"/>
        <v>4.9591465591001365</v>
      </c>
      <c r="DP299" s="4">
        <f t="shared" si="903"/>
        <v>6.3234791386058333</v>
      </c>
      <c r="DQ299" s="4">
        <f t="shared" si="904"/>
        <v>6.6829030000056342</v>
      </c>
      <c r="DR299" s="38">
        <f t="shared" si="915"/>
        <v>719.90373422805283</v>
      </c>
      <c r="DS299" s="4">
        <f t="shared" si="829"/>
        <v>1.0001099325718286</v>
      </c>
      <c r="DT299" s="4">
        <f t="shared" si="905"/>
        <v>3.2403703492039297</v>
      </c>
      <c r="DU299" s="4">
        <f t="shared" si="842"/>
        <v>368.69247039684876</v>
      </c>
      <c r="DY299" s="4">
        <f t="shared" si="785"/>
        <v>0.85</v>
      </c>
      <c r="DZ299" s="4">
        <f t="shared" si="830"/>
        <v>0.84499999999999997</v>
      </c>
      <c r="EA299" s="4">
        <f t="shared" si="916"/>
        <v>1</v>
      </c>
      <c r="EB299" s="4">
        <f t="shared" si="831"/>
        <v>0.84499999999999997</v>
      </c>
      <c r="ED299" s="4">
        <f t="shared" si="917"/>
        <v>687.26259535422537</v>
      </c>
      <c r="EE299" s="25">
        <f t="shared" si="918"/>
        <v>366.26034549207128</v>
      </c>
      <c r="EG299" s="4">
        <f t="shared" si="843"/>
        <v>0.71824999999999994</v>
      </c>
      <c r="EH299" s="4">
        <f t="shared" si="919"/>
        <v>7.4409422777504419</v>
      </c>
      <c r="EK299" s="4">
        <f t="shared" si="906"/>
        <v>82.305406869779816</v>
      </c>
      <c r="EL299" s="4">
        <f t="shared" si="907"/>
        <v>3.2403703492039302</v>
      </c>
      <c r="EM299" s="4">
        <f t="shared" si="908"/>
        <v>0.11608523316367027</v>
      </c>
      <c r="EP299" s="4">
        <f t="shared" si="759"/>
        <v>0.11608523316367027</v>
      </c>
      <c r="EQ299" s="4">
        <f t="shared" si="721"/>
        <v>0.3620113253270853</v>
      </c>
      <c r="ER299" s="4">
        <f t="shared" si="770"/>
        <v>4.9558345437738964</v>
      </c>
      <c r="ES299" s="4">
        <f t="shared" si="743"/>
        <v>6.3221834836221298</v>
      </c>
      <c r="ET299" s="4">
        <f t="shared" si="771"/>
        <v>191.63359313022022</v>
      </c>
      <c r="EU299" s="4">
        <f t="shared" si="772"/>
        <v>91.312999999999988</v>
      </c>
      <c r="EV299" s="4">
        <f t="shared" si="832"/>
        <v>2.6459793328600646E-5</v>
      </c>
      <c r="EW299" s="4">
        <f t="shared" si="744"/>
        <v>6.6831044884128916</v>
      </c>
      <c r="EX299" s="4">
        <f t="shared" si="867"/>
        <v>719.82460205828306</v>
      </c>
      <c r="FG299" s="23">
        <f t="shared" si="778"/>
        <v>2</v>
      </c>
      <c r="FH299" s="23">
        <f t="shared" si="778"/>
        <v>1.2</v>
      </c>
      <c r="FI299" s="23">
        <f t="shared" si="712"/>
        <v>1.2</v>
      </c>
      <c r="FJ299" s="23">
        <f t="shared" si="779"/>
        <v>2.2000000000000002</v>
      </c>
      <c r="FK299" s="23">
        <f t="shared" si="779"/>
        <v>1.2</v>
      </c>
      <c r="FL299" s="23">
        <f t="shared" si="779"/>
        <v>1.2</v>
      </c>
      <c r="FM299" s="23">
        <f t="shared" si="923"/>
        <v>0</v>
      </c>
      <c r="FN299" s="23"/>
      <c r="FX299" s="4">
        <f t="shared" si="833"/>
        <v>1</v>
      </c>
      <c r="FY299" s="4">
        <f t="shared" si="890"/>
        <v>0.5</v>
      </c>
      <c r="FZ299" s="4">
        <f t="shared" si="834"/>
        <v>0</v>
      </c>
      <c r="GA299" s="4">
        <f t="shared" si="835"/>
        <v>693.90295180669159</v>
      </c>
    </row>
    <row r="300" spans="1:183" ht="12" hidden="1" customHeight="1" x14ac:dyDescent="0.3">
      <c r="A300" s="25">
        <v>282</v>
      </c>
      <c r="B300" s="4" t="s">
        <v>605</v>
      </c>
      <c r="C300" s="4">
        <v>2016</v>
      </c>
      <c r="D300" s="4" t="s">
        <v>309</v>
      </c>
      <c r="E300" s="24" t="s">
        <v>439</v>
      </c>
      <c r="F300" s="48" t="s">
        <v>441</v>
      </c>
      <c r="G300" s="38">
        <f>115.9/0.145</f>
        <v>799.31034482758628</v>
      </c>
      <c r="H300" s="38">
        <f>14.38*25.4</f>
        <v>365.25200000000001</v>
      </c>
      <c r="I300" s="4">
        <f t="shared" si="746"/>
        <v>365.25200000000001</v>
      </c>
      <c r="J300" s="38">
        <f>4970/145</f>
        <v>34.275862068965516</v>
      </c>
      <c r="K300" s="38">
        <f t="shared" si="747"/>
        <v>25.4</v>
      </c>
      <c r="L300" s="7">
        <f t="shared" si="748"/>
        <v>14.38</v>
      </c>
      <c r="M300" s="7">
        <f t="shared" si="749"/>
        <v>14.38</v>
      </c>
      <c r="N300" s="38">
        <f>17.3*25.4</f>
        <v>439.42</v>
      </c>
      <c r="O300" s="38">
        <f>2.65*25.4</f>
        <v>67.309999999999988</v>
      </c>
      <c r="P300" s="39">
        <f>3.2*25.4</f>
        <v>81.28</v>
      </c>
      <c r="Q300" s="7">
        <f t="shared" si="750"/>
        <v>254.00000000000003</v>
      </c>
      <c r="R300" s="38">
        <v>2</v>
      </c>
      <c r="S300" s="4">
        <f t="shared" si="722"/>
        <v>260.34999999999997</v>
      </c>
      <c r="T300" s="7">
        <f t="shared" si="751"/>
        <v>3.1499999999999995</v>
      </c>
      <c r="U300" s="7">
        <f t="shared" si="859"/>
        <v>3.1499999999999995</v>
      </c>
      <c r="V300" s="38">
        <v>9.1</v>
      </c>
      <c r="W300" s="4">
        <f t="shared" si="752"/>
        <v>9.1</v>
      </c>
      <c r="X300" s="4">
        <f t="shared" si="753"/>
        <v>10.1</v>
      </c>
      <c r="Y300" s="7">
        <f t="shared" si="754"/>
        <v>80.72246279691916</v>
      </c>
      <c r="AB300" s="38">
        <f t="shared" si="786"/>
        <v>827.58620689655174</v>
      </c>
      <c r="AC300" s="4">
        <v>120</v>
      </c>
      <c r="AD300" s="4">
        <f t="shared" si="899"/>
        <v>1.1281282791225913</v>
      </c>
      <c r="AE300" s="38"/>
      <c r="AF300" s="38"/>
      <c r="AG300" s="39">
        <v>1</v>
      </c>
      <c r="AH300" s="39"/>
      <c r="AI300" s="39"/>
      <c r="AJ300" s="7"/>
      <c r="AK300" s="4">
        <f t="shared" si="755"/>
        <v>365.25200000000001</v>
      </c>
      <c r="AL300" s="4">
        <f t="shared" si="910"/>
        <v>0.40101993509503947</v>
      </c>
      <c r="AM300" s="4">
        <f t="shared" si="911"/>
        <v>403.26988090113554</v>
      </c>
      <c r="AN300" s="4">
        <f t="shared" si="912"/>
        <v>0.74381084840055633</v>
      </c>
      <c r="AO300" s="4">
        <v>1.25</v>
      </c>
      <c r="AP300" s="4">
        <f t="shared" si="844"/>
        <v>2.5</v>
      </c>
      <c r="AQ300" s="38">
        <f t="shared" si="723"/>
        <v>375.90169085254001</v>
      </c>
      <c r="AR300" s="38">
        <f t="shared" si="913"/>
        <v>375.90169085254001</v>
      </c>
      <c r="AS300" s="38">
        <f t="shared" si="914"/>
        <v>3.1655330029957871</v>
      </c>
      <c r="AT300" s="38">
        <f t="shared" si="853"/>
        <v>375.90169085254018</v>
      </c>
      <c r="AU300" s="38">
        <f t="shared" si="820"/>
        <v>0.99999999999999956</v>
      </c>
      <c r="AV300" s="38">
        <f t="shared" si="715"/>
        <v>1.7329073864332836</v>
      </c>
      <c r="AW300" s="4">
        <f t="shared" si="707"/>
        <v>0</v>
      </c>
      <c r="AX300" s="4">
        <f t="shared" si="756"/>
        <v>443.0976822581481</v>
      </c>
      <c r="AY300" s="4">
        <f t="shared" si="724"/>
        <v>1</v>
      </c>
      <c r="AZ300" s="38">
        <f t="shared" si="837"/>
        <v>651.40281665112752</v>
      </c>
      <c r="BA300" s="4">
        <f t="shared" si="725"/>
        <v>0.3</v>
      </c>
      <c r="BB300" s="4">
        <f t="shared" si="726"/>
        <v>69.455561693964711</v>
      </c>
      <c r="BC300" s="4">
        <f t="shared" si="727"/>
        <v>720.85837834509221</v>
      </c>
      <c r="BE300" s="4">
        <f t="shared" si="854"/>
        <v>1.4124999999999999</v>
      </c>
      <c r="BF300" s="4">
        <f t="shared" si="860"/>
        <v>604.83596261591583</v>
      </c>
      <c r="BH300" s="4">
        <f t="shared" si="861"/>
        <v>624.77496254199968</v>
      </c>
      <c r="BI300" s="4">
        <f t="shared" si="806"/>
        <v>0</v>
      </c>
      <c r="BJ300" s="4">
        <f t="shared" si="862"/>
        <v>0</v>
      </c>
      <c r="BR300" s="4">
        <f t="shared" si="728"/>
        <v>67.309999999999988</v>
      </c>
      <c r="BV300" s="9"/>
      <c r="BX300" s="9"/>
      <c r="BY300" s="9"/>
      <c r="BZ300" s="9">
        <f t="shared" si="729"/>
        <v>67.309999999999988</v>
      </c>
      <c r="CA300" s="9">
        <f t="shared" si="730"/>
        <v>127.00000000000001</v>
      </c>
      <c r="CB300" s="9">
        <f t="shared" si="821"/>
        <v>1.7905298128039189</v>
      </c>
      <c r="CC300" s="40">
        <f t="shared" si="757"/>
        <v>0</v>
      </c>
      <c r="CD300" s="9">
        <f t="shared" si="731"/>
        <v>0</v>
      </c>
      <c r="CE300" s="9">
        <f t="shared" si="732"/>
        <v>0</v>
      </c>
      <c r="CF300" s="9">
        <f t="shared" si="733"/>
        <v>0.99524931562137331</v>
      </c>
      <c r="CG300" s="9">
        <f t="shared" si="734"/>
        <v>0.68048275862068963</v>
      </c>
      <c r="CH300" s="9">
        <f t="shared" si="822"/>
        <v>1.3877500485016585</v>
      </c>
      <c r="CI300" s="9">
        <f t="shared" si="823"/>
        <v>2.4848078345623041</v>
      </c>
      <c r="CJ300" s="40">
        <v>1</v>
      </c>
      <c r="CK300" s="9">
        <f t="shared" si="824"/>
        <v>292.01461671776201</v>
      </c>
      <c r="CM300" s="4">
        <f t="shared" si="735"/>
        <v>1.8677285845390659</v>
      </c>
      <c r="CN300" s="4">
        <f t="shared" si="736"/>
        <v>1.1480565833145751</v>
      </c>
      <c r="CO300" s="4">
        <f t="shared" si="708"/>
        <v>1.3682820765439294</v>
      </c>
      <c r="CP300" s="4">
        <f t="shared" si="737"/>
        <v>2.8340574735559572</v>
      </c>
      <c r="CQ300" s="4">
        <f t="shared" si="921"/>
        <v>1.1281282791225913</v>
      </c>
      <c r="CR300" s="4">
        <f t="shared" si="922"/>
        <v>1.1851863092498804</v>
      </c>
      <c r="CS300" s="4">
        <f t="shared" si="709"/>
        <v>1.1926541092551828</v>
      </c>
      <c r="CT300" s="4">
        <f t="shared" si="758"/>
        <v>0</v>
      </c>
      <c r="CU300" s="4">
        <f t="shared" si="925"/>
        <v>1.8677285845390659</v>
      </c>
      <c r="CV300" s="4">
        <f t="shared" si="925"/>
        <v>1.1480565833145751</v>
      </c>
      <c r="CW300" s="4">
        <f t="shared" si="926"/>
        <v>2.8340574735559572</v>
      </c>
      <c r="CX300" s="4">
        <f t="shared" si="927"/>
        <v>1.1926541092551828</v>
      </c>
      <c r="CY300" s="4">
        <f t="shared" si="928"/>
        <v>1.1281282791225913</v>
      </c>
      <c r="CZ300" s="4">
        <f t="shared" si="928"/>
        <v>1.1851863092498804</v>
      </c>
      <c r="DI300" s="4">
        <f t="shared" si="742"/>
        <v>365.25200000000001</v>
      </c>
      <c r="DL300" s="4">
        <f t="shared" si="900"/>
        <v>2.6459793328600653E-5</v>
      </c>
      <c r="DM300" s="4">
        <f t="shared" si="769"/>
        <v>7.5300553589211061</v>
      </c>
      <c r="DN300" s="4">
        <f t="shared" si="901"/>
        <v>0.37853477275297237</v>
      </c>
      <c r="DO300" s="4">
        <f t="shared" si="902"/>
        <v>5.1055258715715546</v>
      </c>
      <c r="DP300" s="4">
        <f t="shared" si="903"/>
        <v>6.4334553222331889</v>
      </c>
      <c r="DQ300" s="4">
        <f t="shared" si="904"/>
        <v>6.74772177292507</v>
      </c>
      <c r="DR300" s="38">
        <f t="shared" si="915"/>
        <v>733.59228929196956</v>
      </c>
      <c r="DS300" s="4">
        <f t="shared" si="829"/>
        <v>1.0001109883692636</v>
      </c>
      <c r="DT300" s="4">
        <f t="shared" si="905"/>
        <v>3.1780497164141401</v>
      </c>
      <c r="DU300" s="4">
        <f t="shared" si="842"/>
        <v>375.90169085254018</v>
      </c>
      <c r="DY300" s="4">
        <f t="shared" si="785"/>
        <v>0.85</v>
      </c>
      <c r="DZ300" s="4">
        <f t="shared" si="830"/>
        <v>0.83499999999999996</v>
      </c>
      <c r="EA300" s="4">
        <f t="shared" si="916"/>
        <v>1</v>
      </c>
      <c r="EB300" s="4">
        <f t="shared" si="831"/>
        <v>0.83499999999999996</v>
      </c>
      <c r="ED300" s="4">
        <f t="shared" si="917"/>
        <v>698.27519980410648</v>
      </c>
      <c r="EE300" s="25">
        <f t="shared" si="918"/>
        <v>373.42861162024997</v>
      </c>
      <c r="EG300" s="4">
        <f t="shared" si="843"/>
        <v>0.70974999999999999</v>
      </c>
      <c r="EH300" s="4">
        <f t="shared" si="919"/>
        <v>7.5300553589211061</v>
      </c>
      <c r="EK300" s="4">
        <f t="shared" si="906"/>
        <v>80.72246279691916</v>
      </c>
      <c r="EL300" s="4">
        <f t="shared" si="907"/>
        <v>3.1780497164141406</v>
      </c>
      <c r="EM300" s="4">
        <f t="shared" si="908"/>
        <v>0.12118119733241386</v>
      </c>
      <c r="EP300" s="4">
        <f t="shared" si="759"/>
        <v>0.12118119733241386</v>
      </c>
      <c r="EQ300" s="4">
        <f t="shared" si="721"/>
        <v>0.37790306876653901</v>
      </c>
      <c r="ER300" s="4">
        <f t="shared" si="770"/>
        <v>5.1021160953663882</v>
      </c>
      <c r="ES300" s="4">
        <f t="shared" si="743"/>
        <v>6.4321051546142112</v>
      </c>
      <c r="ET300" s="4">
        <f t="shared" si="771"/>
        <v>193.21653720308086</v>
      </c>
      <c r="EU300" s="4">
        <f t="shared" si="772"/>
        <v>91.312999999999988</v>
      </c>
      <c r="EV300" s="4">
        <f t="shared" si="832"/>
        <v>2.6459793328600646E-5</v>
      </c>
      <c r="EW300" s="4">
        <f t="shared" si="744"/>
        <v>6.7479315927314953</v>
      </c>
      <c r="EX300" s="4">
        <f t="shared" si="867"/>
        <v>733.51087811577031</v>
      </c>
      <c r="FA300" s="4">
        <f>5.25*25.4</f>
        <v>133.35</v>
      </c>
      <c r="FG300" s="23">
        <f t="shared" si="778"/>
        <v>2</v>
      </c>
      <c r="FH300" s="23">
        <f t="shared" si="778"/>
        <v>1.2</v>
      </c>
      <c r="FI300" s="23">
        <f t="shared" si="712"/>
        <v>1.2</v>
      </c>
      <c r="FJ300" s="23">
        <f t="shared" si="779"/>
        <v>2.2000000000000002</v>
      </c>
      <c r="FK300" s="23">
        <f t="shared" si="779"/>
        <v>1.2</v>
      </c>
      <c r="FL300" s="23">
        <f t="shared" si="779"/>
        <v>1.2</v>
      </c>
      <c r="FM300" s="23">
        <f t="shared" si="923"/>
        <v>0</v>
      </c>
      <c r="FN300" s="23"/>
      <c r="FX300" s="4">
        <f t="shared" si="833"/>
        <v>1</v>
      </c>
      <c r="FY300" s="4">
        <f t="shared" si="890"/>
        <v>0.5</v>
      </c>
      <c r="FZ300" s="4">
        <f t="shared" si="834"/>
        <v>0</v>
      </c>
      <c r="GA300" s="4">
        <f t="shared" si="835"/>
        <v>693.90295180669159</v>
      </c>
    </row>
    <row r="301" spans="1:183" ht="12" hidden="1" customHeight="1" x14ac:dyDescent="0.3">
      <c r="A301" s="25">
        <v>283</v>
      </c>
      <c r="B301" s="4" t="s">
        <v>605</v>
      </c>
      <c r="C301" s="4">
        <v>2016</v>
      </c>
      <c r="D301" s="4" t="s">
        <v>309</v>
      </c>
      <c r="E301" s="24" t="s">
        <v>667</v>
      </c>
      <c r="F301" s="7" t="s">
        <v>442</v>
      </c>
      <c r="G301" s="38">
        <f>120/0.145</f>
        <v>827.58620689655174</v>
      </c>
      <c r="H301" s="38">
        <f>14.38*25.4</f>
        <v>365.25200000000001</v>
      </c>
      <c r="I301" s="4">
        <f t="shared" si="746"/>
        <v>365.25200000000001</v>
      </c>
      <c r="J301" s="38">
        <f>5420/145</f>
        <v>37.379310344827587</v>
      </c>
      <c r="K301" s="38">
        <f t="shared" si="747"/>
        <v>25.4</v>
      </c>
      <c r="L301" s="7">
        <f t="shared" si="748"/>
        <v>14.38</v>
      </c>
      <c r="M301" s="7">
        <f t="shared" si="749"/>
        <v>14.38</v>
      </c>
      <c r="N301" s="38">
        <f>17.1*25.4</f>
        <v>434.34000000000003</v>
      </c>
      <c r="O301" s="38">
        <f>2.55*25.4</f>
        <v>64.77</v>
      </c>
      <c r="P301" s="39">
        <f>3.35*25.4</f>
        <v>85.09</v>
      </c>
      <c r="Q301" s="7">
        <f t="shared" si="750"/>
        <v>254.00000000000003</v>
      </c>
      <c r="R301" s="38">
        <v>2</v>
      </c>
      <c r="S301" s="4">
        <f t="shared" si="722"/>
        <v>260.34999999999997</v>
      </c>
      <c r="T301" s="7">
        <f t="shared" si="751"/>
        <v>3.05</v>
      </c>
      <c r="U301" s="7">
        <f t="shared" si="859"/>
        <v>3.05</v>
      </c>
      <c r="V301" s="38">
        <v>9.5</v>
      </c>
      <c r="W301" s="4">
        <f t="shared" si="752"/>
        <v>9.5</v>
      </c>
      <c r="X301" s="4">
        <f t="shared" si="753"/>
        <v>10.5</v>
      </c>
      <c r="Y301" s="7">
        <f t="shared" si="754"/>
        <v>82.305406869779816</v>
      </c>
      <c r="AB301" s="38">
        <f t="shared" si="786"/>
        <v>1056.5517241379309</v>
      </c>
      <c r="AC301" s="4">
        <v>153.19999999999999</v>
      </c>
      <c r="AD301" s="4">
        <f t="shared" si="899"/>
        <v>1.3411331667214759</v>
      </c>
      <c r="AE301" s="38">
        <f>0.375*25.4</f>
        <v>9.5249999999999986</v>
      </c>
      <c r="AF301" s="38">
        <v>10</v>
      </c>
      <c r="AG301" s="39">
        <f t="shared" ref="AG301:AG302" si="929">3*25.4</f>
        <v>76.199999999999989</v>
      </c>
      <c r="AH301" s="39">
        <v>3</v>
      </c>
      <c r="AI301" s="39">
        <v>2</v>
      </c>
      <c r="AJ301" s="7"/>
      <c r="AK301" s="4">
        <f t="shared" si="755"/>
        <v>365.25200000000001</v>
      </c>
      <c r="AL301" s="4">
        <f t="shared" si="910"/>
        <v>0.39638386648122398</v>
      </c>
      <c r="AM301" s="4">
        <f t="shared" si="911"/>
        <v>421.13102356726256</v>
      </c>
      <c r="AN301" s="4">
        <f t="shared" si="912"/>
        <v>0.74242002781641159</v>
      </c>
      <c r="AO301" s="4">
        <v>1.25</v>
      </c>
      <c r="AP301" s="4">
        <f t="shared" si="844"/>
        <v>2.5</v>
      </c>
      <c r="AQ301" s="38">
        <f t="shared" si="723"/>
        <v>387.28698833397465</v>
      </c>
      <c r="AR301" s="38">
        <f t="shared" si="913"/>
        <v>387.28698833397465</v>
      </c>
      <c r="AS301" s="38">
        <f t="shared" si="914"/>
        <v>3.3538382302464851</v>
      </c>
      <c r="AT301" s="38">
        <f t="shared" si="853"/>
        <v>387.2869883339747</v>
      </c>
      <c r="AU301" s="38">
        <f t="shared" si="820"/>
        <v>0.99999999999999989</v>
      </c>
      <c r="AV301" s="38">
        <f t="shared" si="715"/>
        <v>1.8146380609421366</v>
      </c>
      <c r="AW301" s="4">
        <f t="shared" si="707"/>
        <v>0</v>
      </c>
      <c r="AX301" s="4">
        <f t="shared" si="756"/>
        <v>462.72282981481186</v>
      </c>
      <c r="AY301" s="4">
        <f t="shared" si="724"/>
        <v>1</v>
      </c>
      <c r="AZ301" s="38">
        <f t="shared" si="837"/>
        <v>702.78570953848373</v>
      </c>
      <c r="BA301" s="4">
        <f t="shared" si="725"/>
        <v>0.3</v>
      </c>
      <c r="BB301" s="4">
        <f t="shared" si="726"/>
        <v>72.531803573471763</v>
      </c>
      <c r="BC301" s="4">
        <f t="shared" si="727"/>
        <v>775.31751311195546</v>
      </c>
      <c r="BE301" s="4">
        <f t="shared" si="854"/>
        <v>1.5</v>
      </c>
      <c r="BF301" s="4">
        <f t="shared" si="860"/>
        <v>670.75181607835691</v>
      </c>
      <c r="BH301" s="4">
        <f t="shared" si="861"/>
        <v>674.05744053931357</v>
      </c>
      <c r="BI301" s="4">
        <f t="shared" si="806"/>
        <v>0</v>
      </c>
      <c r="BJ301" s="4">
        <f t="shared" si="862"/>
        <v>0</v>
      </c>
      <c r="BR301" s="4">
        <f t="shared" si="728"/>
        <v>64.77</v>
      </c>
      <c r="BV301" s="9"/>
      <c r="BX301" s="9"/>
      <c r="BY301" s="9"/>
      <c r="BZ301" s="9">
        <f t="shared" si="729"/>
        <v>64.77</v>
      </c>
      <c r="CA301" s="9">
        <f t="shared" si="730"/>
        <v>127.00000000000001</v>
      </c>
      <c r="CB301" s="9">
        <f t="shared" si="821"/>
        <v>1.7665851027593089</v>
      </c>
      <c r="CC301" s="40">
        <f t="shared" si="757"/>
        <v>20</v>
      </c>
      <c r="CD301" s="9">
        <f t="shared" si="731"/>
        <v>0.05</v>
      </c>
      <c r="CE301" s="9">
        <f t="shared" si="732"/>
        <v>0.8</v>
      </c>
      <c r="CF301" s="9">
        <f t="shared" si="733"/>
        <v>0.99524931562137331</v>
      </c>
      <c r="CG301" s="9">
        <f t="shared" si="734"/>
        <v>0.68</v>
      </c>
      <c r="CH301" s="9">
        <f t="shared" si="822"/>
        <v>1.4481864738410275</v>
      </c>
      <c r="CI301" s="9">
        <f t="shared" si="823"/>
        <v>3.6204661846025687</v>
      </c>
      <c r="CJ301" s="40">
        <v>1</v>
      </c>
      <c r="CK301" s="9">
        <f t="shared" si="824"/>
        <v>425.4771860144939</v>
      </c>
      <c r="CM301" s="4">
        <f t="shared" si="735"/>
        <v>2.2833360622400622</v>
      </c>
      <c r="CN301" s="4">
        <f t="shared" si="736"/>
        <v>1.3627342427712779</v>
      </c>
      <c r="CO301" s="4">
        <f t="shared" si="708"/>
        <v>1.5751753462483433</v>
      </c>
      <c r="CP301" s="4">
        <f t="shared" si="737"/>
        <v>2.4832159252410291</v>
      </c>
      <c r="CQ301" s="4">
        <f t="shared" si="921"/>
        <v>1.3411331667214759</v>
      </c>
      <c r="CR301" s="4">
        <f t="shared" si="922"/>
        <v>1.4000927741086981</v>
      </c>
      <c r="CS301" s="4">
        <f t="shared" si="709"/>
        <v>1.3111850107642649</v>
      </c>
      <c r="CT301" s="4">
        <f t="shared" si="758"/>
        <v>10</v>
      </c>
      <c r="DA301" s="4">
        <f t="shared" ref="DA301:DB302" si="930">CM301</f>
        <v>2.2833360622400622</v>
      </c>
      <c r="DB301" s="4">
        <f t="shared" si="930"/>
        <v>1.3627342427712779</v>
      </c>
      <c r="DC301" s="4">
        <f t="shared" ref="DC301:DC302" si="931">CP301</f>
        <v>2.4832159252410291</v>
      </c>
      <c r="DD301" s="4">
        <f t="shared" ref="DD301:DD302" si="932">CS301</f>
        <v>1.3111850107642649</v>
      </c>
      <c r="DE301" s="4">
        <f t="shared" ref="DE301:DF302" si="933">CQ301</f>
        <v>1.3411331667214759</v>
      </c>
      <c r="DF301" s="4">
        <f t="shared" si="933"/>
        <v>1.4000927741086981</v>
      </c>
      <c r="DI301" s="4">
        <f t="shared" si="742"/>
        <v>365.25200000000001</v>
      </c>
      <c r="DL301" s="4">
        <f t="shared" si="900"/>
        <v>2.702479300338717E-5</v>
      </c>
      <c r="DM301" s="4">
        <f t="shared" si="769"/>
        <v>8.5743531134837028</v>
      </c>
      <c r="DN301" s="4">
        <f t="shared" si="901"/>
        <v>0.34927963094937564</v>
      </c>
      <c r="DO301" s="4">
        <f t="shared" si="902"/>
        <v>5.6295109559776204</v>
      </c>
      <c r="DP301" s="4">
        <f t="shared" si="903"/>
        <v>7.253587077871102</v>
      </c>
      <c r="DQ301" s="4">
        <f t="shared" si="904"/>
        <v>7.5555583110769451</v>
      </c>
      <c r="DR301" s="38">
        <f t="shared" si="915"/>
        <v>787.80523094568559</v>
      </c>
      <c r="DS301" s="4">
        <f t="shared" si="829"/>
        <v>1.0001127390428277</v>
      </c>
      <c r="DT301" s="4">
        <f t="shared" si="905"/>
        <v>3.2403703492039297</v>
      </c>
      <c r="DU301" s="4">
        <f t="shared" si="842"/>
        <v>387.2869883339747</v>
      </c>
      <c r="DY301" s="4">
        <f t="shared" si="785"/>
        <v>0.85</v>
      </c>
      <c r="DZ301" s="4">
        <f t="shared" si="830"/>
        <v>0.84499999999999997</v>
      </c>
      <c r="EA301" s="4">
        <f t="shared" si="916"/>
        <v>0.90625</v>
      </c>
      <c r="EB301" s="4">
        <f t="shared" si="831"/>
        <v>0.76578124999999997</v>
      </c>
      <c r="ED301" s="4">
        <f t="shared" si="917"/>
        <v>754.62979573659595</v>
      </c>
      <c r="EE301" s="25">
        <f t="shared" si="918"/>
        <v>384.732202420909</v>
      </c>
      <c r="EG301" s="4">
        <f t="shared" si="843"/>
        <v>0.65091406249999995</v>
      </c>
      <c r="EH301" s="4">
        <f t="shared" si="919"/>
        <v>8.5743531134837028</v>
      </c>
      <c r="EK301" s="4">
        <f t="shared" si="906"/>
        <v>82.305406869779816</v>
      </c>
      <c r="EL301" s="4">
        <f t="shared" si="907"/>
        <v>3.2403703492039302</v>
      </c>
      <c r="EM301" s="4">
        <f t="shared" si="908"/>
        <v>0.11676808747639772</v>
      </c>
      <c r="EP301" s="4">
        <f t="shared" si="759"/>
        <v>0.11676808747639772</v>
      </c>
      <c r="EQ301" s="4">
        <f t="shared" si="721"/>
        <v>0.34869674834219516</v>
      </c>
      <c r="ER301" s="4">
        <f t="shared" si="770"/>
        <v>5.6257512311251228</v>
      </c>
      <c r="ES301" s="4">
        <f t="shared" si="743"/>
        <v>7.2521319319342803</v>
      </c>
      <c r="ET301" s="4">
        <f t="shared" si="771"/>
        <v>191.63359313022022</v>
      </c>
      <c r="EU301" s="4">
        <f t="shared" si="772"/>
        <v>91.312999999999988</v>
      </c>
      <c r="EV301" s="4">
        <f t="shared" si="832"/>
        <v>2.7024793003387166E-5</v>
      </c>
      <c r="EW301" s="4">
        <f t="shared" si="744"/>
        <v>7.5558253038957233</v>
      </c>
      <c r="EX301" s="4">
        <f t="shared" si="867"/>
        <v>787.71642454996208</v>
      </c>
      <c r="FG301" s="23">
        <f t="shared" si="778"/>
        <v>2.2000000000000002</v>
      </c>
      <c r="FH301" s="23">
        <f t="shared" si="778"/>
        <v>1.4</v>
      </c>
      <c r="FI301" s="23">
        <f t="shared" si="712"/>
        <v>1.4</v>
      </c>
      <c r="FJ301" s="23">
        <f t="shared" si="779"/>
        <v>2.2000000000000002</v>
      </c>
      <c r="FK301" s="23">
        <f t="shared" si="779"/>
        <v>1.4</v>
      </c>
      <c r="FL301" s="23">
        <f t="shared" si="779"/>
        <v>1.6</v>
      </c>
      <c r="FM301" s="23">
        <f t="shared" si="923"/>
        <v>0</v>
      </c>
      <c r="FN301" s="23"/>
      <c r="FX301" s="4">
        <f t="shared" si="833"/>
        <v>1</v>
      </c>
      <c r="FY301" s="4">
        <f t="shared" si="890"/>
        <v>0.44</v>
      </c>
      <c r="FZ301" s="4">
        <f t="shared" si="834"/>
        <v>0.3</v>
      </c>
      <c r="GA301" s="4">
        <f t="shared" si="835"/>
        <v>805.7991171833844</v>
      </c>
    </row>
    <row r="302" spans="1:183" ht="12" hidden="1" customHeight="1" x14ac:dyDescent="0.3">
      <c r="A302" s="25">
        <v>284</v>
      </c>
      <c r="B302" s="4" t="s">
        <v>605</v>
      </c>
      <c r="C302" s="4">
        <v>2016</v>
      </c>
      <c r="D302" s="4" t="s">
        <v>309</v>
      </c>
      <c r="E302" s="24" t="s">
        <v>667</v>
      </c>
      <c r="F302" s="48" t="s">
        <v>443</v>
      </c>
      <c r="G302" s="38">
        <f>115.9/0.145</f>
        <v>799.31034482758628</v>
      </c>
      <c r="H302" s="38">
        <f>14.09*25.4</f>
        <v>357.88599999999997</v>
      </c>
      <c r="I302" s="4">
        <f t="shared" si="746"/>
        <v>357.88599999999997</v>
      </c>
      <c r="J302" s="38">
        <f>4970/145</f>
        <v>34.275862068965516</v>
      </c>
      <c r="K302" s="38">
        <f t="shared" si="747"/>
        <v>25.4</v>
      </c>
      <c r="L302" s="7">
        <f t="shared" si="748"/>
        <v>14.09</v>
      </c>
      <c r="M302" s="7">
        <f t="shared" si="749"/>
        <v>14.09</v>
      </c>
      <c r="N302" s="38">
        <f>17*25.4</f>
        <v>431.79999999999995</v>
      </c>
      <c r="O302" s="38">
        <f>2.5*25.4</f>
        <v>63.5</v>
      </c>
      <c r="P302" s="39">
        <f>3.45*25.4</f>
        <v>87.63</v>
      </c>
      <c r="Q302" s="7">
        <f t="shared" si="750"/>
        <v>253.99999999999994</v>
      </c>
      <c r="R302" s="38">
        <v>2</v>
      </c>
      <c r="S302" s="4">
        <f t="shared" si="722"/>
        <v>260.34999999999997</v>
      </c>
      <c r="T302" s="7">
        <f t="shared" si="751"/>
        <v>3</v>
      </c>
      <c r="U302" s="7">
        <f t="shared" si="859"/>
        <v>3</v>
      </c>
      <c r="V302" s="38">
        <v>9.1</v>
      </c>
      <c r="W302" s="4">
        <f t="shared" si="752"/>
        <v>9.1</v>
      </c>
      <c r="X302" s="4">
        <f t="shared" si="753"/>
        <v>10.1</v>
      </c>
      <c r="Y302" s="7">
        <f t="shared" si="754"/>
        <v>80.72246279691916</v>
      </c>
      <c r="AB302" s="38">
        <f t="shared" si="786"/>
        <v>1040.6896551724139</v>
      </c>
      <c r="AC302" s="4">
        <v>150.9</v>
      </c>
      <c r="AD302" s="4">
        <f t="shared" si="899"/>
        <v>1.4014181325909159</v>
      </c>
      <c r="AE302" s="38">
        <f>0.375*25.4</f>
        <v>9.5249999999999986</v>
      </c>
      <c r="AF302" s="38">
        <v>10</v>
      </c>
      <c r="AG302" s="39">
        <f t="shared" si="929"/>
        <v>76.199999999999989</v>
      </c>
      <c r="AH302" s="39">
        <v>3</v>
      </c>
      <c r="AI302" s="39">
        <v>2</v>
      </c>
      <c r="AJ302" s="7"/>
      <c r="AK302" s="4">
        <f t="shared" si="755"/>
        <v>357.88599999999997</v>
      </c>
      <c r="AL302" s="4">
        <f t="shared" si="910"/>
        <v>0.4021764845043766</v>
      </c>
      <c r="AM302" s="4">
        <f t="shared" si="911"/>
        <v>391.13253936070686</v>
      </c>
      <c r="AN302" s="4">
        <f t="shared" si="912"/>
        <v>0.74258339247693395</v>
      </c>
      <c r="AO302" s="4">
        <v>1.25</v>
      </c>
      <c r="AP302" s="4">
        <f t="shared" si="844"/>
        <v>2.5</v>
      </c>
      <c r="AQ302" s="38">
        <f t="shared" si="723"/>
        <v>365.03614973474515</v>
      </c>
      <c r="AR302" s="38">
        <f t="shared" si="913"/>
        <v>365.03614973474515</v>
      </c>
      <c r="AS302" s="38">
        <f t="shared" si="914"/>
        <v>3.1655330029957871</v>
      </c>
      <c r="AT302" s="38">
        <f t="shared" si="853"/>
        <v>365.03614973474498</v>
      </c>
      <c r="AU302" s="38">
        <f t="shared" si="820"/>
        <v>1.0000000000000004</v>
      </c>
      <c r="AV302" s="38">
        <f t="shared" si="715"/>
        <v>1.6995128711406806</v>
      </c>
      <c r="AW302" s="4">
        <f t="shared" si="707"/>
        <v>0</v>
      </c>
      <c r="AX302" s="4">
        <f t="shared" si="756"/>
        <v>434.16177628771254</v>
      </c>
      <c r="AY302" s="4">
        <f t="shared" si="724"/>
        <v>1</v>
      </c>
      <c r="AZ302" s="38">
        <f t="shared" si="837"/>
        <v>620.38363490583583</v>
      </c>
      <c r="BA302" s="4">
        <f t="shared" si="725"/>
        <v>0.3</v>
      </c>
      <c r="BB302" s="4">
        <f t="shared" si="726"/>
        <v>68.054858433098943</v>
      </c>
      <c r="BC302" s="4">
        <f t="shared" si="727"/>
        <v>688.43849333893479</v>
      </c>
      <c r="BE302" s="4">
        <f t="shared" si="854"/>
        <v>1.5</v>
      </c>
      <c r="BF302" s="4">
        <f t="shared" si="860"/>
        <v>634.66347750952457</v>
      </c>
      <c r="BH302" s="4">
        <f t="shared" si="861"/>
        <v>595.02377384952354</v>
      </c>
      <c r="BI302" s="4">
        <f t="shared" si="806"/>
        <v>0</v>
      </c>
      <c r="BJ302" s="4">
        <f t="shared" si="862"/>
        <v>0</v>
      </c>
      <c r="BR302" s="4">
        <f t="shared" si="728"/>
        <v>63.5</v>
      </c>
      <c r="BV302" s="9"/>
      <c r="BX302" s="9"/>
      <c r="BY302" s="9"/>
      <c r="BZ302" s="9">
        <f t="shared" si="729"/>
        <v>63.5</v>
      </c>
      <c r="CA302" s="9">
        <f t="shared" si="730"/>
        <v>126.99999999999997</v>
      </c>
      <c r="CB302" s="9">
        <f t="shared" si="821"/>
        <v>1.7543833769624846</v>
      </c>
      <c r="CC302" s="40">
        <f t="shared" si="757"/>
        <v>20</v>
      </c>
      <c r="CD302" s="9">
        <f t="shared" si="731"/>
        <v>0.05</v>
      </c>
      <c r="CE302" s="9">
        <f t="shared" si="732"/>
        <v>0.8</v>
      </c>
      <c r="CF302" s="9">
        <f t="shared" si="733"/>
        <v>0.99524931562137331</v>
      </c>
      <c r="CG302" s="9">
        <f t="shared" si="734"/>
        <v>0.68048275862068963</v>
      </c>
      <c r="CH302" s="9">
        <f t="shared" si="822"/>
        <v>1.3877500485016585</v>
      </c>
      <c r="CI302" s="9">
        <f t="shared" si="823"/>
        <v>3.4693751212541462</v>
      </c>
      <c r="CJ302" s="40">
        <v>1</v>
      </c>
      <c r="CK302" s="9">
        <f t="shared" si="824"/>
        <v>403.69648910913247</v>
      </c>
      <c r="CM302" s="47">
        <f t="shared" si="735"/>
        <v>2.3970089307971794</v>
      </c>
      <c r="CN302" s="47">
        <f t="shared" si="736"/>
        <v>1.5116668594823293</v>
      </c>
      <c r="CO302" s="47">
        <f t="shared" si="708"/>
        <v>1.6397503433727931</v>
      </c>
      <c r="CP302" s="47">
        <f t="shared" si="737"/>
        <v>2.5779011788509294</v>
      </c>
      <c r="CQ302" s="47">
        <f t="shared" si="921"/>
        <v>1.4014181325909159</v>
      </c>
      <c r="CR302" s="47">
        <f t="shared" si="922"/>
        <v>1.4707672066107018</v>
      </c>
      <c r="CS302" s="47">
        <f t="shared" si="709"/>
        <v>1.3404573544493805</v>
      </c>
      <c r="CT302" s="4">
        <f t="shared" si="758"/>
        <v>10</v>
      </c>
      <c r="DA302" s="4">
        <f t="shared" si="930"/>
        <v>2.3970089307971794</v>
      </c>
      <c r="DB302" s="4">
        <f t="shared" si="930"/>
        <v>1.5116668594823293</v>
      </c>
      <c r="DC302" s="4">
        <f t="shared" si="931"/>
        <v>2.5779011788509294</v>
      </c>
      <c r="DD302" s="4">
        <f t="shared" si="932"/>
        <v>1.3404573544493805</v>
      </c>
      <c r="DE302" s="4">
        <f t="shared" si="933"/>
        <v>1.4014181325909159</v>
      </c>
      <c r="DF302" s="4">
        <f t="shared" si="933"/>
        <v>1.4707672066107018</v>
      </c>
      <c r="DI302" s="4">
        <f t="shared" si="742"/>
        <v>357.88599999999997</v>
      </c>
      <c r="DL302" s="4">
        <f t="shared" si="900"/>
        <v>2.5926181363003004E-5</v>
      </c>
      <c r="DM302" s="4">
        <f t="shared" si="769"/>
        <v>8.1623967217189435</v>
      </c>
      <c r="DN302" s="4">
        <f t="shared" si="901"/>
        <v>0.3675931216831555</v>
      </c>
      <c r="DO302" s="4">
        <f t="shared" si="902"/>
        <v>5.4697143929160559</v>
      </c>
      <c r="DP302" s="4">
        <f t="shared" si="903"/>
        <v>6.9482475198388309</v>
      </c>
      <c r="DQ302" s="4">
        <f t="shared" si="904"/>
        <v>7.2856190833639527</v>
      </c>
      <c r="DR302" s="38">
        <f t="shared" si="915"/>
        <v>742.59753814402711</v>
      </c>
      <c r="DS302" s="4">
        <f t="shared" si="829"/>
        <v>1.0001152022194493</v>
      </c>
      <c r="DT302" s="4">
        <f t="shared" si="905"/>
        <v>3.1780497164141401</v>
      </c>
      <c r="DU302" s="4">
        <f t="shared" si="842"/>
        <v>365.03614973474498</v>
      </c>
      <c r="DY302" s="4">
        <f t="shared" si="785"/>
        <v>0.85</v>
      </c>
      <c r="DZ302" s="4">
        <f t="shared" si="830"/>
        <v>0.85</v>
      </c>
      <c r="EA302" s="4">
        <f t="shared" si="916"/>
        <v>0.90625</v>
      </c>
      <c r="EB302" s="4">
        <f t="shared" si="831"/>
        <v>0.77031249999999996</v>
      </c>
      <c r="ED302" s="4">
        <f t="shared" si="917"/>
        <v>707.5828523336628</v>
      </c>
      <c r="EE302" s="25">
        <f t="shared" si="918"/>
        <v>362.55834290660306</v>
      </c>
      <c r="EG302" s="4">
        <f t="shared" si="843"/>
        <v>0.65476562499999991</v>
      </c>
      <c r="EH302" s="4">
        <f t="shared" si="919"/>
        <v>8.1623967217189435</v>
      </c>
      <c r="EK302" s="4">
        <f t="shared" si="906"/>
        <v>80.72246279691916</v>
      </c>
      <c r="EL302" s="4">
        <f t="shared" si="907"/>
        <v>3.1780497164141406</v>
      </c>
      <c r="EM302" s="4">
        <f t="shared" si="908"/>
        <v>0.11767842170154946</v>
      </c>
      <c r="EP302" s="4">
        <f t="shared" si="759"/>
        <v>0.11767842170154946</v>
      </c>
      <c r="EQ302" s="4">
        <f t="shared" si="721"/>
        <v>0.36697967727311104</v>
      </c>
      <c r="ER302" s="4">
        <f t="shared" si="770"/>
        <v>5.4660613897866686</v>
      </c>
      <c r="ES302" s="4">
        <f t="shared" si="743"/>
        <v>6.9468129400643628</v>
      </c>
      <c r="ET302" s="4">
        <f t="shared" si="771"/>
        <v>187.69203720308082</v>
      </c>
      <c r="EU302" s="4">
        <f t="shared" si="772"/>
        <v>89.471499999999992</v>
      </c>
      <c r="EV302" s="4">
        <f t="shared" si="832"/>
        <v>2.5926181363003004E-5</v>
      </c>
      <c r="EW302" s="4">
        <f t="shared" si="744"/>
        <v>7.2858534123672989</v>
      </c>
      <c r="EX302" s="4">
        <f t="shared" si="867"/>
        <v>742.51199911376148</v>
      </c>
      <c r="FA302" s="4">
        <f>5.25*25.4</f>
        <v>133.35</v>
      </c>
      <c r="FG302" s="23">
        <f t="shared" si="778"/>
        <v>2.2000000000000002</v>
      </c>
      <c r="FH302" s="23">
        <f t="shared" si="778"/>
        <v>1.6</v>
      </c>
      <c r="FI302" s="23">
        <f t="shared" si="712"/>
        <v>1.4</v>
      </c>
      <c r="FJ302" s="23">
        <f t="shared" si="779"/>
        <v>2.2000000000000002</v>
      </c>
      <c r="FK302" s="23">
        <f t="shared" si="779"/>
        <v>1.6</v>
      </c>
      <c r="FL302" s="23">
        <f t="shared" si="779"/>
        <v>1.6</v>
      </c>
      <c r="FM302" s="23">
        <f t="shared" si="923"/>
        <v>0</v>
      </c>
      <c r="FN302" s="23"/>
      <c r="FX302" s="4">
        <f t="shared" si="833"/>
        <v>1</v>
      </c>
      <c r="FY302" s="4">
        <f t="shared" si="890"/>
        <v>0.43787748058671272</v>
      </c>
      <c r="FZ302" s="4">
        <f t="shared" si="834"/>
        <v>0.3</v>
      </c>
      <c r="GA302" s="4">
        <f t="shared" si="835"/>
        <v>776.36908904117877</v>
      </c>
    </row>
    <row r="303" spans="1:183" ht="12" hidden="1" customHeight="1" x14ac:dyDescent="0.3">
      <c r="A303" s="25">
        <v>285</v>
      </c>
      <c r="B303" s="4" t="s">
        <v>605</v>
      </c>
      <c r="C303" s="4">
        <v>2016</v>
      </c>
      <c r="D303" s="4" t="s">
        <v>309</v>
      </c>
      <c r="E303" s="24" t="s">
        <v>667</v>
      </c>
      <c r="F303" s="7" t="s">
        <v>444</v>
      </c>
      <c r="G303" s="38">
        <f>120/0.145</f>
        <v>827.58620689655174</v>
      </c>
      <c r="H303" s="38">
        <f>14.25*25.4</f>
        <v>361.95</v>
      </c>
      <c r="I303" s="4">
        <f t="shared" si="746"/>
        <v>361.95</v>
      </c>
      <c r="J303" s="38">
        <f>4960/145</f>
        <v>34.206896551724135</v>
      </c>
      <c r="K303" s="38">
        <f t="shared" si="747"/>
        <v>25.4</v>
      </c>
      <c r="L303" s="7">
        <f t="shared" si="748"/>
        <v>14.25</v>
      </c>
      <c r="M303" s="7">
        <f t="shared" si="749"/>
        <v>14.25</v>
      </c>
      <c r="N303" s="38">
        <f>16.9*25.4</f>
        <v>429.25999999999993</v>
      </c>
      <c r="O303" s="38">
        <f>2.45*25.4</f>
        <v>62.230000000000004</v>
      </c>
      <c r="P303" s="39">
        <f>3.4*25.4</f>
        <v>86.36</v>
      </c>
      <c r="Q303" s="7">
        <f t="shared" si="750"/>
        <v>114.29999999999997</v>
      </c>
      <c r="R303" s="38">
        <v>3</v>
      </c>
      <c r="S303" s="4">
        <f t="shared" si="722"/>
        <v>260.34999999999997</v>
      </c>
      <c r="T303" s="7">
        <f t="shared" si="751"/>
        <v>2.7499999999999996</v>
      </c>
      <c r="U303" s="7">
        <f t="shared" si="859"/>
        <v>2.95</v>
      </c>
      <c r="V303" s="38">
        <v>9.5</v>
      </c>
      <c r="W303" s="4">
        <f t="shared" si="752"/>
        <v>9.5</v>
      </c>
      <c r="X303" s="4">
        <f t="shared" si="753"/>
        <v>10.5</v>
      </c>
      <c r="Y303" s="7">
        <f t="shared" si="754"/>
        <v>82.305406869779816</v>
      </c>
      <c r="AB303" s="38">
        <f t="shared" si="786"/>
        <v>640.68965517241384</v>
      </c>
      <c r="AC303" s="4">
        <v>92.9</v>
      </c>
      <c r="AD303" s="4">
        <f t="shared" si="899"/>
        <v>1.1403447227271795</v>
      </c>
      <c r="AE303" s="38"/>
      <c r="AF303" s="38"/>
      <c r="AG303" s="39">
        <v>1</v>
      </c>
      <c r="AH303" s="39"/>
      <c r="AI303" s="39"/>
      <c r="AJ303" s="7"/>
      <c r="AK303" s="4">
        <f t="shared" si="755"/>
        <v>361.95</v>
      </c>
      <c r="AL303" s="4">
        <f t="shared" si="910"/>
        <v>0.39532163742690052</v>
      </c>
      <c r="AM303" s="4">
        <f t="shared" si="911"/>
        <v>264.94220061382879</v>
      </c>
      <c r="AN303" s="4">
        <f t="shared" si="912"/>
        <v>0.74140350877192973</v>
      </c>
      <c r="AO303" s="4">
        <v>1.25</v>
      </c>
      <c r="AP303" s="4">
        <f t="shared" si="844"/>
        <v>2.5</v>
      </c>
      <c r="AQ303" s="38">
        <f t="shared" si="723"/>
        <v>242.66457631218935</v>
      </c>
      <c r="AR303" s="38">
        <f t="shared" si="913"/>
        <v>242.66457631218935</v>
      </c>
      <c r="AS303" s="38">
        <f t="shared" si="914"/>
        <v>3.1612853899839108</v>
      </c>
      <c r="AT303" s="38">
        <f t="shared" si="853"/>
        <v>242.66457631218921</v>
      </c>
      <c r="AU303" s="38">
        <f t="shared" si="820"/>
        <v>1.0000000000000007</v>
      </c>
      <c r="AV303" s="38">
        <f t="shared" si="715"/>
        <v>2.4591528566563099</v>
      </c>
      <c r="AW303" s="4">
        <f t="shared" si="707"/>
        <v>0</v>
      </c>
      <c r="AX303" s="4">
        <f t="shared" si="756"/>
        <v>438.64996649201771</v>
      </c>
      <c r="AY303" s="4">
        <f t="shared" si="724"/>
        <v>1.0290909090909093</v>
      </c>
      <c r="AZ303" s="38">
        <f t="shared" si="837"/>
        <v>596.74928604741319</v>
      </c>
      <c r="BA303" s="4">
        <f t="shared" si="725"/>
        <v>0.3</v>
      </c>
      <c r="BB303" s="4">
        <f t="shared" si="726"/>
        <v>68.758382247623786</v>
      </c>
      <c r="BC303" s="4">
        <f t="shared" si="727"/>
        <v>665.50766829503698</v>
      </c>
      <c r="BE303" s="4">
        <f t="shared" si="854"/>
        <v>1.3625</v>
      </c>
      <c r="BF303" s="4">
        <f t="shared" si="860"/>
        <v>579.7307619650129</v>
      </c>
      <c r="BH303" s="4">
        <f t="shared" si="861"/>
        <v>572.35554300176852</v>
      </c>
      <c r="BI303" s="4">
        <f t="shared" si="806"/>
        <v>0</v>
      </c>
      <c r="BJ303" s="4">
        <f t="shared" si="862"/>
        <v>0</v>
      </c>
      <c r="BR303" s="4">
        <f t="shared" si="728"/>
        <v>57.149999999999984</v>
      </c>
      <c r="BV303" s="9"/>
      <c r="BX303" s="9"/>
      <c r="BY303" s="9"/>
      <c r="BZ303" s="9">
        <f t="shared" si="729"/>
        <v>57.149999999999984</v>
      </c>
      <c r="CA303" s="9">
        <f t="shared" si="730"/>
        <v>62.230000000000004</v>
      </c>
      <c r="CB303" s="9">
        <f t="shared" si="821"/>
        <v>1.5192834046120851</v>
      </c>
      <c r="CC303" s="40">
        <f t="shared" si="757"/>
        <v>0</v>
      </c>
      <c r="CD303" s="9">
        <f t="shared" si="731"/>
        <v>0</v>
      </c>
      <c r="CE303" s="9">
        <f t="shared" si="732"/>
        <v>0</v>
      </c>
      <c r="CF303" s="9">
        <f t="shared" si="733"/>
        <v>0.99524931562137331</v>
      </c>
      <c r="CG303" s="9">
        <f t="shared" si="734"/>
        <v>0.68</v>
      </c>
      <c r="CH303" s="9">
        <f t="shared" si="822"/>
        <v>1.3853696905299668</v>
      </c>
      <c r="CI303" s="9">
        <f t="shared" si="823"/>
        <v>2.1047691800747588</v>
      </c>
      <c r="CJ303" s="40">
        <v>1</v>
      </c>
      <c r="CK303" s="9">
        <f t="shared" si="824"/>
        <v>246.25799406874677</v>
      </c>
      <c r="CM303" s="4">
        <f t="shared" si="735"/>
        <v>1.4605943328712707</v>
      </c>
      <c r="CN303" s="4">
        <f t="shared" si="736"/>
        <v>0.96270814852336062</v>
      </c>
      <c r="CO303" s="4">
        <f t="shared" si="708"/>
        <v>1.1051503511747058</v>
      </c>
      <c r="CP303" s="4">
        <f t="shared" si="737"/>
        <v>2.6017009421166457</v>
      </c>
      <c r="CQ303" s="4">
        <f t="shared" si="921"/>
        <v>1.1403447227271795</v>
      </c>
      <c r="CR303" s="4">
        <f t="shared" si="922"/>
        <v>1.1693024959062237</v>
      </c>
      <c r="CS303" s="4">
        <f t="shared" si="709"/>
        <v>1.6507806323592806</v>
      </c>
      <c r="CT303" s="4">
        <f t="shared" si="758"/>
        <v>0</v>
      </c>
      <c r="CU303" s="4">
        <f t="shared" ref="CU303:CV304" si="934">CM303</f>
        <v>1.4605943328712707</v>
      </c>
      <c r="CV303" s="4">
        <f t="shared" si="934"/>
        <v>0.96270814852336062</v>
      </c>
      <c r="CW303" s="4">
        <f t="shared" ref="CW303:CW304" si="935">CP303</f>
        <v>2.6017009421166457</v>
      </c>
      <c r="CX303" s="4">
        <f t="shared" ref="CX303:CX304" si="936">CS303</f>
        <v>1.6507806323592806</v>
      </c>
      <c r="CY303" s="4">
        <f t="shared" ref="CY303:CZ304" si="937">CQ303</f>
        <v>1.1403447227271795</v>
      </c>
      <c r="CZ303" s="4">
        <f t="shared" si="937"/>
        <v>1.1693024959062237</v>
      </c>
      <c r="DI303" s="4">
        <f t="shared" si="742"/>
        <v>361.95</v>
      </c>
      <c r="DL303" s="4">
        <f t="shared" si="900"/>
        <v>2.6208135918027901E-5</v>
      </c>
      <c r="DM303" s="4">
        <f t="shared" si="769"/>
        <v>7.1785914172642658</v>
      </c>
      <c r="DN303" s="4">
        <f t="shared" si="901"/>
        <v>0.2391466748947412</v>
      </c>
      <c r="DO303" s="4">
        <f t="shared" si="902"/>
        <v>4.0504658421393991</v>
      </c>
      <c r="DP303" s="4">
        <f t="shared" si="903"/>
        <v>5.8298602507377382</v>
      </c>
      <c r="DQ303" s="4">
        <f t="shared" si="904"/>
        <v>6.5270920350110737</v>
      </c>
      <c r="DR303" s="38">
        <f t="shared" si="915"/>
        <v>561.83857600549004</v>
      </c>
      <c r="DS303" s="4">
        <f t="shared" si="829"/>
        <v>1.0001081698258725</v>
      </c>
      <c r="DT303" s="4">
        <f t="shared" si="905"/>
        <v>3.2403703492039297</v>
      </c>
      <c r="DU303" s="4">
        <f t="shared" si="842"/>
        <v>242.66457631218921</v>
      </c>
      <c r="DY303" s="4">
        <f t="shared" si="785"/>
        <v>0.85</v>
      </c>
      <c r="DZ303" s="4">
        <f t="shared" si="830"/>
        <v>0.875</v>
      </c>
      <c r="EA303" s="4">
        <f t="shared" si="916"/>
        <v>1</v>
      </c>
      <c r="EB303" s="4">
        <f t="shared" si="831"/>
        <v>0.875</v>
      </c>
      <c r="ED303" s="4">
        <f t="shared" si="917"/>
        <v>547.92464517564508</v>
      </c>
      <c r="EE303" s="25">
        <f t="shared" si="918"/>
        <v>241.03986208759761</v>
      </c>
      <c r="EG303" s="4">
        <f t="shared" si="843"/>
        <v>0.74375000000000002</v>
      </c>
      <c r="EH303" s="4">
        <f t="shared" si="919"/>
        <v>7.1785914172642658</v>
      </c>
      <c r="EK303" s="4">
        <f t="shared" si="906"/>
        <v>82.305406869779816</v>
      </c>
      <c r="EL303" s="4">
        <f t="shared" si="907"/>
        <v>3.2403703492039302</v>
      </c>
      <c r="EM303" s="4">
        <f t="shared" si="908"/>
        <v>7.6481509216506982E-2</v>
      </c>
      <c r="EP303" s="4">
        <f t="shared" si="759"/>
        <v>7.6481509216506982E-2</v>
      </c>
      <c r="EQ303" s="4">
        <f t="shared" si="721"/>
        <v>0.2387475836652232</v>
      </c>
      <c r="ER303" s="4">
        <f t="shared" si="770"/>
        <v>4.0477606982627874</v>
      </c>
      <c r="ES303" s="4">
        <f t="shared" si="743"/>
        <v>5.828926683373596</v>
      </c>
      <c r="ET303" s="4">
        <f t="shared" si="771"/>
        <v>189.15709313022018</v>
      </c>
      <c r="EU303" s="4">
        <f t="shared" si="772"/>
        <v>90.487500000000011</v>
      </c>
      <c r="EV303" s="4">
        <f t="shared" si="832"/>
        <v>2.6208135918027901E-5</v>
      </c>
      <c r="EW303" s="4">
        <f t="shared" si="744"/>
        <v>6.5272397439999459</v>
      </c>
      <c r="EX303" s="4">
        <f t="shared" si="867"/>
        <v>561.77780859775498</v>
      </c>
      <c r="FG303" s="23">
        <f t="shared" si="778"/>
        <v>1.6</v>
      </c>
      <c r="FH303" s="23">
        <f t="shared" si="778"/>
        <v>1</v>
      </c>
      <c r="FI303" s="23">
        <f t="shared" si="712"/>
        <v>1.8</v>
      </c>
      <c r="FJ303" s="23">
        <f t="shared" si="779"/>
        <v>2.2000000000000002</v>
      </c>
      <c r="FK303" s="23">
        <f t="shared" si="779"/>
        <v>1.2</v>
      </c>
      <c r="FL303" s="23">
        <f t="shared" si="779"/>
        <v>1.2</v>
      </c>
      <c r="FM303" s="23">
        <f t="shared" si="923"/>
        <v>0</v>
      </c>
      <c r="FN303" s="23"/>
      <c r="FX303" s="4">
        <f t="shared" si="833"/>
        <v>1.25</v>
      </c>
      <c r="FY303" s="4">
        <f t="shared" si="890"/>
        <v>0.70833333333333326</v>
      </c>
      <c r="FZ303" s="4">
        <f t="shared" si="834"/>
        <v>0</v>
      </c>
      <c r="GA303" s="4">
        <f t="shared" si="835"/>
        <v>388.11314030062613</v>
      </c>
    </row>
    <row r="304" spans="1:183" ht="12" hidden="1" customHeight="1" x14ac:dyDescent="0.3">
      <c r="A304" s="25">
        <v>286</v>
      </c>
      <c r="B304" s="4" t="s">
        <v>605</v>
      </c>
      <c r="C304" s="4">
        <v>2016</v>
      </c>
      <c r="D304" s="4" t="s">
        <v>309</v>
      </c>
      <c r="E304" s="24" t="s">
        <v>667</v>
      </c>
      <c r="F304" s="48" t="s">
        <v>445</v>
      </c>
      <c r="G304" s="38">
        <f>115.9/0.145</f>
        <v>799.31034482758628</v>
      </c>
      <c r="H304" s="38">
        <f>14.35*25.4</f>
        <v>364.48999999999995</v>
      </c>
      <c r="I304" s="4">
        <f t="shared" si="746"/>
        <v>364.48999999999995</v>
      </c>
      <c r="J304" s="38">
        <f t="shared" ref="J304" si="938">4960/145</f>
        <v>34.206896551724135</v>
      </c>
      <c r="K304" s="38">
        <f t="shared" si="747"/>
        <v>25.4</v>
      </c>
      <c r="L304" s="7">
        <f t="shared" si="748"/>
        <v>14.35</v>
      </c>
      <c r="M304" s="7">
        <f t="shared" si="749"/>
        <v>14.35</v>
      </c>
      <c r="N304" s="38">
        <f t="shared" ref="N304" si="939">16.9*25.4</f>
        <v>429.25999999999993</v>
      </c>
      <c r="O304" s="38">
        <f>2.45*25.4</f>
        <v>62.230000000000004</v>
      </c>
      <c r="P304" s="39">
        <f>3.2*25.4</f>
        <v>81.28</v>
      </c>
      <c r="Q304" s="7">
        <f t="shared" si="750"/>
        <v>114.29999999999997</v>
      </c>
      <c r="R304" s="38">
        <v>3</v>
      </c>
      <c r="S304" s="4">
        <f t="shared" si="722"/>
        <v>260.34999999999997</v>
      </c>
      <c r="T304" s="7">
        <f t="shared" si="751"/>
        <v>2.7499999999999996</v>
      </c>
      <c r="U304" s="7">
        <f t="shared" si="859"/>
        <v>2.95</v>
      </c>
      <c r="V304" s="38">
        <v>9.1</v>
      </c>
      <c r="W304" s="4">
        <f t="shared" si="752"/>
        <v>9.1</v>
      </c>
      <c r="X304" s="4">
        <f t="shared" si="753"/>
        <v>10.1</v>
      </c>
      <c r="Y304" s="7">
        <f t="shared" si="754"/>
        <v>80.72246279691916</v>
      </c>
      <c r="AB304" s="38">
        <f t="shared" si="786"/>
        <v>660.68965517241384</v>
      </c>
      <c r="AC304" s="4">
        <v>95.8</v>
      </c>
      <c r="AD304" s="4">
        <f t="shared" si="899"/>
        <v>1.1667495807153807</v>
      </c>
      <c r="AE304" s="38"/>
      <c r="AF304" s="38"/>
      <c r="AG304" s="39">
        <v>1</v>
      </c>
      <c r="AH304" s="39"/>
      <c r="AI304" s="39"/>
      <c r="AJ304" s="7"/>
      <c r="AK304" s="4">
        <f t="shared" si="755"/>
        <v>364.48999999999995</v>
      </c>
      <c r="AL304" s="4">
        <f t="shared" si="910"/>
        <v>0.39256678281068519</v>
      </c>
      <c r="AM304" s="4">
        <f t="shared" si="911"/>
        <v>267.73595292203152</v>
      </c>
      <c r="AN304" s="4">
        <f t="shared" si="912"/>
        <v>0.74111498257839714</v>
      </c>
      <c r="AO304" s="4">
        <v>1.25</v>
      </c>
      <c r="AP304" s="4">
        <f t="shared" si="844"/>
        <v>2.5</v>
      </c>
      <c r="AQ304" s="38">
        <f t="shared" si="723"/>
        <v>243.41977575810324</v>
      </c>
      <c r="AR304" s="38">
        <f t="shared" si="913"/>
        <v>243.41977575810324</v>
      </c>
      <c r="AS304" s="38">
        <f t="shared" si="914"/>
        <v>3.1612853899839108</v>
      </c>
      <c r="AT304" s="38">
        <f t="shared" si="853"/>
        <v>243.41977575810327</v>
      </c>
      <c r="AU304" s="38">
        <f t="shared" si="820"/>
        <v>0.99999999999999989</v>
      </c>
      <c r="AV304" s="38">
        <f t="shared" si="715"/>
        <v>2.3993573988971941</v>
      </c>
      <c r="AW304" s="4">
        <f t="shared" ref="AW304:AW367" si="940">IF(AV304&lt;1,1,0)</f>
        <v>0</v>
      </c>
      <c r="AX304" s="4">
        <f t="shared" si="756"/>
        <v>441.72821187090909</v>
      </c>
      <c r="AY304" s="4">
        <f t="shared" si="724"/>
        <v>1.0290909090909093</v>
      </c>
      <c r="AZ304" s="38">
        <f t="shared" si="837"/>
        <v>584.05104000310098</v>
      </c>
      <c r="BA304" s="4">
        <f t="shared" si="725"/>
        <v>0.3</v>
      </c>
      <c r="BB304" s="4">
        <f t="shared" si="726"/>
        <v>69.240897210764984</v>
      </c>
      <c r="BC304" s="4">
        <f t="shared" si="727"/>
        <v>653.29193721386594</v>
      </c>
      <c r="BE304" s="4">
        <f t="shared" si="854"/>
        <v>1.3625</v>
      </c>
      <c r="BF304" s="4">
        <f t="shared" si="860"/>
        <v>582.12140428239445</v>
      </c>
      <c r="BH304" s="4">
        <f t="shared" si="861"/>
        <v>560.17637215097193</v>
      </c>
      <c r="BI304" s="4">
        <f t="shared" si="806"/>
        <v>0</v>
      </c>
      <c r="BJ304" s="4">
        <f t="shared" si="862"/>
        <v>0</v>
      </c>
      <c r="BR304" s="4">
        <f t="shared" si="728"/>
        <v>57.149999999999984</v>
      </c>
      <c r="BV304" s="9"/>
      <c r="BX304" s="9"/>
      <c r="BY304" s="9"/>
      <c r="BZ304" s="9">
        <f t="shared" si="729"/>
        <v>57.149999999999984</v>
      </c>
      <c r="CA304" s="9">
        <f t="shared" si="730"/>
        <v>62.230000000000004</v>
      </c>
      <c r="CB304" s="9">
        <f t="shared" si="821"/>
        <v>1.5192834046120851</v>
      </c>
      <c r="CC304" s="40">
        <f t="shared" si="757"/>
        <v>0</v>
      </c>
      <c r="CD304" s="9">
        <f t="shared" si="731"/>
        <v>0</v>
      </c>
      <c r="CE304" s="9">
        <f t="shared" si="732"/>
        <v>0</v>
      </c>
      <c r="CF304" s="9">
        <f t="shared" si="733"/>
        <v>0.99524931562137331</v>
      </c>
      <c r="CG304" s="9">
        <f t="shared" si="734"/>
        <v>0.68048275862068963</v>
      </c>
      <c r="CH304" s="9">
        <f t="shared" si="822"/>
        <v>1.3863532187078278</v>
      </c>
      <c r="CI304" s="9">
        <f t="shared" si="823"/>
        <v>2.1062634381133511</v>
      </c>
      <c r="CJ304" s="40">
        <v>1</v>
      </c>
      <c r="CK304" s="9">
        <f t="shared" si="824"/>
        <v>247.27532763450742</v>
      </c>
      <c r="CM304" s="4">
        <f t="shared" si="735"/>
        <v>1.4956926848165499</v>
      </c>
      <c r="CN304" s="4">
        <f t="shared" si="736"/>
        <v>1.0113237551807197</v>
      </c>
      <c r="CO304" s="4">
        <f t="shared" si="708"/>
        <v>1.1349688403690872</v>
      </c>
      <c r="CP304" s="4">
        <f t="shared" si="737"/>
        <v>2.6718785957852038</v>
      </c>
      <c r="CQ304" s="4">
        <f t="shared" si="921"/>
        <v>1.1667495807153807</v>
      </c>
      <c r="CR304" s="4">
        <f t="shared" si="922"/>
        <v>1.1994142932326093</v>
      </c>
      <c r="CS304" s="4">
        <f t="shared" si="709"/>
        <v>1.6904491962548411</v>
      </c>
      <c r="CT304" s="4">
        <f t="shared" si="758"/>
        <v>0</v>
      </c>
      <c r="CU304" s="4">
        <f t="shared" si="934"/>
        <v>1.4956926848165499</v>
      </c>
      <c r="CV304" s="4">
        <f t="shared" si="934"/>
        <v>1.0113237551807197</v>
      </c>
      <c r="CW304" s="4">
        <f t="shared" si="935"/>
        <v>2.6718785957852038</v>
      </c>
      <c r="CX304" s="4">
        <f t="shared" si="936"/>
        <v>1.6904491962548411</v>
      </c>
      <c r="CY304" s="4">
        <f t="shared" si="937"/>
        <v>1.1667495807153807</v>
      </c>
      <c r="CZ304" s="4">
        <f t="shared" si="937"/>
        <v>1.1994142932326093</v>
      </c>
      <c r="DI304" s="4">
        <f t="shared" si="742"/>
        <v>364.48999999999995</v>
      </c>
      <c r="DL304" s="4">
        <f t="shared" si="900"/>
        <v>2.6392052661312303E-5</v>
      </c>
      <c r="DM304" s="4">
        <f t="shared" si="769"/>
        <v>7.1785914172642658</v>
      </c>
      <c r="DN304" s="4">
        <f t="shared" si="901"/>
        <v>0.24561906376309534</v>
      </c>
      <c r="DO304" s="4">
        <f t="shared" si="902"/>
        <v>4.0939644205144168</v>
      </c>
      <c r="DP304" s="4">
        <f t="shared" si="903"/>
        <v>5.8449398825812473</v>
      </c>
      <c r="DQ304" s="4">
        <f t="shared" si="904"/>
        <v>6.5142498463012739</v>
      </c>
      <c r="DR304" s="38">
        <f t="shared" si="915"/>
        <v>566.26517471497073</v>
      </c>
      <c r="DS304" s="4">
        <f t="shared" si="829"/>
        <v>1.0001085615754768</v>
      </c>
      <c r="DT304" s="4">
        <f t="shared" si="905"/>
        <v>3.1780497164141401</v>
      </c>
      <c r="DU304" s="4">
        <f t="shared" si="842"/>
        <v>243.41977575810327</v>
      </c>
      <c r="DY304" s="4">
        <f t="shared" si="785"/>
        <v>0.85</v>
      </c>
      <c r="DZ304" s="4">
        <f t="shared" si="830"/>
        <v>0.875</v>
      </c>
      <c r="EA304" s="4">
        <f t="shared" si="916"/>
        <v>1</v>
      </c>
      <c r="EB304" s="4">
        <f t="shared" si="831"/>
        <v>0.875</v>
      </c>
      <c r="ED304" s="4">
        <f t="shared" si="917"/>
        <v>550.84357331756632</v>
      </c>
      <c r="EE304" s="25">
        <f t="shared" si="918"/>
        <v>241.80521280433967</v>
      </c>
      <c r="EG304" s="4">
        <f t="shared" si="843"/>
        <v>0.74375000000000002</v>
      </c>
      <c r="EH304" s="4">
        <f t="shared" si="919"/>
        <v>7.1785914172642658</v>
      </c>
      <c r="EK304" s="4">
        <f t="shared" si="906"/>
        <v>80.72246279691916</v>
      </c>
      <c r="EL304" s="4">
        <f t="shared" si="907"/>
        <v>3.1780497164141406</v>
      </c>
      <c r="EM304" s="4">
        <f t="shared" si="908"/>
        <v>7.8551444201409956E-2</v>
      </c>
      <c r="EP304" s="4">
        <f t="shared" si="759"/>
        <v>7.8551444201409956E-2</v>
      </c>
      <c r="EQ304" s="4">
        <f t="shared" si="721"/>
        <v>0.24520917132284534</v>
      </c>
      <c r="ER304" s="4">
        <f t="shared" si="770"/>
        <v>4.0912302256798361</v>
      </c>
      <c r="ES304" s="4">
        <f t="shared" si="743"/>
        <v>5.8439882654616717</v>
      </c>
      <c r="ET304" s="4">
        <f t="shared" si="771"/>
        <v>192.64503720308079</v>
      </c>
      <c r="EU304" s="4">
        <f t="shared" si="772"/>
        <v>91.122500000000002</v>
      </c>
      <c r="EV304" s="4">
        <f t="shared" si="832"/>
        <v>2.6392052661312303E-5</v>
      </c>
      <c r="EW304" s="4">
        <f t="shared" si="744"/>
        <v>6.5144003433715776</v>
      </c>
      <c r="EX304" s="4">
        <f t="shared" si="867"/>
        <v>566.20370674852529</v>
      </c>
      <c r="FA304" s="4">
        <f>5.25*25.4</f>
        <v>133.35</v>
      </c>
      <c r="FG304" s="23">
        <f t="shared" si="778"/>
        <v>1.6</v>
      </c>
      <c r="FH304" s="23">
        <f t="shared" si="778"/>
        <v>1.2</v>
      </c>
      <c r="FI304" s="23">
        <f t="shared" si="712"/>
        <v>1.8</v>
      </c>
      <c r="FJ304" s="23">
        <f t="shared" si="779"/>
        <v>2.2000000000000002</v>
      </c>
      <c r="FK304" s="23">
        <f t="shared" si="779"/>
        <v>1.2</v>
      </c>
      <c r="FL304" s="23">
        <f t="shared" si="779"/>
        <v>1.2</v>
      </c>
      <c r="FM304" s="23">
        <f t="shared" si="923"/>
        <v>0</v>
      </c>
      <c r="FN304" s="23"/>
      <c r="FX304" s="4">
        <f t="shared" si="833"/>
        <v>1.25</v>
      </c>
      <c r="FY304" s="4">
        <f t="shared" si="890"/>
        <v>0.70833333333333326</v>
      </c>
      <c r="FZ304" s="4">
        <f t="shared" si="834"/>
        <v>0</v>
      </c>
      <c r="GA304" s="4">
        <f t="shared" si="835"/>
        <v>390.83674128519186</v>
      </c>
    </row>
    <row r="305" spans="1:183" ht="12" hidden="1" customHeight="1" x14ac:dyDescent="0.3">
      <c r="A305" s="25">
        <v>287</v>
      </c>
      <c r="B305" s="4" t="s">
        <v>605</v>
      </c>
      <c r="C305" s="4">
        <v>2016</v>
      </c>
      <c r="D305" s="4" t="s">
        <v>309</v>
      </c>
      <c r="E305" s="24" t="s">
        <v>667</v>
      </c>
      <c r="F305" s="7" t="s">
        <v>446</v>
      </c>
      <c r="G305" s="38">
        <f>120/0.145</f>
        <v>827.58620689655174</v>
      </c>
      <c r="H305" s="38">
        <f>14.42*25.4</f>
        <v>366.26799999999997</v>
      </c>
      <c r="I305" s="4">
        <f t="shared" si="746"/>
        <v>366.26799999999997</v>
      </c>
      <c r="J305" s="38">
        <f>5370/145</f>
        <v>37.03448275862069</v>
      </c>
      <c r="K305" s="38">
        <f t="shared" si="747"/>
        <v>25.4</v>
      </c>
      <c r="L305" s="7">
        <f t="shared" si="748"/>
        <v>14.42</v>
      </c>
      <c r="M305" s="7">
        <f t="shared" si="749"/>
        <v>14.42</v>
      </c>
      <c r="N305" s="38">
        <f>17.4*25.4</f>
        <v>441.95999999999992</v>
      </c>
      <c r="O305" s="38">
        <f>2.65*25.4</f>
        <v>67.309999999999988</v>
      </c>
      <c r="P305" s="39">
        <f>3.2*25.4</f>
        <v>81.28</v>
      </c>
      <c r="Q305" s="7">
        <f t="shared" si="750"/>
        <v>115.56999999999998</v>
      </c>
      <c r="R305" s="38">
        <v>3</v>
      </c>
      <c r="S305" s="4">
        <f t="shared" si="722"/>
        <v>260.34999999999997</v>
      </c>
      <c r="T305" s="7">
        <f t="shared" si="751"/>
        <v>2.7749999999999999</v>
      </c>
      <c r="U305" s="7">
        <f t="shared" si="859"/>
        <v>3.1499999999999995</v>
      </c>
      <c r="V305" s="38">
        <v>9.5</v>
      </c>
      <c r="W305" s="4">
        <f t="shared" si="752"/>
        <v>9.5</v>
      </c>
      <c r="X305" s="4">
        <f t="shared" si="753"/>
        <v>10.5</v>
      </c>
      <c r="Y305" s="7">
        <f t="shared" si="754"/>
        <v>82.305406869779816</v>
      </c>
      <c r="AB305" s="38">
        <f t="shared" si="786"/>
        <v>825.51724137931046</v>
      </c>
      <c r="AC305" s="4">
        <v>119.7</v>
      </c>
      <c r="AD305" s="4">
        <f t="shared" si="899"/>
        <v>1.3055599870590859</v>
      </c>
      <c r="AE305" s="38">
        <f>0.375*25.4</f>
        <v>9.5249999999999986</v>
      </c>
      <c r="AF305" s="38">
        <v>10</v>
      </c>
      <c r="AG305" s="39">
        <f t="shared" ref="AG305:AG306" si="941">3*25.4</f>
        <v>76.199999999999989</v>
      </c>
      <c r="AH305" s="39">
        <v>3</v>
      </c>
      <c r="AI305" s="39">
        <v>2</v>
      </c>
      <c r="AJ305" s="7"/>
      <c r="AK305" s="4">
        <f t="shared" si="755"/>
        <v>366.26799999999997</v>
      </c>
      <c r="AL305" s="4">
        <f t="shared" si="910"/>
        <v>0.40221914008321769</v>
      </c>
      <c r="AM305" s="4">
        <f t="shared" si="911"/>
        <v>280.62285446564027</v>
      </c>
      <c r="AN305" s="4">
        <f t="shared" si="912"/>
        <v>0.74368932038834945</v>
      </c>
      <c r="AO305" s="4">
        <v>1.25</v>
      </c>
      <c r="AP305" s="4">
        <f t="shared" si="844"/>
        <v>2.5</v>
      </c>
      <c r="AQ305" s="38">
        <f t="shared" si="723"/>
        <v>262.31754411263563</v>
      </c>
      <c r="AR305" s="38">
        <f t="shared" si="913"/>
        <v>262.31754411263563</v>
      </c>
      <c r="AS305" s="38">
        <f t="shared" si="914"/>
        <v>3.3331800748667266</v>
      </c>
      <c r="AT305" s="38">
        <f t="shared" si="853"/>
        <v>262.31754411263586</v>
      </c>
      <c r="AU305" s="38">
        <f t="shared" si="820"/>
        <v>0.99999999999999911</v>
      </c>
      <c r="AV305" s="38">
        <f t="shared" si="715"/>
        <v>2.5456378195386229</v>
      </c>
      <c r="AW305" s="4">
        <f t="shared" si="940"/>
        <v>0</v>
      </c>
      <c r="AX305" s="4">
        <f t="shared" si="756"/>
        <v>461.86473240986345</v>
      </c>
      <c r="AY305" s="4">
        <f t="shared" si="724"/>
        <v>1.0540540540540539</v>
      </c>
      <c r="AZ305" s="38">
        <f t="shared" si="837"/>
        <v>667.76546102161683</v>
      </c>
      <c r="BA305" s="4">
        <f t="shared" si="725"/>
        <v>0.3</v>
      </c>
      <c r="BB305" s="4">
        <f t="shared" si="726"/>
        <v>72.397296805246114</v>
      </c>
      <c r="BC305" s="4">
        <f t="shared" si="727"/>
        <v>740.16275782686296</v>
      </c>
      <c r="BE305" s="4">
        <f t="shared" si="854"/>
        <v>1.5</v>
      </c>
      <c r="BF305" s="4">
        <f t="shared" si="860"/>
        <v>668.74618130782108</v>
      </c>
      <c r="BH305" s="4">
        <f t="shared" si="861"/>
        <v>640.46873951431451</v>
      </c>
      <c r="BI305" s="4">
        <f t="shared" si="806"/>
        <v>0</v>
      </c>
      <c r="BJ305" s="4">
        <f t="shared" si="862"/>
        <v>0</v>
      </c>
      <c r="BR305" s="4">
        <f t="shared" si="728"/>
        <v>57.784999999999989</v>
      </c>
      <c r="BV305" s="9"/>
      <c r="BX305" s="9"/>
      <c r="BY305" s="9"/>
      <c r="BZ305" s="9">
        <f t="shared" si="729"/>
        <v>57.784999999999989</v>
      </c>
      <c r="CA305" s="9">
        <f t="shared" si="730"/>
        <v>67.309999999999988</v>
      </c>
      <c r="CB305" s="9">
        <f t="shared" si="821"/>
        <v>1.5432289842400166</v>
      </c>
      <c r="CC305" s="40">
        <f t="shared" si="757"/>
        <v>20</v>
      </c>
      <c r="CD305" s="9">
        <f t="shared" si="731"/>
        <v>0.05</v>
      </c>
      <c r="CE305" s="9">
        <f t="shared" si="732"/>
        <v>0.8</v>
      </c>
      <c r="CF305" s="9">
        <f t="shared" si="733"/>
        <v>0.99524931562137331</v>
      </c>
      <c r="CG305" s="9">
        <f t="shared" si="734"/>
        <v>0.68</v>
      </c>
      <c r="CH305" s="9">
        <f t="shared" si="822"/>
        <v>1.441491169956336</v>
      </c>
      <c r="CI305" s="9">
        <f t="shared" si="823"/>
        <v>3.3777438899677379</v>
      </c>
      <c r="CJ305" s="40">
        <v>1</v>
      </c>
      <c r="CK305" s="9">
        <f t="shared" si="824"/>
        <v>397.4929009714034</v>
      </c>
      <c r="CM305" s="4">
        <f t="shared" si="735"/>
        <v>1.7873571707283726</v>
      </c>
      <c r="CN305" s="4">
        <f t="shared" si="736"/>
        <v>1.1153185331872824</v>
      </c>
      <c r="CO305" s="4">
        <f t="shared" si="708"/>
        <v>1.2344253536743985</v>
      </c>
      <c r="CP305" s="4">
        <f t="shared" si="737"/>
        <v>2.07681002443538</v>
      </c>
      <c r="CQ305" s="4">
        <f t="shared" si="921"/>
        <v>1.3055599870590859</v>
      </c>
      <c r="CR305" s="4">
        <f t="shared" si="922"/>
        <v>1.3354151143487145</v>
      </c>
      <c r="CS305" s="4">
        <f t="shared" si="709"/>
        <v>1.2857433234217517</v>
      </c>
      <c r="CT305" s="4">
        <f t="shared" si="758"/>
        <v>10</v>
      </c>
      <c r="DA305" s="4">
        <f t="shared" ref="DA305:DB306" si="942">CM305</f>
        <v>1.7873571707283726</v>
      </c>
      <c r="DB305" s="4">
        <f t="shared" si="942"/>
        <v>1.1153185331872824</v>
      </c>
      <c r="DC305" s="4">
        <f t="shared" ref="DC305:DC306" si="943">CP305</f>
        <v>2.07681002443538</v>
      </c>
      <c r="DD305" s="4">
        <f t="shared" ref="DD305:DD306" si="944">CS305</f>
        <v>1.2857433234217517</v>
      </c>
      <c r="DE305" s="4">
        <f t="shared" ref="DE305:DF306" si="945">CQ305</f>
        <v>1.3055599870590859</v>
      </c>
      <c r="DF305" s="4">
        <f t="shared" si="945"/>
        <v>1.3354151143487145</v>
      </c>
      <c r="DI305" s="4">
        <f t="shared" si="742"/>
        <v>366.26799999999997</v>
      </c>
      <c r="DL305" s="4">
        <f t="shared" si="900"/>
        <v>2.7037033836206757E-5</v>
      </c>
      <c r="DM305" s="4">
        <f t="shared" si="769"/>
        <v>8.2657094987768289</v>
      </c>
      <c r="DN305" s="4">
        <f t="shared" si="901"/>
        <v>0.23877711015829453</v>
      </c>
      <c r="DO305" s="4">
        <f t="shared" si="902"/>
        <v>4.6609797326345435</v>
      </c>
      <c r="DP305" s="4">
        <f t="shared" si="903"/>
        <v>6.7117325510641495</v>
      </c>
      <c r="DQ305" s="4">
        <f t="shared" si="904"/>
        <v>7.3663406701590528</v>
      </c>
      <c r="DR305" s="38">
        <f t="shared" si="915"/>
        <v>632.30893222982172</v>
      </c>
      <c r="DS305" s="4">
        <f t="shared" si="829"/>
        <v>1.0001106507304649</v>
      </c>
      <c r="DT305" s="4">
        <f t="shared" si="905"/>
        <v>3.2403703492039297</v>
      </c>
      <c r="DU305" s="4">
        <f t="shared" si="842"/>
        <v>262.31754411263586</v>
      </c>
      <c r="DY305" s="4">
        <f t="shared" si="785"/>
        <v>0.85</v>
      </c>
      <c r="DZ305" s="4">
        <f t="shared" si="830"/>
        <v>0.87250000000000005</v>
      </c>
      <c r="EA305" s="4">
        <f t="shared" si="916"/>
        <v>0.90625</v>
      </c>
      <c r="EB305" s="4">
        <f t="shared" si="831"/>
        <v>0.79070312500000006</v>
      </c>
      <c r="ED305" s="4">
        <f t="shared" si="917"/>
        <v>618.17275580403884</v>
      </c>
      <c r="EE305" s="25">
        <f t="shared" si="918"/>
        <v>260.59816288695316</v>
      </c>
      <c r="EG305" s="4">
        <f t="shared" si="843"/>
        <v>0.67209765625000006</v>
      </c>
      <c r="EH305" s="4">
        <f t="shared" si="919"/>
        <v>8.2657094987768289</v>
      </c>
      <c r="EK305" s="4">
        <f t="shared" si="906"/>
        <v>82.305406869779816</v>
      </c>
      <c r="EL305" s="4">
        <f t="shared" si="907"/>
        <v>3.2403703492039302</v>
      </c>
      <c r="EM305" s="4">
        <f t="shared" si="908"/>
        <v>7.9456805189587323E-2</v>
      </c>
      <c r="EP305" s="4">
        <f t="shared" si="759"/>
        <v>7.9456805189587323E-2</v>
      </c>
      <c r="EQ305" s="4">
        <f t="shared" si="721"/>
        <v>0.23837863566344408</v>
      </c>
      <c r="ER305" s="4">
        <f t="shared" si="770"/>
        <v>4.6578668509873076</v>
      </c>
      <c r="ES305" s="4">
        <f t="shared" si="743"/>
        <v>6.7106587986327391</v>
      </c>
      <c r="ET305" s="4">
        <f t="shared" si="771"/>
        <v>192.39559313022016</v>
      </c>
      <c r="EU305" s="4">
        <f t="shared" si="772"/>
        <v>91.567000000000007</v>
      </c>
      <c r="EV305" s="4">
        <f t="shared" si="832"/>
        <v>2.7037033836206764E-5</v>
      </c>
      <c r="EW305" s="4">
        <f t="shared" si="744"/>
        <v>7.366543372046694</v>
      </c>
      <c r="EX305" s="4">
        <f t="shared" si="867"/>
        <v>632.23897452546214</v>
      </c>
      <c r="FG305" s="23">
        <f t="shared" si="778"/>
        <v>1.8</v>
      </c>
      <c r="FH305" s="23">
        <f t="shared" si="778"/>
        <v>1.2</v>
      </c>
      <c r="FI305" s="23">
        <f t="shared" si="712"/>
        <v>1.4</v>
      </c>
      <c r="FJ305" s="23">
        <f t="shared" si="779"/>
        <v>2.2000000000000002</v>
      </c>
      <c r="FK305" s="23">
        <f t="shared" si="779"/>
        <v>1.4</v>
      </c>
      <c r="FL305" s="23">
        <f t="shared" si="779"/>
        <v>1.4</v>
      </c>
      <c r="FM305" s="23">
        <f t="shared" si="923"/>
        <v>0</v>
      </c>
      <c r="FN305" s="23"/>
      <c r="FX305" s="4">
        <f t="shared" si="833"/>
        <v>1</v>
      </c>
      <c r="FY305" s="4">
        <f t="shared" si="890"/>
        <v>0.55246875000000006</v>
      </c>
      <c r="FZ305" s="4">
        <f t="shared" si="834"/>
        <v>0.28124999999999994</v>
      </c>
      <c r="GA305" s="4">
        <f t="shared" si="835"/>
        <v>642.05446479189914</v>
      </c>
    </row>
    <row r="306" spans="1:183" ht="12" hidden="1" customHeight="1" x14ac:dyDescent="0.3">
      <c r="A306" s="25">
        <v>288</v>
      </c>
      <c r="B306" s="4" t="s">
        <v>605</v>
      </c>
      <c r="C306" s="4">
        <v>2016</v>
      </c>
      <c r="D306" s="4" t="s">
        <v>309</v>
      </c>
      <c r="E306" s="24" t="s">
        <v>667</v>
      </c>
      <c r="F306" s="48" t="s">
        <v>447</v>
      </c>
      <c r="G306" s="38">
        <f>115.9/0.145</f>
        <v>799.31034482758628</v>
      </c>
      <c r="H306" s="38">
        <f>14.27*25.4</f>
        <v>362.45799999999997</v>
      </c>
      <c r="I306" s="4">
        <f t="shared" si="746"/>
        <v>362.45799999999997</v>
      </c>
      <c r="J306" s="38">
        <f>5420/145</f>
        <v>37.379310344827587</v>
      </c>
      <c r="K306" s="38">
        <f t="shared" si="747"/>
        <v>25.4</v>
      </c>
      <c r="L306" s="7">
        <f t="shared" si="748"/>
        <v>14.27</v>
      </c>
      <c r="M306" s="7">
        <f t="shared" si="749"/>
        <v>14.27</v>
      </c>
      <c r="N306" s="38">
        <f>17.3*25.4</f>
        <v>439.42</v>
      </c>
      <c r="O306" s="38">
        <f>2.5*25.4</f>
        <v>63.5</v>
      </c>
      <c r="P306" s="39">
        <f>3.3*25.4</f>
        <v>83.82</v>
      </c>
      <c r="Q306" s="7">
        <f t="shared" si="750"/>
        <v>118.11000000000001</v>
      </c>
      <c r="R306" s="38">
        <v>3</v>
      </c>
      <c r="S306" s="4">
        <f t="shared" si="722"/>
        <v>260.34999999999997</v>
      </c>
      <c r="T306" s="7">
        <f t="shared" si="751"/>
        <v>2.8250000000000002</v>
      </c>
      <c r="U306" s="7">
        <f t="shared" si="859"/>
        <v>3</v>
      </c>
      <c r="V306" s="38">
        <v>9.1</v>
      </c>
      <c r="W306" s="4">
        <f t="shared" si="752"/>
        <v>9.1</v>
      </c>
      <c r="X306" s="4">
        <f t="shared" si="753"/>
        <v>10.1</v>
      </c>
      <c r="Y306" s="7">
        <f t="shared" si="754"/>
        <v>80.72246279691916</v>
      </c>
      <c r="AB306" s="38">
        <f t="shared" si="786"/>
        <v>892.41379310344837</v>
      </c>
      <c r="AC306" s="4">
        <v>129.4</v>
      </c>
      <c r="AD306" s="4">
        <f t="shared" si="899"/>
        <v>1.4151480032461179</v>
      </c>
      <c r="AE306" s="38">
        <f>0.375*25.4</f>
        <v>9.5249999999999986</v>
      </c>
      <c r="AF306" s="38">
        <v>10</v>
      </c>
      <c r="AG306" s="39">
        <f t="shared" si="941"/>
        <v>76.199999999999989</v>
      </c>
      <c r="AH306" s="39">
        <v>3</v>
      </c>
      <c r="AI306" s="39">
        <v>2</v>
      </c>
      <c r="AJ306" s="7"/>
      <c r="AK306" s="4">
        <f t="shared" si="755"/>
        <v>362.45799999999997</v>
      </c>
      <c r="AL306" s="4">
        <f t="shared" si="910"/>
        <v>0.40411118897453868</v>
      </c>
      <c r="AM306" s="4">
        <f t="shared" si="911"/>
        <v>277.53873688530547</v>
      </c>
      <c r="AN306" s="4">
        <f t="shared" si="912"/>
        <v>0.74204625087596354</v>
      </c>
      <c r="AO306" s="4">
        <v>1.25</v>
      </c>
      <c r="AP306" s="4">
        <f t="shared" si="844"/>
        <v>2.5</v>
      </c>
      <c r="AQ306" s="38">
        <f t="shared" si="723"/>
        <v>260.07911555343611</v>
      </c>
      <c r="AR306" s="38">
        <f t="shared" si="913"/>
        <v>260.07911555343611</v>
      </c>
      <c r="AS306" s="38">
        <f t="shared" si="914"/>
        <v>3.3538382302464851</v>
      </c>
      <c r="AT306" s="38">
        <f t="shared" si="853"/>
        <v>260.07911555343571</v>
      </c>
      <c r="AU306" s="38">
        <f t="shared" si="820"/>
        <v>1.0000000000000016</v>
      </c>
      <c r="AV306" s="38">
        <f t="shared" si="715"/>
        <v>2.5102967545027099</v>
      </c>
      <c r="AW306" s="4">
        <f t="shared" si="940"/>
        <v>0</v>
      </c>
      <c r="AX306" s="4">
        <f t="shared" si="756"/>
        <v>459.18322541428131</v>
      </c>
      <c r="AY306" s="4">
        <f t="shared" si="724"/>
        <v>1.0247787610619468</v>
      </c>
      <c r="AZ306" s="38">
        <f t="shared" si="837"/>
        <v>652.87575968772489</v>
      </c>
      <c r="BA306" s="4">
        <f t="shared" si="725"/>
        <v>0.3</v>
      </c>
      <c r="BB306" s="4">
        <f t="shared" si="726"/>
        <v>71.976970583688583</v>
      </c>
      <c r="BC306" s="4">
        <f t="shared" si="727"/>
        <v>724.85273027141352</v>
      </c>
      <c r="BE306" s="4">
        <f t="shared" si="854"/>
        <v>1.5</v>
      </c>
      <c r="BF306" s="4">
        <f t="shared" si="860"/>
        <v>667.72545431590322</v>
      </c>
      <c r="BH306" s="4">
        <f t="shared" si="861"/>
        <v>626.18769504329236</v>
      </c>
      <c r="BI306" s="4">
        <f t="shared" si="806"/>
        <v>0</v>
      </c>
      <c r="BJ306" s="4">
        <f t="shared" si="862"/>
        <v>0</v>
      </c>
      <c r="BR306" s="4">
        <f t="shared" si="728"/>
        <v>59.055000000000007</v>
      </c>
      <c r="BV306" s="9"/>
      <c r="BX306" s="9"/>
      <c r="BY306" s="9"/>
      <c r="BZ306" s="9">
        <f t="shared" si="729"/>
        <v>59.055000000000007</v>
      </c>
      <c r="CA306" s="9">
        <f t="shared" si="730"/>
        <v>63.5</v>
      </c>
      <c r="CB306" s="9">
        <f t="shared" si="821"/>
        <v>1.5414840534203929</v>
      </c>
      <c r="CC306" s="40">
        <f t="shared" si="757"/>
        <v>20</v>
      </c>
      <c r="CD306" s="9">
        <f t="shared" si="731"/>
        <v>0.05</v>
      </c>
      <c r="CE306" s="9">
        <f t="shared" si="732"/>
        <v>0.8</v>
      </c>
      <c r="CF306" s="9">
        <f t="shared" si="733"/>
        <v>0.99524931562137331</v>
      </c>
      <c r="CG306" s="9">
        <f t="shared" si="734"/>
        <v>0.68048275862068963</v>
      </c>
      <c r="CH306" s="9">
        <f t="shared" si="822"/>
        <v>1.4492145981125171</v>
      </c>
      <c r="CI306" s="9">
        <f t="shared" si="823"/>
        <v>3.3933128714645022</v>
      </c>
      <c r="CJ306" s="40">
        <v>1</v>
      </c>
      <c r="CK306" s="9">
        <f t="shared" si="824"/>
        <v>397.28907099106391</v>
      </c>
      <c r="CM306" s="47">
        <f t="shared" si="735"/>
        <v>1.94348082358257</v>
      </c>
      <c r="CN306" s="47">
        <f t="shared" si="736"/>
        <v>1.2311656641884943</v>
      </c>
      <c r="CO306" s="47">
        <f t="shared" si="708"/>
        <v>1.3364980881517277</v>
      </c>
      <c r="CP306" s="47">
        <f t="shared" si="737"/>
        <v>2.2462580983596228</v>
      </c>
      <c r="CQ306" s="47">
        <f t="shared" si="921"/>
        <v>1.4151480032461179</v>
      </c>
      <c r="CR306" s="47">
        <f t="shared" si="922"/>
        <v>1.4489801776685771</v>
      </c>
      <c r="CS306" s="47">
        <f t="shared" si="709"/>
        <v>1.3838059891279431</v>
      </c>
      <c r="CT306" s="4">
        <f t="shared" si="758"/>
        <v>10</v>
      </c>
      <c r="DA306" s="4">
        <f t="shared" si="942"/>
        <v>1.94348082358257</v>
      </c>
      <c r="DB306" s="4">
        <f t="shared" si="942"/>
        <v>1.2311656641884943</v>
      </c>
      <c r="DC306" s="4">
        <f t="shared" si="943"/>
        <v>2.2462580983596228</v>
      </c>
      <c r="DD306" s="4">
        <f t="shared" si="944"/>
        <v>1.3838059891279431</v>
      </c>
      <c r="DE306" s="4">
        <f t="shared" si="945"/>
        <v>1.4151480032461179</v>
      </c>
      <c r="DF306" s="4">
        <f t="shared" si="945"/>
        <v>1.4489801776685771</v>
      </c>
      <c r="DI306" s="4">
        <f t="shared" si="742"/>
        <v>362.45799999999997</v>
      </c>
      <c r="DL306" s="4">
        <f t="shared" si="900"/>
        <v>2.6818066492234688E-5</v>
      </c>
      <c r="DM306" s="4">
        <f t="shared" si="769"/>
        <v>8.3519635514625126</v>
      </c>
      <c r="DN306" s="4">
        <f t="shared" si="901"/>
        <v>0.2401563548629998</v>
      </c>
      <c r="DO306" s="4">
        <f t="shared" si="902"/>
        <v>4.7204806706567792</v>
      </c>
      <c r="DP306" s="4">
        <f t="shared" si="903"/>
        <v>6.785522039015639</v>
      </c>
      <c r="DQ306" s="4">
        <f t="shared" si="904"/>
        <v>7.4491288425213469</v>
      </c>
      <c r="DR306" s="38">
        <f t="shared" si="915"/>
        <v>630.6151660860894</v>
      </c>
      <c r="DS306" s="4">
        <f t="shared" si="829"/>
        <v>1.0001109641222563</v>
      </c>
      <c r="DT306" s="4">
        <f t="shared" si="905"/>
        <v>3.1780497164141401</v>
      </c>
      <c r="DU306" s="4">
        <f t="shared" si="842"/>
        <v>260.07911555343571</v>
      </c>
      <c r="DY306" s="4">
        <f t="shared" si="785"/>
        <v>0.85</v>
      </c>
      <c r="DZ306" s="4">
        <f t="shared" si="830"/>
        <v>0.86749999999999994</v>
      </c>
      <c r="EA306" s="4">
        <f t="shared" si="916"/>
        <v>0.90625</v>
      </c>
      <c r="EB306" s="4">
        <f t="shared" si="831"/>
        <v>0.78617187499999996</v>
      </c>
      <c r="ED306" s="4">
        <f t="shared" si="917"/>
        <v>615.89096031620716</v>
      </c>
      <c r="EE306" s="25">
        <f t="shared" si="918"/>
        <v>258.34340067809694</v>
      </c>
      <c r="EG306" s="4">
        <f t="shared" si="843"/>
        <v>0.66824609374999999</v>
      </c>
      <c r="EH306" s="4">
        <f t="shared" si="919"/>
        <v>8.3519635514625126</v>
      </c>
      <c r="EK306" s="4">
        <f t="shared" si="906"/>
        <v>80.72246279691916</v>
      </c>
      <c r="EL306" s="4">
        <f t="shared" si="907"/>
        <v>3.1780497164141406</v>
      </c>
      <c r="EM306" s="4">
        <f t="shared" si="908"/>
        <v>8.0286955687719583E-2</v>
      </c>
      <c r="EP306" s="4">
        <f t="shared" si="759"/>
        <v>8.0286955687719583E-2</v>
      </c>
      <c r="EQ306" s="4">
        <f t="shared" si="721"/>
        <v>0.2397555786657935</v>
      </c>
      <c r="ER306" s="4">
        <f t="shared" si="770"/>
        <v>4.7173280507166124</v>
      </c>
      <c r="ES306" s="4">
        <f t="shared" si="743"/>
        <v>6.7844325853538408</v>
      </c>
      <c r="ET306" s="4">
        <f t="shared" si="771"/>
        <v>191.12103720308079</v>
      </c>
      <c r="EU306" s="4">
        <f t="shared" si="772"/>
        <v>90.614500000000021</v>
      </c>
      <c r="EV306" s="4">
        <f t="shared" si="832"/>
        <v>2.6818066492234702E-5</v>
      </c>
      <c r="EW306" s="4">
        <f t="shared" si="744"/>
        <v>7.4493319957676505</v>
      </c>
      <c r="EX306" s="4">
        <f t="shared" si="867"/>
        <v>630.54519819162908</v>
      </c>
      <c r="FA306" s="4">
        <f>5.25*25.4</f>
        <v>133.35</v>
      </c>
      <c r="FG306" s="23">
        <f t="shared" si="778"/>
        <v>2</v>
      </c>
      <c r="FH306" s="23">
        <f t="shared" si="778"/>
        <v>1.4</v>
      </c>
      <c r="FI306" s="23">
        <f t="shared" si="712"/>
        <v>1.4</v>
      </c>
      <c r="FJ306" s="23">
        <f t="shared" si="779"/>
        <v>2.2000000000000002</v>
      </c>
      <c r="FK306" s="23">
        <f t="shared" si="779"/>
        <v>1.6</v>
      </c>
      <c r="FL306" s="23">
        <f t="shared" si="779"/>
        <v>1.6</v>
      </c>
      <c r="FM306" s="23">
        <f t="shared" si="923"/>
        <v>0</v>
      </c>
      <c r="FN306" s="23"/>
      <c r="FX306" s="4">
        <f t="shared" si="833"/>
        <v>1</v>
      </c>
      <c r="FY306" s="4">
        <f t="shared" si="890"/>
        <v>0.54557377049180322</v>
      </c>
      <c r="FZ306" s="4">
        <f t="shared" si="834"/>
        <v>0.28124999999999994</v>
      </c>
      <c r="GA306" s="4">
        <f t="shared" si="835"/>
        <v>644.89805660245497</v>
      </c>
    </row>
    <row r="307" spans="1:183" ht="12" hidden="1" customHeight="1" x14ac:dyDescent="0.3">
      <c r="A307" s="25">
        <v>289</v>
      </c>
      <c r="B307" s="4" t="s">
        <v>605</v>
      </c>
      <c r="C307" s="4">
        <v>2016</v>
      </c>
      <c r="D307" s="4" t="s">
        <v>309</v>
      </c>
      <c r="E307" s="24" t="s">
        <v>667</v>
      </c>
      <c r="F307" s="7" t="s">
        <v>448</v>
      </c>
      <c r="G307" s="38">
        <f>120/0.145</f>
        <v>827.58620689655174</v>
      </c>
      <c r="H307" s="38">
        <f>14.3*25.4</f>
        <v>363.21999999999997</v>
      </c>
      <c r="I307" s="4">
        <f t="shared" si="746"/>
        <v>363.21999999999997</v>
      </c>
      <c r="J307" s="38">
        <f>5570/145</f>
        <v>38.413793103448278</v>
      </c>
      <c r="K307" s="38">
        <f t="shared" si="747"/>
        <v>25.4</v>
      </c>
      <c r="L307" s="7">
        <f t="shared" si="748"/>
        <v>14.299999999999999</v>
      </c>
      <c r="M307" s="7">
        <f t="shared" si="749"/>
        <v>14.299999999999999</v>
      </c>
      <c r="N307" s="38">
        <f>17.3*25.4</f>
        <v>439.42</v>
      </c>
      <c r="O307" s="38">
        <f>2.5*25.4</f>
        <v>63.5</v>
      </c>
      <c r="P307" s="39">
        <f>3.4*25.4</f>
        <v>86.36</v>
      </c>
      <c r="Q307" s="7">
        <f t="shared" si="750"/>
        <v>70.273333333333355</v>
      </c>
      <c r="R307" s="38">
        <v>4</v>
      </c>
      <c r="S307" s="4">
        <f t="shared" si="722"/>
        <v>260.34999999999997</v>
      </c>
      <c r="T307" s="7">
        <f t="shared" si="751"/>
        <v>1.8833333333333337</v>
      </c>
      <c r="U307" s="7">
        <f t="shared" si="859"/>
        <v>3</v>
      </c>
      <c r="V307" s="38">
        <v>9.5</v>
      </c>
      <c r="W307" s="4">
        <f t="shared" si="752"/>
        <v>9.5</v>
      </c>
      <c r="X307" s="4">
        <f t="shared" si="753"/>
        <v>10.5</v>
      </c>
      <c r="Y307" s="7">
        <f t="shared" si="754"/>
        <v>82.305406869779816</v>
      </c>
      <c r="AB307" s="38">
        <f t="shared" si="786"/>
        <v>531.0344827586207</v>
      </c>
      <c r="AC307" s="4">
        <v>77</v>
      </c>
      <c r="AD307" s="4">
        <f t="shared" si="899"/>
        <v>1.0695354015578697</v>
      </c>
      <c r="AE307" s="38"/>
      <c r="AF307" s="38"/>
      <c r="AG307" s="39">
        <v>1</v>
      </c>
      <c r="AH307" s="39"/>
      <c r="AI307" s="39"/>
      <c r="AJ307" s="7"/>
      <c r="AK307" s="4">
        <f t="shared" si="755"/>
        <v>363.21999999999997</v>
      </c>
      <c r="AL307" s="4">
        <f t="shared" si="910"/>
        <v>0.40326340326340332</v>
      </c>
      <c r="AM307" s="4">
        <f t="shared" si="911"/>
        <v>211.68053362794402</v>
      </c>
      <c r="AN307" s="4">
        <f t="shared" si="912"/>
        <v>0.74195804195804194</v>
      </c>
      <c r="AO307" s="4">
        <v>1.25</v>
      </c>
      <c r="AP307" s="4">
        <f t="shared" si="844"/>
        <v>2.5</v>
      </c>
      <c r="AQ307" s="38">
        <f t="shared" si="723"/>
        <v>197.92429228920125</v>
      </c>
      <c r="AR307" s="38">
        <f t="shared" si="913"/>
        <v>197.92429228920125</v>
      </c>
      <c r="AS307" s="38">
        <f t="shared" si="914"/>
        <v>3.4154351999890475</v>
      </c>
      <c r="AT307" s="38">
        <f t="shared" si="853"/>
        <v>197.92429228920113</v>
      </c>
      <c r="AU307" s="38">
        <f t="shared" si="820"/>
        <v>1.0000000000000007</v>
      </c>
      <c r="AV307" s="38">
        <f t="shared" si="715"/>
        <v>2.7876343767825564</v>
      </c>
      <c r="AW307" s="4">
        <f t="shared" si="940"/>
        <v>0</v>
      </c>
      <c r="AX307" s="4">
        <f t="shared" si="756"/>
        <v>466.47248619845737</v>
      </c>
      <c r="AY307" s="4">
        <f t="shared" si="724"/>
        <v>1.2371681415929201</v>
      </c>
      <c r="AZ307" s="38">
        <f t="shared" si="837"/>
        <v>551.74056118573571</v>
      </c>
      <c r="BA307" s="4">
        <f t="shared" si="725"/>
        <v>0.3</v>
      </c>
      <c r="BB307" s="4">
        <f t="shared" si="726"/>
        <v>73.119562211608198</v>
      </c>
      <c r="BC307" s="4">
        <f t="shared" si="727"/>
        <v>624.86012339734395</v>
      </c>
      <c r="BE307" s="4">
        <f t="shared" si="854"/>
        <v>1.375</v>
      </c>
      <c r="BF307" s="4">
        <f t="shared" si="860"/>
        <v>621.26061599373406</v>
      </c>
      <c r="BH307" s="4">
        <f t="shared" si="861"/>
        <v>529.18667165103545</v>
      </c>
      <c r="BI307" s="4">
        <f t="shared" si="806"/>
        <v>0</v>
      </c>
      <c r="BJ307" s="4">
        <f t="shared" si="862"/>
        <v>0</v>
      </c>
      <c r="BR307" s="4">
        <f t="shared" si="728"/>
        <v>35.136666666666677</v>
      </c>
      <c r="BV307" s="9"/>
      <c r="BX307" s="9"/>
      <c r="BY307" s="9"/>
      <c r="BZ307" s="9">
        <f t="shared" si="729"/>
        <v>35.136666666666677</v>
      </c>
      <c r="CA307" s="9">
        <f t="shared" si="730"/>
        <v>63.5</v>
      </c>
      <c r="CB307" s="9">
        <f t="shared" si="821"/>
        <v>1.2853322249291921</v>
      </c>
      <c r="CC307" s="40">
        <f t="shared" si="757"/>
        <v>0</v>
      </c>
      <c r="CD307" s="9">
        <f t="shared" si="731"/>
        <v>0</v>
      </c>
      <c r="CE307" s="9">
        <f t="shared" si="732"/>
        <v>0</v>
      </c>
      <c r="CF307" s="9">
        <f t="shared" si="733"/>
        <v>0.99524931562137331</v>
      </c>
      <c r="CG307" s="9">
        <f t="shared" si="734"/>
        <v>0.68</v>
      </c>
      <c r="CH307" s="9">
        <f t="shared" si="822"/>
        <v>1.4680891910501142</v>
      </c>
      <c r="CI307" s="9">
        <f t="shared" si="823"/>
        <v>1.8869823463269411</v>
      </c>
      <c r="CJ307" s="40">
        <v>1</v>
      </c>
      <c r="CK307" s="9">
        <f t="shared" si="824"/>
        <v>221.15433098951746</v>
      </c>
      <c r="CM307" s="4">
        <f t="shared" si="735"/>
        <v>1.138404725831345</v>
      </c>
      <c r="CN307" s="4">
        <f t="shared" si="736"/>
        <v>0.84984536998681193</v>
      </c>
      <c r="CO307" s="4">
        <f t="shared" ref="CO307:CO370" si="946">AB307/BF307</f>
        <v>0.85476926926907693</v>
      </c>
      <c r="CP307" s="4">
        <f t="shared" si="737"/>
        <v>2.4011941361609206</v>
      </c>
      <c r="CQ307" s="4">
        <f t="shared" si="921"/>
        <v>1.0695354015578697</v>
      </c>
      <c r="CR307" s="4">
        <f t="shared" si="922"/>
        <v>1.0759579072343315</v>
      </c>
      <c r="CS307" s="4">
        <f t="shared" ref="CS307:CS370" si="947">AB307/GA307</f>
        <v>1.2756690101615786</v>
      </c>
      <c r="CT307" s="4">
        <f t="shared" si="758"/>
        <v>0</v>
      </c>
      <c r="CU307" s="4">
        <f t="shared" ref="CU307:CV308" si="948">CM307</f>
        <v>1.138404725831345</v>
      </c>
      <c r="CV307" s="4">
        <f t="shared" si="948"/>
        <v>0.84984536998681193</v>
      </c>
      <c r="CW307" s="4">
        <f t="shared" ref="CW307:CW308" si="949">CP307</f>
        <v>2.4011941361609206</v>
      </c>
      <c r="CX307" s="4">
        <f t="shared" ref="CX307:CX308" si="950">CS307</f>
        <v>1.2756690101615786</v>
      </c>
      <c r="CY307" s="4">
        <f t="shared" ref="CY307:CZ308" si="951">CQ307</f>
        <v>1.0695354015578697</v>
      </c>
      <c r="CZ307" s="4">
        <f t="shared" si="951"/>
        <v>1.0759579072343315</v>
      </c>
      <c r="DI307" s="4">
        <f t="shared" si="742"/>
        <v>363.21999999999997</v>
      </c>
      <c r="DL307" s="4">
        <f t="shared" si="900"/>
        <v>2.7061692465979089E-5</v>
      </c>
      <c r="DM307" s="4">
        <f t="shared" si="769"/>
        <v>6.9216476088847125</v>
      </c>
      <c r="DN307" s="4">
        <f t="shared" si="901"/>
        <v>0.17369349153752631</v>
      </c>
      <c r="DO307" s="4">
        <f t="shared" si="902"/>
        <v>3.4365518677646003</v>
      </c>
      <c r="DP307" s="4">
        <f t="shared" si="903"/>
        <v>5.4673078774981922</v>
      </c>
      <c r="DQ307" s="4">
        <f t="shared" si="904"/>
        <v>6.3188322805754371</v>
      </c>
      <c r="DR307" s="38">
        <f t="shared" si="915"/>
        <v>496.50949560446861</v>
      </c>
      <c r="DS307" s="4">
        <f t="shared" si="829"/>
        <v>1.000099447596386</v>
      </c>
      <c r="DT307" s="4">
        <f t="shared" si="905"/>
        <v>3.2403703492039297</v>
      </c>
      <c r="DU307" s="4">
        <f t="shared" si="842"/>
        <v>197.92429228920113</v>
      </c>
      <c r="DY307" s="4">
        <f t="shared" si="785"/>
        <v>0.85</v>
      </c>
      <c r="DZ307" s="4">
        <f t="shared" si="830"/>
        <v>0.96166666666666667</v>
      </c>
      <c r="EA307" s="4">
        <f t="shared" si="916"/>
        <v>1</v>
      </c>
      <c r="EB307" s="4">
        <f t="shared" si="831"/>
        <v>0.96166666666666667</v>
      </c>
      <c r="ED307" s="4">
        <f t="shared" si="917"/>
        <v>493.54577831358176</v>
      </c>
      <c r="EE307" s="25">
        <f t="shared" si="918"/>
        <v>196.60709589242757</v>
      </c>
      <c r="EG307" s="4">
        <f t="shared" si="843"/>
        <v>0.81741666666666668</v>
      </c>
      <c r="EH307" s="4">
        <f t="shared" si="919"/>
        <v>6.9216476088847125</v>
      </c>
      <c r="EK307" s="4">
        <f t="shared" si="906"/>
        <v>82.305406869779816</v>
      </c>
      <c r="EL307" s="4">
        <f t="shared" si="907"/>
        <v>3.2403703492039302</v>
      </c>
      <c r="EM307" s="4">
        <f t="shared" si="908"/>
        <v>5.886571279488545E-2</v>
      </c>
      <c r="EP307" s="4">
        <f t="shared" si="759"/>
        <v>5.886571279488545E-2</v>
      </c>
      <c r="EQ307" s="4">
        <f t="shared" si="721"/>
        <v>0.17340362947221644</v>
      </c>
      <c r="ER307" s="4">
        <f t="shared" si="770"/>
        <v>3.4342567324384294</v>
      </c>
      <c r="ES307" s="4">
        <f t="shared" si="743"/>
        <v>5.466595351127526</v>
      </c>
      <c r="ET307" s="4">
        <f t="shared" si="771"/>
        <v>190.10959313022016</v>
      </c>
      <c r="EU307" s="4">
        <f t="shared" si="772"/>
        <v>90.805000000000007</v>
      </c>
      <c r="EV307" s="4">
        <f t="shared" si="832"/>
        <v>2.7061692465979093E-5</v>
      </c>
      <c r="EW307" s="4">
        <f t="shared" si="744"/>
        <v>6.3189517611222605</v>
      </c>
      <c r="EX307" s="4">
        <f t="shared" si="867"/>
        <v>496.46012383845141</v>
      </c>
      <c r="FG307" s="23">
        <f t="shared" si="778"/>
        <v>1.2</v>
      </c>
      <c r="FH307" s="23">
        <f t="shared" si="778"/>
        <v>1</v>
      </c>
      <c r="FI307" s="23">
        <f t="shared" ref="FI307:FI370" si="952">IF(CS307&lt;0.6,0.6,IF(CS307&lt;0.8,0.8,IF(CS307&lt;1,1,IF(CS307&lt;1.2,1.2,IF(CS307&lt;1.4,1.4,IF(CS307&lt;1.6,1.6,IF(CS307&lt;1.8,1.8,IF(CS307&lt;2,2,2.2))))))))</f>
        <v>1.4</v>
      </c>
      <c r="FJ307" s="23">
        <f t="shared" si="779"/>
        <v>2.2000000000000002</v>
      </c>
      <c r="FK307" s="23">
        <f t="shared" si="779"/>
        <v>1.2</v>
      </c>
      <c r="FL307" s="23">
        <f t="shared" si="779"/>
        <v>1.2</v>
      </c>
      <c r="FM307" s="23">
        <f t="shared" si="923"/>
        <v>0</v>
      </c>
      <c r="FN307" s="23"/>
      <c r="FX307" s="4">
        <f t="shared" si="833"/>
        <v>1</v>
      </c>
      <c r="FY307" s="4">
        <f t="shared" si="890"/>
        <v>0.85277777777777763</v>
      </c>
      <c r="FZ307" s="4">
        <f t="shared" si="834"/>
        <v>0</v>
      </c>
      <c r="GA307" s="4">
        <f t="shared" si="835"/>
        <v>416.27920607035742</v>
      </c>
    </row>
    <row r="308" spans="1:183" ht="12" hidden="1" customHeight="1" x14ac:dyDescent="0.3">
      <c r="A308" s="25">
        <v>290</v>
      </c>
      <c r="B308" s="4" t="s">
        <v>605</v>
      </c>
      <c r="C308" s="4">
        <v>2016</v>
      </c>
      <c r="D308" s="4" t="s">
        <v>309</v>
      </c>
      <c r="E308" s="24" t="s">
        <v>667</v>
      </c>
      <c r="F308" s="48" t="s">
        <v>449</v>
      </c>
      <c r="G308" s="38">
        <f>115.9/0.145</f>
        <v>799.31034482758628</v>
      </c>
      <c r="H308" s="38">
        <f>14.06*25.4</f>
        <v>357.12399999999997</v>
      </c>
      <c r="I308" s="4">
        <f t="shared" si="746"/>
        <v>357.12399999999997</v>
      </c>
      <c r="J308" s="38">
        <f>5570/145</f>
        <v>38.413793103448278</v>
      </c>
      <c r="K308" s="38">
        <f t="shared" si="747"/>
        <v>25.4</v>
      </c>
      <c r="L308" s="7">
        <f t="shared" si="748"/>
        <v>14.059999999999999</v>
      </c>
      <c r="M308" s="7">
        <f t="shared" si="749"/>
        <v>14.059999999999999</v>
      </c>
      <c r="N308" s="38">
        <f>16.8*25.4</f>
        <v>426.71999999999997</v>
      </c>
      <c r="O308" s="38">
        <f>2.45*25.4</f>
        <v>62.230000000000004</v>
      </c>
      <c r="P308" s="39">
        <f t="shared" ref="P308" si="953">3.4*25.4</f>
        <v>86.36</v>
      </c>
      <c r="Q308" s="7">
        <f t="shared" si="750"/>
        <v>66.88666666666667</v>
      </c>
      <c r="R308" s="38">
        <v>4</v>
      </c>
      <c r="S308" s="4">
        <f t="shared" si="722"/>
        <v>260.34999999999997</v>
      </c>
      <c r="T308" s="7">
        <f t="shared" si="751"/>
        <v>1.8166666666666669</v>
      </c>
      <c r="U308" s="7">
        <f t="shared" si="859"/>
        <v>2.95</v>
      </c>
      <c r="V308" s="38">
        <v>9.1</v>
      </c>
      <c r="W308" s="4">
        <f t="shared" si="752"/>
        <v>9.1</v>
      </c>
      <c r="X308" s="4">
        <f t="shared" si="753"/>
        <v>10.1</v>
      </c>
      <c r="Y308" s="7">
        <f t="shared" si="754"/>
        <v>80.72246279691916</v>
      </c>
      <c r="AB308" s="38">
        <f t="shared" si="786"/>
        <v>534.48275862068965</v>
      </c>
      <c r="AC308" s="4">
        <v>77.5</v>
      </c>
      <c r="AD308" s="4">
        <f t="shared" si="899"/>
        <v>1.1086028706787405</v>
      </c>
      <c r="AE308" s="38"/>
      <c r="AF308" s="38"/>
      <c r="AG308" s="39">
        <v>1</v>
      </c>
      <c r="AH308" s="39"/>
      <c r="AI308" s="39"/>
      <c r="AJ308" s="7"/>
      <c r="AK308" s="4">
        <f t="shared" si="755"/>
        <v>357.12399999999997</v>
      </c>
      <c r="AL308" s="4">
        <f t="shared" si="910"/>
        <v>0.39829302987197723</v>
      </c>
      <c r="AM308" s="4">
        <f t="shared" si="911"/>
        <v>206.37393566831358</v>
      </c>
      <c r="AN308" s="4">
        <f t="shared" si="912"/>
        <v>0.74196301564722611</v>
      </c>
      <c r="AO308" s="4">
        <v>1.25</v>
      </c>
      <c r="AP308" s="4">
        <f t="shared" si="844"/>
        <v>2.5</v>
      </c>
      <c r="AQ308" s="38">
        <f t="shared" si="723"/>
        <v>190.58548961880157</v>
      </c>
      <c r="AR308" s="38">
        <f t="shared" si="913"/>
        <v>190.58548961880157</v>
      </c>
      <c r="AS308" s="38">
        <f t="shared" si="914"/>
        <v>3.4154351999890475</v>
      </c>
      <c r="AT308" s="38">
        <f t="shared" si="853"/>
        <v>190.58548961880146</v>
      </c>
      <c r="AU308" s="38">
        <f t="shared" si="820"/>
        <v>1.0000000000000007</v>
      </c>
      <c r="AV308" s="38">
        <f t="shared" ref="AV308:AV371" si="954">AZ308/AT308</f>
        <v>2.7604120194863326</v>
      </c>
      <c r="AW308" s="4">
        <f t="shared" si="940"/>
        <v>0</v>
      </c>
      <c r="AX308" s="4">
        <f t="shared" si="756"/>
        <v>458.64357733918251</v>
      </c>
      <c r="AY308" s="4">
        <f t="shared" si="724"/>
        <v>1.2495412844036697</v>
      </c>
      <c r="AZ308" s="38">
        <f t="shared" si="837"/>
        <v>526.09447628342718</v>
      </c>
      <c r="BA308" s="4">
        <f t="shared" si="725"/>
        <v>0.3</v>
      </c>
      <c r="BB308" s="4">
        <f t="shared" si="726"/>
        <v>71.89238074791686</v>
      </c>
      <c r="BC308" s="4">
        <f t="shared" si="727"/>
        <v>597.98685703134402</v>
      </c>
      <c r="BE308" s="4">
        <f t="shared" si="854"/>
        <v>1.3625</v>
      </c>
      <c r="BF308" s="4">
        <f t="shared" si="860"/>
        <v>609.53266586913844</v>
      </c>
      <c r="BH308" s="4">
        <f t="shared" si="861"/>
        <v>504.58893991790706</v>
      </c>
      <c r="BI308" s="4">
        <f t="shared" si="806"/>
        <v>0</v>
      </c>
      <c r="BJ308" s="4">
        <f t="shared" si="862"/>
        <v>0</v>
      </c>
      <c r="BR308" s="4">
        <f t="shared" si="728"/>
        <v>33.443333333333335</v>
      </c>
      <c r="BV308" s="9"/>
      <c r="BX308" s="9"/>
      <c r="BY308" s="9"/>
      <c r="BZ308" s="9">
        <f t="shared" si="729"/>
        <v>33.443333333333335</v>
      </c>
      <c r="CA308" s="9">
        <f t="shared" si="730"/>
        <v>62.230000000000004</v>
      </c>
      <c r="CB308" s="9">
        <f t="shared" si="821"/>
        <v>1.2594805263392668</v>
      </c>
      <c r="CC308" s="40">
        <f t="shared" si="757"/>
        <v>0</v>
      </c>
      <c r="CD308" s="9">
        <f t="shared" si="731"/>
        <v>0</v>
      </c>
      <c r="CE308" s="9">
        <f t="shared" si="732"/>
        <v>0</v>
      </c>
      <c r="CF308" s="9">
        <f t="shared" si="733"/>
        <v>0.99524931562137331</v>
      </c>
      <c r="CG308" s="9">
        <f t="shared" si="734"/>
        <v>0.68048275862068963</v>
      </c>
      <c r="CH308" s="9">
        <f t="shared" si="822"/>
        <v>1.4691314450397035</v>
      </c>
      <c r="CI308" s="9">
        <f t="shared" si="823"/>
        <v>1.8503424456601734</v>
      </c>
      <c r="CJ308" s="40">
        <v>1</v>
      </c>
      <c r="CK308" s="9">
        <f t="shared" si="824"/>
        <v>215.08380588353853</v>
      </c>
      <c r="CM308" s="4">
        <f t="shared" si="735"/>
        <v>1.1653553762193458</v>
      </c>
      <c r="CN308" s="4">
        <f t="shared" si="736"/>
        <v>0.89380352149223619</v>
      </c>
      <c r="CO308" s="4">
        <f t="shared" si="946"/>
        <v>0.87687303494811975</v>
      </c>
      <c r="CP308" s="4">
        <f t="shared" si="737"/>
        <v>2.4849976799745499</v>
      </c>
      <c r="CQ308" s="4">
        <f t="shared" si="921"/>
        <v>1.1086028706787405</v>
      </c>
      <c r="CR308" s="4">
        <f t="shared" si="922"/>
        <v>1.1152914305964363</v>
      </c>
      <c r="CS308" s="4">
        <f t="shared" si="947"/>
        <v>1.6536048066223732</v>
      </c>
      <c r="CT308" s="4">
        <f t="shared" si="758"/>
        <v>0</v>
      </c>
      <c r="CU308" s="4">
        <f t="shared" si="948"/>
        <v>1.1653553762193458</v>
      </c>
      <c r="CV308" s="4">
        <f t="shared" si="948"/>
        <v>0.89380352149223619</v>
      </c>
      <c r="CW308" s="4">
        <f t="shared" si="949"/>
        <v>2.4849976799745499</v>
      </c>
      <c r="CX308" s="4">
        <f t="shared" si="950"/>
        <v>1.6536048066223732</v>
      </c>
      <c r="CY308" s="4">
        <f t="shared" si="951"/>
        <v>1.1086028706787405</v>
      </c>
      <c r="CZ308" s="4">
        <f t="shared" si="951"/>
        <v>1.1152914305964363</v>
      </c>
      <c r="DI308" s="4">
        <f t="shared" si="742"/>
        <v>357.12399999999997</v>
      </c>
      <c r="DL308" s="4">
        <f t="shared" si="900"/>
        <v>2.6607510214801819E-5</v>
      </c>
      <c r="DM308" s="4">
        <f t="shared" si="769"/>
        <v>6.8739942690645091</v>
      </c>
      <c r="DN308" s="4">
        <f t="shared" si="901"/>
        <v>0.17124682457055751</v>
      </c>
      <c r="DO308" s="4">
        <f t="shared" si="902"/>
        <v>3.3935806633934544</v>
      </c>
      <c r="DP308" s="4">
        <f t="shared" si="903"/>
        <v>5.4236847619002306</v>
      </c>
      <c r="DQ308" s="4">
        <f t="shared" si="904"/>
        <v>6.299673463001727</v>
      </c>
      <c r="DR308" s="38">
        <f t="shared" si="915"/>
        <v>482.12283474735489</v>
      </c>
      <c r="DS308" s="4">
        <f t="shared" si="829"/>
        <v>1.0000992700339788</v>
      </c>
      <c r="DT308" s="4">
        <f t="shared" si="905"/>
        <v>3.1780497164141401</v>
      </c>
      <c r="DU308" s="4">
        <f t="shared" si="842"/>
        <v>190.58548961880146</v>
      </c>
      <c r="DY308" s="4">
        <f t="shared" si="785"/>
        <v>0.85</v>
      </c>
      <c r="DZ308" s="4">
        <f t="shared" si="830"/>
        <v>0.96833333333333327</v>
      </c>
      <c r="EA308" s="4">
        <f t="shared" si="916"/>
        <v>1</v>
      </c>
      <c r="EB308" s="4">
        <f t="shared" si="831"/>
        <v>0.96833333333333327</v>
      </c>
      <c r="ED308" s="4">
        <f t="shared" si="917"/>
        <v>479.23147614866775</v>
      </c>
      <c r="EE308" s="25">
        <f t="shared" si="918"/>
        <v>189.28639787952685</v>
      </c>
      <c r="EG308" s="4">
        <f t="shared" si="843"/>
        <v>0.82308333333333328</v>
      </c>
      <c r="EH308" s="4">
        <f t="shared" si="919"/>
        <v>6.8739942690645091</v>
      </c>
      <c r="EK308" s="4">
        <f t="shared" si="906"/>
        <v>80.72246279691916</v>
      </c>
      <c r="EL308" s="4">
        <f t="shared" si="907"/>
        <v>3.1780497164141406</v>
      </c>
      <c r="EM308" s="4">
        <f t="shared" si="908"/>
        <v>5.8036523435471804E-2</v>
      </c>
      <c r="EP308" s="4">
        <f t="shared" si="759"/>
        <v>5.8036523435471804E-2</v>
      </c>
      <c r="EQ308" s="4">
        <f t="shared" si="721"/>
        <v>0.17096104553641872</v>
      </c>
      <c r="ER308" s="4">
        <f t="shared" si="770"/>
        <v>3.391314226813281</v>
      </c>
      <c r="ES308" s="4">
        <f t="shared" si="743"/>
        <v>5.4229845716603329</v>
      </c>
      <c r="ET308" s="4">
        <f t="shared" si="771"/>
        <v>187.1205372030808</v>
      </c>
      <c r="EU308" s="4">
        <f t="shared" si="772"/>
        <v>89.281000000000006</v>
      </c>
      <c r="EV308" s="4">
        <f t="shared" si="832"/>
        <v>2.6607510214801826E-5</v>
      </c>
      <c r="EW308" s="4">
        <f t="shared" si="744"/>
        <v>6.2997864686709182</v>
      </c>
      <c r="EX308" s="4">
        <f t="shared" si="867"/>
        <v>482.07497914779458</v>
      </c>
      <c r="FA308" s="4">
        <f>5.25*25.4</f>
        <v>133.35</v>
      </c>
      <c r="FG308" s="23">
        <f t="shared" si="778"/>
        <v>1.2</v>
      </c>
      <c r="FH308" s="23">
        <f t="shared" si="778"/>
        <v>1</v>
      </c>
      <c r="FI308" s="23">
        <f t="shared" si="952"/>
        <v>1.8</v>
      </c>
      <c r="FJ308" s="23">
        <f t="shared" si="779"/>
        <v>2.2000000000000002</v>
      </c>
      <c r="FK308" s="23">
        <f t="shared" si="779"/>
        <v>1.2</v>
      </c>
      <c r="FL308" s="23">
        <f t="shared" si="779"/>
        <v>1.2</v>
      </c>
      <c r="FM308" s="23">
        <f t="shared" si="923"/>
        <v>0</v>
      </c>
      <c r="FN308" s="23"/>
      <c r="FX308" s="4">
        <f t="shared" si="833"/>
        <v>1.25</v>
      </c>
      <c r="FY308" s="4">
        <f t="shared" si="890"/>
        <v>0.86388888888888893</v>
      </c>
      <c r="FZ308" s="4">
        <f t="shared" si="834"/>
        <v>0</v>
      </c>
      <c r="GA308" s="4">
        <f t="shared" si="835"/>
        <v>323.22278967755034</v>
      </c>
    </row>
    <row r="309" spans="1:183" ht="12" hidden="1" customHeight="1" x14ac:dyDescent="0.3">
      <c r="A309" s="25">
        <v>291</v>
      </c>
      <c r="B309" s="4" t="s">
        <v>605</v>
      </c>
      <c r="C309" s="4">
        <v>2016</v>
      </c>
      <c r="D309" s="4" t="s">
        <v>309</v>
      </c>
      <c r="E309" s="24" t="s">
        <v>667</v>
      </c>
      <c r="F309" s="7" t="s">
        <v>450</v>
      </c>
      <c r="G309" s="38">
        <f>120/0.145</f>
        <v>827.58620689655174</v>
      </c>
      <c r="H309" s="38">
        <f>14.5*25.4</f>
        <v>368.29999999999995</v>
      </c>
      <c r="I309" s="4">
        <f t="shared" si="746"/>
        <v>368.29999999999995</v>
      </c>
      <c r="J309" s="38">
        <f>5570/145</f>
        <v>38.413793103448278</v>
      </c>
      <c r="K309" s="38">
        <f t="shared" si="747"/>
        <v>25.4</v>
      </c>
      <c r="L309" s="7">
        <f t="shared" si="748"/>
        <v>14.499999999999998</v>
      </c>
      <c r="M309" s="7">
        <f t="shared" si="749"/>
        <v>14.499999999999998</v>
      </c>
      <c r="N309" s="38">
        <f>17.1*25.4</f>
        <v>434.34000000000003</v>
      </c>
      <c r="O309" s="38">
        <f>2.45*25.4</f>
        <v>62.230000000000004</v>
      </c>
      <c r="P309" s="39">
        <f>3.1*25.4</f>
        <v>78.739999999999995</v>
      </c>
      <c r="Q309" s="7">
        <f t="shared" si="750"/>
        <v>69.426666666666662</v>
      </c>
      <c r="R309" s="38">
        <v>4</v>
      </c>
      <c r="S309" s="4">
        <f t="shared" si="722"/>
        <v>260.34999999999997</v>
      </c>
      <c r="T309" s="7">
        <f t="shared" si="751"/>
        <v>1.8666666666666667</v>
      </c>
      <c r="U309" s="7">
        <f t="shared" si="859"/>
        <v>2.95</v>
      </c>
      <c r="V309" s="38">
        <v>9.5</v>
      </c>
      <c r="W309" s="4">
        <f t="shared" si="752"/>
        <v>9.5</v>
      </c>
      <c r="X309" s="4">
        <f t="shared" si="753"/>
        <v>10.5</v>
      </c>
      <c r="Y309" s="7">
        <f t="shared" si="754"/>
        <v>82.305406869779816</v>
      </c>
      <c r="AB309" s="38">
        <f t="shared" si="786"/>
        <v>671.0344827586207</v>
      </c>
      <c r="AC309" s="4">
        <v>97.3</v>
      </c>
      <c r="AD309" s="4">
        <f t="shared" si="899"/>
        <v>1.2682678827222702</v>
      </c>
      <c r="AE309" s="38">
        <f>0.375*25.4</f>
        <v>9.5249999999999986</v>
      </c>
      <c r="AF309" s="38">
        <v>10</v>
      </c>
      <c r="AG309" s="39">
        <f t="shared" ref="AG309:AG310" si="955">3*25.4</f>
        <v>76.199999999999989</v>
      </c>
      <c r="AH309" s="39">
        <v>3</v>
      </c>
      <c r="AI309" s="39">
        <f>AH309-1</f>
        <v>2</v>
      </c>
      <c r="AJ309" s="7"/>
      <c r="AK309" s="4">
        <f t="shared" si="755"/>
        <v>368.29999999999995</v>
      </c>
      <c r="AL309" s="4">
        <f t="shared" si="910"/>
        <v>0.39310344827586224</v>
      </c>
      <c r="AM309" s="4">
        <f t="shared" si="911"/>
        <v>216.13687542656675</v>
      </c>
      <c r="AN309" s="4">
        <f t="shared" si="912"/>
        <v>0.74068965517241381</v>
      </c>
      <c r="AO309" s="4">
        <v>1.25</v>
      </c>
      <c r="AP309" s="4">
        <f t="shared" si="844"/>
        <v>2.5</v>
      </c>
      <c r="AQ309" s="38">
        <f t="shared" si="723"/>
        <v>196.66271165076645</v>
      </c>
      <c r="AR309" s="38">
        <f t="shared" si="913"/>
        <v>196.66271165076645</v>
      </c>
      <c r="AS309" s="38">
        <f t="shared" si="914"/>
        <v>3.4154351999890475</v>
      </c>
      <c r="AT309" s="38">
        <f t="shared" si="853"/>
        <v>196.66271165076645</v>
      </c>
      <c r="AU309" s="38">
        <f t="shared" si="820"/>
        <v>1</v>
      </c>
      <c r="AV309" s="38">
        <f t="shared" si="954"/>
        <v>2.7693943650562476</v>
      </c>
      <c r="AW309" s="4">
        <f t="shared" si="940"/>
        <v>0</v>
      </c>
      <c r="AX309" s="4">
        <f t="shared" si="756"/>
        <v>472.99657691451972</v>
      </c>
      <c r="AY309" s="4">
        <f t="shared" si="724"/>
        <v>1.2321428571428572</v>
      </c>
      <c r="AZ309" s="38">
        <f t="shared" si="837"/>
        <v>544.63660546231426</v>
      </c>
      <c r="BA309" s="4">
        <f t="shared" si="725"/>
        <v>0.3</v>
      </c>
      <c r="BB309" s="4">
        <f t="shared" si="726"/>
        <v>74.142213431350967</v>
      </c>
      <c r="BC309" s="4">
        <f t="shared" si="727"/>
        <v>618.77881889366517</v>
      </c>
      <c r="BE309" s="4">
        <f t="shared" si="854"/>
        <v>1.5</v>
      </c>
      <c r="BF309" s="4">
        <f t="shared" si="860"/>
        <v>683.3169513735794</v>
      </c>
      <c r="BH309" s="4">
        <f t="shared" si="861"/>
        <v>522.37310935509947</v>
      </c>
      <c r="BI309" s="4">
        <f t="shared" si="806"/>
        <v>0</v>
      </c>
      <c r="BJ309" s="4">
        <f t="shared" si="862"/>
        <v>0</v>
      </c>
      <c r="BR309" s="4">
        <f t="shared" si="728"/>
        <v>34.713333333333331</v>
      </c>
      <c r="BV309" s="9"/>
      <c r="BX309" s="9"/>
      <c r="BY309" s="9"/>
      <c r="BZ309" s="9">
        <f t="shared" si="729"/>
        <v>34.713333333333331</v>
      </c>
      <c r="CA309" s="9">
        <f t="shared" si="730"/>
        <v>62.230000000000004</v>
      </c>
      <c r="CB309" s="9">
        <f t="shared" si="821"/>
        <v>1.2760180664066267</v>
      </c>
      <c r="CC309" s="40">
        <f t="shared" si="757"/>
        <v>20</v>
      </c>
      <c r="CD309" s="9">
        <f t="shared" si="731"/>
        <v>0.05</v>
      </c>
      <c r="CE309" s="9">
        <f t="shared" si="732"/>
        <v>0.8</v>
      </c>
      <c r="CF309" s="9">
        <f t="shared" si="733"/>
        <v>0.99524931562137331</v>
      </c>
      <c r="CG309" s="9">
        <f t="shared" si="734"/>
        <v>0.68</v>
      </c>
      <c r="CH309" s="9">
        <f t="shared" si="822"/>
        <v>1.4680891910501142</v>
      </c>
      <c r="CI309" s="9">
        <f t="shared" si="823"/>
        <v>3.0477796837163269</v>
      </c>
      <c r="CJ309" s="40">
        <v>1</v>
      </c>
      <c r="CK309" s="9">
        <f t="shared" si="824"/>
        <v>359.63800267852656</v>
      </c>
      <c r="CM309" s="4">
        <f t="shared" si="735"/>
        <v>1.4186878203980968</v>
      </c>
      <c r="CN309" s="4">
        <f t="shared" si="736"/>
        <v>1.0844496648388597</v>
      </c>
      <c r="CO309" s="4">
        <f t="shared" si="946"/>
        <v>0.98202522476536125</v>
      </c>
      <c r="CP309" s="4">
        <f t="shared" si="737"/>
        <v>1.8658608872278868</v>
      </c>
      <c r="CQ309" s="4">
        <f t="shared" si="921"/>
        <v>1.2682678827222702</v>
      </c>
      <c r="CR309" s="4">
        <f t="shared" si="922"/>
        <v>1.2732119156908908</v>
      </c>
      <c r="CS309" s="4">
        <f t="shared" si="947"/>
        <v>1.5219922977142373</v>
      </c>
      <c r="CT309" s="4">
        <f t="shared" si="758"/>
        <v>10</v>
      </c>
      <c r="DA309" s="4">
        <f t="shared" ref="DA309:DB310" si="956">CM309</f>
        <v>1.4186878203980968</v>
      </c>
      <c r="DB309" s="4">
        <f t="shared" si="956"/>
        <v>1.0844496648388597</v>
      </c>
      <c r="DC309" s="4">
        <f t="shared" ref="DC309:DC310" si="957">CP309</f>
        <v>1.8658608872278868</v>
      </c>
      <c r="DD309" s="4">
        <f t="shared" ref="DD309:DD310" si="958">CS309</f>
        <v>1.5219922977142373</v>
      </c>
      <c r="DE309" s="4">
        <f t="shared" ref="DE309:DF310" si="959">CQ309</f>
        <v>1.2682678827222702</v>
      </c>
      <c r="DF309" s="4">
        <f t="shared" si="959"/>
        <v>1.2732119156908908</v>
      </c>
      <c r="DI309" s="4">
        <f t="shared" si="742"/>
        <v>368.29999999999995</v>
      </c>
      <c r="DL309" s="4">
        <f t="shared" si="900"/>
        <v>2.7440177675293479E-5</v>
      </c>
      <c r="DM309" s="4">
        <f t="shared" si="769"/>
        <v>7.6244661407020242</v>
      </c>
      <c r="DN309" s="4">
        <f t="shared" si="901"/>
        <v>0.17258635939416275</v>
      </c>
      <c r="DO309" s="4">
        <f t="shared" si="902"/>
        <v>3.7758264740485674</v>
      </c>
      <c r="DP309" s="4">
        <f t="shared" si="903"/>
        <v>6.0194542657185099</v>
      </c>
      <c r="DQ309" s="4">
        <f t="shared" si="904"/>
        <v>6.8735858098061433</v>
      </c>
      <c r="DR309" s="38">
        <f t="shared" si="915"/>
        <v>529.09522656860202</v>
      </c>
      <c r="DS309" s="4">
        <f t="shared" si="829"/>
        <v>1.0001028338364397</v>
      </c>
      <c r="DT309" s="4">
        <f t="shared" si="905"/>
        <v>3.2403703492039297</v>
      </c>
      <c r="DU309" s="4">
        <f t="shared" si="842"/>
        <v>196.66271165076645</v>
      </c>
      <c r="DY309" s="4">
        <f t="shared" si="785"/>
        <v>0.85</v>
      </c>
      <c r="DZ309" s="4">
        <f t="shared" si="830"/>
        <v>0.96333333333333337</v>
      </c>
      <c r="EA309" s="4">
        <f t="shared" si="916"/>
        <v>0.90625</v>
      </c>
      <c r="EB309" s="4">
        <f t="shared" si="831"/>
        <v>0.87302083333333336</v>
      </c>
      <c r="ED309" s="4">
        <f t="shared" si="917"/>
        <v>527.04068701280823</v>
      </c>
      <c r="EE309" s="25">
        <f t="shared" si="918"/>
        <v>195.37640989227023</v>
      </c>
      <c r="EG309" s="4">
        <f t="shared" si="843"/>
        <v>0.74206770833333335</v>
      </c>
      <c r="EH309" s="4">
        <f t="shared" si="919"/>
        <v>7.6244661407020242</v>
      </c>
      <c r="EK309" s="4">
        <f t="shared" si="906"/>
        <v>82.305406869779816</v>
      </c>
      <c r="EL309" s="4">
        <f t="shared" si="907"/>
        <v>3.2403703492039302</v>
      </c>
      <c r="EM309" s="4">
        <f t="shared" si="908"/>
        <v>5.8490499410662894E-2</v>
      </c>
      <c r="EP309" s="4">
        <f t="shared" si="759"/>
        <v>5.8490499410662894E-2</v>
      </c>
      <c r="EQ309" s="4">
        <f t="shared" ref="EQ309:EQ372" si="960">MIN(0.999, EP309/(0.3*(J309/30)^0.5))</f>
        <v>0.17229834492605872</v>
      </c>
      <c r="ER309" s="4">
        <f t="shared" si="770"/>
        <v>3.7733047508040065</v>
      </c>
      <c r="ES309" s="4">
        <f t="shared" si="743"/>
        <v>6.0186731142651881</v>
      </c>
      <c r="ET309" s="4">
        <f t="shared" si="771"/>
        <v>193.91959313022016</v>
      </c>
      <c r="EU309" s="4">
        <f t="shared" si="772"/>
        <v>92.074999999999989</v>
      </c>
      <c r="EV309" s="4">
        <f t="shared" si="832"/>
        <v>2.7440177675293479E-5</v>
      </c>
      <c r="EW309" s="4">
        <f t="shared" si="744"/>
        <v>6.8737332015041632</v>
      </c>
      <c r="EX309" s="4">
        <f t="shared" si="867"/>
        <v>529.04082327111178</v>
      </c>
      <c r="FG309" s="23">
        <f t="shared" si="778"/>
        <v>1.6</v>
      </c>
      <c r="FH309" s="23">
        <f t="shared" si="778"/>
        <v>1.2</v>
      </c>
      <c r="FI309" s="23">
        <f t="shared" si="952"/>
        <v>1.6</v>
      </c>
      <c r="FJ309" s="23">
        <f t="shared" si="779"/>
        <v>2</v>
      </c>
      <c r="FK309" s="23">
        <f t="shared" si="779"/>
        <v>1.4</v>
      </c>
      <c r="FL309" s="23">
        <f t="shared" si="779"/>
        <v>1.4</v>
      </c>
      <c r="FM309" s="23">
        <f t="shared" si="923"/>
        <v>0</v>
      </c>
      <c r="FN309" s="23"/>
      <c r="FX309" s="4">
        <f t="shared" si="833"/>
        <v>1.25</v>
      </c>
      <c r="FY309" s="4">
        <f t="shared" si="890"/>
        <v>0.65314583333333343</v>
      </c>
      <c r="FZ309" s="4">
        <f t="shared" si="834"/>
        <v>0.21093749999999997</v>
      </c>
      <c r="GA309" s="4">
        <f t="shared" si="835"/>
        <v>440.892167303603</v>
      </c>
    </row>
    <row r="310" spans="1:183" ht="12" hidden="1" customHeight="1" x14ac:dyDescent="0.3">
      <c r="A310" s="25">
        <v>292</v>
      </c>
      <c r="B310" s="4" t="s">
        <v>605</v>
      </c>
      <c r="C310" s="4">
        <v>2016</v>
      </c>
      <c r="D310" s="4" t="s">
        <v>309</v>
      </c>
      <c r="E310" s="24" t="s">
        <v>667</v>
      </c>
      <c r="F310" s="48" t="s">
        <v>451</v>
      </c>
      <c r="G310" s="38">
        <f>115.9/0.145</f>
        <v>799.31034482758628</v>
      </c>
      <c r="H310" s="38">
        <f>14.5*25.4</f>
        <v>368.29999999999995</v>
      </c>
      <c r="I310" s="4">
        <f t="shared" si="746"/>
        <v>368.29999999999995</v>
      </c>
      <c r="J310" s="38">
        <f>5570/145</f>
        <v>38.413793103448278</v>
      </c>
      <c r="K310" s="38">
        <f t="shared" si="747"/>
        <v>25.4</v>
      </c>
      <c r="L310" s="7">
        <f t="shared" si="748"/>
        <v>14.499999999999998</v>
      </c>
      <c r="M310" s="7">
        <f t="shared" si="749"/>
        <v>14.499999999999998</v>
      </c>
      <c r="N310" s="38">
        <f>16.9*25.4</f>
        <v>429.25999999999993</v>
      </c>
      <c r="O310" s="38">
        <f>2.5*25.4</f>
        <v>63.5</v>
      </c>
      <c r="P310" s="39">
        <f>3*25.4</f>
        <v>76.199999999999989</v>
      </c>
      <c r="Q310" s="7">
        <f t="shared" si="750"/>
        <v>66.886666666666656</v>
      </c>
      <c r="R310" s="38">
        <v>4</v>
      </c>
      <c r="S310" s="4">
        <f t="shared" si="722"/>
        <v>260.34999999999997</v>
      </c>
      <c r="T310" s="7">
        <f t="shared" si="751"/>
        <v>1.8166666666666664</v>
      </c>
      <c r="U310" s="7">
        <f t="shared" si="859"/>
        <v>3</v>
      </c>
      <c r="V310" s="38">
        <v>9.1</v>
      </c>
      <c r="W310" s="4">
        <f t="shared" si="752"/>
        <v>9.1</v>
      </c>
      <c r="X310" s="4">
        <f t="shared" si="753"/>
        <v>10.1</v>
      </c>
      <c r="Y310" s="7">
        <f t="shared" si="754"/>
        <v>80.72246279691916</v>
      </c>
      <c r="AB310" s="38">
        <f t="shared" si="786"/>
        <v>777.93103448275861</v>
      </c>
      <c r="AC310" s="4">
        <v>112.8</v>
      </c>
      <c r="AD310" s="4">
        <f t="shared" si="899"/>
        <v>1.4782200012625968</v>
      </c>
      <c r="AE310" s="38">
        <f>0.375*25.4</f>
        <v>9.5249999999999986</v>
      </c>
      <c r="AF310" s="38">
        <v>10</v>
      </c>
      <c r="AG310" s="39">
        <f t="shared" si="955"/>
        <v>76.199999999999989</v>
      </c>
      <c r="AH310" s="39">
        <v>3</v>
      </c>
      <c r="AI310" s="39">
        <f>AH310-1</f>
        <v>2</v>
      </c>
      <c r="AJ310" s="7"/>
      <c r="AK310" s="4">
        <f t="shared" si="755"/>
        <v>368.29999999999995</v>
      </c>
      <c r="AL310" s="4">
        <f t="shared" si="910"/>
        <v>0.38850574712643682</v>
      </c>
      <c r="AM310" s="4">
        <f t="shared" si="911"/>
        <v>216.13687542656675</v>
      </c>
      <c r="AN310" s="4">
        <f t="shared" si="912"/>
        <v>0.74137931034482751</v>
      </c>
      <c r="AO310" s="4">
        <v>1.25</v>
      </c>
      <c r="AP310" s="4">
        <f t="shared" si="844"/>
        <v>2.5</v>
      </c>
      <c r="AQ310" s="38">
        <f t="shared" si="723"/>
        <v>194.54353370551681</v>
      </c>
      <c r="AR310" s="38">
        <f t="shared" si="913"/>
        <v>194.54353370551681</v>
      </c>
      <c r="AS310" s="38">
        <f t="shared" si="914"/>
        <v>3.4154351999890475</v>
      </c>
      <c r="AT310" s="38">
        <f t="shared" si="853"/>
        <v>194.54353370551681</v>
      </c>
      <c r="AU310" s="38">
        <f t="shared" si="820"/>
        <v>1</v>
      </c>
      <c r="AV310" s="38">
        <f t="shared" si="954"/>
        <v>2.7280766407298964</v>
      </c>
      <c r="AW310" s="4">
        <f t="shared" si="940"/>
        <v>0</v>
      </c>
      <c r="AX310" s="4">
        <f t="shared" si="756"/>
        <v>472.99657691451972</v>
      </c>
      <c r="AY310" s="4">
        <f t="shared" si="724"/>
        <v>1.2605504587155965</v>
      </c>
      <c r="AZ310" s="38">
        <f t="shared" si="837"/>
        <v>530.72966990706971</v>
      </c>
      <c r="BA310" s="4">
        <f t="shared" si="725"/>
        <v>0.3</v>
      </c>
      <c r="BB310" s="4">
        <f t="shared" si="726"/>
        <v>74.142213431350953</v>
      </c>
      <c r="BC310" s="4">
        <f t="shared" si="727"/>
        <v>604.87188333842062</v>
      </c>
      <c r="BE310" s="4">
        <f t="shared" si="854"/>
        <v>1.5</v>
      </c>
      <c r="BF310" s="4">
        <f t="shared" si="860"/>
        <v>683.3169513735794</v>
      </c>
      <c r="BH310" s="4">
        <f t="shared" si="861"/>
        <v>509.03465745022322</v>
      </c>
      <c r="BI310" s="4">
        <f t="shared" si="806"/>
        <v>0</v>
      </c>
      <c r="BJ310" s="4">
        <f t="shared" si="862"/>
        <v>0</v>
      </c>
      <c r="BR310" s="4">
        <f t="shared" si="728"/>
        <v>33.443333333333328</v>
      </c>
      <c r="BV310" s="9"/>
      <c r="BX310" s="9"/>
      <c r="BY310" s="9"/>
      <c r="BZ310" s="9">
        <f t="shared" si="729"/>
        <v>33.443333333333328</v>
      </c>
      <c r="CA310" s="9">
        <f t="shared" si="730"/>
        <v>63.5</v>
      </c>
      <c r="CB310" s="9">
        <f t="shared" si="821"/>
        <v>1.2633030527845497</v>
      </c>
      <c r="CC310" s="40">
        <f t="shared" si="757"/>
        <v>20</v>
      </c>
      <c r="CD310" s="9">
        <f t="shared" si="731"/>
        <v>0.05</v>
      </c>
      <c r="CE310" s="9">
        <f t="shared" si="732"/>
        <v>0.8</v>
      </c>
      <c r="CF310" s="9">
        <f t="shared" si="733"/>
        <v>0.99524931562137331</v>
      </c>
      <c r="CG310" s="9">
        <f t="shared" si="734"/>
        <v>0.68048275862068963</v>
      </c>
      <c r="CH310" s="9">
        <f t="shared" si="822"/>
        <v>1.4691314450397035</v>
      </c>
      <c r="CI310" s="9">
        <f t="shared" si="823"/>
        <v>3.0312633954921968</v>
      </c>
      <c r="CJ310" s="40">
        <v>1</v>
      </c>
      <c r="CK310" s="9">
        <f t="shared" si="824"/>
        <v>357.68908066807921</v>
      </c>
      <c r="CM310" s="47">
        <f t="shared" si="735"/>
        <v>1.6446863940483587</v>
      </c>
      <c r="CN310" s="47">
        <f t="shared" si="736"/>
        <v>1.286108770983347</v>
      </c>
      <c r="CO310" s="47">
        <f t="shared" si="946"/>
        <v>1.1384629532737178</v>
      </c>
      <c r="CP310" s="47">
        <f t="shared" si="737"/>
        <v>2.1748805779303244</v>
      </c>
      <c r="CQ310" s="47">
        <f t="shared" si="921"/>
        <v>1.4782200012625968</v>
      </c>
      <c r="CR310" s="47">
        <f t="shared" si="922"/>
        <v>1.486801599498017</v>
      </c>
      <c r="CS310" s="47">
        <f t="shared" si="947"/>
        <v>1.4168183015224551</v>
      </c>
      <c r="CT310" s="4">
        <f t="shared" si="758"/>
        <v>10</v>
      </c>
      <c r="DA310" s="4">
        <f t="shared" si="956"/>
        <v>1.6446863940483587</v>
      </c>
      <c r="DB310" s="4">
        <f t="shared" si="956"/>
        <v>1.286108770983347</v>
      </c>
      <c r="DC310" s="4">
        <f t="shared" si="957"/>
        <v>2.1748805779303244</v>
      </c>
      <c r="DD310" s="4">
        <f t="shared" si="958"/>
        <v>1.4168183015224551</v>
      </c>
      <c r="DE310" s="4">
        <f t="shared" si="959"/>
        <v>1.4782200012625968</v>
      </c>
      <c r="DF310" s="4">
        <f t="shared" si="959"/>
        <v>1.486801599498017</v>
      </c>
      <c r="DI310" s="4">
        <f t="shared" si="742"/>
        <v>368.29999999999995</v>
      </c>
      <c r="DL310" s="4">
        <f t="shared" si="900"/>
        <v>2.7440177675293479E-5</v>
      </c>
      <c r="DM310" s="4">
        <f t="shared" si="769"/>
        <v>7.5850971244849745</v>
      </c>
      <c r="DN310" s="4">
        <f t="shared" si="901"/>
        <v>0.17480324684969312</v>
      </c>
      <c r="DO310" s="4">
        <f t="shared" si="902"/>
        <v>3.7755562431213261</v>
      </c>
      <c r="DP310" s="4">
        <f t="shared" si="903"/>
        <v>5.9943432608094538</v>
      </c>
      <c r="DQ310" s="4">
        <f t="shared" si="904"/>
        <v>6.8393248213148761</v>
      </c>
      <c r="DR310" s="38">
        <f t="shared" si="915"/>
        <v>526.26201365040515</v>
      </c>
      <c r="DS310" s="4">
        <f t="shared" si="829"/>
        <v>1.0001028004220163</v>
      </c>
      <c r="DT310" s="4">
        <f t="shared" si="905"/>
        <v>3.1780497164141401</v>
      </c>
      <c r="DU310" s="4">
        <f t="shared" si="842"/>
        <v>194.54353370551681</v>
      </c>
      <c r="DY310" s="4">
        <f t="shared" si="785"/>
        <v>0.85</v>
      </c>
      <c r="DZ310" s="4">
        <f t="shared" si="830"/>
        <v>0.96833333333333338</v>
      </c>
      <c r="EA310" s="4">
        <f t="shared" si="916"/>
        <v>0.90625</v>
      </c>
      <c r="EB310" s="4">
        <f t="shared" si="831"/>
        <v>0.87755208333333334</v>
      </c>
      <c r="ED310" s="4">
        <f t="shared" si="917"/>
        <v>523.22450738915563</v>
      </c>
      <c r="EE310" s="25">
        <f t="shared" si="918"/>
        <v>193.27278247405926</v>
      </c>
      <c r="EG310" s="4">
        <f t="shared" si="843"/>
        <v>0.74591927083333331</v>
      </c>
      <c r="EH310" s="4">
        <f t="shared" si="919"/>
        <v>7.5850971244849745</v>
      </c>
      <c r="EK310" s="4">
        <f t="shared" si="906"/>
        <v>80.72246279691916</v>
      </c>
      <c r="EL310" s="4">
        <f t="shared" si="907"/>
        <v>3.1780497164141406</v>
      </c>
      <c r="EM310" s="4">
        <f t="shared" si="908"/>
        <v>5.9241815185944208E-2</v>
      </c>
      <c r="EP310" s="4">
        <f t="shared" si="759"/>
        <v>5.9241815185944208E-2</v>
      </c>
      <c r="EQ310" s="4">
        <f t="shared" si="960"/>
        <v>0.17451153280959747</v>
      </c>
      <c r="ER310" s="4">
        <f t="shared" si="770"/>
        <v>3.7730347003531768</v>
      </c>
      <c r="ES310" s="4">
        <f t="shared" si="743"/>
        <v>5.9935587325282373</v>
      </c>
      <c r="ET310" s="4">
        <f t="shared" si="771"/>
        <v>195.50253720308081</v>
      </c>
      <c r="EU310" s="4">
        <f t="shared" si="772"/>
        <v>92.074999999999989</v>
      </c>
      <c r="EV310" s="4">
        <f t="shared" si="832"/>
        <v>2.7440177675293479E-5</v>
      </c>
      <c r="EW310" s="4">
        <f t="shared" si="744"/>
        <v>6.8394706046014724</v>
      </c>
      <c r="EX310" s="4">
        <f t="shared" si="867"/>
        <v>526.20791925423748</v>
      </c>
      <c r="FA310" s="4">
        <f>5.25*25.4</f>
        <v>133.35</v>
      </c>
      <c r="FG310" s="23">
        <f t="shared" si="778"/>
        <v>1.8</v>
      </c>
      <c r="FH310" s="23">
        <f t="shared" si="778"/>
        <v>1.4</v>
      </c>
      <c r="FI310" s="23">
        <f t="shared" si="952"/>
        <v>1.6</v>
      </c>
      <c r="FJ310" s="23">
        <f t="shared" si="779"/>
        <v>2.2000000000000002</v>
      </c>
      <c r="FK310" s="23">
        <f t="shared" si="779"/>
        <v>1.6</v>
      </c>
      <c r="FL310" s="23">
        <f t="shared" si="779"/>
        <v>1.6</v>
      </c>
      <c r="FM310" s="23">
        <f t="shared" si="923"/>
        <v>0</v>
      </c>
      <c r="FN310" s="23"/>
      <c r="FX310" s="4">
        <f t="shared" si="833"/>
        <v>1</v>
      </c>
      <c r="FY310" s="4">
        <f t="shared" si="890"/>
        <v>0.65557988208225493</v>
      </c>
      <c r="FZ310" s="4">
        <f t="shared" si="834"/>
        <v>0.21093749999999997</v>
      </c>
      <c r="GA310" s="4">
        <f t="shared" si="835"/>
        <v>549.0690186926762</v>
      </c>
    </row>
    <row r="311" spans="1:183" ht="12" hidden="1" customHeight="1" x14ac:dyDescent="0.3">
      <c r="A311" s="25">
        <v>293</v>
      </c>
      <c r="B311" s="4" t="s">
        <v>605</v>
      </c>
      <c r="C311" s="4">
        <v>2016</v>
      </c>
      <c r="D311" s="4" t="s">
        <v>309</v>
      </c>
      <c r="E311" s="24" t="s">
        <v>452</v>
      </c>
      <c r="F311" s="7" t="s">
        <v>453</v>
      </c>
      <c r="G311" s="38">
        <f>120/0.145</f>
        <v>827.58620689655174</v>
      </c>
      <c r="H311" s="38">
        <f>9.5*25.4</f>
        <v>241.29999999999998</v>
      </c>
      <c r="I311" s="4">
        <f t="shared" si="746"/>
        <v>241.29999999999998</v>
      </c>
      <c r="J311" s="38">
        <f>16030/145</f>
        <v>110.55172413793103</v>
      </c>
      <c r="K311" s="38">
        <f t="shared" si="747"/>
        <v>25.4</v>
      </c>
      <c r="L311" s="7">
        <f t="shared" si="748"/>
        <v>9.5</v>
      </c>
      <c r="M311" s="7">
        <f t="shared" si="749"/>
        <v>9.5</v>
      </c>
      <c r="N311" s="38">
        <f>17*25.4</f>
        <v>431.79999999999995</v>
      </c>
      <c r="O311" s="38">
        <f>2.5*25.4</f>
        <v>63.5</v>
      </c>
      <c r="P311" s="39">
        <f>4.5*25.4</f>
        <v>114.3</v>
      </c>
      <c r="Q311" s="7">
        <f t="shared" si="750"/>
        <v>253.99999999999994</v>
      </c>
      <c r="R311" s="38">
        <v>2</v>
      </c>
      <c r="S311" s="4">
        <f t="shared" si="722"/>
        <v>260.34999999999997</v>
      </c>
      <c r="T311" s="7">
        <f t="shared" si="751"/>
        <v>3</v>
      </c>
      <c r="U311" s="7">
        <f t="shared" si="859"/>
        <v>3</v>
      </c>
      <c r="V311" s="38">
        <v>4</v>
      </c>
      <c r="W311" s="4">
        <f t="shared" si="752"/>
        <v>4</v>
      </c>
      <c r="X311" s="4">
        <f t="shared" si="753"/>
        <v>5</v>
      </c>
      <c r="Y311" s="7">
        <f t="shared" si="754"/>
        <v>56.796126628494655</v>
      </c>
      <c r="AB311" s="38">
        <f t="shared" si="786"/>
        <v>726.89655172413802</v>
      </c>
      <c r="AC311" s="4">
        <v>105.4</v>
      </c>
      <c r="AD311" s="4">
        <f t="shared" si="899"/>
        <v>0.87833333333333341</v>
      </c>
      <c r="AE311" s="38"/>
      <c r="AF311" s="38"/>
      <c r="AG311" s="39">
        <v>1</v>
      </c>
      <c r="AH311" s="39"/>
      <c r="AI311" s="39"/>
      <c r="AJ311" s="7"/>
      <c r="AK311" s="4">
        <f t="shared" si="755"/>
        <v>241.29999999999998</v>
      </c>
      <c r="AL311" s="4">
        <f t="shared" si="910"/>
        <v>0.59649122807017541</v>
      </c>
      <c r="AM311" s="4">
        <f t="shared" si="911"/>
        <v>388.89417005620368</v>
      </c>
      <c r="AN311" s="4">
        <f t="shared" si="912"/>
        <v>0.76315789473684204</v>
      </c>
      <c r="AO311" s="4">
        <v>1.25</v>
      </c>
      <c r="AP311" s="4">
        <f t="shared" si="844"/>
        <v>2.5</v>
      </c>
      <c r="AQ311" s="38">
        <f t="shared" si="723"/>
        <v>553.22260456402466</v>
      </c>
      <c r="AR311" s="38">
        <f t="shared" si="913"/>
        <v>553.22260456402466</v>
      </c>
      <c r="AS311" s="38">
        <f t="shared" si="914"/>
        <v>5.4139420559889198</v>
      </c>
      <c r="AT311" s="38">
        <f t="shared" si="853"/>
        <v>553.22260456402478</v>
      </c>
      <c r="AU311" s="38">
        <f t="shared" si="820"/>
        <v>0.99999999999999978</v>
      </c>
      <c r="AV311" s="38">
        <f t="shared" si="954"/>
        <v>2.3979871370235051</v>
      </c>
      <c r="AW311" s="4">
        <f t="shared" si="940"/>
        <v>0</v>
      </c>
      <c r="AX311" s="4">
        <f t="shared" si="756"/>
        <v>525.71789996615826</v>
      </c>
      <c r="AY311" s="4">
        <f t="shared" si="724"/>
        <v>1</v>
      </c>
      <c r="AZ311" s="38">
        <f t="shared" si="837"/>
        <v>1326.6206896551723</v>
      </c>
      <c r="BA311" s="4">
        <f t="shared" si="725"/>
        <v>0.44000000000000006</v>
      </c>
      <c r="BB311" s="4">
        <f t="shared" si="726"/>
        <v>120.86254520221979</v>
      </c>
      <c r="BC311" s="4">
        <f t="shared" si="727"/>
        <v>1447.4832348573921</v>
      </c>
      <c r="BE311" s="4">
        <f t="shared" si="854"/>
        <v>1.375</v>
      </c>
      <c r="BF311" s="4">
        <f t="shared" si="860"/>
        <v>845.74867157055712</v>
      </c>
      <c r="BH311" s="4">
        <f t="shared" si="861"/>
        <v>1272.3914765180612</v>
      </c>
      <c r="BI311" s="4">
        <f t="shared" si="806"/>
        <v>0</v>
      </c>
      <c r="BJ311" s="4">
        <f t="shared" si="862"/>
        <v>0</v>
      </c>
      <c r="BR311" s="4">
        <f t="shared" si="728"/>
        <v>63.5</v>
      </c>
      <c r="BV311" s="9"/>
      <c r="BX311" s="9"/>
      <c r="BY311" s="9"/>
      <c r="BZ311" s="9">
        <f t="shared" si="729"/>
        <v>63.5</v>
      </c>
      <c r="CA311" s="9">
        <f t="shared" si="730"/>
        <v>126.99999999999997</v>
      </c>
      <c r="CB311" s="9">
        <f t="shared" si="821"/>
        <v>1.7543833769624846</v>
      </c>
      <c r="CC311" s="40">
        <f t="shared" si="757"/>
        <v>0</v>
      </c>
      <c r="CD311" s="9">
        <f t="shared" si="731"/>
        <v>0</v>
      </c>
      <c r="CE311" s="9">
        <f t="shared" si="732"/>
        <v>0</v>
      </c>
      <c r="CF311" s="9">
        <f t="shared" si="733"/>
        <v>0.99524931562137331</v>
      </c>
      <c r="CG311" s="9">
        <f t="shared" si="734"/>
        <v>0.68</v>
      </c>
      <c r="CH311" s="9">
        <f t="shared" si="822"/>
        <v>2.4905290095198289</v>
      </c>
      <c r="CI311" s="9">
        <f t="shared" si="823"/>
        <v>4.3693426941444296</v>
      </c>
      <c r="CJ311" s="40">
        <v>1</v>
      </c>
      <c r="CK311" s="9">
        <f t="shared" si="824"/>
        <v>428.19558402615405</v>
      </c>
      <c r="CM311" s="4">
        <f t="shared" si="735"/>
        <v>1.3826741523751238</v>
      </c>
      <c r="CN311" s="4">
        <f t="shared" si="736"/>
        <v>0.50217959988721583</v>
      </c>
      <c r="CO311" s="4">
        <f t="shared" si="946"/>
        <v>0.85947111258748954</v>
      </c>
      <c r="CP311" s="4">
        <f t="shared" si="737"/>
        <v>1.6975806823821411</v>
      </c>
      <c r="CQ311" s="4">
        <f t="shared" si="921"/>
        <v>0.87833333333333341</v>
      </c>
      <c r="CR311" s="4">
        <f t="shared" si="922"/>
        <v>0.87833333333333341</v>
      </c>
      <c r="CS311" s="4">
        <f t="shared" si="947"/>
        <v>1.1832182811484149</v>
      </c>
      <c r="CT311" s="4">
        <f t="shared" si="758"/>
        <v>0</v>
      </c>
      <c r="CU311" s="4">
        <f t="shared" ref="CU311:CV313" si="961">CM311</f>
        <v>1.3826741523751238</v>
      </c>
      <c r="CV311" s="4">
        <f t="shared" si="961"/>
        <v>0.50217959988721583</v>
      </c>
      <c r="CW311" s="4">
        <f t="shared" ref="CW311:CW313" si="962">CP311</f>
        <v>1.6975806823821411</v>
      </c>
      <c r="CX311" s="4">
        <f t="shared" ref="CX311:CX313" si="963">CS311</f>
        <v>1.1832182811484149</v>
      </c>
      <c r="CY311" s="4">
        <f t="shared" ref="CY311:CZ313" si="964">CQ311</f>
        <v>0.87833333333333341</v>
      </c>
      <c r="CZ311" s="4">
        <f t="shared" si="964"/>
        <v>0.87833333333333341</v>
      </c>
      <c r="DI311" s="4">
        <f t="shared" si="742"/>
        <v>241.29999999999998</v>
      </c>
      <c r="DL311" s="4">
        <f t="shared" si="900"/>
        <v>2.8000148432523461E-5</v>
      </c>
      <c r="DM311" s="4">
        <f t="shared" si="769"/>
        <v>13.284777517679784</v>
      </c>
      <c r="DN311" s="4">
        <f t="shared" si="901"/>
        <v>0.27647763191291236</v>
      </c>
      <c r="DO311" s="4">
        <f t="shared" si="902"/>
        <v>7.9436168068407298</v>
      </c>
      <c r="DP311" s="4">
        <f t="shared" si="903"/>
        <v>10.946986223421044</v>
      </c>
      <c r="DQ311" s="4">
        <f t="shared" si="904"/>
        <v>11.675816604746906</v>
      </c>
      <c r="DR311" s="38">
        <f t="shared" si="915"/>
        <v>827.58620689655174</v>
      </c>
      <c r="DS311" s="4">
        <f t="shared" si="829"/>
        <v>1</v>
      </c>
      <c r="DT311" s="4">
        <f t="shared" si="905"/>
        <v>2.2360679774997898</v>
      </c>
      <c r="DU311" s="4">
        <f t="shared" si="842"/>
        <v>553.22260456402478</v>
      </c>
      <c r="DY311" s="4">
        <f t="shared" si="785"/>
        <v>0.85</v>
      </c>
      <c r="DZ311" s="4">
        <f t="shared" si="830"/>
        <v>0.85</v>
      </c>
      <c r="EA311" s="4">
        <f t="shared" si="916"/>
        <v>1</v>
      </c>
      <c r="EB311" s="4">
        <f t="shared" si="831"/>
        <v>0.85</v>
      </c>
      <c r="ED311" s="4">
        <f t="shared" si="917"/>
        <v>827.58620689655174</v>
      </c>
      <c r="EE311" s="25">
        <f t="shared" si="918"/>
        <v>547.11762764690559</v>
      </c>
      <c r="EG311" s="4">
        <f t="shared" si="843"/>
        <v>0.72249999999999992</v>
      </c>
      <c r="EH311" s="4">
        <f t="shared" si="919"/>
        <v>13.284777517679784</v>
      </c>
      <c r="EK311" s="4">
        <f t="shared" si="906"/>
        <v>56.796126628494655</v>
      </c>
      <c r="EL311" s="4">
        <f t="shared" si="907"/>
        <v>2.2360679774997898</v>
      </c>
      <c r="EM311" s="4">
        <f t="shared" si="908"/>
        <v>0.15895640293394173</v>
      </c>
      <c r="EP311" s="4">
        <f t="shared" si="759"/>
        <v>0.15895640293394173</v>
      </c>
      <c r="EQ311" s="4">
        <f t="shared" si="960"/>
        <v>0.2760162422736756</v>
      </c>
      <c r="ER311" s="4">
        <f t="shared" si="770"/>
        <v>7.9383115833922018</v>
      </c>
      <c r="ES311" s="4">
        <f t="shared" si="743"/>
        <v>10.945070507495156</v>
      </c>
      <c r="ET311" s="4">
        <f t="shared" si="771"/>
        <v>124.17887337150535</v>
      </c>
      <c r="EU311" s="4">
        <f t="shared" si="772"/>
        <v>60.324999999999989</v>
      </c>
      <c r="EV311" s="4">
        <f t="shared" si="832"/>
        <v>2.8000148432523457E-5</v>
      </c>
      <c r="EW311" s="4">
        <f t="shared" si="744"/>
        <v>11.676208945135416</v>
      </c>
      <c r="EX311" s="4">
        <f t="shared" si="867"/>
        <v>827.58620689655174</v>
      </c>
      <c r="FG311" s="23">
        <f t="shared" si="778"/>
        <v>1.4</v>
      </c>
      <c r="FH311" s="23">
        <f t="shared" si="778"/>
        <v>0.6</v>
      </c>
      <c r="FI311" s="23">
        <f t="shared" si="952"/>
        <v>1.2</v>
      </c>
      <c r="FJ311" s="23">
        <f t="shared" si="779"/>
        <v>1.8</v>
      </c>
      <c r="FK311" s="23">
        <f t="shared" si="779"/>
        <v>1</v>
      </c>
      <c r="FL311" s="23">
        <f t="shared" si="779"/>
        <v>1</v>
      </c>
      <c r="FM311" s="23">
        <f t="shared" si="923"/>
        <v>0</v>
      </c>
      <c r="FN311" s="23"/>
      <c r="FX311" s="4">
        <f t="shared" si="833"/>
        <v>1</v>
      </c>
      <c r="FY311" s="4">
        <f t="shared" si="890"/>
        <v>0.5</v>
      </c>
      <c r="FZ311" s="4">
        <f t="shared" si="834"/>
        <v>0</v>
      </c>
      <c r="GA311" s="4">
        <f t="shared" si="835"/>
        <v>614.33850651683861</v>
      </c>
    </row>
    <row r="312" spans="1:183" ht="12" hidden="1" customHeight="1" x14ac:dyDescent="0.3">
      <c r="A312" s="25">
        <v>294</v>
      </c>
      <c r="B312" s="4" t="s">
        <v>605</v>
      </c>
      <c r="C312" s="4">
        <v>2016</v>
      </c>
      <c r="D312" s="4" t="s">
        <v>309</v>
      </c>
      <c r="E312" s="24" t="s">
        <v>452</v>
      </c>
      <c r="F312" s="7" t="s">
        <v>454</v>
      </c>
      <c r="G312" s="38">
        <f>115.9/0.145</f>
        <v>799.31034482758628</v>
      </c>
      <c r="H312" s="38">
        <f>9.5*25.4</f>
        <v>241.29999999999998</v>
      </c>
      <c r="I312" s="4">
        <f t="shared" si="746"/>
        <v>241.29999999999998</v>
      </c>
      <c r="J312" s="38">
        <f t="shared" ref="J312:J319" si="965">16030/145</f>
        <v>110.55172413793103</v>
      </c>
      <c r="K312" s="38">
        <f t="shared" si="747"/>
        <v>25.4</v>
      </c>
      <c r="L312" s="7">
        <f t="shared" si="748"/>
        <v>9.5</v>
      </c>
      <c r="M312" s="7">
        <f t="shared" si="749"/>
        <v>9.5</v>
      </c>
      <c r="N312" s="38">
        <f>17.3*25.4</f>
        <v>439.42</v>
      </c>
      <c r="O312" s="38">
        <f>2.65*25.4</f>
        <v>67.309999999999988</v>
      </c>
      <c r="P312" s="39">
        <f>2.9*25.4</f>
        <v>73.66</v>
      </c>
      <c r="Q312" s="7">
        <f t="shared" si="750"/>
        <v>254.00000000000003</v>
      </c>
      <c r="R312" s="38">
        <v>2</v>
      </c>
      <c r="S312" s="4">
        <f t="shared" ref="S312:S373" si="966">10.25*25.4</f>
        <v>260.34999999999997</v>
      </c>
      <c r="T312" s="7">
        <f t="shared" si="751"/>
        <v>3.1499999999999995</v>
      </c>
      <c r="U312" s="7">
        <f t="shared" si="859"/>
        <v>3.1499999999999995</v>
      </c>
      <c r="V312" s="38">
        <v>9.5</v>
      </c>
      <c r="W312" s="4">
        <f t="shared" si="752"/>
        <v>9.5</v>
      </c>
      <c r="X312" s="4">
        <f t="shared" si="753"/>
        <v>10.5</v>
      </c>
      <c r="Y312" s="7">
        <f t="shared" si="754"/>
        <v>82.305406869779816</v>
      </c>
      <c r="AB312" s="38">
        <f t="shared" si="786"/>
        <v>713.10344827586221</v>
      </c>
      <c r="AC312" s="4">
        <v>103.4</v>
      </c>
      <c r="AD312" s="4">
        <f t="shared" si="899"/>
        <v>0.89214840379637628</v>
      </c>
      <c r="AE312" s="38"/>
      <c r="AF312" s="38"/>
      <c r="AG312" s="39">
        <v>1</v>
      </c>
      <c r="AH312" s="39"/>
      <c r="AI312" s="39"/>
      <c r="AJ312" s="7"/>
      <c r="AK312" s="4">
        <f t="shared" si="755"/>
        <v>241.29999999999998</v>
      </c>
      <c r="AL312" s="4">
        <f t="shared" si="910"/>
        <v>0.60701754385964912</v>
      </c>
      <c r="AM312" s="4">
        <f t="shared" si="911"/>
        <v>388.89417005620368</v>
      </c>
      <c r="AN312" s="4">
        <f t="shared" si="912"/>
        <v>0.76631578947368417</v>
      </c>
      <c r="AO312" s="4">
        <v>1.25</v>
      </c>
      <c r="AP312" s="4">
        <f t="shared" si="844"/>
        <v>2.5</v>
      </c>
      <c r="AQ312" s="38">
        <f t="shared" ref="AQ312:AQ375" si="967">AL312*AN312*AO312*AP312*AM312</f>
        <v>565.31495098751748</v>
      </c>
      <c r="AR312" s="38">
        <f t="shared" si="913"/>
        <v>565.31495098751748</v>
      </c>
      <c r="AS312" s="38">
        <f t="shared" si="914"/>
        <v>5.4139420559889198</v>
      </c>
      <c r="AT312" s="38">
        <f t="shared" si="853"/>
        <v>565.31495098751748</v>
      </c>
      <c r="AU312" s="38">
        <f t="shared" si="820"/>
        <v>1</v>
      </c>
      <c r="AV312" s="38">
        <f t="shared" si="954"/>
        <v>3.7973217844035227</v>
      </c>
      <c r="AW312" s="4">
        <f t="shared" si="940"/>
        <v>0</v>
      </c>
      <c r="AX312" s="4">
        <f t="shared" si="756"/>
        <v>525.71789996615826</v>
      </c>
      <c r="AY312" s="4">
        <f t="shared" ref="AY312:AY375" si="968">MIN(0.6+0.4*(U312/T312),2)</f>
        <v>1</v>
      </c>
      <c r="AZ312" s="38">
        <f t="shared" si="837"/>
        <v>2146.6827784339098</v>
      </c>
      <c r="BA312" s="4">
        <f t="shared" ref="BA312:BA375" si="969">MAX(1-0.7*W312/5,0.3)</f>
        <v>0.3</v>
      </c>
      <c r="BB312" s="4">
        <f t="shared" ref="BB312:BB375" si="970">BA312*G312*I312/(G312*K312/2.75/J312^0.5)</f>
        <v>82.406280819695297</v>
      </c>
      <c r="BC312" s="4">
        <f t="shared" ref="BC312:BC375" si="971">AZ312+BB312</f>
        <v>2229.0890592536052</v>
      </c>
      <c r="BE312" s="4">
        <f t="shared" si="854"/>
        <v>1.4124999999999999</v>
      </c>
      <c r="BF312" s="4">
        <f t="shared" si="860"/>
        <v>868.81454443157224</v>
      </c>
      <c r="BH312" s="4">
        <f t="shared" si="861"/>
        <v>2058.9313067154058</v>
      </c>
      <c r="BI312" s="4">
        <f t="shared" si="806"/>
        <v>0</v>
      </c>
      <c r="BJ312" s="4">
        <f t="shared" si="862"/>
        <v>0</v>
      </c>
      <c r="BR312" s="4">
        <f t="shared" ref="BR312:BR375" si="972">IF(Q312=0,O312,MIN(Q312/2,O312))</f>
        <v>67.309999999999988</v>
      </c>
      <c r="BV312" s="9"/>
      <c r="BX312" s="9"/>
      <c r="BY312" s="9"/>
      <c r="BZ312" s="9">
        <f t="shared" ref="BZ312:BZ375" si="973">IF(Q312=0,MIN(O312,P312),MIN(Q312/2,O312,P312))</f>
        <v>67.309999999999988</v>
      </c>
      <c r="CA312" s="9">
        <f t="shared" ref="CA312:CA375" si="974">MAX(Q312/2,O312)</f>
        <v>127.00000000000001</v>
      </c>
      <c r="CB312" s="9">
        <f t="shared" si="821"/>
        <v>1.7905298128039189</v>
      </c>
      <c r="CC312" s="40">
        <f t="shared" si="757"/>
        <v>0</v>
      </c>
      <c r="CD312" s="9">
        <f t="shared" ref="CD312:CD375" si="975">MIN(PI()*AE312^2/4*AF312*2/R312/K312/MAX(0.01,AG312),0.05)</f>
        <v>0</v>
      </c>
      <c r="CE312" s="9">
        <f t="shared" ref="CE312:CE375" si="976">MAX(0,CC312*(CD312-0.5/50))</f>
        <v>0</v>
      </c>
      <c r="CF312" s="9">
        <f t="shared" ref="CF312:CF375" si="977">MIN(1,(25/K312)^0.3)</f>
        <v>0.99524931562137331</v>
      </c>
      <c r="CG312" s="9">
        <f t="shared" ref="CG312:CG375" si="978">IF(G312&gt;=800,0.68,IF(G312&gt;=700,0.75-(G312-700)*0.07/100,IF(G312&gt;=600,0.85-(G312-600)*0.1/100,IF(G312&gt;=500,1-(G312-500)*0.15/100,1.2-(G312-400)*0.2/100))))</f>
        <v>0.68048275862068963</v>
      </c>
      <c r="CH312" s="9">
        <f t="shared" si="822"/>
        <v>2.4922971335630986</v>
      </c>
      <c r="CI312" s="9">
        <f t="shared" si="823"/>
        <v>4.4625323200104781</v>
      </c>
      <c r="CJ312" s="40">
        <v>1</v>
      </c>
      <c r="CK312" s="9">
        <f t="shared" si="824"/>
        <v>437.32816736102683</v>
      </c>
      <c r="CM312" s="4">
        <f t="shared" ref="CM312:CM375" si="979">AB312/AX312</f>
        <v>1.3564374511915354</v>
      </c>
      <c r="CN312" s="4">
        <f t="shared" ref="CN312:CN375" si="980">AB312/BC312</f>
        <v>0.31990801144331121</v>
      </c>
      <c r="CO312" s="4">
        <f t="shared" si="946"/>
        <v>0.82077752133214454</v>
      </c>
      <c r="CP312" s="4">
        <f t="shared" ref="CP312:CP375" si="981">AB312/CK312</f>
        <v>1.6305911704223137</v>
      </c>
      <c r="CQ312" s="4">
        <f t="shared" si="921"/>
        <v>0.89214840379637628</v>
      </c>
      <c r="CR312" s="4">
        <f t="shared" si="922"/>
        <v>0.89214840379637628</v>
      </c>
      <c r="CS312" s="4">
        <f t="shared" si="947"/>
        <v>1.1607663213543273</v>
      </c>
      <c r="CT312" s="4">
        <f t="shared" si="758"/>
        <v>0</v>
      </c>
      <c r="CU312" s="4">
        <f t="shared" si="961"/>
        <v>1.3564374511915354</v>
      </c>
      <c r="CV312" s="4">
        <f t="shared" si="961"/>
        <v>0.31990801144331121</v>
      </c>
      <c r="CW312" s="4">
        <f t="shared" si="962"/>
        <v>1.6305911704223137</v>
      </c>
      <c r="CX312" s="4">
        <f t="shared" si="963"/>
        <v>1.1607663213543273</v>
      </c>
      <c r="CY312" s="4">
        <f t="shared" si="964"/>
        <v>0.89214840379637628</v>
      </c>
      <c r="CZ312" s="4">
        <f t="shared" si="964"/>
        <v>0.89214840379637628</v>
      </c>
      <c r="DI312" s="4">
        <f t="shared" ref="DI312:DI375" si="982">I312</f>
        <v>241.29999999999998</v>
      </c>
      <c r="DL312" s="4">
        <f t="shared" si="900"/>
        <v>2.8000148432523461E-5</v>
      </c>
      <c r="DM312" s="4">
        <f t="shared" si="769"/>
        <v>13.523426215602175</v>
      </c>
      <c r="DN312" s="4">
        <f t="shared" si="901"/>
        <v>0.17238385513177032</v>
      </c>
      <c r="DO312" s="4">
        <f t="shared" si="902"/>
        <v>6.6939948114044903</v>
      </c>
      <c r="DP312" s="4">
        <f t="shared" si="903"/>
        <v>10.675661364855177</v>
      </c>
      <c r="DQ312" s="4">
        <f t="shared" si="904"/>
        <v>12.03357545451744</v>
      </c>
      <c r="DR312" s="38">
        <f t="shared" si="915"/>
        <v>799.31034482758628</v>
      </c>
      <c r="DS312" s="4">
        <f t="shared" si="829"/>
        <v>1</v>
      </c>
      <c r="DT312" s="4">
        <f t="shared" si="905"/>
        <v>3.2403703492039297</v>
      </c>
      <c r="DU312" s="4">
        <f t="shared" si="842"/>
        <v>565.31495098751748</v>
      </c>
      <c r="DY312" s="4">
        <f t="shared" si="785"/>
        <v>0.85</v>
      </c>
      <c r="DZ312" s="4">
        <f t="shared" si="830"/>
        <v>0.83499999999999996</v>
      </c>
      <c r="EA312" s="4">
        <f t="shared" si="916"/>
        <v>1</v>
      </c>
      <c r="EB312" s="4">
        <f t="shared" si="831"/>
        <v>0.83499999999999996</v>
      </c>
      <c r="ED312" s="4">
        <f t="shared" si="917"/>
        <v>799.31034482758628</v>
      </c>
      <c r="EE312" s="25">
        <f t="shared" si="918"/>
        <v>559.10875360372461</v>
      </c>
      <c r="EG312" s="4">
        <f t="shared" si="843"/>
        <v>0.70974999999999999</v>
      </c>
      <c r="EH312" s="4">
        <f t="shared" si="919"/>
        <v>13.523426215602175</v>
      </c>
      <c r="EK312" s="4">
        <f t="shared" si="906"/>
        <v>82.305406869779816</v>
      </c>
      <c r="EL312" s="4">
        <f t="shared" si="907"/>
        <v>3.2403703492039302</v>
      </c>
      <c r="EM312" s="4">
        <f t="shared" si="908"/>
        <v>9.9109346915497026E-2</v>
      </c>
      <c r="EP312" s="4">
        <f t="shared" si="759"/>
        <v>9.9109346915497026E-2</v>
      </c>
      <c r="EQ312" s="4">
        <f t="shared" si="960"/>
        <v>0.17209617860553858</v>
      </c>
      <c r="ER312" s="4">
        <f t="shared" si="770"/>
        <v>6.6895241604275695</v>
      </c>
      <c r="ES312" s="4">
        <f t="shared" ref="ES312:ES375" si="983">EH312/1.4*(1-EQ312^1.4)/(1-EQ312)</f>
        <v>10.674277055571464</v>
      </c>
      <c r="ET312" s="4">
        <f t="shared" si="771"/>
        <v>98.669593130220179</v>
      </c>
      <c r="EU312" s="4">
        <f t="shared" si="772"/>
        <v>60.324999999999974</v>
      </c>
      <c r="EV312" s="4">
        <f t="shared" si="832"/>
        <v>2.8000148432523447E-5</v>
      </c>
      <c r="EW312" s="4">
        <f t="shared" ref="EW312:EW375" si="984">MAX(0.5*EH312, (1-2*EV312*(EK312*ER312+ET312*ES312))/(1/EH312+EV312*EU312))</f>
        <v>12.033949023453868</v>
      </c>
      <c r="EX312" s="4">
        <f t="shared" si="867"/>
        <v>799.31034482758628</v>
      </c>
      <c r="FG312" s="23">
        <f t="shared" si="778"/>
        <v>1.4</v>
      </c>
      <c r="FH312" s="23">
        <f t="shared" si="778"/>
        <v>0.6</v>
      </c>
      <c r="FI312" s="23">
        <f t="shared" si="952"/>
        <v>1.2</v>
      </c>
      <c r="FJ312" s="23">
        <f t="shared" si="779"/>
        <v>1.8</v>
      </c>
      <c r="FK312" s="23">
        <f t="shared" si="779"/>
        <v>1</v>
      </c>
      <c r="FL312" s="23">
        <f t="shared" si="779"/>
        <v>1</v>
      </c>
      <c r="FM312" s="23">
        <f t="shared" si="923"/>
        <v>0</v>
      </c>
      <c r="FN312" s="23"/>
      <c r="FX312" s="4">
        <f t="shared" si="833"/>
        <v>1</v>
      </c>
      <c r="FY312" s="4">
        <f t="shared" si="890"/>
        <v>0.5</v>
      </c>
      <c r="FZ312" s="4">
        <f t="shared" si="834"/>
        <v>0</v>
      </c>
      <c r="GA312" s="4">
        <f t="shared" si="835"/>
        <v>614.33850651683861</v>
      </c>
    </row>
    <row r="313" spans="1:183" ht="12" hidden="1" customHeight="1" x14ac:dyDescent="0.3">
      <c r="A313" s="25">
        <v>295</v>
      </c>
      <c r="B313" s="4" t="s">
        <v>605</v>
      </c>
      <c r="C313" s="4">
        <v>2016</v>
      </c>
      <c r="D313" s="4" t="s">
        <v>309</v>
      </c>
      <c r="E313" s="24" t="s">
        <v>668</v>
      </c>
      <c r="F313" s="7" t="s">
        <v>455</v>
      </c>
      <c r="G313" s="38">
        <f>115.9/0.145</f>
        <v>799.31034482758628</v>
      </c>
      <c r="H313" s="38">
        <f>9.69*25.4</f>
        <v>246.12599999999998</v>
      </c>
      <c r="I313" s="4">
        <f t="shared" ref="I313:I376" si="985">H313</f>
        <v>246.12599999999998</v>
      </c>
      <c r="J313" s="38">
        <f t="shared" si="965"/>
        <v>110.55172413793103</v>
      </c>
      <c r="K313" s="38">
        <f t="shared" ref="K313:K373" si="986">1*25.4</f>
        <v>25.4</v>
      </c>
      <c r="L313" s="7">
        <f t="shared" ref="L313:L376" si="987">H313/K313</f>
        <v>9.69</v>
      </c>
      <c r="M313" s="7">
        <f t="shared" ref="M313:M376" si="988">I313/K313</f>
        <v>9.69</v>
      </c>
      <c r="N313" s="38">
        <f>16.8*25.4</f>
        <v>426.71999999999997</v>
      </c>
      <c r="O313" s="38">
        <f>2.5*25.4</f>
        <v>63.5</v>
      </c>
      <c r="P313" s="39">
        <f>2.85*25.4</f>
        <v>72.39</v>
      </c>
      <c r="Q313" s="7">
        <f t="shared" ref="Q313:Q376" si="989">(N313-R313*K313-2*O313)/(R313-1)</f>
        <v>248.91999999999996</v>
      </c>
      <c r="R313" s="38">
        <v>2</v>
      </c>
      <c r="S313" s="4">
        <f t="shared" si="966"/>
        <v>260.34999999999997</v>
      </c>
      <c r="T313" s="7">
        <f t="shared" ref="T313:T376" si="990">MIN(O313/K313+0.5, Q313/2/K313+0.5)</f>
        <v>3</v>
      </c>
      <c r="U313" s="7">
        <f t="shared" si="859"/>
        <v>3</v>
      </c>
      <c r="V313" s="38">
        <v>14.9</v>
      </c>
      <c r="W313" s="4">
        <f t="shared" ref="W313:W376" si="991">V313</f>
        <v>14.9</v>
      </c>
      <c r="X313" s="4">
        <f t="shared" ref="X313:X376" si="992">W313+1</f>
        <v>15.9</v>
      </c>
      <c r="Y313" s="7">
        <f t="shared" ref="Y313:Y376" si="993">K313*X313^0.5</f>
        <v>101.28200234987457</v>
      </c>
      <c r="AB313" s="38">
        <f t="shared" si="786"/>
        <v>760.68965517241384</v>
      </c>
      <c r="AC313" s="4">
        <v>110.3</v>
      </c>
      <c r="AD313" s="4">
        <f t="shared" si="899"/>
        <v>0.95168248490077645</v>
      </c>
      <c r="AE313" s="38"/>
      <c r="AF313" s="38"/>
      <c r="AG313" s="39">
        <v>1</v>
      </c>
      <c r="AH313" s="39"/>
      <c r="AI313" s="39"/>
      <c r="AJ313" s="7"/>
      <c r="AK313" s="4">
        <f t="shared" ref="AK313:AK376" si="994">H313</f>
        <v>246.12599999999998</v>
      </c>
      <c r="AL313" s="4">
        <f t="shared" si="910"/>
        <v>0.57791537667698656</v>
      </c>
      <c r="AM313" s="4">
        <f t="shared" si="911"/>
        <v>400.61913628025081</v>
      </c>
      <c r="AN313" s="4">
        <f t="shared" si="912"/>
        <v>0.76191950464396285</v>
      </c>
      <c r="AO313" s="4">
        <v>1.25</v>
      </c>
      <c r="AP313" s="4">
        <f t="shared" si="844"/>
        <v>2.5</v>
      </c>
      <c r="AQ313" s="38">
        <f t="shared" si="967"/>
        <v>551.25818809566204</v>
      </c>
      <c r="AR313" s="38">
        <f t="shared" si="913"/>
        <v>551.25818809566204</v>
      </c>
      <c r="AS313" s="38">
        <f t="shared" si="914"/>
        <v>5.4139420559889198</v>
      </c>
      <c r="AT313" s="38">
        <f t="shared" si="853"/>
        <v>551.25818809566215</v>
      </c>
      <c r="AU313" s="38">
        <f t="shared" si="820"/>
        <v>0.99999999999999978</v>
      </c>
      <c r="AV313" s="38">
        <f t="shared" si="954"/>
        <v>4.6446698743115062</v>
      </c>
      <c r="AW313" s="4">
        <f t="shared" si="940"/>
        <v>0</v>
      </c>
      <c r="AX313" s="4">
        <f t="shared" ref="AX313:AX376" si="995">I313/K313*J313^0.5/0.19</f>
        <v>536.23225796548138</v>
      </c>
      <c r="AY313" s="4">
        <f t="shared" si="968"/>
        <v>1</v>
      </c>
      <c r="AZ313" s="38">
        <f t="shared" si="837"/>
        <v>2560.412299215468</v>
      </c>
      <c r="BA313" s="4">
        <f t="shared" si="969"/>
        <v>0.3</v>
      </c>
      <c r="BB313" s="4">
        <f t="shared" si="970"/>
        <v>84.054406436089209</v>
      </c>
      <c r="BC313" s="4">
        <f t="shared" si="971"/>
        <v>2644.4667056515573</v>
      </c>
      <c r="BE313" s="4">
        <f t="shared" si="854"/>
        <v>1.375</v>
      </c>
      <c r="BF313" s="4">
        <f t="shared" si="860"/>
        <v>853.9892996525266</v>
      </c>
      <c r="BH313" s="4">
        <f t="shared" si="861"/>
        <v>2455.7485129683778</v>
      </c>
      <c r="BI313" s="4">
        <f t="shared" si="806"/>
        <v>0</v>
      </c>
      <c r="BJ313" s="4">
        <f t="shared" si="862"/>
        <v>0</v>
      </c>
      <c r="BR313" s="4">
        <f t="shared" si="972"/>
        <v>63.5</v>
      </c>
      <c r="BV313" s="9"/>
      <c r="BX313" s="9"/>
      <c r="BY313" s="9"/>
      <c r="BZ313" s="9">
        <f t="shared" si="973"/>
        <v>63.5</v>
      </c>
      <c r="CA313" s="9">
        <f t="shared" si="974"/>
        <v>124.45999999999998</v>
      </c>
      <c r="CB313" s="9">
        <f t="shared" si="821"/>
        <v>1.7490749303163509</v>
      </c>
      <c r="CC313" s="40">
        <f t="shared" ref="CC313:CC376" si="996">IF(AG313&gt;1,20,0)</f>
        <v>0</v>
      </c>
      <c r="CD313" s="9">
        <f t="shared" si="975"/>
        <v>0</v>
      </c>
      <c r="CE313" s="9">
        <f t="shared" si="976"/>
        <v>0</v>
      </c>
      <c r="CF313" s="9">
        <f t="shared" si="977"/>
        <v>0.99524931562137331</v>
      </c>
      <c r="CG313" s="9">
        <f t="shared" si="978"/>
        <v>0.68048275862068963</v>
      </c>
      <c r="CH313" s="9">
        <f t="shared" si="822"/>
        <v>2.4922971335630986</v>
      </c>
      <c r="CI313" s="9">
        <f t="shared" si="823"/>
        <v>4.3592144352145175</v>
      </c>
      <c r="CJ313" s="40">
        <v>1</v>
      </c>
      <c r="CK313" s="9">
        <f t="shared" si="824"/>
        <v>430.51601762178575</v>
      </c>
      <c r="CM313" s="4">
        <f t="shared" si="979"/>
        <v>1.4185824218381531</v>
      </c>
      <c r="CN313" s="4">
        <f t="shared" si="980"/>
        <v>0.28765333046043823</v>
      </c>
      <c r="CO313" s="4">
        <f t="shared" si="946"/>
        <v>0.89074846193263224</v>
      </c>
      <c r="CP313" s="4">
        <f t="shared" si="981"/>
        <v>1.766925326900822</v>
      </c>
      <c r="CQ313" s="4">
        <f t="shared" si="921"/>
        <v>0.95168248490077645</v>
      </c>
      <c r="CR313" s="4">
        <f t="shared" si="922"/>
        <v>0.95168248490077645</v>
      </c>
      <c r="CS313" s="4">
        <f t="shared" si="947"/>
        <v>1.213946649650911</v>
      </c>
      <c r="CT313" s="4">
        <f t="shared" ref="CT313:CT376" si="997">AF313</f>
        <v>0</v>
      </c>
      <c r="CU313" s="4">
        <f t="shared" si="961"/>
        <v>1.4185824218381531</v>
      </c>
      <c r="CV313" s="4">
        <f t="shared" si="961"/>
        <v>0.28765333046043823</v>
      </c>
      <c r="CW313" s="4">
        <f t="shared" si="962"/>
        <v>1.766925326900822</v>
      </c>
      <c r="CX313" s="4">
        <f t="shared" si="963"/>
        <v>1.213946649650911</v>
      </c>
      <c r="CY313" s="4">
        <f t="shared" si="964"/>
        <v>0.95168248490077645</v>
      </c>
      <c r="CZ313" s="4">
        <f t="shared" si="964"/>
        <v>0.95168248490077645</v>
      </c>
      <c r="DI313" s="4">
        <f t="shared" si="982"/>
        <v>246.12599999999998</v>
      </c>
      <c r="DL313" s="4">
        <f t="shared" si="900"/>
        <v>2.8560151401173934E-5</v>
      </c>
      <c r="DM313" s="4">
        <f t="shared" si="769"/>
        <v>13.284777517679784</v>
      </c>
      <c r="DN313" s="4">
        <f t="shared" si="901"/>
        <v>0.13188713077629979</v>
      </c>
      <c r="DO313" s="4">
        <f t="shared" si="902"/>
        <v>5.907928813162874</v>
      </c>
      <c r="DP313" s="4">
        <f t="shared" si="903"/>
        <v>10.289641047041734</v>
      </c>
      <c r="DQ313" s="4">
        <f t="shared" si="904"/>
        <v>11.902334914317441</v>
      </c>
      <c r="DR313" s="38">
        <f t="shared" si="915"/>
        <v>799.31034482758628</v>
      </c>
      <c r="DS313" s="4">
        <f t="shared" si="829"/>
        <v>1</v>
      </c>
      <c r="DT313" s="4">
        <f t="shared" si="905"/>
        <v>3.9874804074753771</v>
      </c>
      <c r="DU313" s="4">
        <f t="shared" si="842"/>
        <v>551.25818809566215</v>
      </c>
      <c r="DY313" s="4">
        <f t="shared" si="785"/>
        <v>0.85</v>
      </c>
      <c r="DZ313" s="4">
        <f t="shared" si="830"/>
        <v>0.85</v>
      </c>
      <c r="EA313" s="4">
        <f t="shared" si="916"/>
        <v>1</v>
      </c>
      <c r="EB313" s="4">
        <f t="shared" si="831"/>
        <v>0.85</v>
      </c>
      <c r="ED313" s="4">
        <f t="shared" si="917"/>
        <v>799.31034482758628</v>
      </c>
      <c r="EE313" s="25">
        <f t="shared" si="918"/>
        <v>545.31224539901723</v>
      </c>
      <c r="EG313" s="4">
        <f t="shared" si="843"/>
        <v>0.72249999999999992</v>
      </c>
      <c r="EH313" s="4">
        <f t="shared" si="919"/>
        <v>13.284777517679784</v>
      </c>
      <c r="EK313" s="4">
        <f t="shared" si="906"/>
        <v>101.28200234987457</v>
      </c>
      <c r="EL313" s="4">
        <f t="shared" si="907"/>
        <v>3.9874804074753771</v>
      </c>
      <c r="EM313" s="4">
        <f t="shared" si="908"/>
        <v>7.5826401421444881E-2</v>
      </c>
      <c r="EP313" s="4">
        <f t="shared" ref="EP313:EP376" si="998">EM313</f>
        <v>7.5826401421444881E-2</v>
      </c>
      <c r="EQ313" s="4">
        <f t="shared" si="960"/>
        <v>0.13166703573545388</v>
      </c>
      <c r="ER313" s="4">
        <f t="shared" si="770"/>
        <v>5.9039831441768227</v>
      </c>
      <c r="ES313" s="4">
        <f t="shared" si="983"/>
        <v>10.288529921112668</v>
      </c>
      <c r="ET313" s="4">
        <f t="shared" si="771"/>
        <v>83.312497650125408</v>
      </c>
      <c r="EU313" s="4">
        <f t="shared" si="772"/>
        <v>61.531499999999994</v>
      </c>
      <c r="EV313" s="4">
        <f t="shared" si="832"/>
        <v>2.8560151401173934E-5</v>
      </c>
      <c r="EW313" s="4">
        <f t="shared" si="984"/>
        <v>11.902699886961971</v>
      </c>
      <c r="EX313" s="4">
        <f t="shared" si="867"/>
        <v>799.31034482758628</v>
      </c>
      <c r="FG313" s="23">
        <f t="shared" si="778"/>
        <v>1.6</v>
      </c>
      <c r="FH313" s="23">
        <f t="shared" si="778"/>
        <v>0.6</v>
      </c>
      <c r="FI313" s="23">
        <f t="shared" si="952"/>
        <v>1.4</v>
      </c>
      <c r="FJ313" s="23">
        <f t="shared" si="779"/>
        <v>1.8</v>
      </c>
      <c r="FK313" s="23">
        <f t="shared" si="779"/>
        <v>1</v>
      </c>
      <c r="FL313" s="23">
        <f t="shared" si="779"/>
        <v>1</v>
      </c>
      <c r="FM313" s="23">
        <f t="shared" si="923"/>
        <v>0</v>
      </c>
      <c r="FN313" s="23"/>
      <c r="FX313" s="4">
        <f t="shared" si="833"/>
        <v>1</v>
      </c>
      <c r="FY313" s="4">
        <f t="shared" si="890"/>
        <v>0.5</v>
      </c>
      <c r="FZ313" s="4">
        <f t="shared" si="834"/>
        <v>0</v>
      </c>
      <c r="GA313" s="4">
        <f t="shared" si="835"/>
        <v>626.62527664717538</v>
      </c>
    </row>
    <row r="314" spans="1:183" ht="12" hidden="1" customHeight="1" x14ac:dyDescent="0.3">
      <c r="A314" s="25">
        <v>296</v>
      </c>
      <c r="B314" s="4" t="s">
        <v>605</v>
      </c>
      <c r="C314" s="4">
        <v>2016</v>
      </c>
      <c r="D314" s="4" t="s">
        <v>309</v>
      </c>
      <c r="E314" s="24" t="s">
        <v>668</v>
      </c>
      <c r="F314" s="7" t="s">
        <v>456</v>
      </c>
      <c r="G314" s="38">
        <f>120/0.145</f>
        <v>827.58620689655174</v>
      </c>
      <c r="H314" s="38">
        <f>7.06*25.4</f>
        <v>179.32399999999998</v>
      </c>
      <c r="I314" s="4">
        <f t="shared" si="985"/>
        <v>179.32399999999998</v>
      </c>
      <c r="J314" s="38">
        <f t="shared" si="965"/>
        <v>110.55172413793103</v>
      </c>
      <c r="K314" s="38">
        <f t="shared" si="986"/>
        <v>25.4</v>
      </c>
      <c r="L314" s="7">
        <f t="shared" si="987"/>
        <v>7.06</v>
      </c>
      <c r="M314" s="7">
        <f t="shared" si="988"/>
        <v>7.06</v>
      </c>
      <c r="N314" s="38">
        <f>17*25.4</f>
        <v>431.79999999999995</v>
      </c>
      <c r="O314" s="38">
        <f t="shared" ref="O314:O359" si="999">2.5*25.4</f>
        <v>63.5</v>
      </c>
      <c r="P314" s="39">
        <f>4.55*25.4</f>
        <v>115.57</v>
      </c>
      <c r="Q314" s="7">
        <f t="shared" si="989"/>
        <v>253.99999999999994</v>
      </c>
      <c r="R314" s="38">
        <v>2</v>
      </c>
      <c r="S314" s="4">
        <f t="shared" si="966"/>
        <v>260.34999999999997</v>
      </c>
      <c r="T314" s="7">
        <f t="shared" si="990"/>
        <v>3</v>
      </c>
      <c r="U314" s="7">
        <f t="shared" si="859"/>
        <v>3</v>
      </c>
      <c r="V314" s="38">
        <v>4</v>
      </c>
      <c r="W314" s="4">
        <f t="shared" si="991"/>
        <v>4</v>
      </c>
      <c r="X314" s="4">
        <f t="shared" si="992"/>
        <v>5</v>
      </c>
      <c r="Y314" s="7">
        <f t="shared" si="993"/>
        <v>56.796126628494655</v>
      </c>
      <c r="AB314" s="38">
        <f t="shared" si="786"/>
        <v>515.17241379310349</v>
      </c>
      <c r="AC314" s="4">
        <v>74.7</v>
      </c>
      <c r="AD314" s="4">
        <f t="shared" si="899"/>
        <v>0.64304013454181963</v>
      </c>
      <c r="AE314" s="38">
        <f>0.5*25.4</f>
        <v>12.7</v>
      </c>
      <c r="AF314" s="38">
        <v>4</v>
      </c>
      <c r="AG314" s="39">
        <f>5.5*25.4</f>
        <v>139.69999999999999</v>
      </c>
      <c r="AH314" s="39">
        <v>1</v>
      </c>
      <c r="AI314" s="39">
        <v>1</v>
      </c>
      <c r="AJ314" s="7"/>
      <c r="AK314" s="4">
        <f t="shared" si="994"/>
        <v>179.32399999999998</v>
      </c>
      <c r="AL314" s="4">
        <f t="shared" si="910"/>
        <v>0.80264400377714828</v>
      </c>
      <c r="AM314" s="4">
        <f t="shared" si="911"/>
        <v>249.14551653979098</v>
      </c>
      <c r="AN314" s="4">
        <f t="shared" si="912"/>
        <v>0.784985835694051</v>
      </c>
      <c r="AO314" s="4">
        <v>1.25</v>
      </c>
      <c r="AP314" s="4">
        <f t="shared" si="844"/>
        <v>2.5</v>
      </c>
      <c r="AQ314" s="38">
        <f t="shared" si="967"/>
        <v>490.55520031825944</v>
      </c>
      <c r="AR314" s="38">
        <f t="shared" si="913"/>
        <v>490.55520031825944</v>
      </c>
      <c r="AS314" s="38">
        <f t="shared" si="914"/>
        <v>5.4139420559889198</v>
      </c>
      <c r="AT314" s="38">
        <f t="shared" si="853"/>
        <v>490.55520031825927</v>
      </c>
      <c r="AU314" s="38">
        <f t="shared" si="820"/>
        <v>1.0000000000000004</v>
      </c>
      <c r="AV314" s="38">
        <f t="shared" si="954"/>
        <v>2.7043249950148236</v>
      </c>
      <c r="AW314" s="4">
        <f t="shared" si="940"/>
        <v>0</v>
      </c>
      <c r="AX314" s="4">
        <f t="shared" si="995"/>
        <v>390.69140776432391</v>
      </c>
      <c r="AY314" s="4">
        <f t="shared" si="968"/>
        <v>1</v>
      </c>
      <c r="AZ314" s="38">
        <f t="shared" si="837"/>
        <v>1326.6206896551723</v>
      </c>
      <c r="BA314" s="4">
        <f t="shared" si="969"/>
        <v>0.44000000000000006</v>
      </c>
      <c r="BB314" s="4">
        <f t="shared" si="970"/>
        <v>89.819954645018072</v>
      </c>
      <c r="BC314" s="4">
        <f t="shared" si="971"/>
        <v>1416.4406443001903</v>
      </c>
      <c r="BE314" s="4">
        <f t="shared" si="854"/>
        <v>1.5</v>
      </c>
      <c r="BF314" s="4">
        <f t="shared" si="860"/>
        <v>807.1872636080393</v>
      </c>
      <c r="BH314" s="4">
        <f t="shared" si="861"/>
        <v>1272.3914765180612</v>
      </c>
      <c r="BI314" s="4">
        <f t="shared" si="806"/>
        <v>0</v>
      </c>
      <c r="BJ314" s="4">
        <f t="shared" si="862"/>
        <v>0</v>
      </c>
      <c r="BR314" s="4">
        <f t="shared" si="972"/>
        <v>63.5</v>
      </c>
      <c r="BV314" s="9"/>
      <c r="BX314" s="9"/>
      <c r="BY314" s="9"/>
      <c r="BZ314" s="9">
        <f t="shared" si="973"/>
        <v>63.5</v>
      </c>
      <c r="CA314" s="9">
        <f t="shared" si="974"/>
        <v>126.99999999999997</v>
      </c>
      <c r="CB314" s="9">
        <f t="shared" si="821"/>
        <v>1.7543833769624846</v>
      </c>
      <c r="CC314" s="40">
        <f t="shared" si="996"/>
        <v>20</v>
      </c>
      <c r="CD314" s="9">
        <f t="shared" si="975"/>
        <v>0.05</v>
      </c>
      <c r="CE314" s="9">
        <f t="shared" si="976"/>
        <v>0.8</v>
      </c>
      <c r="CF314" s="9">
        <f t="shared" si="977"/>
        <v>0.99524931562137331</v>
      </c>
      <c r="CG314" s="9">
        <f t="shared" si="978"/>
        <v>0.68</v>
      </c>
      <c r="CH314" s="9">
        <f t="shared" si="822"/>
        <v>2.4905290095198289</v>
      </c>
      <c r="CI314" s="9">
        <f t="shared" si="823"/>
        <v>6.2263225237995723</v>
      </c>
      <c r="CJ314" s="40">
        <v>1</v>
      </c>
      <c r="CK314" s="9">
        <f t="shared" si="824"/>
        <v>549.41069950007432</v>
      </c>
      <c r="CM314" s="4">
        <f t="shared" si="979"/>
        <v>1.3186172092729258</v>
      </c>
      <c r="CN314" s="4">
        <f t="shared" si="980"/>
        <v>0.36370914366668056</v>
      </c>
      <c r="CO314" s="4">
        <f t="shared" si="946"/>
        <v>0.63823159385634853</v>
      </c>
      <c r="CP314" s="4">
        <f t="shared" si="981"/>
        <v>0.9376818002668581</v>
      </c>
      <c r="CQ314" s="4">
        <f t="shared" si="921"/>
        <v>0.64304013454181963</v>
      </c>
      <c r="CR314" s="4">
        <f t="shared" si="922"/>
        <v>0.65440646347147291</v>
      </c>
      <c r="CS314" s="4">
        <f t="shared" si="947"/>
        <v>1.0155616105585565</v>
      </c>
      <c r="CT314" s="4">
        <f t="shared" si="997"/>
        <v>4</v>
      </c>
      <c r="DA314" s="4">
        <f t="shared" ref="DA314:DB319" si="1000">CM314</f>
        <v>1.3186172092729258</v>
      </c>
      <c r="DB314" s="4">
        <f t="shared" si="1000"/>
        <v>0.36370914366668056</v>
      </c>
      <c r="DC314" s="4">
        <f t="shared" ref="DC314:DC319" si="1001">CP314</f>
        <v>0.9376818002668581</v>
      </c>
      <c r="DD314" s="4">
        <f t="shared" ref="DD314:DD319" si="1002">CS314</f>
        <v>1.0155616105585565</v>
      </c>
      <c r="DE314" s="4">
        <f t="shared" ref="DE314:DF319" si="1003">CQ314</f>
        <v>0.64304013454181963</v>
      </c>
      <c r="DF314" s="4">
        <f t="shared" si="1003"/>
        <v>0.65440646347147291</v>
      </c>
      <c r="DI314" s="4">
        <f t="shared" si="982"/>
        <v>179.32399999999998</v>
      </c>
      <c r="DL314" s="4">
        <f t="shared" si="900"/>
        <v>2.0808531361433225E-5</v>
      </c>
      <c r="DM314" s="4">
        <f t="shared" si="769"/>
        <v>14.3619216407349</v>
      </c>
      <c r="DN314" s="4">
        <f t="shared" si="901"/>
        <v>0.2451590715701864</v>
      </c>
      <c r="DO314" s="4">
        <f t="shared" si="902"/>
        <v>8.1844922173160235</v>
      </c>
      <c r="DP314" s="4">
        <f t="shared" si="903"/>
        <v>11.69160156050123</v>
      </c>
      <c r="DQ314" s="4">
        <f t="shared" si="904"/>
        <v>13.362107346029541</v>
      </c>
      <c r="DR314" s="38">
        <f t="shared" si="915"/>
        <v>801.1512596490968</v>
      </c>
      <c r="DS314" s="4">
        <f t="shared" si="829"/>
        <v>1.0000876893610211</v>
      </c>
      <c r="DT314" s="4">
        <f t="shared" si="905"/>
        <v>2.2360679774997898</v>
      </c>
      <c r="DU314" s="4">
        <f t="shared" si="842"/>
        <v>490.55520031825927</v>
      </c>
      <c r="DY314" s="4">
        <f t="shared" si="785"/>
        <v>0.85</v>
      </c>
      <c r="DZ314" s="4">
        <f t="shared" si="830"/>
        <v>0.85</v>
      </c>
      <c r="EA314" s="4">
        <f t="shared" si="916"/>
        <v>0.92500000000000004</v>
      </c>
      <c r="EB314" s="4">
        <f t="shared" si="831"/>
        <v>0.78625</v>
      </c>
      <c r="ED314" s="4">
        <f t="shared" si="917"/>
        <v>787.23613312166049</v>
      </c>
      <c r="EE314" s="25">
        <f t="shared" si="918"/>
        <v>483.05063277089533</v>
      </c>
      <c r="EG314" s="4">
        <f t="shared" si="843"/>
        <v>0.66831249999999998</v>
      </c>
      <c r="EH314" s="4">
        <f t="shared" si="919"/>
        <v>14.3619216407349</v>
      </c>
      <c r="EK314" s="4">
        <f t="shared" si="906"/>
        <v>56.796126628494655</v>
      </c>
      <c r="EL314" s="4">
        <f t="shared" si="907"/>
        <v>2.2360679774997898</v>
      </c>
      <c r="EM314" s="4">
        <f t="shared" si="908"/>
        <v>0.14095029639033016</v>
      </c>
      <c r="EP314" s="4">
        <f t="shared" si="998"/>
        <v>0.14095029639033016</v>
      </c>
      <c r="EQ314" s="4">
        <f t="shared" si="960"/>
        <v>0.24474994677117545</v>
      </c>
      <c r="ER314" s="4">
        <f t="shared" si="770"/>
        <v>8.1790261228301695</v>
      </c>
      <c r="ES314" s="4">
        <f t="shared" si="983"/>
        <v>11.689700251961565</v>
      </c>
      <c r="ET314" s="4">
        <f t="shared" si="771"/>
        <v>77.696873371505347</v>
      </c>
      <c r="EU314" s="4">
        <f t="shared" si="772"/>
        <v>44.830999999999989</v>
      </c>
      <c r="EV314" s="4">
        <f t="shared" si="832"/>
        <v>2.0808531361433218E-5</v>
      </c>
      <c r="EW314" s="4">
        <f t="shared" si="984"/>
        <v>13.362377579384423</v>
      </c>
      <c r="EX314" s="4">
        <f t="shared" si="867"/>
        <v>801.08101336690856</v>
      </c>
      <c r="FG314" s="23">
        <f t="shared" si="778"/>
        <v>1.4</v>
      </c>
      <c r="FH314" s="23">
        <f t="shared" si="778"/>
        <v>0.6</v>
      </c>
      <c r="FI314" s="23">
        <f t="shared" si="952"/>
        <v>1.2</v>
      </c>
      <c r="FJ314" s="23">
        <f t="shared" si="779"/>
        <v>1</v>
      </c>
      <c r="FK314" s="23">
        <f t="shared" si="779"/>
        <v>0.8</v>
      </c>
      <c r="FL314" s="23">
        <f t="shared" si="779"/>
        <v>0.8</v>
      </c>
      <c r="FM314" s="23">
        <f t="shared" si="923"/>
        <v>1</v>
      </c>
      <c r="FN314" s="23"/>
      <c r="FX314" s="4">
        <f t="shared" si="833"/>
        <v>1</v>
      </c>
      <c r="FY314" s="4">
        <f t="shared" si="890"/>
        <v>0.45</v>
      </c>
      <c r="FZ314" s="4">
        <f t="shared" si="834"/>
        <v>0.25</v>
      </c>
      <c r="GA314" s="4">
        <f t="shared" si="835"/>
        <v>507.27834573203279</v>
      </c>
    </row>
    <row r="315" spans="1:183" ht="12" hidden="1" customHeight="1" x14ac:dyDescent="0.3">
      <c r="A315" s="25">
        <v>297</v>
      </c>
      <c r="B315" s="4" t="s">
        <v>605</v>
      </c>
      <c r="C315" s="4">
        <v>2016</v>
      </c>
      <c r="D315" s="4" t="s">
        <v>309</v>
      </c>
      <c r="E315" s="24" t="s">
        <v>668</v>
      </c>
      <c r="F315" s="7" t="s">
        <v>457</v>
      </c>
      <c r="G315" s="38">
        <f t="shared" ref="G315:G316" si="1004">115.9/0.145</f>
        <v>799.31034482758628</v>
      </c>
      <c r="H315" s="38">
        <f>7.06*25.4</f>
        <v>179.32399999999998</v>
      </c>
      <c r="I315" s="4">
        <f t="shared" si="985"/>
        <v>179.32399999999998</v>
      </c>
      <c r="J315" s="38">
        <f t="shared" si="965"/>
        <v>110.55172413793103</v>
      </c>
      <c r="K315" s="38">
        <f t="shared" si="986"/>
        <v>25.4</v>
      </c>
      <c r="L315" s="7">
        <f t="shared" si="987"/>
        <v>7.06</v>
      </c>
      <c r="M315" s="7">
        <f t="shared" si="988"/>
        <v>7.06</v>
      </c>
      <c r="N315" s="38">
        <f>16.9*25.4</f>
        <v>429.25999999999993</v>
      </c>
      <c r="O315" s="38">
        <f t="shared" si="999"/>
        <v>63.5</v>
      </c>
      <c r="P315" s="39">
        <f>3.25*25.4</f>
        <v>82.55</v>
      </c>
      <c r="Q315" s="7">
        <f t="shared" si="989"/>
        <v>251.45999999999992</v>
      </c>
      <c r="R315" s="38">
        <v>2</v>
      </c>
      <c r="S315" s="4">
        <f t="shared" si="966"/>
        <v>260.34999999999997</v>
      </c>
      <c r="T315" s="7">
        <f t="shared" si="990"/>
        <v>3</v>
      </c>
      <c r="U315" s="7">
        <f t="shared" si="859"/>
        <v>3</v>
      </c>
      <c r="V315" s="38">
        <v>9.5</v>
      </c>
      <c r="W315" s="4">
        <f t="shared" si="991"/>
        <v>9.5</v>
      </c>
      <c r="X315" s="4">
        <f t="shared" si="992"/>
        <v>10.5</v>
      </c>
      <c r="Y315" s="7">
        <f t="shared" si="993"/>
        <v>82.305406869779816</v>
      </c>
      <c r="AB315" s="38">
        <f t="shared" si="786"/>
        <v>585.51724137931046</v>
      </c>
      <c r="AC315" s="4">
        <v>84.9</v>
      </c>
      <c r="AD315" s="4">
        <f t="shared" si="899"/>
        <v>0.76838286120630295</v>
      </c>
      <c r="AE315" s="38">
        <f t="shared" ref="AE315:AE319" si="1005">0.5*25.4</f>
        <v>12.7</v>
      </c>
      <c r="AF315" s="38">
        <v>4</v>
      </c>
      <c r="AG315" s="39">
        <f>5.5*25.4</f>
        <v>139.69999999999999</v>
      </c>
      <c r="AH315" s="39">
        <v>1</v>
      </c>
      <c r="AI315" s="39">
        <v>1</v>
      </c>
      <c r="AJ315" s="7"/>
      <c r="AK315" s="4">
        <f t="shared" si="994"/>
        <v>179.32399999999998</v>
      </c>
      <c r="AL315" s="4">
        <f t="shared" si="910"/>
        <v>0.79792256846081211</v>
      </c>
      <c r="AM315" s="4">
        <f t="shared" si="911"/>
        <v>249.14551653979098</v>
      </c>
      <c r="AN315" s="4">
        <f t="shared" si="912"/>
        <v>0.784985835694051</v>
      </c>
      <c r="AO315" s="4">
        <v>1.25</v>
      </c>
      <c r="AP315" s="4">
        <f t="shared" si="844"/>
        <v>2.5</v>
      </c>
      <c r="AQ315" s="38">
        <f t="shared" si="967"/>
        <v>487.6695814928579</v>
      </c>
      <c r="AR315" s="38">
        <f t="shared" si="913"/>
        <v>487.6695814928579</v>
      </c>
      <c r="AS315" s="38">
        <f t="shared" si="914"/>
        <v>5.4139420559889198</v>
      </c>
      <c r="AT315" s="38">
        <f t="shared" si="853"/>
        <v>487.66958149285767</v>
      </c>
      <c r="AU315" s="38">
        <f t="shared" si="820"/>
        <v>1.0000000000000004</v>
      </c>
      <c r="AV315" s="38">
        <f t="shared" si="954"/>
        <v>4.1923053365890919</v>
      </c>
      <c r="AW315" s="4">
        <f t="shared" si="940"/>
        <v>0</v>
      </c>
      <c r="AX315" s="4">
        <f t="shared" si="995"/>
        <v>390.69140776432391</v>
      </c>
      <c r="AY315" s="4">
        <f t="shared" si="968"/>
        <v>1</v>
      </c>
      <c r="AZ315" s="38">
        <f t="shared" si="837"/>
        <v>2044.4597889846762</v>
      </c>
      <c r="BA315" s="4">
        <f t="shared" si="969"/>
        <v>0.3</v>
      </c>
      <c r="BB315" s="4">
        <f t="shared" si="970"/>
        <v>61.240878167057772</v>
      </c>
      <c r="BC315" s="4">
        <f t="shared" si="971"/>
        <v>2105.7006671517338</v>
      </c>
      <c r="BE315" s="4">
        <f t="shared" si="854"/>
        <v>1.5</v>
      </c>
      <c r="BF315" s="4">
        <f t="shared" si="860"/>
        <v>807.1872636080393</v>
      </c>
      <c r="BH315" s="4">
        <f t="shared" si="861"/>
        <v>1960.8869587765769</v>
      </c>
      <c r="BI315" s="4">
        <f t="shared" si="806"/>
        <v>0</v>
      </c>
      <c r="BJ315" s="4">
        <f t="shared" si="862"/>
        <v>0</v>
      </c>
      <c r="BR315" s="4">
        <f t="shared" si="972"/>
        <v>63.5</v>
      </c>
      <c r="BV315" s="9"/>
      <c r="BX315" s="9"/>
      <c r="BY315" s="9"/>
      <c r="BZ315" s="9">
        <f t="shared" si="973"/>
        <v>63.5</v>
      </c>
      <c r="CA315" s="9">
        <f t="shared" si="974"/>
        <v>125.72999999999996</v>
      </c>
      <c r="CB315" s="9">
        <f t="shared" si="821"/>
        <v>1.7517405482385959</v>
      </c>
      <c r="CC315" s="40">
        <f t="shared" si="996"/>
        <v>20</v>
      </c>
      <c r="CD315" s="9">
        <f t="shared" si="975"/>
        <v>0.05</v>
      </c>
      <c r="CE315" s="9">
        <f t="shared" si="976"/>
        <v>0.8</v>
      </c>
      <c r="CF315" s="9">
        <f t="shared" si="977"/>
        <v>0.99524931562137331</v>
      </c>
      <c r="CG315" s="9">
        <f t="shared" si="978"/>
        <v>0.68048275862068963</v>
      </c>
      <c r="CH315" s="9">
        <f t="shared" si="822"/>
        <v>2.4922971335630986</v>
      </c>
      <c r="CI315" s="9">
        <f t="shared" si="823"/>
        <v>6.2307428339077466</v>
      </c>
      <c r="CJ315" s="40">
        <v>1</v>
      </c>
      <c r="CK315" s="9">
        <f t="shared" si="824"/>
        <v>549.80074766401958</v>
      </c>
      <c r="CM315" s="4">
        <f t="shared" si="979"/>
        <v>1.4986693583302733</v>
      </c>
      <c r="CN315" s="4">
        <f t="shared" si="980"/>
        <v>0.27806290348537888</v>
      </c>
      <c r="CO315" s="4">
        <f t="shared" si="946"/>
        <v>0.72537968297729583</v>
      </c>
      <c r="CP315" s="4">
        <f t="shared" si="981"/>
        <v>1.064962613941582</v>
      </c>
      <c r="CQ315" s="4">
        <f t="shared" si="921"/>
        <v>0.76838286120630295</v>
      </c>
      <c r="CR315" s="4">
        <f t="shared" si="922"/>
        <v>0.74645745582544709</v>
      </c>
      <c r="CS315" s="4">
        <f t="shared" si="947"/>
        <v>1.1496958567038023</v>
      </c>
      <c r="CT315" s="4">
        <f t="shared" si="997"/>
        <v>4</v>
      </c>
      <c r="DA315" s="4">
        <f t="shared" si="1000"/>
        <v>1.4986693583302733</v>
      </c>
      <c r="DB315" s="4">
        <f t="shared" si="1000"/>
        <v>0.27806290348537888</v>
      </c>
      <c r="DC315" s="4">
        <f t="shared" si="1001"/>
        <v>1.064962613941582</v>
      </c>
      <c r="DD315" s="4">
        <f t="shared" si="1002"/>
        <v>1.1496958567038023</v>
      </c>
      <c r="DE315" s="4">
        <f t="shared" si="1003"/>
        <v>0.76838286120630295</v>
      </c>
      <c r="DF315" s="4">
        <f t="shared" si="1003"/>
        <v>0.74645745582544709</v>
      </c>
      <c r="DI315" s="4">
        <f t="shared" si="982"/>
        <v>179.32399999999998</v>
      </c>
      <c r="DL315" s="4">
        <f t="shared" si="900"/>
        <v>2.0808531361433225E-5</v>
      </c>
      <c r="DM315" s="4">
        <f t="shared" si="769"/>
        <v>14.3619216407349</v>
      </c>
      <c r="DN315" s="4">
        <f t="shared" si="901"/>
        <v>0.14870712748952589</v>
      </c>
      <c r="DO315" s="4">
        <f t="shared" si="902"/>
        <v>6.7010871591731629</v>
      </c>
      <c r="DP315" s="4">
        <f t="shared" si="903"/>
        <v>11.214389858252142</v>
      </c>
      <c r="DQ315" s="4">
        <f t="shared" si="904"/>
        <v>13.501571585500448</v>
      </c>
      <c r="DR315" s="38">
        <f t="shared" si="915"/>
        <v>762.01236511196089</v>
      </c>
      <c r="DS315" s="4">
        <f t="shared" si="829"/>
        <v>1.0000879369559945</v>
      </c>
      <c r="DT315" s="4">
        <f t="shared" si="905"/>
        <v>3.2403703492039297</v>
      </c>
      <c r="DU315" s="4">
        <f t="shared" si="842"/>
        <v>487.66958149285767</v>
      </c>
      <c r="DY315" s="4">
        <f t="shared" si="785"/>
        <v>0.85</v>
      </c>
      <c r="DZ315" s="4">
        <f t="shared" si="830"/>
        <v>0.85</v>
      </c>
      <c r="EA315" s="4">
        <f t="shared" si="916"/>
        <v>0.92500000000000004</v>
      </c>
      <c r="EB315" s="4">
        <f t="shared" si="831"/>
        <v>0.78625</v>
      </c>
      <c r="ED315" s="4">
        <f t="shared" si="917"/>
        <v>784.39465881124352</v>
      </c>
      <c r="EE315" s="25">
        <f t="shared" si="918"/>
        <v>480.20915846047836</v>
      </c>
      <c r="EG315" s="4">
        <f t="shared" si="843"/>
        <v>0.66831249999999998</v>
      </c>
      <c r="EH315" s="4">
        <f t="shared" si="919"/>
        <v>14.3619216407349</v>
      </c>
      <c r="EK315" s="4">
        <f t="shared" si="906"/>
        <v>82.305406869779816</v>
      </c>
      <c r="EL315" s="4">
        <f t="shared" si="907"/>
        <v>3.2403703492039302</v>
      </c>
      <c r="EM315" s="4">
        <f t="shared" si="908"/>
        <v>8.5496790148361215E-2</v>
      </c>
      <c r="EP315" s="4">
        <f t="shared" si="998"/>
        <v>8.5496790148361215E-2</v>
      </c>
      <c r="EQ315" s="4">
        <f t="shared" si="960"/>
        <v>0.14845896300898689</v>
      </c>
      <c r="ER315" s="4">
        <f t="shared" si="770"/>
        <v>6.6966117715012832</v>
      </c>
      <c r="ES315" s="4">
        <f t="shared" si="983"/>
        <v>11.213073895081219</v>
      </c>
      <c r="ET315" s="4">
        <f t="shared" si="771"/>
        <v>52.187593130220179</v>
      </c>
      <c r="EU315" s="4">
        <f t="shared" si="772"/>
        <v>44.830999999999989</v>
      </c>
      <c r="EV315" s="4">
        <f t="shared" si="832"/>
        <v>2.0808531361433218E-5</v>
      </c>
      <c r="EW315" s="4">
        <f t="shared" si="984"/>
        <v>13.501829342736929</v>
      </c>
      <c r="EX315" s="4">
        <f t="shared" si="867"/>
        <v>761.94536195619639</v>
      </c>
      <c r="FG315" s="23">
        <f t="shared" si="778"/>
        <v>1.6</v>
      </c>
      <c r="FH315" s="23">
        <f t="shared" si="778"/>
        <v>0.6</v>
      </c>
      <c r="FI315" s="23">
        <f t="shared" si="952"/>
        <v>1.2</v>
      </c>
      <c r="FJ315" s="23">
        <f t="shared" si="779"/>
        <v>1.2</v>
      </c>
      <c r="FK315" s="23">
        <f t="shared" si="779"/>
        <v>0.8</v>
      </c>
      <c r="FL315" s="23">
        <f t="shared" si="779"/>
        <v>0.8</v>
      </c>
      <c r="FM315" s="23">
        <f t="shared" si="923"/>
        <v>1</v>
      </c>
      <c r="FN315" s="23"/>
      <c r="FX315" s="4">
        <f t="shared" si="833"/>
        <v>1</v>
      </c>
      <c r="FY315" s="4">
        <f t="shared" si="890"/>
        <v>0.4482312338222606</v>
      </c>
      <c r="FZ315" s="4">
        <f t="shared" si="834"/>
        <v>0.25</v>
      </c>
      <c r="GA315" s="4">
        <f t="shared" si="835"/>
        <v>509.28011783742392</v>
      </c>
    </row>
    <row r="316" spans="1:183" ht="12" hidden="1" customHeight="1" x14ac:dyDescent="0.3">
      <c r="A316" s="25">
        <v>298</v>
      </c>
      <c r="B316" s="4" t="s">
        <v>605</v>
      </c>
      <c r="C316" s="4">
        <v>2016</v>
      </c>
      <c r="D316" s="4" t="s">
        <v>309</v>
      </c>
      <c r="E316" s="24" t="s">
        <v>668</v>
      </c>
      <c r="F316" s="7" t="s">
        <v>458</v>
      </c>
      <c r="G316" s="38">
        <f t="shared" si="1004"/>
        <v>799.31034482758628</v>
      </c>
      <c r="H316" s="38">
        <f>7*25.4</f>
        <v>177.79999999999998</v>
      </c>
      <c r="I316" s="4">
        <f t="shared" si="985"/>
        <v>177.79999999999998</v>
      </c>
      <c r="J316" s="38">
        <f t="shared" si="965"/>
        <v>110.55172413793103</v>
      </c>
      <c r="K316" s="38">
        <f t="shared" si="986"/>
        <v>25.4</v>
      </c>
      <c r="L316" s="7">
        <f t="shared" si="987"/>
        <v>7</v>
      </c>
      <c r="M316" s="7">
        <f t="shared" si="988"/>
        <v>7</v>
      </c>
      <c r="N316" s="38">
        <f>17.6*25.4</f>
        <v>447.04</v>
      </c>
      <c r="O316" s="38">
        <f>2.85*25.4</f>
        <v>72.39</v>
      </c>
      <c r="P316" s="39">
        <f>3.3*25.4</f>
        <v>83.82</v>
      </c>
      <c r="Q316" s="7">
        <f t="shared" si="989"/>
        <v>251.46</v>
      </c>
      <c r="R316" s="38">
        <v>2</v>
      </c>
      <c r="S316" s="4">
        <f t="shared" si="966"/>
        <v>260.34999999999997</v>
      </c>
      <c r="T316" s="7">
        <f t="shared" si="990"/>
        <v>3.35</v>
      </c>
      <c r="U316" s="7">
        <f t="shared" si="859"/>
        <v>3.35</v>
      </c>
      <c r="V316" s="38">
        <v>14.9</v>
      </c>
      <c r="W316" s="4">
        <f t="shared" si="991"/>
        <v>14.9</v>
      </c>
      <c r="X316" s="4">
        <f t="shared" si="992"/>
        <v>15.9</v>
      </c>
      <c r="Y316" s="7">
        <f t="shared" si="993"/>
        <v>101.28200234987457</v>
      </c>
      <c r="AB316" s="38">
        <f t="shared" si="786"/>
        <v>692.41379310344837</v>
      </c>
      <c r="AC316" s="4">
        <v>100.4</v>
      </c>
      <c r="AD316" s="4">
        <f t="shared" si="899"/>
        <v>0.89552419733717004</v>
      </c>
      <c r="AE316" s="38">
        <f t="shared" si="1005"/>
        <v>12.7</v>
      </c>
      <c r="AF316" s="38">
        <v>4</v>
      </c>
      <c r="AG316" s="39">
        <f>5.5*25.4</f>
        <v>139.69999999999999</v>
      </c>
      <c r="AH316" s="39">
        <v>1</v>
      </c>
      <c r="AI316" s="39">
        <v>1</v>
      </c>
      <c r="AJ316" s="7"/>
      <c r="AK316" s="4">
        <f t="shared" si="994"/>
        <v>177.79999999999998</v>
      </c>
      <c r="AL316" s="4">
        <f t="shared" si="910"/>
        <v>0.83809523809523823</v>
      </c>
      <c r="AM316" s="4">
        <f t="shared" si="911"/>
        <v>245.97619817542986</v>
      </c>
      <c r="AN316" s="4">
        <f t="shared" si="912"/>
        <v>0.79571428571428571</v>
      </c>
      <c r="AO316" s="4">
        <v>1.25</v>
      </c>
      <c r="AP316" s="4">
        <f t="shared" si="844"/>
        <v>2.5</v>
      </c>
      <c r="AQ316" s="38">
        <f t="shared" si="967"/>
        <v>512.61774361253697</v>
      </c>
      <c r="AR316" s="38">
        <f t="shared" si="913"/>
        <v>512.61774361253697</v>
      </c>
      <c r="AS316" s="38">
        <f t="shared" si="914"/>
        <v>5.4139420559889198</v>
      </c>
      <c r="AT316" s="38">
        <f t="shared" si="853"/>
        <v>512.6177436125372</v>
      </c>
      <c r="AU316" s="38">
        <f t="shared" si="820"/>
        <v>0.99999999999999956</v>
      </c>
      <c r="AV316" s="38">
        <f t="shared" si="954"/>
        <v>5.5775031260298089</v>
      </c>
      <c r="AW316" s="4">
        <f t="shared" si="940"/>
        <v>0</v>
      </c>
      <c r="AX316" s="4">
        <f t="shared" si="995"/>
        <v>387.37108418559029</v>
      </c>
      <c r="AY316" s="4">
        <f t="shared" si="968"/>
        <v>1</v>
      </c>
      <c r="AZ316" s="38">
        <f t="shared" si="837"/>
        <v>2859.1270674572734</v>
      </c>
      <c r="BA316" s="4">
        <f t="shared" si="969"/>
        <v>0.3</v>
      </c>
      <c r="BB316" s="4">
        <f t="shared" si="970"/>
        <v>60.720417446091268</v>
      </c>
      <c r="BC316" s="4">
        <f t="shared" si="971"/>
        <v>2919.8474849033646</v>
      </c>
      <c r="BE316" s="4">
        <f t="shared" si="854"/>
        <v>1.5</v>
      </c>
      <c r="BF316" s="4">
        <f t="shared" si="860"/>
        <v>804.34838694822213</v>
      </c>
      <c r="BH316" s="4">
        <f t="shared" si="861"/>
        <v>2742.2525061480219</v>
      </c>
      <c r="BI316" s="4">
        <f t="shared" si="806"/>
        <v>0</v>
      </c>
      <c r="BJ316" s="4">
        <f t="shared" si="862"/>
        <v>0</v>
      </c>
      <c r="BR316" s="4">
        <f t="shared" si="972"/>
        <v>72.39</v>
      </c>
      <c r="BV316" s="9"/>
      <c r="BX316" s="9"/>
      <c r="BY316" s="9"/>
      <c r="BZ316" s="9">
        <f t="shared" si="973"/>
        <v>72.39</v>
      </c>
      <c r="CA316" s="9">
        <f t="shared" si="974"/>
        <v>125.73</v>
      </c>
      <c r="CB316" s="9">
        <f t="shared" si="821"/>
        <v>1.8339457339368097</v>
      </c>
      <c r="CC316" s="40">
        <f t="shared" si="996"/>
        <v>20</v>
      </c>
      <c r="CD316" s="9">
        <f t="shared" si="975"/>
        <v>0.05</v>
      </c>
      <c r="CE316" s="9">
        <f t="shared" si="976"/>
        <v>0.8</v>
      </c>
      <c r="CF316" s="9">
        <f t="shared" si="977"/>
        <v>0.99524931562137331</v>
      </c>
      <c r="CG316" s="9">
        <f t="shared" si="978"/>
        <v>0.68048275862068963</v>
      </c>
      <c r="CH316" s="9">
        <f t="shared" si="822"/>
        <v>2.4922971335630986</v>
      </c>
      <c r="CI316" s="9">
        <f t="shared" si="823"/>
        <v>6.2307428339077466</v>
      </c>
      <c r="CJ316" s="40">
        <v>1</v>
      </c>
      <c r="CK316" s="9">
        <f t="shared" si="824"/>
        <v>548.30536938388173</v>
      </c>
      <c r="CM316" s="4">
        <f t="shared" si="979"/>
        <v>1.7874689706362066</v>
      </c>
      <c r="CN316" s="4">
        <f t="shared" si="980"/>
        <v>0.23714039746372731</v>
      </c>
      <c r="CO316" s="4">
        <f t="shared" si="946"/>
        <v>0.8608381695530406</v>
      </c>
      <c r="CP316" s="4">
        <f t="shared" si="981"/>
        <v>1.2628251185675932</v>
      </c>
      <c r="CQ316" s="4">
        <f t="shared" si="921"/>
        <v>0.89552419733717004</v>
      </c>
      <c r="CR316" s="4">
        <f t="shared" si="922"/>
        <v>0.86626402070750652</v>
      </c>
      <c r="CS316" s="4">
        <f t="shared" si="947"/>
        <v>1.3712468718361366</v>
      </c>
      <c r="CT316" s="4">
        <f t="shared" si="997"/>
        <v>4</v>
      </c>
      <c r="DA316" s="4">
        <f t="shared" si="1000"/>
        <v>1.7874689706362066</v>
      </c>
      <c r="DB316" s="4">
        <f t="shared" si="1000"/>
        <v>0.23714039746372731</v>
      </c>
      <c r="DC316" s="4">
        <f t="shared" si="1001"/>
        <v>1.2628251185675932</v>
      </c>
      <c r="DD316" s="4">
        <f t="shared" si="1002"/>
        <v>1.3712468718361366</v>
      </c>
      <c r="DE316" s="4">
        <f t="shared" si="1003"/>
        <v>0.89552419733717004</v>
      </c>
      <c r="DF316" s="4">
        <f t="shared" si="1003"/>
        <v>0.86626402070750652</v>
      </c>
      <c r="DI316" s="4">
        <f t="shared" si="982"/>
        <v>177.79999999999998</v>
      </c>
      <c r="DL316" s="4">
        <f t="shared" si="900"/>
        <v>2.0631688318701494E-5</v>
      </c>
      <c r="DM316" s="4">
        <f t="shared" si="769"/>
        <v>14.978691281748057</v>
      </c>
      <c r="DN316" s="4">
        <f t="shared" si="901"/>
        <v>0.12264250191662669</v>
      </c>
      <c r="DO316" s="4">
        <f t="shared" si="902"/>
        <v>6.4703872005676581</v>
      </c>
      <c r="DP316" s="4">
        <f t="shared" si="903"/>
        <v>11.548596486030259</v>
      </c>
      <c r="DQ316" s="4">
        <f t="shared" si="904"/>
        <v>14.150372924751665</v>
      </c>
      <c r="DR316" s="38">
        <f t="shared" si="915"/>
        <v>773.19384016906758</v>
      </c>
      <c r="DS316" s="4">
        <f t="shared" si="829"/>
        <v>1.0000942648505955</v>
      </c>
      <c r="DT316" s="4">
        <f t="shared" si="905"/>
        <v>3.9874804074753771</v>
      </c>
      <c r="DU316" s="4">
        <f t="shared" si="842"/>
        <v>512.6177436125372</v>
      </c>
      <c r="DY316" s="4">
        <f t="shared" si="785"/>
        <v>0.85</v>
      </c>
      <c r="DZ316" s="4">
        <f t="shared" si="830"/>
        <v>0.81499999999999995</v>
      </c>
      <c r="EA316" s="4">
        <f t="shared" si="916"/>
        <v>0.92500000000000004</v>
      </c>
      <c r="EB316" s="4">
        <f t="shared" si="831"/>
        <v>0.75387499999999996</v>
      </c>
      <c r="ED316" s="4">
        <f t="shared" si="917"/>
        <v>799.31034482758628</v>
      </c>
      <c r="EE316" s="25">
        <f t="shared" si="918"/>
        <v>504.82228840667528</v>
      </c>
      <c r="EG316" s="4">
        <f t="shared" si="843"/>
        <v>0.64079374999999994</v>
      </c>
      <c r="EH316" s="4">
        <f t="shared" si="919"/>
        <v>14.978691281748057</v>
      </c>
      <c r="EK316" s="4">
        <f t="shared" si="906"/>
        <v>101.28200234987457</v>
      </c>
      <c r="EL316" s="4">
        <f t="shared" si="907"/>
        <v>3.9874804074753771</v>
      </c>
      <c r="EM316" s="4">
        <f t="shared" si="908"/>
        <v>7.0511349567789622E-2</v>
      </c>
      <c r="EP316" s="4">
        <f t="shared" si="998"/>
        <v>7.0511349567789622E-2</v>
      </c>
      <c r="EQ316" s="4">
        <f t="shared" si="960"/>
        <v>0.12243783443838298</v>
      </c>
      <c r="ER316" s="4">
        <f t="shared" si="770"/>
        <v>6.4660658881564208</v>
      </c>
      <c r="ES316" s="4">
        <f t="shared" si="983"/>
        <v>11.547411628168957</v>
      </c>
      <c r="ET316" s="4">
        <f t="shared" si="771"/>
        <v>32.06799765012542</v>
      </c>
      <c r="EU316" s="4">
        <f t="shared" si="772"/>
        <v>44.449999999999989</v>
      </c>
      <c r="EV316" s="4">
        <f t="shared" si="832"/>
        <v>2.0631688318701491E-5</v>
      </c>
      <c r="EW316" s="4">
        <f t="shared" si="984"/>
        <v>14.150662937233925</v>
      </c>
      <c r="EX316" s="4">
        <f t="shared" si="867"/>
        <v>773.12096203708893</v>
      </c>
      <c r="FG316" s="23">
        <f t="shared" si="778"/>
        <v>1.8</v>
      </c>
      <c r="FH316" s="23">
        <f t="shared" si="778"/>
        <v>0.6</v>
      </c>
      <c r="FI316" s="23">
        <f t="shared" si="952"/>
        <v>1.4</v>
      </c>
      <c r="FJ316" s="23">
        <f t="shared" si="779"/>
        <v>1.4</v>
      </c>
      <c r="FK316" s="23">
        <f t="shared" si="779"/>
        <v>1</v>
      </c>
      <c r="FL316" s="23">
        <f t="shared" si="779"/>
        <v>1</v>
      </c>
      <c r="FM316" s="23">
        <f t="shared" si="923"/>
        <v>0</v>
      </c>
      <c r="FN316" s="23"/>
      <c r="FX316" s="4">
        <f t="shared" si="833"/>
        <v>1</v>
      </c>
      <c r="FY316" s="4">
        <f t="shared" si="890"/>
        <v>0.4482312338222606</v>
      </c>
      <c r="FZ316" s="4">
        <f t="shared" si="834"/>
        <v>0.25</v>
      </c>
      <c r="GA316" s="4">
        <f t="shared" si="835"/>
        <v>504.95195819574604</v>
      </c>
    </row>
    <row r="317" spans="1:183" ht="12" hidden="1" customHeight="1" x14ac:dyDescent="0.3">
      <c r="A317" s="25">
        <v>299</v>
      </c>
      <c r="B317" s="4" t="s">
        <v>605</v>
      </c>
      <c r="C317" s="4">
        <v>2016</v>
      </c>
      <c r="D317" s="4" t="s">
        <v>309</v>
      </c>
      <c r="E317" s="24" t="s">
        <v>668</v>
      </c>
      <c r="F317" s="7" t="s">
        <v>459</v>
      </c>
      <c r="G317" s="38">
        <f>120/0.145</f>
        <v>827.58620689655174</v>
      </c>
      <c r="H317" s="38">
        <f>5.5*25.4</f>
        <v>139.69999999999999</v>
      </c>
      <c r="I317" s="4">
        <f t="shared" si="985"/>
        <v>139.69999999999999</v>
      </c>
      <c r="J317" s="38">
        <f t="shared" si="965"/>
        <v>110.55172413793103</v>
      </c>
      <c r="K317" s="38">
        <f t="shared" si="986"/>
        <v>25.4</v>
      </c>
      <c r="L317" s="7">
        <f t="shared" si="987"/>
        <v>5.5</v>
      </c>
      <c r="M317" s="7">
        <f t="shared" si="988"/>
        <v>5.5</v>
      </c>
      <c r="N317" s="38">
        <f>16.9*25.4</f>
        <v>429.25999999999993</v>
      </c>
      <c r="O317" s="38">
        <f>2.45*25.4</f>
        <v>62.230000000000004</v>
      </c>
      <c r="P317" s="39">
        <f>4.7*25.4</f>
        <v>119.38</v>
      </c>
      <c r="Q317" s="7">
        <f t="shared" si="989"/>
        <v>253.99999999999991</v>
      </c>
      <c r="R317" s="38">
        <v>2</v>
      </c>
      <c r="S317" s="4">
        <f t="shared" si="966"/>
        <v>260.34999999999997</v>
      </c>
      <c r="T317" s="7">
        <f t="shared" si="990"/>
        <v>2.95</v>
      </c>
      <c r="U317" s="7">
        <f t="shared" si="859"/>
        <v>2.95</v>
      </c>
      <c r="V317" s="38">
        <v>4</v>
      </c>
      <c r="W317" s="4">
        <f t="shared" si="991"/>
        <v>4</v>
      </c>
      <c r="X317" s="4">
        <f t="shared" si="992"/>
        <v>5</v>
      </c>
      <c r="Y317" s="7">
        <f t="shared" si="993"/>
        <v>56.796126628494655</v>
      </c>
      <c r="AB317" s="38">
        <f t="shared" si="786"/>
        <v>552.41379310344826</v>
      </c>
      <c r="AC317" s="4">
        <v>80.099999999999994</v>
      </c>
      <c r="AD317" s="4">
        <f t="shared" si="899"/>
        <v>0.7840718743477787</v>
      </c>
      <c r="AE317" s="38">
        <f t="shared" si="1005"/>
        <v>12.7</v>
      </c>
      <c r="AF317" s="38">
        <v>10</v>
      </c>
      <c r="AG317" s="39">
        <f t="shared" ref="AG317:AG319" si="1006">3*25.4</f>
        <v>76.199999999999989</v>
      </c>
      <c r="AH317" s="39">
        <v>3</v>
      </c>
      <c r="AI317" s="39">
        <f t="shared" ref="AI317:AI319" si="1007">AH317-1</f>
        <v>2</v>
      </c>
      <c r="AJ317" s="7"/>
      <c r="AK317" s="4">
        <f t="shared" si="994"/>
        <v>139.69999999999999</v>
      </c>
      <c r="AL317" s="4">
        <f t="shared" si="910"/>
        <v>1.0242424242424242</v>
      </c>
      <c r="AM317" s="4">
        <f t="shared" si="911"/>
        <v>171.31289685931245</v>
      </c>
      <c r="AN317" s="4">
        <f t="shared" si="912"/>
        <v>0.80727272727272725</v>
      </c>
      <c r="AO317" s="4">
        <v>1.25</v>
      </c>
      <c r="AP317" s="4">
        <f t="shared" si="844"/>
        <v>2.5</v>
      </c>
      <c r="AQ317" s="38">
        <f t="shared" si="967"/>
        <v>442.65270415755396</v>
      </c>
      <c r="AR317" s="38">
        <f t="shared" si="913"/>
        <v>442.65270415755396</v>
      </c>
      <c r="AS317" s="38">
        <f t="shared" si="914"/>
        <v>5.4139420559889198</v>
      </c>
      <c r="AT317" s="38">
        <f t="shared" si="853"/>
        <v>442.65270415755384</v>
      </c>
      <c r="AU317" s="38">
        <f t="shared" si="820"/>
        <v>1.0000000000000002</v>
      </c>
      <c r="AV317" s="38">
        <f t="shared" si="954"/>
        <v>2.9470289745779361</v>
      </c>
      <c r="AW317" s="4">
        <f t="shared" si="940"/>
        <v>0</v>
      </c>
      <c r="AX317" s="4">
        <f t="shared" si="995"/>
        <v>304.36299471724953</v>
      </c>
      <c r="AY317" s="4">
        <f t="shared" si="968"/>
        <v>1</v>
      </c>
      <c r="AZ317" s="38">
        <f t="shared" si="837"/>
        <v>1304.5103448275863</v>
      </c>
      <c r="BA317" s="4">
        <f t="shared" si="969"/>
        <v>0.44000000000000006</v>
      </c>
      <c r="BB317" s="4">
        <f t="shared" si="970"/>
        <v>69.973052485495671</v>
      </c>
      <c r="BC317" s="4">
        <f t="shared" si="971"/>
        <v>1374.4833973130819</v>
      </c>
      <c r="BE317" s="4">
        <f t="shared" si="854"/>
        <v>1.5</v>
      </c>
      <c r="BF317" s="4">
        <f t="shared" si="860"/>
        <v>733.37647045279073</v>
      </c>
      <c r="BH317" s="4">
        <f t="shared" si="861"/>
        <v>1251.1849519094269</v>
      </c>
      <c r="BI317" s="4">
        <f t="shared" si="806"/>
        <v>0</v>
      </c>
      <c r="BJ317" s="4">
        <f t="shared" si="862"/>
        <v>0</v>
      </c>
      <c r="BR317" s="4">
        <f t="shared" si="972"/>
        <v>62.230000000000004</v>
      </c>
      <c r="BV317" s="9"/>
      <c r="BX317" s="9"/>
      <c r="BY317" s="9"/>
      <c r="BZ317" s="9">
        <f t="shared" si="973"/>
        <v>62.230000000000004</v>
      </c>
      <c r="CA317" s="9">
        <f t="shared" si="974"/>
        <v>126.99999999999996</v>
      </c>
      <c r="CB317" s="9">
        <f t="shared" si="821"/>
        <v>1.7420219790042637</v>
      </c>
      <c r="CC317" s="40">
        <f t="shared" si="996"/>
        <v>20</v>
      </c>
      <c r="CD317" s="9">
        <f t="shared" si="975"/>
        <v>0.05</v>
      </c>
      <c r="CE317" s="9">
        <f t="shared" si="976"/>
        <v>0.8</v>
      </c>
      <c r="CF317" s="9">
        <f t="shared" si="977"/>
        <v>0.99524931562137331</v>
      </c>
      <c r="CG317" s="9">
        <f t="shared" si="978"/>
        <v>0.68</v>
      </c>
      <c r="CH317" s="9">
        <f t="shared" si="822"/>
        <v>2.4905290095198289</v>
      </c>
      <c r="CI317" s="9">
        <f t="shared" si="823"/>
        <v>6.2263225237995723</v>
      </c>
      <c r="CJ317" s="40">
        <v>1</v>
      </c>
      <c r="CK317" s="9">
        <f t="shared" si="824"/>
        <v>510.55844695156497</v>
      </c>
      <c r="CM317" s="4">
        <f t="shared" si="979"/>
        <v>1.8149834332410735</v>
      </c>
      <c r="CN317" s="4">
        <f t="shared" si="980"/>
        <v>0.40190648659950207</v>
      </c>
      <c r="CO317" s="4">
        <f t="shared" si="946"/>
        <v>0.75324722752883644</v>
      </c>
      <c r="CP317" s="4">
        <f t="shared" si="981"/>
        <v>1.0819795390748945</v>
      </c>
      <c r="CQ317" s="4">
        <f t="shared" si="921"/>
        <v>0.7840718743477787</v>
      </c>
      <c r="CR317" s="4">
        <f t="shared" si="922"/>
        <v>0.78909154398737613</v>
      </c>
      <c r="CS317" s="4">
        <f t="shared" si="947"/>
        <v>1.7084818805310933</v>
      </c>
      <c r="CT317" s="4">
        <f t="shared" si="997"/>
        <v>10</v>
      </c>
      <c r="DA317" s="4">
        <f t="shared" si="1000"/>
        <v>1.8149834332410735</v>
      </c>
      <c r="DB317" s="4">
        <f t="shared" si="1000"/>
        <v>0.40190648659950207</v>
      </c>
      <c r="DC317" s="4">
        <f t="shared" si="1001"/>
        <v>1.0819795390748945</v>
      </c>
      <c r="DD317" s="4">
        <f t="shared" si="1002"/>
        <v>1.7084818805310933</v>
      </c>
      <c r="DE317" s="4">
        <f t="shared" si="1003"/>
        <v>0.7840718743477787</v>
      </c>
      <c r="DF317" s="4">
        <f t="shared" si="1003"/>
        <v>0.78909154398737613</v>
      </c>
      <c r="DI317" s="4">
        <f t="shared" si="982"/>
        <v>139.69999999999999</v>
      </c>
      <c r="DL317" s="4">
        <f t="shared" si="900"/>
        <v>1.6210612250408316E-5</v>
      </c>
      <c r="DM317" s="4">
        <f t="shared" si="769"/>
        <v>16.131515557182595</v>
      </c>
      <c r="DN317" s="4">
        <f t="shared" si="901"/>
        <v>0.22121939775359259</v>
      </c>
      <c r="DO317" s="4">
        <f t="shared" si="902"/>
        <v>8.8227597567894236</v>
      </c>
      <c r="DP317" s="4">
        <f t="shared" si="903"/>
        <v>13.005450825815979</v>
      </c>
      <c r="DQ317" s="4">
        <f t="shared" si="904"/>
        <v>15.402422409568091</v>
      </c>
      <c r="DR317" s="38">
        <f t="shared" si="915"/>
        <v>704.54483979924339</v>
      </c>
      <c r="DS317" s="4">
        <f t="shared" si="829"/>
        <v>1.0000943427827089</v>
      </c>
      <c r="DT317" s="4">
        <f t="shared" si="905"/>
        <v>2.2360679774997898</v>
      </c>
      <c r="DU317" s="4">
        <f t="shared" si="842"/>
        <v>442.65270415755384</v>
      </c>
      <c r="DY317" s="4">
        <f t="shared" si="785"/>
        <v>0.85</v>
      </c>
      <c r="DZ317" s="4">
        <f t="shared" si="830"/>
        <v>0.85499999999999998</v>
      </c>
      <c r="EA317" s="4">
        <f t="shared" si="916"/>
        <v>0.77500000000000002</v>
      </c>
      <c r="EB317" s="4">
        <f t="shared" si="831"/>
        <v>0.7</v>
      </c>
      <c r="ED317" s="4">
        <f t="shared" si="917"/>
        <v>700.06299942340502</v>
      </c>
      <c r="EE317" s="25">
        <f t="shared" si="918"/>
        <v>433.89299272989223</v>
      </c>
      <c r="EG317" s="4">
        <f t="shared" si="843"/>
        <v>0.59499999999999997</v>
      </c>
      <c r="EH317" s="4">
        <f t="shared" si="919"/>
        <v>16.131515557182595</v>
      </c>
      <c r="EK317" s="4">
        <f t="shared" si="906"/>
        <v>56.796126628494655</v>
      </c>
      <c r="EL317" s="4">
        <f t="shared" si="907"/>
        <v>2.2360679774997898</v>
      </c>
      <c r="EM317" s="4">
        <f t="shared" si="908"/>
        <v>0.12718656291587582</v>
      </c>
      <c r="EP317" s="4">
        <f t="shared" si="998"/>
        <v>0.12718656291587582</v>
      </c>
      <c r="EQ317" s="4">
        <f t="shared" si="960"/>
        <v>0.22085022380843289</v>
      </c>
      <c r="ER317" s="4">
        <f t="shared" si="770"/>
        <v>8.8168673889825904</v>
      </c>
      <c r="ES317" s="4">
        <f t="shared" si="983"/>
        <v>13.003467602457354</v>
      </c>
      <c r="ET317" s="4">
        <f t="shared" si="771"/>
        <v>47.978873371505337</v>
      </c>
      <c r="EU317" s="4">
        <f t="shared" si="772"/>
        <v>34.925000000000004</v>
      </c>
      <c r="EV317" s="4">
        <f t="shared" si="832"/>
        <v>1.6210612250408323E-5</v>
      </c>
      <c r="EW317" s="4">
        <f t="shared" si="984"/>
        <v>15.402645170626316</v>
      </c>
      <c r="EX317" s="4">
        <f t="shared" si="867"/>
        <v>704.47837734876612</v>
      </c>
      <c r="FG317" s="23">
        <f t="shared" si="778"/>
        <v>2</v>
      </c>
      <c r="FH317" s="23">
        <f t="shared" si="778"/>
        <v>0.6</v>
      </c>
      <c r="FI317" s="23">
        <f t="shared" si="952"/>
        <v>1.8</v>
      </c>
      <c r="FJ317" s="23">
        <f t="shared" si="779"/>
        <v>1.2</v>
      </c>
      <c r="FK317" s="23">
        <f t="shared" si="779"/>
        <v>0.8</v>
      </c>
      <c r="FL317" s="23">
        <f t="shared" si="779"/>
        <v>0.8</v>
      </c>
      <c r="FM317" s="23">
        <f t="shared" si="923"/>
        <v>1</v>
      </c>
      <c r="FN317" s="23"/>
      <c r="FX317" s="4">
        <f t="shared" si="833"/>
        <v>1.25</v>
      </c>
      <c r="FY317" s="4">
        <f t="shared" si="890"/>
        <v>0.44</v>
      </c>
      <c r="FZ317" s="4">
        <f t="shared" si="834"/>
        <v>0.3</v>
      </c>
      <c r="GA317" s="4">
        <f t="shared" si="835"/>
        <v>323.33605606149399</v>
      </c>
    </row>
    <row r="318" spans="1:183" ht="12" hidden="1" customHeight="1" x14ac:dyDescent="0.3">
      <c r="A318" s="25">
        <v>300</v>
      </c>
      <c r="B318" s="4" t="s">
        <v>605</v>
      </c>
      <c r="C318" s="4">
        <v>2016</v>
      </c>
      <c r="D318" s="4" t="s">
        <v>309</v>
      </c>
      <c r="E318" s="24" t="s">
        <v>668</v>
      </c>
      <c r="F318" s="7" t="s">
        <v>460</v>
      </c>
      <c r="G318" s="38">
        <f t="shared" ref="G318:G319" si="1008">115.9/0.145</f>
        <v>799.31034482758628</v>
      </c>
      <c r="H318" s="38">
        <f>5.63*25.4</f>
        <v>143.00199999999998</v>
      </c>
      <c r="I318" s="4">
        <f t="shared" si="985"/>
        <v>143.00199999999998</v>
      </c>
      <c r="J318" s="38">
        <f t="shared" si="965"/>
        <v>110.55172413793103</v>
      </c>
      <c r="K318" s="38">
        <f t="shared" si="986"/>
        <v>25.4</v>
      </c>
      <c r="L318" s="7">
        <f t="shared" si="987"/>
        <v>5.63</v>
      </c>
      <c r="M318" s="7">
        <f t="shared" si="988"/>
        <v>5.63</v>
      </c>
      <c r="N318" s="38">
        <f>16.8*25.4</f>
        <v>426.71999999999997</v>
      </c>
      <c r="O318" s="38">
        <f>2.35*25.4</f>
        <v>59.69</v>
      </c>
      <c r="P318" s="39">
        <f>3.15*25.4</f>
        <v>80.009999999999991</v>
      </c>
      <c r="Q318" s="7">
        <f t="shared" si="989"/>
        <v>256.53999999999996</v>
      </c>
      <c r="R318" s="38">
        <v>2</v>
      </c>
      <c r="S318" s="4">
        <f t="shared" si="966"/>
        <v>260.34999999999997</v>
      </c>
      <c r="T318" s="7">
        <f t="shared" si="990"/>
        <v>2.85</v>
      </c>
      <c r="U318" s="7">
        <f t="shared" si="859"/>
        <v>2.85</v>
      </c>
      <c r="V318" s="38">
        <v>9.5</v>
      </c>
      <c r="W318" s="4">
        <f t="shared" si="991"/>
        <v>9.5</v>
      </c>
      <c r="X318" s="4">
        <f t="shared" si="992"/>
        <v>10.5</v>
      </c>
      <c r="Y318" s="7">
        <f t="shared" si="993"/>
        <v>82.305406869779816</v>
      </c>
      <c r="AB318" s="38">
        <f t="shared" si="786"/>
        <v>661.37931034482767</v>
      </c>
      <c r="AC318" s="4">
        <v>95.9</v>
      </c>
      <c r="AD318" s="4">
        <f t="shared" si="899"/>
        <v>0.98409766607899973</v>
      </c>
      <c r="AE318" s="38">
        <f t="shared" si="1005"/>
        <v>12.7</v>
      </c>
      <c r="AF318" s="38">
        <v>10</v>
      </c>
      <c r="AG318" s="39">
        <f t="shared" si="1006"/>
        <v>76.199999999999989</v>
      </c>
      <c r="AH318" s="39">
        <v>3</v>
      </c>
      <c r="AI318" s="39">
        <f t="shared" si="1007"/>
        <v>2</v>
      </c>
      <c r="AJ318" s="7"/>
      <c r="AK318" s="4">
        <f t="shared" si="994"/>
        <v>143.00199999999998</v>
      </c>
      <c r="AL318" s="4">
        <f t="shared" si="910"/>
        <v>0.99467140319715819</v>
      </c>
      <c r="AM318" s="4">
        <f t="shared" si="911"/>
        <v>177.42246835851654</v>
      </c>
      <c r="AN318" s="4">
        <f t="shared" si="912"/>
        <v>0.80124333925399638</v>
      </c>
      <c r="AO318" s="4">
        <v>1.25</v>
      </c>
      <c r="AP318" s="4">
        <f t="shared" si="844"/>
        <v>2.5</v>
      </c>
      <c r="AQ318" s="38">
        <f t="shared" si="967"/>
        <v>441.87832906032429</v>
      </c>
      <c r="AR318" s="38">
        <f t="shared" si="913"/>
        <v>441.87832906032429</v>
      </c>
      <c r="AS318" s="38">
        <f t="shared" si="914"/>
        <v>5.4139420559889198</v>
      </c>
      <c r="AT318" s="38">
        <f t="shared" si="853"/>
        <v>441.87832906032429</v>
      </c>
      <c r="AU318" s="38">
        <f t="shared" si="820"/>
        <v>1</v>
      </c>
      <c r="AV318" s="38">
        <f t="shared" si="954"/>
        <v>4.3954108445772917</v>
      </c>
      <c r="AW318" s="4">
        <f t="shared" si="940"/>
        <v>0</v>
      </c>
      <c r="AX318" s="4">
        <f t="shared" si="995"/>
        <v>311.55702913783904</v>
      </c>
      <c r="AY318" s="4">
        <f t="shared" si="968"/>
        <v>1</v>
      </c>
      <c r="AZ318" s="38">
        <f t="shared" si="837"/>
        <v>1942.2367995354425</v>
      </c>
      <c r="BA318" s="4">
        <f t="shared" si="969"/>
        <v>0.3</v>
      </c>
      <c r="BB318" s="4">
        <f t="shared" si="970"/>
        <v>48.836564317356263</v>
      </c>
      <c r="BC318" s="4">
        <f t="shared" si="971"/>
        <v>1991.0733638527988</v>
      </c>
      <c r="BE318" s="4">
        <f t="shared" si="854"/>
        <v>1.5</v>
      </c>
      <c r="BF318" s="4">
        <f t="shared" si="860"/>
        <v>739.52736988239485</v>
      </c>
      <c r="BH318" s="4">
        <f t="shared" si="861"/>
        <v>1862.842610837748</v>
      </c>
      <c r="BI318" s="4">
        <f t="shared" si="806"/>
        <v>0</v>
      </c>
      <c r="BJ318" s="4">
        <f t="shared" si="862"/>
        <v>0</v>
      </c>
      <c r="BR318" s="4">
        <f t="shared" si="972"/>
        <v>59.69</v>
      </c>
      <c r="BV318" s="9"/>
      <c r="BX318" s="9"/>
      <c r="BY318" s="9"/>
      <c r="BZ318" s="9">
        <f t="shared" si="973"/>
        <v>59.69</v>
      </c>
      <c r="CA318" s="9">
        <f t="shared" si="974"/>
        <v>128.26999999999998</v>
      </c>
      <c r="CB318" s="9">
        <f t="shared" si="821"/>
        <v>1.7193625322570376</v>
      </c>
      <c r="CC318" s="40">
        <f t="shared" si="996"/>
        <v>20</v>
      </c>
      <c r="CD318" s="9">
        <f t="shared" si="975"/>
        <v>0.05</v>
      </c>
      <c r="CE318" s="9">
        <f t="shared" si="976"/>
        <v>0.8</v>
      </c>
      <c r="CF318" s="9">
        <f t="shared" si="977"/>
        <v>0.99524931562137331</v>
      </c>
      <c r="CG318" s="9">
        <f t="shared" si="978"/>
        <v>0.68048275862068963</v>
      </c>
      <c r="CH318" s="9">
        <f t="shared" si="822"/>
        <v>2.4922971335630986</v>
      </c>
      <c r="CI318" s="9">
        <f t="shared" si="823"/>
        <v>6.2307428339077466</v>
      </c>
      <c r="CJ318" s="40">
        <v>1</v>
      </c>
      <c r="CK318" s="9">
        <f t="shared" si="824"/>
        <v>514.1608986540673</v>
      </c>
      <c r="CM318" s="4">
        <f t="shared" si="979"/>
        <v>2.1228194150362767</v>
      </c>
      <c r="CN318" s="4">
        <f t="shared" si="980"/>
        <v>0.33217224555956837</v>
      </c>
      <c r="CO318" s="4">
        <f t="shared" si="946"/>
        <v>0.89432702193294766</v>
      </c>
      <c r="CP318" s="4">
        <f t="shared" si="981"/>
        <v>1.2863275135782164</v>
      </c>
      <c r="CQ318" s="4">
        <f t="shared" si="921"/>
        <v>0.98409766607899973</v>
      </c>
      <c r="CR318" s="4">
        <f t="shared" si="922"/>
        <v>0.93712665612600687</v>
      </c>
      <c r="CS318" s="4">
        <f t="shared" si="947"/>
        <v>1.9886149364652124</v>
      </c>
      <c r="CT318" s="4">
        <f t="shared" si="997"/>
        <v>10</v>
      </c>
      <c r="DA318" s="4">
        <f t="shared" si="1000"/>
        <v>2.1228194150362767</v>
      </c>
      <c r="DB318" s="4">
        <f t="shared" si="1000"/>
        <v>0.33217224555956837</v>
      </c>
      <c r="DC318" s="4">
        <f t="shared" si="1001"/>
        <v>1.2863275135782164</v>
      </c>
      <c r="DD318" s="4">
        <f t="shared" si="1002"/>
        <v>1.9886149364652124</v>
      </c>
      <c r="DE318" s="4">
        <f t="shared" si="1003"/>
        <v>0.98409766607899973</v>
      </c>
      <c r="DF318" s="4">
        <f t="shared" si="1003"/>
        <v>0.93712665612600687</v>
      </c>
      <c r="DI318" s="4">
        <f t="shared" si="982"/>
        <v>143.00199999999998</v>
      </c>
      <c r="DL318" s="4">
        <f t="shared" si="900"/>
        <v>1.6593772176327059E-5</v>
      </c>
      <c r="DM318" s="4">
        <f t="shared" si="769"/>
        <v>16.131515557182595</v>
      </c>
      <c r="DN318" s="4">
        <f t="shared" si="901"/>
        <v>0.13474380914487016</v>
      </c>
      <c r="DO318" s="4">
        <f t="shared" si="902"/>
        <v>7.2356691320008064</v>
      </c>
      <c r="DP318" s="4">
        <f t="shared" si="903"/>
        <v>12.512028309248651</v>
      </c>
      <c r="DQ318" s="4">
        <f t="shared" si="904"/>
        <v>15.497279605289791</v>
      </c>
      <c r="DR318" s="38">
        <f t="shared" si="915"/>
        <v>672.06674006249966</v>
      </c>
      <c r="DS318" s="4">
        <f t="shared" si="829"/>
        <v>1.0000993058976226</v>
      </c>
      <c r="DT318" s="4">
        <f t="shared" si="905"/>
        <v>3.2403703492039297</v>
      </c>
      <c r="DU318" s="4">
        <f t="shared" si="842"/>
        <v>441.87832906032429</v>
      </c>
      <c r="DY318" s="4">
        <f t="shared" si="785"/>
        <v>0.85</v>
      </c>
      <c r="DZ318" s="4">
        <f t="shared" si="830"/>
        <v>0.86499999999999999</v>
      </c>
      <c r="EA318" s="4">
        <f t="shared" si="916"/>
        <v>0.77500000000000002</v>
      </c>
      <c r="EB318" s="4">
        <f t="shared" si="831"/>
        <v>0.7</v>
      </c>
      <c r="ED318" s="4">
        <f t="shared" si="917"/>
        <v>705.75231855948618</v>
      </c>
      <c r="EE318" s="25">
        <f t="shared" si="918"/>
        <v>433.29102079867221</v>
      </c>
      <c r="EG318" s="4">
        <f t="shared" si="843"/>
        <v>0.59499999999999997</v>
      </c>
      <c r="EH318" s="4">
        <f t="shared" si="919"/>
        <v>16.131515557182595</v>
      </c>
      <c r="EK318" s="4">
        <f t="shared" si="906"/>
        <v>82.305406869779816</v>
      </c>
      <c r="EL318" s="4">
        <f t="shared" si="907"/>
        <v>3.2403703492039302</v>
      </c>
      <c r="EM318" s="4">
        <f t="shared" si="908"/>
        <v>7.7468803067702416E-2</v>
      </c>
      <c r="EP318" s="4">
        <f t="shared" si="998"/>
        <v>7.7468803067702416E-2</v>
      </c>
      <c r="EQ318" s="4">
        <f t="shared" si="960"/>
        <v>0.1345189468402396</v>
      </c>
      <c r="ER318" s="4">
        <f t="shared" si="770"/>
        <v>7.2308367184443254</v>
      </c>
      <c r="ES318" s="4">
        <f t="shared" si="983"/>
        <v>12.510656820521772</v>
      </c>
      <c r="ET318" s="4">
        <f t="shared" si="771"/>
        <v>24.946093130220177</v>
      </c>
      <c r="EU318" s="4">
        <f t="shared" si="772"/>
        <v>35.750499999999988</v>
      </c>
      <c r="EV318" s="4">
        <f t="shared" si="832"/>
        <v>1.6593772176327059E-5</v>
      </c>
      <c r="EW318" s="4">
        <f t="shared" si="984"/>
        <v>15.497508662757619</v>
      </c>
      <c r="EX318" s="4">
        <f t="shared" si="867"/>
        <v>672.00000649865194</v>
      </c>
      <c r="FG318" s="23">
        <f t="shared" si="778"/>
        <v>2.2000000000000002</v>
      </c>
      <c r="FH318" s="23">
        <f t="shared" si="778"/>
        <v>0.6</v>
      </c>
      <c r="FI318" s="23">
        <f t="shared" si="952"/>
        <v>2</v>
      </c>
      <c r="FJ318" s="23">
        <f t="shared" si="779"/>
        <v>1.4</v>
      </c>
      <c r="FK318" s="23">
        <f t="shared" si="779"/>
        <v>1</v>
      </c>
      <c r="FL318" s="23">
        <f t="shared" si="779"/>
        <v>1</v>
      </c>
      <c r="FM318" s="23">
        <f t="shared" si="923"/>
        <v>0</v>
      </c>
      <c r="FN318" s="23"/>
      <c r="FX318" s="4">
        <f t="shared" si="833"/>
        <v>1.25</v>
      </c>
      <c r="FY318" s="4">
        <f t="shared" si="890"/>
        <v>0.43787748058671272</v>
      </c>
      <c r="FZ318" s="4">
        <f t="shared" si="834"/>
        <v>0.3</v>
      </c>
      <c r="GA318" s="4">
        <f t="shared" si="835"/>
        <v>332.58289386100938</v>
      </c>
    </row>
    <row r="319" spans="1:183" ht="12" hidden="1" customHeight="1" x14ac:dyDescent="0.3">
      <c r="A319" s="25">
        <v>301</v>
      </c>
      <c r="B319" s="4" t="s">
        <v>605</v>
      </c>
      <c r="C319" s="4">
        <v>2016</v>
      </c>
      <c r="D319" s="4" t="s">
        <v>309</v>
      </c>
      <c r="E319" s="24" t="s">
        <v>668</v>
      </c>
      <c r="F319" s="7" t="s">
        <v>461</v>
      </c>
      <c r="G319" s="38">
        <f t="shared" si="1008"/>
        <v>799.31034482758628</v>
      </c>
      <c r="H319" s="38">
        <f>5.5*25.4</f>
        <v>139.69999999999999</v>
      </c>
      <c r="I319" s="4">
        <f t="shared" si="985"/>
        <v>139.69999999999999</v>
      </c>
      <c r="J319" s="38">
        <f t="shared" si="965"/>
        <v>110.55172413793103</v>
      </c>
      <c r="K319" s="38">
        <f t="shared" si="986"/>
        <v>25.4</v>
      </c>
      <c r="L319" s="7">
        <f t="shared" si="987"/>
        <v>5.5</v>
      </c>
      <c r="M319" s="7">
        <f t="shared" si="988"/>
        <v>5.5</v>
      </c>
      <c r="N319" s="38">
        <f>17*25.4</f>
        <v>431.79999999999995</v>
      </c>
      <c r="O319" s="38">
        <f t="shared" si="999"/>
        <v>63.5</v>
      </c>
      <c r="P319" s="39">
        <f>3.8*25.4</f>
        <v>96.52</v>
      </c>
      <c r="Q319" s="7">
        <f t="shared" si="989"/>
        <v>253.99999999999994</v>
      </c>
      <c r="R319" s="38">
        <v>2</v>
      </c>
      <c r="S319" s="4">
        <f t="shared" si="966"/>
        <v>260.34999999999997</v>
      </c>
      <c r="T319" s="7">
        <f t="shared" si="990"/>
        <v>3</v>
      </c>
      <c r="U319" s="7">
        <f t="shared" si="859"/>
        <v>3</v>
      </c>
      <c r="V319" s="38">
        <v>14.9</v>
      </c>
      <c r="W319" s="4">
        <f t="shared" si="991"/>
        <v>14.9</v>
      </c>
      <c r="X319" s="4">
        <f t="shared" si="992"/>
        <v>15.9</v>
      </c>
      <c r="Y319" s="7">
        <f t="shared" si="993"/>
        <v>101.28200234987457</v>
      </c>
      <c r="AB319" s="38">
        <f t="shared" si="786"/>
        <v>710.34482758620697</v>
      </c>
      <c r="AC319" s="4">
        <v>103</v>
      </c>
      <c r="AD319" s="4">
        <f t="shared" si="899"/>
        <v>1.1028377286200142</v>
      </c>
      <c r="AE319" s="38">
        <f t="shared" si="1005"/>
        <v>12.7</v>
      </c>
      <c r="AF319" s="38">
        <v>10</v>
      </c>
      <c r="AG319" s="39">
        <f t="shared" si="1006"/>
        <v>76.199999999999989</v>
      </c>
      <c r="AH319" s="39">
        <v>3</v>
      </c>
      <c r="AI319" s="39">
        <f t="shared" si="1007"/>
        <v>2</v>
      </c>
      <c r="AJ319" s="7"/>
      <c r="AK319" s="4">
        <f t="shared" si="994"/>
        <v>139.69999999999999</v>
      </c>
      <c r="AL319" s="4">
        <f t="shared" si="910"/>
        <v>1.0303030303030303</v>
      </c>
      <c r="AM319" s="4">
        <f t="shared" si="911"/>
        <v>171.31289685931245</v>
      </c>
      <c r="AN319" s="4">
        <f t="shared" si="912"/>
        <v>0.80909090909090908</v>
      </c>
      <c r="AO319" s="4">
        <v>1.25</v>
      </c>
      <c r="AP319" s="4">
        <f t="shared" si="844"/>
        <v>2.5</v>
      </c>
      <c r="AQ319" s="38">
        <f t="shared" si="967"/>
        <v>446.27481568205872</v>
      </c>
      <c r="AR319" s="38">
        <f t="shared" si="913"/>
        <v>446.27481568205872</v>
      </c>
      <c r="AS319" s="38">
        <f t="shared" si="914"/>
        <v>5.4139420559889198</v>
      </c>
      <c r="AT319" s="38">
        <f t="shared" si="853"/>
        <v>446.2748156820586</v>
      </c>
      <c r="AU319" s="38">
        <f t="shared" si="820"/>
        <v>1.0000000000000002</v>
      </c>
      <c r="AV319" s="38">
        <f t="shared" si="954"/>
        <v>5.7372995500592916</v>
      </c>
      <c r="AW319" s="4">
        <f t="shared" si="940"/>
        <v>0</v>
      </c>
      <c r="AX319" s="4">
        <f t="shared" si="995"/>
        <v>304.36299471724953</v>
      </c>
      <c r="AY319" s="4">
        <f t="shared" si="968"/>
        <v>1</v>
      </c>
      <c r="AZ319" s="38">
        <f t="shared" si="837"/>
        <v>2560.412299215468</v>
      </c>
      <c r="BA319" s="4">
        <f t="shared" si="969"/>
        <v>0.3</v>
      </c>
      <c r="BB319" s="4">
        <f t="shared" si="970"/>
        <v>47.708899421928855</v>
      </c>
      <c r="BC319" s="4">
        <f t="shared" si="971"/>
        <v>2608.1211986373969</v>
      </c>
      <c r="BE319" s="4">
        <f t="shared" si="854"/>
        <v>1.5</v>
      </c>
      <c r="BF319" s="4">
        <f t="shared" si="860"/>
        <v>733.37647045279073</v>
      </c>
      <c r="BH319" s="4">
        <f t="shared" si="861"/>
        <v>2455.7485129683778</v>
      </c>
      <c r="BI319" s="4">
        <f t="shared" si="806"/>
        <v>0</v>
      </c>
      <c r="BJ319" s="4">
        <f t="shared" si="862"/>
        <v>0</v>
      </c>
      <c r="BR319" s="4">
        <f t="shared" si="972"/>
        <v>63.5</v>
      </c>
      <c r="BV319" s="9"/>
      <c r="BX319" s="9"/>
      <c r="BY319" s="9"/>
      <c r="BZ319" s="9">
        <f t="shared" si="973"/>
        <v>63.5</v>
      </c>
      <c r="CA319" s="9">
        <f t="shared" si="974"/>
        <v>126.99999999999997</v>
      </c>
      <c r="CB319" s="9">
        <f t="shared" si="821"/>
        <v>1.7543833769624846</v>
      </c>
      <c r="CC319" s="40">
        <f t="shared" si="996"/>
        <v>20</v>
      </c>
      <c r="CD319" s="9">
        <f t="shared" si="975"/>
        <v>0.05</v>
      </c>
      <c r="CE319" s="9">
        <f t="shared" si="976"/>
        <v>0.8</v>
      </c>
      <c r="CF319" s="9">
        <f t="shared" si="977"/>
        <v>0.99524931562137331</v>
      </c>
      <c r="CG319" s="9">
        <f t="shared" si="978"/>
        <v>0.68048275862068963</v>
      </c>
      <c r="CH319" s="9">
        <f t="shared" si="822"/>
        <v>2.4922971335630986</v>
      </c>
      <c r="CI319" s="9">
        <f t="shared" si="823"/>
        <v>6.2307428339077466</v>
      </c>
      <c r="CJ319" s="40">
        <v>1</v>
      </c>
      <c r="CK319" s="9">
        <f t="shared" si="824"/>
        <v>510.92091238043525</v>
      </c>
      <c r="CM319" s="4">
        <f t="shared" si="979"/>
        <v>2.3338738280128664</v>
      </c>
      <c r="CN319" s="4">
        <f t="shared" si="980"/>
        <v>0.27235882594617306</v>
      </c>
      <c r="CO319" s="4">
        <f t="shared" si="946"/>
        <v>0.96859506161635667</v>
      </c>
      <c r="CP319" s="4">
        <f t="shared" si="981"/>
        <v>1.3903224753056873</v>
      </c>
      <c r="CQ319" s="4">
        <f t="shared" si="921"/>
        <v>1.1028377286200142</v>
      </c>
      <c r="CR319" s="4">
        <f t="shared" si="922"/>
        <v>1.0095343957325076</v>
      </c>
      <c r="CS319" s="4">
        <f t="shared" si="947"/>
        <v>1.7490612046742806</v>
      </c>
      <c r="CT319" s="4">
        <f t="shared" si="997"/>
        <v>10</v>
      </c>
      <c r="DA319" s="4">
        <f t="shared" si="1000"/>
        <v>2.3338738280128664</v>
      </c>
      <c r="DB319" s="4">
        <f t="shared" si="1000"/>
        <v>0.27235882594617306</v>
      </c>
      <c r="DC319" s="4">
        <f t="shared" si="1001"/>
        <v>1.3903224753056873</v>
      </c>
      <c r="DD319" s="4">
        <f t="shared" si="1002"/>
        <v>1.7490612046742806</v>
      </c>
      <c r="DE319" s="4">
        <f t="shared" si="1003"/>
        <v>1.1028377286200142</v>
      </c>
      <c r="DF319" s="4">
        <f t="shared" si="1003"/>
        <v>1.0095343957325076</v>
      </c>
      <c r="DI319" s="4">
        <f t="shared" si="982"/>
        <v>139.69999999999999</v>
      </c>
      <c r="DL319" s="4">
        <f t="shared" si="900"/>
        <v>1.6210612250408316E-5</v>
      </c>
      <c r="DM319" s="4">
        <f t="shared" ref="DM319:DM382" si="1009">EH319</f>
        <v>16.131515557182595</v>
      </c>
      <c r="DN319" s="4">
        <f t="shared" si="901"/>
        <v>0.10677012378057389</v>
      </c>
      <c r="DO319" s="4">
        <f t="shared" si="902"/>
        <v>6.5925748569216696</v>
      </c>
      <c r="DP319" s="4">
        <f t="shared" si="903"/>
        <v>12.336950218853458</v>
      </c>
      <c r="DQ319" s="4">
        <f t="shared" si="904"/>
        <v>15.617133098683848</v>
      </c>
      <c r="DR319" s="38">
        <f t="shared" si="915"/>
        <v>644.10638950035263</v>
      </c>
      <c r="DS319" s="4">
        <f t="shared" si="829"/>
        <v>1.0001080280884926</v>
      </c>
      <c r="DT319" s="4">
        <f t="shared" si="905"/>
        <v>3.9874804074753771</v>
      </c>
      <c r="DU319" s="4">
        <f t="shared" si="842"/>
        <v>446.2748156820586</v>
      </c>
      <c r="DY319" s="4">
        <f t="shared" si="785"/>
        <v>0.85</v>
      </c>
      <c r="DZ319" s="4">
        <f t="shared" si="830"/>
        <v>0.85</v>
      </c>
      <c r="EA319" s="4">
        <f t="shared" si="916"/>
        <v>0.77500000000000002</v>
      </c>
      <c r="EB319" s="4">
        <f t="shared" si="831"/>
        <v>0.7</v>
      </c>
      <c r="ED319" s="4">
        <f t="shared" si="917"/>
        <v>703.63608272186525</v>
      </c>
      <c r="EE319" s="25">
        <f t="shared" si="918"/>
        <v>437.46607602835246</v>
      </c>
      <c r="EG319" s="4">
        <f t="shared" si="843"/>
        <v>0.59499999999999997</v>
      </c>
      <c r="EH319" s="4">
        <f t="shared" si="919"/>
        <v>16.131515557182595</v>
      </c>
      <c r="EK319" s="4">
        <f t="shared" si="906"/>
        <v>101.28200234987457</v>
      </c>
      <c r="EL319" s="4">
        <f t="shared" si="907"/>
        <v>3.9874804074753771</v>
      </c>
      <c r="EM319" s="4">
        <f t="shared" si="908"/>
        <v>6.1385779021420728E-2</v>
      </c>
      <c r="EP319" s="4">
        <f t="shared" si="998"/>
        <v>6.1385779021420728E-2</v>
      </c>
      <c r="EQ319" s="4">
        <f t="shared" si="960"/>
        <v>0.10659194434323012</v>
      </c>
      <c r="ER319" s="4">
        <f t="shared" ref="ER319:ER382" si="1010">EH319/1*EQ319^0.4</f>
        <v>6.5881719402695227</v>
      </c>
      <c r="ES319" s="4">
        <f t="shared" si="983"/>
        <v>12.335804133643581</v>
      </c>
      <c r="ET319" s="4">
        <f t="shared" ref="ET319:ET382" si="1011">MAX(0,DI319*ET$9-EK319)</f>
        <v>3.4929976501254174</v>
      </c>
      <c r="EU319" s="4">
        <f t="shared" ref="EU319:EU382" si="1012">MAX(0,DI319-EK319-ET319)</f>
        <v>34.924999999999997</v>
      </c>
      <c r="EV319" s="4">
        <f t="shared" si="832"/>
        <v>1.6210612250408316E-5</v>
      </c>
      <c r="EW319" s="4">
        <f t="shared" si="984"/>
        <v>15.61736628889089</v>
      </c>
      <c r="EX319" s="4">
        <f t="shared" si="867"/>
        <v>644.03681543426239</v>
      </c>
      <c r="FG319" s="23">
        <f t="shared" si="778"/>
        <v>2.2000000000000002</v>
      </c>
      <c r="FH319" s="23">
        <f t="shared" si="778"/>
        <v>0.6</v>
      </c>
      <c r="FI319" s="23">
        <f t="shared" si="952"/>
        <v>1.8</v>
      </c>
      <c r="FJ319" s="23">
        <f t="shared" si="779"/>
        <v>1.4</v>
      </c>
      <c r="FK319" s="23">
        <f t="shared" si="779"/>
        <v>1.2</v>
      </c>
      <c r="FL319" s="23">
        <f t="shared" si="779"/>
        <v>1.2</v>
      </c>
      <c r="FM319" s="23">
        <f t="shared" si="923"/>
        <v>0</v>
      </c>
      <c r="FN319" s="23"/>
      <c r="FX319" s="4">
        <f t="shared" si="833"/>
        <v>1</v>
      </c>
      <c r="FY319" s="4">
        <f t="shared" si="890"/>
        <v>0.43787748058671272</v>
      </c>
      <c r="FZ319" s="4">
        <f t="shared" si="834"/>
        <v>0.3</v>
      </c>
      <c r="GA319" s="4">
        <f t="shared" si="835"/>
        <v>406.12919987467853</v>
      </c>
    </row>
    <row r="320" spans="1:183" ht="12" hidden="1" customHeight="1" x14ac:dyDescent="0.3">
      <c r="A320" s="25">
        <v>302</v>
      </c>
      <c r="B320" s="4" t="s">
        <v>605</v>
      </c>
      <c r="C320" s="4">
        <v>2016</v>
      </c>
      <c r="D320" s="4" t="s">
        <v>309</v>
      </c>
      <c r="E320" s="24" t="s">
        <v>462</v>
      </c>
      <c r="F320" s="7" t="s">
        <v>463</v>
      </c>
      <c r="G320" s="38">
        <f>120/0.145</f>
        <v>827.58620689655174</v>
      </c>
      <c r="H320" s="38">
        <f>9.38*25.4</f>
        <v>238.25200000000001</v>
      </c>
      <c r="I320" s="4">
        <f t="shared" si="985"/>
        <v>238.25200000000001</v>
      </c>
      <c r="J320" s="38">
        <f>9040/145</f>
        <v>62.344827586206897</v>
      </c>
      <c r="K320" s="38">
        <f t="shared" si="986"/>
        <v>25.4</v>
      </c>
      <c r="L320" s="7">
        <f t="shared" si="987"/>
        <v>9.3800000000000008</v>
      </c>
      <c r="M320" s="7">
        <f t="shared" si="988"/>
        <v>9.3800000000000008</v>
      </c>
      <c r="N320" s="38">
        <f t="shared" ref="N320:N321" si="1013">17*25.4</f>
        <v>431.79999999999995</v>
      </c>
      <c r="O320" s="38">
        <f>2.5*25.4</f>
        <v>63.5</v>
      </c>
      <c r="P320" s="39">
        <f>3.4*25.4</f>
        <v>86.36</v>
      </c>
      <c r="Q320" s="7">
        <f t="shared" si="989"/>
        <v>253.99999999999994</v>
      </c>
      <c r="R320" s="38">
        <v>2</v>
      </c>
      <c r="S320" s="4">
        <f t="shared" si="966"/>
        <v>260.34999999999997</v>
      </c>
      <c r="T320" s="7">
        <f t="shared" si="990"/>
        <v>3</v>
      </c>
      <c r="U320" s="7">
        <f t="shared" si="859"/>
        <v>3</v>
      </c>
      <c r="V320" s="38">
        <v>9.5</v>
      </c>
      <c r="W320" s="4">
        <f t="shared" si="991"/>
        <v>9.5</v>
      </c>
      <c r="X320" s="4">
        <f t="shared" si="992"/>
        <v>10.5</v>
      </c>
      <c r="Y320" s="7">
        <f t="shared" si="993"/>
        <v>82.305406869779816</v>
      </c>
      <c r="AB320" s="38">
        <f t="shared" si="786"/>
        <v>568.9655172413793</v>
      </c>
      <c r="AC320" s="4">
        <v>82.5</v>
      </c>
      <c r="AD320" s="4">
        <f t="shared" si="899"/>
        <v>0.81958454427477145</v>
      </c>
      <c r="AE320" s="38"/>
      <c r="AF320" s="38"/>
      <c r="AG320" s="39">
        <v>1</v>
      </c>
      <c r="AH320" s="39"/>
      <c r="AI320" s="39"/>
      <c r="AJ320" s="7"/>
      <c r="AK320" s="4">
        <f t="shared" si="994"/>
        <v>238.25200000000001</v>
      </c>
      <c r="AL320" s="4">
        <f t="shared" si="910"/>
        <v>0.60412224591329067</v>
      </c>
      <c r="AM320" s="4">
        <f t="shared" si="911"/>
        <v>286.52844070443393</v>
      </c>
      <c r="AN320" s="4">
        <f t="shared" si="912"/>
        <v>0.76396588486140726</v>
      </c>
      <c r="AO320" s="4">
        <v>1.25</v>
      </c>
      <c r="AP320" s="4">
        <f t="shared" si="844"/>
        <v>2.5</v>
      </c>
      <c r="AQ320" s="38">
        <f t="shared" si="967"/>
        <v>413.25351074896452</v>
      </c>
      <c r="AR320" s="38">
        <f t="shared" si="913"/>
        <v>413.25351074896452</v>
      </c>
      <c r="AS320" s="38">
        <f t="shared" si="914"/>
        <v>4.4175343619879603</v>
      </c>
      <c r="AT320" s="38">
        <f t="shared" si="853"/>
        <v>413.25351074896435</v>
      </c>
      <c r="AU320" s="38">
        <f t="shared" si="820"/>
        <v>1.0000000000000004</v>
      </c>
      <c r="AV320" s="38">
        <f t="shared" si="954"/>
        <v>2.7899532721832792</v>
      </c>
      <c r="AW320" s="4">
        <f t="shared" si="940"/>
        <v>0</v>
      </c>
      <c r="AX320" s="4">
        <f t="shared" si="995"/>
        <v>389.8068364694675</v>
      </c>
      <c r="AY320" s="4">
        <f t="shared" si="968"/>
        <v>1</v>
      </c>
      <c r="AZ320" s="38">
        <f t="shared" si="837"/>
        <v>1152.957984555301</v>
      </c>
      <c r="BA320" s="4">
        <f t="shared" si="969"/>
        <v>0.3</v>
      </c>
      <c r="BB320" s="4">
        <f t="shared" si="970"/>
        <v>61.102221616589034</v>
      </c>
      <c r="BC320" s="4">
        <f t="shared" si="971"/>
        <v>1214.0602061718901</v>
      </c>
      <c r="BE320" s="4">
        <f t="shared" si="854"/>
        <v>1.375</v>
      </c>
      <c r="BF320" s="4">
        <f t="shared" si="860"/>
        <v>631.21591414152192</v>
      </c>
      <c r="BH320" s="4">
        <f t="shared" si="861"/>
        <v>1105.8277047623367</v>
      </c>
      <c r="BI320" s="4">
        <f t="shared" si="806"/>
        <v>0</v>
      </c>
      <c r="BJ320" s="4">
        <f t="shared" si="862"/>
        <v>0</v>
      </c>
      <c r="BR320" s="4">
        <f t="shared" si="972"/>
        <v>63.5</v>
      </c>
      <c r="BV320" s="9"/>
      <c r="BX320" s="9"/>
      <c r="BY320" s="9"/>
      <c r="BZ320" s="9">
        <f t="shared" si="973"/>
        <v>63.5</v>
      </c>
      <c r="CA320" s="9">
        <f t="shared" si="974"/>
        <v>126.99999999999997</v>
      </c>
      <c r="CB320" s="9">
        <f t="shared" si="821"/>
        <v>1.7543833769624846</v>
      </c>
      <c r="CC320" s="40">
        <f t="shared" si="996"/>
        <v>0</v>
      </c>
      <c r="CD320" s="9">
        <f t="shared" si="975"/>
        <v>0</v>
      </c>
      <c r="CE320" s="9">
        <f t="shared" si="976"/>
        <v>0</v>
      </c>
      <c r="CF320" s="9">
        <f t="shared" si="977"/>
        <v>0.99524931562137331</v>
      </c>
      <c r="CG320" s="9">
        <f t="shared" si="978"/>
        <v>0.68</v>
      </c>
      <c r="CH320" s="9">
        <f t="shared" si="822"/>
        <v>1.8702904607807274</v>
      </c>
      <c r="CI320" s="9">
        <f t="shared" si="823"/>
        <v>3.2812064944852137</v>
      </c>
      <c r="CJ320" s="40">
        <v>1</v>
      </c>
      <c r="CK320" s="9">
        <f t="shared" si="824"/>
        <v>319.98325734219804</v>
      </c>
      <c r="CM320" s="4">
        <f t="shared" si="979"/>
        <v>1.4596088729345433</v>
      </c>
      <c r="CN320" s="4">
        <f t="shared" si="980"/>
        <v>0.46864687134043465</v>
      </c>
      <c r="CO320" s="4">
        <f t="shared" si="946"/>
        <v>0.90138018464758518</v>
      </c>
      <c r="CP320" s="4">
        <f t="shared" si="981"/>
        <v>1.778110273541323</v>
      </c>
      <c r="CQ320" s="4">
        <f t="shared" si="921"/>
        <v>0.81958454427477145</v>
      </c>
      <c r="CR320" s="4">
        <f t="shared" si="922"/>
        <v>0.82535245957938552</v>
      </c>
      <c r="CS320" s="4">
        <f t="shared" si="947"/>
        <v>1.0824061436066807</v>
      </c>
      <c r="CT320" s="4">
        <f t="shared" si="997"/>
        <v>0</v>
      </c>
      <c r="CU320" s="4">
        <f t="shared" ref="CU320:CV320" si="1014">CM320</f>
        <v>1.4596088729345433</v>
      </c>
      <c r="CV320" s="4">
        <f t="shared" si="1014"/>
        <v>0.46864687134043465</v>
      </c>
      <c r="CW320" s="4">
        <f t="shared" ref="CW320" si="1015">CP320</f>
        <v>1.778110273541323</v>
      </c>
      <c r="CX320" s="4">
        <f t="shared" ref="CX320" si="1016">CS320</f>
        <v>1.0824061436066807</v>
      </c>
      <c r="CY320" s="4">
        <f t="shared" ref="CY320:CZ320" si="1017">CQ320</f>
        <v>0.81958454427477145</v>
      </c>
      <c r="CZ320" s="4">
        <f t="shared" si="1017"/>
        <v>0.82535245957938552</v>
      </c>
      <c r="DI320" s="4">
        <f t="shared" si="982"/>
        <v>238.25200000000001</v>
      </c>
      <c r="DL320" s="4">
        <f t="shared" si="900"/>
        <v>2.0659876811674702E-5</v>
      </c>
      <c r="DM320" s="4">
        <f t="shared" si="1009"/>
        <v>9.9763514377618598</v>
      </c>
      <c r="DN320" s="4">
        <f t="shared" si="901"/>
        <v>0.22345380848450982</v>
      </c>
      <c r="DO320" s="4">
        <f t="shared" si="902"/>
        <v>5.4783130292378068</v>
      </c>
      <c r="DP320" s="4">
        <f t="shared" si="903"/>
        <v>8.0504837803731188</v>
      </c>
      <c r="DQ320" s="4">
        <f t="shared" si="904"/>
        <v>9.355770870462635</v>
      </c>
      <c r="DR320" s="38">
        <f t="shared" si="915"/>
        <v>694.21211175332951</v>
      </c>
      <c r="DS320" s="4">
        <f t="shared" si="829"/>
        <v>1.0000930207171117</v>
      </c>
      <c r="DT320" s="4">
        <f t="shared" si="905"/>
        <v>3.2403703492039297</v>
      </c>
      <c r="DU320" s="4">
        <f t="shared" si="842"/>
        <v>413.25351074896435</v>
      </c>
      <c r="DY320" s="4">
        <f t="shared" si="785"/>
        <v>0.85</v>
      </c>
      <c r="DZ320" s="4">
        <f t="shared" si="830"/>
        <v>0.85</v>
      </c>
      <c r="EA320" s="4">
        <f t="shared" si="916"/>
        <v>1</v>
      </c>
      <c r="EB320" s="4">
        <f t="shared" si="831"/>
        <v>0.85</v>
      </c>
      <c r="ED320" s="4">
        <f t="shared" si="917"/>
        <v>689.36066117902453</v>
      </c>
      <c r="EE320" s="25">
        <f t="shared" si="918"/>
        <v>408.62613172040579</v>
      </c>
      <c r="EG320" s="4">
        <f t="shared" si="843"/>
        <v>0.72249999999999992</v>
      </c>
      <c r="EH320" s="4">
        <f t="shared" si="919"/>
        <v>9.9763514377618598</v>
      </c>
      <c r="EK320" s="4">
        <f t="shared" si="906"/>
        <v>82.305406869779816</v>
      </c>
      <c r="EL320" s="4">
        <f t="shared" si="907"/>
        <v>3.2403703492039302</v>
      </c>
      <c r="EM320" s="4">
        <f t="shared" si="908"/>
        <v>9.6476877856159354E-2</v>
      </c>
      <c r="EP320" s="4">
        <f t="shared" si="998"/>
        <v>9.6476877856159354E-2</v>
      </c>
      <c r="EQ320" s="4">
        <f t="shared" si="960"/>
        <v>0.22308090572427774</v>
      </c>
      <c r="ER320" s="4">
        <f t="shared" si="1010"/>
        <v>5.4746542834236758</v>
      </c>
      <c r="ES320" s="4">
        <f t="shared" si="983"/>
        <v>8.0492483214376556</v>
      </c>
      <c r="ET320" s="4">
        <f t="shared" si="1011"/>
        <v>96.383593130220206</v>
      </c>
      <c r="EU320" s="4">
        <f t="shared" si="1012"/>
        <v>59.563000000000002</v>
      </c>
      <c r="EV320" s="4">
        <f t="shared" si="832"/>
        <v>2.0659876811674702E-5</v>
      </c>
      <c r="EW320" s="4">
        <f t="shared" si="984"/>
        <v>9.35594198988003</v>
      </c>
      <c r="EX320" s="4">
        <f t="shared" si="867"/>
        <v>694.14754165122383</v>
      </c>
      <c r="FG320" s="23">
        <f t="shared" si="778"/>
        <v>1.6</v>
      </c>
      <c r="FH320" s="23">
        <f t="shared" si="778"/>
        <v>0.6</v>
      </c>
      <c r="FI320" s="23">
        <f t="shared" si="952"/>
        <v>1.2</v>
      </c>
      <c r="FJ320" s="23">
        <f t="shared" si="779"/>
        <v>1.8</v>
      </c>
      <c r="FK320" s="23">
        <f t="shared" si="779"/>
        <v>1</v>
      </c>
      <c r="FL320" s="23">
        <f t="shared" si="779"/>
        <v>1</v>
      </c>
      <c r="FM320" s="23">
        <f t="shared" si="923"/>
        <v>0</v>
      </c>
      <c r="FN320" s="23"/>
      <c r="FX320" s="4">
        <f t="shared" si="833"/>
        <v>1</v>
      </c>
      <c r="FY320" s="4">
        <f t="shared" si="890"/>
        <v>0.5</v>
      </c>
      <c r="FZ320" s="4">
        <f t="shared" si="834"/>
        <v>0</v>
      </c>
      <c r="GA320" s="4">
        <f t="shared" si="835"/>
        <v>525.6488247059757</v>
      </c>
    </row>
    <row r="321" spans="1:183" ht="12" hidden="1" customHeight="1" x14ac:dyDescent="0.3">
      <c r="A321" s="25">
        <v>303</v>
      </c>
      <c r="B321" s="4" t="s">
        <v>605</v>
      </c>
      <c r="C321" s="4">
        <v>2016</v>
      </c>
      <c r="D321" s="4" t="s">
        <v>309</v>
      </c>
      <c r="E321" s="24" t="s">
        <v>462</v>
      </c>
      <c r="F321" s="7" t="s">
        <v>464</v>
      </c>
      <c r="G321" s="38">
        <f>120/0.145</f>
        <v>827.58620689655174</v>
      </c>
      <c r="H321" s="38">
        <f>9.19*25.4</f>
        <v>233.42599999999999</v>
      </c>
      <c r="I321" s="4">
        <f t="shared" si="985"/>
        <v>233.42599999999999</v>
      </c>
      <c r="J321" s="38">
        <f>9040/145</f>
        <v>62.344827586206897</v>
      </c>
      <c r="K321" s="38">
        <f t="shared" si="986"/>
        <v>25.4</v>
      </c>
      <c r="L321" s="7">
        <f t="shared" si="987"/>
        <v>9.19</v>
      </c>
      <c r="M321" s="7">
        <f t="shared" si="988"/>
        <v>9.19</v>
      </c>
      <c r="N321" s="38">
        <f t="shared" si="1013"/>
        <v>431.79999999999995</v>
      </c>
      <c r="O321" s="38">
        <f>2.65*25.4</f>
        <v>67.309999999999988</v>
      </c>
      <c r="P321" s="39">
        <f>3.3*25.4</f>
        <v>83.82</v>
      </c>
      <c r="Q321" s="7">
        <f t="shared" si="989"/>
        <v>246.37999999999997</v>
      </c>
      <c r="R321" s="38">
        <v>2</v>
      </c>
      <c r="S321" s="4">
        <f t="shared" si="966"/>
        <v>260.34999999999997</v>
      </c>
      <c r="T321" s="7">
        <f t="shared" si="990"/>
        <v>3.1499999999999995</v>
      </c>
      <c r="U321" s="7">
        <f t="shared" si="859"/>
        <v>3.1499999999999995</v>
      </c>
      <c r="V321" s="38">
        <v>9.5</v>
      </c>
      <c r="W321" s="4">
        <f t="shared" si="991"/>
        <v>9.5</v>
      </c>
      <c r="X321" s="4">
        <f t="shared" si="992"/>
        <v>10.5</v>
      </c>
      <c r="Y321" s="7">
        <f t="shared" si="993"/>
        <v>82.305406869779816</v>
      </c>
      <c r="AB321" s="38">
        <f t="shared" si="786"/>
        <v>600</v>
      </c>
      <c r="AC321" s="4">
        <v>87</v>
      </c>
      <c r="AD321" s="4">
        <f t="shared" si="899"/>
        <v>0.86504992090891586</v>
      </c>
      <c r="AE321" s="38">
        <f>0.375*25.4</f>
        <v>9.5249999999999986</v>
      </c>
      <c r="AF321" s="38">
        <v>4</v>
      </c>
      <c r="AG321" s="39">
        <f>6*25.4</f>
        <v>152.39999999999998</v>
      </c>
      <c r="AH321" s="39">
        <v>1</v>
      </c>
      <c r="AI321" s="39">
        <v>1</v>
      </c>
      <c r="AJ321" s="7"/>
      <c r="AK321" s="4">
        <f t="shared" si="994"/>
        <v>233.42599999999999</v>
      </c>
      <c r="AL321" s="4">
        <f t="shared" si="910"/>
        <v>0.61661225970257527</v>
      </c>
      <c r="AM321" s="4">
        <f t="shared" si="911"/>
        <v>277.86685517024648</v>
      </c>
      <c r="AN321" s="4">
        <f t="shared" si="912"/>
        <v>0.76855277475516859</v>
      </c>
      <c r="AO321" s="4">
        <v>1.25</v>
      </c>
      <c r="AP321" s="4">
        <f t="shared" si="844"/>
        <v>2.5</v>
      </c>
      <c r="AQ321" s="38">
        <f t="shared" si="967"/>
        <v>411.5026323235121</v>
      </c>
      <c r="AR321" s="38">
        <f t="shared" si="913"/>
        <v>411.5026323235121</v>
      </c>
      <c r="AS321" s="38">
        <f t="shared" si="914"/>
        <v>4.4175343619879603</v>
      </c>
      <c r="AT321" s="38">
        <f t="shared" si="853"/>
        <v>411.50263232351193</v>
      </c>
      <c r="AU321" s="38">
        <f t="shared" si="820"/>
        <v>1.0000000000000004</v>
      </c>
      <c r="AV321" s="38">
        <f t="shared" si="954"/>
        <v>2.9419152848366741</v>
      </c>
      <c r="AW321" s="4">
        <f t="shared" si="940"/>
        <v>0</v>
      </c>
      <c r="AX321" s="4">
        <f t="shared" si="995"/>
        <v>381.91096238319886</v>
      </c>
      <c r="AY321" s="4">
        <f t="shared" si="968"/>
        <v>1</v>
      </c>
      <c r="AZ321" s="38">
        <f t="shared" si="837"/>
        <v>1210.6058837830658</v>
      </c>
      <c r="BA321" s="4">
        <f t="shared" si="969"/>
        <v>0.3</v>
      </c>
      <c r="BB321" s="4">
        <f t="shared" si="970"/>
        <v>59.864543353566432</v>
      </c>
      <c r="BC321" s="4">
        <f t="shared" si="971"/>
        <v>1270.4704271366322</v>
      </c>
      <c r="BE321" s="4">
        <f t="shared" si="854"/>
        <v>1.5</v>
      </c>
      <c r="BF321" s="4">
        <f t="shared" si="860"/>
        <v>681.84820671971897</v>
      </c>
      <c r="BH321" s="4">
        <f t="shared" si="861"/>
        <v>1161.1190900004531</v>
      </c>
      <c r="BI321" s="4">
        <f t="shared" si="806"/>
        <v>0</v>
      </c>
      <c r="BJ321" s="4">
        <f t="shared" si="862"/>
        <v>0</v>
      </c>
      <c r="BR321" s="4">
        <f t="shared" si="972"/>
        <v>67.309999999999988</v>
      </c>
      <c r="BV321" s="9"/>
      <c r="BX321" s="9"/>
      <c r="BY321" s="9"/>
      <c r="BZ321" s="9">
        <f t="shared" si="973"/>
        <v>67.309999999999988</v>
      </c>
      <c r="CA321" s="9">
        <f t="shared" si="974"/>
        <v>123.18999999999998</v>
      </c>
      <c r="CB321" s="9">
        <f t="shared" si="821"/>
        <v>1.7823677548771022</v>
      </c>
      <c r="CC321" s="40">
        <f t="shared" si="996"/>
        <v>20</v>
      </c>
      <c r="CD321" s="9">
        <f t="shared" si="975"/>
        <v>0.05</v>
      </c>
      <c r="CE321" s="9">
        <f t="shared" si="976"/>
        <v>0.8</v>
      </c>
      <c r="CF321" s="9">
        <f t="shared" si="977"/>
        <v>0.99524931562137331</v>
      </c>
      <c r="CG321" s="9">
        <f t="shared" si="978"/>
        <v>0.68</v>
      </c>
      <c r="CH321" s="9">
        <f t="shared" si="822"/>
        <v>1.8702904607807274</v>
      </c>
      <c r="CI321" s="9">
        <f t="shared" si="823"/>
        <v>4.6757261519518183</v>
      </c>
      <c r="CJ321" s="40">
        <v>1</v>
      </c>
      <c r="CK321" s="9">
        <f t="shared" si="824"/>
        <v>452.42326246285791</v>
      </c>
      <c r="CM321" s="4">
        <f t="shared" si="979"/>
        <v>1.5710468122095345</v>
      </c>
      <c r="CN321" s="4">
        <f t="shared" si="980"/>
        <v>0.47226601043541899</v>
      </c>
      <c r="CO321" s="4">
        <f t="shared" si="946"/>
        <v>0.8799612495668504</v>
      </c>
      <c r="CP321" s="4">
        <f t="shared" si="981"/>
        <v>1.3261917540087973</v>
      </c>
      <c r="CQ321" s="4">
        <f t="shared" si="921"/>
        <v>0.86504992090891586</v>
      </c>
      <c r="CR321" s="4">
        <f t="shared" si="922"/>
        <v>0.87025939203289582</v>
      </c>
      <c r="CS321" s="4">
        <f t="shared" si="947"/>
        <v>1.099511672686895</v>
      </c>
      <c r="CT321" s="4">
        <f t="shared" si="997"/>
        <v>4</v>
      </c>
      <c r="DA321" s="4">
        <f t="shared" ref="DA321:DB321" si="1018">CM321</f>
        <v>1.5710468122095345</v>
      </c>
      <c r="DB321" s="4">
        <f t="shared" si="1018"/>
        <v>0.47226601043541899</v>
      </c>
      <c r="DC321" s="4">
        <f t="shared" ref="DC321" si="1019">CP321</f>
        <v>1.3261917540087973</v>
      </c>
      <c r="DD321" s="4">
        <f t="shared" ref="DD321" si="1020">CS321</f>
        <v>1.099511672686895</v>
      </c>
      <c r="DE321" s="4">
        <f t="shared" ref="DE321:DF321" si="1021">CQ321</f>
        <v>0.86504992090891586</v>
      </c>
      <c r="DF321" s="4">
        <f t="shared" si="1021"/>
        <v>0.87025939203289582</v>
      </c>
      <c r="DI321" s="4">
        <f t="shared" si="982"/>
        <v>233.42599999999999</v>
      </c>
      <c r="DL321" s="4">
        <f t="shared" si="900"/>
        <v>2.0241393166235661E-5</v>
      </c>
      <c r="DM321" s="4">
        <f t="shared" si="1009"/>
        <v>10.25167680187093</v>
      </c>
      <c r="DN321" s="4">
        <f t="shared" si="901"/>
        <v>0.22250707617084689</v>
      </c>
      <c r="DO321" s="4">
        <f t="shared" si="902"/>
        <v>5.6199498067632083</v>
      </c>
      <c r="DP321" s="4">
        <f t="shared" si="903"/>
        <v>8.2694351166294009</v>
      </c>
      <c r="DQ321" s="4">
        <f t="shared" si="904"/>
        <v>9.6247971060916608</v>
      </c>
      <c r="DR321" s="38">
        <f t="shared" si="915"/>
        <v>693.6015893389997</v>
      </c>
      <c r="DS321" s="4">
        <f t="shared" si="829"/>
        <v>1.0000944892265211</v>
      </c>
      <c r="DT321" s="4">
        <f t="shared" si="905"/>
        <v>3.2403703492039297</v>
      </c>
      <c r="DU321" s="4">
        <f t="shared" si="842"/>
        <v>411.50263232351193</v>
      </c>
      <c r="DY321" s="4">
        <f t="shared" si="785"/>
        <v>0.85</v>
      </c>
      <c r="DZ321" s="4">
        <f t="shared" si="830"/>
        <v>0.83499999999999996</v>
      </c>
      <c r="EA321" s="4">
        <f t="shared" si="916"/>
        <v>0.99062499999999998</v>
      </c>
      <c r="EB321" s="4">
        <f t="shared" si="831"/>
        <v>0.827171875</v>
      </c>
      <c r="ED321" s="4">
        <f t="shared" si="917"/>
        <v>689.44961179726056</v>
      </c>
      <c r="EE321" s="25">
        <f t="shared" si="918"/>
        <v>406.81088236967901</v>
      </c>
      <c r="EG321" s="4">
        <f t="shared" si="843"/>
        <v>0.70309609374999993</v>
      </c>
      <c r="EH321" s="4">
        <f t="shared" si="919"/>
        <v>10.25167680187093</v>
      </c>
      <c r="EK321" s="4">
        <f t="shared" si="906"/>
        <v>82.305406869779816</v>
      </c>
      <c r="EL321" s="4">
        <f t="shared" si="907"/>
        <v>3.2403703492039302</v>
      </c>
      <c r="EM321" s="4">
        <f t="shared" si="908"/>
        <v>9.6068123230730482E-2</v>
      </c>
      <c r="EP321" s="4">
        <f t="shared" si="998"/>
        <v>9.6068123230730482E-2</v>
      </c>
      <c r="EQ321" s="4">
        <f t="shared" si="960"/>
        <v>0.22213575333039937</v>
      </c>
      <c r="ER321" s="4">
        <f t="shared" si="1010"/>
        <v>5.6161964674192566</v>
      </c>
      <c r="ES321" s="4">
        <f t="shared" si="983"/>
        <v>8.2681694572947251</v>
      </c>
      <c r="ET321" s="4">
        <f t="shared" si="1011"/>
        <v>92.764093130220189</v>
      </c>
      <c r="EU321" s="4">
        <f t="shared" si="1012"/>
        <v>58.356499999999997</v>
      </c>
      <c r="EV321" s="4">
        <f t="shared" si="832"/>
        <v>2.0241393166235661E-5</v>
      </c>
      <c r="EW321" s="4">
        <f t="shared" si="984"/>
        <v>9.6249719222359911</v>
      </c>
      <c r="EX321" s="4">
        <f t="shared" si="867"/>
        <v>693.5360576533476</v>
      </c>
      <c r="FG321" s="23">
        <f t="shared" si="778"/>
        <v>1.6</v>
      </c>
      <c r="FH321" s="23">
        <f t="shared" si="778"/>
        <v>0.6</v>
      </c>
      <c r="FI321" s="23">
        <f t="shared" si="952"/>
        <v>1.2</v>
      </c>
      <c r="FJ321" s="23">
        <f t="shared" si="779"/>
        <v>1.4</v>
      </c>
      <c r="FK321" s="23">
        <f t="shared" si="779"/>
        <v>1</v>
      </c>
      <c r="FL321" s="23">
        <f t="shared" si="779"/>
        <v>1</v>
      </c>
      <c r="FM321" s="23">
        <f t="shared" si="923"/>
        <v>0</v>
      </c>
      <c r="FN321" s="23"/>
      <c r="FX321" s="4">
        <f t="shared" si="833"/>
        <v>1</v>
      </c>
      <c r="FY321" s="4">
        <f t="shared" si="890"/>
        <v>0.47187499999999999</v>
      </c>
      <c r="FZ321" s="4">
        <f t="shared" si="834"/>
        <v>0.14062499999999997</v>
      </c>
      <c r="GA321" s="4">
        <f t="shared" si="835"/>
        <v>545.69679877410488</v>
      </c>
    </row>
    <row r="322" spans="1:183" ht="12" hidden="1" customHeight="1" x14ac:dyDescent="0.3">
      <c r="A322" s="25">
        <v>304</v>
      </c>
      <c r="B322" s="4" t="s">
        <v>605</v>
      </c>
      <c r="C322" s="4">
        <v>2016</v>
      </c>
      <c r="D322" s="4" t="s">
        <v>309</v>
      </c>
      <c r="E322" s="24" t="s">
        <v>669</v>
      </c>
      <c r="F322" s="7" t="s">
        <v>465</v>
      </c>
      <c r="G322" s="38">
        <f>120/0.145</f>
        <v>827.58620689655174</v>
      </c>
      <c r="H322" s="38">
        <f>9.25*25.4</f>
        <v>234.95</v>
      </c>
      <c r="I322" s="4">
        <f t="shared" si="985"/>
        <v>234.95</v>
      </c>
      <c r="J322" s="38">
        <f>9040/145</f>
        <v>62.344827586206897</v>
      </c>
      <c r="K322" s="38">
        <f t="shared" si="986"/>
        <v>25.4</v>
      </c>
      <c r="L322" s="7">
        <f t="shared" si="987"/>
        <v>9.25</v>
      </c>
      <c r="M322" s="7">
        <f t="shared" si="988"/>
        <v>9.25</v>
      </c>
      <c r="N322" s="38">
        <f>14*25.4</f>
        <v>355.59999999999997</v>
      </c>
      <c r="O322" s="38">
        <f>2.5*25.4</f>
        <v>63.5</v>
      </c>
      <c r="P322" s="39">
        <f>3.3*25.4</f>
        <v>83.82</v>
      </c>
      <c r="Q322" s="7">
        <f t="shared" si="989"/>
        <v>76.199999999999989</v>
      </c>
      <c r="R322" s="38">
        <v>3</v>
      </c>
      <c r="S322" s="4">
        <f t="shared" si="966"/>
        <v>260.34999999999997</v>
      </c>
      <c r="T322" s="7">
        <f t="shared" si="990"/>
        <v>1.9999999999999998</v>
      </c>
      <c r="U322" s="7">
        <f t="shared" si="859"/>
        <v>3</v>
      </c>
      <c r="V322" s="38">
        <v>9.5</v>
      </c>
      <c r="W322" s="4">
        <f t="shared" si="991"/>
        <v>9.5</v>
      </c>
      <c r="X322" s="4">
        <f t="shared" si="992"/>
        <v>10.5</v>
      </c>
      <c r="Y322" s="7">
        <f t="shared" si="993"/>
        <v>82.305406869779816</v>
      </c>
      <c r="AB322" s="38">
        <f t="shared" si="786"/>
        <v>351.72413793103453</v>
      </c>
      <c r="AC322" s="4">
        <v>51</v>
      </c>
      <c r="AD322" s="4">
        <f t="shared" si="899"/>
        <v>0.77187994815402661</v>
      </c>
      <c r="AE322" s="38"/>
      <c r="AF322" s="38"/>
      <c r="AG322" s="39">
        <v>1</v>
      </c>
      <c r="AH322" s="39"/>
      <c r="AI322" s="39"/>
      <c r="AJ322" s="7"/>
      <c r="AK322" s="4">
        <f t="shared" si="994"/>
        <v>234.95</v>
      </c>
      <c r="AL322" s="4">
        <f t="shared" si="910"/>
        <v>0.50450450450450446</v>
      </c>
      <c r="AM322" s="4">
        <f t="shared" si="911"/>
        <v>187.06167500766796</v>
      </c>
      <c r="AN322" s="4">
        <f t="shared" si="912"/>
        <v>0.76486486486486482</v>
      </c>
      <c r="AO322" s="4">
        <v>1.25</v>
      </c>
      <c r="AP322" s="4">
        <f t="shared" si="844"/>
        <v>2.5</v>
      </c>
      <c r="AQ322" s="38">
        <f t="shared" si="967"/>
        <v>225.57169356597893</v>
      </c>
      <c r="AR322" s="38">
        <f t="shared" si="913"/>
        <v>225.57169356597893</v>
      </c>
      <c r="AS322" s="38">
        <f t="shared" si="914"/>
        <v>4.4175343619879603</v>
      </c>
      <c r="AT322" s="38">
        <f t="shared" si="853"/>
        <v>225.57169356597893</v>
      </c>
      <c r="AU322" s="38">
        <f t="shared" si="820"/>
        <v>1</v>
      </c>
      <c r="AV322" s="38">
        <f t="shared" si="954"/>
        <v>4.089016547523733</v>
      </c>
      <c r="AW322" s="4">
        <f t="shared" si="940"/>
        <v>0</v>
      </c>
      <c r="AX322" s="4">
        <f t="shared" si="995"/>
        <v>384.40439630517841</v>
      </c>
      <c r="AY322" s="4">
        <f t="shared" si="968"/>
        <v>1.2000000000000002</v>
      </c>
      <c r="AZ322" s="38">
        <f t="shared" si="837"/>
        <v>922.36638764424072</v>
      </c>
      <c r="BA322" s="4">
        <f t="shared" si="969"/>
        <v>0.3</v>
      </c>
      <c r="BB322" s="4">
        <f t="shared" si="970"/>
        <v>60.255389120836725</v>
      </c>
      <c r="BC322" s="4">
        <f t="shared" si="971"/>
        <v>982.62177676507747</v>
      </c>
      <c r="BE322" s="4">
        <f t="shared" si="854"/>
        <v>1.375</v>
      </c>
      <c r="BF322" s="4">
        <f t="shared" si="860"/>
        <v>626.98175166276042</v>
      </c>
      <c r="BH322" s="4">
        <f t="shared" si="861"/>
        <v>884.6621638098693</v>
      </c>
      <c r="BI322" s="4">
        <f t="shared" si="806"/>
        <v>0</v>
      </c>
      <c r="BJ322" s="4">
        <f t="shared" si="862"/>
        <v>0</v>
      </c>
      <c r="BR322" s="4">
        <f t="shared" si="972"/>
        <v>38.099999999999994</v>
      </c>
      <c r="BV322" s="9"/>
      <c r="BX322" s="9"/>
      <c r="BY322" s="9"/>
      <c r="BZ322" s="9">
        <f t="shared" si="973"/>
        <v>38.099999999999994</v>
      </c>
      <c r="CA322" s="9">
        <f t="shared" si="974"/>
        <v>63.5</v>
      </c>
      <c r="CB322" s="9">
        <f t="shared" si="821"/>
        <v>1.3222785168171165</v>
      </c>
      <c r="CC322" s="40">
        <f t="shared" si="996"/>
        <v>0</v>
      </c>
      <c r="CD322" s="9">
        <f t="shared" si="975"/>
        <v>0</v>
      </c>
      <c r="CE322" s="9">
        <f t="shared" si="976"/>
        <v>0</v>
      </c>
      <c r="CF322" s="9">
        <f t="shared" si="977"/>
        <v>0.99524931562137331</v>
      </c>
      <c r="CG322" s="9">
        <f t="shared" si="978"/>
        <v>0.68</v>
      </c>
      <c r="CH322" s="9">
        <f t="shared" si="822"/>
        <v>1.8702904607807274</v>
      </c>
      <c r="CI322" s="9">
        <f t="shared" si="823"/>
        <v>2.4730448964983416</v>
      </c>
      <c r="CJ322" s="40">
        <v>1</v>
      </c>
      <c r="CK322" s="9">
        <f t="shared" si="824"/>
        <v>239.88535496033913</v>
      </c>
      <c r="CM322" s="4">
        <f t="shared" si="979"/>
        <v>0.91498469141284478</v>
      </c>
      <c r="CN322" s="4">
        <f t="shared" si="980"/>
        <v>0.35794457872586288</v>
      </c>
      <c r="CO322" s="4">
        <f t="shared" si="946"/>
        <v>0.56097986424367119</v>
      </c>
      <c r="CP322" s="4">
        <f t="shared" si="981"/>
        <v>1.4662176354583463</v>
      </c>
      <c r="CQ322" s="4">
        <f t="shared" si="921"/>
        <v>0.77187994815402661</v>
      </c>
      <c r="CR322" s="4">
        <f t="shared" si="922"/>
        <v>0.74722430214469848</v>
      </c>
      <c r="CS322" s="4">
        <f t="shared" si="947"/>
        <v>1.1308794998166836</v>
      </c>
      <c r="CT322" s="4">
        <f t="shared" si="997"/>
        <v>0</v>
      </c>
      <c r="CU322" s="4">
        <f t="shared" ref="CU322:CV322" si="1022">CM322</f>
        <v>0.91498469141284478</v>
      </c>
      <c r="CV322" s="4">
        <f t="shared" si="1022"/>
        <v>0.35794457872586288</v>
      </c>
      <c r="CW322" s="4">
        <f t="shared" ref="CW322" si="1023">CP322</f>
        <v>1.4662176354583463</v>
      </c>
      <c r="CX322" s="4">
        <f t="shared" ref="CX322" si="1024">CS322</f>
        <v>1.1308794998166836</v>
      </c>
      <c r="CY322" s="4">
        <f t="shared" ref="CY322:CZ322" si="1025">CQ322</f>
        <v>0.77187994815402661</v>
      </c>
      <c r="CZ322" s="4">
        <f t="shared" si="1025"/>
        <v>0.74722430214469848</v>
      </c>
      <c r="DI322" s="4">
        <f t="shared" si="982"/>
        <v>234.95</v>
      </c>
      <c r="DL322" s="4">
        <f t="shared" si="900"/>
        <v>2.0373545896374304E-5</v>
      </c>
      <c r="DM322" s="4">
        <f t="shared" si="1009"/>
        <v>8.9262091811553486</v>
      </c>
      <c r="DN322" s="4">
        <f t="shared" si="901"/>
        <v>0.12197078234681423</v>
      </c>
      <c r="DO322" s="4">
        <f t="shared" si="902"/>
        <v>3.8474181010001449</v>
      </c>
      <c r="DP322" s="4">
        <f t="shared" si="903"/>
        <v>6.8798040749591918</v>
      </c>
      <c r="DQ322" s="4">
        <f t="shared" si="904"/>
        <v>8.4854089879150845</v>
      </c>
      <c r="DR322" s="38">
        <f t="shared" si="915"/>
        <v>455.67207539487595</v>
      </c>
      <c r="DS322" s="4">
        <f t="shared" si="829"/>
        <v>1.0000938902297358</v>
      </c>
      <c r="DT322" s="4">
        <f t="shared" si="905"/>
        <v>3.2403703492039297</v>
      </c>
      <c r="DU322" s="4">
        <f t="shared" si="842"/>
        <v>225.57169356597893</v>
      </c>
      <c r="DY322" s="4">
        <f t="shared" si="785"/>
        <v>0.85</v>
      </c>
      <c r="DZ322" s="4">
        <f t="shared" si="830"/>
        <v>0.95</v>
      </c>
      <c r="EA322" s="4">
        <f t="shared" si="916"/>
        <v>1</v>
      </c>
      <c r="EB322" s="4">
        <f t="shared" si="831"/>
        <v>0.95</v>
      </c>
      <c r="ED322" s="4">
        <f t="shared" si="917"/>
        <v>470.70757324341395</v>
      </c>
      <c r="EE322" s="25">
        <f t="shared" si="918"/>
        <v>223.00526846635302</v>
      </c>
      <c r="EG322" s="4">
        <f t="shared" si="843"/>
        <v>0.8075</v>
      </c>
      <c r="EH322" s="4">
        <f t="shared" si="919"/>
        <v>8.9262091811553486</v>
      </c>
      <c r="EK322" s="4">
        <f t="shared" si="906"/>
        <v>82.305406869779816</v>
      </c>
      <c r="EL322" s="4">
        <f t="shared" si="907"/>
        <v>3.2403703492039302</v>
      </c>
      <c r="EM322" s="4">
        <f t="shared" si="908"/>
        <v>5.2661265208686421E-2</v>
      </c>
      <c r="EP322" s="4">
        <f t="shared" si="998"/>
        <v>5.2661265208686421E-2</v>
      </c>
      <c r="EQ322" s="4">
        <f t="shared" si="960"/>
        <v>0.12176723584334105</v>
      </c>
      <c r="ER322" s="4">
        <f t="shared" si="1010"/>
        <v>3.8448485645758632</v>
      </c>
      <c r="ES322" s="4">
        <f t="shared" si="983"/>
        <v>6.8791009663372167</v>
      </c>
      <c r="ET322" s="4">
        <f t="shared" si="1011"/>
        <v>93.907093130220161</v>
      </c>
      <c r="EU322" s="4">
        <f t="shared" si="1012"/>
        <v>58.737500000000026</v>
      </c>
      <c r="EV322" s="4">
        <f t="shared" si="832"/>
        <v>2.0373545896374314E-5</v>
      </c>
      <c r="EW322" s="4">
        <f t="shared" si="984"/>
        <v>8.4855088575581235</v>
      </c>
      <c r="EX322" s="4">
        <f t="shared" si="867"/>
        <v>455.62929625557615</v>
      </c>
      <c r="FG322" s="23">
        <f t="shared" si="778"/>
        <v>1</v>
      </c>
      <c r="FH322" s="23">
        <f t="shared" si="778"/>
        <v>0.6</v>
      </c>
      <c r="FI322" s="23">
        <f t="shared" si="952"/>
        <v>1.2</v>
      </c>
      <c r="FJ322" s="23">
        <f t="shared" si="779"/>
        <v>1.6</v>
      </c>
      <c r="FK322" s="23">
        <f t="shared" si="779"/>
        <v>0.8</v>
      </c>
      <c r="FL322" s="23">
        <f t="shared" si="779"/>
        <v>0.8</v>
      </c>
      <c r="FM322" s="23">
        <f t="shared" si="923"/>
        <v>1</v>
      </c>
      <c r="FN322" s="23"/>
      <c r="FX322" s="4">
        <f t="shared" si="833"/>
        <v>1</v>
      </c>
      <c r="FY322" s="4">
        <f t="shared" si="890"/>
        <v>0.83333333333333326</v>
      </c>
      <c r="FZ322" s="4">
        <f t="shared" si="834"/>
        <v>0</v>
      </c>
      <c r="GA322" s="4">
        <f t="shared" si="835"/>
        <v>311.01822783775748</v>
      </c>
    </row>
    <row r="323" spans="1:183" ht="12" hidden="1" customHeight="1" x14ac:dyDescent="0.3">
      <c r="A323" s="25">
        <v>305</v>
      </c>
      <c r="B323" s="4" t="s">
        <v>605</v>
      </c>
      <c r="C323" s="4">
        <v>2016</v>
      </c>
      <c r="D323" s="4" t="s">
        <v>309</v>
      </c>
      <c r="E323" s="24" t="s">
        <v>669</v>
      </c>
      <c r="F323" s="7" t="s">
        <v>466</v>
      </c>
      <c r="G323" s="38">
        <f>120/0.145</f>
        <v>827.58620689655174</v>
      </c>
      <c r="H323" s="38">
        <f>9.58*25.4</f>
        <v>243.33199999999999</v>
      </c>
      <c r="I323" s="4">
        <f t="shared" si="985"/>
        <v>243.33199999999999</v>
      </c>
      <c r="J323" s="38">
        <f>9040/145</f>
        <v>62.344827586206897</v>
      </c>
      <c r="K323" s="38">
        <f t="shared" si="986"/>
        <v>25.4</v>
      </c>
      <c r="L323" s="7">
        <f t="shared" si="987"/>
        <v>9.58</v>
      </c>
      <c r="M323" s="7">
        <f t="shared" si="988"/>
        <v>9.58</v>
      </c>
      <c r="N323" s="38">
        <f>14*25.4</f>
        <v>355.59999999999997</v>
      </c>
      <c r="O323" s="38">
        <f t="shared" si="999"/>
        <v>63.5</v>
      </c>
      <c r="P323" s="39">
        <f>3.2*25.4</f>
        <v>81.28</v>
      </c>
      <c r="Q323" s="7">
        <f t="shared" si="989"/>
        <v>76.199999999999989</v>
      </c>
      <c r="R323" s="38">
        <v>3</v>
      </c>
      <c r="S323" s="4">
        <f t="shared" si="966"/>
        <v>260.34999999999997</v>
      </c>
      <c r="T323" s="7">
        <f t="shared" si="990"/>
        <v>1.9999999999999998</v>
      </c>
      <c r="U323" s="7">
        <f t="shared" si="859"/>
        <v>3</v>
      </c>
      <c r="V323" s="38">
        <v>9.5</v>
      </c>
      <c r="W323" s="4">
        <f t="shared" si="991"/>
        <v>9.5</v>
      </c>
      <c r="X323" s="4">
        <f t="shared" si="992"/>
        <v>10.5</v>
      </c>
      <c r="Y323" s="7">
        <f t="shared" si="993"/>
        <v>82.305406869779816</v>
      </c>
      <c r="AB323" s="38">
        <f t="shared" si="786"/>
        <v>452.41379310344826</v>
      </c>
      <c r="AC323" s="4">
        <v>65.599999999999994</v>
      </c>
      <c r="AD323" s="4">
        <f t="shared" si="899"/>
        <v>0.96079814882500592</v>
      </c>
      <c r="AE323" s="38">
        <f>0.375*25.4</f>
        <v>9.5249999999999986</v>
      </c>
      <c r="AF323" s="38">
        <v>4</v>
      </c>
      <c r="AG323" s="39">
        <f>6*25.4</f>
        <v>152.39999999999998</v>
      </c>
      <c r="AH323" s="39">
        <v>1</v>
      </c>
      <c r="AI323" s="39">
        <v>1</v>
      </c>
      <c r="AJ323" s="7"/>
      <c r="AK323" s="4">
        <f t="shared" si="994"/>
        <v>243.33199999999999</v>
      </c>
      <c r="AL323" s="4">
        <f t="shared" si="910"/>
        <v>0.48712595685455812</v>
      </c>
      <c r="AM323" s="4">
        <f t="shared" si="911"/>
        <v>197.16075989632159</v>
      </c>
      <c r="AN323" s="4">
        <f t="shared" si="912"/>
        <v>0.76263048016701451</v>
      </c>
      <c r="AO323" s="4">
        <v>1.25</v>
      </c>
      <c r="AP323" s="4">
        <f t="shared" si="844"/>
        <v>2.5</v>
      </c>
      <c r="AQ323" s="38">
        <f t="shared" si="967"/>
        <v>228.88953438778191</v>
      </c>
      <c r="AR323" s="38">
        <f t="shared" si="913"/>
        <v>228.88953438778191</v>
      </c>
      <c r="AS323" s="38">
        <f t="shared" si="914"/>
        <v>4.4175343619879603</v>
      </c>
      <c r="AT323" s="38">
        <f t="shared" si="853"/>
        <v>228.88953438778174</v>
      </c>
      <c r="AU323" s="38">
        <f t="shared" si="820"/>
        <v>1.0000000000000007</v>
      </c>
      <c r="AV323" s="38">
        <f t="shared" si="954"/>
        <v>4.0297446980759695</v>
      </c>
      <c r="AW323" s="4">
        <f t="shared" si="940"/>
        <v>0</v>
      </c>
      <c r="AX323" s="4">
        <f t="shared" si="995"/>
        <v>398.1182828760659</v>
      </c>
      <c r="AY323" s="4">
        <f t="shared" si="968"/>
        <v>1.2000000000000002</v>
      </c>
      <c r="AZ323" s="38">
        <f t="shared" si="837"/>
        <v>922.36638764424072</v>
      </c>
      <c r="BA323" s="4">
        <f t="shared" si="969"/>
        <v>0.3</v>
      </c>
      <c r="BB323" s="4">
        <f t="shared" si="970"/>
        <v>62.405040840823332</v>
      </c>
      <c r="BC323" s="4">
        <f t="shared" si="971"/>
        <v>984.77142848506401</v>
      </c>
      <c r="BE323" s="4">
        <f t="shared" si="854"/>
        <v>1.5</v>
      </c>
      <c r="BF323" s="4">
        <f t="shared" si="860"/>
        <v>695.70546574112018</v>
      </c>
      <c r="BH323" s="4">
        <f t="shared" si="861"/>
        <v>884.6621638098693</v>
      </c>
      <c r="BI323" s="4">
        <f t="shared" si="806"/>
        <v>0</v>
      </c>
      <c r="BJ323" s="4">
        <f t="shared" si="862"/>
        <v>0</v>
      </c>
      <c r="BR323" s="4">
        <f t="shared" si="972"/>
        <v>38.099999999999994</v>
      </c>
      <c r="BV323" s="9"/>
      <c r="BX323" s="9"/>
      <c r="BY323" s="9"/>
      <c r="BZ323" s="9">
        <f t="shared" si="973"/>
        <v>38.099999999999994</v>
      </c>
      <c r="CA323" s="9">
        <f t="shared" si="974"/>
        <v>63.5</v>
      </c>
      <c r="CB323" s="9">
        <f t="shared" si="821"/>
        <v>1.3222785168171165</v>
      </c>
      <c r="CC323" s="40">
        <f t="shared" si="996"/>
        <v>20</v>
      </c>
      <c r="CD323" s="9">
        <f t="shared" si="975"/>
        <v>4.9087385212340517E-2</v>
      </c>
      <c r="CE323" s="9">
        <f t="shared" si="976"/>
        <v>0.78174770424681028</v>
      </c>
      <c r="CF323" s="9">
        <f t="shared" si="977"/>
        <v>0.99524931562137331</v>
      </c>
      <c r="CG323" s="9">
        <f t="shared" si="978"/>
        <v>0.68</v>
      </c>
      <c r="CH323" s="9">
        <f t="shared" si="822"/>
        <v>1.8702904607807274</v>
      </c>
      <c r="CI323" s="9">
        <f t="shared" si="823"/>
        <v>3.9351401704883844</v>
      </c>
      <c r="CJ323" s="40">
        <v>1</v>
      </c>
      <c r="CK323" s="9">
        <f t="shared" si="824"/>
        <v>386.90298156241795</v>
      </c>
      <c r="CM323" s="4">
        <f t="shared" si="979"/>
        <v>1.1363803486620696</v>
      </c>
      <c r="CN323" s="4">
        <f t="shared" si="980"/>
        <v>0.45940995038759902</v>
      </c>
      <c r="CO323" s="4">
        <f t="shared" si="946"/>
        <v>0.65029501043448246</v>
      </c>
      <c r="CP323" s="4">
        <f t="shared" si="981"/>
        <v>1.1693210304983437</v>
      </c>
      <c r="CQ323" s="4">
        <f t="shared" si="921"/>
        <v>0.96079814882500592</v>
      </c>
      <c r="CR323" s="4">
        <f t="shared" si="922"/>
        <v>0.93212965513993562</v>
      </c>
      <c r="CS323" s="4">
        <f t="shared" si="947"/>
        <v>1.1355499502132003</v>
      </c>
      <c r="CT323" s="4">
        <f t="shared" si="997"/>
        <v>4</v>
      </c>
      <c r="DA323" s="4">
        <f t="shared" ref="DA323:DB323" si="1026">CM323</f>
        <v>1.1363803486620696</v>
      </c>
      <c r="DB323" s="4">
        <f t="shared" si="1026"/>
        <v>0.45940995038759902</v>
      </c>
      <c r="DC323" s="4">
        <f t="shared" ref="DC323" si="1027">CP323</f>
        <v>1.1693210304983437</v>
      </c>
      <c r="DD323" s="4">
        <f t="shared" ref="DD323" si="1028">CS323</f>
        <v>1.1355499502132003</v>
      </c>
      <c r="DE323" s="4">
        <f t="shared" ref="DE323:DF323" si="1029">CQ323</f>
        <v>0.96079814882500592</v>
      </c>
      <c r="DF323" s="4">
        <f t="shared" si="1029"/>
        <v>0.93212965513993562</v>
      </c>
      <c r="DI323" s="4">
        <f t="shared" si="982"/>
        <v>243.33199999999999</v>
      </c>
      <c r="DL323" s="4">
        <f t="shared" si="900"/>
        <v>2.1100385912136846E-5</v>
      </c>
      <c r="DM323" s="4">
        <f t="shared" si="1009"/>
        <v>9.0106843469076061</v>
      </c>
      <c r="DN323" s="4">
        <f t="shared" si="901"/>
        <v>0.12376480017919407</v>
      </c>
      <c r="DO323" s="4">
        <f t="shared" si="902"/>
        <v>3.906579207130604</v>
      </c>
      <c r="DP323" s="4">
        <f t="shared" si="903"/>
        <v>6.951156618432341</v>
      </c>
      <c r="DQ323" s="4">
        <f t="shared" si="904"/>
        <v>8.5249832580180538</v>
      </c>
      <c r="DR323" s="38">
        <f t="shared" si="915"/>
        <v>470.87288173558733</v>
      </c>
      <c r="DS323" s="4">
        <f t="shared" si="829"/>
        <v>1.0000936867373067</v>
      </c>
      <c r="DT323" s="4">
        <f t="shared" si="905"/>
        <v>3.2403703492039297</v>
      </c>
      <c r="DU323" s="4">
        <f t="shared" si="842"/>
        <v>228.88953438778174</v>
      </c>
      <c r="DY323" s="4">
        <f t="shared" si="785"/>
        <v>0.85</v>
      </c>
      <c r="DZ323" s="4">
        <f t="shared" si="830"/>
        <v>0.95</v>
      </c>
      <c r="EA323" s="4">
        <f t="shared" si="916"/>
        <v>0.99062499999999998</v>
      </c>
      <c r="EB323" s="4">
        <f t="shared" si="831"/>
        <v>0.94109374999999995</v>
      </c>
      <c r="ED323" s="4">
        <f t="shared" si="917"/>
        <v>485.35500464850008</v>
      </c>
      <c r="EE323" s="25">
        <f t="shared" si="918"/>
        <v>226.38793651837554</v>
      </c>
      <c r="EG323" s="4">
        <f t="shared" si="843"/>
        <v>0.79992968749999993</v>
      </c>
      <c r="EH323" s="4">
        <f t="shared" si="919"/>
        <v>9.0106843469076061</v>
      </c>
      <c r="EK323" s="4">
        <f t="shared" si="906"/>
        <v>82.305406869779816</v>
      </c>
      <c r="EL323" s="4">
        <f t="shared" si="907"/>
        <v>3.2403703492039302</v>
      </c>
      <c r="EM323" s="4">
        <f t="shared" si="908"/>
        <v>5.3435837996056383E-2</v>
      </c>
      <c r="EP323" s="4">
        <f t="shared" si="998"/>
        <v>5.3435837996056383E-2</v>
      </c>
      <c r="EQ323" s="4">
        <f t="shared" si="960"/>
        <v>0.1235582597943181</v>
      </c>
      <c r="ER323" s="4">
        <f t="shared" si="1010"/>
        <v>3.9039701593734981</v>
      </c>
      <c r="ES323" s="4">
        <f t="shared" si="983"/>
        <v>6.9504388324651538</v>
      </c>
      <c r="ET323" s="4">
        <f t="shared" si="1011"/>
        <v>100.19359313022018</v>
      </c>
      <c r="EU323" s="4">
        <f t="shared" si="1012"/>
        <v>60.833000000000013</v>
      </c>
      <c r="EV323" s="4">
        <f t="shared" si="832"/>
        <v>2.1100385912136853E-5</v>
      </c>
      <c r="EW323" s="4">
        <f t="shared" si="984"/>
        <v>8.5250910149896661</v>
      </c>
      <c r="EX323" s="4">
        <f t="shared" si="867"/>
        <v>470.8287713241719</v>
      </c>
      <c r="FG323" s="23">
        <f t="shared" ref="FG323:FH386" si="1030">IF(CM323&lt;0.6,0.6,IF(CM323&lt;0.8,0.8,IF(CM323&lt;1,1,IF(CM323&lt;1.2,1.2,IF(CM323&lt;1.4,1.4,IF(CM323&lt;1.6,1.6,IF(CM323&lt;1.8,1.8,IF(CM323&lt;2,2,2.2))))))))</f>
        <v>1.2</v>
      </c>
      <c r="FH323" s="23">
        <f t="shared" si="1030"/>
        <v>0.6</v>
      </c>
      <c r="FI323" s="23">
        <f t="shared" si="952"/>
        <v>1.2</v>
      </c>
      <c r="FJ323" s="23">
        <f t="shared" ref="FJ323:FL386" si="1031">IF(CP323&lt;0.6,0.6,IF(CP323&lt;0.8,0.8,IF(CP323&lt;1,1,IF(CP323&lt;1.2,1.2,IF(CP323&lt;1.4,1.4,IF(CP323&lt;1.6,1.6,IF(CP323&lt;1.8,1.8,IF(CP323&lt;2,2,2.2))))))))</f>
        <v>1.2</v>
      </c>
      <c r="FK323" s="23">
        <f t="shared" si="1031"/>
        <v>1</v>
      </c>
      <c r="FL323" s="23">
        <f t="shared" si="1031"/>
        <v>1</v>
      </c>
      <c r="FM323" s="23">
        <f t="shared" si="923"/>
        <v>0</v>
      </c>
      <c r="FN323" s="23"/>
      <c r="FX323" s="4">
        <f t="shared" si="833"/>
        <v>1</v>
      </c>
      <c r="FY323" s="4">
        <f t="shared" si="890"/>
        <v>0.67375000000000007</v>
      </c>
      <c r="FZ323" s="4">
        <f t="shared" si="834"/>
        <v>9.3749999999999986E-2</v>
      </c>
      <c r="GA323" s="4">
        <f t="shared" si="835"/>
        <v>398.40941652853513</v>
      </c>
    </row>
    <row r="324" spans="1:183" ht="12" hidden="1" customHeight="1" x14ac:dyDescent="0.3">
      <c r="A324" s="25">
        <v>306</v>
      </c>
      <c r="B324" s="4" t="s">
        <v>605</v>
      </c>
      <c r="C324" s="4">
        <v>2016</v>
      </c>
      <c r="D324" s="4" t="s">
        <v>309</v>
      </c>
      <c r="E324" s="24" t="s">
        <v>669</v>
      </c>
      <c r="F324" s="7" t="s">
        <v>467</v>
      </c>
      <c r="G324" s="38">
        <f t="shared" ref="G324:G334" si="1032">120/0.145</f>
        <v>827.58620689655174</v>
      </c>
      <c r="H324" s="38">
        <f>9.5*25.4</f>
        <v>241.29999999999998</v>
      </c>
      <c r="I324" s="4">
        <f t="shared" si="985"/>
        <v>241.29999999999998</v>
      </c>
      <c r="J324" s="38">
        <f>9940/145</f>
        <v>68.551724137931032</v>
      </c>
      <c r="K324" s="38">
        <f t="shared" si="986"/>
        <v>25.4</v>
      </c>
      <c r="L324" s="7">
        <f t="shared" si="987"/>
        <v>9.5</v>
      </c>
      <c r="M324" s="7">
        <f t="shared" si="988"/>
        <v>9.5</v>
      </c>
      <c r="N324" s="38">
        <f>16*25.4</f>
        <v>406.4</v>
      </c>
      <c r="O324" s="38">
        <f t="shared" si="999"/>
        <v>63.5</v>
      </c>
      <c r="P324" s="39">
        <f>3.3*25.4</f>
        <v>83.82</v>
      </c>
      <c r="Q324" s="7">
        <f t="shared" si="989"/>
        <v>101.6</v>
      </c>
      <c r="R324" s="38">
        <v>3</v>
      </c>
      <c r="S324" s="4">
        <f t="shared" si="966"/>
        <v>260.34999999999997</v>
      </c>
      <c r="T324" s="7">
        <f t="shared" si="990"/>
        <v>2.5</v>
      </c>
      <c r="U324" s="7">
        <f t="shared" si="859"/>
        <v>3</v>
      </c>
      <c r="V324" s="38">
        <v>9.5</v>
      </c>
      <c r="W324" s="4">
        <f t="shared" si="991"/>
        <v>9.5</v>
      </c>
      <c r="X324" s="4">
        <f t="shared" si="992"/>
        <v>10.5</v>
      </c>
      <c r="Y324" s="7">
        <f t="shared" si="993"/>
        <v>82.305406869779816</v>
      </c>
      <c r="AB324" s="38">
        <f t="shared" si="786"/>
        <v>388.27586206896552</v>
      </c>
      <c r="AC324" s="4">
        <v>56.3</v>
      </c>
      <c r="AD324" s="4">
        <f t="shared" si="899"/>
        <v>0.72179535196685451</v>
      </c>
      <c r="AE324" s="38"/>
      <c r="AF324" s="38"/>
      <c r="AG324" s="39">
        <v>1</v>
      </c>
      <c r="AH324" s="39"/>
      <c r="AI324" s="39"/>
      <c r="AJ324" s="7"/>
      <c r="AK324" s="4">
        <f t="shared" si="994"/>
        <v>241.29999999999998</v>
      </c>
      <c r="AL324" s="4">
        <f t="shared" si="910"/>
        <v>0.56140350877192979</v>
      </c>
      <c r="AM324" s="4">
        <f t="shared" si="911"/>
        <v>204.15809498223462</v>
      </c>
      <c r="AN324" s="4">
        <f t="shared" si="912"/>
        <v>0.76315789473684204</v>
      </c>
      <c r="AO324" s="4">
        <v>1.25</v>
      </c>
      <c r="AP324" s="4">
        <f t="shared" si="844"/>
        <v>2.5</v>
      </c>
      <c r="AQ324" s="38">
        <f t="shared" si="967"/>
        <v>273.34186308794108</v>
      </c>
      <c r="AR324" s="38">
        <f t="shared" si="913"/>
        <v>273.34186308794108</v>
      </c>
      <c r="AS324" s="38">
        <f t="shared" si="914"/>
        <v>4.5752930713880566</v>
      </c>
      <c r="AT324" s="38">
        <f t="shared" si="853"/>
        <v>273.34186308794119</v>
      </c>
      <c r="AU324" s="38">
        <f t="shared" si="820"/>
        <v>0.99999999999999956</v>
      </c>
      <c r="AV324" s="38">
        <f t="shared" si="954"/>
        <v>4.1741475281539566</v>
      </c>
      <c r="AW324" s="4">
        <f t="shared" si="940"/>
        <v>0</v>
      </c>
      <c r="AX324" s="4">
        <f t="shared" si="995"/>
        <v>413.97984292091752</v>
      </c>
      <c r="AY324" s="4">
        <f t="shared" si="968"/>
        <v>1.08</v>
      </c>
      <c r="AZ324" s="38">
        <f t="shared" si="837"/>
        <v>1140.9692621495269</v>
      </c>
      <c r="BA324" s="4">
        <f t="shared" si="969"/>
        <v>0.3</v>
      </c>
      <c r="BB324" s="4">
        <f t="shared" si="970"/>
        <v>64.891340377853822</v>
      </c>
      <c r="BC324" s="4">
        <f t="shared" si="971"/>
        <v>1205.8606025273807</v>
      </c>
      <c r="BE324" s="4">
        <f t="shared" si="854"/>
        <v>1.375</v>
      </c>
      <c r="BF324" s="4">
        <f t="shared" si="860"/>
        <v>665.99007229902611</v>
      </c>
      <c r="BH324" s="4">
        <f t="shared" si="861"/>
        <v>1094.329053849985</v>
      </c>
      <c r="BI324" s="4">
        <f t="shared" si="806"/>
        <v>0</v>
      </c>
      <c r="BJ324" s="4">
        <f t="shared" si="862"/>
        <v>0</v>
      </c>
      <c r="BR324" s="4">
        <f t="shared" si="972"/>
        <v>50.8</v>
      </c>
      <c r="BV324" s="9"/>
      <c r="BX324" s="9"/>
      <c r="BY324" s="9"/>
      <c r="BZ324" s="9">
        <f t="shared" si="973"/>
        <v>50.8</v>
      </c>
      <c r="CA324" s="9">
        <f t="shared" si="974"/>
        <v>63.5</v>
      </c>
      <c r="CB324" s="9">
        <f t="shared" si="821"/>
        <v>1.4623505735569622</v>
      </c>
      <c r="CC324" s="40">
        <f t="shared" si="996"/>
        <v>0</v>
      </c>
      <c r="CD324" s="9">
        <f t="shared" si="975"/>
        <v>0</v>
      </c>
      <c r="CE324" s="9">
        <f t="shared" si="976"/>
        <v>0</v>
      </c>
      <c r="CF324" s="9">
        <f t="shared" si="977"/>
        <v>0.99524931562137331</v>
      </c>
      <c r="CG324" s="9">
        <f t="shared" si="978"/>
        <v>0.68</v>
      </c>
      <c r="CH324" s="9">
        <f t="shared" si="822"/>
        <v>1.9611826194568933</v>
      </c>
      <c r="CI324" s="9">
        <f t="shared" si="823"/>
        <v>2.8679365284127334</v>
      </c>
      <c r="CJ324" s="40">
        <v>1</v>
      </c>
      <c r="CK324" s="9">
        <f t="shared" si="824"/>
        <v>281.05777978444786</v>
      </c>
      <c r="CM324" s="4">
        <f t="shared" si="979"/>
        <v>0.93791006665785359</v>
      </c>
      <c r="CN324" s="4">
        <f t="shared" si="980"/>
        <v>0.32199066895060052</v>
      </c>
      <c r="CO324" s="4">
        <f t="shared" si="946"/>
        <v>0.58300548044000222</v>
      </c>
      <c r="CP324" s="4">
        <f t="shared" si="981"/>
        <v>1.3814805708874047</v>
      </c>
      <c r="CQ324" s="4">
        <f t="shared" si="921"/>
        <v>0.72179535196685451</v>
      </c>
      <c r="CR324" s="4">
        <f t="shared" si="922"/>
        <v>0.70351864336481917</v>
      </c>
      <c r="CS324" s="4">
        <f t="shared" si="947"/>
        <v>1.0683429748972426</v>
      </c>
      <c r="CT324" s="4">
        <f t="shared" si="997"/>
        <v>0</v>
      </c>
      <c r="CU324" s="4">
        <f t="shared" ref="CU324:CV324" si="1033">CM324</f>
        <v>0.93791006665785359</v>
      </c>
      <c r="CV324" s="4">
        <f t="shared" si="1033"/>
        <v>0.32199066895060052</v>
      </c>
      <c r="CW324" s="4">
        <f t="shared" ref="CW324" si="1034">CP324</f>
        <v>1.3814805708874047</v>
      </c>
      <c r="CX324" s="4">
        <f t="shared" ref="CX324" si="1035">CS324</f>
        <v>1.0683429748972426</v>
      </c>
      <c r="CY324" s="4">
        <f t="shared" ref="CY324:CZ324" si="1036">CQ324</f>
        <v>0.72179535196685451</v>
      </c>
      <c r="CZ324" s="4">
        <f t="shared" si="1036"/>
        <v>0.70351864336481917</v>
      </c>
      <c r="DI324" s="4">
        <f t="shared" si="982"/>
        <v>241.29999999999998</v>
      </c>
      <c r="DL324" s="4">
        <f t="shared" si="900"/>
        <v>2.172887546527434E-5</v>
      </c>
      <c r="DM324" s="4">
        <f t="shared" si="1009"/>
        <v>9.8800042841059668</v>
      </c>
      <c r="DN324" s="4">
        <f t="shared" si="901"/>
        <v>0.13441861169554761</v>
      </c>
      <c r="DO324" s="4">
        <f t="shared" si="902"/>
        <v>4.4273198152976452</v>
      </c>
      <c r="DP324" s="4">
        <f t="shared" si="903"/>
        <v>7.6619766176459025</v>
      </c>
      <c r="DQ324" s="4">
        <f t="shared" si="904"/>
        <v>9.2787814635556796</v>
      </c>
      <c r="DR324" s="38">
        <f t="shared" si="915"/>
        <v>537.93067662590806</v>
      </c>
      <c r="DS324" s="4">
        <f t="shared" si="829"/>
        <v>1.0000930316890846</v>
      </c>
      <c r="DT324" s="4">
        <f t="shared" si="905"/>
        <v>3.2403703492039297</v>
      </c>
      <c r="DU324" s="4">
        <f t="shared" si="842"/>
        <v>273.34186308794119</v>
      </c>
      <c r="DY324" s="4">
        <f t="shared" ref="DY324:DY387" si="1037">IF(P324&gt;1*K324,0.85,1)</f>
        <v>0.85</v>
      </c>
      <c r="DZ324" s="4">
        <f t="shared" si="830"/>
        <v>0.9</v>
      </c>
      <c r="EA324" s="4">
        <f t="shared" si="916"/>
        <v>1</v>
      </c>
      <c r="EB324" s="4">
        <f t="shared" si="831"/>
        <v>0.9</v>
      </c>
      <c r="ED324" s="4">
        <f t="shared" si="917"/>
        <v>551.90557596583801</v>
      </c>
      <c r="EE324" s="25">
        <f t="shared" si="918"/>
        <v>270.32545386881799</v>
      </c>
      <c r="EG324" s="4">
        <f t="shared" si="843"/>
        <v>0.76500000000000001</v>
      </c>
      <c r="EH324" s="4">
        <f t="shared" si="919"/>
        <v>9.8800042841059668</v>
      </c>
      <c r="EK324" s="4">
        <f t="shared" si="906"/>
        <v>82.305406869779816</v>
      </c>
      <c r="EL324" s="4">
        <f t="shared" si="907"/>
        <v>3.2403703492039302</v>
      </c>
      <c r="EM324" s="4">
        <f t="shared" si="908"/>
        <v>6.0856064294171258E-2</v>
      </c>
      <c r="EP324" s="4">
        <f t="shared" si="998"/>
        <v>6.0856064294171258E-2</v>
      </c>
      <c r="EQ324" s="4">
        <f t="shared" si="960"/>
        <v>0.13419429208485137</v>
      </c>
      <c r="ER324" s="4">
        <f t="shared" si="1010"/>
        <v>4.4243629857489157</v>
      </c>
      <c r="ES324" s="4">
        <f t="shared" si="983"/>
        <v>7.6611381748751528</v>
      </c>
      <c r="ET324" s="4">
        <f t="shared" si="1011"/>
        <v>98.669593130220179</v>
      </c>
      <c r="EU324" s="4">
        <f t="shared" si="1012"/>
        <v>60.324999999999974</v>
      </c>
      <c r="EV324" s="4">
        <f t="shared" si="832"/>
        <v>2.172887546527433E-5</v>
      </c>
      <c r="EW324" s="4">
        <f t="shared" si="984"/>
        <v>9.2789196852003251</v>
      </c>
      <c r="EX324" s="4">
        <f t="shared" si="867"/>
        <v>537.88063668175164</v>
      </c>
      <c r="FG324" s="23">
        <f t="shared" si="1030"/>
        <v>1</v>
      </c>
      <c r="FH324" s="23">
        <f t="shared" si="1030"/>
        <v>0.6</v>
      </c>
      <c r="FI324" s="23">
        <f t="shared" si="952"/>
        <v>1.2</v>
      </c>
      <c r="FJ324" s="23">
        <f t="shared" si="1031"/>
        <v>1.4</v>
      </c>
      <c r="FK324" s="23">
        <f t="shared" si="1031"/>
        <v>0.8</v>
      </c>
      <c r="FL324" s="23">
        <f t="shared" si="1031"/>
        <v>0.8</v>
      </c>
      <c r="FM324" s="23">
        <f t="shared" si="923"/>
        <v>1</v>
      </c>
      <c r="FN324" s="23"/>
      <c r="FX324" s="4">
        <f t="shared" si="833"/>
        <v>1</v>
      </c>
      <c r="FY324" s="4">
        <f t="shared" si="890"/>
        <v>0.75</v>
      </c>
      <c r="FZ324" s="4">
        <f t="shared" si="834"/>
        <v>0</v>
      </c>
      <c r="GA324" s="4">
        <f t="shared" si="835"/>
        <v>363.43746455234697</v>
      </c>
    </row>
    <row r="325" spans="1:183" ht="12" hidden="1" customHeight="1" x14ac:dyDescent="0.3">
      <c r="A325" s="25">
        <v>307</v>
      </c>
      <c r="B325" s="4" t="s">
        <v>605</v>
      </c>
      <c r="C325" s="4">
        <v>2016</v>
      </c>
      <c r="D325" s="4" t="s">
        <v>309</v>
      </c>
      <c r="E325" s="24" t="s">
        <v>669</v>
      </c>
      <c r="F325" s="7" t="s">
        <v>468</v>
      </c>
      <c r="G325" s="38">
        <f t="shared" si="1032"/>
        <v>827.58620689655174</v>
      </c>
      <c r="H325" s="38">
        <f>9.42*25.4</f>
        <v>239.26799999999997</v>
      </c>
      <c r="I325" s="4">
        <f t="shared" si="985"/>
        <v>239.26799999999997</v>
      </c>
      <c r="J325" s="38">
        <f>9940/145</f>
        <v>68.551724137931032</v>
      </c>
      <c r="K325" s="38">
        <f t="shared" si="986"/>
        <v>25.4</v>
      </c>
      <c r="L325" s="7">
        <f t="shared" si="987"/>
        <v>9.42</v>
      </c>
      <c r="M325" s="7">
        <f t="shared" si="988"/>
        <v>9.42</v>
      </c>
      <c r="N325" s="38">
        <f>16*25.4</f>
        <v>406.4</v>
      </c>
      <c r="O325" s="38">
        <f t="shared" si="999"/>
        <v>63.5</v>
      </c>
      <c r="P325" s="39">
        <f>3.4*25.4</f>
        <v>86.36</v>
      </c>
      <c r="Q325" s="7">
        <f t="shared" si="989"/>
        <v>101.6</v>
      </c>
      <c r="R325" s="38">
        <v>3</v>
      </c>
      <c r="S325" s="4">
        <f t="shared" si="966"/>
        <v>260.34999999999997</v>
      </c>
      <c r="T325" s="7">
        <f t="shared" si="990"/>
        <v>2.5</v>
      </c>
      <c r="U325" s="7">
        <f t="shared" si="859"/>
        <v>3</v>
      </c>
      <c r="V325" s="38">
        <v>9.5</v>
      </c>
      <c r="W325" s="4">
        <f t="shared" si="991"/>
        <v>9.5</v>
      </c>
      <c r="X325" s="4">
        <f t="shared" si="992"/>
        <v>10.5</v>
      </c>
      <c r="Y325" s="7">
        <f t="shared" si="993"/>
        <v>82.305406869779816</v>
      </c>
      <c r="AB325" s="38">
        <f t="shared" ref="AB325:AB388" si="1038">AC325/0.145</f>
        <v>488.27586206896552</v>
      </c>
      <c r="AC325" s="4">
        <v>70.8</v>
      </c>
      <c r="AD325" s="4">
        <f t="shared" si="899"/>
        <v>0.90958443196571492</v>
      </c>
      <c r="AE325" s="38">
        <f>0.375*25.4</f>
        <v>9.5249999999999986</v>
      </c>
      <c r="AF325" s="38">
        <v>4</v>
      </c>
      <c r="AG325" s="39">
        <f>6*25.4</f>
        <v>152.39999999999998</v>
      </c>
      <c r="AH325" s="39">
        <v>1</v>
      </c>
      <c r="AI325" s="39">
        <v>1</v>
      </c>
      <c r="AJ325" s="7"/>
      <c r="AK325" s="4">
        <f t="shared" si="994"/>
        <v>239.26799999999997</v>
      </c>
      <c r="AL325" s="4">
        <f t="shared" si="910"/>
        <v>0.56617126680820962</v>
      </c>
      <c r="AM325" s="4">
        <f t="shared" si="911"/>
        <v>201.58469266666123</v>
      </c>
      <c r="AN325" s="4">
        <f t="shared" si="912"/>
        <v>0.76369426751592351</v>
      </c>
      <c r="AO325" s="4">
        <v>1.25</v>
      </c>
      <c r="AP325" s="4">
        <f t="shared" si="844"/>
        <v>2.5</v>
      </c>
      <c r="AQ325" s="38">
        <f t="shared" si="967"/>
        <v>272.37981990178423</v>
      </c>
      <c r="AR325" s="38">
        <f t="shared" si="913"/>
        <v>272.37981990178423</v>
      </c>
      <c r="AS325" s="38">
        <f t="shared" si="914"/>
        <v>4.5752930713880566</v>
      </c>
      <c r="AT325" s="38">
        <f t="shared" si="853"/>
        <v>272.37981990178383</v>
      </c>
      <c r="AU325" s="38">
        <f t="shared" si="820"/>
        <v>1.0000000000000016</v>
      </c>
      <c r="AV325" s="38">
        <f t="shared" si="954"/>
        <v>4.1888905813982245</v>
      </c>
      <c r="AW325" s="4">
        <f t="shared" si="940"/>
        <v>0</v>
      </c>
      <c r="AX325" s="4">
        <f t="shared" si="995"/>
        <v>410.49369687526774</v>
      </c>
      <c r="AY325" s="4">
        <f t="shared" si="968"/>
        <v>1.08</v>
      </c>
      <c r="AZ325" s="38">
        <f t="shared" si="837"/>
        <v>1140.9692621495269</v>
      </c>
      <c r="BA325" s="4">
        <f t="shared" si="969"/>
        <v>0.3</v>
      </c>
      <c r="BB325" s="4">
        <f t="shared" si="970"/>
        <v>64.344886985198201</v>
      </c>
      <c r="BC325" s="4">
        <f t="shared" si="971"/>
        <v>1205.3141491347251</v>
      </c>
      <c r="BE325" s="4">
        <f t="shared" si="854"/>
        <v>1.5</v>
      </c>
      <c r="BF325" s="4">
        <f t="shared" si="860"/>
        <v>723.55396945717973</v>
      </c>
      <c r="BH325" s="4">
        <f t="shared" si="861"/>
        <v>1094.329053849985</v>
      </c>
      <c r="BI325" s="4">
        <f t="shared" si="806"/>
        <v>0</v>
      </c>
      <c r="BJ325" s="4">
        <f t="shared" si="862"/>
        <v>0</v>
      </c>
      <c r="BR325" s="4">
        <f t="shared" si="972"/>
        <v>50.8</v>
      </c>
      <c r="BV325" s="9"/>
      <c r="BX325" s="9"/>
      <c r="BY325" s="9"/>
      <c r="BZ325" s="9">
        <f t="shared" si="973"/>
        <v>50.8</v>
      </c>
      <c r="CA325" s="9">
        <f t="shared" si="974"/>
        <v>63.5</v>
      </c>
      <c r="CB325" s="9">
        <f t="shared" si="821"/>
        <v>1.4623505735569622</v>
      </c>
      <c r="CC325" s="40">
        <f t="shared" si="996"/>
        <v>20</v>
      </c>
      <c r="CD325" s="9">
        <f t="shared" si="975"/>
        <v>4.9087385212340517E-2</v>
      </c>
      <c r="CE325" s="9">
        <f t="shared" si="976"/>
        <v>0.78174770424681028</v>
      </c>
      <c r="CF325" s="9">
        <f t="shared" si="977"/>
        <v>0.99524931562137331</v>
      </c>
      <c r="CG325" s="9">
        <f t="shared" si="978"/>
        <v>0.68</v>
      </c>
      <c r="CH325" s="9">
        <f t="shared" si="822"/>
        <v>1.9611826194568933</v>
      </c>
      <c r="CI325" s="9">
        <f t="shared" si="823"/>
        <v>4.4010865387819056</v>
      </c>
      <c r="CJ325" s="40">
        <v>1</v>
      </c>
      <c r="CK325" s="9">
        <f t="shared" si="824"/>
        <v>429.89813310821648</v>
      </c>
      <c r="CM325" s="4">
        <f t="shared" si="979"/>
        <v>1.1894844324913778</v>
      </c>
      <c r="CN325" s="4">
        <f t="shared" si="980"/>
        <v>0.40510257215472878</v>
      </c>
      <c r="CO325" s="4">
        <f t="shared" si="946"/>
        <v>0.67482991273653969</v>
      </c>
      <c r="CP325" s="4">
        <f t="shared" si="981"/>
        <v>1.135794330016441</v>
      </c>
      <c r="CQ325" s="4">
        <f t="shared" si="921"/>
        <v>0.90958443196571492</v>
      </c>
      <c r="CR325" s="4">
        <f t="shared" si="922"/>
        <v>0.88584801505264343</v>
      </c>
      <c r="CS325" s="4">
        <f t="shared" si="947"/>
        <v>1.1302150740598296</v>
      </c>
      <c r="CT325" s="4">
        <f t="shared" si="997"/>
        <v>4</v>
      </c>
      <c r="DA325" s="4">
        <f t="shared" ref="DA325:DB325" si="1039">CM325</f>
        <v>1.1894844324913778</v>
      </c>
      <c r="DB325" s="4">
        <f t="shared" si="1039"/>
        <v>0.40510257215472878</v>
      </c>
      <c r="DC325" s="4">
        <f t="shared" ref="DC325" si="1040">CP325</f>
        <v>1.135794330016441</v>
      </c>
      <c r="DD325" s="4">
        <f t="shared" ref="DD325" si="1041">CS325</f>
        <v>1.1302150740598296</v>
      </c>
      <c r="DE325" s="4">
        <f t="shared" ref="DE325:DF325" si="1042">CQ325</f>
        <v>0.90958443196571492</v>
      </c>
      <c r="DF325" s="4">
        <f t="shared" si="1042"/>
        <v>0.88584801505264343</v>
      </c>
      <c r="DI325" s="4">
        <f t="shared" si="982"/>
        <v>239.26799999999997</v>
      </c>
      <c r="DL325" s="4">
        <f t="shared" si="900"/>
        <v>2.154589546135624E-5</v>
      </c>
      <c r="DM325" s="4">
        <f t="shared" si="1009"/>
        <v>9.9735059019366208</v>
      </c>
      <c r="DN325" s="4">
        <f t="shared" si="901"/>
        <v>0.13394551727812634</v>
      </c>
      <c r="DO325" s="4">
        <f t="shared" si="902"/>
        <v>4.4629202110573463</v>
      </c>
      <c r="DP325" s="4">
        <f t="shared" si="903"/>
        <v>7.732702018789797</v>
      </c>
      <c r="DQ325" s="4">
        <f t="shared" si="904"/>
        <v>9.372320963877053</v>
      </c>
      <c r="DR325" s="38">
        <f t="shared" si="915"/>
        <v>536.81202635993463</v>
      </c>
      <c r="DS325" s="4">
        <f t="shared" si="829"/>
        <v>1.0000935950550178</v>
      </c>
      <c r="DT325" s="4">
        <f t="shared" si="905"/>
        <v>3.2403703492039297</v>
      </c>
      <c r="DU325" s="4">
        <f t="shared" si="842"/>
        <v>272.37981990178383</v>
      </c>
      <c r="DY325" s="4">
        <f t="shared" si="1037"/>
        <v>0.85</v>
      </c>
      <c r="DZ325" s="4">
        <f t="shared" si="830"/>
        <v>0.9</v>
      </c>
      <c r="EA325" s="4">
        <f t="shared" si="916"/>
        <v>0.99062499999999998</v>
      </c>
      <c r="EB325" s="4">
        <f t="shared" si="831"/>
        <v>0.89156250000000004</v>
      </c>
      <c r="ED325" s="4">
        <f t="shared" si="917"/>
        <v>551.19597693058972</v>
      </c>
      <c r="EE325" s="25">
        <f t="shared" si="918"/>
        <v>269.34470014186081</v>
      </c>
      <c r="EG325" s="4">
        <f t="shared" si="843"/>
        <v>0.75782812499999996</v>
      </c>
      <c r="EH325" s="4">
        <f t="shared" si="919"/>
        <v>9.9735059019366208</v>
      </c>
      <c r="EK325" s="4">
        <f t="shared" si="906"/>
        <v>82.305406869779816</v>
      </c>
      <c r="EL325" s="4">
        <f t="shared" si="907"/>
        <v>3.2403703492039302</v>
      </c>
      <c r="EM325" s="4">
        <f t="shared" si="908"/>
        <v>6.064187770259262E-2</v>
      </c>
      <c r="EP325" s="4">
        <f t="shared" si="998"/>
        <v>6.064187770259262E-2</v>
      </c>
      <c r="EQ325" s="4">
        <f t="shared" si="960"/>
        <v>0.13372198717383998</v>
      </c>
      <c r="ER325" s="4">
        <f t="shared" si="1010"/>
        <v>4.4599396054304208</v>
      </c>
      <c r="ES325" s="4">
        <f t="shared" si="983"/>
        <v>7.7318579159388037</v>
      </c>
      <c r="ET325" s="4">
        <f t="shared" si="1011"/>
        <v>97.145593130220149</v>
      </c>
      <c r="EU325" s="4">
        <f t="shared" si="1012"/>
        <v>59.817000000000021</v>
      </c>
      <c r="EV325" s="4">
        <f t="shared" si="832"/>
        <v>2.154589546135625E-5</v>
      </c>
      <c r="EW325" s="4">
        <f t="shared" si="984"/>
        <v>9.3724598533105858</v>
      </c>
      <c r="EX325" s="4">
        <f t="shared" si="867"/>
        <v>536.76178811084492</v>
      </c>
      <c r="FG325" s="23">
        <f t="shared" si="1030"/>
        <v>1.2</v>
      </c>
      <c r="FH325" s="23">
        <f t="shared" si="1030"/>
        <v>0.6</v>
      </c>
      <c r="FI325" s="23">
        <f t="shared" si="952"/>
        <v>1.2</v>
      </c>
      <c r="FJ325" s="23">
        <f t="shared" si="1031"/>
        <v>1.2</v>
      </c>
      <c r="FK325" s="23">
        <f t="shared" si="1031"/>
        <v>1</v>
      </c>
      <c r="FL325" s="23">
        <f t="shared" si="1031"/>
        <v>1</v>
      </c>
      <c r="FM325" s="23">
        <f t="shared" si="923"/>
        <v>0</v>
      </c>
      <c r="FN325" s="23"/>
      <c r="FX325" s="4">
        <f t="shared" si="833"/>
        <v>1</v>
      </c>
      <c r="FY325" s="4">
        <f t="shared" si="890"/>
        <v>0.62562499999999999</v>
      </c>
      <c r="FZ325" s="4">
        <f t="shared" si="834"/>
        <v>9.3749999999999986E-2</v>
      </c>
      <c r="GA325" s="4">
        <f t="shared" si="835"/>
        <v>432.02030593614074</v>
      </c>
    </row>
    <row r="326" spans="1:183" ht="12" hidden="1" customHeight="1" x14ac:dyDescent="0.3">
      <c r="A326" s="25">
        <v>308</v>
      </c>
      <c r="B326" s="4" t="s">
        <v>605</v>
      </c>
      <c r="C326" s="4">
        <v>2016</v>
      </c>
      <c r="D326" s="4" t="s">
        <v>309</v>
      </c>
      <c r="E326" s="24" t="s">
        <v>669</v>
      </c>
      <c r="F326" s="7" t="s">
        <v>469</v>
      </c>
      <c r="G326" s="38">
        <f t="shared" si="1032"/>
        <v>827.58620689655174</v>
      </c>
      <c r="H326" s="38">
        <f>9.5*25.4</f>
        <v>241.29999999999998</v>
      </c>
      <c r="I326" s="4">
        <f t="shared" si="985"/>
        <v>241.29999999999998</v>
      </c>
      <c r="J326" s="38">
        <f>10180/145</f>
        <v>70.206896551724142</v>
      </c>
      <c r="K326" s="38">
        <f t="shared" si="986"/>
        <v>25.4</v>
      </c>
      <c r="L326" s="7">
        <f t="shared" si="987"/>
        <v>9.5</v>
      </c>
      <c r="M326" s="7">
        <f t="shared" si="988"/>
        <v>9.5</v>
      </c>
      <c r="N326" s="38">
        <f>19.9*25.4</f>
        <v>505.45999999999992</v>
      </c>
      <c r="O326" s="38">
        <f t="shared" si="999"/>
        <v>63.5</v>
      </c>
      <c r="P326" s="39">
        <f>3.1*25.4</f>
        <v>78.739999999999995</v>
      </c>
      <c r="Q326" s="7">
        <f t="shared" si="989"/>
        <v>151.12999999999997</v>
      </c>
      <c r="R326" s="38">
        <v>3</v>
      </c>
      <c r="S326" s="4">
        <f t="shared" si="966"/>
        <v>260.34999999999997</v>
      </c>
      <c r="T326" s="7">
        <f t="shared" si="990"/>
        <v>3</v>
      </c>
      <c r="U326" s="7">
        <f t="shared" si="859"/>
        <v>3</v>
      </c>
      <c r="V326" s="38">
        <v>9.5</v>
      </c>
      <c r="W326" s="4">
        <f t="shared" si="991"/>
        <v>9.5</v>
      </c>
      <c r="X326" s="4">
        <f t="shared" si="992"/>
        <v>10.5</v>
      </c>
      <c r="Y326" s="7">
        <f t="shared" si="993"/>
        <v>82.305406869779816</v>
      </c>
      <c r="AB326" s="38">
        <f t="shared" si="1038"/>
        <v>600</v>
      </c>
      <c r="AC326" s="4">
        <v>87</v>
      </c>
      <c r="AD326" s="4">
        <f t="shared" si="899"/>
        <v>0.94633885858091515</v>
      </c>
      <c r="AE326" s="38"/>
      <c r="AF326" s="38"/>
      <c r="AG326" s="39">
        <v>1</v>
      </c>
      <c r="AH326" s="39"/>
      <c r="AI326" s="39"/>
      <c r="AJ326" s="7"/>
      <c r="AK326" s="4">
        <f t="shared" si="994"/>
        <v>241.29999999999998</v>
      </c>
      <c r="AL326" s="4">
        <f t="shared" si="910"/>
        <v>0.69824561403508767</v>
      </c>
      <c r="AM326" s="4">
        <f t="shared" si="911"/>
        <v>206.60807979855329</v>
      </c>
      <c r="AN326" s="4">
        <f t="shared" si="912"/>
        <v>0.76315789473684204</v>
      </c>
      <c r="AO326" s="4">
        <v>1.25</v>
      </c>
      <c r="AP326" s="4">
        <f t="shared" si="844"/>
        <v>2.5</v>
      </c>
      <c r="AQ326" s="38">
        <f t="shared" si="967"/>
        <v>344.04871552327177</v>
      </c>
      <c r="AR326" s="38">
        <f t="shared" si="913"/>
        <v>344.04871552327177</v>
      </c>
      <c r="AS326" s="38">
        <f t="shared" si="914"/>
        <v>4.615452125415529</v>
      </c>
      <c r="AT326" s="38">
        <f t="shared" si="853"/>
        <v>344.04871552327194</v>
      </c>
      <c r="AU326" s="38">
        <f t="shared" si="820"/>
        <v>0.99999999999999956</v>
      </c>
      <c r="AV326" s="38">
        <f t="shared" si="954"/>
        <v>3.7737479317445835</v>
      </c>
      <c r="AW326" s="4">
        <f t="shared" si="940"/>
        <v>0</v>
      </c>
      <c r="AX326" s="4">
        <f t="shared" si="995"/>
        <v>418.94777882131126</v>
      </c>
      <c r="AY326" s="4">
        <f t="shared" si="968"/>
        <v>1</v>
      </c>
      <c r="AZ326" s="38">
        <f t="shared" si="837"/>
        <v>1298.3531286253281</v>
      </c>
      <c r="BA326" s="4">
        <f t="shared" si="969"/>
        <v>0.3</v>
      </c>
      <c r="BB326" s="4">
        <f t="shared" si="970"/>
        <v>65.67006433024055</v>
      </c>
      <c r="BC326" s="4">
        <f t="shared" si="971"/>
        <v>1364.0231929555687</v>
      </c>
      <c r="BE326" s="4">
        <f t="shared" si="854"/>
        <v>1.375</v>
      </c>
      <c r="BF326" s="4">
        <f t="shared" si="860"/>
        <v>673.98223917878454</v>
      </c>
      <c r="BH326" s="4">
        <f t="shared" si="861"/>
        <v>1245.2794285929851</v>
      </c>
      <c r="BI326" s="4">
        <f t="shared" si="806"/>
        <v>0</v>
      </c>
      <c r="BJ326" s="4">
        <f t="shared" si="862"/>
        <v>0</v>
      </c>
      <c r="BR326" s="4">
        <f t="shared" si="972"/>
        <v>63.5</v>
      </c>
      <c r="BV326" s="9"/>
      <c r="BX326" s="9"/>
      <c r="BY326" s="9"/>
      <c r="BZ326" s="9">
        <f t="shared" si="973"/>
        <v>63.5</v>
      </c>
      <c r="CA326" s="9">
        <f t="shared" si="974"/>
        <v>75.564999999999984</v>
      </c>
      <c r="CB326" s="9">
        <f t="shared" si="821"/>
        <v>1.6229384464141692</v>
      </c>
      <c r="CC326" s="40">
        <f t="shared" si="996"/>
        <v>0</v>
      </c>
      <c r="CD326" s="9">
        <f t="shared" si="975"/>
        <v>0</v>
      </c>
      <c r="CE326" s="9">
        <f t="shared" si="976"/>
        <v>0</v>
      </c>
      <c r="CF326" s="9">
        <f t="shared" si="977"/>
        <v>0.99524931562137331</v>
      </c>
      <c r="CG326" s="9">
        <f t="shared" si="978"/>
        <v>0.68</v>
      </c>
      <c r="CH326" s="9">
        <f t="shared" si="822"/>
        <v>1.9847176531283015</v>
      </c>
      <c r="CI326" s="9">
        <f t="shared" si="823"/>
        <v>3.2210745845388216</v>
      </c>
      <c r="CJ326" s="40">
        <v>1</v>
      </c>
      <c r="CK326" s="9">
        <f t="shared" si="824"/>
        <v>315.66530928480449</v>
      </c>
      <c r="CM326" s="4">
        <f t="shared" si="979"/>
        <v>1.4321594010787457</v>
      </c>
      <c r="CN326" s="4">
        <f t="shared" si="980"/>
        <v>0.43987521847038291</v>
      </c>
      <c r="CO326" s="4">
        <f t="shared" si="946"/>
        <v>0.89023117394172224</v>
      </c>
      <c r="CP326" s="4">
        <f t="shared" si="981"/>
        <v>1.9007473496514582</v>
      </c>
      <c r="CQ326" s="4">
        <f t="shared" si="921"/>
        <v>0.94633885858091515</v>
      </c>
      <c r="CR326" s="4">
        <f t="shared" si="922"/>
        <v>0.93461795122954905</v>
      </c>
      <c r="CS326" s="4">
        <f t="shared" si="947"/>
        <v>1.2855169740960342</v>
      </c>
      <c r="CT326" s="4">
        <f t="shared" si="997"/>
        <v>0</v>
      </c>
      <c r="CU326" s="4">
        <f t="shared" ref="CU326:CV326" si="1043">CM326</f>
        <v>1.4321594010787457</v>
      </c>
      <c r="CV326" s="4">
        <f t="shared" si="1043"/>
        <v>0.43987521847038291</v>
      </c>
      <c r="CW326" s="4">
        <f t="shared" ref="CW326" si="1044">CP326</f>
        <v>1.9007473496514582</v>
      </c>
      <c r="CX326" s="4">
        <f t="shared" ref="CX326" si="1045">CS326</f>
        <v>1.2855169740960342</v>
      </c>
      <c r="CY326" s="4">
        <f t="shared" ref="CY326:CZ326" si="1046">CQ326</f>
        <v>0.94633885858091515</v>
      </c>
      <c r="CZ326" s="4">
        <f t="shared" si="1046"/>
        <v>0.93461795122954905</v>
      </c>
      <c r="DI326" s="4">
        <f t="shared" si="982"/>
        <v>241.29999999999998</v>
      </c>
      <c r="DL326" s="4">
        <f t="shared" si="900"/>
        <v>2.1947426995855081E-5</v>
      </c>
      <c r="DM326" s="4">
        <f t="shared" si="1009"/>
        <v>10.58671967137796</v>
      </c>
      <c r="DN326" s="4">
        <f t="shared" si="901"/>
        <v>0.16520066931841088</v>
      </c>
      <c r="DO326" s="4">
        <f t="shared" si="902"/>
        <v>5.1518846949079204</v>
      </c>
      <c r="DP326" s="4">
        <f t="shared" si="903"/>
        <v>8.3301669153224136</v>
      </c>
      <c r="DQ326" s="4">
        <f t="shared" si="904"/>
        <v>9.8693828406686102</v>
      </c>
      <c r="DR326" s="38">
        <f t="shared" si="915"/>
        <v>634.02236372257983</v>
      </c>
      <c r="DS326" s="4">
        <f t="shared" si="829"/>
        <v>1.0000934219261655</v>
      </c>
      <c r="DT326" s="4">
        <f t="shared" si="905"/>
        <v>3.2403703492039297</v>
      </c>
      <c r="DU326" s="4">
        <f t="shared" si="842"/>
        <v>344.04871552327194</v>
      </c>
      <c r="DY326" s="4">
        <f t="shared" si="1037"/>
        <v>0.85</v>
      </c>
      <c r="DZ326" s="4">
        <f t="shared" si="830"/>
        <v>0.85</v>
      </c>
      <c r="EA326" s="4">
        <f t="shared" si="916"/>
        <v>1</v>
      </c>
      <c r="EB326" s="4">
        <f t="shared" si="831"/>
        <v>0.85</v>
      </c>
      <c r="ED326" s="4">
        <f t="shared" si="917"/>
        <v>641.97354567249863</v>
      </c>
      <c r="EE326" s="25">
        <f t="shared" si="918"/>
        <v>340.25203503822672</v>
      </c>
      <c r="EG326" s="4">
        <f t="shared" si="843"/>
        <v>0.72249999999999992</v>
      </c>
      <c r="EH326" s="4">
        <f>IF(K326&lt;22.2,1.1*5*(J326/30)^0.5,IF(K326&gt;=31.8,0.9*5*(J326/30)^0.5,1*5*(J326/30)^0.5))/DY326/EB326</f>
        <v>10.58671967137796</v>
      </c>
      <c r="EK326" s="4">
        <f t="shared" si="906"/>
        <v>82.305406869779816</v>
      </c>
      <c r="EL326" s="4">
        <f t="shared" si="907"/>
        <v>3.2403703492039302</v>
      </c>
      <c r="EM326" s="4">
        <f t="shared" si="908"/>
        <v>7.5689729965875502E-2</v>
      </c>
      <c r="EP326" s="4">
        <f t="shared" si="998"/>
        <v>7.5689729965875502E-2</v>
      </c>
      <c r="EQ326" s="4">
        <f t="shared" si="960"/>
        <v>0.16492498019053781</v>
      </c>
      <c r="ER326" s="4">
        <f t="shared" si="1010"/>
        <v>5.1484439575017564</v>
      </c>
      <c r="ES326" s="4">
        <f t="shared" si="983"/>
        <v>8.3291170790317608</v>
      </c>
      <c r="ET326" s="4">
        <f t="shared" si="1011"/>
        <v>98.669593130220179</v>
      </c>
      <c r="EU326" s="4">
        <f t="shared" si="1012"/>
        <v>60.324999999999974</v>
      </c>
      <c r="EV326" s="4">
        <f t="shared" si="832"/>
        <v>2.1947426995855075E-5</v>
      </c>
      <c r="EW326" s="4">
        <f t="shared" si="984"/>
        <v>9.8695600930028586</v>
      </c>
      <c r="EX326" s="4">
        <f t="shared" si="867"/>
        <v>633.96313766514129</v>
      </c>
      <c r="FG326" s="23">
        <f t="shared" si="1030"/>
        <v>1.6</v>
      </c>
      <c r="FH326" s="23">
        <f t="shared" si="1030"/>
        <v>0.6</v>
      </c>
      <c r="FI326" s="23">
        <f t="shared" si="952"/>
        <v>1.4</v>
      </c>
      <c r="FJ326" s="23">
        <f t="shared" si="1031"/>
        <v>2</v>
      </c>
      <c r="FK326" s="23">
        <f t="shared" si="1031"/>
        <v>1</v>
      </c>
      <c r="FL326" s="23">
        <f t="shared" si="1031"/>
        <v>1</v>
      </c>
      <c r="FM326" s="23">
        <f t="shared" si="923"/>
        <v>0</v>
      </c>
      <c r="FN326" s="23"/>
      <c r="FX326" s="4">
        <f t="shared" si="833"/>
        <v>1</v>
      </c>
      <c r="FY326" s="4">
        <f t="shared" si="890"/>
        <v>0.58750000000000002</v>
      </c>
      <c r="FZ326" s="4">
        <f t="shared" si="834"/>
        <v>0</v>
      </c>
      <c r="GA326" s="4">
        <f t="shared" si="835"/>
        <v>466.73829446858565</v>
      </c>
    </row>
    <row r="327" spans="1:183" ht="12" hidden="1" customHeight="1" x14ac:dyDescent="0.3">
      <c r="A327" s="25">
        <v>309</v>
      </c>
      <c r="B327" s="4" t="s">
        <v>605</v>
      </c>
      <c r="C327" s="4">
        <v>2016</v>
      </c>
      <c r="D327" s="4" t="s">
        <v>309</v>
      </c>
      <c r="E327" s="24" t="s">
        <v>669</v>
      </c>
      <c r="F327" s="7" t="s">
        <v>470</v>
      </c>
      <c r="G327" s="38">
        <f t="shared" si="1032"/>
        <v>827.58620689655174</v>
      </c>
      <c r="H327" s="38">
        <f>9.58*25.4</f>
        <v>243.33199999999999</v>
      </c>
      <c r="I327" s="4">
        <f t="shared" si="985"/>
        <v>243.33199999999999</v>
      </c>
      <c r="J327" s="38">
        <f>10180/145</f>
        <v>70.206896551724142</v>
      </c>
      <c r="K327" s="38">
        <f t="shared" si="986"/>
        <v>25.4</v>
      </c>
      <c r="L327" s="7">
        <f t="shared" si="987"/>
        <v>9.58</v>
      </c>
      <c r="M327" s="7">
        <f t="shared" si="988"/>
        <v>9.58</v>
      </c>
      <c r="N327" s="38">
        <f>20.1*25.4</f>
        <v>510.54</v>
      </c>
      <c r="O327" s="38">
        <f t="shared" si="999"/>
        <v>63.5</v>
      </c>
      <c r="P327" s="39">
        <f>3.2*25.4</f>
        <v>81.28</v>
      </c>
      <c r="Q327" s="7">
        <f t="shared" si="989"/>
        <v>153.67000000000002</v>
      </c>
      <c r="R327" s="38">
        <v>3</v>
      </c>
      <c r="S327" s="4">
        <f t="shared" si="966"/>
        <v>260.34999999999997</v>
      </c>
      <c r="T327" s="7">
        <f t="shared" si="990"/>
        <v>3</v>
      </c>
      <c r="U327" s="7">
        <f t="shared" si="859"/>
        <v>3</v>
      </c>
      <c r="V327" s="38">
        <v>9.5</v>
      </c>
      <c r="W327" s="4">
        <f t="shared" si="991"/>
        <v>9.5</v>
      </c>
      <c r="X327" s="4">
        <f t="shared" si="992"/>
        <v>10.5</v>
      </c>
      <c r="Y327" s="7">
        <f t="shared" si="993"/>
        <v>82.305406869779816</v>
      </c>
      <c r="AB327" s="38">
        <f t="shared" si="1038"/>
        <v>590.34482758620686</v>
      </c>
      <c r="AC327" s="4">
        <v>85.6</v>
      </c>
      <c r="AD327" s="4">
        <f t="shared" si="899"/>
        <v>0.88772695202762453</v>
      </c>
      <c r="AE327" s="38">
        <f>0.5*25.4</f>
        <v>12.7</v>
      </c>
      <c r="AF327" s="38">
        <v>4</v>
      </c>
      <c r="AG327" s="39">
        <f>6*25.4</f>
        <v>152.39999999999998</v>
      </c>
      <c r="AH327" s="39">
        <v>1</v>
      </c>
      <c r="AI327" s="39">
        <v>1</v>
      </c>
      <c r="AJ327" s="7"/>
      <c r="AK327" s="4">
        <f t="shared" si="994"/>
        <v>243.33199999999999</v>
      </c>
      <c r="AL327" s="4">
        <f t="shared" si="910"/>
        <v>0.69937369519832993</v>
      </c>
      <c r="AM327" s="4">
        <f t="shared" si="911"/>
        <v>209.22335266954931</v>
      </c>
      <c r="AN327" s="4">
        <f t="shared" si="912"/>
        <v>0.76263048016701451</v>
      </c>
      <c r="AO327" s="4">
        <v>1.25</v>
      </c>
      <c r="AP327" s="4">
        <f t="shared" si="844"/>
        <v>2.5</v>
      </c>
      <c r="AQ327" s="38">
        <f t="shared" si="967"/>
        <v>348.72544023589438</v>
      </c>
      <c r="AR327" s="38">
        <f t="shared" si="913"/>
        <v>348.72544023589438</v>
      </c>
      <c r="AS327" s="38">
        <f t="shared" si="914"/>
        <v>4.615452125415529</v>
      </c>
      <c r="AT327" s="38">
        <f t="shared" si="853"/>
        <v>348.7254402358941</v>
      </c>
      <c r="AU327" s="38">
        <f t="shared" si="820"/>
        <v>1.0000000000000009</v>
      </c>
      <c r="AV327" s="38">
        <f t="shared" si="954"/>
        <v>3.7231385463218905</v>
      </c>
      <c r="AW327" s="4">
        <f t="shared" si="940"/>
        <v>0</v>
      </c>
      <c r="AX327" s="4">
        <f t="shared" si="995"/>
        <v>422.47576011664859</v>
      </c>
      <c r="AY327" s="4">
        <f t="shared" si="968"/>
        <v>1</v>
      </c>
      <c r="AZ327" s="38">
        <f t="shared" si="837"/>
        <v>1298.3531286253281</v>
      </c>
      <c r="BA327" s="4">
        <f t="shared" si="969"/>
        <v>0.3</v>
      </c>
      <c r="BB327" s="4">
        <f t="shared" si="970"/>
        <v>66.223075398284678</v>
      </c>
      <c r="BC327" s="4">
        <f t="shared" si="971"/>
        <v>1364.5762040236127</v>
      </c>
      <c r="BE327" s="4">
        <f t="shared" si="854"/>
        <v>1.5</v>
      </c>
      <c r="BF327" s="4">
        <f t="shared" si="860"/>
        <v>738.26977583891471</v>
      </c>
      <c r="BH327" s="4">
        <f t="shared" si="861"/>
        <v>1245.2794285929851</v>
      </c>
      <c r="BI327" s="4">
        <f t="shared" si="806"/>
        <v>0</v>
      </c>
      <c r="BJ327" s="4">
        <f t="shared" si="862"/>
        <v>0</v>
      </c>
      <c r="BR327" s="4">
        <f t="shared" si="972"/>
        <v>63.5</v>
      </c>
      <c r="BV327" s="9"/>
      <c r="BX327" s="9"/>
      <c r="BY327" s="9"/>
      <c r="BZ327" s="9">
        <f t="shared" si="973"/>
        <v>63.5</v>
      </c>
      <c r="CA327" s="9">
        <f t="shared" si="974"/>
        <v>76.835000000000008</v>
      </c>
      <c r="CB327" s="9">
        <f t="shared" si="821"/>
        <v>1.6270009626009634</v>
      </c>
      <c r="CC327" s="40">
        <f t="shared" si="996"/>
        <v>20</v>
      </c>
      <c r="CD327" s="9">
        <f t="shared" si="975"/>
        <v>0.05</v>
      </c>
      <c r="CE327" s="9">
        <f t="shared" si="976"/>
        <v>0.8</v>
      </c>
      <c r="CF327" s="9">
        <f t="shared" si="977"/>
        <v>0.99524931562137331</v>
      </c>
      <c r="CG327" s="9">
        <f t="shared" si="978"/>
        <v>0.68</v>
      </c>
      <c r="CH327" s="9">
        <f t="shared" si="822"/>
        <v>1.9847176531283015</v>
      </c>
      <c r="CI327" s="9">
        <f t="shared" si="823"/>
        <v>4.8169116546335129</v>
      </c>
      <c r="CJ327" s="40">
        <v>1</v>
      </c>
      <c r="CK327" s="9">
        <f t="shared" si="824"/>
        <v>473.59875388356699</v>
      </c>
      <c r="CM327" s="4">
        <f t="shared" si="979"/>
        <v>1.3973460333516139</v>
      </c>
      <c r="CN327" s="4">
        <f t="shared" si="980"/>
        <v>0.4326213705365124</v>
      </c>
      <c r="CO327" s="4">
        <f t="shared" si="946"/>
        <v>0.79963293487855847</v>
      </c>
      <c r="CP327" s="4">
        <f t="shared" si="981"/>
        <v>1.2465084055760451</v>
      </c>
      <c r="CQ327" s="4">
        <f t="shared" si="921"/>
        <v>0.88772695202762453</v>
      </c>
      <c r="CR327" s="4">
        <f t="shared" si="922"/>
        <v>0.8760822339448866</v>
      </c>
      <c r="CS327" s="4">
        <f t="shared" si="947"/>
        <v>1.0909464990682394</v>
      </c>
      <c r="CT327" s="4">
        <f t="shared" si="997"/>
        <v>4</v>
      </c>
      <c r="DA327" s="4">
        <f t="shared" ref="DA327:DB327" si="1047">CM327</f>
        <v>1.3973460333516139</v>
      </c>
      <c r="DB327" s="4">
        <f t="shared" si="1047"/>
        <v>0.4326213705365124</v>
      </c>
      <c r="DC327" s="4">
        <f t="shared" ref="DC327" si="1048">CP327</f>
        <v>1.2465084055760451</v>
      </c>
      <c r="DD327" s="4">
        <f t="shared" ref="DD327" si="1049">CS327</f>
        <v>1.0909464990682394</v>
      </c>
      <c r="DE327" s="4">
        <f t="shared" ref="DE327:DF327" si="1050">CQ327</f>
        <v>0.88772695202762453</v>
      </c>
      <c r="DF327" s="4">
        <f t="shared" si="1050"/>
        <v>0.8760822339448866</v>
      </c>
      <c r="DI327" s="4">
        <f t="shared" si="982"/>
        <v>243.33199999999999</v>
      </c>
      <c r="DL327" s="4">
        <f t="shared" si="900"/>
        <v>2.2132247433714916E-5</v>
      </c>
      <c r="DM327" s="4">
        <f t="shared" si="1009"/>
        <v>11.445102347435631</v>
      </c>
      <c r="DN327" s="4">
        <f t="shared" si="901"/>
        <v>0.16744627587900529</v>
      </c>
      <c r="DO327" s="4">
        <f>DM327*DN327^0.4</f>
        <v>5.5997659814198109</v>
      </c>
      <c r="DP327" s="4">
        <f t="shared" si="903"/>
        <v>9.0148128271126939</v>
      </c>
      <c r="DQ327" s="4">
        <f t="shared" si="904"/>
        <v>10.590826696453178</v>
      </c>
      <c r="DR327" s="38">
        <f t="shared" si="915"/>
        <v>665.00721447943192</v>
      </c>
      <c r="DS327" s="4">
        <f t="shared" si="829"/>
        <v>1.0000970659885409</v>
      </c>
      <c r="DT327" s="4">
        <f t="shared" si="905"/>
        <v>3.2403703492039297</v>
      </c>
      <c r="DU327" s="4">
        <f t="shared" si="842"/>
        <v>348.7254402358941</v>
      </c>
      <c r="DY327" s="4">
        <f t="shared" si="1037"/>
        <v>0.85</v>
      </c>
      <c r="DZ327" s="4">
        <f t="shared" si="830"/>
        <v>0.85</v>
      </c>
      <c r="EA327" s="4">
        <f t="shared" si="916"/>
        <v>0.92500000000000004</v>
      </c>
      <c r="EB327" s="4">
        <f t="shared" si="831"/>
        <v>0.78625</v>
      </c>
      <c r="ED327" s="4">
        <f t="shared" si="917"/>
        <v>673.84636363182415</v>
      </c>
      <c r="EE327" s="25">
        <f t="shared" si="918"/>
        <v>344.91412216652412</v>
      </c>
      <c r="EG327" s="4">
        <f t="shared" si="843"/>
        <v>0.66831249999999998</v>
      </c>
      <c r="EH327" s="4">
        <f t="shared" si="919"/>
        <v>11.445102347435631</v>
      </c>
      <c r="EK327" s="4">
        <f t="shared" si="906"/>
        <v>82.305406869779816</v>
      </c>
      <c r="EL327" s="4">
        <f t="shared" si="907"/>
        <v>3.2403703492039302</v>
      </c>
      <c r="EM327" s="4">
        <f t="shared" si="908"/>
        <v>7.6718595980052401E-2</v>
      </c>
      <c r="EP327" s="4">
        <f t="shared" si="998"/>
        <v>7.6718595980052401E-2</v>
      </c>
      <c r="EQ327" s="4">
        <f t="shared" si="960"/>
        <v>0.16716683925230674</v>
      </c>
      <c r="ER327" s="4">
        <f t="shared" si="1010"/>
        <v>5.5960261220442531</v>
      </c>
      <c r="ES327" s="4">
        <f t="shared" si="983"/>
        <v>9.0136663650658502</v>
      </c>
      <c r="ET327" s="4">
        <f t="shared" si="1011"/>
        <v>100.19359313022018</v>
      </c>
      <c r="EU327" s="4">
        <f t="shared" si="1012"/>
        <v>60.833000000000013</v>
      </c>
      <c r="EV327" s="4">
        <f t="shared" si="832"/>
        <v>2.213224743371492E-5</v>
      </c>
      <c r="EW327" s="4">
        <f t="shared" si="984"/>
        <v>10.591037580874655</v>
      </c>
      <c r="EX327" s="4">
        <f t="shared" si="867"/>
        <v>664.94267116173262</v>
      </c>
      <c r="FG327" s="23">
        <f t="shared" si="1030"/>
        <v>1.4</v>
      </c>
      <c r="FH327" s="23">
        <f t="shared" si="1030"/>
        <v>0.6</v>
      </c>
      <c r="FI327" s="23">
        <f t="shared" si="952"/>
        <v>1.2</v>
      </c>
      <c r="FJ327" s="23">
        <f t="shared" si="1031"/>
        <v>1.4</v>
      </c>
      <c r="FK327" s="23">
        <f t="shared" si="1031"/>
        <v>1</v>
      </c>
      <c r="FL327" s="23">
        <f t="shared" si="1031"/>
        <v>1</v>
      </c>
      <c r="FM327" s="23">
        <f t="shared" si="923"/>
        <v>0</v>
      </c>
      <c r="FN327" s="23"/>
      <c r="FX327" s="4">
        <f t="shared" si="833"/>
        <v>1</v>
      </c>
      <c r="FY327" s="4">
        <f t="shared" si="890"/>
        <v>0.51100000000000001</v>
      </c>
      <c r="FZ327" s="4">
        <f t="shared" si="834"/>
        <v>0.16666666666666669</v>
      </c>
      <c r="GA327" s="4">
        <f t="shared" si="835"/>
        <v>541.13086947014483</v>
      </c>
    </row>
    <row r="328" spans="1:183" ht="12" hidden="1" customHeight="1" x14ac:dyDescent="0.3">
      <c r="A328" s="25">
        <v>310</v>
      </c>
      <c r="B328" s="4" t="s">
        <v>605</v>
      </c>
      <c r="C328" s="4">
        <v>2016</v>
      </c>
      <c r="D328" s="4" t="s">
        <v>309</v>
      </c>
      <c r="E328" s="24" t="s">
        <v>669</v>
      </c>
      <c r="F328" s="7" t="s">
        <v>471</v>
      </c>
      <c r="G328" s="38">
        <f t="shared" si="1032"/>
        <v>827.58620689655174</v>
      </c>
      <c r="H328" s="38">
        <f>14.38*25.4</f>
        <v>365.25200000000001</v>
      </c>
      <c r="I328" s="4">
        <f t="shared" si="985"/>
        <v>365.25200000000001</v>
      </c>
      <c r="J328" s="38">
        <f>10180/145</f>
        <v>70.206896551724142</v>
      </c>
      <c r="K328" s="38">
        <f t="shared" si="986"/>
        <v>25.4</v>
      </c>
      <c r="L328" s="7">
        <f t="shared" si="987"/>
        <v>14.38</v>
      </c>
      <c r="M328" s="7">
        <f t="shared" si="988"/>
        <v>14.38</v>
      </c>
      <c r="N328" s="38">
        <f>17.1*25.4</f>
        <v>434.34000000000003</v>
      </c>
      <c r="O328" s="38">
        <f t="shared" si="999"/>
        <v>63.5</v>
      </c>
      <c r="P328" s="39">
        <f>3.45*25.4</f>
        <v>87.63</v>
      </c>
      <c r="Q328" s="7">
        <f t="shared" si="989"/>
        <v>256.54000000000002</v>
      </c>
      <c r="R328" s="38">
        <v>2</v>
      </c>
      <c r="S328" s="4">
        <f t="shared" si="966"/>
        <v>260.34999999999997</v>
      </c>
      <c r="T328" s="7">
        <f t="shared" si="990"/>
        <v>3</v>
      </c>
      <c r="U328" s="7">
        <f t="shared" si="859"/>
        <v>3</v>
      </c>
      <c r="V328" s="38">
        <v>9.5</v>
      </c>
      <c r="W328" s="4">
        <f t="shared" si="991"/>
        <v>9.5</v>
      </c>
      <c r="X328" s="4">
        <f t="shared" si="992"/>
        <v>10.5</v>
      </c>
      <c r="Y328" s="7">
        <f t="shared" si="993"/>
        <v>82.305406869779816</v>
      </c>
      <c r="AB328" s="38">
        <f t="shared" si="1038"/>
        <v>1037.2413793103449</v>
      </c>
      <c r="AC328" s="4">
        <v>150.4</v>
      </c>
      <c r="AD328" s="4">
        <f t="shared" si="899"/>
        <v>1.040321922403797</v>
      </c>
      <c r="AE328" s="38"/>
      <c r="AF328" s="38"/>
      <c r="AG328" s="39">
        <v>1</v>
      </c>
      <c r="AH328" s="39"/>
      <c r="AI328" s="39"/>
      <c r="AJ328" s="7"/>
      <c r="AK328" s="4">
        <f t="shared" si="994"/>
        <v>365.25200000000001</v>
      </c>
      <c r="AL328" s="4">
        <f t="shared" si="910"/>
        <v>0.39638386648122398</v>
      </c>
      <c r="AM328" s="4">
        <f t="shared" si="911"/>
        <v>577.15369660722865</v>
      </c>
      <c r="AN328" s="4">
        <f t="shared" si="912"/>
        <v>0.74172461752433927</v>
      </c>
      <c r="AO328" s="4">
        <v>1.25</v>
      </c>
      <c r="AP328" s="4">
        <f t="shared" si="844"/>
        <v>2.5</v>
      </c>
      <c r="AQ328" s="38">
        <f t="shared" si="967"/>
        <v>530.27379558238545</v>
      </c>
      <c r="AR328" s="38">
        <f t="shared" si="913"/>
        <v>530.27379558238545</v>
      </c>
      <c r="AS328" s="38">
        <f t="shared" si="914"/>
        <v>4.615452125415529</v>
      </c>
      <c r="AT328" s="38">
        <f t="shared" si="853"/>
        <v>530.27379558238556</v>
      </c>
      <c r="AU328" s="38">
        <f t="shared" si="820"/>
        <v>0.99999999999999978</v>
      </c>
      <c r="AV328" s="38">
        <f t="shared" si="954"/>
        <v>2.4484580219533223</v>
      </c>
      <c r="AW328" s="4">
        <f t="shared" si="940"/>
        <v>0</v>
      </c>
      <c r="AX328" s="4">
        <f t="shared" si="995"/>
        <v>634.15463783689006</v>
      </c>
      <c r="AY328" s="4">
        <f t="shared" si="968"/>
        <v>1</v>
      </c>
      <c r="AZ328" s="38">
        <f t="shared" si="837"/>
        <v>1298.3531286253281</v>
      </c>
      <c r="BA328" s="4">
        <f t="shared" si="969"/>
        <v>0.3</v>
      </c>
      <c r="BB328" s="4">
        <f t="shared" si="970"/>
        <v>99.403739480932543</v>
      </c>
      <c r="BC328" s="4">
        <f t="shared" si="971"/>
        <v>1397.7568681062605</v>
      </c>
      <c r="BE328" s="4">
        <f t="shared" si="854"/>
        <v>1.375</v>
      </c>
      <c r="BF328" s="4">
        <f t="shared" si="860"/>
        <v>842.65061493224437</v>
      </c>
      <c r="BH328" s="4">
        <f t="shared" si="861"/>
        <v>1245.2794285929851</v>
      </c>
      <c r="BI328" s="4">
        <f t="shared" si="806"/>
        <v>0</v>
      </c>
      <c r="BJ328" s="4">
        <f t="shared" si="862"/>
        <v>0</v>
      </c>
      <c r="BR328" s="4">
        <f t="shared" si="972"/>
        <v>63.5</v>
      </c>
      <c r="BV328" s="9"/>
      <c r="BX328" s="9"/>
      <c r="BY328" s="9"/>
      <c r="BZ328" s="9">
        <f t="shared" si="973"/>
        <v>63.5</v>
      </c>
      <c r="CA328" s="9">
        <f t="shared" si="974"/>
        <v>128.27000000000001</v>
      </c>
      <c r="CB328" s="9">
        <f t="shared" si="821"/>
        <v>1.7570038363154448</v>
      </c>
      <c r="CC328" s="40">
        <f t="shared" si="996"/>
        <v>0</v>
      </c>
      <c r="CD328" s="9">
        <f t="shared" si="975"/>
        <v>0</v>
      </c>
      <c r="CE328" s="9">
        <f t="shared" si="976"/>
        <v>0</v>
      </c>
      <c r="CF328" s="9">
        <f t="shared" si="977"/>
        <v>0.99524931562137331</v>
      </c>
      <c r="CG328" s="9">
        <f t="shared" si="978"/>
        <v>0.68</v>
      </c>
      <c r="CH328" s="9">
        <f t="shared" si="822"/>
        <v>1.9847176531283015</v>
      </c>
      <c r="CI328" s="9">
        <f t="shared" si="823"/>
        <v>3.4871565305494121</v>
      </c>
      <c r="CJ328" s="40">
        <v>1</v>
      </c>
      <c r="CK328" s="9">
        <f t="shared" si="824"/>
        <v>409.81063547016691</v>
      </c>
      <c r="CM328" s="47">
        <f t="shared" si="979"/>
        <v>1.6356284688674503</v>
      </c>
      <c r="CN328" s="47">
        <f t="shared" si="980"/>
        <v>0.74207568066944496</v>
      </c>
      <c r="CO328" s="47">
        <f t="shared" si="946"/>
        <v>1.23092698317647</v>
      </c>
      <c r="CP328" s="47">
        <f t="shared" si="981"/>
        <v>2.5310260142964327</v>
      </c>
      <c r="CQ328" s="47">
        <f t="shared" si="921"/>
        <v>1.040321922403797</v>
      </c>
      <c r="CR328" s="47">
        <f t="shared" si="922"/>
        <v>1.0546620803021731</v>
      </c>
      <c r="CS328" s="47">
        <f t="shared" si="947"/>
        <v>1.2494913437411292</v>
      </c>
      <c r="CT328" s="4">
        <f t="shared" si="997"/>
        <v>0</v>
      </c>
      <c r="CU328" s="4">
        <f t="shared" ref="CU328:CV329" si="1051">CM328</f>
        <v>1.6356284688674503</v>
      </c>
      <c r="CV328" s="4">
        <f t="shared" si="1051"/>
        <v>0.74207568066944496</v>
      </c>
      <c r="CW328" s="4">
        <f t="shared" ref="CW328:CW329" si="1052">CP328</f>
        <v>2.5310260142964327</v>
      </c>
      <c r="CX328" s="4">
        <f t="shared" ref="CX328:CX329" si="1053">CS328</f>
        <v>1.2494913437411292</v>
      </c>
      <c r="CY328" s="4">
        <f t="shared" ref="CY328:CZ329" si="1054">CQ328</f>
        <v>1.040321922403797</v>
      </c>
      <c r="CZ328" s="4">
        <f t="shared" si="1054"/>
        <v>1.0546620803021731</v>
      </c>
      <c r="DI328" s="4">
        <f t="shared" si="982"/>
        <v>365.25200000000001</v>
      </c>
      <c r="DL328" s="4">
        <f t="shared" si="900"/>
        <v>3.3221473705304853E-5</v>
      </c>
      <c r="DM328" s="4">
        <f>EH328</f>
        <v>10.58671967137796</v>
      </c>
      <c r="DN328" s="4">
        <f t="shared" si="901"/>
        <v>0.25461971517315196</v>
      </c>
      <c r="DO328" s="4">
        <f t="shared" si="902"/>
        <v>6.1251710982379599</v>
      </c>
      <c r="DP328" s="4">
        <f t="shared" si="903"/>
        <v>8.6505511105408353</v>
      </c>
      <c r="DQ328" s="4">
        <f t="shared" si="904"/>
        <v>8.7839326485591478</v>
      </c>
      <c r="DR328" s="38">
        <f t="shared" si="915"/>
        <v>997.03885592804386</v>
      </c>
      <c r="DS328" s="4">
        <f t="shared" si="829"/>
        <v>1.0000907512390866</v>
      </c>
      <c r="DT328" s="4">
        <f t="shared" si="905"/>
        <v>3.2403703492039297</v>
      </c>
      <c r="DU328" s="4">
        <f t="shared" si="842"/>
        <v>530.27379558238556</v>
      </c>
      <c r="DY328" s="4">
        <f t="shared" si="1037"/>
        <v>0.85</v>
      </c>
      <c r="DZ328" s="4">
        <f t="shared" si="830"/>
        <v>0.85</v>
      </c>
      <c r="EA328" s="4">
        <f t="shared" si="916"/>
        <v>1</v>
      </c>
      <c r="EB328" s="4">
        <f t="shared" si="831"/>
        <v>0.85</v>
      </c>
      <c r="ED328" s="4">
        <f t="shared" si="917"/>
        <v>983.4821965090116</v>
      </c>
      <c r="EE328" s="25">
        <f t="shared" si="918"/>
        <v>526.77110988576635</v>
      </c>
      <c r="EG328" s="4">
        <f t="shared" si="843"/>
        <v>0.72249999999999992</v>
      </c>
      <c r="EH328" s="4">
        <f t="shared" si="919"/>
        <v>10.58671967137796</v>
      </c>
      <c r="EK328" s="4">
        <f t="shared" si="906"/>
        <v>82.305406869779816</v>
      </c>
      <c r="EL328" s="4">
        <f t="shared" si="907"/>
        <v>3.2403703492039302</v>
      </c>
      <c r="EM328" s="4">
        <f t="shared" si="908"/>
        <v>0.11665871309697058</v>
      </c>
      <c r="EP328" s="4">
        <f t="shared" si="998"/>
        <v>0.11665871309697058</v>
      </c>
      <c r="EQ328" s="4">
        <f t="shared" si="960"/>
        <v>0.25419480232319203</v>
      </c>
      <c r="ER328" s="4">
        <f t="shared" si="1010"/>
        <v>6.121080341832311</v>
      </c>
      <c r="ES328" s="4">
        <f t="shared" si="983"/>
        <v>8.6491111428603649</v>
      </c>
      <c r="ET328" s="4">
        <f t="shared" si="1011"/>
        <v>191.63359313022022</v>
      </c>
      <c r="EU328" s="4">
        <f t="shared" si="1012"/>
        <v>91.312999999999988</v>
      </c>
      <c r="EV328" s="4">
        <f t="shared" si="832"/>
        <v>3.3221473705304853E-5</v>
      </c>
      <c r="EW328" s="4">
        <f t="shared" si="984"/>
        <v>8.7843501766221426</v>
      </c>
      <c r="EX328" s="4">
        <f t="shared" si="867"/>
        <v>996.94838162710585</v>
      </c>
      <c r="FG328" s="23">
        <f t="shared" si="1030"/>
        <v>1.8</v>
      </c>
      <c r="FH328" s="23">
        <f t="shared" si="1030"/>
        <v>0.8</v>
      </c>
      <c r="FI328" s="23">
        <f t="shared" si="952"/>
        <v>1.4</v>
      </c>
      <c r="FJ328" s="23">
        <f t="shared" si="1031"/>
        <v>2.2000000000000002</v>
      </c>
      <c r="FK328" s="23">
        <f t="shared" si="1031"/>
        <v>1.2</v>
      </c>
      <c r="FL328" s="23">
        <f t="shared" si="1031"/>
        <v>1.2</v>
      </c>
      <c r="FM328" s="23">
        <f t="shared" si="923"/>
        <v>0</v>
      </c>
      <c r="FN328" s="23"/>
      <c r="FX328" s="4">
        <f t="shared" si="833"/>
        <v>1</v>
      </c>
      <c r="FY328" s="4">
        <f t="shared" si="890"/>
        <v>0.5</v>
      </c>
      <c r="FZ328" s="4">
        <f t="shared" si="834"/>
        <v>0</v>
      </c>
      <c r="GA328" s="4">
        <f t="shared" si="835"/>
        <v>830.13090447246941</v>
      </c>
    </row>
    <row r="329" spans="1:183" ht="12" hidden="1" customHeight="1" x14ac:dyDescent="0.3">
      <c r="A329" s="25">
        <v>311</v>
      </c>
      <c r="B329" s="4" t="s">
        <v>605</v>
      </c>
      <c r="C329" s="4">
        <v>2016</v>
      </c>
      <c r="D329" s="4" t="s">
        <v>309</v>
      </c>
      <c r="E329" s="24" t="s">
        <v>669</v>
      </c>
      <c r="F329" s="7" t="s">
        <v>472</v>
      </c>
      <c r="G329" s="38">
        <f t="shared" si="1032"/>
        <v>827.58620689655174</v>
      </c>
      <c r="H329" s="38">
        <f>14.58*25.4</f>
        <v>370.33199999999999</v>
      </c>
      <c r="I329" s="4">
        <f t="shared" si="985"/>
        <v>370.33199999999999</v>
      </c>
      <c r="J329" s="38">
        <f>9040/145</f>
        <v>62.344827586206897</v>
      </c>
      <c r="K329" s="38">
        <f t="shared" si="986"/>
        <v>25.4</v>
      </c>
      <c r="L329" s="7">
        <f t="shared" si="987"/>
        <v>14.58</v>
      </c>
      <c r="M329" s="7">
        <f t="shared" si="988"/>
        <v>14.58</v>
      </c>
      <c r="N329" s="38">
        <f>14*25.4</f>
        <v>355.59999999999997</v>
      </c>
      <c r="O329" s="38">
        <f t="shared" si="999"/>
        <v>63.5</v>
      </c>
      <c r="P329" s="39">
        <f>3*25.4</f>
        <v>76.199999999999989</v>
      </c>
      <c r="Q329" s="7">
        <f t="shared" si="989"/>
        <v>76.199999999999989</v>
      </c>
      <c r="R329" s="38">
        <v>3</v>
      </c>
      <c r="S329" s="4">
        <f t="shared" si="966"/>
        <v>260.34999999999997</v>
      </c>
      <c r="T329" s="7">
        <f t="shared" si="990"/>
        <v>1.9999999999999998</v>
      </c>
      <c r="U329" s="7">
        <f t="shared" si="859"/>
        <v>3</v>
      </c>
      <c r="V329" s="38">
        <v>9.5</v>
      </c>
      <c r="W329" s="4">
        <f t="shared" si="991"/>
        <v>9.5</v>
      </c>
      <c r="X329" s="4">
        <f t="shared" si="992"/>
        <v>10.5</v>
      </c>
      <c r="Y329" s="7">
        <f t="shared" si="993"/>
        <v>82.305406869779816</v>
      </c>
      <c r="AB329" s="38">
        <f t="shared" si="1038"/>
        <v>668.9655172413793</v>
      </c>
      <c r="AC329" s="4">
        <v>97</v>
      </c>
      <c r="AD329" s="4">
        <f t="shared" si="899"/>
        <v>1.0201564955106805</v>
      </c>
      <c r="AE329" s="38"/>
      <c r="AF329" s="38"/>
      <c r="AG329" s="39">
        <v>1</v>
      </c>
      <c r="AH329" s="39"/>
      <c r="AI329" s="39"/>
      <c r="AJ329" s="7"/>
      <c r="AK329" s="4">
        <f t="shared" si="994"/>
        <v>370.33199999999999</v>
      </c>
      <c r="AL329" s="4">
        <f t="shared" si="910"/>
        <v>0.32007315957933247</v>
      </c>
      <c r="AM329" s="4">
        <f t="shared" si="911"/>
        <v>370.17621089733694</v>
      </c>
      <c r="AN329" s="4">
        <f t="shared" si="912"/>
        <v>0.74115226337448559</v>
      </c>
      <c r="AO329" s="4">
        <v>1.25</v>
      </c>
      <c r="AP329" s="4">
        <f t="shared" si="844"/>
        <v>2.5</v>
      </c>
      <c r="AQ329" s="38">
        <f t="shared" si="967"/>
        <v>274.419661047906</v>
      </c>
      <c r="AR329" s="38">
        <f t="shared" si="913"/>
        <v>274.419661047906</v>
      </c>
      <c r="AS329" s="38">
        <f t="shared" si="914"/>
        <v>4.4175343619879603</v>
      </c>
      <c r="AT329" s="38">
        <f t="shared" si="853"/>
        <v>274.41966104790606</v>
      </c>
      <c r="AU329" s="38">
        <f t="shared" si="820"/>
        <v>0.99999999999999978</v>
      </c>
      <c r="AV329" s="38">
        <f t="shared" si="954"/>
        <v>3.3611527108592307</v>
      </c>
      <c r="AW329" s="4">
        <f t="shared" si="940"/>
        <v>0</v>
      </c>
      <c r="AX329" s="4">
        <f t="shared" si="995"/>
        <v>605.90444304102721</v>
      </c>
      <c r="AY329" s="4">
        <f t="shared" si="968"/>
        <v>1.2000000000000002</v>
      </c>
      <c r="AZ329" s="38">
        <f t="shared" si="837"/>
        <v>922.36638764424072</v>
      </c>
      <c r="BA329" s="4">
        <f t="shared" si="969"/>
        <v>0.3</v>
      </c>
      <c r="BB329" s="4">
        <f t="shared" si="970"/>
        <v>94.975521446681014</v>
      </c>
      <c r="BC329" s="4">
        <f t="shared" si="971"/>
        <v>1017.3419090909217</v>
      </c>
      <c r="BE329" s="4">
        <f t="shared" si="854"/>
        <v>1.375</v>
      </c>
      <c r="BF329" s="4">
        <f t="shared" si="860"/>
        <v>800.58241329198199</v>
      </c>
      <c r="BH329" s="4">
        <f t="shared" si="861"/>
        <v>884.6621638098693</v>
      </c>
      <c r="BI329" s="4">
        <f t="shared" si="806"/>
        <v>0</v>
      </c>
      <c r="BJ329" s="4">
        <f t="shared" si="862"/>
        <v>0</v>
      </c>
      <c r="BR329" s="4">
        <f t="shared" si="972"/>
        <v>38.099999999999994</v>
      </c>
      <c r="BV329" s="9"/>
      <c r="BX329" s="9"/>
      <c r="BY329" s="9"/>
      <c r="BZ329" s="9">
        <f t="shared" si="973"/>
        <v>38.099999999999994</v>
      </c>
      <c r="CA329" s="9">
        <f t="shared" si="974"/>
        <v>63.5</v>
      </c>
      <c r="CB329" s="9">
        <f t="shared" si="821"/>
        <v>1.3222785168171165</v>
      </c>
      <c r="CC329" s="40">
        <f t="shared" si="996"/>
        <v>0</v>
      </c>
      <c r="CD329" s="9">
        <f t="shared" si="975"/>
        <v>0</v>
      </c>
      <c r="CE329" s="9">
        <f t="shared" si="976"/>
        <v>0</v>
      </c>
      <c r="CF329" s="9">
        <f t="shared" si="977"/>
        <v>0.99524931562137331</v>
      </c>
      <c r="CG329" s="9">
        <f t="shared" si="978"/>
        <v>0.68</v>
      </c>
      <c r="CH329" s="9">
        <f t="shared" si="822"/>
        <v>1.8702904607807274</v>
      </c>
      <c r="CI329" s="9">
        <f t="shared" si="823"/>
        <v>2.4730448964983416</v>
      </c>
      <c r="CJ329" s="40">
        <v>1</v>
      </c>
      <c r="CK329" s="9">
        <f t="shared" si="824"/>
        <v>292.61067215368377</v>
      </c>
      <c r="CM329" s="4">
        <f t="shared" si="979"/>
        <v>1.1040775899972763</v>
      </c>
      <c r="CN329" s="4">
        <f t="shared" si="980"/>
        <v>0.6575621344835334</v>
      </c>
      <c r="CO329" s="4">
        <f t="shared" si="946"/>
        <v>0.83559856691156109</v>
      </c>
      <c r="CP329" s="4">
        <f t="shared" si="981"/>
        <v>2.2861965775808342</v>
      </c>
      <c r="CQ329" s="4">
        <f t="shared" si="921"/>
        <v>1.0201564955106805</v>
      </c>
      <c r="CR329" s="4">
        <f t="shared" si="922"/>
        <v>1.0088869571220103</v>
      </c>
      <c r="CS329" s="4">
        <f t="shared" si="947"/>
        <v>1.3645897297002598</v>
      </c>
      <c r="CT329" s="4">
        <f t="shared" si="997"/>
        <v>0</v>
      </c>
      <c r="CU329" s="4">
        <f t="shared" si="1051"/>
        <v>1.1040775899972763</v>
      </c>
      <c r="CV329" s="4">
        <f t="shared" si="1051"/>
        <v>0.6575621344835334</v>
      </c>
      <c r="CW329" s="4">
        <f t="shared" si="1052"/>
        <v>2.2861965775808342</v>
      </c>
      <c r="CX329" s="4">
        <f t="shared" si="1053"/>
        <v>1.3645897297002598</v>
      </c>
      <c r="CY329" s="4">
        <f t="shared" si="1054"/>
        <v>1.0201564955106805</v>
      </c>
      <c r="CZ329" s="4">
        <f t="shared" si="1054"/>
        <v>1.0088869571220103</v>
      </c>
      <c r="DI329" s="4">
        <f t="shared" si="982"/>
        <v>370.33199999999999</v>
      </c>
      <c r="DL329" s="4">
        <f t="shared" si="900"/>
        <v>3.2113113423690527E-5</v>
      </c>
      <c r="DM329" s="4">
        <f t="shared" si="1009"/>
        <v>8.9262091811553486</v>
      </c>
      <c r="DN329" s="4">
        <f t="shared" si="901"/>
        <v>0.14838378087350965</v>
      </c>
      <c r="DO329" s="4">
        <f t="shared" si="902"/>
        <v>4.1612291607338747</v>
      </c>
      <c r="DP329" s="4">
        <f t="shared" si="903"/>
        <v>6.9688921895952713</v>
      </c>
      <c r="DQ329" s="4">
        <f t="shared" si="904"/>
        <v>7.7435119061401894</v>
      </c>
      <c r="DR329" s="38">
        <f t="shared" si="915"/>
        <v>655.74793689521289</v>
      </c>
      <c r="DS329" s="4">
        <f t="shared" si="829"/>
        <v>1.0000884439050299</v>
      </c>
      <c r="DT329" s="4">
        <f t="shared" si="905"/>
        <v>3.2403703492039297</v>
      </c>
      <c r="DU329" s="4">
        <f t="shared" si="842"/>
        <v>274.41966104790606</v>
      </c>
      <c r="DY329" s="4">
        <f t="shared" si="1037"/>
        <v>0.85</v>
      </c>
      <c r="DZ329" s="4">
        <f t="shared" si="830"/>
        <v>0.95</v>
      </c>
      <c r="EA329" s="4">
        <f t="shared" si="916"/>
        <v>1</v>
      </c>
      <c r="EB329" s="4">
        <f t="shared" si="831"/>
        <v>0.95</v>
      </c>
      <c r="ED329" s="4">
        <f t="shared" si="917"/>
        <v>663.07281754310316</v>
      </c>
      <c r="EE329" s="25">
        <f t="shared" si="918"/>
        <v>272.6404279593682</v>
      </c>
      <c r="EG329" s="4">
        <f t="shared" si="843"/>
        <v>0.8075</v>
      </c>
      <c r="EH329" s="4">
        <f t="shared" si="919"/>
        <v>8.9262091811553486</v>
      </c>
      <c r="EK329" s="4">
        <f t="shared" si="906"/>
        <v>82.305406869779816</v>
      </c>
      <c r="EL329" s="4">
        <f t="shared" si="907"/>
        <v>3.2403703492039302</v>
      </c>
      <c r="EM329" s="4">
        <f t="shared" si="908"/>
        <v>6.4065159597228735E-2</v>
      </c>
      <c r="EP329" s="4">
        <f t="shared" si="998"/>
        <v>6.4065159597228735E-2</v>
      </c>
      <c r="EQ329" s="4">
        <f t="shared" si="960"/>
        <v>0.14813615599820915</v>
      </c>
      <c r="ER329" s="4">
        <f t="shared" si="1010"/>
        <v>4.1584500424738895</v>
      </c>
      <c r="ES329" s="4">
        <f t="shared" si="983"/>
        <v>6.9680756374616859</v>
      </c>
      <c r="ET329" s="4">
        <f t="shared" si="1011"/>
        <v>195.44359313022022</v>
      </c>
      <c r="EU329" s="4">
        <f t="shared" si="1012"/>
        <v>92.58299999999997</v>
      </c>
      <c r="EV329" s="4">
        <f t="shared" si="832"/>
        <v>3.2113113423690513E-5</v>
      </c>
      <c r="EW329" s="4">
        <f t="shared" si="984"/>
        <v>7.7437287768826684</v>
      </c>
      <c r="EX329" s="4">
        <f t="shared" si="867"/>
        <v>655.68994511597793</v>
      </c>
      <c r="FG329" s="23">
        <f t="shared" si="1030"/>
        <v>1.2</v>
      </c>
      <c r="FH329" s="23">
        <f t="shared" si="1030"/>
        <v>0.8</v>
      </c>
      <c r="FI329" s="23">
        <f t="shared" si="952"/>
        <v>1.4</v>
      </c>
      <c r="FJ329" s="23">
        <f t="shared" si="1031"/>
        <v>2.2000000000000002</v>
      </c>
      <c r="FK329" s="23">
        <f t="shared" si="1031"/>
        <v>1.2</v>
      </c>
      <c r="FL329" s="23">
        <f t="shared" si="1031"/>
        <v>1.2</v>
      </c>
      <c r="FM329" s="23">
        <f t="shared" si="923"/>
        <v>0</v>
      </c>
      <c r="FN329" s="23"/>
      <c r="FX329" s="4">
        <f t="shared" si="833"/>
        <v>1</v>
      </c>
      <c r="FY329" s="4">
        <f t="shared" si="890"/>
        <v>0.83333333333333326</v>
      </c>
      <c r="FZ329" s="4">
        <f t="shared" si="834"/>
        <v>0</v>
      </c>
      <c r="GA329" s="4">
        <f t="shared" si="835"/>
        <v>490.23197425670315</v>
      </c>
    </row>
    <row r="330" spans="1:183" ht="12" hidden="1" customHeight="1" x14ac:dyDescent="0.3">
      <c r="A330" s="25">
        <v>312</v>
      </c>
      <c r="B330" s="4" t="s">
        <v>605</v>
      </c>
      <c r="C330" s="4">
        <v>2016</v>
      </c>
      <c r="D330" s="4" t="s">
        <v>309</v>
      </c>
      <c r="E330" s="24" t="s">
        <v>669</v>
      </c>
      <c r="F330" s="7" t="s">
        <v>473</v>
      </c>
      <c r="G330" s="38">
        <f t="shared" si="1032"/>
        <v>827.58620689655174</v>
      </c>
      <c r="H330" s="38">
        <f>14.42*25.4</f>
        <v>366.26799999999997</v>
      </c>
      <c r="I330" s="4">
        <f t="shared" si="985"/>
        <v>366.26799999999997</v>
      </c>
      <c r="J330" s="38">
        <f>9040/145</f>
        <v>62.344827586206897</v>
      </c>
      <c r="K330" s="38">
        <f t="shared" si="986"/>
        <v>25.4</v>
      </c>
      <c r="L330" s="7">
        <f t="shared" si="987"/>
        <v>14.42</v>
      </c>
      <c r="M330" s="7">
        <f t="shared" si="988"/>
        <v>14.42</v>
      </c>
      <c r="N330" s="38">
        <f>14*25.4</f>
        <v>355.59999999999997</v>
      </c>
      <c r="O330" s="38">
        <f t="shared" si="999"/>
        <v>63.5</v>
      </c>
      <c r="P330" s="39">
        <f>3.1*25.4</f>
        <v>78.739999999999995</v>
      </c>
      <c r="Q330" s="7">
        <f t="shared" si="989"/>
        <v>76.199999999999989</v>
      </c>
      <c r="R330" s="38">
        <v>3</v>
      </c>
      <c r="S330" s="4">
        <f t="shared" si="966"/>
        <v>260.34999999999997</v>
      </c>
      <c r="T330" s="7">
        <f t="shared" si="990"/>
        <v>1.9999999999999998</v>
      </c>
      <c r="U330" s="7">
        <f t="shared" si="859"/>
        <v>3</v>
      </c>
      <c r="V330" s="38">
        <v>9.5</v>
      </c>
      <c r="W330" s="4">
        <f t="shared" si="991"/>
        <v>9.5</v>
      </c>
      <c r="X330" s="4">
        <f t="shared" si="992"/>
        <v>10.5</v>
      </c>
      <c r="Y330" s="7">
        <f t="shared" si="993"/>
        <v>82.305406869779816</v>
      </c>
      <c r="AB330" s="38">
        <f t="shared" si="1038"/>
        <v>745.51724137931035</v>
      </c>
      <c r="AC330" s="4">
        <v>108.1</v>
      </c>
      <c r="AD330" s="4">
        <f t="shared" si="899"/>
        <v>1.1408969245623375</v>
      </c>
      <c r="AE330" s="38">
        <f>0.375*25.4</f>
        <v>9.5249999999999986</v>
      </c>
      <c r="AF330" s="38">
        <v>4</v>
      </c>
      <c r="AG330" s="39">
        <f>6*25.4</f>
        <v>152.39999999999998</v>
      </c>
      <c r="AH330" s="39">
        <v>1</v>
      </c>
      <c r="AI330" s="39">
        <v>1</v>
      </c>
      <c r="AJ330" s="7"/>
      <c r="AK330" s="4">
        <f t="shared" si="994"/>
        <v>366.26799999999997</v>
      </c>
      <c r="AL330" s="4">
        <f t="shared" si="910"/>
        <v>0.32362459546925559</v>
      </c>
      <c r="AM330" s="4">
        <f t="shared" si="911"/>
        <v>364.09952327355796</v>
      </c>
      <c r="AN330" s="4">
        <f t="shared" si="912"/>
        <v>0.74160887656033281</v>
      </c>
      <c r="AO330" s="4">
        <v>1.25</v>
      </c>
      <c r="AP330" s="4">
        <f t="shared" si="844"/>
        <v>2.5</v>
      </c>
      <c r="AQ330" s="38">
        <f t="shared" si="967"/>
        <v>273.07791101441751</v>
      </c>
      <c r="AR330" s="38">
        <f t="shared" si="913"/>
        <v>273.07791101441751</v>
      </c>
      <c r="AS330" s="38">
        <f t="shared" si="914"/>
        <v>4.4175343619879603</v>
      </c>
      <c r="AT330" s="38">
        <f t="shared" si="853"/>
        <v>273.07791101441779</v>
      </c>
      <c r="AU330" s="38">
        <f t="shared" si="820"/>
        <v>0.999999999999999</v>
      </c>
      <c r="AV330" s="38">
        <f t="shared" si="954"/>
        <v>3.3776675096783721</v>
      </c>
      <c r="AW330" s="4">
        <f t="shared" si="940"/>
        <v>0</v>
      </c>
      <c r="AX330" s="4">
        <f t="shared" si="995"/>
        <v>599.25528591574846</v>
      </c>
      <c r="AY330" s="4">
        <f t="shared" si="968"/>
        <v>1.2000000000000002</v>
      </c>
      <c r="AZ330" s="38">
        <f t="shared" si="837"/>
        <v>922.36638764424072</v>
      </c>
      <c r="BA330" s="4">
        <f t="shared" si="969"/>
        <v>0.3</v>
      </c>
      <c r="BB330" s="4">
        <f t="shared" si="970"/>
        <v>93.933266067293573</v>
      </c>
      <c r="BC330" s="4">
        <f t="shared" si="971"/>
        <v>1016.2996537115343</v>
      </c>
      <c r="BE330" s="4">
        <f t="shared" si="854"/>
        <v>1.5</v>
      </c>
      <c r="BF330" s="4">
        <f t="shared" si="860"/>
        <v>867.67760334004868</v>
      </c>
      <c r="BH330" s="4">
        <f t="shared" si="861"/>
        <v>884.6621638098693</v>
      </c>
      <c r="BI330" s="4">
        <f t="shared" si="806"/>
        <v>0</v>
      </c>
      <c r="BJ330" s="4">
        <f t="shared" si="862"/>
        <v>0</v>
      </c>
      <c r="BR330" s="4">
        <f t="shared" si="972"/>
        <v>38.099999999999994</v>
      </c>
      <c r="BV330" s="9"/>
      <c r="BX330" s="9"/>
      <c r="BY330" s="9"/>
      <c r="BZ330" s="9">
        <f t="shared" si="973"/>
        <v>38.099999999999994</v>
      </c>
      <c r="CA330" s="9">
        <f t="shared" si="974"/>
        <v>63.5</v>
      </c>
      <c r="CB330" s="9">
        <f t="shared" si="821"/>
        <v>1.3222785168171165</v>
      </c>
      <c r="CC330" s="40">
        <f t="shared" si="996"/>
        <v>20</v>
      </c>
      <c r="CD330" s="9">
        <f t="shared" si="975"/>
        <v>4.9087385212340517E-2</v>
      </c>
      <c r="CE330" s="9">
        <f t="shared" si="976"/>
        <v>0.78174770424681028</v>
      </c>
      <c r="CF330" s="9">
        <f t="shared" si="977"/>
        <v>0.99524931562137331</v>
      </c>
      <c r="CG330" s="9">
        <f t="shared" si="978"/>
        <v>0.68</v>
      </c>
      <c r="CH330" s="9">
        <f t="shared" si="822"/>
        <v>1.8702904607807274</v>
      </c>
      <c r="CI330" s="9">
        <f t="shared" si="823"/>
        <v>3.9351401704883844</v>
      </c>
      <c r="CJ330" s="40">
        <v>1</v>
      </c>
      <c r="CK330" s="9">
        <f t="shared" si="824"/>
        <v>463.08729526307309</v>
      </c>
      <c r="CM330" s="4">
        <f t="shared" si="979"/>
        <v>1.2440728666081811</v>
      </c>
      <c r="CN330" s="4">
        <f t="shared" si="980"/>
        <v>0.73356045990636276</v>
      </c>
      <c r="CO330" s="4">
        <f t="shared" si="946"/>
        <v>0.85920996290500906</v>
      </c>
      <c r="CP330" s="4">
        <f t="shared" si="981"/>
        <v>1.6098848942849813</v>
      </c>
      <c r="CQ330" s="4">
        <f t="shared" si="921"/>
        <v>1.1408969245623375</v>
      </c>
      <c r="CR330" s="4">
        <f t="shared" si="922"/>
        <v>1.127721019295898</v>
      </c>
      <c r="CS330" s="4">
        <f t="shared" si="947"/>
        <v>1.2431637729407938</v>
      </c>
      <c r="CT330" s="4">
        <f t="shared" si="997"/>
        <v>4</v>
      </c>
      <c r="DA330" s="4">
        <f t="shared" ref="DA330:DB330" si="1055">CM330</f>
        <v>1.2440728666081811</v>
      </c>
      <c r="DB330" s="4">
        <f t="shared" si="1055"/>
        <v>0.73356045990636276</v>
      </c>
      <c r="DC330" s="4">
        <f t="shared" ref="DC330" si="1056">CP330</f>
        <v>1.6098848942849813</v>
      </c>
      <c r="DD330" s="4">
        <f t="shared" ref="DD330" si="1057">CS330</f>
        <v>1.2431637729407938</v>
      </c>
      <c r="DE330" s="4">
        <f t="shared" ref="DE330:DF330" si="1058">CQ330</f>
        <v>1.1408969245623375</v>
      </c>
      <c r="DF330" s="4">
        <f t="shared" si="1058"/>
        <v>1.127721019295898</v>
      </c>
      <c r="DI330" s="4">
        <f t="shared" si="982"/>
        <v>366.26799999999997</v>
      </c>
      <c r="DL330" s="4">
        <f t="shared" si="900"/>
        <v>3.1760706143320806E-5</v>
      </c>
      <c r="DM330" s="4">
        <f t="shared" si="1009"/>
        <v>9.0106843469076061</v>
      </c>
      <c r="DN330" s="4">
        <f t="shared" si="901"/>
        <v>0.14765827184038907</v>
      </c>
      <c r="DO330" s="4">
        <f t="shared" si="902"/>
        <v>4.1923823959380124</v>
      </c>
      <c r="DP330" s="4">
        <f t="shared" si="903"/>
        <v>7.0324278649770928</v>
      </c>
      <c r="DQ330" s="4">
        <f t="shared" si="904"/>
        <v>7.8334834288186856</v>
      </c>
      <c r="DR330" s="38">
        <f t="shared" si="915"/>
        <v>653.4483749838314</v>
      </c>
      <c r="DS330" s="4">
        <f t="shared" si="829"/>
        <v>1.0000888427984602</v>
      </c>
      <c r="DT330" s="4">
        <f t="shared" si="905"/>
        <v>3.2403703492039297</v>
      </c>
      <c r="DU330" s="4">
        <f t="shared" si="842"/>
        <v>273.07791101441779</v>
      </c>
      <c r="DY330" s="4">
        <f t="shared" si="1037"/>
        <v>0.85</v>
      </c>
      <c r="DZ330" s="4">
        <f t="shared" si="830"/>
        <v>0.95</v>
      </c>
      <c r="EA330" s="4">
        <f t="shared" si="916"/>
        <v>0.99062499999999998</v>
      </c>
      <c r="EB330" s="4">
        <f t="shared" si="831"/>
        <v>0.94109374999999995</v>
      </c>
      <c r="ED330" s="4">
        <f t="shared" si="917"/>
        <v>661.08304148199727</v>
      </c>
      <c r="EE330" s="25">
        <f t="shared" si="918"/>
        <v>271.28083663477435</v>
      </c>
      <c r="EG330" s="4">
        <f t="shared" si="843"/>
        <v>0.79992968749999993</v>
      </c>
      <c r="EH330" s="4">
        <f t="shared" si="919"/>
        <v>9.0106843469076061</v>
      </c>
      <c r="EK330" s="4">
        <f t="shared" si="906"/>
        <v>82.305406869779816</v>
      </c>
      <c r="EL330" s="4">
        <f t="shared" si="907"/>
        <v>3.2403703492039302</v>
      </c>
      <c r="EM330" s="4">
        <f t="shared" si="908"/>
        <v>6.3751918812269076E-2</v>
      </c>
      <c r="EP330" s="4">
        <f t="shared" si="998"/>
        <v>6.3751918812269076E-2</v>
      </c>
      <c r="EQ330" s="4">
        <f t="shared" si="960"/>
        <v>0.14741185770444837</v>
      </c>
      <c r="ER330" s="4">
        <f t="shared" si="1010"/>
        <v>4.1895824716802146</v>
      </c>
      <c r="ES330" s="4">
        <f t="shared" si="983"/>
        <v>7.0316066334487699</v>
      </c>
      <c r="ET330" s="4">
        <f t="shared" si="1011"/>
        <v>192.39559313022016</v>
      </c>
      <c r="EU330" s="4">
        <f t="shared" si="1012"/>
        <v>91.567000000000007</v>
      </c>
      <c r="EV330" s="4">
        <f t="shared" si="832"/>
        <v>3.1760706143320806E-5</v>
      </c>
      <c r="EW330" s="4">
        <f t="shared" si="984"/>
        <v>7.8337000890040676</v>
      </c>
      <c r="EX330" s="4">
        <f t="shared" si="867"/>
        <v>653.39032595878632</v>
      </c>
      <c r="FG330" s="23">
        <f t="shared" si="1030"/>
        <v>1.4</v>
      </c>
      <c r="FH330" s="23">
        <f t="shared" si="1030"/>
        <v>0.8</v>
      </c>
      <c r="FI330" s="23">
        <f t="shared" si="952"/>
        <v>1.4</v>
      </c>
      <c r="FJ330" s="23">
        <f t="shared" si="1031"/>
        <v>1.8</v>
      </c>
      <c r="FK330" s="23">
        <f t="shared" si="1031"/>
        <v>1.2</v>
      </c>
      <c r="FL330" s="23">
        <f t="shared" si="1031"/>
        <v>1.2</v>
      </c>
      <c r="FM330" s="23">
        <f t="shared" si="923"/>
        <v>0</v>
      </c>
      <c r="FN330" s="23"/>
      <c r="FX330" s="4">
        <f t="shared" si="833"/>
        <v>1</v>
      </c>
      <c r="FY330" s="4">
        <f t="shared" si="890"/>
        <v>0.67375000000000007</v>
      </c>
      <c r="FZ330" s="4">
        <f t="shared" si="834"/>
        <v>9.3749999999999986E-2</v>
      </c>
      <c r="GA330" s="4">
        <f t="shared" si="835"/>
        <v>599.69350588115628</v>
      </c>
    </row>
    <row r="331" spans="1:183" ht="12" hidden="1" customHeight="1" x14ac:dyDescent="0.3">
      <c r="A331" s="25">
        <v>313</v>
      </c>
      <c r="B331" s="4" t="s">
        <v>605</v>
      </c>
      <c r="C331" s="4">
        <v>2016</v>
      </c>
      <c r="D331" s="4" t="s">
        <v>309</v>
      </c>
      <c r="E331" s="24" t="s">
        <v>669</v>
      </c>
      <c r="F331" s="7" t="s">
        <v>474</v>
      </c>
      <c r="G331" s="38">
        <f t="shared" si="1032"/>
        <v>827.58620689655174</v>
      </c>
      <c r="H331" s="38">
        <f>14.58*25.4</f>
        <v>370.33199999999999</v>
      </c>
      <c r="I331" s="4">
        <f t="shared" si="985"/>
        <v>370.33199999999999</v>
      </c>
      <c r="J331" s="38">
        <f>9940/145</f>
        <v>68.551724137931032</v>
      </c>
      <c r="K331" s="38">
        <f t="shared" si="986"/>
        <v>25.4</v>
      </c>
      <c r="L331" s="7">
        <f t="shared" si="987"/>
        <v>14.58</v>
      </c>
      <c r="M331" s="7">
        <f t="shared" si="988"/>
        <v>14.58</v>
      </c>
      <c r="N331" s="38">
        <f>15.8*25.4</f>
        <v>401.32</v>
      </c>
      <c r="O331" s="38">
        <f t="shared" si="999"/>
        <v>63.5</v>
      </c>
      <c r="P331" s="39">
        <f>3*25.4</f>
        <v>76.199999999999989</v>
      </c>
      <c r="Q331" s="7">
        <f t="shared" si="989"/>
        <v>99.06</v>
      </c>
      <c r="R331" s="38">
        <v>3</v>
      </c>
      <c r="S331" s="4">
        <f t="shared" si="966"/>
        <v>260.34999999999997</v>
      </c>
      <c r="T331" s="7">
        <f t="shared" si="990"/>
        <v>2.4500000000000002</v>
      </c>
      <c r="U331" s="7">
        <f t="shared" si="859"/>
        <v>3</v>
      </c>
      <c r="V331" s="38">
        <v>9.5</v>
      </c>
      <c r="W331" s="4">
        <f t="shared" si="991"/>
        <v>9.5</v>
      </c>
      <c r="X331" s="4">
        <f t="shared" si="992"/>
        <v>10.5</v>
      </c>
      <c r="Y331" s="7">
        <f t="shared" si="993"/>
        <v>82.305406869779816</v>
      </c>
      <c r="AB331" s="38">
        <f t="shared" si="1038"/>
        <v>813.79310344827593</v>
      </c>
      <c r="AC331" s="4">
        <v>118</v>
      </c>
      <c r="AD331" s="4">
        <f t="shared" si="899"/>
        <v>1.0927712921092712</v>
      </c>
      <c r="AE331" s="38"/>
      <c r="AF331" s="38"/>
      <c r="AG331" s="39">
        <v>1</v>
      </c>
      <c r="AH331" s="39"/>
      <c r="AI331" s="39"/>
      <c r="AJ331" s="7"/>
      <c r="AK331" s="4">
        <f t="shared" si="994"/>
        <v>370.33199999999999</v>
      </c>
      <c r="AL331" s="4">
        <f t="shared" si="910"/>
        <v>0.3612254229538181</v>
      </c>
      <c r="AM331" s="4">
        <f t="shared" si="911"/>
        <v>388.16599141783303</v>
      </c>
      <c r="AN331" s="4">
        <f t="shared" si="912"/>
        <v>0.74115226337448559</v>
      </c>
      <c r="AO331" s="4">
        <v>1.25</v>
      </c>
      <c r="AP331" s="4">
        <f t="shared" si="844"/>
        <v>2.5</v>
      </c>
      <c r="AQ331" s="38">
        <f t="shared" si="967"/>
        <v>324.7530599171514</v>
      </c>
      <c r="AR331" s="38">
        <f t="shared" si="913"/>
        <v>324.7530599171514</v>
      </c>
      <c r="AS331" s="38">
        <f t="shared" si="914"/>
        <v>4.5752930713880566</v>
      </c>
      <c r="AT331" s="38">
        <f t="shared" si="853"/>
        <v>324.75305991715135</v>
      </c>
      <c r="AU331" s="38">
        <f t="shared" si="820"/>
        <v>1.0000000000000002</v>
      </c>
      <c r="AV331" s="38">
        <f t="shared" si="954"/>
        <v>3.4743069894130096</v>
      </c>
      <c r="AW331" s="4">
        <f t="shared" si="940"/>
        <v>0</v>
      </c>
      <c r="AX331" s="4">
        <f t="shared" si="995"/>
        <v>635.35011681968183</v>
      </c>
      <c r="AY331" s="4">
        <f t="shared" si="968"/>
        <v>1.0897959183673469</v>
      </c>
      <c r="AZ331" s="38">
        <f t="shared" si="837"/>
        <v>1128.2918259034209</v>
      </c>
      <c r="BA331" s="4">
        <f t="shared" si="969"/>
        <v>0.3</v>
      </c>
      <c r="BB331" s="4">
        <f t="shared" si="970"/>
        <v>99.591130811485129</v>
      </c>
      <c r="BC331" s="4">
        <f t="shared" si="971"/>
        <v>1227.882956714906</v>
      </c>
      <c r="BE331" s="4">
        <f t="shared" si="854"/>
        <v>1.375</v>
      </c>
      <c r="BF331" s="4">
        <f t="shared" si="860"/>
        <v>839.48902446718273</v>
      </c>
      <c r="BH331" s="4">
        <f t="shared" si="861"/>
        <v>1082.1698421405406</v>
      </c>
      <c r="BI331" s="4">
        <f t="shared" si="806"/>
        <v>0</v>
      </c>
      <c r="BJ331" s="4">
        <f t="shared" si="862"/>
        <v>0</v>
      </c>
      <c r="BR331" s="4">
        <f t="shared" si="972"/>
        <v>49.53</v>
      </c>
      <c r="BV331" s="9"/>
      <c r="BX331" s="9"/>
      <c r="BY331" s="9"/>
      <c r="BZ331" s="9">
        <f t="shared" si="973"/>
        <v>49.53</v>
      </c>
      <c r="CA331" s="9">
        <f t="shared" si="974"/>
        <v>63.5</v>
      </c>
      <c r="CB331" s="9">
        <f t="shared" si="821"/>
        <v>1.4494495884306333</v>
      </c>
      <c r="CC331" s="40">
        <f t="shared" si="996"/>
        <v>0</v>
      </c>
      <c r="CD331" s="9">
        <f t="shared" si="975"/>
        <v>0</v>
      </c>
      <c r="CE331" s="9">
        <f t="shared" si="976"/>
        <v>0</v>
      </c>
      <c r="CF331" s="9">
        <f t="shared" si="977"/>
        <v>0.99524931562137331</v>
      </c>
      <c r="CG331" s="9">
        <f t="shared" si="978"/>
        <v>0.68</v>
      </c>
      <c r="CH331" s="9">
        <f t="shared" si="822"/>
        <v>1.9611826194568933</v>
      </c>
      <c r="CI331" s="9">
        <f t="shared" si="823"/>
        <v>2.8426353406091054</v>
      </c>
      <c r="CJ331" s="40">
        <v>1</v>
      </c>
      <c r="CK331" s="9">
        <f t="shared" si="824"/>
        <v>336.34061350086938</v>
      </c>
      <c r="CM331" s="4">
        <f t="shared" si="979"/>
        <v>1.2808577222300848</v>
      </c>
      <c r="CN331" s="4">
        <f t="shared" si="980"/>
        <v>0.66276113614729903</v>
      </c>
      <c r="CO331" s="4">
        <f t="shared" si="946"/>
        <v>0.96939099825013697</v>
      </c>
      <c r="CP331" s="4">
        <f t="shared" si="981"/>
        <v>2.4195505115416949</v>
      </c>
      <c r="CQ331" s="4">
        <f t="shared" si="921"/>
        <v>1.0927712921092712</v>
      </c>
      <c r="CR331" s="4">
        <f t="shared" si="922"/>
        <v>1.0815801265431821</v>
      </c>
      <c r="CS331" s="4">
        <f t="shared" si="947"/>
        <v>1.4751944683659082</v>
      </c>
      <c r="CT331" s="4">
        <f t="shared" si="997"/>
        <v>0</v>
      </c>
      <c r="CU331" s="4">
        <f t="shared" ref="CU331:CV331" si="1059">CM331</f>
        <v>1.2808577222300848</v>
      </c>
      <c r="CV331" s="4">
        <f t="shared" si="1059"/>
        <v>0.66276113614729903</v>
      </c>
      <c r="CW331" s="4">
        <f t="shared" ref="CW331" si="1060">CP331</f>
        <v>2.4195505115416949</v>
      </c>
      <c r="CX331" s="4">
        <f t="shared" ref="CX331" si="1061">CS331</f>
        <v>1.4751944683659082</v>
      </c>
      <c r="CY331" s="4">
        <f t="shared" ref="CY331:CZ331" si="1062">CQ331</f>
        <v>1.0927712921092712</v>
      </c>
      <c r="CZ331" s="4">
        <f t="shared" si="1062"/>
        <v>1.0815801265431821</v>
      </c>
      <c r="DI331" s="4">
        <f t="shared" si="982"/>
        <v>370.33199999999999</v>
      </c>
      <c r="DL331" s="4">
        <f t="shared" si="900"/>
        <v>3.3348105714073671E-5</v>
      </c>
      <c r="DM331" s="4">
        <f t="shared" si="1009"/>
        <v>9.8254186250777558</v>
      </c>
      <c r="DN331" s="4">
        <f t="shared" si="901"/>
        <v>0.1597005850651578</v>
      </c>
      <c r="DO331" s="4">
        <f t="shared" si="902"/>
        <v>4.717084607697652</v>
      </c>
      <c r="DP331" s="4">
        <f t="shared" si="903"/>
        <v>7.7116198041062471</v>
      </c>
      <c r="DQ331" s="4">
        <f t="shared" si="904"/>
        <v>8.3305958558960782</v>
      </c>
      <c r="DR331" s="38">
        <f t="shared" si="915"/>
        <v>744.70578548736353</v>
      </c>
      <c r="DS331" s="4">
        <f t="shared" si="829"/>
        <v>1.0000885597342692</v>
      </c>
      <c r="DT331" s="4">
        <f t="shared" si="905"/>
        <v>3.2403703492039297</v>
      </c>
      <c r="DU331" s="4">
        <f t="shared" si="842"/>
        <v>324.75305991715135</v>
      </c>
      <c r="DY331" s="4">
        <f t="shared" si="1037"/>
        <v>0.85</v>
      </c>
      <c r="DZ331" s="4">
        <f t="shared" si="830"/>
        <v>0.90500000000000003</v>
      </c>
      <c r="EA331" s="4">
        <f t="shared" si="916"/>
        <v>1</v>
      </c>
      <c r="EB331" s="4">
        <f t="shared" si="831"/>
        <v>0.90500000000000003</v>
      </c>
      <c r="ED331" s="4">
        <f t="shared" si="917"/>
        <v>752.41129480552195</v>
      </c>
      <c r="EE331" s="25">
        <f t="shared" si="918"/>
        <v>322.64748414462093</v>
      </c>
      <c r="EG331" s="4">
        <f t="shared" si="843"/>
        <v>0.76924999999999999</v>
      </c>
      <c r="EH331" s="4">
        <f t="shared" si="919"/>
        <v>9.8254186250777558</v>
      </c>
      <c r="EK331" s="4">
        <f t="shared" si="906"/>
        <v>82.305406869779816</v>
      </c>
      <c r="EL331" s="4">
        <f t="shared" si="907"/>
        <v>3.2403703492039302</v>
      </c>
      <c r="EM331" s="4">
        <f t="shared" si="908"/>
        <v>7.2302108688300989E-2</v>
      </c>
      <c r="EP331" s="4">
        <f t="shared" si="998"/>
        <v>7.2302108688300989E-2</v>
      </c>
      <c r="EQ331" s="4">
        <f t="shared" si="960"/>
        <v>0.15943407455282702</v>
      </c>
      <c r="ER331" s="4">
        <f t="shared" si="1010"/>
        <v>4.7139342558518917</v>
      </c>
      <c r="ES331" s="4">
        <f t="shared" si="983"/>
        <v>7.710669855011191</v>
      </c>
      <c r="ET331" s="4">
        <f t="shared" si="1011"/>
        <v>195.44359313022022</v>
      </c>
      <c r="EU331" s="4">
        <f t="shared" si="1012"/>
        <v>92.58299999999997</v>
      </c>
      <c r="EV331" s="4">
        <f t="shared" si="832"/>
        <v>3.3348105714073664E-5</v>
      </c>
      <c r="EW331" s="4">
        <f t="shared" si="984"/>
        <v>8.3308788563313456</v>
      </c>
      <c r="EX331" s="4">
        <f t="shared" si="867"/>
        <v>744.63984038097317</v>
      </c>
      <c r="FG331" s="23">
        <f t="shared" si="1030"/>
        <v>1.4</v>
      </c>
      <c r="FH331" s="23">
        <f t="shared" si="1030"/>
        <v>0.8</v>
      </c>
      <c r="FI331" s="23">
        <f t="shared" si="952"/>
        <v>1.6</v>
      </c>
      <c r="FJ331" s="23">
        <f t="shared" si="1031"/>
        <v>2.2000000000000002</v>
      </c>
      <c r="FK331" s="23">
        <f t="shared" si="1031"/>
        <v>1.2</v>
      </c>
      <c r="FL331" s="23">
        <f t="shared" si="1031"/>
        <v>1.2</v>
      </c>
      <c r="FM331" s="23">
        <f t="shared" si="923"/>
        <v>0</v>
      </c>
      <c r="FN331" s="23"/>
      <c r="FX331" s="4">
        <f t="shared" si="833"/>
        <v>1</v>
      </c>
      <c r="FY331" s="4">
        <f t="shared" si="890"/>
        <v>0.7583333333333333</v>
      </c>
      <c r="FZ331" s="4">
        <f t="shared" si="834"/>
        <v>0</v>
      </c>
      <c r="GA331" s="4">
        <f t="shared" si="835"/>
        <v>551.6514065767376</v>
      </c>
    </row>
    <row r="332" spans="1:183" ht="12" hidden="1" customHeight="1" x14ac:dyDescent="0.3">
      <c r="A332" s="25">
        <v>314</v>
      </c>
      <c r="B332" s="4" t="s">
        <v>605</v>
      </c>
      <c r="C332" s="4">
        <v>2016</v>
      </c>
      <c r="D332" s="4" t="s">
        <v>309</v>
      </c>
      <c r="E332" s="24" t="s">
        <v>669</v>
      </c>
      <c r="F332" s="7" t="s">
        <v>475</v>
      </c>
      <c r="G332" s="38">
        <f t="shared" si="1032"/>
        <v>827.58620689655174</v>
      </c>
      <c r="H332" s="38">
        <f>14.08*25.4</f>
        <v>357.63200000000001</v>
      </c>
      <c r="I332" s="4">
        <f t="shared" si="985"/>
        <v>357.63200000000001</v>
      </c>
      <c r="J332" s="38">
        <f>9940/145</f>
        <v>68.551724137931032</v>
      </c>
      <c r="K332" s="38">
        <f t="shared" si="986"/>
        <v>25.4</v>
      </c>
      <c r="L332" s="7">
        <f t="shared" si="987"/>
        <v>14.080000000000002</v>
      </c>
      <c r="M332" s="7">
        <f t="shared" si="988"/>
        <v>14.080000000000002</v>
      </c>
      <c r="N332" s="38">
        <f>15.5*25.4</f>
        <v>393.7</v>
      </c>
      <c r="O332" s="38">
        <f>2.3*25.4</f>
        <v>58.419999999999995</v>
      </c>
      <c r="P332" s="39">
        <f>3.7*25.4</f>
        <v>93.98</v>
      </c>
      <c r="Q332" s="7">
        <f t="shared" si="989"/>
        <v>100.33000000000001</v>
      </c>
      <c r="R332" s="38">
        <v>3</v>
      </c>
      <c r="S332" s="4">
        <f t="shared" si="966"/>
        <v>260.34999999999997</v>
      </c>
      <c r="T332" s="7">
        <f t="shared" si="990"/>
        <v>2.4750000000000005</v>
      </c>
      <c r="U332" s="7">
        <f t="shared" si="859"/>
        <v>2.8</v>
      </c>
      <c r="V332" s="38">
        <v>9.5</v>
      </c>
      <c r="W332" s="4">
        <f t="shared" si="991"/>
        <v>9.5</v>
      </c>
      <c r="X332" s="4">
        <f t="shared" si="992"/>
        <v>10.5</v>
      </c>
      <c r="Y332" s="7">
        <f t="shared" si="993"/>
        <v>82.305406869779816</v>
      </c>
      <c r="AB332" s="38">
        <f t="shared" si="1038"/>
        <v>918.62068965517244</v>
      </c>
      <c r="AC332" s="4">
        <v>133.19999999999999</v>
      </c>
      <c r="AD332" s="4">
        <f t="shared" si="899"/>
        <v>1.2733735889849789</v>
      </c>
      <c r="AE332" s="38">
        <f>0.375*25.4</f>
        <v>9.5249999999999986</v>
      </c>
      <c r="AF332" s="38">
        <v>4</v>
      </c>
      <c r="AG332" s="39">
        <f>6*25.4</f>
        <v>152.39999999999998</v>
      </c>
      <c r="AH332" s="39">
        <v>1</v>
      </c>
      <c r="AI332" s="39">
        <v>1</v>
      </c>
      <c r="AJ332" s="7"/>
      <c r="AK332" s="4">
        <f t="shared" si="994"/>
        <v>357.63200000000001</v>
      </c>
      <c r="AL332" s="4">
        <f t="shared" si="910"/>
        <v>0.36695075757575757</v>
      </c>
      <c r="AM332" s="4">
        <f t="shared" si="911"/>
        <v>368.37078442762726</v>
      </c>
      <c r="AN332" s="4">
        <f t="shared" si="912"/>
        <v>0.73977272727272725</v>
      </c>
      <c r="AO332" s="4">
        <v>1.25</v>
      </c>
      <c r="AP332" s="4">
        <f t="shared" si="844"/>
        <v>2.5</v>
      </c>
      <c r="AQ332" s="38">
        <f t="shared" si="967"/>
        <v>312.49372836589322</v>
      </c>
      <c r="AR332" s="38">
        <f t="shared" si="913"/>
        <v>312.49372836589322</v>
      </c>
      <c r="AS332" s="38">
        <f t="shared" si="914"/>
        <v>4.5752930713880566</v>
      </c>
      <c r="AT332" s="38">
        <f t="shared" si="853"/>
        <v>312.49372836589333</v>
      </c>
      <c r="AU332" s="38">
        <f t="shared" si="820"/>
        <v>0.99999999999999967</v>
      </c>
      <c r="AV332" s="38">
        <f t="shared" si="954"/>
        <v>3.5227076496116316</v>
      </c>
      <c r="AW332" s="4">
        <f t="shared" si="940"/>
        <v>0</v>
      </c>
      <c r="AX332" s="4">
        <f t="shared" si="995"/>
        <v>613.56170403437056</v>
      </c>
      <c r="AY332" s="4">
        <f t="shared" si="968"/>
        <v>1.0525252525252524</v>
      </c>
      <c r="AZ332" s="38">
        <f t="shared" si="837"/>
        <v>1100.8240473701917</v>
      </c>
      <c r="BA332" s="4">
        <f t="shared" si="969"/>
        <v>0.3</v>
      </c>
      <c r="BB332" s="4">
        <f t="shared" si="970"/>
        <v>96.175797107387567</v>
      </c>
      <c r="BC332" s="4">
        <f t="shared" si="971"/>
        <v>1196.9998444775792</v>
      </c>
      <c r="BE332" s="4">
        <f t="shared" si="854"/>
        <v>1.5</v>
      </c>
      <c r="BF332" s="4">
        <f t="shared" si="860"/>
        <v>897.17711557821269</v>
      </c>
      <c r="BH332" s="4">
        <f t="shared" si="861"/>
        <v>1055.8248834367448</v>
      </c>
      <c r="BI332" s="4">
        <f t="shared" si="806"/>
        <v>0</v>
      </c>
      <c r="BJ332" s="4">
        <f t="shared" si="862"/>
        <v>0</v>
      </c>
      <c r="BR332" s="4">
        <f t="shared" si="972"/>
        <v>50.165000000000006</v>
      </c>
      <c r="BV332" s="9"/>
      <c r="BX332" s="9"/>
      <c r="BY332" s="9"/>
      <c r="BZ332" s="9">
        <f t="shared" si="973"/>
        <v>50.165000000000006</v>
      </c>
      <c r="CA332" s="9">
        <f t="shared" si="974"/>
        <v>58.419999999999995</v>
      </c>
      <c r="CB332" s="9">
        <f t="shared" si="821"/>
        <v>1.43783039583918</v>
      </c>
      <c r="CC332" s="40">
        <f t="shared" si="996"/>
        <v>20</v>
      </c>
      <c r="CD332" s="9">
        <f t="shared" si="975"/>
        <v>4.9087385212340517E-2</v>
      </c>
      <c r="CE332" s="9">
        <f t="shared" si="976"/>
        <v>0.78174770424681028</v>
      </c>
      <c r="CF332" s="9">
        <f t="shared" si="977"/>
        <v>0.99524931562137331</v>
      </c>
      <c r="CG332" s="9">
        <f t="shared" si="978"/>
        <v>0.68</v>
      </c>
      <c r="CH332" s="9">
        <f t="shared" si="822"/>
        <v>1.9611826194568933</v>
      </c>
      <c r="CI332" s="9">
        <f t="shared" si="823"/>
        <v>4.3529979924157969</v>
      </c>
      <c r="CJ332" s="40">
        <v>1</v>
      </c>
      <c r="CK332" s="9">
        <f t="shared" si="824"/>
        <v>506.34072647780556</v>
      </c>
      <c r="CM332" s="4">
        <f t="shared" si="979"/>
        <v>1.4971936540610968</v>
      </c>
      <c r="CN332" s="4">
        <f t="shared" si="980"/>
        <v>0.76743593066722315</v>
      </c>
      <c r="CO332" s="4">
        <f t="shared" si="946"/>
        <v>1.0239011603223291</v>
      </c>
      <c r="CP332" s="4">
        <f t="shared" si="981"/>
        <v>1.8142342529807116</v>
      </c>
      <c r="CQ332" s="4">
        <f t="shared" si="921"/>
        <v>1.2733735889849789</v>
      </c>
      <c r="CR332" s="4">
        <f t="shared" si="922"/>
        <v>1.2575697339160365</v>
      </c>
      <c r="CS332" s="4">
        <f t="shared" si="947"/>
        <v>1.7850791723869082</v>
      </c>
      <c r="CT332" s="4">
        <f t="shared" si="997"/>
        <v>4</v>
      </c>
      <c r="DA332" s="4">
        <f t="shared" ref="DA332:DB332" si="1063">CM332</f>
        <v>1.4971936540610968</v>
      </c>
      <c r="DB332" s="4">
        <f t="shared" si="1063"/>
        <v>0.76743593066722315</v>
      </c>
      <c r="DC332" s="4">
        <f t="shared" ref="DC332" si="1064">CP332</f>
        <v>1.8142342529807116</v>
      </c>
      <c r="DD332" s="4">
        <f t="shared" ref="DD332" si="1065">CS332</f>
        <v>1.7850791723869082</v>
      </c>
      <c r="DE332" s="4">
        <f t="shared" ref="DE332:DF332" si="1066">CQ332</f>
        <v>1.2733735889849789</v>
      </c>
      <c r="DF332" s="4">
        <f t="shared" si="1066"/>
        <v>1.2575697339160365</v>
      </c>
      <c r="DI332" s="4">
        <f t="shared" si="982"/>
        <v>357.63200000000001</v>
      </c>
      <c r="DL332" s="4">
        <f t="shared" si="900"/>
        <v>3.2204480689585553E-5</v>
      </c>
      <c r="DM332" s="4">
        <f t="shared" si="1009"/>
        <v>9.9458784617650533</v>
      </c>
      <c r="DN332" s="4">
        <f t="shared" si="901"/>
        <v>0.15367193541442592</v>
      </c>
      <c r="DO332" s="4">
        <f t="shared" si="902"/>
        <v>4.7019821086310722</v>
      </c>
      <c r="DP332" s="4">
        <f t="shared" si="903"/>
        <v>7.7843131631097142</v>
      </c>
      <c r="DQ332" s="4">
        <f t="shared" si="904"/>
        <v>8.5266700561357052</v>
      </c>
      <c r="DR332" s="38">
        <f t="shared" si="915"/>
        <v>721.40705414458603</v>
      </c>
      <c r="DS332" s="4">
        <f t="shared" si="829"/>
        <v>1.000089090425536</v>
      </c>
      <c r="DT332" s="4">
        <f t="shared" si="905"/>
        <v>3.2403703492039297</v>
      </c>
      <c r="DU332" s="4">
        <f t="shared" si="842"/>
        <v>312.49372836589333</v>
      </c>
      <c r="DY332" s="4">
        <f t="shared" si="1037"/>
        <v>0.85</v>
      </c>
      <c r="DZ332" s="4">
        <f t="shared" si="830"/>
        <v>0.90249999999999997</v>
      </c>
      <c r="EA332" s="4">
        <f t="shared" si="916"/>
        <v>0.99062499999999998</v>
      </c>
      <c r="EB332" s="4">
        <f t="shared" si="831"/>
        <v>0.89403906249999998</v>
      </c>
      <c r="ED332" s="4">
        <f t="shared" si="917"/>
        <v>730.47296295420028</v>
      </c>
      <c r="EE332" s="25">
        <f t="shared" si="918"/>
        <v>310.35905672924446</v>
      </c>
      <c r="EG332" s="4">
        <f t="shared" si="843"/>
        <v>0.75993320312500001</v>
      </c>
      <c r="EH332" s="4">
        <f t="shared" si="919"/>
        <v>9.9458784617650533</v>
      </c>
      <c r="EK332" s="4">
        <f t="shared" si="906"/>
        <v>82.305406869779816</v>
      </c>
      <c r="EL332" s="4">
        <f t="shared" si="907"/>
        <v>3.2403703492039302</v>
      </c>
      <c r="EM332" s="4">
        <f t="shared" si="908"/>
        <v>6.9572725561037788E-2</v>
      </c>
      <c r="EP332" s="4">
        <f t="shared" si="998"/>
        <v>6.9572725561037788E-2</v>
      </c>
      <c r="EQ332" s="4">
        <f t="shared" si="960"/>
        <v>0.15341548559477464</v>
      </c>
      <c r="ER332" s="4">
        <f t="shared" si="1010"/>
        <v>4.6988418431394399</v>
      </c>
      <c r="ES332" s="4">
        <f t="shared" si="983"/>
        <v>7.7833789789584849</v>
      </c>
      <c r="ET332" s="4">
        <f t="shared" si="1011"/>
        <v>185.91859313022019</v>
      </c>
      <c r="EU332" s="4">
        <f t="shared" si="1012"/>
        <v>89.408000000000015</v>
      </c>
      <c r="EV332" s="4">
        <f t="shared" si="832"/>
        <v>3.2204480689585553E-5</v>
      </c>
      <c r="EW332" s="4">
        <f t="shared" si="984"/>
        <v>8.5269391814720326</v>
      </c>
      <c r="EX332" s="4">
        <f t="shared" si="867"/>
        <v>721.34278940852028</v>
      </c>
      <c r="FG332" s="23">
        <f t="shared" si="1030"/>
        <v>1.6</v>
      </c>
      <c r="FH332" s="23">
        <f t="shared" si="1030"/>
        <v>0.8</v>
      </c>
      <c r="FI332" s="23">
        <f t="shared" si="952"/>
        <v>1.8</v>
      </c>
      <c r="FJ332" s="23">
        <f t="shared" si="1031"/>
        <v>2</v>
      </c>
      <c r="FK332" s="23">
        <f t="shared" si="1031"/>
        <v>1.4</v>
      </c>
      <c r="FL332" s="23">
        <f t="shared" si="1031"/>
        <v>1.4</v>
      </c>
      <c r="FM332" s="23">
        <f t="shared" si="923"/>
        <v>0</v>
      </c>
      <c r="FN332" s="23"/>
      <c r="FX332" s="4">
        <f t="shared" si="833"/>
        <v>1.25</v>
      </c>
      <c r="FY332" s="4">
        <f t="shared" si="890"/>
        <v>0.62803124999999993</v>
      </c>
      <c r="FZ332" s="4">
        <f t="shared" si="834"/>
        <v>9.3749999999999986E-2</v>
      </c>
      <c r="GA332" s="4">
        <f t="shared" si="835"/>
        <v>514.61061440028129</v>
      </c>
    </row>
    <row r="333" spans="1:183" ht="12" hidden="1" customHeight="1" x14ac:dyDescent="0.3">
      <c r="A333" s="25">
        <v>315</v>
      </c>
      <c r="B333" s="4" t="s">
        <v>605</v>
      </c>
      <c r="C333" s="4">
        <v>2016</v>
      </c>
      <c r="D333" s="4" t="s">
        <v>309</v>
      </c>
      <c r="E333" s="24" t="s">
        <v>669</v>
      </c>
      <c r="F333" s="7" t="s">
        <v>476</v>
      </c>
      <c r="G333" s="38">
        <f t="shared" si="1032"/>
        <v>827.58620689655174</v>
      </c>
      <c r="H333" s="38">
        <f>14.54*25.4</f>
        <v>369.31599999999997</v>
      </c>
      <c r="I333" s="4">
        <f t="shared" si="985"/>
        <v>369.31599999999997</v>
      </c>
      <c r="J333" s="38">
        <f>10180/145</f>
        <v>70.206896551724142</v>
      </c>
      <c r="K333" s="38">
        <f t="shared" si="986"/>
        <v>25.4</v>
      </c>
      <c r="L333" s="7">
        <f t="shared" si="987"/>
        <v>14.54</v>
      </c>
      <c r="M333" s="7">
        <f t="shared" si="988"/>
        <v>14.54</v>
      </c>
      <c r="N333" s="38">
        <f>20*25.4</f>
        <v>508</v>
      </c>
      <c r="O333" s="38">
        <f t="shared" si="999"/>
        <v>63.5</v>
      </c>
      <c r="P333" s="39">
        <f>3*25.4</f>
        <v>76.199999999999989</v>
      </c>
      <c r="Q333" s="7">
        <f t="shared" si="989"/>
        <v>152.4</v>
      </c>
      <c r="R333" s="38">
        <v>3</v>
      </c>
      <c r="S333" s="4">
        <f t="shared" si="966"/>
        <v>260.34999999999997</v>
      </c>
      <c r="T333" s="7">
        <f t="shared" si="990"/>
        <v>3</v>
      </c>
      <c r="U333" s="7">
        <f t="shared" si="859"/>
        <v>3</v>
      </c>
      <c r="V333" s="38">
        <v>9.5</v>
      </c>
      <c r="W333" s="4">
        <f t="shared" si="991"/>
        <v>9.5</v>
      </c>
      <c r="X333" s="4">
        <f t="shared" si="992"/>
        <v>10.5</v>
      </c>
      <c r="Y333" s="7">
        <f t="shared" si="993"/>
        <v>82.305406869779816</v>
      </c>
      <c r="AB333" s="38">
        <f t="shared" si="1038"/>
        <v>907.58620689655174</v>
      </c>
      <c r="AC333" s="4">
        <v>131.6</v>
      </c>
      <c r="AD333" s="4">
        <f t="shared" si="899"/>
        <v>1.0374944577148659</v>
      </c>
      <c r="AE333" s="38"/>
      <c r="AF333" s="38"/>
      <c r="AG333" s="39">
        <v>1</v>
      </c>
      <c r="AH333" s="39"/>
      <c r="AI333" s="39"/>
      <c r="AJ333" s="7"/>
      <c r="AK333" s="4">
        <f t="shared" si="994"/>
        <v>369.31599999999997</v>
      </c>
      <c r="AL333" s="4">
        <f t="shared" si="910"/>
        <v>0.45850527281063735</v>
      </c>
      <c r="AM333" s="4">
        <f t="shared" si="911"/>
        <v>391.20869898560869</v>
      </c>
      <c r="AN333" s="4">
        <f t="shared" si="912"/>
        <v>0.74126547455295733</v>
      </c>
      <c r="AO333" s="4">
        <v>1.25</v>
      </c>
      <c r="AP333" s="4">
        <f t="shared" si="844"/>
        <v>2.5</v>
      </c>
      <c r="AQ333" s="38">
        <f t="shared" si="967"/>
        <v>415.50536150678056</v>
      </c>
      <c r="AR333" s="38">
        <f t="shared" si="913"/>
        <v>415.50536150678056</v>
      </c>
      <c r="AS333" s="38">
        <f t="shared" si="914"/>
        <v>4.615452125415529</v>
      </c>
      <c r="AT333" s="38">
        <f t="shared" si="853"/>
        <v>415.50536150678073</v>
      </c>
      <c r="AU333" s="38">
        <f t="shared" si="820"/>
        <v>0.99999999999999956</v>
      </c>
      <c r="AV333" s="38">
        <f t="shared" si="954"/>
        <v>3.1247566190650464</v>
      </c>
      <c r="AW333" s="4">
        <f t="shared" si="940"/>
        <v>0</v>
      </c>
      <c r="AX333" s="4">
        <f t="shared" si="995"/>
        <v>641.21060042756483</v>
      </c>
      <c r="AY333" s="4">
        <f t="shared" si="968"/>
        <v>1</v>
      </c>
      <c r="AZ333" s="38">
        <f t="shared" si="837"/>
        <v>1298.3531286253281</v>
      </c>
      <c r="BA333" s="4">
        <f t="shared" si="969"/>
        <v>0.3</v>
      </c>
      <c r="BB333" s="4">
        <f t="shared" si="970"/>
        <v>100.50976161702079</v>
      </c>
      <c r="BC333" s="4">
        <f t="shared" si="971"/>
        <v>1398.8628902423488</v>
      </c>
      <c r="BE333" s="4">
        <f t="shared" si="854"/>
        <v>1.375</v>
      </c>
      <c r="BF333" s="4">
        <f t="shared" si="860"/>
        <v>848.18072561268582</v>
      </c>
      <c r="BH333" s="4">
        <f t="shared" si="861"/>
        <v>1245.2794285929851</v>
      </c>
      <c r="BI333" s="4">
        <f t="shared" ref="BI333:BI396" si="1067">8/3*Z333*AA333^2/(Y333-K333-22)/K333*(Y333^2-K333^2)/(Y333^2-(K333+22)^2)</f>
        <v>0</v>
      </c>
      <c r="BJ333" s="4">
        <f t="shared" si="862"/>
        <v>0</v>
      </c>
      <c r="BR333" s="4">
        <f t="shared" si="972"/>
        <v>63.5</v>
      </c>
      <c r="BV333" s="9"/>
      <c r="BX333" s="9"/>
      <c r="BY333" s="9"/>
      <c r="BZ333" s="9">
        <f t="shared" si="973"/>
        <v>63.5</v>
      </c>
      <c r="CA333" s="9">
        <f t="shared" si="974"/>
        <v>76.2</v>
      </c>
      <c r="CB333" s="9">
        <f t="shared" si="821"/>
        <v>1.6249768986352224</v>
      </c>
      <c r="CC333" s="40">
        <f t="shared" si="996"/>
        <v>0</v>
      </c>
      <c r="CD333" s="9">
        <f t="shared" si="975"/>
        <v>0</v>
      </c>
      <c r="CE333" s="9">
        <f t="shared" si="976"/>
        <v>0</v>
      </c>
      <c r="CF333" s="9">
        <f t="shared" si="977"/>
        <v>0.99524931562137331</v>
      </c>
      <c r="CG333" s="9">
        <f t="shared" si="978"/>
        <v>0.68</v>
      </c>
      <c r="CH333" s="9">
        <f t="shared" si="822"/>
        <v>1.9847176531283015</v>
      </c>
      <c r="CI333" s="9">
        <f t="shared" si="823"/>
        <v>3.2251203366470045</v>
      </c>
      <c r="CJ333" s="40">
        <v>1</v>
      </c>
      <c r="CK333" s="9">
        <f t="shared" si="824"/>
        <v>381.08021897821004</v>
      </c>
      <c r="CM333" s="4">
        <f t="shared" si="979"/>
        <v>1.4154260804349856</v>
      </c>
      <c r="CN333" s="4">
        <f t="shared" si="980"/>
        <v>0.64880283352095725</v>
      </c>
      <c r="CO333" s="4">
        <f t="shared" si="946"/>
        <v>1.070038706952406</v>
      </c>
      <c r="CP333" s="4">
        <f t="shared" si="981"/>
        <v>2.3816145832236102</v>
      </c>
      <c r="CQ333" s="4">
        <f t="shared" si="921"/>
        <v>1.0374944577148659</v>
      </c>
      <c r="CR333" s="4">
        <f t="shared" si="922"/>
        <v>1.0377227912290949</v>
      </c>
      <c r="CS333" s="4">
        <f t="shared" si="947"/>
        <v>1.261486403351207</v>
      </c>
      <c r="CT333" s="4">
        <f t="shared" si="997"/>
        <v>0</v>
      </c>
      <c r="CU333" s="4">
        <f t="shared" ref="CU333:CV333" si="1068">CM333</f>
        <v>1.4154260804349856</v>
      </c>
      <c r="CV333" s="4">
        <f t="shared" si="1068"/>
        <v>0.64880283352095725</v>
      </c>
      <c r="CW333" s="4">
        <f t="shared" ref="CW333" si="1069">CP333</f>
        <v>2.3816145832236102</v>
      </c>
      <c r="CX333" s="4">
        <f t="shared" ref="CX333" si="1070">CS333</f>
        <v>1.261486403351207</v>
      </c>
      <c r="CY333" s="4">
        <f t="shared" ref="CY333:CZ333" si="1071">CQ333</f>
        <v>1.0374944577148659</v>
      </c>
      <c r="CZ333" s="4">
        <f t="shared" si="1071"/>
        <v>1.0377227912290949</v>
      </c>
      <c r="DI333" s="4">
        <f t="shared" si="982"/>
        <v>369.31599999999997</v>
      </c>
      <c r="DL333" s="4">
        <f t="shared" si="900"/>
        <v>3.3591114581024516E-5</v>
      </c>
      <c r="DM333" s="4">
        <f t="shared" si="1009"/>
        <v>10.58671967137796</v>
      </c>
      <c r="DN333" s="4">
        <f t="shared" si="901"/>
        <v>0.19951175728678291</v>
      </c>
      <c r="DO333" s="4">
        <f t="shared" si="902"/>
        <v>5.5558282405833204</v>
      </c>
      <c r="DP333" s="4">
        <f t="shared" si="903"/>
        <v>8.4575763623866695</v>
      </c>
      <c r="DQ333" s="4">
        <f t="shared" si="904"/>
        <v>8.8014216716952376</v>
      </c>
      <c r="DR333" s="38">
        <f t="shared" si="915"/>
        <v>874.78655924153691</v>
      </c>
      <c r="DS333" s="4">
        <f t="shared" si="829"/>
        <v>1.0000911089737488</v>
      </c>
      <c r="DT333" s="4">
        <f t="shared" si="905"/>
        <v>3.2403703492039297</v>
      </c>
      <c r="DU333" s="4">
        <f t="shared" si="842"/>
        <v>415.50536150678073</v>
      </c>
      <c r="DY333" s="4">
        <f t="shared" si="1037"/>
        <v>0.85</v>
      </c>
      <c r="DZ333" s="4">
        <f t="shared" si="830"/>
        <v>0.85</v>
      </c>
      <c r="EA333" s="4">
        <f t="shared" si="916"/>
        <v>1</v>
      </c>
      <c r="EB333" s="4">
        <f t="shared" si="831"/>
        <v>0.85</v>
      </c>
      <c r="ED333" s="4">
        <f t="shared" si="917"/>
        <v>874.59407711532731</v>
      </c>
      <c r="EE333" s="25">
        <f t="shared" si="918"/>
        <v>412.80136504982062</v>
      </c>
      <c r="EG333" s="4">
        <f t="shared" si="843"/>
        <v>0.72249999999999992</v>
      </c>
      <c r="EH333" s="4">
        <f t="shared" si="919"/>
        <v>10.58671967137796</v>
      </c>
      <c r="EK333" s="4">
        <f t="shared" si="906"/>
        <v>82.305406869779816</v>
      </c>
      <c r="EL333" s="4">
        <f t="shared" si="907"/>
        <v>3.2403703492039302</v>
      </c>
      <c r="EM333" s="4">
        <f t="shared" si="908"/>
        <v>9.1409986995560882E-2</v>
      </c>
      <c r="EP333" s="4">
        <f t="shared" si="998"/>
        <v>9.1409986995560882E-2</v>
      </c>
      <c r="EQ333" s="4">
        <f t="shared" si="960"/>
        <v>0.19917880934780813</v>
      </c>
      <c r="ER333" s="4">
        <f t="shared" si="1010"/>
        <v>5.5521177254647478</v>
      </c>
      <c r="ES333" s="4">
        <f t="shared" si="983"/>
        <v>8.4563691657379376</v>
      </c>
      <c r="ET333" s="4">
        <f t="shared" si="1011"/>
        <v>194.68159313022016</v>
      </c>
      <c r="EU333" s="4">
        <f t="shared" si="1012"/>
        <v>92.329000000000008</v>
      </c>
      <c r="EV333" s="4">
        <f t="shared" si="832"/>
        <v>3.3591114581024516E-5</v>
      </c>
      <c r="EW333" s="4">
        <f t="shared" si="984"/>
        <v>8.8017938167254623</v>
      </c>
      <c r="EX333" s="4">
        <f t="shared" si="867"/>
        <v>874.7068655966815</v>
      </c>
      <c r="FG333" s="23">
        <f t="shared" si="1030"/>
        <v>1.6</v>
      </c>
      <c r="FH333" s="23">
        <f t="shared" si="1030"/>
        <v>0.8</v>
      </c>
      <c r="FI333" s="23">
        <f t="shared" si="952"/>
        <v>1.4</v>
      </c>
      <c r="FJ333" s="23">
        <f t="shared" si="1031"/>
        <v>2.2000000000000002</v>
      </c>
      <c r="FK333" s="23">
        <f t="shared" si="1031"/>
        <v>1.2</v>
      </c>
      <c r="FL333" s="23">
        <f t="shared" si="1031"/>
        <v>1.2</v>
      </c>
      <c r="FM333" s="23">
        <f t="shared" si="923"/>
        <v>0</v>
      </c>
      <c r="FN333" s="23"/>
      <c r="FX333" s="4">
        <f t="shared" si="833"/>
        <v>1</v>
      </c>
      <c r="FY333" s="4">
        <f t="shared" si="890"/>
        <v>0.58333333333333326</v>
      </c>
      <c r="FZ333" s="4">
        <f t="shared" si="834"/>
        <v>0</v>
      </c>
      <c r="GA333" s="4">
        <f t="shared" si="835"/>
        <v>719.45777971565906</v>
      </c>
    </row>
    <row r="334" spans="1:183" ht="12" hidden="1" customHeight="1" x14ac:dyDescent="0.3">
      <c r="A334" s="25">
        <v>316</v>
      </c>
      <c r="B334" s="4" t="s">
        <v>605</v>
      </c>
      <c r="C334" s="4">
        <v>2016</v>
      </c>
      <c r="D334" s="4" t="s">
        <v>309</v>
      </c>
      <c r="E334" s="24" t="s">
        <v>669</v>
      </c>
      <c r="F334" s="7" t="s">
        <v>477</v>
      </c>
      <c r="G334" s="38">
        <f t="shared" si="1032"/>
        <v>827.58620689655174</v>
      </c>
      <c r="H334" s="38">
        <f>14.54*25.4</f>
        <v>369.31599999999997</v>
      </c>
      <c r="I334" s="4">
        <f t="shared" si="985"/>
        <v>369.31599999999997</v>
      </c>
      <c r="J334" s="38">
        <f>10180/145</f>
        <v>70.206896551724142</v>
      </c>
      <c r="K334" s="38">
        <f t="shared" si="986"/>
        <v>25.4</v>
      </c>
      <c r="L334" s="7">
        <f t="shared" si="987"/>
        <v>14.54</v>
      </c>
      <c r="M334" s="7">
        <f t="shared" si="988"/>
        <v>14.54</v>
      </c>
      <c r="N334" s="38">
        <f>20*25.4</f>
        <v>508</v>
      </c>
      <c r="O334" s="38">
        <f t="shared" si="999"/>
        <v>63.5</v>
      </c>
      <c r="P334" s="39">
        <f>3*25.4</f>
        <v>76.199999999999989</v>
      </c>
      <c r="Q334" s="7">
        <f t="shared" si="989"/>
        <v>152.4</v>
      </c>
      <c r="R334" s="38">
        <v>3</v>
      </c>
      <c r="S334" s="4">
        <f t="shared" si="966"/>
        <v>260.34999999999997</v>
      </c>
      <c r="T334" s="7">
        <f t="shared" si="990"/>
        <v>3</v>
      </c>
      <c r="U334" s="7">
        <f t="shared" si="859"/>
        <v>3</v>
      </c>
      <c r="V334" s="38">
        <v>9.5</v>
      </c>
      <c r="W334" s="4">
        <f t="shared" si="991"/>
        <v>9.5</v>
      </c>
      <c r="X334" s="4">
        <f t="shared" si="992"/>
        <v>10.5</v>
      </c>
      <c r="Y334" s="7">
        <f t="shared" si="993"/>
        <v>82.305406869779816</v>
      </c>
      <c r="AB334" s="38">
        <f t="shared" si="1038"/>
        <v>989.65517241379314</v>
      </c>
      <c r="AC334" s="4">
        <v>143.5</v>
      </c>
      <c r="AD334" s="4">
        <f t="shared" si="899"/>
        <v>1.0877385129806194</v>
      </c>
      <c r="AE334" s="38">
        <f>0.5*25.4</f>
        <v>12.7</v>
      </c>
      <c r="AF334" s="38">
        <v>4</v>
      </c>
      <c r="AG334" s="39">
        <f>6*25.4</f>
        <v>152.39999999999998</v>
      </c>
      <c r="AH334" s="39">
        <v>1</v>
      </c>
      <c r="AI334" s="39">
        <v>1</v>
      </c>
      <c r="AJ334" s="7"/>
      <c r="AK334" s="4">
        <f t="shared" si="994"/>
        <v>369.31599999999997</v>
      </c>
      <c r="AL334" s="4">
        <f t="shared" si="910"/>
        <v>0.45850527281063735</v>
      </c>
      <c r="AM334" s="4">
        <f t="shared" si="911"/>
        <v>391.20869898560869</v>
      </c>
      <c r="AN334" s="4">
        <f t="shared" si="912"/>
        <v>0.74126547455295733</v>
      </c>
      <c r="AO334" s="4">
        <v>1.25</v>
      </c>
      <c r="AP334" s="4">
        <f t="shared" si="844"/>
        <v>2.5</v>
      </c>
      <c r="AQ334" s="38">
        <f t="shared" si="967"/>
        <v>415.50536150678056</v>
      </c>
      <c r="AR334" s="38">
        <f t="shared" si="913"/>
        <v>415.50536150678056</v>
      </c>
      <c r="AS334" s="38">
        <f t="shared" si="914"/>
        <v>4.615452125415529</v>
      </c>
      <c r="AT334" s="38">
        <f t="shared" si="853"/>
        <v>415.50536150678073</v>
      </c>
      <c r="AU334" s="38">
        <f t="shared" si="820"/>
        <v>0.99999999999999956</v>
      </c>
      <c r="AV334" s="38">
        <f t="shared" si="954"/>
        <v>3.1247566190650464</v>
      </c>
      <c r="AW334" s="4">
        <f t="shared" si="940"/>
        <v>0</v>
      </c>
      <c r="AX334" s="4">
        <f t="shared" si="995"/>
        <v>641.21060042756483</v>
      </c>
      <c r="AY334" s="4">
        <f t="shared" si="968"/>
        <v>1</v>
      </c>
      <c r="AZ334" s="38">
        <f t="shared" si="837"/>
        <v>1298.3531286253281</v>
      </c>
      <c r="BA334" s="4">
        <f t="shared" si="969"/>
        <v>0.3</v>
      </c>
      <c r="BB334" s="4">
        <f t="shared" si="970"/>
        <v>100.50976161702079</v>
      </c>
      <c r="BC334" s="4">
        <f t="shared" si="971"/>
        <v>1398.8628902423488</v>
      </c>
      <c r="BE334" s="4">
        <f t="shared" si="854"/>
        <v>1.5</v>
      </c>
      <c r="BF334" s="4">
        <f t="shared" si="860"/>
        <v>925.2880643047481</v>
      </c>
      <c r="BH334" s="4">
        <f t="shared" si="861"/>
        <v>1245.2794285929851</v>
      </c>
      <c r="BI334" s="4">
        <f t="shared" si="1067"/>
        <v>0</v>
      </c>
      <c r="BJ334" s="4">
        <f t="shared" si="862"/>
        <v>0</v>
      </c>
      <c r="BR334" s="4">
        <f t="shared" si="972"/>
        <v>63.5</v>
      </c>
      <c r="BV334" s="9"/>
      <c r="BX334" s="9"/>
      <c r="BY334" s="9"/>
      <c r="BZ334" s="9">
        <f t="shared" si="973"/>
        <v>63.5</v>
      </c>
      <c r="CA334" s="9">
        <f t="shared" si="974"/>
        <v>76.2</v>
      </c>
      <c r="CB334" s="9">
        <f t="shared" si="821"/>
        <v>1.6249768986352224</v>
      </c>
      <c r="CC334" s="40">
        <f t="shared" si="996"/>
        <v>20</v>
      </c>
      <c r="CD334" s="9">
        <f t="shared" si="975"/>
        <v>0.05</v>
      </c>
      <c r="CE334" s="9">
        <f t="shared" si="976"/>
        <v>0.8</v>
      </c>
      <c r="CF334" s="9">
        <f t="shared" si="977"/>
        <v>0.99524931562137331</v>
      </c>
      <c r="CG334" s="9">
        <f t="shared" si="978"/>
        <v>0.68</v>
      </c>
      <c r="CH334" s="9">
        <f t="shared" si="822"/>
        <v>1.9847176531283015</v>
      </c>
      <c r="CI334" s="9">
        <f t="shared" si="823"/>
        <v>4.8128944591496454</v>
      </c>
      <c r="CJ334" s="40">
        <v>1</v>
      </c>
      <c r="CK334" s="9">
        <f t="shared" si="824"/>
        <v>568.69160929312216</v>
      </c>
      <c r="CM334" s="4">
        <f t="shared" si="979"/>
        <v>1.5434167366445322</v>
      </c>
      <c r="CN334" s="4">
        <f t="shared" si="980"/>
        <v>0.70747117484998001</v>
      </c>
      <c r="CO334" s="4">
        <f t="shared" si="946"/>
        <v>1.0695643990149271</v>
      </c>
      <c r="CP334" s="4">
        <f t="shared" si="981"/>
        <v>1.7402317112501877</v>
      </c>
      <c r="CQ334" s="4">
        <f t="shared" si="921"/>
        <v>1.0877385129806194</v>
      </c>
      <c r="CR334" s="4">
        <f t="shared" si="922"/>
        <v>1.0851045143939175</v>
      </c>
      <c r="CS334" s="4">
        <f t="shared" si="947"/>
        <v>1.2104901444923288</v>
      </c>
      <c r="CT334" s="4">
        <f t="shared" si="997"/>
        <v>4</v>
      </c>
      <c r="DA334" s="4">
        <f t="shared" ref="DA334:DB334" si="1072">CM334</f>
        <v>1.5434167366445322</v>
      </c>
      <c r="DB334" s="4">
        <f t="shared" si="1072"/>
        <v>0.70747117484998001</v>
      </c>
      <c r="DC334" s="4">
        <f t="shared" ref="DC334" si="1073">CP334</f>
        <v>1.7402317112501877</v>
      </c>
      <c r="DD334" s="4">
        <f t="shared" ref="DD334" si="1074">CS334</f>
        <v>1.2104901444923288</v>
      </c>
      <c r="DE334" s="4">
        <f t="shared" ref="DE334:DF334" si="1075">CQ334</f>
        <v>1.0877385129806194</v>
      </c>
      <c r="DF334" s="4">
        <f t="shared" si="1075"/>
        <v>1.0851045143939175</v>
      </c>
      <c r="DI334" s="4">
        <f t="shared" si="982"/>
        <v>369.31599999999997</v>
      </c>
      <c r="DL334" s="4">
        <f t="shared" si="900"/>
        <v>3.3591114581024516E-5</v>
      </c>
      <c r="DM334" s="4">
        <f t="shared" si="1009"/>
        <v>11.445102347435631</v>
      </c>
      <c r="DN334" s="4">
        <f t="shared" si="901"/>
        <v>0.19951175728678291</v>
      </c>
      <c r="DO334" s="4">
        <f t="shared" si="902"/>
        <v>6.0063008006306164</v>
      </c>
      <c r="DP334" s="4">
        <f t="shared" si="903"/>
        <v>9.1433257971747768</v>
      </c>
      <c r="DQ334" s="4">
        <f t="shared" si="904"/>
        <v>9.3639241751610225</v>
      </c>
      <c r="DR334" s="38">
        <f t="shared" si="915"/>
        <v>909.82819915233267</v>
      </c>
      <c r="DS334" s="4">
        <f t="shared" si="829"/>
        <v>1.000094199456351</v>
      </c>
      <c r="DT334" s="4">
        <f t="shared" si="905"/>
        <v>3.2403703492039297</v>
      </c>
      <c r="DU334" s="4">
        <f t="shared" si="842"/>
        <v>415.50536150678073</v>
      </c>
      <c r="DY334" s="4">
        <f t="shared" si="1037"/>
        <v>0.85</v>
      </c>
      <c r="DZ334" s="4">
        <f t="shared" si="830"/>
        <v>0.85</v>
      </c>
      <c r="EA334" s="4">
        <f t="shared" si="916"/>
        <v>0.92500000000000004</v>
      </c>
      <c r="EB334" s="4">
        <f t="shared" si="831"/>
        <v>0.78625</v>
      </c>
      <c r="ED334" s="4">
        <f t="shared" si="917"/>
        <v>912.03672944496282</v>
      </c>
      <c r="EE334" s="25">
        <f t="shared" si="918"/>
        <v>412.80136504982062</v>
      </c>
      <c r="EG334" s="4">
        <f t="shared" si="843"/>
        <v>0.66831249999999998</v>
      </c>
      <c r="EH334" s="4">
        <f t="shared" si="919"/>
        <v>11.445102347435631</v>
      </c>
      <c r="EK334" s="4">
        <f t="shared" si="906"/>
        <v>82.305406869779816</v>
      </c>
      <c r="EL334" s="4">
        <f t="shared" si="907"/>
        <v>3.2403703492039302</v>
      </c>
      <c r="EM334" s="4">
        <f t="shared" si="908"/>
        <v>9.1409986995560882E-2</v>
      </c>
      <c r="EP334" s="4">
        <f t="shared" si="998"/>
        <v>9.1409986995560882E-2</v>
      </c>
      <c r="EQ334" s="4">
        <f t="shared" si="960"/>
        <v>0.19917880934780813</v>
      </c>
      <c r="ER334" s="4">
        <f t="shared" si="1010"/>
        <v>6.0022894329348615</v>
      </c>
      <c r="ES334" s="4">
        <f t="shared" si="983"/>
        <v>9.1420207197166885</v>
      </c>
      <c r="ET334" s="4">
        <f t="shared" si="1011"/>
        <v>194.68159313022016</v>
      </c>
      <c r="EU334" s="4">
        <f t="shared" si="1012"/>
        <v>92.329000000000008</v>
      </c>
      <c r="EV334" s="4">
        <f t="shared" si="832"/>
        <v>3.3591114581024516E-5</v>
      </c>
      <c r="EW334" s="4">
        <f t="shared" si="984"/>
        <v>9.3643579963572385</v>
      </c>
      <c r="EX334" s="4">
        <f t="shared" si="867"/>
        <v>909.74250190323392</v>
      </c>
      <c r="FG334" s="23">
        <f t="shared" si="1030"/>
        <v>1.6</v>
      </c>
      <c r="FH334" s="23">
        <f t="shared" si="1030"/>
        <v>0.8</v>
      </c>
      <c r="FI334" s="23">
        <f t="shared" si="952"/>
        <v>1.4</v>
      </c>
      <c r="FJ334" s="23">
        <f t="shared" si="1031"/>
        <v>1.8</v>
      </c>
      <c r="FK334" s="23">
        <f t="shared" si="1031"/>
        <v>1.2</v>
      </c>
      <c r="FL334" s="23">
        <f t="shared" si="1031"/>
        <v>1.2</v>
      </c>
      <c r="FM334" s="23">
        <f t="shared" si="923"/>
        <v>0</v>
      </c>
      <c r="FN334" s="23"/>
      <c r="FX334" s="4">
        <f t="shared" si="833"/>
        <v>1</v>
      </c>
      <c r="FY334" s="4">
        <f t="shared" si="890"/>
        <v>0.51333333333333342</v>
      </c>
      <c r="FZ334" s="4">
        <f t="shared" si="834"/>
        <v>0.16666666666666669</v>
      </c>
      <c r="GA334" s="4">
        <f t="shared" si="835"/>
        <v>817.56565876779416</v>
      </c>
    </row>
    <row r="335" spans="1:183" ht="12" hidden="1" customHeight="1" x14ac:dyDescent="0.3">
      <c r="A335" s="25">
        <v>317</v>
      </c>
      <c r="B335" s="4" t="s">
        <v>605</v>
      </c>
      <c r="C335" s="4">
        <v>2016</v>
      </c>
      <c r="D335" s="4" t="s">
        <v>309</v>
      </c>
      <c r="E335" s="24" t="s">
        <v>478</v>
      </c>
      <c r="F335" s="7" t="s">
        <v>479</v>
      </c>
      <c r="G335" s="38">
        <f>129/0.145</f>
        <v>889.65517241379314</v>
      </c>
      <c r="H335" s="38">
        <f>12.06*25.4</f>
        <v>306.32400000000001</v>
      </c>
      <c r="I335" s="4">
        <f t="shared" si="985"/>
        <v>306.32400000000001</v>
      </c>
      <c r="J335" s="38">
        <f>12080/145</f>
        <v>83.310344827586206</v>
      </c>
      <c r="K335" s="38">
        <f t="shared" si="986"/>
        <v>25.4</v>
      </c>
      <c r="L335" s="7">
        <f t="shared" si="987"/>
        <v>12.06</v>
      </c>
      <c r="M335" s="7">
        <f t="shared" si="988"/>
        <v>12.06</v>
      </c>
      <c r="N335" s="38">
        <f>15*25.4</f>
        <v>381</v>
      </c>
      <c r="O335" s="38">
        <f>2.5*25.4</f>
        <v>63.5</v>
      </c>
      <c r="P335" s="39">
        <f>3*25.4</f>
        <v>76.199999999999989</v>
      </c>
      <c r="Q335" s="7">
        <f t="shared" si="989"/>
        <v>203.2</v>
      </c>
      <c r="R335" s="38">
        <v>2</v>
      </c>
      <c r="S335" s="4">
        <f t="shared" si="966"/>
        <v>260.34999999999997</v>
      </c>
      <c r="T335" s="7">
        <f t="shared" si="990"/>
        <v>3</v>
      </c>
      <c r="U335" s="7">
        <f t="shared" si="859"/>
        <v>3</v>
      </c>
      <c r="V335" s="38">
        <v>4.0999999999999996</v>
      </c>
      <c r="W335" s="4">
        <f t="shared" si="991"/>
        <v>4.0999999999999996</v>
      </c>
      <c r="X335" s="4">
        <f t="shared" si="992"/>
        <v>5.0999999999999996</v>
      </c>
      <c r="Y335" s="7">
        <f t="shared" si="993"/>
        <v>57.361276136431961</v>
      </c>
      <c r="AB335" s="38">
        <f t="shared" si="1038"/>
        <v>690.34482758620686</v>
      </c>
      <c r="AC335" s="4">
        <v>100.1</v>
      </c>
      <c r="AD335" s="4">
        <f t="shared" si="899"/>
        <v>0.77596899224806193</v>
      </c>
      <c r="AE335" s="38"/>
      <c r="AF335" s="38"/>
      <c r="AG335" s="39">
        <v>1</v>
      </c>
      <c r="AH335" s="39"/>
      <c r="AI335" s="39"/>
      <c r="AJ335" s="7"/>
      <c r="AK335" s="4">
        <f t="shared" si="994"/>
        <v>306.32400000000001</v>
      </c>
      <c r="AL335" s="4">
        <f t="shared" si="910"/>
        <v>0.41459369817578773</v>
      </c>
      <c r="AM335" s="4">
        <f t="shared" si="911"/>
        <v>482.87385616153779</v>
      </c>
      <c r="AN335" s="4">
        <f t="shared" si="912"/>
        <v>0.74975124378109448</v>
      </c>
      <c r="AO335" s="4">
        <v>1.25</v>
      </c>
      <c r="AP335" s="4">
        <f t="shared" si="844"/>
        <v>2.5</v>
      </c>
      <c r="AQ335" s="38">
        <f t="shared" si="967"/>
        <v>469.05482256230084</v>
      </c>
      <c r="AR335" s="38">
        <f t="shared" si="913"/>
        <v>469.05482256230084</v>
      </c>
      <c r="AS335" s="38">
        <f t="shared" si="914"/>
        <v>4.9090792795570026</v>
      </c>
      <c r="AT335" s="38">
        <f t="shared" si="853"/>
        <v>469.05482256230096</v>
      </c>
      <c r="AU335" s="38">
        <f t="shared" si="820"/>
        <v>0.99999999999999978</v>
      </c>
      <c r="AV335" s="38">
        <f t="shared" si="954"/>
        <v>2.1578363526430446</v>
      </c>
      <c r="AW335" s="4">
        <f t="shared" si="940"/>
        <v>0</v>
      </c>
      <c r="AX335" s="4">
        <f t="shared" si="995"/>
        <v>579.35288355479452</v>
      </c>
      <c r="AY335" s="4">
        <f t="shared" si="968"/>
        <v>1</v>
      </c>
      <c r="AZ335" s="38">
        <f t="shared" si="837"/>
        <v>1012.143547507466</v>
      </c>
      <c r="BA335" s="4">
        <f t="shared" si="969"/>
        <v>0.42600000000000005</v>
      </c>
      <c r="BB335" s="4">
        <f t="shared" si="970"/>
        <v>128.95526158604397</v>
      </c>
      <c r="BC335" s="4">
        <f t="shared" si="971"/>
        <v>1141.09880909351</v>
      </c>
      <c r="BE335" s="4">
        <f t="shared" si="854"/>
        <v>1.375</v>
      </c>
      <c r="BF335" s="4">
        <f t="shared" si="860"/>
        <v>830.57513798032426</v>
      </c>
      <c r="BH335" s="4">
        <f t="shared" si="861"/>
        <v>970.76943914993626</v>
      </c>
      <c r="BI335" s="4">
        <f t="shared" si="1067"/>
        <v>0</v>
      </c>
      <c r="BJ335" s="4">
        <f t="shared" si="862"/>
        <v>0</v>
      </c>
      <c r="BR335" s="4">
        <f t="shared" si="972"/>
        <v>63.5</v>
      </c>
      <c r="BV335" s="9"/>
      <c r="BX335" s="9"/>
      <c r="BY335" s="9"/>
      <c r="BZ335" s="9">
        <f t="shared" si="973"/>
        <v>63.5</v>
      </c>
      <c r="CA335" s="9">
        <f t="shared" si="974"/>
        <v>101.6</v>
      </c>
      <c r="CB335" s="9">
        <f t="shared" si="821"/>
        <v>1.6966333587625264</v>
      </c>
      <c r="CC335" s="40">
        <f t="shared" si="996"/>
        <v>0</v>
      </c>
      <c r="CD335" s="9">
        <f t="shared" si="975"/>
        <v>0</v>
      </c>
      <c r="CE335" s="9">
        <f t="shared" si="976"/>
        <v>0</v>
      </c>
      <c r="CF335" s="9">
        <f t="shared" si="977"/>
        <v>0.99524931562137331</v>
      </c>
      <c r="CG335" s="9">
        <f t="shared" si="978"/>
        <v>0.68</v>
      </c>
      <c r="CH335" s="9">
        <f t="shared" si="822"/>
        <v>2.1620130482705213</v>
      </c>
      <c r="CI335" s="9">
        <f t="shared" si="823"/>
        <v>3.6681434597756226</v>
      </c>
      <c r="CJ335" s="40">
        <v>1</v>
      </c>
      <c r="CK335" s="9">
        <f t="shared" si="824"/>
        <v>397.03984808611341</v>
      </c>
      <c r="CM335" s="4">
        <f t="shared" si="979"/>
        <v>1.1915791690728934</v>
      </c>
      <c r="CN335" s="4">
        <f t="shared" si="980"/>
        <v>0.60498251517291257</v>
      </c>
      <c r="CO335" s="4">
        <f t="shared" si="946"/>
        <v>0.83116481100661199</v>
      </c>
      <c r="CP335" s="4">
        <f t="shared" si="981"/>
        <v>1.7387293263231325</v>
      </c>
      <c r="CQ335" s="4">
        <f t="shared" si="921"/>
        <v>0.77596899224806193</v>
      </c>
      <c r="CR335" s="4">
        <f t="shared" si="922"/>
        <v>0.78234204586737066</v>
      </c>
      <c r="CS335" s="4">
        <f t="shared" si="947"/>
        <v>0.9500605438440255</v>
      </c>
      <c r="CT335" s="4">
        <f t="shared" si="997"/>
        <v>0</v>
      </c>
      <c r="CU335" s="4">
        <f t="shared" ref="CU335:CV336" si="1076">CM335</f>
        <v>1.1915791690728934</v>
      </c>
      <c r="CV335" s="4">
        <f t="shared" si="1076"/>
        <v>0.60498251517291257</v>
      </c>
      <c r="CW335" s="4">
        <f t="shared" ref="CW335:CW336" si="1077">CP335</f>
        <v>1.7387293263231325</v>
      </c>
      <c r="CX335" s="4">
        <f t="shared" ref="CX335:CX336" si="1078">CS335</f>
        <v>0.9500605438440255</v>
      </c>
      <c r="CY335" s="4">
        <f t="shared" ref="CY335:CZ336" si="1079">CQ335</f>
        <v>0.77596899224806193</v>
      </c>
      <c r="CZ335" s="4">
        <f t="shared" si="1079"/>
        <v>0.78234204586737066</v>
      </c>
      <c r="DI335" s="4">
        <f t="shared" si="982"/>
        <v>306.32400000000001</v>
      </c>
      <c r="DL335" s="4">
        <f t="shared" si="900"/>
        <v>3.0145841666072216E-5</v>
      </c>
      <c r="DM335" s="4">
        <f t="shared" si="1009"/>
        <v>11.53243436507174</v>
      </c>
      <c r="DN335" s="4">
        <f t="shared" si="901"/>
        <v>0.30649719060126668</v>
      </c>
      <c r="DO335" s="4">
        <f t="shared" si="902"/>
        <v>7.1860724392438087</v>
      </c>
      <c r="DP335" s="4">
        <f t="shared" si="903"/>
        <v>9.6095226647576446</v>
      </c>
      <c r="DQ335" s="4">
        <f t="shared" si="904"/>
        <v>9.8322689969158361</v>
      </c>
      <c r="DR335" s="38">
        <f t="shared" si="915"/>
        <v>889.65517241379314</v>
      </c>
      <c r="DS335" s="4">
        <f t="shared" si="829"/>
        <v>1</v>
      </c>
      <c r="DT335" s="4">
        <f t="shared" si="905"/>
        <v>2.2583179581272428</v>
      </c>
      <c r="DU335" s="4">
        <f t="shared" si="842"/>
        <v>469.05482256230096</v>
      </c>
      <c r="DY335" s="4">
        <f t="shared" si="1037"/>
        <v>0.85</v>
      </c>
      <c r="DZ335" s="4">
        <f t="shared" si="830"/>
        <v>0.85</v>
      </c>
      <c r="EA335" s="4">
        <f t="shared" si="916"/>
        <v>1</v>
      </c>
      <c r="EB335" s="4">
        <f t="shared" si="831"/>
        <v>0.85</v>
      </c>
      <c r="ED335" s="4">
        <f t="shared" si="917"/>
        <v>882.40793299154984</v>
      </c>
      <c r="EE335" s="25">
        <f t="shared" si="918"/>
        <v>465.16445766325421</v>
      </c>
      <c r="EG335" s="4">
        <f t="shared" si="843"/>
        <v>0.72249999999999992</v>
      </c>
      <c r="EH335" s="4">
        <f t="shared" si="919"/>
        <v>11.53243436507174</v>
      </c>
      <c r="EK335" s="4">
        <f t="shared" si="906"/>
        <v>57.361276136431961</v>
      </c>
      <c r="EL335" s="4">
        <f t="shared" si="907"/>
        <v>2.2583179581272428</v>
      </c>
      <c r="EM335" s="4">
        <f t="shared" si="908"/>
        <v>0.15297174803885022</v>
      </c>
      <c r="EP335" s="4">
        <f t="shared" si="998"/>
        <v>0.15297174803885022</v>
      </c>
      <c r="EQ335" s="4">
        <f t="shared" si="960"/>
        <v>0.30598570391346419</v>
      </c>
      <c r="ER335" s="4">
        <f t="shared" si="1010"/>
        <v>7.181273149331604</v>
      </c>
      <c r="ES335" s="4">
        <f t="shared" si="983"/>
        <v>9.607734820159413</v>
      </c>
      <c r="ET335" s="4">
        <f t="shared" si="1011"/>
        <v>172.38172386356803</v>
      </c>
      <c r="EU335" s="4">
        <f t="shared" si="1012"/>
        <v>76.581000000000017</v>
      </c>
      <c r="EV335" s="4">
        <f t="shared" si="832"/>
        <v>3.0145841666072219E-5</v>
      </c>
      <c r="EW335" s="4">
        <f t="shared" si="984"/>
        <v>9.8326641786652242</v>
      </c>
      <c r="EX335" s="4">
        <f t="shared" si="867"/>
        <v>889.65517241379314</v>
      </c>
      <c r="FG335" s="23">
        <f t="shared" si="1030"/>
        <v>1.2</v>
      </c>
      <c r="FH335" s="23">
        <f t="shared" si="1030"/>
        <v>0.8</v>
      </c>
      <c r="FI335" s="23">
        <f t="shared" si="952"/>
        <v>1</v>
      </c>
      <c r="FJ335" s="23">
        <f t="shared" si="1031"/>
        <v>1.8</v>
      </c>
      <c r="FK335" s="23">
        <f t="shared" si="1031"/>
        <v>0.8</v>
      </c>
      <c r="FL335" s="23">
        <f t="shared" si="1031"/>
        <v>0.8</v>
      </c>
      <c r="FM335" s="23">
        <f t="shared" si="923"/>
        <v>1</v>
      </c>
      <c r="FN335" s="23"/>
      <c r="FX335" s="4">
        <f t="shared" si="833"/>
        <v>1</v>
      </c>
      <c r="FY335" s="4">
        <f t="shared" si="890"/>
        <v>0.5</v>
      </c>
      <c r="FZ335" s="4">
        <f t="shared" si="834"/>
        <v>0</v>
      </c>
      <c r="GA335" s="4">
        <f t="shared" si="835"/>
        <v>726.63245733057511</v>
      </c>
    </row>
    <row r="336" spans="1:183" ht="12" hidden="1" customHeight="1" x14ac:dyDescent="0.3">
      <c r="A336" s="25">
        <v>318</v>
      </c>
      <c r="B336" s="4" t="s">
        <v>605</v>
      </c>
      <c r="C336" s="4">
        <v>2016</v>
      </c>
      <c r="D336" s="4" t="s">
        <v>309</v>
      </c>
      <c r="E336" s="24" t="s">
        <v>478</v>
      </c>
      <c r="F336" s="7" t="s">
        <v>480</v>
      </c>
      <c r="G336" s="38">
        <f t="shared" ref="G336:G346" si="1080">129/0.145</f>
        <v>889.65517241379314</v>
      </c>
      <c r="H336" s="38">
        <f>11.88*25.4</f>
        <v>301.75200000000001</v>
      </c>
      <c r="I336" s="4">
        <f t="shared" si="985"/>
        <v>301.75200000000001</v>
      </c>
      <c r="J336" s="38">
        <f>12080/145</f>
        <v>83.310344827586206</v>
      </c>
      <c r="K336" s="38">
        <f t="shared" si="986"/>
        <v>25.4</v>
      </c>
      <c r="L336" s="7">
        <f t="shared" si="987"/>
        <v>11.88</v>
      </c>
      <c r="M336" s="7">
        <f t="shared" si="988"/>
        <v>11.88</v>
      </c>
      <c r="N336" s="38">
        <f>14.9*25.4</f>
        <v>378.46</v>
      </c>
      <c r="O336" s="38">
        <f>2.5*25.4</f>
        <v>63.5</v>
      </c>
      <c r="P336" s="39">
        <f>3.15*25.4</f>
        <v>80.009999999999991</v>
      </c>
      <c r="Q336" s="7">
        <f t="shared" si="989"/>
        <v>200.65999999999997</v>
      </c>
      <c r="R336" s="38">
        <v>2</v>
      </c>
      <c r="S336" s="4">
        <f t="shared" si="966"/>
        <v>260.34999999999997</v>
      </c>
      <c r="T336" s="7">
        <f t="shared" si="990"/>
        <v>3</v>
      </c>
      <c r="U336" s="7">
        <f t="shared" si="859"/>
        <v>3</v>
      </c>
      <c r="V336" s="38">
        <v>9.1</v>
      </c>
      <c r="W336" s="4">
        <f t="shared" si="991"/>
        <v>9.1</v>
      </c>
      <c r="X336" s="4">
        <f t="shared" si="992"/>
        <v>10.1</v>
      </c>
      <c r="Y336" s="7">
        <f t="shared" si="993"/>
        <v>80.72246279691916</v>
      </c>
      <c r="AB336" s="38">
        <f t="shared" si="1038"/>
        <v>667.58620689655174</v>
      </c>
      <c r="AC336" s="4">
        <v>96.8</v>
      </c>
      <c r="AD336" s="4">
        <f t="shared" si="899"/>
        <v>0.76884181445606981</v>
      </c>
      <c r="AE336" s="38"/>
      <c r="AF336" s="38"/>
      <c r="AG336" s="39">
        <v>1</v>
      </c>
      <c r="AH336" s="39"/>
      <c r="AI336" s="39"/>
      <c r="AJ336" s="7"/>
      <c r="AK336" s="4">
        <f t="shared" si="994"/>
        <v>301.75200000000001</v>
      </c>
      <c r="AL336" s="4">
        <f t="shared" si="910"/>
        <v>0.41806958473625139</v>
      </c>
      <c r="AM336" s="4">
        <f t="shared" si="911"/>
        <v>472.10368644310773</v>
      </c>
      <c r="AN336" s="4">
        <f t="shared" si="912"/>
        <v>0.75050505050505045</v>
      </c>
      <c r="AO336" s="4">
        <v>1.25</v>
      </c>
      <c r="AP336" s="4">
        <f t="shared" si="844"/>
        <v>2.5</v>
      </c>
      <c r="AQ336" s="38">
        <f t="shared" si="967"/>
        <v>462.90258447849288</v>
      </c>
      <c r="AR336" s="38">
        <f t="shared" si="913"/>
        <v>462.90258447849288</v>
      </c>
      <c r="AS336" s="38">
        <f t="shared" si="914"/>
        <v>4.9090792795570026</v>
      </c>
      <c r="AT336" s="38">
        <f t="shared" si="853"/>
        <v>462.90258447849283</v>
      </c>
      <c r="AU336" s="38">
        <f t="shared" si="820"/>
        <v>1.0000000000000002</v>
      </c>
      <c r="AV336" s="38">
        <f t="shared" si="954"/>
        <v>3.2574763629697041</v>
      </c>
      <c r="AW336" s="4">
        <f t="shared" si="940"/>
        <v>0</v>
      </c>
      <c r="AX336" s="4">
        <f t="shared" si="995"/>
        <v>570.70582559129025</v>
      </c>
      <c r="AY336" s="4">
        <f t="shared" si="968"/>
        <v>1</v>
      </c>
      <c r="AZ336" s="38">
        <f t="shared" si="837"/>
        <v>1507.894227296277</v>
      </c>
      <c r="BA336" s="4">
        <f t="shared" si="969"/>
        <v>0.3</v>
      </c>
      <c r="BB336" s="4">
        <f t="shared" si="970"/>
        <v>89.458138161434732</v>
      </c>
      <c r="BC336" s="4">
        <f t="shared" si="971"/>
        <v>1597.3523654577118</v>
      </c>
      <c r="BE336" s="4">
        <f t="shared" si="854"/>
        <v>1.375</v>
      </c>
      <c r="BF336" s="4">
        <f t="shared" si="860"/>
        <v>823.79800630142756</v>
      </c>
      <c r="BH336" s="4">
        <f t="shared" si="861"/>
        <v>1446.254967424999</v>
      </c>
      <c r="BI336" s="4">
        <f t="shared" si="1067"/>
        <v>0</v>
      </c>
      <c r="BJ336" s="4">
        <f t="shared" si="862"/>
        <v>0</v>
      </c>
      <c r="BR336" s="4">
        <f t="shared" si="972"/>
        <v>63.5</v>
      </c>
      <c r="BV336" s="9"/>
      <c r="BX336" s="9"/>
      <c r="BY336" s="9"/>
      <c r="BZ336" s="9">
        <f t="shared" si="973"/>
        <v>63.5</v>
      </c>
      <c r="CA336" s="9">
        <f t="shared" si="974"/>
        <v>100.32999999999998</v>
      </c>
      <c r="CB336" s="9">
        <f t="shared" si="821"/>
        <v>1.6934351397132028</v>
      </c>
      <c r="CC336" s="40">
        <f t="shared" si="996"/>
        <v>0</v>
      </c>
      <c r="CD336" s="9">
        <f t="shared" si="975"/>
        <v>0</v>
      </c>
      <c r="CE336" s="9">
        <f t="shared" si="976"/>
        <v>0</v>
      </c>
      <c r="CF336" s="9">
        <f t="shared" si="977"/>
        <v>0.99524931562137331</v>
      </c>
      <c r="CG336" s="9">
        <f t="shared" si="978"/>
        <v>0.68</v>
      </c>
      <c r="CH336" s="9">
        <f t="shared" si="822"/>
        <v>2.1620130482705213</v>
      </c>
      <c r="CI336" s="9">
        <f t="shared" si="823"/>
        <v>3.6612288684597578</v>
      </c>
      <c r="CJ336" s="40">
        <v>1</v>
      </c>
      <c r="CK336" s="9">
        <f t="shared" si="824"/>
        <v>393.65532793679313</v>
      </c>
      <c r="CM336" s="4">
        <f t="shared" si="979"/>
        <v>1.1697553747675289</v>
      </c>
      <c r="CN336" s="4">
        <f t="shared" si="980"/>
        <v>0.41793296290343485</v>
      </c>
      <c r="CO336" s="4">
        <f t="shared" si="946"/>
        <v>0.81037608951469353</v>
      </c>
      <c r="CP336" s="4">
        <f t="shared" si="981"/>
        <v>1.6958647820047847</v>
      </c>
      <c r="CQ336" s="4">
        <f t="shared" si="921"/>
        <v>0.76884181445606981</v>
      </c>
      <c r="CR336" s="4">
        <f t="shared" si="922"/>
        <v>0.76733459610941368</v>
      </c>
      <c r="CS336" s="4">
        <f t="shared" si="947"/>
        <v>0.93266016758314585</v>
      </c>
      <c r="CT336" s="4">
        <f t="shared" si="997"/>
        <v>0</v>
      </c>
      <c r="CU336" s="4">
        <f t="shared" si="1076"/>
        <v>1.1697553747675289</v>
      </c>
      <c r="CV336" s="4">
        <f t="shared" si="1076"/>
        <v>0.41793296290343485</v>
      </c>
      <c r="CW336" s="4">
        <f t="shared" si="1077"/>
        <v>1.6958647820047847</v>
      </c>
      <c r="CX336" s="4">
        <f t="shared" si="1078"/>
        <v>0.93266016758314585</v>
      </c>
      <c r="CY336" s="4">
        <f t="shared" si="1079"/>
        <v>0.76884181445606981</v>
      </c>
      <c r="CZ336" s="4">
        <f t="shared" si="1079"/>
        <v>0.76733459610941368</v>
      </c>
      <c r="DI336" s="4">
        <f t="shared" si="982"/>
        <v>301.75200000000001</v>
      </c>
      <c r="DL336" s="4">
        <f t="shared" si="900"/>
        <v>2.9695903730757705E-5</v>
      </c>
      <c r="DM336" s="4">
        <f t="shared" si="1009"/>
        <v>11.53243436507174</v>
      </c>
      <c r="DN336" s="4">
        <f t="shared" si="901"/>
        <v>0.19178320025437295</v>
      </c>
      <c r="DO336" s="4">
        <f t="shared" si="902"/>
        <v>5.9572416349546407</v>
      </c>
      <c r="DP336" s="4">
        <f t="shared" si="903"/>
        <v>9.1824155376039904</v>
      </c>
      <c r="DQ336" s="4">
        <f t="shared" si="904"/>
        <v>10.028307708666377</v>
      </c>
      <c r="DR336" s="38">
        <f t="shared" si="915"/>
        <v>868.30111779085132</v>
      </c>
      <c r="DS336" s="4">
        <f t="shared" si="829"/>
        <v>1.0000873539309141</v>
      </c>
      <c r="DT336" s="4">
        <f t="shared" si="905"/>
        <v>3.1780497164141401</v>
      </c>
      <c r="DU336" s="4">
        <f t="shared" si="842"/>
        <v>462.90258447849283</v>
      </c>
      <c r="DY336" s="4">
        <f t="shared" si="1037"/>
        <v>0.85</v>
      </c>
      <c r="DZ336" s="4">
        <f t="shared" si="830"/>
        <v>0.85</v>
      </c>
      <c r="EA336" s="4">
        <f t="shared" si="916"/>
        <v>1</v>
      </c>
      <c r="EB336" s="4">
        <f t="shared" si="831"/>
        <v>0.85</v>
      </c>
      <c r="ED336" s="4">
        <f t="shared" si="917"/>
        <v>870.00665717587572</v>
      </c>
      <c r="EE336" s="25">
        <f t="shared" si="918"/>
        <v>458.99069640471879</v>
      </c>
      <c r="EG336" s="4">
        <f t="shared" si="843"/>
        <v>0.72249999999999992</v>
      </c>
      <c r="EH336" s="4">
        <f t="shared" si="919"/>
        <v>11.53243436507174</v>
      </c>
      <c r="EK336" s="4">
        <f t="shared" si="906"/>
        <v>80.72246279691916</v>
      </c>
      <c r="EL336" s="4">
        <f t="shared" si="907"/>
        <v>3.1780497164141406</v>
      </c>
      <c r="EM336" s="4">
        <f t="shared" si="908"/>
        <v>9.5718369652407015E-2</v>
      </c>
      <c r="EP336" s="4">
        <f t="shared" si="998"/>
        <v>9.5718369652407015E-2</v>
      </c>
      <c r="EQ336" s="4">
        <f t="shared" si="960"/>
        <v>0.19146314983667795</v>
      </c>
      <c r="ER336" s="4">
        <f t="shared" si="1010"/>
        <v>5.9532630319103585</v>
      </c>
      <c r="ES336" s="4">
        <f t="shared" si="983"/>
        <v>9.1811381006820749</v>
      </c>
      <c r="ET336" s="4">
        <f t="shared" si="1011"/>
        <v>145.59153720308086</v>
      </c>
      <c r="EU336" s="4">
        <f t="shared" si="1012"/>
        <v>75.437999999999988</v>
      </c>
      <c r="EV336" s="4">
        <f t="shared" si="832"/>
        <v>2.9695903730757698E-5</v>
      </c>
      <c r="EW336" s="4">
        <f t="shared" si="984"/>
        <v>10.028646321640455</v>
      </c>
      <c r="EX336" s="4">
        <f t="shared" si="867"/>
        <v>868.22527490016978</v>
      </c>
      <c r="FG336" s="23">
        <f t="shared" si="1030"/>
        <v>1.2</v>
      </c>
      <c r="FH336" s="23">
        <f t="shared" si="1030"/>
        <v>0.6</v>
      </c>
      <c r="FI336" s="23">
        <f t="shared" si="952"/>
        <v>1</v>
      </c>
      <c r="FJ336" s="23">
        <f t="shared" si="1031"/>
        <v>1.8</v>
      </c>
      <c r="FK336" s="23">
        <f t="shared" si="1031"/>
        <v>0.8</v>
      </c>
      <c r="FL336" s="23">
        <f t="shared" si="1031"/>
        <v>0.8</v>
      </c>
      <c r="FM336" s="23">
        <f t="shared" si="923"/>
        <v>1</v>
      </c>
      <c r="FN336" s="23"/>
      <c r="FX336" s="4">
        <f t="shared" si="833"/>
        <v>1</v>
      </c>
      <c r="FY336" s="4">
        <f t="shared" si="890"/>
        <v>0.5</v>
      </c>
      <c r="FZ336" s="4">
        <f t="shared" si="834"/>
        <v>0</v>
      </c>
      <c r="GA336" s="4">
        <f t="shared" si="835"/>
        <v>715.78719677340246</v>
      </c>
    </row>
    <row r="337" spans="1:183" ht="12" hidden="1" customHeight="1" x14ac:dyDescent="0.3">
      <c r="A337" s="25">
        <v>319</v>
      </c>
      <c r="B337" s="4" t="s">
        <v>605</v>
      </c>
      <c r="C337" s="4">
        <v>2016</v>
      </c>
      <c r="D337" s="4" t="s">
        <v>309</v>
      </c>
      <c r="E337" s="24" t="s">
        <v>670</v>
      </c>
      <c r="F337" s="7" t="s">
        <v>481</v>
      </c>
      <c r="G337" s="38">
        <f t="shared" si="1080"/>
        <v>889.65517241379314</v>
      </c>
      <c r="H337" s="38">
        <f>11.97*25.4</f>
        <v>304.03800000000001</v>
      </c>
      <c r="I337" s="4">
        <f t="shared" si="985"/>
        <v>304.03800000000001</v>
      </c>
      <c r="J337" s="38">
        <f>12080/145</f>
        <v>83.310344827586206</v>
      </c>
      <c r="K337" s="38">
        <f t="shared" si="986"/>
        <v>25.4</v>
      </c>
      <c r="L337" s="7">
        <f t="shared" si="987"/>
        <v>11.97</v>
      </c>
      <c r="M337" s="7">
        <f t="shared" si="988"/>
        <v>11.97</v>
      </c>
      <c r="N337" s="38">
        <f>14.9*25.4</f>
        <v>378.46</v>
      </c>
      <c r="O337" s="38">
        <f>2.5*25.4</f>
        <v>63.5</v>
      </c>
      <c r="P337" s="39">
        <f>3.15*25.4</f>
        <v>80.009999999999991</v>
      </c>
      <c r="Q337" s="7">
        <f t="shared" si="989"/>
        <v>200.65999999999997</v>
      </c>
      <c r="R337" s="38">
        <v>2</v>
      </c>
      <c r="S337" s="4">
        <f t="shared" si="966"/>
        <v>260.34999999999997</v>
      </c>
      <c r="T337" s="7">
        <f t="shared" si="990"/>
        <v>3</v>
      </c>
      <c r="U337" s="7">
        <f t="shared" si="859"/>
        <v>3</v>
      </c>
      <c r="V337" s="38">
        <v>4.0999999999999996</v>
      </c>
      <c r="W337" s="4">
        <f t="shared" si="991"/>
        <v>4.0999999999999996</v>
      </c>
      <c r="X337" s="4">
        <f t="shared" si="992"/>
        <v>5.0999999999999996</v>
      </c>
      <c r="Y337" s="7">
        <f t="shared" si="993"/>
        <v>57.361276136431961</v>
      </c>
      <c r="AB337" s="38">
        <f t="shared" si="1038"/>
        <v>976.55172413793105</v>
      </c>
      <c r="AC337" s="4">
        <v>141.6</v>
      </c>
      <c r="AD337" s="4">
        <f t="shared" si="899"/>
        <v>1</v>
      </c>
      <c r="AE337" s="38">
        <f>0.5*25.4</f>
        <v>12.7</v>
      </c>
      <c r="AF337" s="38">
        <v>10</v>
      </c>
      <c r="AG337" s="39">
        <f>3*25.4</f>
        <v>76.199999999999989</v>
      </c>
      <c r="AH337" s="39">
        <v>3</v>
      </c>
      <c r="AI337" s="39">
        <f t="shared" ref="AI337:AI338" si="1081">AH337-1</f>
        <v>2</v>
      </c>
      <c r="AJ337" s="7"/>
      <c r="AK337" s="4">
        <f t="shared" si="994"/>
        <v>304.03800000000001</v>
      </c>
      <c r="AL337" s="4">
        <f t="shared" si="910"/>
        <v>0.41492620439988864</v>
      </c>
      <c r="AM337" s="4">
        <f t="shared" si="911"/>
        <v>477.47864890275287</v>
      </c>
      <c r="AN337" s="4">
        <f t="shared" si="912"/>
        <v>0.75012531328320797</v>
      </c>
      <c r="AO337" s="4">
        <v>1.25</v>
      </c>
      <c r="AP337" s="4">
        <f t="shared" si="844"/>
        <v>2.5</v>
      </c>
      <c r="AQ337" s="38">
        <f t="shared" si="967"/>
        <v>464.41759209689883</v>
      </c>
      <c r="AR337" s="38">
        <f t="shared" si="913"/>
        <v>464.41759209689883</v>
      </c>
      <c r="AS337" s="38">
        <f t="shared" si="914"/>
        <v>4.9090792795570026</v>
      </c>
      <c r="AT337" s="38">
        <f t="shared" si="853"/>
        <v>464.41759209689849</v>
      </c>
      <c r="AU337" s="38">
        <f t="shared" si="820"/>
        <v>1.0000000000000007</v>
      </c>
      <c r="AV337" s="38">
        <f t="shared" si="954"/>
        <v>2.179382445306437</v>
      </c>
      <c r="AW337" s="4">
        <f t="shared" si="940"/>
        <v>0</v>
      </c>
      <c r="AX337" s="4">
        <f t="shared" si="995"/>
        <v>575.02935457304238</v>
      </c>
      <c r="AY337" s="4">
        <f t="shared" si="968"/>
        <v>1</v>
      </c>
      <c r="AZ337" s="38">
        <f t="shared" si="837"/>
        <v>1012.143547507466</v>
      </c>
      <c r="BA337" s="4">
        <f t="shared" si="969"/>
        <v>0.42600000000000005</v>
      </c>
      <c r="BB337" s="4">
        <f t="shared" si="970"/>
        <v>127.99290888764065</v>
      </c>
      <c r="BC337" s="4">
        <f t="shared" si="971"/>
        <v>1140.1364563951067</v>
      </c>
      <c r="BE337" s="4">
        <f t="shared" si="854"/>
        <v>1.5</v>
      </c>
      <c r="BF337" s="4">
        <f t="shared" si="860"/>
        <v>902.38535142641001</v>
      </c>
      <c r="BH337" s="4">
        <f t="shared" si="861"/>
        <v>970.76943914993626</v>
      </c>
      <c r="BI337" s="4">
        <f t="shared" si="1067"/>
        <v>0</v>
      </c>
      <c r="BJ337" s="4">
        <f t="shared" si="862"/>
        <v>0</v>
      </c>
      <c r="BR337" s="4">
        <f t="shared" si="972"/>
        <v>63.5</v>
      </c>
      <c r="BV337" s="9"/>
      <c r="BX337" s="9"/>
      <c r="BY337" s="9"/>
      <c r="BZ337" s="9">
        <f t="shared" si="973"/>
        <v>63.5</v>
      </c>
      <c r="CA337" s="9">
        <f t="shared" si="974"/>
        <v>100.32999999999998</v>
      </c>
      <c r="CB337" s="9">
        <f t="shared" si="821"/>
        <v>1.6934351397132028</v>
      </c>
      <c r="CC337" s="40">
        <f t="shared" si="996"/>
        <v>20</v>
      </c>
      <c r="CD337" s="9">
        <f t="shared" si="975"/>
        <v>0.05</v>
      </c>
      <c r="CE337" s="9">
        <f t="shared" si="976"/>
        <v>0.8</v>
      </c>
      <c r="CF337" s="9">
        <f t="shared" si="977"/>
        <v>0.99524931562137331</v>
      </c>
      <c r="CG337" s="9">
        <f t="shared" si="978"/>
        <v>0.68</v>
      </c>
      <c r="CH337" s="9">
        <f t="shared" si="822"/>
        <v>2.1620130482705213</v>
      </c>
      <c r="CI337" s="9">
        <f t="shared" si="823"/>
        <v>5.3908393070761749</v>
      </c>
      <c r="CJ337" s="40">
        <v>1</v>
      </c>
      <c r="CK337" s="9">
        <f t="shared" si="824"/>
        <v>581.56374444737776</v>
      </c>
      <c r="CM337" s="4">
        <f t="shared" si="979"/>
        <v>1.6982641257732274</v>
      </c>
      <c r="CN337" s="4">
        <f t="shared" si="980"/>
        <v>0.85652179496619263</v>
      </c>
      <c r="CO337" s="4">
        <f t="shared" si="946"/>
        <v>1.0821892471927714</v>
      </c>
      <c r="CP337" s="4">
        <f t="shared" si="981"/>
        <v>1.6791826063123738</v>
      </c>
      <c r="CQ337" s="4">
        <f t="shared" si="921"/>
        <v>1</v>
      </c>
      <c r="CR337" s="4">
        <f t="shared" si="922"/>
        <v>1.0136499429452763</v>
      </c>
      <c r="CS337" s="4">
        <f t="shared" si="947"/>
        <v>1.2028972243265701</v>
      </c>
      <c r="CT337" s="4">
        <f t="shared" si="997"/>
        <v>10</v>
      </c>
      <c r="DA337" s="4">
        <f t="shared" ref="DA337:DB338" si="1082">CM337</f>
        <v>1.6982641257732274</v>
      </c>
      <c r="DB337" s="4">
        <f t="shared" si="1082"/>
        <v>0.85652179496619263</v>
      </c>
      <c r="DC337" s="4">
        <f t="shared" ref="DC337:DC338" si="1083">CP337</f>
        <v>1.6791826063123738</v>
      </c>
      <c r="DD337" s="4">
        <f t="shared" ref="DD337:DD338" si="1084">CS337</f>
        <v>1.2028972243265701</v>
      </c>
      <c r="DE337" s="4">
        <f t="shared" ref="DE337:DF338" si="1085">CQ337</f>
        <v>1</v>
      </c>
      <c r="DF337" s="4">
        <f t="shared" si="1085"/>
        <v>1.0136499429452763</v>
      </c>
      <c r="DI337" s="4">
        <f t="shared" si="982"/>
        <v>304.03800000000001</v>
      </c>
      <c r="DL337" s="4">
        <f t="shared" si="900"/>
        <v>2.9920872698414962E-5</v>
      </c>
      <c r="DM337" s="4">
        <f t="shared" si="1009"/>
        <v>14.003670300444258</v>
      </c>
      <c r="DN337" s="4">
        <f t="shared" si="901"/>
        <v>0.30346705842598626</v>
      </c>
      <c r="DO337" s="4">
        <f t="shared" si="902"/>
        <v>8.6913351903957725</v>
      </c>
      <c r="DP337" s="4">
        <f t="shared" si="903"/>
        <v>11.655828971927715</v>
      </c>
      <c r="DQ337" s="4">
        <f t="shared" si="904"/>
        <v>11.550994362927899</v>
      </c>
      <c r="DR337" s="38">
        <f t="shared" si="915"/>
        <v>976.55172413793105</v>
      </c>
      <c r="DS337" s="4">
        <f t="shared" si="829"/>
        <v>1</v>
      </c>
      <c r="DT337" s="4">
        <f t="shared" si="905"/>
        <v>2.2583179581272428</v>
      </c>
      <c r="DU337" s="4">
        <f t="shared" si="842"/>
        <v>464.41759209689849</v>
      </c>
      <c r="DY337" s="4">
        <f t="shared" si="1037"/>
        <v>0.85</v>
      </c>
      <c r="DZ337" s="4">
        <f t="shared" si="830"/>
        <v>0.85</v>
      </c>
      <c r="EA337" s="4">
        <f t="shared" si="916"/>
        <v>0.77500000000000002</v>
      </c>
      <c r="EB337" s="4">
        <f t="shared" si="831"/>
        <v>0.7</v>
      </c>
      <c r="ED337" s="4">
        <f t="shared" si="917"/>
        <v>963.40135066791186</v>
      </c>
      <c r="EE337" s="25">
        <f t="shared" si="918"/>
        <v>460.52955017895857</v>
      </c>
      <c r="EG337" s="4">
        <f t="shared" si="843"/>
        <v>0.59499999999999997</v>
      </c>
      <c r="EH337" s="4">
        <f t="shared" si="919"/>
        <v>14.003670300444258</v>
      </c>
      <c r="EK337" s="4">
        <f t="shared" si="906"/>
        <v>57.361276136431961</v>
      </c>
      <c r="EL337" s="4">
        <f t="shared" si="907"/>
        <v>2.2583179581272428</v>
      </c>
      <c r="EM337" s="4">
        <f t="shared" si="908"/>
        <v>0.15145941895442339</v>
      </c>
      <c r="EP337" s="4">
        <f t="shared" si="998"/>
        <v>0.15145941895442339</v>
      </c>
      <c r="EQ337" s="4">
        <f t="shared" si="960"/>
        <v>0.30296062846404442</v>
      </c>
      <c r="ER337" s="4">
        <f t="shared" si="1010"/>
        <v>8.6855305957920397</v>
      </c>
      <c r="ES337" s="4">
        <f t="shared" si="983"/>
        <v>11.653673027659503</v>
      </c>
      <c r="ET337" s="4">
        <f t="shared" si="1011"/>
        <v>170.66722386356804</v>
      </c>
      <c r="EU337" s="4">
        <f t="shared" si="1012"/>
        <v>76.009500000000003</v>
      </c>
      <c r="EV337" s="4">
        <f t="shared" si="832"/>
        <v>2.9920872698414962E-5</v>
      </c>
      <c r="EW337" s="4">
        <f t="shared" si="984"/>
        <v>11.55156359760425</v>
      </c>
      <c r="EX337" s="4">
        <f t="shared" si="867"/>
        <v>976.55172413793105</v>
      </c>
      <c r="FG337" s="23">
        <f t="shared" si="1030"/>
        <v>1.8</v>
      </c>
      <c r="FH337" s="23">
        <f t="shared" si="1030"/>
        <v>1</v>
      </c>
      <c r="FI337" s="23">
        <f t="shared" si="952"/>
        <v>1.4</v>
      </c>
      <c r="FJ337" s="23">
        <f t="shared" si="1031"/>
        <v>1.8</v>
      </c>
      <c r="FK337" s="23">
        <f t="shared" si="1031"/>
        <v>1.2</v>
      </c>
      <c r="FL337" s="23">
        <f t="shared" si="1031"/>
        <v>1.2</v>
      </c>
      <c r="FM337" s="23">
        <f t="shared" si="923"/>
        <v>0</v>
      </c>
      <c r="FN337" s="23"/>
      <c r="FX337" s="4">
        <f t="shared" si="833"/>
        <v>1</v>
      </c>
      <c r="FY337" s="4">
        <f t="shared" si="890"/>
        <v>0.44418604651162791</v>
      </c>
      <c r="FZ337" s="4">
        <f t="shared" si="834"/>
        <v>0.3</v>
      </c>
      <c r="GA337" s="4">
        <f t="shared" si="835"/>
        <v>811.83305139359993</v>
      </c>
    </row>
    <row r="338" spans="1:183" ht="12" hidden="1" customHeight="1" x14ac:dyDescent="0.3">
      <c r="A338" s="25">
        <v>320</v>
      </c>
      <c r="B338" s="4" t="s">
        <v>605</v>
      </c>
      <c r="C338" s="4">
        <v>2016</v>
      </c>
      <c r="D338" s="4" t="s">
        <v>309</v>
      </c>
      <c r="E338" s="24" t="s">
        <v>670</v>
      </c>
      <c r="F338" s="7" t="s">
        <v>482</v>
      </c>
      <c r="G338" s="38">
        <f t="shared" si="1080"/>
        <v>889.65517241379314</v>
      </c>
      <c r="H338" s="38">
        <f>12.13*25.4</f>
        <v>308.10199999999998</v>
      </c>
      <c r="I338" s="4">
        <f t="shared" si="985"/>
        <v>308.10199999999998</v>
      </c>
      <c r="J338" s="38">
        <f>12080/145</f>
        <v>83.310344827586206</v>
      </c>
      <c r="K338" s="38">
        <f t="shared" si="986"/>
        <v>25.4</v>
      </c>
      <c r="L338" s="7">
        <f t="shared" si="987"/>
        <v>12.129999999999999</v>
      </c>
      <c r="M338" s="7">
        <f t="shared" si="988"/>
        <v>12.129999999999999</v>
      </c>
      <c r="N338" s="38">
        <f>14.9*25.4</f>
        <v>378.46</v>
      </c>
      <c r="O338" s="38">
        <f>2.4*25.4</f>
        <v>60.959999999999994</v>
      </c>
      <c r="P338" s="39">
        <f>4.5*25.4</f>
        <v>114.3</v>
      </c>
      <c r="Q338" s="7">
        <f t="shared" si="989"/>
        <v>205.73999999999998</v>
      </c>
      <c r="R338" s="38">
        <v>2</v>
      </c>
      <c r="S338" s="4">
        <f t="shared" si="966"/>
        <v>260.34999999999997</v>
      </c>
      <c r="T338" s="7">
        <f t="shared" si="990"/>
        <v>2.9</v>
      </c>
      <c r="U338" s="7">
        <f t="shared" si="859"/>
        <v>2.9</v>
      </c>
      <c r="V338" s="38">
        <v>9.1</v>
      </c>
      <c r="W338" s="4">
        <f t="shared" si="991"/>
        <v>9.1</v>
      </c>
      <c r="X338" s="4">
        <f t="shared" si="992"/>
        <v>10.1</v>
      </c>
      <c r="Y338" s="7">
        <f t="shared" si="993"/>
        <v>80.72246279691916</v>
      </c>
      <c r="AB338" s="38">
        <f t="shared" si="1038"/>
        <v>1057.9310344827588</v>
      </c>
      <c r="AC338" s="4">
        <v>153.4</v>
      </c>
      <c r="AD338" s="4">
        <f t="shared" si="899"/>
        <v>1.0970371571867716</v>
      </c>
      <c r="AE338" s="38">
        <f>0.5*25.4</f>
        <v>12.7</v>
      </c>
      <c r="AF338" s="38">
        <v>10</v>
      </c>
      <c r="AG338" s="39">
        <f>3*25.4</f>
        <v>76.199999999999989</v>
      </c>
      <c r="AH338" s="39">
        <v>3</v>
      </c>
      <c r="AI338" s="39">
        <f t="shared" si="1081"/>
        <v>2</v>
      </c>
      <c r="AJ338" s="7"/>
      <c r="AK338" s="4">
        <f t="shared" si="994"/>
        <v>308.10199999999998</v>
      </c>
      <c r="AL338" s="4">
        <f t="shared" si="910"/>
        <v>0.40945314646881015</v>
      </c>
      <c r="AM338" s="4">
        <f t="shared" si="911"/>
        <v>487.08407640009438</v>
      </c>
      <c r="AN338" s="4">
        <f t="shared" si="912"/>
        <v>0.74781533388293486</v>
      </c>
      <c r="AO338" s="4">
        <v>1.25</v>
      </c>
      <c r="AP338" s="4">
        <f t="shared" si="844"/>
        <v>2.5</v>
      </c>
      <c r="AQ338" s="38">
        <f t="shared" si="967"/>
        <v>466.07148462925454</v>
      </c>
      <c r="AR338" s="38">
        <f t="shared" si="913"/>
        <v>466.07148462925454</v>
      </c>
      <c r="AS338" s="38">
        <f t="shared" si="914"/>
        <v>4.9090792795570026</v>
      </c>
      <c r="AT338" s="38">
        <f t="shared" si="853"/>
        <v>466.07148462925528</v>
      </c>
      <c r="AU338" s="38">
        <f t="shared" si="820"/>
        <v>0.99999999999999845</v>
      </c>
      <c r="AV338" s="38">
        <f t="shared" si="954"/>
        <v>3.1274839471157505</v>
      </c>
      <c r="AW338" s="4">
        <f t="shared" si="940"/>
        <v>0</v>
      </c>
      <c r="AX338" s="4">
        <f t="shared" si="995"/>
        <v>582.71562831837957</v>
      </c>
      <c r="AY338" s="4">
        <f t="shared" si="968"/>
        <v>1</v>
      </c>
      <c r="AZ338" s="38">
        <f t="shared" si="837"/>
        <v>1457.6310863864012</v>
      </c>
      <c r="BA338" s="4">
        <f t="shared" si="969"/>
        <v>0.3</v>
      </c>
      <c r="BB338" s="4">
        <f t="shared" si="970"/>
        <v>91.340674738905989</v>
      </c>
      <c r="BC338" s="4">
        <f t="shared" si="971"/>
        <v>1548.9717611253072</v>
      </c>
      <c r="BE338" s="4">
        <f t="shared" si="854"/>
        <v>1.5</v>
      </c>
      <c r="BF338" s="4">
        <f t="shared" si="860"/>
        <v>908.95711547867347</v>
      </c>
      <c r="BH338" s="4">
        <f t="shared" si="861"/>
        <v>1398.0464685108325</v>
      </c>
      <c r="BI338" s="4">
        <f t="shared" si="1067"/>
        <v>0</v>
      </c>
      <c r="BJ338" s="4">
        <f t="shared" si="862"/>
        <v>0</v>
      </c>
      <c r="BR338" s="4">
        <f t="shared" si="972"/>
        <v>60.959999999999994</v>
      </c>
      <c r="BV338" s="9"/>
      <c r="BX338" s="9"/>
      <c r="BY338" s="9"/>
      <c r="BZ338" s="9">
        <f t="shared" si="973"/>
        <v>60.959999999999994</v>
      </c>
      <c r="CA338" s="9">
        <f t="shared" si="974"/>
        <v>102.86999999999999</v>
      </c>
      <c r="CB338" s="9">
        <f t="shared" si="821"/>
        <v>1.6756842515389025</v>
      </c>
      <c r="CC338" s="40">
        <f t="shared" si="996"/>
        <v>20</v>
      </c>
      <c r="CD338" s="9">
        <f t="shared" si="975"/>
        <v>0.05</v>
      </c>
      <c r="CE338" s="9">
        <f t="shared" si="976"/>
        <v>0.8</v>
      </c>
      <c r="CF338" s="9">
        <f t="shared" si="977"/>
        <v>0.99524931562137331</v>
      </c>
      <c r="CG338" s="9">
        <f t="shared" si="978"/>
        <v>0.68</v>
      </c>
      <c r="CH338" s="9">
        <f t="shared" si="822"/>
        <v>2.1620130482705213</v>
      </c>
      <c r="CI338" s="9">
        <f t="shared" si="823"/>
        <v>5.3524616552249471</v>
      </c>
      <c r="CJ338" s="40">
        <v>1</v>
      </c>
      <c r="CK338" s="9">
        <f t="shared" si="824"/>
        <v>580.84913882501132</v>
      </c>
      <c r="CM338" s="47">
        <f t="shared" si="979"/>
        <v>1.8155185532534488</v>
      </c>
      <c r="CN338" s="47">
        <f t="shared" si="980"/>
        <v>0.68298923262112032</v>
      </c>
      <c r="CO338" s="47">
        <f t="shared" si="946"/>
        <v>1.1638954318825405</v>
      </c>
      <c r="CP338" s="47">
        <f t="shared" si="981"/>
        <v>1.8213525057863174</v>
      </c>
      <c r="CQ338" s="47">
        <f t="shared" si="921"/>
        <v>1.0970371571867716</v>
      </c>
      <c r="CR338" s="47">
        <f t="shared" si="922"/>
        <v>1.0886125437537382</v>
      </c>
      <c r="CS338" s="47">
        <f t="shared" si="947"/>
        <v>1.6074371142265871</v>
      </c>
      <c r="CT338" s="4">
        <f t="shared" si="997"/>
        <v>10</v>
      </c>
      <c r="DA338" s="4">
        <f t="shared" si="1082"/>
        <v>1.8155185532534488</v>
      </c>
      <c r="DB338" s="4">
        <f t="shared" si="1082"/>
        <v>0.68298923262112032</v>
      </c>
      <c r="DC338" s="4">
        <f t="shared" si="1083"/>
        <v>1.8213525057863174</v>
      </c>
      <c r="DD338" s="4">
        <f t="shared" si="1084"/>
        <v>1.6074371142265871</v>
      </c>
      <c r="DE338" s="4">
        <f t="shared" si="1085"/>
        <v>1.0970371571867716</v>
      </c>
      <c r="DF338" s="4">
        <f t="shared" si="1085"/>
        <v>1.0886125437537382</v>
      </c>
      <c r="DI338" s="4">
        <f t="shared" si="982"/>
        <v>308.10199999999998</v>
      </c>
      <c r="DL338" s="4">
        <f t="shared" si="900"/>
        <v>3.0320817529805633E-5</v>
      </c>
      <c r="DM338" s="4">
        <f t="shared" si="1009"/>
        <v>14.003670300444258</v>
      </c>
      <c r="DN338" s="4">
        <f t="shared" si="901"/>
        <v>0.19309609379305231</v>
      </c>
      <c r="DO338" s="4">
        <f t="shared" si="902"/>
        <v>7.2535610827259598</v>
      </c>
      <c r="DP338" s="4">
        <f t="shared" si="903"/>
        <v>11.156432004510634</v>
      </c>
      <c r="DQ338" s="4">
        <f t="shared" si="904"/>
        <v>11.699339681249116</v>
      </c>
      <c r="DR338" s="38">
        <f t="shared" si="915"/>
        <v>964.35296430223389</v>
      </c>
      <c r="DS338" s="4">
        <f t="shared" si="829"/>
        <v>1.0000956764469064</v>
      </c>
      <c r="DT338" s="4">
        <f t="shared" si="905"/>
        <v>3.1780497164141401</v>
      </c>
      <c r="DU338" s="4">
        <f t="shared" si="842"/>
        <v>466.07148462925528</v>
      </c>
      <c r="DY338" s="4">
        <f t="shared" si="1037"/>
        <v>0.85</v>
      </c>
      <c r="DZ338" s="4">
        <f t="shared" si="830"/>
        <v>0.86</v>
      </c>
      <c r="EA338" s="4">
        <f t="shared" si="916"/>
        <v>0.77500000000000002</v>
      </c>
      <c r="EB338" s="4">
        <f t="shared" si="831"/>
        <v>0.7</v>
      </c>
      <c r="ED338" s="4">
        <f t="shared" si="917"/>
        <v>971.81595100384948</v>
      </c>
      <c r="EE338" s="25">
        <f t="shared" si="918"/>
        <v>462.22238877068293</v>
      </c>
      <c r="EG338" s="4">
        <f t="shared" si="843"/>
        <v>0.59499999999999997</v>
      </c>
      <c r="EH338" s="4">
        <f t="shared" si="919"/>
        <v>14.003670300444258</v>
      </c>
      <c r="EK338" s="4">
        <f t="shared" si="906"/>
        <v>80.72246279691916</v>
      </c>
      <c r="EL338" s="4">
        <f t="shared" si="907"/>
        <v>3.1780497164141406</v>
      </c>
      <c r="EM338" s="4">
        <f t="shared" si="908"/>
        <v>9.6373630534918542E-2</v>
      </c>
      <c r="EP338" s="4">
        <f t="shared" si="998"/>
        <v>9.6373630534918542E-2</v>
      </c>
      <c r="EQ338" s="4">
        <f t="shared" si="960"/>
        <v>0.19277385240073133</v>
      </c>
      <c r="ER338" s="4">
        <f t="shared" si="1010"/>
        <v>7.2487167198523279</v>
      </c>
      <c r="ES338" s="4">
        <f t="shared" si="983"/>
        <v>11.154873027561752</v>
      </c>
      <c r="ET338" s="4">
        <f t="shared" si="1011"/>
        <v>150.35403720308082</v>
      </c>
      <c r="EU338" s="4">
        <f t="shared" si="1012"/>
        <v>77.025499999999994</v>
      </c>
      <c r="EV338" s="4">
        <f t="shared" si="832"/>
        <v>3.0320817529805633E-5</v>
      </c>
      <c r="EW338" s="4">
        <f t="shared" si="984"/>
        <v>11.699853993865201</v>
      </c>
      <c r="EX338" s="4">
        <f t="shared" si="867"/>
        <v>964.26070726387138</v>
      </c>
      <c r="FG338" s="23">
        <f t="shared" si="1030"/>
        <v>2</v>
      </c>
      <c r="FH338" s="23">
        <f t="shared" si="1030"/>
        <v>0.8</v>
      </c>
      <c r="FI338" s="23">
        <f t="shared" si="952"/>
        <v>1.8</v>
      </c>
      <c r="FJ338" s="23">
        <f t="shared" si="1031"/>
        <v>2</v>
      </c>
      <c r="FK338" s="23">
        <f t="shared" si="1031"/>
        <v>1.2</v>
      </c>
      <c r="FL338" s="23">
        <f t="shared" si="1031"/>
        <v>1.2</v>
      </c>
      <c r="FM338" s="23">
        <f t="shared" si="923"/>
        <v>0</v>
      </c>
      <c r="FN338" s="23"/>
      <c r="FX338" s="4">
        <f t="shared" si="833"/>
        <v>1.25</v>
      </c>
      <c r="FY338" s="4">
        <f t="shared" si="890"/>
        <v>0.44418604651162791</v>
      </c>
      <c r="FZ338" s="4">
        <f t="shared" si="834"/>
        <v>0.3</v>
      </c>
      <c r="GA338" s="4">
        <f t="shared" si="835"/>
        <v>658.14769680229688</v>
      </c>
    </row>
    <row r="339" spans="1:183" ht="12" hidden="1" customHeight="1" x14ac:dyDescent="0.3">
      <c r="A339" s="25">
        <v>321</v>
      </c>
      <c r="B339" s="4" t="s">
        <v>605</v>
      </c>
      <c r="C339" s="4">
        <v>2016</v>
      </c>
      <c r="D339" s="4" t="s">
        <v>309</v>
      </c>
      <c r="E339" s="24" t="s">
        <v>670</v>
      </c>
      <c r="F339" s="7" t="s">
        <v>483</v>
      </c>
      <c r="G339" s="38">
        <f t="shared" si="1080"/>
        <v>889.65517241379314</v>
      </c>
      <c r="H339" s="38">
        <f>12.21*25.4</f>
        <v>310.13400000000001</v>
      </c>
      <c r="I339" s="4">
        <f t="shared" si="985"/>
        <v>310.13400000000001</v>
      </c>
      <c r="J339" s="38">
        <f>12040/145</f>
        <v>83.034482758620683</v>
      </c>
      <c r="K339" s="38">
        <f t="shared" si="986"/>
        <v>25.4</v>
      </c>
      <c r="L339" s="7">
        <f t="shared" si="987"/>
        <v>12.21</v>
      </c>
      <c r="M339" s="7">
        <f t="shared" si="988"/>
        <v>12.21</v>
      </c>
      <c r="N339" s="38">
        <f>14.8*25.4</f>
        <v>375.92</v>
      </c>
      <c r="O339" s="38">
        <f>2.5*25.4</f>
        <v>63.5</v>
      </c>
      <c r="P339" s="39">
        <f>2.83*25.4</f>
        <v>71.881999999999991</v>
      </c>
      <c r="Q339" s="7">
        <f t="shared" si="989"/>
        <v>86.360000000000014</v>
      </c>
      <c r="R339" s="38">
        <v>3</v>
      </c>
      <c r="S339" s="4">
        <f t="shared" si="966"/>
        <v>260.34999999999997</v>
      </c>
      <c r="T339" s="7">
        <f t="shared" si="990"/>
        <v>2.2000000000000002</v>
      </c>
      <c r="U339" s="7">
        <f t="shared" si="859"/>
        <v>3</v>
      </c>
      <c r="V339" s="38">
        <v>4.0999999999999996</v>
      </c>
      <c r="W339" s="4">
        <f t="shared" si="991"/>
        <v>4.0999999999999996</v>
      </c>
      <c r="X339" s="4">
        <f t="shared" si="992"/>
        <v>5.0999999999999996</v>
      </c>
      <c r="Y339" s="7">
        <f t="shared" si="993"/>
        <v>57.361276136431961</v>
      </c>
      <c r="AB339" s="38">
        <f t="shared" si="1038"/>
        <v>656.55172413793105</v>
      </c>
      <c r="AC339" s="4">
        <v>95.2</v>
      </c>
      <c r="AD339" s="4">
        <f t="shared" si="899"/>
        <v>0.93271114834467483</v>
      </c>
      <c r="AE339" s="38"/>
      <c r="AF339" s="38"/>
      <c r="AG339" s="39">
        <v>1</v>
      </c>
      <c r="AH339" s="39"/>
      <c r="AI339" s="39"/>
      <c r="AJ339" s="7"/>
      <c r="AK339" s="4">
        <f t="shared" si="994"/>
        <v>310.13400000000001</v>
      </c>
      <c r="AL339" s="4">
        <f t="shared" si="910"/>
        <v>0.40404040404040403</v>
      </c>
      <c r="AM339" s="4">
        <f t="shared" si="911"/>
        <v>327.39703640569854</v>
      </c>
      <c r="AN339" s="4">
        <f t="shared" si="912"/>
        <v>0.74914004914004906</v>
      </c>
      <c r="AO339" s="4">
        <v>1.25</v>
      </c>
      <c r="AP339" s="4">
        <f t="shared" si="844"/>
        <v>2.5</v>
      </c>
      <c r="AQ339" s="38">
        <f t="shared" si="967"/>
        <v>309.67958578443364</v>
      </c>
      <c r="AR339" s="38">
        <f t="shared" si="913"/>
        <v>309.67958578443364</v>
      </c>
      <c r="AS339" s="38">
        <f t="shared" si="914"/>
        <v>4.9032987715448586</v>
      </c>
      <c r="AT339" s="38">
        <f t="shared" si="853"/>
        <v>309.6795857844337</v>
      </c>
      <c r="AU339" s="38">
        <f t="shared" ref="AU339:AU402" si="1086">AQ339/AT339</f>
        <v>0.99999999999999978</v>
      </c>
      <c r="AV339" s="38">
        <f t="shared" si="954"/>
        <v>2.7363293710546137</v>
      </c>
      <c r="AW339" s="4">
        <f t="shared" si="940"/>
        <v>0</v>
      </c>
      <c r="AX339" s="4">
        <f t="shared" si="995"/>
        <v>585.58683616346411</v>
      </c>
      <c r="AY339" s="4">
        <f t="shared" si="968"/>
        <v>1.1454545454545455</v>
      </c>
      <c r="AZ339" s="38">
        <f t="shared" si="837"/>
        <v>847.38534619797281</v>
      </c>
      <c r="BA339" s="4">
        <f t="shared" si="969"/>
        <v>0.42600000000000005</v>
      </c>
      <c r="BB339" s="4">
        <f t="shared" si="970"/>
        <v>130.34284592744467</v>
      </c>
      <c r="BC339" s="4">
        <f t="shared" si="971"/>
        <v>977.72819212541754</v>
      </c>
      <c r="BE339" s="4">
        <f t="shared" si="854"/>
        <v>1.375</v>
      </c>
      <c r="BF339" s="4">
        <f t="shared" si="860"/>
        <v>834.83712497506826</v>
      </c>
      <c r="BH339" s="4">
        <f t="shared" si="861"/>
        <v>812.74617547903938</v>
      </c>
      <c r="BI339" s="4">
        <f t="shared" si="1067"/>
        <v>0</v>
      </c>
      <c r="BJ339" s="4">
        <f t="shared" si="862"/>
        <v>0</v>
      </c>
      <c r="BR339" s="4">
        <f t="shared" si="972"/>
        <v>43.180000000000007</v>
      </c>
      <c r="BV339" s="9"/>
      <c r="BX339" s="9"/>
      <c r="BY339" s="9"/>
      <c r="BZ339" s="9">
        <f t="shared" si="973"/>
        <v>43.180000000000007</v>
      </c>
      <c r="CA339" s="9">
        <f t="shared" si="974"/>
        <v>63.5</v>
      </c>
      <c r="CB339" s="9">
        <f t="shared" ref="CB339:CB402" si="1087">(BZ339/K339)^0.5*(CA339/BZ339)^0.15</f>
        <v>1.3814912030111532</v>
      </c>
      <c r="CC339" s="40">
        <f t="shared" si="996"/>
        <v>0</v>
      </c>
      <c r="CD339" s="9">
        <f t="shared" si="975"/>
        <v>0</v>
      </c>
      <c r="CE339" s="9">
        <f t="shared" si="976"/>
        <v>0</v>
      </c>
      <c r="CF339" s="9">
        <f t="shared" si="977"/>
        <v>0.99524931562137331</v>
      </c>
      <c r="CG339" s="9">
        <f t="shared" si="978"/>
        <v>0.68</v>
      </c>
      <c r="CH339" s="9">
        <f t="shared" ref="CH339:CH402" si="1088">1.75*CF339*CG339*(J339/25)^0.5</f>
        <v>2.1584305883972208</v>
      </c>
      <c r="CI339" s="9">
        <f t="shared" ref="CI339:CI402" si="1089">MIN((CB339+CE339)*CH339,2.5*CH339,J339^0.5)</f>
        <v>2.9818528701809477</v>
      </c>
      <c r="CJ339" s="40">
        <v>1</v>
      </c>
      <c r="CK339" s="9">
        <f t="shared" ref="CK339:CK402" si="1090">4*CI339*M339+60*CI339</f>
        <v>324.54486639049435</v>
      </c>
      <c r="CM339" s="4">
        <f t="shared" si="979"/>
        <v>1.1211859345052924</v>
      </c>
      <c r="CN339" s="4">
        <f t="shared" si="980"/>
        <v>0.67150740811789156</v>
      </c>
      <c r="CO339" s="4">
        <f t="shared" si="946"/>
        <v>0.78644289346564267</v>
      </c>
      <c r="CP339" s="4">
        <f t="shared" si="981"/>
        <v>2.0229921718988586</v>
      </c>
      <c r="CQ339" s="4">
        <f t="shared" si="921"/>
        <v>0.93271114834467483</v>
      </c>
      <c r="CR339" s="4">
        <f t="shared" si="922"/>
        <v>0.94794472349162318</v>
      </c>
      <c r="CS339" s="4">
        <f t="shared" si="947"/>
        <v>1.4291107675846266</v>
      </c>
      <c r="CT339" s="4">
        <f t="shared" si="997"/>
        <v>0</v>
      </c>
      <c r="CU339" s="4">
        <f t="shared" ref="CU339:CV340" si="1091">CM339</f>
        <v>1.1211859345052924</v>
      </c>
      <c r="CV339" s="4">
        <f t="shared" si="1091"/>
        <v>0.67150740811789156</v>
      </c>
      <c r="CW339" s="4">
        <f t="shared" ref="CW339:CW340" si="1092">CP339</f>
        <v>2.0229921718988586</v>
      </c>
      <c r="CX339" s="4">
        <f t="shared" ref="CX339:CX340" si="1093">CS339</f>
        <v>1.4291107675846266</v>
      </c>
      <c r="CY339" s="4">
        <f t="shared" ref="CY339:CZ340" si="1094">CQ339</f>
        <v>0.93271114834467483</v>
      </c>
      <c r="CZ339" s="4">
        <f t="shared" si="1094"/>
        <v>0.94794472349162318</v>
      </c>
      <c r="DI339" s="4">
        <f t="shared" si="982"/>
        <v>310.13400000000001</v>
      </c>
      <c r="DL339" s="4">
        <f t="shared" si="900"/>
        <v>3.0470314501583804E-5</v>
      </c>
      <c r="DM339" s="4">
        <f t="shared" si="1009"/>
        <v>10.522931541773643</v>
      </c>
      <c r="DN339" s="4">
        <f t="shared" si="901"/>
        <v>0.20302799106025782</v>
      </c>
      <c r="DO339" s="4">
        <f t="shared" si="902"/>
        <v>5.5610796061263308</v>
      </c>
      <c r="DP339" s="4">
        <f t="shared" si="903"/>
        <v>8.4192567222681305</v>
      </c>
      <c r="DQ339" s="4">
        <f t="shared" si="904"/>
        <v>9.1449023297148457</v>
      </c>
      <c r="DR339" s="38">
        <f t="shared" si="915"/>
        <v>703.91752613136816</v>
      </c>
      <c r="DS339" s="4">
        <f t="shared" ref="DS339:DS402" si="1095">DR339/EX339</f>
        <v>1.0000906937085883</v>
      </c>
      <c r="DT339" s="4">
        <f t="shared" si="905"/>
        <v>2.2583179581272428</v>
      </c>
      <c r="DU339" s="4">
        <f t="shared" si="842"/>
        <v>309.6795857844337</v>
      </c>
      <c r="DY339" s="4">
        <f t="shared" si="1037"/>
        <v>0.85</v>
      </c>
      <c r="DZ339" s="4">
        <f t="shared" ref="DZ339:DZ402" si="1096">MIN(1,MAX(0.7,(1-0.1*(BR339-1*K339)/K339)))</f>
        <v>0.92999999999999994</v>
      </c>
      <c r="EA339" s="4">
        <f t="shared" si="916"/>
        <v>1</v>
      </c>
      <c r="EB339" s="4">
        <f t="shared" ref="EB339:EB402" si="1097">IF(DZ339*EA339&lt;0.7,0.7,DZ339*EA339)</f>
        <v>0.92999999999999994</v>
      </c>
      <c r="ED339" s="4">
        <f t="shared" si="917"/>
        <v>692.60549467442956</v>
      </c>
      <c r="EE339" s="25">
        <f t="shared" si="918"/>
        <v>307.15051229926104</v>
      </c>
      <c r="EG339" s="4">
        <f t="shared" si="843"/>
        <v>0.79049999999999998</v>
      </c>
      <c r="EH339" s="4">
        <f t="shared" si="919"/>
        <v>10.522931541773643</v>
      </c>
      <c r="EK339" s="4">
        <f t="shared" si="906"/>
        <v>57.361276136431961</v>
      </c>
      <c r="EL339" s="4">
        <f t="shared" si="907"/>
        <v>2.2583179581272428</v>
      </c>
      <c r="EM339" s="4">
        <f t="shared" si="908"/>
        <v>0.10116270304638737</v>
      </c>
      <c r="EP339" s="4">
        <f t="shared" si="998"/>
        <v>0.10116270304638737</v>
      </c>
      <c r="EQ339" s="4">
        <f t="shared" si="960"/>
        <v>0.20268917518245202</v>
      </c>
      <c r="ER339" s="4">
        <f t="shared" si="1010"/>
        <v>5.5573655838310794</v>
      </c>
      <c r="ES339" s="4">
        <f t="shared" si="983"/>
        <v>8.4180413557659541</v>
      </c>
      <c r="ET339" s="4">
        <f t="shared" si="1011"/>
        <v>175.23922386356804</v>
      </c>
      <c r="EU339" s="4">
        <f t="shared" si="1012"/>
        <v>77.533500000000004</v>
      </c>
      <c r="EV339" s="4">
        <f t="shared" ref="EV339:EV402" si="1098">EU339/(1-0.3*(J339/30)^0.5)/200000/K339</f>
        <v>3.0470314501583804E-5</v>
      </c>
      <c r="EW339" s="4">
        <f t="shared" si="984"/>
        <v>9.145168898955335</v>
      </c>
      <c r="EX339" s="4">
        <f t="shared" si="867"/>
        <v>703.85369102982509</v>
      </c>
      <c r="FG339" s="23">
        <f t="shared" si="1030"/>
        <v>1.2</v>
      </c>
      <c r="FH339" s="23">
        <f t="shared" si="1030"/>
        <v>0.8</v>
      </c>
      <c r="FI339" s="23">
        <f t="shared" si="952"/>
        <v>1.6</v>
      </c>
      <c r="FJ339" s="23">
        <f t="shared" si="1031"/>
        <v>2.2000000000000002</v>
      </c>
      <c r="FK339" s="23">
        <f t="shared" si="1031"/>
        <v>1</v>
      </c>
      <c r="FL339" s="23">
        <f t="shared" si="1031"/>
        <v>1</v>
      </c>
      <c r="FM339" s="23">
        <f t="shared" si="923"/>
        <v>0</v>
      </c>
      <c r="FN339" s="23"/>
      <c r="FX339" s="4">
        <f t="shared" ref="FX339:FX402" si="1099">IF(O339&gt;=2.5*25.4,1,1.25)</f>
        <v>1</v>
      </c>
      <c r="FY339" s="4">
        <f t="shared" si="890"/>
        <v>0.79999999999999982</v>
      </c>
      <c r="FZ339" s="4">
        <f t="shared" ref="FZ339:FZ402" si="1100">MIN(0.3, AE339^2*PI()/4*2*AH339/(K339^2*PI()/4*R339))</f>
        <v>0</v>
      </c>
      <c r="GA339" s="4">
        <f t="shared" ref="GA339:GA402" si="1101">(H339/25.4)/(K339/25.4)^1.5/0.0024*(J339*145)^0.25/FX339/FY339/145</f>
        <v>459.41276143876826</v>
      </c>
    </row>
    <row r="340" spans="1:183" ht="12" hidden="1" customHeight="1" x14ac:dyDescent="0.3">
      <c r="A340" s="25">
        <v>322</v>
      </c>
      <c r="B340" s="4" t="s">
        <v>605</v>
      </c>
      <c r="C340" s="4">
        <v>2016</v>
      </c>
      <c r="D340" s="4" t="s">
        <v>309</v>
      </c>
      <c r="E340" s="24" t="s">
        <v>670</v>
      </c>
      <c r="F340" s="7" t="s">
        <v>484</v>
      </c>
      <c r="G340" s="38">
        <f t="shared" si="1080"/>
        <v>889.65517241379314</v>
      </c>
      <c r="H340" s="38">
        <f>12.04*25.4</f>
        <v>305.81599999999997</v>
      </c>
      <c r="I340" s="4">
        <f t="shared" si="985"/>
        <v>305.81599999999997</v>
      </c>
      <c r="J340" s="38">
        <f>12040/145</f>
        <v>83.034482758620683</v>
      </c>
      <c r="K340" s="38">
        <f t="shared" si="986"/>
        <v>25.4</v>
      </c>
      <c r="L340" s="7">
        <f t="shared" si="987"/>
        <v>12.04</v>
      </c>
      <c r="M340" s="7">
        <f t="shared" si="988"/>
        <v>12.04</v>
      </c>
      <c r="N340" s="38">
        <f>14.8*25.4</f>
        <v>375.92</v>
      </c>
      <c r="O340" s="38">
        <f>2.4*25.4</f>
        <v>60.959999999999994</v>
      </c>
      <c r="P340" s="39">
        <f>3*25.4</f>
        <v>76.199999999999989</v>
      </c>
      <c r="Q340" s="7">
        <f t="shared" si="989"/>
        <v>88.90000000000002</v>
      </c>
      <c r="R340" s="38">
        <v>3</v>
      </c>
      <c r="S340" s="4">
        <f t="shared" si="966"/>
        <v>260.34999999999997</v>
      </c>
      <c r="T340" s="7">
        <f t="shared" si="990"/>
        <v>2.2500000000000004</v>
      </c>
      <c r="U340" s="7">
        <f t="shared" si="859"/>
        <v>2.9</v>
      </c>
      <c r="V340" s="38">
        <v>9.1</v>
      </c>
      <c r="W340" s="4">
        <f t="shared" si="991"/>
        <v>9.1</v>
      </c>
      <c r="X340" s="4">
        <f t="shared" si="992"/>
        <v>10.1</v>
      </c>
      <c r="Y340" s="7">
        <f t="shared" si="993"/>
        <v>80.72246279691916</v>
      </c>
      <c r="AB340" s="38">
        <f t="shared" si="1038"/>
        <v>657.93103448275872</v>
      </c>
      <c r="AC340" s="4">
        <v>95.4</v>
      </c>
      <c r="AD340" s="4">
        <f t="shared" si="899"/>
        <v>0.98191767642597505</v>
      </c>
      <c r="AE340" s="38"/>
      <c r="AF340" s="38"/>
      <c r="AG340" s="39">
        <v>1</v>
      </c>
      <c r="AH340" s="39"/>
      <c r="AI340" s="39"/>
      <c r="AJ340" s="7"/>
      <c r="AK340" s="4">
        <f t="shared" si="994"/>
        <v>305.81599999999997</v>
      </c>
      <c r="AL340" s="4">
        <f t="shared" si="910"/>
        <v>0.40974529346622368</v>
      </c>
      <c r="AM340" s="4">
        <f t="shared" si="911"/>
        <v>320.58336143631669</v>
      </c>
      <c r="AN340" s="4">
        <f t="shared" si="912"/>
        <v>0.74817275747508305</v>
      </c>
      <c r="AO340" s="4">
        <v>1.25</v>
      </c>
      <c r="AP340" s="4">
        <f t="shared" si="844"/>
        <v>2.5</v>
      </c>
      <c r="AQ340" s="38">
        <f t="shared" si="967"/>
        <v>307.11912681610914</v>
      </c>
      <c r="AR340" s="38">
        <f t="shared" si="913"/>
        <v>307.11912681610914</v>
      </c>
      <c r="AS340" s="38">
        <f t="shared" si="914"/>
        <v>4.9032987715448586</v>
      </c>
      <c r="AT340" s="38">
        <f t="shared" si="853"/>
        <v>307.11912681610875</v>
      </c>
      <c r="AU340" s="38">
        <f t="shared" si="1086"/>
        <v>1.0000000000000013</v>
      </c>
      <c r="AV340" s="38">
        <f t="shared" si="954"/>
        <v>4.0942657997691452</v>
      </c>
      <c r="AW340" s="4">
        <f t="shared" si="940"/>
        <v>0</v>
      </c>
      <c r="AX340" s="4">
        <f t="shared" si="995"/>
        <v>577.43370249042641</v>
      </c>
      <c r="AY340" s="4">
        <f t="shared" si="968"/>
        <v>1.1155555555555554</v>
      </c>
      <c r="AZ340" s="38">
        <f t="shared" ref="AZ340:AZ403" si="1102">2*J340*T340*V340^0.5*AY340*0.7/0.7</f>
        <v>1257.4273373781571</v>
      </c>
      <c r="BA340" s="4">
        <f t="shared" si="969"/>
        <v>0.3</v>
      </c>
      <c r="BB340" s="4">
        <f t="shared" si="970"/>
        <v>90.512732865374318</v>
      </c>
      <c r="BC340" s="4">
        <f t="shared" si="971"/>
        <v>1347.9400702435314</v>
      </c>
      <c r="BE340" s="4">
        <f t="shared" si="854"/>
        <v>1.35</v>
      </c>
      <c r="BF340" s="4">
        <f t="shared" si="860"/>
        <v>813.38443179593753</v>
      </c>
      <c r="BH340" s="4">
        <f t="shared" si="861"/>
        <v>1206.0265898888088</v>
      </c>
      <c r="BI340" s="4">
        <f t="shared" si="1067"/>
        <v>0</v>
      </c>
      <c r="BJ340" s="4">
        <f t="shared" si="862"/>
        <v>0</v>
      </c>
      <c r="BR340" s="4">
        <f t="shared" si="972"/>
        <v>44.45000000000001</v>
      </c>
      <c r="BV340" s="9"/>
      <c r="BX340" s="9"/>
      <c r="BY340" s="9"/>
      <c r="BZ340" s="9">
        <f t="shared" si="973"/>
        <v>44.45000000000001</v>
      </c>
      <c r="CA340" s="9">
        <f t="shared" si="974"/>
        <v>60.959999999999994</v>
      </c>
      <c r="CB340" s="9">
        <f t="shared" si="1087"/>
        <v>1.3870592192954589</v>
      </c>
      <c r="CC340" s="40">
        <f t="shared" si="996"/>
        <v>0</v>
      </c>
      <c r="CD340" s="9">
        <f t="shared" si="975"/>
        <v>0</v>
      </c>
      <c r="CE340" s="9">
        <f t="shared" si="976"/>
        <v>0</v>
      </c>
      <c r="CF340" s="9">
        <f t="shared" si="977"/>
        <v>0.99524931562137331</v>
      </c>
      <c r="CG340" s="9">
        <f t="shared" si="978"/>
        <v>0.68</v>
      </c>
      <c r="CH340" s="9">
        <f t="shared" si="1088"/>
        <v>2.1584305883972208</v>
      </c>
      <c r="CI340" s="9">
        <f t="shared" si="1089"/>
        <v>2.9938710468456873</v>
      </c>
      <c r="CJ340" s="40">
        <v>1</v>
      </c>
      <c r="CK340" s="9">
        <f t="shared" si="1090"/>
        <v>323.8170924268295</v>
      </c>
      <c r="CM340" s="4">
        <f t="shared" si="979"/>
        <v>1.1394053233213677</v>
      </c>
      <c r="CN340" s="4">
        <f t="shared" si="980"/>
        <v>0.48810110256896716</v>
      </c>
      <c r="CO340" s="4">
        <f t="shared" si="946"/>
        <v>0.80888078104723415</v>
      </c>
      <c r="CP340" s="4">
        <f t="shared" si="981"/>
        <v>2.031798351198606</v>
      </c>
      <c r="CQ340" s="4">
        <f t="shared" si="921"/>
        <v>0.98191767642597505</v>
      </c>
      <c r="CR340" s="4">
        <f t="shared" si="922"/>
        <v>0.95810293219723919</v>
      </c>
      <c r="CS340" s="4">
        <f t="shared" si="947"/>
        <v>1.7965068604388503</v>
      </c>
      <c r="CT340" s="4">
        <f t="shared" si="997"/>
        <v>0</v>
      </c>
      <c r="CU340" s="4">
        <f t="shared" si="1091"/>
        <v>1.1394053233213677</v>
      </c>
      <c r="CV340" s="4">
        <f t="shared" si="1091"/>
        <v>0.48810110256896716</v>
      </c>
      <c r="CW340" s="4">
        <f t="shared" si="1092"/>
        <v>2.031798351198606</v>
      </c>
      <c r="CX340" s="4">
        <f t="shared" si="1093"/>
        <v>1.7965068604388503</v>
      </c>
      <c r="CY340" s="4">
        <f t="shared" si="1094"/>
        <v>0.98191767642597505</v>
      </c>
      <c r="CZ340" s="4">
        <f t="shared" si="1094"/>
        <v>0.95810293219723919</v>
      </c>
      <c r="DI340" s="4">
        <f t="shared" si="982"/>
        <v>305.81599999999997</v>
      </c>
      <c r="DL340" s="4">
        <f t="shared" si="900"/>
        <v>3.0046075888539634E-5</v>
      </c>
      <c r="DM340" s="4">
        <f t="shared" si="1009"/>
        <v>10.579812252810257</v>
      </c>
      <c r="DN340" s="4">
        <f t="shared" si="901"/>
        <v>0.12766394702668557</v>
      </c>
      <c r="DO340" s="4">
        <f t="shared" si="902"/>
        <v>4.644139621228903</v>
      </c>
      <c r="DP340" s="4">
        <f t="shared" si="903"/>
        <v>8.1774866988974395</v>
      </c>
      <c r="DQ340" s="4">
        <f t="shared" si="904"/>
        <v>9.3416699532155363</v>
      </c>
      <c r="DR340" s="38">
        <f t="shared" si="915"/>
        <v>670.04704190429038</v>
      </c>
      <c r="DS340" s="4">
        <f t="shared" si="1095"/>
        <v>1.0000847806726894</v>
      </c>
      <c r="DT340" s="4">
        <f t="shared" si="905"/>
        <v>3.1780497164141401</v>
      </c>
      <c r="DU340" s="4">
        <f t="shared" ref="DU340:DU403" si="1103">MIN(DT$10*AT340)</f>
        <v>307.11912681610875</v>
      </c>
      <c r="DY340" s="4">
        <f t="shared" si="1037"/>
        <v>0.85</v>
      </c>
      <c r="DZ340" s="4">
        <f t="shared" si="1096"/>
        <v>0.92499999999999993</v>
      </c>
      <c r="EA340" s="4">
        <f t="shared" si="916"/>
        <v>1</v>
      </c>
      <c r="EB340" s="4">
        <f t="shared" si="1097"/>
        <v>0.92499999999999993</v>
      </c>
      <c r="ED340" s="4">
        <f t="shared" si="917"/>
        <v>686.70182751023481</v>
      </c>
      <c r="EE340" s="25">
        <f t="shared" si="918"/>
        <v>304.55900893872837</v>
      </c>
      <c r="EG340" s="4">
        <f t="shared" ref="EG340:EG403" si="1104">DY340*EB340</f>
        <v>0.78624999999999989</v>
      </c>
      <c r="EH340" s="4">
        <f t="shared" si="919"/>
        <v>10.579812252810257</v>
      </c>
      <c r="EK340" s="4">
        <f t="shared" si="906"/>
        <v>80.72246279691916</v>
      </c>
      <c r="EL340" s="4">
        <f t="shared" si="907"/>
        <v>3.1780497164141406</v>
      </c>
      <c r="EM340" s="4">
        <f t="shared" si="908"/>
        <v>6.3611080892571392E-2</v>
      </c>
      <c r="EP340" s="4">
        <f t="shared" si="998"/>
        <v>6.3611080892571392E-2</v>
      </c>
      <c r="EQ340" s="4">
        <f t="shared" si="960"/>
        <v>0.12745089969242338</v>
      </c>
      <c r="ER340" s="4">
        <f t="shared" si="1010"/>
        <v>4.6410379864174711</v>
      </c>
      <c r="ES340" s="4">
        <f t="shared" si="983"/>
        <v>8.1766235950125274</v>
      </c>
      <c r="ET340" s="4">
        <f t="shared" si="1011"/>
        <v>148.63953720308081</v>
      </c>
      <c r="EU340" s="4">
        <f t="shared" si="1012"/>
        <v>76.454000000000008</v>
      </c>
      <c r="EV340" s="4">
        <f t="shared" si="1098"/>
        <v>3.0046075888539644E-5</v>
      </c>
      <c r="EW340" s="4">
        <f t="shared" si="984"/>
        <v>9.3419049814059338</v>
      </c>
      <c r="EX340" s="4">
        <f t="shared" si="867"/>
        <v>669.99023968107485</v>
      </c>
      <c r="FG340" s="23">
        <f t="shared" si="1030"/>
        <v>1.2</v>
      </c>
      <c r="FH340" s="23">
        <f t="shared" si="1030"/>
        <v>0.6</v>
      </c>
      <c r="FI340" s="23">
        <f t="shared" si="952"/>
        <v>1.8</v>
      </c>
      <c r="FJ340" s="23">
        <f t="shared" si="1031"/>
        <v>2.2000000000000002</v>
      </c>
      <c r="FK340" s="23">
        <f t="shared" si="1031"/>
        <v>1</v>
      </c>
      <c r="FL340" s="23">
        <f t="shared" si="1031"/>
        <v>1</v>
      </c>
      <c r="FM340" s="23">
        <f t="shared" si="923"/>
        <v>0</v>
      </c>
      <c r="FN340" s="23"/>
      <c r="FX340" s="4">
        <f t="shared" si="1099"/>
        <v>1.25</v>
      </c>
      <c r="FY340" s="4">
        <f t="shared" si="890"/>
        <v>0.79166666666666663</v>
      </c>
      <c r="FZ340" s="4">
        <f t="shared" si="1100"/>
        <v>0</v>
      </c>
      <c r="GA340" s="4">
        <f t="shared" si="1101"/>
        <v>366.22795546800165</v>
      </c>
    </row>
    <row r="341" spans="1:183" ht="12" hidden="1" customHeight="1" x14ac:dyDescent="0.3">
      <c r="A341" s="25">
        <v>323</v>
      </c>
      <c r="B341" s="4" t="s">
        <v>605</v>
      </c>
      <c r="C341" s="4">
        <v>2016</v>
      </c>
      <c r="D341" s="4" t="s">
        <v>309</v>
      </c>
      <c r="E341" s="24" t="s">
        <v>670</v>
      </c>
      <c r="F341" s="7" t="s">
        <v>485</v>
      </c>
      <c r="G341" s="38">
        <f t="shared" si="1080"/>
        <v>889.65517241379314</v>
      </c>
      <c r="H341" s="38">
        <f>12.17*25.4</f>
        <v>309.11799999999999</v>
      </c>
      <c r="I341" s="4">
        <f t="shared" si="985"/>
        <v>309.11799999999999</v>
      </c>
      <c r="J341" s="38">
        <f>12040/145</f>
        <v>83.034482758620683</v>
      </c>
      <c r="K341" s="38">
        <f t="shared" si="986"/>
        <v>25.4</v>
      </c>
      <c r="L341" s="7">
        <f t="shared" si="987"/>
        <v>12.17</v>
      </c>
      <c r="M341" s="7">
        <f t="shared" si="988"/>
        <v>12.17</v>
      </c>
      <c r="N341" s="38">
        <f>15.2*25.4</f>
        <v>386.08</v>
      </c>
      <c r="O341" s="38">
        <f>2.6*25.4</f>
        <v>66.039999999999992</v>
      </c>
      <c r="P341" s="39">
        <f>2.9*25.4</f>
        <v>73.66</v>
      </c>
      <c r="Q341" s="7">
        <f t="shared" si="989"/>
        <v>88.9</v>
      </c>
      <c r="R341" s="38">
        <v>3</v>
      </c>
      <c r="S341" s="4">
        <f t="shared" si="966"/>
        <v>260.34999999999997</v>
      </c>
      <c r="T341" s="7">
        <f t="shared" si="990"/>
        <v>2.25</v>
      </c>
      <c r="U341" s="7">
        <f t="shared" si="859"/>
        <v>3.0999999999999996</v>
      </c>
      <c r="V341" s="38">
        <v>4.0999999999999996</v>
      </c>
      <c r="W341" s="4">
        <f t="shared" si="991"/>
        <v>4.0999999999999996</v>
      </c>
      <c r="X341" s="4">
        <f t="shared" si="992"/>
        <v>5.0999999999999996</v>
      </c>
      <c r="Y341" s="7">
        <f t="shared" si="993"/>
        <v>57.361276136431961</v>
      </c>
      <c r="AB341" s="38">
        <f t="shared" si="1038"/>
        <v>765.51724137931035</v>
      </c>
      <c r="AC341" s="4">
        <v>111</v>
      </c>
      <c r="AD341" s="4">
        <f t="shared" si="899"/>
        <v>0.92990729725452292</v>
      </c>
      <c r="AE341" s="38">
        <f t="shared" ref="AE341:AE342" si="1105">0.5*25.4</f>
        <v>12.7</v>
      </c>
      <c r="AF341" s="38">
        <v>10</v>
      </c>
      <c r="AG341" s="39">
        <f t="shared" ref="AG341:AG342" si="1106">3*25.4</f>
        <v>76.199999999999989</v>
      </c>
      <c r="AH341" s="39">
        <v>3</v>
      </c>
      <c r="AI341" s="39">
        <f t="shared" ref="AI341:AI342" si="1107">AH341-1</f>
        <v>2</v>
      </c>
      <c r="AJ341" s="7"/>
      <c r="AK341" s="4">
        <f t="shared" si="994"/>
        <v>309.11799999999999</v>
      </c>
      <c r="AL341" s="4">
        <f t="shared" si="910"/>
        <v>0.41632429471377708</v>
      </c>
      <c r="AM341" s="4">
        <f t="shared" si="911"/>
        <v>325.78952411390105</v>
      </c>
      <c r="AN341" s="4">
        <f t="shared" si="912"/>
        <v>0.75094494658997535</v>
      </c>
      <c r="AO341" s="4">
        <v>1.25</v>
      </c>
      <c r="AP341" s="4">
        <f t="shared" si="844"/>
        <v>2.5</v>
      </c>
      <c r="AQ341" s="38">
        <f t="shared" si="967"/>
        <v>318.29292926050755</v>
      </c>
      <c r="AR341" s="38">
        <f t="shared" si="913"/>
        <v>318.29292926050755</v>
      </c>
      <c r="AS341" s="38">
        <f t="shared" si="914"/>
        <v>4.9032987715448586</v>
      </c>
      <c r="AT341" s="38">
        <f t="shared" si="853"/>
        <v>318.29292926050721</v>
      </c>
      <c r="AU341" s="38">
        <f t="shared" si="1086"/>
        <v>1.0000000000000011</v>
      </c>
      <c r="AV341" s="38">
        <f t="shared" si="954"/>
        <v>2.736233663940415</v>
      </c>
      <c r="AW341" s="4">
        <f t="shared" si="940"/>
        <v>0</v>
      </c>
      <c r="AX341" s="4">
        <f t="shared" si="995"/>
        <v>583.66845176980826</v>
      </c>
      <c r="AY341" s="4">
        <f t="shared" si="968"/>
        <v>1.151111111111111</v>
      </c>
      <c r="AZ341" s="38">
        <f t="shared" si="1102"/>
        <v>870.92382803680493</v>
      </c>
      <c r="BA341" s="4">
        <f t="shared" si="969"/>
        <v>0.42600000000000005</v>
      </c>
      <c r="BB341" s="4">
        <f t="shared" si="970"/>
        <v>129.91584233718277</v>
      </c>
      <c r="BC341" s="4">
        <f t="shared" si="971"/>
        <v>1000.8396703739877</v>
      </c>
      <c r="BE341" s="4">
        <f t="shared" si="854"/>
        <v>1.5</v>
      </c>
      <c r="BF341" s="4">
        <f t="shared" si="860"/>
        <v>909.09119040713495</v>
      </c>
      <c r="BH341" s="4">
        <f t="shared" si="861"/>
        <v>835.32245813123473</v>
      </c>
      <c r="BI341" s="4">
        <f t="shared" si="1067"/>
        <v>0</v>
      </c>
      <c r="BJ341" s="4">
        <f t="shared" si="862"/>
        <v>0</v>
      </c>
      <c r="BR341" s="4">
        <f t="shared" si="972"/>
        <v>44.45</v>
      </c>
      <c r="BV341" s="9"/>
      <c r="BX341" s="9"/>
      <c r="BY341" s="9"/>
      <c r="BZ341" s="9">
        <f t="shared" si="973"/>
        <v>44.45</v>
      </c>
      <c r="CA341" s="9">
        <f t="shared" si="974"/>
        <v>66.039999999999992</v>
      </c>
      <c r="CB341" s="9">
        <f t="shared" si="1087"/>
        <v>1.4038131918756702</v>
      </c>
      <c r="CC341" s="40">
        <f t="shared" si="996"/>
        <v>20</v>
      </c>
      <c r="CD341" s="9">
        <f t="shared" si="975"/>
        <v>0.05</v>
      </c>
      <c r="CE341" s="9">
        <f t="shared" si="976"/>
        <v>0.8</v>
      </c>
      <c r="CF341" s="9">
        <f t="shared" si="977"/>
        <v>0.99524931562137331</v>
      </c>
      <c r="CG341" s="9">
        <f t="shared" si="978"/>
        <v>0.68</v>
      </c>
      <c r="CH341" s="9">
        <f t="shared" si="1088"/>
        <v>2.1584305883972208</v>
      </c>
      <c r="CI341" s="9">
        <f t="shared" si="1089"/>
        <v>4.7567778044577604</v>
      </c>
      <c r="CJ341" s="40">
        <v>1</v>
      </c>
      <c r="CK341" s="9">
        <f t="shared" si="1090"/>
        <v>516.96661178846944</v>
      </c>
      <c r="CM341" s="4">
        <f t="shared" si="979"/>
        <v>1.3115617934430026</v>
      </c>
      <c r="CN341" s="4">
        <f t="shared" si="980"/>
        <v>0.76487499850326324</v>
      </c>
      <c r="CO341" s="4">
        <f t="shared" si="946"/>
        <v>0.84206870494089237</v>
      </c>
      <c r="CP341" s="4">
        <f t="shared" si="981"/>
        <v>1.480786619334987</v>
      </c>
      <c r="CQ341" s="4">
        <f t="shared" si="921"/>
        <v>0.92990729725452292</v>
      </c>
      <c r="CR341" s="4">
        <f t="shared" si="922"/>
        <v>0.94032104183423759</v>
      </c>
      <c r="CS341" s="4">
        <f t="shared" si="947"/>
        <v>1.2530999155051654</v>
      </c>
      <c r="CT341" s="4">
        <f t="shared" si="997"/>
        <v>10</v>
      </c>
      <c r="DA341" s="4">
        <f t="shared" ref="DA341:DB342" si="1108">CM341</f>
        <v>1.3115617934430026</v>
      </c>
      <c r="DB341" s="4">
        <f t="shared" si="1108"/>
        <v>0.76487499850326324</v>
      </c>
      <c r="DC341" s="4">
        <f t="shared" ref="DC341:DC342" si="1109">CP341</f>
        <v>1.480786619334987</v>
      </c>
      <c r="DD341" s="4">
        <f t="shared" ref="DD341:DD342" si="1110">CS341</f>
        <v>1.2530999155051654</v>
      </c>
      <c r="DE341" s="4">
        <f t="shared" ref="DE341:DF342" si="1111">CQ341</f>
        <v>0.92990729725452292</v>
      </c>
      <c r="DF341" s="4">
        <f t="shared" si="1111"/>
        <v>0.94032104183423759</v>
      </c>
      <c r="DI341" s="4">
        <f t="shared" si="982"/>
        <v>309.11799999999999</v>
      </c>
      <c r="DL341" s="4">
        <f t="shared" si="900"/>
        <v>3.0370493651455761E-5</v>
      </c>
      <c r="DM341" s="4">
        <f t="shared" si="1009"/>
        <v>13.651370648787429</v>
      </c>
      <c r="DN341" s="4">
        <f t="shared" si="901"/>
        <v>0.20867495618981108</v>
      </c>
      <c r="DO341" s="4">
        <f t="shared" si="902"/>
        <v>7.2939770207118659</v>
      </c>
      <c r="DP341" s="4">
        <f t="shared" si="903"/>
        <v>10.948454122629325</v>
      </c>
      <c r="DQ341" s="4">
        <f t="shared" si="904"/>
        <v>11.356595993470908</v>
      </c>
      <c r="DR341" s="38">
        <f t="shared" si="915"/>
        <v>823.21887745094477</v>
      </c>
      <c r="DS341" s="4">
        <f t="shared" si="1095"/>
        <v>1.000100501737905</v>
      </c>
      <c r="DT341" s="4">
        <f t="shared" si="905"/>
        <v>2.2583179581272428</v>
      </c>
      <c r="DU341" s="4">
        <f t="shared" si="1103"/>
        <v>318.29292926050721</v>
      </c>
      <c r="DY341" s="4">
        <f t="shared" si="1037"/>
        <v>0.85</v>
      </c>
      <c r="DZ341" s="4">
        <f t="shared" si="1096"/>
        <v>0.92499999999999993</v>
      </c>
      <c r="EA341" s="4">
        <f t="shared" si="916"/>
        <v>0.77500000000000002</v>
      </c>
      <c r="EB341" s="4">
        <f t="shared" si="1097"/>
        <v>0.71687499999999993</v>
      </c>
      <c r="ED341" s="4">
        <f t="shared" si="917"/>
        <v>814.10200061678279</v>
      </c>
      <c r="EE341" s="25">
        <f t="shared" si="918"/>
        <v>315.69045822955366</v>
      </c>
      <c r="EG341" s="4">
        <f t="shared" si="1104"/>
        <v>0.60934374999999996</v>
      </c>
      <c r="EH341" s="4">
        <f t="shared" si="919"/>
        <v>13.651370648787429</v>
      </c>
      <c r="EK341" s="4">
        <f t="shared" si="906"/>
        <v>57.361276136431961</v>
      </c>
      <c r="EL341" s="4">
        <f t="shared" si="907"/>
        <v>2.2583179581272428</v>
      </c>
      <c r="EM341" s="4">
        <f t="shared" si="908"/>
        <v>0.10397641485790181</v>
      </c>
      <c r="EP341" s="4">
        <f t="shared" si="998"/>
        <v>0.10397641485790181</v>
      </c>
      <c r="EQ341" s="4">
        <f t="shared" si="960"/>
        <v>0.20832671657965524</v>
      </c>
      <c r="ER341" s="4">
        <f t="shared" si="1010"/>
        <v>7.2891056656522935</v>
      </c>
      <c r="ES341" s="4">
        <f t="shared" si="983"/>
        <v>10.946845527561521</v>
      </c>
      <c r="ET341" s="4">
        <f t="shared" si="1011"/>
        <v>174.47722386356804</v>
      </c>
      <c r="EU341" s="4">
        <f t="shared" si="1012"/>
        <v>77.279499999999985</v>
      </c>
      <c r="EV341" s="4">
        <f t="shared" si="1098"/>
        <v>3.0370493651455758E-5</v>
      </c>
      <c r="EW341" s="4">
        <f t="shared" si="984"/>
        <v>11.357046000879606</v>
      </c>
      <c r="EX341" s="4">
        <f t="shared" si="867"/>
        <v>823.13615083725324</v>
      </c>
      <c r="FG341" s="23">
        <f t="shared" si="1030"/>
        <v>1.4</v>
      </c>
      <c r="FH341" s="23">
        <f t="shared" si="1030"/>
        <v>0.8</v>
      </c>
      <c r="FI341" s="23">
        <f t="shared" si="952"/>
        <v>1.4</v>
      </c>
      <c r="FJ341" s="23">
        <f t="shared" si="1031"/>
        <v>1.6</v>
      </c>
      <c r="FK341" s="23">
        <f t="shared" si="1031"/>
        <v>1</v>
      </c>
      <c r="FL341" s="23">
        <f t="shared" si="1031"/>
        <v>1</v>
      </c>
      <c r="FM341" s="23">
        <f t="shared" si="923"/>
        <v>0</v>
      </c>
      <c r="FN341" s="23"/>
      <c r="FX341" s="4">
        <f t="shared" si="1099"/>
        <v>1</v>
      </c>
      <c r="FY341" s="4">
        <f t="shared" si="890"/>
        <v>0.59965116279069774</v>
      </c>
      <c r="FZ341" s="4">
        <f t="shared" si="1100"/>
        <v>0.3</v>
      </c>
      <c r="GA341" s="4">
        <f t="shared" si="1101"/>
        <v>610.89880536038936</v>
      </c>
    </row>
    <row r="342" spans="1:183" ht="12" hidden="1" customHeight="1" x14ac:dyDescent="0.3">
      <c r="A342" s="25">
        <v>324</v>
      </c>
      <c r="B342" s="4" t="s">
        <v>605</v>
      </c>
      <c r="C342" s="4">
        <v>2016</v>
      </c>
      <c r="D342" s="4" t="s">
        <v>309</v>
      </c>
      <c r="E342" s="24" t="s">
        <v>670</v>
      </c>
      <c r="F342" s="7" t="s">
        <v>486</v>
      </c>
      <c r="G342" s="38">
        <f t="shared" si="1080"/>
        <v>889.65517241379314</v>
      </c>
      <c r="H342" s="38">
        <f>11.9*25.4</f>
        <v>302.26</v>
      </c>
      <c r="I342" s="4">
        <f t="shared" si="985"/>
        <v>302.26</v>
      </c>
      <c r="J342" s="38">
        <f>12040/145</f>
        <v>83.034482758620683</v>
      </c>
      <c r="K342" s="38">
        <f t="shared" si="986"/>
        <v>25.4</v>
      </c>
      <c r="L342" s="7">
        <f t="shared" si="987"/>
        <v>11.9</v>
      </c>
      <c r="M342" s="7">
        <f t="shared" si="988"/>
        <v>11.9</v>
      </c>
      <c r="N342" s="38">
        <f>15*25.4</f>
        <v>381</v>
      </c>
      <c r="O342" s="38">
        <f t="shared" si="999"/>
        <v>63.5</v>
      </c>
      <c r="P342" s="39">
        <f>3.1*25.4</f>
        <v>78.739999999999995</v>
      </c>
      <c r="Q342" s="7">
        <f t="shared" si="989"/>
        <v>88.9</v>
      </c>
      <c r="R342" s="38">
        <v>3</v>
      </c>
      <c r="S342" s="4">
        <f t="shared" si="966"/>
        <v>260.34999999999997</v>
      </c>
      <c r="T342" s="7">
        <f t="shared" si="990"/>
        <v>2.25</v>
      </c>
      <c r="U342" s="7">
        <f t="shared" si="859"/>
        <v>3</v>
      </c>
      <c r="V342" s="38">
        <v>9.1</v>
      </c>
      <c r="W342" s="4">
        <f t="shared" si="991"/>
        <v>9.1</v>
      </c>
      <c r="X342" s="4">
        <f t="shared" si="992"/>
        <v>10.1</v>
      </c>
      <c r="Y342" s="7">
        <f t="shared" si="993"/>
        <v>80.72246279691916</v>
      </c>
      <c r="AB342" s="38">
        <f t="shared" si="1038"/>
        <v>947.58620689655186</v>
      </c>
      <c r="AC342" s="4">
        <v>137.4</v>
      </c>
      <c r="AD342" s="4">
        <f t="shared" si="899"/>
        <v>1.2334336233137346</v>
      </c>
      <c r="AE342" s="38">
        <f t="shared" si="1105"/>
        <v>12.7</v>
      </c>
      <c r="AF342" s="38">
        <v>10</v>
      </c>
      <c r="AG342" s="39">
        <f t="shared" si="1106"/>
        <v>76.199999999999989</v>
      </c>
      <c r="AH342" s="39">
        <v>3</v>
      </c>
      <c r="AI342" s="39">
        <f t="shared" si="1107"/>
        <v>2</v>
      </c>
      <c r="AJ342" s="7"/>
      <c r="AK342" s="4">
        <f t="shared" si="994"/>
        <v>302.26</v>
      </c>
      <c r="AL342" s="4">
        <f t="shared" si="910"/>
        <v>0.42016806722689082</v>
      </c>
      <c r="AM342" s="4">
        <f t="shared" si="911"/>
        <v>315.00807738266639</v>
      </c>
      <c r="AN342" s="4">
        <f t="shared" si="912"/>
        <v>0.75042016806722689</v>
      </c>
      <c r="AO342" s="4">
        <v>1.25</v>
      </c>
      <c r="AP342" s="4">
        <f t="shared" ref="AP342:AP405" si="1112">AP341</f>
        <v>2.5</v>
      </c>
      <c r="AQ342" s="38">
        <f t="shared" si="967"/>
        <v>310.38394744227224</v>
      </c>
      <c r="AR342" s="38">
        <f t="shared" si="913"/>
        <v>310.38394744227224</v>
      </c>
      <c r="AS342" s="38">
        <f t="shared" si="914"/>
        <v>4.9032987715448586</v>
      </c>
      <c r="AT342" s="38">
        <f t="shared" si="853"/>
        <v>310.38394744227224</v>
      </c>
      <c r="AU342" s="38">
        <f t="shared" si="1086"/>
        <v>1</v>
      </c>
      <c r="AV342" s="38">
        <f t="shared" si="954"/>
        <v>4.1157605944912197</v>
      </c>
      <c r="AW342" s="4">
        <f t="shared" si="940"/>
        <v>0</v>
      </c>
      <c r="AX342" s="4">
        <f t="shared" si="995"/>
        <v>570.71935711263086</v>
      </c>
      <c r="AY342" s="4">
        <f t="shared" si="968"/>
        <v>1.1333333333333333</v>
      </c>
      <c r="AZ342" s="38">
        <f t="shared" si="1102"/>
        <v>1277.4660200455378</v>
      </c>
      <c r="BA342" s="4">
        <f t="shared" si="969"/>
        <v>0.3</v>
      </c>
      <c r="BB342" s="4">
        <f t="shared" si="970"/>
        <v>89.460259227404862</v>
      </c>
      <c r="BC342" s="4">
        <f t="shared" si="971"/>
        <v>1366.9262792729426</v>
      </c>
      <c r="BE342" s="4">
        <f t="shared" si="854"/>
        <v>1.5</v>
      </c>
      <c r="BF342" s="4">
        <f t="shared" si="860"/>
        <v>898.01971447524852</v>
      </c>
      <c r="BH342" s="4">
        <f t="shared" si="861"/>
        <v>1225.246137138033</v>
      </c>
      <c r="BI342" s="4">
        <f t="shared" si="1067"/>
        <v>0</v>
      </c>
      <c r="BJ342" s="4">
        <f t="shared" si="862"/>
        <v>0</v>
      </c>
      <c r="BR342" s="4">
        <f t="shared" si="972"/>
        <v>44.45</v>
      </c>
      <c r="BV342" s="9"/>
      <c r="BX342" s="9"/>
      <c r="BY342" s="9"/>
      <c r="BZ342" s="9">
        <f t="shared" si="973"/>
        <v>44.45</v>
      </c>
      <c r="CA342" s="9">
        <f t="shared" si="974"/>
        <v>63.5</v>
      </c>
      <c r="CB342" s="9">
        <f t="shared" si="1087"/>
        <v>1.3955786547794871</v>
      </c>
      <c r="CC342" s="40">
        <f t="shared" si="996"/>
        <v>20</v>
      </c>
      <c r="CD342" s="9">
        <f t="shared" si="975"/>
        <v>0.05</v>
      </c>
      <c r="CE342" s="9">
        <f t="shared" si="976"/>
        <v>0.8</v>
      </c>
      <c r="CF342" s="9">
        <f t="shared" si="977"/>
        <v>0.99524931562137331</v>
      </c>
      <c r="CG342" s="9">
        <f t="shared" si="978"/>
        <v>0.68</v>
      </c>
      <c r="CH342" s="9">
        <f t="shared" si="1088"/>
        <v>2.1584305883972208</v>
      </c>
      <c r="CI342" s="9">
        <f t="shared" si="1089"/>
        <v>4.7390041277080668</v>
      </c>
      <c r="CJ342" s="40">
        <v>1</v>
      </c>
      <c r="CK342" s="9">
        <f t="shared" si="1090"/>
        <v>509.91684414138797</v>
      </c>
      <c r="CM342" s="4">
        <f t="shared" si="979"/>
        <v>1.6603365473541258</v>
      </c>
      <c r="CN342" s="4">
        <f t="shared" si="980"/>
        <v>0.69322407599081759</v>
      </c>
      <c r="CO342" s="4">
        <f t="shared" si="946"/>
        <v>1.0551953276997568</v>
      </c>
      <c r="CP342" s="4">
        <f t="shared" si="981"/>
        <v>1.8583151699805556</v>
      </c>
      <c r="CQ342" s="4">
        <f t="shared" si="921"/>
        <v>1.2334336233137346</v>
      </c>
      <c r="CR342" s="4">
        <f t="shared" si="922"/>
        <v>1.1917519000638892</v>
      </c>
      <c r="CS342" s="4">
        <f t="shared" si="947"/>
        <v>1.5863282977600779</v>
      </c>
      <c r="CT342" s="4">
        <f t="shared" si="997"/>
        <v>10</v>
      </c>
      <c r="DA342" s="4">
        <f t="shared" si="1108"/>
        <v>1.6603365473541258</v>
      </c>
      <c r="DB342" s="4">
        <f t="shared" si="1108"/>
        <v>0.69322407599081759</v>
      </c>
      <c r="DC342" s="4">
        <f t="shared" si="1109"/>
        <v>1.8583151699805556</v>
      </c>
      <c r="DD342" s="4">
        <f t="shared" si="1110"/>
        <v>1.5863282977600779</v>
      </c>
      <c r="DE342" s="4">
        <f t="shared" si="1111"/>
        <v>1.2334336233137346</v>
      </c>
      <c r="DF342" s="4">
        <f t="shared" si="1111"/>
        <v>1.1917519000638892</v>
      </c>
      <c r="DI342" s="4">
        <f t="shared" si="982"/>
        <v>302.26</v>
      </c>
      <c r="DL342" s="4">
        <f t="shared" si="900"/>
        <v>2.96967029130915E-5</v>
      </c>
      <c r="DM342" s="4">
        <f t="shared" si="1009"/>
        <v>13.651370648787429</v>
      </c>
      <c r="DN342" s="4">
        <f t="shared" si="901"/>
        <v>0.12902107476988778</v>
      </c>
      <c r="DO342" s="4">
        <f t="shared" si="902"/>
        <v>6.0178383896867622</v>
      </c>
      <c r="DP342" s="4">
        <f t="shared" si="903"/>
        <v>10.55867984451846</v>
      </c>
      <c r="DQ342" s="4">
        <f t="shared" si="904"/>
        <v>11.650918588340279</v>
      </c>
      <c r="DR342" s="38">
        <f t="shared" si="915"/>
        <v>768.25066950159271</v>
      </c>
      <c r="DS342" s="4">
        <f t="shared" si="1095"/>
        <v>1.0000941568065935</v>
      </c>
      <c r="DT342" s="4">
        <f t="shared" si="905"/>
        <v>3.1780497164141401</v>
      </c>
      <c r="DU342" s="4">
        <f t="shared" si="1103"/>
        <v>310.38394744227224</v>
      </c>
      <c r="DY342" s="4">
        <f t="shared" si="1037"/>
        <v>0.85</v>
      </c>
      <c r="DZ342" s="4">
        <f t="shared" si="1096"/>
        <v>0.92499999999999993</v>
      </c>
      <c r="EA342" s="4">
        <f t="shared" si="916"/>
        <v>0.77500000000000002</v>
      </c>
      <c r="EB342" s="4">
        <f t="shared" si="1097"/>
        <v>0.71687499999999993</v>
      </c>
      <c r="ED342" s="4">
        <f t="shared" si="917"/>
        <v>795.12036594676476</v>
      </c>
      <c r="EE342" s="25">
        <f t="shared" si="918"/>
        <v>307.76643378505355</v>
      </c>
      <c r="EG342" s="4">
        <f t="shared" si="1104"/>
        <v>0.60934374999999996</v>
      </c>
      <c r="EH342" s="4">
        <f t="shared" si="919"/>
        <v>13.651370648787429</v>
      </c>
      <c r="EK342" s="4">
        <f t="shared" si="906"/>
        <v>80.72246279691916</v>
      </c>
      <c r="EL342" s="4">
        <f t="shared" si="907"/>
        <v>3.1780497164141406</v>
      </c>
      <c r="EM342" s="4">
        <f t="shared" si="908"/>
        <v>6.428729657182139E-2</v>
      </c>
      <c r="EP342" s="4">
        <f t="shared" si="998"/>
        <v>6.428729657182139E-2</v>
      </c>
      <c r="EQ342" s="4">
        <f t="shared" si="960"/>
        <v>0.12880576264235638</v>
      </c>
      <c r="ER342" s="4">
        <f t="shared" si="1010"/>
        <v>6.0138193164974663</v>
      </c>
      <c r="ES342" s="4">
        <f t="shared" si="983"/>
        <v>10.557557097376879</v>
      </c>
      <c r="ET342" s="4">
        <f t="shared" si="1011"/>
        <v>145.97253720308083</v>
      </c>
      <c r="EU342" s="4">
        <f t="shared" si="1012"/>
        <v>75.564999999999998</v>
      </c>
      <c r="EV342" s="4">
        <f t="shared" si="1098"/>
        <v>2.96967029130915E-5</v>
      </c>
      <c r="EW342" s="4">
        <f t="shared" si="984"/>
        <v>11.651302750208975</v>
      </c>
      <c r="EX342" s="4">
        <f t="shared" si="867"/>
        <v>768.17834028217749</v>
      </c>
      <c r="FG342" s="23">
        <f t="shared" si="1030"/>
        <v>1.8</v>
      </c>
      <c r="FH342" s="23">
        <f t="shared" si="1030"/>
        <v>0.8</v>
      </c>
      <c r="FI342" s="23">
        <f t="shared" si="952"/>
        <v>1.6</v>
      </c>
      <c r="FJ342" s="23">
        <f t="shared" si="1031"/>
        <v>2</v>
      </c>
      <c r="FK342" s="23">
        <f t="shared" si="1031"/>
        <v>1.4</v>
      </c>
      <c r="FL342" s="23">
        <f t="shared" si="1031"/>
        <v>1.2</v>
      </c>
      <c r="FM342" s="23">
        <f t="shared" si="923"/>
        <v>0</v>
      </c>
      <c r="FN342" s="23"/>
      <c r="FX342" s="4">
        <f t="shared" si="1099"/>
        <v>1</v>
      </c>
      <c r="FY342" s="4">
        <f t="shared" si="890"/>
        <v>0.59965116279069774</v>
      </c>
      <c r="FZ342" s="4">
        <f t="shared" si="1100"/>
        <v>0.3</v>
      </c>
      <c r="GA342" s="4">
        <f t="shared" si="1101"/>
        <v>597.34558617819494</v>
      </c>
    </row>
    <row r="343" spans="1:183" ht="12" hidden="1" customHeight="1" x14ac:dyDescent="0.3">
      <c r="A343" s="25">
        <v>325</v>
      </c>
      <c r="B343" s="4" t="s">
        <v>605</v>
      </c>
      <c r="C343" s="4">
        <v>2016</v>
      </c>
      <c r="D343" s="4" t="s">
        <v>309</v>
      </c>
      <c r="E343" s="24" t="s">
        <v>670</v>
      </c>
      <c r="F343" s="7" t="s">
        <v>487</v>
      </c>
      <c r="G343" s="38">
        <f t="shared" si="1080"/>
        <v>889.65517241379314</v>
      </c>
      <c r="H343" s="38">
        <f>12*25.4</f>
        <v>304.79999999999995</v>
      </c>
      <c r="I343" s="4">
        <f t="shared" si="985"/>
        <v>304.79999999999995</v>
      </c>
      <c r="J343" s="38">
        <f>12040/145</f>
        <v>83.034482758620683</v>
      </c>
      <c r="K343" s="38">
        <f t="shared" si="986"/>
        <v>25.4</v>
      </c>
      <c r="L343" s="7">
        <f t="shared" si="987"/>
        <v>11.999999999999998</v>
      </c>
      <c r="M343" s="7">
        <f t="shared" si="988"/>
        <v>11.999999999999998</v>
      </c>
      <c r="N343" s="38">
        <f>14.9*25.4</f>
        <v>378.46</v>
      </c>
      <c r="O343" s="38">
        <f>2.45*25.4</f>
        <v>62.230000000000004</v>
      </c>
      <c r="P343" s="39">
        <f t="shared" ref="P343" si="1113">3*25.4</f>
        <v>76.199999999999989</v>
      </c>
      <c r="Q343" s="7">
        <f t="shared" si="989"/>
        <v>50.800000000000004</v>
      </c>
      <c r="R343" s="38">
        <v>4</v>
      </c>
      <c r="S343" s="4">
        <f t="shared" si="966"/>
        <v>260.34999999999997</v>
      </c>
      <c r="T343" s="7">
        <f t="shared" si="990"/>
        <v>1.5000000000000002</v>
      </c>
      <c r="U343" s="7">
        <f t="shared" si="859"/>
        <v>2.95</v>
      </c>
      <c r="V343" s="38">
        <v>4.0999999999999996</v>
      </c>
      <c r="W343" s="4">
        <f t="shared" si="991"/>
        <v>4.0999999999999996</v>
      </c>
      <c r="X343" s="4">
        <f t="shared" si="992"/>
        <v>5.0999999999999996</v>
      </c>
      <c r="Y343" s="7">
        <f t="shared" si="993"/>
        <v>57.361276136431961</v>
      </c>
      <c r="AB343" s="38">
        <f t="shared" si="1038"/>
        <v>430.34482758620692</v>
      </c>
      <c r="AC343" s="4">
        <v>62.4</v>
      </c>
      <c r="AD343" s="4">
        <f t="shared" si="899"/>
        <v>0.73708254508719195</v>
      </c>
      <c r="AE343" s="38"/>
      <c r="AF343" s="38"/>
      <c r="AG343" s="39">
        <v>1</v>
      </c>
      <c r="AH343" s="39"/>
      <c r="AI343" s="39"/>
      <c r="AJ343" s="7"/>
      <c r="AK343" s="4">
        <f t="shared" si="994"/>
        <v>304.79999999999995</v>
      </c>
      <c r="AL343" s="4">
        <f t="shared" si="910"/>
        <v>0.41388888888888886</v>
      </c>
      <c r="AM343" s="4">
        <f t="shared" si="911"/>
        <v>239.24032317976457</v>
      </c>
      <c r="AN343" s="4">
        <f t="shared" si="912"/>
        <v>0.74916666666666665</v>
      </c>
      <c r="AO343" s="4">
        <v>1.25</v>
      </c>
      <c r="AP343" s="4">
        <f t="shared" si="1112"/>
        <v>2.5</v>
      </c>
      <c r="AQ343" s="38">
        <f t="shared" si="967"/>
        <v>231.81771216907291</v>
      </c>
      <c r="AR343" s="38">
        <f t="shared" si="913"/>
        <v>231.81771216907291</v>
      </c>
      <c r="AS343" s="38">
        <f t="shared" si="914"/>
        <v>4.9032987715448586</v>
      </c>
      <c r="AT343" s="38">
        <f t="shared" si="853"/>
        <v>231.81771216907282</v>
      </c>
      <c r="AU343" s="38">
        <f t="shared" si="1086"/>
        <v>1.0000000000000004</v>
      </c>
      <c r="AV343" s="38">
        <f t="shared" si="954"/>
        <v>3.0171515717896407</v>
      </c>
      <c r="AW343" s="4">
        <f t="shared" si="940"/>
        <v>0</v>
      </c>
      <c r="AX343" s="4">
        <f t="shared" si="995"/>
        <v>575.51531809677044</v>
      </c>
      <c r="AY343" s="4">
        <f t="shared" si="968"/>
        <v>1.3866666666666667</v>
      </c>
      <c r="AZ343" s="38">
        <f t="shared" si="1102"/>
        <v>699.42917463959657</v>
      </c>
      <c r="BA343" s="4">
        <f t="shared" si="969"/>
        <v>0.42600000000000005</v>
      </c>
      <c r="BB343" s="4">
        <f t="shared" si="970"/>
        <v>128.10107707856966</v>
      </c>
      <c r="BC343" s="4">
        <f t="shared" si="971"/>
        <v>827.53025171816626</v>
      </c>
      <c r="BE343" s="4">
        <f t="shared" si="854"/>
        <v>1.3625</v>
      </c>
      <c r="BF343" s="4">
        <f t="shared" si="860"/>
        <v>819.42590384765822</v>
      </c>
      <c r="BH343" s="4">
        <f t="shared" si="861"/>
        <v>670.83811309381031</v>
      </c>
      <c r="BI343" s="4">
        <f t="shared" si="1067"/>
        <v>0</v>
      </c>
      <c r="BJ343" s="4">
        <f t="shared" si="862"/>
        <v>0</v>
      </c>
      <c r="BR343" s="4">
        <f t="shared" si="972"/>
        <v>25.400000000000002</v>
      </c>
      <c r="BV343" s="9"/>
      <c r="BX343" s="9"/>
      <c r="BY343" s="9"/>
      <c r="BZ343" s="9">
        <f t="shared" si="973"/>
        <v>25.400000000000002</v>
      </c>
      <c r="CA343" s="9">
        <f t="shared" si="974"/>
        <v>62.230000000000004</v>
      </c>
      <c r="CB343" s="9">
        <f t="shared" si="1087"/>
        <v>1.143865371392744</v>
      </c>
      <c r="CC343" s="40">
        <f t="shared" si="996"/>
        <v>0</v>
      </c>
      <c r="CD343" s="9">
        <f t="shared" si="975"/>
        <v>0</v>
      </c>
      <c r="CE343" s="9">
        <f t="shared" si="976"/>
        <v>0</v>
      </c>
      <c r="CF343" s="9">
        <f t="shared" si="977"/>
        <v>0.99524931562137331</v>
      </c>
      <c r="CG343" s="9">
        <f t="shared" si="978"/>
        <v>0.68</v>
      </c>
      <c r="CH343" s="9">
        <f t="shared" si="1088"/>
        <v>2.1584305883972208</v>
      </c>
      <c r="CI343" s="9">
        <f t="shared" si="1089"/>
        <v>2.4689540066224458</v>
      </c>
      <c r="CJ343" s="40">
        <v>1</v>
      </c>
      <c r="CK343" s="9">
        <f t="shared" si="1090"/>
        <v>266.6470327152241</v>
      </c>
      <c r="CM343" s="4">
        <f t="shared" si="979"/>
        <v>0.74775564447069376</v>
      </c>
      <c r="CN343" s="4">
        <f t="shared" si="980"/>
        <v>0.5200351608810676</v>
      </c>
      <c r="CO343" s="4">
        <f t="shared" si="946"/>
        <v>0.52517845184720147</v>
      </c>
      <c r="CP343" s="4">
        <f t="shared" si="981"/>
        <v>1.6139119314551313</v>
      </c>
      <c r="CQ343" s="4">
        <f t="shared" si="921"/>
        <v>0.73708254508719195</v>
      </c>
      <c r="CR343" s="4">
        <f t="shared" si="922"/>
        <v>0.73918547860307671</v>
      </c>
      <c r="CS343" s="4">
        <f t="shared" si="947"/>
        <v>1.3651469896302668</v>
      </c>
      <c r="CT343" s="4">
        <f t="shared" si="997"/>
        <v>0</v>
      </c>
      <c r="CU343" s="4">
        <f t="shared" ref="CU343:CV344" si="1114">CM343</f>
        <v>0.74775564447069376</v>
      </c>
      <c r="CV343" s="4">
        <f t="shared" si="1114"/>
        <v>0.5200351608810676</v>
      </c>
      <c r="CW343" s="4">
        <f t="shared" ref="CW343:CW344" si="1115">CP343</f>
        <v>1.6139119314551313</v>
      </c>
      <c r="CX343" s="4">
        <f t="shared" ref="CX343:CX344" si="1116">CS343</f>
        <v>1.3651469896302668</v>
      </c>
      <c r="CY343" s="4">
        <f t="shared" ref="CY343:CZ344" si="1117">CQ343</f>
        <v>0.73708254508719195</v>
      </c>
      <c r="CZ343" s="4">
        <f t="shared" si="1117"/>
        <v>0.73918547860307671</v>
      </c>
      <c r="DI343" s="4">
        <f t="shared" si="982"/>
        <v>304.79999999999995</v>
      </c>
      <c r="DL343" s="4">
        <f t="shared" si="900"/>
        <v>2.9946255038411594E-5</v>
      </c>
      <c r="DM343" s="4">
        <f t="shared" si="1009"/>
        <v>9.7863263338494875</v>
      </c>
      <c r="DN343" s="4">
        <f t="shared" si="901"/>
        <v>0.15198123013066148</v>
      </c>
      <c r="DO343" s="4">
        <f t="shared" si="902"/>
        <v>4.6061245351468303</v>
      </c>
      <c r="DP343" s="4">
        <f t="shared" si="903"/>
        <v>7.6533699014560153</v>
      </c>
      <c r="DQ343" s="4">
        <f t="shared" si="904"/>
        <v>8.6697049627497993</v>
      </c>
      <c r="DR343" s="38">
        <f t="shared" si="915"/>
        <v>583.8488924402626</v>
      </c>
      <c r="DS343" s="4">
        <f t="shared" si="1095"/>
        <v>1.0000857874983462</v>
      </c>
      <c r="DT343" s="4">
        <f t="shared" si="905"/>
        <v>2.2583179581272428</v>
      </c>
      <c r="DU343" s="4">
        <f t="shared" si="1103"/>
        <v>231.81771216907282</v>
      </c>
      <c r="DY343" s="4">
        <f t="shared" si="1037"/>
        <v>0.85</v>
      </c>
      <c r="DZ343" s="4">
        <f t="shared" si="1096"/>
        <v>1</v>
      </c>
      <c r="EA343" s="4">
        <f t="shared" si="916"/>
        <v>1</v>
      </c>
      <c r="EB343" s="4">
        <f t="shared" si="1097"/>
        <v>1</v>
      </c>
      <c r="ED343" s="4">
        <f t="shared" si="917"/>
        <v>582.18788117899544</v>
      </c>
      <c r="EE343" s="25">
        <f t="shared" si="918"/>
        <v>229.88013316041389</v>
      </c>
      <c r="EG343" s="4">
        <f t="shared" si="1104"/>
        <v>0.85</v>
      </c>
      <c r="EH343" s="4">
        <f t="shared" si="919"/>
        <v>9.7863263338494875</v>
      </c>
      <c r="EK343" s="4">
        <f t="shared" si="906"/>
        <v>57.361276136431961</v>
      </c>
      <c r="EL343" s="4">
        <f t="shared" si="907"/>
        <v>2.2583179581272428</v>
      </c>
      <c r="EM343" s="4">
        <f t="shared" si="908"/>
        <v>7.5727647069952941E-2</v>
      </c>
      <c r="EP343" s="4">
        <f t="shared" si="998"/>
        <v>7.5727647069952941E-2</v>
      </c>
      <c r="EQ343" s="4">
        <f t="shared" si="960"/>
        <v>0.15172760178302419</v>
      </c>
      <c r="ER343" s="4">
        <f t="shared" si="1010"/>
        <v>4.6030482890885303</v>
      </c>
      <c r="ES343" s="4">
        <f t="shared" si="983"/>
        <v>7.652458333597421</v>
      </c>
      <c r="ET343" s="4">
        <f t="shared" si="1011"/>
        <v>171.238723863568</v>
      </c>
      <c r="EU343" s="4">
        <f t="shared" si="1012"/>
        <v>76.199999999999989</v>
      </c>
      <c r="EV343" s="4">
        <f t="shared" si="1098"/>
        <v>2.9946255038411594E-5</v>
      </c>
      <c r="EW343" s="4">
        <f t="shared" si="984"/>
        <v>8.6698956235903726</v>
      </c>
      <c r="EX343" s="4">
        <f t="shared" si="867"/>
        <v>583.79880980083226</v>
      </c>
      <c r="FG343" s="23">
        <f t="shared" si="1030"/>
        <v>0.8</v>
      </c>
      <c r="FH343" s="23">
        <f t="shared" si="1030"/>
        <v>0.6</v>
      </c>
      <c r="FI343" s="23">
        <f t="shared" si="952"/>
        <v>1.4</v>
      </c>
      <c r="FJ343" s="23">
        <f t="shared" si="1031"/>
        <v>1.8</v>
      </c>
      <c r="FK343" s="23">
        <f t="shared" si="1031"/>
        <v>0.8</v>
      </c>
      <c r="FL343" s="23">
        <f t="shared" si="1031"/>
        <v>0.8</v>
      </c>
      <c r="FM343" s="23">
        <f t="shared" si="923"/>
        <v>1</v>
      </c>
      <c r="FN343" s="23"/>
      <c r="FX343" s="4">
        <f t="shared" si="1099"/>
        <v>1.25</v>
      </c>
      <c r="FY343" s="4">
        <f t="shared" si="890"/>
        <v>0.91666666666666663</v>
      </c>
      <c r="FZ343" s="4">
        <f t="shared" si="1100"/>
        <v>0</v>
      </c>
      <c r="GA343" s="4">
        <f t="shared" si="1101"/>
        <v>315.23698975651001</v>
      </c>
    </row>
    <row r="344" spans="1:183" ht="12" hidden="1" customHeight="1" x14ac:dyDescent="0.3">
      <c r="A344" s="25">
        <v>326</v>
      </c>
      <c r="B344" s="4" t="s">
        <v>605</v>
      </c>
      <c r="C344" s="4">
        <v>2016</v>
      </c>
      <c r="D344" s="4" t="s">
        <v>309</v>
      </c>
      <c r="E344" s="24" t="s">
        <v>670</v>
      </c>
      <c r="F344" s="7" t="s">
        <v>488</v>
      </c>
      <c r="G344" s="38">
        <f t="shared" si="1080"/>
        <v>889.65517241379314</v>
      </c>
      <c r="H344" s="38">
        <f>12.17*25.4</f>
        <v>309.11799999999999</v>
      </c>
      <c r="I344" s="4">
        <f t="shared" si="985"/>
        <v>309.11799999999999</v>
      </c>
      <c r="J344" s="38">
        <f>12360/145</f>
        <v>85.241379310344826</v>
      </c>
      <c r="K344" s="38">
        <f t="shared" si="986"/>
        <v>25.4</v>
      </c>
      <c r="L344" s="7">
        <f t="shared" si="987"/>
        <v>12.17</v>
      </c>
      <c r="M344" s="7">
        <f t="shared" si="988"/>
        <v>12.17</v>
      </c>
      <c r="N344" s="38">
        <f>15*25.4</f>
        <v>381</v>
      </c>
      <c r="O344" s="38">
        <f t="shared" si="999"/>
        <v>63.5</v>
      </c>
      <c r="P344" s="39">
        <f>3*25.4</f>
        <v>76.199999999999989</v>
      </c>
      <c r="Q344" s="7">
        <f t="shared" si="989"/>
        <v>50.79999999999999</v>
      </c>
      <c r="R344" s="38">
        <v>4</v>
      </c>
      <c r="S344" s="4">
        <f t="shared" si="966"/>
        <v>260.34999999999997</v>
      </c>
      <c r="T344" s="7">
        <f t="shared" si="990"/>
        <v>1.5</v>
      </c>
      <c r="U344" s="7">
        <f t="shared" si="859"/>
        <v>3</v>
      </c>
      <c r="V344" s="38">
        <v>9.1</v>
      </c>
      <c r="W344" s="4">
        <f t="shared" si="991"/>
        <v>9.1</v>
      </c>
      <c r="X344" s="4">
        <f t="shared" si="992"/>
        <v>10.1</v>
      </c>
      <c r="Y344" s="7">
        <f t="shared" si="993"/>
        <v>80.72246279691916</v>
      </c>
      <c r="AB344" s="38">
        <f t="shared" si="1038"/>
        <v>439.31034482758628</v>
      </c>
      <c r="AC344" s="4">
        <v>63.7</v>
      </c>
      <c r="AD344" s="4">
        <f t="shared" si="899"/>
        <v>0.76475423221277683</v>
      </c>
      <c r="AE344" s="38"/>
      <c r="AF344" s="38"/>
      <c r="AG344" s="39">
        <v>1</v>
      </c>
      <c r="AH344" s="39"/>
      <c r="AI344" s="39"/>
      <c r="AJ344" s="7"/>
      <c r="AK344" s="4">
        <f t="shared" si="994"/>
        <v>309.11799999999999</v>
      </c>
      <c r="AL344" s="4">
        <f t="shared" si="910"/>
        <v>0.41084634346754317</v>
      </c>
      <c r="AM344" s="4">
        <f t="shared" si="911"/>
        <v>247.56792156546703</v>
      </c>
      <c r="AN344" s="4">
        <f t="shared" si="912"/>
        <v>0.74930156121610514</v>
      </c>
      <c r="AO344" s="4">
        <v>1.25</v>
      </c>
      <c r="AP344" s="4">
        <f t="shared" si="1112"/>
        <v>2.5</v>
      </c>
      <c r="AQ344" s="38">
        <f t="shared" si="967"/>
        <v>238.16638010480526</v>
      </c>
      <c r="AR344" s="38">
        <f t="shared" si="913"/>
        <v>238.16638010480526</v>
      </c>
      <c r="AS344" s="38">
        <f t="shared" si="914"/>
        <v>4.9491074410379952</v>
      </c>
      <c r="AT344" s="38">
        <f t="shared" si="853"/>
        <v>238.16638010480509</v>
      </c>
      <c r="AU344" s="38">
        <f t="shared" si="1086"/>
        <v>1.0000000000000007</v>
      </c>
      <c r="AV344" s="38">
        <f t="shared" si="954"/>
        <v>4.5346106033999751</v>
      </c>
      <c r="AW344" s="4">
        <f t="shared" si="940"/>
        <v>0</v>
      </c>
      <c r="AX344" s="4">
        <f t="shared" si="995"/>
        <v>591.37397938540164</v>
      </c>
      <c r="AY344" s="4">
        <f t="shared" si="968"/>
        <v>1.4</v>
      </c>
      <c r="AZ344" s="38">
        <f t="shared" si="1102"/>
        <v>1079.9917925966381</v>
      </c>
      <c r="BA344" s="4">
        <f t="shared" si="969"/>
        <v>0.3</v>
      </c>
      <c r="BB344" s="4">
        <f t="shared" si="970"/>
        <v>92.6978712686617</v>
      </c>
      <c r="BC344" s="4">
        <f t="shared" si="971"/>
        <v>1172.6896638652997</v>
      </c>
      <c r="BE344" s="4">
        <f t="shared" si="854"/>
        <v>1.375</v>
      </c>
      <c r="BF344" s="4">
        <f t="shared" si="860"/>
        <v>844.33517092285524</v>
      </c>
      <c r="BH344" s="4">
        <f t="shared" si="861"/>
        <v>1035.8442034901566</v>
      </c>
      <c r="BI344" s="4">
        <f t="shared" si="1067"/>
        <v>0</v>
      </c>
      <c r="BJ344" s="4">
        <f t="shared" si="862"/>
        <v>0</v>
      </c>
      <c r="BR344" s="4">
        <f t="shared" si="972"/>
        <v>25.399999999999995</v>
      </c>
      <c r="BV344" s="9"/>
      <c r="BX344" s="9"/>
      <c r="BY344" s="9"/>
      <c r="BZ344" s="9">
        <f t="shared" si="973"/>
        <v>25.399999999999995</v>
      </c>
      <c r="CA344" s="9">
        <f t="shared" si="974"/>
        <v>63.5</v>
      </c>
      <c r="CB344" s="9">
        <f t="shared" si="1087"/>
        <v>1.1473370055629852</v>
      </c>
      <c r="CC344" s="40">
        <f t="shared" si="996"/>
        <v>0</v>
      </c>
      <c r="CD344" s="9">
        <f t="shared" si="975"/>
        <v>0</v>
      </c>
      <c r="CE344" s="9">
        <f t="shared" si="976"/>
        <v>0</v>
      </c>
      <c r="CF344" s="9">
        <f t="shared" si="977"/>
        <v>0.99524931562137331</v>
      </c>
      <c r="CG344" s="9">
        <f t="shared" si="978"/>
        <v>0.68</v>
      </c>
      <c r="CH344" s="9">
        <f t="shared" si="1088"/>
        <v>2.1869259549958526</v>
      </c>
      <c r="CI344" s="9">
        <f t="shared" si="1089"/>
        <v>2.5091410765929134</v>
      </c>
      <c r="CJ344" s="40">
        <v>1</v>
      </c>
      <c r="CK344" s="9">
        <f t="shared" si="1090"/>
        <v>272.69345220411782</v>
      </c>
      <c r="CM344" s="4">
        <f t="shared" si="979"/>
        <v>0.74286383936633327</v>
      </c>
      <c r="CN344" s="4">
        <f t="shared" si="980"/>
        <v>0.37461773422610073</v>
      </c>
      <c r="CO344" s="4">
        <f t="shared" si="946"/>
        <v>0.52030326339174249</v>
      </c>
      <c r="CP344" s="4">
        <f t="shared" si="981"/>
        <v>1.6110043760740964</v>
      </c>
      <c r="CQ344" s="4">
        <f t="shared" si="921"/>
        <v>0.76475423221277683</v>
      </c>
      <c r="CR344" s="4">
        <f t="shared" si="922"/>
        <v>0.73435132953628823</v>
      </c>
      <c r="CS344" s="4">
        <f t="shared" si="947"/>
        <v>1.0921113414829737</v>
      </c>
      <c r="CT344" s="4">
        <f t="shared" si="997"/>
        <v>0</v>
      </c>
      <c r="CU344" s="4">
        <f t="shared" si="1114"/>
        <v>0.74286383936633327</v>
      </c>
      <c r="CV344" s="4">
        <f t="shared" si="1114"/>
        <v>0.37461773422610073</v>
      </c>
      <c r="CW344" s="4">
        <f t="shared" si="1115"/>
        <v>1.6110043760740964</v>
      </c>
      <c r="CX344" s="4">
        <f t="shared" si="1116"/>
        <v>1.0921113414829737</v>
      </c>
      <c r="CY344" s="4">
        <f t="shared" si="1117"/>
        <v>0.76475423221277683</v>
      </c>
      <c r="CZ344" s="4">
        <f t="shared" si="1117"/>
        <v>0.73435132953628823</v>
      </c>
      <c r="DI344" s="4">
        <f t="shared" si="982"/>
        <v>309.11799999999999</v>
      </c>
      <c r="DL344" s="4">
        <f t="shared" si="900"/>
        <v>3.0775330482386827E-5</v>
      </c>
      <c r="DM344" s="4">
        <f t="shared" si="1009"/>
        <v>9.9155243530194994</v>
      </c>
      <c r="DN344" s="4">
        <f t="shared" si="901"/>
        <v>9.6438373081566373E-2</v>
      </c>
      <c r="DO344" s="4">
        <f t="shared" si="902"/>
        <v>3.8905915176890846</v>
      </c>
      <c r="DP344" s="4">
        <f t="shared" si="903"/>
        <v>7.5418383622167751</v>
      </c>
      <c r="DQ344" s="4">
        <f t="shared" si="904"/>
        <v>8.8202888686208603</v>
      </c>
      <c r="DR344" s="38">
        <f t="shared" si="915"/>
        <v>574.44643824521836</v>
      </c>
      <c r="DS344" s="4">
        <f t="shared" si="1095"/>
        <v>1.0000805626306195</v>
      </c>
      <c r="DT344" s="4">
        <f t="shared" si="905"/>
        <v>3.1780497164141401</v>
      </c>
      <c r="DU344" s="4">
        <f t="shared" si="1103"/>
        <v>238.16638010480509</v>
      </c>
      <c r="DY344" s="4">
        <f t="shared" si="1037"/>
        <v>0.85</v>
      </c>
      <c r="DZ344" s="4">
        <f t="shared" si="1096"/>
        <v>1</v>
      </c>
      <c r="EA344" s="4">
        <f t="shared" si="916"/>
        <v>1</v>
      </c>
      <c r="EB344" s="4">
        <f t="shared" si="1097"/>
        <v>1</v>
      </c>
      <c r="ED344" s="4">
        <f t="shared" si="917"/>
        <v>598.22911344763565</v>
      </c>
      <c r="EE344" s="25">
        <f t="shared" si="918"/>
        <v>236.21331931889364</v>
      </c>
      <c r="EG344" s="4">
        <f t="shared" si="1104"/>
        <v>0.85</v>
      </c>
      <c r="EH344" s="4">
        <f t="shared" si="919"/>
        <v>9.9155243530194994</v>
      </c>
      <c r="EK344" s="4">
        <f t="shared" si="906"/>
        <v>80.72246279691916</v>
      </c>
      <c r="EL344" s="4">
        <f t="shared" si="907"/>
        <v>3.1780497164141406</v>
      </c>
      <c r="EM344" s="4">
        <f t="shared" si="908"/>
        <v>4.868670402844448E-2</v>
      </c>
      <c r="EP344" s="4">
        <f t="shared" si="998"/>
        <v>4.868670402844448E-2</v>
      </c>
      <c r="EQ344" s="4">
        <f t="shared" si="960"/>
        <v>9.6277435410562634E-2</v>
      </c>
      <c r="ER344" s="4">
        <f t="shared" si="1010"/>
        <v>3.887993147469297</v>
      </c>
      <c r="ES344" s="4">
        <f t="shared" si="983"/>
        <v>7.5411879057167894</v>
      </c>
      <c r="ET344" s="4">
        <f t="shared" si="1011"/>
        <v>151.11603720308085</v>
      </c>
      <c r="EU344" s="4">
        <f t="shared" si="1012"/>
        <v>77.279499999999985</v>
      </c>
      <c r="EV344" s="4">
        <f t="shared" si="1098"/>
        <v>3.0775330482386821E-5</v>
      </c>
      <c r="EW344" s="4">
        <f t="shared" si="984"/>
        <v>8.8204725370867241</v>
      </c>
      <c r="EX344" s="4">
        <f t="shared" si="867"/>
        <v>574.40016305705421</v>
      </c>
      <c r="FG344" s="23">
        <f t="shared" si="1030"/>
        <v>0.8</v>
      </c>
      <c r="FH344" s="23">
        <f t="shared" si="1030"/>
        <v>0.6</v>
      </c>
      <c r="FI344" s="23">
        <f t="shared" si="952"/>
        <v>1.2</v>
      </c>
      <c r="FJ344" s="23">
        <f t="shared" si="1031"/>
        <v>1.8</v>
      </c>
      <c r="FK344" s="23">
        <f t="shared" si="1031"/>
        <v>0.8</v>
      </c>
      <c r="FL344" s="23">
        <f t="shared" si="1031"/>
        <v>0.8</v>
      </c>
      <c r="FM344" s="23">
        <f t="shared" si="923"/>
        <v>1</v>
      </c>
      <c r="FN344" s="23"/>
      <c r="FX344" s="4">
        <f t="shared" si="1099"/>
        <v>1</v>
      </c>
      <c r="FY344" s="4">
        <f t="shared" si="890"/>
        <v>0.91666666666666663</v>
      </c>
      <c r="FZ344" s="4">
        <f t="shared" si="1100"/>
        <v>0</v>
      </c>
      <c r="GA344" s="4">
        <f t="shared" si="1101"/>
        <v>402.25783593735827</v>
      </c>
    </row>
    <row r="345" spans="1:183" ht="12" hidden="1" customHeight="1" x14ac:dyDescent="0.3">
      <c r="A345" s="25">
        <v>327</v>
      </c>
      <c r="B345" s="4" t="s">
        <v>605</v>
      </c>
      <c r="C345" s="4">
        <v>2016</v>
      </c>
      <c r="D345" s="4" t="s">
        <v>309</v>
      </c>
      <c r="E345" s="24" t="s">
        <v>670</v>
      </c>
      <c r="F345" s="7" t="s">
        <v>489</v>
      </c>
      <c r="G345" s="38">
        <f t="shared" si="1080"/>
        <v>889.65517241379314</v>
      </c>
      <c r="H345" s="38">
        <f>12.03*25.4</f>
        <v>305.56199999999995</v>
      </c>
      <c r="I345" s="4">
        <f t="shared" si="985"/>
        <v>305.56199999999995</v>
      </c>
      <c r="J345" s="38">
        <f>12360/145</f>
        <v>85.241379310344826</v>
      </c>
      <c r="K345" s="38">
        <f t="shared" si="986"/>
        <v>25.4</v>
      </c>
      <c r="L345" s="7">
        <f t="shared" si="987"/>
        <v>12.03</v>
      </c>
      <c r="M345" s="7">
        <f t="shared" si="988"/>
        <v>12.03</v>
      </c>
      <c r="N345" s="38">
        <f>15.1*25.4</f>
        <v>383.53999999999996</v>
      </c>
      <c r="O345" s="38">
        <f>2.45*25.4</f>
        <v>62.230000000000004</v>
      </c>
      <c r="P345" s="39">
        <f>3.1*25.4</f>
        <v>78.739999999999995</v>
      </c>
      <c r="Q345" s="7">
        <f t="shared" si="989"/>
        <v>52.493333333333311</v>
      </c>
      <c r="R345" s="38">
        <v>4</v>
      </c>
      <c r="S345" s="4">
        <f t="shared" si="966"/>
        <v>260.34999999999997</v>
      </c>
      <c r="T345" s="7">
        <f t="shared" si="990"/>
        <v>1.533333333333333</v>
      </c>
      <c r="U345" s="7">
        <f t="shared" si="859"/>
        <v>2.95</v>
      </c>
      <c r="V345" s="38">
        <v>4.0999999999999996</v>
      </c>
      <c r="W345" s="4">
        <f t="shared" si="991"/>
        <v>4.0999999999999996</v>
      </c>
      <c r="X345" s="4">
        <f t="shared" si="992"/>
        <v>5.0999999999999996</v>
      </c>
      <c r="Y345" s="7">
        <f t="shared" si="993"/>
        <v>57.361276136431961</v>
      </c>
      <c r="AB345" s="38">
        <f t="shared" si="1038"/>
        <v>560.00000000000011</v>
      </c>
      <c r="AC345" s="4">
        <v>81.2</v>
      </c>
      <c r="AD345" s="4">
        <f t="shared" si="899"/>
        <v>0.80505769112623204</v>
      </c>
      <c r="AE345" s="38">
        <f t="shared" ref="AE345:AE346" si="1118">0.5*25.4</f>
        <v>12.7</v>
      </c>
      <c r="AF345" s="38">
        <v>10</v>
      </c>
      <c r="AG345" s="39">
        <f t="shared" ref="AG345:AG346" si="1119">3*25.4</f>
        <v>76.199999999999989</v>
      </c>
      <c r="AH345" s="39">
        <v>3</v>
      </c>
      <c r="AI345" s="39">
        <f t="shared" ref="AI345:AI346" si="1120">AH345-1</f>
        <v>2</v>
      </c>
      <c r="AJ345" s="7"/>
      <c r="AK345" s="4">
        <f t="shared" si="994"/>
        <v>305.56199999999995</v>
      </c>
      <c r="AL345" s="4">
        <f t="shared" si="910"/>
        <v>0.41839844832363543</v>
      </c>
      <c r="AM345" s="4">
        <f t="shared" si="911"/>
        <v>243.30831117709874</v>
      </c>
      <c r="AN345" s="4">
        <f t="shared" si="912"/>
        <v>0.74904405652535322</v>
      </c>
      <c r="AO345" s="4">
        <v>1.25</v>
      </c>
      <c r="AP345" s="4">
        <f t="shared" si="1112"/>
        <v>2.5</v>
      </c>
      <c r="AQ345" s="38">
        <f t="shared" si="967"/>
        <v>238.28921881887709</v>
      </c>
      <c r="AR345" s="38">
        <f t="shared" si="913"/>
        <v>238.28921881887709</v>
      </c>
      <c r="AS345" s="38">
        <f t="shared" si="914"/>
        <v>4.9491074410379952</v>
      </c>
      <c r="AT345" s="38">
        <f t="shared" ref="AT345:AT408" si="1121">AP345* (J345^0.5/AK345^0.5)/(PI()/4*K345^2)/R345/0.72 *(0.7+(MIN(O345,S345)+0.5*K345)/5/H345) *(3*N345*H345)</f>
        <v>238.28921881887737</v>
      </c>
      <c r="AU345" s="38">
        <f t="shared" si="1086"/>
        <v>0.99999999999999878</v>
      </c>
      <c r="AV345" s="38">
        <f t="shared" si="954"/>
        <v>3.042196719936292</v>
      </c>
      <c r="AW345" s="4">
        <f t="shared" si="940"/>
        <v>0</v>
      </c>
      <c r="AX345" s="4">
        <f t="shared" si="995"/>
        <v>584.57099194793602</v>
      </c>
      <c r="AY345" s="4">
        <f t="shared" si="968"/>
        <v>1.3695652173913047</v>
      </c>
      <c r="AZ345" s="38">
        <f t="shared" si="1102"/>
        <v>724.92267988697006</v>
      </c>
      <c r="BA345" s="4">
        <f t="shared" si="969"/>
        <v>0.42600000000000005</v>
      </c>
      <c r="BB345" s="4">
        <f t="shared" si="970"/>
        <v>130.11673424273135</v>
      </c>
      <c r="BC345" s="4">
        <f t="shared" si="971"/>
        <v>855.03941412970141</v>
      </c>
      <c r="BE345" s="4">
        <f t="shared" ref="BE345:BE408" si="1122">MIN(1.5, 0.75+0.25*MIN(3,MAX(1,O345/K345))+0.4*MIN(1,(40*2*PI()*AE345^2/4/AG345/R345)/K345))</f>
        <v>1.5</v>
      </c>
      <c r="BF345" s="4">
        <f t="shared" si="860"/>
        <v>915.27635947499107</v>
      </c>
      <c r="BH345" s="4">
        <f t="shared" si="861"/>
        <v>695.28950227858024</v>
      </c>
      <c r="BI345" s="4">
        <f t="shared" si="1067"/>
        <v>0</v>
      </c>
      <c r="BJ345" s="4">
        <f t="shared" si="862"/>
        <v>0</v>
      </c>
      <c r="BR345" s="4">
        <f t="shared" si="972"/>
        <v>26.246666666666655</v>
      </c>
      <c r="BV345" s="9"/>
      <c r="BX345" s="9"/>
      <c r="BY345" s="9"/>
      <c r="BZ345" s="9">
        <f t="shared" si="973"/>
        <v>26.246666666666655</v>
      </c>
      <c r="CA345" s="9">
        <f t="shared" si="974"/>
        <v>62.230000000000004</v>
      </c>
      <c r="CB345" s="9">
        <f t="shared" si="1087"/>
        <v>1.1570684888602492</v>
      </c>
      <c r="CC345" s="40">
        <f t="shared" si="996"/>
        <v>20</v>
      </c>
      <c r="CD345" s="9">
        <f t="shared" si="975"/>
        <v>0.05</v>
      </c>
      <c r="CE345" s="9">
        <f t="shared" si="976"/>
        <v>0.8</v>
      </c>
      <c r="CF345" s="9">
        <f t="shared" si="977"/>
        <v>0.99524931562137331</v>
      </c>
      <c r="CG345" s="9">
        <f t="shared" si="978"/>
        <v>0.68</v>
      </c>
      <c r="CH345" s="9">
        <f t="shared" si="1088"/>
        <v>2.1869259549958526</v>
      </c>
      <c r="CI345" s="9">
        <f t="shared" si="1089"/>
        <v>4.2799638739929904</v>
      </c>
      <c r="CJ345" s="40">
        <v>1</v>
      </c>
      <c r="CK345" s="9">
        <f t="shared" si="1090"/>
        <v>462.74969405612217</v>
      </c>
      <c r="CM345" s="4">
        <f t="shared" si="979"/>
        <v>0.95796747993591125</v>
      </c>
      <c r="CN345" s="4">
        <f t="shared" si="980"/>
        <v>0.65494056852337501</v>
      </c>
      <c r="CO345" s="4">
        <f t="shared" si="946"/>
        <v>0.61183706342117261</v>
      </c>
      <c r="CP345" s="4">
        <f t="shared" si="981"/>
        <v>1.210157472156175</v>
      </c>
      <c r="CQ345" s="4">
        <f t="shared" si="921"/>
        <v>0.80505769112623204</v>
      </c>
      <c r="CR345" s="4">
        <f t="shared" si="922"/>
        <v>0.80046699672781108</v>
      </c>
      <c r="CS345" s="4">
        <f t="shared" si="947"/>
        <v>1.2738805592629094</v>
      </c>
      <c r="CT345" s="4">
        <f t="shared" si="997"/>
        <v>10</v>
      </c>
      <c r="DA345" s="4">
        <f t="shared" ref="DA345:DB346" si="1123">CM345</f>
        <v>0.95796747993591125</v>
      </c>
      <c r="DB345" s="4">
        <f t="shared" si="1123"/>
        <v>0.65494056852337501</v>
      </c>
      <c r="DC345" s="4">
        <f t="shared" ref="DC345:DC346" si="1124">CP345</f>
        <v>1.210157472156175</v>
      </c>
      <c r="DD345" s="4">
        <f t="shared" ref="DD345:DD346" si="1125">CS345</f>
        <v>1.2738805592629094</v>
      </c>
      <c r="DE345" s="4">
        <f t="shared" ref="DE345:DF346" si="1126">CQ345</f>
        <v>0.80505769112623204</v>
      </c>
      <c r="DF345" s="4">
        <f t="shared" si="1126"/>
        <v>0.80046699672781108</v>
      </c>
      <c r="DI345" s="4">
        <f t="shared" si="982"/>
        <v>305.56199999999995</v>
      </c>
      <c r="DL345" s="4">
        <f t="shared" si="900"/>
        <v>3.0421300386451396E-5</v>
      </c>
      <c r="DM345" s="4">
        <f t="shared" si="1009"/>
        <v>12.83701502171043</v>
      </c>
      <c r="DN345" s="4">
        <f t="shared" si="901"/>
        <v>0.1521793587080586</v>
      </c>
      <c r="DO345" s="4">
        <f t="shared" si="902"/>
        <v>6.0451398062212967</v>
      </c>
      <c r="DP345" s="4">
        <f t="shared" si="903"/>
        <v>10.040086430595098</v>
      </c>
      <c r="DQ345" s="4">
        <f t="shared" si="904"/>
        <v>10.893917173358787</v>
      </c>
      <c r="DR345" s="38">
        <f t="shared" si="915"/>
        <v>695.60232288022803</v>
      </c>
      <c r="DS345" s="4">
        <f t="shared" si="1095"/>
        <v>1.0000932592756089</v>
      </c>
      <c r="DT345" s="4">
        <f t="shared" si="905"/>
        <v>2.2583179581272428</v>
      </c>
      <c r="DU345" s="4">
        <f t="shared" si="1103"/>
        <v>238.28921881887737</v>
      </c>
      <c r="DY345" s="4">
        <f t="shared" si="1037"/>
        <v>0.85</v>
      </c>
      <c r="DZ345" s="4">
        <f t="shared" si="1096"/>
        <v>0.9966666666666667</v>
      </c>
      <c r="EA345" s="4">
        <f t="shared" si="916"/>
        <v>0.77500000000000002</v>
      </c>
      <c r="EB345" s="4">
        <f t="shared" si="1097"/>
        <v>0.77241666666666675</v>
      </c>
      <c r="ED345" s="4">
        <f t="shared" si="917"/>
        <v>699.59161625550587</v>
      </c>
      <c r="EE345" s="25">
        <f t="shared" si="918"/>
        <v>236.30374412197665</v>
      </c>
      <c r="EG345" s="4">
        <f t="shared" si="1104"/>
        <v>0.65655416666666677</v>
      </c>
      <c r="EH345" s="4">
        <f t="shared" si="919"/>
        <v>12.83701502171043</v>
      </c>
      <c r="EK345" s="4">
        <f t="shared" si="906"/>
        <v>57.361276136431961</v>
      </c>
      <c r="EL345" s="4">
        <f t="shared" si="907"/>
        <v>2.2583179581272428</v>
      </c>
      <c r="EM345" s="4">
        <f t="shared" si="908"/>
        <v>7.6827420039440139E-2</v>
      </c>
      <c r="EP345" s="4">
        <f t="shared" si="998"/>
        <v>7.6827420039440139E-2</v>
      </c>
      <c r="EQ345" s="4">
        <f t="shared" si="960"/>
        <v>0.15192539972075178</v>
      </c>
      <c r="ER345" s="4">
        <f t="shared" si="1010"/>
        <v>6.0411024995095755</v>
      </c>
      <c r="ES345" s="4">
        <f t="shared" si="983"/>
        <v>10.038889525077265</v>
      </c>
      <c r="ET345" s="4">
        <f t="shared" si="1011"/>
        <v>171.81022386356801</v>
      </c>
      <c r="EU345" s="4">
        <f t="shared" si="1012"/>
        <v>76.390499999999975</v>
      </c>
      <c r="EV345" s="4">
        <f t="shared" si="1098"/>
        <v>3.0421300386451385E-5</v>
      </c>
      <c r="EW345" s="4">
        <f t="shared" si="984"/>
        <v>10.894248770764069</v>
      </c>
      <c r="EX345" s="4">
        <f t="shared" si="867"/>
        <v>695.53745756077706</v>
      </c>
      <c r="FG345" s="23">
        <f t="shared" si="1030"/>
        <v>1</v>
      </c>
      <c r="FH345" s="23">
        <f t="shared" si="1030"/>
        <v>0.8</v>
      </c>
      <c r="FI345" s="23">
        <f t="shared" si="952"/>
        <v>1.4</v>
      </c>
      <c r="FJ345" s="23">
        <f t="shared" si="1031"/>
        <v>1.4</v>
      </c>
      <c r="FK345" s="23">
        <f t="shared" si="1031"/>
        <v>1</v>
      </c>
      <c r="FL345" s="23">
        <f t="shared" si="1031"/>
        <v>1</v>
      </c>
      <c r="FM345" s="23">
        <f t="shared" si="923"/>
        <v>0</v>
      </c>
      <c r="FN345" s="23"/>
      <c r="FX345" s="4">
        <f t="shared" si="1099"/>
        <v>1.25</v>
      </c>
      <c r="FY345" s="4">
        <f t="shared" si="890"/>
        <v>0.66331782945736439</v>
      </c>
      <c r="FZ345" s="4">
        <f t="shared" si="1100"/>
        <v>0.3</v>
      </c>
      <c r="GA345" s="4">
        <f t="shared" si="1101"/>
        <v>439.60165333241787</v>
      </c>
    </row>
    <row r="346" spans="1:183" ht="12" hidden="1" customHeight="1" x14ac:dyDescent="0.3">
      <c r="A346" s="25">
        <v>328</v>
      </c>
      <c r="B346" s="4" t="s">
        <v>605</v>
      </c>
      <c r="C346" s="4">
        <v>2016</v>
      </c>
      <c r="D346" s="4" t="s">
        <v>309</v>
      </c>
      <c r="E346" s="24" t="s">
        <v>670</v>
      </c>
      <c r="F346" s="7" t="s">
        <v>490</v>
      </c>
      <c r="G346" s="38">
        <f t="shared" si="1080"/>
        <v>889.65517241379314</v>
      </c>
      <c r="H346" s="38">
        <f>11.95*25.4</f>
        <v>303.52999999999997</v>
      </c>
      <c r="I346" s="4">
        <f t="shared" si="985"/>
        <v>303.52999999999997</v>
      </c>
      <c r="J346" s="38">
        <f>12360/145</f>
        <v>85.241379310344826</v>
      </c>
      <c r="K346" s="38">
        <f t="shared" si="986"/>
        <v>25.4</v>
      </c>
      <c r="L346" s="7">
        <f t="shared" si="987"/>
        <v>11.95</v>
      </c>
      <c r="M346" s="7">
        <f t="shared" si="988"/>
        <v>11.95</v>
      </c>
      <c r="N346" s="38">
        <f>14.9*25.4</f>
        <v>378.46</v>
      </c>
      <c r="O346" s="38">
        <f>2.45*25.4</f>
        <v>62.230000000000004</v>
      </c>
      <c r="P346" s="39">
        <f>3.1*25.4</f>
        <v>78.739999999999995</v>
      </c>
      <c r="Q346" s="7">
        <f t="shared" si="989"/>
        <v>50.800000000000004</v>
      </c>
      <c r="R346" s="38">
        <v>4</v>
      </c>
      <c r="S346" s="4">
        <f t="shared" si="966"/>
        <v>260.34999999999997</v>
      </c>
      <c r="T346" s="7">
        <f t="shared" si="990"/>
        <v>1.5000000000000002</v>
      </c>
      <c r="U346" s="7">
        <f t="shared" ref="U346:U409" si="1127">O346/K346+0.5</f>
        <v>2.95</v>
      </c>
      <c r="V346" s="38">
        <v>9.1</v>
      </c>
      <c r="W346" s="4">
        <f t="shared" si="991"/>
        <v>9.1</v>
      </c>
      <c r="X346" s="4">
        <f t="shared" si="992"/>
        <v>10.1</v>
      </c>
      <c r="Y346" s="7">
        <f t="shared" si="993"/>
        <v>80.72246279691916</v>
      </c>
      <c r="AB346" s="38">
        <f t="shared" si="1038"/>
        <v>766.20689655172418</v>
      </c>
      <c r="AC346" s="4">
        <v>111.1</v>
      </c>
      <c r="AD346" s="4">
        <f t="shared" si="899"/>
        <v>1.1698808414795534</v>
      </c>
      <c r="AE346" s="38">
        <f t="shared" si="1118"/>
        <v>12.7</v>
      </c>
      <c r="AF346" s="38">
        <v>10</v>
      </c>
      <c r="AG346" s="39">
        <f t="shared" si="1119"/>
        <v>76.199999999999989</v>
      </c>
      <c r="AH346" s="39">
        <v>3</v>
      </c>
      <c r="AI346" s="39">
        <f t="shared" si="1120"/>
        <v>2</v>
      </c>
      <c r="AJ346" s="7"/>
      <c r="AK346" s="4">
        <f t="shared" si="994"/>
        <v>303.52999999999997</v>
      </c>
      <c r="AL346" s="4">
        <f t="shared" si="910"/>
        <v>0.41562064156206424</v>
      </c>
      <c r="AM346" s="4">
        <f t="shared" si="911"/>
        <v>240.88533502614254</v>
      </c>
      <c r="AN346" s="4">
        <f t="shared" si="912"/>
        <v>0.74937238493723846</v>
      </c>
      <c r="AO346" s="4">
        <v>1.25</v>
      </c>
      <c r="AP346" s="4">
        <f t="shared" si="1112"/>
        <v>2.5</v>
      </c>
      <c r="AQ346" s="38">
        <f t="shared" si="967"/>
        <v>234.45266634184955</v>
      </c>
      <c r="AR346" s="38">
        <f t="shared" si="913"/>
        <v>234.45266634184955</v>
      </c>
      <c r="AS346" s="38">
        <f t="shared" si="914"/>
        <v>4.9491074410379952</v>
      </c>
      <c r="AT346" s="38">
        <f t="shared" si="1121"/>
        <v>234.45266634184975</v>
      </c>
      <c r="AU346" s="38">
        <f t="shared" si="1086"/>
        <v>0.99999999999999911</v>
      </c>
      <c r="AV346" s="38">
        <f t="shared" si="954"/>
        <v>4.5625676737536338</v>
      </c>
      <c r="AW346" s="4">
        <f t="shared" si="940"/>
        <v>0</v>
      </c>
      <c r="AX346" s="4">
        <f t="shared" si="995"/>
        <v>580.68357055509853</v>
      </c>
      <c r="AY346" s="4">
        <f t="shared" si="968"/>
        <v>1.3866666666666667</v>
      </c>
      <c r="AZ346" s="38">
        <f t="shared" si="1102"/>
        <v>1069.7061564766702</v>
      </c>
      <c r="BA346" s="4">
        <f t="shared" si="969"/>
        <v>0.3</v>
      </c>
      <c r="BB346" s="4">
        <f t="shared" si="970"/>
        <v>91.022149684511675</v>
      </c>
      <c r="BC346" s="4">
        <f t="shared" si="971"/>
        <v>1160.728306161182</v>
      </c>
      <c r="BE346" s="4">
        <f t="shared" si="1122"/>
        <v>1.5</v>
      </c>
      <c r="BF346" s="4">
        <f t="shared" ref="BF346:BF409" si="1128">(3*M346+30)*BE346*J346^0.5</f>
        <v>911.95261418411485</v>
      </c>
      <c r="BH346" s="4">
        <f t="shared" ref="BH346:BH409" si="1129">3.4/PI()^0.5*J346*T346*W346^0.5*AY346</f>
        <v>1025.9790205997742</v>
      </c>
      <c r="BI346" s="4">
        <f t="shared" si="1067"/>
        <v>0</v>
      </c>
      <c r="BJ346" s="4">
        <f t="shared" ref="BJ346:BJ409" si="1130">BI346/BH346</f>
        <v>0</v>
      </c>
      <c r="BR346" s="4">
        <f t="shared" si="972"/>
        <v>25.400000000000002</v>
      </c>
      <c r="BV346" s="9"/>
      <c r="BX346" s="9"/>
      <c r="BY346" s="9"/>
      <c r="BZ346" s="9">
        <f t="shared" si="973"/>
        <v>25.400000000000002</v>
      </c>
      <c r="CA346" s="9">
        <f t="shared" si="974"/>
        <v>62.230000000000004</v>
      </c>
      <c r="CB346" s="9">
        <f t="shared" si="1087"/>
        <v>1.143865371392744</v>
      </c>
      <c r="CC346" s="40">
        <f t="shared" si="996"/>
        <v>20</v>
      </c>
      <c r="CD346" s="9">
        <f t="shared" si="975"/>
        <v>0.05</v>
      </c>
      <c r="CE346" s="9">
        <f t="shared" si="976"/>
        <v>0.8</v>
      </c>
      <c r="CF346" s="9">
        <f t="shared" si="977"/>
        <v>0.99524931562137331</v>
      </c>
      <c r="CG346" s="9">
        <f t="shared" si="978"/>
        <v>0.68</v>
      </c>
      <c r="CH346" s="9">
        <f t="shared" si="1088"/>
        <v>2.1869259549958526</v>
      </c>
      <c r="CI346" s="9">
        <f t="shared" si="1089"/>
        <v>4.251089633716445</v>
      </c>
      <c r="CJ346" s="40">
        <v>1</v>
      </c>
      <c r="CK346" s="9">
        <f t="shared" si="1090"/>
        <v>458.26746251463271</v>
      </c>
      <c r="CM346" s="4">
        <f t="shared" si="979"/>
        <v>1.3194912606521252</v>
      </c>
      <c r="CN346" s="4">
        <f t="shared" si="980"/>
        <v>0.66010873732007236</v>
      </c>
      <c r="CO346" s="4">
        <f t="shared" si="946"/>
        <v>0.84018279528395989</v>
      </c>
      <c r="CP346" s="4">
        <f t="shared" si="981"/>
        <v>1.6719644295655374</v>
      </c>
      <c r="CQ346" s="4">
        <f t="shared" si="921"/>
        <v>1.1698808414795534</v>
      </c>
      <c r="CR346" s="4">
        <f t="shared" si="922"/>
        <v>1.1085878003695551</v>
      </c>
      <c r="CS346" s="4">
        <f t="shared" si="947"/>
        <v>1.7624587508377958</v>
      </c>
      <c r="CT346" s="4">
        <f t="shared" si="997"/>
        <v>10</v>
      </c>
      <c r="DA346" s="4">
        <f t="shared" si="1123"/>
        <v>1.3194912606521252</v>
      </c>
      <c r="DB346" s="4">
        <f t="shared" si="1123"/>
        <v>0.66010873732007236</v>
      </c>
      <c r="DC346" s="4">
        <f t="shared" si="1124"/>
        <v>1.6719644295655374</v>
      </c>
      <c r="DD346" s="4">
        <f t="shared" si="1125"/>
        <v>1.7624587508377958</v>
      </c>
      <c r="DE346" s="4">
        <f t="shared" si="1126"/>
        <v>1.1698808414795534</v>
      </c>
      <c r="DF346" s="4">
        <f t="shared" si="1126"/>
        <v>1.1085878003695551</v>
      </c>
      <c r="DI346" s="4">
        <f t="shared" si="982"/>
        <v>303.52999999999997</v>
      </c>
      <c r="DL346" s="4">
        <f t="shared" si="900"/>
        <v>3.0218997474488296E-5</v>
      </c>
      <c r="DM346" s="4">
        <f t="shared" si="1009"/>
        <v>12.794224971638064</v>
      </c>
      <c r="DN346" s="4">
        <f t="shared" si="901"/>
        <v>9.4934615442757594E-2</v>
      </c>
      <c r="DO346" s="4">
        <f t="shared" si="902"/>
        <v>4.988659028525408</v>
      </c>
      <c r="DP346" s="4">
        <f t="shared" si="903"/>
        <v>9.7235504870790646</v>
      </c>
      <c r="DQ346" s="4">
        <f t="shared" si="904"/>
        <v>11.053834529233329</v>
      </c>
      <c r="DR346" s="38">
        <f t="shared" si="915"/>
        <v>654.94439209953975</v>
      </c>
      <c r="DS346" s="4">
        <f t="shared" si="1095"/>
        <v>1.0000886053115807</v>
      </c>
      <c r="DT346" s="4">
        <f t="shared" si="905"/>
        <v>3.1780497164141401</v>
      </c>
      <c r="DU346" s="4">
        <f t="shared" si="1103"/>
        <v>234.45266634184975</v>
      </c>
      <c r="DY346" s="4">
        <f t="shared" si="1037"/>
        <v>0.85</v>
      </c>
      <c r="DZ346" s="4">
        <f t="shared" si="1096"/>
        <v>1</v>
      </c>
      <c r="EA346" s="4">
        <f t="shared" si="916"/>
        <v>0.77500000000000002</v>
      </c>
      <c r="EB346" s="4">
        <f t="shared" si="1097"/>
        <v>0.77500000000000002</v>
      </c>
      <c r="ED346" s="4">
        <f t="shared" si="917"/>
        <v>691.15580768280518</v>
      </c>
      <c r="EE346" s="25">
        <f t="shared" si="918"/>
        <v>232.4828424495806</v>
      </c>
      <c r="EG346" s="4">
        <f t="shared" si="1104"/>
        <v>0.65874999999999995</v>
      </c>
      <c r="EH346" s="4">
        <f t="shared" si="919"/>
        <v>12.794224971638064</v>
      </c>
      <c r="EK346" s="4">
        <f t="shared" si="906"/>
        <v>80.72246279691916</v>
      </c>
      <c r="EL346" s="4">
        <f t="shared" si="907"/>
        <v>3.1780497164141406</v>
      </c>
      <c r="EM346" s="4">
        <f t="shared" si="908"/>
        <v>4.7927535237518568E-2</v>
      </c>
      <c r="EP346" s="4">
        <f t="shared" si="998"/>
        <v>4.7927535237518568E-2</v>
      </c>
      <c r="EQ346" s="4">
        <f t="shared" si="960"/>
        <v>9.477618726299071E-2</v>
      </c>
      <c r="ER346" s="4">
        <f t="shared" si="1010"/>
        <v>4.9853273030030936</v>
      </c>
      <c r="ES346" s="4">
        <f t="shared" si="983"/>
        <v>9.7227215162763319</v>
      </c>
      <c r="ET346" s="4">
        <f t="shared" si="1011"/>
        <v>146.92503720308082</v>
      </c>
      <c r="EU346" s="4">
        <f t="shared" si="1012"/>
        <v>75.882499999999993</v>
      </c>
      <c r="EV346" s="4">
        <f t="shared" si="1098"/>
        <v>3.0218997474488296E-5</v>
      </c>
      <c r="EW346" s="4">
        <f t="shared" si="984"/>
        <v>11.05412806132567</v>
      </c>
      <c r="EX346" s="4">
        <f t="shared" ref="EX346:EX409" si="1131">MIN(4/K346*(1*ER346*EK346+ES346*ET346+EU346*EW346)+DU346,MAX(G346,AB346))</f>
        <v>654.88636568905793</v>
      </c>
      <c r="FG346" s="23">
        <f t="shared" si="1030"/>
        <v>1.4</v>
      </c>
      <c r="FH346" s="23">
        <f t="shared" si="1030"/>
        <v>0.8</v>
      </c>
      <c r="FI346" s="23">
        <f t="shared" si="952"/>
        <v>1.8</v>
      </c>
      <c r="FJ346" s="23">
        <f t="shared" si="1031"/>
        <v>1.8</v>
      </c>
      <c r="FK346" s="23">
        <f t="shared" si="1031"/>
        <v>1.2</v>
      </c>
      <c r="FL346" s="23">
        <f t="shared" si="1031"/>
        <v>1.2</v>
      </c>
      <c r="FM346" s="23">
        <f t="shared" si="923"/>
        <v>0</v>
      </c>
      <c r="FN346" s="23"/>
      <c r="FX346" s="4">
        <f t="shared" si="1099"/>
        <v>1.25</v>
      </c>
      <c r="FY346" s="4">
        <f t="shared" si="890"/>
        <v>0.66627906976744189</v>
      </c>
      <c r="FZ346" s="4">
        <f t="shared" si="1100"/>
        <v>0.3</v>
      </c>
      <c r="GA346" s="4">
        <f t="shared" si="1101"/>
        <v>434.73749169306967</v>
      </c>
    </row>
    <row r="347" spans="1:183" ht="12" hidden="1" customHeight="1" x14ac:dyDescent="0.3">
      <c r="A347" s="25">
        <v>329</v>
      </c>
      <c r="B347" s="4" t="s">
        <v>605</v>
      </c>
      <c r="C347" s="4">
        <v>2016</v>
      </c>
      <c r="D347" s="4" t="s">
        <v>309</v>
      </c>
      <c r="E347" s="24" t="s">
        <v>491</v>
      </c>
      <c r="F347" s="48" t="s">
        <v>492</v>
      </c>
      <c r="G347" s="38">
        <f>115.9/0.145</f>
        <v>799.31034482758628</v>
      </c>
      <c r="H347" s="38">
        <f>9.19*25.4</f>
        <v>233.42599999999999</v>
      </c>
      <c r="I347" s="4">
        <f t="shared" si="985"/>
        <v>233.42599999999999</v>
      </c>
      <c r="J347" s="38">
        <f>6710/145</f>
        <v>46.275862068965516</v>
      </c>
      <c r="K347" s="38">
        <f t="shared" si="986"/>
        <v>25.4</v>
      </c>
      <c r="L347" s="7">
        <f t="shared" si="987"/>
        <v>9.19</v>
      </c>
      <c r="M347" s="7">
        <f t="shared" si="988"/>
        <v>9.19</v>
      </c>
      <c r="N347" s="38">
        <f>17.3*25.4</f>
        <v>439.42</v>
      </c>
      <c r="O347" s="38">
        <f>2.6*25.4</f>
        <v>66.039999999999992</v>
      </c>
      <c r="P347" s="39">
        <f>3.25*25.4</f>
        <v>82.55</v>
      </c>
      <c r="Q347" s="7">
        <f t="shared" si="989"/>
        <v>256.54000000000002</v>
      </c>
      <c r="R347" s="38">
        <v>2</v>
      </c>
      <c r="S347" s="4">
        <f t="shared" si="966"/>
        <v>260.34999999999997</v>
      </c>
      <c r="T347" s="7">
        <f t="shared" si="990"/>
        <v>3.0999999999999996</v>
      </c>
      <c r="U347" s="7">
        <f t="shared" si="1127"/>
        <v>3.0999999999999996</v>
      </c>
      <c r="V347" s="38">
        <v>4.5</v>
      </c>
      <c r="W347" s="4">
        <f t="shared" si="991"/>
        <v>4.5</v>
      </c>
      <c r="X347" s="4">
        <f t="shared" si="992"/>
        <v>5.5</v>
      </c>
      <c r="Y347" s="7">
        <f t="shared" si="993"/>
        <v>59.568280149757555</v>
      </c>
      <c r="AB347" s="38">
        <f t="shared" si="1038"/>
        <v>509.6551724137932</v>
      </c>
      <c r="AC347" s="4">
        <v>73.900000000000006</v>
      </c>
      <c r="AD347" s="4">
        <f t="shared" si="899"/>
        <v>0.81066942187607538</v>
      </c>
      <c r="AE347" s="38"/>
      <c r="AF347" s="38"/>
      <c r="AG347" s="39">
        <v>1</v>
      </c>
      <c r="AH347" s="39"/>
      <c r="AI347" s="39"/>
      <c r="AJ347" s="7"/>
      <c r="AK347" s="4">
        <f t="shared" si="994"/>
        <v>233.42599999999999</v>
      </c>
      <c r="AL347" s="4">
        <f t="shared" si="910"/>
        <v>0.62749365252085609</v>
      </c>
      <c r="AM347" s="4">
        <f t="shared" si="911"/>
        <v>239.39429178870478</v>
      </c>
      <c r="AN347" s="4">
        <f t="shared" si="912"/>
        <v>0.76746463547334054</v>
      </c>
      <c r="AO347" s="4">
        <v>1.25</v>
      </c>
      <c r="AP347" s="4">
        <f t="shared" si="1112"/>
        <v>2.5</v>
      </c>
      <c r="AQ347" s="38">
        <f t="shared" si="967"/>
        <v>360.27283900740065</v>
      </c>
      <c r="AR347" s="38">
        <f t="shared" si="913"/>
        <v>360.27283900740065</v>
      </c>
      <c r="AS347" s="38">
        <f t="shared" si="914"/>
        <v>3.8668524435568052</v>
      </c>
      <c r="AT347" s="38">
        <f t="shared" si="1121"/>
        <v>360.27283900740036</v>
      </c>
      <c r="AU347" s="38">
        <f t="shared" si="1086"/>
        <v>1.0000000000000009</v>
      </c>
      <c r="AV347" s="38">
        <f t="shared" si="954"/>
        <v>1.6893550813803335</v>
      </c>
      <c r="AW347" s="4">
        <f t="shared" si="940"/>
        <v>0</v>
      </c>
      <c r="AX347" s="4">
        <f t="shared" si="995"/>
        <v>329.0327819417393</v>
      </c>
      <c r="AY347" s="4">
        <f t="shared" si="968"/>
        <v>1</v>
      </c>
      <c r="AZ347" s="38">
        <f t="shared" si="1102"/>
        <v>608.62875126047061</v>
      </c>
      <c r="BA347" s="4">
        <f t="shared" si="969"/>
        <v>0.37</v>
      </c>
      <c r="BB347" s="4">
        <f t="shared" si="970"/>
        <v>63.610262568886739</v>
      </c>
      <c r="BC347" s="4">
        <f t="shared" si="971"/>
        <v>672.2390138293573</v>
      </c>
      <c r="BE347" s="4">
        <f t="shared" si="1122"/>
        <v>1.4</v>
      </c>
      <c r="BF347" s="4">
        <f t="shared" si="1128"/>
        <v>548.27888903141002</v>
      </c>
      <c r="BH347" s="4">
        <f t="shared" si="1129"/>
        <v>583.74940290502093</v>
      </c>
      <c r="BI347" s="4">
        <f t="shared" si="1067"/>
        <v>0</v>
      </c>
      <c r="BJ347" s="4">
        <f t="shared" si="1130"/>
        <v>0</v>
      </c>
      <c r="BR347" s="4">
        <f t="shared" si="972"/>
        <v>66.039999999999992</v>
      </c>
      <c r="BV347" s="9"/>
      <c r="BX347" s="9"/>
      <c r="BY347" s="9"/>
      <c r="BZ347" s="9">
        <f t="shared" si="973"/>
        <v>66.039999999999992</v>
      </c>
      <c r="CA347" s="9">
        <f t="shared" si="974"/>
        <v>128.27000000000001</v>
      </c>
      <c r="CB347" s="9">
        <f t="shared" si="1087"/>
        <v>1.7812889692205971</v>
      </c>
      <c r="CC347" s="40">
        <f t="shared" si="996"/>
        <v>0</v>
      </c>
      <c r="CD347" s="9">
        <f t="shared" si="975"/>
        <v>0</v>
      </c>
      <c r="CE347" s="9">
        <f t="shared" si="976"/>
        <v>0</v>
      </c>
      <c r="CF347" s="9">
        <f t="shared" si="977"/>
        <v>0.99524931562137331</v>
      </c>
      <c r="CG347" s="9">
        <f t="shared" si="978"/>
        <v>0.68048275862068963</v>
      </c>
      <c r="CH347" s="9">
        <f t="shared" si="1088"/>
        <v>1.6124799265763963</v>
      </c>
      <c r="CI347" s="9">
        <f t="shared" si="1089"/>
        <v>2.8722927063001729</v>
      </c>
      <c r="CJ347" s="40">
        <v>1</v>
      </c>
      <c r="CK347" s="9">
        <f t="shared" si="1090"/>
        <v>277.92304226160473</v>
      </c>
      <c r="CM347" s="4">
        <f t="shared" si="979"/>
        <v>1.5489495283908705</v>
      </c>
      <c r="CN347" s="4">
        <f t="shared" si="980"/>
        <v>0.75814578138002153</v>
      </c>
      <c r="CO347" s="4">
        <f t="shared" si="946"/>
        <v>0.92955461647292403</v>
      </c>
      <c r="CP347" s="4">
        <f t="shared" si="981"/>
        <v>1.8337996312449061</v>
      </c>
      <c r="CQ347" s="4">
        <f t="shared" si="921"/>
        <v>0.81066942187607538</v>
      </c>
      <c r="CR347" s="4">
        <f t="shared" si="922"/>
        <v>0.85520549534192214</v>
      </c>
      <c r="CS347" s="4">
        <f t="shared" si="947"/>
        <v>1.066177573233374</v>
      </c>
      <c r="CT347" s="4">
        <f t="shared" si="997"/>
        <v>0</v>
      </c>
      <c r="CU347" s="4">
        <f t="shared" ref="CU347:CV352" si="1132">CM347</f>
        <v>1.5489495283908705</v>
      </c>
      <c r="CV347" s="4">
        <f t="shared" si="1132"/>
        <v>0.75814578138002153</v>
      </c>
      <c r="CW347" s="4">
        <f t="shared" ref="CW347:CW352" si="1133">CP347</f>
        <v>1.8337996312449061</v>
      </c>
      <c r="CX347" s="4">
        <f t="shared" ref="CX347:CX375" si="1134">CS347</f>
        <v>1.066177573233374</v>
      </c>
      <c r="CY347" s="4">
        <f t="shared" ref="CY347:CZ352" si="1135">CQ347</f>
        <v>0.81066942187607538</v>
      </c>
      <c r="CZ347" s="4">
        <f t="shared" si="1135"/>
        <v>0.85520549534192214</v>
      </c>
      <c r="DI347" s="4">
        <f t="shared" si="982"/>
        <v>233.42599999999999</v>
      </c>
      <c r="DL347" s="4">
        <f t="shared" si="900"/>
        <v>1.8309566495771662E-5</v>
      </c>
      <c r="DM347" s="4">
        <f t="shared" si="1009"/>
        <v>8.6973795750242395</v>
      </c>
      <c r="DN347" s="4">
        <f t="shared" si="901"/>
        <v>0.40100189799113706</v>
      </c>
      <c r="DO347" s="4">
        <f t="shared" si="902"/>
        <v>6.0345792547808044</v>
      </c>
      <c r="DP347" s="4">
        <f t="shared" si="903"/>
        <v>7.4857163501452408</v>
      </c>
      <c r="DQ347" s="4">
        <f t="shared" si="904"/>
        <v>8.2310311474027262</v>
      </c>
      <c r="DR347" s="38">
        <f t="shared" si="915"/>
        <v>628.68434242201215</v>
      </c>
      <c r="DS347" s="4">
        <f t="shared" si="1095"/>
        <v>1.0001050940839242</v>
      </c>
      <c r="DT347" s="4">
        <f t="shared" si="905"/>
        <v>2.3452078799117149</v>
      </c>
      <c r="DU347" s="4">
        <f t="shared" si="1103"/>
        <v>360.27283900740036</v>
      </c>
      <c r="DY347" s="4">
        <f t="shared" si="1037"/>
        <v>0.85</v>
      </c>
      <c r="DZ347" s="4">
        <f t="shared" si="1096"/>
        <v>0.84000000000000008</v>
      </c>
      <c r="EA347" s="4">
        <f t="shared" si="916"/>
        <v>1</v>
      </c>
      <c r="EB347" s="4">
        <f t="shared" si="1097"/>
        <v>0.84000000000000008</v>
      </c>
      <c r="ED347" s="4">
        <f t="shared" si="917"/>
        <v>595.94468836992974</v>
      </c>
      <c r="EE347" s="25">
        <f t="shared" si="918"/>
        <v>356.15793348651147</v>
      </c>
      <c r="EG347" s="4">
        <f t="shared" si="1104"/>
        <v>0.71400000000000008</v>
      </c>
      <c r="EH347" s="4">
        <f t="shared" si="919"/>
        <v>8.6973795750242395</v>
      </c>
      <c r="EK347" s="4">
        <f t="shared" si="906"/>
        <v>59.568280149757555</v>
      </c>
      <c r="EL347" s="4">
        <f t="shared" si="907"/>
        <v>2.3452078799117149</v>
      </c>
      <c r="EM347" s="4">
        <f t="shared" si="908"/>
        <v>0.14916225920929174</v>
      </c>
      <c r="EP347" s="4">
        <f t="shared" si="998"/>
        <v>0.14916225920929174</v>
      </c>
      <c r="EQ347" s="4">
        <f t="shared" si="960"/>
        <v>0.40033270055998399</v>
      </c>
      <c r="ER347" s="4">
        <f t="shared" si="1010"/>
        <v>6.0305490010383416</v>
      </c>
      <c r="ES347" s="4">
        <f t="shared" si="983"/>
        <v>7.4840947084284517</v>
      </c>
      <c r="ET347" s="4">
        <f t="shared" si="1011"/>
        <v>115.50121985024245</v>
      </c>
      <c r="EU347" s="4">
        <f t="shared" si="1012"/>
        <v>58.356499999999983</v>
      </c>
      <c r="EV347" s="4">
        <f t="shared" si="1098"/>
        <v>1.8309566495771656E-5</v>
      </c>
      <c r="EW347" s="4">
        <f t="shared" si="984"/>
        <v>8.2311660096049586</v>
      </c>
      <c r="EX347" s="4">
        <f t="shared" si="1131"/>
        <v>628.61827835990982</v>
      </c>
      <c r="FA347" s="4">
        <f t="shared" ref="FA347:FA351" si="1136">5.25*25.4</f>
        <v>133.35</v>
      </c>
      <c r="FG347" s="23">
        <f t="shared" si="1030"/>
        <v>1.6</v>
      </c>
      <c r="FH347" s="23">
        <f t="shared" si="1030"/>
        <v>0.8</v>
      </c>
      <c r="FI347" s="23">
        <f t="shared" si="952"/>
        <v>1.2</v>
      </c>
      <c r="FJ347" s="23">
        <f t="shared" si="1031"/>
        <v>2</v>
      </c>
      <c r="FK347" s="23">
        <f t="shared" si="1031"/>
        <v>1</v>
      </c>
      <c r="FL347" s="23">
        <f t="shared" si="1031"/>
        <v>1</v>
      </c>
      <c r="FM347" s="23">
        <f t="shared" si="923"/>
        <v>0</v>
      </c>
      <c r="FN347" s="23"/>
      <c r="FX347" s="4">
        <f t="shared" si="1099"/>
        <v>1</v>
      </c>
      <c r="FY347" s="4">
        <f t="shared" si="890"/>
        <v>0.5</v>
      </c>
      <c r="FZ347" s="4">
        <f t="shared" si="1100"/>
        <v>0</v>
      </c>
      <c r="GA347" s="4">
        <f t="shared" si="1101"/>
        <v>478.02090871989816</v>
      </c>
    </row>
    <row r="348" spans="1:183" ht="12" hidden="1" customHeight="1" x14ac:dyDescent="0.3">
      <c r="A348" s="25">
        <v>330</v>
      </c>
      <c r="B348" s="4" t="s">
        <v>605</v>
      </c>
      <c r="C348" s="4">
        <v>2016</v>
      </c>
      <c r="D348" s="4" t="s">
        <v>309</v>
      </c>
      <c r="E348" s="24" t="s">
        <v>491</v>
      </c>
      <c r="F348" s="48" t="s">
        <v>493</v>
      </c>
      <c r="G348" s="38">
        <f t="shared" ref="G348:G351" si="1137">115.9/0.145</f>
        <v>799.31034482758628</v>
      </c>
      <c r="H348" s="38">
        <f>9*25.4</f>
        <v>228.6</v>
      </c>
      <c r="I348" s="4">
        <f t="shared" si="985"/>
        <v>228.6</v>
      </c>
      <c r="J348" s="38">
        <f>6710/145</f>
        <v>46.275862068965516</v>
      </c>
      <c r="K348" s="38">
        <f t="shared" si="986"/>
        <v>25.4</v>
      </c>
      <c r="L348" s="7">
        <f t="shared" si="987"/>
        <v>9</v>
      </c>
      <c r="M348" s="7">
        <f t="shared" si="988"/>
        <v>9</v>
      </c>
      <c r="N348" s="38">
        <f>15.3*25.4</f>
        <v>388.62</v>
      </c>
      <c r="O348" s="38">
        <f>2.55*25.4</f>
        <v>64.77</v>
      </c>
      <c r="P348" s="39">
        <f>3.45*25.4</f>
        <v>87.63</v>
      </c>
      <c r="Q348" s="7">
        <f t="shared" si="989"/>
        <v>208.28</v>
      </c>
      <c r="R348" s="38">
        <v>2</v>
      </c>
      <c r="S348" s="4">
        <f t="shared" si="966"/>
        <v>260.34999999999997</v>
      </c>
      <c r="T348" s="7">
        <f t="shared" si="990"/>
        <v>3.05</v>
      </c>
      <c r="U348" s="7">
        <f t="shared" si="1127"/>
        <v>3.05</v>
      </c>
      <c r="V348" s="38">
        <v>4.5</v>
      </c>
      <c r="W348" s="4">
        <f t="shared" si="991"/>
        <v>4.5</v>
      </c>
      <c r="X348" s="4">
        <f t="shared" si="992"/>
        <v>5.5</v>
      </c>
      <c r="Y348" s="7">
        <f t="shared" si="993"/>
        <v>59.568280149757555</v>
      </c>
      <c r="AB348" s="38">
        <f t="shared" si="1038"/>
        <v>513.10344827586209</v>
      </c>
      <c r="AC348" s="4">
        <v>74.400000000000006</v>
      </c>
      <c r="AD348" s="4">
        <f t="shared" si="899"/>
        <v>0.89753775945612424</v>
      </c>
      <c r="AE348" s="38"/>
      <c r="AF348" s="38"/>
      <c r="AG348" s="39">
        <v>1</v>
      </c>
      <c r="AH348" s="39"/>
      <c r="AI348" s="39"/>
      <c r="AJ348" s="7"/>
      <c r="AK348" s="4">
        <f t="shared" si="994"/>
        <v>228.6</v>
      </c>
      <c r="AL348" s="4">
        <f t="shared" si="910"/>
        <v>0.56666666666666654</v>
      </c>
      <c r="AM348" s="4">
        <f t="shared" si="911"/>
        <v>232.00870916574723</v>
      </c>
      <c r="AN348" s="4">
        <f t="shared" si="912"/>
        <v>0.76777777777777778</v>
      </c>
      <c r="AO348" s="4">
        <v>1.25</v>
      </c>
      <c r="AP348" s="4">
        <f t="shared" si="1112"/>
        <v>2.5</v>
      </c>
      <c r="AQ348" s="38">
        <f t="shared" si="967"/>
        <v>315.44054474190187</v>
      </c>
      <c r="AR348" s="38">
        <f t="shared" si="913"/>
        <v>315.44054474190187</v>
      </c>
      <c r="AS348" s="38">
        <f t="shared" si="914"/>
        <v>3.8668524435568052</v>
      </c>
      <c r="AT348" s="38">
        <f t="shared" si="1121"/>
        <v>315.44054474190187</v>
      </c>
      <c r="AU348" s="38">
        <f t="shared" si="1086"/>
        <v>1</v>
      </c>
      <c r="AV348" s="38">
        <f t="shared" si="954"/>
        <v>1.898336052482289</v>
      </c>
      <c r="AW348" s="4">
        <f t="shared" si="940"/>
        <v>0</v>
      </c>
      <c r="AX348" s="4">
        <f t="shared" si="995"/>
        <v>322.23014553597972</v>
      </c>
      <c r="AY348" s="4">
        <f t="shared" si="968"/>
        <v>1</v>
      </c>
      <c r="AZ348" s="38">
        <f t="shared" si="1102"/>
        <v>598.81215849820489</v>
      </c>
      <c r="BA348" s="4">
        <f t="shared" si="969"/>
        <v>0.37</v>
      </c>
      <c r="BB348" s="4">
        <f t="shared" si="970"/>
        <v>62.295142885743282</v>
      </c>
      <c r="BC348" s="4">
        <f t="shared" si="971"/>
        <v>661.1073013839482</v>
      </c>
      <c r="BE348" s="4">
        <f t="shared" si="1122"/>
        <v>1.3875</v>
      </c>
      <c r="BF348" s="4">
        <f t="shared" si="1128"/>
        <v>538.00350674051015</v>
      </c>
      <c r="BH348" s="4">
        <f t="shared" si="1129"/>
        <v>574.33408995494005</v>
      </c>
      <c r="BI348" s="4">
        <f t="shared" si="1067"/>
        <v>0</v>
      </c>
      <c r="BJ348" s="4">
        <f t="shared" si="1130"/>
        <v>0</v>
      </c>
      <c r="BR348" s="4">
        <f t="shared" si="972"/>
        <v>64.77</v>
      </c>
      <c r="BV348" s="9"/>
      <c r="BX348" s="9"/>
      <c r="BY348" s="9"/>
      <c r="BZ348" s="9">
        <f t="shared" si="973"/>
        <v>64.77</v>
      </c>
      <c r="CA348" s="9">
        <f t="shared" si="974"/>
        <v>104.14</v>
      </c>
      <c r="CB348" s="9">
        <f t="shared" si="1087"/>
        <v>1.7147730195910189</v>
      </c>
      <c r="CC348" s="40">
        <f t="shared" si="996"/>
        <v>0</v>
      </c>
      <c r="CD348" s="9">
        <f t="shared" si="975"/>
        <v>0</v>
      </c>
      <c r="CE348" s="9">
        <f t="shared" si="976"/>
        <v>0</v>
      </c>
      <c r="CF348" s="9">
        <f t="shared" si="977"/>
        <v>0.99524931562137331</v>
      </c>
      <c r="CG348" s="9">
        <f t="shared" si="978"/>
        <v>0.68048275862068963</v>
      </c>
      <c r="CH348" s="9">
        <f t="shared" si="1088"/>
        <v>1.6124799265763963</v>
      </c>
      <c r="CI348" s="9">
        <f t="shared" si="1089"/>
        <v>2.7650370727253115</v>
      </c>
      <c r="CJ348" s="40">
        <v>1</v>
      </c>
      <c r="CK348" s="9">
        <f t="shared" si="1090"/>
        <v>265.44355898162991</v>
      </c>
      <c r="CM348" s="4">
        <f t="shared" si="979"/>
        <v>1.592350856628868</v>
      </c>
      <c r="CN348" s="4">
        <f t="shared" si="980"/>
        <v>0.77612733545937562</v>
      </c>
      <c r="CO348" s="4">
        <f t="shared" si="946"/>
        <v>0.95371766512172973</v>
      </c>
      <c r="CP348" s="4">
        <f t="shared" si="981"/>
        <v>1.9330039509882082</v>
      </c>
      <c r="CQ348" s="4">
        <f t="shared" si="921"/>
        <v>0.89753775945612424</v>
      </c>
      <c r="CR348" s="4">
        <f t="shared" si="922"/>
        <v>0.94115541649385537</v>
      </c>
      <c r="CS348" s="4">
        <f t="shared" si="947"/>
        <v>1.0960517053259571</v>
      </c>
      <c r="CT348" s="4">
        <f t="shared" si="997"/>
        <v>0</v>
      </c>
      <c r="CU348" s="4">
        <f t="shared" si="1132"/>
        <v>1.592350856628868</v>
      </c>
      <c r="CV348" s="4">
        <f t="shared" si="1132"/>
        <v>0.77612733545937562</v>
      </c>
      <c r="CW348" s="4">
        <f t="shared" si="1133"/>
        <v>1.9330039509882082</v>
      </c>
      <c r="CX348" s="4">
        <f t="shared" si="1134"/>
        <v>1.0960517053259571</v>
      </c>
      <c r="CY348" s="4">
        <f t="shared" si="1135"/>
        <v>0.89753775945612424</v>
      </c>
      <c r="CZ348" s="4">
        <f t="shared" si="1135"/>
        <v>0.94115541649385537</v>
      </c>
      <c r="DI348" s="4">
        <f t="shared" si="982"/>
        <v>228.6</v>
      </c>
      <c r="DL348" s="4">
        <f t="shared" si="900"/>
        <v>1.7931022683563105E-5</v>
      </c>
      <c r="DM348" s="4">
        <f t="shared" si="1009"/>
        <v>8.6459157905566411</v>
      </c>
      <c r="DN348" s="4">
        <f t="shared" si="901"/>
        <v>0.35110128616235364</v>
      </c>
      <c r="DO348" s="4">
        <f t="shared" si="902"/>
        <v>5.6883193387798539</v>
      </c>
      <c r="DP348" s="4">
        <f t="shared" si="903"/>
        <v>7.3187071889491833</v>
      </c>
      <c r="DQ348" s="4">
        <f t="shared" si="904"/>
        <v>8.2141899726092866</v>
      </c>
      <c r="DR348" s="38">
        <f t="shared" si="915"/>
        <v>571.67895486289558</v>
      </c>
      <c r="DS348" s="4">
        <f t="shared" si="1095"/>
        <v>1.000105841760796</v>
      </c>
      <c r="DT348" s="4">
        <f t="shared" si="905"/>
        <v>2.3452078799117149</v>
      </c>
      <c r="DU348" s="4">
        <f t="shared" si="1103"/>
        <v>315.44054474190187</v>
      </c>
      <c r="DY348" s="4">
        <f t="shared" si="1037"/>
        <v>0.85</v>
      </c>
      <c r="DZ348" s="4">
        <f t="shared" si="1096"/>
        <v>0.84499999999999997</v>
      </c>
      <c r="EA348" s="4">
        <f t="shared" si="916"/>
        <v>1</v>
      </c>
      <c r="EB348" s="4">
        <f t="shared" si="1097"/>
        <v>0.84499999999999997</v>
      </c>
      <c r="ED348" s="4">
        <f t="shared" si="917"/>
        <v>545.18460955934165</v>
      </c>
      <c r="EE348" s="25">
        <f t="shared" si="918"/>
        <v>311.74488321431227</v>
      </c>
      <c r="EG348" s="4">
        <f t="shared" si="1104"/>
        <v>0.71824999999999994</v>
      </c>
      <c r="EH348" s="4">
        <f t="shared" si="919"/>
        <v>8.6459157905566411</v>
      </c>
      <c r="EK348" s="4">
        <f t="shared" si="906"/>
        <v>59.568280149757555</v>
      </c>
      <c r="EL348" s="4">
        <f t="shared" si="907"/>
        <v>2.3452078799117149</v>
      </c>
      <c r="EM348" s="4">
        <f t="shared" si="908"/>
        <v>0.13060053161250176</v>
      </c>
      <c r="EP348" s="4">
        <f t="shared" si="998"/>
        <v>0.13060053161250176</v>
      </c>
      <c r="EQ348" s="4">
        <f t="shared" si="960"/>
        <v>0.35051536355213303</v>
      </c>
      <c r="ER348" s="4">
        <f t="shared" si="1010"/>
        <v>5.6845203381643117</v>
      </c>
      <c r="ES348" s="4">
        <f t="shared" si="983"/>
        <v>7.3172346462199735</v>
      </c>
      <c r="ET348" s="4">
        <f t="shared" si="1011"/>
        <v>111.88171985024243</v>
      </c>
      <c r="EU348" s="4">
        <f t="shared" si="1012"/>
        <v>57.150000000000006</v>
      </c>
      <c r="EV348" s="4">
        <f t="shared" si="1098"/>
        <v>1.7931022683563109E-5</v>
      </c>
      <c r="EW348" s="4">
        <f t="shared" si="984"/>
        <v>8.2143101569991188</v>
      </c>
      <c r="EX348" s="4">
        <f t="shared" si="1131"/>
        <v>571.61845375924622</v>
      </c>
      <c r="FA348" s="4">
        <f t="shared" si="1136"/>
        <v>133.35</v>
      </c>
      <c r="FG348" s="23">
        <f t="shared" si="1030"/>
        <v>1.6</v>
      </c>
      <c r="FH348" s="23">
        <f t="shared" si="1030"/>
        <v>0.8</v>
      </c>
      <c r="FI348" s="23">
        <f t="shared" si="952"/>
        <v>1.2</v>
      </c>
      <c r="FJ348" s="23">
        <f t="shared" si="1031"/>
        <v>2</v>
      </c>
      <c r="FK348" s="23">
        <f t="shared" si="1031"/>
        <v>1</v>
      </c>
      <c r="FL348" s="23">
        <f t="shared" si="1031"/>
        <v>1</v>
      </c>
      <c r="FM348" s="23">
        <f t="shared" si="923"/>
        <v>0</v>
      </c>
      <c r="FN348" s="23"/>
      <c r="FX348" s="4">
        <f t="shared" si="1099"/>
        <v>1</v>
      </c>
      <c r="FY348" s="4">
        <f t="shared" si="890"/>
        <v>0.5</v>
      </c>
      <c r="FZ348" s="4">
        <f t="shared" si="1100"/>
        <v>0</v>
      </c>
      <c r="GA348" s="4">
        <f t="shared" si="1101"/>
        <v>468.13799548194601</v>
      </c>
    </row>
    <row r="349" spans="1:183" ht="12" hidden="1" customHeight="1" x14ac:dyDescent="0.3">
      <c r="A349" s="25">
        <v>331</v>
      </c>
      <c r="B349" s="4" t="s">
        <v>605</v>
      </c>
      <c r="C349" s="4">
        <v>2016</v>
      </c>
      <c r="D349" s="4" t="s">
        <v>309</v>
      </c>
      <c r="E349" s="24" t="s">
        <v>671</v>
      </c>
      <c r="F349" s="48" t="s">
        <v>494</v>
      </c>
      <c r="G349" s="38">
        <f t="shared" si="1137"/>
        <v>799.31034482758628</v>
      </c>
      <c r="H349" s="38">
        <f>9.25*25.4</f>
        <v>234.95</v>
      </c>
      <c r="I349" s="4">
        <f t="shared" si="985"/>
        <v>234.95</v>
      </c>
      <c r="J349" s="38">
        <f>6710/145</f>
        <v>46.275862068965516</v>
      </c>
      <c r="K349" s="38">
        <f t="shared" si="986"/>
        <v>25.4</v>
      </c>
      <c r="L349" s="7">
        <f t="shared" si="987"/>
        <v>9.25</v>
      </c>
      <c r="M349" s="7">
        <f t="shared" si="988"/>
        <v>9.25</v>
      </c>
      <c r="N349" s="38">
        <f>13.1*25.4</f>
        <v>332.73999999999995</v>
      </c>
      <c r="O349" s="38">
        <f>2.55*25.4</f>
        <v>64.77</v>
      </c>
      <c r="P349" s="39">
        <f>3.2*25.4</f>
        <v>81.28</v>
      </c>
      <c r="Q349" s="7">
        <f t="shared" si="989"/>
        <v>152.39999999999995</v>
      </c>
      <c r="R349" s="38">
        <v>2</v>
      </c>
      <c r="S349" s="4">
        <f t="shared" si="966"/>
        <v>260.34999999999997</v>
      </c>
      <c r="T349" s="7">
        <f t="shared" si="990"/>
        <v>3.05</v>
      </c>
      <c r="U349" s="7">
        <f t="shared" si="1127"/>
        <v>3.05</v>
      </c>
      <c r="V349" s="38">
        <v>4.5</v>
      </c>
      <c r="W349" s="4">
        <f t="shared" si="991"/>
        <v>4.5</v>
      </c>
      <c r="X349" s="4">
        <f t="shared" si="992"/>
        <v>5.5</v>
      </c>
      <c r="Y349" s="7">
        <f t="shared" si="993"/>
        <v>59.568280149757555</v>
      </c>
      <c r="AB349" s="38">
        <f t="shared" si="1038"/>
        <v>475.86206896551727</v>
      </c>
      <c r="AC349" s="4">
        <v>69</v>
      </c>
      <c r="AD349" s="4">
        <f t="shared" si="899"/>
        <v>0.89515643202731698</v>
      </c>
      <c r="AE349" s="38"/>
      <c r="AF349" s="38"/>
      <c r="AG349" s="39">
        <v>1</v>
      </c>
      <c r="AH349" s="39"/>
      <c r="AI349" s="39"/>
      <c r="AJ349" s="7"/>
      <c r="AK349" s="4">
        <f t="shared" si="994"/>
        <v>234.95</v>
      </c>
      <c r="AL349" s="4">
        <f t="shared" si="910"/>
        <v>0.47207207207207197</v>
      </c>
      <c r="AM349" s="4">
        <f t="shared" si="911"/>
        <v>241.74256326019332</v>
      </c>
      <c r="AN349" s="4">
        <f t="shared" si="912"/>
        <v>0.76594594594594589</v>
      </c>
      <c r="AO349" s="4">
        <v>1.25</v>
      </c>
      <c r="AP349" s="4">
        <f t="shared" si="1112"/>
        <v>2.5</v>
      </c>
      <c r="AQ349" s="38">
        <f t="shared" si="967"/>
        <v>273.1552641240558</v>
      </c>
      <c r="AR349" s="38">
        <f t="shared" si="913"/>
        <v>273.1552641240558</v>
      </c>
      <c r="AS349" s="38">
        <f t="shared" si="914"/>
        <v>3.8668524435568052</v>
      </c>
      <c r="AT349" s="38">
        <f t="shared" si="1121"/>
        <v>273.15526412405586</v>
      </c>
      <c r="AU349" s="38">
        <f t="shared" si="1086"/>
        <v>0.99999999999999978</v>
      </c>
      <c r="AV349" s="38">
        <f t="shared" si="954"/>
        <v>2.192204350952025</v>
      </c>
      <c r="AW349" s="4">
        <f t="shared" si="940"/>
        <v>0</v>
      </c>
      <c r="AX349" s="4">
        <f t="shared" si="995"/>
        <v>331.18098291197919</v>
      </c>
      <c r="AY349" s="4">
        <f t="shared" si="968"/>
        <v>1</v>
      </c>
      <c r="AZ349" s="38">
        <f t="shared" si="1102"/>
        <v>598.81215849820489</v>
      </c>
      <c r="BA349" s="4">
        <f t="shared" si="969"/>
        <v>0.37</v>
      </c>
      <c r="BB349" s="4">
        <f t="shared" si="970"/>
        <v>64.025563521458352</v>
      </c>
      <c r="BC349" s="4">
        <f t="shared" si="971"/>
        <v>662.83772201966326</v>
      </c>
      <c r="BE349" s="4">
        <f t="shared" si="1122"/>
        <v>1.3875</v>
      </c>
      <c r="BF349" s="4">
        <f t="shared" si="1128"/>
        <v>545.0825002502537</v>
      </c>
      <c r="BH349" s="4">
        <f t="shared" si="1129"/>
        <v>574.33408995494005</v>
      </c>
      <c r="BI349" s="4">
        <f t="shared" si="1067"/>
        <v>0</v>
      </c>
      <c r="BJ349" s="4">
        <f t="shared" si="1130"/>
        <v>0</v>
      </c>
      <c r="BR349" s="4">
        <f t="shared" si="972"/>
        <v>64.77</v>
      </c>
      <c r="BV349" s="9"/>
      <c r="BX349" s="9"/>
      <c r="BY349" s="9"/>
      <c r="BZ349" s="9">
        <f t="shared" si="973"/>
        <v>64.77</v>
      </c>
      <c r="CA349" s="9">
        <f t="shared" si="974"/>
        <v>76.199999999999974</v>
      </c>
      <c r="CB349" s="9">
        <f t="shared" si="1087"/>
        <v>1.636278603156414</v>
      </c>
      <c r="CC349" s="40">
        <f t="shared" si="996"/>
        <v>0</v>
      </c>
      <c r="CD349" s="9">
        <f t="shared" si="975"/>
        <v>0</v>
      </c>
      <c r="CE349" s="9">
        <f t="shared" si="976"/>
        <v>0</v>
      </c>
      <c r="CF349" s="9">
        <f t="shared" si="977"/>
        <v>0.99524931562137331</v>
      </c>
      <c r="CG349" s="9">
        <f t="shared" si="978"/>
        <v>0.68048275862068963</v>
      </c>
      <c r="CH349" s="9">
        <f t="shared" si="1088"/>
        <v>1.6124799265763963</v>
      </c>
      <c r="CI349" s="9">
        <f t="shared" si="1089"/>
        <v>2.6384664018761828</v>
      </c>
      <c r="CJ349" s="40">
        <v>1</v>
      </c>
      <c r="CK349" s="9">
        <f t="shared" si="1090"/>
        <v>255.93124098198973</v>
      </c>
      <c r="CM349" s="4">
        <f t="shared" si="979"/>
        <v>1.4368641121280543</v>
      </c>
      <c r="CN349" s="4">
        <f t="shared" si="980"/>
        <v>0.71791639666428142</v>
      </c>
      <c r="CO349" s="4">
        <f t="shared" si="946"/>
        <v>0.87300925776748195</v>
      </c>
      <c r="CP349" s="4">
        <f t="shared" si="981"/>
        <v>1.8593356056871713</v>
      </c>
      <c r="CQ349" s="4">
        <f t="shared" si="921"/>
        <v>0.89515643202731698</v>
      </c>
      <c r="CR349" s="4">
        <f t="shared" si="922"/>
        <v>0.93310480003574625</v>
      </c>
      <c r="CS349" s="4">
        <f t="shared" si="947"/>
        <v>1.1538643715615464</v>
      </c>
      <c r="CT349" s="4">
        <f t="shared" si="997"/>
        <v>0</v>
      </c>
      <c r="CU349" s="4">
        <f t="shared" si="1132"/>
        <v>1.4368641121280543</v>
      </c>
      <c r="CV349" s="4">
        <f t="shared" si="1132"/>
        <v>0.71791639666428142</v>
      </c>
      <c r="CW349" s="4">
        <f t="shared" si="1133"/>
        <v>1.8593356056871713</v>
      </c>
      <c r="CX349" s="4">
        <f t="shared" si="1134"/>
        <v>1.1538643715615464</v>
      </c>
      <c r="CY349" s="4">
        <f t="shared" si="1135"/>
        <v>0.89515643202731698</v>
      </c>
      <c r="CZ349" s="4">
        <f t="shared" si="1135"/>
        <v>0.93310480003574625</v>
      </c>
      <c r="DI349" s="4">
        <f t="shared" si="982"/>
        <v>234.95</v>
      </c>
      <c r="DL349" s="4">
        <f t="shared" si="900"/>
        <v>1.8429106646995416E-5</v>
      </c>
      <c r="DM349" s="4">
        <f t="shared" si="1009"/>
        <v>8.6459157905566411</v>
      </c>
      <c r="DN349" s="4">
        <f t="shared" si="901"/>
        <v>0.30403562939077616</v>
      </c>
      <c r="DO349" s="4">
        <f t="shared" si="902"/>
        <v>5.3700804699320424</v>
      </c>
      <c r="DP349" s="4">
        <f t="shared" si="903"/>
        <v>7.1978438338554191</v>
      </c>
      <c r="DQ349" s="4">
        <f t="shared" si="904"/>
        <v>8.1996818827256952</v>
      </c>
      <c r="DR349" s="38">
        <f t="shared" si="915"/>
        <v>531.59654775400827</v>
      </c>
      <c r="DS349" s="4">
        <f t="shared" si="1095"/>
        <v>1.0001073279151589</v>
      </c>
      <c r="DT349" s="4">
        <f t="shared" si="905"/>
        <v>2.3452078799117149</v>
      </c>
      <c r="DU349" s="4">
        <f t="shared" si="1103"/>
        <v>273.15526412405586</v>
      </c>
      <c r="DY349" s="4">
        <f t="shared" si="1037"/>
        <v>0.85</v>
      </c>
      <c r="DZ349" s="4">
        <f t="shared" si="1096"/>
        <v>0.84499999999999997</v>
      </c>
      <c r="EA349" s="4">
        <f t="shared" si="916"/>
        <v>1</v>
      </c>
      <c r="EB349" s="4">
        <f t="shared" si="1097"/>
        <v>0.84499999999999997</v>
      </c>
      <c r="ED349" s="4">
        <f t="shared" si="917"/>
        <v>509.97708826199107</v>
      </c>
      <c r="EE349" s="25">
        <f t="shared" si="918"/>
        <v>270.05292507404425</v>
      </c>
      <c r="EG349" s="4">
        <f t="shared" si="1104"/>
        <v>0.71824999999999994</v>
      </c>
      <c r="EH349" s="4">
        <f t="shared" si="919"/>
        <v>8.6459157905566411</v>
      </c>
      <c r="EK349" s="4">
        <f t="shared" si="906"/>
        <v>59.568280149757555</v>
      </c>
      <c r="EL349" s="4">
        <f t="shared" si="907"/>
        <v>2.3452078799117149</v>
      </c>
      <c r="EM349" s="4">
        <f t="shared" si="908"/>
        <v>0.11309333344115358</v>
      </c>
      <c r="EP349" s="4">
        <f t="shared" si="998"/>
        <v>0.11309333344115358</v>
      </c>
      <c r="EQ349" s="4">
        <f t="shared" si="960"/>
        <v>0.30352825058986138</v>
      </c>
      <c r="ER349" s="4">
        <f t="shared" si="1010"/>
        <v>5.3664940083085373</v>
      </c>
      <c r="ES349" s="4">
        <f t="shared" si="983"/>
        <v>7.1965110043758811</v>
      </c>
      <c r="ET349" s="4">
        <f t="shared" si="1011"/>
        <v>116.64421985024242</v>
      </c>
      <c r="EU349" s="4">
        <f t="shared" si="1012"/>
        <v>58.737500000000011</v>
      </c>
      <c r="EV349" s="4">
        <f t="shared" si="1098"/>
        <v>1.842910664699542E-5</v>
      </c>
      <c r="EW349" s="4">
        <f t="shared" si="984"/>
        <v>8.1997984162699229</v>
      </c>
      <c r="EX349" s="4">
        <f t="shared" si="1131"/>
        <v>531.53949872778526</v>
      </c>
      <c r="FA349" s="4">
        <f t="shared" si="1136"/>
        <v>133.35</v>
      </c>
      <c r="FG349" s="23">
        <f t="shared" si="1030"/>
        <v>1.6</v>
      </c>
      <c r="FH349" s="23">
        <f t="shared" si="1030"/>
        <v>0.8</v>
      </c>
      <c r="FI349" s="23">
        <f t="shared" si="952"/>
        <v>1.2</v>
      </c>
      <c r="FJ349" s="23">
        <f t="shared" si="1031"/>
        <v>2</v>
      </c>
      <c r="FK349" s="23">
        <f t="shared" si="1031"/>
        <v>1</v>
      </c>
      <c r="FL349" s="23">
        <f t="shared" si="1031"/>
        <v>1</v>
      </c>
      <c r="FM349" s="23">
        <f t="shared" si="923"/>
        <v>0</v>
      </c>
      <c r="FN349" s="23"/>
      <c r="FX349" s="4">
        <f t="shared" si="1099"/>
        <v>1</v>
      </c>
      <c r="FY349" s="4">
        <f t="shared" si="890"/>
        <v>0.58333333333333348</v>
      </c>
      <c r="FZ349" s="4">
        <f t="shared" si="1100"/>
        <v>0</v>
      </c>
      <c r="GA349" s="4">
        <f t="shared" si="1101"/>
        <v>412.40728173409514</v>
      </c>
    </row>
    <row r="350" spans="1:183" ht="12" hidden="1" customHeight="1" x14ac:dyDescent="0.3">
      <c r="A350" s="25">
        <v>332</v>
      </c>
      <c r="B350" s="4" t="s">
        <v>605</v>
      </c>
      <c r="C350" s="4">
        <v>2016</v>
      </c>
      <c r="D350" s="4" t="s">
        <v>309</v>
      </c>
      <c r="E350" s="24" t="s">
        <v>671</v>
      </c>
      <c r="F350" s="48" t="s">
        <v>495</v>
      </c>
      <c r="G350" s="38">
        <f t="shared" si="1137"/>
        <v>799.31034482758628</v>
      </c>
      <c r="H350" s="38">
        <f>9*25.4</f>
        <v>228.6</v>
      </c>
      <c r="I350" s="4">
        <f t="shared" si="985"/>
        <v>228.6</v>
      </c>
      <c r="J350" s="38">
        <f>6710/145</f>
        <v>46.275862068965516</v>
      </c>
      <c r="K350" s="38">
        <f t="shared" si="986"/>
        <v>25.4</v>
      </c>
      <c r="L350" s="7">
        <f t="shared" si="987"/>
        <v>9</v>
      </c>
      <c r="M350" s="7">
        <f t="shared" si="988"/>
        <v>9</v>
      </c>
      <c r="N350" s="38">
        <f>11.3*25.4</f>
        <v>287.02</v>
      </c>
      <c r="O350" s="38">
        <f t="shared" si="999"/>
        <v>63.5</v>
      </c>
      <c r="P350" s="39">
        <f>3.55*25.4</f>
        <v>90.169999999999987</v>
      </c>
      <c r="Q350" s="7">
        <f t="shared" si="989"/>
        <v>109.21999999999997</v>
      </c>
      <c r="R350" s="38">
        <v>2</v>
      </c>
      <c r="S350" s="4">
        <f t="shared" si="966"/>
        <v>260.34999999999997</v>
      </c>
      <c r="T350" s="7">
        <f t="shared" si="990"/>
        <v>2.6499999999999995</v>
      </c>
      <c r="U350" s="7">
        <f t="shared" si="1127"/>
        <v>3</v>
      </c>
      <c r="V350" s="38">
        <v>4.5</v>
      </c>
      <c r="W350" s="4">
        <f t="shared" si="991"/>
        <v>4.5</v>
      </c>
      <c r="X350" s="4">
        <f t="shared" si="992"/>
        <v>5.5</v>
      </c>
      <c r="Y350" s="7">
        <f t="shared" si="993"/>
        <v>59.568280149757555</v>
      </c>
      <c r="AB350" s="38">
        <f t="shared" si="1038"/>
        <v>446.89655172413796</v>
      </c>
      <c r="AC350" s="4">
        <v>64.8</v>
      </c>
      <c r="AD350" s="4">
        <f t="shared" si="899"/>
        <v>0.95550025830198404</v>
      </c>
      <c r="AE350" s="38"/>
      <c r="AF350" s="38"/>
      <c r="AG350" s="39">
        <v>1</v>
      </c>
      <c r="AH350" s="39"/>
      <c r="AI350" s="39"/>
      <c r="AJ350" s="7"/>
      <c r="AK350" s="4">
        <f t="shared" si="994"/>
        <v>228.6</v>
      </c>
      <c r="AL350" s="4">
        <f t="shared" si="910"/>
        <v>0.4185185185185184</v>
      </c>
      <c r="AM350" s="4">
        <f t="shared" si="911"/>
        <v>232.00870916574723</v>
      </c>
      <c r="AN350" s="4">
        <f t="shared" si="912"/>
        <v>0.76666666666666661</v>
      </c>
      <c r="AO350" s="4">
        <v>1.25</v>
      </c>
      <c r="AP350" s="4">
        <f t="shared" si="1112"/>
        <v>2.5</v>
      </c>
      <c r="AQ350" s="38">
        <f t="shared" si="967"/>
        <v>232.63527589574724</v>
      </c>
      <c r="AR350" s="38">
        <f t="shared" si="913"/>
        <v>232.63527589574724</v>
      </c>
      <c r="AS350" s="38">
        <f t="shared" si="914"/>
        <v>3.8668524435568052</v>
      </c>
      <c r="AT350" s="38">
        <f t="shared" si="1121"/>
        <v>232.63527589574718</v>
      </c>
      <c r="AU350" s="38">
        <f t="shared" si="1086"/>
        <v>1.0000000000000002</v>
      </c>
      <c r="AV350" s="38">
        <f t="shared" si="954"/>
        <v>2.3546122746229528</v>
      </c>
      <c r="AW350" s="4">
        <f t="shared" si="940"/>
        <v>0</v>
      </c>
      <c r="AX350" s="4">
        <f t="shared" si="995"/>
        <v>322.23014553597972</v>
      </c>
      <c r="AY350" s="4">
        <f t="shared" si="968"/>
        <v>1.0528301886792453</v>
      </c>
      <c r="AZ350" s="38">
        <f t="shared" si="1102"/>
        <v>547.76587613442348</v>
      </c>
      <c r="BA350" s="4">
        <f t="shared" si="969"/>
        <v>0.37</v>
      </c>
      <c r="BB350" s="4">
        <f t="shared" si="970"/>
        <v>62.295142885743282</v>
      </c>
      <c r="BC350" s="4">
        <f t="shared" si="971"/>
        <v>610.06101902016678</v>
      </c>
      <c r="BE350" s="4">
        <f t="shared" si="1122"/>
        <v>1.375</v>
      </c>
      <c r="BF350" s="4">
        <f t="shared" si="1128"/>
        <v>533.1566283014065</v>
      </c>
      <c r="BH350" s="4">
        <f t="shared" si="1129"/>
        <v>525.37446261451885</v>
      </c>
      <c r="BI350" s="4">
        <f t="shared" si="1067"/>
        <v>0</v>
      </c>
      <c r="BJ350" s="4">
        <f t="shared" si="1130"/>
        <v>0</v>
      </c>
      <c r="BR350" s="4">
        <f t="shared" si="972"/>
        <v>54.609999999999985</v>
      </c>
      <c r="BV350" s="9"/>
      <c r="BX350" s="9"/>
      <c r="BY350" s="9"/>
      <c r="BZ350" s="9">
        <f t="shared" si="973"/>
        <v>54.609999999999985</v>
      </c>
      <c r="CA350" s="9">
        <f t="shared" si="974"/>
        <v>63.5</v>
      </c>
      <c r="CB350" s="9">
        <f t="shared" si="1087"/>
        <v>1.4998383783405258</v>
      </c>
      <c r="CC350" s="40">
        <f t="shared" si="996"/>
        <v>0</v>
      </c>
      <c r="CD350" s="9">
        <f t="shared" si="975"/>
        <v>0</v>
      </c>
      <c r="CE350" s="9">
        <f t="shared" si="976"/>
        <v>0</v>
      </c>
      <c r="CF350" s="9">
        <f t="shared" si="977"/>
        <v>0.99524931562137331</v>
      </c>
      <c r="CG350" s="9">
        <f t="shared" si="978"/>
        <v>0.68048275862068963</v>
      </c>
      <c r="CH350" s="9">
        <f t="shared" si="1088"/>
        <v>1.6124799265763963</v>
      </c>
      <c r="CI350" s="9">
        <f t="shared" si="1089"/>
        <v>2.4184592781829921</v>
      </c>
      <c r="CJ350" s="40">
        <v>1</v>
      </c>
      <c r="CK350" s="9">
        <f t="shared" si="1090"/>
        <v>232.17209070556726</v>
      </c>
      <c r="CM350" s="4">
        <f t="shared" si="979"/>
        <v>1.3868862299670786</v>
      </c>
      <c r="CN350" s="4">
        <f t="shared" si="980"/>
        <v>0.73254402066519331</v>
      </c>
      <c r="CO350" s="4">
        <f t="shared" si="946"/>
        <v>0.83820875142810081</v>
      </c>
      <c r="CP350" s="4">
        <f t="shared" si="981"/>
        <v>1.9248504433329023</v>
      </c>
      <c r="CQ350" s="4">
        <f t="shared" si="921"/>
        <v>0.95550025830198404</v>
      </c>
      <c r="CR350" s="4">
        <f t="shared" si="922"/>
        <v>0.98697622127594653</v>
      </c>
      <c r="CS350" s="4">
        <f t="shared" si="947"/>
        <v>1.3842072343068135</v>
      </c>
      <c r="CT350" s="4">
        <f t="shared" si="997"/>
        <v>0</v>
      </c>
      <c r="CU350" s="4">
        <f t="shared" si="1132"/>
        <v>1.3868862299670786</v>
      </c>
      <c r="CV350" s="4">
        <f t="shared" si="1132"/>
        <v>0.73254402066519331</v>
      </c>
      <c r="CW350" s="4">
        <f t="shared" si="1133"/>
        <v>1.9248504433329023</v>
      </c>
      <c r="CX350" s="4">
        <f t="shared" si="1134"/>
        <v>1.3842072343068135</v>
      </c>
      <c r="CY350" s="4">
        <f t="shared" si="1135"/>
        <v>0.95550025830198404</v>
      </c>
      <c r="CZ350" s="4">
        <f t="shared" si="1135"/>
        <v>0.98697622127594653</v>
      </c>
      <c r="DI350" s="4">
        <f t="shared" si="982"/>
        <v>228.6</v>
      </c>
      <c r="DL350" s="4">
        <f t="shared" si="900"/>
        <v>1.7931022683563105E-5</v>
      </c>
      <c r="DM350" s="4">
        <f t="shared" si="1009"/>
        <v>8.2551399356162278</v>
      </c>
      <c r="DN350" s="4">
        <f t="shared" si="901"/>
        <v>0.25893483236456305</v>
      </c>
      <c r="DO350" s="4">
        <f t="shared" si="902"/>
        <v>4.808400460769148</v>
      </c>
      <c r="DP350" s="4">
        <f t="shared" si="903"/>
        <v>6.7567583551320318</v>
      </c>
      <c r="DQ350" s="4">
        <f t="shared" si="904"/>
        <v>7.8798854996843941</v>
      </c>
      <c r="DR350" s="38">
        <f t="shared" si="915"/>
        <v>467.70950383447951</v>
      </c>
      <c r="DS350" s="4">
        <f t="shared" si="1095"/>
        <v>1.0001054299424883</v>
      </c>
      <c r="DT350" s="4">
        <f t="shared" si="905"/>
        <v>2.3452078799117149</v>
      </c>
      <c r="DU350" s="4">
        <f t="shared" si="1103"/>
        <v>232.63527589574718</v>
      </c>
      <c r="DY350" s="4">
        <f t="shared" si="1037"/>
        <v>0.85</v>
      </c>
      <c r="DZ350" s="4">
        <f t="shared" si="1096"/>
        <v>0.88500000000000001</v>
      </c>
      <c r="EA350" s="4">
        <f t="shared" si="916"/>
        <v>1</v>
      </c>
      <c r="EB350" s="4">
        <f t="shared" si="1097"/>
        <v>0.88500000000000001</v>
      </c>
      <c r="ED350" s="4">
        <f t="shared" si="917"/>
        <v>452.79363584504347</v>
      </c>
      <c r="EE350" s="25">
        <f t="shared" si="918"/>
        <v>229.90485758340532</v>
      </c>
      <c r="EG350" s="4">
        <f t="shared" si="1104"/>
        <v>0.75224999999999997</v>
      </c>
      <c r="EH350" s="4">
        <f t="shared" si="919"/>
        <v>8.2551399356162278</v>
      </c>
      <c r="EK350" s="4">
        <f t="shared" si="906"/>
        <v>59.568280149757555</v>
      </c>
      <c r="EL350" s="4">
        <f t="shared" si="907"/>
        <v>2.3452078799117149</v>
      </c>
      <c r="EM350" s="4">
        <f t="shared" si="908"/>
        <v>9.6317011906839181E-2</v>
      </c>
      <c r="EP350" s="4">
        <f t="shared" si="998"/>
        <v>9.6317011906839181E-2</v>
      </c>
      <c r="EQ350" s="4">
        <f t="shared" si="960"/>
        <v>0.25850271838823907</v>
      </c>
      <c r="ER350" s="4">
        <f t="shared" si="1010"/>
        <v>4.8051891227231813</v>
      </c>
      <c r="ES350" s="4">
        <f t="shared" si="983"/>
        <v>6.755621997097994</v>
      </c>
      <c r="ET350" s="4">
        <f t="shared" si="1011"/>
        <v>111.88171985024243</v>
      </c>
      <c r="EU350" s="4">
        <f t="shared" si="1012"/>
        <v>57.150000000000006</v>
      </c>
      <c r="EV350" s="4">
        <f t="shared" si="1098"/>
        <v>1.7931022683563109E-5</v>
      </c>
      <c r="EW350" s="4">
        <f t="shared" si="984"/>
        <v>7.8799789793501009</v>
      </c>
      <c r="EX350" s="4">
        <f t="shared" si="1131"/>
        <v>467.66019844665323</v>
      </c>
      <c r="FA350" s="4">
        <f t="shared" si="1136"/>
        <v>133.35</v>
      </c>
      <c r="FG350" s="23">
        <f t="shared" si="1030"/>
        <v>1.4</v>
      </c>
      <c r="FH350" s="23">
        <f t="shared" si="1030"/>
        <v>0.8</v>
      </c>
      <c r="FI350" s="23">
        <f t="shared" si="952"/>
        <v>1.4</v>
      </c>
      <c r="FJ350" s="23">
        <f t="shared" si="1031"/>
        <v>2</v>
      </c>
      <c r="FK350" s="23">
        <f t="shared" si="1031"/>
        <v>1</v>
      </c>
      <c r="FL350" s="23">
        <f t="shared" si="1031"/>
        <v>1</v>
      </c>
      <c r="FM350" s="23">
        <f t="shared" si="923"/>
        <v>0</v>
      </c>
      <c r="FN350" s="23"/>
      <c r="FX350" s="4">
        <f t="shared" si="1099"/>
        <v>1</v>
      </c>
      <c r="FY350" s="4">
        <f t="shared" si="890"/>
        <v>0.72500000000000009</v>
      </c>
      <c r="FZ350" s="4">
        <f t="shared" si="1100"/>
        <v>0</v>
      </c>
      <c r="GA350" s="4">
        <f t="shared" si="1101"/>
        <v>322.85378998754896</v>
      </c>
    </row>
    <row r="351" spans="1:183" ht="12" hidden="1" customHeight="1" x14ac:dyDescent="0.3">
      <c r="A351" s="25">
        <v>333</v>
      </c>
      <c r="B351" s="4" t="s">
        <v>605</v>
      </c>
      <c r="C351" s="4">
        <v>2016</v>
      </c>
      <c r="D351" s="4" t="s">
        <v>309</v>
      </c>
      <c r="E351" s="24" t="s">
        <v>671</v>
      </c>
      <c r="F351" s="48" t="s">
        <v>496</v>
      </c>
      <c r="G351" s="38">
        <f t="shared" si="1137"/>
        <v>799.31034482758628</v>
      </c>
      <c r="H351" s="38">
        <f>9*25.4</f>
        <v>228.6</v>
      </c>
      <c r="I351" s="4">
        <f t="shared" si="985"/>
        <v>228.6</v>
      </c>
      <c r="J351" s="38">
        <f t="shared" ref="J351" si="1138">6710/145</f>
        <v>46.275862068965516</v>
      </c>
      <c r="K351" s="38">
        <f t="shared" si="986"/>
        <v>25.4</v>
      </c>
      <c r="L351" s="7">
        <f t="shared" si="987"/>
        <v>9</v>
      </c>
      <c r="M351" s="7">
        <f t="shared" si="988"/>
        <v>9</v>
      </c>
      <c r="N351" s="38">
        <f>9.1*25.4</f>
        <v>231.14</v>
      </c>
      <c r="O351" s="38">
        <f>2.5*25.4</f>
        <v>63.5</v>
      </c>
      <c r="P351" s="39">
        <f>3.5*25.4</f>
        <v>88.899999999999991</v>
      </c>
      <c r="Q351" s="7">
        <f t="shared" si="989"/>
        <v>53.339999999999975</v>
      </c>
      <c r="R351" s="38">
        <v>2</v>
      </c>
      <c r="S351" s="4">
        <f t="shared" si="966"/>
        <v>260.34999999999997</v>
      </c>
      <c r="T351" s="7">
        <f t="shared" si="990"/>
        <v>1.5499999999999996</v>
      </c>
      <c r="U351" s="7">
        <f t="shared" si="1127"/>
        <v>3</v>
      </c>
      <c r="V351" s="38">
        <v>4.5</v>
      </c>
      <c r="W351" s="4">
        <f t="shared" si="991"/>
        <v>4.5</v>
      </c>
      <c r="X351" s="4">
        <f t="shared" si="992"/>
        <v>5.5</v>
      </c>
      <c r="Y351" s="7">
        <f t="shared" si="993"/>
        <v>59.568280149757555</v>
      </c>
      <c r="AB351" s="38">
        <f t="shared" si="1038"/>
        <v>416.55172413793105</v>
      </c>
      <c r="AC351" s="4">
        <v>60.4</v>
      </c>
      <c r="AD351" s="4">
        <f t="shared" si="899"/>
        <v>1.0643352713979048</v>
      </c>
      <c r="AE351" s="38"/>
      <c r="AF351" s="38"/>
      <c r="AG351" s="39">
        <v>1</v>
      </c>
      <c r="AH351" s="39"/>
      <c r="AI351" s="39"/>
      <c r="AJ351" s="7"/>
      <c r="AK351" s="4">
        <f t="shared" si="994"/>
        <v>228.6</v>
      </c>
      <c r="AL351" s="4">
        <f t="shared" si="910"/>
        <v>0.33703703703703697</v>
      </c>
      <c r="AM351" s="4">
        <f t="shared" si="911"/>
        <v>232.00870916574723</v>
      </c>
      <c r="AN351" s="4">
        <f t="shared" si="912"/>
        <v>0.76666666666666661</v>
      </c>
      <c r="AO351" s="4">
        <v>1.25</v>
      </c>
      <c r="AP351" s="4">
        <f t="shared" si="1112"/>
        <v>2.5</v>
      </c>
      <c r="AQ351" s="38">
        <f t="shared" si="967"/>
        <v>187.34345227002655</v>
      </c>
      <c r="AR351" s="38">
        <f t="shared" si="913"/>
        <v>187.34345227002655</v>
      </c>
      <c r="AS351" s="38">
        <f t="shared" si="914"/>
        <v>3.8668524435568052</v>
      </c>
      <c r="AT351" s="38">
        <f t="shared" si="1121"/>
        <v>187.34345227002649</v>
      </c>
      <c r="AU351" s="38">
        <f t="shared" si="1086"/>
        <v>1.0000000000000002</v>
      </c>
      <c r="AV351" s="38">
        <f t="shared" si="954"/>
        <v>2.232193581389573</v>
      </c>
      <c r="AW351" s="4">
        <f t="shared" si="940"/>
        <v>0</v>
      </c>
      <c r="AX351" s="4">
        <f t="shared" si="995"/>
        <v>322.23014553597972</v>
      </c>
      <c r="AY351" s="4">
        <f t="shared" si="968"/>
        <v>1.3741935483870971</v>
      </c>
      <c r="AZ351" s="38">
        <f t="shared" si="1102"/>
        <v>418.18685167251692</v>
      </c>
      <c r="BA351" s="4">
        <f t="shared" si="969"/>
        <v>0.37</v>
      </c>
      <c r="BB351" s="4">
        <f t="shared" si="970"/>
        <v>62.295142885743282</v>
      </c>
      <c r="BC351" s="4">
        <f t="shared" si="971"/>
        <v>480.48199455826023</v>
      </c>
      <c r="BE351" s="4">
        <f t="shared" si="1122"/>
        <v>1.375</v>
      </c>
      <c r="BF351" s="4">
        <f t="shared" si="1128"/>
        <v>533.1566283014065</v>
      </c>
      <c r="BH351" s="4">
        <f t="shared" si="1129"/>
        <v>401.09233167344996</v>
      </c>
      <c r="BI351" s="4">
        <f t="shared" si="1067"/>
        <v>0</v>
      </c>
      <c r="BJ351" s="4">
        <f t="shared" si="1130"/>
        <v>0</v>
      </c>
      <c r="BR351" s="4">
        <f t="shared" si="972"/>
        <v>26.669999999999987</v>
      </c>
      <c r="BV351" s="9"/>
      <c r="BX351" s="9"/>
      <c r="BY351" s="9"/>
      <c r="BZ351" s="9">
        <f t="shared" si="973"/>
        <v>26.669999999999987</v>
      </c>
      <c r="CA351" s="9">
        <f t="shared" si="974"/>
        <v>63.5</v>
      </c>
      <c r="CB351" s="9">
        <f t="shared" si="1087"/>
        <v>1.1670978149623896</v>
      </c>
      <c r="CC351" s="40">
        <f t="shared" si="996"/>
        <v>0</v>
      </c>
      <c r="CD351" s="9">
        <f t="shared" si="975"/>
        <v>0</v>
      </c>
      <c r="CE351" s="9">
        <f t="shared" si="976"/>
        <v>0</v>
      </c>
      <c r="CF351" s="9">
        <f t="shared" si="977"/>
        <v>0.99524931562137331</v>
      </c>
      <c r="CG351" s="9">
        <f t="shared" si="978"/>
        <v>0.68048275862068963</v>
      </c>
      <c r="CH351" s="9">
        <f t="shared" si="1088"/>
        <v>1.6124799265763963</v>
      </c>
      <c r="CI351" s="9">
        <f t="shared" si="1089"/>
        <v>1.8819217989780266</v>
      </c>
      <c r="CJ351" s="40">
        <v>1</v>
      </c>
      <c r="CK351" s="9">
        <f t="shared" si="1090"/>
        <v>180.66449270189054</v>
      </c>
      <c r="CM351" s="4">
        <f t="shared" si="979"/>
        <v>1.2927149427470916</v>
      </c>
      <c r="CN351" s="4">
        <f t="shared" si="980"/>
        <v>0.86694554396548273</v>
      </c>
      <c r="CO351" s="4">
        <f t="shared" si="946"/>
        <v>0.78129334238051362</v>
      </c>
      <c r="CP351" s="4">
        <f t="shared" si="981"/>
        <v>2.3056645935694262</v>
      </c>
      <c r="CQ351" s="4">
        <f t="shared" si="921"/>
        <v>1.0643352713979048</v>
      </c>
      <c r="CR351" s="4">
        <f t="shared" si="922"/>
        <v>1.0864891795569402</v>
      </c>
      <c r="CS351" s="4">
        <f t="shared" si="947"/>
        <v>1.6164798403189902</v>
      </c>
      <c r="CT351" s="4">
        <f t="shared" si="997"/>
        <v>0</v>
      </c>
      <c r="CU351" s="4">
        <f t="shared" si="1132"/>
        <v>1.2927149427470916</v>
      </c>
      <c r="CV351" s="4">
        <f t="shared" si="1132"/>
        <v>0.86694554396548273</v>
      </c>
      <c r="CW351" s="4">
        <f t="shared" si="1133"/>
        <v>2.3056645935694262</v>
      </c>
      <c r="CX351" s="4">
        <f t="shared" si="1134"/>
        <v>1.6164798403189902</v>
      </c>
      <c r="CY351" s="4">
        <f t="shared" si="1135"/>
        <v>1.0643352713979048</v>
      </c>
      <c r="CZ351" s="4">
        <f t="shared" si="1135"/>
        <v>1.0864891795569402</v>
      </c>
      <c r="DI351" s="4">
        <f t="shared" si="982"/>
        <v>228.6</v>
      </c>
      <c r="DL351" s="4">
        <f t="shared" si="900"/>
        <v>1.7931022683563105E-5</v>
      </c>
      <c r="DM351" s="4">
        <f t="shared" si="1009"/>
        <v>7.3425114000204648</v>
      </c>
      <c r="DN351" s="4">
        <f t="shared" si="901"/>
        <v>0.20852274110774549</v>
      </c>
      <c r="DO351" s="4">
        <f t="shared" si="902"/>
        <v>3.9219856434308356</v>
      </c>
      <c r="DP351" s="4">
        <f t="shared" si="903"/>
        <v>5.8883455225764845</v>
      </c>
      <c r="DQ351" s="4">
        <f t="shared" si="904"/>
        <v>7.0544408137106744</v>
      </c>
      <c r="DR351" s="38">
        <f t="shared" si="915"/>
        <v>391.37265796972918</v>
      </c>
      <c r="DS351" s="4">
        <f t="shared" si="1095"/>
        <v>1.0001002033787558</v>
      </c>
      <c r="DT351" s="4">
        <f t="shared" si="905"/>
        <v>2.3452078799117149</v>
      </c>
      <c r="DU351" s="4">
        <f t="shared" si="1103"/>
        <v>187.34345227002649</v>
      </c>
      <c r="DY351" s="4">
        <f t="shared" si="1037"/>
        <v>0.85</v>
      </c>
      <c r="DZ351" s="4">
        <f t="shared" si="1096"/>
        <v>0.995</v>
      </c>
      <c r="EA351" s="4">
        <f t="shared" si="916"/>
        <v>1</v>
      </c>
      <c r="EB351" s="4">
        <f t="shared" si="1097"/>
        <v>0.995</v>
      </c>
      <c r="ED351" s="4">
        <f t="shared" si="917"/>
        <v>383.39242762435686</v>
      </c>
      <c r="EE351" s="25">
        <f t="shared" si="918"/>
        <v>185.14461982380428</v>
      </c>
      <c r="EG351" s="4">
        <f t="shared" si="1104"/>
        <v>0.84575</v>
      </c>
      <c r="EH351" s="4">
        <f t="shared" si="919"/>
        <v>7.3425114000204648</v>
      </c>
      <c r="EK351" s="4">
        <f t="shared" si="906"/>
        <v>59.568280149757555</v>
      </c>
      <c r="EL351" s="4">
        <f t="shared" si="907"/>
        <v>2.3452078799117149</v>
      </c>
      <c r="EM351" s="4">
        <f t="shared" si="908"/>
        <v>7.7565027287808549E-2</v>
      </c>
      <c r="EP351" s="4">
        <f t="shared" si="998"/>
        <v>7.7565027287808549E-2</v>
      </c>
      <c r="EQ351" s="4">
        <f t="shared" si="960"/>
        <v>0.20817475551619255</v>
      </c>
      <c r="ER351" s="4">
        <f t="shared" si="1010"/>
        <v>3.9193663063320971</v>
      </c>
      <c r="ES351" s="4">
        <f t="shared" si="983"/>
        <v>5.8874807855904052</v>
      </c>
      <c r="ET351" s="4">
        <f t="shared" si="1011"/>
        <v>111.88171985024243</v>
      </c>
      <c r="EU351" s="4">
        <f t="shared" si="1012"/>
        <v>57.150000000000006</v>
      </c>
      <c r="EV351" s="4">
        <f t="shared" si="1098"/>
        <v>1.7931022683563109E-5</v>
      </c>
      <c r="EW351" s="4">
        <f t="shared" si="984"/>
        <v>7.0545068774054061</v>
      </c>
      <c r="EX351" s="4">
        <f t="shared" si="1131"/>
        <v>391.33344503631639</v>
      </c>
      <c r="FA351" s="4">
        <f t="shared" si="1136"/>
        <v>133.35</v>
      </c>
      <c r="FG351" s="23">
        <f t="shared" si="1030"/>
        <v>1.4</v>
      </c>
      <c r="FH351" s="23">
        <f t="shared" si="1030"/>
        <v>1</v>
      </c>
      <c r="FI351" s="23">
        <f t="shared" si="952"/>
        <v>1.8</v>
      </c>
      <c r="FJ351" s="23">
        <f t="shared" si="1031"/>
        <v>2.2000000000000002</v>
      </c>
      <c r="FK351" s="23">
        <f t="shared" si="1031"/>
        <v>1.2</v>
      </c>
      <c r="FL351" s="23">
        <f t="shared" si="1031"/>
        <v>1.2</v>
      </c>
      <c r="FM351" s="23">
        <f t="shared" si="923"/>
        <v>0</v>
      </c>
      <c r="FN351" s="23"/>
      <c r="FX351" s="4">
        <f t="shared" si="1099"/>
        <v>1</v>
      </c>
      <c r="FY351" s="4">
        <f t="shared" ref="FY351:FY414" si="1139">IF(AG351&gt;1, 0.05*(18-MIN(8,(Q351+K351)/K351))*(1-48000/MAX(60000,(G351*145))*(K351/25.4)^0.75*FZ351), 1/12*(14-MIN(8,(Q351+K351)/K351)))</f>
        <v>0.90833333333333333</v>
      </c>
      <c r="FZ351" s="4">
        <f t="shared" si="1100"/>
        <v>0</v>
      </c>
      <c r="GA351" s="4">
        <f t="shared" si="1101"/>
        <v>257.69063971483263</v>
      </c>
    </row>
    <row r="352" spans="1:183" ht="12" hidden="1" customHeight="1" x14ac:dyDescent="0.3">
      <c r="A352" s="25">
        <v>334</v>
      </c>
      <c r="B352" s="4" t="s">
        <v>605</v>
      </c>
      <c r="C352" s="4">
        <v>2016</v>
      </c>
      <c r="D352" s="4" t="s">
        <v>309</v>
      </c>
      <c r="E352" s="24" t="s">
        <v>671</v>
      </c>
      <c r="F352" s="7" t="s">
        <v>497</v>
      </c>
      <c r="G352" s="38">
        <f>120/0.145</f>
        <v>827.58620689655174</v>
      </c>
      <c r="H352" s="38">
        <f>9.38*25.4</f>
        <v>238.25200000000001</v>
      </c>
      <c r="I352" s="4">
        <f t="shared" si="985"/>
        <v>238.25200000000001</v>
      </c>
      <c r="J352" s="38">
        <f>6790/145</f>
        <v>46.827586206896555</v>
      </c>
      <c r="K352" s="38">
        <f t="shared" si="986"/>
        <v>25.4</v>
      </c>
      <c r="L352" s="7">
        <f t="shared" si="987"/>
        <v>9.3800000000000008</v>
      </c>
      <c r="M352" s="7">
        <f t="shared" si="988"/>
        <v>9.3800000000000008</v>
      </c>
      <c r="N352" s="38">
        <f>15.1*25.4</f>
        <v>383.53999999999996</v>
      </c>
      <c r="O352" s="38">
        <f>2.5*25.4</f>
        <v>63.5</v>
      </c>
      <c r="P352" s="39">
        <f>3.25*25.4</f>
        <v>82.55</v>
      </c>
      <c r="Q352" s="7">
        <f t="shared" si="989"/>
        <v>205.73999999999995</v>
      </c>
      <c r="R352" s="38">
        <v>2</v>
      </c>
      <c r="S352" s="4">
        <f t="shared" si="966"/>
        <v>260.34999999999997</v>
      </c>
      <c r="T352" s="7">
        <f t="shared" si="990"/>
        <v>3</v>
      </c>
      <c r="U352" s="7">
        <f t="shared" si="1127"/>
        <v>3</v>
      </c>
      <c r="V352" s="38">
        <v>4</v>
      </c>
      <c r="W352" s="4">
        <f t="shared" si="991"/>
        <v>4</v>
      </c>
      <c r="X352" s="4">
        <f t="shared" si="992"/>
        <v>5</v>
      </c>
      <c r="Y352" s="7">
        <f t="shared" si="993"/>
        <v>56.796126628494655</v>
      </c>
      <c r="AB352" s="38">
        <f t="shared" si="1038"/>
        <v>539.31034482758628</v>
      </c>
      <c r="AC352" s="4">
        <v>78.2</v>
      </c>
      <c r="AD352" s="4">
        <f t="shared" si="899"/>
        <v>0.9161935541106252</v>
      </c>
      <c r="AE352" s="38"/>
      <c r="AF352" s="38"/>
      <c r="AG352" s="39">
        <v>1</v>
      </c>
      <c r="AH352" s="39"/>
      <c r="AI352" s="39"/>
      <c r="AJ352" s="7"/>
      <c r="AK352" s="4">
        <f t="shared" si="994"/>
        <v>238.25200000000001</v>
      </c>
      <c r="AL352" s="4">
        <f t="shared" si="910"/>
        <v>0.53660270078180528</v>
      </c>
      <c r="AM352" s="4">
        <f t="shared" si="911"/>
        <v>248.32383590087252</v>
      </c>
      <c r="AN352" s="4">
        <f t="shared" si="912"/>
        <v>0.76396588486140726</v>
      </c>
      <c r="AO352" s="4">
        <v>1.25</v>
      </c>
      <c r="AP352" s="4">
        <f t="shared" si="1112"/>
        <v>2.5</v>
      </c>
      <c r="AQ352" s="38">
        <f t="shared" si="967"/>
        <v>318.12313202907933</v>
      </c>
      <c r="AR352" s="38">
        <f t="shared" si="913"/>
        <v>318.12313202907933</v>
      </c>
      <c r="AS352" s="38">
        <f t="shared" si="914"/>
        <v>3.8975267336121062</v>
      </c>
      <c r="AT352" s="38">
        <f t="shared" si="1121"/>
        <v>318.12313202907904</v>
      </c>
      <c r="AU352" s="38">
        <f t="shared" si="1086"/>
        <v>1.0000000000000009</v>
      </c>
      <c r="AV352" s="38">
        <f t="shared" si="954"/>
        <v>1.7663947632434147</v>
      </c>
      <c r="AW352" s="4">
        <f t="shared" si="940"/>
        <v>0</v>
      </c>
      <c r="AX352" s="4">
        <f t="shared" si="995"/>
        <v>337.83148595826066</v>
      </c>
      <c r="AY352" s="4">
        <f t="shared" si="968"/>
        <v>1</v>
      </c>
      <c r="AZ352" s="38">
        <f t="shared" si="1102"/>
        <v>561.93103448275861</v>
      </c>
      <c r="BA352" s="4">
        <f t="shared" si="969"/>
        <v>0.44000000000000006</v>
      </c>
      <c r="BB352" s="4">
        <f t="shared" si="970"/>
        <v>77.66745862180413</v>
      </c>
      <c r="BC352" s="4">
        <f t="shared" si="971"/>
        <v>639.59849310456275</v>
      </c>
      <c r="BE352" s="4">
        <f t="shared" si="1122"/>
        <v>1.375</v>
      </c>
      <c r="BF352" s="4">
        <f t="shared" si="1128"/>
        <v>547.05200187435685</v>
      </c>
      <c r="BH352" s="4">
        <f t="shared" si="1129"/>
        <v>538.96058175655878</v>
      </c>
      <c r="BI352" s="4">
        <f t="shared" si="1067"/>
        <v>0</v>
      </c>
      <c r="BJ352" s="4">
        <f t="shared" si="1130"/>
        <v>0</v>
      </c>
      <c r="BR352" s="4">
        <f t="shared" si="972"/>
        <v>63.5</v>
      </c>
      <c r="BV352" s="9"/>
      <c r="BX352" s="9"/>
      <c r="BY352" s="9"/>
      <c r="BZ352" s="9">
        <f t="shared" si="973"/>
        <v>63.5</v>
      </c>
      <c r="CA352" s="9">
        <f t="shared" si="974"/>
        <v>102.86999999999998</v>
      </c>
      <c r="CB352" s="9">
        <f t="shared" si="1087"/>
        <v>1.699797775373473</v>
      </c>
      <c r="CC352" s="40">
        <f t="shared" si="996"/>
        <v>0</v>
      </c>
      <c r="CD352" s="9">
        <f t="shared" si="975"/>
        <v>0</v>
      </c>
      <c r="CE352" s="9">
        <f t="shared" si="976"/>
        <v>0</v>
      </c>
      <c r="CF352" s="9">
        <f t="shared" si="977"/>
        <v>0.99524931562137331</v>
      </c>
      <c r="CG352" s="9">
        <f t="shared" si="978"/>
        <v>0.68</v>
      </c>
      <c r="CH352" s="9">
        <f t="shared" si="1088"/>
        <v>1.6209130944490342</v>
      </c>
      <c r="CI352" s="9">
        <f t="shared" si="1089"/>
        <v>2.7552244720182006</v>
      </c>
      <c r="CJ352" s="40">
        <v>1</v>
      </c>
      <c r="CK352" s="9">
        <f t="shared" si="1090"/>
        <v>268.68949051121496</v>
      </c>
      <c r="CM352" s="4">
        <f t="shared" si="979"/>
        <v>1.5963886352920298</v>
      </c>
      <c r="CN352" s="4">
        <f t="shared" si="980"/>
        <v>0.8432014000061423</v>
      </c>
      <c r="CO352" s="4">
        <f t="shared" si="946"/>
        <v>0.98584840742699886</v>
      </c>
      <c r="CP352" s="4">
        <f t="shared" si="981"/>
        <v>2.0071880883821756</v>
      </c>
      <c r="CQ352" s="4">
        <f t="shared" si="921"/>
        <v>0.9161935541106252</v>
      </c>
      <c r="CR352" s="4">
        <f t="shared" si="922"/>
        <v>0.96674260066309403</v>
      </c>
      <c r="CS352" s="4">
        <f t="shared" si="947"/>
        <v>1.1020916631669231</v>
      </c>
      <c r="CT352" s="4">
        <f t="shared" si="997"/>
        <v>0</v>
      </c>
      <c r="CU352" s="4">
        <f t="shared" si="1132"/>
        <v>1.5963886352920298</v>
      </c>
      <c r="CV352" s="4">
        <f t="shared" si="1132"/>
        <v>0.8432014000061423</v>
      </c>
      <c r="CW352" s="4">
        <f t="shared" si="1133"/>
        <v>2.0071880883821756</v>
      </c>
      <c r="CX352" s="4">
        <f t="shared" si="1134"/>
        <v>1.1020916631669231</v>
      </c>
      <c r="CY352" s="4">
        <f t="shared" si="1135"/>
        <v>0.9161935541106252</v>
      </c>
      <c r="CZ352" s="4">
        <f t="shared" si="1135"/>
        <v>0.96674260066309403</v>
      </c>
      <c r="DI352" s="4">
        <f t="shared" si="982"/>
        <v>238.25200000000001</v>
      </c>
      <c r="DL352" s="4">
        <f t="shared" si="900"/>
        <v>1.8754307597872246E-5</v>
      </c>
      <c r="DM352" s="4">
        <f t="shared" si="1009"/>
        <v>8.6461429491242612</v>
      </c>
      <c r="DN352" s="4">
        <f t="shared" si="901"/>
        <v>0.37533501502490646</v>
      </c>
      <c r="DO352" s="4">
        <f t="shared" si="902"/>
        <v>5.8423832730452157</v>
      </c>
      <c r="DP352" s="4">
        <f t="shared" si="903"/>
        <v>7.3791461832387251</v>
      </c>
      <c r="DQ352" s="4">
        <f t="shared" si="904"/>
        <v>8.1679413048538798</v>
      </c>
      <c r="DR352" s="38">
        <f t="shared" si="915"/>
        <v>588.64236973497373</v>
      </c>
      <c r="DS352" s="4">
        <f t="shared" si="1095"/>
        <v>1.0001074677116861</v>
      </c>
      <c r="DT352" s="4">
        <f t="shared" si="905"/>
        <v>2.2360679774997898</v>
      </c>
      <c r="DU352" s="4">
        <f t="shared" si="1103"/>
        <v>318.12313202907904</v>
      </c>
      <c r="DY352" s="4">
        <f t="shared" si="1037"/>
        <v>0.85</v>
      </c>
      <c r="DZ352" s="4">
        <f t="shared" si="1096"/>
        <v>0.85</v>
      </c>
      <c r="EA352" s="4">
        <f t="shared" si="916"/>
        <v>1</v>
      </c>
      <c r="EB352" s="4">
        <f t="shared" si="1097"/>
        <v>0.85</v>
      </c>
      <c r="ED352" s="4">
        <f t="shared" si="917"/>
        <v>557.86343175284753</v>
      </c>
      <c r="EE352" s="25">
        <f t="shared" si="918"/>
        <v>314.56096916449081</v>
      </c>
      <c r="EG352" s="4">
        <f t="shared" si="1104"/>
        <v>0.72249999999999992</v>
      </c>
      <c r="EH352" s="4">
        <f t="shared" si="919"/>
        <v>8.6461429491242612</v>
      </c>
      <c r="EK352" s="4">
        <f t="shared" si="906"/>
        <v>56.796126628494655</v>
      </c>
      <c r="EL352" s="4">
        <f t="shared" si="907"/>
        <v>2.2360679774997898</v>
      </c>
      <c r="EM352" s="4">
        <f t="shared" si="908"/>
        <v>0.14044466065071942</v>
      </c>
      <c r="EP352" s="4">
        <f t="shared" si="998"/>
        <v>0.14044466065071942</v>
      </c>
      <c r="EQ352" s="4">
        <f t="shared" si="960"/>
        <v>0.37470865083776739</v>
      </c>
      <c r="ER352" s="4">
        <f t="shared" si="1010"/>
        <v>5.8384813792996928</v>
      </c>
      <c r="ES352" s="4">
        <f t="shared" si="983"/>
        <v>7.3776048296736834</v>
      </c>
      <c r="ET352" s="4">
        <f t="shared" si="1011"/>
        <v>121.89287337150537</v>
      </c>
      <c r="EU352" s="4">
        <f t="shared" si="1012"/>
        <v>59.562999999999988</v>
      </c>
      <c r="EV352" s="4">
        <f t="shared" si="1098"/>
        <v>1.8754307597872239E-5</v>
      </c>
      <c r="EW352" s="4">
        <f t="shared" si="984"/>
        <v>8.1680728348916425</v>
      </c>
      <c r="EX352" s="4">
        <f t="shared" si="1131"/>
        <v>588.57911648417894</v>
      </c>
      <c r="FG352" s="23">
        <f t="shared" si="1030"/>
        <v>1.6</v>
      </c>
      <c r="FH352" s="23">
        <f t="shared" si="1030"/>
        <v>1</v>
      </c>
      <c r="FI352" s="23">
        <f t="shared" si="952"/>
        <v>1.2</v>
      </c>
      <c r="FJ352" s="23">
        <f t="shared" si="1031"/>
        <v>2.2000000000000002</v>
      </c>
      <c r="FK352" s="23">
        <f t="shared" si="1031"/>
        <v>1</v>
      </c>
      <c r="FL352" s="23">
        <f t="shared" si="1031"/>
        <v>1</v>
      </c>
      <c r="FM352" s="23">
        <f t="shared" si="923"/>
        <v>0</v>
      </c>
      <c r="FN352" s="23"/>
      <c r="FX352" s="4">
        <f t="shared" si="1099"/>
        <v>1</v>
      </c>
      <c r="FY352" s="4">
        <f t="shared" si="1139"/>
        <v>0.5</v>
      </c>
      <c r="FZ352" s="4">
        <f t="shared" si="1100"/>
        <v>0</v>
      </c>
      <c r="GA352" s="4">
        <f t="shared" si="1101"/>
        <v>489.35162369148799</v>
      </c>
    </row>
    <row r="353" spans="1:183" ht="12" hidden="1" customHeight="1" x14ac:dyDescent="0.3">
      <c r="A353" s="25">
        <v>335</v>
      </c>
      <c r="B353" s="4" t="s">
        <v>605</v>
      </c>
      <c r="C353" s="4">
        <v>2016</v>
      </c>
      <c r="D353" s="4" t="s">
        <v>309</v>
      </c>
      <c r="E353" s="24" t="s">
        <v>671</v>
      </c>
      <c r="F353" s="7" t="s">
        <v>498</v>
      </c>
      <c r="G353" s="38">
        <f t="shared" ref="G353:G359" si="1140">120/0.145</f>
        <v>827.58620689655174</v>
      </c>
      <c r="H353" s="38">
        <f>9.5*25.4</f>
        <v>241.29999999999998</v>
      </c>
      <c r="I353" s="4">
        <f t="shared" si="985"/>
        <v>241.29999999999998</v>
      </c>
      <c r="J353" s="38">
        <f>6790/145</f>
        <v>46.827586206896555</v>
      </c>
      <c r="K353" s="38">
        <f t="shared" si="986"/>
        <v>25.4</v>
      </c>
      <c r="L353" s="7">
        <f t="shared" si="987"/>
        <v>9.5</v>
      </c>
      <c r="M353" s="7">
        <f t="shared" si="988"/>
        <v>9.5</v>
      </c>
      <c r="N353" s="38">
        <f>15.1*25.4</f>
        <v>383.53999999999996</v>
      </c>
      <c r="O353" s="38">
        <f>2.5*25.4</f>
        <v>63.5</v>
      </c>
      <c r="P353" s="39">
        <f>3*25.4</f>
        <v>76.199999999999989</v>
      </c>
      <c r="Q353" s="7">
        <f t="shared" si="989"/>
        <v>205.73999999999995</v>
      </c>
      <c r="R353" s="38">
        <v>2</v>
      </c>
      <c r="S353" s="4">
        <f t="shared" si="966"/>
        <v>260.34999999999997</v>
      </c>
      <c r="T353" s="7">
        <f t="shared" si="990"/>
        <v>3</v>
      </c>
      <c r="U353" s="7">
        <f t="shared" si="1127"/>
        <v>3</v>
      </c>
      <c r="V353" s="38">
        <v>4</v>
      </c>
      <c r="W353" s="4">
        <f t="shared" si="991"/>
        <v>4</v>
      </c>
      <c r="X353" s="4">
        <f t="shared" si="992"/>
        <v>5</v>
      </c>
      <c r="Y353" s="7">
        <f t="shared" si="993"/>
        <v>56.796126628494655</v>
      </c>
      <c r="AB353" s="38">
        <f t="shared" si="1038"/>
        <v>669.65517241379314</v>
      </c>
      <c r="AC353" s="4">
        <v>97.1</v>
      </c>
      <c r="AD353" s="4">
        <f t="shared" si="899"/>
        <v>1.0276805768179793</v>
      </c>
      <c r="AE353" s="38">
        <f t="shared" ref="AE353" si="1141">0.5*25.4</f>
        <v>12.7</v>
      </c>
      <c r="AF353" s="38">
        <v>10</v>
      </c>
      <c r="AG353" s="39">
        <f t="shared" ref="AG353" si="1142">3*25.4</f>
        <v>76.199999999999989</v>
      </c>
      <c r="AH353" s="39">
        <v>3</v>
      </c>
      <c r="AI353" s="39">
        <f>AH353-1</f>
        <v>2</v>
      </c>
      <c r="AJ353" s="7"/>
      <c r="AK353" s="4">
        <f t="shared" si="994"/>
        <v>241.29999999999998</v>
      </c>
      <c r="AL353" s="4">
        <f t="shared" si="910"/>
        <v>0.52982456140350875</v>
      </c>
      <c r="AM353" s="4">
        <f t="shared" si="911"/>
        <v>253.10432048351177</v>
      </c>
      <c r="AN353" s="4">
        <f t="shared" si="912"/>
        <v>0.76315789473684204</v>
      </c>
      <c r="AO353" s="4">
        <v>1.25</v>
      </c>
      <c r="AP353" s="4">
        <f t="shared" si="1112"/>
        <v>2.5</v>
      </c>
      <c r="AQ353" s="38">
        <f>AL353*AN353*AO353*AP353*AM353</f>
        <v>319.81296727761367</v>
      </c>
      <c r="AR353" s="38">
        <f t="shared" si="913"/>
        <v>319.81296727761367</v>
      </c>
      <c r="AS353" s="38">
        <f t="shared" si="914"/>
        <v>3.8975267336121062</v>
      </c>
      <c r="AT353" s="38">
        <f t="shared" si="1121"/>
        <v>319.81296727761384</v>
      </c>
      <c r="AU353" s="38">
        <f t="shared" si="1086"/>
        <v>0.99999999999999944</v>
      </c>
      <c r="AV353" s="38">
        <f t="shared" si="954"/>
        <v>1.757061445213302</v>
      </c>
      <c r="AW353" s="4">
        <f t="shared" si="940"/>
        <v>0</v>
      </c>
      <c r="AX353" s="4">
        <f t="shared" si="995"/>
        <v>342.15342394493348</v>
      </c>
      <c r="AY353" s="4">
        <f t="shared" si="968"/>
        <v>1</v>
      </c>
      <c r="AZ353" s="38">
        <f t="shared" si="1102"/>
        <v>561.93103448275861</v>
      </c>
      <c r="BA353" s="4">
        <f t="shared" si="969"/>
        <v>0.44000000000000006</v>
      </c>
      <c r="BB353" s="4">
        <f t="shared" si="970"/>
        <v>78.661072164940208</v>
      </c>
      <c r="BC353" s="4">
        <f t="shared" si="971"/>
        <v>640.59210664769876</v>
      </c>
      <c r="BE353" s="4">
        <f t="shared" si="1122"/>
        <v>1.5</v>
      </c>
      <c r="BF353" s="4">
        <f t="shared" si="1128"/>
        <v>600.47925902335828</v>
      </c>
      <c r="BH353" s="4">
        <f t="shared" si="1129"/>
        <v>538.96058175655878</v>
      </c>
      <c r="BI353" s="4">
        <f t="shared" si="1067"/>
        <v>0</v>
      </c>
      <c r="BJ353" s="4">
        <f t="shared" si="1130"/>
        <v>0</v>
      </c>
      <c r="BR353" s="4">
        <f t="shared" si="972"/>
        <v>63.5</v>
      </c>
      <c r="BV353" s="9"/>
      <c r="BX353" s="9"/>
      <c r="BY353" s="9"/>
      <c r="BZ353" s="9">
        <f t="shared" si="973"/>
        <v>63.5</v>
      </c>
      <c r="CA353" s="9">
        <f t="shared" si="974"/>
        <v>102.86999999999998</v>
      </c>
      <c r="CB353" s="9">
        <f t="shared" si="1087"/>
        <v>1.699797775373473</v>
      </c>
      <c r="CC353" s="40">
        <f t="shared" si="996"/>
        <v>20</v>
      </c>
      <c r="CD353" s="9">
        <f t="shared" si="975"/>
        <v>0.05</v>
      </c>
      <c r="CE353" s="9">
        <f t="shared" si="976"/>
        <v>0.8</v>
      </c>
      <c r="CF353" s="9">
        <f t="shared" si="977"/>
        <v>0.99524931562137331</v>
      </c>
      <c r="CG353" s="9">
        <f t="shared" si="978"/>
        <v>0.68</v>
      </c>
      <c r="CH353" s="9">
        <f t="shared" si="1088"/>
        <v>1.6209130944490342</v>
      </c>
      <c r="CI353" s="9">
        <f t="shared" si="1089"/>
        <v>4.0519549475774275</v>
      </c>
      <c r="CJ353" s="40">
        <v>1</v>
      </c>
      <c r="CK353" s="9">
        <f t="shared" si="1090"/>
        <v>397.09158486258787</v>
      </c>
      <c r="CM353" s="4">
        <f t="shared" si="979"/>
        <v>1.9571780539059229</v>
      </c>
      <c r="CN353" s="4">
        <f t="shared" si="980"/>
        <v>1.0453690663130164</v>
      </c>
      <c r="CO353" s="4">
        <f t="shared" si="946"/>
        <v>1.1152011703167652</v>
      </c>
      <c r="CP353" s="4">
        <f t="shared" si="981"/>
        <v>1.6863998078567315</v>
      </c>
      <c r="CQ353" s="4">
        <f t="shared" si="921"/>
        <v>1.0276805768179793</v>
      </c>
      <c r="CR353" s="4">
        <f t="shared" si="922"/>
        <v>1.0879820523592281</v>
      </c>
      <c r="CS353" s="4">
        <f t="shared" si="947"/>
        <v>1.1890280478040305</v>
      </c>
      <c r="CT353" s="4">
        <f t="shared" si="997"/>
        <v>10</v>
      </c>
      <c r="DA353" s="4">
        <f t="shared" ref="DA353:DB353" si="1143">CM353</f>
        <v>1.9571780539059229</v>
      </c>
      <c r="DB353" s="4">
        <f t="shared" si="1143"/>
        <v>1.0453690663130164</v>
      </c>
      <c r="DC353" s="4">
        <f t="shared" ref="DC353" si="1144">CP353</f>
        <v>1.6863998078567315</v>
      </c>
      <c r="DD353" s="4">
        <f t="shared" ref="DD353" si="1145">CS353</f>
        <v>1.1890280478040305</v>
      </c>
      <c r="DE353" s="4">
        <f t="shared" ref="DE353:DF353" si="1146">CQ353</f>
        <v>1.0276805768179793</v>
      </c>
      <c r="DF353" s="4">
        <f t="shared" si="1146"/>
        <v>1.0879820523592281</v>
      </c>
      <c r="DI353" s="4">
        <f t="shared" si="982"/>
        <v>241.29999999999998</v>
      </c>
      <c r="DL353" s="4">
        <f t="shared" si="900"/>
        <v>1.8994234773964424E-5</v>
      </c>
      <c r="DM353" s="4">
        <f t="shared" si="1009"/>
        <v>10.498887866793746</v>
      </c>
      <c r="DN353" s="4">
        <f t="shared" si="901"/>
        <v>0.37732875353223522</v>
      </c>
      <c r="DO353" s="4">
        <f t="shared" si="902"/>
        <v>7.1093722985602961</v>
      </c>
      <c r="DP353" s="4">
        <f t="shared" si="903"/>
        <v>8.9663426766085994</v>
      </c>
      <c r="DQ353" s="4">
        <f t="shared" si="904"/>
        <v>9.776160469501713</v>
      </c>
      <c r="DR353" s="38">
        <f t="shared" si="915"/>
        <v>651.61801003114715</v>
      </c>
      <c r="DS353" s="4">
        <f t="shared" si="1095"/>
        <v>1.0001186705256411</v>
      </c>
      <c r="DT353" s="4">
        <f t="shared" si="905"/>
        <v>2.2360679774997898</v>
      </c>
      <c r="DU353" s="4">
        <f t="shared" si="1103"/>
        <v>319.81296727761384</v>
      </c>
      <c r="DY353" s="4">
        <f t="shared" si="1037"/>
        <v>0.85</v>
      </c>
      <c r="DZ353" s="4">
        <f t="shared" si="1096"/>
        <v>0.85</v>
      </c>
      <c r="EA353" s="4">
        <f t="shared" si="916"/>
        <v>0.77500000000000002</v>
      </c>
      <c r="EB353" s="4">
        <f t="shared" si="1097"/>
        <v>0.7</v>
      </c>
      <c r="ED353" s="4">
        <f t="shared" si="917"/>
        <v>615.50203972729469</v>
      </c>
      <c r="EE353" s="25">
        <f t="shared" si="918"/>
        <v>316.28373552367282</v>
      </c>
      <c r="EG353" s="4">
        <f t="shared" si="1104"/>
        <v>0.59499999999999997</v>
      </c>
      <c r="EH353" s="4">
        <f t="shared" si="919"/>
        <v>10.498887866793746</v>
      </c>
      <c r="EK353" s="4">
        <f t="shared" si="906"/>
        <v>56.796126628494655</v>
      </c>
      <c r="EL353" s="4">
        <f t="shared" si="907"/>
        <v>2.2360679774997898</v>
      </c>
      <c r="EM353" s="4">
        <f t="shared" si="908"/>
        <v>0.14119068731191298</v>
      </c>
      <c r="EP353" s="4">
        <f t="shared" si="998"/>
        <v>0.14119068731191298</v>
      </c>
      <c r="EQ353" s="4">
        <f t="shared" si="960"/>
        <v>0.37669906216710974</v>
      </c>
      <c r="ER353" s="4">
        <f t="shared" si="1010"/>
        <v>7.1046242335994894</v>
      </c>
      <c r="ES353" s="4">
        <f t="shared" si="983"/>
        <v>8.9644642695673813</v>
      </c>
      <c r="ET353" s="4">
        <f t="shared" si="1011"/>
        <v>124.17887337150535</v>
      </c>
      <c r="EU353" s="4">
        <f t="shared" si="1012"/>
        <v>60.324999999999989</v>
      </c>
      <c r="EV353" s="4">
        <f t="shared" si="1098"/>
        <v>1.8994234773964424E-5</v>
      </c>
      <c r="EW353" s="4">
        <f t="shared" si="984"/>
        <v>9.7763586721413507</v>
      </c>
      <c r="EX353" s="4">
        <f t="shared" si="1131"/>
        <v>651.54069135482757</v>
      </c>
      <c r="FG353" s="23">
        <f t="shared" si="1030"/>
        <v>2</v>
      </c>
      <c r="FH353" s="23">
        <f t="shared" si="1030"/>
        <v>1.2</v>
      </c>
      <c r="FI353" s="23">
        <f t="shared" si="952"/>
        <v>1.2</v>
      </c>
      <c r="FJ353" s="23">
        <f t="shared" si="1031"/>
        <v>1.8</v>
      </c>
      <c r="FK353" s="23">
        <f t="shared" si="1031"/>
        <v>1.2</v>
      </c>
      <c r="FL353" s="23">
        <f t="shared" si="1031"/>
        <v>1.2</v>
      </c>
      <c r="FM353" s="23">
        <f t="shared" si="923"/>
        <v>0</v>
      </c>
      <c r="FN353" s="23"/>
      <c r="FX353" s="4">
        <f t="shared" si="1099"/>
        <v>1</v>
      </c>
      <c r="FY353" s="4">
        <f t="shared" si="1139"/>
        <v>0.44</v>
      </c>
      <c r="FZ353" s="4">
        <f t="shared" si="1100"/>
        <v>0.3</v>
      </c>
      <c r="GA353" s="4">
        <f t="shared" si="1101"/>
        <v>563.19543819891646</v>
      </c>
    </row>
    <row r="354" spans="1:183" ht="12" hidden="1" customHeight="1" x14ac:dyDescent="0.3">
      <c r="A354" s="25">
        <v>336</v>
      </c>
      <c r="B354" s="4" t="s">
        <v>605</v>
      </c>
      <c r="C354" s="4">
        <v>2016</v>
      </c>
      <c r="D354" s="4" t="s">
        <v>309</v>
      </c>
      <c r="E354" s="24" t="s">
        <v>671</v>
      </c>
      <c r="F354" s="7" t="s">
        <v>499</v>
      </c>
      <c r="G354" s="38">
        <f t="shared" si="1140"/>
        <v>827.58620689655174</v>
      </c>
      <c r="H354" s="38">
        <f>9.33*25.4</f>
        <v>236.982</v>
      </c>
      <c r="I354" s="4">
        <f t="shared" si="985"/>
        <v>236.982</v>
      </c>
      <c r="J354" s="38">
        <f>6790/145</f>
        <v>46.827586206896555</v>
      </c>
      <c r="K354" s="38">
        <f t="shared" si="986"/>
        <v>25.4</v>
      </c>
      <c r="L354" s="7">
        <f t="shared" si="987"/>
        <v>9.33</v>
      </c>
      <c r="M354" s="7">
        <f t="shared" si="988"/>
        <v>9.33</v>
      </c>
      <c r="N354" s="38">
        <f>15.1*25.4</f>
        <v>383.53999999999996</v>
      </c>
      <c r="O354" s="38">
        <f>2.55*25.4</f>
        <v>64.77</v>
      </c>
      <c r="P354" s="39">
        <f>3.3*25.4</f>
        <v>83.82</v>
      </c>
      <c r="Q354" s="7">
        <f t="shared" si="989"/>
        <v>88.899999999999991</v>
      </c>
      <c r="R354" s="38">
        <v>3</v>
      </c>
      <c r="S354" s="4">
        <f t="shared" si="966"/>
        <v>260.34999999999997</v>
      </c>
      <c r="T354" s="7">
        <f t="shared" si="990"/>
        <v>2.25</v>
      </c>
      <c r="U354" s="7">
        <f t="shared" si="1127"/>
        <v>3.05</v>
      </c>
      <c r="V354" s="38">
        <v>4</v>
      </c>
      <c r="W354" s="4">
        <f t="shared" si="991"/>
        <v>4</v>
      </c>
      <c r="X354" s="4">
        <f t="shared" si="992"/>
        <v>5</v>
      </c>
      <c r="Y354" s="7">
        <f t="shared" si="993"/>
        <v>56.796126628494655</v>
      </c>
      <c r="AB354" s="38">
        <f t="shared" si="1038"/>
        <v>355.17241379310349</v>
      </c>
      <c r="AC354" s="4">
        <v>51.5</v>
      </c>
      <c r="AD354" s="4">
        <f t="shared" si="899"/>
        <v>0.79497862339968595</v>
      </c>
      <c r="AE354" s="38"/>
      <c r="AF354" s="38"/>
      <c r="AG354" s="39">
        <v>1</v>
      </c>
      <c r="AH354" s="39"/>
      <c r="AI354" s="39"/>
      <c r="AJ354" s="7"/>
      <c r="AK354" s="4">
        <f t="shared" si="994"/>
        <v>236.982</v>
      </c>
      <c r="AL354" s="4">
        <f t="shared" si="910"/>
        <v>0.53947838513754909</v>
      </c>
      <c r="AM354" s="4">
        <f t="shared" si="911"/>
        <v>164.22730165587976</v>
      </c>
      <c r="AN354" s="4">
        <f t="shared" si="912"/>
        <v>0.76538049303322608</v>
      </c>
      <c r="AO354" s="4">
        <v>1.25</v>
      </c>
      <c r="AP354" s="4">
        <f t="shared" si="1112"/>
        <v>2.5</v>
      </c>
      <c r="AQ354" s="38">
        <f t="shared" si="967"/>
        <v>211.90773869847416</v>
      </c>
      <c r="AR354" s="38">
        <f t="shared" si="913"/>
        <v>211.90773869847416</v>
      </c>
      <c r="AS354" s="38">
        <f t="shared" si="914"/>
        <v>3.8975267336121062</v>
      </c>
      <c r="AT354" s="38">
        <f t="shared" si="1121"/>
        <v>211.90773869847405</v>
      </c>
      <c r="AU354" s="38">
        <f t="shared" si="1086"/>
        <v>1.0000000000000004</v>
      </c>
      <c r="AV354" s="38">
        <f t="shared" si="954"/>
        <v>2.27168478680181</v>
      </c>
      <c r="AW354" s="4">
        <f t="shared" si="940"/>
        <v>0</v>
      </c>
      <c r="AX354" s="4">
        <f t="shared" si="995"/>
        <v>336.03067846381362</v>
      </c>
      <c r="AY354" s="4">
        <f t="shared" si="968"/>
        <v>1.1422222222222222</v>
      </c>
      <c r="AZ354" s="38">
        <f t="shared" si="1102"/>
        <v>481.38758620689663</v>
      </c>
      <c r="BA354" s="4">
        <f t="shared" si="969"/>
        <v>0.44000000000000006</v>
      </c>
      <c r="BB354" s="4">
        <f t="shared" si="970"/>
        <v>77.253452978830751</v>
      </c>
      <c r="BC354" s="4">
        <f t="shared" si="971"/>
        <v>558.64103918572732</v>
      </c>
      <c r="BE354" s="4">
        <f t="shared" si="1122"/>
        <v>1.3875</v>
      </c>
      <c r="BF354" s="4">
        <f t="shared" si="1128"/>
        <v>550.60098826422575</v>
      </c>
      <c r="BH354" s="4">
        <f t="shared" si="1129"/>
        <v>461.70956503811868</v>
      </c>
      <c r="BI354" s="4">
        <f t="shared" si="1067"/>
        <v>0</v>
      </c>
      <c r="BJ354" s="4">
        <f t="shared" si="1130"/>
        <v>0</v>
      </c>
      <c r="BR354" s="4">
        <f t="shared" si="972"/>
        <v>44.449999999999996</v>
      </c>
      <c r="BV354" s="9"/>
      <c r="BX354" s="9"/>
      <c r="BY354" s="9"/>
      <c r="BZ354" s="9">
        <f t="shared" si="973"/>
        <v>44.449999999999996</v>
      </c>
      <c r="CA354" s="9">
        <f t="shared" si="974"/>
        <v>64.77</v>
      </c>
      <c r="CB354" s="9">
        <f t="shared" si="1087"/>
        <v>1.3997302362379427</v>
      </c>
      <c r="CC354" s="40">
        <f t="shared" si="996"/>
        <v>0</v>
      </c>
      <c r="CD354" s="9">
        <f t="shared" si="975"/>
        <v>0</v>
      </c>
      <c r="CE354" s="9">
        <f t="shared" si="976"/>
        <v>0</v>
      </c>
      <c r="CF354" s="9">
        <f t="shared" si="977"/>
        <v>0.99524931562137331</v>
      </c>
      <c r="CG354" s="9">
        <f t="shared" si="978"/>
        <v>0.68</v>
      </c>
      <c r="CH354" s="9">
        <f t="shared" si="1088"/>
        <v>1.6209130944490342</v>
      </c>
      <c r="CI354" s="9">
        <f t="shared" si="1089"/>
        <v>2.2688410686143214</v>
      </c>
      <c r="CJ354" s="40">
        <v>1</v>
      </c>
      <c r="CK354" s="9">
        <f t="shared" si="1090"/>
        <v>220.80361279754578</v>
      </c>
      <c r="CM354" s="4">
        <f t="shared" si="979"/>
        <v>1.0569642492667561</v>
      </c>
      <c r="CN354" s="4">
        <f t="shared" si="980"/>
        <v>0.63577930885779754</v>
      </c>
      <c r="CO354" s="4">
        <f t="shared" si="946"/>
        <v>0.64506316073421432</v>
      </c>
      <c r="CP354" s="4">
        <f t="shared" si="981"/>
        <v>1.6085443951442955</v>
      </c>
      <c r="CQ354" s="4">
        <f t="shared" si="921"/>
        <v>0.79497862339968595</v>
      </c>
      <c r="CR354" s="4">
        <f t="shared" si="922"/>
        <v>0.82233348350740842</v>
      </c>
      <c r="CS354" s="4">
        <f t="shared" si="947"/>
        <v>1.1553451423090986</v>
      </c>
      <c r="CT354" s="4">
        <f t="shared" si="997"/>
        <v>0</v>
      </c>
      <c r="CU354" s="4">
        <f t="shared" ref="CU354:CV354" si="1147">CM354</f>
        <v>1.0569642492667561</v>
      </c>
      <c r="CV354" s="4">
        <f t="shared" si="1147"/>
        <v>0.63577930885779754</v>
      </c>
      <c r="CW354" s="4">
        <f t="shared" ref="CW354" si="1148">CP354</f>
        <v>1.6085443951442955</v>
      </c>
      <c r="CX354" s="4">
        <f t="shared" si="1134"/>
        <v>1.1553451423090986</v>
      </c>
      <c r="CY354" s="4">
        <f t="shared" ref="CY354:CZ354" si="1149">CQ354</f>
        <v>0.79497862339968595</v>
      </c>
      <c r="CZ354" s="4">
        <f t="shared" si="1149"/>
        <v>0.82233348350740842</v>
      </c>
      <c r="DI354" s="4">
        <f t="shared" si="982"/>
        <v>236.982</v>
      </c>
      <c r="DL354" s="4">
        <f t="shared" si="900"/>
        <v>1.8654337941167171E-5</v>
      </c>
      <c r="DM354" s="4">
        <f t="shared" si="1009"/>
        <v>7.9451043316276984</v>
      </c>
      <c r="DN354" s="4">
        <f t="shared" si="901"/>
        <v>0.25001763870794352</v>
      </c>
      <c r="DO354" s="4">
        <f t="shared" si="902"/>
        <v>4.5633929194179164</v>
      </c>
      <c r="DP354" s="4">
        <f t="shared" si="903"/>
        <v>6.4803196530193512</v>
      </c>
      <c r="DQ354" s="4">
        <f t="shared" si="904"/>
        <v>7.5694956542959266</v>
      </c>
      <c r="DR354" s="38">
        <f t="shared" si="915"/>
        <v>446.76976630418892</v>
      </c>
      <c r="DS354" s="4">
        <f t="shared" si="1095"/>
        <v>1.0001046444848969</v>
      </c>
      <c r="DT354" s="4">
        <f t="shared" si="905"/>
        <v>2.2360679774997898</v>
      </c>
      <c r="DU354" s="4">
        <f t="shared" si="1103"/>
        <v>211.90773869847405</v>
      </c>
      <c r="DY354" s="4">
        <f t="shared" si="1037"/>
        <v>0.85</v>
      </c>
      <c r="DZ354" s="4">
        <f t="shared" si="1096"/>
        <v>0.92500000000000004</v>
      </c>
      <c r="EA354" s="4">
        <f t="shared" si="916"/>
        <v>1</v>
      </c>
      <c r="EB354" s="4">
        <f t="shared" si="1097"/>
        <v>0.92500000000000004</v>
      </c>
      <c r="ED354" s="4">
        <f t="shared" si="917"/>
        <v>431.90800437582294</v>
      </c>
      <c r="EE354" s="25">
        <f t="shared" si="918"/>
        <v>209.52453413356363</v>
      </c>
      <c r="EG354" s="4">
        <f t="shared" si="1104"/>
        <v>0.78625</v>
      </c>
      <c r="EH354" s="4">
        <f t="shared" si="919"/>
        <v>7.9451043316276984</v>
      </c>
      <c r="EK354" s="4">
        <f t="shared" si="906"/>
        <v>56.796126628494655</v>
      </c>
      <c r="EL354" s="4">
        <f t="shared" si="907"/>
        <v>2.2360679774997898</v>
      </c>
      <c r="EM354" s="4">
        <f t="shared" si="908"/>
        <v>9.3552802215112377E-2</v>
      </c>
      <c r="EP354" s="4">
        <f t="shared" si="998"/>
        <v>9.3552802215112377E-2</v>
      </c>
      <c r="EQ354" s="4">
        <f t="shared" si="960"/>
        <v>0.24960040586589352</v>
      </c>
      <c r="ER354" s="4">
        <f t="shared" si="1010"/>
        <v>4.5603452120939565</v>
      </c>
      <c r="ES354" s="4">
        <f t="shared" si="983"/>
        <v>6.4792529673615737</v>
      </c>
      <c r="ET354" s="4">
        <f t="shared" si="1011"/>
        <v>120.94037337150536</v>
      </c>
      <c r="EU354" s="4">
        <f t="shared" si="1012"/>
        <v>59.245499999999993</v>
      </c>
      <c r="EV354" s="4">
        <f t="shared" si="1098"/>
        <v>1.8654337941167168E-5</v>
      </c>
      <c r="EW354" s="4">
        <f t="shared" si="984"/>
        <v>7.5695844246889541</v>
      </c>
      <c r="EX354" s="4">
        <f t="shared" si="1131"/>
        <v>446.72301920395273</v>
      </c>
      <c r="FG354" s="23">
        <f t="shared" si="1030"/>
        <v>1.2</v>
      </c>
      <c r="FH354" s="23">
        <f t="shared" si="1030"/>
        <v>0.8</v>
      </c>
      <c r="FI354" s="23">
        <f t="shared" si="952"/>
        <v>1.2</v>
      </c>
      <c r="FJ354" s="23">
        <f t="shared" si="1031"/>
        <v>1.8</v>
      </c>
      <c r="FK354" s="23">
        <f t="shared" si="1031"/>
        <v>0.8</v>
      </c>
      <c r="FL354" s="23">
        <f t="shared" si="1031"/>
        <v>1</v>
      </c>
      <c r="FM354" s="23">
        <f t="shared" si="923"/>
        <v>1</v>
      </c>
      <c r="FN354" s="23"/>
      <c r="FX354" s="4">
        <f t="shared" si="1099"/>
        <v>1</v>
      </c>
      <c r="FY354" s="4">
        <f t="shared" si="1139"/>
        <v>0.79166666666666663</v>
      </c>
      <c r="FZ354" s="4">
        <f t="shared" si="1100"/>
        <v>0</v>
      </c>
      <c r="GA354" s="4">
        <f t="shared" si="1101"/>
        <v>307.4167197200033</v>
      </c>
    </row>
    <row r="355" spans="1:183" ht="12" hidden="1" customHeight="1" x14ac:dyDescent="0.3">
      <c r="A355" s="25">
        <v>337</v>
      </c>
      <c r="B355" s="4" t="s">
        <v>605</v>
      </c>
      <c r="C355" s="4">
        <v>2016</v>
      </c>
      <c r="D355" s="4" t="s">
        <v>309</v>
      </c>
      <c r="E355" s="24" t="s">
        <v>671</v>
      </c>
      <c r="F355" s="7" t="s">
        <v>500</v>
      </c>
      <c r="G355" s="38">
        <f t="shared" si="1140"/>
        <v>827.58620689655174</v>
      </c>
      <c r="H355" s="38">
        <f>9.17*25.4</f>
        <v>232.91799999999998</v>
      </c>
      <c r="I355" s="4">
        <f t="shared" si="985"/>
        <v>232.91799999999998</v>
      </c>
      <c r="J355" s="38">
        <f>6650/145</f>
        <v>45.862068965517238</v>
      </c>
      <c r="K355" s="38">
        <f t="shared" si="986"/>
        <v>25.4</v>
      </c>
      <c r="L355" s="7">
        <f t="shared" si="987"/>
        <v>9.17</v>
      </c>
      <c r="M355" s="7">
        <f t="shared" si="988"/>
        <v>9.17</v>
      </c>
      <c r="N355" s="38">
        <f>15.3*25.4</f>
        <v>388.62</v>
      </c>
      <c r="O355" s="38">
        <f>2.45*25.4</f>
        <v>62.230000000000004</v>
      </c>
      <c r="P355" s="39">
        <f>3.5*25.4</f>
        <v>88.899999999999991</v>
      </c>
      <c r="Q355" s="7">
        <f t="shared" si="989"/>
        <v>93.98</v>
      </c>
      <c r="R355" s="38">
        <v>3</v>
      </c>
      <c r="S355" s="4">
        <f t="shared" si="966"/>
        <v>260.34999999999997</v>
      </c>
      <c r="T355" s="7">
        <f t="shared" si="990"/>
        <v>2.35</v>
      </c>
      <c r="U355" s="7">
        <f t="shared" si="1127"/>
        <v>2.95</v>
      </c>
      <c r="V355" s="38">
        <v>4</v>
      </c>
      <c r="W355" s="4">
        <f t="shared" si="991"/>
        <v>4</v>
      </c>
      <c r="X355" s="4">
        <f t="shared" si="992"/>
        <v>5</v>
      </c>
      <c r="Y355" s="7">
        <f t="shared" si="993"/>
        <v>56.796126628494655</v>
      </c>
      <c r="AB355" s="38">
        <f t="shared" si="1038"/>
        <v>545.51724137931035</v>
      </c>
      <c r="AC355" s="4">
        <v>79.099999999999994</v>
      </c>
      <c r="AD355" s="4">
        <f t="shared" si="899"/>
        <v>1.0750809484919404</v>
      </c>
      <c r="AE355" s="38">
        <f t="shared" ref="AE355" si="1150">0.5*25.4</f>
        <v>12.7</v>
      </c>
      <c r="AF355" s="38">
        <v>10</v>
      </c>
      <c r="AG355" s="39">
        <f t="shared" ref="AG355" si="1151">3*25.4</f>
        <v>76.199999999999989</v>
      </c>
      <c r="AH355" s="39">
        <v>3</v>
      </c>
      <c r="AI355" s="39">
        <f>AH355-1</f>
        <v>2</v>
      </c>
      <c r="AJ355" s="7"/>
      <c r="AK355" s="4">
        <f t="shared" si="994"/>
        <v>232.91799999999998</v>
      </c>
      <c r="AL355" s="4">
        <f t="shared" si="910"/>
        <v>0.5561613958560524</v>
      </c>
      <c r="AM355" s="4">
        <f t="shared" si="911"/>
        <v>158.36267557236209</v>
      </c>
      <c r="AN355" s="4">
        <f t="shared" si="912"/>
        <v>0.76434023991275901</v>
      </c>
      <c r="AO355" s="4">
        <v>1.25</v>
      </c>
      <c r="AP355" s="4">
        <f t="shared" si="1112"/>
        <v>2.5</v>
      </c>
      <c r="AQ355" s="38">
        <f t="shared" si="967"/>
        <v>210.37320193056468</v>
      </c>
      <c r="AR355" s="38">
        <f t="shared" si="913"/>
        <v>210.37320193056468</v>
      </c>
      <c r="AS355" s="38">
        <f t="shared" si="914"/>
        <v>3.8437666713572023</v>
      </c>
      <c r="AT355" s="38">
        <f t="shared" si="1121"/>
        <v>210.37320193056462</v>
      </c>
      <c r="AU355" s="38">
        <f t="shared" si="1086"/>
        <v>1.0000000000000002</v>
      </c>
      <c r="AV355" s="38">
        <f t="shared" si="954"/>
        <v>2.2585150110496457</v>
      </c>
      <c r="AW355" s="4">
        <f t="shared" si="940"/>
        <v>0</v>
      </c>
      <c r="AX355" s="4">
        <f t="shared" si="995"/>
        <v>326.84553481692853</v>
      </c>
      <c r="AY355" s="4">
        <f t="shared" si="968"/>
        <v>1.102127659574468</v>
      </c>
      <c r="AZ355" s="38">
        <f t="shared" si="1102"/>
        <v>475.13103448275854</v>
      </c>
      <c r="BA355" s="4">
        <f t="shared" si="969"/>
        <v>0.44000000000000006</v>
      </c>
      <c r="BB355" s="4">
        <f t="shared" si="970"/>
        <v>75.141788454411881</v>
      </c>
      <c r="BC355" s="4">
        <f t="shared" si="971"/>
        <v>550.27282293717042</v>
      </c>
      <c r="BE355" s="4">
        <f t="shared" si="1122"/>
        <v>1.5</v>
      </c>
      <c r="BF355" s="4">
        <f t="shared" si="1128"/>
        <v>584.19985949690783</v>
      </c>
      <c r="BH355" s="4">
        <f t="shared" si="1129"/>
        <v>455.70876680825171</v>
      </c>
      <c r="BI355" s="4">
        <f t="shared" si="1067"/>
        <v>0</v>
      </c>
      <c r="BJ355" s="4">
        <f t="shared" si="1130"/>
        <v>0</v>
      </c>
      <c r="BR355" s="4">
        <f t="shared" si="972"/>
        <v>46.99</v>
      </c>
      <c r="BV355" s="9"/>
      <c r="BX355" s="9"/>
      <c r="BY355" s="9"/>
      <c r="BZ355" s="9">
        <f t="shared" si="973"/>
        <v>46.99</v>
      </c>
      <c r="CA355" s="9">
        <f t="shared" si="974"/>
        <v>62.230000000000004</v>
      </c>
      <c r="CB355" s="9">
        <f t="shared" si="1087"/>
        <v>1.4186818663340235</v>
      </c>
      <c r="CC355" s="40">
        <f t="shared" si="996"/>
        <v>20</v>
      </c>
      <c r="CD355" s="9">
        <f t="shared" si="975"/>
        <v>0.05</v>
      </c>
      <c r="CE355" s="9">
        <f t="shared" si="976"/>
        <v>0.8</v>
      </c>
      <c r="CF355" s="9">
        <f t="shared" si="977"/>
        <v>0.99524931562137331</v>
      </c>
      <c r="CG355" s="9">
        <f t="shared" si="978"/>
        <v>0.68</v>
      </c>
      <c r="CH355" s="9">
        <f t="shared" si="1088"/>
        <v>1.6041156142513788</v>
      </c>
      <c r="CI355" s="9">
        <f t="shared" si="1089"/>
        <v>3.5590222248427974</v>
      </c>
      <c r="CJ355" s="40">
        <v>1</v>
      </c>
      <c r="CK355" s="9">
        <f t="shared" si="1090"/>
        <v>344.08626869780164</v>
      </c>
      <c r="CM355" s="4">
        <f t="shared" si="979"/>
        <v>1.6690368485066298</v>
      </c>
      <c r="CN355" s="4">
        <f t="shared" si="980"/>
        <v>0.99135777498064259</v>
      </c>
      <c r="CO355" s="4">
        <f t="shared" si="946"/>
        <v>0.93378530054610154</v>
      </c>
      <c r="CP355" s="4">
        <f t="shared" si="981"/>
        <v>1.5854083437965325</v>
      </c>
      <c r="CQ355" s="4">
        <f t="shared" si="921"/>
        <v>1.0750809484919404</v>
      </c>
      <c r="CR355" s="4">
        <f t="shared" si="922"/>
        <v>1.1130622636058647</v>
      </c>
      <c r="CS355" s="4">
        <f t="shared" si="947"/>
        <v>1.676977781714432</v>
      </c>
      <c r="CT355" s="4">
        <f t="shared" si="997"/>
        <v>10</v>
      </c>
      <c r="DA355" s="4">
        <f t="shared" ref="DA355:DB355" si="1152">CM355</f>
        <v>1.6690368485066298</v>
      </c>
      <c r="DB355" s="4">
        <f t="shared" si="1152"/>
        <v>0.99135777498064259</v>
      </c>
      <c r="DC355" s="4">
        <f t="shared" ref="DC355" si="1153">CP355</f>
        <v>1.5854083437965325</v>
      </c>
      <c r="DD355" s="4">
        <f t="shared" ref="DD355" si="1154">CS355</f>
        <v>1.676977781714432</v>
      </c>
      <c r="DE355" s="4">
        <f t="shared" ref="DE355:DF355" si="1155">CQ355</f>
        <v>1.0750809484919404</v>
      </c>
      <c r="DF355" s="4">
        <f t="shared" si="1155"/>
        <v>1.1130622636058647</v>
      </c>
      <c r="DI355" s="4">
        <f t="shared" si="982"/>
        <v>232.91799999999998</v>
      </c>
      <c r="DL355" s="4">
        <f t="shared" si="900"/>
        <v>1.8221231027775321E-5</v>
      </c>
      <c r="DM355" s="4">
        <f t="shared" si="1009"/>
        <v>10.256388811022733</v>
      </c>
      <c r="DN355" s="4">
        <f t="shared" si="901"/>
        <v>0.25343254108029062</v>
      </c>
      <c r="DO355" s="4">
        <f t="shared" si="902"/>
        <v>5.9229685617203174</v>
      </c>
      <c r="DP355" s="4">
        <f t="shared" si="903"/>
        <v>8.3767340140551969</v>
      </c>
      <c r="DQ355" s="4">
        <f t="shared" si="904"/>
        <v>9.6564537119373188</v>
      </c>
      <c r="DR355" s="38">
        <f t="shared" si="915"/>
        <v>507.419689786643</v>
      </c>
      <c r="DS355" s="4">
        <f t="shared" si="1095"/>
        <v>1.0001180171195405</v>
      </c>
      <c r="DT355" s="4">
        <f t="shared" si="905"/>
        <v>2.2360679774997898</v>
      </c>
      <c r="DU355" s="4">
        <f t="shared" si="1103"/>
        <v>210.37320193056462</v>
      </c>
      <c r="DY355" s="4">
        <f t="shared" si="1037"/>
        <v>0.85</v>
      </c>
      <c r="DZ355" s="4">
        <f t="shared" si="1096"/>
        <v>0.91500000000000004</v>
      </c>
      <c r="EA355" s="4">
        <f t="shared" si="916"/>
        <v>0.77500000000000002</v>
      </c>
      <c r="EB355" s="4">
        <f t="shared" si="1097"/>
        <v>0.70912500000000001</v>
      </c>
      <c r="ED355" s="4">
        <f t="shared" si="917"/>
        <v>490.1048748270905</v>
      </c>
      <c r="EE355" s="25">
        <f t="shared" si="918"/>
        <v>207.95161863585514</v>
      </c>
      <c r="EG355" s="4">
        <f t="shared" si="1104"/>
        <v>0.60275624999999999</v>
      </c>
      <c r="EH355" s="4">
        <f t="shared" si="919"/>
        <v>10.256388811022733</v>
      </c>
      <c r="EK355" s="4">
        <f t="shared" si="906"/>
        <v>56.796126628494655</v>
      </c>
      <c r="EL355" s="4">
        <f t="shared" si="907"/>
        <v>2.2360679774997898</v>
      </c>
      <c r="EM355" s="4">
        <f t="shared" si="908"/>
        <v>9.3847879695297828E-2</v>
      </c>
      <c r="EP355" s="4">
        <f t="shared" si="998"/>
        <v>9.3847879695297828E-2</v>
      </c>
      <c r="EQ355" s="4">
        <f t="shared" si="960"/>
        <v>0.25300960940263245</v>
      </c>
      <c r="ER355" s="4">
        <f t="shared" si="1010"/>
        <v>5.9190128482886895</v>
      </c>
      <c r="ES355" s="4">
        <f t="shared" si="983"/>
        <v>8.3753436193313071</v>
      </c>
      <c r="ET355" s="4">
        <f t="shared" si="1011"/>
        <v>117.89237337150533</v>
      </c>
      <c r="EU355" s="4">
        <f t="shared" si="1012"/>
        <v>58.229500000000002</v>
      </c>
      <c r="EV355" s="4">
        <f t="shared" si="1098"/>
        <v>1.8221231027775321E-5</v>
      </c>
      <c r="EW355" s="4">
        <f t="shared" si="984"/>
        <v>9.6565973895003765</v>
      </c>
      <c r="EX355" s="4">
        <f t="shared" si="1131"/>
        <v>507.35981264298425</v>
      </c>
      <c r="FG355" s="23">
        <f t="shared" si="1030"/>
        <v>1.8</v>
      </c>
      <c r="FH355" s="23">
        <f t="shared" si="1030"/>
        <v>1</v>
      </c>
      <c r="FI355" s="23">
        <f t="shared" si="952"/>
        <v>1.8</v>
      </c>
      <c r="FJ355" s="23">
        <f t="shared" si="1031"/>
        <v>1.6</v>
      </c>
      <c r="FK355" s="23">
        <f t="shared" si="1031"/>
        <v>1.2</v>
      </c>
      <c r="FL355" s="23">
        <f t="shared" si="1031"/>
        <v>1.2</v>
      </c>
      <c r="FM355" s="23">
        <f t="shared" si="923"/>
        <v>0</v>
      </c>
      <c r="FN355" s="23"/>
      <c r="FX355" s="4">
        <f t="shared" si="1099"/>
        <v>1.25</v>
      </c>
      <c r="FY355" s="4">
        <f t="shared" si="1139"/>
        <v>0.58520000000000005</v>
      </c>
      <c r="FZ355" s="4">
        <f t="shared" si="1100"/>
        <v>0.3</v>
      </c>
      <c r="GA355" s="4">
        <f t="shared" si="1101"/>
        <v>325.29783478801329</v>
      </c>
    </row>
    <row r="356" spans="1:183" ht="12" hidden="1" customHeight="1" x14ac:dyDescent="0.3">
      <c r="A356" s="25">
        <v>338</v>
      </c>
      <c r="B356" s="4" t="s">
        <v>605</v>
      </c>
      <c r="C356" s="4">
        <v>2016</v>
      </c>
      <c r="D356" s="4" t="s">
        <v>309</v>
      </c>
      <c r="E356" s="24" t="s">
        <v>671</v>
      </c>
      <c r="F356" s="7" t="s">
        <v>501</v>
      </c>
      <c r="G356" s="38">
        <f t="shared" si="1140"/>
        <v>827.58620689655174</v>
      </c>
      <c r="H356" s="38">
        <f>9.47*25.4</f>
        <v>240.53800000000001</v>
      </c>
      <c r="I356" s="4">
        <f t="shared" si="985"/>
        <v>240.53800000000001</v>
      </c>
      <c r="J356" s="38">
        <f>6650/145</f>
        <v>45.862068965517238</v>
      </c>
      <c r="K356" s="38">
        <f t="shared" si="986"/>
        <v>25.4</v>
      </c>
      <c r="L356" s="7">
        <f t="shared" si="987"/>
        <v>9.4700000000000006</v>
      </c>
      <c r="M356" s="7">
        <f t="shared" si="988"/>
        <v>9.4700000000000006</v>
      </c>
      <c r="N356" s="38">
        <f>14.8*25.4</f>
        <v>375.92</v>
      </c>
      <c r="O356" s="38">
        <f>2.45*25.4</f>
        <v>62.230000000000004</v>
      </c>
      <c r="P356" s="39">
        <f>3.3*25.4</f>
        <v>83.82</v>
      </c>
      <c r="Q356" s="7">
        <f t="shared" si="989"/>
        <v>49.953333333333347</v>
      </c>
      <c r="R356" s="38">
        <v>4</v>
      </c>
      <c r="S356" s="4">
        <f t="shared" si="966"/>
        <v>260.34999999999997</v>
      </c>
      <c r="T356" s="7">
        <f t="shared" si="990"/>
        <v>1.4833333333333336</v>
      </c>
      <c r="U356" s="7">
        <f t="shared" si="1127"/>
        <v>2.95</v>
      </c>
      <c r="V356" s="38">
        <v>4</v>
      </c>
      <c r="W356" s="4">
        <f t="shared" si="991"/>
        <v>4</v>
      </c>
      <c r="X356" s="4">
        <f t="shared" si="992"/>
        <v>5</v>
      </c>
      <c r="Y356" s="7">
        <f t="shared" si="993"/>
        <v>56.796126628494655</v>
      </c>
      <c r="AB356" s="38">
        <f t="shared" si="1038"/>
        <v>228.27586206896555</v>
      </c>
      <c r="AC356" s="4">
        <v>33.1</v>
      </c>
      <c r="AD356" s="4">
        <f t="shared" si="899"/>
        <v>0.62319362436667958</v>
      </c>
      <c r="AE356" s="38"/>
      <c r="AF356" s="38"/>
      <c r="AG356" s="39">
        <v>1</v>
      </c>
      <c r="AH356" s="39"/>
      <c r="AI356" s="39"/>
      <c r="AJ356" s="7"/>
      <c r="AK356" s="4">
        <f t="shared" si="994"/>
        <v>240.53800000000001</v>
      </c>
      <c r="AL356" s="4">
        <f t="shared" si="910"/>
        <v>0.52094332981344593</v>
      </c>
      <c r="AM356" s="4">
        <f t="shared" si="911"/>
        <v>124.64792666075199</v>
      </c>
      <c r="AN356" s="4">
        <f t="shared" si="912"/>
        <v>0.76230200633579726</v>
      </c>
      <c r="AO356" s="4">
        <v>1.25</v>
      </c>
      <c r="AP356" s="4">
        <f t="shared" si="1112"/>
        <v>2.5</v>
      </c>
      <c r="AQ356" s="38">
        <f t="shared" si="967"/>
        <v>154.68657556433811</v>
      </c>
      <c r="AR356" s="38">
        <f t="shared" si="913"/>
        <v>154.68657556433811</v>
      </c>
      <c r="AS356" s="38">
        <f t="shared" si="914"/>
        <v>3.8437666713572023</v>
      </c>
      <c r="AT356" s="38">
        <f t="shared" si="1121"/>
        <v>154.68657556433794</v>
      </c>
      <c r="AU356" s="38">
        <f t="shared" si="1086"/>
        <v>1.0000000000000011</v>
      </c>
      <c r="AV356" s="38">
        <f t="shared" si="954"/>
        <v>2.4548861441214105</v>
      </c>
      <c r="AW356" s="4">
        <f t="shared" si="940"/>
        <v>0</v>
      </c>
      <c r="AX356" s="4">
        <f t="shared" si="995"/>
        <v>337.53840945652274</v>
      </c>
      <c r="AY356" s="4">
        <f t="shared" si="968"/>
        <v>1.395505617977528</v>
      </c>
      <c r="AZ356" s="38">
        <f t="shared" si="1102"/>
        <v>379.73793103448276</v>
      </c>
      <c r="BA356" s="4">
        <f t="shared" si="969"/>
        <v>0.44000000000000006</v>
      </c>
      <c r="BB356" s="4">
        <f t="shared" si="970"/>
        <v>77.600080334054581</v>
      </c>
      <c r="BC356" s="4">
        <f t="shared" si="971"/>
        <v>457.33801136853731</v>
      </c>
      <c r="BE356" s="4">
        <f t="shared" si="1122"/>
        <v>1.3625</v>
      </c>
      <c r="BF356" s="4">
        <f t="shared" si="1128"/>
        <v>538.95255947666624</v>
      </c>
      <c r="BH356" s="4">
        <f t="shared" si="1129"/>
        <v>364.21511478497354</v>
      </c>
      <c r="BI356" s="4">
        <f t="shared" si="1067"/>
        <v>0</v>
      </c>
      <c r="BJ356" s="4">
        <f t="shared" si="1130"/>
        <v>0</v>
      </c>
      <c r="BR356" s="4">
        <f t="shared" si="972"/>
        <v>24.976666666666674</v>
      </c>
      <c r="BV356" s="9"/>
      <c r="BX356" s="9"/>
      <c r="BY356" s="9"/>
      <c r="BZ356" s="9">
        <f t="shared" si="973"/>
        <v>24.976666666666674</v>
      </c>
      <c r="CA356" s="9">
        <f t="shared" si="974"/>
        <v>62.230000000000004</v>
      </c>
      <c r="CB356" s="9">
        <f t="shared" si="1087"/>
        <v>1.1371563454107663</v>
      </c>
      <c r="CC356" s="40">
        <f t="shared" si="996"/>
        <v>0</v>
      </c>
      <c r="CD356" s="9">
        <f t="shared" si="975"/>
        <v>0</v>
      </c>
      <c r="CE356" s="9">
        <f t="shared" si="976"/>
        <v>0</v>
      </c>
      <c r="CF356" s="9">
        <f t="shared" si="977"/>
        <v>0.99524931562137331</v>
      </c>
      <c r="CG356" s="9">
        <f t="shared" si="978"/>
        <v>0.68</v>
      </c>
      <c r="CH356" s="9">
        <f t="shared" si="1088"/>
        <v>1.6041156142513788</v>
      </c>
      <c r="CI356" s="9">
        <f t="shared" si="1089"/>
        <v>1.8241302495184444</v>
      </c>
      <c r="CJ356" s="40">
        <v>1</v>
      </c>
      <c r="CK356" s="9">
        <f t="shared" si="1090"/>
        <v>178.54586882286534</v>
      </c>
      <c r="CM356" s="4">
        <f t="shared" si="979"/>
        <v>0.6762959582481799</v>
      </c>
      <c r="CN356" s="4">
        <f t="shared" si="980"/>
        <v>0.49914036531945671</v>
      </c>
      <c r="CO356" s="4">
        <f t="shared" si="946"/>
        <v>0.42355464883704419</v>
      </c>
      <c r="CP356" s="4">
        <f t="shared" si="981"/>
        <v>1.2785278291453337</v>
      </c>
      <c r="CQ356" s="4">
        <f t="shared" si="921"/>
        <v>0.62319362436667958</v>
      </c>
      <c r="CR356" s="4">
        <f t="shared" si="922"/>
        <v>0.63480838312555887</v>
      </c>
      <c r="CS356" s="4">
        <f t="shared" si="947"/>
        <v>1.0676265150499875</v>
      </c>
      <c r="CT356" s="4">
        <f t="shared" si="997"/>
        <v>0</v>
      </c>
      <c r="CU356" s="4">
        <f t="shared" ref="CU356:CV356" si="1156">CM356</f>
        <v>0.6762959582481799</v>
      </c>
      <c r="CV356" s="4">
        <f t="shared" si="1156"/>
        <v>0.49914036531945671</v>
      </c>
      <c r="CW356" s="4">
        <f t="shared" ref="CW356" si="1157">CP356</f>
        <v>1.2785278291453337</v>
      </c>
      <c r="CX356" s="4">
        <f t="shared" si="1134"/>
        <v>1.0676265150499875</v>
      </c>
      <c r="CY356" s="4">
        <f t="shared" ref="CY356:CZ356" si="1158">CQ356</f>
        <v>0.62319362436667958</v>
      </c>
      <c r="CZ356" s="4">
        <f t="shared" si="1158"/>
        <v>0.63480838312555887</v>
      </c>
      <c r="DI356" s="4">
        <f t="shared" si="982"/>
        <v>240.53800000000001</v>
      </c>
      <c r="DL356" s="4">
        <f t="shared" si="900"/>
        <v>1.8817345456164922E-5</v>
      </c>
      <c r="DM356" s="4">
        <f t="shared" si="1009"/>
        <v>7.2730617156164961</v>
      </c>
      <c r="DN356" s="4">
        <f t="shared" si="901"/>
        <v>0.18634793574714756</v>
      </c>
      <c r="DO356" s="4">
        <f t="shared" si="902"/>
        <v>3.7140445371509778</v>
      </c>
      <c r="DP356" s="4">
        <f t="shared" si="903"/>
        <v>5.7772651340212935</v>
      </c>
      <c r="DQ356" s="4">
        <f t="shared" si="904"/>
        <v>6.9625541839601279</v>
      </c>
      <c r="DR356" s="38">
        <f t="shared" si="915"/>
        <v>366.30006011526649</v>
      </c>
      <c r="DS356" s="4">
        <f t="shared" si="1095"/>
        <v>1.0001008195512369</v>
      </c>
      <c r="DT356" s="4">
        <f t="shared" si="905"/>
        <v>2.2360679774997898</v>
      </c>
      <c r="DU356" s="4">
        <f t="shared" si="1103"/>
        <v>154.68657556433794</v>
      </c>
      <c r="DY356" s="4">
        <f t="shared" si="1037"/>
        <v>0.85</v>
      </c>
      <c r="DZ356" s="4">
        <f t="shared" si="1096"/>
        <v>1</v>
      </c>
      <c r="EA356" s="4">
        <f t="shared" si="916"/>
        <v>1</v>
      </c>
      <c r="EB356" s="4">
        <f t="shared" si="1097"/>
        <v>1</v>
      </c>
      <c r="ED356" s="4">
        <f t="shared" si="917"/>
        <v>359.59805846454111</v>
      </c>
      <c r="EE356" s="25">
        <f t="shared" si="918"/>
        <v>152.97037512387644</v>
      </c>
      <c r="EG356" s="4">
        <f t="shared" si="1104"/>
        <v>0.85</v>
      </c>
      <c r="EH356" s="4">
        <f t="shared" si="919"/>
        <v>7.2730617156164961</v>
      </c>
      <c r="EK356" s="4">
        <f t="shared" si="906"/>
        <v>56.796126628494655</v>
      </c>
      <c r="EL356" s="4">
        <f t="shared" si="907"/>
        <v>2.2360679774997898</v>
      </c>
      <c r="EM356" s="4">
        <f t="shared" si="908"/>
        <v>6.9005971296814891E-2</v>
      </c>
      <c r="EP356" s="4">
        <f t="shared" si="998"/>
        <v>6.9005971296814891E-2</v>
      </c>
      <c r="EQ356" s="4">
        <f t="shared" si="960"/>
        <v>0.18603695577291959</v>
      </c>
      <c r="ER356" s="4">
        <f t="shared" si="1010"/>
        <v>3.711564075587122</v>
      </c>
      <c r="ES356" s="4">
        <f t="shared" si="983"/>
        <v>5.7764763931624632</v>
      </c>
      <c r="ET356" s="4">
        <f t="shared" si="1011"/>
        <v>123.60737337150536</v>
      </c>
      <c r="EU356" s="4">
        <f t="shared" si="1012"/>
        <v>60.134500000000003</v>
      </c>
      <c r="EV356" s="4">
        <f t="shared" si="1098"/>
        <v>1.8817345456164922E-5</v>
      </c>
      <c r="EW356" s="4">
        <f t="shared" si="984"/>
        <v>6.9626188991674915</v>
      </c>
      <c r="EX356" s="4">
        <f t="shared" si="1131"/>
        <v>366.26313363049928</v>
      </c>
      <c r="FG356" s="23">
        <f t="shared" si="1030"/>
        <v>0.8</v>
      </c>
      <c r="FH356" s="23">
        <f t="shared" si="1030"/>
        <v>0.6</v>
      </c>
      <c r="FI356" s="23">
        <f t="shared" si="952"/>
        <v>1.2</v>
      </c>
      <c r="FJ356" s="23">
        <f t="shared" si="1031"/>
        <v>1.4</v>
      </c>
      <c r="FK356" s="23">
        <f t="shared" si="1031"/>
        <v>0.8</v>
      </c>
      <c r="FL356" s="23">
        <f t="shared" si="1031"/>
        <v>0.8</v>
      </c>
      <c r="FM356" s="23">
        <f t="shared" si="923"/>
        <v>1</v>
      </c>
      <c r="FN356" s="23"/>
      <c r="FX356" s="4">
        <f t="shared" si="1099"/>
        <v>1.25</v>
      </c>
      <c r="FY356" s="4">
        <f t="shared" si="1139"/>
        <v>0.91944444444444429</v>
      </c>
      <c r="FZ356" s="4">
        <f t="shared" si="1100"/>
        <v>0</v>
      </c>
      <c r="GA356" s="4">
        <f t="shared" si="1101"/>
        <v>213.81621648679024</v>
      </c>
    </row>
    <row r="357" spans="1:183" ht="12" hidden="1" customHeight="1" x14ac:dyDescent="0.3">
      <c r="A357" s="25">
        <v>339</v>
      </c>
      <c r="B357" s="4" t="s">
        <v>605</v>
      </c>
      <c r="C357" s="4">
        <v>2016</v>
      </c>
      <c r="D357" s="4" t="s">
        <v>309</v>
      </c>
      <c r="E357" s="24" t="s">
        <v>671</v>
      </c>
      <c r="F357" s="7" t="s">
        <v>502</v>
      </c>
      <c r="G357" s="38">
        <f t="shared" si="1140"/>
        <v>827.58620689655174</v>
      </c>
      <c r="H357" s="38">
        <f>9.66*25.4</f>
        <v>245.36399999999998</v>
      </c>
      <c r="I357" s="4">
        <f t="shared" si="985"/>
        <v>245.36399999999998</v>
      </c>
      <c r="J357" s="38">
        <f>6650/145</f>
        <v>45.862068965517238</v>
      </c>
      <c r="K357" s="38">
        <f t="shared" si="986"/>
        <v>25.4</v>
      </c>
      <c r="L357" s="7">
        <f t="shared" si="987"/>
        <v>9.66</v>
      </c>
      <c r="M357" s="7">
        <f t="shared" si="988"/>
        <v>9.66</v>
      </c>
      <c r="N357" s="38">
        <f>15.3*25.4</f>
        <v>388.62</v>
      </c>
      <c r="O357" s="38">
        <f>2.55*25.4</f>
        <v>64.77</v>
      </c>
      <c r="P357" s="39">
        <f>3*25.4</f>
        <v>76.199999999999989</v>
      </c>
      <c r="Q357" s="7">
        <f t="shared" si="989"/>
        <v>52.493333333333332</v>
      </c>
      <c r="R357" s="38">
        <v>4</v>
      </c>
      <c r="S357" s="4">
        <f t="shared" si="966"/>
        <v>260.34999999999997</v>
      </c>
      <c r="T357" s="7">
        <f t="shared" si="990"/>
        <v>1.5333333333333334</v>
      </c>
      <c r="U357" s="7">
        <f t="shared" si="1127"/>
        <v>3.05</v>
      </c>
      <c r="V357" s="38">
        <v>4</v>
      </c>
      <c r="W357" s="4">
        <f t="shared" si="991"/>
        <v>4</v>
      </c>
      <c r="X357" s="4">
        <f t="shared" si="992"/>
        <v>5</v>
      </c>
      <c r="Y357" s="7">
        <f t="shared" si="993"/>
        <v>56.796126628494655</v>
      </c>
      <c r="AB357" s="38">
        <f t="shared" si="1038"/>
        <v>424.13793103448279</v>
      </c>
      <c r="AC357" s="4">
        <v>61.5</v>
      </c>
      <c r="AD357" s="4">
        <f t="shared" ref="AD357:AD420" si="1159">CQ357</f>
        <v>0.96051437093285852</v>
      </c>
      <c r="AE357" s="38">
        <f t="shared" ref="AE357" si="1160">0.5*25.4</f>
        <v>12.7</v>
      </c>
      <c r="AF357" s="38">
        <v>10</v>
      </c>
      <c r="AG357" s="39">
        <f t="shared" ref="AG357" si="1161">3*25.4</f>
        <v>76.199999999999989</v>
      </c>
      <c r="AH357" s="39">
        <v>3</v>
      </c>
      <c r="AI357" s="39">
        <f>AH357-1</f>
        <v>2</v>
      </c>
      <c r="AJ357" s="7"/>
      <c r="AK357" s="4">
        <f t="shared" si="994"/>
        <v>245.36399999999998</v>
      </c>
      <c r="AL357" s="4">
        <f t="shared" si="910"/>
        <v>0.5279503105590061</v>
      </c>
      <c r="AM357" s="4">
        <f t="shared" si="911"/>
        <v>128.41796400921942</v>
      </c>
      <c r="AN357" s="4">
        <f t="shared" si="912"/>
        <v>0.76314699792960661</v>
      </c>
      <c r="AO357" s="4">
        <v>1.25</v>
      </c>
      <c r="AP357" s="4">
        <f t="shared" si="1112"/>
        <v>2.5</v>
      </c>
      <c r="AQ357" s="38">
        <f t="shared" si="967"/>
        <v>161.68772545960374</v>
      </c>
      <c r="AR357" s="38">
        <f t="shared" si="913"/>
        <v>161.68772545960374</v>
      </c>
      <c r="AS357" s="38">
        <f t="shared" si="914"/>
        <v>3.8437666713572023</v>
      </c>
      <c r="AT357" s="38">
        <f t="shared" si="1121"/>
        <v>161.68772545960394</v>
      </c>
      <c r="AU357" s="38">
        <f t="shared" si="1086"/>
        <v>0.99999999999999878</v>
      </c>
      <c r="AV357" s="38">
        <f t="shared" si="954"/>
        <v>2.4280093571042878</v>
      </c>
      <c r="AW357" s="4">
        <f t="shared" si="940"/>
        <v>0</v>
      </c>
      <c r="AX357" s="4">
        <f t="shared" si="995"/>
        <v>344.31056339493233</v>
      </c>
      <c r="AY357" s="4">
        <f t="shared" si="968"/>
        <v>1.3956521739130434</v>
      </c>
      <c r="AZ357" s="38">
        <f t="shared" si="1102"/>
        <v>392.57931034482755</v>
      </c>
      <c r="BA357" s="4">
        <f t="shared" si="969"/>
        <v>0.44000000000000006</v>
      </c>
      <c r="BB357" s="4">
        <f t="shared" si="970"/>
        <v>79.156998524494952</v>
      </c>
      <c r="BC357" s="4">
        <f t="shared" si="971"/>
        <v>471.7363088693225</v>
      </c>
      <c r="BE357" s="4">
        <f t="shared" si="1122"/>
        <v>1.5</v>
      </c>
      <c r="BF357" s="4">
        <f t="shared" si="1128"/>
        <v>599.13245893110104</v>
      </c>
      <c r="BH357" s="4">
        <f t="shared" si="1129"/>
        <v>376.5315679419532</v>
      </c>
      <c r="BI357" s="4">
        <f t="shared" si="1067"/>
        <v>0</v>
      </c>
      <c r="BJ357" s="4">
        <f t="shared" si="1130"/>
        <v>0</v>
      </c>
      <c r="BR357" s="4">
        <f t="shared" si="972"/>
        <v>26.246666666666666</v>
      </c>
      <c r="BV357" s="9"/>
      <c r="BX357" s="9"/>
      <c r="BY357" s="9"/>
      <c r="BZ357" s="9">
        <f t="shared" si="973"/>
        <v>26.246666666666666</v>
      </c>
      <c r="CA357" s="9">
        <f t="shared" si="974"/>
        <v>64.77</v>
      </c>
      <c r="CB357" s="9">
        <f t="shared" si="1087"/>
        <v>1.1640327001925783</v>
      </c>
      <c r="CC357" s="40">
        <f t="shared" si="996"/>
        <v>20</v>
      </c>
      <c r="CD357" s="9">
        <f t="shared" si="975"/>
        <v>0.05</v>
      </c>
      <c r="CE357" s="9">
        <f t="shared" si="976"/>
        <v>0.8</v>
      </c>
      <c r="CF357" s="9">
        <f t="shared" si="977"/>
        <v>0.99524931562137331</v>
      </c>
      <c r="CG357" s="9">
        <f t="shared" si="978"/>
        <v>0.68</v>
      </c>
      <c r="CH357" s="9">
        <f t="shared" si="1088"/>
        <v>1.6041156142513788</v>
      </c>
      <c r="CI357" s="9">
        <f t="shared" si="1089"/>
        <v>3.1505355212792119</v>
      </c>
      <c r="CJ357" s="40">
        <v>1</v>
      </c>
      <c r="CK357" s="9">
        <f t="shared" si="1090"/>
        <v>310.76882381898145</v>
      </c>
      <c r="CM357" s="4">
        <f t="shared" si="979"/>
        <v>1.2318469896840969</v>
      </c>
      <c r="CN357" s="4">
        <f t="shared" si="980"/>
        <v>0.89909960937938926</v>
      </c>
      <c r="CO357" s="4">
        <f t="shared" si="946"/>
        <v>0.70792013470807091</v>
      </c>
      <c r="CP357" s="4">
        <f t="shared" si="981"/>
        <v>1.3648020603300197</v>
      </c>
      <c r="CQ357" s="4">
        <f t="shared" si="921"/>
        <v>0.96051437093285852</v>
      </c>
      <c r="CR357" s="4">
        <f t="shared" si="922"/>
        <v>0.97995058160380566</v>
      </c>
      <c r="CS357" s="4">
        <f t="shared" si="947"/>
        <v>1.1117656600092876</v>
      </c>
      <c r="CT357" s="4">
        <f t="shared" si="997"/>
        <v>10</v>
      </c>
      <c r="DA357" s="4">
        <f t="shared" ref="DA357:DB357" si="1162">CM357</f>
        <v>1.2318469896840969</v>
      </c>
      <c r="DB357" s="4">
        <f t="shared" si="1162"/>
        <v>0.89909960937938926</v>
      </c>
      <c r="DC357" s="4">
        <f t="shared" ref="DC357" si="1163">CP357</f>
        <v>1.3648020603300197</v>
      </c>
      <c r="DD357" s="4">
        <f t="shared" ref="DD357" si="1164">CS357</f>
        <v>1.1117656600092876</v>
      </c>
      <c r="DE357" s="4">
        <f t="shared" ref="DE357:DF357" si="1165">CQ357</f>
        <v>0.96051437093285852</v>
      </c>
      <c r="DF357" s="4">
        <f t="shared" si="1165"/>
        <v>0.97995058160380566</v>
      </c>
      <c r="DI357" s="4">
        <f t="shared" si="982"/>
        <v>245.36399999999998</v>
      </c>
      <c r="DL357" s="4">
        <f t="shared" ref="DL357:DL420" si="1166">H357/4/(1-0.3*(J357/30)^0.5)/200000/K357</f>
        <v>1.9194884594144994E-5</v>
      </c>
      <c r="DM357" s="4">
        <f t="shared" si="1009"/>
        <v>9.4159823699857537</v>
      </c>
      <c r="DN357" s="4">
        <f t="shared" ref="DN357:DN420" si="1167">DU357*Y357/257/J357/V357</f>
        <v>0.19478208606742883</v>
      </c>
      <c r="DO357" s="4">
        <f t="shared" ref="DO357:DO420" si="1168">DM357*DN357^0.4</f>
        <v>4.8942397704336393</v>
      </c>
      <c r="DP357" s="4">
        <f t="shared" ref="DP357:DP420" si="1169">MIN(DM357, DM357/1.4*(1-DN357^1.4)/(1-DN357))</f>
        <v>7.5069937070610697</v>
      </c>
      <c r="DQ357" s="4">
        <f t="shared" ref="DQ357:DQ420" si="1170">MAX(DM357/2, (4-DL357*(8*Y357*(DO357-DP357)+6*H357*DP357))/(4+DL357*H357*DM357)*DM357)</f>
        <v>8.8718971860366747</v>
      </c>
      <c r="DR357" s="38">
        <f t="shared" si="915"/>
        <v>441.57374826423154</v>
      </c>
      <c r="DS357" s="4">
        <f t="shared" si="1095"/>
        <v>1.0001115864575323</v>
      </c>
      <c r="DT357" s="4">
        <f t="shared" ref="DT357:DT420" si="1171">Y357/K357</f>
        <v>2.2360679774997898</v>
      </c>
      <c r="DU357" s="4">
        <f t="shared" si="1103"/>
        <v>161.68772545960394</v>
      </c>
      <c r="DY357" s="4">
        <f t="shared" si="1037"/>
        <v>0.85</v>
      </c>
      <c r="DZ357" s="4">
        <f t="shared" si="1096"/>
        <v>0.9966666666666667</v>
      </c>
      <c r="EA357" s="4">
        <f t="shared" si="916"/>
        <v>0.77500000000000002</v>
      </c>
      <c r="EB357" s="4">
        <f t="shared" si="1097"/>
        <v>0.77241666666666675</v>
      </c>
      <c r="ED357" s="4">
        <f t="shared" si="917"/>
        <v>432.81563274377635</v>
      </c>
      <c r="EE357" s="25">
        <f t="shared" si="918"/>
        <v>159.94046366158921</v>
      </c>
      <c r="EG357" s="4">
        <f t="shared" si="1104"/>
        <v>0.65655416666666677</v>
      </c>
      <c r="EH357" s="4">
        <f t="shared" si="919"/>
        <v>9.4159823699857537</v>
      </c>
      <c r="EK357" s="4">
        <f t="shared" ref="EK357:EK420" si="1172">EL357*K357</f>
        <v>56.796126628494655</v>
      </c>
      <c r="EL357" s="4">
        <f t="shared" ref="EL357:EL420" si="1173">X357^0.5</f>
        <v>2.2360679774997898</v>
      </c>
      <c r="EM357" s="4">
        <f t="shared" ref="EM357:EM420" si="1174">MIN(DU357)/(4700*J357^0.5)/W357*EK357</f>
        <v>7.2129197387733698E-2</v>
      </c>
      <c r="EP357" s="4">
        <f t="shared" si="998"/>
        <v>7.2129197387733698E-2</v>
      </c>
      <c r="EQ357" s="4">
        <f t="shared" si="960"/>
        <v>0.19445703106822826</v>
      </c>
      <c r="ER357" s="4">
        <f t="shared" si="1010"/>
        <v>4.8909711037514221</v>
      </c>
      <c r="ES357" s="4">
        <f t="shared" si="983"/>
        <v>7.5059387417506507</v>
      </c>
      <c r="ET357" s="4">
        <f t="shared" si="1011"/>
        <v>127.22687337150532</v>
      </c>
      <c r="EU357" s="4">
        <f t="shared" si="1012"/>
        <v>61.341000000000008</v>
      </c>
      <c r="EV357" s="4">
        <f t="shared" si="1098"/>
        <v>1.9194884594144997E-5</v>
      </c>
      <c r="EW357" s="4">
        <f t="shared" si="984"/>
        <v>8.8720115430804984</v>
      </c>
      <c r="EX357" s="4">
        <f t="shared" si="1131"/>
        <v>441.52448011158208</v>
      </c>
      <c r="FG357" s="23">
        <f t="shared" si="1030"/>
        <v>1.4</v>
      </c>
      <c r="FH357" s="23">
        <f t="shared" si="1030"/>
        <v>1</v>
      </c>
      <c r="FI357" s="23">
        <f t="shared" si="952"/>
        <v>1.2</v>
      </c>
      <c r="FJ357" s="23">
        <f t="shared" si="1031"/>
        <v>1.4</v>
      </c>
      <c r="FK357" s="23">
        <f t="shared" si="1031"/>
        <v>1</v>
      </c>
      <c r="FL357" s="23">
        <f t="shared" si="1031"/>
        <v>1</v>
      </c>
      <c r="FM357" s="23">
        <f t="shared" si="923"/>
        <v>0</v>
      </c>
      <c r="FN357" s="23"/>
      <c r="FX357" s="4">
        <f t="shared" si="1099"/>
        <v>1</v>
      </c>
      <c r="FY357" s="4">
        <f t="shared" si="1139"/>
        <v>0.65706666666666669</v>
      </c>
      <c r="FZ357" s="4">
        <f t="shared" si="1100"/>
        <v>0.3</v>
      </c>
      <c r="GA357" s="4">
        <f t="shared" si="1101"/>
        <v>381.49939892093772</v>
      </c>
    </row>
    <row r="358" spans="1:183" ht="12" hidden="1" customHeight="1" x14ac:dyDescent="0.3">
      <c r="A358" s="25">
        <v>340</v>
      </c>
      <c r="B358" s="4" t="s">
        <v>605</v>
      </c>
      <c r="C358" s="4">
        <v>2016</v>
      </c>
      <c r="D358" s="4" t="s">
        <v>309</v>
      </c>
      <c r="E358" s="24" t="s">
        <v>671</v>
      </c>
      <c r="F358" s="7" t="s">
        <v>503</v>
      </c>
      <c r="G358" s="38">
        <f t="shared" si="1140"/>
        <v>827.58620689655174</v>
      </c>
      <c r="H358" s="38">
        <f>9.46*25.4</f>
        <v>240.28400000000002</v>
      </c>
      <c r="I358" s="4">
        <f t="shared" si="985"/>
        <v>240.28400000000002</v>
      </c>
      <c r="J358" s="38">
        <f>6790/145</f>
        <v>46.827586206896555</v>
      </c>
      <c r="K358" s="38">
        <f t="shared" si="986"/>
        <v>25.4</v>
      </c>
      <c r="L358" s="7">
        <f t="shared" si="987"/>
        <v>9.4600000000000009</v>
      </c>
      <c r="M358" s="7">
        <f t="shared" si="988"/>
        <v>9.4600000000000009</v>
      </c>
      <c r="N358" s="38">
        <f>12.3*25.4</f>
        <v>312.42</v>
      </c>
      <c r="O358" s="38">
        <f>2.5*25.4</f>
        <v>63.5</v>
      </c>
      <c r="P358" s="39">
        <f>3.1*25.4</f>
        <v>78.739999999999995</v>
      </c>
      <c r="Q358" s="7">
        <f t="shared" si="989"/>
        <v>54.610000000000014</v>
      </c>
      <c r="R358" s="38">
        <v>3</v>
      </c>
      <c r="S358" s="4">
        <f t="shared" si="966"/>
        <v>260.34999999999997</v>
      </c>
      <c r="T358" s="7">
        <f t="shared" si="990"/>
        <v>1.5750000000000004</v>
      </c>
      <c r="U358" s="7">
        <f t="shared" si="1127"/>
        <v>3</v>
      </c>
      <c r="V358" s="38">
        <v>4</v>
      </c>
      <c r="W358" s="4">
        <f t="shared" si="991"/>
        <v>4</v>
      </c>
      <c r="X358" s="4">
        <f t="shared" si="992"/>
        <v>5</v>
      </c>
      <c r="Y358" s="7">
        <f t="shared" si="993"/>
        <v>56.796126628494655</v>
      </c>
      <c r="AB358" s="38">
        <f t="shared" si="1038"/>
        <v>343.44827586206895</v>
      </c>
      <c r="AC358" s="4">
        <v>49.8</v>
      </c>
      <c r="AD358" s="4">
        <f t="shared" si="1159"/>
        <v>0.87917179348650509</v>
      </c>
      <c r="AE358" s="38"/>
      <c r="AF358" s="38"/>
      <c r="AG358" s="39">
        <v>1</v>
      </c>
      <c r="AH358" s="39"/>
      <c r="AI358" s="39"/>
      <c r="AJ358" s="7"/>
      <c r="AK358" s="4">
        <f t="shared" si="994"/>
        <v>240.28400000000002</v>
      </c>
      <c r="AL358" s="4">
        <f t="shared" ref="AL358:AL421" si="1175">IF(H358*3&gt;Q358+K358, N358, (O358+K358/2)*2+1.5*H358*(2*R358-2))*(3*H358)/(9*H358^2)</f>
        <v>0.43340380549682872</v>
      </c>
      <c r="AM358" s="4">
        <f t="shared" ref="AM358:AM421" si="1176">MIN(10*J358^0.5*H358^1.5,100*3.9*J358^0.5*H358^(5/3))/(PI()/4*K358^2)/R358</f>
        <v>167.67163383410892</v>
      </c>
      <c r="AN358" s="4">
        <f t="shared" ref="AN358:AN421" si="1177">MIN(0.7+0.3*(MIN(O358,S358)+0.5*K358)/1.5/H358,1)</f>
        <v>0.76342494714587739</v>
      </c>
      <c r="AO358" s="4">
        <v>1.25</v>
      </c>
      <c r="AP358" s="4">
        <f t="shared" si="1112"/>
        <v>2.5</v>
      </c>
      <c r="AQ358" s="38">
        <f t="shared" si="967"/>
        <v>173.36789891993814</v>
      </c>
      <c r="AR358" s="38">
        <f t="shared" ref="AR358:AR421" si="1178">AQ358</f>
        <v>173.36789891993814</v>
      </c>
      <c r="AS358" s="38">
        <f t="shared" ref="AS358:AS421" si="1179">IF(J358&lt;50, 0.3*J358^(2/3), 2.12*LN(1+0.1*(J358+8)))</f>
        <v>3.8975267336121062</v>
      </c>
      <c r="AT358" s="38">
        <f t="shared" si="1121"/>
        <v>173.3678989199382</v>
      </c>
      <c r="AU358" s="38">
        <f t="shared" si="1086"/>
        <v>0.99999999999999967</v>
      </c>
      <c r="AV358" s="38">
        <f t="shared" si="954"/>
        <v>2.3175033680296027</v>
      </c>
      <c r="AW358" s="4">
        <f t="shared" si="940"/>
        <v>0</v>
      </c>
      <c r="AX358" s="4">
        <f t="shared" si="995"/>
        <v>340.71277794937589</v>
      </c>
      <c r="AY358" s="4">
        <f t="shared" si="968"/>
        <v>1.3619047619047617</v>
      </c>
      <c r="AZ358" s="38">
        <f t="shared" si="1102"/>
        <v>401.78068965517252</v>
      </c>
      <c r="BA358" s="4">
        <f t="shared" si="969"/>
        <v>0.44000000000000006</v>
      </c>
      <c r="BB358" s="4">
        <f t="shared" si="970"/>
        <v>78.329867650561525</v>
      </c>
      <c r="BC358" s="4">
        <f t="shared" si="971"/>
        <v>480.11055730573406</v>
      </c>
      <c r="BE358" s="4">
        <f t="shared" si="1122"/>
        <v>1.375</v>
      </c>
      <c r="BF358" s="4">
        <f t="shared" si="1128"/>
        <v>549.31021447239357</v>
      </c>
      <c r="BH358" s="4">
        <f t="shared" si="1129"/>
        <v>385.35681595593957</v>
      </c>
      <c r="BI358" s="4">
        <f t="shared" si="1067"/>
        <v>0</v>
      </c>
      <c r="BJ358" s="4">
        <f t="shared" si="1130"/>
        <v>0</v>
      </c>
      <c r="BR358" s="4">
        <f t="shared" si="972"/>
        <v>27.305000000000007</v>
      </c>
      <c r="BV358" s="9"/>
      <c r="BX358" s="9"/>
      <c r="BY358" s="9"/>
      <c r="BZ358" s="9">
        <f t="shared" si="973"/>
        <v>27.305000000000007</v>
      </c>
      <c r="CA358" s="9">
        <f t="shared" si="974"/>
        <v>63.5</v>
      </c>
      <c r="CB358" s="9">
        <f t="shared" si="1087"/>
        <v>1.1767493410612269</v>
      </c>
      <c r="CC358" s="40">
        <f t="shared" si="996"/>
        <v>0</v>
      </c>
      <c r="CD358" s="9">
        <f t="shared" si="975"/>
        <v>0</v>
      </c>
      <c r="CE358" s="9">
        <f t="shared" si="976"/>
        <v>0</v>
      </c>
      <c r="CF358" s="9">
        <f t="shared" si="977"/>
        <v>0.99524931562137331</v>
      </c>
      <c r="CG358" s="9">
        <f t="shared" si="978"/>
        <v>0.68</v>
      </c>
      <c r="CH358" s="9">
        <f t="shared" si="1088"/>
        <v>1.6209130944490342</v>
      </c>
      <c r="CI358" s="9">
        <f t="shared" si="1089"/>
        <v>1.9074084158104152</v>
      </c>
      <c r="CJ358" s="40">
        <v>1</v>
      </c>
      <c r="CK358" s="9">
        <f t="shared" si="1090"/>
        <v>186.62083940289102</v>
      </c>
      <c r="CM358" s="4">
        <f t="shared" si="979"/>
        <v>1.008028750577413</v>
      </c>
      <c r="CN358" s="4">
        <f t="shared" si="980"/>
        <v>0.71535247587434603</v>
      </c>
      <c r="CO358" s="4">
        <f t="shared" si="946"/>
        <v>0.62523555326919822</v>
      </c>
      <c r="CP358" s="4">
        <f t="shared" si="981"/>
        <v>1.8403532904522368</v>
      </c>
      <c r="CQ358" s="4">
        <f t="shared" si="921"/>
        <v>0.87917179348650509</v>
      </c>
      <c r="CR358" s="4">
        <f t="shared" si="922"/>
        <v>0.90003950832799662</v>
      </c>
      <c r="CS358" s="4">
        <f t="shared" si="947"/>
        <v>1.2584341542185216</v>
      </c>
      <c r="CT358" s="4">
        <f t="shared" si="997"/>
        <v>0</v>
      </c>
      <c r="CU358" s="4">
        <f t="shared" ref="CU358:CV358" si="1180">CM358</f>
        <v>1.008028750577413</v>
      </c>
      <c r="CV358" s="4">
        <f t="shared" si="1180"/>
        <v>0.71535247587434603</v>
      </c>
      <c r="CW358" s="4">
        <f t="shared" ref="CW358" si="1181">CP358</f>
        <v>1.8403532904522368</v>
      </c>
      <c r="CX358" s="4">
        <f t="shared" si="1134"/>
        <v>1.2584341542185216</v>
      </c>
      <c r="CY358" s="4">
        <f t="shared" ref="CY358:CZ358" si="1182">CQ358</f>
        <v>0.87917179348650509</v>
      </c>
      <c r="CZ358" s="4">
        <f t="shared" si="1182"/>
        <v>0.90003950832799662</v>
      </c>
      <c r="DI358" s="4">
        <f t="shared" si="982"/>
        <v>240.28400000000002</v>
      </c>
      <c r="DL358" s="4">
        <f t="shared" si="1166"/>
        <v>1.8914259048600366E-5</v>
      </c>
      <c r="DM358" s="4">
        <f t="shared" si="1009"/>
        <v>7.4047571856479815</v>
      </c>
      <c r="DN358" s="4">
        <f t="shared" si="1167"/>
        <v>0.20454671916157116</v>
      </c>
      <c r="DO358" s="4">
        <f t="shared" si="1168"/>
        <v>3.9248930677358072</v>
      </c>
      <c r="DP358" s="4">
        <f t="shared" si="1169"/>
        <v>5.9282759587841678</v>
      </c>
      <c r="DQ358" s="4">
        <f t="shared" si="1170"/>
        <v>7.077824520316236</v>
      </c>
      <c r="DR358" s="38">
        <f t="shared" ref="DR358:DR421" si="1183">MIN(1/K358*(4*Y358*(DO358-DP358)+(3*DP358+DQ358)*H358)+DU358 -FB358,MAX(G358,AB358))</f>
        <v>390.64978927504768</v>
      </c>
      <c r="DS358" s="4">
        <f t="shared" si="1095"/>
        <v>1.0001010933452728</v>
      </c>
      <c r="DT358" s="4">
        <f t="shared" si="1171"/>
        <v>2.2360679774997898</v>
      </c>
      <c r="DU358" s="4">
        <f t="shared" si="1103"/>
        <v>173.3678989199382</v>
      </c>
      <c r="DY358" s="4">
        <f t="shared" si="1037"/>
        <v>0.85</v>
      </c>
      <c r="DZ358" s="4">
        <f t="shared" si="1096"/>
        <v>0.99249999999999994</v>
      </c>
      <c r="EA358" s="4">
        <f t="shared" ref="EA358:EA421" si="1184">MIN(1,MAX(0.7,1-0.3*(PI()*AE358^2/4*AI358*2-0.25*PI()/4*K358^2)/(PI()/4*K358^2)))</f>
        <v>1</v>
      </c>
      <c r="EB358" s="4">
        <f t="shared" si="1097"/>
        <v>0.99249999999999994</v>
      </c>
      <c r="ED358" s="4">
        <f t="shared" ref="ED358:ED421" si="1185">MIN(DM358/K358*3*H358+EE358-FB358,MAX(G358,AB358))</f>
        <v>381.59244420291373</v>
      </c>
      <c r="EE358" s="25">
        <f t="shared" ref="EE358:EE421" si="1186">13.3*N358*H358^0.5*J358^0.5/R358/K358^2*(0.7+O358/5/H358)</f>
        <v>171.44543527422402</v>
      </c>
      <c r="EG358" s="4">
        <f t="shared" si="1104"/>
        <v>0.84362499999999996</v>
      </c>
      <c r="EH358" s="4">
        <f t="shared" ref="EH358:EH421" si="1187">IF(K358&lt;22.2,1.1*5*(J358/30)^0.5,IF(K358&gt;=31.8,0.9*5*(J358/30)^0.5,1*5*(J358/30)^0.5))/DY358/EB358</f>
        <v>7.4047571856479815</v>
      </c>
      <c r="EK358" s="4">
        <f t="shared" si="1172"/>
        <v>56.796126628494655</v>
      </c>
      <c r="EL358" s="4">
        <f t="shared" si="1173"/>
        <v>2.2360679774997898</v>
      </c>
      <c r="EM358" s="4">
        <f t="shared" si="1174"/>
        <v>7.6538274900780523E-2</v>
      </c>
      <c r="EP358" s="4">
        <f t="shared" si="998"/>
        <v>7.6538274900780523E-2</v>
      </c>
      <c r="EQ358" s="4">
        <f t="shared" si="960"/>
        <v>0.20420536880961671</v>
      </c>
      <c r="ER358" s="4">
        <f t="shared" si="1010"/>
        <v>3.9222717888848462</v>
      </c>
      <c r="ES358" s="4">
        <f t="shared" si="983"/>
        <v>5.9274160600858794</v>
      </c>
      <c r="ET358" s="4">
        <f t="shared" si="1011"/>
        <v>123.41687337150537</v>
      </c>
      <c r="EU358" s="4">
        <f t="shared" si="1012"/>
        <v>60.070999999999998</v>
      </c>
      <c r="EV358" s="4">
        <f t="shared" si="1098"/>
        <v>1.8914259048600366E-5</v>
      </c>
      <c r="EW358" s="4">
        <f t="shared" si="984"/>
        <v>7.0778953539352774</v>
      </c>
      <c r="EX358" s="4">
        <f t="shared" si="1131"/>
        <v>390.61030117300407</v>
      </c>
      <c r="FG358" s="23">
        <f t="shared" si="1030"/>
        <v>1.2</v>
      </c>
      <c r="FH358" s="23">
        <f t="shared" si="1030"/>
        <v>0.8</v>
      </c>
      <c r="FI358" s="23">
        <f t="shared" si="952"/>
        <v>1.4</v>
      </c>
      <c r="FJ358" s="23">
        <f t="shared" si="1031"/>
        <v>2</v>
      </c>
      <c r="FK358" s="23">
        <f t="shared" si="1031"/>
        <v>1</v>
      </c>
      <c r="FL358" s="23">
        <f t="shared" si="1031"/>
        <v>1</v>
      </c>
      <c r="FM358" s="23">
        <f t="shared" si="923"/>
        <v>0</v>
      </c>
      <c r="FN358" s="23"/>
      <c r="FX358" s="4">
        <f t="shared" si="1099"/>
        <v>1</v>
      </c>
      <c r="FY358" s="4">
        <f t="shared" si="1139"/>
        <v>0.90416666666666656</v>
      </c>
      <c r="FZ358" s="4">
        <f t="shared" si="1100"/>
        <v>0</v>
      </c>
      <c r="GA358" s="4">
        <f t="shared" si="1101"/>
        <v>272.91716035420848</v>
      </c>
    </row>
    <row r="359" spans="1:183" ht="12" hidden="1" customHeight="1" x14ac:dyDescent="0.3">
      <c r="A359" s="25">
        <v>341</v>
      </c>
      <c r="B359" s="4" t="s">
        <v>605</v>
      </c>
      <c r="C359" s="4">
        <v>2016</v>
      </c>
      <c r="D359" s="4" t="s">
        <v>309</v>
      </c>
      <c r="E359" s="24" t="s">
        <v>671</v>
      </c>
      <c r="F359" s="7" t="s">
        <v>504</v>
      </c>
      <c r="G359" s="38">
        <f t="shared" si="1140"/>
        <v>827.58620689655174</v>
      </c>
      <c r="H359" s="38">
        <f>9.33*25.4</f>
        <v>236.982</v>
      </c>
      <c r="I359" s="4">
        <f t="shared" si="985"/>
        <v>236.982</v>
      </c>
      <c r="J359" s="38">
        <f>6650/145</f>
        <v>45.862068965517238</v>
      </c>
      <c r="K359" s="38">
        <f t="shared" si="986"/>
        <v>25.4</v>
      </c>
      <c r="L359" s="7">
        <f t="shared" si="987"/>
        <v>9.33</v>
      </c>
      <c r="M359" s="7">
        <f t="shared" si="988"/>
        <v>9.33</v>
      </c>
      <c r="N359" s="38">
        <f>12.1*25.4</f>
        <v>307.33999999999997</v>
      </c>
      <c r="O359" s="38">
        <f t="shared" si="999"/>
        <v>63.5</v>
      </c>
      <c r="P359" s="39">
        <f>3.23*25.4</f>
        <v>82.042000000000002</v>
      </c>
      <c r="Q359" s="7">
        <f t="shared" si="989"/>
        <v>52.069999999999993</v>
      </c>
      <c r="R359" s="38">
        <v>3</v>
      </c>
      <c r="S359" s="4">
        <f t="shared" si="966"/>
        <v>260.34999999999997</v>
      </c>
      <c r="T359" s="7">
        <f t="shared" si="990"/>
        <v>1.5249999999999999</v>
      </c>
      <c r="U359" s="7">
        <f t="shared" si="1127"/>
        <v>3</v>
      </c>
      <c r="V359" s="38">
        <v>4</v>
      </c>
      <c r="W359" s="4">
        <f t="shared" si="991"/>
        <v>4</v>
      </c>
      <c r="X359" s="4">
        <f t="shared" si="992"/>
        <v>5</v>
      </c>
      <c r="Y359" s="7">
        <f t="shared" si="993"/>
        <v>56.796126628494655</v>
      </c>
      <c r="AB359" s="38">
        <f t="shared" si="1038"/>
        <v>493.79310344827587</v>
      </c>
      <c r="AC359" s="4">
        <v>71.599999999999994</v>
      </c>
      <c r="AD359" s="4">
        <f t="shared" si="1159"/>
        <v>1.2347092535127056</v>
      </c>
      <c r="AE359" s="38">
        <f>0.375*25.4</f>
        <v>9.5249999999999986</v>
      </c>
      <c r="AF359" s="38">
        <v>10</v>
      </c>
      <c r="AG359" s="39">
        <f t="shared" ref="AG359" si="1188">3*25.4</f>
        <v>76.199999999999989</v>
      </c>
      <c r="AH359" s="39">
        <v>3</v>
      </c>
      <c r="AI359" s="39">
        <f>AH359-1</f>
        <v>2</v>
      </c>
      <c r="AJ359" s="7"/>
      <c r="AK359" s="4">
        <f t="shared" si="994"/>
        <v>236.982</v>
      </c>
      <c r="AL359" s="4">
        <f t="shared" si="1175"/>
        <v>0.43229724901750621</v>
      </c>
      <c r="AM359" s="4">
        <f t="shared" si="1176"/>
        <v>162.52541840444198</v>
      </c>
      <c r="AN359" s="4">
        <f t="shared" si="1177"/>
        <v>0.7643086816720257</v>
      </c>
      <c r="AO359" s="4">
        <v>1.25</v>
      </c>
      <c r="AP359" s="4">
        <f t="shared" si="1112"/>
        <v>2.5</v>
      </c>
      <c r="AQ359" s="38">
        <f t="shared" si="967"/>
        <v>167.81183214704026</v>
      </c>
      <c r="AR359" s="38">
        <f t="shared" si="1178"/>
        <v>167.81183214704026</v>
      </c>
      <c r="AS359" s="38">
        <f t="shared" si="1179"/>
        <v>3.8437666713572023</v>
      </c>
      <c r="AT359" s="38">
        <f t="shared" si="1121"/>
        <v>167.81183214704018</v>
      </c>
      <c r="AU359" s="38">
        <f t="shared" si="1086"/>
        <v>1.0000000000000004</v>
      </c>
      <c r="AV359" s="38">
        <f t="shared" si="954"/>
        <v>2.3120723877700602</v>
      </c>
      <c r="AW359" s="4">
        <f t="shared" si="940"/>
        <v>0</v>
      </c>
      <c r="AX359" s="4">
        <f t="shared" si="995"/>
        <v>332.54840129137875</v>
      </c>
      <c r="AY359" s="4">
        <f t="shared" si="968"/>
        <v>1.3868852459016394</v>
      </c>
      <c r="AZ359" s="38">
        <f t="shared" si="1102"/>
        <v>387.99310344827575</v>
      </c>
      <c r="BA359" s="4">
        <f t="shared" si="969"/>
        <v>0.44000000000000006</v>
      </c>
      <c r="BB359" s="4">
        <f t="shared" si="970"/>
        <v>76.452877456887975</v>
      </c>
      <c r="BC359" s="4">
        <f t="shared" si="971"/>
        <v>464.44598090516371</v>
      </c>
      <c r="BE359" s="4">
        <f t="shared" si="1122"/>
        <v>1.5</v>
      </c>
      <c r="BF359" s="4">
        <f t="shared" si="1128"/>
        <v>589.07581033256281</v>
      </c>
      <c r="BH359" s="4">
        <f t="shared" si="1129"/>
        <v>372.13283467160323</v>
      </c>
      <c r="BI359" s="4">
        <f t="shared" si="1067"/>
        <v>0</v>
      </c>
      <c r="BJ359" s="4">
        <f t="shared" si="1130"/>
        <v>0</v>
      </c>
      <c r="BR359" s="4">
        <f t="shared" si="972"/>
        <v>26.034999999999997</v>
      </c>
      <c r="BV359" s="9"/>
      <c r="BX359" s="9"/>
      <c r="BY359" s="9"/>
      <c r="BZ359" s="9">
        <f t="shared" si="973"/>
        <v>26.034999999999997</v>
      </c>
      <c r="CA359" s="9">
        <f t="shared" si="974"/>
        <v>63.5</v>
      </c>
      <c r="CB359" s="9">
        <f t="shared" si="1087"/>
        <v>1.1572957391947862</v>
      </c>
      <c r="CC359" s="40">
        <f t="shared" si="996"/>
        <v>20</v>
      </c>
      <c r="CD359" s="9">
        <f t="shared" si="975"/>
        <v>0.05</v>
      </c>
      <c r="CE359" s="9">
        <f t="shared" si="976"/>
        <v>0.8</v>
      </c>
      <c r="CF359" s="9">
        <f t="shared" si="977"/>
        <v>0.99524931562137331</v>
      </c>
      <c r="CG359" s="9">
        <f t="shared" si="978"/>
        <v>0.68</v>
      </c>
      <c r="CH359" s="9">
        <f t="shared" si="1088"/>
        <v>1.6041156142513788</v>
      </c>
      <c r="CI359" s="9">
        <f t="shared" si="1089"/>
        <v>3.1397286569500511</v>
      </c>
      <c r="CJ359" s="40">
        <v>1</v>
      </c>
      <c r="CK359" s="9">
        <f t="shared" si="1090"/>
        <v>305.55839289437898</v>
      </c>
      <c r="CM359" s="4">
        <f t="shared" si="979"/>
        <v>1.484875890338786</v>
      </c>
      <c r="CN359" s="4">
        <f t="shared" si="980"/>
        <v>1.0631873753884515</v>
      </c>
      <c r="CO359" s="4">
        <f t="shared" si="946"/>
        <v>0.83825051850203269</v>
      </c>
      <c r="CP359" s="4">
        <f t="shared" si="981"/>
        <v>1.6160351505021928</v>
      </c>
      <c r="CQ359" s="4">
        <f t="shared" ref="CQ359:CQ422" si="1189">AB359/DR359</f>
        <v>1.2347092535127056</v>
      </c>
      <c r="CR359" s="4">
        <f t="shared" ref="CR359:CR422" si="1190">AB359/ED359</f>
        <v>1.2625217719196895</v>
      </c>
      <c r="CS359" s="4">
        <f t="shared" si="947"/>
        <v>1.3530591037272715</v>
      </c>
      <c r="CT359" s="4">
        <f t="shared" si="997"/>
        <v>10</v>
      </c>
      <c r="DA359" s="4">
        <f t="shared" ref="DA359:DB359" si="1191">CM359</f>
        <v>1.484875890338786</v>
      </c>
      <c r="DB359" s="4">
        <f t="shared" si="1191"/>
        <v>1.0631873753884515</v>
      </c>
      <c r="DC359" s="4">
        <f t="shared" ref="DC359" si="1192">CP359</f>
        <v>1.6160351505021928</v>
      </c>
      <c r="DD359" s="4">
        <f t="shared" ref="DD359" si="1193">CS359</f>
        <v>1.3530591037272715</v>
      </c>
      <c r="DE359" s="4">
        <f t="shared" ref="DE359:DF359" si="1194">CQ359</f>
        <v>1.2347092535127056</v>
      </c>
      <c r="DF359" s="4">
        <f t="shared" si="1194"/>
        <v>1.2625217719196895</v>
      </c>
      <c r="DI359" s="4">
        <f t="shared" si="982"/>
        <v>236.982</v>
      </c>
      <c r="DL359" s="4">
        <f t="shared" si="1166"/>
        <v>1.8539158722916439E-5</v>
      </c>
      <c r="DM359" s="4">
        <f t="shared" si="1009"/>
        <v>8.0455613136194923</v>
      </c>
      <c r="DN359" s="4">
        <f t="shared" si="1167"/>
        <v>0.20215967934167123</v>
      </c>
      <c r="DO359" s="4">
        <f t="shared" si="1168"/>
        <v>4.2445745413968154</v>
      </c>
      <c r="DP359" s="4">
        <f t="shared" si="1169"/>
        <v>6.4347636804050365</v>
      </c>
      <c r="DQ359" s="4">
        <f t="shared" si="1170"/>
        <v>7.6736767082776174</v>
      </c>
      <c r="DR359" s="38">
        <f t="shared" si="1183"/>
        <v>399.92662405619086</v>
      </c>
      <c r="DS359" s="4">
        <f t="shared" si="1095"/>
        <v>1.0001056415089917</v>
      </c>
      <c r="DT359" s="4">
        <f t="shared" si="1171"/>
        <v>2.2360679774997898</v>
      </c>
      <c r="DU359" s="4">
        <f t="shared" si="1103"/>
        <v>167.81183214704018</v>
      </c>
      <c r="DY359" s="4">
        <f t="shared" si="1037"/>
        <v>0.85</v>
      </c>
      <c r="DZ359" s="4">
        <f t="shared" si="1096"/>
        <v>0.99750000000000005</v>
      </c>
      <c r="EA359" s="4">
        <f t="shared" si="1184"/>
        <v>0.90625</v>
      </c>
      <c r="EB359" s="4">
        <f t="shared" si="1097"/>
        <v>0.90398437500000006</v>
      </c>
      <c r="ED359" s="4">
        <f t="shared" si="1185"/>
        <v>391.11650541871734</v>
      </c>
      <c r="EE359" s="25">
        <f t="shared" si="1186"/>
        <v>165.92124425050773</v>
      </c>
      <c r="EG359" s="4">
        <f t="shared" si="1104"/>
        <v>0.76838671875000009</v>
      </c>
      <c r="EH359" s="4">
        <f t="shared" si="1187"/>
        <v>8.0455613136194923</v>
      </c>
      <c r="EK359" s="4">
        <f t="shared" si="1172"/>
        <v>56.796126628494655</v>
      </c>
      <c r="EL359" s="4">
        <f t="shared" si="1173"/>
        <v>2.2360679774997898</v>
      </c>
      <c r="EM359" s="4">
        <f t="shared" si="1174"/>
        <v>7.4861172859749275E-2</v>
      </c>
      <c r="EP359" s="4">
        <f t="shared" si="998"/>
        <v>7.4861172859749275E-2</v>
      </c>
      <c r="EQ359" s="4">
        <f t="shared" si="960"/>
        <v>0.20182231251429236</v>
      </c>
      <c r="ER359" s="4">
        <f t="shared" si="1010"/>
        <v>4.2417397600958529</v>
      </c>
      <c r="ES359" s="4">
        <f t="shared" si="983"/>
        <v>6.4338373512511406</v>
      </c>
      <c r="ET359" s="4">
        <f t="shared" si="1011"/>
        <v>120.94037337150536</v>
      </c>
      <c r="EU359" s="4">
        <f t="shared" si="1012"/>
        <v>59.245499999999993</v>
      </c>
      <c r="EV359" s="4">
        <f t="shared" si="1098"/>
        <v>1.8539158722916439E-5</v>
      </c>
      <c r="EW359" s="4">
        <f t="shared" si="984"/>
        <v>7.6737574455399828</v>
      </c>
      <c r="EX359" s="4">
        <f t="shared" si="1131"/>
        <v>399.8843796669006</v>
      </c>
      <c r="FG359" s="23">
        <f t="shared" si="1030"/>
        <v>1.6</v>
      </c>
      <c r="FH359" s="23">
        <f t="shared" si="1030"/>
        <v>1.2</v>
      </c>
      <c r="FI359" s="23">
        <f t="shared" si="952"/>
        <v>1.4</v>
      </c>
      <c r="FJ359" s="23">
        <f t="shared" si="1031"/>
        <v>1.8</v>
      </c>
      <c r="FK359" s="23">
        <f t="shared" si="1031"/>
        <v>1.4</v>
      </c>
      <c r="FL359" s="23">
        <f t="shared" si="1031"/>
        <v>1.4</v>
      </c>
      <c r="FM359" s="23">
        <f t="shared" ref="FM359:FM422" si="1195">IF(FK359&lt;1,1,0)</f>
        <v>0</v>
      </c>
      <c r="FN359" s="23"/>
      <c r="FX359" s="4">
        <f t="shared" si="1099"/>
        <v>1</v>
      </c>
      <c r="FY359" s="4">
        <f t="shared" si="1139"/>
        <v>0.66340624999999998</v>
      </c>
      <c r="FZ359" s="4">
        <f t="shared" si="1100"/>
        <v>0.28124999999999994</v>
      </c>
      <c r="GA359" s="4">
        <f t="shared" si="1101"/>
        <v>364.94570125430897</v>
      </c>
    </row>
    <row r="360" spans="1:183" ht="12" hidden="1" customHeight="1" x14ac:dyDescent="0.3">
      <c r="A360" s="25">
        <v>342</v>
      </c>
      <c r="B360" s="4" t="s">
        <v>605</v>
      </c>
      <c r="C360" s="4">
        <v>2016</v>
      </c>
      <c r="D360" s="4" t="s">
        <v>309</v>
      </c>
      <c r="E360" s="24" t="s">
        <v>505</v>
      </c>
      <c r="F360" s="7" t="s">
        <v>506</v>
      </c>
      <c r="G360" s="38">
        <f>129/0.145</f>
        <v>889.65517241379314</v>
      </c>
      <c r="H360" s="38">
        <f>6.09*25.4</f>
        <v>154.68599999999998</v>
      </c>
      <c r="I360" s="4">
        <f t="shared" si="985"/>
        <v>154.68599999999998</v>
      </c>
      <c r="J360" s="38">
        <f>4930/145</f>
        <v>34</v>
      </c>
      <c r="K360" s="38">
        <f t="shared" si="986"/>
        <v>25.4</v>
      </c>
      <c r="L360" s="7">
        <f t="shared" si="987"/>
        <v>6.09</v>
      </c>
      <c r="M360" s="7">
        <f t="shared" si="988"/>
        <v>6.09</v>
      </c>
      <c r="N360" s="38">
        <f>17.3*25.4</f>
        <v>439.42</v>
      </c>
      <c r="O360" s="38">
        <f>2.65*25.4</f>
        <v>67.309999999999988</v>
      </c>
      <c r="P360" s="39">
        <f>7.15*25.4</f>
        <v>181.60999999999999</v>
      </c>
      <c r="Q360" s="7">
        <f t="shared" si="989"/>
        <v>254.00000000000003</v>
      </c>
      <c r="R360" s="38">
        <v>2</v>
      </c>
      <c r="S360" s="4">
        <f t="shared" si="966"/>
        <v>260.34999999999997</v>
      </c>
      <c r="T360" s="7">
        <f t="shared" si="990"/>
        <v>3.1499999999999995</v>
      </c>
      <c r="U360" s="7">
        <f t="shared" si="1127"/>
        <v>3.1499999999999995</v>
      </c>
      <c r="V360" s="38">
        <v>4.0999999999999996</v>
      </c>
      <c r="W360" s="4">
        <f t="shared" si="991"/>
        <v>4.0999999999999996</v>
      </c>
      <c r="X360" s="4">
        <f t="shared" si="992"/>
        <v>5.0999999999999996</v>
      </c>
      <c r="Y360" s="7">
        <f t="shared" si="993"/>
        <v>57.361276136431961</v>
      </c>
      <c r="AB360" s="38">
        <f t="shared" si="1038"/>
        <v>250.34482758620689</v>
      </c>
      <c r="AC360" s="4">
        <v>36.299999999999997</v>
      </c>
      <c r="AD360" s="4">
        <f t="shared" si="1159"/>
        <v>0.60184794055467938</v>
      </c>
      <c r="AE360" s="38"/>
      <c r="AF360" s="38"/>
      <c r="AG360" s="39">
        <v>1</v>
      </c>
      <c r="AH360" s="39"/>
      <c r="AI360" s="39"/>
      <c r="AJ360" s="7"/>
      <c r="AK360" s="4">
        <f t="shared" si="994"/>
        <v>154.68599999999998</v>
      </c>
      <c r="AL360" s="4">
        <f t="shared" si="1175"/>
        <v>0.94690749863163681</v>
      </c>
      <c r="AM360" s="4">
        <f t="shared" si="1176"/>
        <v>110.69516759312566</v>
      </c>
      <c r="AN360" s="4">
        <f t="shared" si="1177"/>
        <v>0.80344827586206891</v>
      </c>
      <c r="AO360" s="4">
        <v>1.25</v>
      </c>
      <c r="AP360" s="4">
        <f t="shared" si="1112"/>
        <v>2.5</v>
      </c>
      <c r="AQ360" s="38">
        <f t="shared" si="967"/>
        <v>263.1747158588193</v>
      </c>
      <c r="AR360" s="38">
        <f t="shared" si="1178"/>
        <v>263.1747158588193</v>
      </c>
      <c r="AS360" s="38">
        <f t="shared" si="1179"/>
        <v>3.1485253868929024</v>
      </c>
      <c r="AT360" s="38">
        <f t="shared" si="1121"/>
        <v>263.17471585881947</v>
      </c>
      <c r="AU360" s="38">
        <f t="shared" si="1086"/>
        <v>0.99999999999999933</v>
      </c>
      <c r="AV360" s="38">
        <f t="shared" si="954"/>
        <v>1.6480380410763777</v>
      </c>
      <c r="AW360" s="4">
        <f t="shared" si="940"/>
        <v>0</v>
      </c>
      <c r="AX360" s="4">
        <f t="shared" si="995"/>
        <v>186.89735284004149</v>
      </c>
      <c r="AY360" s="4">
        <f t="shared" si="968"/>
        <v>1</v>
      </c>
      <c r="AZ360" s="38">
        <f t="shared" si="1102"/>
        <v>433.72194318480115</v>
      </c>
      <c r="BA360" s="4">
        <f t="shared" si="969"/>
        <v>0.42600000000000005</v>
      </c>
      <c r="BB360" s="4">
        <f t="shared" si="970"/>
        <v>41.600547281900631</v>
      </c>
      <c r="BC360" s="4">
        <f t="shared" si="971"/>
        <v>475.32249046670177</v>
      </c>
      <c r="BE360" s="4">
        <f t="shared" si="1122"/>
        <v>1.4124999999999999</v>
      </c>
      <c r="BF360" s="4">
        <f t="shared" si="1128"/>
        <v>397.56231774940795</v>
      </c>
      <c r="BH360" s="4">
        <f t="shared" si="1129"/>
        <v>415.99238425162616</v>
      </c>
      <c r="BI360" s="4">
        <f t="shared" si="1067"/>
        <v>0</v>
      </c>
      <c r="BJ360" s="4">
        <f t="shared" si="1130"/>
        <v>0</v>
      </c>
      <c r="BR360" s="4">
        <f t="shared" si="972"/>
        <v>67.309999999999988</v>
      </c>
      <c r="BV360" s="9"/>
      <c r="BX360" s="9"/>
      <c r="BY360" s="9"/>
      <c r="BZ360" s="9">
        <f t="shared" si="973"/>
        <v>67.309999999999988</v>
      </c>
      <c r="CA360" s="9">
        <f t="shared" si="974"/>
        <v>127.00000000000001</v>
      </c>
      <c r="CB360" s="9">
        <f t="shared" si="1087"/>
        <v>1.7905298128039189</v>
      </c>
      <c r="CC360" s="40">
        <f t="shared" si="996"/>
        <v>0</v>
      </c>
      <c r="CD360" s="9">
        <f t="shared" si="975"/>
        <v>0</v>
      </c>
      <c r="CE360" s="9">
        <f t="shared" si="976"/>
        <v>0</v>
      </c>
      <c r="CF360" s="9">
        <f t="shared" si="977"/>
        <v>0.99524931562137331</v>
      </c>
      <c r="CG360" s="9">
        <f t="shared" si="978"/>
        <v>0.68</v>
      </c>
      <c r="CH360" s="9">
        <f t="shared" si="1088"/>
        <v>1.3811737100982926</v>
      </c>
      <c r="CI360" s="9">
        <f t="shared" si="1089"/>
        <v>2.47303270459199</v>
      </c>
      <c r="CJ360" s="40">
        <v>1</v>
      </c>
      <c r="CK360" s="9">
        <f t="shared" si="1090"/>
        <v>208.62503895938028</v>
      </c>
      <c r="CM360" s="4">
        <f t="shared" si="979"/>
        <v>1.3394776532788442</v>
      </c>
      <c r="CN360" s="4">
        <f t="shared" si="980"/>
        <v>0.52668416203155555</v>
      </c>
      <c r="CO360" s="4">
        <f t="shared" si="946"/>
        <v>0.62969958773609069</v>
      </c>
      <c r="CP360" s="4">
        <f t="shared" si="981"/>
        <v>1.1999749830361903</v>
      </c>
      <c r="CQ360" s="4">
        <f t="shared" si="1189"/>
        <v>0.60184794055467938</v>
      </c>
      <c r="CR360" s="4">
        <f t="shared" si="1190"/>
        <v>0.63292489521379602</v>
      </c>
      <c r="CS360" s="4">
        <f t="shared" si="947"/>
        <v>0.8536087311591446</v>
      </c>
      <c r="CT360" s="4">
        <f t="shared" si="997"/>
        <v>0</v>
      </c>
      <c r="CU360" s="4">
        <f t="shared" ref="CU360:CV360" si="1196">CM360</f>
        <v>1.3394776532788442</v>
      </c>
      <c r="CV360" s="4">
        <f t="shared" si="1196"/>
        <v>0.52668416203155555</v>
      </c>
      <c r="CW360" s="4">
        <f t="shared" ref="CW360" si="1197">CP360</f>
        <v>1.1999749830361903</v>
      </c>
      <c r="CX360" s="4">
        <f t="shared" si="1134"/>
        <v>0.8536087311591446</v>
      </c>
      <c r="CY360" s="4">
        <f t="shared" ref="CY360:CZ360" si="1198">CQ360</f>
        <v>0.60184794055467938</v>
      </c>
      <c r="CZ360" s="4">
        <f t="shared" si="1198"/>
        <v>0.63292489521379602</v>
      </c>
      <c r="DI360" s="4">
        <f t="shared" si="982"/>
        <v>154.68599999999998</v>
      </c>
      <c r="DL360" s="4">
        <f t="shared" si="1166"/>
        <v>1.1184562953342657E-5</v>
      </c>
      <c r="DM360" s="4">
        <f t="shared" si="1009"/>
        <v>7.4996921088041866</v>
      </c>
      <c r="DN360" s="4">
        <f t="shared" si="1167"/>
        <v>0.42137335519387598</v>
      </c>
      <c r="DO360" s="4">
        <f t="shared" si="1168"/>
        <v>5.3077475974670776</v>
      </c>
      <c r="DP360" s="4">
        <f t="shared" si="1169"/>
        <v>6.4970943852018177</v>
      </c>
      <c r="DQ360" s="4">
        <f t="shared" si="1170"/>
        <v>7.3608087803503537</v>
      </c>
      <c r="DR360" s="38">
        <f t="shared" si="1183"/>
        <v>415.96026291206101</v>
      </c>
      <c r="DS360" s="4">
        <f t="shared" si="1095"/>
        <v>1.0001083931082033</v>
      </c>
      <c r="DT360" s="4">
        <f t="shared" si="1171"/>
        <v>2.2583179581272428</v>
      </c>
      <c r="DU360" s="4">
        <f t="shared" si="1103"/>
        <v>263.17471585881947</v>
      </c>
      <c r="DY360" s="4">
        <f t="shared" si="1037"/>
        <v>0.85</v>
      </c>
      <c r="DZ360" s="4">
        <f t="shared" si="1096"/>
        <v>0.83499999999999996</v>
      </c>
      <c r="EA360" s="4">
        <f t="shared" si="1184"/>
        <v>1</v>
      </c>
      <c r="EB360" s="4">
        <f t="shared" si="1097"/>
        <v>0.83499999999999996</v>
      </c>
      <c r="ED360" s="4">
        <f t="shared" si="1185"/>
        <v>395.53638903971819</v>
      </c>
      <c r="EE360" s="25">
        <f t="shared" si="1186"/>
        <v>258.51701421186567</v>
      </c>
      <c r="EG360" s="4">
        <f t="shared" si="1104"/>
        <v>0.70974999999999999</v>
      </c>
      <c r="EH360" s="4">
        <f t="shared" si="1187"/>
        <v>7.4996921088041866</v>
      </c>
      <c r="EK360" s="4">
        <f t="shared" si="1172"/>
        <v>57.361276136431961</v>
      </c>
      <c r="EL360" s="4">
        <f t="shared" si="1173"/>
        <v>2.2583179581272428</v>
      </c>
      <c r="EM360" s="4">
        <f t="shared" si="1174"/>
        <v>0.13435127560076568</v>
      </c>
      <c r="EP360" s="4">
        <f t="shared" si="998"/>
        <v>0.13435127560076568</v>
      </c>
      <c r="EQ360" s="4">
        <f t="shared" si="960"/>
        <v>0.42067016159737514</v>
      </c>
      <c r="ER360" s="4">
        <f t="shared" si="1010"/>
        <v>5.3042027654720734</v>
      </c>
      <c r="ES360" s="4">
        <f t="shared" si="983"/>
        <v>6.4956485988241024</v>
      </c>
      <c r="ET360" s="4">
        <f t="shared" si="1011"/>
        <v>58.653223863568023</v>
      </c>
      <c r="EU360" s="4">
        <f t="shared" si="1012"/>
        <v>38.671499999999988</v>
      </c>
      <c r="EV360" s="4">
        <f t="shared" si="1098"/>
        <v>1.1184562953342657E-5</v>
      </c>
      <c r="EW360" s="4">
        <f t="shared" si="984"/>
        <v>7.3608569622221749</v>
      </c>
      <c r="EX360" s="4">
        <f t="shared" si="1131"/>
        <v>415.91518057288977</v>
      </c>
      <c r="FG360" s="23">
        <f t="shared" si="1030"/>
        <v>1.4</v>
      </c>
      <c r="FH360" s="23">
        <f t="shared" si="1030"/>
        <v>0.6</v>
      </c>
      <c r="FI360" s="23">
        <f t="shared" si="952"/>
        <v>1</v>
      </c>
      <c r="FJ360" s="23">
        <f t="shared" si="1031"/>
        <v>1.2</v>
      </c>
      <c r="FK360" s="23">
        <f t="shared" si="1031"/>
        <v>0.8</v>
      </c>
      <c r="FL360" s="23">
        <f t="shared" si="1031"/>
        <v>0.8</v>
      </c>
      <c r="FM360" s="23">
        <f t="shared" si="1195"/>
        <v>1</v>
      </c>
      <c r="FN360" s="23"/>
      <c r="FX360" s="4">
        <f t="shared" si="1099"/>
        <v>1</v>
      </c>
      <c r="FY360" s="4">
        <f t="shared" si="1139"/>
        <v>0.5</v>
      </c>
      <c r="FZ360" s="4">
        <f t="shared" si="1100"/>
        <v>0</v>
      </c>
      <c r="GA360" s="4">
        <f t="shared" si="1101"/>
        <v>293.27819461998126</v>
      </c>
    </row>
    <row r="361" spans="1:183" ht="12" hidden="1" customHeight="1" x14ac:dyDescent="0.3">
      <c r="A361" s="25">
        <v>343</v>
      </c>
      <c r="B361" s="4" t="s">
        <v>605</v>
      </c>
      <c r="C361" s="4">
        <v>2016</v>
      </c>
      <c r="D361" s="4" t="s">
        <v>309</v>
      </c>
      <c r="E361" s="24" t="s">
        <v>505</v>
      </c>
      <c r="F361" s="7" t="s">
        <v>507</v>
      </c>
      <c r="G361" s="38">
        <f t="shared" ref="G361:G373" si="1199">129/0.145</f>
        <v>889.65517241379314</v>
      </c>
      <c r="H361" s="38">
        <f>6.25*25.4</f>
        <v>158.75</v>
      </c>
      <c r="I361" s="4">
        <f t="shared" si="985"/>
        <v>158.75</v>
      </c>
      <c r="J361" s="38">
        <f t="shared" ref="J361:J365" si="1200">4930/145</f>
        <v>34</v>
      </c>
      <c r="K361" s="38">
        <f t="shared" si="986"/>
        <v>25.4</v>
      </c>
      <c r="L361" s="7">
        <f t="shared" si="987"/>
        <v>6.25</v>
      </c>
      <c r="M361" s="7">
        <f t="shared" si="988"/>
        <v>6.25</v>
      </c>
      <c r="N361" s="38">
        <f>17.1*25.4</f>
        <v>434.34000000000003</v>
      </c>
      <c r="O361" s="38">
        <f>2.55*25.4</f>
        <v>64.77</v>
      </c>
      <c r="P361" s="39">
        <f>6.8*25.4</f>
        <v>172.72</v>
      </c>
      <c r="Q361" s="7">
        <f t="shared" si="989"/>
        <v>254.00000000000003</v>
      </c>
      <c r="R361" s="38">
        <v>2</v>
      </c>
      <c r="S361" s="4">
        <f t="shared" si="966"/>
        <v>260.34999999999997</v>
      </c>
      <c r="T361" s="7">
        <f t="shared" si="990"/>
        <v>3.05</v>
      </c>
      <c r="U361" s="7">
        <f t="shared" si="1127"/>
        <v>3.05</v>
      </c>
      <c r="V361" s="38">
        <v>4.0999999999999996</v>
      </c>
      <c r="W361" s="4">
        <f t="shared" si="991"/>
        <v>4.0999999999999996</v>
      </c>
      <c r="X361" s="4">
        <f t="shared" si="992"/>
        <v>5.0999999999999996</v>
      </c>
      <c r="Y361" s="7">
        <f t="shared" si="993"/>
        <v>57.361276136431961</v>
      </c>
      <c r="AB361" s="38">
        <f t="shared" si="1038"/>
        <v>442.06896551724139</v>
      </c>
      <c r="AC361" s="4">
        <v>64.099999999999994</v>
      </c>
      <c r="AD361" s="4">
        <f t="shared" si="1159"/>
        <v>1.0219610040497915</v>
      </c>
      <c r="AE361" s="38">
        <f>0.375*25.4</f>
        <v>9.5249999999999986</v>
      </c>
      <c r="AF361" s="38">
        <v>10</v>
      </c>
      <c r="AG361" s="39">
        <f t="shared" ref="AG361" si="1201">3*25.4</f>
        <v>76.199999999999989</v>
      </c>
      <c r="AH361" s="39">
        <v>3</v>
      </c>
      <c r="AI361" s="39">
        <f>AH361-1</f>
        <v>2</v>
      </c>
      <c r="AJ361" s="7"/>
      <c r="AK361" s="4">
        <f t="shared" si="994"/>
        <v>158.75</v>
      </c>
      <c r="AL361" s="4">
        <f t="shared" si="1175"/>
        <v>0.91200000000000003</v>
      </c>
      <c r="AM361" s="4">
        <f t="shared" si="1176"/>
        <v>115.08606717057168</v>
      </c>
      <c r="AN361" s="4">
        <f t="shared" si="1177"/>
        <v>0.79759999999999998</v>
      </c>
      <c r="AO361" s="4">
        <v>1.25</v>
      </c>
      <c r="AP361" s="4">
        <f t="shared" si="1112"/>
        <v>2.5</v>
      </c>
      <c r="AQ361" s="38">
        <f t="shared" si="967"/>
        <v>261.60904444945675</v>
      </c>
      <c r="AR361" s="38">
        <f t="shared" si="1178"/>
        <v>261.60904444945675</v>
      </c>
      <c r="AS361" s="38">
        <f t="shared" si="1179"/>
        <v>3.1485253868929024</v>
      </c>
      <c r="AT361" s="38">
        <f t="shared" si="1121"/>
        <v>261.60904444945697</v>
      </c>
      <c r="AU361" s="38">
        <f t="shared" si="1086"/>
        <v>0.99999999999999911</v>
      </c>
      <c r="AV361" s="38">
        <f t="shared" si="954"/>
        <v>1.6052693953730679</v>
      </c>
      <c r="AW361" s="4">
        <f t="shared" si="940"/>
        <v>0</v>
      </c>
      <c r="AX361" s="4">
        <f t="shared" si="995"/>
        <v>191.80762811991121</v>
      </c>
      <c r="AY361" s="4">
        <f t="shared" si="968"/>
        <v>1</v>
      </c>
      <c r="AZ361" s="38">
        <f t="shared" si="1102"/>
        <v>419.95299260750585</v>
      </c>
      <c r="BA361" s="4">
        <f t="shared" si="969"/>
        <v>0.42600000000000005</v>
      </c>
      <c r="BB361" s="4">
        <f t="shared" si="970"/>
        <v>42.693500905070444</v>
      </c>
      <c r="BC361" s="4">
        <f t="shared" si="971"/>
        <v>462.64649351257628</v>
      </c>
      <c r="BE361" s="4">
        <f t="shared" si="1122"/>
        <v>1.5</v>
      </c>
      <c r="BF361" s="4">
        <f t="shared" si="1128"/>
        <v>426.38835731056264</v>
      </c>
      <c r="BH361" s="4">
        <f t="shared" si="1129"/>
        <v>402.78627681506663</v>
      </c>
      <c r="BI361" s="4">
        <f t="shared" si="1067"/>
        <v>0</v>
      </c>
      <c r="BJ361" s="4">
        <f t="shared" si="1130"/>
        <v>0</v>
      </c>
      <c r="BR361" s="4">
        <f t="shared" si="972"/>
        <v>64.77</v>
      </c>
      <c r="BV361" s="9"/>
      <c r="BX361" s="9"/>
      <c r="BY361" s="9"/>
      <c r="BZ361" s="9">
        <f t="shared" si="973"/>
        <v>64.77</v>
      </c>
      <c r="CA361" s="9">
        <f t="shared" si="974"/>
        <v>127.00000000000001</v>
      </c>
      <c r="CB361" s="9">
        <f t="shared" si="1087"/>
        <v>1.7665851027593089</v>
      </c>
      <c r="CC361" s="40">
        <f t="shared" si="996"/>
        <v>20</v>
      </c>
      <c r="CD361" s="9">
        <f t="shared" si="975"/>
        <v>0.05</v>
      </c>
      <c r="CE361" s="9">
        <f t="shared" si="976"/>
        <v>0.8</v>
      </c>
      <c r="CF361" s="9">
        <f t="shared" si="977"/>
        <v>0.99524931562137331</v>
      </c>
      <c r="CG361" s="9">
        <f t="shared" si="978"/>
        <v>0.68</v>
      </c>
      <c r="CH361" s="9">
        <f t="shared" si="1088"/>
        <v>1.3811737100982926</v>
      </c>
      <c r="CI361" s="9">
        <f t="shared" si="1089"/>
        <v>3.4529342752457315</v>
      </c>
      <c r="CJ361" s="40">
        <v>1</v>
      </c>
      <c r="CK361" s="9">
        <f t="shared" si="1090"/>
        <v>293.49941339588719</v>
      </c>
      <c r="CM361" s="4">
        <f t="shared" si="979"/>
        <v>2.3047517444972305</v>
      </c>
      <c r="CN361" s="4">
        <f t="shared" si="980"/>
        <v>0.95552213561783861</v>
      </c>
      <c r="CO361" s="4">
        <f t="shared" si="946"/>
        <v>1.0367754136289835</v>
      </c>
      <c r="CP361" s="4">
        <f t="shared" si="981"/>
        <v>1.5062005078727565</v>
      </c>
      <c r="CQ361" s="4">
        <f t="shared" si="1189"/>
        <v>1.0219610040497915</v>
      </c>
      <c r="CR361" s="4">
        <f t="shared" si="1190"/>
        <v>1.0771457263688171</v>
      </c>
      <c r="CS361" s="4">
        <f t="shared" si="947"/>
        <v>1.3047954564429862</v>
      </c>
      <c r="CT361" s="4">
        <f t="shared" si="997"/>
        <v>10</v>
      </c>
      <c r="DA361" s="4">
        <f t="shared" ref="DA361:DB361" si="1202">CM361</f>
        <v>2.3047517444972305</v>
      </c>
      <c r="DB361" s="4">
        <f t="shared" si="1202"/>
        <v>0.95552213561783861</v>
      </c>
      <c r="DC361" s="4">
        <f t="shared" ref="DC361" si="1203">CP361</f>
        <v>1.5062005078727565</v>
      </c>
      <c r="DD361" s="4">
        <f t="shared" ref="DD361" si="1204">CS361</f>
        <v>1.3047954564429862</v>
      </c>
      <c r="DE361" s="4">
        <f t="shared" ref="DE361:DF361" si="1205">CQ361</f>
        <v>1.0219610040497915</v>
      </c>
      <c r="DF361" s="4">
        <f t="shared" si="1205"/>
        <v>1.0771457263688171</v>
      </c>
      <c r="DI361" s="4">
        <f t="shared" si="982"/>
        <v>158.75</v>
      </c>
      <c r="DL361" s="4">
        <f t="shared" si="1166"/>
        <v>1.1478410255893533E-5</v>
      </c>
      <c r="DM361" s="4">
        <f t="shared" si="1009"/>
        <v>8.177587151489405</v>
      </c>
      <c r="DN361" s="4">
        <f t="shared" si="1167"/>
        <v>0.41886653301401239</v>
      </c>
      <c r="DO361" s="4">
        <f t="shared" si="1168"/>
        <v>5.7737163759672434</v>
      </c>
      <c r="DP361" s="4">
        <f t="shared" si="1169"/>
        <v>7.0787409650505388</v>
      </c>
      <c r="DQ361" s="4">
        <f t="shared" si="1170"/>
        <v>8.0036021574330611</v>
      </c>
      <c r="DR361" s="38">
        <f t="shared" si="1183"/>
        <v>432.56930916681347</v>
      </c>
      <c r="DS361" s="4">
        <f t="shared" si="1095"/>
        <v>1.0001149489131735</v>
      </c>
      <c r="DT361" s="4">
        <f t="shared" si="1171"/>
        <v>2.2583179581272428</v>
      </c>
      <c r="DU361" s="4">
        <f t="shared" si="1103"/>
        <v>261.60904444945697</v>
      </c>
      <c r="DY361" s="4">
        <f t="shared" si="1037"/>
        <v>0.85</v>
      </c>
      <c r="DZ361" s="4">
        <f t="shared" si="1096"/>
        <v>0.84499999999999997</v>
      </c>
      <c r="EA361" s="4">
        <f t="shared" si="1184"/>
        <v>0.90625</v>
      </c>
      <c r="EB361" s="4">
        <f t="shared" si="1097"/>
        <v>0.76578124999999997</v>
      </c>
      <c r="ED361" s="4">
        <f t="shared" si="1185"/>
        <v>410.40776070987818</v>
      </c>
      <c r="EE361" s="25">
        <f t="shared" si="1186"/>
        <v>257.07800161945181</v>
      </c>
      <c r="EG361" s="4">
        <f t="shared" si="1104"/>
        <v>0.65091406249999995</v>
      </c>
      <c r="EH361" s="4">
        <f t="shared" si="1187"/>
        <v>8.177587151489405</v>
      </c>
      <c r="EK361" s="4">
        <f t="shared" si="1172"/>
        <v>57.361276136431961</v>
      </c>
      <c r="EL361" s="4">
        <f t="shared" si="1173"/>
        <v>2.2583179581272428</v>
      </c>
      <c r="EM361" s="4">
        <f t="shared" si="1174"/>
        <v>0.13355199687699823</v>
      </c>
      <c r="EP361" s="4">
        <f t="shared" si="998"/>
        <v>0.13355199687699823</v>
      </c>
      <c r="EQ361" s="4">
        <f t="shared" si="960"/>
        <v>0.41816752283652159</v>
      </c>
      <c r="ER361" s="4">
        <f t="shared" si="1010"/>
        <v>5.7698603420915218</v>
      </c>
      <c r="ES361" s="4">
        <f t="shared" si="983"/>
        <v>7.0771708001252911</v>
      </c>
      <c r="ET361" s="4">
        <f t="shared" si="1011"/>
        <v>61.701223863568039</v>
      </c>
      <c r="EU361" s="4">
        <f t="shared" si="1012"/>
        <v>39.687499999999993</v>
      </c>
      <c r="EV361" s="4">
        <f t="shared" si="1098"/>
        <v>1.1478410255893533E-5</v>
      </c>
      <c r="EW361" s="4">
        <f t="shared" si="984"/>
        <v>8.0036616471900555</v>
      </c>
      <c r="EX361" s="4">
        <f t="shared" si="1131"/>
        <v>432.51959150984317</v>
      </c>
      <c r="FG361" s="23">
        <f t="shared" si="1030"/>
        <v>2.2000000000000002</v>
      </c>
      <c r="FH361" s="23">
        <f t="shared" si="1030"/>
        <v>1</v>
      </c>
      <c r="FI361" s="23">
        <f t="shared" si="952"/>
        <v>1.4</v>
      </c>
      <c r="FJ361" s="23">
        <f t="shared" si="1031"/>
        <v>1.6</v>
      </c>
      <c r="FK361" s="23">
        <f t="shared" si="1031"/>
        <v>1.2</v>
      </c>
      <c r="FL361" s="23">
        <f t="shared" si="1031"/>
        <v>1.2</v>
      </c>
      <c r="FM361" s="23">
        <f t="shared" si="1195"/>
        <v>0</v>
      </c>
      <c r="FN361" s="23"/>
      <c r="FX361" s="4">
        <f t="shared" si="1099"/>
        <v>1</v>
      </c>
      <c r="FY361" s="4">
        <f t="shared" si="1139"/>
        <v>0.44418604651162791</v>
      </c>
      <c r="FZ361" s="4">
        <f t="shared" si="1100"/>
        <v>0.3</v>
      </c>
      <c r="GA361" s="4">
        <f t="shared" si="1101"/>
        <v>338.80326861527345</v>
      </c>
    </row>
    <row r="362" spans="1:183" ht="12" hidden="1" customHeight="1" x14ac:dyDescent="0.3">
      <c r="A362" s="25">
        <v>344</v>
      </c>
      <c r="B362" s="4" t="s">
        <v>605</v>
      </c>
      <c r="C362" s="4">
        <v>2016</v>
      </c>
      <c r="D362" s="4" t="s">
        <v>309</v>
      </c>
      <c r="E362" s="24" t="s">
        <v>672</v>
      </c>
      <c r="F362" s="7" t="s">
        <v>508</v>
      </c>
      <c r="G362" s="38">
        <f t="shared" si="1199"/>
        <v>889.65517241379314</v>
      </c>
      <c r="H362" s="38">
        <f>6.19*25.4</f>
        <v>157.226</v>
      </c>
      <c r="I362" s="4">
        <f t="shared" si="985"/>
        <v>157.226</v>
      </c>
      <c r="J362" s="38">
        <f t="shared" si="1200"/>
        <v>34</v>
      </c>
      <c r="K362" s="38">
        <f t="shared" si="986"/>
        <v>25.4</v>
      </c>
      <c r="L362" s="7">
        <f t="shared" si="987"/>
        <v>6.19</v>
      </c>
      <c r="M362" s="7">
        <f t="shared" si="988"/>
        <v>6.19</v>
      </c>
      <c r="N362" s="38">
        <f>12.6*25.4</f>
        <v>320.03999999999996</v>
      </c>
      <c r="O362" s="38">
        <f>2.65*25.4</f>
        <v>67.309999999999988</v>
      </c>
      <c r="P362" s="39">
        <f>6.5*25.4</f>
        <v>165.1</v>
      </c>
      <c r="Q362" s="7">
        <f t="shared" si="989"/>
        <v>54.61</v>
      </c>
      <c r="R362" s="38">
        <v>3</v>
      </c>
      <c r="S362" s="4">
        <f t="shared" si="966"/>
        <v>260.34999999999997</v>
      </c>
      <c r="T362" s="7">
        <f t="shared" si="990"/>
        <v>1.575</v>
      </c>
      <c r="U362" s="7">
        <f t="shared" si="1127"/>
        <v>3.1499999999999995</v>
      </c>
      <c r="V362" s="38">
        <v>4.0999999999999996</v>
      </c>
      <c r="W362" s="4">
        <f t="shared" si="991"/>
        <v>4.0999999999999996</v>
      </c>
      <c r="X362" s="4">
        <f t="shared" si="992"/>
        <v>5.0999999999999996</v>
      </c>
      <c r="Y362" s="7">
        <f t="shared" si="993"/>
        <v>57.361276136431961</v>
      </c>
      <c r="AB362" s="38">
        <f t="shared" si="1038"/>
        <v>180.00000000000003</v>
      </c>
      <c r="AC362" s="4">
        <v>26.1</v>
      </c>
      <c r="AD362" s="4">
        <f t="shared" si="1159"/>
        <v>0.7330357782373077</v>
      </c>
      <c r="AE362" s="38"/>
      <c r="AF362" s="38"/>
      <c r="AG362" s="39">
        <v>1</v>
      </c>
      <c r="AH362" s="39"/>
      <c r="AI362" s="39"/>
      <c r="AJ362" s="7"/>
      <c r="AK362" s="4">
        <f t="shared" si="994"/>
        <v>157.226</v>
      </c>
      <c r="AL362" s="4">
        <f t="shared" si="1175"/>
        <v>0.67851373182552488</v>
      </c>
      <c r="AM362" s="4">
        <f t="shared" si="1176"/>
        <v>75.621874376410929</v>
      </c>
      <c r="AN362" s="4">
        <f t="shared" si="1177"/>
        <v>0.80177705977382874</v>
      </c>
      <c r="AO362" s="4">
        <v>1.25</v>
      </c>
      <c r="AP362" s="4">
        <f t="shared" si="1112"/>
        <v>2.5</v>
      </c>
      <c r="AQ362" s="38">
        <f t="shared" si="967"/>
        <v>128.56114357170802</v>
      </c>
      <c r="AR362" s="38">
        <f t="shared" si="1178"/>
        <v>128.56114357170802</v>
      </c>
      <c r="AS362" s="38">
        <f t="shared" si="1179"/>
        <v>3.1485253868929024</v>
      </c>
      <c r="AT362" s="38">
        <f t="shared" si="1121"/>
        <v>128.56114357170804</v>
      </c>
      <c r="AU362" s="38">
        <f t="shared" si="1086"/>
        <v>0.99999999999999978</v>
      </c>
      <c r="AV362" s="38">
        <f t="shared" si="954"/>
        <v>2.3615639359960867</v>
      </c>
      <c r="AW362" s="4">
        <f t="shared" si="940"/>
        <v>0</v>
      </c>
      <c r="AX362" s="4">
        <f t="shared" si="995"/>
        <v>189.96627488996009</v>
      </c>
      <c r="AY362" s="4">
        <f t="shared" si="968"/>
        <v>1.4</v>
      </c>
      <c r="AZ362" s="38">
        <f t="shared" si="1102"/>
        <v>303.60536022936083</v>
      </c>
      <c r="BA362" s="4">
        <f t="shared" si="969"/>
        <v>0.42600000000000005</v>
      </c>
      <c r="BB362" s="4">
        <f t="shared" si="970"/>
        <v>42.283643296381761</v>
      </c>
      <c r="BC362" s="4">
        <f t="shared" si="971"/>
        <v>345.88900352574257</v>
      </c>
      <c r="BE362" s="4">
        <f t="shared" si="1122"/>
        <v>1.4124999999999999</v>
      </c>
      <c r="BF362" s="4">
        <f t="shared" si="1128"/>
        <v>400.03318361484872</v>
      </c>
      <c r="BH362" s="4">
        <f t="shared" si="1129"/>
        <v>291.19466897613836</v>
      </c>
      <c r="BI362" s="4">
        <f t="shared" si="1067"/>
        <v>0</v>
      </c>
      <c r="BJ362" s="4">
        <f t="shared" si="1130"/>
        <v>0</v>
      </c>
      <c r="BR362" s="4">
        <f t="shared" si="972"/>
        <v>27.305</v>
      </c>
      <c r="BV362" s="9"/>
      <c r="BX362" s="9"/>
      <c r="BY362" s="9"/>
      <c r="BZ362" s="9">
        <f t="shared" si="973"/>
        <v>27.305</v>
      </c>
      <c r="CA362" s="9">
        <f t="shared" si="974"/>
        <v>67.309999999999988</v>
      </c>
      <c r="CB362" s="9">
        <f t="shared" si="1087"/>
        <v>1.1870796051742518</v>
      </c>
      <c r="CC362" s="40">
        <f t="shared" si="996"/>
        <v>0</v>
      </c>
      <c r="CD362" s="9">
        <f t="shared" si="975"/>
        <v>0</v>
      </c>
      <c r="CE362" s="9">
        <f t="shared" si="976"/>
        <v>0</v>
      </c>
      <c r="CF362" s="9">
        <f t="shared" si="977"/>
        <v>0.99524931562137331</v>
      </c>
      <c r="CG362" s="9">
        <f t="shared" si="978"/>
        <v>0.68</v>
      </c>
      <c r="CH362" s="9">
        <f t="shared" si="1088"/>
        <v>1.3811737100982926</v>
      </c>
      <c r="CI362" s="9">
        <f t="shared" si="1089"/>
        <v>1.6395631424605377</v>
      </c>
      <c r="CJ362" s="40">
        <v>1</v>
      </c>
      <c r="CK362" s="9">
        <f t="shared" si="1090"/>
        <v>138.96937195495516</v>
      </c>
      <c r="CM362" s="4">
        <f t="shared" si="979"/>
        <v>0.94753660934956419</v>
      </c>
      <c r="CN362" s="4">
        <f t="shared" si="980"/>
        <v>0.52039815711170379</v>
      </c>
      <c r="CO362" s="4">
        <f t="shared" si="946"/>
        <v>0.44996267153002917</v>
      </c>
      <c r="CP362" s="4">
        <f t="shared" si="981"/>
        <v>1.2952494313519984</v>
      </c>
      <c r="CQ362" s="4">
        <f t="shared" si="1189"/>
        <v>0.7330357782373077</v>
      </c>
      <c r="CR362" s="4">
        <f t="shared" si="1190"/>
        <v>0.73924512696546085</v>
      </c>
      <c r="CS362" s="4">
        <f t="shared" si="947"/>
        <v>1.0919377043810194</v>
      </c>
      <c r="CT362" s="4">
        <f t="shared" si="997"/>
        <v>0</v>
      </c>
      <c r="CU362" s="4">
        <f t="shared" ref="CU362:CV362" si="1206">CM362</f>
        <v>0.94753660934956419</v>
      </c>
      <c r="CV362" s="4">
        <f t="shared" si="1206"/>
        <v>0.52039815711170379</v>
      </c>
      <c r="CW362" s="4">
        <f t="shared" ref="CW362" si="1207">CP362</f>
        <v>1.2952494313519984</v>
      </c>
      <c r="CX362" s="4">
        <f t="shared" si="1134"/>
        <v>1.0919377043810194</v>
      </c>
      <c r="CY362" s="4">
        <f t="shared" ref="CY362:CZ362" si="1208">CQ362</f>
        <v>0.7330357782373077</v>
      </c>
      <c r="CZ362" s="4">
        <f t="shared" si="1208"/>
        <v>0.73924512696546085</v>
      </c>
      <c r="DI362" s="4">
        <f t="shared" si="982"/>
        <v>157.226</v>
      </c>
      <c r="DL362" s="4">
        <f t="shared" si="1166"/>
        <v>1.1368217517436956E-5</v>
      </c>
      <c r="DM362" s="4">
        <f t="shared" si="1009"/>
        <v>6.3095646456942012</v>
      </c>
      <c r="DN362" s="4">
        <f t="shared" si="1167"/>
        <v>0.20584135614088789</v>
      </c>
      <c r="DO362" s="4">
        <f t="shared" si="1168"/>
        <v>3.3528370591019918</v>
      </c>
      <c r="DP362" s="4">
        <f t="shared" si="1169"/>
        <v>5.0542367447448244</v>
      </c>
      <c r="DQ362" s="4">
        <f t="shared" si="1170"/>
        <v>6.2205277389850355</v>
      </c>
      <c r="DR362" s="38">
        <f t="shared" si="1183"/>
        <v>245.55418076977975</v>
      </c>
      <c r="DS362" s="4">
        <f t="shared" si="1095"/>
        <v>1.0001103516405332</v>
      </c>
      <c r="DT362" s="4">
        <f t="shared" si="1171"/>
        <v>2.2583179581272428</v>
      </c>
      <c r="DU362" s="4">
        <f t="shared" si="1103"/>
        <v>128.56114357170804</v>
      </c>
      <c r="DY362" s="4">
        <f t="shared" si="1037"/>
        <v>0.85</v>
      </c>
      <c r="DZ362" s="4">
        <f t="shared" si="1096"/>
        <v>0.99250000000000005</v>
      </c>
      <c r="EA362" s="4">
        <f t="shared" si="1184"/>
        <v>1</v>
      </c>
      <c r="EB362" s="4">
        <f t="shared" si="1097"/>
        <v>0.99250000000000005</v>
      </c>
      <c r="ED362" s="4">
        <f t="shared" si="1185"/>
        <v>243.49162873603905</v>
      </c>
      <c r="EE362" s="25">
        <f t="shared" si="1186"/>
        <v>126.32301326549774</v>
      </c>
      <c r="EG362" s="4">
        <f t="shared" si="1104"/>
        <v>0.84362500000000007</v>
      </c>
      <c r="EH362" s="4">
        <f t="shared" si="1187"/>
        <v>6.3095646456942012</v>
      </c>
      <c r="EK362" s="4">
        <f t="shared" si="1172"/>
        <v>57.361276136431961</v>
      </c>
      <c r="EL362" s="4">
        <f t="shared" si="1173"/>
        <v>2.2583179581272428</v>
      </c>
      <c r="EM362" s="4">
        <f t="shared" si="1174"/>
        <v>6.5630748665148883E-2</v>
      </c>
      <c r="EP362" s="4">
        <f t="shared" si="998"/>
        <v>6.5630748665148883E-2</v>
      </c>
      <c r="EQ362" s="4">
        <f t="shared" si="960"/>
        <v>0.2054978452811024</v>
      </c>
      <c r="ER362" s="4">
        <f t="shared" si="1010"/>
        <v>3.3505978335429596</v>
      </c>
      <c r="ES362" s="4">
        <f t="shared" si="983"/>
        <v>5.0535006437785883</v>
      </c>
      <c r="ET362" s="4">
        <f t="shared" si="1011"/>
        <v>60.558223863568038</v>
      </c>
      <c r="EU362" s="4">
        <f t="shared" si="1012"/>
        <v>39.306499999999993</v>
      </c>
      <c r="EV362" s="4">
        <f t="shared" si="1098"/>
        <v>1.1368217517436953E-5</v>
      </c>
      <c r="EW362" s="4">
        <f t="shared" si="984"/>
        <v>6.2205524903909168</v>
      </c>
      <c r="EX362" s="4">
        <f t="shared" si="1131"/>
        <v>245.52708645299433</v>
      </c>
      <c r="FG362" s="23">
        <f t="shared" si="1030"/>
        <v>1</v>
      </c>
      <c r="FH362" s="23">
        <f t="shared" si="1030"/>
        <v>0.6</v>
      </c>
      <c r="FI362" s="23">
        <f t="shared" si="952"/>
        <v>1.2</v>
      </c>
      <c r="FJ362" s="23">
        <f t="shared" si="1031"/>
        <v>1.4</v>
      </c>
      <c r="FK362" s="23">
        <f t="shared" si="1031"/>
        <v>0.8</v>
      </c>
      <c r="FL362" s="23">
        <f t="shared" si="1031"/>
        <v>0.8</v>
      </c>
      <c r="FM362" s="23">
        <f t="shared" si="1195"/>
        <v>1</v>
      </c>
      <c r="FN362" s="23"/>
      <c r="FX362" s="4">
        <f t="shared" si="1099"/>
        <v>1</v>
      </c>
      <c r="FY362" s="4">
        <f t="shared" si="1139"/>
        <v>0.90416666666666656</v>
      </c>
      <c r="FZ362" s="4">
        <f t="shared" si="1100"/>
        <v>0</v>
      </c>
      <c r="GA362" s="4">
        <f t="shared" si="1101"/>
        <v>164.84456876780862</v>
      </c>
    </row>
    <row r="363" spans="1:183" ht="12" hidden="1" customHeight="1" x14ac:dyDescent="0.3">
      <c r="A363" s="25">
        <v>345</v>
      </c>
      <c r="B363" s="4" t="s">
        <v>605</v>
      </c>
      <c r="C363" s="4">
        <v>2016</v>
      </c>
      <c r="D363" s="4" t="s">
        <v>309</v>
      </c>
      <c r="E363" s="24" t="s">
        <v>672</v>
      </c>
      <c r="F363" s="7" t="s">
        <v>509</v>
      </c>
      <c r="G363" s="38">
        <f t="shared" si="1199"/>
        <v>889.65517241379314</v>
      </c>
      <c r="H363" s="38">
        <f>6*25.4</f>
        <v>152.39999999999998</v>
      </c>
      <c r="I363" s="4">
        <f t="shared" si="985"/>
        <v>152.39999999999998</v>
      </c>
      <c r="J363" s="38">
        <f t="shared" si="1200"/>
        <v>34</v>
      </c>
      <c r="K363" s="38">
        <f t="shared" si="986"/>
        <v>25.4</v>
      </c>
      <c r="L363" s="7">
        <f t="shared" si="987"/>
        <v>5.9999999999999991</v>
      </c>
      <c r="M363" s="7">
        <f t="shared" si="988"/>
        <v>5.9999999999999991</v>
      </c>
      <c r="N363" s="38">
        <f>12.5*25.4</f>
        <v>317.5</v>
      </c>
      <c r="O363" s="38">
        <f>2.55*25.4</f>
        <v>64.77</v>
      </c>
      <c r="P363" s="39">
        <f>7*25.4</f>
        <v>177.79999999999998</v>
      </c>
      <c r="Q363" s="7">
        <f t="shared" si="989"/>
        <v>55.88000000000001</v>
      </c>
      <c r="R363" s="38">
        <v>3</v>
      </c>
      <c r="S363" s="4">
        <f t="shared" si="966"/>
        <v>260.34999999999997</v>
      </c>
      <c r="T363" s="7">
        <f t="shared" si="990"/>
        <v>1.6000000000000003</v>
      </c>
      <c r="U363" s="7">
        <f t="shared" si="1127"/>
        <v>3.05</v>
      </c>
      <c r="V363" s="38">
        <v>4.0999999999999996</v>
      </c>
      <c r="W363" s="4">
        <f t="shared" si="991"/>
        <v>4.0999999999999996</v>
      </c>
      <c r="X363" s="4">
        <f t="shared" si="992"/>
        <v>5.0999999999999996</v>
      </c>
      <c r="Y363" s="7">
        <f t="shared" si="993"/>
        <v>57.361276136431961</v>
      </c>
      <c r="AB363" s="38">
        <f t="shared" si="1038"/>
        <v>280.00000000000006</v>
      </c>
      <c r="AC363" s="4">
        <v>40.6</v>
      </c>
      <c r="AD363" s="4">
        <f t="shared" si="1159"/>
        <v>1.1198131819366681</v>
      </c>
      <c r="AE363" s="38">
        <f>0.375*25.4</f>
        <v>9.5249999999999986</v>
      </c>
      <c r="AF363" s="38">
        <v>10</v>
      </c>
      <c r="AG363" s="39">
        <f t="shared" ref="AG363" si="1209">3*25.4</f>
        <v>76.199999999999989</v>
      </c>
      <c r="AH363" s="39">
        <v>3</v>
      </c>
      <c r="AI363" s="39">
        <f>AH363-1</f>
        <v>2</v>
      </c>
      <c r="AJ363" s="7"/>
      <c r="AK363" s="4">
        <f t="shared" si="994"/>
        <v>152.39999999999998</v>
      </c>
      <c r="AL363" s="4">
        <f t="shared" si="1175"/>
        <v>0.69444444444444442</v>
      </c>
      <c r="AM363" s="4">
        <f t="shared" si="1176"/>
        <v>72.166948114322295</v>
      </c>
      <c r="AN363" s="4">
        <f t="shared" si="1177"/>
        <v>0.80166666666666664</v>
      </c>
      <c r="AO363" s="4">
        <v>1.25</v>
      </c>
      <c r="AP363" s="4">
        <f t="shared" si="1112"/>
        <v>2.5</v>
      </c>
      <c r="AQ363" s="38">
        <f t="shared" si="967"/>
        <v>125.55086097724617</v>
      </c>
      <c r="AR363" s="38">
        <f t="shared" si="1178"/>
        <v>125.55086097724617</v>
      </c>
      <c r="AS363" s="38">
        <f t="shared" si="1179"/>
        <v>3.1485253868929024</v>
      </c>
      <c r="AT363" s="38">
        <f t="shared" si="1121"/>
        <v>125.55086097724615</v>
      </c>
      <c r="AU363" s="38">
        <f t="shared" si="1086"/>
        <v>1.0000000000000002</v>
      </c>
      <c r="AV363" s="38">
        <f t="shared" si="954"/>
        <v>2.3907691293286812</v>
      </c>
      <c r="AW363" s="4">
        <f t="shared" si="940"/>
        <v>0</v>
      </c>
      <c r="AX363" s="4">
        <f t="shared" si="995"/>
        <v>184.13532299511473</v>
      </c>
      <c r="AY363" s="4">
        <f t="shared" si="968"/>
        <v>1.3624999999999998</v>
      </c>
      <c r="AZ363" s="38">
        <f t="shared" si="1102"/>
        <v>300.16312258503706</v>
      </c>
      <c r="BA363" s="4">
        <f t="shared" si="969"/>
        <v>0.42600000000000005</v>
      </c>
      <c r="BB363" s="4">
        <f t="shared" si="970"/>
        <v>40.985760868867615</v>
      </c>
      <c r="BC363" s="4">
        <f t="shared" si="971"/>
        <v>341.14888345390466</v>
      </c>
      <c r="BE363" s="4">
        <f t="shared" si="1122"/>
        <v>1.5</v>
      </c>
      <c r="BF363" s="4">
        <f t="shared" si="1128"/>
        <v>419.82853642886164</v>
      </c>
      <c r="BH363" s="4">
        <f t="shared" si="1129"/>
        <v>287.89314211699849</v>
      </c>
      <c r="BI363" s="4">
        <f t="shared" si="1067"/>
        <v>0</v>
      </c>
      <c r="BJ363" s="4">
        <f t="shared" si="1130"/>
        <v>0</v>
      </c>
      <c r="BR363" s="4">
        <f t="shared" si="972"/>
        <v>27.940000000000005</v>
      </c>
      <c r="BV363" s="9"/>
      <c r="BX363" s="9"/>
      <c r="BY363" s="9"/>
      <c r="BZ363" s="9">
        <f t="shared" si="973"/>
        <v>27.940000000000005</v>
      </c>
      <c r="CA363" s="9">
        <f t="shared" si="974"/>
        <v>64.77</v>
      </c>
      <c r="CB363" s="9">
        <f t="shared" si="1087"/>
        <v>1.1897849384592458</v>
      </c>
      <c r="CC363" s="40">
        <f t="shared" si="996"/>
        <v>20</v>
      </c>
      <c r="CD363" s="9">
        <f t="shared" si="975"/>
        <v>0.05</v>
      </c>
      <c r="CE363" s="9">
        <f t="shared" si="976"/>
        <v>0.8</v>
      </c>
      <c r="CF363" s="9">
        <f t="shared" si="977"/>
        <v>0.99524931562137331</v>
      </c>
      <c r="CG363" s="9">
        <f t="shared" si="978"/>
        <v>0.68</v>
      </c>
      <c r="CH363" s="9">
        <f t="shared" si="1088"/>
        <v>1.3811737100982926</v>
      </c>
      <c r="CI363" s="9">
        <f t="shared" si="1089"/>
        <v>2.7482386457494594</v>
      </c>
      <c r="CJ363" s="40">
        <v>1</v>
      </c>
      <c r="CK363" s="9">
        <f t="shared" si="1090"/>
        <v>230.8520462429546</v>
      </c>
      <c r="CM363" s="4">
        <f t="shared" si="979"/>
        <v>1.5206207882635787</v>
      </c>
      <c r="CN363" s="4">
        <f t="shared" si="980"/>
        <v>0.82075602055380337</v>
      </c>
      <c r="CO363" s="4">
        <f t="shared" si="946"/>
        <v>0.6669389422208678</v>
      </c>
      <c r="CP363" s="4">
        <f t="shared" si="981"/>
        <v>1.2128980641796907</v>
      </c>
      <c r="CQ363" s="4">
        <f t="shared" si="1189"/>
        <v>1.1198131819366681</v>
      </c>
      <c r="CR363" s="4">
        <f t="shared" si="1190"/>
        <v>1.1248507186141501</v>
      </c>
      <c r="CS363" s="4">
        <f t="shared" si="947"/>
        <v>1.2840983524179472</v>
      </c>
      <c r="CT363" s="4">
        <f t="shared" si="997"/>
        <v>10</v>
      </c>
      <c r="DA363" s="4">
        <f t="shared" ref="DA363:DB363" si="1210">CM363</f>
        <v>1.5206207882635787</v>
      </c>
      <c r="DB363" s="4">
        <f t="shared" si="1210"/>
        <v>0.82075602055380337</v>
      </c>
      <c r="DC363" s="4">
        <f t="shared" ref="DC363" si="1211">CP363</f>
        <v>1.2128980641796907</v>
      </c>
      <c r="DD363" s="4">
        <f t="shared" ref="DD363" si="1212">CS363</f>
        <v>1.2840983524179472</v>
      </c>
      <c r="DE363" s="4">
        <f t="shared" ref="DE363:DF363" si="1213">CQ363</f>
        <v>1.1198131819366681</v>
      </c>
      <c r="DF363" s="4">
        <f t="shared" si="1213"/>
        <v>1.1248507186141501</v>
      </c>
      <c r="DI363" s="4">
        <f t="shared" si="982"/>
        <v>152.39999999999998</v>
      </c>
      <c r="DL363" s="4">
        <f t="shared" si="1166"/>
        <v>1.1019273845657792E-5</v>
      </c>
      <c r="DM363" s="4">
        <f t="shared" si="1009"/>
        <v>6.9798597404126728</v>
      </c>
      <c r="DN363" s="4">
        <f t="shared" si="1167"/>
        <v>0.20102154329233674</v>
      </c>
      <c r="DO363" s="4">
        <f t="shared" si="1168"/>
        <v>3.6740387860336368</v>
      </c>
      <c r="DP363" s="4">
        <f t="shared" si="1169"/>
        <v>5.57971310662895</v>
      </c>
      <c r="DQ363" s="4">
        <f t="shared" si="1170"/>
        <v>6.8784141138402219</v>
      </c>
      <c r="DR363" s="38">
        <f t="shared" si="1183"/>
        <v>250.04170741743926</v>
      </c>
      <c r="DS363" s="4">
        <f t="shared" si="1095"/>
        <v>1.0001166744690648</v>
      </c>
      <c r="DT363" s="4">
        <f t="shared" si="1171"/>
        <v>2.2583179581272428</v>
      </c>
      <c r="DU363" s="4">
        <f t="shared" si="1103"/>
        <v>125.55086097724615</v>
      </c>
      <c r="DY363" s="4">
        <f t="shared" si="1037"/>
        <v>0.85</v>
      </c>
      <c r="DZ363" s="4">
        <f t="shared" si="1096"/>
        <v>0.99</v>
      </c>
      <c r="EA363" s="4">
        <f t="shared" si="1184"/>
        <v>0.90625</v>
      </c>
      <c r="EB363" s="4">
        <f t="shared" si="1097"/>
        <v>0.89718750000000003</v>
      </c>
      <c r="ED363" s="4">
        <f t="shared" si="1185"/>
        <v>248.92191947476238</v>
      </c>
      <c r="EE363" s="25">
        <f t="shared" si="1186"/>
        <v>123.28444414733428</v>
      </c>
      <c r="EG363" s="4">
        <f t="shared" si="1104"/>
        <v>0.76260937500000003</v>
      </c>
      <c r="EH363" s="4">
        <f t="shared" si="1187"/>
        <v>6.9798597404126728</v>
      </c>
      <c r="EK363" s="4">
        <f t="shared" si="1172"/>
        <v>57.361276136431961</v>
      </c>
      <c r="EL363" s="4">
        <f t="shared" si="1173"/>
        <v>2.2583179581272428</v>
      </c>
      <c r="EM363" s="4">
        <f t="shared" si="1174"/>
        <v>6.4093992730351185E-2</v>
      </c>
      <c r="EP363" s="4">
        <f t="shared" si="998"/>
        <v>6.4093992730351185E-2</v>
      </c>
      <c r="EQ363" s="4">
        <f t="shared" si="960"/>
        <v>0.20068607580190448</v>
      </c>
      <c r="ER363" s="4">
        <f t="shared" si="1010"/>
        <v>3.6715850427083443</v>
      </c>
      <c r="ES363" s="4">
        <f t="shared" si="983"/>
        <v>5.578912791171704</v>
      </c>
      <c r="ET363" s="4">
        <f t="shared" si="1011"/>
        <v>56.938723863568022</v>
      </c>
      <c r="EU363" s="4">
        <f t="shared" si="1012"/>
        <v>38.099999999999987</v>
      </c>
      <c r="EV363" s="4">
        <f t="shared" si="1098"/>
        <v>1.1019273845657788E-5</v>
      </c>
      <c r="EW363" s="4">
        <f t="shared" si="984"/>
        <v>6.878442690767649</v>
      </c>
      <c r="EX363" s="4">
        <f t="shared" si="1131"/>
        <v>250.01253733738588</v>
      </c>
      <c r="FG363" s="23">
        <f t="shared" si="1030"/>
        <v>1.6</v>
      </c>
      <c r="FH363" s="23">
        <f t="shared" si="1030"/>
        <v>1</v>
      </c>
      <c r="FI363" s="23">
        <f t="shared" si="952"/>
        <v>1.4</v>
      </c>
      <c r="FJ363" s="23">
        <f t="shared" si="1031"/>
        <v>1.4</v>
      </c>
      <c r="FK363" s="23">
        <f t="shared" si="1031"/>
        <v>1.2</v>
      </c>
      <c r="FL363" s="23">
        <f t="shared" si="1031"/>
        <v>1.2</v>
      </c>
      <c r="FM363" s="23">
        <f t="shared" si="1195"/>
        <v>0</v>
      </c>
      <c r="FN363" s="23"/>
      <c r="FX363" s="4">
        <f t="shared" si="1099"/>
        <v>1</v>
      </c>
      <c r="FY363" s="4">
        <f t="shared" si="1139"/>
        <v>0.66255813953488385</v>
      </c>
      <c r="FZ363" s="4">
        <f t="shared" si="1100"/>
        <v>0.28124999999999994</v>
      </c>
      <c r="GA363" s="4">
        <f t="shared" si="1101"/>
        <v>218.05183339170418</v>
      </c>
    </row>
    <row r="364" spans="1:183" ht="12" hidden="1" customHeight="1" x14ac:dyDescent="0.3">
      <c r="A364" s="25">
        <v>346</v>
      </c>
      <c r="B364" s="4" t="s">
        <v>605</v>
      </c>
      <c r="C364" s="4">
        <v>2016</v>
      </c>
      <c r="D364" s="4" t="s">
        <v>309</v>
      </c>
      <c r="E364" s="24" t="s">
        <v>672</v>
      </c>
      <c r="F364" s="7" t="s">
        <v>510</v>
      </c>
      <c r="G364" s="38">
        <f t="shared" si="1199"/>
        <v>889.65517241379314</v>
      </c>
      <c r="H364" s="38">
        <f>6.33*25.4</f>
        <v>160.78199999999998</v>
      </c>
      <c r="I364" s="4">
        <f t="shared" si="985"/>
        <v>160.78199999999998</v>
      </c>
      <c r="J364" s="38">
        <f t="shared" si="1200"/>
        <v>34</v>
      </c>
      <c r="K364" s="38">
        <f t="shared" si="986"/>
        <v>25.4</v>
      </c>
      <c r="L364" s="7">
        <f t="shared" si="987"/>
        <v>6.33</v>
      </c>
      <c r="M364" s="7">
        <f t="shared" si="988"/>
        <v>6.33</v>
      </c>
      <c r="N364" s="38">
        <f>16.9*25.4</f>
        <v>429.25999999999993</v>
      </c>
      <c r="O364" s="38">
        <f>2.8*25.4</f>
        <v>71.11999999999999</v>
      </c>
      <c r="P364" s="39">
        <f>6.8*25.4</f>
        <v>172.72</v>
      </c>
      <c r="Q364" s="7">
        <f t="shared" si="989"/>
        <v>105.40999999999998</v>
      </c>
      <c r="R364" s="38">
        <v>3</v>
      </c>
      <c r="S364" s="4">
        <f t="shared" si="966"/>
        <v>260.34999999999997</v>
      </c>
      <c r="T364" s="7">
        <f t="shared" si="990"/>
        <v>2.5749999999999997</v>
      </c>
      <c r="U364" s="7">
        <f t="shared" si="1127"/>
        <v>3.3</v>
      </c>
      <c r="V364" s="38">
        <v>4.0999999999999996</v>
      </c>
      <c r="W364" s="4">
        <f t="shared" si="991"/>
        <v>4.0999999999999996</v>
      </c>
      <c r="X364" s="4">
        <f t="shared" si="992"/>
        <v>5.0999999999999996</v>
      </c>
      <c r="Y364" s="7">
        <f t="shared" si="993"/>
        <v>57.361276136431961</v>
      </c>
      <c r="AB364" s="38">
        <f t="shared" si="1038"/>
        <v>208.96551724137933</v>
      </c>
      <c r="AC364" s="4">
        <v>30.3</v>
      </c>
      <c r="AD364" s="4">
        <f t="shared" si="1159"/>
        <v>0.66486057633594775</v>
      </c>
      <c r="AE364" s="38"/>
      <c r="AF364" s="38"/>
      <c r="AG364" s="39">
        <v>1</v>
      </c>
      <c r="AH364" s="39"/>
      <c r="AI364" s="39"/>
      <c r="AJ364" s="7"/>
      <c r="AK364" s="4">
        <f t="shared" si="994"/>
        <v>160.78199999999998</v>
      </c>
      <c r="AL364" s="4">
        <f t="shared" si="1175"/>
        <v>0.88994207477619791</v>
      </c>
      <c r="AM364" s="4">
        <f t="shared" si="1176"/>
        <v>78.20185035706578</v>
      </c>
      <c r="AN364" s="4">
        <f t="shared" si="1177"/>
        <v>0.80426540284360182</v>
      </c>
      <c r="AO364" s="4">
        <v>1.25</v>
      </c>
      <c r="AP364" s="4">
        <f t="shared" si="1112"/>
        <v>2.5</v>
      </c>
      <c r="AQ364" s="38">
        <f t="shared" si="967"/>
        <v>174.91545242580563</v>
      </c>
      <c r="AR364" s="38">
        <f t="shared" si="1178"/>
        <v>174.91545242580563</v>
      </c>
      <c r="AS364" s="38">
        <f t="shared" si="1179"/>
        <v>3.1485253868929024</v>
      </c>
      <c r="AT364" s="38">
        <f t="shared" si="1121"/>
        <v>174.91545242580557</v>
      </c>
      <c r="AU364" s="38">
        <f t="shared" si="1086"/>
        <v>1.0000000000000002</v>
      </c>
      <c r="AV364" s="38">
        <f t="shared" si="954"/>
        <v>2.2552634919824346</v>
      </c>
      <c r="AW364" s="4">
        <f t="shared" si="940"/>
        <v>0</v>
      </c>
      <c r="AX364" s="4">
        <f t="shared" si="995"/>
        <v>194.26276575984608</v>
      </c>
      <c r="AY364" s="4">
        <f t="shared" si="968"/>
        <v>1.112621359223301</v>
      </c>
      <c r="AZ364" s="38">
        <f t="shared" si="1102"/>
        <v>394.4804340395097</v>
      </c>
      <c r="BA364" s="4">
        <f t="shared" si="969"/>
        <v>0.42600000000000005</v>
      </c>
      <c r="BB364" s="4">
        <f t="shared" si="970"/>
        <v>43.239977716655339</v>
      </c>
      <c r="BC364" s="4">
        <f t="shared" si="971"/>
        <v>437.72041175616505</v>
      </c>
      <c r="BE364" s="4">
        <f t="shared" si="1122"/>
        <v>1.45</v>
      </c>
      <c r="BF364" s="4">
        <f t="shared" si="1128"/>
        <v>414.20458332628334</v>
      </c>
      <c r="BH364" s="4">
        <f t="shared" si="1129"/>
        <v>378.35497805743148</v>
      </c>
      <c r="BI364" s="4">
        <f t="shared" si="1067"/>
        <v>0</v>
      </c>
      <c r="BJ364" s="4">
        <f t="shared" si="1130"/>
        <v>0</v>
      </c>
      <c r="BR364" s="4">
        <f t="shared" si="972"/>
        <v>52.704999999999991</v>
      </c>
      <c r="BV364" s="9"/>
      <c r="BX364" s="9"/>
      <c r="BY364" s="9"/>
      <c r="BZ364" s="9">
        <f t="shared" si="973"/>
        <v>52.704999999999991</v>
      </c>
      <c r="CA364" s="9">
        <f t="shared" si="974"/>
        <v>71.11999999999999</v>
      </c>
      <c r="CB364" s="9">
        <f t="shared" si="1087"/>
        <v>1.5067112815202597</v>
      </c>
      <c r="CC364" s="40">
        <f t="shared" si="996"/>
        <v>0</v>
      </c>
      <c r="CD364" s="9">
        <f t="shared" si="975"/>
        <v>0</v>
      </c>
      <c r="CE364" s="9">
        <f t="shared" si="976"/>
        <v>0</v>
      </c>
      <c r="CF364" s="9">
        <f t="shared" si="977"/>
        <v>0.99524931562137331</v>
      </c>
      <c r="CG364" s="9">
        <f t="shared" si="978"/>
        <v>0.68</v>
      </c>
      <c r="CH364" s="9">
        <f t="shared" si="1088"/>
        <v>1.3811737100982926</v>
      </c>
      <c r="CI364" s="9">
        <f t="shared" si="1089"/>
        <v>2.0810300107442901</v>
      </c>
      <c r="CJ364" s="40">
        <v>1</v>
      </c>
      <c r="CK364" s="9">
        <f t="shared" si="1090"/>
        <v>177.55348051670285</v>
      </c>
      <c r="CM364" s="4">
        <f t="shared" si="979"/>
        <v>1.0756848664437799</v>
      </c>
      <c r="CN364" s="4">
        <f t="shared" si="980"/>
        <v>0.47739495721251607</v>
      </c>
      <c r="CO364" s="4">
        <f t="shared" si="946"/>
        <v>0.50449832197238131</v>
      </c>
      <c r="CP364" s="4">
        <f t="shared" si="981"/>
        <v>1.1769159164509957</v>
      </c>
      <c r="CQ364" s="4">
        <f t="shared" si="1189"/>
        <v>0.66486057633594775</v>
      </c>
      <c r="CR364" s="4">
        <f t="shared" si="1190"/>
        <v>0.68467739710453912</v>
      </c>
      <c r="CS364" s="4">
        <f t="shared" si="947"/>
        <v>1.0111147713391568</v>
      </c>
      <c r="CT364" s="4">
        <f t="shared" si="997"/>
        <v>0</v>
      </c>
      <c r="CU364" s="4">
        <f t="shared" ref="CU364:CV364" si="1214">CM364</f>
        <v>1.0756848664437799</v>
      </c>
      <c r="CV364" s="4">
        <f t="shared" si="1214"/>
        <v>0.47739495721251607</v>
      </c>
      <c r="CW364" s="4">
        <f t="shared" ref="CW364" si="1215">CP364</f>
        <v>1.1769159164509957</v>
      </c>
      <c r="CX364" s="4">
        <f t="shared" si="1134"/>
        <v>1.0111147713391568</v>
      </c>
      <c r="CY364" s="4">
        <f t="shared" ref="CY364:CZ364" si="1216">CQ364</f>
        <v>0.66486057633594775</v>
      </c>
      <c r="CZ364" s="4">
        <f t="shared" si="1216"/>
        <v>0.68467739710453912</v>
      </c>
      <c r="DI364" s="4">
        <f t="shared" si="982"/>
        <v>160.78199999999998</v>
      </c>
      <c r="DL364" s="4">
        <f t="shared" si="1166"/>
        <v>1.162533390716897E-5</v>
      </c>
      <c r="DM364" s="4">
        <f t="shared" si="1009"/>
        <v>7.0165186676207227</v>
      </c>
      <c r="DN364" s="4">
        <f t="shared" si="1167"/>
        <v>0.28006000053384883</v>
      </c>
      <c r="DO364" s="4">
        <f t="shared" si="1168"/>
        <v>4.2171798146618968</v>
      </c>
      <c r="DP364" s="4">
        <f t="shared" si="1169"/>
        <v>5.7896246222922088</v>
      </c>
      <c r="DQ364" s="4">
        <f t="shared" si="1170"/>
        <v>6.8947320496980744</v>
      </c>
      <c r="DR364" s="38">
        <f t="shared" si="1183"/>
        <v>314.29975648878155</v>
      </c>
      <c r="DS364" s="4">
        <f t="shared" si="1095"/>
        <v>1.0001125663995396</v>
      </c>
      <c r="DT364" s="4">
        <f t="shared" si="1171"/>
        <v>2.2583179581272428</v>
      </c>
      <c r="DU364" s="4">
        <f t="shared" si="1103"/>
        <v>174.91545242580557</v>
      </c>
      <c r="DY364" s="4">
        <f t="shared" si="1037"/>
        <v>0.85</v>
      </c>
      <c r="DZ364" s="4">
        <f t="shared" si="1096"/>
        <v>0.89250000000000007</v>
      </c>
      <c r="EA364" s="4">
        <f t="shared" si="1184"/>
        <v>1</v>
      </c>
      <c r="EB364" s="4">
        <f t="shared" si="1097"/>
        <v>0.89250000000000007</v>
      </c>
      <c r="ED364" s="4">
        <f t="shared" si="1185"/>
        <v>305.20288551233375</v>
      </c>
      <c r="EE364" s="25">
        <f t="shared" si="1186"/>
        <v>171.95919601421622</v>
      </c>
      <c r="EG364" s="4">
        <f t="shared" si="1104"/>
        <v>0.75862499999999999</v>
      </c>
      <c r="EH364" s="4">
        <f t="shared" si="1187"/>
        <v>7.0165186676207227</v>
      </c>
      <c r="EK364" s="4">
        <f t="shared" si="1172"/>
        <v>57.361276136431961</v>
      </c>
      <c r="EL364" s="4">
        <f t="shared" si="1173"/>
        <v>2.2583179581272428</v>
      </c>
      <c r="EM364" s="4">
        <f t="shared" si="1174"/>
        <v>8.929472604921021E-2</v>
      </c>
      <c r="EP364" s="4">
        <f t="shared" si="998"/>
        <v>8.929472604921021E-2</v>
      </c>
      <c r="EQ364" s="4">
        <f t="shared" si="960"/>
        <v>0.27959263258904649</v>
      </c>
      <c r="ER364" s="4">
        <f t="shared" si="1010"/>
        <v>4.2143633292015039</v>
      </c>
      <c r="ES364" s="4">
        <f t="shared" si="983"/>
        <v>5.7886035772711342</v>
      </c>
      <c r="ET364" s="4">
        <f t="shared" si="1011"/>
        <v>63.225223863568026</v>
      </c>
      <c r="EU364" s="4">
        <f t="shared" si="1012"/>
        <v>40.195499999999988</v>
      </c>
      <c r="EV364" s="4">
        <f t="shared" si="1098"/>
        <v>1.1625333907168968E-5</v>
      </c>
      <c r="EW364" s="4">
        <f t="shared" si="984"/>
        <v>6.8947688169395551</v>
      </c>
      <c r="EX364" s="4">
        <f t="shared" si="1131"/>
        <v>314.26438087892245</v>
      </c>
      <c r="FG364" s="23">
        <f t="shared" si="1030"/>
        <v>1.2</v>
      </c>
      <c r="FH364" s="23">
        <f t="shared" si="1030"/>
        <v>0.6</v>
      </c>
      <c r="FI364" s="23">
        <f t="shared" si="952"/>
        <v>1.2</v>
      </c>
      <c r="FJ364" s="23">
        <f t="shared" si="1031"/>
        <v>1.2</v>
      </c>
      <c r="FK364" s="23">
        <f t="shared" si="1031"/>
        <v>0.8</v>
      </c>
      <c r="FL364" s="23">
        <f t="shared" si="1031"/>
        <v>0.8</v>
      </c>
      <c r="FM364" s="23">
        <f t="shared" si="1195"/>
        <v>1</v>
      </c>
      <c r="FN364" s="23"/>
      <c r="FX364" s="4">
        <f t="shared" si="1099"/>
        <v>1</v>
      </c>
      <c r="FY364" s="4">
        <f t="shared" si="1139"/>
        <v>0.73750000000000004</v>
      </c>
      <c r="FZ364" s="4">
        <f t="shared" si="1100"/>
        <v>0</v>
      </c>
      <c r="GA364" s="4">
        <f t="shared" si="1101"/>
        <v>206.66844473512919</v>
      </c>
    </row>
    <row r="365" spans="1:183" ht="12" hidden="1" customHeight="1" x14ac:dyDescent="0.3">
      <c r="A365" s="25">
        <v>347</v>
      </c>
      <c r="B365" s="4" t="s">
        <v>605</v>
      </c>
      <c r="C365" s="4">
        <v>2016</v>
      </c>
      <c r="D365" s="4" t="s">
        <v>309</v>
      </c>
      <c r="E365" s="24" t="s">
        <v>672</v>
      </c>
      <c r="F365" s="7" t="s">
        <v>511</v>
      </c>
      <c r="G365" s="38">
        <f t="shared" si="1199"/>
        <v>889.65517241379314</v>
      </c>
      <c r="H365" s="38">
        <f>6.29*25.4</f>
        <v>159.76599999999999</v>
      </c>
      <c r="I365" s="4">
        <f t="shared" si="985"/>
        <v>159.76599999999999</v>
      </c>
      <c r="J365" s="38">
        <f t="shared" si="1200"/>
        <v>34</v>
      </c>
      <c r="K365" s="38">
        <f t="shared" si="986"/>
        <v>25.4</v>
      </c>
      <c r="L365" s="7">
        <f t="shared" si="987"/>
        <v>6.29</v>
      </c>
      <c r="M365" s="7">
        <f t="shared" si="988"/>
        <v>6.29</v>
      </c>
      <c r="N365" s="38">
        <f>16.8*25.4</f>
        <v>426.71999999999997</v>
      </c>
      <c r="O365" s="38">
        <f>2.8*25.4</f>
        <v>71.11999999999999</v>
      </c>
      <c r="P365" s="39">
        <f>7*25.4</f>
        <v>177.79999999999998</v>
      </c>
      <c r="Q365" s="7">
        <f t="shared" si="989"/>
        <v>104.14</v>
      </c>
      <c r="R365" s="38">
        <v>3</v>
      </c>
      <c r="S365" s="4">
        <f t="shared" si="966"/>
        <v>260.34999999999997</v>
      </c>
      <c r="T365" s="7">
        <f t="shared" si="990"/>
        <v>2.5500000000000003</v>
      </c>
      <c r="U365" s="7">
        <f t="shared" si="1127"/>
        <v>3.3</v>
      </c>
      <c r="V365" s="38">
        <v>4.0999999999999996</v>
      </c>
      <c r="W365" s="4">
        <f t="shared" si="991"/>
        <v>4.0999999999999996</v>
      </c>
      <c r="X365" s="4">
        <f t="shared" si="992"/>
        <v>5.0999999999999996</v>
      </c>
      <c r="Y365" s="7">
        <f t="shared" si="993"/>
        <v>57.361276136431961</v>
      </c>
      <c r="AB365" s="38">
        <f t="shared" si="1038"/>
        <v>327.58620689655174</v>
      </c>
      <c r="AC365" s="4">
        <v>47.5</v>
      </c>
      <c r="AD365" s="4">
        <f t="shared" si="1159"/>
        <v>1.0063627542062954</v>
      </c>
      <c r="AE365" s="38">
        <f>0.375*25.4</f>
        <v>9.5249999999999986</v>
      </c>
      <c r="AF365" s="38">
        <v>10</v>
      </c>
      <c r="AG365" s="39">
        <f t="shared" ref="AG365:AG373" si="1217">3*25.4</f>
        <v>76.199999999999989</v>
      </c>
      <c r="AH365" s="39">
        <v>3</v>
      </c>
      <c r="AI365" s="39">
        <f>AH365-1</f>
        <v>2</v>
      </c>
      <c r="AJ365" s="7"/>
      <c r="AK365" s="4">
        <f t="shared" si="994"/>
        <v>159.76599999999999</v>
      </c>
      <c r="AL365" s="4">
        <f t="shared" si="1175"/>
        <v>0.890302066772655</v>
      </c>
      <c r="AM365" s="4">
        <f t="shared" si="1176"/>
        <v>77.461772837561156</v>
      </c>
      <c r="AN365" s="4">
        <f t="shared" si="1177"/>
        <v>0.8049284578696343</v>
      </c>
      <c r="AO365" s="4">
        <v>1.25</v>
      </c>
      <c r="AP365" s="4">
        <f t="shared" si="1112"/>
        <v>2.5</v>
      </c>
      <c r="AQ365" s="38">
        <f t="shared" si="967"/>
        <v>173.4730912074333</v>
      </c>
      <c r="AR365" s="38">
        <f t="shared" si="1178"/>
        <v>173.4730912074333</v>
      </c>
      <c r="AS365" s="38">
        <f t="shared" si="1179"/>
        <v>3.1485253868929024</v>
      </c>
      <c r="AT365" s="38">
        <f t="shared" si="1121"/>
        <v>173.47309120743344</v>
      </c>
      <c r="AU365" s="38">
        <f t="shared" si="1086"/>
        <v>0.99999999999999922</v>
      </c>
      <c r="AV365" s="38">
        <f t="shared" si="954"/>
        <v>2.262109291542389</v>
      </c>
      <c r="AW365" s="4">
        <f t="shared" si="940"/>
        <v>0</v>
      </c>
      <c r="AX365" s="4">
        <f t="shared" si="995"/>
        <v>193.03519693987863</v>
      </c>
      <c r="AY365" s="4">
        <f t="shared" si="968"/>
        <v>1.1176470588235294</v>
      </c>
      <c r="AZ365" s="38">
        <f t="shared" si="1102"/>
        <v>392.41509145291548</v>
      </c>
      <c r="BA365" s="4">
        <f t="shared" si="969"/>
        <v>0.42600000000000005</v>
      </c>
      <c r="BB365" s="4">
        <f t="shared" si="970"/>
        <v>42.966739310862884</v>
      </c>
      <c r="BC365" s="4">
        <f t="shared" si="971"/>
        <v>435.38183076377834</v>
      </c>
      <c r="BE365" s="4">
        <f t="shared" si="1122"/>
        <v>1.5</v>
      </c>
      <c r="BF365" s="4">
        <f t="shared" si="1128"/>
        <v>427.43792865163482</v>
      </c>
      <c r="BH365" s="4">
        <f t="shared" si="1129"/>
        <v>376.37406194194762</v>
      </c>
      <c r="BI365" s="4">
        <f t="shared" si="1067"/>
        <v>0</v>
      </c>
      <c r="BJ365" s="4">
        <f t="shared" si="1130"/>
        <v>0</v>
      </c>
      <c r="BR365" s="4">
        <f t="shared" si="972"/>
        <v>52.07</v>
      </c>
      <c r="BV365" s="9"/>
      <c r="BX365" s="9"/>
      <c r="BY365" s="9"/>
      <c r="BZ365" s="9">
        <f t="shared" si="973"/>
        <v>52.07</v>
      </c>
      <c r="CA365" s="9">
        <f t="shared" si="974"/>
        <v>71.11999999999999</v>
      </c>
      <c r="CB365" s="9">
        <f t="shared" si="1087"/>
        <v>1.5003326349839896</v>
      </c>
      <c r="CC365" s="40">
        <f t="shared" si="996"/>
        <v>20</v>
      </c>
      <c r="CD365" s="9">
        <f t="shared" si="975"/>
        <v>0.05</v>
      </c>
      <c r="CE365" s="9">
        <f t="shared" si="976"/>
        <v>0.8</v>
      </c>
      <c r="CF365" s="9">
        <f t="shared" si="977"/>
        <v>0.99524931562137331</v>
      </c>
      <c r="CG365" s="9">
        <f t="shared" si="978"/>
        <v>0.68</v>
      </c>
      <c r="CH365" s="9">
        <f t="shared" si="1088"/>
        <v>1.3811737100982926</v>
      </c>
      <c r="CI365" s="9">
        <f t="shared" si="1089"/>
        <v>3.1771589599210186</v>
      </c>
      <c r="CJ365" s="40">
        <v>1</v>
      </c>
      <c r="CK365" s="9">
        <f t="shared" si="1090"/>
        <v>270.56685702687395</v>
      </c>
      <c r="CM365" s="4">
        <f t="shared" si="979"/>
        <v>1.6970283766363055</v>
      </c>
      <c r="CN365" s="4">
        <f t="shared" si="980"/>
        <v>0.75241129452250288</v>
      </c>
      <c r="CO365" s="4">
        <f t="shared" si="946"/>
        <v>0.76639480246858727</v>
      </c>
      <c r="CP365" s="4">
        <f t="shared" si="981"/>
        <v>1.2107403341866605</v>
      </c>
      <c r="CQ365" s="4">
        <f t="shared" si="1189"/>
        <v>1.0063627542062954</v>
      </c>
      <c r="CR365" s="4">
        <f t="shared" si="1190"/>
        <v>1.0359680488784047</v>
      </c>
      <c r="CS365" s="4">
        <f t="shared" si="947"/>
        <v>1.2490921086446241</v>
      </c>
      <c r="CT365" s="4">
        <f t="shared" si="997"/>
        <v>10</v>
      </c>
      <c r="DA365" s="4">
        <f t="shared" ref="DA365:DB365" si="1218">CM365</f>
        <v>1.6970283766363055</v>
      </c>
      <c r="DB365" s="4">
        <f t="shared" si="1218"/>
        <v>0.75241129452250288</v>
      </c>
      <c r="DC365" s="4">
        <f t="shared" ref="DC365" si="1219">CP365</f>
        <v>1.2107403341866605</v>
      </c>
      <c r="DD365" s="4">
        <f t="shared" ref="DD365" si="1220">CS365</f>
        <v>1.2490921086446241</v>
      </c>
      <c r="DE365" s="4">
        <f t="shared" ref="DE365:DF365" si="1221">CQ365</f>
        <v>1.0063627542062954</v>
      </c>
      <c r="DF365" s="4">
        <f t="shared" si="1221"/>
        <v>1.0359680488784047</v>
      </c>
      <c r="DI365" s="4">
        <f t="shared" si="982"/>
        <v>159.76599999999999</v>
      </c>
      <c r="DL365" s="4">
        <f t="shared" si="1166"/>
        <v>1.1551872081531252E-5</v>
      </c>
      <c r="DM365" s="4">
        <f t="shared" si="1009"/>
        <v>7.7207387072721181</v>
      </c>
      <c r="DN365" s="4">
        <f t="shared" si="1167"/>
        <v>0.27775061232380122</v>
      </c>
      <c r="DO365" s="4">
        <f t="shared" si="1168"/>
        <v>4.6250972074841998</v>
      </c>
      <c r="DP365" s="4">
        <f t="shared" si="1169"/>
        <v>6.3651491691455737</v>
      </c>
      <c r="DQ365" s="4">
        <f t="shared" si="1170"/>
        <v>7.5755073264251864</v>
      </c>
      <c r="DR365" s="38">
        <f t="shared" si="1183"/>
        <v>325.5150347400471</v>
      </c>
      <c r="DS365" s="4">
        <f t="shared" si="1095"/>
        <v>1.0001186394270434</v>
      </c>
      <c r="DT365" s="4">
        <f t="shared" si="1171"/>
        <v>2.2583179581272428</v>
      </c>
      <c r="DU365" s="4">
        <f t="shared" si="1103"/>
        <v>173.47309120743344</v>
      </c>
      <c r="DY365" s="4">
        <f t="shared" si="1037"/>
        <v>0.85</v>
      </c>
      <c r="DZ365" s="4">
        <f t="shared" si="1096"/>
        <v>0.89500000000000002</v>
      </c>
      <c r="EA365" s="4">
        <f t="shared" si="1184"/>
        <v>0.90625</v>
      </c>
      <c r="EB365" s="4">
        <f t="shared" si="1097"/>
        <v>0.81109375000000006</v>
      </c>
      <c r="ED365" s="4">
        <f t="shared" si="1185"/>
        <v>316.21265467715375</v>
      </c>
      <c r="EE365" s="25">
        <f t="shared" si="1186"/>
        <v>170.52231527092891</v>
      </c>
      <c r="EG365" s="4">
        <f t="shared" si="1104"/>
        <v>0.6894296875</v>
      </c>
      <c r="EH365" s="4">
        <f t="shared" si="1187"/>
        <v>7.7207387072721181</v>
      </c>
      <c r="EK365" s="4">
        <f t="shared" si="1172"/>
        <v>57.361276136431961</v>
      </c>
      <c r="EL365" s="4">
        <f t="shared" si="1173"/>
        <v>2.2583179581272428</v>
      </c>
      <c r="EM365" s="4">
        <f t="shared" si="1174"/>
        <v>8.8558397451179827E-2</v>
      </c>
      <c r="EP365" s="4">
        <f t="shared" si="998"/>
        <v>8.8558397451179827E-2</v>
      </c>
      <c r="EQ365" s="4">
        <f t="shared" si="960"/>
        <v>0.27728709831750997</v>
      </c>
      <c r="ER365" s="4">
        <f t="shared" si="1010"/>
        <v>4.622008290338079</v>
      </c>
      <c r="ES365" s="4">
        <f t="shared" si="983"/>
        <v>6.3640321914181257</v>
      </c>
      <c r="ET365" s="4">
        <f t="shared" si="1011"/>
        <v>62.463223863568039</v>
      </c>
      <c r="EU365" s="4">
        <f t="shared" si="1012"/>
        <v>39.941499999999984</v>
      </c>
      <c r="EV365" s="4">
        <f t="shared" si="1098"/>
        <v>1.1551872081531248E-5</v>
      </c>
      <c r="EW365" s="4">
        <f t="shared" si="984"/>
        <v>7.5755512212566867</v>
      </c>
      <c r="EX365" s="4">
        <f t="shared" si="1131"/>
        <v>325.47642040401422</v>
      </c>
      <c r="FG365" s="23">
        <f t="shared" si="1030"/>
        <v>1.8</v>
      </c>
      <c r="FH365" s="23">
        <f t="shared" si="1030"/>
        <v>0.8</v>
      </c>
      <c r="FI365" s="23">
        <f t="shared" si="952"/>
        <v>1.4</v>
      </c>
      <c r="FJ365" s="23">
        <f t="shared" si="1031"/>
        <v>1.4</v>
      </c>
      <c r="FK365" s="23">
        <f t="shared" si="1031"/>
        <v>1.2</v>
      </c>
      <c r="FL365" s="23">
        <f t="shared" si="1031"/>
        <v>1.2</v>
      </c>
      <c r="FM365" s="23">
        <f t="shared" si="1195"/>
        <v>0</v>
      </c>
      <c r="FN365" s="23"/>
      <c r="FX365" s="4">
        <f t="shared" si="1099"/>
        <v>1</v>
      </c>
      <c r="FY365" s="4">
        <f t="shared" si="1139"/>
        <v>0.57750000000000001</v>
      </c>
      <c r="FZ365" s="4">
        <f t="shared" si="1100"/>
        <v>0.28124999999999994</v>
      </c>
      <c r="GA365" s="4">
        <f t="shared" si="1101"/>
        <v>262.25944798579496</v>
      </c>
    </row>
    <row r="366" spans="1:183" ht="12" hidden="1" customHeight="1" x14ac:dyDescent="0.3">
      <c r="A366" s="25">
        <v>348</v>
      </c>
      <c r="B366" s="4" t="s">
        <v>605</v>
      </c>
      <c r="C366" s="4">
        <v>2016</v>
      </c>
      <c r="D366" s="4" t="s">
        <v>309</v>
      </c>
      <c r="E366" s="24" t="s">
        <v>672</v>
      </c>
      <c r="F366" s="7" t="s">
        <v>512</v>
      </c>
      <c r="G366" s="38">
        <f t="shared" si="1199"/>
        <v>889.65517241379314</v>
      </c>
      <c r="H366" s="38">
        <f>6.25*25.4</f>
        <v>158.75</v>
      </c>
      <c r="I366" s="4">
        <f t="shared" si="985"/>
        <v>158.75</v>
      </c>
      <c r="J366" s="38">
        <f>4940/145</f>
        <v>34.068965517241381</v>
      </c>
      <c r="K366" s="38">
        <f t="shared" si="986"/>
        <v>25.4</v>
      </c>
      <c r="L366" s="7">
        <f t="shared" si="987"/>
        <v>6.25</v>
      </c>
      <c r="M366" s="7">
        <f t="shared" si="988"/>
        <v>6.25</v>
      </c>
      <c r="N366" s="38">
        <f>20.5*25.4</f>
        <v>520.69999999999993</v>
      </c>
      <c r="O366" s="38">
        <f>2.7*25.4</f>
        <v>68.58</v>
      </c>
      <c r="P366" s="39">
        <f>7*25.4</f>
        <v>177.79999999999998</v>
      </c>
      <c r="Q366" s="7">
        <f t="shared" si="989"/>
        <v>153.66999999999996</v>
      </c>
      <c r="R366" s="38">
        <v>3</v>
      </c>
      <c r="S366" s="4">
        <f t="shared" si="966"/>
        <v>260.34999999999997</v>
      </c>
      <c r="T366" s="7">
        <f t="shared" si="990"/>
        <v>3.2</v>
      </c>
      <c r="U366" s="7">
        <f t="shared" si="1127"/>
        <v>3.2</v>
      </c>
      <c r="V366" s="38">
        <v>4.0999999999999996</v>
      </c>
      <c r="W366" s="4">
        <f t="shared" si="991"/>
        <v>4.0999999999999996</v>
      </c>
      <c r="X366" s="4">
        <f t="shared" si="992"/>
        <v>5.0999999999999996</v>
      </c>
      <c r="Y366" s="7">
        <f t="shared" si="993"/>
        <v>57.361276136431961</v>
      </c>
      <c r="AB366" s="38">
        <f t="shared" si="1038"/>
        <v>236.55172413793102</v>
      </c>
      <c r="AC366" s="4">
        <v>34.299999999999997</v>
      </c>
      <c r="AD366" s="4">
        <f t="shared" si="1159"/>
        <v>0.65201390875330911</v>
      </c>
      <c r="AE366" s="38"/>
      <c r="AF366" s="38"/>
      <c r="AG366" s="39">
        <v>1</v>
      </c>
      <c r="AH366" s="39"/>
      <c r="AI366" s="39"/>
      <c r="AJ366" s="7"/>
      <c r="AK366" s="4">
        <f t="shared" si="994"/>
        <v>158.75</v>
      </c>
      <c r="AL366" s="4">
        <f t="shared" si="1175"/>
        <v>1.0933333333333333</v>
      </c>
      <c r="AM366" s="4">
        <f t="shared" si="1176"/>
        <v>76.801818794045587</v>
      </c>
      <c r="AN366" s="4">
        <f t="shared" si="1177"/>
        <v>0.8024</v>
      </c>
      <c r="AO366" s="4">
        <v>1.25</v>
      </c>
      <c r="AP366" s="4">
        <f t="shared" si="1112"/>
        <v>2.5</v>
      </c>
      <c r="AQ366" s="38">
        <f t="shared" si="967"/>
        <v>210.55474628450247</v>
      </c>
      <c r="AR366" s="38">
        <f t="shared" si="1178"/>
        <v>210.55474628450247</v>
      </c>
      <c r="AS366" s="38">
        <f t="shared" si="1179"/>
        <v>3.152781589644936</v>
      </c>
      <c r="AT366" s="38">
        <f t="shared" si="1121"/>
        <v>210.55474628450261</v>
      </c>
      <c r="AU366" s="38">
        <f t="shared" si="1086"/>
        <v>0.99999999999999933</v>
      </c>
      <c r="AV366" s="38">
        <f t="shared" si="954"/>
        <v>2.096842513650361</v>
      </c>
      <c r="AW366" s="4">
        <f t="shared" si="940"/>
        <v>0</v>
      </c>
      <c r="AX366" s="4">
        <f t="shared" si="995"/>
        <v>192.00206063625004</v>
      </c>
      <c r="AY366" s="4">
        <f t="shared" si="968"/>
        <v>1</v>
      </c>
      <c r="AZ366" s="38">
        <f t="shared" si="1102"/>
        <v>441.50014346021044</v>
      </c>
      <c r="BA366" s="4">
        <f t="shared" si="969"/>
        <v>0.42600000000000005</v>
      </c>
      <c r="BB366" s="4">
        <f t="shared" si="970"/>
        <v>42.736778666719729</v>
      </c>
      <c r="BC366" s="4">
        <f t="shared" si="971"/>
        <v>484.23692212693015</v>
      </c>
      <c r="BE366" s="4">
        <f t="shared" si="1122"/>
        <v>1.425</v>
      </c>
      <c r="BF366" s="4">
        <f t="shared" si="1128"/>
        <v>405.47955175466467</v>
      </c>
      <c r="BH366" s="4">
        <f t="shared" si="1129"/>
        <v>423.45262952765438</v>
      </c>
      <c r="BI366" s="4">
        <f t="shared" si="1067"/>
        <v>0</v>
      </c>
      <c r="BJ366" s="4">
        <f t="shared" si="1130"/>
        <v>0</v>
      </c>
      <c r="BR366" s="4">
        <f t="shared" si="972"/>
        <v>68.58</v>
      </c>
      <c r="BV366" s="9"/>
      <c r="BX366" s="9"/>
      <c r="BY366" s="9"/>
      <c r="BZ366" s="9">
        <f t="shared" si="973"/>
        <v>68.58</v>
      </c>
      <c r="CA366" s="9">
        <f t="shared" si="974"/>
        <v>76.83499999999998</v>
      </c>
      <c r="CB366" s="9">
        <f t="shared" si="1087"/>
        <v>1.671422038708936</v>
      </c>
      <c r="CC366" s="40">
        <f t="shared" si="996"/>
        <v>0</v>
      </c>
      <c r="CD366" s="9">
        <f t="shared" si="975"/>
        <v>0</v>
      </c>
      <c r="CE366" s="9">
        <f t="shared" si="976"/>
        <v>0</v>
      </c>
      <c r="CF366" s="9">
        <f t="shared" si="977"/>
        <v>0.99524931562137331</v>
      </c>
      <c r="CG366" s="9">
        <f t="shared" si="978"/>
        <v>0.68</v>
      </c>
      <c r="CH366" s="9">
        <f t="shared" si="1088"/>
        <v>1.3825737851765767</v>
      </c>
      <c r="CI366" s="9">
        <f t="shared" si="1089"/>
        <v>2.3108642946853646</v>
      </c>
      <c r="CJ366" s="40">
        <v>1</v>
      </c>
      <c r="CK366" s="9">
        <f t="shared" si="1090"/>
        <v>196.42346504825599</v>
      </c>
      <c r="CM366" s="4">
        <f t="shared" si="979"/>
        <v>1.2320270071792656</v>
      </c>
      <c r="CN366" s="4">
        <f t="shared" si="980"/>
        <v>0.48850410476532213</v>
      </c>
      <c r="CO366" s="4">
        <f t="shared" si="946"/>
        <v>0.5833875545987004</v>
      </c>
      <c r="CP366" s="4">
        <f t="shared" si="981"/>
        <v>1.2042946298692805</v>
      </c>
      <c r="CQ366" s="4">
        <f t="shared" si="1189"/>
        <v>0.65201390875330911</v>
      </c>
      <c r="CR366" s="4">
        <f t="shared" si="1190"/>
        <v>0.67868729013532503</v>
      </c>
      <c r="CS366" s="4">
        <f t="shared" si="947"/>
        <v>0.90990733440606342</v>
      </c>
      <c r="CT366" s="4">
        <f t="shared" si="997"/>
        <v>0</v>
      </c>
      <c r="CU366" s="4">
        <f t="shared" ref="CU366:CV366" si="1222">CM366</f>
        <v>1.2320270071792656</v>
      </c>
      <c r="CV366" s="4">
        <f t="shared" si="1222"/>
        <v>0.48850410476532213</v>
      </c>
      <c r="CW366" s="4">
        <f t="shared" ref="CW366" si="1223">CP366</f>
        <v>1.2042946298692805</v>
      </c>
      <c r="CX366" s="4">
        <f t="shared" si="1134"/>
        <v>0.90990733440606342</v>
      </c>
      <c r="CY366" s="4">
        <f t="shared" ref="CY366:CZ366" si="1224">CQ366</f>
        <v>0.65201390875330911</v>
      </c>
      <c r="CZ366" s="4">
        <f t="shared" si="1224"/>
        <v>0.67868729013532503</v>
      </c>
      <c r="DI366" s="4">
        <f t="shared" si="982"/>
        <v>158.75</v>
      </c>
      <c r="DL366" s="4">
        <f t="shared" si="1166"/>
        <v>1.1483872651980423E-5</v>
      </c>
      <c r="DM366" s="4">
        <f t="shared" si="1009"/>
        <v>7.5525190994983378</v>
      </c>
      <c r="DN366" s="4">
        <f t="shared" si="1167"/>
        <v>0.33644022409599456</v>
      </c>
      <c r="DO366" s="4">
        <f t="shared" si="1168"/>
        <v>4.8848923521754735</v>
      </c>
      <c r="DP366" s="4">
        <f t="shared" si="1169"/>
        <v>6.3607627445011392</v>
      </c>
      <c r="DQ366" s="4">
        <f t="shared" si="1170"/>
        <v>7.4103270565220862</v>
      </c>
      <c r="DR366" s="38">
        <f t="shared" si="1183"/>
        <v>362.80165340373264</v>
      </c>
      <c r="DS366" s="4">
        <f t="shared" si="1095"/>
        <v>1.0001139100355729</v>
      </c>
      <c r="DT366" s="4">
        <f t="shared" si="1171"/>
        <v>2.2583179581272428</v>
      </c>
      <c r="DU366" s="4">
        <f t="shared" si="1103"/>
        <v>210.55474628450261</v>
      </c>
      <c r="DY366" s="4">
        <f t="shared" si="1037"/>
        <v>0.85</v>
      </c>
      <c r="DZ366" s="4">
        <f t="shared" si="1096"/>
        <v>0.83</v>
      </c>
      <c r="EA366" s="4">
        <f t="shared" si="1184"/>
        <v>1</v>
      </c>
      <c r="EB366" s="4">
        <f t="shared" si="1097"/>
        <v>0.83</v>
      </c>
      <c r="ED366" s="4">
        <f t="shared" si="1185"/>
        <v>348.54302942783033</v>
      </c>
      <c r="EE366" s="25">
        <f t="shared" si="1186"/>
        <v>206.93329631223651</v>
      </c>
      <c r="EG366" s="4">
        <f t="shared" si="1104"/>
        <v>0.7054999999999999</v>
      </c>
      <c r="EH366" s="4">
        <f t="shared" si="1187"/>
        <v>7.5525190994983378</v>
      </c>
      <c r="EK366" s="4">
        <f t="shared" si="1172"/>
        <v>57.361276136431961</v>
      </c>
      <c r="EL366" s="4">
        <f t="shared" si="1173"/>
        <v>2.2583179581272428</v>
      </c>
      <c r="EM366" s="4">
        <f t="shared" si="1174"/>
        <v>0.10737981522682664</v>
      </c>
      <c r="EP366" s="4">
        <f t="shared" si="998"/>
        <v>0.10737981522682664</v>
      </c>
      <c r="EQ366" s="4">
        <f t="shared" si="960"/>
        <v>0.33587876806591221</v>
      </c>
      <c r="ER366" s="4">
        <f t="shared" si="1010"/>
        <v>4.8816299282594589</v>
      </c>
      <c r="ES366" s="4">
        <f t="shared" si="983"/>
        <v>6.3595136472093712</v>
      </c>
      <c r="ET366" s="4">
        <f t="shared" si="1011"/>
        <v>61.701223863568039</v>
      </c>
      <c r="EU366" s="4">
        <f t="shared" si="1012"/>
        <v>39.687499999999993</v>
      </c>
      <c r="EV366" s="4">
        <f t="shared" si="1098"/>
        <v>1.1483872651980423E-5</v>
      </c>
      <c r="EW366" s="4">
        <f t="shared" si="984"/>
        <v>7.4103727299069329</v>
      </c>
      <c r="EX366" s="4">
        <f t="shared" si="1131"/>
        <v>362.76033136148283</v>
      </c>
      <c r="FG366" s="23">
        <f t="shared" si="1030"/>
        <v>1.4</v>
      </c>
      <c r="FH366" s="23">
        <f t="shared" si="1030"/>
        <v>0.6</v>
      </c>
      <c r="FI366" s="23">
        <f t="shared" si="952"/>
        <v>1</v>
      </c>
      <c r="FJ366" s="23">
        <f t="shared" si="1031"/>
        <v>1.4</v>
      </c>
      <c r="FK366" s="23">
        <f t="shared" si="1031"/>
        <v>0.8</v>
      </c>
      <c r="FL366" s="23">
        <f t="shared" si="1031"/>
        <v>0.8</v>
      </c>
      <c r="FM366" s="23">
        <f t="shared" si="1195"/>
        <v>1</v>
      </c>
      <c r="FN366" s="23"/>
      <c r="FX366" s="4">
        <f t="shared" si="1099"/>
        <v>1</v>
      </c>
      <c r="FY366" s="4">
        <f t="shared" si="1139"/>
        <v>0.57916666666666672</v>
      </c>
      <c r="FZ366" s="4">
        <f t="shared" si="1100"/>
        <v>0</v>
      </c>
      <c r="GA366" s="4">
        <f t="shared" si="1101"/>
        <v>259.97342277973695</v>
      </c>
    </row>
    <row r="367" spans="1:183" ht="12" hidden="1" customHeight="1" x14ac:dyDescent="0.3">
      <c r="A367" s="25">
        <v>349</v>
      </c>
      <c r="B367" s="4" t="s">
        <v>605</v>
      </c>
      <c r="C367" s="4">
        <v>2016</v>
      </c>
      <c r="D367" s="4" t="s">
        <v>309</v>
      </c>
      <c r="E367" s="24" t="s">
        <v>672</v>
      </c>
      <c r="F367" s="7" t="s">
        <v>513</v>
      </c>
      <c r="G367" s="38">
        <f t="shared" si="1199"/>
        <v>889.65517241379314</v>
      </c>
      <c r="H367" s="38">
        <f>6.1*25.4</f>
        <v>154.93999999999997</v>
      </c>
      <c r="I367" s="4">
        <f t="shared" si="985"/>
        <v>154.93999999999997</v>
      </c>
      <c r="J367" s="38">
        <f t="shared" ref="J367:J369" si="1225">4940/145</f>
        <v>34.068965517241381</v>
      </c>
      <c r="K367" s="38">
        <f t="shared" si="986"/>
        <v>25.4</v>
      </c>
      <c r="L367" s="7">
        <f t="shared" si="987"/>
        <v>6.0999999999999988</v>
      </c>
      <c r="M367" s="7">
        <f t="shared" si="988"/>
        <v>6.0999999999999988</v>
      </c>
      <c r="N367" s="38">
        <f>20.5*25.4</f>
        <v>520.69999999999993</v>
      </c>
      <c r="O367" s="38">
        <f>2.7*25.4</f>
        <v>68.58</v>
      </c>
      <c r="P367" s="39">
        <f>7*25.4</f>
        <v>177.79999999999998</v>
      </c>
      <c r="Q367" s="7">
        <f t="shared" si="989"/>
        <v>153.66999999999996</v>
      </c>
      <c r="R367" s="38">
        <v>3</v>
      </c>
      <c r="S367" s="4">
        <f t="shared" si="966"/>
        <v>260.34999999999997</v>
      </c>
      <c r="T367" s="7">
        <f t="shared" si="990"/>
        <v>3.2</v>
      </c>
      <c r="U367" s="7">
        <f t="shared" si="1127"/>
        <v>3.2</v>
      </c>
      <c r="V367" s="38">
        <v>4.0999999999999996</v>
      </c>
      <c r="W367" s="4">
        <f t="shared" si="991"/>
        <v>4.0999999999999996</v>
      </c>
      <c r="X367" s="4">
        <f t="shared" si="992"/>
        <v>5.0999999999999996</v>
      </c>
      <c r="Y367" s="7">
        <f t="shared" si="993"/>
        <v>57.361276136431961</v>
      </c>
      <c r="AB367" s="38">
        <f t="shared" si="1038"/>
        <v>368.96551724137936</v>
      </c>
      <c r="AC367" s="4">
        <v>53.5</v>
      </c>
      <c r="AD367" s="4">
        <f t="shared" si="1159"/>
        <v>0.96063482258325084</v>
      </c>
      <c r="AE367" s="38">
        <f>0.5*25.4</f>
        <v>12.7</v>
      </c>
      <c r="AF367" s="38">
        <v>10</v>
      </c>
      <c r="AG367" s="39">
        <f t="shared" si="1217"/>
        <v>76.199999999999989</v>
      </c>
      <c r="AH367" s="39">
        <v>3</v>
      </c>
      <c r="AI367" s="39">
        <f>AH367-1</f>
        <v>2</v>
      </c>
      <c r="AJ367" s="7"/>
      <c r="AK367" s="4">
        <f t="shared" si="994"/>
        <v>154.93999999999997</v>
      </c>
      <c r="AL367" s="4">
        <f t="shared" si="1175"/>
        <v>1.1202185792349728</v>
      </c>
      <c r="AM367" s="4">
        <f t="shared" si="1176"/>
        <v>74.053609471570255</v>
      </c>
      <c r="AN367" s="4">
        <f t="shared" si="1177"/>
        <v>0.80491803278688523</v>
      </c>
      <c r="AO367" s="4">
        <v>1.25</v>
      </c>
      <c r="AP367" s="4">
        <f t="shared" si="1112"/>
        <v>2.5</v>
      </c>
      <c r="AQ367" s="38">
        <f t="shared" si="967"/>
        <v>208.66551502062913</v>
      </c>
      <c r="AR367" s="38">
        <f t="shared" si="1178"/>
        <v>208.66551502062913</v>
      </c>
      <c r="AS367" s="38">
        <f t="shared" si="1179"/>
        <v>3.152781589644936</v>
      </c>
      <c r="AT367" s="38">
        <f t="shared" si="1121"/>
        <v>208.6655150206293</v>
      </c>
      <c r="AU367" s="38">
        <f t="shared" si="1086"/>
        <v>0.99999999999999922</v>
      </c>
      <c r="AV367" s="38">
        <f t="shared" si="954"/>
        <v>2.1158270613932659</v>
      </c>
      <c r="AW367" s="4">
        <f t="shared" si="940"/>
        <v>0</v>
      </c>
      <c r="AX367" s="4">
        <f t="shared" si="995"/>
        <v>187.39401118098002</v>
      </c>
      <c r="AY367" s="4">
        <f t="shared" si="968"/>
        <v>1</v>
      </c>
      <c r="AZ367" s="38">
        <f t="shared" si="1102"/>
        <v>441.50014346021044</v>
      </c>
      <c r="BA367" s="4">
        <f t="shared" si="969"/>
        <v>0.42600000000000005</v>
      </c>
      <c r="BB367" s="4">
        <f t="shared" si="970"/>
        <v>41.71109597871844</v>
      </c>
      <c r="BC367" s="4">
        <f t="shared" si="971"/>
        <v>483.21123943892889</v>
      </c>
      <c r="BE367" s="4">
        <f t="shared" si="1122"/>
        <v>1.5</v>
      </c>
      <c r="BF367" s="4">
        <f t="shared" si="1128"/>
        <v>422.88069851012796</v>
      </c>
      <c r="BH367" s="4">
        <f t="shared" si="1129"/>
        <v>423.45262952765438</v>
      </c>
      <c r="BI367" s="4">
        <f t="shared" si="1067"/>
        <v>0</v>
      </c>
      <c r="BJ367" s="4">
        <f t="shared" si="1130"/>
        <v>0</v>
      </c>
      <c r="BR367" s="4">
        <f t="shared" si="972"/>
        <v>68.58</v>
      </c>
      <c r="BV367" s="9"/>
      <c r="BX367" s="9"/>
      <c r="BY367" s="9"/>
      <c r="BZ367" s="9">
        <f t="shared" si="973"/>
        <v>68.58</v>
      </c>
      <c r="CA367" s="9">
        <f t="shared" si="974"/>
        <v>76.83499999999998</v>
      </c>
      <c r="CB367" s="9">
        <f t="shared" si="1087"/>
        <v>1.671422038708936</v>
      </c>
      <c r="CC367" s="40">
        <f t="shared" si="996"/>
        <v>20</v>
      </c>
      <c r="CD367" s="9">
        <f t="shared" si="975"/>
        <v>0.05</v>
      </c>
      <c r="CE367" s="9">
        <f t="shared" si="976"/>
        <v>0.8</v>
      </c>
      <c r="CF367" s="9">
        <f t="shared" si="977"/>
        <v>0.99524931562137331</v>
      </c>
      <c r="CG367" s="9">
        <f t="shared" si="978"/>
        <v>0.68</v>
      </c>
      <c r="CH367" s="9">
        <f t="shared" si="1088"/>
        <v>1.3825737851765767</v>
      </c>
      <c r="CI367" s="9">
        <f t="shared" si="1089"/>
        <v>3.4169233228266256</v>
      </c>
      <c r="CJ367" s="40">
        <v>1</v>
      </c>
      <c r="CK367" s="9">
        <f t="shared" si="1090"/>
        <v>288.38832844656719</v>
      </c>
      <c r="CM367" s="4">
        <f t="shared" si="979"/>
        <v>1.9689290757805624</v>
      </c>
      <c r="CN367" s="4">
        <f t="shared" si="980"/>
        <v>0.7635698161114719</v>
      </c>
      <c r="CO367" s="4">
        <f t="shared" si="946"/>
        <v>0.872504984363912</v>
      </c>
      <c r="CP367" s="4">
        <f t="shared" si="981"/>
        <v>1.2794051660441645</v>
      </c>
      <c r="CQ367" s="4">
        <f t="shared" si="1189"/>
        <v>0.96063482258325084</v>
      </c>
      <c r="CR367" s="4">
        <f t="shared" si="1190"/>
        <v>1.0002692328949259</v>
      </c>
      <c r="CS367" s="4">
        <f t="shared" si="947"/>
        <v>1.2211878714437694</v>
      </c>
      <c r="CT367" s="4">
        <f t="shared" si="997"/>
        <v>10</v>
      </c>
      <c r="DA367" s="4">
        <f t="shared" ref="DA367:DB367" si="1226">CM367</f>
        <v>1.9689290757805624</v>
      </c>
      <c r="DB367" s="4">
        <f t="shared" si="1226"/>
        <v>0.7635698161114719</v>
      </c>
      <c r="DC367" s="4">
        <f t="shared" ref="DC367" si="1227">CP367</f>
        <v>1.2794051660441645</v>
      </c>
      <c r="DD367" s="4">
        <f t="shared" ref="DD367" si="1228">CS367</f>
        <v>1.2211878714437694</v>
      </c>
      <c r="DE367" s="4">
        <f t="shared" ref="DE367:DF367" si="1229">CQ367</f>
        <v>0.96063482258325084</v>
      </c>
      <c r="DF367" s="4">
        <f t="shared" si="1229"/>
        <v>1.0002692328949259</v>
      </c>
      <c r="DI367" s="4">
        <f t="shared" si="982"/>
        <v>154.93999999999997</v>
      </c>
      <c r="DL367" s="4">
        <f t="shared" si="1166"/>
        <v>1.120825970833289E-5</v>
      </c>
      <c r="DM367" s="4">
        <f t="shared" si="1009"/>
        <v>8.9551297894051718</v>
      </c>
      <c r="DN367" s="4">
        <f t="shared" si="1167"/>
        <v>0.33342146816195423</v>
      </c>
      <c r="DO367" s="4">
        <f t="shared" si="1168"/>
        <v>5.7712423036322535</v>
      </c>
      <c r="DP367" s="4">
        <f t="shared" si="1169"/>
        <v>7.5340749938373071</v>
      </c>
      <c r="DQ367" s="4">
        <f t="shared" si="1170"/>
        <v>8.7655991202131087</v>
      </c>
      <c r="DR367" s="38">
        <f t="shared" si="1183"/>
        <v>384.08509515529659</v>
      </c>
      <c r="DS367" s="4">
        <f t="shared" si="1095"/>
        <v>1.0001252011648942</v>
      </c>
      <c r="DT367" s="4">
        <f t="shared" si="1171"/>
        <v>2.2583179581272428</v>
      </c>
      <c r="DU367" s="4">
        <f t="shared" si="1103"/>
        <v>208.6655150206293</v>
      </c>
      <c r="DY367" s="4">
        <f t="shared" si="1037"/>
        <v>0.85</v>
      </c>
      <c r="DZ367" s="4">
        <f t="shared" si="1096"/>
        <v>0.83</v>
      </c>
      <c r="EA367" s="4">
        <f t="shared" si="1184"/>
        <v>0.77500000000000002</v>
      </c>
      <c r="EB367" s="4">
        <f t="shared" si="1097"/>
        <v>0.7</v>
      </c>
      <c r="ED367" s="4">
        <f t="shared" si="1185"/>
        <v>368.86620632481021</v>
      </c>
      <c r="EE367" s="25">
        <f t="shared" si="1186"/>
        <v>204.9873311786956</v>
      </c>
      <c r="EG367" s="4">
        <f t="shared" si="1104"/>
        <v>0.59499999999999997</v>
      </c>
      <c r="EH367" s="4">
        <f t="shared" si="1187"/>
        <v>8.9551297894051718</v>
      </c>
      <c r="EK367" s="4">
        <f t="shared" si="1172"/>
        <v>57.361276136431961</v>
      </c>
      <c r="EL367" s="4">
        <f t="shared" si="1173"/>
        <v>2.2583179581272428</v>
      </c>
      <c r="EM367" s="4">
        <f t="shared" si="1174"/>
        <v>0.10641633514568259</v>
      </c>
      <c r="EP367" s="4">
        <f t="shared" si="998"/>
        <v>0.10641633514568259</v>
      </c>
      <c r="EQ367" s="4">
        <f t="shared" si="960"/>
        <v>0.33286504987290622</v>
      </c>
      <c r="ER367" s="4">
        <f t="shared" si="1010"/>
        <v>5.7673879220903359</v>
      </c>
      <c r="ES367" s="4">
        <f t="shared" si="983"/>
        <v>7.5326031109832208</v>
      </c>
      <c r="ET367" s="4">
        <f t="shared" si="1011"/>
        <v>58.843723863568023</v>
      </c>
      <c r="EU367" s="4">
        <f t="shared" si="1012"/>
        <v>38.734999999999978</v>
      </c>
      <c r="EV367" s="4">
        <f t="shared" si="1098"/>
        <v>1.1208259708332886E-5</v>
      </c>
      <c r="EW367" s="4">
        <f t="shared" si="984"/>
        <v>8.7656606502283783</v>
      </c>
      <c r="EX367" s="4">
        <f t="shared" si="1131"/>
        <v>384.03701327387222</v>
      </c>
      <c r="FG367" s="23">
        <f t="shared" si="1030"/>
        <v>2</v>
      </c>
      <c r="FH367" s="23">
        <f t="shared" si="1030"/>
        <v>0.8</v>
      </c>
      <c r="FI367" s="23">
        <f t="shared" si="952"/>
        <v>1.4</v>
      </c>
      <c r="FJ367" s="23">
        <f t="shared" si="1031"/>
        <v>1.4</v>
      </c>
      <c r="FK367" s="23">
        <f t="shared" si="1031"/>
        <v>1</v>
      </c>
      <c r="FL367" s="23">
        <f t="shared" si="1031"/>
        <v>1.2</v>
      </c>
      <c r="FM367" s="23">
        <f t="shared" si="1195"/>
        <v>0</v>
      </c>
      <c r="FN367" s="23"/>
      <c r="FX367" s="4">
        <f t="shared" si="1099"/>
        <v>1</v>
      </c>
      <c r="FY367" s="4">
        <f t="shared" si="1139"/>
        <v>0.48638372093023263</v>
      </c>
      <c r="FZ367" s="4">
        <f t="shared" si="1100"/>
        <v>0.3</v>
      </c>
      <c r="GA367" s="4">
        <f t="shared" si="1101"/>
        <v>302.13657199621861</v>
      </c>
    </row>
    <row r="368" spans="1:183" ht="12" hidden="1" customHeight="1" x14ac:dyDescent="0.3">
      <c r="A368" s="25">
        <v>350</v>
      </c>
      <c r="B368" s="4" t="s">
        <v>605</v>
      </c>
      <c r="C368" s="4">
        <v>2016</v>
      </c>
      <c r="D368" s="4" t="s">
        <v>309</v>
      </c>
      <c r="E368" s="24" t="s">
        <v>672</v>
      </c>
      <c r="F368" s="7" t="s">
        <v>514</v>
      </c>
      <c r="G368" s="38">
        <f t="shared" si="1199"/>
        <v>889.65517241379314</v>
      </c>
      <c r="H368" s="38">
        <f>6.13*25.4</f>
        <v>155.702</v>
      </c>
      <c r="I368" s="4">
        <f t="shared" si="985"/>
        <v>155.702</v>
      </c>
      <c r="J368" s="38">
        <f t="shared" si="1225"/>
        <v>34.068965517241381</v>
      </c>
      <c r="K368" s="38">
        <f t="shared" si="986"/>
        <v>25.4</v>
      </c>
      <c r="L368" s="7">
        <f t="shared" si="987"/>
        <v>6.13</v>
      </c>
      <c r="M368" s="7">
        <f t="shared" si="988"/>
        <v>6.13</v>
      </c>
      <c r="N368" s="38">
        <f>17.3*25.4</f>
        <v>439.42</v>
      </c>
      <c r="O368" s="38">
        <f>2.8*25.4</f>
        <v>71.11999999999999</v>
      </c>
      <c r="P368" s="39">
        <f>7*25.4</f>
        <v>177.79999999999998</v>
      </c>
      <c r="Q368" s="7">
        <f t="shared" si="989"/>
        <v>246.38000000000002</v>
      </c>
      <c r="R368" s="38">
        <v>2</v>
      </c>
      <c r="S368" s="4">
        <f t="shared" si="966"/>
        <v>260.34999999999997</v>
      </c>
      <c r="T368" s="7">
        <f t="shared" si="990"/>
        <v>3.3</v>
      </c>
      <c r="U368" s="7">
        <f t="shared" si="1127"/>
        <v>3.3</v>
      </c>
      <c r="V368" s="38">
        <v>9.1</v>
      </c>
      <c r="W368" s="4">
        <f t="shared" si="991"/>
        <v>9.1</v>
      </c>
      <c r="X368" s="4">
        <f t="shared" si="992"/>
        <v>10.1</v>
      </c>
      <c r="Y368" s="7">
        <f t="shared" si="993"/>
        <v>80.72246279691916</v>
      </c>
      <c r="AB368" s="38">
        <f t="shared" si="1038"/>
        <v>291.72413793103448</v>
      </c>
      <c r="AC368" s="4">
        <v>42.3</v>
      </c>
      <c r="AD368" s="4">
        <f t="shared" si="1159"/>
        <v>0.72042570438964904</v>
      </c>
      <c r="AE368" s="38"/>
      <c r="AF368" s="38"/>
      <c r="AG368" s="39">
        <v>1</v>
      </c>
      <c r="AH368" s="39"/>
      <c r="AI368" s="39"/>
      <c r="AJ368" s="7"/>
      <c r="AK368" s="4">
        <f t="shared" si="994"/>
        <v>155.702</v>
      </c>
      <c r="AL368" s="4">
        <f t="shared" si="1175"/>
        <v>0.94072865687873841</v>
      </c>
      <c r="AM368" s="4">
        <f t="shared" si="1176"/>
        <v>111.90086657680006</v>
      </c>
      <c r="AN368" s="4">
        <f t="shared" si="1177"/>
        <v>0.80766721044045675</v>
      </c>
      <c r="AO368" s="4">
        <v>1.25</v>
      </c>
      <c r="AP368" s="4">
        <f t="shared" si="1112"/>
        <v>2.5</v>
      </c>
      <c r="AQ368" s="38">
        <f t="shared" si="967"/>
        <v>265.69311294239424</v>
      </c>
      <c r="AR368" s="38">
        <f t="shared" si="1178"/>
        <v>265.69311294239424</v>
      </c>
      <c r="AS368" s="38">
        <f t="shared" si="1179"/>
        <v>3.152781589644936</v>
      </c>
      <c r="AT368" s="38">
        <f t="shared" si="1121"/>
        <v>265.69311294239441</v>
      </c>
      <c r="AU368" s="38">
        <f t="shared" si="1086"/>
        <v>0.99999999999999933</v>
      </c>
      <c r="AV368" s="38">
        <f t="shared" si="954"/>
        <v>2.5529557142425969</v>
      </c>
      <c r="AW368" s="4">
        <f t="shared" ref="AW368:AW431" si="1230">IF(AV368&lt;1,1,0)</f>
        <v>0</v>
      </c>
      <c r="AX368" s="4">
        <f t="shared" si="995"/>
        <v>188.31562107203405</v>
      </c>
      <c r="AY368" s="4">
        <f t="shared" si="968"/>
        <v>1</v>
      </c>
      <c r="AZ368" s="38">
        <f t="shared" si="1102"/>
        <v>678.3027509211895</v>
      </c>
      <c r="BA368" s="4">
        <f t="shared" si="969"/>
        <v>0.3</v>
      </c>
      <c r="BB368" s="4">
        <f t="shared" si="970"/>
        <v>29.518473603041336</v>
      </c>
      <c r="BC368" s="4">
        <f t="shared" si="971"/>
        <v>707.82122452423084</v>
      </c>
      <c r="BE368" s="4">
        <f t="shared" si="1122"/>
        <v>1.45</v>
      </c>
      <c r="BF368" s="4">
        <f t="shared" si="1128"/>
        <v>409.54638580141318</v>
      </c>
      <c r="BH368" s="4">
        <f t="shared" si="1129"/>
        <v>650.57528915458977</v>
      </c>
      <c r="BI368" s="4">
        <f t="shared" si="1067"/>
        <v>0</v>
      </c>
      <c r="BJ368" s="4">
        <f t="shared" si="1130"/>
        <v>0</v>
      </c>
      <c r="BR368" s="4">
        <f t="shared" si="972"/>
        <v>71.11999999999999</v>
      </c>
      <c r="BV368" s="9"/>
      <c r="BX368" s="9"/>
      <c r="BY368" s="9"/>
      <c r="BZ368" s="9">
        <f t="shared" si="973"/>
        <v>71.11999999999999</v>
      </c>
      <c r="CA368" s="9">
        <f t="shared" si="974"/>
        <v>123.19000000000001</v>
      </c>
      <c r="CB368" s="9">
        <f t="shared" si="1087"/>
        <v>1.8170487186781425</v>
      </c>
      <c r="CC368" s="40">
        <f t="shared" si="996"/>
        <v>0</v>
      </c>
      <c r="CD368" s="9">
        <f t="shared" si="975"/>
        <v>0</v>
      </c>
      <c r="CE368" s="9">
        <f t="shared" si="976"/>
        <v>0</v>
      </c>
      <c r="CF368" s="9">
        <f t="shared" si="977"/>
        <v>0.99524931562137331</v>
      </c>
      <c r="CG368" s="9">
        <f t="shared" si="978"/>
        <v>0.68</v>
      </c>
      <c r="CH368" s="9">
        <f t="shared" si="1088"/>
        <v>1.3825737851765767</v>
      </c>
      <c r="CI368" s="9">
        <f t="shared" si="1089"/>
        <v>2.5122039248330883</v>
      </c>
      <c r="CJ368" s="40">
        <v>1</v>
      </c>
      <c r="CK368" s="9">
        <f t="shared" si="1090"/>
        <v>212.33147572689262</v>
      </c>
      <c r="CM368" s="4">
        <f t="shared" si="979"/>
        <v>1.549123414564981</v>
      </c>
      <c r="CN368" s="4">
        <f t="shared" si="980"/>
        <v>0.41214381234063702</v>
      </c>
      <c r="CO368" s="4">
        <f t="shared" si="946"/>
        <v>0.71231037080251502</v>
      </c>
      <c r="CP368" s="4">
        <f t="shared" si="981"/>
        <v>1.3739090586186062</v>
      </c>
      <c r="CQ368" s="4">
        <f t="shared" si="1189"/>
        <v>0.72042570438964904</v>
      </c>
      <c r="CR368" s="4">
        <f t="shared" si="1190"/>
        <v>0.72633374341804824</v>
      </c>
      <c r="CS368" s="4">
        <f t="shared" si="947"/>
        <v>0.98770988832965423</v>
      </c>
      <c r="CT368" s="4">
        <f t="shared" si="997"/>
        <v>0</v>
      </c>
      <c r="CU368" s="4">
        <f t="shared" ref="CU368:CV368" si="1231">CM368</f>
        <v>1.549123414564981</v>
      </c>
      <c r="CV368" s="4">
        <f t="shared" si="1231"/>
        <v>0.41214381234063702</v>
      </c>
      <c r="CW368" s="4">
        <f t="shared" ref="CW368" si="1232">CP368</f>
        <v>1.3739090586186062</v>
      </c>
      <c r="CX368" s="4">
        <f t="shared" si="1134"/>
        <v>0.98770988832965423</v>
      </c>
      <c r="CY368" s="4">
        <f t="shared" ref="CY368:CZ368" si="1233">CQ368</f>
        <v>0.72042570438964904</v>
      </c>
      <c r="CZ368" s="4">
        <f t="shared" si="1233"/>
        <v>0.72633374341804824</v>
      </c>
      <c r="DI368" s="4">
        <f t="shared" si="982"/>
        <v>155.702</v>
      </c>
      <c r="DL368" s="4">
        <f t="shared" si="1166"/>
        <v>1.12633822970624E-5</v>
      </c>
      <c r="DM368" s="4">
        <f t="shared" si="1009"/>
        <v>7.644622990955634</v>
      </c>
      <c r="DN368" s="4">
        <f t="shared" si="1167"/>
        <v>0.26917903901498447</v>
      </c>
      <c r="DO368" s="4">
        <f t="shared" si="1168"/>
        <v>4.5224374367393656</v>
      </c>
      <c r="DP368" s="4">
        <f t="shared" si="1169"/>
        <v>6.2818567560611411</v>
      </c>
      <c r="DQ368" s="4">
        <f t="shared" si="1170"/>
        <v>7.517556978819071</v>
      </c>
      <c r="DR368" s="38">
        <f t="shared" si="1183"/>
        <v>404.9329946912232</v>
      </c>
      <c r="DS368" s="4">
        <f t="shared" si="1095"/>
        <v>1.000109263515176</v>
      </c>
      <c r="DT368" s="4">
        <f t="shared" si="1171"/>
        <v>3.1780497164141401</v>
      </c>
      <c r="DU368" s="4">
        <f t="shared" si="1103"/>
        <v>265.69311294239441</v>
      </c>
      <c r="DY368" s="4">
        <f t="shared" si="1037"/>
        <v>0.85</v>
      </c>
      <c r="DZ368" s="4">
        <f t="shared" si="1096"/>
        <v>0.82000000000000006</v>
      </c>
      <c r="EA368" s="4">
        <f t="shared" si="1184"/>
        <v>1</v>
      </c>
      <c r="EB368" s="4">
        <f t="shared" si="1097"/>
        <v>0.82000000000000006</v>
      </c>
      <c r="ED368" s="4">
        <f t="shared" si="1185"/>
        <v>401.63924721191137</v>
      </c>
      <c r="EE368" s="25">
        <f t="shared" si="1186"/>
        <v>261.05463040823724</v>
      </c>
      <c r="EG368" s="4">
        <f t="shared" si="1104"/>
        <v>0.69700000000000006</v>
      </c>
      <c r="EH368" s="4">
        <f t="shared" si="1187"/>
        <v>7.644622990955634</v>
      </c>
      <c r="EK368" s="4">
        <f t="shared" si="1172"/>
        <v>80.72246279691916</v>
      </c>
      <c r="EL368" s="4">
        <f t="shared" si="1173"/>
        <v>3.1780497164141406</v>
      </c>
      <c r="EM368" s="4">
        <f t="shared" si="1174"/>
        <v>8.5912424859509881E-2</v>
      </c>
      <c r="EP368" s="4">
        <f t="shared" si="998"/>
        <v>8.5912424859509881E-2</v>
      </c>
      <c r="EQ368" s="4">
        <f t="shared" si="960"/>
        <v>0.26872982936702156</v>
      </c>
      <c r="ER368" s="4">
        <f t="shared" si="1010"/>
        <v>4.5194170819416337</v>
      </c>
      <c r="ES368" s="4">
        <f t="shared" si="983"/>
        <v>6.2807750403864535</v>
      </c>
      <c r="ET368" s="4">
        <f t="shared" si="1011"/>
        <v>36.054037203080838</v>
      </c>
      <c r="EU368" s="4">
        <f t="shared" si="1012"/>
        <v>38.9255</v>
      </c>
      <c r="EV368" s="4">
        <f t="shared" si="1098"/>
        <v>1.12633822970624E-5</v>
      </c>
      <c r="EW368" s="4">
        <f t="shared" si="984"/>
        <v>7.517605518570865</v>
      </c>
      <c r="EX368" s="4">
        <f t="shared" si="1131"/>
        <v>404.88875512258329</v>
      </c>
      <c r="FG368" s="23">
        <f t="shared" si="1030"/>
        <v>1.6</v>
      </c>
      <c r="FH368" s="23">
        <f t="shared" si="1030"/>
        <v>0.6</v>
      </c>
      <c r="FI368" s="23">
        <f t="shared" si="952"/>
        <v>1</v>
      </c>
      <c r="FJ368" s="23">
        <f t="shared" si="1031"/>
        <v>1.4</v>
      </c>
      <c r="FK368" s="23">
        <f t="shared" si="1031"/>
        <v>0.8</v>
      </c>
      <c r="FL368" s="23">
        <f t="shared" si="1031"/>
        <v>0.8</v>
      </c>
      <c r="FM368" s="23">
        <f t="shared" si="1195"/>
        <v>1</v>
      </c>
      <c r="FN368" s="23"/>
      <c r="FX368" s="4">
        <f t="shared" si="1099"/>
        <v>1</v>
      </c>
      <c r="FY368" s="4">
        <f t="shared" si="1139"/>
        <v>0.5</v>
      </c>
      <c r="FZ368" s="4">
        <f t="shared" si="1100"/>
        <v>0</v>
      </c>
      <c r="GA368" s="4">
        <f t="shared" si="1101"/>
        <v>295.3540724639073</v>
      </c>
    </row>
    <row r="369" spans="1:183" ht="12" hidden="1" customHeight="1" x14ac:dyDescent="0.3">
      <c r="A369" s="25">
        <v>351</v>
      </c>
      <c r="B369" s="4" t="s">
        <v>605</v>
      </c>
      <c r="C369" s="4">
        <v>2016</v>
      </c>
      <c r="D369" s="4" t="s">
        <v>309</v>
      </c>
      <c r="E369" s="24" t="s">
        <v>672</v>
      </c>
      <c r="F369" s="7" t="s">
        <v>515</v>
      </c>
      <c r="G369" s="38">
        <f t="shared" si="1199"/>
        <v>889.65517241379314</v>
      </c>
      <c r="H369" s="38">
        <f>6.16*25.4</f>
        <v>156.464</v>
      </c>
      <c r="I369" s="4">
        <f t="shared" si="985"/>
        <v>156.464</v>
      </c>
      <c r="J369" s="38">
        <f t="shared" si="1225"/>
        <v>34.068965517241381</v>
      </c>
      <c r="K369" s="38">
        <f t="shared" si="986"/>
        <v>25.4</v>
      </c>
      <c r="L369" s="7">
        <f t="shared" si="987"/>
        <v>6.16</v>
      </c>
      <c r="M369" s="7">
        <f t="shared" si="988"/>
        <v>6.16</v>
      </c>
      <c r="N369" s="38">
        <f>17*25.4</f>
        <v>431.79999999999995</v>
      </c>
      <c r="O369" s="38">
        <f>2.5*25.4</f>
        <v>63.5</v>
      </c>
      <c r="P369" s="39">
        <f>6.95*25.4</f>
        <v>176.53</v>
      </c>
      <c r="Q369" s="7">
        <f t="shared" si="989"/>
        <v>253.99999999999994</v>
      </c>
      <c r="R369" s="38">
        <v>2</v>
      </c>
      <c r="S369" s="4">
        <f t="shared" si="966"/>
        <v>260.34999999999997</v>
      </c>
      <c r="T369" s="7">
        <f t="shared" si="990"/>
        <v>3</v>
      </c>
      <c r="U369" s="7">
        <f t="shared" si="1127"/>
        <v>3</v>
      </c>
      <c r="V369" s="38">
        <v>9.1</v>
      </c>
      <c r="W369" s="4">
        <f t="shared" si="991"/>
        <v>9.1</v>
      </c>
      <c r="X369" s="4">
        <f t="shared" si="992"/>
        <v>10.1</v>
      </c>
      <c r="Y369" s="7">
        <f t="shared" si="993"/>
        <v>80.72246279691916</v>
      </c>
      <c r="AB369" s="38">
        <f t="shared" si="1038"/>
        <v>469.65517241379308</v>
      </c>
      <c r="AC369" s="4">
        <v>68.099999999999994</v>
      </c>
      <c r="AD369" s="4">
        <f t="shared" si="1159"/>
        <v>1.1550340401026544</v>
      </c>
      <c r="AE369" s="38">
        <f>0.375*25.4</f>
        <v>9.5249999999999986</v>
      </c>
      <c r="AF369" s="38">
        <v>10</v>
      </c>
      <c r="AG369" s="39">
        <f t="shared" si="1217"/>
        <v>76.199999999999989</v>
      </c>
      <c r="AH369" s="39">
        <v>3</v>
      </c>
      <c r="AI369" s="39">
        <f>AH369-1</f>
        <v>2</v>
      </c>
      <c r="AJ369" s="7"/>
      <c r="AK369" s="4">
        <f t="shared" si="994"/>
        <v>156.464</v>
      </c>
      <c r="AL369" s="4">
        <f t="shared" si="1175"/>
        <v>0.91991341991341979</v>
      </c>
      <c r="AM369" s="4">
        <f t="shared" si="1176"/>
        <v>112.7233290428203</v>
      </c>
      <c r="AN369" s="4">
        <f t="shared" si="1177"/>
        <v>0.79740259740259734</v>
      </c>
      <c r="AO369" s="4">
        <v>1.25</v>
      </c>
      <c r="AP369" s="4">
        <f t="shared" si="1112"/>
        <v>2.5</v>
      </c>
      <c r="AQ369" s="38">
        <f t="shared" si="967"/>
        <v>258.39757190753738</v>
      </c>
      <c r="AR369" s="38">
        <f t="shared" si="1178"/>
        <v>258.39757190753738</v>
      </c>
      <c r="AS369" s="38">
        <f t="shared" si="1179"/>
        <v>3.152781589644936</v>
      </c>
      <c r="AT369" s="38">
        <f t="shared" si="1121"/>
        <v>258.39757190753727</v>
      </c>
      <c r="AU369" s="38">
        <f t="shared" si="1086"/>
        <v>1.0000000000000004</v>
      </c>
      <c r="AV369" s="38">
        <f t="shared" si="954"/>
        <v>2.3863957386351191</v>
      </c>
      <c r="AW369" s="4">
        <f t="shared" si="1230"/>
        <v>0</v>
      </c>
      <c r="AX369" s="4">
        <f t="shared" si="995"/>
        <v>189.23723096308805</v>
      </c>
      <c r="AY369" s="4">
        <f t="shared" si="968"/>
        <v>1</v>
      </c>
      <c r="AZ369" s="38">
        <f t="shared" si="1102"/>
        <v>616.63886447380867</v>
      </c>
      <c r="BA369" s="4">
        <f t="shared" si="969"/>
        <v>0.3</v>
      </c>
      <c r="BB369" s="4">
        <f t="shared" si="970"/>
        <v>29.66293595346405</v>
      </c>
      <c r="BC369" s="4">
        <f t="shared" si="971"/>
        <v>646.30180042727272</v>
      </c>
      <c r="BE369" s="4">
        <f t="shared" si="1122"/>
        <v>1.5</v>
      </c>
      <c r="BF369" s="4">
        <f t="shared" si="1128"/>
        <v>424.45665142383035</v>
      </c>
      <c r="BH369" s="4">
        <f t="shared" si="1129"/>
        <v>591.43208104962719</v>
      </c>
      <c r="BI369" s="4">
        <f t="shared" si="1067"/>
        <v>0</v>
      </c>
      <c r="BJ369" s="4">
        <f t="shared" si="1130"/>
        <v>0</v>
      </c>
      <c r="BR369" s="4">
        <f t="shared" si="972"/>
        <v>63.5</v>
      </c>
      <c r="BV369" s="9"/>
      <c r="BX369" s="9"/>
      <c r="BY369" s="9"/>
      <c r="BZ369" s="9">
        <f t="shared" si="973"/>
        <v>63.5</v>
      </c>
      <c r="CA369" s="9">
        <f t="shared" si="974"/>
        <v>126.99999999999997</v>
      </c>
      <c r="CB369" s="9">
        <f t="shared" si="1087"/>
        <v>1.7543833769624846</v>
      </c>
      <c r="CC369" s="40">
        <f t="shared" si="996"/>
        <v>20</v>
      </c>
      <c r="CD369" s="9">
        <f t="shared" si="975"/>
        <v>0.05</v>
      </c>
      <c r="CE369" s="9">
        <f t="shared" si="976"/>
        <v>0.8</v>
      </c>
      <c r="CF369" s="9">
        <f t="shared" si="977"/>
        <v>0.99524931562137331</v>
      </c>
      <c r="CG369" s="9">
        <f t="shared" si="978"/>
        <v>0.68</v>
      </c>
      <c r="CH369" s="9">
        <f t="shared" si="1088"/>
        <v>1.3825737851765767</v>
      </c>
      <c r="CI369" s="9">
        <f t="shared" si="1089"/>
        <v>3.4564344629414419</v>
      </c>
      <c r="CJ369" s="40">
        <v>1</v>
      </c>
      <c r="CK369" s="9">
        <f t="shared" si="1090"/>
        <v>292.55261294336361</v>
      </c>
      <c r="CM369" s="4">
        <f t="shared" si="979"/>
        <v>2.4818328297426966</v>
      </c>
      <c r="CN369" s="4">
        <f t="shared" si="980"/>
        <v>0.72668089753626275</v>
      </c>
      <c r="CO369" s="4">
        <f t="shared" si="946"/>
        <v>1.106485599503142</v>
      </c>
      <c r="CP369" s="4">
        <f t="shared" si="981"/>
        <v>1.6053699459000061</v>
      </c>
      <c r="CQ369" s="4">
        <f t="shared" si="1189"/>
        <v>1.1550340401026544</v>
      </c>
      <c r="CR369" s="4">
        <f t="shared" si="1190"/>
        <v>1.1618512131976952</v>
      </c>
      <c r="CS369" s="4">
        <f t="shared" si="947"/>
        <v>1.405758816311484</v>
      </c>
      <c r="CT369" s="4">
        <f t="shared" si="997"/>
        <v>10</v>
      </c>
      <c r="DA369" s="4">
        <f t="shared" ref="DA369:DB369" si="1234">CM369</f>
        <v>2.4818328297426966</v>
      </c>
      <c r="DB369" s="4">
        <f t="shared" si="1234"/>
        <v>0.72668089753626275</v>
      </c>
      <c r="DC369" s="4">
        <f t="shared" ref="DC369" si="1235">CP369</f>
        <v>1.6053699459000061</v>
      </c>
      <c r="DD369" s="4">
        <f t="shared" ref="DD369" si="1236">CS369</f>
        <v>1.405758816311484</v>
      </c>
      <c r="DE369" s="4">
        <f t="shared" ref="DE369:DF369" si="1237">CQ369</f>
        <v>1.1550340401026544</v>
      </c>
      <c r="DF369" s="4">
        <f t="shared" si="1237"/>
        <v>1.1618512131976952</v>
      </c>
      <c r="DI369" s="4">
        <f t="shared" si="982"/>
        <v>156.464</v>
      </c>
      <c r="DL369" s="4">
        <f t="shared" si="1166"/>
        <v>1.1318504885791904E-5</v>
      </c>
      <c r="DM369" s="4">
        <f t="shared" si="1009"/>
        <v>8.1377244333742738</v>
      </c>
      <c r="DN369" s="4">
        <f t="shared" si="1167"/>
        <v>0.26178777959124849</v>
      </c>
      <c r="DO369" s="4">
        <f t="shared" si="1168"/>
        <v>4.7608305831924742</v>
      </c>
      <c r="DP369" s="4">
        <f t="shared" si="1169"/>
        <v>6.6680371999399997</v>
      </c>
      <c r="DQ369" s="4">
        <f t="shared" si="1170"/>
        <v>7.9931431117716185</v>
      </c>
      <c r="DR369" s="38">
        <f t="shared" si="1183"/>
        <v>406.61587114095107</v>
      </c>
      <c r="DS369" s="4">
        <f t="shared" si="1095"/>
        <v>1.0001146027616279</v>
      </c>
      <c r="DT369" s="4">
        <f t="shared" si="1171"/>
        <v>3.1780497164141401</v>
      </c>
      <c r="DU369" s="4">
        <f t="shared" si="1103"/>
        <v>258.39757190753727</v>
      </c>
      <c r="DY369" s="4">
        <f t="shared" si="1037"/>
        <v>0.85</v>
      </c>
      <c r="DZ369" s="4">
        <f t="shared" si="1096"/>
        <v>0.85</v>
      </c>
      <c r="EA369" s="4">
        <f t="shared" si="1184"/>
        <v>0.90625</v>
      </c>
      <c r="EB369" s="4">
        <f t="shared" si="1097"/>
        <v>0.77031249999999996</v>
      </c>
      <c r="ED369" s="4">
        <f t="shared" si="1185"/>
        <v>404.2300486317767</v>
      </c>
      <c r="EE369" s="25">
        <f t="shared" si="1186"/>
        <v>253.84490110302011</v>
      </c>
      <c r="EG369" s="4">
        <f t="shared" si="1104"/>
        <v>0.65476562499999991</v>
      </c>
      <c r="EH369" s="4">
        <f t="shared" si="1187"/>
        <v>8.1377244333742738</v>
      </c>
      <c r="EK369" s="4">
        <f t="shared" si="1172"/>
        <v>80.72246279691916</v>
      </c>
      <c r="EL369" s="4">
        <f t="shared" si="1173"/>
        <v>3.1780497164141406</v>
      </c>
      <c r="EM369" s="4">
        <f t="shared" si="1174"/>
        <v>8.3553396377267913E-2</v>
      </c>
      <c r="EP369" s="4">
        <f t="shared" si="998"/>
        <v>8.3553396377267913E-2</v>
      </c>
      <c r="EQ369" s="4">
        <f t="shared" si="960"/>
        <v>0.2613509045777202</v>
      </c>
      <c r="ER369" s="4">
        <f t="shared" si="1010"/>
        <v>4.7576510151621187</v>
      </c>
      <c r="ES369" s="4">
        <f t="shared" si="983"/>
        <v>6.6669082398660349</v>
      </c>
      <c r="ET369" s="4">
        <f t="shared" si="1011"/>
        <v>36.625537203080839</v>
      </c>
      <c r="EU369" s="4">
        <f t="shared" si="1012"/>
        <v>39.116</v>
      </c>
      <c r="EV369" s="4">
        <f t="shared" si="1098"/>
        <v>1.1318504885791904E-5</v>
      </c>
      <c r="EW369" s="4">
        <f t="shared" si="984"/>
        <v>7.9931978124771756</v>
      </c>
      <c r="EX369" s="4">
        <f t="shared" si="1131"/>
        <v>406.56927717899327</v>
      </c>
      <c r="FG369" s="23">
        <f t="shared" si="1030"/>
        <v>2.2000000000000002</v>
      </c>
      <c r="FH369" s="23">
        <f t="shared" si="1030"/>
        <v>0.8</v>
      </c>
      <c r="FI369" s="23">
        <f t="shared" si="952"/>
        <v>1.6</v>
      </c>
      <c r="FJ369" s="23">
        <f t="shared" si="1031"/>
        <v>1.8</v>
      </c>
      <c r="FK369" s="23">
        <f t="shared" si="1031"/>
        <v>1.2</v>
      </c>
      <c r="FL369" s="23">
        <f t="shared" si="1031"/>
        <v>1.2</v>
      </c>
      <c r="FM369" s="23">
        <f t="shared" si="1195"/>
        <v>0</v>
      </c>
      <c r="FN369" s="23"/>
      <c r="FX369" s="4">
        <f t="shared" si="1099"/>
        <v>1</v>
      </c>
      <c r="FY369" s="4">
        <f t="shared" si="1139"/>
        <v>0.44418604651162791</v>
      </c>
      <c r="FZ369" s="4">
        <f t="shared" si="1100"/>
        <v>0.3</v>
      </c>
      <c r="GA369" s="4">
        <f t="shared" si="1101"/>
        <v>334.0937058080155</v>
      </c>
    </row>
    <row r="370" spans="1:183" ht="12" hidden="1" customHeight="1" x14ac:dyDescent="0.3">
      <c r="A370" s="25">
        <v>352</v>
      </c>
      <c r="B370" s="4" t="s">
        <v>605</v>
      </c>
      <c r="C370" s="4">
        <v>2016</v>
      </c>
      <c r="D370" s="4" t="s">
        <v>309</v>
      </c>
      <c r="E370" s="24" t="s">
        <v>672</v>
      </c>
      <c r="F370" s="7" t="s">
        <v>516</v>
      </c>
      <c r="G370" s="38">
        <f t="shared" si="1199"/>
        <v>889.65517241379314</v>
      </c>
      <c r="H370" s="38">
        <f>6.21*25.4</f>
        <v>157.73399999999998</v>
      </c>
      <c r="I370" s="4">
        <f t="shared" si="985"/>
        <v>157.73399999999998</v>
      </c>
      <c r="J370" s="38">
        <f>5160/145</f>
        <v>35.586206896551722</v>
      </c>
      <c r="K370" s="38">
        <f t="shared" si="986"/>
        <v>25.4</v>
      </c>
      <c r="L370" s="7">
        <f t="shared" si="987"/>
        <v>6.21</v>
      </c>
      <c r="M370" s="7">
        <f t="shared" si="988"/>
        <v>6.21</v>
      </c>
      <c r="N370" s="38">
        <f>17.3*25.4</f>
        <v>439.42</v>
      </c>
      <c r="O370" s="38">
        <f>2.65*25.4</f>
        <v>67.309999999999988</v>
      </c>
      <c r="P370" s="39">
        <f>7.15*25.4</f>
        <v>181.60999999999999</v>
      </c>
      <c r="Q370" s="7">
        <f t="shared" si="989"/>
        <v>114.30000000000003</v>
      </c>
      <c r="R370" s="38">
        <v>3</v>
      </c>
      <c r="S370" s="4">
        <f t="shared" si="966"/>
        <v>260.34999999999997</v>
      </c>
      <c r="T370" s="7">
        <f t="shared" si="990"/>
        <v>2.7500000000000004</v>
      </c>
      <c r="U370" s="7">
        <f t="shared" si="1127"/>
        <v>3.1499999999999995</v>
      </c>
      <c r="V370" s="38">
        <v>9.1</v>
      </c>
      <c r="W370" s="4">
        <f t="shared" si="991"/>
        <v>9.1</v>
      </c>
      <c r="X370" s="4">
        <f t="shared" si="992"/>
        <v>10.1</v>
      </c>
      <c r="Y370" s="7">
        <f t="shared" si="993"/>
        <v>80.72246279691916</v>
      </c>
      <c r="AB370" s="38">
        <f t="shared" si="1038"/>
        <v>200.68965517241381</v>
      </c>
      <c r="AC370" s="4">
        <v>29.1</v>
      </c>
      <c r="AD370" s="4">
        <f t="shared" si="1159"/>
        <v>0.65535916327208799</v>
      </c>
      <c r="AE370" s="38"/>
      <c r="AF370" s="38"/>
      <c r="AG370" s="39">
        <v>1</v>
      </c>
      <c r="AH370" s="39"/>
      <c r="AI370" s="39"/>
      <c r="AJ370" s="7"/>
      <c r="AK370" s="4">
        <f t="shared" si="994"/>
        <v>157.73399999999998</v>
      </c>
      <c r="AL370" s="4">
        <f t="shared" si="1175"/>
        <v>0.92860976918947957</v>
      </c>
      <c r="AM370" s="4">
        <f t="shared" si="1176"/>
        <v>77.74102377301837</v>
      </c>
      <c r="AN370" s="4">
        <f t="shared" si="1177"/>
        <v>0.8014492753623188</v>
      </c>
      <c r="AO370" s="4">
        <v>1.25</v>
      </c>
      <c r="AP370" s="4">
        <f t="shared" si="1112"/>
        <v>2.5</v>
      </c>
      <c r="AQ370" s="38">
        <f t="shared" si="967"/>
        <v>180.80463768458466</v>
      </c>
      <c r="AR370" s="38">
        <f t="shared" si="1178"/>
        <v>180.80463768458466</v>
      </c>
      <c r="AS370" s="38">
        <f t="shared" si="1179"/>
        <v>3.2457050730263122</v>
      </c>
      <c r="AT370" s="38">
        <f t="shared" si="1121"/>
        <v>180.80463768458458</v>
      </c>
      <c r="AU370" s="38">
        <f t="shared" si="1086"/>
        <v>1.0000000000000004</v>
      </c>
      <c r="AV370" s="38">
        <f t="shared" si="954"/>
        <v>3.4555391215647067</v>
      </c>
      <c r="AW370" s="4">
        <f t="shared" si="1230"/>
        <v>0</v>
      </c>
      <c r="AX370" s="4">
        <f t="shared" si="995"/>
        <v>194.9749640423226</v>
      </c>
      <c r="AY370" s="4">
        <f t="shared" si="968"/>
        <v>1.0581818181818181</v>
      </c>
      <c r="AZ370" s="38">
        <f t="shared" si="1102"/>
        <v>624.77749887941445</v>
      </c>
      <c r="BA370" s="4">
        <f t="shared" si="969"/>
        <v>0.3</v>
      </c>
      <c r="BB370" s="4">
        <f t="shared" si="970"/>
        <v>30.562325613634059</v>
      </c>
      <c r="BC370" s="4">
        <f t="shared" si="971"/>
        <v>655.33982449304847</v>
      </c>
      <c r="BE370" s="4">
        <f t="shared" si="1122"/>
        <v>1.4124999999999999</v>
      </c>
      <c r="BF370" s="4">
        <f t="shared" si="1128"/>
        <v>409.76378785142674</v>
      </c>
      <c r="BH370" s="4">
        <f t="shared" si="1129"/>
        <v>599.23802673473551</v>
      </c>
      <c r="BI370" s="4">
        <f t="shared" si="1067"/>
        <v>0</v>
      </c>
      <c r="BJ370" s="4">
        <f t="shared" si="1130"/>
        <v>0</v>
      </c>
      <c r="BR370" s="4">
        <f t="shared" si="972"/>
        <v>57.150000000000013</v>
      </c>
      <c r="BV370" s="9"/>
      <c r="BX370" s="9"/>
      <c r="BY370" s="9"/>
      <c r="BZ370" s="9">
        <f t="shared" si="973"/>
        <v>57.150000000000013</v>
      </c>
      <c r="CA370" s="9">
        <f t="shared" si="974"/>
        <v>67.309999999999988</v>
      </c>
      <c r="CB370" s="9">
        <f t="shared" si="1087"/>
        <v>1.5372721608851661</v>
      </c>
      <c r="CC370" s="40">
        <f t="shared" si="996"/>
        <v>0</v>
      </c>
      <c r="CD370" s="9">
        <f t="shared" si="975"/>
        <v>0</v>
      </c>
      <c r="CE370" s="9">
        <f t="shared" si="976"/>
        <v>0</v>
      </c>
      <c r="CF370" s="9">
        <f t="shared" si="977"/>
        <v>0.99524931562137331</v>
      </c>
      <c r="CG370" s="9">
        <f t="shared" si="978"/>
        <v>0.68</v>
      </c>
      <c r="CH370" s="9">
        <f t="shared" si="1088"/>
        <v>1.4130245076626196</v>
      </c>
      <c r="CI370" s="9">
        <f t="shared" si="1089"/>
        <v>2.1722032382782128</v>
      </c>
      <c r="CJ370" s="40">
        <v>1</v>
      </c>
      <c r="CK370" s="9">
        <f t="shared" si="1090"/>
        <v>184.28972273552358</v>
      </c>
      <c r="CM370" s="4">
        <f t="shared" si="979"/>
        <v>1.0293098714399596</v>
      </c>
      <c r="CN370" s="4">
        <f t="shared" si="980"/>
        <v>0.30623753916933311</v>
      </c>
      <c r="CO370" s="4">
        <f t="shared" si="946"/>
        <v>0.48976913315039056</v>
      </c>
      <c r="CP370" s="4">
        <f t="shared" si="981"/>
        <v>1.0889899457954362</v>
      </c>
      <c r="CQ370" s="4">
        <f t="shared" si="1189"/>
        <v>0.65535916327208799</v>
      </c>
      <c r="CR370" s="4">
        <f t="shared" si="1190"/>
        <v>0.63898823880641586</v>
      </c>
      <c r="CS370" s="4">
        <f t="shared" si="947"/>
        <v>0.93991349427050186</v>
      </c>
      <c r="CT370" s="4">
        <f t="shared" si="997"/>
        <v>0</v>
      </c>
      <c r="CU370" s="4">
        <f t="shared" ref="CU370:CV370" si="1238">CM370</f>
        <v>1.0293098714399596</v>
      </c>
      <c r="CV370" s="4">
        <f t="shared" si="1238"/>
        <v>0.30623753916933311</v>
      </c>
      <c r="CW370" s="4">
        <f t="shared" ref="CW370" si="1239">CP370</f>
        <v>1.0889899457954362</v>
      </c>
      <c r="CX370" s="4">
        <f t="shared" si="1134"/>
        <v>0.93991349427050186</v>
      </c>
      <c r="CY370" s="4">
        <f t="shared" ref="CY370:CZ370" si="1240">CQ370</f>
        <v>0.65535916327208799</v>
      </c>
      <c r="CZ370" s="4">
        <f t="shared" si="1240"/>
        <v>0.63898823880641586</v>
      </c>
      <c r="DI370" s="4">
        <f t="shared" si="982"/>
        <v>157.73399999999998</v>
      </c>
      <c r="DL370" s="4">
        <f t="shared" si="1166"/>
        <v>1.1529710395163923E-5</v>
      </c>
      <c r="DM370" s="4">
        <f t="shared" si="1009"/>
        <v>7.3218908082293819</v>
      </c>
      <c r="DN370" s="4">
        <f t="shared" si="1167"/>
        <v>0.17536695232656146</v>
      </c>
      <c r="DO370" s="4">
        <f t="shared" si="1168"/>
        <v>3.6492393541682246</v>
      </c>
      <c r="DP370" s="4">
        <f t="shared" si="1169"/>
        <v>5.7877993154744845</v>
      </c>
      <c r="DQ370" s="4">
        <f t="shared" si="1170"/>
        <v>7.2114272284070706</v>
      </c>
      <c r="DR370" s="38">
        <f t="shared" si="1183"/>
        <v>306.22850250602619</v>
      </c>
      <c r="DS370" s="4">
        <f t="shared" si="1095"/>
        <v>1.0001150869165782</v>
      </c>
      <c r="DT370" s="4">
        <f t="shared" si="1171"/>
        <v>3.1780497164141401</v>
      </c>
      <c r="DU370" s="4">
        <f t="shared" si="1103"/>
        <v>180.80463768458458</v>
      </c>
      <c r="DY370" s="4">
        <f t="shared" si="1037"/>
        <v>0.85</v>
      </c>
      <c r="DZ370" s="4">
        <f t="shared" si="1096"/>
        <v>0.87499999999999989</v>
      </c>
      <c r="EA370" s="4">
        <f t="shared" si="1184"/>
        <v>1</v>
      </c>
      <c r="EB370" s="4">
        <f t="shared" si="1097"/>
        <v>0.87499999999999989</v>
      </c>
      <c r="ED370" s="4">
        <f t="shared" si="1185"/>
        <v>314.07409868339312</v>
      </c>
      <c r="EE370" s="25">
        <f t="shared" si="1186"/>
        <v>177.66727292607976</v>
      </c>
      <c r="EG370" s="4">
        <f t="shared" si="1104"/>
        <v>0.74374999999999991</v>
      </c>
      <c r="EH370" s="4">
        <f t="shared" si="1187"/>
        <v>7.3218908082293819</v>
      </c>
      <c r="EK370" s="4">
        <f t="shared" si="1172"/>
        <v>80.72246279691916</v>
      </c>
      <c r="EL370" s="4">
        <f t="shared" si="1173"/>
        <v>3.1780497164141406</v>
      </c>
      <c r="EM370" s="4">
        <f t="shared" si="1174"/>
        <v>5.7203666971321981E-2</v>
      </c>
      <c r="EP370" s="4">
        <f t="shared" si="998"/>
        <v>5.7203666971321981E-2</v>
      </c>
      <c r="EQ370" s="4">
        <f t="shared" si="960"/>
        <v>0.1750742975670854</v>
      </c>
      <c r="ER370" s="4">
        <f t="shared" si="1010"/>
        <v>3.6468021733900247</v>
      </c>
      <c r="ES370" s="4">
        <f t="shared" si="983"/>
        <v>5.7870401970278555</v>
      </c>
      <c r="ET370" s="4">
        <f t="shared" si="1011"/>
        <v>37.578037203080825</v>
      </c>
      <c r="EU370" s="4">
        <f t="shared" si="1012"/>
        <v>39.433499999999995</v>
      </c>
      <c r="EV370" s="4">
        <f t="shared" si="1098"/>
        <v>1.1529710395163923E-5</v>
      </c>
      <c r="EW370" s="4">
        <f t="shared" si="984"/>
        <v>7.2114651350312444</v>
      </c>
      <c r="EX370" s="4">
        <f t="shared" si="1131"/>
        <v>306.19326366743365</v>
      </c>
      <c r="FG370" s="23">
        <f t="shared" si="1030"/>
        <v>1.2</v>
      </c>
      <c r="FH370" s="23">
        <f t="shared" si="1030"/>
        <v>0.6</v>
      </c>
      <c r="FI370" s="23">
        <f t="shared" si="952"/>
        <v>1</v>
      </c>
      <c r="FJ370" s="23">
        <f t="shared" si="1031"/>
        <v>1.2</v>
      </c>
      <c r="FK370" s="23">
        <f t="shared" si="1031"/>
        <v>0.8</v>
      </c>
      <c r="FL370" s="23">
        <f t="shared" si="1031"/>
        <v>0.8</v>
      </c>
      <c r="FM370" s="23">
        <f t="shared" si="1195"/>
        <v>1</v>
      </c>
      <c r="FN370" s="23"/>
      <c r="FX370" s="4">
        <f t="shared" si="1099"/>
        <v>1</v>
      </c>
      <c r="FY370" s="4">
        <f t="shared" si="1139"/>
        <v>0.70833333333333326</v>
      </c>
      <c r="FZ370" s="4">
        <f t="shared" si="1100"/>
        <v>0</v>
      </c>
      <c r="GA370" s="4">
        <f t="shared" si="1101"/>
        <v>213.51928278056667</v>
      </c>
    </row>
    <row r="371" spans="1:183" ht="12" hidden="1" customHeight="1" x14ac:dyDescent="0.3">
      <c r="A371" s="25">
        <v>353</v>
      </c>
      <c r="B371" s="4" t="s">
        <v>605</v>
      </c>
      <c r="C371" s="4">
        <v>2016</v>
      </c>
      <c r="D371" s="4" t="s">
        <v>309</v>
      </c>
      <c r="E371" s="24" t="s">
        <v>672</v>
      </c>
      <c r="F371" s="7" t="s">
        <v>517</v>
      </c>
      <c r="G371" s="38">
        <f t="shared" si="1199"/>
        <v>889.65517241379314</v>
      </c>
      <c r="H371" s="38">
        <f>6.25*25.4</f>
        <v>158.75</v>
      </c>
      <c r="I371" s="4">
        <f t="shared" si="985"/>
        <v>158.75</v>
      </c>
      <c r="J371" s="38">
        <f t="shared" ref="J371:J373" si="1241">5160/145</f>
        <v>35.586206896551722</v>
      </c>
      <c r="K371" s="38">
        <f t="shared" si="986"/>
        <v>25.4</v>
      </c>
      <c r="L371" s="7">
        <f t="shared" si="987"/>
        <v>6.25</v>
      </c>
      <c r="M371" s="7">
        <f t="shared" si="988"/>
        <v>6.25</v>
      </c>
      <c r="N371" s="38">
        <f>17.3*25.4</f>
        <v>439.42</v>
      </c>
      <c r="O371" s="38">
        <f>2.65*25.4</f>
        <v>67.309999999999988</v>
      </c>
      <c r="P371" s="39">
        <f>7.1*25.4</f>
        <v>180.33999999999997</v>
      </c>
      <c r="Q371" s="7">
        <f t="shared" si="989"/>
        <v>114.30000000000003</v>
      </c>
      <c r="R371" s="38">
        <v>3</v>
      </c>
      <c r="S371" s="4">
        <f t="shared" si="966"/>
        <v>260.34999999999997</v>
      </c>
      <c r="T371" s="7">
        <f t="shared" si="990"/>
        <v>2.7500000000000004</v>
      </c>
      <c r="U371" s="7">
        <f t="shared" si="1127"/>
        <v>3.1499999999999995</v>
      </c>
      <c r="V371" s="38">
        <v>9.1</v>
      </c>
      <c r="W371" s="4">
        <f t="shared" si="991"/>
        <v>9.1</v>
      </c>
      <c r="X371" s="4">
        <f t="shared" si="992"/>
        <v>10.1</v>
      </c>
      <c r="Y371" s="7">
        <f t="shared" si="993"/>
        <v>80.72246279691916</v>
      </c>
      <c r="AB371" s="38">
        <f t="shared" si="1038"/>
        <v>376.55172413793105</v>
      </c>
      <c r="AC371" s="4">
        <v>54.6</v>
      </c>
      <c r="AD371" s="4">
        <f t="shared" si="1159"/>
        <v>1.1105084560718819</v>
      </c>
      <c r="AE371" s="38">
        <f>0.5*25.4</f>
        <v>12.7</v>
      </c>
      <c r="AF371" s="38">
        <v>10</v>
      </c>
      <c r="AG371" s="39">
        <f t="shared" si="1217"/>
        <v>76.199999999999989</v>
      </c>
      <c r="AH371" s="39">
        <v>3</v>
      </c>
      <c r="AI371" s="39">
        <f>AH371-1</f>
        <v>2</v>
      </c>
      <c r="AJ371" s="7"/>
      <c r="AK371" s="4">
        <f t="shared" si="994"/>
        <v>158.75</v>
      </c>
      <c r="AL371" s="4">
        <f t="shared" si="1175"/>
        <v>0.92266666666666663</v>
      </c>
      <c r="AM371" s="4">
        <f t="shared" si="1176"/>
        <v>78.493353014927791</v>
      </c>
      <c r="AN371" s="4">
        <f t="shared" si="1177"/>
        <v>0.80079999999999996</v>
      </c>
      <c r="AO371" s="4">
        <v>1.25</v>
      </c>
      <c r="AP371" s="4">
        <f t="shared" si="1112"/>
        <v>2.5</v>
      </c>
      <c r="AQ371" s="38">
        <f t="shared" si="967"/>
        <v>181.23905895538786</v>
      </c>
      <c r="AR371" s="38">
        <f t="shared" si="1178"/>
        <v>181.23905895538786</v>
      </c>
      <c r="AS371" s="38">
        <f t="shared" si="1179"/>
        <v>3.2457050730263122</v>
      </c>
      <c r="AT371" s="38">
        <f t="shared" si="1121"/>
        <v>181.23905895538806</v>
      </c>
      <c r="AU371" s="38">
        <f t="shared" si="1086"/>
        <v>0.99999999999999889</v>
      </c>
      <c r="AV371" s="38">
        <f t="shared" si="954"/>
        <v>3.4472563611864881</v>
      </c>
      <c r="AW371" s="4">
        <f t="shared" si="1230"/>
        <v>0</v>
      </c>
      <c r="AX371" s="4">
        <f t="shared" si="995"/>
        <v>196.23084142745833</v>
      </c>
      <c r="AY371" s="4">
        <f t="shared" si="968"/>
        <v>1.0581818181818181</v>
      </c>
      <c r="AZ371" s="38">
        <f t="shared" si="1102"/>
        <v>624.77749887941445</v>
      </c>
      <c r="BA371" s="4">
        <f t="shared" si="969"/>
        <v>0.3</v>
      </c>
      <c r="BB371" s="4">
        <f t="shared" si="970"/>
        <v>30.75918439375409</v>
      </c>
      <c r="BC371" s="4">
        <f t="shared" si="971"/>
        <v>655.53668327316859</v>
      </c>
      <c r="BE371" s="4">
        <f t="shared" si="1122"/>
        <v>1.5</v>
      </c>
      <c r="BF371" s="4">
        <f t="shared" si="1128"/>
        <v>436.22116049323989</v>
      </c>
      <c r="BH371" s="4">
        <f t="shared" si="1129"/>
        <v>599.23802673473551</v>
      </c>
      <c r="BI371" s="4">
        <f t="shared" si="1067"/>
        <v>0</v>
      </c>
      <c r="BJ371" s="4">
        <f t="shared" si="1130"/>
        <v>0</v>
      </c>
      <c r="BR371" s="4">
        <f t="shared" si="972"/>
        <v>57.150000000000013</v>
      </c>
      <c r="BV371" s="9"/>
      <c r="BX371" s="9"/>
      <c r="BY371" s="9"/>
      <c r="BZ371" s="9">
        <f t="shared" si="973"/>
        <v>57.150000000000013</v>
      </c>
      <c r="CA371" s="9">
        <f t="shared" si="974"/>
        <v>67.309999999999988</v>
      </c>
      <c r="CB371" s="9">
        <f t="shared" si="1087"/>
        <v>1.5372721608851661</v>
      </c>
      <c r="CC371" s="40">
        <f t="shared" si="996"/>
        <v>20</v>
      </c>
      <c r="CD371" s="9">
        <f t="shared" si="975"/>
        <v>0.05</v>
      </c>
      <c r="CE371" s="9">
        <f t="shared" si="976"/>
        <v>0.8</v>
      </c>
      <c r="CF371" s="9">
        <f t="shared" si="977"/>
        <v>0.99524931562137331</v>
      </c>
      <c r="CG371" s="9">
        <f t="shared" si="978"/>
        <v>0.68</v>
      </c>
      <c r="CH371" s="9">
        <f t="shared" si="1088"/>
        <v>1.4130245076626196</v>
      </c>
      <c r="CI371" s="9">
        <f t="shared" si="1089"/>
        <v>3.3026228444083086</v>
      </c>
      <c r="CJ371" s="40">
        <v>1</v>
      </c>
      <c r="CK371" s="9">
        <f t="shared" si="1090"/>
        <v>280.72294177470621</v>
      </c>
      <c r="CM371" s="4">
        <f t="shared" si="979"/>
        <v>1.9189222315857666</v>
      </c>
      <c r="CN371" s="4">
        <f t="shared" si="980"/>
        <v>0.57441747158643486</v>
      </c>
      <c r="CO371" s="4">
        <f t="shared" ref="CO371:CO434" si="1242">AB371/BF371</f>
        <v>0.86321287970569793</v>
      </c>
      <c r="CP371" s="4">
        <f t="shared" si="981"/>
        <v>1.341364270969104</v>
      </c>
      <c r="CQ371" s="4">
        <f t="shared" si="1189"/>
        <v>1.1105084560718819</v>
      </c>
      <c r="CR371" s="4">
        <f t="shared" si="1190"/>
        <v>1.0767191342865152</v>
      </c>
      <c r="CS371" s="4">
        <f t="shared" ref="CS371:CS434" si="1243">AB371/GA371</f>
        <v>1.3735243604164213</v>
      </c>
      <c r="CT371" s="4">
        <f t="shared" si="997"/>
        <v>10</v>
      </c>
      <c r="DA371" s="4">
        <f t="shared" ref="DA371:DB371" si="1244">CM371</f>
        <v>1.9189222315857666</v>
      </c>
      <c r="DB371" s="4">
        <f t="shared" si="1244"/>
        <v>0.57441747158643486</v>
      </c>
      <c r="DC371" s="4">
        <f t="shared" ref="DC371" si="1245">CP371</f>
        <v>1.341364270969104</v>
      </c>
      <c r="DD371" s="4">
        <f t="shared" ref="DD371" si="1246">CS371</f>
        <v>1.3735243604164213</v>
      </c>
      <c r="DE371" s="4">
        <f t="shared" ref="DE371:DF371" si="1247">CQ371</f>
        <v>1.1105084560718819</v>
      </c>
      <c r="DF371" s="4">
        <f t="shared" si="1247"/>
        <v>1.0767191342865152</v>
      </c>
      <c r="DI371" s="4">
        <f t="shared" si="982"/>
        <v>158.75</v>
      </c>
      <c r="DL371" s="4">
        <f t="shared" si="1166"/>
        <v>1.1603975840543402E-5</v>
      </c>
      <c r="DM371" s="4">
        <f t="shared" si="1009"/>
        <v>9.152363510286726</v>
      </c>
      <c r="DN371" s="4">
        <f t="shared" si="1167"/>
        <v>0.17578830841157264</v>
      </c>
      <c r="DO371" s="4">
        <f t="shared" si="1168"/>
        <v>4.5659300702407801</v>
      </c>
      <c r="DP371" s="4">
        <f t="shared" si="1169"/>
        <v>7.2361146259315881</v>
      </c>
      <c r="DQ371" s="4">
        <f t="shared" si="1170"/>
        <v>8.9773078893679497</v>
      </c>
      <c r="DR371" s="38">
        <f t="shared" si="1183"/>
        <v>339.08046542020867</v>
      </c>
      <c r="DS371" s="4">
        <f t="shared" si="1095"/>
        <v>1.0001301644832075</v>
      </c>
      <c r="DT371" s="4">
        <f t="shared" si="1171"/>
        <v>3.1780497164141401</v>
      </c>
      <c r="DU371" s="4">
        <f t="shared" si="1103"/>
        <v>181.23905895538806</v>
      </c>
      <c r="DY371" s="4">
        <f t="shared" si="1037"/>
        <v>0.85</v>
      </c>
      <c r="DZ371" s="4">
        <f t="shared" si="1096"/>
        <v>0.87499999999999989</v>
      </c>
      <c r="EA371" s="4">
        <f t="shared" si="1184"/>
        <v>0.77500000000000002</v>
      </c>
      <c r="EB371" s="4">
        <f t="shared" si="1097"/>
        <v>0.7</v>
      </c>
      <c r="ED371" s="4">
        <f t="shared" si="1185"/>
        <v>349.72140101090702</v>
      </c>
      <c r="EE371" s="25">
        <f t="shared" si="1186"/>
        <v>178.1145851930309</v>
      </c>
      <c r="EG371" s="4">
        <f t="shared" si="1104"/>
        <v>0.59499999999999997</v>
      </c>
      <c r="EH371" s="4">
        <f t="shared" si="1187"/>
        <v>9.152363510286726</v>
      </c>
      <c r="EK371" s="4">
        <f t="shared" si="1172"/>
        <v>80.72246279691916</v>
      </c>
      <c r="EL371" s="4">
        <f t="shared" si="1173"/>
        <v>3.1780497164141406</v>
      </c>
      <c r="EM371" s="4">
        <f t="shared" si="1174"/>
        <v>5.734111084454635E-2</v>
      </c>
      <c r="EP371" s="4">
        <f t="shared" si="998"/>
        <v>5.734111084454635E-2</v>
      </c>
      <c r="EQ371" s="4">
        <f t="shared" si="960"/>
        <v>0.17549495048732072</v>
      </c>
      <c r="ER371" s="4">
        <f t="shared" si="1010"/>
        <v>4.5628806684554224</v>
      </c>
      <c r="ES371" s="4">
        <f t="shared" si="983"/>
        <v>7.2351640350195305</v>
      </c>
      <c r="ET371" s="4">
        <f t="shared" si="1011"/>
        <v>38.34003720308084</v>
      </c>
      <c r="EU371" s="4">
        <f t="shared" si="1012"/>
        <v>39.6875</v>
      </c>
      <c r="EV371" s="4">
        <f t="shared" si="1098"/>
        <v>1.1603975840543402E-5</v>
      </c>
      <c r="EW371" s="4">
        <f t="shared" si="984"/>
        <v>8.9773676640046052</v>
      </c>
      <c r="EX371" s="4">
        <f t="shared" si="1131"/>
        <v>339.03633493088387</v>
      </c>
      <c r="FG371" s="23">
        <f t="shared" si="1030"/>
        <v>2</v>
      </c>
      <c r="FH371" s="23">
        <f t="shared" si="1030"/>
        <v>0.6</v>
      </c>
      <c r="FI371" s="23">
        <f t="shared" ref="FI371:FI434" si="1248">IF(CS371&lt;0.6,0.6,IF(CS371&lt;0.8,0.8,IF(CS371&lt;1,1,IF(CS371&lt;1.2,1.2,IF(CS371&lt;1.4,1.4,IF(CS371&lt;1.6,1.6,IF(CS371&lt;1.8,1.8,IF(CS371&lt;2,2,2.2))))))))</f>
        <v>1.4</v>
      </c>
      <c r="FJ371" s="23">
        <f t="shared" si="1031"/>
        <v>1.4</v>
      </c>
      <c r="FK371" s="23">
        <f t="shared" si="1031"/>
        <v>1.2</v>
      </c>
      <c r="FL371" s="23">
        <f t="shared" si="1031"/>
        <v>1.2</v>
      </c>
      <c r="FM371" s="23">
        <f t="shared" si="1195"/>
        <v>0</v>
      </c>
      <c r="FN371" s="23"/>
      <c r="FX371" s="4">
        <f t="shared" si="1099"/>
        <v>1</v>
      </c>
      <c r="FY371" s="4">
        <f t="shared" si="1139"/>
        <v>0.55523255813953487</v>
      </c>
      <c r="FZ371" s="4">
        <f t="shared" si="1100"/>
        <v>0.3</v>
      </c>
      <c r="GA371" s="4">
        <f t="shared" si="1101"/>
        <v>274.15001509239278</v>
      </c>
    </row>
    <row r="372" spans="1:183" ht="12" hidden="1" customHeight="1" x14ac:dyDescent="0.3">
      <c r="A372" s="25">
        <v>354</v>
      </c>
      <c r="B372" s="4" t="s">
        <v>605</v>
      </c>
      <c r="C372" s="4">
        <v>2016</v>
      </c>
      <c r="D372" s="4" t="s">
        <v>309</v>
      </c>
      <c r="E372" s="24" t="s">
        <v>672</v>
      </c>
      <c r="F372" s="7" t="s">
        <v>518</v>
      </c>
      <c r="G372" s="38">
        <f>120/0.145</f>
        <v>827.58620689655174</v>
      </c>
      <c r="H372" s="38">
        <f>6.13*25.4</f>
        <v>155.702</v>
      </c>
      <c r="I372" s="4">
        <f t="shared" si="985"/>
        <v>155.702</v>
      </c>
      <c r="J372" s="38">
        <f t="shared" si="1241"/>
        <v>35.586206896551722</v>
      </c>
      <c r="K372" s="38">
        <f t="shared" si="986"/>
        <v>25.4</v>
      </c>
      <c r="L372" s="7">
        <f t="shared" si="987"/>
        <v>6.13</v>
      </c>
      <c r="M372" s="7">
        <f t="shared" si="988"/>
        <v>6.13</v>
      </c>
      <c r="N372" s="38">
        <f>17*25.4</f>
        <v>431.79999999999995</v>
      </c>
      <c r="O372" s="38">
        <f>2.65*25.4</f>
        <v>67.309999999999988</v>
      </c>
      <c r="P372" s="39">
        <f>6.6*25.4</f>
        <v>167.64</v>
      </c>
      <c r="Q372" s="7">
        <f t="shared" si="989"/>
        <v>65.193333333333314</v>
      </c>
      <c r="R372" s="38">
        <v>4</v>
      </c>
      <c r="S372" s="4">
        <f t="shared" si="966"/>
        <v>260.34999999999997</v>
      </c>
      <c r="T372" s="7">
        <f t="shared" si="990"/>
        <v>1.783333333333333</v>
      </c>
      <c r="U372" s="7">
        <f t="shared" si="1127"/>
        <v>3.1499999999999995</v>
      </c>
      <c r="V372" s="38">
        <v>9.5</v>
      </c>
      <c r="W372" s="4">
        <f t="shared" si="991"/>
        <v>9.5</v>
      </c>
      <c r="X372" s="4">
        <f t="shared" si="992"/>
        <v>10.5</v>
      </c>
      <c r="Y372" s="7">
        <f t="shared" si="993"/>
        <v>82.305406869779816</v>
      </c>
      <c r="AB372" s="38">
        <f t="shared" si="1038"/>
        <v>189.65517241379311</v>
      </c>
      <c r="AC372" s="4">
        <v>27.5</v>
      </c>
      <c r="AD372" s="4">
        <f t="shared" si="1159"/>
        <v>0.79874270242833545</v>
      </c>
      <c r="AE372" s="38"/>
      <c r="AF372" s="38"/>
      <c r="AG372" s="39">
        <v>1</v>
      </c>
      <c r="AH372" s="39"/>
      <c r="AI372" s="39"/>
      <c r="AJ372" s="7"/>
      <c r="AK372" s="4">
        <f t="shared" si="994"/>
        <v>155.702</v>
      </c>
      <c r="AL372" s="4">
        <f t="shared" si="1175"/>
        <v>0.92441544317563884</v>
      </c>
      <c r="AM372" s="4">
        <f t="shared" si="1176"/>
        <v>57.182722758449053</v>
      </c>
      <c r="AN372" s="4">
        <f t="shared" si="1177"/>
        <v>0.80277324632952685</v>
      </c>
      <c r="AO372" s="4">
        <v>1.25</v>
      </c>
      <c r="AP372" s="4">
        <f t="shared" si="1112"/>
        <v>2.5</v>
      </c>
      <c r="AQ372" s="38">
        <f t="shared" si="967"/>
        <v>132.60959076042428</v>
      </c>
      <c r="AR372" s="38">
        <f t="shared" si="1178"/>
        <v>132.60959076042428</v>
      </c>
      <c r="AS372" s="38">
        <f t="shared" si="1179"/>
        <v>3.2457050730263122</v>
      </c>
      <c r="AT372" s="38">
        <f t="shared" si="1121"/>
        <v>132.60959076042434</v>
      </c>
      <c r="AU372" s="38">
        <f t="shared" si="1086"/>
        <v>0.99999999999999956</v>
      </c>
      <c r="AV372" s="38">
        <f t="shared" ref="AV372:AV435" si="1249">AZ372/AT372</f>
        <v>3.8543795986037743</v>
      </c>
      <c r="AW372" s="4">
        <f t="shared" si="1230"/>
        <v>0</v>
      </c>
      <c r="AX372" s="4">
        <f t="shared" si="995"/>
        <v>192.46320927205113</v>
      </c>
      <c r="AY372" s="4">
        <f t="shared" si="968"/>
        <v>1.3065420560747665</v>
      </c>
      <c r="AZ372" s="38">
        <f t="shared" si="1102"/>
        <v>511.12770120617512</v>
      </c>
      <c r="BA372" s="4">
        <f t="shared" si="969"/>
        <v>0.3</v>
      </c>
      <c r="BB372" s="4">
        <f t="shared" si="970"/>
        <v>30.168608053394017</v>
      </c>
      <c r="BC372" s="4">
        <f t="shared" si="971"/>
        <v>541.29630925956917</v>
      </c>
      <c r="BE372" s="4">
        <f t="shared" si="1122"/>
        <v>1.4124999999999999</v>
      </c>
      <c r="BF372" s="4">
        <f t="shared" si="1128"/>
        <v>407.74151129201192</v>
      </c>
      <c r="BH372" s="4">
        <f t="shared" si="1129"/>
        <v>490.23397230149772</v>
      </c>
      <c r="BI372" s="4">
        <f t="shared" si="1067"/>
        <v>0</v>
      </c>
      <c r="BJ372" s="4">
        <f t="shared" si="1130"/>
        <v>0</v>
      </c>
      <c r="BR372" s="4">
        <f t="shared" si="972"/>
        <v>32.596666666666657</v>
      </c>
      <c r="BV372" s="9"/>
      <c r="BX372" s="9"/>
      <c r="BY372" s="9"/>
      <c r="BZ372" s="9">
        <f t="shared" si="973"/>
        <v>32.596666666666657</v>
      </c>
      <c r="CA372" s="9">
        <f t="shared" si="974"/>
        <v>67.309999999999988</v>
      </c>
      <c r="CB372" s="9">
        <f t="shared" si="1087"/>
        <v>1.2630068246419943</v>
      </c>
      <c r="CC372" s="40">
        <f t="shared" si="996"/>
        <v>0</v>
      </c>
      <c r="CD372" s="9">
        <f t="shared" si="975"/>
        <v>0</v>
      </c>
      <c r="CE372" s="9">
        <f t="shared" si="976"/>
        <v>0</v>
      </c>
      <c r="CF372" s="9">
        <f t="shared" si="977"/>
        <v>0.99524931562137331</v>
      </c>
      <c r="CG372" s="9">
        <f t="shared" si="978"/>
        <v>0.68</v>
      </c>
      <c r="CH372" s="9">
        <f t="shared" si="1088"/>
        <v>1.4130245076626196</v>
      </c>
      <c r="CI372" s="9">
        <f t="shared" si="1089"/>
        <v>1.7846595965642824</v>
      </c>
      <c r="CJ372" s="40">
        <v>1</v>
      </c>
      <c r="CK372" s="9">
        <f t="shared" si="1090"/>
        <v>150.83942910161315</v>
      </c>
      <c r="CM372" s="4">
        <f t="shared" si="979"/>
        <v>0.9854100070923747</v>
      </c>
      <c r="CN372" s="4">
        <f t="shared" si="980"/>
        <v>0.35037218833658679</v>
      </c>
      <c r="CO372" s="4">
        <f t="shared" si="1242"/>
        <v>0.46513579599200511</v>
      </c>
      <c r="CP372" s="4">
        <f t="shared" si="981"/>
        <v>1.257331544831237</v>
      </c>
      <c r="CQ372" s="4">
        <f t="shared" si="1189"/>
        <v>0.79874270242833545</v>
      </c>
      <c r="CR372" s="4">
        <f t="shared" si="1190"/>
        <v>0.75400013200926497</v>
      </c>
      <c r="CS372" s="4">
        <f t="shared" si="1243"/>
        <v>1.1044927574542696</v>
      </c>
      <c r="CT372" s="4">
        <f t="shared" si="997"/>
        <v>0</v>
      </c>
      <c r="CU372" s="4">
        <f t="shared" ref="CU372:CV372" si="1250">CM372</f>
        <v>0.9854100070923747</v>
      </c>
      <c r="CV372" s="4">
        <f t="shared" si="1250"/>
        <v>0.35037218833658679</v>
      </c>
      <c r="CW372" s="4">
        <f t="shared" ref="CW372" si="1251">CP372</f>
        <v>1.257331544831237</v>
      </c>
      <c r="CX372" s="4">
        <f t="shared" si="1134"/>
        <v>1.1044927574542696</v>
      </c>
      <c r="CY372" s="4">
        <f t="shared" ref="CY372:CZ372" si="1252">CQ372</f>
        <v>0.79874270242833545</v>
      </c>
      <c r="CZ372" s="4">
        <f t="shared" si="1252"/>
        <v>0.75400013200926497</v>
      </c>
      <c r="DI372" s="4">
        <f t="shared" si="982"/>
        <v>155.702</v>
      </c>
      <c r="DL372" s="4">
        <f t="shared" si="1166"/>
        <v>1.1381179504404969E-5</v>
      </c>
      <c r="DM372" s="4">
        <f t="shared" si="1009"/>
        <v>6.5934694242202827</v>
      </c>
      <c r="DN372" s="4">
        <f t="shared" si="1167"/>
        <v>0.12562175977913401</v>
      </c>
      <c r="DO372" s="4">
        <f t="shared" si="1168"/>
        <v>2.8756759529164433</v>
      </c>
      <c r="DP372" s="4">
        <f t="shared" si="1169"/>
        <v>5.0911458024701526</v>
      </c>
      <c r="DQ372" s="4">
        <f t="shared" si="1170"/>
        <v>6.5125846596970431</v>
      </c>
      <c r="DR372" s="38">
        <f t="shared" si="1183"/>
        <v>237.4421347915968</v>
      </c>
      <c r="DS372" s="4">
        <f t="shared" si="1095"/>
        <v>1.000116317299957</v>
      </c>
      <c r="DT372" s="4">
        <f t="shared" si="1171"/>
        <v>3.2403703492039297</v>
      </c>
      <c r="DU372" s="4">
        <f t="shared" si="1103"/>
        <v>132.60959076042434</v>
      </c>
      <c r="DY372" s="4">
        <f t="shared" si="1037"/>
        <v>0.85</v>
      </c>
      <c r="DZ372" s="4">
        <f t="shared" si="1096"/>
        <v>0.97166666666666668</v>
      </c>
      <c r="EA372" s="4">
        <f t="shared" si="1184"/>
        <v>1</v>
      </c>
      <c r="EB372" s="4">
        <f t="shared" si="1097"/>
        <v>0.97166666666666668</v>
      </c>
      <c r="ED372" s="4">
        <f t="shared" si="1185"/>
        <v>251.53201486636169</v>
      </c>
      <c r="EE372" s="25">
        <f t="shared" si="1186"/>
        <v>130.27811215495069</v>
      </c>
      <c r="EG372" s="4">
        <f t="shared" si="1104"/>
        <v>0.82591666666666663</v>
      </c>
      <c r="EH372" s="4">
        <f t="shared" si="1187"/>
        <v>6.5934694242202827</v>
      </c>
      <c r="EK372" s="4">
        <f t="shared" si="1172"/>
        <v>82.305406869779816</v>
      </c>
      <c r="EL372" s="4">
        <f t="shared" si="1173"/>
        <v>3.2403703492039302</v>
      </c>
      <c r="EM372" s="4">
        <f t="shared" si="1174"/>
        <v>4.0977078151962498E-2</v>
      </c>
      <c r="EP372" s="4">
        <f t="shared" si="998"/>
        <v>4.0977078151962498E-2</v>
      </c>
      <c r="EQ372" s="4">
        <f t="shared" si="960"/>
        <v>0.12541212047477598</v>
      </c>
      <c r="ER372" s="4">
        <f t="shared" si="1010"/>
        <v>2.8737554041454305</v>
      </c>
      <c r="ES372" s="4">
        <f t="shared" si="983"/>
        <v>5.0906145227136008</v>
      </c>
      <c r="ET372" s="4">
        <f t="shared" si="1011"/>
        <v>34.471093130220183</v>
      </c>
      <c r="EU372" s="4">
        <f t="shared" si="1012"/>
        <v>38.9255</v>
      </c>
      <c r="EV372" s="4">
        <f t="shared" si="1098"/>
        <v>1.1381179504404969E-5</v>
      </c>
      <c r="EW372" s="4">
        <f t="shared" si="984"/>
        <v>6.5126110550224459</v>
      </c>
      <c r="EX372" s="4">
        <f t="shared" si="1131"/>
        <v>237.41451937573243</v>
      </c>
      <c r="FG372" s="23">
        <f t="shared" si="1030"/>
        <v>1</v>
      </c>
      <c r="FH372" s="23">
        <f t="shared" si="1030"/>
        <v>0.6</v>
      </c>
      <c r="FI372" s="23">
        <f t="shared" si="1248"/>
        <v>1.2</v>
      </c>
      <c r="FJ372" s="23">
        <f t="shared" si="1031"/>
        <v>1.4</v>
      </c>
      <c r="FK372" s="23">
        <f t="shared" si="1031"/>
        <v>0.8</v>
      </c>
      <c r="FL372" s="23">
        <f t="shared" si="1031"/>
        <v>0.8</v>
      </c>
      <c r="FM372" s="23">
        <f t="shared" si="1195"/>
        <v>1</v>
      </c>
      <c r="FN372" s="23"/>
      <c r="FX372" s="4">
        <f t="shared" si="1099"/>
        <v>1</v>
      </c>
      <c r="FY372" s="4">
        <f t="shared" si="1139"/>
        <v>0.86944444444444446</v>
      </c>
      <c r="FZ372" s="4">
        <f t="shared" si="1100"/>
        <v>0</v>
      </c>
      <c r="GA372" s="4">
        <f t="shared" si="1101"/>
        <v>171.71246360268287</v>
      </c>
    </row>
    <row r="373" spans="1:183" ht="12" hidden="1" customHeight="1" x14ac:dyDescent="0.3">
      <c r="A373" s="25">
        <v>355</v>
      </c>
      <c r="B373" s="4" t="s">
        <v>605</v>
      </c>
      <c r="C373" s="4">
        <v>2016</v>
      </c>
      <c r="D373" s="4" t="s">
        <v>309</v>
      </c>
      <c r="E373" s="24" t="s">
        <v>672</v>
      </c>
      <c r="F373" s="7" t="s">
        <v>519</v>
      </c>
      <c r="G373" s="38">
        <f t="shared" si="1199"/>
        <v>889.65517241379314</v>
      </c>
      <c r="H373" s="38">
        <f>6.03*25.4</f>
        <v>153.16200000000001</v>
      </c>
      <c r="I373" s="4">
        <f t="shared" si="985"/>
        <v>153.16200000000001</v>
      </c>
      <c r="J373" s="38">
        <f t="shared" si="1241"/>
        <v>35.586206896551722</v>
      </c>
      <c r="K373" s="38">
        <f t="shared" si="986"/>
        <v>25.4</v>
      </c>
      <c r="L373" s="7">
        <f t="shared" si="987"/>
        <v>6.03</v>
      </c>
      <c r="M373" s="7">
        <f t="shared" si="988"/>
        <v>6.03</v>
      </c>
      <c r="N373" s="38">
        <f>17.4*25.4</f>
        <v>441.95999999999992</v>
      </c>
      <c r="O373" s="38">
        <f>2.55*25.4</f>
        <v>64.77</v>
      </c>
      <c r="P373" s="39">
        <f>7.25*25.4</f>
        <v>184.14999999999998</v>
      </c>
      <c r="Q373" s="7">
        <f t="shared" si="989"/>
        <v>70.273333333333298</v>
      </c>
      <c r="R373" s="38">
        <v>4</v>
      </c>
      <c r="S373" s="4">
        <f t="shared" si="966"/>
        <v>260.34999999999997</v>
      </c>
      <c r="T373" s="7">
        <f t="shared" si="990"/>
        <v>1.8833333333333326</v>
      </c>
      <c r="U373" s="7">
        <f t="shared" si="1127"/>
        <v>3.05</v>
      </c>
      <c r="V373" s="38">
        <v>9.1</v>
      </c>
      <c r="W373" s="4">
        <f t="shared" si="991"/>
        <v>9.1</v>
      </c>
      <c r="X373" s="4">
        <f t="shared" si="992"/>
        <v>10.1</v>
      </c>
      <c r="Y373" s="7">
        <f t="shared" si="993"/>
        <v>80.72246279691916</v>
      </c>
      <c r="AB373" s="38">
        <f t="shared" si="1038"/>
        <v>275.86206896551727</v>
      </c>
      <c r="AC373" s="4">
        <v>40</v>
      </c>
      <c r="AD373" s="4">
        <f t="shared" si="1159"/>
        <v>1.023547164422965</v>
      </c>
      <c r="AE373" s="38">
        <f>0.5*25.4</f>
        <v>12.7</v>
      </c>
      <c r="AF373" s="38">
        <v>10</v>
      </c>
      <c r="AG373" s="39">
        <f t="shared" si="1217"/>
        <v>76.199999999999989</v>
      </c>
      <c r="AH373" s="39">
        <v>3</v>
      </c>
      <c r="AI373" s="39">
        <f>AH373-1</f>
        <v>2</v>
      </c>
      <c r="AJ373" s="7"/>
      <c r="AK373" s="4">
        <f t="shared" si="994"/>
        <v>153.16200000000001</v>
      </c>
      <c r="AL373" s="4">
        <f t="shared" si="1175"/>
        <v>0.96185737976782737</v>
      </c>
      <c r="AM373" s="4">
        <f t="shared" si="1176"/>
        <v>55.789193974838994</v>
      </c>
      <c r="AN373" s="4">
        <f t="shared" si="1177"/>
        <v>0.80116086235489214</v>
      </c>
      <c r="AO373" s="4">
        <v>1.25</v>
      </c>
      <c r="AP373" s="4">
        <f t="shared" si="1112"/>
        <v>2.5</v>
      </c>
      <c r="AQ373" s="38">
        <f t="shared" si="967"/>
        <v>134.34778647326121</v>
      </c>
      <c r="AR373" s="38">
        <f t="shared" si="1178"/>
        <v>134.34778647326121</v>
      </c>
      <c r="AS373" s="38">
        <f t="shared" si="1179"/>
        <v>3.2457050730263122</v>
      </c>
      <c r="AT373" s="38">
        <f t="shared" si="1121"/>
        <v>134.34778647326129</v>
      </c>
      <c r="AU373" s="38">
        <f t="shared" si="1086"/>
        <v>0.99999999999999933</v>
      </c>
      <c r="AV373" s="38">
        <f t="shared" si="1249"/>
        <v>3.7555170510795586</v>
      </c>
      <c r="AW373" s="4">
        <f t="shared" si="1230"/>
        <v>0</v>
      </c>
      <c r="AX373" s="4">
        <f t="shared" si="995"/>
        <v>189.32351580921181</v>
      </c>
      <c r="AY373" s="4">
        <f t="shared" si="968"/>
        <v>1.2477876106194694</v>
      </c>
      <c r="AZ373" s="38">
        <f t="shared" si="1102"/>
        <v>504.54540287512845</v>
      </c>
      <c r="BA373" s="4">
        <f t="shared" si="969"/>
        <v>0.3</v>
      </c>
      <c r="BB373" s="4">
        <f t="shared" si="970"/>
        <v>29.676461103093949</v>
      </c>
      <c r="BC373" s="4">
        <f t="shared" si="971"/>
        <v>534.22186397822236</v>
      </c>
      <c r="BE373" s="4">
        <f t="shared" si="1122"/>
        <v>1.5</v>
      </c>
      <c r="BF373" s="4">
        <f t="shared" si="1128"/>
        <v>430.31539708963913</v>
      </c>
      <c r="BH373" s="4">
        <f t="shared" si="1129"/>
        <v>483.92074323939113</v>
      </c>
      <c r="BI373" s="4">
        <f t="shared" si="1067"/>
        <v>0</v>
      </c>
      <c r="BJ373" s="4">
        <f t="shared" si="1130"/>
        <v>0</v>
      </c>
      <c r="BR373" s="4">
        <f t="shared" si="972"/>
        <v>35.136666666666649</v>
      </c>
      <c r="BV373" s="9"/>
      <c r="BX373" s="9"/>
      <c r="BY373" s="9"/>
      <c r="BZ373" s="9">
        <f t="shared" si="973"/>
        <v>35.136666666666649</v>
      </c>
      <c r="CA373" s="9">
        <f t="shared" si="974"/>
        <v>64.77</v>
      </c>
      <c r="CB373" s="9">
        <f t="shared" si="1087"/>
        <v>1.2891558441961506</v>
      </c>
      <c r="CC373" s="40">
        <f t="shared" si="996"/>
        <v>20</v>
      </c>
      <c r="CD373" s="9">
        <f t="shared" si="975"/>
        <v>0.05</v>
      </c>
      <c r="CE373" s="9">
        <f t="shared" si="976"/>
        <v>0.8</v>
      </c>
      <c r="CF373" s="9">
        <f t="shared" si="977"/>
        <v>0.99524931562137331</v>
      </c>
      <c r="CG373" s="9">
        <f t="shared" si="978"/>
        <v>0.68</v>
      </c>
      <c r="CH373" s="9">
        <f t="shared" si="1088"/>
        <v>1.4130245076626196</v>
      </c>
      <c r="CI373" s="9">
        <f t="shared" si="1089"/>
        <v>2.95202840817575</v>
      </c>
      <c r="CJ373" s="40">
        <v>1</v>
      </c>
      <c r="CK373" s="9">
        <f t="shared" si="1090"/>
        <v>248.32462969574408</v>
      </c>
      <c r="CM373" s="4">
        <f t="shared" si="979"/>
        <v>1.4570935247342094</v>
      </c>
      <c r="CN373" s="4">
        <f t="shared" si="980"/>
        <v>0.51638109101570362</v>
      </c>
      <c r="CO373" s="4">
        <f t="shared" si="1242"/>
        <v>0.64106948259639507</v>
      </c>
      <c r="CP373" s="4">
        <f t="shared" si="981"/>
        <v>1.110892903790949</v>
      </c>
      <c r="CQ373" s="4">
        <f t="shared" si="1189"/>
        <v>1.023547164422965</v>
      </c>
      <c r="CR373" s="4">
        <f t="shared" si="1190"/>
        <v>0.95972228420837502</v>
      </c>
      <c r="CS373" s="4">
        <f t="shared" si="1243"/>
        <v>1.1875804167963844</v>
      </c>
      <c r="CT373" s="4">
        <f t="shared" si="997"/>
        <v>10</v>
      </c>
      <c r="DA373" s="4">
        <f t="shared" ref="DA373:DB373" si="1253">CM373</f>
        <v>1.4570935247342094</v>
      </c>
      <c r="DB373" s="4">
        <f t="shared" si="1253"/>
        <v>0.51638109101570362</v>
      </c>
      <c r="DC373" s="4">
        <f t="shared" ref="DC373" si="1254">CP373</f>
        <v>1.110892903790949</v>
      </c>
      <c r="DD373" s="4">
        <f t="shared" ref="DD373" si="1255">CS373</f>
        <v>1.1875804167963844</v>
      </c>
      <c r="DE373" s="4">
        <f t="shared" ref="DE373:DF373" si="1256">CQ373</f>
        <v>1.023547164422965</v>
      </c>
      <c r="DF373" s="4">
        <f t="shared" si="1256"/>
        <v>0.95972228420837502</v>
      </c>
      <c r="DI373" s="4">
        <f t="shared" si="982"/>
        <v>153.16200000000001</v>
      </c>
      <c r="DL373" s="4">
        <f t="shared" si="1166"/>
        <v>1.1195515890956275E-5</v>
      </c>
      <c r="DM373" s="4">
        <f t="shared" si="1009"/>
        <v>8.5961707929120017</v>
      </c>
      <c r="DN373" s="4">
        <f t="shared" si="1167"/>
        <v>0.13030728728726751</v>
      </c>
      <c r="DO373" s="4">
        <f t="shared" si="1168"/>
        <v>3.8044555753490479</v>
      </c>
      <c r="DP373" s="4">
        <f t="shared" si="1169"/>
        <v>6.6529430361481445</v>
      </c>
      <c r="DQ373" s="4">
        <f t="shared" si="1170"/>
        <v>8.4621477029872203</v>
      </c>
      <c r="DR373" s="38">
        <f t="shared" si="1183"/>
        <v>269.51573757818699</v>
      </c>
      <c r="DS373" s="4">
        <f t="shared" si="1095"/>
        <v>1.0001330912885906</v>
      </c>
      <c r="DT373" s="4">
        <f t="shared" si="1171"/>
        <v>3.1780497164141401</v>
      </c>
      <c r="DU373" s="4">
        <f t="shared" si="1103"/>
        <v>134.34778647326129</v>
      </c>
      <c r="DY373" s="4">
        <f t="shared" si="1037"/>
        <v>0.85</v>
      </c>
      <c r="DZ373" s="4">
        <f t="shared" si="1096"/>
        <v>0.96166666666666667</v>
      </c>
      <c r="EA373" s="4">
        <f t="shared" si="1184"/>
        <v>0.77500000000000002</v>
      </c>
      <c r="EB373" s="4">
        <f t="shared" si="1097"/>
        <v>0.74529166666666669</v>
      </c>
      <c r="ED373" s="4">
        <f t="shared" si="1185"/>
        <v>287.43947442364697</v>
      </c>
      <c r="EE373" s="25">
        <f t="shared" si="1186"/>
        <v>131.93474477986888</v>
      </c>
      <c r="EG373" s="4">
        <f t="shared" si="1104"/>
        <v>0.63349791666666666</v>
      </c>
      <c r="EH373" s="4">
        <f t="shared" si="1187"/>
        <v>8.5961707929120017</v>
      </c>
      <c r="EK373" s="4">
        <f t="shared" si="1172"/>
        <v>80.72246279691916</v>
      </c>
      <c r="EL373" s="4">
        <f t="shared" si="1173"/>
        <v>3.1780497164141406</v>
      </c>
      <c r="EM373" s="4">
        <f t="shared" si="1174"/>
        <v>4.2505469628260288E-2</v>
      </c>
      <c r="EP373" s="4">
        <f t="shared" si="998"/>
        <v>4.2505469628260288E-2</v>
      </c>
      <c r="EQ373" s="4">
        <f t="shared" ref="EQ373:EQ436" si="1257">MIN(0.999, EP373/(0.3*(J373/30)^0.5))</f>
        <v>0.13008982871076205</v>
      </c>
      <c r="ER373" s="4">
        <f t="shared" si="1010"/>
        <v>3.8019147318745952</v>
      </c>
      <c r="ES373" s="4">
        <f t="shared" si="983"/>
        <v>6.6522306588627282</v>
      </c>
      <c r="ET373" s="4">
        <f t="shared" si="1011"/>
        <v>34.149037203080837</v>
      </c>
      <c r="EU373" s="4">
        <f t="shared" si="1012"/>
        <v>38.290500000000009</v>
      </c>
      <c r="EV373" s="4">
        <f t="shared" si="1098"/>
        <v>1.1195515890956275E-5</v>
      </c>
      <c r="EW373" s="4">
        <f t="shared" si="984"/>
        <v>8.4621917009097825</v>
      </c>
      <c r="EX373" s="4">
        <f t="shared" si="1131"/>
        <v>269.47987215475268</v>
      </c>
      <c r="FG373" s="23">
        <f t="shared" si="1030"/>
        <v>1.6</v>
      </c>
      <c r="FH373" s="23">
        <f t="shared" si="1030"/>
        <v>0.6</v>
      </c>
      <c r="FI373" s="23">
        <f t="shared" si="1248"/>
        <v>1.2</v>
      </c>
      <c r="FJ373" s="23">
        <f t="shared" si="1031"/>
        <v>1.2</v>
      </c>
      <c r="FK373" s="23">
        <f t="shared" si="1031"/>
        <v>1.2</v>
      </c>
      <c r="FL373" s="23">
        <f t="shared" si="1031"/>
        <v>1</v>
      </c>
      <c r="FM373" s="23">
        <f t="shared" si="1195"/>
        <v>0</v>
      </c>
      <c r="FN373" s="23"/>
      <c r="FX373" s="4">
        <f t="shared" si="1099"/>
        <v>1</v>
      </c>
      <c r="FY373" s="4">
        <f t="shared" si="1139"/>
        <v>0.63222480620155053</v>
      </c>
      <c r="FZ373" s="4">
        <f t="shared" si="1100"/>
        <v>0.3</v>
      </c>
      <c r="GA373" s="4">
        <f t="shared" si="1101"/>
        <v>232.28916969655197</v>
      </c>
    </row>
    <row r="374" spans="1:183" ht="12" hidden="1" customHeight="1" x14ac:dyDescent="0.3">
      <c r="A374" s="25">
        <v>356</v>
      </c>
      <c r="B374" s="4" t="s">
        <v>605</v>
      </c>
      <c r="C374" s="4">
        <v>2016</v>
      </c>
      <c r="D374" s="4" t="s">
        <v>309</v>
      </c>
      <c r="E374" s="24" t="s">
        <v>520</v>
      </c>
      <c r="F374" s="7" t="s">
        <v>521</v>
      </c>
      <c r="G374" s="38">
        <f>139/0.145</f>
        <v>958.62068965517244</v>
      </c>
      <c r="H374" s="38">
        <f>4.06*25.4</f>
        <v>103.12399999999998</v>
      </c>
      <c r="I374" s="4">
        <f t="shared" si="985"/>
        <v>103.12399999999998</v>
      </c>
      <c r="J374" s="38">
        <f>4810/145</f>
        <v>33.172413793103445</v>
      </c>
      <c r="K374" s="38">
        <f>0.625*25.4</f>
        <v>15.875</v>
      </c>
      <c r="L374" s="7">
        <f t="shared" si="987"/>
        <v>6.4959999999999987</v>
      </c>
      <c r="M374" s="7">
        <f t="shared" si="988"/>
        <v>6.4959999999999987</v>
      </c>
      <c r="N374" s="38">
        <f>12.9*25.4</f>
        <v>327.65999999999997</v>
      </c>
      <c r="O374" s="38">
        <f>2.5*25.4</f>
        <v>63.5</v>
      </c>
      <c r="P374" s="39">
        <f>5.25*25.4</f>
        <v>133.35</v>
      </c>
      <c r="Q374" s="7">
        <f t="shared" si="989"/>
        <v>168.90999999999997</v>
      </c>
      <c r="R374" s="38">
        <v>2</v>
      </c>
      <c r="S374" s="4">
        <f t="shared" ref="S374:S398" si="1258">5.25*25.4</f>
        <v>133.35</v>
      </c>
      <c r="T374" s="7">
        <f t="shared" si="990"/>
        <v>4.5</v>
      </c>
      <c r="U374" s="7">
        <f t="shared" si="1127"/>
        <v>4.5</v>
      </c>
      <c r="V374" s="38">
        <v>4</v>
      </c>
      <c r="W374" s="4">
        <f t="shared" si="991"/>
        <v>4</v>
      </c>
      <c r="X374" s="4">
        <f t="shared" si="992"/>
        <v>5</v>
      </c>
      <c r="Y374" s="7">
        <f t="shared" si="993"/>
        <v>35.497579142809165</v>
      </c>
      <c r="AB374" s="38">
        <f t="shared" si="1038"/>
        <v>544.82758620689663</v>
      </c>
      <c r="AC374" s="4">
        <v>79</v>
      </c>
      <c r="AD374" s="4">
        <f t="shared" si="1159"/>
        <v>0.85551395808440578</v>
      </c>
      <c r="AE374" s="38"/>
      <c r="AF374" s="38"/>
      <c r="AG374" s="39">
        <v>1</v>
      </c>
      <c r="AH374" s="39"/>
      <c r="AI374" s="39"/>
      <c r="AJ374" s="7"/>
      <c r="AK374" s="4">
        <f t="shared" si="994"/>
        <v>103.12399999999998</v>
      </c>
      <c r="AL374" s="4">
        <f t="shared" si="1175"/>
        <v>1.059113300492611</v>
      </c>
      <c r="AM374" s="4">
        <f t="shared" si="1176"/>
        <v>152.36345683370544</v>
      </c>
      <c r="AN374" s="4">
        <f t="shared" si="1177"/>
        <v>0.83854679802955667</v>
      </c>
      <c r="AO374" s="4">
        <v>1.25</v>
      </c>
      <c r="AP374" s="4">
        <f t="shared" si="1112"/>
        <v>2.5</v>
      </c>
      <c r="AQ374" s="38">
        <f t="shared" si="967"/>
        <v>422.86385630992817</v>
      </c>
      <c r="AR374" s="38">
        <f t="shared" si="1178"/>
        <v>422.86385630992817</v>
      </c>
      <c r="AS374" s="38">
        <f t="shared" si="1179"/>
        <v>3.0972241539071201</v>
      </c>
      <c r="AT374" s="38">
        <f t="shared" si="1121"/>
        <v>422.86385630992817</v>
      </c>
      <c r="AU374" s="38">
        <f t="shared" si="1086"/>
        <v>1</v>
      </c>
      <c r="AV374" s="38">
        <f t="shared" si="1249"/>
        <v>1.4120465472892745</v>
      </c>
      <c r="AW374" s="4">
        <f t="shared" si="1230"/>
        <v>0</v>
      </c>
      <c r="AX374" s="4">
        <f t="shared" si="995"/>
        <v>196.91597600664139</v>
      </c>
      <c r="AY374" s="4">
        <f t="shared" si="968"/>
        <v>1</v>
      </c>
      <c r="AZ374" s="38">
        <f t="shared" si="1102"/>
        <v>597.10344827586198</v>
      </c>
      <c r="BA374" s="4">
        <f t="shared" si="969"/>
        <v>0.44000000000000006</v>
      </c>
      <c r="BB374" s="4">
        <f t="shared" si="970"/>
        <v>45.27098288392687</v>
      </c>
      <c r="BC374" s="4">
        <f t="shared" si="971"/>
        <v>642.37443115978886</v>
      </c>
      <c r="BE374" s="4">
        <f t="shared" si="1122"/>
        <v>1.5</v>
      </c>
      <c r="BF374" s="4">
        <f t="shared" si="1128"/>
        <v>427.5429000732376</v>
      </c>
      <c r="BH374" s="4">
        <f t="shared" si="1129"/>
        <v>572.6952278900693</v>
      </c>
      <c r="BI374" s="4">
        <f t="shared" si="1067"/>
        <v>0</v>
      </c>
      <c r="BJ374" s="4">
        <f t="shared" si="1130"/>
        <v>0</v>
      </c>
      <c r="BR374" s="4">
        <f t="shared" si="972"/>
        <v>63.5</v>
      </c>
      <c r="BV374" s="9"/>
      <c r="BX374" s="9"/>
      <c r="BY374" s="9"/>
      <c r="BZ374" s="9">
        <f t="shared" si="973"/>
        <v>63.5</v>
      </c>
      <c r="CA374" s="9">
        <f t="shared" si="974"/>
        <v>84.454999999999984</v>
      </c>
      <c r="CB374" s="9">
        <f t="shared" si="1087"/>
        <v>2.0874099141114333</v>
      </c>
      <c r="CC374" s="40">
        <f t="shared" si="996"/>
        <v>0</v>
      </c>
      <c r="CD374" s="9">
        <f t="shared" si="975"/>
        <v>0</v>
      </c>
      <c r="CE374" s="9">
        <f t="shared" si="976"/>
        <v>0</v>
      </c>
      <c r="CF374" s="9">
        <f t="shared" si="977"/>
        <v>1</v>
      </c>
      <c r="CG374" s="9">
        <f t="shared" si="978"/>
        <v>0.68</v>
      </c>
      <c r="CH374" s="9">
        <f t="shared" si="1088"/>
        <v>1.3707728502186465</v>
      </c>
      <c r="CI374" s="9">
        <f t="shared" si="1089"/>
        <v>2.8613648375411893</v>
      </c>
      <c r="CJ374" s="40">
        <v>1</v>
      </c>
      <c r="CK374" s="9">
        <f t="shared" si="1090"/>
        <v>246.03159419114161</v>
      </c>
      <c r="CM374" s="4">
        <f t="shared" si="979"/>
        <v>2.7668023552772643</v>
      </c>
      <c r="CN374" s="4">
        <f t="shared" si="980"/>
        <v>0.84814643886623231</v>
      </c>
      <c r="CO374" s="4">
        <f t="shared" si="1242"/>
        <v>1.2743226144407223</v>
      </c>
      <c r="CP374" s="4">
        <f t="shared" si="981"/>
        <v>2.2144618783538053</v>
      </c>
      <c r="CQ374" s="4">
        <f t="shared" si="1189"/>
        <v>0.85551395808440578</v>
      </c>
      <c r="CR374" s="4">
        <f t="shared" si="1190"/>
        <v>0.89951817016281221</v>
      </c>
      <c r="CS374" s="4">
        <f t="shared" si="1243"/>
        <v>1.3853708991438167</v>
      </c>
      <c r="CT374" s="4">
        <f t="shared" si="997"/>
        <v>0</v>
      </c>
      <c r="CU374" s="4">
        <f t="shared" ref="CU374:CV375" si="1259">CM374</f>
        <v>2.7668023552772643</v>
      </c>
      <c r="CV374" s="4">
        <f t="shared" si="1259"/>
        <v>0.84814643886623231</v>
      </c>
      <c r="CW374" s="4">
        <f t="shared" ref="CW374:CW375" si="1260">CP374</f>
        <v>2.2144618783538053</v>
      </c>
      <c r="CX374" s="4">
        <f t="shared" si="1134"/>
        <v>1.3853708991438167</v>
      </c>
      <c r="CY374" s="4">
        <f t="shared" ref="CY374:CZ375" si="1261">CQ374</f>
        <v>0.85551395808440578</v>
      </c>
      <c r="CZ374" s="4">
        <f t="shared" si="1261"/>
        <v>0.89951817016281221</v>
      </c>
      <c r="DI374" s="4">
        <f t="shared" si="982"/>
        <v>103.12399999999998</v>
      </c>
      <c r="DL374" s="4">
        <f t="shared" si="1166"/>
        <v>1.1862041549436264E-5</v>
      </c>
      <c r="DM374" s="4">
        <f t="shared" si="1009"/>
        <v>9.7201649178311715</v>
      </c>
      <c r="DN374" s="4">
        <f t="shared" si="1167"/>
        <v>0.44017879111879804</v>
      </c>
      <c r="DO374" s="4">
        <f t="shared" si="1168"/>
        <v>7.0004390514366941</v>
      </c>
      <c r="DP374" s="4">
        <f t="shared" si="1169"/>
        <v>8.470459616072743</v>
      </c>
      <c r="DQ374" s="4">
        <f t="shared" si="1170"/>
        <v>9.5527275677276045</v>
      </c>
      <c r="DR374" s="38">
        <f t="shared" si="1183"/>
        <v>636.84242794451688</v>
      </c>
      <c r="DS374" s="4">
        <f t="shared" si="1095"/>
        <v>1.0000970386126888</v>
      </c>
      <c r="DT374" s="4">
        <f t="shared" si="1171"/>
        <v>2.2360679774997898</v>
      </c>
      <c r="DU374" s="4">
        <f t="shared" si="1103"/>
        <v>422.86385630992817</v>
      </c>
      <c r="DY374" s="4">
        <f t="shared" si="1037"/>
        <v>0.85</v>
      </c>
      <c r="DZ374" s="4">
        <f t="shared" si="1096"/>
        <v>0.7</v>
      </c>
      <c r="EA374" s="4">
        <f t="shared" si="1184"/>
        <v>1</v>
      </c>
      <c r="EB374" s="4">
        <f t="shared" si="1097"/>
        <v>0.7</v>
      </c>
      <c r="ED374" s="4">
        <f t="shared" si="1185"/>
        <v>605.68824986412801</v>
      </c>
      <c r="EE374" s="25">
        <f t="shared" si="1186"/>
        <v>416.26167594543415</v>
      </c>
      <c r="EG374" s="4">
        <f t="shared" si="1104"/>
        <v>0.59499999999999997</v>
      </c>
      <c r="EH374" s="4">
        <f t="shared" si="1187"/>
        <v>9.7201649178311715</v>
      </c>
      <c r="EK374" s="4">
        <f t="shared" si="1172"/>
        <v>35.497579142809165</v>
      </c>
      <c r="EL374" s="4">
        <f t="shared" si="1173"/>
        <v>2.2360679774997898</v>
      </c>
      <c r="EM374" s="4">
        <f t="shared" si="1174"/>
        <v>0.13862862504888454</v>
      </c>
      <c r="EP374" s="4">
        <f t="shared" si="998"/>
        <v>0.13862862504888454</v>
      </c>
      <c r="EQ374" s="4">
        <f t="shared" si="1257"/>
        <v>0.43944421475459533</v>
      </c>
      <c r="ER374" s="4">
        <f t="shared" si="1010"/>
        <v>6.9957637386278373</v>
      </c>
      <c r="ES374" s="4">
        <f t="shared" si="983"/>
        <v>8.4685301751669879</v>
      </c>
      <c r="ET374" s="4">
        <f t="shared" si="1011"/>
        <v>41.845420857190824</v>
      </c>
      <c r="EU374" s="4">
        <f t="shared" si="1012"/>
        <v>25.780999999999999</v>
      </c>
      <c r="EV374" s="4">
        <f t="shared" si="1098"/>
        <v>1.1862041549436266E-5</v>
      </c>
      <c r="EW374" s="4">
        <f t="shared" si="984"/>
        <v>9.5527842887610959</v>
      </c>
      <c r="EX374" s="4">
        <f t="shared" si="1131"/>
        <v>636.7806356350477</v>
      </c>
      <c r="FG374" s="23">
        <f t="shared" si="1030"/>
        <v>2.2000000000000002</v>
      </c>
      <c r="FH374" s="23">
        <f t="shared" si="1030"/>
        <v>1</v>
      </c>
      <c r="FI374" s="23">
        <f t="shared" si="1248"/>
        <v>1.4</v>
      </c>
      <c r="FJ374" s="23">
        <f t="shared" si="1031"/>
        <v>2.2000000000000002</v>
      </c>
      <c r="FK374" s="23">
        <f t="shared" si="1031"/>
        <v>1</v>
      </c>
      <c r="FL374" s="23">
        <f t="shared" si="1031"/>
        <v>1</v>
      </c>
      <c r="FM374" s="23">
        <f t="shared" si="1195"/>
        <v>0</v>
      </c>
      <c r="FN374" s="23"/>
      <c r="FX374" s="4">
        <f t="shared" si="1099"/>
        <v>1</v>
      </c>
      <c r="FY374" s="4">
        <f t="shared" si="1139"/>
        <v>0.5</v>
      </c>
      <c r="FZ374" s="4">
        <f t="shared" si="1100"/>
        <v>0</v>
      </c>
      <c r="GA374" s="4">
        <f t="shared" si="1101"/>
        <v>393.27200141392427</v>
      </c>
    </row>
    <row r="375" spans="1:183" ht="12" hidden="1" customHeight="1" x14ac:dyDescent="0.3">
      <c r="A375" s="25">
        <v>357</v>
      </c>
      <c r="B375" s="4" t="s">
        <v>605</v>
      </c>
      <c r="C375" s="4">
        <v>2016</v>
      </c>
      <c r="D375" s="4" t="s">
        <v>309</v>
      </c>
      <c r="E375" s="24" t="s">
        <v>520</v>
      </c>
      <c r="F375" s="7" t="s">
        <v>522</v>
      </c>
      <c r="G375" s="38">
        <f t="shared" ref="G375:G398" si="1262">139/0.145</f>
        <v>958.62068965517244</v>
      </c>
      <c r="H375" s="38">
        <f>4.41*25.4</f>
        <v>112.014</v>
      </c>
      <c r="I375" s="4">
        <f t="shared" si="985"/>
        <v>112.014</v>
      </c>
      <c r="J375" s="38">
        <f t="shared" ref="J375:J378" si="1263">4810/145</f>
        <v>33.172413793103445</v>
      </c>
      <c r="K375" s="38">
        <f t="shared" ref="K375:K398" si="1264">0.625*25.4</f>
        <v>15.875</v>
      </c>
      <c r="L375" s="7">
        <f t="shared" si="987"/>
        <v>7.056</v>
      </c>
      <c r="M375" s="7">
        <f t="shared" si="988"/>
        <v>7.056</v>
      </c>
      <c r="N375" s="38">
        <f>13.1*25.4</f>
        <v>332.73999999999995</v>
      </c>
      <c r="O375" s="38">
        <f>2.5*25.4</f>
        <v>63.5</v>
      </c>
      <c r="P375" s="39">
        <f>4.65*25.4</f>
        <v>118.11</v>
      </c>
      <c r="Q375" s="7">
        <f t="shared" si="989"/>
        <v>173.98999999999995</v>
      </c>
      <c r="R375" s="38">
        <v>2</v>
      </c>
      <c r="S375" s="4">
        <f t="shared" si="1258"/>
        <v>133.35</v>
      </c>
      <c r="T375" s="7">
        <f t="shared" si="990"/>
        <v>4.5</v>
      </c>
      <c r="U375" s="7">
        <f t="shared" si="1127"/>
        <v>4.5</v>
      </c>
      <c r="V375" s="38">
        <v>13.1</v>
      </c>
      <c r="W375" s="4">
        <f t="shared" si="991"/>
        <v>13.1</v>
      </c>
      <c r="X375" s="4">
        <f t="shared" si="992"/>
        <v>14.1</v>
      </c>
      <c r="Y375" s="7">
        <f t="shared" si="993"/>
        <v>59.610572153771514</v>
      </c>
      <c r="AB375" s="38">
        <f t="shared" si="1038"/>
        <v>627.58620689655174</v>
      </c>
      <c r="AC375" s="4">
        <v>91</v>
      </c>
      <c r="AD375" s="4">
        <f t="shared" si="1159"/>
        <v>0.98139244277365356</v>
      </c>
      <c r="AE375" s="38"/>
      <c r="AF375" s="38"/>
      <c r="AG375" s="39">
        <v>1</v>
      </c>
      <c r="AH375" s="39"/>
      <c r="AI375" s="39"/>
      <c r="AJ375" s="7"/>
      <c r="AK375" s="4">
        <f t="shared" si="994"/>
        <v>112.014</v>
      </c>
      <c r="AL375" s="4">
        <f t="shared" si="1175"/>
        <v>0.99017384731670421</v>
      </c>
      <c r="AM375" s="4">
        <f t="shared" si="1176"/>
        <v>172.48433206051794</v>
      </c>
      <c r="AN375" s="4">
        <f t="shared" si="1177"/>
        <v>0.8275510204081632</v>
      </c>
      <c r="AO375" s="4">
        <v>1.25</v>
      </c>
      <c r="AP375" s="4">
        <f t="shared" si="1112"/>
        <v>2.5</v>
      </c>
      <c r="AQ375" s="38">
        <f t="shared" si="967"/>
        <v>441.67813764040932</v>
      </c>
      <c r="AR375" s="38">
        <f t="shared" si="1178"/>
        <v>441.67813764040932</v>
      </c>
      <c r="AS375" s="38">
        <f t="shared" si="1179"/>
        <v>3.0972241539071201</v>
      </c>
      <c r="AT375" s="38">
        <f t="shared" si="1121"/>
        <v>441.67813764040881</v>
      </c>
      <c r="AU375" s="38">
        <f t="shared" si="1086"/>
        <v>1.0000000000000011</v>
      </c>
      <c r="AV375" s="38">
        <f t="shared" si="1249"/>
        <v>2.4465231438551203</v>
      </c>
      <c r="AW375" s="4">
        <f t="shared" si="1230"/>
        <v>0</v>
      </c>
      <c r="AX375" s="4">
        <f t="shared" si="995"/>
        <v>213.89149117962776</v>
      </c>
      <c r="AY375" s="4">
        <f t="shared" si="968"/>
        <v>1</v>
      </c>
      <c r="AZ375" s="38">
        <f t="shared" si="1102"/>
        <v>1080.5757858720874</v>
      </c>
      <c r="BA375" s="4">
        <f t="shared" si="969"/>
        <v>0.3</v>
      </c>
      <c r="BB375" s="4">
        <f t="shared" si="970"/>
        <v>33.527491242406654</v>
      </c>
      <c r="BC375" s="4">
        <f t="shared" si="971"/>
        <v>1114.1032771144942</v>
      </c>
      <c r="BE375" s="4">
        <f t="shared" si="1122"/>
        <v>1.5</v>
      </c>
      <c r="BF375" s="4">
        <f t="shared" si="1128"/>
        <v>442.05696554614087</v>
      </c>
      <c r="BH375" s="4">
        <f t="shared" si="1129"/>
        <v>1036.4043244590362</v>
      </c>
      <c r="BI375" s="4">
        <f t="shared" si="1067"/>
        <v>0</v>
      </c>
      <c r="BJ375" s="4">
        <f t="shared" si="1130"/>
        <v>0</v>
      </c>
      <c r="BR375" s="4">
        <f t="shared" si="972"/>
        <v>63.5</v>
      </c>
      <c r="BV375" s="9"/>
      <c r="BX375" s="9"/>
      <c r="BY375" s="9"/>
      <c r="BZ375" s="9">
        <f t="shared" si="973"/>
        <v>63.5</v>
      </c>
      <c r="CA375" s="9">
        <f t="shared" si="974"/>
        <v>86.994999999999976</v>
      </c>
      <c r="CB375" s="9">
        <f t="shared" si="1087"/>
        <v>2.0967086203206882</v>
      </c>
      <c r="CC375" s="40">
        <f t="shared" si="996"/>
        <v>0</v>
      </c>
      <c r="CD375" s="9">
        <f t="shared" si="975"/>
        <v>0</v>
      </c>
      <c r="CE375" s="9">
        <f t="shared" si="976"/>
        <v>0</v>
      </c>
      <c r="CF375" s="9">
        <f t="shared" si="977"/>
        <v>1</v>
      </c>
      <c r="CG375" s="9">
        <f t="shared" si="978"/>
        <v>0.68</v>
      </c>
      <c r="CH375" s="9">
        <f t="shared" si="1088"/>
        <v>1.3707728502186465</v>
      </c>
      <c r="CI375" s="9">
        <f t="shared" si="1089"/>
        <v>2.8741112515549956</v>
      </c>
      <c r="CJ375" s="40">
        <v>1</v>
      </c>
      <c r="CK375" s="9">
        <f t="shared" si="1090"/>
        <v>253.56559105718793</v>
      </c>
      <c r="CM375" s="4">
        <f t="shared" si="979"/>
        <v>2.934133580701908</v>
      </c>
      <c r="CN375" s="4">
        <f t="shared" si="980"/>
        <v>0.5633106192111631</v>
      </c>
      <c r="CO375" s="4">
        <f t="shared" si="1242"/>
        <v>1.4196953239300236</v>
      </c>
      <c r="CP375" s="4">
        <f t="shared" si="981"/>
        <v>2.4750448366435061</v>
      </c>
      <c r="CQ375" s="4">
        <f t="shared" si="1189"/>
        <v>0.98139244277365356</v>
      </c>
      <c r="CR375" s="4">
        <f t="shared" si="1190"/>
        <v>0.97894457082747688</v>
      </c>
      <c r="CS375" s="4">
        <f t="shared" si="1243"/>
        <v>1.4691556370667194</v>
      </c>
      <c r="CT375" s="4">
        <f t="shared" si="997"/>
        <v>0</v>
      </c>
      <c r="CU375" s="4">
        <f t="shared" si="1259"/>
        <v>2.934133580701908</v>
      </c>
      <c r="CV375" s="4">
        <f t="shared" si="1259"/>
        <v>0.5633106192111631</v>
      </c>
      <c r="CW375" s="4">
        <f t="shared" si="1260"/>
        <v>2.4750448366435061</v>
      </c>
      <c r="CX375" s="4">
        <f t="shared" si="1134"/>
        <v>1.4691556370667194</v>
      </c>
      <c r="CY375" s="4">
        <f t="shared" si="1261"/>
        <v>0.98139244277365356</v>
      </c>
      <c r="CZ375" s="4">
        <f t="shared" si="1261"/>
        <v>0.97894457082747688</v>
      </c>
      <c r="DI375" s="4">
        <f t="shared" si="982"/>
        <v>112.014</v>
      </c>
      <c r="DL375" s="4">
        <f t="shared" si="1166"/>
        <v>1.2884631338180772E-5</v>
      </c>
      <c r="DM375" s="4">
        <f t="shared" si="1009"/>
        <v>9.7201649178311715</v>
      </c>
      <c r="DN375" s="4">
        <f t="shared" si="1167"/>
        <v>0.23574782794831436</v>
      </c>
      <c r="DO375" s="4">
        <f t="shared" si="1168"/>
        <v>5.4532161660447596</v>
      </c>
      <c r="DP375" s="4">
        <f t="shared" si="1169"/>
        <v>7.8831319965935673</v>
      </c>
      <c r="DQ375" s="4">
        <f t="shared" si="1170"/>
        <v>9.5570432309997315</v>
      </c>
      <c r="DR375" s="38">
        <f t="shared" si="1183"/>
        <v>639.48546936314347</v>
      </c>
      <c r="DS375" s="4">
        <f t="shared" si="1095"/>
        <v>1.0000968975354467</v>
      </c>
      <c r="DT375" s="4">
        <f t="shared" si="1171"/>
        <v>3.7549966711037173</v>
      </c>
      <c r="DU375" s="4">
        <f t="shared" si="1103"/>
        <v>441.67813764040881</v>
      </c>
      <c r="DY375" s="4">
        <f t="shared" si="1037"/>
        <v>0.85</v>
      </c>
      <c r="DZ375" s="4">
        <f t="shared" si="1096"/>
        <v>0.7</v>
      </c>
      <c r="EA375" s="4">
        <f t="shared" si="1184"/>
        <v>1</v>
      </c>
      <c r="EB375" s="4">
        <f t="shared" si="1097"/>
        <v>0.7</v>
      </c>
      <c r="ED375" s="4">
        <f t="shared" si="1185"/>
        <v>641.08451652790632</v>
      </c>
      <c r="EE375" s="25">
        <f t="shared" si="1186"/>
        <v>435.32806554725613</v>
      </c>
      <c r="EG375" s="4">
        <f t="shared" si="1104"/>
        <v>0.59499999999999997</v>
      </c>
      <c r="EH375" s="4">
        <f t="shared" si="1187"/>
        <v>9.7201649178311715</v>
      </c>
      <c r="EK375" s="4">
        <f t="shared" si="1172"/>
        <v>59.610572153771514</v>
      </c>
      <c r="EL375" s="4">
        <f t="shared" si="1173"/>
        <v>3.7549966711037173</v>
      </c>
      <c r="EM375" s="4">
        <f t="shared" si="1174"/>
        <v>7.4245733565830904E-2</v>
      </c>
      <c r="EP375" s="4">
        <f t="shared" si="998"/>
        <v>7.4245733565830904E-2</v>
      </c>
      <c r="EQ375" s="4">
        <f t="shared" si="1257"/>
        <v>0.23535440876089098</v>
      </c>
      <c r="ER375" s="4">
        <f t="shared" si="1010"/>
        <v>5.4495741814201901</v>
      </c>
      <c r="ES375" s="4">
        <f t="shared" si="983"/>
        <v>7.8818808394350324</v>
      </c>
      <c r="ET375" s="4">
        <f t="shared" si="1011"/>
        <v>24.399927846228479</v>
      </c>
      <c r="EU375" s="4">
        <f t="shared" si="1012"/>
        <v>28.003500000000003</v>
      </c>
      <c r="EV375" s="4">
        <f t="shared" si="1098"/>
        <v>1.2884631338180774E-5</v>
      </c>
      <c r="EW375" s="4">
        <f t="shared" si="984"/>
        <v>9.5571050406841334</v>
      </c>
      <c r="EX375" s="4">
        <f t="shared" si="1131"/>
        <v>639.42351080084018</v>
      </c>
      <c r="FG375" s="23">
        <f t="shared" si="1030"/>
        <v>2.2000000000000002</v>
      </c>
      <c r="FH375" s="23">
        <f t="shared" si="1030"/>
        <v>0.6</v>
      </c>
      <c r="FI375" s="23">
        <f t="shared" si="1248"/>
        <v>1.6</v>
      </c>
      <c r="FJ375" s="23">
        <f t="shared" si="1031"/>
        <v>2.2000000000000002</v>
      </c>
      <c r="FK375" s="23">
        <f t="shared" si="1031"/>
        <v>1</v>
      </c>
      <c r="FL375" s="23">
        <f t="shared" si="1031"/>
        <v>1</v>
      </c>
      <c r="FM375" s="23">
        <f t="shared" si="1195"/>
        <v>0</v>
      </c>
      <c r="FN375" s="23"/>
      <c r="FX375" s="4">
        <f t="shared" si="1099"/>
        <v>1</v>
      </c>
      <c r="FY375" s="4">
        <f t="shared" si="1139"/>
        <v>0.5</v>
      </c>
      <c r="FZ375" s="4">
        <f t="shared" si="1100"/>
        <v>0</v>
      </c>
      <c r="GA375" s="4">
        <f t="shared" si="1101"/>
        <v>427.17476015650402</v>
      </c>
    </row>
    <row r="376" spans="1:183" ht="12" hidden="1" customHeight="1" x14ac:dyDescent="0.3">
      <c r="A376" s="25">
        <v>358</v>
      </c>
      <c r="B376" s="4" t="s">
        <v>605</v>
      </c>
      <c r="C376" s="4">
        <v>2016</v>
      </c>
      <c r="D376" s="4" t="s">
        <v>309</v>
      </c>
      <c r="E376" s="24" t="s">
        <v>673</v>
      </c>
      <c r="F376" s="7" t="s">
        <v>523</v>
      </c>
      <c r="G376" s="38">
        <f t="shared" si="1262"/>
        <v>958.62068965517244</v>
      </c>
      <c r="H376" s="38">
        <f>3.81*25.4</f>
        <v>96.774000000000001</v>
      </c>
      <c r="I376" s="4">
        <f t="shared" si="985"/>
        <v>96.774000000000001</v>
      </c>
      <c r="J376" s="38">
        <f t="shared" si="1263"/>
        <v>33.172413793103445</v>
      </c>
      <c r="K376" s="38">
        <f t="shared" si="1264"/>
        <v>15.875</v>
      </c>
      <c r="L376" s="7">
        <f t="shared" si="987"/>
        <v>6.0960000000000001</v>
      </c>
      <c r="M376" s="7">
        <f t="shared" si="988"/>
        <v>6.0960000000000001</v>
      </c>
      <c r="N376" s="38">
        <f>13*25.4</f>
        <v>330.2</v>
      </c>
      <c r="O376" s="38">
        <f>2.5*25.4</f>
        <v>63.5</v>
      </c>
      <c r="P376" s="39">
        <f>5.35*25.4</f>
        <v>135.88999999999999</v>
      </c>
      <c r="Q376" s="7">
        <f t="shared" si="989"/>
        <v>171.45</v>
      </c>
      <c r="R376" s="38">
        <v>2</v>
      </c>
      <c r="S376" s="4">
        <f t="shared" si="1258"/>
        <v>133.35</v>
      </c>
      <c r="T376" s="7">
        <f t="shared" si="990"/>
        <v>4.5</v>
      </c>
      <c r="U376" s="7">
        <f t="shared" si="1127"/>
        <v>4.5</v>
      </c>
      <c r="V376" s="38">
        <v>4</v>
      </c>
      <c r="W376" s="4">
        <f t="shared" si="991"/>
        <v>4</v>
      </c>
      <c r="X376" s="4">
        <f t="shared" si="992"/>
        <v>5</v>
      </c>
      <c r="Y376" s="7">
        <f t="shared" si="993"/>
        <v>35.497579142809165</v>
      </c>
      <c r="AB376" s="38">
        <f t="shared" si="1038"/>
        <v>437.93103448275866</v>
      </c>
      <c r="AC376" s="4">
        <v>63.5</v>
      </c>
      <c r="AD376" s="4">
        <f t="shared" si="1159"/>
        <v>0.70984876435598188</v>
      </c>
      <c r="AE376" s="38">
        <f>0.375*25.4</f>
        <v>9.5249999999999986</v>
      </c>
      <c r="AF376" s="38">
        <v>4</v>
      </c>
      <c r="AG376" s="39">
        <f>3.5*25.4</f>
        <v>88.899999999999991</v>
      </c>
      <c r="AH376" s="39">
        <v>2</v>
      </c>
      <c r="AI376" s="39">
        <f t="shared" ref="AI376:AI379" si="1265">AH376-1</f>
        <v>1</v>
      </c>
      <c r="AJ376" s="7"/>
      <c r="AK376" s="4">
        <f t="shared" si="994"/>
        <v>96.774000000000001</v>
      </c>
      <c r="AL376" s="4">
        <f t="shared" si="1175"/>
        <v>1.137357830271216</v>
      </c>
      <c r="AM376" s="4">
        <f t="shared" si="1176"/>
        <v>138.50939444174517</v>
      </c>
      <c r="AN376" s="4">
        <f t="shared" si="1177"/>
        <v>0.84763779527559047</v>
      </c>
      <c r="AO376" s="4">
        <v>1.25</v>
      </c>
      <c r="AP376" s="4">
        <f t="shared" si="1112"/>
        <v>2.5</v>
      </c>
      <c r="AQ376" s="38">
        <f t="shared" ref="AQ376:AQ439" si="1266">AL376*AN376*AO376*AP376*AM376</f>
        <v>417.28876052172291</v>
      </c>
      <c r="AR376" s="38">
        <f t="shared" si="1178"/>
        <v>417.28876052172291</v>
      </c>
      <c r="AS376" s="38">
        <f t="shared" si="1179"/>
        <v>3.0972241539071201</v>
      </c>
      <c r="AT376" s="38">
        <f t="shared" si="1121"/>
        <v>417.28876052172325</v>
      </c>
      <c r="AU376" s="38">
        <f t="shared" si="1086"/>
        <v>0.99999999999999922</v>
      </c>
      <c r="AV376" s="38">
        <f t="shared" si="1249"/>
        <v>1.4309118882792864</v>
      </c>
      <c r="AW376" s="4">
        <f t="shared" si="1230"/>
        <v>0</v>
      </c>
      <c r="AX376" s="4">
        <f t="shared" si="995"/>
        <v>184.79060802593693</v>
      </c>
      <c r="AY376" s="4">
        <f t="shared" ref="AY376:AY439" si="1267">MIN(0.6+0.4*(U376/T376),2)</f>
        <v>1</v>
      </c>
      <c r="AZ376" s="38">
        <f t="shared" si="1102"/>
        <v>597.10344827586198</v>
      </c>
      <c r="BA376" s="4">
        <f t="shared" ref="BA376:BA439" si="1268">MAX(1-0.7*W376/5,0.3)</f>
        <v>0.44000000000000006</v>
      </c>
      <c r="BB376" s="4">
        <f t="shared" ref="BB376:BB439" si="1269">BA376*G376*I376/(G376*K376/2.75/J376^0.5)</f>
        <v>42.483360785162901</v>
      </c>
      <c r="BC376" s="4">
        <f t="shared" ref="BC376:BC439" si="1270">AZ376+BB376</f>
        <v>639.58680906102484</v>
      </c>
      <c r="BE376" s="4">
        <f t="shared" si="1122"/>
        <v>1.5</v>
      </c>
      <c r="BF376" s="4">
        <f t="shared" si="1128"/>
        <v>417.17571044973516</v>
      </c>
      <c r="BH376" s="4">
        <f t="shared" si="1129"/>
        <v>572.6952278900693</v>
      </c>
      <c r="BI376" s="4">
        <f t="shared" si="1067"/>
        <v>0</v>
      </c>
      <c r="BJ376" s="4">
        <f t="shared" si="1130"/>
        <v>0</v>
      </c>
      <c r="BR376" s="4">
        <f t="shared" ref="BR376:BR439" si="1271">IF(Q376=0,O376,MIN(Q376/2,O376))</f>
        <v>63.5</v>
      </c>
      <c r="BV376" s="9"/>
      <c r="BX376" s="9"/>
      <c r="BY376" s="9"/>
      <c r="BZ376" s="9">
        <f t="shared" ref="BZ376:BZ439" si="1272">IF(Q376=0,MIN(O376,P376),MIN(Q376/2,O376,P376))</f>
        <v>63.5</v>
      </c>
      <c r="CA376" s="9">
        <f t="shared" ref="CA376:CA439" si="1273">MAX(Q376/2,O376)</f>
        <v>85.724999999999994</v>
      </c>
      <c r="CB376" s="9">
        <f t="shared" si="1087"/>
        <v>2.0920885420600022</v>
      </c>
      <c r="CC376" s="40">
        <f t="shared" si="996"/>
        <v>20</v>
      </c>
      <c r="CD376" s="9">
        <f t="shared" ref="CD376:CD439" si="1274">MIN(PI()*AE376^2/4*AF376*2/R376/K376/MAX(0.01,AG376),0.05)</f>
        <v>0.05</v>
      </c>
      <c r="CE376" s="9">
        <f t="shared" ref="CE376:CE439" si="1275">MAX(0,CC376*(CD376-0.5/50))</f>
        <v>0.8</v>
      </c>
      <c r="CF376" s="9">
        <f t="shared" ref="CF376:CF439" si="1276">MIN(1,(25/K376)^0.3)</f>
        <v>1</v>
      </c>
      <c r="CG376" s="9">
        <f t="shared" ref="CG376:CG439" si="1277">IF(G376&gt;=800,0.68,IF(G376&gt;=700,0.75-(G376-700)*0.07/100,IF(G376&gt;=600,0.85-(G376-600)*0.1/100,IF(G376&gt;=500,1-(G376-500)*0.15/100,1.2-(G376-400)*0.2/100))))</f>
        <v>0.68</v>
      </c>
      <c r="CH376" s="9">
        <f t="shared" si="1088"/>
        <v>1.3707728502186465</v>
      </c>
      <c r="CI376" s="9">
        <f t="shared" si="1089"/>
        <v>3.4269321255466161</v>
      </c>
      <c r="CJ376" s="40">
        <v>1</v>
      </c>
      <c r="CK376" s="9">
        <f t="shared" si="1090"/>
        <v>289.17824048212566</v>
      </c>
      <c r="CM376" s="4">
        <f t="shared" ref="CM376:CM439" si="1278">AB376/AX376</f>
        <v>2.3698771228746178</v>
      </c>
      <c r="CN376" s="4">
        <f t="shared" ref="CN376:CN439" si="1279">AB376/BC376</f>
        <v>0.68470929712525452</v>
      </c>
      <c r="CO376" s="4">
        <f t="shared" si="1242"/>
        <v>1.0497519954137509</v>
      </c>
      <c r="CP376" s="4">
        <f t="shared" ref="CP376:CP439" si="1280">AB376/CK376</f>
        <v>1.5143982955032453</v>
      </c>
      <c r="CQ376" s="4">
        <f t="shared" si="1189"/>
        <v>0.70984876435598188</v>
      </c>
      <c r="CR376" s="4">
        <f t="shared" si="1190"/>
        <v>0.74462905197182427</v>
      </c>
      <c r="CS376" s="4">
        <f t="shared" si="1243"/>
        <v>1.1002142240916057</v>
      </c>
      <c r="CT376" s="4">
        <f t="shared" si="997"/>
        <v>4</v>
      </c>
      <c r="DA376" s="4">
        <f t="shared" ref="DA376:DB379" si="1281">CM376</f>
        <v>2.3698771228746178</v>
      </c>
      <c r="DB376" s="4">
        <f t="shared" si="1281"/>
        <v>0.68470929712525452</v>
      </c>
      <c r="DC376" s="4">
        <f t="shared" ref="DC376:DC379" si="1282">CP376</f>
        <v>1.5143982955032453</v>
      </c>
      <c r="DD376" s="4">
        <f t="shared" ref="DD376:DD379" si="1283">CS376</f>
        <v>1.1002142240916057</v>
      </c>
      <c r="DE376" s="4">
        <f t="shared" ref="DE376:DF379" si="1284">CQ376</f>
        <v>0.70984876435598188</v>
      </c>
      <c r="DF376" s="4">
        <f t="shared" si="1284"/>
        <v>0.74462905197182427</v>
      </c>
      <c r="DI376" s="4">
        <f t="shared" ref="DI376:DI439" si="1285">I376</f>
        <v>96.774000000000001</v>
      </c>
      <c r="DL376" s="4">
        <f t="shared" si="1166"/>
        <v>1.113162027176162E-5</v>
      </c>
      <c r="DM376" s="4">
        <f t="shared" si="1009"/>
        <v>9.7201649178311715</v>
      </c>
      <c r="DN376" s="4">
        <f t="shared" si="1167"/>
        <v>0.43437541282622311</v>
      </c>
      <c r="DO376" s="4">
        <f t="shared" si="1168"/>
        <v>6.9633740924484089</v>
      </c>
      <c r="DP376" s="4">
        <f t="shared" si="1169"/>
        <v>8.4551871299038659</v>
      </c>
      <c r="DQ376" s="4">
        <f t="shared" si="1170"/>
        <v>9.5737606327462448</v>
      </c>
      <c r="DR376" s="38">
        <f t="shared" si="1183"/>
        <v>616.93568612474292</v>
      </c>
      <c r="DS376" s="4">
        <f t="shared" si="1095"/>
        <v>1.0000958932746935</v>
      </c>
      <c r="DT376" s="4">
        <f t="shared" si="1171"/>
        <v>2.2360679774997898</v>
      </c>
      <c r="DU376" s="4">
        <f t="shared" si="1103"/>
        <v>417.28876052172325</v>
      </c>
      <c r="DY376" s="4">
        <f t="shared" si="1037"/>
        <v>0.85</v>
      </c>
      <c r="DZ376" s="4">
        <f t="shared" si="1096"/>
        <v>0.7</v>
      </c>
      <c r="EA376" s="4">
        <f t="shared" si="1184"/>
        <v>0.85899999999999999</v>
      </c>
      <c r="EB376" s="4">
        <f t="shared" si="1097"/>
        <v>0.7</v>
      </c>
      <c r="ED376" s="4">
        <f t="shared" si="1185"/>
        <v>588.11972662507583</v>
      </c>
      <c r="EE376" s="25">
        <f t="shared" si="1186"/>
        <v>410.35735060777938</v>
      </c>
      <c r="EG376" s="4">
        <f t="shared" si="1104"/>
        <v>0.59499999999999997</v>
      </c>
      <c r="EH376" s="4">
        <f t="shared" si="1187"/>
        <v>9.7201649178311715</v>
      </c>
      <c r="EK376" s="4">
        <f t="shared" si="1172"/>
        <v>35.497579142809165</v>
      </c>
      <c r="EL376" s="4">
        <f t="shared" si="1173"/>
        <v>2.2360679774997898</v>
      </c>
      <c r="EM376" s="4">
        <f t="shared" si="1174"/>
        <v>0.13680092601028848</v>
      </c>
      <c r="EP376" s="4">
        <f t="shared" si="998"/>
        <v>0.13680092601028848</v>
      </c>
      <c r="EQ376" s="4">
        <f t="shared" si="1257"/>
        <v>0.43365052121878805</v>
      </c>
      <c r="ER376" s="4">
        <f t="shared" si="1010"/>
        <v>6.9587235338408613</v>
      </c>
      <c r="ES376" s="4">
        <f t="shared" ref="ES376:ES439" si="1286">EH376/1.4*(1-EQ376^1.4)/(1-EQ376)</f>
        <v>8.4532747276059581</v>
      </c>
      <c r="ET376" s="4">
        <f t="shared" si="1011"/>
        <v>37.082920857190835</v>
      </c>
      <c r="EU376" s="4">
        <f t="shared" si="1012"/>
        <v>24.1935</v>
      </c>
      <c r="EV376" s="4">
        <f t="shared" si="1098"/>
        <v>1.113162027176162E-5</v>
      </c>
      <c r="EW376" s="4">
        <f t="shared" ref="EW376:EW439" si="1287">MAX(0.5*EH376, (1-2*EV376*(EK376*ER376+ET376*ES376))/(1/EH376+EV376*EU376))</f>
        <v>9.5738115705862192</v>
      </c>
      <c r="EX376" s="4">
        <f t="shared" si="1131"/>
        <v>616.87653181402572</v>
      </c>
      <c r="FG376" s="23">
        <f t="shared" si="1030"/>
        <v>2.2000000000000002</v>
      </c>
      <c r="FH376" s="23">
        <f t="shared" si="1030"/>
        <v>0.8</v>
      </c>
      <c r="FI376" s="23">
        <f t="shared" si="1248"/>
        <v>1.2</v>
      </c>
      <c r="FJ376" s="23">
        <f t="shared" si="1031"/>
        <v>1.6</v>
      </c>
      <c r="FK376" s="23">
        <f t="shared" si="1031"/>
        <v>0.8</v>
      </c>
      <c r="FL376" s="23">
        <f t="shared" si="1031"/>
        <v>0.8</v>
      </c>
      <c r="FM376" s="23">
        <f t="shared" si="1195"/>
        <v>1</v>
      </c>
      <c r="FN376" s="23"/>
      <c r="FX376" s="4">
        <f t="shared" si="1099"/>
        <v>1</v>
      </c>
      <c r="FY376" s="4">
        <f t="shared" si="1139"/>
        <v>0.46358941059918601</v>
      </c>
      <c r="FZ376" s="4">
        <f t="shared" si="1100"/>
        <v>0.3</v>
      </c>
      <c r="GA376" s="4">
        <f t="shared" si="1101"/>
        <v>398.04160398338547</v>
      </c>
    </row>
    <row r="377" spans="1:183" ht="12" hidden="1" customHeight="1" x14ac:dyDescent="0.3">
      <c r="A377" s="25">
        <v>359</v>
      </c>
      <c r="B377" s="4" t="s">
        <v>605</v>
      </c>
      <c r="C377" s="4">
        <v>2016</v>
      </c>
      <c r="D377" s="4" t="s">
        <v>309</v>
      </c>
      <c r="E377" s="24" t="s">
        <v>673</v>
      </c>
      <c r="F377" s="7" t="s">
        <v>524</v>
      </c>
      <c r="G377" s="38">
        <f t="shared" si="1262"/>
        <v>958.62068965517244</v>
      </c>
      <c r="H377" s="38">
        <f>4.09*25.4</f>
        <v>103.886</v>
      </c>
      <c r="I377" s="4">
        <f t="shared" ref="I377:I440" si="1288">H377</f>
        <v>103.886</v>
      </c>
      <c r="J377" s="38">
        <f t="shared" si="1263"/>
        <v>33.172413793103445</v>
      </c>
      <c r="K377" s="38">
        <f t="shared" si="1264"/>
        <v>15.875</v>
      </c>
      <c r="L377" s="7">
        <f t="shared" ref="L377:L440" si="1289">H377/K377</f>
        <v>6.5439999999999996</v>
      </c>
      <c r="M377" s="7">
        <f t="shared" ref="M377:M440" si="1290">I377/K377</f>
        <v>6.5439999999999996</v>
      </c>
      <c r="N377" s="38">
        <f>13.1*25.4</f>
        <v>332.73999999999995</v>
      </c>
      <c r="O377" s="38">
        <f>2.6*25.4</f>
        <v>66.039999999999992</v>
      </c>
      <c r="P377" s="39">
        <f>5.25*25.4</f>
        <v>133.35</v>
      </c>
      <c r="Q377" s="7">
        <f t="shared" ref="Q377:Q440" si="1291">(N377-R377*K377-2*O377)/(R377-1)</f>
        <v>168.90999999999997</v>
      </c>
      <c r="R377" s="38">
        <v>2</v>
      </c>
      <c r="S377" s="4">
        <f t="shared" si="1258"/>
        <v>133.35</v>
      </c>
      <c r="T377" s="7">
        <f t="shared" ref="T377:T440" si="1292">MIN(O377/K377+0.5, Q377/2/K377+0.5)</f>
        <v>4.6599999999999993</v>
      </c>
      <c r="U377" s="7">
        <f t="shared" si="1127"/>
        <v>4.6599999999999993</v>
      </c>
      <c r="V377" s="38">
        <v>13.1</v>
      </c>
      <c r="W377" s="4">
        <f t="shared" ref="W377:W440" si="1293">V377</f>
        <v>13.1</v>
      </c>
      <c r="X377" s="4">
        <f t="shared" ref="X377:X440" si="1294">W377+1</f>
        <v>14.1</v>
      </c>
      <c r="Y377" s="7">
        <f t="shared" ref="Y377:Y440" si="1295">K377*X377^0.5</f>
        <v>59.610572153771514</v>
      </c>
      <c r="AB377" s="38">
        <f t="shared" si="1038"/>
        <v>642.75862068965523</v>
      </c>
      <c r="AC377" s="4">
        <v>93.2</v>
      </c>
      <c r="AD377" s="4">
        <f t="shared" si="1159"/>
        <v>1.0481130483497585</v>
      </c>
      <c r="AE377" s="38">
        <f t="shared" ref="AE377:AE379" si="1296">0.375*25.4</f>
        <v>9.5249999999999986</v>
      </c>
      <c r="AF377" s="38">
        <v>4</v>
      </c>
      <c r="AG377" s="39">
        <f>3.5*25.4</f>
        <v>88.899999999999991</v>
      </c>
      <c r="AH377" s="39">
        <v>2</v>
      </c>
      <c r="AI377" s="39">
        <f t="shared" si="1265"/>
        <v>1</v>
      </c>
      <c r="AJ377" s="7"/>
      <c r="AK377" s="4">
        <f t="shared" ref="AK377:AK440" si="1297">H377</f>
        <v>103.886</v>
      </c>
      <c r="AL377" s="4">
        <f t="shared" si="1175"/>
        <v>1.0676446617766908</v>
      </c>
      <c r="AM377" s="4">
        <f t="shared" si="1176"/>
        <v>154.05533015486256</v>
      </c>
      <c r="AN377" s="4">
        <f t="shared" si="1177"/>
        <v>0.84242053789731042</v>
      </c>
      <c r="AO377" s="4">
        <v>1.25</v>
      </c>
      <c r="AP377" s="4">
        <f t="shared" si="1112"/>
        <v>2.5</v>
      </c>
      <c r="AQ377" s="38">
        <f t="shared" si="1266"/>
        <v>432.99454987892017</v>
      </c>
      <c r="AR377" s="38">
        <f t="shared" si="1178"/>
        <v>432.99454987892017</v>
      </c>
      <c r="AS377" s="38">
        <f t="shared" si="1179"/>
        <v>3.0972241539071201</v>
      </c>
      <c r="AT377" s="38">
        <f t="shared" si="1121"/>
        <v>432.99454987892028</v>
      </c>
      <c r="AU377" s="38">
        <f t="shared" si="1086"/>
        <v>0.99999999999999978</v>
      </c>
      <c r="AV377" s="38">
        <f t="shared" si="1249"/>
        <v>2.5843194991058414</v>
      </c>
      <c r="AW377" s="4">
        <f t="shared" si="1230"/>
        <v>0</v>
      </c>
      <c r="AX377" s="4">
        <f t="shared" ref="AX377:AX440" si="1298">I377/K377*J377^0.5/0.19</f>
        <v>198.37102016432598</v>
      </c>
      <c r="AY377" s="4">
        <f t="shared" si="1267"/>
        <v>1</v>
      </c>
      <c r="AZ377" s="38">
        <f t="shared" si="1102"/>
        <v>1118.9962582586504</v>
      </c>
      <c r="BA377" s="4">
        <f t="shared" si="1268"/>
        <v>0.3</v>
      </c>
      <c r="BB377" s="4">
        <f t="shared" si="1269"/>
        <v>31.094657410758099</v>
      </c>
      <c r="BC377" s="4">
        <f t="shared" si="1270"/>
        <v>1150.0909156694086</v>
      </c>
      <c r="BE377" s="4">
        <f t="shared" si="1122"/>
        <v>1.5</v>
      </c>
      <c r="BF377" s="4">
        <f t="shared" si="1128"/>
        <v>428.78696282805788</v>
      </c>
      <c r="BH377" s="4">
        <f t="shared" si="1129"/>
        <v>1073.2542559953574</v>
      </c>
      <c r="BI377" s="4">
        <f t="shared" si="1067"/>
        <v>0</v>
      </c>
      <c r="BJ377" s="4">
        <f t="shared" si="1130"/>
        <v>0</v>
      </c>
      <c r="BR377" s="4">
        <f t="shared" si="1271"/>
        <v>66.039999999999992</v>
      </c>
      <c r="BV377" s="9"/>
      <c r="BX377" s="9"/>
      <c r="BY377" s="9"/>
      <c r="BZ377" s="9">
        <f t="shared" si="1272"/>
        <v>66.039999999999992</v>
      </c>
      <c r="CA377" s="9">
        <f t="shared" si="1273"/>
        <v>84.454999999999984</v>
      </c>
      <c r="CB377" s="9">
        <f t="shared" si="1087"/>
        <v>2.116261887080392</v>
      </c>
      <c r="CC377" s="40">
        <f t="shared" ref="CC377:CC440" si="1299">IF(AG377&gt;1,20,0)</f>
        <v>20</v>
      </c>
      <c r="CD377" s="9">
        <f t="shared" si="1274"/>
        <v>0.05</v>
      </c>
      <c r="CE377" s="9">
        <f t="shared" si="1275"/>
        <v>0.8</v>
      </c>
      <c r="CF377" s="9">
        <f t="shared" si="1276"/>
        <v>1</v>
      </c>
      <c r="CG377" s="9">
        <f t="shared" si="1277"/>
        <v>0.68</v>
      </c>
      <c r="CH377" s="9">
        <f t="shared" si="1088"/>
        <v>1.3707728502186465</v>
      </c>
      <c r="CI377" s="9">
        <f t="shared" si="1089"/>
        <v>3.4269321255466161</v>
      </c>
      <c r="CJ377" s="40">
        <v>1</v>
      </c>
      <c r="CK377" s="9">
        <f t="shared" si="1090"/>
        <v>295.31930285110519</v>
      </c>
      <c r="CM377" s="4">
        <f t="shared" si="1278"/>
        <v>3.2401840760672038</v>
      </c>
      <c r="CN377" s="4">
        <f t="shared" si="1279"/>
        <v>0.55887635658398238</v>
      </c>
      <c r="CO377" s="4">
        <f t="shared" si="1242"/>
        <v>1.4990162397903857</v>
      </c>
      <c r="CP377" s="4">
        <f t="shared" si="1280"/>
        <v>2.1764869904684927</v>
      </c>
      <c r="CQ377" s="4">
        <f t="shared" si="1189"/>
        <v>1.0481130483497585</v>
      </c>
      <c r="CR377" s="4">
        <f t="shared" si="1190"/>
        <v>1.0414859751276166</v>
      </c>
      <c r="CS377" s="4">
        <f t="shared" si="1243"/>
        <v>1.5042537753350267</v>
      </c>
      <c r="CT377" s="4">
        <f t="shared" ref="CT377:CT440" si="1300">AF377</f>
        <v>4</v>
      </c>
      <c r="DA377" s="4">
        <f t="shared" si="1281"/>
        <v>3.2401840760672038</v>
      </c>
      <c r="DB377" s="4">
        <f t="shared" si="1281"/>
        <v>0.55887635658398238</v>
      </c>
      <c r="DC377" s="4">
        <f t="shared" si="1282"/>
        <v>2.1764869904684927</v>
      </c>
      <c r="DD377" s="4">
        <f t="shared" si="1283"/>
        <v>1.5042537753350267</v>
      </c>
      <c r="DE377" s="4">
        <f t="shared" si="1284"/>
        <v>1.0481130483497585</v>
      </c>
      <c r="DF377" s="4">
        <f t="shared" si="1284"/>
        <v>1.0414859751276166</v>
      </c>
      <c r="DI377" s="4">
        <f t="shared" si="1285"/>
        <v>103.886</v>
      </c>
      <c r="DL377" s="4">
        <f t="shared" si="1166"/>
        <v>1.1949692102757226E-5</v>
      </c>
      <c r="DM377" s="4">
        <f t="shared" si="1009"/>
        <v>9.7201649178311715</v>
      </c>
      <c r="DN377" s="4">
        <f t="shared" si="1167"/>
        <v>0.23111292126149946</v>
      </c>
      <c r="DO377" s="4">
        <f t="shared" si="1168"/>
        <v>5.4100754798522344</v>
      </c>
      <c r="DP377" s="4">
        <f t="shared" si="1169"/>
        <v>7.8683545195642743</v>
      </c>
      <c r="DQ377" s="4">
        <f t="shared" si="1170"/>
        <v>9.5828812997624286</v>
      </c>
      <c r="DR377" s="38">
        <f t="shared" si="1183"/>
        <v>613.25314258960043</v>
      </c>
      <c r="DS377" s="4">
        <f t="shared" si="1095"/>
        <v>1.0000971921120796</v>
      </c>
      <c r="DT377" s="4">
        <f t="shared" si="1171"/>
        <v>3.7549966711037173</v>
      </c>
      <c r="DU377" s="4">
        <f t="shared" si="1103"/>
        <v>432.99454987892028</v>
      </c>
      <c r="DY377" s="4">
        <f t="shared" si="1037"/>
        <v>0.85</v>
      </c>
      <c r="DZ377" s="4">
        <f t="shared" si="1096"/>
        <v>0.7</v>
      </c>
      <c r="EA377" s="4">
        <f t="shared" si="1184"/>
        <v>0.85899999999999999</v>
      </c>
      <c r="EB377" s="4">
        <f t="shared" si="1097"/>
        <v>0.7</v>
      </c>
      <c r="ED377" s="4">
        <f t="shared" si="1185"/>
        <v>617.1553300186265</v>
      </c>
      <c r="EE377" s="25">
        <f t="shared" si="1186"/>
        <v>426.32905235176491</v>
      </c>
      <c r="EG377" s="4">
        <f t="shared" si="1104"/>
        <v>0.59499999999999997</v>
      </c>
      <c r="EH377" s="4">
        <f t="shared" si="1187"/>
        <v>9.7201649178311715</v>
      </c>
      <c r="EK377" s="4">
        <f t="shared" si="1172"/>
        <v>59.610572153771514</v>
      </c>
      <c r="EL377" s="4">
        <f t="shared" si="1173"/>
        <v>3.7549966711037173</v>
      </c>
      <c r="EM377" s="4">
        <f t="shared" si="1174"/>
        <v>7.2786029567848812E-2</v>
      </c>
      <c r="EP377" s="4">
        <f t="shared" ref="EP377:EP440" si="1301">EM377</f>
        <v>7.2786029567848812E-2</v>
      </c>
      <c r="EQ377" s="4">
        <f t="shared" si="1257"/>
        <v>0.23072723686950719</v>
      </c>
      <c r="ER377" s="4">
        <f t="shared" si="1010"/>
        <v>5.4064623071637818</v>
      </c>
      <c r="ES377" s="4">
        <f t="shared" si="1286"/>
        <v>7.8671211254314866</v>
      </c>
      <c r="ET377" s="4">
        <f t="shared" si="1011"/>
        <v>18.30392784622849</v>
      </c>
      <c r="EU377" s="4">
        <f t="shared" si="1012"/>
        <v>25.971499999999992</v>
      </c>
      <c r="EV377" s="4">
        <f t="shared" si="1098"/>
        <v>1.1949692102757221E-5</v>
      </c>
      <c r="EW377" s="4">
        <f t="shared" si="1287"/>
        <v>9.5829364128552577</v>
      </c>
      <c r="EX377" s="4">
        <f t="shared" si="1131"/>
        <v>613.19354501384703</v>
      </c>
      <c r="FG377" s="23">
        <f t="shared" si="1030"/>
        <v>2.2000000000000002</v>
      </c>
      <c r="FH377" s="23">
        <f t="shared" si="1030"/>
        <v>0.6</v>
      </c>
      <c r="FI377" s="23">
        <f t="shared" si="1248"/>
        <v>1.6</v>
      </c>
      <c r="FJ377" s="23">
        <f t="shared" si="1031"/>
        <v>2.2000000000000002</v>
      </c>
      <c r="FK377" s="23">
        <f t="shared" si="1031"/>
        <v>1.2</v>
      </c>
      <c r="FL377" s="23">
        <f t="shared" si="1031"/>
        <v>1.2</v>
      </c>
      <c r="FM377" s="23">
        <f t="shared" si="1195"/>
        <v>0</v>
      </c>
      <c r="FN377" s="23"/>
      <c r="FX377" s="4">
        <f t="shared" si="1099"/>
        <v>1</v>
      </c>
      <c r="FY377" s="4">
        <f t="shared" si="1139"/>
        <v>0.46358941059918601</v>
      </c>
      <c r="FZ377" s="4">
        <f t="shared" si="1100"/>
        <v>0.3</v>
      </c>
      <c r="GA377" s="4">
        <f t="shared" si="1101"/>
        <v>427.29400532599647</v>
      </c>
    </row>
    <row r="378" spans="1:183" ht="12" hidden="1" customHeight="1" x14ac:dyDescent="0.3">
      <c r="A378" s="25">
        <v>360</v>
      </c>
      <c r="B378" s="4" t="s">
        <v>605</v>
      </c>
      <c r="C378" s="4">
        <v>2016</v>
      </c>
      <c r="D378" s="4" t="s">
        <v>309</v>
      </c>
      <c r="E378" s="24" t="s">
        <v>673</v>
      </c>
      <c r="F378" s="7" t="s">
        <v>525</v>
      </c>
      <c r="G378" s="38">
        <f t="shared" si="1262"/>
        <v>958.62068965517244</v>
      </c>
      <c r="H378" s="38">
        <f>4.16*25.4</f>
        <v>105.664</v>
      </c>
      <c r="I378" s="4">
        <f t="shared" si="1288"/>
        <v>105.664</v>
      </c>
      <c r="J378" s="38">
        <f t="shared" si="1263"/>
        <v>33.172413793103445</v>
      </c>
      <c r="K378" s="38">
        <f t="shared" si="1264"/>
        <v>15.875</v>
      </c>
      <c r="L378" s="7">
        <f t="shared" si="1289"/>
        <v>6.6559999999999997</v>
      </c>
      <c r="M378" s="7">
        <f t="shared" si="1290"/>
        <v>6.6559999999999997</v>
      </c>
      <c r="N378" s="38">
        <f>13.1*25.4</f>
        <v>332.73999999999995</v>
      </c>
      <c r="O378" s="38">
        <f>2.55*25.4</f>
        <v>64.77</v>
      </c>
      <c r="P378" s="39">
        <f>5.1*25.4</f>
        <v>129.54</v>
      </c>
      <c r="Q378" s="7">
        <f t="shared" si="1291"/>
        <v>171.44999999999996</v>
      </c>
      <c r="R378" s="38">
        <v>2</v>
      </c>
      <c r="S378" s="4">
        <f t="shared" si="1258"/>
        <v>133.35</v>
      </c>
      <c r="T378" s="7">
        <f t="shared" si="1292"/>
        <v>4.58</v>
      </c>
      <c r="U378" s="7">
        <f t="shared" si="1127"/>
        <v>4.58</v>
      </c>
      <c r="V378" s="38">
        <v>4</v>
      </c>
      <c r="W378" s="4">
        <f t="shared" si="1293"/>
        <v>4</v>
      </c>
      <c r="X378" s="4">
        <f t="shared" si="1294"/>
        <v>5</v>
      </c>
      <c r="Y378" s="7">
        <f t="shared" si="1295"/>
        <v>35.497579142809165</v>
      </c>
      <c r="AB378" s="38">
        <f t="shared" si="1038"/>
        <v>589.65517241379314</v>
      </c>
      <c r="AC378" s="4">
        <v>85.5</v>
      </c>
      <c r="AD378" s="4">
        <f t="shared" si="1159"/>
        <v>0.90063459723224326</v>
      </c>
      <c r="AE378" s="38">
        <f t="shared" si="1296"/>
        <v>9.5249999999999986</v>
      </c>
      <c r="AF378" s="38">
        <v>10</v>
      </c>
      <c r="AG378" s="39">
        <f>1.75*25.4</f>
        <v>44.449999999999996</v>
      </c>
      <c r="AH378" s="39">
        <v>3</v>
      </c>
      <c r="AI378" s="39">
        <f t="shared" si="1265"/>
        <v>2</v>
      </c>
      <c r="AJ378" s="7"/>
      <c r="AK378" s="4">
        <f t="shared" si="1297"/>
        <v>105.664</v>
      </c>
      <c r="AL378" s="4">
        <f t="shared" si="1175"/>
        <v>1.049679487179487</v>
      </c>
      <c r="AM378" s="4">
        <f t="shared" si="1176"/>
        <v>158.02717010503781</v>
      </c>
      <c r="AN378" s="4">
        <f t="shared" si="1177"/>
        <v>0.83762019230769225</v>
      </c>
      <c r="AO378" s="4">
        <v>1.25</v>
      </c>
      <c r="AP378" s="4">
        <f t="shared" si="1112"/>
        <v>2.5</v>
      </c>
      <c r="AQ378" s="38">
        <f t="shared" si="1266"/>
        <v>434.19581501232227</v>
      </c>
      <c r="AR378" s="38">
        <f t="shared" si="1178"/>
        <v>434.19581501232227</v>
      </c>
      <c r="AS378" s="38">
        <f t="shared" si="1179"/>
        <v>3.0972241539071201</v>
      </c>
      <c r="AT378" s="38">
        <f t="shared" si="1121"/>
        <v>434.1958150123221</v>
      </c>
      <c r="AU378" s="38">
        <f t="shared" si="1086"/>
        <v>1.0000000000000004</v>
      </c>
      <c r="AV378" s="38">
        <f t="shared" si="1249"/>
        <v>1.3996418198374589</v>
      </c>
      <c r="AW378" s="4">
        <f t="shared" si="1230"/>
        <v>0</v>
      </c>
      <c r="AX378" s="4">
        <f t="shared" si="1298"/>
        <v>201.76612319892325</v>
      </c>
      <c r="AY378" s="4">
        <f t="shared" si="1267"/>
        <v>1</v>
      </c>
      <c r="AZ378" s="38">
        <f t="shared" si="1102"/>
        <v>607.71862068965515</v>
      </c>
      <c r="BA378" s="4">
        <f t="shared" si="1268"/>
        <v>0.44000000000000006</v>
      </c>
      <c r="BB378" s="4">
        <f t="shared" si="1269"/>
        <v>46.386031723432467</v>
      </c>
      <c r="BC378" s="4">
        <f t="shared" si="1270"/>
        <v>654.10465241308759</v>
      </c>
      <c r="BE378" s="4">
        <f t="shared" si="1122"/>
        <v>1.5</v>
      </c>
      <c r="BF378" s="4">
        <f t="shared" si="1128"/>
        <v>431.68977592263855</v>
      </c>
      <c r="BH378" s="4">
        <f t="shared" si="1129"/>
        <v>582.87647638589272</v>
      </c>
      <c r="BI378" s="4">
        <f t="shared" si="1067"/>
        <v>0</v>
      </c>
      <c r="BJ378" s="4">
        <f t="shared" si="1130"/>
        <v>0</v>
      </c>
      <c r="BR378" s="4">
        <f t="shared" si="1271"/>
        <v>64.77</v>
      </c>
      <c r="BV378" s="9"/>
      <c r="BX378" s="9"/>
      <c r="BY378" s="9"/>
      <c r="BZ378" s="9">
        <f t="shared" si="1272"/>
        <v>64.77</v>
      </c>
      <c r="CA378" s="9">
        <f t="shared" si="1273"/>
        <v>85.72499999999998</v>
      </c>
      <c r="CB378" s="9">
        <f t="shared" si="1087"/>
        <v>2.1066390052415969</v>
      </c>
      <c r="CC378" s="40">
        <f t="shared" si="1299"/>
        <v>20</v>
      </c>
      <c r="CD378" s="9">
        <f t="shared" si="1274"/>
        <v>0.05</v>
      </c>
      <c r="CE378" s="9">
        <f t="shared" si="1275"/>
        <v>0.8</v>
      </c>
      <c r="CF378" s="9">
        <f t="shared" si="1276"/>
        <v>1</v>
      </c>
      <c r="CG378" s="9">
        <f t="shared" si="1277"/>
        <v>0.68</v>
      </c>
      <c r="CH378" s="9">
        <f t="shared" si="1088"/>
        <v>1.3707728502186465</v>
      </c>
      <c r="CI378" s="9">
        <f t="shared" si="1089"/>
        <v>3.4269321255466161</v>
      </c>
      <c r="CJ378" s="40">
        <v>1</v>
      </c>
      <c r="CK378" s="9">
        <f t="shared" si="1090"/>
        <v>296.8545684433501</v>
      </c>
      <c r="CM378" s="4">
        <f t="shared" si="1278"/>
        <v>2.9224686635449011</v>
      </c>
      <c r="CN378" s="4">
        <f t="shared" si="1279"/>
        <v>0.90146916130082411</v>
      </c>
      <c r="CO378" s="4">
        <f t="shared" si="1242"/>
        <v>1.3659234137605867</v>
      </c>
      <c r="CP378" s="4">
        <f t="shared" si="1280"/>
        <v>1.9863436008609694</v>
      </c>
      <c r="CQ378" s="4">
        <f t="shared" si="1189"/>
        <v>0.90063459723224326</v>
      </c>
      <c r="CR378" s="4">
        <f t="shared" si="1190"/>
        <v>0.94846759987164653</v>
      </c>
      <c r="CS378" s="4">
        <f t="shared" si="1243"/>
        <v>1.356754559997581</v>
      </c>
      <c r="CT378" s="4">
        <f t="shared" si="1300"/>
        <v>10</v>
      </c>
      <c r="DA378" s="4">
        <f t="shared" si="1281"/>
        <v>2.9224686635449011</v>
      </c>
      <c r="DB378" s="4">
        <f t="shared" si="1281"/>
        <v>0.90146916130082411</v>
      </c>
      <c r="DC378" s="4">
        <f t="shared" si="1282"/>
        <v>1.9863436008609694</v>
      </c>
      <c r="DD378" s="4">
        <f t="shared" si="1283"/>
        <v>1.356754559997581</v>
      </c>
      <c r="DE378" s="4">
        <f t="shared" si="1284"/>
        <v>0.90063459723224326</v>
      </c>
      <c r="DF378" s="4">
        <f t="shared" si="1284"/>
        <v>0.94846759987164653</v>
      </c>
      <c r="DI378" s="4">
        <f t="shared" si="1285"/>
        <v>105.664</v>
      </c>
      <c r="DL378" s="4">
        <f t="shared" si="1166"/>
        <v>1.2154210060506127E-5</v>
      </c>
      <c r="DM378" s="4">
        <f t="shared" si="1009"/>
        <v>9.7201649178311715</v>
      </c>
      <c r="DN378" s="4">
        <f t="shared" si="1167"/>
        <v>0.45197475761769884</v>
      </c>
      <c r="DO378" s="4">
        <f t="shared" si="1168"/>
        <v>7.0748837090322549</v>
      </c>
      <c r="DP378" s="4">
        <f t="shared" si="1169"/>
        <v>8.5012977555483715</v>
      </c>
      <c r="DQ378" s="4">
        <f t="shared" si="1170"/>
        <v>9.5431608262948266</v>
      </c>
      <c r="DR378" s="38">
        <f t="shared" si="1183"/>
        <v>654.71077196664805</v>
      </c>
      <c r="DS378" s="4">
        <f t="shared" si="1095"/>
        <v>1.0000970175261943</v>
      </c>
      <c r="DT378" s="4">
        <f t="shared" si="1171"/>
        <v>2.2360679774997898</v>
      </c>
      <c r="DU378" s="4">
        <f t="shared" si="1103"/>
        <v>434.1958150123221</v>
      </c>
      <c r="DY378" s="4">
        <f t="shared" si="1037"/>
        <v>0.85</v>
      </c>
      <c r="DZ378" s="4">
        <f t="shared" si="1096"/>
        <v>0.7</v>
      </c>
      <c r="EA378" s="4">
        <f t="shared" si="1184"/>
        <v>0.7</v>
      </c>
      <c r="EB378" s="4">
        <f t="shared" si="1097"/>
        <v>0.7</v>
      </c>
      <c r="ED378" s="4">
        <f t="shared" si="1185"/>
        <v>621.69247794399041</v>
      </c>
      <c r="EE378" s="25">
        <f t="shared" si="1186"/>
        <v>427.60022486473753</v>
      </c>
      <c r="EG378" s="4">
        <f t="shared" si="1104"/>
        <v>0.59499999999999997</v>
      </c>
      <c r="EH378" s="4">
        <f t="shared" si="1187"/>
        <v>9.7201649178311715</v>
      </c>
      <c r="EK378" s="4">
        <f t="shared" si="1172"/>
        <v>35.497579142809165</v>
      </c>
      <c r="EL378" s="4">
        <f t="shared" si="1173"/>
        <v>2.2360679774997898</v>
      </c>
      <c r="EM378" s="4">
        <f t="shared" si="1174"/>
        <v>0.14234361234463544</v>
      </c>
      <c r="EP378" s="4">
        <f t="shared" si="1301"/>
        <v>0.14234361234463544</v>
      </c>
      <c r="EQ378" s="4">
        <f t="shared" si="1257"/>
        <v>0.45122049598387881</v>
      </c>
      <c r="ER378" s="4">
        <f t="shared" si="1010"/>
        <v>7.0701586776188012</v>
      </c>
      <c r="ES378" s="4">
        <f t="shared" si="1286"/>
        <v>8.4993339958986827</v>
      </c>
      <c r="ET378" s="4">
        <f t="shared" si="1011"/>
        <v>43.750420857190839</v>
      </c>
      <c r="EU378" s="4">
        <f t="shared" si="1012"/>
        <v>26.416000000000004</v>
      </c>
      <c r="EV378" s="4">
        <f t="shared" si="1098"/>
        <v>1.2154210060506129E-5</v>
      </c>
      <c r="EW378" s="4">
        <f t="shared" si="1287"/>
        <v>9.5432205709598907</v>
      </c>
      <c r="EX378" s="4">
        <f t="shared" si="1131"/>
        <v>654.64725970898121</v>
      </c>
      <c r="FG378" s="23">
        <f t="shared" si="1030"/>
        <v>2.2000000000000002</v>
      </c>
      <c r="FH378" s="23">
        <f t="shared" si="1030"/>
        <v>1</v>
      </c>
      <c r="FI378" s="23">
        <f t="shared" si="1248"/>
        <v>1.4</v>
      </c>
      <c r="FJ378" s="23">
        <f t="shared" si="1031"/>
        <v>2</v>
      </c>
      <c r="FK378" s="23">
        <f t="shared" si="1031"/>
        <v>1</v>
      </c>
      <c r="FL378" s="23">
        <f t="shared" si="1031"/>
        <v>1</v>
      </c>
      <c r="FM378" s="23">
        <f t="shared" si="1195"/>
        <v>0</v>
      </c>
      <c r="FN378" s="23"/>
      <c r="FX378" s="4">
        <f t="shared" si="1099"/>
        <v>1</v>
      </c>
      <c r="FY378" s="4">
        <f t="shared" si="1139"/>
        <v>0.46358941059918601</v>
      </c>
      <c r="FZ378" s="4">
        <f t="shared" si="1100"/>
        <v>0.3</v>
      </c>
      <c r="GA378" s="4">
        <f t="shared" si="1101"/>
        <v>434.60710566164926</v>
      </c>
    </row>
    <row r="379" spans="1:183" ht="12" hidden="1" customHeight="1" x14ac:dyDescent="0.3">
      <c r="A379" s="25">
        <v>361</v>
      </c>
      <c r="B379" s="4" t="s">
        <v>605</v>
      </c>
      <c r="C379" s="4">
        <v>2016</v>
      </c>
      <c r="D379" s="4" t="s">
        <v>309</v>
      </c>
      <c r="E379" s="24" t="s">
        <v>673</v>
      </c>
      <c r="F379" s="7" t="s">
        <v>526</v>
      </c>
      <c r="G379" s="38">
        <f t="shared" si="1262"/>
        <v>958.62068965517244</v>
      </c>
      <c r="H379" s="38">
        <f>4.19*25.4</f>
        <v>106.426</v>
      </c>
      <c r="I379" s="4">
        <f t="shared" si="1288"/>
        <v>106.426</v>
      </c>
      <c r="J379" s="38">
        <f>4690/145</f>
        <v>32.344827586206897</v>
      </c>
      <c r="K379" s="38">
        <f t="shared" si="1264"/>
        <v>15.875</v>
      </c>
      <c r="L379" s="7">
        <f t="shared" si="1289"/>
        <v>6.7039999999999997</v>
      </c>
      <c r="M379" s="7">
        <f t="shared" si="1290"/>
        <v>6.7039999999999997</v>
      </c>
      <c r="N379" s="38">
        <f>13*25.4</f>
        <v>330.2</v>
      </c>
      <c r="O379" s="38">
        <f>2.5*25.4</f>
        <v>63.5</v>
      </c>
      <c r="P379" s="39">
        <f>5.05*25.4</f>
        <v>128.26999999999998</v>
      </c>
      <c r="Q379" s="7">
        <f t="shared" si="1291"/>
        <v>171.45</v>
      </c>
      <c r="R379" s="38">
        <v>2</v>
      </c>
      <c r="S379" s="4">
        <f t="shared" si="1258"/>
        <v>133.35</v>
      </c>
      <c r="T379" s="7">
        <f t="shared" si="1292"/>
        <v>4.5</v>
      </c>
      <c r="U379" s="7">
        <f t="shared" si="1127"/>
        <v>4.5</v>
      </c>
      <c r="V379" s="38">
        <v>13.1</v>
      </c>
      <c r="W379" s="4">
        <f t="shared" si="1293"/>
        <v>13.1</v>
      </c>
      <c r="X379" s="4">
        <f t="shared" si="1294"/>
        <v>14.1</v>
      </c>
      <c r="Y379" s="7">
        <f t="shared" si="1295"/>
        <v>59.610572153771514</v>
      </c>
      <c r="AB379" s="38">
        <f t="shared" si="1038"/>
        <v>782.75862068965523</v>
      </c>
      <c r="AC379" s="4">
        <v>113.5</v>
      </c>
      <c r="AD379" s="4">
        <f t="shared" si="1159"/>
        <v>1.2858428339267387</v>
      </c>
      <c r="AE379" s="38">
        <f t="shared" si="1296"/>
        <v>9.5249999999999986</v>
      </c>
      <c r="AF379" s="38">
        <v>10</v>
      </c>
      <c r="AG379" s="39">
        <f>1.75*25.4</f>
        <v>44.449999999999996</v>
      </c>
      <c r="AH379" s="39">
        <v>3</v>
      </c>
      <c r="AI379" s="39">
        <f t="shared" si="1265"/>
        <v>2</v>
      </c>
      <c r="AJ379" s="7"/>
      <c r="AK379" s="4">
        <f t="shared" si="1297"/>
        <v>106.426</v>
      </c>
      <c r="AL379" s="4">
        <f t="shared" si="1175"/>
        <v>1.0342084327764518</v>
      </c>
      <c r="AM379" s="4">
        <f t="shared" si="1176"/>
        <v>157.73449680371363</v>
      </c>
      <c r="AN379" s="4">
        <f t="shared" si="1177"/>
        <v>0.83424821002386629</v>
      </c>
      <c r="AO379" s="4">
        <v>1.25</v>
      </c>
      <c r="AP379" s="4">
        <f t="shared" si="1112"/>
        <v>2.5</v>
      </c>
      <c r="AQ379" s="38">
        <f t="shared" si="1266"/>
        <v>425.2849992610565</v>
      </c>
      <c r="AR379" s="38">
        <f t="shared" si="1178"/>
        <v>425.2849992610565</v>
      </c>
      <c r="AS379" s="38">
        <f t="shared" si="1179"/>
        <v>3.0454944685430494</v>
      </c>
      <c r="AT379" s="38">
        <f t="shared" si="1121"/>
        <v>425.28499926105661</v>
      </c>
      <c r="AU379" s="38">
        <f t="shared" si="1086"/>
        <v>0.99999999999999978</v>
      </c>
      <c r="AV379" s="38">
        <f t="shared" si="1249"/>
        <v>2.4774387905489403</v>
      </c>
      <c r="AW379" s="4">
        <f t="shared" si="1230"/>
        <v>0</v>
      </c>
      <c r="AX379" s="4">
        <f t="shared" si="1298"/>
        <v>200.67017291999846</v>
      </c>
      <c r="AY379" s="4">
        <f t="shared" si="1267"/>
        <v>1</v>
      </c>
      <c r="AZ379" s="38">
        <f t="shared" si="1102"/>
        <v>1053.6175542079191</v>
      </c>
      <c r="BA379" s="4">
        <f t="shared" si="1268"/>
        <v>0.3</v>
      </c>
      <c r="BB379" s="4">
        <f t="shared" si="1269"/>
        <v>31.455049605209762</v>
      </c>
      <c r="BC379" s="4">
        <f t="shared" si="1270"/>
        <v>1085.0726038131288</v>
      </c>
      <c r="BE379" s="4">
        <f t="shared" si="1122"/>
        <v>1.5</v>
      </c>
      <c r="BF379" s="4">
        <f t="shared" si="1128"/>
        <v>427.49930728364927</v>
      </c>
      <c r="BH379" s="4">
        <f t="shared" si="1129"/>
        <v>1010.5480835161915</v>
      </c>
      <c r="BI379" s="4">
        <f t="shared" si="1067"/>
        <v>0</v>
      </c>
      <c r="BJ379" s="4">
        <f t="shared" si="1130"/>
        <v>0</v>
      </c>
      <c r="BR379" s="4">
        <f t="shared" si="1271"/>
        <v>63.5</v>
      </c>
      <c r="BV379" s="9"/>
      <c r="BX379" s="9"/>
      <c r="BY379" s="9"/>
      <c r="BZ379" s="9">
        <f t="shared" si="1272"/>
        <v>63.5</v>
      </c>
      <c r="CA379" s="9">
        <f t="shared" si="1273"/>
        <v>85.724999999999994</v>
      </c>
      <c r="CB379" s="9">
        <f t="shared" si="1087"/>
        <v>2.0920885420600022</v>
      </c>
      <c r="CC379" s="40">
        <f t="shared" si="1299"/>
        <v>20</v>
      </c>
      <c r="CD379" s="9">
        <f t="shared" si="1274"/>
        <v>0.05</v>
      </c>
      <c r="CE379" s="9">
        <f t="shared" si="1275"/>
        <v>0.8</v>
      </c>
      <c r="CF379" s="9">
        <f t="shared" si="1276"/>
        <v>1</v>
      </c>
      <c r="CG379" s="9">
        <f t="shared" si="1277"/>
        <v>0.68</v>
      </c>
      <c r="CH379" s="9">
        <f t="shared" si="1088"/>
        <v>1.3535658143559566</v>
      </c>
      <c r="CI379" s="9">
        <f t="shared" si="1089"/>
        <v>3.3839145358898914</v>
      </c>
      <c r="CJ379" s="40">
        <v>1</v>
      </c>
      <c r="CK379" s="9">
        <f t="shared" si="1090"/>
        <v>293.77792434781679</v>
      </c>
      <c r="CM379" s="4">
        <f t="shared" si="1278"/>
        <v>3.9007223111414722</v>
      </c>
      <c r="CN379" s="4">
        <f t="shared" si="1279"/>
        <v>0.72138824438006166</v>
      </c>
      <c r="CO379" s="4">
        <f t="shared" si="1242"/>
        <v>1.8310172843631967</v>
      </c>
      <c r="CP379" s="4">
        <f t="shared" si="1280"/>
        <v>2.6644569105298475</v>
      </c>
      <c r="CQ379" s="4">
        <f t="shared" si="1189"/>
        <v>1.2858428339267387</v>
      </c>
      <c r="CR379" s="4">
        <f t="shared" si="1190"/>
        <v>1.2792539211145848</v>
      </c>
      <c r="CS379" s="4">
        <f t="shared" si="1243"/>
        <v>1.799506429845696</v>
      </c>
      <c r="CT379" s="4">
        <f t="shared" si="1300"/>
        <v>10</v>
      </c>
      <c r="DA379" s="4">
        <f t="shared" si="1281"/>
        <v>3.9007223111414722</v>
      </c>
      <c r="DB379" s="4">
        <f t="shared" si="1281"/>
        <v>0.72138824438006166</v>
      </c>
      <c r="DC379" s="4">
        <f t="shared" si="1282"/>
        <v>2.6644569105298475</v>
      </c>
      <c r="DD379" s="4">
        <f t="shared" si="1283"/>
        <v>1.799506429845696</v>
      </c>
      <c r="DE379" s="4">
        <f t="shared" si="1284"/>
        <v>1.2858428339267387</v>
      </c>
      <c r="DF379" s="4">
        <f t="shared" si="1284"/>
        <v>1.2792539211145848</v>
      </c>
      <c r="DI379" s="4">
        <f t="shared" si="1285"/>
        <v>106.426</v>
      </c>
      <c r="DL379" s="4">
        <f t="shared" si="1166"/>
        <v>1.2171450429620639E-5</v>
      </c>
      <c r="DM379" s="4">
        <f t="shared" si="1009"/>
        <v>9.5981496427943913</v>
      </c>
      <c r="DN379" s="4">
        <f t="shared" si="1167"/>
        <v>0.23280596049007915</v>
      </c>
      <c r="DO379" s="4">
        <f t="shared" si="1168"/>
        <v>5.3577834299564575</v>
      </c>
      <c r="DP379" s="4">
        <f t="shared" si="1169"/>
        <v>7.7749242184825027</v>
      </c>
      <c r="DQ379" s="4">
        <f t="shared" si="1170"/>
        <v>9.4574200035520022</v>
      </c>
      <c r="DR379" s="38">
        <f t="shared" si="1183"/>
        <v>608.75139638897201</v>
      </c>
      <c r="DS379" s="4">
        <f t="shared" si="1095"/>
        <v>1.0000979278356326</v>
      </c>
      <c r="DT379" s="4">
        <f t="shared" si="1171"/>
        <v>3.7549966711037173</v>
      </c>
      <c r="DU379" s="4">
        <f t="shared" si="1103"/>
        <v>425.28499926105661</v>
      </c>
      <c r="DY379" s="4">
        <f t="shared" si="1037"/>
        <v>0.85</v>
      </c>
      <c r="DZ379" s="4">
        <f t="shared" si="1096"/>
        <v>0.7</v>
      </c>
      <c r="EA379" s="4">
        <f t="shared" si="1184"/>
        <v>0.7</v>
      </c>
      <c r="EB379" s="4">
        <f t="shared" si="1097"/>
        <v>0.7</v>
      </c>
      <c r="ED379" s="4">
        <f t="shared" si="1185"/>
        <v>611.88682541434423</v>
      </c>
      <c r="EE379" s="25">
        <f t="shared" si="1186"/>
        <v>418.84883979846347</v>
      </c>
      <c r="EG379" s="4">
        <f t="shared" si="1104"/>
        <v>0.59499999999999997</v>
      </c>
      <c r="EH379" s="4">
        <f t="shared" si="1187"/>
        <v>9.5981496427943913</v>
      </c>
      <c r="EK379" s="4">
        <f t="shared" si="1172"/>
        <v>59.610572153771514</v>
      </c>
      <c r="EL379" s="4">
        <f t="shared" si="1173"/>
        <v>3.7549966711037173</v>
      </c>
      <c r="EM379" s="4">
        <f t="shared" si="1174"/>
        <v>7.2398868854731249E-2</v>
      </c>
      <c r="EP379" s="4">
        <f t="shared" si="1301"/>
        <v>7.2398868854731249E-2</v>
      </c>
      <c r="EQ379" s="4">
        <f t="shared" si="1257"/>
        <v>0.23241745073115397</v>
      </c>
      <c r="ER379" s="4">
        <f t="shared" si="1010"/>
        <v>5.3542051810333406</v>
      </c>
      <c r="ES379" s="4">
        <f t="shared" si="1286"/>
        <v>7.7736998840286358</v>
      </c>
      <c r="ET379" s="4">
        <f t="shared" si="1011"/>
        <v>20.208927846228491</v>
      </c>
      <c r="EU379" s="4">
        <f t="shared" si="1012"/>
        <v>26.606499999999997</v>
      </c>
      <c r="EV379" s="4">
        <f t="shared" si="1098"/>
        <v>1.2171450429620635E-5</v>
      </c>
      <c r="EW379" s="4">
        <f t="shared" si="1287"/>
        <v>9.4574754494206612</v>
      </c>
      <c r="EX379" s="4">
        <f t="shared" si="1131"/>
        <v>608.69178851955496</v>
      </c>
      <c r="FG379" s="23">
        <f t="shared" si="1030"/>
        <v>2.2000000000000002</v>
      </c>
      <c r="FH379" s="23">
        <f t="shared" si="1030"/>
        <v>0.8</v>
      </c>
      <c r="FI379" s="23">
        <f t="shared" si="1248"/>
        <v>1.8</v>
      </c>
      <c r="FJ379" s="23">
        <f t="shared" si="1031"/>
        <v>2.2000000000000002</v>
      </c>
      <c r="FK379" s="23">
        <f t="shared" si="1031"/>
        <v>1.4</v>
      </c>
      <c r="FL379" s="23">
        <f t="shared" si="1031"/>
        <v>1.4</v>
      </c>
      <c r="FM379" s="23">
        <f t="shared" si="1195"/>
        <v>0</v>
      </c>
      <c r="FN379" s="23"/>
      <c r="FX379" s="4">
        <f t="shared" si="1099"/>
        <v>1</v>
      </c>
      <c r="FY379" s="4">
        <f t="shared" si="1139"/>
        <v>0.46358941059918601</v>
      </c>
      <c r="FZ379" s="4">
        <f t="shared" si="1100"/>
        <v>0.3</v>
      </c>
      <c r="GA379" s="4">
        <f t="shared" si="1101"/>
        <v>434.98517577221173</v>
      </c>
    </row>
    <row r="380" spans="1:183" ht="12" hidden="1" customHeight="1" x14ac:dyDescent="0.3">
      <c r="A380" s="25">
        <v>362</v>
      </c>
      <c r="B380" s="4" t="s">
        <v>605</v>
      </c>
      <c r="C380" s="4">
        <v>2016</v>
      </c>
      <c r="D380" s="4" t="s">
        <v>309</v>
      </c>
      <c r="E380" s="24" t="s">
        <v>673</v>
      </c>
      <c r="F380" s="7" t="s">
        <v>527</v>
      </c>
      <c r="G380" s="38">
        <f t="shared" si="1262"/>
        <v>958.62068965517244</v>
      </c>
      <c r="H380" s="38">
        <f>6*25.4</f>
        <v>152.39999999999998</v>
      </c>
      <c r="I380" s="4">
        <f t="shared" si="1288"/>
        <v>152.39999999999998</v>
      </c>
      <c r="J380" s="38">
        <f t="shared" ref="J380:J384" si="1302">4690/145</f>
        <v>32.344827586206897</v>
      </c>
      <c r="K380" s="38">
        <f t="shared" si="1264"/>
        <v>15.875</v>
      </c>
      <c r="L380" s="7">
        <f t="shared" si="1289"/>
        <v>9.5999999999999979</v>
      </c>
      <c r="M380" s="7">
        <f t="shared" si="1290"/>
        <v>9.5999999999999979</v>
      </c>
      <c r="N380" s="38">
        <f>13.1*25.4</f>
        <v>332.73999999999995</v>
      </c>
      <c r="O380" s="38">
        <f>2.55*25.4</f>
        <v>64.77</v>
      </c>
      <c r="P380" s="39">
        <f>3.3*25.4</f>
        <v>83.82</v>
      </c>
      <c r="Q380" s="7">
        <f t="shared" si="1291"/>
        <v>171.44999999999996</v>
      </c>
      <c r="R380" s="38">
        <v>2</v>
      </c>
      <c r="S380" s="4">
        <f t="shared" si="1258"/>
        <v>133.35</v>
      </c>
      <c r="T380" s="7">
        <f t="shared" si="1292"/>
        <v>4.58</v>
      </c>
      <c r="U380" s="7">
        <f t="shared" si="1127"/>
        <v>4.58</v>
      </c>
      <c r="V380" s="38">
        <v>4</v>
      </c>
      <c r="W380" s="4">
        <f t="shared" si="1293"/>
        <v>4</v>
      </c>
      <c r="X380" s="4">
        <f t="shared" si="1294"/>
        <v>5</v>
      </c>
      <c r="Y380" s="7">
        <f t="shared" si="1295"/>
        <v>35.497579142809165</v>
      </c>
      <c r="AB380" s="38">
        <f t="shared" si="1038"/>
        <v>727.58620689655174</v>
      </c>
      <c r="AC380" s="4">
        <v>105.5</v>
      </c>
      <c r="AD380" s="4">
        <f t="shared" si="1159"/>
        <v>0.89396556017501727</v>
      </c>
      <c r="AE380" s="38"/>
      <c r="AF380" s="38"/>
      <c r="AG380" s="39">
        <v>1</v>
      </c>
      <c r="AH380" s="39"/>
      <c r="AI380" s="39"/>
      <c r="AJ380" s="7"/>
      <c r="AK380" s="4">
        <f t="shared" si="1297"/>
        <v>152.39999999999998</v>
      </c>
      <c r="AL380" s="4">
        <f t="shared" si="1175"/>
        <v>0.72777777777777763</v>
      </c>
      <c r="AM380" s="4">
        <f t="shared" si="1176"/>
        <v>270.29158549016233</v>
      </c>
      <c r="AN380" s="4">
        <f t="shared" si="1177"/>
        <v>0.79541666666666666</v>
      </c>
      <c r="AO380" s="4">
        <v>1.25</v>
      </c>
      <c r="AP380" s="4">
        <f t="shared" si="1112"/>
        <v>2.5</v>
      </c>
      <c r="AQ380" s="38">
        <f t="shared" si="1266"/>
        <v>488.96303101703046</v>
      </c>
      <c r="AR380" s="38">
        <f t="shared" si="1178"/>
        <v>488.96303101703046</v>
      </c>
      <c r="AS380" s="38">
        <f t="shared" si="1179"/>
        <v>3.0454944685430494</v>
      </c>
      <c r="AT380" s="38">
        <f t="shared" si="1121"/>
        <v>488.96303101703029</v>
      </c>
      <c r="AU380" s="38">
        <f t="shared" si="1086"/>
        <v>1.0000000000000004</v>
      </c>
      <c r="AV380" s="38">
        <f t="shared" si="1249"/>
        <v>1.2118651182008726</v>
      </c>
      <c r="AW380" s="4">
        <f t="shared" si="1230"/>
        <v>0</v>
      </c>
      <c r="AX380" s="4">
        <f t="shared" si="1298"/>
        <v>287.35585621002161</v>
      </c>
      <c r="AY380" s="4">
        <f t="shared" si="1267"/>
        <v>1</v>
      </c>
      <c r="AZ380" s="38">
        <f t="shared" si="1102"/>
        <v>592.55724137931031</v>
      </c>
      <c r="BA380" s="4">
        <f t="shared" si="1268"/>
        <v>0.44000000000000006</v>
      </c>
      <c r="BB380" s="4">
        <f t="shared" si="1269"/>
        <v>66.063111342683982</v>
      </c>
      <c r="BC380" s="4">
        <f t="shared" si="1270"/>
        <v>658.62035272199432</v>
      </c>
      <c r="BE380" s="4">
        <f t="shared" si="1122"/>
        <v>1.5</v>
      </c>
      <c r="BF380" s="4">
        <f t="shared" si="1128"/>
        <v>501.61556649661907</v>
      </c>
      <c r="BH380" s="4">
        <f t="shared" si="1129"/>
        <v>568.33485951140074</v>
      </c>
      <c r="BI380" s="4">
        <f t="shared" si="1067"/>
        <v>0</v>
      </c>
      <c r="BJ380" s="4">
        <f t="shared" si="1130"/>
        <v>0</v>
      </c>
      <c r="BR380" s="4">
        <f t="shared" si="1271"/>
        <v>64.77</v>
      </c>
      <c r="BV380" s="9"/>
      <c r="BX380" s="9"/>
      <c r="BY380" s="9"/>
      <c r="BZ380" s="9">
        <f t="shared" si="1272"/>
        <v>64.77</v>
      </c>
      <c r="CA380" s="9">
        <f t="shared" si="1273"/>
        <v>85.72499999999998</v>
      </c>
      <c r="CB380" s="9">
        <f t="shared" si="1087"/>
        <v>2.1066390052415969</v>
      </c>
      <c r="CC380" s="40">
        <f t="shared" si="1299"/>
        <v>0</v>
      </c>
      <c r="CD380" s="9">
        <f t="shared" si="1274"/>
        <v>0</v>
      </c>
      <c r="CE380" s="9">
        <f t="shared" si="1275"/>
        <v>0</v>
      </c>
      <c r="CF380" s="9">
        <f t="shared" si="1276"/>
        <v>1</v>
      </c>
      <c r="CG380" s="9">
        <f t="shared" si="1277"/>
        <v>0.68</v>
      </c>
      <c r="CH380" s="9">
        <f t="shared" si="1088"/>
        <v>1.3535658143559566</v>
      </c>
      <c r="CI380" s="9">
        <f t="shared" si="1089"/>
        <v>2.8514745406838644</v>
      </c>
      <c r="CJ380" s="40">
        <v>1</v>
      </c>
      <c r="CK380" s="9">
        <f t="shared" si="1090"/>
        <v>280.58509480329224</v>
      </c>
      <c r="CM380" s="4">
        <f t="shared" si="1278"/>
        <v>2.532004102831912</v>
      </c>
      <c r="CN380" s="4">
        <f t="shared" si="1279"/>
        <v>1.1047126070269926</v>
      </c>
      <c r="CO380" s="4">
        <f t="shared" si="1242"/>
        <v>1.4504857015864872</v>
      </c>
      <c r="CP380" s="4">
        <f t="shared" si="1280"/>
        <v>2.5931035552926835</v>
      </c>
      <c r="CQ380" s="4">
        <f t="shared" si="1189"/>
        <v>0.89396556017501727</v>
      </c>
      <c r="CR380" s="4">
        <f t="shared" si="1190"/>
        <v>0.95692750390543657</v>
      </c>
      <c r="CS380" s="4">
        <f t="shared" si="1243"/>
        <v>1.2598222395057197</v>
      </c>
      <c r="CT380" s="4">
        <f t="shared" si="1300"/>
        <v>0</v>
      </c>
      <c r="CU380" s="4">
        <f t="shared" ref="CU380:CV381" si="1303">CM380</f>
        <v>2.532004102831912</v>
      </c>
      <c r="CV380" s="4">
        <f t="shared" si="1303"/>
        <v>1.1047126070269926</v>
      </c>
      <c r="CW380" s="4">
        <f t="shared" ref="CW380:CW381" si="1304">CP380</f>
        <v>2.5931035552926835</v>
      </c>
      <c r="CX380" s="4">
        <f t="shared" ref="CX380:CX381" si="1305">CS380</f>
        <v>1.2598222395057197</v>
      </c>
      <c r="CY380" s="4">
        <f t="shared" ref="CY380:CZ381" si="1306">CQ380</f>
        <v>0.89396556017501727</v>
      </c>
      <c r="CZ380" s="4">
        <f t="shared" si="1306"/>
        <v>0.95692750390543657</v>
      </c>
      <c r="DI380" s="4">
        <f t="shared" si="1285"/>
        <v>152.39999999999998</v>
      </c>
      <c r="DL380" s="4">
        <f t="shared" si="1166"/>
        <v>1.7429284624755085E-5</v>
      </c>
      <c r="DM380" s="4">
        <f t="shared" si="1009"/>
        <v>9.5981496427943913</v>
      </c>
      <c r="DN380" s="4">
        <f t="shared" si="1167"/>
        <v>0.52200757557226207</v>
      </c>
      <c r="DO380" s="4">
        <f t="shared" si="1168"/>
        <v>7.4004518777607604</v>
      </c>
      <c r="DP380" s="4">
        <f t="shared" si="1169"/>
        <v>8.570156296053419</v>
      </c>
      <c r="DQ380" s="4">
        <f t="shared" si="1170"/>
        <v>9.2254992877311519</v>
      </c>
      <c r="DR380" s="38">
        <f t="shared" si="1183"/>
        <v>813.88617113405087</v>
      </c>
      <c r="DS380" s="4">
        <f t="shared" si="1095"/>
        <v>1.0001050017855873</v>
      </c>
      <c r="DT380" s="4">
        <f t="shared" si="1171"/>
        <v>2.2360679774997898</v>
      </c>
      <c r="DU380" s="4">
        <f t="shared" si="1103"/>
        <v>488.96303101703029</v>
      </c>
      <c r="DY380" s="4">
        <f t="shared" si="1037"/>
        <v>0.85</v>
      </c>
      <c r="DZ380" s="4">
        <f t="shared" si="1096"/>
        <v>0.7</v>
      </c>
      <c r="EA380" s="4">
        <f t="shared" si="1184"/>
        <v>1</v>
      </c>
      <c r="EB380" s="4">
        <f t="shared" si="1097"/>
        <v>0.7</v>
      </c>
      <c r="ED380" s="4">
        <f t="shared" si="1185"/>
        <v>760.3357662175124</v>
      </c>
      <c r="EE380" s="25">
        <f t="shared" si="1186"/>
        <v>483.90905650503407</v>
      </c>
      <c r="EG380" s="4">
        <f t="shared" si="1104"/>
        <v>0.59499999999999997</v>
      </c>
      <c r="EH380" s="4">
        <f t="shared" si="1187"/>
        <v>9.5981496427943913</v>
      </c>
      <c r="EK380" s="4">
        <f t="shared" si="1172"/>
        <v>35.497579142809165</v>
      </c>
      <c r="EL380" s="4">
        <f t="shared" si="1173"/>
        <v>2.2360679774997898</v>
      </c>
      <c r="EM380" s="4">
        <f t="shared" si="1174"/>
        <v>0.16233586943167169</v>
      </c>
      <c r="EP380" s="4">
        <f t="shared" si="1301"/>
        <v>0.16233586943167169</v>
      </c>
      <c r="EQ380" s="4">
        <f t="shared" si="1257"/>
        <v>0.52113644221761857</v>
      </c>
      <c r="ER380" s="4">
        <f t="shared" si="1010"/>
        <v>7.3955094124094876</v>
      </c>
      <c r="ES380" s="4">
        <f t="shared" si="1286"/>
        <v>8.5680239121396582</v>
      </c>
      <c r="ET380" s="4">
        <f t="shared" si="1011"/>
        <v>78.80242085719081</v>
      </c>
      <c r="EU380" s="4">
        <f t="shared" si="1012"/>
        <v>38.099999999999994</v>
      </c>
      <c r="EV380" s="4">
        <f t="shared" si="1098"/>
        <v>1.7429284624755085E-5</v>
      </c>
      <c r="EW380" s="4">
        <f t="shared" si="1287"/>
        <v>9.225613481523542</v>
      </c>
      <c r="EX380" s="4">
        <f t="shared" si="1131"/>
        <v>813.80072060527505</v>
      </c>
      <c r="FG380" s="23">
        <f t="shared" si="1030"/>
        <v>2.2000000000000002</v>
      </c>
      <c r="FH380" s="23">
        <f t="shared" si="1030"/>
        <v>1.2</v>
      </c>
      <c r="FI380" s="23">
        <f t="shared" si="1248"/>
        <v>1.4</v>
      </c>
      <c r="FJ380" s="23">
        <f t="shared" si="1031"/>
        <v>2.2000000000000002</v>
      </c>
      <c r="FK380" s="23">
        <f t="shared" si="1031"/>
        <v>1</v>
      </c>
      <c r="FL380" s="23">
        <f t="shared" si="1031"/>
        <v>1</v>
      </c>
      <c r="FM380" s="23">
        <f t="shared" si="1195"/>
        <v>0</v>
      </c>
      <c r="FN380" s="23"/>
      <c r="FX380" s="4">
        <f t="shared" si="1099"/>
        <v>1</v>
      </c>
      <c r="FY380" s="4">
        <f t="shared" si="1139"/>
        <v>0.5</v>
      </c>
      <c r="FZ380" s="4">
        <f t="shared" si="1100"/>
        <v>0</v>
      </c>
      <c r="GA380" s="4">
        <f t="shared" si="1101"/>
        <v>577.53084846479123</v>
      </c>
    </row>
    <row r="381" spans="1:183" ht="12" hidden="1" customHeight="1" x14ac:dyDescent="0.3">
      <c r="A381" s="25">
        <v>363</v>
      </c>
      <c r="B381" s="4" t="s">
        <v>605</v>
      </c>
      <c r="C381" s="4">
        <v>2016</v>
      </c>
      <c r="D381" s="4" t="s">
        <v>309</v>
      </c>
      <c r="E381" s="24" t="s">
        <v>673</v>
      </c>
      <c r="F381" s="7" t="s">
        <v>528</v>
      </c>
      <c r="G381" s="38">
        <f t="shared" si="1262"/>
        <v>958.62068965517244</v>
      </c>
      <c r="H381" s="38">
        <f>6.22*25.4</f>
        <v>157.98799999999997</v>
      </c>
      <c r="I381" s="4">
        <f t="shared" si="1288"/>
        <v>157.98799999999997</v>
      </c>
      <c r="J381" s="38">
        <f t="shared" si="1302"/>
        <v>32.344827586206897</v>
      </c>
      <c r="K381" s="38">
        <f t="shared" si="1264"/>
        <v>15.875</v>
      </c>
      <c r="L381" s="7">
        <f t="shared" si="1289"/>
        <v>9.9519999999999982</v>
      </c>
      <c r="M381" s="7">
        <f t="shared" si="1290"/>
        <v>9.9519999999999982</v>
      </c>
      <c r="N381" s="38">
        <f>13.3*25.4</f>
        <v>337.82</v>
      </c>
      <c r="O381" s="38">
        <f>2.55*25.4</f>
        <v>64.77</v>
      </c>
      <c r="P381" s="39">
        <f>3*25.4</f>
        <v>76.199999999999989</v>
      </c>
      <c r="Q381" s="7">
        <f t="shared" si="1291"/>
        <v>176.53</v>
      </c>
      <c r="R381" s="38">
        <v>2</v>
      </c>
      <c r="S381" s="4">
        <f t="shared" si="1258"/>
        <v>133.35</v>
      </c>
      <c r="T381" s="7">
        <f t="shared" si="1292"/>
        <v>4.58</v>
      </c>
      <c r="U381" s="7">
        <f t="shared" si="1127"/>
        <v>4.58</v>
      </c>
      <c r="V381" s="38">
        <v>13.1</v>
      </c>
      <c r="W381" s="4">
        <f t="shared" si="1293"/>
        <v>13.1</v>
      </c>
      <c r="X381" s="4">
        <f t="shared" si="1294"/>
        <v>14.1</v>
      </c>
      <c r="Y381" s="7">
        <f t="shared" si="1295"/>
        <v>59.610572153771514</v>
      </c>
      <c r="AB381" s="38">
        <f t="shared" si="1038"/>
        <v>785.51724137931046</v>
      </c>
      <c r="AC381" s="4">
        <v>113.9</v>
      </c>
      <c r="AD381" s="4">
        <f t="shared" si="1159"/>
        <v>0.98338913792026705</v>
      </c>
      <c r="AE381" s="38"/>
      <c r="AF381" s="38"/>
      <c r="AG381" s="39">
        <v>1</v>
      </c>
      <c r="AH381" s="39"/>
      <c r="AI381" s="39"/>
      <c r="AJ381" s="7"/>
      <c r="AK381" s="4">
        <f t="shared" si="1297"/>
        <v>157.98799999999997</v>
      </c>
      <c r="AL381" s="4">
        <f t="shared" si="1175"/>
        <v>0.71275455519828534</v>
      </c>
      <c r="AM381" s="4">
        <f t="shared" si="1176"/>
        <v>285.29307317151796</v>
      </c>
      <c r="AN381" s="4">
        <f t="shared" si="1177"/>
        <v>0.79204180064308682</v>
      </c>
      <c r="AO381" s="4">
        <v>1.25</v>
      </c>
      <c r="AP381" s="4">
        <f t="shared" si="1112"/>
        <v>2.5</v>
      </c>
      <c r="AQ381" s="38">
        <f t="shared" si="1266"/>
        <v>503.30280744753634</v>
      </c>
      <c r="AR381" s="38">
        <f t="shared" si="1178"/>
        <v>503.30280744753634</v>
      </c>
      <c r="AS381" s="38">
        <f t="shared" si="1179"/>
        <v>3.0454944685430494</v>
      </c>
      <c r="AT381" s="38">
        <f t="shared" si="1121"/>
        <v>503.30280744753645</v>
      </c>
      <c r="AU381" s="38">
        <f t="shared" si="1086"/>
        <v>0.99999999999999978</v>
      </c>
      <c r="AV381" s="38">
        <f t="shared" si="1249"/>
        <v>2.130622990934087</v>
      </c>
      <c r="AW381" s="4">
        <f t="shared" si="1230"/>
        <v>0</v>
      </c>
      <c r="AX381" s="4">
        <f t="shared" si="1298"/>
        <v>297.89223760438909</v>
      </c>
      <c r="AY381" s="4">
        <f t="shared" si="1267"/>
        <v>1</v>
      </c>
      <c r="AZ381" s="38">
        <f t="shared" si="1102"/>
        <v>1072.3485329493931</v>
      </c>
      <c r="BA381" s="4">
        <f t="shared" si="1268"/>
        <v>0.3</v>
      </c>
      <c r="BB381" s="4">
        <f t="shared" si="1269"/>
        <v>46.694608244487995</v>
      </c>
      <c r="BC381" s="4">
        <f t="shared" si="1270"/>
        <v>1119.0431411938812</v>
      </c>
      <c r="BE381" s="4">
        <f t="shared" si="1122"/>
        <v>1.5</v>
      </c>
      <c r="BF381" s="4">
        <f t="shared" si="1128"/>
        <v>510.62417258880328</v>
      </c>
      <c r="BH381" s="4">
        <f t="shared" si="1129"/>
        <v>1028.5133827787015</v>
      </c>
      <c r="BI381" s="4">
        <f t="shared" si="1067"/>
        <v>0</v>
      </c>
      <c r="BJ381" s="4">
        <f t="shared" si="1130"/>
        <v>0</v>
      </c>
      <c r="BR381" s="4">
        <f t="shared" si="1271"/>
        <v>64.77</v>
      </c>
      <c r="BV381" s="9"/>
      <c r="BX381" s="9"/>
      <c r="BY381" s="9"/>
      <c r="BZ381" s="9">
        <f t="shared" si="1272"/>
        <v>64.77</v>
      </c>
      <c r="CA381" s="9">
        <f t="shared" si="1273"/>
        <v>88.265000000000001</v>
      </c>
      <c r="CB381" s="9">
        <f t="shared" si="1087"/>
        <v>2.1158860526359717</v>
      </c>
      <c r="CC381" s="40">
        <f t="shared" si="1299"/>
        <v>0</v>
      </c>
      <c r="CD381" s="9">
        <f t="shared" si="1274"/>
        <v>0</v>
      </c>
      <c r="CE381" s="9">
        <f t="shared" si="1275"/>
        <v>0</v>
      </c>
      <c r="CF381" s="9">
        <f t="shared" si="1276"/>
        <v>1</v>
      </c>
      <c r="CG381" s="9">
        <f t="shared" si="1277"/>
        <v>0.68</v>
      </c>
      <c r="CH381" s="9">
        <f t="shared" si="1088"/>
        <v>1.3535658143559566</v>
      </c>
      <c r="CI381" s="9">
        <f t="shared" si="1089"/>
        <v>2.8639910279206195</v>
      </c>
      <c r="CJ381" s="40">
        <v>1</v>
      </c>
      <c r="CK381" s="9">
        <f t="shared" si="1090"/>
        <v>285.8492165147012</v>
      </c>
      <c r="CM381" s="4">
        <f t="shared" si="1278"/>
        <v>2.6369174561121116</v>
      </c>
      <c r="CN381" s="4">
        <f t="shared" si="1279"/>
        <v>0.70195438626366125</v>
      </c>
      <c r="CO381" s="4">
        <f t="shared" si="1242"/>
        <v>1.5383471514809657</v>
      </c>
      <c r="CP381" s="4">
        <f t="shared" si="1280"/>
        <v>2.7480125744508079</v>
      </c>
      <c r="CQ381" s="4">
        <f t="shared" si="1189"/>
        <v>0.98338913792026705</v>
      </c>
      <c r="CR381" s="4">
        <f t="shared" si="1190"/>
        <v>1.000825177613299</v>
      </c>
      <c r="CS381" s="4">
        <f t="shared" si="1243"/>
        <v>1.3120228562170784</v>
      </c>
      <c r="CT381" s="4">
        <f t="shared" si="1300"/>
        <v>0</v>
      </c>
      <c r="CU381" s="4">
        <f t="shared" si="1303"/>
        <v>2.6369174561121116</v>
      </c>
      <c r="CV381" s="4">
        <f t="shared" si="1303"/>
        <v>0.70195438626366125</v>
      </c>
      <c r="CW381" s="4">
        <f t="shared" si="1304"/>
        <v>2.7480125744508079</v>
      </c>
      <c r="CX381" s="4">
        <f t="shared" si="1305"/>
        <v>1.3120228562170784</v>
      </c>
      <c r="CY381" s="4">
        <f t="shared" si="1306"/>
        <v>0.98338913792026705</v>
      </c>
      <c r="CZ381" s="4">
        <f t="shared" si="1306"/>
        <v>1.000825177613299</v>
      </c>
      <c r="DI381" s="4">
        <f t="shared" si="1285"/>
        <v>157.98799999999997</v>
      </c>
      <c r="DL381" s="4">
        <f t="shared" si="1166"/>
        <v>1.8068358394329439E-5</v>
      </c>
      <c r="DM381" s="4">
        <f t="shared" si="1009"/>
        <v>9.5981496427943913</v>
      </c>
      <c r="DN381" s="4">
        <f t="shared" si="1167"/>
        <v>0.2755138171079774</v>
      </c>
      <c r="DO381" s="4">
        <f t="shared" si="1168"/>
        <v>5.7311908412492434</v>
      </c>
      <c r="DP381" s="4">
        <f t="shared" si="1169"/>
        <v>7.9062213498050378</v>
      </c>
      <c r="DQ381" s="4">
        <f t="shared" si="1170"/>
        <v>9.2547968955127349</v>
      </c>
      <c r="DR381" s="38">
        <f t="shared" si="1183"/>
        <v>798.7857614947543</v>
      </c>
      <c r="DS381" s="4">
        <f t="shared" si="1095"/>
        <v>1.0000962977108665</v>
      </c>
      <c r="DT381" s="4">
        <f t="shared" si="1171"/>
        <v>3.7549966711037173</v>
      </c>
      <c r="DU381" s="4">
        <f t="shared" si="1103"/>
        <v>503.30280744753645</v>
      </c>
      <c r="DY381" s="4">
        <f t="shared" si="1037"/>
        <v>0.85</v>
      </c>
      <c r="DZ381" s="4">
        <f t="shared" si="1096"/>
        <v>0.7</v>
      </c>
      <c r="EA381" s="4">
        <f t="shared" si="1184"/>
        <v>1</v>
      </c>
      <c r="EB381" s="4">
        <f t="shared" si="1097"/>
        <v>0.7</v>
      </c>
      <c r="ED381" s="4">
        <f t="shared" si="1185"/>
        <v>784.86958456876505</v>
      </c>
      <c r="EE381" s="25">
        <f t="shared" si="1186"/>
        <v>498.30722883349574</v>
      </c>
      <c r="EG381" s="4">
        <f t="shared" si="1104"/>
        <v>0.59499999999999997</v>
      </c>
      <c r="EH381" s="4">
        <f t="shared" si="1187"/>
        <v>9.5981496427943913</v>
      </c>
      <c r="EK381" s="4">
        <f t="shared" si="1172"/>
        <v>59.610572153771514</v>
      </c>
      <c r="EL381" s="4">
        <f t="shared" si="1173"/>
        <v>3.7549966711037173</v>
      </c>
      <c r="EM381" s="4">
        <f t="shared" si="1174"/>
        <v>8.5680317937207151E-2</v>
      </c>
      <c r="EP381" s="4">
        <f t="shared" si="1301"/>
        <v>8.5680317937207151E-2</v>
      </c>
      <c r="EQ381" s="4">
        <f t="shared" si="1257"/>
        <v>0.2750540358960194</v>
      </c>
      <c r="ER381" s="4">
        <f t="shared" si="1010"/>
        <v>5.7273632084746113</v>
      </c>
      <c r="ES381" s="4">
        <f t="shared" si="1286"/>
        <v>7.9048406704128062</v>
      </c>
      <c r="ET381" s="4">
        <f t="shared" si="1011"/>
        <v>58.880427846228471</v>
      </c>
      <c r="EU381" s="4">
        <f t="shared" si="1012"/>
        <v>39.496999999999986</v>
      </c>
      <c r="EV381" s="4">
        <f t="shared" si="1098"/>
        <v>1.8068358394329436E-5</v>
      </c>
      <c r="EW381" s="4">
        <f t="shared" si="1287"/>
        <v>9.2549035009666163</v>
      </c>
      <c r="EX381" s="4">
        <f t="shared" si="1131"/>
        <v>798.70884766107565</v>
      </c>
      <c r="FG381" s="23">
        <f t="shared" si="1030"/>
        <v>2.2000000000000002</v>
      </c>
      <c r="FH381" s="23">
        <f t="shared" si="1030"/>
        <v>0.8</v>
      </c>
      <c r="FI381" s="23">
        <f t="shared" si="1248"/>
        <v>1.4</v>
      </c>
      <c r="FJ381" s="23">
        <f t="shared" si="1031"/>
        <v>2.2000000000000002</v>
      </c>
      <c r="FK381" s="23">
        <f t="shared" si="1031"/>
        <v>1</v>
      </c>
      <c r="FL381" s="23">
        <f t="shared" si="1031"/>
        <v>1.2</v>
      </c>
      <c r="FM381" s="23">
        <f t="shared" si="1195"/>
        <v>0</v>
      </c>
      <c r="FN381" s="23"/>
      <c r="FX381" s="4">
        <f t="shared" si="1099"/>
        <v>1</v>
      </c>
      <c r="FY381" s="4">
        <f t="shared" si="1139"/>
        <v>0.5</v>
      </c>
      <c r="FZ381" s="4">
        <f t="shared" si="1100"/>
        <v>0</v>
      </c>
      <c r="GA381" s="4">
        <f t="shared" si="1101"/>
        <v>598.70697957516688</v>
      </c>
    </row>
    <row r="382" spans="1:183" ht="12" hidden="1" customHeight="1" x14ac:dyDescent="0.3">
      <c r="A382" s="25">
        <v>364</v>
      </c>
      <c r="B382" s="4" t="s">
        <v>605</v>
      </c>
      <c r="C382" s="4">
        <v>2016</v>
      </c>
      <c r="D382" s="4" t="s">
        <v>309</v>
      </c>
      <c r="E382" s="24" t="s">
        <v>673</v>
      </c>
      <c r="F382" s="7" t="s">
        <v>529</v>
      </c>
      <c r="G382" s="38">
        <f t="shared" si="1262"/>
        <v>958.62068965517244</v>
      </c>
      <c r="H382" s="38">
        <f>6*25.4</f>
        <v>152.39999999999998</v>
      </c>
      <c r="I382" s="4">
        <f t="shared" si="1288"/>
        <v>152.39999999999998</v>
      </c>
      <c r="J382" s="38">
        <f t="shared" si="1302"/>
        <v>32.344827586206897</v>
      </c>
      <c r="K382" s="38">
        <f t="shared" si="1264"/>
        <v>15.875</v>
      </c>
      <c r="L382" s="7">
        <f t="shared" si="1289"/>
        <v>9.5999999999999979</v>
      </c>
      <c r="M382" s="7">
        <f t="shared" si="1290"/>
        <v>9.5999999999999979</v>
      </c>
      <c r="N382" s="38">
        <f>13.1*25.4</f>
        <v>332.73999999999995</v>
      </c>
      <c r="O382" s="38">
        <f>2.55*25.4</f>
        <v>64.77</v>
      </c>
      <c r="P382" s="39">
        <f>3.2*25.4</f>
        <v>81.28</v>
      </c>
      <c r="Q382" s="7">
        <f t="shared" si="1291"/>
        <v>171.44999999999996</v>
      </c>
      <c r="R382" s="38">
        <v>2</v>
      </c>
      <c r="S382" s="4">
        <f t="shared" si="1258"/>
        <v>133.35</v>
      </c>
      <c r="T382" s="7">
        <f t="shared" si="1292"/>
        <v>4.58</v>
      </c>
      <c r="U382" s="7">
        <f t="shared" si="1127"/>
        <v>4.58</v>
      </c>
      <c r="V382" s="38">
        <v>4</v>
      </c>
      <c r="W382" s="4">
        <f t="shared" si="1293"/>
        <v>4</v>
      </c>
      <c r="X382" s="4">
        <f t="shared" si="1294"/>
        <v>5</v>
      </c>
      <c r="Y382" s="7">
        <f t="shared" si="1295"/>
        <v>35.497579142809165</v>
      </c>
      <c r="AB382" s="38">
        <f t="shared" si="1038"/>
        <v>843.44827586206895</v>
      </c>
      <c r="AC382" s="4">
        <v>122.3</v>
      </c>
      <c r="AD382" s="4">
        <f t="shared" si="1159"/>
        <v>1.036322161226584</v>
      </c>
      <c r="AE382" s="38">
        <f t="shared" ref="AE382:AE384" si="1307">0.375*25.4</f>
        <v>9.5249999999999986</v>
      </c>
      <c r="AF382" s="38">
        <v>4</v>
      </c>
      <c r="AG382" s="39">
        <f>3.5*25.4</f>
        <v>88.899999999999991</v>
      </c>
      <c r="AH382" s="39">
        <v>2</v>
      </c>
      <c r="AI382" s="39">
        <f t="shared" ref="AI382:AI384" si="1308">AH382-1</f>
        <v>1</v>
      </c>
      <c r="AJ382" s="7"/>
      <c r="AK382" s="4">
        <f t="shared" si="1297"/>
        <v>152.39999999999998</v>
      </c>
      <c r="AL382" s="4">
        <f t="shared" si="1175"/>
        <v>0.72777777777777763</v>
      </c>
      <c r="AM382" s="4">
        <f t="shared" si="1176"/>
        <v>270.29158549016233</v>
      </c>
      <c r="AN382" s="4">
        <f t="shared" si="1177"/>
        <v>0.79541666666666666</v>
      </c>
      <c r="AO382" s="4">
        <v>1.25</v>
      </c>
      <c r="AP382" s="4">
        <f t="shared" si="1112"/>
        <v>2.5</v>
      </c>
      <c r="AQ382" s="38">
        <f t="shared" si="1266"/>
        <v>488.96303101703046</v>
      </c>
      <c r="AR382" s="38">
        <f t="shared" si="1178"/>
        <v>488.96303101703046</v>
      </c>
      <c r="AS382" s="38">
        <f t="shared" si="1179"/>
        <v>3.0454944685430494</v>
      </c>
      <c r="AT382" s="38">
        <f t="shared" si="1121"/>
        <v>488.96303101703029</v>
      </c>
      <c r="AU382" s="38">
        <f t="shared" si="1086"/>
        <v>1.0000000000000004</v>
      </c>
      <c r="AV382" s="38">
        <f t="shared" si="1249"/>
        <v>1.2118651182008726</v>
      </c>
      <c r="AW382" s="4">
        <f t="shared" si="1230"/>
        <v>0</v>
      </c>
      <c r="AX382" s="4">
        <f t="shared" si="1298"/>
        <v>287.35585621002161</v>
      </c>
      <c r="AY382" s="4">
        <f t="shared" si="1267"/>
        <v>1</v>
      </c>
      <c r="AZ382" s="38">
        <f t="shared" si="1102"/>
        <v>592.55724137931031</v>
      </c>
      <c r="BA382" s="4">
        <f t="shared" si="1268"/>
        <v>0.44000000000000006</v>
      </c>
      <c r="BB382" s="4">
        <f t="shared" si="1269"/>
        <v>66.063111342683982</v>
      </c>
      <c r="BC382" s="4">
        <f t="shared" si="1270"/>
        <v>658.62035272199432</v>
      </c>
      <c r="BE382" s="4">
        <f t="shared" si="1122"/>
        <v>1.5</v>
      </c>
      <c r="BF382" s="4">
        <f t="shared" si="1128"/>
        <v>501.61556649661907</v>
      </c>
      <c r="BH382" s="4">
        <f t="shared" si="1129"/>
        <v>568.33485951140074</v>
      </c>
      <c r="BI382" s="4">
        <f t="shared" si="1067"/>
        <v>0</v>
      </c>
      <c r="BJ382" s="4">
        <f t="shared" si="1130"/>
        <v>0</v>
      </c>
      <c r="BR382" s="4">
        <f t="shared" si="1271"/>
        <v>64.77</v>
      </c>
      <c r="BV382" s="9"/>
      <c r="BX382" s="9"/>
      <c r="BY382" s="9"/>
      <c r="BZ382" s="9">
        <f t="shared" si="1272"/>
        <v>64.77</v>
      </c>
      <c r="CA382" s="9">
        <f t="shared" si="1273"/>
        <v>85.72499999999998</v>
      </c>
      <c r="CB382" s="9">
        <f t="shared" si="1087"/>
        <v>2.1066390052415969</v>
      </c>
      <c r="CC382" s="40">
        <f t="shared" si="1299"/>
        <v>20</v>
      </c>
      <c r="CD382" s="9">
        <f t="shared" si="1274"/>
        <v>0.05</v>
      </c>
      <c r="CE382" s="9">
        <f t="shared" si="1275"/>
        <v>0.8</v>
      </c>
      <c r="CF382" s="9">
        <f t="shared" si="1276"/>
        <v>1</v>
      </c>
      <c r="CG382" s="9">
        <f t="shared" si="1277"/>
        <v>0.68</v>
      </c>
      <c r="CH382" s="9">
        <f t="shared" si="1088"/>
        <v>1.3535658143559566</v>
      </c>
      <c r="CI382" s="9">
        <f t="shared" si="1089"/>
        <v>3.3839145358898914</v>
      </c>
      <c r="CJ382" s="40">
        <v>1</v>
      </c>
      <c r="CK382" s="9">
        <f t="shared" si="1090"/>
        <v>332.97719033156528</v>
      </c>
      <c r="CM382" s="4">
        <f t="shared" si="1278"/>
        <v>2.9352047561738659</v>
      </c>
      <c r="CN382" s="4">
        <f t="shared" si="1279"/>
        <v>1.280628927387689</v>
      </c>
      <c r="CO382" s="4">
        <f t="shared" si="1242"/>
        <v>1.6814635194694538</v>
      </c>
      <c r="CP382" s="4">
        <f t="shared" si="1280"/>
        <v>2.5330512129740694</v>
      </c>
      <c r="CQ382" s="4">
        <f t="shared" si="1189"/>
        <v>1.036322161226584</v>
      </c>
      <c r="CR382" s="4">
        <f t="shared" si="1190"/>
        <v>1.1093102722998569</v>
      </c>
      <c r="CS382" s="4">
        <f t="shared" si="1243"/>
        <v>1.3540876305298664</v>
      </c>
      <c r="CT382" s="4">
        <f t="shared" si="1300"/>
        <v>4</v>
      </c>
      <c r="DA382" s="4">
        <f t="shared" ref="DA382:DB384" si="1309">CM382</f>
        <v>2.9352047561738659</v>
      </c>
      <c r="DB382" s="4">
        <f t="shared" si="1309"/>
        <v>1.280628927387689</v>
      </c>
      <c r="DC382" s="4">
        <f t="shared" ref="DC382:DC384" si="1310">CP382</f>
        <v>2.5330512129740694</v>
      </c>
      <c r="DD382" s="4">
        <f t="shared" ref="DD382:DD384" si="1311">CS382</f>
        <v>1.3540876305298664</v>
      </c>
      <c r="DE382" s="4">
        <f t="shared" ref="DE382:DF384" si="1312">CQ382</f>
        <v>1.036322161226584</v>
      </c>
      <c r="DF382" s="4">
        <f t="shared" si="1312"/>
        <v>1.1093102722998569</v>
      </c>
      <c r="DI382" s="4">
        <f t="shared" si="1285"/>
        <v>152.39999999999998</v>
      </c>
      <c r="DL382" s="4">
        <f t="shared" si="1166"/>
        <v>1.7429284624755085E-5</v>
      </c>
      <c r="DM382" s="4">
        <f t="shared" si="1009"/>
        <v>9.5981496427943913</v>
      </c>
      <c r="DN382" s="4">
        <f t="shared" si="1167"/>
        <v>0.52200757557226207</v>
      </c>
      <c r="DO382" s="4">
        <f t="shared" si="1168"/>
        <v>7.4004518777607604</v>
      </c>
      <c r="DP382" s="4">
        <f t="shared" si="1169"/>
        <v>8.570156296053419</v>
      </c>
      <c r="DQ382" s="4">
        <f t="shared" si="1170"/>
        <v>9.2254992877311519</v>
      </c>
      <c r="DR382" s="38">
        <f t="shared" si="1183"/>
        <v>813.88617113405087</v>
      </c>
      <c r="DS382" s="4">
        <f t="shared" si="1095"/>
        <v>1.0001050017855873</v>
      </c>
      <c r="DT382" s="4">
        <f t="shared" si="1171"/>
        <v>2.2360679774997898</v>
      </c>
      <c r="DU382" s="4">
        <f t="shared" si="1103"/>
        <v>488.96303101703029</v>
      </c>
      <c r="DY382" s="4">
        <f t="shared" si="1037"/>
        <v>0.85</v>
      </c>
      <c r="DZ382" s="4">
        <f t="shared" si="1096"/>
        <v>0.7</v>
      </c>
      <c r="EA382" s="4">
        <f t="shared" si="1184"/>
        <v>0.85899999999999999</v>
      </c>
      <c r="EB382" s="4">
        <f t="shared" si="1097"/>
        <v>0.7</v>
      </c>
      <c r="ED382" s="4">
        <f t="shared" si="1185"/>
        <v>760.3357662175124</v>
      </c>
      <c r="EE382" s="25">
        <f t="shared" si="1186"/>
        <v>483.90905650503407</v>
      </c>
      <c r="EG382" s="4">
        <f t="shared" si="1104"/>
        <v>0.59499999999999997</v>
      </c>
      <c r="EH382" s="4">
        <f t="shared" si="1187"/>
        <v>9.5981496427943913</v>
      </c>
      <c r="EK382" s="4">
        <f t="shared" si="1172"/>
        <v>35.497579142809165</v>
      </c>
      <c r="EL382" s="4">
        <f t="shared" si="1173"/>
        <v>2.2360679774997898</v>
      </c>
      <c r="EM382" s="4">
        <f t="shared" si="1174"/>
        <v>0.16233586943167169</v>
      </c>
      <c r="EP382" s="4">
        <f t="shared" si="1301"/>
        <v>0.16233586943167169</v>
      </c>
      <c r="EQ382" s="4">
        <f t="shared" si="1257"/>
        <v>0.52113644221761857</v>
      </c>
      <c r="ER382" s="4">
        <f t="shared" si="1010"/>
        <v>7.3955094124094876</v>
      </c>
      <c r="ES382" s="4">
        <f t="shared" si="1286"/>
        <v>8.5680239121396582</v>
      </c>
      <c r="ET382" s="4">
        <f t="shared" si="1011"/>
        <v>78.80242085719081</v>
      </c>
      <c r="EU382" s="4">
        <f t="shared" si="1012"/>
        <v>38.099999999999994</v>
      </c>
      <c r="EV382" s="4">
        <f t="shared" si="1098"/>
        <v>1.7429284624755085E-5</v>
      </c>
      <c r="EW382" s="4">
        <f t="shared" si="1287"/>
        <v>9.225613481523542</v>
      </c>
      <c r="EX382" s="4">
        <f t="shared" si="1131"/>
        <v>813.80072060527505</v>
      </c>
      <c r="FG382" s="23">
        <f t="shared" si="1030"/>
        <v>2.2000000000000002</v>
      </c>
      <c r="FH382" s="23">
        <f t="shared" si="1030"/>
        <v>1.4</v>
      </c>
      <c r="FI382" s="23">
        <f t="shared" si="1248"/>
        <v>1.4</v>
      </c>
      <c r="FJ382" s="23">
        <f t="shared" si="1031"/>
        <v>2.2000000000000002</v>
      </c>
      <c r="FK382" s="23">
        <f t="shared" si="1031"/>
        <v>1.2</v>
      </c>
      <c r="FL382" s="23">
        <f t="shared" si="1031"/>
        <v>1.2</v>
      </c>
      <c r="FM382" s="23">
        <f t="shared" si="1195"/>
        <v>0</v>
      </c>
      <c r="FN382" s="23"/>
      <c r="FX382" s="4">
        <f t="shared" si="1099"/>
        <v>1</v>
      </c>
      <c r="FY382" s="4">
        <f t="shared" si="1139"/>
        <v>0.46358941059918601</v>
      </c>
      <c r="FZ382" s="4">
        <f t="shared" si="1100"/>
        <v>0.3</v>
      </c>
      <c r="GA382" s="4">
        <f t="shared" si="1101"/>
        <v>622.89046649958709</v>
      </c>
    </row>
    <row r="383" spans="1:183" ht="12" hidden="1" customHeight="1" x14ac:dyDescent="0.3">
      <c r="A383" s="25">
        <v>365</v>
      </c>
      <c r="B383" s="4" t="s">
        <v>605</v>
      </c>
      <c r="C383" s="4">
        <v>2016</v>
      </c>
      <c r="D383" s="4" t="s">
        <v>309</v>
      </c>
      <c r="E383" s="24" t="s">
        <v>673</v>
      </c>
      <c r="F383" s="7" t="s">
        <v>530</v>
      </c>
      <c r="G383" s="38">
        <f t="shared" si="1262"/>
        <v>958.62068965517244</v>
      </c>
      <c r="H383" s="38">
        <f>5.94*25.4</f>
        <v>150.876</v>
      </c>
      <c r="I383" s="4">
        <f t="shared" si="1288"/>
        <v>150.876</v>
      </c>
      <c r="J383" s="38">
        <f t="shared" si="1302"/>
        <v>32.344827586206897</v>
      </c>
      <c r="K383" s="38">
        <f t="shared" si="1264"/>
        <v>15.875</v>
      </c>
      <c r="L383" s="7">
        <f t="shared" si="1289"/>
        <v>9.5039999999999996</v>
      </c>
      <c r="M383" s="7">
        <f t="shared" si="1290"/>
        <v>9.5039999999999996</v>
      </c>
      <c r="N383" s="38">
        <f>12.9*25.4</f>
        <v>327.65999999999997</v>
      </c>
      <c r="O383" s="38">
        <f>2.55*25.4</f>
        <v>64.77</v>
      </c>
      <c r="P383" s="39">
        <f>3.25*25.4</f>
        <v>82.55</v>
      </c>
      <c r="Q383" s="7">
        <f t="shared" si="1291"/>
        <v>166.36999999999998</v>
      </c>
      <c r="R383" s="38">
        <v>2</v>
      </c>
      <c r="S383" s="4">
        <f t="shared" si="1258"/>
        <v>133.35</v>
      </c>
      <c r="T383" s="7">
        <f t="shared" si="1292"/>
        <v>4.58</v>
      </c>
      <c r="U383" s="7">
        <f t="shared" si="1127"/>
        <v>4.58</v>
      </c>
      <c r="V383" s="38">
        <v>13.1</v>
      </c>
      <c r="W383" s="4">
        <f t="shared" si="1293"/>
        <v>13.1</v>
      </c>
      <c r="X383" s="4">
        <f t="shared" si="1294"/>
        <v>14.1</v>
      </c>
      <c r="Y383" s="7">
        <f t="shared" si="1295"/>
        <v>59.610572153771514</v>
      </c>
      <c r="AB383" s="38">
        <f t="shared" si="1038"/>
        <v>1032.4137931034484</v>
      </c>
      <c r="AC383" s="4">
        <v>149.69999999999999</v>
      </c>
      <c r="AD383" s="4">
        <f t="shared" si="1159"/>
        <v>1.3610574349331113</v>
      </c>
      <c r="AE383" s="38">
        <f t="shared" si="1307"/>
        <v>9.5249999999999986</v>
      </c>
      <c r="AF383" s="38">
        <v>4</v>
      </c>
      <c r="AG383" s="39">
        <f>3.5*25.4</f>
        <v>88.899999999999991</v>
      </c>
      <c r="AH383" s="39">
        <v>2</v>
      </c>
      <c r="AI383" s="39">
        <f t="shared" si="1308"/>
        <v>1</v>
      </c>
      <c r="AJ383" s="7"/>
      <c r="AK383" s="4">
        <f t="shared" si="1297"/>
        <v>150.876</v>
      </c>
      <c r="AL383" s="4">
        <f t="shared" si="1175"/>
        <v>0.72390572390572394</v>
      </c>
      <c r="AM383" s="4">
        <f t="shared" si="1176"/>
        <v>266.24736459915772</v>
      </c>
      <c r="AN383" s="4">
        <f t="shared" si="1177"/>
        <v>0.7963804713804713</v>
      </c>
      <c r="AO383" s="4">
        <v>1.25</v>
      </c>
      <c r="AP383" s="4">
        <f t="shared" si="1112"/>
        <v>2.5</v>
      </c>
      <c r="AQ383" s="38">
        <f t="shared" si="1266"/>
        <v>479.66491341021003</v>
      </c>
      <c r="AR383" s="38">
        <f t="shared" si="1178"/>
        <v>479.66491341021003</v>
      </c>
      <c r="AS383" s="38">
        <f t="shared" si="1179"/>
        <v>3.0454944685430494</v>
      </c>
      <c r="AT383" s="38">
        <f t="shared" si="1121"/>
        <v>479.66491341021054</v>
      </c>
      <c r="AU383" s="38">
        <f t="shared" si="1086"/>
        <v>0.99999999999999889</v>
      </c>
      <c r="AV383" s="38">
        <f t="shared" si="1249"/>
        <v>2.2356201234846589</v>
      </c>
      <c r="AW383" s="4">
        <f t="shared" si="1230"/>
        <v>0</v>
      </c>
      <c r="AX383" s="4">
        <f t="shared" si="1298"/>
        <v>284.48229764792148</v>
      </c>
      <c r="AY383" s="4">
        <f t="shared" si="1267"/>
        <v>1</v>
      </c>
      <c r="AZ383" s="38">
        <f t="shared" si="1102"/>
        <v>1072.3485329493931</v>
      </c>
      <c r="BA383" s="4">
        <f t="shared" si="1268"/>
        <v>0.3</v>
      </c>
      <c r="BB383" s="4">
        <f t="shared" si="1269"/>
        <v>44.592600156311697</v>
      </c>
      <c r="BC383" s="4">
        <f t="shared" si="1270"/>
        <v>1116.9411331057047</v>
      </c>
      <c r="BE383" s="4">
        <f t="shared" si="1122"/>
        <v>1.5</v>
      </c>
      <c r="BF383" s="4">
        <f t="shared" si="1128"/>
        <v>499.15867392602348</v>
      </c>
      <c r="BH383" s="4">
        <f t="shared" si="1129"/>
        <v>1028.5133827787015</v>
      </c>
      <c r="BI383" s="4">
        <f t="shared" si="1067"/>
        <v>0</v>
      </c>
      <c r="BJ383" s="4">
        <f t="shared" si="1130"/>
        <v>0</v>
      </c>
      <c r="BR383" s="4">
        <f t="shared" si="1271"/>
        <v>64.77</v>
      </c>
      <c r="BV383" s="9"/>
      <c r="BX383" s="9"/>
      <c r="BY383" s="9"/>
      <c r="BZ383" s="9">
        <f t="shared" si="1272"/>
        <v>64.77</v>
      </c>
      <c r="CA383" s="9">
        <f t="shared" si="1273"/>
        <v>83.184999999999988</v>
      </c>
      <c r="CB383" s="9">
        <f t="shared" si="1087"/>
        <v>2.0971560619797187</v>
      </c>
      <c r="CC383" s="40">
        <f t="shared" si="1299"/>
        <v>20</v>
      </c>
      <c r="CD383" s="9">
        <f t="shared" si="1274"/>
        <v>0.05</v>
      </c>
      <c r="CE383" s="9">
        <f t="shared" si="1275"/>
        <v>0.8</v>
      </c>
      <c r="CF383" s="9">
        <f t="shared" si="1276"/>
        <v>1</v>
      </c>
      <c r="CG383" s="9">
        <f t="shared" si="1277"/>
        <v>0.68</v>
      </c>
      <c r="CH383" s="9">
        <f t="shared" si="1088"/>
        <v>1.3535658143559566</v>
      </c>
      <c r="CI383" s="9">
        <f t="shared" si="1089"/>
        <v>3.3839145358898914</v>
      </c>
      <c r="CJ383" s="40">
        <v>1</v>
      </c>
      <c r="CK383" s="9">
        <f t="shared" si="1090"/>
        <v>331.67776714978356</v>
      </c>
      <c r="CM383" s="4">
        <f t="shared" si="1278"/>
        <v>3.6290967896398789</v>
      </c>
      <c r="CN383" s="4">
        <f t="shared" si="1279"/>
        <v>0.92432247546723945</v>
      </c>
      <c r="CO383" s="4">
        <f t="shared" si="1242"/>
        <v>2.068307828817685</v>
      </c>
      <c r="CP383" s="4">
        <f t="shared" si="1280"/>
        <v>3.1127012279879973</v>
      </c>
      <c r="CQ383" s="4">
        <f t="shared" si="1189"/>
        <v>1.3610574349331113</v>
      </c>
      <c r="CR383" s="4">
        <f t="shared" si="1190"/>
        <v>1.3796539954432834</v>
      </c>
      <c r="CS383" s="4">
        <f t="shared" si="1243"/>
        <v>1.6741983885487828</v>
      </c>
      <c r="CT383" s="4">
        <f t="shared" si="1300"/>
        <v>4</v>
      </c>
      <c r="DA383" s="4">
        <f t="shared" si="1309"/>
        <v>3.6290967896398789</v>
      </c>
      <c r="DB383" s="4">
        <f t="shared" si="1309"/>
        <v>0.92432247546723945</v>
      </c>
      <c r="DC383" s="4">
        <f t="shared" si="1310"/>
        <v>3.1127012279879973</v>
      </c>
      <c r="DD383" s="4">
        <f t="shared" si="1311"/>
        <v>1.6741983885487828</v>
      </c>
      <c r="DE383" s="4">
        <f t="shared" si="1312"/>
        <v>1.3610574349331113</v>
      </c>
      <c r="DF383" s="4">
        <f t="shared" si="1312"/>
        <v>1.3796539954432834</v>
      </c>
      <c r="DI383" s="4">
        <f t="shared" si="1285"/>
        <v>150.876</v>
      </c>
      <c r="DL383" s="4">
        <f t="shared" si="1166"/>
        <v>1.7254991778507537E-5</v>
      </c>
      <c r="DM383" s="4">
        <f t="shared" ref="DM383:DM446" si="1313">EH383</f>
        <v>9.5981496427943913</v>
      </c>
      <c r="DN383" s="4">
        <f t="shared" si="1167"/>
        <v>0.26257415867919665</v>
      </c>
      <c r="DO383" s="4">
        <f t="shared" si="1168"/>
        <v>5.6219672285104876</v>
      </c>
      <c r="DP383" s="4">
        <f t="shared" si="1169"/>
        <v>7.8671022829311426</v>
      </c>
      <c r="DQ383" s="4">
        <f t="shared" si="1170"/>
        <v>9.289580301332089</v>
      </c>
      <c r="DR383" s="38">
        <f t="shared" si="1183"/>
        <v>758.53800626289217</v>
      </c>
      <c r="DS383" s="4">
        <f t="shared" si="1095"/>
        <v>1.0000968739452987</v>
      </c>
      <c r="DT383" s="4">
        <f t="shared" si="1171"/>
        <v>3.7549966711037173</v>
      </c>
      <c r="DU383" s="4">
        <f t="shared" si="1103"/>
        <v>479.66491341021054</v>
      </c>
      <c r="DY383" s="4">
        <f t="shared" si="1037"/>
        <v>0.85</v>
      </c>
      <c r="DZ383" s="4">
        <f t="shared" si="1096"/>
        <v>0.7</v>
      </c>
      <c r="EA383" s="4">
        <f t="shared" si="1184"/>
        <v>0.85899999999999999</v>
      </c>
      <c r="EB383" s="4">
        <f t="shared" si="1097"/>
        <v>0.7</v>
      </c>
      <c r="ED383" s="4">
        <f t="shared" si="1185"/>
        <v>748.31356014863229</v>
      </c>
      <c r="EE383" s="25">
        <f t="shared" si="1186"/>
        <v>474.65111753327864</v>
      </c>
      <c r="EG383" s="4">
        <f t="shared" si="1104"/>
        <v>0.59499999999999997</v>
      </c>
      <c r="EH383" s="4">
        <f t="shared" si="1187"/>
        <v>9.5981496427943913</v>
      </c>
      <c r="EK383" s="4">
        <f t="shared" si="1172"/>
        <v>59.610572153771514</v>
      </c>
      <c r="EL383" s="4">
        <f t="shared" si="1173"/>
        <v>3.7549966711037173</v>
      </c>
      <c r="EM383" s="4">
        <f t="shared" si="1174"/>
        <v>8.1656294533174772E-2</v>
      </c>
      <c r="EP383" s="4">
        <f t="shared" si="1301"/>
        <v>8.1656294533174772E-2</v>
      </c>
      <c r="EQ383" s="4">
        <f t="shared" si="1257"/>
        <v>0.26213597134553179</v>
      </c>
      <c r="ER383" s="4">
        <f t="shared" ref="ER383:ER446" si="1314">EH383/1*EQ383^0.4</f>
        <v>5.618212541811368</v>
      </c>
      <c r="ES383" s="4">
        <f t="shared" si="1286"/>
        <v>7.8657678741570898</v>
      </c>
      <c r="ET383" s="4">
        <f t="shared" ref="ET383:ET446" si="1315">MAX(0,DI383*ET$9-EK383)</f>
        <v>53.546427846228497</v>
      </c>
      <c r="EU383" s="4">
        <f t="shared" ref="EU383:EU446" si="1316">MAX(0,DI383-EK383-ET383)</f>
        <v>37.718999999999994</v>
      </c>
      <c r="EV383" s="4">
        <f t="shared" si="1098"/>
        <v>1.7254991778507533E-5</v>
      </c>
      <c r="EW383" s="4">
        <f t="shared" si="1287"/>
        <v>9.2896774976393353</v>
      </c>
      <c r="EX383" s="4">
        <f t="shared" si="1131"/>
        <v>758.4645308114234</v>
      </c>
      <c r="FG383" s="23">
        <f t="shared" si="1030"/>
        <v>2.2000000000000002</v>
      </c>
      <c r="FH383" s="23">
        <f t="shared" si="1030"/>
        <v>1</v>
      </c>
      <c r="FI383" s="23">
        <f t="shared" si="1248"/>
        <v>1.8</v>
      </c>
      <c r="FJ383" s="23">
        <f t="shared" si="1031"/>
        <v>2.2000000000000002</v>
      </c>
      <c r="FK383" s="23">
        <f t="shared" si="1031"/>
        <v>1.4</v>
      </c>
      <c r="FL383" s="23">
        <f t="shared" si="1031"/>
        <v>1.4</v>
      </c>
      <c r="FM383" s="23">
        <f t="shared" si="1195"/>
        <v>0</v>
      </c>
      <c r="FN383" s="23"/>
      <c r="FX383" s="4">
        <f t="shared" si="1099"/>
        <v>1</v>
      </c>
      <c r="FY383" s="4">
        <f t="shared" si="1139"/>
        <v>0.46358941059918601</v>
      </c>
      <c r="FZ383" s="4">
        <f t="shared" si="1100"/>
        <v>0.3</v>
      </c>
      <c r="GA383" s="4">
        <f t="shared" si="1101"/>
        <v>616.66156183459134</v>
      </c>
    </row>
    <row r="384" spans="1:183" ht="12" hidden="1" customHeight="1" x14ac:dyDescent="0.3">
      <c r="A384" s="25">
        <v>366</v>
      </c>
      <c r="B384" s="4" t="s">
        <v>605</v>
      </c>
      <c r="C384" s="4">
        <v>2016</v>
      </c>
      <c r="D384" s="4" t="s">
        <v>309</v>
      </c>
      <c r="E384" s="24" t="s">
        <v>673</v>
      </c>
      <c r="F384" s="7" t="s">
        <v>531</v>
      </c>
      <c r="G384" s="38">
        <f t="shared" si="1262"/>
        <v>958.62068965517244</v>
      </c>
      <c r="H384" s="38">
        <f>6.06*25.4</f>
        <v>153.92399999999998</v>
      </c>
      <c r="I384" s="4">
        <f t="shared" si="1288"/>
        <v>153.92399999999998</v>
      </c>
      <c r="J384" s="38">
        <f t="shared" si="1302"/>
        <v>32.344827586206897</v>
      </c>
      <c r="K384" s="38">
        <f t="shared" si="1264"/>
        <v>15.875</v>
      </c>
      <c r="L384" s="7">
        <f t="shared" si="1289"/>
        <v>9.695999999999998</v>
      </c>
      <c r="M384" s="7">
        <f t="shared" si="1290"/>
        <v>9.695999999999998</v>
      </c>
      <c r="N384" s="38">
        <f>13.1*25.4</f>
        <v>332.73999999999995</v>
      </c>
      <c r="O384" s="38">
        <f>2.55*25.4</f>
        <v>64.77</v>
      </c>
      <c r="P384" s="39">
        <f>3.15*25.4</f>
        <v>80.009999999999991</v>
      </c>
      <c r="Q384" s="7">
        <f t="shared" si="1291"/>
        <v>171.44999999999996</v>
      </c>
      <c r="R384" s="38">
        <v>2</v>
      </c>
      <c r="S384" s="4">
        <f t="shared" si="1258"/>
        <v>133.35</v>
      </c>
      <c r="T384" s="7">
        <f t="shared" si="1292"/>
        <v>4.58</v>
      </c>
      <c r="U384" s="7">
        <f t="shared" si="1127"/>
        <v>4.58</v>
      </c>
      <c r="V384" s="38">
        <v>4</v>
      </c>
      <c r="W384" s="4">
        <f t="shared" si="1293"/>
        <v>4</v>
      </c>
      <c r="X384" s="4">
        <f t="shared" si="1294"/>
        <v>5</v>
      </c>
      <c r="Y384" s="7">
        <f t="shared" si="1295"/>
        <v>35.497579142809165</v>
      </c>
      <c r="AB384" s="38">
        <f t="shared" si="1038"/>
        <v>967.58620689655186</v>
      </c>
      <c r="AC384" s="4">
        <v>140.30000000000001</v>
      </c>
      <c r="AD384" s="4">
        <f t="shared" si="1159"/>
        <v>1.1811110675219012</v>
      </c>
      <c r="AE384" s="38">
        <f t="shared" si="1307"/>
        <v>9.5249999999999986</v>
      </c>
      <c r="AF384" s="38">
        <v>10</v>
      </c>
      <c r="AG384" s="39">
        <f>1.75*25.4</f>
        <v>44.449999999999996</v>
      </c>
      <c r="AH384" s="39">
        <v>3</v>
      </c>
      <c r="AI384" s="39">
        <f t="shared" si="1308"/>
        <v>2</v>
      </c>
      <c r="AJ384" s="7"/>
      <c r="AK384" s="4">
        <f t="shared" si="1297"/>
        <v>153.92399999999998</v>
      </c>
      <c r="AL384" s="4">
        <f t="shared" si="1175"/>
        <v>0.7205720572057206</v>
      </c>
      <c r="AM384" s="4">
        <f t="shared" si="1176"/>
        <v>274.35607837678128</v>
      </c>
      <c r="AN384" s="4">
        <f t="shared" si="1177"/>
        <v>0.79447194719471947</v>
      </c>
      <c r="AO384" s="4">
        <v>1.25</v>
      </c>
      <c r="AP384" s="4">
        <f t="shared" si="1112"/>
        <v>2.5</v>
      </c>
      <c r="AQ384" s="38">
        <f t="shared" si="1266"/>
        <v>490.81812471577302</v>
      </c>
      <c r="AR384" s="38">
        <f t="shared" si="1178"/>
        <v>490.81812471577302</v>
      </c>
      <c r="AS384" s="38">
        <f t="shared" si="1179"/>
        <v>3.0454944685430494</v>
      </c>
      <c r="AT384" s="38">
        <f t="shared" si="1121"/>
        <v>490.81812471577274</v>
      </c>
      <c r="AU384" s="38">
        <f t="shared" si="1086"/>
        <v>1.0000000000000007</v>
      </c>
      <c r="AV384" s="38">
        <f t="shared" si="1249"/>
        <v>1.2072847589368334</v>
      </c>
      <c r="AW384" s="4">
        <f t="shared" si="1230"/>
        <v>0</v>
      </c>
      <c r="AX384" s="4">
        <f t="shared" si="1298"/>
        <v>290.22941477212186</v>
      </c>
      <c r="AY384" s="4">
        <f t="shared" si="1267"/>
        <v>1</v>
      </c>
      <c r="AZ384" s="38">
        <f t="shared" si="1102"/>
        <v>592.55724137931031</v>
      </c>
      <c r="BA384" s="4">
        <f t="shared" si="1268"/>
        <v>0.44000000000000006</v>
      </c>
      <c r="BB384" s="4">
        <f t="shared" si="1269"/>
        <v>66.723742456110827</v>
      </c>
      <c r="BC384" s="4">
        <f t="shared" si="1270"/>
        <v>659.28098383542113</v>
      </c>
      <c r="BE384" s="4">
        <f t="shared" si="1122"/>
        <v>1.5</v>
      </c>
      <c r="BF384" s="4">
        <f t="shared" si="1128"/>
        <v>504.07245906721477</v>
      </c>
      <c r="BH384" s="4">
        <f t="shared" si="1129"/>
        <v>568.33485951140074</v>
      </c>
      <c r="BI384" s="4">
        <f t="shared" si="1067"/>
        <v>0</v>
      </c>
      <c r="BJ384" s="4">
        <f t="shared" si="1130"/>
        <v>0</v>
      </c>
      <c r="BR384" s="4">
        <f t="shared" si="1271"/>
        <v>64.77</v>
      </c>
      <c r="BV384" s="9"/>
      <c r="BX384" s="9"/>
      <c r="BY384" s="9"/>
      <c r="BZ384" s="9">
        <f t="shared" si="1272"/>
        <v>64.77</v>
      </c>
      <c r="CA384" s="9">
        <f t="shared" si="1273"/>
        <v>85.72499999999998</v>
      </c>
      <c r="CB384" s="9">
        <f t="shared" si="1087"/>
        <v>2.1066390052415969</v>
      </c>
      <c r="CC384" s="40">
        <f t="shared" si="1299"/>
        <v>20</v>
      </c>
      <c r="CD384" s="9">
        <f t="shared" si="1274"/>
        <v>0.05</v>
      </c>
      <c r="CE384" s="9">
        <f t="shared" si="1275"/>
        <v>0.8</v>
      </c>
      <c r="CF384" s="9">
        <f t="shared" si="1276"/>
        <v>1</v>
      </c>
      <c r="CG384" s="9">
        <f t="shared" si="1277"/>
        <v>0.68</v>
      </c>
      <c r="CH384" s="9">
        <f t="shared" si="1088"/>
        <v>1.3535658143559566</v>
      </c>
      <c r="CI384" s="9">
        <f t="shared" si="1089"/>
        <v>3.3839145358898914</v>
      </c>
      <c r="CJ384" s="40">
        <v>1</v>
      </c>
      <c r="CK384" s="9">
        <f t="shared" si="1090"/>
        <v>334.276613513347</v>
      </c>
      <c r="CM384" s="4">
        <f t="shared" si="1278"/>
        <v>3.3338667883001012</v>
      </c>
      <c r="CN384" s="4">
        <f t="shared" si="1279"/>
        <v>1.4676385799383138</v>
      </c>
      <c r="CO384" s="4">
        <f t="shared" si="1242"/>
        <v>1.9195379344609871</v>
      </c>
      <c r="CP384" s="4">
        <f t="shared" si="1280"/>
        <v>2.8945674563557766</v>
      </c>
      <c r="CQ384" s="4">
        <f t="shared" si="1189"/>
        <v>1.1811110675219012</v>
      </c>
      <c r="CR384" s="4">
        <f t="shared" si="1190"/>
        <v>1.2648314968012164</v>
      </c>
      <c r="CS384" s="4">
        <f t="shared" si="1243"/>
        <v>1.5380009760396056</v>
      </c>
      <c r="CT384" s="4">
        <f t="shared" si="1300"/>
        <v>10</v>
      </c>
      <c r="DA384" s="4">
        <f t="shared" si="1309"/>
        <v>3.3338667883001012</v>
      </c>
      <c r="DB384" s="4">
        <f t="shared" si="1309"/>
        <v>1.4676385799383138</v>
      </c>
      <c r="DC384" s="4">
        <f t="shared" si="1310"/>
        <v>2.8945674563557766</v>
      </c>
      <c r="DD384" s="4">
        <f t="shared" si="1311"/>
        <v>1.5380009760396056</v>
      </c>
      <c r="DE384" s="4">
        <f t="shared" si="1312"/>
        <v>1.1811110675219012</v>
      </c>
      <c r="DF384" s="4">
        <f t="shared" si="1312"/>
        <v>1.2648314968012164</v>
      </c>
      <c r="DI384" s="4">
        <f t="shared" si="1285"/>
        <v>153.92399999999998</v>
      </c>
      <c r="DL384" s="4">
        <f t="shared" si="1166"/>
        <v>1.7603577471002637E-5</v>
      </c>
      <c r="DM384" s="4">
        <f t="shared" si="1313"/>
        <v>9.5981496427943913</v>
      </c>
      <c r="DN384" s="4">
        <f t="shared" si="1167"/>
        <v>0.52398803810769279</v>
      </c>
      <c r="DO384" s="4">
        <f t="shared" si="1168"/>
        <v>7.4116698527576723</v>
      </c>
      <c r="DP384" s="4">
        <f t="shared" si="1169"/>
        <v>8.5749995423716712</v>
      </c>
      <c r="DQ384" s="4">
        <f t="shared" si="1170"/>
        <v>9.2176543034529121</v>
      </c>
      <c r="DR384" s="38">
        <f t="shared" si="1183"/>
        <v>819.21695046567675</v>
      </c>
      <c r="DS384" s="4">
        <f t="shared" si="1095"/>
        <v>1.0001052408375271</v>
      </c>
      <c r="DT384" s="4">
        <f t="shared" si="1171"/>
        <v>2.2360679774997898</v>
      </c>
      <c r="DU384" s="4">
        <f t="shared" si="1103"/>
        <v>490.81812471577274</v>
      </c>
      <c r="DY384" s="4">
        <f t="shared" si="1037"/>
        <v>0.85</v>
      </c>
      <c r="DZ384" s="4">
        <f t="shared" si="1096"/>
        <v>0.7</v>
      </c>
      <c r="EA384" s="4">
        <f t="shared" si="1184"/>
        <v>0.7</v>
      </c>
      <c r="EB384" s="4">
        <f t="shared" si="1097"/>
        <v>0.7</v>
      </c>
      <c r="ED384" s="4">
        <f t="shared" si="1185"/>
        <v>764.99218223423145</v>
      </c>
      <c r="EE384" s="25">
        <f t="shared" si="1186"/>
        <v>485.80120542462834</v>
      </c>
      <c r="EG384" s="4">
        <f t="shared" si="1104"/>
        <v>0.59499999999999997</v>
      </c>
      <c r="EH384" s="4">
        <f t="shared" si="1187"/>
        <v>9.5981496427943913</v>
      </c>
      <c r="EK384" s="4">
        <f t="shared" si="1172"/>
        <v>35.497579142809165</v>
      </c>
      <c r="EL384" s="4">
        <f t="shared" si="1173"/>
        <v>2.2360679774997898</v>
      </c>
      <c r="EM384" s="4">
        <f t="shared" si="1174"/>
        <v>0.16295176108269527</v>
      </c>
      <c r="EP384" s="4">
        <f t="shared" si="1301"/>
        <v>0.16295176108269527</v>
      </c>
      <c r="EQ384" s="4">
        <f t="shared" si="1257"/>
        <v>0.52311359973018579</v>
      </c>
      <c r="ER384" s="4">
        <f t="shared" si="1314"/>
        <v>7.4067198953702853</v>
      </c>
      <c r="ES384" s="4">
        <f t="shared" si="1286"/>
        <v>8.5728618760834348</v>
      </c>
      <c r="ET384" s="4">
        <f t="shared" si="1315"/>
        <v>79.945420857190811</v>
      </c>
      <c r="EU384" s="4">
        <f t="shared" si="1316"/>
        <v>38.480999999999995</v>
      </c>
      <c r="EV384" s="4">
        <f t="shared" si="1098"/>
        <v>1.7603577471002637E-5</v>
      </c>
      <c r="EW384" s="4">
        <f t="shared" si="1287"/>
        <v>9.2177706738821694</v>
      </c>
      <c r="EX384" s="4">
        <f t="shared" si="1131"/>
        <v>819.13074446008568</v>
      </c>
      <c r="FG384" s="23">
        <f t="shared" si="1030"/>
        <v>2.2000000000000002</v>
      </c>
      <c r="FH384" s="23">
        <f t="shared" si="1030"/>
        <v>1.6</v>
      </c>
      <c r="FI384" s="23">
        <f t="shared" si="1248"/>
        <v>1.6</v>
      </c>
      <c r="FJ384" s="23">
        <f t="shared" si="1031"/>
        <v>2.2000000000000002</v>
      </c>
      <c r="FK384" s="23">
        <f t="shared" si="1031"/>
        <v>1.2</v>
      </c>
      <c r="FL384" s="23">
        <f t="shared" si="1031"/>
        <v>1.4</v>
      </c>
      <c r="FM384" s="23">
        <f t="shared" si="1195"/>
        <v>0</v>
      </c>
      <c r="FN384" s="23"/>
      <c r="FX384" s="4">
        <f t="shared" si="1099"/>
        <v>1</v>
      </c>
      <c r="FY384" s="4">
        <f t="shared" si="1139"/>
        <v>0.46358941059918601</v>
      </c>
      <c r="FZ384" s="4">
        <f t="shared" si="1100"/>
        <v>0.3</v>
      </c>
      <c r="GA384" s="4">
        <f t="shared" si="1101"/>
        <v>629.11937116458319</v>
      </c>
    </row>
    <row r="385" spans="1:183" ht="12" hidden="1" customHeight="1" x14ac:dyDescent="0.3">
      <c r="A385" s="25">
        <v>367</v>
      </c>
      <c r="B385" s="4" t="s">
        <v>605</v>
      </c>
      <c r="C385" s="4">
        <v>2016</v>
      </c>
      <c r="D385" s="4" t="s">
        <v>309</v>
      </c>
      <c r="E385" s="24" t="s">
        <v>532</v>
      </c>
      <c r="F385" s="7" t="s">
        <v>533</v>
      </c>
      <c r="G385" s="38">
        <f t="shared" si="1262"/>
        <v>958.62068965517244</v>
      </c>
      <c r="H385" s="38">
        <f>4.06*25.4</f>
        <v>103.12399999999998</v>
      </c>
      <c r="I385" s="4">
        <f t="shared" si="1288"/>
        <v>103.12399999999998</v>
      </c>
      <c r="J385" s="38">
        <f>11030/145</f>
        <v>76.068965517241381</v>
      </c>
      <c r="K385" s="38">
        <f t="shared" si="1264"/>
        <v>15.875</v>
      </c>
      <c r="L385" s="7">
        <f t="shared" si="1289"/>
        <v>6.4959999999999987</v>
      </c>
      <c r="M385" s="7">
        <f t="shared" si="1290"/>
        <v>6.4959999999999987</v>
      </c>
      <c r="N385" s="38">
        <f t="shared" ref="N385:N394" si="1317">13.1*25.4</f>
        <v>332.73999999999995</v>
      </c>
      <c r="O385" s="38">
        <f>2.6*25.4</f>
        <v>66.039999999999992</v>
      </c>
      <c r="P385" s="39">
        <f>5.2*25.4</f>
        <v>132.07999999999998</v>
      </c>
      <c r="Q385" s="7">
        <f t="shared" si="1291"/>
        <v>168.90999999999997</v>
      </c>
      <c r="R385" s="38">
        <v>2</v>
      </c>
      <c r="S385" s="4">
        <f t="shared" si="1258"/>
        <v>133.35</v>
      </c>
      <c r="T385" s="7">
        <f t="shared" si="1292"/>
        <v>4.6599999999999993</v>
      </c>
      <c r="U385" s="7">
        <f t="shared" si="1127"/>
        <v>4.6599999999999993</v>
      </c>
      <c r="V385" s="38">
        <v>4</v>
      </c>
      <c r="W385" s="4">
        <f t="shared" si="1293"/>
        <v>4</v>
      </c>
      <c r="X385" s="4">
        <f t="shared" si="1294"/>
        <v>5</v>
      </c>
      <c r="Y385" s="7">
        <f t="shared" si="1295"/>
        <v>35.497579142809165</v>
      </c>
      <c r="AB385" s="38">
        <f t="shared" si="1038"/>
        <v>629.65517241379314</v>
      </c>
      <c r="AC385" s="4">
        <v>91.3</v>
      </c>
      <c r="AD385" s="4">
        <f t="shared" si="1159"/>
        <v>0.65825114412661645</v>
      </c>
      <c r="AE385" s="38"/>
      <c r="AF385" s="38"/>
      <c r="AG385" s="39">
        <v>1</v>
      </c>
      <c r="AH385" s="39"/>
      <c r="AI385" s="39"/>
      <c r="AJ385" s="7"/>
      <c r="AK385" s="4">
        <f t="shared" si="1297"/>
        <v>103.12399999999998</v>
      </c>
      <c r="AL385" s="4">
        <f t="shared" si="1175"/>
        <v>1.0755336617405586</v>
      </c>
      <c r="AM385" s="4">
        <f t="shared" si="1176"/>
        <v>230.72573356041525</v>
      </c>
      <c r="AN385" s="4">
        <f t="shared" si="1177"/>
        <v>0.84347290640394079</v>
      </c>
      <c r="AO385" s="4">
        <v>1.25</v>
      </c>
      <c r="AP385" s="4">
        <f t="shared" si="1112"/>
        <v>2.5</v>
      </c>
      <c r="AQ385" s="38">
        <f t="shared" si="1266"/>
        <v>654.09556044638771</v>
      </c>
      <c r="AR385" s="38">
        <f t="shared" si="1178"/>
        <v>654.09556044638771</v>
      </c>
      <c r="AS385" s="38">
        <f t="shared" si="1179"/>
        <v>4.7518593634836064</v>
      </c>
      <c r="AT385" s="38">
        <f t="shared" si="1121"/>
        <v>654.09556044638748</v>
      </c>
      <c r="AU385" s="38">
        <f t="shared" si="1086"/>
        <v>1.0000000000000004</v>
      </c>
      <c r="AV385" s="38">
        <f t="shared" si="1249"/>
        <v>2.1677650835509659</v>
      </c>
      <c r="AW385" s="4">
        <f t="shared" si="1230"/>
        <v>0</v>
      </c>
      <c r="AX385" s="4">
        <f t="shared" si="1298"/>
        <v>298.19212531706467</v>
      </c>
      <c r="AY385" s="4">
        <f t="shared" si="1267"/>
        <v>1</v>
      </c>
      <c r="AZ385" s="38">
        <f t="shared" si="1102"/>
        <v>1417.9255172413791</v>
      </c>
      <c r="BA385" s="4">
        <f t="shared" si="1268"/>
        <v>0.44000000000000006</v>
      </c>
      <c r="BB385" s="4">
        <f t="shared" si="1269"/>
        <v>68.554369610393181</v>
      </c>
      <c r="BC385" s="4">
        <f t="shared" si="1270"/>
        <v>1486.4798868517723</v>
      </c>
      <c r="BE385" s="4">
        <f t="shared" si="1122"/>
        <v>1.5</v>
      </c>
      <c r="BF385" s="4">
        <f t="shared" si="1128"/>
        <v>647.43312666901272</v>
      </c>
      <c r="BH385" s="4">
        <f t="shared" si="1129"/>
        <v>1359.9639720260559</v>
      </c>
      <c r="BI385" s="4">
        <f t="shared" si="1067"/>
        <v>0</v>
      </c>
      <c r="BJ385" s="4">
        <f t="shared" si="1130"/>
        <v>0</v>
      </c>
      <c r="BR385" s="4">
        <f t="shared" si="1271"/>
        <v>66.039999999999992</v>
      </c>
      <c r="BV385" s="9"/>
      <c r="BX385" s="9"/>
      <c r="BY385" s="9"/>
      <c r="BZ385" s="9">
        <f t="shared" si="1272"/>
        <v>66.039999999999992</v>
      </c>
      <c r="CA385" s="9">
        <f t="shared" si="1273"/>
        <v>84.454999999999984</v>
      </c>
      <c r="CB385" s="9">
        <f t="shared" si="1087"/>
        <v>2.116261887080392</v>
      </c>
      <c r="CC385" s="40">
        <f t="shared" si="1299"/>
        <v>0</v>
      </c>
      <c r="CD385" s="9">
        <f t="shared" si="1274"/>
        <v>0</v>
      </c>
      <c r="CE385" s="9">
        <f t="shared" si="1275"/>
        <v>0</v>
      </c>
      <c r="CF385" s="9">
        <f t="shared" si="1276"/>
        <v>1</v>
      </c>
      <c r="CG385" s="9">
        <f t="shared" si="1277"/>
        <v>0.68</v>
      </c>
      <c r="CH385" s="9">
        <f t="shared" si="1088"/>
        <v>2.0757770792545673</v>
      </c>
      <c r="CI385" s="9">
        <f t="shared" si="1089"/>
        <v>4.3928879189014953</v>
      </c>
      <c r="CJ385" s="40">
        <v>1</v>
      </c>
      <c r="CK385" s="9">
        <f t="shared" si="1090"/>
        <v>377.71807481882615</v>
      </c>
      <c r="CM385" s="4">
        <f t="shared" si="1278"/>
        <v>2.1115754540609921</v>
      </c>
      <c r="CN385" s="4">
        <f t="shared" si="1279"/>
        <v>0.42358808752356875</v>
      </c>
      <c r="CO385" s="4">
        <f t="shared" si="1242"/>
        <v>0.97254086403226603</v>
      </c>
      <c r="CP385" s="4">
        <f t="shared" si="1280"/>
        <v>1.6669977276459687</v>
      </c>
      <c r="CQ385" s="4">
        <f t="shared" si="1189"/>
        <v>0.65825114412661645</v>
      </c>
      <c r="CR385" s="4">
        <f t="shared" si="1190"/>
        <v>0.67646352686461653</v>
      </c>
      <c r="CS385" s="4">
        <f t="shared" si="1243"/>
        <v>1.3010744184441332</v>
      </c>
      <c r="CT385" s="4">
        <f t="shared" si="1300"/>
        <v>0</v>
      </c>
      <c r="CU385" s="4">
        <f t="shared" ref="CU385:CV386" si="1318">CM385</f>
        <v>2.1115754540609921</v>
      </c>
      <c r="CV385" s="4">
        <f t="shared" si="1318"/>
        <v>0.42358808752356875</v>
      </c>
      <c r="CW385" s="4">
        <f t="shared" ref="CW385:CW386" si="1319">CP385</f>
        <v>1.6669977276459687</v>
      </c>
      <c r="CX385" s="4">
        <f>CS385</f>
        <v>1.3010744184441332</v>
      </c>
      <c r="CY385" s="4">
        <f t="shared" ref="CY385:CZ386" si="1320">CQ385</f>
        <v>0.65825114412661645</v>
      </c>
      <c r="CZ385" s="4">
        <f t="shared" si="1320"/>
        <v>0.67646352686461653</v>
      </c>
      <c r="DI385" s="4">
        <f t="shared" si="1285"/>
        <v>103.12399999999998</v>
      </c>
      <c r="DL385" s="4">
        <f t="shared" si="1166"/>
        <v>1.5546920012851651E-5</v>
      </c>
      <c r="DM385" s="4">
        <f t="shared" si="1313"/>
        <v>14.719357433866572</v>
      </c>
      <c r="DN385" s="4">
        <f t="shared" si="1167"/>
        <v>0.29691990485502351</v>
      </c>
      <c r="DO385" s="4">
        <f t="shared" si="1168"/>
        <v>9.0561702129907751</v>
      </c>
      <c r="DP385" s="4">
        <f t="shared" si="1169"/>
        <v>12.222139532840403</v>
      </c>
      <c r="DQ385" s="4">
        <f t="shared" si="1170"/>
        <v>14.254053602825914</v>
      </c>
      <c r="DR385" s="38">
        <f t="shared" si="1183"/>
        <v>956.55765741088817</v>
      </c>
      <c r="DS385" s="4">
        <f t="shared" si="1095"/>
        <v>1.0000802088493006</v>
      </c>
      <c r="DT385" s="4">
        <f t="shared" si="1171"/>
        <v>2.2360679774997898</v>
      </c>
      <c r="DU385" s="4">
        <f t="shared" si="1103"/>
        <v>654.09556044638748</v>
      </c>
      <c r="DY385" s="4">
        <f t="shared" si="1037"/>
        <v>0.85</v>
      </c>
      <c r="DZ385" s="4">
        <f t="shared" si="1096"/>
        <v>0.7</v>
      </c>
      <c r="EA385" s="4">
        <f t="shared" si="1184"/>
        <v>1</v>
      </c>
      <c r="EB385" s="4">
        <f t="shared" si="1097"/>
        <v>0.7</v>
      </c>
      <c r="ED385" s="4">
        <f t="shared" si="1185"/>
        <v>930.8043189441737</v>
      </c>
      <c r="EE385" s="25">
        <f t="shared" si="1186"/>
        <v>643.953481272982</v>
      </c>
      <c r="EG385" s="4">
        <f t="shared" si="1104"/>
        <v>0.59499999999999997</v>
      </c>
      <c r="EH385" s="4">
        <f t="shared" si="1187"/>
        <v>14.719357433866572</v>
      </c>
      <c r="EK385" s="4">
        <f t="shared" si="1172"/>
        <v>35.497579142809165</v>
      </c>
      <c r="EL385" s="4">
        <f t="shared" si="1173"/>
        <v>2.2360679774997898</v>
      </c>
      <c r="EM385" s="4">
        <f t="shared" si="1174"/>
        <v>0.14160491681408338</v>
      </c>
      <c r="EP385" s="4">
        <f t="shared" si="1301"/>
        <v>0.14160491681408338</v>
      </c>
      <c r="EQ385" s="4">
        <f t="shared" si="1257"/>
        <v>0.29642440087216809</v>
      </c>
      <c r="ER385" s="4">
        <f t="shared" si="1314"/>
        <v>9.0501219596905358</v>
      </c>
      <c r="ES385" s="4">
        <f t="shared" si="1286"/>
        <v>12.219907720614318</v>
      </c>
      <c r="ET385" s="4">
        <f t="shared" si="1315"/>
        <v>41.845420857190824</v>
      </c>
      <c r="EU385" s="4">
        <f t="shared" si="1316"/>
        <v>25.780999999999999</v>
      </c>
      <c r="EV385" s="4">
        <f t="shared" si="1098"/>
        <v>1.5546920012851655E-5</v>
      </c>
      <c r="EW385" s="4">
        <f t="shared" si="1287"/>
        <v>14.25419378260553</v>
      </c>
      <c r="EX385" s="4">
        <f t="shared" si="1131"/>
        <v>956.48093917537892</v>
      </c>
      <c r="FG385" s="23">
        <f t="shared" si="1030"/>
        <v>2.2000000000000002</v>
      </c>
      <c r="FH385" s="23">
        <f t="shared" si="1030"/>
        <v>0.6</v>
      </c>
      <c r="FI385" s="23">
        <f t="shared" si="1248"/>
        <v>1.4</v>
      </c>
      <c r="FJ385" s="23">
        <f t="shared" si="1031"/>
        <v>1.8</v>
      </c>
      <c r="FK385" s="23">
        <f t="shared" si="1031"/>
        <v>0.8</v>
      </c>
      <c r="FL385" s="23">
        <f t="shared" si="1031"/>
        <v>0.8</v>
      </c>
      <c r="FM385" s="23">
        <f t="shared" si="1195"/>
        <v>1</v>
      </c>
      <c r="FN385" s="23"/>
      <c r="FX385" s="4">
        <f t="shared" si="1099"/>
        <v>1</v>
      </c>
      <c r="FY385" s="4">
        <f t="shared" si="1139"/>
        <v>0.5</v>
      </c>
      <c r="FZ385" s="4">
        <f t="shared" si="1100"/>
        <v>0</v>
      </c>
      <c r="GA385" s="4">
        <f t="shared" si="1101"/>
        <v>483.95015956639526</v>
      </c>
    </row>
    <row r="386" spans="1:183" ht="12" hidden="1" customHeight="1" x14ac:dyDescent="0.3">
      <c r="A386" s="25">
        <v>368</v>
      </c>
      <c r="B386" s="4" t="s">
        <v>605</v>
      </c>
      <c r="C386" s="4">
        <v>2016</v>
      </c>
      <c r="D386" s="4" t="s">
        <v>309</v>
      </c>
      <c r="E386" s="24" t="s">
        <v>532</v>
      </c>
      <c r="F386" s="7" t="s">
        <v>534</v>
      </c>
      <c r="G386" s="38">
        <f t="shared" si="1262"/>
        <v>958.62068965517244</v>
      </c>
      <c r="H386" s="38">
        <f>4.13*25.4</f>
        <v>104.90199999999999</v>
      </c>
      <c r="I386" s="4">
        <f t="shared" si="1288"/>
        <v>104.90199999999999</v>
      </c>
      <c r="J386" s="38">
        <f t="shared" ref="J386:J398" si="1321">11030/145</f>
        <v>76.068965517241381</v>
      </c>
      <c r="K386" s="38">
        <f t="shared" si="1264"/>
        <v>15.875</v>
      </c>
      <c r="L386" s="7">
        <f t="shared" si="1289"/>
        <v>6.6079999999999988</v>
      </c>
      <c r="M386" s="7">
        <f t="shared" si="1290"/>
        <v>6.6079999999999988</v>
      </c>
      <c r="N386" s="38">
        <f>13*25.4</f>
        <v>330.2</v>
      </c>
      <c r="O386" s="38">
        <f>2.5*25.4</f>
        <v>63.5</v>
      </c>
      <c r="P386" s="39">
        <f>4.9*25.4</f>
        <v>124.46000000000001</v>
      </c>
      <c r="Q386" s="7">
        <f t="shared" si="1291"/>
        <v>171.45</v>
      </c>
      <c r="R386" s="38">
        <v>2</v>
      </c>
      <c r="S386" s="4">
        <f t="shared" si="1258"/>
        <v>133.35</v>
      </c>
      <c r="T386" s="7">
        <f t="shared" si="1292"/>
        <v>4.5</v>
      </c>
      <c r="U386" s="7">
        <f t="shared" si="1127"/>
        <v>4.5</v>
      </c>
      <c r="V386" s="38">
        <v>13.1</v>
      </c>
      <c r="W386" s="4">
        <f t="shared" si="1293"/>
        <v>13.1</v>
      </c>
      <c r="X386" s="4">
        <f t="shared" si="1294"/>
        <v>14.1</v>
      </c>
      <c r="Y386" s="7">
        <f t="shared" si="1295"/>
        <v>59.610572153771514</v>
      </c>
      <c r="AB386" s="38">
        <f t="shared" si="1038"/>
        <v>698.62068965517244</v>
      </c>
      <c r="AC386" s="4">
        <v>101.3</v>
      </c>
      <c r="AD386" s="4">
        <f t="shared" si="1159"/>
        <v>0.77378912538861899</v>
      </c>
      <c r="AE386" s="38"/>
      <c r="AF386" s="38"/>
      <c r="AG386" s="39">
        <v>1</v>
      </c>
      <c r="AH386" s="39"/>
      <c r="AI386" s="39"/>
      <c r="AJ386" s="7"/>
      <c r="AK386" s="4">
        <f t="shared" si="1297"/>
        <v>104.90199999999999</v>
      </c>
      <c r="AL386" s="4">
        <f t="shared" si="1175"/>
        <v>1.0492332526230832</v>
      </c>
      <c r="AM386" s="4">
        <f t="shared" si="1176"/>
        <v>236.71842498037796</v>
      </c>
      <c r="AN386" s="4">
        <f t="shared" si="1177"/>
        <v>0.83619854721549636</v>
      </c>
      <c r="AO386" s="4">
        <v>1.25</v>
      </c>
      <c r="AP386" s="4">
        <f t="shared" si="1112"/>
        <v>2.5</v>
      </c>
      <c r="AQ386" s="38">
        <f t="shared" si="1266"/>
        <v>649.02815775840463</v>
      </c>
      <c r="AR386" s="38">
        <f t="shared" si="1178"/>
        <v>649.02815775840463</v>
      </c>
      <c r="AS386" s="38">
        <f t="shared" si="1179"/>
        <v>4.7518593634836064</v>
      </c>
      <c r="AT386" s="38">
        <f t="shared" si="1121"/>
        <v>649.02815775840486</v>
      </c>
      <c r="AU386" s="38">
        <f t="shared" si="1086"/>
        <v>0.99999999999999967</v>
      </c>
      <c r="AV386" s="38">
        <f t="shared" si="1249"/>
        <v>3.8178787224830018</v>
      </c>
      <c r="AW386" s="4">
        <f t="shared" si="1230"/>
        <v>0</v>
      </c>
      <c r="AX386" s="4">
        <f t="shared" si="1298"/>
        <v>303.33336885701408</v>
      </c>
      <c r="AY386" s="4">
        <f t="shared" si="1267"/>
        <v>1</v>
      </c>
      <c r="AZ386" s="38">
        <f t="shared" si="1102"/>
        <v>2477.9107937981548</v>
      </c>
      <c r="BA386" s="4">
        <f t="shared" si="1268"/>
        <v>0.3</v>
      </c>
      <c r="BB386" s="4">
        <f t="shared" si="1269"/>
        <v>47.547505568336966</v>
      </c>
      <c r="BC386" s="4">
        <f t="shared" si="1270"/>
        <v>2525.4582993664917</v>
      </c>
      <c r="BE386" s="4">
        <f t="shared" si="1122"/>
        <v>1.5</v>
      </c>
      <c r="BF386" s="4">
        <f t="shared" si="1128"/>
        <v>651.82888989566936</v>
      </c>
      <c r="BH386" s="4">
        <f t="shared" si="1129"/>
        <v>2376.619479996501</v>
      </c>
      <c r="BI386" s="4">
        <f t="shared" si="1067"/>
        <v>0</v>
      </c>
      <c r="BJ386" s="4">
        <f t="shared" si="1130"/>
        <v>0</v>
      </c>
      <c r="BR386" s="4">
        <f t="shared" si="1271"/>
        <v>63.5</v>
      </c>
      <c r="BV386" s="9"/>
      <c r="BX386" s="9"/>
      <c r="BY386" s="9"/>
      <c r="BZ386" s="9">
        <f t="shared" si="1272"/>
        <v>63.5</v>
      </c>
      <c r="CA386" s="9">
        <f t="shared" si="1273"/>
        <v>85.724999999999994</v>
      </c>
      <c r="CB386" s="9">
        <f t="shared" si="1087"/>
        <v>2.0920885420600022</v>
      </c>
      <c r="CC386" s="40">
        <f t="shared" si="1299"/>
        <v>0</v>
      </c>
      <c r="CD386" s="9">
        <f t="shared" si="1274"/>
        <v>0</v>
      </c>
      <c r="CE386" s="9">
        <f t="shared" si="1275"/>
        <v>0</v>
      </c>
      <c r="CF386" s="9">
        <f t="shared" si="1276"/>
        <v>1</v>
      </c>
      <c r="CG386" s="9">
        <f t="shared" si="1277"/>
        <v>0.68</v>
      </c>
      <c r="CH386" s="9">
        <f t="shared" si="1088"/>
        <v>2.0757770792545673</v>
      </c>
      <c r="CI386" s="9">
        <f t="shared" si="1089"/>
        <v>4.342709443379257</v>
      </c>
      <c r="CJ386" s="40">
        <v>1</v>
      </c>
      <c r="CK386" s="9">
        <f t="shared" si="1090"/>
        <v>375.3490626101559</v>
      </c>
      <c r="CM386" s="4">
        <f t="shared" si="1278"/>
        <v>2.3031448610076581</v>
      </c>
      <c r="CN386" s="4">
        <f t="shared" si="1279"/>
        <v>0.27663125137739181</v>
      </c>
      <c r="CO386" s="4">
        <f t="shared" si="1242"/>
        <v>1.0717854033241645</v>
      </c>
      <c r="CP386" s="4">
        <f t="shared" si="1280"/>
        <v>1.8612559860866686</v>
      </c>
      <c r="CQ386" s="4">
        <f t="shared" si="1189"/>
        <v>0.77378912538861899</v>
      </c>
      <c r="CR386" s="4">
        <f t="shared" si="1190"/>
        <v>0.75051026424073697</v>
      </c>
      <c r="CS386" s="4">
        <f t="shared" si="1243"/>
        <v>1.419112376432075</v>
      </c>
      <c r="CT386" s="4">
        <f t="shared" si="1300"/>
        <v>0</v>
      </c>
      <c r="CU386" s="4">
        <f t="shared" si="1318"/>
        <v>2.3031448610076581</v>
      </c>
      <c r="CV386" s="4">
        <f t="shared" si="1318"/>
        <v>0.27663125137739181</v>
      </c>
      <c r="CW386" s="4">
        <f t="shared" si="1319"/>
        <v>1.8612559860866686</v>
      </c>
      <c r="CX386" s="4">
        <f t="shared" ref="CX386" si="1322">CS386</f>
        <v>1.419112376432075</v>
      </c>
      <c r="CY386" s="4">
        <f t="shared" si="1320"/>
        <v>0.77378912538861899</v>
      </c>
      <c r="CZ386" s="4">
        <f t="shared" si="1320"/>
        <v>0.75051026424073697</v>
      </c>
      <c r="DI386" s="4">
        <f t="shared" si="1285"/>
        <v>104.90199999999999</v>
      </c>
      <c r="DL386" s="4">
        <f t="shared" si="1166"/>
        <v>1.5814970357900817E-5</v>
      </c>
      <c r="DM386" s="4">
        <f t="shared" si="1313"/>
        <v>14.719357433866572</v>
      </c>
      <c r="DN386" s="4">
        <f t="shared" si="1167"/>
        <v>0.15106884191806433</v>
      </c>
      <c r="DO386" s="4">
        <f t="shared" si="1168"/>
        <v>6.9112851462819327</v>
      </c>
      <c r="DP386" s="4">
        <f t="shared" si="1169"/>
        <v>11.506298630815103</v>
      </c>
      <c r="DQ386" s="4">
        <f t="shared" si="1170"/>
        <v>14.337879997179973</v>
      </c>
      <c r="DR386" s="38">
        <f t="shared" si="1183"/>
        <v>902.85669148465377</v>
      </c>
      <c r="DS386" s="4">
        <f t="shared" si="1095"/>
        <v>1.0000830374098912</v>
      </c>
      <c r="DT386" s="4">
        <f t="shared" si="1171"/>
        <v>3.7549966711037173</v>
      </c>
      <c r="DU386" s="4">
        <f t="shared" si="1103"/>
        <v>649.02815775840486</v>
      </c>
      <c r="DY386" s="4">
        <f t="shared" si="1037"/>
        <v>0.85</v>
      </c>
      <c r="DZ386" s="4">
        <f t="shared" si="1096"/>
        <v>0.7</v>
      </c>
      <c r="EA386" s="4">
        <f t="shared" si="1184"/>
        <v>1</v>
      </c>
      <c r="EB386" s="4">
        <f t="shared" si="1097"/>
        <v>0.7</v>
      </c>
      <c r="ED386" s="4">
        <f t="shared" si="1185"/>
        <v>930.86093947288077</v>
      </c>
      <c r="EE386" s="25">
        <f t="shared" si="1186"/>
        <v>639.06439770390989</v>
      </c>
      <c r="EG386" s="4">
        <f t="shared" si="1104"/>
        <v>0.59499999999999997</v>
      </c>
      <c r="EH386" s="4">
        <f t="shared" si="1187"/>
        <v>14.719357433866572</v>
      </c>
      <c r="EK386" s="4">
        <f t="shared" si="1172"/>
        <v>59.610572153771514</v>
      </c>
      <c r="EL386" s="4">
        <f t="shared" si="1173"/>
        <v>3.7549966711037173</v>
      </c>
      <c r="EM386" s="4">
        <f t="shared" si="1174"/>
        <v>7.2046671318490713E-2</v>
      </c>
      <c r="EP386" s="4">
        <f t="shared" si="1301"/>
        <v>7.2046671318490713E-2</v>
      </c>
      <c r="EQ386" s="4">
        <f t="shared" si="1257"/>
        <v>0.15081673617630778</v>
      </c>
      <c r="ER386" s="4">
        <f t="shared" si="1314"/>
        <v>6.9066693757948734</v>
      </c>
      <c r="ES386" s="4">
        <f t="shared" si="1286"/>
        <v>11.5049337770006</v>
      </c>
      <c r="ET386" s="4">
        <f t="shared" si="1315"/>
        <v>19.065927846228476</v>
      </c>
      <c r="EU386" s="4">
        <f t="shared" si="1316"/>
        <v>26.225499999999997</v>
      </c>
      <c r="EV386" s="4">
        <f t="shared" si="1098"/>
        <v>1.5814970357900817E-5</v>
      </c>
      <c r="EW386" s="4">
        <f t="shared" si="1287"/>
        <v>14.338019363230169</v>
      </c>
      <c r="EX386" s="4">
        <f t="shared" si="1131"/>
        <v>902.78172682836077</v>
      </c>
      <c r="FG386" s="23">
        <f t="shared" si="1030"/>
        <v>2.2000000000000002</v>
      </c>
      <c r="FH386" s="23">
        <f t="shared" si="1030"/>
        <v>0.6</v>
      </c>
      <c r="FI386" s="23">
        <f t="shared" si="1248"/>
        <v>1.6</v>
      </c>
      <c r="FJ386" s="23">
        <f t="shared" si="1031"/>
        <v>2</v>
      </c>
      <c r="FK386" s="23">
        <f t="shared" si="1031"/>
        <v>0.8</v>
      </c>
      <c r="FL386" s="23">
        <f t="shared" si="1031"/>
        <v>0.8</v>
      </c>
      <c r="FM386" s="23">
        <f t="shared" si="1195"/>
        <v>1</v>
      </c>
      <c r="FN386" s="23"/>
      <c r="FX386" s="4">
        <f t="shared" si="1099"/>
        <v>1</v>
      </c>
      <c r="FY386" s="4">
        <f t="shared" si="1139"/>
        <v>0.5</v>
      </c>
      <c r="FZ386" s="4">
        <f t="shared" si="1100"/>
        <v>0</v>
      </c>
      <c r="GA386" s="4">
        <f t="shared" si="1101"/>
        <v>492.29412783478148</v>
      </c>
    </row>
    <row r="387" spans="1:183" ht="12" hidden="1" customHeight="1" x14ac:dyDescent="0.3">
      <c r="A387" s="25">
        <v>369</v>
      </c>
      <c r="B387" s="4" t="s">
        <v>605</v>
      </c>
      <c r="C387" s="4">
        <v>2016</v>
      </c>
      <c r="D387" s="4" t="s">
        <v>309</v>
      </c>
      <c r="E387" s="24" t="s">
        <v>674</v>
      </c>
      <c r="F387" s="7" t="s">
        <v>535</v>
      </c>
      <c r="G387" s="38">
        <f t="shared" si="1262"/>
        <v>958.62068965517244</v>
      </c>
      <c r="H387" s="38">
        <f>4.13*25.4</f>
        <v>104.90199999999999</v>
      </c>
      <c r="I387" s="4">
        <f t="shared" si="1288"/>
        <v>104.90199999999999</v>
      </c>
      <c r="J387" s="38">
        <f t="shared" si="1321"/>
        <v>76.068965517241381</v>
      </c>
      <c r="K387" s="38">
        <f t="shared" si="1264"/>
        <v>15.875</v>
      </c>
      <c r="L387" s="7">
        <f t="shared" si="1289"/>
        <v>6.6079999999999988</v>
      </c>
      <c r="M387" s="7">
        <f t="shared" si="1290"/>
        <v>6.6079999999999988</v>
      </c>
      <c r="N387" s="38">
        <f t="shared" si="1317"/>
        <v>332.73999999999995</v>
      </c>
      <c r="O387" s="38">
        <f>2.65*25.4</f>
        <v>67.309999999999988</v>
      </c>
      <c r="P387" s="39">
        <f>5*25.4</f>
        <v>127</v>
      </c>
      <c r="Q387" s="7">
        <f t="shared" si="1291"/>
        <v>166.36999999999998</v>
      </c>
      <c r="R387" s="38">
        <v>2</v>
      </c>
      <c r="S387" s="4">
        <f t="shared" si="1258"/>
        <v>133.35</v>
      </c>
      <c r="T387" s="7">
        <f t="shared" si="1292"/>
        <v>4.7399999999999993</v>
      </c>
      <c r="U387" s="7">
        <f t="shared" si="1127"/>
        <v>4.7399999999999993</v>
      </c>
      <c r="V387" s="38">
        <v>4</v>
      </c>
      <c r="W387" s="4">
        <f t="shared" si="1293"/>
        <v>4</v>
      </c>
      <c r="X387" s="4">
        <f t="shared" si="1294"/>
        <v>5</v>
      </c>
      <c r="Y387" s="7">
        <f t="shared" si="1295"/>
        <v>35.497579142809165</v>
      </c>
      <c r="AB387" s="38">
        <f t="shared" si="1038"/>
        <v>727.58620689655174</v>
      </c>
      <c r="AC387" s="4">
        <v>105.5</v>
      </c>
      <c r="AD387" s="4">
        <f t="shared" si="1159"/>
        <v>0.75899280575539563</v>
      </c>
      <c r="AE387" s="38">
        <f t="shared" ref="AE387:AE390" si="1323">0.375*25.4</f>
        <v>9.5249999999999986</v>
      </c>
      <c r="AF387" s="38">
        <v>4</v>
      </c>
      <c r="AG387" s="39">
        <f>3.5*25.4</f>
        <v>88.899999999999991</v>
      </c>
      <c r="AH387" s="39">
        <v>2</v>
      </c>
      <c r="AI387" s="39">
        <f t="shared" ref="AI387:AI390" si="1324">AH387-1</f>
        <v>1</v>
      </c>
      <c r="AJ387" s="7"/>
      <c r="AK387" s="4">
        <f t="shared" si="1297"/>
        <v>104.90199999999999</v>
      </c>
      <c r="AL387" s="4">
        <f t="shared" si="1175"/>
        <v>1.0573042776432606</v>
      </c>
      <c r="AM387" s="4">
        <f t="shared" si="1176"/>
        <v>236.71842498037796</v>
      </c>
      <c r="AN387" s="4">
        <f t="shared" si="1177"/>
        <v>0.84346246973365613</v>
      </c>
      <c r="AO387" s="4">
        <v>1.25</v>
      </c>
      <c r="AP387" s="4">
        <f t="shared" si="1112"/>
        <v>2.5</v>
      </c>
      <c r="AQ387" s="38">
        <f t="shared" si="1266"/>
        <v>659.70205470310771</v>
      </c>
      <c r="AR387" s="38">
        <f t="shared" si="1178"/>
        <v>659.70205470310771</v>
      </c>
      <c r="AS387" s="38">
        <f t="shared" si="1179"/>
        <v>4.7518593634836064</v>
      </c>
      <c r="AT387" s="38">
        <f t="shared" si="1121"/>
        <v>659.70205470310782</v>
      </c>
      <c r="AU387" s="38">
        <f t="shared" si="1086"/>
        <v>0.99999999999999978</v>
      </c>
      <c r="AV387" s="38">
        <f t="shared" si="1249"/>
        <v>2.1862408581643331</v>
      </c>
      <c r="AW387" s="4">
        <f t="shared" si="1230"/>
        <v>0</v>
      </c>
      <c r="AX387" s="4">
        <f t="shared" si="1298"/>
        <v>303.33336885701408</v>
      </c>
      <c r="AY387" s="4">
        <f t="shared" si="1267"/>
        <v>1</v>
      </c>
      <c r="AZ387" s="38">
        <f t="shared" si="1102"/>
        <v>1442.2675862068963</v>
      </c>
      <c r="BA387" s="4">
        <f t="shared" si="1268"/>
        <v>0.44000000000000006</v>
      </c>
      <c r="BB387" s="4">
        <f t="shared" si="1269"/>
        <v>69.736341500227553</v>
      </c>
      <c r="BC387" s="4">
        <f t="shared" si="1270"/>
        <v>1512.0039277071239</v>
      </c>
      <c r="BE387" s="4">
        <f t="shared" si="1122"/>
        <v>1.5</v>
      </c>
      <c r="BF387" s="4">
        <f t="shared" si="1128"/>
        <v>651.82888989566936</v>
      </c>
      <c r="BH387" s="4">
        <f t="shared" si="1129"/>
        <v>1383.3109930050441</v>
      </c>
      <c r="BI387" s="4">
        <f t="shared" si="1067"/>
        <v>0</v>
      </c>
      <c r="BJ387" s="4">
        <f t="shared" si="1130"/>
        <v>0</v>
      </c>
      <c r="BR387" s="4">
        <f t="shared" si="1271"/>
        <v>67.309999999999988</v>
      </c>
      <c r="BV387" s="9"/>
      <c r="BX387" s="9"/>
      <c r="BY387" s="9"/>
      <c r="BZ387" s="9">
        <f t="shared" si="1272"/>
        <v>67.309999999999988</v>
      </c>
      <c r="CA387" s="9">
        <f t="shared" si="1273"/>
        <v>83.184999999999988</v>
      </c>
      <c r="CB387" s="9">
        <f t="shared" si="1087"/>
        <v>2.1255814085673048</v>
      </c>
      <c r="CC387" s="40">
        <f t="shared" si="1299"/>
        <v>20</v>
      </c>
      <c r="CD387" s="9">
        <f t="shared" si="1274"/>
        <v>0.05</v>
      </c>
      <c r="CE387" s="9">
        <f t="shared" si="1275"/>
        <v>0.8</v>
      </c>
      <c r="CF387" s="9">
        <f t="shared" si="1276"/>
        <v>1</v>
      </c>
      <c r="CG387" s="9">
        <f t="shared" si="1277"/>
        <v>0.68</v>
      </c>
      <c r="CH387" s="9">
        <f t="shared" si="1088"/>
        <v>2.0757770792545673</v>
      </c>
      <c r="CI387" s="9">
        <f t="shared" si="1089"/>
        <v>5.1894426981364186</v>
      </c>
      <c r="CJ387" s="40">
        <v>1</v>
      </c>
      <c r="CK387" s="9">
        <f t="shared" si="1090"/>
        <v>448.53391128532689</v>
      </c>
      <c r="CM387" s="4">
        <f t="shared" si="1278"/>
        <v>2.3986355660050145</v>
      </c>
      <c r="CN387" s="4">
        <f t="shared" si="1279"/>
        <v>0.48120655876859975</v>
      </c>
      <c r="CO387" s="4">
        <f t="shared" si="1242"/>
        <v>1.1162227053376048</v>
      </c>
      <c r="CP387" s="4">
        <f t="shared" si="1280"/>
        <v>1.6221431392145302</v>
      </c>
      <c r="CQ387" s="4">
        <f t="shared" si="1189"/>
        <v>0.75899280575539563</v>
      </c>
      <c r="CR387" s="4">
        <f t="shared" si="1190"/>
        <v>0.77281597321579087</v>
      </c>
      <c r="CS387" s="4">
        <f t="shared" si="1243"/>
        <v>1.3703241283774616</v>
      </c>
      <c r="CT387" s="4">
        <f t="shared" si="1300"/>
        <v>4</v>
      </c>
      <c r="DA387" s="4">
        <f t="shared" ref="DA387:DB390" si="1325">CM387</f>
        <v>2.3986355660050145</v>
      </c>
      <c r="DB387" s="4">
        <f t="shared" si="1325"/>
        <v>0.48120655876859975</v>
      </c>
      <c r="DC387" s="4">
        <f t="shared" ref="DC387:DC390" si="1326">CP387</f>
        <v>1.6221431392145302</v>
      </c>
      <c r="DD387" s="4">
        <f t="shared" ref="DD387:DD390" si="1327">CS387</f>
        <v>1.3703241283774616</v>
      </c>
      <c r="DE387" s="4">
        <f t="shared" ref="DE387:DF390" si="1328">CQ387</f>
        <v>0.75899280575539563</v>
      </c>
      <c r="DF387" s="4">
        <f t="shared" si="1328"/>
        <v>0.77281597321579087</v>
      </c>
      <c r="DI387" s="4">
        <f t="shared" si="1285"/>
        <v>104.90199999999999</v>
      </c>
      <c r="DL387" s="4">
        <f t="shared" si="1166"/>
        <v>1.5814970357900817E-5</v>
      </c>
      <c r="DM387" s="4">
        <f t="shared" si="1313"/>
        <v>14.719357433866572</v>
      </c>
      <c r="DN387" s="4">
        <f t="shared" si="1167"/>
        <v>0.29946491485347015</v>
      </c>
      <c r="DO387" s="4">
        <f t="shared" si="1168"/>
        <v>9.0871402447161813</v>
      </c>
      <c r="DP387" s="4">
        <f t="shared" si="1169"/>
        <v>12.233585041549734</v>
      </c>
      <c r="DQ387" s="4">
        <f t="shared" si="1170"/>
        <v>14.23633445769425</v>
      </c>
      <c r="DR387" s="38">
        <f t="shared" si="1183"/>
        <v>958.62068965517244</v>
      </c>
      <c r="DS387" s="4">
        <f t="shared" si="1095"/>
        <v>1</v>
      </c>
      <c r="DT387" s="4">
        <f t="shared" si="1171"/>
        <v>2.2360679774997898</v>
      </c>
      <c r="DU387" s="4">
        <f t="shared" si="1103"/>
        <v>659.70205470310782</v>
      </c>
      <c r="DY387" s="4">
        <f t="shared" si="1037"/>
        <v>0.85</v>
      </c>
      <c r="DZ387" s="4">
        <f t="shared" si="1096"/>
        <v>0.7</v>
      </c>
      <c r="EA387" s="4">
        <f t="shared" si="1184"/>
        <v>0.85899999999999999</v>
      </c>
      <c r="EB387" s="4">
        <f t="shared" si="1097"/>
        <v>0.7</v>
      </c>
      <c r="ED387" s="4">
        <f t="shared" si="1185"/>
        <v>941.4740793580753</v>
      </c>
      <c r="EE387" s="25">
        <f t="shared" si="1186"/>
        <v>649.67753758910442</v>
      </c>
      <c r="EG387" s="4">
        <f t="shared" si="1104"/>
        <v>0.59499999999999997</v>
      </c>
      <c r="EH387" s="4">
        <f t="shared" si="1187"/>
        <v>14.719357433866572</v>
      </c>
      <c r="EK387" s="4">
        <f t="shared" si="1172"/>
        <v>35.497579142809165</v>
      </c>
      <c r="EL387" s="4">
        <f t="shared" si="1173"/>
        <v>2.2360679774997898</v>
      </c>
      <c r="EM387" s="4">
        <f t="shared" si="1174"/>
        <v>0.1428186647751607</v>
      </c>
      <c r="EP387" s="4">
        <f t="shared" si="1301"/>
        <v>0.1428186647751607</v>
      </c>
      <c r="EQ387" s="4">
        <f t="shared" si="1257"/>
        <v>0.29896516372325277</v>
      </c>
      <c r="ER387" s="4">
        <f t="shared" si="1314"/>
        <v>9.0810713077723939</v>
      </c>
      <c r="ES387" s="4">
        <f t="shared" si="1286"/>
        <v>12.231339852740703</v>
      </c>
      <c r="ET387" s="4">
        <f t="shared" si="1315"/>
        <v>43.178920857190825</v>
      </c>
      <c r="EU387" s="4">
        <f t="shared" si="1316"/>
        <v>26.22549999999999</v>
      </c>
      <c r="EV387" s="4">
        <f t="shared" si="1098"/>
        <v>1.5814970357900814E-5</v>
      </c>
      <c r="EW387" s="4">
        <f t="shared" si="1287"/>
        <v>14.236479009511338</v>
      </c>
      <c r="EX387" s="4">
        <f t="shared" si="1131"/>
        <v>958.62068965517244</v>
      </c>
      <c r="FG387" s="23">
        <f t="shared" ref="FG387:FH449" si="1329">IF(CM387&lt;0.6,0.6,IF(CM387&lt;0.8,0.8,IF(CM387&lt;1,1,IF(CM387&lt;1.2,1.2,IF(CM387&lt;1.4,1.4,IF(CM387&lt;1.6,1.6,IF(CM387&lt;1.8,1.8,IF(CM387&lt;2,2,2.2))))))))</f>
        <v>2.2000000000000002</v>
      </c>
      <c r="FH387" s="23">
        <f t="shared" si="1329"/>
        <v>0.6</v>
      </c>
      <c r="FI387" s="23">
        <f t="shared" si="1248"/>
        <v>1.4</v>
      </c>
      <c r="FJ387" s="23">
        <f t="shared" ref="FJ387:FL449" si="1330">IF(CP387&lt;0.6,0.6,IF(CP387&lt;0.8,0.8,IF(CP387&lt;1,1,IF(CP387&lt;1.2,1.2,IF(CP387&lt;1.4,1.4,IF(CP387&lt;1.6,1.6,IF(CP387&lt;1.8,1.8,IF(CP387&lt;2,2,2.2))))))))</f>
        <v>1.8</v>
      </c>
      <c r="FK387" s="23">
        <f t="shared" si="1330"/>
        <v>0.8</v>
      </c>
      <c r="FL387" s="23">
        <f t="shared" si="1330"/>
        <v>0.8</v>
      </c>
      <c r="FM387" s="23">
        <f t="shared" si="1195"/>
        <v>1</v>
      </c>
      <c r="FN387" s="23"/>
      <c r="FX387" s="4">
        <f t="shared" si="1099"/>
        <v>1</v>
      </c>
      <c r="FY387" s="4">
        <f t="shared" si="1139"/>
        <v>0.46358941059918601</v>
      </c>
      <c r="FZ387" s="4">
        <f t="shared" si="1100"/>
        <v>0.3</v>
      </c>
      <c r="GA387" s="4">
        <f t="shared" si="1101"/>
        <v>530.95920288439595</v>
      </c>
    </row>
    <row r="388" spans="1:183" ht="12" hidden="1" customHeight="1" x14ac:dyDescent="0.3">
      <c r="A388" s="25">
        <v>370</v>
      </c>
      <c r="B388" s="4" t="s">
        <v>605</v>
      </c>
      <c r="C388" s="4">
        <v>2016</v>
      </c>
      <c r="D388" s="4" t="s">
        <v>309</v>
      </c>
      <c r="E388" s="24" t="s">
        <v>674</v>
      </c>
      <c r="F388" s="7" t="s">
        <v>536</v>
      </c>
      <c r="G388" s="38">
        <f t="shared" si="1262"/>
        <v>958.62068965517244</v>
      </c>
      <c r="H388" s="38">
        <f>4.09*25.4</f>
        <v>103.886</v>
      </c>
      <c r="I388" s="4">
        <f t="shared" si="1288"/>
        <v>103.886</v>
      </c>
      <c r="J388" s="38">
        <f t="shared" si="1321"/>
        <v>76.068965517241381</v>
      </c>
      <c r="K388" s="38">
        <f t="shared" si="1264"/>
        <v>15.875</v>
      </c>
      <c r="L388" s="7">
        <f t="shared" si="1289"/>
        <v>6.5439999999999996</v>
      </c>
      <c r="M388" s="7">
        <f t="shared" si="1290"/>
        <v>6.5439999999999996</v>
      </c>
      <c r="N388" s="38">
        <f t="shared" si="1317"/>
        <v>332.73999999999995</v>
      </c>
      <c r="O388" s="38">
        <f>2.6*25.4</f>
        <v>66.039999999999992</v>
      </c>
      <c r="P388" s="39">
        <f>5.15*25.4</f>
        <v>130.81</v>
      </c>
      <c r="Q388" s="7">
        <f t="shared" si="1291"/>
        <v>168.90999999999997</v>
      </c>
      <c r="R388" s="38">
        <v>2</v>
      </c>
      <c r="S388" s="4">
        <f t="shared" si="1258"/>
        <v>133.35</v>
      </c>
      <c r="T388" s="7">
        <f t="shared" si="1292"/>
        <v>4.6599999999999993</v>
      </c>
      <c r="U388" s="7">
        <f t="shared" si="1127"/>
        <v>4.6599999999999993</v>
      </c>
      <c r="V388" s="38">
        <v>13.1</v>
      </c>
      <c r="W388" s="4">
        <f t="shared" si="1293"/>
        <v>13.1</v>
      </c>
      <c r="X388" s="4">
        <f t="shared" si="1294"/>
        <v>14.1</v>
      </c>
      <c r="Y388" s="7">
        <f t="shared" si="1295"/>
        <v>59.610572153771514</v>
      </c>
      <c r="AB388" s="38">
        <f t="shared" si="1038"/>
        <v>807.58620689655174</v>
      </c>
      <c r="AC388" s="4">
        <v>117.1</v>
      </c>
      <c r="AD388" s="4">
        <f t="shared" si="1159"/>
        <v>0.8904869210020433</v>
      </c>
      <c r="AE388" s="38">
        <f t="shared" si="1323"/>
        <v>9.5249999999999986</v>
      </c>
      <c r="AF388" s="38">
        <v>4</v>
      </c>
      <c r="AG388" s="39">
        <f>3.5*25.4</f>
        <v>88.899999999999991</v>
      </c>
      <c r="AH388" s="39">
        <v>2</v>
      </c>
      <c r="AI388" s="39">
        <f t="shared" si="1324"/>
        <v>1</v>
      </c>
      <c r="AJ388" s="7"/>
      <c r="AK388" s="4">
        <f t="shared" si="1297"/>
        <v>103.886</v>
      </c>
      <c r="AL388" s="4">
        <f t="shared" si="1175"/>
        <v>1.0676446617766908</v>
      </c>
      <c r="AM388" s="4">
        <f t="shared" si="1176"/>
        <v>233.28775677272216</v>
      </c>
      <c r="AN388" s="4">
        <f t="shared" si="1177"/>
        <v>0.84242053789731042</v>
      </c>
      <c r="AO388" s="4">
        <v>1.25</v>
      </c>
      <c r="AP388" s="4">
        <f t="shared" si="1112"/>
        <v>2.5</v>
      </c>
      <c r="AQ388" s="38">
        <f t="shared" si="1266"/>
        <v>655.68862261712218</v>
      </c>
      <c r="AR388" s="38">
        <f t="shared" si="1178"/>
        <v>655.68862261712218</v>
      </c>
      <c r="AS388" s="38">
        <f t="shared" si="1179"/>
        <v>4.7518593634836064</v>
      </c>
      <c r="AT388" s="38">
        <f t="shared" si="1121"/>
        <v>655.68862261712229</v>
      </c>
      <c r="AU388" s="38">
        <f t="shared" si="1086"/>
        <v>0.99999999999999978</v>
      </c>
      <c r="AV388" s="38">
        <f t="shared" si="1249"/>
        <v>3.9134647150757931</v>
      </c>
      <c r="AW388" s="4">
        <f t="shared" si="1230"/>
        <v>0</v>
      </c>
      <c r="AX388" s="4">
        <f t="shared" si="1298"/>
        <v>300.39551540561445</v>
      </c>
      <c r="AY388" s="4">
        <f t="shared" si="1267"/>
        <v>1</v>
      </c>
      <c r="AZ388" s="38">
        <f t="shared" si="1102"/>
        <v>2566.0142886887556</v>
      </c>
      <c r="BA388" s="4">
        <f t="shared" si="1268"/>
        <v>0.3</v>
      </c>
      <c r="BB388" s="4">
        <f t="shared" si="1269"/>
        <v>47.086997039830067</v>
      </c>
      <c r="BC388" s="4">
        <f t="shared" si="1270"/>
        <v>2613.1012857285859</v>
      </c>
      <c r="BE388" s="4">
        <f t="shared" si="1122"/>
        <v>1.5</v>
      </c>
      <c r="BF388" s="4">
        <f t="shared" si="1128"/>
        <v>649.31702519472265</v>
      </c>
      <c r="BH388" s="4">
        <f t="shared" si="1129"/>
        <v>2461.1215059519318</v>
      </c>
      <c r="BI388" s="4">
        <f t="shared" si="1067"/>
        <v>0</v>
      </c>
      <c r="BJ388" s="4">
        <f t="shared" si="1130"/>
        <v>0</v>
      </c>
      <c r="BR388" s="4">
        <f t="shared" si="1271"/>
        <v>66.039999999999992</v>
      </c>
      <c r="BV388" s="9"/>
      <c r="BX388" s="9"/>
      <c r="BY388" s="9"/>
      <c r="BZ388" s="9">
        <f t="shared" si="1272"/>
        <v>66.039999999999992</v>
      </c>
      <c r="CA388" s="9">
        <f t="shared" si="1273"/>
        <v>84.454999999999984</v>
      </c>
      <c r="CB388" s="9">
        <f t="shared" si="1087"/>
        <v>2.116261887080392</v>
      </c>
      <c r="CC388" s="40">
        <f t="shared" si="1299"/>
        <v>20</v>
      </c>
      <c r="CD388" s="9">
        <f t="shared" si="1274"/>
        <v>0.05</v>
      </c>
      <c r="CE388" s="9">
        <f t="shared" si="1275"/>
        <v>0.8</v>
      </c>
      <c r="CF388" s="9">
        <f t="shared" si="1276"/>
        <v>1</v>
      </c>
      <c r="CG388" s="9">
        <f t="shared" si="1277"/>
        <v>0.68</v>
      </c>
      <c r="CH388" s="9">
        <f t="shared" si="1088"/>
        <v>2.0757770792545673</v>
      </c>
      <c r="CI388" s="9">
        <f t="shared" si="1089"/>
        <v>5.1894426981364186</v>
      </c>
      <c r="CJ388" s="40">
        <v>1</v>
      </c>
      <c r="CK388" s="9">
        <f t="shared" si="1090"/>
        <v>447.20541395460401</v>
      </c>
      <c r="CM388" s="4">
        <f t="shared" si="1278"/>
        <v>2.6884096648583249</v>
      </c>
      <c r="CN388" s="4">
        <f t="shared" si="1279"/>
        <v>0.30905277621926552</v>
      </c>
      <c r="CO388" s="4">
        <f t="shared" si="1242"/>
        <v>1.2437471613413587</v>
      </c>
      <c r="CP388" s="4">
        <f t="shared" si="1280"/>
        <v>1.8058506934321912</v>
      </c>
      <c r="CQ388" s="4">
        <f t="shared" si="1189"/>
        <v>0.8904869210020433</v>
      </c>
      <c r="CR388" s="4">
        <f t="shared" si="1190"/>
        <v>0.86413021470864393</v>
      </c>
      <c r="CS388" s="4">
        <f t="shared" si="1243"/>
        <v>1.5358700933690845</v>
      </c>
      <c r="CT388" s="4">
        <f t="shared" si="1300"/>
        <v>4</v>
      </c>
      <c r="DA388" s="4">
        <f t="shared" si="1325"/>
        <v>2.6884096648583249</v>
      </c>
      <c r="DB388" s="4">
        <f t="shared" si="1325"/>
        <v>0.30905277621926552</v>
      </c>
      <c r="DC388" s="4">
        <f t="shared" si="1326"/>
        <v>1.8058506934321912</v>
      </c>
      <c r="DD388" s="4">
        <f t="shared" si="1327"/>
        <v>1.5358700933690845</v>
      </c>
      <c r="DE388" s="4">
        <f t="shared" si="1328"/>
        <v>0.8904869210020433</v>
      </c>
      <c r="DF388" s="4">
        <f t="shared" si="1328"/>
        <v>0.86413021470864393</v>
      </c>
      <c r="DI388" s="4">
        <f t="shared" si="1285"/>
        <v>103.886</v>
      </c>
      <c r="DL388" s="4">
        <f t="shared" si="1166"/>
        <v>1.5661798732158438E-5</v>
      </c>
      <c r="DM388" s="4">
        <f t="shared" si="1313"/>
        <v>14.719357433866572</v>
      </c>
      <c r="DN388" s="4">
        <f t="shared" si="1167"/>
        <v>0.1526191424725388</v>
      </c>
      <c r="DO388" s="4">
        <f t="shared" si="1168"/>
        <v>6.9395683100342502</v>
      </c>
      <c r="DP388" s="4">
        <f t="shared" si="1169"/>
        <v>11.514679402936299</v>
      </c>
      <c r="DQ388" s="4">
        <f t="shared" si="1170"/>
        <v>14.345562691705661</v>
      </c>
      <c r="DR388" s="38">
        <f t="shared" si="1183"/>
        <v>906.90406321498199</v>
      </c>
      <c r="DS388" s="4">
        <f t="shared" si="1095"/>
        <v>1.0000827628700382</v>
      </c>
      <c r="DT388" s="4">
        <f t="shared" si="1171"/>
        <v>3.7549966711037173</v>
      </c>
      <c r="DU388" s="4">
        <f t="shared" si="1103"/>
        <v>655.68862261712229</v>
      </c>
      <c r="DY388" s="4">
        <f t="shared" ref="DY388:DY449" si="1331">IF(P388&gt;1*K388,0.85,1)</f>
        <v>0.85</v>
      </c>
      <c r="DZ388" s="4">
        <f t="shared" si="1096"/>
        <v>0.7</v>
      </c>
      <c r="EA388" s="4">
        <f t="shared" si="1184"/>
        <v>0.85899999999999999</v>
      </c>
      <c r="EB388" s="4">
        <f t="shared" si="1097"/>
        <v>0.7</v>
      </c>
      <c r="ED388" s="4">
        <f t="shared" si="1185"/>
        <v>934.56540825718389</v>
      </c>
      <c r="EE388" s="25">
        <f t="shared" si="1186"/>
        <v>645.59498311551533</v>
      </c>
      <c r="EG388" s="4">
        <f t="shared" si="1104"/>
        <v>0.59499999999999997</v>
      </c>
      <c r="EH388" s="4">
        <f t="shared" si="1187"/>
        <v>14.719357433866572</v>
      </c>
      <c r="EK388" s="4">
        <f t="shared" si="1172"/>
        <v>59.610572153771514</v>
      </c>
      <c r="EL388" s="4">
        <f t="shared" si="1173"/>
        <v>3.7549966711037173</v>
      </c>
      <c r="EM388" s="4">
        <f t="shared" si="1174"/>
        <v>7.2786029567848812E-2</v>
      </c>
      <c r="EP388" s="4">
        <f t="shared" si="1301"/>
        <v>7.2786029567848812E-2</v>
      </c>
      <c r="EQ388" s="4">
        <f t="shared" si="1257"/>
        <v>0.15236444956809359</v>
      </c>
      <c r="ER388" s="4">
        <f t="shared" si="1314"/>
        <v>6.9349336503551298</v>
      </c>
      <c r="ES388" s="4">
        <f t="shared" si="1286"/>
        <v>11.513304002340247</v>
      </c>
      <c r="ET388" s="4">
        <f t="shared" si="1315"/>
        <v>18.30392784622849</v>
      </c>
      <c r="EU388" s="4">
        <f t="shared" si="1316"/>
        <v>25.971499999999992</v>
      </c>
      <c r="EV388" s="4">
        <f t="shared" si="1098"/>
        <v>1.5661798732158435E-5</v>
      </c>
      <c r="EW388" s="4">
        <f t="shared" si="1287"/>
        <v>14.345700851991321</v>
      </c>
      <c r="EX388" s="4">
        <f t="shared" si="1131"/>
        <v>906.82901144336097</v>
      </c>
      <c r="FG388" s="23">
        <f t="shared" si="1329"/>
        <v>2.2000000000000002</v>
      </c>
      <c r="FH388" s="23">
        <f t="shared" si="1329"/>
        <v>0.6</v>
      </c>
      <c r="FI388" s="23">
        <f t="shared" si="1248"/>
        <v>1.6</v>
      </c>
      <c r="FJ388" s="23">
        <f t="shared" si="1330"/>
        <v>2</v>
      </c>
      <c r="FK388" s="23">
        <f t="shared" si="1330"/>
        <v>1</v>
      </c>
      <c r="FL388" s="23">
        <f t="shared" si="1330"/>
        <v>1</v>
      </c>
      <c r="FM388" s="23">
        <f t="shared" si="1195"/>
        <v>0</v>
      </c>
      <c r="FN388" s="23"/>
      <c r="FX388" s="4">
        <f t="shared" si="1099"/>
        <v>1</v>
      </c>
      <c r="FY388" s="4">
        <f t="shared" si="1139"/>
        <v>0.46358941059918601</v>
      </c>
      <c r="FZ388" s="4">
        <f t="shared" si="1100"/>
        <v>0.3</v>
      </c>
      <c r="GA388" s="4">
        <f t="shared" si="1101"/>
        <v>525.81674087098781</v>
      </c>
    </row>
    <row r="389" spans="1:183" ht="12" hidden="1" customHeight="1" x14ac:dyDescent="0.3">
      <c r="A389" s="25">
        <v>371</v>
      </c>
      <c r="B389" s="4" t="s">
        <v>605</v>
      </c>
      <c r="C389" s="4">
        <v>2016</v>
      </c>
      <c r="D389" s="4" t="s">
        <v>309</v>
      </c>
      <c r="E389" s="24" t="s">
        <v>674</v>
      </c>
      <c r="F389" s="7" t="s">
        <v>537</v>
      </c>
      <c r="G389" s="38">
        <f t="shared" si="1262"/>
        <v>958.62068965517244</v>
      </c>
      <c r="H389" s="38">
        <f>4.22*25.4</f>
        <v>107.18799999999999</v>
      </c>
      <c r="I389" s="4">
        <f t="shared" si="1288"/>
        <v>107.18799999999999</v>
      </c>
      <c r="J389" s="38">
        <f t="shared" si="1321"/>
        <v>76.068965517241381</v>
      </c>
      <c r="K389" s="38">
        <f t="shared" si="1264"/>
        <v>15.875</v>
      </c>
      <c r="L389" s="7">
        <f t="shared" si="1289"/>
        <v>6.7519999999999989</v>
      </c>
      <c r="M389" s="7">
        <f t="shared" si="1290"/>
        <v>6.7519999999999989</v>
      </c>
      <c r="N389" s="38">
        <f t="shared" si="1317"/>
        <v>332.73999999999995</v>
      </c>
      <c r="O389" s="38">
        <f>2.55*25.4</f>
        <v>64.77</v>
      </c>
      <c r="P389" s="39">
        <f>4.8*25.4</f>
        <v>121.91999999999999</v>
      </c>
      <c r="Q389" s="7">
        <f t="shared" si="1291"/>
        <v>171.44999999999996</v>
      </c>
      <c r="R389" s="38">
        <v>2</v>
      </c>
      <c r="S389" s="4">
        <f t="shared" si="1258"/>
        <v>133.35</v>
      </c>
      <c r="T389" s="7">
        <f t="shared" si="1292"/>
        <v>4.58</v>
      </c>
      <c r="U389" s="7">
        <f t="shared" si="1127"/>
        <v>4.58</v>
      </c>
      <c r="V389" s="38">
        <v>4</v>
      </c>
      <c r="W389" s="4">
        <f t="shared" si="1293"/>
        <v>4</v>
      </c>
      <c r="X389" s="4">
        <f t="shared" si="1294"/>
        <v>5</v>
      </c>
      <c r="Y389" s="7">
        <f t="shared" si="1295"/>
        <v>35.497579142809165</v>
      </c>
      <c r="AB389" s="38">
        <f t="shared" ref="AB389:AB449" si="1332">AC389/0.145</f>
        <v>865.51724137931035</v>
      </c>
      <c r="AC389" s="4">
        <v>125.5</v>
      </c>
      <c r="AD389" s="4">
        <f t="shared" si="1159"/>
        <v>0.90287769784172656</v>
      </c>
      <c r="AE389" s="38">
        <f t="shared" si="1323"/>
        <v>9.5249999999999986</v>
      </c>
      <c r="AF389" s="38">
        <v>10</v>
      </c>
      <c r="AG389" s="39">
        <f>1.75*25.4</f>
        <v>44.449999999999996</v>
      </c>
      <c r="AH389" s="39">
        <v>3</v>
      </c>
      <c r="AI389" s="39">
        <f t="shared" si="1324"/>
        <v>2</v>
      </c>
      <c r="AJ389" s="7"/>
      <c r="AK389" s="4">
        <f t="shared" si="1297"/>
        <v>107.18799999999999</v>
      </c>
      <c r="AL389" s="4">
        <f t="shared" si="1175"/>
        <v>1.0347551342812007</v>
      </c>
      <c r="AM389" s="4">
        <f t="shared" si="1176"/>
        <v>244.49819737031095</v>
      </c>
      <c r="AN389" s="4">
        <f t="shared" si="1177"/>
        <v>0.83566350710900472</v>
      </c>
      <c r="AO389" s="4">
        <v>1.25</v>
      </c>
      <c r="AP389" s="4">
        <f t="shared" si="1112"/>
        <v>2.5</v>
      </c>
      <c r="AQ389" s="38">
        <f t="shared" si="1266"/>
        <v>660.68540095813057</v>
      </c>
      <c r="AR389" s="38">
        <f t="shared" si="1178"/>
        <v>660.68540095813057</v>
      </c>
      <c r="AS389" s="38">
        <f t="shared" si="1179"/>
        <v>4.7518593634836064</v>
      </c>
      <c r="AT389" s="38">
        <f t="shared" si="1121"/>
        <v>660.6854009581308</v>
      </c>
      <c r="AU389" s="38">
        <f t="shared" si="1086"/>
        <v>0.99999999999999967</v>
      </c>
      <c r="AV389" s="38">
        <f t="shared" si="1249"/>
        <v>2.1092995944134336</v>
      </c>
      <c r="AW389" s="4">
        <f t="shared" si="1230"/>
        <v>0</v>
      </c>
      <c r="AX389" s="4">
        <f t="shared" si="1298"/>
        <v>309.94353912266331</v>
      </c>
      <c r="AY389" s="4">
        <f t="shared" si="1267"/>
        <v>1</v>
      </c>
      <c r="AZ389" s="38">
        <f t="shared" si="1102"/>
        <v>1393.5834482758621</v>
      </c>
      <c r="BA389" s="4">
        <f t="shared" si="1268"/>
        <v>0.44000000000000006</v>
      </c>
      <c r="BB389" s="4">
        <f t="shared" si="1269"/>
        <v>71.256019644300309</v>
      </c>
      <c r="BC389" s="4">
        <f t="shared" si="1270"/>
        <v>1464.8394679201624</v>
      </c>
      <c r="BE389" s="4">
        <f t="shared" si="1122"/>
        <v>1.5</v>
      </c>
      <c r="BF389" s="4">
        <f t="shared" si="1128"/>
        <v>657.48058547279948</v>
      </c>
      <c r="BH389" s="4">
        <f t="shared" si="1129"/>
        <v>1336.6169510470681</v>
      </c>
      <c r="BI389" s="4">
        <f t="shared" si="1067"/>
        <v>0</v>
      </c>
      <c r="BJ389" s="4">
        <f t="shared" si="1130"/>
        <v>0</v>
      </c>
      <c r="BR389" s="4">
        <f t="shared" si="1271"/>
        <v>64.77</v>
      </c>
      <c r="BV389" s="9"/>
      <c r="BX389" s="9"/>
      <c r="BY389" s="9"/>
      <c r="BZ389" s="9">
        <f t="shared" si="1272"/>
        <v>64.77</v>
      </c>
      <c r="CA389" s="9">
        <f t="shared" si="1273"/>
        <v>85.72499999999998</v>
      </c>
      <c r="CB389" s="9">
        <f t="shared" si="1087"/>
        <v>2.1066390052415969</v>
      </c>
      <c r="CC389" s="40">
        <f t="shared" si="1299"/>
        <v>20</v>
      </c>
      <c r="CD389" s="9">
        <f t="shared" si="1274"/>
        <v>0.05</v>
      </c>
      <c r="CE389" s="9">
        <f t="shared" si="1275"/>
        <v>0.8</v>
      </c>
      <c r="CF389" s="9">
        <f t="shared" si="1276"/>
        <v>1</v>
      </c>
      <c r="CG389" s="9">
        <f t="shared" si="1277"/>
        <v>0.68</v>
      </c>
      <c r="CH389" s="9">
        <f t="shared" si="1088"/>
        <v>2.0757770792545673</v>
      </c>
      <c r="CI389" s="9">
        <f t="shared" si="1089"/>
        <v>5.1894426981364186</v>
      </c>
      <c r="CJ389" s="40">
        <v>1</v>
      </c>
      <c r="CK389" s="9">
        <f t="shared" si="1090"/>
        <v>451.52303027945345</v>
      </c>
      <c r="CM389" s="4">
        <f t="shared" si="1278"/>
        <v>2.7924997043954289</v>
      </c>
      <c r="CN389" s="4">
        <f t="shared" si="1279"/>
        <v>0.5908614973408699</v>
      </c>
      <c r="CO389" s="4">
        <f t="shared" si="1242"/>
        <v>1.3164149033494428</v>
      </c>
      <c r="CP389" s="4">
        <f t="shared" si="1280"/>
        <v>1.9168839313547983</v>
      </c>
      <c r="CQ389" s="4">
        <f t="shared" si="1189"/>
        <v>0.90287769784172656</v>
      </c>
      <c r="CR389" s="4">
        <f t="shared" si="1190"/>
        <v>0.91208253125064931</v>
      </c>
      <c r="CS389" s="4">
        <f t="shared" si="1243"/>
        <v>1.5953360225510751</v>
      </c>
      <c r="CT389" s="4">
        <f t="shared" si="1300"/>
        <v>10</v>
      </c>
      <c r="DA389" s="4">
        <f t="shared" si="1325"/>
        <v>2.7924997043954289</v>
      </c>
      <c r="DB389" s="4">
        <f t="shared" si="1325"/>
        <v>0.5908614973408699</v>
      </c>
      <c r="DC389" s="4">
        <f t="shared" si="1326"/>
        <v>1.9168839313547983</v>
      </c>
      <c r="DD389" s="4">
        <f t="shared" si="1327"/>
        <v>1.5953360225510751</v>
      </c>
      <c r="DE389" s="4">
        <f t="shared" si="1328"/>
        <v>0.90287769784172656</v>
      </c>
      <c r="DF389" s="4">
        <f t="shared" si="1328"/>
        <v>0.91208253125064931</v>
      </c>
      <c r="DI389" s="4">
        <f t="shared" si="1285"/>
        <v>107.18799999999999</v>
      </c>
      <c r="DL389" s="4">
        <f t="shared" si="1166"/>
        <v>1.6159606515821178E-5</v>
      </c>
      <c r="DM389" s="4">
        <f t="shared" si="1313"/>
        <v>14.719357433866572</v>
      </c>
      <c r="DN389" s="4">
        <f t="shared" si="1167"/>
        <v>0.29991129470090672</v>
      </c>
      <c r="DO389" s="4">
        <f t="shared" si="1168"/>
        <v>9.0925559092864905</v>
      </c>
      <c r="DP389" s="4">
        <f t="shared" si="1169"/>
        <v>12.235589502750088</v>
      </c>
      <c r="DQ389" s="4">
        <f t="shared" si="1170"/>
        <v>14.213904064637124</v>
      </c>
      <c r="DR389" s="38">
        <f t="shared" si="1183"/>
        <v>958.62068965517244</v>
      </c>
      <c r="DS389" s="4">
        <f t="shared" si="1095"/>
        <v>1</v>
      </c>
      <c r="DT389" s="4">
        <f t="shared" si="1171"/>
        <v>2.2360679774997898</v>
      </c>
      <c r="DU389" s="4">
        <f t="shared" si="1103"/>
        <v>660.6854009581308</v>
      </c>
      <c r="DY389" s="4">
        <f t="shared" si="1331"/>
        <v>0.85</v>
      </c>
      <c r="DZ389" s="4">
        <f t="shared" si="1096"/>
        <v>0.7</v>
      </c>
      <c r="EA389" s="4">
        <f t="shared" si="1184"/>
        <v>0.7</v>
      </c>
      <c r="EB389" s="4">
        <f t="shared" si="1097"/>
        <v>0.7</v>
      </c>
      <c r="ED389" s="4">
        <f t="shared" si="1185"/>
        <v>948.94618822762834</v>
      </c>
      <c r="EE389" s="25">
        <f t="shared" si="1186"/>
        <v>650.79088404722711</v>
      </c>
      <c r="EG389" s="4">
        <f t="shared" si="1104"/>
        <v>0.59499999999999997</v>
      </c>
      <c r="EH389" s="4">
        <f t="shared" si="1187"/>
        <v>14.719357433866572</v>
      </c>
      <c r="EK389" s="4">
        <f t="shared" si="1172"/>
        <v>35.497579142809165</v>
      </c>
      <c r="EL389" s="4">
        <f t="shared" si="1173"/>
        <v>2.2360679774997898</v>
      </c>
      <c r="EM389" s="4">
        <f t="shared" si="1174"/>
        <v>0.14303154905853199</v>
      </c>
      <c r="EP389" s="4">
        <f t="shared" si="1301"/>
        <v>0.14303154905853199</v>
      </c>
      <c r="EQ389" s="4">
        <f t="shared" si="1257"/>
        <v>0.2994107986459178</v>
      </c>
      <c r="ER389" s="4">
        <f t="shared" si="1314"/>
        <v>9.0864833554372844</v>
      </c>
      <c r="ES389" s="4">
        <f t="shared" si="1286"/>
        <v>12.233341972668274</v>
      </c>
      <c r="ET389" s="4">
        <f t="shared" si="1315"/>
        <v>44.893420857190826</v>
      </c>
      <c r="EU389" s="4">
        <f t="shared" si="1316"/>
        <v>26.79699999999999</v>
      </c>
      <c r="EV389" s="4">
        <f t="shared" si="1098"/>
        <v>1.6159606515821174E-5</v>
      </c>
      <c r="EW389" s="4">
        <f t="shared" si="1287"/>
        <v>14.214053657013384</v>
      </c>
      <c r="EX389" s="4">
        <f t="shared" si="1131"/>
        <v>958.62068965517244</v>
      </c>
      <c r="FG389" s="23">
        <f t="shared" si="1329"/>
        <v>2.2000000000000002</v>
      </c>
      <c r="FH389" s="23">
        <f t="shared" si="1329"/>
        <v>0.6</v>
      </c>
      <c r="FI389" s="23">
        <f t="shared" si="1248"/>
        <v>1.6</v>
      </c>
      <c r="FJ389" s="23">
        <f t="shared" si="1330"/>
        <v>2</v>
      </c>
      <c r="FK389" s="23">
        <f t="shared" si="1330"/>
        <v>1</v>
      </c>
      <c r="FL389" s="23">
        <f t="shared" si="1330"/>
        <v>1</v>
      </c>
      <c r="FM389" s="23">
        <f t="shared" si="1195"/>
        <v>0</v>
      </c>
      <c r="FN389" s="23"/>
      <c r="FX389" s="4">
        <f t="shared" si="1099"/>
        <v>1</v>
      </c>
      <c r="FY389" s="4">
        <f t="shared" si="1139"/>
        <v>0.46358941059918601</v>
      </c>
      <c r="FZ389" s="4">
        <f t="shared" si="1100"/>
        <v>0.3</v>
      </c>
      <c r="GA389" s="4">
        <f t="shared" si="1101"/>
        <v>542.52974241456434</v>
      </c>
    </row>
    <row r="390" spans="1:183" ht="12" hidden="1" customHeight="1" x14ac:dyDescent="0.3">
      <c r="A390" s="25">
        <v>372</v>
      </c>
      <c r="B390" s="4" t="s">
        <v>605</v>
      </c>
      <c r="C390" s="4">
        <v>2016</v>
      </c>
      <c r="D390" s="4" t="s">
        <v>309</v>
      </c>
      <c r="E390" s="24" t="s">
        <v>674</v>
      </c>
      <c r="F390" s="7" t="s">
        <v>538</v>
      </c>
      <c r="G390" s="38">
        <f t="shared" si="1262"/>
        <v>958.62068965517244</v>
      </c>
      <c r="H390" s="38">
        <f>4.13*25.4</f>
        <v>104.90199999999999</v>
      </c>
      <c r="I390" s="4">
        <f t="shared" si="1288"/>
        <v>104.90199999999999</v>
      </c>
      <c r="J390" s="38">
        <f t="shared" si="1321"/>
        <v>76.068965517241381</v>
      </c>
      <c r="K390" s="38">
        <f t="shared" si="1264"/>
        <v>15.875</v>
      </c>
      <c r="L390" s="7">
        <f t="shared" si="1289"/>
        <v>6.6079999999999988</v>
      </c>
      <c r="M390" s="7">
        <f t="shared" si="1290"/>
        <v>6.6079999999999988</v>
      </c>
      <c r="N390" s="38">
        <f t="shared" si="1317"/>
        <v>332.73999999999995</v>
      </c>
      <c r="O390" s="38">
        <f>2.55*25.4</f>
        <v>64.77</v>
      </c>
      <c r="P390" s="39">
        <f>5*25.4</f>
        <v>127</v>
      </c>
      <c r="Q390" s="7">
        <f t="shared" si="1291"/>
        <v>171.44999999999996</v>
      </c>
      <c r="R390" s="38">
        <v>2</v>
      </c>
      <c r="S390" s="4">
        <f t="shared" si="1258"/>
        <v>133.35</v>
      </c>
      <c r="T390" s="7">
        <f t="shared" si="1292"/>
        <v>4.58</v>
      </c>
      <c r="U390" s="7">
        <f t="shared" si="1127"/>
        <v>4.58</v>
      </c>
      <c r="V390" s="38">
        <v>13.1</v>
      </c>
      <c r="W390" s="4">
        <f t="shared" si="1293"/>
        <v>13.1</v>
      </c>
      <c r="X390" s="4">
        <f t="shared" si="1294"/>
        <v>14.1</v>
      </c>
      <c r="Y390" s="7">
        <f t="shared" si="1295"/>
        <v>59.610572153771514</v>
      </c>
      <c r="AB390" s="38">
        <f t="shared" si="1332"/>
        <v>896.55172413793105</v>
      </c>
      <c r="AC390" s="4">
        <v>130</v>
      </c>
      <c r="AD390" s="4">
        <f t="shared" si="1159"/>
        <v>0.98498574494393953</v>
      </c>
      <c r="AE390" s="38">
        <f t="shared" si="1323"/>
        <v>9.5249999999999986</v>
      </c>
      <c r="AF390" s="38">
        <v>10</v>
      </c>
      <c r="AG390" s="39">
        <f>1.75*25.4</f>
        <v>44.449999999999996</v>
      </c>
      <c r="AH390" s="39">
        <v>3</v>
      </c>
      <c r="AI390" s="39">
        <f t="shared" si="1324"/>
        <v>2</v>
      </c>
      <c r="AJ390" s="7"/>
      <c r="AK390" s="4">
        <f t="shared" si="1297"/>
        <v>104.90199999999999</v>
      </c>
      <c r="AL390" s="4">
        <f t="shared" si="1175"/>
        <v>1.0573042776432606</v>
      </c>
      <c r="AM390" s="4">
        <f t="shared" si="1176"/>
        <v>236.71842498037796</v>
      </c>
      <c r="AN390" s="4">
        <f t="shared" si="1177"/>
        <v>0.83861985472154954</v>
      </c>
      <c r="AO390" s="4">
        <v>1.25</v>
      </c>
      <c r="AP390" s="4">
        <f t="shared" si="1112"/>
        <v>2.5</v>
      </c>
      <c r="AQ390" s="38">
        <f t="shared" si="1266"/>
        <v>655.914472933605</v>
      </c>
      <c r="AR390" s="38">
        <f t="shared" si="1178"/>
        <v>655.914472933605</v>
      </c>
      <c r="AS390" s="38">
        <f t="shared" si="1179"/>
        <v>4.7518593634836064</v>
      </c>
      <c r="AT390" s="38">
        <f t="shared" si="1121"/>
        <v>655.91447293360523</v>
      </c>
      <c r="AU390" s="38">
        <f t="shared" si="1086"/>
        <v>0.99999999999999967</v>
      </c>
      <c r="AV390" s="38">
        <f t="shared" si="1249"/>
        <v>3.8449563857980928</v>
      </c>
      <c r="AW390" s="4">
        <f t="shared" si="1230"/>
        <v>0</v>
      </c>
      <c r="AX390" s="4">
        <f t="shared" si="1298"/>
        <v>303.33336885701408</v>
      </c>
      <c r="AY390" s="4">
        <f t="shared" si="1267"/>
        <v>1</v>
      </c>
      <c r="AZ390" s="38">
        <f t="shared" si="1102"/>
        <v>2521.9625412434557</v>
      </c>
      <c r="BA390" s="4">
        <f t="shared" si="1268"/>
        <v>0.3</v>
      </c>
      <c r="BB390" s="4">
        <f t="shared" si="1269"/>
        <v>47.547505568336966</v>
      </c>
      <c r="BC390" s="4">
        <f t="shared" si="1270"/>
        <v>2569.5100468117926</v>
      </c>
      <c r="BE390" s="4">
        <f t="shared" si="1122"/>
        <v>1.5</v>
      </c>
      <c r="BF390" s="4">
        <f t="shared" si="1128"/>
        <v>651.82888989566936</v>
      </c>
      <c r="BH390" s="4">
        <f t="shared" si="1129"/>
        <v>2418.8704929742166</v>
      </c>
      <c r="BI390" s="4">
        <f t="shared" si="1067"/>
        <v>0</v>
      </c>
      <c r="BJ390" s="4">
        <f t="shared" si="1130"/>
        <v>0</v>
      </c>
      <c r="BR390" s="4">
        <f t="shared" si="1271"/>
        <v>64.77</v>
      </c>
      <c r="BV390" s="9"/>
      <c r="BX390" s="9"/>
      <c r="BY390" s="9"/>
      <c r="BZ390" s="9">
        <f t="shared" si="1272"/>
        <v>64.77</v>
      </c>
      <c r="CA390" s="9">
        <f t="shared" si="1273"/>
        <v>85.72499999999998</v>
      </c>
      <c r="CB390" s="9">
        <f t="shared" si="1087"/>
        <v>2.1066390052415969</v>
      </c>
      <c r="CC390" s="40">
        <f t="shared" si="1299"/>
        <v>20</v>
      </c>
      <c r="CD390" s="9">
        <f t="shared" si="1274"/>
        <v>0.05</v>
      </c>
      <c r="CE390" s="9">
        <f t="shared" si="1275"/>
        <v>0.8</v>
      </c>
      <c r="CF390" s="9">
        <f t="shared" si="1276"/>
        <v>1</v>
      </c>
      <c r="CG390" s="9">
        <f t="shared" si="1277"/>
        <v>0.68</v>
      </c>
      <c r="CH390" s="9">
        <f t="shared" si="1088"/>
        <v>2.0757770792545673</v>
      </c>
      <c r="CI390" s="9">
        <f t="shared" si="1089"/>
        <v>5.1894426981364186</v>
      </c>
      <c r="CJ390" s="40">
        <v>1</v>
      </c>
      <c r="CK390" s="9">
        <f t="shared" si="1090"/>
        <v>448.53391128532689</v>
      </c>
      <c r="CM390" s="4">
        <f t="shared" si="1278"/>
        <v>2.9556646784895912</v>
      </c>
      <c r="CN390" s="4">
        <f t="shared" si="1279"/>
        <v>0.34891933006853126</v>
      </c>
      <c r="CO390" s="4">
        <f t="shared" si="1242"/>
        <v>1.3754403004160058</v>
      </c>
      <c r="CP390" s="4">
        <f t="shared" si="1280"/>
        <v>1.998849365856767</v>
      </c>
      <c r="CQ390" s="4">
        <f t="shared" si="1189"/>
        <v>0.98498574494393953</v>
      </c>
      <c r="CR390" s="4">
        <f t="shared" si="1190"/>
        <v>0.95614243505191698</v>
      </c>
      <c r="CS390" s="4">
        <f t="shared" si="1243"/>
        <v>1.6885510586641708</v>
      </c>
      <c r="CT390" s="4">
        <f t="shared" si="1300"/>
        <v>10</v>
      </c>
      <c r="DA390" s="4">
        <f t="shared" si="1325"/>
        <v>2.9556646784895912</v>
      </c>
      <c r="DB390" s="4">
        <f t="shared" si="1325"/>
        <v>0.34891933006853126</v>
      </c>
      <c r="DC390" s="4">
        <f t="shared" si="1326"/>
        <v>1.998849365856767</v>
      </c>
      <c r="DD390" s="4">
        <f t="shared" si="1327"/>
        <v>1.6885510586641708</v>
      </c>
      <c r="DE390" s="4">
        <f t="shared" si="1328"/>
        <v>0.98498574494393953</v>
      </c>
      <c r="DF390" s="4">
        <f t="shared" si="1328"/>
        <v>0.95614243505191698</v>
      </c>
      <c r="DI390" s="4">
        <f t="shared" si="1285"/>
        <v>104.90199999999999</v>
      </c>
      <c r="DL390" s="4">
        <f t="shared" si="1166"/>
        <v>1.5814970357900817E-5</v>
      </c>
      <c r="DM390" s="4">
        <f t="shared" si="1313"/>
        <v>14.719357433866572</v>
      </c>
      <c r="DN390" s="4">
        <f t="shared" si="1167"/>
        <v>0.15267171175686037</v>
      </c>
      <c r="DO390" s="4">
        <f t="shared" si="1168"/>
        <v>6.940524338074761</v>
      </c>
      <c r="DP390" s="4">
        <f t="shared" si="1169"/>
        <v>11.514963218771863</v>
      </c>
      <c r="DQ390" s="4">
        <f t="shared" si="1170"/>
        <v>14.336996999621</v>
      </c>
      <c r="DR390" s="38">
        <f t="shared" si="1183"/>
        <v>910.21796887929406</v>
      </c>
      <c r="DS390" s="4">
        <f t="shared" si="1095"/>
        <v>1.0000827410378184</v>
      </c>
      <c r="DT390" s="4">
        <f t="shared" si="1171"/>
        <v>3.7549966711037173</v>
      </c>
      <c r="DU390" s="4">
        <f t="shared" si="1103"/>
        <v>655.91447293360523</v>
      </c>
      <c r="DY390" s="4">
        <f t="shared" si="1331"/>
        <v>0.85</v>
      </c>
      <c r="DZ390" s="4">
        <f t="shared" si="1096"/>
        <v>0.7</v>
      </c>
      <c r="EA390" s="4">
        <f t="shared" si="1184"/>
        <v>0.7</v>
      </c>
      <c r="EB390" s="4">
        <f t="shared" si="1097"/>
        <v>0.7</v>
      </c>
      <c r="ED390" s="4">
        <f t="shared" si="1185"/>
        <v>937.67590608950411</v>
      </c>
      <c r="EE390" s="25">
        <f t="shared" si="1186"/>
        <v>645.87936432053323</v>
      </c>
      <c r="EG390" s="4">
        <f t="shared" si="1104"/>
        <v>0.59499999999999997</v>
      </c>
      <c r="EH390" s="4">
        <f t="shared" si="1187"/>
        <v>14.719357433866572</v>
      </c>
      <c r="EK390" s="4">
        <f t="shared" si="1172"/>
        <v>59.610572153771514</v>
      </c>
      <c r="EL390" s="4">
        <f t="shared" si="1173"/>
        <v>3.7549966711037173</v>
      </c>
      <c r="EM390" s="4">
        <f t="shared" si="1174"/>
        <v>7.2811100534838955E-2</v>
      </c>
      <c r="EP390" s="4">
        <f t="shared" si="1301"/>
        <v>7.2811100534838955E-2</v>
      </c>
      <c r="EQ390" s="4">
        <f t="shared" si="1257"/>
        <v>0.15241693112407723</v>
      </c>
      <c r="ER390" s="4">
        <f t="shared" si="1314"/>
        <v>6.9358890399028104</v>
      </c>
      <c r="ES390" s="4">
        <f t="shared" si="1286"/>
        <v>11.513587461198421</v>
      </c>
      <c r="ET390" s="4">
        <f t="shared" si="1315"/>
        <v>19.065927846228476</v>
      </c>
      <c r="EU390" s="4">
        <f t="shared" si="1316"/>
        <v>26.225499999999997</v>
      </c>
      <c r="EV390" s="4">
        <f t="shared" si="1098"/>
        <v>1.5814970357900817E-5</v>
      </c>
      <c r="EW390" s="4">
        <f t="shared" si="1287"/>
        <v>14.337137000535932</v>
      </c>
      <c r="EX390" s="4">
        <f t="shared" si="1131"/>
        <v>910.14266273081705</v>
      </c>
      <c r="FG390" s="23">
        <f t="shared" si="1329"/>
        <v>2.2000000000000002</v>
      </c>
      <c r="FH390" s="23">
        <f t="shared" si="1329"/>
        <v>0.6</v>
      </c>
      <c r="FI390" s="23">
        <f t="shared" si="1248"/>
        <v>1.8</v>
      </c>
      <c r="FJ390" s="23">
        <f t="shared" si="1330"/>
        <v>2</v>
      </c>
      <c r="FK390" s="23">
        <f t="shared" si="1330"/>
        <v>1</v>
      </c>
      <c r="FL390" s="23">
        <f t="shared" si="1330"/>
        <v>1</v>
      </c>
      <c r="FM390" s="23">
        <f t="shared" si="1195"/>
        <v>0</v>
      </c>
      <c r="FN390" s="23"/>
      <c r="FX390" s="4">
        <f t="shared" si="1099"/>
        <v>1</v>
      </c>
      <c r="FY390" s="4">
        <f t="shared" si="1139"/>
        <v>0.46358941059918601</v>
      </c>
      <c r="FZ390" s="4">
        <f t="shared" si="1100"/>
        <v>0.3</v>
      </c>
      <c r="GA390" s="4">
        <f t="shared" si="1101"/>
        <v>530.95920288439595</v>
      </c>
    </row>
    <row r="391" spans="1:183" ht="12" hidden="1" customHeight="1" x14ac:dyDescent="0.3">
      <c r="A391" s="25">
        <v>373</v>
      </c>
      <c r="B391" s="4" t="s">
        <v>605</v>
      </c>
      <c r="C391" s="4">
        <v>2016</v>
      </c>
      <c r="D391" s="4" t="s">
        <v>309</v>
      </c>
      <c r="E391" s="24" t="s">
        <v>674</v>
      </c>
      <c r="F391" s="7" t="s">
        <v>539</v>
      </c>
      <c r="G391" s="38">
        <f t="shared" si="1262"/>
        <v>958.62068965517244</v>
      </c>
      <c r="H391" s="38">
        <f>6*25.4</f>
        <v>152.39999999999998</v>
      </c>
      <c r="I391" s="4">
        <f t="shared" si="1288"/>
        <v>152.39999999999998</v>
      </c>
      <c r="J391" s="38">
        <f t="shared" si="1321"/>
        <v>76.068965517241381</v>
      </c>
      <c r="K391" s="38">
        <f t="shared" si="1264"/>
        <v>15.875</v>
      </c>
      <c r="L391" s="7">
        <f t="shared" si="1289"/>
        <v>9.5999999999999979</v>
      </c>
      <c r="M391" s="7">
        <f t="shared" si="1290"/>
        <v>9.5999999999999979</v>
      </c>
      <c r="N391" s="38">
        <f t="shared" si="1317"/>
        <v>332.73999999999995</v>
      </c>
      <c r="O391" s="38">
        <f>2.55*25.4</f>
        <v>64.77</v>
      </c>
      <c r="P391" s="39">
        <f>3.1*25.4</f>
        <v>78.739999999999995</v>
      </c>
      <c r="Q391" s="7">
        <f t="shared" si="1291"/>
        <v>171.44999999999996</v>
      </c>
      <c r="R391" s="38">
        <v>2</v>
      </c>
      <c r="S391" s="4">
        <f t="shared" si="1258"/>
        <v>133.35</v>
      </c>
      <c r="T391" s="7">
        <f t="shared" si="1292"/>
        <v>4.58</v>
      </c>
      <c r="U391" s="7">
        <f t="shared" si="1127"/>
        <v>4.58</v>
      </c>
      <c r="V391" s="38">
        <v>4</v>
      </c>
      <c r="W391" s="4">
        <f t="shared" si="1293"/>
        <v>4</v>
      </c>
      <c r="X391" s="4">
        <f t="shared" si="1294"/>
        <v>5</v>
      </c>
      <c r="Y391" s="7">
        <f t="shared" si="1295"/>
        <v>35.497579142809165</v>
      </c>
      <c r="AB391" s="38">
        <f t="shared" si="1332"/>
        <v>927.58620689655174</v>
      </c>
      <c r="AC391" s="4">
        <v>134.5</v>
      </c>
      <c r="AD391" s="4">
        <f t="shared" si="1159"/>
        <v>0.96762589928057552</v>
      </c>
      <c r="AE391" s="38"/>
      <c r="AF391" s="38"/>
      <c r="AG391" s="39">
        <v>1</v>
      </c>
      <c r="AH391" s="39"/>
      <c r="AI391" s="39"/>
      <c r="AJ391" s="7"/>
      <c r="AK391" s="4">
        <f t="shared" si="1297"/>
        <v>152.39999999999998</v>
      </c>
      <c r="AL391" s="4">
        <f t="shared" si="1175"/>
        <v>0.72777777777777763</v>
      </c>
      <c r="AM391" s="4">
        <f t="shared" si="1176"/>
        <v>414.50890080495793</v>
      </c>
      <c r="AN391" s="4">
        <f t="shared" si="1177"/>
        <v>0.79541666666666666</v>
      </c>
      <c r="AO391" s="4">
        <v>1.25</v>
      </c>
      <c r="AP391" s="4">
        <f t="shared" si="1112"/>
        <v>2.5</v>
      </c>
      <c r="AQ391" s="38">
        <f t="shared" si="1266"/>
        <v>749.85511721935075</v>
      </c>
      <c r="AR391" s="38">
        <f t="shared" si="1178"/>
        <v>749.85511721935075</v>
      </c>
      <c r="AS391" s="38">
        <f t="shared" si="1179"/>
        <v>4.7518593634836064</v>
      </c>
      <c r="AT391" s="38">
        <f t="shared" si="1121"/>
        <v>749.8551172193504</v>
      </c>
      <c r="AU391" s="38">
        <f t="shared" si="1086"/>
        <v>1.0000000000000004</v>
      </c>
      <c r="AV391" s="38">
        <f t="shared" si="1249"/>
        <v>1.8584702781566882</v>
      </c>
      <c r="AW391" s="4">
        <f t="shared" si="1230"/>
        <v>0</v>
      </c>
      <c r="AX391" s="4">
        <f t="shared" si="1298"/>
        <v>440.67801770994777</v>
      </c>
      <c r="AY391" s="4">
        <f t="shared" si="1267"/>
        <v>1</v>
      </c>
      <c r="AZ391" s="38">
        <f t="shared" si="1102"/>
        <v>1393.5834482758621</v>
      </c>
      <c r="BA391" s="4">
        <f t="shared" si="1268"/>
        <v>0.44000000000000006</v>
      </c>
      <c r="BB391" s="4">
        <f t="shared" si="1269"/>
        <v>101.31187627151702</v>
      </c>
      <c r="BC391" s="4">
        <f t="shared" si="1270"/>
        <v>1494.8953245473792</v>
      </c>
      <c r="BE391" s="4">
        <f t="shared" si="1122"/>
        <v>1.5</v>
      </c>
      <c r="BF391" s="4">
        <f t="shared" si="1128"/>
        <v>769.25856466492769</v>
      </c>
      <c r="BH391" s="4">
        <f t="shared" si="1129"/>
        <v>1336.6169510470681</v>
      </c>
      <c r="BI391" s="4">
        <f t="shared" si="1067"/>
        <v>0</v>
      </c>
      <c r="BJ391" s="4">
        <f t="shared" si="1130"/>
        <v>0</v>
      </c>
      <c r="BR391" s="4">
        <f t="shared" si="1271"/>
        <v>64.77</v>
      </c>
      <c r="BV391" s="9"/>
      <c r="BX391" s="9"/>
      <c r="BY391" s="9"/>
      <c r="BZ391" s="9">
        <f t="shared" si="1272"/>
        <v>64.77</v>
      </c>
      <c r="CA391" s="9">
        <f t="shared" si="1273"/>
        <v>85.72499999999998</v>
      </c>
      <c r="CB391" s="9">
        <f t="shared" si="1087"/>
        <v>2.1066390052415969</v>
      </c>
      <c r="CC391" s="40">
        <f t="shared" si="1299"/>
        <v>0</v>
      </c>
      <c r="CD391" s="9">
        <f t="shared" si="1274"/>
        <v>0</v>
      </c>
      <c r="CE391" s="9">
        <f t="shared" si="1275"/>
        <v>0</v>
      </c>
      <c r="CF391" s="9">
        <f t="shared" si="1276"/>
        <v>1</v>
      </c>
      <c r="CG391" s="9">
        <f t="shared" si="1277"/>
        <v>0.68</v>
      </c>
      <c r="CH391" s="9">
        <f t="shared" si="1088"/>
        <v>2.0757770792545673</v>
      </c>
      <c r="CI391" s="9">
        <f t="shared" si="1089"/>
        <v>4.3729129613441495</v>
      </c>
      <c r="CJ391" s="40">
        <v>1</v>
      </c>
      <c r="CK391" s="9">
        <f t="shared" si="1090"/>
        <v>430.29463539626425</v>
      </c>
      <c r="CM391" s="4">
        <f t="shared" si="1278"/>
        <v>2.1049069152958855</v>
      </c>
      <c r="CN391" s="4">
        <f t="shared" si="1279"/>
        <v>0.62050244700404289</v>
      </c>
      <c r="CO391" s="4">
        <f t="shared" si="1242"/>
        <v>1.2058184978422544</v>
      </c>
      <c r="CP391" s="4">
        <f t="shared" si="1280"/>
        <v>2.1557001426297702</v>
      </c>
      <c r="CQ391" s="4">
        <f t="shared" si="1189"/>
        <v>0.96762589928057552</v>
      </c>
      <c r="CR391" s="4">
        <f t="shared" si="1190"/>
        <v>0.96762589928057552</v>
      </c>
      <c r="CS391" s="4">
        <f t="shared" si="1243"/>
        <v>1.2969655123763921</v>
      </c>
      <c r="CT391" s="4">
        <f t="shared" si="1300"/>
        <v>0</v>
      </c>
      <c r="CU391" s="4">
        <f t="shared" ref="CU391:CV393" si="1333">CM391</f>
        <v>2.1049069152958855</v>
      </c>
      <c r="CV391" s="4">
        <f t="shared" si="1333"/>
        <v>0.62050244700404289</v>
      </c>
      <c r="CW391" s="4">
        <f t="shared" ref="CW391:CW393" si="1334">CP391</f>
        <v>2.1557001426297702</v>
      </c>
      <c r="CX391" s="4">
        <f t="shared" ref="CX391:CX393" si="1335">CS391</f>
        <v>1.2969655123763921</v>
      </c>
      <c r="CY391" s="4">
        <f t="shared" ref="CY391:CZ393" si="1336">CQ391</f>
        <v>0.96762589928057552</v>
      </c>
      <c r="CZ391" s="4">
        <f t="shared" si="1336"/>
        <v>0.96762589928057552</v>
      </c>
      <c r="DI391" s="4">
        <f t="shared" si="1285"/>
        <v>152.39999999999998</v>
      </c>
      <c r="DL391" s="4">
        <f t="shared" si="1166"/>
        <v>2.2975743861357127E-5</v>
      </c>
      <c r="DM391" s="4">
        <f t="shared" si="1313"/>
        <v>14.719357433866572</v>
      </c>
      <c r="DN391" s="4">
        <f t="shared" si="1167"/>
        <v>0.34038896382032713</v>
      </c>
      <c r="DO391" s="4">
        <f t="shared" si="1168"/>
        <v>9.5648692976355409</v>
      </c>
      <c r="DP391" s="4">
        <f t="shared" si="1169"/>
        <v>12.413789399888694</v>
      </c>
      <c r="DQ391" s="4">
        <f t="shared" si="1170"/>
        <v>13.652143938875277</v>
      </c>
      <c r="DR391" s="38">
        <f t="shared" si="1183"/>
        <v>958.62068965517244</v>
      </c>
      <c r="DS391" s="4">
        <f t="shared" si="1095"/>
        <v>1</v>
      </c>
      <c r="DT391" s="4">
        <f t="shared" si="1171"/>
        <v>2.2360679774997898</v>
      </c>
      <c r="DU391" s="4">
        <f t="shared" si="1103"/>
        <v>749.8551172193504</v>
      </c>
      <c r="DY391" s="4">
        <f t="shared" si="1331"/>
        <v>0.85</v>
      </c>
      <c r="DZ391" s="4">
        <f t="shared" si="1096"/>
        <v>0.7</v>
      </c>
      <c r="EA391" s="4">
        <f t="shared" si="1184"/>
        <v>1</v>
      </c>
      <c r="EB391" s="4">
        <f t="shared" si="1097"/>
        <v>0.7</v>
      </c>
      <c r="ED391" s="4">
        <f t="shared" si="1185"/>
        <v>958.62068965517244</v>
      </c>
      <c r="EE391" s="25">
        <f t="shared" si="1186"/>
        <v>742.1045340265191</v>
      </c>
      <c r="EG391" s="4">
        <f t="shared" si="1104"/>
        <v>0.59499999999999997</v>
      </c>
      <c r="EH391" s="4">
        <f t="shared" si="1187"/>
        <v>14.719357433866572</v>
      </c>
      <c r="EK391" s="4">
        <f t="shared" si="1172"/>
        <v>35.497579142809165</v>
      </c>
      <c r="EL391" s="4">
        <f t="shared" si="1173"/>
        <v>2.2360679774997898</v>
      </c>
      <c r="EM391" s="4">
        <f t="shared" si="1174"/>
        <v>0.16233586943167166</v>
      </c>
      <c r="EP391" s="4">
        <f t="shared" si="1301"/>
        <v>0.16233586943167166</v>
      </c>
      <c r="EQ391" s="4">
        <f t="shared" si="1257"/>
        <v>0.33982091807958992</v>
      </c>
      <c r="ER391" s="4">
        <f t="shared" si="1314"/>
        <v>9.5584813045948618</v>
      </c>
      <c r="ES391" s="4">
        <f t="shared" si="1286"/>
        <v>12.41133532188586</v>
      </c>
      <c r="ET391" s="4">
        <f t="shared" si="1315"/>
        <v>78.80242085719081</v>
      </c>
      <c r="EU391" s="4">
        <f t="shared" si="1316"/>
        <v>38.099999999999994</v>
      </c>
      <c r="EV391" s="4">
        <f t="shared" si="1098"/>
        <v>2.2975743861357127E-5</v>
      </c>
      <c r="EW391" s="4">
        <f t="shared" si="1287"/>
        <v>13.652424500389278</v>
      </c>
      <c r="EX391" s="4">
        <f t="shared" si="1131"/>
        <v>958.62068965517244</v>
      </c>
      <c r="FG391" s="23">
        <f t="shared" si="1329"/>
        <v>2.2000000000000002</v>
      </c>
      <c r="FH391" s="23">
        <f t="shared" si="1329"/>
        <v>0.8</v>
      </c>
      <c r="FI391" s="23">
        <f t="shared" si="1248"/>
        <v>1.4</v>
      </c>
      <c r="FJ391" s="23">
        <f t="shared" si="1330"/>
        <v>2.2000000000000002</v>
      </c>
      <c r="FK391" s="23">
        <f t="shared" si="1330"/>
        <v>1</v>
      </c>
      <c r="FL391" s="23">
        <f t="shared" si="1330"/>
        <v>1</v>
      </c>
      <c r="FM391" s="23">
        <f t="shared" si="1195"/>
        <v>0</v>
      </c>
      <c r="FN391" s="23"/>
      <c r="FX391" s="4">
        <f t="shared" si="1099"/>
        <v>1</v>
      </c>
      <c r="FY391" s="4">
        <f t="shared" si="1139"/>
        <v>0.5</v>
      </c>
      <c r="FZ391" s="4">
        <f t="shared" si="1100"/>
        <v>0</v>
      </c>
      <c r="GA391" s="4">
        <f t="shared" si="1101"/>
        <v>715.19728014738234</v>
      </c>
    </row>
    <row r="392" spans="1:183" ht="12" hidden="1" customHeight="1" x14ac:dyDescent="0.3">
      <c r="A392" s="25">
        <v>374</v>
      </c>
      <c r="B392" s="4" t="s">
        <v>605</v>
      </c>
      <c r="C392" s="4">
        <v>2016</v>
      </c>
      <c r="D392" s="4" t="s">
        <v>309</v>
      </c>
      <c r="E392" s="24" t="s">
        <v>674</v>
      </c>
      <c r="F392" s="7" t="s">
        <v>540</v>
      </c>
      <c r="G392" s="38">
        <f t="shared" si="1262"/>
        <v>958.62068965517244</v>
      </c>
      <c r="H392" s="38">
        <f>6.03*25.4</f>
        <v>153.16200000000001</v>
      </c>
      <c r="I392" s="4">
        <f t="shared" si="1288"/>
        <v>153.16200000000001</v>
      </c>
      <c r="J392" s="38">
        <f t="shared" si="1321"/>
        <v>76.068965517241381</v>
      </c>
      <c r="K392" s="38">
        <f t="shared" si="1264"/>
        <v>15.875</v>
      </c>
      <c r="L392" s="7">
        <f t="shared" si="1289"/>
        <v>9.6479999999999997</v>
      </c>
      <c r="M392" s="7">
        <f t="shared" si="1290"/>
        <v>9.6479999999999997</v>
      </c>
      <c r="N392" s="38">
        <f>13*25.4</f>
        <v>330.2</v>
      </c>
      <c r="O392" s="38">
        <f>2.55*25.4</f>
        <v>64.77</v>
      </c>
      <c r="P392" s="39">
        <f>3.15*25.4</f>
        <v>80.009999999999991</v>
      </c>
      <c r="Q392" s="7">
        <f t="shared" si="1291"/>
        <v>168.91</v>
      </c>
      <c r="R392" s="38">
        <v>2</v>
      </c>
      <c r="S392" s="4">
        <f t="shared" si="1258"/>
        <v>133.35</v>
      </c>
      <c r="T392" s="7">
        <f t="shared" si="1292"/>
        <v>4.58</v>
      </c>
      <c r="U392" s="7">
        <f t="shared" si="1127"/>
        <v>4.58</v>
      </c>
      <c r="V392" s="38">
        <v>13.1</v>
      </c>
      <c r="W392" s="4">
        <f t="shared" si="1293"/>
        <v>13.1</v>
      </c>
      <c r="X392" s="4">
        <f t="shared" si="1294"/>
        <v>14.1</v>
      </c>
      <c r="Y392" s="7">
        <f t="shared" si="1295"/>
        <v>59.610572153771514</v>
      </c>
      <c r="AB392" s="38">
        <f t="shared" si="1332"/>
        <v>983.44827586206895</v>
      </c>
      <c r="AC392" s="4">
        <v>142.6</v>
      </c>
      <c r="AD392" s="4">
        <f t="shared" si="1159"/>
        <v>1</v>
      </c>
      <c r="AE392" s="38"/>
      <c r="AF392" s="38"/>
      <c r="AG392" s="39">
        <v>1</v>
      </c>
      <c r="AH392" s="39"/>
      <c r="AI392" s="39"/>
      <c r="AJ392" s="7"/>
      <c r="AK392" s="4">
        <f t="shared" si="1297"/>
        <v>153.16200000000001</v>
      </c>
      <c r="AL392" s="4">
        <f t="shared" si="1175"/>
        <v>0.71862907683803201</v>
      </c>
      <c r="AM392" s="4">
        <f t="shared" si="1176"/>
        <v>417.6216003496458</v>
      </c>
      <c r="AN392" s="4">
        <f t="shared" si="1177"/>
        <v>0.79494195688225533</v>
      </c>
      <c r="AO392" s="4">
        <v>1.25</v>
      </c>
      <c r="AP392" s="4">
        <f t="shared" si="1112"/>
        <v>2.5</v>
      </c>
      <c r="AQ392" s="38">
        <f t="shared" si="1266"/>
        <v>745.54382926292237</v>
      </c>
      <c r="AR392" s="38">
        <f t="shared" si="1178"/>
        <v>745.54382926292237</v>
      </c>
      <c r="AS392" s="38">
        <f t="shared" si="1179"/>
        <v>4.7518593634836064</v>
      </c>
      <c r="AT392" s="38">
        <f t="shared" si="1121"/>
        <v>745.54382926292283</v>
      </c>
      <c r="AU392" s="38">
        <f t="shared" si="1086"/>
        <v>0.99999999999999944</v>
      </c>
      <c r="AV392" s="38">
        <f t="shared" si="1249"/>
        <v>3.3827153310849316</v>
      </c>
      <c r="AW392" s="4">
        <f t="shared" si="1230"/>
        <v>0</v>
      </c>
      <c r="AX392" s="4">
        <f t="shared" si="1298"/>
        <v>442.88140779849761</v>
      </c>
      <c r="AY392" s="4">
        <f t="shared" si="1267"/>
        <v>1</v>
      </c>
      <c r="AZ392" s="38">
        <f t="shared" si="1102"/>
        <v>2521.9625412434557</v>
      </c>
      <c r="BA392" s="4">
        <f t="shared" si="1268"/>
        <v>0.3</v>
      </c>
      <c r="BB392" s="4">
        <f t="shared" si="1269"/>
        <v>69.421660672414518</v>
      </c>
      <c r="BC392" s="4">
        <f t="shared" si="1270"/>
        <v>2591.3842019158701</v>
      </c>
      <c r="BE392" s="4">
        <f t="shared" si="1122"/>
        <v>1.5</v>
      </c>
      <c r="BF392" s="4">
        <f t="shared" si="1128"/>
        <v>771.14246319063773</v>
      </c>
      <c r="BH392" s="4">
        <f t="shared" si="1129"/>
        <v>2418.8704929742166</v>
      </c>
      <c r="BI392" s="4">
        <f t="shared" si="1067"/>
        <v>0</v>
      </c>
      <c r="BJ392" s="4">
        <f t="shared" si="1130"/>
        <v>0</v>
      </c>
      <c r="BR392" s="4">
        <f t="shared" si="1271"/>
        <v>64.77</v>
      </c>
      <c r="BV392" s="9"/>
      <c r="BX392" s="9"/>
      <c r="BY392" s="9"/>
      <c r="BZ392" s="9">
        <f t="shared" si="1272"/>
        <v>64.77</v>
      </c>
      <c r="CA392" s="9">
        <f t="shared" si="1273"/>
        <v>84.454999999999998</v>
      </c>
      <c r="CB392" s="9">
        <f t="shared" si="1087"/>
        <v>2.1019278374638874</v>
      </c>
      <c r="CC392" s="40">
        <f t="shared" si="1299"/>
        <v>0</v>
      </c>
      <c r="CD392" s="9">
        <f t="shared" si="1274"/>
        <v>0</v>
      </c>
      <c r="CE392" s="9">
        <f t="shared" si="1275"/>
        <v>0</v>
      </c>
      <c r="CF392" s="9">
        <f t="shared" si="1276"/>
        <v>1</v>
      </c>
      <c r="CG392" s="9">
        <f t="shared" si="1277"/>
        <v>0.68</v>
      </c>
      <c r="CH392" s="9">
        <f t="shared" si="1088"/>
        <v>2.0757770792545673</v>
      </c>
      <c r="CI392" s="9">
        <f t="shared" si="1089"/>
        <v>4.3631336272546575</v>
      </c>
      <c r="CJ392" s="40">
        <v>1</v>
      </c>
      <c r="CK392" s="9">
        <f t="shared" si="1090"/>
        <v>430.17007057829119</v>
      </c>
      <c r="CM392" s="4">
        <f t="shared" si="1278"/>
        <v>2.2205679862486321</v>
      </c>
      <c r="CN392" s="4">
        <f t="shared" si="1279"/>
        <v>0.37950693499442612</v>
      </c>
      <c r="CO392" s="4">
        <f t="shared" si="1242"/>
        <v>1.2753133471511944</v>
      </c>
      <c r="CP392" s="4">
        <f t="shared" si="1280"/>
        <v>2.286184797887004</v>
      </c>
      <c r="CQ392" s="4">
        <f t="shared" si="1189"/>
        <v>1</v>
      </c>
      <c r="CR392" s="4">
        <f t="shared" si="1190"/>
        <v>1</v>
      </c>
      <c r="CS392" s="4">
        <f t="shared" si="1243"/>
        <v>1.368231571250613</v>
      </c>
      <c r="CT392" s="4">
        <f t="shared" si="1300"/>
        <v>0</v>
      </c>
      <c r="CU392" s="4">
        <f t="shared" si="1333"/>
        <v>2.2205679862486321</v>
      </c>
      <c r="CV392" s="4">
        <f t="shared" si="1333"/>
        <v>0.37950693499442612</v>
      </c>
      <c r="CW392" s="4">
        <f t="shared" si="1334"/>
        <v>2.286184797887004</v>
      </c>
      <c r="CX392" s="4">
        <f t="shared" si="1335"/>
        <v>1.368231571250613</v>
      </c>
      <c r="CY392" s="4">
        <f t="shared" si="1336"/>
        <v>1</v>
      </c>
      <c r="CZ392" s="4">
        <f t="shared" si="1336"/>
        <v>1</v>
      </c>
      <c r="DI392" s="4">
        <f t="shared" si="1285"/>
        <v>153.16200000000001</v>
      </c>
      <c r="DL392" s="4">
        <f t="shared" si="1166"/>
        <v>2.3090622580663914E-5</v>
      </c>
      <c r="DM392" s="4">
        <f t="shared" si="1313"/>
        <v>14.719357433866572</v>
      </c>
      <c r="DN392" s="4">
        <f t="shared" si="1167"/>
        <v>0.17353398545126572</v>
      </c>
      <c r="DO392" s="4">
        <f t="shared" si="1168"/>
        <v>7.3053775881808054</v>
      </c>
      <c r="DP392" s="4">
        <f t="shared" si="1169"/>
        <v>11.62577071614635</v>
      </c>
      <c r="DQ392" s="4">
        <f t="shared" si="1170"/>
        <v>13.80694107281577</v>
      </c>
      <c r="DR392" s="38">
        <f t="shared" si="1183"/>
        <v>983.44827586206895</v>
      </c>
      <c r="DS392" s="4">
        <f t="shared" si="1095"/>
        <v>1</v>
      </c>
      <c r="DT392" s="4">
        <f t="shared" si="1171"/>
        <v>3.7549966711037173</v>
      </c>
      <c r="DU392" s="4">
        <f t="shared" si="1103"/>
        <v>745.54382926292283</v>
      </c>
      <c r="DY392" s="4">
        <f t="shared" si="1331"/>
        <v>0.85</v>
      </c>
      <c r="DZ392" s="4">
        <f t="shared" si="1096"/>
        <v>0.7</v>
      </c>
      <c r="EA392" s="4">
        <f t="shared" si="1184"/>
        <v>1</v>
      </c>
      <c r="EB392" s="4">
        <f t="shared" si="1097"/>
        <v>0.7</v>
      </c>
      <c r="ED392" s="4">
        <f t="shared" si="1185"/>
        <v>983.44827586206895</v>
      </c>
      <c r="EE392" s="25">
        <f t="shared" si="1186"/>
        <v>737.88070102182303</v>
      </c>
      <c r="EG392" s="4">
        <f t="shared" si="1104"/>
        <v>0.59499999999999997</v>
      </c>
      <c r="EH392" s="4">
        <f t="shared" si="1187"/>
        <v>14.719357433866572</v>
      </c>
      <c r="EK392" s="4">
        <f t="shared" si="1172"/>
        <v>59.610572153771514</v>
      </c>
      <c r="EL392" s="4">
        <f t="shared" si="1173"/>
        <v>3.7549966711037173</v>
      </c>
      <c r="EM392" s="4">
        <f t="shared" si="1174"/>
        <v>8.2760586853350845E-2</v>
      </c>
      <c r="EP392" s="4">
        <f t="shared" si="1301"/>
        <v>8.2760586853350845E-2</v>
      </c>
      <c r="EQ392" s="4">
        <f t="shared" si="1257"/>
        <v>0.17324438957188587</v>
      </c>
      <c r="ER392" s="4">
        <f t="shared" si="1314"/>
        <v>7.3004986191389216</v>
      </c>
      <c r="ES392" s="4">
        <f t="shared" si="1286"/>
        <v>11.624256514878113</v>
      </c>
      <c r="ET392" s="4">
        <f t="shared" si="1315"/>
        <v>55.260927846228483</v>
      </c>
      <c r="EU392" s="4">
        <f t="shared" si="1316"/>
        <v>38.290500000000009</v>
      </c>
      <c r="EV392" s="4">
        <f t="shared" si="1098"/>
        <v>2.309062258066392E-5</v>
      </c>
      <c r="EW392" s="4">
        <f t="shared" si="1287"/>
        <v>13.807192381438632</v>
      </c>
      <c r="EX392" s="4">
        <f t="shared" si="1131"/>
        <v>983.44827586206895</v>
      </c>
      <c r="FG392" s="23">
        <f t="shared" si="1329"/>
        <v>2.2000000000000002</v>
      </c>
      <c r="FH392" s="23">
        <f t="shared" si="1329"/>
        <v>0.6</v>
      </c>
      <c r="FI392" s="23">
        <f t="shared" si="1248"/>
        <v>1.4</v>
      </c>
      <c r="FJ392" s="23">
        <f t="shared" si="1330"/>
        <v>2.2000000000000002</v>
      </c>
      <c r="FK392" s="23">
        <f t="shared" si="1330"/>
        <v>1.2</v>
      </c>
      <c r="FL392" s="23">
        <f t="shared" si="1330"/>
        <v>1.2</v>
      </c>
      <c r="FM392" s="23">
        <f t="shared" si="1195"/>
        <v>0</v>
      </c>
      <c r="FN392" s="23"/>
      <c r="FX392" s="4">
        <f t="shared" si="1099"/>
        <v>1</v>
      </c>
      <c r="FY392" s="4">
        <f t="shared" si="1139"/>
        <v>0.5</v>
      </c>
      <c r="FZ392" s="4">
        <f t="shared" si="1100"/>
        <v>0</v>
      </c>
      <c r="GA392" s="4">
        <f t="shared" si="1101"/>
        <v>718.7732665481193</v>
      </c>
    </row>
    <row r="393" spans="1:183" ht="12" hidden="1" customHeight="1" x14ac:dyDescent="0.3">
      <c r="A393" s="25">
        <v>375</v>
      </c>
      <c r="B393" s="4" t="s">
        <v>605</v>
      </c>
      <c r="C393" s="4">
        <v>2016</v>
      </c>
      <c r="D393" s="4" t="s">
        <v>309</v>
      </c>
      <c r="E393" s="24" t="s">
        <v>674</v>
      </c>
      <c r="F393" s="7" t="s">
        <v>541</v>
      </c>
      <c r="G393" s="38">
        <f t="shared" si="1262"/>
        <v>958.62068965517244</v>
      </c>
      <c r="H393" s="38">
        <f>5.04*25.4</f>
        <v>128.01599999999999</v>
      </c>
      <c r="I393" s="4">
        <f t="shared" si="1288"/>
        <v>128.01599999999999</v>
      </c>
      <c r="J393" s="38">
        <f t="shared" si="1321"/>
        <v>76.068965517241381</v>
      </c>
      <c r="K393" s="38">
        <f t="shared" si="1264"/>
        <v>15.875</v>
      </c>
      <c r="L393" s="7">
        <f t="shared" si="1289"/>
        <v>8.0640000000000001</v>
      </c>
      <c r="M393" s="7">
        <f t="shared" si="1290"/>
        <v>8.0640000000000001</v>
      </c>
      <c r="N393" s="38">
        <f t="shared" si="1317"/>
        <v>332.73999999999995</v>
      </c>
      <c r="O393" s="38">
        <f t="shared" ref="O393:O399" si="1337">2.5*25.4</f>
        <v>63.5</v>
      </c>
      <c r="P393" s="39">
        <f>4.23*25.4</f>
        <v>107.44200000000001</v>
      </c>
      <c r="Q393" s="7">
        <f t="shared" si="1291"/>
        <v>79.057499999999976</v>
      </c>
      <c r="R393" s="38">
        <v>3</v>
      </c>
      <c r="S393" s="4">
        <f t="shared" si="1258"/>
        <v>133.35</v>
      </c>
      <c r="T393" s="7">
        <f t="shared" si="1292"/>
        <v>2.9899999999999993</v>
      </c>
      <c r="U393" s="7">
        <f t="shared" si="1127"/>
        <v>4.5</v>
      </c>
      <c r="V393" s="38">
        <v>4</v>
      </c>
      <c r="W393" s="4">
        <f t="shared" si="1293"/>
        <v>4</v>
      </c>
      <c r="X393" s="4">
        <f t="shared" si="1294"/>
        <v>5</v>
      </c>
      <c r="Y393" s="7">
        <f t="shared" si="1295"/>
        <v>35.497579142809165</v>
      </c>
      <c r="AB393" s="38">
        <f t="shared" si="1332"/>
        <v>623.44827586206907</v>
      </c>
      <c r="AC393" s="4">
        <v>90.4</v>
      </c>
      <c r="AD393" s="4">
        <f t="shared" si="1159"/>
        <v>0.81191613543819985</v>
      </c>
      <c r="AE393" s="38"/>
      <c r="AF393" s="38"/>
      <c r="AG393" s="39">
        <v>1</v>
      </c>
      <c r="AH393" s="39"/>
      <c r="AI393" s="39"/>
      <c r="AJ393" s="7"/>
      <c r="AK393" s="4">
        <f t="shared" si="1297"/>
        <v>128.01599999999999</v>
      </c>
      <c r="AL393" s="4">
        <f t="shared" si="1175"/>
        <v>0.86640211640211651</v>
      </c>
      <c r="AM393" s="4">
        <f t="shared" si="1176"/>
        <v>212.74606238722586</v>
      </c>
      <c r="AN393" s="4">
        <f t="shared" si="1177"/>
        <v>0.81160714285714286</v>
      </c>
      <c r="AO393" s="4">
        <v>1.25</v>
      </c>
      <c r="AP393" s="4">
        <f t="shared" si="1112"/>
        <v>2.5</v>
      </c>
      <c r="AQ393" s="38">
        <f t="shared" si="1266"/>
        <v>467.49494304139188</v>
      </c>
      <c r="AR393" s="38">
        <f t="shared" si="1178"/>
        <v>467.49494304139188</v>
      </c>
      <c r="AS393" s="38">
        <f t="shared" si="1179"/>
        <v>4.7518593634836064</v>
      </c>
      <c r="AT393" s="38">
        <f t="shared" si="1121"/>
        <v>467.49494304139216</v>
      </c>
      <c r="AU393" s="38">
        <f t="shared" si="1086"/>
        <v>0.99999999999999944</v>
      </c>
      <c r="AV393" s="38">
        <f t="shared" si="1249"/>
        <v>2.3392070107997665</v>
      </c>
      <c r="AW393" s="4">
        <f t="shared" si="1230"/>
        <v>0</v>
      </c>
      <c r="AX393" s="4">
        <f t="shared" si="1298"/>
        <v>370.16953487635624</v>
      </c>
      <c r="AY393" s="4">
        <f t="shared" si="1267"/>
        <v>1.2020066889632108</v>
      </c>
      <c r="AZ393" s="38">
        <f t="shared" si="1102"/>
        <v>1093.567448275862</v>
      </c>
      <c r="BA393" s="4">
        <f t="shared" si="1268"/>
        <v>0.44000000000000006</v>
      </c>
      <c r="BB393" s="4">
        <f t="shared" si="1269"/>
        <v>85.101976068074308</v>
      </c>
      <c r="BC393" s="4">
        <f t="shared" si="1270"/>
        <v>1178.6694243439363</v>
      </c>
      <c r="BE393" s="4">
        <f t="shared" si="1122"/>
        <v>1.5</v>
      </c>
      <c r="BF393" s="4">
        <f t="shared" si="1128"/>
        <v>708.97381184220683</v>
      </c>
      <c r="BH393" s="4">
        <f t="shared" si="1129"/>
        <v>1048.8649174810398</v>
      </c>
      <c r="BI393" s="4">
        <f t="shared" si="1067"/>
        <v>0</v>
      </c>
      <c r="BJ393" s="4">
        <f t="shared" si="1130"/>
        <v>0</v>
      </c>
      <c r="BR393" s="4">
        <f t="shared" si="1271"/>
        <v>39.528749999999988</v>
      </c>
      <c r="BV393" s="9"/>
      <c r="BX393" s="9"/>
      <c r="BY393" s="9"/>
      <c r="BZ393" s="9">
        <f t="shared" si="1272"/>
        <v>39.528749999999988</v>
      </c>
      <c r="CA393" s="9">
        <f t="shared" si="1273"/>
        <v>63.5</v>
      </c>
      <c r="CB393" s="9">
        <f t="shared" si="1087"/>
        <v>1.6942549773761708</v>
      </c>
      <c r="CC393" s="40">
        <f t="shared" si="1299"/>
        <v>0</v>
      </c>
      <c r="CD393" s="9">
        <f t="shared" si="1274"/>
        <v>0</v>
      </c>
      <c r="CE393" s="9">
        <f t="shared" si="1275"/>
        <v>0</v>
      </c>
      <c r="CF393" s="9">
        <f t="shared" si="1276"/>
        <v>1</v>
      </c>
      <c r="CG393" s="9">
        <f t="shared" si="1277"/>
        <v>0.68</v>
      </c>
      <c r="CH393" s="9">
        <f t="shared" si="1088"/>
        <v>2.0757770792545673</v>
      </c>
      <c r="CI393" s="9">
        <f t="shared" si="1089"/>
        <v>3.5168956484504208</v>
      </c>
      <c r="CJ393" s="40">
        <v>1</v>
      </c>
      <c r="CK393" s="9">
        <f t="shared" si="1090"/>
        <v>324.45472494344199</v>
      </c>
      <c r="CM393" s="4">
        <f t="shared" si="1278"/>
        <v>1.6842236249136839</v>
      </c>
      <c r="CN393" s="4">
        <f t="shared" si="1279"/>
        <v>0.52894243541533204</v>
      </c>
      <c r="CO393" s="4">
        <f t="shared" si="1242"/>
        <v>0.87936714367783619</v>
      </c>
      <c r="CP393" s="4">
        <f t="shared" si="1280"/>
        <v>1.9215262652462428</v>
      </c>
      <c r="CQ393" s="4">
        <f t="shared" si="1189"/>
        <v>0.81191613543819985</v>
      </c>
      <c r="CR393" s="4">
        <f t="shared" si="1190"/>
        <v>0.82625634412902194</v>
      </c>
      <c r="CS393" s="4">
        <f t="shared" si="1243"/>
        <v>1.3871339650041066</v>
      </c>
      <c r="CT393" s="4">
        <f t="shared" si="1300"/>
        <v>0</v>
      </c>
      <c r="CU393" s="4">
        <f t="shared" si="1333"/>
        <v>1.6842236249136839</v>
      </c>
      <c r="CV393" s="4">
        <f t="shared" si="1333"/>
        <v>0.52894243541533204</v>
      </c>
      <c r="CW393" s="4">
        <f t="shared" si="1334"/>
        <v>1.9215262652462428</v>
      </c>
      <c r="CX393" s="4">
        <f t="shared" si="1335"/>
        <v>1.3871339650041066</v>
      </c>
      <c r="CY393" s="4">
        <f t="shared" si="1336"/>
        <v>0.81191613543819985</v>
      </c>
      <c r="CZ393" s="4">
        <f t="shared" si="1336"/>
        <v>0.82625634412902194</v>
      </c>
      <c r="DI393" s="4">
        <f t="shared" si="1285"/>
        <v>128.01599999999999</v>
      </c>
      <c r="DL393" s="4">
        <f t="shared" si="1166"/>
        <v>1.9299624843539986E-5</v>
      </c>
      <c r="DM393" s="4">
        <f t="shared" si="1313"/>
        <v>12.10757955782209</v>
      </c>
      <c r="DN393" s="4">
        <f t="shared" si="1167"/>
        <v>0.21221448730415612</v>
      </c>
      <c r="DO393" s="4">
        <f t="shared" si="1168"/>
        <v>6.5127940191019551</v>
      </c>
      <c r="DP393" s="4">
        <f t="shared" si="1169"/>
        <v>9.7247919654802502</v>
      </c>
      <c r="DQ393" s="4">
        <f t="shared" si="1170"/>
        <v>11.637478044456321</v>
      </c>
      <c r="DR393" s="38">
        <f t="shared" si="1183"/>
        <v>767.87275021401979</v>
      </c>
      <c r="DS393" s="4">
        <f t="shared" si="1095"/>
        <v>1.0000781722790062</v>
      </c>
      <c r="DT393" s="4">
        <f t="shared" si="1171"/>
        <v>2.2360679774997898</v>
      </c>
      <c r="DU393" s="4">
        <f t="shared" si="1103"/>
        <v>467.49494304139216</v>
      </c>
      <c r="DY393" s="4">
        <f t="shared" si="1331"/>
        <v>0.85</v>
      </c>
      <c r="DZ393" s="4">
        <f t="shared" si="1096"/>
        <v>0.85100000000000009</v>
      </c>
      <c r="EA393" s="4">
        <f t="shared" si="1184"/>
        <v>1</v>
      </c>
      <c r="EB393" s="4">
        <f t="shared" si="1097"/>
        <v>0.85100000000000009</v>
      </c>
      <c r="ED393" s="4">
        <f t="shared" si="1185"/>
        <v>754.54582623418389</v>
      </c>
      <c r="EE393" s="25">
        <f t="shared" si="1186"/>
        <v>461.63926157135188</v>
      </c>
      <c r="EG393" s="4">
        <f t="shared" si="1104"/>
        <v>0.72335000000000005</v>
      </c>
      <c r="EH393" s="4">
        <f t="shared" si="1187"/>
        <v>12.10757955782209</v>
      </c>
      <c r="EK393" s="4">
        <f t="shared" si="1172"/>
        <v>35.497579142809165</v>
      </c>
      <c r="EL393" s="4">
        <f t="shared" si="1173"/>
        <v>2.2360679774997898</v>
      </c>
      <c r="EM393" s="4">
        <f t="shared" si="1174"/>
        <v>0.10120781507094023</v>
      </c>
      <c r="EP393" s="4">
        <f t="shared" si="1301"/>
        <v>0.10120781507094023</v>
      </c>
      <c r="EQ393" s="4">
        <f t="shared" si="1257"/>
        <v>0.21186034087624936</v>
      </c>
      <c r="ER393" s="4">
        <f t="shared" si="1314"/>
        <v>6.5084443848754141</v>
      </c>
      <c r="ES393" s="4">
        <f t="shared" si="1286"/>
        <v>9.7233476939465842</v>
      </c>
      <c r="ET393" s="4">
        <f t="shared" si="1315"/>
        <v>60.514420857190835</v>
      </c>
      <c r="EU393" s="4">
        <f t="shared" si="1316"/>
        <v>32.003999999999984</v>
      </c>
      <c r="EV393" s="4">
        <f t="shared" si="1098"/>
        <v>1.929962484353998E-5</v>
      </c>
      <c r="EW393" s="4">
        <f t="shared" si="1287"/>
        <v>11.637590209637958</v>
      </c>
      <c r="EX393" s="4">
        <f t="shared" si="1131"/>
        <v>767.81272854317967</v>
      </c>
      <c r="FG393" s="23">
        <f t="shared" si="1329"/>
        <v>1.8</v>
      </c>
      <c r="FH393" s="23">
        <f t="shared" si="1329"/>
        <v>0.6</v>
      </c>
      <c r="FI393" s="23">
        <f t="shared" si="1248"/>
        <v>1.4</v>
      </c>
      <c r="FJ393" s="23">
        <f t="shared" si="1330"/>
        <v>2</v>
      </c>
      <c r="FK393" s="23">
        <f t="shared" si="1330"/>
        <v>1</v>
      </c>
      <c r="FL393" s="23">
        <f t="shared" si="1330"/>
        <v>1</v>
      </c>
      <c r="FM393" s="23">
        <f t="shared" si="1195"/>
        <v>0</v>
      </c>
      <c r="FN393" s="23"/>
      <c r="FX393" s="4">
        <f t="shared" si="1099"/>
        <v>1</v>
      </c>
      <c r="FY393" s="4">
        <f t="shared" si="1139"/>
        <v>0.66833333333333345</v>
      </c>
      <c r="FZ393" s="4">
        <f t="shared" si="1100"/>
        <v>0</v>
      </c>
      <c r="GA393" s="4">
        <f t="shared" si="1101"/>
        <v>449.45065984324259</v>
      </c>
    </row>
    <row r="394" spans="1:183" ht="12" hidden="1" customHeight="1" x14ac:dyDescent="0.3">
      <c r="A394" s="25">
        <v>376</v>
      </c>
      <c r="B394" s="4" t="s">
        <v>605</v>
      </c>
      <c r="C394" s="4">
        <v>2016</v>
      </c>
      <c r="D394" s="4" t="s">
        <v>309</v>
      </c>
      <c r="E394" s="24" t="s">
        <v>674</v>
      </c>
      <c r="F394" s="7" t="s">
        <v>542</v>
      </c>
      <c r="G394" s="38">
        <f t="shared" si="1262"/>
        <v>958.62068965517244</v>
      </c>
      <c r="H394" s="38">
        <f>5.15*25.4</f>
        <v>130.81</v>
      </c>
      <c r="I394" s="4">
        <f t="shared" si="1288"/>
        <v>130.81</v>
      </c>
      <c r="J394" s="38">
        <f t="shared" si="1321"/>
        <v>76.068965517241381</v>
      </c>
      <c r="K394" s="38">
        <f t="shared" si="1264"/>
        <v>15.875</v>
      </c>
      <c r="L394" s="7">
        <f t="shared" si="1289"/>
        <v>8.24</v>
      </c>
      <c r="M394" s="7">
        <f t="shared" si="1290"/>
        <v>8.24</v>
      </c>
      <c r="N394" s="38">
        <f t="shared" si="1317"/>
        <v>332.73999999999995</v>
      </c>
      <c r="O394" s="38">
        <f t="shared" si="1337"/>
        <v>63.5</v>
      </c>
      <c r="P394" s="39">
        <f>4.03*25.4</f>
        <v>102.36199999999999</v>
      </c>
      <c r="Q394" s="7">
        <f t="shared" si="1291"/>
        <v>79.057499999999976</v>
      </c>
      <c r="R394" s="38">
        <v>3</v>
      </c>
      <c r="S394" s="4">
        <f t="shared" si="1258"/>
        <v>133.35</v>
      </c>
      <c r="T394" s="7">
        <f t="shared" si="1292"/>
        <v>2.9899999999999993</v>
      </c>
      <c r="U394" s="7">
        <f t="shared" si="1127"/>
        <v>4.5</v>
      </c>
      <c r="V394" s="38">
        <v>4</v>
      </c>
      <c r="W394" s="4">
        <f t="shared" si="1293"/>
        <v>4</v>
      </c>
      <c r="X394" s="4">
        <f t="shared" si="1294"/>
        <v>5</v>
      </c>
      <c r="Y394" s="7">
        <f t="shared" si="1295"/>
        <v>35.497579142809165</v>
      </c>
      <c r="AB394" s="38">
        <f t="shared" si="1332"/>
        <v>781.37931034482767</v>
      </c>
      <c r="AC394" s="4">
        <v>113.3</v>
      </c>
      <c r="AD394" s="4">
        <f t="shared" si="1159"/>
        <v>0.9430316920738141</v>
      </c>
      <c r="AE394" s="38">
        <f t="shared" ref="AE394:AE395" si="1338">0.375*25.4</f>
        <v>9.5249999999999986</v>
      </c>
      <c r="AF394" s="38">
        <v>4</v>
      </c>
      <c r="AG394" s="39">
        <f>3.5*25.4</f>
        <v>88.899999999999991</v>
      </c>
      <c r="AH394" s="39">
        <v>2</v>
      </c>
      <c r="AI394" s="39">
        <f t="shared" ref="AI394:AI395" si="1339">AH394-1</f>
        <v>1</v>
      </c>
      <c r="AJ394" s="7"/>
      <c r="AK394" s="4">
        <f t="shared" si="1297"/>
        <v>130.81</v>
      </c>
      <c r="AL394" s="4">
        <f t="shared" si="1175"/>
        <v>0.84789644012944965</v>
      </c>
      <c r="AM394" s="4">
        <f t="shared" si="1176"/>
        <v>219.74882905147061</v>
      </c>
      <c r="AN394" s="4">
        <f t="shared" si="1177"/>
        <v>0.80922330097087369</v>
      </c>
      <c r="AO394" s="4">
        <v>1.25</v>
      </c>
      <c r="AP394" s="4">
        <f t="shared" si="1112"/>
        <v>2.5</v>
      </c>
      <c r="AQ394" s="38">
        <f t="shared" si="1266"/>
        <v>471.1810141720569</v>
      </c>
      <c r="AR394" s="38">
        <f t="shared" si="1178"/>
        <v>471.1810141720569</v>
      </c>
      <c r="AS394" s="38">
        <f t="shared" si="1179"/>
        <v>4.7518593634836064</v>
      </c>
      <c r="AT394" s="38">
        <f t="shared" si="1121"/>
        <v>471.18101417205736</v>
      </c>
      <c r="AU394" s="38">
        <f t="shared" si="1086"/>
        <v>0.999999999999999</v>
      </c>
      <c r="AV394" s="38">
        <f t="shared" si="1249"/>
        <v>2.320907284851959</v>
      </c>
      <c r="AW394" s="4">
        <f t="shared" si="1230"/>
        <v>0</v>
      </c>
      <c r="AX394" s="4">
        <f t="shared" si="1298"/>
        <v>378.24863186770523</v>
      </c>
      <c r="AY394" s="4">
        <f t="shared" si="1267"/>
        <v>1.2020066889632108</v>
      </c>
      <c r="AZ394" s="38">
        <f t="shared" si="1102"/>
        <v>1093.567448275862</v>
      </c>
      <c r="BA394" s="4">
        <f t="shared" si="1268"/>
        <v>0.44000000000000006</v>
      </c>
      <c r="BB394" s="4">
        <f t="shared" si="1269"/>
        <v>86.959360466385462</v>
      </c>
      <c r="BC394" s="4">
        <f t="shared" si="1270"/>
        <v>1180.5268087422476</v>
      </c>
      <c r="BE394" s="4">
        <f t="shared" si="1122"/>
        <v>1.5</v>
      </c>
      <c r="BF394" s="4">
        <f t="shared" si="1128"/>
        <v>715.8814397698103</v>
      </c>
      <c r="BH394" s="4">
        <f t="shared" si="1129"/>
        <v>1048.8649174810398</v>
      </c>
      <c r="BI394" s="4">
        <f t="shared" si="1067"/>
        <v>0</v>
      </c>
      <c r="BJ394" s="4">
        <f t="shared" si="1130"/>
        <v>0</v>
      </c>
      <c r="BR394" s="4">
        <f t="shared" si="1271"/>
        <v>39.528749999999988</v>
      </c>
      <c r="BV394" s="9"/>
      <c r="BX394" s="9"/>
      <c r="BY394" s="9"/>
      <c r="BZ394" s="9">
        <f t="shared" si="1272"/>
        <v>39.528749999999988</v>
      </c>
      <c r="CA394" s="9">
        <f t="shared" si="1273"/>
        <v>63.5</v>
      </c>
      <c r="CB394" s="9">
        <f t="shared" si="1087"/>
        <v>1.6942549773761708</v>
      </c>
      <c r="CC394" s="40">
        <f t="shared" si="1299"/>
        <v>20</v>
      </c>
      <c r="CD394" s="9">
        <f t="shared" si="1274"/>
        <v>0.05</v>
      </c>
      <c r="CE394" s="9">
        <f t="shared" si="1275"/>
        <v>0.8</v>
      </c>
      <c r="CF394" s="9">
        <f t="shared" si="1276"/>
        <v>1</v>
      </c>
      <c r="CG394" s="9">
        <f t="shared" si="1277"/>
        <v>0.68</v>
      </c>
      <c r="CH394" s="9">
        <f t="shared" si="1088"/>
        <v>2.0757770792545673</v>
      </c>
      <c r="CI394" s="9">
        <f t="shared" si="1089"/>
        <v>5.1775173118540749</v>
      </c>
      <c r="CJ394" s="40">
        <v>1</v>
      </c>
      <c r="CK394" s="9">
        <f t="shared" si="1090"/>
        <v>481.30200930995477</v>
      </c>
      <c r="CM394" s="4">
        <f t="shared" si="1278"/>
        <v>2.0657822514428021</v>
      </c>
      <c r="CN394" s="4">
        <f t="shared" si="1279"/>
        <v>0.66189035654118</v>
      </c>
      <c r="CO394" s="4">
        <f t="shared" si="1242"/>
        <v>1.0914926228511777</v>
      </c>
      <c r="CP394" s="4">
        <f t="shared" si="1280"/>
        <v>1.6234698697084089</v>
      </c>
      <c r="CQ394" s="4">
        <f t="shared" si="1189"/>
        <v>0.9430316920738141</v>
      </c>
      <c r="CR394" s="4">
        <f t="shared" si="1190"/>
        <v>0.9601139047349182</v>
      </c>
      <c r="CS394" s="4">
        <f t="shared" si="1243"/>
        <v>1.418561096358864</v>
      </c>
      <c r="CT394" s="4">
        <f t="shared" si="1300"/>
        <v>4</v>
      </c>
      <c r="DA394" s="4">
        <f t="shared" ref="DA394:DB395" si="1340">CM394</f>
        <v>2.0657822514428021</v>
      </c>
      <c r="DB394" s="4">
        <f t="shared" si="1340"/>
        <v>0.66189035654118</v>
      </c>
      <c r="DC394" s="4">
        <f t="shared" ref="DC394:DC395" si="1341">CP394</f>
        <v>1.6234698697084089</v>
      </c>
      <c r="DD394" s="4">
        <f t="shared" ref="DD394:DD395" si="1342">CS394</f>
        <v>1.418561096358864</v>
      </c>
      <c r="DE394" s="4">
        <f t="shared" ref="DE394:DF395" si="1343">CQ394</f>
        <v>0.9430316920738141</v>
      </c>
      <c r="DF394" s="4">
        <f t="shared" si="1343"/>
        <v>0.9601139047349182</v>
      </c>
      <c r="DI394" s="4">
        <f t="shared" si="1285"/>
        <v>130.81</v>
      </c>
      <c r="DL394" s="4">
        <f t="shared" si="1166"/>
        <v>1.9720846814331535E-5</v>
      </c>
      <c r="DM394" s="4">
        <f t="shared" si="1313"/>
        <v>14.094970381632237</v>
      </c>
      <c r="DN394" s="4">
        <f t="shared" si="1167"/>
        <v>0.21388774111535619</v>
      </c>
      <c r="DO394" s="4">
        <f t="shared" si="1168"/>
        <v>7.6056883382842555</v>
      </c>
      <c r="DP394" s="4">
        <f t="shared" si="1169"/>
        <v>11.328995266091802</v>
      </c>
      <c r="DQ394" s="4">
        <f t="shared" si="1170"/>
        <v>13.428486755301332</v>
      </c>
      <c r="DR394" s="38">
        <f t="shared" si="1183"/>
        <v>828.58223844683539</v>
      </c>
      <c r="DS394" s="4">
        <f t="shared" si="1095"/>
        <v>1.0000854664505476</v>
      </c>
      <c r="DT394" s="4">
        <f t="shared" si="1171"/>
        <v>2.2360679774997898</v>
      </c>
      <c r="DU394" s="4">
        <f t="shared" si="1103"/>
        <v>471.18101417205736</v>
      </c>
      <c r="DY394" s="4">
        <f t="shared" si="1331"/>
        <v>0.85</v>
      </c>
      <c r="DZ394" s="4">
        <f t="shared" si="1096"/>
        <v>0.85100000000000009</v>
      </c>
      <c r="EA394" s="4">
        <f t="shared" si="1184"/>
        <v>0.85899999999999999</v>
      </c>
      <c r="EB394" s="4">
        <f t="shared" si="1097"/>
        <v>0.73100900000000002</v>
      </c>
      <c r="ED394" s="4">
        <f t="shared" si="1185"/>
        <v>813.84021884420258</v>
      </c>
      <c r="EE394" s="25">
        <f t="shared" si="1186"/>
        <v>465.41255101025371</v>
      </c>
      <c r="EG394" s="4">
        <f t="shared" si="1104"/>
        <v>0.62135764999999998</v>
      </c>
      <c r="EH394" s="4">
        <f t="shared" si="1187"/>
        <v>14.094970381632237</v>
      </c>
      <c r="EK394" s="4">
        <f t="shared" si="1172"/>
        <v>35.497579142809165</v>
      </c>
      <c r="EL394" s="4">
        <f t="shared" si="1173"/>
        <v>2.2360679774997898</v>
      </c>
      <c r="EM394" s="4">
        <f t="shared" si="1174"/>
        <v>0.10200581130786993</v>
      </c>
      <c r="EP394" s="4">
        <f t="shared" si="1301"/>
        <v>0.10200581130786993</v>
      </c>
      <c r="EQ394" s="4">
        <f t="shared" si="1257"/>
        <v>0.21353080233869065</v>
      </c>
      <c r="ER394" s="4">
        <f t="shared" si="1314"/>
        <v>7.6006088037226558</v>
      </c>
      <c r="ES394" s="4">
        <f t="shared" si="1286"/>
        <v>11.327304292034674</v>
      </c>
      <c r="ET394" s="4">
        <f t="shared" si="1315"/>
        <v>62.609920857190836</v>
      </c>
      <c r="EU394" s="4">
        <f t="shared" si="1316"/>
        <v>32.702499999999993</v>
      </c>
      <c r="EV394" s="4">
        <f t="shared" si="1098"/>
        <v>1.9720846814331531E-5</v>
      </c>
      <c r="EW394" s="4">
        <f t="shared" si="1287"/>
        <v>13.428644419645305</v>
      </c>
      <c r="EX394" s="4">
        <f t="shared" si="1131"/>
        <v>828.51142851580198</v>
      </c>
      <c r="FG394" s="23">
        <f t="shared" si="1329"/>
        <v>2.2000000000000002</v>
      </c>
      <c r="FH394" s="23">
        <f t="shared" si="1329"/>
        <v>0.8</v>
      </c>
      <c r="FI394" s="23">
        <f t="shared" si="1248"/>
        <v>1.6</v>
      </c>
      <c r="FJ394" s="23">
        <f t="shared" si="1330"/>
        <v>1.8</v>
      </c>
      <c r="FK394" s="23">
        <f t="shared" si="1330"/>
        <v>1</v>
      </c>
      <c r="FL394" s="23">
        <f t="shared" si="1330"/>
        <v>1</v>
      </c>
      <c r="FM394" s="23">
        <f t="shared" si="1195"/>
        <v>0</v>
      </c>
      <c r="FN394" s="23"/>
      <c r="FX394" s="4">
        <f t="shared" si="1099"/>
        <v>1</v>
      </c>
      <c r="FY394" s="4">
        <f t="shared" si="1139"/>
        <v>0.55723447154022165</v>
      </c>
      <c r="FZ394" s="4">
        <f t="shared" si="1100"/>
        <v>0.3</v>
      </c>
      <c r="GA394" s="4">
        <f t="shared" si="1101"/>
        <v>550.82527805848997</v>
      </c>
    </row>
    <row r="395" spans="1:183" ht="12" hidden="1" customHeight="1" x14ac:dyDescent="0.3">
      <c r="A395" s="25">
        <v>377</v>
      </c>
      <c r="B395" s="4" t="s">
        <v>605</v>
      </c>
      <c r="C395" s="4">
        <v>2016</v>
      </c>
      <c r="D395" s="4" t="s">
        <v>309</v>
      </c>
      <c r="E395" s="24" t="s">
        <v>674</v>
      </c>
      <c r="F395" s="7" t="s">
        <v>543</v>
      </c>
      <c r="G395" s="38">
        <f t="shared" si="1262"/>
        <v>958.62068965517244</v>
      </c>
      <c r="H395" s="38">
        <f>5.02*25.4</f>
        <v>127.50799999999998</v>
      </c>
      <c r="I395" s="4">
        <f t="shared" si="1288"/>
        <v>127.50799999999998</v>
      </c>
      <c r="J395" s="38">
        <f t="shared" si="1321"/>
        <v>76.068965517241381</v>
      </c>
      <c r="K395" s="38">
        <f t="shared" si="1264"/>
        <v>15.875</v>
      </c>
      <c r="L395" s="7">
        <f t="shared" si="1289"/>
        <v>8.0319999999999983</v>
      </c>
      <c r="M395" s="7">
        <f t="shared" si="1290"/>
        <v>8.0319999999999983</v>
      </c>
      <c r="N395" s="38">
        <f>12.9*25.4</f>
        <v>327.65999999999997</v>
      </c>
      <c r="O395" s="38">
        <f t="shared" si="1337"/>
        <v>63.5</v>
      </c>
      <c r="P395" s="39">
        <f>4.1*25.4</f>
        <v>104.13999999999999</v>
      </c>
      <c r="Q395" s="7">
        <f t="shared" si="1291"/>
        <v>76.517499999999984</v>
      </c>
      <c r="R395" s="38">
        <v>3</v>
      </c>
      <c r="S395" s="4">
        <f t="shared" si="1258"/>
        <v>133.35</v>
      </c>
      <c r="T395" s="7">
        <f t="shared" si="1292"/>
        <v>2.9099999999999997</v>
      </c>
      <c r="U395" s="7">
        <f t="shared" si="1127"/>
        <v>4.5</v>
      </c>
      <c r="V395" s="38">
        <v>4</v>
      </c>
      <c r="W395" s="4">
        <f t="shared" si="1293"/>
        <v>4</v>
      </c>
      <c r="X395" s="4">
        <f t="shared" si="1294"/>
        <v>5</v>
      </c>
      <c r="Y395" s="7">
        <f t="shared" si="1295"/>
        <v>35.497579142809165</v>
      </c>
      <c r="AB395" s="38">
        <f t="shared" si="1332"/>
        <v>859.31034482758628</v>
      </c>
      <c r="AC395" s="4">
        <v>124.6</v>
      </c>
      <c r="AD395" s="4">
        <f t="shared" si="1159"/>
        <v>1.0458763223941501</v>
      </c>
      <c r="AE395" s="38">
        <f t="shared" si="1338"/>
        <v>9.5249999999999986</v>
      </c>
      <c r="AF395" s="38">
        <v>10</v>
      </c>
      <c r="AG395" s="39">
        <f>1.75*25.4</f>
        <v>44.449999999999996</v>
      </c>
      <c r="AH395" s="39">
        <v>3</v>
      </c>
      <c r="AI395" s="39">
        <f t="shared" si="1339"/>
        <v>2</v>
      </c>
      <c r="AJ395" s="7"/>
      <c r="AK395" s="4">
        <f t="shared" si="1297"/>
        <v>127.50799999999998</v>
      </c>
      <c r="AL395" s="4">
        <f t="shared" si="1175"/>
        <v>0.856573705179283</v>
      </c>
      <c r="AM395" s="4">
        <f t="shared" si="1176"/>
        <v>211.48097390514772</v>
      </c>
      <c r="AN395" s="4">
        <f t="shared" si="1177"/>
        <v>0.81205179282868523</v>
      </c>
      <c r="AO395" s="4">
        <v>1.25</v>
      </c>
      <c r="AP395" s="4">
        <f t="shared" si="1112"/>
        <v>2.5</v>
      </c>
      <c r="AQ395" s="38">
        <f t="shared" si="1266"/>
        <v>459.69501197583168</v>
      </c>
      <c r="AR395" s="38">
        <f t="shared" si="1178"/>
        <v>459.69501197583168</v>
      </c>
      <c r="AS395" s="38">
        <f t="shared" si="1179"/>
        <v>4.7518593634836064</v>
      </c>
      <c r="AT395" s="38">
        <f t="shared" si="1121"/>
        <v>459.69501197583151</v>
      </c>
      <c r="AU395" s="38">
        <f t="shared" si="1086"/>
        <v>1.0000000000000004</v>
      </c>
      <c r="AV395" s="38">
        <f t="shared" si="1249"/>
        <v>2.3471262006064104</v>
      </c>
      <c r="AW395" s="4">
        <f t="shared" si="1230"/>
        <v>0</v>
      </c>
      <c r="AX395" s="4">
        <f t="shared" si="1298"/>
        <v>368.70060815065631</v>
      </c>
      <c r="AY395" s="4">
        <f t="shared" si="1267"/>
        <v>1.2185567010309279</v>
      </c>
      <c r="AZ395" s="38">
        <f t="shared" si="1102"/>
        <v>1078.9622068965518</v>
      </c>
      <c r="BA395" s="4">
        <f t="shared" si="1268"/>
        <v>0.44000000000000006</v>
      </c>
      <c r="BB395" s="4">
        <f t="shared" si="1269"/>
        <v>84.764269813835909</v>
      </c>
      <c r="BC395" s="4">
        <f t="shared" si="1270"/>
        <v>1163.7264767103877</v>
      </c>
      <c r="BE395" s="4">
        <f t="shared" si="1122"/>
        <v>1.5</v>
      </c>
      <c r="BF395" s="4">
        <f t="shared" si="1128"/>
        <v>707.71787949173347</v>
      </c>
      <c r="BH395" s="4">
        <f t="shared" si="1129"/>
        <v>1034.856704893647</v>
      </c>
      <c r="BI395" s="4">
        <f t="shared" si="1067"/>
        <v>0</v>
      </c>
      <c r="BJ395" s="4">
        <f t="shared" si="1130"/>
        <v>0</v>
      </c>
      <c r="BR395" s="4">
        <f t="shared" si="1271"/>
        <v>38.258749999999992</v>
      </c>
      <c r="BV395" s="9"/>
      <c r="BX395" s="9"/>
      <c r="BY395" s="9"/>
      <c r="BZ395" s="9">
        <f t="shared" si="1272"/>
        <v>38.258749999999992</v>
      </c>
      <c r="CA395" s="9">
        <f t="shared" si="1273"/>
        <v>63.5</v>
      </c>
      <c r="CB395" s="9">
        <f t="shared" si="1087"/>
        <v>1.6750005871158282</v>
      </c>
      <c r="CC395" s="40">
        <f t="shared" si="1299"/>
        <v>20</v>
      </c>
      <c r="CD395" s="9">
        <f t="shared" si="1274"/>
        <v>0.05</v>
      </c>
      <c r="CE395" s="9">
        <f t="shared" si="1275"/>
        <v>0.8</v>
      </c>
      <c r="CF395" s="9">
        <f t="shared" si="1276"/>
        <v>1</v>
      </c>
      <c r="CG395" s="9">
        <f t="shared" si="1277"/>
        <v>0.68</v>
      </c>
      <c r="CH395" s="9">
        <f t="shared" si="1088"/>
        <v>2.0757770792545673</v>
      </c>
      <c r="CI395" s="9">
        <f t="shared" si="1089"/>
        <v>5.1375494898766334</v>
      </c>
      <c r="CJ395" s="40">
        <v>1</v>
      </c>
      <c r="CK395" s="9">
        <f t="shared" si="1090"/>
        <v>473.31215940335449</v>
      </c>
      <c r="CM395" s="4">
        <f t="shared" si="1278"/>
        <v>2.3306453144673411</v>
      </c>
      <c r="CN395" s="4">
        <f t="shared" si="1279"/>
        <v>0.73841264422949071</v>
      </c>
      <c r="CO395" s="4">
        <f t="shared" si="1242"/>
        <v>1.2141990046156852</v>
      </c>
      <c r="CP395" s="4">
        <f t="shared" si="1280"/>
        <v>1.8155256055766906</v>
      </c>
      <c r="CQ395" s="4">
        <f t="shared" si="1189"/>
        <v>1.0458763223941501</v>
      </c>
      <c r="CR395" s="4">
        <f t="shared" si="1190"/>
        <v>1.0627262740118579</v>
      </c>
      <c r="CS395" s="4">
        <f t="shared" si="1243"/>
        <v>1.6217447857525504</v>
      </c>
      <c r="CT395" s="4">
        <f t="shared" si="1300"/>
        <v>10</v>
      </c>
      <c r="DA395" s="4">
        <f t="shared" si="1340"/>
        <v>2.3306453144673411</v>
      </c>
      <c r="DB395" s="4">
        <f t="shared" si="1340"/>
        <v>0.73841264422949071</v>
      </c>
      <c r="DC395" s="4">
        <f t="shared" si="1341"/>
        <v>1.8155256055766906</v>
      </c>
      <c r="DD395" s="4">
        <f t="shared" si="1342"/>
        <v>1.6217447857525504</v>
      </c>
      <c r="DE395" s="4">
        <f t="shared" si="1343"/>
        <v>1.0458763223941501</v>
      </c>
      <c r="DF395" s="4">
        <f t="shared" si="1343"/>
        <v>1.0627262740118579</v>
      </c>
      <c r="DI395" s="4">
        <f t="shared" si="1285"/>
        <v>127.50799999999998</v>
      </c>
      <c r="DL395" s="4">
        <f t="shared" si="1166"/>
        <v>1.9223039030668795E-5</v>
      </c>
      <c r="DM395" s="4">
        <f t="shared" si="1313"/>
        <v>14.719357433866572</v>
      </c>
      <c r="DN395" s="4">
        <f t="shared" si="1167"/>
        <v>0.20867378938490794</v>
      </c>
      <c r="DO395" s="4">
        <f t="shared" si="1168"/>
        <v>7.8645886568405601</v>
      </c>
      <c r="DP395" s="4">
        <f t="shared" si="1169"/>
        <v>11.804978006229822</v>
      </c>
      <c r="DQ395" s="4">
        <f t="shared" si="1170"/>
        <v>14.033080781393064</v>
      </c>
      <c r="DR395" s="38">
        <f t="shared" si="1183"/>
        <v>821.61755307789213</v>
      </c>
      <c r="DS395" s="4">
        <f t="shared" si="1095"/>
        <v>1.0000875778782294</v>
      </c>
      <c r="DT395" s="4">
        <f t="shared" si="1171"/>
        <v>2.2360679774997898</v>
      </c>
      <c r="DU395" s="4">
        <f t="shared" si="1103"/>
        <v>459.69501197583151</v>
      </c>
      <c r="DY395" s="4">
        <f t="shared" si="1331"/>
        <v>0.85</v>
      </c>
      <c r="DZ395" s="4">
        <f t="shared" si="1096"/>
        <v>0.8590000000000001</v>
      </c>
      <c r="EA395" s="4">
        <f t="shared" si="1184"/>
        <v>0.7</v>
      </c>
      <c r="EB395" s="4">
        <f t="shared" si="1097"/>
        <v>0.7</v>
      </c>
      <c r="ED395" s="4">
        <f t="shared" si="1185"/>
        <v>808.59047700367478</v>
      </c>
      <c r="EE395" s="25">
        <f t="shared" si="1186"/>
        <v>453.912840277226</v>
      </c>
      <c r="EG395" s="4">
        <f t="shared" si="1104"/>
        <v>0.59499999999999997</v>
      </c>
      <c r="EH395" s="4">
        <f t="shared" si="1187"/>
        <v>14.719357433866572</v>
      </c>
      <c r="EK395" s="4">
        <f t="shared" si="1172"/>
        <v>35.497579142809165</v>
      </c>
      <c r="EL395" s="4">
        <f t="shared" si="1173"/>
        <v>2.2360679774997898</v>
      </c>
      <c r="EM395" s="4">
        <f t="shared" si="1174"/>
        <v>9.951921074997444E-2</v>
      </c>
      <c r="EP395" s="4">
        <f t="shared" si="1301"/>
        <v>9.951921074997444E-2</v>
      </c>
      <c r="EQ395" s="4">
        <f t="shared" si="1257"/>
        <v>0.20832555172193198</v>
      </c>
      <c r="ER395" s="4">
        <f t="shared" si="1314"/>
        <v>7.8593362131275946</v>
      </c>
      <c r="ES395" s="4">
        <f t="shared" si="1286"/>
        <v>11.803243573120547</v>
      </c>
      <c r="ET395" s="4">
        <f t="shared" si="1315"/>
        <v>60.133420857190821</v>
      </c>
      <c r="EU395" s="4">
        <f t="shared" si="1316"/>
        <v>31.876999999999988</v>
      </c>
      <c r="EV395" s="4">
        <f t="shared" si="1098"/>
        <v>1.9223039030668792E-5</v>
      </c>
      <c r="EW395" s="4">
        <f t="shared" si="1287"/>
        <v>14.03324384448673</v>
      </c>
      <c r="EX395" s="4">
        <f t="shared" si="1131"/>
        <v>821.54560385703758</v>
      </c>
      <c r="FG395" s="23">
        <f t="shared" si="1329"/>
        <v>2.2000000000000002</v>
      </c>
      <c r="FH395" s="23">
        <f t="shared" si="1329"/>
        <v>0.8</v>
      </c>
      <c r="FI395" s="23">
        <f t="shared" si="1248"/>
        <v>1.8</v>
      </c>
      <c r="FJ395" s="23">
        <f t="shared" si="1330"/>
        <v>2</v>
      </c>
      <c r="FK395" s="23">
        <f t="shared" si="1330"/>
        <v>1.2</v>
      </c>
      <c r="FL395" s="23">
        <f t="shared" si="1330"/>
        <v>1.2</v>
      </c>
      <c r="FM395" s="23">
        <f t="shared" si="1195"/>
        <v>0</v>
      </c>
      <c r="FN395" s="23"/>
      <c r="FX395" s="4">
        <f t="shared" si="1099"/>
        <v>1</v>
      </c>
      <c r="FY395" s="4">
        <f t="shared" si="1139"/>
        <v>0.56465190210980853</v>
      </c>
      <c r="FZ395" s="4">
        <f t="shared" si="1100"/>
        <v>0.3</v>
      </c>
      <c r="GA395" s="4">
        <f t="shared" si="1101"/>
        <v>529.86780187416116</v>
      </c>
    </row>
    <row r="396" spans="1:183" ht="12" hidden="1" customHeight="1" x14ac:dyDescent="0.3">
      <c r="A396" s="25">
        <v>378</v>
      </c>
      <c r="B396" s="4" t="s">
        <v>605</v>
      </c>
      <c r="C396" s="4">
        <v>2016</v>
      </c>
      <c r="D396" s="4" t="s">
        <v>309</v>
      </c>
      <c r="E396" s="24" t="s">
        <v>674</v>
      </c>
      <c r="F396" s="7" t="s">
        <v>544</v>
      </c>
      <c r="G396" s="38">
        <f t="shared" si="1262"/>
        <v>958.62068965517244</v>
      </c>
      <c r="H396" s="38">
        <f>5.19*25.4</f>
        <v>131.82599999999999</v>
      </c>
      <c r="I396" s="4">
        <f t="shared" si="1288"/>
        <v>131.82599999999999</v>
      </c>
      <c r="J396" s="38">
        <f t="shared" si="1321"/>
        <v>76.068965517241381</v>
      </c>
      <c r="K396" s="38">
        <f t="shared" si="1264"/>
        <v>15.875</v>
      </c>
      <c r="L396" s="7">
        <f t="shared" si="1289"/>
        <v>8.3040000000000003</v>
      </c>
      <c r="M396" s="7">
        <f t="shared" si="1290"/>
        <v>8.3040000000000003</v>
      </c>
      <c r="N396" s="38">
        <f>12.8*25.4</f>
        <v>325.12</v>
      </c>
      <c r="O396" s="38">
        <f t="shared" si="1337"/>
        <v>63.5</v>
      </c>
      <c r="P396" s="39">
        <f>3.9*25.4</f>
        <v>99.059999999999988</v>
      </c>
      <c r="Q396" s="7">
        <f t="shared" si="1291"/>
        <v>44.873333333333335</v>
      </c>
      <c r="R396" s="38">
        <v>4</v>
      </c>
      <c r="S396" s="4">
        <f t="shared" si="1258"/>
        <v>133.35</v>
      </c>
      <c r="T396" s="7">
        <f t="shared" si="1292"/>
        <v>1.9133333333333333</v>
      </c>
      <c r="U396" s="7">
        <f t="shared" si="1127"/>
        <v>4.5</v>
      </c>
      <c r="V396" s="38">
        <v>4</v>
      </c>
      <c r="W396" s="4">
        <f t="shared" si="1293"/>
        <v>4</v>
      </c>
      <c r="X396" s="4">
        <f t="shared" si="1294"/>
        <v>5</v>
      </c>
      <c r="Y396" s="7">
        <f t="shared" si="1295"/>
        <v>35.497579142809165</v>
      </c>
      <c r="AB396" s="38">
        <f t="shared" si="1332"/>
        <v>570.34482758620697</v>
      </c>
      <c r="AC396" s="4">
        <v>82.7</v>
      </c>
      <c r="AD396" s="4">
        <f t="shared" si="1159"/>
        <v>0.93075915185163327</v>
      </c>
      <c r="AE396" s="38"/>
      <c r="AF396" s="38"/>
      <c r="AG396" s="39">
        <v>1</v>
      </c>
      <c r="AH396" s="39"/>
      <c r="AI396" s="39"/>
      <c r="AJ396" s="7"/>
      <c r="AK396" s="4">
        <f t="shared" si="1297"/>
        <v>131.82599999999999</v>
      </c>
      <c r="AL396" s="4">
        <f t="shared" si="1175"/>
        <v>0.82209377007064866</v>
      </c>
      <c r="AM396" s="4">
        <f t="shared" si="1176"/>
        <v>166.73548079390528</v>
      </c>
      <c r="AN396" s="4">
        <f t="shared" si="1177"/>
        <v>0.80838150289017341</v>
      </c>
      <c r="AO396" s="4">
        <v>1.25</v>
      </c>
      <c r="AP396" s="4">
        <f t="shared" si="1112"/>
        <v>2.5</v>
      </c>
      <c r="AQ396" s="38">
        <f t="shared" si="1266"/>
        <v>346.27072202772723</v>
      </c>
      <c r="AR396" s="38">
        <f t="shared" si="1178"/>
        <v>346.27072202772723</v>
      </c>
      <c r="AS396" s="38">
        <f t="shared" si="1179"/>
        <v>4.7518593634836064</v>
      </c>
      <c r="AT396" s="38">
        <f t="shared" si="1121"/>
        <v>346.27072202772706</v>
      </c>
      <c r="AU396" s="38">
        <f t="shared" si="1086"/>
        <v>1.0000000000000004</v>
      </c>
      <c r="AV396" s="38">
        <f t="shared" si="1249"/>
        <v>2.5904738238524363</v>
      </c>
      <c r="AW396" s="4">
        <f t="shared" si="1230"/>
        <v>0</v>
      </c>
      <c r="AX396" s="4">
        <f t="shared" si="1298"/>
        <v>381.18648531910492</v>
      </c>
      <c r="AY396" s="4">
        <f t="shared" si="1267"/>
        <v>1.540766550522648</v>
      </c>
      <c r="AZ396" s="38">
        <f t="shared" si="1102"/>
        <v>897.00524137931018</v>
      </c>
      <c r="BA396" s="4">
        <f t="shared" si="1268"/>
        <v>0.44000000000000006</v>
      </c>
      <c r="BB396" s="4">
        <f t="shared" si="1269"/>
        <v>87.63477297486223</v>
      </c>
      <c r="BC396" s="4">
        <f t="shared" si="1270"/>
        <v>984.64001435417242</v>
      </c>
      <c r="BE396" s="4">
        <f t="shared" si="1122"/>
        <v>1.5</v>
      </c>
      <c r="BF396" s="4">
        <f t="shared" si="1128"/>
        <v>718.39330447075702</v>
      </c>
      <c r="BH396" s="4">
        <f t="shared" si="1129"/>
        <v>860.3377230757111</v>
      </c>
      <c r="BI396" s="4">
        <f t="shared" si="1067"/>
        <v>0</v>
      </c>
      <c r="BJ396" s="4">
        <f t="shared" si="1130"/>
        <v>0</v>
      </c>
      <c r="BR396" s="4">
        <f t="shared" si="1271"/>
        <v>22.436666666666667</v>
      </c>
      <c r="BV396" s="9"/>
      <c r="BX396" s="9"/>
      <c r="BY396" s="9"/>
      <c r="BZ396" s="9">
        <f t="shared" si="1272"/>
        <v>22.436666666666667</v>
      </c>
      <c r="CA396" s="9">
        <f t="shared" si="1273"/>
        <v>63.5</v>
      </c>
      <c r="CB396" s="9">
        <f t="shared" si="1087"/>
        <v>1.3896153710408319</v>
      </c>
      <c r="CC396" s="40">
        <f t="shared" si="1299"/>
        <v>0</v>
      </c>
      <c r="CD396" s="9">
        <f t="shared" si="1274"/>
        <v>0</v>
      </c>
      <c r="CE396" s="9">
        <f t="shared" si="1275"/>
        <v>0</v>
      </c>
      <c r="CF396" s="9">
        <f t="shared" si="1276"/>
        <v>1</v>
      </c>
      <c r="CG396" s="9">
        <f t="shared" si="1277"/>
        <v>0.68</v>
      </c>
      <c r="CH396" s="9">
        <f t="shared" si="1088"/>
        <v>2.0757770792545673</v>
      </c>
      <c r="CI396" s="9">
        <f t="shared" si="1089"/>
        <v>2.88453173618639</v>
      </c>
      <c r="CJ396" s="40">
        <v>1</v>
      </c>
      <c r="CK396" s="9">
        <f t="shared" si="1090"/>
        <v>268.88451032035056</v>
      </c>
      <c r="CM396" s="4">
        <f t="shared" si="1278"/>
        <v>1.4962356997225408</v>
      </c>
      <c r="CN396" s="4">
        <f t="shared" si="1279"/>
        <v>0.57924197602338701</v>
      </c>
      <c r="CO396" s="4">
        <f t="shared" si="1242"/>
        <v>0.79391723730830444</v>
      </c>
      <c r="CP396" s="4">
        <f t="shared" si="1280"/>
        <v>2.1211516680774762</v>
      </c>
      <c r="CQ396" s="4">
        <f t="shared" si="1189"/>
        <v>0.93075915185163327</v>
      </c>
      <c r="CR396" s="4">
        <f t="shared" si="1190"/>
        <v>0.93527480684988118</v>
      </c>
      <c r="CS396" s="4">
        <f t="shared" si="1243"/>
        <v>1.5631748888459425</v>
      </c>
      <c r="CT396" s="4">
        <f t="shared" si="1300"/>
        <v>0</v>
      </c>
      <c r="CU396" s="4">
        <f t="shared" ref="CU396:CV396" si="1344">CM396</f>
        <v>1.4962356997225408</v>
      </c>
      <c r="CV396" s="4">
        <f t="shared" si="1344"/>
        <v>0.57924197602338701</v>
      </c>
      <c r="CW396" s="4">
        <f t="shared" ref="CW396" si="1345">CP396</f>
        <v>2.1211516680774762</v>
      </c>
      <c r="CX396" s="4">
        <f t="shared" ref="CX396" si="1346">CS396</f>
        <v>1.5631748888459425</v>
      </c>
      <c r="CY396" s="4">
        <f t="shared" ref="CY396:CZ396" si="1347">CQ396</f>
        <v>0.93075915185163327</v>
      </c>
      <c r="CZ396" s="4">
        <f t="shared" si="1347"/>
        <v>0.93527480684988118</v>
      </c>
      <c r="DI396" s="4">
        <f t="shared" si="1285"/>
        <v>131.82599999999999</v>
      </c>
      <c r="DL396" s="4">
        <f t="shared" si="1166"/>
        <v>1.987401844007391E-5</v>
      </c>
      <c r="DM396" s="4">
        <f t="shared" si="1313"/>
        <v>10.747792284812169</v>
      </c>
      <c r="DN396" s="4">
        <f t="shared" si="1167"/>
        <v>0.15718600775762356</v>
      </c>
      <c r="DO396" s="4">
        <f t="shared" si="1168"/>
        <v>5.1272538285529041</v>
      </c>
      <c r="DP396" s="4">
        <f t="shared" si="1169"/>
        <v>8.4257362124731756</v>
      </c>
      <c r="DQ396" s="4">
        <f t="shared" si="1170"/>
        <v>10.368938630659107</v>
      </c>
      <c r="DR396" s="38">
        <f t="shared" si="1183"/>
        <v>612.77380560972688</v>
      </c>
      <c r="DS396" s="4">
        <f t="shared" si="1095"/>
        <v>1.0000756720077577</v>
      </c>
      <c r="DT396" s="4">
        <f t="shared" si="1171"/>
        <v>2.2360679774997898</v>
      </c>
      <c r="DU396" s="4">
        <f t="shared" si="1103"/>
        <v>346.27072202772706</v>
      </c>
      <c r="DY396" s="4">
        <f t="shared" si="1331"/>
        <v>0.85</v>
      </c>
      <c r="DZ396" s="4">
        <f t="shared" si="1096"/>
        <v>0.95866666666666667</v>
      </c>
      <c r="EA396" s="4">
        <f t="shared" si="1184"/>
        <v>1</v>
      </c>
      <c r="EB396" s="4">
        <f t="shared" si="1097"/>
        <v>0.95866666666666667</v>
      </c>
      <c r="ED396" s="4">
        <f t="shared" si="1185"/>
        <v>609.8152365583303</v>
      </c>
      <c r="EE396" s="25">
        <f t="shared" si="1186"/>
        <v>342.0662351590895</v>
      </c>
      <c r="EG396" s="4">
        <f t="shared" si="1104"/>
        <v>0.81486666666666663</v>
      </c>
      <c r="EH396" s="4">
        <f t="shared" si="1187"/>
        <v>10.747792284812169</v>
      </c>
      <c r="EK396" s="4">
        <f t="shared" si="1172"/>
        <v>35.497579142809165</v>
      </c>
      <c r="EL396" s="4">
        <f t="shared" si="1173"/>
        <v>2.2360679774997898</v>
      </c>
      <c r="EM396" s="4">
        <f t="shared" si="1174"/>
        <v>7.4964026287574675E-2</v>
      </c>
      <c r="EP396" s="4">
        <f t="shared" si="1301"/>
        <v>7.4964026287574675E-2</v>
      </c>
      <c r="EQ396" s="4">
        <f t="shared" si="1257"/>
        <v>0.15692369360616554</v>
      </c>
      <c r="ER396" s="4">
        <f t="shared" si="1314"/>
        <v>5.12382954111568</v>
      </c>
      <c r="ES396" s="4">
        <f t="shared" si="1286"/>
        <v>8.4247093924266547</v>
      </c>
      <c r="ET396" s="4">
        <f t="shared" si="1315"/>
        <v>63.371920857190823</v>
      </c>
      <c r="EU396" s="4">
        <f t="shared" si="1316"/>
        <v>32.956499999999998</v>
      </c>
      <c r="EV396" s="4">
        <f t="shared" si="1098"/>
        <v>1.987401844007391E-5</v>
      </c>
      <c r="EW396" s="4">
        <f t="shared" si="1287"/>
        <v>10.36901780042032</v>
      </c>
      <c r="EX396" s="4">
        <f t="shared" si="1131"/>
        <v>612.72743929418721</v>
      </c>
      <c r="FG396" s="23">
        <f t="shared" si="1329"/>
        <v>1.6</v>
      </c>
      <c r="FH396" s="23">
        <f t="shared" si="1329"/>
        <v>0.6</v>
      </c>
      <c r="FI396" s="23">
        <f t="shared" si="1248"/>
        <v>1.6</v>
      </c>
      <c r="FJ396" s="23">
        <f t="shared" si="1330"/>
        <v>2.2000000000000002</v>
      </c>
      <c r="FK396" s="23">
        <f t="shared" si="1330"/>
        <v>1</v>
      </c>
      <c r="FL396" s="23">
        <f t="shared" si="1330"/>
        <v>1</v>
      </c>
      <c r="FM396" s="23">
        <f t="shared" si="1195"/>
        <v>0</v>
      </c>
      <c r="FN396" s="23"/>
      <c r="FX396" s="4">
        <f t="shared" si="1099"/>
        <v>1</v>
      </c>
      <c r="FY396" s="4">
        <f t="shared" si="1139"/>
        <v>0.84777777777777774</v>
      </c>
      <c r="FZ396" s="4">
        <f t="shared" si="1100"/>
        <v>0</v>
      </c>
      <c r="GA396" s="4">
        <f t="shared" si="1101"/>
        <v>364.86309475408729</v>
      </c>
    </row>
    <row r="397" spans="1:183" ht="12" hidden="1" customHeight="1" x14ac:dyDescent="0.3">
      <c r="A397" s="25">
        <v>379</v>
      </c>
      <c r="B397" s="4" t="s">
        <v>605</v>
      </c>
      <c r="C397" s="4">
        <v>2016</v>
      </c>
      <c r="D397" s="4" t="s">
        <v>309</v>
      </c>
      <c r="E397" s="24" t="s">
        <v>674</v>
      </c>
      <c r="F397" s="7" t="s">
        <v>545</v>
      </c>
      <c r="G397" s="38">
        <f t="shared" si="1262"/>
        <v>958.62068965517244</v>
      </c>
      <c r="H397" s="38">
        <f>5.03*25.4</f>
        <v>127.762</v>
      </c>
      <c r="I397" s="4">
        <f t="shared" si="1288"/>
        <v>127.762</v>
      </c>
      <c r="J397" s="38">
        <f t="shared" si="1321"/>
        <v>76.068965517241381</v>
      </c>
      <c r="K397" s="38">
        <f t="shared" si="1264"/>
        <v>15.875</v>
      </c>
      <c r="L397" s="7">
        <f t="shared" si="1289"/>
        <v>8.048</v>
      </c>
      <c r="M397" s="7">
        <f t="shared" si="1290"/>
        <v>8.048</v>
      </c>
      <c r="N397" s="38">
        <f>13*25.4</f>
        <v>330.2</v>
      </c>
      <c r="O397" s="38">
        <f t="shared" si="1337"/>
        <v>63.5</v>
      </c>
      <c r="P397" s="39">
        <f>4*25.4</f>
        <v>101.6</v>
      </c>
      <c r="Q397" s="7">
        <f t="shared" si="1291"/>
        <v>46.566666666666663</v>
      </c>
      <c r="R397" s="38">
        <v>4</v>
      </c>
      <c r="S397" s="4">
        <f t="shared" si="1258"/>
        <v>133.35</v>
      </c>
      <c r="T397" s="7">
        <f t="shared" si="1292"/>
        <v>1.9666666666666666</v>
      </c>
      <c r="U397" s="7">
        <f t="shared" si="1127"/>
        <v>4.5</v>
      </c>
      <c r="V397" s="38">
        <v>4</v>
      </c>
      <c r="W397" s="4">
        <f t="shared" si="1293"/>
        <v>4</v>
      </c>
      <c r="X397" s="4">
        <f t="shared" si="1294"/>
        <v>5</v>
      </c>
      <c r="Y397" s="7">
        <f t="shared" si="1295"/>
        <v>35.497579142809165</v>
      </c>
      <c r="AB397" s="38">
        <f t="shared" si="1332"/>
        <v>687.58620689655174</v>
      </c>
      <c r="AC397" s="4">
        <v>99.7</v>
      </c>
      <c r="AD397" s="4">
        <f t="shared" si="1159"/>
        <v>1.0597976267559761</v>
      </c>
      <c r="AE397" s="38">
        <f t="shared" ref="AE397:AE398" si="1348">0.375*25.4</f>
        <v>9.5249999999999986</v>
      </c>
      <c r="AF397" s="38">
        <v>4</v>
      </c>
      <c r="AG397" s="39">
        <f>3.5*25.4</f>
        <v>88.899999999999991</v>
      </c>
      <c r="AH397" s="39">
        <v>2</v>
      </c>
      <c r="AI397" s="39">
        <f t="shared" ref="AI397:AI398" si="1349">AH397-1</f>
        <v>1</v>
      </c>
      <c r="AJ397" s="7"/>
      <c r="AK397" s="4">
        <f t="shared" si="1297"/>
        <v>127.762</v>
      </c>
      <c r="AL397" s="4">
        <f t="shared" si="1175"/>
        <v>0.86149768058316756</v>
      </c>
      <c r="AM397" s="4">
        <f t="shared" si="1176"/>
        <v>159.0849028201888</v>
      </c>
      <c r="AN397" s="4">
        <f t="shared" si="1177"/>
        <v>0.81182902584493033</v>
      </c>
      <c r="AO397" s="4">
        <v>1.25</v>
      </c>
      <c r="AP397" s="4">
        <f t="shared" si="1112"/>
        <v>2.5</v>
      </c>
      <c r="AQ397" s="38">
        <f t="shared" si="1266"/>
        <v>347.69438408733856</v>
      </c>
      <c r="AR397" s="38">
        <f t="shared" si="1178"/>
        <v>347.69438408733856</v>
      </c>
      <c r="AS397" s="38">
        <f t="shared" si="1179"/>
        <v>4.7518593634836064</v>
      </c>
      <c r="AT397" s="38">
        <f t="shared" si="1121"/>
        <v>347.69438408733862</v>
      </c>
      <c r="AU397" s="38">
        <f t="shared" si="1086"/>
        <v>0.99999999999999989</v>
      </c>
      <c r="AV397" s="38">
        <f t="shared" si="1249"/>
        <v>2.6078709075086741</v>
      </c>
      <c r="AW397" s="4">
        <f t="shared" si="1230"/>
        <v>0</v>
      </c>
      <c r="AX397" s="4">
        <f t="shared" si="1298"/>
        <v>369.43507151350633</v>
      </c>
      <c r="AY397" s="4">
        <f t="shared" si="1267"/>
        <v>1.5152542372881357</v>
      </c>
      <c r="AZ397" s="38">
        <f t="shared" si="1102"/>
        <v>906.74206896551721</v>
      </c>
      <c r="BA397" s="4">
        <f t="shared" si="1268"/>
        <v>0.44000000000000006</v>
      </c>
      <c r="BB397" s="4">
        <f t="shared" si="1269"/>
        <v>84.933122940955116</v>
      </c>
      <c r="BC397" s="4">
        <f t="shared" si="1270"/>
        <v>991.67519190647226</v>
      </c>
      <c r="BE397" s="4">
        <f t="shared" si="1122"/>
        <v>1.5</v>
      </c>
      <c r="BF397" s="4">
        <f t="shared" si="1128"/>
        <v>708.34584566697015</v>
      </c>
      <c r="BH397" s="4">
        <f t="shared" si="1129"/>
        <v>869.6765314673064</v>
      </c>
      <c r="BI397" s="4">
        <f t="shared" ref="BI397:BI449" si="1350">8/3*Z397*AA397^2/(Y397-K397-22)/K397*(Y397^2-K397^2)/(Y397^2-(K397+22)^2)</f>
        <v>0</v>
      </c>
      <c r="BJ397" s="4">
        <f t="shared" si="1130"/>
        <v>0</v>
      </c>
      <c r="BR397" s="4">
        <f t="shared" si="1271"/>
        <v>23.283333333333331</v>
      </c>
      <c r="BV397" s="9"/>
      <c r="BX397" s="9"/>
      <c r="BY397" s="9"/>
      <c r="BZ397" s="9">
        <f t="shared" si="1272"/>
        <v>23.283333333333331</v>
      </c>
      <c r="CA397" s="9">
        <f t="shared" si="1273"/>
        <v>63.5</v>
      </c>
      <c r="CB397" s="9">
        <f t="shared" si="1087"/>
        <v>1.4077482505972425</v>
      </c>
      <c r="CC397" s="40">
        <f t="shared" si="1299"/>
        <v>20</v>
      </c>
      <c r="CD397" s="9">
        <f t="shared" si="1274"/>
        <v>0.05</v>
      </c>
      <c r="CE397" s="9">
        <f t="shared" si="1275"/>
        <v>0.8</v>
      </c>
      <c r="CF397" s="9">
        <f t="shared" si="1276"/>
        <v>1</v>
      </c>
      <c r="CG397" s="9">
        <f t="shared" si="1277"/>
        <v>0.68</v>
      </c>
      <c r="CH397" s="9">
        <f t="shared" si="1088"/>
        <v>2.0757770792545673</v>
      </c>
      <c r="CI397" s="9">
        <f t="shared" si="1089"/>
        <v>4.5827932153541244</v>
      </c>
      <c r="CJ397" s="40">
        <v>1</v>
      </c>
      <c r="CK397" s="9">
        <f t="shared" si="1090"/>
        <v>422.49687210992738</v>
      </c>
      <c r="CM397" s="4">
        <f t="shared" si="1278"/>
        <v>1.8611828164544308</v>
      </c>
      <c r="CN397" s="4">
        <f t="shared" si="1279"/>
        <v>0.69335828153035006</v>
      </c>
      <c r="CO397" s="4">
        <f t="shared" si="1242"/>
        <v>0.97069279237337602</v>
      </c>
      <c r="CP397" s="4">
        <f t="shared" si="1280"/>
        <v>1.6274350232766979</v>
      </c>
      <c r="CQ397" s="4">
        <f t="shared" si="1189"/>
        <v>1.0597976267559761</v>
      </c>
      <c r="CR397" s="4">
        <f t="shared" si="1190"/>
        <v>1.0625500982773062</v>
      </c>
      <c r="CS397" s="4">
        <f t="shared" si="1243"/>
        <v>1.4956819971499853</v>
      </c>
      <c r="CT397" s="4">
        <f t="shared" si="1300"/>
        <v>4</v>
      </c>
      <c r="DA397" s="4">
        <f t="shared" ref="DA397:DB398" si="1351">CM397</f>
        <v>1.8611828164544308</v>
      </c>
      <c r="DB397" s="4">
        <f t="shared" si="1351"/>
        <v>0.69335828153035006</v>
      </c>
      <c r="DC397" s="4">
        <f t="shared" ref="DC397:DC398" si="1352">CP397</f>
        <v>1.6274350232766979</v>
      </c>
      <c r="DD397" s="4">
        <f t="shared" ref="DD397:DD398" si="1353">CS397</f>
        <v>1.4956819971499853</v>
      </c>
      <c r="DE397" s="4">
        <f t="shared" ref="DE397:DF398" si="1354">CQ397</f>
        <v>1.0597976267559761</v>
      </c>
      <c r="DF397" s="4">
        <f t="shared" si="1354"/>
        <v>1.0625500982773062</v>
      </c>
      <c r="DI397" s="4">
        <f t="shared" si="1285"/>
        <v>127.762</v>
      </c>
      <c r="DL397" s="4">
        <f t="shared" si="1166"/>
        <v>1.9261331937104394E-5</v>
      </c>
      <c r="DM397" s="4">
        <f t="shared" si="1313"/>
        <v>12.581978805701782</v>
      </c>
      <c r="DN397" s="4">
        <f t="shared" si="1167"/>
        <v>0.15783226440397216</v>
      </c>
      <c r="DO397" s="4">
        <f t="shared" si="1168"/>
        <v>6.0121147926331782</v>
      </c>
      <c r="DP397" s="4">
        <f t="shared" si="1169"/>
        <v>9.8666068378636407</v>
      </c>
      <c r="DQ397" s="4">
        <f t="shared" si="1170"/>
        <v>12.096419492605579</v>
      </c>
      <c r="DR397" s="38">
        <f t="shared" si="1183"/>
        <v>648.79009872973802</v>
      </c>
      <c r="DS397" s="4">
        <f t="shared" si="1095"/>
        <v>1.0000823254166304</v>
      </c>
      <c r="DT397" s="4">
        <f t="shared" si="1171"/>
        <v>2.2360679774997898</v>
      </c>
      <c r="DU397" s="4">
        <f t="shared" si="1103"/>
        <v>347.69438408733862</v>
      </c>
      <c r="DY397" s="4">
        <f t="shared" si="1331"/>
        <v>0.85</v>
      </c>
      <c r="DZ397" s="4">
        <f t="shared" si="1096"/>
        <v>0.95333333333333337</v>
      </c>
      <c r="EA397" s="4">
        <f t="shared" si="1184"/>
        <v>0.85899999999999999</v>
      </c>
      <c r="EB397" s="4">
        <f t="shared" si="1097"/>
        <v>0.81891333333333338</v>
      </c>
      <c r="ED397" s="4">
        <f t="shared" si="1185"/>
        <v>647.10944736753891</v>
      </c>
      <c r="EE397" s="25">
        <f t="shared" si="1186"/>
        <v>343.33015108267512</v>
      </c>
      <c r="EG397" s="4">
        <f t="shared" si="1104"/>
        <v>0.69607633333333341</v>
      </c>
      <c r="EH397" s="4">
        <f t="shared" si="1187"/>
        <v>12.581978805701782</v>
      </c>
      <c r="EK397" s="4">
        <f t="shared" si="1172"/>
        <v>35.497579142809165</v>
      </c>
      <c r="EL397" s="4">
        <f t="shared" si="1173"/>
        <v>2.2360679774997898</v>
      </c>
      <c r="EM397" s="4">
        <f t="shared" si="1174"/>
        <v>7.5272234383934614E-2</v>
      </c>
      <c r="EP397" s="4">
        <f t="shared" si="1301"/>
        <v>7.5272234383934614E-2</v>
      </c>
      <c r="EQ397" s="4">
        <f t="shared" si="1257"/>
        <v>0.15756887177061726</v>
      </c>
      <c r="ER397" s="4">
        <f t="shared" si="1314"/>
        <v>6.0080995420050707</v>
      </c>
      <c r="ES397" s="4">
        <f t="shared" si="1286"/>
        <v>9.8654010734024293</v>
      </c>
      <c r="ET397" s="4">
        <f t="shared" si="1315"/>
        <v>60.323920857190835</v>
      </c>
      <c r="EU397" s="4">
        <f t="shared" si="1316"/>
        <v>31.940499999999993</v>
      </c>
      <c r="EV397" s="4">
        <f t="shared" si="1098"/>
        <v>1.9261331937104387E-5</v>
      </c>
      <c r="EW397" s="4">
        <f t="shared" si="1287"/>
        <v>12.09652302975371</v>
      </c>
      <c r="EX397" s="4">
        <f t="shared" si="1131"/>
        <v>648.7366912113506</v>
      </c>
      <c r="FG397" s="23">
        <f t="shared" si="1329"/>
        <v>2</v>
      </c>
      <c r="FH397" s="23">
        <f t="shared" si="1329"/>
        <v>0.8</v>
      </c>
      <c r="FI397" s="23">
        <f t="shared" si="1248"/>
        <v>1.6</v>
      </c>
      <c r="FJ397" s="23">
        <f t="shared" si="1330"/>
        <v>1.8</v>
      </c>
      <c r="FK397" s="23">
        <f t="shared" si="1330"/>
        <v>1.2</v>
      </c>
      <c r="FL397" s="23">
        <f t="shared" si="1330"/>
        <v>1.2</v>
      </c>
      <c r="FM397" s="23">
        <f t="shared" si="1195"/>
        <v>0</v>
      </c>
      <c r="FN397" s="23"/>
      <c r="FX397" s="4">
        <f t="shared" si="1099"/>
        <v>1</v>
      </c>
      <c r="FY397" s="4">
        <f t="shared" si="1139"/>
        <v>0.65211577090952166</v>
      </c>
      <c r="FZ397" s="4">
        <f t="shared" si="1100"/>
        <v>0.3</v>
      </c>
      <c r="GA397" s="4">
        <f t="shared" si="1101"/>
        <v>459.71416932659741</v>
      </c>
    </row>
    <row r="398" spans="1:183" ht="12" hidden="1" customHeight="1" x14ac:dyDescent="0.3">
      <c r="A398" s="25">
        <v>380</v>
      </c>
      <c r="B398" s="4" t="s">
        <v>605</v>
      </c>
      <c r="C398" s="4">
        <v>2016</v>
      </c>
      <c r="D398" s="4" t="s">
        <v>309</v>
      </c>
      <c r="E398" s="24" t="s">
        <v>674</v>
      </c>
      <c r="F398" s="7" t="s">
        <v>546</v>
      </c>
      <c r="G398" s="38">
        <f t="shared" si="1262"/>
        <v>958.62068965517244</v>
      </c>
      <c r="H398" s="38">
        <f>5.19*25.4</f>
        <v>131.82599999999999</v>
      </c>
      <c r="I398" s="4">
        <f t="shared" si="1288"/>
        <v>131.82599999999999</v>
      </c>
      <c r="J398" s="38">
        <f t="shared" si="1321"/>
        <v>76.068965517241381</v>
      </c>
      <c r="K398" s="38">
        <f t="shared" si="1264"/>
        <v>15.875</v>
      </c>
      <c r="L398" s="7">
        <f t="shared" si="1289"/>
        <v>8.3040000000000003</v>
      </c>
      <c r="M398" s="7">
        <f t="shared" si="1290"/>
        <v>8.3040000000000003</v>
      </c>
      <c r="N398" s="38">
        <f>13.3*25.4</f>
        <v>337.82</v>
      </c>
      <c r="O398" s="38">
        <f t="shared" si="1337"/>
        <v>63.5</v>
      </c>
      <c r="P398" s="39">
        <f>3.8*25.4</f>
        <v>96.52</v>
      </c>
      <c r="Q398" s="7">
        <f t="shared" si="1291"/>
        <v>49.106666666666662</v>
      </c>
      <c r="R398" s="38">
        <v>4</v>
      </c>
      <c r="S398" s="4">
        <f t="shared" si="1258"/>
        <v>133.35</v>
      </c>
      <c r="T398" s="7">
        <f t="shared" si="1292"/>
        <v>2.0466666666666664</v>
      </c>
      <c r="U398" s="7">
        <f t="shared" si="1127"/>
        <v>4.5</v>
      </c>
      <c r="V398" s="38">
        <v>4</v>
      </c>
      <c r="W398" s="4">
        <f t="shared" si="1293"/>
        <v>4</v>
      </c>
      <c r="X398" s="4">
        <f t="shared" si="1294"/>
        <v>5</v>
      </c>
      <c r="Y398" s="7">
        <f t="shared" si="1295"/>
        <v>35.497579142809165</v>
      </c>
      <c r="AB398" s="38">
        <f t="shared" si="1332"/>
        <v>1070.344827586207</v>
      </c>
      <c r="AC398" s="4">
        <v>155.19999999999999</v>
      </c>
      <c r="AD398" s="4">
        <f t="shared" si="1159"/>
        <v>1.4770163586145215</v>
      </c>
      <c r="AE398" s="38">
        <f t="shared" si="1348"/>
        <v>9.5249999999999986</v>
      </c>
      <c r="AF398" s="38">
        <v>10</v>
      </c>
      <c r="AG398" s="39">
        <f>1.75*25.4</f>
        <v>44.449999999999996</v>
      </c>
      <c r="AH398" s="39">
        <v>3</v>
      </c>
      <c r="AI398" s="39">
        <f t="shared" si="1349"/>
        <v>2</v>
      </c>
      <c r="AJ398" s="7"/>
      <c r="AK398" s="4">
        <f t="shared" si="1297"/>
        <v>131.82599999999999</v>
      </c>
      <c r="AL398" s="4">
        <f t="shared" si="1175"/>
        <v>0.85420680796403337</v>
      </c>
      <c r="AM398" s="4">
        <f t="shared" si="1176"/>
        <v>166.73548079390528</v>
      </c>
      <c r="AN398" s="4">
        <f t="shared" si="1177"/>
        <v>0.80838150289017341</v>
      </c>
      <c r="AO398" s="4">
        <v>1.25</v>
      </c>
      <c r="AP398" s="4">
        <f t="shared" si="1112"/>
        <v>2.5</v>
      </c>
      <c r="AQ398" s="38">
        <f t="shared" si="1266"/>
        <v>359.7969221069352</v>
      </c>
      <c r="AR398" s="38">
        <f t="shared" si="1178"/>
        <v>359.7969221069352</v>
      </c>
      <c r="AS398" s="38">
        <f t="shared" si="1179"/>
        <v>4.7518593634836064</v>
      </c>
      <c r="AT398" s="38">
        <f t="shared" si="1121"/>
        <v>359.7969221069352</v>
      </c>
      <c r="AU398" s="38">
        <f t="shared" si="1086"/>
        <v>1</v>
      </c>
      <c r="AV398" s="38">
        <f t="shared" si="1249"/>
        <v>2.5607426126646908</v>
      </c>
      <c r="AW398" s="4">
        <f t="shared" si="1230"/>
        <v>0</v>
      </c>
      <c r="AX398" s="4">
        <f t="shared" si="1298"/>
        <v>381.18648531910492</v>
      </c>
      <c r="AY398" s="4">
        <f t="shared" si="1267"/>
        <v>1.4794788273615636</v>
      </c>
      <c r="AZ398" s="38">
        <f t="shared" si="1102"/>
        <v>921.34731034482752</v>
      </c>
      <c r="BA398" s="4">
        <f t="shared" si="1268"/>
        <v>0.44000000000000006</v>
      </c>
      <c r="BB398" s="4">
        <f t="shared" si="1269"/>
        <v>87.63477297486223</v>
      </c>
      <c r="BC398" s="4">
        <f t="shared" si="1270"/>
        <v>1008.9820833196898</v>
      </c>
      <c r="BE398" s="4">
        <f t="shared" si="1122"/>
        <v>1.5</v>
      </c>
      <c r="BF398" s="4">
        <f t="shared" si="1128"/>
        <v>718.39330447075702</v>
      </c>
      <c r="BH398" s="4">
        <f t="shared" si="1129"/>
        <v>883.68474405469908</v>
      </c>
      <c r="BI398" s="4">
        <f t="shared" si="1350"/>
        <v>0</v>
      </c>
      <c r="BJ398" s="4">
        <f t="shared" si="1130"/>
        <v>0</v>
      </c>
      <c r="BR398" s="4">
        <f t="shared" si="1271"/>
        <v>24.553333333333331</v>
      </c>
      <c r="BV398" s="9"/>
      <c r="BX398" s="9"/>
      <c r="BY398" s="9"/>
      <c r="BZ398" s="9">
        <f t="shared" si="1272"/>
        <v>24.553333333333331</v>
      </c>
      <c r="CA398" s="9">
        <f t="shared" si="1273"/>
        <v>63.5</v>
      </c>
      <c r="CB398" s="9">
        <f t="shared" si="1087"/>
        <v>1.4341608165436117</v>
      </c>
      <c r="CC398" s="40">
        <f t="shared" si="1299"/>
        <v>20</v>
      </c>
      <c r="CD398" s="9">
        <f t="shared" si="1274"/>
        <v>0.05</v>
      </c>
      <c r="CE398" s="9">
        <f t="shared" si="1275"/>
        <v>0.8</v>
      </c>
      <c r="CF398" s="9">
        <f t="shared" si="1276"/>
        <v>1</v>
      </c>
      <c r="CG398" s="9">
        <f t="shared" si="1277"/>
        <v>0.68</v>
      </c>
      <c r="CH398" s="9">
        <f t="shared" si="1088"/>
        <v>2.0757770792545673</v>
      </c>
      <c r="CI398" s="9">
        <f t="shared" si="1089"/>
        <v>4.6376198143498968</v>
      </c>
      <c r="CJ398" s="40">
        <v>1</v>
      </c>
      <c r="CK398" s="9">
        <f t="shared" si="1090"/>
        <v>432.30036861443995</v>
      </c>
      <c r="CM398" s="47">
        <f t="shared" si="1278"/>
        <v>2.8079296323692664</v>
      </c>
      <c r="CN398" s="47">
        <f t="shared" si="1279"/>
        <v>1.0608164855263091</v>
      </c>
      <c r="CO398" s="47">
        <f t="shared" si="1242"/>
        <v>1.4899148153597199</v>
      </c>
      <c r="CP398" s="47">
        <f t="shared" si="1280"/>
        <v>2.4759285563802655</v>
      </c>
      <c r="CQ398" s="47">
        <f t="shared" si="1189"/>
        <v>1.4770163586145215</v>
      </c>
      <c r="CR398" s="47">
        <f t="shared" si="1190"/>
        <v>1.4822322141280799</v>
      </c>
      <c r="CS398" s="47">
        <f t="shared" si="1243"/>
        <v>2.2308393728048879</v>
      </c>
      <c r="CT398" s="4">
        <f t="shared" si="1300"/>
        <v>10</v>
      </c>
      <c r="DA398" s="4">
        <f t="shared" si="1351"/>
        <v>2.8079296323692664</v>
      </c>
      <c r="DB398" s="4">
        <f t="shared" si="1351"/>
        <v>1.0608164855263091</v>
      </c>
      <c r="DC398" s="4">
        <f t="shared" si="1352"/>
        <v>2.4759285563802655</v>
      </c>
      <c r="DD398" s="4">
        <f t="shared" si="1353"/>
        <v>2.2308393728048879</v>
      </c>
      <c r="DE398" s="4">
        <f t="shared" si="1354"/>
        <v>1.4770163586145215</v>
      </c>
      <c r="DF398" s="4">
        <f t="shared" si="1354"/>
        <v>1.4822322141280799</v>
      </c>
      <c r="DI398" s="4">
        <f t="shared" si="1285"/>
        <v>131.82599999999999</v>
      </c>
      <c r="DL398" s="4">
        <f t="shared" si="1166"/>
        <v>1.987401844007391E-5</v>
      </c>
      <c r="DM398" s="4">
        <f t="shared" si="1313"/>
        <v>14.719357433866572</v>
      </c>
      <c r="DN398" s="4">
        <f t="shared" si="1167"/>
        <v>0.16332608618565578</v>
      </c>
      <c r="DO398" s="4">
        <f t="shared" si="1168"/>
        <v>7.1303537009958502</v>
      </c>
      <c r="DP398" s="4">
        <f t="shared" si="1169"/>
        <v>11.571998230954497</v>
      </c>
      <c r="DQ398" s="4">
        <f t="shared" si="1170"/>
        <v>14.007178283150786</v>
      </c>
      <c r="DR398" s="38">
        <f t="shared" si="1183"/>
        <v>724.66687409624717</v>
      </c>
      <c r="DS398" s="4">
        <f t="shared" si="1095"/>
        <v>1.000088942262886</v>
      </c>
      <c r="DT398" s="4">
        <f t="shared" si="1171"/>
        <v>2.2360679774997898</v>
      </c>
      <c r="DU398" s="4">
        <f t="shared" si="1103"/>
        <v>359.7969221069352</v>
      </c>
      <c r="DY398" s="4">
        <f t="shared" si="1331"/>
        <v>0.85</v>
      </c>
      <c r="DZ398" s="4">
        <f t="shared" si="1096"/>
        <v>0.94533333333333336</v>
      </c>
      <c r="EA398" s="4">
        <f t="shared" si="1184"/>
        <v>0.7</v>
      </c>
      <c r="EB398" s="4">
        <f t="shared" si="1097"/>
        <v>0.7</v>
      </c>
      <c r="ED398" s="4">
        <f t="shared" si="1185"/>
        <v>722.11682986247547</v>
      </c>
      <c r="EE398" s="25">
        <f t="shared" si="1186"/>
        <v>355.4281974699914</v>
      </c>
      <c r="EG398" s="4">
        <f t="shared" si="1104"/>
        <v>0.59499999999999997</v>
      </c>
      <c r="EH398" s="4">
        <f t="shared" si="1187"/>
        <v>14.719357433866572</v>
      </c>
      <c r="EK398" s="4">
        <f t="shared" si="1172"/>
        <v>35.497579142809165</v>
      </c>
      <c r="EL398" s="4">
        <f t="shared" si="1173"/>
        <v>2.2360679774997898</v>
      </c>
      <c r="EM398" s="4">
        <f t="shared" si="1174"/>
        <v>7.7892308564433063E-2</v>
      </c>
      <c r="EP398" s="4">
        <f t="shared" si="1301"/>
        <v>7.7892308564433063E-2</v>
      </c>
      <c r="EQ398" s="4">
        <f t="shared" si="1257"/>
        <v>0.16305352538765638</v>
      </c>
      <c r="ER398" s="4">
        <f t="shared" si="1314"/>
        <v>7.1255916233968595</v>
      </c>
      <c r="ES398" s="4">
        <f t="shared" si="1286"/>
        <v>11.57055098542124</v>
      </c>
      <c r="ET398" s="4">
        <f t="shared" si="1315"/>
        <v>63.371920857190823</v>
      </c>
      <c r="EU398" s="4">
        <f t="shared" si="1316"/>
        <v>32.956499999999998</v>
      </c>
      <c r="EV398" s="4">
        <f t="shared" si="1098"/>
        <v>1.987401844007391E-5</v>
      </c>
      <c r="EW398" s="4">
        <f t="shared" si="1287"/>
        <v>14.007329386301928</v>
      </c>
      <c r="EX398" s="4">
        <f t="shared" si="1131"/>
        <v>724.60242631675783</v>
      </c>
      <c r="FG398" s="23">
        <f t="shared" si="1329"/>
        <v>2.2000000000000002</v>
      </c>
      <c r="FH398" s="23">
        <f t="shared" si="1329"/>
        <v>1.2</v>
      </c>
      <c r="FI398" s="23">
        <f t="shared" si="1248"/>
        <v>2.2000000000000002</v>
      </c>
      <c r="FJ398" s="23">
        <f t="shared" si="1330"/>
        <v>2.2000000000000002</v>
      </c>
      <c r="FK398" s="23">
        <f t="shared" si="1330"/>
        <v>1.6</v>
      </c>
      <c r="FL398" s="23">
        <f t="shared" si="1330"/>
        <v>1.6</v>
      </c>
      <c r="FM398" s="23">
        <f t="shared" si="1195"/>
        <v>0</v>
      </c>
      <c r="FN398" s="23"/>
      <c r="FX398" s="4">
        <f t="shared" si="1099"/>
        <v>1</v>
      </c>
      <c r="FY398" s="4">
        <f t="shared" si="1139"/>
        <v>0.64469834033993467</v>
      </c>
      <c r="FZ398" s="4">
        <f t="shared" si="1100"/>
        <v>0.3</v>
      </c>
      <c r="GA398" s="4">
        <f t="shared" si="1101"/>
        <v>479.79466412251668</v>
      </c>
    </row>
    <row r="399" spans="1:183" ht="12" hidden="1" customHeight="1" x14ac:dyDescent="0.3">
      <c r="A399" s="25">
        <v>381</v>
      </c>
      <c r="B399" s="4" t="s">
        <v>605</v>
      </c>
      <c r="C399" s="4">
        <v>2016</v>
      </c>
      <c r="D399" s="4" t="s">
        <v>309</v>
      </c>
      <c r="E399" s="14" t="s">
        <v>547</v>
      </c>
      <c r="F399" s="7" t="s">
        <v>548</v>
      </c>
      <c r="G399" s="38">
        <f>135/0.145</f>
        <v>931.0344827586207</v>
      </c>
      <c r="H399" s="38">
        <f>16.56*25.4</f>
        <v>420.62399999999997</v>
      </c>
      <c r="I399" s="4">
        <f t="shared" si="1288"/>
        <v>420.62399999999997</v>
      </c>
      <c r="J399" s="38">
        <f>4050/145</f>
        <v>27.931034482758619</v>
      </c>
      <c r="K399" s="38">
        <f>1.41*25.4</f>
        <v>35.813999999999993</v>
      </c>
      <c r="L399" s="7">
        <f t="shared" si="1289"/>
        <v>11.744680851063832</v>
      </c>
      <c r="M399" s="7">
        <f t="shared" si="1290"/>
        <v>11.744680851063832</v>
      </c>
      <c r="N399" s="38">
        <f>21.9*25.4</f>
        <v>556.25999999999988</v>
      </c>
      <c r="O399" s="38">
        <f t="shared" si="1337"/>
        <v>63.5</v>
      </c>
      <c r="P399" s="39">
        <f>4*25.4</f>
        <v>101.6</v>
      </c>
      <c r="Q399" s="7">
        <f t="shared" si="1291"/>
        <v>357.63199999999989</v>
      </c>
      <c r="R399" s="38">
        <v>2</v>
      </c>
      <c r="S399" s="4">
        <f>20*25.4</f>
        <v>508</v>
      </c>
      <c r="T399" s="7">
        <f t="shared" si="1292"/>
        <v>2.2730496453900715</v>
      </c>
      <c r="U399" s="7">
        <f t="shared" si="1127"/>
        <v>2.2730496453900715</v>
      </c>
      <c r="V399" s="38">
        <v>3.8</v>
      </c>
      <c r="W399" s="4">
        <f t="shared" si="1293"/>
        <v>3.8</v>
      </c>
      <c r="X399" s="4">
        <f t="shared" si="1294"/>
        <v>4.8</v>
      </c>
      <c r="Y399" s="7">
        <f t="shared" si="1295"/>
        <v>78.464542697960056</v>
      </c>
      <c r="AB399" s="38">
        <f t="shared" si="1332"/>
        <v>431.0344827586207</v>
      </c>
      <c r="AC399" s="4">
        <v>62.5</v>
      </c>
      <c r="AD399" s="4">
        <f t="shared" si="1159"/>
        <v>0.9223210736286156</v>
      </c>
      <c r="AE399" s="38"/>
      <c r="AF399" s="38"/>
      <c r="AG399" s="39">
        <v>1</v>
      </c>
      <c r="AH399" s="39"/>
      <c r="AI399" s="39"/>
      <c r="AJ399" s="7"/>
      <c r="AK399" s="4">
        <f t="shared" si="1297"/>
        <v>420.62399999999997</v>
      </c>
      <c r="AL399" s="4">
        <f t="shared" si="1175"/>
        <v>0.44082125603864725</v>
      </c>
      <c r="AM399" s="4">
        <f t="shared" si="1176"/>
        <v>226.28671014164769</v>
      </c>
      <c r="AN399" s="4">
        <f t="shared" si="1177"/>
        <v>0.73870772946859897</v>
      </c>
      <c r="AO399" s="4">
        <v>1.25</v>
      </c>
      <c r="AP399" s="4">
        <f t="shared" si="1112"/>
        <v>2.5</v>
      </c>
      <c r="AQ399" s="38">
        <f t="shared" si="1266"/>
        <v>230.27364801496174</v>
      </c>
      <c r="AR399" s="38">
        <f t="shared" si="1178"/>
        <v>230.27364801496174</v>
      </c>
      <c r="AS399" s="38">
        <f t="shared" si="1179"/>
        <v>2.761717606769436</v>
      </c>
      <c r="AT399" s="38">
        <f t="shared" si="1121"/>
        <v>230.27364801496179</v>
      </c>
      <c r="AU399" s="38">
        <f t="shared" si="1086"/>
        <v>0.99999999999999978</v>
      </c>
      <c r="AV399" s="38">
        <f t="shared" si="1249"/>
        <v>1.0749134448372641</v>
      </c>
      <c r="AW399" s="4">
        <f t="shared" si="1230"/>
        <v>0</v>
      </c>
      <c r="AX399" s="4">
        <f t="shared" si="1298"/>
        <v>326.68645582856072</v>
      </c>
      <c r="AY399" s="4">
        <f t="shared" si="1267"/>
        <v>1</v>
      </c>
      <c r="AZ399" s="38">
        <f t="shared" si="1102"/>
        <v>247.52424024300623</v>
      </c>
      <c r="BA399" s="4">
        <f t="shared" si="1268"/>
        <v>0.46800000000000008</v>
      </c>
      <c r="BB399" s="4">
        <f t="shared" si="1269"/>
        <v>79.884639043757986</v>
      </c>
      <c r="BC399" s="4">
        <f t="shared" si="1270"/>
        <v>327.4088792867642</v>
      </c>
      <c r="BE399" s="4">
        <f t="shared" si="1122"/>
        <v>1.1932624113475179</v>
      </c>
      <c r="BF399" s="4">
        <f t="shared" si="1128"/>
        <v>411.390030865977</v>
      </c>
      <c r="BH399" s="4">
        <f t="shared" si="1129"/>
        <v>237.40601663515</v>
      </c>
      <c r="BI399" s="4">
        <f t="shared" si="1350"/>
        <v>0</v>
      </c>
      <c r="BJ399" s="4">
        <f t="shared" si="1130"/>
        <v>0</v>
      </c>
      <c r="BR399" s="4">
        <f t="shared" si="1271"/>
        <v>63.5</v>
      </c>
      <c r="BV399" s="9"/>
      <c r="BX399" s="9"/>
      <c r="BY399" s="9"/>
      <c r="BZ399" s="9">
        <f t="shared" si="1272"/>
        <v>63.5</v>
      </c>
      <c r="CA399" s="9">
        <f t="shared" si="1273"/>
        <v>178.81599999999995</v>
      </c>
      <c r="CB399" s="9">
        <f t="shared" si="1087"/>
        <v>1.5552683910541685</v>
      </c>
      <c r="CC399" s="40">
        <f t="shared" si="1299"/>
        <v>0</v>
      </c>
      <c r="CD399" s="9">
        <f t="shared" si="1274"/>
        <v>0</v>
      </c>
      <c r="CE399" s="9">
        <f t="shared" si="1275"/>
        <v>0</v>
      </c>
      <c r="CF399" s="9">
        <f t="shared" si="1276"/>
        <v>0.89777220146327208</v>
      </c>
      <c r="CG399" s="9">
        <f t="shared" si="1277"/>
        <v>0.68</v>
      </c>
      <c r="CH399" s="9">
        <f t="shared" si="1088"/>
        <v>1.129240956903802</v>
      </c>
      <c r="CI399" s="9">
        <f t="shared" si="1089"/>
        <v>1.7562727661562458</v>
      </c>
      <c r="CJ399" s="40">
        <v>1</v>
      </c>
      <c r="CK399" s="9">
        <f t="shared" si="1090"/>
        <v>187.88381847305541</v>
      </c>
      <c r="CM399" s="4">
        <f t="shared" si="1278"/>
        <v>1.3194133857352812</v>
      </c>
      <c r="CN399" s="4">
        <f t="shared" si="1279"/>
        <v>1.3165021171618716</v>
      </c>
      <c r="CO399" s="4">
        <f t="shared" si="1242"/>
        <v>1.0477514047953278</v>
      </c>
      <c r="CP399" s="4">
        <f t="shared" si="1280"/>
        <v>2.2941543676388276</v>
      </c>
      <c r="CQ399" s="4">
        <f t="shared" si="1189"/>
        <v>0.9223210736286156</v>
      </c>
      <c r="CR399" s="4">
        <f t="shared" si="1190"/>
        <v>1.0182198876788391</v>
      </c>
      <c r="CS399" s="4">
        <f t="shared" si="1243"/>
        <v>0.95053003455679075</v>
      </c>
      <c r="CT399" s="4">
        <f t="shared" si="1300"/>
        <v>0</v>
      </c>
      <c r="CU399" s="4">
        <f t="shared" ref="CU399:CV399" si="1355">CM399</f>
        <v>1.3194133857352812</v>
      </c>
      <c r="CV399" s="4">
        <f t="shared" si="1355"/>
        <v>1.3165021171618716</v>
      </c>
      <c r="CW399" s="4">
        <f t="shared" ref="CW399" si="1356">CP399</f>
        <v>2.2941543676388276</v>
      </c>
      <c r="CX399" s="4">
        <f t="shared" ref="CX399" si="1357">CS399</f>
        <v>0.95053003455679075</v>
      </c>
      <c r="CY399" s="4">
        <f t="shared" ref="CY399:CZ399" si="1358">CQ399</f>
        <v>0.9223210736286156</v>
      </c>
      <c r="CZ399" s="4">
        <f t="shared" si="1358"/>
        <v>1.0182198876788391</v>
      </c>
      <c r="DI399" s="4">
        <f t="shared" si="1285"/>
        <v>420.62399999999997</v>
      </c>
      <c r="DL399" s="4">
        <f t="shared" si="1166"/>
        <v>2.0661842577189241E-5</v>
      </c>
      <c r="DM399" s="4">
        <f t="shared" si="1313"/>
        <v>5.5362830674967025</v>
      </c>
      <c r="DN399" s="4">
        <f t="shared" si="1167"/>
        <v>0.66239027581160248</v>
      </c>
      <c r="DO399" s="4">
        <f t="shared" si="1168"/>
        <v>4.695305626185454</v>
      </c>
      <c r="DP399" s="4">
        <f t="shared" si="1169"/>
        <v>5.133057714115556</v>
      </c>
      <c r="DQ399" s="4">
        <f t="shared" si="1170"/>
        <v>5.1121815424678534</v>
      </c>
      <c r="DR399" s="38">
        <f t="shared" si="1183"/>
        <v>467.33669552061247</v>
      </c>
      <c r="DS399" s="4">
        <f t="shared" si="1095"/>
        <v>1.0001367016551315</v>
      </c>
      <c r="DT399" s="4">
        <f t="shared" si="1171"/>
        <v>2.1908902300206643</v>
      </c>
      <c r="DU399" s="4">
        <f t="shared" si="1103"/>
        <v>230.27364801496179</v>
      </c>
      <c r="DY399" s="4">
        <f t="shared" si="1331"/>
        <v>0.85</v>
      </c>
      <c r="DZ399" s="4">
        <f t="shared" si="1096"/>
        <v>0.92269503546099285</v>
      </c>
      <c r="EA399" s="4">
        <f t="shared" si="1184"/>
        <v>1</v>
      </c>
      <c r="EB399" s="4">
        <f t="shared" si="1097"/>
        <v>0.92269503546099285</v>
      </c>
      <c r="ED399" s="4">
        <f t="shared" si="1185"/>
        <v>423.32161056215301</v>
      </c>
      <c r="EE399" s="25">
        <f t="shared" si="1186"/>
        <v>228.25597737546067</v>
      </c>
      <c r="EG399" s="4">
        <f t="shared" si="1104"/>
        <v>0.78429078014184395</v>
      </c>
      <c r="EH399" s="4">
        <f t="shared" si="1187"/>
        <v>5.5362830674967025</v>
      </c>
      <c r="EK399" s="4">
        <f t="shared" si="1172"/>
        <v>78.464542697960056</v>
      </c>
      <c r="EL399" s="4">
        <f t="shared" si="1173"/>
        <v>2.1908902300206643</v>
      </c>
      <c r="EM399" s="4">
        <f t="shared" si="1174"/>
        <v>0.19142238549023421</v>
      </c>
      <c r="EP399" s="4">
        <f t="shared" si="1301"/>
        <v>0.19142238549023421</v>
      </c>
      <c r="EQ399" s="4">
        <f t="shared" si="1257"/>
        <v>0.66128486989403812</v>
      </c>
      <c r="ER399" s="4">
        <f t="shared" si="1314"/>
        <v>4.6921698196489912</v>
      </c>
      <c r="ES399" s="4">
        <f t="shared" si="1286"/>
        <v>5.1316239823884038</v>
      </c>
      <c r="ET399" s="4">
        <f t="shared" si="1315"/>
        <v>237.00345730203992</v>
      </c>
      <c r="EU399" s="4">
        <f t="shared" si="1316"/>
        <v>105.15600000000001</v>
      </c>
      <c r="EV399" s="4">
        <f t="shared" si="1098"/>
        <v>2.0661842577189244E-5</v>
      </c>
      <c r="EW399" s="4">
        <f t="shared" si="1287"/>
        <v>5.1123139797210948</v>
      </c>
      <c r="EX399" s="4">
        <f t="shared" si="1131"/>
        <v>467.27281855291835</v>
      </c>
      <c r="FG399" s="23">
        <f t="shared" si="1329"/>
        <v>1.4</v>
      </c>
      <c r="FH399" s="23">
        <f t="shared" si="1329"/>
        <v>1.4</v>
      </c>
      <c r="FI399" s="23">
        <f t="shared" si="1248"/>
        <v>1</v>
      </c>
      <c r="FJ399" s="23">
        <f t="shared" si="1330"/>
        <v>2.2000000000000002</v>
      </c>
      <c r="FK399" s="23">
        <f t="shared" si="1330"/>
        <v>1</v>
      </c>
      <c r="FL399" s="23">
        <f t="shared" si="1330"/>
        <v>1.2</v>
      </c>
      <c r="FM399" s="23">
        <f t="shared" si="1195"/>
        <v>0</v>
      </c>
      <c r="FN399" s="23"/>
      <c r="FX399" s="4">
        <f t="shared" si="1099"/>
        <v>1</v>
      </c>
      <c r="FY399" s="4">
        <f t="shared" si="1139"/>
        <v>0.5</v>
      </c>
      <c r="FZ399" s="4">
        <f t="shared" si="1100"/>
        <v>0</v>
      </c>
      <c r="GA399" s="4">
        <f t="shared" si="1101"/>
        <v>453.46750453772006</v>
      </c>
    </row>
    <row r="400" spans="1:183" ht="12" hidden="1" customHeight="1" x14ac:dyDescent="0.3">
      <c r="A400" s="25">
        <v>382</v>
      </c>
      <c r="B400" s="4" t="s">
        <v>605</v>
      </c>
      <c r="C400" s="4">
        <v>2016</v>
      </c>
      <c r="D400" s="4" t="s">
        <v>309</v>
      </c>
      <c r="E400" s="14" t="s">
        <v>547</v>
      </c>
      <c r="F400" s="7" t="s">
        <v>549</v>
      </c>
      <c r="G400" s="38">
        <f t="shared" ref="G400:G406" si="1359">135/0.145</f>
        <v>931.0344827586207</v>
      </c>
      <c r="H400" s="38">
        <f>17.44*25.4</f>
        <v>442.976</v>
      </c>
      <c r="I400" s="4">
        <f t="shared" si="1288"/>
        <v>442.976</v>
      </c>
      <c r="J400" s="38">
        <f>4050/145</f>
        <v>27.931034482758619</v>
      </c>
      <c r="K400" s="38">
        <f t="shared" ref="K400:K406" si="1360">1.41*25.4</f>
        <v>35.813999999999993</v>
      </c>
      <c r="L400" s="7">
        <f t="shared" si="1289"/>
        <v>12.368794326241137</v>
      </c>
      <c r="M400" s="7">
        <f t="shared" si="1290"/>
        <v>12.368794326241137</v>
      </c>
      <c r="N400" s="38">
        <f>21.7*25.4</f>
        <v>551.17999999999995</v>
      </c>
      <c r="O400" s="38">
        <f>2.6*25.4</f>
        <v>66.039999999999992</v>
      </c>
      <c r="P400" s="39">
        <f>3*25.4</f>
        <v>76.199999999999989</v>
      </c>
      <c r="Q400" s="7">
        <f t="shared" si="1291"/>
        <v>347.47199999999998</v>
      </c>
      <c r="R400" s="38">
        <v>2</v>
      </c>
      <c r="S400" s="4">
        <f t="shared" ref="S400:S449" si="1361">20*25.4</f>
        <v>508</v>
      </c>
      <c r="T400" s="7">
        <f t="shared" si="1292"/>
        <v>2.3439716312056742</v>
      </c>
      <c r="U400" s="7">
        <f t="shared" si="1127"/>
        <v>2.3439716312056742</v>
      </c>
      <c r="V400" s="38">
        <v>3.8</v>
      </c>
      <c r="W400" s="4">
        <f t="shared" si="1293"/>
        <v>3.8</v>
      </c>
      <c r="X400" s="4">
        <f t="shared" si="1294"/>
        <v>4.8</v>
      </c>
      <c r="Y400" s="7">
        <f t="shared" si="1295"/>
        <v>78.464542697960056</v>
      </c>
      <c r="AB400" s="38">
        <f t="shared" si="1332"/>
        <v>522.75862068965523</v>
      </c>
      <c r="AC400" s="4">
        <v>75.8</v>
      </c>
      <c r="AD400" s="4">
        <f t="shared" si="1159"/>
        <v>1.0760378613885915</v>
      </c>
      <c r="AE400" s="38">
        <f>0.5*25.4</f>
        <v>12.7</v>
      </c>
      <c r="AF400" s="38">
        <v>4</v>
      </c>
      <c r="AG400" s="39">
        <f>8*25.4</f>
        <v>203.2</v>
      </c>
      <c r="AH400" s="39">
        <v>2</v>
      </c>
      <c r="AI400" s="39">
        <f t="shared" ref="AI400" si="1362">AH400-1</f>
        <v>1</v>
      </c>
      <c r="AJ400" s="7"/>
      <c r="AK400" s="4">
        <f t="shared" si="1297"/>
        <v>442.976</v>
      </c>
      <c r="AL400" s="4">
        <f t="shared" si="1175"/>
        <v>0.4147553516819571</v>
      </c>
      <c r="AM400" s="4">
        <f t="shared" si="1176"/>
        <v>244.56160209111823</v>
      </c>
      <c r="AN400" s="4">
        <f t="shared" si="1177"/>
        <v>0.73790137614678897</v>
      </c>
      <c r="AO400" s="4">
        <v>1.25</v>
      </c>
      <c r="AP400" s="4">
        <f t="shared" si="1112"/>
        <v>2.5</v>
      </c>
      <c r="AQ400" s="38">
        <f t="shared" si="1266"/>
        <v>233.89913258342173</v>
      </c>
      <c r="AR400" s="38">
        <f t="shared" si="1178"/>
        <v>233.89913258342173</v>
      </c>
      <c r="AS400" s="38">
        <f t="shared" si="1179"/>
        <v>2.761717606769436</v>
      </c>
      <c r="AT400" s="38">
        <f t="shared" si="1121"/>
        <v>233.89913258342185</v>
      </c>
      <c r="AU400" s="38">
        <f t="shared" si="1086"/>
        <v>0.99999999999999956</v>
      </c>
      <c r="AV400" s="38">
        <f t="shared" si="1249"/>
        <v>1.0912708509945452</v>
      </c>
      <c r="AW400" s="4">
        <f t="shared" si="1230"/>
        <v>0</v>
      </c>
      <c r="AX400" s="4">
        <f t="shared" si="1298"/>
        <v>344.04660565519924</v>
      </c>
      <c r="AY400" s="4">
        <f t="shared" si="1267"/>
        <v>1</v>
      </c>
      <c r="AZ400" s="38">
        <f t="shared" si="1102"/>
        <v>255.24730546119673</v>
      </c>
      <c r="BA400" s="4">
        <f t="shared" si="1268"/>
        <v>0.46800000000000008</v>
      </c>
      <c r="BB400" s="4">
        <f t="shared" si="1269"/>
        <v>84.129716480865909</v>
      </c>
      <c r="BC400" s="4">
        <f t="shared" si="1270"/>
        <v>339.37702194206264</v>
      </c>
      <c r="BE400" s="4">
        <f t="shared" si="1122"/>
        <v>1.4895028948217903</v>
      </c>
      <c r="BF400" s="4">
        <f t="shared" si="1128"/>
        <v>528.26117514746761</v>
      </c>
      <c r="BH400" s="4">
        <f t="shared" si="1129"/>
        <v>244.81338064872722</v>
      </c>
      <c r="BI400" s="4">
        <f t="shared" si="1350"/>
        <v>0</v>
      </c>
      <c r="BJ400" s="4">
        <f t="shared" si="1130"/>
        <v>0</v>
      </c>
      <c r="BR400" s="4">
        <f t="shared" si="1271"/>
        <v>66.039999999999992</v>
      </c>
      <c r="BV400" s="9"/>
      <c r="BX400" s="9"/>
      <c r="BY400" s="9"/>
      <c r="BZ400" s="9">
        <f t="shared" si="1272"/>
        <v>66.039999999999992</v>
      </c>
      <c r="CA400" s="9">
        <f t="shared" si="1273"/>
        <v>173.73599999999999</v>
      </c>
      <c r="CB400" s="9">
        <f t="shared" si="1087"/>
        <v>1.5699634099271278</v>
      </c>
      <c r="CC400" s="40">
        <f t="shared" si="1299"/>
        <v>20</v>
      </c>
      <c r="CD400" s="9">
        <f t="shared" si="1274"/>
        <v>0.05</v>
      </c>
      <c r="CE400" s="9">
        <f t="shared" si="1275"/>
        <v>0.8</v>
      </c>
      <c r="CF400" s="9">
        <f t="shared" si="1276"/>
        <v>0.89777220146327208</v>
      </c>
      <c r="CG400" s="9">
        <f t="shared" si="1277"/>
        <v>0.68</v>
      </c>
      <c r="CH400" s="9">
        <f t="shared" si="1088"/>
        <v>1.129240956903802</v>
      </c>
      <c r="CI400" s="9">
        <f t="shared" si="1089"/>
        <v>2.6762597488531075</v>
      </c>
      <c r="CJ400" s="40">
        <v>1</v>
      </c>
      <c r="CK400" s="9">
        <f t="shared" si="1090"/>
        <v>292.98401051983387</v>
      </c>
      <c r="CM400" s="4">
        <f t="shared" si="1278"/>
        <v>1.5194412968967341</v>
      </c>
      <c r="CN400" s="4">
        <f t="shared" si="1279"/>
        <v>1.5403477162307675</v>
      </c>
      <c r="CO400" s="4">
        <f t="shared" si="1242"/>
        <v>0.9895836477926353</v>
      </c>
      <c r="CP400" s="4">
        <f t="shared" si="1280"/>
        <v>1.7842564847212592</v>
      </c>
      <c r="CQ400" s="4">
        <f t="shared" si="1189"/>
        <v>1.0760378613885915</v>
      </c>
      <c r="CR400" s="4">
        <f t="shared" si="1190"/>
        <v>1.1905256945812908</v>
      </c>
      <c r="CS400" s="4">
        <f t="shared" si="1243"/>
        <v>0.96797883882138447</v>
      </c>
      <c r="CT400" s="4">
        <f t="shared" si="1300"/>
        <v>4</v>
      </c>
      <c r="DA400" s="4">
        <f t="shared" ref="DA400:DB401" si="1363">CM400</f>
        <v>1.5194412968967341</v>
      </c>
      <c r="DB400" s="4">
        <f t="shared" si="1363"/>
        <v>1.5403477162307675</v>
      </c>
      <c r="DC400" s="4">
        <f t="shared" ref="DC400:DC401" si="1364">CP400</f>
        <v>1.7842564847212592</v>
      </c>
      <c r="DD400" s="4">
        <f t="shared" ref="DD400:DD401" si="1365">CS400</f>
        <v>0.96797883882138447</v>
      </c>
      <c r="DE400" s="4">
        <f t="shared" ref="DE400:DF401" si="1366">CQ400</f>
        <v>1.0760378613885915</v>
      </c>
      <c r="DF400" s="4">
        <f t="shared" si="1366"/>
        <v>1.1905256945812908</v>
      </c>
      <c r="DI400" s="4">
        <f t="shared" si="1285"/>
        <v>442.976</v>
      </c>
      <c r="DL400" s="4">
        <f t="shared" si="1166"/>
        <v>2.1759814888054373E-5</v>
      </c>
      <c r="DM400" s="4">
        <f t="shared" si="1313"/>
        <v>5.5816724777772073</v>
      </c>
      <c r="DN400" s="4">
        <f t="shared" si="1167"/>
        <v>0.67281911013092033</v>
      </c>
      <c r="DO400" s="4">
        <f t="shared" si="1168"/>
        <v>4.7634726565456242</v>
      </c>
      <c r="DP400" s="4">
        <f t="shared" si="1169"/>
        <v>5.1887352956739976</v>
      </c>
      <c r="DQ400" s="4">
        <f t="shared" si="1170"/>
        <v>5.1024001629185483</v>
      </c>
      <c r="DR400" s="38">
        <f t="shared" si="1183"/>
        <v>485.81805478020306</v>
      </c>
      <c r="DS400" s="4">
        <f t="shared" si="1095"/>
        <v>1.0001387909294885</v>
      </c>
      <c r="DT400" s="4">
        <f t="shared" si="1171"/>
        <v>2.1908902300206643</v>
      </c>
      <c r="DU400" s="4">
        <f t="shared" si="1103"/>
        <v>233.89913258342185</v>
      </c>
      <c r="DY400" s="4">
        <f t="shared" si="1331"/>
        <v>0.85</v>
      </c>
      <c r="DZ400" s="4">
        <f t="shared" si="1096"/>
        <v>0.91560283687943256</v>
      </c>
      <c r="EA400" s="4">
        <f t="shared" si="1184"/>
        <v>0.9995510789195714</v>
      </c>
      <c r="EB400" s="4">
        <f t="shared" si="1097"/>
        <v>0.91519180346465712</v>
      </c>
      <c r="ED400" s="4">
        <f t="shared" si="1185"/>
        <v>439.09898212949531</v>
      </c>
      <c r="EE400" s="25">
        <f t="shared" si="1186"/>
        <v>231.98330550729423</v>
      </c>
      <c r="EG400" s="4">
        <f t="shared" si="1104"/>
        <v>0.7779130329449585</v>
      </c>
      <c r="EH400" s="4">
        <f t="shared" si="1187"/>
        <v>5.5816724777772073</v>
      </c>
      <c r="EK400" s="4">
        <f t="shared" si="1172"/>
        <v>78.464542697960056</v>
      </c>
      <c r="EL400" s="4">
        <f t="shared" si="1173"/>
        <v>2.1908902300206643</v>
      </c>
      <c r="EM400" s="4">
        <f t="shared" si="1174"/>
        <v>0.1944361862904351</v>
      </c>
      <c r="EP400" s="4">
        <f t="shared" si="1301"/>
        <v>0.1944361862904351</v>
      </c>
      <c r="EQ400" s="4">
        <f t="shared" si="1257"/>
        <v>0.6716963004325478</v>
      </c>
      <c r="ER400" s="4">
        <f t="shared" si="1314"/>
        <v>4.7602913239803168</v>
      </c>
      <c r="ES400" s="4">
        <f t="shared" si="1286"/>
        <v>5.1872754439165325</v>
      </c>
      <c r="ET400" s="4">
        <f t="shared" si="1315"/>
        <v>253.76745730203993</v>
      </c>
      <c r="EU400" s="4">
        <f t="shared" si="1316"/>
        <v>110.74400000000003</v>
      </c>
      <c r="EV400" s="4">
        <f t="shared" si="1098"/>
        <v>2.1759814888054376E-5</v>
      </c>
      <c r="EW400" s="4">
        <f t="shared" si="1287"/>
        <v>5.1025487900102364</v>
      </c>
      <c r="EX400" s="4">
        <f t="shared" si="1131"/>
        <v>485.75063699779446</v>
      </c>
      <c r="FG400" s="23">
        <f t="shared" si="1329"/>
        <v>1.6</v>
      </c>
      <c r="FH400" s="23">
        <f t="shared" si="1329"/>
        <v>1.6</v>
      </c>
      <c r="FI400" s="23">
        <f t="shared" si="1248"/>
        <v>1</v>
      </c>
      <c r="FJ400" s="23">
        <f t="shared" si="1330"/>
        <v>1.8</v>
      </c>
      <c r="FK400" s="23">
        <f t="shared" si="1330"/>
        <v>1.2</v>
      </c>
      <c r="FL400" s="23">
        <f t="shared" si="1330"/>
        <v>1.2</v>
      </c>
      <c r="FM400" s="23">
        <f t="shared" si="1195"/>
        <v>0</v>
      </c>
      <c r="FN400" s="23"/>
      <c r="FX400" s="4">
        <f t="shared" si="1099"/>
        <v>1</v>
      </c>
      <c r="FY400" s="4">
        <f t="shared" si="1139"/>
        <v>0.44214730608235164</v>
      </c>
      <c r="FZ400" s="4">
        <f t="shared" si="1100"/>
        <v>0.25149640360142855</v>
      </c>
      <c r="GA400" s="4">
        <f t="shared" si="1101"/>
        <v>540.05170332666421</v>
      </c>
    </row>
    <row r="401" spans="1:183" ht="12" hidden="1" customHeight="1" x14ac:dyDescent="0.3">
      <c r="A401" s="25">
        <v>383</v>
      </c>
      <c r="B401" s="4" t="s">
        <v>605</v>
      </c>
      <c r="C401" s="4">
        <v>2016</v>
      </c>
      <c r="D401" s="4" t="s">
        <v>309</v>
      </c>
      <c r="E401" s="14" t="s">
        <v>675</v>
      </c>
      <c r="F401" s="7" t="s">
        <v>550</v>
      </c>
      <c r="G401" s="38">
        <f t="shared" si="1359"/>
        <v>931.0344827586207</v>
      </c>
      <c r="H401" s="38">
        <f>16.72*25.4</f>
        <v>424.68799999999993</v>
      </c>
      <c r="I401" s="4">
        <f t="shared" si="1288"/>
        <v>424.68799999999993</v>
      </c>
      <c r="J401" s="38">
        <f>4050/145</f>
        <v>27.931034482758619</v>
      </c>
      <c r="K401" s="38">
        <f t="shared" si="1360"/>
        <v>35.813999999999993</v>
      </c>
      <c r="L401" s="7">
        <f t="shared" si="1289"/>
        <v>11.858156028368795</v>
      </c>
      <c r="M401" s="7">
        <f t="shared" si="1290"/>
        <v>11.858156028368795</v>
      </c>
      <c r="N401" s="38">
        <f>21.4*25.4</f>
        <v>543.55999999999995</v>
      </c>
      <c r="O401" s="38">
        <f>2.5*25.4</f>
        <v>63.5</v>
      </c>
      <c r="P401" s="39">
        <f>3.8*25.4</f>
        <v>96.52</v>
      </c>
      <c r="Q401" s="7">
        <f t="shared" si="1291"/>
        <v>344.93199999999996</v>
      </c>
      <c r="R401" s="38">
        <v>2</v>
      </c>
      <c r="S401" s="4">
        <f t="shared" si="1361"/>
        <v>508</v>
      </c>
      <c r="T401" s="7">
        <f t="shared" si="1292"/>
        <v>2.2730496453900715</v>
      </c>
      <c r="U401" s="7">
        <f t="shared" si="1127"/>
        <v>2.2730496453900715</v>
      </c>
      <c r="V401" s="38">
        <v>3.8</v>
      </c>
      <c r="W401" s="4">
        <f t="shared" si="1293"/>
        <v>3.8</v>
      </c>
      <c r="X401" s="4">
        <f t="shared" si="1294"/>
        <v>4.8</v>
      </c>
      <c r="Y401" s="7">
        <f t="shared" si="1295"/>
        <v>78.464542697960056</v>
      </c>
      <c r="AB401" s="38">
        <f t="shared" si="1332"/>
        <v>513.79310344827593</v>
      </c>
      <c r="AC401" s="4">
        <v>74.5</v>
      </c>
      <c r="AD401" s="4">
        <f t="shared" si="1159"/>
        <v>1.0622002196076112</v>
      </c>
      <c r="AE401" s="38">
        <f>0.5*25.4</f>
        <v>12.7</v>
      </c>
      <c r="AF401" s="38">
        <v>12</v>
      </c>
      <c r="AG401" s="39">
        <f>4*25.4</f>
        <v>101.6</v>
      </c>
      <c r="AH401" s="39">
        <v>4</v>
      </c>
      <c r="AI401" s="39">
        <v>2</v>
      </c>
      <c r="AJ401" s="7"/>
      <c r="AK401" s="4">
        <f t="shared" si="1297"/>
        <v>424.68799999999993</v>
      </c>
      <c r="AL401" s="4">
        <f t="shared" si="1175"/>
        <v>0.42663476874003192</v>
      </c>
      <c r="AM401" s="4">
        <f t="shared" si="1176"/>
        <v>229.5741365097727</v>
      </c>
      <c r="AN401" s="4">
        <f t="shared" si="1177"/>
        <v>0.73833732057416268</v>
      </c>
      <c r="AO401" s="4">
        <v>1.25</v>
      </c>
      <c r="AP401" s="4">
        <f t="shared" si="1112"/>
        <v>2.5</v>
      </c>
      <c r="AQ401" s="38">
        <f t="shared" si="1266"/>
        <v>225.98730751771248</v>
      </c>
      <c r="AR401" s="38">
        <f t="shared" si="1178"/>
        <v>225.98730751771248</v>
      </c>
      <c r="AS401" s="38">
        <f t="shared" si="1179"/>
        <v>2.761717606769436</v>
      </c>
      <c r="AT401" s="38">
        <f t="shared" si="1121"/>
        <v>225.98730751771248</v>
      </c>
      <c r="AU401" s="38">
        <f t="shared" si="1086"/>
        <v>1</v>
      </c>
      <c r="AV401" s="38">
        <f t="shared" si="1249"/>
        <v>1.095301514770274</v>
      </c>
      <c r="AW401" s="4">
        <f t="shared" si="1230"/>
        <v>0</v>
      </c>
      <c r="AX401" s="4">
        <f t="shared" si="1298"/>
        <v>329.84284670613135</v>
      </c>
      <c r="AY401" s="4">
        <f t="shared" si="1267"/>
        <v>1</v>
      </c>
      <c r="AZ401" s="38">
        <f t="shared" si="1102"/>
        <v>247.52424024300623</v>
      </c>
      <c r="BA401" s="4">
        <f t="shared" si="1268"/>
        <v>0.46800000000000008</v>
      </c>
      <c r="BB401" s="4">
        <f t="shared" si="1269"/>
        <v>80.656471305050331</v>
      </c>
      <c r="BC401" s="4">
        <f t="shared" si="1270"/>
        <v>328.18071154805659</v>
      </c>
      <c r="BE401" s="4">
        <f t="shared" si="1122"/>
        <v>1.5</v>
      </c>
      <c r="BF401" s="4">
        <f t="shared" si="1128"/>
        <v>519.83982283719729</v>
      </c>
      <c r="BH401" s="4">
        <f t="shared" si="1129"/>
        <v>237.40601663515</v>
      </c>
      <c r="BI401" s="4">
        <f t="shared" si="1350"/>
        <v>0</v>
      </c>
      <c r="BJ401" s="4">
        <f t="shared" si="1130"/>
        <v>0</v>
      </c>
      <c r="BR401" s="4">
        <f t="shared" si="1271"/>
        <v>63.5</v>
      </c>
      <c r="BV401" s="9"/>
      <c r="BX401" s="9"/>
      <c r="BY401" s="9"/>
      <c r="BZ401" s="9">
        <f t="shared" si="1272"/>
        <v>63.5</v>
      </c>
      <c r="CA401" s="9">
        <f t="shared" si="1273"/>
        <v>172.46599999999998</v>
      </c>
      <c r="CB401" s="9">
        <f t="shared" si="1087"/>
        <v>1.5468560948614203</v>
      </c>
      <c r="CC401" s="40">
        <f t="shared" si="1299"/>
        <v>20</v>
      </c>
      <c r="CD401" s="9">
        <f t="shared" si="1274"/>
        <v>0.05</v>
      </c>
      <c r="CE401" s="9">
        <f t="shared" si="1275"/>
        <v>0.8</v>
      </c>
      <c r="CF401" s="9">
        <f t="shared" si="1276"/>
        <v>0.89777220146327208</v>
      </c>
      <c r="CG401" s="9">
        <f t="shared" si="1277"/>
        <v>0.68</v>
      </c>
      <c r="CH401" s="9">
        <f t="shared" si="1088"/>
        <v>1.129240956903802</v>
      </c>
      <c r="CI401" s="9">
        <f t="shared" si="1089"/>
        <v>2.6501660222768302</v>
      </c>
      <c r="CJ401" s="40">
        <v>1</v>
      </c>
      <c r="CK401" s="9">
        <f t="shared" si="1090"/>
        <v>284.71429010957036</v>
      </c>
      <c r="CM401" s="4">
        <f t="shared" si="1278"/>
        <v>1.5576906050232835</v>
      </c>
      <c r="CN401" s="4">
        <f t="shared" si="1279"/>
        <v>1.5655798326009769</v>
      </c>
      <c r="CO401" s="4">
        <f t="shared" si="1242"/>
        <v>0.98836811047695539</v>
      </c>
      <c r="CP401" s="4">
        <f t="shared" si="1280"/>
        <v>1.8045919059789592</v>
      </c>
      <c r="CQ401" s="4">
        <f t="shared" si="1189"/>
        <v>1.0622002196076112</v>
      </c>
      <c r="CR401" s="4">
        <f t="shared" si="1190"/>
        <v>1.1753055919076683</v>
      </c>
      <c r="CS401" s="4">
        <f t="shared" si="1243"/>
        <v>0.9673044426554136</v>
      </c>
      <c r="CT401" s="4">
        <f t="shared" si="1300"/>
        <v>12</v>
      </c>
      <c r="DA401" s="4">
        <f t="shared" si="1363"/>
        <v>1.5576906050232835</v>
      </c>
      <c r="DB401" s="4">
        <f t="shared" si="1363"/>
        <v>1.5655798326009769</v>
      </c>
      <c r="DC401" s="4">
        <f t="shared" si="1364"/>
        <v>1.8045919059789592</v>
      </c>
      <c r="DD401" s="4">
        <f t="shared" si="1365"/>
        <v>0.9673044426554136</v>
      </c>
      <c r="DE401" s="4">
        <f t="shared" si="1366"/>
        <v>1.0622002196076112</v>
      </c>
      <c r="DF401" s="4">
        <f t="shared" si="1366"/>
        <v>1.1753055919076683</v>
      </c>
      <c r="DI401" s="4">
        <f t="shared" si="1285"/>
        <v>424.68799999999993</v>
      </c>
      <c r="DL401" s="4">
        <f t="shared" si="1166"/>
        <v>2.0861473906437448E-5</v>
      </c>
      <c r="DM401" s="4">
        <f t="shared" si="1313"/>
        <v>5.9909859754492585</v>
      </c>
      <c r="DN401" s="4">
        <f t="shared" si="1167"/>
        <v>0.65006046608882018</v>
      </c>
      <c r="DO401" s="4">
        <f t="shared" si="1168"/>
        <v>5.0428935978626948</v>
      </c>
      <c r="DP401" s="4">
        <f t="shared" si="1169"/>
        <v>5.5372835873877797</v>
      </c>
      <c r="DQ401" s="4">
        <f t="shared" si="1170"/>
        <v>5.4870121914231831</v>
      </c>
      <c r="DR401" s="38">
        <f t="shared" si="1183"/>
        <v>483.70645567939812</v>
      </c>
      <c r="DS401" s="4">
        <f t="shared" si="1095"/>
        <v>1.0001421919821682</v>
      </c>
      <c r="DT401" s="4">
        <f t="shared" si="1171"/>
        <v>2.1908902300206643</v>
      </c>
      <c r="DU401" s="4">
        <f t="shared" si="1103"/>
        <v>225.98730751771248</v>
      </c>
      <c r="DY401" s="4">
        <f t="shared" si="1331"/>
        <v>0.85</v>
      </c>
      <c r="DZ401" s="4">
        <f t="shared" si="1096"/>
        <v>0.92269503546099285</v>
      </c>
      <c r="EA401" s="4">
        <f t="shared" si="1184"/>
        <v>0.92410215783914285</v>
      </c>
      <c r="EB401" s="4">
        <f t="shared" si="1097"/>
        <v>0.85266447329696793</v>
      </c>
      <c r="ED401" s="4">
        <f t="shared" si="1185"/>
        <v>437.15703131670239</v>
      </c>
      <c r="EE401" s="25">
        <f t="shared" si="1186"/>
        <v>224.03089193476285</v>
      </c>
      <c r="EG401" s="4">
        <f t="shared" si="1104"/>
        <v>0.72476480230242268</v>
      </c>
      <c r="EH401" s="4">
        <f t="shared" si="1187"/>
        <v>5.9909859754492585</v>
      </c>
      <c r="EK401" s="4">
        <f t="shared" si="1172"/>
        <v>78.464542697960056</v>
      </c>
      <c r="EL401" s="4">
        <f t="shared" si="1173"/>
        <v>2.1908902300206643</v>
      </c>
      <c r="EM401" s="4">
        <f t="shared" si="1174"/>
        <v>0.18785922691746718</v>
      </c>
      <c r="EP401" s="4">
        <f t="shared" si="1301"/>
        <v>0.18785922691746718</v>
      </c>
      <c r="EQ401" s="4">
        <f t="shared" si="1257"/>
        <v>0.6489756363257192</v>
      </c>
      <c r="ER401" s="4">
        <f t="shared" si="1314"/>
        <v>5.0395256512441255</v>
      </c>
      <c r="ES401" s="4">
        <f t="shared" si="1286"/>
        <v>5.5357504872666619</v>
      </c>
      <c r="ET401" s="4">
        <f t="shared" si="1315"/>
        <v>240.05145730203992</v>
      </c>
      <c r="EU401" s="4">
        <f t="shared" si="1316"/>
        <v>106.17199999999997</v>
      </c>
      <c r="EV401" s="4">
        <f t="shared" si="1098"/>
        <v>2.0861473906437444E-5</v>
      </c>
      <c r="EW401" s="4">
        <f t="shared" si="1287"/>
        <v>5.4871681692262833</v>
      </c>
      <c r="EX401" s="4">
        <f t="shared" si="1131"/>
        <v>483.63768627813499</v>
      </c>
      <c r="FG401" s="23">
        <f t="shared" si="1329"/>
        <v>1.6</v>
      </c>
      <c r="FH401" s="23">
        <f t="shared" si="1329"/>
        <v>1.6</v>
      </c>
      <c r="FI401" s="23">
        <f t="shared" si="1248"/>
        <v>1</v>
      </c>
      <c r="FJ401" s="23">
        <f t="shared" si="1330"/>
        <v>2</v>
      </c>
      <c r="FK401" s="23">
        <f t="shared" si="1330"/>
        <v>1.2</v>
      </c>
      <c r="FL401" s="23">
        <f t="shared" si="1330"/>
        <v>1.2</v>
      </c>
      <c r="FM401" s="23">
        <f t="shared" si="1195"/>
        <v>0</v>
      </c>
      <c r="FN401" s="23"/>
      <c r="FX401" s="4">
        <f t="shared" si="1099"/>
        <v>1</v>
      </c>
      <c r="FY401" s="4">
        <f t="shared" si="1139"/>
        <v>0.43098983553339404</v>
      </c>
      <c r="FZ401" s="4">
        <f t="shared" si="1100"/>
        <v>0.3</v>
      </c>
      <c r="GA401" s="4">
        <f t="shared" si="1101"/>
        <v>531.15966472543778</v>
      </c>
    </row>
    <row r="402" spans="1:183" ht="12" hidden="1" customHeight="1" x14ac:dyDescent="0.3">
      <c r="A402" s="25">
        <v>384</v>
      </c>
      <c r="B402" s="4" t="s">
        <v>605</v>
      </c>
      <c r="C402" s="4">
        <v>2016</v>
      </c>
      <c r="D402" s="4" t="s">
        <v>309</v>
      </c>
      <c r="E402" s="14" t="s">
        <v>675</v>
      </c>
      <c r="F402" s="7" t="s">
        <v>551</v>
      </c>
      <c r="G402" s="38">
        <f t="shared" si="1359"/>
        <v>931.0344827586207</v>
      </c>
      <c r="H402" s="38">
        <f>12*25.4</f>
        <v>304.79999999999995</v>
      </c>
      <c r="I402" s="4">
        <f t="shared" si="1288"/>
        <v>304.79999999999995</v>
      </c>
      <c r="J402" s="38">
        <f>3960/145</f>
        <v>27.310344827586206</v>
      </c>
      <c r="K402" s="38">
        <f t="shared" si="1360"/>
        <v>35.813999999999993</v>
      </c>
      <c r="L402" s="7">
        <f t="shared" si="1289"/>
        <v>8.5106382978723403</v>
      </c>
      <c r="M402" s="7">
        <f t="shared" si="1290"/>
        <v>8.5106382978723403</v>
      </c>
      <c r="N402" s="38">
        <f>21.7*25.4</f>
        <v>551.17999999999995</v>
      </c>
      <c r="O402" s="38">
        <f>2.7*25.4</f>
        <v>68.58</v>
      </c>
      <c r="P402" s="39">
        <f>3.1*25.4</f>
        <v>78.739999999999995</v>
      </c>
      <c r="Q402" s="7">
        <f t="shared" si="1291"/>
        <v>342.39199999999994</v>
      </c>
      <c r="R402" s="38">
        <v>2</v>
      </c>
      <c r="S402" s="4">
        <f t="shared" si="1361"/>
        <v>508</v>
      </c>
      <c r="T402" s="7">
        <f t="shared" si="1292"/>
        <v>2.4148936170212769</v>
      </c>
      <c r="U402" s="7">
        <f t="shared" si="1127"/>
        <v>2.4148936170212769</v>
      </c>
      <c r="V402" s="38">
        <v>3.8</v>
      </c>
      <c r="W402" s="4">
        <f t="shared" si="1293"/>
        <v>3.8</v>
      </c>
      <c r="X402" s="4">
        <f t="shared" si="1294"/>
        <v>4.8</v>
      </c>
      <c r="Y402" s="7">
        <f t="shared" si="1295"/>
        <v>78.464542697960056</v>
      </c>
      <c r="AB402" s="38">
        <f t="shared" si="1332"/>
        <v>251.0344827586207</v>
      </c>
      <c r="AC402" s="4">
        <v>36.4</v>
      </c>
      <c r="AD402" s="4">
        <f t="shared" si="1159"/>
        <v>0.68598892644176579</v>
      </c>
      <c r="AE402" s="38"/>
      <c r="AF402" s="38"/>
      <c r="AG402" s="39">
        <v>1</v>
      </c>
      <c r="AH402" s="39"/>
      <c r="AI402" s="39"/>
      <c r="AJ402" s="7"/>
      <c r="AK402" s="4">
        <f t="shared" si="1297"/>
        <v>304.79999999999995</v>
      </c>
      <c r="AL402" s="4">
        <f t="shared" si="1175"/>
        <v>0.60277777777777775</v>
      </c>
      <c r="AM402" s="4">
        <f t="shared" si="1176"/>
        <v>138.02587222939175</v>
      </c>
      <c r="AN402" s="4">
        <f t="shared" si="1177"/>
        <v>0.75674999999999992</v>
      </c>
      <c r="AO402" s="4">
        <v>1.25</v>
      </c>
      <c r="AP402" s="4">
        <f t="shared" si="1112"/>
        <v>2.5</v>
      </c>
      <c r="AQ402" s="38">
        <f t="shared" si="1266"/>
        <v>196.75246616042975</v>
      </c>
      <c r="AR402" s="38">
        <f t="shared" si="1178"/>
        <v>196.75246616042975</v>
      </c>
      <c r="AS402" s="38">
        <f t="shared" si="1179"/>
        <v>2.7206502209498358</v>
      </c>
      <c r="AT402" s="38">
        <f t="shared" si="1121"/>
        <v>196.75246616042969</v>
      </c>
      <c r="AU402" s="38">
        <f t="shared" si="1086"/>
        <v>1.0000000000000002</v>
      </c>
      <c r="AV402" s="38">
        <f t="shared" si="1249"/>
        <v>1.3068531728320587</v>
      </c>
      <c r="AW402" s="4">
        <f t="shared" si="1230"/>
        <v>0</v>
      </c>
      <c r="AX402" s="4">
        <f t="shared" si="1298"/>
        <v>234.0842125092189</v>
      </c>
      <c r="AY402" s="4">
        <f t="shared" si="1267"/>
        <v>1</v>
      </c>
      <c r="AZ402" s="38">
        <f t="shared" si="1102"/>
        <v>257.12658466428979</v>
      </c>
      <c r="BA402" s="4">
        <f t="shared" si="1268"/>
        <v>0.46800000000000008</v>
      </c>
      <c r="BB402" s="4">
        <f t="shared" si="1269"/>
        <v>57.240612484879328</v>
      </c>
      <c r="BC402" s="4">
        <f t="shared" si="1270"/>
        <v>314.3671971491691</v>
      </c>
      <c r="BE402" s="4">
        <f t="shared" si="1122"/>
        <v>1.2287234042553192</v>
      </c>
      <c r="BF402" s="4">
        <f t="shared" si="1128"/>
        <v>356.58278440355463</v>
      </c>
      <c r="BH402" s="4">
        <f t="shared" si="1129"/>
        <v>246.61583922536434</v>
      </c>
      <c r="BI402" s="4">
        <f t="shared" si="1350"/>
        <v>0</v>
      </c>
      <c r="BJ402" s="4">
        <f t="shared" si="1130"/>
        <v>0</v>
      </c>
      <c r="BR402" s="4">
        <f t="shared" si="1271"/>
        <v>68.58</v>
      </c>
      <c r="BV402" s="9"/>
      <c r="BX402" s="9"/>
      <c r="BY402" s="9"/>
      <c r="BZ402" s="9">
        <f t="shared" si="1272"/>
        <v>68.58</v>
      </c>
      <c r="CA402" s="9">
        <f t="shared" si="1273"/>
        <v>171.19599999999997</v>
      </c>
      <c r="CB402" s="9">
        <f t="shared" si="1087"/>
        <v>1.5873282502249415</v>
      </c>
      <c r="CC402" s="40">
        <f t="shared" si="1299"/>
        <v>0</v>
      </c>
      <c r="CD402" s="9">
        <f t="shared" si="1274"/>
        <v>0</v>
      </c>
      <c r="CE402" s="9">
        <f t="shared" si="1275"/>
        <v>0</v>
      </c>
      <c r="CF402" s="9">
        <f t="shared" si="1276"/>
        <v>0.89777220146327208</v>
      </c>
      <c r="CG402" s="9">
        <f t="shared" si="1277"/>
        <v>0.68</v>
      </c>
      <c r="CH402" s="9">
        <f t="shared" si="1088"/>
        <v>1.1166233434875248</v>
      </c>
      <c r="CI402" s="9">
        <f t="shared" si="1089"/>
        <v>1.7724477779783765</v>
      </c>
      <c r="CJ402" s="40">
        <v>1</v>
      </c>
      <c r="CK402" s="9">
        <f t="shared" si="1090"/>
        <v>166.68551443966859</v>
      </c>
      <c r="CM402" s="4">
        <f t="shared" si="1278"/>
        <v>1.0724109928974139</v>
      </c>
      <c r="CN402" s="4">
        <f t="shared" si="1279"/>
        <v>0.79853904935095166</v>
      </c>
      <c r="CO402" s="4">
        <f t="shared" si="1242"/>
        <v>0.70400056799858857</v>
      </c>
      <c r="CP402" s="4">
        <f t="shared" si="1280"/>
        <v>1.5060365839377243</v>
      </c>
      <c r="CQ402" s="4">
        <f t="shared" si="1189"/>
        <v>0.68598892644176579</v>
      </c>
      <c r="CR402" s="4">
        <f t="shared" si="1190"/>
        <v>0.74669552116938287</v>
      </c>
      <c r="CS402" s="4">
        <f t="shared" si="1243"/>
        <v>0.76825652258018351</v>
      </c>
      <c r="CT402" s="4">
        <f t="shared" si="1300"/>
        <v>0</v>
      </c>
      <c r="CU402" s="4">
        <f t="shared" ref="CU402:CV402" si="1367">CM402</f>
        <v>1.0724109928974139</v>
      </c>
      <c r="CV402" s="4">
        <f t="shared" si="1367"/>
        <v>0.79853904935095166</v>
      </c>
      <c r="CW402" s="4">
        <f t="shared" ref="CW402" si="1368">CP402</f>
        <v>1.5060365839377243</v>
      </c>
      <c r="CX402" s="4">
        <f t="shared" ref="CX402" si="1369">CS402</f>
        <v>0.76825652258018351</v>
      </c>
      <c r="CY402" s="4">
        <f t="shared" ref="CY402:CZ402" si="1370">CQ402</f>
        <v>0.68598892644176579</v>
      </c>
      <c r="CZ402" s="4">
        <f t="shared" si="1370"/>
        <v>0.74669552116938287</v>
      </c>
      <c r="DI402" s="4">
        <f t="shared" si="1285"/>
        <v>304.79999999999995</v>
      </c>
      <c r="DL402" s="4">
        <f t="shared" si="1166"/>
        <v>1.4904502788497585E-5</v>
      </c>
      <c r="DM402" s="4">
        <f t="shared" si="1313"/>
        <v>5.5598943030135199</v>
      </c>
      <c r="DN402" s="4">
        <f t="shared" si="1167"/>
        <v>0.57882826340566917</v>
      </c>
      <c r="DO402" s="4">
        <f t="shared" si="1168"/>
        <v>4.4677249354864337</v>
      </c>
      <c r="DP402" s="4">
        <f t="shared" si="1169"/>
        <v>5.0434954587795096</v>
      </c>
      <c r="DQ402" s="4">
        <f t="shared" si="1170"/>
        <v>5.3425632594807206</v>
      </c>
      <c r="DR402" s="38">
        <f t="shared" si="1183"/>
        <v>365.94538640840761</v>
      </c>
      <c r="DS402" s="4">
        <f t="shared" si="1095"/>
        <v>1.00013034343217</v>
      </c>
      <c r="DT402" s="4">
        <f t="shared" si="1171"/>
        <v>2.1908902300206643</v>
      </c>
      <c r="DU402" s="4">
        <f t="shared" si="1103"/>
        <v>196.75246616042969</v>
      </c>
      <c r="DY402" s="4">
        <f t="shared" si="1331"/>
        <v>0.85</v>
      </c>
      <c r="DZ402" s="4">
        <f t="shared" si="1096"/>
        <v>0.90851063829787226</v>
      </c>
      <c r="EA402" s="4">
        <f t="shared" si="1184"/>
        <v>1</v>
      </c>
      <c r="EB402" s="4">
        <f t="shared" si="1097"/>
        <v>0.90851063829787226</v>
      </c>
      <c r="ED402" s="4">
        <f t="shared" si="1185"/>
        <v>336.19390453217306</v>
      </c>
      <c r="EE402" s="25">
        <f t="shared" si="1186"/>
        <v>194.23915637012578</v>
      </c>
      <c r="EG402" s="4">
        <f t="shared" si="1104"/>
        <v>0.77223404255319139</v>
      </c>
      <c r="EH402" s="4">
        <f t="shared" si="1187"/>
        <v>5.5598943030135199</v>
      </c>
      <c r="EK402" s="4">
        <f t="shared" si="1172"/>
        <v>78.464542697960056</v>
      </c>
      <c r="EL402" s="4">
        <f t="shared" si="1173"/>
        <v>2.1908902300206643</v>
      </c>
      <c r="EM402" s="4">
        <f t="shared" si="1174"/>
        <v>0.16540498194388473</v>
      </c>
      <c r="EP402" s="4">
        <f t="shared" si="1301"/>
        <v>0.16540498194388473</v>
      </c>
      <c r="EQ402" s="4">
        <f t="shared" si="1257"/>
        <v>0.57786230691296858</v>
      </c>
      <c r="ER402" s="4">
        <f t="shared" si="1314"/>
        <v>4.4647411209765364</v>
      </c>
      <c r="ES402" s="4">
        <f t="shared" si="1286"/>
        <v>5.0421745387071857</v>
      </c>
      <c r="ET402" s="4">
        <f t="shared" si="1315"/>
        <v>150.13545730203992</v>
      </c>
      <c r="EU402" s="4">
        <f t="shared" si="1316"/>
        <v>76.199999999999989</v>
      </c>
      <c r="EV402" s="4">
        <f t="shared" si="1098"/>
        <v>1.4904502788497585E-5</v>
      </c>
      <c r="EW402" s="4">
        <f t="shared" si="1287"/>
        <v>5.3426344802621397</v>
      </c>
      <c r="EX402" s="4">
        <f t="shared" si="1131"/>
        <v>365.89769404714241</v>
      </c>
      <c r="FG402" s="23">
        <f t="shared" si="1329"/>
        <v>1.2</v>
      </c>
      <c r="FH402" s="23">
        <f t="shared" si="1329"/>
        <v>0.8</v>
      </c>
      <c r="FI402" s="23">
        <f t="shared" si="1248"/>
        <v>0.8</v>
      </c>
      <c r="FJ402" s="23">
        <f t="shared" si="1330"/>
        <v>1.6</v>
      </c>
      <c r="FK402" s="23">
        <f t="shared" si="1330"/>
        <v>0.8</v>
      </c>
      <c r="FL402" s="23">
        <f t="shared" si="1330"/>
        <v>0.8</v>
      </c>
      <c r="FM402" s="23">
        <f t="shared" si="1195"/>
        <v>1</v>
      </c>
      <c r="FN402" s="23"/>
      <c r="FX402" s="4">
        <f t="shared" si="1099"/>
        <v>1</v>
      </c>
      <c r="FY402" s="4">
        <f t="shared" si="1139"/>
        <v>0.5</v>
      </c>
      <c r="FZ402" s="4">
        <f t="shared" si="1100"/>
        <v>0</v>
      </c>
      <c r="GA402" s="4">
        <f t="shared" si="1101"/>
        <v>326.75867419325431</v>
      </c>
    </row>
    <row r="403" spans="1:183" ht="12" hidden="1" customHeight="1" x14ac:dyDescent="0.3">
      <c r="A403" s="25">
        <v>385</v>
      </c>
      <c r="B403" s="4" t="s">
        <v>605</v>
      </c>
      <c r="C403" s="4">
        <v>2016</v>
      </c>
      <c r="D403" s="4" t="s">
        <v>309</v>
      </c>
      <c r="E403" s="14" t="s">
        <v>675</v>
      </c>
      <c r="F403" s="7" t="s">
        <v>552</v>
      </c>
      <c r="G403" s="38">
        <f t="shared" si="1359"/>
        <v>931.0344827586207</v>
      </c>
      <c r="H403" s="38">
        <f>12*25.4</f>
        <v>304.79999999999995</v>
      </c>
      <c r="I403" s="4">
        <f t="shared" si="1288"/>
        <v>304.79999999999995</v>
      </c>
      <c r="J403" s="38">
        <f>3960/145</f>
        <v>27.310344827586206</v>
      </c>
      <c r="K403" s="38">
        <f t="shared" si="1360"/>
        <v>35.813999999999993</v>
      </c>
      <c r="L403" s="7">
        <f t="shared" si="1289"/>
        <v>8.5106382978723403</v>
      </c>
      <c r="M403" s="7">
        <f t="shared" si="1290"/>
        <v>8.5106382978723403</v>
      </c>
      <c r="N403" s="38">
        <f t="shared" ref="N403" si="1371">21.4*25.4</f>
        <v>543.55999999999995</v>
      </c>
      <c r="O403" s="38">
        <f>2.4*25.4</f>
        <v>60.959999999999994</v>
      </c>
      <c r="P403" s="39">
        <f>3.7*25.4</f>
        <v>93.98</v>
      </c>
      <c r="Q403" s="7">
        <f t="shared" si="1291"/>
        <v>350.01199999999994</v>
      </c>
      <c r="R403" s="38">
        <v>2</v>
      </c>
      <c r="S403" s="4">
        <f t="shared" si="1361"/>
        <v>508</v>
      </c>
      <c r="T403" s="7">
        <f t="shared" si="1292"/>
        <v>2.2021276595744683</v>
      </c>
      <c r="U403" s="7">
        <f t="shared" si="1127"/>
        <v>2.2021276595744683</v>
      </c>
      <c r="V403" s="38">
        <v>3.8</v>
      </c>
      <c r="W403" s="4">
        <f t="shared" si="1293"/>
        <v>3.8</v>
      </c>
      <c r="X403" s="4">
        <f t="shared" si="1294"/>
        <v>4.8</v>
      </c>
      <c r="Y403" s="7">
        <f t="shared" si="1295"/>
        <v>78.464542697960056</v>
      </c>
      <c r="AB403" s="38">
        <f t="shared" si="1332"/>
        <v>297.24137931034488</v>
      </c>
      <c r="AC403" s="4">
        <v>43.1</v>
      </c>
      <c r="AD403" s="4">
        <f t="shared" si="1159"/>
        <v>0.83117670323868909</v>
      </c>
      <c r="AE403" s="38">
        <f>0.5*25.4</f>
        <v>12.7</v>
      </c>
      <c r="AF403" s="38">
        <v>4</v>
      </c>
      <c r="AG403" s="39">
        <f>8*25.4</f>
        <v>203.2</v>
      </c>
      <c r="AH403" s="39">
        <v>2</v>
      </c>
      <c r="AI403" s="39">
        <f t="shared" ref="AI403" si="1372">AH403-1</f>
        <v>1</v>
      </c>
      <c r="AJ403" s="7"/>
      <c r="AK403" s="4">
        <f t="shared" si="1297"/>
        <v>304.79999999999995</v>
      </c>
      <c r="AL403" s="4">
        <f t="shared" si="1175"/>
        <v>0.59444444444444433</v>
      </c>
      <c r="AM403" s="4">
        <f t="shared" si="1176"/>
        <v>138.02587222939175</v>
      </c>
      <c r="AN403" s="4">
        <f t="shared" si="1177"/>
        <v>0.75174999999999992</v>
      </c>
      <c r="AO403" s="4">
        <v>1.25</v>
      </c>
      <c r="AP403" s="4">
        <f t="shared" si="1112"/>
        <v>2.5</v>
      </c>
      <c r="AQ403" s="38">
        <f t="shared" si="1266"/>
        <v>192.75037484346592</v>
      </c>
      <c r="AR403" s="38">
        <f t="shared" si="1178"/>
        <v>192.75037484346592</v>
      </c>
      <c r="AS403" s="38">
        <f t="shared" si="1179"/>
        <v>2.7206502209498358</v>
      </c>
      <c r="AT403" s="38">
        <f t="shared" si="1121"/>
        <v>192.75037484346589</v>
      </c>
      <c r="AU403" s="38">
        <f t="shared" ref="AU403:AU448" si="1373">AQ403/AT403</f>
        <v>1.0000000000000002</v>
      </c>
      <c r="AV403" s="38">
        <f t="shared" si="1249"/>
        <v>1.2164555333014579</v>
      </c>
      <c r="AW403" s="4">
        <f t="shared" si="1230"/>
        <v>0</v>
      </c>
      <c r="AX403" s="4">
        <f t="shared" si="1298"/>
        <v>234.0842125092189</v>
      </c>
      <c r="AY403" s="4">
        <f t="shared" si="1267"/>
        <v>1</v>
      </c>
      <c r="AZ403" s="38">
        <f t="shared" si="1102"/>
        <v>234.47226002426424</v>
      </c>
      <c r="BA403" s="4">
        <f t="shared" si="1268"/>
        <v>0.46800000000000008</v>
      </c>
      <c r="BB403" s="4">
        <f t="shared" si="1269"/>
        <v>57.240612484879328</v>
      </c>
      <c r="BC403" s="4">
        <f t="shared" si="1270"/>
        <v>291.71287250914355</v>
      </c>
      <c r="BE403" s="4">
        <f t="shared" si="1122"/>
        <v>1.454041901913989</v>
      </c>
      <c r="BF403" s="4">
        <f t="shared" si="1128"/>
        <v>421.97154235713816</v>
      </c>
      <c r="BH403" s="4">
        <f t="shared" si="1129"/>
        <v>224.8875714522045</v>
      </c>
      <c r="BI403" s="4">
        <f t="shared" si="1350"/>
        <v>0</v>
      </c>
      <c r="BJ403" s="4">
        <f t="shared" si="1130"/>
        <v>0</v>
      </c>
      <c r="BR403" s="4">
        <f t="shared" si="1271"/>
        <v>60.959999999999994</v>
      </c>
      <c r="BV403" s="9"/>
      <c r="BX403" s="9"/>
      <c r="BY403" s="9"/>
      <c r="BZ403" s="9">
        <f t="shared" si="1272"/>
        <v>60.959999999999994</v>
      </c>
      <c r="CA403" s="9">
        <f t="shared" si="1273"/>
        <v>175.00599999999997</v>
      </c>
      <c r="CB403" s="9">
        <f t="shared" ref="CB403:CB449" si="1374">(BZ403/K403)^0.5*(CA403/BZ403)^0.15</f>
        <v>1.5282600539404603</v>
      </c>
      <c r="CC403" s="40">
        <f t="shared" si="1299"/>
        <v>20</v>
      </c>
      <c r="CD403" s="9">
        <f t="shared" si="1274"/>
        <v>0.05</v>
      </c>
      <c r="CE403" s="9">
        <f t="shared" si="1275"/>
        <v>0.8</v>
      </c>
      <c r="CF403" s="9">
        <f t="shared" si="1276"/>
        <v>0.89777220146327208</v>
      </c>
      <c r="CG403" s="9">
        <f t="shared" si="1277"/>
        <v>0.68</v>
      </c>
      <c r="CH403" s="9">
        <f t="shared" ref="CH403:CH449" si="1375">1.75*CF403*CG403*(J403/25)^0.5</f>
        <v>1.1166233434875248</v>
      </c>
      <c r="CI403" s="9">
        <f t="shared" ref="CI403:CI449" si="1376">MIN((CB403+CE403)*CH403,2.5*CH403,J403^0.5)</f>
        <v>2.5997895259394417</v>
      </c>
      <c r="CJ403" s="40">
        <v>1</v>
      </c>
      <c r="CK403" s="9">
        <f t="shared" ref="CK403:CK449" si="1377">4*CI403*M403+60*CI403</f>
        <v>244.49084477983683</v>
      </c>
      <c r="CM403" s="4">
        <f t="shared" si="1278"/>
        <v>1.2698053240076526</v>
      </c>
      <c r="CN403" s="4">
        <f t="shared" si="1279"/>
        <v>1.0189518781041382</v>
      </c>
      <c r="CO403" s="4">
        <f t="shared" si="1242"/>
        <v>0.7044109601561066</v>
      </c>
      <c r="CP403" s="4">
        <f t="shared" si="1280"/>
        <v>1.2157566864232063</v>
      </c>
      <c r="CQ403" s="4">
        <f t="shared" si="1189"/>
        <v>0.83117670323868909</v>
      </c>
      <c r="CR403" s="4">
        <f t="shared" si="1190"/>
        <v>0.90336797784402101</v>
      </c>
      <c r="CS403" s="4">
        <f t="shared" si="1243"/>
        <v>1.0055163450729336</v>
      </c>
      <c r="CT403" s="4">
        <f t="shared" si="1300"/>
        <v>4</v>
      </c>
      <c r="DA403" s="4">
        <f t="shared" ref="DA403:DB404" si="1378">CM403</f>
        <v>1.2698053240076526</v>
      </c>
      <c r="DB403" s="4">
        <f t="shared" si="1378"/>
        <v>1.0189518781041382</v>
      </c>
      <c r="DC403" s="4">
        <f t="shared" ref="DC403:DC404" si="1379">CP403</f>
        <v>1.2157566864232063</v>
      </c>
      <c r="DD403" s="4">
        <f t="shared" ref="DD403:DD404" si="1380">CS403</f>
        <v>1.0055163450729336</v>
      </c>
      <c r="DE403" s="4">
        <f t="shared" ref="DE403:DF404" si="1381">CQ403</f>
        <v>0.83117670323868909</v>
      </c>
      <c r="DF403" s="4">
        <f t="shared" si="1381"/>
        <v>0.90336797784402101</v>
      </c>
      <c r="DI403" s="4">
        <f t="shared" si="1285"/>
        <v>304.79999999999995</v>
      </c>
      <c r="DL403" s="4">
        <f t="shared" si="1166"/>
        <v>1.4904502788497585E-5</v>
      </c>
      <c r="DM403" s="4">
        <f t="shared" si="1313"/>
        <v>5.4351055338759089</v>
      </c>
      <c r="DN403" s="4">
        <f t="shared" si="1167"/>
        <v>0.5670544665522147</v>
      </c>
      <c r="DO403" s="4">
        <f t="shared" si="1168"/>
        <v>4.3316952161002904</v>
      </c>
      <c r="DP403" s="4">
        <f t="shared" si="1169"/>
        <v>4.91450537854291</v>
      </c>
      <c r="DQ403" s="4">
        <f t="shared" si="1170"/>
        <v>5.2282250018223193</v>
      </c>
      <c r="DR403" s="38">
        <f t="shared" si="1183"/>
        <v>357.61514747964014</v>
      </c>
      <c r="DS403" s="4">
        <f t="shared" ref="DS403:DS449" si="1382">DR403/EX403</f>
        <v>1.0001290562436329</v>
      </c>
      <c r="DT403" s="4">
        <f t="shared" si="1171"/>
        <v>2.1908902300206643</v>
      </c>
      <c r="DU403" s="4">
        <f t="shared" si="1103"/>
        <v>192.75037484346589</v>
      </c>
      <c r="DY403" s="4">
        <f t="shared" si="1331"/>
        <v>0.85</v>
      </c>
      <c r="DZ403" s="4">
        <f t="shared" ref="DZ403:DZ449" si="1383">MIN(1,MAX(0.7,(1-0.1*(BR403-1*K403)/K403)))</f>
        <v>0.92978723404255315</v>
      </c>
      <c r="EA403" s="4">
        <f t="shared" si="1184"/>
        <v>0.9995510789195714</v>
      </c>
      <c r="EB403" s="4">
        <f t="shared" ref="EB403:EB449" si="1384">IF(DZ403*EA403&lt;0.7,0.7,DZ403*EA403)</f>
        <v>0.92936983295287801</v>
      </c>
      <c r="ED403" s="4">
        <f t="shared" si="1185"/>
        <v>329.03687821627403</v>
      </c>
      <c r="EE403" s="25">
        <f t="shared" si="1186"/>
        <v>190.2682262875274</v>
      </c>
      <c r="EG403" s="4">
        <f t="shared" si="1104"/>
        <v>0.78996435800994624</v>
      </c>
      <c r="EH403" s="4">
        <f t="shared" si="1187"/>
        <v>5.4351055338759089</v>
      </c>
      <c r="EK403" s="4">
        <f t="shared" si="1172"/>
        <v>78.464542697960056</v>
      </c>
      <c r="EL403" s="4">
        <f t="shared" si="1173"/>
        <v>2.1908902300206643</v>
      </c>
      <c r="EM403" s="4">
        <f t="shared" si="1174"/>
        <v>0.16204052174199624</v>
      </c>
      <c r="EP403" s="4">
        <f t="shared" si="1301"/>
        <v>0.16204052174199624</v>
      </c>
      <c r="EQ403" s="4">
        <f t="shared" si="1257"/>
        <v>0.56610815833212513</v>
      </c>
      <c r="ER403" s="4">
        <f t="shared" si="1314"/>
        <v>4.3288022503906989</v>
      </c>
      <c r="ES403" s="4">
        <f t="shared" si="1286"/>
        <v>4.9132311286392003</v>
      </c>
      <c r="ET403" s="4">
        <f t="shared" si="1315"/>
        <v>150.13545730203992</v>
      </c>
      <c r="EU403" s="4">
        <f t="shared" si="1316"/>
        <v>76.199999999999989</v>
      </c>
      <c r="EV403" s="4">
        <f t="shared" ref="EV403:EV449" si="1385">EU403/(1-0.3*(J403/30)^0.5)/200000/K403</f>
        <v>1.4904502788497585E-5</v>
      </c>
      <c r="EW403" s="4">
        <f t="shared" si="1287"/>
        <v>5.2282923578239942</v>
      </c>
      <c r="EX403" s="4">
        <f t="shared" si="1131"/>
        <v>357.56900096753571</v>
      </c>
      <c r="FG403" s="23">
        <f t="shared" si="1329"/>
        <v>1.4</v>
      </c>
      <c r="FH403" s="23">
        <f t="shared" si="1329"/>
        <v>1.2</v>
      </c>
      <c r="FI403" s="23">
        <f t="shared" si="1248"/>
        <v>1.2</v>
      </c>
      <c r="FJ403" s="23">
        <f t="shared" si="1330"/>
        <v>1.4</v>
      </c>
      <c r="FK403" s="23">
        <f t="shared" si="1330"/>
        <v>1</v>
      </c>
      <c r="FL403" s="23">
        <f t="shared" si="1330"/>
        <v>1</v>
      </c>
      <c r="FM403" s="23">
        <f t="shared" si="1195"/>
        <v>0</v>
      </c>
      <c r="FN403" s="23"/>
      <c r="FX403" s="4">
        <f t="shared" ref="FX403:FX449" si="1386">IF(O403&gt;=2.5*25.4,1,1.25)</f>
        <v>1.25</v>
      </c>
      <c r="FY403" s="4">
        <f t="shared" si="1139"/>
        <v>0.44214730608235164</v>
      </c>
      <c r="FZ403" s="4">
        <f t="shared" ref="FZ403:FZ449" si="1387">MIN(0.3, AE403^2*PI()/4*2*AH403/(K403^2*PI()/4*R403))</f>
        <v>0.25149640360142855</v>
      </c>
      <c r="GA403" s="4">
        <f t="shared" ref="GA403:GA449" si="1388">(H403/25.4)/(K403/25.4)^1.5/0.0024*(J403*145)^0.25/FX403/FY403/145</f>
        <v>295.61068874398546</v>
      </c>
    </row>
    <row r="404" spans="1:183" ht="12" hidden="1" customHeight="1" x14ac:dyDescent="0.3">
      <c r="A404" s="25">
        <v>386</v>
      </c>
      <c r="B404" s="4" t="s">
        <v>605</v>
      </c>
      <c r="C404" s="4">
        <v>2016</v>
      </c>
      <c r="D404" s="4" t="s">
        <v>309</v>
      </c>
      <c r="E404" s="14" t="s">
        <v>675</v>
      </c>
      <c r="F404" s="7" t="s">
        <v>553</v>
      </c>
      <c r="G404" s="38">
        <f t="shared" si="1359"/>
        <v>931.0344827586207</v>
      </c>
      <c r="H404" s="38">
        <f>12.09*25.4</f>
        <v>307.08599999999996</v>
      </c>
      <c r="I404" s="4">
        <f t="shared" si="1288"/>
        <v>307.08599999999996</v>
      </c>
      <c r="J404" s="38">
        <f>3960/145</f>
        <v>27.310344827586206</v>
      </c>
      <c r="K404" s="38">
        <f t="shared" si="1360"/>
        <v>35.813999999999993</v>
      </c>
      <c r="L404" s="7">
        <f t="shared" si="1289"/>
        <v>8.5744680851063837</v>
      </c>
      <c r="M404" s="7">
        <f t="shared" si="1290"/>
        <v>8.5744680851063837</v>
      </c>
      <c r="N404" s="38">
        <f>21.6*25.4</f>
        <v>548.64</v>
      </c>
      <c r="O404" s="38">
        <f>2.65*25.4</f>
        <v>67.309999999999988</v>
      </c>
      <c r="P404" s="39">
        <f>3.55*25.4</f>
        <v>90.169999999999987</v>
      </c>
      <c r="Q404" s="7">
        <f t="shared" si="1291"/>
        <v>342.39200000000005</v>
      </c>
      <c r="R404" s="38">
        <v>2</v>
      </c>
      <c r="S404" s="4">
        <f t="shared" si="1361"/>
        <v>508</v>
      </c>
      <c r="T404" s="7">
        <f t="shared" si="1292"/>
        <v>2.3794326241134751</v>
      </c>
      <c r="U404" s="7">
        <f t="shared" si="1127"/>
        <v>2.3794326241134751</v>
      </c>
      <c r="V404" s="38">
        <v>3.8</v>
      </c>
      <c r="W404" s="4">
        <f t="shared" si="1293"/>
        <v>3.8</v>
      </c>
      <c r="X404" s="4">
        <f t="shared" si="1294"/>
        <v>4.8</v>
      </c>
      <c r="Y404" s="7">
        <f t="shared" si="1295"/>
        <v>78.464542697960056</v>
      </c>
      <c r="AB404" s="38">
        <f t="shared" si="1332"/>
        <v>344.82758620689657</v>
      </c>
      <c r="AC404" s="4">
        <v>50</v>
      </c>
      <c r="AD404" s="4">
        <f t="shared" si="1159"/>
        <v>0.90798285629871378</v>
      </c>
      <c r="AE404" s="38">
        <f>0.5*25.4</f>
        <v>12.7</v>
      </c>
      <c r="AF404" s="38">
        <v>12</v>
      </c>
      <c r="AG404" s="39">
        <f>4*25.4</f>
        <v>101.6</v>
      </c>
      <c r="AH404" s="39">
        <v>4</v>
      </c>
      <c r="AI404" s="39">
        <v>2</v>
      </c>
      <c r="AJ404" s="7"/>
      <c r="AK404" s="4">
        <f t="shared" si="1297"/>
        <v>307.08599999999996</v>
      </c>
      <c r="AL404" s="4">
        <f t="shared" si="1175"/>
        <v>0.59553349875930517</v>
      </c>
      <c r="AM404" s="4">
        <f t="shared" si="1176"/>
        <v>139.58157114605814</v>
      </c>
      <c r="AN404" s="4">
        <f t="shared" si="1177"/>
        <v>0.7555004135649297</v>
      </c>
      <c r="AO404" s="4">
        <v>1.25</v>
      </c>
      <c r="AP404" s="4">
        <f t="shared" si="1112"/>
        <v>2.5</v>
      </c>
      <c r="AQ404" s="38">
        <f t="shared" si="1266"/>
        <v>196.25422095574984</v>
      </c>
      <c r="AR404" s="38">
        <f t="shared" si="1178"/>
        <v>196.25422095574984</v>
      </c>
      <c r="AS404" s="38">
        <f t="shared" si="1179"/>
        <v>2.7206502209498358</v>
      </c>
      <c r="AT404" s="38">
        <f t="shared" si="1121"/>
        <v>196.25422095574979</v>
      </c>
      <c r="AU404" s="38">
        <f t="shared" si="1373"/>
        <v>1.0000000000000002</v>
      </c>
      <c r="AV404" s="38">
        <f t="shared" si="1249"/>
        <v>1.2909320505675961</v>
      </c>
      <c r="AW404" s="4">
        <f t="shared" si="1230"/>
        <v>0</v>
      </c>
      <c r="AX404" s="4">
        <f t="shared" si="1298"/>
        <v>235.8398441030381</v>
      </c>
      <c r="AY404" s="4">
        <f t="shared" si="1267"/>
        <v>1</v>
      </c>
      <c r="AZ404" s="38">
        <f t="shared" ref="AZ404:AZ449" si="1389">2*J404*T404*V404^0.5*AY404*0.7/0.7</f>
        <v>253.35086389095216</v>
      </c>
      <c r="BA404" s="4">
        <f t="shared" si="1268"/>
        <v>0.46800000000000008</v>
      </c>
      <c r="BB404" s="4">
        <f t="shared" si="1269"/>
        <v>57.669917078515923</v>
      </c>
      <c r="BC404" s="4">
        <f t="shared" si="1270"/>
        <v>311.02078096946809</v>
      </c>
      <c r="BE404" s="4">
        <f t="shared" si="1122"/>
        <v>1.5</v>
      </c>
      <c r="BF404" s="4">
        <f t="shared" si="1128"/>
        <v>436.80991870017158</v>
      </c>
      <c r="BH404" s="4">
        <f t="shared" si="1129"/>
        <v>242.99446126317099</v>
      </c>
      <c r="BI404" s="4">
        <f t="shared" si="1350"/>
        <v>0</v>
      </c>
      <c r="BJ404" s="4">
        <f t="shared" si="1130"/>
        <v>0</v>
      </c>
      <c r="BR404" s="4">
        <f t="shared" si="1271"/>
        <v>67.309999999999988</v>
      </c>
      <c r="BV404" s="9"/>
      <c r="BX404" s="9"/>
      <c r="BY404" s="9"/>
      <c r="BZ404" s="9">
        <f t="shared" si="1272"/>
        <v>67.309999999999988</v>
      </c>
      <c r="CA404" s="9">
        <f t="shared" si="1273"/>
        <v>171.19600000000003</v>
      </c>
      <c r="CB404" s="9">
        <f t="shared" si="1374"/>
        <v>1.5769774531015164</v>
      </c>
      <c r="CC404" s="40">
        <f t="shared" si="1299"/>
        <v>20</v>
      </c>
      <c r="CD404" s="9">
        <f t="shared" si="1274"/>
        <v>0.05</v>
      </c>
      <c r="CE404" s="9">
        <f t="shared" si="1275"/>
        <v>0.8</v>
      </c>
      <c r="CF404" s="9">
        <f t="shared" si="1276"/>
        <v>0.89777220146327208</v>
      </c>
      <c r="CG404" s="9">
        <f t="shared" si="1277"/>
        <v>0.68</v>
      </c>
      <c r="CH404" s="9">
        <f t="shared" si="1375"/>
        <v>1.1166233434875248</v>
      </c>
      <c r="CI404" s="9">
        <f t="shared" si="1376"/>
        <v>2.6541885110766765</v>
      </c>
      <c r="CJ404" s="40">
        <v>1</v>
      </c>
      <c r="CK404" s="9">
        <f t="shared" si="1377"/>
        <v>250.28432938493256</v>
      </c>
      <c r="CM404" s="4">
        <f t="shared" si="1278"/>
        <v>1.4621260776285192</v>
      </c>
      <c r="CN404" s="4">
        <f t="shared" si="1279"/>
        <v>1.1086962907496114</v>
      </c>
      <c r="CO404" s="4">
        <f t="shared" si="1242"/>
        <v>0.78942251868503899</v>
      </c>
      <c r="CP404" s="4">
        <f t="shared" si="1280"/>
        <v>1.3777434130786441</v>
      </c>
      <c r="CQ404" s="4">
        <f t="shared" si="1189"/>
        <v>0.90798285629871378</v>
      </c>
      <c r="CR404" s="4">
        <f t="shared" si="1190"/>
        <v>0.99108586662496612</v>
      </c>
      <c r="CS404" s="4">
        <f t="shared" si="1243"/>
        <v>0.90287337363807318</v>
      </c>
      <c r="CT404" s="4">
        <f t="shared" si="1300"/>
        <v>12</v>
      </c>
      <c r="DA404" s="4">
        <f t="shared" si="1378"/>
        <v>1.4621260776285192</v>
      </c>
      <c r="DB404" s="4">
        <f t="shared" si="1378"/>
        <v>1.1086962907496114</v>
      </c>
      <c r="DC404" s="4">
        <f t="shared" si="1379"/>
        <v>1.3777434130786441</v>
      </c>
      <c r="DD404" s="4">
        <f t="shared" si="1380"/>
        <v>0.90287337363807318</v>
      </c>
      <c r="DE404" s="4">
        <f t="shared" si="1381"/>
        <v>0.90798285629871378</v>
      </c>
      <c r="DF404" s="4">
        <f t="shared" si="1381"/>
        <v>0.99108586662496612</v>
      </c>
      <c r="DI404" s="4">
        <f t="shared" si="1285"/>
        <v>307.08599999999996</v>
      </c>
      <c r="DL404" s="4">
        <f t="shared" si="1166"/>
        <v>1.5016286559411316E-5</v>
      </c>
      <c r="DM404" s="4">
        <f t="shared" si="1313"/>
        <v>5.9931439923967753</v>
      </c>
      <c r="DN404" s="4">
        <f t="shared" si="1167"/>
        <v>0.57736247030938381</v>
      </c>
      <c r="DO404" s="4">
        <f t="shared" si="1168"/>
        <v>4.81098643586121</v>
      </c>
      <c r="DP404" s="4">
        <f t="shared" si="1169"/>
        <v>5.4343442806430158</v>
      </c>
      <c r="DQ404" s="4">
        <f t="shared" si="1170"/>
        <v>5.737033797309703</v>
      </c>
      <c r="DR404" s="38">
        <f t="shared" si="1183"/>
        <v>379.77323449976359</v>
      </c>
      <c r="DS404" s="4">
        <f t="shared" si="1382"/>
        <v>1.0001357559039215</v>
      </c>
      <c r="DT404" s="4">
        <f t="shared" si="1171"/>
        <v>2.1908902300206643</v>
      </c>
      <c r="DU404" s="4">
        <f t="shared" ref="DU404:DU449" si="1390">MIN(DT$10*AT404)</f>
        <v>196.25422095574979</v>
      </c>
      <c r="DY404" s="4">
        <f t="shared" si="1331"/>
        <v>0.85</v>
      </c>
      <c r="DZ404" s="4">
        <f t="shared" si="1383"/>
        <v>0.91205673758865247</v>
      </c>
      <c r="EA404" s="4">
        <f t="shared" si="1184"/>
        <v>0.92410215783914285</v>
      </c>
      <c r="EB404" s="4">
        <f t="shared" si="1384"/>
        <v>0.84283359927740265</v>
      </c>
      <c r="ED404" s="4">
        <f t="shared" si="1185"/>
        <v>347.92907236299209</v>
      </c>
      <c r="EE404" s="25">
        <f t="shared" si="1186"/>
        <v>193.76500668623251</v>
      </c>
      <c r="EG404" s="4">
        <f t="shared" ref="EG404:EG449" si="1391">DY404*EB404</f>
        <v>0.71640855938579218</v>
      </c>
      <c r="EH404" s="4">
        <f t="shared" si="1187"/>
        <v>5.9931439923967753</v>
      </c>
      <c r="EK404" s="4">
        <f t="shared" si="1172"/>
        <v>78.464542697960056</v>
      </c>
      <c r="EL404" s="4">
        <f t="shared" si="1173"/>
        <v>2.1908902300206643</v>
      </c>
      <c r="EM404" s="4">
        <f t="shared" si="1174"/>
        <v>0.16498611939699034</v>
      </c>
      <c r="EP404" s="4">
        <f t="shared" si="1301"/>
        <v>0.16498611939699034</v>
      </c>
      <c r="EQ404" s="4">
        <f t="shared" si="1257"/>
        <v>0.57639895995217427</v>
      </c>
      <c r="ER404" s="4">
        <f t="shared" si="1314"/>
        <v>4.8077733707460721</v>
      </c>
      <c r="ES404" s="4">
        <f t="shared" si="1286"/>
        <v>5.4329227558236886</v>
      </c>
      <c r="ET404" s="4">
        <f t="shared" si="1315"/>
        <v>151.84995730203991</v>
      </c>
      <c r="EU404" s="4">
        <f t="shared" si="1316"/>
        <v>76.771500000000003</v>
      </c>
      <c r="EV404" s="4">
        <f t="shared" si="1385"/>
        <v>1.5016286559411316E-5</v>
      </c>
      <c r="EW404" s="4">
        <f t="shared" si="1287"/>
        <v>5.7371174490897836</v>
      </c>
      <c r="EX404" s="4">
        <f t="shared" si="1131"/>
        <v>379.72168503917248</v>
      </c>
      <c r="FG404" s="23">
        <f t="shared" si="1329"/>
        <v>1.6</v>
      </c>
      <c r="FH404" s="23">
        <f t="shared" si="1329"/>
        <v>1.2</v>
      </c>
      <c r="FI404" s="23">
        <f t="shared" si="1248"/>
        <v>1</v>
      </c>
      <c r="FJ404" s="23">
        <f t="shared" si="1330"/>
        <v>1.4</v>
      </c>
      <c r="FK404" s="23">
        <f t="shared" si="1330"/>
        <v>1</v>
      </c>
      <c r="FL404" s="23">
        <f t="shared" si="1330"/>
        <v>1</v>
      </c>
      <c r="FM404" s="23">
        <f t="shared" si="1195"/>
        <v>0</v>
      </c>
      <c r="FN404" s="23"/>
      <c r="FX404" s="4">
        <f t="shared" si="1386"/>
        <v>1</v>
      </c>
      <c r="FY404" s="4">
        <f t="shared" si="1139"/>
        <v>0.43098983553339404</v>
      </c>
      <c r="FZ404" s="4">
        <f t="shared" si="1387"/>
        <v>0.3</v>
      </c>
      <c r="GA404" s="4">
        <f t="shared" si="1388"/>
        <v>381.92242265095808</v>
      </c>
    </row>
    <row r="405" spans="1:183" ht="12" hidden="1" customHeight="1" x14ac:dyDescent="0.3">
      <c r="A405" s="25">
        <v>387</v>
      </c>
      <c r="B405" s="4" t="s">
        <v>605</v>
      </c>
      <c r="C405" s="4">
        <v>2016</v>
      </c>
      <c r="D405" s="4" t="s">
        <v>309</v>
      </c>
      <c r="E405" s="14" t="s">
        <v>675</v>
      </c>
      <c r="F405" s="7" t="s">
        <v>554</v>
      </c>
      <c r="G405" s="38">
        <f t="shared" si="1359"/>
        <v>931.0344827586207</v>
      </c>
      <c r="H405" s="38">
        <f>12.13*25.4</f>
        <v>308.10199999999998</v>
      </c>
      <c r="I405" s="4">
        <f t="shared" si="1288"/>
        <v>308.10199999999998</v>
      </c>
      <c r="J405" s="38">
        <f>3960/145</f>
        <v>27.310344827586206</v>
      </c>
      <c r="K405" s="38">
        <f t="shared" si="1360"/>
        <v>35.813999999999993</v>
      </c>
      <c r="L405" s="7">
        <f t="shared" si="1289"/>
        <v>8.6028368794326244</v>
      </c>
      <c r="M405" s="7">
        <f t="shared" si="1290"/>
        <v>8.6028368794326244</v>
      </c>
      <c r="N405" s="38">
        <f>21.7*25.4</f>
        <v>551.17999999999995</v>
      </c>
      <c r="O405" s="38">
        <f>2.65*25.4</f>
        <v>67.309999999999988</v>
      </c>
      <c r="P405" s="39">
        <f>3.3*25.4</f>
        <v>83.82</v>
      </c>
      <c r="Q405" s="7">
        <f t="shared" si="1291"/>
        <v>344.93200000000002</v>
      </c>
      <c r="R405" s="38">
        <v>2</v>
      </c>
      <c r="S405" s="4">
        <f t="shared" si="1361"/>
        <v>508</v>
      </c>
      <c r="T405" s="7">
        <f t="shared" si="1292"/>
        <v>2.3794326241134751</v>
      </c>
      <c r="U405" s="7">
        <f t="shared" si="1127"/>
        <v>2.3794326241134751</v>
      </c>
      <c r="V405" s="38">
        <v>8.6</v>
      </c>
      <c r="W405" s="4">
        <f t="shared" si="1293"/>
        <v>8.6</v>
      </c>
      <c r="X405" s="4">
        <f t="shared" si="1294"/>
        <v>9.6</v>
      </c>
      <c r="Y405" s="7">
        <f t="shared" si="1295"/>
        <v>110.96562044885792</v>
      </c>
      <c r="AB405" s="38">
        <f t="shared" si="1332"/>
        <v>282.06896551724139</v>
      </c>
      <c r="AC405" s="4">
        <v>40.9</v>
      </c>
      <c r="AD405" s="4">
        <f t="shared" si="1159"/>
        <v>0.80065106847835565</v>
      </c>
      <c r="AE405" s="38"/>
      <c r="AF405" s="38"/>
      <c r="AG405" s="39">
        <v>1</v>
      </c>
      <c r="AH405" s="39"/>
      <c r="AI405" s="39"/>
      <c r="AJ405" s="7"/>
      <c r="AK405" s="4">
        <f t="shared" si="1297"/>
        <v>308.10199999999998</v>
      </c>
      <c r="AL405" s="4">
        <f t="shared" si="1175"/>
        <v>0.59631766968947519</v>
      </c>
      <c r="AM405" s="4">
        <f t="shared" si="1176"/>
        <v>140.27485630559957</v>
      </c>
      <c r="AN405" s="4">
        <f t="shared" si="1177"/>
        <v>0.75531739488870564</v>
      </c>
      <c r="AO405" s="4">
        <v>1.25</v>
      </c>
      <c r="AP405" s="4">
        <f t="shared" si="1112"/>
        <v>2.5</v>
      </c>
      <c r="AQ405" s="38">
        <f t="shared" si="1266"/>
        <v>197.4408531721443</v>
      </c>
      <c r="AR405" s="38">
        <f t="shared" si="1178"/>
        <v>197.4408531721443</v>
      </c>
      <c r="AS405" s="38">
        <f t="shared" si="1179"/>
        <v>2.7206502209498358</v>
      </c>
      <c r="AT405" s="38">
        <f t="shared" si="1121"/>
        <v>197.44085317214459</v>
      </c>
      <c r="AU405" s="38">
        <f t="shared" si="1373"/>
        <v>0.99999999999999856</v>
      </c>
      <c r="AV405" s="38">
        <f t="shared" si="1249"/>
        <v>1.9303799487364652</v>
      </c>
      <c r="AW405" s="4">
        <f t="shared" si="1230"/>
        <v>0</v>
      </c>
      <c r="AX405" s="4">
        <f t="shared" si="1298"/>
        <v>236.62012481140215</v>
      </c>
      <c r="AY405" s="4">
        <f t="shared" si="1267"/>
        <v>1</v>
      </c>
      <c r="AZ405" s="38">
        <f t="shared" si="1389"/>
        <v>381.13586402492842</v>
      </c>
      <c r="BA405" s="4">
        <f t="shared" si="1268"/>
        <v>0.3</v>
      </c>
      <c r="BB405" s="4">
        <f t="shared" si="1269"/>
        <v>37.090204564187296</v>
      </c>
      <c r="BC405" s="4">
        <f t="shared" si="1270"/>
        <v>418.2260685891157</v>
      </c>
      <c r="BE405" s="4">
        <f t="shared" si="1122"/>
        <v>1.2198581560283688</v>
      </c>
      <c r="BF405" s="4">
        <f t="shared" si="1128"/>
        <v>355.77330542506638</v>
      </c>
      <c r="BH405" s="4">
        <f t="shared" si="1129"/>
        <v>365.55590347887568</v>
      </c>
      <c r="BI405" s="4">
        <f t="shared" si="1350"/>
        <v>0</v>
      </c>
      <c r="BJ405" s="4">
        <f t="shared" si="1130"/>
        <v>0</v>
      </c>
      <c r="BR405" s="4">
        <f t="shared" si="1271"/>
        <v>67.309999999999988</v>
      </c>
      <c r="BV405" s="9"/>
      <c r="BX405" s="9"/>
      <c r="BY405" s="9"/>
      <c r="BZ405" s="9">
        <f t="shared" si="1272"/>
        <v>67.309999999999988</v>
      </c>
      <c r="CA405" s="9">
        <f t="shared" si="1273"/>
        <v>172.46600000000001</v>
      </c>
      <c r="CB405" s="9">
        <f t="shared" si="1374"/>
        <v>1.5787267425904519</v>
      </c>
      <c r="CC405" s="40">
        <f t="shared" si="1299"/>
        <v>0</v>
      </c>
      <c r="CD405" s="9">
        <f t="shared" si="1274"/>
        <v>0</v>
      </c>
      <c r="CE405" s="9">
        <f t="shared" si="1275"/>
        <v>0</v>
      </c>
      <c r="CF405" s="9">
        <f t="shared" si="1276"/>
        <v>0.89777220146327208</v>
      </c>
      <c r="CG405" s="9">
        <f t="shared" si="1277"/>
        <v>0.68</v>
      </c>
      <c r="CH405" s="9">
        <f t="shared" si="1375"/>
        <v>1.1166233434875248</v>
      </c>
      <c r="CI405" s="9">
        <f t="shared" si="1376"/>
        <v>1.7628431337645192</v>
      </c>
      <c r="CJ405" s="40">
        <v>1</v>
      </c>
      <c r="CK405" s="9">
        <f t="shared" si="1377"/>
        <v>166.43239572108709</v>
      </c>
      <c r="CM405" s="4">
        <f t="shared" si="1278"/>
        <v>1.1920751277688835</v>
      </c>
      <c r="CN405" s="4">
        <f t="shared" si="1279"/>
        <v>0.67444137681039384</v>
      </c>
      <c r="CO405" s="4">
        <f t="shared" si="1242"/>
        <v>0.79283341728023848</v>
      </c>
      <c r="CP405" s="4">
        <f t="shared" si="1280"/>
        <v>1.6947960419312951</v>
      </c>
      <c r="CQ405" s="4">
        <f t="shared" si="1189"/>
        <v>0.80065106847835565</v>
      </c>
      <c r="CR405" s="4">
        <f t="shared" si="1190"/>
        <v>0.8348184273807373</v>
      </c>
      <c r="CS405" s="4">
        <f t="shared" si="1243"/>
        <v>0.85398182075671547</v>
      </c>
      <c r="CT405" s="4">
        <f t="shared" si="1300"/>
        <v>0</v>
      </c>
      <c r="CU405" s="4">
        <f t="shared" ref="CU405:CV405" si="1392">CM405</f>
        <v>1.1920751277688835</v>
      </c>
      <c r="CV405" s="4">
        <f t="shared" si="1392"/>
        <v>0.67444137681039384</v>
      </c>
      <c r="CW405" s="4">
        <f t="shared" ref="CW405" si="1393">CP405</f>
        <v>1.6947960419312951</v>
      </c>
      <c r="CX405" s="4">
        <f t="shared" ref="CX405" si="1394">CS405</f>
        <v>0.85398182075671547</v>
      </c>
      <c r="CY405" s="4">
        <f t="shared" ref="CY405:CZ405" si="1395">CQ405</f>
        <v>0.80065106847835565</v>
      </c>
      <c r="CZ405" s="4">
        <f t="shared" si="1395"/>
        <v>0.8348184273807373</v>
      </c>
      <c r="DI405" s="4">
        <f t="shared" si="1285"/>
        <v>308.10199999999998</v>
      </c>
      <c r="DL405" s="4">
        <f t="shared" si="1166"/>
        <v>1.5065968235372974E-5</v>
      </c>
      <c r="DM405" s="4">
        <f t="shared" si="1313"/>
        <v>5.5382772956145558</v>
      </c>
      <c r="DN405" s="4">
        <f t="shared" si="1167"/>
        <v>0.36296663612174113</v>
      </c>
      <c r="DO405" s="4">
        <f t="shared" si="1168"/>
        <v>3.6925074416042682</v>
      </c>
      <c r="DP405" s="4">
        <f t="shared" si="1169"/>
        <v>4.707109693061569</v>
      </c>
      <c r="DQ405" s="4">
        <f t="shared" si="1170"/>
        <v>5.3412229365900616</v>
      </c>
      <c r="DR405" s="38">
        <f t="shared" si="1183"/>
        <v>352.29949302798775</v>
      </c>
      <c r="DS405" s="4">
        <f t="shared" si="1382"/>
        <v>1.0001219368960812</v>
      </c>
      <c r="DT405" s="4">
        <f t="shared" si="1171"/>
        <v>3.0983866769659336</v>
      </c>
      <c r="DU405" s="4">
        <f t="shared" si="1390"/>
        <v>197.44085317214459</v>
      </c>
      <c r="DY405" s="4">
        <f t="shared" si="1331"/>
        <v>0.85</v>
      </c>
      <c r="DZ405" s="4">
        <f t="shared" si="1383"/>
        <v>0.91205673758865247</v>
      </c>
      <c r="EA405" s="4">
        <f t="shared" si="1184"/>
        <v>1</v>
      </c>
      <c r="EB405" s="4">
        <f t="shared" si="1384"/>
        <v>0.91205673758865247</v>
      </c>
      <c r="ED405" s="4">
        <f t="shared" si="1185"/>
        <v>337.88061722863438</v>
      </c>
      <c r="EE405" s="25">
        <f t="shared" si="1186"/>
        <v>194.94592872692252</v>
      </c>
      <c r="EG405" s="4">
        <f t="shared" si="1391"/>
        <v>0.77524822695035456</v>
      </c>
      <c r="EH405" s="4">
        <f t="shared" si="1187"/>
        <v>5.5382772956145558</v>
      </c>
      <c r="EK405" s="4">
        <f t="shared" si="1172"/>
        <v>110.96562044885792</v>
      </c>
      <c r="EL405" s="4">
        <f t="shared" si="1173"/>
        <v>3.0983866769659336</v>
      </c>
      <c r="EM405" s="4">
        <f t="shared" si="1174"/>
        <v>0.10372072977347489</v>
      </c>
      <c r="EP405" s="4">
        <f t="shared" si="1301"/>
        <v>0.10372072977347489</v>
      </c>
      <c r="EQ405" s="4">
        <f t="shared" si="1257"/>
        <v>0.362360912453839</v>
      </c>
      <c r="ER405" s="4">
        <f t="shared" si="1314"/>
        <v>3.6900413638037644</v>
      </c>
      <c r="ES405" s="4">
        <f t="shared" si="1286"/>
        <v>4.7061447030455348</v>
      </c>
      <c r="ET405" s="4">
        <f t="shared" si="1315"/>
        <v>120.11087955114206</v>
      </c>
      <c r="EU405" s="4">
        <f t="shared" si="1316"/>
        <v>77.025499999999994</v>
      </c>
      <c r="EV405" s="4">
        <f t="shared" si="1385"/>
        <v>1.5065968235372974E-5</v>
      </c>
      <c r="EW405" s="4">
        <f t="shared" si="1287"/>
        <v>5.3412875301148457</v>
      </c>
      <c r="EX405" s="4">
        <f t="shared" si="1131"/>
        <v>352.25653995888086</v>
      </c>
      <c r="FG405" s="23">
        <f t="shared" si="1329"/>
        <v>1.2</v>
      </c>
      <c r="FH405" s="23">
        <f t="shared" si="1329"/>
        <v>0.8</v>
      </c>
      <c r="FI405" s="23">
        <f t="shared" si="1248"/>
        <v>1</v>
      </c>
      <c r="FJ405" s="23">
        <f t="shared" si="1330"/>
        <v>1.8</v>
      </c>
      <c r="FK405" s="23">
        <f t="shared" si="1330"/>
        <v>1</v>
      </c>
      <c r="FL405" s="23">
        <f t="shared" si="1330"/>
        <v>1</v>
      </c>
      <c r="FM405" s="23">
        <f t="shared" si="1195"/>
        <v>0</v>
      </c>
      <c r="FN405" s="23"/>
      <c r="FX405" s="4">
        <f t="shared" si="1386"/>
        <v>1</v>
      </c>
      <c r="FY405" s="4">
        <f t="shared" si="1139"/>
        <v>0.5</v>
      </c>
      <c r="FZ405" s="4">
        <f t="shared" si="1387"/>
        <v>0</v>
      </c>
      <c r="GA405" s="4">
        <f t="shared" si="1388"/>
        <v>330.29855983034787</v>
      </c>
    </row>
    <row r="406" spans="1:183" ht="12" hidden="1" customHeight="1" x14ac:dyDescent="0.3">
      <c r="A406" s="25">
        <v>388</v>
      </c>
      <c r="B406" s="4" t="s">
        <v>605</v>
      </c>
      <c r="C406" s="4">
        <v>2016</v>
      </c>
      <c r="D406" s="4" t="s">
        <v>309</v>
      </c>
      <c r="E406" s="14" t="s">
        <v>675</v>
      </c>
      <c r="F406" s="7" t="s">
        <v>555</v>
      </c>
      <c r="G406" s="38">
        <f t="shared" si="1359"/>
        <v>931.0344827586207</v>
      </c>
      <c r="H406" s="38">
        <f>12.56*25.4</f>
        <v>319.024</v>
      </c>
      <c r="I406" s="4">
        <f t="shared" si="1288"/>
        <v>319.024</v>
      </c>
      <c r="J406" s="38">
        <f>4050/145</f>
        <v>27.931034482758619</v>
      </c>
      <c r="K406" s="38">
        <f t="shared" si="1360"/>
        <v>35.813999999999993</v>
      </c>
      <c r="L406" s="7">
        <f t="shared" si="1289"/>
        <v>8.9078014184397176</v>
      </c>
      <c r="M406" s="7">
        <f t="shared" si="1290"/>
        <v>8.9078014184397176</v>
      </c>
      <c r="N406" s="38">
        <f>22*25.4</f>
        <v>558.79999999999995</v>
      </c>
      <c r="O406" s="38">
        <f>2.75*25.4</f>
        <v>69.849999999999994</v>
      </c>
      <c r="P406" s="39">
        <f>3.4*25.4</f>
        <v>86.36</v>
      </c>
      <c r="Q406" s="7">
        <f t="shared" si="1291"/>
        <v>347.47199999999998</v>
      </c>
      <c r="R406" s="38">
        <v>2</v>
      </c>
      <c r="S406" s="4">
        <f t="shared" si="1361"/>
        <v>508</v>
      </c>
      <c r="T406" s="7">
        <f t="shared" si="1292"/>
        <v>2.4503546099290783</v>
      </c>
      <c r="U406" s="7">
        <f t="shared" si="1127"/>
        <v>2.4503546099290783</v>
      </c>
      <c r="V406" s="38">
        <v>8.6</v>
      </c>
      <c r="W406" s="4">
        <f t="shared" si="1293"/>
        <v>8.6</v>
      </c>
      <c r="X406" s="4">
        <f t="shared" si="1294"/>
        <v>9.6</v>
      </c>
      <c r="Y406" s="7">
        <f t="shared" si="1295"/>
        <v>110.96562044885792</v>
      </c>
      <c r="AB406" s="38">
        <f t="shared" si="1332"/>
        <v>350.34482758620692</v>
      </c>
      <c r="AC406" s="4">
        <v>50.8</v>
      </c>
      <c r="AD406" s="4">
        <f t="shared" si="1159"/>
        <v>0.91366453911512724</v>
      </c>
      <c r="AE406" s="38">
        <f>0.5*25.4</f>
        <v>12.7</v>
      </c>
      <c r="AF406" s="38">
        <v>12</v>
      </c>
      <c r="AG406" s="39">
        <f>4*25.4</f>
        <v>101.6</v>
      </c>
      <c r="AH406" s="39">
        <v>4</v>
      </c>
      <c r="AI406" s="39">
        <v>2</v>
      </c>
      <c r="AJ406" s="7"/>
      <c r="AK406" s="4">
        <f t="shared" si="1297"/>
        <v>319.024</v>
      </c>
      <c r="AL406" s="4">
        <f t="shared" si="1175"/>
        <v>0.58386411889596601</v>
      </c>
      <c r="AM406" s="4">
        <f t="shared" si="1176"/>
        <v>149.46964702918689</v>
      </c>
      <c r="AN406" s="4">
        <f t="shared" si="1177"/>
        <v>0.75501592356687897</v>
      </c>
      <c r="AO406" s="4">
        <v>1.25</v>
      </c>
      <c r="AP406" s="4">
        <f t="shared" ref="AP406:AP449" si="1396">AP405</f>
        <v>2.5</v>
      </c>
      <c r="AQ406" s="38">
        <f t="shared" si="1266"/>
        <v>205.90691341005282</v>
      </c>
      <c r="AR406" s="38">
        <f t="shared" si="1178"/>
        <v>205.90691341005282</v>
      </c>
      <c r="AS406" s="38">
        <f t="shared" si="1179"/>
        <v>2.761717606769436</v>
      </c>
      <c r="AT406" s="38">
        <f t="shared" si="1121"/>
        <v>205.90691341005299</v>
      </c>
      <c r="AU406" s="38">
        <f t="shared" si="1373"/>
        <v>0.99999999999999922</v>
      </c>
      <c r="AV406" s="38">
        <f t="shared" si="1249"/>
        <v>1.9495045486691553</v>
      </c>
      <c r="AW406" s="4">
        <f t="shared" si="1230"/>
        <v>0</v>
      </c>
      <c r="AX406" s="4">
        <f t="shared" si="1298"/>
        <v>247.77668388929484</v>
      </c>
      <c r="AY406" s="4">
        <f t="shared" si="1267"/>
        <v>1</v>
      </c>
      <c r="AZ406" s="38">
        <f t="shared" si="1389"/>
        <v>401.4164642953242</v>
      </c>
      <c r="BA406" s="4">
        <f t="shared" si="1268"/>
        <v>0.3</v>
      </c>
      <c r="BB406" s="4">
        <f t="shared" si="1269"/>
        <v>38.838995199646973</v>
      </c>
      <c r="BC406" s="4">
        <f t="shared" si="1270"/>
        <v>440.25545949497121</v>
      </c>
      <c r="BE406" s="4">
        <f t="shared" si="1122"/>
        <v>1.5</v>
      </c>
      <c r="BF406" s="4">
        <f t="shared" si="1128"/>
        <v>449.673253628802</v>
      </c>
      <c r="BH406" s="4">
        <f t="shared" si="1129"/>
        <v>385.00747929398597</v>
      </c>
      <c r="BI406" s="4">
        <f t="shared" si="1350"/>
        <v>0</v>
      </c>
      <c r="BJ406" s="4">
        <f t="shared" si="1130"/>
        <v>0</v>
      </c>
      <c r="BR406" s="4">
        <f t="shared" si="1271"/>
        <v>69.849999999999994</v>
      </c>
      <c r="BV406" s="9"/>
      <c r="BX406" s="9"/>
      <c r="BY406" s="9"/>
      <c r="BZ406" s="9">
        <f t="shared" si="1272"/>
        <v>69.849999999999994</v>
      </c>
      <c r="CA406" s="9">
        <f t="shared" si="1273"/>
        <v>173.73599999999999</v>
      </c>
      <c r="CB406" s="9">
        <f t="shared" si="1374"/>
        <v>1.6010883658280048</v>
      </c>
      <c r="CC406" s="40">
        <f t="shared" si="1299"/>
        <v>20</v>
      </c>
      <c r="CD406" s="9">
        <f t="shared" si="1274"/>
        <v>0.05</v>
      </c>
      <c r="CE406" s="9">
        <f t="shared" si="1275"/>
        <v>0.8</v>
      </c>
      <c r="CF406" s="9">
        <f t="shared" si="1276"/>
        <v>0.89777220146327208</v>
      </c>
      <c r="CG406" s="9">
        <f t="shared" si="1277"/>
        <v>0.68</v>
      </c>
      <c r="CH406" s="9">
        <f t="shared" si="1375"/>
        <v>1.129240956903802</v>
      </c>
      <c r="CI406" s="9">
        <f t="shared" si="1376"/>
        <v>2.7114073238382024</v>
      </c>
      <c r="CJ406" s="40">
        <v>1</v>
      </c>
      <c r="CK406" s="9">
        <f t="shared" si="1377"/>
        <v>259.29515145130728</v>
      </c>
      <c r="CM406" s="4">
        <f t="shared" si="1278"/>
        <v>1.4139539769720177</v>
      </c>
      <c r="CN406" s="4">
        <f t="shared" si="1279"/>
        <v>0.79577622498559542</v>
      </c>
      <c r="CO406" s="4">
        <f t="shared" si="1242"/>
        <v>0.77910977528454672</v>
      </c>
      <c r="CP406" s="4">
        <f t="shared" si="1280"/>
        <v>1.3511429952518712</v>
      </c>
      <c r="CQ406" s="4">
        <f t="shared" si="1189"/>
        <v>0.91366453911512724</v>
      </c>
      <c r="CR406" s="4">
        <f t="shared" si="1190"/>
        <v>0.95553229503146886</v>
      </c>
      <c r="CS406" s="4">
        <f t="shared" si="1243"/>
        <v>0.87804597345881741</v>
      </c>
      <c r="CT406" s="4">
        <f t="shared" si="1300"/>
        <v>12</v>
      </c>
      <c r="DA406" s="4">
        <f t="shared" ref="DA406:DB406" si="1397">CM406</f>
        <v>1.4139539769720177</v>
      </c>
      <c r="DB406" s="4">
        <f t="shared" si="1397"/>
        <v>0.79577622498559542</v>
      </c>
      <c r="DC406" s="4">
        <f t="shared" ref="DC406" si="1398">CP406</f>
        <v>1.3511429952518712</v>
      </c>
      <c r="DD406" s="4">
        <f t="shared" ref="DD406" si="1399">CS406</f>
        <v>0.87804597345881741</v>
      </c>
      <c r="DE406" s="4">
        <f t="shared" ref="DE406:DF406" si="1400">CQ406</f>
        <v>0.91366453911512724</v>
      </c>
      <c r="DF406" s="4">
        <f t="shared" si="1400"/>
        <v>0.95553229503146886</v>
      </c>
      <c r="DI406" s="4">
        <f t="shared" si="1285"/>
        <v>319.024</v>
      </c>
      <c r="DL406" s="4">
        <f t="shared" si="1166"/>
        <v>1.5671059345984113E-5</v>
      </c>
      <c r="DM406" s="4">
        <f t="shared" si="1313"/>
        <v>6.1083642273193455</v>
      </c>
      <c r="DN406" s="4">
        <f t="shared" si="1167"/>
        <v>0.37011848748195403</v>
      </c>
      <c r="DO406" s="4">
        <f t="shared" si="1168"/>
        <v>4.10450922978207</v>
      </c>
      <c r="DP406" s="4">
        <f t="shared" si="1169"/>
        <v>5.2041641258059013</v>
      </c>
      <c r="DQ406" s="4">
        <f t="shared" si="1170"/>
        <v>5.8486827334247211</v>
      </c>
      <c r="DR406" s="38">
        <f t="shared" si="1183"/>
        <v>383.45017518739593</v>
      </c>
      <c r="DS406" s="4">
        <f t="shared" si="1382"/>
        <v>1.0001269709050775</v>
      </c>
      <c r="DT406" s="4">
        <f t="shared" si="1171"/>
        <v>3.0983866769659336</v>
      </c>
      <c r="DU406" s="4">
        <f t="shared" si="1390"/>
        <v>205.90691341005299</v>
      </c>
      <c r="DY406" s="4">
        <f t="shared" si="1331"/>
        <v>0.85</v>
      </c>
      <c r="DZ406" s="4">
        <f t="shared" si="1383"/>
        <v>0.90496453900709217</v>
      </c>
      <c r="EA406" s="4">
        <f t="shared" si="1184"/>
        <v>0.92410215783914285</v>
      </c>
      <c r="EB406" s="4">
        <f t="shared" si="1384"/>
        <v>0.83627968326435909</v>
      </c>
      <c r="ED406" s="4">
        <f t="shared" si="1185"/>
        <v>366.64886096253701</v>
      </c>
      <c r="EE406" s="25">
        <f t="shared" si="1186"/>
        <v>203.41257437715191</v>
      </c>
      <c r="EG406" s="4">
        <f t="shared" si="1391"/>
        <v>0.71083773077470525</v>
      </c>
      <c r="EH406" s="4">
        <f t="shared" si="1187"/>
        <v>6.1083642273193455</v>
      </c>
      <c r="EK406" s="4">
        <f t="shared" si="1172"/>
        <v>110.96562044885792</v>
      </c>
      <c r="EL406" s="4">
        <f t="shared" si="1173"/>
        <v>3.0983866769659336</v>
      </c>
      <c r="EM406" s="4">
        <f t="shared" si="1174"/>
        <v>0.10695954692424253</v>
      </c>
      <c r="EP406" s="4">
        <f t="shared" si="1301"/>
        <v>0.10695954692424253</v>
      </c>
      <c r="EQ406" s="4">
        <f t="shared" si="1257"/>
        <v>0.36950082870705558</v>
      </c>
      <c r="ER406" s="4">
        <f t="shared" si="1314"/>
        <v>4.1017679924917996</v>
      </c>
      <c r="ES406" s="4">
        <f t="shared" si="1286"/>
        <v>5.2030855233904019</v>
      </c>
      <c r="ET406" s="4">
        <f t="shared" si="1315"/>
        <v>128.30237955114208</v>
      </c>
      <c r="EU406" s="4">
        <f t="shared" si="1316"/>
        <v>79.756</v>
      </c>
      <c r="EV406" s="4">
        <f t="shared" si="1385"/>
        <v>1.5671059345984113E-5</v>
      </c>
      <c r="EW406" s="4">
        <f t="shared" si="1287"/>
        <v>5.8487668211336352</v>
      </c>
      <c r="EX406" s="4">
        <f t="shared" si="1131"/>
        <v>383.40149435264993</v>
      </c>
      <c r="FG406" s="23">
        <f t="shared" si="1329"/>
        <v>1.6</v>
      </c>
      <c r="FH406" s="23">
        <f t="shared" si="1329"/>
        <v>0.8</v>
      </c>
      <c r="FI406" s="23">
        <f t="shared" si="1248"/>
        <v>1</v>
      </c>
      <c r="FJ406" s="23">
        <f t="shared" si="1330"/>
        <v>1.4</v>
      </c>
      <c r="FK406" s="23">
        <f t="shared" si="1330"/>
        <v>1</v>
      </c>
      <c r="FL406" s="23">
        <f t="shared" si="1330"/>
        <v>1</v>
      </c>
      <c r="FM406" s="23">
        <f t="shared" si="1195"/>
        <v>0</v>
      </c>
      <c r="FN406" s="23"/>
      <c r="FX406" s="4">
        <f t="shared" si="1386"/>
        <v>1</v>
      </c>
      <c r="FY406" s="4">
        <f t="shared" si="1139"/>
        <v>0.43098983553339404</v>
      </c>
      <c r="FZ406" s="4">
        <f t="shared" si="1387"/>
        <v>0.3</v>
      </c>
      <c r="GA406" s="4">
        <f t="shared" si="1388"/>
        <v>399.00510699470681</v>
      </c>
    </row>
    <row r="407" spans="1:183" ht="12" hidden="1" customHeight="1" x14ac:dyDescent="0.3">
      <c r="A407" s="25">
        <v>389</v>
      </c>
      <c r="B407" s="4" t="s">
        <v>605</v>
      </c>
      <c r="C407" s="4">
        <v>2016</v>
      </c>
      <c r="D407" s="4" t="s">
        <v>309</v>
      </c>
      <c r="E407" s="14" t="s">
        <v>556</v>
      </c>
      <c r="F407" s="7" t="s">
        <v>557</v>
      </c>
      <c r="G407" s="38">
        <f>129/0.145</f>
        <v>889.65517241379314</v>
      </c>
      <c r="H407" s="38">
        <f>9.88*25.4</f>
        <v>250.952</v>
      </c>
      <c r="I407" s="4">
        <f t="shared" si="1288"/>
        <v>250.952</v>
      </c>
      <c r="J407" s="38">
        <f>7410/145</f>
        <v>51.103448275862071</v>
      </c>
      <c r="K407" s="38">
        <f t="shared" ref="K407:K425" si="1401">1*25.4</f>
        <v>25.4</v>
      </c>
      <c r="L407" s="7">
        <f t="shared" si="1289"/>
        <v>9.8800000000000008</v>
      </c>
      <c r="M407" s="7">
        <f t="shared" si="1290"/>
        <v>9.8800000000000008</v>
      </c>
      <c r="N407" s="38">
        <f>17.1*25.4</f>
        <v>434.34000000000003</v>
      </c>
      <c r="O407" s="38">
        <f>2.55*25.4</f>
        <v>64.77</v>
      </c>
      <c r="P407" s="39">
        <f>3.4*25.4</f>
        <v>86.36</v>
      </c>
      <c r="Q407" s="7">
        <f t="shared" si="1291"/>
        <v>254.00000000000003</v>
      </c>
      <c r="R407" s="38">
        <v>2</v>
      </c>
      <c r="S407" s="4">
        <f t="shared" si="1361"/>
        <v>508</v>
      </c>
      <c r="T407" s="7">
        <f t="shared" si="1292"/>
        <v>3.05</v>
      </c>
      <c r="U407" s="7">
        <f t="shared" si="1127"/>
        <v>3.05</v>
      </c>
      <c r="V407" s="38">
        <v>4.0999999999999996</v>
      </c>
      <c r="W407" s="4">
        <f t="shared" si="1293"/>
        <v>4.0999999999999996</v>
      </c>
      <c r="X407" s="4">
        <f t="shared" si="1294"/>
        <v>5.0999999999999996</v>
      </c>
      <c r="Y407" s="7">
        <f t="shared" si="1295"/>
        <v>57.361276136431961</v>
      </c>
      <c r="AB407" s="38">
        <f t="shared" si="1332"/>
        <v>437.93103448275866</v>
      </c>
      <c r="AC407" s="4">
        <v>63.5</v>
      </c>
      <c r="AD407" s="4">
        <f t="shared" si="1159"/>
        <v>0.63658061415316614</v>
      </c>
      <c r="AE407" s="38"/>
      <c r="AF407" s="38"/>
      <c r="AG407" s="39">
        <v>1</v>
      </c>
      <c r="AH407" s="39"/>
      <c r="AI407" s="39"/>
      <c r="AJ407" s="7"/>
      <c r="AK407" s="4">
        <f t="shared" si="1297"/>
        <v>250.952</v>
      </c>
      <c r="AL407" s="4">
        <f t="shared" si="1175"/>
        <v>0.57692307692307698</v>
      </c>
      <c r="AM407" s="4">
        <f t="shared" si="1176"/>
        <v>280.42955602781353</v>
      </c>
      <c r="AN407" s="4">
        <f t="shared" si="1177"/>
        <v>0.76174089068825901</v>
      </c>
      <c r="AO407" s="4">
        <v>1.25</v>
      </c>
      <c r="AP407" s="4">
        <f t="shared" si="1396"/>
        <v>2.5</v>
      </c>
      <c r="AQ407" s="38">
        <f t="shared" si="1266"/>
        <v>385.12258374508366</v>
      </c>
      <c r="AR407" s="38">
        <f t="shared" si="1178"/>
        <v>385.12258374508366</v>
      </c>
      <c r="AS407" s="38">
        <f t="shared" si="1179"/>
        <v>4.0980014231553801</v>
      </c>
      <c r="AT407" s="38">
        <f t="shared" si="1121"/>
        <v>385.12258374508349</v>
      </c>
      <c r="AU407" s="38">
        <f t="shared" si="1373"/>
        <v>1.0000000000000004</v>
      </c>
      <c r="AV407" s="38">
        <f t="shared" si="1249"/>
        <v>1.6389774658633678</v>
      </c>
      <c r="AW407" s="4">
        <f t="shared" si="1230"/>
        <v>0</v>
      </c>
      <c r="AX407" s="4">
        <f t="shared" si="1298"/>
        <v>371.73071454741404</v>
      </c>
      <c r="AY407" s="4">
        <f t="shared" si="1267"/>
        <v>1</v>
      </c>
      <c r="AZ407" s="38">
        <f t="shared" si="1389"/>
        <v>631.20723635326954</v>
      </c>
      <c r="BA407" s="4">
        <f t="shared" si="1268"/>
        <v>0.42600000000000005</v>
      </c>
      <c r="BB407" s="4">
        <f t="shared" si="1269"/>
        <v>82.741681097536173</v>
      </c>
      <c r="BC407" s="4">
        <f t="shared" si="1270"/>
        <v>713.94891745080577</v>
      </c>
      <c r="BE407" s="4">
        <f t="shared" si="1122"/>
        <v>1.3875</v>
      </c>
      <c r="BF407" s="4">
        <f t="shared" si="1128"/>
        <v>591.55581719530358</v>
      </c>
      <c r="BH407" s="4">
        <f t="shared" si="1129"/>
        <v>605.40493127781826</v>
      </c>
      <c r="BI407" s="4">
        <f t="shared" si="1350"/>
        <v>0</v>
      </c>
      <c r="BJ407" s="4">
        <f t="shared" si="1130"/>
        <v>0</v>
      </c>
      <c r="BR407" s="4">
        <f t="shared" si="1271"/>
        <v>64.77</v>
      </c>
      <c r="BV407" s="9"/>
      <c r="BX407" s="9"/>
      <c r="BY407" s="9"/>
      <c r="BZ407" s="9">
        <f t="shared" si="1272"/>
        <v>64.77</v>
      </c>
      <c r="CA407" s="9">
        <f t="shared" si="1273"/>
        <v>127.00000000000001</v>
      </c>
      <c r="CB407" s="9">
        <f t="shared" si="1374"/>
        <v>1.7665851027593089</v>
      </c>
      <c r="CC407" s="40">
        <f t="shared" si="1299"/>
        <v>0</v>
      </c>
      <c r="CD407" s="9">
        <f t="shared" si="1274"/>
        <v>0</v>
      </c>
      <c r="CE407" s="9">
        <f t="shared" si="1275"/>
        <v>0</v>
      </c>
      <c r="CF407" s="9">
        <f t="shared" si="1276"/>
        <v>0.99524931562137331</v>
      </c>
      <c r="CG407" s="9">
        <f t="shared" si="1277"/>
        <v>0.68</v>
      </c>
      <c r="CH407" s="9">
        <f t="shared" si="1375"/>
        <v>1.693300152715469</v>
      </c>
      <c r="CI407" s="9">
        <f t="shared" si="1376"/>
        <v>2.99135882428721</v>
      </c>
      <c r="CJ407" s="40">
        <v>1</v>
      </c>
      <c r="CK407" s="9">
        <f t="shared" si="1377"/>
        <v>297.70003019306313</v>
      </c>
      <c r="CM407" s="4">
        <f t="shared" si="1278"/>
        <v>1.1780867637368739</v>
      </c>
      <c r="CN407" s="4">
        <f t="shared" si="1279"/>
        <v>0.61339267247076401</v>
      </c>
      <c r="CO407" s="4">
        <f t="shared" si="1242"/>
        <v>0.74030382552754892</v>
      </c>
      <c r="CP407" s="4">
        <f t="shared" si="1280"/>
        <v>1.4710480015697462</v>
      </c>
      <c r="CQ407" s="4">
        <f t="shared" si="1189"/>
        <v>0.63658061415316614</v>
      </c>
      <c r="CR407" s="4">
        <f t="shared" si="1190"/>
        <v>0.67335839175112699</v>
      </c>
      <c r="CS407" s="4">
        <f t="shared" si="1243"/>
        <v>0.8312726172672158</v>
      </c>
      <c r="CT407" s="4">
        <f t="shared" si="1300"/>
        <v>0</v>
      </c>
      <c r="CU407" s="4">
        <f t="shared" ref="CU407:CV408" si="1402">CM407</f>
        <v>1.1780867637368739</v>
      </c>
      <c r="CV407" s="4">
        <f t="shared" si="1402"/>
        <v>0.61339267247076401</v>
      </c>
      <c r="CW407" s="4">
        <f t="shared" ref="CW407:CW408" si="1403">CP407</f>
        <v>1.4710480015697462</v>
      </c>
      <c r="CX407" s="4">
        <f t="shared" ref="CX407:CX408" si="1404">CS407</f>
        <v>0.8312726172672158</v>
      </c>
      <c r="CY407" s="4">
        <f t="shared" ref="CY407:CZ408" si="1405">CQ407</f>
        <v>0.63658061415316614</v>
      </c>
      <c r="CZ407" s="4">
        <f t="shared" si="1405"/>
        <v>0.67335839175112699</v>
      </c>
      <c r="DI407" s="4">
        <f t="shared" si="1285"/>
        <v>250.952</v>
      </c>
      <c r="DL407" s="4">
        <f t="shared" si="1166"/>
        <v>2.0297432140333448E-5</v>
      </c>
      <c r="DM407" s="4">
        <f t="shared" si="1313"/>
        <v>9.0857094645609653</v>
      </c>
      <c r="DN407" s="4">
        <f t="shared" si="1167"/>
        <v>0.41025190412805262</v>
      </c>
      <c r="DO407" s="4">
        <f t="shared" si="1168"/>
        <v>6.3617864584628112</v>
      </c>
      <c r="DP407" s="4">
        <f t="shared" si="1169"/>
        <v>7.843269381391015</v>
      </c>
      <c r="DQ407" s="4">
        <f t="shared" si="1170"/>
        <v>8.4745268395009088</v>
      </c>
      <c r="DR407" s="38">
        <f t="shared" si="1183"/>
        <v>687.94277542575173</v>
      </c>
      <c r="DS407" s="4">
        <f t="shared" si="1382"/>
        <v>1.0001048765455911</v>
      </c>
      <c r="DT407" s="4">
        <f t="shared" si="1171"/>
        <v>2.2583179581272428</v>
      </c>
      <c r="DU407" s="4">
        <f t="shared" si="1390"/>
        <v>385.12258374508349</v>
      </c>
      <c r="DY407" s="4">
        <f t="shared" si="1331"/>
        <v>0.85</v>
      </c>
      <c r="DZ407" s="4">
        <f t="shared" si="1383"/>
        <v>0.84499999999999997</v>
      </c>
      <c r="EA407" s="4">
        <f t="shared" si="1184"/>
        <v>1</v>
      </c>
      <c r="EB407" s="4">
        <f t="shared" si="1384"/>
        <v>0.84499999999999997</v>
      </c>
      <c r="ED407" s="4">
        <f t="shared" si="1185"/>
        <v>650.36842170167506</v>
      </c>
      <c r="EE407" s="25">
        <f t="shared" si="1186"/>
        <v>381.06799317208811</v>
      </c>
      <c r="EG407" s="4">
        <f t="shared" si="1391"/>
        <v>0.71824999999999994</v>
      </c>
      <c r="EH407" s="4">
        <f t="shared" si="1187"/>
        <v>9.0857094645609653</v>
      </c>
      <c r="EK407" s="4">
        <f t="shared" si="1172"/>
        <v>57.361276136431961</v>
      </c>
      <c r="EL407" s="4">
        <f t="shared" si="1173"/>
        <v>2.2583179581272428</v>
      </c>
      <c r="EM407" s="4">
        <f t="shared" si="1174"/>
        <v>0.1603655114597024</v>
      </c>
      <c r="EP407" s="4">
        <f t="shared" si="1301"/>
        <v>0.1603655114597024</v>
      </c>
      <c r="EQ407" s="4">
        <f t="shared" si="1257"/>
        <v>0.40956727016062394</v>
      </c>
      <c r="ER407" s="4">
        <f t="shared" si="1314"/>
        <v>6.3575376761367446</v>
      </c>
      <c r="ES407" s="4">
        <f t="shared" si="1286"/>
        <v>7.8415490707318991</v>
      </c>
      <c r="ET407" s="4">
        <f t="shared" si="1315"/>
        <v>130.85272386356803</v>
      </c>
      <c r="EU407" s="4">
        <f t="shared" si="1316"/>
        <v>62.738</v>
      </c>
      <c r="EV407" s="4">
        <f t="shared" si="1385"/>
        <v>2.0297432140333448E-5</v>
      </c>
      <c r="EW407" s="4">
        <f t="shared" si="1287"/>
        <v>8.4746977791693663</v>
      </c>
      <c r="EX407" s="4">
        <f t="shared" si="1131"/>
        <v>687.87063392985158</v>
      </c>
      <c r="FG407" s="23">
        <f t="shared" si="1329"/>
        <v>1.2</v>
      </c>
      <c r="FH407" s="23">
        <f t="shared" si="1329"/>
        <v>0.8</v>
      </c>
      <c r="FI407" s="23">
        <f t="shared" si="1248"/>
        <v>1</v>
      </c>
      <c r="FJ407" s="23">
        <f t="shared" si="1330"/>
        <v>1.6</v>
      </c>
      <c r="FK407" s="23">
        <f t="shared" si="1330"/>
        <v>0.8</v>
      </c>
      <c r="FL407" s="23">
        <f t="shared" si="1330"/>
        <v>0.8</v>
      </c>
      <c r="FM407" s="23">
        <f t="shared" si="1195"/>
        <v>1</v>
      </c>
      <c r="FN407" s="23"/>
      <c r="FX407" s="4">
        <f t="shared" si="1386"/>
        <v>1</v>
      </c>
      <c r="FY407" s="4">
        <f t="shared" si="1139"/>
        <v>0.5</v>
      </c>
      <c r="FZ407" s="4">
        <f t="shared" si="1387"/>
        <v>0</v>
      </c>
      <c r="GA407" s="4">
        <f t="shared" si="1388"/>
        <v>526.81999308775983</v>
      </c>
    </row>
    <row r="408" spans="1:183" ht="12" hidden="1" customHeight="1" x14ac:dyDescent="0.3">
      <c r="A408" s="25">
        <v>390</v>
      </c>
      <c r="B408" s="4" t="s">
        <v>605</v>
      </c>
      <c r="C408" s="4">
        <v>2016</v>
      </c>
      <c r="D408" s="4" t="s">
        <v>309</v>
      </c>
      <c r="E408" s="14" t="s">
        <v>556</v>
      </c>
      <c r="F408" s="7" t="s">
        <v>558</v>
      </c>
      <c r="G408" s="38">
        <f t="shared" ref="G408:G415" si="1406">129/0.145</f>
        <v>889.65517241379314</v>
      </c>
      <c r="H408" s="38">
        <f>9.81*25.4</f>
        <v>249.17400000000001</v>
      </c>
      <c r="I408" s="4">
        <f t="shared" si="1288"/>
        <v>249.17400000000001</v>
      </c>
      <c r="J408" s="38">
        <f>7410/145</f>
        <v>51.103448275862071</v>
      </c>
      <c r="K408" s="38">
        <f t="shared" si="1401"/>
        <v>25.4</v>
      </c>
      <c r="L408" s="7">
        <f t="shared" si="1289"/>
        <v>9.81</v>
      </c>
      <c r="M408" s="7">
        <f t="shared" si="1290"/>
        <v>9.81</v>
      </c>
      <c r="N408" s="38">
        <f>17.3*25.4</f>
        <v>439.42</v>
      </c>
      <c r="O408" s="38">
        <f>2.6*25.4</f>
        <v>66.039999999999992</v>
      </c>
      <c r="P408" s="39">
        <f>3.35*25.4</f>
        <v>85.09</v>
      </c>
      <c r="Q408" s="7">
        <f t="shared" si="1291"/>
        <v>256.54000000000002</v>
      </c>
      <c r="R408" s="38">
        <v>2</v>
      </c>
      <c r="S408" s="4">
        <f t="shared" si="1361"/>
        <v>508</v>
      </c>
      <c r="T408" s="7">
        <f t="shared" si="1292"/>
        <v>3.0999999999999996</v>
      </c>
      <c r="U408" s="7">
        <f t="shared" si="1127"/>
        <v>3.0999999999999996</v>
      </c>
      <c r="V408" s="38">
        <v>9.1</v>
      </c>
      <c r="W408" s="4">
        <f t="shared" si="1293"/>
        <v>9.1</v>
      </c>
      <c r="X408" s="4">
        <f t="shared" si="1294"/>
        <v>10.1</v>
      </c>
      <c r="Y408" s="7">
        <f t="shared" si="1295"/>
        <v>80.72246279691916</v>
      </c>
      <c r="AB408" s="38">
        <f t="shared" si="1332"/>
        <v>452.41379310344826</v>
      </c>
      <c r="AC408" s="4">
        <v>65.599999999999994</v>
      </c>
      <c r="AD408" s="4">
        <f t="shared" si="1159"/>
        <v>0.67872485494033818</v>
      </c>
      <c r="AE408" s="38"/>
      <c r="AF408" s="38"/>
      <c r="AG408" s="39">
        <v>1</v>
      </c>
      <c r="AH408" s="39"/>
      <c r="AI408" s="39"/>
      <c r="AJ408" s="7"/>
      <c r="AK408" s="4">
        <f t="shared" si="1297"/>
        <v>249.17400000000001</v>
      </c>
      <c r="AL408" s="4">
        <f t="shared" si="1175"/>
        <v>0.58783554196398236</v>
      </c>
      <c r="AM408" s="4">
        <f t="shared" si="1176"/>
        <v>277.45456748084541</v>
      </c>
      <c r="AN408" s="4">
        <f t="shared" si="1177"/>
        <v>0.76320081549439345</v>
      </c>
      <c r="AO408" s="4">
        <v>1.25</v>
      </c>
      <c r="AP408" s="4">
        <f t="shared" si="1396"/>
        <v>2.5</v>
      </c>
      <c r="AQ408" s="38">
        <f t="shared" si="1266"/>
        <v>388.98832530980724</v>
      </c>
      <c r="AR408" s="38">
        <f t="shared" si="1178"/>
        <v>388.98832530980724</v>
      </c>
      <c r="AS408" s="38">
        <f t="shared" si="1179"/>
        <v>4.0980014231553801</v>
      </c>
      <c r="AT408" s="38">
        <f t="shared" si="1121"/>
        <v>388.98832530980735</v>
      </c>
      <c r="AU408" s="38">
        <f t="shared" si="1373"/>
        <v>0.99999999999999967</v>
      </c>
      <c r="AV408" s="38">
        <f t="shared" si="1249"/>
        <v>2.4571180617648873</v>
      </c>
      <c r="AW408" s="4">
        <f t="shared" si="1230"/>
        <v>0</v>
      </c>
      <c r="AX408" s="4">
        <f t="shared" si="1298"/>
        <v>369.09699490993239</v>
      </c>
      <c r="AY408" s="4">
        <f t="shared" si="1267"/>
        <v>1</v>
      </c>
      <c r="AZ408" s="38">
        <f t="shared" si="1389"/>
        <v>955.7902399344033</v>
      </c>
      <c r="BA408" s="4">
        <f t="shared" si="1268"/>
        <v>0.3</v>
      </c>
      <c r="BB408" s="4">
        <f t="shared" si="1269"/>
        <v>57.855953952131891</v>
      </c>
      <c r="BC408" s="4">
        <f t="shared" si="1270"/>
        <v>1013.6461938865352</v>
      </c>
      <c r="BE408" s="4">
        <f t="shared" si="1122"/>
        <v>1.4</v>
      </c>
      <c r="BF408" s="4">
        <f t="shared" si="1128"/>
        <v>594.78344061103735</v>
      </c>
      <c r="BH408" s="4">
        <f t="shared" si="1129"/>
        <v>916.71972562692179</v>
      </c>
      <c r="BI408" s="4">
        <f t="shared" si="1350"/>
        <v>0</v>
      </c>
      <c r="BJ408" s="4">
        <f t="shared" si="1130"/>
        <v>0</v>
      </c>
      <c r="BR408" s="4">
        <f t="shared" si="1271"/>
        <v>66.039999999999992</v>
      </c>
      <c r="BV408" s="9"/>
      <c r="BX408" s="9"/>
      <c r="BY408" s="9"/>
      <c r="BZ408" s="9">
        <f t="shared" si="1272"/>
        <v>66.039999999999992</v>
      </c>
      <c r="CA408" s="9">
        <f t="shared" si="1273"/>
        <v>128.27000000000001</v>
      </c>
      <c r="CB408" s="9">
        <f t="shared" si="1374"/>
        <v>1.7812889692205971</v>
      </c>
      <c r="CC408" s="40">
        <f t="shared" si="1299"/>
        <v>0</v>
      </c>
      <c r="CD408" s="9">
        <f t="shared" si="1274"/>
        <v>0</v>
      </c>
      <c r="CE408" s="9">
        <f t="shared" si="1275"/>
        <v>0</v>
      </c>
      <c r="CF408" s="9">
        <f t="shared" si="1276"/>
        <v>0.99524931562137331</v>
      </c>
      <c r="CG408" s="9">
        <f t="shared" si="1277"/>
        <v>0.68</v>
      </c>
      <c r="CH408" s="9">
        <f t="shared" si="1375"/>
        <v>1.693300152715469</v>
      </c>
      <c r="CI408" s="9">
        <f t="shared" si="1376"/>
        <v>3.0162568836116175</v>
      </c>
      <c r="CJ408" s="40">
        <v>1</v>
      </c>
      <c r="CK408" s="9">
        <f t="shared" si="1377"/>
        <v>299.3333331296169</v>
      </c>
      <c r="CM408" s="4">
        <f t="shared" si="1278"/>
        <v>1.2257314455075607</v>
      </c>
      <c r="CN408" s="4">
        <f t="shared" si="1279"/>
        <v>0.44632318044701325</v>
      </c>
      <c r="CO408" s="4">
        <f t="shared" si="1242"/>
        <v>0.76063616135424206</v>
      </c>
      <c r="CP408" s="4">
        <f t="shared" si="1280"/>
        <v>1.5114046550490408</v>
      </c>
      <c r="CQ408" s="4">
        <f t="shared" si="1189"/>
        <v>0.67872485494033818</v>
      </c>
      <c r="CR408" s="4">
        <f t="shared" si="1190"/>
        <v>0.69192281388318311</v>
      </c>
      <c r="CS408" s="4">
        <f t="shared" si="1243"/>
        <v>0.86489129505352247</v>
      </c>
      <c r="CT408" s="4">
        <f t="shared" si="1300"/>
        <v>0</v>
      </c>
      <c r="CU408" s="4">
        <f t="shared" si="1402"/>
        <v>1.2257314455075607</v>
      </c>
      <c r="CV408" s="4">
        <f t="shared" si="1402"/>
        <v>0.44632318044701325</v>
      </c>
      <c r="CW408" s="4">
        <f t="shared" si="1403"/>
        <v>1.5114046550490408</v>
      </c>
      <c r="CX408" s="4">
        <f t="shared" si="1404"/>
        <v>0.86489129505352247</v>
      </c>
      <c r="CY408" s="4">
        <f t="shared" si="1405"/>
        <v>0.67872485494033818</v>
      </c>
      <c r="CZ408" s="4">
        <f t="shared" si="1405"/>
        <v>0.69192281388318311</v>
      </c>
      <c r="DI408" s="4">
        <f t="shared" si="1285"/>
        <v>249.17400000000001</v>
      </c>
      <c r="DL408" s="4">
        <f t="shared" si="1166"/>
        <v>2.0153624422739997E-5</v>
      </c>
      <c r="DM408" s="4">
        <f t="shared" si="1313"/>
        <v>9.1397910685166845</v>
      </c>
      <c r="DN408" s="4">
        <f t="shared" si="1167"/>
        <v>0.26272793307880238</v>
      </c>
      <c r="DO408" s="4">
        <f t="shared" si="1168"/>
        <v>5.3547446764165203</v>
      </c>
      <c r="DP408" s="4">
        <f t="shared" si="1169"/>
        <v>7.4918554633137289</v>
      </c>
      <c r="DQ408" s="4">
        <f t="shared" si="1170"/>
        <v>8.5890007851221988</v>
      </c>
      <c r="DR408" s="38">
        <f t="shared" si="1183"/>
        <v>666.56435197620203</v>
      </c>
      <c r="DS408" s="4">
        <f t="shared" si="1382"/>
        <v>1.0000978243766807</v>
      </c>
      <c r="DT408" s="4">
        <f t="shared" si="1171"/>
        <v>3.1780497164141401</v>
      </c>
      <c r="DU408" s="4">
        <f t="shared" si="1390"/>
        <v>388.98832530980735</v>
      </c>
      <c r="DY408" s="4">
        <f t="shared" si="1331"/>
        <v>0.85</v>
      </c>
      <c r="DZ408" s="4">
        <f t="shared" si="1383"/>
        <v>0.84000000000000008</v>
      </c>
      <c r="EA408" s="4">
        <f t="shared" si="1184"/>
        <v>1</v>
      </c>
      <c r="EB408" s="4">
        <f t="shared" si="1384"/>
        <v>0.84000000000000008</v>
      </c>
      <c r="ED408" s="4">
        <f t="shared" si="1185"/>
        <v>653.85008851555085</v>
      </c>
      <c r="EE408" s="25">
        <f t="shared" si="1186"/>
        <v>384.86603736910473</v>
      </c>
      <c r="EG408" s="4">
        <f t="shared" si="1391"/>
        <v>0.71400000000000008</v>
      </c>
      <c r="EH408" s="4">
        <f t="shared" si="1187"/>
        <v>9.1397910685166845</v>
      </c>
      <c r="EK408" s="4">
        <f t="shared" si="1172"/>
        <v>80.72246279691916</v>
      </c>
      <c r="EL408" s="4">
        <f t="shared" si="1173"/>
        <v>3.1780497164141406</v>
      </c>
      <c r="EM408" s="4">
        <f t="shared" si="1174"/>
        <v>0.10269909521195474</v>
      </c>
      <c r="EP408" s="4">
        <f t="shared" si="1301"/>
        <v>0.10269909521195474</v>
      </c>
      <c r="EQ408" s="4">
        <f t="shared" si="1257"/>
        <v>0.26228948912432426</v>
      </c>
      <c r="ER408" s="4">
        <f t="shared" si="1314"/>
        <v>5.3511684569551603</v>
      </c>
      <c r="ES408" s="4">
        <f t="shared" si="1286"/>
        <v>7.4905842503572924</v>
      </c>
      <c r="ET408" s="4">
        <f t="shared" si="1315"/>
        <v>106.15803720308085</v>
      </c>
      <c r="EU408" s="4">
        <f t="shared" si="1316"/>
        <v>62.293499999999995</v>
      </c>
      <c r="EV408" s="4">
        <f t="shared" si="1385"/>
        <v>2.015362442273999E-5</v>
      </c>
      <c r="EW408" s="4">
        <f t="shared" si="1287"/>
        <v>8.5891550801549688</v>
      </c>
      <c r="EX408" s="4">
        <f t="shared" si="1131"/>
        <v>666.49915211208838</v>
      </c>
      <c r="FG408" s="23">
        <f t="shared" si="1329"/>
        <v>1.4</v>
      </c>
      <c r="FH408" s="23">
        <f t="shared" si="1329"/>
        <v>0.6</v>
      </c>
      <c r="FI408" s="23">
        <f t="shared" si="1248"/>
        <v>1</v>
      </c>
      <c r="FJ408" s="23">
        <f t="shared" si="1330"/>
        <v>1.6</v>
      </c>
      <c r="FK408" s="23">
        <f t="shared" si="1330"/>
        <v>0.8</v>
      </c>
      <c r="FL408" s="23">
        <f t="shared" si="1330"/>
        <v>0.8</v>
      </c>
      <c r="FM408" s="23">
        <f t="shared" si="1195"/>
        <v>1</v>
      </c>
      <c r="FN408" s="23"/>
      <c r="FX408" s="4">
        <f t="shared" si="1386"/>
        <v>1</v>
      </c>
      <c r="FY408" s="4">
        <f t="shared" si="1139"/>
        <v>0.5</v>
      </c>
      <c r="FZ408" s="4">
        <f t="shared" si="1387"/>
        <v>0</v>
      </c>
      <c r="GA408" s="4">
        <f t="shared" si="1388"/>
        <v>523.08746277236071</v>
      </c>
    </row>
    <row r="409" spans="1:183" ht="12" hidden="1" customHeight="1" x14ac:dyDescent="0.3">
      <c r="A409" s="25">
        <v>391</v>
      </c>
      <c r="B409" s="4" t="s">
        <v>605</v>
      </c>
      <c r="C409" s="4">
        <v>2016</v>
      </c>
      <c r="D409" s="4" t="s">
        <v>309</v>
      </c>
      <c r="E409" s="14" t="s">
        <v>676</v>
      </c>
      <c r="F409" s="7" t="s">
        <v>559</v>
      </c>
      <c r="G409" s="38">
        <f t="shared" si="1406"/>
        <v>889.65517241379314</v>
      </c>
      <c r="H409" s="38">
        <f>9.63*25.4</f>
        <v>244.602</v>
      </c>
      <c r="I409" s="4">
        <f t="shared" si="1288"/>
        <v>244.602</v>
      </c>
      <c r="J409" s="38">
        <f>7410/145</f>
        <v>51.103448275862071</v>
      </c>
      <c r="K409" s="38">
        <f t="shared" si="1401"/>
        <v>25.4</v>
      </c>
      <c r="L409" s="7">
        <f t="shared" si="1289"/>
        <v>9.6300000000000008</v>
      </c>
      <c r="M409" s="7">
        <f t="shared" si="1290"/>
        <v>9.6300000000000008</v>
      </c>
      <c r="N409" s="38">
        <f>17.4*25.4</f>
        <v>441.95999999999992</v>
      </c>
      <c r="O409" s="38">
        <f>2.65*25.4</f>
        <v>67.309999999999988</v>
      </c>
      <c r="P409" s="39">
        <f>3.6*25.4</f>
        <v>91.44</v>
      </c>
      <c r="Q409" s="7">
        <f t="shared" si="1291"/>
        <v>256.53999999999996</v>
      </c>
      <c r="R409" s="38">
        <v>2</v>
      </c>
      <c r="S409" s="4">
        <f t="shared" si="1361"/>
        <v>508</v>
      </c>
      <c r="T409" s="7">
        <f t="shared" si="1292"/>
        <v>3.1499999999999995</v>
      </c>
      <c r="U409" s="7">
        <f t="shared" si="1127"/>
        <v>3.1499999999999995</v>
      </c>
      <c r="V409" s="38">
        <v>9.1</v>
      </c>
      <c r="W409" s="4">
        <f t="shared" si="1293"/>
        <v>9.1</v>
      </c>
      <c r="X409" s="4">
        <f t="shared" si="1294"/>
        <v>10.1</v>
      </c>
      <c r="Y409" s="7">
        <f t="shared" si="1295"/>
        <v>80.72246279691916</v>
      </c>
      <c r="AB409" s="38">
        <f t="shared" si="1332"/>
        <v>595.17241379310349</v>
      </c>
      <c r="AC409" s="4">
        <v>86.3</v>
      </c>
      <c r="AD409" s="4">
        <f t="shared" si="1159"/>
        <v>0.83340478977310528</v>
      </c>
      <c r="AE409" s="38">
        <f>0.5*25.4</f>
        <v>12.7</v>
      </c>
      <c r="AF409" s="38">
        <v>10</v>
      </c>
      <c r="AG409" s="39">
        <f>5*25.4</f>
        <v>127</v>
      </c>
      <c r="AH409" s="39">
        <v>3</v>
      </c>
      <c r="AI409" s="39">
        <v>2</v>
      </c>
      <c r="AJ409" s="7"/>
      <c r="AK409" s="4">
        <f t="shared" si="1297"/>
        <v>244.602</v>
      </c>
      <c r="AL409" s="4">
        <f t="shared" si="1175"/>
        <v>0.60228452751817219</v>
      </c>
      <c r="AM409" s="4">
        <f t="shared" si="1176"/>
        <v>269.85334029886326</v>
      </c>
      <c r="AN409" s="4">
        <f t="shared" si="1177"/>
        <v>0.76542056074766351</v>
      </c>
      <c r="AO409" s="4">
        <v>1.25</v>
      </c>
      <c r="AP409" s="4">
        <f t="shared" si="1396"/>
        <v>2.5</v>
      </c>
      <c r="AQ409" s="38">
        <f t="shared" si="1266"/>
        <v>388.75827858803166</v>
      </c>
      <c r="AR409" s="38">
        <f t="shared" si="1178"/>
        <v>388.75827858803166</v>
      </c>
      <c r="AS409" s="38">
        <f t="shared" si="1179"/>
        <v>4.0980014231553801</v>
      </c>
      <c r="AT409" s="38">
        <f t="shared" ref="AT409:AT449" si="1407">AP409* (J409^0.5/AK409^0.5)/(PI()/4*K409^2)/R409/0.72 *(0.7+(MIN(O409,S409)+0.5*K409)/5/H409) *(3*N409*H409)</f>
        <v>388.75827858803183</v>
      </c>
      <c r="AU409" s="38">
        <f t="shared" si="1373"/>
        <v>0.99999999999999956</v>
      </c>
      <c r="AV409" s="38">
        <f t="shared" si="1249"/>
        <v>2.4982264431092367</v>
      </c>
      <c r="AW409" s="4">
        <f t="shared" si="1230"/>
        <v>0</v>
      </c>
      <c r="AX409" s="4">
        <f t="shared" si="1298"/>
        <v>362.32457298497951</v>
      </c>
      <c r="AY409" s="4">
        <f t="shared" si="1267"/>
        <v>1</v>
      </c>
      <c r="AZ409" s="38">
        <f t="shared" si="1389"/>
        <v>971.20621154624848</v>
      </c>
      <c r="BA409" s="4">
        <f t="shared" si="1268"/>
        <v>0.3</v>
      </c>
      <c r="BB409" s="4">
        <f t="shared" si="1269"/>
        <v>56.79437681539553</v>
      </c>
      <c r="BC409" s="4">
        <f t="shared" si="1270"/>
        <v>1028.0005883616441</v>
      </c>
      <c r="BE409" s="4">
        <f t="shared" ref="BE409:BE449" si="1408">MIN(1.5, 0.75+0.25*MIN(3,MAX(1,O409/K409))+0.4*MIN(1,(40*2*PI()*AE409^2/4/AG409/R409)/K409))</f>
        <v>1.5</v>
      </c>
      <c r="BF409" s="4">
        <f t="shared" si="1128"/>
        <v>631.47755133741964</v>
      </c>
      <c r="BH409" s="4">
        <f t="shared" si="1129"/>
        <v>931.5055276531624</v>
      </c>
      <c r="BI409" s="4">
        <f t="shared" si="1350"/>
        <v>0</v>
      </c>
      <c r="BJ409" s="4">
        <f t="shared" si="1130"/>
        <v>0</v>
      </c>
      <c r="BR409" s="4">
        <f t="shared" si="1271"/>
        <v>67.309999999999988</v>
      </c>
      <c r="BV409" s="9"/>
      <c r="BX409" s="9"/>
      <c r="BY409" s="9"/>
      <c r="BZ409" s="9">
        <f t="shared" si="1272"/>
        <v>67.309999999999988</v>
      </c>
      <c r="CA409" s="9">
        <f t="shared" si="1273"/>
        <v>128.26999999999998</v>
      </c>
      <c r="CB409" s="9">
        <f t="shared" si="1374"/>
        <v>1.793204262788072</v>
      </c>
      <c r="CC409" s="40">
        <f t="shared" si="1299"/>
        <v>20</v>
      </c>
      <c r="CD409" s="9">
        <f t="shared" si="1274"/>
        <v>0.05</v>
      </c>
      <c r="CE409" s="9">
        <f t="shared" si="1275"/>
        <v>0.8</v>
      </c>
      <c r="CF409" s="9">
        <f t="shared" si="1276"/>
        <v>0.99524931562137331</v>
      </c>
      <c r="CG409" s="9">
        <f t="shared" si="1277"/>
        <v>0.68</v>
      </c>
      <c r="CH409" s="9">
        <f t="shared" si="1375"/>
        <v>1.693300152715469</v>
      </c>
      <c r="CI409" s="9">
        <f t="shared" si="1376"/>
        <v>4.2332503817886726</v>
      </c>
      <c r="CJ409" s="40">
        <v>1</v>
      </c>
      <c r="CK409" s="9">
        <f t="shared" si="1377"/>
        <v>417.05982761382006</v>
      </c>
      <c r="CM409" s="4">
        <f t="shared" si="1278"/>
        <v>1.6426498729849517</v>
      </c>
      <c r="CN409" s="4">
        <f t="shared" si="1279"/>
        <v>0.57896116065618985</v>
      </c>
      <c r="CO409" s="4">
        <f t="shared" si="1242"/>
        <v>0.94250763551701122</v>
      </c>
      <c r="CP409" s="4">
        <f t="shared" si="1280"/>
        <v>1.4270672320523956</v>
      </c>
      <c r="CQ409" s="4">
        <f t="shared" si="1189"/>
        <v>0.83340478977310528</v>
      </c>
      <c r="CR409" s="4">
        <f t="shared" si="1190"/>
        <v>0.84853134899852589</v>
      </c>
      <c r="CS409" s="4">
        <f t="shared" si="1243"/>
        <v>1.0296890870286513</v>
      </c>
      <c r="CT409" s="4">
        <f t="shared" si="1300"/>
        <v>10</v>
      </c>
      <c r="DA409" s="4">
        <f t="shared" ref="DA409:DB409" si="1409">CM409</f>
        <v>1.6426498729849517</v>
      </c>
      <c r="DB409" s="4">
        <f t="shared" si="1409"/>
        <v>0.57896116065618985</v>
      </c>
      <c r="DC409" s="4">
        <f t="shared" ref="DC409" si="1410">CP409</f>
        <v>1.4270672320523956</v>
      </c>
      <c r="DD409" s="4">
        <f t="shared" ref="DD409" si="1411">CS409</f>
        <v>1.0296890870286513</v>
      </c>
      <c r="DE409" s="4">
        <f t="shared" ref="DE409:DF409" si="1412">CQ409</f>
        <v>0.83340478977310528</v>
      </c>
      <c r="DF409" s="4">
        <f t="shared" si="1412"/>
        <v>0.84853134899852589</v>
      </c>
      <c r="DI409" s="4">
        <f t="shared" si="1285"/>
        <v>244.602</v>
      </c>
      <c r="DL409" s="4">
        <f t="shared" si="1166"/>
        <v>1.9783833148928252E-5</v>
      </c>
      <c r="DM409" s="4">
        <f t="shared" si="1313"/>
        <v>10.967749282220023</v>
      </c>
      <c r="DN409" s="4">
        <f t="shared" si="1167"/>
        <v>0.26257255643690569</v>
      </c>
      <c r="DO409" s="4">
        <f t="shared" si="1168"/>
        <v>6.4241732862813743</v>
      </c>
      <c r="DP409" s="4">
        <f t="shared" si="1169"/>
        <v>8.9896860463643975</v>
      </c>
      <c r="DQ409" s="4">
        <f t="shared" si="1170"/>
        <v>10.206506761698176</v>
      </c>
      <c r="DR409" s="38">
        <f t="shared" si="1183"/>
        <v>714.14566018409778</v>
      </c>
      <c r="DS409" s="4">
        <f t="shared" si="1382"/>
        <v>1.000108021418886</v>
      </c>
      <c r="DT409" s="4">
        <f t="shared" si="1171"/>
        <v>3.1780497164141401</v>
      </c>
      <c r="DU409" s="4">
        <f t="shared" si="1390"/>
        <v>388.75827858803183</v>
      </c>
      <c r="DY409" s="4">
        <f t="shared" si="1331"/>
        <v>0.85</v>
      </c>
      <c r="DZ409" s="4">
        <f t="shared" si="1383"/>
        <v>0.83499999999999996</v>
      </c>
      <c r="EA409" s="4">
        <f t="shared" si="1184"/>
        <v>0.77500000000000002</v>
      </c>
      <c r="EB409" s="4">
        <f t="shared" si="1384"/>
        <v>0.7</v>
      </c>
      <c r="ED409" s="4">
        <f t="shared" si="1185"/>
        <v>701.41476151181951</v>
      </c>
      <c r="EE409" s="25">
        <f t="shared" si="1186"/>
        <v>384.55648474848294</v>
      </c>
      <c r="EG409" s="4">
        <f t="shared" si="1391"/>
        <v>0.59499999999999997</v>
      </c>
      <c r="EH409" s="4">
        <f t="shared" si="1187"/>
        <v>10.967749282220023</v>
      </c>
      <c r="EK409" s="4">
        <f t="shared" si="1172"/>
        <v>80.72246279691916</v>
      </c>
      <c r="EL409" s="4">
        <f t="shared" si="1173"/>
        <v>3.1780497164141406</v>
      </c>
      <c r="EM409" s="4">
        <f t="shared" si="1174"/>
        <v>0.10263835922414841</v>
      </c>
      <c r="EP409" s="4">
        <f t="shared" si="1301"/>
        <v>0.10263835922414841</v>
      </c>
      <c r="EQ409" s="4">
        <f t="shared" si="1257"/>
        <v>0.26213437177708465</v>
      </c>
      <c r="ER409" s="4">
        <f t="shared" si="1314"/>
        <v>6.4198828382921871</v>
      </c>
      <c r="ES409" s="4">
        <f t="shared" si="1286"/>
        <v>8.9881612318991966</v>
      </c>
      <c r="ET409" s="4">
        <f t="shared" si="1315"/>
        <v>102.72903720308085</v>
      </c>
      <c r="EU409" s="4">
        <f t="shared" si="1316"/>
        <v>61.150499999999994</v>
      </c>
      <c r="EV409" s="4">
        <f t="shared" si="1385"/>
        <v>1.9783833148928249E-5</v>
      </c>
      <c r="EW409" s="4">
        <f t="shared" si="1287"/>
        <v>10.206722179968247</v>
      </c>
      <c r="EX409" s="4">
        <f t="shared" si="1131"/>
        <v>714.0685254887926</v>
      </c>
      <c r="FG409" s="23">
        <f t="shared" si="1329"/>
        <v>1.8</v>
      </c>
      <c r="FH409" s="23">
        <f t="shared" si="1329"/>
        <v>0.6</v>
      </c>
      <c r="FI409" s="23">
        <f t="shared" si="1248"/>
        <v>1.2</v>
      </c>
      <c r="FJ409" s="23">
        <f t="shared" si="1330"/>
        <v>1.6</v>
      </c>
      <c r="FK409" s="23">
        <f t="shared" si="1330"/>
        <v>1</v>
      </c>
      <c r="FL409" s="23">
        <f t="shared" si="1330"/>
        <v>1</v>
      </c>
      <c r="FM409" s="23">
        <f t="shared" si="1195"/>
        <v>0</v>
      </c>
      <c r="FN409" s="23"/>
      <c r="FX409" s="4">
        <f t="shared" si="1386"/>
        <v>1</v>
      </c>
      <c r="FY409" s="4">
        <f t="shared" si="1139"/>
        <v>0.44418604651162791</v>
      </c>
      <c r="FZ409" s="4">
        <f t="shared" si="1387"/>
        <v>0.3</v>
      </c>
      <c r="GA409" s="4">
        <f t="shared" si="1388"/>
        <v>578.01177199088124</v>
      </c>
    </row>
    <row r="410" spans="1:183" ht="12" hidden="1" customHeight="1" x14ac:dyDescent="0.3">
      <c r="A410" s="25">
        <v>392</v>
      </c>
      <c r="B410" s="4" t="s">
        <v>605</v>
      </c>
      <c r="C410" s="4">
        <v>2016</v>
      </c>
      <c r="D410" s="4" t="s">
        <v>309</v>
      </c>
      <c r="E410" s="14" t="s">
        <v>676</v>
      </c>
      <c r="F410" s="7" t="s">
        <v>560</v>
      </c>
      <c r="G410" s="38">
        <f t="shared" si="1406"/>
        <v>889.65517241379314</v>
      </c>
      <c r="H410" s="38">
        <f>9.88*25.4</f>
        <v>250.952</v>
      </c>
      <c r="I410" s="4">
        <f t="shared" si="1288"/>
        <v>250.952</v>
      </c>
      <c r="J410" s="38">
        <f t="shared" ref="J410:J415" si="1413">4880/145</f>
        <v>33.655172413793103</v>
      </c>
      <c r="K410" s="38">
        <f t="shared" si="1401"/>
        <v>25.4</v>
      </c>
      <c r="L410" s="7">
        <f t="shared" si="1289"/>
        <v>9.8800000000000008</v>
      </c>
      <c r="M410" s="7">
        <f t="shared" si="1290"/>
        <v>9.8800000000000008</v>
      </c>
      <c r="N410" s="38">
        <f>17.4*25.4</f>
        <v>441.95999999999992</v>
      </c>
      <c r="O410" s="38">
        <f>2.55*25.4</f>
        <v>64.77</v>
      </c>
      <c r="P410" s="39">
        <f>3.3*25.4</f>
        <v>83.82</v>
      </c>
      <c r="Q410" s="7">
        <f t="shared" si="1291"/>
        <v>261.61999999999989</v>
      </c>
      <c r="R410" s="38">
        <v>2</v>
      </c>
      <c r="S410" s="4">
        <f t="shared" si="1361"/>
        <v>508</v>
      </c>
      <c r="T410" s="7">
        <f t="shared" si="1292"/>
        <v>3.05</v>
      </c>
      <c r="U410" s="7">
        <f t="shared" ref="U410:U449" si="1414">O410/K410+0.5</f>
        <v>3.05</v>
      </c>
      <c r="V410" s="38">
        <v>4.0999999999999996</v>
      </c>
      <c r="W410" s="4">
        <f t="shared" si="1293"/>
        <v>4.0999999999999996</v>
      </c>
      <c r="X410" s="4">
        <f t="shared" si="1294"/>
        <v>5.0999999999999996</v>
      </c>
      <c r="Y410" s="7">
        <f t="shared" si="1295"/>
        <v>57.361276136431961</v>
      </c>
      <c r="AB410" s="38">
        <f t="shared" si="1332"/>
        <v>354.48275862068965</v>
      </c>
      <c r="AC410" s="4">
        <v>51.4</v>
      </c>
      <c r="AD410" s="4">
        <f t="shared" si="1159"/>
        <v>0.61800778838527559</v>
      </c>
      <c r="AE410" s="38"/>
      <c r="AF410" s="38"/>
      <c r="AG410" s="39">
        <v>1</v>
      </c>
      <c r="AH410" s="39"/>
      <c r="AI410" s="39"/>
      <c r="AJ410" s="7"/>
      <c r="AK410" s="4">
        <f t="shared" si="1297"/>
        <v>250.952</v>
      </c>
      <c r="AL410" s="4">
        <f t="shared" si="1175"/>
        <v>0.58704453441295534</v>
      </c>
      <c r="AM410" s="4">
        <f t="shared" si="1176"/>
        <v>227.57502097194012</v>
      </c>
      <c r="AN410" s="4">
        <f t="shared" si="1177"/>
        <v>0.76174089068825901</v>
      </c>
      <c r="AO410" s="4">
        <v>1.25</v>
      </c>
      <c r="AP410" s="4">
        <f t="shared" si="1396"/>
        <v>2.5</v>
      </c>
      <c r="AQ410" s="38">
        <f t="shared" si="1266"/>
        <v>318.01890030575532</v>
      </c>
      <c r="AR410" s="38">
        <f t="shared" si="1178"/>
        <v>318.01890030575532</v>
      </c>
      <c r="AS410" s="38">
        <f t="shared" si="1179"/>
        <v>3.1272010355053257</v>
      </c>
      <c r="AT410" s="38">
        <f t="shared" si="1407"/>
        <v>318.01890030575521</v>
      </c>
      <c r="AU410" s="38">
        <f t="shared" si="1373"/>
        <v>1.0000000000000004</v>
      </c>
      <c r="AV410" s="38">
        <f t="shared" si="1249"/>
        <v>1.3071356264291427</v>
      </c>
      <c r="AW410" s="4">
        <f t="shared" si="1230"/>
        <v>0</v>
      </c>
      <c r="AX410" s="4">
        <f t="shared" si="1298"/>
        <v>301.6680066014568</v>
      </c>
      <c r="AY410" s="4">
        <f t="shared" si="1267"/>
        <v>1</v>
      </c>
      <c r="AZ410" s="38">
        <f t="shared" si="1389"/>
        <v>415.69383446747042</v>
      </c>
      <c r="BA410" s="4">
        <f t="shared" si="1268"/>
        <v>0.42600000000000005</v>
      </c>
      <c r="BB410" s="4">
        <f t="shared" si="1269"/>
        <v>67.146773249385262</v>
      </c>
      <c r="BC410" s="4">
        <f t="shared" si="1270"/>
        <v>482.84060771685569</v>
      </c>
      <c r="BE410" s="4">
        <f t="shared" si="1408"/>
        <v>1.3875</v>
      </c>
      <c r="BF410" s="4">
        <f t="shared" ref="BF410:BF449" si="1415">(3*M410+30)*BE410*J410^0.5</f>
        <v>480.06112269757404</v>
      </c>
      <c r="BH410" s="4">
        <f t="shared" ref="BH410:BH449" si="1416">3.4/PI()^0.5*J410*T410*W410^0.5*AY410</f>
        <v>398.70122329767247</v>
      </c>
      <c r="BI410" s="4">
        <f t="shared" si="1350"/>
        <v>0</v>
      </c>
      <c r="BJ410" s="4">
        <f t="shared" ref="BJ410:BJ449" si="1417">BI410/BH410</f>
        <v>0</v>
      </c>
      <c r="BR410" s="4">
        <f t="shared" si="1271"/>
        <v>64.77</v>
      </c>
      <c r="BV410" s="9"/>
      <c r="BX410" s="9"/>
      <c r="BY410" s="9"/>
      <c r="BZ410" s="9">
        <f t="shared" si="1272"/>
        <v>64.77</v>
      </c>
      <c r="CA410" s="9">
        <f t="shared" si="1273"/>
        <v>130.80999999999995</v>
      </c>
      <c r="CB410" s="9">
        <f t="shared" si="1374"/>
        <v>1.7744352138444073</v>
      </c>
      <c r="CC410" s="40">
        <f t="shared" si="1299"/>
        <v>0</v>
      </c>
      <c r="CD410" s="9">
        <f t="shared" si="1274"/>
        <v>0</v>
      </c>
      <c r="CE410" s="9">
        <f t="shared" si="1275"/>
        <v>0</v>
      </c>
      <c r="CF410" s="9">
        <f t="shared" si="1276"/>
        <v>0.99524931562137331</v>
      </c>
      <c r="CG410" s="9">
        <f t="shared" si="1277"/>
        <v>0.68</v>
      </c>
      <c r="CH410" s="9">
        <f t="shared" si="1375"/>
        <v>1.3741519375646418</v>
      </c>
      <c r="CI410" s="9">
        <f t="shared" si="1376"/>
        <v>2.4383435871872217</v>
      </c>
      <c r="CJ410" s="40">
        <v>1</v>
      </c>
      <c r="CK410" s="9">
        <f t="shared" si="1377"/>
        <v>242.66395379687231</v>
      </c>
      <c r="CM410" s="4">
        <f t="shared" si="1278"/>
        <v>1.1750757483839116</v>
      </c>
      <c r="CN410" s="4">
        <f t="shared" si="1279"/>
        <v>0.73416103151904566</v>
      </c>
      <c r="CO410" s="4">
        <f t="shared" si="1242"/>
        <v>0.73841171855110732</v>
      </c>
      <c r="CP410" s="4">
        <f t="shared" si="1280"/>
        <v>1.4607969295572343</v>
      </c>
      <c r="CQ410" s="4">
        <f t="shared" si="1189"/>
        <v>0.61800778838527559</v>
      </c>
      <c r="CR410" s="4">
        <f t="shared" si="1190"/>
        <v>0.6648035989042731</v>
      </c>
      <c r="CS410" s="4">
        <f t="shared" si="1243"/>
        <v>0.74693440629475993</v>
      </c>
      <c r="CT410" s="4">
        <f t="shared" si="1300"/>
        <v>0</v>
      </c>
      <c r="CU410" s="4">
        <f t="shared" ref="CU410:CV411" si="1418">CM410</f>
        <v>1.1750757483839116</v>
      </c>
      <c r="CV410" s="4">
        <f t="shared" si="1418"/>
        <v>0.73416103151904566</v>
      </c>
      <c r="CW410" s="4">
        <f t="shared" ref="CW410:CW411" si="1419">CP410</f>
        <v>1.4607969295572343</v>
      </c>
      <c r="CX410" s="4">
        <f t="shared" ref="CX410:CX411" si="1420">CS410</f>
        <v>0.74693440629475993</v>
      </c>
      <c r="CY410" s="4">
        <f t="shared" ref="CY410:CZ411" si="1421">CQ410</f>
        <v>0.61800778838527559</v>
      </c>
      <c r="CZ410" s="4">
        <f t="shared" si="1421"/>
        <v>0.6648035989042731</v>
      </c>
      <c r="DI410" s="4">
        <f t="shared" si="1285"/>
        <v>250.952</v>
      </c>
      <c r="DL410" s="4">
        <f t="shared" si="1166"/>
        <v>1.8101887802209873E-5</v>
      </c>
      <c r="DM410" s="4">
        <f t="shared" si="1313"/>
        <v>7.3732617603878383</v>
      </c>
      <c r="DN410" s="4">
        <f t="shared" si="1167"/>
        <v>0.51440234096462856</v>
      </c>
      <c r="DO410" s="4">
        <f t="shared" si="1168"/>
        <v>5.651722459899756</v>
      </c>
      <c r="DP410" s="4">
        <f t="shared" si="1169"/>
        <v>6.5692280921920974</v>
      </c>
      <c r="DQ410" s="4">
        <f t="shared" si="1170"/>
        <v>6.9986563688871684</v>
      </c>
      <c r="DR410" s="38">
        <f t="shared" si="1183"/>
        <v>573.58946809857946</v>
      </c>
      <c r="DS410" s="4">
        <f t="shared" si="1382"/>
        <v>1.0001157899551703</v>
      </c>
      <c r="DT410" s="4">
        <f t="shared" si="1171"/>
        <v>2.2583179581272428</v>
      </c>
      <c r="DU410" s="4">
        <f t="shared" si="1390"/>
        <v>318.01890030575521</v>
      </c>
      <c r="DY410" s="4">
        <f t="shared" si="1331"/>
        <v>0.85</v>
      </c>
      <c r="DZ410" s="4">
        <f t="shared" si="1383"/>
        <v>0.84499999999999997</v>
      </c>
      <c r="EA410" s="4">
        <f t="shared" si="1184"/>
        <v>1</v>
      </c>
      <c r="EB410" s="4">
        <f t="shared" si="1384"/>
        <v>0.84499999999999997</v>
      </c>
      <c r="ED410" s="4">
        <f t="shared" si="1185"/>
        <v>533.21425937667436</v>
      </c>
      <c r="EE410" s="25">
        <f t="shared" si="1186"/>
        <v>314.67078079877888</v>
      </c>
      <c r="EG410" s="4">
        <f t="shared" si="1391"/>
        <v>0.71824999999999994</v>
      </c>
      <c r="EH410" s="4">
        <f t="shared" si="1187"/>
        <v>7.3732617603878383</v>
      </c>
      <c r="EK410" s="4">
        <f t="shared" si="1172"/>
        <v>57.361276136431961</v>
      </c>
      <c r="EL410" s="4">
        <f t="shared" si="1173"/>
        <v>2.2583179581272428</v>
      </c>
      <c r="EM410" s="4">
        <f t="shared" si="1174"/>
        <v>0.16317894148531115</v>
      </c>
      <c r="EP410" s="4">
        <f t="shared" si="1301"/>
        <v>0.16317894148531115</v>
      </c>
      <c r="EQ410" s="4">
        <f t="shared" si="1257"/>
        <v>0.51354389932912226</v>
      </c>
      <c r="ER410" s="4">
        <f t="shared" si="1314"/>
        <v>5.6479479008735689</v>
      </c>
      <c r="ES410" s="4">
        <f t="shared" si="1286"/>
        <v>6.5676056541484567</v>
      </c>
      <c r="ET410" s="4">
        <f t="shared" si="1315"/>
        <v>130.85272386356803</v>
      </c>
      <c r="EU410" s="4">
        <f t="shared" si="1316"/>
        <v>62.738</v>
      </c>
      <c r="EV410" s="4">
        <f t="shared" si="1385"/>
        <v>1.8101887802209873E-5</v>
      </c>
      <c r="EW410" s="4">
        <f t="shared" si="1287"/>
        <v>6.9987698858984766</v>
      </c>
      <c r="EX410" s="4">
        <f t="shared" ref="EX410:EX449" si="1422">MIN(4/K410*(1*ER410*EK410+ES410*ET410+EU410*EW410)+DU410,MAX(G410,AB410))</f>
        <v>573.52305988918579</v>
      </c>
      <c r="FG410" s="23">
        <f t="shared" si="1329"/>
        <v>1.2</v>
      </c>
      <c r="FH410" s="23">
        <f t="shared" si="1329"/>
        <v>0.8</v>
      </c>
      <c r="FI410" s="23">
        <f t="shared" si="1248"/>
        <v>0.8</v>
      </c>
      <c r="FJ410" s="23">
        <f t="shared" si="1330"/>
        <v>1.6</v>
      </c>
      <c r="FK410" s="23">
        <f t="shared" si="1330"/>
        <v>0.8</v>
      </c>
      <c r="FL410" s="23">
        <f t="shared" si="1330"/>
        <v>0.8</v>
      </c>
      <c r="FM410" s="23">
        <f t="shared" si="1195"/>
        <v>1</v>
      </c>
      <c r="FN410" s="23"/>
      <c r="FX410" s="4">
        <f t="shared" si="1386"/>
        <v>1</v>
      </c>
      <c r="FY410" s="4">
        <f t="shared" si="1139"/>
        <v>0.5</v>
      </c>
      <c r="FZ410" s="4">
        <f t="shared" si="1387"/>
        <v>0</v>
      </c>
      <c r="GA410" s="4">
        <f t="shared" si="1388"/>
        <v>474.58351849011149</v>
      </c>
    </row>
    <row r="411" spans="1:183" ht="12" hidden="1" customHeight="1" x14ac:dyDescent="0.3">
      <c r="A411" s="25">
        <v>393</v>
      </c>
      <c r="B411" s="4" t="s">
        <v>605</v>
      </c>
      <c r="C411" s="4">
        <v>2016</v>
      </c>
      <c r="D411" s="4" t="s">
        <v>309</v>
      </c>
      <c r="E411" s="14" t="s">
        <v>676</v>
      </c>
      <c r="F411" s="7" t="s">
        <v>561</v>
      </c>
      <c r="G411" s="38">
        <f t="shared" si="1406"/>
        <v>889.65517241379314</v>
      </c>
      <c r="H411" s="38">
        <f>9.75*25.4</f>
        <v>247.64999999999998</v>
      </c>
      <c r="I411" s="4">
        <f t="shared" si="1288"/>
        <v>247.64999999999998</v>
      </c>
      <c r="J411" s="38">
        <f t="shared" si="1413"/>
        <v>33.655172413793103</v>
      </c>
      <c r="K411" s="38">
        <f t="shared" si="1401"/>
        <v>25.4</v>
      </c>
      <c r="L411" s="7">
        <f t="shared" si="1289"/>
        <v>9.75</v>
      </c>
      <c r="M411" s="7">
        <f t="shared" si="1290"/>
        <v>9.75</v>
      </c>
      <c r="N411" s="38">
        <f>17.5*25.4</f>
        <v>444.5</v>
      </c>
      <c r="O411" s="38">
        <f>2.6*25.4</f>
        <v>66.039999999999992</v>
      </c>
      <c r="P411" s="39">
        <f>3.5*25.4</f>
        <v>88.899999999999991</v>
      </c>
      <c r="Q411" s="7">
        <f t="shared" si="1291"/>
        <v>261.62</v>
      </c>
      <c r="R411" s="38">
        <v>2</v>
      </c>
      <c r="S411" s="4">
        <f t="shared" si="1361"/>
        <v>508</v>
      </c>
      <c r="T411" s="7">
        <f t="shared" si="1292"/>
        <v>3.0999999999999996</v>
      </c>
      <c r="U411" s="7">
        <f t="shared" si="1414"/>
        <v>3.0999999999999996</v>
      </c>
      <c r="V411" s="38">
        <v>9.1</v>
      </c>
      <c r="W411" s="4">
        <f t="shared" si="1293"/>
        <v>9.1</v>
      </c>
      <c r="X411" s="4">
        <f t="shared" si="1294"/>
        <v>10.1</v>
      </c>
      <c r="Y411" s="7">
        <f t="shared" si="1295"/>
        <v>80.72246279691916</v>
      </c>
      <c r="AB411" s="38">
        <f t="shared" si="1332"/>
        <v>387.58620689655174</v>
      </c>
      <c r="AC411" s="4">
        <v>56.2</v>
      </c>
      <c r="AD411" s="4">
        <f t="shared" si="1159"/>
        <v>0.70367808719437008</v>
      </c>
      <c r="AE411" s="38"/>
      <c r="AF411" s="38"/>
      <c r="AG411" s="39">
        <v>1</v>
      </c>
      <c r="AH411" s="39"/>
      <c r="AI411" s="39"/>
      <c r="AJ411" s="7"/>
      <c r="AK411" s="4">
        <f t="shared" si="1297"/>
        <v>247.64999999999998</v>
      </c>
      <c r="AL411" s="4">
        <f t="shared" si="1175"/>
        <v>0.59829059829059839</v>
      </c>
      <c r="AM411" s="4">
        <f t="shared" si="1176"/>
        <v>223.09821631857008</v>
      </c>
      <c r="AN411" s="4">
        <f t="shared" si="1177"/>
        <v>0.76358974358974352</v>
      </c>
      <c r="AO411" s="4">
        <v>1.25</v>
      </c>
      <c r="AP411" s="4">
        <f t="shared" si="1396"/>
        <v>2.5</v>
      </c>
      <c r="AQ411" s="38">
        <f t="shared" si="1266"/>
        <v>318.50656211489917</v>
      </c>
      <c r="AR411" s="38">
        <f t="shared" si="1178"/>
        <v>318.50656211489917</v>
      </c>
      <c r="AS411" s="38">
        <f t="shared" si="1179"/>
        <v>3.1272010355053257</v>
      </c>
      <c r="AT411" s="38">
        <f t="shared" si="1407"/>
        <v>318.5065621148994</v>
      </c>
      <c r="AU411" s="38">
        <f t="shared" si="1373"/>
        <v>0.99999999999999933</v>
      </c>
      <c r="AV411" s="38">
        <f t="shared" si="1249"/>
        <v>1.9762679201452078</v>
      </c>
      <c r="AW411" s="4">
        <f t="shared" si="1230"/>
        <v>0</v>
      </c>
      <c r="AX411" s="4">
        <f t="shared" si="1298"/>
        <v>297.69869072512182</v>
      </c>
      <c r="AY411" s="4">
        <f t="shared" si="1267"/>
        <v>1</v>
      </c>
      <c r="AZ411" s="38">
        <f t="shared" si="1389"/>
        <v>629.45430106341269</v>
      </c>
      <c r="BA411" s="4">
        <f t="shared" si="1268"/>
        <v>0.3</v>
      </c>
      <c r="BB411" s="4">
        <f t="shared" si="1269"/>
        <v>46.664269771162843</v>
      </c>
      <c r="BC411" s="4">
        <f t="shared" si="1270"/>
        <v>676.11857083457551</v>
      </c>
      <c r="BE411" s="4">
        <f t="shared" si="1408"/>
        <v>1.4</v>
      </c>
      <c r="BF411" s="4">
        <f t="shared" si="1415"/>
        <v>481.21848360751608</v>
      </c>
      <c r="BH411" s="4">
        <f t="shared" si="1416"/>
        <v>603.72365196482838</v>
      </c>
      <c r="BI411" s="4">
        <f t="shared" si="1350"/>
        <v>0</v>
      </c>
      <c r="BJ411" s="4">
        <f t="shared" si="1417"/>
        <v>0</v>
      </c>
      <c r="BR411" s="4">
        <f t="shared" si="1271"/>
        <v>66.039999999999992</v>
      </c>
      <c r="BV411" s="9"/>
      <c r="BX411" s="9"/>
      <c r="BY411" s="9"/>
      <c r="BZ411" s="9">
        <f t="shared" si="1272"/>
        <v>66.039999999999992</v>
      </c>
      <c r="CA411" s="9">
        <f t="shared" si="1273"/>
        <v>130.81</v>
      </c>
      <c r="CB411" s="9">
        <f t="shared" si="1374"/>
        <v>1.7865359348792491</v>
      </c>
      <c r="CC411" s="40">
        <f t="shared" si="1299"/>
        <v>0</v>
      </c>
      <c r="CD411" s="9">
        <f t="shared" si="1274"/>
        <v>0</v>
      </c>
      <c r="CE411" s="9">
        <f t="shared" si="1275"/>
        <v>0</v>
      </c>
      <c r="CF411" s="9">
        <f t="shared" si="1276"/>
        <v>0.99524931562137331</v>
      </c>
      <c r="CG411" s="9">
        <f t="shared" si="1277"/>
        <v>0.68</v>
      </c>
      <c r="CH411" s="9">
        <f t="shared" si="1375"/>
        <v>1.3741519375646418</v>
      </c>
      <c r="CI411" s="9">
        <f t="shared" si="1376"/>
        <v>2.4549718164431789</v>
      </c>
      <c r="CJ411" s="40">
        <v>1</v>
      </c>
      <c r="CK411" s="9">
        <f t="shared" si="1377"/>
        <v>243.04220982787473</v>
      </c>
      <c r="CM411" s="4">
        <f t="shared" si="1278"/>
        <v>1.3019412546037261</v>
      </c>
      <c r="CN411" s="4">
        <f t="shared" si="1279"/>
        <v>0.57325182832669397</v>
      </c>
      <c r="CO411" s="4">
        <f t="shared" si="1242"/>
        <v>0.80542668268051976</v>
      </c>
      <c r="CP411" s="4">
        <f t="shared" si="1280"/>
        <v>1.5947279576294371</v>
      </c>
      <c r="CQ411" s="4">
        <f t="shared" si="1189"/>
        <v>0.70367808719437008</v>
      </c>
      <c r="CR411" s="4">
        <f t="shared" si="1190"/>
        <v>0.72846501506533778</v>
      </c>
      <c r="CS411" s="4">
        <f t="shared" si="1243"/>
        <v>0.8275761961520568</v>
      </c>
      <c r="CT411" s="4">
        <f t="shared" si="1300"/>
        <v>0</v>
      </c>
      <c r="CU411" s="4">
        <f t="shared" si="1418"/>
        <v>1.3019412546037261</v>
      </c>
      <c r="CV411" s="4">
        <f t="shared" si="1418"/>
        <v>0.57325182832669397</v>
      </c>
      <c r="CW411" s="4">
        <f t="shared" si="1419"/>
        <v>1.5947279576294371</v>
      </c>
      <c r="CX411" s="4">
        <f t="shared" si="1420"/>
        <v>0.8275761961520568</v>
      </c>
      <c r="CY411" s="4">
        <f t="shared" si="1421"/>
        <v>0.70367808719437008</v>
      </c>
      <c r="CZ411" s="4">
        <f t="shared" si="1421"/>
        <v>0.72846501506533778</v>
      </c>
      <c r="DI411" s="4">
        <f t="shared" si="1285"/>
        <v>247.64999999999998</v>
      </c>
      <c r="DL411" s="4">
        <f t="shared" si="1166"/>
        <v>1.7863705067970267E-5</v>
      </c>
      <c r="DM411" s="4">
        <f t="shared" si="1313"/>
        <v>7.4171502232472895</v>
      </c>
      <c r="DN411" s="4">
        <f t="shared" si="1167"/>
        <v>0.32665285061685839</v>
      </c>
      <c r="DO411" s="4">
        <f t="shared" si="1168"/>
        <v>4.7410185666214346</v>
      </c>
      <c r="DP411" s="4">
        <f t="shared" si="1169"/>
        <v>6.2252785516665377</v>
      </c>
      <c r="DQ411" s="4">
        <f t="shared" si="1170"/>
        <v>7.084379290649192</v>
      </c>
      <c r="DR411" s="38">
        <f t="shared" si="1183"/>
        <v>550.80044973674535</v>
      </c>
      <c r="DS411" s="4">
        <f t="shared" si="1382"/>
        <v>1.0001074003237229</v>
      </c>
      <c r="DT411" s="4">
        <f t="shared" si="1171"/>
        <v>3.1780497164141401</v>
      </c>
      <c r="DU411" s="4">
        <f t="shared" si="1390"/>
        <v>318.5065621148994</v>
      </c>
      <c r="DY411" s="4">
        <f t="shared" si="1331"/>
        <v>0.85</v>
      </c>
      <c r="DZ411" s="4">
        <f t="shared" si="1383"/>
        <v>0.84000000000000008</v>
      </c>
      <c r="EA411" s="4">
        <f t="shared" si="1184"/>
        <v>1</v>
      </c>
      <c r="EB411" s="4">
        <f t="shared" si="1384"/>
        <v>0.84000000000000008</v>
      </c>
      <c r="ED411" s="4">
        <f t="shared" si="1185"/>
        <v>532.05877959944064</v>
      </c>
      <c r="EE411" s="25">
        <f t="shared" si="1186"/>
        <v>315.1071355694574</v>
      </c>
      <c r="EG411" s="4">
        <f t="shared" si="1391"/>
        <v>0.71400000000000008</v>
      </c>
      <c r="EH411" s="4">
        <f t="shared" si="1187"/>
        <v>7.4171502232472895</v>
      </c>
      <c r="EK411" s="4">
        <f t="shared" si="1172"/>
        <v>80.72246279691916</v>
      </c>
      <c r="EL411" s="4">
        <f t="shared" si="1173"/>
        <v>3.1780497164141406</v>
      </c>
      <c r="EM411" s="4">
        <f t="shared" si="1174"/>
        <v>0.10362096388765003</v>
      </c>
      <c r="EP411" s="4">
        <f t="shared" si="1301"/>
        <v>0.10362096388765003</v>
      </c>
      <c r="EQ411" s="4">
        <f t="shared" si="1257"/>
        <v>0.32610772788899423</v>
      </c>
      <c r="ER411" s="4">
        <f t="shared" si="1314"/>
        <v>4.7378522302432895</v>
      </c>
      <c r="ES411" s="4">
        <f t="shared" si="1286"/>
        <v>6.2240766285072322</v>
      </c>
      <c r="ET411" s="4">
        <f t="shared" si="1315"/>
        <v>105.01503720308082</v>
      </c>
      <c r="EU411" s="4">
        <f t="shared" si="1316"/>
        <v>61.912499999999994</v>
      </c>
      <c r="EV411" s="4">
        <f t="shared" si="1385"/>
        <v>1.7863705067970267E-5</v>
      </c>
      <c r="EW411" s="4">
        <f t="shared" si="1287"/>
        <v>7.0844796465466686</v>
      </c>
      <c r="EX411" s="4">
        <f t="shared" si="1422"/>
        <v>550.74129994284397</v>
      </c>
      <c r="FG411" s="23">
        <f t="shared" si="1329"/>
        <v>1.4</v>
      </c>
      <c r="FH411" s="23">
        <f t="shared" si="1329"/>
        <v>0.6</v>
      </c>
      <c r="FI411" s="23">
        <f t="shared" si="1248"/>
        <v>1</v>
      </c>
      <c r="FJ411" s="23">
        <f t="shared" si="1330"/>
        <v>1.6</v>
      </c>
      <c r="FK411" s="23">
        <f t="shared" si="1330"/>
        <v>0.8</v>
      </c>
      <c r="FL411" s="23">
        <f t="shared" si="1330"/>
        <v>0.8</v>
      </c>
      <c r="FM411" s="23">
        <f t="shared" si="1195"/>
        <v>1</v>
      </c>
      <c r="FN411" s="23"/>
      <c r="FX411" s="4">
        <f t="shared" si="1386"/>
        <v>1</v>
      </c>
      <c r="FY411" s="4">
        <f t="shared" si="1139"/>
        <v>0.5</v>
      </c>
      <c r="FZ411" s="4">
        <f t="shared" si="1387"/>
        <v>0</v>
      </c>
      <c r="GA411" s="4">
        <f t="shared" si="1388"/>
        <v>468.33899850997841</v>
      </c>
    </row>
    <row r="412" spans="1:183" ht="12" hidden="1" customHeight="1" x14ac:dyDescent="0.3">
      <c r="A412" s="25">
        <v>394</v>
      </c>
      <c r="B412" s="4" t="s">
        <v>605</v>
      </c>
      <c r="C412" s="4">
        <v>2016</v>
      </c>
      <c r="D412" s="4" t="s">
        <v>309</v>
      </c>
      <c r="E412" s="14" t="s">
        <v>676</v>
      </c>
      <c r="F412" s="33" t="s">
        <v>562</v>
      </c>
      <c r="G412" s="38">
        <f t="shared" si="1406"/>
        <v>889.65517241379314</v>
      </c>
      <c r="H412" s="38">
        <f>10.13*25.4</f>
        <v>257.30200000000002</v>
      </c>
      <c r="I412" s="4">
        <f t="shared" si="1288"/>
        <v>257.30200000000002</v>
      </c>
      <c r="J412" s="38">
        <f t="shared" si="1413"/>
        <v>33.655172413793103</v>
      </c>
      <c r="K412" s="38">
        <f t="shared" si="1401"/>
        <v>25.4</v>
      </c>
      <c r="L412" s="7">
        <f t="shared" si="1289"/>
        <v>10.130000000000001</v>
      </c>
      <c r="M412" s="7">
        <f t="shared" si="1290"/>
        <v>10.130000000000001</v>
      </c>
      <c r="N412" s="38">
        <f>17.3*25.4</f>
        <v>439.42</v>
      </c>
      <c r="O412" s="38">
        <f>2.5*25.4</f>
        <v>63.5</v>
      </c>
      <c r="P412" s="39">
        <f>3*25.4</f>
        <v>76.199999999999989</v>
      </c>
      <c r="Q412" s="7">
        <f t="shared" si="1291"/>
        <v>261.62</v>
      </c>
      <c r="R412" s="38">
        <v>2</v>
      </c>
      <c r="S412" s="4">
        <f t="shared" si="1361"/>
        <v>508</v>
      </c>
      <c r="T412" s="7">
        <f t="shared" si="1292"/>
        <v>3</v>
      </c>
      <c r="U412" s="7">
        <f t="shared" si="1414"/>
        <v>3</v>
      </c>
      <c r="V412" s="38">
        <v>4.0999999999999996</v>
      </c>
      <c r="W412" s="4">
        <f t="shared" si="1293"/>
        <v>4.0999999999999996</v>
      </c>
      <c r="X412" s="4">
        <f t="shared" si="1294"/>
        <v>5.0999999999999996</v>
      </c>
      <c r="Y412" s="7">
        <f t="shared" si="1295"/>
        <v>57.361276136431961</v>
      </c>
      <c r="AB412" s="38">
        <f t="shared" si="1332"/>
        <v>564.13793103448279</v>
      </c>
      <c r="AC412" s="4">
        <v>81.8</v>
      </c>
      <c r="AD412" s="4">
        <f t="shared" si="1159"/>
        <v>0.9393306132040562</v>
      </c>
      <c r="AE412" s="38">
        <f t="shared" ref="AE412:AE415" si="1423">0.5*25.4</f>
        <v>12.7</v>
      </c>
      <c r="AF412" s="38">
        <v>6</v>
      </c>
      <c r="AG412" s="39">
        <f>7.5*25.4</f>
        <v>190.5</v>
      </c>
      <c r="AH412" s="39">
        <v>1</v>
      </c>
      <c r="AI412" s="39">
        <v>1</v>
      </c>
      <c r="AJ412" s="7"/>
      <c r="AK412" s="4">
        <f t="shared" si="1297"/>
        <v>257.30200000000002</v>
      </c>
      <c r="AL412" s="4">
        <f t="shared" si="1175"/>
        <v>0.56926620598881206</v>
      </c>
      <c r="AM412" s="4">
        <f t="shared" si="1176"/>
        <v>236.26714999168641</v>
      </c>
      <c r="AN412" s="4">
        <f t="shared" si="1177"/>
        <v>0.75923000987166822</v>
      </c>
      <c r="AO412" s="4">
        <v>1.25</v>
      </c>
      <c r="AP412" s="4">
        <f t="shared" si="1396"/>
        <v>2.5</v>
      </c>
      <c r="AQ412" s="38">
        <f t="shared" si="1266"/>
        <v>319.11126334066762</v>
      </c>
      <c r="AR412" s="38">
        <f t="shared" si="1178"/>
        <v>319.11126334066762</v>
      </c>
      <c r="AS412" s="38">
        <f t="shared" si="1179"/>
        <v>3.1272010355053257</v>
      </c>
      <c r="AT412" s="38">
        <f t="shared" si="1407"/>
        <v>319.11126334066768</v>
      </c>
      <c r="AU412" s="38">
        <f t="shared" si="1373"/>
        <v>0.99999999999999978</v>
      </c>
      <c r="AV412" s="38">
        <f t="shared" si="1249"/>
        <v>1.2813060158485035</v>
      </c>
      <c r="AW412" s="4">
        <f t="shared" si="1230"/>
        <v>0</v>
      </c>
      <c r="AX412" s="4">
        <f t="shared" si="1298"/>
        <v>309.30130636363941</v>
      </c>
      <c r="AY412" s="4">
        <f t="shared" si="1267"/>
        <v>1</v>
      </c>
      <c r="AZ412" s="38">
        <f t="shared" si="1389"/>
        <v>408.87918144341347</v>
      </c>
      <c r="BA412" s="4">
        <f t="shared" si="1268"/>
        <v>0.42600000000000005</v>
      </c>
      <c r="BB412" s="4">
        <f t="shared" si="1269"/>
        <v>68.84583127695069</v>
      </c>
      <c r="BC412" s="4">
        <f t="shared" si="1270"/>
        <v>477.72501272036413</v>
      </c>
      <c r="BE412" s="4">
        <f t="shared" si="1408"/>
        <v>1.5</v>
      </c>
      <c r="BF412" s="4">
        <f t="shared" si="1415"/>
        <v>525.51146880755698</v>
      </c>
      <c r="BH412" s="4">
        <f t="shared" si="1416"/>
        <v>392.16513766984178</v>
      </c>
      <c r="BI412" s="4">
        <f t="shared" si="1350"/>
        <v>0</v>
      </c>
      <c r="BJ412" s="4">
        <f t="shared" si="1417"/>
        <v>0</v>
      </c>
      <c r="BR412" s="4">
        <f t="shared" si="1271"/>
        <v>63.5</v>
      </c>
      <c r="BV412" s="9"/>
      <c r="BX412" s="9"/>
      <c r="BY412" s="9"/>
      <c r="BZ412" s="9">
        <f t="shared" si="1272"/>
        <v>63.5</v>
      </c>
      <c r="CA412" s="9">
        <f t="shared" si="1273"/>
        <v>130.81</v>
      </c>
      <c r="CB412" s="9">
        <f t="shared" si="1374"/>
        <v>1.7621792676747374</v>
      </c>
      <c r="CC412" s="40">
        <f t="shared" si="1299"/>
        <v>20</v>
      </c>
      <c r="CD412" s="9">
        <f t="shared" si="1274"/>
        <v>0.05</v>
      </c>
      <c r="CE412" s="9">
        <f t="shared" si="1275"/>
        <v>0.8</v>
      </c>
      <c r="CF412" s="9">
        <f t="shared" si="1276"/>
        <v>0.99524931562137331</v>
      </c>
      <c r="CG412" s="9">
        <f t="shared" si="1277"/>
        <v>0.68</v>
      </c>
      <c r="CH412" s="9">
        <f t="shared" si="1375"/>
        <v>1.3741519375646418</v>
      </c>
      <c r="CI412" s="9">
        <f t="shared" si="1376"/>
        <v>3.4353798439116048</v>
      </c>
      <c r="CJ412" s="40">
        <v>1</v>
      </c>
      <c r="CK412" s="9">
        <f t="shared" si="1377"/>
        <v>345.32438190999449</v>
      </c>
      <c r="CM412" s="4">
        <f t="shared" si="1278"/>
        <v>1.8239105992369686</v>
      </c>
      <c r="CN412" s="4">
        <f t="shared" si="1279"/>
        <v>1.180884224215198</v>
      </c>
      <c r="CO412" s="4">
        <f t="shared" si="1242"/>
        <v>1.0735026055940766</v>
      </c>
      <c r="CP412" s="4">
        <f t="shared" si="1280"/>
        <v>1.6336463933251026</v>
      </c>
      <c r="CQ412" s="4">
        <f t="shared" si="1189"/>
        <v>0.9393306132040562</v>
      </c>
      <c r="CR412" s="4">
        <f t="shared" si="1190"/>
        <v>1.0134345640672162</v>
      </c>
      <c r="CS412" s="4">
        <f t="shared" si="1243"/>
        <v>1.0515170046860745</v>
      </c>
      <c r="CT412" s="4">
        <f t="shared" si="1300"/>
        <v>6</v>
      </c>
      <c r="DA412" s="4">
        <f t="shared" ref="DA412:DB415" si="1424">CM412</f>
        <v>1.8239105992369686</v>
      </c>
      <c r="DB412" s="4">
        <f t="shared" si="1424"/>
        <v>1.180884224215198</v>
      </c>
      <c r="DC412" s="4">
        <f t="shared" ref="DC412:DC415" si="1425">CP412</f>
        <v>1.6336463933251026</v>
      </c>
      <c r="DD412" s="4">
        <f t="shared" ref="DD412:DD415" si="1426">CS412</f>
        <v>1.0515170046860745</v>
      </c>
      <c r="DE412" s="4">
        <f t="shared" ref="DE412:DF415" si="1427">CQ412</f>
        <v>0.9393306132040562</v>
      </c>
      <c r="DF412" s="4">
        <f t="shared" si="1427"/>
        <v>1.0134345640672162</v>
      </c>
      <c r="DI412" s="4">
        <f t="shared" si="1285"/>
        <v>257.30200000000002</v>
      </c>
      <c r="DL412" s="4">
        <f t="shared" si="1166"/>
        <v>1.855993152190142E-5</v>
      </c>
      <c r="DM412" s="4">
        <f t="shared" si="1313"/>
        <v>7.9242050079843862</v>
      </c>
      <c r="DN412" s="4">
        <f t="shared" si="1167"/>
        <v>0.51616926142690911</v>
      </c>
      <c r="DO412" s="4">
        <f t="shared" si="1168"/>
        <v>6.0823661140843202</v>
      </c>
      <c r="DP412" s="4">
        <f t="shared" si="1169"/>
        <v>7.063678327525893</v>
      </c>
      <c r="DQ412" s="4">
        <f t="shared" si="1170"/>
        <v>7.4691435952565444</v>
      </c>
      <c r="DR412" s="38">
        <f t="shared" si="1183"/>
        <v>600.57441235754959</v>
      </c>
      <c r="DS412" s="4">
        <f t="shared" si="1382"/>
        <v>1.0001209489672991</v>
      </c>
      <c r="DT412" s="4">
        <f t="shared" si="1171"/>
        <v>2.2583179581272428</v>
      </c>
      <c r="DU412" s="4">
        <f t="shared" si="1390"/>
        <v>319.11126334066768</v>
      </c>
      <c r="DY412" s="4">
        <f t="shared" si="1331"/>
        <v>0.85</v>
      </c>
      <c r="DZ412" s="4">
        <f t="shared" si="1383"/>
        <v>0.85</v>
      </c>
      <c r="EA412" s="4">
        <f t="shared" si="1184"/>
        <v>0.92500000000000004</v>
      </c>
      <c r="EB412" s="4">
        <f t="shared" si="1384"/>
        <v>0.78625</v>
      </c>
      <c r="ED412" s="4">
        <f t="shared" si="1185"/>
        <v>556.65945393694528</v>
      </c>
      <c r="EE412" s="25">
        <f t="shared" si="1186"/>
        <v>315.84286374429968</v>
      </c>
      <c r="EG412" s="4">
        <f t="shared" si="1391"/>
        <v>0.66831249999999998</v>
      </c>
      <c r="EH412" s="4">
        <f t="shared" si="1187"/>
        <v>7.9242050079843862</v>
      </c>
      <c r="EK412" s="4">
        <f t="shared" si="1172"/>
        <v>57.361276136431961</v>
      </c>
      <c r="EL412" s="4">
        <f t="shared" si="1173"/>
        <v>2.2583179581272428</v>
      </c>
      <c r="EM412" s="4">
        <f t="shared" si="1174"/>
        <v>0.16373944478742095</v>
      </c>
      <c r="EP412" s="4">
        <f t="shared" si="1301"/>
        <v>0.16373944478742095</v>
      </c>
      <c r="EQ412" s="4">
        <f t="shared" si="1257"/>
        <v>0.5153078711304605</v>
      </c>
      <c r="ER412" s="4">
        <f t="shared" si="1314"/>
        <v>6.0783039454128431</v>
      </c>
      <c r="ES412" s="4">
        <f t="shared" si="1286"/>
        <v>7.0619307396611051</v>
      </c>
      <c r="ET412" s="4">
        <f t="shared" si="1315"/>
        <v>135.61522386356805</v>
      </c>
      <c r="EU412" s="4">
        <f t="shared" si="1316"/>
        <v>64.325500000000005</v>
      </c>
      <c r="EV412" s="4">
        <f t="shared" si="1385"/>
        <v>1.855993152190142E-5</v>
      </c>
      <c r="EW412" s="4">
        <f t="shared" si="1287"/>
        <v>7.4692805510696889</v>
      </c>
      <c r="EX412" s="4">
        <f t="shared" si="1422"/>
        <v>600.5017822871207</v>
      </c>
      <c r="FG412" s="23">
        <f t="shared" si="1329"/>
        <v>2</v>
      </c>
      <c r="FH412" s="23">
        <f t="shared" si="1329"/>
        <v>1.2</v>
      </c>
      <c r="FI412" s="23">
        <f t="shared" si="1248"/>
        <v>1.2</v>
      </c>
      <c r="FJ412" s="23">
        <f t="shared" si="1330"/>
        <v>1.8</v>
      </c>
      <c r="FK412" s="23">
        <f t="shared" si="1330"/>
        <v>1</v>
      </c>
      <c r="FL412" s="23">
        <f t="shared" si="1330"/>
        <v>1.2</v>
      </c>
      <c r="FM412" s="23">
        <f t="shared" si="1195"/>
        <v>0</v>
      </c>
      <c r="FN412" s="23"/>
      <c r="FX412" s="4">
        <f t="shared" si="1386"/>
        <v>1</v>
      </c>
      <c r="FY412" s="4">
        <f t="shared" si="1139"/>
        <v>0.45348837209302328</v>
      </c>
      <c r="FZ412" s="4">
        <f t="shared" si="1387"/>
        <v>0.25</v>
      </c>
      <c r="GA412" s="4">
        <f t="shared" si="1388"/>
        <v>536.4991041708389</v>
      </c>
    </row>
    <row r="413" spans="1:183" ht="12" hidden="1" customHeight="1" x14ac:dyDescent="0.3">
      <c r="A413" s="25">
        <v>395</v>
      </c>
      <c r="B413" s="4" t="s">
        <v>605</v>
      </c>
      <c r="C413" s="4">
        <v>2016</v>
      </c>
      <c r="D413" s="4" t="s">
        <v>309</v>
      </c>
      <c r="E413" s="14" t="s">
        <v>676</v>
      </c>
      <c r="F413" s="33" t="s">
        <v>563</v>
      </c>
      <c r="G413" s="38">
        <f t="shared" si="1406"/>
        <v>889.65517241379314</v>
      </c>
      <c r="H413" s="38">
        <f>9.75*25.4</f>
        <v>247.64999999999998</v>
      </c>
      <c r="I413" s="4">
        <f t="shared" si="1288"/>
        <v>247.64999999999998</v>
      </c>
      <c r="J413" s="38">
        <f t="shared" si="1413"/>
        <v>33.655172413793103</v>
      </c>
      <c r="K413" s="38">
        <f t="shared" si="1401"/>
        <v>25.4</v>
      </c>
      <c r="L413" s="7">
        <f t="shared" si="1289"/>
        <v>9.75</v>
      </c>
      <c r="M413" s="7">
        <f t="shared" si="1290"/>
        <v>9.75</v>
      </c>
      <c r="N413" s="38">
        <f>17.3*25.4</f>
        <v>439.42</v>
      </c>
      <c r="O413" s="38">
        <f>2.6*25.4</f>
        <v>66.039999999999992</v>
      </c>
      <c r="P413" s="39">
        <f>3.6*25.4</f>
        <v>91.44</v>
      </c>
      <c r="Q413" s="7">
        <f t="shared" si="1291"/>
        <v>256.54000000000002</v>
      </c>
      <c r="R413" s="38">
        <v>2</v>
      </c>
      <c r="S413" s="4">
        <f t="shared" si="1361"/>
        <v>508</v>
      </c>
      <c r="T413" s="7">
        <f t="shared" si="1292"/>
        <v>3.0999999999999996</v>
      </c>
      <c r="U413" s="7">
        <f t="shared" si="1414"/>
        <v>3.0999999999999996</v>
      </c>
      <c r="V413" s="38">
        <v>9.1</v>
      </c>
      <c r="W413" s="4">
        <f t="shared" si="1293"/>
        <v>9.1</v>
      </c>
      <c r="X413" s="4">
        <f t="shared" si="1294"/>
        <v>10.1</v>
      </c>
      <c r="Y413" s="7">
        <f t="shared" si="1295"/>
        <v>80.72246279691916</v>
      </c>
      <c r="AB413" s="38">
        <f t="shared" si="1332"/>
        <v>367.58620689655174</v>
      </c>
      <c r="AC413" s="4">
        <v>53.3</v>
      </c>
      <c r="AD413" s="4">
        <f t="shared" si="1159"/>
        <v>0.65027889870200761</v>
      </c>
      <c r="AE413" s="38">
        <f t="shared" si="1423"/>
        <v>12.7</v>
      </c>
      <c r="AF413" s="38">
        <v>6</v>
      </c>
      <c r="AG413" s="39">
        <f>7.5*25.4</f>
        <v>190.5</v>
      </c>
      <c r="AH413" s="39">
        <v>1</v>
      </c>
      <c r="AI413" s="39">
        <v>1</v>
      </c>
      <c r="AJ413" s="7"/>
      <c r="AK413" s="4">
        <f t="shared" si="1297"/>
        <v>247.64999999999998</v>
      </c>
      <c r="AL413" s="4">
        <f t="shared" si="1175"/>
        <v>0.59145299145299157</v>
      </c>
      <c r="AM413" s="4">
        <f t="shared" si="1176"/>
        <v>223.09821631857008</v>
      </c>
      <c r="AN413" s="4">
        <f t="shared" si="1177"/>
        <v>0.76358974358974352</v>
      </c>
      <c r="AO413" s="4">
        <v>1.25</v>
      </c>
      <c r="AP413" s="4">
        <f t="shared" si="1396"/>
        <v>2.5</v>
      </c>
      <c r="AQ413" s="38">
        <f t="shared" si="1266"/>
        <v>314.86648711930036</v>
      </c>
      <c r="AR413" s="38">
        <f t="shared" si="1178"/>
        <v>314.86648711930036</v>
      </c>
      <c r="AS413" s="38">
        <f t="shared" si="1179"/>
        <v>3.1272010355053257</v>
      </c>
      <c r="AT413" s="38">
        <f t="shared" si="1407"/>
        <v>314.86648711930053</v>
      </c>
      <c r="AU413" s="38">
        <f t="shared" si="1373"/>
        <v>0.99999999999999944</v>
      </c>
      <c r="AV413" s="38">
        <f t="shared" si="1249"/>
        <v>1.9991149481237653</v>
      </c>
      <c r="AW413" s="4">
        <f t="shared" si="1230"/>
        <v>0</v>
      </c>
      <c r="AX413" s="4">
        <f t="shared" si="1298"/>
        <v>297.69869072512182</v>
      </c>
      <c r="AY413" s="4">
        <f t="shared" si="1267"/>
        <v>1</v>
      </c>
      <c r="AZ413" s="38">
        <f t="shared" si="1389"/>
        <v>629.45430106341269</v>
      </c>
      <c r="BA413" s="4">
        <f t="shared" si="1268"/>
        <v>0.3</v>
      </c>
      <c r="BB413" s="4">
        <f t="shared" si="1269"/>
        <v>46.664269771162843</v>
      </c>
      <c r="BC413" s="4">
        <f t="shared" si="1270"/>
        <v>676.11857083457551</v>
      </c>
      <c r="BE413" s="4">
        <f t="shared" si="1408"/>
        <v>1.5</v>
      </c>
      <c r="BF413" s="4">
        <f t="shared" si="1415"/>
        <v>515.59123243662441</v>
      </c>
      <c r="BH413" s="4">
        <f t="shared" si="1416"/>
        <v>603.72365196482838</v>
      </c>
      <c r="BI413" s="4">
        <f t="shared" si="1350"/>
        <v>0</v>
      </c>
      <c r="BJ413" s="4">
        <f t="shared" si="1417"/>
        <v>0</v>
      </c>
      <c r="BR413" s="4">
        <f t="shared" si="1271"/>
        <v>66.039999999999992</v>
      </c>
      <c r="BV413" s="9"/>
      <c r="BX413" s="9"/>
      <c r="BY413" s="9"/>
      <c r="BZ413" s="9">
        <f t="shared" si="1272"/>
        <v>66.039999999999992</v>
      </c>
      <c r="CA413" s="9">
        <f t="shared" si="1273"/>
        <v>128.27000000000001</v>
      </c>
      <c r="CB413" s="9">
        <f t="shared" si="1374"/>
        <v>1.7812889692205971</v>
      </c>
      <c r="CC413" s="40">
        <f t="shared" si="1299"/>
        <v>20</v>
      </c>
      <c r="CD413" s="9">
        <f t="shared" si="1274"/>
        <v>0.05</v>
      </c>
      <c r="CE413" s="9">
        <f t="shared" si="1275"/>
        <v>0.8</v>
      </c>
      <c r="CF413" s="9">
        <f t="shared" si="1276"/>
        <v>0.99524931562137331</v>
      </c>
      <c r="CG413" s="9">
        <f t="shared" si="1277"/>
        <v>0.68</v>
      </c>
      <c r="CH413" s="9">
        <f t="shared" si="1375"/>
        <v>1.3741519375646418</v>
      </c>
      <c r="CI413" s="9">
        <f t="shared" si="1376"/>
        <v>3.4353798439116048</v>
      </c>
      <c r="CJ413" s="40">
        <v>1</v>
      </c>
      <c r="CK413" s="9">
        <f t="shared" si="1377"/>
        <v>340.10260454724886</v>
      </c>
      <c r="CM413" s="4">
        <f t="shared" si="1278"/>
        <v>1.2347592325690142</v>
      </c>
      <c r="CN413" s="4">
        <f t="shared" si="1279"/>
        <v>0.54367121796819906</v>
      </c>
      <c r="CO413" s="4">
        <f t="shared" si="1242"/>
        <v>0.71294115138339709</v>
      </c>
      <c r="CP413" s="4">
        <f t="shared" si="1280"/>
        <v>1.0808097379491979</v>
      </c>
      <c r="CQ413" s="4">
        <f t="shared" si="1189"/>
        <v>0.65027889870200761</v>
      </c>
      <c r="CR413" s="4">
        <f t="shared" si="1190"/>
        <v>0.67317534853537886</v>
      </c>
      <c r="CS413" s="4">
        <f t="shared" si="1243"/>
        <v>0.71186072951306811</v>
      </c>
      <c r="CT413" s="4">
        <f t="shared" si="1300"/>
        <v>6</v>
      </c>
      <c r="DA413" s="4">
        <f t="shared" si="1424"/>
        <v>1.2347592325690142</v>
      </c>
      <c r="DB413" s="4">
        <f t="shared" si="1424"/>
        <v>0.54367121796819906</v>
      </c>
      <c r="DC413" s="4">
        <f t="shared" si="1425"/>
        <v>1.0808097379491979</v>
      </c>
      <c r="DD413" s="4">
        <f t="shared" si="1426"/>
        <v>0.71186072951306811</v>
      </c>
      <c r="DE413" s="4">
        <f t="shared" si="1427"/>
        <v>0.65027889870200761</v>
      </c>
      <c r="DF413" s="4">
        <f t="shared" si="1427"/>
        <v>0.67317534853537886</v>
      </c>
      <c r="DI413" s="4">
        <f t="shared" si="1285"/>
        <v>247.64999999999998</v>
      </c>
      <c r="DL413" s="4">
        <f t="shared" si="1166"/>
        <v>1.7863705067970267E-5</v>
      </c>
      <c r="DM413" s="4">
        <f t="shared" si="1313"/>
        <v>8.0185407818889605</v>
      </c>
      <c r="DN413" s="4">
        <f t="shared" si="1167"/>
        <v>0.32291967518123715</v>
      </c>
      <c r="DO413" s="4">
        <f t="shared" si="1168"/>
        <v>5.1019141344434411</v>
      </c>
      <c r="DP413" s="4">
        <f t="shared" si="1169"/>
        <v>6.7211189122916251</v>
      </c>
      <c r="DQ413" s="4">
        <f t="shared" si="1170"/>
        <v>7.6306804120184868</v>
      </c>
      <c r="DR413" s="38">
        <f t="shared" si="1183"/>
        <v>565.27469618078339</v>
      </c>
      <c r="DS413" s="4">
        <f t="shared" si="1382"/>
        <v>1.0001123422344698</v>
      </c>
      <c r="DT413" s="4">
        <f t="shared" si="1171"/>
        <v>3.1780497164141401</v>
      </c>
      <c r="DU413" s="4">
        <f t="shared" si="1390"/>
        <v>314.86648711930053</v>
      </c>
      <c r="DY413" s="4">
        <f t="shared" si="1331"/>
        <v>0.85</v>
      </c>
      <c r="DZ413" s="4">
        <f t="shared" si="1383"/>
        <v>0.84000000000000008</v>
      </c>
      <c r="EA413" s="4">
        <f t="shared" si="1184"/>
        <v>0.92500000000000004</v>
      </c>
      <c r="EB413" s="4">
        <f t="shared" si="1384"/>
        <v>0.77700000000000014</v>
      </c>
      <c r="ED413" s="4">
        <f t="shared" si="1185"/>
        <v>546.04822903320144</v>
      </c>
      <c r="EE413" s="25">
        <f t="shared" si="1186"/>
        <v>311.50591116294936</v>
      </c>
      <c r="EG413" s="4">
        <f t="shared" si="1391"/>
        <v>0.66045000000000009</v>
      </c>
      <c r="EH413" s="4">
        <f t="shared" si="1187"/>
        <v>8.0185407818889605</v>
      </c>
      <c r="EK413" s="4">
        <f t="shared" si="1172"/>
        <v>80.72246279691916</v>
      </c>
      <c r="EL413" s="4">
        <f t="shared" si="1173"/>
        <v>3.1780497164141406</v>
      </c>
      <c r="EM413" s="4">
        <f t="shared" si="1174"/>
        <v>0.1024367243003626</v>
      </c>
      <c r="EP413" s="4">
        <f t="shared" si="1301"/>
        <v>0.1024367243003626</v>
      </c>
      <c r="EQ413" s="4">
        <f t="shared" si="1257"/>
        <v>0.32238078242740575</v>
      </c>
      <c r="ER413" s="4">
        <f t="shared" si="1314"/>
        <v>5.0985067703728175</v>
      </c>
      <c r="ES413" s="4">
        <f t="shared" si="1286"/>
        <v>6.7198298466222051</v>
      </c>
      <c r="ET413" s="4">
        <f t="shared" si="1315"/>
        <v>105.01503720308082</v>
      </c>
      <c r="EU413" s="4">
        <f t="shared" si="1316"/>
        <v>61.912499999999994</v>
      </c>
      <c r="EV413" s="4">
        <f t="shared" si="1385"/>
        <v>1.7863705067970267E-5</v>
      </c>
      <c r="EW413" s="4">
        <f t="shared" si="1287"/>
        <v>7.6307969568708121</v>
      </c>
      <c r="EX413" s="4">
        <f t="shared" si="1422"/>
        <v>565.21119909173012</v>
      </c>
      <c r="FG413" s="23">
        <f t="shared" si="1329"/>
        <v>1.4</v>
      </c>
      <c r="FH413" s="23">
        <f t="shared" si="1329"/>
        <v>0.6</v>
      </c>
      <c r="FI413" s="23">
        <f t="shared" si="1248"/>
        <v>0.8</v>
      </c>
      <c r="FJ413" s="23">
        <f t="shared" si="1330"/>
        <v>1.2</v>
      </c>
      <c r="FK413" s="23">
        <f t="shared" si="1330"/>
        <v>0.8</v>
      </c>
      <c r="FL413" s="23">
        <f t="shared" si="1330"/>
        <v>0.8</v>
      </c>
      <c r="FM413" s="23">
        <f t="shared" si="1195"/>
        <v>1</v>
      </c>
      <c r="FN413" s="23"/>
      <c r="FX413" s="4">
        <f t="shared" si="1386"/>
        <v>1</v>
      </c>
      <c r="FY413" s="4">
        <f t="shared" si="1139"/>
        <v>0.45348837209302328</v>
      </c>
      <c r="FZ413" s="4">
        <f t="shared" si="1387"/>
        <v>0.25</v>
      </c>
      <c r="GA413" s="4">
        <f t="shared" si="1388"/>
        <v>516.37376758792493</v>
      </c>
    </row>
    <row r="414" spans="1:183" ht="12" hidden="1" customHeight="1" x14ac:dyDescent="0.3">
      <c r="A414" s="25">
        <v>396</v>
      </c>
      <c r="B414" s="4" t="s">
        <v>605</v>
      </c>
      <c r="C414" s="4">
        <v>2016</v>
      </c>
      <c r="D414" s="4" t="s">
        <v>309</v>
      </c>
      <c r="E414" s="14" t="s">
        <v>676</v>
      </c>
      <c r="F414" s="33" t="s">
        <v>564</v>
      </c>
      <c r="G414" s="38">
        <f t="shared" si="1406"/>
        <v>889.65517241379314</v>
      </c>
      <c r="H414" s="38">
        <f>10.1*25.4</f>
        <v>256.53999999999996</v>
      </c>
      <c r="I414" s="4">
        <f t="shared" si="1288"/>
        <v>256.53999999999996</v>
      </c>
      <c r="J414" s="38">
        <f t="shared" si="1413"/>
        <v>33.655172413793103</v>
      </c>
      <c r="K414" s="38">
        <f t="shared" si="1401"/>
        <v>25.4</v>
      </c>
      <c r="L414" s="7">
        <f t="shared" si="1289"/>
        <v>10.1</v>
      </c>
      <c r="M414" s="7">
        <f t="shared" si="1290"/>
        <v>10.1</v>
      </c>
      <c r="N414" s="38">
        <f>17.5*25.4</f>
        <v>444.5</v>
      </c>
      <c r="O414" s="38">
        <f>2.7*25.4</f>
        <v>68.58</v>
      </c>
      <c r="P414" s="39">
        <f>3.15*25.4</f>
        <v>80.009999999999991</v>
      </c>
      <c r="Q414" s="7">
        <f t="shared" si="1291"/>
        <v>256.53999999999996</v>
      </c>
      <c r="R414" s="38">
        <v>2</v>
      </c>
      <c r="S414" s="4">
        <f t="shared" si="1361"/>
        <v>508</v>
      </c>
      <c r="T414" s="7">
        <f t="shared" si="1292"/>
        <v>3.2</v>
      </c>
      <c r="U414" s="7">
        <f t="shared" si="1414"/>
        <v>3.2</v>
      </c>
      <c r="V414" s="38">
        <v>4.0999999999999996</v>
      </c>
      <c r="W414" s="4">
        <f t="shared" si="1293"/>
        <v>4.0999999999999996</v>
      </c>
      <c r="X414" s="4">
        <f t="shared" si="1294"/>
        <v>5.0999999999999996</v>
      </c>
      <c r="Y414" s="7">
        <f t="shared" si="1295"/>
        <v>57.361276136431961</v>
      </c>
      <c r="AB414" s="38">
        <f t="shared" si="1332"/>
        <v>613.10344827586221</v>
      </c>
      <c r="AC414" s="4">
        <v>88.9</v>
      </c>
      <c r="AD414" s="4">
        <f t="shared" si="1159"/>
        <v>0.95884996399514588</v>
      </c>
      <c r="AE414" s="38">
        <f t="shared" si="1423"/>
        <v>12.7</v>
      </c>
      <c r="AF414" s="38">
        <v>10</v>
      </c>
      <c r="AG414" s="39">
        <f>5*25.4</f>
        <v>127</v>
      </c>
      <c r="AH414" s="39">
        <v>3</v>
      </c>
      <c r="AI414" s="39">
        <f t="shared" ref="AI414:AI415" si="1428">AH414-1</f>
        <v>2</v>
      </c>
      <c r="AJ414" s="7"/>
      <c r="AK414" s="4">
        <f t="shared" si="1297"/>
        <v>256.53999999999996</v>
      </c>
      <c r="AL414" s="4">
        <f t="shared" si="1175"/>
        <v>0.57755775577557766</v>
      </c>
      <c r="AM414" s="4">
        <f t="shared" si="1176"/>
        <v>235.21836952025916</v>
      </c>
      <c r="AN414" s="4">
        <f t="shared" si="1177"/>
        <v>0.76336633663366338</v>
      </c>
      <c r="AO414" s="4">
        <v>1.25</v>
      </c>
      <c r="AP414" s="4">
        <f t="shared" si="1396"/>
        <v>2.5</v>
      </c>
      <c r="AQ414" s="38">
        <f t="shared" si="1266"/>
        <v>324.07809801654423</v>
      </c>
      <c r="AR414" s="38">
        <f t="shared" si="1178"/>
        <v>324.07809801654423</v>
      </c>
      <c r="AS414" s="38">
        <f t="shared" si="1179"/>
        <v>3.1272010355053257</v>
      </c>
      <c r="AT414" s="38">
        <f t="shared" si="1407"/>
        <v>324.07809801654435</v>
      </c>
      <c r="AU414" s="38">
        <f t="shared" si="1373"/>
        <v>0.99999999999999967</v>
      </c>
      <c r="AV414" s="38">
        <f t="shared" si="1249"/>
        <v>1.3457799098702932</v>
      </c>
      <c r="AW414" s="4">
        <f t="shared" si="1230"/>
        <v>0</v>
      </c>
      <c r="AX414" s="4">
        <f t="shared" si="1298"/>
        <v>308.38531039217742</v>
      </c>
      <c r="AY414" s="4">
        <f t="shared" si="1267"/>
        <v>1</v>
      </c>
      <c r="AZ414" s="38">
        <f t="shared" si="1389"/>
        <v>436.13779353964105</v>
      </c>
      <c r="BA414" s="4">
        <f t="shared" si="1268"/>
        <v>0.42600000000000005</v>
      </c>
      <c r="BB414" s="4">
        <f t="shared" si="1269"/>
        <v>68.641944313642824</v>
      </c>
      <c r="BC414" s="4">
        <f t="shared" si="1270"/>
        <v>504.7797378532839</v>
      </c>
      <c r="BE414" s="4">
        <f t="shared" si="1408"/>
        <v>1.5</v>
      </c>
      <c r="BF414" s="4">
        <f t="shared" si="1415"/>
        <v>524.72829225195699</v>
      </c>
      <c r="BH414" s="4">
        <f t="shared" si="1416"/>
        <v>418.30948018116464</v>
      </c>
      <c r="BI414" s="4">
        <f t="shared" si="1350"/>
        <v>0</v>
      </c>
      <c r="BJ414" s="4">
        <f t="shared" si="1417"/>
        <v>0</v>
      </c>
      <c r="BR414" s="4">
        <f t="shared" si="1271"/>
        <v>68.58</v>
      </c>
      <c r="BV414" s="9"/>
      <c r="BX414" s="9"/>
      <c r="BY414" s="9"/>
      <c r="BZ414" s="9">
        <f t="shared" si="1272"/>
        <v>68.58</v>
      </c>
      <c r="CA414" s="9">
        <f t="shared" si="1273"/>
        <v>128.26999999999998</v>
      </c>
      <c r="CB414" s="9">
        <f t="shared" si="1374"/>
        <v>1.8049743064805013</v>
      </c>
      <c r="CC414" s="40">
        <f t="shared" si="1299"/>
        <v>20</v>
      </c>
      <c r="CD414" s="9">
        <f t="shared" si="1274"/>
        <v>0.05</v>
      </c>
      <c r="CE414" s="9">
        <f t="shared" si="1275"/>
        <v>0.8</v>
      </c>
      <c r="CF414" s="9">
        <f t="shared" si="1276"/>
        <v>0.99524931562137331</v>
      </c>
      <c r="CG414" s="9">
        <f t="shared" si="1277"/>
        <v>0.68</v>
      </c>
      <c r="CH414" s="9">
        <f t="shared" si="1375"/>
        <v>1.3741519375646418</v>
      </c>
      <c r="CI414" s="9">
        <f t="shared" si="1376"/>
        <v>3.4353798439116048</v>
      </c>
      <c r="CJ414" s="40">
        <v>1</v>
      </c>
      <c r="CK414" s="9">
        <f t="shared" si="1377"/>
        <v>344.91213632872513</v>
      </c>
      <c r="CM414" s="4">
        <f t="shared" si="1278"/>
        <v>1.9881084721453528</v>
      </c>
      <c r="CN414" s="4">
        <f t="shared" si="1279"/>
        <v>1.2145959956381271</v>
      </c>
      <c r="CO414" s="4">
        <f t="shared" si="1242"/>
        <v>1.1684207947786249</v>
      </c>
      <c r="CP414" s="4">
        <f t="shared" si="1280"/>
        <v>1.7775641495303378</v>
      </c>
      <c r="CQ414" s="4">
        <f t="shared" si="1189"/>
        <v>0.95884996399514588</v>
      </c>
      <c r="CR414" s="4">
        <f t="shared" si="1190"/>
        <v>1.0383544149159285</v>
      </c>
      <c r="CS414" s="4">
        <f t="shared" si="1243"/>
        <v>1.1226686234334839</v>
      </c>
      <c r="CT414" s="4">
        <f t="shared" si="1300"/>
        <v>10</v>
      </c>
      <c r="DA414" s="4">
        <f t="shared" si="1424"/>
        <v>1.9881084721453528</v>
      </c>
      <c r="DB414" s="4">
        <f t="shared" si="1424"/>
        <v>1.2145959956381271</v>
      </c>
      <c r="DC414" s="4">
        <f t="shared" si="1425"/>
        <v>1.7775641495303378</v>
      </c>
      <c r="DD414" s="4">
        <f t="shared" si="1426"/>
        <v>1.1226686234334839</v>
      </c>
      <c r="DE414" s="4">
        <f t="shared" si="1427"/>
        <v>0.95884996399514588</v>
      </c>
      <c r="DF414" s="4">
        <f t="shared" si="1427"/>
        <v>1.0383544149159285</v>
      </c>
      <c r="DI414" s="4">
        <f t="shared" si="1285"/>
        <v>256.53999999999996</v>
      </c>
      <c r="DL414" s="4">
        <f t="shared" si="1166"/>
        <v>1.8504966275538429E-5</v>
      </c>
      <c r="DM414" s="4">
        <f t="shared" si="1313"/>
        <v>8.9005802678967481</v>
      </c>
      <c r="DN414" s="4">
        <f t="shared" si="1167"/>
        <v>0.5242032222449573</v>
      </c>
      <c r="DO414" s="4">
        <f t="shared" si="1168"/>
        <v>6.8741371952114356</v>
      </c>
      <c r="DP414" s="4">
        <f t="shared" si="1169"/>
        <v>7.9522777785905845</v>
      </c>
      <c r="DQ414" s="4">
        <f t="shared" si="1170"/>
        <v>8.3289542482658874</v>
      </c>
      <c r="DR414" s="38">
        <f t="shared" si="1183"/>
        <v>639.41541565200077</v>
      </c>
      <c r="DS414" s="4">
        <f t="shared" si="1382"/>
        <v>1.0001280885524086</v>
      </c>
      <c r="DT414" s="4">
        <f t="shared" si="1171"/>
        <v>2.2583179581272428</v>
      </c>
      <c r="DU414" s="4">
        <f t="shared" si="1390"/>
        <v>324.07809801654435</v>
      </c>
      <c r="DY414" s="4">
        <f t="shared" si="1331"/>
        <v>0.85</v>
      </c>
      <c r="DZ414" s="4">
        <f t="shared" si="1383"/>
        <v>0.83</v>
      </c>
      <c r="EA414" s="4">
        <f t="shared" si="1184"/>
        <v>0.77500000000000002</v>
      </c>
      <c r="EB414" s="4">
        <f t="shared" si="1384"/>
        <v>0.7</v>
      </c>
      <c r="ED414" s="4">
        <f t="shared" si="1185"/>
        <v>590.45682232256195</v>
      </c>
      <c r="EE414" s="25">
        <f t="shared" si="1186"/>
        <v>320.76924020529049</v>
      </c>
      <c r="EG414" s="4">
        <f t="shared" si="1391"/>
        <v>0.59499999999999997</v>
      </c>
      <c r="EH414" s="4">
        <f t="shared" si="1187"/>
        <v>8.9005802678967481</v>
      </c>
      <c r="EK414" s="4">
        <f t="shared" si="1172"/>
        <v>57.361276136431961</v>
      </c>
      <c r="EL414" s="4">
        <f t="shared" si="1173"/>
        <v>2.2583179581272428</v>
      </c>
      <c r="EM414" s="4">
        <f t="shared" si="1174"/>
        <v>0.16628798144408777</v>
      </c>
      <c r="EP414" s="4">
        <f t="shared" si="1301"/>
        <v>0.16628798144408777</v>
      </c>
      <c r="EQ414" s="4">
        <f t="shared" si="1257"/>
        <v>0.52332842476523023</v>
      </c>
      <c r="ER414" s="4">
        <f t="shared" si="1314"/>
        <v>6.8695462343527716</v>
      </c>
      <c r="ES414" s="4">
        <f t="shared" si="1286"/>
        <v>7.9502949408059536</v>
      </c>
      <c r="ET414" s="4">
        <f t="shared" si="1315"/>
        <v>135.043723863568</v>
      </c>
      <c r="EU414" s="4">
        <f t="shared" si="1316"/>
        <v>64.134999999999991</v>
      </c>
      <c r="EV414" s="4">
        <f t="shared" si="1385"/>
        <v>1.8504966275538429E-5</v>
      </c>
      <c r="EW414" s="4">
        <f t="shared" si="1287"/>
        <v>8.3291273734079496</v>
      </c>
      <c r="EX414" s="4">
        <f t="shared" si="1422"/>
        <v>639.33352434636095</v>
      </c>
      <c r="FG414" s="23">
        <f t="shared" si="1329"/>
        <v>2</v>
      </c>
      <c r="FH414" s="23">
        <f t="shared" si="1329"/>
        <v>1.4</v>
      </c>
      <c r="FI414" s="23">
        <f t="shared" si="1248"/>
        <v>1.2</v>
      </c>
      <c r="FJ414" s="23">
        <f t="shared" si="1330"/>
        <v>1.8</v>
      </c>
      <c r="FK414" s="23">
        <f t="shared" si="1330"/>
        <v>1</v>
      </c>
      <c r="FL414" s="23">
        <f t="shared" si="1330"/>
        <v>1.2</v>
      </c>
      <c r="FM414" s="23">
        <f t="shared" si="1195"/>
        <v>0</v>
      </c>
      <c r="FN414" s="23"/>
      <c r="FX414" s="4">
        <f t="shared" si="1386"/>
        <v>1</v>
      </c>
      <c r="FY414" s="4">
        <f t="shared" si="1139"/>
        <v>0.44418604651162791</v>
      </c>
      <c r="FZ414" s="4">
        <f t="shared" si="1387"/>
        <v>0.3</v>
      </c>
      <c r="GA414" s="4">
        <f t="shared" si="1388"/>
        <v>546.11257095686301</v>
      </c>
    </row>
    <row r="415" spans="1:183" ht="12" hidden="1" customHeight="1" x14ac:dyDescent="0.3">
      <c r="A415" s="25">
        <v>397</v>
      </c>
      <c r="B415" s="4" t="s">
        <v>605</v>
      </c>
      <c r="C415" s="4">
        <v>2016</v>
      </c>
      <c r="D415" s="4" t="s">
        <v>309</v>
      </c>
      <c r="E415" s="14" t="s">
        <v>676</v>
      </c>
      <c r="F415" s="33" t="s">
        <v>565</v>
      </c>
      <c r="G415" s="38">
        <f t="shared" si="1406"/>
        <v>889.65517241379314</v>
      </c>
      <c r="H415" s="38">
        <f>9.94*25.4</f>
        <v>252.47599999999997</v>
      </c>
      <c r="I415" s="4">
        <f t="shared" si="1288"/>
        <v>252.47599999999997</v>
      </c>
      <c r="J415" s="38">
        <f t="shared" si="1413"/>
        <v>33.655172413793103</v>
      </c>
      <c r="K415" s="38">
        <f t="shared" si="1401"/>
        <v>25.4</v>
      </c>
      <c r="L415" s="7">
        <f t="shared" si="1289"/>
        <v>9.94</v>
      </c>
      <c r="M415" s="7">
        <f t="shared" si="1290"/>
        <v>9.94</v>
      </c>
      <c r="N415" s="38">
        <f>17.3*25.4</f>
        <v>439.42</v>
      </c>
      <c r="O415" s="38">
        <f>2.6*25.4</f>
        <v>66.039999999999992</v>
      </c>
      <c r="P415" s="39">
        <f>3.25*25.4</f>
        <v>82.55</v>
      </c>
      <c r="Q415" s="7">
        <f t="shared" si="1291"/>
        <v>256.54000000000002</v>
      </c>
      <c r="R415" s="38">
        <v>2</v>
      </c>
      <c r="S415" s="4">
        <f t="shared" si="1361"/>
        <v>508</v>
      </c>
      <c r="T415" s="7">
        <f t="shared" si="1292"/>
        <v>3.0999999999999996</v>
      </c>
      <c r="U415" s="7">
        <f t="shared" si="1414"/>
        <v>3.0999999999999996</v>
      </c>
      <c r="V415" s="38">
        <v>9.1</v>
      </c>
      <c r="W415" s="4">
        <f t="shared" si="1293"/>
        <v>9.1</v>
      </c>
      <c r="X415" s="4">
        <f t="shared" si="1294"/>
        <v>10.1</v>
      </c>
      <c r="Y415" s="7">
        <f t="shared" si="1295"/>
        <v>80.72246279691916</v>
      </c>
      <c r="AB415" s="38">
        <f t="shared" si="1332"/>
        <v>615.17241379310349</v>
      </c>
      <c r="AC415" s="4">
        <v>89.2</v>
      </c>
      <c r="AD415" s="4">
        <f t="shared" si="1159"/>
        <v>1.0237310466798923</v>
      </c>
      <c r="AE415" s="38">
        <f t="shared" si="1423"/>
        <v>12.7</v>
      </c>
      <c r="AF415" s="38">
        <v>10</v>
      </c>
      <c r="AG415" s="39">
        <f>5*25.4</f>
        <v>127</v>
      </c>
      <c r="AH415" s="39">
        <v>3</v>
      </c>
      <c r="AI415" s="39">
        <f t="shared" si="1428"/>
        <v>2</v>
      </c>
      <c r="AJ415" s="7"/>
      <c r="AK415" s="4">
        <f t="shared" si="1297"/>
        <v>252.47599999999997</v>
      </c>
      <c r="AL415" s="4">
        <f t="shared" si="1175"/>
        <v>0.58014755197853785</v>
      </c>
      <c r="AM415" s="4">
        <f t="shared" si="1176"/>
        <v>229.651216949939</v>
      </c>
      <c r="AN415" s="4">
        <f t="shared" si="1177"/>
        <v>0.76237424547283694</v>
      </c>
      <c r="AO415" s="4">
        <v>1.25</v>
      </c>
      <c r="AP415" s="4">
        <f t="shared" si="1396"/>
        <v>2.5</v>
      </c>
      <c r="AQ415" s="38">
        <f t="shared" si="1266"/>
        <v>317.41354346112331</v>
      </c>
      <c r="AR415" s="38">
        <f t="shared" si="1178"/>
        <v>317.41354346112331</v>
      </c>
      <c r="AS415" s="38">
        <f t="shared" si="1179"/>
        <v>3.1272010355053257</v>
      </c>
      <c r="AT415" s="38">
        <f t="shared" si="1407"/>
        <v>317.41354346112354</v>
      </c>
      <c r="AU415" s="38">
        <f t="shared" si="1373"/>
        <v>0.99999999999999933</v>
      </c>
      <c r="AV415" s="38">
        <f t="shared" si="1249"/>
        <v>1.9830732305866701</v>
      </c>
      <c r="AW415" s="4">
        <f t="shared" si="1230"/>
        <v>0</v>
      </c>
      <c r="AX415" s="4">
        <f t="shared" si="1298"/>
        <v>303.49999854438056</v>
      </c>
      <c r="AY415" s="4">
        <f t="shared" si="1267"/>
        <v>1</v>
      </c>
      <c r="AZ415" s="38">
        <f t="shared" si="1389"/>
        <v>629.45430106341269</v>
      </c>
      <c r="BA415" s="4">
        <f t="shared" si="1268"/>
        <v>0.3</v>
      </c>
      <c r="BB415" s="4">
        <f t="shared" si="1269"/>
        <v>47.573624771831646</v>
      </c>
      <c r="BC415" s="4">
        <f t="shared" si="1270"/>
        <v>677.02792583524433</v>
      </c>
      <c r="BE415" s="4">
        <f t="shared" si="1408"/>
        <v>1.5</v>
      </c>
      <c r="BF415" s="4">
        <f t="shared" si="1415"/>
        <v>520.55135062209069</v>
      </c>
      <c r="BH415" s="4">
        <f t="shared" si="1416"/>
        <v>603.72365196482838</v>
      </c>
      <c r="BI415" s="4">
        <f t="shared" si="1350"/>
        <v>0</v>
      </c>
      <c r="BJ415" s="4">
        <f t="shared" si="1417"/>
        <v>0</v>
      </c>
      <c r="BR415" s="4">
        <f t="shared" si="1271"/>
        <v>66.039999999999992</v>
      </c>
      <c r="BV415" s="9"/>
      <c r="BX415" s="9"/>
      <c r="BY415" s="9"/>
      <c r="BZ415" s="9">
        <f t="shared" si="1272"/>
        <v>66.039999999999992</v>
      </c>
      <c r="CA415" s="9">
        <f t="shared" si="1273"/>
        <v>128.27000000000001</v>
      </c>
      <c r="CB415" s="9">
        <f t="shared" si="1374"/>
        <v>1.7812889692205971</v>
      </c>
      <c r="CC415" s="40">
        <f t="shared" si="1299"/>
        <v>20</v>
      </c>
      <c r="CD415" s="9">
        <f t="shared" si="1274"/>
        <v>0.05</v>
      </c>
      <c r="CE415" s="9">
        <f t="shared" si="1275"/>
        <v>0.8</v>
      </c>
      <c r="CF415" s="9">
        <f t="shared" si="1276"/>
        <v>0.99524931562137331</v>
      </c>
      <c r="CG415" s="9">
        <f t="shared" si="1277"/>
        <v>0.68</v>
      </c>
      <c r="CH415" s="9">
        <f t="shared" si="1375"/>
        <v>1.3741519375646418</v>
      </c>
      <c r="CI415" s="9">
        <f t="shared" si="1376"/>
        <v>3.4353798439116048</v>
      </c>
      <c r="CJ415" s="40">
        <v>1</v>
      </c>
      <c r="CK415" s="9">
        <f t="shared" si="1377"/>
        <v>342.7134932286217</v>
      </c>
      <c r="CM415" s="4">
        <f t="shared" si="1278"/>
        <v>2.0269272380347223</v>
      </c>
      <c r="CN415" s="4">
        <f t="shared" si="1279"/>
        <v>0.90863669033174643</v>
      </c>
      <c r="CO415" s="4">
        <f t="shared" si="1242"/>
        <v>1.1817708532653595</v>
      </c>
      <c r="CP415" s="4">
        <f t="shared" si="1280"/>
        <v>1.7950049412928319</v>
      </c>
      <c r="CQ415" s="4">
        <f t="shared" si="1189"/>
        <v>1.0237310466798923</v>
      </c>
      <c r="CR415" s="4">
        <f t="shared" si="1190"/>
        <v>1.0615276951705674</v>
      </c>
      <c r="CS415" s="4">
        <f t="shared" si="1243"/>
        <v>1.1445892636173558</v>
      </c>
      <c r="CT415" s="4">
        <f t="shared" si="1300"/>
        <v>10</v>
      </c>
      <c r="DA415" s="4">
        <f t="shared" si="1424"/>
        <v>2.0269272380347223</v>
      </c>
      <c r="DB415" s="4">
        <f t="shared" si="1424"/>
        <v>0.90863669033174643</v>
      </c>
      <c r="DC415" s="4">
        <f t="shared" si="1425"/>
        <v>1.7950049412928319</v>
      </c>
      <c r="DD415" s="4">
        <f t="shared" si="1426"/>
        <v>1.1445892636173558</v>
      </c>
      <c r="DE415" s="4">
        <f t="shared" si="1427"/>
        <v>1.0237310466798923</v>
      </c>
      <c r="DF415" s="4">
        <f t="shared" si="1427"/>
        <v>1.0615276951705674</v>
      </c>
      <c r="DI415" s="4">
        <f t="shared" si="1285"/>
        <v>252.47599999999997</v>
      </c>
      <c r="DL415" s="4">
        <f t="shared" si="1166"/>
        <v>1.8211818294935842E-5</v>
      </c>
      <c r="DM415" s="4">
        <f t="shared" si="1313"/>
        <v>8.9005802678967481</v>
      </c>
      <c r="DN415" s="4">
        <f t="shared" si="1167"/>
        <v>0.32553187635289799</v>
      </c>
      <c r="DO415" s="4">
        <f t="shared" si="1168"/>
        <v>5.681404745877507</v>
      </c>
      <c r="DP415" s="4">
        <f t="shared" si="1169"/>
        <v>7.467367537933904</v>
      </c>
      <c r="DQ415" s="4">
        <f t="shared" si="1170"/>
        <v>8.4029386811928486</v>
      </c>
      <c r="DR415" s="38">
        <f t="shared" si="1183"/>
        <v>600.91213975408527</v>
      </c>
      <c r="DS415" s="4">
        <f t="shared" si="1382"/>
        <v>1.0001187924454131</v>
      </c>
      <c r="DT415" s="4">
        <f t="shared" si="1171"/>
        <v>3.1780497164141401</v>
      </c>
      <c r="DU415" s="4">
        <f t="shared" si="1390"/>
        <v>317.41354346112354</v>
      </c>
      <c r="DY415" s="4">
        <f t="shared" si="1331"/>
        <v>0.85</v>
      </c>
      <c r="DZ415" s="4">
        <f t="shared" si="1383"/>
        <v>0.84000000000000008</v>
      </c>
      <c r="EA415" s="4">
        <f t="shared" si="1184"/>
        <v>0.77500000000000002</v>
      </c>
      <c r="EB415" s="4">
        <f t="shared" si="1384"/>
        <v>0.7</v>
      </c>
      <c r="ED415" s="4">
        <f t="shared" si="1185"/>
        <v>579.51612246372611</v>
      </c>
      <c r="EE415" s="25">
        <f t="shared" si="1186"/>
        <v>314.10081887504515</v>
      </c>
      <c r="EG415" s="4">
        <f t="shared" si="1391"/>
        <v>0.59499999999999997</v>
      </c>
      <c r="EH415" s="4">
        <f t="shared" si="1187"/>
        <v>8.9005802678967481</v>
      </c>
      <c r="EK415" s="4">
        <f t="shared" si="1172"/>
        <v>80.72246279691916</v>
      </c>
      <c r="EL415" s="4">
        <f t="shared" si="1173"/>
        <v>3.1780497164141406</v>
      </c>
      <c r="EM415" s="4">
        <f t="shared" si="1174"/>
        <v>0.10326536792849809</v>
      </c>
      <c r="EP415" s="4">
        <f t="shared" si="1301"/>
        <v>0.10326536792849809</v>
      </c>
      <c r="EQ415" s="4">
        <f t="shared" si="1257"/>
        <v>0.32498862432215925</v>
      </c>
      <c r="ER415" s="4">
        <f t="shared" si="1314"/>
        <v>5.6776103632415724</v>
      </c>
      <c r="ES415" s="4">
        <f t="shared" si="1286"/>
        <v>7.4659286608579007</v>
      </c>
      <c r="ET415" s="4">
        <f t="shared" si="1315"/>
        <v>108.63453720308081</v>
      </c>
      <c r="EU415" s="4">
        <f t="shared" si="1316"/>
        <v>63.119</v>
      </c>
      <c r="EV415" s="4">
        <f t="shared" si="1385"/>
        <v>1.8211818294935842E-5</v>
      </c>
      <c r="EW415" s="4">
        <f t="shared" si="1287"/>
        <v>8.4030871344931715</v>
      </c>
      <c r="EX415" s="4">
        <f t="shared" si="1422"/>
        <v>600.84076441037701</v>
      </c>
      <c r="FG415" s="23">
        <f t="shared" si="1329"/>
        <v>2.2000000000000002</v>
      </c>
      <c r="FH415" s="23">
        <f t="shared" si="1329"/>
        <v>1</v>
      </c>
      <c r="FI415" s="23">
        <f t="shared" si="1248"/>
        <v>1.2</v>
      </c>
      <c r="FJ415" s="23">
        <f t="shared" si="1330"/>
        <v>1.8</v>
      </c>
      <c r="FK415" s="23">
        <f t="shared" si="1330"/>
        <v>1.2</v>
      </c>
      <c r="FL415" s="23">
        <f t="shared" si="1330"/>
        <v>1.2</v>
      </c>
      <c r="FM415" s="23">
        <f t="shared" si="1195"/>
        <v>0</v>
      </c>
      <c r="FN415" s="23"/>
      <c r="FX415" s="4">
        <f t="shared" si="1386"/>
        <v>1</v>
      </c>
      <c r="FY415" s="4">
        <f t="shared" ref="FY415:FY449" si="1429">IF(AG415&gt;1, 0.05*(18-MIN(8,(Q415+K415)/K415))*(1-48000/MAX(60000,(G415*145))*(K415/25.4)^0.75*FZ415), 1/12*(14-MIN(8,(Q415+K415)/K415)))</f>
        <v>0.44418604651162791</v>
      </c>
      <c r="FZ415" s="4">
        <f t="shared" si="1387"/>
        <v>0.3</v>
      </c>
      <c r="GA415" s="4">
        <f t="shared" si="1388"/>
        <v>537.46128270408099</v>
      </c>
    </row>
    <row r="416" spans="1:183" ht="12" hidden="1" customHeight="1" x14ac:dyDescent="0.3">
      <c r="A416" s="25">
        <v>398</v>
      </c>
      <c r="B416" s="4" t="s">
        <v>605</v>
      </c>
      <c r="C416" s="4">
        <v>2016</v>
      </c>
      <c r="D416" s="4" t="s">
        <v>309</v>
      </c>
      <c r="E416" s="14" t="s">
        <v>566</v>
      </c>
      <c r="F416" s="33" t="s">
        <v>567</v>
      </c>
      <c r="G416" s="38">
        <f>135/0.145</f>
        <v>931.0344827586207</v>
      </c>
      <c r="H416" s="38">
        <f>14.5*25.4</f>
        <v>368.29999999999995</v>
      </c>
      <c r="I416" s="4">
        <f t="shared" si="1288"/>
        <v>368.29999999999995</v>
      </c>
      <c r="J416" s="38">
        <f>8660/145</f>
        <v>59.724137931034484</v>
      </c>
      <c r="K416" s="38">
        <f t="shared" ref="K416:K421" si="1430">1.41*25.4</f>
        <v>35.813999999999993</v>
      </c>
      <c r="L416" s="7">
        <f t="shared" si="1289"/>
        <v>10.283687943262413</v>
      </c>
      <c r="M416" s="7">
        <f t="shared" si="1290"/>
        <v>10.283687943262413</v>
      </c>
      <c r="N416" s="38">
        <f>21.8*25.4</f>
        <v>553.72</v>
      </c>
      <c r="O416" s="38">
        <f>2.65*25.4</f>
        <v>67.309999999999988</v>
      </c>
      <c r="P416" s="39">
        <f>3.4*25.4</f>
        <v>86.36</v>
      </c>
      <c r="Q416" s="7">
        <f t="shared" si="1291"/>
        <v>347.47200000000009</v>
      </c>
      <c r="R416" s="38">
        <v>2</v>
      </c>
      <c r="S416" s="4">
        <f t="shared" si="1361"/>
        <v>508</v>
      </c>
      <c r="T416" s="7">
        <f t="shared" si="1292"/>
        <v>2.3794326241134751</v>
      </c>
      <c r="U416" s="7">
        <f t="shared" si="1414"/>
        <v>2.3794326241134751</v>
      </c>
      <c r="V416" s="38">
        <v>3.8</v>
      </c>
      <c r="W416" s="4">
        <f t="shared" si="1293"/>
        <v>3.8</v>
      </c>
      <c r="X416" s="4">
        <f t="shared" si="1294"/>
        <v>4.8</v>
      </c>
      <c r="Y416" s="7">
        <f t="shared" si="1295"/>
        <v>78.464542697960056</v>
      </c>
      <c r="AB416" s="38">
        <f t="shared" si="1332"/>
        <v>349.65517241379314</v>
      </c>
      <c r="AC416" s="4">
        <v>50.7</v>
      </c>
      <c r="AD416" s="4">
        <f t="shared" si="1159"/>
        <v>0.58197921135499686</v>
      </c>
      <c r="AE416" s="38"/>
      <c r="AF416" s="38"/>
      <c r="AG416" s="39">
        <v>1</v>
      </c>
      <c r="AH416" s="39"/>
      <c r="AI416" s="39"/>
      <c r="AJ416" s="7"/>
      <c r="AK416" s="4">
        <f t="shared" si="1297"/>
        <v>368.29999999999995</v>
      </c>
      <c r="AL416" s="4">
        <f t="shared" si="1175"/>
        <v>0.50114942528735651</v>
      </c>
      <c r="AM416" s="4">
        <f t="shared" si="1176"/>
        <v>271.11402683702772</v>
      </c>
      <c r="AN416" s="4">
        <f t="shared" si="1177"/>
        <v>0.74627586206896546</v>
      </c>
      <c r="AO416" s="4">
        <v>1.25</v>
      </c>
      <c r="AP416" s="4">
        <f t="shared" si="1396"/>
        <v>2.5</v>
      </c>
      <c r="AQ416" s="38">
        <f t="shared" si="1266"/>
        <v>316.86089219181434</v>
      </c>
      <c r="AR416" s="38">
        <f t="shared" si="1178"/>
        <v>316.86089219181434</v>
      </c>
      <c r="AS416" s="38">
        <f t="shared" si="1179"/>
        <v>4.3472312358327088</v>
      </c>
      <c r="AT416" s="38">
        <f t="shared" si="1407"/>
        <v>316.86089219181434</v>
      </c>
      <c r="AU416" s="38">
        <f t="shared" si="1373"/>
        <v>1</v>
      </c>
      <c r="AV416" s="38">
        <f t="shared" si="1249"/>
        <v>1.7485435555071853</v>
      </c>
      <c r="AW416" s="4">
        <f t="shared" si="1230"/>
        <v>0</v>
      </c>
      <c r="AX416" s="4">
        <f t="shared" si="1298"/>
        <v>418.28301861035618</v>
      </c>
      <c r="AY416" s="4">
        <f t="shared" si="1267"/>
        <v>1</v>
      </c>
      <c r="AZ416" s="38">
        <f t="shared" si="1389"/>
        <v>554.04507103425397</v>
      </c>
      <c r="BA416" s="4">
        <f t="shared" si="1268"/>
        <v>0.46800000000000008</v>
      </c>
      <c r="BB416" s="4">
        <f t="shared" si="1269"/>
        <v>102.28274654079043</v>
      </c>
      <c r="BC416" s="4">
        <f t="shared" si="1270"/>
        <v>656.32781757504438</v>
      </c>
      <c r="BE416" s="4">
        <f t="shared" si="1408"/>
        <v>1.2198581560283688</v>
      </c>
      <c r="BF416" s="4">
        <f t="shared" si="1415"/>
        <v>573.65720730466944</v>
      </c>
      <c r="BH416" s="4">
        <f t="shared" si="1416"/>
        <v>531.39697841895475</v>
      </c>
      <c r="BI416" s="4">
        <f t="shared" si="1350"/>
        <v>0</v>
      </c>
      <c r="BJ416" s="4">
        <f t="shared" si="1417"/>
        <v>0</v>
      </c>
      <c r="BR416" s="4">
        <f t="shared" si="1271"/>
        <v>67.309999999999988</v>
      </c>
      <c r="BV416" s="9"/>
      <c r="BX416" s="9"/>
      <c r="BY416" s="9"/>
      <c r="BZ416" s="9">
        <f t="shared" si="1272"/>
        <v>67.309999999999988</v>
      </c>
      <c r="CA416" s="9">
        <f t="shared" si="1273"/>
        <v>173.73600000000005</v>
      </c>
      <c r="CB416" s="9">
        <f t="shared" si="1374"/>
        <v>1.5804651169733801</v>
      </c>
      <c r="CC416" s="40">
        <f t="shared" si="1299"/>
        <v>0</v>
      </c>
      <c r="CD416" s="9">
        <f t="shared" si="1274"/>
        <v>0</v>
      </c>
      <c r="CE416" s="9">
        <f t="shared" si="1275"/>
        <v>0</v>
      </c>
      <c r="CF416" s="9">
        <f t="shared" si="1276"/>
        <v>0.89777220146327208</v>
      </c>
      <c r="CG416" s="9">
        <f t="shared" si="1277"/>
        <v>0.68</v>
      </c>
      <c r="CH416" s="9">
        <f t="shared" si="1375"/>
        <v>1.6512698668680077</v>
      </c>
      <c r="CI416" s="9">
        <f t="shared" si="1376"/>
        <v>2.6097744232941635</v>
      </c>
      <c r="CJ416" s="40">
        <v>1</v>
      </c>
      <c r="CK416" s="9">
        <f t="shared" si="1377"/>
        <v>263.93888848350906</v>
      </c>
      <c r="CM416" s="4">
        <f t="shared" si="1278"/>
        <v>0.83592963820390698</v>
      </c>
      <c r="CN416" s="4">
        <f t="shared" si="1279"/>
        <v>0.53274470935221885</v>
      </c>
      <c r="CO416" s="4">
        <f t="shared" si="1242"/>
        <v>0.60951935748641473</v>
      </c>
      <c r="CP416" s="4">
        <f t="shared" si="1280"/>
        <v>1.3247580696530805</v>
      </c>
      <c r="CQ416" s="4">
        <f t="shared" si="1189"/>
        <v>0.58197921135499686</v>
      </c>
      <c r="CR416" s="4">
        <f t="shared" si="1190"/>
        <v>0.61746193238869718</v>
      </c>
      <c r="CS416" s="4">
        <f t="shared" si="1243"/>
        <v>0.72823307370272738</v>
      </c>
      <c r="CT416" s="4">
        <f t="shared" si="1300"/>
        <v>0</v>
      </c>
      <c r="CU416" s="4">
        <f t="shared" ref="CU416:CV416" si="1431">CM416</f>
        <v>0.83592963820390698</v>
      </c>
      <c r="CV416" s="4">
        <f t="shared" si="1431"/>
        <v>0.53274470935221885</v>
      </c>
      <c r="CW416" s="4">
        <f t="shared" ref="CW416" si="1432">CP416</f>
        <v>1.3247580696530805</v>
      </c>
      <c r="CX416" s="4">
        <f t="shared" ref="CX416" si="1433">CS416</f>
        <v>0.72823307370272738</v>
      </c>
      <c r="CY416" s="4">
        <f t="shared" ref="CY416:CZ416" si="1434">CQ416</f>
        <v>0.58197921135499686</v>
      </c>
      <c r="CZ416" s="4">
        <f t="shared" si="1434"/>
        <v>0.61746193238869718</v>
      </c>
      <c r="DI416" s="4">
        <f t="shared" si="1285"/>
        <v>368.29999999999995</v>
      </c>
      <c r="DL416" s="4">
        <f t="shared" si="1166"/>
        <v>2.2289464375323425E-5</v>
      </c>
      <c r="DM416" s="4">
        <f t="shared" si="1313"/>
        <v>8.1900405055518455</v>
      </c>
      <c r="DN416" s="4">
        <f t="shared" si="1167"/>
        <v>0.42626088173198085</v>
      </c>
      <c r="DO416" s="4">
        <f t="shared" si="1168"/>
        <v>5.8231267217522005</v>
      </c>
      <c r="DP416" s="4">
        <f t="shared" si="1169"/>
        <v>7.1061034946776394</v>
      </c>
      <c r="DQ416" s="4">
        <f t="shared" si="1170"/>
        <v>7.3859926828278253</v>
      </c>
      <c r="DR416" s="38">
        <f t="shared" si="1183"/>
        <v>600.80354348002606</v>
      </c>
      <c r="DS416" s="4">
        <f t="shared" si="1382"/>
        <v>1.0001114253624004</v>
      </c>
      <c r="DT416" s="4">
        <f t="shared" si="1171"/>
        <v>2.1908902300206643</v>
      </c>
      <c r="DU416" s="4">
        <f t="shared" si="1390"/>
        <v>316.86089219181434</v>
      </c>
      <c r="DY416" s="4">
        <f t="shared" si="1331"/>
        <v>0.85</v>
      </c>
      <c r="DZ416" s="4">
        <f t="shared" si="1383"/>
        <v>0.91205673758865247</v>
      </c>
      <c r="EA416" s="4">
        <f t="shared" si="1184"/>
        <v>1</v>
      </c>
      <c r="EB416" s="4">
        <f t="shared" si="1384"/>
        <v>0.91205673758865247</v>
      </c>
      <c r="ED416" s="4">
        <f t="shared" si="1185"/>
        <v>566.27810407862103</v>
      </c>
      <c r="EE416" s="25">
        <f t="shared" si="1186"/>
        <v>313.6066416732981</v>
      </c>
      <c r="EG416" s="4">
        <f t="shared" si="1391"/>
        <v>0.77524822695035456</v>
      </c>
      <c r="EH416" s="4">
        <f t="shared" si="1187"/>
        <v>8.1900405055518455</v>
      </c>
      <c r="EK416" s="4">
        <f t="shared" si="1172"/>
        <v>78.464542697960056</v>
      </c>
      <c r="EL416" s="4">
        <f t="shared" si="1173"/>
        <v>2.1908902300206643</v>
      </c>
      <c r="EM416" s="4">
        <f t="shared" si="1174"/>
        <v>0.18012985077882213</v>
      </c>
      <c r="EP416" s="4">
        <f t="shared" si="1301"/>
        <v>0.18012985077882213</v>
      </c>
      <c r="EQ416" s="4">
        <f t="shared" si="1257"/>
        <v>0.42554953176459903</v>
      </c>
      <c r="ER416" s="4">
        <f t="shared" si="1314"/>
        <v>5.8192376886858801</v>
      </c>
      <c r="ES416" s="4">
        <f t="shared" si="1286"/>
        <v>7.1045123592589068</v>
      </c>
      <c r="ET416" s="4">
        <f t="shared" si="1315"/>
        <v>197.76045730203992</v>
      </c>
      <c r="EU416" s="4">
        <f t="shared" si="1316"/>
        <v>92.074999999999989</v>
      </c>
      <c r="EV416" s="4">
        <f t="shared" si="1385"/>
        <v>2.2289464375323425E-5</v>
      </c>
      <c r="EW416" s="4">
        <f t="shared" si="1287"/>
        <v>7.3862152384274316</v>
      </c>
      <c r="EX416" s="4">
        <f t="shared" si="1422"/>
        <v>600.73660618597455</v>
      </c>
      <c r="FG416" s="23">
        <f t="shared" si="1329"/>
        <v>1</v>
      </c>
      <c r="FH416" s="23">
        <f t="shared" si="1329"/>
        <v>0.6</v>
      </c>
      <c r="FI416" s="23">
        <f t="shared" si="1248"/>
        <v>0.8</v>
      </c>
      <c r="FJ416" s="23">
        <f t="shared" si="1330"/>
        <v>1.4</v>
      </c>
      <c r="FK416" s="23">
        <f t="shared" si="1330"/>
        <v>0.6</v>
      </c>
      <c r="FL416" s="23">
        <f t="shared" si="1330"/>
        <v>0.8</v>
      </c>
      <c r="FM416" s="23">
        <f t="shared" si="1195"/>
        <v>1</v>
      </c>
      <c r="FN416" s="23"/>
      <c r="FX416" s="4">
        <f t="shared" si="1386"/>
        <v>1</v>
      </c>
      <c r="FY416" s="4">
        <f t="shared" si="1429"/>
        <v>0.5</v>
      </c>
      <c r="FZ416" s="4">
        <f t="shared" si="1387"/>
        <v>0</v>
      </c>
      <c r="GA416" s="4">
        <f t="shared" si="1388"/>
        <v>480.14184612071898</v>
      </c>
    </row>
    <row r="417" spans="1:183" ht="12" hidden="1" customHeight="1" x14ac:dyDescent="0.3">
      <c r="A417" s="25">
        <v>399</v>
      </c>
      <c r="B417" s="4" t="s">
        <v>605</v>
      </c>
      <c r="C417" s="4">
        <v>2016</v>
      </c>
      <c r="D417" s="4" t="s">
        <v>309</v>
      </c>
      <c r="E417" s="14" t="s">
        <v>566</v>
      </c>
      <c r="F417" s="33" t="s">
        <v>568</v>
      </c>
      <c r="G417" s="38">
        <f t="shared" ref="G417:G421" si="1435">135/0.145</f>
        <v>931.0344827586207</v>
      </c>
      <c r="H417" s="38">
        <f>14.69*25.4</f>
        <v>373.12599999999998</v>
      </c>
      <c r="I417" s="4">
        <f t="shared" si="1288"/>
        <v>373.12599999999998</v>
      </c>
      <c r="J417" s="38">
        <f>8660/145</f>
        <v>59.724137931034484</v>
      </c>
      <c r="K417" s="38">
        <f t="shared" si="1430"/>
        <v>35.813999999999993</v>
      </c>
      <c r="L417" s="7">
        <f t="shared" si="1289"/>
        <v>10.418439716312058</v>
      </c>
      <c r="M417" s="7">
        <f t="shared" si="1290"/>
        <v>10.418439716312058</v>
      </c>
      <c r="N417" s="38">
        <f>21.8*25.4</f>
        <v>553.72</v>
      </c>
      <c r="O417" s="38">
        <f>2.55*25.4</f>
        <v>64.77</v>
      </c>
      <c r="P417" s="39">
        <f>3.2*25.4</f>
        <v>81.28</v>
      </c>
      <c r="Q417" s="7">
        <f t="shared" si="1291"/>
        <v>352.55200000000002</v>
      </c>
      <c r="R417" s="38">
        <v>2</v>
      </c>
      <c r="S417" s="4">
        <f t="shared" si="1361"/>
        <v>508</v>
      </c>
      <c r="T417" s="7">
        <f t="shared" si="1292"/>
        <v>2.3085106382978724</v>
      </c>
      <c r="U417" s="7">
        <f t="shared" si="1414"/>
        <v>2.3085106382978724</v>
      </c>
      <c r="V417" s="38">
        <v>3.8</v>
      </c>
      <c r="W417" s="4">
        <f t="shared" si="1293"/>
        <v>3.8</v>
      </c>
      <c r="X417" s="4">
        <f t="shared" si="1294"/>
        <v>4.8</v>
      </c>
      <c r="Y417" s="7">
        <f t="shared" si="1295"/>
        <v>78.464542697960056</v>
      </c>
      <c r="AB417" s="38">
        <f t="shared" si="1332"/>
        <v>391.03448275862075</v>
      </c>
      <c r="AC417" s="4">
        <v>56.7</v>
      </c>
      <c r="AD417" s="4">
        <f t="shared" si="1159"/>
        <v>0.64761509962742803</v>
      </c>
      <c r="AE417" s="38">
        <f t="shared" ref="AE417:AE418" si="1436">0.5*25.4</f>
        <v>12.7</v>
      </c>
      <c r="AF417" s="38">
        <v>4</v>
      </c>
      <c r="AG417" s="39">
        <f>8*25.4</f>
        <v>203.2</v>
      </c>
      <c r="AH417" s="39">
        <v>2</v>
      </c>
      <c r="AI417" s="39">
        <f t="shared" ref="AI417:AI418" si="1437">AH417-1</f>
        <v>1</v>
      </c>
      <c r="AJ417" s="7"/>
      <c r="AK417" s="4">
        <f t="shared" si="1297"/>
        <v>373.12599999999998</v>
      </c>
      <c r="AL417" s="4">
        <f t="shared" si="1175"/>
        <v>0.49466757431359204</v>
      </c>
      <c r="AM417" s="4">
        <f t="shared" si="1176"/>
        <v>276.46023823193622</v>
      </c>
      <c r="AN417" s="4">
        <f t="shared" si="1177"/>
        <v>0.74431586113002035</v>
      </c>
      <c r="AO417" s="4">
        <v>1.25</v>
      </c>
      <c r="AP417" s="4">
        <f t="shared" si="1396"/>
        <v>2.5</v>
      </c>
      <c r="AQ417" s="38">
        <f t="shared" si="1266"/>
        <v>318.09249051752539</v>
      </c>
      <c r="AR417" s="38">
        <f t="shared" si="1178"/>
        <v>318.09249051752539</v>
      </c>
      <c r="AS417" s="38">
        <f t="shared" si="1179"/>
        <v>4.3472312358327088</v>
      </c>
      <c r="AT417" s="38">
        <f t="shared" si="1407"/>
        <v>318.09249051752539</v>
      </c>
      <c r="AU417" s="38">
        <f t="shared" si="1373"/>
        <v>1</v>
      </c>
      <c r="AV417" s="38">
        <f t="shared" si="1249"/>
        <v>1.689857748922543</v>
      </c>
      <c r="AW417" s="4">
        <f t="shared" si="1230"/>
        <v>0</v>
      </c>
      <c r="AX417" s="4">
        <f t="shared" si="1298"/>
        <v>423.76396850938846</v>
      </c>
      <c r="AY417" s="4">
        <f t="shared" si="1267"/>
        <v>1</v>
      </c>
      <c r="AZ417" s="38">
        <f t="shared" si="1389"/>
        <v>537.53105997511079</v>
      </c>
      <c r="BA417" s="4">
        <f t="shared" si="1268"/>
        <v>0.46800000000000008</v>
      </c>
      <c r="BB417" s="4">
        <f t="shared" si="1269"/>
        <v>103.6230032196008</v>
      </c>
      <c r="BC417" s="4">
        <f t="shared" si="1270"/>
        <v>641.15406319471163</v>
      </c>
      <c r="BE417" s="4">
        <f t="shared" si="1408"/>
        <v>1.4806376465948399</v>
      </c>
      <c r="BF417" s="4">
        <f t="shared" si="1415"/>
        <v>700.91852660728603</v>
      </c>
      <c r="BH417" s="4">
        <f t="shared" si="1416"/>
        <v>515.55802228128107</v>
      </c>
      <c r="BI417" s="4">
        <f t="shared" si="1350"/>
        <v>0</v>
      </c>
      <c r="BJ417" s="4">
        <f t="shared" si="1417"/>
        <v>0</v>
      </c>
      <c r="BR417" s="4">
        <f t="shared" si="1271"/>
        <v>64.77</v>
      </c>
      <c r="BV417" s="9"/>
      <c r="BX417" s="9"/>
      <c r="BY417" s="9"/>
      <c r="BZ417" s="9">
        <f t="shared" si="1272"/>
        <v>64.77</v>
      </c>
      <c r="CA417" s="9">
        <f t="shared" si="1273"/>
        <v>176.27600000000001</v>
      </c>
      <c r="CB417" s="9">
        <f t="shared" si="1374"/>
        <v>1.5627281214384319</v>
      </c>
      <c r="CC417" s="40">
        <f t="shared" si="1299"/>
        <v>20</v>
      </c>
      <c r="CD417" s="9">
        <f t="shared" si="1274"/>
        <v>0.05</v>
      </c>
      <c r="CE417" s="9">
        <f t="shared" si="1275"/>
        <v>0.8</v>
      </c>
      <c r="CF417" s="9">
        <f t="shared" si="1276"/>
        <v>0.89777220146327208</v>
      </c>
      <c r="CG417" s="9">
        <f t="shared" si="1277"/>
        <v>0.68</v>
      </c>
      <c r="CH417" s="9">
        <f t="shared" si="1375"/>
        <v>1.6512698668680077</v>
      </c>
      <c r="CI417" s="9">
        <f t="shared" si="1376"/>
        <v>3.9015017505329372</v>
      </c>
      <c r="CJ417" s="40">
        <v>1</v>
      </c>
      <c r="CK417" s="9">
        <f t="shared" si="1377"/>
        <v>396.68034819602974</v>
      </c>
      <c r="CM417" s="4">
        <f t="shared" si="1278"/>
        <v>0.9227648214974592</v>
      </c>
      <c r="CN417" s="4">
        <f t="shared" si="1279"/>
        <v>0.60989160828240396</v>
      </c>
      <c r="CO417" s="4">
        <f t="shared" si="1242"/>
        <v>0.55788863885703999</v>
      </c>
      <c r="CP417" s="4">
        <f t="shared" si="1280"/>
        <v>0.98576721669453882</v>
      </c>
      <c r="CQ417" s="4">
        <f t="shared" si="1189"/>
        <v>0.64761509962742803</v>
      </c>
      <c r="CR417" s="4">
        <f t="shared" si="1190"/>
        <v>0.68724341538301104</v>
      </c>
      <c r="CS417" s="4">
        <f t="shared" si="1243"/>
        <v>0.71086754061834379</v>
      </c>
      <c r="CT417" s="4">
        <f t="shared" si="1300"/>
        <v>4</v>
      </c>
      <c r="DA417" s="4">
        <f t="shared" ref="DA417:DB418" si="1438">CM417</f>
        <v>0.9227648214974592</v>
      </c>
      <c r="DB417" s="4">
        <f t="shared" si="1438"/>
        <v>0.60989160828240396</v>
      </c>
      <c r="DC417" s="4">
        <f t="shared" ref="DC417:DC418" si="1439">CP417</f>
        <v>0.98576721669453882</v>
      </c>
      <c r="DD417" s="4">
        <f t="shared" ref="DD417:DD418" si="1440">CS417</f>
        <v>0.71086754061834379</v>
      </c>
      <c r="DE417" s="4">
        <f t="shared" ref="DE417:DF418" si="1441">CQ417</f>
        <v>0.64761509962742803</v>
      </c>
      <c r="DF417" s="4">
        <f t="shared" si="1441"/>
        <v>0.68724341538301104</v>
      </c>
      <c r="DI417" s="4">
        <f t="shared" si="1285"/>
        <v>373.12599999999998</v>
      </c>
      <c r="DL417" s="4">
        <f t="shared" si="1166"/>
        <v>2.2581533218862147E-5</v>
      </c>
      <c r="DM417" s="4">
        <f t="shared" si="1313"/>
        <v>8.1304956994783915</v>
      </c>
      <c r="DN417" s="4">
        <f t="shared" si="1167"/>
        <v>0.42791770401959656</v>
      </c>
      <c r="DO417" s="4">
        <f t="shared" si="1168"/>
        <v>5.7897675296534361</v>
      </c>
      <c r="DP417" s="4">
        <f t="shared" si="1169"/>
        <v>7.0581149788874846</v>
      </c>
      <c r="DQ417" s="4">
        <f t="shared" si="1170"/>
        <v>7.3164544580678683</v>
      </c>
      <c r="DR417" s="38">
        <f t="shared" si="1183"/>
        <v>603.80692634186926</v>
      </c>
      <c r="DS417" s="4">
        <f t="shared" si="1382"/>
        <v>1.0001112492309012</v>
      </c>
      <c r="DT417" s="4">
        <f t="shared" si="1171"/>
        <v>2.1908902300206643</v>
      </c>
      <c r="DU417" s="4">
        <f t="shared" si="1390"/>
        <v>318.09249051752539</v>
      </c>
      <c r="DY417" s="4">
        <f t="shared" si="1331"/>
        <v>0.85</v>
      </c>
      <c r="DZ417" s="4">
        <f t="shared" si="1383"/>
        <v>0.91914893617021276</v>
      </c>
      <c r="EA417" s="4">
        <f t="shared" si="1184"/>
        <v>0.9995510789195714</v>
      </c>
      <c r="EB417" s="4">
        <f t="shared" si="1384"/>
        <v>0.91873631083671248</v>
      </c>
      <c r="ED417" s="4">
        <f t="shared" si="1185"/>
        <v>568.98978441385486</v>
      </c>
      <c r="EE417" s="25">
        <f t="shared" si="1186"/>
        <v>314.86854648760465</v>
      </c>
      <c r="EG417" s="4">
        <f t="shared" si="1391"/>
        <v>0.78092586421120558</v>
      </c>
      <c r="EH417" s="4">
        <f t="shared" si="1187"/>
        <v>8.1304956994783915</v>
      </c>
      <c r="EK417" s="4">
        <f t="shared" si="1172"/>
        <v>78.464542697960056</v>
      </c>
      <c r="EL417" s="4">
        <f t="shared" si="1173"/>
        <v>2.1908902300206643</v>
      </c>
      <c r="EM417" s="4">
        <f t="shared" si="1174"/>
        <v>0.18082999279096884</v>
      </c>
      <c r="EP417" s="4">
        <f t="shared" si="1301"/>
        <v>0.18082999279096884</v>
      </c>
      <c r="EQ417" s="4">
        <f t="shared" si="1257"/>
        <v>0.42720358912460649</v>
      </c>
      <c r="ER417" s="4">
        <f t="shared" si="1314"/>
        <v>5.7859007758551693</v>
      </c>
      <c r="ES417" s="4">
        <f t="shared" si="1286"/>
        <v>7.0565312988731881</v>
      </c>
      <c r="ET417" s="4">
        <f t="shared" si="1315"/>
        <v>201.37995730203994</v>
      </c>
      <c r="EU417" s="4">
        <f t="shared" si="1316"/>
        <v>93.281499999999994</v>
      </c>
      <c r="EV417" s="4">
        <f t="shared" si="1385"/>
        <v>2.2581533218862147E-5</v>
      </c>
      <c r="EW417" s="4">
        <f t="shared" si="1287"/>
        <v>7.3166791266825877</v>
      </c>
      <c r="EX417" s="4">
        <f t="shared" si="1422"/>
        <v>603.73976075782048</v>
      </c>
      <c r="FG417" s="23">
        <f t="shared" si="1329"/>
        <v>1</v>
      </c>
      <c r="FH417" s="23">
        <f t="shared" si="1329"/>
        <v>0.8</v>
      </c>
      <c r="FI417" s="23">
        <f t="shared" si="1248"/>
        <v>0.8</v>
      </c>
      <c r="FJ417" s="23">
        <f t="shared" si="1330"/>
        <v>1</v>
      </c>
      <c r="FK417" s="23">
        <f t="shared" si="1330"/>
        <v>0.8</v>
      </c>
      <c r="FL417" s="23">
        <f t="shared" si="1330"/>
        <v>0.8</v>
      </c>
      <c r="FM417" s="23">
        <f t="shared" si="1195"/>
        <v>1</v>
      </c>
      <c r="FN417" s="23"/>
      <c r="FX417" s="4">
        <f t="shared" si="1386"/>
        <v>1</v>
      </c>
      <c r="FY417" s="4">
        <f t="shared" si="1429"/>
        <v>0.44214730608235164</v>
      </c>
      <c r="FZ417" s="4">
        <f t="shared" si="1387"/>
        <v>0.25149640360142855</v>
      </c>
      <c r="GA417" s="4">
        <f t="shared" si="1388"/>
        <v>550.08065555853318</v>
      </c>
    </row>
    <row r="418" spans="1:183" ht="12" hidden="1" customHeight="1" x14ac:dyDescent="0.3">
      <c r="A418" s="25">
        <v>400</v>
      </c>
      <c r="B418" s="4" t="s">
        <v>605</v>
      </c>
      <c r="C418" s="4">
        <v>2016</v>
      </c>
      <c r="D418" s="4" t="s">
        <v>309</v>
      </c>
      <c r="E418" s="14" t="s">
        <v>677</v>
      </c>
      <c r="F418" s="7" t="s">
        <v>569</v>
      </c>
      <c r="G418" s="38">
        <f t="shared" si="1435"/>
        <v>931.0344827586207</v>
      </c>
      <c r="H418" s="38">
        <f>14.69*25.4</f>
        <v>373.12599999999998</v>
      </c>
      <c r="I418" s="4">
        <f t="shared" si="1288"/>
        <v>373.12599999999998</v>
      </c>
      <c r="J418" s="38">
        <f>8660/145</f>
        <v>59.724137931034484</v>
      </c>
      <c r="K418" s="38">
        <f t="shared" si="1430"/>
        <v>35.813999999999993</v>
      </c>
      <c r="L418" s="7">
        <f t="shared" si="1289"/>
        <v>10.418439716312058</v>
      </c>
      <c r="M418" s="7">
        <f t="shared" si="1290"/>
        <v>10.418439716312058</v>
      </c>
      <c r="N418" s="38">
        <f>21.7*25.4</f>
        <v>551.17999999999995</v>
      </c>
      <c r="O418" s="38">
        <f>2.45*25.4</f>
        <v>62.230000000000004</v>
      </c>
      <c r="P418" s="39">
        <f>3.4*25.4</f>
        <v>86.36</v>
      </c>
      <c r="Q418" s="7">
        <f t="shared" si="1291"/>
        <v>355.09199999999998</v>
      </c>
      <c r="R418" s="38">
        <v>2</v>
      </c>
      <c r="S418" s="4">
        <f t="shared" si="1361"/>
        <v>508</v>
      </c>
      <c r="T418" s="7">
        <f t="shared" si="1292"/>
        <v>2.2375886524822697</v>
      </c>
      <c r="U418" s="7">
        <f t="shared" si="1414"/>
        <v>2.2375886524822697</v>
      </c>
      <c r="V418" s="38">
        <v>3.8</v>
      </c>
      <c r="W418" s="4">
        <f t="shared" si="1293"/>
        <v>3.8</v>
      </c>
      <c r="X418" s="4">
        <f t="shared" si="1294"/>
        <v>4.8</v>
      </c>
      <c r="Y418" s="7">
        <f t="shared" si="1295"/>
        <v>78.464542697960056</v>
      </c>
      <c r="AB418" s="38">
        <f t="shared" si="1332"/>
        <v>497.93103448275866</v>
      </c>
      <c r="AC418" s="4">
        <v>72.2</v>
      </c>
      <c r="AD418" s="4">
        <f t="shared" si="1159"/>
        <v>0.80079303363680798</v>
      </c>
      <c r="AE418" s="38">
        <f t="shared" si="1436"/>
        <v>12.7</v>
      </c>
      <c r="AF418" s="38">
        <v>12</v>
      </c>
      <c r="AG418" s="39">
        <f>4*25.4</f>
        <v>101.6</v>
      </c>
      <c r="AH418" s="39">
        <v>3</v>
      </c>
      <c r="AI418" s="39">
        <f t="shared" si="1437"/>
        <v>2</v>
      </c>
      <c r="AJ418" s="7"/>
      <c r="AK418" s="4">
        <f t="shared" si="1297"/>
        <v>373.12599999999998</v>
      </c>
      <c r="AL418" s="4">
        <f t="shared" si="1175"/>
        <v>0.49239845700022689</v>
      </c>
      <c r="AM418" s="4">
        <f t="shared" si="1176"/>
        <v>276.46023823193622</v>
      </c>
      <c r="AN418" s="4">
        <f t="shared" si="1177"/>
        <v>0.74295439074200131</v>
      </c>
      <c r="AO418" s="4">
        <v>1.25</v>
      </c>
      <c r="AP418" s="4">
        <f t="shared" si="1396"/>
        <v>2.5</v>
      </c>
      <c r="AQ418" s="38">
        <f t="shared" si="1266"/>
        <v>316.05417861937889</v>
      </c>
      <c r="AR418" s="38">
        <f t="shared" si="1178"/>
        <v>316.05417861937889</v>
      </c>
      <c r="AS418" s="38">
        <f t="shared" si="1179"/>
        <v>4.3472312358327088</v>
      </c>
      <c r="AT418" s="38">
        <f t="shared" si="1407"/>
        <v>316.05417861937889</v>
      </c>
      <c r="AU418" s="38">
        <f t="shared" si="1373"/>
        <v>1</v>
      </c>
      <c r="AV418" s="38">
        <f t="shared" si="1249"/>
        <v>1.6485054910266623</v>
      </c>
      <c r="AW418" s="4">
        <f t="shared" si="1230"/>
        <v>0</v>
      </c>
      <c r="AX418" s="4">
        <f t="shared" si="1298"/>
        <v>423.76396850938846</v>
      </c>
      <c r="AY418" s="4">
        <f t="shared" si="1267"/>
        <v>1</v>
      </c>
      <c r="AZ418" s="38">
        <f t="shared" si="1389"/>
        <v>521.01704891596762</v>
      </c>
      <c r="BA418" s="4">
        <f t="shared" si="1268"/>
        <v>0.46800000000000008</v>
      </c>
      <c r="BB418" s="4">
        <f t="shared" si="1269"/>
        <v>103.6230032196008</v>
      </c>
      <c r="BC418" s="4">
        <f t="shared" si="1270"/>
        <v>624.64005213556845</v>
      </c>
      <c r="BE418" s="4">
        <f t="shared" si="1408"/>
        <v>1.5</v>
      </c>
      <c r="BF418" s="4">
        <f t="shared" si="1415"/>
        <v>710.08446416912363</v>
      </c>
      <c r="BH418" s="4">
        <f t="shared" si="1416"/>
        <v>499.71906614360728</v>
      </c>
      <c r="BI418" s="4">
        <f t="shared" si="1350"/>
        <v>0</v>
      </c>
      <c r="BJ418" s="4">
        <f t="shared" si="1417"/>
        <v>0</v>
      </c>
      <c r="BR418" s="4">
        <f t="shared" si="1271"/>
        <v>62.230000000000004</v>
      </c>
      <c r="BV418" s="9"/>
      <c r="BX418" s="9"/>
      <c r="BY418" s="9"/>
      <c r="BZ418" s="9">
        <f t="shared" si="1272"/>
        <v>62.230000000000004</v>
      </c>
      <c r="CA418" s="9">
        <f t="shared" si="1273"/>
        <v>177.54599999999999</v>
      </c>
      <c r="CB418" s="9">
        <f t="shared" si="1374"/>
        <v>1.5426597542601972</v>
      </c>
      <c r="CC418" s="40">
        <f t="shared" si="1299"/>
        <v>20</v>
      </c>
      <c r="CD418" s="9">
        <f t="shared" si="1274"/>
        <v>0.05</v>
      </c>
      <c r="CE418" s="9">
        <f t="shared" si="1275"/>
        <v>0.8</v>
      </c>
      <c r="CF418" s="9">
        <f t="shared" si="1276"/>
        <v>0.89777220146327208</v>
      </c>
      <c r="CG418" s="9">
        <f t="shared" si="1277"/>
        <v>0.68</v>
      </c>
      <c r="CH418" s="9">
        <f t="shared" si="1375"/>
        <v>1.6512698668680077</v>
      </c>
      <c r="CI418" s="9">
        <f t="shared" si="1376"/>
        <v>3.8683634605342756</v>
      </c>
      <c r="CJ418" s="40">
        <v>1</v>
      </c>
      <c r="CK418" s="9">
        <f t="shared" si="1377"/>
        <v>393.31105368949909</v>
      </c>
      <c r="CM418" s="4">
        <f t="shared" si="1278"/>
        <v>1.175019755063784</v>
      </c>
      <c r="CN418" s="4">
        <f t="shared" si="1279"/>
        <v>0.79714874635462929</v>
      </c>
      <c r="CO418" s="4">
        <f t="shared" si="1242"/>
        <v>0.70122789556506115</v>
      </c>
      <c r="CP418" s="4">
        <f t="shared" si="1280"/>
        <v>1.2659980689885524</v>
      </c>
      <c r="CQ418" s="4">
        <f t="shared" si="1189"/>
        <v>0.80079303363680798</v>
      </c>
      <c r="CR418" s="4">
        <f t="shared" si="1190"/>
        <v>0.85028063832166845</v>
      </c>
      <c r="CS418" s="4">
        <f t="shared" si="1243"/>
        <v>1.102942521630832</v>
      </c>
      <c r="CT418" s="4">
        <f t="shared" si="1300"/>
        <v>12</v>
      </c>
      <c r="DA418" s="4">
        <f t="shared" si="1438"/>
        <v>1.175019755063784</v>
      </c>
      <c r="DB418" s="4">
        <f t="shared" si="1438"/>
        <v>0.79714874635462929</v>
      </c>
      <c r="DC418" s="4">
        <f t="shared" si="1439"/>
        <v>1.2659980689885524</v>
      </c>
      <c r="DD418" s="4">
        <f t="shared" si="1440"/>
        <v>1.102942521630832</v>
      </c>
      <c r="DE418" s="4">
        <f t="shared" si="1441"/>
        <v>0.80079303363680798</v>
      </c>
      <c r="DF418" s="4">
        <f t="shared" si="1441"/>
        <v>0.85028063832166845</v>
      </c>
      <c r="DI418" s="4">
        <f t="shared" si="1285"/>
        <v>373.12599999999998</v>
      </c>
      <c r="DL418" s="4">
        <f t="shared" si="1166"/>
        <v>2.2581533218862147E-5</v>
      </c>
      <c r="DM418" s="4">
        <f t="shared" si="1313"/>
        <v>8.7269775139135497</v>
      </c>
      <c r="DN418" s="4">
        <f t="shared" si="1167"/>
        <v>0.4251756407092947</v>
      </c>
      <c r="DO418" s="4">
        <f t="shared" si="1168"/>
        <v>6.1985656734611458</v>
      </c>
      <c r="DP418" s="4">
        <f t="shared" si="1169"/>
        <v>7.5693908977413145</v>
      </c>
      <c r="DQ418" s="4">
        <f t="shared" si="1170"/>
        <v>7.7912639473019434</v>
      </c>
      <c r="DR418" s="38">
        <f t="shared" si="1183"/>
        <v>621.79741027641171</v>
      </c>
      <c r="DS418" s="4">
        <f t="shared" si="1382"/>
        <v>1.0001152655713796</v>
      </c>
      <c r="DT418" s="4">
        <f t="shared" si="1171"/>
        <v>2.1908902300206643</v>
      </c>
      <c r="DU418" s="4">
        <f t="shared" si="1390"/>
        <v>316.05417861937889</v>
      </c>
      <c r="DY418" s="4">
        <f t="shared" si="1331"/>
        <v>0.85</v>
      </c>
      <c r="DZ418" s="4">
        <f t="shared" si="1383"/>
        <v>0.92624113475177294</v>
      </c>
      <c r="EA418" s="4">
        <f t="shared" si="1184"/>
        <v>0.92410215783914285</v>
      </c>
      <c r="EB418" s="4">
        <f t="shared" si="1384"/>
        <v>0.85594143130348965</v>
      </c>
      <c r="ED418" s="4">
        <f t="shared" si="1185"/>
        <v>585.60787114428808</v>
      </c>
      <c r="EE418" s="25">
        <f t="shared" si="1186"/>
        <v>312.84340374133052</v>
      </c>
      <c r="EG418" s="4">
        <f t="shared" si="1391"/>
        <v>0.72755021660796615</v>
      </c>
      <c r="EH418" s="4">
        <f t="shared" si="1187"/>
        <v>8.7269775139135497</v>
      </c>
      <c r="EK418" s="4">
        <f t="shared" si="1172"/>
        <v>78.464542697960056</v>
      </c>
      <c r="EL418" s="4">
        <f t="shared" si="1173"/>
        <v>2.1908902300206643</v>
      </c>
      <c r="EM418" s="4">
        <f t="shared" si="1174"/>
        <v>0.17967124828477851</v>
      </c>
      <c r="EP418" s="4">
        <f t="shared" si="1301"/>
        <v>0.17967124828477851</v>
      </c>
      <c r="EQ418" s="4">
        <f t="shared" si="1257"/>
        <v>0.42446610180691829</v>
      </c>
      <c r="ER418" s="4">
        <f t="shared" si="1314"/>
        <v>6.1944258997588486</v>
      </c>
      <c r="ES418" s="4">
        <f t="shared" si="1286"/>
        <v>7.5676983436658878</v>
      </c>
      <c r="ET418" s="4">
        <f t="shared" si="1315"/>
        <v>201.37995730203994</v>
      </c>
      <c r="EU418" s="4">
        <f t="shared" si="1316"/>
        <v>93.281499999999994</v>
      </c>
      <c r="EV418" s="4">
        <f t="shared" si="1385"/>
        <v>2.2581533218862147E-5</v>
      </c>
      <c r="EW418" s="4">
        <f t="shared" si="1287"/>
        <v>7.7915215773048105</v>
      </c>
      <c r="EX418" s="4">
        <f t="shared" si="1422"/>
        <v>621.72574670297649</v>
      </c>
      <c r="FG418" s="23">
        <f t="shared" si="1329"/>
        <v>1.2</v>
      </c>
      <c r="FH418" s="23">
        <f t="shared" si="1329"/>
        <v>0.8</v>
      </c>
      <c r="FI418" s="23">
        <f t="shared" si="1248"/>
        <v>1.2</v>
      </c>
      <c r="FJ418" s="23">
        <f t="shared" si="1330"/>
        <v>1.4</v>
      </c>
      <c r="FK418" s="23">
        <f t="shared" si="1330"/>
        <v>1</v>
      </c>
      <c r="FL418" s="23">
        <f t="shared" si="1330"/>
        <v>1</v>
      </c>
      <c r="FM418" s="23">
        <f t="shared" si="1195"/>
        <v>0</v>
      </c>
      <c r="FN418" s="23"/>
      <c r="FX418" s="4">
        <f t="shared" si="1386"/>
        <v>1.25</v>
      </c>
      <c r="FY418" s="4">
        <f t="shared" si="1429"/>
        <v>0.43098983553339404</v>
      </c>
      <c r="FZ418" s="4">
        <f t="shared" si="1387"/>
        <v>0.3</v>
      </c>
      <c r="GA418" s="4">
        <f t="shared" si="1388"/>
        <v>451.45692066211052</v>
      </c>
    </row>
    <row r="419" spans="1:183" ht="12" hidden="1" customHeight="1" x14ac:dyDescent="0.3">
      <c r="A419" s="25">
        <v>401</v>
      </c>
      <c r="B419" s="4" t="s">
        <v>605</v>
      </c>
      <c r="C419" s="4">
        <v>2016</v>
      </c>
      <c r="D419" s="4" t="s">
        <v>309</v>
      </c>
      <c r="E419" s="14" t="s">
        <v>677</v>
      </c>
      <c r="F419" s="7" t="s">
        <v>570</v>
      </c>
      <c r="G419" s="38">
        <f t="shared" si="1435"/>
        <v>931.0344827586207</v>
      </c>
      <c r="H419" s="38">
        <f>14.63*25.4</f>
        <v>371.60199999999998</v>
      </c>
      <c r="I419" s="4">
        <f t="shared" si="1288"/>
        <v>371.60199999999998</v>
      </c>
      <c r="J419" s="38">
        <f>8720/145</f>
        <v>60.137931034482762</v>
      </c>
      <c r="K419" s="38">
        <f t="shared" si="1430"/>
        <v>35.813999999999993</v>
      </c>
      <c r="L419" s="7">
        <f t="shared" si="1289"/>
        <v>10.375886524822697</v>
      </c>
      <c r="M419" s="7">
        <f t="shared" si="1290"/>
        <v>10.375886524822697</v>
      </c>
      <c r="N419" s="38">
        <f>22*25.4</f>
        <v>558.79999999999995</v>
      </c>
      <c r="O419" s="38">
        <f>2.8*25.4</f>
        <v>71.11999999999999</v>
      </c>
      <c r="P419" s="39">
        <f>3.3*25.4</f>
        <v>83.82</v>
      </c>
      <c r="Q419" s="7">
        <f t="shared" si="1291"/>
        <v>154.55899999999997</v>
      </c>
      <c r="R419" s="38">
        <v>3</v>
      </c>
      <c r="S419" s="4">
        <f t="shared" si="1361"/>
        <v>508</v>
      </c>
      <c r="T419" s="7">
        <f t="shared" si="1292"/>
        <v>2.4858156028368796</v>
      </c>
      <c r="U419" s="7">
        <f t="shared" si="1414"/>
        <v>2.4858156028368796</v>
      </c>
      <c r="V419" s="38">
        <v>3.8</v>
      </c>
      <c r="W419" s="4">
        <f t="shared" si="1293"/>
        <v>3.8</v>
      </c>
      <c r="X419" s="4">
        <f t="shared" si="1294"/>
        <v>4.8</v>
      </c>
      <c r="Y419" s="7">
        <f t="shared" si="1295"/>
        <v>78.464542697960056</v>
      </c>
      <c r="AB419" s="38">
        <f t="shared" si="1332"/>
        <v>233.79310344827587</v>
      </c>
      <c r="AC419" s="4">
        <v>33.9</v>
      </c>
      <c r="AD419" s="4">
        <f t="shared" si="1159"/>
        <v>0.47564989032534455</v>
      </c>
      <c r="AE419" s="38"/>
      <c r="AF419" s="38"/>
      <c r="AG419" s="39">
        <v>1</v>
      </c>
      <c r="AH419" s="39"/>
      <c r="AI419" s="39"/>
      <c r="AJ419" s="7"/>
      <c r="AK419" s="4">
        <f t="shared" si="1297"/>
        <v>371.60199999999998</v>
      </c>
      <c r="AL419" s="4">
        <f t="shared" si="1175"/>
        <v>0.50125313283208028</v>
      </c>
      <c r="AM419" s="4">
        <f t="shared" si="1176"/>
        <v>183.81227524875013</v>
      </c>
      <c r="AN419" s="4">
        <f t="shared" si="1177"/>
        <v>0.74791524265208476</v>
      </c>
      <c r="AO419" s="4">
        <v>1.25</v>
      </c>
      <c r="AP419" s="4">
        <f t="shared" si="1396"/>
        <v>2.5</v>
      </c>
      <c r="AQ419" s="38">
        <f t="shared" si="1266"/>
        <v>215.34461535886712</v>
      </c>
      <c r="AR419" s="38">
        <f t="shared" si="1178"/>
        <v>215.34461535886712</v>
      </c>
      <c r="AS419" s="38">
        <f t="shared" si="1179"/>
        <v>4.3584878994477556</v>
      </c>
      <c r="AT419" s="38">
        <f t="shared" si="1407"/>
        <v>215.3446153588668</v>
      </c>
      <c r="AU419" s="38">
        <f t="shared" si="1373"/>
        <v>1.0000000000000016</v>
      </c>
      <c r="AV419" s="38">
        <f t="shared" si="1249"/>
        <v>2.706482164766975</v>
      </c>
      <c r="AW419" s="4">
        <f t="shared" si="1230"/>
        <v>0</v>
      </c>
      <c r="AX419" s="4">
        <f t="shared" si="1298"/>
        <v>423.49262718866663</v>
      </c>
      <c r="AY419" s="4">
        <f t="shared" si="1267"/>
        <v>1</v>
      </c>
      <c r="AZ419" s="38">
        <f t="shared" si="1389"/>
        <v>582.82636074737741</v>
      </c>
      <c r="BA419" s="4">
        <f t="shared" si="1268"/>
        <v>0.46800000000000008</v>
      </c>
      <c r="BB419" s="4">
        <f t="shared" si="1269"/>
        <v>103.55665212644467</v>
      </c>
      <c r="BC419" s="4">
        <f t="shared" si="1270"/>
        <v>686.38301287382205</v>
      </c>
      <c r="BE419" s="4">
        <f t="shared" si="1408"/>
        <v>1.2464539007092199</v>
      </c>
      <c r="BF419" s="4">
        <f t="shared" si="1415"/>
        <v>590.86495267537066</v>
      </c>
      <c r="BH419" s="4">
        <f t="shared" si="1416"/>
        <v>559.00175497621922</v>
      </c>
      <c r="BI419" s="4">
        <f t="shared" si="1350"/>
        <v>0</v>
      </c>
      <c r="BJ419" s="4">
        <f t="shared" si="1417"/>
        <v>0</v>
      </c>
      <c r="BR419" s="4">
        <f t="shared" si="1271"/>
        <v>71.11999999999999</v>
      </c>
      <c r="BV419" s="9"/>
      <c r="BX419" s="9"/>
      <c r="BY419" s="9"/>
      <c r="BZ419" s="9">
        <f t="shared" si="1272"/>
        <v>71.11999999999999</v>
      </c>
      <c r="CA419" s="9">
        <f t="shared" si="1273"/>
        <v>77.279499999999985</v>
      </c>
      <c r="CB419" s="9">
        <f t="shared" si="1374"/>
        <v>1.4268566467933428</v>
      </c>
      <c r="CC419" s="40">
        <f t="shared" si="1299"/>
        <v>0</v>
      </c>
      <c r="CD419" s="9">
        <f t="shared" si="1274"/>
        <v>0</v>
      </c>
      <c r="CE419" s="9">
        <f t="shared" si="1275"/>
        <v>0</v>
      </c>
      <c r="CF419" s="9">
        <f t="shared" si="1276"/>
        <v>0.89777220146327208</v>
      </c>
      <c r="CG419" s="9">
        <f t="shared" si="1277"/>
        <v>0.68</v>
      </c>
      <c r="CH419" s="9">
        <f t="shared" si="1375"/>
        <v>1.656980327255414</v>
      </c>
      <c r="CI419" s="9">
        <f t="shared" si="1376"/>
        <v>2.3642733935501958</v>
      </c>
      <c r="CJ419" s="40">
        <v>1</v>
      </c>
      <c r="CK419" s="9">
        <f t="shared" si="1377"/>
        <v>239.98213339354899</v>
      </c>
      <c r="CM419" s="4">
        <f t="shared" si="1278"/>
        <v>0.55205944197966095</v>
      </c>
      <c r="CN419" s="4">
        <f t="shared" si="1279"/>
        <v>0.3406160978101801</v>
      </c>
      <c r="CO419" s="4">
        <f t="shared" si="1242"/>
        <v>0.39567942283543261</v>
      </c>
      <c r="CP419" s="4">
        <f t="shared" si="1280"/>
        <v>0.97421045534617501</v>
      </c>
      <c r="CQ419" s="4">
        <f t="shared" si="1189"/>
        <v>0.47564989032534455</v>
      </c>
      <c r="CR419" s="4">
        <f t="shared" si="1190"/>
        <v>0.49532268932934714</v>
      </c>
      <c r="CS419" s="4">
        <f t="shared" si="1243"/>
        <v>0.69730791094744238</v>
      </c>
      <c r="CT419" s="4">
        <f t="shared" si="1300"/>
        <v>0</v>
      </c>
      <c r="CU419" s="4">
        <f t="shared" ref="CU419:CV419" si="1442">CM419</f>
        <v>0.55205944197966095</v>
      </c>
      <c r="CV419" s="4">
        <f t="shared" si="1442"/>
        <v>0.3406160978101801</v>
      </c>
      <c r="CW419" s="4">
        <f t="shared" ref="CW419" si="1443">CP419</f>
        <v>0.97421045534617501</v>
      </c>
      <c r="CX419" s="4">
        <f t="shared" ref="CX419" si="1444">CS419</f>
        <v>0.69730791094744238</v>
      </c>
      <c r="CY419" s="4">
        <f t="shared" ref="CY419:CZ419" si="1445">CQ419</f>
        <v>0.47564989032534455</v>
      </c>
      <c r="CZ419" s="4">
        <f t="shared" si="1445"/>
        <v>0.49532268932934714</v>
      </c>
      <c r="DI419" s="4">
        <f t="shared" si="1285"/>
        <v>371.60199999999998</v>
      </c>
      <c r="DL419" s="4">
        <f t="shared" si="1166"/>
        <v>2.2546529017550049E-5</v>
      </c>
      <c r="DM419" s="4">
        <f t="shared" si="1313"/>
        <v>8.3153544113293236</v>
      </c>
      <c r="DN419" s="4">
        <f t="shared" si="1167"/>
        <v>0.28770159004621326</v>
      </c>
      <c r="DO419" s="4">
        <f t="shared" si="1168"/>
        <v>5.0519340097069563</v>
      </c>
      <c r="DP419" s="4">
        <f t="shared" si="1169"/>
        <v>6.8810495994762375</v>
      </c>
      <c r="DQ419" s="4">
        <f t="shared" si="1170"/>
        <v>7.5191156474869798</v>
      </c>
      <c r="DR419" s="38">
        <f t="shared" si="1183"/>
        <v>491.52350963092073</v>
      </c>
      <c r="DS419" s="4">
        <f t="shared" si="1382"/>
        <v>1.0001122984128716</v>
      </c>
      <c r="DT419" s="4">
        <f t="shared" si="1171"/>
        <v>2.1908902300206643</v>
      </c>
      <c r="DU419" s="4">
        <f t="shared" si="1390"/>
        <v>215.3446153588668</v>
      </c>
      <c r="DY419" s="4">
        <f t="shared" si="1331"/>
        <v>0.85</v>
      </c>
      <c r="DZ419" s="4">
        <f t="shared" si="1383"/>
        <v>0.90141843971631208</v>
      </c>
      <c r="EA419" s="4">
        <f t="shared" si="1184"/>
        <v>1</v>
      </c>
      <c r="EB419" s="4">
        <f t="shared" si="1384"/>
        <v>0.90141843971631208</v>
      </c>
      <c r="ED419" s="4">
        <f t="shared" si="1185"/>
        <v>472.00160316666512</v>
      </c>
      <c r="EE419" s="25">
        <f t="shared" si="1186"/>
        <v>213.16408180975441</v>
      </c>
      <c r="EG419" s="4">
        <f t="shared" si="1391"/>
        <v>0.76620567375886528</v>
      </c>
      <c r="EH419" s="4">
        <f t="shared" si="1187"/>
        <v>8.3153544113293236</v>
      </c>
      <c r="EK419" s="4">
        <f t="shared" si="1172"/>
        <v>78.464542697960056</v>
      </c>
      <c r="EL419" s="4">
        <f t="shared" si="1173"/>
        <v>2.1908902300206643</v>
      </c>
      <c r="EM419" s="4">
        <f t="shared" si="1174"/>
        <v>0.12199773533478737</v>
      </c>
      <c r="EP419" s="4">
        <f t="shared" si="1301"/>
        <v>0.12199773533478737</v>
      </c>
      <c r="EQ419" s="4">
        <f t="shared" si="1257"/>
        <v>0.28722146971271345</v>
      </c>
      <c r="ER419" s="4">
        <f t="shared" si="1314"/>
        <v>5.0485600253594702</v>
      </c>
      <c r="ES419" s="4">
        <f t="shared" si="1286"/>
        <v>6.8798163897573916</v>
      </c>
      <c r="ET419" s="4">
        <f t="shared" si="1315"/>
        <v>200.23695730203997</v>
      </c>
      <c r="EU419" s="4">
        <f t="shared" si="1316"/>
        <v>92.900499999999965</v>
      </c>
      <c r="EV419" s="4">
        <f t="shared" si="1385"/>
        <v>2.2546529017550043E-5</v>
      </c>
      <c r="EW419" s="4">
        <f t="shared" si="1287"/>
        <v>7.5193042221244717</v>
      </c>
      <c r="EX419" s="4">
        <f t="shared" si="1422"/>
        <v>491.46831851877437</v>
      </c>
      <c r="FG419" s="23">
        <f t="shared" si="1329"/>
        <v>0.6</v>
      </c>
      <c r="FH419" s="23">
        <f t="shared" si="1329"/>
        <v>0.6</v>
      </c>
      <c r="FI419" s="23">
        <f t="shared" si="1248"/>
        <v>0.8</v>
      </c>
      <c r="FJ419" s="23">
        <f t="shared" si="1330"/>
        <v>1</v>
      </c>
      <c r="FK419" s="23">
        <f t="shared" si="1330"/>
        <v>0.6</v>
      </c>
      <c r="FL419" s="23">
        <f t="shared" si="1330"/>
        <v>0.6</v>
      </c>
      <c r="FM419" s="23">
        <f t="shared" si="1195"/>
        <v>1</v>
      </c>
      <c r="FN419" s="23"/>
      <c r="FX419" s="4">
        <f t="shared" si="1386"/>
        <v>1</v>
      </c>
      <c r="FY419" s="4">
        <f t="shared" si="1429"/>
        <v>0.72369976359338062</v>
      </c>
      <c r="FZ419" s="4">
        <f t="shared" si="1387"/>
        <v>0</v>
      </c>
      <c r="GA419" s="4">
        <f t="shared" si="1388"/>
        <v>335.27957990698513</v>
      </c>
    </row>
    <row r="420" spans="1:183" ht="12" hidden="1" customHeight="1" x14ac:dyDescent="0.3">
      <c r="A420" s="25">
        <v>402</v>
      </c>
      <c r="B420" s="4" t="s">
        <v>605</v>
      </c>
      <c r="C420" s="4">
        <v>2016</v>
      </c>
      <c r="D420" s="4" t="s">
        <v>309</v>
      </c>
      <c r="E420" s="14" t="s">
        <v>677</v>
      </c>
      <c r="F420" s="7" t="s">
        <v>571</v>
      </c>
      <c r="G420" s="38">
        <f t="shared" si="1435"/>
        <v>931.0344827586207</v>
      </c>
      <c r="H420" s="38">
        <f>14.54*25.4</f>
        <v>369.31599999999997</v>
      </c>
      <c r="I420" s="4">
        <f t="shared" si="1288"/>
        <v>369.31599999999997</v>
      </c>
      <c r="J420" s="38">
        <f>8720/145</f>
        <v>60.137931034482762</v>
      </c>
      <c r="K420" s="38">
        <f t="shared" si="1430"/>
        <v>35.813999999999993</v>
      </c>
      <c r="L420" s="7">
        <f t="shared" si="1289"/>
        <v>10.312056737588653</v>
      </c>
      <c r="M420" s="7">
        <f t="shared" si="1290"/>
        <v>10.312056737588653</v>
      </c>
      <c r="N420" s="38">
        <f>21.8*25.4</f>
        <v>553.72</v>
      </c>
      <c r="O420" s="38">
        <f>2.55*25.4</f>
        <v>64.77</v>
      </c>
      <c r="P420" s="39">
        <f>3.26*25.4</f>
        <v>82.803999999999988</v>
      </c>
      <c r="Q420" s="7">
        <f t="shared" si="1291"/>
        <v>158.36900000000003</v>
      </c>
      <c r="R420" s="38">
        <v>3</v>
      </c>
      <c r="S420" s="4">
        <f t="shared" si="1361"/>
        <v>508</v>
      </c>
      <c r="T420" s="7">
        <f t="shared" si="1292"/>
        <v>2.3085106382978724</v>
      </c>
      <c r="U420" s="7">
        <f t="shared" si="1414"/>
        <v>2.3085106382978724</v>
      </c>
      <c r="V420" s="38">
        <v>3.8</v>
      </c>
      <c r="W420" s="4">
        <f t="shared" si="1293"/>
        <v>3.8</v>
      </c>
      <c r="X420" s="4">
        <f t="shared" si="1294"/>
        <v>4.8</v>
      </c>
      <c r="Y420" s="7">
        <f t="shared" si="1295"/>
        <v>78.464542697960056</v>
      </c>
      <c r="AB420" s="38">
        <f t="shared" si="1332"/>
        <v>320.68965517241384</v>
      </c>
      <c r="AC420" s="4">
        <v>46.5</v>
      </c>
      <c r="AD420" s="4">
        <f t="shared" si="1159"/>
        <v>0.66704150177213273</v>
      </c>
      <c r="AE420" s="38">
        <f t="shared" ref="AE420:AE421" si="1446">0.5*25.4</f>
        <v>12.7</v>
      </c>
      <c r="AF420" s="38">
        <v>4</v>
      </c>
      <c r="AG420" s="39">
        <f>8*25.4</f>
        <v>203.2</v>
      </c>
      <c r="AH420" s="39">
        <v>2</v>
      </c>
      <c r="AI420" s="39">
        <f t="shared" ref="AI420:AI421" si="1447">AH420-1</f>
        <v>1</v>
      </c>
      <c r="AJ420" s="7"/>
      <c r="AK420" s="4">
        <f t="shared" si="1297"/>
        <v>369.31599999999997</v>
      </c>
      <c r="AL420" s="4">
        <f t="shared" si="1175"/>
        <v>0.49977074736359473</v>
      </c>
      <c r="AM420" s="4">
        <f t="shared" si="1176"/>
        <v>182.1187376827082</v>
      </c>
      <c r="AN420" s="4">
        <f t="shared" si="1177"/>
        <v>0.74477303988995869</v>
      </c>
      <c r="AO420" s="4">
        <v>1.25</v>
      </c>
      <c r="AP420" s="4">
        <f t="shared" si="1396"/>
        <v>2.5</v>
      </c>
      <c r="AQ420" s="38">
        <f t="shared" si="1266"/>
        <v>211.83583679291482</v>
      </c>
      <c r="AR420" s="38">
        <f t="shared" si="1178"/>
        <v>211.83583679291482</v>
      </c>
      <c r="AS420" s="38">
        <f t="shared" si="1179"/>
        <v>4.3584878994477556</v>
      </c>
      <c r="AT420" s="38">
        <f t="shared" si="1407"/>
        <v>211.8358367929149</v>
      </c>
      <c r="AU420" s="38">
        <f t="shared" si="1373"/>
        <v>0.99999999999999956</v>
      </c>
      <c r="AV420" s="38">
        <f t="shared" si="1249"/>
        <v>2.5550695380031971</v>
      </c>
      <c r="AW420" s="4">
        <f t="shared" si="1230"/>
        <v>0</v>
      </c>
      <c r="AX420" s="4">
        <f t="shared" si="1298"/>
        <v>420.88740938641234</v>
      </c>
      <c r="AY420" s="4">
        <f t="shared" si="1267"/>
        <v>1</v>
      </c>
      <c r="AZ420" s="38">
        <f t="shared" si="1389"/>
        <v>541.25529364699378</v>
      </c>
      <c r="BA420" s="4">
        <f t="shared" si="1268"/>
        <v>0.46800000000000008</v>
      </c>
      <c r="BB420" s="4">
        <f t="shared" si="1269"/>
        <v>102.91959821725945</v>
      </c>
      <c r="BC420" s="4">
        <f t="shared" si="1270"/>
        <v>644.17489186425325</v>
      </c>
      <c r="BE420" s="4">
        <f t="shared" si="1408"/>
        <v>1.3878009842547159</v>
      </c>
      <c r="BF420" s="4">
        <f t="shared" si="1415"/>
        <v>655.80781580778012</v>
      </c>
      <c r="BH420" s="4">
        <f t="shared" si="1416"/>
        <v>519.1300178167171</v>
      </c>
      <c r="BI420" s="4">
        <f t="shared" si="1350"/>
        <v>0</v>
      </c>
      <c r="BJ420" s="4">
        <f t="shared" si="1417"/>
        <v>0</v>
      </c>
      <c r="BR420" s="4">
        <f t="shared" si="1271"/>
        <v>64.77</v>
      </c>
      <c r="BV420" s="9"/>
      <c r="BX420" s="9"/>
      <c r="BY420" s="9"/>
      <c r="BZ420" s="9">
        <f t="shared" si="1272"/>
        <v>64.77</v>
      </c>
      <c r="CA420" s="9">
        <f t="shared" si="1273"/>
        <v>79.184500000000014</v>
      </c>
      <c r="CB420" s="9">
        <f t="shared" si="1374"/>
        <v>1.3859592972879591</v>
      </c>
      <c r="CC420" s="40">
        <f t="shared" si="1299"/>
        <v>20</v>
      </c>
      <c r="CD420" s="9">
        <f t="shared" si="1274"/>
        <v>4.6418331170061958E-2</v>
      </c>
      <c r="CE420" s="9">
        <f t="shared" si="1275"/>
        <v>0.72836662340123914</v>
      </c>
      <c r="CF420" s="9">
        <f t="shared" si="1276"/>
        <v>0.89777220146327208</v>
      </c>
      <c r="CG420" s="9">
        <f t="shared" si="1277"/>
        <v>0.68</v>
      </c>
      <c r="CH420" s="9">
        <f t="shared" si="1375"/>
        <v>1.656980327255414</v>
      </c>
      <c r="CI420" s="9">
        <f t="shared" si="1376"/>
        <v>3.503396455988192</v>
      </c>
      <c r="CJ420" s="40">
        <v>1</v>
      </c>
      <c r="CK420" s="9">
        <f t="shared" si="1377"/>
        <v>354.71267947296053</v>
      </c>
      <c r="CM420" s="4">
        <f t="shared" si="1278"/>
        <v>0.7619369171435395</v>
      </c>
      <c r="CN420" s="4">
        <f t="shared" si="1279"/>
        <v>0.49783010673441874</v>
      </c>
      <c r="CO420" s="4">
        <f t="shared" si="1242"/>
        <v>0.48899944075446833</v>
      </c>
      <c r="CP420" s="4">
        <f t="shared" si="1280"/>
        <v>0.90408286404901339</v>
      </c>
      <c r="CQ420" s="4">
        <f t="shared" si="1189"/>
        <v>0.66704150177213273</v>
      </c>
      <c r="CR420" s="4">
        <f t="shared" si="1190"/>
        <v>0.69404556824261776</v>
      </c>
      <c r="CS420" s="4">
        <f t="shared" si="1243"/>
        <v>0.7718247303008392</v>
      </c>
      <c r="CT420" s="4">
        <f t="shared" si="1300"/>
        <v>4</v>
      </c>
      <c r="DA420" s="4">
        <f t="shared" ref="DA420:DB421" si="1448">CM420</f>
        <v>0.7619369171435395</v>
      </c>
      <c r="DB420" s="4">
        <f t="shared" si="1448"/>
        <v>0.49783010673441874</v>
      </c>
      <c r="DC420" s="4">
        <f t="shared" ref="DC420:DC421" si="1449">CP420</f>
        <v>0.90408286404901339</v>
      </c>
      <c r="DD420" s="4">
        <f t="shared" ref="DD420:DD421" si="1450">CS420</f>
        <v>0.7718247303008392</v>
      </c>
      <c r="DE420" s="4">
        <f t="shared" ref="DE420:DF421" si="1451">CQ420</f>
        <v>0.66704150177213273</v>
      </c>
      <c r="DF420" s="4">
        <f t="shared" si="1451"/>
        <v>0.69404556824261776</v>
      </c>
      <c r="DI420" s="4">
        <f t="shared" si="1285"/>
        <v>369.31599999999997</v>
      </c>
      <c r="DL420" s="4">
        <f t="shared" si="1166"/>
        <v>2.2407828565630739E-5</v>
      </c>
      <c r="DM420" s="4">
        <f t="shared" si="1313"/>
        <v>8.1586127714079559</v>
      </c>
      <c r="DN420" s="4">
        <f t="shared" si="1167"/>
        <v>0.28301384259145501</v>
      </c>
      <c r="DO420" s="4">
        <f t="shared" si="1168"/>
        <v>4.9242420460742977</v>
      </c>
      <c r="DP420" s="4">
        <f t="shared" si="1169"/>
        <v>6.7395045997114531</v>
      </c>
      <c r="DQ420" s="4">
        <f t="shared" si="1170"/>
        <v>7.4031824594414859</v>
      </c>
      <c r="DR420" s="38">
        <f t="shared" si="1183"/>
        <v>480.76417182504525</v>
      </c>
      <c r="DS420" s="4">
        <f t="shared" si="1382"/>
        <v>1.0001113002703272</v>
      </c>
      <c r="DT420" s="4">
        <f t="shared" si="1171"/>
        <v>2.1908902300206643</v>
      </c>
      <c r="DU420" s="4">
        <f t="shared" si="1390"/>
        <v>211.8358367929149</v>
      </c>
      <c r="DY420" s="4">
        <f t="shared" si="1331"/>
        <v>0.85</v>
      </c>
      <c r="DZ420" s="4">
        <f t="shared" si="1383"/>
        <v>0.91914893617021276</v>
      </c>
      <c r="EA420" s="4">
        <f t="shared" si="1184"/>
        <v>0.9995510789195714</v>
      </c>
      <c r="EB420" s="4">
        <f t="shared" si="1384"/>
        <v>0.91873631083671248</v>
      </c>
      <c r="ED420" s="4">
        <f t="shared" si="1185"/>
        <v>462.0585014099683</v>
      </c>
      <c r="EE420" s="25">
        <f t="shared" si="1186"/>
        <v>209.66226801364556</v>
      </c>
      <c r="EG420" s="4">
        <f t="shared" si="1391"/>
        <v>0.78092586421120558</v>
      </c>
      <c r="EH420" s="4">
        <f t="shared" si="1187"/>
        <v>8.1586127714079559</v>
      </c>
      <c r="EK420" s="4">
        <f t="shared" si="1172"/>
        <v>78.464542697960056</v>
      </c>
      <c r="EL420" s="4">
        <f t="shared" si="1173"/>
        <v>2.1908902300206643</v>
      </c>
      <c r="EM420" s="4">
        <f t="shared" si="1174"/>
        <v>0.12000993063336024</v>
      </c>
      <c r="EP420" s="4">
        <f t="shared" si="1301"/>
        <v>0.12000993063336024</v>
      </c>
      <c r="EQ420" s="4">
        <f t="shared" si="1257"/>
        <v>0.28254154523477981</v>
      </c>
      <c r="ER420" s="4">
        <f t="shared" si="1314"/>
        <v>4.9209533420740552</v>
      </c>
      <c r="ES420" s="4">
        <f t="shared" si="1286"/>
        <v>6.7383085441162534</v>
      </c>
      <c r="ET420" s="4">
        <f t="shared" si="1315"/>
        <v>198.52245730203992</v>
      </c>
      <c r="EU420" s="4">
        <f t="shared" si="1316"/>
        <v>92.329000000000008</v>
      </c>
      <c r="EV420" s="4">
        <f t="shared" si="1385"/>
        <v>2.2407828565630742E-5</v>
      </c>
      <c r="EW420" s="4">
        <f t="shared" si="1287"/>
        <v>7.4033606202043263</v>
      </c>
      <c r="EX420" s="4">
        <f t="shared" si="1422"/>
        <v>480.71066859768115</v>
      </c>
      <c r="FG420" s="23">
        <f t="shared" si="1329"/>
        <v>0.8</v>
      </c>
      <c r="FH420" s="23">
        <f t="shared" si="1329"/>
        <v>0.6</v>
      </c>
      <c r="FI420" s="23">
        <f t="shared" si="1248"/>
        <v>0.8</v>
      </c>
      <c r="FJ420" s="23">
        <f t="shared" si="1330"/>
        <v>1</v>
      </c>
      <c r="FK420" s="23">
        <f t="shared" si="1330"/>
        <v>0.8</v>
      </c>
      <c r="FL420" s="23">
        <f t="shared" si="1330"/>
        <v>0.8</v>
      </c>
      <c r="FM420" s="23">
        <f t="shared" si="1195"/>
        <v>1</v>
      </c>
      <c r="FN420" s="23"/>
      <c r="FX420" s="4">
        <f t="shared" si="1386"/>
        <v>1</v>
      </c>
      <c r="FY420" s="4">
        <f t="shared" si="1429"/>
        <v>0.58038924223974031</v>
      </c>
      <c r="FZ420" s="4">
        <f t="shared" si="1387"/>
        <v>0.16766426906761905</v>
      </c>
      <c r="GA420" s="4">
        <f t="shared" si="1388"/>
        <v>415.49543903240379</v>
      </c>
    </row>
    <row r="421" spans="1:183" ht="12" hidden="1" customHeight="1" x14ac:dyDescent="0.3">
      <c r="A421" s="25">
        <v>403</v>
      </c>
      <c r="B421" s="4" t="s">
        <v>605</v>
      </c>
      <c r="C421" s="4">
        <v>2016</v>
      </c>
      <c r="D421" s="4" t="s">
        <v>309</v>
      </c>
      <c r="E421" s="14" t="s">
        <v>677</v>
      </c>
      <c r="F421" s="7" t="s">
        <v>572</v>
      </c>
      <c r="G421" s="38">
        <f t="shared" si="1435"/>
        <v>931.0344827586207</v>
      </c>
      <c r="H421" s="38">
        <f>14.92*25.4</f>
        <v>378.96799999999996</v>
      </c>
      <c r="I421" s="4">
        <f t="shared" si="1288"/>
        <v>378.96799999999996</v>
      </c>
      <c r="J421" s="38">
        <f>8720/145</f>
        <v>60.137931034482762</v>
      </c>
      <c r="K421" s="38">
        <f t="shared" si="1430"/>
        <v>35.813999999999993</v>
      </c>
      <c r="L421" s="7">
        <f t="shared" si="1289"/>
        <v>10.581560283687944</v>
      </c>
      <c r="M421" s="7">
        <f t="shared" si="1290"/>
        <v>10.581560283687944</v>
      </c>
      <c r="N421" s="38">
        <f>22.2*25.4</f>
        <v>563.88</v>
      </c>
      <c r="O421" s="38">
        <f>2.8*25.4</f>
        <v>71.11999999999999</v>
      </c>
      <c r="P421" s="39">
        <f>3.3*25.4</f>
        <v>83.82</v>
      </c>
      <c r="Q421" s="7">
        <f t="shared" si="1291"/>
        <v>157.09899999999999</v>
      </c>
      <c r="R421" s="38">
        <v>3</v>
      </c>
      <c r="S421" s="4">
        <f t="shared" si="1361"/>
        <v>508</v>
      </c>
      <c r="T421" s="7">
        <f t="shared" si="1292"/>
        <v>2.4858156028368796</v>
      </c>
      <c r="U421" s="7">
        <f t="shared" si="1414"/>
        <v>2.4858156028368796</v>
      </c>
      <c r="V421" s="38">
        <v>3.8</v>
      </c>
      <c r="W421" s="4">
        <f t="shared" si="1293"/>
        <v>3.8</v>
      </c>
      <c r="X421" s="4">
        <f t="shared" si="1294"/>
        <v>4.8</v>
      </c>
      <c r="Y421" s="7">
        <f t="shared" si="1295"/>
        <v>78.464542697960056</v>
      </c>
      <c r="AB421" s="38">
        <f t="shared" si="1332"/>
        <v>370.34482758620692</v>
      </c>
      <c r="AC421" s="4">
        <v>53.7</v>
      </c>
      <c r="AD421" s="4">
        <f t="shared" ref="AD421:AD449" si="1452">CQ421</f>
        <v>0.70702684009784134</v>
      </c>
      <c r="AE421" s="38">
        <f t="shared" si="1446"/>
        <v>12.7</v>
      </c>
      <c r="AF421" s="38">
        <v>12</v>
      </c>
      <c r="AG421" s="39">
        <f>4*25.4</f>
        <v>101.6</v>
      </c>
      <c r="AH421" s="39">
        <v>3</v>
      </c>
      <c r="AI421" s="39">
        <f t="shared" si="1447"/>
        <v>2</v>
      </c>
      <c r="AJ421" s="7"/>
      <c r="AK421" s="4">
        <f t="shared" si="1297"/>
        <v>378.96799999999996</v>
      </c>
      <c r="AL421" s="4">
        <f t="shared" si="1175"/>
        <v>0.49597855227882043</v>
      </c>
      <c r="AM421" s="4">
        <f t="shared" si="1176"/>
        <v>189.30463885208755</v>
      </c>
      <c r="AN421" s="4">
        <f t="shared" si="1177"/>
        <v>0.74698391420911525</v>
      </c>
      <c r="AO421" s="4">
        <v>1.25</v>
      </c>
      <c r="AP421" s="4">
        <f t="shared" si="1396"/>
        <v>2.5</v>
      </c>
      <c r="AQ421" s="38">
        <f t="shared" si="1266"/>
        <v>219.1721784510718</v>
      </c>
      <c r="AR421" s="38">
        <f t="shared" si="1178"/>
        <v>219.1721784510718</v>
      </c>
      <c r="AS421" s="38">
        <f t="shared" si="1179"/>
        <v>4.3584878994477556</v>
      </c>
      <c r="AT421" s="38">
        <f t="shared" si="1407"/>
        <v>219.1721784510718</v>
      </c>
      <c r="AU421" s="38">
        <f t="shared" si="1373"/>
        <v>1</v>
      </c>
      <c r="AV421" s="38">
        <f t="shared" si="1249"/>
        <v>2.6592168990896266</v>
      </c>
      <c r="AW421" s="4">
        <f t="shared" si="1230"/>
        <v>0</v>
      </c>
      <c r="AX421" s="4">
        <f t="shared" si="1298"/>
        <v>431.88721788481928</v>
      </c>
      <c r="AY421" s="4">
        <f t="shared" si="1267"/>
        <v>1</v>
      </c>
      <c r="AZ421" s="38">
        <f t="shared" si="1389"/>
        <v>582.82636074737741</v>
      </c>
      <c r="BA421" s="4">
        <f t="shared" si="1268"/>
        <v>0.46800000000000008</v>
      </c>
      <c r="BB421" s="4">
        <f t="shared" si="1269"/>
        <v>105.60938138937489</v>
      </c>
      <c r="BC421" s="4">
        <f t="shared" si="1270"/>
        <v>688.43574213675231</v>
      </c>
      <c r="BE421" s="4">
        <f t="shared" si="1408"/>
        <v>1.5</v>
      </c>
      <c r="BF421" s="4">
        <f t="shared" si="1415"/>
        <v>718.23249590348019</v>
      </c>
      <c r="BH421" s="4">
        <f t="shared" si="1416"/>
        <v>559.00175497621922</v>
      </c>
      <c r="BI421" s="4">
        <f t="shared" si="1350"/>
        <v>0</v>
      </c>
      <c r="BJ421" s="4">
        <f t="shared" si="1417"/>
        <v>0</v>
      </c>
      <c r="BR421" s="4">
        <f t="shared" si="1271"/>
        <v>71.11999999999999</v>
      </c>
      <c r="BV421" s="9"/>
      <c r="BX421" s="9"/>
      <c r="BY421" s="9"/>
      <c r="BZ421" s="9">
        <f t="shared" si="1272"/>
        <v>71.11999999999999</v>
      </c>
      <c r="CA421" s="9">
        <f t="shared" si="1273"/>
        <v>78.549499999999995</v>
      </c>
      <c r="CB421" s="9">
        <f t="shared" si="1374"/>
        <v>1.4303496396121349</v>
      </c>
      <c r="CC421" s="40">
        <f t="shared" si="1299"/>
        <v>20</v>
      </c>
      <c r="CD421" s="9">
        <f t="shared" si="1274"/>
        <v>0.05</v>
      </c>
      <c r="CE421" s="9">
        <f t="shared" si="1275"/>
        <v>0.8</v>
      </c>
      <c r="CF421" s="9">
        <f t="shared" si="1276"/>
        <v>0.89777220146327208</v>
      </c>
      <c r="CG421" s="9">
        <f t="shared" si="1277"/>
        <v>0.68</v>
      </c>
      <c r="CH421" s="9">
        <f t="shared" si="1375"/>
        <v>1.656980327255414</v>
      </c>
      <c r="CI421" s="9">
        <f t="shared" si="1376"/>
        <v>3.6956454757385102</v>
      </c>
      <c r="CJ421" s="40">
        <v>1</v>
      </c>
      <c r="CK421" s="9">
        <f t="shared" si="1377"/>
        <v>378.16151009897328</v>
      </c>
      <c r="CM421" s="4">
        <f t="shared" si="1278"/>
        <v>0.85750356169367992</v>
      </c>
      <c r="CN421" s="4">
        <f t="shared" si="1279"/>
        <v>0.5379511912567736</v>
      </c>
      <c r="CO421" s="4">
        <f t="shared" si="1242"/>
        <v>0.51563362796658507</v>
      </c>
      <c r="CP421" s="4">
        <f t="shared" si="1280"/>
        <v>0.97932977761083995</v>
      </c>
      <c r="CQ421" s="4">
        <f t="shared" si="1189"/>
        <v>0.70702684009784134</v>
      </c>
      <c r="CR421" s="4">
        <f t="shared" si="1190"/>
        <v>0.73678053201601534</v>
      </c>
      <c r="CS421" s="4">
        <f t="shared" si="1243"/>
        <v>0.8346761269586771</v>
      </c>
      <c r="CT421" s="4">
        <f t="shared" si="1300"/>
        <v>12</v>
      </c>
      <c r="DA421" s="4">
        <f t="shared" si="1448"/>
        <v>0.85750356169367992</v>
      </c>
      <c r="DB421" s="4">
        <f t="shared" si="1448"/>
        <v>0.5379511912567736</v>
      </c>
      <c r="DC421" s="4">
        <f t="shared" si="1449"/>
        <v>0.97932977761083995</v>
      </c>
      <c r="DD421" s="4">
        <f t="shared" si="1450"/>
        <v>0.8346761269586771</v>
      </c>
      <c r="DE421" s="4">
        <f t="shared" si="1451"/>
        <v>0.70702684009784134</v>
      </c>
      <c r="DF421" s="4">
        <f t="shared" si="1451"/>
        <v>0.73678053201601534</v>
      </c>
      <c r="DI421" s="4">
        <f t="shared" si="1285"/>
        <v>378.96799999999996</v>
      </c>
      <c r="DL421" s="4">
        <f t="shared" ref="DL421:DL449" si="1453">H421/4/(1-0.3*(J421/30)^0.5)/200000/K421</f>
        <v>2.2993452695956715E-5</v>
      </c>
      <c r="DM421" s="4">
        <f t="shared" si="1313"/>
        <v>8.9983064543138589</v>
      </c>
      <c r="DN421" s="4">
        <f t="shared" ref="DN421:DN449" si="1454">DU421*Y421/257/J421/V421</f>
        <v>0.29281523538066689</v>
      </c>
      <c r="DO421" s="4">
        <f t="shared" ref="DO421:DO449" si="1455">DM421*DN421^0.4</f>
        <v>5.505518770359167</v>
      </c>
      <c r="DP421" s="4">
        <f t="shared" ref="DP421:DP449" si="1456">MIN(DM421, DM421/1.4*(1-DN421^1.4)/(1-DN421))</f>
        <v>7.4603727031590674</v>
      </c>
      <c r="DQ421" s="4">
        <f t="shared" ref="DQ421:DQ449" si="1457">MAX(DM421/2, (4-DL421*(8*Y421*(DO421-DP421)+6*H421*DP421))/(4+DL421*H421*DM421)*DM421)</f>
        <v>8.026987180468911</v>
      </c>
      <c r="DR421" s="38">
        <f t="shared" si="1183"/>
        <v>523.80589615941176</v>
      </c>
      <c r="DS421" s="4">
        <f t="shared" si="1382"/>
        <v>1.0001161634265323</v>
      </c>
      <c r="DT421" s="4">
        <f t="shared" ref="DT421:DT449" si="1458">Y421/K421</f>
        <v>2.1908902300206643</v>
      </c>
      <c r="DU421" s="4">
        <f t="shared" si="1390"/>
        <v>219.1721784510718</v>
      </c>
      <c r="DY421" s="4">
        <f t="shared" si="1331"/>
        <v>0.85</v>
      </c>
      <c r="DZ421" s="4">
        <f t="shared" si="1383"/>
        <v>0.90141843971631208</v>
      </c>
      <c r="EA421" s="4">
        <f t="shared" si="1184"/>
        <v>0.92410215783914285</v>
      </c>
      <c r="EB421" s="4">
        <f t="shared" si="1384"/>
        <v>0.83300272525783725</v>
      </c>
      <c r="ED421" s="4">
        <f t="shared" si="1185"/>
        <v>502.65284096588584</v>
      </c>
      <c r="EE421" s="25">
        <f t="shared" si="1186"/>
        <v>217.00447437362462</v>
      </c>
      <c r="EG421" s="4">
        <f t="shared" si="1391"/>
        <v>0.70805231646916167</v>
      </c>
      <c r="EH421" s="4">
        <f t="shared" si="1187"/>
        <v>8.9983064543138589</v>
      </c>
      <c r="EK421" s="4">
        <f t="shared" ref="EK421:EK449" si="1459">EL421*K421</f>
        <v>78.464542697960056</v>
      </c>
      <c r="EL421" s="4">
        <f t="shared" ref="EL421:EL449" si="1460">X421^0.5</f>
        <v>2.1908902300206643</v>
      </c>
      <c r="EM421" s="4">
        <f t="shared" ref="EM421:EM449" si="1461">MIN(DU421)/(4700*J421^0.5)/W421*EK421</f>
        <v>0.12416613888795661</v>
      </c>
      <c r="EP421" s="4">
        <f t="shared" si="1301"/>
        <v>0.12416613888795661</v>
      </c>
      <c r="EQ421" s="4">
        <f t="shared" si="1257"/>
        <v>0.29232658132615785</v>
      </c>
      <c r="ER421" s="4">
        <f t="shared" si="1314"/>
        <v>5.5018418549203876</v>
      </c>
      <c r="ES421" s="4">
        <f t="shared" si="1286"/>
        <v>7.4590215919052358</v>
      </c>
      <c r="ET421" s="4">
        <f t="shared" si="1315"/>
        <v>205.76145730203996</v>
      </c>
      <c r="EU421" s="4">
        <f t="shared" si="1316"/>
        <v>94.741999999999962</v>
      </c>
      <c r="EV421" s="4">
        <f t="shared" si="1385"/>
        <v>2.2993452695956704E-5</v>
      </c>
      <c r="EW421" s="4">
        <f t="shared" si="1287"/>
        <v>8.0272170994784275</v>
      </c>
      <c r="EX421" s="4">
        <f t="shared" si="1422"/>
        <v>523.74505613906126</v>
      </c>
      <c r="FG421" s="23">
        <f t="shared" si="1329"/>
        <v>1</v>
      </c>
      <c r="FH421" s="23">
        <f t="shared" si="1329"/>
        <v>0.6</v>
      </c>
      <c r="FI421" s="23">
        <f t="shared" si="1248"/>
        <v>1</v>
      </c>
      <c r="FJ421" s="23">
        <f t="shared" si="1330"/>
        <v>1</v>
      </c>
      <c r="FK421" s="23">
        <f t="shared" si="1330"/>
        <v>0.8</v>
      </c>
      <c r="FL421" s="23">
        <f t="shared" si="1330"/>
        <v>0.8</v>
      </c>
      <c r="FM421" s="23">
        <f t="shared" si="1195"/>
        <v>1</v>
      </c>
      <c r="FN421" s="23"/>
      <c r="FX421" s="4">
        <f t="shared" si="1386"/>
        <v>1</v>
      </c>
      <c r="FY421" s="4">
        <f t="shared" si="1429"/>
        <v>0.55770140699820026</v>
      </c>
      <c r="FZ421" s="4">
        <f t="shared" si="1387"/>
        <v>0.25149640360142861</v>
      </c>
      <c r="GA421" s="4">
        <f t="shared" si="1388"/>
        <v>443.6988379380615</v>
      </c>
    </row>
    <row r="422" spans="1:183" ht="12" hidden="1" customHeight="1" x14ac:dyDescent="0.3">
      <c r="A422" s="25">
        <v>404</v>
      </c>
      <c r="B422" s="4" t="s">
        <v>605</v>
      </c>
      <c r="C422" s="4">
        <v>2016</v>
      </c>
      <c r="D422" s="4" t="s">
        <v>309</v>
      </c>
      <c r="E422" s="14" t="s">
        <v>677</v>
      </c>
      <c r="F422" s="48" t="s">
        <v>573</v>
      </c>
      <c r="G422" s="38">
        <f>115.9/0.145</f>
        <v>799.31034482758628</v>
      </c>
      <c r="H422" s="38">
        <f>9.69*25.4</f>
        <v>246.12599999999998</v>
      </c>
      <c r="I422" s="4">
        <f t="shared" si="1288"/>
        <v>246.12599999999998</v>
      </c>
      <c r="J422" s="38">
        <f>8800/145</f>
        <v>60.689655172413794</v>
      </c>
      <c r="K422" s="38">
        <f t="shared" si="1401"/>
        <v>25.4</v>
      </c>
      <c r="L422" s="7">
        <f t="shared" si="1289"/>
        <v>9.69</v>
      </c>
      <c r="M422" s="7">
        <f t="shared" si="1290"/>
        <v>9.69</v>
      </c>
      <c r="N422" s="38">
        <f>16.9*25.4</f>
        <v>429.25999999999993</v>
      </c>
      <c r="O422" s="38">
        <f>2.5*25.4</f>
        <v>63.5</v>
      </c>
      <c r="P422" s="39">
        <f>2.95*25.4</f>
        <v>74.930000000000007</v>
      </c>
      <c r="Q422" s="7">
        <f t="shared" si="1291"/>
        <v>251.45999999999992</v>
      </c>
      <c r="R422" s="38">
        <v>2</v>
      </c>
      <c r="S422" s="4">
        <f t="shared" si="1361"/>
        <v>508</v>
      </c>
      <c r="T422" s="7">
        <f t="shared" si="1292"/>
        <v>3</v>
      </c>
      <c r="U422" s="7">
        <f t="shared" si="1414"/>
        <v>3</v>
      </c>
      <c r="V422" s="38">
        <v>12.9</v>
      </c>
      <c r="W422" s="4">
        <f t="shared" si="1293"/>
        <v>12.9</v>
      </c>
      <c r="X422" s="4">
        <f t="shared" si="1294"/>
        <v>13.9</v>
      </c>
      <c r="Y422" s="7">
        <f t="shared" si="1295"/>
        <v>94.698067562120812</v>
      </c>
      <c r="AB422" s="38">
        <f t="shared" si="1332"/>
        <v>743.44827586206895</v>
      </c>
      <c r="AC422" s="4">
        <v>107.8</v>
      </c>
      <c r="AD422" s="4">
        <f t="shared" si="1452"/>
        <v>1.0814969925658282</v>
      </c>
      <c r="AE422" s="38"/>
      <c r="AF422" s="38"/>
      <c r="AG422" s="39">
        <v>1</v>
      </c>
      <c r="AH422" s="39"/>
      <c r="AI422" s="39"/>
      <c r="AJ422" s="7"/>
      <c r="AK422" s="4">
        <f t="shared" si="1297"/>
        <v>246.12599999999998</v>
      </c>
      <c r="AL422" s="4">
        <f t="shared" ref="AL422:AL449" si="1462">IF(H422*3&gt;Q422+K422, N422, (O422+K422/2)*2+1.5*H422*(2*R422-2))*(3*H422)/(9*H422^2)</f>
        <v>0.58135534915720666</v>
      </c>
      <c r="AM422" s="4">
        <f t="shared" ref="AM422:AM449" si="1463">MIN(10*J422^0.5*H422^1.5,100*3.9*J422^0.5*H422^(5/3))/(PI()/4*K422^2)/R422</f>
        <v>296.82895641194636</v>
      </c>
      <c r="AN422" s="4">
        <f t="shared" ref="AN422:AN449" si="1464">MIN(0.7+0.3*(MIN(O422,S422)+0.5*K422)/1.5/H422,1)</f>
        <v>0.76191950464396285</v>
      </c>
      <c r="AO422" s="4">
        <v>1.25</v>
      </c>
      <c r="AP422" s="4">
        <f t="shared" si="1396"/>
        <v>2.5</v>
      </c>
      <c r="AQ422" s="38">
        <f t="shared" si="1266"/>
        <v>410.87247777176111</v>
      </c>
      <c r="AR422" s="38">
        <f t="shared" ref="AR422:AR449" si="1465">AQ422</f>
        <v>410.87247777176111</v>
      </c>
      <c r="AS422" s="38">
        <f t="shared" ref="AS422:AS449" si="1466">IF(J422&lt;50, 0.3*J422^(2/3), 2.12*LN(1+0.1*(J422+8)))</f>
        <v>4.3734044077759826</v>
      </c>
      <c r="AT422" s="38">
        <f t="shared" si="1407"/>
        <v>410.87247777176123</v>
      </c>
      <c r="AU422" s="38">
        <f t="shared" si="1373"/>
        <v>0.99999999999999978</v>
      </c>
      <c r="AV422" s="38">
        <f t="shared" si="1249"/>
        <v>3.183125226035874</v>
      </c>
      <c r="AW422" s="4">
        <f t="shared" si="1230"/>
        <v>0</v>
      </c>
      <c r="AX422" s="4">
        <f t="shared" si="1298"/>
        <v>397.30818403784269</v>
      </c>
      <c r="AY422" s="4">
        <f t="shared" si="1267"/>
        <v>1</v>
      </c>
      <c r="AZ422" s="38">
        <f t="shared" si="1389"/>
        <v>1307.8585486791571</v>
      </c>
      <c r="BA422" s="4">
        <f t="shared" si="1268"/>
        <v>0.3</v>
      </c>
      <c r="BB422" s="4">
        <f t="shared" si="1269"/>
        <v>62.278057847931834</v>
      </c>
      <c r="BC422" s="4">
        <f t="shared" si="1270"/>
        <v>1370.136606527089</v>
      </c>
      <c r="BE422" s="4">
        <f t="shared" si="1408"/>
        <v>1.375</v>
      </c>
      <c r="BF422" s="4">
        <f t="shared" si="1415"/>
        <v>632.74249691732609</v>
      </c>
      <c r="BH422" s="4">
        <f t="shared" si="1416"/>
        <v>1254.3962888617332</v>
      </c>
      <c r="BI422" s="4">
        <f t="shared" si="1350"/>
        <v>0</v>
      </c>
      <c r="BJ422" s="4">
        <f t="shared" si="1417"/>
        <v>0</v>
      </c>
      <c r="BR422" s="4">
        <f t="shared" si="1271"/>
        <v>63.5</v>
      </c>
      <c r="BV422" s="9"/>
      <c r="BX422" s="9"/>
      <c r="BY422" s="9"/>
      <c r="BZ422" s="9">
        <f t="shared" si="1272"/>
        <v>63.5</v>
      </c>
      <c r="CA422" s="9">
        <f t="shared" si="1273"/>
        <v>125.72999999999996</v>
      </c>
      <c r="CB422" s="9">
        <f t="shared" si="1374"/>
        <v>1.7517405482385959</v>
      </c>
      <c r="CC422" s="40">
        <f t="shared" si="1299"/>
        <v>0</v>
      </c>
      <c r="CD422" s="9">
        <f t="shared" si="1274"/>
        <v>0</v>
      </c>
      <c r="CE422" s="9">
        <f t="shared" si="1275"/>
        <v>0</v>
      </c>
      <c r="CF422" s="9">
        <f t="shared" si="1276"/>
        <v>0.99524931562137331</v>
      </c>
      <c r="CG422" s="9">
        <f t="shared" si="1277"/>
        <v>0.68048275862068963</v>
      </c>
      <c r="CH422" s="9">
        <f t="shared" si="1375"/>
        <v>1.8466066401443861</v>
      </c>
      <c r="CI422" s="9">
        <f t="shared" si="1376"/>
        <v>3.2347757281875587</v>
      </c>
      <c r="CJ422" s="40">
        <v>1</v>
      </c>
      <c r="CK422" s="9">
        <f t="shared" si="1377"/>
        <v>319.46645091580331</v>
      </c>
      <c r="CM422" s="4">
        <f t="shared" si="1278"/>
        <v>1.8712130928348991</v>
      </c>
      <c r="CN422" s="4">
        <f t="shared" si="1279"/>
        <v>0.54260887003559544</v>
      </c>
      <c r="CO422" s="4">
        <f t="shared" si="1242"/>
        <v>1.1749618201465732</v>
      </c>
      <c r="CP422" s="4">
        <f t="shared" si="1280"/>
        <v>2.3271560244615728</v>
      </c>
      <c r="CQ422" s="4">
        <f t="shared" si="1189"/>
        <v>1.0814969925658282</v>
      </c>
      <c r="CR422" s="4">
        <f t="shared" si="1190"/>
        <v>1.0734511207027237</v>
      </c>
      <c r="CS422" s="4">
        <f t="shared" si="1243"/>
        <v>1.378337467570502</v>
      </c>
      <c r="CT422" s="4">
        <f t="shared" si="1300"/>
        <v>0</v>
      </c>
      <c r="CU422" s="4">
        <f t="shared" ref="CU422:CV423" si="1467">CM422</f>
        <v>1.8712130928348991</v>
      </c>
      <c r="CV422" s="4">
        <f t="shared" si="1467"/>
        <v>0.54260887003559544</v>
      </c>
      <c r="CW422" s="4">
        <f t="shared" ref="CW422:CW423" si="1468">CP422</f>
        <v>2.3271560244615728</v>
      </c>
      <c r="CX422" s="4">
        <f t="shared" ref="CX422:CX423" si="1469">CS422</f>
        <v>1.378337467570502</v>
      </c>
      <c r="CY422" s="4">
        <f t="shared" ref="CY422:CZ423" si="1470">CQ422</f>
        <v>1.0814969925658282</v>
      </c>
      <c r="CZ422" s="4">
        <f t="shared" si="1470"/>
        <v>1.0734511207027237</v>
      </c>
      <c r="DI422" s="4">
        <f t="shared" si="1285"/>
        <v>246.12599999999998</v>
      </c>
      <c r="DL422" s="4">
        <f t="shared" si="1453"/>
        <v>2.1127512369735255E-5</v>
      </c>
      <c r="DM422" s="4">
        <f t="shared" si="1313"/>
        <v>9.8430311725779873</v>
      </c>
      <c r="DN422" s="4">
        <f t="shared" si="1454"/>
        <v>0.19337960299149198</v>
      </c>
      <c r="DO422" s="4">
        <f t="shared" si="1455"/>
        <v>5.1014440303118125</v>
      </c>
      <c r="DP422" s="4">
        <f t="shared" si="1456"/>
        <v>7.8427012828187666</v>
      </c>
      <c r="DQ422" s="4">
        <f t="shared" si="1457"/>
        <v>9.2307511883463249</v>
      </c>
      <c r="DR422" s="38">
        <f t="shared" ref="DR422:DR449" si="1471">MIN(1/K422*(4*Y422*(DO422-DP422)+(3*DP422+DQ422)*H422)+DU422 -FB422,MAX(G422,AB422))</f>
        <v>687.42519024325156</v>
      </c>
      <c r="DS422" s="4">
        <f t="shared" si="1382"/>
        <v>1.0000940744101987</v>
      </c>
      <c r="DT422" s="4">
        <f t="shared" si="1458"/>
        <v>3.7282703764614493</v>
      </c>
      <c r="DU422" s="4">
        <f t="shared" si="1390"/>
        <v>410.87247777176123</v>
      </c>
      <c r="DY422" s="4">
        <f t="shared" si="1331"/>
        <v>0.85</v>
      </c>
      <c r="DZ422" s="4">
        <f t="shared" si="1383"/>
        <v>0.85</v>
      </c>
      <c r="EA422" s="4">
        <f t="shared" ref="EA422:EA449" si="1472">MIN(1,MAX(0.7,1-0.3*(PI()*AE422^2/4*AI422*2-0.25*PI()/4*K422^2)/(PI()/4*K422^2)))</f>
        <v>1</v>
      </c>
      <c r="EB422" s="4">
        <f t="shared" si="1384"/>
        <v>0.85</v>
      </c>
      <c r="ED422" s="4">
        <f t="shared" ref="ED422:ED449" si="1473">MIN(DM422/K422*3*H422+EE422-FB422,MAX(G422,AB422))</f>
        <v>692.57766983873307</v>
      </c>
      <c r="EE422" s="25">
        <f t="shared" ref="EE422:EE449" si="1474">13.3*N422*H422^0.5*J422^0.5/R422/K422^2*(0.7+O422/5/H422)</f>
        <v>406.44075365189104</v>
      </c>
      <c r="EG422" s="4">
        <f t="shared" si="1391"/>
        <v>0.72249999999999992</v>
      </c>
      <c r="EH422" s="4">
        <f t="shared" ref="EH422:EH449" si="1475">IF(K422&lt;22.2,1.1*5*(J422/30)^0.5,IF(K422&gt;=31.8,0.9*5*(J422/30)^0.5,1*5*(J422/30)^0.5))/DY422/EB422</f>
        <v>9.8430311725779873</v>
      </c>
      <c r="EK422" s="4">
        <f t="shared" si="1459"/>
        <v>94.698067562120812</v>
      </c>
      <c r="EL422" s="4">
        <f t="shared" si="1460"/>
        <v>3.7282703764614498</v>
      </c>
      <c r="EM422" s="4">
        <f t="shared" si="1461"/>
        <v>8.237648650767096E-2</v>
      </c>
      <c r="EP422" s="4">
        <f t="shared" si="1301"/>
        <v>8.237648650767096E-2</v>
      </c>
      <c r="EQ422" s="4">
        <f t="shared" si="1257"/>
        <v>0.19305688847515784</v>
      </c>
      <c r="ER422" s="4">
        <f t="shared" si="1314"/>
        <v>5.0980369802049079</v>
      </c>
      <c r="ES422" s="4">
        <f t="shared" si="1286"/>
        <v>7.8416043118474654</v>
      </c>
      <c r="ET422" s="4">
        <f t="shared" si="1315"/>
        <v>89.89643243787917</v>
      </c>
      <c r="EU422" s="4">
        <f t="shared" si="1316"/>
        <v>61.531500000000008</v>
      </c>
      <c r="EV422" s="4">
        <f t="shared" si="1385"/>
        <v>2.1127512369735259E-5</v>
      </c>
      <c r="EW422" s="4">
        <f t="shared" si="1287"/>
        <v>9.2309241819870902</v>
      </c>
      <c r="EX422" s="4">
        <f t="shared" si="1422"/>
        <v>687.36052720706061</v>
      </c>
      <c r="FA422" s="4">
        <f>5.25*25.4</f>
        <v>133.35</v>
      </c>
      <c r="FG422" s="23">
        <f t="shared" si="1329"/>
        <v>2</v>
      </c>
      <c r="FH422" s="23">
        <f t="shared" si="1329"/>
        <v>0.6</v>
      </c>
      <c r="FI422" s="23">
        <f t="shared" si="1248"/>
        <v>1.4</v>
      </c>
      <c r="FJ422" s="23">
        <f t="shared" si="1330"/>
        <v>2.2000000000000002</v>
      </c>
      <c r="FK422" s="23">
        <f t="shared" si="1330"/>
        <v>1.2</v>
      </c>
      <c r="FL422" s="23">
        <f t="shared" si="1330"/>
        <v>1.2</v>
      </c>
      <c r="FM422" s="23">
        <f t="shared" si="1195"/>
        <v>0</v>
      </c>
      <c r="FN422" s="23"/>
      <c r="FX422" s="4">
        <f t="shared" si="1386"/>
        <v>1</v>
      </c>
      <c r="FY422" s="4">
        <f t="shared" si="1429"/>
        <v>0.5</v>
      </c>
      <c r="FZ422" s="4">
        <f t="shared" si="1387"/>
        <v>0</v>
      </c>
      <c r="GA422" s="4">
        <f t="shared" si="1388"/>
        <v>539.3804444513089</v>
      </c>
    </row>
    <row r="423" spans="1:183" ht="12" hidden="1" customHeight="1" x14ac:dyDescent="0.3">
      <c r="A423" s="25">
        <v>405</v>
      </c>
      <c r="B423" s="4" t="s">
        <v>605</v>
      </c>
      <c r="C423" s="4">
        <v>2016</v>
      </c>
      <c r="D423" s="4" t="s">
        <v>309</v>
      </c>
      <c r="E423" s="14" t="s">
        <v>677</v>
      </c>
      <c r="F423" s="7" t="s">
        <v>574</v>
      </c>
      <c r="G423" s="38">
        <f>115.9/0.145</f>
        <v>799.31034482758628</v>
      </c>
      <c r="H423" s="38">
        <f>8.25*25.4</f>
        <v>209.54999999999998</v>
      </c>
      <c r="I423" s="4">
        <f t="shared" si="1288"/>
        <v>209.54999999999998</v>
      </c>
      <c r="J423" s="38">
        <f>8800/145</f>
        <v>60.689655172413794</v>
      </c>
      <c r="K423" s="38">
        <f t="shared" si="1401"/>
        <v>25.4</v>
      </c>
      <c r="L423" s="7">
        <f t="shared" si="1289"/>
        <v>8.25</v>
      </c>
      <c r="M423" s="7">
        <f t="shared" si="1290"/>
        <v>8.25</v>
      </c>
      <c r="N423" s="38">
        <f>17.3*25.4</f>
        <v>439.42</v>
      </c>
      <c r="O423" s="38">
        <f>2.6*25.4</f>
        <v>66.039999999999992</v>
      </c>
      <c r="P423" s="39">
        <f>3.3*25.4</f>
        <v>83.82</v>
      </c>
      <c r="Q423" s="7">
        <f t="shared" si="1291"/>
        <v>256.54000000000002</v>
      </c>
      <c r="R423" s="38">
        <v>2</v>
      </c>
      <c r="S423" s="4">
        <f t="shared" si="1361"/>
        <v>508</v>
      </c>
      <c r="T423" s="7">
        <f t="shared" si="1292"/>
        <v>3.0999999999999996</v>
      </c>
      <c r="U423" s="7">
        <f t="shared" si="1414"/>
        <v>3.0999999999999996</v>
      </c>
      <c r="V423" s="38">
        <v>14.9</v>
      </c>
      <c r="W423" s="4">
        <f t="shared" si="1293"/>
        <v>14.9</v>
      </c>
      <c r="X423" s="4">
        <f t="shared" si="1294"/>
        <v>15.9</v>
      </c>
      <c r="Y423" s="7">
        <f t="shared" si="1295"/>
        <v>101.28200234987457</v>
      </c>
      <c r="AB423" s="38">
        <f t="shared" si="1332"/>
        <v>618.62068965517244</v>
      </c>
      <c r="AC423" s="4">
        <v>89.7</v>
      </c>
      <c r="AD423" s="4">
        <f t="shared" si="1452"/>
        <v>0.99576500752813224</v>
      </c>
      <c r="AE423" s="38"/>
      <c r="AF423" s="38"/>
      <c r="AG423" s="39">
        <v>1</v>
      </c>
      <c r="AH423" s="39"/>
      <c r="AI423" s="39"/>
      <c r="AJ423" s="7"/>
      <c r="AK423" s="4">
        <f t="shared" si="1297"/>
        <v>209.54999999999998</v>
      </c>
      <c r="AL423" s="4">
        <f t="shared" si="1462"/>
        <v>0.69898989898989905</v>
      </c>
      <c r="AM423" s="4">
        <f t="shared" si="1463"/>
        <v>233.18548975839079</v>
      </c>
      <c r="AN423" s="4">
        <f t="shared" si="1464"/>
        <v>0.77515151515151515</v>
      </c>
      <c r="AO423" s="4">
        <v>1.25</v>
      </c>
      <c r="AP423" s="4">
        <f t="shared" si="1396"/>
        <v>2.5</v>
      </c>
      <c r="AQ423" s="38">
        <f t="shared" si="1266"/>
        <v>394.82900032422606</v>
      </c>
      <c r="AR423" s="38">
        <f t="shared" si="1465"/>
        <v>394.82900032422606</v>
      </c>
      <c r="AS423" s="38">
        <f t="shared" si="1466"/>
        <v>4.3734044077759826</v>
      </c>
      <c r="AT423" s="38">
        <f t="shared" si="1407"/>
        <v>394.82900032422566</v>
      </c>
      <c r="AU423" s="38">
        <f t="shared" si="1373"/>
        <v>1.0000000000000011</v>
      </c>
      <c r="AV423" s="38">
        <f t="shared" si="1249"/>
        <v>3.6786667707318781</v>
      </c>
      <c r="AW423" s="4">
        <f t="shared" si="1230"/>
        <v>0</v>
      </c>
      <c r="AX423" s="4">
        <f t="shared" si="1298"/>
        <v>338.26548176596515</v>
      </c>
      <c r="AY423" s="4">
        <f t="shared" si="1267"/>
        <v>1</v>
      </c>
      <c r="AZ423" s="38">
        <f t="shared" si="1389"/>
        <v>1452.4443236140148</v>
      </c>
      <c r="BA423" s="4">
        <f t="shared" si="1268"/>
        <v>0.3</v>
      </c>
      <c r="BB423" s="4">
        <f t="shared" si="1269"/>
        <v>53.023114266815028</v>
      </c>
      <c r="BC423" s="4">
        <f t="shared" si="1270"/>
        <v>1505.4674378808299</v>
      </c>
      <c r="BE423" s="4">
        <f t="shared" si="1408"/>
        <v>1.4</v>
      </c>
      <c r="BF423" s="4">
        <f t="shared" si="1415"/>
        <v>597.13082953922822</v>
      </c>
      <c r="BH423" s="4">
        <f t="shared" si="1416"/>
        <v>1393.0717287123591</v>
      </c>
      <c r="BI423" s="4">
        <f t="shared" si="1350"/>
        <v>0</v>
      </c>
      <c r="BJ423" s="4">
        <f t="shared" si="1417"/>
        <v>0</v>
      </c>
      <c r="BR423" s="4">
        <f t="shared" si="1271"/>
        <v>66.039999999999992</v>
      </c>
      <c r="BV423" s="9"/>
      <c r="BX423" s="9"/>
      <c r="BY423" s="9"/>
      <c r="BZ423" s="9">
        <f t="shared" si="1272"/>
        <v>66.039999999999992</v>
      </c>
      <c r="CA423" s="9">
        <f t="shared" si="1273"/>
        <v>128.27000000000001</v>
      </c>
      <c r="CB423" s="9">
        <f t="shared" si="1374"/>
        <v>1.7812889692205971</v>
      </c>
      <c r="CC423" s="40">
        <f t="shared" si="1299"/>
        <v>0</v>
      </c>
      <c r="CD423" s="9">
        <f t="shared" si="1274"/>
        <v>0</v>
      </c>
      <c r="CE423" s="9">
        <f t="shared" si="1275"/>
        <v>0</v>
      </c>
      <c r="CF423" s="9">
        <f t="shared" si="1276"/>
        <v>0.99524931562137331</v>
      </c>
      <c r="CG423" s="9">
        <f t="shared" si="1277"/>
        <v>0.68048275862068963</v>
      </c>
      <c r="CH423" s="9">
        <f t="shared" si="1375"/>
        <v>1.8466066401443861</v>
      </c>
      <c r="CI423" s="9">
        <f t="shared" si="1376"/>
        <v>3.2893400385787035</v>
      </c>
      <c r="CJ423" s="40">
        <v>1</v>
      </c>
      <c r="CK423" s="9">
        <f t="shared" si="1377"/>
        <v>305.90862358781942</v>
      </c>
      <c r="CM423" s="4">
        <f t="shared" si="1278"/>
        <v>1.828802295834536</v>
      </c>
      <c r="CN423" s="4">
        <f t="shared" si="1279"/>
        <v>0.41091602122326432</v>
      </c>
      <c r="CO423" s="4">
        <f t="shared" si="1242"/>
        <v>1.0359885288999844</v>
      </c>
      <c r="CP423" s="4">
        <f t="shared" si="1280"/>
        <v>2.0222401134029506</v>
      </c>
      <c r="CQ423" s="4">
        <f t="shared" ref="CQ423:CQ449" si="1476">AB423/DR423</f>
        <v>0.99576500752813224</v>
      </c>
      <c r="CR423" s="4">
        <f t="shared" ref="CR423:CR449" si="1477">AB423/ED423</f>
        <v>0.97228115444619168</v>
      </c>
      <c r="CS423" s="4">
        <f t="shared" si="1243"/>
        <v>1.3470976313599901</v>
      </c>
      <c r="CT423" s="4">
        <f t="shared" si="1300"/>
        <v>0</v>
      </c>
      <c r="CU423" s="4">
        <f t="shared" si="1467"/>
        <v>1.828802295834536</v>
      </c>
      <c r="CV423" s="4">
        <f t="shared" si="1467"/>
        <v>0.41091602122326432</v>
      </c>
      <c r="CW423" s="4">
        <f t="shared" si="1468"/>
        <v>2.0222401134029506</v>
      </c>
      <c r="CX423" s="4">
        <f t="shared" si="1469"/>
        <v>1.3470976313599901</v>
      </c>
      <c r="CY423" s="4">
        <f t="shared" si="1470"/>
        <v>0.99576500752813224</v>
      </c>
      <c r="CZ423" s="4">
        <f t="shared" si="1470"/>
        <v>0.97228115444619168</v>
      </c>
      <c r="DI423" s="4">
        <f t="shared" si="1285"/>
        <v>209.54999999999998</v>
      </c>
      <c r="DL423" s="4">
        <f t="shared" si="1453"/>
        <v>1.7987820129031567E-5</v>
      </c>
      <c r="DM423" s="4">
        <f t="shared" si="1313"/>
        <v>9.9602101151086764</v>
      </c>
      <c r="DN423" s="4">
        <f t="shared" si="1454"/>
        <v>0.17207083308907464</v>
      </c>
      <c r="DO423" s="4">
        <f t="shared" si="1455"/>
        <v>4.926646535132214</v>
      </c>
      <c r="DP423" s="4">
        <f t="shared" si="1456"/>
        <v>7.8616783602674873</v>
      </c>
      <c r="DQ423" s="4">
        <f t="shared" si="1457"/>
        <v>9.5345059053681016</v>
      </c>
      <c r="DR423" s="38">
        <f t="shared" si="1471"/>
        <v>621.25168586795837</v>
      </c>
      <c r="DS423" s="4">
        <f t="shared" si="1382"/>
        <v>1.0000970678143974</v>
      </c>
      <c r="DT423" s="4">
        <f t="shared" si="1458"/>
        <v>3.9874804074753771</v>
      </c>
      <c r="DU423" s="4">
        <f t="shared" si="1390"/>
        <v>394.82900032422566</v>
      </c>
      <c r="DY423" s="4">
        <f t="shared" si="1331"/>
        <v>0.85</v>
      </c>
      <c r="DZ423" s="4">
        <f t="shared" si="1383"/>
        <v>0.84000000000000008</v>
      </c>
      <c r="EA423" s="4">
        <f t="shared" si="1472"/>
        <v>1</v>
      </c>
      <c r="EB423" s="4">
        <f t="shared" si="1384"/>
        <v>0.84000000000000008</v>
      </c>
      <c r="ED423" s="4">
        <f t="shared" si="1473"/>
        <v>636.25699914705933</v>
      </c>
      <c r="EE423" s="25">
        <f t="shared" si="1474"/>
        <v>389.74179879811953</v>
      </c>
      <c r="EG423" s="4">
        <f t="shared" si="1391"/>
        <v>0.71400000000000008</v>
      </c>
      <c r="EH423" s="4">
        <f t="shared" si="1475"/>
        <v>9.9602101151086764</v>
      </c>
      <c r="EK423" s="4">
        <f t="shared" si="1459"/>
        <v>101.28200234987457</v>
      </c>
      <c r="EL423" s="4">
        <f t="shared" si="1460"/>
        <v>3.9874804074753771</v>
      </c>
      <c r="EM423" s="4">
        <f t="shared" si="1461"/>
        <v>7.3299305826734412E-2</v>
      </c>
      <c r="EP423" s="4">
        <f t="shared" si="1301"/>
        <v>7.3299305826734412E-2</v>
      </c>
      <c r="EQ423" s="4">
        <f t="shared" si="1257"/>
        <v>0.17178367893829274</v>
      </c>
      <c r="ER423" s="4">
        <f t="shared" si="1314"/>
        <v>4.9233562252700516</v>
      </c>
      <c r="ES423" s="4">
        <f t="shared" si="1286"/>
        <v>7.8606601734919019</v>
      </c>
      <c r="ET423" s="4">
        <f t="shared" si="1315"/>
        <v>55.88049765012542</v>
      </c>
      <c r="EU423" s="4">
        <f t="shared" si="1316"/>
        <v>52.387499999999989</v>
      </c>
      <c r="EV423" s="4">
        <f t="shared" si="1385"/>
        <v>1.7987820129031563E-5</v>
      </c>
      <c r="EW423" s="4">
        <f t="shared" si="1287"/>
        <v>9.5346444044574525</v>
      </c>
      <c r="EX423" s="4">
        <f t="shared" si="1422"/>
        <v>621.1913881775854</v>
      </c>
      <c r="FG423" s="23">
        <f t="shared" si="1329"/>
        <v>2</v>
      </c>
      <c r="FH423" s="23">
        <f t="shared" si="1329"/>
        <v>0.6</v>
      </c>
      <c r="FI423" s="23">
        <f t="shared" si="1248"/>
        <v>1.4</v>
      </c>
      <c r="FJ423" s="23">
        <f t="shared" si="1330"/>
        <v>2.2000000000000002</v>
      </c>
      <c r="FK423" s="23">
        <f t="shared" si="1330"/>
        <v>1</v>
      </c>
      <c r="FL423" s="23">
        <f t="shared" si="1330"/>
        <v>1</v>
      </c>
      <c r="FM423" s="23">
        <f t="shared" ref="FM423:FM449" si="1478">IF(FK423&lt;1,1,0)</f>
        <v>0</v>
      </c>
      <c r="FN423" s="23"/>
      <c r="FX423" s="4">
        <f t="shared" si="1386"/>
        <v>1</v>
      </c>
      <c r="FY423" s="4">
        <f t="shared" si="1429"/>
        <v>0.5</v>
      </c>
      <c r="FZ423" s="4">
        <f t="shared" si="1387"/>
        <v>0</v>
      </c>
      <c r="GA423" s="4">
        <f t="shared" si="1388"/>
        <v>459.22483660715164</v>
      </c>
    </row>
    <row r="424" spans="1:183" ht="12" hidden="1" customHeight="1" x14ac:dyDescent="0.3">
      <c r="A424" s="25">
        <v>406</v>
      </c>
      <c r="B424" s="4" t="s">
        <v>605</v>
      </c>
      <c r="C424" s="4">
        <v>2016</v>
      </c>
      <c r="D424" s="4" t="s">
        <v>309</v>
      </c>
      <c r="E424" s="14" t="s">
        <v>677</v>
      </c>
      <c r="F424" s="48" t="s">
        <v>575</v>
      </c>
      <c r="G424" s="38">
        <f>115.9/0.145</f>
        <v>799.31034482758628</v>
      </c>
      <c r="H424" s="38">
        <f>9.38*25.4</f>
        <v>238.25200000000001</v>
      </c>
      <c r="I424" s="4">
        <f t="shared" si="1288"/>
        <v>238.25200000000001</v>
      </c>
      <c r="J424" s="38">
        <f>8800/145</f>
        <v>60.689655172413794</v>
      </c>
      <c r="K424" s="38">
        <f t="shared" si="1401"/>
        <v>25.4</v>
      </c>
      <c r="L424" s="7">
        <f t="shared" si="1289"/>
        <v>9.3800000000000008</v>
      </c>
      <c r="M424" s="7">
        <f t="shared" si="1290"/>
        <v>9.3800000000000008</v>
      </c>
      <c r="N424" s="38">
        <f>17.1*25.4</f>
        <v>434.34000000000003</v>
      </c>
      <c r="O424" s="38">
        <f>2.55*25.4</f>
        <v>64.77</v>
      </c>
      <c r="P424" s="39">
        <f>3.2*25.4</f>
        <v>81.28</v>
      </c>
      <c r="Q424" s="7">
        <f t="shared" si="1291"/>
        <v>254.00000000000003</v>
      </c>
      <c r="R424" s="38">
        <v>2</v>
      </c>
      <c r="S424" s="4">
        <f t="shared" si="1361"/>
        <v>508</v>
      </c>
      <c r="T424" s="7">
        <f t="shared" si="1292"/>
        <v>3.05</v>
      </c>
      <c r="U424" s="7">
        <f t="shared" si="1414"/>
        <v>3.05</v>
      </c>
      <c r="V424" s="38">
        <v>12.9</v>
      </c>
      <c r="W424" s="4">
        <f t="shared" si="1293"/>
        <v>12.9</v>
      </c>
      <c r="X424" s="4">
        <f t="shared" si="1294"/>
        <v>13.9</v>
      </c>
      <c r="Y424" s="7">
        <f t="shared" si="1295"/>
        <v>94.698067562120812</v>
      </c>
      <c r="AB424" s="38">
        <f t="shared" si="1332"/>
        <v>728.96551724137942</v>
      </c>
      <c r="AC424" s="4">
        <v>105.7</v>
      </c>
      <c r="AD424" s="4">
        <f t="shared" si="1452"/>
        <v>0.99413885294838056</v>
      </c>
      <c r="AE424" s="38">
        <f t="shared" ref="AE424:AE433" si="1479">0.5*25.4</f>
        <v>12.7</v>
      </c>
      <c r="AF424" s="38">
        <v>10</v>
      </c>
      <c r="AG424" s="39">
        <f>3*25.4</f>
        <v>76.199999999999989</v>
      </c>
      <c r="AH424" s="39">
        <v>3</v>
      </c>
      <c r="AI424" s="39">
        <f t="shared" ref="AI424:AI425" si="1480">AH424-1</f>
        <v>2</v>
      </c>
      <c r="AJ424" s="7"/>
      <c r="AK424" s="4">
        <f t="shared" si="1297"/>
        <v>238.25200000000001</v>
      </c>
      <c r="AL424" s="4">
        <f t="shared" si="1462"/>
        <v>0.60767590618336897</v>
      </c>
      <c r="AM424" s="4">
        <f t="shared" si="1463"/>
        <v>282.69938075844567</v>
      </c>
      <c r="AN424" s="4">
        <f t="shared" si="1464"/>
        <v>0.76503198294243069</v>
      </c>
      <c r="AO424" s="4">
        <v>1.25</v>
      </c>
      <c r="AP424" s="4">
        <f t="shared" si="1396"/>
        <v>2.5</v>
      </c>
      <c r="AQ424" s="38">
        <f t="shared" si="1266"/>
        <v>410.70168799237626</v>
      </c>
      <c r="AR424" s="38">
        <f t="shared" si="1465"/>
        <v>410.70168799237626</v>
      </c>
      <c r="AS424" s="38">
        <f t="shared" si="1466"/>
        <v>4.3734044077759826</v>
      </c>
      <c r="AT424" s="38">
        <f t="shared" si="1407"/>
        <v>410.70168799237581</v>
      </c>
      <c r="AU424" s="38">
        <f t="shared" si="1373"/>
        <v>1.0000000000000011</v>
      </c>
      <c r="AV424" s="38">
        <f t="shared" si="1249"/>
        <v>3.2375230733939095</v>
      </c>
      <c r="AW424" s="4">
        <f t="shared" si="1230"/>
        <v>0</v>
      </c>
      <c r="AX424" s="4">
        <f t="shared" si="1298"/>
        <v>384.59760229875792</v>
      </c>
      <c r="AY424" s="4">
        <f t="shared" si="1267"/>
        <v>1</v>
      </c>
      <c r="AZ424" s="38">
        <f t="shared" si="1389"/>
        <v>1329.656191157143</v>
      </c>
      <c r="BA424" s="4">
        <f t="shared" si="1268"/>
        <v>0.3</v>
      </c>
      <c r="BB424" s="4">
        <f t="shared" si="1269"/>
        <v>60.285674160330302</v>
      </c>
      <c r="BC424" s="4">
        <f t="shared" si="1270"/>
        <v>1389.9418653174732</v>
      </c>
      <c r="BE424" s="4">
        <f t="shared" si="1408"/>
        <v>1.5</v>
      </c>
      <c r="BF424" s="4">
        <f t="shared" si="1415"/>
        <v>679.39699470471101</v>
      </c>
      <c r="BH424" s="4">
        <f t="shared" si="1416"/>
        <v>1275.3028936760954</v>
      </c>
      <c r="BI424" s="4">
        <f t="shared" si="1350"/>
        <v>0</v>
      </c>
      <c r="BJ424" s="4">
        <f t="shared" si="1417"/>
        <v>0</v>
      </c>
      <c r="BR424" s="4">
        <f t="shared" si="1271"/>
        <v>64.77</v>
      </c>
      <c r="BV424" s="9"/>
      <c r="BX424" s="9"/>
      <c r="BY424" s="9"/>
      <c r="BZ424" s="9">
        <f t="shared" si="1272"/>
        <v>64.77</v>
      </c>
      <c r="CA424" s="9">
        <f t="shared" si="1273"/>
        <v>127.00000000000001</v>
      </c>
      <c r="CB424" s="9">
        <f t="shared" si="1374"/>
        <v>1.7665851027593089</v>
      </c>
      <c r="CC424" s="40">
        <f t="shared" si="1299"/>
        <v>20</v>
      </c>
      <c r="CD424" s="9">
        <f t="shared" si="1274"/>
        <v>0.05</v>
      </c>
      <c r="CE424" s="9">
        <f t="shared" si="1275"/>
        <v>0.8</v>
      </c>
      <c r="CF424" s="9">
        <f t="shared" si="1276"/>
        <v>0.99524931562137331</v>
      </c>
      <c r="CG424" s="9">
        <f t="shared" si="1277"/>
        <v>0.68048275862068963</v>
      </c>
      <c r="CH424" s="9">
        <f t="shared" si="1375"/>
        <v>1.8466066401443861</v>
      </c>
      <c r="CI424" s="9">
        <f t="shared" si="1376"/>
        <v>4.6165166003609652</v>
      </c>
      <c r="CJ424" s="40">
        <v>1</v>
      </c>
      <c r="CK424" s="9">
        <f t="shared" si="1377"/>
        <v>450.20269886720132</v>
      </c>
      <c r="CM424" s="4">
        <f t="shared" si="1278"/>
        <v>1.8953979767016702</v>
      </c>
      <c r="CN424" s="4">
        <f t="shared" si="1279"/>
        <v>0.5244575585719754</v>
      </c>
      <c r="CO424" s="4">
        <f t="shared" si="1242"/>
        <v>1.0729595846360971</v>
      </c>
      <c r="CP424" s="4">
        <f t="shared" si="1280"/>
        <v>1.619194018773322</v>
      </c>
      <c r="CQ424" s="4">
        <f t="shared" si="1476"/>
        <v>0.99413885294838056</v>
      </c>
      <c r="CR424" s="4">
        <f t="shared" si="1477"/>
        <v>0.98184147159351287</v>
      </c>
      <c r="CS424" s="4">
        <f t="shared" si="1243"/>
        <v>1.2226871085348725</v>
      </c>
      <c r="CT424" s="4">
        <f t="shared" si="1300"/>
        <v>10</v>
      </c>
      <c r="DA424" s="4">
        <f t="shared" ref="DA424:DB425" si="1481">CM424</f>
        <v>1.8953979767016702</v>
      </c>
      <c r="DB424" s="4">
        <f t="shared" si="1481"/>
        <v>0.5244575585719754</v>
      </c>
      <c r="DC424" s="4">
        <f t="shared" ref="DC424:DC425" si="1482">CP424</f>
        <v>1.619194018773322</v>
      </c>
      <c r="DD424" s="4">
        <f t="shared" ref="DD424:DD425" si="1483">CS424</f>
        <v>1.2226871085348725</v>
      </c>
      <c r="DE424" s="4">
        <f t="shared" ref="DE424:DF425" si="1484">CQ424</f>
        <v>0.99413885294838056</v>
      </c>
      <c r="DF424" s="4">
        <f t="shared" si="1484"/>
        <v>0.98184147159351287</v>
      </c>
      <c r="DI424" s="4">
        <f t="shared" si="1285"/>
        <v>238.25200000000001</v>
      </c>
      <c r="DL424" s="4">
        <f t="shared" si="1453"/>
        <v>2.0451606401250436E-5</v>
      </c>
      <c r="DM424" s="4">
        <f t="shared" si="1313"/>
        <v>11.952252138130413</v>
      </c>
      <c r="DN424" s="4">
        <f t="shared" si="1454"/>
        <v>0.19329921975455272</v>
      </c>
      <c r="DO424" s="4">
        <f t="shared" si="1455"/>
        <v>6.1935804996758534</v>
      </c>
      <c r="DP424" s="4">
        <f t="shared" si="1456"/>
        <v>9.5229483944501201</v>
      </c>
      <c r="DQ424" s="4">
        <f t="shared" si="1457"/>
        <v>11.112682316132476</v>
      </c>
      <c r="DR424" s="38">
        <f t="shared" si="1471"/>
        <v>733.26328115981005</v>
      </c>
      <c r="DS424" s="4">
        <f t="shared" si="1382"/>
        <v>1.0001050543831476</v>
      </c>
      <c r="DT424" s="4">
        <f t="shared" si="1458"/>
        <v>3.7282703764614493</v>
      </c>
      <c r="DU424" s="4">
        <f t="shared" si="1390"/>
        <v>410.70168799237581</v>
      </c>
      <c r="DY424" s="4">
        <f t="shared" si="1331"/>
        <v>0.85</v>
      </c>
      <c r="DZ424" s="4">
        <f t="shared" si="1383"/>
        <v>0.84499999999999997</v>
      </c>
      <c r="EA424" s="4">
        <f t="shared" si="1472"/>
        <v>0.77500000000000002</v>
      </c>
      <c r="EB424" s="4">
        <f t="shared" si="1384"/>
        <v>0.7</v>
      </c>
      <c r="ED424" s="4">
        <f t="shared" si="1473"/>
        <v>742.44726703006359</v>
      </c>
      <c r="EE424" s="25">
        <f t="shared" si="1474"/>
        <v>406.11089186307373</v>
      </c>
      <c r="EG424" s="4">
        <f t="shared" si="1391"/>
        <v>0.59499999999999997</v>
      </c>
      <c r="EH424" s="4">
        <f t="shared" si="1475"/>
        <v>11.952252138130413</v>
      </c>
      <c r="EK424" s="4">
        <f t="shared" si="1459"/>
        <v>94.698067562120812</v>
      </c>
      <c r="EL424" s="4">
        <f t="shared" si="1460"/>
        <v>3.7282703764614498</v>
      </c>
      <c r="EM424" s="4">
        <f t="shared" si="1461"/>
        <v>8.2342244589026295E-2</v>
      </c>
      <c r="EP424" s="4">
        <f t="shared" si="1301"/>
        <v>8.2342244589026295E-2</v>
      </c>
      <c r="EQ424" s="4">
        <f t="shared" si="1257"/>
        <v>0.19297663938285961</v>
      </c>
      <c r="ER424" s="4">
        <f t="shared" si="1314"/>
        <v>6.1894440553714247</v>
      </c>
      <c r="ES424" s="4">
        <f t="shared" si="1286"/>
        <v>9.5216167653525225</v>
      </c>
      <c r="ET424" s="4">
        <f t="shared" si="1315"/>
        <v>83.990932437879209</v>
      </c>
      <c r="EU424" s="4">
        <f t="shared" si="1316"/>
        <v>59.563000000000002</v>
      </c>
      <c r="EV424" s="4">
        <f t="shared" si="1385"/>
        <v>2.0451606401250436E-5</v>
      </c>
      <c r="EW424" s="4">
        <f t="shared" si="1287"/>
        <v>11.112924965456761</v>
      </c>
      <c r="EX424" s="4">
        <f t="shared" si="1422"/>
        <v>733.18625672987696</v>
      </c>
      <c r="FA424" s="4">
        <f>5.25*25.4</f>
        <v>133.35</v>
      </c>
      <c r="FG424" s="23">
        <f t="shared" si="1329"/>
        <v>2</v>
      </c>
      <c r="FH424" s="23">
        <f t="shared" si="1329"/>
        <v>0.6</v>
      </c>
      <c r="FI424" s="23">
        <f t="shared" si="1248"/>
        <v>1.4</v>
      </c>
      <c r="FJ424" s="23">
        <f t="shared" si="1330"/>
        <v>1.8</v>
      </c>
      <c r="FK424" s="23">
        <f t="shared" si="1330"/>
        <v>1</v>
      </c>
      <c r="FL424" s="23">
        <f t="shared" si="1330"/>
        <v>1</v>
      </c>
      <c r="FM424" s="23">
        <f t="shared" si="1478"/>
        <v>0</v>
      </c>
      <c r="FN424" s="23"/>
      <c r="FX424" s="4">
        <f t="shared" si="1386"/>
        <v>1</v>
      </c>
      <c r="FY424" s="4">
        <f t="shared" si="1429"/>
        <v>0.43787748058671272</v>
      </c>
      <c r="FZ424" s="4">
        <f t="shared" si="1387"/>
        <v>0.3</v>
      </c>
      <c r="GA424" s="4">
        <f t="shared" si="1388"/>
        <v>596.1995609121027</v>
      </c>
    </row>
    <row r="425" spans="1:183" ht="12" hidden="1" customHeight="1" x14ac:dyDescent="0.3">
      <c r="A425" s="25">
        <v>407</v>
      </c>
      <c r="B425" s="4" t="s">
        <v>605</v>
      </c>
      <c r="C425" s="4">
        <v>2016</v>
      </c>
      <c r="D425" s="4" t="s">
        <v>309</v>
      </c>
      <c r="E425" s="14" t="s">
        <v>677</v>
      </c>
      <c r="F425" s="7" t="s">
        <v>576</v>
      </c>
      <c r="G425" s="38">
        <f>115.9/0.145</f>
        <v>799.31034482758628</v>
      </c>
      <c r="H425" s="38">
        <f>8.25*25.4</f>
        <v>209.54999999999998</v>
      </c>
      <c r="I425" s="4">
        <f t="shared" si="1288"/>
        <v>209.54999999999998</v>
      </c>
      <c r="J425" s="38">
        <f>8800/145</f>
        <v>60.689655172413794</v>
      </c>
      <c r="K425" s="38">
        <f t="shared" si="1401"/>
        <v>25.4</v>
      </c>
      <c r="L425" s="7">
        <f t="shared" si="1289"/>
        <v>8.25</v>
      </c>
      <c r="M425" s="7">
        <f t="shared" si="1290"/>
        <v>8.25</v>
      </c>
      <c r="N425" s="38">
        <f>17.3*25.4</f>
        <v>439.42</v>
      </c>
      <c r="O425" s="38">
        <f>2.65*25.4</f>
        <v>67.309999999999988</v>
      </c>
      <c r="P425" s="39">
        <f>3.1*25.4</f>
        <v>78.739999999999995</v>
      </c>
      <c r="Q425" s="7">
        <f t="shared" si="1291"/>
        <v>254.00000000000003</v>
      </c>
      <c r="R425" s="38">
        <v>2</v>
      </c>
      <c r="S425" s="4">
        <f t="shared" si="1361"/>
        <v>508</v>
      </c>
      <c r="T425" s="7">
        <f t="shared" si="1292"/>
        <v>3.1499999999999995</v>
      </c>
      <c r="U425" s="7">
        <f t="shared" si="1414"/>
        <v>3.1499999999999995</v>
      </c>
      <c r="V425" s="38">
        <v>14.9</v>
      </c>
      <c r="W425" s="4">
        <f t="shared" si="1293"/>
        <v>14.9</v>
      </c>
      <c r="X425" s="4">
        <f t="shared" si="1294"/>
        <v>15.9</v>
      </c>
      <c r="Y425" s="7">
        <f t="shared" si="1295"/>
        <v>101.28200234987457</v>
      </c>
      <c r="AB425" s="38">
        <f t="shared" si="1332"/>
        <v>759.31034482758616</v>
      </c>
      <c r="AC425" s="4">
        <v>110.1</v>
      </c>
      <c r="AD425" s="4">
        <f t="shared" si="1452"/>
        <v>1.1394424782402843</v>
      </c>
      <c r="AE425" s="38">
        <f t="shared" si="1479"/>
        <v>12.7</v>
      </c>
      <c r="AF425" s="38">
        <v>10</v>
      </c>
      <c r="AG425" s="39">
        <f>3*25.4</f>
        <v>76.199999999999989</v>
      </c>
      <c r="AH425" s="39">
        <v>3</v>
      </c>
      <c r="AI425" s="39">
        <f t="shared" si="1480"/>
        <v>2</v>
      </c>
      <c r="AJ425" s="7"/>
      <c r="AK425" s="4">
        <f t="shared" si="1297"/>
        <v>209.54999999999998</v>
      </c>
      <c r="AL425" s="4">
        <f t="shared" si="1462"/>
        <v>0.69898989898989905</v>
      </c>
      <c r="AM425" s="4">
        <f t="shared" si="1463"/>
        <v>233.18548975839079</v>
      </c>
      <c r="AN425" s="4">
        <f t="shared" si="1464"/>
        <v>0.77636363636363637</v>
      </c>
      <c r="AO425" s="4">
        <v>1.25</v>
      </c>
      <c r="AP425" s="4">
        <f t="shared" si="1396"/>
        <v>2.5</v>
      </c>
      <c r="AQ425" s="38">
        <f t="shared" si="1266"/>
        <v>395.44640298305984</v>
      </c>
      <c r="AR425" s="38">
        <f t="shared" si="1465"/>
        <v>395.44640298305984</v>
      </c>
      <c r="AS425" s="38">
        <f t="shared" si="1466"/>
        <v>4.3734044077759826</v>
      </c>
      <c r="AT425" s="38">
        <f t="shared" si="1407"/>
        <v>395.44640298305944</v>
      </c>
      <c r="AU425" s="38">
        <f t="shared" si="1373"/>
        <v>1.0000000000000011</v>
      </c>
      <c r="AV425" s="38">
        <f t="shared" si="1249"/>
        <v>3.7321640400048164</v>
      </c>
      <c r="AW425" s="4">
        <f t="shared" si="1230"/>
        <v>0</v>
      </c>
      <c r="AX425" s="4">
        <f t="shared" si="1298"/>
        <v>338.26548176596515</v>
      </c>
      <c r="AY425" s="4">
        <f t="shared" si="1267"/>
        <v>1</v>
      </c>
      <c r="AZ425" s="38">
        <f t="shared" si="1389"/>
        <v>1475.8708449626279</v>
      </c>
      <c r="BA425" s="4">
        <f t="shared" si="1268"/>
        <v>0.3</v>
      </c>
      <c r="BB425" s="4">
        <f t="shared" si="1269"/>
        <v>53.023114266815028</v>
      </c>
      <c r="BC425" s="4">
        <f t="shared" si="1270"/>
        <v>1528.893959229443</v>
      </c>
      <c r="BE425" s="4">
        <f t="shared" si="1408"/>
        <v>1.5</v>
      </c>
      <c r="BF425" s="4">
        <f t="shared" si="1415"/>
        <v>639.78303164917315</v>
      </c>
      <c r="BH425" s="4">
        <f t="shared" si="1416"/>
        <v>1415.5406275625585</v>
      </c>
      <c r="BI425" s="4">
        <f t="shared" si="1350"/>
        <v>0</v>
      </c>
      <c r="BJ425" s="4">
        <f t="shared" si="1417"/>
        <v>0</v>
      </c>
      <c r="BR425" s="4">
        <f t="shared" si="1271"/>
        <v>67.309999999999988</v>
      </c>
      <c r="BV425" s="9"/>
      <c r="BX425" s="9"/>
      <c r="BY425" s="9"/>
      <c r="BZ425" s="9">
        <f t="shared" si="1272"/>
        <v>67.309999999999988</v>
      </c>
      <c r="CA425" s="9">
        <f t="shared" si="1273"/>
        <v>127.00000000000001</v>
      </c>
      <c r="CB425" s="9">
        <f t="shared" si="1374"/>
        <v>1.7905298128039189</v>
      </c>
      <c r="CC425" s="40">
        <f t="shared" si="1299"/>
        <v>20</v>
      </c>
      <c r="CD425" s="9">
        <f t="shared" si="1274"/>
        <v>0.05</v>
      </c>
      <c r="CE425" s="9">
        <f t="shared" si="1275"/>
        <v>0.8</v>
      </c>
      <c r="CF425" s="9">
        <f t="shared" si="1276"/>
        <v>0.99524931562137331</v>
      </c>
      <c r="CG425" s="9">
        <f t="shared" si="1277"/>
        <v>0.68048275862068963</v>
      </c>
      <c r="CH425" s="9">
        <f t="shared" si="1375"/>
        <v>1.8466066401443861</v>
      </c>
      <c r="CI425" s="9">
        <f t="shared" si="1376"/>
        <v>4.6165166003609652</v>
      </c>
      <c r="CJ425" s="40">
        <v>1</v>
      </c>
      <c r="CK425" s="9">
        <f t="shared" si="1377"/>
        <v>429.33604383356976</v>
      </c>
      <c r="CM425" s="4">
        <f t="shared" si="1278"/>
        <v>2.2447171992350321</v>
      </c>
      <c r="CN425" s="4">
        <f t="shared" si="1279"/>
        <v>0.49664029362132861</v>
      </c>
      <c r="CO425" s="4">
        <f t="shared" si="1242"/>
        <v>1.1868247628736053</v>
      </c>
      <c r="CP425" s="4">
        <f t="shared" si="1280"/>
        <v>1.7685688302516001</v>
      </c>
      <c r="CQ425" s="4">
        <f t="shared" si="1476"/>
        <v>1.1394424782402843</v>
      </c>
      <c r="CR425" s="4">
        <f t="shared" si="1477"/>
        <v>1.1065773777959143</v>
      </c>
      <c r="CS425" s="4">
        <f t="shared" si="1243"/>
        <v>1.4480266495732195</v>
      </c>
      <c r="CT425" s="4">
        <f t="shared" si="1300"/>
        <v>10</v>
      </c>
      <c r="DA425" s="4">
        <f t="shared" si="1481"/>
        <v>2.2447171992350321</v>
      </c>
      <c r="DB425" s="4">
        <f t="shared" si="1481"/>
        <v>0.49664029362132861</v>
      </c>
      <c r="DC425" s="4">
        <f t="shared" si="1482"/>
        <v>1.7685688302516001</v>
      </c>
      <c r="DD425" s="4">
        <f t="shared" si="1483"/>
        <v>1.4480266495732195</v>
      </c>
      <c r="DE425" s="4">
        <f t="shared" si="1484"/>
        <v>1.1394424782402843</v>
      </c>
      <c r="DF425" s="4">
        <f t="shared" si="1484"/>
        <v>1.1065773777959143</v>
      </c>
      <c r="DI425" s="4">
        <f t="shared" si="1285"/>
        <v>209.54999999999998</v>
      </c>
      <c r="DL425" s="4">
        <f t="shared" si="1453"/>
        <v>1.7987820129031567E-5</v>
      </c>
      <c r="DM425" s="4">
        <f t="shared" si="1313"/>
        <v>11.952252138130413</v>
      </c>
      <c r="DN425" s="4">
        <f t="shared" si="1454"/>
        <v>0.17233990397740784</v>
      </c>
      <c r="DO425" s="4">
        <f t="shared" si="1455"/>
        <v>5.9156719827356019</v>
      </c>
      <c r="DP425" s="4">
        <f t="shared" si="1456"/>
        <v>9.435158440042839</v>
      </c>
      <c r="DQ425" s="4">
        <f t="shared" si="1457"/>
        <v>11.34018962755985</v>
      </c>
      <c r="DR425" s="38">
        <f t="shared" si="1471"/>
        <v>666.38760562993832</v>
      </c>
      <c r="DS425" s="4">
        <f t="shared" si="1382"/>
        <v>1.0001082622051274</v>
      </c>
      <c r="DT425" s="4">
        <f t="shared" si="1458"/>
        <v>3.9874804074753771</v>
      </c>
      <c r="DU425" s="4">
        <f t="shared" si="1390"/>
        <v>395.44640298305944</v>
      </c>
      <c r="DY425" s="4">
        <f t="shared" si="1331"/>
        <v>0.85</v>
      </c>
      <c r="DZ425" s="4">
        <f t="shared" si="1383"/>
        <v>0.83499999999999996</v>
      </c>
      <c r="EA425" s="4">
        <f t="shared" si="1472"/>
        <v>0.77500000000000002</v>
      </c>
      <c r="EB425" s="4">
        <f t="shared" si="1384"/>
        <v>0.7</v>
      </c>
      <c r="ED425" s="4">
        <f t="shared" si="1473"/>
        <v>686.17916836505719</v>
      </c>
      <c r="EE425" s="25">
        <f t="shared" si="1474"/>
        <v>390.36092794632941</v>
      </c>
      <c r="EG425" s="4">
        <f t="shared" si="1391"/>
        <v>0.59499999999999997</v>
      </c>
      <c r="EH425" s="4">
        <f t="shared" si="1475"/>
        <v>11.952252138130413</v>
      </c>
      <c r="EK425" s="4">
        <f t="shared" si="1459"/>
        <v>101.28200234987457</v>
      </c>
      <c r="EL425" s="4">
        <f t="shared" si="1460"/>
        <v>3.9874804074753771</v>
      </c>
      <c r="EM425" s="4">
        <f t="shared" si="1461"/>
        <v>7.3413925538738684E-2</v>
      </c>
      <c r="EP425" s="4">
        <f t="shared" si="1301"/>
        <v>7.3413925538738684E-2</v>
      </c>
      <c r="EQ425" s="4">
        <f t="shared" si="1257"/>
        <v>0.17205230079746128</v>
      </c>
      <c r="ER425" s="4">
        <f t="shared" si="1314"/>
        <v>5.9117211423967806</v>
      </c>
      <c r="ES425" s="4">
        <f t="shared" si="1286"/>
        <v>9.4339351942507346</v>
      </c>
      <c r="ET425" s="4">
        <f t="shared" si="1315"/>
        <v>55.88049765012542</v>
      </c>
      <c r="EU425" s="4">
        <f t="shared" si="1316"/>
        <v>52.387499999999989</v>
      </c>
      <c r="EV425" s="4">
        <f t="shared" si="1385"/>
        <v>1.7987820129031563E-5</v>
      </c>
      <c r="EW425" s="4">
        <f t="shared" si="1287"/>
        <v>11.340388836122862</v>
      </c>
      <c r="EX425" s="4">
        <f t="shared" si="1422"/>
        <v>666.31546884797035</v>
      </c>
      <c r="FG425" s="23">
        <f t="shared" si="1329"/>
        <v>2.2000000000000002</v>
      </c>
      <c r="FH425" s="23">
        <f t="shared" si="1329"/>
        <v>0.6</v>
      </c>
      <c r="FI425" s="23">
        <f t="shared" si="1248"/>
        <v>1.6</v>
      </c>
      <c r="FJ425" s="23">
        <f t="shared" si="1330"/>
        <v>1.8</v>
      </c>
      <c r="FK425" s="23">
        <f t="shared" si="1330"/>
        <v>1.2</v>
      </c>
      <c r="FL425" s="23">
        <f t="shared" si="1330"/>
        <v>1.2</v>
      </c>
      <c r="FM425" s="23">
        <f t="shared" si="1478"/>
        <v>0</v>
      </c>
      <c r="FN425" s="23"/>
      <c r="FX425" s="4">
        <f t="shared" si="1386"/>
        <v>1</v>
      </c>
      <c r="FY425" s="4">
        <f t="shared" si="1429"/>
        <v>0.43787748058671272</v>
      </c>
      <c r="FZ425" s="4">
        <f t="shared" si="1387"/>
        <v>0.3</v>
      </c>
      <c r="GA425" s="4">
        <f t="shared" si="1388"/>
        <v>524.37594643122043</v>
      </c>
    </row>
    <row r="426" spans="1:183" ht="12" hidden="1" customHeight="1" x14ac:dyDescent="0.3">
      <c r="A426" s="25">
        <v>408</v>
      </c>
      <c r="B426" s="4" t="s">
        <v>605</v>
      </c>
      <c r="C426" s="4">
        <v>2016</v>
      </c>
      <c r="D426" s="4" t="s">
        <v>309</v>
      </c>
      <c r="E426" s="14" t="s">
        <v>577</v>
      </c>
      <c r="F426" s="7" t="s">
        <v>578</v>
      </c>
      <c r="G426" s="38">
        <f>135/0.145</f>
        <v>931.0344827586207</v>
      </c>
      <c r="H426" s="38">
        <f>12.13*25.4</f>
        <v>308.10199999999998</v>
      </c>
      <c r="I426" s="4">
        <f t="shared" si="1288"/>
        <v>308.10199999999998</v>
      </c>
      <c r="J426" s="38">
        <f>5760/145</f>
        <v>39.724137931034484</v>
      </c>
      <c r="K426" s="38">
        <f>1.41*25.4</f>
        <v>35.813999999999993</v>
      </c>
      <c r="L426" s="7">
        <f t="shared" si="1289"/>
        <v>8.6028368794326244</v>
      </c>
      <c r="M426" s="7">
        <f t="shared" si="1290"/>
        <v>8.6028368794326244</v>
      </c>
      <c r="N426" s="38">
        <f>21.7*25.4</f>
        <v>551.17999999999995</v>
      </c>
      <c r="O426" s="38">
        <f>2.65*25.4</f>
        <v>67.309999999999988</v>
      </c>
      <c r="P426" s="39">
        <f>3.5*25.4</f>
        <v>88.899999999999991</v>
      </c>
      <c r="Q426" s="7">
        <f t="shared" si="1291"/>
        <v>344.93200000000002</v>
      </c>
      <c r="R426" s="38">
        <v>2</v>
      </c>
      <c r="S426" s="4">
        <f t="shared" si="1361"/>
        <v>508</v>
      </c>
      <c r="T426" s="7">
        <f t="shared" si="1292"/>
        <v>2.3794326241134751</v>
      </c>
      <c r="U426" s="7">
        <f t="shared" si="1414"/>
        <v>2.3794326241134751</v>
      </c>
      <c r="V426" s="38">
        <v>3.9</v>
      </c>
      <c r="W426" s="4">
        <f t="shared" si="1293"/>
        <v>3.9</v>
      </c>
      <c r="X426" s="4">
        <f t="shared" si="1294"/>
        <v>4.9000000000000004</v>
      </c>
      <c r="Y426" s="7">
        <f t="shared" si="1295"/>
        <v>79.277668484889219</v>
      </c>
      <c r="AB426" s="38">
        <f t="shared" si="1332"/>
        <v>293.79310344827587</v>
      </c>
      <c r="AC426" s="4">
        <v>42.6</v>
      </c>
      <c r="AD426" s="4">
        <f t="shared" si="1452"/>
        <v>0.67339603919552049</v>
      </c>
      <c r="AE426" s="38"/>
      <c r="AF426" s="38"/>
      <c r="AG426" s="39">
        <v>1</v>
      </c>
      <c r="AH426" s="39"/>
      <c r="AI426" s="39"/>
      <c r="AJ426" s="7"/>
      <c r="AK426" s="4">
        <f t="shared" si="1297"/>
        <v>308.10199999999998</v>
      </c>
      <c r="AL426" s="4">
        <f t="shared" si="1462"/>
        <v>0.59631766968947519</v>
      </c>
      <c r="AM426" s="4">
        <f t="shared" si="1463"/>
        <v>169.17784214061564</v>
      </c>
      <c r="AN426" s="4">
        <f t="shared" si="1464"/>
        <v>0.75531739488870564</v>
      </c>
      <c r="AO426" s="4">
        <v>1.25</v>
      </c>
      <c r="AP426" s="4">
        <f t="shared" si="1396"/>
        <v>2.5</v>
      </c>
      <c r="AQ426" s="38">
        <f t="shared" si="1266"/>
        <v>238.12262845805614</v>
      </c>
      <c r="AR426" s="38">
        <f t="shared" si="1465"/>
        <v>238.12262845805614</v>
      </c>
      <c r="AS426" s="38">
        <f t="shared" si="1466"/>
        <v>3.4926701740126327</v>
      </c>
      <c r="AT426" s="38">
        <f t="shared" si="1407"/>
        <v>238.12262845805651</v>
      </c>
      <c r="AU426" s="38">
        <f t="shared" si="1373"/>
        <v>0.99999999999999845</v>
      </c>
      <c r="AV426" s="38">
        <f t="shared" si="1249"/>
        <v>1.5677959002994157</v>
      </c>
      <c r="AW426" s="4">
        <f t="shared" si="1230"/>
        <v>0</v>
      </c>
      <c r="AX426" s="4">
        <f t="shared" si="1298"/>
        <v>285.37460794417643</v>
      </c>
      <c r="AY426" s="4">
        <f t="shared" si="1267"/>
        <v>1</v>
      </c>
      <c r="AZ426" s="38">
        <f t="shared" si="1389"/>
        <v>373.32768066506196</v>
      </c>
      <c r="BA426" s="4">
        <f t="shared" si="1268"/>
        <v>0.45399999999999996</v>
      </c>
      <c r="BB426" s="4">
        <f t="shared" si="1269"/>
        <v>67.695137623477819</v>
      </c>
      <c r="BC426" s="4">
        <f t="shared" si="1270"/>
        <v>441.02281828853978</v>
      </c>
      <c r="BE426" s="4">
        <f t="shared" si="1408"/>
        <v>1.2198581560283688</v>
      </c>
      <c r="BF426" s="4">
        <f t="shared" si="1415"/>
        <v>429.07875073434849</v>
      </c>
      <c r="BH426" s="4">
        <f t="shared" si="1416"/>
        <v>358.06690075816078</v>
      </c>
      <c r="BI426" s="4">
        <f t="shared" si="1350"/>
        <v>0</v>
      </c>
      <c r="BJ426" s="4">
        <f t="shared" si="1417"/>
        <v>0</v>
      </c>
      <c r="BR426" s="4">
        <f t="shared" si="1271"/>
        <v>67.309999999999988</v>
      </c>
      <c r="BV426" s="9"/>
      <c r="BX426" s="9"/>
      <c r="BY426" s="9"/>
      <c r="BZ426" s="9">
        <f t="shared" si="1272"/>
        <v>67.309999999999988</v>
      </c>
      <c r="CA426" s="9">
        <f t="shared" si="1273"/>
        <v>172.46600000000001</v>
      </c>
      <c r="CB426" s="9">
        <f t="shared" si="1374"/>
        <v>1.5787267425904519</v>
      </c>
      <c r="CC426" s="40">
        <f t="shared" si="1299"/>
        <v>0</v>
      </c>
      <c r="CD426" s="9">
        <f t="shared" si="1274"/>
        <v>0</v>
      </c>
      <c r="CE426" s="9">
        <f t="shared" si="1275"/>
        <v>0</v>
      </c>
      <c r="CF426" s="9">
        <f t="shared" si="1276"/>
        <v>0.89777220146327208</v>
      </c>
      <c r="CG426" s="9">
        <f t="shared" si="1277"/>
        <v>0.68</v>
      </c>
      <c r="CH426" s="9">
        <f t="shared" si="1375"/>
        <v>1.3466984227273664</v>
      </c>
      <c r="CI426" s="9">
        <f t="shared" si="1376"/>
        <v>2.1260688141640744</v>
      </c>
      <c r="CJ426" s="40">
        <v>1</v>
      </c>
      <c r="CK426" s="9">
        <f t="shared" si="1377"/>
        <v>200.72502166065362</v>
      </c>
      <c r="CM426" s="4">
        <f t="shared" si="1278"/>
        <v>1.029499805763189</v>
      </c>
      <c r="CN426" s="4">
        <f t="shared" si="1279"/>
        <v>0.66616304477937771</v>
      </c>
      <c r="CO426" s="4">
        <f t="shared" si="1242"/>
        <v>0.68470671862790344</v>
      </c>
      <c r="CP426" s="4">
        <f t="shared" si="1280"/>
        <v>1.4636595926987293</v>
      </c>
      <c r="CQ426" s="4">
        <f t="shared" si="1476"/>
        <v>0.67339603919552049</v>
      </c>
      <c r="CR426" s="4">
        <f t="shared" si="1477"/>
        <v>0.72096580896252627</v>
      </c>
      <c r="CS426" s="4">
        <f t="shared" si="1243"/>
        <v>0.80994045632785505</v>
      </c>
      <c r="CT426" s="4">
        <f t="shared" si="1300"/>
        <v>0</v>
      </c>
      <c r="CU426" s="4">
        <f t="shared" ref="CU426:CV426" si="1485">CM426</f>
        <v>1.029499805763189</v>
      </c>
      <c r="CV426" s="4">
        <f t="shared" si="1485"/>
        <v>0.66616304477937771</v>
      </c>
      <c r="CW426" s="4">
        <f t="shared" ref="CW426" si="1486">CP426</f>
        <v>1.4636595926987293</v>
      </c>
      <c r="CX426" s="4">
        <f t="shared" ref="CX426" si="1487">CS426</f>
        <v>0.80994045632785505</v>
      </c>
      <c r="CY426" s="4">
        <f t="shared" ref="CY426:CZ426" si="1488">CQ426</f>
        <v>0.67339603919552049</v>
      </c>
      <c r="CZ426" s="4">
        <f t="shared" si="1488"/>
        <v>0.72096580896252627</v>
      </c>
      <c r="DI426" s="4">
        <f t="shared" si="1285"/>
        <v>308.10199999999998</v>
      </c>
      <c r="DL426" s="4">
        <f t="shared" si="1453"/>
        <v>1.6422982705051898E-5</v>
      </c>
      <c r="DM426" s="4">
        <f t="shared" si="1313"/>
        <v>6.6794137361809804</v>
      </c>
      <c r="DN426" s="4">
        <f t="shared" si="1454"/>
        <v>0.47413206320930545</v>
      </c>
      <c r="DO426" s="4">
        <f t="shared" si="1455"/>
        <v>4.9556208963323414</v>
      </c>
      <c r="DP426" s="4">
        <f t="shared" si="1456"/>
        <v>5.8811547174806602</v>
      </c>
      <c r="DQ426" s="4">
        <f t="shared" si="1457"/>
        <v>6.343757885764715</v>
      </c>
      <c r="DR426" s="38">
        <f t="shared" si="1471"/>
        <v>436.28576104970682</v>
      </c>
      <c r="DS426" s="4">
        <f t="shared" si="1382"/>
        <v>1.0001192823101088</v>
      </c>
      <c r="DT426" s="4">
        <f t="shared" si="1458"/>
        <v>2.2135943621178655</v>
      </c>
      <c r="DU426" s="4">
        <f t="shared" si="1390"/>
        <v>238.12262845805651</v>
      </c>
      <c r="DY426" s="4">
        <f t="shared" si="1331"/>
        <v>0.85</v>
      </c>
      <c r="DZ426" s="4">
        <f t="shared" si="1383"/>
        <v>0.91205673758865247</v>
      </c>
      <c r="EA426" s="4">
        <f t="shared" si="1472"/>
        <v>1</v>
      </c>
      <c r="EB426" s="4">
        <f t="shared" si="1384"/>
        <v>0.91205673758865247</v>
      </c>
      <c r="ED426" s="4">
        <f t="shared" si="1473"/>
        <v>407.49935682948092</v>
      </c>
      <c r="EE426" s="25">
        <f t="shared" si="1474"/>
        <v>235.11363636166115</v>
      </c>
      <c r="EG426" s="4">
        <f t="shared" si="1391"/>
        <v>0.77524822695035456</v>
      </c>
      <c r="EH426" s="4">
        <f t="shared" si="1475"/>
        <v>6.6794137361809804</v>
      </c>
      <c r="EK426" s="4">
        <f t="shared" si="1459"/>
        <v>79.277668484889219</v>
      </c>
      <c r="EL426" s="4">
        <f t="shared" si="1460"/>
        <v>2.2135943621178655</v>
      </c>
      <c r="EM426" s="4">
        <f t="shared" si="1461"/>
        <v>0.1634036794271963</v>
      </c>
      <c r="EP426" s="4">
        <f t="shared" si="1301"/>
        <v>0.1634036794271963</v>
      </c>
      <c r="EQ426" s="4">
        <f t="shared" si="1257"/>
        <v>0.47334082516201326</v>
      </c>
      <c r="ER426" s="4">
        <f t="shared" si="1314"/>
        <v>4.9523112356550287</v>
      </c>
      <c r="ES426" s="4">
        <f t="shared" si="1286"/>
        <v>5.879761735540094</v>
      </c>
      <c r="ET426" s="4">
        <f t="shared" si="1315"/>
        <v>151.79883151511075</v>
      </c>
      <c r="EU426" s="4">
        <f t="shared" si="1316"/>
        <v>77.025500000000022</v>
      </c>
      <c r="EV426" s="4">
        <f t="shared" si="1385"/>
        <v>1.6422982705051901E-5</v>
      </c>
      <c r="EW426" s="4">
        <f t="shared" si="1287"/>
        <v>6.3438609703207192</v>
      </c>
      <c r="EX426" s="4">
        <f t="shared" si="1422"/>
        <v>436.23372608311223</v>
      </c>
      <c r="FG426" s="23">
        <f t="shared" si="1329"/>
        <v>1.2</v>
      </c>
      <c r="FH426" s="23">
        <f t="shared" si="1329"/>
        <v>0.8</v>
      </c>
      <c r="FI426" s="23">
        <f t="shared" si="1248"/>
        <v>1</v>
      </c>
      <c r="FJ426" s="23">
        <f t="shared" si="1330"/>
        <v>1.6</v>
      </c>
      <c r="FK426" s="23">
        <f t="shared" si="1330"/>
        <v>0.8</v>
      </c>
      <c r="FL426" s="23">
        <f t="shared" si="1330"/>
        <v>0.8</v>
      </c>
      <c r="FM426" s="23">
        <f t="shared" si="1478"/>
        <v>1</v>
      </c>
      <c r="FN426" s="23"/>
      <c r="FX426" s="4">
        <f t="shared" si="1386"/>
        <v>1</v>
      </c>
      <c r="FY426" s="4">
        <f t="shared" si="1429"/>
        <v>0.5</v>
      </c>
      <c r="FZ426" s="4">
        <f t="shared" si="1387"/>
        <v>0</v>
      </c>
      <c r="GA426" s="4">
        <f t="shared" si="1388"/>
        <v>362.73419996858587</v>
      </c>
    </row>
    <row r="427" spans="1:183" ht="12" hidden="1" customHeight="1" x14ac:dyDescent="0.3">
      <c r="A427" s="25">
        <v>409</v>
      </c>
      <c r="B427" s="4" t="s">
        <v>605</v>
      </c>
      <c r="C427" s="4">
        <v>2016</v>
      </c>
      <c r="D427" s="4" t="s">
        <v>309</v>
      </c>
      <c r="E427" s="14" t="s">
        <v>577</v>
      </c>
      <c r="F427" s="7" t="s">
        <v>579</v>
      </c>
      <c r="G427" s="38">
        <f t="shared" ref="G427:G433" si="1489">135/0.145</f>
        <v>931.0344827586207</v>
      </c>
      <c r="H427" s="38">
        <f>12.5*25.4</f>
        <v>317.5</v>
      </c>
      <c r="I427" s="4">
        <f t="shared" si="1288"/>
        <v>317.5</v>
      </c>
      <c r="J427" s="38">
        <f>5760/145</f>
        <v>39.724137931034484</v>
      </c>
      <c r="K427" s="38">
        <f t="shared" ref="K427:K449" si="1490">1.41*25.4</f>
        <v>35.813999999999993</v>
      </c>
      <c r="L427" s="7">
        <f t="shared" si="1289"/>
        <v>8.8652482269503565</v>
      </c>
      <c r="M427" s="7">
        <f t="shared" si="1290"/>
        <v>8.8652482269503565</v>
      </c>
      <c r="N427" s="38">
        <f>21.8*25.4</f>
        <v>553.72</v>
      </c>
      <c r="O427" s="38">
        <f>2.7*25.4</f>
        <v>68.58</v>
      </c>
      <c r="P427" s="39">
        <f>3.1*25.4</f>
        <v>78.739999999999995</v>
      </c>
      <c r="Q427" s="7">
        <f t="shared" si="1291"/>
        <v>344.93200000000002</v>
      </c>
      <c r="R427" s="38">
        <v>2</v>
      </c>
      <c r="S427" s="4">
        <f t="shared" si="1361"/>
        <v>508</v>
      </c>
      <c r="T427" s="7">
        <f t="shared" si="1292"/>
        <v>2.4148936170212769</v>
      </c>
      <c r="U427" s="7">
        <f t="shared" si="1414"/>
        <v>2.4148936170212769</v>
      </c>
      <c r="V427" s="38">
        <v>3.9</v>
      </c>
      <c r="W427" s="4">
        <f t="shared" si="1293"/>
        <v>3.9</v>
      </c>
      <c r="X427" s="4">
        <f t="shared" si="1294"/>
        <v>4.9000000000000004</v>
      </c>
      <c r="Y427" s="7">
        <f t="shared" si="1295"/>
        <v>79.277668484889219</v>
      </c>
      <c r="AB427" s="38">
        <f t="shared" si="1332"/>
        <v>390.34482758620692</v>
      </c>
      <c r="AC427" s="4">
        <v>56.6</v>
      </c>
      <c r="AD427" s="4">
        <f t="shared" si="1452"/>
        <v>0.8706995887826271</v>
      </c>
      <c r="AE427" s="38">
        <f t="shared" si="1479"/>
        <v>12.7</v>
      </c>
      <c r="AF427" s="38">
        <v>12</v>
      </c>
      <c r="AG427" s="39">
        <f>4*25.4</f>
        <v>101.6</v>
      </c>
      <c r="AH427" s="39">
        <v>2</v>
      </c>
      <c r="AI427" s="39">
        <f>AH427-1</f>
        <v>1</v>
      </c>
      <c r="AJ427" s="7"/>
      <c r="AK427" s="4">
        <f t="shared" si="1297"/>
        <v>317.5</v>
      </c>
      <c r="AL427" s="4">
        <f t="shared" si="1462"/>
        <v>0.58133333333333337</v>
      </c>
      <c r="AM427" s="4">
        <f t="shared" si="1463"/>
        <v>176.97719173373653</v>
      </c>
      <c r="AN427" s="4">
        <f t="shared" si="1464"/>
        <v>0.75447999999999993</v>
      </c>
      <c r="AO427" s="4">
        <v>1.25</v>
      </c>
      <c r="AP427" s="4">
        <f t="shared" si="1396"/>
        <v>2.5</v>
      </c>
      <c r="AQ427" s="38">
        <f t="shared" si="1266"/>
        <v>242.57178210833959</v>
      </c>
      <c r="AR427" s="38">
        <f t="shared" si="1465"/>
        <v>242.57178210833959</v>
      </c>
      <c r="AS427" s="38">
        <f t="shared" si="1466"/>
        <v>3.4926701740126327</v>
      </c>
      <c r="AT427" s="38">
        <f t="shared" si="1407"/>
        <v>242.57178210833953</v>
      </c>
      <c r="AU427" s="38">
        <f t="shared" si="1373"/>
        <v>1.0000000000000002</v>
      </c>
      <c r="AV427" s="38">
        <f t="shared" si="1249"/>
        <v>1.5619765341272129</v>
      </c>
      <c r="AW427" s="4">
        <f t="shared" si="1230"/>
        <v>0</v>
      </c>
      <c r="AX427" s="4">
        <f t="shared" si="1298"/>
        <v>294.07935690867322</v>
      </c>
      <c r="AY427" s="4">
        <f t="shared" si="1267"/>
        <v>1</v>
      </c>
      <c r="AZ427" s="38">
        <f t="shared" si="1389"/>
        <v>378.89143149464564</v>
      </c>
      <c r="BA427" s="4">
        <f t="shared" si="1268"/>
        <v>0.45399999999999996</v>
      </c>
      <c r="BB427" s="4">
        <f t="shared" si="1269"/>
        <v>69.760034649090912</v>
      </c>
      <c r="BC427" s="4">
        <f t="shared" si="1270"/>
        <v>448.65146614373657</v>
      </c>
      <c r="BE427" s="4">
        <f t="shared" si="1408"/>
        <v>1.5</v>
      </c>
      <c r="BF427" s="4">
        <f t="shared" si="1415"/>
        <v>535.05974513391641</v>
      </c>
      <c r="BH427" s="4">
        <f t="shared" si="1416"/>
        <v>363.40321820612149</v>
      </c>
      <c r="BI427" s="4">
        <f t="shared" si="1350"/>
        <v>0</v>
      </c>
      <c r="BJ427" s="4">
        <f t="shared" si="1417"/>
        <v>0</v>
      </c>
      <c r="BR427" s="4">
        <f t="shared" si="1271"/>
        <v>68.58</v>
      </c>
      <c r="BV427" s="9"/>
      <c r="BX427" s="9"/>
      <c r="BY427" s="9"/>
      <c r="BZ427" s="9">
        <f t="shared" si="1272"/>
        <v>68.58</v>
      </c>
      <c r="CA427" s="9">
        <f t="shared" si="1273"/>
        <v>172.46600000000001</v>
      </c>
      <c r="CB427" s="9">
        <f t="shared" si="1374"/>
        <v>1.5890890215144411</v>
      </c>
      <c r="CC427" s="40">
        <f t="shared" si="1299"/>
        <v>20</v>
      </c>
      <c r="CD427" s="9">
        <f t="shared" si="1274"/>
        <v>0.05</v>
      </c>
      <c r="CE427" s="9">
        <f t="shared" si="1275"/>
        <v>0.8</v>
      </c>
      <c r="CF427" s="9">
        <f t="shared" si="1276"/>
        <v>0.89777220146327208</v>
      </c>
      <c r="CG427" s="9">
        <f t="shared" si="1277"/>
        <v>0.68</v>
      </c>
      <c r="CH427" s="9">
        <f t="shared" si="1375"/>
        <v>1.3466984227273664</v>
      </c>
      <c r="CI427" s="9">
        <f t="shared" si="1376"/>
        <v>3.217382417028765</v>
      </c>
      <c r="CJ427" s="40">
        <v>1</v>
      </c>
      <c r="CK427" s="9">
        <f t="shared" si="1377"/>
        <v>307.13452009366796</v>
      </c>
      <c r="CM427" s="4">
        <f t="shared" si="1278"/>
        <v>1.3273452162350488</v>
      </c>
      <c r="CN427" s="4">
        <f t="shared" si="1279"/>
        <v>0.87004023622459381</v>
      </c>
      <c r="CO427" s="4">
        <f t="shared" si="1242"/>
        <v>0.72953503068804071</v>
      </c>
      <c r="CP427" s="4">
        <f t="shared" si="1280"/>
        <v>1.2709246341543179</v>
      </c>
      <c r="CQ427" s="4">
        <f t="shared" si="1476"/>
        <v>0.8706995887826271</v>
      </c>
      <c r="CR427" s="4">
        <f t="shared" si="1477"/>
        <v>0.93377048827409681</v>
      </c>
      <c r="CS427" s="4">
        <f t="shared" si="1243"/>
        <v>0.92343789210776062</v>
      </c>
      <c r="CT427" s="4">
        <f t="shared" si="1300"/>
        <v>12</v>
      </c>
      <c r="DA427" s="4">
        <f t="shared" ref="DA427:DB427" si="1491">CM427</f>
        <v>1.3273452162350488</v>
      </c>
      <c r="DB427" s="4">
        <f t="shared" si="1491"/>
        <v>0.87004023622459381</v>
      </c>
      <c r="DC427" s="4">
        <f t="shared" ref="DC427" si="1492">CP427</f>
        <v>1.2709246341543179</v>
      </c>
      <c r="DD427" s="4">
        <f t="shared" ref="DD427" si="1493">CS427</f>
        <v>0.92343789210776062</v>
      </c>
      <c r="DE427" s="4">
        <f t="shared" ref="DE427:DF427" si="1494">CQ427</f>
        <v>0.8706995887826271</v>
      </c>
      <c r="DF427" s="4">
        <f t="shared" si="1494"/>
        <v>0.93377048827409681</v>
      </c>
      <c r="DI427" s="4">
        <f t="shared" si="1285"/>
        <v>317.5</v>
      </c>
      <c r="DL427" s="4">
        <f t="shared" si="1453"/>
        <v>1.6923931064562959E-5</v>
      </c>
      <c r="DM427" s="4">
        <f t="shared" si="1313"/>
        <v>6.7084964135054195</v>
      </c>
      <c r="DN427" s="4">
        <f t="shared" si="1454"/>
        <v>0.48299088697336229</v>
      </c>
      <c r="DO427" s="4">
        <f t="shared" si="1455"/>
        <v>5.0141897708041316</v>
      </c>
      <c r="DP427" s="4">
        <f t="shared" si="1456"/>
        <v>5.92237204977069</v>
      </c>
      <c r="DQ427" s="4">
        <f t="shared" si="1457"/>
        <v>6.3474171439442504</v>
      </c>
      <c r="DR427" s="38">
        <f t="shared" si="1471"/>
        <v>448.31171694013256</v>
      </c>
      <c r="DS427" s="4">
        <f t="shared" si="1382"/>
        <v>1.0001200187532864</v>
      </c>
      <c r="DT427" s="4">
        <f t="shared" si="1458"/>
        <v>2.2135943621178655</v>
      </c>
      <c r="DU427" s="4">
        <f t="shared" si="1390"/>
        <v>242.57178210833953</v>
      </c>
      <c r="DY427" s="4">
        <f t="shared" si="1331"/>
        <v>0.85</v>
      </c>
      <c r="DZ427" s="4">
        <f t="shared" si="1383"/>
        <v>0.90851063829787226</v>
      </c>
      <c r="EA427" s="4">
        <f t="shared" si="1472"/>
        <v>0.9995510789195714</v>
      </c>
      <c r="EB427" s="4">
        <f t="shared" si="1384"/>
        <v>0.90810278872054673</v>
      </c>
      <c r="ED427" s="4">
        <f t="shared" si="1473"/>
        <v>418.03080359466878</v>
      </c>
      <c r="EE427" s="25">
        <f t="shared" si="1474"/>
        <v>239.61334578867351</v>
      </c>
      <c r="EG427" s="4">
        <f t="shared" si="1391"/>
        <v>0.77188737041246469</v>
      </c>
      <c r="EH427" s="4">
        <f t="shared" si="1475"/>
        <v>6.7084964135054195</v>
      </c>
      <c r="EK427" s="4">
        <f t="shared" si="1459"/>
        <v>79.277668484889219</v>
      </c>
      <c r="EL427" s="4">
        <f t="shared" si="1460"/>
        <v>2.2135943621178655</v>
      </c>
      <c r="EM427" s="4">
        <f t="shared" si="1461"/>
        <v>0.16645676212454794</v>
      </c>
      <c r="EP427" s="4">
        <f t="shared" si="1301"/>
        <v>0.16645676212454794</v>
      </c>
      <c r="EQ427" s="4">
        <f t="shared" si="1257"/>
        <v>0.4821848652002681</v>
      </c>
      <c r="ER427" s="4">
        <f t="shared" si="1314"/>
        <v>5.0108409943217955</v>
      </c>
      <c r="ES427" s="4">
        <f t="shared" si="1286"/>
        <v>5.9209557835987123</v>
      </c>
      <c r="ET427" s="4">
        <f t="shared" si="1315"/>
        <v>158.8473315151108</v>
      </c>
      <c r="EU427" s="4">
        <f t="shared" si="1316"/>
        <v>79.375</v>
      </c>
      <c r="EV427" s="4">
        <f t="shared" si="1385"/>
        <v>1.6923931064562959E-5</v>
      </c>
      <c r="EW427" s="4">
        <f t="shared" si="1287"/>
        <v>6.347527515676302</v>
      </c>
      <c r="EX427" s="4">
        <f t="shared" si="1422"/>
        <v>448.25791758371344</v>
      </c>
      <c r="FG427" s="23">
        <f t="shared" si="1329"/>
        <v>1.4</v>
      </c>
      <c r="FH427" s="23">
        <f t="shared" si="1329"/>
        <v>1</v>
      </c>
      <c r="FI427" s="23">
        <f t="shared" si="1248"/>
        <v>1</v>
      </c>
      <c r="FJ427" s="23">
        <f t="shared" si="1330"/>
        <v>1.4</v>
      </c>
      <c r="FK427" s="23">
        <f t="shared" si="1330"/>
        <v>1</v>
      </c>
      <c r="FL427" s="23">
        <f t="shared" si="1330"/>
        <v>1</v>
      </c>
      <c r="FM427" s="23">
        <f t="shared" si="1478"/>
        <v>0</v>
      </c>
      <c r="FN427" s="23"/>
      <c r="FX427" s="4">
        <f t="shared" si="1386"/>
        <v>1</v>
      </c>
      <c r="FY427" s="4">
        <f t="shared" si="1429"/>
        <v>0.44214730608235164</v>
      </c>
      <c r="FZ427" s="4">
        <f t="shared" si="1387"/>
        <v>0.25149640360142855</v>
      </c>
      <c r="GA427" s="4">
        <f t="shared" si="1388"/>
        <v>422.7082632436049</v>
      </c>
    </row>
    <row r="428" spans="1:183" ht="12" hidden="1" customHeight="1" x14ac:dyDescent="0.3">
      <c r="A428" s="25">
        <v>410</v>
      </c>
      <c r="B428" s="4" t="s">
        <v>605</v>
      </c>
      <c r="C428" s="4">
        <v>2016</v>
      </c>
      <c r="D428" s="4" t="s">
        <v>309</v>
      </c>
      <c r="E428" s="14" t="s">
        <v>678</v>
      </c>
      <c r="F428" s="7" t="s">
        <v>580</v>
      </c>
      <c r="G428" s="38">
        <f t="shared" si="1489"/>
        <v>931.0344827586207</v>
      </c>
      <c r="H428" s="38">
        <f>17.25*25.4</f>
        <v>438.15</v>
      </c>
      <c r="I428" s="4">
        <f t="shared" si="1288"/>
        <v>438.15</v>
      </c>
      <c r="J428" s="38">
        <f>5760/145</f>
        <v>39.724137931034484</v>
      </c>
      <c r="K428" s="38">
        <f t="shared" si="1490"/>
        <v>35.813999999999993</v>
      </c>
      <c r="L428" s="7">
        <f t="shared" si="1289"/>
        <v>12.234042553191491</v>
      </c>
      <c r="M428" s="7">
        <f t="shared" si="1290"/>
        <v>12.234042553191491</v>
      </c>
      <c r="N428" s="38">
        <f>21.9*25.4</f>
        <v>556.25999999999988</v>
      </c>
      <c r="O428" s="38">
        <f>2.75*25.4</f>
        <v>69.849999999999994</v>
      </c>
      <c r="P428" s="39">
        <f>3.25*25.4</f>
        <v>82.55</v>
      </c>
      <c r="Q428" s="7">
        <f t="shared" si="1291"/>
        <v>344.9319999999999</v>
      </c>
      <c r="R428" s="38">
        <v>2</v>
      </c>
      <c r="S428" s="4">
        <f t="shared" si="1361"/>
        <v>508</v>
      </c>
      <c r="T428" s="7">
        <f t="shared" si="1292"/>
        <v>2.4503546099290783</v>
      </c>
      <c r="U428" s="7">
        <f t="shared" si="1414"/>
        <v>2.4503546099290783</v>
      </c>
      <c r="V428" s="38">
        <v>3.9</v>
      </c>
      <c r="W428" s="4">
        <f t="shared" si="1293"/>
        <v>3.9</v>
      </c>
      <c r="X428" s="4">
        <f t="shared" si="1294"/>
        <v>4.9000000000000004</v>
      </c>
      <c r="Y428" s="7">
        <f t="shared" si="1295"/>
        <v>79.277668484889219</v>
      </c>
      <c r="AB428" s="38">
        <f t="shared" si="1332"/>
        <v>586.89655172413791</v>
      </c>
      <c r="AC428" s="4">
        <v>85.1</v>
      </c>
      <c r="AD428" s="4">
        <f t="shared" si="1452"/>
        <v>1.0281950348313329</v>
      </c>
      <c r="AE428" s="38"/>
      <c r="AF428" s="38"/>
      <c r="AG428" s="39">
        <v>1</v>
      </c>
      <c r="AH428" s="39"/>
      <c r="AI428" s="39"/>
      <c r="AJ428" s="7"/>
      <c r="AK428" s="4">
        <f t="shared" si="1297"/>
        <v>438.15</v>
      </c>
      <c r="AL428" s="4">
        <f t="shared" si="1462"/>
        <v>0.42318840579710132</v>
      </c>
      <c r="AM428" s="4">
        <f t="shared" si="1463"/>
        <v>286.90355464864228</v>
      </c>
      <c r="AN428" s="4">
        <f t="shared" si="1464"/>
        <v>0.74005797101449267</v>
      </c>
      <c r="AO428" s="4">
        <v>1.25</v>
      </c>
      <c r="AP428" s="4">
        <f t="shared" si="1396"/>
        <v>2.5</v>
      </c>
      <c r="AQ428" s="38">
        <f t="shared" si="1266"/>
        <v>280.79246675178877</v>
      </c>
      <c r="AR428" s="38">
        <f t="shared" si="1465"/>
        <v>280.79246675178877</v>
      </c>
      <c r="AS428" s="38">
        <f t="shared" si="1466"/>
        <v>3.4926701740126327</v>
      </c>
      <c r="AT428" s="38">
        <f t="shared" si="1407"/>
        <v>280.79246675178882</v>
      </c>
      <c r="AU428" s="38">
        <f t="shared" si="1373"/>
        <v>0.99999999999999978</v>
      </c>
      <c r="AV428" s="38">
        <f t="shared" si="1249"/>
        <v>1.3691791192677361</v>
      </c>
      <c r="AW428" s="4">
        <f t="shared" si="1230"/>
        <v>0</v>
      </c>
      <c r="AX428" s="4">
        <f t="shared" si="1298"/>
        <v>405.82951253396902</v>
      </c>
      <c r="AY428" s="4">
        <f t="shared" si="1267"/>
        <v>1</v>
      </c>
      <c r="AZ428" s="38">
        <f t="shared" si="1389"/>
        <v>384.45518232422927</v>
      </c>
      <c r="BA428" s="4">
        <f t="shared" si="1268"/>
        <v>0.45399999999999996</v>
      </c>
      <c r="BB428" s="4">
        <f t="shared" si="1269"/>
        <v>96.26884781574546</v>
      </c>
      <c r="BC428" s="4">
        <f t="shared" si="1270"/>
        <v>480.72403013997473</v>
      </c>
      <c r="BE428" s="4">
        <f t="shared" si="1408"/>
        <v>1.2375886524822697</v>
      </c>
      <c r="BF428" s="4">
        <f t="shared" si="1415"/>
        <v>520.28732562540654</v>
      </c>
      <c r="BH428" s="4">
        <f t="shared" si="1416"/>
        <v>368.7395356540822</v>
      </c>
      <c r="BI428" s="4">
        <f t="shared" si="1350"/>
        <v>0</v>
      </c>
      <c r="BJ428" s="4">
        <f t="shared" si="1417"/>
        <v>0</v>
      </c>
      <c r="BR428" s="4">
        <f t="shared" si="1271"/>
        <v>69.849999999999994</v>
      </c>
      <c r="BV428" s="9"/>
      <c r="BX428" s="9"/>
      <c r="BY428" s="9"/>
      <c r="BZ428" s="9">
        <f t="shared" si="1272"/>
        <v>69.849999999999994</v>
      </c>
      <c r="CA428" s="9">
        <f t="shared" si="1273"/>
        <v>172.46599999999995</v>
      </c>
      <c r="CB428" s="9">
        <f t="shared" si="1374"/>
        <v>1.5993273076622354</v>
      </c>
      <c r="CC428" s="40">
        <f t="shared" si="1299"/>
        <v>0</v>
      </c>
      <c r="CD428" s="9">
        <f t="shared" si="1274"/>
        <v>0</v>
      </c>
      <c r="CE428" s="9">
        <f t="shared" si="1275"/>
        <v>0</v>
      </c>
      <c r="CF428" s="9">
        <f t="shared" si="1276"/>
        <v>0.89777220146327208</v>
      </c>
      <c r="CG428" s="9">
        <f t="shared" si="1277"/>
        <v>0.68</v>
      </c>
      <c r="CH428" s="9">
        <f t="shared" si="1375"/>
        <v>1.3466984227273664</v>
      </c>
      <c r="CI428" s="9">
        <f t="shared" si="1376"/>
        <v>2.1538115626535377</v>
      </c>
      <c r="CJ428" s="40">
        <v>1</v>
      </c>
      <c r="CK428" s="9">
        <f t="shared" si="1377"/>
        <v>234.62798299544923</v>
      </c>
      <c r="CM428" s="4">
        <f t="shared" si="1278"/>
        <v>1.4461652827060305</v>
      </c>
      <c r="CN428" s="4">
        <f t="shared" si="1279"/>
        <v>1.2208596095211808</v>
      </c>
      <c r="CO428" s="4">
        <f t="shared" si="1242"/>
        <v>1.1280239260463714</v>
      </c>
      <c r="CP428" s="4">
        <f t="shared" si="1280"/>
        <v>2.5013919662580109</v>
      </c>
      <c r="CQ428" s="4">
        <f t="shared" si="1476"/>
        <v>1.0281950348313329</v>
      </c>
      <c r="CR428" s="4">
        <f t="shared" si="1477"/>
        <v>1.1167546869959355</v>
      </c>
      <c r="CS428" s="4">
        <f t="shared" si="1243"/>
        <v>1.1377445264616732</v>
      </c>
      <c r="CT428" s="4">
        <f t="shared" si="1300"/>
        <v>0</v>
      </c>
      <c r="CU428" s="4">
        <f t="shared" ref="CU428:CV428" si="1495">CM428</f>
        <v>1.4461652827060305</v>
      </c>
      <c r="CV428" s="4">
        <f t="shared" si="1495"/>
        <v>1.2208596095211808</v>
      </c>
      <c r="CW428" s="4">
        <f t="shared" ref="CW428" si="1496">CP428</f>
        <v>2.5013919662580109</v>
      </c>
      <c r="CX428" s="4">
        <f t="shared" ref="CX428" si="1497">CS428</f>
        <v>1.1377445264616732</v>
      </c>
      <c r="CY428" s="4">
        <f t="shared" ref="CY428:CZ428" si="1498">CQ428</f>
        <v>1.0281950348313329</v>
      </c>
      <c r="CZ428" s="4">
        <f t="shared" si="1498"/>
        <v>1.1167546869959355</v>
      </c>
      <c r="DI428" s="4">
        <f t="shared" si="1285"/>
        <v>438.15</v>
      </c>
      <c r="DL428" s="4">
        <f t="shared" si="1453"/>
        <v>2.3355024869096883E-5</v>
      </c>
      <c r="DM428" s="4">
        <f t="shared" si="1313"/>
        <v>6.7317602388156281</v>
      </c>
      <c r="DN428" s="4">
        <f t="shared" si="1454"/>
        <v>0.55909307089689819</v>
      </c>
      <c r="DO428" s="4">
        <f t="shared" si="1455"/>
        <v>5.3348508677845992</v>
      </c>
      <c r="DP428" s="4">
        <f t="shared" si="1456"/>
        <v>6.0736531857113283</v>
      </c>
      <c r="DQ428" s="4">
        <f t="shared" si="1457"/>
        <v>6.0189362004704252</v>
      </c>
      <c r="DR428" s="38">
        <f t="shared" si="1471"/>
        <v>570.80274835251817</v>
      </c>
      <c r="DS428" s="4">
        <f t="shared" si="1382"/>
        <v>1.0001271266917837</v>
      </c>
      <c r="DT428" s="4">
        <f t="shared" si="1458"/>
        <v>2.2135943621178655</v>
      </c>
      <c r="DU428" s="4">
        <f t="shared" si="1390"/>
        <v>280.79246675178882</v>
      </c>
      <c r="DY428" s="4">
        <f t="shared" si="1331"/>
        <v>0.85</v>
      </c>
      <c r="DZ428" s="4">
        <f t="shared" si="1383"/>
        <v>0.90496453900709217</v>
      </c>
      <c r="EA428" s="4">
        <f t="shared" si="1472"/>
        <v>1</v>
      </c>
      <c r="EB428" s="4">
        <f t="shared" si="1384"/>
        <v>0.90496453900709217</v>
      </c>
      <c r="ED428" s="4">
        <f t="shared" si="1473"/>
        <v>525.53757647786256</v>
      </c>
      <c r="EE428" s="25">
        <f t="shared" si="1474"/>
        <v>278.46765281920381</v>
      </c>
      <c r="EG428" s="4">
        <f t="shared" si="1391"/>
        <v>0.76921985815602834</v>
      </c>
      <c r="EH428" s="4">
        <f t="shared" si="1475"/>
        <v>6.7317602388156281</v>
      </c>
      <c r="EK428" s="4">
        <f t="shared" si="1459"/>
        <v>79.277668484889219</v>
      </c>
      <c r="EL428" s="4">
        <f t="shared" si="1460"/>
        <v>2.2135943621178655</v>
      </c>
      <c r="EM428" s="4">
        <f t="shared" si="1461"/>
        <v>0.19268442701052596</v>
      </c>
      <c r="EP428" s="4">
        <f t="shared" si="1301"/>
        <v>0.19268442701052596</v>
      </c>
      <c r="EQ428" s="4">
        <f t="shared" si="1257"/>
        <v>0.5581600487623547</v>
      </c>
      <c r="ER428" s="4">
        <f t="shared" si="1314"/>
        <v>5.3312879346010904</v>
      </c>
      <c r="ES428" s="4">
        <f t="shared" si="1286"/>
        <v>6.0720893144862593</v>
      </c>
      <c r="ET428" s="4">
        <f t="shared" si="1315"/>
        <v>249.33483151511075</v>
      </c>
      <c r="EU428" s="4">
        <f t="shared" si="1316"/>
        <v>109.53750000000002</v>
      </c>
      <c r="EV428" s="4">
        <f t="shared" si="1385"/>
        <v>2.3355024869096893E-5</v>
      </c>
      <c r="EW428" s="4">
        <f t="shared" si="1287"/>
        <v>6.0191440474744464</v>
      </c>
      <c r="EX428" s="4">
        <f t="shared" si="1422"/>
        <v>570.73019331114142</v>
      </c>
      <c r="FG428" s="23">
        <f t="shared" si="1329"/>
        <v>1.6</v>
      </c>
      <c r="FH428" s="23">
        <f t="shared" si="1329"/>
        <v>1.4</v>
      </c>
      <c r="FI428" s="23">
        <f t="shared" si="1248"/>
        <v>1.2</v>
      </c>
      <c r="FJ428" s="23">
        <f t="shared" si="1330"/>
        <v>2.2000000000000002</v>
      </c>
      <c r="FK428" s="23">
        <f t="shared" si="1330"/>
        <v>1.2</v>
      </c>
      <c r="FL428" s="23">
        <f t="shared" si="1330"/>
        <v>1.2</v>
      </c>
      <c r="FM428" s="23">
        <f t="shared" si="1478"/>
        <v>0</v>
      </c>
      <c r="FN428" s="23"/>
      <c r="FX428" s="4">
        <f t="shared" si="1386"/>
        <v>1</v>
      </c>
      <c r="FY428" s="4">
        <f t="shared" si="1429"/>
        <v>0.5</v>
      </c>
      <c r="FZ428" s="4">
        <f t="shared" si="1387"/>
        <v>0</v>
      </c>
      <c r="GA428" s="4">
        <f t="shared" si="1388"/>
        <v>515.84212279127007</v>
      </c>
    </row>
    <row r="429" spans="1:183" ht="12" hidden="1" customHeight="1" x14ac:dyDescent="0.3">
      <c r="A429" s="25">
        <v>411</v>
      </c>
      <c r="B429" s="4" t="s">
        <v>605</v>
      </c>
      <c r="C429" s="4">
        <v>2016</v>
      </c>
      <c r="D429" s="4" t="s">
        <v>309</v>
      </c>
      <c r="E429" s="14" t="s">
        <v>678</v>
      </c>
      <c r="F429" s="7" t="s">
        <v>581</v>
      </c>
      <c r="G429" s="38">
        <f t="shared" si="1489"/>
        <v>931.0344827586207</v>
      </c>
      <c r="H429" s="38">
        <f>16.94*25.4</f>
        <v>430.27600000000001</v>
      </c>
      <c r="I429" s="4">
        <f t="shared" si="1288"/>
        <v>430.27600000000001</v>
      </c>
      <c r="J429" s="38">
        <f>5970/145</f>
        <v>41.172413793103445</v>
      </c>
      <c r="K429" s="38">
        <f t="shared" si="1490"/>
        <v>35.813999999999993</v>
      </c>
      <c r="L429" s="7">
        <f t="shared" si="1289"/>
        <v>12.014184397163124</v>
      </c>
      <c r="M429" s="7">
        <f t="shared" si="1290"/>
        <v>12.014184397163124</v>
      </c>
      <c r="N429" s="38">
        <f>21.5*25.4</f>
        <v>546.1</v>
      </c>
      <c r="O429" s="38">
        <f>2.55*25.4</f>
        <v>64.77</v>
      </c>
      <c r="P429" s="39">
        <f>3.7*25.4</f>
        <v>93.98</v>
      </c>
      <c r="Q429" s="7">
        <f t="shared" si="1291"/>
        <v>344.93200000000002</v>
      </c>
      <c r="R429" s="38">
        <v>2</v>
      </c>
      <c r="S429" s="4">
        <f t="shared" si="1361"/>
        <v>508</v>
      </c>
      <c r="T429" s="7">
        <f t="shared" si="1292"/>
        <v>2.3085106382978724</v>
      </c>
      <c r="U429" s="7">
        <f t="shared" si="1414"/>
        <v>2.3085106382978724</v>
      </c>
      <c r="V429" s="38">
        <v>3.9</v>
      </c>
      <c r="W429" s="4">
        <f t="shared" si="1293"/>
        <v>3.9</v>
      </c>
      <c r="X429" s="4">
        <f t="shared" si="1294"/>
        <v>4.9000000000000004</v>
      </c>
      <c r="Y429" s="7">
        <f t="shared" si="1295"/>
        <v>79.277668484889219</v>
      </c>
      <c r="AB429" s="38">
        <f t="shared" si="1332"/>
        <v>671.72413793103453</v>
      </c>
      <c r="AC429" s="4">
        <v>97.4</v>
      </c>
      <c r="AD429" s="4">
        <f t="shared" si="1452"/>
        <v>1.1970277979743196</v>
      </c>
      <c r="AE429" s="38">
        <f t="shared" si="1479"/>
        <v>12.7</v>
      </c>
      <c r="AF429" s="38">
        <v>12</v>
      </c>
      <c r="AG429" s="39">
        <f>4*25.4</f>
        <v>101.6</v>
      </c>
      <c r="AH429" s="39">
        <v>2</v>
      </c>
      <c r="AI429" s="39">
        <f>AH429-1</f>
        <v>1</v>
      </c>
      <c r="AJ429" s="7"/>
      <c r="AK429" s="4">
        <f t="shared" si="1297"/>
        <v>430.27600000000001</v>
      </c>
      <c r="AL429" s="4">
        <f t="shared" si="1462"/>
        <v>0.42306178669815031</v>
      </c>
      <c r="AM429" s="4">
        <f t="shared" si="1463"/>
        <v>284.24858588831904</v>
      </c>
      <c r="AN429" s="4">
        <f t="shared" si="1464"/>
        <v>0.73842975206611561</v>
      </c>
      <c r="AO429" s="4">
        <v>1.25</v>
      </c>
      <c r="AP429" s="4">
        <f t="shared" si="1396"/>
        <v>2.5</v>
      </c>
      <c r="AQ429" s="38">
        <f t="shared" si="1266"/>
        <v>277.49893467489983</v>
      </c>
      <c r="AR429" s="38">
        <f t="shared" si="1465"/>
        <v>277.49893467489983</v>
      </c>
      <c r="AS429" s="38">
        <f t="shared" si="1466"/>
        <v>3.5770538153249696</v>
      </c>
      <c r="AT429" s="38">
        <f t="shared" si="1407"/>
        <v>277.49893467490006</v>
      </c>
      <c r="AU429" s="38">
        <f t="shared" si="1373"/>
        <v>0.99999999999999922</v>
      </c>
      <c r="AV429" s="38">
        <f t="shared" si="1249"/>
        <v>1.3528174236246544</v>
      </c>
      <c r="AW429" s="4">
        <f t="shared" si="1230"/>
        <v>0</v>
      </c>
      <c r="AX429" s="4">
        <f t="shared" si="1298"/>
        <v>405.73629287821291</v>
      </c>
      <c r="AY429" s="4">
        <f t="shared" si="1267"/>
        <v>1</v>
      </c>
      <c r="AZ429" s="38">
        <f t="shared" si="1389"/>
        <v>375.4053938654846</v>
      </c>
      <c r="BA429" s="4">
        <f t="shared" si="1268"/>
        <v>0.45399999999999996</v>
      </c>
      <c r="BB429" s="4">
        <f t="shared" si="1269"/>
        <v>96.246734715105291</v>
      </c>
      <c r="BC429" s="4">
        <f t="shared" si="1270"/>
        <v>471.65212858058987</v>
      </c>
      <c r="BE429" s="4">
        <f t="shared" si="1408"/>
        <v>1.5</v>
      </c>
      <c r="BF429" s="4">
        <f t="shared" si="1415"/>
        <v>635.65033199253048</v>
      </c>
      <c r="BH429" s="4">
        <f t="shared" si="1416"/>
        <v>360.05968180513355</v>
      </c>
      <c r="BI429" s="4">
        <f t="shared" si="1350"/>
        <v>0</v>
      </c>
      <c r="BJ429" s="4">
        <f t="shared" si="1417"/>
        <v>0</v>
      </c>
      <c r="BR429" s="4">
        <f t="shared" si="1271"/>
        <v>64.77</v>
      </c>
      <c r="BV429" s="9"/>
      <c r="BX429" s="9"/>
      <c r="BY429" s="9"/>
      <c r="BZ429" s="9">
        <f t="shared" si="1272"/>
        <v>64.77</v>
      </c>
      <c r="CA429" s="9">
        <f t="shared" si="1273"/>
        <v>172.46600000000001</v>
      </c>
      <c r="CB429" s="9">
        <f t="shared" si="1374"/>
        <v>1.5576144696639249</v>
      </c>
      <c r="CC429" s="40">
        <f t="shared" si="1299"/>
        <v>20</v>
      </c>
      <c r="CD429" s="9">
        <f t="shared" si="1274"/>
        <v>0.05</v>
      </c>
      <c r="CE429" s="9">
        <f t="shared" si="1275"/>
        <v>0.8</v>
      </c>
      <c r="CF429" s="9">
        <f t="shared" si="1276"/>
        <v>0.89777220146327208</v>
      </c>
      <c r="CG429" s="9">
        <f t="shared" si="1277"/>
        <v>0.68</v>
      </c>
      <c r="CH429" s="9">
        <f t="shared" si="1375"/>
        <v>1.3710278453315501</v>
      </c>
      <c r="CI429" s="9">
        <f t="shared" si="1376"/>
        <v>3.2323550864658164</v>
      </c>
      <c r="CJ429" s="40">
        <v>1</v>
      </c>
      <c r="CK429" s="9">
        <f t="shared" si="1377"/>
        <v>349.27774537158291</v>
      </c>
      <c r="CM429" s="4">
        <f t="shared" si="1278"/>
        <v>1.6555682834433088</v>
      </c>
      <c r="CN429" s="4">
        <f t="shared" si="1279"/>
        <v>1.4241940133982856</v>
      </c>
      <c r="CO429" s="4">
        <f t="shared" si="1242"/>
        <v>1.056751021942246</v>
      </c>
      <c r="CP429" s="4">
        <f t="shared" si="1280"/>
        <v>1.9231804683588229</v>
      </c>
      <c r="CQ429" s="4">
        <f t="shared" si="1476"/>
        <v>1.1970277979743196</v>
      </c>
      <c r="CR429" s="4">
        <f t="shared" si="1477"/>
        <v>1.2956424138648808</v>
      </c>
      <c r="CS429" s="4">
        <f t="shared" si="1243"/>
        <v>1.1621411039397247</v>
      </c>
      <c r="CT429" s="4">
        <f t="shared" si="1300"/>
        <v>12</v>
      </c>
      <c r="DA429" s="4">
        <f t="shared" ref="DA429:DB429" si="1499">CM429</f>
        <v>1.6555682834433088</v>
      </c>
      <c r="DB429" s="4">
        <f t="shared" si="1499"/>
        <v>1.4241940133982856</v>
      </c>
      <c r="DC429" s="4">
        <f t="shared" ref="DC429" si="1500">CP429</f>
        <v>1.9231804683588229</v>
      </c>
      <c r="DD429" s="4">
        <f t="shared" ref="DD429" si="1501">CS429</f>
        <v>1.1621411039397247</v>
      </c>
      <c r="DE429" s="4">
        <f t="shared" ref="DE429:DF429" si="1502">CQ429</f>
        <v>1.1970277979743196</v>
      </c>
      <c r="DF429" s="4">
        <f t="shared" si="1502"/>
        <v>1.2956424138648808</v>
      </c>
      <c r="DI429" s="4">
        <f t="shared" si="1285"/>
        <v>430.27600000000001</v>
      </c>
      <c r="DL429" s="4">
        <f t="shared" si="1453"/>
        <v>2.3155863189575028E-5</v>
      </c>
      <c r="DM429" s="4">
        <f t="shared" si="1313"/>
        <v>6.7506445941972286</v>
      </c>
      <c r="DN429" s="4">
        <f t="shared" si="1454"/>
        <v>0.53309932205670096</v>
      </c>
      <c r="DO429" s="4">
        <f t="shared" si="1455"/>
        <v>5.248902383941342</v>
      </c>
      <c r="DP429" s="4">
        <f t="shared" si="1456"/>
        <v>6.0466489501837426</v>
      </c>
      <c r="DQ429" s="4">
        <f t="shared" si="1457"/>
        <v>6.0585023027312088</v>
      </c>
      <c r="DR429" s="38">
        <f t="shared" si="1471"/>
        <v>561.16001572207881</v>
      </c>
      <c r="DS429" s="4">
        <f t="shared" si="1382"/>
        <v>1.0001247299749658</v>
      </c>
      <c r="DT429" s="4">
        <f t="shared" si="1458"/>
        <v>2.2135943621178655</v>
      </c>
      <c r="DU429" s="4">
        <f t="shared" si="1390"/>
        <v>277.49893467490006</v>
      </c>
      <c r="DY429" s="4">
        <f t="shared" si="1331"/>
        <v>0.85</v>
      </c>
      <c r="DZ429" s="4">
        <f t="shared" si="1383"/>
        <v>0.91914893617021276</v>
      </c>
      <c r="EA429" s="4">
        <f t="shared" si="1472"/>
        <v>0.9995510789195714</v>
      </c>
      <c r="EB429" s="4">
        <f t="shared" si="1384"/>
        <v>0.91873631083671248</v>
      </c>
      <c r="ED429" s="4">
        <f t="shared" si="1473"/>
        <v>518.44870987766762</v>
      </c>
      <c r="EE429" s="25">
        <f t="shared" si="1474"/>
        <v>275.13824301447386</v>
      </c>
      <c r="EG429" s="4">
        <f t="shared" si="1391"/>
        <v>0.78092586421120558</v>
      </c>
      <c r="EH429" s="4">
        <f t="shared" si="1475"/>
        <v>6.7506445941972286</v>
      </c>
      <c r="EK429" s="4">
        <f t="shared" si="1459"/>
        <v>79.277668484889219</v>
      </c>
      <c r="EL429" s="4">
        <f t="shared" si="1460"/>
        <v>2.2135943621178655</v>
      </c>
      <c r="EM429" s="4">
        <f t="shared" si="1461"/>
        <v>0.1870451967137802</v>
      </c>
      <c r="EP429" s="4">
        <f t="shared" si="1301"/>
        <v>0.1870451967137802</v>
      </c>
      <c r="EQ429" s="4">
        <f t="shared" si="1257"/>
        <v>0.53220967864439561</v>
      </c>
      <c r="ER429" s="4">
        <f t="shared" si="1314"/>
        <v>5.2453968523071453</v>
      </c>
      <c r="ES429" s="4">
        <f t="shared" si="1286"/>
        <v>6.0451284632882327</v>
      </c>
      <c r="ET429" s="4">
        <f t="shared" si="1315"/>
        <v>243.42933151511079</v>
      </c>
      <c r="EU429" s="4">
        <f t="shared" si="1316"/>
        <v>107.56900000000002</v>
      </c>
      <c r="EV429" s="4">
        <f t="shared" si="1385"/>
        <v>2.3155863189575032E-5</v>
      </c>
      <c r="EW429" s="4">
        <f t="shared" si="1287"/>
        <v>6.0587015521833836</v>
      </c>
      <c r="EX429" s="4">
        <f t="shared" si="1422"/>
        <v>561.09003097656159</v>
      </c>
      <c r="FG429" s="23">
        <f t="shared" si="1329"/>
        <v>1.8</v>
      </c>
      <c r="FH429" s="23">
        <f t="shared" si="1329"/>
        <v>1.6</v>
      </c>
      <c r="FI429" s="23">
        <f t="shared" si="1248"/>
        <v>1.2</v>
      </c>
      <c r="FJ429" s="23">
        <f t="shared" si="1330"/>
        <v>2</v>
      </c>
      <c r="FK429" s="23">
        <f t="shared" si="1330"/>
        <v>1.2</v>
      </c>
      <c r="FL429" s="23">
        <f t="shared" si="1330"/>
        <v>1.4</v>
      </c>
      <c r="FM429" s="23">
        <f t="shared" si="1478"/>
        <v>0</v>
      </c>
      <c r="FN429" s="23"/>
      <c r="FX429" s="4">
        <f t="shared" si="1386"/>
        <v>1</v>
      </c>
      <c r="FY429" s="4">
        <f t="shared" si="1429"/>
        <v>0.44214730608235164</v>
      </c>
      <c r="FZ429" s="4">
        <f t="shared" si="1387"/>
        <v>0.25149640360142855</v>
      </c>
      <c r="GA429" s="4">
        <f t="shared" si="1388"/>
        <v>578.00566183732019</v>
      </c>
    </row>
    <row r="430" spans="1:183" ht="12" hidden="1" customHeight="1" x14ac:dyDescent="0.3">
      <c r="A430" s="25">
        <v>412</v>
      </c>
      <c r="B430" s="4" t="s">
        <v>605</v>
      </c>
      <c r="C430" s="4">
        <v>2016</v>
      </c>
      <c r="D430" s="4" t="s">
        <v>309</v>
      </c>
      <c r="E430" s="14" t="s">
        <v>678</v>
      </c>
      <c r="F430" s="7" t="s">
        <v>582</v>
      </c>
      <c r="G430" s="38">
        <f t="shared" si="1489"/>
        <v>931.0344827586207</v>
      </c>
      <c r="H430" s="38">
        <f>14.5*25.4</f>
        <v>368.29999999999995</v>
      </c>
      <c r="I430" s="4">
        <f t="shared" si="1288"/>
        <v>368.29999999999995</v>
      </c>
      <c r="J430" s="38">
        <f>5970/145</f>
        <v>41.172413793103445</v>
      </c>
      <c r="K430" s="38">
        <f t="shared" si="1490"/>
        <v>35.813999999999993</v>
      </c>
      <c r="L430" s="7">
        <f t="shared" si="1289"/>
        <v>10.283687943262413</v>
      </c>
      <c r="M430" s="7">
        <f t="shared" si="1290"/>
        <v>10.283687943262413</v>
      </c>
      <c r="N430" s="38">
        <f>21.7*25.4</f>
        <v>551.17999999999995</v>
      </c>
      <c r="O430" s="38">
        <f>2.55*25.4</f>
        <v>64.77</v>
      </c>
      <c r="P430" s="39">
        <f>3.3*25.4</f>
        <v>83.82</v>
      </c>
      <c r="Q430" s="7">
        <f t="shared" si="1291"/>
        <v>350.01199999999994</v>
      </c>
      <c r="R430" s="38">
        <v>2</v>
      </c>
      <c r="S430" s="4">
        <f t="shared" si="1361"/>
        <v>508</v>
      </c>
      <c r="T430" s="7">
        <f t="shared" si="1292"/>
        <v>2.3085106382978724</v>
      </c>
      <c r="U430" s="7">
        <f t="shared" si="1414"/>
        <v>2.3085106382978724</v>
      </c>
      <c r="V430" s="38">
        <v>8.6</v>
      </c>
      <c r="W430" s="4">
        <f t="shared" si="1293"/>
        <v>8.6</v>
      </c>
      <c r="X430" s="4">
        <f t="shared" si="1294"/>
        <v>9.6</v>
      </c>
      <c r="Y430" s="7">
        <f t="shared" si="1295"/>
        <v>110.96562044885792</v>
      </c>
      <c r="AB430" s="38">
        <f t="shared" si="1332"/>
        <v>366.20689655172418</v>
      </c>
      <c r="AC430" s="4">
        <v>53.1</v>
      </c>
      <c r="AD430" s="4">
        <f t="shared" si="1452"/>
        <v>0.75774169091366828</v>
      </c>
      <c r="AE430" s="38"/>
      <c r="AF430" s="38"/>
      <c r="AG430" s="39">
        <v>1</v>
      </c>
      <c r="AH430" s="39"/>
      <c r="AI430" s="39"/>
      <c r="AJ430" s="7"/>
      <c r="AK430" s="4">
        <f t="shared" si="1297"/>
        <v>368.29999999999995</v>
      </c>
      <c r="AL430" s="4">
        <f t="shared" si="1462"/>
        <v>0.49885057471264377</v>
      </c>
      <c r="AM430" s="4">
        <f t="shared" si="1463"/>
        <v>225.10244237578763</v>
      </c>
      <c r="AN430" s="4">
        <f t="shared" si="1464"/>
        <v>0.74489655172413793</v>
      </c>
      <c r="AO430" s="4">
        <v>1.25</v>
      </c>
      <c r="AP430" s="4">
        <f t="shared" si="1396"/>
        <v>2.5</v>
      </c>
      <c r="AQ430" s="38">
        <f t="shared" si="1266"/>
        <v>261.39463494941117</v>
      </c>
      <c r="AR430" s="38">
        <f t="shared" si="1465"/>
        <v>261.39463494941117</v>
      </c>
      <c r="AS430" s="38">
        <f t="shared" si="1466"/>
        <v>3.5770538153249696</v>
      </c>
      <c r="AT430" s="38">
        <f t="shared" si="1407"/>
        <v>261.39463494941111</v>
      </c>
      <c r="AU430" s="38">
        <f t="shared" si="1373"/>
        <v>1.0000000000000002</v>
      </c>
      <c r="AV430" s="38">
        <f t="shared" si="1249"/>
        <v>2.1326557642509187</v>
      </c>
      <c r="AW430" s="4">
        <f t="shared" si="1230"/>
        <v>0</v>
      </c>
      <c r="AX430" s="4">
        <f t="shared" si="1298"/>
        <v>347.29493782373595</v>
      </c>
      <c r="AY430" s="4">
        <f t="shared" si="1267"/>
        <v>1</v>
      </c>
      <c r="AZ430" s="38">
        <f t="shared" si="1389"/>
        <v>557.46477496912632</v>
      </c>
      <c r="BA430" s="4">
        <f t="shared" si="1268"/>
        <v>0.3</v>
      </c>
      <c r="BB430" s="4">
        <f t="shared" si="1269"/>
        <v>54.438481503870605</v>
      </c>
      <c r="BC430" s="4">
        <f t="shared" si="1270"/>
        <v>611.90325647299687</v>
      </c>
      <c r="BE430" s="4">
        <f t="shared" si="1408"/>
        <v>1.2021276595744681</v>
      </c>
      <c r="BF430" s="4">
        <f t="shared" si="1415"/>
        <v>469.37713472743013</v>
      </c>
      <c r="BH430" s="4">
        <f t="shared" si="1416"/>
        <v>534.67689269503751</v>
      </c>
      <c r="BI430" s="4">
        <f t="shared" si="1350"/>
        <v>0</v>
      </c>
      <c r="BJ430" s="4">
        <f t="shared" si="1417"/>
        <v>0</v>
      </c>
      <c r="BR430" s="4">
        <f t="shared" si="1271"/>
        <v>64.77</v>
      </c>
      <c r="BV430" s="9"/>
      <c r="BX430" s="9"/>
      <c r="BY430" s="9"/>
      <c r="BZ430" s="9">
        <f t="shared" si="1272"/>
        <v>64.77</v>
      </c>
      <c r="CA430" s="9">
        <f t="shared" si="1273"/>
        <v>175.00599999999997</v>
      </c>
      <c r="CB430" s="9">
        <f t="shared" si="1374"/>
        <v>1.561034100003972</v>
      </c>
      <c r="CC430" s="40">
        <f t="shared" si="1299"/>
        <v>0</v>
      </c>
      <c r="CD430" s="9">
        <f t="shared" si="1274"/>
        <v>0</v>
      </c>
      <c r="CE430" s="9">
        <f t="shared" si="1275"/>
        <v>0</v>
      </c>
      <c r="CF430" s="9">
        <f t="shared" si="1276"/>
        <v>0.89777220146327208</v>
      </c>
      <c r="CG430" s="9">
        <f t="shared" si="1277"/>
        <v>0.68</v>
      </c>
      <c r="CH430" s="9">
        <f t="shared" si="1375"/>
        <v>1.3710278453315501</v>
      </c>
      <c r="CI430" s="9">
        <f t="shared" si="1376"/>
        <v>2.1402212186175213</v>
      </c>
      <c r="CJ430" s="40">
        <v>1</v>
      </c>
      <c r="CK430" s="9">
        <f t="shared" si="1377"/>
        <v>216.45074168429687</v>
      </c>
      <c r="CM430" s="4">
        <f t="shared" si="1278"/>
        <v>1.0544550371119625</v>
      </c>
      <c r="CN430" s="4">
        <f t="shared" si="1279"/>
        <v>0.59847188698183496</v>
      </c>
      <c r="CO430" s="4">
        <f t="shared" si="1242"/>
        <v>0.78019756280710717</v>
      </c>
      <c r="CP430" s="4">
        <f t="shared" si="1280"/>
        <v>1.6918717566043429</v>
      </c>
      <c r="CQ430" s="4">
        <f t="shared" si="1476"/>
        <v>0.75774169091366828</v>
      </c>
      <c r="CR430" s="4">
        <f t="shared" si="1477"/>
        <v>0.78437925291382093</v>
      </c>
      <c r="CS430" s="4">
        <f t="shared" si="1243"/>
        <v>0.83703352176496904</v>
      </c>
      <c r="CT430" s="4">
        <f t="shared" si="1300"/>
        <v>0</v>
      </c>
      <c r="CU430" s="4">
        <f t="shared" ref="CU430:CV430" si="1503">CM430</f>
        <v>1.0544550371119625</v>
      </c>
      <c r="CV430" s="4">
        <f t="shared" si="1503"/>
        <v>0.59847188698183496</v>
      </c>
      <c r="CW430" s="4">
        <f t="shared" ref="CW430" si="1504">CP430</f>
        <v>1.6918717566043429</v>
      </c>
      <c r="CX430" s="4">
        <f t="shared" ref="CX430" si="1505">CS430</f>
        <v>0.83703352176496904</v>
      </c>
      <c r="CY430" s="4">
        <f t="shared" ref="CY430:CZ430" si="1506">CQ430</f>
        <v>0.75774169091366828</v>
      </c>
      <c r="CZ430" s="4">
        <f t="shared" si="1506"/>
        <v>0.78437925291382093</v>
      </c>
      <c r="DI430" s="4">
        <f t="shared" si="1285"/>
        <v>368.29999999999995</v>
      </c>
      <c r="DL430" s="4">
        <f t="shared" si="1453"/>
        <v>1.9820544052469766E-5</v>
      </c>
      <c r="DM430" s="4">
        <f t="shared" si="1313"/>
        <v>6.747614087532412</v>
      </c>
      <c r="DN430" s="4">
        <f t="shared" si="1454"/>
        <v>0.31874781170116245</v>
      </c>
      <c r="DO430" s="4">
        <f t="shared" si="1455"/>
        <v>4.2709955706034792</v>
      </c>
      <c r="DP430" s="4">
        <f t="shared" si="1456"/>
        <v>5.6474194433333995</v>
      </c>
      <c r="DQ430" s="4">
        <f t="shared" si="1457"/>
        <v>6.2937040988749562</v>
      </c>
      <c r="DR430" s="38">
        <f t="shared" si="1471"/>
        <v>483.28724807283595</v>
      </c>
      <c r="DS430" s="4">
        <f t="shared" si="1382"/>
        <v>1.0001114384707104</v>
      </c>
      <c r="DT430" s="4">
        <f t="shared" si="1458"/>
        <v>3.0983866769659336</v>
      </c>
      <c r="DU430" s="4">
        <f t="shared" si="1390"/>
        <v>261.39463494941111</v>
      </c>
      <c r="DY430" s="4">
        <f t="shared" si="1331"/>
        <v>0.85</v>
      </c>
      <c r="DZ430" s="4">
        <f t="shared" si="1383"/>
        <v>0.91914893617021276</v>
      </c>
      <c r="EA430" s="4">
        <f t="shared" si="1472"/>
        <v>1</v>
      </c>
      <c r="EB430" s="4">
        <f t="shared" si="1384"/>
        <v>0.91914893617021276</v>
      </c>
      <c r="ED430" s="4">
        <f t="shared" si="1473"/>
        <v>466.87478689847376</v>
      </c>
      <c r="EE430" s="25">
        <f t="shared" si="1474"/>
        <v>258.70371398523974</v>
      </c>
      <c r="EG430" s="4">
        <f t="shared" si="1391"/>
        <v>0.78127659574468078</v>
      </c>
      <c r="EH430" s="4">
        <f t="shared" si="1475"/>
        <v>6.747614087532412</v>
      </c>
      <c r="EK430" s="4">
        <f t="shared" si="1459"/>
        <v>110.96562044885792</v>
      </c>
      <c r="EL430" s="4">
        <f t="shared" si="1460"/>
        <v>3.0983866769659336</v>
      </c>
      <c r="EM430" s="4">
        <f t="shared" si="1461"/>
        <v>0.11183703425417155</v>
      </c>
      <c r="EP430" s="4">
        <f t="shared" si="1301"/>
        <v>0.11183703425417155</v>
      </c>
      <c r="EQ430" s="4">
        <f t="shared" si="1257"/>
        <v>0.31821588100994969</v>
      </c>
      <c r="ER430" s="4">
        <f t="shared" si="1314"/>
        <v>4.2681431437555215</v>
      </c>
      <c r="ES430" s="4">
        <f t="shared" si="1286"/>
        <v>5.6463444393818696</v>
      </c>
      <c r="ET430" s="4">
        <f t="shared" si="1315"/>
        <v>165.25937955114205</v>
      </c>
      <c r="EU430" s="4">
        <f t="shared" si="1316"/>
        <v>92.074999999999989</v>
      </c>
      <c r="EV430" s="4">
        <f t="shared" si="1385"/>
        <v>1.9820544052469766E-5</v>
      </c>
      <c r="EW430" s="4">
        <f t="shared" si="1287"/>
        <v>6.2938346744457556</v>
      </c>
      <c r="EX430" s="4">
        <f t="shared" si="1422"/>
        <v>483.23339728204667</v>
      </c>
      <c r="FG430" s="23">
        <f t="shared" si="1329"/>
        <v>1.2</v>
      </c>
      <c r="FH430" s="23">
        <f t="shared" si="1329"/>
        <v>0.6</v>
      </c>
      <c r="FI430" s="23">
        <f t="shared" si="1248"/>
        <v>1</v>
      </c>
      <c r="FJ430" s="23">
        <f t="shared" si="1330"/>
        <v>1.8</v>
      </c>
      <c r="FK430" s="23">
        <f t="shared" si="1330"/>
        <v>0.8</v>
      </c>
      <c r="FL430" s="23">
        <f t="shared" si="1330"/>
        <v>0.8</v>
      </c>
      <c r="FM430" s="23">
        <f t="shared" si="1478"/>
        <v>1</v>
      </c>
      <c r="FN430" s="23"/>
      <c r="FX430" s="4">
        <f t="shared" si="1386"/>
        <v>1</v>
      </c>
      <c r="FY430" s="4">
        <f t="shared" si="1429"/>
        <v>0.5</v>
      </c>
      <c r="FZ430" s="4">
        <f t="shared" si="1387"/>
        <v>0</v>
      </c>
      <c r="GA430" s="4">
        <f t="shared" si="1388"/>
        <v>437.50565184001266</v>
      </c>
    </row>
    <row r="431" spans="1:183" ht="12" hidden="1" customHeight="1" x14ac:dyDescent="0.3">
      <c r="A431" s="25">
        <v>413</v>
      </c>
      <c r="B431" s="4" t="s">
        <v>605</v>
      </c>
      <c r="C431" s="4">
        <v>2016</v>
      </c>
      <c r="D431" s="4" t="s">
        <v>309</v>
      </c>
      <c r="E431" s="14" t="s">
        <v>678</v>
      </c>
      <c r="F431" s="7" t="s">
        <v>583</v>
      </c>
      <c r="G431" s="38">
        <f t="shared" si="1489"/>
        <v>931.0344827586207</v>
      </c>
      <c r="H431" s="38">
        <f>14.63*25.4</f>
        <v>371.60199999999998</v>
      </c>
      <c r="I431" s="4">
        <f t="shared" si="1288"/>
        <v>371.60199999999998</v>
      </c>
      <c r="J431" s="38">
        <f>5970/145</f>
        <v>41.172413793103445</v>
      </c>
      <c r="K431" s="38">
        <f t="shared" si="1490"/>
        <v>35.813999999999993</v>
      </c>
      <c r="L431" s="7">
        <f t="shared" si="1289"/>
        <v>10.375886524822697</v>
      </c>
      <c r="M431" s="7">
        <f t="shared" si="1290"/>
        <v>10.375886524822697</v>
      </c>
      <c r="N431" s="38">
        <f>21.5*25.4</f>
        <v>546.1</v>
      </c>
      <c r="O431" s="38">
        <f>2.6*25.4</f>
        <v>66.039999999999992</v>
      </c>
      <c r="P431" s="39">
        <f>3.5*25.4</f>
        <v>88.899999999999991</v>
      </c>
      <c r="Q431" s="7">
        <f t="shared" si="1291"/>
        <v>342.39200000000005</v>
      </c>
      <c r="R431" s="38">
        <v>2</v>
      </c>
      <c r="S431" s="4">
        <f t="shared" si="1361"/>
        <v>508</v>
      </c>
      <c r="T431" s="7">
        <f t="shared" si="1292"/>
        <v>2.3439716312056742</v>
      </c>
      <c r="U431" s="7">
        <f t="shared" si="1414"/>
        <v>2.3439716312056742</v>
      </c>
      <c r="V431" s="38">
        <v>8.6</v>
      </c>
      <c r="W431" s="4">
        <f t="shared" si="1293"/>
        <v>8.6</v>
      </c>
      <c r="X431" s="4">
        <f t="shared" si="1294"/>
        <v>9.6</v>
      </c>
      <c r="Y431" s="7">
        <f t="shared" si="1295"/>
        <v>110.96562044885792</v>
      </c>
      <c r="AB431" s="38">
        <f t="shared" si="1332"/>
        <v>496.55172413793105</v>
      </c>
      <c r="AC431" s="4">
        <v>72</v>
      </c>
      <c r="AD431" s="4">
        <f t="shared" si="1452"/>
        <v>1.0238289667935871</v>
      </c>
      <c r="AE431" s="38">
        <f t="shared" si="1479"/>
        <v>12.7</v>
      </c>
      <c r="AF431" s="38">
        <v>12</v>
      </c>
      <c r="AG431" s="39">
        <f>4*25.4</f>
        <v>101.6</v>
      </c>
      <c r="AH431" s="39">
        <v>2</v>
      </c>
      <c r="AI431" s="39">
        <f>AH431-1</f>
        <v>1</v>
      </c>
      <c r="AJ431" s="7"/>
      <c r="AK431" s="4">
        <f t="shared" si="1297"/>
        <v>371.60199999999998</v>
      </c>
      <c r="AL431" s="4">
        <f t="shared" si="1462"/>
        <v>0.48986101617680572</v>
      </c>
      <c r="AM431" s="4">
        <f t="shared" si="1463"/>
        <v>228.13645720575076</v>
      </c>
      <c r="AN431" s="4">
        <f t="shared" si="1464"/>
        <v>0.74518113465481883</v>
      </c>
      <c r="AO431" s="4">
        <v>1.25</v>
      </c>
      <c r="AP431" s="4">
        <f t="shared" si="1396"/>
        <v>2.5</v>
      </c>
      <c r="AQ431" s="38">
        <f t="shared" si="1266"/>
        <v>260.24323285410298</v>
      </c>
      <c r="AR431" s="38">
        <f t="shared" si="1465"/>
        <v>260.24323285410298</v>
      </c>
      <c r="AS431" s="38">
        <f t="shared" si="1466"/>
        <v>3.5770538153249696</v>
      </c>
      <c r="AT431" s="38">
        <f t="shared" si="1407"/>
        <v>260.24323285410264</v>
      </c>
      <c r="AU431" s="38">
        <f t="shared" si="1373"/>
        <v>1.0000000000000013</v>
      </c>
      <c r="AV431" s="38">
        <f t="shared" si="1249"/>
        <v>2.1749959672351045</v>
      </c>
      <c r="AW431" s="4">
        <f t="shared" si="1230"/>
        <v>0</v>
      </c>
      <c r="AX431" s="4">
        <f t="shared" si="1298"/>
        <v>350.40861657663839</v>
      </c>
      <c r="AY431" s="4">
        <f t="shared" si="1267"/>
        <v>1</v>
      </c>
      <c r="AZ431" s="38">
        <f t="shared" si="1389"/>
        <v>566.02798195789944</v>
      </c>
      <c r="BA431" s="4">
        <f t="shared" si="1268"/>
        <v>0.3</v>
      </c>
      <c r="BB431" s="4">
        <f t="shared" si="1269"/>
        <v>54.926550648388073</v>
      </c>
      <c r="BC431" s="4">
        <f t="shared" si="1270"/>
        <v>620.95453260628756</v>
      </c>
      <c r="BE431" s="4">
        <f t="shared" si="1408"/>
        <v>1.5</v>
      </c>
      <c r="BF431" s="4">
        <f t="shared" si="1415"/>
        <v>588.34516875468432</v>
      </c>
      <c r="BH431" s="4">
        <f t="shared" si="1416"/>
        <v>542.89005540924711</v>
      </c>
      <c r="BI431" s="4">
        <f t="shared" si="1350"/>
        <v>0</v>
      </c>
      <c r="BJ431" s="4">
        <f t="shared" si="1417"/>
        <v>0</v>
      </c>
      <c r="BR431" s="4">
        <f t="shared" si="1271"/>
        <v>66.039999999999992</v>
      </c>
      <c r="BV431" s="9"/>
      <c r="BX431" s="9"/>
      <c r="BY431" s="9"/>
      <c r="BZ431" s="9">
        <f t="shared" si="1272"/>
        <v>66.039999999999992</v>
      </c>
      <c r="CA431" s="9">
        <f t="shared" si="1273"/>
        <v>171.19600000000003</v>
      </c>
      <c r="CB431" s="9">
        <f t="shared" si="1374"/>
        <v>1.5664989205143935</v>
      </c>
      <c r="CC431" s="40">
        <f t="shared" si="1299"/>
        <v>20</v>
      </c>
      <c r="CD431" s="9">
        <f t="shared" si="1274"/>
        <v>0.05</v>
      </c>
      <c r="CE431" s="9">
        <f t="shared" si="1275"/>
        <v>0.8</v>
      </c>
      <c r="CF431" s="9">
        <f t="shared" si="1276"/>
        <v>0.89777220146327208</v>
      </c>
      <c r="CG431" s="9">
        <f t="shared" si="1277"/>
        <v>0.68</v>
      </c>
      <c r="CH431" s="9">
        <f t="shared" si="1375"/>
        <v>1.3710278453315501</v>
      </c>
      <c r="CI431" s="9">
        <f t="shared" si="1376"/>
        <v>3.2445359159722882</v>
      </c>
      <c r="CJ431" s="40">
        <v>1</v>
      </c>
      <c r="CK431" s="9">
        <f t="shared" si="1377"/>
        <v>329.33190091769779</v>
      </c>
      <c r="CM431" s="4">
        <f t="shared" si="1278"/>
        <v>1.417064822746245</v>
      </c>
      <c r="CN431" s="4">
        <f t="shared" si="1279"/>
        <v>0.79965874804680204</v>
      </c>
      <c r="CO431" s="4">
        <f t="shared" si="1242"/>
        <v>0.8439802865874686</v>
      </c>
      <c r="CP431" s="4">
        <f t="shared" si="1280"/>
        <v>1.5077547081053122</v>
      </c>
      <c r="CQ431" s="4">
        <f t="shared" si="1476"/>
        <v>1.0238289667935871</v>
      </c>
      <c r="CR431" s="4">
        <f t="shared" si="1477"/>
        <v>1.059782127050285</v>
      </c>
      <c r="CS431" s="4">
        <f t="shared" si="1243"/>
        <v>0.99472144636362514</v>
      </c>
      <c r="CT431" s="4">
        <f t="shared" si="1300"/>
        <v>12</v>
      </c>
      <c r="DA431" s="4">
        <f t="shared" ref="DA431:DB431" si="1507">CM431</f>
        <v>1.417064822746245</v>
      </c>
      <c r="DB431" s="4">
        <f t="shared" si="1507"/>
        <v>0.79965874804680204</v>
      </c>
      <c r="DC431" s="4">
        <f t="shared" ref="DC431" si="1508">CP431</f>
        <v>1.5077547081053122</v>
      </c>
      <c r="DD431" s="4">
        <f t="shared" ref="DD431" si="1509">CS431</f>
        <v>0.99472144636362514</v>
      </c>
      <c r="DE431" s="4">
        <f t="shared" ref="DE431:DF431" si="1510">CQ431</f>
        <v>1.0238289667935871</v>
      </c>
      <c r="DF431" s="4">
        <f t="shared" si="1510"/>
        <v>1.059782127050285</v>
      </c>
      <c r="DI431" s="4">
        <f t="shared" si="1285"/>
        <v>371.60199999999998</v>
      </c>
      <c r="DL431" s="4">
        <f t="shared" si="1453"/>
        <v>1.9998245481905705E-5</v>
      </c>
      <c r="DM431" s="4">
        <f t="shared" si="1313"/>
        <v>6.7767896158633691</v>
      </c>
      <c r="DN431" s="4">
        <f t="shared" si="1454"/>
        <v>0.31734377791776541</v>
      </c>
      <c r="DO431" s="4">
        <f t="shared" si="1455"/>
        <v>4.2818948513947275</v>
      </c>
      <c r="DP431" s="4">
        <f t="shared" si="1456"/>
        <v>5.668986978278669</v>
      </c>
      <c r="DQ431" s="4">
        <f t="shared" si="1457"/>
        <v>6.310811171007674</v>
      </c>
      <c r="DR431" s="38">
        <f t="shared" si="1471"/>
        <v>484.99479917336646</v>
      </c>
      <c r="DS431" s="4">
        <f t="shared" si="1382"/>
        <v>1.0001118147189711</v>
      </c>
      <c r="DT431" s="4">
        <f t="shared" si="1458"/>
        <v>3.0983866769659336</v>
      </c>
      <c r="DU431" s="4">
        <f t="shared" si="1390"/>
        <v>260.24323285410264</v>
      </c>
      <c r="DY431" s="4">
        <f t="shared" si="1331"/>
        <v>0.85</v>
      </c>
      <c r="DZ431" s="4">
        <f t="shared" si="1383"/>
        <v>0.91560283687943256</v>
      </c>
      <c r="EA431" s="4">
        <f t="shared" si="1472"/>
        <v>0.9995510789195714</v>
      </c>
      <c r="EB431" s="4">
        <f t="shared" si="1384"/>
        <v>0.91519180346465712</v>
      </c>
      <c r="ED431" s="4">
        <f t="shared" si="1473"/>
        <v>468.54132699896951</v>
      </c>
      <c r="EE431" s="25">
        <f t="shared" si="1474"/>
        <v>257.59572682858419</v>
      </c>
      <c r="EG431" s="4">
        <f t="shared" si="1391"/>
        <v>0.7779130329449585</v>
      </c>
      <c r="EH431" s="4">
        <f t="shared" si="1475"/>
        <v>6.7767896158633691</v>
      </c>
      <c r="EK431" s="4">
        <f t="shared" si="1459"/>
        <v>110.96562044885792</v>
      </c>
      <c r="EL431" s="4">
        <f t="shared" si="1460"/>
        <v>3.0983866769659336</v>
      </c>
      <c r="EM431" s="4">
        <f t="shared" si="1461"/>
        <v>0.11134440977625042</v>
      </c>
      <c r="EP431" s="4">
        <f t="shared" si="1301"/>
        <v>0.11134440977625042</v>
      </c>
      <c r="EQ431" s="4">
        <f t="shared" si="1257"/>
        <v>0.31681419029726077</v>
      </c>
      <c r="ER431" s="4">
        <f t="shared" si="1314"/>
        <v>4.2790351453537481</v>
      </c>
      <c r="ES431" s="4">
        <f t="shared" si="1286"/>
        <v>5.6679106328475442</v>
      </c>
      <c r="ET431" s="4">
        <f t="shared" si="1315"/>
        <v>167.73587955114209</v>
      </c>
      <c r="EU431" s="4">
        <f t="shared" si="1316"/>
        <v>92.900499999999965</v>
      </c>
      <c r="EV431" s="4">
        <f t="shared" si="1385"/>
        <v>1.9998245481905698E-5</v>
      </c>
      <c r="EW431" s="4">
        <f t="shared" si="1287"/>
        <v>6.3109444399085284</v>
      </c>
      <c r="EX431" s="4">
        <f t="shared" si="1422"/>
        <v>484.94057567917923</v>
      </c>
      <c r="FG431" s="23">
        <f t="shared" si="1329"/>
        <v>1.6</v>
      </c>
      <c r="FH431" s="23">
        <f t="shared" si="1329"/>
        <v>0.8</v>
      </c>
      <c r="FI431" s="23">
        <f t="shared" si="1248"/>
        <v>1</v>
      </c>
      <c r="FJ431" s="23">
        <f t="shared" si="1330"/>
        <v>1.6</v>
      </c>
      <c r="FK431" s="23">
        <f t="shared" si="1330"/>
        <v>1.2</v>
      </c>
      <c r="FL431" s="23">
        <f t="shared" si="1330"/>
        <v>1.2</v>
      </c>
      <c r="FM431" s="23">
        <f t="shared" si="1478"/>
        <v>0</v>
      </c>
      <c r="FN431" s="23"/>
      <c r="FX431" s="4">
        <f t="shared" si="1386"/>
        <v>1</v>
      </c>
      <c r="FY431" s="4">
        <f t="shared" si="1429"/>
        <v>0.44214730608235164</v>
      </c>
      <c r="FZ431" s="4">
        <f t="shared" si="1387"/>
        <v>0.25149640360142855</v>
      </c>
      <c r="GA431" s="4">
        <f t="shared" si="1388"/>
        <v>499.18670795041271</v>
      </c>
    </row>
    <row r="432" spans="1:183" ht="12" hidden="1" customHeight="1" x14ac:dyDescent="0.3">
      <c r="A432" s="25">
        <v>414</v>
      </c>
      <c r="B432" s="4" t="s">
        <v>605</v>
      </c>
      <c r="C432" s="4">
        <v>2016</v>
      </c>
      <c r="D432" s="4" t="s">
        <v>309</v>
      </c>
      <c r="E432" s="14" t="s">
        <v>678</v>
      </c>
      <c r="F432" s="7" t="s">
        <v>584</v>
      </c>
      <c r="G432" s="38">
        <f t="shared" si="1489"/>
        <v>931.0344827586207</v>
      </c>
      <c r="H432" s="38">
        <f>14.71*25.4</f>
        <v>373.63400000000001</v>
      </c>
      <c r="I432" s="4">
        <f t="shared" si="1288"/>
        <v>373.63400000000001</v>
      </c>
      <c r="J432" s="38">
        <f>6240/145</f>
        <v>43.03448275862069</v>
      </c>
      <c r="K432" s="38">
        <f t="shared" si="1490"/>
        <v>35.813999999999993</v>
      </c>
      <c r="L432" s="7">
        <f t="shared" si="1289"/>
        <v>10.43262411347518</v>
      </c>
      <c r="M432" s="7">
        <f t="shared" si="1290"/>
        <v>10.43262411347518</v>
      </c>
      <c r="N432" s="38">
        <f>21.3*25.4</f>
        <v>541.02</v>
      </c>
      <c r="O432" s="38">
        <f>2.55*25.4</f>
        <v>64.77</v>
      </c>
      <c r="P432" s="39">
        <f>3.1*25.4</f>
        <v>78.739999999999995</v>
      </c>
      <c r="Q432" s="7">
        <f t="shared" si="1291"/>
        <v>152.01900000000001</v>
      </c>
      <c r="R432" s="38">
        <v>3</v>
      </c>
      <c r="S432" s="4">
        <f t="shared" si="1361"/>
        <v>508</v>
      </c>
      <c r="T432" s="7">
        <f t="shared" si="1292"/>
        <v>2.3085106382978724</v>
      </c>
      <c r="U432" s="7">
        <f t="shared" si="1414"/>
        <v>2.3085106382978724</v>
      </c>
      <c r="V432" s="38">
        <v>8.6</v>
      </c>
      <c r="W432" s="4">
        <f t="shared" si="1293"/>
        <v>8.6</v>
      </c>
      <c r="X432" s="4">
        <f t="shared" si="1294"/>
        <v>9.6</v>
      </c>
      <c r="Y432" s="7">
        <f t="shared" si="1295"/>
        <v>110.96562044885792</v>
      </c>
      <c r="AB432" s="38">
        <f t="shared" si="1332"/>
        <v>287.58620689655174</v>
      </c>
      <c r="AC432" s="4">
        <v>41.7</v>
      </c>
      <c r="AD432" s="4">
        <f t="shared" si="1452"/>
        <v>0.73182258163771818</v>
      </c>
      <c r="AE432" s="38"/>
      <c r="AF432" s="38"/>
      <c r="AG432" s="39">
        <v>1</v>
      </c>
      <c r="AH432" s="39"/>
      <c r="AI432" s="39"/>
      <c r="AJ432" s="7"/>
      <c r="AK432" s="4">
        <f t="shared" si="1297"/>
        <v>373.63400000000001</v>
      </c>
      <c r="AL432" s="4">
        <f t="shared" si="1462"/>
        <v>0.48266485384092445</v>
      </c>
      <c r="AM432" s="4">
        <f t="shared" si="1463"/>
        <v>156.76932308663888</v>
      </c>
      <c r="AN432" s="4">
        <f t="shared" si="1464"/>
        <v>0.74425560842963967</v>
      </c>
      <c r="AO432" s="4">
        <v>1.25</v>
      </c>
      <c r="AP432" s="4">
        <f t="shared" si="1396"/>
        <v>2.5</v>
      </c>
      <c r="AQ432" s="38">
        <f t="shared" si="1266"/>
        <v>175.98631465676814</v>
      </c>
      <c r="AR432" s="38">
        <f t="shared" si="1465"/>
        <v>175.98631465676814</v>
      </c>
      <c r="AS432" s="38">
        <f t="shared" si="1466"/>
        <v>3.684107660000056</v>
      </c>
      <c r="AT432" s="38">
        <f t="shared" si="1407"/>
        <v>175.98631465676814</v>
      </c>
      <c r="AU432" s="38">
        <f t="shared" si="1373"/>
        <v>1</v>
      </c>
      <c r="AV432" s="38">
        <f t="shared" si="1249"/>
        <v>3.3109208000229291</v>
      </c>
      <c r="AW432" s="4">
        <f t="shared" ref="AW432:AW449" si="1511">IF(AV432&lt;1,1,0)</f>
        <v>0</v>
      </c>
      <c r="AX432" s="4">
        <f t="shared" si="1298"/>
        <v>360.2037690712994</v>
      </c>
      <c r="AY432" s="4">
        <f t="shared" si="1267"/>
        <v>1</v>
      </c>
      <c r="AZ432" s="38">
        <f t="shared" si="1389"/>
        <v>582.67674971647375</v>
      </c>
      <c r="BA432" s="4">
        <f t="shared" si="1268"/>
        <v>0.3</v>
      </c>
      <c r="BB432" s="4">
        <f t="shared" si="1269"/>
        <v>56.461940801926183</v>
      </c>
      <c r="BC432" s="4">
        <f t="shared" si="1270"/>
        <v>639.13869051839993</v>
      </c>
      <c r="BE432" s="4">
        <f t="shared" si="1408"/>
        <v>1.2021276595744681</v>
      </c>
      <c r="BF432" s="4">
        <f t="shared" si="1415"/>
        <v>483.39737080367365</v>
      </c>
      <c r="BH432" s="4">
        <f t="shared" si="1416"/>
        <v>558.8582597013459</v>
      </c>
      <c r="BI432" s="4">
        <f t="shared" si="1350"/>
        <v>0</v>
      </c>
      <c r="BJ432" s="4">
        <f t="shared" si="1417"/>
        <v>0</v>
      </c>
      <c r="BR432" s="4">
        <f t="shared" si="1271"/>
        <v>64.77</v>
      </c>
      <c r="BV432" s="9"/>
      <c r="BX432" s="9"/>
      <c r="BY432" s="9"/>
      <c r="BZ432" s="9">
        <f t="shared" si="1272"/>
        <v>64.77</v>
      </c>
      <c r="CA432" s="9">
        <f t="shared" si="1273"/>
        <v>76.009500000000003</v>
      </c>
      <c r="CB432" s="9">
        <f t="shared" si="1374"/>
        <v>1.3774778709669167</v>
      </c>
      <c r="CC432" s="40">
        <f t="shared" si="1299"/>
        <v>0</v>
      </c>
      <c r="CD432" s="9">
        <f t="shared" si="1274"/>
        <v>0</v>
      </c>
      <c r="CE432" s="9">
        <f t="shared" si="1275"/>
        <v>0</v>
      </c>
      <c r="CF432" s="9">
        <f t="shared" si="1276"/>
        <v>0.89777220146327208</v>
      </c>
      <c r="CG432" s="9">
        <f t="shared" si="1277"/>
        <v>0.68</v>
      </c>
      <c r="CH432" s="9">
        <f t="shared" si="1375"/>
        <v>1.4016881590631138</v>
      </c>
      <c r="CI432" s="9">
        <f t="shared" si="1376"/>
        <v>1.9307944211057948</v>
      </c>
      <c r="CJ432" s="40">
        <v>1</v>
      </c>
      <c r="CK432" s="9">
        <f t="shared" si="1377"/>
        <v>196.42067500951435</v>
      </c>
      <c r="CM432" s="4">
        <f t="shared" si="1278"/>
        <v>0.79839866095245215</v>
      </c>
      <c r="CN432" s="4">
        <f t="shared" si="1279"/>
        <v>0.44995900132926242</v>
      </c>
      <c r="CO432" s="4">
        <f t="shared" si="1242"/>
        <v>0.59492712262465242</v>
      </c>
      <c r="CP432" s="4">
        <f t="shared" si="1280"/>
        <v>1.4641340932293478</v>
      </c>
      <c r="CQ432" s="4">
        <f t="shared" si="1476"/>
        <v>0.73182258163771818</v>
      </c>
      <c r="CR432" s="4">
        <f t="shared" si="1477"/>
        <v>0.73718451657272832</v>
      </c>
      <c r="CS432" s="4">
        <f t="shared" si="1243"/>
        <v>0.93509962123722112</v>
      </c>
      <c r="CT432" s="4">
        <f t="shared" si="1300"/>
        <v>0</v>
      </c>
      <c r="CU432" s="4">
        <f t="shared" ref="CU432:CV432" si="1512">CM432</f>
        <v>0.79839866095245215</v>
      </c>
      <c r="CV432" s="4">
        <f t="shared" si="1512"/>
        <v>0.44995900132926242</v>
      </c>
      <c r="CW432" s="4">
        <f t="shared" ref="CW432" si="1513">CP432</f>
        <v>1.4641340932293478</v>
      </c>
      <c r="CX432" s="4">
        <f t="shared" ref="CX432" si="1514">CS432</f>
        <v>0.93509962123722112</v>
      </c>
      <c r="CY432" s="4">
        <f t="shared" ref="CY432:CZ432" si="1515">CQ432</f>
        <v>0.73182258163771818</v>
      </c>
      <c r="CZ432" s="4">
        <f t="shared" si="1515"/>
        <v>0.73718451657272832</v>
      </c>
      <c r="DI432" s="4">
        <f t="shared" si="1285"/>
        <v>373.63400000000001</v>
      </c>
      <c r="DL432" s="4">
        <f t="shared" si="1453"/>
        <v>2.0354264447591749E-5</v>
      </c>
      <c r="DM432" s="4">
        <f t="shared" si="1313"/>
        <v>6.8985110700902181</v>
      </c>
      <c r="DN432" s="4">
        <f t="shared" si="1454"/>
        <v>0.20531429140864466</v>
      </c>
      <c r="DO432" s="4">
        <f t="shared" si="1455"/>
        <v>3.6620396124227161</v>
      </c>
      <c r="DP432" s="4">
        <f t="shared" si="1456"/>
        <v>5.5247735367075226</v>
      </c>
      <c r="DQ432" s="4">
        <f t="shared" si="1457"/>
        <v>6.4373532609562742</v>
      </c>
      <c r="DR432" s="38">
        <f t="shared" si="1471"/>
        <v>392.9725784806659</v>
      </c>
      <c r="DS432" s="4">
        <f t="shared" si="1382"/>
        <v>1.0001127920233142</v>
      </c>
      <c r="DT432" s="4">
        <f t="shared" si="1458"/>
        <v>3.0983866769659336</v>
      </c>
      <c r="DU432" s="4">
        <f t="shared" si="1390"/>
        <v>175.98631465676814</v>
      </c>
      <c r="DY432" s="4">
        <f t="shared" si="1331"/>
        <v>0.85</v>
      </c>
      <c r="DZ432" s="4">
        <f t="shared" si="1383"/>
        <v>0.91914893617021276</v>
      </c>
      <c r="EA432" s="4">
        <f t="shared" si="1472"/>
        <v>1</v>
      </c>
      <c r="EB432" s="4">
        <f t="shared" si="1384"/>
        <v>0.91914893617021276</v>
      </c>
      <c r="ED432" s="4">
        <f t="shared" si="1473"/>
        <v>390.11427998186855</v>
      </c>
      <c r="EE432" s="25">
        <f t="shared" si="1474"/>
        <v>174.20556117117252</v>
      </c>
      <c r="EG432" s="4">
        <f t="shared" si="1391"/>
        <v>0.78127659574468078</v>
      </c>
      <c r="EH432" s="4">
        <f t="shared" si="1475"/>
        <v>6.8985110700902181</v>
      </c>
      <c r="EK432" s="4">
        <f t="shared" si="1459"/>
        <v>110.96562044885792</v>
      </c>
      <c r="EL432" s="4">
        <f t="shared" si="1460"/>
        <v>3.0983866769659336</v>
      </c>
      <c r="EM432" s="4">
        <f t="shared" si="1461"/>
        <v>7.3648302216110448E-2</v>
      </c>
      <c r="EP432" s="4">
        <f t="shared" si="1301"/>
        <v>7.3648302216110448E-2</v>
      </c>
      <c r="EQ432" s="4">
        <f t="shared" si="1257"/>
        <v>0.20497166012166579</v>
      </c>
      <c r="ER432" s="4">
        <f t="shared" si="1314"/>
        <v>3.6595938828647983</v>
      </c>
      <c r="ES432" s="4">
        <f t="shared" si="1286"/>
        <v>5.5239702322069224</v>
      </c>
      <c r="ET432" s="4">
        <f t="shared" si="1315"/>
        <v>169.25987955114209</v>
      </c>
      <c r="EU432" s="4">
        <f t="shared" si="1316"/>
        <v>93.408500000000004</v>
      </c>
      <c r="EV432" s="4">
        <f t="shared" si="1385"/>
        <v>2.0354264447591749E-5</v>
      </c>
      <c r="EW432" s="4">
        <f t="shared" si="1287"/>
        <v>6.4374661778959545</v>
      </c>
      <c r="EX432" s="4">
        <f t="shared" si="1422"/>
        <v>392.92825930728134</v>
      </c>
      <c r="FG432" s="23">
        <f t="shared" si="1329"/>
        <v>0.8</v>
      </c>
      <c r="FH432" s="23">
        <f t="shared" si="1329"/>
        <v>0.6</v>
      </c>
      <c r="FI432" s="23">
        <f t="shared" si="1248"/>
        <v>1</v>
      </c>
      <c r="FJ432" s="23">
        <f t="shared" si="1330"/>
        <v>1.6</v>
      </c>
      <c r="FK432" s="23">
        <f t="shared" si="1330"/>
        <v>0.8</v>
      </c>
      <c r="FL432" s="23">
        <f t="shared" si="1330"/>
        <v>0.8</v>
      </c>
      <c r="FM432" s="23">
        <f t="shared" si="1478"/>
        <v>1</v>
      </c>
      <c r="FN432" s="23"/>
      <c r="FX432" s="4">
        <f t="shared" si="1386"/>
        <v>1</v>
      </c>
      <c r="FY432" s="4">
        <f t="shared" si="1429"/>
        <v>0.72960992907801414</v>
      </c>
      <c r="FZ432" s="4">
        <f t="shared" si="1387"/>
        <v>0</v>
      </c>
      <c r="GA432" s="4">
        <f t="shared" si="1388"/>
        <v>307.54606286338696</v>
      </c>
    </row>
    <row r="433" spans="1:183" ht="12" hidden="1" customHeight="1" x14ac:dyDescent="0.3">
      <c r="A433" s="25">
        <v>415</v>
      </c>
      <c r="B433" s="4" t="s">
        <v>605</v>
      </c>
      <c r="C433" s="4">
        <v>2016</v>
      </c>
      <c r="D433" s="4" t="s">
        <v>309</v>
      </c>
      <c r="E433" s="14" t="s">
        <v>678</v>
      </c>
      <c r="F433" s="7" t="s">
        <v>585</v>
      </c>
      <c r="G433" s="38">
        <f t="shared" si="1489"/>
        <v>931.0344827586207</v>
      </c>
      <c r="H433" s="38">
        <f>14.54*25.4</f>
        <v>369.31599999999997</v>
      </c>
      <c r="I433" s="4">
        <f t="shared" si="1288"/>
        <v>369.31599999999997</v>
      </c>
      <c r="J433" s="38">
        <f>6240/145</f>
        <v>43.03448275862069</v>
      </c>
      <c r="K433" s="38">
        <f t="shared" si="1490"/>
        <v>35.813999999999993</v>
      </c>
      <c r="L433" s="7">
        <f t="shared" si="1289"/>
        <v>10.312056737588653</v>
      </c>
      <c r="M433" s="7">
        <f t="shared" si="1290"/>
        <v>10.312056737588653</v>
      </c>
      <c r="N433" s="38">
        <f>21.4*25.4</f>
        <v>543.55999999999995</v>
      </c>
      <c r="O433" s="38">
        <f>2.65*25.4</f>
        <v>67.309999999999988</v>
      </c>
      <c r="P433" s="39">
        <f>3.2*25.4</f>
        <v>81.28</v>
      </c>
      <c r="Q433" s="7">
        <f t="shared" si="1291"/>
        <v>150.74899999999997</v>
      </c>
      <c r="R433" s="38">
        <v>3</v>
      </c>
      <c r="S433" s="4">
        <f t="shared" si="1361"/>
        <v>508</v>
      </c>
      <c r="T433" s="7">
        <f t="shared" si="1292"/>
        <v>2.3794326241134751</v>
      </c>
      <c r="U433" s="7">
        <f t="shared" si="1414"/>
        <v>2.3794326241134751</v>
      </c>
      <c r="V433" s="38">
        <v>8.6</v>
      </c>
      <c r="W433" s="4">
        <f t="shared" si="1293"/>
        <v>8.6</v>
      </c>
      <c r="X433" s="4">
        <f t="shared" si="1294"/>
        <v>9.6</v>
      </c>
      <c r="Y433" s="7">
        <f t="shared" si="1295"/>
        <v>110.96562044885792</v>
      </c>
      <c r="AB433" s="38">
        <f t="shared" si="1332"/>
        <v>334.48275862068965</v>
      </c>
      <c r="AC433" s="4">
        <v>48.5</v>
      </c>
      <c r="AD433" s="4">
        <f t="shared" si="1452"/>
        <v>0.85256630700679548</v>
      </c>
      <c r="AE433" s="38">
        <f t="shared" si="1479"/>
        <v>12.7</v>
      </c>
      <c r="AF433" s="38">
        <v>12</v>
      </c>
      <c r="AG433" s="39">
        <f>4*25.4</f>
        <v>101.6</v>
      </c>
      <c r="AH433" s="39">
        <v>2</v>
      </c>
      <c r="AI433" s="39">
        <f>AH433-1</f>
        <v>1</v>
      </c>
      <c r="AJ433" s="7"/>
      <c r="AK433" s="4">
        <f t="shared" si="1297"/>
        <v>369.31599999999997</v>
      </c>
      <c r="AL433" s="4">
        <f t="shared" si="1462"/>
        <v>0.4906006419073819</v>
      </c>
      <c r="AM433" s="4">
        <f t="shared" si="1463"/>
        <v>154.05957086781055</v>
      </c>
      <c r="AN433" s="4">
        <f t="shared" si="1464"/>
        <v>0.74614855570839056</v>
      </c>
      <c r="AO433" s="4">
        <v>1.25</v>
      </c>
      <c r="AP433" s="4">
        <f t="shared" si="1396"/>
        <v>2.5</v>
      </c>
      <c r="AQ433" s="38">
        <f t="shared" si="1266"/>
        <v>176.23498271549212</v>
      </c>
      <c r="AR433" s="38">
        <f t="shared" si="1465"/>
        <v>176.23498271549212</v>
      </c>
      <c r="AS433" s="38">
        <f t="shared" si="1466"/>
        <v>3.684107660000056</v>
      </c>
      <c r="AT433" s="38">
        <f t="shared" si="1407"/>
        <v>176.23498271549224</v>
      </c>
      <c r="AU433" s="38">
        <f t="shared" si="1373"/>
        <v>0.99999999999999933</v>
      </c>
      <c r="AV433" s="38">
        <f t="shared" si="1249"/>
        <v>3.4078235539634179</v>
      </c>
      <c r="AW433" s="4">
        <f t="shared" si="1511"/>
        <v>0</v>
      </c>
      <c r="AX433" s="4">
        <f t="shared" si="1298"/>
        <v>356.04097908203204</v>
      </c>
      <c r="AY433" s="4">
        <f t="shared" si="1267"/>
        <v>1</v>
      </c>
      <c r="AZ433" s="38">
        <f t="shared" si="1389"/>
        <v>600.57772513019029</v>
      </c>
      <c r="BA433" s="4">
        <f t="shared" si="1268"/>
        <v>0.3</v>
      </c>
      <c r="BB433" s="4">
        <f t="shared" si="1269"/>
        <v>55.809423471108531</v>
      </c>
      <c r="BC433" s="4">
        <f t="shared" si="1270"/>
        <v>656.3871486012988</v>
      </c>
      <c r="BE433" s="4">
        <f t="shared" si="1408"/>
        <v>1.5</v>
      </c>
      <c r="BF433" s="4">
        <f t="shared" si="1415"/>
        <v>599.61806485402587</v>
      </c>
      <c r="BH433" s="4">
        <f t="shared" si="1416"/>
        <v>576.02748426974358</v>
      </c>
      <c r="BI433" s="4">
        <f t="shared" si="1350"/>
        <v>0</v>
      </c>
      <c r="BJ433" s="4">
        <f t="shared" si="1417"/>
        <v>0</v>
      </c>
      <c r="BR433" s="4">
        <f t="shared" si="1271"/>
        <v>67.309999999999988</v>
      </c>
      <c r="BV433" s="9"/>
      <c r="BX433" s="9"/>
      <c r="BY433" s="9"/>
      <c r="BZ433" s="9">
        <f t="shared" si="1272"/>
        <v>67.309999999999988</v>
      </c>
      <c r="CA433" s="9">
        <f t="shared" si="1273"/>
        <v>75.374499999999983</v>
      </c>
      <c r="CB433" s="9">
        <f t="shared" si="1374"/>
        <v>1.3943927264184584</v>
      </c>
      <c r="CC433" s="40">
        <f t="shared" si="1299"/>
        <v>20</v>
      </c>
      <c r="CD433" s="9">
        <f t="shared" si="1274"/>
        <v>0.05</v>
      </c>
      <c r="CE433" s="9">
        <f t="shared" si="1275"/>
        <v>0.8</v>
      </c>
      <c r="CF433" s="9">
        <f t="shared" si="1276"/>
        <v>0.89777220146327208</v>
      </c>
      <c r="CG433" s="9">
        <f t="shared" si="1277"/>
        <v>0.68</v>
      </c>
      <c r="CH433" s="9">
        <f t="shared" si="1375"/>
        <v>1.4016881590631138</v>
      </c>
      <c r="CI433" s="9">
        <f t="shared" si="1376"/>
        <v>3.0758543009549761</v>
      </c>
      <c r="CJ433" s="40">
        <v>1</v>
      </c>
      <c r="CK433" s="9">
        <f t="shared" si="1377"/>
        <v>311.42479432931378</v>
      </c>
      <c r="CM433" s="4">
        <f t="shared" si="1278"/>
        <v>0.93945017082886029</v>
      </c>
      <c r="CN433" s="4">
        <f t="shared" si="1279"/>
        <v>0.50958151653858841</v>
      </c>
      <c r="CO433" s="4">
        <f t="shared" si="1242"/>
        <v>0.55782635351741428</v>
      </c>
      <c r="CP433" s="4">
        <f t="shared" si="1280"/>
        <v>1.0740402328627483</v>
      </c>
      <c r="CQ433" s="4">
        <f t="shared" si="1476"/>
        <v>0.85256630700679548</v>
      </c>
      <c r="CR433" s="4">
        <f t="shared" si="1477"/>
        <v>0.85852739822939572</v>
      </c>
      <c r="CS433" s="4">
        <f t="shared" si="1243"/>
        <v>0.8900725411588033</v>
      </c>
      <c r="CT433" s="4">
        <f t="shared" si="1300"/>
        <v>12</v>
      </c>
      <c r="DA433" s="4">
        <f t="shared" ref="DA433:DB433" si="1516">CM433</f>
        <v>0.93945017082886029</v>
      </c>
      <c r="DB433" s="4">
        <f t="shared" si="1516"/>
        <v>0.50958151653858841</v>
      </c>
      <c r="DC433" s="4">
        <f t="shared" ref="DC433" si="1517">CP433</f>
        <v>1.0740402328627483</v>
      </c>
      <c r="DD433" s="4">
        <f t="shared" ref="DD433" si="1518">CS433</f>
        <v>0.8900725411588033</v>
      </c>
      <c r="DE433" s="4">
        <f t="shared" ref="DE433:DF433" si="1519">CQ433</f>
        <v>0.85256630700679548</v>
      </c>
      <c r="DF433" s="4">
        <f t="shared" si="1519"/>
        <v>0.85852739822939572</v>
      </c>
      <c r="DI433" s="4">
        <f t="shared" si="1285"/>
        <v>369.31599999999997</v>
      </c>
      <c r="DL433" s="4">
        <f t="shared" si="1453"/>
        <v>2.0119035014818761E-5</v>
      </c>
      <c r="DM433" s="4">
        <f t="shared" si="1313"/>
        <v>6.9552766057760431</v>
      </c>
      <c r="DN433" s="4">
        <f t="shared" si="1454"/>
        <v>0.20560439979788206</v>
      </c>
      <c r="DO433" s="4">
        <f t="shared" si="1455"/>
        <v>3.6942592364830715</v>
      </c>
      <c r="DP433" s="4">
        <f t="shared" si="1456"/>
        <v>5.5709205222766514</v>
      </c>
      <c r="DQ433" s="4">
        <f t="shared" si="1457"/>
        <v>6.4977521014947346</v>
      </c>
      <c r="DR433" s="38">
        <f t="shared" si="1471"/>
        <v>392.32462727151102</v>
      </c>
      <c r="DS433" s="4">
        <f t="shared" si="1382"/>
        <v>1.000113306336438</v>
      </c>
      <c r="DT433" s="4">
        <f t="shared" si="1458"/>
        <v>3.0983866769659336</v>
      </c>
      <c r="DU433" s="4">
        <f t="shared" si="1390"/>
        <v>176.23498271549224</v>
      </c>
      <c r="DY433" s="4">
        <f t="shared" si="1331"/>
        <v>0.85</v>
      </c>
      <c r="DZ433" s="4">
        <f t="shared" si="1383"/>
        <v>0.91205673758865247</v>
      </c>
      <c r="EA433" s="4">
        <f t="shared" si="1472"/>
        <v>0.9995510789195714</v>
      </c>
      <c r="EB433" s="4">
        <f t="shared" si="1384"/>
        <v>0.91164729609260198</v>
      </c>
      <c r="ED433" s="4">
        <f t="shared" si="1473"/>
        <v>389.600564071127</v>
      </c>
      <c r="EE433" s="25">
        <f t="shared" si="1474"/>
        <v>174.4309431179702</v>
      </c>
      <c r="EG433" s="4">
        <f t="shared" si="1391"/>
        <v>0.77490020167871165</v>
      </c>
      <c r="EH433" s="4">
        <f t="shared" si="1475"/>
        <v>6.9552766057760431</v>
      </c>
      <c r="EK433" s="4">
        <f t="shared" si="1459"/>
        <v>110.96562044885792</v>
      </c>
      <c r="EL433" s="4">
        <f t="shared" si="1460"/>
        <v>3.0983866769659336</v>
      </c>
      <c r="EM433" s="4">
        <f t="shared" si="1461"/>
        <v>7.375236701442231E-2</v>
      </c>
      <c r="EP433" s="4">
        <f t="shared" si="1301"/>
        <v>7.375236701442231E-2</v>
      </c>
      <c r="EQ433" s="4">
        <f t="shared" si="1257"/>
        <v>0.2052612843740704</v>
      </c>
      <c r="ER433" s="4">
        <f t="shared" si="1314"/>
        <v>3.6917919887289439</v>
      </c>
      <c r="ES433" s="4">
        <f t="shared" si="1286"/>
        <v>5.5701097719955328</v>
      </c>
      <c r="ET433" s="4">
        <f t="shared" si="1315"/>
        <v>166.02137955114205</v>
      </c>
      <c r="EU433" s="4">
        <f t="shared" si="1316"/>
        <v>92.329000000000008</v>
      </c>
      <c r="EV433" s="4">
        <f t="shared" si="1385"/>
        <v>2.0119035014818764E-5</v>
      </c>
      <c r="EW433" s="4">
        <f t="shared" si="1287"/>
        <v>6.4978649361638707</v>
      </c>
      <c r="EX433" s="4">
        <f t="shared" si="1422"/>
        <v>392.28017944152123</v>
      </c>
      <c r="FG433" s="23">
        <f t="shared" si="1329"/>
        <v>1</v>
      </c>
      <c r="FH433" s="23">
        <f t="shared" si="1329"/>
        <v>0.6</v>
      </c>
      <c r="FI433" s="23">
        <f t="shared" si="1248"/>
        <v>1</v>
      </c>
      <c r="FJ433" s="23">
        <f t="shared" si="1330"/>
        <v>1.2</v>
      </c>
      <c r="FK433" s="23">
        <f t="shared" si="1330"/>
        <v>1</v>
      </c>
      <c r="FL433" s="23">
        <f t="shared" si="1330"/>
        <v>1</v>
      </c>
      <c r="FM433" s="23">
        <f t="shared" si="1478"/>
        <v>0</v>
      </c>
      <c r="FN433" s="23"/>
      <c r="FX433" s="4">
        <f t="shared" si="1386"/>
        <v>1</v>
      </c>
      <c r="FY433" s="4">
        <f t="shared" si="1429"/>
        <v>0.59020693452459627</v>
      </c>
      <c r="FZ433" s="4">
        <f t="shared" si="1387"/>
        <v>0.16766426906761905</v>
      </c>
      <c r="GA433" s="4">
        <f t="shared" si="1388"/>
        <v>375.79269458781397</v>
      </c>
    </row>
    <row r="434" spans="1:183" ht="12" hidden="1" customHeight="1" x14ac:dyDescent="0.3">
      <c r="A434" s="25">
        <v>416</v>
      </c>
      <c r="B434" s="4" t="s">
        <v>605</v>
      </c>
      <c r="C434" s="4">
        <v>2016</v>
      </c>
      <c r="D434" s="4" t="s">
        <v>309</v>
      </c>
      <c r="E434" s="14" t="s">
        <v>586</v>
      </c>
      <c r="F434" s="48" t="s">
        <v>587</v>
      </c>
      <c r="G434" s="38">
        <f>115.9/0.145</f>
        <v>799.31034482758628</v>
      </c>
      <c r="H434" s="38">
        <f>17.13*25.4</f>
        <v>435.10199999999998</v>
      </c>
      <c r="I434" s="4">
        <f t="shared" si="1288"/>
        <v>435.10199999999998</v>
      </c>
      <c r="J434" s="38">
        <f>10860/145</f>
        <v>74.896551724137936</v>
      </c>
      <c r="K434" s="38">
        <f t="shared" si="1490"/>
        <v>35.813999999999993</v>
      </c>
      <c r="L434" s="7">
        <f t="shared" si="1289"/>
        <v>12.148936170212767</v>
      </c>
      <c r="M434" s="7">
        <f t="shared" si="1290"/>
        <v>12.148936170212767</v>
      </c>
      <c r="N434" s="38">
        <f>21.9*25.4</f>
        <v>556.25999999999988</v>
      </c>
      <c r="O434" s="38">
        <f>2.8*25.4</f>
        <v>71.11999999999999</v>
      </c>
      <c r="P434" s="39">
        <f>3.9*25.4</f>
        <v>99.059999999999988</v>
      </c>
      <c r="Q434" s="7">
        <f t="shared" si="1291"/>
        <v>342.39199999999994</v>
      </c>
      <c r="R434" s="38">
        <v>2</v>
      </c>
      <c r="S434" s="4">
        <f t="shared" si="1361"/>
        <v>508</v>
      </c>
      <c r="T434" s="7">
        <f t="shared" si="1292"/>
        <v>2.4858156028368796</v>
      </c>
      <c r="U434" s="7">
        <f t="shared" si="1414"/>
        <v>2.4858156028368796</v>
      </c>
      <c r="V434" s="38">
        <v>4.5</v>
      </c>
      <c r="W434" s="4">
        <f t="shared" si="1293"/>
        <v>4.5</v>
      </c>
      <c r="X434" s="4">
        <f t="shared" si="1294"/>
        <v>5.5</v>
      </c>
      <c r="Y434" s="7">
        <f t="shared" si="1295"/>
        <v>83.991275011158137</v>
      </c>
      <c r="AB434" s="38">
        <f t="shared" si="1332"/>
        <v>749.65517241379314</v>
      </c>
      <c r="AC434" s="4">
        <v>108.7</v>
      </c>
      <c r="AD434" s="4">
        <f t="shared" si="1452"/>
        <v>0.99737956201403044</v>
      </c>
      <c r="AE434" s="38"/>
      <c r="AF434" s="38"/>
      <c r="AG434" s="39">
        <v>1</v>
      </c>
      <c r="AH434" s="39"/>
      <c r="AI434" s="39"/>
      <c r="AJ434" s="7"/>
      <c r="AK434" s="4">
        <f t="shared" si="1297"/>
        <v>435.10199999999998</v>
      </c>
      <c r="AL434" s="4">
        <f t="shared" si="1462"/>
        <v>0.42615294804436654</v>
      </c>
      <c r="AM434" s="4">
        <f t="shared" si="1463"/>
        <v>389.84502406210481</v>
      </c>
      <c r="AN434" s="4">
        <f t="shared" si="1464"/>
        <v>0.74092235843549326</v>
      </c>
      <c r="AO434" s="4">
        <v>1.25</v>
      </c>
      <c r="AP434" s="4">
        <f t="shared" si="1396"/>
        <v>2.5</v>
      </c>
      <c r="AQ434" s="38">
        <f t="shared" si="1266"/>
        <v>384.66282307406311</v>
      </c>
      <c r="AR434" s="38">
        <f t="shared" si="1465"/>
        <v>384.66282307406311</v>
      </c>
      <c r="AS434" s="38">
        <f t="shared" si="1466"/>
        <v>4.7252710400583542</v>
      </c>
      <c r="AT434" s="38">
        <f t="shared" si="1407"/>
        <v>384.662823074063</v>
      </c>
      <c r="AU434" s="38">
        <f t="shared" si="1373"/>
        <v>1.0000000000000002</v>
      </c>
      <c r="AV434" s="38">
        <f t="shared" si="1249"/>
        <v>2.0534624733612792</v>
      </c>
      <c r="AW434" s="4">
        <f t="shared" si="1511"/>
        <v>0</v>
      </c>
      <c r="AX434" s="4">
        <f t="shared" si="1298"/>
        <v>553.3699362263194</v>
      </c>
      <c r="AY434" s="4">
        <f t="shared" si="1267"/>
        <v>1</v>
      </c>
      <c r="AZ434" s="38">
        <f t="shared" si="1389"/>
        <v>789.89067207979758</v>
      </c>
      <c r="BA434" s="4">
        <f t="shared" si="1268"/>
        <v>0.37</v>
      </c>
      <c r="BB434" s="4">
        <f t="shared" si="1269"/>
        <v>106.98024292095322</v>
      </c>
      <c r="BC434" s="4">
        <f t="shared" si="1270"/>
        <v>896.87091500075076</v>
      </c>
      <c r="BE434" s="4">
        <f t="shared" si="1408"/>
        <v>1.2464539007092199</v>
      </c>
      <c r="BF434" s="4">
        <f t="shared" si="1415"/>
        <v>716.77237488729395</v>
      </c>
      <c r="BH434" s="4">
        <f t="shared" si="1416"/>
        <v>757.60175185922924</v>
      </c>
      <c r="BI434" s="4">
        <f t="shared" si="1350"/>
        <v>0</v>
      </c>
      <c r="BJ434" s="4">
        <f t="shared" si="1417"/>
        <v>0</v>
      </c>
      <c r="BR434" s="4">
        <f t="shared" si="1271"/>
        <v>71.11999999999999</v>
      </c>
      <c r="BV434" s="9"/>
      <c r="BX434" s="9"/>
      <c r="BY434" s="9"/>
      <c r="BZ434" s="9">
        <f t="shared" si="1272"/>
        <v>71.11999999999999</v>
      </c>
      <c r="CA434" s="9">
        <f t="shared" si="1273"/>
        <v>171.19599999999997</v>
      </c>
      <c r="CB434" s="9">
        <f t="shared" si="1374"/>
        <v>1.6076619725091519</v>
      </c>
      <c r="CC434" s="40">
        <f t="shared" si="1299"/>
        <v>0</v>
      </c>
      <c r="CD434" s="9">
        <f t="shared" si="1274"/>
        <v>0</v>
      </c>
      <c r="CE434" s="9">
        <f t="shared" si="1275"/>
        <v>0</v>
      </c>
      <c r="CF434" s="9">
        <f t="shared" si="1276"/>
        <v>0.89777220146327208</v>
      </c>
      <c r="CG434" s="9">
        <f t="shared" si="1277"/>
        <v>0.68048275862068963</v>
      </c>
      <c r="CH434" s="9">
        <f t="shared" si="1375"/>
        <v>1.8504707967044269</v>
      </c>
      <c r="CI434" s="9">
        <f t="shared" si="1376"/>
        <v>2.9749315311004207</v>
      </c>
      <c r="CJ434" s="40">
        <v>1</v>
      </c>
      <c r="CK434" s="9">
        <f t="shared" si="1377"/>
        <v>323.06490499439462</v>
      </c>
      <c r="CM434" s="4">
        <f t="shared" si="1278"/>
        <v>1.3547088906311604</v>
      </c>
      <c r="CN434" s="4">
        <f t="shared" si="1279"/>
        <v>0.83585626412376812</v>
      </c>
      <c r="CO434" s="4">
        <f t="shared" si="1242"/>
        <v>1.0458762065595366</v>
      </c>
      <c r="CP434" s="4">
        <f t="shared" si="1280"/>
        <v>2.3204475658747277</v>
      </c>
      <c r="CQ434" s="4">
        <f t="shared" si="1476"/>
        <v>0.99737956201403044</v>
      </c>
      <c r="CR434" s="4">
        <f t="shared" si="1477"/>
        <v>1.0416632154626597</v>
      </c>
      <c r="CS434" s="4">
        <f t="shared" si="1243"/>
        <v>1.2488912988332597</v>
      </c>
      <c r="CT434" s="4">
        <f t="shared" si="1300"/>
        <v>0</v>
      </c>
      <c r="CU434" s="4">
        <f t="shared" ref="CU434:CV435" si="1520">CM434</f>
        <v>1.3547088906311604</v>
      </c>
      <c r="CV434" s="4">
        <f t="shared" si="1520"/>
        <v>0.83585626412376812</v>
      </c>
      <c r="CW434" s="4">
        <f t="shared" ref="CW434:CW435" si="1521">CP434</f>
        <v>2.3204475658747277</v>
      </c>
      <c r="CX434" s="4">
        <f t="shared" ref="CX434:CX435" si="1522">CS434</f>
        <v>1.2488912988332597</v>
      </c>
      <c r="CY434" s="4">
        <f t="shared" ref="CY434:CZ435" si="1523">CQ434</f>
        <v>0.99737956201403044</v>
      </c>
      <c r="CZ434" s="4">
        <f t="shared" si="1523"/>
        <v>1.0416632154626597</v>
      </c>
      <c r="DI434" s="4">
        <f t="shared" si="1285"/>
        <v>435.10199999999998</v>
      </c>
      <c r="DL434" s="4">
        <f t="shared" si="1453"/>
        <v>2.8871836657560902E-5</v>
      </c>
      <c r="DM434" s="4">
        <f t="shared" si="1313"/>
        <v>9.2797747433667563</v>
      </c>
      <c r="DN434" s="4">
        <f t="shared" si="1454"/>
        <v>0.37299836532167074</v>
      </c>
      <c r="DO434" s="4">
        <f t="shared" si="1455"/>
        <v>6.2548976220947603</v>
      </c>
      <c r="DP434" s="4">
        <f t="shared" si="1456"/>
        <v>7.9137503349969922</v>
      </c>
      <c r="DQ434" s="4">
        <f t="shared" si="1457"/>
        <v>7.7449094179753031</v>
      </c>
      <c r="DR434" s="38">
        <f t="shared" si="1471"/>
        <v>751.62475848211488</v>
      </c>
      <c r="DS434" s="4">
        <f t="shared" si="1382"/>
        <v>1.0001051543164863</v>
      </c>
      <c r="DT434" s="4">
        <f t="shared" si="1458"/>
        <v>2.3452078799117149</v>
      </c>
      <c r="DU434" s="4">
        <f t="shared" si="1390"/>
        <v>384.662823074063</v>
      </c>
      <c r="DY434" s="4">
        <f t="shared" si="1331"/>
        <v>0.85</v>
      </c>
      <c r="DZ434" s="4">
        <f t="shared" si="1383"/>
        <v>0.90141843971631208</v>
      </c>
      <c r="EA434" s="4">
        <f t="shared" si="1472"/>
        <v>1</v>
      </c>
      <c r="EB434" s="4">
        <f t="shared" si="1384"/>
        <v>0.90141843971631208</v>
      </c>
      <c r="ED434" s="4">
        <f t="shared" si="1473"/>
        <v>719.67134990058207</v>
      </c>
      <c r="EE434" s="25">
        <f t="shared" si="1474"/>
        <v>381.45317680723616</v>
      </c>
      <c r="EG434" s="4">
        <f t="shared" si="1391"/>
        <v>0.76620567375886528</v>
      </c>
      <c r="EH434" s="4">
        <f t="shared" si="1475"/>
        <v>9.2797747433667563</v>
      </c>
      <c r="EK434" s="4">
        <f t="shared" si="1459"/>
        <v>83.991275011158137</v>
      </c>
      <c r="EL434" s="4">
        <f t="shared" si="1460"/>
        <v>2.3452078799117149</v>
      </c>
      <c r="EM434" s="4">
        <f t="shared" si="1461"/>
        <v>0.17651154056078713</v>
      </c>
      <c r="EP434" s="4">
        <f t="shared" si="1301"/>
        <v>0.17651154056078713</v>
      </c>
      <c r="EQ434" s="4">
        <f t="shared" si="1257"/>
        <v>0.37237590056739411</v>
      </c>
      <c r="ER434" s="4">
        <f t="shared" si="1314"/>
        <v>6.2507202265405981</v>
      </c>
      <c r="ES434" s="4">
        <f t="shared" si="1286"/>
        <v>7.9121030475986087</v>
      </c>
      <c r="ET434" s="4">
        <f t="shared" si="1315"/>
        <v>242.33522498884187</v>
      </c>
      <c r="EU434" s="4">
        <f t="shared" si="1316"/>
        <v>108.77549999999999</v>
      </c>
      <c r="EV434" s="4">
        <f t="shared" si="1385"/>
        <v>2.8871836657560902E-5</v>
      </c>
      <c r="EW434" s="4">
        <f t="shared" si="1287"/>
        <v>7.7452999549797257</v>
      </c>
      <c r="EX434" s="4">
        <f t="shared" si="1422"/>
        <v>751.545730204547</v>
      </c>
      <c r="FA434" s="4">
        <f>6.75*25.4</f>
        <v>171.45</v>
      </c>
      <c r="FG434" s="23">
        <f t="shared" si="1329"/>
        <v>1.4</v>
      </c>
      <c r="FH434" s="23">
        <f t="shared" si="1329"/>
        <v>1</v>
      </c>
      <c r="FI434" s="23">
        <f t="shared" si="1248"/>
        <v>1.4</v>
      </c>
      <c r="FJ434" s="23">
        <f t="shared" si="1330"/>
        <v>2.2000000000000002</v>
      </c>
      <c r="FK434" s="23">
        <f t="shared" si="1330"/>
        <v>1</v>
      </c>
      <c r="FL434" s="23">
        <f t="shared" si="1330"/>
        <v>1.2</v>
      </c>
      <c r="FM434" s="23">
        <f t="shared" si="1478"/>
        <v>0</v>
      </c>
      <c r="FN434" s="23"/>
      <c r="FX434" s="4">
        <f t="shared" si="1386"/>
        <v>1</v>
      </c>
      <c r="FY434" s="4">
        <f t="shared" si="1429"/>
        <v>0.5</v>
      </c>
      <c r="FZ434" s="4">
        <f t="shared" si="1387"/>
        <v>0</v>
      </c>
      <c r="GA434" s="4">
        <f t="shared" si="1388"/>
        <v>600.25654203383169</v>
      </c>
    </row>
    <row r="435" spans="1:183" ht="12" hidden="1" customHeight="1" x14ac:dyDescent="0.3">
      <c r="A435" s="25">
        <v>417</v>
      </c>
      <c r="B435" s="4" t="s">
        <v>605</v>
      </c>
      <c r="C435" s="4">
        <v>2016</v>
      </c>
      <c r="D435" s="4" t="s">
        <v>309</v>
      </c>
      <c r="E435" s="14" t="s">
        <v>586</v>
      </c>
      <c r="F435" s="7" t="s">
        <v>588</v>
      </c>
      <c r="G435" s="38">
        <f>135/0.145</f>
        <v>931.0344827586207</v>
      </c>
      <c r="H435" s="38">
        <f>16.94*25.4</f>
        <v>430.27600000000001</v>
      </c>
      <c r="I435" s="4">
        <f t="shared" si="1288"/>
        <v>430.27600000000001</v>
      </c>
      <c r="J435" s="38">
        <f>10120/145</f>
        <v>69.793103448275858</v>
      </c>
      <c r="K435" s="38">
        <f t="shared" si="1490"/>
        <v>35.813999999999993</v>
      </c>
      <c r="L435" s="7">
        <f t="shared" si="1289"/>
        <v>12.014184397163124</v>
      </c>
      <c r="M435" s="7">
        <f t="shared" si="1290"/>
        <v>12.014184397163124</v>
      </c>
      <c r="N435" s="38">
        <f>22.3*25.4</f>
        <v>566.41999999999996</v>
      </c>
      <c r="O435" s="38">
        <f>2.85*25.4</f>
        <v>72.39</v>
      </c>
      <c r="P435" s="39">
        <f>3.4*25.4</f>
        <v>86.36</v>
      </c>
      <c r="Q435" s="7">
        <f t="shared" si="1291"/>
        <v>350.01199999999994</v>
      </c>
      <c r="R435" s="38">
        <v>2</v>
      </c>
      <c r="S435" s="4">
        <f t="shared" si="1361"/>
        <v>508</v>
      </c>
      <c r="T435" s="7">
        <f t="shared" si="1292"/>
        <v>2.5212765957446814</v>
      </c>
      <c r="U435" s="7">
        <f t="shared" si="1414"/>
        <v>2.5212765957446814</v>
      </c>
      <c r="V435" s="38">
        <v>5.5</v>
      </c>
      <c r="W435" s="4">
        <f t="shared" si="1293"/>
        <v>5.5</v>
      </c>
      <c r="X435" s="4">
        <f t="shared" si="1294"/>
        <v>6.5</v>
      </c>
      <c r="Y435" s="7">
        <f t="shared" si="1295"/>
        <v>91.308142429905971</v>
      </c>
      <c r="AB435" s="38">
        <f t="shared" si="1332"/>
        <v>777.93103448275861</v>
      </c>
      <c r="AC435" s="4">
        <v>112.8</v>
      </c>
      <c r="AD435" s="4">
        <f t="shared" si="1452"/>
        <v>1.0728433505360115</v>
      </c>
      <c r="AE435" s="38"/>
      <c r="AF435" s="38"/>
      <c r="AG435" s="39">
        <v>1</v>
      </c>
      <c r="AH435" s="39"/>
      <c r="AI435" s="39"/>
      <c r="AJ435" s="7"/>
      <c r="AK435" s="4">
        <f t="shared" si="1297"/>
        <v>430.27600000000001</v>
      </c>
      <c r="AL435" s="4">
        <f t="shared" si="1462"/>
        <v>0.43880362062180234</v>
      </c>
      <c r="AM435" s="4">
        <f t="shared" si="1463"/>
        <v>370.08493226495057</v>
      </c>
      <c r="AN435" s="4">
        <f t="shared" si="1464"/>
        <v>0.74197166469893738</v>
      </c>
      <c r="AO435" s="4">
        <v>1.25</v>
      </c>
      <c r="AP435" s="4">
        <f t="shared" si="1396"/>
        <v>2.5</v>
      </c>
      <c r="AQ435" s="38">
        <f t="shared" si="1266"/>
        <v>376.53811811168083</v>
      </c>
      <c r="AR435" s="38">
        <f t="shared" si="1465"/>
        <v>376.53811811168083</v>
      </c>
      <c r="AS435" s="38">
        <f t="shared" si="1466"/>
        <v>4.6054834550100843</v>
      </c>
      <c r="AT435" s="38">
        <f t="shared" si="1407"/>
        <v>376.53811811168123</v>
      </c>
      <c r="AU435" s="38">
        <f t="shared" si="1373"/>
        <v>0.99999999999999889</v>
      </c>
      <c r="AV435" s="38">
        <f t="shared" si="1249"/>
        <v>2.191973984270188</v>
      </c>
      <c r="AW435" s="4">
        <f t="shared" si="1511"/>
        <v>0</v>
      </c>
      <c r="AX435" s="4">
        <f t="shared" si="1298"/>
        <v>528.25905183662746</v>
      </c>
      <c r="AY435" s="4">
        <f t="shared" si="1267"/>
        <v>1</v>
      </c>
      <c r="AZ435" s="38">
        <f t="shared" si="1389"/>
        <v>825.36175898686054</v>
      </c>
      <c r="BA435" s="4">
        <f t="shared" si="1268"/>
        <v>0.3</v>
      </c>
      <c r="BB435" s="4">
        <f t="shared" si="1269"/>
        <v>82.804606375391359</v>
      </c>
      <c r="BC435" s="4">
        <f t="shared" si="1270"/>
        <v>908.1663653622519</v>
      </c>
      <c r="BE435" s="4">
        <f t="shared" si="1408"/>
        <v>1.2553191489361704</v>
      </c>
      <c r="BF435" s="4">
        <f t="shared" si="1415"/>
        <v>692.60283276114683</v>
      </c>
      <c r="BH435" s="4">
        <f t="shared" si="1416"/>
        <v>791.62286203436884</v>
      </c>
      <c r="BI435" s="4">
        <f t="shared" si="1350"/>
        <v>0</v>
      </c>
      <c r="BJ435" s="4">
        <f t="shared" si="1417"/>
        <v>0</v>
      </c>
      <c r="BR435" s="4">
        <f t="shared" si="1271"/>
        <v>72.39</v>
      </c>
      <c r="BV435" s="9"/>
      <c r="BX435" s="9"/>
      <c r="BY435" s="9"/>
      <c r="BZ435" s="9">
        <f t="shared" si="1272"/>
        <v>72.39</v>
      </c>
      <c r="CA435" s="9">
        <f t="shared" si="1273"/>
        <v>175.00599999999997</v>
      </c>
      <c r="CB435" s="9">
        <f t="shared" si="1374"/>
        <v>1.6230018989509365</v>
      </c>
      <c r="CC435" s="40">
        <f t="shared" si="1299"/>
        <v>0</v>
      </c>
      <c r="CD435" s="9">
        <f t="shared" si="1274"/>
        <v>0</v>
      </c>
      <c r="CE435" s="9">
        <f t="shared" si="1275"/>
        <v>0</v>
      </c>
      <c r="CF435" s="9">
        <f t="shared" si="1276"/>
        <v>0.89777220146327208</v>
      </c>
      <c r="CG435" s="9">
        <f t="shared" si="1277"/>
        <v>0.68</v>
      </c>
      <c r="CH435" s="9">
        <f t="shared" si="1375"/>
        <v>1.7850458101214393</v>
      </c>
      <c r="CI435" s="9">
        <f t="shared" si="1376"/>
        <v>2.8971327395415085</v>
      </c>
      <c r="CJ435" s="40">
        <v>1</v>
      </c>
      <c r="CK435" s="9">
        <f t="shared" si="1377"/>
        <v>313.05471219613071</v>
      </c>
      <c r="CM435" s="4">
        <f t="shared" si="1278"/>
        <v>1.4726317169163174</v>
      </c>
      <c r="CN435" s="4">
        <f t="shared" si="1279"/>
        <v>0.85659529371851961</v>
      </c>
      <c r="CO435" s="4">
        <f t="shared" ref="CO435:CO449" si="1524">AB435/BF435</f>
        <v>1.1231993253354746</v>
      </c>
      <c r="CP435" s="4">
        <f t="shared" si="1280"/>
        <v>2.4849682952396512</v>
      </c>
      <c r="CQ435" s="4">
        <f t="shared" si="1476"/>
        <v>1.0728433505360115</v>
      </c>
      <c r="CR435" s="4">
        <f t="shared" si="1477"/>
        <v>1.1153119606929831</v>
      </c>
      <c r="CS435" s="4">
        <f t="shared" ref="CS435:CS449" si="1525">AB435/GA435</f>
        <v>1.3338607110128451</v>
      </c>
      <c r="CT435" s="4">
        <f t="shared" si="1300"/>
        <v>0</v>
      </c>
      <c r="CU435" s="4">
        <f t="shared" si="1520"/>
        <v>1.4726317169163174</v>
      </c>
      <c r="CV435" s="4">
        <f t="shared" si="1520"/>
        <v>0.85659529371851961</v>
      </c>
      <c r="CW435" s="4">
        <f t="shared" si="1521"/>
        <v>2.4849682952396512</v>
      </c>
      <c r="CX435" s="4">
        <f t="shared" si="1522"/>
        <v>1.3338607110128451</v>
      </c>
      <c r="CY435" s="4">
        <f t="shared" si="1523"/>
        <v>1.0728433505360115</v>
      </c>
      <c r="CZ435" s="4">
        <f t="shared" si="1523"/>
        <v>1.1153119606929831</v>
      </c>
      <c r="DI435" s="4">
        <f t="shared" si="1285"/>
        <v>430.27600000000001</v>
      </c>
      <c r="DL435" s="4">
        <f t="shared" si="1453"/>
        <v>2.7686527188922619E-5</v>
      </c>
      <c r="DM435" s="4">
        <f t="shared" si="1313"/>
        <v>8.9934147612306088</v>
      </c>
      <c r="DN435" s="4">
        <f t="shared" si="1454"/>
        <v>0.34850589790084407</v>
      </c>
      <c r="DO435" s="4">
        <f t="shared" si="1455"/>
        <v>5.8994112997014136</v>
      </c>
      <c r="DP435" s="4">
        <f t="shared" si="1456"/>
        <v>7.6060716291421739</v>
      </c>
      <c r="DQ435" s="4">
        <f t="shared" si="1457"/>
        <v>7.6439407512249238</v>
      </c>
      <c r="DR435" s="38">
        <f t="shared" si="1471"/>
        <v>725.11148444373589</v>
      </c>
      <c r="DS435" s="4">
        <f t="shared" si="1382"/>
        <v>1.0001040148811704</v>
      </c>
      <c r="DT435" s="4">
        <f t="shared" si="1458"/>
        <v>2.5495097567963922</v>
      </c>
      <c r="DU435" s="4">
        <f t="shared" si="1390"/>
        <v>376.53811811168123</v>
      </c>
      <c r="DY435" s="4">
        <f t="shared" si="1331"/>
        <v>0.85</v>
      </c>
      <c r="DZ435" s="4">
        <f t="shared" si="1383"/>
        <v>0.89787234042553188</v>
      </c>
      <c r="EA435" s="4">
        <f t="shared" si="1472"/>
        <v>1</v>
      </c>
      <c r="EB435" s="4">
        <f t="shared" si="1384"/>
        <v>0.89787234042553188</v>
      </c>
      <c r="ED435" s="4">
        <f t="shared" si="1473"/>
        <v>697.50084451654436</v>
      </c>
      <c r="EE435" s="25">
        <f t="shared" si="1474"/>
        <v>373.3552146117645</v>
      </c>
      <c r="EG435" s="4">
        <f t="shared" si="1391"/>
        <v>0.76319148936170211</v>
      </c>
      <c r="EH435" s="4">
        <f t="shared" si="1475"/>
        <v>8.9934147612306088</v>
      </c>
      <c r="EK435" s="4">
        <f t="shared" si="1459"/>
        <v>91.308142429905971</v>
      </c>
      <c r="EL435" s="4">
        <f t="shared" si="1460"/>
        <v>2.5495097567963922</v>
      </c>
      <c r="EM435" s="4">
        <f t="shared" si="1461"/>
        <v>0.1592031486457379</v>
      </c>
      <c r="EP435" s="4">
        <f t="shared" si="1301"/>
        <v>0.1592031486457379</v>
      </c>
      <c r="EQ435" s="4">
        <f t="shared" si="1257"/>
        <v>0.34792430650991729</v>
      </c>
      <c r="ER435" s="4">
        <f t="shared" si="1314"/>
        <v>5.8954713192213966</v>
      </c>
      <c r="ES435" s="4">
        <f t="shared" si="1286"/>
        <v>7.6045476887426728</v>
      </c>
      <c r="ET435" s="4">
        <f t="shared" si="1315"/>
        <v>231.39885757009404</v>
      </c>
      <c r="EU435" s="4">
        <f t="shared" si="1316"/>
        <v>107.56900000000002</v>
      </c>
      <c r="EV435" s="4">
        <f t="shared" si="1385"/>
        <v>2.7686527188922619E-5</v>
      </c>
      <c r="EW435" s="4">
        <f t="shared" si="1287"/>
        <v>7.6442862622600236</v>
      </c>
      <c r="EX435" s="4">
        <f t="shared" si="1422"/>
        <v>725.03606990308072</v>
      </c>
      <c r="FG435" s="23">
        <f t="shared" si="1329"/>
        <v>1.6</v>
      </c>
      <c r="FH435" s="23">
        <f t="shared" si="1329"/>
        <v>1</v>
      </c>
      <c r="FI435" s="23">
        <f t="shared" ref="FI435:FI449" si="1526">IF(CS435&lt;0.6,0.6,IF(CS435&lt;0.8,0.8,IF(CS435&lt;1,1,IF(CS435&lt;1.2,1.2,IF(CS435&lt;1.4,1.4,IF(CS435&lt;1.6,1.6,IF(CS435&lt;1.8,1.8,IF(CS435&lt;2,2,2.2))))))))</f>
        <v>1.4</v>
      </c>
      <c r="FJ435" s="23">
        <f t="shared" si="1330"/>
        <v>2.2000000000000002</v>
      </c>
      <c r="FK435" s="23">
        <f t="shared" si="1330"/>
        <v>1.2</v>
      </c>
      <c r="FL435" s="23">
        <f t="shared" si="1330"/>
        <v>1.2</v>
      </c>
      <c r="FM435" s="23">
        <f t="shared" si="1478"/>
        <v>0</v>
      </c>
      <c r="FN435" s="23"/>
      <c r="FX435" s="4">
        <f t="shared" si="1386"/>
        <v>1</v>
      </c>
      <c r="FY435" s="4">
        <f t="shared" si="1429"/>
        <v>0.5</v>
      </c>
      <c r="FZ435" s="4">
        <f t="shared" si="1387"/>
        <v>0</v>
      </c>
      <c r="GA435" s="4">
        <f t="shared" si="1388"/>
        <v>583.21759390607554</v>
      </c>
    </row>
    <row r="436" spans="1:183" ht="12" hidden="1" customHeight="1" x14ac:dyDescent="0.3">
      <c r="A436" s="25">
        <v>418</v>
      </c>
      <c r="B436" s="4" t="s">
        <v>605</v>
      </c>
      <c r="C436" s="4">
        <v>2016</v>
      </c>
      <c r="D436" s="4" t="s">
        <v>309</v>
      </c>
      <c r="E436" s="14" t="s">
        <v>679</v>
      </c>
      <c r="F436" s="48" t="s">
        <v>589</v>
      </c>
      <c r="G436" s="38">
        <f>115.9/0.145</f>
        <v>799.31034482758628</v>
      </c>
      <c r="H436" s="38">
        <f>16.81*25.4</f>
        <v>426.97399999999993</v>
      </c>
      <c r="I436" s="4">
        <f t="shared" si="1288"/>
        <v>426.97399999999993</v>
      </c>
      <c r="J436" s="38">
        <f>10860/145</f>
        <v>74.896551724137936</v>
      </c>
      <c r="K436" s="38">
        <f t="shared" si="1490"/>
        <v>35.813999999999993</v>
      </c>
      <c r="L436" s="7">
        <f t="shared" si="1289"/>
        <v>11.921985815602838</v>
      </c>
      <c r="M436" s="7">
        <f t="shared" si="1290"/>
        <v>11.921985815602838</v>
      </c>
      <c r="N436" s="38">
        <f>21.7*25.4</f>
        <v>551.17999999999995</v>
      </c>
      <c r="O436" s="38">
        <f>2.65*25.4</f>
        <v>67.309999999999988</v>
      </c>
      <c r="P436" s="39">
        <f>4.2*25.4</f>
        <v>106.67999999999999</v>
      </c>
      <c r="Q436" s="7">
        <f t="shared" si="1291"/>
        <v>344.93200000000002</v>
      </c>
      <c r="R436" s="38">
        <v>2</v>
      </c>
      <c r="S436" s="4">
        <f t="shared" si="1361"/>
        <v>508</v>
      </c>
      <c r="T436" s="7">
        <f t="shared" si="1292"/>
        <v>2.3794326241134751</v>
      </c>
      <c r="U436" s="7">
        <f t="shared" si="1414"/>
        <v>2.3794326241134751</v>
      </c>
      <c r="V436" s="38">
        <v>4.5</v>
      </c>
      <c r="W436" s="4">
        <f t="shared" si="1293"/>
        <v>4.5</v>
      </c>
      <c r="X436" s="4">
        <f t="shared" si="1294"/>
        <v>5.5</v>
      </c>
      <c r="Y436" s="7">
        <f t="shared" si="1295"/>
        <v>83.991275011158137</v>
      </c>
      <c r="AB436" s="38">
        <f t="shared" si="1332"/>
        <v>891.0344827586207</v>
      </c>
      <c r="AC436" s="4">
        <v>129.19999999999999</v>
      </c>
      <c r="AD436" s="4">
        <f t="shared" si="1452"/>
        <v>1.2159686517391213</v>
      </c>
      <c r="AE436" s="38">
        <f t="shared" ref="AE436:AE437" si="1527">0.5*25.4</f>
        <v>12.7</v>
      </c>
      <c r="AF436" s="38">
        <v>12</v>
      </c>
      <c r="AG436" s="39">
        <f t="shared" ref="AG436:AG437" si="1528">4*25.4</f>
        <v>101.6</v>
      </c>
      <c r="AH436" s="39">
        <v>2</v>
      </c>
      <c r="AI436" s="39">
        <f t="shared" ref="AI436:AI437" si="1529">AH436-1</f>
        <v>1</v>
      </c>
      <c r="AJ436" s="7"/>
      <c r="AK436" s="4">
        <f t="shared" si="1297"/>
        <v>426.97399999999993</v>
      </c>
      <c r="AL436" s="4">
        <f t="shared" si="1462"/>
        <v>0.43029942494546902</v>
      </c>
      <c r="AM436" s="4">
        <f t="shared" si="1463"/>
        <v>378.97234670320694</v>
      </c>
      <c r="AN436" s="4">
        <f t="shared" si="1464"/>
        <v>0.73991671624033306</v>
      </c>
      <c r="AO436" s="4">
        <v>1.25</v>
      </c>
      <c r="AP436" s="4">
        <f t="shared" si="1396"/>
        <v>2.5</v>
      </c>
      <c r="AQ436" s="38">
        <f t="shared" si="1266"/>
        <v>377.06059406058517</v>
      </c>
      <c r="AR436" s="38">
        <f t="shared" si="1465"/>
        <v>377.06059406058517</v>
      </c>
      <c r="AS436" s="38">
        <f t="shared" si="1466"/>
        <v>4.7252710400583542</v>
      </c>
      <c r="AT436" s="38">
        <f t="shared" si="1407"/>
        <v>377.06059406058517</v>
      </c>
      <c r="AU436" s="38">
        <f t="shared" si="1373"/>
        <v>1</v>
      </c>
      <c r="AV436" s="38">
        <f t="shared" ref="AV436:AV449" si="1530">AZ436/AT436</f>
        <v>2.0052122080112209</v>
      </c>
      <c r="AW436" s="4">
        <f t="shared" si="1511"/>
        <v>0</v>
      </c>
      <c r="AX436" s="4">
        <f t="shared" si="1298"/>
        <v>543.03261108957565</v>
      </c>
      <c r="AY436" s="4">
        <f t="shared" si="1267"/>
        <v>1</v>
      </c>
      <c r="AZ436" s="38">
        <f t="shared" si="1389"/>
        <v>756.08650637024857</v>
      </c>
      <c r="BA436" s="4">
        <f t="shared" si="1268"/>
        <v>0.37</v>
      </c>
      <c r="BB436" s="4">
        <f t="shared" si="1269"/>
        <v>104.98177953889221</v>
      </c>
      <c r="BC436" s="4">
        <f t="shared" si="1270"/>
        <v>861.06828590914074</v>
      </c>
      <c r="BE436" s="4">
        <f t="shared" si="1408"/>
        <v>1.5</v>
      </c>
      <c r="BF436" s="4">
        <f t="shared" si="1415"/>
        <v>853.73545493788572</v>
      </c>
      <c r="BH436" s="4">
        <f t="shared" si="1416"/>
        <v>725.17942296368437</v>
      </c>
      <c r="BI436" s="4">
        <f t="shared" si="1350"/>
        <v>0</v>
      </c>
      <c r="BJ436" s="4">
        <f t="shared" si="1417"/>
        <v>0</v>
      </c>
      <c r="BR436" s="4">
        <f t="shared" si="1271"/>
        <v>67.309999999999988</v>
      </c>
      <c r="BV436" s="9"/>
      <c r="BX436" s="9"/>
      <c r="BY436" s="9"/>
      <c r="BZ436" s="9">
        <f t="shared" si="1272"/>
        <v>67.309999999999988</v>
      </c>
      <c r="CA436" s="9">
        <f t="shared" si="1273"/>
        <v>172.46600000000001</v>
      </c>
      <c r="CB436" s="9">
        <f t="shared" si="1374"/>
        <v>1.5787267425904519</v>
      </c>
      <c r="CC436" s="40">
        <f t="shared" si="1299"/>
        <v>20</v>
      </c>
      <c r="CD436" s="9">
        <f t="shared" si="1274"/>
        <v>0.05</v>
      </c>
      <c r="CE436" s="9">
        <f t="shared" si="1275"/>
        <v>0.8</v>
      </c>
      <c r="CF436" s="9">
        <f t="shared" si="1276"/>
        <v>0.89777220146327208</v>
      </c>
      <c r="CG436" s="9">
        <f t="shared" si="1277"/>
        <v>0.68048275862068963</v>
      </c>
      <c r="CH436" s="9">
        <f t="shared" si="1375"/>
        <v>1.8504707967044269</v>
      </c>
      <c r="CI436" s="9">
        <f t="shared" si="1376"/>
        <v>4.4017643705034795</v>
      </c>
      <c r="CJ436" s="40">
        <v>1</v>
      </c>
      <c r="CK436" s="9">
        <f t="shared" si="1377"/>
        <v>474.01695178528246</v>
      </c>
      <c r="CM436" s="4">
        <f t="shared" si="1278"/>
        <v>1.6408489371767041</v>
      </c>
      <c r="CN436" s="4">
        <f t="shared" si="1279"/>
        <v>1.0348011851555312</v>
      </c>
      <c r="CO436" s="4">
        <f t="shared" si="1524"/>
        <v>1.0436892102875694</v>
      </c>
      <c r="CP436" s="4">
        <f t="shared" si="1280"/>
        <v>1.8797523578064703</v>
      </c>
      <c r="CQ436" s="4">
        <f t="shared" si="1476"/>
        <v>1.2159686517391213</v>
      </c>
      <c r="CR436" s="4">
        <f t="shared" si="1477"/>
        <v>1.2692714892463186</v>
      </c>
      <c r="CS436" s="4">
        <f t="shared" si="1525"/>
        <v>1.3088116847320996</v>
      </c>
      <c r="CT436" s="4">
        <f t="shared" si="1300"/>
        <v>12</v>
      </c>
      <c r="DA436" s="4">
        <f t="shared" ref="DA436:DB437" si="1531">CM436</f>
        <v>1.6408489371767041</v>
      </c>
      <c r="DB436" s="4">
        <f t="shared" si="1531"/>
        <v>1.0348011851555312</v>
      </c>
      <c r="DC436" s="4">
        <f t="shared" ref="DC436:DC437" si="1532">CP436</f>
        <v>1.8797523578064703</v>
      </c>
      <c r="DD436" s="4">
        <f t="shared" ref="DD436:DD437" si="1533">CS436</f>
        <v>1.3088116847320996</v>
      </c>
      <c r="DE436" s="4">
        <f t="shared" ref="DE436:DF437" si="1534">CQ436</f>
        <v>1.2159686517391213</v>
      </c>
      <c r="DF436" s="4">
        <f t="shared" si="1534"/>
        <v>1.2692714892463186</v>
      </c>
      <c r="DI436" s="4">
        <f t="shared" si="1285"/>
        <v>426.97399999999993</v>
      </c>
      <c r="DL436" s="4">
        <f t="shared" si="1453"/>
        <v>2.8332491197524731E-5</v>
      </c>
      <c r="DM436" s="4">
        <f t="shared" si="1313"/>
        <v>9.175653902487765</v>
      </c>
      <c r="DN436" s="4">
        <f t="shared" si="1454"/>
        <v>0.36562666516056047</v>
      </c>
      <c r="DO436" s="4">
        <f t="shared" si="1455"/>
        <v>6.1355311948268501</v>
      </c>
      <c r="DP436" s="4">
        <f t="shared" si="1456"/>
        <v>7.8056110225120436</v>
      </c>
      <c r="DQ436" s="4">
        <f t="shared" si="1457"/>
        <v>7.7343241921128305</v>
      </c>
      <c r="DR436" s="38">
        <f t="shared" si="1471"/>
        <v>732.77751156185786</v>
      </c>
      <c r="DS436" s="4">
        <f t="shared" si="1382"/>
        <v>1.0001043661323701</v>
      </c>
      <c r="DT436" s="4">
        <f t="shared" si="1458"/>
        <v>2.3452078799117149</v>
      </c>
      <c r="DU436" s="4">
        <f t="shared" si="1390"/>
        <v>377.06059406058517</v>
      </c>
      <c r="DY436" s="4">
        <f t="shared" si="1331"/>
        <v>0.85</v>
      </c>
      <c r="DZ436" s="4">
        <f t="shared" si="1383"/>
        <v>0.91205673758865247</v>
      </c>
      <c r="EA436" s="4">
        <f t="shared" si="1472"/>
        <v>0.9995510789195714</v>
      </c>
      <c r="EB436" s="4">
        <f t="shared" si="1384"/>
        <v>0.91164729609260198</v>
      </c>
      <c r="ED436" s="4">
        <f t="shared" si="1473"/>
        <v>702.00464621458445</v>
      </c>
      <c r="EE436" s="25">
        <f t="shared" si="1474"/>
        <v>373.82859919156465</v>
      </c>
      <c r="EG436" s="4">
        <f t="shared" si="1391"/>
        <v>0.77490020167871165</v>
      </c>
      <c r="EH436" s="4">
        <f t="shared" si="1475"/>
        <v>9.175653902487765</v>
      </c>
      <c r="EK436" s="4">
        <f t="shared" si="1459"/>
        <v>83.991275011158137</v>
      </c>
      <c r="EL436" s="4">
        <f t="shared" si="1460"/>
        <v>2.3452078799117149</v>
      </c>
      <c r="EM436" s="4">
        <f t="shared" si="1461"/>
        <v>0.17302307982485968</v>
      </c>
      <c r="EP436" s="4">
        <f t="shared" si="1301"/>
        <v>0.17302307982485968</v>
      </c>
      <c r="EQ436" s="4">
        <f t="shared" si="1257"/>
        <v>0.36501650239995459</v>
      </c>
      <c r="ER436" s="4">
        <f t="shared" si="1314"/>
        <v>6.1314335193277074</v>
      </c>
      <c r="ES436" s="4">
        <f t="shared" si="1286"/>
        <v>7.8040042556627496</v>
      </c>
      <c r="ET436" s="4">
        <f t="shared" si="1315"/>
        <v>236.23922498884181</v>
      </c>
      <c r="EU436" s="4">
        <f t="shared" si="1316"/>
        <v>106.74350000000001</v>
      </c>
      <c r="EV436" s="4">
        <f t="shared" si="1385"/>
        <v>2.8332491197524738E-5</v>
      </c>
      <c r="EW436" s="4">
        <f t="shared" si="1287"/>
        <v>7.7346903370843023</v>
      </c>
      <c r="EX436" s="4">
        <f t="shared" si="1422"/>
        <v>732.70104238788031</v>
      </c>
      <c r="FA436" s="4">
        <f>6.75*25.4</f>
        <v>171.45</v>
      </c>
      <c r="FG436" s="23">
        <f t="shared" si="1329"/>
        <v>1.8</v>
      </c>
      <c r="FH436" s="23">
        <f t="shared" si="1329"/>
        <v>1.2</v>
      </c>
      <c r="FI436" s="23">
        <f t="shared" si="1526"/>
        <v>1.4</v>
      </c>
      <c r="FJ436" s="23">
        <f t="shared" si="1330"/>
        <v>2</v>
      </c>
      <c r="FK436" s="23">
        <f t="shared" si="1330"/>
        <v>1.4</v>
      </c>
      <c r="FL436" s="23">
        <f t="shared" si="1330"/>
        <v>1.4</v>
      </c>
      <c r="FM436" s="23">
        <f t="shared" si="1478"/>
        <v>0</v>
      </c>
      <c r="FN436" s="23"/>
      <c r="FX436" s="4">
        <f t="shared" si="1386"/>
        <v>1</v>
      </c>
      <c r="FY436" s="4">
        <f t="shared" si="1429"/>
        <v>0.43261334185606104</v>
      </c>
      <c r="FZ436" s="4">
        <f t="shared" si="1387"/>
        <v>0.25149640360142855</v>
      </c>
      <c r="GA436" s="4">
        <f t="shared" si="1388"/>
        <v>680.79655243986178</v>
      </c>
    </row>
    <row r="437" spans="1:183" ht="12" hidden="1" customHeight="1" x14ac:dyDescent="0.3">
      <c r="A437" s="25">
        <v>419</v>
      </c>
      <c r="B437" s="4" t="s">
        <v>605</v>
      </c>
      <c r="C437" s="4">
        <v>2016</v>
      </c>
      <c r="D437" s="4" t="s">
        <v>309</v>
      </c>
      <c r="E437" s="14" t="s">
        <v>679</v>
      </c>
      <c r="F437" s="7" t="s">
        <v>590</v>
      </c>
      <c r="G437" s="38">
        <f>135/0.145</f>
        <v>931.0344827586207</v>
      </c>
      <c r="H437" s="38">
        <f>16.81*25.4</f>
        <v>426.97399999999993</v>
      </c>
      <c r="I437" s="4">
        <f t="shared" si="1288"/>
        <v>426.97399999999993</v>
      </c>
      <c r="J437" s="38">
        <f>10120/145</f>
        <v>69.793103448275858</v>
      </c>
      <c r="K437" s="38">
        <f t="shared" si="1490"/>
        <v>35.813999999999993</v>
      </c>
      <c r="L437" s="7">
        <f t="shared" si="1289"/>
        <v>11.921985815602838</v>
      </c>
      <c r="M437" s="7">
        <f t="shared" si="1290"/>
        <v>11.921985815602838</v>
      </c>
      <c r="N437" s="38">
        <f>22.4*25.4</f>
        <v>568.95999999999992</v>
      </c>
      <c r="O437" s="38">
        <f>2.8*25.4</f>
        <v>71.11999999999999</v>
      </c>
      <c r="P437" s="39">
        <f>3.1*25.4</f>
        <v>78.739999999999995</v>
      </c>
      <c r="Q437" s="7">
        <f t="shared" si="1291"/>
        <v>355.09199999999998</v>
      </c>
      <c r="R437" s="38">
        <v>2</v>
      </c>
      <c r="S437" s="4">
        <f t="shared" si="1361"/>
        <v>508</v>
      </c>
      <c r="T437" s="7">
        <f t="shared" si="1292"/>
        <v>2.4858156028368796</v>
      </c>
      <c r="U437" s="7">
        <f t="shared" si="1414"/>
        <v>2.4858156028368796</v>
      </c>
      <c r="V437" s="38">
        <v>5.5</v>
      </c>
      <c r="W437" s="4">
        <f t="shared" si="1293"/>
        <v>5.5</v>
      </c>
      <c r="X437" s="4">
        <f t="shared" si="1294"/>
        <v>6.5</v>
      </c>
      <c r="Y437" s="7">
        <f t="shared" si="1295"/>
        <v>91.308142429905971</v>
      </c>
      <c r="AB437" s="38">
        <f t="shared" si="1332"/>
        <v>872.41379310344837</v>
      </c>
      <c r="AC437" s="4">
        <v>126.5</v>
      </c>
      <c r="AD437" s="4">
        <f t="shared" si="1452"/>
        <v>1.2091576243153148</v>
      </c>
      <c r="AE437" s="38">
        <f t="shared" si="1527"/>
        <v>12.7</v>
      </c>
      <c r="AF437" s="38">
        <v>12</v>
      </c>
      <c r="AG437" s="39">
        <f t="shared" si="1528"/>
        <v>101.6</v>
      </c>
      <c r="AH437" s="39">
        <v>2</v>
      </c>
      <c r="AI437" s="39">
        <f t="shared" si="1529"/>
        <v>1</v>
      </c>
      <c r="AJ437" s="7"/>
      <c r="AK437" s="4">
        <f t="shared" si="1297"/>
        <v>426.97399999999993</v>
      </c>
      <c r="AL437" s="4">
        <f t="shared" si="1462"/>
        <v>0.44418005155661316</v>
      </c>
      <c r="AM437" s="4">
        <f t="shared" si="1463"/>
        <v>365.83298834249337</v>
      </c>
      <c r="AN437" s="4">
        <f t="shared" si="1464"/>
        <v>0.74170136823319444</v>
      </c>
      <c r="AO437" s="4">
        <v>1.25</v>
      </c>
      <c r="AP437" s="4">
        <f t="shared" si="1396"/>
        <v>2.5</v>
      </c>
      <c r="AQ437" s="38">
        <f t="shared" si="1266"/>
        <v>376.63529565521696</v>
      </c>
      <c r="AR437" s="38">
        <f t="shared" si="1465"/>
        <v>376.63529565521696</v>
      </c>
      <c r="AS437" s="38">
        <f t="shared" si="1466"/>
        <v>4.6054834550100843</v>
      </c>
      <c r="AT437" s="38">
        <f t="shared" si="1407"/>
        <v>376.63529565521696</v>
      </c>
      <c r="AU437" s="38">
        <f t="shared" si="1373"/>
        <v>1</v>
      </c>
      <c r="AV437" s="38">
        <f t="shared" si="1530"/>
        <v>2.1605869253783649</v>
      </c>
      <c r="AW437" s="4">
        <f t="shared" si="1511"/>
        <v>0</v>
      </c>
      <c r="AX437" s="4">
        <f t="shared" si="1298"/>
        <v>524.20511578357173</v>
      </c>
      <c r="AY437" s="4">
        <f t="shared" si="1267"/>
        <v>1</v>
      </c>
      <c r="AZ437" s="38">
        <f t="shared" si="1389"/>
        <v>813.75329542867667</v>
      </c>
      <c r="BA437" s="4">
        <f t="shared" si="1268"/>
        <v>0.3</v>
      </c>
      <c r="BB437" s="4">
        <f t="shared" si="1269"/>
        <v>82.16915189907489</v>
      </c>
      <c r="BC437" s="4">
        <f t="shared" si="1270"/>
        <v>895.92244732775157</v>
      </c>
      <c r="BE437" s="4">
        <f t="shared" si="1408"/>
        <v>1.5</v>
      </c>
      <c r="BF437" s="4">
        <f t="shared" si="1415"/>
        <v>824.13557466888903</v>
      </c>
      <c r="BH437" s="4">
        <f t="shared" si="1416"/>
        <v>780.48892585948306</v>
      </c>
      <c r="BI437" s="4">
        <f t="shared" si="1350"/>
        <v>0</v>
      </c>
      <c r="BJ437" s="4">
        <f t="shared" si="1417"/>
        <v>0</v>
      </c>
      <c r="BR437" s="4">
        <f t="shared" si="1271"/>
        <v>71.11999999999999</v>
      </c>
      <c r="BV437" s="9"/>
      <c r="BX437" s="9"/>
      <c r="BY437" s="9"/>
      <c r="BZ437" s="9">
        <f t="shared" si="1272"/>
        <v>71.11999999999999</v>
      </c>
      <c r="CA437" s="9">
        <f t="shared" si="1273"/>
        <v>177.54599999999999</v>
      </c>
      <c r="CB437" s="9">
        <f t="shared" si="1374"/>
        <v>1.6164688165154646</v>
      </c>
      <c r="CC437" s="40">
        <f t="shared" si="1299"/>
        <v>20</v>
      </c>
      <c r="CD437" s="9">
        <f t="shared" si="1274"/>
        <v>0.05</v>
      </c>
      <c r="CE437" s="9">
        <f t="shared" si="1275"/>
        <v>0.8</v>
      </c>
      <c r="CF437" s="9">
        <f t="shared" si="1276"/>
        <v>0.89777220146327208</v>
      </c>
      <c r="CG437" s="9">
        <f t="shared" si="1277"/>
        <v>0.68</v>
      </c>
      <c r="CH437" s="9">
        <f t="shared" si="1375"/>
        <v>1.7850458101214393</v>
      </c>
      <c r="CI437" s="9">
        <f t="shared" si="1376"/>
        <v>4.313507536210043</v>
      </c>
      <c r="CJ437" s="40">
        <v>1</v>
      </c>
      <c r="CK437" s="9">
        <f t="shared" si="1377"/>
        <v>464.51275482137089</v>
      </c>
      <c r="CM437" s="4">
        <f t="shared" si="1278"/>
        <v>1.6642603569394416</v>
      </c>
      <c r="CN437" s="4">
        <f t="shared" si="1279"/>
        <v>0.9737603915445785</v>
      </c>
      <c r="CO437" s="4">
        <f t="shared" si="1524"/>
        <v>1.0585804325386099</v>
      </c>
      <c r="CP437" s="4">
        <f t="shared" si="1280"/>
        <v>1.8781266693934733</v>
      </c>
      <c r="CQ437" s="4">
        <f t="shared" si="1476"/>
        <v>1.2091576243153148</v>
      </c>
      <c r="CR437" s="4">
        <f t="shared" si="1477"/>
        <v>1.2571639757274684</v>
      </c>
      <c r="CS437" s="4">
        <f t="shared" si="1525"/>
        <v>1.3330135927123574</v>
      </c>
      <c r="CT437" s="4">
        <f t="shared" si="1300"/>
        <v>12</v>
      </c>
      <c r="DA437" s="4">
        <f t="shared" si="1531"/>
        <v>1.6642603569394416</v>
      </c>
      <c r="DB437" s="4">
        <f t="shared" si="1531"/>
        <v>0.9737603915445785</v>
      </c>
      <c r="DC437" s="4">
        <f t="shared" si="1532"/>
        <v>1.8781266693934733</v>
      </c>
      <c r="DD437" s="4">
        <f t="shared" si="1533"/>
        <v>1.3330135927123574</v>
      </c>
      <c r="DE437" s="4">
        <f t="shared" si="1534"/>
        <v>1.2091576243153148</v>
      </c>
      <c r="DF437" s="4">
        <f t="shared" si="1534"/>
        <v>1.2571639757274684</v>
      </c>
      <c r="DI437" s="4">
        <f t="shared" si="1285"/>
        <v>426.97399999999993</v>
      </c>
      <c r="DL437" s="4">
        <f t="shared" si="1453"/>
        <v>2.7474056791368898E-5</v>
      </c>
      <c r="DM437" s="4">
        <f t="shared" si="1313"/>
        <v>8.9620587312961906</v>
      </c>
      <c r="DN437" s="4">
        <f t="shared" si="1454"/>
        <v>0.34859584084536072</v>
      </c>
      <c r="DO437" s="4">
        <f t="shared" si="1455"/>
        <v>5.8794495225591783</v>
      </c>
      <c r="DP437" s="4">
        <f t="shared" si="1456"/>
        <v>7.5797874309844042</v>
      </c>
      <c r="DQ437" s="4">
        <f t="shared" si="1457"/>
        <v>7.6423420206231123</v>
      </c>
      <c r="DR437" s="38">
        <f t="shared" si="1471"/>
        <v>721.50543118598989</v>
      </c>
      <c r="DS437" s="4">
        <f t="shared" si="1382"/>
        <v>1.0001037369255086</v>
      </c>
      <c r="DT437" s="4">
        <f t="shared" si="1458"/>
        <v>2.5495097567963922</v>
      </c>
      <c r="DU437" s="4">
        <f t="shared" si="1390"/>
        <v>376.63529565521696</v>
      </c>
      <c r="DY437" s="4">
        <f t="shared" si="1331"/>
        <v>0.85</v>
      </c>
      <c r="DZ437" s="4">
        <f t="shared" si="1383"/>
        <v>0.90141843971631208</v>
      </c>
      <c r="EA437" s="4">
        <f t="shared" si="1472"/>
        <v>0.9995510789195714</v>
      </c>
      <c r="EB437" s="4">
        <f t="shared" si="1384"/>
        <v>0.90101377397643634</v>
      </c>
      <c r="ED437" s="4">
        <f t="shared" si="1473"/>
        <v>693.95385959784517</v>
      </c>
      <c r="EE437" s="25">
        <f t="shared" si="1474"/>
        <v>373.417248378507</v>
      </c>
      <c r="EG437" s="4">
        <f t="shared" si="1391"/>
        <v>0.76586170787997088</v>
      </c>
      <c r="EH437" s="4">
        <f t="shared" si="1475"/>
        <v>8.9620587312961906</v>
      </c>
      <c r="EK437" s="4">
        <f t="shared" si="1459"/>
        <v>91.308142429905971</v>
      </c>
      <c r="EL437" s="4">
        <f t="shared" si="1460"/>
        <v>2.5495097567963922</v>
      </c>
      <c r="EM437" s="4">
        <f t="shared" si="1461"/>
        <v>0.1592442360421113</v>
      </c>
      <c r="EP437" s="4">
        <f t="shared" si="1301"/>
        <v>0.1592442360421113</v>
      </c>
      <c r="EQ437" s="4">
        <f t="shared" ref="EQ437:EQ449" si="1535">MIN(0.999, EP437/(0.3*(J437/30)^0.5))</f>
        <v>0.34801409935642263</v>
      </c>
      <c r="ER437" s="4">
        <f t="shared" si="1314"/>
        <v>5.875522873750457</v>
      </c>
      <c r="ES437" s="4">
        <f t="shared" si="1286"/>
        <v>7.5782685345449767</v>
      </c>
      <c r="ET437" s="4">
        <f t="shared" si="1315"/>
        <v>228.92235757009399</v>
      </c>
      <c r="EU437" s="4">
        <f t="shared" si="1316"/>
        <v>106.74349999999998</v>
      </c>
      <c r="EV437" s="4">
        <f t="shared" si="1385"/>
        <v>2.7474056791368898E-5</v>
      </c>
      <c r="EW437" s="4">
        <f t="shared" si="1287"/>
        <v>7.6426809026272471</v>
      </c>
      <c r="EX437" s="4">
        <f t="shared" si="1422"/>
        <v>721.43059219438783</v>
      </c>
      <c r="FG437" s="23">
        <f t="shared" si="1329"/>
        <v>1.8</v>
      </c>
      <c r="FH437" s="23">
        <f t="shared" si="1329"/>
        <v>1</v>
      </c>
      <c r="FI437" s="23">
        <f t="shared" si="1526"/>
        <v>1.4</v>
      </c>
      <c r="FJ437" s="23">
        <f t="shared" si="1330"/>
        <v>2</v>
      </c>
      <c r="FK437" s="23">
        <f t="shared" si="1330"/>
        <v>1.4</v>
      </c>
      <c r="FL437" s="23">
        <f t="shared" si="1330"/>
        <v>1.4</v>
      </c>
      <c r="FM437" s="23">
        <f t="shared" si="1478"/>
        <v>0</v>
      </c>
      <c r="FN437" s="23"/>
      <c r="FX437" s="4">
        <f t="shared" si="1386"/>
        <v>1</v>
      </c>
      <c r="FY437" s="4">
        <f t="shared" si="1429"/>
        <v>0.44214730608235164</v>
      </c>
      <c r="FZ437" s="4">
        <f t="shared" si="1387"/>
        <v>0.25149640360142855</v>
      </c>
      <c r="GA437" s="4">
        <f t="shared" si="1388"/>
        <v>654.46728966078967</v>
      </c>
    </row>
    <row r="438" spans="1:183" ht="12" hidden="1" customHeight="1" x14ac:dyDescent="0.3">
      <c r="A438" s="25">
        <v>420</v>
      </c>
      <c r="B438" s="4" t="s">
        <v>605</v>
      </c>
      <c r="C438" s="4">
        <v>2016</v>
      </c>
      <c r="D438" s="4" t="s">
        <v>309</v>
      </c>
      <c r="E438" s="14" t="s">
        <v>679</v>
      </c>
      <c r="F438" s="48" t="s">
        <v>591</v>
      </c>
      <c r="G438" s="38">
        <f>115.9/0.145</f>
        <v>799.31034482758628</v>
      </c>
      <c r="H438" s="38">
        <f>16.92*25.4</f>
        <v>429.76800000000003</v>
      </c>
      <c r="I438" s="4">
        <f t="shared" si="1288"/>
        <v>429.76800000000003</v>
      </c>
      <c r="J438" s="38">
        <f>10860/145</f>
        <v>74.896551724137936</v>
      </c>
      <c r="K438" s="38">
        <f t="shared" si="1490"/>
        <v>35.813999999999993</v>
      </c>
      <c r="L438" s="7">
        <f t="shared" si="1289"/>
        <v>12.000000000000004</v>
      </c>
      <c r="M438" s="7">
        <f t="shared" si="1290"/>
        <v>12.000000000000004</v>
      </c>
      <c r="N438" s="38">
        <f>21.8*25.4</f>
        <v>553.72</v>
      </c>
      <c r="O438" s="38">
        <f>2.75*25.4</f>
        <v>69.849999999999994</v>
      </c>
      <c r="P438" s="39">
        <f>3.9*25.4</f>
        <v>99.059999999999988</v>
      </c>
      <c r="Q438" s="7">
        <f t="shared" si="1291"/>
        <v>153.28900000000002</v>
      </c>
      <c r="R438" s="38">
        <v>3</v>
      </c>
      <c r="S438" s="4">
        <f t="shared" si="1361"/>
        <v>508</v>
      </c>
      <c r="T438" s="7">
        <f t="shared" si="1292"/>
        <v>2.4503546099290783</v>
      </c>
      <c r="U438" s="7">
        <f t="shared" si="1414"/>
        <v>2.4503546099290783</v>
      </c>
      <c r="V438" s="38">
        <v>4.5</v>
      </c>
      <c r="W438" s="4">
        <f t="shared" si="1293"/>
        <v>4.5</v>
      </c>
      <c r="X438" s="4">
        <f t="shared" si="1294"/>
        <v>5.5</v>
      </c>
      <c r="Y438" s="7">
        <f t="shared" si="1295"/>
        <v>83.991275011158137</v>
      </c>
      <c r="AB438" s="38">
        <f t="shared" si="1332"/>
        <v>472.41379310344831</v>
      </c>
      <c r="AC438" s="4">
        <v>68.5</v>
      </c>
      <c r="AD438" s="4">
        <f t="shared" si="1452"/>
        <v>0.79048475314469613</v>
      </c>
      <c r="AE438" s="38"/>
      <c r="AF438" s="38"/>
      <c r="AG438" s="39">
        <v>1</v>
      </c>
      <c r="AH438" s="39"/>
      <c r="AI438" s="39"/>
      <c r="AJ438" s="7"/>
      <c r="AK438" s="4">
        <f t="shared" si="1297"/>
        <v>429.76800000000003</v>
      </c>
      <c r="AL438" s="4">
        <f t="shared" si="1462"/>
        <v>0.42947202521670608</v>
      </c>
      <c r="AM438" s="4">
        <f t="shared" si="1463"/>
        <v>255.13217408187629</v>
      </c>
      <c r="AN438" s="4">
        <f t="shared" si="1464"/>
        <v>0.74083924349881791</v>
      </c>
      <c r="AO438" s="4">
        <v>1.25</v>
      </c>
      <c r="AP438" s="4">
        <f t="shared" si="1396"/>
        <v>2.5</v>
      </c>
      <c r="AQ438" s="38">
        <f t="shared" si="1266"/>
        <v>253.67292190521363</v>
      </c>
      <c r="AR438" s="38">
        <f t="shared" si="1465"/>
        <v>253.67292190521363</v>
      </c>
      <c r="AS438" s="38">
        <f t="shared" si="1466"/>
        <v>4.7252710400583542</v>
      </c>
      <c r="AT438" s="38">
        <f t="shared" si="1407"/>
        <v>253.67292190521368</v>
      </c>
      <c r="AU438" s="38">
        <f t="shared" si="1373"/>
        <v>0.99999999999999978</v>
      </c>
      <c r="AV438" s="38">
        <f t="shared" si="1530"/>
        <v>3.0693958621812145</v>
      </c>
      <c r="AW438" s="4">
        <f t="shared" si="1511"/>
        <v>0</v>
      </c>
      <c r="AX438" s="4">
        <f t="shared" si="1298"/>
        <v>546.58606660533144</v>
      </c>
      <c r="AY438" s="4">
        <f t="shared" si="1267"/>
        <v>1</v>
      </c>
      <c r="AZ438" s="38">
        <f t="shared" si="1389"/>
        <v>778.62261684328121</v>
      </c>
      <c r="BA438" s="4">
        <f t="shared" si="1268"/>
        <v>0.37</v>
      </c>
      <c r="BB438" s="4">
        <f t="shared" si="1269"/>
        <v>105.66875132647569</v>
      </c>
      <c r="BC438" s="4">
        <f t="shared" si="1270"/>
        <v>884.29136816975688</v>
      </c>
      <c r="BE438" s="4">
        <f t="shared" si="1408"/>
        <v>1.2375886524822697</v>
      </c>
      <c r="BF438" s="4">
        <f t="shared" si="1415"/>
        <v>706.88890574928166</v>
      </c>
      <c r="BH438" s="4">
        <f t="shared" si="1416"/>
        <v>746.79430889404762</v>
      </c>
      <c r="BI438" s="4">
        <f t="shared" si="1350"/>
        <v>0</v>
      </c>
      <c r="BJ438" s="4">
        <f t="shared" si="1417"/>
        <v>0</v>
      </c>
      <c r="BR438" s="4">
        <f t="shared" si="1271"/>
        <v>69.849999999999994</v>
      </c>
      <c r="BV438" s="9"/>
      <c r="BX438" s="9"/>
      <c r="BY438" s="9"/>
      <c r="BZ438" s="9">
        <f t="shared" si="1272"/>
        <v>69.849999999999994</v>
      </c>
      <c r="CA438" s="9">
        <f t="shared" si="1273"/>
        <v>76.644500000000008</v>
      </c>
      <c r="CB438" s="9">
        <f t="shared" si="1374"/>
        <v>1.4161327883964441</v>
      </c>
      <c r="CC438" s="40">
        <f t="shared" si="1299"/>
        <v>0</v>
      </c>
      <c r="CD438" s="9">
        <f t="shared" si="1274"/>
        <v>0</v>
      </c>
      <c r="CE438" s="9">
        <f t="shared" si="1275"/>
        <v>0</v>
      </c>
      <c r="CF438" s="9">
        <f t="shared" si="1276"/>
        <v>0.89777220146327208</v>
      </c>
      <c r="CG438" s="9">
        <f t="shared" si="1277"/>
        <v>0.68048275862068963</v>
      </c>
      <c r="CH438" s="9">
        <f t="shared" si="1375"/>
        <v>1.8504707967044269</v>
      </c>
      <c r="CI438" s="9">
        <f t="shared" si="1376"/>
        <v>2.6205123691832295</v>
      </c>
      <c r="CJ438" s="40">
        <v>1</v>
      </c>
      <c r="CK438" s="9">
        <f t="shared" si="1377"/>
        <v>283.01533587178881</v>
      </c>
      <c r="CM438" s="4">
        <f t="shared" si="1278"/>
        <v>0.8642990042491514</v>
      </c>
      <c r="CN438" s="4">
        <f t="shared" si="1279"/>
        <v>0.5342286604936749</v>
      </c>
      <c r="CO438" s="4">
        <f t="shared" si="1524"/>
        <v>0.66829991143050049</v>
      </c>
      <c r="CP438" s="4">
        <f t="shared" si="1280"/>
        <v>1.6692162339833787</v>
      </c>
      <c r="CQ438" s="4">
        <f t="shared" si="1476"/>
        <v>0.79048475314469613</v>
      </c>
      <c r="CR438" s="4">
        <f t="shared" si="1477"/>
        <v>0.8085349544542425</v>
      </c>
      <c r="CS438" s="4">
        <f t="shared" si="1525"/>
        <v>1.1579794213606953</v>
      </c>
      <c r="CT438" s="4">
        <f t="shared" si="1300"/>
        <v>0</v>
      </c>
      <c r="CU438" s="4">
        <f t="shared" ref="CU438:CV439" si="1536">CM438</f>
        <v>0.8642990042491514</v>
      </c>
      <c r="CV438" s="4">
        <f t="shared" si="1536"/>
        <v>0.5342286604936749</v>
      </c>
      <c r="CW438" s="4">
        <f t="shared" ref="CW438:CW439" si="1537">CP438</f>
        <v>1.6692162339833787</v>
      </c>
      <c r="CX438" s="4">
        <f t="shared" ref="CX438:CX439" si="1538">CS438</f>
        <v>1.1579794213606953</v>
      </c>
      <c r="CY438" s="4">
        <f t="shared" ref="CY438:CZ439" si="1539">CQ438</f>
        <v>0.79048475314469613</v>
      </c>
      <c r="CZ438" s="4">
        <f t="shared" si="1539"/>
        <v>0.8085349544542425</v>
      </c>
      <c r="DI438" s="4">
        <f t="shared" si="1285"/>
        <v>429.76800000000003</v>
      </c>
      <c r="DL438" s="4">
        <f t="shared" si="1453"/>
        <v>2.8517891199412165E-5</v>
      </c>
      <c r="DM438" s="4">
        <f t="shared" si="1313"/>
        <v>9.2434119896701787</v>
      </c>
      <c r="DN438" s="4">
        <f t="shared" si="1454"/>
        <v>0.24598058226905511</v>
      </c>
      <c r="DO438" s="4">
        <f t="shared" si="1455"/>
        <v>5.2746377732798102</v>
      </c>
      <c r="DP438" s="4">
        <f t="shared" si="1456"/>
        <v>7.5272346460747395</v>
      </c>
      <c r="DQ438" s="4">
        <f t="shared" si="1457"/>
        <v>7.8419413222228735</v>
      </c>
      <c r="DR438" s="38">
        <f t="shared" si="1471"/>
        <v>597.62543328520621</v>
      </c>
      <c r="DS438" s="4">
        <f t="shared" si="1382"/>
        <v>1.0001038867962624</v>
      </c>
      <c r="DT438" s="4">
        <f t="shared" si="1458"/>
        <v>2.3452078799117149</v>
      </c>
      <c r="DU438" s="4">
        <f t="shared" si="1390"/>
        <v>253.67292190521368</v>
      </c>
      <c r="DY438" s="4">
        <f t="shared" si="1331"/>
        <v>0.85</v>
      </c>
      <c r="DZ438" s="4">
        <f t="shared" si="1383"/>
        <v>0.90496453900709217</v>
      </c>
      <c r="EA438" s="4">
        <f t="shared" si="1472"/>
        <v>1</v>
      </c>
      <c r="EB438" s="4">
        <f t="shared" si="1384"/>
        <v>0.90496453900709217</v>
      </c>
      <c r="ED438" s="4">
        <f t="shared" si="1473"/>
        <v>584.28369794145203</v>
      </c>
      <c r="EE438" s="25">
        <f t="shared" si="1474"/>
        <v>251.52086631332557</v>
      </c>
      <c r="EG438" s="4">
        <f t="shared" si="1391"/>
        <v>0.76921985815602834</v>
      </c>
      <c r="EH438" s="4">
        <f t="shared" si="1475"/>
        <v>9.2434119896701787</v>
      </c>
      <c r="EK438" s="4">
        <f t="shared" si="1459"/>
        <v>83.991275011158137</v>
      </c>
      <c r="EL438" s="4">
        <f t="shared" si="1460"/>
        <v>2.3452078799117149</v>
      </c>
      <c r="EM438" s="4">
        <f t="shared" si="1461"/>
        <v>0.11640375819584806</v>
      </c>
      <c r="EP438" s="4">
        <f t="shared" si="1301"/>
        <v>0.11640375819584806</v>
      </c>
      <c r="EQ438" s="4">
        <f t="shared" si="1535"/>
        <v>0.24557008652179657</v>
      </c>
      <c r="ER438" s="4">
        <f t="shared" si="1314"/>
        <v>5.2711150540100196</v>
      </c>
      <c r="ES438" s="4">
        <f t="shared" si="1286"/>
        <v>7.5260080187500336</v>
      </c>
      <c r="ET438" s="4">
        <f t="shared" si="1315"/>
        <v>238.33472498884188</v>
      </c>
      <c r="EU438" s="4">
        <f t="shared" si="1316"/>
        <v>107.44200000000004</v>
      </c>
      <c r="EV438" s="4">
        <f t="shared" si="1385"/>
        <v>2.8517891199412171E-5</v>
      </c>
      <c r="EW438" s="4">
        <f t="shared" si="1287"/>
        <v>7.8422428966339846</v>
      </c>
      <c r="EX438" s="4">
        <f t="shared" si="1422"/>
        <v>597.56335434275979</v>
      </c>
      <c r="FA438" s="4">
        <f>6.75*25.4</f>
        <v>171.45</v>
      </c>
      <c r="FG438" s="23">
        <f t="shared" si="1329"/>
        <v>1</v>
      </c>
      <c r="FH438" s="23">
        <f t="shared" si="1329"/>
        <v>0.6</v>
      </c>
      <c r="FI438" s="23">
        <f t="shared" si="1526"/>
        <v>1.2</v>
      </c>
      <c r="FJ438" s="23">
        <f t="shared" si="1330"/>
        <v>1.8</v>
      </c>
      <c r="FK438" s="23">
        <f t="shared" si="1330"/>
        <v>0.8</v>
      </c>
      <c r="FL438" s="23">
        <f t="shared" si="1330"/>
        <v>1</v>
      </c>
      <c r="FM438" s="23">
        <f t="shared" si="1478"/>
        <v>1</v>
      </c>
      <c r="FN438" s="23"/>
      <c r="FX438" s="4">
        <f t="shared" si="1386"/>
        <v>1</v>
      </c>
      <c r="FY438" s="4">
        <f t="shared" si="1429"/>
        <v>0.72665484633569721</v>
      </c>
      <c r="FZ438" s="4">
        <f t="shared" si="1387"/>
        <v>0</v>
      </c>
      <c r="GA438" s="4">
        <f t="shared" si="1388"/>
        <v>407.96389330333153</v>
      </c>
    </row>
    <row r="439" spans="1:183" ht="12" hidden="1" customHeight="1" x14ac:dyDescent="0.3">
      <c r="A439" s="25">
        <v>421</v>
      </c>
      <c r="B439" s="4" t="s">
        <v>605</v>
      </c>
      <c r="C439" s="4">
        <v>2016</v>
      </c>
      <c r="D439" s="4" t="s">
        <v>309</v>
      </c>
      <c r="E439" s="14" t="s">
        <v>679</v>
      </c>
      <c r="F439" s="7" t="s">
        <v>592</v>
      </c>
      <c r="G439" s="38">
        <f>135/0.145</f>
        <v>931.0344827586207</v>
      </c>
      <c r="H439" s="38">
        <f>16.92*25.4</f>
        <v>429.76800000000003</v>
      </c>
      <c r="I439" s="4">
        <f t="shared" si="1288"/>
        <v>429.76800000000003</v>
      </c>
      <c r="J439" s="38">
        <f>10120/145</f>
        <v>69.793103448275858</v>
      </c>
      <c r="K439" s="38">
        <f t="shared" si="1490"/>
        <v>35.813999999999993</v>
      </c>
      <c r="L439" s="7">
        <f t="shared" si="1289"/>
        <v>12.000000000000004</v>
      </c>
      <c r="M439" s="7">
        <f t="shared" si="1290"/>
        <v>12.000000000000004</v>
      </c>
      <c r="N439" s="38">
        <f>21.9*25.4</f>
        <v>556.25999999999988</v>
      </c>
      <c r="O439" s="38">
        <f>2.8*25.4</f>
        <v>71.11999999999999</v>
      </c>
      <c r="P439" s="39">
        <f>3.5*25.4</f>
        <v>88.899999999999991</v>
      </c>
      <c r="Q439" s="7">
        <f t="shared" si="1291"/>
        <v>153.28899999999993</v>
      </c>
      <c r="R439" s="38">
        <v>3</v>
      </c>
      <c r="S439" s="4">
        <f t="shared" si="1361"/>
        <v>508</v>
      </c>
      <c r="T439" s="7">
        <f t="shared" si="1292"/>
        <v>2.4858156028368796</v>
      </c>
      <c r="U439" s="7">
        <f t="shared" si="1414"/>
        <v>2.4858156028368796</v>
      </c>
      <c r="V439" s="38">
        <v>5.5</v>
      </c>
      <c r="W439" s="4">
        <f t="shared" si="1293"/>
        <v>5.5</v>
      </c>
      <c r="X439" s="4">
        <f t="shared" si="1294"/>
        <v>6.5</v>
      </c>
      <c r="Y439" s="7">
        <f t="shared" si="1295"/>
        <v>91.308142429905971</v>
      </c>
      <c r="AB439" s="38">
        <f t="shared" si="1332"/>
        <v>482.06896551724145</v>
      </c>
      <c r="AC439" s="4">
        <v>69.900000000000006</v>
      </c>
      <c r="AD439" s="4">
        <f t="shared" si="1452"/>
        <v>0.83691102883897983</v>
      </c>
      <c r="AE439" s="38"/>
      <c r="AF439" s="38"/>
      <c r="AG439" s="39">
        <v>1</v>
      </c>
      <c r="AH439" s="39"/>
      <c r="AI439" s="39"/>
      <c r="AJ439" s="7"/>
      <c r="AK439" s="4">
        <f t="shared" si="1297"/>
        <v>429.76800000000003</v>
      </c>
      <c r="AL439" s="4">
        <f t="shared" si="1462"/>
        <v>0.43144208037825049</v>
      </c>
      <c r="AM439" s="4">
        <f t="shared" si="1463"/>
        <v>246.2864810022304</v>
      </c>
      <c r="AN439" s="4">
        <f t="shared" si="1464"/>
        <v>0.7414302600472813</v>
      </c>
      <c r="AO439" s="4">
        <v>1.25</v>
      </c>
      <c r="AP439" s="4">
        <f t="shared" si="1396"/>
        <v>2.5</v>
      </c>
      <c r="AQ439" s="38">
        <f t="shared" si="1266"/>
        <v>246.19736674164787</v>
      </c>
      <c r="AR439" s="38">
        <f t="shared" si="1465"/>
        <v>246.19736674164787</v>
      </c>
      <c r="AS439" s="38">
        <f t="shared" si="1466"/>
        <v>4.6054834550100843</v>
      </c>
      <c r="AT439" s="38">
        <f t="shared" si="1407"/>
        <v>246.19736674164798</v>
      </c>
      <c r="AU439" s="38">
        <f t="shared" si="1373"/>
        <v>0.99999999999999956</v>
      </c>
      <c r="AV439" s="38">
        <f t="shared" si="1530"/>
        <v>3.3052883798006034</v>
      </c>
      <c r="AW439" s="4">
        <f t="shared" si="1511"/>
        <v>0</v>
      </c>
      <c r="AX439" s="4">
        <f t="shared" si="1298"/>
        <v>527.63536936692662</v>
      </c>
      <c r="AY439" s="4">
        <f t="shared" si="1267"/>
        <v>1</v>
      </c>
      <c r="AZ439" s="38">
        <f t="shared" si="1389"/>
        <v>813.75329542867667</v>
      </c>
      <c r="BA439" s="4">
        <f t="shared" si="1268"/>
        <v>0.3</v>
      </c>
      <c r="BB439" s="4">
        <f t="shared" si="1269"/>
        <v>82.706844148265759</v>
      </c>
      <c r="BC439" s="4">
        <f t="shared" si="1270"/>
        <v>896.46013957694242</v>
      </c>
      <c r="BE439" s="4">
        <f t="shared" si="1408"/>
        <v>1.2464539007092199</v>
      </c>
      <c r="BF439" s="4">
        <f t="shared" si="1415"/>
        <v>687.26845669303566</v>
      </c>
      <c r="BH439" s="4">
        <f t="shared" si="1416"/>
        <v>780.48892585948306</v>
      </c>
      <c r="BI439" s="4">
        <f t="shared" si="1350"/>
        <v>0</v>
      </c>
      <c r="BJ439" s="4">
        <f t="shared" si="1417"/>
        <v>0</v>
      </c>
      <c r="BR439" s="4">
        <f t="shared" si="1271"/>
        <v>71.11999999999999</v>
      </c>
      <c r="BV439" s="9"/>
      <c r="BX439" s="9"/>
      <c r="BY439" s="9"/>
      <c r="BZ439" s="9">
        <f t="shared" si="1272"/>
        <v>71.11999999999999</v>
      </c>
      <c r="CA439" s="9">
        <f t="shared" si="1273"/>
        <v>76.644499999999965</v>
      </c>
      <c r="CB439" s="9">
        <f t="shared" si="1374"/>
        <v>1.4250918174124854</v>
      </c>
      <c r="CC439" s="40">
        <f t="shared" si="1299"/>
        <v>0</v>
      </c>
      <c r="CD439" s="9">
        <f t="shared" si="1274"/>
        <v>0</v>
      </c>
      <c r="CE439" s="9">
        <f t="shared" si="1275"/>
        <v>0</v>
      </c>
      <c r="CF439" s="9">
        <f t="shared" si="1276"/>
        <v>0.89777220146327208</v>
      </c>
      <c r="CG439" s="9">
        <f t="shared" si="1277"/>
        <v>0.68</v>
      </c>
      <c r="CH439" s="9">
        <f t="shared" si="1375"/>
        <v>1.7850458101214393</v>
      </c>
      <c r="CI439" s="9">
        <f t="shared" si="1376"/>
        <v>2.5438541777105041</v>
      </c>
      <c r="CJ439" s="40">
        <v>1</v>
      </c>
      <c r="CK439" s="9">
        <f t="shared" si="1377"/>
        <v>274.73625119273447</v>
      </c>
      <c r="CM439" s="4">
        <f t="shared" si="1278"/>
        <v>0.91364035374588859</v>
      </c>
      <c r="CN439" s="4">
        <f t="shared" si="1279"/>
        <v>0.53774723965388971</v>
      </c>
      <c r="CO439" s="4">
        <f t="shared" si="1524"/>
        <v>0.70142745650926142</v>
      </c>
      <c r="CP439" s="4">
        <f t="shared" si="1280"/>
        <v>1.7546609281607246</v>
      </c>
      <c r="CQ439" s="4">
        <f t="shared" si="1476"/>
        <v>0.83691102883897983</v>
      </c>
      <c r="CR439" s="4">
        <f t="shared" si="1477"/>
        <v>0.85080970194489203</v>
      </c>
      <c r="CS439" s="4">
        <f t="shared" si="1525"/>
        <v>1.2026791278589977</v>
      </c>
      <c r="CT439" s="4">
        <f t="shared" si="1300"/>
        <v>0</v>
      </c>
      <c r="CU439" s="4">
        <f t="shared" si="1536"/>
        <v>0.91364035374588859</v>
      </c>
      <c r="CV439" s="4">
        <f t="shared" si="1536"/>
        <v>0.53774723965388971</v>
      </c>
      <c r="CW439" s="4">
        <f t="shared" si="1537"/>
        <v>1.7546609281607246</v>
      </c>
      <c r="CX439" s="4">
        <f t="shared" si="1538"/>
        <v>1.2026791278589977</v>
      </c>
      <c r="CY439" s="4">
        <f t="shared" si="1539"/>
        <v>0.83691102883897983</v>
      </c>
      <c r="CZ439" s="4">
        <f t="shared" si="1539"/>
        <v>0.85080970194489203</v>
      </c>
      <c r="DI439" s="4">
        <f t="shared" si="1285"/>
        <v>429.76800000000003</v>
      </c>
      <c r="DL439" s="4">
        <f t="shared" si="1453"/>
        <v>2.7653839435452814E-5</v>
      </c>
      <c r="DM439" s="4">
        <f t="shared" si="1313"/>
        <v>8.9580354742076711</v>
      </c>
      <c r="DN439" s="4">
        <f t="shared" si="1454"/>
        <v>0.22786865453997082</v>
      </c>
      <c r="DO439" s="4">
        <f t="shared" si="1455"/>
        <v>4.9577727165186403</v>
      </c>
      <c r="DP439" s="4">
        <f t="shared" si="1456"/>
        <v>7.2418419869406607</v>
      </c>
      <c r="DQ439" s="4">
        <f t="shared" si="1457"/>
        <v>7.6999302204328206</v>
      </c>
      <c r="DR439" s="38">
        <f t="shared" si="1471"/>
        <v>576.00981335614665</v>
      </c>
      <c r="DS439" s="4">
        <f t="shared" si="1382"/>
        <v>1.0001033798539654</v>
      </c>
      <c r="DT439" s="4">
        <f t="shared" si="1458"/>
        <v>2.5495097567963922</v>
      </c>
      <c r="DU439" s="4">
        <f t="shared" si="1390"/>
        <v>246.19736674164798</v>
      </c>
      <c r="DY439" s="4">
        <f t="shared" si="1331"/>
        <v>0.85</v>
      </c>
      <c r="DZ439" s="4">
        <f t="shared" si="1383"/>
        <v>0.90141843971631208</v>
      </c>
      <c r="EA439" s="4">
        <f t="shared" si="1472"/>
        <v>1</v>
      </c>
      <c r="EB439" s="4">
        <f t="shared" si="1384"/>
        <v>0.90141843971631208</v>
      </c>
      <c r="ED439" s="4">
        <f t="shared" si="1473"/>
        <v>566.6002214305563</v>
      </c>
      <c r="EE439" s="25">
        <f t="shared" si="1474"/>
        <v>244.11094435908009</v>
      </c>
      <c r="EG439" s="4">
        <f t="shared" si="1391"/>
        <v>0.76620567375886528</v>
      </c>
      <c r="EH439" s="4">
        <f t="shared" si="1475"/>
        <v>8.9580354742076711</v>
      </c>
      <c r="EK439" s="4">
        <f t="shared" si="1459"/>
        <v>91.308142429905971</v>
      </c>
      <c r="EL439" s="4">
        <f t="shared" si="1460"/>
        <v>2.5495097567963922</v>
      </c>
      <c r="EM439" s="4">
        <f t="shared" si="1461"/>
        <v>0.10409409854737328</v>
      </c>
      <c r="EP439" s="4">
        <f t="shared" si="1301"/>
        <v>0.10409409854737328</v>
      </c>
      <c r="EQ439" s="4">
        <f t="shared" si="1535"/>
        <v>0.22748838422448764</v>
      </c>
      <c r="ER439" s="4">
        <f t="shared" si="1314"/>
        <v>4.9544616187268264</v>
      </c>
      <c r="ES439" s="4">
        <f t="shared" si="1286"/>
        <v>7.2407168346772508</v>
      </c>
      <c r="ET439" s="4">
        <f t="shared" si="1315"/>
        <v>231.01785757009407</v>
      </c>
      <c r="EU439" s="4">
        <f t="shared" si="1316"/>
        <v>107.44200000000001</v>
      </c>
      <c r="EV439" s="4">
        <f t="shared" si="1385"/>
        <v>2.7653839435452814E-5</v>
      </c>
      <c r="EW439" s="4">
        <f t="shared" si="1287"/>
        <v>7.7002015691255705</v>
      </c>
      <c r="EX439" s="4">
        <f t="shared" si="1422"/>
        <v>575.95027170116691</v>
      </c>
      <c r="FG439" s="23">
        <f t="shared" si="1329"/>
        <v>1</v>
      </c>
      <c r="FH439" s="23">
        <f t="shared" si="1329"/>
        <v>0.6</v>
      </c>
      <c r="FI439" s="23">
        <f t="shared" si="1526"/>
        <v>1.4</v>
      </c>
      <c r="FJ439" s="23">
        <f t="shared" si="1330"/>
        <v>1.8</v>
      </c>
      <c r="FK439" s="23">
        <f t="shared" si="1330"/>
        <v>1</v>
      </c>
      <c r="FL439" s="23">
        <f t="shared" si="1330"/>
        <v>1</v>
      </c>
      <c r="FM439" s="23">
        <f t="shared" si="1478"/>
        <v>0</v>
      </c>
      <c r="FN439" s="23"/>
      <c r="FX439" s="4">
        <f t="shared" si="1386"/>
        <v>1</v>
      </c>
      <c r="FY439" s="4">
        <f t="shared" si="1429"/>
        <v>0.72665484633569744</v>
      </c>
      <c r="FZ439" s="4">
        <f t="shared" si="1387"/>
        <v>0</v>
      </c>
      <c r="GA439" s="4">
        <f t="shared" si="1388"/>
        <v>400.82924393592646</v>
      </c>
    </row>
    <row r="440" spans="1:183" ht="12" hidden="1" customHeight="1" x14ac:dyDescent="0.3">
      <c r="A440" s="25">
        <v>422</v>
      </c>
      <c r="B440" s="4" t="s">
        <v>605</v>
      </c>
      <c r="C440" s="4">
        <v>2016</v>
      </c>
      <c r="D440" s="4" t="s">
        <v>309</v>
      </c>
      <c r="E440" s="14" t="s">
        <v>679</v>
      </c>
      <c r="F440" s="48" t="s">
        <v>593</v>
      </c>
      <c r="G440" s="38">
        <f>115.9/0.145</f>
        <v>799.31034482758628</v>
      </c>
      <c r="H440" s="38">
        <f>17*25.4</f>
        <v>431.79999999999995</v>
      </c>
      <c r="I440" s="4">
        <f t="shared" si="1288"/>
        <v>431.79999999999995</v>
      </c>
      <c r="J440" s="38">
        <f>10860/145</f>
        <v>74.896551724137936</v>
      </c>
      <c r="K440" s="38">
        <f t="shared" si="1490"/>
        <v>35.813999999999993</v>
      </c>
      <c r="L440" s="7">
        <f t="shared" si="1289"/>
        <v>12.056737588652483</v>
      </c>
      <c r="M440" s="7">
        <f t="shared" si="1290"/>
        <v>12.056737588652483</v>
      </c>
      <c r="N440" s="38">
        <f>21.8*25.4</f>
        <v>553.72</v>
      </c>
      <c r="O440" s="38">
        <f>2.65*25.4</f>
        <v>67.309999999999988</v>
      </c>
      <c r="P440" s="39">
        <f>3.8*25.4</f>
        <v>96.52</v>
      </c>
      <c r="Q440" s="7">
        <f t="shared" si="1291"/>
        <v>155.82900000000001</v>
      </c>
      <c r="R440" s="38">
        <v>3</v>
      </c>
      <c r="S440" s="4">
        <f t="shared" si="1361"/>
        <v>508</v>
      </c>
      <c r="T440" s="7">
        <f t="shared" si="1292"/>
        <v>2.3794326241134751</v>
      </c>
      <c r="U440" s="7">
        <f t="shared" si="1414"/>
        <v>2.3794326241134751</v>
      </c>
      <c r="V440" s="38">
        <v>4.5</v>
      </c>
      <c r="W440" s="4">
        <f t="shared" si="1293"/>
        <v>4.5</v>
      </c>
      <c r="X440" s="4">
        <f t="shared" si="1294"/>
        <v>5.5</v>
      </c>
      <c r="Y440" s="7">
        <f t="shared" si="1295"/>
        <v>83.991275011158137</v>
      </c>
      <c r="AB440" s="38">
        <f t="shared" si="1332"/>
        <v>600.68965517241384</v>
      </c>
      <c r="AC440" s="4">
        <v>87.1</v>
      </c>
      <c r="AD440" s="4">
        <f t="shared" si="1452"/>
        <v>1.006304469333855</v>
      </c>
      <c r="AE440" s="38">
        <f t="shared" ref="AE440:AE441" si="1540">0.5*25.4</f>
        <v>12.7</v>
      </c>
      <c r="AF440" s="38">
        <v>12</v>
      </c>
      <c r="AG440" s="39">
        <f t="shared" ref="AG440:AG441" si="1541">4*25.4</f>
        <v>101.6</v>
      </c>
      <c r="AH440" s="39">
        <v>2</v>
      </c>
      <c r="AI440" s="39">
        <f t="shared" ref="AI440:AI441" si="1542">AH440-1</f>
        <v>1</v>
      </c>
      <c r="AJ440" s="7"/>
      <c r="AK440" s="4">
        <f t="shared" si="1297"/>
        <v>431.79999999999995</v>
      </c>
      <c r="AL440" s="4">
        <f t="shared" si="1462"/>
        <v>0.4274509803921569</v>
      </c>
      <c r="AM440" s="4">
        <f t="shared" si="1463"/>
        <v>256.94375927002261</v>
      </c>
      <c r="AN440" s="4">
        <f t="shared" si="1464"/>
        <v>0.7394705882352941</v>
      </c>
      <c r="AO440" s="4">
        <v>1.25</v>
      </c>
      <c r="AP440" s="4">
        <f t="shared" si="1396"/>
        <v>2.5</v>
      </c>
      <c r="AQ440" s="38">
        <f t="shared" ref="AQ440:AQ449" si="1543">AL440*AN440*AO440*AP440*AM440</f>
        <v>253.80216245559149</v>
      </c>
      <c r="AR440" s="38">
        <f t="shared" si="1465"/>
        <v>253.80216245559149</v>
      </c>
      <c r="AS440" s="38">
        <f t="shared" si="1466"/>
        <v>4.7252710400583542</v>
      </c>
      <c r="AT440" s="38">
        <f t="shared" si="1407"/>
        <v>253.80216245559126</v>
      </c>
      <c r="AU440" s="38">
        <f t="shared" si="1373"/>
        <v>1.0000000000000009</v>
      </c>
      <c r="AV440" s="38">
        <f t="shared" si="1530"/>
        <v>2.9790388665523837</v>
      </c>
      <c r="AW440" s="4">
        <f t="shared" si="1511"/>
        <v>0</v>
      </c>
      <c r="AX440" s="4">
        <f t="shared" si="1298"/>
        <v>549.17039788951729</v>
      </c>
      <c r="AY440" s="4">
        <f t="shared" ref="AY440:AY449" si="1544">MIN(0.6+0.4*(U440/T440),2)</f>
        <v>1</v>
      </c>
      <c r="AZ440" s="38">
        <f t="shared" si="1389"/>
        <v>756.08650637024857</v>
      </c>
      <c r="BA440" s="4">
        <f t="shared" ref="BA440:BA449" si="1545">MAX(1-0.7*W440/5,0.3)</f>
        <v>0.37</v>
      </c>
      <c r="BB440" s="4">
        <f t="shared" ref="BB440:BB449" si="1546">BA440*G440*I440/(G440*K440/2.75/J440^0.5)</f>
        <v>106.16836717199092</v>
      </c>
      <c r="BC440" s="4">
        <f t="shared" ref="BC440:BC449" si="1547">AZ440+BB440</f>
        <v>862.25487354223947</v>
      </c>
      <c r="BE440" s="4">
        <f t="shared" si="1408"/>
        <v>1.5</v>
      </c>
      <c r="BF440" s="4">
        <f t="shared" si="1415"/>
        <v>858.98326265183573</v>
      </c>
      <c r="BH440" s="4">
        <f t="shared" si="1416"/>
        <v>725.17942296368437</v>
      </c>
      <c r="BI440" s="4">
        <f t="shared" si="1350"/>
        <v>0</v>
      </c>
      <c r="BJ440" s="4">
        <f t="shared" si="1417"/>
        <v>0</v>
      </c>
      <c r="BR440" s="4">
        <f t="shared" ref="BR440:BR449" si="1548">IF(Q440=0,O440,MIN(Q440/2,O440))</f>
        <v>67.309999999999988</v>
      </c>
      <c r="BV440" s="9"/>
      <c r="BX440" s="9"/>
      <c r="BY440" s="9"/>
      <c r="BZ440" s="9">
        <f t="shared" ref="BZ440:BZ449" si="1549">IF(Q440=0,MIN(O440,P440),MIN(Q440/2,O440,P440))</f>
        <v>67.309999999999988</v>
      </c>
      <c r="CA440" s="9">
        <f t="shared" ref="CA440:CA449" si="1550">MAX(Q440/2,O440)</f>
        <v>77.914500000000004</v>
      </c>
      <c r="CB440" s="9">
        <f t="shared" si="1374"/>
        <v>1.40134215068795</v>
      </c>
      <c r="CC440" s="40">
        <f t="shared" si="1299"/>
        <v>20</v>
      </c>
      <c r="CD440" s="9">
        <f t="shared" ref="CD440:CD449" si="1551">MIN(PI()*AE440^2/4*AF440*2/R440/K440/MAX(0.01,AG440),0.05)</f>
        <v>0.05</v>
      </c>
      <c r="CE440" s="9">
        <f t="shared" ref="CE440:CE449" si="1552">MAX(0,CC440*(CD440-0.5/50))</f>
        <v>0.8</v>
      </c>
      <c r="CF440" s="9">
        <f t="shared" ref="CF440:CF449" si="1553">MIN(1,(25/K440)^0.3)</f>
        <v>0.89777220146327208</v>
      </c>
      <c r="CG440" s="9">
        <f t="shared" ref="CG440:CG449" si="1554">IF(G440&gt;=800,0.68,IF(G440&gt;=700,0.75-(G440-700)*0.07/100,IF(G440&gt;=600,0.85-(G440-600)*0.1/100,IF(G440&gt;=500,1-(G440-500)*0.15/100,1.2-(G440-400)*0.2/100))))</f>
        <v>0.68048275862068963</v>
      </c>
      <c r="CH440" s="9">
        <f t="shared" si="1375"/>
        <v>1.8504707967044269</v>
      </c>
      <c r="CI440" s="9">
        <f t="shared" si="1376"/>
        <v>4.0735193634025677</v>
      </c>
      <c r="CJ440" s="40">
        <v>1</v>
      </c>
      <c r="CK440" s="9">
        <f t="shared" si="1377"/>
        <v>440.86457791151196</v>
      </c>
      <c r="CM440" s="4">
        <f t="shared" ref="CM440:CM449" si="1555">AB440/AX440</f>
        <v>1.0938128811765657</v>
      </c>
      <c r="CN440" s="4">
        <f t="shared" ref="CN440:CN449" si="1556">AB440/BC440</f>
        <v>0.69664976517292798</v>
      </c>
      <c r="CO440" s="4">
        <f t="shared" si="1524"/>
        <v>0.69930309621863518</v>
      </c>
      <c r="CP440" s="4">
        <f t="shared" ref="CP440:CP449" si="1557">AB440/CK440</f>
        <v>1.362526465650822</v>
      </c>
      <c r="CQ440" s="4">
        <f t="shared" si="1476"/>
        <v>1.006304469333855</v>
      </c>
      <c r="CR440" s="4">
        <f t="shared" si="1477"/>
        <v>1.0293844757547645</v>
      </c>
      <c r="CS440" s="4">
        <f t="shared" si="1525"/>
        <v>1.1608850073852048</v>
      </c>
      <c r="CT440" s="4">
        <f t="shared" si="1300"/>
        <v>12</v>
      </c>
      <c r="DA440" s="4">
        <f t="shared" ref="DA440:DB441" si="1558">CM440</f>
        <v>1.0938128811765657</v>
      </c>
      <c r="DB440" s="4">
        <f t="shared" si="1558"/>
        <v>0.69664976517292798</v>
      </c>
      <c r="DC440" s="4">
        <f t="shared" ref="DC440:DC441" si="1559">CP440</f>
        <v>1.362526465650822</v>
      </c>
      <c r="DD440" s="4">
        <f t="shared" ref="DD440:DD441" si="1560">CS440</f>
        <v>1.1608850073852048</v>
      </c>
      <c r="DE440" s="4">
        <f t="shared" ref="DE440:DF441" si="1561">CQ440</f>
        <v>1.006304469333855</v>
      </c>
      <c r="DF440" s="4">
        <f t="shared" si="1561"/>
        <v>1.0293844757547645</v>
      </c>
      <c r="DI440" s="4">
        <f t="shared" ref="DI440:DI449" si="1562">I440</f>
        <v>431.79999999999995</v>
      </c>
      <c r="DL440" s="4">
        <f t="shared" si="1453"/>
        <v>2.8652727564421202E-5</v>
      </c>
      <c r="DM440" s="4">
        <f t="shared" si="1313"/>
        <v>9.175653902487765</v>
      </c>
      <c r="DN440" s="4">
        <f t="shared" si="1454"/>
        <v>0.24610590374836747</v>
      </c>
      <c r="DO440" s="4">
        <f t="shared" si="1455"/>
        <v>5.2370393460986371</v>
      </c>
      <c r="DP440" s="4">
        <f t="shared" si="1456"/>
        <v>7.4724284792628914</v>
      </c>
      <c r="DQ440" s="4">
        <f t="shared" si="1457"/>
        <v>7.7810990756344607</v>
      </c>
      <c r="DR440" s="38">
        <f t="shared" si="1471"/>
        <v>596.92635129609766</v>
      </c>
      <c r="DS440" s="4">
        <f t="shared" si="1382"/>
        <v>1.0001035913282026</v>
      </c>
      <c r="DT440" s="4">
        <f t="shared" si="1458"/>
        <v>2.3452078799117149</v>
      </c>
      <c r="DU440" s="4">
        <f t="shared" si="1390"/>
        <v>253.80216245559126</v>
      </c>
      <c r="DY440" s="4">
        <f t="shared" si="1331"/>
        <v>0.85</v>
      </c>
      <c r="DZ440" s="4">
        <f t="shared" si="1383"/>
        <v>0.91205673758865247</v>
      </c>
      <c r="EA440" s="4">
        <f t="shared" si="1472"/>
        <v>0.9995510789195714</v>
      </c>
      <c r="EB440" s="4">
        <f t="shared" si="1384"/>
        <v>0.91164729609260198</v>
      </c>
      <c r="ED440" s="4">
        <f t="shared" si="1473"/>
        <v>583.54256288154784</v>
      </c>
      <c r="EE440" s="25">
        <f t="shared" si="1474"/>
        <v>251.65720896177749</v>
      </c>
      <c r="EG440" s="4">
        <f t="shared" si="1391"/>
        <v>0.77490020167871165</v>
      </c>
      <c r="EH440" s="4">
        <f t="shared" si="1475"/>
        <v>9.175653902487765</v>
      </c>
      <c r="EK440" s="4">
        <f t="shared" si="1459"/>
        <v>83.991275011158137</v>
      </c>
      <c r="EL440" s="4">
        <f t="shared" si="1460"/>
        <v>2.3452078799117149</v>
      </c>
      <c r="EM440" s="4">
        <f t="shared" si="1461"/>
        <v>0.11646306324765357</v>
      </c>
      <c r="EP440" s="4">
        <f t="shared" si="1301"/>
        <v>0.11646306324765357</v>
      </c>
      <c r="EQ440" s="4">
        <f t="shared" si="1535"/>
        <v>0.24569519886291669</v>
      </c>
      <c r="ER440" s="4">
        <f t="shared" si="1314"/>
        <v>5.233541737312188</v>
      </c>
      <c r="ES440" s="4">
        <f t="shared" ref="ES440:ES449" si="1563">EH440/1.4*(1-EQ440^1.4)/(1-EQ440)</f>
        <v>7.4712103995701256</v>
      </c>
      <c r="ET440" s="4">
        <f t="shared" si="1315"/>
        <v>239.85872498884183</v>
      </c>
      <c r="EU440" s="4">
        <f t="shared" si="1316"/>
        <v>107.95000000000002</v>
      </c>
      <c r="EV440" s="4">
        <f t="shared" si="1385"/>
        <v>2.8652727564421212E-5</v>
      </c>
      <c r="EW440" s="4">
        <f t="shared" ref="EW440:EW449" si="1564">MAX(0.5*EH440, (1-2*EV440*(EK440*ER440+ET440*ES440))/(1/EH440+EV440*EU440))</f>
        <v>7.7813986667534705</v>
      </c>
      <c r="EX440" s="4">
        <f t="shared" si="1422"/>
        <v>596.86452130757834</v>
      </c>
      <c r="FA440" s="4">
        <f>6.75*25.4</f>
        <v>171.45</v>
      </c>
      <c r="FG440" s="23">
        <f t="shared" si="1329"/>
        <v>1.2</v>
      </c>
      <c r="FH440" s="23">
        <f t="shared" si="1329"/>
        <v>0.8</v>
      </c>
      <c r="FI440" s="23">
        <f t="shared" si="1526"/>
        <v>1.2</v>
      </c>
      <c r="FJ440" s="23">
        <f t="shared" si="1330"/>
        <v>1.4</v>
      </c>
      <c r="FK440" s="23">
        <f t="shared" si="1330"/>
        <v>1.2</v>
      </c>
      <c r="FL440" s="23">
        <f t="shared" si="1330"/>
        <v>1.2</v>
      </c>
      <c r="FM440" s="23">
        <f t="shared" si="1478"/>
        <v>0</v>
      </c>
      <c r="FN440" s="23"/>
      <c r="FX440" s="4">
        <f t="shared" si="1386"/>
        <v>1</v>
      </c>
      <c r="FY440" s="4">
        <f t="shared" si="1429"/>
        <v>0.57562217267152949</v>
      </c>
      <c r="FZ440" s="4">
        <f t="shared" si="1387"/>
        <v>0.16766426906761905</v>
      </c>
      <c r="GA440" s="4">
        <f t="shared" si="1388"/>
        <v>517.4411344370933</v>
      </c>
    </row>
    <row r="441" spans="1:183" ht="12" hidden="1" customHeight="1" x14ac:dyDescent="0.3">
      <c r="A441" s="25">
        <v>423</v>
      </c>
      <c r="B441" s="4" t="s">
        <v>605</v>
      </c>
      <c r="C441" s="4">
        <v>2016</v>
      </c>
      <c r="D441" s="4" t="s">
        <v>309</v>
      </c>
      <c r="E441" s="14" t="s">
        <v>679</v>
      </c>
      <c r="F441" s="7" t="s">
        <v>594</v>
      </c>
      <c r="G441" s="38">
        <f>135/0.145</f>
        <v>931.0344827586207</v>
      </c>
      <c r="H441" s="38">
        <f>16.75*25.4</f>
        <v>425.45</v>
      </c>
      <c r="I441" s="4">
        <f t="shared" ref="I441:I449" si="1565">H441</f>
        <v>425.45</v>
      </c>
      <c r="J441" s="38">
        <f>10120/145</f>
        <v>69.793103448275858</v>
      </c>
      <c r="K441" s="38">
        <f t="shared" si="1490"/>
        <v>35.813999999999993</v>
      </c>
      <c r="L441" s="7">
        <f t="shared" ref="L441:L449" si="1566">H441/K441</f>
        <v>11.879432624113477</v>
      </c>
      <c r="M441" s="7">
        <f t="shared" ref="M441:M449" si="1567">I441/K441</f>
        <v>11.879432624113477</v>
      </c>
      <c r="N441" s="38">
        <f>21.9*25.4</f>
        <v>556.25999999999988</v>
      </c>
      <c r="O441" s="38">
        <f>2.8*25.4</f>
        <v>71.11999999999999</v>
      </c>
      <c r="P441" s="39">
        <f>3.3*25.4</f>
        <v>83.82</v>
      </c>
      <c r="Q441" s="7">
        <f t="shared" ref="Q441:Q448" si="1568">(N441-R441*K441-2*O441)/(R441-1)</f>
        <v>153.28899999999993</v>
      </c>
      <c r="R441" s="38">
        <v>3</v>
      </c>
      <c r="S441" s="4">
        <f t="shared" si="1361"/>
        <v>508</v>
      </c>
      <c r="T441" s="7">
        <f t="shared" ref="T441:T449" si="1569">MIN(O441/K441+0.5, Q441/2/K441+0.5)</f>
        <v>2.4858156028368796</v>
      </c>
      <c r="U441" s="7">
        <f t="shared" si="1414"/>
        <v>2.4858156028368796</v>
      </c>
      <c r="V441" s="38">
        <v>5.5</v>
      </c>
      <c r="W441" s="4">
        <f t="shared" ref="W441:W449" si="1570">V441</f>
        <v>5.5</v>
      </c>
      <c r="X441" s="4">
        <f t="shared" ref="X441:X449" si="1571">W441+1</f>
        <v>6.5</v>
      </c>
      <c r="Y441" s="7">
        <f t="shared" ref="Y441:Y449" si="1572">K441*X441^0.5</f>
        <v>91.308142429905971</v>
      </c>
      <c r="AB441" s="38">
        <f t="shared" si="1332"/>
        <v>680</v>
      </c>
      <c r="AC441" s="4">
        <v>98.6</v>
      </c>
      <c r="AD441" s="4">
        <f t="shared" si="1452"/>
        <v>1.189548271882735</v>
      </c>
      <c r="AE441" s="38">
        <f t="shared" si="1540"/>
        <v>12.7</v>
      </c>
      <c r="AF441" s="38">
        <v>12</v>
      </c>
      <c r="AG441" s="39">
        <f t="shared" si="1541"/>
        <v>101.6</v>
      </c>
      <c r="AH441" s="39">
        <v>2</v>
      </c>
      <c r="AI441" s="39">
        <f t="shared" si="1542"/>
        <v>1</v>
      </c>
      <c r="AJ441" s="7"/>
      <c r="AK441" s="4">
        <f t="shared" ref="AK441:AK449" si="1573">H441</f>
        <v>425.45</v>
      </c>
      <c r="AL441" s="4">
        <f t="shared" si="1462"/>
        <v>0.43582089552238795</v>
      </c>
      <c r="AM441" s="4">
        <f t="shared" si="1463"/>
        <v>242.58405561741927</v>
      </c>
      <c r="AN441" s="4">
        <f t="shared" si="1464"/>
        <v>0.74185074626865666</v>
      </c>
      <c r="AO441" s="4">
        <v>1.25</v>
      </c>
      <c r="AP441" s="4">
        <f t="shared" si="1396"/>
        <v>2.5</v>
      </c>
      <c r="AQ441" s="38">
        <f t="shared" si="1543"/>
        <v>245.09635963739103</v>
      </c>
      <c r="AR441" s="38">
        <f t="shared" si="1465"/>
        <v>245.09635963739103</v>
      </c>
      <c r="AS441" s="38">
        <f t="shared" si="1466"/>
        <v>4.6054834550100843</v>
      </c>
      <c r="AT441" s="38">
        <f t="shared" si="1407"/>
        <v>245.0963596373912</v>
      </c>
      <c r="AU441" s="38">
        <f t="shared" si="1373"/>
        <v>0.99999999999999933</v>
      </c>
      <c r="AV441" s="38">
        <f t="shared" si="1530"/>
        <v>3.3201361971780701</v>
      </c>
      <c r="AW441" s="4">
        <f t="shared" si="1511"/>
        <v>0</v>
      </c>
      <c r="AX441" s="4">
        <f t="shared" ref="AX441:AX449" si="1574">I441/K441*J441^0.5/0.19</f>
        <v>522.33406837446921</v>
      </c>
      <c r="AY441" s="4">
        <f t="shared" si="1544"/>
        <v>1</v>
      </c>
      <c r="AZ441" s="38">
        <f t="shared" si="1389"/>
        <v>813.75329542867667</v>
      </c>
      <c r="BA441" s="4">
        <f t="shared" si="1545"/>
        <v>0.3</v>
      </c>
      <c r="BB441" s="4">
        <f t="shared" si="1546"/>
        <v>81.875865217698063</v>
      </c>
      <c r="BC441" s="4">
        <f t="shared" si="1547"/>
        <v>895.62916064637477</v>
      </c>
      <c r="BE441" s="4">
        <f t="shared" si="1408"/>
        <v>1.5</v>
      </c>
      <c r="BF441" s="4">
        <f t="shared" si="1415"/>
        <v>822.53582913410628</v>
      </c>
      <c r="BH441" s="4">
        <f t="shared" si="1416"/>
        <v>780.48892585948306</v>
      </c>
      <c r="BI441" s="4">
        <f t="shared" si="1350"/>
        <v>0</v>
      </c>
      <c r="BJ441" s="4">
        <f t="shared" si="1417"/>
        <v>0</v>
      </c>
      <c r="BR441" s="4">
        <f t="shared" si="1548"/>
        <v>71.11999999999999</v>
      </c>
      <c r="BV441" s="9"/>
      <c r="BX441" s="9"/>
      <c r="BY441" s="9"/>
      <c r="BZ441" s="9">
        <f t="shared" si="1549"/>
        <v>71.11999999999999</v>
      </c>
      <c r="CA441" s="9">
        <f t="shared" si="1550"/>
        <v>76.644499999999965</v>
      </c>
      <c r="CB441" s="9">
        <f t="shared" si="1374"/>
        <v>1.4250918174124854</v>
      </c>
      <c r="CC441" s="40">
        <f t="shared" ref="CC441:CC449" si="1575">IF(AG441&gt;1,20,0)</f>
        <v>20</v>
      </c>
      <c r="CD441" s="9">
        <f t="shared" si="1551"/>
        <v>0.05</v>
      </c>
      <c r="CE441" s="9">
        <f t="shared" si="1552"/>
        <v>0.8</v>
      </c>
      <c r="CF441" s="9">
        <f t="shared" si="1553"/>
        <v>0.89777220146327208</v>
      </c>
      <c r="CG441" s="9">
        <f t="shared" si="1554"/>
        <v>0.68</v>
      </c>
      <c r="CH441" s="9">
        <f t="shared" si="1375"/>
        <v>1.7850458101214393</v>
      </c>
      <c r="CI441" s="9">
        <f t="shared" si="1376"/>
        <v>3.9718908258076553</v>
      </c>
      <c r="CJ441" s="40">
        <v>1</v>
      </c>
      <c r="CK441" s="9">
        <f t="shared" si="1377"/>
        <v>427.04868737052527</v>
      </c>
      <c r="CM441" s="4">
        <f t="shared" si="1555"/>
        <v>1.3018488380744442</v>
      </c>
      <c r="CN441" s="4">
        <f t="shared" si="1556"/>
        <v>0.75924280927749677</v>
      </c>
      <c r="CO441" s="4">
        <f t="shared" si="1524"/>
        <v>0.8267117077633499</v>
      </c>
      <c r="CP441" s="4">
        <f t="shared" si="1557"/>
        <v>1.5923242948877245</v>
      </c>
      <c r="CQ441" s="4">
        <f t="shared" si="1476"/>
        <v>1.189548271882735</v>
      </c>
      <c r="CR441" s="4">
        <f t="shared" si="1477"/>
        <v>1.2091353781823571</v>
      </c>
      <c r="CS441" s="4">
        <f t="shared" si="1525"/>
        <v>1.3841922978836163</v>
      </c>
      <c r="CT441" s="4">
        <f t="shared" ref="CT441:CT449" si="1576">AF441</f>
        <v>12</v>
      </c>
      <c r="DA441" s="4">
        <f t="shared" si="1558"/>
        <v>1.3018488380744442</v>
      </c>
      <c r="DB441" s="4">
        <f t="shared" si="1558"/>
        <v>0.75924280927749677</v>
      </c>
      <c r="DC441" s="4">
        <f t="shared" si="1559"/>
        <v>1.5923242948877245</v>
      </c>
      <c r="DD441" s="4">
        <f t="shared" si="1560"/>
        <v>1.3841922978836163</v>
      </c>
      <c r="DE441" s="4">
        <f t="shared" si="1561"/>
        <v>1.189548271882735</v>
      </c>
      <c r="DF441" s="4">
        <f t="shared" si="1561"/>
        <v>1.2091353781823571</v>
      </c>
      <c r="DI441" s="4">
        <f t="shared" si="1562"/>
        <v>425.45</v>
      </c>
      <c r="DL441" s="4">
        <f t="shared" si="1453"/>
        <v>2.737599353095949E-5</v>
      </c>
      <c r="DM441" s="4">
        <f t="shared" si="1313"/>
        <v>8.9620587312961906</v>
      </c>
      <c r="DN441" s="4">
        <f t="shared" si="1454"/>
        <v>0.22684961436579537</v>
      </c>
      <c r="DO441" s="4">
        <f t="shared" si="1455"/>
        <v>4.951114885337712</v>
      </c>
      <c r="DP441" s="4">
        <f t="shared" si="1456"/>
        <v>7.2420767721723385</v>
      </c>
      <c r="DQ441" s="4">
        <f t="shared" si="1457"/>
        <v>7.7290930335956531</v>
      </c>
      <c r="DR441" s="38">
        <f t="shared" si="1471"/>
        <v>571.64557006479686</v>
      </c>
      <c r="DS441" s="4">
        <f t="shared" si="1382"/>
        <v>1.0001033942474591</v>
      </c>
      <c r="DT441" s="4">
        <f t="shared" si="1458"/>
        <v>2.5495097567963922</v>
      </c>
      <c r="DU441" s="4">
        <f t="shared" si="1390"/>
        <v>245.0963596373912</v>
      </c>
      <c r="DY441" s="4">
        <f t="shared" si="1331"/>
        <v>0.85</v>
      </c>
      <c r="DZ441" s="4">
        <f t="shared" si="1383"/>
        <v>0.90141843971631208</v>
      </c>
      <c r="EA441" s="4">
        <f t="shared" si="1472"/>
        <v>0.9995510789195714</v>
      </c>
      <c r="EB441" s="4">
        <f t="shared" si="1384"/>
        <v>0.90101377397643634</v>
      </c>
      <c r="ED441" s="4">
        <f t="shared" si="1473"/>
        <v>562.38533109685011</v>
      </c>
      <c r="EE441" s="25">
        <f t="shared" si="1474"/>
        <v>242.99281248150706</v>
      </c>
      <c r="EG441" s="4">
        <f t="shared" si="1391"/>
        <v>0.76586170787997088</v>
      </c>
      <c r="EH441" s="4">
        <f t="shared" si="1475"/>
        <v>8.9620587312961906</v>
      </c>
      <c r="EK441" s="4">
        <f t="shared" si="1459"/>
        <v>91.308142429905971</v>
      </c>
      <c r="EL441" s="4">
        <f t="shared" si="1460"/>
        <v>2.5495097567963922</v>
      </c>
      <c r="EM441" s="4">
        <f t="shared" si="1461"/>
        <v>0.10362858446195203</v>
      </c>
      <c r="EP441" s="4">
        <f t="shared" ref="EP441:EP449" si="1577">EM441</f>
        <v>0.10362858446195203</v>
      </c>
      <c r="EQ441" s="4">
        <f t="shared" si="1535"/>
        <v>0.22647104463843967</v>
      </c>
      <c r="ER441" s="4">
        <f t="shared" si="1314"/>
        <v>4.9478082340446354</v>
      </c>
      <c r="ES441" s="4">
        <f t="shared" si="1563"/>
        <v>7.2409547526210769</v>
      </c>
      <c r="ET441" s="4">
        <f t="shared" si="1315"/>
        <v>227.77935757009402</v>
      </c>
      <c r="EU441" s="4">
        <f t="shared" si="1316"/>
        <v>106.36250000000001</v>
      </c>
      <c r="EV441" s="4">
        <f t="shared" si="1385"/>
        <v>2.7375993530959494E-5</v>
      </c>
      <c r="EW441" s="4">
        <f t="shared" si="1564"/>
        <v>7.7293596350227221</v>
      </c>
      <c r="EX441" s="4">
        <f t="shared" si="1422"/>
        <v>571.5864713117378</v>
      </c>
      <c r="FG441" s="23">
        <f t="shared" si="1329"/>
        <v>1.4</v>
      </c>
      <c r="FH441" s="23">
        <f t="shared" si="1329"/>
        <v>0.8</v>
      </c>
      <c r="FI441" s="23">
        <f t="shared" si="1526"/>
        <v>1.4</v>
      </c>
      <c r="FJ441" s="23">
        <f t="shared" si="1330"/>
        <v>1.6</v>
      </c>
      <c r="FK441" s="23">
        <f t="shared" si="1330"/>
        <v>1.2</v>
      </c>
      <c r="FL441" s="23">
        <f t="shared" si="1330"/>
        <v>1.4</v>
      </c>
      <c r="FM441" s="23">
        <f t="shared" si="1478"/>
        <v>0</v>
      </c>
      <c r="FN441" s="23"/>
      <c r="FX441" s="4">
        <f t="shared" si="1386"/>
        <v>1</v>
      </c>
      <c r="FY441" s="4">
        <f t="shared" si="1429"/>
        <v>0.58693437042964436</v>
      </c>
      <c r="FZ441" s="4">
        <f t="shared" si="1387"/>
        <v>0.16766426906761905</v>
      </c>
      <c r="GA441" s="4">
        <f t="shared" si="1388"/>
        <v>491.2612221869008</v>
      </c>
    </row>
    <row r="442" spans="1:183" ht="12" hidden="1" customHeight="1" x14ac:dyDescent="0.3">
      <c r="A442" s="25">
        <v>424</v>
      </c>
      <c r="B442" s="4" t="s">
        <v>605</v>
      </c>
      <c r="C442" s="4">
        <v>2016</v>
      </c>
      <c r="D442" s="4" t="s">
        <v>309</v>
      </c>
      <c r="E442" s="14" t="s">
        <v>595</v>
      </c>
      <c r="F442" s="48" t="s">
        <v>596</v>
      </c>
      <c r="G442" s="38">
        <f>115.9/0.145</f>
        <v>799.31034482758628</v>
      </c>
      <c r="H442" s="38">
        <f>19.44*25.4</f>
        <v>493.77600000000001</v>
      </c>
      <c r="I442" s="4">
        <f t="shared" si="1565"/>
        <v>493.77600000000001</v>
      </c>
      <c r="J442" s="38">
        <f>5430/145</f>
        <v>37.448275862068968</v>
      </c>
      <c r="K442" s="38">
        <f t="shared" si="1490"/>
        <v>35.813999999999993</v>
      </c>
      <c r="L442" s="7">
        <f t="shared" si="1566"/>
        <v>13.787234042553195</v>
      </c>
      <c r="M442" s="7">
        <f t="shared" si="1567"/>
        <v>13.787234042553195</v>
      </c>
      <c r="N442" s="38">
        <f t="shared" ref="N442" si="1578">21.9*25.4</f>
        <v>556.25999999999988</v>
      </c>
      <c r="O442" s="38">
        <f>2.7*25.4</f>
        <v>68.58</v>
      </c>
      <c r="P442" s="39">
        <f>4.1*25.4</f>
        <v>104.13999999999999</v>
      </c>
      <c r="Q442" s="7">
        <f t="shared" si="1568"/>
        <v>347.47199999999987</v>
      </c>
      <c r="R442" s="38">
        <v>2</v>
      </c>
      <c r="S442" s="4">
        <f t="shared" si="1361"/>
        <v>508</v>
      </c>
      <c r="T442" s="7">
        <f t="shared" si="1569"/>
        <v>2.4148936170212769</v>
      </c>
      <c r="U442" s="7">
        <f t="shared" si="1414"/>
        <v>2.4148936170212769</v>
      </c>
      <c r="V442" s="38">
        <v>4.5</v>
      </c>
      <c r="W442" s="4">
        <f t="shared" si="1570"/>
        <v>4.5</v>
      </c>
      <c r="X442" s="4">
        <f t="shared" si="1571"/>
        <v>5.5</v>
      </c>
      <c r="Y442" s="7">
        <f t="shared" si="1572"/>
        <v>83.991275011158137</v>
      </c>
      <c r="AB442" s="38">
        <f t="shared" si="1332"/>
        <v>697.93103448275872</v>
      </c>
      <c r="AC442" s="4">
        <v>101.2</v>
      </c>
      <c r="AD442" s="4">
        <f t="shared" si="1452"/>
        <v>1.1596127136690846</v>
      </c>
      <c r="AE442" s="38"/>
      <c r="AF442" s="38"/>
      <c r="AG442" s="39">
        <v>1</v>
      </c>
      <c r="AH442" s="39"/>
      <c r="AI442" s="39"/>
      <c r="AJ442" s="7"/>
      <c r="AK442" s="4">
        <f t="shared" si="1573"/>
        <v>493.77600000000001</v>
      </c>
      <c r="AL442" s="4">
        <f t="shared" si="1462"/>
        <v>0.375514403292181</v>
      </c>
      <c r="AM442" s="4">
        <f t="shared" si="1463"/>
        <v>333.26165284168025</v>
      </c>
      <c r="AN442" s="4">
        <f t="shared" si="1464"/>
        <v>0.73503086419753083</v>
      </c>
      <c r="AO442" s="4">
        <v>1.25</v>
      </c>
      <c r="AP442" s="4">
        <f t="shared" si="1396"/>
        <v>2.5</v>
      </c>
      <c r="AQ442" s="38">
        <f t="shared" si="1543"/>
        <v>287.45346017432786</v>
      </c>
      <c r="AR442" s="38">
        <f t="shared" si="1465"/>
        <v>287.45346017432786</v>
      </c>
      <c r="AS442" s="38">
        <f t="shared" si="1466"/>
        <v>3.3579622250305636</v>
      </c>
      <c r="AT442" s="38">
        <f t="shared" si="1407"/>
        <v>287.45346017432786</v>
      </c>
      <c r="AU442" s="38">
        <f t="shared" si="1373"/>
        <v>1</v>
      </c>
      <c r="AV442" s="38">
        <f t="shared" si="1530"/>
        <v>1.3347457378690069</v>
      </c>
      <c r="AW442" s="4">
        <f t="shared" si="1511"/>
        <v>0</v>
      </c>
      <c r="AX442" s="4">
        <f t="shared" si="1574"/>
        <v>444.05775673894539</v>
      </c>
      <c r="AY442" s="4">
        <f t="shared" si="1544"/>
        <v>1</v>
      </c>
      <c r="AZ442" s="38">
        <f t="shared" si="1389"/>
        <v>383.67728080338242</v>
      </c>
      <c r="BA442" s="4">
        <f t="shared" si="1545"/>
        <v>0.37</v>
      </c>
      <c r="BB442" s="4">
        <f t="shared" si="1546"/>
        <v>85.847465821556639</v>
      </c>
      <c r="BC442" s="4">
        <f t="shared" si="1547"/>
        <v>469.52474662493904</v>
      </c>
      <c r="BE442" s="4">
        <f t="shared" si="1408"/>
        <v>1.2287234042553192</v>
      </c>
      <c r="BF442" s="4">
        <f t="shared" si="1415"/>
        <v>536.58094332590736</v>
      </c>
      <c r="BH442" s="4">
        <f t="shared" si="1416"/>
        <v>367.993432964433</v>
      </c>
      <c r="BI442" s="4">
        <f t="shared" si="1350"/>
        <v>0</v>
      </c>
      <c r="BJ442" s="4">
        <f t="shared" si="1417"/>
        <v>0</v>
      </c>
      <c r="BR442" s="4">
        <f t="shared" si="1548"/>
        <v>68.58</v>
      </c>
      <c r="BV442" s="9"/>
      <c r="BX442" s="9"/>
      <c r="BY442" s="9"/>
      <c r="BZ442" s="9">
        <f t="shared" si="1549"/>
        <v>68.58</v>
      </c>
      <c r="CA442" s="9">
        <f t="shared" si="1550"/>
        <v>173.73599999999993</v>
      </c>
      <c r="CB442" s="9">
        <f t="shared" si="1374"/>
        <v>1.5908388060545191</v>
      </c>
      <c r="CC442" s="40">
        <f t="shared" si="1575"/>
        <v>0</v>
      </c>
      <c r="CD442" s="9">
        <f t="shared" si="1551"/>
        <v>0</v>
      </c>
      <c r="CE442" s="9">
        <f t="shared" si="1552"/>
        <v>0</v>
      </c>
      <c r="CF442" s="9">
        <f t="shared" si="1553"/>
        <v>0.89777220146327208</v>
      </c>
      <c r="CG442" s="9">
        <f t="shared" si="1554"/>
        <v>0.68048275862068963</v>
      </c>
      <c r="CH442" s="9">
        <f t="shared" si="1375"/>
        <v>1.3084804487373733</v>
      </c>
      <c r="CI442" s="9">
        <f t="shared" si="1376"/>
        <v>2.0815814748150445</v>
      </c>
      <c r="CJ442" s="40">
        <v>1</v>
      </c>
      <c r="CK442" s="9">
        <f t="shared" si="1377"/>
        <v>239.69189237657491</v>
      </c>
      <c r="CM442" s="4">
        <f t="shared" si="1555"/>
        <v>1.5717122916807</v>
      </c>
      <c r="CN442" s="4">
        <f t="shared" si="1556"/>
        <v>1.4864627253401679</v>
      </c>
      <c r="CO442" s="4">
        <f t="shared" si="1524"/>
        <v>1.3007003755234947</v>
      </c>
      <c r="CP442" s="4">
        <f t="shared" si="1557"/>
        <v>2.9117840723050152</v>
      </c>
      <c r="CQ442" s="4">
        <f t="shared" si="1476"/>
        <v>1.1596127136690846</v>
      </c>
      <c r="CR442" s="4">
        <f t="shared" si="1477"/>
        <v>1.2582112350998493</v>
      </c>
      <c r="CS442" s="4">
        <f t="shared" si="1525"/>
        <v>1.2184121174982501</v>
      </c>
      <c r="CT442" s="4">
        <f t="shared" si="1576"/>
        <v>0</v>
      </c>
      <c r="CU442" s="4">
        <f t="shared" ref="CU442:CV443" si="1579">CM442</f>
        <v>1.5717122916807</v>
      </c>
      <c r="CV442" s="4">
        <f t="shared" si="1579"/>
        <v>1.4864627253401679</v>
      </c>
      <c r="CW442" s="4">
        <f t="shared" ref="CW442:CW443" si="1580">CP442</f>
        <v>2.9117840723050152</v>
      </c>
      <c r="CX442" s="4">
        <f t="shared" ref="CX442:CX443" si="1581">CS442</f>
        <v>1.2184121174982501</v>
      </c>
      <c r="CY442" s="4">
        <f t="shared" ref="CY442:CZ443" si="1582">CQ442</f>
        <v>1.1596127136690846</v>
      </c>
      <c r="CZ442" s="4">
        <f t="shared" si="1582"/>
        <v>1.2582112350998493</v>
      </c>
      <c r="DI442" s="4">
        <f t="shared" si="1562"/>
        <v>493.77600000000001</v>
      </c>
      <c r="DL442" s="4">
        <f t="shared" si="1453"/>
        <v>2.5922823367202814E-5</v>
      </c>
      <c r="DM442" s="4">
        <f t="shared" si="1313"/>
        <v>6.5105676703943356</v>
      </c>
      <c r="DN442" s="4">
        <f t="shared" si="1454"/>
        <v>0.55747352912469106</v>
      </c>
      <c r="DO442" s="4">
        <f t="shared" si="1455"/>
        <v>5.1535744861924577</v>
      </c>
      <c r="DP442" s="4">
        <f t="shared" si="1456"/>
        <v>5.8714587929856847</v>
      </c>
      <c r="DQ442" s="4">
        <f t="shared" si="1457"/>
        <v>5.6786582394970564</v>
      </c>
      <c r="DR442" s="38">
        <f t="shared" si="1471"/>
        <v>601.86562828762271</v>
      </c>
      <c r="DS442" s="4">
        <f t="shared" si="1382"/>
        <v>1.0001284152167191</v>
      </c>
      <c r="DT442" s="4">
        <f t="shared" si="1458"/>
        <v>2.3452078799117149</v>
      </c>
      <c r="DU442" s="4">
        <f t="shared" si="1390"/>
        <v>287.45346017432786</v>
      </c>
      <c r="DY442" s="4">
        <f t="shared" si="1331"/>
        <v>0.85</v>
      </c>
      <c r="DZ442" s="4">
        <f t="shared" si="1383"/>
        <v>0.90851063829787226</v>
      </c>
      <c r="EA442" s="4">
        <f t="shared" si="1472"/>
        <v>1</v>
      </c>
      <c r="EB442" s="4">
        <f t="shared" si="1384"/>
        <v>0.90851063829787226</v>
      </c>
      <c r="ED442" s="4">
        <f t="shared" si="1473"/>
        <v>554.70100330758225</v>
      </c>
      <c r="EE442" s="25">
        <f t="shared" si="1474"/>
        <v>285.41284264276118</v>
      </c>
      <c r="EG442" s="4">
        <f t="shared" si="1391"/>
        <v>0.77223404255319139</v>
      </c>
      <c r="EH442" s="4">
        <f t="shared" si="1475"/>
        <v>6.5105676703943356</v>
      </c>
      <c r="EK442" s="4">
        <f t="shared" si="1459"/>
        <v>83.991275011158137</v>
      </c>
      <c r="EL442" s="4">
        <f t="shared" si="1460"/>
        <v>2.3452078799117149</v>
      </c>
      <c r="EM442" s="4">
        <f t="shared" si="1461"/>
        <v>0.18654148485840832</v>
      </c>
      <c r="EP442" s="4">
        <f t="shared" si="1577"/>
        <v>0.18654148485840832</v>
      </c>
      <c r="EQ442" s="4">
        <f t="shared" si="1535"/>
        <v>0.55654320970352378</v>
      </c>
      <c r="ER442" s="4">
        <f t="shared" si="1314"/>
        <v>5.1501326202423856</v>
      </c>
      <c r="ES442" s="4">
        <f t="shared" si="1563"/>
        <v>5.8699491476777874</v>
      </c>
      <c r="ET442" s="4">
        <f t="shared" si="1315"/>
        <v>286.34072498884188</v>
      </c>
      <c r="EU442" s="4">
        <f t="shared" si="1316"/>
        <v>123.44399999999996</v>
      </c>
      <c r="EV442" s="4">
        <f t="shared" si="1385"/>
        <v>2.5922823367202804E-5</v>
      </c>
      <c r="EW442" s="4">
        <f t="shared" si="1564"/>
        <v>5.6788967611987706</v>
      </c>
      <c r="EX442" s="4">
        <f t="shared" si="1422"/>
        <v>601.78834950630176</v>
      </c>
      <c r="FA442" s="4">
        <f>6.75*25.4</f>
        <v>171.45</v>
      </c>
      <c r="FG442" s="23">
        <f t="shared" si="1329"/>
        <v>1.6</v>
      </c>
      <c r="FH442" s="23">
        <f t="shared" si="1329"/>
        <v>1.6</v>
      </c>
      <c r="FI442" s="23">
        <f t="shared" si="1526"/>
        <v>1.4</v>
      </c>
      <c r="FJ442" s="23">
        <f t="shared" si="1330"/>
        <v>2.2000000000000002</v>
      </c>
      <c r="FK442" s="23">
        <f t="shared" si="1330"/>
        <v>1.2</v>
      </c>
      <c r="FL442" s="23">
        <f t="shared" si="1330"/>
        <v>1.4</v>
      </c>
      <c r="FM442" s="23">
        <f t="shared" si="1478"/>
        <v>0</v>
      </c>
      <c r="FN442" s="23"/>
      <c r="FX442" s="4">
        <f t="shared" si="1386"/>
        <v>1</v>
      </c>
      <c r="FY442" s="4">
        <f t="shared" si="1429"/>
        <v>0.5</v>
      </c>
      <c r="FZ442" s="4">
        <f t="shared" si="1387"/>
        <v>0</v>
      </c>
      <c r="GA442" s="4">
        <f t="shared" si="1388"/>
        <v>572.82016852870072</v>
      </c>
    </row>
    <row r="443" spans="1:183" ht="12" hidden="1" customHeight="1" x14ac:dyDescent="0.3">
      <c r="A443" s="25">
        <v>425</v>
      </c>
      <c r="B443" s="4" t="s">
        <v>605</v>
      </c>
      <c r="C443" s="4">
        <v>2016</v>
      </c>
      <c r="D443" s="4" t="s">
        <v>309</v>
      </c>
      <c r="E443" s="14" t="s">
        <v>595</v>
      </c>
      <c r="F443" s="7" t="s">
        <v>597</v>
      </c>
      <c r="G443" s="38">
        <f>135/0.145</f>
        <v>931.0344827586207</v>
      </c>
      <c r="H443" s="38">
        <f>19.38*25.4</f>
        <v>492.25199999999995</v>
      </c>
      <c r="I443" s="4">
        <f t="shared" si="1565"/>
        <v>492.25199999999995</v>
      </c>
      <c r="J443" s="38">
        <f>6320/145</f>
        <v>43.586206896551722</v>
      </c>
      <c r="K443" s="38">
        <f t="shared" si="1490"/>
        <v>35.813999999999993</v>
      </c>
      <c r="L443" s="7">
        <f t="shared" si="1566"/>
        <v>13.744680851063832</v>
      </c>
      <c r="M443" s="7">
        <f t="shared" si="1567"/>
        <v>13.744680851063832</v>
      </c>
      <c r="N443" s="38">
        <f>22*25.4</f>
        <v>558.79999999999995</v>
      </c>
      <c r="O443" s="38">
        <f>2.75*25.4</f>
        <v>69.849999999999994</v>
      </c>
      <c r="P443" s="39">
        <f>3.3*25.4</f>
        <v>83.82</v>
      </c>
      <c r="Q443" s="7">
        <f t="shared" si="1568"/>
        <v>347.47199999999998</v>
      </c>
      <c r="R443" s="38">
        <v>2</v>
      </c>
      <c r="S443" s="4">
        <f t="shared" si="1361"/>
        <v>508</v>
      </c>
      <c r="T443" s="7">
        <f t="shared" si="1569"/>
        <v>2.4503546099290783</v>
      </c>
      <c r="U443" s="7">
        <f t="shared" si="1414"/>
        <v>2.4503546099290783</v>
      </c>
      <c r="V443" s="38">
        <v>5.5</v>
      </c>
      <c r="W443" s="4">
        <f t="shared" si="1570"/>
        <v>5.5</v>
      </c>
      <c r="X443" s="4">
        <f t="shared" si="1571"/>
        <v>6.5</v>
      </c>
      <c r="Y443" s="7">
        <f t="shared" si="1572"/>
        <v>91.308142429905971</v>
      </c>
      <c r="AB443" s="38">
        <f t="shared" si="1332"/>
        <v>781.37931034482767</v>
      </c>
      <c r="AC443" s="4">
        <v>113.3</v>
      </c>
      <c r="AD443" s="4">
        <f t="shared" si="1452"/>
        <v>1.2217011324137843</v>
      </c>
      <c r="AE443" s="38"/>
      <c r="AF443" s="38"/>
      <c r="AG443" s="39">
        <v>1</v>
      </c>
      <c r="AH443" s="39"/>
      <c r="AI443" s="39"/>
      <c r="AJ443" s="7"/>
      <c r="AK443" s="4">
        <f t="shared" si="1573"/>
        <v>492.25199999999995</v>
      </c>
      <c r="AL443" s="4">
        <f t="shared" si="1462"/>
        <v>0.37839697282421741</v>
      </c>
      <c r="AM443" s="4">
        <f t="shared" si="1463"/>
        <v>357.87407330106765</v>
      </c>
      <c r="AN443" s="4">
        <f t="shared" si="1464"/>
        <v>0.73565531475748192</v>
      </c>
      <c r="AO443" s="4">
        <v>1.25</v>
      </c>
      <c r="AP443" s="4">
        <f t="shared" si="1396"/>
        <v>2.5</v>
      </c>
      <c r="AQ443" s="38">
        <f t="shared" si="1543"/>
        <v>311.31660694188923</v>
      </c>
      <c r="AR443" s="38">
        <f t="shared" si="1465"/>
        <v>311.31660694188923</v>
      </c>
      <c r="AS443" s="38">
        <f t="shared" si="1466"/>
        <v>3.7155288579258352</v>
      </c>
      <c r="AT443" s="38">
        <f t="shared" si="1407"/>
        <v>311.31660694188946</v>
      </c>
      <c r="AU443" s="38">
        <f t="shared" si="1373"/>
        <v>0.99999999999999922</v>
      </c>
      <c r="AV443" s="38">
        <f t="shared" si="1530"/>
        <v>1.609114940007129</v>
      </c>
      <c r="AW443" s="4">
        <f t="shared" si="1511"/>
        <v>0</v>
      </c>
      <c r="AX443" s="4">
        <f t="shared" si="1574"/>
        <v>477.5904094947345</v>
      </c>
      <c r="AY443" s="4">
        <f t="shared" si="1544"/>
        <v>1</v>
      </c>
      <c r="AZ443" s="38">
        <f t="shared" si="1389"/>
        <v>500.94420330252137</v>
      </c>
      <c r="BA443" s="4">
        <f t="shared" si="1545"/>
        <v>0.3</v>
      </c>
      <c r="BB443" s="4">
        <f t="shared" si="1546"/>
        <v>74.862296688299637</v>
      </c>
      <c r="BC443" s="4">
        <f t="shared" si="1547"/>
        <v>575.80649999082107</v>
      </c>
      <c r="BE443" s="4">
        <f t="shared" si="1408"/>
        <v>1.2375886524822697</v>
      </c>
      <c r="BF443" s="4">
        <f t="shared" si="1415"/>
        <v>582.02072294007257</v>
      </c>
      <c r="BH443" s="4">
        <f t="shared" si="1416"/>
        <v>480.46675245125056</v>
      </c>
      <c r="BI443" s="4">
        <f t="shared" si="1350"/>
        <v>0</v>
      </c>
      <c r="BJ443" s="4">
        <f t="shared" si="1417"/>
        <v>0</v>
      </c>
      <c r="BR443" s="4">
        <f t="shared" si="1548"/>
        <v>69.849999999999994</v>
      </c>
      <c r="BV443" s="9"/>
      <c r="BX443" s="9"/>
      <c r="BY443" s="9"/>
      <c r="BZ443" s="9">
        <f t="shared" si="1549"/>
        <v>69.849999999999994</v>
      </c>
      <c r="CA443" s="9">
        <f t="shared" si="1550"/>
        <v>173.73599999999999</v>
      </c>
      <c r="CB443" s="9">
        <f t="shared" si="1374"/>
        <v>1.6010883658280048</v>
      </c>
      <c r="CC443" s="40">
        <f t="shared" si="1575"/>
        <v>0</v>
      </c>
      <c r="CD443" s="9">
        <f t="shared" si="1551"/>
        <v>0</v>
      </c>
      <c r="CE443" s="9">
        <f t="shared" si="1552"/>
        <v>0</v>
      </c>
      <c r="CF443" s="9">
        <f t="shared" si="1553"/>
        <v>0.89777220146327208</v>
      </c>
      <c r="CG443" s="9">
        <f t="shared" si="1554"/>
        <v>0.68</v>
      </c>
      <c r="CH443" s="9">
        <f t="shared" si="1375"/>
        <v>1.4106447240551518</v>
      </c>
      <c r="CI443" s="9">
        <f t="shared" si="1376"/>
        <v>2.2585668560013601</v>
      </c>
      <c r="CJ443" s="40">
        <v>1</v>
      </c>
      <c r="CK443" s="9">
        <f t="shared" si="1377"/>
        <v>259.68713382619899</v>
      </c>
      <c r="CM443" s="4">
        <f t="shared" si="1555"/>
        <v>1.6360866860192729</v>
      </c>
      <c r="CN443" s="4">
        <f t="shared" si="1556"/>
        <v>1.3570171756610661</v>
      </c>
      <c r="CO443" s="4">
        <f t="shared" si="1524"/>
        <v>1.3425283319770762</v>
      </c>
      <c r="CP443" s="4">
        <f t="shared" si="1557"/>
        <v>3.0089257747662694</v>
      </c>
      <c r="CQ443" s="4">
        <f t="shared" si="1476"/>
        <v>1.2217011324137843</v>
      </c>
      <c r="CR443" s="4">
        <f t="shared" si="1477"/>
        <v>1.3026075869753657</v>
      </c>
      <c r="CS443" s="4">
        <f t="shared" si="1525"/>
        <v>1.3173670073694528</v>
      </c>
      <c r="CT443" s="4">
        <f t="shared" si="1576"/>
        <v>0</v>
      </c>
      <c r="CU443" s="4">
        <f t="shared" si="1579"/>
        <v>1.6360866860192729</v>
      </c>
      <c r="CV443" s="4">
        <f t="shared" si="1579"/>
        <v>1.3570171756610661</v>
      </c>
      <c r="CW443" s="4">
        <f t="shared" si="1580"/>
        <v>3.0089257747662694</v>
      </c>
      <c r="CX443" s="4">
        <f t="shared" si="1581"/>
        <v>1.3173670073694528</v>
      </c>
      <c r="CY443" s="4">
        <f t="shared" si="1582"/>
        <v>1.2217011324137843</v>
      </c>
      <c r="CZ443" s="4">
        <f t="shared" si="1582"/>
        <v>1.3026075869753657</v>
      </c>
      <c r="DI443" s="4">
        <f t="shared" si="1562"/>
        <v>492.25199999999995</v>
      </c>
      <c r="DL443" s="4">
        <f t="shared" si="1453"/>
        <v>2.6912597390312449E-5</v>
      </c>
      <c r="DM443" s="4">
        <f t="shared" si="1313"/>
        <v>7.0514095095305276</v>
      </c>
      <c r="DN443" s="4">
        <f t="shared" si="1454"/>
        <v>0.46138865032032206</v>
      </c>
      <c r="DO443" s="4">
        <f t="shared" si="1455"/>
        <v>5.1749087932933691</v>
      </c>
      <c r="DP443" s="4">
        <f t="shared" si="1456"/>
        <v>6.1849067031831817</v>
      </c>
      <c r="DQ443" s="4">
        <f t="shared" si="1457"/>
        <v>6.0778212680975621</v>
      </c>
      <c r="DR443" s="38">
        <f t="shared" si="1471"/>
        <v>639.58302862584094</v>
      </c>
      <c r="DS443" s="4">
        <f t="shared" si="1382"/>
        <v>1.0001194901621364</v>
      </c>
      <c r="DT443" s="4">
        <f t="shared" si="1458"/>
        <v>2.5495097567963922</v>
      </c>
      <c r="DU443" s="4">
        <f t="shared" si="1390"/>
        <v>311.31660694188946</v>
      </c>
      <c r="DY443" s="4">
        <f t="shared" si="1331"/>
        <v>0.85</v>
      </c>
      <c r="DZ443" s="4">
        <f t="shared" si="1383"/>
        <v>0.90496453900709217</v>
      </c>
      <c r="EA443" s="4">
        <f t="shared" si="1472"/>
        <v>1</v>
      </c>
      <c r="EB443" s="4">
        <f t="shared" si="1384"/>
        <v>0.90496453900709217</v>
      </c>
      <c r="ED443" s="4">
        <f t="shared" si="1473"/>
        <v>599.85779152352256</v>
      </c>
      <c r="EE443" s="25">
        <f t="shared" si="1474"/>
        <v>309.09967174756156</v>
      </c>
      <c r="EG443" s="4">
        <f t="shared" si="1391"/>
        <v>0.76921985815602834</v>
      </c>
      <c r="EH443" s="4">
        <f t="shared" si="1475"/>
        <v>7.0514095095305276</v>
      </c>
      <c r="EK443" s="4">
        <f t="shared" si="1459"/>
        <v>91.308142429905971</v>
      </c>
      <c r="EL443" s="4">
        <f t="shared" si="1460"/>
        <v>2.5495097567963922</v>
      </c>
      <c r="EM443" s="4">
        <f t="shared" si="1461"/>
        <v>0.16656230050522144</v>
      </c>
      <c r="EP443" s="4">
        <f t="shared" si="1577"/>
        <v>0.16656230050522144</v>
      </c>
      <c r="EQ443" s="4">
        <f t="shared" si="1535"/>
        <v>0.46061867865409239</v>
      </c>
      <c r="ER443" s="4">
        <f t="shared" si="1314"/>
        <v>5.1714526790142257</v>
      </c>
      <c r="ES443" s="4">
        <f t="shared" si="1563"/>
        <v>6.1834624557175362</v>
      </c>
      <c r="ET443" s="4">
        <f t="shared" si="1315"/>
        <v>277.88085757009401</v>
      </c>
      <c r="EU443" s="4">
        <f t="shared" si="1316"/>
        <v>123.06299999999999</v>
      </c>
      <c r="EV443" s="4">
        <f t="shared" si="1385"/>
        <v>2.6912597390312449E-5</v>
      </c>
      <c r="EW443" s="4">
        <f t="shared" si="1564"/>
        <v>6.0780871534096637</v>
      </c>
      <c r="EX443" s="4">
        <f t="shared" si="1422"/>
        <v>639.50661387686148</v>
      </c>
      <c r="FG443" s="23">
        <f t="shared" si="1329"/>
        <v>1.8</v>
      </c>
      <c r="FH443" s="23">
        <f t="shared" si="1329"/>
        <v>1.4</v>
      </c>
      <c r="FI443" s="23">
        <f t="shared" si="1526"/>
        <v>1.4</v>
      </c>
      <c r="FJ443" s="23">
        <f t="shared" si="1330"/>
        <v>2.2000000000000002</v>
      </c>
      <c r="FK443" s="23">
        <f t="shared" si="1330"/>
        <v>1.4</v>
      </c>
      <c r="FL443" s="23">
        <f t="shared" si="1330"/>
        <v>1.4</v>
      </c>
      <c r="FM443" s="23">
        <f t="shared" si="1478"/>
        <v>0</v>
      </c>
      <c r="FN443" s="23"/>
      <c r="FX443" s="4">
        <f t="shared" si="1386"/>
        <v>1</v>
      </c>
      <c r="FY443" s="4">
        <f t="shared" si="1429"/>
        <v>0.5</v>
      </c>
      <c r="FZ443" s="4">
        <f t="shared" si="1387"/>
        <v>0</v>
      </c>
      <c r="GA443" s="4">
        <f t="shared" si="1388"/>
        <v>593.13714854989644</v>
      </c>
    </row>
    <row r="444" spans="1:183" ht="12" hidden="1" customHeight="1" x14ac:dyDescent="0.3">
      <c r="A444" s="25">
        <v>426</v>
      </c>
      <c r="B444" s="4" t="s">
        <v>605</v>
      </c>
      <c r="C444" s="4">
        <v>2016</v>
      </c>
      <c r="D444" s="4" t="s">
        <v>309</v>
      </c>
      <c r="E444" s="14" t="s">
        <v>680</v>
      </c>
      <c r="F444" s="48" t="s">
        <v>598</v>
      </c>
      <c r="G444" s="38">
        <f t="shared" ref="G444" si="1583">115.9/0.145</f>
        <v>799.31034482758628</v>
      </c>
      <c r="H444" s="38">
        <f>19.63*25.4</f>
        <v>498.60199999999992</v>
      </c>
      <c r="I444" s="4">
        <f t="shared" si="1565"/>
        <v>498.60199999999992</v>
      </c>
      <c r="J444" s="38">
        <f>5430/145</f>
        <v>37.448275862068968</v>
      </c>
      <c r="K444" s="38">
        <f t="shared" si="1490"/>
        <v>35.813999999999993</v>
      </c>
      <c r="L444" s="7">
        <f t="shared" si="1566"/>
        <v>13.921985815602838</v>
      </c>
      <c r="M444" s="7">
        <f t="shared" si="1567"/>
        <v>13.921985815602838</v>
      </c>
      <c r="N444" s="38">
        <f>21.7*25.4</f>
        <v>551.17999999999995</v>
      </c>
      <c r="O444" s="38">
        <f>2.65*25.4</f>
        <v>67.309999999999988</v>
      </c>
      <c r="P444" s="39">
        <f>3.8*25.4</f>
        <v>96.52</v>
      </c>
      <c r="Q444" s="7">
        <f t="shared" si="1568"/>
        <v>344.93200000000002</v>
      </c>
      <c r="R444" s="38">
        <v>2</v>
      </c>
      <c r="S444" s="4">
        <f t="shared" si="1361"/>
        <v>508</v>
      </c>
      <c r="T444" s="7">
        <f t="shared" si="1569"/>
        <v>2.3794326241134751</v>
      </c>
      <c r="U444" s="7">
        <f t="shared" si="1414"/>
        <v>2.3794326241134751</v>
      </c>
      <c r="V444" s="38">
        <v>4.5</v>
      </c>
      <c r="W444" s="4">
        <f t="shared" si="1570"/>
        <v>4.5</v>
      </c>
      <c r="X444" s="4">
        <f t="shared" si="1571"/>
        <v>5.5</v>
      </c>
      <c r="Y444" s="7">
        <f t="shared" si="1572"/>
        <v>83.991275011158137</v>
      </c>
      <c r="AB444" s="38">
        <f t="shared" si="1332"/>
        <v>802.06896551724139</v>
      </c>
      <c r="AC444" s="4">
        <v>116.3</v>
      </c>
      <c r="AD444" s="4">
        <f t="shared" si="1452"/>
        <v>1.3325481105008794</v>
      </c>
      <c r="AE444" s="38">
        <f t="shared" ref="AE444:AE445" si="1584">0.5*25.4</f>
        <v>12.7</v>
      </c>
      <c r="AF444" s="38">
        <v>12</v>
      </c>
      <c r="AG444" s="39">
        <f t="shared" ref="AG444:AG445" si="1585">4*25.4</f>
        <v>101.6</v>
      </c>
      <c r="AH444" s="39">
        <v>2</v>
      </c>
      <c r="AI444" s="39">
        <f t="shared" ref="AI444:AI445" si="1586">AH444-1</f>
        <v>1</v>
      </c>
      <c r="AJ444" s="7"/>
      <c r="AK444" s="4">
        <f t="shared" si="1573"/>
        <v>498.60199999999992</v>
      </c>
      <c r="AL444" s="4">
        <f t="shared" si="1462"/>
        <v>0.36848361351672609</v>
      </c>
      <c r="AM444" s="4">
        <f t="shared" si="1463"/>
        <v>338.15935186284662</v>
      </c>
      <c r="AN444" s="4">
        <f t="shared" si="1464"/>
        <v>0.73418237391747321</v>
      </c>
      <c r="AO444" s="4">
        <v>1.25</v>
      </c>
      <c r="AP444" s="4">
        <f t="shared" si="1396"/>
        <v>2.5</v>
      </c>
      <c r="AQ444" s="38">
        <f t="shared" si="1543"/>
        <v>285.88644055513333</v>
      </c>
      <c r="AR444" s="38">
        <f t="shared" si="1465"/>
        <v>285.88644055513333</v>
      </c>
      <c r="AS444" s="38">
        <f t="shared" si="1466"/>
        <v>3.3579622250305636</v>
      </c>
      <c r="AT444" s="38">
        <f t="shared" si="1407"/>
        <v>285.88644055513362</v>
      </c>
      <c r="AU444" s="38">
        <f t="shared" si="1373"/>
        <v>0.999999999999999</v>
      </c>
      <c r="AV444" s="38">
        <f t="shared" si="1530"/>
        <v>1.3223546120307097</v>
      </c>
      <c r="AW444" s="4">
        <f t="shared" si="1511"/>
        <v>0</v>
      </c>
      <c r="AX444" s="4">
        <f t="shared" si="1574"/>
        <v>448.39782740666135</v>
      </c>
      <c r="AY444" s="4">
        <f t="shared" si="1544"/>
        <v>1</v>
      </c>
      <c r="AZ444" s="38">
        <f t="shared" si="1389"/>
        <v>378.04325318512429</v>
      </c>
      <c r="BA444" s="4">
        <f t="shared" si="1545"/>
        <v>0.37</v>
      </c>
      <c r="BB444" s="4">
        <f t="shared" si="1546"/>
        <v>86.68650998339281</v>
      </c>
      <c r="BC444" s="4">
        <f t="shared" si="1547"/>
        <v>464.72976316851708</v>
      </c>
      <c r="BE444" s="4">
        <f t="shared" si="1408"/>
        <v>1.5</v>
      </c>
      <c r="BF444" s="4">
        <f t="shared" si="1415"/>
        <v>658.7576262992776</v>
      </c>
      <c r="BH444" s="4">
        <f t="shared" si="1416"/>
        <v>362.58971148184219</v>
      </c>
      <c r="BI444" s="4">
        <f t="shared" si="1350"/>
        <v>0</v>
      </c>
      <c r="BJ444" s="4">
        <f t="shared" si="1417"/>
        <v>0</v>
      </c>
      <c r="BR444" s="4">
        <f t="shared" si="1548"/>
        <v>67.309999999999988</v>
      </c>
      <c r="BV444" s="9"/>
      <c r="BX444" s="9"/>
      <c r="BY444" s="9"/>
      <c r="BZ444" s="9">
        <f t="shared" si="1549"/>
        <v>67.309999999999988</v>
      </c>
      <c r="CA444" s="9">
        <f t="shared" si="1550"/>
        <v>172.46600000000001</v>
      </c>
      <c r="CB444" s="9">
        <f t="shared" si="1374"/>
        <v>1.5787267425904519</v>
      </c>
      <c r="CC444" s="40">
        <f t="shared" si="1575"/>
        <v>20</v>
      </c>
      <c r="CD444" s="9">
        <f t="shared" si="1551"/>
        <v>0.05</v>
      </c>
      <c r="CE444" s="9">
        <f t="shared" si="1552"/>
        <v>0.8</v>
      </c>
      <c r="CF444" s="9">
        <f t="shared" si="1553"/>
        <v>0.89777220146327208</v>
      </c>
      <c r="CG444" s="9">
        <f t="shared" si="1554"/>
        <v>0.68048275862068963</v>
      </c>
      <c r="CH444" s="9">
        <f t="shared" si="1375"/>
        <v>1.3084804487373733</v>
      </c>
      <c r="CI444" s="9">
        <f t="shared" si="1376"/>
        <v>3.1125174355683445</v>
      </c>
      <c r="CJ444" s="40">
        <v>1</v>
      </c>
      <c r="CK444" s="9">
        <f t="shared" si="1377"/>
        <v>360.08074048929672</v>
      </c>
      <c r="CM444" s="4">
        <f t="shared" si="1555"/>
        <v>1.7887440939579493</v>
      </c>
      <c r="CN444" s="4">
        <f t="shared" si="1556"/>
        <v>1.725882500076503</v>
      </c>
      <c r="CO444" s="4">
        <f t="shared" si="1524"/>
        <v>1.2175479015295021</v>
      </c>
      <c r="CP444" s="4">
        <f t="shared" si="1557"/>
        <v>2.2274697736606179</v>
      </c>
      <c r="CQ444" s="4">
        <f t="shared" si="1476"/>
        <v>1.3325481105008794</v>
      </c>
      <c r="CR444" s="4">
        <f t="shared" si="1477"/>
        <v>1.4455193526381414</v>
      </c>
      <c r="CS444" s="4">
        <f t="shared" si="1525"/>
        <v>1.1997735337343924</v>
      </c>
      <c r="CT444" s="4">
        <f t="shared" si="1576"/>
        <v>12</v>
      </c>
      <c r="DA444" s="4">
        <f t="shared" ref="DA444:DB445" si="1587">CM444</f>
        <v>1.7887440939579493</v>
      </c>
      <c r="DB444" s="4">
        <f t="shared" si="1587"/>
        <v>1.725882500076503</v>
      </c>
      <c r="DC444" s="4">
        <f t="shared" ref="DC444:DC445" si="1588">CP444</f>
        <v>2.2274697736606179</v>
      </c>
      <c r="DD444" s="4">
        <f t="shared" ref="DD444:DD445" si="1589">CS444</f>
        <v>1.1997735337343924</v>
      </c>
      <c r="DE444" s="4">
        <f t="shared" ref="DE444:DF445" si="1590">CQ444</f>
        <v>1.3325481105008794</v>
      </c>
      <c r="DF444" s="4">
        <f t="shared" si="1590"/>
        <v>1.4455193526381414</v>
      </c>
      <c r="DI444" s="4">
        <f t="shared" si="1562"/>
        <v>498.60199999999992</v>
      </c>
      <c r="DL444" s="4">
        <f t="shared" si="1453"/>
        <v>2.6176184295174446E-5</v>
      </c>
      <c r="DM444" s="4">
        <f t="shared" si="1313"/>
        <v>6.4881670962699065</v>
      </c>
      <c r="DN444" s="4">
        <f t="shared" si="1454"/>
        <v>0.55443452602210153</v>
      </c>
      <c r="DO444" s="4">
        <f t="shared" si="1455"/>
        <v>5.1246254963864439</v>
      </c>
      <c r="DP444" s="4">
        <f t="shared" si="1456"/>
        <v>5.8463394128645252</v>
      </c>
      <c r="DQ444" s="4">
        <f t="shared" si="1457"/>
        <v>5.6466132783961722</v>
      </c>
      <c r="DR444" s="38">
        <f t="shared" si="1471"/>
        <v>601.90619700459365</v>
      </c>
      <c r="DS444" s="4">
        <f t="shared" si="1382"/>
        <v>1.0001284609546075</v>
      </c>
      <c r="DT444" s="4">
        <f t="shared" si="1458"/>
        <v>2.3452078799117149</v>
      </c>
      <c r="DU444" s="4">
        <f t="shared" si="1390"/>
        <v>285.88644055513362</v>
      </c>
      <c r="DY444" s="4">
        <f t="shared" si="1331"/>
        <v>0.85</v>
      </c>
      <c r="DZ444" s="4">
        <f t="shared" si="1383"/>
        <v>0.91205673758865247</v>
      </c>
      <c r="EA444" s="4">
        <f t="shared" si="1472"/>
        <v>0.9995510789195714</v>
      </c>
      <c r="EB444" s="4">
        <f t="shared" si="1384"/>
        <v>0.91164729609260198</v>
      </c>
      <c r="ED444" s="4">
        <f t="shared" si="1473"/>
        <v>554.86560180147535</v>
      </c>
      <c r="EE444" s="25">
        <f t="shared" si="1474"/>
        <v>283.88109095088328</v>
      </c>
      <c r="EG444" s="4">
        <f t="shared" si="1391"/>
        <v>0.77490020167871165</v>
      </c>
      <c r="EH444" s="4">
        <f t="shared" si="1475"/>
        <v>6.4881670962699065</v>
      </c>
      <c r="EK444" s="4">
        <f t="shared" si="1459"/>
        <v>83.991275011158137</v>
      </c>
      <c r="EL444" s="4">
        <f t="shared" si="1460"/>
        <v>2.3452078799117149</v>
      </c>
      <c r="EM444" s="4">
        <f t="shared" si="1461"/>
        <v>0.1855245753162881</v>
      </c>
      <c r="EP444" s="4">
        <f t="shared" si="1577"/>
        <v>0.1855245753162881</v>
      </c>
      <c r="EQ444" s="4">
        <f t="shared" si="1535"/>
        <v>0.55350927813071948</v>
      </c>
      <c r="ER444" s="4">
        <f t="shared" si="1314"/>
        <v>5.121202964306983</v>
      </c>
      <c r="ES444" s="4">
        <f t="shared" si="1563"/>
        <v>5.8448402834818527</v>
      </c>
      <c r="ET444" s="4">
        <f t="shared" si="1315"/>
        <v>289.96022498884179</v>
      </c>
      <c r="EU444" s="4">
        <f t="shared" si="1316"/>
        <v>124.65049999999997</v>
      </c>
      <c r="EV444" s="4">
        <f t="shared" si="1385"/>
        <v>2.6176184295174439E-5</v>
      </c>
      <c r="EW444" s="4">
        <f t="shared" si="1564"/>
        <v>5.6468534867652087</v>
      </c>
      <c r="EX444" s="4">
        <f t="shared" si="1422"/>
        <v>601.82888549145309</v>
      </c>
      <c r="FA444" s="4">
        <f>6.75*25.4</f>
        <v>171.45</v>
      </c>
      <c r="FG444" s="23">
        <f t="shared" si="1329"/>
        <v>1.8</v>
      </c>
      <c r="FH444" s="23">
        <f t="shared" si="1329"/>
        <v>1.8</v>
      </c>
      <c r="FI444" s="23">
        <f t="shared" si="1526"/>
        <v>1.2</v>
      </c>
      <c r="FJ444" s="23">
        <f t="shared" si="1330"/>
        <v>2.2000000000000002</v>
      </c>
      <c r="FK444" s="23">
        <f t="shared" si="1330"/>
        <v>1.4</v>
      </c>
      <c r="FL444" s="23">
        <f t="shared" si="1330"/>
        <v>1.6</v>
      </c>
      <c r="FM444" s="23">
        <f t="shared" si="1478"/>
        <v>0</v>
      </c>
      <c r="FN444" s="23"/>
      <c r="FX444" s="4">
        <f t="shared" si="1386"/>
        <v>1</v>
      </c>
      <c r="FY444" s="4">
        <f t="shared" si="1429"/>
        <v>0.43261334185606104</v>
      </c>
      <c r="FZ444" s="4">
        <f t="shared" si="1387"/>
        <v>0.25149640360142855</v>
      </c>
      <c r="GA444" s="4">
        <f t="shared" si="1388"/>
        <v>668.51696838213854</v>
      </c>
    </row>
    <row r="445" spans="1:183" ht="12" hidden="1" customHeight="1" x14ac:dyDescent="0.3">
      <c r="A445" s="25">
        <v>427</v>
      </c>
      <c r="B445" s="4" t="s">
        <v>605</v>
      </c>
      <c r="C445" s="4">
        <v>2016</v>
      </c>
      <c r="D445" s="4" t="s">
        <v>309</v>
      </c>
      <c r="E445" s="14" t="s">
        <v>680</v>
      </c>
      <c r="F445" s="7" t="s">
        <v>599</v>
      </c>
      <c r="G445" s="38">
        <f t="shared" ref="G445" si="1591">135/0.145</f>
        <v>931.0344827586207</v>
      </c>
      <c r="H445" s="38">
        <f>19.13*25.4</f>
        <v>485.90199999999993</v>
      </c>
      <c r="I445" s="4">
        <f t="shared" si="1565"/>
        <v>485.90199999999993</v>
      </c>
      <c r="J445" s="38">
        <f>6320/145</f>
        <v>43.586206896551722</v>
      </c>
      <c r="K445" s="38">
        <f t="shared" si="1490"/>
        <v>35.813999999999993</v>
      </c>
      <c r="L445" s="7">
        <f t="shared" si="1566"/>
        <v>13.567375886524824</v>
      </c>
      <c r="M445" s="7">
        <f t="shared" si="1567"/>
        <v>13.567375886524824</v>
      </c>
      <c r="N445" s="38">
        <f>22.2*25.4</f>
        <v>563.88</v>
      </c>
      <c r="O445" s="38">
        <f>2.8*25.4</f>
        <v>71.11999999999999</v>
      </c>
      <c r="P445" s="39">
        <f>3.4*25.4</f>
        <v>86.36</v>
      </c>
      <c r="Q445" s="7">
        <f t="shared" si="1568"/>
        <v>350.01200000000006</v>
      </c>
      <c r="R445" s="38">
        <v>2</v>
      </c>
      <c r="S445" s="4">
        <f t="shared" si="1361"/>
        <v>508</v>
      </c>
      <c r="T445" s="7">
        <f t="shared" si="1569"/>
        <v>2.4858156028368796</v>
      </c>
      <c r="U445" s="7">
        <f t="shared" si="1414"/>
        <v>2.4858156028368796</v>
      </c>
      <c r="V445" s="38">
        <v>5.5</v>
      </c>
      <c r="W445" s="4">
        <f t="shared" si="1570"/>
        <v>5.5</v>
      </c>
      <c r="X445" s="4">
        <f t="shared" si="1571"/>
        <v>6.5</v>
      </c>
      <c r="Y445" s="7">
        <f t="shared" si="1572"/>
        <v>91.308142429905971</v>
      </c>
      <c r="AB445" s="38">
        <f t="shared" si="1332"/>
        <v>837.93103448275872</v>
      </c>
      <c r="AC445" s="4">
        <v>121.5</v>
      </c>
      <c r="AD445" s="4">
        <f t="shared" si="1452"/>
        <v>1.3127262358757383</v>
      </c>
      <c r="AE445" s="38">
        <f t="shared" si="1584"/>
        <v>12.7</v>
      </c>
      <c r="AF445" s="38">
        <v>12</v>
      </c>
      <c r="AG445" s="39">
        <f t="shared" si="1585"/>
        <v>101.6</v>
      </c>
      <c r="AH445" s="39">
        <v>2</v>
      </c>
      <c r="AI445" s="39">
        <f t="shared" si="1586"/>
        <v>1</v>
      </c>
      <c r="AJ445" s="7"/>
      <c r="AK445" s="4">
        <f t="shared" si="1573"/>
        <v>485.90199999999993</v>
      </c>
      <c r="AL445" s="4">
        <f t="shared" si="1462"/>
        <v>0.38682697334030319</v>
      </c>
      <c r="AM445" s="4">
        <f t="shared" si="1463"/>
        <v>350.9716459559333</v>
      </c>
      <c r="AN445" s="4">
        <f t="shared" si="1464"/>
        <v>0.73664401463669626</v>
      </c>
      <c r="AO445" s="4">
        <v>1.25</v>
      </c>
      <c r="AP445" s="4">
        <f t="shared" si="1396"/>
        <v>2.5</v>
      </c>
      <c r="AQ445" s="38">
        <f t="shared" si="1543"/>
        <v>312.53342280198751</v>
      </c>
      <c r="AR445" s="38">
        <f t="shared" si="1465"/>
        <v>312.53342280198751</v>
      </c>
      <c r="AS445" s="38">
        <f t="shared" si="1466"/>
        <v>3.7155288579258352</v>
      </c>
      <c r="AT445" s="38">
        <f t="shared" si="1407"/>
        <v>312.53342280198746</v>
      </c>
      <c r="AU445" s="38">
        <f t="shared" si="1373"/>
        <v>1.0000000000000002</v>
      </c>
      <c r="AV445" s="38">
        <f t="shared" si="1530"/>
        <v>1.626046113927045</v>
      </c>
      <c r="AW445" s="4">
        <f t="shared" si="1511"/>
        <v>0</v>
      </c>
      <c r="AX445" s="4">
        <f t="shared" si="1574"/>
        <v>471.42954249918836</v>
      </c>
      <c r="AY445" s="4">
        <f t="shared" si="1544"/>
        <v>1</v>
      </c>
      <c r="AZ445" s="38">
        <f t="shared" si="1389"/>
        <v>508.19375761948982</v>
      </c>
      <c r="BA445" s="4">
        <f t="shared" si="1545"/>
        <v>0.3</v>
      </c>
      <c r="BB445" s="4">
        <f t="shared" si="1546"/>
        <v>73.896580786747791</v>
      </c>
      <c r="BC445" s="4">
        <f t="shared" si="1547"/>
        <v>582.09033840623761</v>
      </c>
      <c r="BE445" s="4">
        <f t="shared" si="1408"/>
        <v>1.5</v>
      </c>
      <c r="BF445" s="4">
        <f t="shared" si="1415"/>
        <v>700.16158709603053</v>
      </c>
      <c r="BH445" s="4">
        <f t="shared" si="1416"/>
        <v>487.41996160394592</v>
      </c>
      <c r="BI445" s="4">
        <f t="shared" si="1350"/>
        <v>0</v>
      </c>
      <c r="BJ445" s="4">
        <f t="shared" si="1417"/>
        <v>0</v>
      </c>
      <c r="BR445" s="4">
        <f t="shared" si="1548"/>
        <v>71.11999999999999</v>
      </c>
      <c r="BV445" s="9"/>
      <c r="BX445" s="9"/>
      <c r="BY445" s="9"/>
      <c r="BZ445" s="9">
        <f t="shared" si="1549"/>
        <v>71.11999999999999</v>
      </c>
      <c r="CA445" s="9">
        <f t="shared" si="1550"/>
        <v>175.00600000000003</v>
      </c>
      <c r="CB445" s="9">
        <f t="shared" si="1374"/>
        <v>1.6129787205235528</v>
      </c>
      <c r="CC445" s="40">
        <f t="shared" si="1575"/>
        <v>20</v>
      </c>
      <c r="CD445" s="9">
        <f t="shared" si="1551"/>
        <v>0.05</v>
      </c>
      <c r="CE445" s="9">
        <f t="shared" si="1552"/>
        <v>0.8</v>
      </c>
      <c r="CF445" s="9">
        <f t="shared" si="1553"/>
        <v>0.89777220146327208</v>
      </c>
      <c r="CG445" s="9">
        <f t="shared" si="1554"/>
        <v>0.68</v>
      </c>
      <c r="CH445" s="9">
        <f t="shared" si="1375"/>
        <v>1.4106447240551518</v>
      </c>
      <c r="CI445" s="9">
        <f t="shared" si="1376"/>
        <v>3.4038557013639004</v>
      </c>
      <c r="CJ445" s="40">
        <v>1</v>
      </c>
      <c r="CK445" s="9">
        <f t="shared" si="1377"/>
        <v>388.9569011374125</v>
      </c>
      <c r="CM445" s="4">
        <f t="shared" si="1555"/>
        <v>1.7774258058598467</v>
      </c>
      <c r="CN445" s="4">
        <f t="shared" si="1556"/>
        <v>1.4395206022092937</v>
      </c>
      <c r="CO445" s="4">
        <f t="shared" si="1524"/>
        <v>1.1967680745785221</v>
      </c>
      <c r="CP445" s="4">
        <f t="shared" si="1557"/>
        <v>2.1543030398289051</v>
      </c>
      <c r="CQ445" s="4">
        <f t="shared" si="1476"/>
        <v>1.3127262358757383</v>
      </c>
      <c r="CR445" s="4">
        <f t="shared" si="1477"/>
        <v>1.3999644400429421</v>
      </c>
      <c r="CS445" s="4">
        <f t="shared" si="1525"/>
        <v>1.265578045451847</v>
      </c>
      <c r="CT445" s="4">
        <f t="shared" si="1576"/>
        <v>12</v>
      </c>
      <c r="DA445" s="4">
        <f t="shared" si="1587"/>
        <v>1.7774258058598467</v>
      </c>
      <c r="DB445" s="4">
        <f t="shared" si="1587"/>
        <v>1.4395206022092937</v>
      </c>
      <c r="DC445" s="4">
        <f t="shared" si="1588"/>
        <v>2.1543030398289051</v>
      </c>
      <c r="DD445" s="4">
        <f t="shared" si="1589"/>
        <v>1.265578045451847</v>
      </c>
      <c r="DE445" s="4">
        <f t="shared" si="1590"/>
        <v>1.3127262358757383</v>
      </c>
      <c r="DF445" s="4">
        <f t="shared" si="1590"/>
        <v>1.3999644400429421</v>
      </c>
      <c r="DI445" s="4">
        <f t="shared" si="1562"/>
        <v>485.90199999999993</v>
      </c>
      <c r="DL445" s="4">
        <f t="shared" si="1453"/>
        <v>2.656542766133525E-5</v>
      </c>
      <c r="DM445" s="4">
        <f t="shared" si="1313"/>
        <v>7.0823285286528881</v>
      </c>
      <c r="DN445" s="4">
        <f t="shared" si="1454"/>
        <v>0.46319203958661892</v>
      </c>
      <c r="DO445" s="4">
        <f t="shared" si="1455"/>
        <v>5.2057163841338339</v>
      </c>
      <c r="DP445" s="4">
        <f t="shared" si="1456"/>
        <v>6.215420575543555</v>
      </c>
      <c r="DQ445" s="4">
        <f t="shared" si="1457"/>
        <v>6.1247184421615026</v>
      </c>
      <c r="DR445" s="38">
        <f t="shared" si="1471"/>
        <v>638.31361907973371</v>
      </c>
      <c r="DS445" s="4">
        <f t="shared" si="1382"/>
        <v>1.0001194724108122</v>
      </c>
      <c r="DT445" s="4">
        <f t="shared" si="1458"/>
        <v>2.5495097567963922</v>
      </c>
      <c r="DU445" s="4">
        <f t="shared" si="1390"/>
        <v>312.53342280198746</v>
      </c>
      <c r="DY445" s="4">
        <f t="shared" si="1331"/>
        <v>0.85</v>
      </c>
      <c r="DZ445" s="4">
        <f t="shared" si="1383"/>
        <v>0.90141843971631208</v>
      </c>
      <c r="EA445" s="4">
        <f t="shared" si="1472"/>
        <v>0.9995510789195714</v>
      </c>
      <c r="EB445" s="4">
        <f t="shared" si="1384"/>
        <v>0.90101377397643634</v>
      </c>
      <c r="ED445" s="4">
        <f t="shared" si="1473"/>
        <v>598.537370318532</v>
      </c>
      <c r="EE445" s="25">
        <f t="shared" si="1474"/>
        <v>310.27153041825591</v>
      </c>
      <c r="EG445" s="4">
        <f t="shared" si="1391"/>
        <v>0.76586170787997088</v>
      </c>
      <c r="EH445" s="4">
        <f t="shared" si="1475"/>
        <v>7.0823285286528881</v>
      </c>
      <c r="EK445" s="4">
        <f t="shared" si="1459"/>
        <v>91.308142429905971</v>
      </c>
      <c r="EL445" s="4">
        <f t="shared" si="1460"/>
        <v>2.5495097567963922</v>
      </c>
      <c r="EM445" s="4">
        <f t="shared" si="1461"/>
        <v>0.16721332793013166</v>
      </c>
      <c r="EP445" s="4">
        <f t="shared" si="1577"/>
        <v>0.16721332793013166</v>
      </c>
      <c r="EQ445" s="4">
        <f t="shared" si="1535"/>
        <v>0.4624190583998099</v>
      </c>
      <c r="ER445" s="4">
        <f t="shared" si="1314"/>
        <v>5.2022396946989016</v>
      </c>
      <c r="ES445" s="4">
        <f t="shared" si="1563"/>
        <v>6.2139662348721574</v>
      </c>
      <c r="ET445" s="4">
        <f t="shared" si="1315"/>
        <v>273.11835757009396</v>
      </c>
      <c r="EU445" s="4">
        <f t="shared" si="1316"/>
        <v>121.47550000000001</v>
      </c>
      <c r="EV445" s="4">
        <f t="shared" si="1385"/>
        <v>2.6565427661335253E-5</v>
      </c>
      <c r="EW445" s="4">
        <f t="shared" si="1564"/>
        <v>6.124981351833207</v>
      </c>
      <c r="EX445" s="4">
        <f t="shared" si="1422"/>
        <v>638.23736732278917</v>
      </c>
      <c r="FG445" s="23">
        <f t="shared" si="1329"/>
        <v>1.8</v>
      </c>
      <c r="FH445" s="23">
        <f t="shared" si="1329"/>
        <v>1.6</v>
      </c>
      <c r="FI445" s="23">
        <f t="shared" si="1526"/>
        <v>1.4</v>
      </c>
      <c r="FJ445" s="23">
        <f t="shared" si="1330"/>
        <v>2.2000000000000002</v>
      </c>
      <c r="FK445" s="23">
        <f t="shared" si="1330"/>
        <v>1.4</v>
      </c>
      <c r="FL445" s="23">
        <f t="shared" si="1330"/>
        <v>1.4</v>
      </c>
      <c r="FM445" s="23">
        <f t="shared" si="1478"/>
        <v>0</v>
      </c>
      <c r="FN445" s="23"/>
      <c r="FX445" s="4">
        <f t="shared" si="1386"/>
        <v>1</v>
      </c>
      <c r="FY445" s="4">
        <f t="shared" si="1429"/>
        <v>0.44214730608235164</v>
      </c>
      <c r="FZ445" s="4">
        <f t="shared" si="1387"/>
        <v>0.25149640360142855</v>
      </c>
      <c r="GA445" s="4">
        <f t="shared" si="1388"/>
        <v>662.09352911427425</v>
      </c>
    </row>
    <row r="446" spans="1:183" ht="12" hidden="1" customHeight="1" x14ac:dyDescent="0.3">
      <c r="A446" s="25">
        <v>428</v>
      </c>
      <c r="B446" s="4" t="s">
        <v>605</v>
      </c>
      <c r="C446" s="4">
        <v>2016</v>
      </c>
      <c r="D446" s="4" t="s">
        <v>309</v>
      </c>
      <c r="E446" s="14" t="s">
        <v>680</v>
      </c>
      <c r="F446" s="48" t="s">
        <v>600</v>
      </c>
      <c r="G446" s="38">
        <f t="shared" ref="G446" si="1592">115.9/0.145</f>
        <v>799.31034482758628</v>
      </c>
      <c r="H446" s="38">
        <f>19.5*25.4</f>
        <v>495.29999999999995</v>
      </c>
      <c r="I446" s="4">
        <f t="shared" si="1565"/>
        <v>495.29999999999995</v>
      </c>
      <c r="J446" s="38">
        <f>5430/145</f>
        <v>37.448275862068968</v>
      </c>
      <c r="K446" s="38">
        <f t="shared" si="1490"/>
        <v>35.813999999999993</v>
      </c>
      <c r="L446" s="7">
        <f t="shared" si="1566"/>
        <v>13.829787234042554</v>
      </c>
      <c r="M446" s="7">
        <f t="shared" si="1567"/>
        <v>13.829787234042554</v>
      </c>
      <c r="N446" s="38">
        <f>22*25.4</f>
        <v>558.79999999999995</v>
      </c>
      <c r="O446" s="38">
        <f>2.8*25.4</f>
        <v>71.11999999999999</v>
      </c>
      <c r="P446" s="39">
        <f>3.7*25.4</f>
        <v>93.98</v>
      </c>
      <c r="Q446" s="7">
        <f t="shared" si="1568"/>
        <v>154.55899999999997</v>
      </c>
      <c r="R446" s="38">
        <v>3</v>
      </c>
      <c r="S446" s="4">
        <f t="shared" si="1361"/>
        <v>508</v>
      </c>
      <c r="T446" s="7">
        <f t="shared" si="1569"/>
        <v>2.4858156028368796</v>
      </c>
      <c r="U446" s="7">
        <f t="shared" si="1414"/>
        <v>2.4858156028368796</v>
      </c>
      <c r="V446" s="38">
        <v>4.5</v>
      </c>
      <c r="W446" s="4">
        <f t="shared" si="1570"/>
        <v>4.5</v>
      </c>
      <c r="X446" s="4">
        <f t="shared" si="1571"/>
        <v>5.5</v>
      </c>
      <c r="Y446" s="7">
        <f t="shared" si="1572"/>
        <v>83.991275011158137</v>
      </c>
      <c r="AB446" s="38">
        <f t="shared" si="1332"/>
        <v>568.9655172413793</v>
      </c>
      <c r="AC446" s="4">
        <v>82.5</v>
      </c>
      <c r="AD446" s="4">
        <f t="shared" si="1452"/>
        <v>1.1515856076091984</v>
      </c>
      <c r="AE446" s="38"/>
      <c r="AF446" s="38"/>
      <c r="AG446" s="39">
        <v>1</v>
      </c>
      <c r="AH446" s="39"/>
      <c r="AI446" s="39"/>
      <c r="AJ446" s="7"/>
      <c r="AK446" s="4">
        <f t="shared" si="1573"/>
        <v>495.29999999999995</v>
      </c>
      <c r="AL446" s="4">
        <f t="shared" si="1462"/>
        <v>0.37606837606837606</v>
      </c>
      <c r="AM446" s="4">
        <f t="shared" si="1463"/>
        <v>223.2038138298075</v>
      </c>
      <c r="AN446" s="4">
        <f t="shared" si="1464"/>
        <v>0.73594871794871786</v>
      </c>
      <c r="AO446" s="4">
        <v>1.25</v>
      </c>
      <c r="AP446" s="4">
        <f t="shared" si="1396"/>
        <v>2.5</v>
      </c>
      <c r="AQ446" s="38">
        <f t="shared" si="1543"/>
        <v>193.04830843188273</v>
      </c>
      <c r="AR446" s="38">
        <f t="shared" si="1465"/>
        <v>193.04830843188273</v>
      </c>
      <c r="AS446" s="38">
        <f t="shared" si="1466"/>
        <v>3.3579622250305636</v>
      </c>
      <c r="AT446" s="38">
        <f t="shared" si="1407"/>
        <v>193.0483084318827</v>
      </c>
      <c r="AU446" s="38">
        <f t="shared" si="1373"/>
        <v>1.0000000000000002</v>
      </c>
      <c r="AV446" s="38">
        <f t="shared" si="1530"/>
        <v>2.0458368128061357</v>
      </c>
      <c r="AW446" s="4">
        <f t="shared" si="1511"/>
        <v>0</v>
      </c>
      <c r="AX446" s="4">
        <f t="shared" si="1574"/>
        <v>445.42830537085564</v>
      </c>
      <c r="AY446" s="4">
        <f t="shared" si="1544"/>
        <v>1</v>
      </c>
      <c r="AZ446" s="38">
        <f t="shared" si="1389"/>
        <v>394.94533603989879</v>
      </c>
      <c r="BA446" s="4">
        <f t="shared" si="1545"/>
        <v>0.37</v>
      </c>
      <c r="BB446" s="4">
        <f t="shared" si="1546"/>
        <v>86.112427135820681</v>
      </c>
      <c r="BC446" s="4">
        <f t="shared" si="1547"/>
        <v>481.05776317571946</v>
      </c>
      <c r="BE446" s="4">
        <f t="shared" si="1408"/>
        <v>1.2464539007092199</v>
      </c>
      <c r="BF446" s="4">
        <f t="shared" si="1415"/>
        <v>545.29755972333407</v>
      </c>
      <c r="BH446" s="4">
        <f t="shared" si="1416"/>
        <v>378.80087592961462</v>
      </c>
      <c r="BI446" s="4">
        <f t="shared" si="1350"/>
        <v>0</v>
      </c>
      <c r="BJ446" s="4">
        <f t="shared" si="1417"/>
        <v>0</v>
      </c>
      <c r="BR446" s="4">
        <f t="shared" si="1548"/>
        <v>71.11999999999999</v>
      </c>
      <c r="BV446" s="9"/>
      <c r="BX446" s="9"/>
      <c r="BY446" s="9"/>
      <c r="BZ446" s="9">
        <f t="shared" si="1549"/>
        <v>71.11999999999999</v>
      </c>
      <c r="CA446" s="9">
        <f t="shared" si="1550"/>
        <v>77.279499999999985</v>
      </c>
      <c r="CB446" s="9">
        <f t="shared" si="1374"/>
        <v>1.4268566467933428</v>
      </c>
      <c r="CC446" s="40">
        <f t="shared" si="1575"/>
        <v>0</v>
      </c>
      <c r="CD446" s="9">
        <f t="shared" si="1551"/>
        <v>0</v>
      </c>
      <c r="CE446" s="9">
        <f t="shared" si="1552"/>
        <v>0</v>
      </c>
      <c r="CF446" s="9">
        <f t="shared" si="1553"/>
        <v>0.89777220146327208</v>
      </c>
      <c r="CG446" s="9">
        <f t="shared" si="1554"/>
        <v>0.68048275862068963</v>
      </c>
      <c r="CH446" s="9">
        <f t="shared" si="1375"/>
        <v>1.3084804487373733</v>
      </c>
      <c r="CI446" s="9">
        <f t="shared" si="1376"/>
        <v>1.8670140254800569</v>
      </c>
      <c r="CJ446" s="40">
        <v>1</v>
      </c>
      <c r="CK446" s="9">
        <f t="shared" si="1377"/>
        <v>215.30246847025336</v>
      </c>
      <c r="CM446" s="4">
        <f t="shared" si="1555"/>
        <v>1.2773447721685958</v>
      </c>
      <c r="CN446" s="4">
        <f t="shared" si="1556"/>
        <v>1.1827384584448524</v>
      </c>
      <c r="CO446" s="4">
        <f t="shared" si="1524"/>
        <v>1.0434037473596134</v>
      </c>
      <c r="CP446" s="4">
        <f t="shared" si="1557"/>
        <v>2.6426335066380755</v>
      </c>
      <c r="CQ446" s="4">
        <f t="shared" si="1476"/>
        <v>1.1515856076091984</v>
      </c>
      <c r="CR446" s="4">
        <f t="shared" si="1477"/>
        <v>1.2264020383181997</v>
      </c>
      <c r="CS446" s="4">
        <f t="shared" si="1525"/>
        <v>1.4332360429327682</v>
      </c>
      <c r="CT446" s="4">
        <f t="shared" si="1576"/>
        <v>0</v>
      </c>
      <c r="CU446" s="4">
        <f t="shared" ref="CU446:CV447" si="1593">CM446</f>
        <v>1.2773447721685958</v>
      </c>
      <c r="CV446" s="4">
        <f t="shared" si="1593"/>
        <v>1.1827384584448524</v>
      </c>
      <c r="CW446" s="4">
        <f t="shared" ref="CW446:CW447" si="1594">CP446</f>
        <v>2.6426335066380755</v>
      </c>
      <c r="CX446" s="4">
        <f t="shared" ref="CX446:CX447" si="1595">CS446</f>
        <v>1.4332360429327682</v>
      </c>
      <c r="CY446" s="4">
        <f t="shared" ref="CY446:CZ447" si="1596">CQ446</f>
        <v>1.1515856076091984</v>
      </c>
      <c r="CZ446" s="4">
        <f t="shared" si="1596"/>
        <v>1.2264020383181997</v>
      </c>
      <c r="DI446" s="4">
        <f t="shared" si="1562"/>
        <v>495.29999999999995</v>
      </c>
      <c r="DL446" s="4">
        <f t="shared" si="1453"/>
        <v>2.6002832081299119E-5</v>
      </c>
      <c r="DM446" s="4">
        <f t="shared" si="1313"/>
        <v>6.5617916489182875</v>
      </c>
      <c r="DN446" s="4">
        <f t="shared" si="1454"/>
        <v>0.374388680963545</v>
      </c>
      <c r="DO446" s="4">
        <f t="shared" si="1455"/>
        <v>4.4294675101243914</v>
      </c>
      <c r="DP446" s="4">
        <f t="shared" si="1456"/>
        <v>5.5984659680939437</v>
      </c>
      <c r="DQ446" s="4">
        <f t="shared" si="1457"/>
        <v>5.7638264156492829</v>
      </c>
      <c r="DR446" s="38">
        <f t="shared" si="1471"/>
        <v>494.07140336062901</v>
      </c>
      <c r="DS446" s="4">
        <f t="shared" si="1382"/>
        <v>1.0001266095478294</v>
      </c>
      <c r="DT446" s="4">
        <f t="shared" si="1458"/>
        <v>2.3452078799117149</v>
      </c>
      <c r="DU446" s="4">
        <f t="shared" si="1390"/>
        <v>193.0483084318827</v>
      </c>
      <c r="DY446" s="4">
        <f t="shared" si="1331"/>
        <v>0.85</v>
      </c>
      <c r="DZ446" s="4">
        <f t="shared" si="1383"/>
        <v>0.90141843971631208</v>
      </c>
      <c r="EA446" s="4">
        <f t="shared" si="1472"/>
        <v>1</v>
      </c>
      <c r="EB446" s="4">
        <f t="shared" si="1384"/>
        <v>0.90141843971631208</v>
      </c>
      <c r="ED446" s="4">
        <f t="shared" si="1473"/>
        <v>463.93066829994672</v>
      </c>
      <c r="EE446" s="25">
        <f t="shared" si="1474"/>
        <v>191.6861211639752</v>
      </c>
      <c r="EG446" s="4">
        <f t="shared" si="1391"/>
        <v>0.76620567375886528</v>
      </c>
      <c r="EH446" s="4">
        <f t="shared" si="1475"/>
        <v>6.5617916489182875</v>
      </c>
      <c r="EK446" s="4">
        <f t="shared" si="1459"/>
        <v>83.991275011158137</v>
      </c>
      <c r="EL446" s="4">
        <f t="shared" si="1460"/>
        <v>2.3452078799117149</v>
      </c>
      <c r="EM446" s="4">
        <f t="shared" si="1461"/>
        <v>0.12527773394151523</v>
      </c>
      <c r="EP446" s="4">
        <f t="shared" si="1577"/>
        <v>0.12527773394151523</v>
      </c>
      <c r="EQ446" s="4">
        <f t="shared" si="1535"/>
        <v>0.37376389603158156</v>
      </c>
      <c r="ER446" s="4">
        <f t="shared" si="1314"/>
        <v>4.4265092462163222</v>
      </c>
      <c r="ES446" s="4">
        <f t="shared" si="1563"/>
        <v>5.5972982030890188</v>
      </c>
      <c r="ET446" s="4">
        <f t="shared" si="1315"/>
        <v>287.4837249888418</v>
      </c>
      <c r="EU446" s="4">
        <f t="shared" si="1316"/>
        <v>123.82500000000005</v>
      </c>
      <c r="EV446" s="4">
        <f t="shared" si="1385"/>
        <v>2.6002832081299129E-5</v>
      </c>
      <c r="EW446" s="4">
        <f t="shared" si="1564"/>
        <v>5.7640216431787659</v>
      </c>
      <c r="EX446" s="4">
        <f t="shared" si="1422"/>
        <v>494.00885712260504</v>
      </c>
      <c r="FA446" s="4">
        <f>6.75*25.4</f>
        <v>171.45</v>
      </c>
      <c r="FG446" s="23">
        <f t="shared" si="1329"/>
        <v>1.4</v>
      </c>
      <c r="FH446" s="23">
        <f t="shared" si="1329"/>
        <v>1.2</v>
      </c>
      <c r="FI446" s="23">
        <f t="shared" si="1526"/>
        <v>1.6</v>
      </c>
      <c r="FJ446" s="23">
        <f t="shared" si="1330"/>
        <v>2.2000000000000002</v>
      </c>
      <c r="FK446" s="23">
        <f t="shared" si="1330"/>
        <v>1.2</v>
      </c>
      <c r="FL446" s="23">
        <f t="shared" si="1330"/>
        <v>1.4</v>
      </c>
      <c r="FM446" s="23">
        <f t="shared" si="1478"/>
        <v>0</v>
      </c>
      <c r="FN446" s="23"/>
      <c r="FX446" s="4">
        <f t="shared" si="1386"/>
        <v>1</v>
      </c>
      <c r="FY446" s="4">
        <f t="shared" si="1429"/>
        <v>0.72369976359338062</v>
      </c>
      <c r="FZ446" s="4">
        <f t="shared" si="1387"/>
        <v>0</v>
      </c>
      <c r="GA446" s="4">
        <f t="shared" si="1388"/>
        <v>396.9796322433603</v>
      </c>
    </row>
    <row r="447" spans="1:183" ht="12" hidden="1" customHeight="1" x14ac:dyDescent="0.3">
      <c r="A447" s="25">
        <v>429</v>
      </c>
      <c r="B447" s="4" t="s">
        <v>605</v>
      </c>
      <c r="C447" s="4">
        <v>2016</v>
      </c>
      <c r="D447" s="4" t="s">
        <v>309</v>
      </c>
      <c r="E447" s="14" t="s">
        <v>680</v>
      </c>
      <c r="F447" s="7" t="s">
        <v>601</v>
      </c>
      <c r="G447" s="38">
        <f t="shared" ref="G447" si="1597">135/0.145</f>
        <v>931.0344827586207</v>
      </c>
      <c r="H447" s="38">
        <f>19.29*25.4</f>
        <v>489.96599999999995</v>
      </c>
      <c r="I447" s="4">
        <f t="shared" si="1565"/>
        <v>489.96599999999995</v>
      </c>
      <c r="J447" s="38">
        <f>6320/145</f>
        <v>43.586206896551722</v>
      </c>
      <c r="K447" s="38">
        <f t="shared" si="1490"/>
        <v>35.813999999999993</v>
      </c>
      <c r="L447" s="7">
        <f t="shared" si="1566"/>
        <v>13.680851063829788</v>
      </c>
      <c r="M447" s="7">
        <f t="shared" si="1567"/>
        <v>13.680851063829788</v>
      </c>
      <c r="N447" s="38">
        <f>21.9*25.4</f>
        <v>556.25999999999988</v>
      </c>
      <c r="O447" s="38">
        <f t="shared" ref="O447" si="1598">2.8*25.4</f>
        <v>71.11999999999999</v>
      </c>
      <c r="P447" s="39">
        <f>3.45*25.4</f>
        <v>87.63</v>
      </c>
      <c r="Q447" s="7">
        <f t="shared" si="1568"/>
        <v>153.28899999999993</v>
      </c>
      <c r="R447" s="38">
        <v>3</v>
      </c>
      <c r="S447" s="4">
        <f t="shared" si="1361"/>
        <v>508</v>
      </c>
      <c r="T447" s="7">
        <f t="shared" si="1569"/>
        <v>2.4858156028368796</v>
      </c>
      <c r="U447" s="7">
        <f t="shared" si="1414"/>
        <v>2.4858156028368796</v>
      </c>
      <c r="V447" s="38">
        <v>5.5</v>
      </c>
      <c r="W447" s="4">
        <f t="shared" si="1570"/>
        <v>5.5</v>
      </c>
      <c r="X447" s="4">
        <f t="shared" si="1571"/>
        <v>6.5</v>
      </c>
      <c r="Y447" s="7">
        <f t="shared" si="1572"/>
        <v>91.308142429905971</v>
      </c>
      <c r="AB447" s="38">
        <f t="shared" si="1332"/>
        <v>607.58620689655174</v>
      </c>
      <c r="AC447" s="4">
        <v>88.1</v>
      </c>
      <c r="AD447" s="4">
        <f t="shared" si="1452"/>
        <v>1.1740740153975369</v>
      </c>
      <c r="AE447" s="38"/>
      <c r="AF447" s="38"/>
      <c r="AG447" s="39">
        <v>1</v>
      </c>
      <c r="AH447" s="39"/>
      <c r="AI447" s="39"/>
      <c r="AJ447" s="7"/>
      <c r="AK447" s="4">
        <f t="shared" si="1573"/>
        <v>489.96599999999995</v>
      </c>
      <c r="AL447" s="4">
        <f t="shared" si="1462"/>
        <v>0.37843442198030064</v>
      </c>
      <c r="AM447" s="4">
        <f t="shared" si="1463"/>
        <v>236.92269264234707</v>
      </c>
      <c r="AN447" s="4">
        <f t="shared" si="1464"/>
        <v>0.73634007257646439</v>
      </c>
      <c r="AO447" s="4">
        <v>1.25</v>
      </c>
      <c r="AP447" s="4">
        <f t="shared" si="1396"/>
        <v>2.5</v>
      </c>
      <c r="AQ447" s="38">
        <f t="shared" si="1543"/>
        <v>206.31259893006796</v>
      </c>
      <c r="AR447" s="38">
        <f t="shared" si="1465"/>
        <v>206.31259893006796</v>
      </c>
      <c r="AS447" s="38">
        <f t="shared" si="1466"/>
        <v>3.7155288579258352</v>
      </c>
      <c r="AT447" s="38">
        <f t="shared" si="1407"/>
        <v>206.31259893006799</v>
      </c>
      <c r="AU447" s="38">
        <f t="shared" si="1373"/>
        <v>0.99999999999999989</v>
      </c>
      <c r="AV447" s="38">
        <f t="shared" si="1530"/>
        <v>2.4632221214553547</v>
      </c>
      <c r="AW447" s="4">
        <f t="shared" si="1511"/>
        <v>0</v>
      </c>
      <c r="AX447" s="4">
        <f t="shared" si="1574"/>
        <v>475.37249737633783</v>
      </c>
      <c r="AY447" s="4">
        <f t="shared" si="1544"/>
        <v>1</v>
      </c>
      <c r="AZ447" s="38">
        <f t="shared" si="1389"/>
        <v>508.19375761948982</v>
      </c>
      <c r="BA447" s="4">
        <f t="shared" si="1545"/>
        <v>0.3</v>
      </c>
      <c r="BB447" s="4">
        <f t="shared" si="1546"/>
        <v>74.514638963740964</v>
      </c>
      <c r="BC447" s="4">
        <f t="shared" si="1547"/>
        <v>582.70839658323075</v>
      </c>
      <c r="BE447" s="4">
        <f t="shared" si="1408"/>
        <v>1.2464539007092199</v>
      </c>
      <c r="BF447" s="4">
        <f t="shared" si="1415"/>
        <v>584.61414645596142</v>
      </c>
      <c r="BH447" s="4">
        <f t="shared" si="1416"/>
        <v>487.41996160394592</v>
      </c>
      <c r="BI447" s="4">
        <f t="shared" si="1350"/>
        <v>0</v>
      </c>
      <c r="BJ447" s="4">
        <f t="shared" si="1417"/>
        <v>0</v>
      </c>
      <c r="BR447" s="4">
        <f t="shared" si="1548"/>
        <v>71.11999999999999</v>
      </c>
      <c r="BV447" s="9"/>
      <c r="BX447" s="9"/>
      <c r="BY447" s="9"/>
      <c r="BZ447" s="9">
        <f t="shared" si="1549"/>
        <v>71.11999999999999</v>
      </c>
      <c r="CA447" s="9">
        <f t="shared" si="1550"/>
        <v>76.644499999999965</v>
      </c>
      <c r="CB447" s="9">
        <f t="shared" si="1374"/>
        <v>1.4250918174124854</v>
      </c>
      <c r="CC447" s="40">
        <f t="shared" si="1575"/>
        <v>0</v>
      </c>
      <c r="CD447" s="9">
        <f t="shared" si="1551"/>
        <v>0</v>
      </c>
      <c r="CE447" s="9">
        <f t="shared" si="1552"/>
        <v>0</v>
      </c>
      <c r="CF447" s="9">
        <f t="shared" si="1553"/>
        <v>0.89777220146327208</v>
      </c>
      <c r="CG447" s="9">
        <f t="shared" si="1554"/>
        <v>0.68</v>
      </c>
      <c r="CH447" s="9">
        <f t="shared" si="1375"/>
        <v>1.4106447240551518</v>
      </c>
      <c r="CI447" s="9">
        <f t="shared" si="1376"/>
        <v>2.0102982535270901</v>
      </c>
      <c r="CJ447" s="40">
        <v>1</v>
      </c>
      <c r="CK447" s="9">
        <f t="shared" si="1377"/>
        <v>230.62825921315044</v>
      </c>
      <c r="CM447" s="4">
        <f t="shared" si="1555"/>
        <v>1.2781265433947568</v>
      </c>
      <c r="CN447" s="4">
        <f t="shared" si="1556"/>
        <v>1.0426934131363037</v>
      </c>
      <c r="CO447" s="4">
        <f t="shared" si="1524"/>
        <v>1.0392943971333077</v>
      </c>
      <c r="CP447" s="4">
        <f t="shared" si="1557"/>
        <v>2.6344829075564871</v>
      </c>
      <c r="CQ447" s="4">
        <f t="shared" si="1476"/>
        <v>1.1740740153975369</v>
      </c>
      <c r="CR447" s="4">
        <f t="shared" si="1477"/>
        <v>1.2265000402860071</v>
      </c>
      <c r="CS447" s="4">
        <f t="shared" si="1525"/>
        <v>1.495658681836104</v>
      </c>
      <c r="CT447" s="4">
        <f t="shared" si="1576"/>
        <v>0</v>
      </c>
      <c r="CU447" s="4">
        <f t="shared" si="1593"/>
        <v>1.2781265433947568</v>
      </c>
      <c r="CV447" s="4">
        <f t="shared" si="1593"/>
        <v>1.0426934131363037</v>
      </c>
      <c r="CW447" s="4">
        <f t="shared" si="1594"/>
        <v>2.6344829075564871</v>
      </c>
      <c r="CX447" s="4">
        <f t="shared" si="1595"/>
        <v>1.495658681836104</v>
      </c>
      <c r="CY447" s="4">
        <f t="shared" si="1596"/>
        <v>1.1740740153975369</v>
      </c>
      <c r="CZ447" s="4">
        <f t="shared" si="1596"/>
        <v>1.2265000402860071</v>
      </c>
      <c r="DI447" s="4">
        <f t="shared" si="1562"/>
        <v>489.96599999999995</v>
      </c>
      <c r="DL447" s="4">
        <f t="shared" si="1453"/>
        <v>2.6787616287880659E-5</v>
      </c>
      <c r="DM447" s="4">
        <f t="shared" ref="DM447:DM449" si="1599">EH447</f>
        <v>7.0791491220778546</v>
      </c>
      <c r="DN447" s="4">
        <f t="shared" si="1454"/>
        <v>0.30576682850134701</v>
      </c>
      <c r="DO447" s="4">
        <f t="shared" si="1455"/>
        <v>4.4069407164747778</v>
      </c>
      <c r="DP447" s="4">
        <f t="shared" si="1456"/>
        <v>5.8972084710745278</v>
      </c>
      <c r="DQ447" s="4">
        <f t="shared" si="1457"/>
        <v>6.1656391419605026</v>
      </c>
      <c r="DR447" s="38">
        <f t="shared" si="1471"/>
        <v>517.50247337756252</v>
      </c>
      <c r="DS447" s="4">
        <f t="shared" si="1382"/>
        <v>1.000117718318323</v>
      </c>
      <c r="DT447" s="4">
        <f t="shared" si="1458"/>
        <v>2.5495097567963922</v>
      </c>
      <c r="DU447" s="4">
        <f t="shared" si="1390"/>
        <v>206.31259893006799</v>
      </c>
      <c r="DY447" s="4">
        <f t="shared" si="1331"/>
        <v>0.85</v>
      </c>
      <c r="DZ447" s="4">
        <f t="shared" si="1383"/>
        <v>0.90141843971631208</v>
      </c>
      <c r="EA447" s="4">
        <f t="shared" si="1472"/>
        <v>1</v>
      </c>
      <c r="EB447" s="4">
        <f t="shared" si="1384"/>
        <v>0.90141843971631208</v>
      </c>
      <c r="ED447" s="4">
        <f t="shared" si="1473"/>
        <v>495.38213366456063</v>
      </c>
      <c r="EE447" s="25">
        <f t="shared" si="1474"/>
        <v>204.83577927119507</v>
      </c>
      <c r="EG447" s="4">
        <f t="shared" si="1391"/>
        <v>0.76620567375886528</v>
      </c>
      <c r="EH447" s="4">
        <f t="shared" si="1475"/>
        <v>7.0791491220778546</v>
      </c>
      <c r="EK447" s="4">
        <f t="shared" si="1459"/>
        <v>91.308142429905971</v>
      </c>
      <c r="EL447" s="4">
        <f t="shared" si="1460"/>
        <v>2.5495097567963922</v>
      </c>
      <c r="EM447" s="4">
        <f t="shared" si="1461"/>
        <v>0.11038248630089174</v>
      </c>
      <c r="EP447" s="4">
        <f t="shared" si="1577"/>
        <v>0.11038248630089174</v>
      </c>
      <c r="EQ447" s="4">
        <f t="shared" si="1535"/>
        <v>0.30525656065176843</v>
      </c>
      <c r="ER447" s="4">
        <f t="shared" ref="ER447:ER449" si="1600">EH447/1*EQ447^0.4</f>
        <v>4.4039974973097769</v>
      </c>
      <c r="ES447" s="4">
        <f t="shared" si="1563"/>
        <v>5.8961128342265017</v>
      </c>
      <c r="ET447" s="4">
        <f t="shared" ref="ET447:ET449" si="1601">MAX(0,DI447*ET$9-EK447)</f>
        <v>276.16635757009402</v>
      </c>
      <c r="EU447" s="4">
        <f t="shared" ref="EU447:EU449" si="1602">MAX(0,DI447-EK447-ET447)</f>
        <v>122.49149999999997</v>
      </c>
      <c r="EV447" s="4">
        <f t="shared" si="1385"/>
        <v>2.6787616287880659E-5</v>
      </c>
      <c r="EW447" s="4">
        <f t="shared" si="1564"/>
        <v>6.1658509050869394</v>
      </c>
      <c r="EX447" s="4">
        <f t="shared" si="1422"/>
        <v>517.44156102716795</v>
      </c>
      <c r="FG447" s="23">
        <f t="shared" si="1329"/>
        <v>1.4</v>
      </c>
      <c r="FH447" s="23">
        <f t="shared" si="1329"/>
        <v>1.2</v>
      </c>
      <c r="FI447" s="23">
        <f t="shared" si="1526"/>
        <v>1.6</v>
      </c>
      <c r="FJ447" s="23">
        <f t="shared" si="1330"/>
        <v>2.2000000000000002</v>
      </c>
      <c r="FK447" s="23">
        <f t="shared" si="1330"/>
        <v>1.2</v>
      </c>
      <c r="FL447" s="23">
        <f t="shared" si="1330"/>
        <v>1.4</v>
      </c>
      <c r="FM447" s="23">
        <f t="shared" si="1478"/>
        <v>0</v>
      </c>
      <c r="FN447" s="23"/>
      <c r="FX447" s="4">
        <f t="shared" si="1386"/>
        <v>1</v>
      </c>
      <c r="FY447" s="4">
        <f t="shared" si="1429"/>
        <v>0.72665484633569744</v>
      </c>
      <c r="FZ447" s="4">
        <f t="shared" si="1387"/>
        <v>0</v>
      </c>
      <c r="GA447" s="4">
        <f t="shared" si="1388"/>
        <v>406.23319630028516</v>
      </c>
    </row>
    <row r="448" spans="1:183" ht="12" hidden="1" customHeight="1" x14ac:dyDescent="0.3">
      <c r="A448" s="25">
        <v>430</v>
      </c>
      <c r="B448" s="4" t="s">
        <v>605</v>
      </c>
      <c r="C448" s="4">
        <v>2016</v>
      </c>
      <c r="D448" s="4" t="s">
        <v>309</v>
      </c>
      <c r="E448" s="14" t="s">
        <v>680</v>
      </c>
      <c r="F448" s="48" t="s">
        <v>602</v>
      </c>
      <c r="G448" s="38">
        <f t="shared" ref="G448" si="1603">115.9/0.145</f>
        <v>799.31034482758628</v>
      </c>
      <c r="H448" s="38">
        <f>19.38*25.4</f>
        <v>492.25199999999995</v>
      </c>
      <c r="I448" s="4">
        <f t="shared" si="1565"/>
        <v>492.25199999999995</v>
      </c>
      <c r="J448" s="38">
        <f>5430/145</f>
        <v>37.448275862068968</v>
      </c>
      <c r="K448" s="38">
        <f t="shared" si="1490"/>
        <v>35.813999999999993</v>
      </c>
      <c r="L448" s="7">
        <f t="shared" si="1566"/>
        <v>13.744680851063832</v>
      </c>
      <c r="M448" s="7">
        <f t="shared" si="1567"/>
        <v>13.744680851063832</v>
      </c>
      <c r="N448" s="38">
        <f>21.8*25.4</f>
        <v>553.72</v>
      </c>
      <c r="O448" s="38">
        <f>2.55*25.4</f>
        <v>64.77</v>
      </c>
      <c r="P448" s="39">
        <f>3.8*25.4</f>
        <v>96.52</v>
      </c>
      <c r="Q448" s="7">
        <f t="shared" si="1568"/>
        <v>158.36900000000003</v>
      </c>
      <c r="R448" s="38">
        <v>3</v>
      </c>
      <c r="S448" s="4">
        <f t="shared" si="1361"/>
        <v>508</v>
      </c>
      <c r="T448" s="7">
        <f t="shared" si="1569"/>
        <v>2.3085106382978724</v>
      </c>
      <c r="U448" s="7">
        <f t="shared" si="1414"/>
        <v>2.3085106382978724</v>
      </c>
      <c r="V448" s="38">
        <v>4.5</v>
      </c>
      <c r="W448" s="4">
        <f t="shared" si="1570"/>
        <v>4.5</v>
      </c>
      <c r="X448" s="4">
        <f t="shared" si="1571"/>
        <v>5.5</v>
      </c>
      <c r="Y448" s="7">
        <f t="shared" si="1572"/>
        <v>83.991275011158137</v>
      </c>
      <c r="AB448" s="38">
        <f t="shared" si="1332"/>
        <v>626.20689655172418</v>
      </c>
      <c r="AC448" s="4">
        <v>90.8</v>
      </c>
      <c r="AD448" s="4">
        <f t="shared" si="1452"/>
        <v>1.2956263023911716</v>
      </c>
      <c r="AE448" s="38">
        <f t="shared" ref="AE448:AE449" si="1604">0.5*25.4</f>
        <v>12.7</v>
      </c>
      <c r="AF448" s="38">
        <v>12</v>
      </c>
      <c r="AG448" s="39">
        <f t="shared" ref="AG448:AG449" si="1605">4*25.4</f>
        <v>101.6</v>
      </c>
      <c r="AH448" s="39">
        <v>2</v>
      </c>
      <c r="AI448" s="39">
        <f t="shared" ref="AI448:AI449" si="1606">AH448-1</f>
        <v>1</v>
      </c>
      <c r="AK448" s="4">
        <f t="shared" si="1573"/>
        <v>492.25199999999995</v>
      </c>
      <c r="AL448" s="4">
        <f t="shared" si="1462"/>
        <v>0.37495700034399726</v>
      </c>
      <c r="AM448" s="4">
        <f t="shared" si="1463"/>
        <v>221.14664394977936</v>
      </c>
      <c r="AN448" s="4">
        <f t="shared" si="1464"/>
        <v>0.73359133126934983</v>
      </c>
      <c r="AO448" s="4">
        <v>1.25</v>
      </c>
      <c r="AP448" s="4">
        <f t="shared" si="1396"/>
        <v>2.5</v>
      </c>
      <c r="AQ448" s="38">
        <f t="shared" si="1543"/>
        <v>190.09295926378746</v>
      </c>
      <c r="AR448" s="38">
        <f t="shared" si="1465"/>
        <v>190.09295926378746</v>
      </c>
      <c r="AS448" s="38">
        <f t="shared" si="1466"/>
        <v>3.3579622250305636</v>
      </c>
      <c r="AT448" s="38">
        <f t="shared" si="1407"/>
        <v>190.09295926378758</v>
      </c>
      <c r="AU448" s="38">
        <f t="shared" si="1373"/>
        <v>0.99999999999999944</v>
      </c>
      <c r="AV448" s="38">
        <f t="shared" si="1530"/>
        <v>1.9294517764839594</v>
      </c>
      <c r="AW448" s="4">
        <f t="shared" si="1511"/>
        <v>0</v>
      </c>
      <c r="AX448" s="4">
        <f t="shared" si="1574"/>
        <v>442.68720810703502</v>
      </c>
      <c r="AY448" s="4">
        <f t="shared" si="1544"/>
        <v>1</v>
      </c>
      <c r="AZ448" s="38">
        <f t="shared" si="1389"/>
        <v>366.77519794860785</v>
      </c>
      <c r="BA448" s="4">
        <f t="shared" si="1545"/>
        <v>0.37</v>
      </c>
      <c r="BB448" s="4">
        <f t="shared" si="1546"/>
        <v>85.582504507292555</v>
      </c>
      <c r="BC448" s="4">
        <f t="shared" si="1547"/>
        <v>452.35770245590038</v>
      </c>
      <c r="BE448" s="4">
        <f t="shared" si="1408"/>
        <v>1.5</v>
      </c>
      <c r="BF448" s="4">
        <f t="shared" si="1415"/>
        <v>653.87504679809706</v>
      </c>
      <c r="BH448" s="4">
        <f t="shared" si="1416"/>
        <v>351.78226851666062</v>
      </c>
      <c r="BI448" s="4">
        <f t="shared" si="1350"/>
        <v>0</v>
      </c>
      <c r="BJ448" s="4">
        <f t="shared" si="1417"/>
        <v>0</v>
      </c>
      <c r="BR448" s="4">
        <f t="shared" si="1548"/>
        <v>64.77</v>
      </c>
      <c r="BV448" s="9"/>
      <c r="BX448" s="9"/>
      <c r="BY448" s="9"/>
      <c r="BZ448" s="9">
        <f t="shared" si="1549"/>
        <v>64.77</v>
      </c>
      <c r="CA448" s="9">
        <f t="shared" si="1550"/>
        <v>79.184500000000014</v>
      </c>
      <c r="CB448" s="9">
        <f t="shared" si="1374"/>
        <v>1.3859592972879591</v>
      </c>
      <c r="CC448" s="40">
        <f t="shared" si="1575"/>
        <v>20</v>
      </c>
      <c r="CD448" s="9">
        <f t="shared" si="1551"/>
        <v>0.05</v>
      </c>
      <c r="CE448" s="9">
        <f t="shared" si="1552"/>
        <v>0.8</v>
      </c>
      <c r="CF448" s="9">
        <f t="shared" si="1553"/>
        <v>0.89777220146327208</v>
      </c>
      <c r="CG448" s="9">
        <f t="shared" si="1554"/>
        <v>0.68048275862068963</v>
      </c>
      <c r="CH448" s="9">
        <f t="shared" si="1375"/>
        <v>1.3084804487373733</v>
      </c>
      <c r="CI448" s="9">
        <f t="shared" si="1376"/>
        <v>2.8602850022369819</v>
      </c>
      <c r="CJ448" s="40">
        <v>1</v>
      </c>
      <c r="CK448" s="9">
        <f t="shared" si="1377"/>
        <v>328.87191812954575</v>
      </c>
      <c r="CM448" s="4">
        <f t="shared" si="1555"/>
        <v>1.4145583723311854</v>
      </c>
      <c r="CN448" s="4">
        <f t="shared" si="1556"/>
        <v>1.3843179703848905</v>
      </c>
      <c r="CO448" s="4">
        <f t="shared" si="1524"/>
        <v>0.9576858753337375</v>
      </c>
      <c r="CP448" s="4">
        <f t="shared" si="1557"/>
        <v>1.9041057081226844</v>
      </c>
      <c r="CQ448" s="4">
        <f t="shared" si="1476"/>
        <v>1.2956263023911716</v>
      </c>
      <c r="CR448" s="4">
        <f t="shared" si="1477"/>
        <v>1.3786937883911297</v>
      </c>
      <c r="CS448" s="4">
        <f t="shared" si="1525"/>
        <v>1.255358081169357</v>
      </c>
      <c r="CT448" s="4">
        <f t="shared" si="1576"/>
        <v>12</v>
      </c>
      <c r="DA448" s="4">
        <f t="shared" ref="DA448:DB449" si="1607">CM448</f>
        <v>1.4145583723311854</v>
      </c>
      <c r="DB448" s="4">
        <f t="shared" si="1607"/>
        <v>1.3843179703848905</v>
      </c>
      <c r="DC448" s="4">
        <f t="shared" ref="DC448:DC449" si="1608">CP448</f>
        <v>1.9041057081226844</v>
      </c>
      <c r="DD448" s="4">
        <f t="shared" ref="DD448:DD449" si="1609">CS448</f>
        <v>1.255358081169357</v>
      </c>
      <c r="DE448" s="4">
        <f t="shared" ref="DE448:DF449" si="1610">CQ448</f>
        <v>1.2956263023911716</v>
      </c>
      <c r="DF448" s="4">
        <f t="shared" si="1610"/>
        <v>1.3786937883911297</v>
      </c>
      <c r="DI448" s="4">
        <f t="shared" si="1562"/>
        <v>492.25199999999995</v>
      </c>
      <c r="DL448" s="4">
        <f t="shared" si="1453"/>
        <v>2.584281465310651E-5</v>
      </c>
      <c r="DM448" s="4">
        <f t="shared" si="1599"/>
        <v>6.438104078551774</v>
      </c>
      <c r="DN448" s="4">
        <f t="shared" si="1454"/>
        <v>0.3686572177571722</v>
      </c>
      <c r="DO448" s="4">
        <f t="shared" si="1455"/>
        <v>4.3192375459773444</v>
      </c>
      <c r="DP448" s="4">
        <f t="shared" si="1456"/>
        <v>5.4824032186546567</v>
      </c>
      <c r="DQ448" s="4">
        <f t="shared" si="1457"/>
        <v>5.6807832669566087</v>
      </c>
      <c r="DR448" s="38">
        <f t="shared" si="1471"/>
        <v>483.32369865910744</v>
      </c>
      <c r="DS448" s="4">
        <f t="shared" si="1382"/>
        <v>1.0001254787734011</v>
      </c>
      <c r="DT448" s="4">
        <f t="shared" si="1458"/>
        <v>2.3452078799117149</v>
      </c>
      <c r="DU448" s="4">
        <f t="shared" si="1390"/>
        <v>190.09295926378758</v>
      </c>
      <c r="DY448" s="4">
        <f t="shared" si="1331"/>
        <v>0.85</v>
      </c>
      <c r="DZ448" s="4">
        <f t="shared" si="1383"/>
        <v>0.91914893617021276</v>
      </c>
      <c r="EA448" s="4">
        <f t="shared" si="1472"/>
        <v>0.9995510789195714</v>
      </c>
      <c r="EB448" s="4">
        <f t="shared" si="1384"/>
        <v>0.91873631083671248</v>
      </c>
      <c r="ED448" s="4">
        <f t="shared" si="1473"/>
        <v>454.20303030630026</v>
      </c>
      <c r="EE448" s="25">
        <f t="shared" si="1474"/>
        <v>188.73397276942069</v>
      </c>
      <c r="EG448" s="4">
        <f t="shared" si="1391"/>
        <v>0.78092586421120558</v>
      </c>
      <c r="EH448" s="4">
        <f t="shared" si="1475"/>
        <v>6.438104078551774</v>
      </c>
      <c r="EK448" s="4">
        <f t="shared" si="1459"/>
        <v>83.991275011158137</v>
      </c>
      <c r="EL448" s="4">
        <f t="shared" si="1460"/>
        <v>2.3452078799117149</v>
      </c>
      <c r="EM448" s="4">
        <f t="shared" si="1461"/>
        <v>0.12335987488441015</v>
      </c>
      <c r="EP448" s="4">
        <f t="shared" si="1577"/>
        <v>0.12335987488441015</v>
      </c>
      <c r="EQ448" s="4">
        <f t="shared" si="1535"/>
        <v>0.36804199756910061</v>
      </c>
      <c r="ER448" s="4">
        <f t="shared" si="1600"/>
        <v>4.3163529002465797</v>
      </c>
      <c r="ES448" s="4">
        <f t="shared" si="1563"/>
        <v>5.4812694562858182</v>
      </c>
      <c r="ET448" s="4">
        <f t="shared" si="1601"/>
        <v>285.19772498884186</v>
      </c>
      <c r="EU448" s="4">
        <f t="shared" si="1602"/>
        <v>123.06299999999999</v>
      </c>
      <c r="EV448" s="4">
        <f t="shared" si="1385"/>
        <v>2.584281465310651E-5</v>
      </c>
      <c r="EW448" s="4">
        <f t="shared" si="1564"/>
        <v>5.6809677086103774</v>
      </c>
      <c r="EX448" s="4">
        <f t="shared" si="1422"/>
        <v>483.26305940318349</v>
      </c>
      <c r="FA448" s="4">
        <f>6.75*25.4</f>
        <v>171.45</v>
      </c>
      <c r="FG448" s="23">
        <f t="shared" si="1329"/>
        <v>1.6</v>
      </c>
      <c r="FH448" s="23">
        <f t="shared" si="1329"/>
        <v>1.4</v>
      </c>
      <c r="FI448" s="23">
        <f t="shared" si="1526"/>
        <v>1.4</v>
      </c>
      <c r="FJ448" s="23">
        <f t="shared" si="1330"/>
        <v>2</v>
      </c>
      <c r="FK448" s="23">
        <f t="shared" si="1330"/>
        <v>1.4</v>
      </c>
      <c r="FL448" s="23">
        <f t="shared" si="1330"/>
        <v>1.4</v>
      </c>
      <c r="FM448" s="23">
        <f t="shared" si="1478"/>
        <v>0</v>
      </c>
      <c r="FN448" s="23"/>
      <c r="FX448" s="4">
        <f t="shared" si="1386"/>
        <v>1</v>
      </c>
      <c r="FY448" s="4">
        <f t="shared" si="1429"/>
        <v>0.57239468642161906</v>
      </c>
      <c r="FZ448" s="4">
        <f t="shared" si="1387"/>
        <v>0.16766426906761905</v>
      </c>
      <c r="GA448" s="4">
        <f t="shared" si="1388"/>
        <v>498.82731146193521</v>
      </c>
    </row>
    <row r="449" spans="1:183" ht="12" hidden="1" customHeight="1" x14ac:dyDescent="0.3">
      <c r="A449" s="25">
        <v>431</v>
      </c>
      <c r="B449" s="4" t="s">
        <v>605</v>
      </c>
      <c r="C449" s="4">
        <v>2016</v>
      </c>
      <c r="D449" s="4" t="s">
        <v>309</v>
      </c>
      <c r="E449" s="14" t="s">
        <v>680</v>
      </c>
      <c r="F449" s="7" t="s">
        <v>609</v>
      </c>
      <c r="G449" s="38">
        <f t="shared" ref="G449" si="1611">135/0.145</f>
        <v>931.0344827586207</v>
      </c>
      <c r="H449" s="38">
        <f>19.25*25.4</f>
        <v>488.95</v>
      </c>
      <c r="I449" s="4">
        <f t="shared" si="1565"/>
        <v>488.95</v>
      </c>
      <c r="J449" s="38">
        <f>6320/145</f>
        <v>43.586206896551722</v>
      </c>
      <c r="K449" s="38">
        <f t="shared" si="1490"/>
        <v>35.813999999999993</v>
      </c>
      <c r="L449" s="7">
        <f t="shared" si="1566"/>
        <v>13.652482269503549</v>
      </c>
      <c r="M449" s="7">
        <f t="shared" si="1567"/>
        <v>13.652482269503549</v>
      </c>
      <c r="N449" s="38">
        <f>21.8*25.4</f>
        <v>553.72</v>
      </c>
      <c r="O449" s="38">
        <f>2.7*25.4</f>
        <v>68.58</v>
      </c>
      <c r="P449" s="39">
        <f>3.4*25.4</f>
        <v>86.36</v>
      </c>
      <c r="Q449" s="7">
        <f>(N449-R449*K449-2*O449)/(R449-1)</f>
        <v>154.55900000000003</v>
      </c>
      <c r="R449" s="38">
        <v>3</v>
      </c>
      <c r="S449" s="4">
        <f t="shared" si="1361"/>
        <v>508</v>
      </c>
      <c r="T449" s="7">
        <f t="shared" si="1569"/>
        <v>2.4148936170212769</v>
      </c>
      <c r="U449" s="7">
        <f t="shared" si="1414"/>
        <v>2.4148936170212769</v>
      </c>
      <c r="V449" s="38">
        <v>5.5</v>
      </c>
      <c r="W449" s="4">
        <f t="shared" si="1570"/>
        <v>5.5</v>
      </c>
      <c r="X449" s="4">
        <f t="shared" si="1571"/>
        <v>6.5</v>
      </c>
      <c r="Y449" s="7">
        <f t="shared" si="1572"/>
        <v>91.308142429905971</v>
      </c>
      <c r="AB449" s="38">
        <f t="shared" si="1332"/>
        <v>675.86206896551732</v>
      </c>
      <c r="AC449" s="4">
        <v>98</v>
      </c>
      <c r="AD449" s="4">
        <f t="shared" si="1452"/>
        <v>1.3174526875888106</v>
      </c>
      <c r="AE449" s="38">
        <f t="shared" si="1604"/>
        <v>12.7</v>
      </c>
      <c r="AF449" s="38">
        <v>12</v>
      </c>
      <c r="AG449" s="39">
        <f t="shared" si="1605"/>
        <v>101.6</v>
      </c>
      <c r="AH449" s="39">
        <v>2</v>
      </c>
      <c r="AI449" s="39">
        <f t="shared" si="1606"/>
        <v>1</v>
      </c>
      <c r="AK449" s="4">
        <f t="shared" si="1573"/>
        <v>488.95</v>
      </c>
      <c r="AL449" s="4">
        <f t="shared" si="1462"/>
        <v>0.37748917748917754</v>
      </c>
      <c r="AM449" s="4">
        <f t="shared" si="1463"/>
        <v>236.18614574140781</v>
      </c>
      <c r="AN449" s="4">
        <f t="shared" si="1464"/>
        <v>0.73537662337662335</v>
      </c>
      <c r="AO449" s="4">
        <v>1.25</v>
      </c>
      <c r="AP449" s="4">
        <f t="shared" si="1396"/>
        <v>2.5</v>
      </c>
      <c r="AQ449" s="38">
        <f t="shared" si="1543"/>
        <v>204.88905808937724</v>
      </c>
      <c r="AR449" s="38">
        <f t="shared" si="1465"/>
        <v>204.88905808937724</v>
      </c>
      <c r="AS449" s="38">
        <f t="shared" si="1466"/>
        <v>3.7155288579258352</v>
      </c>
      <c r="AT449" s="38">
        <f t="shared" si="1407"/>
        <v>204.88905808937713</v>
      </c>
      <c r="AU449" s="38">
        <f>AQ449/AT449</f>
        <v>1.0000000000000004</v>
      </c>
      <c r="AV449" s="38">
        <f t="shared" si="1530"/>
        <v>2.4095705919551471</v>
      </c>
      <c r="AW449" s="4">
        <f t="shared" si="1511"/>
        <v>0</v>
      </c>
      <c r="AX449" s="4">
        <f t="shared" si="1574"/>
        <v>474.38675865705051</v>
      </c>
      <c r="AY449" s="4">
        <f t="shared" si="1544"/>
        <v>1</v>
      </c>
      <c r="AZ449" s="38">
        <f t="shared" si="1389"/>
        <v>493.69464898555299</v>
      </c>
      <c r="BA449" s="4">
        <f t="shared" si="1545"/>
        <v>0.3</v>
      </c>
      <c r="BB449" s="4">
        <f t="shared" si="1546"/>
        <v>74.360124419492692</v>
      </c>
      <c r="BC449" s="4">
        <f t="shared" si="1547"/>
        <v>568.05477340504569</v>
      </c>
      <c r="BE449" s="4">
        <f t="shared" si="1408"/>
        <v>1.5</v>
      </c>
      <c r="BF449" s="4">
        <f t="shared" si="1415"/>
        <v>702.69000691100257</v>
      </c>
      <c r="BH449" s="4">
        <f t="shared" si="1416"/>
        <v>473.51354329855519</v>
      </c>
      <c r="BI449" s="4">
        <f t="shared" si="1350"/>
        <v>0</v>
      </c>
      <c r="BJ449" s="4">
        <f t="shared" si="1417"/>
        <v>0</v>
      </c>
      <c r="BR449" s="4">
        <f t="shared" si="1548"/>
        <v>68.58</v>
      </c>
      <c r="BV449" s="9"/>
      <c r="BX449" s="9"/>
      <c r="BY449" s="9"/>
      <c r="BZ449" s="9">
        <f t="shared" si="1549"/>
        <v>68.58</v>
      </c>
      <c r="CA449" s="9">
        <f t="shared" si="1550"/>
        <v>77.279500000000013</v>
      </c>
      <c r="CB449" s="9">
        <f t="shared" si="1374"/>
        <v>1.4088097518045952</v>
      </c>
      <c r="CC449" s="40">
        <f t="shared" si="1575"/>
        <v>20</v>
      </c>
      <c r="CD449" s="9">
        <f t="shared" si="1551"/>
        <v>0.05</v>
      </c>
      <c r="CE449" s="9">
        <f t="shared" si="1552"/>
        <v>0.8</v>
      </c>
      <c r="CF449" s="9">
        <f t="shared" si="1553"/>
        <v>0.89777220146327208</v>
      </c>
      <c r="CG449" s="9">
        <f t="shared" si="1554"/>
        <v>0.68</v>
      </c>
      <c r="CH449" s="9">
        <f t="shared" si="1375"/>
        <v>1.4106447240551518</v>
      </c>
      <c r="CI449" s="9">
        <f t="shared" si="1376"/>
        <v>3.1158458228247214</v>
      </c>
      <c r="CJ449" s="40">
        <v>1</v>
      </c>
      <c r="CK449" s="9">
        <f t="shared" si="1377"/>
        <v>357.1068687719681</v>
      </c>
      <c r="CM449" s="4">
        <f t="shared" si="1555"/>
        <v>1.4247068591855867</v>
      </c>
      <c r="CN449" s="4">
        <f t="shared" si="1556"/>
        <v>1.1897832755004432</v>
      </c>
      <c r="CO449" s="4">
        <f t="shared" si="1524"/>
        <v>0.96182109083432143</v>
      </c>
      <c r="CP449" s="4">
        <f t="shared" si="1557"/>
        <v>1.8926045060115926</v>
      </c>
      <c r="CQ449" s="4">
        <f t="shared" si="1476"/>
        <v>1.3174526875888106</v>
      </c>
      <c r="CR449" s="4">
        <f t="shared" si="1477"/>
        <v>1.375870186901017</v>
      </c>
      <c r="CS449" s="4">
        <f t="shared" si="1525"/>
        <v>1.3428672695579413</v>
      </c>
      <c r="CT449" s="4">
        <f t="shared" si="1576"/>
        <v>12</v>
      </c>
      <c r="DA449" s="4">
        <f t="shared" si="1607"/>
        <v>1.4247068591855867</v>
      </c>
      <c r="DB449" s="4">
        <f t="shared" si="1607"/>
        <v>1.1897832755004432</v>
      </c>
      <c r="DC449" s="4">
        <f t="shared" si="1608"/>
        <v>1.8926045060115926</v>
      </c>
      <c r="DD449" s="4">
        <f t="shared" si="1609"/>
        <v>1.3428672695579413</v>
      </c>
      <c r="DE449" s="4">
        <f t="shared" si="1610"/>
        <v>1.3174526875888106</v>
      </c>
      <c r="DF449" s="4">
        <f t="shared" si="1610"/>
        <v>1.375870186901017</v>
      </c>
      <c r="DI449" s="4">
        <f t="shared" si="1562"/>
        <v>488.95</v>
      </c>
      <c r="DL449" s="4">
        <f t="shared" si="1453"/>
        <v>2.6732069131244309E-5</v>
      </c>
      <c r="DM449" s="4">
        <f t="shared" si="1599"/>
        <v>7.0270410303808131</v>
      </c>
      <c r="DN449" s="4">
        <f t="shared" si="1454"/>
        <v>0.30365706123382441</v>
      </c>
      <c r="DO449" s="4">
        <f t="shared" si="1455"/>
        <v>4.3624036014569079</v>
      </c>
      <c r="DP449" s="4">
        <f t="shared" si="1456"/>
        <v>5.8493001235347482</v>
      </c>
      <c r="DQ449" s="4">
        <f t="shared" si="1457"/>
        <v>6.1313891816785455</v>
      </c>
      <c r="DR449" s="38">
        <f t="shared" si="1471"/>
        <v>513.00671009482221</v>
      </c>
      <c r="DS449" s="4">
        <f t="shared" si="1382"/>
        <v>1.0001173124414451</v>
      </c>
      <c r="DT449" s="4">
        <f t="shared" si="1458"/>
        <v>2.5495097567963922</v>
      </c>
      <c r="DU449" s="4">
        <f t="shared" si="1390"/>
        <v>204.88905808937713</v>
      </c>
      <c r="DY449" s="4">
        <f t="shared" si="1331"/>
        <v>0.85</v>
      </c>
      <c r="DZ449" s="4">
        <f t="shared" si="1383"/>
        <v>0.90851063829787226</v>
      </c>
      <c r="EA449" s="4">
        <f t="shared" si="1472"/>
        <v>0.9995510789195714</v>
      </c>
      <c r="EB449" s="4">
        <f t="shared" si="1384"/>
        <v>0.90810278872054673</v>
      </c>
      <c r="ED449" s="4">
        <f t="shared" si="1473"/>
        <v>491.22517182221657</v>
      </c>
      <c r="EE449" s="25">
        <f t="shared" si="1474"/>
        <v>203.41551259917256</v>
      </c>
      <c r="EG449" s="4">
        <f t="shared" si="1391"/>
        <v>0.77188737041246469</v>
      </c>
      <c r="EH449" s="4">
        <f t="shared" si="1475"/>
        <v>7.0270410303808131</v>
      </c>
      <c r="EK449" s="4">
        <f t="shared" si="1459"/>
        <v>91.308142429905971</v>
      </c>
      <c r="EL449" s="4">
        <f t="shared" si="1460"/>
        <v>2.5495097567963922</v>
      </c>
      <c r="EM449" s="4">
        <f t="shared" si="1461"/>
        <v>0.10962085575500549</v>
      </c>
      <c r="EP449" s="4">
        <f t="shared" si="1577"/>
        <v>0.10962085575500549</v>
      </c>
      <c r="EQ449" s="4">
        <f t="shared" si="1535"/>
        <v>0.30315031419260807</v>
      </c>
      <c r="ER449" s="4">
        <f t="shared" si="1600"/>
        <v>4.3594901268468966</v>
      </c>
      <c r="ES449" s="4">
        <f t="shared" si="1563"/>
        <v>5.8482177976005572</v>
      </c>
      <c r="ET449" s="4">
        <f t="shared" si="1601"/>
        <v>275.40435757009402</v>
      </c>
      <c r="EU449" s="4">
        <f t="shared" si="1602"/>
        <v>122.23750000000001</v>
      </c>
      <c r="EV449" s="4">
        <f t="shared" si="1385"/>
        <v>2.6732069131244312E-5</v>
      </c>
      <c r="EW449" s="4">
        <f t="shared" si="1564"/>
        <v>6.1315963544198961</v>
      </c>
      <c r="EX449" s="4">
        <f t="shared" si="1422"/>
        <v>512.94653508446061</v>
      </c>
      <c r="FG449" s="23">
        <f t="shared" si="1329"/>
        <v>1.6</v>
      </c>
      <c r="FH449" s="23">
        <f t="shared" si="1329"/>
        <v>1.2</v>
      </c>
      <c r="FI449" s="23">
        <f t="shared" si="1526"/>
        <v>1.4</v>
      </c>
      <c r="FJ449" s="23">
        <f t="shared" si="1330"/>
        <v>2</v>
      </c>
      <c r="FK449" s="23">
        <f t="shared" si="1330"/>
        <v>1.4</v>
      </c>
      <c r="FL449" s="23">
        <f t="shared" si="1330"/>
        <v>1.4</v>
      </c>
      <c r="FM449" s="23">
        <f t="shared" si="1478"/>
        <v>0</v>
      </c>
      <c r="FN449" s="23"/>
      <c r="FX449" s="4">
        <f t="shared" si="1386"/>
        <v>1</v>
      </c>
      <c r="FY449" s="4">
        <f t="shared" si="1429"/>
        <v>0.58529808838216824</v>
      </c>
      <c r="FZ449" s="4">
        <f t="shared" si="1387"/>
        <v>0.16766426906761905</v>
      </c>
      <c r="GA449" s="4">
        <f t="shared" si="1388"/>
        <v>503.29774527009243</v>
      </c>
    </row>
    <row r="450" spans="1:183" ht="12" customHeight="1" x14ac:dyDescent="0.3">
      <c r="B450" s="14"/>
      <c r="C450" s="14"/>
      <c r="D450" s="14"/>
      <c r="E450" s="14"/>
      <c r="F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K450" s="7"/>
      <c r="AL450" s="7"/>
      <c r="AM450" s="7"/>
      <c r="AN450" s="7"/>
      <c r="AO450" s="7"/>
      <c r="AP450" s="7"/>
      <c r="AQ450" s="39"/>
      <c r="AR450" s="39"/>
      <c r="AS450" s="39"/>
      <c r="AU450" s="39"/>
      <c r="AV450" s="39"/>
      <c r="AW450" s="7"/>
      <c r="BV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FG450" s="23"/>
      <c r="FH450" s="23"/>
      <c r="FI450" s="23"/>
      <c r="FJ450" s="23"/>
      <c r="FK450" s="23"/>
      <c r="FL450" s="23"/>
      <c r="FM450" s="23"/>
      <c r="FN450" s="23"/>
    </row>
    <row r="451" spans="1:183" ht="12" customHeight="1" x14ac:dyDescent="0.3">
      <c r="B451" s="14"/>
      <c r="C451" s="14"/>
      <c r="D451" s="14"/>
      <c r="E451" s="14"/>
      <c r="F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K451" s="7"/>
      <c r="AL451" s="7"/>
      <c r="AM451" s="7"/>
      <c r="AN451" s="7"/>
      <c r="AO451" s="7"/>
      <c r="AP451" s="7"/>
      <c r="AQ451" s="39"/>
      <c r="AR451" s="39"/>
      <c r="AS451" s="39"/>
      <c r="AU451" s="39"/>
      <c r="AV451" s="39"/>
      <c r="AW451" s="7"/>
      <c r="BV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FG451" s="23"/>
      <c r="FH451" s="23"/>
      <c r="FI451" s="23"/>
      <c r="FJ451" s="23"/>
      <c r="FK451" s="23"/>
      <c r="FL451" s="23"/>
      <c r="FM451" s="23"/>
      <c r="FN451" s="23"/>
    </row>
    <row r="452" spans="1:183" ht="12" customHeight="1" x14ac:dyDescent="0.3">
      <c r="B452" s="14"/>
      <c r="C452" s="14"/>
      <c r="D452" s="14"/>
      <c r="E452" s="14"/>
      <c r="F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K452" s="7"/>
      <c r="AL452" s="7"/>
      <c r="AM452" s="7"/>
      <c r="AN452" s="7"/>
      <c r="AO452" s="7"/>
      <c r="AP452" s="7"/>
      <c r="AQ452" s="39"/>
      <c r="AR452" s="39"/>
      <c r="AS452" s="39"/>
      <c r="AU452" s="39"/>
      <c r="AV452" s="39"/>
      <c r="AW452" s="7"/>
      <c r="BV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FG452" s="23"/>
      <c r="FH452" s="23"/>
      <c r="FI452" s="23"/>
      <c r="FJ452" s="23"/>
      <c r="FK452" s="23"/>
      <c r="FL452" s="23"/>
      <c r="FM452" s="23"/>
      <c r="FN452" s="23"/>
    </row>
    <row r="453" spans="1:183" ht="12" customHeight="1" x14ac:dyDescent="0.3">
      <c r="B453" s="14"/>
      <c r="C453" s="14"/>
      <c r="D453" s="14"/>
      <c r="E453" s="14"/>
      <c r="F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K453" s="7"/>
      <c r="AL453" s="7"/>
      <c r="AM453" s="7"/>
      <c r="AN453" s="7"/>
      <c r="AO453" s="7"/>
      <c r="AP453" s="7"/>
      <c r="AQ453" s="39"/>
      <c r="AR453" s="39"/>
      <c r="AS453" s="39"/>
      <c r="AU453" s="39"/>
      <c r="AV453" s="39"/>
      <c r="AW453" s="7"/>
      <c r="BV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FG453" s="23"/>
      <c r="FH453" s="23"/>
      <c r="FI453" s="23"/>
      <c r="FJ453" s="23"/>
      <c r="FK453" s="23"/>
      <c r="FL453" s="23"/>
      <c r="FM453" s="23"/>
      <c r="FN453" s="23"/>
    </row>
    <row r="454" spans="1:183" ht="12" customHeight="1" x14ac:dyDescent="0.3">
      <c r="B454" s="14"/>
      <c r="C454" s="14"/>
      <c r="D454" s="14"/>
      <c r="E454" s="14"/>
      <c r="F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K454" s="7"/>
      <c r="AL454" s="7"/>
      <c r="AM454" s="7"/>
      <c r="AN454" s="7"/>
      <c r="AO454" s="7"/>
      <c r="AP454" s="7"/>
      <c r="AQ454" s="39"/>
      <c r="AR454" s="39"/>
      <c r="AS454" s="39"/>
      <c r="AU454" s="39"/>
      <c r="AV454" s="39"/>
      <c r="AW454" s="7"/>
      <c r="BV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FG454" s="23"/>
      <c r="FH454" s="23"/>
      <c r="FI454" s="23"/>
      <c r="FJ454" s="23"/>
      <c r="FK454" s="23"/>
      <c r="FL454" s="23"/>
      <c r="FM454" s="23"/>
      <c r="FN454" s="23"/>
    </row>
    <row r="455" spans="1:183" ht="12" customHeight="1" x14ac:dyDescent="0.3">
      <c r="B455" s="14"/>
      <c r="C455" s="14"/>
      <c r="D455" s="14"/>
      <c r="E455" s="14"/>
      <c r="F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K455" s="7"/>
      <c r="AL455" s="7"/>
      <c r="AM455" s="7"/>
      <c r="AN455" s="7"/>
      <c r="AO455" s="7"/>
      <c r="AP455" s="7"/>
      <c r="AQ455" s="39"/>
      <c r="AR455" s="39"/>
      <c r="AS455" s="39"/>
      <c r="AU455" s="39"/>
      <c r="AV455" s="39"/>
      <c r="AW455" s="7"/>
      <c r="BV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FG455" s="23"/>
      <c r="FH455" s="23"/>
      <c r="FI455" s="23"/>
      <c r="FJ455" s="23"/>
      <c r="FK455" s="23"/>
      <c r="FL455" s="23"/>
      <c r="FM455" s="23"/>
      <c r="FN455" s="23"/>
    </row>
    <row r="456" spans="1:183" ht="12" customHeight="1" x14ac:dyDescent="0.3">
      <c r="B456" s="14"/>
      <c r="C456" s="14"/>
      <c r="D456" s="14"/>
      <c r="E456" s="14"/>
      <c r="F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K456" s="7"/>
      <c r="AL456" s="7"/>
      <c r="AM456" s="7"/>
      <c r="AN456" s="7"/>
      <c r="AO456" s="7"/>
      <c r="AP456" s="7"/>
      <c r="AQ456" s="39"/>
      <c r="AR456" s="39"/>
      <c r="AS456" s="39"/>
      <c r="AU456" s="39"/>
      <c r="AV456" s="39"/>
      <c r="AW456" s="7"/>
      <c r="BV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FG456" s="23"/>
      <c r="FH456" s="23"/>
      <c r="FI456" s="23"/>
      <c r="FJ456" s="23"/>
      <c r="FK456" s="23"/>
      <c r="FL456" s="23"/>
      <c r="FM456" s="23"/>
      <c r="FN456" s="23"/>
    </row>
    <row r="457" spans="1:183" ht="12" customHeight="1" x14ac:dyDescent="0.3">
      <c r="B457" s="14"/>
      <c r="C457" s="14"/>
      <c r="D457" s="14"/>
      <c r="E457" s="14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K457" s="7"/>
      <c r="AL457" s="7"/>
      <c r="AM457" s="7"/>
      <c r="AN457" s="7"/>
      <c r="AO457" s="7"/>
      <c r="AP457" s="7"/>
      <c r="AQ457" s="39"/>
      <c r="AR457" s="39"/>
      <c r="AS457" s="39"/>
      <c r="AU457" s="39"/>
      <c r="AV457" s="39"/>
      <c r="AW457" s="7"/>
      <c r="BV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FG457" s="23"/>
      <c r="FH457" s="23"/>
      <c r="FI457" s="23"/>
      <c r="FJ457" s="23"/>
      <c r="FK457" s="23"/>
      <c r="FL457" s="23"/>
      <c r="FM457" s="23"/>
      <c r="FN457" s="23"/>
    </row>
    <row r="458" spans="1:183" ht="12" customHeight="1" x14ac:dyDescent="0.3">
      <c r="B458" s="14"/>
      <c r="C458" s="14"/>
      <c r="D458" s="14"/>
      <c r="E458" s="14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K458" s="7"/>
      <c r="AL458" s="7"/>
      <c r="AM458" s="7"/>
      <c r="AN458" s="7"/>
      <c r="AO458" s="7"/>
      <c r="AP458" s="7"/>
      <c r="AQ458" s="39"/>
      <c r="AR458" s="39"/>
      <c r="AS458" s="39"/>
      <c r="AU458" s="39"/>
      <c r="AV458" s="39"/>
      <c r="AW458" s="7"/>
      <c r="BV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FG458" s="23"/>
      <c r="FH458" s="23"/>
      <c r="FI458" s="23"/>
      <c r="FJ458" s="23"/>
      <c r="FK458" s="23"/>
      <c r="FL458" s="23"/>
      <c r="FM458" s="23"/>
      <c r="FN458" s="23"/>
    </row>
    <row r="459" spans="1:183" ht="12" customHeight="1" x14ac:dyDescent="0.3">
      <c r="B459" s="14"/>
      <c r="C459" s="14"/>
      <c r="D459" s="14"/>
      <c r="E459" s="14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K459" s="7"/>
      <c r="AL459" s="7"/>
      <c r="AM459" s="7"/>
      <c r="AN459" s="7"/>
      <c r="AO459" s="7"/>
      <c r="AP459" s="7"/>
      <c r="AQ459" s="39"/>
      <c r="AR459" s="39"/>
      <c r="AS459" s="39"/>
      <c r="AU459" s="39"/>
      <c r="AV459" s="39"/>
      <c r="AW459" s="7"/>
      <c r="BV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FG459" s="23"/>
      <c r="FH459" s="23"/>
      <c r="FI459" s="23"/>
      <c r="FJ459" s="23"/>
      <c r="FK459" s="23"/>
      <c r="FL459" s="23"/>
      <c r="FM459" s="23"/>
      <c r="FN459" s="23"/>
    </row>
    <row r="460" spans="1:183" ht="12" customHeight="1" x14ac:dyDescent="0.3">
      <c r="B460" s="14"/>
      <c r="C460" s="14"/>
      <c r="D460" s="14"/>
      <c r="E460" s="14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K460" s="7"/>
      <c r="AL460" s="7"/>
      <c r="AM460" s="7"/>
      <c r="AN460" s="7"/>
      <c r="AO460" s="7"/>
      <c r="AP460" s="7"/>
      <c r="AQ460" s="39"/>
      <c r="AR460" s="39"/>
      <c r="AS460" s="39"/>
      <c r="AU460" s="39"/>
      <c r="AV460" s="39"/>
      <c r="AW460" s="7"/>
      <c r="BV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FG460" s="23"/>
      <c r="FH460" s="23"/>
      <c r="FI460" s="23"/>
      <c r="FJ460" s="23"/>
      <c r="FK460" s="23"/>
      <c r="FL460" s="23"/>
      <c r="FM460" s="23"/>
      <c r="FN460" s="23"/>
    </row>
    <row r="461" spans="1:183" ht="12" customHeight="1" x14ac:dyDescent="0.3">
      <c r="B461" s="14"/>
      <c r="C461" s="14"/>
      <c r="D461" s="14"/>
      <c r="E461" s="14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K461" s="7"/>
      <c r="AL461" s="7"/>
      <c r="AM461" s="7"/>
      <c r="AN461" s="7"/>
      <c r="AO461" s="7"/>
      <c r="AP461" s="7"/>
      <c r="AQ461" s="39"/>
      <c r="AR461" s="39"/>
      <c r="AS461" s="39"/>
      <c r="AU461" s="39"/>
      <c r="AV461" s="39"/>
      <c r="AW461" s="7"/>
      <c r="BV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FG461" s="23"/>
      <c r="FH461" s="23"/>
      <c r="FI461" s="23"/>
      <c r="FJ461" s="23"/>
      <c r="FK461" s="23"/>
      <c r="FL461" s="23"/>
      <c r="FM461" s="23"/>
      <c r="FN461" s="23"/>
    </row>
    <row r="462" spans="1:183" ht="12" customHeight="1" x14ac:dyDescent="0.3">
      <c r="B462" s="14"/>
      <c r="C462" s="14"/>
      <c r="D462" s="14"/>
      <c r="E462" s="14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K462" s="7"/>
      <c r="AL462" s="7"/>
      <c r="AM462" s="7"/>
      <c r="AN462" s="7"/>
      <c r="AO462" s="7"/>
      <c r="AP462" s="7"/>
      <c r="AQ462" s="39"/>
      <c r="AR462" s="39"/>
      <c r="AS462" s="39"/>
      <c r="AU462" s="39"/>
      <c r="AV462" s="39"/>
      <c r="AW462" s="7"/>
      <c r="BV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FG462" s="23"/>
      <c r="FH462" s="23"/>
      <c r="FI462" s="23"/>
      <c r="FJ462" s="23"/>
      <c r="FK462" s="23"/>
      <c r="FL462" s="23"/>
      <c r="FM462" s="23"/>
      <c r="FN462" s="23"/>
    </row>
    <row r="463" spans="1:183" ht="12" customHeight="1" x14ac:dyDescent="0.3">
      <c r="B463" s="14"/>
      <c r="C463" s="14"/>
      <c r="D463" s="14"/>
      <c r="E463" s="14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K463" s="7"/>
      <c r="AL463" s="7"/>
      <c r="AM463" s="7"/>
      <c r="AN463" s="7"/>
      <c r="AO463" s="7"/>
      <c r="AP463" s="7"/>
      <c r="AQ463" s="39"/>
      <c r="AR463" s="39"/>
      <c r="AS463" s="39"/>
      <c r="AU463" s="39"/>
      <c r="AV463" s="39"/>
      <c r="AW463" s="7"/>
      <c r="BV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FG463" s="23"/>
      <c r="FH463" s="23"/>
      <c r="FI463" s="23"/>
      <c r="FJ463" s="23"/>
      <c r="FK463" s="23"/>
      <c r="FL463" s="23"/>
      <c r="FM463" s="23"/>
      <c r="FN463" s="23"/>
    </row>
    <row r="464" spans="1:183" ht="12" customHeight="1" x14ac:dyDescent="0.3">
      <c r="B464" s="14"/>
      <c r="C464" s="14"/>
      <c r="D464" s="14"/>
      <c r="E464" s="14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K464" s="7"/>
      <c r="AL464" s="7"/>
      <c r="AM464" s="7"/>
      <c r="AN464" s="7"/>
      <c r="AO464" s="7"/>
      <c r="AP464" s="7"/>
      <c r="AQ464" s="39"/>
      <c r="AR464" s="39"/>
      <c r="AS464" s="39"/>
      <c r="AU464" s="39"/>
      <c r="AV464" s="39"/>
      <c r="AW464" s="7"/>
      <c r="BV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FG464" s="23"/>
      <c r="FH464" s="23"/>
      <c r="FI464" s="23"/>
      <c r="FJ464" s="23"/>
      <c r="FK464" s="23"/>
      <c r="FL464" s="23"/>
      <c r="FM464" s="23"/>
      <c r="FN464" s="23"/>
    </row>
    <row r="465" spans="1:183" ht="12" customHeight="1" x14ac:dyDescent="0.3">
      <c r="B465" s="14" t="s">
        <v>605</v>
      </c>
      <c r="C465" s="14"/>
      <c r="D465" s="14" t="s">
        <v>365</v>
      </c>
      <c r="E465" s="14"/>
      <c r="F465" s="43" t="s">
        <v>623</v>
      </c>
      <c r="G465" s="38">
        <f t="shared" ref="G465:G496" si="1612">129/0.145</f>
        <v>889.65517241379314</v>
      </c>
      <c r="H465" s="45">
        <v>203.2</v>
      </c>
      <c r="I465" s="4">
        <f t="shared" ref="I465:I496" si="1613">H465</f>
        <v>203.2</v>
      </c>
      <c r="J465" s="45">
        <v>48.551724137931032</v>
      </c>
      <c r="K465" s="7">
        <v>25.4</v>
      </c>
      <c r="L465" s="7">
        <f t="shared" ref="L465:L496" si="1614">H465/K465</f>
        <v>8</v>
      </c>
      <c r="M465" s="7">
        <f t="shared" ref="M465:M496" si="1615">I465/K465</f>
        <v>8</v>
      </c>
      <c r="N465" s="45">
        <v>1219.1999999999998</v>
      </c>
      <c r="O465" s="45">
        <v>596.9</v>
      </c>
      <c r="P465" s="45">
        <v>596.9</v>
      </c>
      <c r="Q465" s="7"/>
      <c r="R465" s="38">
        <v>1</v>
      </c>
      <c r="T465" s="7">
        <f>MIN(O465/K465+0.5)</f>
        <v>24</v>
      </c>
      <c r="U465" s="7">
        <f t="shared" ref="U465:U496" si="1616">O465/K465+0.5</f>
        <v>24</v>
      </c>
      <c r="V465" s="45">
        <v>9.5</v>
      </c>
      <c r="W465" s="4">
        <f t="shared" ref="W465:W496" si="1617">V465</f>
        <v>9.5</v>
      </c>
      <c r="X465" s="4">
        <f t="shared" ref="X465:X496" si="1618">W465+1</f>
        <v>10.5</v>
      </c>
      <c r="Y465" s="7">
        <f t="shared" ref="Y465:Y496" si="1619">K465*X465^0.5</f>
        <v>82.305406869779816</v>
      </c>
      <c r="AB465" s="45">
        <v>572.41379310344837</v>
      </c>
      <c r="AE465" s="38">
        <f>25.4*5/8</f>
        <v>15.875</v>
      </c>
      <c r="AF465" s="38">
        <v>4</v>
      </c>
      <c r="AG465" s="39">
        <f>6*25.4</f>
        <v>152.39999999999998</v>
      </c>
      <c r="AH465" s="39">
        <v>2</v>
      </c>
      <c r="AI465" s="39"/>
      <c r="AK465" s="4">
        <f t="shared" ref="AK465:AK496" si="1620">H465</f>
        <v>203.2</v>
      </c>
      <c r="AL465" s="4">
        <f t="shared" ref="AL465:AL496" si="1621">MIN(9*H465^2,MIN(N465,3*H465)*(3*H465))/(9*H465^2)</f>
        <v>0.99999999999999989</v>
      </c>
      <c r="AM465" s="4">
        <f t="shared" ref="AM465:AM496" si="1622">MIN(10*J465^0.5*H465^1.5,100*3.9*J465^0.5*H465^(5/3))/(PI()/4*K465^2)/R465</f>
        <v>398.31858389679627</v>
      </c>
      <c r="AN465" s="4">
        <f t="shared" ref="AN465:AN496" si="1623">MIN(0.7+0.3*(O465+K465/2)/1.5/H465,1)</f>
        <v>1</v>
      </c>
      <c r="AO465" s="4">
        <v>1.25</v>
      </c>
      <c r="AP465" s="4">
        <v>1</v>
      </c>
      <c r="AQ465" s="38">
        <f t="shared" ref="AQ465:AQ496" si="1624">AL465*AN465*AO465*AP465*AM465</f>
        <v>497.89822987099524</v>
      </c>
      <c r="AR465" s="38">
        <f>AS465*H465*(PI()*H465*1)*MIN(1, (300/(H465+P465))^0.25)/ (PI()/4*K465^2)/R465/1.25</f>
        <v>639.85547595156208</v>
      </c>
      <c r="AS465" s="38">
        <f t="shared" ref="AS465:AS496" si="1625">IF(J465&lt;50, 0.3*J465^(2/3), 2.12*LN(1+0.1*(J465+8)))</f>
        <v>3.9926173774513112</v>
      </c>
      <c r="AX465" s="4">
        <f t="shared" ref="AX465:AX496" si="1626">I465/K465*J465^0.5/0.19</f>
        <v>293.3855463448877</v>
      </c>
      <c r="AY465" s="4">
        <f t="shared" ref="AY465:AY496" si="1627">MIN(0.6+0.4*(U465/T465),2)</f>
        <v>1</v>
      </c>
      <c r="AZ465" s="38">
        <f t="shared" ref="AZ465:AZ496" si="1628">2*J465*T465*V465^0.5*AY465*0.7/0.7</f>
        <v>7183.0302754595714</v>
      </c>
      <c r="BA465" s="4">
        <f t="shared" ref="BA465:BA496" si="1629">MAX(1-0.7*W465/5,0.3)</f>
        <v>0.3</v>
      </c>
      <c r="BB465" s="4">
        <f t="shared" ref="BB465:BB496" si="1630">BA465*G465*I465/(G465*K465/2.75/J465^0.5)</f>
        <v>45.988184389561141</v>
      </c>
      <c r="BC465" s="4">
        <f t="shared" ref="BC465:BC496" si="1631">AZ465+BB465</f>
        <v>7229.0184598491323</v>
      </c>
      <c r="BE465" s="4">
        <f t="shared" ref="BE465:BE496" si="1632">MIN(1.5, 0.75+0.25*MIN(3,MAX(1,O465/K465))+0.4*MIN(1,(40*2*PI()*AE465^2/4/AG465/R465)/K465))</f>
        <v>1.5</v>
      </c>
      <c r="BF465" s="4">
        <f t="shared" ref="BF465:BF496" si="1633">(3*M465+30)*BE465*J465^0.5</f>
        <v>564.40044478097775</v>
      </c>
      <c r="BH465" s="4">
        <f t="shared" ref="BH465:BH496" si="1634">3.4/PI()^0.5*J465*T465*W465^0.5*AY465</f>
        <v>6889.4044615281846</v>
      </c>
      <c r="BI465" s="4">
        <f t="shared" ref="BI465:BI496" si="1635">8/3*Z465*AA465^2/(Y465-K465-22)/K465*(Y465^2-K465^2)/(Y465^2-(K465+22)^2)</f>
        <v>0</v>
      </c>
      <c r="BJ465" s="4">
        <f t="shared" ref="BJ465:BJ496" si="1636">BI465/BH465</f>
        <v>0</v>
      </c>
      <c r="BR465" s="4">
        <f t="shared" ref="BR465:BR496" si="1637">IF(Q465=0,O465,MIN(Q465/2,O465))</f>
        <v>596.9</v>
      </c>
      <c r="BV465" s="9"/>
      <c r="BX465" s="9"/>
      <c r="BY465" s="9"/>
      <c r="BZ465" s="9">
        <f t="shared" ref="BZ465:BZ496" si="1638">IF(Q465=0,MIN(O465,P465),MIN(Q465/2,O465,P465))</f>
        <v>596.9</v>
      </c>
      <c r="CA465" s="9">
        <f t="shared" ref="CA465:CA496" si="1639">MAX(Q465/2,O465)</f>
        <v>596.9</v>
      </c>
      <c r="CB465" s="9">
        <f t="shared" ref="CB465:CB496" si="1640">(BZ465/K465)^0.5*(CA465/BZ465)^0.15</f>
        <v>4.8476798574163293</v>
      </c>
      <c r="CC465" s="40">
        <f t="shared" ref="CC465:CC496" si="1641">IF(AG465&gt;1,20,0)</f>
        <v>20</v>
      </c>
      <c r="CD465" s="9">
        <f t="shared" ref="CD465:CD496" si="1642">MIN(PI()*AE465^2/4*AF465*2/R465/K465/MAX(0.01,AG465),0.05)</f>
        <v>0.05</v>
      </c>
      <c r="CE465" s="9">
        <f t="shared" ref="CE465:CE496" si="1643">MAX(0,CC465*(CD465-0.5/50))</f>
        <v>0.8</v>
      </c>
      <c r="CF465" s="9">
        <f t="shared" ref="CF465:CF496" si="1644">MIN(1,(25/K465)^0.3)</f>
        <v>0.99524931562137331</v>
      </c>
      <c r="CG465" s="9">
        <f t="shared" ref="CG465:CG496" si="1645">IF(G465&gt;=800,0.68,IF(G465&gt;=700,0.75-(G465-700)*0.07/100,IF(G465&gt;=600,0.85-(G465-600)*0.1/100,IF(G465&gt;=500,1-(G465-500)*0.15/100,1.2-(G465-400)*0.2/100))))</f>
        <v>0.68</v>
      </c>
      <c r="CH465" s="9">
        <f t="shared" ref="CH465:CH496" si="1646">1.75*CF465*CG465*(J465/25)^0.5</f>
        <v>1.6504834472137122</v>
      </c>
      <c r="CI465" s="9">
        <f t="shared" ref="CI465:CI496" si="1647">MIN((CB465+CE465)*CH465,2.5*CH465,J465^0.5)</f>
        <v>4.1262086180342807</v>
      </c>
      <c r="CJ465" s="40">
        <v>1</v>
      </c>
      <c r="CK465" s="9">
        <f t="shared" ref="CK465:CK496" si="1648">4*CI465*M465+60*CI465</f>
        <v>379.61119285915379</v>
      </c>
      <c r="DI465" s="4">
        <f t="shared" ref="DI465:DI496" si="1649">I465</f>
        <v>203.2</v>
      </c>
      <c r="DL465" s="4">
        <f t="shared" ref="DL465:DL496" si="1650">H465/4/(1-0.3*(J465/30)^0.5)/200000/K465</f>
        <v>1.617201772180078E-5</v>
      </c>
      <c r="DM465" s="4">
        <f t="shared" ref="DM465:DM496" si="1651">EH465</f>
        <v>10.690419306030725</v>
      </c>
      <c r="DN465" s="4">
        <f t="shared" ref="DN465:DN496" si="1652">EQ465</f>
        <v>0.44353052005319737</v>
      </c>
      <c r="DO465" s="4">
        <f t="shared" ref="DO465:DO496" si="1653">DM465*DN465^0.4</f>
        <v>7.7226107205649352</v>
      </c>
      <c r="DP465" s="4">
        <f t="shared" ref="DP465:DP496" si="1654">MIN(DM465, DM465/1.4*(1-DN465^1.4)/(1-DN465))</f>
        <v>9.3256375606551067</v>
      </c>
      <c r="DQ465" s="4">
        <f t="shared" ref="DQ465:DQ496" si="1655">MAX(DM465/2, (4-DL465*(8*Y465*(DO465-DP465)+6*H465*DP465))/(4+DL465*H465*DM465)*DM465)</f>
        <v>10.155429056789377</v>
      </c>
      <c r="DR465" s="38">
        <f t="shared" ref="DR465:DR496" si="1656">MIN(1/K465*(4*Y465*(DO465-DP465)+(3*DP465+DQ465)*H465)+MIN(DT$10*AR465, DT$11/0.7*2.8*J465*T465*W465^0.5*MIN(0.3+0.2*U465/T465,1)) -FB465,MAX(G465,AB465))</f>
        <v>889.65517241379314</v>
      </c>
      <c r="DS465" s="4">
        <f t="shared" ref="DS465:DS496" si="1657">DR465/EX465</f>
        <v>1</v>
      </c>
      <c r="DT465" s="4">
        <f t="shared" ref="DT465:DT496" si="1658">Y465/K465</f>
        <v>3.2403703492039297</v>
      </c>
      <c r="DU465" s="4">
        <f t="shared" ref="DU465:DU496" si="1659">MIN(DT$10*AR465, DT$11*AZ465)</f>
        <v>639.85547595156208</v>
      </c>
      <c r="DY465" s="4">
        <f t="shared" ref="DY465:DY496" si="1660">IF(P465&gt;1*K465,0.85,1)</f>
        <v>0.85</v>
      </c>
      <c r="DZ465" s="4">
        <f t="shared" ref="DZ465:DZ496" si="1661">MIN(1,MAX(0.7,(1-0.1*(BR465-1*K465)/K465)))</f>
        <v>0.7</v>
      </c>
      <c r="EA465" s="4">
        <f t="shared" ref="EA465:EA496" si="1662">MIN(1,MAX(0.7,1-0.3*(PI()*AE465^2/4*AI465*2-0.25*PI()/4*K465^2)/(PI()/4*K465^2)))</f>
        <v>1</v>
      </c>
      <c r="EB465" s="4">
        <f t="shared" ref="EB465:EB496" si="1663">IF(DZ465*EA465&lt;0.7,0.7,DZ465*EA465)</f>
        <v>0.7</v>
      </c>
      <c r="ED465" s="4">
        <f t="shared" ref="ED465:ED496" si="1664">MIN(DM465/K465*(3.1*H465-0*1.4*K465)+2.8*J465*T465-FB465,MAX(G465,AB465))</f>
        <v>889.65517241379314</v>
      </c>
      <c r="EH465" s="4">
        <f t="shared" ref="EH465:EH496" si="1665">IF(K465&lt;22.2,1.1*5*(J465/30)^0.5,IF(K465&gt;=31.8,0.9*5*(J465/30)^0.5,1*5*(J465/30)^0.5))/EB465/DY465</f>
        <v>10.690419306030725</v>
      </c>
      <c r="EK465" s="4">
        <f t="shared" ref="EK465:EK496" si="1666">EL465*K465</f>
        <v>82.305406869779816</v>
      </c>
      <c r="EL465" s="4">
        <f t="shared" ref="EL465:EL496" si="1667">X465^0.5</f>
        <v>3.2403703492039302</v>
      </c>
      <c r="EM465" s="4">
        <f t="shared" ref="EM465:EM496" si="1668">MIN(DU465)/(4700*J465^0.5)/W465*EK465</f>
        <v>0.16927252226774256</v>
      </c>
      <c r="EP465" s="4">
        <f t="shared" ref="EP465:EP496" si="1669">EM465</f>
        <v>0.16927252226774256</v>
      </c>
      <c r="EQ465" s="4">
        <f t="shared" ref="EQ465:EQ496" si="1670">MIN(0.999, EP465/(0.3*(J465/30)^0.5))</f>
        <v>0.44353052005319737</v>
      </c>
      <c r="ER465" s="4">
        <f t="shared" ref="ER465:ER496" si="1671">EH465/1*EQ465^0.4</f>
        <v>7.7226107205649352</v>
      </c>
      <c r="ES465" s="4">
        <f t="shared" ref="ES465:ES496" si="1672">EH465/1.4*(1-EQ465^1.4)/(1-EQ465)</f>
        <v>9.3256375606551067</v>
      </c>
      <c r="ET465" s="4">
        <f t="shared" ref="ET465:ET496" si="1673">MAX(0,DI465*ET$9-EK465)</f>
        <v>70.094593130220161</v>
      </c>
      <c r="EU465" s="4">
        <f t="shared" ref="EU465:EU496" si="1674">MAX(0,DI465-EK465-ET465)</f>
        <v>50.800000000000011</v>
      </c>
      <c r="EV465" s="4">
        <f t="shared" ref="EV465:EV496" si="1675">EU465/(1-0.3*(J465/30)^0.5)/200000/K465</f>
        <v>1.617201772180078E-5</v>
      </c>
      <c r="EW465" s="4">
        <f t="shared" ref="EW465:EW496" si="1676">MAX(0.5*EH465, (1-2*EV465*(EK465*ER465+ET465*ES465))/(1/EH465+EV465*EU465))</f>
        <v>10.155429056789377</v>
      </c>
      <c r="EX465" s="4">
        <f t="shared" ref="EX465:EX496" si="1677">MIN(4/K465*(1*ER465*EK465+ES465*ET465+EU465*EW465)+DU465,MAX(G465,AB465))</f>
        <v>889.65517241379314</v>
      </c>
      <c r="FG465" s="23"/>
      <c r="FH465" s="23"/>
      <c r="FI465" s="23"/>
      <c r="FJ465" s="23"/>
      <c r="FK465" s="23"/>
      <c r="FL465" s="23"/>
      <c r="FM465" s="23"/>
      <c r="FN465" s="23"/>
      <c r="FX465" s="4">
        <f t="shared" ref="FX465:FX496" si="1678">IF(O465&gt;=2.5*25.4,1,1.25)</f>
        <v>1</v>
      </c>
      <c r="FY465" s="4">
        <f t="shared" ref="FY465:FY496" si="1679">IF(AG465&gt;1, 0.05*(18-MIN(8,(Q465+K465)/K465))*(1-48000/MAX(60000,(G465*145))*(K465/25.4)^0.75*FZ465), 1/12*(14-MIN(8,(Q465+K465)/K465)))</f>
        <v>0.75511627906976753</v>
      </c>
      <c r="FZ465" s="4">
        <f t="shared" ref="FZ465:FZ496" si="1680">MIN(0.3, AE465^2*PI()/4*2*AH465/(K465^2*PI()/4*R465))</f>
        <v>0.3</v>
      </c>
      <c r="GA465" s="4">
        <f t="shared" ref="GA465:GA496" si="1681">(H465/25.4)/(K465/25.4)^1.5/0.0024*(J465*145)^0.25/FX465/FY465/145</f>
        <v>278.86247321680872</v>
      </c>
    </row>
    <row r="466" spans="1:183" ht="12" customHeight="1" x14ac:dyDescent="0.3">
      <c r="B466" s="14" t="s">
        <v>605</v>
      </c>
      <c r="C466" s="14"/>
      <c r="D466" s="14" t="s">
        <v>365</v>
      </c>
      <c r="E466" s="14"/>
      <c r="F466" s="43" t="s">
        <v>623</v>
      </c>
      <c r="G466" s="38">
        <f t="shared" si="1612"/>
        <v>889.65517241379314</v>
      </c>
      <c r="H466" s="45">
        <v>210.82</v>
      </c>
      <c r="I466" s="4">
        <f t="shared" si="1613"/>
        <v>210.82</v>
      </c>
      <c r="J466" s="45">
        <v>48.551724137931032</v>
      </c>
      <c r="K466" s="7">
        <v>25.4</v>
      </c>
      <c r="L466" s="7">
        <f t="shared" si="1614"/>
        <v>8.3000000000000007</v>
      </c>
      <c r="M466" s="7">
        <f t="shared" si="1615"/>
        <v>8.3000000000000007</v>
      </c>
      <c r="N466" s="45">
        <v>1219.1999999999998</v>
      </c>
      <c r="O466" s="45">
        <v>596.9</v>
      </c>
      <c r="P466" s="45">
        <v>596.9</v>
      </c>
      <c r="Q466" s="7"/>
      <c r="R466" s="38">
        <v>1</v>
      </c>
      <c r="T466" s="7">
        <f t="shared" ref="T466:T496" si="1682">MIN(O466/K466+0.5)</f>
        <v>24</v>
      </c>
      <c r="U466" s="7">
        <f t="shared" si="1616"/>
        <v>24</v>
      </c>
      <c r="V466" s="45">
        <v>9.5</v>
      </c>
      <c r="W466" s="4">
        <f t="shared" si="1617"/>
        <v>9.5</v>
      </c>
      <c r="X466" s="4">
        <f t="shared" si="1618"/>
        <v>10.5</v>
      </c>
      <c r="Y466" s="7">
        <f t="shared" si="1619"/>
        <v>82.305406869779816</v>
      </c>
      <c r="AB466" s="45">
        <v>591.72413793103453</v>
      </c>
      <c r="AE466" s="38"/>
      <c r="AF466" s="38"/>
      <c r="AG466" s="39">
        <v>1</v>
      </c>
      <c r="AH466" s="39"/>
      <c r="AI466" s="39"/>
      <c r="AK466" s="4">
        <f t="shared" si="1620"/>
        <v>210.82</v>
      </c>
      <c r="AL466" s="4">
        <f t="shared" si="1621"/>
        <v>1</v>
      </c>
      <c r="AM466" s="4">
        <f t="shared" si="1622"/>
        <v>420.93276036185819</v>
      </c>
      <c r="AN466" s="4">
        <f t="shared" si="1623"/>
        <v>1</v>
      </c>
      <c r="AO466" s="4">
        <v>1.25</v>
      </c>
      <c r="AP466" s="4">
        <v>1</v>
      </c>
      <c r="AQ466" s="38">
        <f t="shared" si="1624"/>
        <v>526.1659504523227</v>
      </c>
      <c r="AR466" s="38">
        <f t="shared" ref="AR466:AR496" si="1683">AQ466</f>
        <v>526.1659504523227</v>
      </c>
      <c r="AS466" s="38">
        <f t="shared" si="1625"/>
        <v>3.9926173774513112</v>
      </c>
      <c r="AX466" s="4">
        <f t="shared" si="1626"/>
        <v>304.38750433282104</v>
      </c>
      <c r="AY466" s="4">
        <f t="shared" si="1627"/>
        <v>1</v>
      </c>
      <c r="AZ466" s="38">
        <f t="shared" si="1628"/>
        <v>7183.0302754595714</v>
      </c>
      <c r="BA466" s="4">
        <f t="shared" si="1629"/>
        <v>0.3</v>
      </c>
      <c r="BB466" s="4">
        <f t="shared" si="1630"/>
        <v>47.712741304169683</v>
      </c>
      <c r="BC466" s="4">
        <f t="shared" si="1631"/>
        <v>7230.7430167637413</v>
      </c>
      <c r="BE466" s="4">
        <f t="shared" si="1632"/>
        <v>1.5</v>
      </c>
      <c r="BF466" s="4">
        <f t="shared" si="1633"/>
        <v>573.80711886066081</v>
      </c>
      <c r="BH466" s="4">
        <f t="shared" si="1634"/>
        <v>6889.4044615281846</v>
      </c>
      <c r="BI466" s="4">
        <f t="shared" si="1635"/>
        <v>0</v>
      </c>
      <c r="BJ466" s="4">
        <f t="shared" si="1636"/>
        <v>0</v>
      </c>
      <c r="BR466" s="4">
        <f t="shared" si="1637"/>
        <v>596.9</v>
      </c>
      <c r="BV466" s="9"/>
      <c r="BX466" s="9"/>
      <c r="BY466" s="9"/>
      <c r="BZ466" s="9">
        <f t="shared" si="1638"/>
        <v>596.9</v>
      </c>
      <c r="CA466" s="9">
        <f t="shared" si="1639"/>
        <v>596.9</v>
      </c>
      <c r="CB466" s="9">
        <f t="shared" si="1640"/>
        <v>4.8476798574163293</v>
      </c>
      <c r="CC466" s="40">
        <f t="shared" si="1641"/>
        <v>0</v>
      </c>
      <c r="CD466" s="9">
        <f t="shared" si="1642"/>
        <v>0</v>
      </c>
      <c r="CE466" s="9">
        <f t="shared" si="1643"/>
        <v>0</v>
      </c>
      <c r="CF466" s="9">
        <f t="shared" si="1644"/>
        <v>0.99524931562137331</v>
      </c>
      <c r="CG466" s="9">
        <f t="shared" si="1645"/>
        <v>0.68</v>
      </c>
      <c r="CH466" s="9">
        <f t="shared" si="1646"/>
        <v>1.6504834472137122</v>
      </c>
      <c r="CI466" s="9">
        <f t="shared" si="1647"/>
        <v>4.1262086180342807</v>
      </c>
      <c r="CJ466" s="40">
        <v>1</v>
      </c>
      <c r="CK466" s="9">
        <f t="shared" si="1648"/>
        <v>384.56264320079498</v>
      </c>
      <c r="DI466" s="4">
        <f t="shared" si="1649"/>
        <v>210.82</v>
      </c>
      <c r="DL466" s="4">
        <f t="shared" si="1650"/>
        <v>1.6778468386368307E-5</v>
      </c>
      <c r="DM466" s="4">
        <f t="shared" si="1651"/>
        <v>10.690419306030725</v>
      </c>
      <c r="DN466" s="4">
        <f t="shared" si="1652"/>
        <v>0.36472401410857042</v>
      </c>
      <c r="DO466" s="4">
        <f t="shared" si="1653"/>
        <v>7.1413527097240266</v>
      </c>
      <c r="DP466" s="4">
        <f t="shared" si="1654"/>
        <v>9.0914327666231785</v>
      </c>
      <c r="DQ466" s="4">
        <f t="shared" si="1655"/>
        <v>10.136488236253166</v>
      </c>
      <c r="DR466" s="38">
        <f t="shared" si="1656"/>
        <v>811.39955232234138</v>
      </c>
      <c r="DS466" s="4">
        <f t="shared" si="1657"/>
        <v>1</v>
      </c>
      <c r="DT466" s="4">
        <f t="shared" si="1658"/>
        <v>3.2403703492039297</v>
      </c>
      <c r="DU466" s="4">
        <f t="shared" si="1659"/>
        <v>526.1659504523227</v>
      </c>
      <c r="DY466" s="4">
        <f t="shared" si="1660"/>
        <v>0.85</v>
      </c>
      <c r="DZ466" s="4">
        <f t="shared" si="1661"/>
        <v>0.7</v>
      </c>
      <c r="EA466" s="4">
        <f t="shared" si="1662"/>
        <v>1</v>
      </c>
      <c r="EB466" s="4">
        <f t="shared" si="1663"/>
        <v>0.7</v>
      </c>
      <c r="ED466" s="4">
        <f t="shared" si="1664"/>
        <v>889.65517241379314</v>
      </c>
      <c r="EH466" s="4">
        <f t="shared" si="1665"/>
        <v>10.690419306030725</v>
      </c>
      <c r="EK466" s="4">
        <f t="shared" si="1666"/>
        <v>82.305406869779816</v>
      </c>
      <c r="EL466" s="4">
        <f t="shared" si="1667"/>
        <v>3.2403703492039302</v>
      </c>
      <c r="EM466" s="4">
        <f t="shared" si="1668"/>
        <v>0.13919617931223441</v>
      </c>
      <c r="EP466" s="4">
        <f t="shared" si="1669"/>
        <v>0.13919617931223441</v>
      </c>
      <c r="EQ466" s="4">
        <f t="shared" si="1670"/>
        <v>0.36472401410857042</v>
      </c>
      <c r="ER466" s="4">
        <f t="shared" si="1671"/>
        <v>7.1413527097240266</v>
      </c>
      <c r="ES466" s="4">
        <f t="shared" si="1672"/>
        <v>9.0914327666231785</v>
      </c>
      <c r="ET466" s="4">
        <f t="shared" si="1673"/>
        <v>75.809593130220193</v>
      </c>
      <c r="EU466" s="4">
        <f t="shared" si="1674"/>
        <v>52.704999999999998</v>
      </c>
      <c r="EV466" s="4">
        <f t="shared" si="1675"/>
        <v>1.6778468386368307E-5</v>
      </c>
      <c r="EW466" s="4">
        <f t="shared" si="1676"/>
        <v>10.136488236253166</v>
      </c>
      <c r="EX466" s="4">
        <f t="shared" si="1677"/>
        <v>811.39955232234138</v>
      </c>
      <c r="FG466" s="23"/>
      <c r="FH466" s="23"/>
      <c r="FI466" s="23"/>
      <c r="FJ466" s="23"/>
      <c r="FK466" s="23"/>
      <c r="FL466" s="23"/>
      <c r="FM466" s="23"/>
      <c r="FN466" s="23"/>
      <c r="FX466" s="4">
        <f t="shared" si="1678"/>
        <v>1</v>
      </c>
      <c r="FY466" s="4">
        <f t="shared" si="1679"/>
        <v>1.0833333333333333</v>
      </c>
      <c r="FZ466" s="4">
        <f t="shared" si="1680"/>
        <v>0</v>
      </c>
      <c r="GA466" s="4">
        <f t="shared" si="1681"/>
        <v>201.66471036065258</v>
      </c>
    </row>
    <row r="467" spans="1:183" ht="12" customHeight="1" x14ac:dyDescent="0.3">
      <c r="B467" s="14" t="s">
        <v>605</v>
      </c>
      <c r="C467" s="14"/>
      <c r="D467" s="14" t="s">
        <v>365</v>
      </c>
      <c r="E467" s="14"/>
      <c r="F467" s="43" t="s">
        <v>624</v>
      </c>
      <c r="G467" s="38">
        <f t="shared" si="1612"/>
        <v>889.65517241379314</v>
      </c>
      <c r="H467" s="45">
        <v>215.89999999999998</v>
      </c>
      <c r="I467" s="4">
        <f t="shared" si="1613"/>
        <v>215.89999999999998</v>
      </c>
      <c r="J467" s="45">
        <v>48.551724137931032</v>
      </c>
      <c r="K467" s="7">
        <v>25.4</v>
      </c>
      <c r="L467" s="7">
        <f t="shared" si="1614"/>
        <v>8.5</v>
      </c>
      <c r="M467" s="7">
        <f t="shared" si="1615"/>
        <v>8.5</v>
      </c>
      <c r="N467" s="45">
        <v>1219.1999999999998</v>
      </c>
      <c r="O467" s="45">
        <v>596.9</v>
      </c>
      <c r="P467" s="45">
        <v>596.9</v>
      </c>
      <c r="Q467" s="7"/>
      <c r="R467" s="38">
        <v>1</v>
      </c>
      <c r="T467" s="7">
        <f t="shared" si="1682"/>
        <v>24</v>
      </c>
      <c r="U467" s="7">
        <f t="shared" si="1616"/>
        <v>24</v>
      </c>
      <c r="V467" s="45">
        <v>4</v>
      </c>
      <c r="W467" s="4">
        <f t="shared" si="1617"/>
        <v>4</v>
      </c>
      <c r="X467" s="4">
        <f t="shared" si="1618"/>
        <v>5</v>
      </c>
      <c r="Y467" s="7">
        <f t="shared" si="1619"/>
        <v>56.796126628494655</v>
      </c>
      <c r="AB467" s="45">
        <v>539.31034482758628</v>
      </c>
      <c r="AE467" s="38"/>
      <c r="AF467" s="38"/>
      <c r="AG467" s="39">
        <v>1</v>
      </c>
      <c r="AH467" s="39"/>
      <c r="AI467" s="39"/>
      <c r="AK467" s="4">
        <f t="shared" si="1620"/>
        <v>215.89999999999998</v>
      </c>
      <c r="AL467" s="4">
        <f t="shared" si="1621"/>
        <v>1</v>
      </c>
      <c r="AM467" s="4">
        <f t="shared" si="1622"/>
        <v>436.23848592031243</v>
      </c>
      <c r="AN467" s="4">
        <f t="shared" si="1623"/>
        <v>1</v>
      </c>
      <c r="AO467" s="4">
        <v>1.25</v>
      </c>
      <c r="AP467" s="4">
        <v>1</v>
      </c>
      <c r="AQ467" s="38">
        <f t="shared" si="1624"/>
        <v>545.29810740039056</v>
      </c>
      <c r="AR467" s="38">
        <f t="shared" si="1683"/>
        <v>545.29810740039056</v>
      </c>
      <c r="AS467" s="38">
        <f t="shared" si="1625"/>
        <v>3.9926173774513112</v>
      </c>
      <c r="AX467" s="4">
        <f t="shared" si="1626"/>
        <v>311.72214299144321</v>
      </c>
      <c r="AY467" s="4">
        <f t="shared" si="1627"/>
        <v>1</v>
      </c>
      <c r="AZ467" s="38">
        <f t="shared" si="1628"/>
        <v>4660.9655172413786</v>
      </c>
      <c r="BA467" s="4">
        <f t="shared" si="1629"/>
        <v>0.44000000000000006</v>
      </c>
      <c r="BB467" s="4">
        <f t="shared" si="1630"/>
        <v>71.664920673732794</v>
      </c>
      <c r="BC467" s="4">
        <f t="shared" si="1631"/>
        <v>4732.6304379151115</v>
      </c>
      <c r="BE467" s="4">
        <f t="shared" si="1632"/>
        <v>1.5</v>
      </c>
      <c r="BF467" s="4">
        <f t="shared" si="1633"/>
        <v>580.07823491378269</v>
      </c>
      <c r="BH467" s="4">
        <f t="shared" si="1634"/>
        <v>4470.4359299748721</v>
      </c>
      <c r="BI467" s="4">
        <f t="shared" si="1635"/>
        <v>0</v>
      </c>
      <c r="BJ467" s="4">
        <f t="shared" si="1636"/>
        <v>0</v>
      </c>
      <c r="BR467" s="4">
        <f t="shared" si="1637"/>
        <v>596.9</v>
      </c>
      <c r="BV467" s="9"/>
      <c r="BX467" s="9"/>
      <c r="BY467" s="9"/>
      <c r="BZ467" s="9">
        <f t="shared" si="1638"/>
        <v>596.9</v>
      </c>
      <c r="CA467" s="9">
        <f t="shared" si="1639"/>
        <v>596.9</v>
      </c>
      <c r="CB467" s="9">
        <f t="shared" si="1640"/>
        <v>4.8476798574163293</v>
      </c>
      <c r="CC467" s="40">
        <f t="shared" si="1641"/>
        <v>0</v>
      </c>
      <c r="CD467" s="9">
        <f t="shared" si="1642"/>
        <v>0</v>
      </c>
      <c r="CE467" s="9">
        <f t="shared" si="1643"/>
        <v>0</v>
      </c>
      <c r="CF467" s="9">
        <f t="shared" si="1644"/>
        <v>0.99524931562137331</v>
      </c>
      <c r="CG467" s="9">
        <f t="shared" si="1645"/>
        <v>0.68</v>
      </c>
      <c r="CH467" s="9">
        <f t="shared" si="1646"/>
        <v>1.6504834472137122</v>
      </c>
      <c r="CI467" s="9">
        <f t="shared" si="1647"/>
        <v>4.1262086180342807</v>
      </c>
      <c r="CJ467" s="40">
        <v>1</v>
      </c>
      <c r="CK467" s="9">
        <f t="shared" si="1648"/>
        <v>387.86361009522238</v>
      </c>
      <c r="DI467" s="4">
        <f t="shared" si="1649"/>
        <v>215.89999999999998</v>
      </c>
      <c r="DL467" s="4">
        <f t="shared" si="1650"/>
        <v>1.7182768829413324E-5</v>
      </c>
      <c r="DM467" s="4">
        <f t="shared" si="1651"/>
        <v>10.690419306030725</v>
      </c>
      <c r="DN467" s="4">
        <f t="shared" si="1652"/>
        <v>0.61948326067862303</v>
      </c>
      <c r="DO467" s="4">
        <f t="shared" si="1653"/>
        <v>8.8268667378225558</v>
      </c>
      <c r="DP467" s="4">
        <f t="shared" si="1654"/>
        <v>9.8030662330807399</v>
      </c>
      <c r="DQ467" s="4">
        <f t="shared" si="1655"/>
        <v>10.028193756194481</v>
      </c>
      <c r="DR467" s="38">
        <f t="shared" si="1656"/>
        <v>871.78454954760934</v>
      </c>
      <c r="DS467" s="4">
        <f t="shared" si="1657"/>
        <v>1</v>
      </c>
      <c r="DT467" s="4">
        <f t="shared" si="1658"/>
        <v>2.2360679774997898</v>
      </c>
      <c r="DU467" s="4">
        <f t="shared" si="1659"/>
        <v>545.29810740039056</v>
      </c>
      <c r="DY467" s="4">
        <f t="shared" si="1660"/>
        <v>0.85</v>
      </c>
      <c r="DZ467" s="4">
        <f t="shared" si="1661"/>
        <v>0.7</v>
      </c>
      <c r="EA467" s="4">
        <f t="shared" si="1662"/>
        <v>1</v>
      </c>
      <c r="EB467" s="4">
        <f t="shared" si="1663"/>
        <v>0.7</v>
      </c>
      <c r="ED467" s="4">
        <f t="shared" si="1664"/>
        <v>889.65517241379314</v>
      </c>
      <c r="EH467" s="4">
        <f t="shared" si="1665"/>
        <v>10.690419306030725</v>
      </c>
      <c r="EK467" s="4">
        <f t="shared" si="1666"/>
        <v>56.796126628494655</v>
      </c>
      <c r="EL467" s="4">
        <f t="shared" si="1667"/>
        <v>2.2360679774997898</v>
      </c>
      <c r="EM467" s="4">
        <f t="shared" si="1668"/>
        <v>0.23642452840706166</v>
      </c>
      <c r="EP467" s="4">
        <f t="shared" si="1669"/>
        <v>0.23642452840706166</v>
      </c>
      <c r="EQ467" s="4">
        <f t="shared" si="1670"/>
        <v>0.61948326067862303</v>
      </c>
      <c r="ER467" s="4">
        <f t="shared" si="1671"/>
        <v>8.8268667378225558</v>
      </c>
      <c r="ES467" s="4">
        <f t="shared" si="1672"/>
        <v>9.8030662330807399</v>
      </c>
      <c r="ET467" s="4">
        <f t="shared" si="1673"/>
        <v>105.12887337150534</v>
      </c>
      <c r="EU467" s="4">
        <f t="shared" si="1674"/>
        <v>53.974999999999994</v>
      </c>
      <c r="EV467" s="4">
        <f t="shared" si="1675"/>
        <v>1.7182768829413324E-5</v>
      </c>
      <c r="EW467" s="4">
        <f t="shared" si="1676"/>
        <v>10.028193756194481</v>
      </c>
      <c r="EX467" s="4">
        <f t="shared" si="1677"/>
        <v>871.78454954760934</v>
      </c>
      <c r="FG467" s="23"/>
      <c r="FH467" s="23"/>
      <c r="FI467" s="23"/>
      <c r="FJ467" s="23"/>
      <c r="FK467" s="23"/>
      <c r="FL467" s="23"/>
      <c r="FM467" s="23"/>
      <c r="FN467" s="23"/>
      <c r="FX467" s="4">
        <f t="shared" si="1678"/>
        <v>1</v>
      </c>
      <c r="FY467" s="4">
        <f t="shared" si="1679"/>
        <v>1.0833333333333333</v>
      </c>
      <c r="FZ467" s="4">
        <f t="shared" si="1680"/>
        <v>0</v>
      </c>
      <c r="GA467" s="4">
        <f t="shared" si="1681"/>
        <v>206.52410097175263</v>
      </c>
    </row>
    <row r="468" spans="1:183" ht="12" customHeight="1" x14ac:dyDescent="0.3">
      <c r="B468" s="14" t="s">
        <v>605</v>
      </c>
      <c r="C468" s="14"/>
      <c r="D468" s="14" t="s">
        <v>365</v>
      </c>
      <c r="E468" s="14"/>
      <c r="F468" s="43" t="s">
        <v>624</v>
      </c>
      <c r="G468" s="38">
        <f t="shared" si="1612"/>
        <v>889.65517241379314</v>
      </c>
      <c r="H468" s="45">
        <v>190.5</v>
      </c>
      <c r="I468" s="4">
        <f t="shared" si="1613"/>
        <v>190.5</v>
      </c>
      <c r="J468" s="45">
        <v>48.551724137931032</v>
      </c>
      <c r="K468" s="7">
        <v>25.4</v>
      </c>
      <c r="L468" s="7">
        <f t="shared" si="1614"/>
        <v>7.5</v>
      </c>
      <c r="M468" s="7">
        <f t="shared" si="1615"/>
        <v>7.5</v>
      </c>
      <c r="N468" s="45">
        <v>1219.1999999999998</v>
      </c>
      <c r="O468" s="45">
        <v>596.9</v>
      </c>
      <c r="P468" s="45">
        <v>596.9</v>
      </c>
      <c r="Q468" s="7"/>
      <c r="R468" s="38">
        <v>1</v>
      </c>
      <c r="T468" s="7">
        <f t="shared" si="1682"/>
        <v>24</v>
      </c>
      <c r="U468" s="7">
        <f t="shared" si="1616"/>
        <v>24</v>
      </c>
      <c r="V468" s="45">
        <v>4</v>
      </c>
      <c r="W468" s="4">
        <f t="shared" si="1617"/>
        <v>4</v>
      </c>
      <c r="X468" s="4">
        <f t="shared" si="1618"/>
        <v>5</v>
      </c>
      <c r="Y468" s="7">
        <f t="shared" si="1619"/>
        <v>56.796126628494655</v>
      </c>
      <c r="AB468" s="45">
        <v>491.72413793103448</v>
      </c>
      <c r="AE468" s="38"/>
      <c r="AF468" s="38"/>
      <c r="AG468" s="39">
        <v>1</v>
      </c>
      <c r="AH468" s="39"/>
      <c r="AI468" s="39"/>
      <c r="AK468" s="4">
        <f t="shared" si="1620"/>
        <v>190.5</v>
      </c>
      <c r="AL468" s="4">
        <f t="shared" si="1621"/>
        <v>1</v>
      </c>
      <c r="AM468" s="4">
        <f t="shared" si="1622"/>
        <v>361.56591607434706</v>
      </c>
      <c r="AN468" s="4">
        <f t="shared" si="1623"/>
        <v>1</v>
      </c>
      <c r="AO468" s="4">
        <v>1.25</v>
      </c>
      <c r="AP468" s="4">
        <v>1</v>
      </c>
      <c r="AQ468" s="38">
        <f t="shared" si="1624"/>
        <v>451.95739509293384</v>
      </c>
      <c r="AR468" s="38">
        <f t="shared" si="1683"/>
        <v>451.95739509293384</v>
      </c>
      <c r="AS468" s="38">
        <f t="shared" si="1625"/>
        <v>3.9926173774513112</v>
      </c>
      <c r="AX468" s="4">
        <f t="shared" si="1626"/>
        <v>275.04894969833225</v>
      </c>
      <c r="AY468" s="4">
        <f t="shared" si="1627"/>
        <v>1</v>
      </c>
      <c r="AZ468" s="38">
        <f t="shared" si="1628"/>
        <v>4660.9655172413786</v>
      </c>
      <c r="BA468" s="4">
        <f t="shared" si="1629"/>
        <v>0.44000000000000006</v>
      </c>
      <c r="BB468" s="4">
        <f t="shared" si="1630"/>
        <v>63.233753535646585</v>
      </c>
      <c r="BC468" s="4">
        <f t="shared" si="1631"/>
        <v>4724.199270777025</v>
      </c>
      <c r="BE468" s="4">
        <f t="shared" si="1632"/>
        <v>1.5</v>
      </c>
      <c r="BF468" s="4">
        <f t="shared" si="1633"/>
        <v>548.72265464817281</v>
      </c>
      <c r="BH468" s="4">
        <f t="shared" si="1634"/>
        <v>4470.4359299748721</v>
      </c>
      <c r="BI468" s="4">
        <f t="shared" si="1635"/>
        <v>0</v>
      </c>
      <c r="BJ468" s="4">
        <f t="shared" si="1636"/>
        <v>0</v>
      </c>
      <c r="BR468" s="4">
        <f t="shared" si="1637"/>
        <v>596.9</v>
      </c>
      <c r="BV468" s="9"/>
      <c r="BX468" s="9"/>
      <c r="BY468" s="9"/>
      <c r="BZ468" s="9">
        <f t="shared" si="1638"/>
        <v>596.9</v>
      </c>
      <c r="CA468" s="9">
        <f t="shared" si="1639"/>
        <v>596.9</v>
      </c>
      <c r="CB468" s="9">
        <f t="shared" si="1640"/>
        <v>4.8476798574163293</v>
      </c>
      <c r="CC468" s="40">
        <f t="shared" si="1641"/>
        <v>0</v>
      </c>
      <c r="CD468" s="9">
        <f t="shared" si="1642"/>
        <v>0</v>
      </c>
      <c r="CE468" s="9">
        <f t="shared" si="1643"/>
        <v>0</v>
      </c>
      <c r="CF468" s="9">
        <f t="shared" si="1644"/>
        <v>0.99524931562137331</v>
      </c>
      <c r="CG468" s="9">
        <f t="shared" si="1645"/>
        <v>0.68</v>
      </c>
      <c r="CH468" s="9">
        <f t="shared" si="1646"/>
        <v>1.6504834472137122</v>
      </c>
      <c r="CI468" s="9">
        <f t="shared" si="1647"/>
        <v>4.1262086180342807</v>
      </c>
      <c r="CJ468" s="40">
        <v>1</v>
      </c>
      <c r="CK468" s="9">
        <f t="shared" si="1648"/>
        <v>371.35877562308525</v>
      </c>
      <c r="DI468" s="4">
        <f t="shared" si="1649"/>
        <v>190.5</v>
      </c>
      <c r="DL468" s="4">
        <f t="shared" si="1650"/>
        <v>1.5161266614188229E-5</v>
      </c>
      <c r="DM468" s="4">
        <f t="shared" si="1651"/>
        <v>10.690419306030725</v>
      </c>
      <c r="DN468" s="4">
        <f t="shared" si="1652"/>
        <v>0.51344399879680713</v>
      </c>
      <c r="DO468" s="4">
        <f t="shared" si="1653"/>
        <v>8.1882665666777861</v>
      </c>
      <c r="DP468" s="4">
        <f t="shared" si="1654"/>
        <v>9.5220326434042857</v>
      </c>
      <c r="DQ468" s="4">
        <f t="shared" si="1655"/>
        <v>10.195269662186318</v>
      </c>
      <c r="DR468" s="38">
        <f t="shared" si="1656"/>
        <v>730.73808558135306</v>
      </c>
      <c r="DS468" s="4">
        <f t="shared" si="1657"/>
        <v>1</v>
      </c>
      <c r="DT468" s="4">
        <f t="shared" si="1658"/>
        <v>2.2360679774997898</v>
      </c>
      <c r="DU468" s="4">
        <f t="shared" si="1659"/>
        <v>451.95739509293384</v>
      </c>
      <c r="DY468" s="4">
        <f t="shared" si="1660"/>
        <v>0.85</v>
      </c>
      <c r="DZ468" s="4">
        <f t="shared" si="1661"/>
        <v>0.7</v>
      </c>
      <c r="EA468" s="4">
        <f t="shared" si="1662"/>
        <v>1</v>
      </c>
      <c r="EB468" s="4">
        <f t="shared" si="1663"/>
        <v>0.7</v>
      </c>
      <c r="ED468" s="4">
        <f t="shared" si="1664"/>
        <v>889.65517241379314</v>
      </c>
      <c r="EH468" s="4">
        <f t="shared" si="1665"/>
        <v>10.690419306030725</v>
      </c>
      <c r="EK468" s="4">
        <f t="shared" si="1666"/>
        <v>56.796126628494655</v>
      </c>
      <c r="EL468" s="4">
        <f t="shared" si="1667"/>
        <v>2.2360679774997898</v>
      </c>
      <c r="EM468" s="4">
        <f t="shared" si="1668"/>
        <v>0.1959548594517172</v>
      </c>
      <c r="EP468" s="4">
        <f t="shared" si="1669"/>
        <v>0.1959548594517172</v>
      </c>
      <c r="EQ468" s="4">
        <f t="shared" si="1670"/>
        <v>0.51344399879680713</v>
      </c>
      <c r="ER468" s="4">
        <f t="shared" si="1671"/>
        <v>8.1882665666777861</v>
      </c>
      <c r="ES468" s="4">
        <f t="shared" si="1672"/>
        <v>9.5220326434042857</v>
      </c>
      <c r="ET468" s="4">
        <f t="shared" si="1673"/>
        <v>86.078873371505352</v>
      </c>
      <c r="EU468" s="4">
        <f t="shared" si="1674"/>
        <v>47.625</v>
      </c>
      <c r="EV468" s="4">
        <f t="shared" si="1675"/>
        <v>1.5161266614188229E-5</v>
      </c>
      <c r="EW468" s="4">
        <f t="shared" si="1676"/>
        <v>10.195269662186318</v>
      </c>
      <c r="EX468" s="4">
        <f t="shared" si="1677"/>
        <v>730.73808558135306</v>
      </c>
      <c r="FG468" s="23"/>
      <c r="FH468" s="23"/>
      <c r="FI468" s="23"/>
      <c r="FJ468" s="23"/>
      <c r="FK468" s="23"/>
      <c r="FL468" s="23"/>
      <c r="FM468" s="23"/>
      <c r="FN468" s="23"/>
      <c r="FX468" s="4">
        <f t="shared" si="1678"/>
        <v>1</v>
      </c>
      <c r="FY468" s="4">
        <f t="shared" si="1679"/>
        <v>1.0833333333333333</v>
      </c>
      <c r="FZ468" s="4">
        <f t="shared" si="1680"/>
        <v>0</v>
      </c>
      <c r="GA468" s="4">
        <f t="shared" si="1681"/>
        <v>182.22714791625231</v>
      </c>
    </row>
    <row r="469" spans="1:183" ht="12" customHeight="1" x14ac:dyDescent="0.3">
      <c r="B469" s="14" t="s">
        <v>605</v>
      </c>
      <c r="C469" s="14"/>
      <c r="D469" s="14" t="s">
        <v>365</v>
      </c>
      <c r="E469" s="14"/>
      <c r="F469" s="43" t="s">
        <v>625</v>
      </c>
      <c r="G469" s="38">
        <f t="shared" si="1612"/>
        <v>889.65517241379314</v>
      </c>
      <c r="H469" s="45">
        <v>187.96</v>
      </c>
      <c r="I469" s="4">
        <f t="shared" si="1613"/>
        <v>187.96</v>
      </c>
      <c r="J469" s="45">
        <v>36</v>
      </c>
      <c r="K469" s="7">
        <v>25.4</v>
      </c>
      <c r="L469" s="7">
        <f t="shared" si="1614"/>
        <v>7.4</v>
      </c>
      <c r="M469" s="7">
        <f t="shared" si="1615"/>
        <v>7.4</v>
      </c>
      <c r="N469" s="45">
        <v>1219.1999999999998</v>
      </c>
      <c r="O469" s="45">
        <v>596.9</v>
      </c>
      <c r="P469" s="45">
        <v>596.9</v>
      </c>
      <c r="Q469" s="7"/>
      <c r="R469" s="38">
        <v>1</v>
      </c>
      <c r="T469" s="7">
        <f t="shared" si="1682"/>
        <v>24</v>
      </c>
      <c r="U469" s="7">
        <f t="shared" si="1616"/>
        <v>24</v>
      </c>
      <c r="V469" s="45">
        <v>4.0999999999999996</v>
      </c>
      <c r="W469" s="4">
        <f t="shared" si="1617"/>
        <v>4.0999999999999996</v>
      </c>
      <c r="X469" s="4">
        <f t="shared" si="1618"/>
        <v>5.0999999999999996</v>
      </c>
      <c r="Y469" s="7">
        <f t="shared" si="1619"/>
        <v>57.361276136431961</v>
      </c>
      <c r="AB469" s="45">
        <v>601.37931034482767</v>
      </c>
      <c r="AE469" s="38"/>
      <c r="AF469" s="38"/>
      <c r="AG469" s="39">
        <v>1</v>
      </c>
      <c r="AH469" s="39"/>
      <c r="AI469" s="39"/>
      <c r="AK469" s="4">
        <f t="shared" si="1620"/>
        <v>187.96</v>
      </c>
      <c r="AL469" s="4">
        <f t="shared" si="1621"/>
        <v>1</v>
      </c>
      <c r="AM469" s="4">
        <f t="shared" si="1622"/>
        <v>305.13504551575329</v>
      </c>
      <c r="AN469" s="4">
        <f t="shared" si="1623"/>
        <v>1</v>
      </c>
      <c r="AO469" s="4">
        <v>1.25</v>
      </c>
      <c r="AP469" s="4">
        <v>1</v>
      </c>
      <c r="AQ469" s="38">
        <f t="shared" si="1624"/>
        <v>381.41880689469161</v>
      </c>
      <c r="AR469" s="38">
        <f t="shared" si="1683"/>
        <v>381.41880689469161</v>
      </c>
      <c r="AS469" s="38">
        <f t="shared" si="1625"/>
        <v>3.2708170670978505</v>
      </c>
      <c r="AX469" s="4">
        <f t="shared" si="1626"/>
        <v>233.68421052631581</v>
      </c>
      <c r="AY469" s="4">
        <f t="shared" si="1627"/>
        <v>1</v>
      </c>
      <c r="AZ469" s="38">
        <f t="shared" si="1628"/>
        <v>3498.9333231715059</v>
      </c>
      <c r="BA469" s="4">
        <f t="shared" si="1629"/>
        <v>0.42600000000000005</v>
      </c>
      <c r="BB469" s="4">
        <f t="shared" si="1630"/>
        <v>52.014600000000009</v>
      </c>
      <c r="BC469" s="4">
        <f t="shared" si="1631"/>
        <v>3550.9479231715059</v>
      </c>
      <c r="BE469" s="4">
        <f t="shared" si="1632"/>
        <v>1.5</v>
      </c>
      <c r="BF469" s="4">
        <f t="shared" si="1633"/>
        <v>469.80000000000007</v>
      </c>
      <c r="BH469" s="4">
        <f t="shared" si="1634"/>
        <v>3355.904948584548</v>
      </c>
      <c r="BI469" s="4">
        <f t="shared" si="1635"/>
        <v>0</v>
      </c>
      <c r="BJ469" s="4">
        <f t="shared" si="1636"/>
        <v>0</v>
      </c>
      <c r="BR469" s="4">
        <f t="shared" si="1637"/>
        <v>596.9</v>
      </c>
      <c r="BV469" s="9"/>
      <c r="BX469" s="9"/>
      <c r="BY469" s="9"/>
      <c r="BZ469" s="9">
        <f t="shared" si="1638"/>
        <v>596.9</v>
      </c>
      <c r="CA469" s="9">
        <f t="shared" si="1639"/>
        <v>596.9</v>
      </c>
      <c r="CB469" s="9">
        <f t="shared" si="1640"/>
        <v>4.8476798574163293</v>
      </c>
      <c r="CC469" s="40">
        <f t="shared" si="1641"/>
        <v>0</v>
      </c>
      <c r="CD469" s="9">
        <f t="shared" si="1642"/>
        <v>0</v>
      </c>
      <c r="CE469" s="9">
        <f t="shared" si="1643"/>
        <v>0</v>
      </c>
      <c r="CF469" s="9">
        <f t="shared" si="1644"/>
        <v>0.99524931562137331</v>
      </c>
      <c r="CG469" s="9">
        <f t="shared" si="1645"/>
        <v>0.68</v>
      </c>
      <c r="CH469" s="9">
        <f t="shared" si="1646"/>
        <v>1.4212160227073209</v>
      </c>
      <c r="CI469" s="9">
        <f t="shared" si="1647"/>
        <v>3.5530400567683023</v>
      </c>
      <c r="CJ469" s="40">
        <v>1</v>
      </c>
      <c r="CK469" s="9">
        <f t="shared" si="1648"/>
        <v>318.35238908643987</v>
      </c>
      <c r="DI469" s="4">
        <f t="shared" si="1649"/>
        <v>187.96</v>
      </c>
      <c r="DL469" s="4">
        <f t="shared" si="1650"/>
        <v>1.377787017281802E-5</v>
      </c>
      <c r="DM469" s="4">
        <f t="shared" si="1651"/>
        <v>9.2054211345406056</v>
      </c>
      <c r="DN469" s="4">
        <f t="shared" si="1652"/>
        <v>0.57580583984844791</v>
      </c>
      <c r="DO469" s="4">
        <f t="shared" si="1653"/>
        <v>7.3816608504860692</v>
      </c>
      <c r="DP469" s="4">
        <f t="shared" si="1654"/>
        <v>8.3435810675533659</v>
      </c>
      <c r="DQ469" s="4">
        <f t="shared" si="1655"/>
        <v>8.8682086466934464</v>
      </c>
      <c r="DR469" s="38">
        <f t="shared" si="1656"/>
        <v>623.58176377795292</v>
      </c>
      <c r="DS469" s="4">
        <f t="shared" si="1657"/>
        <v>1</v>
      </c>
      <c r="DT469" s="4">
        <f t="shared" si="1658"/>
        <v>2.2583179581272428</v>
      </c>
      <c r="DU469" s="4">
        <f t="shared" si="1659"/>
        <v>381.41880689469161</v>
      </c>
      <c r="DY469" s="4">
        <f t="shared" si="1660"/>
        <v>0.85</v>
      </c>
      <c r="DZ469" s="4">
        <f t="shared" si="1661"/>
        <v>0.7</v>
      </c>
      <c r="EA469" s="4">
        <f t="shared" si="1662"/>
        <v>1</v>
      </c>
      <c r="EB469" s="4">
        <f t="shared" si="1663"/>
        <v>0.7</v>
      </c>
      <c r="ED469" s="4">
        <f t="shared" si="1664"/>
        <v>889.65517241379314</v>
      </c>
      <c r="EH469" s="4">
        <f t="shared" si="1665"/>
        <v>9.2054211345406056</v>
      </c>
      <c r="EK469" s="4">
        <f t="shared" si="1666"/>
        <v>57.361276136431961</v>
      </c>
      <c r="EL469" s="4">
        <f t="shared" si="1667"/>
        <v>2.2583179581272428</v>
      </c>
      <c r="EM469" s="4">
        <f t="shared" si="1668"/>
        <v>0.18922910833692116</v>
      </c>
      <c r="EP469" s="4">
        <f t="shared" si="1669"/>
        <v>0.18922910833692116</v>
      </c>
      <c r="EQ469" s="4">
        <f t="shared" si="1670"/>
        <v>0.57580583984844791</v>
      </c>
      <c r="ER469" s="4">
        <f t="shared" si="1671"/>
        <v>7.3816608504860692</v>
      </c>
      <c r="ES469" s="4">
        <f t="shared" si="1672"/>
        <v>8.3435810675533659</v>
      </c>
      <c r="ET469" s="4">
        <f t="shared" si="1673"/>
        <v>83.608723863568031</v>
      </c>
      <c r="EU469" s="4">
        <f t="shared" si="1674"/>
        <v>46.990000000000009</v>
      </c>
      <c r="EV469" s="4">
        <f t="shared" si="1675"/>
        <v>1.377787017281802E-5</v>
      </c>
      <c r="EW469" s="4">
        <f t="shared" si="1676"/>
        <v>8.8682086466934464</v>
      </c>
      <c r="EX469" s="4">
        <f t="shared" si="1677"/>
        <v>623.58176377795292</v>
      </c>
      <c r="FG469" s="23"/>
      <c r="FH469" s="23"/>
      <c r="FI469" s="23"/>
      <c r="FJ469" s="23"/>
      <c r="FK469" s="23"/>
      <c r="FL469" s="23"/>
      <c r="FM469" s="23"/>
      <c r="FN469" s="23"/>
      <c r="FX469" s="4">
        <f t="shared" si="1678"/>
        <v>1</v>
      </c>
      <c r="FY469" s="4">
        <f t="shared" si="1679"/>
        <v>1.0833333333333333</v>
      </c>
      <c r="FZ469" s="4">
        <f t="shared" si="1680"/>
        <v>0</v>
      </c>
      <c r="GA469" s="4">
        <f t="shared" si="1681"/>
        <v>166.84300191817573</v>
      </c>
    </row>
    <row r="470" spans="1:183" ht="12" customHeight="1" x14ac:dyDescent="0.3">
      <c r="B470" s="14" t="s">
        <v>605</v>
      </c>
      <c r="C470" s="14"/>
      <c r="D470" s="14" t="s">
        <v>365</v>
      </c>
      <c r="E470" s="14"/>
      <c r="F470" s="43" t="s">
        <v>625</v>
      </c>
      <c r="G470" s="38">
        <f t="shared" si="1612"/>
        <v>889.65517241379314</v>
      </c>
      <c r="H470" s="45">
        <v>187.96</v>
      </c>
      <c r="I470" s="4">
        <f t="shared" si="1613"/>
        <v>187.96</v>
      </c>
      <c r="J470" s="45">
        <v>36</v>
      </c>
      <c r="K470" s="7">
        <v>25.4</v>
      </c>
      <c r="L470" s="7">
        <f t="shared" si="1614"/>
        <v>7.4</v>
      </c>
      <c r="M470" s="7">
        <f t="shared" si="1615"/>
        <v>7.4</v>
      </c>
      <c r="N470" s="45">
        <v>1219.1999999999998</v>
      </c>
      <c r="O470" s="45">
        <v>596.9</v>
      </c>
      <c r="P470" s="45">
        <v>596.9</v>
      </c>
      <c r="Q470" s="7"/>
      <c r="R470" s="38">
        <v>1</v>
      </c>
      <c r="T470" s="7">
        <f t="shared" si="1682"/>
        <v>24</v>
      </c>
      <c r="U470" s="7">
        <f t="shared" si="1616"/>
        <v>24</v>
      </c>
      <c r="V470" s="45">
        <v>4.0999999999999996</v>
      </c>
      <c r="W470" s="4">
        <f t="shared" si="1617"/>
        <v>4.0999999999999996</v>
      </c>
      <c r="X470" s="4">
        <f t="shared" si="1618"/>
        <v>5.0999999999999996</v>
      </c>
      <c r="Y470" s="7">
        <f t="shared" si="1619"/>
        <v>57.361276136431961</v>
      </c>
      <c r="AB470" s="45">
        <v>562.06896551724139</v>
      </c>
      <c r="AE470" s="38"/>
      <c r="AF470" s="38"/>
      <c r="AG470" s="39">
        <v>1</v>
      </c>
      <c r="AH470" s="39"/>
      <c r="AI470" s="39"/>
      <c r="AK470" s="4">
        <f t="shared" si="1620"/>
        <v>187.96</v>
      </c>
      <c r="AL470" s="4">
        <f t="shared" si="1621"/>
        <v>1</v>
      </c>
      <c r="AM470" s="4">
        <f t="shared" si="1622"/>
        <v>305.13504551575329</v>
      </c>
      <c r="AN470" s="4">
        <f t="shared" si="1623"/>
        <v>1</v>
      </c>
      <c r="AO470" s="4">
        <v>1.25</v>
      </c>
      <c r="AP470" s="4">
        <v>1</v>
      </c>
      <c r="AQ470" s="38">
        <f t="shared" si="1624"/>
        <v>381.41880689469161</v>
      </c>
      <c r="AR470" s="38">
        <f t="shared" si="1683"/>
        <v>381.41880689469161</v>
      </c>
      <c r="AS470" s="38">
        <f t="shared" si="1625"/>
        <v>3.2708170670978505</v>
      </c>
      <c r="AX470" s="4">
        <f t="shared" si="1626"/>
        <v>233.68421052631581</v>
      </c>
      <c r="AY470" s="4">
        <f t="shared" si="1627"/>
        <v>1</v>
      </c>
      <c r="AZ470" s="38">
        <f t="shared" si="1628"/>
        <v>3498.9333231715059</v>
      </c>
      <c r="BA470" s="4">
        <f t="shared" si="1629"/>
        <v>0.42600000000000005</v>
      </c>
      <c r="BB470" s="4">
        <f t="shared" si="1630"/>
        <v>52.014600000000009</v>
      </c>
      <c r="BC470" s="4">
        <f t="shared" si="1631"/>
        <v>3550.9479231715059</v>
      </c>
      <c r="BE470" s="4">
        <f t="shared" si="1632"/>
        <v>1.5</v>
      </c>
      <c r="BF470" s="4">
        <f t="shared" si="1633"/>
        <v>469.80000000000007</v>
      </c>
      <c r="BH470" s="4">
        <f t="shared" si="1634"/>
        <v>3355.904948584548</v>
      </c>
      <c r="BI470" s="4">
        <f t="shared" si="1635"/>
        <v>0</v>
      </c>
      <c r="BJ470" s="4">
        <f t="shared" si="1636"/>
        <v>0</v>
      </c>
      <c r="BR470" s="4">
        <f t="shared" si="1637"/>
        <v>596.9</v>
      </c>
      <c r="BV470" s="9"/>
      <c r="BX470" s="9"/>
      <c r="BY470" s="9"/>
      <c r="BZ470" s="9">
        <f t="shared" si="1638"/>
        <v>596.9</v>
      </c>
      <c r="CA470" s="9">
        <f t="shared" si="1639"/>
        <v>596.9</v>
      </c>
      <c r="CB470" s="9">
        <f t="shared" si="1640"/>
        <v>4.8476798574163293</v>
      </c>
      <c r="CC470" s="40">
        <f t="shared" si="1641"/>
        <v>0</v>
      </c>
      <c r="CD470" s="9">
        <f t="shared" si="1642"/>
        <v>0</v>
      </c>
      <c r="CE470" s="9">
        <f t="shared" si="1643"/>
        <v>0</v>
      </c>
      <c r="CF470" s="9">
        <f t="shared" si="1644"/>
        <v>0.99524931562137331</v>
      </c>
      <c r="CG470" s="9">
        <f t="shared" si="1645"/>
        <v>0.68</v>
      </c>
      <c r="CH470" s="9">
        <f t="shared" si="1646"/>
        <v>1.4212160227073209</v>
      </c>
      <c r="CI470" s="9">
        <f t="shared" si="1647"/>
        <v>3.5530400567683023</v>
      </c>
      <c r="CJ470" s="40">
        <v>1</v>
      </c>
      <c r="CK470" s="9">
        <f t="shared" si="1648"/>
        <v>318.35238908643987</v>
      </c>
      <c r="DI470" s="4">
        <f t="shared" si="1649"/>
        <v>187.96</v>
      </c>
      <c r="DL470" s="4">
        <f t="shared" si="1650"/>
        <v>1.377787017281802E-5</v>
      </c>
      <c r="DM470" s="4">
        <f t="shared" si="1651"/>
        <v>9.2054211345406056</v>
      </c>
      <c r="DN470" s="4">
        <f t="shared" si="1652"/>
        <v>0.57580583984844791</v>
      </c>
      <c r="DO470" s="4">
        <f t="shared" si="1653"/>
        <v>7.3816608504860692</v>
      </c>
      <c r="DP470" s="4">
        <f t="shared" si="1654"/>
        <v>8.3435810675533659</v>
      </c>
      <c r="DQ470" s="4">
        <f t="shared" si="1655"/>
        <v>8.8682086466934464</v>
      </c>
      <c r="DR470" s="38">
        <f t="shared" si="1656"/>
        <v>623.58176377795292</v>
      </c>
      <c r="DS470" s="4">
        <f t="shared" si="1657"/>
        <v>1</v>
      </c>
      <c r="DT470" s="4">
        <f t="shared" si="1658"/>
        <v>2.2583179581272428</v>
      </c>
      <c r="DU470" s="4">
        <f t="shared" si="1659"/>
        <v>381.41880689469161</v>
      </c>
      <c r="DY470" s="4">
        <f t="shared" si="1660"/>
        <v>0.85</v>
      </c>
      <c r="DZ470" s="4">
        <f t="shared" si="1661"/>
        <v>0.7</v>
      </c>
      <c r="EA470" s="4">
        <f t="shared" si="1662"/>
        <v>1</v>
      </c>
      <c r="EB470" s="4">
        <f t="shared" si="1663"/>
        <v>0.7</v>
      </c>
      <c r="ED470" s="4">
        <f t="shared" si="1664"/>
        <v>889.65517241379314</v>
      </c>
      <c r="EH470" s="4">
        <f t="shared" si="1665"/>
        <v>9.2054211345406056</v>
      </c>
      <c r="EK470" s="4">
        <f t="shared" si="1666"/>
        <v>57.361276136431961</v>
      </c>
      <c r="EL470" s="4">
        <f t="shared" si="1667"/>
        <v>2.2583179581272428</v>
      </c>
      <c r="EM470" s="4">
        <f t="shared" si="1668"/>
        <v>0.18922910833692116</v>
      </c>
      <c r="EP470" s="4">
        <f t="shared" si="1669"/>
        <v>0.18922910833692116</v>
      </c>
      <c r="EQ470" s="4">
        <f t="shared" si="1670"/>
        <v>0.57580583984844791</v>
      </c>
      <c r="ER470" s="4">
        <f t="shared" si="1671"/>
        <v>7.3816608504860692</v>
      </c>
      <c r="ES470" s="4">
        <f t="shared" si="1672"/>
        <v>8.3435810675533659</v>
      </c>
      <c r="ET470" s="4">
        <f t="shared" si="1673"/>
        <v>83.608723863568031</v>
      </c>
      <c r="EU470" s="4">
        <f t="shared" si="1674"/>
        <v>46.990000000000009</v>
      </c>
      <c r="EV470" s="4">
        <f t="shared" si="1675"/>
        <v>1.377787017281802E-5</v>
      </c>
      <c r="EW470" s="4">
        <f t="shared" si="1676"/>
        <v>8.8682086466934464</v>
      </c>
      <c r="EX470" s="4">
        <f t="shared" si="1677"/>
        <v>623.58176377795292</v>
      </c>
      <c r="FG470" s="23"/>
      <c r="FH470" s="23"/>
      <c r="FI470" s="23"/>
      <c r="FJ470" s="23"/>
      <c r="FK470" s="23"/>
      <c r="FL470" s="23"/>
      <c r="FM470" s="23"/>
      <c r="FN470" s="23"/>
      <c r="FX470" s="4">
        <f t="shared" si="1678"/>
        <v>1</v>
      </c>
      <c r="FY470" s="4">
        <f t="shared" si="1679"/>
        <v>1.0833333333333333</v>
      </c>
      <c r="FZ470" s="4">
        <f t="shared" si="1680"/>
        <v>0</v>
      </c>
      <c r="GA470" s="4">
        <f t="shared" si="1681"/>
        <v>166.84300191817573</v>
      </c>
    </row>
    <row r="471" spans="1:183" ht="12" customHeight="1" x14ac:dyDescent="0.3">
      <c r="A471" s="113"/>
      <c r="B471" s="14" t="s">
        <v>605</v>
      </c>
      <c r="C471" s="24"/>
      <c r="D471" s="14" t="s">
        <v>365</v>
      </c>
      <c r="E471" s="24"/>
      <c r="F471" s="43" t="s">
        <v>626</v>
      </c>
      <c r="G471" s="38">
        <f t="shared" si="1612"/>
        <v>889.65517241379314</v>
      </c>
      <c r="H471" s="45">
        <v>180.33999999999997</v>
      </c>
      <c r="I471" s="4">
        <f t="shared" si="1613"/>
        <v>180.33999999999997</v>
      </c>
      <c r="J471" s="45">
        <v>36</v>
      </c>
      <c r="K471" s="7">
        <v>25.4</v>
      </c>
      <c r="L471" s="7">
        <f t="shared" si="1614"/>
        <v>7.1</v>
      </c>
      <c r="M471" s="7">
        <f t="shared" si="1615"/>
        <v>7.1</v>
      </c>
      <c r="N471" s="45">
        <v>1219.1999999999998</v>
      </c>
      <c r="O471" s="45">
        <v>596.9</v>
      </c>
      <c r="P471" s="45">
        <v>596.9</v>
      </c>
      <c r="Q471" s="7"/>
      <c r="R471" s="38">
        <v>1</v>
      </c>
      <c r="T471" s="7">
        <f t="shared" si="1682"/>
        <v>24</v>
      </c>
      <c r="U471" s="7">
        <f t="shared" si="1616"/>
        <v>24</v>
      </c>
      <c r="V471" s="45">
        <v>9.1</v>
      </c>
      <c r="W471" s="4">
        <f t="shared" si="1617"/>
        <v>9.1</v>
      </c>
      <c r="X471" s="4">
        <f t="shared" si="1618"/>
        <v>10.1</v>
      </c>
      <c r="Y471" s="7">
        <f t="shared" si="1619"/>
        <v>80.72246279691916</v>
      </c>
      <c r="AB471" s="45">
        <v>610.34482758620697</v>
      </c>
      <c r="AE471" s="38"/>
      <c r="AF471" s="38"/>
      <c r="AG471" s="39">
        <v>1</v>
      </c>
      <c r="AH471" s="39"/>
      <c r="AI471" s="39"/>
      <c r="AK471" s="4">
        <f t="shared" si="1620"/>
        <v>180.33999999999997</v>
      </c>
      <c r="AL471" s="4">
        <f t="shared" si="1621"/>
        <v>1</v>
      </c>
      <c r="AM471" s="4">
        <f t="shared" si="1622"/>
        <v>286.76888899995987</v>
      </c>
      <c r="AN471" s="4">
        <f t="shared" si="1623"/>
        <v>1</v>
      </c>
      <c r="AO471" s="4">
        <v>1.25</v>
      </c>
      <c r="AP471" s="4">
        <v>1</v>
      </c>
      <c r="AQ471" s="38">
        <f t="shared" si="1624"/>
        <v>358.46111124994985</v>
      </c>
      <c r="AR471" s="38">
        <f t="shared" si="1683"/>
        <v>358.46111124994985</v>
      </c>
      <c r="AS471" s="38">
        <f t="shared" si="1625"/>
        <v>3.2708170670978505</v>
      </c>
      <c r="AX471" s="4">
        <f t="shared" si="1626"/>
        <v>224.21052631578945</v>
      </c>
      <c r="AY471" s="4">
        <f t="shared" si="1627"/>
        <v>1</v>
      </c>
      <c r="AZ471" s="38">
        <f t="shared" si="1628"/>
        <v>5212.7204413818317</v>
      </c>
      <c r="BA471" s="4">
        <f t="shared" si="1629"/>
        <v>0.3</v>
      </c>
      <c r="BB471" s="4">
        <f t="shared" si="1630"/>
        <v>35.144999999999989</v>
      </c>
      <c r="BC471" s="4">
        <f t="shared" si="1631"/>
        <v>5247.8654413818322</v>
      </c>
      <c r="BE471" s="4">
        <f t="shared" si="1632"/>
        <v>1.5</v>
      </c>
      <c r="BF471" s="4">
        <f t="shared" si="1633"/>
        <v>461.69999999999993</v>
      </c>
      <c r="BH471" s="4">
        <f t="shared" si="1634"/>
        <v>4999.6363774559568</v>
      </c>
      <c r="BI471" s="4">
        <f t="shared" si="1635"/>
        <v>0</v>
      </c>
      <c r="BJ471" s="4">
        <f t="shared" si="1636"/>
        <v>0</v>
      </c>
      <c r="BR471" s="4">
        <f t="shared" si="1637"/>
        <v>596.9</v>
      </c>
      <c r="BV471" s="9"/>
      <c r="BX471" s="9"/>
      <c r="BY471" s="9"/>
      <c r="BZ471" s="9">
        <f t="shared" si="1638"/>
        <v>596.9</v>
      </c>
      <c r="CA471" s="9">
        <f t="shared" si="1639"/>
        <v>596.9</v>
      </c>
      <c r="CB471" s="9">
        <f t="shared" si="1640"/>
        <v>4.8476798574163293</v>
      </c>
      <c r="CC471" s="40">
        <f t="shared" si="1641"/>
        <v>0</v>
      </c>
      <c r="CD471" s="9">
        <f t="shared" si="1642"/>
        <v>0</v>
      </c>
      <c r="CE471" s="9">
        <f t="shared" si="1643"/>
        <v>0</v>
      </c>
      <c r="CF471" s="9">
        <f t="shared" si="1644"/>
        <v>0.99524931562137331</v>
      </c>
      <c r="CG471" s="9">
        <f t="shared" si="1645"/>
        <v>0.68</v>
      </c>
      <c r="CH471" s="9">
        <f t="shared" si="1646"/>
        <v>1.4212160227073209</v>
      </c>
      <c r="CI471" s="9">
        <f t="shared" si="1647"/>
        <v>3.5530400567683023</v>
      </c>
      <c r="CJ471" s="40">
        <v>1</v>
      </c>
      <c r="CK471" s="9">
        <f t="shared" si="1648"/>
        <v>314.08874101831793</v>
      </c>
      <c r="DI471" s="4">
        <f t="shared" si="1649"/>
        <v>180.33999999999997</v>
      </c>
      <c r="DL471" s="4">
        <f t="shared" si="1650"/>
        <v>1.3219307868514583E-5</v>
      </c>
      <c r="DM471" s="4">
        <f t="shared" si="1651"/>
        <v>9.2054211345406056</v>
      </c>
      <c r="DN471" s="4">
        <f t="shared" si="1652"/>
        <v>0.34311054994209239</v>
      </c>
      <c r="DO471" s="4">
        <f t="shared" si="1653"/>
        <v>6.0009124459143566</v>
      </c>
      <c r="DP471" s="4">
        <f t="shared" si="1654"/>
        <v>7.7708713439840205</v>
      </c>
      <c r="DQ471" s="4">
        <f t="shared" si="1655"/>
        <v>8.9353684179504107</v>
      </c>
      <c r="DR471" s="38">
        <f t="shared" si="1656"/>
        <v>564.92171714795745</v>
      </c>
      <c r="DS471" s="4">
        <f t="shared" si="1657"/>
        <v>1</v>
      </c>
      <c r="DT471" s="4">
        <f t="shared" si="1658"/>
        <v>3.1780497164141401</v>
      </c>
      <c r="DU471" s="4">
        <f t="shared" si="1659"/>
        <v>358.46111124994985</v>
      </c>
      <c r="DY471" s="4">
        <f t="shared" si="1660"/>
        <v>0.85</v>
      </c>
      <c r="DZ471" s="4">
        <f t="shared" si="1661"/>
        <v>0.7</v>
      </c>
      <c r="EA471" s="4">
        <f t="shared" si="1662"/>
        <v>1</v>
      </c>
      <c r="EB471" s="4">
        <f t="shared" si="1663"/>
        <v>0.7</v>
      </c>
      <c r="ED471" s="4">
        <f t="shared" si="1664"/>
        <v>889.65517241379314</v>
      </c>
      <c r="EH471" s="4">
        <f t="shared" si="1665"/>
        <v>9.2054211345406056</v>
      </c>
      <c r="EK471" s="4">
        <f t="shared" si="1666"/>
        <v>80.72246279691916</v>
      </c>
      <c r="EL471" s="4">
        <f t="shared" si="1667"/>
        <v>3.1780497164141406</v>
      </c>
      <c r="EM471" s="4">
        <f t="shared" si="1668"/>
        <v>0.11275763275277211</v>
      </c>
      <c r="EP471" s="4">
        <f t="shared" si="1669"/>
        <v>0.11275763275277211</v>
      </c>
      <c r="EQ471" s="4">
        <f t="shared" si="1670"/>
        <v>0.34311054994209239</v>
      </c>
      <c r="ER471" s="4">
        <f t="shared" si="1671"/>
        <v>6.0009124459143566</v>
      </c>
      <c r="ES471" s="4">
        <f t="shared" si="1672"/>
        <v>7.7708713439840205</v>
      </c>
      <c r="ET471" s="4">
        <f t="shared" si="1673"/>
        <v>54.532537203080835</v>
      </c>
      <c r="EU471" s="4">
        <f t="shared" si="1674"/>
        <v>45.08499999999998</v>
      </c>
      <c r="EV471" s="4">
        <f t="shared" si="1675"/>
        <v>1.3219307868514577E-5</v>
      </c>
      <c r="EW471" s="4">
        <f t="shared" si="1676"/>
        <v>8.9353684179504107</v>
      </c>
      <c r="EX471" s="4">
        <f t="shared" si="1677"/>
        <v>564.92171714795745</v>
      </c>
      <c r="FG471" s="23"/>
      <c r="FH471" s="23"/>
      <c r="FI471" s="23"/>
      <c r="FJ471" s="23"/>
      <c r="FK471" s="23"/>
      <c r="FL471" s="23"/>
      <c r="FM471" s="23"/>
      <c r="FN471" s="23"/>
      <c r="FX471" s="4">
        <f t="shared" si="1678"/>
        <v>1</v>
      </c>
      <c r="FY471" s="4">
        <f t="shared" si="1679"/>
        <v>1.0833333333333333</v>
      </c>
      <c r="FZ471" s="4">
        <f t="shared" si="1680"/>
        <v>0</v>
      </c>
      <c r="GA471" s="4">
        <f t="shared" si="1681"/>
        <v>160.07909643500642</v>
      </c>
    </row>
    <row r="472" spans="1:183" ht="12" customHeight="1" x14ac:dyDescent="0.3">
      <c r="A472" s="113"/>
      <c r="B472" s="14" t="s">
        <v>605</v>
      </c>
      <c r="C472" s="24"/>
      <c r="D472" s="14" t="s">
        <v>365</v>
      </c>
      <c r="E472" s="24"/>
      <c r="F472" s="43" t="s">
        <v>626</v>
      </c>
      <c r="G472" s="38">
        <f t="shared" si="1612"/>
        <v>889.65517241379314</v>
      </c>
      <c r="H472" s="45">
        <v>177.79999999999998</v>
      </c>
      <c r="I472" s="4">
        <f t="shared" si="1613"/>
        <v>177.79999999999998</v>
      </c>
      <c r="J472" s="45">
        <v>36</v>
      </c>
      <c r="K472" s="7">
        <v>25.4</v>
      </c>
      <c r="L472" s="7">
        <f t="shared" si="1614"/>
        <v>7</v>
      </c>
      <c r="M472" s="7">
        <f t="shared" si="1615"/>
        <v>7</v>
      </c>
      <c r="N472" s="45">
        <v>1219.1999999999998</v>
      </c>
      <c r="O472" s="45">
        <v>596.9</v>
      </c>
      <c r="P472" s="45">
        <v>596.9</v>
      </c>
      <c r="Q472" s="7"/>
      <c r="R472" s="38">
        <v>1</v>
      </c>
      <c r="T472" s="7">
        <f t="shared" si="1682"/>
        <v>24</v>
      </c>
      <c r="U472" s="7">
        <f t="shared" si="1616"/>
        <v>24</v>
      </c>
      <c r="V472" s="45">
        <v>9.1</v>
      </c>
      <c r="W472" s="4">
        <f t="shared" si="1617"/>
        <v>9.1</v>
      </c>
      <c r="X472" s="4">
        <f t="shared" si="1618"/>
        <v>10.1</v>
      </c>
      <c r="Y472" s="7">
        <f t="shared" si="1619"/>
        <v>80.72246279691916</v>
      </c>
      <c r="AB472" s="45">
        <v>479.31034482758622</v>
      </c>
      <c r="AE472" s="38"/>
      <c r="AF472" s="38"/>
      <c r="AG472" s="39">
        <v>1</v>
      </c>
      <c r="AH472" s="39"/>
      <c r="AI472" s="39"/>
      <c r="AK472" s="4">
        <f t="shared" si="1620"/>
        <v>177.79999999999998</v>
      </c>
      <c r="AL472" s="4">
        <f t="shared" si="1621"/>
        <v>1</v>
      </c>
      <c r="AM472" s="4">
        <f t="shared" si="1622"/>
        <v>280.73177442647159</v>
      </c>
      <c r="AN472" s="4">
        <f t="shared" si="1623"/>
        <v>1</v>
      </c>
      <c r="AO472" s="4">
        <v>1.25</v>
      </c>
      <c r="AP472" s="4">
        <v>1</v>
      </c>
      <c r="AQ472" s="38">
        <f t="shared" si="1624"/>
        <v>350.91471803308946</v>
      </c>
      <c r="AR472" s="38">
        <f t="shared" si="1683"/>
        <v>350.91471803308946</v>
      </c>
      <c r="AS472" s="38">
        <f t="shared" si="1625"/>
        <v>3.2708170670978505</v>
      </c>
      <c r="AX472" s="4">
        <f t="shared" si="1626"/>
        <v>221.05263157894737</v>
      </c>
      <c r="AY472" s="4">
        <f t="shared" si="1627"/>
        <v>1</v>
      </c>
      <c r="AZ472" s="38">
        <f t="shared" si="1628"/>
        <v>5212.7204413818317</v>
      </c>
      <c r="BA472" s="4">
        <f t="shared" si="1629"/>
        <v>0.3</v>
      </c>
      <c r="BB472" s="4">
        <f t="shared" si="1630"/>
        <v>34.65</v>
      </c>
      <c r="BC472" s="4">
        <f t="shared" si="1631"/>
        <v>5247.3704413818314</v>
      </c>
      <c r="BE472" s="4">
        <f t="shared" si="1632"/>
        <v>1.5</v>
      </c>
      <c r="BF472" s="4">
        <f t="shared" si="1633"/>
        <v>459</v>
      </c>
      <c r="BH472" s="4">
        <f t="shared" si="1634"/>
        <v>4999.6363774559568</v>
      </c>
      <c r="BI472" s="4">
        <f t="shared" si="1635"/>
        <v>0</v>
      </c>
      <c r="BJ472" s="4">
        <f t="shared" si="1636"/>
        <v>0</v>
      </c>
      <c r="BR472" s="4">
        <f t="shared" si="1637"/>
        <v>596.9</v>
      </c>
      <c r="BV472" s="9"/>
      <c r="BX472" s="9"/>
      <c r="BY472" s="9"/>
      <c r="BZ472" s="9">
        <f t="shared" si="1638"/>
        <v>596.9</v>
      </c>
      <c r="CA472" s="9">
        <f t="shared" si="1639"/>
        <v>596.9</v>
      </c>
      <c r="CB472" s="9">
        <f t="shared" si="1640"/>
        <v>4.8476798574163293</v>
      </c>
      <c r="CC472" s="40">
        <f t="shared" si="1641"/>
        <v>0</v>
      </c>
      <c r="CD472" s="9">
        <f t="shared" si="1642"/>
        <v>0</v>
      </c>
      <c r="CE472" s="9">
        <f t="shared" si="1643"/>
        <v>0</v>
      </c>
      <c r="CF472" s="9">
        <f t="shared" si="1644"/>
        <v>0.99524931562137331</v>
      </c>
      <c r="CG472" s="9">
        <f t="shared" si="1645"/>
        <v>0.68</v>
      </c>
      <c r="CH472" s="9">
        <f t="shared" si="1646"/>
        <v>1.4212160227073209</v>
      </c>
      <c r="CI472" s="9">
        <f t="shared" si="1647"/>
        <v>3.5530400567683023</v>
      </c>
      <c r="CJ472" s="40">
        <v>1</v>
      </c>
      <c r="CK472" s="9">
        <f t="shared" si="1648"/>
        <v>312.66752499561062</v>
      </c>
      <c r="DI472" s="4">
        <f t="shared" si="1649"/>
        <v>177.79999999999998</v>
      </c>
      <c r="DL472" s="4">
        <f t="shared" si="1650"/>
        <v>1.3033120433746772E-5</v>
      </c>
      <c r="DM472" s="4">
        <f t="shared" si="1651"/>
        <v>9.2054211345406056</v>
      </c>
      <c r="DN472" s="4">
        <f t="shared" si="1652"/>
        <v>0.33588731973536912</v>
      </c>
      <c r="DO472" s="4">
        <f t="shared" si="1653"/>
        <v>5.9500567122923123</v>
      </c>
      <c r="DP472" s="4">
        <f t="shared" si="1654"/>
        <v>7.7513443849227031</v>
      </c>
      <c r="DQ472" s="4">
        <f t="shared" si="1655"/>
        <v>8.9445872946317113</v>
      </c>
      <c r="DR472" s="38">
        <f t="shared" si="1656"/>
        <v>553.40673407015493</v>
      </c>
      <c r="DS472" s="4">
        <f t="shared" si="1657"/>
        <v>1</v>
      </c>
      <c r="DT472" s="4">
        <f t="shared" si="1658"/>
        <v>3.1780497164141401</v>
      </c>
      <c r="DU472" s="4">
        <f t="shared" si="1659"/>
        <v>350.91471803308946</v>
      </c>
      <c r="DY472" s="4">
        <f t="shared" si="1660"/>
        <v>0.85</v>
      </c>
      <c r="DZ472" s="4">
        <f t="shared" si="1661"/>
        <v>0.7</v>
      </c>
      <c r="EA472" s="4">
        <f t="shared" si="1662"/>
        <v>1</v>
      </c>
      <c r="EB472" s="4">
        <f t="shared" si="1663"/>
        <v>0.7</v>
      </c>
      <c r="ED472" s="4">
        <f t="shared" si="1664"/>
        <v>889.65517241379314</v>
      </c>
      <c r="EH472" s="4">
        <f t="shared" si="1665"/>
        <v>9.2054211345406056</v>
      </c>
      <c r="EK472" s="4">
        <f t="shared" si="1666"/>
        <v>80.72246279691916</v>
      </c>
      <c r="EL472" s="4">
        <f t="shared" si="1667"/>
        <v>3.1780497164141406</v>
      </c>
      <c r="EM472" s="4">
        <f t="shared" si="1668"/>
        <v>0.11038383707940708</v>
      </c>
      <c r="EP472" s="4">
        <f t="shared" si="1669"/>
        <v>0.11038383707940708</v>
      </c>
      <c r="EQ472" s="4">
        <f t="shared" si="1670"/>
        <v>0.33588731973536912</v>
      </c>
      <c r="ER472" s="4">
        <f t="shared" si="1671"/>
        <v>5.9500567122923123</v>
      </c>
      <c r="ES472" s="4">
        <f t="shared" si="1672"/>
        <v>7.7513443849227031</v>
      </c>
      <c r="ET472" s="4">
        <f t="shared" si="1673"/>
        <v>52.627537203080834</v>
      </c>
      <c r="EU472" s="4">
        <f t="shared" si="1674"/>
        <v>44.449999999999989</v>
      </c>
      <c r="EV472" s="4">
        <f t="shared" si="1675"/>
        <v>1.3033120433746768E-5</v>
      </c>
      <c r="EW472" s="4">
        <f t="shared" si="1676"/>
        <v>8.9445872946317113</v>
      </c>
      <c r="EX472" s="4">
        <f t="shared" si="1677"/>
        <v>553.40673407015493</v>
      </c>
      <c r="FG472" s="23"/>
      <c r="FH472" s="23"/>
      <c r="FI472" s="23"/>
      <c r="FJ472" s="23"/>
      <c r="FK472" s="23"/>
      <c r="FL472" s="23"/>
      <c r="FM472" s="23"/>
      <c r="FN472" s="23"/>
      <c r="FX472" s="4">
        <f t="shared" si="1678"/>
        <v>1</v>
      </c>
      <c r="FY472" s="4">
        <f t="shared" si="1679"/>
        <v>1.0833333333333333</v>
      </c>
      <c r="FZ472" s="4">
        <f t="shared" si="1680"/>
        <v>0</v>
      </c>
      <c r="GA472" s="4">
        <f t="shared" si="1681"/>
        <v>157.82446127394999</v>
      </c>
    </row>
    <row r="473" spans="1:183" ht="12" customHeight="1" x14ac:dyDescent="0.3">
      <c r="A473" s="113"/>
      <c r="B473" s="14" t="s">
        <v>605</v>
      </c>
      <c r="C473" s="24"/>
      <c r="D473" s="14" t="s">
        <v>365</v>
      </c>
      <c r="E473" s="24"/>
      <c r="F473" s="43" t="s">
        <v>627</v>
      </c>
      <c r="G473" s="38">
        <f t="shared" si="1612"/>
        <v>889.65517241379314</v>
      </c>
      <c r="H473" s="45">
        <v>152.39999999999998</v>
      </c>
      <c r="I473" s="4">
        <f t="shared" si="1613"/>
        <v>152.39999999999998</v>
      </c>
      <c r="J473" s="45">
        <v>50.96551724137931</v>
      </c>
      <c r="K473" s="7">
        <v>25.4</v>
      </c>
      <c r="L473" s="7">
        <f t="shared" si="1614"/>
        <v>5.9999999999999991</v>
      </c>
      <c r="M473" s="7">
        <f t="shared" si="1615"/>
        <v>5.9999999999999991</v>
      </c>
      <c r="N473" s="45">
        <v>1219.1999999999998</v>
      </c>
      <c r="O473" s="45">
        <v>596.9</v>
      </c>
      <c r="P473" s="45">
        <v>596.9</v>
      </c>
      <c r="Q473" s="7"/>
      <c r="R473" s="38">
        <v>1</v>
      </c>
      <c r="T473" s="7">
        <f t="shared" si="1682"/>
        <v>24</v>
      </c>
      <c r="U473" s="7">
        <f t="shared" si="1616"/>
        <v>24</v>
      </c>
      <c r="V473" s="45">
        <v>4.0999999999999996</v>
      </c>
      <c r="W473" s="4">
        <f t="shared" si="1617"/>
        <v>4.0999999999999996</v>
      </c>
      <c r="X473" s="4">
        <f t="shared" si="1618"/>
        <v>5.0999999999999996</v>
      </c>
      <c r="Y473" s="7">
        <f t="shared" si="1619"/>
        <v>57.361276136431961</v>
      </c>
      <c r="AB473" s="45">
        <v>562.06896551724139</v>
      </c>
      <c r="AE473" s="38"/>
      <c r="AF473" s="38"/>
      <c r="AG473" s="39">
        <v>1</v>
      </c>
      <c r="AH473" s="39"/>
      <c r="AI473" s="39"/>
      <c r="AK473" s="4">
        <f t="shared" si="1620"/>
        <v>152.39999999999998</v>
      </c>
      <c r="AL473" s="4">
        <f t="shared" si="1621"/>
        <v>0.99999999999999989</v>
      </c>
      <c r="AM473" s="4">
        <f t="shared" si="1622"/>
        <v>265.0686425289295</v>
      </c>
      <c r="AN473" s="4">
        <f t="shared" si="1623"/>
        <v>1</v>
      </c>
      <c r="AO473" s="4">
        <v>1.25</v>
      </c>
      <c r="AP473" s="4">
        <v>1</v>
      </c>
      <c r="AQ473" s="38">
        <f t="shared" si="1624"/>
        <v>331.33580316116183</v>
      </c>
      <c r="AR473" s="38">
        <f t="shared" si="1683"/>
        <v>331.33580316116183</v>
      </c>
      <c r="AS473" s="38">
        <f t="shared" si="1625"/>
        <v>4.093765657510513</v>
      </c>
      <c r="AX473" s="4">
        <f t="shared" si="1626"/>
        <v>225.44253929385007</v>
      </c>
      <c r="AY473" s="4">
        <f t="shared" si="1627"/>
        <v>1</v>
      </c>
      <c r="AZ473" s="38">
        <f t="shared" si="1628"/>
        <v>4953.4707391259444</v>
      </c>
      <c r="BA473" s="4">
        <f t="shared" si="1629"/>
        <v>0.42600000000000005</v>
      </c>
      <c r="BB473" s="4">
        <f t="shared" si="1630"/>
        <v>50.180127608721627</v>
      </c>
      <c r="BC473" s="4">
        <f t="shared" si="1631"/>
        <v>5003.6508667346661</v>
      </c>
      <c r="BE473" s="4">
        <f t="shared" si="1632"/>
        <v>1.5</v>
      </c>
      <c r="BF473" s="4">
        <f t="shared" si="1633"/>
        <v>514.00898958997823</v>
      </c>
      <c r="BH473" s="4">
        <f t="shared" si="1634"/>
        <v>4750.9842088198866</v>
      </c>
      <c r="BI473" s="4">
        <f t="shared" si="1635"/>
        <v>0</v>
      </c>
      <c r="BJ473" s="4">
        <f t="shared" si="1636"/>
        <v>0</v>
      </c>
      <c r="BR473" s="4">
        <f t="shared" si="1637"/>
        <v>596.9</v>
      </c>
      <c r="BV473" s="9"/>
      <c r="BX473" s="9"/>
      <c r="BY473" s="9"/>
      <c r="BZ473" s="9">
        <f t="shared" si="1638"/>
        <v>596.9</v>
      </c>
      <c r="CA473" s="9">
        <f t="shared" si="1639"/>
        <v>596.9</v>
      </c>
      <c r="CB473" s="9">
        <f t="shared" si="1640"/>
        <v>4.8476798574163293</v>
      </c>
      <c r="CC473" s="40">
        <f t="shared" si="1641"/>
        <v>0</v>
      </c>
      <c r="CD473" s="9">
        <f t="shared" si="1642"/>
        <v>0</v>
      </c>
      <c r="CE473" s="9">
        <f t="shared" si="1643"/>
        <v>0</v>
      </c>
      <c r="CF473" s="9">
        <f t="shared" si="1644"/>
        <v>0.99524931562137331</v>
      </c>
      <c r="CG473" s="9">
        <f t="shared" si="1645"/>
        <v>0.68</v>
      </c>
      <c r="CH473" s="9">
        <f t="shared" si="1646"/>
        <v>1.6910134532890686</v>
      </c>
      <c r="CI473" s="9">
        <f t="shared" si="1647"/>
        <v>4.2275336332226718</v>
      </c>
      <c r="CJ473" s="40">
        <v>1</v>
      </c>
      <c r="CK473" s="9">
        <f t="shared" si="1648"/>
        <v>355.11282519070443</v>
      </c>
      <c r="DI473" s="4">
        <f t="shared" si="1649"/>
        <v>152.39999999999998</v>
      </c>
      <c r="DL473" s="4">
        <f t="shared" si="1650"/>
        <v>1.2315673098492836E-5</v>
      </c>
      <c r="DM473" s="4">
        <f t="shared" si="1651"/>
        <v>10.952938000267244</v>
      </c>
      <c r="DN473" s="4">
        <f t="shared" si="1652"/>
        <v>0.35332013969964099</v>
      </c>
      <c r="DO473" s="4">
        <f t="shared" si="1653"/>
        <v>7.2243368340770866</v>
      </c>
      <c r="DP473" s="4">
        <f t="shared" si="1654"/>
        <v>9.2786409214601537</v>
      </c>
      <c r="DQ473" s="4">
        <f t="shared" si="1655"/>
        <v>10.643904646822243</v>
      </c>
      <c r="DR473" s="38">
        <f t="shared" si="1656"/>
        <v>543.65768038041256</v>
      </c>
      <c r="DS473" s="4">
        <f t="shared" si="1657"/>
        <v>1</v>
      </c>
      <c r="DT473" s="4">
        <f t="shared" si="1658"/>
        <v>2.2583179581272428</v>
      </c>
      <c r="DU473" s="4">
        <f t="shared" si="1659"/>
        <v>331.33580316116183</v>
      </c>
      <c r="DY473" s="4">
        <f t="shared" si="1660"/>
        <v>0.85</v>
      </c>
      <c r="DZ473" s="4">
        <f t="shared" si="1661"/>
        <v>0.7</v>
      </c>
      <c r="EA473" s="4">
        <f t="shared" si="1662"/>
        <v>1</v>
      </c>
      <c r="EB473" s="4">
        <f t="shared" si="1663"/>
        <v>0.7</v>
      </c>
      <c r="ED473" s="4">
        <f t="shared" si="1664"/>
        <v>889.65517241379314</v>
      </c>
      <c r="EH473" s="4">
        <f t="shared" si="1665"/>
        <v>10.952938000267244</v>
      </c>
      <c r="EK473" s="4">
        <f t="shared" si="1666"/>
        <v>57.361276136431961</v>
      </c>
      <c r="EL473" s="4">
        <f t="shared" si="1667"/>
        <v>2.2583179581272428</v>
      </c>
      <c r="EM473" s="4">
        <f t="shared" si="1668"/>
        <v>0.13815520096222064</v>
      </c>
      <c r="EP473" s="4">
        <f t="shared" si="1669"/>
        <v>0.13815520096222064</v>
      </c>
      <c r="EQ473" s="4">
        <f t="shared" si="1670"/>
        <v>0.35332013969964099</v>
      </c>
      <c r="ER473" s="4">
        <f t="shared" si="1671"/>
        <v>7.2243368340770866</v>
      </c>
      <c r="ES473" s="4">
        <f t="shared" si="1672"/>
        <v>9.2786409214601537</v>
      </c>
      <c r="ET473" s="4">
        <f t="shared" si="1673"/>
        <v>56.938723863568022</v>
      </c>
      <c r="EU473" s="4">
        <f t="shared" si="1674"/>
        <v>38.099999999999987</v>
      </c>
      <c r="EV473" s="4">
        <f t="shared" si="1675"/>
        <v>1.2315673098492833E-5</v>
      </c>
      <c r="EW473" s="4">
        <f t="shared" si="1676"/>
        <v>10.643904646822241</v>
      </c>
      <c r="EX473" s="4">
        <f t="shared" si="1677"/>
        <v>543.65768038041256</v>
      </c>
      <c r="FG473" s="23"/>
      <c r="FH473" s="23"/>
      <c r="FI473" s="23"/>
      <c r="FJ473" s="23"/>
      <c r="FK473" s="23"/>
      <c r="FL473" s="23"/>
      <c r="FM473" s="23"/>
      <c r="FN473" s="23"/>
      <c r="FX473" s="4">
        <f t="shared" si="1678"/>
        <v>1</v>
      </c>
      <c r="FY473" s="4">
        <f t="shared" si="1679"/>
        <v>1.0833333333333333</v>
      </c>
      <c r="FZ473" s="4">
        <f t="shared" si="1680"/>
        <v>0</v>
      </c>
      <c r="GA473" s="4">
        <f t="shared" si="1681"/>
        <v>147.56080295276789</v>
      </c>
    </row>
    <row r="474" spans="1:183" ht="12" customHeight="1" x14ac:dyDescent="0.3">
      <c r="A474" s="113"/>
      <c r="B474" s="14" t="s">
        <v>605</v>
      </c>
      <c r="C474" s="24"/>
      <c r="D474" s="14" t="s">
        <v>365</v>
      </c>
      <c r="E474" s="24"/>
      <c r="F474" s="43" t="s">
        <v>628</v>
      </c>
      <c r="G474" s="38">
        <f t="shared" si="1612"/>
        <v>889.65517241379314</v>
      </c>
      <c r="H474" s="45">
        <v>152.39999999999998</v>
      </c>
      <c r="I474" s="4">
        <f t="shared" si="1613"/>
        <v>152.39999999999998</v>
      </c>
      <c r="J474" s="45">
        <v>50.96551724137931</v>
      </c>
      <c r="K474" s="7">
        <v>25.4</v>
      </c>
      <c r="L474" s="7">
        <f t="shared" si="1614"/>
        <v>5.9999999999999991</v>
      </c>
      <c r="M474" s="7">
        <f t="shared" si="1615"/>
        <v>5.9999999999999991</v>
      </c>
      <c r="N474" s="45">
        <v>1219.1999999999998</v>
      </c>
      <c r="O474" s="45">
        <v>596.9</v>
      </c>
      <c r="P474" s="45">
        <v>596.9</v>
      </c>
      <c r="Q474" s="7"/>
      <c r="R474" s="38">
        <v>1</v>
      </c>
      <c r="T474" s="7">
        <f t="shared" si="1682"/>
        <v>24</v>
      </c>
      <c r="U474" s="7">
        <f t="shared" si="1616"/>
        <v>24</v>
      </c>
      <c r="V474" s="45">
        <v>9.1</v>
      </c>
      <c r="W474" s="4">
        <f t="shared" si="1617"/>
        <v>9.1</v>
      </c>
      <c r="X474" s="4">
        <f t="shared" si="1618"/>
        <v>10.1</v>
      </c>
      <c r="Y474" s="7">
        <f t="shared" si="1619"/>
        <v>80.72246279691916</v>
      </c>
      <c r="AB474" s="45">
        <v>567.58620689655174</v>
      </c>
      <c r="AE474" s="38"/>
      <c r="AF474" s="38"/>
      <c r="AG474" s="39">
        <v>1</v>
      </c>
      <c r="AH474" s="39"/>
      <c r="AI474" s="39"/>
      <c r="AK474" s="4">
        <f t="shared" si="1620"/>
        <v>152.39999999999998</v>
      </c>
      <c r="AL474" s="4">
        <f t="shared" si="1621"/>
        <v>0.99999999999999989</v>
      </c>
      <c r="AM474" s="4">
        <f t="shared" si="1622"/>
        <v>265.0686425289295</v>
      </c>
      <c r="AN474" s="4">
        <f t="shared" si="1623"/>
        <v>1</v>
      </c>
      <c r="AO474" s="4">
        <v>1.25</v>
      </c>
      <c r="AP474" s="4">
        <v>1</v>
      </c>
      <c r="AQ474" s="38">
        <f t="shared" si="1624"/>
        <v>331.33580316116183</v>
      </c>
      <c r="AR474" s="38">
        <f t="shared" si="1683"/>
        <v>331.33580316116183</v>
      </c>
      <c r="AS474" s="38">
        <f t="shared" si="1625"/>
        <v>4.093765657510513</v>
      </c>
      <c r="AX474" s="4">
        <f t="shared" si="1626"/>
        <v>225.44253929385007</v>
      </c>
      <c r="AY474" s="4">
        <f t="shared" si="1627"/>
        <v>1</v>
      </c>
      <c r="AZ474" s="38">
        <f t="shared" si="1628"/>
        <v>7379.6942647148926</v>
      </c>
      <c r="BA474" s="4">
        <f t="shared" si="1629"/>
        <v>0.3</v>
      </c>
      <c r="BB474" s="4">
        <f t="shared" si="1630"/>
        <v>35.338118034310995</v>
      </c>
      <c r="BC474" s="4">
        <f t="shared" si="1631"/>
        <v>7415.0323827492039</v>
      </c>
      <c r="BE474" s="4">
        <f t="shared" si="1632"/>
        <v>1.5</v>
      </c>
      <c r="BF474" s="4">
        <f t="shared" si="1633"/>
        <v>514.00898958997823</v>
      </c>
      <c r="BH474" s="4">
        <f t="shared" si="1634"/>
        <v>7078.029277662743</v>
      </c>
      <c r="BI474" s="4">
        <f t="shared" si="1635"/>
        <v>0</v>
      </c>
      <c r="BJ474" s="4">
        <f t="shared" si="1636"/>
        <v>0</v>
      </c>
      <c r="BR474" s="4">
        <f t="shared" si="1637"/>
        <v>596.9</v>
      </c>
      <c r="BV474" s="9"/>
      <c r="BX474" s="9"/>
      <c r="BY474" s="9"/>
      <c r="BZ474" s="9">
        <f t="shared" si="1638"/>
        <v>596.9</v>
      </c>
      <c r="CA474" s="9">
        <f t="shared" si="1639"/>
        <v>596.9</v>
      </c>
      <c r="CB474" s="9">
        <f t="shared" si="1640"/>
        <v>4.8476798574163293</v>
      </c>
      <c r="CC474" s="40">
        <f t="shared" si="1641"/>
        <v>0</v>
      </c>
      <c r="CD474" s="9">
        <f t="shared" si="1642"/>
        <v>0</v>
      </c>
      <c r="CE474" s="9">
        <f t="shared" si="1643"/>
        <v>0</v>
      </c>
      <c r="CF474" s="9">
        <f t="shared" si="1644"/>
        <v>0.99524931562137331</v>
      </c>
      <c r="CG474" s="9">
        <f t="shared" si="1645"/>
        <v>0.68</v>
      </c>
      <c r="CH474" s="9">
        <f t="shared" si="1646"/>
        <v>1.6910134532890686</v>
      </c>
      <c r="CI474" s="9">
        <f t="shared" si="1647"/>
        <v>4.2275336332226718</v>
      </c>
      <c r="CJ474" s="40">
        <v>1</v>
      </c>
      <c r="CK474" s="9">
        <f t="shared" si="1648"/>
        <v>355.11282519070443</v>
      </c>
      <c r="DI474" s="4">
        <f t="shared" si="1649"/>
        <v>152.39999999999998</v>
      </c>
      <c r="DL474" s="4">
        <f t="shared" si="1650"/>
        <v>1.2315673098492836E-5</v>
      </c>
      <c r="DM474" s="4">
        <f t="shared" si="1651"/>
        <v>10.952938000267244</v>
      </c>
      <c r="DN474" s="4">
        <f t="shared" si="1652"/>
        <v>0.2240198265930059</v>
      </c>
      <c r="DO474" s="4">
        <f t="shared" si="1653"/>
        <v>6.0206753837110494</v>
      </c>
      <c r="DP474" s="4">
        <f t="shared" si="1654"/>
        <v>8.8406045061947474</v>
      </c>
      <c r="DQ474" s="4">
        <f t="shared" si="1655"/>
        <v>10.68681250650315</v>
      </c>
      <c r="DR474" s="38">
        <f t="shared" si="1656"/>
        <v>518.74005951961703</v>
      </c>
      <c r="DS474" s="4">
        <f t="shared" si="1657"/>
        <v>1</v>
      </c>
      <c r="DT474" s="4">
        <f t="shared" si="1658"/>
        <v>3.1780497164141401</v>
      </c>
      <c r="DU474" s="4">
        <f t="shared" si="1659"/>
        <v>331.33580316116183</v>
      </c>
      <c r="DY474" s="4">
        <f t="shared" si="1660"/>
        <v>0.85</v>
      </c>
      <c r="DZ474" s="4">
        <f t="shared" si="1661"/>
        <v>0.7</v>
      </c>
      <c r="EA474" s="4">
        <f t="shared" si="1662"/>
        <v>1</v>
      </c>
      <c r="EB474" s="4">
        <f t="shared" si="1663"/>
        <v>0.7</v>
      </c>
      <c r="ED474" s="4">
        <f t="shared" si="1664"/>
        <v>889.65517241379314</v>
      </c>
      <c r="EH474" s="4">
        <f t="shared" si="1665"/>
        <v>10.952938000267244</v>
      </c>
      <c r="EK474" s="4">
        <f t="shared" si="1666"/>
        <v>80.72246279691916</v>
      </c>
      <c r="EL474" s="4">
        <f t="shared" si="1667"/>
        <v>3.1780497164141406</v>
      </c>
      <c r="EM474" s="4">
        <f t="shared" si="1668"/>
        <v>8.7596207192686099E-2</v>
      </c>
      <c r="EP474" s="4">
        <f t="shared" si="1669"/>
        <v>8.7596207192686099E-2</v>
      </c>
      <c r="EQ474" s="4">
        <f t="shared" si="1670"/>
        <v>0.2240198265930059</v>
      </c>
      <c r="ER474" s="4">
        <f t="shared" si="1671"/>
        <v>6.0206753837110494</v>
      </c>
      <c r="ES474" s="4">
        <f t="shared" si="1672"/>
        <v>8.8406045061947474</v>
      </c>
      <c r="ET474" s="4">
        <f t="shared" si="1673"/>
        <v>33.577537203080823</v>
      </c>
      <c r="EU474" s="4">
        <f t="shared" si="1674"/>
        <v>38.099999999999994</v>
      </c>
      <c r="EV474" s="4">
        <f t="shared" si="1675"/>
        <v>1.2315673098492836E-5</v>
      </c>
      <c r="EW474" s="4">
        <f t="shared" si="1676"/>
        <v>10.686812506503149</v>
      </c>
      <c r="EX474" s="4">
        <f t="shared" si="1677"/>
        <v>518.74005951961703</v>
      </c>
      <c r="FG474" s="23"/>
      <c r="FH474" s="23"/>
      <c r="FI474" s="23"/>
      <c r="FJ474" s="23"/>
      <c r="FK474" s="23"/>
      <c r="FL474" s="23"/>
      <c r="FM474" s="23"/>
      <c r="FN474" s="23"/>
      <c r="FX474" s="4">
        <f t="shared" si="1678"/>
        <v>1</v>
      </c>
      <c r="FY474" s="4">
        <f t="shared" si="1679"/>
        <v>1.0833333333333333</v>
      </c>
      <c r="FZ474" s="4">
        <f t="shared" si="1680"/>
        <v>0</v>
      </c>
      <c r="GA474" s="4">
        <f t="shared" si="1681"/>
        <v>147.56080295276789</v>
      </c>
    </row>
    <row r="475" spans="1:183" ht="12" customHeight="1" x14ac:dyDescent="0.3">
      <c r="A475" s="113"/>
      <c r="B475" s="14" t="s">
        <v>605</v>
      </c>
      <c r="C475" s="24"/>
      <c r="D475" s="14" t="s">
        <v>365</v>
      </c>
      <c r="E475" s="24"/>
      <c r="F475" s="43" t="s">
        <v>629</v>
      </c>
      <c r="G475" s="38">
        <f t="shared" si="1612"/>
        <v>889.65517241379314</v>
      </c>
      <c r="H475" s="45">
        <v>154.93999999999997</v>
      </c>
      <c r="I475" s="4">
        <f t="shared" si="1613"/>
        <v>154.93999999999997</v>
      </c>
      <c r="J475" s="45">
        <v>50.96551724137931</v>
      </c>
      <c r="K475" s="7">
        <v>25.4</v>
      </c>
      <c r="L475" s="7">
        <f t="shared" si="1614"/>
        <v>6.0999999999999988</v>
      </c>
      <c r="M475" s="7">
        <f t="shared" si="1615"/>
        <v>6.0999999999999988</v>
      </c>
      <c r="N475" s="45">
        <v>1219.1999999999998</v>
      </c>
      <c r="O475" s="45">
        <v>596.9</v>
      </c>
      <c r="P475" s="45">
        <v>596.9</v>
      </c>
      <c r="Q475" s="7"/>
      <c r="R475" s="38">
        <v>1</v>
      </c>
      <c r="T475" s="7">
        <f t="shared" si="1682"/>
        <v>24</v>
      </c>
      <c r="U475" s="7">
        <f t="shared" si="1616"/>
        <v>24</v>
      </c>
      <c r="V475" s="45">
        <v>4</v>
      </c>
      <c r="W475" s="4">
        <f t="shared" si="1617"/>
        <v>4</v>
      </c>
      <c r="X475" s="4">
        <f t="shared" si="1618"/>
        <v>5</v>
      </c>
      <c r="Y475" s="7">
        <f t="shared" si="1619"/>
        <v>56.796126628494655</v>
      </c>
      <c r="AB475" s="45">
        <v>528.27586206896547</v>
      </c>
      <c r="AE475" s="38"/>
      <c r="AF475" s="38"/>
      <c r="AG475" s="39">
        <v>1</v>
      </c>
      <c r="AH475" s="39"/>
      <c r="AI475" s="39"/>
      <c r="AK475" s="4">
        <f t="shared" si="1620"/>
        <v>154.93999999999997</v>
      </c>
      <c r="AL475" s="4">
        <f t="shared" si="1621"/>
        <v>1</v>
      </c>
      <c r="AM475" s="4">
        <f t="shared" si="1622"/>
        <v>271.72289368638678</v>
      </c>
      <c r="AN475" s="4">
        <f t="shared" si="1623"/>
        <v>1</v>
      </c>
      <c r="AO475" s="4">
        <v>1.25</v>
      </c>
      <c r="AP475" s="4">
        <v>1</v>
      </c>
      <c r="AQ475" s="38">
        <f t="shared" si="1624"/>
        <v>339.65361710798345</v>
      </c>
      <c r="AR475" s="38">
        <f t="shared" si="1683"/>
        <v>339.65361710798345</v>
      </c>
      <c r="AS475" s="38">
        <f t="shared" si="1625"/>
        <v>4.093765657510513</v>
      </c>
      <c r="AX475" s="4">
        <f t="shared" si="1626"/>
        <v>229.19991494874753</v>
      </c>
      <c r="AY475" s="4">
        <f t="shared" si="1627"/>
        <v>1</v>
      </c>
      <c r="AZ475" s="38">
        <f t="shared" si="1628"/>
        <v>4892.6896551724139</v>
      </c>
      <c r="BA475" s="4">
        <f t="shared" si="1629"/>
        <v>0.44000000000000006</v>
      </c>
      <c r="BB475" s="4">
        <f t="shared" si="1630"/>
        <v>52.69306044671707</v>
      </c>
      <c r="BC475" s="4">
        <f t="shared" si="1631"/>
        <v>4945.382715619131</v>
      </c>
      <c r="BE475" s="4">
        <f t="shared" si="1632"/>
        <v>1.5</v>
      </c>
      <c r="BF475" s="4">
        <f t="shared" si="1633"/>
        <v>517.22154577491551</v>
      </c>
      <c r="BH475" s="4">
        <f t="shared" si="1634"/>
        <v>4692.6877162662367</v>
      </c>
      <c r="BI475" s="4">
        <f t="shared" si="1635"/>
        <v>0</v>
      </c>
      <c r="BJ475" s="4">
        <f t="shared" si="1636"/>
        <v>0</v>
      </c>
      <c r="BR475" s="4">
        <f t="shared" si="1637"/>
        <v>596.9</v>
      </c>
      <c r="BV475" s="9"/>
      <c r="BX475" s="9"/>
      <c r="BY475" s="9"/>
      <c r="BZ475" s="9">
        <f t="shared" si="1638"/>
        <v>596.9</v>
      </c>
      <c r="CA475" s="9">
        <f t="shared" si="1639"/>
        <v>596.9</v>
      </c>
      <c r="CB475" s="9">
        <f t="shared" si="1640"/>
        <v>4.8476798574163293</v>
      </c>
      <c r="CC475" s="40">
        <f t="shared" si="1641"/>
        <v>0</v>
      </c>
      <c r="CD475" s="9">
        <f t="shared" si="1642"/>
        <v>0</v>
      </c>
      <c r="CE475" s="9">
        <f t="shared" si="1643"/>
        <v>0</v>
      </c>
      <c r="CF475" s="9">
        <f t="shared" si="1644"/>
        <v>0.99524931562137331</v>
      </c>
      <c r="CG475" s="9">
        <f t="shared" si="1645"/>
        <v>0.68</v>
      </c>
      <c r="CH475" s="9">
        <f t="shared" si="1646"/>
        <v>1.6910134532890686</v>
      </c>
      <c r="CI475" s="9">
        <f t="shared" si="1647"/>
        <v>4.2275336332226718</v>
      </c>
      <c r="CJ475" s="40">
        <v>1</v>
      </c>
      <c r="CK475" s="9">
        <f t="shared" si="1648"/>
        <v>356.80383864399346</v>
      </c>
      <c r="DI475" s="4">
        <f t="shared" si="1649"/>
        <v>154.93999999999997</v>
      </c>
      <c r="DL475" s="4">
        <f t="shared" si="1650"/>
        <v>1.2520934316801049E-5</v>
      </c>
      <c r="DM475" s="4">
        <f t="shared" si="1651"/>
        <v>10.952938000267244</v>
      </c>
      <c r="DN475" s="4">
        <f t="shared" si="1652"/>
        <v>0.36758692053052205</v>
      </c>
      <c r="DO475" s="4">
        <f t="shared" si="1653"/>
        <v>7.3396381486517051</v>
      </c>
      <c r="DP475" s="4">
        <f t="shared" si="1654"/>
        <v>9.3236788279505589</v>
      </c>
      <c r="DQ475" s="4">
        <f t="shared" si="1655"/>
        <v>10.630203294189718</v>
      </c>
      <c r="DR475" s="38">
        <f t="shared" si="1656"/>
        <v>557.37538043788754</v>
      </c>
      <c r="DS475" s="4">
        <f t="shared" si="1657"/>
        <v>1</v>
      </c>
      <c r="DT475" s="4">
        <f t="shared" si="1658"/>
        <v>2.2360679774997898</v>
      </c>
      <c r="DU475" s="4">
        <f t="shared" si="1659"/>
        <v>339.65361710798345</v>
      </c>
      <c r="DY475" s="4">
        <f t="shared" si="1660"/>
        <v>0.85</v>
      </c>
      <c r="DZ475" s="4">
        <f t="shared" si="1661"/>
        <v>0.7</v>
      </c>
      <c r="EA475" s="4">
        <f t="shared" si="1662"/>
        <v>1</v>
      </c>
      <c r="EB475" s="4">
        <f t="shared" si="1663"/>
        <v>0.7</v>
      </c>
      <c r="ED475" s="4">
        <f t="shared" si="1664"/>
        <v>889.65517241379314</v>
      </c>
      <c r="EH475" s="4">
        <f t="shared" si="1665"/>
        <v>10.952938000267244</v>
      </c>
      <c r="EK475" s="4">
        <f t="shared" si="1666"/>
        <v>56.796126628494655</v>
      </c>
      <c r="EL475" s="4">
        <f t="shared" si="1667"/>
        <v>2.2360679774997898</v>
      </c>
      <c r="EM475" s="4">
        <f t="shared" si="1668"/>
        <v>0.14373379598499492</v>
      </c>
      <c r="EP475" s="4">
        <f t="shared" si="1669"/>
        <v>0.14373379598499492</v>
      </c>
      <c r="EQ475" s="4">
        <f t="shared" si="1670"/>
        <v>0.36758692053052205</v>
      </c>
      <c r="ER475" s="4">
        <f t="shared" si="1671"/>
        <v>7.3396381486517051</v>
      </c>
      <c r="ES475" s="4">
        <f t="shared" si="1672"/>
        <v>9.3236788279505589</v>
      </c>
      <c r="ET475" s="4">
        <f t="shared" si="1673"/>
        <v>59.408873371505329</v>
      </c>
      <c r="EU475" s="4">
        <f t="shared" si="1674"/>
        <v>38.734999999999992</v>
      </c>
      <c r="EV475" s="4">
        <f t="shared" si="1675"/>
        <v>1.2520934316801049E-5</v>
      </c>
      <c r="EW475" s="4">
        <f t="shared" si="1676"/>
        <v>10.630203294189718</v>
      </c>
      <c r="EX475" s="4">
        <f t="shared" si="1677"/>
        <v>557.37538043788754</v>
      </c>
      <c r="FG475" s="23"/>
      <c r="FH475" s="23"/>
      <c r="FI475" s="23"/>
      <c r="FJ475" s="23"/>
      <c r="FK475" s="23"/>
      <c r="FL475" s="23"/>
      <c r="FM475" s="23"/>
      <c r="FN475" s="23"/>
      <c r="FX475" s="4">
        <f t="shared" si="1678"/>
        <v>1</v>
      </c>
      <c r="FY475" s="4">
        <f t="shared" si="1679"/>
        <v>1.0833333333333333</v>
      </c>
      <c r="FZ475" s="4">
        <f t="shared" si="1680"/>
        <v>0</v>
      </c>
      <c r="GA475" s="4">
        <f t="shared" si="1681"/>
        <v>150.02014966864735</v>
      </c>
    </row>
    <row r="476" spans="1:183" ht="12" customHeight="1" x14ac:dyDescent="0.3">
      <c r="A476" s="113"/>
      <c r="B476" s="14" t="s">
        <v>605</v>
      </c>
      <c r="C476" s="24"/>
      <c r="D476" s="14" t="s">
        <v>365</v>
      </c>
      <c r="E476" s="24"/>
      <c r="F476" s="43" t="s">
        <v>630</v>
      </c>
      <c r="G476" s="38">
        <f t="shared" si="1612"/>
        <v>889.65517241379314</v>
      </c>
      <c r="H476" s="45">
        <v>154.93999999999997</v>
      </c>
      <c r="I476" s="4">
        <f t="shared" si="1613"/>
        <v>154.93999999999997</v>
      </c>
      <c r="J476" s="45">
        <v>50.96551724137931</v>
      </c>
      <c r="K476" s="7">
        <v>25.4</v>
      </c>
      <c r="L476" s="7">
        <f t="shared" si="1614"/>
        <v>6.0999999999999988</v>
      </c>
      <c r="M476" s="7">
        <f t="shared" si="1615"/>
        <v>6.0999999999999988</v>
      </c>
      <c r="N476" s="45">
        <v>1219.1999999999998</v>
      </c>
      <c r="O476" s="45">
        <v>596.9</v>
      </c>
      <c r="P476" s="45">
        <v>596.9</v>
      </c>
      <c r="Q476" s="7"/>
      <c r="R476" s="38">
        <v>1</v>
      </c>
      <c r="T476" s="7">
        <f t="shared" si="1682"/>
        <v>24</v>
      </c>
      <c r="U476" s="7">
        <f t="shared" si="1616"/>
        <v>24</v>
      </c>
      <c r="V476" s="45">
        <v>9.5</v>
      </c>
      <c r="W476" s="4">
        <f t="shared" si="1617"/>
        <v>9.5</v>
      </c>
      <c r="X476" s="4">
        <f t="shared" si="1618"/>
        <v>10.5</v>
      </c>
      <c r="Y476" s="7">
        <f t="shared" si="1619"/>
        <v>82.305406869779816</v>
      </c>
      <c r="AB476" s="45">
        <v>503.44827586206901</v>
      </c>
      <c r="AE476" s="38"/>
      <c r="AF476" s="38"/>
      <c r="AG476" s="39">
        <v>1</v>
      </c>
      <c r="AH476" s="39"/>
      <c r="AI476" s="39"/>
      <c r="AK476" s="4">
        <f t="shared" si="1620"/>
        <v>154.93999999999997</v>
      </c>
      <c r="AL476" s="4">
        <f t="shared" si="1621"/>
        <v>1</v>
      </c>
      <c r="AM476" s="4">
        <f t="shared" si="1622"/>
        <v>271.72289368638678</v>
      </c>
      <c r="AN476" s="4">
        <f t="shared" si="1623"/>
        <v>1</v>
      </c>
      <c r="AO476" s="4">
        <v>1.25</v>
      </c>
      <c r="AP476" s="4">
        <v>1</v>
      </c>
      <c r="AQ476" s="38">
        <f t="shared" si="1624"/>
        <v>339.65361710798345</v>
      </c>
      <c r="AR476" s="38">
        <f t="shared" si="1683"/>
        <v>339.65361710798345</v>
      </c>
      <c r="AS476" s="38">
        <f t="shared" si="1625"/>
        <v>4.093765657510513</v>
      </c>
      <c r="AX476" s="4">
        <f t="shared" si="1626"/>
        <v>229.19991494874753</v>
      </c>
      <c r="AY476" s="4">
        <f t="shared" si="1627"/>
        <v>1</v>
      </c>
      <c r="AZ476" s="38">
        <f t="shared" si="1628"/>
        <v>7540.1411556315707</v>
      </c>
      <c r="BA476" s="4">
        <f t="shared" si="1629"/>
        <v>0.3</v>
      </c>
      <c r="BB476" s="4">
        <f t="shared" si="1630"/>
        <v>35.927086668216177</v>
      </c>
      <c r="BC476" s="4">
        <f t="shared" si="1631"/>
        <v>7576.068242299787</v>
      </c>
      <c r="BE476" s="4">
        <f t="shared" si="1632"/>
        <v>1.5</v>
      </c>
      <c r="BF476" s="4">
        <f t="shared" si="1633"/>
        <v>517.22154577491551</v>
      </c>
      <c r="BH476" s="4">
        <f t="shared" si="1634"/>
        <v>7231.9174674280239</v>
      </c>
      <c r="BI476" s="4">
        <f t="shared" si="1635"/>
        <v>0</v>
      </c>
      <c r="BJ476" s="4">
        <f t="shared" si="1636"/>
        <v>0</v>
      </c>
      <c r="BR476" s="4">
        <f t="shared" si="1637"/>
        <v>596.9</v>
      </c>
      <c r="BV476" s="9"/>
      <c r="BX476" s="9"/>
      <c r="BY476" s="9"/>
      <c r="BZ476" s="9">
        <f t="shared" si="1638"/>
        <v>596.9</v>
      </c>
      <c r="CA476" s="9">
        <f t="shared" si="1639"/>
        <v>596.9</v>
      </c>
      <c r="CB476" s="9">
        <f t="shared" si="1640"/>
        <v>4.8476798574163293</v>
      </c>
      <c r="CC476" s="40">
        <f t="shared" si="1641"/>
        <v>0</v>
      </c>
      <c r="CD476" s="9">
        <f t="shared" si="1642"/>
        <v>0</v>
      </c>
      <c r="CE476" s="9">
        <f t="shared" si="1643"/>
        <v>0</v>
      </c>
      <c r="CF476" s="9">
        <f t="shared" si="1644"/>
        <v>0.99524931562137331</v>
      </c>
      <c r="CG476" s="9">
        <f t="shared" si="1645"/>
        <v>0.68</v>
      </c>
      <c r="CH476" s="9">
        <f t="shared" si="1646"/>
        <v>1.6910134532890686</v>
      </c>
      <c r="CI476" s="9">
        <f t="shared" si="1647"/>
        <v>4.2275336332226718</v>
      </c>
      <c r="CJ476" s="40">
        <v>1</v>
      </c>
      <c r="CK476" s="9">
        <f t="shared" si="1648"/>
        <v>356.80383864399346</v>
      </c>
      <c r="DI476" s="4">
        <f t="shared" si="1649"/>
        <v>154.93999999999997</v>
      </c>
      <c r="DL476" s="4">
        <f t="shared" si="1650"/>
        <v>1.2520934316801049E-5</v>
      </c>
      <c r="DM476" s="4">
        <f t="shared" si="1651"/>
        <v>10.952938000267244</v>
      </c>
      <c r="DN476" s="4">
        <f t="shared" si="1652"/>
        <v>0.22428802325807964</v>
      </c>
      <c r="DO476" s="4">
        <f t="shared" si="1653"/>
        <v>6.0235575312584908</v>
      </c>
      <c r="DP476" s="4">
        <f t="shared" si="1654"/>
        <v>8.841578977482591</v>
      </c>
      <c r="DQ476" s="4">
        <f t="shared" si="1655"/>
        <v>10.678024043481885</v>
      </c>
      <c r="DR476" s="38">
        <f t="shared" si="1656"/>
        <v>530.0647265100929</v>
      </c>
      <c r="DS476" s="4">
        <f t="shared" si="1657"/>
        <v>1</v>
      </c>
      <c r="DT476" s="4">
        <f t="shared" si="1658"/>
        <v>3.2403703492039297</v>
      </c>
      <c r="DU476" s="4">
        <f t="shared" si="1659"/>
        <v>339.65361710798345</v>
      </c>
      <c r="DY476" s="4">
        <f t="shared" si="1660"/>
        <v>0.85</v>
      </c>
      <c r="DZ476" s="4">
        <f t="shared" si="1661"/>
        <v>0.7</v>
      </c>
      <c r="EA476" s="4">
        <f t="shared" si="1662"/>
        <v>1</v>
      </c>
      <c r="EB476" s="4">
        <f t="shared" si="1663"/>
        <v>0.7</v>
      </c>
      <c r="ED476" s="4">
        <f t="shared" si="1664"/>
        <v>889.65517241379314</v>
      </c>
      <c r="EH476" s="4">
        <f t="shared" si="1665"/>
        <v>10.952938000267244</v>
      </c>
      <c r="EK476" s="4">
        <f t="shared" si="1666"/>
        <v>82.305406869779816</v>
      </c>
      <c r="EL476" s="4">
        <f t="shared" si="1667"/>
        <v>3.2403703492039302</v>
      </c>
      <c r="EM476" s="4">
        <f t="shared" si="1668"/>
        <v>8.7701077422252291E-2</v>
      </c>
      <c r="EP476" s="4">
        <f t="shared" si="1669"/>
        <v>8.7701077422252291E-2</v>
      </c>
      <c r="EQ476" s="4">
        <f t="shared" si="1670"/>
        <v>0.22428802325807964</v>
      </c>
      <c r="ER476" s="4">
        <f t="shared" si="1671"/>
        <v>6.0235575312584908</v>
      </c>
      <c r="ES476" s="4">
        <f t="shared" si="1672"/>
        <v>8.841578977482591</v>
      </c>
      <c r="ET476" s="4">
        <f t="shared" si="1673"/>
        <v>33.899593130220168</v>
      </c>
      <c r="EU476" s="4">
        <f t="shared" si="1674"/>
        <v>38.734999999999985</v>
      </c>
      <c r="EV476" s="4">
        <f t="shared" si="1675"/>
        <v>1.2520934316801048E-5</v>
      </c>
      <c r="EW476" s="4">
        <f t="shared" si="1676"/>
        <v>10.678024043481887</v>
      </c>
      <c r="EX476" s="4">
        <f t="shared" si="1677"/>
        <v>530.0647265100929</v>
      </c>
      <c r="FG476" s="23"/>
      <c r="FH476" s="23"/>
      <c r="FI476" s="23"/>
      <c r="FJ476" s="23"/>
      <c r="FK476" s="23"/>
      <c r="FL476" s="23"/>
      <c r="FM476" s="23"/>
      <c r="FN476" s="23"/>
      <c r="FX476" s="4">
        <f t="shared" si="1678"/>
        <v>1</v>
      </c>
      <c r="FY476" s="4">
        <f t="shared" si="1679"/>
        <v>1.0833333333333333</v>
      </c>
      <c r="FZ476" s="4">
        <f t="shared" si="1680"/>
        <v>0</v>
      </c>
      <c r="GA476" s="4">
        <f t="shared" si="1681"/>
        <v>150.02014966864735</v>
      </c>
    </row>
    <row r="477" spans="1:183" ht="12" customHeight="1" x14ac:dyDescent="0.3">
      <c r="A477" s="113"/>
      <c r="B477" s="14" t="s">
        <v>605</v>
      </c>
      <c r="C477" s="24"/>
      <c r="D477" s="14" t="s">
        <v>365</v>
      </c>
      <c r="E477" s="24"/>
      <c r="F477" s="43" t="s">
        <v>631</v>
      </c>
      <c r="G477" s="38">
        <f t="shared" si="1612"/>
        <v>889.65517241379314</v>
      </c>
      <c r="H477" s="45">
        <v>160.01999999999998</v>
      </c>
      <c r="I477" s="4">
        <f t="shared" si="1613"/>
        <v>160.01999999999998</v>
      </c>
      <c r="J477" s="45">
        <v>59.448275862068968</v>
      </c>
      <c r="K477" s="7">
        <v>25.4</v>
      </c>
      <c r="L477" s="7">
        <f t="shared" si="1614"/>
        <v>6.3</v>
      </c>
      <c r="M477" s="7">
        <f t="shared" si="1615"/>
        <v>6.3</v>
      </c>
      <c r="N477" s="45">
        <v>1219.1999999999998</v>
      </c>
      <c r="O477" s="45">
        <v>596.9</v>
      </c>
      <c r="P477" s="45">
        <v>596.9</v>
      </c>
      <c r="Q477" s="7"/>
      <c r="R477" s="38">
        <v>1</v>
      </c>
      <c r="T477" s="7">
        <f t="shared" si="1682"/>
        <v>24</v>
      </c>
      <c r="U477" s="7">
        <f t="shared" si="1616"/>
        <v>24</v>
      </c>
      <c r="V477" s="45">
        <v>12.9</v>
      </c>
      <c r="W477" s="4">
        <f t="shared" si="1617"/>
        <v>12.9</v>
      </c>
      <c r="X477" s="4">
        <f t="shared" si="1618"/>
        <v>13.9</v>
      </c>
      <c r="Y477" s="7">
        <f t="shared" si="1619"/>
        <v>94.698067562120812</v>
      </c>
      <c r="AB477" s="45">
        <v>689.65517241379314</v>
      </c>
      <c r="AE477" s="38"/>
      <c r="AF477" s="38"/>
      <c r="AG477" s="39">
        <v>1</v>
      </c>
      <c r="AH477" s="39"/>
      <c r="AI477" s="39"/>
      <c r="AK477" s="4">
        <f t="shared" si="1620"/>
        <v>160.01999999999998</v>
      </c>
      <c r="AL477" s="4">
        <f t="shared" si="1621"/>
        <v>1</v>
      </c>
      <c r="AM477" s="4">
        <f t="shared" si="1622"/>
        <v>308.01631180193135</v>
      </c>
      <c r="AN477" s="4">
        <f t="shared" si="1623"/>
        <v>1</v>
      </c>
      <c r="AO477" s="4">
        <v>1.25</v>
      </c>
      <c r="AP477" s="4">
        <v>1</v>
      </c>
      <c r="AQ477" s="38">
        <f t="shared" si="1624"/>
        <v>385.02038975241419</v>
      </c>
      <c r="AR477" s="38">
        <f t="shared" si="1683"/>
        <v>385.02038975241419</v>
      </c>
      <c r="AS477" s="38">
        <f t="shared" si="1625"/>
        <v>4.3396934501138817</v>
      </c>
      <c r="AX477" s="4">
        <f t="shared" si="1626"/>
        <v>255.65634769234322</v>
      </c>
      <c r="AY477" s="4">
        <f t="shared" si="1627"/>
        <v>1</v>
      </c>
      <c r="AZ477" s="38">
        <f t="shared" si="1628"/>
        <v>10248.855172376669</v>
      </c>
      <c r="BA477" s="4">
        <f t="shared" si="1629"/>
        <v>0.3</v>
      </c>
      <c r="BB477" s="4">
        <f t="shared" si="1630"/>
        <v>40.074132500774788</v>
      </c>
      <c r="BC477" s="4">
        <f t="shared" si="1631"/>
        <v>10288.929304877443</v>
      </c>
      <c r="BE477" s="4">
        <f t="shared" si="1632"/>
        <v>1.5</v>
      </c>
      <c r="BF477" s="4">
        <f t="shared" si="1633"/>
        <v>565.54836343084776</v>
      </c>
      <c r="BH477" s="4">
        <f t="shared" si="1634"/>
        <v>9829.9054636255823</v>
      </c>
      <c r="BI477" s="4">
        <f t="shared" si="1635"/>
        <v>0</v>
      </c>
      <c r="BJ477" s="4">
        <f t="shared" si="1636"/>
        <v>0</v>
      </c>
      <c r="BR477" s="4">
        <f t="shared" si="1637"/>
        <v>596.9</v>
      </c>
      <c r="BV477" s="9"/>
      <c r="BX477" s="9"/>
      <c r="BY477" s="9"/>
      <c r="BZ477" s="9">
        <f t="shared" si="1638"/>
        <v>596.9</v>
      </c>
      <c r="CA477" s="9">
        <f t="shared" si="1639"/>
        <v>596.9</v>
      </c>
      <c r="CB477" s="9">
        <f t="shared" si="1640"/>
        <v>4.8476798574163293</v>
      </c>
      <c r="CC477" s="40">
        <f t="shared" si="1641"/>
        <v>0</v>
      </c>
      <c r="CD477" s="9">
        <f t="shared" si="1642"/>
        <v>0</v>
      </c>
      <c r="CE477" s="9">
        <f t="shared" si="1643"/>
        <v>0</v>
      </c>
      <c r="CF477" s="9">
        <f t="shared" si="1644"/>
        <v>0.99524931562137331</v>
      </c>
      <c r="CG477" s="9">
        <f t="shared" si="1645"/>
        <v>0.68</v>
      </c>
      <c r="CH477" s="9">
        <f t="shared" si="1646"/>
        <v>1.8263267342054628</v>
      </c>
      <c r="CI477" s="9">
        <f t="shared" si="1647"/>
        <v>4.5658168355136572</v>
      </c>
      <c r="CJ477" s="40">
        <v>1</v>
      </c>
      <c r="CK477" s="9">
        <f t="shared" si="1648"/>
        <v>389.00759438576358</v>
      </c>
      <c r="DI477" s="4">
        <f t="shared" si="1649"/>
        <v>160.01999999999998</v>
      </c>
      <c r="DL477" s="4">
        <f t="shared" si="1650"/>
        <v>1.3631853306974178E-5</v>
      </c>
      <c r="DM477" s="4">
        <f t="shared" si="1651"/>
        <v>11.829381634472119</v>
      </c>
      <c r="DN477" s="4">
        <f t="shared" si="1652"/>
        <v>0.18468745080108853</v>
      </c>
      <c r="DO477" s="4">
        <f t="shared" si="1653"/>
        <v>6.0191753840793982</v>
      </c>
      <c r="DP477" s="4">
        <f t="shared" si="1654"/>
        <v>9.3896641998498129</v>
      </c>
      <c r="DQ477" s="4">
        <f t="shared" si="1655"/>
        <v>11.494727829289342</v>
      </c>
      <c r="DR477" s="38">
        <f t="shared" si="1656"/>
        <v>584.63745402997267</v>
      </c>
      <c r="DS477" s="4">
        <f t="shared" si="1657"/>
        <v>1.0000000000000002</v>
      </c>
      <c r="DT477" s="4">
        <f t="shared" si="1658"/>
        <v>3.7282703764614493</v>
      </c>
      <c r="DU477" s="4">
        <f t="shared" si="1659"/>
        <v>385.02038975241419</v>
      </c>
      <c r="DY477" s="4">
        <f t="shared" si="1660"/>
        <v>0.85</v>
      </c>
      <c r="DZ477" s="4">
        <f t="shared" si="1661"/>
        <v>0.7</v>
      </c>
      <c r="EA477" s="4">
        <f t="shared" si="1662"/>
        <v>1</v>
      </c>
      <c r="EB477" s="4">
        <f t="shared" si="1663"/>
        <v>0.7</v>
      </c>
      <c r="ED477" s="4">
        <f t="shared" si="1664"/>
        <v>889.65517241379314</v>
      </c>
      <c r="EH477" s="4">
        <f t="shared" si="1665"/>
        <v>11.829381634472119</v>
      </c>
      <c r="EK477" s="4">
        <f t="shared" si="1666"/>
        <v>94.698067562120812</v>
      </c>
      <c r="EL477" s="4">
        <f t="shared" si="1667"/>
        <v>3.7282703764614498</v>
      </c>
      <c r="EM477" s="4">
        <f t="shared" si="1668"/>
        <v>7.7995158688872135E-2</v>
      </c>
      <c r="EP477" s="4">
        <f t="shared" si="1669"/>
        <v>7.7995158688872135E-2</v>
      </c>
      <c r="EQ477" s="4">
        <f t="shared" si="1670"/>
        <v>0.18468745080108853</v>
      </c>
      <c r="ER477" s="4">
        <f t="shared" si="1671"/>
        <v>6.0191753840793982</v>
      </c>
      <c r="ES477" s="4">
        <f t="shared" si="1672"/>
        <v>9.3896641998498129</v>
      </c>
      <c r="ET477" s="4">
        <f t="shared" si="1673"/>
        <v>25.316932437879174</v>
      </c>
      <c r="EU477" s="4">
        <f t="shared" si="1674"/>
        <v>40.004999999999995</v>
      </c>
      <c r="EV477" s="4">
        <f t="shared" si="1675"/>
        <v>1.3631853306974178E-5</v>
      </c>
      <c r="EW477" s="4">
        <f t="shared" si="1676"/>
        <v>11.494727829289342</v>
      </c>
      <c r="EX477" s="4">
        <f t="shared" si="1677"/>
        <v>584.63745402997256</v>
      </c>
      <c r="FG477" s="23"/>
      <c r="FH477" s="23"/>
      <c r="FI477" s="23"/>
      <c r="FJ477" s="23"/>
      <c r="FK477" s="23"/>
      <c r="FL477" s="23"/>
      <c r="FM477" s="23"/>
      <c r="FN477" s="23"/>
      <c r="FX477" s="4">
        <f t="shared" si="1678"/>
        <v>1</v>
      </c>
      <c r="FY477" s="4">
        <f t="shared" si="1679"/>
        <v>1.0833333333333333</v>
      </c>
      <c r="FZ477" s="4">
        <f t="shared" si="1680"/>
        <v>0</v>
      </c>
      <c r="GA477" s="4">
        <f t="shared" si="1681"/>
        <v>161.01858866173305</v>
      </c>
    </row>
    <row r="478" spans="1:183" ht="12" customHeight="1" x14ac:dyDescent="0.3">
      <c r="A478" s="113"/>
      <c r="B478" s="14" t="s">
        <v>605</v>
      </c>
      <c r="C478" s="24"/>
      <c r="D478" s="14" t="s">
        <v>365</v>
      </c>
      <c r="E478" s="24"/>
      <c r="F478" s="43" t="s">
        <v>632</v>
      </c>
      <c r="G478" s="38">
        <f t="shared" si="1612"/>
        <v>889.65517241379314</v>
      </c>
      <c r="H478" s="45">
        <v>160.01999999999998</v>
      </c>
      <c r="I478" s="4">
        <f t="shared" si="1613"/>
        <v>160.01999999999998</v>
      </c>
      <c r="J478" s="45">
        <v>59.448275862068968</v>
      </c>
      <c r="K478" s="7">
        <v>25.4</v>
      </c>
      <c r="L478" s="7">
        <f t="shared" si="1614"/>
        <v>6.3</v>
      </c>
      <c r="M478" s="7">
        <f t="shared" si="1615"/>
        <v>6.3</v>
      </c>
      <c r="N478" s="45">
        <v>1219.1999999999998</v>
      </c>
      <c r="O478" s="45">
        <v>596.9</v>
      </c>
      <c r="P478" s="45">
        <v>596.9</v>
      </c>
      <c r="Q478" s="7"/>
      <c r="R478" s="38">
        <v>1</v>
      </c>
      <c r="T478" s="7">
        <f t="shared" si="1682"/>
        <v>24</v>
      </c>
      <c r="U478" s="7">
        <f t="shared" si="1616"/>
        <v>24</v>
      </c>
      <c r="V478" s="45">
        <v>9.1</v>
      </c>
      <c r="W478" s="4">
        <f t="shared" si="1617"/>
        <v>9.1</v>
      </c>
      <c r="X478" s="4">
        <f t="shared" si="1618"/>
        <v>10.1</v>
      </c>
      <c r="Y478" s="7">
        <f t="shared" si="1619"/>
        <v>80.72246279691916</v>
      </c>
      <c r="AB478" s="45">
        <v>618.62068965517244</v>
      </c>
      <c r="AE478" s="38"/>
      <c r="AF478" s="38"/>
      <c r="AG478" s="39">
        <v>1</v>
      </c>
      <c r="AH478" s="39"/>
      <c r="AI478" s="39"/>
      <c r="AK478" s="4">
        <f t="shared" si="1620"/>
        <v>160.01999999999998</v>
      </c>
      <c r="AL478" s="4">
        <f t="shared" si="1621"/>
        <v>1</v>
      </c>
      <c r="AM478" s="4">
        <f t="shared" si="1622"/>
        <v>308.01631180193135</v>
      </c>
      <c r="AN478" s="4">
        <f t="shared" si="1623"/>
        <v>1</v>
      </c>
      <c r="AO478" s="4">
        <v>1.25</v>
      </c>
      <c r="AP478" s="4">
        <v>1</v>
      </c>
      <c r="AQ478" s="38">
        <f t="shared" si="1624"/>
        <v>385.02038975241419</v>
      </c>
      <c r="AR478" s="38">
        <f t="shared" si="1683"/>
        <v>385.02038975241419</v>
      </c>
      <c r="AS478" s="38">
        <f t="shared" si="1625"/>
        <v>4.3396934501138817</v>
      </c>
      <c r="AX478" s="4">
        <f t="shared" si="1626"/>
        <v>255.65634769234322</v>
      </c>
      <c r="AY478" s="4">
        <f t="shared" si="1627"/>
        <v>1</v>
      </c>
      <c r="AZ478" s="38">
        <f t="shared" si="1628"/>
        <v>8607.978966419807</v>
      </c>
      <c r="BA478" s="4">
        <f t="shared" si="1629"/>
        <v>0.3</v>
      </c>
      <c r="BB478" s="4">
        <f t="shared" si="1630"/>
        <v>40.074132500774788</v>
      </c>
      <c r="BC478" s="4">
        <f t="shared" si="1631"/>
        <v>8648.0530989205818</v>
      </c>
      <c r="BE478" s="4">
        <f t="shared" si="1632"/>
        <v>1.5</v>
      </c>
      <c r="BF478" s="4">
        <f t="shared" si="1633"/>
        <v>565.54836343084776</v>
      </c>
      <c r="BH478" s="4">
        <f t="shared" si="1634"/>
        <v>8256.1045160288031</v>
      </c>
      <c r="BI478" s="4">
        <f t="shared" si="1635"/>
        <v>0</v>
      </c>
      <c r="BJ478" s="4">
        <f t="shared" si="1636"/>
        <v>0</v>
      </c>
      <c r="BR478" s="4">
        <f t="shared" si="1637"/>
        <v>596.9</v>
      </c>
      <c r="BV478" s="9"/>
      <c r="BX478" s="9"/>
      <c r="BY478" s="9"/>
      <c r="BZ478" s="9">
        <f t="shared" si="1638"/>
        <v>596.9</v>
      </c>
      <c r="CA478" s="9">
        <f t="shared" si="1639"/>
        <v>596.9</v>
      </c>
      <c r="CB478" s="9">
        <f t="shared" si="1640"/>
        <v>4.8476798574163293</v>
      </c>
      <c r="CC478" s="40">
        <f t="shared" si="1641"/>
        <v>0</v>
      </c>
      <c r="CD478" s="9">
        <f t="shared" si="1642"/>
        <v>0</v>
      </c>
      <c r="CE478" s="9">
        <f t="shared" si="1643"/>
        <v>0</v>
      </c>
      <c r="CF478" s="9">
        <f t="shared" si="1644"/>
        <v>0.99524931562137331</v>
      </c>
      <c r="CG478" s="9">
        <f t="shared" si="1645"/>
        <v>0.68</v>
      </c>
      <c r="CH478" s="9">
        <f t="shared" si="1646"/>
        <v>1.8263267342054628</v>
      </c>
      <c r="CI478" s="9">
        <f t="shared" si="1647"/>
        <v>4.5658168355136572</v>
      </c>
      <c r="CJ478" s="40">
        <v>1</v>
      </c>
      <c r="CK478" s="9">
        <f t="shared" si="1648"/>
        <v>389.00759438576358</v>
      </c>
      <c r="DI478" s="4">
        <f t="shared" si="1649"/>
        <v>160.01999999999998</v>
      </c>
      <c r="DL478" s="4">
        <f t="shared" si="1650"/>
        <v>1.3631853306974178E-5</v>
      </c>
      <c r="DM478" s="4">
        <f t="shared" si="1651"/>
        <v>11.829381634472119</v>
      </c>
      <c r="DN478" s="4">
        <f t="shared" si="1652"/>
        <v>0.22317163317275795</v>
      </c>
      <c r="DO478" s="4">
        <f t="shared" si="1653"/>
        <v>6.4925849346268336</v>
      </c>
      <c r="DP478" s="4">
        <f t="shared" si="1654"/>
        <v>9.5446904861318114</v>
      </c>
      <c r="DQ478" s="4">
        <f t="shared" si="1655"/>
        <v>11.465435649076939</v>
      </c>
      <c r="DR478" s="38">
        <f t="shared" si="1656"/>
        <v>598.84831179978437</v>
      </c>
      <c r="DS478" s="4">
        <f t="shared" si="1657"/>
        <v>1</v>
      </c>
      <c r="DT478" s="4">
        <f t="shared" si="1658"/>
        <v>3.1780497164141401</v>
      </c>
      <c r="DU478" s="4">
        <f t="shared" si="1659"/>
        <v>385.02038975241419</v>
      </c>
      <c r="DY478" s="4">
        <f t="shared" si="1660"/>
        <v>0.85</v>
      </c>
      <c r="DZ478" s="4">
        <f t="shared" si="1661"/>
        <v>0.7</v>
      </c>
      <c r="EA478" s="4">
        <f t="shared" si="1662"/>
        <v>1</v>
      </c>
      <c r="EB478" s="4">
        <f t="shared" si="1663"/>
        <v>0.7</v>
      </c>
      <c r="ED478" s="4">
        <f t="shared" si="1664"/>
        <v>889.65517241379314</v>
      </c>
      <c r="EH478" s="4">
        <f t="shared" si="1665"/>
        <v>11.829381634472119</v>
      </c>
      <c r="EK478" s="4">
        <f t="shared" si="1666"/>
        <v>80.72246279691916</v>
      </c>
      <c r="EL478" s="4">
        <f t="shared" si="1667"/>
        <v>3.1780497164141406</v>
      </c>
      <c r="EM478" s="4">
        <f t="shared" si="1668"/>
        <v>9.4247372350766273E-2</v>
      </c>
      <c r="EP478" s="4">
        <f t="shared" si="1669"/>
        <v>9.4247372350766273E-2</v>
      </c>
      <c r="EQ478" s="4">
        <f t="shared" si="1670"/>
        <v>0.22317163317275795</v>
      </c>
      <c r="ER478" s="4">
        <f t="shared" si="1671"/>
        <v>6.4925849346268336</v>
      </c>
      <c r="ES478" s="4">
        <f t="shared" si="1672"/>
        <v>9.5446904861318114</v>
      </c>
      <c r="ET478" s="4">
        <f t="shared" si="1673"/>
        <v>39.292537203080826</v>
      </c>
      <c r="EU478" s="4">
        <f t="shared" si="1674"/>
        <v>40.004999999999995</v>
      </c>
      <c r="EV478" s="4">
        <f t="shared" si="1675"/>
        <v>1.3631853306974178E-5</v>
      </c>
      <c r="EW478" s="4">
        <f t="shared" si="1676"/>
        <v>11.465435649076939</v>
      </c>
      <c r="EX478" s="4">
        <f t="shared" si="1677"/>
        <v>598.84831179978437</v>
      </c>
      <c r="FG478" s="23"/>
      <c r="FH478" s="23"/>
      <c r="FI478" s="23"/>
      <c r="FJ478" s="23"/>
      <c r="FK478" s="23"/>
      <c r="FL478" s="23"/>
      <c r="FM478" s="23"/>
      <c r="FN478" s="23"/>
      <c r="FX478" s="4">
        <f t="shared" si="1678"/>
        <v>1</v>
      </c>
      <c r="FY478" s="4">
        <f t="shared" si="1679"/>
        <v>1.0833333333333333</v>
      </c>
      <c r="FZ478" s="4">
        <f t="shared" si="1680"/>
        <v>0</v>
      </c>
      <c r="GA478" s="4">
        <f t="shared" si="1681"/>
        <v>161.01858866173305</v>
      </c>
    </row>
    <row r="479" spans="1:183" ht="12" customHeight="1" x14ac:dyDescent="0.3">
      <c r="A479" s="113"/>
      <c r="B479" s="14" t="s">
        <v>605</v>
      </c>
      <c r="C479" s="24"/>
      <c r="D479" s="14" t="s">
        <v>365</v>
      </c>
      <c r="E479" s="24"/>
      <c r="F479" s="43" t="s">
        <v>633</v>
      </c>
      <c r="G479" s="38">
        <f t="shared" si="1612"/>
        <v>889.65517241379314</v>
      </c>
      <c r="H479" s="45">
        <v>162.56</v>
      </c>
      <c r="I479" s="4">
        <f t="shared" si="1613"/>
        <v>162.56</v>
      </c>
      <c r="J479" s="45">
        <v>59.448275862068968</v>
      </c>
      <c r="K479" s="7">
        <v>25.4</v>
      </c>
      <c r="L479" s="7">
        <f t="shared" si="1614"/>
        <v>6.4</v>
      </c>
      <c r="M479" s="7">
        <f t="shared" si="1615"/>
        <v>6.4</v>
      </c>
      <c r="N479" s="45">
        <v>1219.1999999999998</v>
      </c>
      <c r="O479" s="45">
        <v>596.9</v>
      </c>
      <c r="P479" s="45">
        <v>596.9</v>
      </c>
      <c r="Q479" s="7"/>
      <c r="R479" s="38">
        <v>1</v>
      </c>
      <c r="T479" s="7">
        <f t="shared" si="1682"/>
        <v>24</v>
      </c>
      <c r="U479" s="7">
        <f t="shared" si="1616"/>
        <v>24</v>
      </c>
      <c r="V479" s="45">
        <v>6.5</v>
      </c>
      <c r="W479" s="4">
        <f t="shared" si="1617"/>
        <v>6.5</v>
      </c>
      <c r="X479" s="4">
        <f t="shared" si="1618"/>
        <v>7.5</v>
      </c>
      <c r="Y479" s="7">
        <f t="shared" si="1619"/>
        <v>69.56076480315609</v>
      </c>
      <c r="AB479" s="45">
        <v>806.89655172413802</v>
      </c>
      <c r="AE479" s="38"/>
      <c r="AF479" s="38"/>
      <c r="AG479" s="39">
        <v>1</v>
      </c>
      <c r="AH479" s="39"/>
      <c r="AI479" s="39"/>
      <c r="AK479" s="4">
        <f t="shared" si="1620"/>
        <v>162.56</v>
      </c>
      <c r="AL479" s="4">
        <f t="shared" si="1621"/>
        <v>1</v>
      </c>
      <c r="AM479" s="4">
        <f t="shared" si="1622"/>
        <v>315.37905904684118</v>
      </c>
      <c r="AN479" s="4">
        <f t="shared" si="1623"/>
        <v>1</v>
      </c>
      <c r="AO479" s="4">
        <v>1.25</v>
      </c>
      <c r="AP479" s="4">
        <v>1</v>
      </c>
      <c r="AQ479" s="38">
        <f t="shared" si="1624"/>
        <v>394.22382380855146</v>
      </c>
      <c r="AR479" s="38">
        <f t="shared" si="1683"/>
        <v>394.22382380855146</v>
      </c>
      <c r="AS479" s="38">
        <f t="shared" si="1625"/>
        <v>4.3396934501138817</v>
      </c>
      <c r="AX479" s="4">
        <f t="shared" si="1626"/>
        <v>259.71438495730104</v>
      </c>
      <c r="AY479" s="4">
        <f t="shared" si="1627"/>
        <v>1</v>
      </c>
      <c r="AZ479" s="38">
        <f t="shared" si="1628"/>
        <v>7275.0700480832784</v>
      </c>
      <c r="BA479" s="4">
        <f t="shared" si="1629"/>
        <v>0.3</v>
      </c>
      <c r="BB479" s="4">
        <f t="shared" si="1630"/>
        <v>40.71022984205694</v>
      </c>
      <c r="BC479" s="4">
        <f t="shared" si="1631"/>
        <v>7315.7802779253352</v>
      </c>
      <c r="BE479" s="4">
        <f t="shared" si="1632"/>
        <v>1.5</v>
      </c>
      <c r="BF479" s="4">
        <f t="shared" si="1633"/>
        <v>569.01798529238681</v>
      </c>
      <c r="BH479" s="4">
        <f t="shared" si="1634"/>
        <v>6977.6818592050622</v>
      </c>
      <c r="BI479" s="4">
        <f t="shared" si="1635"/>
        <v>0</v>
      </c>
      <c r="BJ479" s="4">
        <f t="shared" si="1636"/>
        <v>0</v>
      </c>
      <c r="BR479" s="4">
        <f t="shared" si="1637"/>
        <v>596.9</v>
      </c>
      <c r="BV479" s="9"/>
      <c r="BX479" s="9"/>
      <c r="BY479" s="9"/>
      <c r="BZ479" s="9">
        <f t="shared" si="1638"/>
        <v>596.9</v>
      </c>
      <c r="CA479" s="9">
        <f t="shared" si="1639"/>
        <v>596.9</v>
      </c>
      <c r="CB479" s="9">
        <f t="shared" si="1640"/>
        <v>4.8476798574163293</v>
      </c>
      <c r="CC479" s="40">
        <f t="shared" si="1641"/>
        <v>0</v>
      </c>
      <c r="CD479" s="9">
        <f t="shared" si="1642"/>
        <v>0</v>
      </c>
      <c r="CE479" s="9">
        <f t="shared" si="1643"/>
        <v>0</v>
      </c>
      <c r="CF479" s="9">
        <f t="shared" si="1644"/>
        <v>0.99524931562137331</v>
      </c>
      <c r="CG479" s="9">
        <f t="shared" si="1645"/>
        <v>0.68</v>
      </c>
      <c r="CH479" s="9">
        <f t="shared" si="1646"/>
        <v>1.8263267342054628</v>
      </c>
      <c r="CI479" s="9">
        <f t="shared" si="1647"/>
        <v>4.5658168355136572</v>
      </c>
      <c r="CJ479" s="40">
        <v>1</v>
      </c>
      <c r="CK479" s="9">
        <f t="shared" si="1648"/>
        <v>390.83392111996909</v>
      </c>
      <c r="DI479" s="4">
        <f t="shared" si="1649"/>
        <v>162.56</v>
      </c>
      <c r="DL479" s="4">
        <f t="shared" si="1650"/>
        <v>1.3848231930894405E-5</v>
      </c>
      <c r="DM479" s="4">
        <f t="shared" si="1651"/>
        <v>11.829381634472119</v>
      </c>
      <c r="DN479" s="4">
        <f t="shared" si="1652"/>
        <v>0.27567419108435354</v>
      </c>
      <c r="DO479" s="4">
        <f t="shared" si="1653"/>
        <v>7.0651353558258458</v>
      </c>
      <c r="DP479" s="4">
        <f t="shared" si="1654"/>
        <v>9.7447329036587558</v>
      </c>
      <c r="DQ479" s="4">
        <f t="shared" si="1655"/>
        <v>11.425135548573715</v>
      </c>
      <c r="DR479" s="38">
        <f t="shared" si="1656"/>
        <v>625.09004262999906</v>
      </c>
      <c r="DS479" s="4">
        <f t="shared" si="1657"/>
        <v>1</v>
      </c>
      <c r="DT479" s="4">
        <f t="shared" si="1658"/>
        <v>2.7386127875258306</v>
      </c>
      <c r="DU479" s="4">
        <f t="shared" si="1659"/>
        <v>394.22382380855146</v>
      </c>
      <c r="DY479" s="4">
        <f t="shared" si="1660"/>
        <v>0.85</v>
      </c>
      <c r="DZ479" s="4">
        <f t="shared" si="1661"/>
        <v>0.7</v>
      </c>
      <c r="EA479" s="4">
        <f t="shared" si="1662"/>
        <v>1</v>
      </c>
      <c r="EB479" s="4">
        <f t="shared" si="1663"/>
        <v>0.7</v>
      </c>
      <c r="ED479" s="4">
        <f t="shared" si="1664"/>
        <v>889.65517241379314</v>
      </c>
      <c r="EH479" s="4">
        <f t="shared" si="1665"/>
        <v>11.829381634472119</v>
      </c>
      <c r="EK479" s="4">
        <f t="shared" si="1666"/>
        <v>69.56076480315609</v>
      </c>
      <c r="EL479" s="4">
        <f t="shared" si="1667"/>
        <v>2.7386127875258306</v>
      </c>
      <c r="EM479" s="4">
        <f t="shared" si="1668"/>
        <v>0.11641967110807015</v>
      </c>
      <c r="EP479" s="4">
        <f t="shared" si="1669"/>
        <v>0.11641967110807015</v>
      </c>
      <c r="EQ479" s="4">
        <f t="shared" si="1670"/>
        <v>0.27567419108435354</v>
      </c>
      <c r="ER479" s="4">
        <f t="shared" si="1671"/>
        <v>7.0651353558258458</v>
      </c>
      <c r="ES479" s="4">
        <f t="shared" si="1672"/>
        <v>9.7447329036587558</v>
      </c>
      <c r="ET479" s="4">
        <f t="shared" si="1673"/>
        <v>52.359235196843912</v>
      </c>
      <c r="EU479" s="4">
        <f t="shared" si="1674"/>
        <v>40.64</v>
      </c>
      <c r="EV479" s="4">
        <f t="shared" si="1675"/>
        <v>1.3848231930894405E-5</v>
      </c>
      <c r="EW479" s="4">
        <f t="shared" si="1676"/>
        <v>11.425135548573714</v>
      </c>
      <c r="EX479" s="4">
        <f t="shared" si="1677"/>
        <v>625.09004262999906</v>
      </c>
      <c r="FG479" s="23"/>
      <c r="FH479" s="23"/>
      <c r="FI479" s="23"/>
      <c r="FJ479" s="23"/>
      <c r="FK479" s="23"/>
      <c r="FL479" s="23"/>
      <c r="FM479" s="23"/>
      <c r="FN479" s="23"/>
      <c r="FX479" s="4">
        <f t="shared" si="1678"/>
        <v>1</v>
      </c>
      <c r="FY479" s="4">
        <f t="shared" si="1679"/>
        <v>1.0833333333333333</v>
      </c>
      <c r="FZ479" s="4">
        <f t="shared" si="1680"/>
        <v>0</v>
      </c>
      <c r="GA479" s="4">
        <f t="shared" si="1681"/>
        <v>163.57443927541135</v>
      </c>
    </row>
    <row r="480" spans="1:183" ht="12" customHeight="1" x14ac:dyDescent="0.3">
      <c r="A480" s="113"/>
      <c r="B480" s="14" t="s">
        <v>605</v>
      </c>
      <c r="C480" s="24"/>
      <c r="D480" s="14" t="s">
        <v>365</v>
      </c>
      <c r="E480" s="24"/>
      <c r="F480" s="43" t="s">
        <v>634</v>
      </c>
      <c r="G480" s="38">
        <f t="shared" si="1612"/>
        <v>889.65517241379314</v>
      </c>
      <c r="H480" s="45">
        <v>165.1</v>
      </c>
      <c r="I480" s="4">
        <f t="shared" si="1613"/>
        <v>165.1</v>
      </c>
      <c r="J480" s="45">
        <v>59.448275862068968</v>
      </c>
      <c r="K480" s="7">
        <v>25.4</v>
      </c>
      <c r="L480" s="7">
        <f t="shared" si="1614"/>
        <v>6.5</v>
      </c>
      <c r="M480" s="7">
        <f t="shared" si="1615"/>
        <v>6.5</v>
      </c>
      <c r="N480" s="45">
        <v>1219.1999999999998</v>
      </c>
      <c r="O480" s="45">
        <v>596.9</v>
      </c>
      <c r="P480" s="45">
        <v>596.9</v>
      </c>
      <c r="Q480" s="7"/>
      <c r="R480" s="38">
        <v>1</v>
      </c>
      <c r="T480" s="7">
        <f t="shared" si="1682"/>
        <v>24</v>
      </c>
      <c r="U480" s="7">
        <f t="shared" si="1616"/>
        <v>24</v>
      </c>
      <c r="V480" s="45">
        <v>4.5</v>
      </c>
      <c r="W480" s="4">
        <f t="shared" si="1617"/>
        <v>4.5</v>
      </c>
      <c r="X480" s="4">
        <f t="shared" si="1618"/>
        <v>5.5</v>
      </c>
      <c r="Y480" s="7">
        <f t="shared" si="1619"/>
        <v>59.568280149757555</v>
      </c>
      <c r="AB480" s="45">
        <v>646.20689655172418</v>
      </c>
      <c r="AE480" s="38"/>
      <c r="AF480" s="38"/>
      <c r="AG480" s="39">
        <v>1</v>
      </c>
      <c r="AH480" s="39"/>
      <c r="AI480" s="39"/>
      <c r="AK480" s="4">
        <f t="shared" si="1620"/>
        <v>165.1</v>
      </c>
      <c r="AL480" s="4">
        <f t="shared" si="1621"/>
        <v>0.99999999999999989</v>
      </c>
      <c r="AM480" s="4">
        <f t="shared" si="1622"/>
        <v>322.79955480341323</v>
      </c>
      <c r="AN480" s="4">
        <f t="shared" si="1623"/>
        <v>1</v>
      </c>
      <c r="AO480" s="4">
        <v>1.25</v>
      </c>
      <c r="AP480" s="4">
        <v>1</v>
      </c>
      <c r="AQ480" s="38">
        <f t="shared" si="1624"/>
        <v>403.49944350426648</v>
      </c>
      <c r="AR480" s="38">
        <f t="shared" si="1683"/>
        <v>403.49944350426648</v>
      </c>
      <c r="AS480" s="38">
        <f t="shared" si="1625"/>
        <v>4.3396934501138817</v>
      </c>
      <c r="AX480" s="4">
        <f t="shared" si="1626"/>
        <v>263.77242222225891</v>
      </c>
      <c r="AY480" s="4">
        <f t="shared" si="1627"/>
        <v>1</v>
      </c>
      <c r="AZ480" s="38">
        <f t="shared" si="1628"/>
        <v>6053.2241748361221</v>
      </c>
      <c r="BA480" s="4">
        <f t="shared" si="1629"/>
        <v>0.37</v>
      </c>
      <c r="BB480" s="4">
        <f t="shared" si="1630"/>
        <v>50.993803526118185</v>
      </c>
      <c r="BC480" s="4">
        <f t="shared" si="1631"/>
        <v>6104.2179783622405</v>
      </c>
      <c r="BE480" s="4">
        <f t="shared" si="1632"/>
        <v>1.5</v>
      </c>
      <c r="BF480" s="4">
        <f t="shared" si="1633"/>
        <v>572.48760715392575</v>
      </c>
      <c r="BH480" s="4">
        <f t="shared" si="1634"/>
        <v>5805.7822447474036</v>
      </c>
      <c r="BI480" s="4">
        <f t="shared" si="1635"/>
        <v>0</v>
      </c>
      <c r="BJ480" s="4">
        <f t="shared" si="1636"/>
        <v>0</v>
      </c>
      <c r="BR480" s="4">
        <f t="shared" si="1637"/>
        <v>596.9</v>
      </c>
      <c r="BV480" s="9"/>
      <c r="BX480" s="9"/>
      <c r="BY480" s="9"/>
      <c r="BZ480" s="9">
        <f t="shared" si="1638"/>
        <v>596.9</v>
      </c>
      <c r="CA480" s="9">
        <f t="shared" si="1639"/>
        <v>596.9</v>
      </c>
      <c r="CB480" s="9">
        <f t="shared" si="1640"/>
        <v>4.8476798574163293</v>
      </c>
      <c r="CC480" s="40">
        <f t="shared" si="1641"/>
        <v>0</v>
      </c>
      <c r="CD480" s="9">
        <f t="shared" si="1642"/>
        <v>0</v>
      </c>
      <c r="CE480" s="9">
        <f t="shared" si="1643"/>
        <v>0</v>
      </c>
      <c r="CF480" s="9">
        <f t="shared" si="1644"/>
        <v>0.99524931562137331</v>
      </c>
      <c r="CG480" s="9">
        <f t="shared" si="1645"/>
        <v>0.68</v>
      </c>
      <c r="CH480" s="9">
        <f t="shared" si="1646"/>
        <v>1.8263267342054628</v>
      </c>
      <c r="CI480" s="9">
        <f t="shared" si="1647"/>
        <v>4.5658168355136572</v>
      </c>
      <c r="CJ480" s="40">
        <v>1</v>
      </c>
      <c r="CK480" s="9">
        <f t="shared" si="1648"/>
        <v>392.66024785417449</v>
      </c>
      <c r="DI480" s="4">
        <f t="shared" si="1649"/>
        <v>165.1</v>
      </c>
      <c r="DL480" s="4">
        <f t="shared" si="1650"/>
        <v>1.406461055481463E-5</v>
      </c>
      <c r="DM480" s="4">
        <f t="shared" si="1651"/>
        <v>11.829381634472119</v>
      </c>
      <c r="DN480" s="4">
        <f t="shared" si="1652"/>
        <v>0.34901793030288153</v>
      </c>
      <c r="DO480" s="4">
        <f t="shared" si="1653"/>
        <v>7.7642791021983317</v>
      </c>
      <c r="DP480" s="4">
        <f t="shared" si="1654"/>
        <v>10.006320161093534</v>
      </c>
      <c r="DQ480" s="4">
        <f t="shared" si="1655"/>
        <v>11.383361078397993</v>
      </c>
      <c r="DR480" s="38">
        <f t="shared" si="1656"/>
        <v>651.58232422155083</v>
      </c>
      <c r="DS480" s="4">
        <f t="shared" si="1657"/>
        <v>1</v>
      </c>
      <c r="DT480" s="4">
        <f t="shared" si="1658"/>
        <v>2.3452078799117149</v>
      </c>
      <c r="DU480" s="4">
        <f t="shared" si="1659"/>
        <v>403.49944350426648</v>
      </c>
      <c r="DY480" s="4">
        <f t="shared" si="1660"/>
        <v>0.85</v>
      </c>
      <c r="DZ480" s="4">
        <f t="shared" si="1661"/>
        <v>0.7</v>
      </c>
      <c r="EA480" s="4">
        <f t="shared" si="1662"/>
        <v>1</v>
      </c>
      <c r="EB480" s="4">
        <f t="shared" si="1663"/>
        <v>0.7</v>
      </c>
      <c r="ED480" s="4">
        <f t="shared" si="1664"/>
        <v>889.65517241379314</v>
      </c>
      <c r="EH480" s="4">
        <f t="shared" si="1665"/>
        <v>11.829381634472119</v>
      </c>
      <c r="EK480" s="4">
        <f t="shared" si="1666"/>
        <v>59.568280149757555</v>
      </c>
      <c r="EL480" s="4">
        <f t="shared" si="1667"/>
        <v>2.3452078799117149</v>
      </c>
      <c r="EM480" s="4">
        <f t="shared" si="1668"/>
        <v>0.14739338672530164</v>
      </c>
      <c r="EP480" s="4">
        <f t="shared" si="1669"/>
        <v>0.14739338672530164</v>
      </c>
      <c r="EQ480" s="4">
        <f t="shared" si="1670"/>
        <v>0.34901793030288153</v>
      </c>
      <c r="ER480" s="4">
        <f t="shared" si="1671"/>
        <v>7.7642791021983317</v>
      </c>
      <c r="ES480" s="4">
        <f t="shared" si="1672"/>
        <v>10.006320161093534</v>
      </c>
      <c r="ET480" s="4">
        <f t="shared" si="1673"/>
        <v>64.256719850242433</v>
      </c>
      <c r="EU480" s="4">
        <f t="shared" si="1674"/>
        <v>41.275000000000006</v>
      </c>
      <c r="EV480" s="4">
        <f t="shared" si="1675"/>
        <v>1.4064610554814634E-5</v>
      </c>
      <c r="EW480" s="4">
        <f t="shared" si="1676"/>
        <v>11.383361078397993</v>
      </c>
      <c r="EX480" s="4">
        <f t="shared" si="1677"/>
        <v>651.58232422155083</v>
      </c>
      <c r="FG480" s="23"/>
      <c r="FH480" s="23"/>
      <c r="FI480" s="23"/>
      <c r="FJ480" s="23"/>
      <c r="FK480" s="23"/>
      <c r="FL480" s="23"/>
      <c r="FM480" s="23"/>
      <c r="FN480" s="23"/>
      <c r="FX480" s="4">
        <f t="shared" si="1678"/>
        <v>1</v>
      </c>
      <c r="FY480" s="4">
        <f t="shared" si="1679"/>
        <v>1.0833333333333333</v>
      </c>
      <c r="FZ480" s="4">
        <f t="shared" si="1680"/>
        <v>0</v>
      </c>
      <c r="GA480" s="4">
        <f t="shared" si="1681"/>
        <v>166.13028988908965</v>
      </c>
    </row>
    <row r="481" spans="1:184" ht="12" customHeight="1" x14ac:dyDescent="0.3">
      <c r="A481" s="113"/>
      <c r="B481" s="14" t="s">
        <v>605</v>
      </c>
      <c r="C481" s="24"/>
      <c r="D481" s="14" t="s">
        <v>365</v>
      </c>
      <c r="E481" s="24"/>
      <c r="F481" s="43" t="s">
        <v>635</v>
      </c>
      <c r="G481" s="38">
        <f t="shared" si="1612"/>
        <v>889.65517241379314</v>
      </c>
      <c r="H481" s="45">
        <v>165.1</v>
      </c>
      <c r="I481" s="4">
        <f t="shared" si="1613"/>
        <v>165.1</v>
      </c>
      <c r="J481" s="45">
        <v>28.96551724137931</v>
      </c>
      <c r="K481" s="7">
        <v>25.4</v>
      </c>
      <c r="L481" s="7">
        <f t="shared" si="1614"/>
        <v>6.5</v>
      </c>
      <c r="M481" s="7">
        <f t="shared" si="1615"/>
        <v>6.5</v>
      </c>
      <c r="N481" s="45">
        <v>1219.1999999999998</v>
      </c>
      <c r="O481" s="45">
        <v>596.9</v>
      </c>
      <c r="P481" s="45">
        <v>596.9</v>
      </c>
      <c r="Q481" s="7"/>
      <c r="R481" s="38">
        <v>1</v>
      </c>
      <c r="T481" s="7">
        <f t="shared" si="1682"/>
        <v>24</v>
      </c>
      <c r="U481" s="7">
        <f t="shared" si="1616"/>
        <v>24</v>
      </c>
      <c r="V481" s="45">
        <v>14</v>
      </c>
      <c r="W481" s="4">
        <f t="shared" si="1617"/>
        <v>14</v>
      </c>
      <c r="X481" s="4">
        <f t="shared" si="1618"/>
        <v>15</v>
      </c>
      <c r="Y481" s="7">
        <f t="shared" si="1619"/>
        <v>98.373776993668386</v>
      </c>
      <c r="AB481" s="45">
        <v>539.31034482758628</v>
      </c>
      <c r="AE481" s="38"/>
      <c r="AF481" s="38"/>
      <c r="AG481" s="39">
        <v>1</v>
      </c>
      <c r="AH481" s="39"/>
      <c r="AI481" s="39"/>
      <c r="AK481" s="4">
        <f t="shared" si="1620"/>
        <v>165.1</v>
      </c>
      <c r="AL481" s="4">
        <f t="shared" si="1621"/>
        <v>0.99999999999999989</v>
      </c>
      <c r="AM481" s="4">
        <f t="shared" si="1622"/>
        <v>225.32217739115345</v>
      </c>
      <c r="AN481" s="4">
        <f t="shared" si="1623"/>
        <v>1</v>
      </c>
      <c r="AO481" s="4">
        <v>1.25</v>
      </c>
      <c r="AP481" s="4">
        <v>1</v>
      </c>
      <c r="AQ481" s="38">
        <f t="shared" si="1624"/>
        <v>281.65272173894175</v>
      </c>
      <c r="AR481" s="38">
        <f t="shared" si="1683"/>
        <v>281.65272173894175</v>
      </c>
      <c r="AS481" s="38">
        <f t="shared" si="1625"/>
        <v>2.8294940183703567</v>
      </c>
      <c r="AX481" s="4">
        <f t="shared" si="1626"/>
        <v>184.11975985237513</v>
      </c>
      <c r="AY481" s="4">
        <f t="shared" si="1627"/>
        <v>1</v>
      </c>
      <c r="AZ481" s="38">
        <f t="shared" si="1628"/>
        <v>5202.1939943008729</v>
      </c>
      <c r="BA481" s="4">
        <f t="shared" si="1629"/>
        <v>0.3</v>
      </c>
      <c r="BB481" s="4">
        <f t="shared" si="1630"/>
        <v>28.860772356859794</v>
      </c>
      <c r="BC481" s="4">
        <f t="shared" si="1631"/>
        <v>5231.0547666577322</v>
      </c>
      <c r="BE481" s="4">
        <f t="shared" si="1632"/>
        <v>1.5</v>
      </c>
      <c r="BF481" s="4">
        <f t="shared" si="1633"/>
        <v>399.61069417190492</v>
      </c>
      <c r="BH481" s="4">
        <f t="shared" si="1634"/>
        <v>4989.5402274047219</v>
      </c>
      <c r="BI481" s="4">
        <f t="shared" si="1635"/>
        <v>0</v>
      </c>
      <c r="BJ481" s="4">
        <f t="shared" si="1636"/>
        <v>0</v>
      </c>
      <c r="BR481" s="4">
        <f t="shared" si="1637"/>
        <v>596.9</v>
      </c>
      <c r="BV481" s="9"/>
      <c r="BX481" s="9"/>
      <c r="BY481" s="9"/>
      <c r="BZ481" s="9">
        <f t="shared" si="1638"/>
        <v>596.9</v>
      </c>
      <c r="CA481" s="9">
        <f t="shared" si="1639"/>
        <v>596.9</v>
      </c>
      <c r="CB481" s="9">
        <f t="shared" si="1640"/>
        <v>4.8476798574163293</v>
      </c>
      <c r="CC481" s="40">
        <f t="shared" si="1641"/>
        <v>0</v>
      </c>
      <c r="CD481" s="9">
        <f t="shared" si="1642"/>
        <v>0</v>
      </c>
      <c r="CE481" s="9">
        <f t="shared" si="1643"/>
        <v>0</v>
      </c>
      <c r="CF481" s="9">
        <f t="shared" si="1644"/>
        <v>0.99524931562137331</v>
      </c>
      <c r="CG481" s="9">
        <f t="shared" si="1645"/>
        <v>0.68</v>
      </c>
      <c r="CH481" s="9">
        <f t="shared" si="1646"/>
        <v>1.2748218213295317</v>
      </c>
      <c r="CI481" s="9">
        <f t="shared" si="1647"/>
        <v>3.1870545533238293</v>
      </c>
      <c r="CJ481" s="40">
        <v>1</v>
      </c>
      <c r="CK481" s="9">
        <f t="shared" si="1648"/>
        <v>274.08669158584928</v>
      </c>
      <c r="DI481" s="4">
        <f t="shared" si="1649"/>
        <v>165.1</v>
      </c>
      <c r="DL481" s="4">
        <f t="shared" si="1650"/>
        <v>1.1521263534281654E-5</v>
      </c>
      <c r="DM481" s="4">
        <f t="shared" si="1651"/>
        <v>8.2572047805129003</v>
      </c>
      <c r="DN481" s="4">
        <f t="shared" si="1652"/>
        <v>0.26541501582698523</v>
      </c>
      <c r="DO481" s="4">
        <f t="shared" si="1653"/>
        <v>4.8573930946961532</v>
      </c>
      <c r="DP481" s="4">
        <f t="shared" si="1654"/>
        <v>6.7754289501989868</v>
      </c>
      <c r="DQ481" s="4">
        <f t="shared" si="1655"/>
        <v>8.1016652006466714</v>
      </c>
      <c r="DR481" s="38">
        <f t="shared" si="1656"/>
        <v>436.7203263688607</v>
      </c>
      <c r="DS481" s="4">
        <f t="shared" si="1657"/>
        <v>1</v>
      </c>
      <c r="DT481" s="4">
        <f t="shared" si="1658"/>
        <v>3.872983346207417</v>
      </c>
      <c r="DU481" s="4">
        <f t="shared" si="1659"/>
        <v>281.65272173894175</v>
      </c>
      <c r="DY481" s="4">
        <f t="shared" si="1660"/>
        <v>0.85</v>
      </c>
      <c r="DZ481" s="4">
        <f t="shared" si="1661"/>
        <v>0.7</v>
      </c>
      <c r="EA481" s="4">
        <f t="shared" si="1662"/>
        <v>1</v>
      </c>
      <c r="EB481" s="4">
        <f t="shared" si="1663"/>
        <v>0.7</v>
      </c>
      <c r="ED481" s="4">
        <f t="shared" si="1664"/>
        <v>889.65517241379314</v>
      </c>
      <c r="EH481" s="4">
        <f t="shared" si="1665"/>
        <v>8.2572047805129003</v>
      </c>
      <c r="EK481" s="4">
        <f t="shared" si="1666"/>
        <v>98.373776993668386</v>
      </c>
      <c r="EL481" s="4">
        <f t="shared" si="1667"/>
        <v>3.872983346207417</v>
      </c>
      <c r="EM481" s="4">
        <f t="shared" si="1668"/>
        <v>7.8239625108981664E-2</v>
      </c>
      <c r="EP481" s="4">
        <f t="shared" si="1669"/>
        <v>7.8239625108981664E-2</v>
      </c>
      <c r="EQ481" s="4">
        <f t="shared" si="1670"/>
        <v>0.26541501582698523</v>
      </c>
      <c r="ER481" s="4">
        <f t="shared" si="1671"/>
        <v>4.8573930946961532</v>
      </c>
      <c r="ES481" s="4">
        <f t="shared" si="1672"/>
        <v>6.7754289501989868</v>
      </c>
      <c r="ET481" s="4">
        <f t="shared" si="1673"/>
        <v>25.451223006331603</v>
      </c>
      <c r="EU481" s="4">
        <f t="shared" si="1674"/>
        <v>41.275000000000006</v>
      </c>
      <c r="EV481" s="4">
        <f t="shared" si="1675"/>
        <v>1.1521263534281654E-5</v>
      </c>
      <c r="EW481" s="4">
        <f t="shared" si="1676"/>
        <v>8.1016652006466714</v>
      </c>
      <c r="EX481" s="4">
        <f t="shared" si="1677"/>
        <v>436.7203263688607</v>
      </c>
      <c r="FG481" s="23"/>
      <c r="FH481" s="23"/>
      <c r="FI481" s="23"/>
      <c r="FJ481" s="23"/>
      <c r="FK481" s="23"/>
      <c r="FL481" s="23"/>
      <c r="FM481" s="23"/>
      <c r="FN481" s="23"/>
      <c r="FX481" s="4">
        <f t="shared" si="1678"/>
        <v>1</v>
      </c>
      <c r="FY481" s="4">
        <f t="shared" si="1679"/>
        <v>1.0833333333333333</v>
      </c>
      <c r="FZ481" s="4">
        <f t="shared" si="1680"/>
        <v>0</v>
      </c>
      <c r="GA481" s="4">
        <f t="shared" si="1681"/>
        <v>138.79835820431603</v>
      </c>
    </row>
    <row r="482" spans="1:184" ht="12" customHeight="1" x14ac:dyDescent="0.3">
      <c r="A482" s="113"/>
      <c r="B482" s="14" t="s">
        <v>605</v>
      </c>
      <c r="C482" s="24"/>
      <c r="D482" s="14" t="s">
        <v>365</v>
      </c>
      <c r="E482" s="24"/>
      <c r="F482" s="43" t="s">
        <v>636</v>
      </c>
      <c r="G482" s="38">
        <f t="shared" si="1612"/>
        <v>889.65517241379314</v>
      </c>
      <c r="H482" s="45">
        <v>165.1</v>
      </c>
      <c r="I482" s="4">
        <f t="shared" si="1613"/>
        <v>165.1</v>
      </c>
      <c r="J482" s="45">
        <v>28.96551724137931</v>
      </c>
      <c r="K482" s="7">
        <v>25.4</v>
      </c>
      <c r="L482" s="7">
        <f t="shared" si="1614"/>
        <v>6.5</v>
      </c>
      <c r="M482" s="7">
        <f t="shared" si="1615"/>
        <v>6.5</v>
      </c>
      <c r="N482" s="45">
        <v>1219.1999999999998</v>
      </c>
      <c r="O482" s="45">
        <v>596.9</v>
      </c>
      <c r="P482" s="45">
        <v>596.9</v>
      </c>
      <c r="Q482" s="7"/>
      <c r="R482" s="38">
        <v>1</v>
      </c>
      <c r="T482" s="7">
        <f t="shared" si="1682"/>
        <v>24</v>
      </c>
      <c r="U482" s="7">
        <f t="shared" si="1616"/>
        <v>24</v>
      </c>
      <c r="V482" s="45">
        <v>6.5</v>
      </c>
      <c r="W482" s="4">
        <f t="shared" si="1617"/>
        <v>6.5</v>
      </c>
      <c r="X482" s="4">
        <f t="shared" si="1618"/>
        <v>7.5</v>
      </c>
      <c r="Y482" s="7">
        <f t="shared" si="1619"/>
        <v>69.56076480315609</v>
      </c>
      <c r="AB482" s="45">
        <v>429.65517241379314</v>
      </c>
      <c r="AE482" s="38"/>
      <c r="AF482" s="38"/>
      <c r="AG482" s="39">
        <v>1</v>
      </c>
      <c r="AH482" s="39"/>
      <c r="AI482" s="39"/>
      <c r="AK482" s="4">
        <f t="shared" si="1620"/>
        <v>165.1</v>
      </c>
      <c r="AL482" s="4">
        <f t="shared" si="1621"/>
        <v>0.99999999999999989</v>
      </c>
      <c r="AM482" s="4">
        <f t="shared" si="1622"/>
        <v>225.32217739115345</v>
      </c>
      <c r="AN482" s="4">
        <f t="shared" si="1623"/>
        <v>1</v>
      </c>
      <c r="AO482" s="4">
        <v>1.25</v>
      </c>
      <c r="AP482" s="4">
        <v>1</v>
      </c>
      <c r="AQ482" s="38">
        <f t="shared" si="1624"/>
        <v>281.65272173894175</v>
      </c>
      <c r="AR482" s="38">
        <f t="shared" si="1683"/>
        <v>281.65272173894175</v>
      </c>
      <c r="AS482" s="38">
        <f t="shared" si="1625"/>
        <v>2.8294940183703567</v>
      </c>
      <c r="AX482" s="4">
        <f t="shared" si="1626"/>
        <v>184.11975985237513</v>
      </c>
      <c r="AY482" s="4">
        <f t="shared" si="1627"/>
        <v>1</v>
      </c>
      <c r="AZ482" s="38">
        <f t="shared" si="1628"/>
        <v>3544.697703242432</v>
      </c>
      <c r="BA482" s="4">
        <f t="shared" si="1629"/>
        <v>0.3</v>
      </c>
      <c r="BB482" s="4">
        <f t="shared" si="1630"/>
        <v>28.860772356859794</v>
      </c>
      <c r="BC482" s="4">
        <f t="shared" si="1631"/>
        <v>3573.5584755992918</v>
      </c>
      <c r="BE482" s="4">
        <f t="shared" si="1632"/>
        <v>1.5</v>
      </c>
      <c r="BF482" s="4">
        <f t="shared" si="1633"/>
        <v>399.61069417190492</v>
      </c>
      <c r="BH482" s="4">
        <f t="shared" si="1634"/>
        <v>3399.7985856915611</v>
      </c>
      <c r="BI482" s="4">
        <f t="shared" si="1635"/>
        <v>0</v>
      </c>
      <c r="BJ482" s="4">
        <f t="shared" si="1636"/>
        <v>0</v>
      </c>
      <c r="BR482" s="4">
        <f t="shared" si="1637"/>
        <v>596.9</v>
      </c>
      <c r="BV482" s="9"/>
      <c r="BX482" s="9"/>
      <c r="BY482" s="9"/>
      <c r="BZ482" s="9">
        <f t="shared" si="1638"/>
        <v>596.9</v>
      </c>
      <c r="CA482" s="9">
        <f t="shared" si="1639"/>
        <v>596.9</v>
      </c>
      <c r="CB482" s="9">
        <f t="shared" si="1640"/>
        <v>4.8476798574163293</v>
      </c>
      <c r="CC482" s="40">
        <f t="shared" si="1641"/>
        <v>0</v>
      </c>
      <c r="CD482" s="9">
        <f t="shared" si="1642"/>
        <v>0</v>
      </c>
      <c r="CE482" s="9">
        <f t="shared" si="1643"/>
        <v>0</v>
      </c>
      <c r="CF482" s="9">
        <f t="shared" si="1644"/>
        <v>0.99524931562137331</v>
      </c>
      <c r="CG482" s="9">
        <f t="shared" si="1645"/>
        <v>0.68</v>
      </c>
      <c r="CH482" s="9">
        <f t="shared" si="1646"/>
        <v>1.2748218213295317</v>
      </c>
      <c r="CI482" s="9">
        <f t="shared" si="1647"/>
        <v>3.1870545533238293</v>
      </c>
      <c r="CJ482" s="40">
        <v>1</v>
      </c>
      <c r="CK482" s="9">
        <f t="shared" si="1648"/>
        <v>274.08669158584928</v>
      </c>
      <c r="DI482" s="4">
        <f t="shared" si="1649"/>
        <v>165.1</v>
      </c>
      <c r="DL482" s="4">
        <f t="shared" si="1650"/>
        <v>1.1521263534281654E-5</v>
      </c>
      <c r="DM482" s="4">
        <f t="shared" si="1651"/>
        <v>8.2572047805129003</v>
      </c>
      <c r="DN482" s="4">
        <f t="shared" si="1652"/>
        <v>0.40422686235076083</v>
      </c>
      <c r="DO482" s="4">
        <f t="shared" si="1653"/>
        <v>5.7475548374367609</v>
      </c>
      <c r="DP482" s="4">
        <f t="shared" si="1654"/>
        <v>7.114271652605928</v>
      </c>
      <c r="DQ482" s="4">
        <f t="shared" si="1655"/>
        <v>8.0759712771072891</v>
      </c>
      <c r="DR482" s="38">
        <f t="shared" si="1656"/>
        <v>457.90319967815924</v>
      </c>
      <c r="DS482" s="4">
        <f t="shared" si="1657"/>
        <v>1</v>
      </c>
      <c r="DT482" s="4">
        <f t="shared" si="1658"/>
        <v>2.7386127875258306</v>
      </c>
      <c r="DU482" s="4">
        <f t="shared" si="1659"/>
        <v>281.65272173894175</v>
      </c>
      <c r="DY482" s="4">
        <f t="shared" si="1660"/>
        <v>0.85</v>
      </c>
      <c r="DZ482" s="4">
        <f t="shared" si="1661"/>
        <v>0.7</v>
      </c>
      <c r="EA482" s="4">
        <f t="shared" si="1662"/>
        <v>1</v>
      </c>
      <c r="EB482" s="4">
        <f t="shared" si="1663"/>
        <v>0.7</v>
      </c>
      <c r="ED482" s="4">
        <f t="shared" si="1664"/>
        <v>889.65517241379314</v>
      </c>
      <c r="EH482" s="4">
        <f t="shared" si="1665"/>
        <v>8.2572047805129003</v>
      </c>
      <c r="EK482" s="4">
        <f t="shared" si="1666"/>
        <v>69.56076480315609</v>
      </c>
      <c r="EL482" s="4">
        <f t="shared" si="1667"/>
        <v>2.7386127875258306</v>
      </c>
      <c r="EM482" s="4">
        <f t="shared" si="1668"/>
        <v>0.11915888809365521</v>
      </c>
      <c r="EP482" s="4">
        <f t="shared" si="1669"/>
        <v>0.11915888809365521</v>
      </c>
      <c r="EQ482" s="4">
        <f t="shared" si="1670"/>
        <v>0.40422686235076083</v>
      </c>
      <c r="ER482" s="4">
        <f t="shared" si="1671"/>
        <v>5.7475548374367609</v>
      </c>
      <c r="ES482" s="4">
        <f t="shared" si="1672"/>
        <v>7.114271652605928</v>
      </c>
      <c r="ET482" s="4">
        <f t="shared" si="1673"/>
        <v>54.264235196843899</v>
      </c>
      <c r="EU482" s="4">
        <f t="shared" si="1674"/>
        <v>41.275000000000006</v>
      </c>
      <c r="EV482" s="4">
        <f t="shared" si="1675"/>
        <v>1.1521263534281654E-5</v>
      </c>
      <c r="EW482" s="4">
        <f t="shared" si="1676"/>
        <v>8.0759712771072891</v>
      </c>
      <c r="EX482" s="4">
        <f t="shared" si="1677"/>
        <v>457.90319967815924</v>
      </c>
      <c r="FG482" s="23"/>
      <c r="FH482" s="23"/>
      <c r="FI482" s="23"/>
      <c r="FJ482" s="23"/>
      <c r="FK482" s="23"/>
      <c r="FL482" s="23"/>
      <c r="FM482" s="23"/>
      <c r="FN482" s="23"/>
      <c r="FX482" s="4">
        <f t="shared" si="1678"/>
        <v>1</v>
      </c>
      <c r="FY482" s="4">
        <f t="shared" si="1679"/>
        <v>1.0833333333333333</v>
      </c>
      <c r="FZ482" s="4">
        <f t="shared" si="1680"/>
        <v>0</v>
      </c>
      <c r="GA482" s="4">
        <f t="shared" si="1681"/>
        <v>138.79835820431603</v>
      </c>
    </row>
    <row r="483" spans="1:184" ht="12" customHeight="1" x14ac:dyDescent="0.3">
      <c r="A483" s="113"/>
      <c r="B483" s="14" t="s">
        <v>605</v>
      </c>
      <c r="C483" s="24"/>
      <c r="D483" s="14" t="s">
        <v>365</v>
      </c>
      <c r="E483" s="24"/>
      <c r="F483" s="43" t="s">
        <v>637</v>
      </c>
      <c r="G483" s="38">
        <f t="shared" si="1612"/>
        <v>889.65517241379314</v>
      </c>
      <c r="H483" s="45">
        <v>167.64</v>
      </c>
      <c r="I483" s="4">
        <f t="shared" si="1613"/>
        <v>167.64</v>
      </c>
      <c r="J483" s="45">
        <v>28.96551724137931</v>
      </c>
      <c r="K483" s="7">
        <v>25.4</v>
      </c>
      <c r="L483" s="7">
        <f t="shared" si="1614"/>
        <v>6.6</v>
      </c>
      <c r="M483" s="7">
        <f t="shared" si="1615"/>
        <v>6.6</v>
      </c>
      <c r="N483" s="45">
        <v>1219.1999999999998</v>
      </c>
      <c r="O483" s="45">
        <v>596.9</v>
      </c>
      <c r="P483" s="45">
        <v>596.9</v>
      </c>
      <c r="Q483" s="7"/>
      <c r="R483" s="38">
        <v>1</v>
      </c>
      <c r="T483" s="7">
        <f t="shared" si="1682"/>
        <v>24</v>
      </c>
      <c r="U483" s="7">
        <f t="shared" si="1616"/>
        <v>24</v>
      </c>
      <c r="V483" s="45">
        <v>12.9</v>
      </c>
      <c r="W483" s="4">
        <f t="shared" si="1617"/>
        <v>12.9</v>
      </c>
      <c r="X483" s="4">
        <f t="shared" si="1618"/>
        <v>13.9</v>
      </c>
      <c r="Y483" s="7">
        <f t="shared" si="1619"/>
        <v>94.698067562120812</v>
      </c>
      <c r="AB483" s="45">
        <v>457.24137931034483</v>
      </c>
      <c r="AE483" s="38"/>
      <c r="AF483" s="38"/>
      <c r="AG483" s="39">
        <v>1</v>
      </c>
      <c r="AH483" s="39"/>
      <c r="AI483" s="39"/>
      <c r="AK483" s="4">
        <f t="shared" si="1620"/>
        <v>167.64</v>
      </c>
      <c r="AL483" s="4">
        <f t="shared" si="1621"/>
        <v>1</v>
      </c>
      <c r="AM483" s="4">
        <f t="shared" si="1622"/>
        <v>230.54186797023712</v>
      </c>
      <c r="AN483" s="4">
        <f t="shared" si="1623"/>
        <v>1</v>
      </c>
      <c r="AO483" s="4">
        <v>1.25</v>
      </c>
      <c r="AP483" s="4">
        <v>1</v>
      </c>
      <c r="AQ483" s="38">
        <f t="shared" si="1624"/>
        <v>288.17733496279641</v>
      </c>
      <c r="AR483" s="38">
        <f t="shared" si="1683"/>
        <v>288.17733496279641</v>
      </c>
      <c r="AS483" s="38">
        <f t="shared" si="1625"/>
        <v>2.8294940183703567</v>
      </c>
      <c r="AX483" s="4">
        <f t="shared" si="1626"/>
        <v>186.95237154241164</v>
      </c>
      <c r="AY483" s="4">
        <f t="shared" si="1627"/>
        <v>1</v>
      </c>
      <c r="AZ483" s="38">
        <f t="shared" si="1628"/>
        <v>4993.6417313204183</v>
      </c>
      <c r="BA483" s="4">
        <f t="shared" si="1629"/>
        <v>0.3</v>
      </c>
      <c r="BB483" s="4">
        <f t="shared" si="1630"/>
        <v>29.304784239273019</v>
      </c>
      <c r="BC483" s="4">
        <f t="shared" si="1631"/>
        <v>5022.9465155596918</v>
      </c>
      <c r="BE483" s="4">
        <f t="shared" si="1632"/>
        <v>1.5</v>
      </c>
      <c r="BF483" s="4">
        <f t="shared" si="1633"/>
        <v>402.03257716688609</v>
      </c>
      <c r="BH483" s="4">
        <f t="shared" si="1634"/>
        <v>4789.5131029266167</v>
      </c>
      <c r="BI483" s="4">
        <f t="shared" si="1635"/>
        <v>0</v>
      </c>
      <c r="BJ483" s="4">
        <f t="shared" si="1636"/>
        <v>0</v>
      </c>
      <c r="BR483" s="4">
        <f t="shared" si="1637"/>
        <v>596.9</v>
      </c>
      <c r="BV483" s="9"/>
      <c r="BX483" s="9"/>
      <c r="BY483" s="9"/>
      <c r="BZ483" s="9">
        <f t="shared" si="1638"/>
        <v>596.9</v>
      </c>
      <c r="CA483" s="9">
        <f t="shared" si="1639"/>
        <v>596.9</v>
      </c>
      <c r="CB483" s="9">
        <f t="shared" si="1640"/>
        <v>4.8476798574163293</v>
      </c>
      <c r="CC483" s="40">
        <f t="shared" si="1641"/>
        <v>0</v>
      </c>
      <c r="CD483" s="9">
        <f t="shared" si="1642"/>
        <v>0</v>
      </c>
      <c r="CE483" s="9">
        <f t="shared" si="1643"/>
        <v>0</v>
      </c>
      <c r="CF483" s="9">
        <f t="shared" si="1644"/>
        <v>0.99524931562137331</v>
      </c>
      <c r="CG483" s="9">
        <f t="shared" si="1645"/>
        <v>0.68</v>
      </c>
      <c r="CH483" s="9">
        <f t="shared" si="1646"/>
        <v>1.2748218213295317</v>
      </c>
      <c r="CI483" s="9">
        <f t="shared" si="1647"/>
        <v>3.1870545533238293</v>
      </c>
      <c r="CJ483" s="40">
        <v>1</v>
      </c>
      <c r="CK483" s="9">
        <f t="shared" si="1648"/>
        <v>275.36151340717885</v>
      </c>
      <c r="DI483" s="4">
        <f t="shared" si="1649"/>
        <v>167.64</v>
      </c>
      <c r="DL483" s="4">
        <f t="shared" si="1650"/>
        <v>1.1698513742501371E-5</v>
      </c>
      <c r="DM483" s="4">
        <f t="shared" si="1651"/>
        <v>8.2572047805129003</v>
      </c>
      <c r="DN483" s="4">
        <f t="shared" si="1652"/>
        <v>0.2837079160613234</v>
      </c>
      <c r="DO483" s="4">
        <f t="shared" si="1653"/>
        <v>4.9886339367525627</v>
      </c>
      <c r="DP483" s="4">
        <f t="shared" si="1654"/>
        <v>6.8227253695393193</v>
      </c>
      <c r="DQ483" s="4">
        <f t="shared" si="1655"/>
        <v>8.0922731041582345</v>
      </c>
      <c r="DR483" s="38">
        <f t="shared" si="1656"/>
        <v>449.32434474079685</v>
      </c>
      <c r="DS483" s="4">
        <f t="shared" si="1657"/>
        <v>1</v>
      </c>
      <c r="DT483" s="4">
        <f t="shared" si="1658"/>
        <v>3.7282703764614493</v>
      </c>
      <c r="DU483" s="4">
        <f t="shared" si="1659"/>
        <v>288.17733496279641</v>
      </c>
      <c r="DY483" s="4">
        <f t="shared" si="1660"/>
        <v>0.85</v>
      </c>
      <c r="DZ483" s="4">
        <f t="shared" si="1661"/>
        <v>0.7</v>
      </c>
      <c r="EA483" s="4">
        <f t="shared" si="1662"/>
        <v>1</v>
      </c>
      <c r="EB483" s="4">
        <f t="shared" si="1663"/>
        <v>0.7</v>
      </c>
      <c r="ED483" s="4">
        <f t="shared" si="1664"/>
        <v>889.65517241379314</v>
      </c>
      <c r="EH483" s="4">
        <f t="shared" si="1665"/>
        <v>8.2572047805129003</v>
      </c>
      <c r="EK483" s="4">
        <f t="shared" si="1666"/>
        <v>94.698067562120812</v>
      </c>
      <c r="EL483" s="4">
        <f t="shared" si="1667"/>
        <v>3.7282703764614498</v>
      </c>
      <c r="EM483" s="4">
        <f t="shared" si="1668"/>
        <v>8.3632046679521552E-2</v>
      </c>
      <c r="EP483" s="4">
        <f t="shared" si="1669"/>
        <v>8.3632046679521552E-2</v>
      </c>
      <c r="EQ483" s="4">
        <f t="shared" si="1670"/>
        <v>0.2837079160613234</v>
      </c>
      <c r="ER483" s="4">
        <f t="shared" si="1671"/>
        <v>4.9886339367525627</v>
      </c>
      <c r="ES483" s="4">
        <f t="shared" si="1672"/>
        <v>6.8227253695393193</v>
      </c>
      <c r="ET483" s="4">
        <f t="shared" si="1673"/>
        <v>31.031932437879178</v>
      </c>
      <c r="EU483" s="4">
        <f t="shared" si="1674"/>
        <v>41.91</v>
      </c>
      <c r="EV483" s="4">
        <f t="shared" si="1675"/>
        <v>1.1698513742501371E-5</v>
      </c>
      <c r="EW483" s="4">
        <f t="shared" si="1676"/>
        <v>8.0922731041582345</v>
      </c>
      <c r="EX483" s="4">
        <f t="shared" si="1677"/>
        <v>449.32434474079685</v>
      </c>
      <c r="FG483" s="23"/>
      <c r="FH483" s="23"/>
      <c r="FI483" s="23"/>
      <c r="FJ483" s="23"/>
      <c r="FK483" s="23"/>
      <c r="FL483" s="23"/>
      <c r="FM483" s="23"/>
      <c r="FN483" s="23"/>
      <c r="FX483" s="4">
        <f t="shared" si="1678"/>
        <v>1</v>
      </c>
      <c r="FY483" s="4">
        <f t="shared" si="1679"/>
        <v>1.0833333333333333</v>
      </c>
      <c r="FZ483" s="4">
        <f t="shared" si="1680"/>
        <v>0</v>
      </c>
      <c r="GA483" s="4">
        <f t="shared" si="1681"/>
        <v>140.93371756130549</v>
      </c>
    </row>
    <row r="484" spans="1:184" ht="12" customHeight="1" x14ac:dyDescent="0.3">
      <c r="A484" s="113"/>
      <c r="B484" s="14" t="s">
        <v>605</v>
      </c>
      <c r="C484" s="24"/>
      <c r="D484" s="14" t="s">
        <v>365</v>
      </c>
      <c r="E484" s="24"/>
      <c r="F484" s="43" t="s">
        <v>638</v>
      </c>
      <c r="G484" s="38">
        <f t="shared" si="1612"/>
        <v>889.65517241379314</v>
      </c>
      <c r="H484" s="45">
        <v>165.1</v>
      </c>
      <c r="I484" s="4">
        <f t="shared" si="1613"/>
        <v>165.1</v>
      </c>
      <c r="J484" s="45">
        <v>28.96551724137931</v>
      </c>
      <c r="K484" s="7">
        <v>25.4</v>
      </c>
      <c r="L484" s="7">
        <f t="shared" si="1614"/>
        <v>6.5</v>
      </c>
      <c r="M484" s="7">
        <f t="shared" si="1615"/>
        <v>6.5</v>
      </c>
      <c r="N484" s="45">
        <v>1219.1999999999998</v>
      </c>
      <c r="O484" s="45">
        <v>596.9</v>
      </c>
      <c r="P484" s="45">
        <v>596.9</v>
      </c>
      <c r="Q484" s="7"/>
      <c r="R484" s="38">
        <v>1</v>
      </c>
      <c r="T484" s="7">
        <f t="shared" si="1682"/>
        <v>24</v>
      </c>
      <c r="U484" s="7">
        <f t="shared" si="1616"/>
        <v>24</v>
      </c>
      <c r="V484" s="45">
        <v>4.5</v>
      </c>
      <c r="W484" s="4">
        <f t="shared" si="1617"/>
        <v>4.5</v>
      </c>
      <c r="X484" s="4">
        <f t="shared" si="1618"/>
        <v>5.5</v>
      </c>
      <c r="Y484" s="7">
        <f t="shared" si="1619"/>
        <v>59.568280149757555</v>
      </c>
      <c r="AB484" s="45">
        <v>437.24137931034483</v>
      </c>
      <c r="AE484" s="38"/>
      <c r="AF484" s="38"/>
      <c r="AG484" s="39">
        <v>1</v>
      </c>
      <c r="AH484" s="39"/>
      <c r="AI484" s="39"/>
      <c r="AK484" s="4">
        <f t="shared" si="1620"/>
        <v>165.1</v>
      </c>
      <c r="AL484" s="4">
        <f t="shared" si="1621"/>
        <v>0.99999999999999989</v>
      </c>
      <c r="AM484" s="4">
        <f t="shared" si="1622"/>
        <v>225.32217739115345</v>
      </c>
      <c r="AN484" s="4">
        <f t="shared" si="1623"/>
        <v>1</v>
      </c>
      <c r="AO484" s="4">
        <v>1.25</v>
      </c>
      <c r="AP484" s="4">
        <v>1</v>
      </c>
      <c r="AQ484" s="38">
        <f t="shared" si="1624"/>
        <v>281.65272173894175</v>
      </c>
      <c r="AR484" s="38">
        <f t="shared" si="1683"/>
        <v>281.65272173894175</v>
      </c>
      <c r="AS484" s="38">
        <f t="shared" si="1625"/>
        <v>2.8294940183703567</v>
      </c>
      <c r="AX484" s="4">
        <f t="shared" si="1626"/>
        <v>184.11975985237513</v>
      </c>
      <c r="AY484" s="4">
        <f t="shared" si="1627"/>
        <v>1</v>
      </c>
      <c r="AZ484" s="38">
        <f t="shared" si="1628"/>
        <v>2949.3667673215441</v>
      </c>
      <c r="BA484" s="4">
        <f t="shared" si="1629"/>
        <v>0.37</v>
      </c>
      <c r="BB484" s="4">
        <f t="shared" si="1630"/>
        <v>35.594952573460411</v>
      </c>
      <c r="BC484" s="4">
        <f t="shared" si="1631"/>
        <v>2984.9617198950045</v>
      </c>
      <c r="BE484" s="4">
        <f t="shared" si="1632"/>
        <v>1.5</v>
      </c>
      <c r="BF484" s="4">
        <f t="shared" si="1633"/>
        <v>399.61069417190492</v>
      </c>
      <c r="BH484" s="4">
        <f t="shared" si="1634"/>
        <v>2828.8034139140482</v>
      </c>
      <c r="BI484" s="4">
        <f t="shared" si="1635"/>
        <v>0</v>
      </c>
      <c r="BJ484" s="4">
        <f t="shared" si="1636"/>
        <v>0</v>
      </c>
      <c r="BR484" s="4">
        <f t="shared" si="1637"/>
        <v>596.9</v>
      </c>
      <c r="BV484" s="9"/>
      <c r="BX484" s="9"/>
      <c r="BY484" s="9"/>
      <c r="BZ484" s="9">
        <f t="shared" si="1638"/>
        <v>596.9</v>
      </c>
      <c r="CA484" s="9">
        <f t="shared" si="1639"/>
        <v>596.9</v>
      </c>
      <c r="CB484" s="9">
        <f t="shared" si="1640"/>
        <v>4.8476798574163293</v>
      </c>
      <c r="CC484" s="40">
        <f t="shared" si="1641"/>
        <v>0</v>
      </c>
      <c r="CD484" s="9">
        <f t="shared" si="1642"/>
        <v>0</v>
      </c>
      <c r="CE484" s="9">
        <f t="shared" si="1643"/>
        <v>0</v>
      </c>
      <c r="CF484" s="9">
        <f t="shared" si="1644"/>
        <v>0.99524931562137331</v>
      </c>
      <c r="CG484" s="9">
        <f t="shared" si="1645"/>
        <v>0.68</v>
      </c>
      <c r="CH484" s="9">
        <f t="shared" si="1646"/>
        <v>1.2748218213295317</v>
      </c>
      <c r="CI484" s="9">
        <f t="shared" si="1647"/>
        <v>3.1870545533238293</v>
      </c>
      <c r="CJ484" s="40">
        <v>1</v>
      </c>
      <c r="CK484" s="9">
        <f t="shared" si="1648"/>
        <v>274.08669158584928</v>
      </c>
      <c r="DI484" s="4">
        <f t="shared" si="1649"/>
        <v>165.1</v>
      </c>
      <c r="DL484" s="4">
        <f t="shared" si="1650"/>
        <v>1.1521263534281654E-5</v>
      </c>
      <c r="DM484" s="4">
        <f t="shared" si="1651"/>
        <v>8.2572047805129003</v>
      </c>
      <c r="DN484" s="4">
        <f t="shared" si="1652"/>
        <v>0.50000773924973707</v>
      </c>
      <c r="DO484" s="4">
        <f t="shared" si="1653"/>
        <v>6.257829783752344</v>
      </c>
      <c r="DP484" s="4">
        <f t="shared" si="1654"/>
        <v>7.3261726234865572</v>
      </c>
      <c r="DQ484" s="4">
        <f t="shared" si="1655"/>
        <v>8.0650416635962614</v>
      </c>
      <c r="DR484" s="38">
        <f t="shared" si="1656"/>
        <v>466.91391452553756</v>
      </c>
      <c r="DS484" s="4">
        <f t="shared" si="1657"/>
        <v>1</v>
      </c>
      <c r="DT484" s="4">
        <f t="shared" si="1658"/>
        <v>2.3452078799117149</v>
      </c>
      <c r="DU484" s="4">
        <f t="shared" si="1659"/>
        <v>281.65272173894175</v>
      </c>
      <c r="DY484" s="4">
        <f t="shared" si="1660"/>
        <v>0.85</v>
      </c>
      <c r="DZ484" s="4">
        <f t="shared" si="1661"/>
        <v>0.7</v>
      </c>
      <c r="EA484" s="4">
        <f t="shared" si="1662"/>
        <v>1</v>
      </c>
      <c r="EB484" s="4">
        <f t="shared" si="1663"/>
        <v>0.7</v>
      </c>
      <c r="ED484" s="4">
        <f t="shared" si="1664"/>
        <v>889.65517241379314</v>
      </c>
      <c r="EH484" s="4">
        <f t="shared" si="1665"/>
        <v>8.2572047805129003</v>
      </c>
      <c r="EK484" s="4">
        <f t="shared" si="1666"/>
        <v>59.568280149757555</v>
      </c>
      <c r="EL484" s="4">
        <f t="shared" si="1667"/>
        <v>2.3452078799117149</v>
      </c>
      <c r="EM484" s="4">
        <f t="shared" si="1668"/>
        <v>0.14739338672530161</v>
      </c>
      <c r="EP484" s="4">
        <f t="shared" si="1669"/>
        <v>0.14739338672530161</v>
      </c>
      <c r="EQ484" s="4">
        <f t="shared" si="1670"/>
        <v>0.50000773924973707</v>
      </c>
      <c r="ER484" s="4">
        <f t="shared" si="1671"/>
        <v>6.257829783752344</v>
      </c>
      <c r="ES484" s="4">
        <f t="shared" si="1672"/>
        <v>7.3261726234865572</v>
      </c>
      <c r="ET484" s="4">
        <f t="shared" si="1673"/>
        <v>64.256719850242433</v>
      </c>
      <c r="EU484" s="4">
        <f t="shared" si="1674"/>
        <v>41.275000000000006</v>
      </c>
      <c r="EV484" s="4">
        <f t="shared" si="1675"/>
        <v>1.1521263534281654E-5</v>
      </c>
      <c r="EW484" s="4">
        <f t="shared" si="1676"/>
        <v>8.0650416635962596</v>
      </c>
      <c r="EX484" s="4">
        <f t="shared" si="1677"/>
        <v>466.91391452553756</v>
      </c>
      <c r="FG484" s="23"/>
      <c r="FH484" s="23"/>
      <c r="FI484" s="23"/>
      <c r="FJ484" s="23"/>
      <c r="FK484" s="23"/>
      <c r="FL484" s="23"/>
      <c r="FM484" s="23"/>
      <c r="FN484" s="23"/>
      <c r="FX484" s="4">
        <f t="shared" si="1678"/>
        <v>1</v>
      </c>
      <c r="FY484" s="4">
        <f t="shared" si="1679"/>
        <v>1.0833333333333333</v>
      </c>
      <c r="FZ484" s="4">
        <f t="shared" si="1680"/>
        <v>0</v>
      </c>
      <c r="GA484" s="4">
        <f t="shared" si="1681"/>
        <v>138.79835820431603</v>
      </c>
    </row>
    <row r="485" spans="1:184" ht="12" customHeight="1" x14ac:dyDescent="0.3">
      <c r="A485" s="113"/>
      <c r="B485" s="14" t="s">
        <v>605</v>
      </c>
      <c r="C485" s="24"/>
      <c r="D485" s="14" t="s">
        <v>365</v>
      </c>
      <c r="E485" s="24"/>
      <c r="F485" s="43" t="s">
        <v>639</v>
      </c>
      <c r="G485" s="38">
        <f t="shared" si="1612"/>
        <v>889.65517241379314</v>
      </c>
      <c r="H485" s="45">
        <v>165.1</v>
      </c>
      <c r="I485" s="4">
        <f t="shared" si="1613"/>
        <v>165.1</v>
      </c>
      <c r="J485" s="45">
        <v>28.96551724137931</v>
      </c>
      <c r="K485" s="7">
        <v>25.4</v>
      </c>
      <c r="L485" s="7">
        <f t="shared" si="1614"/>
        <v>6.5</v>
      </c>
      <c r="M485" s="7">
        <f t="shared" si="1615"/>
        <v>6.5</v>
      </c>
      <c r="N485" s="45">
        <v>1219.1999999999998</v>
      </c>
      <c r="O485" s="45">
        <v>596.9</v>
      </c>
      <c r="P485" s="45">
        <v>596.9</v>
      </c>
      <c r="Q485" s="7"/>
      <c r="R485" s="38">
        <v>1</v>
      </c>
      <c r="T485" s="7">
        <f t="shared" si="1682"/>
        <v>24</v>
      </c>
      <c r="U485" s="7">
        <f t="shared" si="1616"/>
        <v>24</v>
      </c>
      <c r="V485" s="45">
        <v>9.5</v>
      </c>
      <c r="W485" s="4">
        <f t="shared" si="1617"/>
        <v>9.5</v>
      </c>
      <c r="X485" s="4">
        <f t="shared" si="1618"/>
        <v>10.5</v>
      </c>
      <c r="Y485" s="7">
        <f t="shared" si="1619"/>
        <v>82.305406869779816</v>
      </c>
      <c r="AB485" s="45">
        <v>426.89655172413796</v>
      </c>
      <c r="AE485" s="38"/>
      <c r="AF485" s="38"/>
      <c r="AG485" s="39">
        <v>1</v>
      </c>
      <c r="AH485" s="39"/>
      <c r="AI485" s="39"/>
      <c r="AK485" s="4">
        <f t="shared" si="1620"/>
        <v>165.1</v>
      </c>
      <c r="AL485" s="4">
        <f t="shared" si="1621"/>
        <v>0.99999999999999989</v>
      </c>
      <c r="AM485" s="4">
        <f t="shared" si="1622"/>
        <v>225.32217739115345</v>
      </c>
      <c r="AN485" s="4">
        <f t="shared" si="1623"/>
        <v>1</v>
      </c>
      <c r="AO485" s="4">
        <v>1.25</v>
      </c>
      <c r="AP485" s="4">
        <v>1</v>
      </c>
      <c r="AQ485" s="38">
        <f t="shared" si="1624"/>
        <v>281.65272173894175</v>
      </c>
      <c r="AR485" s="38">
        <f t="shared" si="1683"/>
        <v>281.65272173894175</v>
      </c>
      <c r="AS485" s="38">
        <f t="shared" si="1625"/>
        <v>2.8294940183703567</v>
      </c>
      <c r="AX485" s="4">
        <f t="shared" si="1626"/>
        <v>184.11975985237513</v>
      </c>
      <c r="AY485" s="4">
        <f t="shared" si="1627"/>
        <v>1</v>
      </c>
      <c r="AZ485" s="38">
        <f t="shared" si="1628"/>
        <v>4285.3305620639503</v>
      </c>
      <c r="BA485" s="4">
        <f t="shared" si="1629"/>
        <v>0.3</v>
      </c>
      <c r="BB485" s="4">
        <f t="shared" si="1630"/>
        <v>28.860772356859794</v>
      </c>
      <c r="BC485" s="4">
        <f t="shared" si="1631"/>
        <v>4314.1913344208097</v>
      </c>
      <c r="BE485" s="4">
        <f t="shared" si="1632"/>
        <v>1.5</v>
      </c>
      <c r="BF485" s="4">
        <f t="shared" si="1633"/>
        <v>399.61069417190492</v>
      </c>
      <c r="BH485" s="4">
        <f t="shared" si="1634"/>
        <v>4110.1560707980652</v>
      </c>
      <c r="BI485" s="4">
        <f t="shared" si="1635"/>
        <v>0</v>
      </c>
      <c r="BJ485" s="4">
        <f t="shared" si="1636"/>
        <v>0</v>
      </c>
      <c r="BR485" s="4">
        <f t="shared" si="1637"/>
        <v>596.9</v>
      </c>
      <c r="BV485" s="9"/>
      <c r="BX485" s="9"/>
      <c r="BY485" s="9"/>
      <c r="BZ485" s="9">
        <f t="shared" si="1638"/>
        <v>596.9</v>
      </c>
      <c r="CA485" s="9">
        <f t="shared" si="1639"/>
        <v>596.9</v>
      </c>
      <c r="CB485" s="9">
        <f t="shared" si="1640"/>
        <v>4.8476798574163293</v>
      </c>
      <c r="CC485" s="40">
        <f t="shared" si="1641"/>
        <v>0</v>
      </c>
      <c r="CD485" s="9">
        <f t="shared" si="1642"/>
        <v>0</v>
      </c>
      <c r="CE485" s="9">
        <f t="shared" si="1643"/>
        <v>0</v>
      </c>
      <c r="CF485" s="9">
        <f t="shared" si="1644"/>
        <v>0.99524931562137331</v>
      </c>
      <c r="CG485" s="9">
        <f t="shared" si="1645"/>
        <v>0.68</v>
      </c>
      <c r="CH485" s="9">
        <f t="shared" si="1646"/>
        <v>1.2748218213295317</v>
      </c>
      <c r="CI485" s="9">
        <f t="shared" si="1647"/>
        <v>3.1870545533238293</v>
      </c>
      <c r="CJ485" s="40">
        <v>1</v>
      </c>
      <c r="CK485" s="9">
        <f t="shared" si="1648"/>
        <v>274.08669158584928</v>
      </c>
      <c r="DI485" s="4">
        <f t="shared" si="1649"/>
        <v>165.1</v>
      </c>
      <c r="DL485" s="4">
        <f t="shared" si="1650"/>
        <v>1.1521263534281654E-5</v>
      </c>
      <c r="DM485" s="4">
        <f t="shared" si="1651"/>
        <v>8.2572047805129003</v>
      </c>
      <c r="DN485" s="4">
        <f t="shared" si="1652"/>
        <v>0.32724946090324902</v>
      </c>
      <c r="DO485" s="4">
        <f t="shared" si="1653"/>
        <v>5.2818325815863334</v>
      </c>
      <c r="DP485" s="4">
        <f t="shared" si="1654"/>
        <v>6.9318072770896242</v>
      </c>
      <c r="DQ485" s="4">
        <f t="shared" si="1655"/>
        <v>8.0879729188138541</v>
      </c>
      <c r="DR485" s="38">
        <f t="shared" si="1656"/>
        <v>448.00867129349689</v>
      </c>
      <c r="DS485" s="4">
        <f t="shared" si="1657"/>
        <v>1</v>
      </c>
      <c r="DT485" s="4">
        <f t="shared" si="1658"/>
        <v>3.2403703492039297</v>
      </c>
      <c r="DU485" s="4">
        <f t="shared" si="1659"/>
        <v>281.65272173894175</v>
      </c>
      <c r="DY485" s="4">
        <f t="shared" si="1660"/>
        <v>0.85</v>
      </c>
      <c r="DZ485" s="4">
        <f t="shared" si="1661"/>
        <v>0.7</v>
      </c>
      <c r="EA485" s="4">
        <f t="shared" si="1662"/>
        <v>1</v>
      </c>
      <c r="EB485" s="4">
        <f t="shared" si="1663"/>
        <v>0.7</v>
      </c>
      <c r="ED485" s="4">
        <f t="shared" si="1664"/>
        <v>889.65517241379314</v>
      </c>
      <c r="EH485" s="4">
        <f t="shared" si="1665"/>
        <v>8.2572047805129003</v>
      </c>
      <c r="EK485" s="4">
        <f t="shared" si="1666"/>
        <v>82.305406869779816</v>
      </c>
      <c r="EL485" s="4">
        <f t="shared" si="1667"/>
        <v>3.2403703492039302</v>
      </c>
      <c r="EM485" s="4">
        <f t="shared" si="1668"/>
        <v>9.6467319523763598E-2</v>
      </c>
      <c r="EP485" s="4">
        <f t="shared" si="1669"/>
        <v>9.6467319523763598E-2</v>
      </c>
      <c r="EQ485" s="4">
        <f t="shared" si="1670"/>
        <v>0.32724946090324902</v>
      </c>
      <c r="ER485" s="4">
        <f t="shared" si="1671"/>
        <v>5.2818325815863334</v>
      </c>
      <c r="ES485" s="4">
        <f t="shared" si="1672"/>
        <v>6.9318072770896242</v>
      </c>
      <c r="ET485" s="4">
        <f t="shared" si="1673"/>
        <v>41.519593130220173</v>
      </c>
      <c r="EU485" s="4">
        <f t="shared" si="1674"/>
        <v>41.275000000000006</v>
      </c>
      <c r="EV485" s="4">
        <f t="shared" si="1675"/>
        <v>1.1521263534281654E-5</v>
      </c>
      <c r="EW485" s="4">
        <f t="shared" si="1676"/>
        <v>8.0879729188138541</v>
      </c>
      <c r="EX485" s="4">
        <f t="shared" si="1677"/>
        <v>448.00867129349689</v>
      </c>
      <c r="FG485" s="23"/>
      <c r="FH485" s="23"/>
      <c r="FI485" s="23"/>
      <c r="FJ485" s="23"/>
      <c r="FK485" s="23"/>
      <c r="FL485" s="23"/>
      <c r="FM485" s="23"/>
      <c r="FN485" s="23"/>
      <c r="FX485" s="4">
        <f t="shared" si="1678"/>
        <v>1</v>
      </c>
      <c r="FY485" s="4">
        <f t="shared" si="1679"/>
        <v>1.0833333333333333</v>
      </c>
      <c r="FZ485" s="4">
        <f t="shared" si="1680"/>
        <v>0</v>
      </c>
      <c r="GA485" s="4">
        <f t="shared" si="1681"/>
        <v>138.79835820431603</v>
      </c>
    </row>
    <row r="486" spans="1:184" ht="12" customHeight="1" x14ac:dyDescent="0.3">
      <c r="A486" s="113"/>
      <c r="B486" s="14" t="s">
        <v>605</v>
      </c>
      <c r="C486" s="24"/>
      <c r="D486" s="14" t="s">
        <v>365</v>
      </c>
      <c r="E486" s="24"/>
      <c r="F486" s="43" t="s">
        <v>639</v>
      </c>
      <c r="G486" s="38">
        <f t="shared" si="1612"/>
        <v>889.65517241379314</v>
      </c>
      <c r="H486" s="45">
        <v>162.56</v>
      </c>
      <c r="I486" s="4">
        <f t="shared" si="1613"/>
        <v>162.56</v>
      </c>
      <c r="J486" s="45">
        <v>28.96551724137931</v>
      </c>
      <c r="K486" s="7">
        <v>25.4</v>
      </c>
      <c r="L486" s="7">
        <f t="shared" si="1614"/>
        <v>6.4</v>
      </c>
      <c r="M486" s="7">
        <f t="shared" si="1615"/>
        <v>6.4</v>
      </c>
      <c r="N486" s="45">
        <v>1219.1999999999998</v>
      </c>
      <c r="O486" s="45">
        <v>596.9</v>
      </c>
      <c r="P486" s="45">
        <v>596.9</v>
      </c>
      <c r="Q486" s="7"/>
      <c r="R486" s="38">
        <v>1</v>
      </c>
      <c r="T486" s="7">
        <f t="shared" si="1682"/>
        <v>24</v>
      </c>
      <c r="U486" s="7">
        <f t="shared" si="1616"/>
        <v>24</v>
      </c>
      <c r="V486" s="45">
        <v>9.5</v>
      </c>
      <c r="W486" s="4">
        <f t="shared" si="1617"/>
        <v>9.5</v>
      </c>
      <c r="X486" s="4">
        <f t="shared" si="1618"/>
        <v>10.5</v>
      </c>
      <c r="Y486" s="7">
        <f t="shared" si="1619"/>
        <v>82.305406869779816</v>
      </c>
      <c r="AB486" s="45">
        <v>475.86206896551727</v>
      </c>
      <c r="AE486" s="38"/>
      <c r="AF486" s="38"/>
      <c r="AG486" s="39">
        <v>1</v>
      </c>
      <c r="AH486" s="39"/>
      <c r="AI486" s="39"/>
      <c r="AK486" s="4">
        <f t="shared" si="1620"/>
        <v>162.56</v>
      </c>
      <c r="AL486" s="4">
        <f t="shared" si="1621"/>
        <v>1</v>
      </c>
      <c r="AM486" s="4">
        <f t="shared" si="1622"/>
        <v>220.14248542345268</v>
      </c>
      <c r="AN486" s="4">
        <f t="shared" si="1623"/>
        <v>1</v>
      </c>
      <c r="AO486" s="4">
        <v>1.25</v>
      </c>
      <c r="AP486" s="4">
        <v>1</v>
      </c>
      <c r="AQ486" s="38">
        <f t="shared" si="1624"/>
        <v>275.17810677931584</v>
      </c>
      <c r="AR486" s="38">
        <f t="shared" si="1683"/>
        <v>275.17810677931584</v>
      </c>
      <c r="AS486" s="38">
        <f t="shared" si="1625"/>
        <v>2.8294940183703567</v>
      </c>
      <c r="AX486" s="4">
        <f t="shared" si="1626"/>
        <v>181.28714816233858</v>
      </c>
      <c r="AY486" s="4">
        <f t="shared" si="1627"/>
        <v>1</v>
      </c>
      <c r="AZ486" s="38">
        <f t="shared" si="1628"/>
        <v>4285.3305620639503</v>
      </c>
      <c r="BA486" s="4">
        <f t="shared" si="1629"/>
        <v>0.3</v>
      </c>
      <c r="BB486" s="4">
        <f t="shared" si="1630"/>
        <v>28.416760474446569</v>
      </c>
      <c r="BC486" s="4">
        <f t="shared" si="1631"/>
        <v>4313.7473225383965</v>
      </c>
      <c r="BE486" s="4">
        <f t="shared" si="1632"/>
        <v>1.5</v>
      </c>
      <c r="BF486" s="4">
        <f t="shared" si="1633"/>
        <v>397.18881117692376</v>
      </c>
      <c r="BH486" s="4">
        <f t="shared" si="1634"/>
        <v>4110.1560707980652</v>
      </c>
      <c r="BI486" s="4">
        <f t="shared" si="1635"/>
        <v>0</v>
      </c>
      <c r="BJ486" s="4">
        <f t="shared" si="1636"/>
        <v>0</v>
      </c>
      <c r="BR486" s="4">
        <f t="shared" si="1637"/>
        <v>596.9</v>
      </c>
      <c r="BV486" s="9"/>
      <c r="BX486" s="9"/>
      <c r="BY486" s="9"/>
      <c r="BZ486" s="9">
        <f t="shared" si="1638"/>
        <v>596.9</v>
      </c>
      <c r="CA486" s="9">
        <f t="shared" si="1639"/>
        <v>596.9</v>
      </c>
      <c r="CB486" s="9">
        <f t="shared" si="1640"/>
        <v>4.8476798574163293</v>
      </c>
      <c r="CC486" s="40">
        <f t="shared" si="1641"/>
        <v>0</v>
      </c>
      <c r="CD486" s="9">
        <f t="shared" si="1642"/>
        <v>0</v>
      </c>
      <c r="CE486" s="9">
        <f t="shared" si="1643"/>
        <v>0</v>
      </c>
      <c r="CF486" s="9">
        <f t="shared" si="1644"/>
        <v>0.99524931562137331</v>
      </c>
      <c r="CG486" s="9">
        <f t="shared" si="1645"/>
        <v>0.68</v>
      </c>
      <c r="CH486" s="9">
        <f t="shared" si="1646"/>
        <v>1.2748218213295317</v>
      </c>
      <c r="CI486" s="9">
        <f t="shared" si="1647"/>
        <v>3.1870545533238293</v>
      </c>
      <c r="CJ486" s="40">
        <v>1</v>
      </c>
      <c r="CK486" s="9">
        <f t="shared" si="1648"/>
        <v>272.81186976451977</v>
      </c>
      <c r="DI486" s="4">
        <f t="shared" si="1649"/>
        <v>162.56</v>
      </c>
      <c r="DL486" s="4">
        <f t="shared" si="1650"/>
        <v>1.1344013326061937E-5</v>
      </c>
      <c r="DM486" s="4">
        <f t="shared" si="1651"/>
        <v>8.2572047805129003</v>
      </c>
      <c r="DN486" s="4">
        <f t="shared" si="1652"/>
        <v>0.31972667098660273</v>
      </c>
      <c r="DO486" s="4">
        <f t="shared" si="1653"/>
        <v>5.2329261002744616</v>
      </c>
      <c r="DP486" s="4">
        <f t="shared" si="1654"/>
        <v>6.9132912758781213</v>
      </c>
      <c r="DQ486" s="4">
        <f t="shared" si="1655"/>
        <v>8.0943984457206888</v>
      </c>
      <c r="DR486" s="38">
        <f t="shared" si="1656"/>
        <v>437.93742736534432</v>
      </c>
      <c r="DS486" s="4">
        <f t="shared" si="1657"/>
        <v>0.99999999999999989</v>
      </c>
      <c r="DT486" s="4">
        <f t="shared" si="1658"/>
        <v>3.2403703492039297</v>
      </c>
      <c r="DU486" s="4">
        <f t="shared" si="1659"/>
        <v>275.17810677931584</v>
      </c>
      <c r="DY486" s="4">
        <f t="shared" si="1660"/>
        <v>0.85</v>
      </c>
      <c r="DZ486" s="4">
        <f t="shared" si="1661"/>
        <v>0.7</v>
      </c>
      <c r="EA486" s="4">
        <f t="shared" si="1662"/>
        <v>1</v>
      </c>
      <c r="EB486" s="4">
        <f t="shared" si="1663"/>
        <v>0.7</v>
      </c>
      <c r="ED486" s="4">
        <f t="shared" si="1664"/>
        <v>889.65517241379314</v>
      </c>
      <c r="EH486" s="4">
        <f t="shared" si="1665"/>
        <v>8.2572047805129003</v>
      </c>
      <c r="EK486" s="4">
        <f t="shared" si="1666"/>
        <v>82.305406869779816</v>
      </c>
      <c r="EL486" s="4">
        <f t="shared" si="1667"/>
        <v>3.2403703492039302</v>
      </c>
      <c r="EM486" s="4">
        <f t="shared" si="1668"/>
        <v>9.4249734881771408E-2</v>
      </c>
      <c r="EP486" s="4">
        <f t="shared" si="1669"/>
        <v>9.4249734881771408E-2</v>
      </c>
      <c r="EQ486" s="4">
        <f t="shared" si="1670"/>
        <v>0.31972667098660273</v>
      </c>
      <c r="ER486" s="4">
        <f t="shared" si="1671"/>
        <v>5.2329261002744616</v>
      </c>
      <c r="ES486" s="4">
        <f t="shared" si="1672"/>
        <v>6.9132912758781213</v>
      </c>
      <c r="ET486" s="4">
        <f t="shared" si="1673"/>
        <v>39.614593130220186</v>
      </c>
      <c r="EU486" s="4">
        <f t="shared" si="1674"/>
        <v>40.64</v>
      </c>
      <c r="EV486" s="4">
        <f t="shared" si="1675"/>
        <v>1.1344013326061937E-5</v>
      </c>
      <c r="EW486" s="4">
        <f t="shared" si="1676"/>
        <v>8.0943984457206888</v>
      </c>
      <c r="EX486" s="4">
        <f t="shared" si="1677"/>
        <v>437.93742736534438</v>
      </c>
      <c r="FG486" s="23"/>
      <c r="FH486" s="23"/>
      <c r="FI486" s="23"/>
      <c r="FJ486" s="23"/>
      <c r="FK486" s="23"/>
      <c r="FL486" s="23"/>
      <c r="FM486" s="23"/>
      <c r="FN486" s="23"/>
      <c r="FX486" s="4">
        <f t="shared" si="1678"/>
        <v>1</v>
      </c>
      <c r="FY486" s="4">
        <f t="shared" si="1679"/>
        <v>1.0833333333333333</v>
      </c>
      <c r="FZ486" s="4">
        <f t="shared" si="1680"/>
        <v>0</v>
      </c>
      <c r="GA486" s="4">
        <f t="shared" si="1681"/>
        <v>136.66299884732655</v>
      </c>
    </row>
    <row r="487" spans="1:184" ht="12" customHeight="1" x14ac:dyDescent="0.3">
      <c r="A487" s="113"/>
      <c r="B487" s="14" t="s">
        <v>605</v>
      </c>
      <c r="C487" s="24"/>
      <c r="D487" s="14" t="s">
        <v>365</v>
      </c>
      <c r="E487" s="24"/>
      <c r="F487" s="43" t="s">
        <v>640</v>
      </c>
      <c r="G487" s="38">
        <f t="shared" si="1612"/>
        <v>889.65517241379314</v>
      </c>
      <c r="H487" s="45">
        <v>213.35999999999999</v>
      </c>
      <c r="I487" s="4">
        <f t="shared" si="1613"/>
        <v>213.35999999999999</v>
      </c>
      <c r="J487" s="45">
        <v>28.96551724137931</v>
      </c>
      <c r="K487" s="7">
        <v>25.4</v>
      </c>
      <c r="L487" s="7">
        <f t="shared" si="1614"/>
        <v>8.4</v>
      </c>
      <c r="M487" s="7">
        <f t="shared" si="1615"/>
        <v>8.4</v>
      </c>
      <c r="N487" s="45">
        <v>1219.1999999999998</v>
      </c>
      <c r="O487" s="45">
        <v>596.9</v>
      </c>
      <c r="P487" s="45">
        <v>596.9</v>
      </c>
      <c r="Q487" s="7"/>
      <c r="R487" s="38">
        <v>1</v>
      </c>
      <c r="T487" s="7">
        <f t="shared" si="1682"/>
        <v>24</v>
      </c>
      <c r="U487" s="7">
        <f t="shared" si="1616"/>
        <v>24</v>
      </c>
      <c r="V487" s="45">
        <v>4.0999999999999996</v>
      </c>
      <c r="W487" s="4">
        <f t="shared" si="1617"/>
        <v>4.0999999999999996</v>
      </c>
      <c r="X487" s="4">
        <f t="shared" si="1618"/>
        <v>5.0999999999999996</v>
      </c>
      <c r="Y487" s="7">
        <f t="shared" si="1619"/>
        <v>57.361276136431961</v>
      </c>
      <c r="AB487" s="45">
        <v>341.37931034482762</v>
      </c>
      <c r="AE487" s="38"/>
      <c r="AF487" s="38"/>
      <c r="AG487" s="39">
        <v>1</v>
      </c>
      <c r="AH487" s="39"/>
      <c r="AI487" s="39"/>
      <c r="AK487" s="4">
        <f t="shared" si="1620"/>
        <v>213.35999999999999</v>
      </c>
      <c r="AL487" s="4">
        <f t="shared" si="1621"/>
        <v>1</v>
      </c>
      <c r="AM487" s="4">
        <f t="shared" si="1622"/>
        <v>331.01893227659951</v>
      </c>
      <c r="AN487" s="4">
        <f t="shared" si="1623"/>
        <v>1</v>
      </c>
      <c r="AO487" s="4">
        <v>1.25</v>
      </c>
      <c r="AP487" s="4">
        <v>1</v>
      </c>
      <c r="AQ487" s="38">
        <f t="shared" si="1624"/>
        <v>413.77366534574941</v>
      </c>
      <c r="AR487" s="38">
        <f t="shared" si="1683"/>
        <v>413.77366534574941</v>
      </c>
      <c r="AS487" s="38">
        <f t="shared" si="1625"/>
        <v>2.8294940183703567</v>
      </c>
      <c r="AX487" s="4">
        <f t="shared" si="1626"/>
        <v>237.93938196306939</v>
      </c>
      <c r="AY487" s="4">
        <f t="shared" si="1627"/>
        <v>1</v>
      </c>
      <c r="AZ487" s="38">
        <f t="shared" si="1628"/>
        <v>2815.2337082989129</v>
      </c>
      <c r="BA487" s="4">
        <f t="shared" si="1629"/>
        <v>0.42600000000000005</v>
      </c>
      <c r="BB487" s="4">
        <f t="shared" si="1630"/>
        <v>52.961737334249797</v>
      </c>
      <c r="BC487" s="4">
        <f t="shared" si="1631"/>
        <v>2868.1954456331628</v>
      </c>
      <c r="BE487" s="4">
        <f t="shared" si="1632"/>
        <v>1.5</v>
      </c>
      <c r="BF487" s="4">
        <f t="shared" si="1633"/>
        <v>445.62647107654857</v>
      </c>
      <c r="BH487" s="4">
        <f t="shared" si="1634"/>
        <v>2700.1534069071072</v>
      </c>
      <c r="BI487" s="4">
        <f t="shared" si="1635"/>
        <v>0</v>
      </c>
      <c r="BJ487" s="4">
        <f t="shared" si="1636"/>
        <v>0</v>
      </c>
      <c r="BR487" s="4">
        <f t="shared" si="1637"/>
        <v>596.9</v>
      </c>
      <c r="BV487" s="9"/>
      <c r="BX487" s="9"/>
      <c r="BY487" s="9"/>
      <c r="BZ487" s="9">
        <f t="shared" si="1638"/>
        <v>596.9</v>
      </c>
      <c r="CA487" s="9">
        <f t="shared" si="1639"/>
        <v>596.9</v>
      </c>
      <c r="CB487" s="9">
        <f t="shared" si="1640"/>
        <v>4.8476798574163293</v>
      </c>
      <c r="CC487" s="40">
        <f t="shared" si="1641"/>
        <v>0</v>
      </c>
      <c r="CD487" s="9">
        <f t="shared" si="1642"/>
        <v>0</v>
      </c>
      <c r="CE487" s="9">
        <f t="shared" si="1643"/>
        <v>0</v>
      </c>
      <c r="CF487" s="9">
        <f t="shared" si="1644"/>
        <v>0.99524931562137331</v>
      </c>
      <c r="CG487" s="9">
        <f t="shared" si="1645"/>
        <v>0.68</v>
      </c>
      <c r="CH487" s="9">
        <f t="shared" si="1646"/>
        <v>1.2748218213295317</v>
      </c>
      <c r="CI487" s="9">
        <f t="shared" si="1647"/>
        <v>3.1870545533238293</v>
      </c>
      <c r="CJ487" s="40">
        <v>1</v>
      </c>
      <c r="CK487" s="9">
        <f t="shared" si="1648"/>
        <v>298.30830619111043</v>
      </c>
      <c r="DI487" s="4">
        <f t="shared" si="1649"/>
        <v>213.35999999999999</v>
      </c>
      <c r="DL487" s="4">
        <f t="shared" si="1650"/>
        <v>1.4889017490456289E-5</v>
      </c>
      <c r="DM487" s="4">
        <f t="shared" si="1651"/>
        <v>8.2572047805129003</v>
      </c>
      <c r="DN487" s="4">
        <f t="shared" si="1652"/>
        <v>0.77635082883803019</v>
      </c>
      <c r="DO487" s="4">
        <f t="shared" si="1653"/>
        <v>7.4620175087624512</v>
      </c>
      <c r="DP487" s="4">
        <f t="shared" si="1654"/>
        <v>7.8696638067407143</v>
      </c>
      <c r="DQ487" s="4">
        <f t="shared" si="1655"/>
        <v>7.901496818500239</v>
      </c>
      <c r="DR487" s="38">
        <f t="shared" si="1656"/>
        <v>674.77938672986375</v>
      </c>
      <c r="DS487" s="4">
        <f t="shared" si="1657"/>
        <v>1</v>
      </c>
      <c r="DT487" s="4">
        <f t="shared" si="1658"/>
        <v>2.2583179581272428</v>
      </c>
      <c r="DU487" s="4">
        <f t="shared" si="1659"/>
        <v>413.77366534574941</v>
      </c>
      <c r="DY487" s="4">
        <f t="shared" si="1660"/>
        <v>0.85</v>
      </c>
      <c r="DZ487" s="4">
        <f t="shared" si="1661"/>
        <v>0.7</v>
      </c>
      <c r="EA487" s="4">
        <f t="shared" si="1662"/>
        <v>1</v>
      </c>
      <c r="EB487" s="4">
        <f t="shared" si="1663"/>
        <v>0.7</v>
      </c>
      <c r="ED487" s="4">
        <f t="shared" si="1664"/>
        <v>889.65517241379314</v>
      </c>
      <c r="EH487" s="4">
        <f t="shared" si="1665"/>
        <v>8.2572047805129003</v>
      </c>
      <c r="EK487" s="4">
        <f t="shared" si="1666"/>
        <v>57.361276136431961</v>
      </c>
      <c r="EL487" s="4">
        <f t="shared" si="1667"/>
        <v>2.2583179581272428</v>
      </c>
      <c r="EM487" s="4">
        <f t="shared" si="1668"/>
        <v>0.22885441357594427</v>
      </c>
      <c r="EP487" s="4">
        <f t="shared" si="1669"/>
        <v>0.22885441357594427</v>
      </c>
      <c r="EQ487" s="4">
        <f t="shared" si="1670"/>
        <v>0.77635082883803019</v>
      </c>
      <c r="ER487" s="4">
        <f t="shared" si="1671"/>
        <v>7.4620175087624512</v>
      </c>
      <c r="ES487" s="4">
        <f t="shared" si="1672"/>
        <v>7.8696638067407143</v>
      </c>
      <c r="ET487" s="4">
        <f t="shared" si="1673"/>
        <v>102.65872386356801</v>
      </c>
      <c r="EU487" s="4">
        <f t="shared" si="1674"/>
        <v>53.34</v>
      </c>
      <c r="EV487" s="4">
        <f t="shared" si="1675"/>
        <v>1.4889017490456294E-5</v>
      </c>
      <c r="EW487" s="4">
        <f t="shared" si="1676"/>
        <v>7.9014968185002399</v>
      </c>
      <c r="EX487" s="4">
        <f t="shared" si="1677"/>
        <v>674.77938672986375</v>
      </c>
      <c r="FG487" s="23"/>
      <c r="FH487" s="23"/>
      <c r="FI487" s="23"/>
      <c r="FJ487" s="23"/>
      <c r="FK487" s="23"/>
      <c r="FL487" s="23"/>
      <c r="FM487" s="23"/>
      <c r="FN487" s="23"/>
      <c r="FX487" s="4">
        <f t="shared" si="1678"/>
        <v>1</v>
      </c>
      <c r="FY487" s="4">
        <f t="shared" si="1679"/>
        <v>1.0833333333333333</v>
      </c>
      <c r="FZ487" s="4">
        <f t="shared" si="1680"/>
        <v>0</v>
      </c>
      <c r="GA487" s="4">
        <f t="shared" si="1681"/>
        <v>179.37018598711612</v>
      </c>
    </row>
    <row r="488" spans="1:184" ht="12" customHeight="1" x14ac:dyDescent="0.3">
      <c r="A488" s="113"/>
      <c r="B488" s="14" t="s">
        <v>605</v>
      </c>
      <c r="C488" s="24"/>
      <c r="D488" s="14" t="s">
        <v>365</v>
      </c>
      <c r="E488" s="24"/>
      <c r="F488" s="43" t="s">
        <v>641</v>
      </c>
      <c r="G488" s="38">
        <f t="shared" si="1612"/>
        <v>889.65517241379314</v>
      </c>
      <c r="H488" s="45">
        <v>165.1</v>
      </c>
      <c r="I488" s="4">
        <f t="shared" si="1613"/>
        <v>165.1</v>
      </c>
      <c r="J488" s="45">
        <v>35.724137931034484</v>
      </c>
      <c r="K488" s="7">
        <v>25.4</v>
      </c>
      <c r="L488" s="7">
        <f t="shared" si="1614"/>
        <v>6.5</v>
      </c>
      <c r="M488" s="7">
        <f t="shared" si="1615"/>
        <v>6.5</v>
      </c>
      <c r="N488" s="45">
        <v>1524</v>
      </c>
      <c r="O488" s="45">
        <v>769.62</v>
      </c>
      <c r="P488" s="45">
        <v>769.62</v>
      </c>
      <c r="Q488" s="7"/>
      <c r="R488" s="38">
        <v>1</v>
      </c>
      <c r="T488" s="7">
        <f t="shared" si="1682"/>
        <v>30.8</v>
      </c>
      <c r="U488" s="7">
        <f t="shared" si="1616"/>
        <v>30.8</v>
      </c>
      <c r="V488" s="45">
        <v>4.0999999999999996</v>
      </c>
      <c r="W488" s="4">
        <f t="shared" si="1617"/>
        <v>4.0999999999999996</v>
      </c>
      <c r="X488" s="4">
        <f t="shared" si="1618"/>
        <v>5.0999999999999996</v>
      </c>
      <c r="Y488" s="7">
        <f t="shared" si="1619"/>
        <v>57.361276136431961</v>
      </c>
      <c r="AB488" s="45">
        <v>440.68965517241384</v>
      </c>
      <c r="AE488" s="38"/>
      <c r="AF488" s="38"/>
      <c r="AG488" s="39">
        <v>1</v>
      </c>
      <c r="AH488" s="39"/>
      <c r="AI488" s="39"/>
      <c r="AK488" s="4">
        <f t="shared" si="1620"/>
        <v>165.1</v>
      </c>
      <c r="AL488" s="4">
        <f t="shared" si="1621"/>
        <v>0.99999999999999989</v>
      </c>
      <c r="AM488" s="4">
        <f t="shared" si="1622"/>
        <v>250.23276458121583</v>
      </c>
      <c r="AN488" s="4">
        <f t="shared" si="1623"/>
        <v>1</v>
      </c>
      <c r="AO488" s="4">
        <v>1.25</v>
      </c>
      <c r="AP488" s="4">
        <v>1</v>
      </c>
      <c r="AQ488" s="38">
        <f t="shared" si="1624"/>
        <v>312.79095572651971</v>
      </c>
      <c r="AR488" s="38">
        <f t="shared" si="1683"/>
        <v>312.79095572651971</v>
      </c>
      <c r="AS488" s="38">
        <f t="shared" si="1625"/>
        <v>3.2540864993004175</v>
      </c>
      <c r="AX488" s="4">
        <f t="shared" si="1626"/>
        <v>204.47519660662698</v>
      </c>
      <c r="AY488" s="4">
        <f t="shared" si="1627"/>
        <v>1</v>
      </c>
      <c r="AZ488" s="38">
        <f t="shared" si="1628"/>
        <v>4455.8893527464461</v>
      </c>
      <c r="BA488" s="4">
        <f t="shared" si="1629"/>
        <v>0.42600000000000005</v>
      </c>
      <c r="BB488" s="4">
        <f t="shared" si="1630"/>
        <v>45.51311163668607</v>
      </c>
      <c r="BC488" s="4">
        <f t="shared" si="1631"/>
        <v>4501.4024643831326</v>
      </c>
      <c r="BE488" s="4">
        <f t="shared" si="1632"/>
        <v>1.5</v>
      </c>
      <c r="BF488" s="4">
        <f t="shared" si="1633"/>
        <v>443.78982094276768</v>
      </c>
      <c r="BH488" s="4">
        <f t="shared" si="1634"/>
        <v>4273.7428090435269</v>
      </c>
      <c r="BI488" s="4">
        <f t="shared" si="1635"/>
        <v>0</v>
      </c>
      <c r="BJ488" s="4">
        <f t="shared" si="1636"/>
        <v>0</v>
      </c>
      <c r="BR488" s="4">
        <f t="shared" si="1637"/>
        <v>769.62</v>
      </c>
      <c r="BV488" s="9"/>
      <c r="BX488" s="9"/>
      <c r="BY488" s="9"/>
      <c r="BZ488" s="9">
        <f t="shared" si="1638"/>
        <v>769.62</v>
      </c>
      <c r="CA488" s="9">
        <f t="shared" si="1639"/>
        <v>769.62</v>
      </c>
      <c r="CB488" s="9">
        <f t="shared" si="1640"/>
        <v>5.5045435778091543</v>
      </c>
      <c r="CC488" s="40">
        <f t="shared" si="1641"/>
        <v>0</v>
      </c>
      <c r="CD488" s="9">
        <f t="shared" si="1642"/>
        <v>0</v>
      </c>
      <c r="CE488" s="9">
        <f t="shared" si="1643"/>
        <v>0</v>
      </c>
      <c r="CF488" s="9">
        <f t="shared" si="1644"/>
        <v>0.99524931562137331</v>
      </c>
      <c r="CG488" s="9">
        <f t="shared" si="1645"/>
        <v>0.68</v>
      </c>
      <c r="CH488" s="9">
        <f t="shared" si="1646"/>
        <v>1.4157602788737922</v>
      </c>
      <c r="CI488" s="9">
        <f t="shared" si="1647"/>
        <v>3.5394006971844805</v>
      </c>
      <c r="CJ488" s="40">
        <v>1</v>
      </c>
      <c r="CK488" s="9">
        <f t="shared" si="1648"/>
        <v>304.38845995786528</v>
      </c>
      <c r="DI488" s="4">
        <f t="shared" si="1649"/>
        <v>165.1</v>
      </c>
      <c r="DL488" s="4">
        <f t="shared" si="1650"/>
        <v>1.2079484897608146E-5</v>
      </c>
      <c r="DM488" s="4">
        <f t="shared" si="1651"/>
        <v>9.1700834949507204</v>
      </c>
      <c r="DN488" s="4">
        <f t="shared" si="1652"/>
        <v>0.47584870550152752</v>
      </c>
      <c r="DO488" s="4">
        <f t="shared" si="1653"/>
        <v>6.8133523183375004</v>
      </c>
      <c r="DP488" s="4">
        <f t="shared" si="1654"/>
        <v>8.0783090634384216</v>
      </c>
      <c r="DQ488" s="4">
        <f t="shared" si="1655"/>
        <v>8.9237531933943313</v>
      </c>
      <c r="DR488" s="38">
        <f t="shared" si="1656"/>
        <v>516.89568008576975</v>
      </c>
      <c r="DS488" s="4">
        <f t="shared" si="1657"/>
        <v>1</v>
      </c>
      <c r="DT488" s="4">
        <f t="shared" si="1658"/>
        <v>2.2583179581272428</v>
      </c>
      <c r="DU488" s="4">
        <f t="shared" si="1659"/>
        <v>312.79095572651971</v>
      </c>
      <c r="DY488" s="4">
        <f t="shared" si="1660"/>
        <v>0.85</v>
      </c>
      <c r="DZ488" s="4">
        <f t="shared" si="1661"/>
        <v>0.7</v>
      </c>
      <c r="EA488" s="4">
        <f t="shared" si="1662"/>
        <v>1</v>
      </c>
      <c r="EB488" s="4">
        <f t="shared" si="1663"/>
        <v>0.7</v>
      </c>
      <c r="ED488" s="4">
        <f t="shared" si="1664"/>
        <v>889.65517241379314</v>
      </c>
      <c r="EH488" s="4">
        <f t="shared" si="1665"/>
        <v>9.1700834949507204</v>
      </c>
      <c r="EK488" s="4">
        <f t="shared" si="1666"/>
        <v>57.361276136431961</v>
      </c>
      <c r="EL488" s="4">
        <f t="shared" si="1667"/>
        <v>2.2583179581272428</v>
      </c>
      <c r="EM488" s="4">
        <f t="shared" si="1668"/>
        <v>0.15577953326675206</v>
      </c>
      <c r="EP488" s="4">
        <f t="shared" si="1669"/>
        <v>0.15577953326675206</v>
      </c>
      <c r="EQ488" s="4">
        <f t="shared" si="1670"/>
        <v>0.47584870550152752</v>
      </c>
      <c r="ER488" s="4">
        <f t="shared" si="1671"/>
        <v>6.8133523183375004</v>
      </c>
      <c r="ES488" s="4">
        <f t="shared" si="1672"/>
        <v>8.0783090634384216</v>
      </c>
      <c r="ET488" s="4">
        <f t="shared" si="1673"/>
        <v>66.463723863568021</v>
      </c>
      <c r="EU488" s="4">
        <f t="shared" si="1674"/>
        <v>41.275000000000006</v>
      </c>
      <c r="EV488" s="4">
        <f t="shared" si="1675"/>
        <v>1.2079484897608148E-5</v>
      </c>
      <c r="EW488" s="4">
        <f t="shared" si="1676"/>
        <v>8.9237531933943295</v>
      </c>
      <c r="EX488" s="4">
        <f t="shared" si="1677"/>
        <v>516.89568008576975</v>
      </c>
      <c r="FG488" s="23"/>
      <c r="FH488" s="23"/>
      <c r="FI488" s="23"/>
      <c r="FJ488" s="23"/>
      <c r="FK488" s="23"/>
      <c r="FL488" s="23"/>
      <c r="FM488" s="23"/>
      <c r="FN488" s="23"/>
      <c r="FX488" s="4">
        <f t="shared" si="1678"/>
        <v>1</v>
      </c>
      <c r="FY488" s="4">
        <f t="shared" si="1679"/>
        <v>1.0833333333333333</v>
      </c>
      <c r="FZ488" s="4">
        <f t="shared" si="1680"/>
        <v>0</v>
      </c>
      <c r="GA488" s="4">
        <f t="shared" si="1681"/>
        <v>146.26972550267718</v>
      </c>
    </row>
    <row r="489" spans="1:184" ht="12" customHeight="1" x14ac:dyDescent="0.3">
      <c r="A489" s="113"/>
      <c r="B489" s="14" t="s">
        <v>605</v>
      </c>
      <c r="C489" s="24"/>
      <c r="D489" s="14" t="s">
        <v>365</v>
      </c>
      <c r="E489" s="24"/>
      <c r="F489" s="43" t="s">
        <v>641</v>
      </c>
      <c r="G489" s="38">
        <f t="shared" si="1612"/>
        <v>889.65517241379314</v>
      </c>
      <c r="H489" s="45">
        <v>160.01999999999998</v>
      </c>
      <c r="I489" s="4">
        <f t="shared" si="1613"/>
        <v>160.01999999999998</v>
      </c>
      <c r="J489" s="45">
        <v>35.724137931034484</v>
      </c>
      <c r="K489" s="7">
        <v>25.4</v>
      </c>
      <c r="L489" s="7">
        <f t="shared" si="1614"/>
        <v>6.3</v>
      </c>
      <c r="M489" s="7">
        <f t="shared" si="1615"/>
        <v>6.3</v>
      </c>
      <c r="N489" s="45">
        <v>1524</v>
      </c>
      <c r="O489" s="45">
        <v>774.69999999999993</v>
      </c>
      <c r="P489" s="45">
        <v>774.69999999999993</v>
      </c>
      <c r="Q489" s="7"/>
      <c r="R489" s="38">
        <v>1</v>
      </c>
      <c r="T489" s="7">
        <f t="shared" si="1682"/>
        <v>31</v>
      </c>
      <c r="U489" s="7">
        <f t="shared" si="1616"/>
        <v>31</v>
      </c>
      <c r="V489" s="45">
        <v>4.0999999999999996</v>
      </c>
      <c r="W489" s="4">
        <f t="shared" si="1617"/>
        <v>4.0999999999999996</v>
      </c>
      <c r="X489" s="4">
        <f t="shared" si="1618"/>
        <v>5.0999999999999996</v>
      </c>
      <c r="Y489" s="7">
        <f t="shared" si="1619"/>
        <v>57.361276136431961</v>
      </c>
      <c r="AB489" s="45">
        <v>426.89655172413796</v>
      </c>
      <c r="AE489" s="38"/>
      <c r="AF489" s="38"/>
      <c r="AG489" s="39">
        <v>1</v>
      </c>
      <c r="AH489" s="39"/>
      <c r="AI489" s="39"/>
      <c r="AK489" s="4">
        <f t="shared" si="1620"/>
        <v>160.01999999999998</v>
      </c>
      <c r="AL489" s="4">
        <f t="shared" si="1621"/>
        <v>1</v>
      </c>
      <c r="AM489" s="4">
        <f t="shared" si="1622"/>
        <v>238.77286102592873</v>
      </c>
      <c r="AN489" s="4">
        <f t="shared" si="1623"/>
        <v>1</v>
      </c>
      <c r="AO489" s="4">
        <v>1.25</v>
      </c>
      <c r="AP489" s="4">
        <v>1</v>
      </c>
      <c r="AQ489" s="38">
        <f t="shared" si="1624"/>
        <v>298.46607628241094</v>
      </c>
      <c r="AR489" s="38">
        <f t="shared" si="1683"/>
        <v>298.46607628241094</v>
      </c>
      <c r="AS489" s="38">
        <f t="shared" si="1625"/>
        <v>3.2540864993004175</v>
      </c>
      <c r="AX489" s="4">
        <f t="shared" si="1626"/>
        <v>198.18365209565383</v>
      </c>
      <c r="AY489" s="4">
        <f t="shared" si="1627"/>
        <v>1</v>
      </c>
      <c r="AZ489" s="38">
        <f t="shared" si="1628"/>
        <v>4484.8236991928516</v>
      </c>
      <c r="BA489" s="4">
        <f t="shared" si="1629"/>
        <v>0.42600000000000005</v>
      </c>
      <c r="BB489" s="4">
        <f t="shared" si="1630"/>
        <v>44.112708201711108</v>
      </c>
      <c r="BC489" s="4">
        <f t="shared" si="1631"/>
        <v>4528.9364073945626</v>
      </c>
      <c r="BE489" s="4">
        <f t="shared" si="1632"/>
        <v>1.5</v>
      </c>
      <c r="BF489" s="4">
        <f t="shared" si="1633"/>
        <v>438.41055038588564</v>
      </c>
      <c r="BH489" s="4">
        <f t="shared" si="1634"/>
        <v>4301.4943857256276</v>
      </c>
      <c r="BI489" s="4">
        <f t="shared" si="1635"/>
        <v>0</v>
      </c>
      <c r="BJ489" s="4">
        <f t="shared" si="1636"/>
        <v>0</v>
      </c>
      <c r="BR489" s="4">
        <f t="shared" si="1637"/>
        <v>774.69999999999993</v>
      </c>
      <c r="BV489" s="9"/>
      <c r="BX489" s="9"/>
      <c r="BY489" s="9"/>
      <c r="BZ489" s="9">
        <f t="shared" si="1638"/>
        <v>774.69999999999993</v>
      </c>
      <c r="CA489" s="9">
        <f t="shared" si="1639"/>
        <v>774.69999999999993</v>
      </c>
      <c r="CB489" s="9">
        <f t="shared" si="1640"/>
        <v>5.5226805085936306</v>
      </c>
      <c r="CC489" s="40">
        <f t="shared" si="1641"/>
        <v>0</v>
      </c>
      <c r="CD489" s="9">
        <f t="shared" si="1642"/>
        <v>0</v>
      </c>
      <c r="CE489" s="9">
        <f t="shared" si="1643"/>
        <v>0</v>
      </c>
      <c r="CF489" s="9">
        <f t="shared" si="1644"/>
        <v>0.99524931562137331</v>
      </c>
      <c r="CG489" s="9">
        <f t="shared" si="1645"/>
        <v>0.68</v>
      </c>
      <c r="CH489" s="9">
        <f t="shared" si="1646"/>
        <v>1.4157602788737922</v>
      </c>
      <c r="CI489" s="9">
        <f t="shared" si="1647"/>
        <v>3.5394006971844805</v>
      </c>
      <c r="CJ489" s="40">
        <v>1</v>
      </c>
      <c r="CK489" s="9">
        <f t="shared" si="1648"/>
        <v>301.5569394001177</v>
      </c>
      <c r="DI489" s="4">
        <f t="shared" si="1649"/>
        <v>160.01999999999998</v>
      </c>
      <c r="DL489" s="4">
        <f t="shared" si="1650"/>
        <v>1.1707808439220202E-5</v>
      </c>
      <c r="DM489" s="4">
        <f t="shared" si="1651"/>
        <v>9.1700834949507204</v>
      </c>
      <c r="DN489" s="4">
        <f t="shared" si="1652"/>
        <v>0.45405627443806551</v>
      </c>
      <c r="DO489" s="4">
        <f t="shared" si="1653"/>
        <v>6.6867819668177608</v>
      </c>
      <c r="DP489" s="4">
        <f t="shared" si="1654"/>
        <v>8.0253014837540988</v>
      </c>
      <c r="DQ489" s="4">
        <f t="shared" si="1655"/>
        <v>8.9413546249557605</v>
      </c>
      <c r="DR489" s="38">
        <f t="shared" si="1656"/>
        <v>494.38359781298016</v>
      </c>
      <c r="DS489" s="4">
        <f t="shared" si="1657"/>
        <v>1.0000000000000002</v>
      </c>
      <c r="DT489" s="4">
        <f t="shared" si="1658"/>
        <v>2.2583179581272428</v>
      </c>
      <c r="DU489" s="4">
        <f t="shared" si="1659"/>
        <v>298.46607628241094</v>
      </c>
      <c r="DY489" s="4">
        <f t="shared" si="1660"/>
        <v>0.85</v>
      </c>
      <c r="DZ489" s="4">
        <f t="shared" si="1661"/>
        <v>0.7</v>
      </c>
      <c r="EA489" s="4">
        <f t="shared" si="1662"/>
        <v>1</v>
      </c>
      <c r="EB489" s="4">
        <f t="shared" si="1663"/>
        <v>0.7</v>
      </c>
      <c r="ED489" s="4">
        <f t="shared" si="1664"/>
        <v>889.65517241379314</v>
      </c>
      <c r="EH489" s="4">
        <f t="shared" si="1665"/>
        <v>9.1700834949507204</v>
      </c>
      <c r="EK489" s="4">
        <f t="shared" si="1666"/>
        <v>57.361276136431961</v>
      </c>
      <c r="EL489" s="4">
        <f t="shared" si="1667"/>
        <v>2.2583179581272428</v>
      </c>
      <c r="EM489" s="4">
        <f t="shared" si="1668"/>
        <v>0.14864530194371847</v>
      </c>
      <c r="EP489" s="4">
        <f t="shared" si="1669"/>
        <v>0.14864530194371847</v>
      </c>
      <c r="EQ489" s="4">
        <f t="shared" si="1670"/>
        <v>0.45405627443806551</v>
      </c>
      <c r="ER489" s="4">
        <f t="shared" si="1671"/>
        <v>6.6867819668177608</v>
      </c>
      <c r="ES489" s="4">
        <f t="shared" si="1672"/>
        <v>8.0253014837540988</v>
      </c>
      <c r="ET489" s="4">
        <f t="shared" si="1673"/>
        <v>62.653723863568025</v>
      </c>
      <c r="EU489" s="4">
        <f t="shared" si="1674"/>
        <v>40.004999999999988</v>
      </c>
      <c r="EV489" s="4">
        <f t="shared" si="1675"/>
        <v>1.17078084392202E-5</v>
      </c>
      <c r="EW489" s="4">
        <f t="shared" si="1676"/>
        <v>8.9413546249557587</v>
      </c>
      <c r="EX489" s="4">
        <f t="shared" si="1677"/>
        <v>494.3835978129801</v>
      </c>
      <c r="FG489" s="23"/>
      <c r="FH489" s="23"/>
      <c r="FI489" s="23"/>
      <c r="FJ489" s="23"/>
      <c r="FK489" s="23"/>
      <c r="FL489" s="23"/>
      <c r="FM489" s="23"/>
      <c r="FN489" s="23"/>
      <c r="FX489" s="4">
        <f t="shared" si="1678"/>
        <v>1</v>
      </c>
      <c r="FY489" s="4">
        <f t="shared" si="1679"/>
        <v>1.0833333333333333</v>
      </c>
      <c r="FZ489" s="4">
        <f t="shared" si="1680"/>
        <v>0</v>
      </c>
      <c r="GA489" s="4">
        <f t="shared" si="1681"/>
        <v>141.76911856413327</v>
      </c>
    </row>
    <row r="490" spans="1:184" ht="12" customHeight="1" x14ac:dyDescent="0.3">
      <c r="A490" s="113"/>
      <c r="B490" s="14" t="s">
        <v>605</v>
      </c>
      <c r="C490" s="24"/>
      <c r="D490" s="14" t="s">
        <v>365</v>
      </c>
      <c r="E490" s="24"/>
      <c r="F490" s="43" t="s">
        <v>642</v>
      </c>
      <c r="G490" s="38">
        <f t="shared" si="1612"/>
        <v>889.65517241379314</v>
      </c>
      <c r="H490" s="45">
        <v>172.72</v>
      </c>
      <c r="I490" s="4">
        <f t="shared" si="1613"/>
        <v>172.72</v>
      </c>
      <c r="J490" s="45">
        <v>35.724137931034484</v>
      </c>
      <c r="K490" s="7">
        <v>25.4</v>
      </c>
      <c r="L490" s="7">
        <f t="shared" si="1614"/>
        <v>6.8000000000000007</v>
      </c>
      <c r="M490" s="7">
        <f t="shared" si="1615"/>
        <v>6.8000000000000007</v>
      </c>
      <c r="N490" s="45">
        <v>1524</v>
      </c>
      <c r="O490" s="45">
        <v>769.62</v>
      </c>
      <c r="P490" s="45">
        <v>769.62</v>
      </c>
      <c r="Q490" s="7"/>
      <c r="R490" s="38">
        <v>1</v>
      </c>
      <c r="T490" s="7">
        <f t="shared" si="1682"/>
        <v>30.8</v>
      </c>
      <c r="U490" s="7">
        <f t="shared" si="1616"/>
        <v>30.8</v>
      </c>
      <c r="V490" s="45">
        <v>4.0999999999999996</v>
      </c>
      <c r="W490" s="4">
        <f t="shared" si="1617"/>
        <v>4.0999999999999996</v>
      </c>
      <c r="X490" s="4">
        <f t="shared" si="1618"/>
        <v>5.0999999999999996</v>
      </c>
      <c r="Y490" s="7">
        <f t="shared" si="1619"/>
        <v>57.361276136431961</v>
      </c>
      <c r="AB490" s="45">
        <v>536.55172413793105</v>
      </c>
      <c r="AE490" s="38"/>
      <c r="AF490" s="38"/>
      <c r="AG490" s="39">
        <v>1</v>
      </c>
      <c r="AH490" s="39"/>
      <c r="AI490" s="39"/>
      <c r="AK490" s="4">
        <f t="shared" si="1620"/>
        <v>172.72</v>
      </c>
      <c r="AL490" s="4">
        <f t="shared" si="1621"/>
        <v>0.99999999999999978</v>
      </c>
      <c r="AM490" s="4">
        <f t="shared" si="1622"/>
        <v>267.75494983665135</v>
      </c>
      <c r="AN490" s="4">
        <f t="shared" si="1623"/>
        <v>1</v>
      </c>
      <c r="AO490" s="4">
        <v>1.25</v>
      </c>
      <c r="AP490" s="4">
        <v>1</v>
      </c>
      <c r="AQ490" s="38">
        <f t="shared" si="1624"/>
        <v>334.69368729581413</v>
      </c>
      <c r="AR490" s="38">
        <f t="shared" si="1683"/>
        <v>334.69368729581413</v>
      </c>
      <c r="AS490" s="38">
        <f t="shared" si="1625"/>
        <v>3.2540864993004175</v>
      </c>
      <c r="AX490" s="4">
        <f t="shared" si="1626"/>
        <v>213.91251337308668</v>
      </c>
      <c r="AY490" s="4">
        <f t="shared" si="1627"/>
        <v>1</v>
      </c>
      <c r="AZ490" s="38">
        <f t="shared" si="1628"/>
        <v>4455.8893527464461</v>
      </c>
      <c r="BA490" s="4">
        <f t="shared" si="1629"/>
        <v>0.42600000000000005</v>
      </c>
      <c r="BB490" s="4">
        <f t="shared" si="1630"/>
        <v>47.613716789148498</v>
      </c>
      <c r="BC490" s="4">
        <f t="shared" si="1631"/>
        <v>4503.5030695355945</v>
      </c>
      <c r="BE490" s="4">
        <f t="shared" si="1632"/>
        <v>1.5</v>
      </c>
      <c r="BF490" s="4">
        <f t="shared" si="1633"/>
        <v>451.85872677809078</v>
      </c>
      <c r="BH490" s="4">
        <f t="shared" si="1634"/>
        <v>4273.7428090435269</v>
      </c>
      <c r="BI490" s="4">
        <f t="shared" si="1635"/>
        <v>0</v>
      </c>
      <c r="BJ490" s="4">
        <f t="shared" si="1636"/>
        <v>0</v>
      </c>
      <c r="BR490" s="4">
        <f t="shared" si="1637"/>
        <v>769.62</v>
      </c>
      <c r="BV490" s="9"/>
      <c r="BX490" s="9"/>
      <c r="BY490" s="9"/>
      <c r="BZ490" s="9">
        <f t="shared" si="1638"/>
        <v>769.62</v>
      </c>
      <c r="CA490" s="9">
        <f t="shared" si="1639"/>
        <v>769.62</v>
      </c>
      <c r="CB490" s="9">
        <f t="shared" si="1640"/>
        <v>5.5045435778091543</v>
      </c>
      <c r="CC490" s="40">
        <f t="shared" si="1641"/>
        <v>0</v>
      </c>
      <c r="CD490" s="9">
        <f t="shared" si="1642"/>
        <v>0</v>
      </c>
      <c r="CE490" s="9">
        <f t="shared" si="1643"/>
        <v>0</v>
      </c>
      <c r="CF490" s="9">
        <f t="shared" si="1644"/>
        <v>0.99524931562137331</v>
      </c>
      <c r="CG490" s="9">
        <f t="shared" si="1645"/>
        <v>0.68</v>
      </c>
      <c r="CH490" s="9">
        <f t="shared" si="1646"/>
        <v>1.4157602788737922</v>
      </c>
      <c r="CI490" s="9">
        <f t="shared" si="1647"/>
        <v>3.5394006971844805</v>
      </c>
      <c r="CJ490" s="40">
        <v>1</v>
      </c>
      <c r="CK490" s="9">
        <f t="shared" si="1648"/>
        <v>308.63574079448671</v>
      </c>
      <c r="DI490" s="4">
        <f t="shared" si="1649"/>
        <v>172.72</v>
      </c>
      <c r="DL490" s="4">
        <f t="shared" si="1650"/>
        <v>1.2636999585190061E-5</v>
      </c>
      <c r="DM490" s="4">
        <f t="shared" si="1651"/>
        <v>9.1700834949507204</v>
      </c>
      <c r="DN490" s="4">
        <f t="shared" si="1652"/>
        <v>0.50916931875259841</v>
      </c>
      <c r="DO490" s="4">
        <f t="shared" si="1653"/>
        <v>7.000324634104059</v>
      </c>
      <c r="DP490" s="4">
        <f t="shared" si="1654"/>
        <v>8.1577927613746901</v>
      </c>
      <c r="DQ490" s="4">
        <f t="shared" si="1655"/>
        <v>8.8960375003236987</v>
      </c>
      <c r="DR490" s="38">
        <f t="shared" si="1656"/>
        <v>551.14999039895827</v>
      </c>
      <c r="DS490" s="4">
        <f t="shared" si="1657"/>
        <v>1</v>
      </c>
      <c r="DT490" s="4">
        <f t="shared" si="1658"/>
        <v>2.2583179581272428</v>
      </c>
      <c r="DU490" s="4">
        <f t="shared" si="1659"/>
        <v>334.69368729581413</v>
      </c>
      <c r="DY490" s="4">
        <f t="shared" si="1660"/>
        <v>0.85</v>
      </c>
      <c r="DZ490" s="4">
        <f t="shared" si="1661"/>
        <v>0.7</v>
      </c>
      <c r="EA490" s="4">
        <f t="shared" si="1662"/>
        <v>1</v>
      </c>
      <c r="EB490" s="4">
        <f t="shared" si="1663"/>
        <v>0.7</v>
      </c>
      <c r="ED490" s="4">
        <f t="shared" si="1664"/>
        <v>889.65517241379314</v>
      </c>
      <c r="EH490" s="4">
        <f t="shared" si="1665"/>
        <v>9.1700834949507204</v>
      </c>
      <c r="EK490" s="4">
        <f t="shared" si="1666"/>
        <v>57.361276136431961</v>
      </c>
      <c r="EL490" s="4">
        <f t="shared" si="1667"/>
        <v>2.2583179581272428</v>
      </c>
      <c r="EM490" s="4">
        <f t="shared" si="1668"/>
        <v>0.16668776842721761</v>
      </c>
      <c r="EP490" s="4">
        <f t="shared" si="1669"/>
        <v>0.16668776842721761</v>
      </c>
      <c r="EQ490" s="4">
        <f t="shared" si="1670"/>
        <v>0.50916931875259841</v>
      </c>
      <c r="ER490" s="4">
        <f t="shared" si="1671"/>
        <v>7.000324634104059</v>
      </c>
      <c r="ES490" s="4">
        <f t="shared" si="1672"/>
        <v>8.1577927613746901</v>
      </c>
      <c r="ET490" s="4">
        <f t="shared" si="1673"/>
        <v>72.178723863568024</v>
      </c>
      <c r="EU490" s="4">
        <f t="shared" si="1674"/>
        <v>43.180000000000007</v>
      </c>
      <c r="EV490" s="4">
        <f t="shared" si="1675"/>
        <v>1.2636999585190062E-5</v>
      </c>
      <c r="EW490" s="4">
        <f t="shared" si="1676"/>
        <v>8.8960375003236987</v>
      </c>
      <c r="EX490" s="4">
        <f t="shared" si="1677"/>
        <v>551.14999039895827</v>
      </c>
      <c r="FG490" s="23"/>
      <c r="FH490" s="23"/>
      <c r="FI490" s="23"/>
      <c r="FJ490" s="23"/>
      <c r="FK490" s="23"/>
      <c r="FL490" s="23"/>
      <c r="FM490" s="23"/>
      <c r="FN490" s="23"/>
      <c r="FX490" s="4">
        <f>IF(O490&gt;=2.5*25.4,1,1.25)</f>
        <v>1</v>
      </c>
      <c r="FY490" s="4">
        <f>IF(AG490&gt;1, 0.05*(18-MIN(8,(Q490+K490)/K490))*(1-48000/MAX(60000,(G490*145))*(K490/25.4)^0.75*FZ490), 1/12*(14-MIN(8,(Q490+K490)/K490)))</f>
        <v>1.0833333333333333</v>
      </c>
      <c r="FZ490" s="4">
        <f t="shared" si="1680"/>
        <v>0</v>
      </c>
      <c r="GA490" s="4">
        <f>(H490/25.4)/(K490/25.4)^1.5/0.0024*(J490*145)^0.25/FX490/FY490/145</f>
        <v>153.02063591049304</v>
      </c>
      <c r="GB490" s="4">
        <f>GA490*0.145*PI()/4</f>
        <v>17.426408328871574</v>
      </c>
    </row>
    <row r="491" spans="1:184" ht="12" customHeight="1" x14ac:dyDescent="0.3">
      <c r="A491" s="113"/>
      <c r="B491" s="14" t="s">
        <v>605</v>
      </c>
      <c r="C491" s="24"/>
      <c r="D491" s="14" t="s">
        <v>365</v>
      </c>
      <c r="E491" s="24"/>
      <c r="F491" s="43" t="s">
        <v>643</v>
      </c>
      <c r="G491" s="38">
        <f t="shared" si="1612"/>
        <v>889.65517241379314</v>
      </c>
      <c r="H491" s="45">
        <v>152.39999999999998</v>
      </c>
      <c r="I491" s="4">
        <f t="shared" si="1613"/>
        <v>152.39999999999998</v>
      </c>
      <c r="J491" s="45">
        <v>35.724137931034484</v>
      </c>
      <c r="K491" s="7">
        <v>25.4</v>
      </c>
      <c r="L491" s="7">
        <f t="shared" si="1614"/>
        <v>5.9999999999999991</v>
      </c>
      <c r="M491" s="7">
        <f t="shared" si="1615"/>
        <v>5.9999999999999991</v>
      </c>
      <c r="N491" s="45">
        <v>1524</v>
      </c>
      <c r="O491" s="45">
        <v>762</v>
      </c>
      <c r="P491" s="45">
        <v>762</v>
      </c>
      <c r="Q491" s="7"/>
      <c r="R491" s="38">
        <v>1</v>
      </c>
      <c r="T491" s="7">
        <f t="shared" si="1682"/>
        <v>30.5</v>
      </c>
      <c r="U491" s="7">
        <f t="shared" si="1616"/>
        <v>30.5</v>
      </c>
      <c r="V491" s="45">
        <v>4.0999999999999996</v>
      </c>
      <c r="W491" s="4">
        <f t="shared" si="1617"/>
        <v>4.0999999999999996</v>
      </c>
      <c r="X491" s="4">
        <f t="shared" si="1618"/>
        <v>5.0999999999999996</v>
      </c>
      <c r="Y491" s="7">
        <f t="shared" si="1619"/>
        <v>57.361276136431961</v>
      </c>
      <c r="AB491" s="45">
        <v>466.20689655172413</v>
      </c>
      <c r="AE491" s="38">
        <f t="shared" ref="AE491:AE495" si="1684">25.4*5/8</f>
        <v>15.875</v>
      </c>
      <c r="AF491" s="38">
        <v>2</v>
      </c>
      <c r="AG491" s="39">
        <v>25.4</v>
      </c>
      <c r="AH491" s="39">
        <v>2</v>
      </c>
      <c r="AI491" s="39">
        <v>2</v>
      </c>
      <c r="AK491" s="4">
        <f t="shared" si="1620"/>
        <v>152.39999999999998</v>
      </c>
      <c r="AL491" s="4">
        <f t="shared" si="1621"/>
        <v>0.99999999999999989</v>
      </c>
      <c r="AM491" s="4">
        <f t="shared" si="1622"/>
        <v>221.92233570793715</v>
      </c>
      <c r="AN491" s="4">
        <f t="shared" si="1623"/>
        <v>1</v>
      </c>
      <c r="AO491" s="4">
        <v>1.25</v>
      </c>
      <c r="AP491" s="4">
        <v>1</v>
      </c>
      <c r="AQ491" s="38">
        <f t="shared" si="1624"/>
        <v>277.40291963492137</v>
      </c>
      <c r="AR491" s="38">
        <f t="shared" si="1683"/>
        <v>277.40291963492137</v>
      </c>
      <c r="AS491" s="38">
        <f t="shared" si="1625"/>
        <v>3.2540864993004175</v>
      </c>
      <c r="AX491" s="4">
        <f t="shared" si="1626"/>
        <v>188.7463353291941</v>
      </c>
      <c r="AY491" s="4">
        <f t="shared" si="1627"/>
        <v>1</v>
      </c>
      <c r="AZ491" s="38">
        <f t="shared" si="1628"/>
        <v>4412.4878330768379</v>
      </c>
      <c r="BA491" s="4">
        <f t="shared" si="1629"/>
        <v>0.42600000000000005</v>
      </c>
      <c r="BB491" s="4">
        <f t="shared" si="1630"/>
        <v>42.012103049248672</v>
      </c>
      <c r="BC491" s="4">
        <f t="shared" si="1631"/>
        <v>4454.4999361260861</v>
      </c>
      <c r="BE491" s="4">
        <f t="shared" si="1632"/>
        <v>1.5</v>
      </c>
      <c r="BF491" s="4">
        <f t="shared" si="1633"/>
        <v>430.34164455056259</v>
      </c>
      <c r="BH491" s="4">
        <f t="shared" si="1634"/>
        <v>4232.1154440203763</v>
      </c>
      <c r="BI491" s="4">
        <f t="shared" si="1635"/>
        <v>0</v>
      </c>
      <c r="BJ491" s="4">
        <f t="shared" si="1636"/>
        <v>0</v>
      </c>
      <c r="BR491" s="4">
        <f t="shared" si="1637"/>
        <v>762</v>
      </c>
      <c r="BV491" s="9"/>
      <c r="BX491" s="9"/>
      <c r="BY491" s="9"/>
      <c r="BZ491" s="9">
        <f t="shared" si="1638"/>
        <v>762</v>
      </c>
      <c r="CA491" s="9">
        <f t="shared" si="1639"/>
        <v>762</v>
      </c>
      <c r="CB491" s="9">
        <f t="shared" si="1640"/>
        <v>5.4772255750516612</v>
      </c>
      <c r="CC491" s="40">
        <f t="shared" si="1641"/>
        <v>20</v>
      </c>
      <c r="CD491" s="9">
        <f t="shared" si="1642"/>
        <v>0.05</v>
      </c>
      <c r="CE491" s="9">
        <f t="shared" si="1643"/>
        <v>0.8</v>
      </c>
      <c r="CF491" s="9">
        <f t="shared" si="1644"/>
        <v>0.99524931562137331</v>
      </c>
      <c r="CG491" s="9">
        <f t="shared" si="1645"/>
        <v>0.68</v>
      </c>
      <c r="CH491" s="9">
        <f t="shared" si="1646"/>
        <v>1.4157602788737922</v>
      </c>
      <c r="CI491" s="9">
        <f t="shared" si="1647"/>
        <v>3.5394006971844805</v>
      </c>
      <c r="CJ491" s="40">
        <v>1</v>
      </c>
      <c r="CK491" s="9">
        <f t="shared" si="1648"/>
        <v>297.30965856349633</v>
      </c>
      <c r="DI491" s="4">
        <f t="shared" si="1649"/>
        <v>152.39999999999998</v>
      </c>
      <c r="DL491" s="4">
        <f t="shared" si="1650"/>
        <v>1.1150293751638287E-5</v>
      </c>
      <c r="DM491" s="4">
        <f t="shared" si="1651"/>
        <v>9.1700834949507204</v>
      </c>
      <c r="DN491" s="4">
        <f t="shared" si="1652"/>
        <v>0.42201290604461672</v>
      </c>
      <c r="DO491" s="4">
        <f t="shared" si="1653"/>
        <v>6.4938698928930743</v>
      </c>
      <c r="DP491" s="4">
        <f t="shared" si="1654"/>
        <v>7.9457861568390831</v>
      </c>
      <c r="DQ491" s="4">
        <f t="shared" si="1655"/>
        <v>8.9664583264786533</v>
      </c>
      <c r="DR491" s="38">
        <f t="shared" si="1656"/>
        <v>461.11026612663159</v>
      </c>
      <c r="DS491" s="4">
        <f t="shared" si="1657"/>
        <v>0.99999999999999989</v>
      </c>
      <c r="DT491" s="4">
        <f t="shared" si="1658"/>
        <v>2.2583179581272428</v>
      </c>
      <c r="DU491" s="4">
        <f t="shared" si="1659"/>
        <v>277.40291963492137</v>
      </c>
      <c r="DY491" s="4">
        <f t="shared" si="1660"/>
        <v>0.85</v>
      </c>
      <c r="DZ491" s="4">
        <f t="shared" si="1661"/>
        <v>0.7</v>
      </c>
      <c r="EA491" s="4">
        <f t="shared" si="1662"/>
        <v>0.7</v>
      </c>
      <c r="EB491" s="4">
        <f t="shared" si="1663"/>
        <v>0.7</v>
      </c>
      <c r="ED491" s="4">
        <f t="shared" si="1664"/>
        <v>889.65517241379314</v>
      </c>
      <c r="EH491" s="4">
        <f t="shared" si="1665"/>
        <v>9.1700834949507204</v>
      </c>
      <c r="EK491" s="4">
        <f t="shared" si="1666"/>
        <v>57.361276136431961</v>
      </c>
      <c r="EL491" s="4">
        <f t="shared" si="1667"/>
        <v>2.2583179581272428</v>
      </c>
      <c r="EM491" s="4">
        <f t="shared" si="1668"/>
        <v>0.13815520096222064</v>
      </c>
      <c r="EP491" s="4">
        <f t="shared" si="1669"/>
        <v>0.13815520096222064</v>
      </c>
      <c r="EQ491" s="4">
        <f t="shared" si="1670"/>
        <v>0.42201290604461672</v>
      </c>
      <c r="ER491" s="4">
        <f t="shared" si="1671"/>
        <v>6.4938698928930743</v>
      </c>
      <c r="ES491" s="4">
        <f t="shared" si="1672"/>
        <v>7.9457861568390831</v>
      </c>
      <c r="ET491" s="4">
        <f t="shared" si="1673"/>
        <v>56.938723863568022</v>
      </c>
      <c r="EU491" s="4">
        <f t="shared" si="1674"/>
        <v>38.099999999999987</v>
      </c>
      <c r="EV491" s="4">
        <f t="shared" si="1675"/>
        <v>1.1150293751638286E-5</v>
      </c>
      <c r="EW491" s="4">
        <f t="shared" si="1676"/>
        <v>8.966458326478655</v>
      </c>
      <c r="EX491" s="4">
        <f t="shared" si="1677"/>
        <v>461.11026612663164</v>
      </c>
      <c r="FG491" s="23"/>
      <c r="FH491" s="23"/>
      <c r="FI491" s="23"/>
      <c r="FJ491" s="23"/>
      <c r="FK491" s="23"/>
      <c r="FL491" s="23"/>
      <c r="FM491" s="23"/>
      <c r="FN491" s="23"/>
      <c r="FX491" s="4">
        <f t="shared" si="1678"/>
        <v>1</v>
      </c>
      <c r="FY491" s="4">
        <f t="shared" si="1679"/>
        <v>0.75511627906976753</v>
      </c>
      <c r="FZ491" s="4">
        <f t="shared" si="1680"/>
        <v>0.3</v>
      </c>
      <c r="GA491" s="4">
        <f t="shared" si="1681"/>
        <v>193.70490288312646</v>
      </c>
    </row>
    <row r="492" spans="1:184" ht="12" customHeight="1" x14ac:dyDescent="0.3">
      <c r="A492" s="113"/>
      <c r="B492" s="14" t="s">
        <v>605</v>
      </c>
      <c r="C492" s="24"/>
      <c r="D492" s="14" t="s">
        <v>365</v>
      </c>
      <c r="E492" s="24"/>
      <c r="F492" s="43" t="s">
        <v>643</v>
      </c>
      <c r="G492" s="38">
        <f t="shared" si="1612"/>
        <v>889.65517241379314</v>
      </c>
      <c r="H492" s="45">
        <v>154.93999999999997</v>
      </c>
      <c r="I492" s="4">
        <f t="shared" si="1613"/>
        <v>154.93999999999997</v>
      </c>
      <c r="J492" s="45">
        <v>35.724137931034484</v>
      </c>
      <c r="K492" s="7">
        <v>25.4</v>
      </c>
      <c r="L492" s="7">
        <f t="shared" si="1614"/>
        <v>6.0999999999999988</v>
      </c>
      <c r="M492" s="7">
        <f t="shared" si="1615"/>
        <v>6.0999999999999988</v>
      </c>
      <c r="N492" s="45">
        <v>1524</v>
      </c>
      <c r="O492" s="45">
        <v>769.62</v>
      </c>
      <c r="P492" s="45">
        <v>769.62</v>
      </c>
      <c r="Q492" s="7"/>
      <c r="R492" s="38">
        <v>1</v>
      </c>
      <c r="T492" s="7">
        <f t="shared" si="1682"/>
        <v>30.8</v>
      </c>
      <c r="U492" s="7">
        <f t="shared" si="1616"/>
        <v>30.8</v>
      </c>
      <c r="V492" s="45">
        <v>4.0999999999999996</v>
      </c>
      <c r="W492" s="4">
        <f t="shared" si="1617"/>
        <v>4.0999999999999996</v>
      </c>
      <c r="X492" s="4">
        <f t="shared" si="1618"/>
        <v>5.0999999999999996</v>
      </c>
      <c r="Y492" s="7">
        <f t="shared" si="1619"/>
        <v>57.361276136431961</v>
      </c>
      <c r="AB492" s="45">
        <v>457.24137931034483</v>
      </c>
      <c r="AE492" s="38">
        <f t="shared" si="1684"/>
        <v>15.875</v>
      </c>
      <c r="AF492" s="38">
        <v>2</v>
      </c>
      <c r="AG492" s="39">
        <v>25.4</v>
      </c>
      <c r="AH492" s="39">
        <v>2</v>
      </c>
      <c r="AI492" s="39">
        <v>2</v>
      </c>
      <c r="AK492" s="4">
        <f t="shared" si="1620"/>
        <v>154.93999999999997</v>
      </c>
      <c r="AL492" s="4">
        <f t="shared" si="1621"/>
        <v>1</v>
      </c>
      <c r="AM492" s="4">
        <f t="shared" si="1622"/>
        <v>227.49344719498902</v>
      </c>
      <c r="AN492" s="4">
        <f t="shared" si="1623"/>
        <v>1</v>
      </c>
      <c r="AO492" s="4">
        <v>1.25</v>
      </c>
      <c r="AP492" s="4">
        <v>1</v>
      </c>
      <c r="AQ492" s="38">
        <f t="shared" si="1624"/>
        <v>284.3668089937363</v>
      </c>
      <c r="AR492" s="38">
        <f t="shared" si="1683"/>
        <v>284.3668089937363</v>
      </c>
      <c r="AS492" s="38">
        <f t="shared" si="1625"/>
        <v>3.2540864993004175</v>
      </c>
      <c r="AX492" s="4">
        <f t="shared" si="1626"/>
        <v>191.89210758468064</v>
      </c>
      <c r="AY492" s="4">
        <f t="shared" si="1627"/>
        <v>1</v>
      </c>
      <c r="AZ492" s="38">
        <f t="shared" si="1628"/>
        <v>4455.8893527464461</v>
      </c>
      <c r="BA492" s="4">
        <f t="shared" si="1629"/>
        <v>0.42600000000000005</v>
      </c>
      <c r="BB492" s="4">
        <f t="shared" si="1630"/>
        <v>42.712304766736146</v>
      </c>
      <c r="BC492" s="4">
        <f t="shared" si="1631"/>
        <v>4498.6016575131825</v>
      </c>
      <c r="BE492" s="4">
        <f t="shared" si="1632"/>
        <v>1.5</v>
      </c>
      <c r="BF492" s="4">
        <f t="shared" si="1633"/>
        <v>433.03127982900355</v>
      </c>
      <c r="BH492" s="4">
        <f t="shared" si="1634"/>
        <v>4273.7428090435269</v>
      </c>
      <c r="BI492" s="4">
        <f t="shared" si="1635"/>
        <v>0</v>
      </c>
      <c r="BJ492" s="4">
        <f t="shared" si="1636"/>
        <v>0</v>
      </c>
      <c r="BR492" s="4">
        <f t="shared" si="1637"/>
        <v>769.62</v>
      </c>
      <c r="BV492" s="9"/>
      <c r="BX492" s="9"/>
      <c r="BY492" s="9"/>
      <c r="BZ492" s="9">
        <f t="shared" si="1638"/>
        <v>769.62</v>
      </c>
      <c r="CA492" s="9">
        <f t="shared" si="1639"/>
        <v>769.62</v>
      </c>
      <c r="CB492" s="9">
        <f t="shared" si="1640"/>
        <v>5.5045435778091543</v>
      </c>
      <c r="CC492" s="40">
        <f t="shared" si="1641"/>
        <v>20</v>
      </c>
      <c r="CD492" s="9">
        <f t="shared" si="1642"/>
        <v>0.05</v>
      </c>
      <c r="CE492" s="9">
        <f t="shared" si="1643"/>
        <v>0.8</v>
      </c>
      <c r="CF492" s="9">
        <f t="shared" si="1644"/>
        <v>0.99524931562137331</v>
      </c>
      <c r="CG492" s="9">
        <f t="shared" si="1645"/>
        <v>0.68</v>
      </c>
      <c r="CH492" s="9">
        <f t="shared" si="1646"/>
        <v>1.4157602788737922</v>
      </c>
      <c r="CI492" s="9">
        <f t="shared" si="1647"/>
        <v>3.5394006971844805</v>
      </c>
      <c r="CJ492" s="40">
        <v>1</v>
      </c>
      <c r="CK492" s="9">
        <f t="shared" si="1648"/>
        <v>298.72541884237012</v>
      </c>
      <c r="DI492" s="4">
        <f t="shared" si="1649"/>
        <v>154.93999999999997</v>
      </c>
      <c r="DL492" s="4">
        <f t="shared" si="1650"/>
        <v>1.1336131980832258E-5</v>
      </c>
      <c r="DM492" s="4">
        <f t="shared" si="1651"/>
        <v>9.1700834949507204</v>
      </c>
      <c r="DN492" s="4">
        <f t="shared" si="1652"/>
        <v>0.43260706702011897</v>
      </c>
      <c r="DO492" s="4">
        <f t="shared" si="1653"/>
        <v>6.5585937964406824</v>
      </c>
      <c r="DP492" s="4">
        <f t="shared" si="1654"/>
        <v>7.9722900767464155</v>
      </c>
      <c r="DQ492" s="4">
        <f t="shared" si="1655"/>
        <v>8.9582625401394136</v>
      </c>
      <c r="DR492" s="38">
        <f t="shared" si="1656"/>
        <v>472.13481610443762</v>
      </c>
      <c r="DS492" s="4">
        <f t="shared" si="1657"/>
        <v>1</v>
      </c>
      <c r="DT492" s="4">
        <f t="shared" si="1658"/>
        <v>2.2583179581272428</v>
      </c>
      <c r="DU492" s="4">
        <f t="shared" si="1659"/>
        <v>284.3668089937363</v>
      </c>
      <c r="DY492" s="4">
        <f t="shared" si="1660"/>
        <v>0.85</v>
      </c>
      <c r="DZ492" s="4">
        <f t="shared" si="1661"/>
        <v>0.7</v>
      </c>
      <c r="EA492" s="4">
        <f t="shared" si="1662"/>
        <v>0.7</v>
      </c>
      <c r="EB492" s="4">
        <f t="shared" si="1663"/>
        <v>0.7</v>
      </c>
      <c r="ED492" s="4">
        <f t="shared" si="1664"/>
        <v>889.65517241379314</v>
      </c>
      <c r="EH492" s="4">
        <f t="shared" si="1665"/>
        <v>9.1700834949507204</v>
      </c>
      <c r="EK492" s="4">
        <f t="shared" si="1666"/>
        <v>57.361276136431961</v>
      </c>
      <c r="EL492" s="4">
        <f t="shared" si="1667"/>
        <v>2.2583179581272428</v>
      </c>
      <c r="EM492" s="4">
        <f t="shared" si="1668"/>
        <v>0.14162343242536429</v>
      </c>
      <c r="EP492" s="4">
        <f t="shared" si="1669"/>
        <v>0.14162343242536429</v>
      </c>
      <c r="EQ492" s="4">
        <f t="shared" si="1670"/>
        <v>0.43260706702011897</v>
      </c>
      <c r="ER492" s="4">
        <f t="shared" si="1671"/>
        <v>6.5585937964406824</v>
      </c>
      <c r="ES492" s="4">
        <f t="shared" si="1672"/>
        <v>7.9722900767464155</v>
      </c>
      <c r="ET492" s="4">
        <f t="shared" si="1673"/>
        <v>58.843723863568023</v>
      </c>
      <c r="EU492" s="4">
        <f t="shared" si="1674"/>
        <v>38.734999999999978</v>
      </c>
      <c r="EV492" s="4">
        <f t="shared" si="1675"/>
        <v>1.1336131980832255E-5</v>
      </c>
      <c r="EW492" s="4">
        <f t="shared" si="1676"/>
        <v>8.9582625401394136</v>
      </c>
      <c r="EX492" s="4">
        <f t="shared" si="1677"/>
        <v>472.13481610443762</v>
      </c>
      <c r="FG492" s="23"/>
      <c r="FH492" s="23"/>
      <c r="FI492" s="23"/>
      <c r="FJ492" s="23"/>
      <c r="FK492" s="23"/>
      <c r="FL492" s="23"/>
      <c r="FM492" s="23"/>
      <c r="FN492" s="23"/>
      <c r="FX492" s="4">
        <f t="shared" si="1678"/>
        <v>1</v>
      </c>
      <c r="FY492" s="4">
        <f t="shared" si="1679"/>
        <v>0.75511627906976753</v>
      </c>
      <c r="FZ492" s="4">
        <f t="shared" si="1680"/>
        <v>0.3</v>
      </c>
      <c r="GA492" s="4">
        <f t="shared" si="1681"/>
        <v>196.93331793117858</v>
      </c>
    </row>
    <row r="493" spans="1:184" ht="12" customHeight="1" x14ac:dyDescent="0.3">
      <c r="A493" s="113"/>
      <c r="B493" s="14" t="s">
        <v>605</v>
      </c>
      <c r="C493" s="24"/>
      <c r="D493" s="14" t="s">
        <v>365</v>
      </c>
      <c r="E493" s="24"/>
      <c r="F493" s="43" t="s">
        <v>643</v>
      </c>
      <c r="G493" s="38">
        <f t="shared" si="1612"/>
        <v>889.65517241379314</v>
      </c>
      <c r="H493" s="45">
        <v>172.72</v>
      </c>
      <c r="I493" s="4">
        <f t="shared" si="1613"/>
        <v>172.72</v>
      </c>
      <c r="J493" s="45">
        <v>37.655172413793103</v>
      </c>
      <c r="K493" s="7">
        <v>25.4</v>
      </c>
      <c r="L493" s="7">
        <f t="shared" si="1614"/>
        <v>6.8000000000000007</v>
      </c>
      <c r="M493" s="7">
        <f t="shared" si="1615"/>
        <v>6.8000000000000007</v>
      </c>
      <c r="N493" s="45">
        <v>1524</v>
      </c>
      <c r="O493" s="45">
        <v>769.62</v>
      </c>
      <c r="P493" s="45">
        <v>769.62</v>
      </c>
      <c r="Q493" s="7"/>
      <c r="R493" s="38">
        <v>1</v>
      </c>
      <c r="T493" s="7">
        <f t="shared" si="1682"/>
        <v>30.8</v>
      </c>
      <c r="U493" s="7">
        <f t="shared" si="1616"/>
        <v>30.8</v>
      </c>
      <c r="V493" s="45">
        <v>4.0999999999999996</v>
      </c>
      <c r="W493" s="4">
        <f t="shared" si="1617"/>
        <v>4.0999999999999996</v>
      </c>
      <c r="X493" s="4">
        <f t="shared" si="1618"/>
        <v>5.0999999999999996</v>
      </c>
      <c r="Y493" s="7">
        <f t="shared" si="1619"/>
        <v>57.361276136431961</v>
      </c>
      <c r="AB493" s="45">
        <v>466.89655172413796</v>
      </c>
      <c r="AE493" s="38">
        <f t="shared" si="1684"/>
        <v>15.875</v>
      </c>
      <c r="AF493" s="38">
        <v>2</v>
      </c>
      <c r="AG493" s="39">
        <v>25.4</v>
      </c>
      <c r="AH493" s="39">
        <v>2</v>
      </c>
      <c r="AI493" s="39">
        <v>2</v>
      </c>
      <c r="AK493" s="4">
        <f t="shared" si="1620"/>
        <v>172.72</v>
      </c>
      <c r="AL493" s="4">
        <f t="shared" si="1621"/>
        <v>0.99999999999999978</v>
      </c>
      <c r="AM493" s="4">
        <f t="shared" si="1622"/>
        <v>274.89633492385769</v>
      </c>
      <c r="AN493" s="4">
        <f t="shared" si="1623"/>
        <v>1</v>
      </c>
      <c r="AO493" s="4">
        <v>1.25</v>
      </c>
      <c r="AP493" s="4">
        <v>1</v>
      </c>
      <c r="AQ493" s="38">
        <f t="shared" si="1624"/>
        <v>343.62041865482206</v>
      </c>
      <c r="AR493" s="38">
        <f t="shared" si="1683"/>
        <v>343.62041865482206</v>
      </c>
      <c r="AS493" s="38">
        <f t="shared" si="1625"/>
        <v>3.3703190491443937</v>
      </c>
      <c r="AX493" s="4">
        <f t="shared" si="1626"/>
        <v>219.61784817231765</v>
      </c>
      <c r="AY493" s="4">
        <f t="shared" si="1627"/>
        <v>1</v>
      </c>
      <c r="AZ493" s="38">
        <f t="shared" si="1628"/>
        <v>4696.7482366786853</v>
      </c>
      <c r="BA493" s="4">
        <f t="shared" si="1629"/>
        <v>0.42600000000000005</v>
      </c>
      <c r="BB493" s="4">
        <f t="shared" si="1630"/>
        <v>48.883638735435319</v>
      </c>
      <c r="BC493" s="4">
        <f t="shared" si="1631"/>
        <v>4745.6318754141203</v>
      </c>
      <c r="BE493" s="4">
        <f t="shared" si="1632"/>
        <v>1.5</v>
      </c>
      <c r="BF493" s="4">
        <f t="shared" si="1633"/>
        <v>463.9104075216427</v>
      </c>
      <c r="BH493" s="4">
        <f t="shared" si="1634"/>
        <v>4504.7559338566916</v>
      </c>
      <c r="BI493" s="4">
        <f t="shared" si="1635"/>
        <v>0</v>
      </c>
      <c r="BJ493" s="4">
        <f t="shared" si="1636"/>
        <v>0</v>
      </c>
      <c r="BR493" s="4">
        <f t="shared" si="1637"/>
        <v>769.62</v>
      </c>
      <c r="BV493" s="9"/>
      <c r="BX493" s="9"/>
      <c r="BY493" s="9"/>
      <c r="BZ493" s="9">
        <f t="shared" si="1638"/>
        <v>769.62</v>
      </c>
      <c r="CA493" s="9">
        <f t="shared" si="1639"/>
        <v>769.62</v>
      </c>
      <c r="CB493" s="9">
        <f t="shared" si="1640"/>
        <v>5.5045435778091543</v>
      </c>
      <c r="CC493" s="40">
        <f t="shared" si="1641"/>
        <v>20</v>
      </c>
      <c r="CD493" s="9">
        <f t="shared" si="1642"/>
        <v>0.05</v>
      </c>
      <c r="CE493" s="9">
        <f t="shared" si="1643"/>
        <v>0.8</v>
      </c>
      <c r="CF493" s="9">
        <f t="shared" si="1644"/>
        <v>0.99524931562137331</v>
      </c>
      <c r="CG493" s="9">
        <f t="shared" si="1645"/>
        <v>0.68</v>
      </c>
      <c r="CH493" s="9">
        <f t="shared" si="1646"/>
        <v>1.4535205120600561</v>
      </c>
      <c r="CI493" s="9">
        <f t="shared" si="1647"/>
        <v>3.63380128015014</v>
      </c>
      <c r="CJ493" s="40">
        <v>1</v>
      </c>
      <c r="CK493" s="9">
        <f t="shared" si="1648"/>
        <v>316.86747162909222</v>
      </c>
      <c r="DI493" s="4">
        <f t="shared" si="1649"/>
        <v>172.72</v>
      </c>
      <c r="DL493" s="4">
        <f t="shared" si="1650"/>
        <v>1.2803199194359958E-5</v>
      </c>
      <c r="DM493" s="4">
        <f t="shared" si="1651"/>
        <v>9.414661970751931</v>
      </c>
      <c r="DN493" s="4">
        <f t="shared" si="1652"/>
        <v>0.49594188092295277</v>
      </c>
      <c r="DO493" s="4">
        <f t="shared" si="1653"/>
        <v>7.111759235242249</v>
      </c>
      <c r="DP493" s="4">
        <f t="shared" si="1654"/>
        <v>8.3432027494528445</v>
      </c>
      <c r="DQ493" s="4">
        <f t="shared" si="1655"/>
        <v>9.1236545658066053</v>
      </c>
      <c r="DR493" s="38">
        <f t="shared" si="1656"/>
        <v>564.73864178090059</v>
      </c>
      <c r="DS493" s="4">
        <f t="shared" si="1657"/>
        <v>1</v>
      </c>
      <c r="DT493" s="4">
        <f t="shared" si="1658"/>
        <v>2.2583179581272428</v>
      </c>
      <c r="DU493" s="4">
        <f t="shared" si="1659"/>
        <v>343.62041865482206</v>
      </c>
      <c r="DY493" s="4">
        <f t="shared" si="1660"/>
        <v>0.85</v>
      </c>
      <c r="DZ493" s="4">
        <f t="shared" si="1661"/>
        <v>0.7</v>
      </c>
      <c r="EA493" s="4">
        <f t="shared" si="1662"/>
        <v>0.7</v>
      </c>
      <c r="EB493" s="4">
        <f t="shared" si="1663"/>
        <v>0.7</v>
      </c>
      <c r="ED493" s="4">
        <f t="shared" si="1664"/>
        <v>889.65517241379314</v>
      </c>
      <c r="EH493" s="4">
        <f t="shared" si="1665"/>
        <v>9.414661970751931</v>
      </c>
      <c r="EK493" s="4">
        <f t="shared" si="1666"/>
        <v>57.361276136431961</v>
      </c>
      <c r="EL493" s="4">
        <f t="shared" si="1667"/>
        <v>2.2583179581272428</v>
      </c>
      <c r="EM493" s="4">
        <f t="shared" si="1668"/>
        <v>0.16668776842721764</v>
      </c>
      <c r="EP493" s="4">
        <f t="shared" si="1669"/>
        <v>0.16668776842721764</v>
      </c>
      <c r="EQ493" s="4">
        <f t="shared" si="1670"/>
        <v>0.49594188092295277</v>
      </c>
      <c r="ER493" s="4">
        <f t="shared" si="1671"/>
        <v>7.111759235242249</v>
      </c>
      <c r="ES493" s="4">
        <f t="shared" si="1672"/>
        <v>8.3432027494528445</v>
      </c>
      <c r="ET493" s="4">
        <f t="shared" si="1673"/>
        <v>72.178723863568024</v>
      </c>
      <c r="EU493" s="4">
        <f t="shared" si="1674"/>
        <v>43.180000000000007</v>
      </c>
      <c r="EV493" s="4">
        <f t="shared" si="1675"/>
        <v>1.280319919435996E-5</v>
      </c>
      <c r="EW493" s="4">
        <f t="shared" si="1676"/>
        <v>9.1236545658066071</v>
      </c>
      <c r="EX493" s="4">
        <f t="shared" si="1677"/>
        <v>564.73864178090059</v>
      </c>
      <c r="FG493" s="23"/>
      <c r="FH493" s="23"/>
      <c r="FI493" s="23"/>
      <c r="FJ493" s="23"/>
      <c r="FK493" s="23"/>
      <c r="FL493" s="23"/>
      <c r="FM493" s="23"/>
      <c r="FN493" s="23"/>
      <c r="FX493" s="4">
        <f t="shared" si="1678"/>
        <v>1</v>
      </c>
      <c r="FY493" s="4">
        <f t="shared" si="1679"/>
        <v>0.75511627906976753</v>
      </c>
      <c r="FZ493" s="4">
        <f t="shared" si="1680"/>
        <v>0.3</v>
      </c>
      <c r="GA493" s="4">
        <f t="shared" si="1681"/>
        <v>222.44056852042061</v>
      </c>
    </row>
    <row r="494" spans="1:184" ht="12" customHeight="1" x14ac:dyDescent="0.3">
      <c r="A494" s="113"/>
      <c r="B494" s="14" t="s">
        <v>605</v>
      </c>
      <c r="C494" s="24"/>
      <c r="D494" s="14" t="s">
        <v>365</v>
      </c>
      <c r="E494" s="24"/>
      <c r="F494" s="43" t="s">
        <v>644</v>
      </c>
      <c r="G494" s="38">
        <f t="shared" si="1612"/>
        <v>889.65517241379314</v>
      </c>
      <c r="H494" s="45">
        <v>160.01999999999998</v>
      </c>
      <c r="I494" s="4">
        <f t="shared" si="1613"/>
        <v>160.01999999999998</v>
      </c>
      <c r="J494" s="45">
        <v>37.655172413793103</v>
      </c>
      <c r="K494" s="7">
        <v>25.4</v>
      </c>
      <c r="L494" s="7">
        <f t="shared" si="1614"/>
        <v>6.3</v>
      </c>
      <c r="M494" s="7">
        <f t="shared" si="1615"/>
        <v>6.3</v>
      </c>
      <c r="N494" s="45">
        <v>1524</v>
      </c>
      <c r="O494" s="45">
        <v>774.69999999999993</v>
      </c>
      <c r="P494" s="45">
        <v>774.69999999999993</v>
      </c>
      <c r="Q494" s="7"/>
      <c r="R494" s="38">
        <v>1</v>
      </c>
      <c r="T494" s="7">
        <f t="shared" si="1682"/>
        <v>31</v>
      </c>
      <c r="U494" s="7">
        <f t="shared" si="1616"/>
        <v>31</v>
      </c>
      <c r="V494" s="45">
        <v>4.0999999999999996</v>
      </c>
      <c r="W494" s="4">
        <f t="shared" si="1617"/>
        <v>4.0999999999999996</v>
      </c>
      <c r="X494" s="4">
        <f t="shared" si="1618"/>
        <v>5.0999999999999996</v>
      </c>
      <c r="Y494" s="7">
        <f t="shared" si="1619"/>
        <v>57.361276136431961</v>
      </c>
      <c r="AB494" s="45">
        <v>412.41379310344826</v>
      </c>
      <c r="AE494" s="38">
        <f t="shared" si="1684"/>
        <v>15.875</v>
      </c>
      <c r="AF494" s="38">
        <v>3</v>
      </c>
      <c r="AG494" s="39">
        <v>25.4</v>
      </c>
      <c r="AH494" s="39">
        <v>3</v>
      </c>
      <c r="AI494" s="39">
        <v>1</v>
      </c>
      <c r="AK494" s="4">
        <f t="shared" si="1620"/>
        <v>160.01999999999998</v>
      </c>
      <c r="AL494" s="4">
        <f t="shared" si="1621"/>
        <v>1</v>
      </c>
      <c r="AM494" s="4">
        <f t="shared" si="1622"/>
        <v>245.14125477551366</v>
      </c>
      <c r="AN494" s="4">
        <f t="shared" si="1623"/>
        <v>1</v>
      </c>
      <c r="AO494" s="4">
        <v>1.25</v>
      </c>
      <c r="AP494" s="4">
        <v>1</v>
      </c>
      <c r="AQ494" s="38">
        <f t="shared" si="1624"/>
        <v>306.42656846939207</v>
      </c>
      <c r="AR494" s="38">
        <f t="shared" si="1683"/>
        <v>306.42656846939207</v>
      </c>
      <c r="AS494" s="38">
        <f t="shared" si="1625"/>
        <v>3.3703190491443937</v>
      </c>
      <c r="AX494" s="4">
        <f t="shared" si="1626"/>
        <v>203.46947698317661</v>
      </c>
      <c r="AY494" s="4">
        <f t="shared" si="1627"/>
        <v>1</v>
      </c>
      <c r="AZ494" s="38">
        <f t="shared" si="1628"/>
        <v>4727.2466018519244</v>
      </c>
      <c r="BA494" s="4">
        <f t="shared" si="1629"/>
        <v>0.42600000000000005</v>
      </c>
      <c r="BB494" s="4">
        <f t="shared" si="1630"/>
        <v>45.289253534300364</v>
      </c>
      <c r="BC494" s="4">
        <f t="shared" si="1631"/>
        <v>4772.5358553862252</v>
      </c>
      <c r="BE494" s="4">
        <f t="shared" si="1632"/>
        <v>1.5</v>
      </c>
      <c r="BF494" s="4">
        <f t="shared" si="1633"/>
        <v>450.10355015492706</v>
      </c>
      <c r="BH494" s="4">
        <f t="shared" si="1634"/>
        <v>4534.0075957648514</v>
      </c>
      <c r="BI494" s="4">
        <f t="shared" si="1635"/>
        <v>0</v>
      </c>
      <c r="BJ494" s="4">
        <f t="shared" si="1636"/>
        <v>0</v>
      </c>
      <c r="BR494" s="4">
        <f t="shared" si="1637"/>
        <v>774.69999999999993</v>
      </c>
      <c r="BV494" s="9"/>
      <c r="BX494" s="9"/>
      <c r="BY494" s="9"/>
      <c r="BZ494" s="9">
        <f t="shared" si="1638"/>
        <v>774.69999999999993</v>
      </c>
      <c r="CA494" s="9">
        <f t="shared" si="1639"/>
        <v>774.69999999999993</v>
      </c>
      <c r="CB494" s="9">
        <f t="shared" si="1640"/>
        <v>5.5226805085936306</v>
      </c>
      <c r="CC494" s="40">
        <f t="shared" si="1641"/>
        <v>20</v>
      </c>
      <c r="CD494" s="9">
        <f t="shared" si="1642"/>
        <v>0.05</v>
      </c>
      <c r="CE494" s="9">
        <f t="shared" si="1643"/>
        <v>0.8</v>
      </c>
      <c r="CF494" s="9">
        <f t="shared" si="1644"/>
        <v>0.99524931562137331</v>
      </c>
      <c r="CG494" s="9">
        <f t="shared" si="1645"/>
        <v>0.68</v>
      </c>
      <c r="CH494" s="9">
        <f t="shared" si="1646"/>
        <v>1.4535205120600561</v>
      </c>
      <c r="CI494" s="9">
        <f t="shared" si="1647"/>
        <v>3.63380128015014</v>
      </c>
      <c r="CJ494" s="40">
        <v>1</v>
      </c>
      <c r="CK494" s="9">
        <f t="shared" si="1648"/>
        <v>309.59986906879192</v>
      </c>
      <c r="DI494" s="4">
        <f t="shared" si="1649"/>
        <v>160.01999999999998</v>
      </c>
      <c r="DL494" s="4">
        <f t="shared" si="1650"/>
        <v>1.1861787488892311E-5</v>
      </c>
      <c r="DM494" s="4">
        <f t="shared" si="1651"/>
        <v>9.414661970751931</v>
      </c>
      <c r="DN494" s="4">
        <f t="shared" si="1652"/>
        <v>0.44226058895567227</v>
      </c>
      <c r="DO494" s="4">
        <f t="shared" si="1653"/>
        <v>6.7932254419875013</v>
      </c>
      <c r="DP494" s="4">
        <f t="shared" si="1654"/>
        <v>8.2095252459350316</v>
      </c>
      <c r="DQ494" s="4">
        <f t="shared" si="1655"/>
        <v>9.1717730741209333</v>
      </c>
      <c r="DR494" s="38">
        <f t="shared" si="1656"/>
        <v>506.57494485913878</v>
      </c>
      <c r="DS494" s="4">
        <f t="shared" si="1657"/>
        <v>1</v>
      </c>
      <c r="DT494" s="4">
        <f t="shared" si="1658"/>
        <v>2.2583179581272428</v>
      </c>
      <c r="DU494" s="4">
        <f t="shared" si="1659"/>
        <v>306.42656846939207</v>
      </c>
      <c r="DY494" s="4">
        <f t="shared" si="1660"/>
        <v>0.85</v>
      </c>
      <c r="DZ494" s="4">
        <f t="shared" si="1661"/>
        <v>0.7</v>
      </c>
      <c r="EA494" s="4">
        <f t="shared" si="1662"/>
        <v>0.84062499999999996</v>
      </c>
      <c r="EB494" s="4">
        <f t="shared" si="1663"/>
        <v>0.7</v>
      </c>
      <c r="ED494" s="4">
        <f t="shared" si="1664"/>
        <v>889.65517241379314</v>
      </c>
      <c r="EH494" s="4">
        <f t="shared" si="1665"/>
        <v>9.414661970751931</v>
      </c>
      <c r="EK494" s="4">
        <f t="shared" si="1666"/>
        <v>57.361276136431961</v>
      </c>
      <c r="EL494" s="4">
        <f t="shared" si="1667"/>
        <v>2.2583179581272428</v>
      </c>
      <c r="EM494" s="4">
        <f t="shared" si="1668"/>
        <v>0.14864530194371847</v>
      </c>
      <c r="EP494" s="4">
        <f t="shared" si="1669"/>
        <v>0.14864530194371847</v>
      </c>
      <c r="EQ494" s="4">
        <f t="shared" si="1670"/>
        <v>0.44226058895567227</v>
      </c>
      <c r="ER494" s="4">
        <f t="shared" si="1671"/>
        <v>6.7932254419875013</v>
      </c>
      <c r="ES494" s="4">
        <f t="shared" si="1672"/>
        <v>8.2095252459350316</v>
      </c>
      <c r="ET494" s="4">
        <f t="shared" si="1673"/>
        <v>62.653723863568025</v>
      </c>
      <c r="EU494" s="4">
        <f t="shared" si="1674"/>
        <v>40.004999999999988</v>
      </c>
      <c r="EV494" s="4">
        <f t="shared" si="1675"/>
        <v>1.1861787488892309E-5</v>
      </c>
      <c r="EW494" s="4">
        <f t="shared" si="1676"/>
        <v>9.1717730741209316</v>
      </c>
      <c r="EX494" s="4">
        <f t="shared" si="1677"/>
        <v>506.57494485913878</v>
      </c>
      <c r="FG494" s="23"/>
      <c r="FH494" s="23"/>
      <c r="FI494" s="23"/>
      <c r="FJ494" s="23"/>
      <c r="FK494" s="23"/>
      <c r="FL494" s="23"/>
      <c r="FM494" s="23"/>
      <c r="FN494" s="23"/>
      <c r="FX494" s="4">
        <f t="shared" si="1678"/>
        <v>1</v>
      </c>
      <c r="FY494" s="4">
        <f t="shared" si="1679"/>
        <v>0.75511627906976753</v>
      </c>
      <c r="FZ494" s="4">
        <f t="shared" si="1680"/>
        <v>0.3</v>
      </c>
      <c r="GA494" s="4">
        <f t="shared" si="1681"/>
        <v>206.08464436450731</v>
      </c>
    </row>
    <row r="495" spans="1:184" ht="12" customHeight="1" x14ac:dyDescent="0.3">
      <c r="A495" s="113"/>
      <c r="B495" s="14" t="s">
        <v>605</v>
      </c>
      <c r="C495" s="24"/>
      <c r="D495" s="14" t="s">
        <v>365</v>
      </c>
      <c r="E495" s="24"/>
      <c r="F495" s="43" t="s">
        <v>644</v>
      </c>
      <c r="G495" s="38">
        <f t="shared" si="1612"/>
        <v>889.65517241379314</v>
      </c>
      <c r="H495" s="45">
        <v>167.64</v>
      </c>
      <c r="I495" s="4">
        <f t="shared" si="1613"/>
        <v>167.64</v>
      </c>
      <c r="J495" s="45">
        <v>37.655172413793103</v>
      </c>
      <c r="K495" s="7">
        <v>25.4</v>
      </c>
      <c r="L495" s="7">
        <f t="shared" si="1614"/>
        <v>6.6</v>
      </c>
      <c r="M495" s="7">
        <f t="shared" si="1615"/>
        <v>6.6</v>
      </c>
      <c r="N495" s="45">
        <v>1524</v>
      </c>
      <c r="O495" s="45">
        <v>762</v>
      </c>
      <c r="P495" s="45">
        <v>762</v>
      </c>
      <c r="Q495" s="7"/>
      <c r="R495" s="38">
        <v>1</v>
      </c>
      <c r="T495" s="7">
        <f t="shared" si="1682"/>
        <v>30.5</v>
      </c>
      <c r="U495" s="7">
        <f t="shared" si="1616"/>
        <v>30.5</v>
      </c>
      <c r="V495" s="45">
        <v>4.0999999999999996</v>
      </c>
      <c r="W495" s="4">
        <f t="shared" si="1617"/>
        <v>4.0999999999999996</v>
      </c>
      <c r="X495" s="4">
        <f t="shared" si="1618"/>
        <v>5.0999999999999996</v>
      </c>
      <c r="Y495" s="7">
        <f t="shared" si="1619"/>
        <v>57.361276136431961</v>
      </c>
      <c r="AB495" s="45">
        <v>488.27586206896552</v>
      </c>
      <c r="AE495" s="38">
        <f t="shared" si="1684"/>
        <v>15.875</v>
      </c>
      <c r="AF495" s="38">
        <v>3</v>
      </c>
      <c r="AG495" s="39">
        <v>25.4</v>
      </c>
      <c r="AH495" s="39">
        <v>3</v>
      </c>
      <c r="AI495" s="39">
        <v>1</v>
      </c>
      <c r="AK495" s="4">
        <f t="shared" si="1620"/>
        <v>167.64</v>
      </c>
      <c r="AL495" s="4">
        <f t="shared" si="1621"/>
        <v>1</v>
      </c>
      <c r="AM495" s="4">
        <f t="shared" si="1622"/>
        <v>262.85817231611441</v>
      </c>
      <c r="AN495" s="4">
        <f t="shared" si="1623"/>
        <v>1</v>
      </c>
      <c r="AO495" s="4">
        <v>1.25</v>
      </c>
      <c r="AP495" s="4">
        <v>1</v>
      </c>
      <c r="AQ495" s="38">
        <f t="shared" si="1624"/>
        <v>328.57271539514301</v>
      </c>
      <c r="AR495" s="38">
        <f t="shared" si="1683"/>
        <v>328.57271539514301</v>
      </c>
      <c r="AS495" s="38">
        <f t="shared" si="1625"/>
        <v>3.3703190491443937</v>
      </c>
      <c r="AX495" s="4">
        <f t="shared" si="1626"/>
        <v>213.15849969666118</v>
      </c>
      <c r="AY495" s="4">
        <f t="shared" si="1627"/>
        <v>1</v>
      </c>
      <c r="AZ495" s="38">
        <f t="shared" si="1628"/>
        <v>4651.000688918828</v>
      </c>
      <c r="BA495" s="4">
        <f t="shared" si="1629"/>
        <v>0.42600000000000005</v>
      </c>
      <c r="BB495" s="4">
        <f t="shared" si="1630"/>
        <v>47.445884654981334</v>
      </c>
      <c r="BC495" s="4">
        <f t="shared" si="1631"/>
        <v>4698.4465735738095</v>
      </c>
      <c r="BE495" s="4">
        <f t="shared" si="1632"/>
        <v>1.5</v>
      </c>
      <c r="BF495" s="4">
        <f t="shared" si="1633"/>
        <v>458.38766457495637</v>
      </c>
      <c r="BH495" s="4">
        <f t="shared" si="1634"/>
        <v>4460.878440994451</v>
      </c>
      <c r="BI495" s="4">
        <f t="shared" si="1635"/>
        <v>0</v>
      </c>
      <c r="BJ495" s="4">
        <f t="shared" si="1636"/>
        <v>0</v>
      </c>
      <c r="BR495" s="4">
        <f t="shared" si="1637"/>
        <v>762</v>
      </c>
      <c r="BV495" s="9"/>
      <c r="BX495" s="9"/>
      <c r="BY495" s="9"/>
      <c r="BZ495" s="9">
        <f t="shared" si="1638"/>
        <v>762</v>
      </c>
      <c r="CA495" s="9">
        <f t="shared" si="1639"/>
        <v>762</v>
      </c>
      <c r="CB495" s="9">
        <f t="shared" si="1640"/>
        <v>5.4772255750516612</v>
      </c>
      <c r="CC495" s="40">
        <f t="shared" si="1641"/>
        <v>20</v>
      </c>
      <c r="CD495" s="9">
        <f t="shared" si="1642"/>
        <v>0.05</v>
      </c>
      <c r="CE495" s="9">
        <f t="shared" si="1643"/>
        <v>0.8</v>
      </c>
      <c r="CF495" s="9">
        <f t="shared" si="1644"/>
        <v>0.99524931562137331</v>
      </c>
      <c r="CG495" s="9">
        <f t="shared" si="1645"/>
        <v>0.68</v>
      </c>
      <c r="CH495" s="9">
        <f t="shared" si="1646"/>
        <v>1.4535205120600561</v>
      </c>
      <c r="CI495" s="9">
        <f t="shared" si="1647"/>
        <v>3.63380128015014</v>
      </c>
      <c r="CJ495" s="40">
        <v>1</v>
      </c>
      <c r="CK495" s="9">
        <f t="shared" si="1648"/>
        <v>313.96043060497209</v>
      </c>
      <c r="DI495" s="4">
        <f t="shared" si="1649"/>
        <v>167.64</v>
      </c>
      <c r="DL495" s="4">
        <f t="shared" si="1650"/>
        <v>1.2426634512172898E-5</v>
      </c>
      <c r="DM495" s="4">
        <f t="shared" si="1651"/>
        <v>9.414661970751931</v>
      </c>
      <c r="DN495" s="4">
        <f t="shared" si="1652"/>
        <v>0.47422377031884377</v>
      </c>
      <c r="DO495" s="4">
        <f t="shared" si="1653"/>
        <v>6.985509041533815</v>
      </c>
      <c r="DP495" s="4">
        <f t="shared" si="1654"/>
        <v>8.2897399950379445</v>
      </c>
      <c r="DQ495" s="4">
        <f t="shared" si="1655"/>
        <v>9.1434596716302359</v>
      </c>
      <c r="DR495" s="38">
        <f t="shared" si="1656"/>
        <v>541.27492839427873</v>
      </c>
      <c r="DS495" s="4">
        <f t="shared" si="1657"/>
        <v>1</v>
      </c>
      <c r="DT495" s="4">
        <f t="shared" si="1658"/>
        <v>2.2583179581272428</v>
      </c>
      <c r="DU495" s="4">
        <f t="shared" si="1659"/>
        <v>328.57271539514301</v>
      </c>
      <c r="DY495" s="4">
        <f t="shared" si="1660"/>
        <v>0.85</v>
      </c>
      <c r="DZ495" s="4">
        <f t="shared" si="1661"/>
        <v>0.7</v>
      </c>
      <c r="EA495" s="4">
        <f t="shared" si="1662"/>
        <v>0.84062499999999996</v>
      </c>
      <c r="EB495" s="4">
        <f t="shared" si="1663"/>
        <v>0.7</v>
      </c>
      <c r="ED495" s="4">
        <f t="shared" si="1664"/>
        <v>889.65517241379314</v>
      </c>
      <c r="EH495" s="4">
        <f t="shared" si="1665"/>
        <v>9.414661970751931</v>
      </c>
      <c r="EK495" s="4">
        <f t="shared" si="1666"/>
        <v>57.361276136431961</v>
      </c>
      <c r="EL495" s="4">
        <f t="shared" si="1667"/>
        <v>2.2583179581272428</v>
      </c>
      <c r="EM495" s="4">
        <f t="shared" si="1668"/>
        <v>0.15938823690889276</v>
      </c>
      <c r="EP495" s="4">
        <f t="shared" si="1669"/>
        <v>0.15938823690889276</v>
      </c>
      <c r="EQ495" s="4">
        <f t="shared" si="1670"/>
        <v>0.47422377031884377</v>
      </c>
      <c r="ER495" s="4">
        <f t="shared" si="1671"/>
        <v>6.985509041533815</v>
      </c>
      <c r="ES495" s="4">
        <f t="shared" si="1672"/>
        <v>8.2897399950379445</v>
      </c>
      <c r="ET495" s="4">
        <f t="shared" si="1673"/>
        <v>68.368723863568022</v>
      </c>
      <c r="EU495" s="4">
        <f t="shared" si="1674"/>
        <v>41.91</v>
      </c>
      <c r="EV495" s="4">
        <f t="shared" si="1675"/>
        <v>1.2426634512172898E-5</v>
      </c>
      <c r="EW495" s="4">
        <f t="shared" si="1676"/>
        <v>9.1434596716302359</v>
      </c>
      <c r="EX495" s="4">
        <f t="shared" si="1677"/>
        <v>541.27492839427873</v>
      </c>
      <c r="FG495" s="23"/>
      <c r="FH495" s="23"/>
      <c r="FI495" s="23"/>
      <c r="FJ495" s="23"/>
      <c r="FK495" s="23"/>
      <c r="FL495" s="23"/>
      <c r="FM495" s="23"/>
      <c r="FN495" s="23"/>
      <c r="FX495" s="4">
        <f t="shared" si="1678"/>
        <v>1</v>
      </c>
      <c r="FY495" s="4">
        <f t="shared" si="1679"/>
        <v>0.75511627906976753</v>
      </c>
      <c r="FZ495" s="4">
        <f t="shared" si="1680"/>
        <v>0.3</v>
      </c>
      <c r="GA495" s="4">
        <f t="shared" si="1681"/>
        <v>215.89819885805528</v>
      </c>
    </row>
    <row r="496" spans="1:184" ht="12" customHeight="1" x14ac:dyDescent="0.3">
      <c r="A496" s="113"/>
      <c r="B496" s="14" t="s">
        <v>605</v>
      </c>
      <c r="C496" s="24"/>
      <c r="D496" s="14" t="s">
        <v>365</v>
      </c>
      <c r="E496" s="24"/>
      <c r="F496" s="43" t="s">
        <v>644</v>
      </c>
      <c r="G496" s="38">
        <f t="shared" si="1612"/>
        <v>889.65517241379314</v>
      </c>
      <c r="H496" s="45">
        <v>175.26</v>
      </c>
      <c r="I496" s="4">
        <f t="shared" si="1613"/>
        <v>175.26</v>
      </c>
      <c r="J496" s="45">
        <v>37.655172413793103</v>
      </c>
      <c r="K496" s="7">
        <v>25.4</v>
      </c>
      <c r="L496" s="7">
        <f t="shared" si="1614"/>
        <v>6.9</v>
      </c>
      <c r="M496" s="7">
        <f t="shared" si="1615"/>
        <v>6.9</v>
      </c>
      <c r="N496" s="45">
        <v>1524</v>
      </c>
      <c r="O496" s="45">
        <v>769.62</v>
      </c>
      <c r="P496" s="45">
        <v>769.62</v>
      </c>
      <c r="Q496" s="7"/>
      <c r="R496" s="38">
        <v>1</v>
      </c>
      <c r="T496" s="7">
        <f t="shared" si="1682"/>
        <v>30.8</v>
      </c>
      <c r="U496" s="7">
        <f t="shared" si="1616"/>
        <v>30.8</v>
      </c>
      <c r="V496" s="45">
        <v>4.0999999999999996</v>
      </c>
      <c r="W496" s="4">
        <f t="shared" si="1617"/>
        <v>4.0999999999999996</v>
      </c>
      <c r="X496" s="4">
        <f t="shared" si="1618"/>
        <v>5.0999999999999996</v>
      </c>
      <c r="Y496" s="7">
        <f t="shared" si="1619"/>
        <v>57.361276136431961</v>
      </c>
      <c r="AB496" s="45">
        <v>459.31034482758622</v>
      </c>
      <c r="AD496" s="4">
        <f>AB496*0.145*PI()/4</f>
        <v>52.307517682270053</v>
      </c>
      <c r="AE496" s="38">
        <f>25.4*5/8</f>
        <v>15.875</v>
      </c>
      <c r="AF496" s="38">
        <v>3</v>
      </c>
      <c r="AG496" s="39">
        <v>25.4</v>
      </c>
      <c r="AH496" s="39">
        <v>3</v>
      </c>
      <c r="AI496" s="39">
        <v>1</v>
      </c>
      <c r="AK496" s="4">
        <f t="shared" si="1620"/>
        <v>175.26</v>
      </c>
      <c r="AL496" s="4">
        <f t="shared" si="1621"/>
        <v>1</v>
      </c>
      <c r="AM496" s="4">
        <f t="shared" si="1622"/>
        <v>280.98246403479141</v>
      </c>
      <c r="AN496" s="4">
        <f t="shared" si="1623"/>
        <v>1</v>
      </c>
      <c r="AO496" s="4">
        <v>1.25</v>
      </c>
      <c r="AP496" s="4">
        <v>1</v>
      </c>
      <c r="AQ496" s="38">
        <f t="shared" si="1624"/>
        <v>351.22808004348929</v>
      </c>
      <c r="AR496" s="38">
        <f t="shared" si="1683"/>
        <v>351.22808004348929</v>
      </c>
      <c r="AS496" s="38">
        <f t="shared" si="1625"/>
        <v>3.3703190491443937</v>
      </c>
      <c r="AX496" s="4">
        <f t="shared" si="1626"/>
        <v>222.84752241014584</v>
      </c>
      <c r="AY496" s="4">
        <f t="shared" si="1627"/>
        <v>1</v>
      </c>
      <c r="AZ496" s="38">
        <f t="shared" si="1628"/>
        <v>4696.7482366786853</v>
      </c>
      <c r="BA496" s="4">
        <f t="shared" si="1629"/>
        <v>0.42600000000000005</v>
      </c>
      <c r="BB496" s="4">
        <f t="shared" si="1630"/>
        <v>49.602515775662305</v>
      </c>
      <c r="BC496" s="4">
        <f t="shared" si="1631"/>
        <v>4746.3507524543475</v>
      </c>
      <c r="BE496" s="4">
        <f t="shared" si="1632"/>
        <v>1.5</v>
      </c>
      <c r="BF496" s="4">
        <f t="shared" si="1633"/>
        <v>466.67177899498586</v>
      </c>
      <c r="BH496" s="4">
        <f t="shared" si="1634"/>
        <v>4504.7559338566916</v>
      </c>
      <c r="BI496" s="4">
        <f t="shared" si="1635"/>
        <v>0</v>
      </c>
      <c r="BJ496" s="4">
        <f t="shared" si="1636"/>
        <v>0</v>
      </c>
      <c r="BR496" s="4">
        <f t="shared" si="1637"/>
        <v>769.62</v>
      </c>
      <c r="BV496" s="9"/>
      <c r="BX496" s="9"/>
      <c r="BY496" s="9"/>
      <c r="BZ496" s="9">
        <f t="shared" si="1638"/>
        <v>769.62</v>
      </c>
      <c r="CA496" s="9">
        <f t="shared" si="1639"/>
        <v>769.62</v>
      </c>
      <c r="CB496" s="9">
        <f t="shared" si="1640"/>
        <v>5.5045435778091543</v>
      </c>
      <c r="CC496" s="40">
        <f t="shared" si="1641"/>
        <v>20</v>
      </c>
      <c r="CD496" s="9">
        <f t="shared" si="1642"/>
        <v>0.05</v>
      </c>
      <c r="CE496" s="9">
        <f t="shared" si="1643"/>
        <v>0.8</v>
      </c>
      <c r="CF496" s="9">
        <f t="shared" si="1644"/>
        <v>0.99524931562137331</v>
      </c>
      <c r="CG496" s="9">
        <f t="shared" si="1645"/>
        <v>0.68</v>
      </c>
      <c r="CH496" s="9">
        <f t="shared" si="1646"/>
        <v>1.4535205120600561</v>
      </c>
      <c r="CI496" s="9">
        <f t="shared" si="1647"/>
        <v>3.63380128015014</v>
      </c>
      <c r="CJ496" s="40">
        <v>1</v>
      </c>
      <c r="CK496" s="9">
        <f t="shared" si="1648"/>
        <v>318.32099214115226</v>
      </c>
      <c r="DI496" s="4">
        <f t="shared" si="1649"/>
        <v>175.26</v>
      </c>
      <c r="DL496" s="4">
        <f t="shared" si="1650"/>
        <v>1.2991481535453484E-5</v>
      </c>
      <c r="DM496" s="4">
        <f t="shared" si="1651"/>
        <v>9.414661970751931</v>
      </c>
      <c r="DN496" s="4">
        <f t="shared" si="1652"/>
        <v>0.50692189751594396</v>
      </c>
      <c r="DO496" s="4">
        <f t="shared" si="1653"/>
        <v>7.1743267463293359</v>
      </c>
      <c r="DP496" s="4">
        <f t="shared" si="1654"/>
        <v>8.3699267548594403</v>
      </c>
      <c r="DQ496" s="4">
        <f t="shared" si="1655"/>
        <v>9.1134708215683489</v>
      </c>
      <c r="DR496" s="38">
        <f t="shared" si="1656"/>
        <v>576.56833265789874</v>
      </c>
      <c r="DS496" s="4">
        <f t="shared" si="1657"/>
        <v>0.99999999999999978</v>
      </c>
      <c r="DT496" s="4">
        <f t="shared" si="1658"/>
        <v>2.2583179581272428</v>
      </c>
      <c r="DU496" s="4">
        <f t="shared" si="1659"/>
        <v>351.22808004348929</v>
      </c>
      <c r="DY496" s="4">
        <f t="shared" si="1660"/>
        <v>0.85</v>
      </c>
      <c r="DZ496" s="4">
        <f t="shared" si="1661"/>
        <v>0.7</v>
      </c>
      <c r="EA496" s="4">
        <f t="shared" si="1662"/>
        <v>0.84062499999999996</v>
      </c>
      <c r="EB496" s="4">
        <f t="shared" si="1663"/>
        <v>0.7</v>
      </c>
      <c r="ED496" s="4">
        <f t="shared" si="1664"/>
        <v>889.65517241379314</v>
      </c>
      <c r="EH496" s="4">
        <f t="shared" si="1665"/>
        <v>9.414661970751931</v>
      </c>
      <c r="EK496" s="4">
        <f t="shared" si="1666"/>
        <v>57.361276136431961</v>
      </c>
      <c r="EL496" s="4">
        <f t="shared" si="1667"/>
        <v>2.2583179581272428</v>
      </c>
      <c r="EM496" s="4">
        <f t="shared" si="1668"/>
        <v>0.17037818969144611</v>
      </c>
      <c r="EP496" s="4">
        <f t="shared" si="1669"/>
        <v>0.17037818969144611</v>
      </c>
      <c r="EQ496" s="4">
        <f t="shared" si="1670"/>
        <v>0.50692189751594396</v>
      </c>
      <c r="ER496" s="4">
        <f t="shared" si="1671"/>
        <v>7.1743267463293359</v>
      </c>
      <c r="ES496" s="4">
        <f t="shared" si="1672"/>
        <v>8.3699267548594403</v>
      </c>
      <c r="ET496" s="4">
        <f t="shared" si="1673"/>
        <v>74.083723863568025</v>
      </c>
      <c r="EU496" s="4">
        <f t="shared" si="1674"/>
        <v>43.814999999999998</v>
      </c>
      <c r="EV496" s="4">
        <f t="shared" si="1675"/>
        <v>1.2991481535453484E-5</v>
      </c>
      <c r="EW496" s="4">
        <f t="shared" si="1676"/>
        <v>9.1134708215683489</v>
      </c>
      <c r="EX496" s="4">
        <f t="shared" si="1677"/>
        <v>576.56833265789885</v>
      </c>
      <c r="FG496" s="23"/>
      <c r="FH496" s="23"/>
      <c r="FI496" s="23"/>
      <c r="FJ496" s="23"/>
      <c r="FK496" s="23"/>
      <c r="FL496" s="23"/>
      <c r="FM496" s="23"/>
      <c r="FN496" s="23"/>
      <c r="FX496" s="4">
        <f t="shared" si="1678"/>
        <v>1</v>
      </c>
      <c r="FY496" s="4">
        <f t="shared" si="1679"/>
        <v>0.75511627906976753</v>
      </c>
      <c r="FZ496" s="4">
        <f t="shared" si="1680"/>
        <v>0.3</v>
      </c>
      <c r="GA496" s="4">
        <f t="shared" si="1681"/>
        <v>225.71175335160328</v>
      </c>
      <c r="GB496" s="4">
        <f>GA496*0.145*PI()/4</f>
        <v>25.704671498237222</v>
      </c>
    </row>
    <row r="497" spans="1:170" ht="12" customHeight="1" x14ac:dyDescent="0.3">
      <c r="A497" s="113"/>
      <c r="B497" s="24"/>
      <c r="C497" s="24"/>
      <c r="D497" s="24"/>
      <c r="E497" s="24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BV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FG497" s="23"/>
      <c r="FH497" s="23"/>
      <c r="FI497" s="23"/>
      <c r="FJ497" s="23"/>
      <c r="FK497" s="23"/>
      <c r="FL497" s="23"/>
      <c r="FM497" s="23"/>
      <c r="FN497" s="23"/>
    </row>
    <row r="498" spans="1:170" ht="12" customHeight="1" x14ac:dyDescent="0.3">
      <c r="A498" s="113"/>
      <c r="B498" s="24"/>
      <c r="C498" s="24"/>
      <c r="D498" s="24"/>
      <c r="E498" s="24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BV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FG498" s="23"/>
      <c r="FH498" s="23"/>
      <c r="FI498" s="23"/>
      <c r="FJ498" s="23"/>
      <c r="FK498" s="23"/>
      <c r="FL498" s="23"/>
      <c r="FM498" s="23"/>
      <c r="FN498" s="23"/>
    </row>
    <row r="499" spans="1:170" ht="12" customHeight="1" x14ac:dyDescent="0.3">
      <c r="A499" s="113"/>
      <c r="B499" s="24"/>
      <c r="C499" s="24"/>
      <c r="D499" s="24"/>
      <c r="E499" s="24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34"/>
      <c r="AF499" s="7"/>
      <c r="AG499" s="7"/>
      <c r="AH499" s="7"/>
      <c r="AI499" s="7"/>
      <c r="AJ499" s="7"/>
      <c r="BV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FG499" s="23"/>
      <c r="FH499" s="23"/>
      <c r="FI499" s="23"/>
      <c r="FJ499" s="23"/>
      <c r="FK499" s="23"/>
      <c r="FL499" s="23"/>
      <c r="FM499" s="23"/>
      <c r="FN499" s="23"/>
    </row>
    <row r="500" spans="1:170" ht="12" customHeight="1" x14ac:dyDescent="0.3">
      <c r="A500" s="113"/>
      <c r="B500" s="24"/>
      <c r="C500" s="24"/>
      <c r="D500" s="24"/>
      <c r="E500" s="24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34"/>
      <c r="AF500" s="7"/>
      <c r="AG500" s="7"/>
      <c r="AH500" s="7"/>
      <c r="AI500" s="7"/>
      <c r="AJ500" s="7"/>
      <c r="BV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FG500" s="23"/>
      <c r="FH500" s="23"/>
      <c r="FI500" s="23"/>
      <c r="FJ500" s="23"/>
      <c r="FK500" s="23"/>
      <c r="FL500" s="23"/>
      <c r="FM500" s="23"/>
      <c r="FN500" s="23"/>
    </row>
    <row r="501" spans="1:170" ht="12" customHeight="1" x14ac:dyDescent="0.3">
      <c r="A501" s="113"/>
      <c r="B501" s="24"/>
      <c r="C501" s="24"/>
      <c r="D501" s="24"/>
      <c r="E501" s="24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BV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FG501" s="23"/>
      <c r="FH501" s="23"/>
      <c r="FI501" s="23"/>
      <c r="FJ501" s="23"/>
      <c r="FK501" s="23"/>
      <c r="FL501" s="23"/>
      <c r="FM501" s="23"/>
      <c r="FN501" s="23"/>
    </row>
    <row r="502" spans="1:170" ht="12" customHeight="1" x14ac:dyDescent="0.3">
      <c r="A502" s="113"/>
      <c r="B502" s="24"/>
      <c r="C502" s="24"/>
      <c r="D502" s="24"/>
      <c r="E502" s="24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BV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FG502" s="23"/>
      <c r="FH502" s="23"/>
      <c r="FI502" s="23"/>
      <c r="FJ502" s="23"/>
      <c r="FK502" s="23"/>
      <c r="FL502" s="23"/>
      <c r="FM502" s="23"/>
      <c r="FN502" s="23"/>
    </row>
    <row r="503" spans="1:170" ht="12" customHeight="1" x14ac:dyDescent="0.3">
      <c r="A503" s="113"/>
      <c r="B503" s="24"/>
      <c r="C503" s="24"/>
      <c r="D503" s="24"/>
      <c r="E503" s="24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34"/>
      <c r="AF503" s="7"/>
      <c r="AG503" s="7"/>
      <c r="AH503" s="7"/>
      <c r="AI503" s="7"/>
      <c r="AJ503" s="7"/>
      <c r="BV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FG503" s="23"/>
      <c r="FH503" s="23"/>
      <c r="FI503" s="23"/>
      <c r="FJ503" s="23"/>
      <c r="FK503" s="23"/>
      <c r="FL503" s="23"/>
      <c r="FM503" s="23"/>
      <c r="FN503" s="23"/>
    </row>
    <row r="504" spans="1:170" ht="12" customHeight="1" x14ac:dyDescent="0.3">
      <c r="A504" s="113"/>
      <c r="B504" s="24"/>
      <c r="C504" s="24"/>
      <c r="D504" s="24"/>
      <c r="E504" s="24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34"/>
      <c r="AF504" s="7"/>
      <c r="AG504" s="7"/>
      <c r="AH504" s="7"/>
      <c r="AI504" s="7"/>
      <c r="AJ504" s="7"/>
      <c r="BV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FG504" s="23"/>
      <c r="FH504" s="23"/>
      <c r="FI504" s="23"/>
      <c r="FJ504" s="23"/>
      <c r="FK504" s="23"/>
      <c r="FL504" s="23"/>
      <c r="FM504" s="23"/>
      <c r="FN504" s="23"/>
    </row>
    <row r="505" spans="1:170" ht="12" customHeight="1" x14ac:dyDescent="0.3">
      <c r="A505" s="113"/>
      <c r="B505" s="24"/>
      <c r="C505" s="24"/>
      <c r="D505" s="24"/>
      <c r="E505" s="24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34"/>
      <c r="AF505" s="7"/>
      <c r="AG505" s="7"/>
      <c r="AH505" s="7"/>
      <c r="AI505" s="7"/>
      <c r="AJ505" s="7"/>
      <c r="BV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FG505" s="23"/>
      <c r="FH505" s="23"/>
      <c r="FI505" s="23"/>
      <c r="FJ505" s="23"/>
      <c r="FK505" s="23"/>
      <c r="FL505" s="23"/>
      <c r="FM505" s="23"/>
      <c r="FN505" s="23"/>
    </row>
    <row r="506" spans="1:170" ht="12" customHeight="1" x14ac:dyDescent="0.3">
      <c r="A506" s="113"/>
      <c r="B506" s="24"/>
      <c r="C506" s="24"/>
      <c r="D506" s="24"/>
      <c r="E506" s="24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34"/>
      <c r="AF506" s="7"/>
      <c r="AG506" s="7"/>
      <c r="AH506" s="7"/>
      <c r="AI506" s="7"/>
      <c r="AJ506" s="7"/>
      <c r="BV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FG506" s="23"/>
      <c r="FH506" s="23"/>
      <c r="FI506" s="23"/>
      <c r="FJ506" s="23"/>
      <c r="FK506" s="23"/>
      <c r="FL506" s="23"/>
      <c r="FM506" s="23"/>
      <c r="FN506" s="23"/>
    </row>
    <row r="507" spans="1:170" ht="12" customHeight="1" x14ac:dyDescent="0.3">
      <c r="A507" s="113"/>
      <c r="B507" s="24"/>
      <c r="C507" s="24"/>
      <c r="D507" s="24"/>
      <c r="E507" s="24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34"/>
      <c r="AF507" s="7"/>
      <c r="AG507" s="7"/>
      <c r="AH507" s="7"/>
      <c r="AI507" s="7"/>
      <c r="AJ507" s="7"/>
      <c r="BV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FG507" s="23"/>
      <c r="FH507" s="23"/>
      <c r="FI507" s="23"/>
      <c r="FJ507" s="23"/>
      <c r="FK507" s="23"/>
      <c r="FL507" s="23"/>
      <c r="FM507" s="23"/>
      <c r="FN507" s="23"/>
    </row>
    <row r="508" spans="1:170" ht="12" customHeight="1" x14ac:dyDescent="0.3">
      <c r="A508" s="113"/>
      <c r="B508" s="24"/>
      <c r="C508" s="24"/>
      <c r="D508" s="24"/>
      <c r="E508" s="24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34"/>
      <c r="AF508" s="7"/>
      <c r="AG508" s="7"/>
      <c r="AH508" s="7"/>
      <c r="AI508" s="7"/>
      <c r="AJ508" s="7"/>
      <c r="BV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FG508" s="23"/>
      <c r="FH508" s="23"/>
      <c r="FI508" s="23"/>
      <c r="FJ508" s="23"/>
      <c r="FK508" s="23"/>
      <c r="FL508" s="23"/>
      <c r="FM508" s="23"/>
      <c r="FN508" s="23"/>
    </row>
    <row r="509" spans="1:170" ht="12" customHeight="1" x14ac:dyDescent="0.3">
      <c r="A509" s="113"/>
      <c r="B509" s="24"/>
      <c r="C509" s="24"/>
      <c r="D509" s="24"/>
      <c r="E509" s="24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BV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FG509" s="23"/>
      <c r="FH509" s="23"/>
      <c r="FI509" s="23"/>
      <c r="FJ509" s="23"/>
      <c r="FK509" s="23"/>
      <c r="FL509" s="23"/>
      <c r="FM509" s="23"/>
      <c r="FN509" s="23"/>
    </row>
    <row r="510" spans="1:170" ht="12" customHeight="1" x14ac:dyDescent="0.3">
      <c r="A510" s="113"/>
      <c r="B510" s="24"/>
      <c r="C510" s="24"/>
      <c r="D510" s="24"/>
      <c r="E510" s="24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BV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FG510" s="23"/>
      <c r="FH510" s="23"/>
      <c r="FI510" s="23"/>
      <c r="FJ510" s="23"/>
      <c r="FK510" s="23"/>
      <c r="FL510" s="23"/>
      <c r="FM510" s="23"/>
      <c r="FN510" s="23"/>
    </row>
    <row r="511" spans="1:170" ht="12" customHeight="1" x14ac:dyDescent="0.3">
      <c r="A511" s="113"/>
      <c r="B511" s="24"/>
      <c r="C511" s="24"/>
      <c r="D511" s="24"/>
      <c r="E511" s="24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BV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FG511" s="23"/>
      <c r="FH511" s="23"/>
      <c r="FI511" s="23"/>
      <c r="FJ511" s="23"/>
      <c r="FK511" s="23"/>
      <c r="FL511" s="23"/>
      <c r="FM511" s="23"/>
      <c r="FN511" s="23"/>
    </row>
    <row r="512" spans="1:170" ht="12" customHeight="1" x14ac:dyDescent="0.3">
      <c r="A512" s="113"/>
      <c r="B512" s="24"/>
      <c r="C512" s="24"/>
      <c r="D512" s="24"/>
      <c r="E512" s="24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BV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FG512" s="23"/>
      <c r="FH512" s="23"/>
      <c r="FI512" s="23"/>
      <c r="FJ512" s="23"/>
      <c r="FK512" s="23"/>
      <c r="FL512" s="23"/>
      <c r="FM512" s="23"/>
      <c r="FN512" s="23"/>
    </row>
    <row r="513" spans="1:170" ht="12" customHeight="1" x14ac:dyDescent="0.3">
      <c r="A513" s="113"/>
      <c r="B513" s="24"/>
      <c r="C513" s="24"/>
      <c r="D513" s="24"/>
      <c r="E513" s="24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BV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FG513" s="23"/>
      <c r="FH513" s="23"/>
      <c r="FI513" s="23"/>
      <c r="FJ513" s="23"/>
      <c r="FK513" s="23"/>
      <c r="FL513" s="23"/>
      <c r="FM513" s="23"/>
      <c r="FN513" s="23"/>
    </row>
    <row r="514" spans="1:170" ht="12" customHeight="1" x14ac:dyDescent="0.3">
      <c r="A514" s="113"/>
      <c r="B514" s="24"/>
      <c r="C514" s="24"/>
      <c r="D514" s="24"/>
      <c r="E514" s="24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BV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FG514" s="23"/>
      <c r="FH514" s="23"/>
      <c r="FI514" s="23"/>
      <c r="FJ514" s="23"/>
      <c r="FK514" s="23"/>
      <c r="FL514" s="23"/>
      <c r="FM514" s="23"/>
      <c r="FN514" s="23"/>
    </row>
    <row r="515" spans="1:170" ht="12" customHeight="1" x14ac:dyDescent="0.3">
      <c r="A515" s="113"/>
      <c r="B515" s="24"/>
      <c r="C515" s="24"/>
      <c r="D515" s="24"/>
      <c r="E515" s="24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BV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FG515" s="23"/>
      <c r="FH515" s="23"/>
      <c r="FI515" s="23"/>
      <c r="FJ515" s="23"/>
      <c r="FK515" s="23"/>
      <c r="FL515" s="23"/>
      <c r="FM515" s="23"/>
      <c r="FN515" s="23"/>
    </row>
    <row r="516" spans="1:170" ht="12" customHeight="1" x14ac:dyDescent="0.3">
      <c r="A516" s="113"/>
      <c r="B516" s="24"/>
      <c r="C516" s="24"/>
      <c r="D516" s="24"/>
      <c r="E516" s="24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BV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FG516" s="23"/>
      <c r="FH516" s="23"/>
      <c r="FI516" s="23"/>
      <c r="FJ516" s="23"/>
      <c r="FK516" s="23"/>
      <c r="FL516" s="23"/>
      <c r="FM516" s="23"/>
      <c r="FN516" s="23"/>
    </row>
    <row r="517" spans="1:170" ht="12" customHeight="1" x14ac:dyDescent="0.3">
      <c r="A517" s="113"/>
      <c r="B517" s="24"/>
      <c r="C517" s="24"/>
      <c r="D517" s="24"/>
      <c r="E517" s="24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BV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FG517" s="23"/>
      <c r="FH517" s="23"/>
      <c r="FI517" s="23"/>
      <c r="FJ517" s="23"/>
      <c r="FK517" s="23"/>
      <c r="FL517" s="23"/>
      <c r="FM517" s="23"/>
      <c r="FN517" s="23"/>
    </row>
    <row r="518" spans="1:170" ht="12" customHeight="1" x14ac:dyDescent="0.3">
      <c r="A518" s="113"/>
      <c r="B518" s="24"/>
      <c r="C518" s="24"/>
      <c r="D518" s="24"/>
      <c r="E518" s="24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BV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FG518" s="23"/>
      <c r="FH518" s="23"/>
      <c r="FI518" s="23"/>
      <c r="FJ518" s="23"/>
      <c r="FK518" s="23"/>
      <c r="FL518" s="23"/>
      <c r="FM518" s="23"/>
      <c r="FN518" s="23"/>
    </row>
    <row r="519" spans="1:170" ht="12" customHeight="1" x14ac:dyDescent="0.3">
      <c r="A519" s="113"/>
      <c r="B519" s="24"/>
      <c r="C519" s="24"/>
      <c r="D519" s="24"/>
      <c r="E519" s="24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BV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FG519" s="23"/>
      <c r="FH519" s="23"/>
      <c r="FI519" s="23"/>
      <c r="FJ519" s="23"/>
      <c r="FK519" s="23"/>
      <c r="FL519" s="23"/>
      <c r="FM519" s="23"/>
      <c r="FN519" s="23"/>
    </row>
    <row r="520" spans="1:170" ht="12" customHeight="1" x14ac:dyDescent="0.3">
      <c r="A520" s="113"/>
      <c r="B520" s="24"/>
      <c r="C520" s="24"/>
      <c r="D520" s="24"/>
      <c r="E520" s="24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BV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FG520" s="23"/>
      <c r="FH520" s="23"/>
      <c r="FI520" s="23"/>
      <c r="FJ520" s="23"/>
      <c r="FK520" s="23"/>
      <c r="FL520" s="23"/>
      <c r="FM520" s="23"/>
      <c r="FN520" s="23"/>
    </row>
    <row r="521" spans="1:170" ht="12" customHeight="1" x14ac:dyDescent="0.3">
      <c r="B521" s="14"/>
      <c r="C521" s="14"/>
      <c r="D521" s="14"/>
      <c r="E521" s="14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BV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FG521" s="23"/>
      <c r="FH521" s="23"/>
      <c r="FI521" s="23"/>
      <c r="FJ521" s="23"/>
      <c r="FK521" s="23"/>
      <c r="FL521" s="23"/>
      <c r="FM521" s="23"/>
      <c r="FN521" s="23"/>
    </row>
    <row r="522" spans="1:170" ht="12" customHeight="1" x14ac:dyDescent="0.3">
      <c r="B522" s="14"/>
      <c r="C522" s="14"/>
      <c r="D522" s="14"/>
      <c r="E522" s="14"/>
      <c r="F522" s="7"/>
      <c r="G522" s="7"/>
      <c r="H522" s="7"/>
      <c r="I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E522" s="7"/>
      <c r="AF522" s="7"/>
      <c r="AG522" s="7"/>
      <c r="AH522" s="7"/>
      <c r="AI522" s="7"/>
      <c r="AJ522" s="7"/>
      <c r="BV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FG522" s="23"/>
      <c r="FH522" s="23"/>
      <c r="FI522" s="23"/>
      <c r="FJ522" s="23"/>
      <c r="FK522" s="23"/>
      <c r="FL522" s="23"/>
      <c r="FM522" s="23"/>
      <c r="FN522" s="23"/>
    </row>
    <row r="523" spans="1:170" ht="12" customHeight="1" x14ac:dyDescent="0.3">
      <c r="B523" s="14"/>
      <c r="C523" s="14"/>
      <c r="D523" s="14"/>
      <c r="E523" s="14"/>
      <c r="F523" s="7"/>
      <c r="G523" s="7"/>
      <c r="H523" s="7"/>
      <c r="I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E523" s="7"/>
      <c r="AF523" s="7"/>
      <c r="AG523" s="7"/>
      <c r="AH523" s="7"/>
      <c r="AI523" s="7"/>
      <c r="AJ523" s="7"/>
      <c r="BV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FG523" s="23"/>
      <c r="FH523" s="23"/>
      <c r="FI523" s="23"/>
      <c r="FJ523" s="23"/>
      <c r="FK523" s="23"/>
      <c r="FL523" s="23"/>
      <c r="FM523" s="23"/>
      <c r="FN523" s="23"/>
    </row>
    <row r="524" spans="1:170" ht="12" customHeight="1" x14ac:dyDescent="0.3">
      <c r="B524" s="14"/>
      <c r="C524" s="14"/>
      <c r="D524" s="14"/>
      <c r="E524" s="14"/>
      <c r="F524" s="7"/>
      <c r="G524" s="7"/>
      <c r="H524" s="7"/>
      <c r="I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E524" s="7"/>
      <c r="AF524" s="7"/>
      <c r="AG524" s="7"/>
      <c r="AH524" s="7"/>
      <c r="AI524" s="7"/>
      <c r="AJ524" s="7"/>
      <c r="BV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FG524" s="23"/>
      <c r="FH524" s="23"/>
      <c r="FI524" s="23"/>
      <c r="FJ524" s="23"/>
      <c r="FK524" s="23"/>
      <c r="FL524" s="23"/>
      <c r="FM524" s="23"/>
      <c r="FN524" s="23"/>
    </row>
    <row r="525" spans="1:170" ht="12" customHeight="1" x14ac:dyDescent="0.3">
      <c r="B525" s="14"/>
      <c r="C525" s="14"/>
      <c r="D525" s="14"/>
      <c r="E525" s="14"/>
      <c r="F525" s="7"/>
      <c r="G525" s="7"/>
      <c r="H525" s="7"/>
      <c r="I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E525" s="7"/>
      <c r="AF525" s="7"/>
      <c r="AG525" s="7"/>
      <c r="AH525" s="7"/>
      <c r="AI525" s="7"/>
      <c r="AJ525" s="7"/>
      <c r="BV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FG525" s="23"/>
      <c r="FH525" s="23"/>
      <c r="FI525" s="23"/>
      <c r="FJ525" s="23"/>
      <c r="FK525" s="23"/>
      <c r="FL525" s="23"/>
      <c r="FM525" s="23"/>
      <c r="FN525" s="23"/>
    </row>
    <row r="526" spans="1:170" ht="12" customHeight="1" x14ac:dyDescent="0.3">
      <c r="B526" s="14"/>
      <c r="C526" s="14"/>
      <c r="D526" s="14"/>
      <c r="E526" s="14"/>
      <c r="F526" s="7"/>
      <c r="G526" s="7"/>
      <c r="H526" s="7"/>
      <c r="I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E526" s="7"/>
      <c r="AF526" s="7"/>
      <c r="AG526" s="7"/>
      <c r="AH526" s="7"/>
      <c r="AI526" s="7"/>
      <c r="AJ526" s="7"/>
      <c r="BV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FG526" s="23"/>
      <c r="FH526" s="23"/>
      <c r="FI526" s="23"/>
      <c r="FJ526" s="23"/>
      <c r="FK526" s="23"/>
      <c r="FL526" s="23"/>
      <c r="FM526" s="23"/>
      <c r="FN526" s="23"/>
    </row>
    <row r="527" spans="1:170" ht="12" customHeight="1" x14ac:dyDescent="0.3">
      <c r="B527" s="14"/>
      <c r="C527" s="14"/>
      <c r="D527" s="14"/>
      <c r="E527" s="14"/>
      <c r="F527" s="7"/>
      <c r="G527" s="7"/>
      <c r="H527" s="7"/>
      <c r="I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E527" s="7"/>
      <c r="AF527" s="7"/>
      <c r="AG527" s="7"/>
      <c r="AH527" s="7"/>
      <c r="AI527" s="7"/>
      <c r="AJ527" s="7"/>
      <c r="BV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FG527" s="23"/>
      <c r="FH527" s="23"/>
      <c r="FI527" s="23"/>
      <c r="FJ527" s="23"/>
      <c r="FK527" s="23"/>
      <c r="FL527" s="23"/>
      <c r="FM527" s="23"/>
      <c r="FN527" s="23"/>
    </row>
    <row r="528" spans="1:170" ht="12" customHeight="1" x14ac:dyDescent="0.3">
      <c r="B528" s="14"/>
      <c r="C528" s="14"/>
      <c r="D528" s="14"/>
      <c r="E528" s="14"/>
      <c r="F528" s="7"/>
      <c r="G528" s="7"/>
      <c r="H528" s="7"/>
      <c r="I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E528" s="7"/>
      <c r="AF528" s="7"/>
      <c r="AG528" s="7"/>
      <c r="AH528" s="7"/>
      <c r="AI528" s="7"/>
      <c r="AJ528" s="7"/>
      <c r="BV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FG528" s="23"/>
      <c r="FH528" s="23"/>
      <c r="FI528" s="23"/>
      <c r="FJ528" s="23"/>
      <c r="FK528" s="23"/>
      <c r="FL528" s="23"/>
      <c r="FM528" s="23"/>
      <c r="FN528" s="23"/>
    </row>
    <row r="529" spans="2:170" ht="12" customHeight="1" x14ac:dyDescent="0.3">
      <c r="B529" s="14"/>
      <c r="C529" s="14"/>
      <c r="D529" s="14"/>
      <c r="E529" s="14"/>
      <c r="F529" s="7"/>
      <c r="G529" s="7"/>
      <c r="H529" s="7"/>
      <c r="I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E529" s="7"/>
      <c r="AF529" s="7"/>
      <c r="AG529" s="7"/>
      <c r="AH529" s="7"/>
      <c r="AI529" s="7"/>
      <c r="AJ529" s="7"/>
      <c r="BV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FG529" s="23"/>
      <c r="FH529" s="23"/>
      <c r="FI529" s="23"/>
      <c r="FJ529" s="23"/>
      <c r="FK529" s="23"/>
      <c r="FL529" s="23"/>
      <c r="FM529" s="23"/>
      <c r="FN529" s="23"/>
    </row>
    <row r="530" spans="2:170" ht="12" customHeight="1" x14ac:dyDescent="0.3">
      <c r="B530" s="14"/>
      <c r="C530" s="14"/>
      <c r="D530" s="14"/>
      <c r="E530" s="14"/>
      <c r="F530" s="7"/>
      <c r="G530" s="7"/>
      <c r="H530" s="7"/>
      <c r="I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E530" s="7"/>
      <c r="AF530" s="7"/>
      <c r="AG530" s="7"/>
      <c r="AH530" s="7"/>
      <c r="AI530" s="7"/>
      <c r="AJ530" s="7"/>
      <c r="BV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FG530" s="23"/>
      <c r="FH530" s="23"/>
      <c r="FI530" s="23"/>
      <c r="FJ530" s="23"/>
      <c r="FK530" s="23"/>
      <c r="FL530" s="23"/>
      <c r="FM530" s="23"/>
      <c r="FN530" s="23"/>
    </row>
    <row r="531" spans="2:170" ht="12" customHeight="1" x14ac:dyDescent="0.3">
      <c r="B531" s="14"/>
      <c r="C531" s="14"/>
      <c r="D531" s="14"/>
      <c r="E531" s="14"/>
      <c r="F531" s="7"/>
      <c r="G531" s="7"/>
      <c r="H531" s="7"/>
      <c r="I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E531" s="7"/>
      <c r="AF531" s="7"/>
      <c r="AG531" s="7"/>
      <c r="AH531" s="7"/>
      <c r="AI531" s="7"/>
      <c r="AJ531" s="7"/>
      <c r="BV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FG531" s="23"/>
      <c r="FH531" s="23"/>
      <c r="FI531" s="23"/>
      <c r="FJ531" s="23"/>
      <c r="FK531" s="23"/>
      <c r="FL531" s="23"/>
      <c r="FM531" s="23"/>
      <c r="FN531" s="23"/>
    </row>
    <row r="532" spans="2:170" ht="12" customHeight="1" x14ac:dyDescent="0.3">
      <c r="B532" s="14"/>
      <c r="C532" s="14"/>
      <c r="D532" s="14"/>
      <c r="E532" s="14"/>
      <c r="F532" s="7"/>
      <c r="G532" s="7"/>
      <c r="H532" s="7"/>
      <c r="I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E532" s="7"/>
      <c r="AF532" s="7"/>
      <c r="AG532" s="7"/>
      <c r="AH532" s="7"/>
      <c r="AI532" s="7"/>
      <c r="AJ532" s="7"/>
      <c r="BV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FG532" s="23"/>
      <c r="FH532" s="23"/>
      <c r="FI532" s="23"/>
      <c r="FJ532" s="23"/>
      <c r="FK532" s="23"/>
      <c r="FL532" s="23"/>
      <c r="FM532" s="23"/>
      <c r="FN532" s="23"/>
    </row>
    <row r="533" spans="2:170" ht="12" customHeight="1" x14ac:dyDescent="0.3">
      <c r="B533" s="14"/>
      <c r="C533" s="14"/>
      <c r="D533" s="14"/>
      <c r="E533" s="14"/>
      <c r="F533" s="7"/>
      <c r="G533" s="7"/>
      <c r="H533" s="7"/>
      <c r="I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E533" s="7"/>
      <c r="AF533" s="7"/>
      <c r="AG533" s="7"/>
      <c r="AH533" s="7"/>
      <c r="AI533" s="7"/>
      <c r="AJ533" s="7"/>
      <c r="BV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FG533" s="23"/>
      <c r="FH533" s="23"/>
      <c r="FI533" s="23"/>
      <c r="FJ533" s="23"/>
      <c r="FK533" s="23"/>
      <c r="FL533" s="23"/>
      <c r="FM533" s="23"/>
      <c r="FN533" s="23"/>
    </row>
    <row r="534" spans="2:170" ht="12" customHeight="1" x14ac:dyDescent="0.3">
      <c r="FG534" s="23"/>
      <c r="FH534" s="23"/>
      <c r="FI534" s="23"/>
      <c r="FJ534" s="23"/>
      <c r="FK534" s="23"/>
      <c r="FL534" s="23"/>
    </row>
    <row r="535" spans="2:170" ht="12" customHeight="1" x14ac:dyDescent="0.3">
      <c r="FG535" s="23"/>
      <c r="FH535" s="23"/>
      <c r="FI535" s="23"/>
      <c r="FJ535" s="23"/>
      <c r="FK535" s="23"/>
      <c r="FL535" s="23"/>
    </row>
    <row r="536" spans="2:170" ht="12" customHeight="1" x14ac:dyDescent="0.3">
      <c r="FG536" s="23"/>
      <c r="FH536" s="23"/>
      <c r="FI536" s="23"/>
      <c r="FJ536" s="23"/>
      <c r="FK536" s="23"/>
      <c r="FL536" s="23"/>
    </row>
    <row r="537" spans="2:170" ht="12" customHeight="1" x14ac:dyDescent="0.3">
      <c r="B537" s="24"/>
      <c r="C537" s="24"/>
      <c r="D537" s="24"/>
      <c r="E537" s="24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D537" s="7"/>
      <c r="AE537" s="7"/>
      <c r="AF537" s="7"/>
      <c r="AG537" s="7"/>
      <c r="AH537" s="7"/>
      <c r="AI537" s="7"/>
      <c r="AJ537" s="7"/>
      <c r="BV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FG537" s="23"/>
      <c r="FH537" s="23"/>
      <c r="FI537" s="23"/>
      <c r="FJ537" s="23"/>
      <c r="FK537" s="23"/>
      <c r="FL537" s="23"/>
      <c r="FM537" s="23"/>
      <c r="FN537" s="23"/>
    </row>
    <row r="538" spans="2:170" ht="12" customHeight="1" x14ac:dyDescent="0.3">
      <c r="B538" s="24"/>
      <c r="C538" s="24"/>
      <c r="D538" s="24"/>
      <c r="E538" s="24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D538" s="7"/>
      <c r="AE538" s="7"/>
      <c r="AF538" s="7"/>
      <c r="AG538" s="7"/>
      <c r="AH538" s="7"/>
      <c r="AI538" s="7"/>
      <c r="AJ538" s="7"/>
      <c r="BV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FG538" s="23"/>
      <c r="FH538" s="23"/>
      <c r="FI538" s="23"/>
      <c r="FJ538" s="23"/>
      <c r="FK538" s="23"/>
      <c r="FL538" s="23"/>
      <c r="FM538" s="23"/>
      <c r="FN538" s="23"/>
    </row>
    <row r="539" spans="2:170" ht="12" customHeight="1" x14ac:dyDescent="0.3">
      <c r="B539" s="24"/>
      <c r="C539" s="24"/>
      <c r="D539" s="24"/>
      <c r="E539" s="24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D539" s="7"/>
      <c r="AE539" s="7"/>
      <c r="AF539" s="7"/>
      <c r="AG539" s="7"/>
      <c r="AH539" s="7"/>
      <c r="AI539" s="7"/>
      <c r="AJ539" s="7"/>
      <c r="BV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FG539" s="23"/>
      <c r="FH539" s="23"/>
      <c r="FI539" s="23"/>
      <c r="FJ539" s="23"/>
      <c r="FK539" s="23"/>
      <c r="FL539" s="23"/>
      <c r="FM539" s="23"/>
      <c r="FN539" s="23"/>
    </row>
    <row r="540" spans="2:170" ht="12" customHeight="1" x14ac:dyDescent="0.3">
      <c r="B540" s="24"/>
      <c r="C540" s="24"/>
      <c r="D540" s="24"/>
      <c r="E540" s="24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D540" s="7"/>
      <c r="AE540" s="7"/>
      <c r="AF540" s="7"/>
      <c r="AG540" s="7"/>
      <c r="AH540" s="7"/>
      <c r="AI540" s="7"/>
      <c r="AJ540" s="7"/>
      <c r="AK540" s="35"/>
      <c r="AL540" s="35"/>
      <c r="AM540" s="35"/>
      <c r="AN540" s="35"/>
      <c r="AO540" s="35"/>
      <c r="AP540" s="35"/>
      <c r="AQ540" s="42"/>
      <c r="AR540" s="42"/>
      <c r="AS540" s="42"/>
      <c r="AT540" s="42"/>
      <c r="AU540" s="42"/>
      <c r="AV540" s="42"/>
      <c r="AW540" s="35"/>
      <c r="BV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FG540" s="23"/>
      <c r="FH540" s="23"/>
      <c r="FI540" s="23"/>
      <c r="FJ540" s="23"/>
      <c r="FK540" s="23"/>
      <c r="FL540" s="23"/>
      <c r="FM540" s="23"/>
      <c r="FN540" s="23"/>
    </row>
    <row r="541" spans="2:170" ht="12" customHeight="1" x14ac:dyDescent="0.3">
      <c r="B541" s="24"/>
      <c r="C541" s="24"/>
      <c r="D541" s="24"/>
      <c r="E541" s="24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D541" s="7"/>
      <c r="AE541" s="7"/>
      <c r="AF541" s="7"/>
      <c r="AG541" s="7"/>
      <c r="AH541" s="7"/>
      <c r="AI541" s="7"/>
      <c r="AJ541" s="7"/>
      <c r="AK541" s="35"/>
      <c r="AL541" s="35"/>
      <c r="AM541" s="35"/>
      <c r="AN541" s="35"/>
      <c r="AO541" s="35"/>
      <c r="AP541" s="35"/>
      <c r="AQ541" s="42"/>
      <c r="AR541" s="42"/>
      <c r="AS541" s="42"/>
      <c r="AT541" s="42"/>
      <c r="AU541" s="42"/>
      <c r="AV541" s="42"/>
      <c r="AW541" s="35"/>
      <c r="BV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FG541" s="23"/>
      <c r="FH541" s="23"/>
      <c r="FI541" s="23"/>
      <c r="FJ541" s="23"/>
      <c r="FK541" s="23"/>
      <c r="FL541" s="23"/>
      <c r="FM541" s="23"/>
      <c r="FN541" s="23"/>
    </row>
    <row r="542" spans="2:170" ht="12" customHeight="1" x14ac:dyDescent="0.3">
      <c r="B542" s="24"/>
      <c r="C542" s="24"/>
      <c r="D542" s="24"/>
      <c r="E542" s="24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D542" s="7"/>
      <c r="AE542" s="7"/>
      <c r="AF542" s="7"/>
      <c r="AG542" s="7"/>
      <c r="AH542" s="7"/>
      <c r="AI542" s="7"/>
      <c r="AJ542" s="7"/>
      <c r="AK542" s="35"/>
      <c r="AL542" s="35"/>
      <c r="AM542" s="35"/>
      <c r="AN542" s="35"/>
      <c r="AO542" s="35"/>
      <c r="AP542" s="35"/>
      <c r="AQ542" s="42"/>
      <c r="AR542" s="42"/>
      <c r="AS542" s="42"/>
      <c r="AT542" s="42"/>
      <c r="AU542" s="42"/>
      <c r="AV542" s="42"/>
      <c r="AW542" s="35"/>
      <c r="BV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FG542" s="23"/>
      <c r="FH542" s="23"/>
      <c r="FI542" s="23"/>
      <c r="FJ542" s="23"/>
      <c r="FK542" s="23"/>
      <c r="FL542" s="23"/>
      <c r="FM542" s="23"/>
      <c r="FN542" s="23"/>
    </row>
    <row r="543" spans="2:170" ht="12" customHeight="1" x14ac:dyDescent="0.3">
      <c r="B543" s="24"/>
      <c r="C543" s="24"/>
      <c r="D543" s="24"/>
      <c r="E543" s="24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D543" s="7"/>
      <c r="AE543" s="7"/>
      <c r="AF543" s="7"/>
      <c r="AG543" s="7"/>
      <c r="AH543" s="7"/>
      <c r="AI543" s="7"/>
      <c r="AJ543" s="7"/>
      <c r="AK543" s="35"/>
      <c r="AL543" s="35"/>
      <c r="AM543" s="35"/>
      <c r="AN543" s="35"/>
      <c r="AO543" s="35"/>
      <c r="AP543" s="35"/>
      <c r="AQ543" s="42"/>
      <c r="AR543" s="42"/>
      <c r="AS543" s="42"/>
      <c r="AT543" s="42"/>
      <c r="AU543" s="42"/>
      <c r="AV543" s="42"/>
      <c r="AW543" s="35"/>
      <c r="BV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FG543" s="23"/>
      <c r="FH543" s="23"/>
      <c r="FI543" s="23"/>
      <c r="FJ543" s="23"/>
      <c r="FK543" s="23"/>
      <c r="FL543" s="23"/>
      <c r="FM543" s="23"/>
      <c r="FN543" s="23"/>
    </row>
    <row r="544" spans="2:170" ht="12" customHeight="1" x14ac:dyDescent="0.3">
      <c r="B544" s="24"/>
      <c r="C544" s="24"/>
      <c r="D544" s="24"/>
      <c r="E544" s="24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D544" s="7"/>
      <c r="AE544" s="7"/>
      <c r="AF544" s="7"/>
      <c r="AG544" s="7"/>
      <c r="AH544" s="7"/>
      <c r="AI544" s="7"/>
      <c r="AJ544" s="7"/>
      <c r="AK544" s="35"/>
      <c r="AL544" s="35"/>
      <c r="AM544" s="35"/>
      <c r="AN544" s="35"/>
      <c r="AO544" s="35"/>
      <c r="AP544" s="35"/>
      <c r="AQ544" s="42"/>
      <c r="AR544" s="42"/>
      <c r="AS544" s="42"/>
      <c r="AT544" s="42"/>
      <c r="AU544" s="42"/>
      <c r="AV544" s="42"/>
      <c r="AW544" s="35"/>
      <c r="BV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FG544" s="23"/>
      <c r="FH544" s="23"/>
      <c r="FI544" s="23"/>
      <c r="FJ544" s="23"/>
      <c r="FK544" s="23"/>
      <c r="FL544" s="23"/>
      <c r="FM544" s="23"/>
      <c r="FN544" s="23"/>
    </row>
    <row r="545" spans="2:170" ht="12" customHeight="1" x14ac:dyDescent="0.3">
      <c r="B545" s="24"/>
      <c r="C545" s="24"/>
      <c r="D545" s="24"/>
      <c r="E545" s="24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D545" s="7"/>
      <c r="AE545" s="7"/>
      <c r="AF545" s="7"/>
      <c r="AG545" s="7"/>
      <c r="AH545" s="7"/>
      <c r="AI545" s="7"/>
      <c r="AJ545" s="7"/>
      <c r="AK545" s="35"/>
      <c r="AL545" s="35"/>
      <c r="AM545" s="35"/>
      <c r="AN545" s="35"/>
      <c r="AO545" s="35"/>
      <c r="AP545" s="35"/>
      <c r="AQ545" s="42"/>
      <c r="AR545" s="42"/>
      <c r="AS545" s="42"/>
      <c r="AT545" s="42"/>
      <c r="AU545" s="42"/>
      <c r="AV545" s="42"/>
      <c r="AW545" s="35"/>
      <c r="BV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FG545" s="23"/>
      <c r="FH545" s="23"/>
      <c r="FI545" s="23"/>
      <c r="FJ545" s="23"/>
      <c r="FK545" s="23"/>
      <c r="FL545" s="23"/>
      <c r="FM545" s="23"/>
      <c r="FN545" s="23"/>
    </row>
    <row r="546" spans="2:170" ht="12" customHeight="1" x14ac:dyDescent="0.3">
      <c r="B546" s="24"/>
      <c r="C546" s="24"/>
      <c r="D546" s="24"/>
      <c r="E546" s="24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D546" s="7"/>
      <c r="AE546" s="7"/>
      <c r="AF546" s="7"/>
      <c r="AG546" s="7"/>
      <c r="AH546" s="7"/>
      <c r="AI546" s="7"/>
      <c r="AJ546" s="7"/>
      <c r="AK546" s="35"/>
      <c r="AL546" s="35"/>
      <c r="AM546" s="35"/>
      <c r="AN546" s="35"/>
      <c r="AO546" s="35"/>
      <c r="AP546" s="35"/>
      <c r="AQ546" s="42"/>
      <c r="AR546" s="42"/>
      <c r="AS546" s="42"/>
      <c r="AT546" s="42"/>
      <c r="AU546" s="42"/>
      <c r="AV546" s="42"/>
      <c r="AW546" s="35"/>
      <c r="BV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FG546" s="23"/>
      <c r="FH546" s="23"/>
      <c r="FI546" s="23"/>
      <c r="FJ546" s="23"/>
      <c r="FK546" s="23"/>
      <c r="FL546" s="23"/>
      <c r="FM546" s="23"/>
      <c r="FN546" s="23"/>
    </row>
    <row r="547" spans="2:170" ht="12" customHeight="1" x14ac:dyDescent="0.3">
      <c r="B547" s="24"/>
      <c r="C547" s="24"/>
      <c r="D547" s="24"/>
      <c r="E547" s="24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D547" s="7"/>
      <c r="AE547" s="7"/>
      <c r="AF547" s="7"/>
      <c r="AG547" s="7"/>
      <c r="AH547" s="7"/>
      <c r="AI547" s="7"/>
      <c r="AJ547" s="7"/>
      <c r="AK547" s="35"/>
      <c r="AL547" s="35"/>
      <c r="AM547" s="35"/>
      <c r="AN547" s="35"/>
      <c r="AO547" s="35"/>
      <c r="AP547" s="35"/>
      <c r="AQ547" s="42"/>
      <c r="AR547" s="42"/>
      <c r="AS547" s="42"/>
      <c r="AT547" s="42"/>
      <c r="AU547" s="42"/>
      <c r="AV547" s="42"/>
      <c r="AW547" s="35"/>
      <c r="BV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FG547" s="23"/>
      <c r="FH547" s="23"/>
      <c r="FI547" s="23"/>
      <c r="FJ547" s="23"/>
      <c r="FK547" s="23"/>
      <c r="FL547" s="23"/>
      <c r="FM547" s="23"/>
      <c r="FN547" s="23"/>
    </row>
    <row r="548" spans="2:170" ht="12" customHeight="1" x14ac:dyDescent="0.3">
      <c r="B548" s="24"/>
      <c r="C548" s="24"/>
      <c r="D548" s="24"/>
      <c r="E548" s="24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D548" s="7"/>
      <c r="AE548" s="7"/>
      <c r="AF548" s="7"/>
      <c r="AG548" s="7"/>
      <c r="AH548" s="7"/>
      <c r="AI548" s="7"/>
      <c r="AJ548" s="7"/>
      <c r="AK548" s="35"/>
      <c r="AL548" s="35"/>
      <c r="AM548" s="35"/>
      <c r="AN548" s="35"/>
      <c r="AO548" s="35"/>
      <c r="AP548" s="35"/>
      <c r="AQ548" s="42"/>
      <c r="AR548" s="42"/>
      <c r="AS548" s="42"/>
      <c r="AT548" s="42"/>
      <c r="AU548" s="42"/>
      <c r="AV548" s="42"/>
      <c r="AW548" s="35"/>
      <c r="BV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FG548" s="23"/>
      <c r="FH548" s="23"/>
      <c r="FI548" s="23"/>
      <c r="FJ548" s="23"/>
      <c r="FK548" s="23"/>
      <c r="FL548" s="23"/>
      <c r="FM548" s="23"/>
      <c r="FN548" s="23"/>
    </row>
    <row r="549" spans="2:170" ht="12" customHeight="1" x14ac:dyDescent="0.3">
      <c r="B549" s="24"/>
      <c r="C549" s="24"/>
      <c r="D549" s="24"/>
      <c r="E549" s="24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D549" s="7"/>
      <c r="AE549" s="7"/>
      <c r="AF549" s="7"/>
      <c r="AG549" s="7"/>
      <c r="AH549" s="7"/>
      <c r="AI549" s="7"/>
      <c r="AJ549" s="7"/>
      <c r="AK549" s="35"/>
      <c r="AL549" s="35"/>
      <c r="AM549" s="35"/>
      <c r="AN549" s="35"/>
      <c r="AO549" s="35"/>
      <c r="AP549" s="35"/>
      <c r="AQ549" s="42"/>
      <c r="AR549" s="42"/>
      <c r="AS549" s="42"/>
      <c r="AT549" s="42"/>
      <c r="AU549" s="42"/>
      <c r="AV549" s="42"/>
      <c r="AW549" s="35"/>
      <c r="BV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FG549" s="23"/>
      <c r="FH549" s="23"/>
      <c r="FI549" s="23"/>
      <c r="FJ549" s="23"/>
      <c r="FK549" s="23"/>
      <c r="FL549" s="23"/>
      <c r="FM549" s="23"/>
      <c r="FN549" s="23"/>
    </row>
    <row r="550" spans="2:170" ht="12" customHeight="1" x14ac:dyDescent="0.3">
      <c r="B550" s="24"/>
      <c r="C550" s="24"/>
      <c r="D550" s="24"/>
      <c r="E550" s="24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D550" s="7"/>
      <c r="AE550" s="7"/>
      <c r="AF550" s="7"/>
      <c r="AG550" s="7"/>
      <c r="AH550" s="7"/>
      <c r="AI550" s="7"/>
      <c r="AJ550" s="7"/>
      <c r="AK550" s="35"/>
      <c r="AL550" s="35"/>
      <c r="AM550" s="35"/>
      <c r="AN550" s="35"/>
      <c r="AO550" s="35"/>
      <c r="AP550" s="35"/>
      <c r="AQ550" s="42"/>
      <c r="AR550" s="42"/>
      <c r="AS550" s="42"/>
      <c r="AT550" s="42"/>
      <c r="AU550" s="42"/>
      <c r="AV550" s="42"/>
      <c r="AW550" s="35"/>
      <c r="BV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FG550" s="23"/>
      <c r="FH550" s="23"/>
      <c r="FI550" s="23"/>
      <c r="FJ550" s="23"/>
      <c r="FK550" s="23"/>
      <c r="FL550" s="23"/>
      <c r="FM550" s="23"/>
      <c r="FN550" s="23"/>
    </row>
    <row r="551" spans="2:170" ht="12" customHeight="1" x14ac:dyDescent="0.3">
      <c r="B551" s="24"/>
      <c r="C551" s="24"/>
      <c r="D551" s="24"/>
      <c r="E551" s="24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D551" s="7"/>
      <c r="AE551" s="7"/>
      <c r="AF551" s="7"/>
      <c r="AG551" s="7"/>
      <c r="AH551" s="7"/>
      <c r="AI551" s="7"/>
      <c r="AJ551" s="7"/>
      <c r="AK551" s="35"/>
      <c r="AL551" s="35"/>
      <c r="AM551" s="35"/>
      <c r="AN551" s="35"/>
      <c r="AO551" s="35"/>
      <c r="AP551" s="35"/>
      <c r="AQ551" s="42"/>
      <c r="AR551" s="42"/>
      <c r="AS551" s="42"/>
      <c r="AT551" s="42"/>
      <c r="AU551" s="42"/>
      <c r="AV551" s="42"/>
      <c r="AW551" s="35"/>
      <c r="BV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FG551" s="23"/>
      <c r="FH551" s="23"/>
      <c r="FI551" s="23"/>
      <c r="FJ551" s="23"/>
      <c r="FK551" s="23"/>
      <c r="FL551" s="23"/>
      <c r="FM551" s="23"/>
      <c r="FN551" s="23"/>
    </row>
    <row r="552" spans="2:170" ht="12" customHeight="1" x14ac:dyDescent="0.3">
      <c r="B552" s="24"/>
      <c r="C552" s="24"/>
      <c r="D552" s="24"/>
      <c r="E552" s="24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D552" s="7"/>
      <c r="AE552" s="7"/>
      <c r="AF552" s="7"/>
      <c r="AG552" s="7"/>
      <c r="AH552" s="7"/>
      <c r="AI552" s="7"/>
      <c r="AJ552" s="7"/>
      <c r="AK552" s="35"/>
      <c r="AL552" s="35"/>
      <c r="AM552" s="35"/>
      <c r="AN552" s="35"/>
      <c r="AO552" s="35"/>
      <c r="AP552" s="35"/>
      <c r="AQ552" s="42"/>
      <c r="AR552" s="42"/>
      <c r="AS552" s="42"/>
      <c r="AT552" s="42"/>
      <c r="AU552" s="42"/>
      <c r="AV552" s="42"/>
      <c r="AW552" s="35"/>
      <c r="BV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FG552" s="23"/>
      <c r="FH552" s="23"/>
      <c r="FI552" s="23"/>
      <c r="FJ552" s="23"/>
      <c r="FK552" s="23"/>
      <c r="FL552" s="23"/>
      <c r="FM552" s="23"/>
      <c r="FN552" s="23"/>
    </row>
    <row r="553" spans="2:170" ht="12" customHeight="1" x14ac:dyDescent="0.3">
      <c r="B553" s="24"/>
      <c r="C553" s="24"/>
      <c r="D553" s="24"/>
      <c r="E553" s="24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D553" s="7"/>
      <c r="AE553" s="7"/>
      <c r="AF553" s="7"/>
      <c r="AG553" s="7"/>
      <c r="AH553" s="7"/>
      <c r="AI553" s="7"/>
      <c r="AJ553" s="7"/>
      <c r="AK553" s="35"/>
      <c r="AL553" s="35"/>
      <c r="AM553" s="35"/>
      <c r="AN553" s="35"/>
      <c r="AO553" s="35"/>
      <c r="AP553" s="35"/>
      <c r="AQ553" s="42"/>
      <c r="AR553" s="42"/>
      <c r="AS553" s="42"/>
      <c r="AT553" s="42"/>
      <c r="AU553" s="42"/>
      <c r="AV553" s="42"/>
      <c r="AW553" s="35"/>
      <c r="BV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FG553" s="23"/>
      <c r="FH553" s="23"/>
      <c r="FI553" s="23"/>
      <c r="FJ553" s="23"/>
      <c r="FK553" s="23"/>
      <c r="FL553" s="23"/>
      <c r="FM553" s="23"/>
      <c r="FN553" s="23"/>
    </row>
    <row r="554" spans="2:170" ht="12" customHeight="1" x14ac:dyDescent="0.3">
      <c r="B554" s="24"/>
      <c r="C554" s="24"/>
      <c r="D554" s="24"/>
      <c r="E554" s="24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D554" s="7"/>
      <c r="AE554" s="7"/>
      <c r="AF554" s="7"/>
      <c r="AG554" s="7"/>
      <c r="AH554" s="7"/>
      <c r="AI554" s="7"/>
      <c r="AJ554" s="7"/>
      <c r="AK554" s="35"/>
      <c r="AL554" s="35"/>
      <c r="AM554" s="35"/>
      <c r="AN554" s="35"/>
      <c r="AO554" s="35"/>
      <c r="AP554" s="35"/>
      <c r="AQ554" s="42"/>
      <c r="AR554" s="42"/>
      <c r="AS554" s="42"/>
      <c r="AT554" s="42"/>
      <c r="AU554" s="42"/>
      <c r="AV554" s="42"/>
      <c r="AW554" s="35"/>
      <c r="BV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FG554" s="23"/>
      <c r="FH554" s="23"/>
      <c r="FI554" s="23"/>
      <c r="FJ554" s="23"/>
      <c r="FK554" s="23"/>
      <c r="FL554" s="23"/>
      <c r="FM554" s="23"/>
      <c r="FN554" s="23"/>
    </row>
    <row r="555" spans="2:170" ht="12" customHeight="1" x14ac:dyDescent="0.3">
      <c r="B555" s="24"/>
      <c r="C555" s="24"/>
      <c r="D555" s="24"/>
      <c r="E555" s="24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D555" s="7"/>
      <c r="AE555" s="7"/>
      <c r="AF555" s="7"/>
      <c r="AG555" s="7"/>
      <c r="AH555" s="7"/>
      <c r="AI555" s="7"/>
      <c r="AJ555" s="7"/>
      <c r="AK555" s="35"/>
      <c r="AL555" s="35"/>
      <c r="AM555" s="35"/>
      <c r="AN555" s="35"/>
      <c r="AO555" s="35"/>
      <c r="AP555" s="35"/>
      <c r="AQ555" s="42"/>
      <c r="AR555" s="42"/>
      <c r="AS555" s="42"/>
      <c r="AT555" s="42"/>
      <c r="AU555" s="42"/>
      <c r="AV555" s="42"/>
      <c r="AW555" s="35"/>
      <c r="BV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FG555" s="23"/>
      <c r="FH555" s="23"/>
      <c r="FI555" s="23"/>
      <c r="FJ555" s="23"/>
      <c r="FK555" s="23"/>
      <c r="FL555" s="23"/>
      <c r="FM555" s="23"/>
      <c r="FN555" s="23"/>
    </row>
    <row r="556" spans="2:170" ht="12" customHeight="1" x14ac:dyDescent="0.3">
      <c r="B556" s="24"/>
      <c r="C556" s="24"/>
      <c r="D556" s="24"/>
      <c r="E556" s="24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D556" s="7"/>
      <c r="AE556" s="7"/>
      <c r="AF556" s="7"/>
      <c r="AG556" s="7"/>
      <c r="AH556" s="7"/>
      <c r="AI556" s="7"/>
      <c r="AJ556" s="7"/>
      <c r="AK556" s="35"/>
      <c r="AL556" s="35"/>
      <c r="AM556" s="35"/>
      <c r="AN556" s="35"/>
      <c r="AO556" s="35"/>
      <c r="AP556" s="35"/>
      <c r="AQ556" s="42"/>
      <c r="AR556" s="42"/>
      <c r="AS556" s="42"/>
      <c r="AT556" s="42"/>
      <c r="AU556" s="42"/>
      <c r="AV556" s="42"/>
      <c r="AW556" s="35"/>
      <c r="BV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FG556" s="23"/>
      <c r="FH556" s="23"/>
      <c r="FI556" s="23"/>
      <c r="FJ556" s="23"/>
      <c r="FK556" s="23"/>
      <c r="FL556" s="23"/>
      <c r="FM556" s="23"/>
      <c r="FN556" s="23"/>
    </row>
    <row r="557" spans="2:170" ht="12" customHeight="1" x14ac:dyDescent="0.3">
      <c r="B557" s="24"/>
      <c r="C557" s="24"/>
      <c r="D557" s="24"/>
      <c r="E557" s="24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D557" s="7"/>
      <c r="AE557" s="7"/>
      <c r="AF557" s="7"/>
      <c r="AG557" s="7"/>
      <c r="AH557" s="7"/>
      <c r="AI557" s="7"/>
      <c r="AJ557" s="7"/>
      <c r="AK557" s="35"/>
      <c r="AL557" s="35"/>
      <c r="AM557" s="35"/>
      <c r="AN557" s="35"/>
      <c r="AO557" s="35"/>
      <c r="AP557" s="35"/>
      <c r="AQ557" s="42"/>
      <c r="AR557" s="42"/>
      <c r="AS557" s="42"/>
      <c r="AT557" s="42"/>
      <c r="AU557" s="42"/>
      <c r="AV557" s="42"/>
      <c r="AW557" s="35"/>
      <c r="BV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FG557" s="23"/>
      <c r="FH557" s="23"/>
      <c r="FI557" s="23"/>
      <c r="FJ557" s="23"/>
      <c r="FK557" s="23"/>
      <c r="FL557" s="23"/>
      <c r="FM557" s="23"/>
      <c r="FN557" s="23"/>
    </row>
    <row r="558" spans="2:170" ht="12" customHeight="1" x14ac:dyDescent="0.3">
      <c r="B558" s="24"/>
      <c r="C558" s="24"/>
      <c r="D558" s="24"/>
      <c r="E558" s="24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D558" s="7"/>
      <c r="AE558" s="7"/>
      <c r="AF558" s="7"/>
      <c r="AG558" s="7"/>
      <c r="AH558" s="7"/>
      <c r="AI558" s="7"/>
      <c r="AJ558" s="7"/>
      <c r="AK558" s="35"/>
      <c r="AL558" s="35"/>
      <c r="AM558" s="35"/>
      <c r="AN558" s="35"/>
      <c r="AO558" s="35"/>
      <c r="AP558" s="35"/>
      <c r="AQ558" s="42"/>
      <c r="AR558" s="42"/>
      <c r="AS558" s="42"/>
      <c r="AT558" s="42"/>
      <c r="AU558" s="42"/>
      <c r="AV558" s="42"/>
      <c r="AW558" s="35"/>
      <c r="BV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FG558" s="23"/>
      <c r="FH558" s="23"/>
      <c r="FI558" s="23"/>
      <c r="FJ558" s="23"/>
      <c r="FK558" s="23"/>
      <c r="FL558" s="23"/>
      <c r="FM558" s="23"/>
      <c r="FN558" s="23"/>
    </row>
    <row r="559" spans="2:170" ht="12" customHeight="1" x14ac:dyDescent="0.3">
      <c r="B559" s="24"/>
      <c r="C559" s="24"/>
      <c r="D559" s="24"/>
      <c r="E559" s="24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D559" s="7"/>
      <c r="AE559" s="7"/>
      <c r="AF559" s="7"/>
      <c r="AG559" s="7"/>
      <c r="AH559" s="7"/>
      <c r="AI559" s="7"/>
      <c r="AJ559" s="7"/>
      <c r="AK559" s="35"/>
      <c r="AL559" s="35"/>
      <c r="AM559" s="35"/>
      <c r="AN559" s="35"/>
      <c r="AO559" s="35"/>
      <c r="AP559" s="35"/>
      <c r="AQ559" s="42"/>
      <c r="AR559" s="42"/>
      <c r="AS559" s="42"/>
      <c r="AT559" s="42"/>
      <c r="AU559" s="42"/>
      <c r="AV559" s="42"/>
      <c r="AW559" s="35"/>
      <c r="BV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FG559" s="23"/>
      <c r="FH559" s="23"/>
      <c r="FI559" s="23"/>
      <c r="FJ559" s="23"/>
      <c r="FK559" s="23"/>
      <c r="FL559" s="23"/>
      <c r="FM559" s="23"/>
      <c r="FN559" s="23"/>
    </row>
    <row r="560" spans="2:170" ht="12" customHeight="1" x14ac:dyDescent="0.3">
      <c r="B560" s="24"/>
      <c r="C560" s="24"/>
      <c r="D560" s="24"/>
      <c r="E560" s="24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D560" s="7"/>
      <c r="AE560" s="7"/>
      <c r="AF560" s="7"/>
      <c r="AG560" s="7"/>
      <c r="AH560" s="7"/>
      <c r="AI560" s="7"/>
      <c r="AJ560" s="7"/>
      <c r="AK560" s="35"/>
      <c r="AL560" s="35"/>
      <c r="AM560" s="35"/>
      <c r="AN560" s="35"/>
      <c r="AO560" s="35"/>
      <c r="AP560" s="35"/>
      <c r="AQ560" s="42"/>
      <c r="AR560" s="42"/>
      <c r="AS560" s="42"/>
      <c r="AT560" s="42"/>
      <c r="AU560" s="42"/>
      <c r="AV560" s="42"/>
      <c r="AW560" s="35"/>
      <c r="BV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FG560" s="23"/>
      <c r="FH560" s="23"/>
      <c r="FI560" s="23"/>
      <c r="FJ560" s="23"/>
      <c r="FK560" s="23"/>
      <c r="FL560" s="23"/>
      <c r="FM560" s="23"/>
      <c r="FN560" s="23"/>
    </row>
    <row r="561" spans="2:170" ht="12" customHeight="1" x14ac:dyDescent="0.3">
      <c r="B561" s="24"/>
      <c r="C561" s="24"/>
      <c r="D561" s="24"/>
      <c r="E561" s="24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D561" s="7"/>
      <c r="AE561" s="7"/>
      <c r="AF561" s="7"/>
      <c r="AG561" s="7"/>
      <c r="AH561" s="7"/>
      <c r="AI561" s="7"/>
      <c r="AJ561" s="7"/>
      <c r="AK561" s="35"/>
      <c r="AL561" s="35"/>
      <c r="AM561" s="35"/>
      <c r="AN561" s="35"/>
      <c r="AO561" s="35"/>
      <c r="AP561" s="35"/>
      <c r="AQ561" s="42"/>
      <c r="AR561" s="42"/>
      <c r="AS561" s="42"/>
      <c r="AT561" s="42"/>
      <c r="AU561" s="42"/>
      <c r="AV561" s="42"/>
      <c r="AW561" s="35"/>
      <c r="BV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FG561" s="23"/>
      <c r="FH561" s="23"/>
      <c r="FI561" s="23"/>
      <c r="FJ561" s="23"/>
      <c r="FK561" s="23"/>
      <c r="FL561" s="23"/>
      <c r="FM561" s="23"/>
      <c r="FN561" s="23"/>
    </row>
    <row r="562" spans="2:170" ht="12" customHeight="1" x14ac:dyDescent="0.3">
      <c r="B562" s="24"/>
      <c r="C562" s="24"/>
      <c r="D562" s="24"/>
      <c r="E562" s="24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D562" s="7"/>
      <c r="AE562" s="7"/>
      <c r="AF562" s="7"/>
      <c r="AG562" s="7"/>
      <c r="AH562" s="7"/>
      <c r="AI562" s="7"/>
      <c r="AJ562" s="7"/>
      <c r="AK562" s="35"/>
      <c r="AL562" s="35"/>
      <c r="AM562" s="35"/>
      <c r="AN562" s="35"/>
      <c r="AO562" s="35"/>
      <c r="AP562" s="35"/>
      <c r="AQ562" s="42"/>
      <c r="AR562" s="42"/>
      <c r="AS562" s="42"/>
      <c r="AT562" s="42"/>
      <c r="AU562" s="42"/>
      <c r="AV562" s="42"/>
      <c r="AW562" s="35"/>
      <c r="BV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FG562" s="23"/>
      <c r="FH562" s="23"/>
      <c r="FI562" s="23"/>
      <c r="FJ562" s="23"/>
      <c r="FK562" s="23"/>
      <c r="FL562" s="23"/>
      <c r="FM562" s="23"/>
      <c r="FN562" s="23"/>
    </row>
    <row r="563" spans="2:170" ht="12" customHeight="1" x14ac:dyDescent="0.3">
      <c r="B563" s="24"/>
      <c r="C563" s="24"/>
      <c r="D563" s="24"/>
      <c r="E563" s="24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D563" s="7"/>
      <c r="AE563" s="7"/>
      <c r="AF563" s="7"/>
      <c r="AG563" s="7"/>
      <c r="AH563" s="7"/>
      <c r="AI563" s="7"/>
      <c r="AJ563" s="7"/>
      <c r="AK563" s="35"/>
      <c r="AL563" s="35"/>
      <c r="AM563" s="35"/>
      <c r="AN563" s="35"/>
      <c r="AO563" s="35"/>
      <c r="AP563" s="35"/>
      <c r="AQ563" s="42"/>
      <c r="AR563" s="42"/>
      <c r="AS563" s="42"/>
      <c r="AT563" s="42"/>
      <c r="AU563" s="42"/>
      <c r="AV563" s="42"/>
      <c r="AW563" s="35"/>
      <c r="BV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FG563" s="23"/>
      <c r="FH563" s="23"/>
      <c r="FI563" s="23"/>
      <c r="FJ563" s="23"/>
      <c r="FK563" s="23"/>
      <c r="FL563" s="23"/>
      <c r="FM563" s="23"/>
      <c r="FN563" s="23"/>
    </row>
    <row r="564" spans="2:170" ht="12" customHeight="1" x14ac:dyDescent="0.3">
      <c r="B564" s="24"/>
      <c r="C564" s="24"/>
      <c r="D564" s="24"/>
      <c r="E564" s="24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D564" s="7"/>
      <c r="AE564" s="7"/>
      <c r="AF564" s="7"/>
      <c r="AG564" s="7"/>
      <c r="AH564" s="7"/>
      <c r="AI564" s="7"/>
      <c r="AJ564" s="7"/>
      <c r="AK564" s="35"/>
      <c r="AL564" s="35"/>
      <c r="AM564" s="35"/>
      <c r="AN564" s="35"/>
      <c r="AO564" s="35"/>
      <c r="AP564" s="35"/>
      <c r="AQ564" s="42"/>
      <c r="AR564" s="42"/>
      <c r="AS564" s="42"/>
      <c r="AT564" s="42"/>
      <c r="AU564" s="42"/>
      <c r="AV564" s="42"/>
      <c r="AW564" s="35"/>
      <c r="BV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FG564" s="23"/>
      <c r="FH564" s="23"/>
      <c r="FI564" s="23"/>
      <c r="FJ564" s="23"/>
      <c r="FK564" s="23"/>
      <c r="FL564" s="23"/>
      <c r="FM564" s="23"/>
      <c r="FN564" s="23"/>
    </row>
    <row r="565" spans="2:170" ht="12" customHeight="1" x14ac:dyDescent="0.3">
      <c r="B565" s="24"/>
      <c r="C565" s="24"/>
      <c r="D565" s="24"/>
      <c r="E565" s="24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D565" s="7"/>
      <c r="AE565" s="7"/>
      <c r="AF565" s="7"/>
      <c r="AG565" s="7"/>
      <c r="AH565" s="7"/>
      <c r="AI565" s="7"/>
      <c r="AJ565" s="7"/>
      <c r="AK565" s="35"/>
      <c r="AL565" s="35"/>
      <c r="AM565" s="35"/>
      <c r="AN565" s="35"/>
      <c r="AO565" s="35"/>
      <c r="AP565" s="35"/>
      <c r="AQ565" s="42"/>
      <c r="AR565" s="42"/>
      <c r="AS565" s="42"/>
      <c r="AT565" s="42"/>
      <c r="AU565" s="42"/>
      <c r="AV565" s="42"/>
      <c r="AW565" s="35"/>
      <c r="BV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FG565" s="23"/>
      <c r="FH565" s="23"/>
      <c r="FI565" s="23"/>
      <c r="FJ565" s="23"/>
      <c r="FK565" s="23"/>
      <c r="FL565" s="23"/>
      <c r="FM565" s="23"/>
      <c r="FN565" s="23"/>
    </row>
    <row r="566" spans="2:170" ht="12" customHeight="1" x14ac:dyDescent="0.3">
      <c r="B566" s="24"/>
      <c r="C566" s="24"/>
      <c r="D566" s="24"/>
      <c r="E566" s="24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D566" s="7"/>
      <c r="AE566" s="7"/>
      <c r="AF566" s="7"/>
      <c r="AG566" s="7"/>
      <c r="AH566" s="7"/>
      <c r="AI566" s="7"/>
      <c r="AJ566" s="7"/>
      <c r="AK566" s="35"/>
      <c r="AL566" s="35"/>
      <c r="AM566" s="35"/>
      <c r="AN566" s="35"/>
      <c r="AO566" s="35"/>
      <c r="AP566" s="35"/>
      <c r="AQ566" s="42"/>
      <c r="AR566" s="42"/>
      <c r="AS566" s="42"/>
      <c r="AT566" s="42"/>
      <c r="AU566" s="42"/>
      <c r="AV566" s="42"/>
      <c r="AW566" s="35"/>
      <c r="BV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FG566" s="23"/>
      <c r="FH566" s="23"/>
      <c r="FI566" s="23"/>
      <c r="FJ566" s="23"/>
      <c r="FK566" s="23"/>
      <c r="FL566" s="23"/>
      <c r="FM566" s="23"/>
      <c r="FN566" s="23"/>
    </row>
    <row r="567" spans="2:170" ht="12" customHeight="1" x14ac:dyDescent="0.3">
      <c r="B567" s="24"/>
      <c r="C567" s="24"/>
      <c r="D567" s="24"/>
      <c r="E567" s="24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D567" s="7"/>
      <c r="AE567" s="7"/>
      <c r="AF567" s="7"/>
      <c r="AG567" s="7"/>
      <c r="AH567" s="7"/>
      <c r="AI567" s="7"/>
      <c r="AJ567" s="7"/>
      <c r="AK567" s="35"/>
      <c r="AL567" s="35"/>
      <c r="AM567" s="35"/>
      <c r="AN567" s="35"/>
      <c r="AO567" s="35"/>
      <c r="AP567" s="35"/>
      <c r="AQ567" s="42"/>
      <c r="AR567" s="42"/>
      <c r="AS567" s="42"/>
      <c r="AT567" s="42"/>
      <c r="AU567" s="42"/>
      <c r="AV567" s="42"/>
      <c r="AW567" s="35"/>
      <c r="BV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/>
      <c r="FG567" s="23"/>
      <c r="FH567" s="23"/>
      <c r="FI567" s="23"/>
      <c r="FJ567" s="23"/>
      <c r="FK567" s="23"/>
      <c r="FL567" s="23"/>
      <c r="FM567" s="23"/>
      <c r="FN567" s="23"/>
    </row>
    <row r="568" spans="2:170" ht="12" customHeight="1" x14ac:dyDescent="0.3">
      <c r="B568" s="24"/>
      <c r="C568" s="24"/>
      <c r="D568" s="24"/>
      <c r="E568" s="24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D568" s="7"/>
      <c r="AE568" s="7"/>
      <c r="AF568" s="7"/>
      <c r="AG568" s="7"/>
      <c r="AH568" s="7"/>
      <c r="AI568" s="7"/>
      <c r="AJ568" s="7"/>
      <c r="AK568" s="35"/>
      <c r="AL568" s="35"/>
      <c r="AM568" s="35"/>
      <c r="AN568" s="35"/>
      <c r="AO568" s="35"/>
      <c r="AP568" s="35"/>
      <c r="AQ568" s="42"/>
      <c r="AR568" s="42"/>
      <c r="AS568" s="42"/>
      <c r="AT568" s="42"/>
      <c r="AU568" s="42"/>
      <c r="AV568" s="42"/>
      <c r="AW568" s="35"/>
      <c r="BV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FG568" s="23"/>
      <c r="FH568" s="23"/>
      <c r="FI568" s="23"/>
      <c r="FJ568" s="23"/>
      <c r="FK568" s="23"/>
      <c r="FL568" s="23"/>
      <c r="FM568" s="23"/>
      <c r="FN568" s="23"/>
    </row>
    <row r="569" spans="2:170" ht="12" customHeight="1" x14ac:dyDescent="0.3">
      <c r="B569" s="24"/>
      <c r="C569" s="24"/>
      <c r="D569" s="24"/>
      <c r="E569" s="24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D569" s="7"/>
      <c r="AE569" s="7"/>
      <c r="AF569" s="7"/>
      <c r="AG569" s="7"/>
      <c r="AH569" s="7"/>
      <c r="AI569" s="7"/>
      <c r="AJ569" s="7"/>
      <c r="AK569" s="35"/>
      <c r="AL569" s="35"/>
      <c r="AM569" s="35"/>
      <c r="AN569" s="35"/>
      <c r="AO569" s="35"/>
      <c r="AP569" s="35"/>
      <c r="AQ569" s="42"/>
      <c r="AR569" s="42"/>
      <c r="AS569" s="42"/>
      <c r="AT569" s="42"/>
      <c r="AU569" s="42"/>
      <c r="AV569" s="42"/>
      <c r="AW569" s="35"/>
      <c r="BV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FG569" s="23"/>
      <c r="FH569" s="23"/>
      <c r="FI569" s="23"/>
      <c r="FJ569" s="23"/>
      <c r="FK569" s="23"/>
      <c r="FL569" s="23"/>
      <c r="FM569" s="23"/>
      <c r="FN569" s="23"/>
    </row>
    <row r="570" spans="2:170" ht="12" customHeight="1" x14ac:dyDescent="0.3">
      <c r="B570" s="24"/>
      <c r="C570" s="24"/>
      <c r="D570" s="24"/>
      <c r="E570" s="24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D570" s="7"/>
      <c r="AE570" s="7"/>
      <c r="AF570" s="7"/>
      <c r="AG570" s="7"/>
      <c r="AH570" s="7"/>
      <c r="AI570" s="7"/>
      <c r="AJ570" s="7"/>
      <c r="AK570" s="35"/>
      <c r="AL570" s="35"/>
      <c r="AM570" s="35"/>
      <c r="AN570" s="35"/>
      <c r="AO570" s="35"/>
      <c r="AP570" s="35"/>
      <c r="AQ570" s="42"/>
      <c r="AR570" s="42"/>
      <c r="AS570" s="42"/>
      <c r="AT570" s="42"/>
      <c r="AU570" s="42"/>
      <c r="AV570" s="42"/>
      <c r="AW570" s="35"/>
      <c r="BV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FG570" s="23"/>
      <c r="FH570" s="23"/>
      <c r="FI570" s="23"/>
      <c r="FJ570" s="23"/>
      <c r="FK570" s="23"/>
      <c r="FL570" s="23"/>
      <c r="FM570" s="23"/>
      <c r="FN570" s="23"/>
    </row>
    <row r="571" spans="2:170" ht="12" customHeight="1" x14ac:dyDescent="0.3">
      <c r="B571" s="24"/>
      <c r="C571" s="24"/>
      <c r="D571" s="24"/>
      <c r="E571" s="24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D571" s="7"/>
      <c r="AE571" s="7"/>
      <c r="AF571" s="7"/>
      <c r="AG571" s="7"/>
      <c r="AH571" s="7"/>
      <c r="AI571" s="7"/>
      <c r="AJ571" s="7"/>
      <c r="AK571" s="35"/>
      <c r="AL571" s="35"/>
      <c r="AM571" s="35"/>
      <c r="AN571" s="35"/>
      <c r="AO571" s="35"/>
      <c r="AP571" s="35"/>
      <c r="AQ571" s="42"/>
      <c r="AR571" s="42"/>
      <c r="AS571" s="42"/>
      <c r="AT571" s="42"/>
      <c r="AU571" s="42"/>
      <c r="AV571" s="42"/>
      <c r="AW571" s="35"/>
      <c r="BV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FG571" s="23"/>
      <c r="FH571" s="23"/>
      <c r="FI571" s="23"/>
      <c r="FJ571" s="23"/>
      <c r="FK571" s="23"/>
      <c r="FL571" s="23"/>
      <c r="FM571" s="23"/>
      <c r="FN571" s="23"/>
    </row>
    <row r="572" spans="2:170" ht="12" customHeight="1" x14ac:dyDescent="0.3">
      <c r="B572" s="24"/>
      <c r="C572" s="24"/>
      <c r="D572" s="24"/>
      <c r="E572" s="24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D572" s="7"/>
      <c r="AE572" s="7"/>
      <c r="AF572" s="7"/>
      <c r="AG572" s="7"/>
      <c r="AH572" s="7"/>
      <c r="AI572" s="7"/>
      <c r="AJ572" s="7"/>
      <c r="AK572" s="35"/>
      <c r="AL572" s="35"/>
      <c r="AM572" s="35"/>
      <c r="AN572" s="35"/>
      <c r="AO572" s="35"/>
      <c r="AP572" s="35"/>
      <c r="AQ572" s="42"/>
      <c r="AR572" s="42"/>
      <c r="AS572" s="42"/>
      <c r="AT572" s="42"/>
      <c r="AU572" s="42"/>
      <c r="AV572" s="42"/>
      <c r="AW572" s="35"/>
      <c r="BV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FG572" s="23"/>
      <c r="FH572" s="23"/>
      <c r="FI572" s="23"/>
      <c r="FJ572" s="23"/>
      <c r="FK572" s="23"/>
      <c r="FL572" s="23"/>
      <c r="FM572" s="23"/>
      <c r="FN572" s="23"/>
    </row>
    <row r="573" spans="2:170" ht="12" customHeight="1" x14ac:dyDescent="0.3">
      <c r="B573" s="24"/>
      <c r="C573" s="24"/>
      <c r="D573" s="24"/>
      <c r="E573" s="24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D573" s="7"/>
      <c r="AE573" s="7"/>
      <c r="AF573" s="7"/>
      <c r="AG573" s="7"/>
      <c r="AH573" s="7"/>
      <c r="AI573" s="7"/>
      <c r="AJ573" s="7"/>
      <c r="AK573" s="35"/>
      <c r="AL573" s="35"/>
      <c r="AM573" s="35"/>
      <c r="AN573" s="35"/>
      <c r="AO573" s="35"/>
      <c r="AP573" s="35"/>
      <c r="AQ573" s="42"/>
      <c r="AR573" s="42"/>
      <c r="AS573" s="42"/>
      <c r="AT573" s="42"/>
      <c r="AU573" s="42"/>
      <c r="AV573" s="42"/>
      <c r="AW573" s="35"/>
      <c r="BV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FG573" s="23"/>
      <c r="FH573" s="23"/>
      <c r="FI573" s="23"/>
      <c r="FJ573" s="23"/>
      <c r="FK573" s="23"/>
      <c r="FL573" s="23"/>
      <c r="FM573" s="23"/>
      <c r="FN573" s="23"/>
    </row>
    <row r="574" spans="2:170" ht="12" customHeight="1" x14ac:dyDescent="0.3">
      <c r="B574" s="24"/>
      <c r="C574" s="24"/>
      <c r="D574" s="24"/>
      <c r="E574" s="24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D574" s="7"/>
      <c r="AE574" s="7"/>
      <c r="AF574" s="7"/>
      <c r="AG574" s="7"/>
      <c r="AH574" s="7"/>
      <c r="AI574" s="7"/>
      <c r="AJ574" s="7"/>
      <c r="AK574" s="35"/>
      <c r="AL574" s="35"/>
      <c r="AM574" s="35"/>
      <c r="AN574" s="35"/>
      <c r="AO574" s="35"/>
      <c r="AP574" s="35"/>
      <c r="AQ574" s="42"/>
      <c r="AR574" s="42"/>
      <c r="AS574" s="42"/>
      <c r="AT574" s="42"/>
      <c r="AU574" s="42"/>
      <c r="AV574" s="42"/>
      <c r="AW574" s="35"/>
      <c r="BV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FG574" s="23"/>
      <c r="FH574" s="23"/>
      <c r="FI574" s="23"/>
      <c r="FJ574" s="23"/>
      <c r="FK574" s="23"/>
      <c r="FL574" s="23"/>
      <c r="FM574" s="23"/>
      <c r="FN574" s="23"/>
    </row>
    <row r="575" spans="2:170" ht="12" customHeight="1" x14ac:dyDescent="0.3">
      <c r="B575" s="24"/>
      <c r="C575" s="24"/>
      <c r="D575" s="24"/>
      <c r="E575" s="24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D575" s="7"/>
      <c r="AE575" s="7"/>
      <c r="AF575" s="7"/>
      <c r="AG575" s="7"/>
      <c r="AH575" s="7"/>
      <c r="AI575" s="7"/>
      <c r="AJ575" s="7"/>
      <c r="AK575" s="35"/>
      <c r="AL575" s="35"/>
      <c r="AM575" s="35"/>
      <c r="AN575" s="35"/>
      <c r="AO575" s="35"/>
      <c r="AP575" s="35"/>
      <c r="AQ575" s="42"/>
      <c r="AR575" s="42"/>
      <c r="AS575" s="42"/>
      <c r="AT575" s="42"/>
      <c r="AU575" s="42"/>
      <c r="AV575" s="42"/>
      <c r="AW575" s="35"/>
      <c r="BV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FG575" s="23"/>
      <c r="FH575" s="23"/>
      <c r="FI575" s="23"/>
      <c r="FJ575" s="23"/>
      <c r="FK575" s="23"/>
      <c r="FL575" s="23"/>
      <c r="FM575" s="23"/>
      <c r="FN575" s="23"/>
    </row>
    <row r="576" spans="2:170" ht="12" customHeight="1" x14ac:dyDescent="0.3">
      <c r="B576" s="24"/>
      <c r="C576" s="24"/>
      <c r="D576" s="24"/>
      <c r="E576" s="24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D576" s="7"/>
      <c r="AE576" s="7"/>
      <c r="AF576" s="7"/>
      <c r="AG576" s="7"/>
      <c r="AH576" s="7"/>
      <c r="AI576" s="7"/>
      <c r="AJ576" s="7"/>
      <c r="AK576" s="35"/>
      <c r="AL576" s="35"/>
      <c r="AM576" s="35"/>
      <c r="AN576" s="35"/>
      <c r="AO576" s="35"/>
      <c r="AP576" s="35"/>
      <c r="AQ576" s="42"/>
      <c r="AR576" s="42"/>
      <c r="AS576" s="42"/>
      <c r="AT576" s="42"/>
      <c r="AU576" s="42"/>
      <c r="AV576" s="42"/>
      <c r="AW576" s="35"/>
      <c r="BV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FG576" s="23"/>
      <c r="FH576" s="23"/>
      <c r="FI576" s="23"/>
      <c r="FJ576" s="23"/>
      <c r="FK576" s="23"/>
      <c r="FL576" s="23"/>
      <c r="FM576" s="23"/>
      <c r="FN576" s="23"/>
    </row>
    <row r="577" spans="2:170" ht="12" customHeight="1" x14ac:dyDescent="0.3">
      <c r="B577" s="24"/>
      <c r="C577" s="24"/>
      <c r="D577" s="24"/>
      <c r="E577" s="24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D577" s="7"/>
      <c r="AE577" s="7"/>
      <c r="AF577" s="7"/>
      <c r="AG577" s="7"/>
      <c r="AH577" s="7"/>
      <c r="AI577" s="7"/>
      <c r="AJ577" s="7"/>
      <c r="AK577" s="35"/>
      <c r="AL577" s="35"/>
      <c r="AM577" s="35"/>
      <c r="AN577" s="35"/>
      <c r="AO577" s="35"/>
      <c r="AP577" s="35"/>
      <c r="AQ577" s="42"/>
      <c r="AR577" s="42"/>
      <c r="AS577" s="42"/>
      <c r="AT577" s="42"/>
      <c r="AU577" s="42"/>
      <c r="AV577" s="42"/>
      <c r="AW577" s="35"/>
      <c r="BV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FG577" s="23"/>
      <c r="FH577" s="23"/>
      <c r="FI577" s="23"/>
      <c r="FJ577" s="23"/>
      <c r="FK577" s="23"/>
      <c r="FL577" s="23"/>
      <c r="FM577" s="23"/>
      <c r="FN577" s="23"/>
    </row>
    <row r="578" spans="2:170" ht="12" customHeight="1" x14ac:dyDescent="0.3">
      <c r="B578" s="24"/>
      <c r="C578" s="24"/>
      <c r="D578" s="24"/>
      <c r="E578" s="24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D578" s="7"/>
      <c r="AE578" s="7"/>
      <c r="AF578" s="7"/>
      <c r="AG578" s="7"/>
      <c r="AH578" s="7"/>
      <c r="AI578" s="7"/>
      <c r="AJ578" s="7"/>
      <c r="AK578" s="35"/>
      <c r="AL578" s="35"/>
      <c r="AM578" s="35"/>
      <c r="AN578" s="35"/>
      <c r="AO578" s="35"/>
      <c r="AP578" s="35"/>
      <c r="AQ578" s="42"/>
      <c r="AR578" s="42"/>
      <c r="AS578" s="42"/>
      <c r="AT578" s="42"/>
      <c r="AU578" s="42"/>
      <c r="AV578" s="42"/>
      <c r="AW578" s="35"/>
      <c r="BV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FG578" s="23"/>
      <c r="FH578" s="23"/>
      <c r="FI578" s="23"/>
      <c r="FJ578" s="23"/>
      <c r="FK578" s="23"/>
      <c r="FL578" s="23"/>
      <c r="FM578" s="23"/>
      <c r="FN578" s="23"/>
    </row>
    <row r="579" spans="2:170" ht="12" customHeight="1" x14ac:dyDescent="0.3">
      <c r="B579" s="24"/>
      <c r="C579" s="24"/>
      <c r="D579" s="24"/>
      <c r="E579" s="24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D579" s="7"/>
      <c r="AE579" s="7"/>
      <c r="AF579" s="7"/>
      <c r="AG579" s="7"/>
      <c r="AH579" s="7"/>
      <c r="AI579" s="7"/>
      <c r="AJ579" s="7"/>
      <c r="AK579" s="35"/>
      <c r="AL579" s="35"/>
      <c r="AM579" s="35"/>
      <c r="AN579" s="35"/>
      <c r="AO579" s="35"/>
      <c r="AP579" s="35"/>
      <c r="AQ579" s="42"/>
      <c r="AR579" s="42"/>
      <c r="AS579" s="42"/>
      <c r="AT579" s="42"/>
      <c r="AU579" s="42"/>
      <c r="AV579" s="42"/>
      <c r="AW579" s="35"/>
      <c r="BV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FG579" s="23"/>
      <c r="FH579" s="23"/>
      <c r="FI579" s="23"/>
      <c r="FJ579" s="23"/>
      <c r="FK579" s="23"/>
      <c r="FL579" s="23"/>
      <c r="FM579" s="23"/>
      <c r="FN579" s="23"/>
    </row>
    <row r="580" spans="2:170" ht="12" customHeight="1" x14ac:dyDescent="0.3">
      <c r="B580" s="24"/>
      <c r="C580" s="24"/>
      <c r="D580" s="24"/>
      <c r="E580" s="24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D580" s="7"/>
      <c r="AE580" s="7"/>
      <c r="AF580" s="7"/>
      <c r="AG580" s="7"/>
      <c r="AH580" s="7"/>
      <c r="AI580" s="7"/>
      <c r="AJ580" s="7"/>
      <c r="AK580" s="35"/>
      <c r="AL580" s="35"/>
      <c r="AM580" s="35"/>
      <c r="AN580" s="35"/>
      <c r="AO580" s="35"/>
      <c r="AP580" s="35"/>
      <c r="AQ580" s="42"/>
      <c r="AR580" s="42"/>
      <c r="AS580" s="42"/>
      <c r="AT580" s="42"/>
      <c r="AU580" s="42"/>
      <c r="AV580" s="42"/>
      <c r="AW580" s="35"/>
      <c r="BV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FG580" s="23"/>
      <c r="FH580" s="23"/>
      <c r="FI580" s="23"/>
      <c r="FJ580" s="23"/>
      <c r="FK580" s="23"/>
      <c r="FL580" s="23"/>
      <c r="FM580" s="23"/>
      <c r="FN580" s="23"/>
    </row>
    <row r="581" spans="2:170" ht="12" customHeight="1" x14ac:dyDescent="0.3">
      <c r="B581" s="24"/>
      <c r="C581" s="24"/>
      <c r="D581" s="24"/>
      <c r="E581" s="24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D581" s="7"/>
      <c r="AE581" s="7"/>
      <c r="AF581" s="7"/>
      <c r="AG581" s="7"/>
      <c r="AH581" s="7"/>
      <c r="AI581" s="7"/>
      <c r="AJ581" s="7"/>
      <c r="AK581" s="35"/>
      <c r="AL581" s="35"/>
      <c r="AM581" s="35"/>
      <c r="AN581" s="35"/>
      <c r="AO581" s="35"/>
      <c r="AP581" s="35"/>
      <c r="AQ581" s="42"/>
      <c r="AR581" s="42"/>
      <c r="AS581" s="42"/>
      <c r="AT581" s="42"/>
      <c r="AU581" s="42"/>
      <c r="AV581" s="42"/>
      <c r="AW581" s="35"/>
      <c r="BV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FG581" s="23"/>
      <c r="FH581" s="23"/>
      <c r="FI581" s="23"/>
      <c r="FJ581" s="23"/>
      <c r="FK581" s="23"/>
      <c r="FL581" s="23"/>
      <c r="FM581" s="23"/>
      <c r="FN581" s="23"/>
    </row>
    <row r="582" spans="2:170" ht="12" customHeight="1" x14ac:dyDescent="0.3">
      <c r="B582" s="24"/>
      <c r="C582" s="24"/>
      <c r="D582" s="24"/>
      <c r="E582" s="24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D582" s="7"/>
      <c r="AE582" s="7"/>
      <c r="AF582" s="7"/>
      <c r="AG582" s="7"/>
      <c r="AH582" s="7"/>
      <c r="AI582" s="7"/>
      <c r="AJ582" s="7"/>
      <c r="AK582" s="35"/>
      <c r="AL582" s="35"/>
      <c r="AM582" s="35"/>
      <c r="AN582" s="35"/>
      <c r="AO582" s="35"/>
      <c r="AP582" s="35"/>
      <c r="AQ582" s="42"/>
      <c r="AR582" s="42"/>
      <c r="AS582" s="42"/>
      <c r="AT582" s="42"/>
      <c r="AU582" s="42"/>
      <c r="AV582" s="42"/>
      <c r="AW582" s="35"/>
      <c r="BV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FG582" s="23"/>
      <c r="FH582" s="23"/>
      <c r="FI582" s="23"/>
      <c r="FJ582" s="23"/>
      <c r="FK582" s="23"/>
      <c r="FL582" s="23"/>
      <c r="FM582" s="23"/>
      <c r="FN582" s="23"/>
    </row>
    <row r="583" spans="2:170" ht="12" customHeight="1" x14ac:dyDescent="0.3">
      <c r="B583" s="24"/>
      <c r="C583" s="24"/>
      <c r="D583" s="24"/>
      <c r="E583" s="24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D583" s="7"/>
      <c r="AE583" s="7"/>
      <c r="AF583" s="7"/>
      <c r="AG583" s="7"/>
      <c r="AH583" s="7"/>
      <c r="AI583" s="7"/>
      <c r="AJ583" s="7"/>
      <c r="AK583" s="35"/>
      <c r="AL583" s="35"/>
      <c r="AM583" s="35"/>
      <c r="AN583" s="35"/>
      <c r="AO583" s="35"/>
      <c r="AP583" s="35"/>
      <c r="AQ583" s="42"/>
      <c r="AR583" s="42"/>
      <c r="AS583" s="42"/>
      <c r="AT583" s="42"/>
      <c r="AU583" s="42"/>
      <c r="AV583" s="42"/>
      <c r="AW583" s="35"/>
      <c r="BV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FG583" s="23"/>
      <c r="FH583" s="23"/>
      <c r="FI583" s="23"/>
      <c r="FJ583" s="23"/>
      <c r="FK583" s="23"/>
      <c r="FL583" s="23"/>
      <c r="FM583" s="23"/>
      <c r="FN583" s="23"/>
    </row>
    <row r="584" spans="2:170" ht="12" customHeight="1" x14ac:dyDescent="0.3">
      <c r="B584" s="24"/>
      <c r="C584" s="24"/>
      <c r="D584" s="24"/>
      <c r="E584" s="24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D584" s="7"/>
      <c r="AE584" s="7"/>
      <c r="AF584" s="7"/>
      <c r="AG584" s="7"/>
      <c r="AH584" s="7"/>
      <c r="AI584" s="7"/>
      <c r="AJ584" s="7"/>
      <c r="AK584" s="35"/>
      <c r="AL584" s="35"/>
      <c r="AM584" s="35"/>
      <c r="AN584" s="35"/>
      <c r="AO584" s="35"/>
      <c r="AP584" s="35"/>
      <c r="AQ584" s="42"/>
      <c r="AR584" s="42"/>
      <c r="AS584" s="42"/>
      <c r="AT584" s="42"/>
      <c r="AU584" s="42"/>
      <c r="AV584" s="42"/>
      <c r="AW584" s="35"/>
      <c r="BV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FG584" s="23"/>
      <c r="FH584" s="23"/>
      <c r="FI584" s="23"/>
      <c r="FJ584" s="23"/>
      <c r="FK584" s="23"/>
      <c r="FL584" s="23"/>
      <c r="FM584" s="23"/>
      <c r="FN584" s="23"/>
    </row>
    <row r="585" spans="2:170" ht="12" customHeight="1" x14ac:dyDescent="0.3">
      <c r="B585" s="24"/>
      <c r="C585" s="24"/>
      <c r="D585" s="24"/>
      <c r="E585" s="24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D585" s="7"/>
      <c r="AE585" s="7"/>
      <c r="AF585" s="7"/>
      <c r="AG585" s="7"/>
      <c r="AH585" s="7"/>
      <c r="AI585" s="7"/>
      <c r="AJ585" s="7"/>
      <c r="AK585" s="35"/>
      <c r="AL585" s="35"/>
      <c r="AM585" s="35"/>
      <c r="AN585" s="35"/>
      <c r="AO585" s="35"/>
      <c r="AP585" s="35"/>
      <c r="AQ585" s="42"/>
      <c r="AR585" s="42"/>
      <c r="AS585" s="42"/>
      <c r="AT585" s="42"/>
      <c r="AU585" s="42"/>
      <c r="AV585" s="42"/>
      <c r="AW585" s="35"/>
      <c r="BV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FG585" s="23"/>
      <c r="FH585" s="23"/>
      <c r="FI585" s="23"/>
      <c r="FJ585" s="23"/>
      <c r="FK585" s="23"/>
      <c r="FL585" s="23"/>
      <c r="FM585" s="23"/>
      <c r="FN585" s="23"/>
    </row>
    <row r="586" spans="2:170" ht="12" customHeight="1" x14ac:dyDescent="0.3">
      <c r="B586" s="24"/>
      <c r="C586" s="24"/>
      <c r="D586" s="24"/>
      <c r="E586" s="24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D586" s="7"/>
      <c r="AE586" s="7"/>
      <c r="AF586" s="7"/>
      <c r="AG586" s="7"/>
      <c r="AH586" s="7"/>
      <c r="AI586" s="7"/>
      <c r="AJ586" s="7"/>
      <c r="AK586" s="35"/>
      <c r="AL586" s="35"/>
      <c r="AM586" s="35"/>
      <c r="AN586" s="35"/>
      <c r="AO586" s="35"/>
      <c r="AP586" s="35"/>
      <c r="AQ586" s="42"/>
      <c r="AR586" s="42"/>
      <c r="AS586" s="42"/>
      <c r="AT586" s="42"/>
      <c r="AU586" s="42"/>
      <c r="AV586" s="42"/>
      <c r="AW586" s="35"/>
      <c r="BV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FG586" s="23"/>
      <c r="FH586" s="23"/>
      <c r="FI586" s="23"/>
      <c r="FJ586" s="23"/>
      <c r="FK586" s="23"/>
      <c r="FL586" s="23"/>
      <c r="FM586" s="23"/>
      <c r="FN586" s="23"/>
    </row>
    <row r="587" spans="2:170" ht="12" customHeight="1" x14ac:dyDescent="0.3">
      <c r="B587" s="24"/>
      <c r="C587" s="24"/>
      <c r="D587" s="24"/>
      <c r="E587" s="24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D587" s="7"/>
      <c r="AE587" s="7"/>
      <c r="AF587" s="7"/>
      <c r="AG587" s="7"/>
      <c r="AH587" s="7"/>
      <c r="AI587" s="7"/>
      <c r="AJ587" s="7"/>
      <c r="AK587" s="35"/>
      <c r="AL587" s="35"/>
      <c r="AM587" s="35"/>
      <c r="AN587" s="35"/>
      <c r="AO587" s="35"/>
      <c r="AP587" s="35"/>
      <c r="AQ587" s="42"/>
      <c r="AR587" s="42"/>
      <c r="AS587" s="42"/>
      <c r="AT587" s="42"/>
      <c r="AU587" s="42"/>
      <c r="AV587" s="42"/>
      <c r="AW587" s="35"/>
      <c r="BV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FG587" s="23"/>
      <c r="FH587" s="23"/>
      <c r="FI587" s="23"/>
      <c r="FJ587" s="23"/>
      <c r="FK587" s="23"/>
      <c r="FL587" s="23"/>
      <c r="FM587" s="23"/>
      <c r="FN587" s="23"/>
    </row>
    <row r="588" spans="2:170" ht="12" customHeight="1" x14ac:dyDescent="0.3">
      <c r="B588" s="24"/>
      <c r="C588" s="24"/>
      <c r="D588" s="24"/>
      <c r="E588" s="24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D588" s="7"/>
      <c r="AE588" s="7"/>
      <c r="AF588" s="7"/>
      <c r="AG588" s="7"/>
      <c r="AH588" s="7"/>
      <c r="AI588" s="7"/>
      <c r="AJ588" s="7"/>
      <c r="AK588" s="35"/>
      <c r="AL588" s="35"/>
      <c r="AM588" s="35"/>
      <c r="AN588" s="35"/>
      <c r="AO588" s="35"/>
      <c r="AP588" s="35"/>
      <c r="AQ588" s="42"/>
      <c r="AR588" s="42"/>
      <c r="AS588" s="42"/>
      <c r="AT588" s="42"/>
      <c r="AU588" s="42"/>
      <c r="AV588" s="42"/>
      <c r="AW588" s="35"/>
      <c r="BV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FG588" s="23"/>
      <c r="FH588" s="23"/>
      <c r="FI588" s="23"/>
      <c r="FJ588" s="23"/>
      <c r="FK588" s="23"/>
      <c r="FL588" s="23"/>
      <c r="FM588" s="23"/>
      <c r="FN588" s="23"/>
    </row>
    <row r="589" spans="2:170" ht="12" customHeight="1" x14ac:dyDescent="0.3">
      <c r="B589" s="24"/>
      <c r="C589" s="24"/>
      <c r="D589" s="24"/>
      <c r="E589" s="24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D589" s="7"/>
      <c r="AE589" s="7"/>
      <c r="AF589" s="7"/>
      <c r="AG589" s="7"/>
      <c r="AH589" s="7"/>
      <c r="AI589" s="7"/>
      <c r="AJ589" s="7"/>
      <c r="AK589" s="35"/>
      <c r="AL589" s="35"/>
      <c r="AM589" s="35"/>
      <c r="AN589" s="35"/>
      <c r="AO589" s="35"/>
      <c r="AP589" s="35"/>
      <c r="AQ589" s="42"/>
      <c r="AR589" s="42"/>
      <c r="AS589" s="42"/>
      <c r="AT589" s="42"/>
      <c r="AU589" s="42"/>
      <c r="AV589" s="42"/>
      <c r="AW589" s="35"/>
      <c r="BV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FG589" s="23"/>
      <c r="FH589" s="23"/>
      <c r="FI589" s="23"/>
      <c r="FJ589" s="23"/>
      <c r="FK589" s="23"/>
      <c r="FL589" s="23"/>
      <c r="FM589" s="23"/>
      <c r="FN589" s="23"/>
    </row>
    <row r="590" spans="2:170" ht="12" customHeight="1" x14ac:dyDescent="0.3">
      <c r="B590" s="24"/>
      <c r="C590" s="24"/>
      <c r="D590" s="24"/>
      <c r="E590" s="24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D590" s="7"/>
      <c r="AE590" s="7"/>
      <c r="AF590" s="7"/>
      <c r="AG590" s="7"/>
      <c r="AH590" s="7"/>
      <c r="AI590" s="7"/>
      <c r="AJ590" s="7"/>
      <c r="AK590" s="35"/>
      <c r="AL590" s="35"/>
      <c r="AM590" s="35"/>
      <c r="AN590" s="35"/>
      <c r="AO590" s="35"/>
      <c r="AP590" s="35"/>
      <c r="AQ590" s="42"/>
      <c r="AR590" s="42"/>
      <c r="AS590" s="42"/>
      <c r="AT590" s="42"/>
      <c r="AU590" s="42"/>
      <c r="AV590" s="42"/>
      <c r="AW590" s="35"/>
      <c r="BV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FG590" s="23"/>
      <c r="FH590" s="23"/>
      <c r="FI590" s="23"/>
      <c r="FJ590" s="23"/>
      <c r="FK590" s="23"/>
      <c r="FL590" s="23"/>
      <c r="FM590" s="23"/>
      <c r="FN590" s="23"/>
    </row>
    <row r="591" spans="2:170" ht="12" customHeight="1" x14ac:dyDescent="0.3">
      <c r="B591" s="24"/>
      <c r="C591" s="24"/>
      <c r="D591" s="24"/>
      <c r="E591" s="24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D591" s="7"/>
      <c r="AE591" s="7"/>
      <c r="AF591" s="7"/>
      <c r="AG591" s="7"/>
      <c r="AH591" s="7"/>
      <c r="AI591" s="7"/>
      <c r="AJ591" s="7"/>
      <c r="AK591" s="35"/>
      <c r="AL591" s="35"/>
      <c r="AM591" s="35"/>
      <c r="AN591" s="35"/>
      <c r="AO591" s="35"/>
      <c r="AP591" s="35"/>
      <c r="AQ591" s="42"/>
      <c r="AR591" s="42"/>
      <c r="AS591" s="42"/>
      <c r="AT591" s="42"/>
      <c r="AU591" s="42"/>
      <c r="AV591" s="42"/>
      <c r="AW591" s="35"/>
      <c r="BV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FG591" s="23"/>
      <c r="FH591" s="23"/>
      <c r="FI591" s="23"/>
      <c r="FJ591" s="23"/>
      <c r="FK591" s="23"/>
      <c r="FL591" s="23"/>
      <c r="FM591" s="23"/>
      <c r="FN591" s="23"/>
    </row>
    <row r="592" spans="2:170" ht="12" customHeight="1" x14ac:dyDescent="0.3">
      <c r="B592" s="24"/>
      <c r="C592" s="24"/>
      <c r="D592" s="24"/>
      <c r="E592" s="24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D592" s="7"/>
      <c r="AE592" s="7"/>
      <c r="AF592" s="7"/>
      <c r="AG592" s="7"/>
      <c r="AH592" s="7"/>
      <c r="AI592" s="7"/>
      <c r="AJ592" s="7"/>
      <c r="AK592" s="35"/>
      <c r="AL592" s="35"/>
      <c r="AM592" s="35"/>
      <c r="AN592" s="35"/>
      <c r="AO592" s="35"/>
      <c r="AP592" s="35"/>
      <c r="AQ592" s="42"/>
      <c r="AR592" s="42"/>
      <c r="AS592" s="42"/>
      <c r="AT592" s="42"/>
      <c r="AU592" s="42"/>
      <c r="AV592" s="42"/>
      <c r="AW592" s="35"/>
      <c r="BV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FG592" s="23"/>
      <c r="FH592" s="23"/>
      <c r="FI592" s="23"/>
      <c r="FJ592" s="23"/>
      <c r="FK592" s="23"/>
      <c r="FL592" s="23"/>
      <c r="FM592" s="23"/>
      <c r="FN592" s="23"/>
    </row>
    <row r="593" spans="2:170" ht="12" customHeight="1" x14ac:dyDescent="0.3">
      <c r="B593" s="24"/>
      <c r="C593" s="24"/>
      <c r="D593" s="24"/>
      <c r="E593" s="24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D593" s="7"/>
      <c r="AE593" s="7"/>
      <c r="AF593" s="7"/>
      <c r="AG593" s="7"/>
      <c r="AH593" s="7"/>
      <c r="AI593" s="7"/>
      <c r="AJ593" s="7"/>
      <c r="AK593" s="35"/>
      <c r="AL593" s="35"/>
      <c r="AM593" s="35"/>
      <c r="AN593" s="35"/>
      <c r="AO593" s="35"/>
      <c r="AP593" s="35"/>
      <c r="AQ593" s="42"/>
      <c r="AR593" s="42"/>
      <c r="AS593" s="42"/>
      <c r="AT593" s="42"/>
      <c r="AU593" s="42"/>
      <c r="AV593" s="42"/>
      <c r="AW593" s="35"/>
      <c r="BV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FG593" s="23"/>
      <c r="FH593" s="23"/>
      <c r="FI593" s="23"/>
      <c r="FJ593" s="23"/>
      <c r="FK593" s="23"/>
      <c r="FL593" s="23"/>
      <c r="FM593" s="23"/>
      <c r="FN593" s="23"/>
    </row>
    <row r="594" spans="2:170" ht="12" customHeight="1" x14ac:dyDescent="0.3">
      <c r="B594" s="24"/>
      <c r="C594" s="24"/>
      <c r="D594" s="24"/>
      <c r="E594" s="24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D594" s="7"/>
      <c r="AE594" s="7"/>
      <c r="AF594" s="7"/>
      <c r="AG594" s="7"/>
      <c r="AH594" s="7"/>
      <c r="AI594" s="7"/>
      <c r="AJ594" s="7"/>
      <c r="AK594" s="35"/>
      <c r="AL594" s="35"/>
      <c r="AM594" s="35"/>
      <c r="AN594" s="35"/>
      <c r="AO594" s="35"/>
      <c r="AP594" s="35"/>
      <c r="AQ594" s="42"/>
      <c r="AR594" s="42"/>
      <c r="AS594" s="42"/>
      <c r="AT594" s="42"/>
      <c r="AU594" s="42"/>
      <c r="AV594" s="42"/>
      <c r="AW594" s="35"/>
      <c r="BV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FG594" s="23"/>
      <c r="FH594" s="23"/>
      <c r="FI594" s="23"/>
      <c r="FJ594" s="23"/>
      <c r="FK594" s="23"/>
      <c r="FL594" s="23"/>
      <c r="FM594" s="23"/>
      <c r="FN594" s="23"/>
    </row>
    <row r="595" spans="2:170" ht="12" customHeight="1" x14ac:dyDescent="0.3">
      <c r="B595" s="24"/>
      <c r="C595" s="24"/>
      <c r="D595" s="24"/>
      <c r="E595" s="24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D595" s="7"/>
      <c r="AE595" s="7"/>
      <c r="AF595" s="7"/>
      <c r="AG595" s="7"/>
      <c r="AH595" s="7"/>
      <c r="AI595" s="7"/>
      <c r="AJ595" s="7"/>
      <c r="AK595" s="35"/>
      <c r="AL595" s="35"/>
      <c r="AM595" s="35"/>
      <c r="AN595" s="35"/>
      <c r="AO595" s="35"/>
      <c r="AP595" s="35"/>
      <c r="AQ595" s="42"/>
      <c r="AR595" s="42"/>
      <c r="AS595" s="42"/>
      <c r="AT595" s="42"/>
      <c r="AU595" s="42"/>
      <c r="AV595" s="42"/>
      <c r="AW595" s="35"/>
      <c r="BV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FG595" s="23"/>
      <c r="FH595" s="23"/>
      <c r="FI595" s="23"/>
      <c r="FJ595" s="23"/>
      <c r="FK595" s="23"/>
      <c r="FL595" s="23"/>
      <c r="FM595" s="23"/>
      <c r="FN595" s="23"/>
    </row>
    <row r="596" spans="2:170" ht="12" customHeight="1" x14ac:dyDescent="0.3">
      <c r="B596" s="24"/>
      <c r="C596" s="24"/>
      <c r="D596" s="24"/>
      <c r="E596" s="24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D596" s="7"/>
      <c r="AE596" s="7"/>
      <c r="AF596" s="7"/>
      <c r="AG596" s="7"/>
      <c r="AH596" s="7"/>
      <c r="AI596" s="7"/>
      <c r="AJ596" s="7"/>
      <c r="AK596" s="35"/>
      <c r="AL596" s="35"/>
      <c r="AM596" s="35"/>
      <c r="AN596" s="35"/>
      <c r="AO596" s="35"/>
      <c r="AP596" s="35"/>
      <c r="AQ596" s="42"/>
      <c r="AR596" s="42"/>
      <c r="AS596" s="42"/>
      <c r="AT596" s="42"/>
      <c r="AU596" s="42"/>
      <c r="AV596" s="42"/>
      <c r="AW596" s="35"/>
      <c r="BV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FG596" s="23"/>
      <c r="FH596" s="23"/>
      <c r="FI596" s="23"/>
      <c r="FJ596" s="23"/>
      <c r="FK596" s="23"/>
      <c r="FL596" s="23"/>
      <c r="FM596" s="23"/>
      <c r="FN596" s="23"/>
    </row>
    <row r="597" spans="2:170" ht="12" customHeight="1" x14ac:dyDescent="0.3">
      <c r="B597" s="24"/>
      <c r="C597" s="24"/>
      <c r="D597" s="24"/>
      <c r="E597" s="24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D597" s="7"/>
      <c r="AE597" s="7"/>
      <c r="AF597" s="7"/>
      <c r="AG597" s="7"/>
      <c r="AH597" s="7"/>
      <c r="AI597" s="7"/>
      <c r="AJ597" s="7"/>
      <c r="AK597" s="35"/>
      <c r="AL597" s="35"/>
      <c r="AM597" s="35"/>
      <c r="AN597" s="35"/>
      <c r="AO597" s="35"/>
      <c r="AP597" s="35"/>
      <c r="AQ597" s="42"/>
      <c r="AR597" s="42"/>
      <c r="AS597" s="42"/>
      <c r="AT597" s="42"/>
      <c r="AU597" s="42"/>
      <c r="AV597" s="42"/>
      <c r="AW597" s="35"/>
      <c r="BV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FG597" s="23"/>
      <c r="FH597" s="23"/>
      <c r="FI597" s="23"/>
      <c r="FJ597" s="23"/>
      <c r="FK597" s="23"/>
      <c r="FL597" s="23"/>
      <c r="FM597" s="23"/>
      <c r="FN597" s="23"/>
    </row>
    <row r="598" spans="2:170" ht="12" customHeight="1" x14ac:dyDescent="0.3">
      <c r="B598" s="24"/>
      <c r="C598" s="24"/>
      <c r="D598" s="24"/>
      <c r="E598" s="24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D598" s="7"/>
      <c r="AE598" s="7"/>
      <c r="AF598" s="7"/>
      <c r="AG598" s="7"/>
      <c r="AH598" s="7"/>
      <c r="AI598" s="7"/>
      <c r="AJ598" s="7"/>
      <c r="AK598" s="35"/>
      <c r="AL598" s="35"/>
      <c r="AM598" s="35"/>
      <c r="AN598" s="35"/>
      <c r="AO598" s="35"/>
      <c r="AP598" s="35"/>
      <c r="AQ598" s="42"/>
      <c r="AR598" s="42"/>
      <c r="AS598" s="42"/>
      <c r="AT598" s="42"/>
      <c r="AU598" s="42"/>
      <c r="AV598" s="42"/>
      <c r="AW598" s="35"/>
      <c r="BV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FG598" s="23"/>
      <c r="FH598" s="23"/>
      <c r="FI598" s="23"/>
      <c r="FJ598" s="23"/>
      <c r="FK598" s="23"/>
      <c r="FL598" s="23"/>
      <c r="FM598" s="23"/>
      <c r="FN598" s="23"/>
    </row>
    <row r="599" spans="2:170" ht="12" customHeight="1" x14ac:dyDescent="0.3">
      <c r="B599" s="24"/>
      <c r="C599" s="24"/>
      <c r="D599" s="24"/>
      <c r="E599" s="24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D599" s="7"/>
      <c r="AE599" s="7"/>
      <c r="AF599" s="7"/>
      <c r="AG599" s="7"/>
      <c r="AH599" s="7"/>
      <c r="AI599" s="7"/>
      <c r="AJ599" s="7"/>
      <c r="AK599" s="35"/>
      <c r="AL599" s="35"/>
      <c r="AM599" s="35"/>
      <c r="AN599" s="35"/>
      <c r="AO599" s="35"/>
      <c r="AP599" s="35"/>
      <c r="AQ599" s="42"/>
      <c r="AR599" s="42"/>
      <c r="AS599" s="42"/>
      <c r="AT599" s="42"/>
      <c r="AU599" s="42"/>
      <c r="AV599" s="42"/>
      <c r="AW599" s="35"/>
      <c r="BV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FG599" s="23"/>
      <c r="FH599" s="23"/>
      <c r="FI599" s="23"/>
      <c r="FJ599" s="23"/>
      <c r="FK599" s="23"/>
      <c r="FL599" s="23"/>
      <c r="FM599" s="23"/>
      <c r="FN599" s="23"/>
    </row>
    <row r="600" spans="2:170" ht="12" customHeight="1" x14ac:dyDescent="0.3">
      <c r="B600" s="14"/>
      <c r="C600" s="14"/>
      <c r="D600" s="14"/>
      <c r="E600" s="14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E600" s="7"/>
      <c r="AF600" s="7"/>
      <c r="AG600" s="7"/>
      <c r="AH600" s="7"/>
      <c r="AI600" s="7"/>
      <c r="AJ600" s="7"/>
      <c r="BV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FG600" s="23"/>
      <c r="FH600" s="23"/>
      <c r="FI600" s="23"/>
      <c r="FJ600" s="23"/>
      <c r="FK600" s="23"/>
      <c r="FL600" s="23"/>
      <c r="FM600" s="23"/>
      <c r="FN600" s="23"/>
    </row>
    <row r="601" spans="2:170" ht="12" customHeight="1" x14ac:dyDescent="0.3">
      <c r="B601" s="14"/>
      <c r="C601" s="14"/>
      <c r="D601" s="14"/>
      <c r="E601" s="14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E601" s="7"/>
      <c r="AF601" s="7"/>
      <c r="AG601" s="7"/>
      <c r="AH601" s="7"/>
      <c r="AI601" s="7"/>
      <c r="AJ601" s="7"/>
      <c r="BV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FG601" s="23"/>
      <c r="FH601" s="23"/>
      <c r="FI601" s="23"/>
      <c r="FJ601" s="23"/>
      <c r="FK601" s="23"/>
      <c r="FL601" s="23"/>
      <c r="FM601" s="23"/>
      <c r="FN601" s="23"/>
    </row>
    <row r="602" spans="2:170" ht="12" customHeight="1" x14ac:dyDescent="0.3">
      <c r="B602" s="14"/>
      <c r="C602" s="14"/>
      <c r="D602" s="14"/>
      <c r="E602" s="14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39"/>
      <c r="AR602" s="39"/>
      <c r="AS602" s="39"/>
      <c r="AT602" s="39"/>
      <c r="AU602" s="39"/>
      <c r="AV602" s="39"/>
      <c r="AW602" s="7"/>
      <c r="BV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FG602" s="23"/>
      <c r="FH602" s="23"/>
      <c r="FI602" s="23"/>
      <c r="FJ602" s="23"/>
      <c r="FK602" s="23"/>
      <c r="FL602" s="23"/>
      <c r="FM602" s="23"/>
      <c r="FN602" s="23"/>
    </row>
    <row r="603" spans="2:170" ht="12" customHeight="1" x14ac:dyDescent="0.3">
      <c r="B603" s="14"/>
      <c r="C603" s="14"/>
      <c r="D603" s="14"/>
      <c r="E603" s="14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39"/>
      <c r="AR603" s="39"/>
      <c r="AS603" s="39"/>
      <c r="AT603" s="39"/>
      <c r="AU603" s="39"/>
      <c r="AV603" s="39"/>
      <c r="AW603" s="7"/>
      <c r="BV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FG603" s="23"/>
      <c r="FH603" s="23"/>
      <c r="FI603" s="23"/>
      <c r="FJ603" s="23"/>
      <c r="FK603" s="23"/>
      <c r="FL603" s="23"/>
      <c r="FM603" s="23"/>
      <c r="FN603" s="23"/>
    </row>
    <row r="604" spans="2:170" ht="12" customHeight="1" x14ac:dyDescent="0.3">
      <c r="B604" s="14"/>
      <c r="C604" s="14"/>
      <c r="D604" s="14"/>
      <c r="E604" s="14"/>
      <c r="F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39"/>
      <c r="AR604" s="39"/>
      <c r="AS604" s="39"/>
      <c r="AT604" s="39"/>
      <c r="AU604" s="39"/>
      <c r="AV604" s="39"/>
      <c r="AW604" s="7"/>
      <c r="BV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FG604" s="23"/>
      <c r="FH604" s="23"/>
      <c r="FI604" s="23"/>
      <c r="FJ604" s="23"/>
      <c r="FK604" s="23"/>
      <c r="FL604" s="23"/>
      <c r="FM604" s="23"/>
      <c r="FN604" s="23"/>
    </row>
    <row r="605" spans="2:170" ht="12" customHeight="1" x14ac:dyDescent="0.3">
      <c r="B605" s="14"/>
      <c r="C605" s="14"/>
      <c r="D605" s="14"/>
      <c r="E605" s="14"/>
      <c r="F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K605" s="7"/>
      <c r="AL605" s="7"/>
      <c r="AM605" s="7"/>
      <c r="AN605" s="7"/>
      <c r="AO605" s="7"/>
      <c r="AP605" s="7"/>
      <c r="AQ605" s="39"/>
      <c r="AR605" s="39"/>
      <c r="AS605" s="39"/>
      <c r="AT605" s="39"/>
      <c r="AU605" s="39"/>
      <c r="AV605" s="39"/>
      <c r="AW605" s="7"/>
      <c r="BV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FG605" s="23"/>
      <c r="FH605" s="23"/>
      <c r="FI605" s="23"/>
      <c r="FJ605" s="23"/>
      <c r="FK605" s="23"/>
      <c r="FL605" s="23"/>
      <c r="FM605" s="23"/>
      <c r="FN605" s="23"/>
    </row>
    <row r="606" spans="2:170" ht="12" customHeight="1" x14ac:dyDescent="0.3">
      <c r="B606" s="24"/>
      <c r="C606" s="24"/>
      <c r="D606" s="24"/>
      <c r="E606" s="24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D606" s="7"/>
      <c r="AE606" s="7"/>
      <c r="AF606" s="7"/>
      <c r="AG606" s="7"/>
      <c r="AH606" s="7"/>
      <c r="AI606" s="7"/>
      <c r="AJ606" s="7"/>
      <c r="BV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FG606" s="23"/>
      <c r="FH606" s="23"/>
      <c r="FI606" s="23"/>
      <c r="FJ606" s="23"/>
      <c r="FK606" s="23"/>
      <c r="FL606" s="23"/>
      <c r="FM606" s="23"/>
      <c r="FN606" s="23"/>
    </row>
    <row r="607" spans="2:170" ht="12" customHeight="1" x14ac:dyDescent="0.3">
      <c r="B607" s="24"/>
      <c r="C607" s="24"/>
      <c r="D607" s="24"/>
      <c r="E607" s="24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D607" s="7"/>
      <c r="AE607" s="7"/>
      <c r="AF607" s="7"/>
      <c r="AG607" s="7"/>
      <c r="AH607" s="7"/>
      <c r="AI607" s="7"/>
      <c r="AJ607" s="7"/>
      <c r="BV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FG607" s="23"/>
      <c r="FH607" s="23"/>
      <c r="FI607" s="23"/>
      <c r="FJ607" s="23"/>
      <c r="FK607" s="23"/>
      <c r="FL607" s="23"/>
      <c r="FM607" s="23"/>
      <c r="FN607" s="23"/>
    </row>
    <row r="608" spans="2:170" ht="12" customHeight="1" x14ac:dyDescent="0.3">
      <c r="B608" s="24"/>
      <c r="C608" s="24"/>
      <c r="D608" s="24"/>
      <c r="E608" s="24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D608" s="7"/>
      <c r="AE608" s="34"/>
      <c r="AF608" s="7"/>
      <c r="AG608" s="7"/>
      <c r="AH608" s="7"/>
      <c r="AI608" s="7"/>
      <c r="AJ608" s="7"/>
      <c r="BV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FG608" s="23"/>
      <c r="FH608" s="23"/>
      <c r="FI608" s="23"/>
      <c r="FJ608" s="23"/>
      <c r="FK608" s="23"/>
      <c r="FL608" s="23"/>
      <c r="FM608" s="23"/>
      <c r="FN608" s="23"/>
    </row>
    <row r="609" spans="2:170" ht="12" customHeight="1" x14ac:dyDescent="0.3">
      <c r="B609" s="24"/>
      <c r="C609" s="24"/>
      <c r="D609" s="24"/>
      <c r="E609" s="24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D609" s="7"/>
      <c r="AE609" s="34"/>
      <c r="AF609" s="7"/>
      <c r="AG609" s="7"/>
      <c r="AH609" s="7"/>
      <c r="AI609" s="7"/>
      <c r="AJ609" s="7"/>
      <c r="BV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FG609" s="23"/>
      <c r="FH609" s="23"/>
      <c r="FI609" s="23"/>
      <c r="FJ609" s="23"/>
      <c r="FK609" s="23"/>
      <c r="FL609" s="23"/>
      <c r="FM609" s="23"/>
      <c r="FN609" s="23"/>
    </row>
    <row r="610" spans="2:170" ht="12" customHeight="1" x14ac:dyDescent="0.3">
      <c r="B610" s="24"/>
      <c r="C610" s="24"/>
      <c r="D610" s="24"/>
      <c r="E610" s="24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D610" s="7"/>
      <c r="AE610" s="7"/>
      <c r="AF610" s="7"/>
      <c r="AG610" s="7"/>
      <c r="AH610" s="7"/>
      <c r="AI610" s="7"/>
      <c r="AJ610" s="7"/>
      <c r="BV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FG610" s="23"/>
      <c r="FH610" s="23"/>
      <c r="FI610" s="23"/>
      <c r="FJ610" s="23"/>
      <c r="FK610" s="23"/>
      <c r="FL610" s="23"/>
      <c r="FM610" s="23"/>
      <c r="FN610" s="23"/>
    </row>
    <row r="611" spans="2:170" ht="12" customHeight="1" x14ac:dyDescent="0.3">
      <c r="B611" s="24"/>
      <c r="C611" s="24"/>
      <c r="D611" s="24"/>
      <c r="E611" s="24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D611" s="7"/>
      <c r="AE611" s="7"/>
      <c r="AF611" s="7"/>
      <c r="AG611" s="7"/>
      <c r="AH611" s="7"/>
      <c r="AI611" s="7"/>
      <c r="AJ611" s="7"/>
      <c r="BV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FG611" s="23"/>
      <c r="FH611" s="23"/>
      <c r="FI611" s="23"/>
      <c r="FJ611" s="23"/>
      <c r="FK611" s="23"/>
      <c r="FL611" s="23"/>
      <c r="FM611" s="23"/>
      <c r="FN611" s="23"/>
    </row>
    <row r="612" spans="2:170" ht="12" customHeight="1" x14ac:dyDescent="0.3">
      <c r="B612" s="24"/>
      <c r="C612" s="24"/>
      <c r="D612" s="24"/>
      <c r="E612" s="24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D612" s="7"/>
      <c r="AE612" s="34"/>
      <c r="AF612" s="7"/>
      <c r="AG612" s="7"/>
      <c r="AH612" s="7"/>
      <c r="AI612" s="7"/>
      <c r="AJ612" s="7"/>
      <c r="BV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FG612" s="23"/>
      <c r="FH612" s="23"/>
      <c r="FI612" s="23"/>
      <c r="FJ612" s="23"/>
      <c r="FK612" s="23"/>
      <c r="FL612" s="23"/>
      <c r="FM612" s="23"/>
      <c r="FN612" s="23"/>
    </row>
    <row r="613" spans="2:170" ht="12" customHeight="1" x14ac:dyDescent="0.3">
      <c r="B613" s="24"/>
      <c r="C613" s="24"/>
      <c r="D613" s="24"/>
      <c r="E613" s="24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D613" s="7"/>
      <c r="AE613" s="34"/>
      <c r="AF613" s="7"/>
      <c r="AG613" s="7"/>
      <c r="AH613" s="7"/>
      <c r="AI613" s="7"/>
      <c r="AJ613" s="7"/>
      <c r="BV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FG613" s="23"/>
      <c r="FH613" s="23"/>
      <c r="FI613" s="23"/>
      <c r="FJ613" s="23"/>
      <c r="FK613" s="23"/>
      <c r="FL613" s="23"/>
      <c r="FM613" s="23"/>
      <c r="FN613" s="23"/>
    </row>
    <row r="614" spans="2:170" ht="12" customHeight="1" x14ac:dyDescent="0.3">
      <c r="B614" s="24"/>
      <c r="C614" s="24"/>
      <c r="D614" s="24"/>
      <c r="E614" s="24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D614" s="7"/>
      <c r="AE614" s="7"/>
      <c r="AF614" s="7"/>
      <c r="AG614" s="7"/>
      <c r="AH614" s="7"/>
      <c r="AI614" s="7"/>
      <c r="AJ614" s="7"/>
      <c r="BV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FG614" s="23"/>
      <c r="FH614" s="23"/>
      <c r="FI614" s="23"/>
      <c r="FJ614" s="23"/>
      <c r="FK614" s="23"/>
      <c r="FL614" s="23"/>
      <c r="FM614" s="23"/>
      <c r="FN614" s="23"/>
    </row>
    <row r="615" spans="2:170" ht="12" customHeight="1" x14ac:dyDescent="0.3">
      <c r="B615" s="24"/>
      <c r="C615" s="24"/>
      <c r="D615" s="24"/>
      <c r="E615" s="24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D615" s="7"/>
      <c r="AE615" s="7"/>
      <c r="AF615" s="7"/>
      <c r="AG615" s="7"/>
      <c r="AH615" s="7"/>
      <c r="AI615" s="7"/>
      <c r="AJ615" s="7"/>
      <c r="BV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FG615" s="23"/>
      <c r="FH615" s="23"/>
      <c r="FI615" s="23"/>
      <c r="FJ615" s="23"/>
      <c r="FK615" s="23"/>
      <c r="FL615" s="23"/>
      <c r="FM615" s="23"/>
      <c r="FN615" s="23"/>
    </row>
    <row r="616" spans="2:170" ht="12" customHeight="1" x14ac:dyDescent="0.3">
      <c r="B616" s="24"/>
      <c r="C616" s="24"/>
      <c r="D616" s="24"/>
      <c r="E616" s="24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D616" s="7"/>
      <c r="AE616" s="7"/>
      <c r="AF616" s="7"/>
      <c r="AG616" s="7"/>
      <c r="AH616" s="7"/>
      <c r="AI616" s="7"/>
      <c r="AJ616" s="7"/>
      <c r="BV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FG616" s="23"/>
      <c r="FH616" s="23"/>
      <c r="FI616" s="23"/>
      <c r="FJ616" s="23"/>
      <c r="FK616" s="23"/>
      <c r="FL616" s="23"/>
      <c r="FM616" s="23"/>
      <c r="FN616" s="23"/>
    </row>
    <row r="617" spans="2:170" ht="12" customHeight="1" x14ac:dyDescent="0.3">
      <c r="B617" s="24"/>
      <c r="C617" s="24"/>
      <c r="D617" s="24"/>
      <c r="E617" s="24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D617" s="7"/>
      <c r="AE617" s="7"/>
      <c r="AF617" s="7"/>
      <c r="AG617" s="7"/>
      <c r="AH617" s="7"/>
      <c r="AI617" s="7"/>
      <c r="AJ617" s="7"/>
      <c r="BV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FG617" s="23"/>
      <c r="FH617" s="23"/>
      <c r="FI617" s="23"/>
      <c r="FJ617" s="23"/>
      <c r="FK617" s="23"/>
      <c r="FL617" s="23"/>
      <c r="FM617" s="23"/>
      <c r="FN617" s="23"/>
    </row>
    <row r="618" spans="2:170" ht="12" customHeight="1" x14ac:dyDescent="0.3">
      <c r="B618" s="24"/>
      <c r="C618" s="24"/>
      <c r="D618" s="24"/>
      <c r="E618" s="24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D618" s="7"/>
      <c r="AE618" s="34"/>
      <c r="AF618" s="7"/>
      <c r="AG618" s="7"/>
      <c r="AH618" s="7"/>
      <c r="AI618" s="7"/>
      <c r="AJ618" s="7"/>
      <c r="BV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FG618" s="23"/>
      <c r="FH618" s="23"/>
      <c r="FI618" s="23"/>
      <c r="FJ618" s="23"/>
      <c r="FK618" s="23"/>
      <c r="FL618" s="23"/>
      <c r="FM618" s="23"/>
      <c r="FN618" s="23"/>
    </row>
    <row r="619" spans="2:170" ht="12" customHeight="1" x14ac:dyDescent="0.3">
      <c r="B619" s="24"/>
      <c r="C619" s="24"/>
      <c r="D619" s="24"/>
      <c r="E619" s="24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D619" s="7"/>
      <c r="AE619" s="34"/>
      <c r="AF619" s="7"/>
      <c r="AG619" s="7"/>
      <c r="AH619" s="7"/>
      <c r="AI619" s="7"/>
      <c r="AJ619" s="7"/>
      <c r="BV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FG619" s="23"/>
      <c r="FH619" s="23"/>
      <c r="FI619" s="23"/>
      <c r="FJ619" s="23"/>
      <c r="FK619" s="23"/>
      <c r="FL619" s="23"/>
      <c r="FM619" s="23"/>
      <c r="FN619" s="23"/>
    </row>
    <row r="620" spans="2:170" ht="12" customHeight="1" x14ac:dyDescent="0.3">
      <c r="FG620" s="23"/>
      <c r="FH620" s="23"/>
      <c r="FI620" s="23"/>
      <c r="FJ620" s="23"/>
      <c r="FK620" s="23"/>
      <c r="FL620" s="23"/>
    </row>
  </sheetData>
  <autoFilter ref="A18:GF449" xr:uid="{E82DAAA5-7140-4D5B-87F4-D60DD4D685C5}">
    <filterColumn colId="1">
      <filters>
        <filter val="Choi"/>
      </filters>
    </filterColumn>
  </autoFilter>
  <mergeCells count="5">
    <mergeCell ref="BK2:BP2"/>
    <mergeCell ref="BR2:BY2"/>
    <mergeCell ref="DL9:DR9"/>
    <mergeCell ref="ED9:EF9"/>
    <mergeCell ref="A471:A520"/>
  </mergeCells>
  <phoneticPr fontId="4" type="noConversion"/>
  <pageMargins left="0.75" right="0.75" top="1" bottom="1" header="0.51180555555555596" footer="0.51180555555555596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headed (2)</vt:lpstr>
      <vt:lpstr>Sheet1</vt:lpstr>
      <vt:lpstr>headed</vt:lpstr>
      <vt:lpstr>headed_backup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이화은</cp:lastModifiedBy>
  <cp:lastPrinted>2025-02-24T10:17:14Z</cp:lastPrinted>
  <dcterms:created xsi:type="dcterms:W3CDTF">2016-04-20T12:15:00Z</dcterms:created>
  <dcterms:modified xsi:type="dcterms:W3CDTF">2025-02-28T19:46:10Z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2052-10.1.0.5559</vt:lpwstr>
  </property>
  <property fmtid="{D5CDD505-2E9C-101B-9397-08002B2CF9AE}" pid="3" name="KSOReadingLayout">
    <vt:bool>false</vt:bool>
  </property>
</Properties>
</file>